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mc:AlternateContent xmlns:mc="http://schemas.openxmlformats.org/markup-compatibility/2006">
    <mc:Choice Requires="x15">
      <x15ac:absPath xmlns:x15ac="http://schemas.microsoft.com/office/spreadsheetml/2010/11/ac" url="https://zerocarbonshipping.sharepoint.com/sites/TMA/Delte dokumenter/General/1. Products/2. TCO model/"/>
    </mc:Choice>
  </mc:AlternateContent>
  <xr:revisionPtr revIDLastSave="1" documentId="8_{3AC3DC16-EC5B-4C19-A748-1826630539A0}" xr6:coauthVersionLast="47" xr6:coauthVersionMax="47" xr10:uidLastSave="{D2E8B8B1-AF43-468A-BBC3-B27964ADD044}"/>
  <bookViews>
    <workbookView xWindow="-38520" yWindow="-120" windowWidth="38640" windowHeight="21120" tabRatio="834" xr2:uid="{71E974A5-C593-482B-AC28-8823A5399AA7}"/>
  </bookViews>
  <sheets>
    <sheet name="Cover" sheetId="93" r:id="rId1"/>
    <sheet name="TableOfContents" sheetId="92" r:id="rId2"/>
    <sheet name="Dashboard - Graphs" sheetId="86" r:id="rId3"/>
    <sheet name="Dashboard - Tables" sheetId="91" r:id="rId4"/>
    <sheet name="Vessel Configurator" sheetId="62" r:id="rId5"/>
    <sheet name="Main Assumptions" sheetId="89" r:id="rId6"/>
    <sheet name="Calculation - Summarized" sheetId="8" r:id="rId7"/>
    <sheet name="Calculation - Detailed" sheetId="9" state="hidden" r:id="rId8"/>
    <sheet name="TCO - Input" sheetId="59" state="hidden" r:id="rId9"/>
    <sheet name="EE - Input" sheetId="74" state="hidden" r:id="rId10"/>
    <sheet name="Vessel Profiles - Input" sheetId="13" state="hidden" r:id="rId11"/>
    <sheet name="Fuel Selector" sheetId="54" state="hidden" r:id="rId12"/>
    <sheet name="Fuel Logistics" sheetId="37" state="hidden" r:id="rId13"/>
    <sheet name="Fuel Cost - External" sheetId="56" state="hidden" r:id="rId14"/>
    <sheet name="Fuel Model - Summary" sheetId="52" state="hidden" r:id="rId15"/>
    <sheet name="Fuel Model - Calculation" sheetId="79" state="hidden" r:id="rId16"/>
    <sheet name="Fuel Model -  Input" sheetId="80" state="hidden" r:id="rId17"/>
    <sheet name="Fuel Cost - Oil Deep-dive" sheetId="84" state="hidden" r:id="rId18"/>
    <sheet name="Configurator Specs." sheetId="10" state="hidden" r:id="rId19"/>
  </sheets>
  <externalReferences>
    <externalReference r:id="rId20"/>
  </externalReferences>
  <definedNames>
    <definedName name="_xlnm._FilterDatabase" localSheetId="18" hidden="1">'Configurator Specs.'!$AD$3:$AI$36</definedName>
    <definedName name="_xlnm._FilterDatabase" localSheetId="9" hidden="1">'EE - Input'!$B$5:$V$404</definedName>
    <definedName name="BunkerFuels">[1]Index!$B$5:$B$20</definedName>
    <definedName name="CAPEX_yard_pct">'TCO - Input'!$R$35</definedName>
    <definedName name="carbon_cost_level">'Vessel Configurator'!$D$4</definedName>
    <definedName name="cols_TCO_input">'TCO - Input'!$R$6:$AD$6</definedName>
    <definedName name="configured_names_ME">'Vessel Configurator'!$C$68:$G$68</definedName>
    <definedName name="configured_names_ME_short">'Vessel Configurator'!$C$67:$G$67</definedName>
    <definedName name="constant_vessel_lifetime">'TCO - Input'!$R$10</definedName>
    <definedName name="CostCalculation_Year">[1]CostCalculation!$G$4:$AH$4</definedName>
    <definedName name="CostCalculations">[1]CostCalculation!$G$7:$AH$1337</definedName>
    <definedName name="CostCalculations_Index">[1]CostCalculation!$B$7:$B$1337</definedName>
    <definedName name="CostUnit">[1]Dashboard!$F$3</definedName>
    <definedName name="CostUnits">[1]Index!$M$5:$M$7</definedName>
    <definedName name="crude_price_momentum">'Configurator Specs.'!$C$71</definedName>
    <definedName name="crude_price_selected">'Vessel Configurator'!$C$8</definedName>
    <definedName name="DefaultInput_FuelCell">'Main Assumptions'!$L$21:$L$22</definedName>
    <definedName name="DefaultInput_FuelRelated">'Main Assumptions'!$L$26:$R$40</definedName>
    <definedName name="DefaultInput_General">'Main Assumptions'!$L$5:$L$8</definedName>
    <definedName name="DefaultInput_VesselRelated">'Main Assumptions'!$L$12:$R$18</definedName>
    <definedName name="Delimiter">[1]Index!$S$5</definedName>
    <definedName name="EE_Applicability">'Configurator Specs.'!$CI$4:$CI$36</definedName>
    <definedName name="EE_Ships">'Configurator Specs.'!$C$53:$C$57</definedName>
    <definedName name="ElectricityCosts">[1]Index!$G$5:$G$6</definedName>
    <definedName name="EmissionsCalculations">[1]EmissionsCalculation!$G$7:$AH$1251</definedName>
    <definedName name="EmissionsCalculations_Index">[1]EmissionsCalculation!$B$7:$B$1251</definedName>
    <definedName name="EmissionsCalculations_Year">[1]EmissionsCalculation!$G$4:$AH$4</definedName>
    <definedName name="EmissionScopes">[1]Index!$H$5:$H$6</definedName>
    <definedName name="EmissionsCost">[1]Dashboard!$D$3</definedName>
    <definedName name="FC_CostImprovement">'TCO - Input'!$R$58</definedName>
    <definedName name="Fuel_cost_transparency">'Configurator Specs.'!$CF$27</definedName>
    <definedName name="Fuel_cost_transparency_Index">'Configurator Specs.'!$CG$27</definedName>
    <definedName name="FuelData">[1]Assumptions!$G$6:$AH$339</definedName>
    <definedName name="FuelData_Index">[1]Assumptions!$B$6:$B$339</definedName>
    <definedName name="FuelData_Year">[1]Assumptions!$G$4:$AH$4</definedName>
    <definedName name="FuelTypes">[1]Index!$C$5:$C$20</definedName>
    <definedName name="GJ_per_MWh">'TCO - Input'!$R$30</definedName>
    <definedName name="GWPs">[1]Index!$I$5:$I$6</definedName>
    <definedName name="index_fuelCell_swing">'Vessel Configurator'!$I$7</definedName>
    <definedName name="index_swing_CO2tax_chosen">'Vessel Configurator'!$I$4</definedName>
    <definedName name="index_swing_eletricity">'Vessel Configurator'!$I$6</definedName>
    <definedName name="index_swing_oilprice">'Vessel Configurator'!$I$8</definedName>
    <definedName name="IQ_DNTM" hidden="1">700000</definedName>
    <definedName name="IQ_EXPENSE_CODE_" hidden="1">"ZWK698"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44287.3998611111</definedName>
    <definedName name="IQ_QTD" hidden="1">750000</definedName>
    <definedName name="IQ_TODAY" hidden="1">0</definedName>
    <definedName name="IQ_YTDMONTH" hidden="1">130000</definedName>
    <definedName name="keydelim">'Configurator Specs.'!$X$4</definedName>
    <definedName name="kmh_per_knot">'TCO - Input'!$R$31</definedName>
    <definedName name="kwh_per_MJ">'TCO - Input'!$R$28</definedName>
    <definedName name="LHV_H2">[1]Assumptions!$G$43</definedName>
    <definedName name="LHVs">[1]Index!$D$5:$D$20</definedName>
    <definedName name="list_AE_fuel">'Configurator Specs.'!$H$4:$H$23</definedName>
    <definedName name="list_AE_pwt">'Configurator Specs.'!$D$4:$D$10</definedName>
    <definedName name="list_DF_blends">'Configurator Specs.'!$F$4:$F$14</definedName>
    <definedName name="list_fuel_sources">'Configurator Specs.'!$P$4:$P$5</definedName>
    <definedName name="list_fuel_types">'Configurator Specs.'!$Z$3:$Z$12</definedName>
    <definedName name="list_fuels_long">'Configurator Specs.'!$AE$4:$AE$36</definedName>
    <definedName name="list_GHG_accounting">'Configurator Specs.'!$N$4:$N$5</definedName>
    <definedName name="list_ME_fuel">'Configurator Specs.'!$E$4:$E$23</definedName>
    <definedName name="list_ME_pwt">'Configurator Specs.'!$C$4:$C$10</definedName>
    <definedName name="list_regions_bunker">'Configurator Specs.'!$J$4:$J$9</definedName>
    <definedName name="list_segment">'Configurator Specs.'!$B$4:$B$9</definedName>
    <definedName name="list_vessel_size">'Configurator Specs.'!$T$4</definedName>
    <definedName name="list_vessel_type">'Configurator Specs.'!$B$4:$B$9</definedName>
    <definedName name="list_years">'Configurator Specs.'!$V$4:$V$10</definedName>
    <definedName name="ManualInput_FuelCell">'Main Assumptions'!$D$21:$D$22</definedName>
    <definedName name="ManualInput_FuelRelated">'Main Assumptions'!$D$26:$J$40</definedName>
    <definedName name="ManualInput_General">'Main Assumptions'!$D$5:$D$8</definedName>
    <definedName name="ManualInput_VesselRelated">'Main Assumptions'!$D$12:$J$18</definedName>
    <definedName name="mapping_fuel_to_fueltype">'Configurator Specs.'!$AG$4:$AG$36</definedName>
    <definedName name="MEfuel1">'Vessel Configurator'!$C$18</definedName>
    <definedName name="MEfuel2">'Vessel Configurator'!$D$18</definedName>
    <definedName name="MEfuel3">'Vessel Configurator'!$E$18</definedName>
    <definedName name="MEfuel4">'Vessel Configurator'!$F$18</definedName>
    <definedName name="MEfuel5">'Vessel Configurator'!$G$18</definedName>
    <definedName name="Methane_GWP100">[1]Index!$L$6</definedName>
    <definedName name="Methane_GWP20">[1]Index!$K$6</definedName>
    <definedName name="MJ_per_MWh">'TCO - Input'!$R$29</definedName>
    <definedName name="NewBuild_Retrofit_selector">'Vessel Configurator'!$C$142</definedName>
    <definedName name="NitrousOxide_GWP100">[1]Index!$L$7</definedName>
    <definedName name="NitrousOxide_GWP20">[1]Index!$K$7</definedName>
    <definedName name="plot_year">'Vessel Configurator'!$I$3</definedName>
    <definedName name="Regions">[1]Index!$E$5:$E$9</definedName>
    <definedName name="rows_TCO_element">'TCO - Input'!$N:$N</definedName>
    <definedName name="rows_TCO_fuel">'TCO - Input'!$F:$F</definedName>
    <definedName name="rows_TCO_geo">'TCO - Input'!$L:$L</definedName>
    <definedName name="rows_TCO_ID">'TCO - Input'!$D:$D</definedName>
    <definedName name="rows_TCO_PWT">'TCO - Input'!$E:$E</definedName>
    <definedName name="rows_TCO_segment">'TCO - Input'!$J:$J</definedName>
    <definedName name="rows_TCO_weight">'TCO - Input'!$K:$K</definedName>
    <definedName name="SelectedElectricityCost">[1]Dashboard!$C$3</definedName>
    <definedName name="SelectedEmissionsScope">[1]Dashboard!$E$3</definedName>
    <definedName name="SelectedGWP">[1]DashboardCalc!$E$3</definedName>
    <definedName name="SelectedRegion" localSheetId="0">[1]Dashboard!$B$3</definedName>
    <definedName name="SelectedRegion">'Vessel Configurator'!$C$15</definedName>
    <definedName name="SelectedYear">[1]Dashboard!$G$3</definedName>
    <definedName name="Split">[1]Dashboard!#REF!</definedName>
    <definedName name="SplitCostCalculations">[1]CostCalculation_Detailed!$G$43:$AH$1417</definedName>
    <definedName name="SplitCostCalculations_Index">[1]CostCalculation_Detailed!$B$43:$B$1417</definedName>
    <definedName name="SplitCostCalculations_Year">[1]CostCalculation_Detailed!$G$6:$AH$6</definedName>
    <definedName name="swing_CO2tax_momentum">'Configurator Specs.'!$C$67</definedName>
    <definedName name="swing_CO2tax_selected">'Vessel Configurator'!$C$4</definedName>
    <definedName name="swing_FuelCell_momentum">'Configurator Specs.'!$C$70</definedName>
    <definedName name="swing_FuelCell_selected">'Vessel Configurator'!$C$7</definedName>
    <definedName name="swing_greenFinance_momentum">'Configurator Specs.'!$C$68</definedName>
    <definedName name="swing_greenFinance_selected">'Vessel Configurator'!$C$5</definedName>
    <definedName name="swing_GreenFinancing_selected">'Vessel Configurator'!$C$5</definedName>
    <definedName name="swing_H2breakthrough_momentum">'Configurator Specs.'!$C$69</definedName>
    <definedName name="swing_H2breakthrough_selected">'Vessel Configurator'!$C$6</definedName>
    <definedName name="table_EE_VesselConfig">'Vessel Configurator'!$C$30:$G$62</definedName>
    <definedName name="tbl_TCO_input">'TCO - Input'!$R:$AD</definedName>
    <definedName name="tbl_under10yearPB">'Configurator Specs.'!$DC$4:$DG$36</definedName>
    <definedName name="tbl_under2yearPB">'Configurator Specs.'!$CQ$4:$CU$36</definedName>
    <definedName name="tbl_under5yearPB">'Configurator Specs.'!$CW$4:$DA$36</definedName>
    <definedName name="Ves1_size">'Vessel Configurator'!$C$14</definedName>
    <definedName name="Ves1_type">'Vessel Configurator'!$C$13</definedName>
    <definedName name="Vessel1_EEOpt">'Vessel Configurator'!$C$29</definedName>
    <definedName name="Vessel2_EEOpt">'Vessel Configurator'!$D$29</definedName>
    <definedName name="Vessel3_EEOpt">'Vessel Configurator'!$E$29</definedName>
    <definedName name="Vessel4_EEOpt">'Vessel Configurator'!$F$29</definedName>
    <definedName name="Vessel5_EEOpt">'Vessel Configurator'!$G$29</definedName>
    <definedName name="Years">[1]Index!$F$5:$F$32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508" i="79" l="1"/>
  <c r="B2507" i="79"/>
  <c r="B2506" i="79"/>
  <c r="B2505" i="79"/>
  <c r="B2504" i="79"/>
  <c r="B2474" i="79"/>
  <c r="B2473" i="79"/>
  <c r="B2472" i="79"/>
  <c r="B2471" i="79"/>
  <c r="B2470" i="79"/>
  <c r="B2440" i="79"/>
  <c r="B2439" i="79"/>
  <c r="B2438" i="79"/>
  <c r="B2437" i="79"/>
  <c r="B2436" i="79"/>
  <c r="B2406" i="79"/>
  <c r="B2405" i="79"/>
  <c r="B2404" i="79"/>
  <c r="B2403" i="79"/>
  <c r="B2402" i="79"/>
  <c r="P232" i="80"/>
  <c r="C641" i="79"/>
  <c r="B2516" i="79"/>
  <c r="H271" i="80"/>
  <c r="B271" i="80"/>
  <c r="B2515" i="79"/>
  <c r="B2501" i="79"/>
  <c r="B2497" i="79"/>
  <c r="B2494" i="79"/>
  <c r="B2490" i="79"/>
  <c r="B2489" i="79"/>
  <c r="B2487" i="79"/>
  <c r="B2486" i="79"/>
  <c r="B2485" i="79"/>
  <c r="B2467" i="79"/>
  <c r="B2463" i="79"/>
  <c r="B2460" i="79"/>
  <c r="B2456" i="79"/>
  <c r="B2455" i="79"/>
  <c r="B2453" i="79"/>
  <c r="B2452" i="79"/>
  <c r="B2451" i="79"/>
  <c r="B2433" i="79"/>
  <c r="B2429" i="79"/>
  <c r="B2426" i="79"/>
  <c r="B2422" i="79"/>
  <c r="B2421" i="79"/>
  <c r="B2419" i="79"/>
  <c r="B2418" i="79"/>
  <c r="B2417" i="79"/>
  <c r="C722" i="79"/>
  <c r="C695" i="79"/>
  <c r="B1677" i="79"/>
  <c r="B1676" i="79"/>
  <c r="B1675" i="79"/>
  <c r="B1674" i="79"/>
  <c r="B1673" i="79"/>
  <c r="B1672" i="79"/>
  <c r="B1671" i="79"/>
  <c r="B1670" i="79"/>
  <c r="B1669" i="79"/>
  <c r="B1668" i="79"/>
  <c r="B1667" i="79"/>
  <c r="B1665" i="79"/>
  <c r="B1664" i="79"/>
  <c r="B1662" i="79"/>
  <c r="B1661" i="79"/>
  <c r="B1660" i="79"/>
  <c r="B1658" i="79"/>
  <c r="B1657" i="79"/>
  <c r="B1656" i="79"/>
  <c r="B1655" i="79"/>
  <c r="B1654" i="79"/>
  <c r="C1652" i="79"/>
  <c r="B2399" i="79"/>
  <c r="B2395" i="79"/>
  <c r="B2392" i="79"/>
  <c r="B2388" i="79"/>
  <c r="B2387" i="79"/>
  <c r="B2385" i="79"/>
  <c r="B2384" i="79"/>
  <c r="B2383" i="79"/>
  <c r="B2361" i="79"/>
  <c r="B2371" i="79"/>
  <c r="B2370" i="79"/>
  <c r="B2369" i="79"/>
  <c r="I249" i="80"/>
  <c r="J249" i="80" s="1"/>
  <c r="K249" i="80" s="1"/>
  <c r="L249" i="80" s="1"/>
  <c r="M249" i="80" s="1"/>
  <c r="N249" i="80" s="1"/>
  <c r="D197" i="80"/>
  <c r="B2372" i="79"/>
  <c r="I201" i="80"/>
  <c r="J201" i="80" s="1"/>
  <c r="K201" i="80" s="1"/>
  <c r="L201" i="80" s="1"/>
  <c r="M201" i="80" s="1"/>
  <c r="N201" i="80" s="1"/>
  <c r="B201" i="80"/>
  <c r="I200" i="80"/>
  <c r="J200" i="80" s="1"/>
  <c r="K200" i="80" s="1"/>
  <c r="L200" i="80" s="1"/>
  <c r="M200" i="80" s="1"/>
  <c r="N200" i="80" s="1"/>
  <c r="B200" i="80"/>
  <c r="I199" i="80"/>
  <c r="J199" i="80" s="1"/>
  <c r="K199" i="80" s="1"/>
  <c r="L199" i="80" s="1"/>
  <c r="M199" i="80" s="1"/>
  <c r="N199" i="80" s="1"/>
  <c r="B199" i="80"/>
  <c r="M198" i="80"/>
  <c r="L198" i="80"/>
  <c r="K198" i="80"/>
  <c r="H198" i="80"/>
  <c r="B198" i="80"/>
  <c r="N197" i="80"/>
  <c r="M197" i="80"/>
  <c r="L197" i="80"/>
  <c r="K197" i="80"/>
  <c r="J197" i="80"/>
  <c r="I197" i="80"/>
  <c r="H197" i="80"/>
  <c r="B249" i="80"/>
  <c r="B2365" i="79"/>
  <c r="M250" i="80"/>
  <c r="L250" i="80"/>
  <c r="K250" i="80"/>
  <c r="J250" i="80"/>
  <c r="H250" i="80" s="1"/>
  <c r="M252" i="80"/>
  <c r="L252" i="80"/>
  <c r="K252" i="80"/>
  <c r="J252" i="80"/>
  <c r="H252" i="80" s="1"/>
  <c r="B252" i="80"/>
  <c r="I251" i="80"/>
  <c r="J251" i="80" s="1"/>
  <c r="K251" i="80" s="1"/>
  <c r="L251" i="80" s="1"/>
  <c r="M251" i="80" s="1"/>
  <c r="N251" i="80" s="1"/>
  <c r="M246" i="80"/>
  <c r="L246" i="80"/>
  <c r="K246" i="80"/>
  <c r="J246" i="80"/>
  <c r="I248" i="80"/>
  <c r="J248" i="80" s="1"/>
  <c r="K248" i="80" s="1"/>
  <c r="L248" i="80" s="1"/>
  <c r="M248" i="80" s="1"/>
  <c r="N248" i="80" s="1"/>
  <c r="I247" i="80"/>
  <c r="J247" i="80" s="1"/>
  <c r="K247" i="80" s="1"/>
  <c r="L247" i="80" s="1"/>
  <c r="M247" i="80" s="1"/>
  <c r="N247" i="80" s="1"/>
  <c r="B246" i="80"/>
  <c r="I253" i="80"/>
  <c r="J253" i="80" s="1"/>
  <c r="K253" i="80" s="1"/>
  <c r="L253" i="80" s="1"/>
  <c r="M253" i="80" s="1"/>
  <c r="N253" i="80" s="1"/>
  <c r="B253" i="80"/>
  <c r="B251" i="80"/>
  <c r="B250" i="80"/>
  <c r="B248" i="80"/>
  <c r="B247" i="80"/>
  <c r="D245" i="80"/>
  <c r="I59" i="80"/>
  <c r="J59" i="80" s="1"/>
  <c r="K59" i="80" s="1"/>
  <c r="L59" i="80" s="1"/>
  <c r="M59" i="80" s="1"/>
  <c r="N59" i="80" s="1"/>
  <c r="I58" i="80"/>
  <c r="J58" i="80" s="1"/>
  <c r="K58" i="80" s="1"/>
  <c r="L58" i="80" s="1"/>
  <c r="M58" i="80" s="1"/>
  <c r="N58" i="80" s="1"/>
  <c r="I55" i="80"/>
  <c r="J55" i="80" s="1"/>
  <c r="K55" i="80" s="1"/>
  <c r="L55" i="80" s="1"/>
  <c r="M55" i="80" s="1"/>
  <c r="N55" i="80" s="1"/>
  <c r="I54" i="80"/>
  <c r="J54" i="80" s="1"/>
  <c r="K54" i="80" s="1"/>
  <c r="L54" i="80" s="1"/>
  <c r="M54" i="80" s="1"/>
  <c r="N54" i="80" s="1"/>
  <c r="I53" i="80"/>
  <c r="J53" i="80" s="1"/>
  <c r="K53" i="80" s="1"/>
  <c r="L53" i="80" s="1"/>
  <c r="M53" i="80" s="1"/>
  <c r="N53" i="80" s="1"/>
  <c r="I50" i="80"/>
  <c r="J50" i="80" s="1"/>
  <c r="K50" i="80" s="1"/>
  <c r="L50" i="80" s="1"/>
  <c r="M50" i="80" s="1"/>
  <c r="N50" i="80" s="1"/>
  <c r="I48" i="80"/>
  <c r="J48" i="80" s="1"/>
  <c r="K48" i="80" s="1"/>
  <c r="L48" i="80" s="1"/>
  <c r="M48" i="80" s="1"/>
  <c r="N48" i="80" s="1"/>
  <c r="I47" i="80"/>
  <c r="J47" i="80" s="1"/>
  <c r="K47" i="80" s="1"/>
  <c r="L47" i="80" s="1"/>
  <c r="M47" i="80" s="1"/>
  <c r="N47" i="80" s="1"/>
  <c r="I153" i="80"/>
  <c r="J153" i="80" s="1"/>
  <c r="K153" i="80" s="1"/>
  <c r="L153" i="80" s="1"/>
  <c r="M153" i="80" s="1"/>
  <c r="N153" i="80" s="1"/>
  <c r="I147" i="80"/>
  <c r="J147" i="80" s="1"/>
  <c r="K147" i="80" s="1"/>
  <c r="L147" i="80" s="1"/>
  <c r="M147" i="80" s="1"/>
  <c r="N147" i="80" s="1"/>
  <c r="I140" i="80"/>
  <c r="J140" i="80" s="1"/>
  <c r="K140" i="80" s="1"/>
  <c r="L140" i="80" s="1"/>
  <c r="M140" i="80" s="1"/>
  <c r="N140" i="80" s="1"/>
  <c r="I195" i="80"/>
  <c r="J195" i="80" s="1"/>
  <c r="K195" i="80" s="1"/>
  <c r="L195" i="80" s="1"/>
  <c r="M195" i="80" s="1"/>
  <c r="N195" i="80" s="1"/>
  <c r="I194" i="80"/>
  <c r="J194" i="80" s="1"/>
  <c r="K194" i="80" s="1"/>
  <c r="L194" i="80" s="1"/>
  <c r="M194" i="80" s="1"/>
  <c r="N194" i="80" s="1"/>
  <c r="I193" i="80"/>
  <c r="J193" i="80" s="1"/>
  <c r="K193" i="80" s="1"/>
  <c r="L193" i="80" s="1"/>
  <c r="M193" i="80" s="1"/>
  <c r="N193" i="80" s="1"/>
  <c r="I192" i="80"/>
  <c r="J192" i="80" s="1"/>
  <c r="K192" i="80" s="1"/>
  <c r="L192" i="80" s="1"/>
  <c r="M192" i="80" s="1"/>
  <c r="N192" i="80" s="1"/>
  <c r="I191" i="80"/>
  <c r="J191" i="80" s="1"/>
  <c r="K191" i="80" s="1"/>
  <c r="L191" i="80" s="1"/>
  <c r="M191" i="80" s="1"/>
  <c r="N191" i="80" s="1"/>
  <c r="I133" i="80"/>
  <c r="J133" i="80" s="1"/>
  <c r="K133" i="80" s="1"/>
  <c r="L133" i="80" s="1"/>
  <c r="M133" i="80" s="1"/>
  <c r="N133" i="80" s="1"/>
  <c r="I299" i="80"/>
  <c r="J299" i="80" s="1"/>
  <c r="K299" i="80" s="1"/>
  <c r="L299" i="80" s="1"/>
  <c r="M299" i="80" s="1"/>
  <c r="N299" i="80" s="1"/>
  <c r="I298" i="80"/>
  <c r="J298" i="80" s="1"/>
  <c r="K298" i="80" s="1"/>
  <c r="L298" i="80" s="1"/>
  <c r="M298" i="80" s="1"/>
  <c r="N298" i="80" s="1"/>
  <c r="I288" i="80"/>
  <c r="J288" i="80" s="1"/>
  <c r="K288" i="80" s="1"/>
  <c r="L288" i="80" s="1"/>
  <c r="M288" i="80" s="1"/>
  <c r="N288" i="80" s="1"/>
  <c r="I316" i="80"/>
  <c r="J316" i="80" s="1"/>
  <c r="K316" i="80" s="1"/>
  <c r="L316" i="80" s="1"/>
  <c r="M316" i="80" s="1"/>
  <c r="N316" i="80" s="1"/>
  <c r="I315" i="80"/>
  <c r="J315" i="80" s="1"/>
  <c r="K315" i="80" s="1"/>
  <c r="L315" i="80" s="1"/>
  <c r="M315" i="80" s="1"/>
  <c r="N315" i="80" s="1"/>
  <c r="I331" i="80"/>
  <c r="J331" i="80" s="1"/>
  <c r="K331" i="80" s="1"/>
  <c r="L331" i="80" s="1"/>
  <c r="M331" i="80" s="1"/>
  <c r="N331" i="80" s="1"/>
  <c r="I330" i="80"/>
  <c r="J330" i="80" s="1"/>
  <c r="K330" i="80" s="1"/>
  <c r="L330" i="80" s="1"/>
  <c r="M330" i="80" s="1"/>
  <c r="N330" i="80" s="1"/>
  <c r="I327" i="80"/>
  <c r="J327" i="80" s="1"/>
  <c r="K327" i="80" s="1"/>
  <c r="L327" i="80" s="1"/>
  <c r="M327" i="80" s="1"/>
  <c r="N327" i="80" s="1"/>
  <c r="I343" i="80"/>
  <c r="J343" i="80" s="1"/>
  <c r="K343" i="80" s="1"/>
  <c r="L343" i="80" s="1"/>
  <c r="M343" i="80" s="1"/>
  <c r="N343" i="80" s="1"/>
  <c r="I342" i="80"/>
  <c r="J342" i="80" s="1"/>
  <c r="K342" i="80" s="1"/>
  <c r="L342" i="80" s="1"/>
  <c r="M342" i="80" s="1"/>
  <c r="N342" i="80" s="1"/>
  <c r="I339" i="80"/>
  <c r="J339" i="80" s="1"/>
  <c r="K339" i="80" s="1"/>
  <c r="L339" i="80" s="1"/>
  <c r="M339" i="80" s="1"/>
  <c r="N339" i="80" s="1"/>
  <c r="I351" i="80"/>
  <c r="J351" i="80" s="1"/>
  <c r="K351" i="80" s="1"/>
  <c r="L351" i="80" s="1"/>
  <c r="M351" i="80" s="1"/>
  <c r="N351" i="80" s="1"/>
  <c r="I352" i="80"/>
  <c r="J352" i="80" s="1"/>
  <c r="K352" i="80" s="1"/>
  <c r="L352" i="80" s="1"/>
  <c r="M352" i="80" s="1"/>
  <c r="N352" i="80" s="1"/>
  <c r="N350" i="80"/>
  <c r="L350" i="80"/>
  <c r="J350" i="80"/>
  <c r="I350" i="80"/>
  <c r="H350" i="80"/>
  <c r="M349" i="80"/>
  <c r="M350" i="80" s="1"/>
  <c r="K349" i="80"/>
  <c r="K350" i="80" s="1"/>
  <c r="N277" i="80"/>
  <c r="M277" i="80"/>
  <c r="L277" i="80"/>
  <c r="K277" i="80"/>
  <c r="J277" i="80"/>
  <c r="I277" i="80"/>
  <c r="N276" i="80"/>
  <c r="M276" i="80"/>
  <c r="L276" i="80"/>
  <c r="K276" i="80"/>
  <c r="J276" i="80"/>
  <c r="I276" i="80"/>
  <c r="H276" i="80"/>
  <c r="N275" i="80"/>
  <c r="M275" i="80"/>
  <c r="L275" i="80"/>
  <c r="K275" i="80"/>
  <c r="J275" i="80"/>
  <c r="I275" i="80"/>
  <c r="H275" i="80"/>
  <c r="N274" i="80"/>
  <c r="M274" i="80"/>
  <c r="L274" i="80"/>
  <c r="K274" i="80"/>
  <c r="J274" i="80"/>
  <c r="I274" i="80"/>
  <c r="H274" i="80"/>
  <c r="N273" i="80"/>
  <c r="M273" i="80"/>
  <c r="L273" i="80"/>
  <c r="K273" i="80"/>
  <c r="J273" i="80"/>
  <c r="I273" i="80"/>
  <c r="H273" i="80"/>
  <c r="G40" i="89"/>
  <c r="H40" i="89" s="1"/>
  <c r="I40" i="89" s="1"/>
  <c r="J40" i="89" s="1"/>
  <c r="H39" i="89"/>
  <c r="I39" i="89" s="1"/>
  <c r="J39" i="89" s="1"/>
  <c r="G38" i="89"/>
  <c r="H38" i="89" s="1"/>
  <c r="I38" i="89" s="1"/>
  <c r="J38" i="89" s="1"/>
  <c r="G37" i="89"/>
  <c r="H37" i="89" s="1"/>
  <c r="I37" i="89" s="1"/>
  <c r="J37" i="89" s="1"/>
  <c r="G36" i="89"/>
  <c r="H36" i="89" s="1"/>
  <c r="I36" i="89" s="1"/>
  <c r="J36" i="89" s="1"/>
  <c r="I243" i="80"/>
  <c r="J243" i="80" s="1"/>
  <c r="K243" i="80" s="1"/>
  <c r="L243" i="80" s="1"/>
  <c r="M243" i="80" s="1"/>
  <c r="N243" i="80" s="1"/>
  <c r="I242" i="80"/>
  <c r="J242" i="80" s="1"/>
  <c r="K242" i="80" s="1"/>
  <c r="L242" i="80" s="1"/>
  <c r="M242" i="80" s="1"/>
  <c r="N242" i="80" s="1"/>
  <c r="I241" i="80"/>
  <c r="J241" i="80" s="1"/>
  <c r="K241" i="80" s="1"/>
  <c r="L241" i="80" s="1"/>
  <c r="M241" i="80" s="1"/>
  <c r="N241" i="80" s="1"/>
  <c r="I240" i="80"/>
  <c r="J240" i="80" s="1"/>
  <c r="K240" i="80" s="1"/>
  <c r="L240" i="80" s="1"/>
  <c r="M240" i="80" s="1"/>
  <c r="N240" i="80" s="1"/>
  <c r="I239" i="80"/>
  <c r="J239" i="80" s="1"/>
  <c r="K239" i="80" s="1"/>
  <c r="L239" i="80" s="1"/>
  <c r="M239" i="80" s="1"/>
  <c r="N239" i="80" s="1"/>
  <c r="I236" i="80"/>
  <c r="J236" i="80" s="1"/>
  <c r="K236" i="80" s="1"/>
  <c r="L236" i="80" s="1"/>
  <c r="M236" i="80" s="1"/>
  <c r="N236" i="80" s="1"/>
  <c r="I229" i="80"/>
  <c r="J229" i="80" s="1"/>
  <c r="K229" i="80" s="1"/>
  <c r="L229" i="80" s="1"/>
  <c r="M229" i="80" s="1"/>
  <c r="N229" i="80" s="1"/>
  <c r="L9" i="84"/>
  <c r="M9" i="84" s="1"/>
  <c r="N9" i="84" s="1"/>
  <c r="O9" i="84" s="1"/>
  <c r="P9" i="84" s="1"/>
  <c r="Q9" i="84" s="1"/>
  <c r="R9" i="84" s="1"/>
  <c r="S9" i="84" s="1"/>
  <c r="K9" i="84"/>
  <c r="I225" i="80"/>
  <c r="J225" i="80" s="1"/>
  <c r="K225" i="80" s="1"/>
  <c r="L225" i="80" s="1"/>
  <c r="M225" i="80" s="1"/>
  <c r="N225" i="80" s="1"/>
  <c r="I224" i="80"/>
  <c r="J224" i="80" s="1"/>
  <c r="K224" i="80" s="1"/>
  <c r="L224" i="80" s="1"/>
  <c r="M224" i="80" s="1"/>
  <c r="N224" i="80" s="1"/>
  <c r="I219" i="80"/>
  <c r="J219" i="80" s="1"/>
  <c r="K219" i="80" s="1"/>
  <c r="L219" i="80" s="1"/>
  <c r="M219" i="80" s="1"/>
  <c r="N219" i="80" s="1"/>
  <c r="I218" i="80"/>
  <c r="J218" i="80" s="1"/>
  <c r="K218" i="80" s="1"/>
  <c r="L218" i="80" s="1"/>
  <c r="M218" i="80" s="1"/>
  <c r="N218" i="80" s="1"/>
  <c r="I217" i="80"/>
  <c r="J217" i="80" s="1"/>
  <c r="K217" i="80" s="1"/>
  <c r="L217" i="80" s="1"/>
  <c r="M217" i="80" s="1"/>
  <c r="N217" i="80" s="1"/>
  <c r="I216" i="80"/>
  <c r="J216" i="80" s="1"/>
  <c r="K216" i="80" s="1"/>
  <c r="L216" i="80" s="1"/>
  <c r="M216" i="80" s="1"/>
  <c r="N216" i="80" s="1"/>
  <c r="M215" i="80"/>
  <c r="K215" i="80"/>
  <c r="I211" i="80"/>
  <c r="J211" i="80" s="1"/>
  <c r="K211" i="80" s="1"/>
  <c r="L211" i="80" s="1"/>
  <c r="M211" i="80" s="1"/>
  <c r="N211" i="80" s="1"/>
  <c r="I210" i="80"/>
  <c r="J210" i="80" s="1"/>
  <c r="K210" i="80" s="1"/>
  <c r="L210" i="80" s="1"/>
  <c r="M210" i="80" s="1"/>
  <c r="N210" i="80" s="1"/>
  <c r="I204" i="80"/>
  <c r="J204" i="80" s="1"/>
  <c r="K204" i="80" s="1"/>
  <c r="L204" i="80" s="1"/>
  <c r="M204" i="80" s="1"/>
  <c r="N204" i="80" s="1"/>
  <c r="M206" i="80"/>
  <c r="K206" i="80"/>
  <c r="H206" i="80"/>
  <c r="M205" i="80"/>
  <c r="K205" i="80"/>
  <c r="H205" i="80"/>
  <c r="I176" i="80"/>
  <c r="J176" i="80" s="1"/>
  <c r="K176" i="80" s="1"/>
  <c r="L176" i="80" s="1"/>
  <c r="M176" i="80" s="1"/>
  <c r="N176" i="80" s="1"/>
  <c r="I175" i="80"/>
  <c r="J175" i="80" s="1"/>
  <c r="K175" i="80" s="1"/>
  <c r="L175" i="80" s="1"/>
  <c r="M175" i="80" s="1"/>
  <c r="N175" i="80" s="1"/>
  <c r="I173" i="80"/>
  <c r="J173" i="80" s="1"/>
  <c r="K173" i="80" s="1"/>
  <c r="L173" i="80" s="1"/>
  <c r="M173" i="80" s="1"/>
  <c r="N173" i="80" s="1"/>
  <c r="I167" i="80"/>
  <c r="J167" i="80" s="1"/>
  <c r="K167" i="80" s="1"/>
  <c r="L167" i="80" s="1"/>
  <c r="M167" i="80" s="1"/>
  <c r="N167" i="80" s="1"/>
  <c r="M169" i="80"/>
  <c r="K169" i="80"/>
  <c r="H169" i="80"/>
  <c r="I163" i="80"/>
  <c r="J163" i="80" s="1"/>
  <c r="K163" i="80" s="1"/>
  <c r="L163" i="80" s="1"/>
  <c r="M163" i="80" s="1"/>
  <c r="N163" i="80" s="1"/>
  <c r="M157" i="80"/>
  <c r="L157" i="80"/>
  <c r="K157" i="80"/>
  <c r="H157" i="80"/>
  <c r="I164" i="80"/>
  <c r="J164" i="80" s="1"/>
  <c r="K164" i="80" s="1"/>
  <c r="L164" i="80" s="1"/>
  <c r="M164" i="80" s="1"/>
  <c r="N164" i="80" s="1"/>
  <c r="I158" i="80"/>
  <c r="J158" i="80" s="1"/>
  <c r="K158" i="80" s="1"/>
  <c r="L158" i="80" s="1"/>
  <c r="M158" i="80" s="1"/>
  <c r="N158" i="80" s="1"/>
  <c r="I160" i="80"/>
  <c r="J160" i="80" s="1"/>
  <c r="K160" i="80" s="1"/>
  <c r="L160" i="80" s="1"/>
  <c r="M160" i="80" s="1"/>
  <c r="N160" i="80" s="1"/>
  <c r="I159" i="80"/>
  <c r="J159" i="80" s="1"/>
  <c r="K159" i="80" s="1"/>
  <c r="L159" i="80" s="1"/>
  <c r="M159" i="80" s="1"/>
  <c r="N159" i="80" s="1"/>
  <c r="M186" i="80"/>
  <c r="L186" i="80"/>
  <c r="K186" i="80"/>
  <c r="H186" i="80"/>
  <c r="I105" i="80"/>
  <c r="J105" i="80" s="1"/>
  <c r="K105" i="80" s="1"/>
  <c r="L105" i="80" s="1"/>
  <c r="M105" i="80" s="1"/>
  <c r="N105" i="80" s="1"/>
  <c r="I104" i="80"/>
  <c r="J104" i="80" s="1"/>
  <c r="K104" i="80" s="1"/>
  <c r="L104" i="80" s="1"/>
  <c r="M104" i="80" s="1"/>
  <c r="N104" i="80" s="1"/>
  <c r="I103" i="80"/>
  <c r="J103" i="80" s="1"/>
  <c r="K103" i="80" s="1"/>
  <c r="L103" i="80" s="1"/>
  <c r="M103" i="80" s="1"/>
  <c r="N103" i="80" s="1"/>
  <c r="I102" i="80"/>
  <c r="J102" i="80" s="1"/>
  <c r="K102" i="80" s="1"/>
  <c r="L102" i="80" s="1"/>
  <c r="M102" i="80" s="1"/>
  <c r="N102" i="80" s="1"/>
  <c r="I101" i="80"/>
  <c r="J101" i="80" s="1"/>
  <c r="K101" i="80" s="1"/>
  <c r="L101" i="80" s="1"/>
  <c r="M101" i="80" s="1"/>
  <c r="N101" i="80" s="1"/>
  <c r="I89" i="80"/>
  <c r="J89" i="80" s="1"/>
  <c r="K89" i="80" s="1"/>
  <c r="L89" i="80" s="1"/>
  <c r="M89" i="80" s="1"/>
  <c r="N89" i="80" s="1"/>
  <c r="I88" i="80"/>
  <c r="J88" i="80" s="1"/>
  <c r="K88" i="80" s="1"/>
  <c r="L88" i="80" s="1"/>
  <c r="M88" i="80" s="1"/>
  <c r="N88" i="80" s="1"/>
  <c r="I87" i="80"/>
  <c r="J87" i="80" s="1"/>
  <c r="K87" i="80" s="1"/>
  <c r="L87" i="80" s="1"/>
  <c r="M87" i="80" s="1"/>
  <c r="N87" i="80" s="1"/>
  <c r="I86" i="80"/>
  <c r="J86" i="80" s="1"/>
  <c r="K86" i="80" s="1"/>
  <c r="L86" i="80" s="1"/>
  <c r="M86" i="80" s="1"/>
  <c r="N86" i="80" s="1"/>
  <c r="I85" i="80"/>
  <c r="J85" i="80" s="1"/>
  <c r="K85" i="80" s="1"/>
  <c r="L85" i="80" s="1"/>
  <c r="M85" i="80" s="1"/>
  <c r="N85" i="80" s="1"/>
  <c r="I69" i="80"/>
  <c r="J69" i="80" s="1"/>
  <c r="K69" i="80" s="1"/>
  <c r="L69" i="80" s="1"/>
  <c r="M69" i="80" s="1"/>
  <c r="N69" i="80" s="1"/>
  <c r="I129" i="80"/>
  <c r="J129" i="80" s="1"/>
  <c r="K129" i="80" s="1"/>
  <c r="L129" i="80" s="1"/>
  <c r="M129" i="80" s="1"/>
  <c r="N129" i="80" s="1"/>
  <c r="I128" i="80"/>
  <c r="J128" i="80" s="1"/>
  <c r="K128" i="80" s="1"/>
  <c r="L128" i="80" s="1"/>
  <c r="M128" i="80" s="1"/>
  <c r="N128" i="80" s="1"/>
  <c r="I127" i="80"/>
  <c r="J127" i="80" s="1"/>
  <c r="K127" i="80" s="1"/>
  <c r="L127" i="80" s="1"/>
  <c r="M127" i="80" s="1"/>
  <c r="N127" i="80" s="1"/>
  <c r="I126" i="80"/>
  <c r="J126" i="80" s="1"/>
  <c r="K126" i="80" s="1"/>
  <c r="L126" i="80" s="1"/>
  <c r="M126" i="80" s="1"/>
  <c r="N126" i="80" s="1"/>
  <c r="I125" i="80"/>
  <c r="J125" i="80" s="1"/>
  <c r="K125" i="80" s="1"/>
  <c r="L125" i="80" s="1"/>
  <c r="M125" i="80" s="1"/>
  <c r="N125" i="80" s="1"/>
  <c r="I122" i="80"/>
  <c r="J122" i="80" s="1"/>
  <c r="K122" i="80" s="1"/>
  <c r="L122" i="80" s="1"/>
  <c r="M122" i="80" s="1"/>
  <c r="N122" i="80" s="1"/>
  <c r="I119" i="80"/>
  <c r="J119" i="80" s="1"/>
  <c r="K119" i="80" s="1"/>
  <c r="L119" i="80" s="1"/>
  <c r="M119" i="80" s="1"/>
  <c r="N119" i="80" s="1"/>
  <c r="I118" i="80"/>
  <c r="J118" i="80" s="1"/>
  <c r="K118" i="80" s="1"/>
  <c r="L118" i="80" s="1"/>
  <c r="M118" i="80" s="1"/>
  <c r="N118" i="80" s="1"/>
  <c r="I117" i="80"/>
  <c r="J117" i="80" s="1"/>
  <c r="K117" i="80" s="1"/>
  <c r="L117" i="80" s="1"/>
  <c r="M117" i="80" s="1"/>
  <c r="N117" i="80" s="1"/>
  <c r="I116" i="80"/>
  <c r="J116" i="80" s="1"/>
  <c r="K116" i="80" s="1"/>
  <c r="L116" i="80" s="1"/>
  <c r="M116" i="80" s="1"/>
  <c r="N116" i="80" s="1"/>
  <c r="I115" i="80"/>
  <c r="J115" i="80" s="1"/>
  <c r="K115" i="80" s="1"/>
  <c r="L115" i="80" s="1"/>
  <c r="M115" i="80" s="1"/>
  <c r="N115" i="80" s="1"/>
  <c r="I114" i="80"/>
  <c r="J114" i="80" s="1"/>
  <c r="K114" i="80" s="1"/>
  <c r="L114" i="80" s="1"/>
  <c r="M114" i="80" s="1"/>
  <c r="N114" i="80" s="1"/>
  <c r="I113" i="80"/>
  <c r="J113" i="80" s="1"/>
  <c r="K113" i="80" s="1"/>
  <c r="L113" i="80" s="1"/>
  <c r="M113" i="80" s="1"/>
  <c r="N113" i="80" s="1"/>
  <c r="M150" i="80"/>
  <c r="L150" i="80"/>
  <c r="K150" i="80"/>
  <c r="M136" i="80"/>
  <c r="L136" i="80"/>
  <c r="K136" i="80"/>
  <c r="M143" i="80"/>
  <c r="L143" i="80"/>
  <c r="K143" i="80"/>
  <c r="H143" i="80"/>
  <c r="H136" i="80"/>
  <c r="H150" i="80"/>
  <c r="H38" i="80" l="1"/>
  <c r="H37" i="80"/>
  <c r="H36" i="80"/>
  <c r="G21" i="62" l="1"/>
  <c r="F21" i="62"/>
  <c r="E21" i="62"/>
  <c r="D21" i="62"/>
  <c r="B1553" i="79" l="1"/>
  <c r="B1552" i="79"/>
  <c r="B1554" i="79"/>
  <c r="B1555" i="79"/>
  <c r="B1558" i="79"/>
  <c r="B1559" i="79"/>
  <c r="B1560" i="79"/>
  <c r="B1561" i="79"/>
  <c r="B1556" i="79"/>
  <c r="B1557" i="79"/>
  <c r="B1551" i="79"/>
  <c r="B1549" i="79"/>
  <c r="B1548" i="79"/>
  <c r="B1546" i="79"/>
  <c r="B1545" i="79"/>
  <c r="B1544" i="79"/>
  <c r="I188" i="80"/>
  <c r="J188" i="80" s="1"/>
  <c r="K188" i="80" s="1"/>
  <c r="L188" i="80" s="1"/>
  <c r="M188" i="80" s="1"/>
  <c r="N188" i="80" s="1"/>
  <c r="I187" i="80"/>
  <c r="J187" i="80" s="1"/>
  <c r="K187" i="80" s="1"/>
  <c r="L187" i="80" s="1"/>
  <c r="M187" i="80" s="1"/>
  <c r="N187" i="80" s="1"/>
  <c r="B188" i="80"/>
  <c r="B187" i="80"/>
  <c r="B186" i="80"/>
  <c r="F23" i="62" l="1"/>
  <c r="E23" i="62"/>
  <c r="D23" i="62"/>
  <c r="C23" i="62"/>
  <c r="F22" i="62"/>
  <c r="E22" i="62"/>
  <c r="D22" i="62"/>
  <c r="C22" i="62"/>
  <c r="G23" i="62"/>
  <c r="G22" i="62"/>
  <c r="P2021" i="79"/>
  <c r="H174" i="80" l="1"/>
  <c r="I174" i="80" s="1"/>
  <c r="J174" i="80" s="1"/>
  <c r="K174" i="80" s="1"/>
  <c r="L174" i="80" s="1"/>
  <c r="M174" i="80" s="1"/>
  <c r="N174" i="80" s="1"/>
  <c r="H223" i="80"/>
  <c r="I223" i="80" s="1"/>
  <c r="J223" i="80" s="1"/>
  <c r="K223" i="80" s="1"/>
  <c r="L223" i="80" s="1"/>
  <c r="M223" i="80" s="1"/>
  <c r="N223" i="80" s="1"/>
  <c r="C21" i="62" l="1"/>
  <c r="CJ36" i="10" l="1"/>
  <c r="CJ35" i="10"/>
  <c r="CJ34" i="10"/>
  <c r="CJ33" i="10"/>
  <c r="CJ32" i="10"/>
  <c r="CJ31" i="10"/>
  <c r="CJ30" i="10"/>
  <c r="CJ29" i="10"/>
  <c r="CJ28" i="10"/>
  <c r="CJ27" i="10"/>
  <c r="CJ26" i="10"/>
  <c r="CJ25" i="10"/>
  <c r="CJ24" i="10"/>
  <c r="CJ23" i="10"/>
  <c r="CJ22" i="10"/>
  <c r="CJ21" i="10"/>
  <c r="CJ20" i="10"/>
  <c r="CJ19" i="10"/>
  <c r="CJ18" i="10"/>
  <c r="CJ17" i="10"/>
  <c r="CJ16" i="10"/>
  <c r="CJ15" i="10"/>
  <c r="CJ14" i="10"/>
  <c r="CJ13" i="10"/>
  <c r="CJ12" i="10"/>
  <c r="CJ11" i="10"/>
  <c r="CJ10" i="10"/>
  <c r="CJ9" i="10"/>
  <c r="CJ8" i="10"/>
  <c r="CJ7" i="10"/>
  <c r="CJ6" i="10"/>
  <c r="CJ5" i="10"/>
  <c r="CJ4" i="10"/>
  <c r="DI36" i="10"/>
  <c r="DI35" i="10"/>
  <c r="DI34" i="10"/>
  <c r="DI33" i="10"/>
  <c r="DI32" i="10"/>
  <c r="DI31" i="10"/>
  <c r="DI29" i="10"/>
  <c r="DI28" i="10"/>
  <c r="DI27" i="10"/>
  <c r="DI26" i="10"/>
  <c r="DI25" i="10"/>
  <c r="DI24" i="10"/>
  <c r="DI23" i="10"/>
  <c r="DI22" i="10"/>
  <c r="DI21" i="10"/>
  <c r="DI20" i="10"/>
  <c r="DI19" i="10"/>
  <c r="DI18" i="10"/>
  <c r="DI17" i="10"/>
  <c r="DI16" i="10"/>
  <c r="DI15" i="10"/>
  <c r="DI14" i="10"/>
  <c r="DI13" i="10"/>
  <c r="DI12" i="10"/>
  <c r="DI11" i="10"/>
  <c r="DI10" i="10"/>
  <c r="DI9" i="10"/>
  <c r="DI8" i="10"/>
  <c r="DI7" i="10"/>
  <c r="DI6" i="10"/>
  <c r="DI5" i="10"/>
  <c r="DI4" i="10"/>
  <c r="CU3" i="10"/>
  <c r="DA3" i="10" s="1"/>
  <c r="DG3" i="10" s="1"/>
  <c r="CT3" i="10"/>
  <c r="CZ3" i="10" s="1"/>
  <c r="DF3" i="10" s="1"/>
  <c r="CS3" i="10"/>
  <c r="CY3" i="10" s="1"/>
  <c r="DE3" i="10" s="1"/>
  <c r="CR3" i="10"/>
  <c r="CX3" i="10" s="1"/>
  <c r="DD3" i="10" s="1"/>
  <c r="CQ3" i="10"/>
  <c r="CW3" i="10" s="1"/>
  <c r="DC3" i="10" s="1"/>
  <c r="DC2" i="10"/>
  <c r="CW2" i="10"/>
  <c r="CQ2" i="10"/>
  <c r="L5" i="91"/>
  <c r="B5" i="91"/>
  <c r="L43" i="91"/>
  <c r="L32" i="91"/>
  <c r="L25" i="91"/>
  <c r="Q26" i="91"/>
  <c r="P26" i="91"/>
  <c r="O26" i="91"/>
  <c r="N26" i="91"/>
  <c r="M26" i="91"/>
  <c r="Q16" i="91"/>
  <c r="P16" i="91"/>
  <c r="O16" i="91"/>
  <c r="N16" i="91"/>
  <c r="M16" i="91"/>
  <c r="L15" i="91"/>
  <c r="B28" i="91"/>
  <c r="B29" i="91" s="1"/>
  <c r="B30" i="91" s="1"/>
  <c r="B31" i="91" s="1"/>
  <c r="E26" i="91"/>
  <c r="F26" i="91" s="1"/>
  <c r="G26" i="91" s="1"/>
  <c r="H26" i="91" s="1"/>
  <c r="I26" i="91" s="1"/>
  <c r="J26" i="91" s="1"/>
  <c r="C31" i="91"/>
  <c r="C30" i="91"/>
  <c r="C29" i="91"/>
  <c r="C28" i="91"/>
  <c r="C27" i="91"/>
  <c r="E21" i="89"/>
  <c r="F21" i="89" s="1"/>
  <c r="G21" i="89" s="1"/>
  <c r="H21" i="89" s="1"/>
  <c r="I21" i="89" s="1"/>
  <c r="J21" i="89" s="1"/>
  <c r="B18" i="91"/>
  <c r="B19" i="91" s="1"/>
  <c r="B20" i="91" s="1"/>
  <c r="B21" i="91" s="1"/>
  <c r="C21" i="91"/>
  <c r="C20" i="91"/>
  <c r="C19" i="91"/>
  <c r="C18" i="91"/>
  <c r="C17" i="91"/>
  <c r="E16" i="91"/>
  <c r="F16" i="91" s="1"/>
  <c r="G16" i="91" s="1"/>
  <c r="H16" i="91" s="1"/>
  <c r="I16" i="91" s="1"/>
  <c r="J16" i="91" s="1"/>
  <c r="B8" i="91"/>
  <c r="B9" i="91" s="1"/>
  <c r="B10" i="91" s="1"/>
  <c r="B11" i="91" s="1"/>
  <c r="E6" i="91"/>
  <c r="F6" i="91" s="1"/>
  <c r="G6" i="91" s="1"/>
  <c r="H6" i="91" s="1"/>
  <c r="I6" i="91" s="1"/>
  <c r="J6" i="91" s="1"/>
  <c r="H23" i="13"/>
  <c r="I23" i="13" s="1"/>
  <c r="J23" i="13" s="1"/>
  <c r="K23" i="13" s="1"/>
  <c r="L23" i="13" s="1"/>
  <c r="H22" i="13"/>
  <c r="I22" i="13" s="1"/>
  <c r="J22" i="13" s="1"/>
  <c r="K22" i="13" s="1"/>
  <c r="L22" i="13" s="1"/>
  <c r="H21" i="13"/>
  <c r="I21" i="13" s="1"/>
  <c r="J21" i="13" s="1"/>
  <c r="K21" i="13" s="1"/>
  <c r="L21" i="13" s="1"/>
  <c r="H5" i="13"/>
  <c r="I5" i="13" s="1"/>
  <c r="J5" i="13" s="1"/>
  <c r="K5" i="13" s="1"/>
  <c r="L5" i="13" s="1"/>
  <c r="I25" i="84"/>
  <c r="J25" i="84"/>
  <c r="K25" i="84"/>
  <c r="L25" i="84"/>
  <c r="M25" i="84"/>
  <c r="N25" i="84"/>
  <c r="O25" i="84" s="1"/>
  <c r="P25" i="84" s="1"/>
  <c r="Q25" i="84" s="1"/>
  <c r="R25" i="84" s="1"/>
  <c r="S25" i="84" s="1"/>
  <c r="AA168" i="59"/>
  <c r="AB168" i="59" s="1"/>
  <c r="AC168" i="59" s="1"/>
  <c r="AD168" i="59" s="1"/>
  <c r="Z168" i="59"/>
  <c r="G203" i="52"/>
  <c r="G204" i="52" s="1"/>
  <c r="G205" i="52" s="1"/>
  <c r="G206" i="52" s="1"/>
  <c r="G167" i="52"/>
  <c r="G168" i="52" s="1"/>
  <c r="G169" i="52" s="1"/>
  <c r="G170" i="52" s="1"/>
  <c r="CG27" i="10"/>
  <c r="CE6" i="10"/>
  <c r="CE7" i="10" s="1"/>
  <c r="CE8" i="10" s="1"/>
  <c r="CE9" i="10" s="1"/>
  <c r="CE10" i="10" s="1"/>
  <c r="CE11" i="10" s="1"/>
  <c r="CE12" i="10" s="1"/>
  <c r="CE13" i="10" s="1"/>
  <c r="CE14" i="10" s="1"/>
  <c r="CE15" i="10" s="1"/>
  <c r="CE16" i="10" s="1"/>
  <c r="CE17" i="10" s="1"/>
  <c r="CE18" i="10" s="1"/>
  <c r="CE19" i="10" s="1"/>
  <c r="CE20" i="10" s="1"/>
  <c r="CE21" i="10" s="1"/>
  <c r="CE22" i="10" s="1"/>
  <c r="CE23" i="10" s="1"/>
  <c r="CE24" i="10" s="1"/>
  <c r="G429" i="59"/>
  <c r="P22" i="91" l="1"/>
  <c r="S341" i="59"/>
  <c r="T341" i="59" s="1"/>
  <c r="U341" i="59" s="1"/>
  <c r="V341" i="59" s="1"/>
  <c r="W341" i="59" s="1"/>
  <c r="X341" i="59" s="1"/>
  <c r="Y341" i="59" s="1"/>
  <c r="Z341" i="59" s="1"/>
  <c r="AA341" i="59" s="1"/>
  <c r="AB341" i="59" s="1"/>
  <c r="AC341" i="59" s="1"/>
  <c r="AD341" i="59" s="1"/>
  <c r="D293" i="59"/>
  <c r="S178" i="59"/>
  <c r="T178" i="59" s="1"/>
  <c r="U178" i="59" s="1"/>
  <c r="V178" i="59" s="1"/>
  <c r="W178" i="59" s="1"/>
  <c r="X178" i="59" s="1"/>
  <c r="Y178" i="59" s="1"/>
  <c r="Y169" i="59"/>
  <c r="Z169" i="59" s="1"/>
  <c r="AA169" i="59" s="1"/>
  <c r="AB169" i="59" s="1"/>
  <c r="AC169" i="59" s="1"/>
  <c r="AD169" i="59" s="1"/>
  <c r="X169" i="59"/>
  <c r="W169" i="59"/>
  <c r="V169" i="59"/>
  <c r="U169" i="59"/>
  <c r="T169" i="59"/>
  <c r="S169" i="59"/>
  <c r="Y166" i="59"/>
  <c r="Z166" i="59" s="1"/>
  <c r="AA166" i="59" s="1"/>
  <c r="AB166" i="59" s="1"/>
  <c r="AC166" i="59" s="1"/>
  <c r="AD166" i="59" s="1"/>
  <c r="X166" i="59"/>
  <c r="W166" i="59"/>
  <c r="V166" i="59"/>
  <c r="U166" i="59"/>
  <c r="T166" i="59"/>
  <c r="Y165" i="59"/>
  <c r="Z165" i="59" s="1"/>
  <c r="AA165" i="59" s="1"/>
  <c r="AB165" i="59" s="1"/>
  <c r="AC165" i="59" s="1"/>
  <c r="AD165" i="59" s="1"/>
  <c r="X165" i="59"/>
  <c r="W165" i="59"/>
  <c r="V165" i="59"/>
  <c r="U165" i="59"/>
  <c r="T165" i="59"/>
  <c r="Y164" i="59"/>
  <c r="Z164" i="59" s="1"/>
  <c r="AA164" i="59" s="1"/>
  <c r="AB164" i="59" s="1"/>
  <c r="AC164" i="59" s="1"/>
  <c r="AD164" i="59" s="1"/>
  <c r="X164" i="59"/>
  <c r="W164" i="59"/>
  <c r="V164" i="59"/>
  <c r="U164" i="59"/>
  <c r="T164" i="59"/>
  <c r="Y163" i="59"/>
  <c r="Z163" i="59" s="1"/>
  <c r="AA163" i="59" s="1"/>
  <c r="AB163" i="59" s="1"/>
  <c r="AC163" i="59" s="1"/>
  <c r="AD163" i="59" s="1"/>
  <c r="X163" i="59"/>
  <c r="W163" i="59"/>
  <c r="V163" i="59"/>
  <c r="U163" i="59"/>
  <c r="T163" i="59"/>
  <c r="Y162" i="59"/>
  <c r="Z162" i="59" s="1"/>
  <c r="AA162" i="59" s="1"/>
  <c r="AB162" i="59" s="1"/>
  <c r="AC162" i="59" s="1"/>
  <c r="AD162" i="59" s="1"/>
  <c r="X162" i="59"/>
  <c r="W162" i="59"/>
  <c r="V162" i="59"/>
  <c r="U162" i="59"/>
  <c r="T162" i="59"/>
  <c r="S166" i="59"/>
  <c r="S165" i="59"/>
  <c r="S164" i="59"/>
  <c r="S163" i="59"/>
  <c r="W167" i="59"/>
  <c r="X167" i="59"/>
  <c r="S162" i="59"/>
  <c r="H277" i="80"/>
  <c r="I8" i="62"/>
  <c r="F8" i="62" s="1" a="1"/>
  <c r="F8" i="62" s="1"/>
  <c r="H19" i="84"/>
  <c r="N16" i="84"/>
  <c r="O16" i="84" s="1"/>
  <c r="P16" i="84" s="1"/>
  <c r="Q16" i="84" s="1"/>
  <c r="R16" i="84" s="1"/>
  <c r="S16" i="84" s="1"/>
  <c r="M16" i="84"/>
  <c r="M9" i="56" s="1"/>
  <c r="L16" i="84"/>
  <c r="L9" i="56" s="1"/>
  <c r="K16" i="84"/>
  <c r="K9" i="56" s="1"/>
  <c r="J16" i="84"/>
  <c r="J9" i="56" s="1"/>
  <c r="I16" i="84"/>
  <c r="I9" i="56" s="1"/>
  <c r="H16" i="84"/>
  <c r="H9" i="56" s="1"/>
  <c r="H17" i="84"/>
  <c r="R18" i="59"/>
  <c r="R17" i="59"/>
  <c r="R16" i="59"/>
  <c r="H9" i="80"/>
  <c r="I9" i="80" s="1"/>
  <c r="J9" i="80" s="1"/>
  <c r="K9" i="80" s="1"/>
  <c r="L9" i="80" s="1"/>
  <c r="M9" i="80" s="1"/>
  <c r="N9" i="80" s="1"/>
  <c r="H8" i="80"/>
  <c r="I8" i="80" s="1"/>
  <c r="J8" i="80" s="1"/>
  <c r="K8" i="80" s="1"/>
  <c r="L8" i="80" s="1"/>
  <c r="M8" i="80" s="1"/>
  <c r="N8" i="80" s="1"/>
  <c r="H7" i="80"/>
  <c r="I7" i="80" s="1"/>
  <c r="J7" i="80" s="1"/>
  <c r="K7" i="80" s="1"/>
  <c r="L7" i="80" s="1"/>
  <c r="M7" i="80" s="1"/>
  <c r="N7" i="80" s="1"/>
  <c r="H6" i="80"/>
  <c r="I6" i="80" s="1"/>
  <c r="J6" i="80" s="1"/>
  <c r="K6" i="80" s="1"/>
  <c r="L6" i="80" s="1"/>
  <c r="M6" i="80" s="1"/>
  <c r="N6" i="80" s="1"/>
  <c r="M21" i="89"/>
  <c r="N21" i="89" s="1"/>
  <c r="O21" i="89" s="1"/>
  <c r="P21" i="89" s="1"/>
  <c r="Q21" i="89" s="1"/>
  <c r="R21" i="89" s="1"/>
  <c r="O48" i="10"/>
  <c r="G48" i="10"/>
  <c r="D48" i="10"/>
  <c r="D47" i="10"/>
  <c r="M42" i="10"/>
  <c r="L42" i="10"/>
  <c r="K42" i="10"/>
  <c r="J42" i="10"/>
  <c r="V167" i="59" s="1"/>
  <c r="I42" i="10"/>
  <c r="U167" i="59" s="1"/>
  <c r="H42" i="10"/>
  <c r="T167" i="59" s="1"/>
  <c r="G42" i="10"/>
  <c r="S167" i="59" s="1"/>
  <c r="BS36" i="10"/>
  <c r="BU36" i="10"/>
  <c r="BZ36" i="10"/>
  <c r="C1" i="89" a="1"/>
  <c r="C1" i="89" s="1"/>
  <c r="N9" i="56" l="1"/>
  <c r="O9" i="56" s="1"/>
  <c r="P9" i="56" s="1"/>
  <c r="Q9" i="56" s="1"/>
  <c r="R9" i="56" s="1"/>
  <c r="S9" i="56" s="1"/>
  <c r="H18" i="84"/>
  <c r="H20" i="84"/>
  <c r="I17" i="84"/>
  <c r="I19" i="84"/>
  <c r="H48" i="10"/>
  <c r="I48" i="10" s="1"/>
  <c r="J48" i="10" s="1"/>
  <c r="K48" i="10" s="1"/>
  <c r="L48" i="10" s="1"/>
  <c r="M48" i="10" s="1"/>
  <c r="I18" i="84" l="1"/>
  <c r="J17" i="84"/>
  <c r="I20" i="84"/>
  <c r="J19" i="84"/>
  <c r="J20" i="84" l="1"/>
  <c r="K19" i="84"/>
  <c r="J18" i="84"/>
  <c r="K17" i="84"/>
  <c r="D1" i="59" a="1"/>
  <c r="D1" i="59" s="1"/>
  <c r="G644" i="59"/>
  <c r="G474" i="59"/>
  <c r="G379" i="59"/>
  <c r="G365" i="59"/>
  <c r="G338" i="59"/>
  <c r="G290" i="59"/>
  <c r="G250" i="59"/>
  <c r="G208" i="59"/>
  <c r="G161" i="59"/>
  <c r="G120" i="59"/>
  <c r="G81" i="59"/>
  <c r="G9" i="59"/>
  <c r="G15" i="59"/>
  <c r="G20" i="59"/>
  <c r="G27" i="59"/>
  <c r="G32" i="59"/>
  <c r="G34" i="59"/>
  <c r="G38" i="59"/>
  <c r="G55" i="59"/>
  <c r="G62" i="59"/>
  <c r="G68" i="59"/>
  <c r="T268" i="37"/>
  <c r="T269" i="37" s="1"/>
  <c r="T270" i="37" s="1"/>
  <c r="T271" i="37" s="1"/>
  <c r="S268" i="37"/>
  <c r="S269" i="37" s="1"/>
  <c r="S270" i="37" s="1"/>
  <c r="S271" i="37" s="1"/>
  <c r="R268" i="37"/>
  <c r="R269" i="37" s="1"/>
  <c r="R270" i="37" s="1"/>
  <c r="R271" i="37" s="1"/>
  <c r="Q268" i="37"/>
  <c r="Q269" i="37" s="1"/>
  <c r="Q270" i="37" s="1"/>
  <c r="Q271" i="37" s="1"/>
  <c r="P268" i="37"/>
  <c r="P269" i="37" s="1"/>
  <c r="P270" i="37" s="1"/>
  <c r="P271" i="37" s="1"/>
  <c r="O268" i="37"/>
  <c r="O269" i="37" s="1"/>
  <c r="O270" i="37" s="1"/>
  <c r="O271" i="37" s="1"/>
  <c r="N268" i="37"/>
  <c r="N269" i="37" s="1"/>
  <c r="N270" i="37" s="1"/>
  <c r="N271" i="37" s="1"/>
  <c r="M268" i="37"/>
  <c r="M269" i="37" s="1"/>
  <c r="M270" i="37" s="1"/>
  <c r="M271" i="37" s="1"/>
  <c r="L268" i="37"/>
  <c r="L269" i="37" s="1"/>
  <c r="L270" i="37" s="1"/>
  <c r="L271" i="37" s="1"/>
  <c r="K268" i="37"/>
  <c r="K269" i="37" s="1"/>
  <c r="K270" i="37" s="1"/>
  <c r="K271" i="37" s="1"/>
  <c r="J268" i="37"/>
  <c r="J269" i="37" s="1"/>
  <c r="J270" i="37" s="1"/>
  <c r="J271" i="37" s="1"/>
  <c r="I268" i="37"/>
  <c r="I269" i="37" s="1"/>
  <c r="I270" i="37" s="1"/>
  <c r="I271" i="37" s="1"/>
  <c r="W14" i="37"/>
  <c r="X14" i="37" s="1"/>
  <c r="Y14" i="37" s="1"/>
  <c r="Z14" i="37" s="1"/>
  <c r="AA14" i="37" s="1"/>
  <c r="AB14" i="37" s="1"/>
  <c r="W17" i="37"/>
  <c r="X17" i="37" s="1"/>
  <c r="Y17" i="37" s="1"/>
  <c r="Z17" i="37" s="1"/>
  <c r="AA17" i="37" s="1"/>
  <c r="AB17" i="37" s="1"/>
  <c r="W37" i="37"/>
  <c r="X37" i="37" s="1"/>
  <c r="Y37" i="37" s="1"/>
  <c r="Z37" i="37" s="1"/>
  <c r="AA37" i="37" s="1"/>
  <c r="AB37" i="37" s="1"/>
  <c r="W38" i="37"/>
  <c r="X38" i="37" s="1"/>
  <c r="Y38" i="37" s="1"/>
  <c r="Z38" i="37" s="1"/>
  <c r="AA38" i="37" s="1"/>
  <c r="AB38" i="37" s="1"/>
  <c r="W41" i="37"/>
  <c r="X41" i="37" s="1"/>
  <c r="Y41" i="37" s="1"/>
  <c r="Z41" i="37" s="1"/>
  <c r="AA41" i="37" s="1"/>
  <c r="AB41" i="37" s="1"/>
  <c r="W43" i="37"/>
  <c r="X43" i="37" s="1"/>
  <c r="Y43" i="37" s="1"/>
  <c r="Z43" i="37" s="1"/>
  <c r="AA43" i="37" s="1"/>
  <c r="AB43" i="37" s="1"/>
  <c r="W83" i="37"/>
  <c r="X83" i="37" s="1"/>
  <c r="Y83" i="37" s="1"/>
  <c r="Z83" i="37" s="1"/>
  <c r="AA83" i="37" s="1"/>
  <c r="AB83" i="37" s="1"/>
  <c r="W86" i="37"/>
  <c r="X86" i="37" s="1"/>
  <c r="Y86" i="37" s="1"/>
  <c r="Z86" i="37" s="1"/>
  <c r="AA86" i="37" s="1"/>
  <c r="AB86" i="37" s="1"/>
  <c r="W98" i="37"/>
  <c r="X98" i="37" s="1"/>
  <c r="Y98" i="37" s="1"/>
  <c r="Z98" i="37" s="1"/>
  <c r="AA98" i="37" s="1"/>
  <c r="AB98" i="37" s="1"/>
  <c r="W99" i="37"/>
  <c r="X99" i="37" s="1"/>
  <c r="Y99" i="37" s="1"/>
  <c r="Z99" i="37" s="1"/>
  <c r="AA99" i="37" s="1"/>
  <c r="AB99" i="37" s="1"/>
  <c r="W102" i="37"/>
  <c r="X102" i="37" s="1"/>
  <c r="Y102" i="37" s="1"/>
  <c r="Z102" i="37" s="1"/>
  <c r="AA102" i="37" s="1"/>
  <c r="AB102" i="37" s="1"/>
  <c r="W104" i="37"/>
  <c r="X104" i="37" s="1"/>
  <c r="Y104" i="37" s="1"/>
  <c r="Z104" i="37" s="1"/>
  <c r="AA104" i="37" s="1"/>
  <c r="AB104" i="37" s="1"/>
  <c r="W135" i="37"/>
  <c r="X135" i="37" s="1"/>
  <c r="Y135" i="37" s="1"/>
  <c r="Z135" i="37" s="1"/>
  <c r="AA135" i="37" s="1"/>
  <c r="AB135" i="37" s="1"/>
  <c r="W137" i="37"/>
  <c r="X137" i="37" s="1"/>
  <c r="Y137" i="37" s="1"/>
  <c r="Z137" i="37" s="1"/>
  <c r="AA137" i="37" s="1"/>
  <c r="AB137" i="37" s="1"/>
  <c r="W197" i="37"/>
  <c r="X197" i="37" s="1"/>
  <c r="Y197" i="37" s="1"/>
  <c r="Z197" i="37" s="1"/>
  <c r="AA197" i="37" s="1"/>
  <c r="AB197" i="37" s="1"/>
  <c r="W200" i="37"/>
  <c r="X200" i="37" s="1"/>
  <c r="Y200" i="37" s="1"/>
  <c r="Z200" i="37" s="1"/>
  <c r="AA200" i="37" s="1"/>
  <c r="AB200" i="37" s="1"/>
  <c r="W212" i="37"/>
  <c r="X212" i="37" s="1"/>
  <c r="Y212" i="37" s="1"/>
  <c r="Z212" i="37" s="1"/>
  <c r="AA212" i="37" s="1"/>
  <c r="AB212" i="37" s="1"/>
  <c r="W213" i="37"/>
  <c r="X213" i="37" s="1"/>
  <c r="Y213" i="37" s="1"/>
  <c r="Z213" i="37" s="1"/>
  <c r="AA213" i="37" s="1"/>
  <c r="AB213" i="37" s="1"/>
  <c r="W216" i="37"/>
  <c r="X216" i="37" s="1"/>
  <c r="Y216" i="37" s="1"/>
  <c r="Z216" i="37" s="1"/>
  <c r="AA216" i="37" s="1"/>
  <c r="AB216" i="37" s="1"/>
  <c r="W295" i="37"/>
  <c r="X295" i="37" s="1"/>
  <c r="Y295" i="37" s="1"/>
  <c r="Z295" i="37" s="1"/>
  <c r="AA295" i="37" s="1"/>
  <c r="AB295" i="37" s="1"/>
  <c r="W297" i="37"/>
  <c r="X297" i="37" s="1"/>
  <c r="Y297" i="37" s="1"/>
  <c r="Z297" i="37" s="1"/>
  <c r="AA297" i="37" s="1"/>
  <c r="AB297" i="37" s="1"/>
  <c r="J83" i="37"/>
  <c r="J14" i="37"/>
  <c r="CF195" i="9"/>
  <c r="BL195" i="9"/>
  <c r="AR195" i="9"/>
  <c r="X195" i="9"/>
  <c r="K18" i="84" l="1"/>
  <c r="L17" i="84"/>
  <c r="K20" i="84"/>
  <c r="L19" i="84"/>
  <c r="K14" i="37"/>
  <c r="L14" i="37" s="1"/>
  <c r="M14" i="37" s="1"/>
  <c r="N14" i="37" s="1"/>
  <c r="O14" i="37" s="1"/>
  <c r="P14" i="37" s="1"/>
  <c r="Q14" i="37" s="1"/>
  <c r="R14" i="37" s="1"/>
  <c r="S14" i="37" s="1"/>
  <c r="T14" i="37" s="1"/>
  <c r="K83" i="37"/>
  <c r="L83" i="37" s="1"/>
  <c r="M83" i="37" s="1"/>
  <c r="N83" i="37" s="1"/>
  <c r="O83" i="37" s="1"/>
  <c r="P83" i="37" s="1"/>
  <c r="Q83" i="37" s="1"/>
  <c r="R83" i="37" s="1"/>
  <c r="S83" i="37" s="1"/>
  <c r="T83" i="37" s="1"/>
  <c r="M17" i="84" l="1"/>
  <c r="L18" i="84"/>
  <c r="M19" i="84"/>
  <c r="L20" i="84"/>
  <c r="N17" i="84" l="1"/>
  <c r="M18" i="84"/>
  <c r="N19" i="84"/>
  <c r="M20" i="84"/>
  <c r="D46" i="10"/>
  <c r="O19" i="84" l="1"/>
  <c r="N20" i="84"/>
  <c r="O17" i="84"/>
  <c r="P17" i="84" s="1"/>
  <c r="Q17" i="84" s="1"/>
  <c r="R17" i="84" s="1"/>
  <c r="S17" i="84" s="1"/>
  <c r="N18" i="84"/>
  <c r="O18" i="84" s="1"/>
  <c r="P18" i="84" s="1"/>
  <c r="Q18" i="84" s="1"/>
  <c r="R18" i="84" s="1"/>
  <c r="S18" i="84" s="1"/>
  <c r="I4" i="62"/>
  <c r="I6" i="62"/>
  <c r="F6" i="62" s="1" a="1"/>
  <c r="F6" i="62" s="1"/>
  <c r="I7" i="62"/>
  <c r="O20" i="84" l="1"/>
  <c r="P19" i="84"/>
  <c r="F7" i="62" a="1"/>
  <c r="F7" i="62" s="1"/>
  <c r="R58" i="59" a="1"/>
  <c r="R58" i="59" s="1"/>
  <c r="R77" i="59" s="1"/>
  <c r="J68" i="80"/>
  <c r="I67" i="80"/>
  <c r="H66" i="80"/>
  <c r="N64" i="80"/>
  <c r="M65" i="80"/>
  <c r="L65" i="80"/>
  <c r="K64" i="80"/>
  <c r="L66" i="80"/>
  <c r="K65" i="80"/>
  <c r="L67" i="80"/>
  <c r="I64" i="80"/>
  <c r="I68" i="80"/>
  <c r="H67" i="80"/>
  <c r="N65" i="80"/>
  <c r="M64" i="80"/>
  <c r="N66" i="80"/>
  <c r="L64" i="80"/>
  <c r="M66" i="80"/>
  <c r="H68" i="80"/>
  <c r="N67" i="80"/>
  <c r="N68" i="80"/>
  <c r="M68" i="80"/>
  <c r="L68" i="80"/>
  <c r="K67" i="80"/>
  <c r="J66" i="80"/>
  <c r="I65" i="80"/>
  <c r="H64" i="80"/>
  <c r="K68" i="80"/>
  <c r="J67" i="80"/>
  <c r="I66" i="80"/>
  <c r="H65" i="80"/>
  <c r="M67" i="80"/>
  <c r="J64" i="80"/>
  <c r="K66" i="80"/>
  <c r="J65" i="80"/>
  <c r="D443" i="54"/>
  <c r="D422" i="54"/>
  <c r="D401" i="54"/>
  <c r="D380" i="54"/>
  <c r="D359" i="54"/>
  <c r="D341" i="37"/>
  <c r="D340" i="37"/>
  <c r="D297" i="37"/>
  <c r="D271" i="37"/>
  <c r="D270" i="37"/>
  <c r="D269" i="37"/>
  <c r="D268" i="37"/>
  <c r="D267" i="37"/>
  <c r="D239" i="37"/>
  <c r="D260" i="37" s="1"/>
  <c r="D237" i="37"/>
  <c r="D258" i="37" s="1"/>
  <c r="D236" i="37"/>
  <c r="D257" i="37" s="1"/>
  <c r="D235" i="37"/>
  <c r="D256" i="37" s="1"/>
  <c r="D234" i="37"/>
  <c r="D255" i="37" s="1"/>
  <c r="D233" i="37"/>
  <c r="D254" i="37" s="1"/>
  <c r="D227" i="37"/>
  <c r="D228" i="37" s="1"/>
  <c r="D229" i="37" s="1"/>
  <c r="D212" i="37"/>
  <c r="D211" i="37"/>
  <c r="D209" i="37"/>
  <c r="D208" i="37"/>
  <c r="D207" i="37"/>
  <c r="D206" i="37"/>
  <c r="D205" i="37"/>
  <c r="D203" i="37"/>
  <c r="D202" i="37"/>
  <c r="D201" i="37"/>
  <c r="D199" i="37"/>
  <c r="D200" i="37" s="1"/>
  <c r="D198" i="37"/>
  <c r="D197" i="37"/>
  <c r="D181" i="37"/>
  <c r="D180" i="37"/>
  <c r="D137" i="37"/>
  <c r="D125" i="37"/>
  <c r="D86" i="37"/>
  <c r="D67" i="37"/>
  <c r="D66" i="37"/>
  <c r="D17" i="37"/>
  <c r="J42" i="37"/>
  <c r="K42" i="37" s="1"/>
  <c r="L42" i="37" s="1"/>
  <c r="M42" i="37" s="1"/>
  <c r="N42" i="37" s="1"/>
  <c r="O42" i="37" s="1"/>
  <c r="P42" i="37" s="1"/>
  <c r="Q42" i="37" s="1"/>
  <c r="R42" i="37" s="1"/>
  <c r="S42" i="37" s="1"/>
  <c r="T42" i="37" s="1"/>
  <c r="P20" i="84" l="1"/>
  <c r="Q19" i="84"/>
  <c r="D240" i="37"/>
  <c r="D261" i="37" s="1"/>
  <c r="D230" i="37"/>
  <c r="D243" i="37" s="1"/>
  <c r="D264" i="37" s="1"/>
  <c r="D242" i="37"/>
  <c r="D263" i="37" s="1"/>
  <c r="D241" i="37"/>
  <c r="D262" i="37" s="1"/>
  <c r="Q20" i="84" l="1"/>
  <c r="R19" i="84"/>
  <c r="R20" i="84" l="1"/>
  <c r="S19" i="84"/>
  <c r="S20" i="84" s="1"/>
  <c r="L220" i="54"/>
  <c r="M220" i="54" s="1"/>
  <c r="N220" i="54" s="1"/>
  <c r="O220" i="54" s="1"/>
  <c r="P220" i="54" s="1"/>
  <c r="Q220" i="54" s="1"/>
  <c r="R220" i="54" s="1"/>
  <c r="S220" i="54" s="1"/>
  <c r="T220" i="54" s="1"/>
  <c r="U220" i="54" s="1"/>
  <c r="V220" i="54" s="1"/>
  <c r="D312" i="59"/>
  <c r="D311" i="59"/>
  <c r="D310" i="59"/>
  <c r="D309" i="59"/>
  <c r="D308" i="59"/>
  <c r="D307" i="59"/>
  <c r="D306" i="59"/>
  <c r="D305" i="59"/>
  <c r="D304" i="59"/>
  <c r="D303" i="59"/>
  <c r="D302" i="59"/>
  <c r="D301" i="59"/>
  <c r="D300" i="59"/>
  <c r="D299" i="59"/>
  <c r="D298" i="59"/>
  <c r="D297" i="59"/>
  <c r="D296" i="59"/>
  <c r="D295" i="59"/>
  <c r="D294" i="59"/>
  <c r="D292" i="59"/>
  <c r="D291" i="59"/>
  <c r="D262" i="52"/>
  <c r="D256" i="52"/>
  <c r="D250" i="52"/>
  <c r="D244" i="52"/>
  <c r="D238" i="52"/>
  <c r="D232" i="52"/>
  <c r="D226" i="52"/>
  <c r="D220" i="52"/>
  <c r="D214" i="52"/>
  <c r="D208" i="52"/>
  <c r="D202" i="52"/>
  <c r="D196" i="52"/>
  <c r="D190" i="52"/>
  <c r="D184" i="52"/>
  <c r="D178" i="52"/>
  <c r="D172" i="52"/>
  <c r="D170" i="52"/>
  <c r="D169" i="52"/>
  <c r="D168" i="52"/>
  <c r="D167" i="52"/>
  <c r="D166" i="52"/>
  <c r="D164" i="52"/>
  <c r="D163" i="52"/>
  <c r="D162" i="52"/>
  <c r="D161" i="52"/>
  <c r="D160" i="52"/>
  <c r="D158" i="52"/>
  <c r="D157" i="52"/>
  <c r="D156" i="52"/>
  <c r="D155" i="52"/>
  <c r="D154" i="52"/>
  <c r="D152" i="52"/>
  <c r="D151" i="52"/>
  <c r="D150" i="52"/>
  <c r="D149" i="52"/>
  <c r="D148" i="52"/>
  <c r="D146" i="52"/>
  <c r="D145" i="52"/>
  <c r="D144" i="52"/>
  <c r="D143" i="52"/>
  <c r="D142" i="52"/>
  <c r="E1841" i="79"/>
  <c r="E1840" i="79"/>
  <c r="E1839" i="79"/>
  <c r="E1838" i="79"/>
  <c r="E1837" i="79"/>
  <c r="E1835" i="79"/>
  <c r="E1834" i="79"/>
  <c r="E1833" i="79"/>
  <c r="E1832" i="79"/>
  <c r="E1831" i="79"/>
  <c r="E1829" i="79"/>
  <c r="E1828" i="79"/>
  <c r="E1827" i="79"/>
  <c r="E1826" i="79"/>
  <c r="E1818" i="79"/>
  <c r="E1825" i="79"/>
  <c r="E1815" i="79"/>
  <c r="E1814" i="79"/>
  <c r="E1813" i="79"/>
  <c r="E1812" i="79"/>
  <c r="E1811" i="79"/>
  <c r="E1809" i="79"/>
  <c r="E1808" i="79"/>
  <c r="E1807" i="79"/>
  <c r="E1806" i="79"/>
  <c r="E1805" i="79"/>
  <c r="E1803" i="79"/>
  <c r="E1802" i="79"/>
  <c r="E1801" i="79"/>
  <c r="E1800" i="79"/>
  <c r="E1799" i="79"/>
  <c r="F263" i="52"/>
  <c r="F257" i="52"/>
  <c r="F251" i="52"/>
  <c r="F245" i="52"/>
  <c r="F239" i="52"/>
  <c r="F233" i="52"/>
  <c r="F227" i="52"/>
  <c r="D227" i="52" s="1"/>
  <c r="F221" i="52"/>
  <c r="F215" i="52"/>
  <c r="F209" i="52"/>
  <c r="F203" i="52"/>
  <c r="F204" i="52" s="1"/>
  <c r="F205" i="52" s="1"/>
  <c r="F206" i="52" s="1"/>
  <c r="D206" i="52" s="1"/>
  <c r="F197" i="52"/>
  <c r="F191" i="52"/>
  <c r="F185" i="52"/>
  <c r="F179" i="52"/>
  <c r="F173" i="52"/>
  <c r="F48" i="52"/>
  <c r="F70" i="52" s="1"/>
  <c r="F92" i="52" s="1"/>
  <c r="F47" i="52"/>
  <c r="F69" i="52" s="1"/>
  <c r="F91" i="52" s="1"/>
  <c r="F46" i="52"/>
  <c r="F45" i="52"/>
  <c r="F44" i="52"/>
  <c r="F43" i="52"/>
  <c r="F42" i="52"/>
  <c r="F41" i="52"/>
  <c r="F40" i="52"/>
  <c r="F39" i="52"/>
  <c r="F38" i="52"/>
  <c r="F37" i="52"/>
  <c r="F36" i="52"/>
  <c r="F35" i="52"/>
  <c r="F34" i="52"/>
  <c r="F33" i="52"/>
  <c r="F32" i="52"/>
  <c r="F31" i="52"/>
  <c r="F30" i="52"/>
  <c r="F29" i="52"/>
  <c r="F28" i="52"/>
  <c r="T474" i="59"/>
  <c r="U474" i="59" s="1"/>
  <c r="V474" i="59" s="1"/>
  <c r="W474" i="59" s="1"/>
  <c r="X474" i="59" s="1"/>
  <c r="Y474" i="59" s="1"/>
  <c r="Z474" i="59" s="1"/>
  <c r="AA474" i="59" s="1"/>
  <c r="AB474" i="59" s="1"/>
  <c r="AC474" i="59" s="1"/>
  <c r="AD474" i="59" s="1"/>
  <c r="S47" i="59"/>
  <c r="S51" i="59" s="1"/>
  <c r="F198" i="52" l="1"/>
  <c r="F264" i="52"/>
  <c r="D264" i="52" s="1"/>
  <c r="F180" i="52"/>
  <c r="D180" i="52" s="1"/>
  <c r="F186" i="52"/>
  <c r="F246" i="52"/>
  <c r="D246" i="52" s="1"/>
  <c r="F222" i="52"/>
  <c r="F210" i="52"/>
  <c r="D210" i="52" s="1"/>
  <c r="F192" i="52"/>
  <c r="D192" i="52" s="1"/>
  <c r="F216" i="52"/>
  <c r="D216" i="52" s="1"/>
  <c r="F252" i="52"/>
  <c r="D252" i="52" s="1"/>
  <c r="F258" i="52"/>
  <c r="D258" i="52" s="1"/>
  <c r="F174" i="52"/>
  <c r="F175" i="52" s="1"/>
  <c r="F234" i="52"/>
  <c r="F240" i="52"/>
  <c r="D240" i="52" s="1"/>
  <c r="F53" i="52"/>
  <c r="F59" i="52"/>
  <c r="F63" i="52"/>
  <c r="F113" i="52"/>
  <c r="F135" i="52" s="1"/>
  <c r="F57" i="52"/>
  <c r="F79" i="52" s="1"/>
  <c r="F67" i="52"/>
  <c r="F89" i="52" s="1"/>
  <c r="F51" i="52"/>
  <c r="F54" i="52"/>
  <c r="F64" i="52"/>
  <c r="F114" i="52"/>
  <c r="F136" i="52" s="1"/>
  <c r="F61" i="52"/>
  <c r="F83" i="52" s="1"/>
  <c r="F50" i="52"/>
  <c r="F52" i="52"/>
  <c r="F228" i="52"/>
  <c r="F229" i="52" s="1"/>
  <c r="F230" i="52" s="1"/>
  <c r="D230" i="52" s="1"/>
  <c r="F58" i="52"/>
  <c r="F68" i="52"/>
  <c r="F62" i="52"/>
  <c r="F56" i="52"/>
  <c r="F78" i="52" s="1"/>
  <c r="F60" i="52"/>
  <c r="F66" i="52"/>
  <c r="F55" i="52"/>
  <c r="F65" i="52"/>
  <c r="D239" i="52"/>
  <c r="D179" i="52"/>
  <c r="D197" i="52"/>
  <c r="D257" i="52"/>
  <c r="D209" i="52"/>
  <c r="D191" i="52"/>
  <c r="D215" i="52"/>
  <c r="D251" i="52"/>
  <c r="D173" i="52"/>
  <c r="D203" i="52"/>
  <c r="D233" i="52"/>
  <c r="D204" i="52"/>
  <c r="D221" i="52"/>
  <c r="D185" i="52"/>
  <c r="D205" i="52"/>
  <c r="D222" i="52"/>
  <c r="D245" i="52"/>
  <c r="D186" i="52"/>
  <c r="D263" i="52"/>
  <c r="S48" i="59"/>
  <c r="S50" i="59"/>
  <c r="S49" i="59"/>
  <c r="D174" i="52" l="1"/>
  <c r="D135" i="52"/>
  <c r="D136" i="52"/>
  <c r="F193" i="52"/>
  <c r="F235" i="52"/>
  <c r="F259" i="52"/>
  <c r="F247" i="52"/>
  <c r="F199" i="52"/>
  <c r="F181" i="52"/>
  <c r="F241" i="52"/>
  <c r="F211" i="52"/>
  <c r="F265" i="52"/>
  <c r="F253" i="52"/>
  <c r="F187" i="52"/>
  <c r="D234" i="52"/>
  <c r="F217" i="52"/>
  <c r="D198" i="52"/>
  <c r="F223" i="52"/>
  <c r="D229" i="52"/>
  <c r="D228" i="52"/>
  <c r="F84" i="52"/>
  <c r="F85" i="52"/>
  <c r="F80" i="52"/>
  <c r="F82" i="52"/>
  <c r="F90" i="52"/>
  <c r="F75" i="52"/>
  <c r="F88" i="52"/>
  <c r="F110" i="52" s="1"/>
  <c r="F132" i="52" s="1"/>
  <c r="F74" i="52"/>
  <c r="F73" i="52"/>
  <c r="F86" i="52"/>
  <c r="F81" i="52"/>
  <c r="F72" i="52"/>
  <c r="F76" i="52"/>
  <c r="F87" i="52"/>
  <c r="F105" i="52"/>
  <c r="F127" i="52" s="1"/>
  <c r="F111" i="52"/>
  <c r="F133" i="52" s="1"/>
  <c r="F101" i="52"/>
  <c r="F123" i="52" s="1"/>
  <c r="F77" i="52"/>
  <c r="F100" i="52"/>
  <c r="F122" i="52" s="1"/>
  <c r="F176" i="52"/>
  <c r="D175" i="52"/>
  <c r="F236" i="52" l="1"/>
  <c r="D235" i="52"/>
  <c r="F254" i="52"/>
  <c r="D253" i="52"/>
  <c r="F218" i="52"/>
  <c r="D217" i="52"/>
  <c r="F266" i="52"/>
  <c r="D265" i="52"/>
  <c r="F200" i="52"/>
  <c r="D199" i="52"/>
  <c r="D176" i="52"/>
  <c r="F182" i="52"/>
  <c r="D181" i="52"/>
  <c r="F224" i="52"/>
  <c r="D223" i="52"/>
  <c r="F188" i="52"/>
  <c r="D187" i="52"/>
  <c r="F242" i="52"/>
  <c r="D241" i="52"/>
  <c r="F212" i="52"/>
  <c r="D211" i="52"/>
  <c r="F194" i="52"/>
  <c r="D193" i="52"/>
  <c r="F248" i="52"/>
  <c r="D247" i="52"/>
  <c r="F260" i="52"/>
  <c r="D259" i="52"/>
  <c r="F98" i="52"/>
  <c r="F120" i="52" s="1"/>
  <c r="F96" i="52"/>
  <c r="F118" i="52" s="1"/>
  <c r="F104" i="52"/>
  <c r="F126" i="52" s="1"/>
  <c r="F94" i="52"/>
  <c r="F116" i="52" s="1"/>
  <c r="F95" i="52"/>
  <c r="F117" i="52" s="1"/>
  <c r="F108" i="52"/>
  <c r="F130" i="52" s="1"/>
  <c r="F107" i="52"/>
  <c r="F129" i="52" s="1"/>
  <c r="F106" i="52"/>
  <c r="F128" i="52" s="1"/>
  <c r="F102" i="52"/>
  <c r="F124" i="52" s="1"/>
  <c r="F97" i="52"/>
  <c r="F119" i="52" s="1"/>
  <c r="F112" i="52"/>
  <c r="F134" i="52" s="1"/>
  <c r="F103" i="52"/>
  <c r="F125" i="52" s="1"/>
  <c r="F99" i="52"/>
  <c r="F121" i="52" s="1"/>
  <c r="F109" i="52"/>
  <c r="F131" i="52" s="1"/>
  <c r="BZ4" i="10"/>
  <c r="BZ5" i="10"/>
  <c r="BZ6" i="10"/>
  <c r="BZ7" i="10"/>
  <c r="BZ8" i="10"/>
  <c r="BZ9" i="10"/>
  <c r="BZ10" i="10"/>
  <c r="BZ11" i="10"/>
  <c r="BZ12" i="10"/>
  <c r="BZ13" i="10"/>
  <c r="BZ14" i="10"/>
  <c r="BZ15" i="10"/>
  <c r="BZ16" i="10"/>
  <c r="BZ17" i="10"/>
  <c r="BZ18" i="10"/>
  <c r="BZ19" i="10"/>
  <c r="BZ20" i="10"/>
  <c r="BZ21" i="10"/>
  <c r="BZ22" i="10"/>
  <c r="BZ23" i="10"/>
  <c r="BZ24" i="10"/>
  <c r="BZ25" i="10"/>
  <c r="BZ26" i="10"/>
  <c r="BZ27" i="10"/>
  <c r="BZ28" i="10"/>
  <c r="BZ29" i="10"/>
  <c r="BZ30" i="10"/>
  <c r="BZ31" i="10"/>
  <c r="BZ32" i="10"/>
  <c r="BZ33" i="10"/>
  <c r="BZ34" i="10"/>
  <c r="BZ35" i="10"/>
  <c r="BZ37" i="10"/>
  <c r="BU4" i="10"/>
  <c r="BU5" i="10"/>
  <c r="BU6" i="10"/>
  <c r="BU7" i="10"/>
  <c r="BU8" i="10"/>
  <c r="BU9" i="10"/>
  <c r="BU10" i="10"/>
  <c r="BU11" i="10"/>
  <c r="BU12" i="10"/>
  <c r="BU13" i="10"/>
  <c r="BU14" i="10"/>
  <c r="BU15" i="10"/>
  <c r="BU16" i="10"/>
  <c r="BU17" i="10"/>
  <c r="BU18" i="10"/>
  <c r="BU19" i="10"/>
  <c r="BU20" i="10"/>
  <c r="BU21" i="10"/>
  <c r="BU22" i="10"/>
  <c r="BU23" i="10"/>
  <c r="BU24" i="10"/>
  <c r="BU25" i="10"/>
  <c r="BU26" i="10"/>
  <c r="BU27" i="10"/>
  <c r="BU28" i="10"/>
  <c r="BU29" i="10"/>
  <c r="BU30" i="10"/>
  <c r="BU31" i="10"/>
  <c r="BU32" i="10"/>
  <c r="BU33" i="10"/>
  <c r="BU34" i="10"/>
  <c r="BU35" i="10"/>
  <c r="BU37" i="10"/>
  <c r="BS4" i="10"/>
  <c r="BS5" i="10"/>
  <c r="BS6" i="10"/>
  <c r="BS7" i="10"/>
  <c r="BS8" i="10"/>
  <c r="BS9" i="10"/>
  <c r="BS10" i="10"/>
  <c r="BS11" i="10"/>
  <c r="BS12" i="10"/>
  <c r="BS13" i="10"/>
  <c r="BS14" i="10"/>
  <c r="BS15" i="10"/>
  <c r="BS16" i="10"/>
  <c r="BS17" i="10"/>
  <c r="BS18" i="10"/>
  <c r="BS19" i="10"/>
  <c r="BS20" i="10"/>
  <c r="BS21" i="10"/>
  <c r="BS22" i="10"/>
  <c r="BS23" i="10"/>
  <c r="BS24" i="10"/>
  <c r="BS25" i="10"/>
  <c r="BS26" i="10"/>
  <c r="BS27" i="10"/>
  <c r="BS28" i="10"/>
  <c r="BS29" i="10"/>
  <c r="BS30" i="10"/>
  <c r="BS31" i="10"/>
  <c r="BS32" i="10"/>
  <c r="BS33" i="10"/>
  <c r="BS34" i="10"/>
  <c r="BS35" i="10"/>
  <c r="BS37" i="10"/>
  <c r="BR1" i="10" a="1"/>
  <c r="BR1" i="10" s="1"/>
  <c r="D242" i="52" l="1"/>
  <c r="D236" i="52"/>
  <c r="D212" i="52"/>
  <c r="D182" i="52"/>
  <c r="D254" i="52"/>
  <c r="D194" i="52"/>
  <c r="D224" i="52"/>
  <c r="D218" i="52"/>
  <c r="D260" i="52"/>
  <c r="D200" i="52"/>
  <c r="D248" i="52"/>
  <c r="D188" i="52"/>
  <c r="D266" i="52"/>
  <c r="AK13" i="10"/>
  <c r="AZ31" i="10"/>
  <c r="AY31" i="10"/>
  <c r="AJ31" i="10"/>
  <c r="AJ32" i="10"/>
  <c r="AJ35" i="10" l="1"/>
  <c r="AJ34" i="10"/>
  <c r="AJ33" i="10"/>
  <c r="B82" i="80" l="1"/>
  <c r="B81" i="80"/>
  <c r="B80" i="80"/>
  <c r="B79" i="80"/>
  <c r="B78" i="80"/>
  <c r="B76" i="80"/>
  <c r="B75" i="80"/>
  <c r="B74" i="80"/>
  <c r="B73" i="80"/>
  <c r="B72" i="80"/>
  <c r="D30" i="10"/>
  <c r="DI30" i="10" s="1"/>
  <c r="L87" i="13" l="1"/>
  <c r="J87" i="13"/>
  <c r="I87" i="13"/>
  <c r="H87" i="13"/>
  <c r="G87" i="13"/>
  <c r="L86" i="13"/>
  <c r="K86" i="13"/>
  <c r="J86" i="13"/>
  <c r="I86" i="13"/>
  <c r="H86" i="13"/>
  <c r="L85" i="13"/>
  <c r="K85" i="13"/>
  <c r="J85" i="13"/>
  <c r="I85" i="13"/>
  <c r="H85" i="13"/>
  <c r="N36" i="56" l="1"/>
  <c r="O36" i="56" s="1"/>
  <c r="P36" i="56" s="1"/>
  <c r="Q36" i="56" s="1"/>
  <c r="R36" i="56" s="1"/>
  <c r="S36" i="56" s="1"/>
  <c r="M36" i="56"/>
  <c r="L36" i="56"/>
  <c r="K36" i="56"/>
  <c r="J36" i="56"/>
  <c r="I36" i="56"/>
  <c r="N35" i="56"/>
  <c r="O35" i="56" s="1"/>
  <c r="P35" i="56" s="1"/>
  <c r="Q35" i="56" s="1"/>
  <c r="R35" i="56" s="1"/>
  <c r="S35" i="56" s="1"/>
  <c r="M35" i="56"/>
  <c r="L35" i="56"/>
  <c r="K35" i="56"/>
  <c r="J35" i="56"/>
  <c r="I35" i="56"/>
  <c r="N34" i="56"/>
  <c r="O34" i="56" s="1"/>
  <c r="P34" i="56" s="1"/>
  <c r="Q34" i="56" s="1"/>
  <c r="R34" i="56" s="1"/>
  <c r="S34" i="56" s="1"/>
  <c r="M34" i="56"/>
  <c r="L34" i="56"/>
  <c r="K34" i="56"/>
  <c r="J34" i="56"/>
  <c r="I34" i="56"/>
  <c r="N33" i="56"/>
  <c r="O33" i="56" s="1"/>
  <c r="P33" i="56" s="1"/>
  <c r="Q33" i="56" s="1"/>
  <c r="R33" i="56" s="1"/>
  <c r="S33" i="56" s="1"/>
  <c r="M33" i="56"/>
  <c r="L33" i="56"/>
  <c r="K33" i="56"/>
  <c r="J33" i="56"/>
  <c r="I33" i="56"/>
  <c r="N32" i="56"/>
  <c r="O32" i="56" s="1"/>
  <c r="P32" i="56" s="1"/>
  <c r="Q32" i="56" s="1"/>
  <c r="R32" i="56" s="1"/>
  <c r="S32" i="56" s="1"/>
  <c r="M32" i="56"/>
  <c r="L32" i="56"/>
  <c r="K32" i="56"/>
  <c r="J32" i="56"/>
  <c r="I32" i="56"/>
  <c r="H36" i="56"/>
  <c r="H35" i="56"/>
  <c r="H34" i="56"/>
  <c r="H33" i="56"/>
  <c r="H32" i="56"/>
  <c r="N10" i="56" l="1"/>
  <c r="L10" i="56"/>
  <c r="J10" i="56"/>
  <c r="H29" i="56" l="1"/>
  <c r="M968" i="79"/>
  <c r="L968" i="79"/>
  <c r="K968" i="79"/>
  <c r="J968" i="79"/>
  <c r="I968" i="79"/>
  <c r="H968" i="79"/>
  <c r="G968" i="79"/>
  <c r="I21" i="37"/>
  <c r="I20" i="37"/>
  <c r="B2797" i="79" l="1"/>
  <c r="H235" i="80" l="1"/>
  <c r="I235" i="80" s="1"/>
  <c r="J235" i="80" s="1"/>
  <c r="K235" i="80" s="1"/>
  <c r="L235" i="80" s="1"/>
  <c r="M235" i="80" s="1"/>
  <c r="N235" i="80" s="1"/>
  <c r="D13" i="62" l="1"/>
  <c r="E13" i="62" l="1"/>
  <c r="B2325" i="79"/>
  <c r="B2312" i="79"/>
  <c r="B235" i="80"/>
  <c r="B2327" i="79"/>
  <c r="B2326" i="79"/>
  <c r="B2313" i="79"/>
  <c r="B2314" i="79"/>
  <c r="F13" i="62" l="1"/>
  <c r="S55" i="59" l="1"/>
  <c r="Z60" i="59"/>
  <c r="AA60" i="59" l="1"/>
  <c r="AB60" i="59" l="1"/>
  <c r="AC60" i="59" l="1"/>
  <c r="AD60" i="59" l="1"/>
  <c r="S14" i="59" l="1"/>
  <c r="T14" i="59" s="1"/>
  <c r="U14" i="59" s="1"/>
  <c r="V14" i="59" s="1"/>
  <c r="W14" i="59" s="1"/>
  <c r="X14" i="59" s="1"/>
  <c r="Y14" i="59" s="1"/>
  <c r="Z14" i="59" s="1"/>
  <c r="AA14" i="59" s="1"/>
  <c r="AB14" i="59" s="1"/>
  <c r="AC14" i="59" s="1"/>
  <c r="AD14" i="59" s="1"/>
  <c r="S13" i="59"/>
  <c r="T13" i="59" s="1"/>
  <c r="U13" i="59" s="1"/>
  <c r="V13" i="59" s="1"/>
  <c r="W13" i="59" s="1"/>
  <c r="X13" i="59" s="1"/>
  <c r="Y13" i="59" s="1"/>
  <c r="Z13" i="59" s="1"/>
  <c r="AA13" i="59" s="1"/>
  <c r="AB13" i="59" s="1"/>
  <c r="AC13" i="59" s="1"/>
  <c r="AD13" i="59" s="1"/>
  <c r="S12" i="59"/>
  <c r="T12" i="59" s="1"/>
  <c r="U12" i="59" s="1"/>
  <c r="V12" i="59" s="1"/>
  <c r="W12" i="59" s="1"/>
  <c r="X12" i="59" s="1"/>
  <c r="Y12" i="59" s="1"/>
  <c r="Z12" i="59" s="1"/>
  <c r="AA12" i="59" s="1"/>
  <c r="AB12" i="59" s="1"/>
  <c r="AC12" i="59" s="1"/>
  <c r="AD12" i="59" s="1"/>
  <c r="T283" i="59"/>
  <c r="U283" i="59" s="1"/>
  <c r="V283" i="59" s="1"/>
  <c r="W283" i="59" s="1"/>
  <c r="X283" i="59" s="1"/>
  <c r="Y283" i="59" s="1"/>
  <c r="Z283" i="59" s="1"/>
  <c r="AA283" i="59" s="1"/>
  <c r="AB283" i="59" s="1"/>
  <c r="AC283" i="59" s="1"/>
  <c r="AD283" i="59" s="1"/>
  <c r="T282" i="59"/>
  <c r="U282" i="59" s="1"/>
  <c r="V282" i="59" s="1"/>
  <c r="W282" i="59" s="1"/>
  <c r="X282" i="59" s="1"/>
  <c r="Y282" i="59" s="1"/>
  <c r="Z282" i="59" s="1"/>
  <c r="AA282" i="59" s="1"/>
  <c r="AB282" i="59" s="1"/>
  <c r="AC282" i="59" s="1"/>
  <c r="AD282" i="59" s="1"/>
  <c r="T281" i="59"/>
  <c r="U281" i="59" s="1"/>
  <c r="V281" i="59" s="1"/>
  <c r="W281" i="59" s="1"/>
  <c r="X281" i="59" s="1"/>
  <c r="Y281" i="59" s="1"/>
  <c r="Z281" i="59" s="1"/>
  <c r="AA281" i="59" s="1"/>
  <c r="AB281" i="59" s="1"/>
  <c r="AC281" i="59" s="1"/>
  <c r="AD281" i="59" s="1"/>
  <c r="T280" i="59"/>
  <c r="U280" i="59" s="1"/>
  <c r="V280" i="59" s="1"/>
  <c r="W280" i="59" s="1"/>
  <c r="X280" i="59" s="1"/>
  <c r="Y280" i="59" s="1"/>
  <c r="Z280" i="59" s="1"/>
  <c r="AA280" i="59" s="1"/>
  <c r="AB280" i="59" s="1"/>
  <c r="AC280" i="59" s="1"/>
  <c r="AD280" i="59" s="1"/>
  <c r="T279" i="59"/>
  <c r="U279" i="59" s="1"/>
  <c r="V279" i="59" s="1"/>
  <c r="W279" i="59" s="1"/>
  <c r="X279" i="59" s="1"/>
  <c r="Y279" i="59" s="1"/>
  <c r="Z279" i="59" s="1"/>
  <c r="AA279" i="59" s="1"/>
  <c r="AB279" i="59" s="1"/>
  <c r="AC279" i="59" s="1"/>
  <c r="AD279" i="59" s="1"/>
  <c r="T278" i="59"/>
  <c r="U278" i="59" s="1"/>
  <c r="V278" i="59" s="1"/>
  <c r="W278" i="59" s="1"/>
  <c r="X278" i="59" s="1"/>
  <c r="Y278" i="59" s="1"/>
  <c r="Z278" i="59" s="1"/>
  <c r="AA278" i="59" s="1"/>
  <c r="AB278" i="59" s="1"/>
  <c r="AC278" i="59" s="1"/>
  <c r="AD278" i="59" s="1"/>
  <c r="T277" i="59"/>
  <c r="U277" i="59" s="1"/>
  <c r="V277" i="59" s="1"/>
  <c r="W277" i="59" s="1"/>
  <c r="X277" i="59" s="1"/>
  <c r="Y277" i="59" s="1"/>
  <c r="Z277" i="59" s="1"/>
  <c r="AA277" i="59" s="1"/>
  <c r="AB277" i="59" s="1"/>
  <c r="AC277" i="59" s="1"/>
  <c r="AD277" i="59" s="1"/>
  <c r="T276" i="59"/>
  <c r="U276" i="59" s="1"/>
  <c r="V276" i="59" s="1"/>
  <c r="W276" i="59" s="1"/>
  <c r="X276" i="59" s="1"/>
  <c r="Y276" i="59" s="1"/>
  <c r="Z276" i="59" s="1"/>
  <c r="AA276" i="59" s="1"/>
  <c r="AB276" i="59" s="1"/>
  <c r="AC276" i="59" s="1"/>
  <c r="AD276" i="59" s="1"/>
  <c r="T275" i="59"/>
  <c r="U275" i="59" s="1"/>
  <c r="V275" i="59" s="1"/>
  <c r="W275" i="59" s="1"/>
  <c r="X275" i="59" s="1"/>
  <c r="Y275" i="59" s="1"/>
  <c r="Z275" i="59" s="1"/>
  <c r="AA275" i="59" s="1"/>
  <c r="AB275" i="59" s="1"/>
  <c r="AC275" i="59" s="1"/>
  <c r="AD275" i="59" s="1"/>
  <c r="T274" i="59"/>
  <c r="U274" i="59" s="1"/>
  <c r="V274" i="59" s="1"/>
  <c r="W274" i="59" s="1"/>
  <c r="X274" i="59" s="1"/>
  <c r="Y274" i="59" s="1"/>
  <c r="Z274" i="59" s="1"/>
  <c r="AA274" i="59" s="1"/>
  <c r="AB274" i="59" s="1"/>
  <c r="AC274" i="59" s="1"/>
  <c r="AD274" i="59" s="1"/>
  <c r="T273" i="59"/>
  <c r="U273" i="59" s="1"/>
  <c r="V273" i="59" s="1"/>
  <c r="W273" i="59" s="1"/>
  <c r="X273" i="59" s="1"/>
  <c r="Y273" i="59" s="1"/>
  <c r="Z273" i="59" s="1"/>
  <c r="AA273" i="59" s="1"/>
  <c r="AB273" i="59" s="1"/>
  <c r="AC273" i="59" s="1"/>
  <c r="AD273" i="59" s="1"/>
  <c r="T272" i="59"/>
  <c r="U272" i="59" s="1"/>
  <c r="V272" i="59" s="1"/>
  <c r="W272" i="59" s="1"/>
  <c r="X272" i="59" s="1"/>
  <c r="Y272" i="59" s="1"/>
  <c r="Z272" i="59" s="1"/>
  <c r="AA272" i="59" s="1"/>
  <c r="AB272" i="59" s="1"/>
  <c r="AC272" i="59" s="1"/>
  <c r="AD272" i="59" s="1"/>
  <c r="T271" i="59"/>
  <c r="U271" i="59" s="1"/>
  <c r="V271" i="59" s="1"/>
  <c r="W271" i="59" s="1"/>
  <c r="X271" i="59" s="1"/>
  <c r="Y271" i="59" s="1"/>
  <c r="Z271" i="59" s="1"/>
  <c r="AA271" i="59" s="1"/>
  <c r="AB271" i="59" s="1"/>
  <c r="AC271" i="59" s="1"/>
  <c r="AD271" i="59" s="1"/>
  <c r="T270" i="59"/>
  <c r="U270" i="59" s="1"/>
  <c r="V270" i="59" s="1"/>
  <c r="W270" i="59" s="1"/>
  <c r="X270" i="59" s="1"/>
  <c r="Y270" i="59" s="1"/>
  <c r="Z270" i="59" s="1"/>
  <c r="AA270" i="59" s="1"/>
  <c r="AB270" i="59" s="1"/>
  <c r="AC270" i="59" s="1"/>
  <c r="AD270" i="59" s="1"/>
  <c r="T269" i="59"/>
  <c r="U269" i="59" s="1"/>
  <c r="V269" i="59" s="1"/>
  <c r="W269" i="59" s="1"/>
  <c r="X269" i="59" s="1"/>
  <c r="Y269" i="59" s="1"/>
  <c r="Z269" i="59" s="1"/>
  <c r="AA269" i="59" s="1"/>
  <c r="AB269" i="59" s="1"/>
  <c r="AC269" i="59" s="1"/>
  <c r="AD269" i="59" s="1"/>
  <c r="T268" i="59"/>
  <c r="U268" i="59" s="1"/>
  <c r="V268" i="59" s="1"/>
  <c r="W268" i="59" s="1"/>
  <c r="X268" i="59" s="1"/>
  <c r="Y268" i="59" s="1"/>
  <c r="Z268" i="59" s="1"/>
  <c r="AA268" i="59" s="1"/>
  <c r="AB268" i="59" s="1"/>
  <c r="AC268" i="59" s="1"/>
  <c r="AD268" i="59" s="1"/>
  <c r="T267" i="59"/>
  <c r="U267" i="59" s="1"/>
  <c r="V267" i="59" s="1"/>
  <c r="W267" i="59" s="1"/>
  <c r="X267" i="59" s="1"/>
  <c r="Y267" i="59" s="1"/>
  <c r="Z267" i="59" s="1"/>
  <c r="AA267" i="59" s="1"/>
  <c r="AB267" i="59" s="1"/>
  <c r="AC267" i="59" s="1"/>
  <c r="AD267" i="59" s="1"/>
  <c r="T266" i="59"/>
  <c r="U266" i="59" s="1"/>
  <c r="V266" i="59" s="1"/>
  <c r="W266" i="59" s="1"/>
  <c r="X266" i="59" s="1"/>
  <c r="Y266" i="59" s="1"/>
  <c r="Z266" i="59" s="1"/>
  <c r="AA266" i="59" s="1"/>
  <c r="AB266" i="59" s="1"/>
  <c r="AC266" i="59" s="1"/>
  <c r="AD266" i="59" s="1"/>
  <c r="T265" i="59"/>
  <c r="U265" i="59" s="1"/>
  <c r="V265" i="59" s="1"/>
  <c r="W265" i="59" s="1"/>
  <c r="X265" i="59" s="1"/>
  <c r="Y265" i="59" s="1"/>
  <c r="Z265" i="59" s="1"/>
  <c r="AA265" i="59" s="1"/>
  <c r="AB265" i="59" s="1"/>
  <c r="AC265" i="59" s="1"/>
  <c r="AD265" i="59" s="1"/>
  <c r="T264" i="59"/>
  <c r="U264" i="59" s="1"/>
  <c r="V264" i="59" s="1"/>
  <c r="W264" i="59" s="1"/>
  <c r="X264" i="59" s="1"/>
  <c r="Y264" i="59" s="1"/>
  <c r="Z264" i="59" s="1"/>
  <c r="AA264" i="59" s="1"/>
  <c r="AB264" i="59" s="1"/>
  <c r="AC264" i="59" s="1"/>
  <c r="AD264" i="59" s="1"/>
  <c r="T263" i="59"/>
  <c r="U263" i="59" s="1"/>
  <c r="V263" i="59" s="1"/>
  <c r="W263" i="59" s="1"/>
  <c r="X263" i="59" s="1"/>
  <c r="Y263" i="59" s="1"/>
  <c r="Z263" i="59" s="1"/>
  <c r="AA263" i="59" s="1"/>
  <c r="AB263" i="59" s="1"/>
  <c r="AC263" i="59" s="1"/>
  <c r="AD263" i="59" s="1"/>
  <c r="T262" i="59"/>
  <c r="U262" i="59" s="1"/>
  <c r="V262" i="59" s="1"/>
  <c r="W262" i="59" s="1"/>
  <c r="X262" i="59" s="1"/>
  <c r="Y262" i="59" s="1"/>
  <c r="Z262" i="59" s="1"/>
  <c r="AA262" i="59" s="1"/>
  <c r="AB262" i="59" s="1"/>
  <c r="AC262" i="59" s="1"/>
  <c r="AD262" i="59" s="1"/>
  <c r="T261" i="59"/>
  <c r="U261" i="59" s="1"/>
  <c r="V261" i="59" s="1"/>
  <c r="W261" i="59" s="1"/>
  <c r="X261" i="59" s="1"/>
  <c r="Y261" i="59" s="1"/>
  <c r="Z261" i="59" s="1"/>
  <c r="AA261" i="59" s="1"/>
  <c r="AB261" i="59" s="1"/>
  <c r="AC261" i="59" s="1"/>
  <c r="AD261" i="59" s="1"/>
  <c r="T260" i="59"/>
  <c r="U260" i="59" s="1"/>
  <c r="V260" i="59" s="1"/>
  <c r="W260" i="59" s="1"/>
  <c r="X260" i="59" s="1"/>
  <c r="Y260" i="59" s="1"/>
  <c r="Z260" i="59" s="1"/>
  <c r="AA260" i="59" s="1"/>
  <c r="AB260" i="59" s="1"/>
  <c r="AC260" i="59" s="1"/>
  <c r="AD260" i="59" s="1"/>
  <c r="T259" i="59"/>
  <c r="U259" i="59" s="1"/>
  <c r="V259" i="59" s="1"/>
  <c r="W259" i="59" s="1"/>
  <c r="X259" i="59" s="1"/>
  <c r="Y259" i="59" s="1"/>
  <c r="Z259" i="59" s="1"/>
  <c r="AA259" i="59" s="1"/>
  <c r="AB259" i="59" s="1"/>
  <c r="AC259" i="59" s="1"/>
  <c r="AD259" i="59" s="1"/>
  <c r="T258" i="59"/>
  <c r="U258" i="59" s="1"/>
  <c r="V258" i="59" s="1"/>
  <c r="W258" i="59" s="1"/>
  <c r="X258" i="59" s="1"/>
  <c r="Y258" i="59" s="1"/>
  <c r="Z258" i="59" s="1"/>
  <c r="AA258" i="59" s="1"/>
  <c r="AB258" i="59" s="1"/>
  <c r="AC258" i="59" s="1"/>
  <c r="AD258" i="59" s="1"/>
  <c r="T257" i="59"/>
  <c r="U257" i="59" s="1"/>
  <c r="V257" i="59" s="1"/>
  <c r="W257" i="59" s="1"/>
  <c r="X257" i="59" s="1"/>
  <c r="Y257" i="59" s="1"/>
  <c r="Z257" i="59" s="1"/>
  <c r="AA257" i="59" s="1"/>
  <c r="AB257" i="59" s="1"/>
  <c r="AC257" i="59" s="1"/>
  <c r="AD257" i="59" s="1"/>
  <c r="T256" i="59"/>
  <c r="U256" i="59" s="1"/>
  <c r="V256" i="59" s="1"/>
  <c r="W256" i="59" s="1"/>
  <c r="X256" i="59" s="1"/>
  <c r="Y256" i="59" s="1"/>
  <c r="Z256" i="59" s="1"/>
  <c r="AA256" i="59" s="1"/>
  <c r="AB256" i="59" s="1"/>
  <c r="AC256" i="59" s="1"/>
  <c r="AD256" i="59" s="1"/>
  <c r="T255" i="59"/>
  <c r="U255" i="59" s="1"/>
  <c r="V255" i="59" s="1"/>
  <c r="W255" i="59" s="1"/>
  <c r="X255" i="59" s="1"/>
  <c r="Y255" i="59" s="1"/>
  <c r="Z255" i="59" s="1"/>
  <c r="AA255" i="59" s="1"/>
  <c r="AB255" i="59" s="1"/>
  <c r="AC255" i="59" s="1"/>
  <c r="AD255" i="59" s="1"/>
  <c r="T254" i="59"/>
  <c r="U254" i="59" s="1"/>
  <c r="V254" i="59" s="1"/>
  <c r="W254" i="59" s="1"/>
  <c r="X254" i="59" s="1"/>
  <c r="Y254" i="59" s="1"/>
  <c r="Z254" i="59" s="1"/>
  <c r="AA254" i="59" s="1"/>
  <c r="AB254" i="59" s="1"/>
  <c r="AC254" i="59" s="1"/>
  <c r="AD254" i="59" s="1"/>
  <c r="T253" i="59"/>
  <c r="U253" i="59" s="1"/>
  <c r="V253" i="59" s="1"/>
  <c r="W253" i="59" s="1"/>
  <c r="X253" i="59" s="1"/>
  <c r="Y253" i="59" s="1"/>
  <c r="Z253" i="59" s="1"/>
  <c r="AA253" i="59" s="1"/>
  <c r="AB253" i="59" s="1"/>
  <c r="AC253" i="59" s="1"/>
  <c r="AD253" i="59" s="1"/>
  <c r="T252" i="59"/>
  <c r="U252" i="59" s="1"/>
  <c r="V252" i="59" s="1"/>
  <c r="W252" i="59" s="1"/>
  <c r="X252" i="59" s="1"/>
  <c r="Y252" i="59" s="1"/>
  <c r="Z252" i="59" s="1"/>
  <c r="AA252" i="59" s="1"/>
  <c r="AB252" i="59" s="1"/>
  <c r="AC252" i="59" s="1"/>
  <c r="AD252" i="59" s="1"/>
  <c r="T251" i="59"/>
  <c r="U251" i="59" s="1"/>
  <c r="V251" i="59" s="1"/>
  <c r="W251" i="59" s="1"/>
  <c r="X251" i="59" s="1"/>
  <c r="Y251" i="59" s="1"/>
  <c r="Z251" i="59" s="1"/>
  <c r="AA251" i="59" s="1"/>
  <c r="AB251" i="59" s="1"/>
  <c r="AC251" i="59" s="1"/>
  <c r="AD251" i="59" s="1"/>
  <c r="R355" i="59"/>
  <c r="R354" i="59"/>
  <c r="R353" i="59"/>
  <c r="R348" i="59"/>
  <c r="R360" i="59"/>
  <c r="R359" i="59"/>
  <c r="R358" i="59"/>
  <c r="R357" i="59"/>
  <c r="R356" i="59"/>
  <c r="R352" i="59"/>
  <c r="R351" i="59"/>
  <c r="R350" i="59"/>
  <c r="R349" i="59"/>
  <c r="R19" i="59"/>
  <c r="S43" i="59"/>
  <c r="S42" i="59"/>
  <c r="S41" i="59"/>
  <c r="S40" i="59"/>
  <c r="T69" i="59"/>
  <c r="U69" i="59" s="1"/>
  <c r="V69" i="59" s="1"/>
  <c r="W69" i="59" s="1"/>
  <c r="X69" i="59" s="1"/>
  <c r="Y69" i="59" s="1"/>
  <c r="Z69" i="59" s="1"/>
  <c r="AA69" i="59" s="1"/>
  <c r="AB69" i="59" s="1"/>
  <c r="AC69" i="59" s="1"/>
  <c r="AD69" i="59" s="1"/>
  <c r="S218" i="59" l="1"/>
  <c r="T209" i="59"/>
  <c r="U209" i="59" s="1"/>
  <c r="V209" i="59" s="1"/>
  <c r="W209" i="59" s="1"/>
  <c r="X209" i="59" s="1"/>
  <c r="Y209" i="59" s="1"/>
  <c r="Z209" i="59" s="1"/>
  <c r="AA209" i="59" s="1"/>
  <c r="AB209" i="59" s="1"/>
  <c r="AC209" i="59" s="1"/>
  <c r="AD209" i="59" s="1"/>
  <c r="S222" i="59" l="1"/>
  <c r="S103" i="59"/>
  <c r="S116" i="59"/>
  <c r="S115" i="59"/>
  <c r="S113" i="59"/>
  <c r="H268" i="80"/>
  <c r="I268" i="80" s="1"/>
  <c r="J268" i="80" s="1"/>
  <c r="K268" i="80" s="1"/>
  <c r="L268" i="80" s="1"/>
  <c r="M268" i="80" s="1"/>
  <c r="N268" i="80" s="1"/>
  <c r="L17" i="13"/>
  <c r="J17" i="13"/>
  <c r="I17" i="13"/>
  <c r="H17" i="13"/>
  <c r="G17" i="13"/>
  <c r="E17" i="13"/>
  <c r="L81" i="13"/>
  <c r="L94" i="13" s="1"/>
  <c r="E95" i="13"/>
  <c r="J81" i="13" l="1"/>
  <c r="J94" i="13" s="1"/>
  <c r="G86" i="13"/>
  <c r="G85" i="13"/>
  <c r="G81" i="13"/>
  <c r="H281" i="80" l="1"/>
  <c r="I281" i="80" s="1"/>
  <c r="J281" i="80" s="1"/>
  <c r="K281" i="80" s="1"/>
  <c r="L281" i="80" s="1"/>
  <c r="M281" i="80" s="1"/>
  <c r="N281" i="80" s="1"/>
  <c r="D16" i="52"/>
  <c r="H280" i="80"/>
  <c r="I280" i="80" s="1"/>
  <c r="J280" i="80" s="1"/>
  <c r="K280" i="80" s="1"/>
  <c r="L280" i="80" s="1"/>
  <c r="M280" i="80" s="1"/>
  <c r="N280" i="80" s="1"/>
  <c r="H263" i="80"/>
  <c r="I263" i="80" s="1"/>
  <c r="J263" i="80" s="1"/>
  <c r="K263" i="80" s="1"/>
  <c r="L263" i="80" s="1"/>
  <c r="M263" i="80" s="1"/>
  <c r="N263" i="80" s="1"/>
  <c r="Y119" i="9" l="1"/>
  <c r="AS119" i="9" s="1"/>
  <c r="BM119" i="9" s="1"/>
  <c r="CG119" i="9" s="1"/>
  <c r="H81" i="13"/>
  <c r="H94" i="13" s="1"/>
  <c r="I81" i="13"/>
  <c r="H48" i="13"/>
  <c r="I94" i="13" l="1"/>
  <c r="C78" i="13"/>
  <c r="C77" i="13"/>
  <c r="C43" i="13"/>
  <c r="C42" i="13"/>
  <c r="I48" i="13"/>
  <c r="C48" i="13"/>
  <c r="C61" i="13"/>
  <c r="C60" i="13"/>
  <c r="C59" i="13"/>
  <c r="C58" i="13"/>
  <c r="C57" i="13"/>
  <c r="C56" i="13"/>
  <c r="C55" i="13"/>
  <c r="C54" i="13"/>
  <c r="C53" i="13"/>
  <c r="C52" i="13"/>
  <c r="C51" i="13"/>
  <c r="C50" i="13"/>
  <c r="C49" i="13"/>
  <c r="C47" i="13"/>
  <c r="C46" i="13"/>
  <c r="C40" i="13"/>
  <c r="C39" i="13"/>
  <c r="C38" i="13"/>
  <c r="C37" i="13"/>
  <c r="C36" i="13"/>
  <c r="C35" i="13"/>
  <c r="C34" i="13"/>
  <c r="C33" i="13"/>
  <c r="C32" i="13"/>
  <c r="C31" i="13"/>
  <c r="C30" i="13"/>
  <c r="C29" i="13"/>
  <c r="C28" i="13"/>
  <c r="C27" i="13"/>
  <c r="C26" i="13"/>
  <c r="C65" i="13"/>
  <c r="L64" i="13"/>
  <c r="K64" i="13"/>
  <c r="J64" i="13"/>
  <c r="G64" i="13"/>
  <c r="G65" i="13" s="1"/>
  <c r="H63" i="13" l="1"/>
  <c r="H42" i="13"/>
  <c r="G42" i="13"/>
  <c r="J42" i="13"/>
  <c r="I42" i="13"/>
  <c r="L42" i="13"/>
  <c r="I63" i="13"/>
  <c r="B1569" i="79" l="1"/>
  <c r="I189" i="80"/>
  <c r="B3367" i="79" l="1"/>
  <c r="B3366" i="79"/>
  <c r="B3365" i="79"/>
  <c r="B3336" i="79"/>
  <c r="B3335" i="79"/>
  <c r="B3334" i="79"/>
  <c r="B3305" i="79"/>
  <c r="B3304" i="79"/>
  <c r="B3303" i="79"/>
  <c r="B3274" i="79"/>
  <c r="B3273" i="79"/>
  <c r="B3272" i="79"/>
  <c r="B3243" i="79"/>
  <c r="B3242" i="79"/>
  <c r="B3241" i="79"/>
  <c r="B3386" i="79"/>
  <c r="B3385" i="79"/>
  <c r="B3384" i="79"/>
  <c r="B3383" i="79"/>
  <c r="B3382" i="79"/>
  <c r="B3381" i="79"/>
  <c r="B2996" i="79"/>
  <c r="B2999" i="79"/>
  <c r="B2998" i="79"/>
  <c r="B3002" i="79"/>
  <c r="B3001" i="79"/>
  <c r="B3000" i="79"/>
  <c r="B2979" i="79"/>
  <c r="B2978" i="79"/>
  <c r="B2977" i="79"/>
  <c r="B2944" i="79"/>
  <c r="B2943" i="79"/>
  <c r="B2942" i="79"/>
  <c r="B2909" i="79"/>
  <c r="B2908" i="79"/>
  <c r="B2907" i="79"/>
  <c r="B2874" i="79"/>
  <c r="B2873" i="79"/>
  <c r="B2872" i="79"/>
  <c r="B2839" i="79"/>
  <c r="B2838" i="79"/>
  <c r="B2837" i="79"/>
  <c r="B334" i="80"/>
  <c r="B333" i="80"/>
  <c r="B332" i="80"/>
  <c r="B308" i="80"/>
  <c r="B307" i="80"/>
  <c r="B306" i="80"/>
  <c r="H11" i="80" l="1"/>
  <c r="I11" i="80" s="1"/>
  <c r="J11" i="80" s="1"/>
  <c r="K11" i="80" s="1"/>
  <c r="L11" i="80" s="1"/>
  <c r="M11" i="80" s="1"/>
  <c r="N11" i="80" s="1"/>
  <c r="B2801" i="79" l="1"/>
  <c r="B2800" i="79"/>
  <c r="B2799" i="79"/>
  <c r="B2798" i="79"/>
  <c r="B2796" i="79"/>
  <c r="B2795" i="79"/>
  <c r="B2659" i="79"/>
  <c r="B2658" i="79"/>
  <c r="B2660" i="79"/>
  <c r="B2657" i="79"/>
  <c r="B2656" i="79"/>
  <c r="B2655" i="79"/>
  <c r="B2654" i="79"/>
  <c r="B2653" i="79"/>
  <c r="B2652" i="79"/>
  <c r="B3008" i="79"/>
  <c r="B3007" i="79"/>
  <c r="B3201" i="79"/>
  <c r="B3200" i="79"/>
  <c r="B3195" i="79"/>
  <c r="B3193" i="79"/>
  <c r="B3192" i="79"/>
  <c r="B3191" i="79"/>
  <c r="B3204" i="79"/>
  <c r="B3203" i="79"/>
  <c r="B3202" i="79"/>
  <c r="B3199" i="79"/>
  <c r="B3198" i="79"/>
  <c r="B3197" i="79"/>
  <c r="B3196" i="79"/>
  <c r="B3010" i="79"/>
  <c r="B3009" i="79"/>
  <c r="B3006" i="79"/>
  <c r="B3011" i="79"/>
  <c r="B3005" i="79"/>
  <c r="B3004" i="79"/>
  <c r="B3003" i="79"/>
  <c r="B2997" i="79"/>
  <c r="B2995" i="79"/>
  <c r="H57" i="80"/>
  <c r="I57" i="80" s="1"/>
  <c r="J57" i="80" s="1"/>
  <c r="K57" i="80" s="1"/>
  <c r="L57" i="80" s="1"/>
  <c r="M57" i="80" s="1"/>
  <c r="N57" i="80" s="1"/>
  <c r="B315" i="80"/>
  <c r="B298" i="80"/>
  <c r="H264" i="80"/>
  <c r="I264" i="80" s="1"/>
  <c r="J264" i="80" s="1"/>
  <c r="K264" i="80" s="1"/>
  <c r="L264" i="80" s="1"/>
  <c r="M264" i="80" s="1"/>
  <c r="N264" i="80" s="1"/>
  <c r="B49" i="80"/>
  <c r="B48" i="80"/>
  <c r="B3554" i="79"/>
  <c r="B3553" i="79"/>
  <c r="B3552" i="79"/>
  <c r="B3551" i="79"/>
  <c r="H56" i="80"/>
  <c r="I56" i="80" s="1"/>
  <c r="J56" i="80" s="1"/>
  <c r="K56" i="80" s="1"/>
  <c r="L56" i="80" s="1"/>
  <c r="M56" i="80" s="1"/>
  <c r="N56" i="80" s="1"/>
  <c r="B342" i="80"/>
  <c r="B57" i="80"/>
  <c r="B56" i="80"/>
  <c r="B3560" i="79"/>
  <c r="B3559" i="79"/>
  <c r="B3558" i="79"/>
  <c r="B3557" i="79"/>
  <c r="B3556" i="79"/>
  <c r="B3555" i="79"/>
  <c r="B3387" i="79"/>
  <c r="B3389" i="79"/>
  <c r="B3380" i="79"/>
  <c r="B3388" i="79"/>
  <c r="B330" i="80"/>
  <c r="AL266" i="52" l="1"/>
  <c r="AK265" i="52"/>
  <c r="AI263" i="52"/>
  <c r="AG260" i="52"/>
  <c r="AJ260" i="52"/>
  <c r="AK266" i="52"/>
  <c r="AJ265" i="52"/>
  <c r="AI264" i="52"/>
  <c r="AH263" i="52"/>
  <c r="AG262" i="52"/>
  <c r="AF260" i="52"/>
  <c r="AL258" i="52"/>
  <c r="AK257" i="52"/>
  <c r="AJ256" i="52"/>
  <c r="AH257" i="52"/>
  <c r="AK262" i="52"/>
  <c r="AJ266" i="52"/>
  <c r="AI265" i="52"/>
  <c r="AH264" i="52"/>
  <c r="AG263" i="52"/>
  <c r="AF262" i="52"/>
  <c r="AL259" i="52"/>
  <c r="AK258" i="52"/>
  <c r="AJ257" i="52"/>
  <c r="AI256" i="52"/>
  <c r="AI266" i="52"/>
  <c r="AH265" i="52"/>
  <c r="AG264" i="52"/>
  <c r="AF263" i="52"/>
  <c r="AL260" i="52"/>
  <c r="AJ258" i="52"/>
  <c r="AI257" i="52"/>
  <c r="AH256" i="52"/>
  <c r="AG265" i="52"/>
  <c r="AF264" i="52"/>
  <c r="AL262" i="52"/>
  <c r="AK260" i="52"/>
  <c r="AJ259" i="52"/>
  <c r="AI258" i="52"/>
  <c r="AG256" i="52"/>
  <c r="AL263" i="52"/>
  <c r="AI259" i="52"/>
  <c r="AG257" i="52"/>
  <c r="AF256" i="52"/>
  <c r="AK259" i="52"/>
  <c r="AH266" i="52"/>
  <c r="AG266" i="52"/>
  <c r="AF266" i="52"/>
  <c r="AL264" i="52"/>
  <c r="AK263" i="52"/>
  <c r="AJ262" i="52"/>
  <c r="AI260" i="52"/>
  <c r="AH259" i="52"/>
  <c r="AG258" i="52"/>
  <c r="AF257" i="52"/>
  <c r="AL265" i="52"/>
  <c r="AK264" i="52"/>
  <c r="AJ263" i="52"/>
  <c r="AI262" i="52"/>
  <c r="AH260" i="52"/>
  <c r="AG259" i="52"/>
  <c r="AF258" i="52"/>
  <c r="AL256" i="52"/>
  <c r="AJ264" i="52"/>
  <c r="AH262" i="52"/>
  <c r="AF259" i="52"/>
  <c r="AL257" i="52"/>
  <c r="AK256" i="52"/>
  <c r="AF265" i="52"/>
  <c r="AH258" i="52"/>
  <c r="I185" i="80"/>
  <c r="D291" i="52"/>
  <c r="D290" i="52"/>
  <c r="D114" i="52"/>
  <c r="D113" i="52"/>
  <c r="D92" i="52"/>
  <c r="D91" i="52"/>
  <c r="D70" i="52"/>
  <c r="D69" i="52"/>
  <c r="D48" i="52"/>
  <c r="D47" i="52"/>
  <c r="D26" i="52"/>
  <c r="D25" i="52"/>
  <c r="B3528" i="79"/>
  <c r="B3527" i="79"/>
  <c r="B3500" i="79"/>
  <c r="B3499" i="79"/>
  <c r="B3472" i="79"/>
  <c r="B3471" i="79"/>
  <c r="B3444" i="79"/>
  <c r="B3443" i="79"/>
  <c r="B3417" i="79"/>
  <c r="B3416" i="79"/>
  <c r="B3415" i="79"/>
  <c r="B3566" i="79"/>
  <c r="B3565" i="79"/>
  <c r="B3563" i="79"/>
  <c r="B3549" i="79"/>
  <c r="B3545" i="79"/>
  <c r="B3541" i="79"/>
  <c r="B3538" i="79"/>
  <c r="B3535" i="79"/>
  <c r="B3534" i="79"/>
  <c r="C3520" i="79"/>
  <c r="C3546" i="79" s="1"/>
  <c r="B3546" i="79" s="1"/>
  <c r="B3517" i="79"/>
  <c r="B3513" i="79"/>
  <c r="B3510" i="79"/>
  <c r="B3507" i="79"/>
  <c r="B3506" i="79"/>
  <c r="C3492" i="79"/>
  <c r="C3518" i="79" s="1"/>
  <c r="B3518" i="79" s="1"/>
  <c r="B3489" i="79"/>
  <c r="B3485" i="79"/>
  <c r="B3482" i="79"/>
  <c r="B3479" i="79"/>
  <c r="B3478" i="79"/>
  <c r="C3464" i="79"/>
  <c r="C3490" i="79" s="1"/>
  <c r="B3490" i="79" s="1"/>
  <c r="B3461" i="79"/>
  <c r="B3457" i="79"/>
  <c r="B3454" i="79"/>
  <c r="B3451" i="79"/>
  <c r="B3450" i="79"/>
  <c r="C3436" i="79"/>
  <c r="C3462" i="79" s="1"/>
  <c r="B3462" i="79" s="1"/>
  <c r="C3434" i="79"/>
  <c r="B3434" i="79" s="1"/>
  <c r="B3433" i="79"/>
  <c r="C3432" i="79"/>
  <c r="B3432" i="79" s="1"/>
  <c r="C3430" i="79"/>
  <c r="B3430" i="79" s="1"/>
  <c r="B3429" i="79"/>
  <c r="C3428" i="79"/>
  <c r="B3428" i="79" s="1"/>
  <c r="B3426" i="79"/>
  <c r="C3425" i="79"/>
  <c r="B3425" i="79" s="1"/>
  <c r="B3423" i="79"/>
  <c r="B3422" i="79"/>
  <c r="C3421" i="79"/>
  <c r="B3421" i="79" s="1"/>
  <c r="C3412" i="79"/>
  <c r="B3412" i="79" s="1"/>
  <c r="C3411" i="79"/>
  <c r="B3411" i="79" s="1"/>
  <c r="C3410" i="79"/>
  <c r="B3410" i="79" s="1"/>
  <c r="C3409" i="79"/>
  <c r="B3409" i="79" s="1"/>
  <c r="B3406" i="79"/>
  <c r="B3405" i="79"/>
  <c r="B3404" i="79"/>
  <c r="B3403" i="79"/>
  <c r="B3402" i="79"/>
  <c r="C3401" i="79"/>
  <c r="B3165" i="79"/>
  <c r="B3164" i="79"/>
  <c r="B3133" i="79"/>
  <c r="B3132" i="79"/>
  <c r="B3101" i="79"/>
  <c r="B3100" i="79"/>
  <c r="B3069" i="79"/>
  <c r="B3068" i="79"/>
  <c r="B3036" i="79"/>
  <c r="B3038" i="79"/>
  <c r="B3037" i="79"/>
  <c r="B3211" i="79"/>
  <c r="B3210" i="79"/>
  <c r="B3208" i="79"/>
  <c r="C3207" i="79"/>
  <c r="B3205" i="79"/>
  <c r="B3189" i="79"/>
  <c r="C3188" i="79"/>
  <c r="B3186" i="79"/>
  <c r="B3185" i="79"/>
  <c r="B3183" i="79"/>
  <c r="B3182" i="79"/>
  <c r="B3181" i="79"/>
  <c r="B3177" i="79"/>
  <c r="B3174" i="79"/>
  <c r="B3172" i="79"/>
  <c r="B3171" i="79"/>
  <c r="C3156" i="79"/>
  <c r="B3154" i="79"/>
  <c r="B3153" i="79"/>
  <c r="B3151" i="79"/>
  <c r="B3150" i="79"/>
  <c r="B3149" i="79"/>
  <c r="B3145" i="79"/>
  <c r="B3142" i="79"/>
  <c r="B3140" i="79"/>
  <c r="B3139" i="79"/>
  <c r="C3124" i="79"/>
  <c r="B3121" i="79"/>
  <c r="B3119" i="79"/>
  <c r="B3118" i="79"/>
  <c r="B3117" i="79"/>
  <c r="B3113" i="79"/>
  <c r="B3110" i="79"/>
  <c r="B3108" i="79"/>
  <c r="B3107" i="79"/>
  <c r="C3092" i="79"/>
  <c r="B3089" i="79"/>
  <c r="B3087" i="79"/>
  <c r="B3086" i="79"/>
  <c r="B3085" i="79"/>
  <c r="B3081" i="79"/>
  <c r="B3078" i="79"/>
  <c r="B3076" i="79"/>
  <c r="B3075" i="79"/>
  <c r="C3060" i="79"/>
  <c r="B3058" i="79"/>
  <c r="B3057" i="79"/>
  <c r="B3056" i="79"/>
  <c r="B3055" i="79"/>
  <c r="B3054" i="79"/>
  <c r="B3053" i="79"/>
  <c r="C3052" i="79"/>
  <c r="B3052" i="79" s="1"/>
  <c r="B3050" i="79"/>
  <c r="B3049" i="79"/>
  <c r="B3046" i="79"/>
  <c r="B3044" i="79"/>
  <c r="B3043" i="79"/>
  <c r="C3028" i="79"/>
  <c r="B3026" i="79"/>
  <c r="B3025" i="79"/>
  <c r="B3024" i="79"/>
  <c r="B3023" i="79"/>
  <c r="B3022" i="79"/>
  <c r="C3021" i="79"/>
  <c r="I42" i="80"/>
  <c r="J42" i="80" s="1"/>
  <c r="K42" i="80" s="1"/>
  <c r="L42" i="80" s="1"/>
  <c r="M42" i="80" s="1"/>
  <c r="N42" i="80" s="1"/>
  <c r="B42" i="80"/>
  <c r="I43" i="80"/>
  <c r="J43" i="80" s="1"/>
  <c r="K43" i="80" s="1"/>
  <c r="L43" i="80" s="1"/>
  <c r="M43" i="80" s="1"/>
  <c r="N43" i="80" s="1"/>
  <c r="B43" i="80"/>
  <c r="B320" i="80"/>
  <c r="B319" i="80"/>
  <c r="B324" i="80"/>
  <c r="B323" i="80"/>
  <c r="B322" i="80"/>
  <c r="B321" i="80"/>
  <c r="D318" i="80"/>
  <c r="B316" i="80"/>
  <c r="B314" i="80"/>
  <c r="B313" i="80"/>
  <c r="B312" i="80"/>
  <c r="N311" i="80"/>
  <c r="M311" i="80"/>
  <c r="L311" i="80"/>
  <c r="K311" i="80"/>
  <c r="J311" i="80"/>
  <c r="I311" i="80"/>
  <c r="H311" i="80"/>
  <c r="D311" i="80"/>
  <c r="B344" i="80"/>
  <c r="B345" i="80"/>
  <c r="G447" i="59" l="1"/>
  <c r="B346" i="80"/>
  <c r="B343" i="80"/>
  <c r="B341" i="80"/>
  <c r="B340" i="80"/>
  <c r="B339" i="80"/>
  <c r="N338" i="80"/>
  <c r="M338" i="80"/>
  <c r="L338" i="80"/>
  <c r="K338" i="80"/>
  <c r="J338" i="80"/>
  <c r="I338" i="80"/>
  <c r="H338" i="80"/>
  <c r="D338" i="80"/>
  <c r="G448" i="59" l="1"/>
  <c r="B3373" i="79" l="1"/>
  <c r="B3363" i="79"/>
  <c r="B3359" i="79"/>
  <c r="B3356" i="79"/>
  <c r="B3353" i="79"/>
  <c r="B3352" i="79"/>
  <c r="B3342" i="79"/>
  <c r="B3332" i="79"/>
  <c r="B3328" i="79"/>
  <c r="B3325" i="79"/>
  <c r="B3322" i="79"/>
  <c r="B3321" i="79"/>
  <c r="B3311" i="79"/>
  <c r="B3301" i="79"/>
  <c r="B3297" i="79"/>
  <c r="B3294" i="79"/>
  <c r="B3291" i="79"/>
  <c r="B3290" i="79"/>
  <c r="B3280" i="79"/>
  <c r="B3270" i="79"/>
  <c r="B3266" i="79"/>
  <c r="B3263" i="79"/>
  <c r="B3260" i="79"/>
  <c r="B3259" i="79"/>
  <c r="B3246" i="79"/>
  <c r="B3245" i="79"/>
  <c r="B3244" i="79"/>
  <c r="B3240" i="79"/>
  <c r="B3239" i="79"/>
  <c r="B335" i="80"/>
  <c r="B2989" i="79"/>
  <c r="B2987" i="79"/>
  <c r="B2986" i="79"/>
  <c r="B2985" i="79"/>
  <c r="B2975" i="79"/>
  <c r="B2971" i="79"/>
  <c r="B2968" i="79"/>
  <c r="B2966" i="79"/>
  <c r="B2965" i="79"/>
  <c r="B2954" i="79"/>
  <c r="B2952" i="79"/>
  <c r="B2951" i="79"/>
  <c r="B2950" i="79"/>
  <c r="B2940" i="79"/>
  <c r="B2936" i="79"/>
  <c r="B2933" i="79"/>
  <c r="B2931" i="79"/>
  <c r="B2930" i="79"/>
  <c r="B2919" i="79"/>
  <c r="B2917" i="79"/>
  <c r="B2916" i="79"/>
  <c r="B2915" i="79"/>
  <c r="B2905" i="79"/>
  <c r="B2901" i="79"/>
  <c r="B2898" i="79"/>
  <c r="B2896" i="79"/>
  <c r="B2895" i="79"/>
  <c r="B2884" i="79"/>
  <c r="B2882" i="79"/>
  <c r="B2881" i="79"/>
  <c r="B2880" i="79"/>
  <c r="B2870" i="79"/>
  <c r="B2866" i="79"/>
  <c r="B2863" i="79"/>
  <c r="B2861" i="79"/>
  <c r="B2860" i="79"/>
  <c r="B2836" i="79"/>
  <c r="B2840" i="79"/>
  <c r="B2841" i="79"/>
  <c r="B2842" i="79"/>
  <c r="B2835" i="79"/>
  <c r="B2846" i="79"/>
  <c r="B2845" i="79"/>
  <c r="C2844" i="79"/>
  <c r="B2844" i="79" s="1"/>
  <c r="B304" i="80"/>
  <c r="B303" i="80"/>
  <c r="B305" i="80"/>
  <c r="B2646" i="79"/>
  <c r="C2645" i="79"/>
  <c r="B2645" i="79" s="1"/>
  <c r="B2644" i="79"/>
  <c r="B2643" i="79"/>
  <c r="B2642" i="79"/>
  <c r="C2641" i="79"/>
  <c r="B2641" i="79" s="1"/>
  <c r="C2639" i="79"/>
  <c r="B2639" i="79" s="1"/>
  <c r="B2638" i="79"/>
  <c r="B2637" i="79"/>
  <c r="C2621" i="79"/>
  <c r="B2621" i="79" s="1"/>
  <c r="B2622" i="79"/>
  <c r="B2620" i="79"/>
  <c r="B2619" i="79"/>
  <c r="B2618" i="79"/>
  <c r="C2617" i="79"/>
  <c r="B2617" i="79" s="1"/>
  <c r="C2615" i="79"/>
  <c r="B2615" i="79" s="1"/>
  <c r="B2614" i="79"/>
  <c r="B2613" i="79"/>
  <c r="C2591" i="79"/>
  <c r="B2591" i="79" s="1"/>
  <c r="C2593" i="79"/>
  <c r="B2593" i="79" s="1"/>
  <c r="B2598" i="79"/>
  <c r="B2596" i="79"/>
  <c r="B2595" i="79"/>
  <c r="B2594" i="79"/>
  <c r="B2590" i="79"/>
  <c r="B2589" i="79"/>
  <c r="B2574" i="79"/>
  <c r="B2572" i="79"/>
  <c r="B2571" i="79"/>
  <c r="B2570" i="79"/>
  <c r="B2566" i="79"/>
  <c r="B2565" i="79"/>
  <c r="C2543" i="79"/>
  <c r="B2543" i="79" s="1"/>
  <c r="B2541" i="79"/>
  <c r="B2542" i="79"/>
  <c r="B2546" i="79"/>
  <c r="B2547" i="79"/>
  <c r="B2548" i="79"/>
  <c r="B2549" i="79"/>
  <c r="C2535" i="79"/>
  <c r="B355" i="80"/>
  <c r="B358" i="80"/>
  <c r="B2779" i="79"/>
  <c r="B2778" i="79"/>
  <c r="B2756" i="79"/>
  <c r="B2755" i="79"/>
  <c r="B2733" i="79"/>
  <c r="B2732" i="79"/>
  <c r="B2710" i="79"/>
  <c r="B2709" i="79"/>
  <c r="B543" i="79" l="1"/>
  <c r="B560" i="79"/>
  <c r="B532" i="79"/>
  <c r="B520" i="79" l="1"/>
  <c r="B453" i="79"/>
  <c r="B386" i="79"/>
  <c r="B498" i="79"/>
  <c r="B431" i="79"/>
  <c r="B364" i="79"/>
  <c r="B476" i="79"/>
  <c r="B409" i="79"/>
  <c r="B342" i="79"/>
  <c r="B151" i="80"/>
  <c r="B152" i="80"/>
  <c r="B144" i="80"/>
  <c r="B137" i="80"/>
  <c r="H12" i="80"/>
  <c r="I12" i="80" s="1"/>
  <c r="J12" i="80" s="1"/>
  <c r="K12" i="80" s="1"/>
  <c r="L12" i="80" s="1"/>
  <c r="M12" i="80" s="1"/>
  <c r="N12" i="80" s="1"/>
  <c r="B11" i="80"/>
  <c r="H10" i="80"/>
  <c r="I10" i="80" s="1"/>
  <c r="J10" i="80" s="1"/>
  <c r="K10" i="80" s="1"/>
  <c r="L10" i="80" s="1"/>
  <c r="M10" i="80" s="1"/>
  <c r="N10" i="80" s="1"/>
  <c r="B8" i="80"/>
  <c r="B7" i="80"/>
  <c r="B9" i="80"/>
  <c r="B119" i="80"/>
  <c r="B120" i="80"/>
  <c r="B574" i="79"/>
  <c r="B573" i="79"/>
  <c r="B572" i="79"/>
  <c r="B571" i="79"/>
  <c r="B550" i="79"/>
  <c r="B549" i="79"/>
  <c r="B548" i="79"/>
  <c r="B547" i="79"/>
  <c r="B524" i="79"/>
  <c r="B523" i="79"/>
  <c r="B502" i="79"/>
  <c r="B501" i="79"/>
  <c r="B480" i="79"/>
  <c r="B479" i="79"/>
  <c r="B457" i="79"/>
  <c r="B456" i="79"/>
  <c r="B435" i="79"/>
  <c r="B434" i="79"/>
  <c r="B413" i="79"/>
  <c r="B412" i="79"/>
  <c r="B390" i="79"/>
  <c r="B389" i="79"/>
  <c r="B368" i="79"/>
  <c r="B367" i="79"/>
  <c r="B346" i="79"/>
  <c r="B345" i="79"/>
  <c r="B323" i="79"/>
  <c r="B322" i="79"/>
  <c r="B301" i="79"/>
  <c r="B300" i="79"/>
  <c r="B279" i="79"/>
  <c r="B278" i="79"/>
  <c r="B256" i="79"/>
  <c r="B255" i="79"/>
  <c r="B234" i="79"/>
  <c r="B233" i="79"/>
  <c r="B212" i="79"/>
  <c r="B211" i="79"/>
  <c r="B2032" i="79"/>
  <c r="B2031" i="79"/>
  <c r="B2030" i="79"/>
  <c r="B2024" i="79"/>
  <c r="B2023" i="79"/>
  <c r="B2022" i="79"/>
  <c r="B2013" i="79"/>
  <c r="B2012" i="79"/>
  <c r="B1993" i="79"/>
  <c r="B1992" i="79"/>
  <c r="B1973" i="79"/>
  <c r="B1972" i="79"/>
  <c r="B1953" i="79"/>
  <c r="B1952" i="79"/>
  <c r="B1933" i="79"/>
  <c r="B1932" i="79"/>
  <c r="C1931" i="79"/>
  <c r="B1931" i="79" s="1"/>
  <c r="B2330" i="79"/>
  <c r="B2329" i="79"/>
  <c r="B2328" i="79"/>
  <c r="B2316" i="79"/>
  <c r="B2315" i="79"/>
  <c r="B2317" i="79"/>
  <c r="B2297" i="79"/>
  <c r="B2296" i="79"/>
  <c r="C2295" i="79"/>
  <c r="B2295" i="79" s="1"/>
  <c r="B2272" i="79"/>
  <c r="B2271" i="79"/>
  <c r="C2270" i="79"/>
  <c r="B2270" i="79" s="1"/>
  <c r="B2247" i="79"/>
  <c r="B2246" i="79"/>
  <c r="C2245" i="79"/>
  <c r="B2245" i="79" s="1"/>
  <c r="B2222" i="79"/>
  <c r="B2221" i="79"/>
  <c r="B2196" i="79"/>
  <c r="B115" i="80"/>
  <c r="B114" i="80"/>
  <c r="B113" i="80"/>
  <c r="I372" i="80"/>
  <c r="J372" i="80" s="1"/>
  <c r="K372" i="80" s="1"/>
  <c r="L372" i="80" s="1"/>
  <c r="M372" i="80" s="1"/>
  <c r="N372" i="80" s="1"/>
  <c r="I370" i="80"/>
  <c r="J370" i="80" s="1"/>
  <c r="K370" i="80" s="1"/>
  <c r="L370" i="80" s="1"/>
  <c r="M370" i="80" s="1"/>
  <c r="N370" i="80" s="1"/>
  <c r="I369" i="80"/>
  <c r="J369" i="80" s="1"/>
  <c r="K369" i="80" s="1"/>
  <c r="L369" i="80" s="1"/>
  <c r="M369" i="80" s="1"/>
  <c r="N369" i="80" s="1"/>
  <c r="I366" i="80"/>
  <c r="J366" i="80" s="1"/>
  <c r="K366" i="80" s="1"/>
  <c r="L366" i="80" s="1"/>
  <c r="M366" i="80" s="1"/>
  <c r="N366" i="80" s="1"/>
  <c r="I365" i="80"/>
  <c r="J365" i="80" s="1"/>
  <c r="K365" i="80" s="1"/>
  <c r="L365" i="80" s="1"/>
  <c r="M365" i="80" s="1"/>
  <c r="N365" i="80" s="1"/>
  <c r="I364" i="80"/>
  <c r="J364" i="80" s="1"/>
  <c r="K364" i="80" s="1"/>
  <c r="L364" i="80" s="1"/>
  <c r="M364" i="80" s="1"/>
  <c r="N364" i="80" s="1"/>
  <c r="I362" i="80"/>
  <c r="J362" i="80" s="1"/>
  <c r="K362" i="80" s="1"/>
  <c r="L362" i="80" s="1"/>
  <c r="M362" i="80" s="1"/>
  <c r="N362" i="80" s="1"/>
  <c r="I361" i="80"/>
  <c r="J361" i="80" s="1"/>
  <c r="K361" i="80" s="1"/>
  <c r="L361" i="80" s="1"/>
  <c r="M361" i="80" s="1"/>
  <c r="N361" i="80" s="1"/>
  <c r="AL33" i="9" l="1"/>
  <c r="AK33" i="9"/>
  <c r="AJ33" i="9"/>
  <c r="AI33" i="9"/>
  <c r="AH33" i="9"/>
  <c r="AG33" i="9"/>
  <c r="AF33" i="9"/>
  <c r="AE33" i="9"/>
  <c r="AD33" i="9"/>
  <c r="AC33" i="9"/>
  <c r="AB33" i="9"/>
  <c r="AA33" i="9"/>
  <c r="R33" i="9"/>
  <c r="Q33" i="9"/>
  <c r="P33" i="9"/>
  <c r="O33" i="9"/>
  <c r="N33" i="9"/>
  <c r="M33" i="9"/>
  <c r="L33" i="9"/>
  <c r="K33" i="9"/>
  <c r="J33" i="9"/>
  <c r="I33" i="9"/>
  <c r="H33" i="9"/>
  <c r="G33" i="9"/>
  <c r="BZ33" i="9"/>
  <c r="BY33" i="9"/>
  <c r="BX33" i="9"/>
  <c r="BW33" i="9"/>
  <c r="BV33" i="9"/>
  <c r="BU33" i="9"/>
  <c r="BT33" i="9"/>
  <c r="BS33" i="9"/>
  <c r="BR33" i="9"/>
  <c r="BQ33" i="9"/>
  <c r="BP33" i="9"/>
  <c r="BO33" i="9"/>
  <c r="BF33" i="9"/>
  <c r="BE33" i="9"/>
  <c r="BD33" i="9"/>
  <c r="BC33" i="9"/>
  <c r="BB33" i="9"/>
  <c r="BA33" i="9"/>
  <c r="AZ33" i="9"/>
  <c r="AY33" i="9"/>
  <c r="AX33" i="9"/>
  <c r="AW33" i="9"/>
  <c r="AV33" i="9"/>
  <c r="AU33" i="9"/>
  <c r="I24" i="37" l="1"/>
  <c r="B58" i="80" l="1"/>
  <c r="B59" i="80"/>
  <c r="I40" i="80" l="1"/>
  <c r="J40" i="80" s="1"/>
  <c r="K40" i="80" s="1"/>
  <c r="L40" i="80" s="1"/>
  <c r="M40" i="80" s="1"/>
  <c r="N40" i="80" s="1"/>
  <c r="B40" i="80"/>
  <c r="B41" i="80"/>
  <c r="I41" i="80" l="1"/>
  <c r="J41" i="80" s="1"/>
  <c r="K41" i="80" s="1"/>
  <c r="L41" i="80" s="1"/>
  <c r="M41" i="80" s="1"/>
  <c r="N41" i="80" s="1"/>
  <c r="D15" i="62"/>
  <c r="E15" i="62" s="1"/>
  <c r="F15" i="62" s="1"/>
  <c r="G15" i="62" s="1"/>
  <c r="F252" i="37"/>
  <c r="F251" i="37"/>
  <c r="A511" i="54"/>
  <c r="H511" i="54" s="1" a="1"/>
  <c r="H511" i="54" s="1"/>
  <c r="H510" i="54" a="1"/>
  <c r="H510" i="54" s="1"/>
  <c r="A512" i="54" l="1"/>
  <c r="L623" i="59"/>
  <c r="L624" i="59" s="1"/>
  <c r="L625" i="59" s="1"/>
  <c r="L626" i="59" s="1"/>
  <c r="L627" i="59" s="1"/>
  <c r="L628" i="59" s="1"/>
  <c r="L629" i="59" s="1"/>
  <c r="L630" i="59" s="1"/>
  <c r="L631" i="59" s="1"/>
  <c r="L632" i="59" s="1"/>
  <c r="L633" i="59" s="1"/>
  <c r="L634" i="59" s="1"/>
  <c r="L635" i="59" s="1"/>
  <c r="L636" i="59" s="1"/>
  <c r="L637" i="59" s="1"/>
  <c r="L638" i="59" s="1"/>
  <c r="L639" i="59" s="1"/>
  <c r="L640" i="59" s="1"/>
  <c r="L641" i="59" s="1"/>
  <c r="H512" i="54" l="1" a="1"/>
  <c r="H512" i="54" s="1"/>
  <c r="A513" i="54"/>
  <c r="L581" i="59"/>
  <c r="L582" i="59" s="1"/>
  <c r="L583" i="59" s="1"/>
  <c r="L584" i="59" s="1"/>
  <c r="L585" i="59" s="1"/>
  <c r="L586" i="59" s="1"/>
  <c r="L587" i="59" s="1"/>
  <c r="L588" i="59" s="1"/>
  <c r="L589" i="59" s="1"/>
  <c r="L590" i="59" s="1"/>
  <c r="L591" i="59" s="1"/>
  <c r="L592" i="59" s="1"/>
  <c r="L593" i="59" s="1"/>
  <c r="L594" i="59" s="1"/>
  <c r="L595" i="59" s="1"/>
  <c r="L596" i="59" s="1"/>
  <c r="L597" i="59" s="1"/>
  <c r="L598" i="59" s="1"/>
  <c r="L599" i="59" s="1"/>
  <c r="H513" i="54" l="1" a="1"/>
  <c r="H513" i="54" s="1"/>
  <c r="A514" i="54"/>
  <c r="N8" i="56"/>
  <c r="M8" i="56"/>
  <c r="L8" i="56"/>
  <c r="K8" i="56"/>
  <c r="J8" i="56"/>
  <c r="I8" i="56"/>
  <c r="I11" i="56" s="1"/>
  <c r="H8" i="56"/>
  <c r="H10" i="56" s="1"/>
  <c r="H11" i="56" s="1"/>
  <c r="N30" i="84"/>
  <c r="L30" i="84"/>
  <c r="J30" i="84"/>
  <c r="I30" i="84"/>
  <c r="H30" i="84"/>
  <c r="O23" i="84"/>
  <c r="P23" i="84" s="1"/>
  <c r="Q23" i="84" s="1"/>
  <c r="R23" i="84" s="1"/>
  <c r="S23" i="84" s="1"/>
  <c r="H514" i="54" l="1" a="1"/>
  <c r="H514" i="54" s="1"/>
  <c r="A515" i="54"/>
  <c r="O30" i="84"/>
  <c r="P30" i="84" s="1"/>
  <c r="Q30" i="84" s="1"/>
  <c r="R30" i="84" s="1"/>
  <c r="S30" i="84" s="1"/>
  <c r="M36" i="84"/>
  <c r="K36" i="84"/>
  <c r="I36" i="84"/>
  <c r="I10" i="56" s="1"/>
  <c r="C1" i="84" a="1"/>
  <c r="C1" i="84" s="1"/>
  <c r="N5" i="80"/>
  <c r="M5" i="80"/>
  <c r="L5" i="80"/>
  <c r="K5" i="80"/>
  <c r="J5" i="80"/>
  <c r="I5" i="80"/>
  <c r="H5" i="80"/>
  <c r="N348" i="80"/>
  <c r="M348" i="80"/>
  <c r="L348" i="80"/>
  <c r="K348" i="80"/>
  <c r="J348" i="80"/>
  <c r="I348" i="80"/>
  <c r="H348" i="80"/>
  <c r="N326" i="80"/>
  <c r="M326" i="80"/>
  <c r="L326" i="80"/>
  <c r="K326" i="80"/>
  <c r="J326" i="80"/>
  <c r="I326" i="80"/>
  <c r="H326" i="80"/>
  <c r="N294" i="80"/>
  <c r="M294" i="80"/>
  <c r="L294" i="80"/>
  <c r="K294" i="80"/>
  <c r="J294" i="80"/>
  <c r="I294" i="80"/>
  <c r="H294" i="80"/>
  <c r="N279" i="80"/>
  <c r="M279" i="80"/>
  <c r="L279" i="80"/>
  <c r="K279" i="80"/>
  <c r="J279" i="80"/>
  <c r="I279" i="80"/>
  <c r="H279" i="80"/>
  <c r="N267" i="80"/>
  <c r="M267" i="80"/>
  <c r="L267" i="80"/>
  <c r="K267" i="80"/>
  <c r="J267" i="80"/>
  <c r="I267" i="80"/>
  <c r="H267" i="80"/>
  <c r="N255" i="80"/>
  <c r="M255" i="80"/>
  <c r="L255" i="80"/>
  <c r="K255" i="80"/>
  <c r="J255" i="80"/>
  <c r="I255" i="80"/>
  <c r="H255" i="80"/>
  <c r="N203" i="80"/>
  <c r="M203" i="80"/>
  <c r="L203" i="80"/>
  <c r="K203" i="80"/>
  <c r="J203" i="80"/>
  <c r="I203" i="80"/>
  <c r="H203" i="80"/>
  <c r="N156" i="80"/>
  <c r="M156" i="80"/>
  <c r="L156" i="80"/>
  <c r="K156" i="80"/>
  <c r="J156" i="80"/>
  <c r="I156" i="80"/>
  <c r="H156" i="80"/>
  <c r="N166" i="80"/>
  <c r="M166" i="80"/>
  <c r="L166" i="80"/>
  <c r="K166" i="80"/>
  <c r="J166" i="80"/>
  <c r="I166" i="80"/>
  <c r="H166" i="80"/>
  <c r="N285" i="80"/>
  <c r="M285" i="80"/>
  <c r="L285" i="80"/>
  <c r="K285" i="80"/>
  <c r="J285" i="80"/>
  <c r="I285" i="80"/>
  <c r="H285" i="80"/>
  <c r="N63" i="80"/>
  <c r="M63" i="80"/>
  <c r="L63" i="80"/>
  <c r="K63" i="80"/>
  <c r="J63" i="80"/>
  <c r="I63" i="80"/>
  <c r="H63" i="80"/>
  <c r="N214" i="80"/>
  <c r="M214" i="80"/>
  <c r="L214" i="80"/>
  <c r="K214" i="80"/>
  <c r="J214" i="80"/>
  <c r="I214" i="80"/>
  <c r="H214" i="80"/>
  <c r="N185" i="80"/>
  <c r="M185" i="80"/>
  <c r="L185" i="80"/>
  <c r="K185" i="80"/>
  <c r="J185" i="80"/>
  <c r="H185" i="80"/>
  <c r="N179" i="80"/>
  <c r="M179" i="80"/>
  <c r="L179" i="80"/>
  <c r="K179" i="80"/>
  <c r="J179" i="80"/>
  <c r="I179" i="80"/>
  <c r="H179" i="80"/>
  <c r="K30" i="84" l="1"/>
  <c r="K10" i="56"/>
  <c r="M30" i="84"/>
  <c r="M10" i="56"/>
  <c r="A516" i="54"/>
  <c r="H515" i="54" a="1"/>
  <c r="H515" i="54" s="1"/>
  <c r="H31" i="84"/>
  <c r="H24" i="84"/>
  <c r="H10" i="84"/>
  <c r="H12" i="84"/>
  <c r="AA38" i="9"/>
  <c r="AB38" i="9"/>
  <c r="AC38" i="9"/>
  <c r="AU38" i="9"/>
  <c r="AV38" i="9"/>
  <c r="AW38" i="9"/>
  <c r="AX38" i="9"/>
  <c r="AY38" i="9"/>
  <c r="AZ38" i="9"/>
  <c r="BA38" i="9"/>
  <c r="BB38" i="9"/>
  <c r="BC38" i="9"/>
  <c r="BD38" i="9"/>
  <c r="BE38" i="9"/>
  <c r="BF38" i="9"/>
  <c r="BO38" i="9"/>
  <c r="BP38" i="9"/>
  <c r="BQ38" i="9"/>
  <c r="BR38" i="9"/>
  <c r="BS38" i="9"/>
  <c r="BT38" i="9"/>
  <c r="BU38" i="9"/>
  <c r="BV38" i="9"/>
  <c r="BW38" i="9"/>
  <c r="BX38" i="9"/>
  <c r="BY38" i="9"/>
  <c r="BZ38" i="9"/>
  <c r="CI33" i="9"/>
  <c r="CI38" i="9" s="1"/>
  <c r="CJ33" i="9"/>
  <c r="CJ38" i="9" s="1"/>
  <c r="CK33" i="9"/>
  <c r="CK38" i="9" s="1"/>
  <c r="CL33" i="9"/>
  <c r="CL38" i="9" s="1"/>
  <c r="CM33" i="9"/>
  <c r="CM38" i="9" s="1"/>
  <c r="CN33" i="9"/>
  <c r="CN38" i="9" s="1"/>
  <c r="CO33" i="9"/>
  <c r="CO38" i="9" s="1"/>
  <c r="CP33" i="9"/>
  <c r="CP38" i="9" s="1"/>
  <c r="CQ33" i="9"/>
  <c r="CQ38" i="9" s="1"/>
  <c r="CR33" i="9"/>
  <c r="CR38" i="9" s="1"/>
  <c r="CS33" i="9"/>
  <c r="CS38" i="9" s="1"/>
  <c r="CT33" i="9"/>
  <c r="CT38" i="9" s="1"/>
  <c r="AL38" i="9"/>
  <c r="AK38" i="9"/>
  <c r="AJ38" i="9"/>
  <c r="AI38" i="9"/>
  <c r="AH38" i="9"/>
  <c r="AG38" i="9"/>
  <c r="AF38" i="9"/>
  <c r="AE38" i="9"/>
  <c r="AD38" i="9"/>
  <c r="H516" i="54" l="1" a="1"/>
  <c r="H516" i="54" s="1"/>
  <c r="A517" i="54"/>
  <c r="H11" i="84"/>
  <c r="I10" i="84"/>
  <c r="I12" i="84"/>
  <c r="H33" i="84"/>
  <c r="H26" i="84"/>
  <c r="H13" i="84"/>
  <c r="H25" i="84"/>
  <c r="I24" i="84"/>
  <c r="I31" i="84"/>
  <c r="H32" i="84"/>
  <c r="H49" i="56" l="1"/>
  <c r="H47" i="56"/>
  <c r="H45" i="56"/>
  <c r="H48" i="56"/>
  <c r="H46" i="56"/>
  <c r="H517" i="54" a="1"/>
  <c r="H517" i="54" s="1"/>
  <c r="A518" i="54"/>
  <c r="J24" i="84"/>
  <c r="H27" i="84"/>
  <c r="I26" i="84"/>
  <c r="I33" i="84"/>
  <c r="H34" i="84"/>
  <c r="J10" i="84"/>
  <c r="I11" i="84"/>
  <c r="J12" i="84"/>
  <c r="I13" i="84"/>
  <c r="J31" i="84"/>
  <c r="I32" i="84"/>
  <c r="I49" i="56" l="1"/>
  <c r="I47" i="56"/>
  <c r="I45" i="56"/>
  <c r="I48" i="56"/>
  <c r="I46" i="56"/>
  <c r="A519" i="54"/>
  <c r="H518" i="54" a="1"/>
  <c r="H518" i="54" s="1"/>
  <c r="I34" i="84"/>
  <c r="J33" i="84"/>
  <c r="I27" i="84"/>
  <c r="J26" i="84"/>
  <c r="K31" i="84"/>
  <c r="J32" i="84"/>
  <c r="K24" i="84"/>
  <c r="K10" i="84"/>
  <c r="J11" i="84"/>
  <c r="J13" i="84"/>
  <c r="K12" i="84"/>
  <c r="F338" i="37"/>
  <c r="F337" i="37"/>
  <c r="F336" i="37"/>
  <c r="F335" i="37"/>
  <c r="F334" i="37"/>
  <c r="F332" i="37"/>
  <c r="F331" i="37"/>
  <c r="F330" i="37"/>
  <c r="F329" i="37"/>
  <c r="F328" i="37"/>
  <c r="F249" i="37"/>
  <c r="F248" i="37"/>
  <c r="F247" i="37"/>
  <c r="F246" i="37"/>
  <c r="F245" i="37"/>
  <c r="F178" i="37"/>
  <c r="F177" i="37"/>
  <c r="F176" i="37"/>
  <c r="F175" i="37"/>
  <c r="F174" i="37"/>
  <c r="F172" i="37"/>
  <c r="F171" i="37"/>
  <c r="F170" i="37"/>
  <c r="F169" i="37"/>
  <c r="F168" i="37"/>
  <c r="F123" i="37"/>
  <c r="F122" i="37"/>
  <c r="F121" i="37"/>
  <c r="F120" i="37"/>
  <c r="F119" i="37"/>
  <c r="F63" i="37"/>
  <c r="F62" i="37"/>
  <c r="F61" i="37"/>
  <c r="F60" i="37"/>
  <c r="F59" i="37"/>
  <c r="F57" i="37"/>
  <c r="F56" i="37"/>
  <c r="F55" i="37"/>
  <c r="F54" i="37"/>
  <c r="F53" i="37"/>
  <c r="I17" i="37"/>
  <c r="I86" i="37" s="1"/>
  <c r="J49" i="56" l="1"/>
  <c r="J47" i="56"/>
  <c r="J45" i="56"/>
  <c r="J48" i="56"/>
  <c r="J46" i="56"/>
  <c r="H519" i="54" a="1"/>
  <c r="H519" i="54" s="1"/>
  <c r="A520" i="54"/>
  <c r="J17" i="37"/>
  <c r="K17" i="37" s="1"/>
  <c r="L24" i="84"/>
  <c r="L31" i="84"/>
  <c r="K32" i="84"/>
  <c r="K13" i="84"/>
  <c r="L12" i="84"/>
  <c r="J27" i="84"/>
  <c r="K26" i="84"/>
  <c r="J34" i="84"/>
  <c r="K33" i="84"/>
  <c r="K11" i="84"/>
  <c r="L10" i="84"/>
  <c r="I297" i="37"/>
  <c r="I200" i="37"/>
  <c r="I53" i="37"/>
  <c r="I137" i="37"/>
  <c r="I60" i="37"/>
  <c r="I61" i="37"/>
  <c r="I62" i="37"/>
  <c r="I63" i="37"/>
  <c r="I54" i="37"/>
  <c r="I55" i="37"/>
  <c r="I56" i="37"/>
  <c r="I57" i="37"/>
  <c r="I59" i="37"/>
  <c r="I67" i="37" l="1"/>
  <c r="I66" i="37"/>
  <c r="K49" i="56"/>
  <c r="K47" i="56"/>
  <c r="K45" i="56"/>
  <c r="K48" i="56"/>
  <c r="K46" i="56"/>
  <c r="H520" i="54" a="1"/>
  <c r="H520" i="54" s="1"/>
  <c r="A521" i="54"/>
  <c r="J86" i="37"/>
  <c r="J137" i="37"/>
  <c r="J297" i="37"/>
  <c r="J200" i="37"/>
  <c r="M12" i="84"/>
  <c r="L13" i="84"/>
  <c r="M31" i="84"/>
  <c r="L32" i="84"/>
  <c r="K27" i="84"/>
  <c r="L26" i="84"/>
  <c r="L33" i="84"/>
  <c r="K34" i="84"/>
  <c r="M10" i="84"/>
  <c r="L11" i="84"/>
  <c r="M24" i="84"/>
  <c r="K200" i="37"/>
  <c r="K297" i="37"/>
  <c r="K137" i="37"/>
  <c r="L17" i="37"/>
  <c r="K86" i="37"/>
  <c r="L48" i="56" l="1"/>
  <c r="L46" i="56"/>
  <c r="L49" i="56"/>
  <c r="L47" i="56"/>
  <c r="L45" i="56"/>
  <c r="A522" i="54"/>
  <c r="H521" i="54" a="1"/>
  <c r="H521" i="54" s="1"/>
  <c r="N31" i="84"/>
  <c r="M32" i="84"/>
  <c r="L34" i="84"/>
  <c r="M33" i="84"/>
  <c r="N24" i="84"/>
  <c r="M26" i="84"/>
  <c r="L27" i="84"/>
  <c r="N10" i="84"/>
  <c r="M11" i="84"/>
  <c r="M13" i="84"/>
  <c r="N12" i="84"/>
  <c r="L200" i="37"/>
  <c r="L297" i="37"/>
  <c r="L137" i="37"/>
  <c r="M17" i="37"/>
  <c r="L86" i="37"/>
  <c r="M48" i="56" l="1"/>
  <c r="M46" i="56"/>
  <c r="M49" i="56"/>
  <c r="M47" i="56"/>
  <c r="M45" i="56"/>
  <c r="H522" i="54" a="1"/>
  <c r="H522" i="54" s="1"/>
  <c r="A523" i="54"/>
  <c r="O24" i="84"/>
  <c r="P24" i="84" s="1"/>
  <c r="Q24" i="84" s="1"/>
  <c r="R24" i="84" s="1"/>
  <c r="S24" i="84" s="1"/>
  <c r="N26" i="84"/>
  <c r="M27" i="84"/>
  <c r="O12" i="84"/>
  <c r="N13" i="84"/>
  <c r="N33" i="84"/>
  <c r="M34" i="84"/>
  <c r="O10" i="84"/>
  <c r="P10" i="84" s="1"/>
  <c r="Q10" i="84" s="1"/>
  <c r="R10" i="84" s="1"/>
  <c r="S10" i="84" s="1"/>
  <c r="N11" i="84"/>
  <c r="O11" i="84" s="1"/>
  <c r="P11" i="84" s="1"/>
  <c r="Q11" i="84" s="1"/>
  <c r="R11" i="84" s="1"/>
  <c r="S11" i="84" s="1"/>
  <c r="O31" i="84"/>
  <c r="P31" i="84" s="1"/>
  <c r="Q31" i="84" s="1"/>
  <c r="R31" i="84" s="1"/>
  <c r="S31" i="84" s="1"/>
  <c r="N32" i="84"/>
  <c r="O32" i="84" s="1"/>
  <c r="P32" i="84" s="1"/>
  <c r="Q32" i="84" s="1"/>
  <c r="R32" i="84" s="1"/>
  <c r="S32" i="84" s="1"/>
  <c r="M200" i="37"/>
  <c r="M297" i="37"/>
  <c r="M137" i="37"/>
  <c r="N17" i="37"/>
  <c r="M86" i="37"/>
  <c r="N48" i="56" l="1"/>
  <c r="N46" i="56"/>
  <c r="N49" i="56"/>
  <c r="N47" i="56"/>
  <c r="N45" i="56"/>
  <c r="A524" i="54"/>
  <c r="H523" i="54" a="1"/>
  <c r="H523" i="54" s="1"/>
  <c r="P12" i="84"/>
  <c r="O13" i="84"/>
  <c r="O26" i="84"/>
  <c r="N27" i="84"/>
  <c r="O33" i="84"/>
  <c r="N34" i="84"/>
  <c r="N200" i="37"/>
  <c r="N297" i="37"/>
  <c r="N137" i="37"/>
  <c r="O17" i="37"/>
  <c r="N86" i="37"/>
  <c r="O48" i="56" l="1"/>
  <c r="O46" i="56"/>
  <c r="O49" i="56"/>
  <c r="O47" i="56"/>
  <c r="O45" i="56"/>
  <c r="H524" i="54" a="1"/>
  <c r="H524" i="54" s="1"/>
  <c r="A525" i="54"/>
  <c r="O297" i="37"/>
  <c r="O27" i="84"/>
  <c r="P26" i="84"/>
  <c r="P33" i="84"/>
  <c r="O34" i="84"/>
  <c r="Q12" i="84"/>
  <c r="P13" i="84"/>
  <c r="O200" i="37"/>
  <c r="O86" i="37"/>
  <c r="O137" i="37"/>
  <c r="P49" i="56" l="1"/>
  <c r="P47" i="56"/>
  <c r="P45" i="56"/>
  <c r="P48" i="56"/>
  <c r="P46" i="56"/>
  <c r="H525" i="54" a="1"/>
  <c r="H525" i="54" s="1"/>
  <c r="A526" i="54"/>
  <c r="R12" i="84"/>
  <c r="Q13" i="84"/>
  <c r="Q33" i="84"/>
  <c r="P34" i="84"/>
  <c r="P27" i="84"/>
  <c r="Q26" i="84"/>
  <c r="L518" i="59"/>
  <c r="L519" i="59" s="1"/>
  <c r="L520" i="59" s="1"/>
  <c r="L521" i="59" s="1"/>
  <c r="L522" i="59" s="1"/>
  <c r="L523" i="59" s="1"/>
  <c r="L524" i="59" s="1"/>
  <c r="L525" i="59" s="1"/>
  <c r="L526" i="59" s="1"/>
  <c r="L527" i="59" s="1"/>
  <c r="L528" i="59" s="1"/>
  <c r="L529" i="59" s="1"/>
  <c r="L530" i="59" s="1"/>
  <c r="L531" i="59" s="1"/>
  <c r="L532" i="59" s="1"/>
  <c r="L533" i="59" s="1"/>
  <c r="L534" i="59" s="1"/>
  <c r="L535" i="59" s="1"/>
  <c r="L536" i="59" s="1"/>
  <c r="E48" i="54"/>
  <c r="E49" i="54" s="1"/>
  <c r="E50" i="54" s="1"/>
  <c r="E51" i="54" s="1"/>
  <c r="E52" i="54" s="1"/>
  <c r="E53" i="54" s="1"/>
  <c r="E54" i="54" s="1"/>
  <c r="E55" i="54" s="1"/>
  <c r="E56" i="54" s="1"/>
  <c r="E57" i="54" s="1"/>
  <c r="E58" i="54" s="1"/>
  <c r="E59" i="54" s="1"/>
  <c r="A48" i="54"/>
  <c r="E157" i="54"/>
  <c r="E158" i="54" s="1"/>
  <c r="E159" i="54" s="1"/>
  <c r="E160" i="54" s="1"/>
  <c r="E161" i="54" s="1"/>
  <c r="E162" i="54" s="1"/>
  <c r="E163" i="54" s="1"/>
  <c r="E164" i="54" s="1"/>
  <c r="E165" i="54" s="1"/>
  <c r="E166" i="54" s="1"/>
  <c r="E167" i="54" s="1"/>
  <c r="E168" i="54" s="1"/>
  <c r="E169" i="54" s="1"/>
  <c r="E170" i="54" s="1"/>
  <c r="E171" i="54" s="1"/>
  <c r="E172" i="54" s="1"/>
  <c r="E173" i="54" s="1"/>
  <c r="E174" i="54" s="1"/>
  <c r="E175" i="54" s="1"/>
  <c r="A157" i="54"/>
  <c r="H156" i="54" a="1"/>
  <c r="H156" i="54" s="1"/>
  <c r="A264" i="54"/>
  <c r="A265" i="54" s="1"/>
  <c r="Q49" i="56" l="1"/>
  <c r="Q47" i="56"/>
  <c r="Q45" i="56"/>
  <c r="Q48" i="56"/>
  <c r="Q46" i="56"/>
  <c r="A527" i="54"/>
  <c r="H526" i="54" a="1"/>
  <c r="H526" i="54" s="1"/>
  <c r="R26" i="84"/>
  <c r="Q27" i="84"/>
  <c r="Q34" i="84"/>
  <c r="R33" i="84"/>
  <c r="S12" i="84"/>
  <c r="S13" i="84" s="1"/>
  <c r="R13" i="84"/>
  <c r="E63" i="54"/>
  <c r="E60" i="54"/>
  <c r="A49" i="54"/>
  <c r="A158" i="54"/>
  <c r="H158" i="54" s="1" a="1"/>
  <c r="H158" i="54" s="1"/>
  <c r="H157" i="54" a="1"/>
  <c r="H157" i="54" s="1"/>
  <c r="A266" i="54"/>
  <c r="R49" i="56" l="1"/>
  <c r="R47" i="56"/>
  <c r="R45" i="56"/>
  <c r="R48" i="56"/>
  <c r="R46" i="56"/>
  <c r="S49" i="56"/>
  <c r="S47" i="56"/>
  <c r="S45" i="56"/>
  <c r="S48" i="56"/>
  <c r="S46" i="56"/>
  <c r="A159" i="54"/>
  <c r="H527" i="54" a="1"/>
  <c r="H527" i="54" s="1"/>
  <c r="A528" i="54"/>
  <c r="R34" i="84"/>
  <c r="S33" i="84"/>
  <c r="S34" i="84" s="1"/>
  <c r="R27" i="84"/>
  <c r="S26" i="84"/>
  <c r="S27" i="84" s="1"/>
  <c r="E61" i="54"/>
  <c r="E64" i="54"/>
  <c r="A50" i="54"/>
  <c r="A160" i="54"/>
  <c r="H159" i="54" a="1"/>
  <c r="H159" i="54" s="1"/>
  <c r="A267" i="54"/>
  <c r="H528" i="54" l="1" a="1"/>
  <c r="H528" i="54" s="1"/>
  <c r="A529" i="54"/>
  <c r="A51" i="54"/>
  <c r="E65" i="54"/>
  <c r="E62" i="54"/>
  <c r="E66" i="54" s="1"/>
  <c r="H160" i="54" a="1"/>
  <c r="H160" i="54" s="1"/>
  <c r="A161" i="54"/>
  <c r="A268" i="54"/>
  <c r="H529" i="54" l="1" a="1"/>
  <c r="H529" i="54" s="1"/>
  <c r="A52" i="54"/>
  <c r="A162" i="54"/>
  <c r="H161" i="54" a="1"/>
  <c r="H161" i="54" s="1"/>
  <c r="A269" i="54"/>
  <c r="A53" i="54" l="1"/>
  <c r="H162" i="54" a="1"/>
  <c r="H162" i="54" s="1"/>
  <c r="A163" i="54"/>
  <c r="A270" i="54"/>
  <c r="A54" i="54" l="1"/>
  <c r="A164" i="54"/>
  <c r="H163" i="54" a="1"/>
  <c r="H163" i="54" s="1"/>
  <c r="A271" i="54"/>
  <c r="A55" i="54" l="1"/>
  <c r="H164" i="54" a="1"/>
  <c r="H164" i="54" s="1"/>
  <c r="A165" i="54"/>
  <c r="A272" i="54"/>
  <c r="A56" i="54" l="1"/>
  <c r="A166" i="54"/>
  <c r="H165" i="54" a="1"/>
  <c r="H165" i="54" s="1"/>
  <c r="A273" i="54"/>
  <c r="A57" i="54" l="1"/>
  <c r="H166" i="54" a="1"/>
  <c r="H166" i="54" s="1"/>
  <c r="A167" i="54"/>
  <c r="A274" i="54"/>
  <c r="A58" i="54" l="1"/>
  <c r="A168" i="54"/>
  <c r="H167" i="54" a="1"/>
  <c r="H167" i="54" s="1"/>
  <c r="A275" i="54"/>
  <c r="A59" i="54" l="1"/>
  <c r="H168" i="54" a="1"/>
  <c r="H168" i="54" s="1"/>
  <c r="A169" i="54"/>
  <c r="A276" i="54"/>
  <c r="A60" i="54" l="1"/>
  <c r="A170" i="54"/>
  <c r="H169" i="54" a="1"/>
  <c r="H169" i="54" s="1"/>
  <c r="A277" i="54"/>
  <c r="A61" i="54" l="1"/>
  <c r="H170" i="54" a="1"/>
  <c r="H170" i="54" s="1"/>
  <c r="A171" i="54"/>
  <c r="A278" i="54"/>
  <c r="A62" i="54" l="1"/>
  <c r="A172" i="54"/>
  <c r="H171" i="54" a="1"/>
  <c r="H171" i="54" s="1"/>
  <c r="A279" i="54"/>
  <c r="A63" i="54" l="1"/>
  <c r="H172" i="54" a="1"/>
  <c r="H172" i="54" s="1"/>
  <c r="A173" i="54"/>
  <c r="A280" i="54"/>
  <c r="A64" i="54" l="1"/>
  <c r="A174" i="54"/>
  <c r="H173" i="54" a="1"/>
  <c r="H173" i="54" s="1"/>
  <c r="A281" i="54"/>
  <c r="A65" i="54" l="1"/>
  <c r="H174" i="54" a="1"/>
  <c r="H174" i="54" s="1"/>
  <c r="A175" i="54"/>
  <c r="A282" i="54"/>
  <c r="A66" i="54" l="1"/>
  <c r="H175" i="54" a="1"/>
  <c r="H175" i="54" s="1"/>
  <c r="F10" i="37" l="1"/>
  <c r="F9" i="37"/>
  <c r="F8" i="37"/>
  <c r="F7" i="37"/>
  <c r="F6" i="37"/>
  <c r="F287" i="37"/>
  <c r="F288" i="37"/>
  <c r="F289" i="37"/>
  <c r="F290" i="37"/>
  <c r="F291" i="37"/>
  <c r="F360" i="37"/>
  <c r="F359" i="37"/>
  <c r="F358" i="37"/>
  <c r="F357" i="37"/>
  <c r="F356" i="37"/>
  <c r="F353" i="37"/>
  <c r="F352" i="37"/>
  <c r="F351" i="37"/>
  <c r="F350" i="37"/>
  <c r="F349" i="37"/>
  <c r="F347" i="37"/>
  <c r="F346" i="37"/>
  <c r="F345" i="37"/>
  <c r="F344" i="37"/>
  <c r="F343" i="37"/>
  <c r="I326" i="37"/>
  <c r="I325" i="37"/>
  <c r="I324" i="37"/>
  <c r="I323" i="37"/>
  <c r="I322" i="37"/>
  <c r="J316" i="37"/>
  <c r="I302" i="37"/>
  <c r="J302" i="37" s="1"/>
  <c r="K302" i="37" s="1"/>
  <c r="L302" i="37" s="1"/>
  <c r="M302" i="37" s="1"/>
  <c r="N302" i="37" s="1"/>
  <c r="O302" i="37" s="1"/>
  <c r="P302" i="37" s="1"/>
  <c r="Q302" i="37" s="1"/>
  <c r="R302" i="37" s="1"/>
  <c r="S302" i="37" s="1"/>
  <c r="T302" i="37" s="1"/>
  <c r="I299" i="37"/>
  <c r="I298" i="37"/>
  <c r="I296" i="37"/>
  <c r="J317" i="37"/>
  <c r="K317" i="37" s="1"/>
  <c r="L317" i="37" s="1"/>
  <c r="M317" i="37" s="1"/>
  <c r="N317" i="37" s="1"/>
  <c r="O317" i="37" s="1"/>
  <c r="P317" i="37" s="1"/>
  <c r="Q317" i="37" s="1"/>
  <c r="R317" i="37" s="1"/>
  <c r="S317" i="37" s="1"/>
  <c r="T317" i="37" s="1"/>
  <c r="F314" i="37"/>
  <c r="F313" i="37"/>
  <c r="F312" i="37"/>
  <c r="F311" i="37"/>
  <c r="F310" i="37"/>
  <c r="F326" i="37"/>
  <c r="F325" i="37"/>
  <c r="F324" i="37"/>
  <c r="F323" i="37"/>
  <c r="F322" i="37"/>
  <c r="F308" i="37"/>
  <c r="F307" i="37"/>
  <c r="F306" i="37"/>
  <c r="F305" i="37"/>
  <c r="F304" i="37"/>
  <c r="J298" i="37"/>
  <c r="K298" i="37" s="1"/>
  <c r="J295" i="37"/>
  <c r="J296" i="37" l="1"/>
  <c r="I301" i="37"/>
  <c r="I300" i="37"/>
  <c r="J331" i="37"/>
  <c r="J330" i="37"/>
  <c r="J328" i="37"/>
  <c r="J329" i="37"/>
  <c r="J332" i="37"/>
  <c r="K331" i="37"/>
  <c r="K330" i="37"/>
  <c r="K328" i="37"/>
  <c r="K329" i="37"/>
  <c r="K332" i="37"/>
  <c r="I332" i="37"/>
  <c r="I330" i="37"/>
  <c r="I331" i="37"/>
  <c r="I329" i="37"/>
  <c r="I328" i="37"/>
  <c r="J299" i="37"/>
  <c r="K299" i="37" s="1"/>
  <c r="I338" i="37"/>
  <c r="I334" i="37"/>
  <c r="I336" i="37"/>
  <c r="I335" i="37"/>
  <c r="I337" i="37"/>
  <c r="I308" i="37"/>
  <c r="I347" i="37" s="1"/>
  <c r="I305" i="37"/>
  <c r="I344" i="37" s="1"/>
  <c r="I314" i="37"/>
  <c r="I353" i="37" s="1"/>
  <c r="I311" i="37"/>
  <c r="I350" i="37" s="1"/>
  <c r="I313" i="37"/>
  <c r="I352" i="37" s="1"/>
  <c r="I306" i="37"/>
  <c r="I345" i="37" s="1"/>
  <c r="J308" i="37"/>
  <c r="I304" i="37"/>
  <c r="I343" i="37" s="1"/>
  <c r="I307" i="37"/>
  <c r="I346" i="37" s="1"/>
  <c r="I310" i="37"/>
  <c r="I349" i="37" s="1"/>
  <c r="I312" i="37"/>
  <c r="I351" i="37" s="1"/>
  <c r="J305" i="37"/>
  <c r="J307" i="37"/>
  <c r="J304" i="37"/>
  <c r="J306" i="37"/>
  <c r="K295" i="37"/>
  <c r="L298" i="37"/>
  <c r="I341" i="37" l="1"/>
  <c r="I340" i="37"/>
  <c r="K296" i="37"/>
  <c r="J300" i="37"/>
  <c r="J301" i="37"/>
  <c r="J313" i="37"/>
  <c r="J312" i="37"/>
  <c r="J311" i="37"/>
  <c r="J310" i="37"/>
  <c r="J337" i="37"/>
  <c r="J314" i="37"/>
  <c r="J338" i="37"/>
  <c r="L299" i="37"/>
  <c r="K337" i="37"/>
  <c r="K336" i="37"/>
  <c r="K335" i="37"/>
  <c r="K334" i="37"/>
  <c r="K338" i="37"/>
  <c r="L331" i="37"/>
  <c r="L330" i="37"/>
  <c r="L332" i="37"/>
  <c r="L328" i="37"/>
  <c r="L329" i="37"/>
  <c r="J335" i="37"/>
  <c r="J336" i="37"/>
  <c r="J334" i="37"/>
  <c r="L295" i="37"/>
  <c r="K314" i="37"/>
  <c r="K312" i="37"/>
  <c r="K310" i="37"/>
  <c r="K307" i="37"/>
  <c r="K304" i="37"/>
  <c r="K305" i="37"/>
  <c r="K313" i="37"/>
  <c r="K311" i="37"/>
  <c r="K306" i="37"/>
  <c r="K308" i="37"/>
  <c r="M298" i="37"/>
  <c r="L296" i="37" l="1"/>
  <c r="K301" i="37"/>
  <c r="K300" i="37"/>
  <c r="M331" i="37"/>
  <c r="M330" i="37"/>
  <c r="M329" i="37"/>
  <c r="M332" i="37"/>
  <c r="M328" i="37"/>
  <c r="M299" i="37"/>
  <c r="L334" i="37"/>
  <c r="L336" i="37"/>
  <c r="L335" i="37"/>
  <c r="L337" i="37"/>
  <c r="L338" i="37"/>
  <c r="M295" i="37"/>
  <c r="L307" i="37"/>
  <c r="L304" i="37"/>
  <c r="L312" i="37"/>
  <c r="L313" i="37"/>
  <c r="L311" i="37"/>
  <c r="L306" i="37"/>
  <c r="L308" i="37"/>
  <c r="L305" i="37"/>
  <c r="L314" i="37"/>
  <c r="L310" i="37"/>
  <c r="N298" i="37"/>
  <c r="M296" i="37" l="1"/>
  <c r="L301" i="37"/>
  <c r="L300" i="37"/>
  <c r="N299" i="37"/>
  <c r="M335" i="37"/>
  <c r="M334" i="37"/>
  <c r="M338" i="37"/>
  <c r="M337" i="37"/>
  <c r="M336" i="37"/>
  <c r="N331" i="37"/>
  <c r="N330" i="37"/>
  <c r="N329" i="37"/>
  <c r="N328" i="37"/>
  <c r="N332" i="37"/>
  <c r="N295" i="37"/>
  <c r="M304" i="37"/>
  <c r="M307" i="37"/>
  <c r="M313" i="37"/>
  <c r="M311" i="37"/>
  <c r="M306" i="37"/>
  <c r="M308" i="37"/>
  <c r="M305" i="37"/>
  <c r="M314" i="37"/>
  <c r="M312" i="37"/>
  <c r="M310" i="37"/>
  <c r="O298" i="37"/>
  <c r="N296" i="37" l="1"/>
  <c r="M301" i="37"/>
  <c r="M300" i="37"/>
  <c r="O329" i="37"/>
  <c r="O328" i="37"/>
  <c r="O332" i="37"/>
  <c r="O330" i="37"/>
  <c r="O331" i="37"/>
  <c r="O299" i="37"/>
  <c r="N338" i="37"/>
  <c r="N337" i="37"/>
  <c r="N336" i="37"/>
  <c r="N335" i="37"/>
  <c r="N334" i="37"/>
  <c r="O295" i="37"/>
  <c r="N313" i="37"/>
  <c r="N311" i="37"/>
  <c r="N306" i="37"/>
  <c r="N308" i="37"/>
  <c r="N305" i="37"/>
  <c r="N314" i="37"/>
  <c r="N312" i="37"/>
  <c r="N310" i="37"/>
  <c r="N307" i="37"/>
  <c r="N304" i="37"/>
  <c r="P298" i="37"/>
  <c r="O296" i="37" l="1"/>
  <c r="N300" i="37"/>
  <c r="N301" i="37"/>
  <c r="P299" i="37"/>
  <c r="O338" i="37"/>
  <c r="O337" i="37"/>
  <c r="O334" i="37"/>
  <c r="O336" i="37"/>
  <c r="O335" i="37"/>
  <c r="P295" i="37"/>
  <c r="O313" i="37"/>
  <c r="O311" i="37"/>
  <c r="O306" i="37"/>
  <c r="O308" i="37"/>
  <c r="O305" i="37"/>
  <c r="O314" i="37"/>
  <c r="O312" i="37"/>
  <c r="O310" i="37"/>
  <c r="O307" i="37"/>
  <c r="O304" i="37"/>
  <c r="Q298" i="37"/>
  <c r="P296" i="37" l="1"/>
  <c r="O300" i="37"/>
  <c r="O301" i="37"/>
  <c r="Q299" i="37"/>
  <c r="P334" i="37"/>
  <c r="Q295" i="37"/>
  <c r="P308" i="37"/>
  <c r="P305" i="37"/>
  <c r="P311" i="37"/>
  <c r="P306" i="37"/>
  <c r="P314" i="37"/>
  <c r="P312" i="37"/>
  <c r="P310" i="37"/>
  <c r="P313" i="37"/>
  <c r="P307" i="37"/>
  <c r="P304" i="37"/>
  <c r="R298" i="37"/>
  <c r="Q296" i="37" l="1"/>
  <c r="P300" i="37"/>
  <c r="P301" i="37"/>
  <c r="R299" i="37"/>
  <c r="Q334" i="37"/>
  <c r="R295" i="37"/>
  <c r="Q308" i="37"/>
  <c r="Q305" i="37"/>
  <c r="Q314" i="37"/>
  <c r="Q312" i="37"/>
  <c r="Q310" i="37"/>
  <c r="Q307" i="37"/>
  <c r="Q304" i="37"/>
  <c r="Q313" i="37"/>
  <c r="Q311" i="37"/>
  <c r="Q306" i="37"/>
  <c r="S298" i="37"/>
  <c r="R296" i="37" l="1"/>
  <c r="Q300" i="37"/>
  <c r="Q301" i="37"/>
  <c r="S299" i="37"/>
  <c r="R334" i="37"/>
  <c r="S295" i="37"/>
  <c r="R305" i="37"/>
  <c r="R314" i="37"/>
  <c r="R312" i="37"/>
  <c r="R310" i="37"/>
  <c r="R307" i="37"/>
  <c r="R308" i="37"/>
  <c r="R304" i="37"/>
  <c r="R313" i="37"/>
  <c r="R311" i="37"/>
  <c r="R306" i="37"/>
  <c r="T298" i="37"/>
  <c r="S296" i="37" l="1"/>
  <c r="R300" i="37"/>
  <c r="R301" i="37"/>
  <c r="T299" i="37"/>
  <c r="T334" i="37" s="1"/>
  <c r="S334" i="37"/>
  <c r="T295" i="37"/>
  <c r="S314" i="37"/>
  <c r="S312" i="37"/>
  <c r="S310" i="37"/>
  <c r="S307" i="37"/>
  <c r="S304" i="37"/>
  <c r="S313" i="37"/>
  <c r="S311" i="37"/>
  <c r="S306" i="37"/>
  <c r="S305" i="37"/>
  <c r="S308" i="37"/>
  <c r="T296" i="37" l="1"/>
  <c r="S301" i="37"/>
  <c r="S300" i="37"/>
  <c r="T307" i="37"/>
  <c r="T304" i="37"/>
  <c r="T313" i="37"/>
  <c r="T311" i="37"/>
  <c r="T306" i="37"/>
  <c r="T314" i="37"/>
  <c r="T310" i="37"/>
  <c r="T308" i="37"/>
  <c r="T312" i="37"/>
  <c r="T305" i="37"/>
  <c r="T301" i="37" l="1"/>
  <c r="T300" i="37"/>
  <c r="C219" i="37"/>
  <c r="C232" i="37"/>
  <c r="F258" i="37"/>
  <c r="F257" i="37"/>
  <c r="F256" i="37"/>
  <c r="F255" i="37"/>
  <c r="F230" i="37"/>
  <c r="F229" i="37"/>
  <c r="F228" i="37"/>
  <c r="F227" i="37"/>
  <c r="F226" i="37"/>
  <c r="G221" i="37"/>
  <c r="G222" i="37" s="1"/>
  <c r="G223" i="37" s="1"/>
  <c r="G226" i="37"/>
  <c r="C230" i="37"/>
  <c r="C223" i="37"/>
  <c r="C229" i="37" s="1"/>
  <c r="C222" i="37"/>
  <c r="C228" i="37" s="1"/>
  <c r="C221" i="37"/>
  <c r="C220" i="37"/>
  <c r="I217" i="37"/>
  <c r="I203" i="37"/>
  <c r="C217" i="37"/>
  <c r="J216" i="37"/>
  <c r="J213" i="37"/>
  <c r="J212" i="37"/>
  <c r="K198" i="37"/>
  <c r="M198" i="37" s="1"/>
  <c r="O198" i="37" s="1"/>
  <c r="Q198" i="37" s="1"/>
  <c r="S198" i="37" s="1"/>
  <c r="J198" i="37"/>
  <c r="L198" i="37" s="1"/>
  <c r="N198" i="37" s="1"/>
  <c r="P198" i="37" s="1"/>
  <c r="R198" i="37" s="1"/>
  <c r="T198" i="37" s="1"/>
  <c r="J197" i="37"/>
  <c r="F193" i="37"/>
  <c r="F192" i="37"/>
  <c r="F191" i="37"/>
  <c r="F190" i="37"/>
  <c r="F189" i="37"/>
  <c r="F187" i="37"/>
  <c r="F186" i="37"/>
  <c r="F185" i="37"/>
  <c r="F184" i="37"/>
  <c r="F183" i="37"/>
  <c r="F166" i="37"/>
  <c r="F165" i="37"/>
  <c r="F164" i="37"/>
  <c r="F163" i="37"/>
  <c r="F162" i="37"/>
  <c r="J160" i="37"/>
  <c r="K160" i="37" s="1"/>
  <c r="L160" i="37" s="1"/>
  <c r="M160" i="37" s="1"/>
  <c r="N160" i="37" s="1"/>
  <c r="O160" i="37" s="1"/>
  <c r="P160" i="37" s="1"/>
  <c r="Q160" i="37" s="1"/>
  <c r="R160" i="37" s="1"/>
  <c r="S160" i="37" s="1"/>
  <c r="T160" i="37" s="1"/>
  <c r="J159" i="37"/>
  <c r="K159" i="37" s="1"/>
  <c r="L159" i="37" s="1"/>
  <c r="M159" i="37" s="1"/>
  <c r="N159" i="37" s="1"/>
  <c r="O159" i="37" s="1"/>
  <c r="P159" i="37" s="1"/>
  <c r="Q159" i="37" s="1"/>
  <c r="R159" i="37" s="1"/>
  <c r="S159" i="37" s="1"/>
  <c r="T159" i="37" s="1"/>
  <c r="J158" i="37"/>
  <c r="K158" i="37" s="1"/>
  <c r="L158" i="37" s="1"/>
  <c r="M158" i="37" s="1"/>
  <c r="N158" i="37" s="1"/>
  <c r="O158" i="37" s="1"/>
  <c r="P158" i="37" s="1"/>
  <c r="Q158" i="37" s="1"/>
  <c r="R158" i="37" s="1"/>
  <c r="S158" i="37" s="1"/>
  <c r="T158" i="37" s="1"/>
  <c r="J156" i="37"/>
  <c r="I157" i="37"/>
  <c r="I165" i="37" s="1"/>
  <c r="J22" i="37"/>
  <c r="K22" i="37" s="1"/>
  <c r="L22" i="37" s="1"/>
  <c r="M22" i="37" s="1"/>
  <c r="N22" i="37" s="1"/>
  <c r="O22" i="37" s="1"/>
  <c r="P22" i="37" s="1"/>
  <c r="Q22" i="37" s="1"/>
  <c r="R22" i="37" s="1"/>
  <c r="S22" i="37" s="1"/>
  <c r="T22" i="37" s="1"/>
  <c r="I142" i="37"/>
  <c r="I139" i="37"/>
  <c r="I138" i="37"/>
  <c r="I136" i="37"/>
  <c r="F154" i="37"/>
  <c r="F153" i="37"/>
  <c r="F152" i="37"/>
  <c r="F151" i="37"/>
  <c r="F150" i="37"/>
  <c r="F148" i="37"/>
  <c r="F147" i="37"/>
  <c r="F146" i="37"/>
  <c r="F145" i="37"/>
  <c r="F144" i="37"/>
  <c r="J135" i="37"/>
  <c r="F131" i="37"/>
  <c r="F130" i="37"/>
  <c r="F129" i="37"/>
  <c r="F128" i="37"/>
  <c r="F127" i="37"/>
  <c r="C355" i="37"/>
  <c r="C293" i="37"/>
  <c r="C273" i="37"/>
  <c r="C195" i="37"/>
  <c r="C133" i="37"/>
  <c r="C81" i="37"/>
  <c r="C4" i="37"/>
  <c r="C12" i="37"/>
  <c r="J10" i="37"/>
  <c r="K10" i="37" s="1"/>
  <c r="L10" i="37" s="1"/>
  <c r="M10" i="37" s="1"/>
  <c r="N10" i="37" s="1"/>
  <c r="O10" i="37" s="1"/>
  <c r="P10" i="37" s="1"/>
  <c r="Q10" i="37" s="1"/>
  <c r="R10" i="37" s="1"/>
  <c r="S10" i="37" s="1"/>
  <c r="T10" i="37" s="1"/>
  <c r="J9" i="37"/>
  <c r="K9" i="37" s="1"/>
  <c r="L9" i="37" s="1"/>
  <c r="M9" i="37" s="1"/>
  <c r="N9" i="37" s="1"/>
  <c r="O9" i="37" s="1"/>
  <c r="P9" i="37" s="1"/>
  <c r="Q9" i="37" s="1"/>
  <c r="R9" i="37" s="1"/>
  <c r="S9" i="37" s="1"/>
  <c r="T9" i="37" s="1"/>
  <c r="J8" i="37"/>
  <c r="K8" i="37" s="1"/>
  <c r="L8" i="37" s="1"/>
  <c r="M8" i="37" s="1"/>
  <c r="N8" i="37" s="1"/>
  <c r="O8" i="37" s="1"/>
  <c r="P8" i="37" s="1"/>
  <c r="Q8" i="37" s="1"/>
  <c r="R8" i="37" s="1"/>
  <c r="S8" i="37" s="1"/>
  <c r="T8" i="37" s="1"/>
  <c r="J7" i="37"/>
  <c r="K7" i="37" s="1"/>
  <c r="L7" i="37" s="1"/>
  <c r="M7" i="37" s="1"/>
  <c r="N7" i="37" s="1"/>
  <c r="O7" i="37" s="1"/>
  <c r="P7" i="37" s="1"/>
  <c r="Q7" i="37" s="1"/>
  <c r="R7" i="37" s="1"/>
  <c r="S7" i="37" s="1"/>
  <c r="T7" i="37" s="1"/>
  <c r="J6" i="37"/>
  <c r="K6" i="37" s="1"/>
  <c r="L6" i="37" s="1"/>
  <c r="M6" i="37" s="1"/>
  <c r="N6" i="37" s="1"/>
  <c r="O6" i="37" s="1"/>
  <c r="P6" i="37" s="1"/>
  <c r="Q6" i="37" s="1"/>
  <c r="R6" i="37" s="1"/>
  <c r="S6" i="37" s="1"/>
  <c r="T6" i="37" s="1"/>
  <c r="F254" i="37" l="1"/>
  <c r="I141" i="37"/>
  <c r="I140" i="37"/>
  <c r="I169" i="37"/>
  <c r="I168" i="37"/>
  <c r="I172" i="37"/>
  <c r="I170" i="37"/>
  <c r="I171" i="37"/>
  <c r="J139" i="37"/>
  <c r="I175" i="37"/>
  <c r="I178" i="37"/>
  <c r="I177" i="37"/>
  <c r="I174" i="37"/>
  <c r="I176" i="37"/>
  <c r="K156" i="37"/>
  <c r="F260" i="37"/>
  <c r="F263" i="37"/>
  <c r="C227" i="37"/>
  <c r="K212" i="37"/>
  <c r="C226" i="37"/>
  <c r="G227" i="37"/>
  <c r="G228" i="37"/>
  <c r="G229" i="37"/>
  <c r="G224" i="37"/>
  <c r="K213" i="37"/>
  <c r="K216" i="37"/>
  <c r="K197" i="37"/>
  <c r="L197" i="37" s="1"/>
  <c r="M197" i="37" s="1"/>
  <c r="N197" i="37" s="1"/>
  <c r="O197" i="37" s="1"/>
  <c r="P197" i="37" s="1"/>
  <c r="Q197" i="37" s="1"/>
  <c r="R197" i="37" s="1"/>
  <c r="S197" i="37" s="1"/>
  <c r="T197" i="37" s="1"/>
  <c r="I144" i="37"/>
  <c r="I164" i="37"/>
  <c r="I166" i="37"/>
  <c r="I162" i="37"/>
  <c r="I163" i="37"/>
  <c r="K135" i="37"/>
  <c r="L135" i="37" s="1"/>
  <c r="M135" i="37" s="1"/>
  <c r="N135" i="37" s="1"/>
  <c r="O135" i="37" s="1"/>
  <c r="P135" i="37" s="1"/>
  <c r="Q135" i="37" s="1"/>
  <c r="R135" i="37" s="1"/>
  <c r="S135" i="37" s="1"/>
  <c r="T135" i="37" s="1"/>
  <c r="I145" i="37"/>
  <c r="I148" i="37"/>
  <c r="I152" i="37"/>
  <c r="I146" i="37"/>
  <c r="I153" i="37"/>
  <c r="I192" i="37" s="1"/>
  <c r="I154" i="37"/>
  <c r="I150" i="37"/>
  <c r="J142" i="37"/>
  <c r="I147" i="37"/>
  <c r="I151" i="37"/>
  <c r="J138" i="37"/>
  <c r="J140" i="37" s="1"/>
  <c r="I181" i="37" l="1"/>
  <c r="I180" i="37"/>
  <c r="K139" i="37"/>
  <c r="J141" i="37"/>
  <c r="J150" i="37"/>
  <c r="J170" i="37"/>
  <c r="J174" i="37"/>
  <c r="J171" i="37"/>
  <c r="J178" i="37"/>
  <c r="J176" i="37"/>
  <c r="J169" i="37"/>
  <c r="J175" i="37"/>
  <c r="J168" i="37"/>
  <c r="L156" i="37"/>
  <c r="J172" i="37"/>
  <c r="J177" i="37"/>
  <c r="L212" i="37"/>
  <c r="G230" i="37"/>
  <c r="L213" i="37"/>
  <c r="L216" i="37"/>
  <c r="M216" i="37" s="1"/>
  <c r="N216" i="37" s="1"/>
  <c r="O216" i="37" s="1"/>
  <c r="P216" i="37" s="1"/>
  <c r="Q216" i="37" s="1"/>
  <c r="R216" i="37" s="1"/>
  <c r="S216" i="37" s="1"/>
  <c r="T216" i="37" s="1"/>
  <c r="I193" i="37"/>
  <c r="I191" i="37"/>
  <c r="I190" i="37"/>
  <c r="I189" i="37"/>
  <c r="J147" i="37"/>
  <c r="J145" i="37"/>
  <c r="K138" i="37"/>
  <c r="K140" i="37" s="1"/>
  <c r="J148" i="37"/>
  <c r="J151" i="37"/>
  <c r="J146" i="37"/>
  <c r="J152" i="37"/>
  <c r="J153" i="37"/>
  <c r="K142" i="37"/>
  <c r="J144" i="37"/>
  <c r="J154" i="37"/>
  <c r="K174" i="37" l="1"/>
  <c r="L139" i="37"/>
  <c r="K141" i="37"/>
  <c r="K169" i="37"/>
  <c r="K170" i="37"/>
  <c r="M156" i="37"/>
  <c r="K178" i="37"/>
  <c r="K171" i="37"/>
  <c r="K176" i="37"/>
  <c r="K168" i="37"/>
  <c r="K172" i="37"/>
  <c r="K177" i="37"/>
  <c r="K175" i="37"/>
  <c r="F261" i="37"/>
  <c r="F262" i="37"/>
  <c r="F264" i="37"/>
  <c r="M213" i="37"/>
  <c r="M212" i="37"/>
  <c r="K145" i="37"/>
  <c r="K147" i="37"/>
  <c r="L138" i="37"/>
  <c r="L140" i="37" s="1"/>
  <c r="K144" i="37"/>
  <c r="K148" i="37"/>
  <c r="K146" i="37"/>
  <c r="L142" i="37"/>
  <c r="K154" i="37"/>
  <c r="K152" i="37"/>
  <c r="K153" i="37"/>
  <c r="K150" i="37"/>
  <c r="K151" i="37"/>
  <c r="L178" i="37" l="1"/>
  <c r="L141" i="37"/>
  <c r="M139" i="37"/>
  <c r="L169" i="37"/>
  <c r="L171" i="37"/>
  <c r="L168" i="37"/>
  <c r="L175" i="37"/>
  <c r="L176" i="37"/>
  <c r="N156" i="37"/>
  <c r="L170" i="37"/>
  <c r="L172" i="37"/>
  <c r="L177" i="37"/>
  <c r="L174" i="37"/>
  <c r="N212" i="37"/>
  <c r="N213" i="37"/>
  <c r="L153" i="37"/>
  <c r="L151" i="37"/>
  <c r="M142" i="37"/>
  <c r="L154" i="37"/>
  <c r="L150" i="37"/>
  <c r="L152" i="37"/>
  <c r="L144" i="37"/>
  <c r="L147" i="37"/>
  <c r="L148" i="37"/>
  <c r="L146" i="37"/>
  <c r="L145" i="37"/>
  <c r="M138" i="37"/>
  <c r="M140" i="37" s="1"/>
  <c r="M175" i="37" l="1"/>
  <c r="M141" i="37"/>
  <c r="N139" i="37"/>
  <c r="M172" i="37"/>
  <c r="M178" i="37"/>
  <c r="M174" i="37"/>
  <c r="M177" i="37"/>
  <c r="M176" i="37"/>
  <c r="M169" i="37"/>
  <c r="O156" i="37"/>
  <c r="M168" i="37"/>
  <c r="M170" i="37"/>
  <c r="M171" i="37"/>
  <c r="O212" i="37"/>
  <c r="O213" i="37"/>
  <c r="M146" i="37"/>
  <c r="M147" i="37"/>
  <c r="M148" i="37"/>
  <c r="M144" i="37"/>
  <c r="M145" i="37"/>
  <c r="N138" i="37"/>
  <c r="N140" i="37" s="1"/>
  <c r="M150" i="37"/>
  <c r="M152" i="37"/>
  <c r="N142" i="37"/>
  <c r="M153" i="37"/>
  <c r="M151" i="37"/>
  <c r="M154" i="37"/>
  <c r="N176" i="37" l="1"/>
  <c r="N141" i="37"/>
  <c r="O139" i="37"/>
  <c r="N177" i="37"/>
  <c r="N169" i="37"/>
  <c r="N171" i="37"/>
  <c r="N172" i="37"/>
  <c r="N170" i="37"/>
  <c r="N174" i="37"/>
  <c r="P156" i="37"/>
  <c r="N168" i="37"/>
  <c r="N175" i="37"/>
  <c r="N178" i="37"/>
  <c r="P213" i="37"/>
  <c r="P212" i="37"/>
  <c r="N152" i="37"/>
  <c r="N153" i="37"/>
  <c r="O142" i="37"/>
  <c r="N154" i="37"/>
  <c r="N151" i="37"/>
  <c r="N150" i="37"/>
  <c r="N147" i="37"/>
  <c r="N144" i="37"/>
  <c r="N145" i="37"/>
  <c r="N148" i="37"/>
  <c r="N146" i="37"/>
  <c r="O138" i="37"/>
  <c r="O140" i="37" s="1"/>
  <c r="O178" i="37" l="1"/>
  <c r="O141" i="37"/>
  <c r="P139" i="37"/>
  <c r="O170" i="37"/>
  <c r="O176" i="37"/>
  <c r="O169" i="37"/>
  <c r="O171" i="37"/>
  <c r="O177" i="37"/>
  <c r="O168" i="37"/>
  <c r="Q156" i="37"/>
  <c r="O172" i="37"/>
  <c r="O174" i="37"/>
  <c r="O175" i="37"/>
  <c r="Q212" i="37"/>
  <c r="Q213" i="37"/>
  <c r="O146" i="37"/>
  <c r="O144" i="37"/>
  <c r="O147" i="37"/>
  <c r="O148" i="37"/>
  <c r="O145" i="37"/>
  <c r="P138" i="37"/>
  <c r="P140" i="37" s="1"/>
  <c r="P142" i="37"/>
  <c r="P174" i="37" s="1"/>
  <c r="O154" i="37"/>
  <c r="O153" i="37"/>
  <c r="O152" i="37"/>
  <c r="O151" i="37"/>
  <c r="O150" i="37"/>
  <c r="P141" i="37" l="1"/>
  <c r="Q139" i="37"/>
  <c r="R156" i="37"/>
  <c r="R213" i="37"/>
  <c r="R212" i="37"/>
  <c r="P147" i="37"/>
  <c r="P148" i="37"/>
  <c r="P145" i="37"/>
  <c r="P146" i="37"/>
  <c r="P144" i="37"/>
  <c r="Q138" i="37"/>
  <c r="Q140" i="37" s="1"/>
  <c r="P150" i="37"/>
  <c r="P152" i="37"/>
  <c r="P151" i="37"/>
  <c r="P154" i="37"/>
  <c r="Q142" i="37"/>
  <c r="Q174" i="37" s="1"/>
  <c r="P153" i="37"/>
  <c r="Q141" i="37" l="1"/>
  <c r="R139" i="37"/>
  <c r="S156" i="37"/>
  <c r="S213" i="37"/>
  <c r="S212" i="37"/>
  <c r="Q145" i="37"/>
  <c r="Q148" i="37"/>
  <c r="Q144" i="37"/>
  <c r="Q146" i="37"/>
  <c r="Q147" i="37"/>
  <c r="R138" i="37"/>
  <c r="R140" i="37" s="1"/>
  <c r="R142" i="37"/>
  <c r="R174" i="37" s="1"/>
  <c r="Q150" i="37"/>
  <c r="Q154" i="37"/>
  <c r="Q151" i="37"/>
  <c r="Q153" i="37"/>
  <c r="Q152" i="37"/>
  <c r="R141" i="37" l="1"/>
  <c r="S139" i="37"/>
  <c r="T156" i="37"/>
  <c r="T212" i="37"/>
  <c r="T213" i="37"/>
  <c r="R147" i="37"/>
  <c r="R145" i="37"/>
  <c r="R148" i="37"/>
  <c r="R146" i="37"/>
  <c r="R144" i="37"/>
  <c r="S138" i="37"/>
  <c r="S140" i="37" s="1"/>
  <c r="R152" i="37"/>
  <c r="R151" i="37"/>
  <c r="S142" i="37"/>
  <c r="S174" i="37" s="1"/>
  <c r="R153" i="37"/>
  <c r="R150" i="37"/>
  <c r="R154" i="37"/>
  <c r="S141" i="37" l="1"/>
  <c r="T139" i="37"/>
  <c r="T141" i="37" s="1"/>
  <c r="T142" i="37"/>
  <c r="S150" i="37"/>
  <c r="S153" i="37"/>
  <c r="S151" i="37"/>
  <c r="S154" i="37"/>
  <c r="S152" i="37"/>
  <c r="S144" i="37"/>
  <c r="S148" i="37"/>
  <c r="S145" i="37"/>
  <c r="S146" i="37"/>
  <c r="S147" i="37"/>
  <c r="T138" i="37"/>
  <c r="T140" i="37" s="1"/>
  <c r="T174" i="37" l="1"/>
  <c r="T148" i="37"/>
  <c r="T144" i="37"/>
  <c r="T147" i="37"/>
  <c r="T146" i="37"/>
  <c r="T145" i="37"/>
  <c r="T154" i="37"/>
  <c r="T153" i="37"/>
  <c r="T152" i="37"/>
  <c r="T150" i="37"/>
  <c r="T151" i="37"/>
  <c r="I105" i="37" l="1"/>
  <c r="J104" i="37"/>
  <c r="J102" i="37"/>
  <c r="J99" i="37"/>
  <c r="J98" i="37"/>
  <c r="I89" i="37"/>
  <c r="J89" i="37" s="1"/>
  <c r="K89" i="37" s="1"/>
  <c r="L89" i="37" s="1"/>
  <c r="M89" i="37" s="1"/>
  <c r="N89" i="37" s="1"/>
  <c r="O89" i="37" s="1"/>
  <c r="P89" i="37" s="1"/>
  <c r="Q89" i="37" s="1"/>
  <c r="R89" i="37" s="1"/>
  <c r="S89" i="37" s="1"/>
  <c r="T89" i="37" s="1"/>
  <c r="I87" i="37"/>
  <c r="I85" i="37"/>
  <c r="K84" i="37"/>
  <c r="M84" i="37" s="1"/>
  <c r="O84" i="37" s="1"/>
  <c r="Q84" i="37" s="1"/>
  <c r="S84" i="37" s="1"/>
  <c r="J84" i="37"/>
  <c r="L84" i="37" s="1"/>
  <c r="N84" i="37" s="1"/>
  <c r="P84" i="37" s="1"/>
  <c r="R84" i="37" s="1"/>
  <c r="T84" i="37" s="1"/>
  <c r="F51" i="37"/>
  <c r="F50" i="37"/>
  <c r="F49" i="37"/>
  <c r="F48" i="37"/>
  <c r="F47" i="37"/>
  <c r="F79" i="37"/>
  <c r="F78" i="37"/>
  <c r="F77" i="37"/>
  <c r="F76" i="37"/>
  <c r="F75" i="37"/>
  <c r="F73" i="37"/>
  <c r="F72" i="37"/>
  <c r="F71" i="37"/>
  <c r="F70" i="37"/>
  <c r="F69" i="37"/>
  <c r="F45" i="37"/>
  <c r="F44" i="37"/>
  <c r="F43" i="37"/>
  <c r="F42" i="37"/>
  <c r="F41" i="37"/>
  <c r="F40" i="37"/>
  <c r="F39" i="37"/>
  <c r="F38" i="37"/>
  <c r="F37" i="37"/>
  <c r="F36" i="37"/>
  <c r="F28" i="37"/>
  <c r="F27" i="37"/>
  <c r="F26" i="37"/>
  <c r="F25" i="37"/>
  <c r="F24" i="37"/>
  <c r="J45" i="37"/>
  <c r="I34" i="37"/>
  <c r="J34" i="37" s="1"/>
  <c r="K34" i="37" s="1"/>
  <c r="L34" i="37" s="1"/>
  <c r="M34" i="37" s="1"/>
  <c r="N34" i="37" s="1"/>
  <c r="O34" i="37" s="1"/>
  <c r="P34" i="37" s="1"/>
  <c r="Q34" i="37" s="1"/>
  <c r="R34" i="37" s="1"/>
  <c r="S34" i="37" s="1"/>
  <c r="T34" i="37" s="1"/>
  <c r="I33" i="37"/>
  <c r="J33" i="37" s="1"/>
  <c r="K33" i="37" s="1"/>
  <c r="L33" i="37" s="1"/>
  <c r="M33" i="37" s="1"/>
  <c r="N33" i="37" s="1"/>
  <c r="O33" i="37" s="1"/>
  <c r="P33" i="37" s="1"/>
  <c r="Q33" i="37" s="1"/>
  <c r="R33" i="37" s="1"/>
  <c r="S33" i="37" s="1"/>
  <c r="T33" i="37" s="1"/>
  <c r="I32" i="37"/>
  <c r="J32" i="37" s="1"/>
  <c r="K32" i="37" s="1"/>
  <c r="L32" i="37" s="1"/>
  <c r="M32" i="37" s="1"/>
  <c r="N32" i="37" s="1"/>
  <c r="O32" i="37" s="1"/>
  <c r="P32" i="37" s="1"/>
  <c r="Q32" i="37" s="1"/>
  <c r="R32" i="37" s="1"/>
  <c r="S32" i="37" s="1"/>
  <c r="T32" i="37" s="1"/>
  <c r="I31" i="37"/>
  <c r="J31" i="37" s="1"/>
  <c r="K31" i="37" s="1"/>
  <c r="L31" i="37" s="1"/>
  <c r="M31" i="37" s="1"/>
  <c r="N31" i="37" s="1"/>
  <c r="O31" i="37" s="1"/>
  <c r="P31" i="37" s="1"/>
  <c r="Q31" i="37" s="1"/>
  <c r="R31" i="37" s="1"/>
  <c r="S31" i="37" s="1"/>
  <c r="T31" i="37" s="1"/>
  <c r="I30" i="37"/>
  <c r="J30" i="37" s="1"/>
  <c r="K30" i="37" s="1"/>
  <c r="L30" i="37" s="1"/>
  <c r="M30" i="37" s="1"/>
  <c r="N30" i="37" s="1"/>
  <c r="O30" i="37" s="1"/>
  <c r="P30" i="37" s="1"/>
  <c r="Q30" i="37" s="1"/>
  <c r="R30" i="37" s="1"/>
  <c r="S30" i="37" s="1"/>
  <c r="T30" i="37" s="1"/>
  <c r="I28" i="37"/>
  <c r="I27" i="37"/>
  <c r="I26" i="37"/>
  <c r="I25" i="37"/>
  <c r="I44" i="37"/>
  <c r="J43" i="37"/>
  <c r="J41" i="37"/>
  <c r="J38" i="37"/>
  <c r="J37" i="37"/>
  <c r="J19" i="37"/>
  <c r="J21" i="37" s="1"/>
  <c r="J18" i="37"/>
  <c r="J20" i="37" s="1"/>
  <c r="I199" i="37" l="1"/>
  <c r="I88" i="37"/>
  <c r="K102" i="37"/>
  <c r="L102" i="37" s="1"/>
  <c r="M102" i="37" s="1"/>
  <c r="N102" i="37" s="1"/>
  <c r="O102" i="37" s="1"/>
  <c r="P102" i="37" s="1"/>
  <c r="Q102" i="37" s="1"/>
  <c r="R102" i="37" s="1"/>
  <c r="S102" i="37" s="1"/>
  <c r="T102" i="37" s="1"/>
  <c r="I201" i="37"/>
  <c r="I208" i="37" s="1"/>
  <c r="I119" i="37"/>
  <c r="I121" i="37"/>
  <c r="I123" i="37"/>
  <c r="I122" i="37"/>
  <c r="I120" i="37"/>
  <c r="K18" i="37"/>
  <c r="K20" i="37" s="1"/>
  <c r="J57" i="37"/>
  <c r="J54" i="37"/>
  <c r="J56" i="37"/>
  <c r="J55" i="37"/>
  <c r="J53" i="37"/>
  <c r="K19" i="37"/>
  <c r="K21" i="37" s="1"/>
  <c r="J61" i="37"/>
  <c r="J63" i="37"/>
  <c r="J62" i="37"/>
  <c r="J60" i="37"/>
  <c r="J59" i="37"/>
  <c r="J326" i="37"/>
  <c r="J353" i="37" s="1"/>
  <c r="J325" i="37"/>
  <c r="J352" i="37" s="1"/>
  <c r="J322" i="37"/>
  <c r="J349" i="37" s="1"/>
  <c r="J324" i="37"/>
  <c r="J351" i="37" s="1"/>
  <c r="J323" i="37"/>
  <c r="J350" i="37" s="1"/>
  <c r="K98" i="37"/>
  <c r="K45" i="37"/>
  <c r="J87" i="37"/>
  <c r="J88" i="37" s="1"/>
  <c r="I91" i="37"/>
  <c r="I92" i="37"/>
  <c r="I95" i="37"/>
  <c r="I94" i="37"/>
  <c r="I93" i="37"/>
  <c r="J105" i="37"/>
  <c r="K99" i="37"/>
  <c r="K104" i="37"/>
  <c r="K41" i="37"/>
  <c r="L41" i="37" s="1"/>
  <c r="M41" i="37" s="1"/>
  <c r="N41" i="37" s="1"/>
  <c r="O41" i="37" s="1"/>
  <c r="P41" i="37" s="1"/>
  <c r="Q41" i="37" s="1"/>
  <c r="R41" i="37" s="1"/>
  <c r="S41" i="37" s="1"/>
  <c r="T41" i="37" s="1"/>
  <c r="K37" i="37"/>
  <c r="L37" i="37" s="1"/>
  <c r="M37" i="37" s="1"/>
  <c r="N37" i="37" s="1"/>
  <c r="O37" i="37" s="1"/>
  <c r="P37" i="37" s="1"/>
  <c r="Q37" i="37" s="1"/>
  <c r="R37" i="37" s="1"/>
  <c r="S37" i="37" s="1"/>
  <c r="T37" i="37" s="1"/>
  <c r="K43" i="37"/>
  <c r="L43" i="37" s="1"/>
  <c r="M43" i="37" s="1"/>
  <c r="N43" i="37" s="1"/>
  <c r="O43" i="37" s="1"/>
  <c r="P43" i="37" s="1"/>
  <c r="Q43" i="37" s="1"/>
  <c r="R43" i="37" s="1"/>
  <c r="S43" i="37" s="1"/>
  <c r="T43" i="37" s="1"/>
  <c r="J44" i="37"/>
  <c r="K38" i="37"/>
  <c r="I125" i="37" l="1"/>
  <c r="L19" i="37"/>
  <c r="L21" i="37" s="1"/>
  <c r="I202" i="37"/>
  <c r="I209" i="37"/>
  <c r="J201" i="37"/>
  <c r="J207" i="37" s="1"/>
  <c r="I205" i="37"/>
  <c r="I206" i="37"/>
  <c r="I207" i="37"/>
  <c r="L18" i="37"/>
  <c r="L53" i="37" s="1"/>
  <c r="I245" i="37"/>
  <c r="I247" i="37"/>
  <c r="I249" i="37"/>
  <c r="I248" i="37"/>
  <c r="I246" i="37"/>
  <c r="J123" i="37"/>
  <c r="J122" i="37"/>
  <c r="J121" i="37"/>
  <c r="J120" i="37"/>
  <c r="J119" i="37"/>
  <c r="K59" i="37"/>
  <c r="K62" i="37"/>
  <c r="K60" i="37"/>
  <c r="K61" i="37"/>
  <c r="K63" i="37"/>
  <c r="K56" i="37"/>
  <c r="K55" i="37"/>
  <c r="K57" i="37"/>
  <c r="K54" i="37"/>
  <c r="K53" i="37"/>
  <c r="K325" i="37"/>
  <c r="K352" i="37" s="1"/>
  <c r="K323" i="37"/>
  <c r="K350" i="37" s="1"/>
  <c r="K326" i="37"/>
  <c r="K353" i="37" s="1"/>
  <c r="K322" i="37"/>
  <c r="K349" i="37" s="1"/>
  <c r="K324" i="37"/>
  <c r="K351" i="37" s="1"/>
  <c r="K87" i="37"/>
  <c r="K88" i="37" s="1"/>
  <c r="L98" i="37"/>
  <c r="L45" i="37"/>
  <c r="J95" i="37"/>
  <c r="J93" i="37"/>
  <c r="J91" i="37"/>
  <c r="J94" i="37"/>
  <c r="J92" i="37"/>
  <c r="L99" i="37"/>
  <c r="K105" i="37"/>
  <c r="L104" i="37"/>
  <c r="L38" i="37"/>
  <c r="K44" i="37"/>
  <c r="M18" i="37"/>
  <c r="M20" i="37" s="1"/>
  <c r="L63" i="37" l="1"/>
  <c r="L61" i="37"/>
  <c r="L62" i="37"/>
  <c r="L60" i="37"/>
  <c r="L59" i="37"/>
  <c r="M19" i="37"/>
  <c r="M21" i="37" s="1"/>
  <c r="L57" i="37"/>
  <c r="J208" i="37"/>
  <c r="I251" i="37"/>
  <c r="J206" i="37"/>
  <c r="L54" i="37"/>
  <c r="L20" i="37"/>
  <c r="J248" i="37"/>
  <c r="J202" i="37"/>
  <c r="J209" i="37"/>
  <c r="K201" i="37"/>
  <c r="L201" i="37" s="1"/>
  <c r="L202" i="37" s="1"/>
  <c r="J205" i="37"/>
  <c r="L55" i="37"/>
  <c r="L56" i="37"/>
  <c r="J246" i="37"/>
  <c r="J249" i="37"/>
  <c r="J245" i="37"/>
  <c r="J247" i="37"/>
  <c r="K123" i="37"/>
  <c r="K119" i="37"/>
  <c r="K122" i="37"/>
  <c r="K121" i="37"/>
  <c r="K120" i="37"/>
  <c r="M57" i="37"/>
  <c r="M53" i="37"/>
  <c r="M54" i="37"/>
  <c r="M55" i="37"/>
  <c r="M56" i="37"/>
  <c r="L324" i="37"/>
  <c r="L351" i="37" s="1"/>
  <c r="L326" i="37"/>
  <c r="L353" i="37" s="1"/>
  <c r="L322" i="37"/>
  <c r="L349" i="37" s="1"/>
  <c r="L323" i="37"/>
  <c r="L350" i="37" s="1"/>
  <c r="L325" i="37"/>
  <c r="L352" i="37" s="1"/>
  <c r="K91" i="37"/>
  <c r="K95" i="37"/>
  <c r="L87" i="37"/>
  <c r="L88" i="37" s="1"/>
  <c r="K92" i="37"/>
  <c r="K93" i="37"/>
  <c r="K94" i="37"/>
  <c r="M98" i="37"/>
  <c r="M45" i="37"/>
  <c r="M99" i="37"/>
  <c r="L105" i="37"/>
  <c r="M104" i="37"/>
  <c r="M38" i="37"/>
  <c r="L44" i="37"/>
  <c r="N18" i="37"/>
  <c r="N20" i="37" s="1"/>
  <c r="K207" i="37" l="1"/>
  <c r="K209" i="37"/>
  <c r="M59" i="37"/>
  <c r="N19" i="37"/>
  <c r="N21" i="37" s="1"/>
  <c r="M63" i="37"/>
  <c r="M61" i="37"/>
  <c r="M62" i="37"/>
  <c r="M60" i="37"/>
  <c r="I252" i="37"/>
  <c r="K248" i="37"/>
  <c r="K206" i="37"/>
  <c r="K208" i="37"/>
  <c r="K245" i="37"/>
  <c r="K202" i="37"/>
  <c r="K205" i="37"/>
  <c r="K249" i="37"/>
  <c r="K246" i="37"/>
  <c r="K247" i="37"/>
  <c r="L249" i="37"/>
  <c r="L248" i="37"/>
  <c r="L247" i="37"/>
  <c r="L245" i="37"/>
  <c r="L246" i="37"/>
  <c r="L122" i="37"/>
  <c r="L120" i="37"/>
  <c r="L119" i="37"/>
  <c r="L121" i="37"/>
  <c r="L123" i="37"/>
  <c r="N54" i="37"/>
  <c r="N56" i="37"/>
  <c r="N55" i="37"/>
  <c r="N57" i="37"/>
  <c r="N53" i="37"/>
  <c r="L92" i="37"/>
  <c r="M87" i="37"/>
  <c r="M88" i="37" s="1"/>
  <c r="L95" i="37"/>
  <c r="M325" i="37"/>
  <c r="M352" i="37" s="1"/>
  <c r="M322" i="37"/>
  <c r="M349" i="37" s="1"/>
  <c r="M324" i="37"/>
  <c r="M351" i="37" s="1"/>
  <c r="M326" i="37"/>
  <c r="M353" i="37" s="1"/>
  <c r="M323" i="37"/>
  <c r="M350" i="37" s="1"/>
  <c r="L91" i="37"/>
  <c r="L94" i="37"/>
  <c r="L93" i="37"/>
  <c r="L209" i="37"/>
  <c r="L207" i="37"/>
  <c r="L205" i="37"/>
  <c r="L208" i="37"/>
  <c r="M201" i="37"/>
  <c r="M202" i="37" s="1"/>
  <c r="L206" i="37"/>
  <c r="N98" i="37"/>
  <c r="N45" i="37"/>
  <c r="N99" i="37"/>
  <c r="N104" i="37"/>
  <c r="M105" i="37"/>
  <c r="N38" i="37"/>
  <c r="M44" i="37"/>
  <c r="O19" i="37"/>
  <c r="O21" i="37" s="1"/>
  <c r="O18" i="37"/>
  <c r="O20" i="37" s="1"/>
  <c r="N59" i="37" l="1"/>
  <c r="N63" i="37"/>
  <c r="N61" i="37"/>
  <c r="N60" i="37"/>
  <c r="N62" i="37"/>
  <c r="M249" i="37"/>
  <c r="M248" i="37"/>
  <c r="M245" i="37"/>
  <c r="M247" i="37"/>
  <c r="M246" i="37"/>
  <c r="N87" i="37"/>
  <c r="N93" i="37" s="1"/>
  <c r="M123" i="37"/>
  <c r="M120" i="37"/>
  <c r="M122" i="37"/>
  <c r="M121" i="37"/>
  <c r="M119" i="37"/>
  <c r="M93" i="37"/>
  <c r="O59" i="37"/>
  <c r="O62" i="37"/>
  <c r="O63" i="37"/>
  <c r="O60" i="37"/>
  <c r="O61" i="37"/>
  <c r="O56" i="37"/>
  <c r="O54" i="37"/>
  <c r="O57" i="37"/>
  <c r="O55" i="37"/>
  <c r="O53" i="37"/>
  <c r="M91" i="37"/>
  <c r="M95" i="37"/>
  <c r="M94" i="37"/>
  <c r="M92" i="37"/>
  <c r="N325" i="37"/>
  <c r="N352" i="37" s="1"/>
  <c r="N324" i="37"/>
  <c r="N351" i="37" s="1"/>
  <c r="N323" i="37"/>
  <c r="N350" i="37" s="1"/>
  <c r="N322" i="37"/>
  <c r="N349" i="37" s="1"/>
  <c r="N326" i="37"/>
  <c r="N353" i="37" s="1"/>
  <c r="N201" i="37"/>
  <c r="N202" i="37" s="1"/>
  <c r="M209" i="37"/>
  <c r="M207" i="37"/>
  <c r="M205" i="37"/>
  <c r="M208" i="37"/>
  <c r="M206" i="37"/>
  <c r="O98" i="37"/>
  <c r="O45" i="37"/>
  <c r="O99" i="37"/>
  <c r="O104" i="37"/>
  <c r="N105" i="37"/>
  <c r="O38" i="37"/>
  <c r="N44" i="37"/>
  <c r="P18" i="37"/>
  <c r="P19" i="37"/>
  <c r="P20" i="37" l="1"/>
  <c r="P55" i="37"/>
  <c r="P56" i="37"/>
  <c r="P53" i="37"/>
  <c r="P54" i="37"/>
  <c r="P57" i="37"/>
  <c r="N94" i="37"/>
  <c r="N88" i="37"/>
  <c r="P59" i="37"/>
  <c r="P21" i="37"/>
  <c r="N92" i="37"/>
  <c r="N91" i="37"/>
  <c r="O87" i="37"/>
  <c r="N95" i="37"/>
  <c r="N249" i="37"/>
  <c r="N248" i="37"/>
  <c r="N247" i="37"/>
  <c r="N246" i="37"/>
  <c r="N245" i="37"/>
  <c r="N122" i="37"/>
  <c r="N123" i="37"/>
  <c r="N120" i="37"/>
  <c r="N121" i="37"/>
  <c r="N119" i="37"/>
  <c r="O322" i="37"/>
  <c r="O349" i="37" s="1"/>
  <c r="O324" i="37"/>
  <c r="O351" i="37" s="1"/>
  <c r="O326" i="37"/>
  <c r="O353" i="37" s="1"/>
  <c r="O325" i="37"/>
  <c r="O352" i="37" s="1"/>
  <c r="O323" i="37"/>
  <c r="O350" i="37" s="1"/>
  <c r="N208" i="37"/>
  <c r="N206" i="37"/>
  <c r="O201" i="37"/>
  <c r="O202" i="37" s="1"/>
  <c r="N209" i="37"/>
  <c r="N207" i="37"/>
  <c r="N205" i="37"/>
  <c r="P98" i="37"/>
  <c r="P45" i="37"/>
  <c r="P99" i="37"/>
  <c r="O105" i="37"/>
  <c r="P104" i="37"/>
  <c r="P38" i="37"/>
  <c r="O44" i="37"/>
  <c r="Q19" i="37"/>
  <c r="Q18" i="37"/>
  <c r="Q20" i="37" l="1"/>
  <c r="Q53" i="37"/>
  <c r="Q56" i="37"/>
  <c r="Q54" i="37"/>
  <c r="Q57" i="37"/>
  <c r="Q55" i="37"/>
  <c r="Q59" i="37"/>
  <c r="Q21" i="37"/>
  <c r="P87" i="37"/>
  <c r="Q87" i="37" s="1"/>
  <c r="Q119" i="37" s="1"/>
  <c r="O88" i="37"/>
  <c r="P119" i="37"/>
  <c r="O92" i="37"/>
  <c r="O123" i="37"/>
  <c r="O91" i="37"/>
  <c r="O119" i="37"/>
  <c r="O93" i="37"/>
  <c r="O121" i="37"/>
  <c r="O94" i="37"/>
  <c r="O95" i="37"/>
  <c r="O120" i="37"/>
  <c r="O122" i="37"/>
  <c r="O248" i="37"/>
  <c r="O247" i="37"/>
  <c r="O246" i="37"/>
  <c r="O245" i="37"/>
  <c r="O249" i="37"/>
  <c r="P326" i="37"/>
  <c r="P353" i="37" s="1"/>
  <c r="P323" i="37"/>
  <c r="P350" i="37" s="1"/>
  <c r="P322" i="37"/>
  <c r="P349" i="37" s="1"/>
  <c r="P325" i="37"/>
  <c r="P352" i="37" s="1"/>
  <c r="P324" i="37"/>
  <c r="P351" i="37" s="1"/>
  <c r="O208" i="37"/>
  <c r="O206" i="37"/>
  <c r="O205" i="37"/>
  <c r="O207" i="37"/>
  <c r="P201" i="37"/>
  <c r="O209" i="37"/>
  <c r="Q98" i="37"/>
  <c r="Q45" i="37"/>
  <c r="Q99" i="37"/>
  <c r="P93" i="37"/>
  <c r="P95" i="37"/>
  <c r="P92" i="37"/>
  <c r="P105" i="37"/>
  <c r="Q104" i="37"/>
  <c r="Q38" i="37"/>
  <c r="P44" i="37"/>
  <c r="R18" i="37"/>
  <c r="R19" i="37"/>
  <c r="P91" i="37" l="1"/>
  <c r="P94" i="37"/>
  <c r="R20" i="37"/>
  <c r="R53" i="37"/>
  <c r="R56" i="37"/>
  <c r="R54" i="37"/>
  <c r="R57" i="37"/>
  <c r="R55" i="37"/>
  <c r="P245" i="37"/>
  <c r="P202" i="37"/>
  <c r="Q168" i="37"/>
  <c r="Q88" i="37"/>
  <c r="R59" i="37"/>
  <c r="R21" i="37"/>
  <c r="P168" i="37"/>
  <c r="P88" i="37"/>
  <c r="R87" i="37"/>
  <c r="R88" i="37" s="1"/>
  <c r="Q326" i="37"/>
  <c r="Q353" i="37" s="1"/>
  <c r="Q323" i="37"/>
  <c r="Q350" i="37" s="1"/>
  <c r="Q324" i="37"/>
  <c r="Q351" i="37" s="1"/>
  <c r="Q322" i="37"/>
  <c r="Q349" i="37" s="1"/>
  <c r="Q325" i="37"/>
  <c r="Q352" i="37" s="1"/>
  <c r="P209" i="37"/>
  <c r="P207" i="37"/>
  <c r="P208" i="37"/>
  <c r="P205" i="37"/>
  <c r="P206" i="37"/>
  <c r="Q201" i="37"/>
  <c r="R98" i="37"/>
  <c r="R45" i="37"/>
  <c r="R99" i="37"/>
  <c r="Q95" i="37"/>
  <c r="Q93" i="37"/>
  <c r="Q92" i="37"/>
  <c r="Q94" i="37"/>
  <c r="Q91" i="37"/>
  <c r="Q105" i="37"/>
  <c r="R104" i="37"/>
  <c r="R38" i="37"/>
  <c r="Q44" i="37"/>
  <c r="S19" i="37"/>
  <c r="S18" i="37"/>
  <c r="R168" i="37" l="1"/>
  <c r="S87" i="37"/>
  <c r="S88" i="37" s="1"/>
  <c r="S59" i="37"/>
  <c r="S21" i="37"/>
  <c r="Q245" i="37"/>
  <c r="Q202" i="37"/>
  <c r="R119" i="37"/>
  <c r="S20" i="37"/>
  <c r="S56" i="37"/>
  <c r="S54" i="37"/>
  <c r="S57" i="37"/>
  <c r="S55" i="37"/>
  <c r="S53" i="37"/>
  <c r="S119" i="37"/>
  <c r="S168" i="37"/>
  <c r="R323" i="37"/>
  <c r="R350" i="37" s="1"/>
  <c r="R326" i="37"/>
  <c r="R353" i="37" s="1"/>
  <c r="R325" i="37"/>
  <c r="R352" i="37" s="1"/>
  <c r="R322" i="37"/>
  <c r="R349" i="37" s="1"/>
  <c r="R324" i="37"/>
  <c r="R351" i="37" s="1"/>
  <c r="Q208" i="37"/>
  <c r="Q206" i="37"/>
  <c r="Q207" i="37"/>
  <c r="Q205" i="37"/>
  <c r="Q209" i="37"/>
  <c r="R201" i="37"/>
  <c r="S98" i="37"/>
  <c r="S45" i="37"/>
  <c r="S99" i="37"/>
  <c r="R92" i="37"/>
  <c r="R93" i="37"/>
  <c r="R94" i="37"/>
  <c r="R95" i="37"/>
  <c r="R91" i="37"/>
  <c r="R105" i="37"/>
  <c r="S104" i="37"/>
  <c r="T87" i="37"/>
  <c r="S38" i="37"/>
  <c r="R44" i="37"/>
  <c r="T18" i="37"/>
  <c r="T19" i="37"/>
  <c r="T21" i="37" s="1"/>
  <c r="T168" i="37" l="1"/>
  <c r="T88" i="37"/>
  <c r="T20" i="37"/>
  <c r="T54" i="37"/>
  <c r="T55" i="37"/>
  <c r="T57" i="37"/>
  <c r="T53" i="37"/>
  <c r="T56" i="37"/>
  <c r="R245" i="37"/>
  <c r="R202" i="37"/>
  <c r="T119" i="37"/>
  <c r="T59" i="37"/>
  <c r="S325" i="37"/>
  <c r="S352" i="37" s="1"/>
  <c r="S323" i="37"/>
  <c r="S350" i="37" s="1"/>
  <c r="S324" i="37"/>
  <c r="S351" i="37" s="1"/>
  <c r="S326" i="37"/>
  <c r="S353" i="37" s="1"/>
  <c r="S322" i="37"/>
  <c r="S349" i="37" s="1"/>
  <c r="R208" i="37"/>
  <c r="R206" i="37"/>
  <c r="R207" i="37"/>
  <c r="R205" i="37"/>
  <c r="R209" i="37"/>
  <c r="S201" i="37"/>
  <c r="T98" i="37"/>
  <c r="T45" i="37"/>
  <c r="T99" i="37"/>
  <c r="S92" i="37"/>
  <c r="S91" i="37"/>
  <c r="S94" i="37"/>
  <c r="S93" i="37"/>
  <c r="S95" i="37"/>
  <c r="S105" i="37"/>
  <c r="T104" i="37"/>
  <c r="T38" i="37"/>
  <c r="S44" i="37"/>
  <c r="T44" i="37"/>
  <c r="S245" i="37" l="1"/>
  <c r="S202" i="37"/>
  <c r="T105" i="37"/>
  <c r="T322" i="37"/>
  <c r="T349" i="37" s="1"/>
  <c r="T326" i="37"/>
  <c r="T353" i="37" s="1"/>
  <c r="T324" i="37"/>
  <c r="T351" i="37" s="1"/>
  <c r="T323" i="37"/>
  <c r="T350" i="37" s="1"/>
  <c r="T325" i="37"/>
  <c r="T352" i="37" s="1"/>
  <c r="S209" i="37"/>
  <c r="S207" i="37"/>
  <c r="S205" i="37"/>
  <c r="S206" i="37"/>
  <c r="S208" i="37"/>
  <c r="T201" i="37"/>
  <c r="T92" i="37"/>
  <c r="T94" i="37"/>
  <c r="T95" i="37"/>
  <c r="T91" i="37"/>
  <c r="T93" i="37"/>
  <c r="T245" i="37" l="1"/>
  <c r="T202" i="37"/>
  <c r="T205" i="37"/>
  <c r="T207" i="37"/>
  <c r="T208" i="37"/>
  <c r="T209" i="37"/>
  <c r="T206" i="37"/>
  <c r="C1686" i="79" l="1"/>
  <c r="Q776" i="59" l="1"/>
  <c r="Q777" i="59" s="1"/>
  <c r="Q778" i="59" s="1"/>
  <c r="C774" i="59"/>
  <c r="C775" i="59" s="1"/>
  <c r="Q779" i="59" l="1"/>
  <c r="C776" i="59"/>
  <c r="C777" i="59" l="1"/>
  <c r="Q780" i="59"/>
  <c r="C778" i="59" l="1"/>
  <c r="Q781" i="59"/>
  <c r="Q782" i="59" l="1"/>
  <c r="C779" i="59"/>
  <c r="C780" i="59" l="1"/>
  <c r="Q783" i="59"/>
  <c r="Q784" i="59" l="1"/>
  <c r="C781" i="59"/>
  <c r="C782" i="59" l="1"/>
  <c r="Q785" i="59"/>
  <c r="Q786" i="59" l="1"/>
  <c r="C783" i="59"/>
  <c r="C784" i="59" l="1"/>
  <c r="Q787" i="59"/>
  <c r="Q788" i="59" l="1"/>
  <c r="C785" i="59"/>
  <c r="C786" i="59" l="1"/>
  <c r="Q789" i="59"/>
  <c r="C787" i="59" l="1"/>
  <c r="Q790" i="59"/>
  <c r="C788" i="59" l="1"/>
  <c r="Q791" i="59"/>
  <c r="C789" i="59" l="1"/>
  <c r="Q792" i="59"/>
  <c r="C790" i="59" l="1"/>
  <c r="C791" i="59" l="1"/>
  <c r="C792" i="59" l="1"/>
  <c r="E402" i="54" l="1"/>
  <c r="A402" i="54"/>
  <c r="A403" i="54" s="1"/>
  <c r="H401" i="54" a="1"/>
  <c r="H401" i="54" s="1"/>
  <c r="Q755" i="59"/>
  <c r="C753" i="59"/>
  <c r="C732" i="59"/>
  <c r="C733" i="59" s="1"/>
  <c r="C711" i="59"/>
  <c r="C712" i="59" s="1"/>
  <c r="C690" i="59"/>
  <c r="C691" i="59" s="1"/>
  <c r="C707" i="79"/>
  <c r="C680" i="79"/>
  <c r="C669" i="59"/>
  <c r="C670" i="59" s="1"/>
  <c r="E403" i="54" l="1"/>
  <c r="D402" i="54"/>
  <c r="M401" i="54"/>
  <c r="K401" i="54"/>
  <c r="Q401" i="54"/>
  <c r="R401" i="54" s="1"/>
  <c r="S401" i="54" s="1"/>
  <c r="T401" i="54" s="1"/>
  <c r="U401" i="54" s="1"/>
  <c r="V401" i="54" s="1"/>
  <c r="P401" i="54"/>
  <c r="O401" i="54"/>
  <c r="N401" i="54"/>
  <c r="L401" i="54"/>
  <c r="H402" i="54" a="1"/>
  <c r="H402" i="54" s="1"/>
  <c r="H403" i="54" a="1"/>
  <c r="H403" i="54" s="1"/>
  <c r="A404" i="54"/>
  <c r="C754" i="59"/>
  <c r="C755" i="59" s="1"/>
  <c r="Q756" i="59"/>
  <c r="C734" i="59"/>
  <c r="C713" i="59"/>
  <c r="C692" i="59"/>
  <c r="C671" i="59"/>
  <c r="AJ24" i="10"/>
  <c r="AJ23" i="10"/>
  <c r="AJ22" i="10"/>
  <c r="AJ19" i="10"/>
  <c r="AJ18" i="10"/>
  <c r="AJ17" i="10"/>
  <c r="AJ16" i="10"/>
  <c r="AJ15" i="10"/>
  <c r="AJ14" i="10"/>
  <c r="AJ13" i="10"/>
  <c r="AJ10" i="10"/>
  <c r="AJ9" i="10"/>
  <c r="AJ8" i="10"/>
  <c r="AJ7" i="10"/>
  <c r="AJ6" i="10"/>
  <c r="AJ5" i="10"/>
  <c r="AJ4" i="10"/>
  <c r="E404" i="54" l="1"/>
  <c r="D403" i="54"/>
  <c r="L403" i="54"/>
  <c r="K403" i="54"/>
  <c r="N403" i="54"/>
  <c r="M403" i="54"/>
  <c r="Q403" i="54"/>
  <c r="R403" i="54" s="1"/>
  <c r="S403" i="54" s="1"/>
  <c r="T403" i="54" s="1"/>
  <c r="U403" i="54" s="1"/>
  <c r="V403" i="54" s="1"/>
  <c r="P403" i="54"/>
  <c r="O403" i="54"/>
  <c r="H404" i="54" a="1"/>
  <c r="H404" i="54" s="1"/>
  <c r="A405" i="54"/>
  <c r="C756" i="59"/>
  <c r="C757" i="59" s="1"/>
  <c r="Q757" i="59"/>
  <c r="C735" i="59"/>
  <c r="C714" i="59"/>
  <c r="C693" i="59"/>
  <c r="C672" i="59"/>
  <c r="C1732" i="79"/>
  <c r="B1732" i="79" s="1"/>
  <c r="C1731" i="79"/>
  <c r="B1731" i="79" s="1"/>
  <c r="C1730" i="79"/>
  <c r="B1730" i="79" s="1"/>
  <c r="C1747" i="79"/>
  <c r="B1747" i="79" s="1"/>
  <c r="C1746" i="79"/>
  <c r="B1746" i="79" s="1"/>
  <c r="C1745" i="79"/>
  <c r="B1745" i="79" s="1"/>
  <c r="C1762" i="79"/>
  <c r="B1762" i="79" s="1"/>
  <c r="C1761" i="79"/>
  <c r="B1761" i="79" s="1"/>
  <c r="C1760" i="79"/>
  <c r="B1760" i="79" s="1"/>
  <c r="C1717" i="79"/>
  <c r="B1717" i="79" s="1"/>
  <c r="C1716" i="79"/>
  <c r="B1716" i="79" s="1"/>
  <c r="C1715" i="79"/>
  <c r="B1715" i="79" s="1"/>
  <c r="C1702" i="79"/>
  <c r="B1702" i="79" s="1"/>
  <c r="C1701" i="79"/>
  <c r="B1701" i="79" s="1"/>
  <c r="C1700" i="79"/>
  <c r="B1700" i="79" s="1"/>
  <c r="C1911" i="79"/>
  <c r="C1886" i="79"/>
  <c r="B1909" i="79"/>
  <c r="B1908" i="79"/>
  <c r="B1907" i="79"/>
  <c r="B1906" i="79"/>
  <c r="B1905" i="79"/>
  <c r="B1903" i="79"/>
  <c r="B1902" i="79"/>
  <c r="B1901" i="79"/>
  <c r="B1900" i="79"/>
  <c r="B1899" i="79"/>
  <c r="B1897" i="79"/>
  <c r="B1896" i="79"/>
  <c r="B1895" i="79"/>
  <c r="B1894" i="79"/>
  <c r="B1893" i="79"/>
  <c r="B1872" i="79"/>
  <c r="B1871" i="79"/>
  <c r="B1870" i="79"/>
  <c r="B1869" i="79"/>
  <c r="B1868" i="79"/>
  <c r="B1878" i="79"/>
  <c r="B1877" i="79"/>
  <c r="B1876" i="79"/>
  <c r="B1875" i="79"/>
  <c r="B1874" i="79"/>
  <c r="B1884" i="79"/>
  <c r="B1883" i="79"/>
  <c r="B1882" i="79"/>
  <c r="B1881" i="79"/>
  <c r="B1880" i="79"/>
  <c r="B2135" i="79"/>
  <c r="B2134" i="79"/>
  <c r="B2133" i="79"/>
  <c r="B2132" i="79"/>
  <c r="B2131" i="79"/>
  <c r="B2166" i="79"/>
  <c r="B2165" i="79"/>
  <c r="B2164" i="79"/>
  <c r="B2163" i="79"/>
  <c r="B2162" i="79"/>
  <c r="B2172" i="79"/>
  <c r="B2171" i="79"/>
  <c r="B2170" i="79"/>
  <c r="B2169" i="79"/>
  <c r="B2168" i="79"/>
  <c r="B2160" i="79"/>
  <c r="B2159" i="79"/>
  <c r="B2158" i="79"/>
  <c r="B2157" i="79"/>
  <c r="B2156" i="79"/>
  <c r="B2067" i="79"/>
  <c r="B2066" i="79"/>
  <c r="B2065" i="79"/>
  <c r="B2064" i="79"/>
  <c r="B2063" i="79"/>
  <c r="B2061" i="79"/>
  <c r="B2060" i="79"/>
  <c r="B2059" i="79"/>
  <c r="B2058" i="79"/>
  <c r="B2057" i="79"/>
  <c r="B2055" i="79"/>
  <c r="B2054" i="79"/>
  <c r="B2053" i="79"/>
  <c r="B2052" i="79"/>
  <c r="B2051" i="79"/>
  <c r="B2049" i="79"/>
  <c r="B2048" i="79"/>
  <c r="B2047" i="79"/>
  <c r="B2046" i="79"/>
  <c r="B2045" i="79"/>
  <c r="C169" i="79"/>
  <c r="C150" i="79"/>
  <c r="B2086" i="79"/>
  <c r="B2085" i="79"/>
  <c r="B2084" i="79"/>
  <c r="B2083" i="79"/>
  <c r="B2082" i="79"/>
  <c r="B2098" i="79"/>
  <c r="B2097" i="79"/>
  <c r="B2096" i="79"/>
  <c r="B2095" i="79"/>
  <c r="B2094" i="79"/>
  <c r="B2092" i="79"/>
  <c r="B2091" i="79"/>
  <c r="B2090" i="79"/>
  <c r="B2089" i="79"/>
  <c r="B2088" i="79"/>
  <c r="B2080" i="79"/>
  <c r="B2079" i="79"/>
  <c r="B2078" i="79"/>
  <c r="B2077" i="79"/>
  <c r="B2076" i="79"/>
  <c r="B2110" i="79"/>
  <c r="B2109" i="79"/>
  <c r="B2108" i="79"/>
  <c r="B2107" i="79"/>
  <c r="B2106" i="79"/>
  <c r="B2147" i="79"/>
  <c r="B2146" i="79"/>
  <c r="B2145" i="79"/>
  <c r="B2144" i="79"/>
  <c r="B2143" i="79"/>
  <c r="B2141" i="79"/>
  <c r="B2140" i="79"/>
  <c r="B2139" i="79"/>
  <c r="B2138" i="79"/>
  <c r="B2137" i="79"/>
  <c r="B2129" i="79"/>
  <c r="B2128" i="79"/>
  <c r="B2127" i="79"/>
  <c r="B2126" i="79"/>
  <c r="B2125" i="79"/>
  <c r="C2118" i="79"/>
  <c r="C2069" i="79"/>
  <c r="C2038" i="79"/>
  <c r="B2116" i="79"/>
  <c r="B2115" i="79"/>
  <c r="B2114" i="79"/>
  <c r="B2113" i="79"/>
  <c r="B2112" i="79"/>
  <c r="B2104" i="79"/>
  <c r="B2103" i="79"/>
  <c r="B2102" i="79"/>
  <c r="B2101" i="79"/>
  <c r="B2100" i="79"/>
  <c r="C1356" i="79"/>
  <c r="B1356" i="79" s="1"/>
  <c r="C1401" i="79"/>
  <c r="B1401" i="79" s="1"/>
  <c r="C1446" i="79"/>
  <c r="B1446" i="79" s="1"/>
  <c r="C1491" i="79"/>
  <c r="B1491" i="79" s="1"/>
  <c r="C1311" i="79"/>
  <c r="B1311" i="79" s="1"/>
  <c r="C1093" i="79"/>
  <c r="B1093" i="79" s="1"/>
  <c r="C1130" i="79"/>
  <c r="B1130" i="79" s="1"/>
  <c r="C1167" i="79"/>
  <c r="B1167" i="79" s="1"/>
  <c r="C1204" i="79"/>
  <c r="B1204" i="79" s="1"/>
  <c r="C1056" i="79"/>
  <c r="B1056" i="79" s="1"/>
  <c r="C846" i="79"/>
  <c r="B846" i="79" s="1"/>
  <c r="C883" i="79"/>
  <c r="B883" i="79" s="1"/>
  <c r="C920" i="79"/>
  <c r="B920" i="79" s="1"/>
  <c r="C957" i="79"/>
  <c r="B957" i="79" s="1"/>
  <c r="C809" i="79"/>
  <c r="B809" i="79" s="1"/>
  <c r="C726" i="79"/>
  <c r="B726" i="79" s="1"/>
  <c r="C699" i="79"/>
  <c r="B699" i="79" s="1"/>
  <c r="C672" i="79"/>
  <c r="B672" i="79" s="1"/>
  <c r="C645" i="79"/>
  <c r="B645" i="79" s="1"/>
  <c r="C618" i="79"/>
  <c r="B618" i="79" s="1"/>
  <c r="E405" i="54" l="1"/>
  <c r="D404" i="54"/>
  <c r="O404" i="54"/>
  <c r="N404" i="54"/>
  <c r="L404" i="54"/>
  <c r="M404" i="54"/>
  <c r="K404" i="54"/>
  <c r="Q404" i="54"/>
  <c r="R404" i="54" s="1"/>
  <c r="S404" i="54" s="1"/>
  <c r="T404" i="54" s="1"/>
  <c r="U404" i="54" s="1"/>
  <c r="V404" i="54" s="1"/>
  <c r="P404" i="54"/>
  <c r="H405" i="54" a="1"/>
  <c r="H405" i="54" s="1"/>
  <c r="A406" i="54"/>
  <c r="C758" i="59"/>
  <c r="Q758" i="59"/>
  <c r="C736" i="59"/>
  <c r="C715" i="59"/>
  <c r="C694" i="59"/>
  <c r="C673" i="59"/>
  <c r="E1796" i="79"/>
  <c r="E1795" i="79"/>
  <c r="E1794" i="79"/>
  <c r="E1793" i="79"/>
  <c r="E1792" i="79"/>
  <c r="C1791" i="79"/>
  <c r="C1861" i="79"/>
  <c r="E1822" i="79"/>
  <c r="E1821" i="79"/>
  <c r="E1820" i="79"/>
  <c r="E1819" i="79"/>
  <c r="C1817" i="79"/>
  <c r="C1829" i="79"/>
  <c r="C1828" i="79"/>
  <c r="C1827" i="79"/>
  <c r="C1826" i="79"/>
  <c r="C1825" i="79"/>
  <c r="C1824" i="79"/>
  <c r="C1803" i="79"/>
  <c r="B1803" i="79" s="1"/>
  <c r="C1802" i="79"/>
  <c r="B1802" i="79" s="1"/>
  <c r="C1801" i="79"/>
  <c r="C1813" i="79" s="1"/>
  <c r="B1813" i="79" s="1"/>
  <c r="C1800" i="79"/>
  <c r="C1806" i="79" s="1"/>
  <c r="B1806" i="79" s="1"/>
  <c r="C1799" i="79"/>
  <c r="C1805" i="79" s="1"/>
  <c r="B1805" i="79" s="1"/>
  <c r="C1798" i="79"/>
  <c r="C3225" i="79"/>
  <c r="B3225" i="79" s="1"/>
  <c r="C2533" i="79"/>
  <c r="B2533" i="79" s="1"/>
  <c r="C75" i="79"/>
  <c r="C1460" i="79"/>
  <c r="B1460" i="79" s="1"/>
  <c r="C1459" i="79"/>
  <c r="B1459" i="79" s="1"/>
  <c r="C1458" i="79"/>
  <c r="B1458" i="79" s="1"/>
  <c r="C1457" i="79"/>
  <c r="B1457" i="79" s="1"/>
  <c r="C1415" i="79"/>
  <c r="B1415" i="79" s="1"/>
  <c r="C1414" i="79"/>
  <c r="B1414" i="79" s="1"/>
  <c r="C1413" i="79"/>
  <c r="B1413" i="79" s="1"/>
  <c r="C1412" i="79"/>
  <c r="B1412" i="79" s="1"/>
  <c r="C1370" i="79"/>
  <c r="B1370" i="79" s="1"/>
  <c r="C1369" i="79"/>
  <c r="B1369" i="79" s="1"/>
  <c r="C1368" i="79"/>
  <c r="B1368" i="79" s="1"/>
  <c r="C1367" i="79"/>
  <c r="B1367" i="79" s="1"/>
  <c r="C1325" i="79"/>
  <c r="B1325" i="79" s="1"/>
  <c r="C1324" i="79"/>
  <c r="B1324" i="79" s="1"/>
  <c r="C1323" i="79"/>
  <c r="B1323" i="79" s="1"/>
  <c r="C1322" i="79"/>
  <c r="B1322" i="79" s="1"/>
  <c r="C1280" i="79"/>
  <c r="B1280" i="79" s="1"/>
  <c r="C1279" i="79"/>
  <c r="B1279" i="79" s="1"/>
  <c r="C1278" i="79"/>
  <c r="B1278" i="79" s="1"/>
  <c r="C1277" i="79"/>
  <c r="B1277" i="79" s="1"/>
  <c r="C1181" i="79"/>
  <c r="B1181" i="79" s="1"/>
  <c r="C1180" i="79"/>
  <c r="B1180" i="79" s="1"/>
  <c r="C1144" i="79"/>
  <c r="B1144" i="79" s="1"/>
  <c r="C1143" i="79"/>
  <c r="B1143" i="79" s="1"/>
  <c r="C1107" i="79"/>
  <c r="B1107" i="79" s="1"/>
  <c r="C1106" i="79"/>
  <c r="B1106" i="79" s="1"/>
  <c r="C1070" i="79"/>
  <c r="B1070" i="79" s="1"/>
  <c r="C1069" i="79"/>
  <c r="B1069" i="79" s="1"/>
  <c r="C1033" i="79"/>
  <c r="B1033" i="79" s="1"/>
  <c r="C1032" i="79"/>
  <c r="B1032" i="79" s="1"/>
  <c r="C1179" i="79"/>
  <c r="B1179" i="79" s="1"/>
  <c r="C1178" i="79"/>
  <c r="B1178" i="79" s="1"/>
  <c r="C1142" i="79"/>
  <c r="B1142" i="79" s="1"/>
  <c r="C1141" i="79"/>
  <c r="B1141" i="79" s="1"/>
  <c r="C1105" i="79"/>
  <c r="B1105" i="79" s="1"/>
  <c r="C1104" i="79"/>
  <c r="B1104" i="79" s="1"/>
  <c r="C1068" i="79"/>
  <c r="B1068" i="79" s="1"/>
  <c r="C1067" i="79"/>
  <c r="B1067" i="79" s="1"/>
  <c r="C1031" i="79"/>
  <c r="B1031" i="79" s="1"/>
  <c r="C1030" i="79"/>
  <c r="B1030" i="79" s="1"/>
  <c r="C1146" i="79"/>
  <c r="B1146" i="79" s="1"/>
  <c r="C1109" i="79"/>
  <c r="B1109" i="79" s="1"/>
  <c r="C1092" i="79"/>
  <c r="B1092" i="79" s="1"/>
  <c r="C1129" i="79"/>
  <c r="B1129" i="79" s="1"/>
  <c r="C1166" i="79"/>
  <c r="B1166" i="79" s="1"/>
  <c r="C1203" i="79"/>
  <c r="B1203" i="79" s="1"/>
  <c r="C1055" i="79"/>
  <c r="B1055" i="79" s="1"/>
  <c r="C1310" i="79"/>
  <c r="B1310" i="79" s="1"/>
  <c r="C1355" i="79"/>
  <c r="B1355" i="79" s="1"/>
  <c r="C1400" i="79"/>
  <c r="B1400" i="79" s="1"/>
  <c r="C1445" i="79"/>
  <c r="B1445" i="79" s="1"/>
  <c r="C1490" i="79"/>
  <c r="B1490" i="79" s="1"/>
  <c r="C854" i="79"/>
  <c r="B854" i="79" s="1"/>
  <c r="C891" i="79"/>
  <c r="B891" i="79" s="1"/>
  <c r="C928" i="79"/>
  <c r="B928" i="79" s="1"/>
  <c r="C823" i="79"/>
  <c r="B823" i="79" s="1"/>
  <c r="C822" i="79"/>
  <c r="B822" i="79" s="1"/>
  <c r="C821" i="79"/>
  <c r="B821" i="79" s="1"/>
  <c r="C820" i="79"/>
  <c r="B820" i="79" s="1"/>
  <c r="C819" i="79"/>
  <c r="C860" i="79"/>
  <c r="B860" i="79" s="1"/>
  <c r="C859" i="79"/>
  <c r="B859" i="79" s="1"/>
  <c r="C858" i="79"/>
  <c r="B858" i="79" s="1"/>
  <c r="C857" i="79"/>
  <c r="B857" i="79" s="1"/>
  <c r="C897" i="79"/>
  <c r="B897" i="79" s="1"/>
  <c r="C896" i="79"/>
  <c r="B896" i="79" s="1"/>
  <c r="C895" i="79"/>
  <c r="B895" i="79" s="1"/>
  <c r="C894" i="79"/>
  <c r="B894" i="79" s="1"/>
  <c r="C934" i="79"/>
  <c r="B934" i="79" s="1"/>
  <c r="C933" i="79"/>
  <c r="B933" i="79" s="1"/>
  <c r="C932" i="79"/>
  <c r="B932" i="79" s="1"/>
  <c r="C931" i="79"/>
  <c r="B931" i="79" s="1"/>
  <c r="E406" i="54" l="1"/>
  <c r="D405" i="54"/>
  <c r="H406" i="54" a="1"/>
  <c r="H406" i="54" s="1"/>
  <c r="A407" i="54"/>
  <c r="Q759" i="59"/>
  <c r="C759" i="59"/>
  <c r="C737" i="59"/>
  <c r="C716" i="59"/>
  <c r="C695" i="59"/>
  <c r="C674" i="59"/>
  <c r="C1838" i="79"/>
  <c r="C1856" i="79" s="1"/>
  <c r="B1856" i="79" s="1"/>
  <c r="C1844" i="79"/>
  <c r="B1844" i="79" s="1"/>
  <c r="C1839" i="79"/>
  <c r="C1857" i="79" s="1"/>
  <c r="C1845" i="79"/>
  <c r="B1828" i="79"/>
  <c r="C1846" i="79"/>
  <c r="C1831" i="79"/>
  <c r="B1831" i="79" s="1"/>
  <c r="C1843" i="79"/>
  <c r="B1829" i="79"/>
  <c r="C1847" i="79"/>
  <c r="C1832" i="79"/>
  <c r="B1800" i="79"/>
  <c r="C1834" i="79"/>
  <c r="B1826" i="79"/>
  <c r="C1840" i="79"/>
  <c r="C1841" i="79"/>
  <c r="B1825" i="79"/>
  <c r="C1833" i="79"/>
  <c r="B1827" i="79"/>
  <c r="C1835" i="79"/>
  <c r="C1853" i="79" s="1"/>
  <c r="C1837" i="79"/>
  <c r="C1855" i="79" s="1"/>
  <c r="C1808" i="79"/>
  <c r="B1808" i="79" s="1"/>
  <c r="C1807" i="79"/>
  <c r="B1807" i="79" s="1"/>
  <c r="C1809" i="79"/>
  <c r="B1809" i="79" s="1"/>
  <c r="B1801" i="79"/>
  <c r="C1814" i="79"/>
  <c r="B1814" i="79" s="1"/>
  <c r="C1815" i="79"/>
  <c r="B1815" i="79" s="1"/>
  <c r="C1812" i="79"/>
  <c r="B1812" i="79" s="1"/>
  <c r="C786" i="79"/>
  <c r="B786" i="79" s="1"/>
  <c r="C785" i="79"/>
  <c r="B785" i="79" s="1"/>
  <c r="C784" i="79"/>
  <c r="B784" i="79" s="1"/>
  <c r="C783" i="79"/>
  <c r="B783" i="79" s="1"/>
  <c r="C877" i="79"/>
  <c r="C882" i="79"/>
  <c r="B882" i="79" s="1"/>
  <c r="C881" i="79"/>
  <c r="C919" i="79"/>
  <c r="B919" i="79" s="1"/>
  <c r="C845" i="79"/>
  <c r="B845" i="79" s="1"/>
  <c r="C808" i="79"/>
  <c r="B808" i="79" s="1"/>
  <c r="C807" i="79"/>
  <c r="C803" i="79"/>
  <c r="C799" i="79"/>
  <c r="C796" i="79"/>
  <c r="C795" i="79"/>
  <c r="C792" i="79"/>
  <c r="C788" i="79"/>
  <c r="C956" i="79"/>
  <c r="B956" i="79" s="1"/>
  <c r="C955" i="79"/>
  <c r="C951" i="79"/>
  <c r="C947" i="79"/>
  <c r="B707" i="79"/>
  <c r="B680" i="79"/>
  <c r="C653" i="79"/>
  <c r="B653" i="79" s="1"/>
  <c r="C626" i="79"/>
  <c r="B626" i="79" s="1"/>
  <c r="C644" i="79"/>
  <c r="B644" i="79" s="1"/>
  <c r="C671" i="79"/>
  <c r="B671" i="79" s="1"/>
  <c r="C698" i="79"/>
  <c r="B698" i="79" s="1"/>
  <c r="C725" i="79"/>
  <c r="B725" i="79" s="1"/>
  <c r="C617" i="79"/>
  <c r="B617" i="79" s="1"/>
  <c r="C599" i="79"/>
  <c r="B599" i="79" s="1"/>
  <c r="E407" i="54" l="1"/>
  <c r="D406" i="54"/>
  <c r="H407" i="54" a="1"/>
  <c r="H407" i="54" s="1"/>
  <c r="A408" i="54"/>
  <c r="Q760" i="59"/>
  <c r="C760" i="59"/>
  <c r="C738" i="59"/>
  <c r="C717" i="59"/>
  <c r="C696" i="59"/>
  <c r="C675" i="59"/>
  <c r="B1838" i="79"/>
  <c r="B1839" i="79"/>
  <c r="C1849" i="79"/>
  <c r="B1841" i="79"/>
  <c r="C1859" i="79"/>
  <c r="B1859" i="79" s="1"/>
  <c r="B1834" i="79"/>
  <c r="C1852" i="79"/>
  <c r="B1852" i="79" s="1"/>
  <c r="B1832" i="79"/>
  <c r="C1850" i="79"/>
  <c r="B1850" i="79" s="1"/>
  <c r="B1833" i="79"/>
  <c r="C1851" i="79"/>
  <c r="B1840" i="79"/>
  <c r="C1858" i="79"/>
  <c r="B1858" i="79" s="1"/>
  <c r="B1846" i="79"/>
  <c r="B1837" i="79"/>
  <c r="B1835" i="79"/>
  <c r="B1847" i="79"/>
  <c r="B1853" i="79"/>
  <c r="C1454" i="79"/>
  <c r="B1454" i="79" s="1"/>
  <c r="C1409" i="79"/>
  <c r="B1409" i="79" s="1"/>
  <c r="C1364" i="79"/>
  <c r="B1364" i="79" s="1"/>
  <c r="C1319" i="79"/>
  <c r="B1319" i="79" s="1"/>
  <c r="C1274" i="79"/>
  <c r="B1274" i="79" s="1"/>
  <c r="C1175" i="79"/>
  <c r="B1175" i="79" s="1"/>
  <c r="C1138" i="79"/>
  <c r="B1138" i="79" s="1"/>
  <c r="C1101" i="79"/>
  <c r="B1101" i="79" s="1"/>
  <c r="C1064" i="79"/>
  <c r="B1064" i="79" s="1"/>
  <c r="C1027" i="79"/>
  <c r="B1027" i="79" s="1"/>
  <c r="E408" i="54" l="1"/>
  <c r="D407" i="54"/>
  <c r="H408" i="54" a="1"/>
  <c r="H408" i="54" s="1"/>
  <c r="A409" i="54"/>
  <c r="C761" i="59"/>
  <c r="Q761" i="59"/>
  <c r="C739" i="59"/>
  <c r="C718" i="59"/>
  <c r="C697" i="59"/>
  <c r="C676" i="59"/>
  <c r="B1849" i="79"/>
  <c r="B1855" i="79"/>
  <c r="B1843" i="79"/>
  <c r="B1857" i="79"/>
  <c r="B1845" i="79"/>
  <c r="B1851" i="79"/>
  <c r="C24" i="79"/>
  <c r="C56" i="79"/>
  <c r="C88" i="79"/>
  <c r="C817" i="79"/>
  <c r="B817" i="79" s="1"/>
  <c r="C780" i="79"/>
  <c r="B780" i="79" s="1"/>
  <c r="E409" i="54" l="1"/>
  <c r="D408" i="54"/>
  <c r="H409" i="54" a="1"/>
  <c r="H409" i="54" s="1"/>
  <c r="A410" i="54"/>
  <c r="Q762" i="59"/>
  <c r="C762" i="59"/>
  <c r="C740" i="59"/>
  <c r="C719" i="59"/>
  <c r="C698" i="59"/>
  <c r="C677" i="59"/>
  <c r="C3248" i="79"/>
  <c r="C3234" i="79"/>
  <c r="C3231" i="79"/>
  <c r="C3227" i="79"/>
  <c r="C3345" i="79"/>
  <c r="C3314" i="79"/>
  <c r="C3283" i="79"/>
  <c r="C3252" i="79"/>
  <c r="C3014" i="79"/>
  <c r="C2992" i="79"/>
  <c r="C2957" i="79"/>
  <c r="C2922" i="79"/>
  <c r="C2887" i="79"/>
  <c r="C2852" i="79"/>
  <c r="C2817" i="79"/>
  <c r="C2803" i="79"/>
  <c r="C2792" i="79"/>
  <c r="C2769" i="79"/>
  <c r="C2746" i="79"/>
  <c r="C2723" i="79"/>
  <c r="C2700" i="79"/>
  <c r="C2677" i="79"/>
  <c r="C2663" i="79"/>
  <c r="C2649" i="79"/>
  <c r="C2545" i="79"/>
  <c r="C2625" i="79"/>
  <c r="C2601" i="79"/>
  <c r="C2577" i="79"/>
  <c r="C2553" i="79"/>
  <c r="C2512" i="79"/>
  <c r="C2478" i="79"/>
  <c r="C2444" i="79"/>
  <c r="C2410" i="79"/>
  <c r="C2376" i="79"/>
  <c r="C2342" i="79"/>
  <c r="C2320" i="79"/>
  <c r="C2307" i="79"/>
  <c r="C2282" i="79"/>
  <c r="C2257" i="79"/>
  <c r="C2232" i="79"/>
  <c r="C2207" i="79"/>
  <c r="C2182" i="79"/>
  <c r="C2174" i="79"/>
  <c r="C2149" i="79"/>
  <c r="C2509" i="79" l="1"/>
  <c r="B2509" i="79" s="1"/>
  <c r="C2510" i="79"/>
  <c r="B2510" i="79" s="1"/>
  <c r="C2475" i="79"/>
  <c r="B2475" i="79" s="1"/>
  <c r="C2476" i="79"/>
  <c r="B2476" i="79" s="1"/>
  <c r="C2441" i="79"/>
  <c r="B2441" i="79" s="1"/>
  <c r="C2442" i="79"/>
  <c r="B2442" i="79" s="1"/>
  <c r="C2407" i="79"/>
  <c r="B2407" i="79" s="1"/>
  <c r="C2408" i="79"/>
  <c r="B2408" i="79" s="1"/>
  <c r="C2374" i="79"/>
  <c r="B2374" i="79" s="1"/>
  <c r="C2373" i="79"/>
  <c r="B2373" i="79" s="1"/>
  <c r="C2396" i="79"/>
  <c r="B2396" i="79" s="1"/>
  <c r="C2362" i="79"/>
  <c r="B2362" i="79" s="1"/>
  <c r="C2500" i="79"/>
  <c r="B2500" i="79" s="1"/>
  <c r="C2492" i="79"/>
  <c r="B2492" i="79" s="1"/>
  <c r="C2498" i="79"/>
  <c r="B2498" i="79" s="1"/>
  <c r="C2502" i="79"/>
  <c r="B2502" i="79" s="1"/>
  <c r="C2496" i="79"/>
  <c r="B2496" i="79" s="1"/>
  <c r="C2493" i="79"/>
  <c r="B2493" i="79" s="1"/>
  <c r="C2466" i="79"/>
  <c r="B2466" i="79" s="1"/>
  <c r="C2458" i="79"/>
  <c r="B2458" i="79" s="1"/>
  <c r="C2464" i="79"/>
  <c r="B2464" i="79" s="1"/>
  <c r="C2462" i="79"/>
  <c r="B2462" i="79" s="1"/>
  <c r="C2468" i="79"/>
  <c r="B2468" i="79" s="1"/>
  <c r="C2459" i="79"/>
  <c r="B2459" i="79" s="1"/>
  <c r="C2432" i="79"/>
  <c r="B2432" i="79" s="1"/>
  <c r="C2428" i="79"/>
  <c r="B2428" i="79" s="1"/>
  <c r="C2425" i="79"/>
  <c r="B2425" i="79" s="1"/>
  <c r="C2424" i="79"/>
  <c r="B2424" i="79" s="1"/>
  <c r="C2430" i="79"/>
  <c r="B2430" i="79" s="1"/>
  <c r="C2434" i="79"/>
  <c r="B2434" i="79" s="1"/>
  <c r="C2391" i="79"/>
  <c r="B2391" i="79" s="1"/>
  <c r="C2400" i="79"/>
  <c r="B2400" i="79" s="1"/>
  <c r="C2390" i="79"/>
  <c r="B2390" i="79" s="1"/>
  <c r="C2398" i="79"/>
  <c r="B2398" i="79" s="1"/>
  <c r="C2394" i="79"/>
  <c r="B2394" i="79" s="1"/>
  <c r="C2366" i="79"/>
  <c r="B2366" i="79" s="1"/>
  <c r="C2364" i="79"/>
  <c r="B2364" i="79" s="1"/>
  <c r="C2360" i="79"/>
  <c r="B2360" i="79" s="1"/>
  <c r="B2368" i="79"/>
  <c r="C2449" i="79"/>
  <c r="B2449" i="79" s="1"/>
  <c r="C2483" i="79"/>
  <c r="B2483" i="79" s="1"/>
  <c r="E410" i="54"/>
  <c r="D409" i="54"/>
  <c r="C3531" i="79"/>
  <c r="B3531" i="79" s="1"/>
  <c r="C3529" i="79"/>
  <c r="B3529" i="79" s="1"/>
  <c r="C3526" i="79"/>
  <c r="B3526" i="79" s="1"/>
  <c r="C3503" i="79"/>
  <c r="B3503" i="79" s="1"/>
  <c r="C3501" i="79"/>
  <c r="B3501" i="79" s="1"/>
  <c r="C3498" i="79"/>
  <c r="B3498" i="79" s="1"/>
  <c r="C3475" i="79"/>
  <c r="B3475" i="79" s="1"/>
  <c r="C3473" i="79"/>
  <c r="B3473" i="79" s="1"/>
  <c r="C3470" i="79"/>
  <c r="B3470" i="79" s="1"/>
  <c r="C3447" i="79"/>
  <c r="B3447" i="79" s="1"/>
  <c r="C3445" i="79"/>
  <c r="B3445" i="79" s="1"/>
  <c r="C3442" i="79"/>
  <c r="B3442" i="79" s="1"/>
  <c r="C3414" i="79"/>
  <c r="B3414" i="79" s="1"/>
  <c r="C3419" i="79"/>
  <c r="B3419" i="79" s="1"/>
  <c r="C3067" i="79"/>
  <c r="B3067" i="79" s="1"/>
  <c r="C3070" i="79"/>
  <c r="B3070" i="79" s="1"/>
  <c r="C3072" i="79"/>
  <c r="B3072" i="79" s="1"/>
  <c r="C3516" i="79"/>
  <c r="B3516" i="79" s="1"/>
  <c r="C3509" i="79"/>
  <c r="B3509" i="79" s="1"/>
  <c r="C3496" i="79"/>
  <c r="B3496" i="79" s="1"/>
  <c r="C3514" i="79"/>
  <c r="B3514" i="79" s="1"/>
  <c r="C3512" i="79"/>
  <c r="B3512" i="79" s="1"/>
  <c r="C3505" i="79"/>
  <c r="B3505" i="79" s="1"/>
  <c r="C3494" i="79"/>
  <c r="B3494" i="79" s="1"/>
  <c r="C3495" i="79"/>
  <c r="B3495" i="79" s="1"/>
  <c r="C3493" i="79"/>
  <c r="B3493" i="79" s="1"/>
  <c r="C3104" i="79"/>
  <c r="B3104" i="79" s="1"/>
  <c r="C3099" i="79"/>
  <c r="B3099" i="79" s="1"/>
  <c r="C3102" i="79"/>
  <c r="B3102" i="79" s="1"/>
  <c r="C3544" i="79"/>
  <c r="B3544" i="79" s="1"/>
  <c r="C3537" i="79"/>
  <c r="B3537" i="79" s="1"/>
  <c r="C3533" i="79"/>
  <c r="B3533" i="79" s="1"/>
  <c r="C3524" i="79"/>
  <c r="B3524" i="79" s="1"/>
  <c r="C3542" i="79"/>
  <c r="B3542" i="79" s="1"/>
  <c r="C3522" i="79"/>
  <c r="B3522" i="79" s="1"/>
  <c r="C3540" i="79"/>
  <c r="B3540" i="79" s="1"/>
  <c r="C3523" i="79"/>
  <c r="B3523" i="79" s="1"/>
  <c r="C3521" i="79"/>
  <c r="B3521" i="79" s="1"/>
  <c r="C3134" i="79"/>
  <c r="B3134" i="79" s="1"/>
  <c r="C3136" i="79"/>
  <c r="B3136" i="79" s="1"/>
  <c r="C3131" i="79"/>
  <c r="B3131" i="79" s="1"/>
  <c r="C3488" i="79"/>
  <c r="B3488" i="79" s="1"/>
  <c r="C3481" i="79"/>
  <c r="B3481" i="79" s="1"/>
  <c r="C3486" i="79"/>
  <c r="B3486" i="79" s="1"/>
  <c r="C3468" i="79"/>
  <c r="B3468" i="79" s="1"/>
  <c r="C3484" i="79"/>
  <c r="B3484" i="79" s="1"/>
  <c r="C3477" i="79"/>
  <c r="B3477" i="79" s="1"/>
  <c r="C3465" i="79"/>
  <c r="B3465" i="79" s="1"/>
  <c r="C3467" i="79"/>
  <c r="B3467" i="79" s="1"/>
  <c r="C3466" i="79"/>
  <c r="B3466" i="79" s="1"/>
  <c r="C3168" i="79"/>
  <c r="B3168" i="79" s="1"/>
  <c r="C3163" i="79"/>
  <c r="B3163" i="79" s="1"/>
  <c r="C3166" i="79"/>
  <c r="B3166" i="79" s="1"/>
  <c r="C3460" i="79"/>
  <c r="B3460" i="79" s="1"/>
  <c r="C3438" i="79"/>
  <c r="B3438" i="79" s="1"/>
  <c r="C3440" i="79"/>
  <c r="B3440" i="79" s="1"/>
  <c r="C3439" i="79"/>
  <c r="B3439" i="79" s="1"/>
  <c r="C3458" i="79"/>
  <c r="B3458" i="79" s="1"/>
  <c r="C3453" i="79"/>
  <c r="B3453" i="79" s="1"/>
  <c r="C3449" i="79"/>
  <c r="B3449" i="79" s="1"/>
  <c r="C3456" i="79"/>
  <c r="B3456" i="79" s="1"/>
  <c r="C3437" i="79"/>
  <c r="B3437" i="79" s="1"/>
  <c r="C3035" i="79"/>
  <c r="B3035" i="79" s="1"/>
  <c r="C3040" i="79"/>
  <c r="B3040" i="79" s="1"/>
  <c r="C3042" i="79"/>
  <c r="B3042" i="79" s="1"/>
  <c r="C3033" i="79"/>
  <c r="B3033" i="79" s="1"/>
  <c r="C3032" i="79"/>
  <c r="B3032" i="79" s="1"/>
  <c r="C3031" i="79"/>
  <c r="B3031" i="79" s="1"/>
  <c r="C3030" i="79"/>
  <c r="B3030" i="79" s="1"/>
  <c r="C3048" i="79"/>
  <c r="B3048" i="79" s="1"/>
  <c r="C3029" i="79"/>
  <c r="B3029" i="79" s="1"/>
  <c r="C3065" i="79"/>
  <c r="B3065" i="79" s="1"/>
  <c r="C3088" i="79"/>
  <c r="B3088" i="79" s="1"/>
  <c r="C3061" i="79"/>
  <c r="B3061" i="79" s="1"/>
  <c r="C3090" i="79"/>
  <c r="B3090" i="79" s="1"/>
  <c r="C3063" i="79"/>
  <c r="B3063" i="79" s="1"/>
  <c r="C3080" i="79"/>
  <c r="B3080" i="79" s="1"/>
  <c r="C3064" i="79"/>
  <c r="B3064" i="79" s="1"/>
  <c r="C3074" i="79"/>
  <c r="B3074" i="79" s="1"/>
  <c r="C3084" i="79"/>
  <c r="B3084" i="79" s="1"/>
  <c r="C3062" i="79"/>
  <c r="B3062" i="79" s="1"/>
  <c r="C3082" i="79"/>
  <c r="B3082" i="79" s="1"/>
  <c r="C3122" i="79"/>
  <c r="B3122" i="79" s="1"/>
  <c r="C3106" i="79"/>
  <c r="B3106" i="79" s="1"/>
  <c r="C3097" i="79"/>
  <c r="B3097" i="79" s="1"/>
  <c r="C3096" i="79"/>
  <c r="B3096" i="79" s="1"/>
  <c r="C3095" i="79"/>
  <c r="B3095" i="79" s="1"/>
  <c r="C3094" i="79"/>
  <c r="B3094" i="79" s="1"/>
  <c r="C3093" i="79"/>
  <c r="B3093" i="79" s="1"/>
  <c r="C3116" i="79"/>
  <c r="B3116" i="79" s="1"/>
  <c r="C3114" i="79"/>
  <c r="B3114" i="79" s="1"/>
  <c r="C3120" i="79"/>
  <c r="B3120" i="79" s="1"/>
  <c r="C3112" i="79"/>
  <c r="B3112" i="79" s="1"/>
  <c r="C3152" i="79"/>
  <c r="B3152" i="79" s="1"/>
  <c r="C3144" i="79"/>
  <c r="B3144" i="79" s="1"/>
  <c r="C3126" i="79"/>
  <c r="B3126" i="79" s="1"/>
  <c r="C3146" i="79"/>
  <c r="B3146" i="79" s="1"/>
  <c r="C3125" i="79"/>
  <c r="B3125" i="79" s="1"/>
  <c r="C3148" i="79"/>
  <c r="B3148" i="79" s="1"/>
  <c r="C3129" i="79"/>
  <c r="B3129" i="79" s="1"/>
  <c r="C3128" i="79"/>
  <c r="B3128" i="79" s="1"/>
  <c r="C3138" i="79"/>
  <c r="B3138" i="79" s="1"/>
  <c r="C3127" i="79"/>
  <c r="B3127" i="79" s="1"/>
  <c r="C3184" i="79"/>
  <c r="B3184" i="79" s="1"/>
  <c r="C3176" i="79"/>
  <c r="B3176" i="79" s="1"/>
  <c r="C3158" i="79"/>
  <c r="B3158" i="79" s="1"/>
  <c r="C3170" i="79"/>
  <c r="B3170" i="79" s="1"/>
  <c r="C3159" i="79"/>
  <c r="B3159" i="79" s="1"/>
  <c r="C3160" i="79"/>
  <c r="B3160" i="79" s="1"/>
  <c r="C3180" i="79"/>
  <c r="B3180" i="79" s="1"/>
  <c r="C3178" i="79"/>
  <c r="B3178" i="79" s="1"/>
  <c r="C3161" i="79"/>
  <c r="B3161" i="79" s="1"/>
  <c r="C3157" i="79"/>
  <c r="B3157" i="79" s="1"/>
  <c r="C3372" i="79"/>
  <c r="B3372" i="79" s="1"/>
  <c r="C3355" i="79"/>
  <c r="B3355" i="79" s="1"/>
  <c r="C3370" i="79"/>
  <c r="B3370" i="79" s="1"/>
  <c r="C3351" i="79"/>
  <c r="B3351" i="79" s="1"/>
  <c r="C3369" i="79"/>
  <c r="B3369" i="79" s="1"/>
  <c r="C3368" i="79"/>
  <c r="B3368" i="79" s="1"/>
  <c r="C3364" i="79"/>
  <c r="B3364" i="79" s="1"/>
  <c r="C3362" i="79"/>
  <c r="B3362" i="79" s="1"/>
  <c r="C3360" i="79"/>
  <c r="B3360" i="79" s="1"/>
  <c r="C3358" i="79"/>
  <c r="B3358" i="79" s="1"/>
  <c r="C3341" i="79"/>
  <c r="B3341" i="79" s="1"/>
  <c r="C3324" i="79"/>
  <c r="B3324" i="79" s="1"/>
  <c r="C3339" i="79"/>
  <c r="B3339" i="79" s="1"/>
  <c r="C3320" i="79"/>
  <c r="B3320" i="79" s="1"/>
  <c r="C3338" i="79"/>
  <c r="B3338" i="79" s="1"/>
  <c r="C3337" i="79"/>
  <c r="B3337" i="79" s="1"/>
  <c r="C3333" i="79"/>
  <c r="B3333" i="79" s="1"/>
  <c r="C3331" i="79"/>
  <c r="B3331" i="79" s="1"/>
  <c r="C3327" i="79"/>
  <c r="B3327" i="79" s="1"/>
  <c r="C3329" i="79"/>
  <c r="B3329" i="79" s="1"/>
  <c r="C3310" i="79"/>
  <c r="B3310" i="79" s="1"/>
  <c r="C3293" i="79"/>
  <c r="B3293" i="79" s="1"/>
  <c r="C3308" i="79"/>
  <c r="B3308" i="79" s="1"/>
  <c r="C3289" i="79"/>
  <c r="B3289" i="79" s="1"/>
  <c r="C3307" i="79"/>
  <c r="B3307" i="79" s="1"/>
  <c r="C3306" i="79"/>
  <c r="B3306" i="79" s="1"/>
  <c r="C3296" i="79"/>
  <c r="B3296" i="79" s="1"/>
  <c r="C3302" i="79"/>
  <c r="B3302" i="79" s="1"/>
  <c r="C3300" i="79"/>
  <c r="B3300" i="79" s="1"/>
  <c r="C3298" i="79"/>
  <c r="B3298" i="79" s="1"/>
  <c r="C3267" i="79"/>
  <c r="B3267" i="79" s="1"/>
  <c r="C3279" i="79"/>
  <c r="B3279" i="79" s="1"/>
  <c r="C3258" i="79"/>
  <c r="B3258" i="79" s="1"/>
  <c r="C3277" i="79"/>
  <c r="B3277" i="79" s="1"/>
  <c r="C3276" i="79"/>
  <c r="B3276" i="79" s="1"/>
  <c r="C3275" i="79"/>
  <c r="B3275" i="79" s="1"/>
  <c r="C3271" i="79"/>
  <c r="B3271" i="79" s="1"/>
  <c r="C3262" i="79"/>
  <c r="B3262" i="79" s="1"/>
  <c r="C3269" i="79"/>
  <c r="B3269" i="79" s="1"/>
  <c r="C3265" i="79"/>
  <c r="B3265" i="79" s="1"/>
  <c r="C3238" i="79"/>
  <c r="B3238" i="79" s="1"/>
  <c r="C2961" i="79"/>
  <c r="B2961" i="79" s="1"/>
  <c r="C2988" i="79"/>
  <c r="B2988" i="79" s="1"/>
  <c r="C2970" i="79"/>
  <c r="B2970" i="79" s="1"/>
  <c r="C2984" i="79"/>
  <c r="B2984" i="79" s="1"/>
  <c r="C2964" i="79"/>
  <c r="B2964" i="79" s="1"/>
  <c r="C2982" i="79"/>
  <c r="B2982" i="79" s="1"/>
  <c r="C2981" i="79"/>
  <c r="B2981" i="79" s="1"/>
  <c r="C2980" i="79"/>
  <c r="B2980" i="79" s="1"/>
  <c r="C2976" i="79"/>
  <c r="B2976" i="79" s="1"/>
  <c r="C2974" i="79"/>
  <c r="B2974" i="79" s="1"/>
  <c r="C2972" i="79"/>
  <c r="B2972" i="79" s="1"/>
  <c r="C2926" i="79"/>
  <c r="B2926" i="79" s="1"/>
  <c r="C2953" i="79"/>
  <c r="B2953" i="79" s="1"/>
  <c r="C2935" i="79"/>
  <c r="B2935" i="79" s="1"/>
  <c r="C2949" i="79"/>
  <c r="B2949" i="79" s="1"/>
  <c r="C2929" i="79"/>
  <c r="B2929" i="79" s="1"/>
  <c r="C2947" i="79"/>
  <c r="B2947" i="79" s="1"/>
  <c r="C2946" i="79"/>
  <c r="B2946" i="79" s="1"/>
  <c r="C2945" i="79"/>
  <c r="B2945" i="79" s="1"/>
  <c r="C2941" i="79"/>
  <c r="B2941" i="79" s="1"/>
  <c r="C2937" i="79"/>
  <c r="B2937" i="79" s="1"/>
  <c r="C2939" i="79"/>
  <c r="B2939" i="79" s="1"/>
  <c r="C2891" i="79"/>
  <c r="B2891" i="79" s="1"/>
  <c r="C2918" i="79"/>
  <c r="B2918" i="79" s="1"/>
  <c r="C2900" i="79"/>
  <c r="B2900" i="79" s="1"/>
  <c r="C2914" i="79"/>
  <c r="B2914" i="79" s="1"/>
  <c r="C2894" i="79"/>
  <c r="B2894" i="79" s="1"/>
  <c r="C2912" i="79"/>
  <c r="B2912" i="79" s="1"/>
  <c r="C2911" i="79"/>
  <c r="B2911" i="79" s="1"/>
  <c r="C2910" i="79"/>
  <c r="B2910" i="79" s="1"/>
  <c r="C2902" i="79"/>
  <c r="B2902" i="79" s="1"/>
  <c r="C2906" i="79"/>
  <c r="B2906" i="79" s="1"/>
  <c r="C2904" i="79"/>
  <c r="B2904" i="79" s="1"/>
  <c r="C2856" i="79"/>
  <c r="B2856" i="79" s="1"/>
  <c r="C2879" i="79"/>
  <c r="B2879" i="79" s="1"/>
  <c r="C2867" i="79"/>
  <c r="B2867" i="79" s="1"/>
  <c r="C2883" i="79"/>
  <c r="B2883" i="79" s="1"/>
  <c r="C2865" i="79"/>
  <c r="B2865" i="79" s="1"/>
  <c r="C2885" i="79"/>
  <c r="C2859" i="79"/>
  <c r="B2859" i="79" s="1"/>
  <c r="C2877" i="79"/>
  <c r="B2877" i="79" s="1"/>
  <c r="C2876" i="79"/>
  <c r="B2876" i="79" s="1"/>
  <c r="C2875" i="79"/>
  <c r="B2875" i="79" s="1"/>
  <c r="C2871" i="79"/>
  <c r="B2871" i="79" s="1"/>
  <c r="C2869" i="79"/>
  <c r="B2869" i="79" s="1"/>
  <c r="C2821" i="79"/>
  <c r="B2821" i="79" s="1"/>
  <c r="C2834" i="79"/>
  <c r="B2834" i="79" s="1"/>
  <c r="C2780" i="79"/>
  <c r="B2780" i="79" s="1"/>
  <c r="C2777" i="79"/>
  <c r="B2777" i="79" s="1"/>
  <c r="C2776" i="79"/>
  <c r="B2776" i="79" s="1"/>
  <c r="C2775" i="79"/>
  <c r="B2775" i="79" s="1"/>
  <c r="C2753" i="79"/>
  <c r="B2753" i="79" s="1"/>
  <c r="C2757" i="79"/>
  <c r="B2757" i="79" s="1"/>
  <c r="C2754" i="79"/>
  <c r="B2754" i="79" s="1"/>
  <c r="C2752" i="79"/>
  <c r="B2752" i="79" s="1"/>
  <c r="C2734" i="79"/>
  <c r="B2734" i="79" s="1"/>
  <c r="C2731" i="79"/>
  <c r="B2731" i="79" s="1"/>
  <c r="C2730" i="79"/>
  <c r="B2730" i="79" s="1"/>
  <c r="C2729" i="79"/>
  <c r="B2729" i="79" s="1"/>
  <c r="C2711" i="79"/>
  <c r="B2711" i="79" s="1"/>
  <c r="C2708" i="79"/>
  <c r="B2708" i="79" s="1"/>
  <c r="C2707" i="79"/>
  <c r="B2707" i="79" s="1"/>
  <c r="C2706" i="79"/>
  <c r="B2706" i="79" s="1"/>
  <c r="C2684" i="79"/>
  <c r="B2684" i="79" s="1"/>
  <c r="B2686" i="79"/>
  <c r="B2687" i="79"/>
  <c r="C2185" i="79"/>
  <c r="B2185" i="79" s="1"/>
  <c r="B2197" i="79"/>
  <c r="H410" i="54" a="1"/>
  <c r="H410" i="54" s="1"/>
  <c r="A411" i="54"/>
  <c r="C763" i="59"/>
  <c r="Q763" i="59"/>
  <c r="C741" i="59"/>
  <c r="C720" i="59"/>
  <c r="C699" i="59"/>
  <c r="C678" i="59"/>
  <c r="C2415" i="79"/>
  <c r="B2415" i="79" s="1"/>
  <c r="C2381" i="79"/>
  <c r="B2381" i="79" s="1"/>
  <c r="C2347" i="79"/>
  <c r="B2347" i="79" s="1"/>
  <c r="C2287" i="79"/>
  <c r="B2287" i="79" s="1"/>
  <c r="C2262" i="79"/>
  <c r="B2262" i="79" s="1"/>
  <c r="C2237" i="79"/>
  <c r="B2237" i="79" s="1"/>
  <c r="C2212" i="79"/>
  <c r="B2212" i="79" s="1"/>
  <c r="C2187" i="79"/>
  <c r="B2187" i="79" s="1"/>
  <c r="C3349" i="79"/>
  <c r="B3349" i="79" s="1"/>
  <c r="C3318" i="79"/>
  <c r="B3318" i="79" s="1"/>
  <c r="C3287" i="79"/>
  <c r="B3287" i="79" s="1"/>
  <c r="C3256" i="79"/>
  <c r="B3256" i="79" s="1"/>
  <c r="C2962" i="79"/>
  <c r="B2962" i="79" s="1"/>
  <c r="C2927" i="79"/>
  <c r="B2927" i="79" s="1"/>
  <c r="C2892" i="79"/>
  <c r="B2892" i="79" s="1"/>
  <c r="C2857" i="79"/>
  <c r="B2857" i="79" s="1"/>
  <c r="C2822" i="79"/>
  <c r="B2822" i="79" s="1"/>
  <c r="C2773" i="79"/>
  <c r="B2773" i="79" s="1"/>
  <c r="C2761" i="79"/>
  <c r="C2750" i="79"/>
  <c r="B2750" i="79" s="1"/>
  <c r="C2727" i="79"/>
  <c r="B2727" i="79" s="1"/>
  <c r="C2704" i="79"/>
  <c r="B2704" i="79" s="1"/>
  <c r="C2681" i="79"/>
  <c r="B2681" i="79" s="1"/>
  <c r="C2629" i="79"/>
  <c r="B2629" i="79" s="1"/>
  <c r="C2605" i="79"/>
  <c r="B2605" i="79" s="1"/>
  <c r="C2581" i="79"/>
  <c r="C2557" i="79"/>
  <c r="C2482" i="79"/>
  <c r="B2482" i="79" s="1"/>
  <c r="C2448" i="79"/>
  <c r="B2448" i="79" s="1"/>
  <c r="C2414" i="79"/>
  <c r="B2414" i="79" s="1"/>
  <c r="C2380" i="79"/>
  <c r="B2380" i="79" s="1"/>
  <c r="C2286" i="79"/>
  <c r="B2286" i="79" s="1"/>
  <c r="C2261" i="79"/>
  <c r="B2261" i="79" s="1"/>
  <c r="C2236" i="79"/>
  <c r="B2236" i="79" s="1"/>
  <c r="C2211" i="79"/>
  <c r="B2211" i="79" s="1"/>
  <c r="C2186" i="79"/>
  <c r="B2186" i="79" s="1"/>
  <c r="C2346" i="79"/>
  <c r="B2346" i="79" s="1"/>
  <c r="C2304" i="79"/>
  <c r="C2264" i="79"/>
  <c r="C2254" i="79"/>
  <c r="C2219" i="79"/>
  <c r="C2220" i="79" s="1"/>
  <c r="B2220" i="79" s="1"/>
  <c r="C2192" i="79"/>
  <c r="C2824" i="79"/>
  <c r="C2830" i="79"/>
  <c r="C2719" i="79"/>
  <c r="C2692" i="79"/>
  <c r="C2788" i="79"/>
  <c r="C2784" i="79"/>
  <c r="C2696" i="79"/>
  <c r="C2683" i="79"/>
  <c r="C2685" i="79"/>
  <c r="C2688" i="79"/>
  <c r="C2765" i="79"/>
  <c r="C2738" i="79"/>
  <c r="C2742" i="79"/>
  <c r="C2715" i="79"/>
  <c r="C2559" i="79"/>
  <c r="C2569" i="79" s="1"/>
  <c r="B2569" i="79" s="1"/>
  <c r="C2607" i="79"/>
  <c r="C2631" i="79"/>
  <c r="C2224" i="79"/>
  <c r="C2226" i="79"/>
  <c r="C2227" i="79"/>
  <c r="C2583" i="79"/>
  <c r="C2194" i="79"/>
  <c r="C2195" i="79" s="1"/>
  <c r="B2195" i="79" s="1"/>
  <c r="C2199" i="79"/>
  <c r="C2201" i="79"/>
  <c r="C2356" i="79"/>
  <c r="C2274" i="79"/>
  <c r="C2202" i="79"/>
  <c r="C2229" i="79"/>
  <c r="C2279" i="79"/>
  <c r="C2204" i="79"/>
  <c r="C2239" i="79"/>
  <c r="C2289" i="79"/>
  <c r="C2189" i="79"/>
  <c r="C2214" i="79"/>
  <c r="C2249" i="79"/>
  <c r="C2299" i="79"/>
  <c r="C1773" i="79"/>
  <c r="C1785" i="79"/>
  <c r="C2027" i="79"/>
  <c r="C2018" i="79"/>
  <c r="C1998" i="79"/>
  <c r="C2003" i="79" s="1"/>
  <c r="C1978" i="79"/>
  <c r="C1958" i="79"/>
  <c r="C1938" i="79"/>
  <c r="C1918" i="79"/>
  <c r="C1771" i="79"/>
  <c r="C1768" i="79"/>
  <c r="C1766" i="79"/>
  <c r="C1765" i="79"/>
  <c r="C1764" i="79"/>
  <c r="C1759" i="79"/>
  <c r="C1756" i="79"/>
  <c r="C1753" i="79"/>
  <c r="C1751" i="79"/>
  <c r="C1750" i="79"/>
  <c r="C1749" i="79"/>
  <c r="C1744" i="79"/>
  <c r="C1741" i="79"/>
  <c r="C1738" i="79"/>
  <c r="C1736" i="79"/>
  <c r="C1735" i="79"/>
  <c r="C1734" i="79"/>
  <c r="C1729" i="79"/>
  <c r="C1726" i="79"/>
  <c r="C1723" i="79"/>
  <c r="C1721" i="79"/>
  <c r="C1720" i="79"/>
  <c r="C1719" i="79"/>
  <c r="C1714" i="79"/>
  <c r="C1711" i="79"/>
  <c r="C1708" i="79"/>
  <c r="C1706" i="79"/>
  <c r="C1705" i="79"/>
  <c r="C1704" i="79"/>
  <c r="C1699" i="79"/>
  <c r="C1758" i="79"/>
  <c r="C1743" i="79"/>
  <c r="C1728" i="79"/>
  <c r="C1713" i="79"/>
  <c r="C1698" i="79"/>
  <c r="C1648" i="79"/>
  <c r="C1647" i="79"/>
  <c r="C1644" i="79"/>
  <c r="C1640" i="79"/>
  <c r="C1638" i="79"/>
  <c r="C1637" i="79"/>
  <c r="C1636" i="79"/>
  <c r="C1632" i="79"/>
  <c r="C1631" i="79"/>
  <c r="C1628" i="79"/>
  <c r="C1624" i="79"/>
  <c r="C1622" i="79"/>
  <c r="C1621" i="79"/>
  <c r="C1620" i="79"/>
  <c r="C1616" i="79"/>
  <c r="C1615" i="79"/>
  <c r="C1612" i="79"/>
  <c r="C1608" i="79"/>
  <c r="C1606" i="79"/>
  <c r="C1605" i="79"/>
  <c r="C1604" i="79"/>
  <c r="C1600" i="79"/>
  <c r="C1599" i="79"/>
  <c r="C1596" i="79"/>
  <c r="C1592" i="79"/>
  <c r="C1590" i="79"/>
  <c r="C1589" i="79"/>
  <c r="C1588" i="79"/>
  <c r="C1635" i="79"/>
  <c r="C1619" i="79"/>
  <c r="C1603" i="79"/>
  <c r="C1587" i="79"/>
  <c r="C1584" i="79"/>
  <c r="C1583" i="79"/>
  <c r="C1580" i="79"/>
  <c r="C1576" i="79"/>
  <c r="C1574" i="79"/>
  <c r="C1573" i="79"/>
  <c r="C1572" i="79"/>
  <c r="C1571" i="79"/>
  <c r="C1235" i="79"/>
  <c r="C1226" i="79"/>
  <c r="C1217" i="79"/>
  <c r="C1208" i="79"/>
  <c r="C1522" i="79"/>
  <c r="C1513" i="79"/>
  <c r="C1504" i="79"/>
  <c r="C1495" i="79"/>
  <c r="B1505" i="79"/>
  <c r="C1493" i="79"/>
  <c r="C1489" i="79"/>
  <c r="C1487" i="79"/>
  <c r="C1485" i="79"/>
  <c r="C1483" i="79"/>
  <c r="C1481" i="79"/>
  <c r="C1478" i="79"/>
  <c r="C1477" i="79"/>
  <c r="C1474" i="79"/>
  <c r="C1470" i="79"/>
  <c r="B1470" i="79" s="1"/>
  <c r="C1466" i="79"/>
  <c r="C1464" i="79"/>
  <c r="C1463" i="79"/>
  <c r="C1462" i="79"/>
  <c r="C1456" i="79"/>
  <c r="C1455" i="79"/>
  <c r="C1453" i="79"/>
  <c r="C1452" i="79"/>
  <c r="C1451" i="79"/>
  <c r="C1450" i="79"/>
  <c r="C1448" i="79"/>
  <c r="C1444" i="79"/>
  <c r="C1442" i="79"/>
  <c r="C1440" i="79"/>
  <c r="C1438" i="79"/>
  <c r="C1436" i="79"/>
  <c r="C1433" i="79"/>
  <c r="C1432" i="79"/>
  <c r="C1429" i="79"/>
  <c r="C1425" i="79"/>
  <c r="B1425" i="79" s="1"/>
  <c r="C1421" i="79"/>
  <c r="C1419" i="79"/>
  <c r="C1418" i="79"/>
  <c r="C1417" i="79"/>
  <c r="C1411" i="79"/>
  <c r="C1410" i="79"/>
  <c r="C1408" i="79"/>
  <c r="C1407" i="79"/>
  <c r="C1406" i="79"/>
  <c r="C1405" i="79"/>
  <c r="C1403" i="79"/>
  <c r="C1399" i="79"/>
  <c r="C1397" i="79"/>
  <c r="C1395" i="79"/>
  <c r="C1393" i="79"/>
  <c r="C1391" i="79"/>
  <c r="C1388" i="79"/>
  <c r="C1387" i="79"/>
  <c r="C1384" i="79"/>
  <c r="C1380" i="79"/>
  <c r="B1380" i="79" s="1"/>
  <c r="C1376" i="79"/>
  <c r="C1374" i="79"/>
  <c r="C1373" i="79"/>
  <c r="C1372" i="79"/>
  <c r="C1366" i="79"/>
  <c r="C1365" i="79"/>
  <c r="C1363" i="79"/>
  <c r="C1362" i="79"/>
  <c r="C1361" i="79"/>
  <c r="C1360" i="79"/>
  <c r="C1358" i="79"/>
  <c r="C1354" i="79"/>
  <c r="C1352" i="79"/>
  <c r="C1350" i="79"/>
  <c r="C1348" i="79"/>
  <c r="C1346" i="79"/>
  <c r="C1343" i="79"/>
  <c r="C1342" i="79"/>
  <c r="C1339" i="79"/>
  <c r="C1335" i="79"/>
  <c r="B1335" i="79" s="1"/>
  <c r="C1331" i="79"/>
  <c r="C1329" i="79"/>
  <c r="C1328" i="79"/>
  <c r="C1327" i="79"/>
  <c r="C1321" i="79"/>
  <c r="C1320" i="79"/>
  <c r="C1318" i="79"/>
  <c r="C1317" i="79"/>
  <c r="C1316" i="79"/>
  <c r="C1315" i="79"/>
  <c r="C1290" i="79"/>
  <c r="B1290" i="79" s="1"/>
  <c r="C1313" i="79"/>
  <c r="C1309" i="79"/>
  <c r="C1307" i="79"/>
  <c r="C1305" i="79"/>
  <c r="C1303" i="79"/>
  <c r="C1301" i="79"/>
  <c r="C1298" i="79"/>
  <c r="C1297" i="79"/>
  <c r="C1294" i="79"/>
  <c r="C1286" i="79"/>
  <c r="C1284" i="79"/>
  <c r="C1283" i="79"/>
  <c r="C1282" i="79"/>
  <c r="C1276" i="79"/>
  <c r="C1275" i="79"/>
  <c r="C1273" i="79"/>
  <c r="C1272" i="79"/>
  <c r="C1271" i="79"/>
  <c r="C1270" i="79"/>
  <c r="C1257" i="79"/>
  <c r="C1244" i="79"/>
  <c r="C1206" i="79"/>
  <c r="C1202" i="79"/>
  <c r="C1200" i="79"/>
  <c r="C1198" i="79"/>
  <c r="C1196" i="79"/>
  <c r="C1194" i="79"/>
  <c r="C1191" i="79"/>
  <c r="C1190" i="79"/>
  <c r="C1187" i="79"/>
  <c r="C1183" i="79"/>
  <c r="C1177" i="79"/>
  <c r="C1176" i="79"/>
  <c r="C1174" i="79"/>
  <c r="C1173" i="79"/>
  <c r="C1172" i="79"/>
  <c r="C1171" i="79"/>
  <c r="C1169" i="79"/>
  <c r="C1165" i="79"/>
  <c r="C1163" i="79"/>
  <c r="C1161" i="79"/>
  <c r="C1159" i="79"/>
  <c r="C1157" i="79"/>
  <c r="C1154" i="79"/>
  <c r="C1153" i="79"/>
  <c r="C1150" i="79"/>
  <c r="C1140" i="79"/>
  <c r="C1139" i="79"/>
  <c r="C1137" i="79"/>
  <c r="C1136" i="79"/>
  <c r="C1135" i="79"/>
  <c r="C1134" i="79"/>
  <c r="C1132" i="79"/>
  <c r="C1128" i="79"/>
  <c r="C1126" i="79"/>
  <c r="C1122" i="79"/>
  <c r="C1120" i="79"/>
  <c r="C1117" i="79"/>
  <c r="C1116" i="79"/>
  <c r="C1113" i="79"/>
  <c r="C1103" i="79"/>
  <c r="C1102" i="79"/>
  <c r="C1100" i="79"/>
  <c r="C1099" i="79"/>
  <c r="C1098" i="79"/>
  <c r="C1097" i="79"/>
  <c r="C1095" i="79"/>
  <c r="C1091" i="79"/>
  <c r="C1089" i="79"/>
  <c r="C1087" i="79"/>
  <c r="C1085" i="79"/>
  <c r="C1083" i="79"/>
  <c r="C1080" i="79"/>
  <c r="C1079" i="79"/>
  <c r="C1076" i="79"/>
  <c r="C1072" i="79"/>
  <c r="C1066" i="79"/>
  <c r="C1065" i="79"/>
  <c r="C1063" i="79"/>
  <c r="C1062" i="79"/>
  <c r="C1061" i="79"/>
  <c r="C1060" i="79"/>
  <c r="C1058" i="79"/>
  <c r="C1054" i="79"/>
  <c r="C1052" i="79"/>
  <c r="C1050" i="79"/>
  <c r="C1048" i="79"/>
  <c r="C1046" i="79"/>
  <c r="C1043" i="79"/>
  <c r="C1042" i="79"/>
  <c r="C1039" i="79"/>
  <c r="C1035" i="79"/>
  <c r="C1029" i="79"/>
  <c r="C1028" i="79"/>
  <c r="C1026" i="79"/>
  <c r="C1025" i="79"/>
  <c r="C1024" i="79"/>
  <c r="C1023" i="79"/>
  <c r="C1010" i="79"/>
  <c r="C997" i="79"/>
  <c r="C763" i="79"/>
  <c r="C750" i="79"/>
  <c r="C986" i="79"/>
  <c r="C977" i="79"/>
  <c r="C970" i="79"/>
  <c r="C961" i="79"/>
  <c r="C924" i="79"/>
  <c r="E411" i="54" l="1"/>
  <c r="D410" i="54"/>
  <c r="B2557" i="79"/>
  <c r="C2567" i="79"/>
  <c r="B2567" i="79" s="1"/>
  <c r="B2581" i="79"/>
  <c r="C2597" i="79"/>
  <c r="B2597" i="79" s="1"/>
  <c r="H411" i="54" a="1"/>
  <c r="H411" i="54" s="1"/>
  <c r="A412" i="54"/>
  <c r="Q764" i="59"/>
  <c r="C764" i="59"/>
  <c r="C742" i="59"/>
  <c r="C721" i="59"/>
  <c r="C700" i="59"/>
  <c r="C679" i="59"/>
  <c r="C1983" i="79"/>
  <c r="B1983" i="79" s="1"/>
  <c r="B2003" i="79"/>
  <c r="C1963" i="79"/>
  <c r="B1963" i="79" s="1"/>
  <c r="C1943" i="79"/>
  <c r="B1943" i="79" s="1"/>
  <c r="C1923" i="79"/>
  <c r="B1923" i="79" s="1"/>
  <c r="C2008" i="79"/>
  <c r="C2002" i="79"/>
  <c r="B2002" i="79" s="1"/>
  <c r="C1995" i="79"/>
  <c r="C1982" i="79"/>
  <c r="B1982" i="79" s="1"/>
  <c r="C1968" i="79"/>
  <c r="C1962" i="79"/>
  <c r="B1962" i="79" s="1"/>
  <c r="C1955" i="79"/>
  <c r="C1942" i="79"/>
  <c r="B1942" i="79" s="1"/>
  <c r="C1925" i="79"/>
  <c r="C1922" i="79"/>
  <c r="B1922" i="79" s="1"/>
  <c r="C1945" i="79"/>
  <c r="C1950" i="79"/>
  <c r="C1951" i="79" s="1"/>
  <c r="B1951" i="79" s="1"/>
  <c r="C1970" i="79"/>
  <c r="C1971" i="79" s="1"/>
  <c r="B1971" i="79" s="1"/>
  <c r="C1975" i="79"/>
  <c r="C1985" i="79"/>
  <c r="C1990" i="79"/>
  <c r="C1991" i="79" s="1"/>
  <c r="B1991" i="79" s="1"/>
  <c r="C1928" i="79"/>
  <c r="C2010" i="79"/>
  <c r="C2011" i="79" s="1"/>
  <c r="B2011" i="79" s="1"/>
  <c r="C1935" i="79"/>
  <c r="C2015" i="79"/>
  <c r="C1948" i="79"/>
  <c r="C1988" i="79"/>
  <c r="C1965" i="79"/>
  <c r="C2005" i="79"/>
  <c r="C944" i="79"/>
  <c r="C943" i="79"/>
  <c r="C940" i="79"/>
  <c r="C936" i="79"/>
  <c r="C930" i="79"/>
  <c r="C929" i="79"/>
  <c r="C927" i="79"/>
  <c r="C926" i="79"/>
  <c r="C925" i="79"/>
  <c r="C922" i="79"/>
  <c r="C918" i="79"/>
  <c r="C916" i="79"/>
  <c r="C914" i="79"/>
  <c r="C912" i="79"/>
  <c r="C910" i="79"/>
  <c r="C907" i="79"/>
  <c r="C906" i="79"/>
  <c r="C903" i="79"/>
  <c r="C899" i="79"/>
  <c r="C893" i="79"/>
  <c r="C892" i="79"/>
  <c r="C890" i="79"/>
  <c r="C889" i="79"/>
  <c r="C888" i="79"/>
  <c r="C887" i="79"/>
  <c r="C885" i="79"/>
  <c r="C879" i="79"/>
  <c r="C875" i="79"/>
  <c r="C873" i="79"/>
  <c r="C870" i="79"/>
  <c r="C869" i="79"/>
  <c r="C866" i="79"/>
  <c r="C862" i="79"/>
  <c r="C856" i="79"/>
  <c r="C855" i="79"/>
  <c r="C853" i="79"/>
  <c r="C852" i="79"/>
  <c r="C851" i="79"/>
  <c r="C850" i="79"/>
  <c r="C848" i="79"/>
  <c r="C844" i="79"/>
  <c r="C840" i="79"/>
  <c r="C838" i="79"/>
  <c r="C836" i="79"/>
  <c r="C832" i="79"/>
  <c r="C829" i="79"/>
  <c r="C825" i="79"/>
  <c r="C818" i="79"/>
  <c r="C816" i="79"/>
  <c r="C815" i="79"/>
  <c r="C814" i="79"/>
  <c r="C813" i="79"/>
  <c r="C782" i="79"/>
  <c r="C781" i="79"/>
  <c r="C779" i="79"/>
  <c r="C778" i="79"/>
  <c r="C777" i="79"/>
  <c r="C776" i="79"/>
  <c r="C731" i="79"/>
  <c r="C740" i="79"/>
  <c r="C733" i="79"/>
  <c r="C703" i="79"/>
  <c r="C676" i="79"/>
  <c r="C649" i="79"/>
  <c r="C622" i="79"/>
  <c r="C595" i="79"/>
  <c r="C120" i="79"/>
  <c r="C101" i="79"/>
  <c r="C462" i="79"/>
  <c r="C395" i="79"/>
  <c r="C328" i="79"/>
  <c r="C261" i="79"/>
  <c r="C194" i="79"/>
  <c r="C180" i="79"/>
  <c r="C143" i="79"/>
  <c r="C5" i="79"/>
  <c r="C37" i="79"/>
  <c r="E412" i="54" l="1"/>
  <c r="D411" i="54"/>
  <c r="H412" i="54" a="1"/>
  <c r="H412" i="54" s="1"/>
  <c r="A413" i="54"/>
  <c r="C765" i="59"/>
  <c r="Q765" i="59"/>
  <c r="C743" i="59"/>
  <c r="C722" i="59"/>
  <c r="C701" i="59"/>
  <c r="C680" i="59"/>
  <c r="E413" i="54" l="1"/>
  <c r="D412" i="54"/>
  <c r="H413" i="54" a="1"/>
  <c r="H413" i="54" s="1"/>
  <c r="A414" i="54"/>
  <c r="Q766" i="59"/>
  <c r="C766" i="59"/>
  <c r="C744" i="59"/>
  <c r="C723" i="59"/>
  <c r="C702" i="59"/>
  <c r="C681" i="59"/>
  <c r="P646" i="59"/>
  <c r="P647" i="59" s="1"/>
  <c r="P648" i="59" s="1"/>
  <c r="P649" i="59" s="1"/>
  <c r="P650" i="59" s="1"/>
  <c r="P651" i="59" s="1"/>
  <c r="P652" i="59" s="1"/>
  <c r="P653" i="59" s="1"/>
  <c r="P654" i="59" s="1"/>
  <c r="P655" i="59" s="1"/>
  <c r="P656" i="59" s="1"/>
  <c r="P657" i="59" s="1"/>
  <c r="P658" i="59" s="1"/>
  <c r="P659" i="59" s="1"/>
  <c r="P660" i="59" s="1"/>
  <c r="P661" i="59" s="1"/>
  <c r="P662" i="59" s="1"/>
  <c r="P663" i="59" s="1"/>
  <c r="P664" i="59" s="1"/>
  <c r="Q646" i="59"/>
  <c r="Q647" i="59" s="1"/>
  <c r="C646" i="59"/>
  <c r="I330" i="54"/>
  <c r="L328" i="54"/>
  <c r="M328" i="54" s="1"/>
  <c r="N328" i="54" s="1"/>
  <c r="O328" i="54" s="1"/>
  <c r="P328" i="54" s="1"/>
  <c r="Q328" i="54" s="1"/>
  <c r="R328" i="54" s="1"/>
  <c r="S328" i="54" s="1"/>
  <c r="T328" i="54" s="1"/>
  <c r="U328" i="54" s="1"/>
  <c r="V328" i="54" s="1"/>
  <c r="E330" i="54"/>
  <c r="E331" i="54" s="1"/>
  <c r="A330" i="54"/>
  <c r="A331" i="54" s="1"/>
  <c r="B1525" i="79"/>
  <c r="B1509" i="79"/>
  <c r="B1238" i="79"/>
  <c r="AZ23" i="10"/>
  <c r="J65" i="13"/>
  <c r="D97" i="13"/>
  <c r="D99" i="13" s="1"/>
  <c r="D96" i="13"/>
  <c r="C96" i="13" s="1"/>
  <c r="D94" i="13"/>
  <c r="C94" i="13" s="1"/>
  <c r="D93" i="13"/>
  <c r="C93" i="13" s="1"/>
  <c r="D92" i="13"/>
  <c r="C92" i="13" s="1"/>
  <c r="D91" i="13"/>
  <c r="C91" i="13" s="1"/>
  <c r="D90" i="13"/>
  <c r="C90" i="13" s="1"/>
  <c r="D89" i="13"/>
  <c r="D88" i="13"/>
  <c r="C88" i="13" s="1"/>
  <c r="D87" i="13"/>
  <c r="C87" i="13" s="1"/>
  <c r="D86" i="13"/>
  <c r="C86" i="13" s="1"/>
  <c r="D85" i="13"/>
  <c r="C85" i="13" s="1"/>
  <c r="K84" i="13"/>
  <c r="D84" i="13"/>
  <c r="C84" i="13" s="1"/>
  <c r="C81" i="13"/>
  <c r="C72" i="13"/>
  <c r="C44" i="13"/>
  <c r="L65" i="13"/>
  <c r="K65" i="13"/>
  <c r="C19" i="13"/>
  <c r="L8" i="13"/>
  <c r="K8" i="13"/>
  <c r="J8" i="13"/>
  <c r="J79" i="13" s="1"/>
  <c r="I8" i="13"/>
  <c r="H8" i="13"/>
  <c r="G8" i="13"/>
  <c r="L7" i="13"/>
  <c r="J7" i="13"/>
  <c r="I7" i="13"/>
  <c r="H7" i="13"/>
  <c r="G7" i="13"/>
  <c r="E1" i="13" a="1"/>
  <c r="E1" i="13" s="1"/>
  <c r="B372" i="80"/>
  <c r="H371" i="80"/>
  <c r="B371" i="80"/>
  <c r="B370" i="80"/>
  <c r="B369" i="80"/>
  <c r="D368" i="80"/>
  <c r="B366" i="80"/>
  <c r="B365" i="80"/>
  <c r="B364" i="80"/>
  <c r="B106" i="80"/>
  <c r="B363" i="80"/>
  <c r="B362" i="80"/>
  <c r="B361" i="80"/>
  <c r="B359" i="80"/>
  <c r="B357" i="80"/>
  <c r="B356" i="80"/>
  <c r="D354" i="80"/>
  <c r="B352" i="80"/>
  <c r="B98" i="80"/>
  <c r="B351" i="80"/>
  <c r="B350" i="80"/>
  <c r="B349" i="80"/>
  <c r="D348" i="80"/>
  <c r="B336" i="80"/>
  <c r="B331" i="80"/>
  <c r="B329" i="80"/>
  <c r="B328" i="80"/>
  <c r="B327" i="80"/>
  <c r="D326" i="80"/>
  <c r="B309" i="80"/>
  <c r="B302" i="80"/>
  <c r="D301" i="80"/>
  <c r="B299" i="80"/>
  <c r="B297" i="80"/>
  <c r="B296" i="80"/>
  <c r="B295" i="80"/>
  <c r="D294" i="80"/>
  <c r="B292" i="80"/>
  <c r="B291" i="80"/>
  <c r="B290" i="80"/>
  <c r="B90" i="80"/>
  <c r="B289" i="80"/>
  <c r="B288" i="80"/>
  <c r="B287" i="80"/>
  <c r="B286" i="80"/>
  <c r="D285" i="80"/>
  <c r="H282" i="80"/>
  <c r="I282" i="80" s="1"/>
  <c r="J282" i="80" s="1"/>
  <c r="K282" i="80" s="1"/>
  <c r="L282" i="80" s="1"/>
  <c r="M282" i="80" s="1"/>
  <c r="N282" i="80" s="1"/>
  <c r="B282" i="80"/>
  <c r="AG230" i="52"/>
  <c r="B281" i="80"/>
  <c r="B280" i="80"/>
  <c r="D279" i="80"/>
  <c r="B277" i="80"/>
  <c r="B276" i="80"/>
  <c r="B275" i="80"/>
  <c r="B274" i="80"/>
  <c r="B273" i="80"/>
  <c r="B270" i="80"/>
  <c r="B269" i="80"/>
  <c r="B268" i="80"/>
  <c r="D267" i="80"/>
  <c r="H265" i="80"/>
  <c r="I265" i="80" s="1"/>
  <c r="J265" i="80" s="1"/>
  <c r="K265" i="80" s="1"/>
  <c r="L265" i="80" s="1"/>
  <c r="M265" i="80" s="1"/>
  <c r="N265" i="80" s="1"/>
  <c r="B265" i="80"/>
  <c r="B264" i="80"/>
  <c r="B263" i="80"/>
  <c r="D262" i="80"/>
  <c r="B260" i="80"/>
  <c r="B259" i="80"/>
  <c r="B258" i="80"/>
  <c r="B257" i="80"/>
  <c r="B256" i="80"/>
  <c r="D255" i="80"/>
  <c r="B243" i="80"/>
  <c r="B242" i="80"/>
  <c r="B241" i="80"/>
  <c r="B240" i="80"/>
  <c r="B239" i="80"/>
  <c r="D238" i="80"/>
  <c r="B236" i="80"/>
  <c r="B234" i="80"/>
  <c r="B233" i="80"/>
  <c r="B232" i="80"/>
  <c r="B231" i="80"/>
  <c r="B230" i="80"/>
  <c r="B229" i="80"/>
  <c r="D228" i="80"/>
  <c r="B225" i="80"/>
  <c r="B224" i="80"/>
  <c r="B223" i="80"/>
  <c r="D222" i="80"/>
  <c r="B220" i="80"/>
  <c r="B219" i="80"/>
  <c r="B218" i="80"/>
  <c r="B217" i="80"/>
  <c r="B216" i="80"/>
  <c r="B215" i="80"/>
  <c r="D214" i="80"/>
  <c r="H212" i="80"/>
  <c r="I212" i="80" s="1"/>
  <c r="J212" i="80" s="1"/>
  <c r="K212" i="80" s="1"/>
  <c r="L212" i="80" s="1"/>
  <c r="M212" i="80" s="1"/>
  <c r="N212" i="80" s="1"/>
  <c r="B212" i="80"/>
  <c r="B211" i="80"/>
  <c r="B210" i="80"/>
  <c r="D209" i="80"/>
  <c r="B207" i="80"/>
  <c r="B206" i="80"/>
  <c r="B205" i="80"/>
  <c r="B204" i="80"/>
  <c r="D203" i="80"/>
  <c r="B195" i="80"/>
  <c r="B194" i="80"/>
  <c r="B193" i="80"/>
  <c r="B192" i="80"/>
  <c r="B191" i="80"/>
  <c r="B189" i="80"/>
  <c r="D185" i="80"/>
  <c r="B183" i="80"/>
  <c r="B182" i="80"/>
  <c r="B181" i="80"/>
  <c r="B180" i="80"/>
  <c r="D179" i="80"/>
  <c r="B176" i="80"/>
  <c r="B175" i="80"/>
  <c r="B174" i="80"/>
  <c r="B173" i="80"/>
  <c r="D172" i="80"/>
  <c r="B170" i="80"/>
  <c r="B169" i="80"/>
  <c r="B168" i="80"/>
  <c r="B167" i="80"/>
  <c r="D166" i="80"/>
  <c r="B164" i="80"/>
  <c r="B163" i="80"/>
  <c r="B162" i="80"/>
  <c r="B161" i="80"/>
  <c r="B160" i="80"/>
  <c r="B159" i="80"/>
  <c r="B158" i="80"/>
  <c r="B157" i="80"/>
  <c r="D156" i="80"/>
  <c r="B153" i="80"/>
  <c r="B150" i="80"/>
  <c r="D149" i="80"/>
  <c r="B147" i="80"/>
  <c r="B146" i="80"/>
  <c r="B145" i="80"/>
  <c r="B143" i="80"/>
  <c r="D142" i="80"/>
  <c r="B140" i="80"/>
  <c r="B139" i="80"/>
  <c r="B138" i="80"/>
  <c r="B136" i="80"/>
  <c r="D135" i="80"/>
  <c r="B133" i="80"/>
  <c r="B132" i="80"/>
  <c r="D131" i="80"/>
  <c r="B129" i="80"/>
  <c r="B128" i="80"/>
  <c r="B127" i="80"/>
  <c r="B126" i="80"/>
  <c r="B125" i="80"/>
  <c r="D124" i="80"/>
  <c r="B122" i="80"/>
  <c r="B121" i="80"/>
  <c r="B118" i="80"/>
  <c r="B117" i="80"/>
  <c r="B116" i="80"/>
  <c r="B112" i="80"/>
  <c r="B111" i="80"/>
  <c r="B110" i="80"/>
  <c r="D109" i="80"/>
  <c r="B105" i="80"/>
  <c r="B104" i="80"/>
  <c r="B103" i="80"/>
  <c r="B102" i="80"/>
  <c r="B101" i="80"/>
  <c r="D100" i="80"/>
  <c r="B97" i="80"/>
  <c r="B96" i="80"/>
  <c r="B95" i="80"/>
  <c r="B94" i="80"/>
  <c r="B93" i="80"/>
  <c r="D92" i="80"/>
  <c r="B89" i="80"/>
  <c r="B88" i="80"/>
  <c r="B87" i="80"/>
  <c r="B86" i="80"/>
  <c r="B85" i="80"/>
  <c r="D84" i="80"/>
  <c r="B69" i="80"/>
  <c r="B68" i="80"/>
  <c r="B67" i="80"/>
  <c r="B66" i="80"/>
  <c r="B65" i="80"/>
  <c r="B64" i="80"/>
  <c r="D63" i="80"/>
  <c r="B60" i="80"/>
  <c r="B55" i="80"/>
  <c r="B54" i="80"/>
  <c r="B53" i="80"/>
  <c r="B52" i="80"/>
  <c r="H51" i="80"/>
  <c r="B51" i="80"/>
  <c r="AL200" i="52"/>
  <c r="B50" i="80"/>
  <c r="AL221" i="52"/>
  <c r="B47" i="80"/>
  <c r="D46" i="80"/>
  <c r="I44" i="80"/>
  <c r="J44" i="80" s="1"/>
  <c r="K44" i="80" s="1"/>
  <c r="L44" i="80" s="1"/>
  <c r="M44" i="80" s="1"/>
  <c r="N44" i="80" s="1"/>
  <c r="B44" i="80"/>
  <c r="I39" i="80"/>
  <c r="B39" i="80"/>
  <c r="I38" i="80"/>
  <c r="B38" i="80"/>
  <c r="I37" i="80"/>
  <c r="J37" i="80" s="1"/>
  <c r="K37" i="80" s="1"/>
  <c r="L37" i="80" s="1"/>
  <c r="M37" i="80" s="1"/>
  <c r="N37" i="80" s="1"/>
  <c r="B37" i="80"/>
  <c r="I36" i="80"/>
  <c r="J67" i="37" s="1"/>
  <c r="B36" i="80"/>
  <c r="I35" i="80"/>
  <c r="J35" i="80" s="1"/>
  <c r="K35" i="80" s="1"/>
  <c r="L35" i="80" s="1"/>
  <c r="M35" i="80" s="1"/>
  <c r="N35" i="80" s="1"/>
  <c r="B35" i="80"/>
  <c r="H34" i="80"/>
  <c r="I34" i="80" s="1"/>
  <c r="J34" i="80" s="1"/>
  <c r="K34" i="80" s="1"/>
  <c r="L34" i="80" s="1"/>
  <c r="M34" i="80" s="1"/>
  <c r="N34" i="80" s="1"/>
  <c r="B34" i="80"/>
  <c r="H33" i="80"/>
  <c r="B33" i="80"/>
  <c r="B32" i="80"/>
  <c r="B31" i="80"/>
  <c r="I30" i="80"/>
  <c r="B30" i="80"/>
  <c r="I29" i="80"/>
  <c r="B29" i="80"/>
  <c r="H28" i="80"/>
  <c r="I28" i="80" s="1"/>
  <c r="J28" i="80" s="1"/>
  <c r="K28" i="80" s="1"/>
  <c r="L28" i="80" s="1"/>
  <c r="M28" i="80" s="1"/>
  <c r="N28" i="80" s="1"/>
  <c r="B28" i="80"/>
  <c r="B27" i="80"/>
  <c r="H26" i="80"/>
  <c r="H27" i="80" s="1"/>
  <c r="I27" i="80" s="1"/>
  <c r="J27" i="80" s="1"/>
  <c r="K27" i="80" s="1"/>
  <c r="L27" i="80" s="1"/>
  <c r="M27" i="80" s="1"/>
  <c r="N27" i="80" s="1"/>
  <c r="B26" i="80"/>
  <c r="H25" i="80"/>
  <c r="I25" i="80" s="1"/>
  <c r="J25" i="80" s="1"/>
  <c r="K25" i="80" s="1"/>
  <c r="L25" i="80" s="1"/>
  <c r="M25" i="80" s="1"/>
  <c r="N25" i="80" s="1"/>
  <c r="B25" i="80"/>
  <c r="I24" i="80"/>
  <c r="B24" i="80"/>
  <c r="H23" i="80"/>
  <c r="I23" i="80" s="1"/>
  <c r="J23" i="80" s="1"/>
  <c r="K23" i="80" s="1"/>
  <c r="L23" i="80" s="1"/>
  <c r="M23" i="80" s="1"/>
  <c r="N23" i="80" s="1"/>
  <c r="B23" i="80"/>
  <c r="I22" i="80"/>
  <c r="J66" i="37" s="1"/>
  <c r="B22" i="80"/>
  <c r="H21" i="80"/>
  <c r="I21" i="80" s="1"/>
  <c r="J21" i="80" s="1"/>
  <c r="K21" i="80" s="1"/>
  <c r="L21" i="80" s="1"/>
  <c r="M21" i="80" s="1"/>
  <c r="N21" i="80" s="1"/>
  <c r="B21" i="80"/>
  <c r="I20" i="80"/>
  <c r="B20" i="80"/>
  <c r="H19" i="80"/>
  <c r="I19" i="80" s="1"/>
  <c r="J19" i="80" s="1"/>
  <c r="K19" i="80" s="1"/>
  <c r="L19" i="80" s="1"/>
  <c r="M19" i="80" s="1"/>
  <c r="N19" i="80" s="1"/>
  <c r="B19" i="80"/>
  <c r="I18" i="80"/>
  <c r="B18" i="80"/>
  <c r="I17" i="80"/>
  <c r="B17" i="80"/>
  <c r="H16" i="80"/>
  <c r="H32" i="80" s="1"/>
  <c r="I32" i="80" s="1"/>
  <c r="J32" i="80" s="1"/>
  <c r="K32" i="80" s="1"/>
  <c r="L32" i="80" s="1"/>
  <c r="M32" i="80" s="1"/>
  <c r="N32" i="80" s="1"/>
  <c r="B16" i="80"/>
  <c r="I15" i="80"/>
  <c r="B15" i="80"/>
  <c r="D14" i="80"/>
  <c r="B12" i="80"/>
  <c r="B10" i="80"/>
  <c r="B6" i="80"/>
  <c r="D5" i="80"/>
  <c r="B3398" i="79"/>
  <c r="B3397" i="79"/>
  <c r="B3395" i="79"/>
  <c r="B3392" i="79"/>
  <c r="B3391" i="79"/>
  <c r="B3390" i="79"/>
  <c r="B3379" i="79"/>
  <c r="B3377" i="79"/>
  <c r="C3374" i="79"/>
  <c r="B3374" i="79" s="1"/>
  <c r="C3348" i="79"/>
  <c r="B3348" i="79" s="1"/>
  <c r="C3347" i="79"/>
  <c r="B3347" i="79" s="1"/>
  <c r="C3346" i="79"/>
  <c r="B3346" i="79" s="1"/>
  <c r="C3343" i="79"/>
  <c r="B3343" i="79" s="1"/>
  <c r="C3317" i="79"/>
  <c r="B3317" i="79" s="1"/>
  <c r="C3316" i="79"/>
  <c r="B3316" i="79" s="1"/>
  <c r="C3315" i="79"/>
  <c r="B3315" i="79" s="1"/>
  <c r="C3312" i="79"/>
  <c r="B3312" i="79" s="1"/>
  <c r="C3286" i="79"/>
  <c r="B3286" i="79" s="1"/>
  <c r="C3285" i="79"/>
  <c r="B3285" i="79" s="1"/>
  <c r="C3284" i="79"/>
  <c r="B3284" i="79" s="1"/>
  <c r="C3281" i="79"/>
  <c r="B3281" i="79" s="1"/>
  <c r="C3255" i="79"/>
  <c r="B3255" i="79" s="1"/>
  <c r="C3254" i="79"/>
  <c r="B3254" i="79" s="1"/>
  <c r="C3253" i="79"/>
  <c r="B3253" i="79" s="1"/>
  <c r="C3250" i="79"/>
  <c r="B3250" i="79" s="1"/>
  <c r="B3249" i="79"/>
  <c r="B3248" i="79"/>
  <c r="C3236" i="79"/>
  <c r="B3236" i="79" s="1"/>
  <c r="B3235" i="79"/>
  <c r="B3234" i="79"/>
  <c r="B3232" i="79"/>
  <c r="B3231" i="79"/>
  <c r="B3229" i="79"/>
  <c r="B3228" i="79"/>
  <c r="B3227" i="79"/>
  <c r="C3224" i="79"/>
  <c r="B3224" i="79" s="1"/>
  <c r="C3223" i="79"/>
  <c r="B3223" i="79" s="1"/>
  <c r="C3222" i="79"/>
  <c r="B3222" i="79" s="1"/>
  <c r="B3219" i="79"/>
  <c r="B3218" i="79"/>
  <c r="B3217" i="79"/>
  <c r="B3216" i="79"/>
  <c r="B3215" i="79"/>
  <c r="C3214" i="79"/>
  <c r="B3018" i="79"/>
  <c r="B3017" i="79"/>
  <c r="B3015" i="79"/>
  <c r="B3012" i="79"/>
  <c r="B2993" i="79"/>
  <c r="B2990" i="79"/>
  <c r="C2960" i="79"/>
  <c r="B2960" i="79" s="1"/>
  <c r="C2959" i="79"/>
  <c r="B2959" i="79" s="1"/>
  <c r="C2958" i="79"/>
  <c r="B2958" i="79" s="1"/>
  <c r="B2955" i="79"/>
  <c r="C2925" i="79"/>
  <c r="B2925" i="79" s="1"/>
  <c r="C2924" i="79"/>
  <c r="B2924" i="79" s="1"/>
  <c r="C2923" i="79"/>
  <c r="B2923" i="79" s="1"/>
  <c r="C2920" i="79"/>
  <c r="B2920" i="79" s="1"/>
  <c r="C2890" i="79"/>
  <c r="B2890" i="79" s="1"/>
  <c r="C2889" i="79"/>
  <c r="B2889" i="79" s="1"/>
  <c r="C2888" i="79"/>
  <c r="B2888" i="79" s="1"/>
  <c r="B2885" i="79"/>
  <c r="C2855" i="79"/>
  <c r="B2855" i="79" s="1"/>
  <c r="C2854" i="79"/>
  <c r="B2854" i="79" s="1"/>
  <c r="C2853" i="79"/>
  <c r="B2853" i="79" s="1"/>
  <c r="B2850" i="79"/>
  <c r="B2849" i="79"/>
  <c r="B2848" i="79"/>
  <c r="B2847" i="79"/>
  <c r="B2832" i="79"/>
  <c r="B2831" i="79"/>
  <c r="B2830" i="79"/>
  <c r="B2828" i="79"/>
  <c r="B2826" i="79"/>
  <c r="B2825" i="79"/>
  <c r="B2824" i="79"/>
  <c r="C2820" i="79"/>
  <c r="B2820" i="79" s="1"/>
  <c r="C2819" i="79"/>
  <c r="B2819" i="79" s="1"/>
  <c r="C2818" i="79"/>
  <c r="B2818" i="79" s="1"/>
  <c r="B2815" i="79"/>
  <c r="B2814" i="79"/>
  <c r="B2813" i="79"/>
  <c r="B2812" i="79"/>
  <c r="B2811" i="79"/>
  <c r="C2810" i="79"/>
  <c r="B2807" i="79"/>
  <c r="B2806" i="79"/>
  <c r="B2804" i="79"/>
  <c r="B2793" i="79"/>
  <c r="B2790" i="79"/>
  <c r="B2789" i="79"/>
  <c r="B2788" i="79"/>
  <c r="B2786" i="79"/>
  <c r="B2785" i="79"/>
  <c r="B2784" i="79"/>
  <c r="B2782" i="79"/>
  <c r="C2772" i="79"/>
  <c r="B2772" i="79" s="1"/>
  <c r="C2771" i="79"/>
  <c r="B2771" i="79" s="1"/>
  <c r="C2770" i="79"/>
  <c r="B2770" i="79" s="1"/>
  <c r="B2767" i="79"/>
  <c r="B2766" i="79"/>
  <c r="B2765" i="79"/>
  <c r="B2763" i="79"/>
  <c r="B2762" i="79"/>
  <c r="B2761" i="79"/>
  <c r="B2759" i="79"/>
  <c r="C2749" i="79"/>
  <c r="B2749" i="79" s="1"/>
  <c r="C2748" i="79"/>
  <c r="B2748" i="79" s="1"/>
  <c r="C2747" i="79"/>
  <c r="B2747" i="79" s="1"/>
  <c r="B2744" i="79"/>
  <c r="B2743" i="79"/>
  <c r="B2742" i="79"/>
  <c r="B2740" i="79"/>
  <c r="B2739" i="79"/>
  <c r="B2738" i="79"/>
  <c r="B2736" i="79"/>
  <c r="C2726" i="79"/>
  <c r="B2726" i="79" s="1"/>
  <c r="C2725" i="79"/>
  <c r="B2725" i="79" s="1"/>
  <c r="C2724" i="79"/>
  <c r="B2724" i="79" s="1"/>
  <c r="B2721" i="79"/>
  <c r="B2720" i="79"/>
  <c r="B2719" i="79"/>
  <c r="B2717" i="79"/>
  <c r="B2716" i="79"/>
  <c r="B2715" i="79"/>
  <c r="B2713" i="79"/>
  <c r="C2703" i="79"/>
  <c r="B2703" i="79" s="1"/>
  <c r="C2702" i="79"/>
  <c r="B2702" i="79" s="1"/>
  <c r="C2701" i="79"/>
  <c r="B2701" i="79" s="1"/>
  <c r="B2698" i="79"/>
  <c r="B2697" i="79"/>
  <c r="B2696" i="79"/>
  <c r="B2694" i="79"/>
  <c r="B2693" i="79"/>
  <c r="B2692" i="79"/>
  <c r="B2690" i="79"/>
  <c r="B2688" i="79"/>
  <c r="B2685" i="79"/>
  <c r="B2683" i="79"/>
  <c r="C2680" i="79"/>
  <c r="B2680" i="79" s="1"/>
  <c r="C2679" i="79"/>
  <c r="B2679" i="79" s="1"/>
  <c r="C2678" i="79"/>
  <c r="B2678" i="79" s="1"/>
  <c r="B2675" i="79"/>
  <c r="B2674" i="79"/>
  <c r="B2673" i="79"/>
  <c r="B2672" i="79"/>
  <c r="B2671" i="79"/>
  <c r="C2670" i="79"/>
  <c r="B2667" i="79"/>
  <c r="B2666" i="79"/>
  <c r="B2664" i="79"/>
  <c r="B2661" i="79"/>
  <c r="B2650" i="79"/>
  <c r="B2647" i="79"/>
  <c r="B2635" i="79"/>
  <c r="B2633" i="79"/>
  <c r="B2632" i="79"/>
  <c r="B2631" i="79"/>
  <c r="C2628" i="79"/>
  <c r="B2628" i="79" s="1"/>
  <c r="C2627" i="79"/>
  <c r="B2627" i="79" s="1"/>
  <c r="C2626" i="79"/>
  <c r="B2626" i="79" s="1"/>
  <c r="B2623" i="79"/>
  <c r="B2611" i="79"/>
  <c r="B2609" i="79"/>
  <c r="B2608" i="79"/>
  <c r="B2607" i="79"/>
  <c r="C2604" i="79"/>
  <c r="B2604" i="79" s="1"/>
  <c r="C2603" i="79"/>
  <c r="B2603" i="79" s="1"/>
  <c r="C2602" i="79"/>
  <c r="B2602" i="79" s="1"/>
  <c r="B2599" i="79"/>
  <c r="B2587" i="79"/>
  <c r="B2585" i="79"/>
  <c r="B2584" i="79"/>
  <c r="B2583" i="79"/>
  <c r="C2580" i="79"/>
  <c r="B2580" i="79" s="1"/>
  <c r="C2579" i="79"/>
  <c r="B2579" i="79" s="1"/>
  <c r="C2578" i="79"/>
  <c r="B2578" i="79" s="1"/>
  <c r="C2575" i="79"/>
  <c r="B2575" i="79" s="1"/>
  <c r="B2563" i="79"/>
  <c r="B2561" i="79"/>
  <c r="B2560" i="79"/>
  <c r="B2559" i="79"/>
  <c r="C2556" i="79"/>
  <c r="B2556" i="79" s="1"/>
  <c r="C2555" i="79"/>
  <c r="B2555" i="79" s="1"/>
  <c r="C2554" i="79"/>
  <c r="B2551" i="79"/>
  <c r="B2550" i="79"/>
  <c r="B2545" i="79"/>
  <c r="B2539" i="79"/>
  <c r="B2537" i="79"/>
  <c r="B2536" i="79"/>
  <c r="B2535" i="79"/>
  <c r="C2532" i="79"/>
  <c r="B2532" i="79" s="1"/>
  <c r="C2531" i="79"/>
  <c r="B2531" i="79" s="1"/>
  <c r="C2530" i="79"/>
  <c r="B2530" i="79" s="1"/>
  <c r="B2527" i="79"/>
  <c r="B2526" i="79"/>
  <c r="B2525" i="79"/>
  <c r="B2524" i="79"/>
  <c r="B2523" i="79"/>
  <c r="C2522" i="79"/>
  <c r="B2519" i="79"/>
  <c r="B2518" i="79"/>
  <c r="B2517" i="79"/>
  <c r="B2513" i="79"/>
  <c r="C2481" i="79"/>
  <c r="B2481" i="79" s="1"/>
  <c r="C2480" i="79"/>
  <c r="B2480" i="79" s="1"/>
  <c r="C2479" i="79"/>
  <c r="B2479" i="79" s="1"/>
  <c r="C2447" i="79"/>
  <c r="B2447" i="79" s="1"/>
  <c r="C2446" i="79"/>
  <c r="B2446" i="79" s="1"/>
  <c r="C2445" i="79"/>
  <c r="B2445" i="79" s="1"/>
  <c r="C2413" i="79"/>
  <c r="B2413" i="79" s="1"/>
  <c r="C2412" i="79"/>
  <c r="B2412" i="79" s="1"/>
  <c r="C2411" i="79"/>
  <c r="B2411" i="79" s="1"/>
  <c r="C2379" i="79"/>
  <c r="B2379" i="79" s="1"/>
  <c r="C2378" i="79"/>
  <c r="B2378" i="79" s="1"/>
  <c r="C2377" i="79"/>
  <c r="B2377" i="79" s="1"/>
  <c r="B2358" i="79"/>
  <c r="C2357" i="79"/>
  <c r="B2357" i="79" s="1"/>
  <c r="B2356" i="79"/>
  <c r="B2354" i="79"/>
  <c r="B2353" i="79"/>
  <c r="B2351" i="79"/>
  <c r="B2350" i="79"/>
  <c r="B2349" i="79"/>
  <c r="C2345" i="79"/>
  <c r="B2345" i="79" s="1"/>
  <c r="C2344" i="79"/>
  <c r="B2344" i="79" s="1"/>
  <c r="C2343" i="79"/>
  <c r="B2343" i="79" s="1"/>
  <c r="B2340" i="79"/>
  <c r="B2339" i="79"/>
  <c r="B2338" i="79"/>
  <c r="B2337" i="79"/>
  <c r="B2336" i="79"/>
  <c r="C2334" i="79"/>
  <c r="B2331" i="79"/>
  <c r="B2324" i="79"/>
  <c r="B2323" i="79"/>
  <c r="B2321" i="79"/>
  <c r="B2318" i="79"/>
  <c r="B2311" i="79"/>
  <c r="B2310" i="79"/>
  <c r="B2308" i="79"/>
  <c r="B2305" i="79"/>
  <c r="B2304" i="79"/>
  <c r="C2302" i="79"/>
  <c r="B2302" i="79" s="1"/>
  <c r="B2301" i="79"/>
  <c r="B2300" i="79"/>
  <c r="B2299" i="79"/>
  <c r="B2294" i="79"/>
  <c r="B2293" i="79"/>
  <c r="B2292" i="79"/>
  <c r="B2291" i="79"/>
  <c r="B2290" i="79"/>
  <c r="B2289" i="79"/>
  <c r="C2285" i="79"/>
  <c r="B2285" i="79" s="1"/>
  <c r="C2284" i="79"/>
  <c r="B2284" i="79" s="1"/>
  <c r="C2283" i="79"/>
  <c r="B2283" i="79" s="1"/>
  <c r="B2280" i="79"/>
  <c r="B2279" i="79"/>
  <c r="C2277" i="79"/>
  <c r="B2277" i="79" s="1"/>
  <c r="B2276" i="79"/>
  <c r="B2275" i="79"/>
  <c r="B2274" i="79"/>
  <c r="B2269" i="79"/>
  <c r="B2268" i="79"/>
  <c r="B2267" i="79"/>
  <c r="B2266" i="79"/>
  <c r="B2265" i="79"/>
  <c r="B2264" i="79"/>
  <c r="C2260" i="79"/>
  <c r="B2260" i="79" s="1"/>
  <c r="C2259" i="79"/>
  <c r="B2259" i="79" s="1"/>
  <c r="C2258" i="79"/>
  <c r="B2258" i="79" s="1"/>
  <c r="B2255" i="79"/>
  <c r="B2254" i="79"/>
  <c r="C2252" i="79"/>
  <c r="B2252" i="79" s="1"/>
  <c r="B2251" i="79"/>
  <c r="B2250" i="79"/>
  <c r="B2249" i="79"/>
  <c r="B2244" i="79"/>
  <c r="B2243" i="79"/>
  <c r="B2242" i="79"/>
  <c r="B2241" i="79"/>
  <c r="B2240" i="79"/>
  <c r="B2239" i="79"/>
  <c r="C2235" i="79"/>
  <c r="B2235" i="79" s="1"/>
  <c r="C2234" i="79"/>
  <c r="B2234" i="79" s="1"/>
  <c r="C2233" i="79"/>
  <c r="B2233" i="79" s="1"/>
  <c r="B2230" i="79"/>
  <c r="B2229" i="79"/>
  <c r="B2227" i="79"/>
  <c r="B2226" i="79"/>
  <c r="B2225" i="79"/>
  <c r="B2224" i="79"/>
  <c r="B2219" i="79"/>
  <c r="B2218" i="79"/>
  <c r="B2217" i="79"/>
  <c r="B2216" i="79"/>
  <c r="B2215" i="79"/>
  <c r="B2214" i="79"/>
  <c r="C2210" i="79"/>
  <c r="B2210" i="79" s="1"/>
  <c r="C2209" i="79"/>
  <c r="B2209" i="79" s="1"/>
  <c r="C2208" i="79"/>
  <c r="B2208" i="79" s="1"/>
  <c r="B2205" i="79"/>
  <c r="B2204" i="79"/>
  <c r="B2202" i="79"/>
  <c r="B2201" i="79"/>
  <c r="B2200" i="79"/>
  <c r="B2199" i="79"/>
  <c r="B2194" i="79"/>
  <c r="B2193" i="79"/>
  <c r="B2192" i="79"/>
  <c r="B2191" i="79"/>
  <c r="B2190" i="79"/>
  <c r="B2189" i="79"/>
  <c r="C2184" i="79"/>
  <c r="B2184" i="79" s="1"/>
  <c r="C2183" i="79"/>
  <c r="B2183" i="79" s="1"/>
  <c r="B2123" i="79"/>
  <c r="B2122" i="79"/>
  <c r="B2121" i="79"/>
  <c r="B2120" i="79"/>
  <c r="B2119" i="79"/>
  <c r="B2179" i="79"/>
  <c r="B2178" i="79"/>
  <c r="B2177" i="79"/>
  <c r="B2176" i="79"/>
  <c r="B2175" i="79"/>
  <c r="B2154" i="79"/>
  <c r="B2153" i="79"/>
  <c r="B2152" i="79"/>
  <c r="B2151" i="79"/>
  <c r="B2150" i="79"/>
  <c r="B2074" i="79"/>
  <c r="B2073" i="79"/>
  <c r="B2072" i="79"/>
  <c r="B2071" i="79"/>
  <c r="B2070" i="79"/>
  <c r="B2043" i="79"/>
  <c r="B2042" i="79"/>
  <c r="B2041" i="79"/>
  <c r="B2040" i="79"/>
  <c r="B2039" i="79"/>
  <c r="C2037" i="79"/>
  <c r="B2033" i="79"/>
  <c r="B2029" i="79"/>
  <c r="B2028" i="79"/>
  <c r="B2025" i="79"/>
  <c r="B2021" i="79"/>
  <c r="B2019" i="79"/>
  <c r="B2016" i="79"/>
  <c r="B2015" i="79"/>
  <c r="B2010" i="79"/>
  <c r="B2009" i="79"/>
  <c r="B2008" i="79"/>
  <c r="B2007" i="79"/>
  <c r="B2006" i="79"/>
  <c r="B2005" i="79"/>
  <c r="C2001" i="79"/>
  <c r="B2001" i="79" s="1"/>
  <c r="C2000" i="79"/>
  <c r="B2000" i="79" s="1"/>
  <c r="C1999" i="79"/>
  <c r="B1999" i="79" s="1"/>
  <c r="B1996" i="79"/>
  <c r="B1995" i="79"/>
  <c r="B1990" i="79"/>
  <c r="B1989" i="79"/>
  <c r="B1988" i="79"/>
  <c r="B1987" i="79"/>
  <c r="B1986" i="79"/>
  <c r="B1985" i="79"/>
  <c r="C1981" i="79"/>
  <c r="B1981" i="79" s="1"/>
  <c r="C1980" i="79"/>
  <c r="B1980" i="79" s="1"/>
  <c r="C1979" i="79"/>
  <c r="B1979" i="79" s="1"/>
  <c r="B1976" i="79"/>
  <c r="B1975" i="79"/>
  <c r="B1970" i="79"/>
  <c r="B1969" i="79"/>
  <c r="B1968" i="79"/>
  <c r="B1967" i="79"/>
  <c r="B1966" i="79"/>
  <c r="B1965" i="79"/>
  <c r="C1961" i="79"/>
  <c r="B1961" i="79" s="1"/>
  <c r="C1960" i="79"/>
  <c r="B1960" i="79" s="1"/>
  <c r="C1959" i="79"/>
  <c r="B1959" i="79" s="1"/>
  <c r="B1956" i="79"/>
  <c r="B1955" i="79"/>
  <c r="B1950" i="79"/>
  <c r="B1949" i="79"/>
  <c r="B1948" i="79"/>
  <c r="B1947" i="79"/>
  <c r="B1946" i="79"/>
  <c r="B1945" i="79"/>
  <c r="C1941" i="79"/>
  <c r="B1941" i="79" s="1"/>
  <c r="C1940" i="79"/>
  <c r="B1940" i="79" s="1"/>
  <c r="C1939" i="79"/>
  <c r="B1939" i="79" s="1"/>
  <c r="B1936" i="79"/>
  <c r="B1935" i="79"/>
  <c r="B1930" i="79"/>
  <c r="B1929" i="79"/>
  <c r="B1928" i="79"/>
  <c r="B1927" i="79"/>
  <c r="B1926" i="79"/>
  <c r="B1925" i="79"/>
  <c r="C1921" i="79"/>
  <c r="B1921" i="79" s="1"/>
  <c r="C1920" i="79"/>
  <c r="B1920" i="79" s="1"/>
  <c r="C1919" i="79"/>
  <c r="B1919" i="79" s="1"/>
  <c r="B1866" i="79"/>
  <c r="B1865" i="79"/>
  <c r="B1864" i="79"/>
  <c r="B1863" i="79"/>
  <c r="B1862" i="79"/>
  <c r="B1916" i="79"/>
  <c r="B1915" i="79"/>
  <c r="B1914" i="79"/>
  <c r="B1913" i="79"/>
  <c r="B1912" i="79"/>
  <c r="B1891" i="79"/>
  <c r="B1890" i="79"/>
  <c r="B1889" i="79"/>
  <c r="B1888" i="79"/>
  <c r="B1887" i="79"/>
  <c r="B1822" i="79"/>
  <c r="B1821" i="79"/>
  <c r="B1820" i="79"/>
  <c r="B1819" i="79"/>
  <c r="B1818" i="79"/>
  <c r="B1796" i="79"/>
  <c r="B1795" i="79"/>
  <c r="B1794" i="79"/>
  <c r="B1793" i="79"/>
  <c r="B1792" i="79"/>
  <c r="C1790" i="79"/>
  <c r="B1787" i="79"/>
  <c r="B1786" i="79"/>
  <c r="B1783" i="79"/>
  <c r="B1782" i="79"/>
  <c r="B1781" i="79"/>
  <c r="B1780" i="79"/>
  <c r="B1779" i="79"/>
  <c r="C1778" i="79"/>
  <c r="B1775" i="79"/>
  <c r="B1774" i="79"/>
  <c r="B1771" i="79"/>
  <c r="B1770" i="79"/>
  <c r="B1769" i="79"/>
  <c r="B1768" i="79"/>
  <c r="B1767" i="79"/>
  <c r="B1766" i="79"/>
  <c r="B1765" i="79"/>
  <c r="B1764" i="79"/>
  <c r="B1759" i="79"/>
  <c r="B1756" i="79"/>
  <c r="B1755" i="79"/>
  <c r="B1754" i="79"/>
  <c r="B1753" i="79"/>
  <c r="B1752" i="79"/>
  <c r="B1751" i="79"/>
  <c r="B1750" i="79"/>
  <c r="B1749" i="79"/>
  <c r="B1744" i="79"/>
  <c r="B1741" i="79"/>
  <c r="B1740" i="79"/>
  <c r="B1739" i="79"/>
  <c r="B1738" i="79"/>
  <c r="B1737" i="79"/>
  <c r="B1736" i="79"/>
  <c r="B1735" i="79"/>
  <c r="B1734" i="79"/>
  <c r="B1729" i="79"/>
  <c r="B1726" i="79"/>
  <c r="B1725" i="79"/>
  <c r="B1724" i="79"/>
  <c r="B1723" i="79"/>
  <c r="B1722" i="79"/>
  <c r="B1721" i="79"/>
  <c r="B1720" i="79"/>
  <c r="B1719" i="79"/>
  <c r="B1714" i="79"/>
  <c r="B1711" i="79"/>
  <c r="B1710" i="79"/>
  <c r="B1709" i="79"/>
  <c r="B1708" i="79"/>
  <c r="B1707" i="79"/>
  <c r="B1706" i="79"/>
  <c r="B1705" i="79"/>
  <c r="B1704" i="79"/>
  <c r="B1699" i="79"/>
  <c r="B1696" i="79"/>
  <c r="B1695" i="79"/>
  <c r="B1694" i="79"/>
  <c r="B1693" i="79"/>
  <c r="B1692" i="79"/>
  <c r="C1690" i="79"/>
  <c r="B1688" i="79"/>
  <c r="B1687" i="79"/>
  <c r="B1684" i="79"/>
  <c r="B1683" i="79"/>
  <c r="B1682" i="79"/>
  <c r="B1681" i="79"/>
  <c r="B1680" i="79"/>
  <c r="C1679" i="79"/>
  <c r="B1649" i="79"/>
  <c r="B1648" i="79"/>
  <c r="B1647" i="79"/>
  <c r="B1645" i="79"/>
  <c r="B1644" i="79"/>
  <c r="B1642" i="79"/>
  <c r="B1641" i="79"/>
  <c r="B1640" i="79"/>
  <c r="B1638" i="79"/>
  <c r="B1637" i="79"/>
  <c r="B1636" i="79"/>
  <c r="B1633" i="79"/>
  <c r="B1632" i="79"/>
  <c r="B1631" i="79"/>
  <c r="B1629" i="79"/>
  <c r="B1628" i="79"/>
  <c r="B1626" i="79"/>
  <c r="B1625" i="79"/>
  <c r="B1624" i="79"/>
  <c r="B1622" i="79"/>
  <c r="B1621" i="79"/>
  <c r="B1620" i="79"/>
  <c r="B1617" i="79"/>
  <c r="B1616" i="79"/>
  <c r="B1615" i="79"/>
  <c r="B1613" i="79"/>
  <c r="B1612" i="79"/>
  <c r="B1610" i="79"/>
  <c r="B1609" i="79"/>
  <c r="B1608" i="79"/>
  <c r="B1606" i="79"/>
  <c r="B1605" i="79"/>
  <c r="B1604" i="79"/>
  <c r="B1601" i="79"/>
  <c r="B1600" i="79"/>
  <c r="B1599" i="79"/>
  <c r="B1597" i="79"/>
  <c r="B1596" i="79"/>
  <c r="B1594" i="79"/>
  <c r="B1593" i="79"/>
  <c r="B1592" i="79"/>
  <c r="B1590" i="79"/>
  <c r="B1589" i="79"/>
  <c r="B1588" i="79"/>
  <c r="B1585" i="79"/>
  <c r="B1584" i="79"/>
  <c r="B1583" i="79"/>
  <c r="B1581" i="79"/>
  <c r="B1580" i="79"/>
  <c r="B1578" i="79"/>
  <c r="B1577" i="79"/>
  <c r="B1576" i="79"/>
  <c r="B1574" i="79"/>
  <c r="B1573" i="79"/>
  <c r="B1572" i="79"/>
  <c r="B1568" i="79"/>
  <c r="B1567" i="79"/>
  <c r="B1566" i="79"/>
  <c r="B1565" i="79"/>
  <c r="B1564" i="79"/>
  <c r="B1542" i="79"/>
  <c r="B1541" i="79"/>
  <c r="B1540" i="79"/>
  <c r="B1539" i="79"/>
  <c r="B1538" i="79"/>
  <c r="C1535" i="79"/>
  <c r="B1533" i="79"/>
  <c r="B1532" i="79"/>
  <c r="B1531" i="79"/>
  <c r="B1527" i="79"/>
  <c r="B1526" i="79"/>
  <c r="B1523" i="79"/>
  <c r="B1520" i="79"/>
  <c r="B1519" i="79"/>
  <c r="B1518" i="79"/>
  <c r="B1517" i="79"/>
  <c r="B1516" i="79"/>
  <c r="B1514" i="79"/>
  <c r="B1511" i="79"/>
  <c r="B1510" i="79"/>
  <c r="B1508" i="79"/>
  <c r="B1506" i="79"/>
  <c r="B1502" i="79"/>
  <c r="B1501" i="79"/>
  <c r="B1500" i="79"/>
  <c r="B1499" i="79"/>
  <c r="B1498" i="79"/>
  <c r="B1496" i="79"/>
  <c r="B1493" i="79"/>
  <c r="B1492" i="79"/>
  <c r="B1489" i="79"/>
  <c r="B1487" i="79"/>
  <c r="B1486" i="79"/>
  <c r="B1485" i="79"/>
  <c r="B1483" i="79"/>
  <c r="B1482" i="79"/>
  <c r="B1481" i="79"/>
  <c r="B1479" i="79"/>
  <c r="B1478" i="79"/>
  <c r="B1477" i="79"/>
  <c r="B1475" i="79"/>
  <c r="B1474" i="79"/>
  <c r="B1472" i="79"/>
  <c r="B1471" i="79"/>
  <c r="B1468" i="79"/>
  <c r="B1467" i="79"/>
  <c r="B1466" i="79"/>
  <c r="B1465" i="79"/>
  <c r="B1464" i="79"/>
  <c r="B1463" i="79"/>
  <c r="B1462" i="79"/>
  <c r="B1456" i="79"/>
  <c r="B1455" i="79"/>
  <c r="B1453" i="79"/>
  <c r="B1452" i="79"/>
  <c r="B1451" i="79"/>
  <c r="B1448" i="79"/>
  <c r="B1447" i="79"/>
  <c r="B1444" i="79"/>
  <c r="B1442" i="79"/>
  <c r="B1441" i="79"/>
  <c r="B1440" i="79"/>
  <c r="B1438" i="79"/>
  <c r="B1437" i="79"/>
  <c r="B1436" i="79"/>
  <c r="B1434" i="79"/>
  <c r="B1433" i="79"/>
  <c r="B1432" i="79"/>
  <c r="B1430" i="79"/>
  <c r="B1429" i="79"/>
  <c r="B1427" i="79"/>
  <c r="B1426" i="79"/>
  <c r="B1423" i="79"/>
  <c r="B1422" i="79"/>
  <c r="B1421" i="79"/>
  <c r="B1420" i="79"/>
  <c r="B1419" i="79"/>
  <c r="B1418" i="79"/>
  <c r="B1417" i="79"/>
  <c r="B1411" i="79"/>
  <c r="B1410" i="79"/>
  <c r="B1408" i="79"/>
  <c r="B1407" i="79"/>
  <c r="B1406" i="79"/>
  <c r="B1403" i="79"/>
  <c r="B1402" i="79"/>
  <c r="B1399" i="79"/>
  <c r="B1397" i="79"/>
  <c r="B1396" i="79"/>
  <c r="B1395" i="79"/>
  <c r="B1393" i="79"/>
  <c r="B1392" i="79"/>
  <c r="B1391" i="79"/>
  <c r="B1389" i="79"/>
  <c r="B1388" i="79"/>
  <c r="B1387" i="79"/>
  <c r="B1385" i="79"/>
  <c r="B1384" i="79"/>
  <c r="B1382" i="79"/>
  <c r="B1381" i="79"/>
  <c r="B1378" i="79"/>
  <c r="B1377" i="79"/>
  <c r="B1376" i="79"/>
  <c r="B1375" i="79"/>
  <c r="B1374" i="79"/>
  <c r="B1373" i="79"/>
  <c r="B1372" i="79"/>
  <c r="B1366" i="79"/>
  <c r="B1365" i="79"/>
  <c r="B1363" i="79"/>
  <c r="B1362" i="79"/>
  <c r="B1361" i="79"/>
  <c r="B1358" i="79"/>
  <c r="B1357" i="79"/>
  <c r="B1354" i="79"/>
  <c r="B1352" i="79"/>
  <c r="B1351" i="79"/>
  <c r="B1350" i="79"/>
  <c r="B1348" i="79"/>
  <c r="B1347" i="79"/>
  <c r="B1346" i="79"/>
  <c r="B1344" i="79"/>
  <c r="B1343" i="79"/>
  <c r="B1342" i="79"/>
  <c r="B1340" i="79"/>
  <c r="B1339" i="79"/>
  <c r="B1337" i="79"/>
  <c r="B1336" i="79"/>
  <c r="B1333" i="79"/>
  <c r="B1332" i="79"/>
  <c r="B1331" i="79"/>
  <c r="B1330" i="79"/>
  <c r="B1329" i="79"/>
  <c r="B1328" i="79"/>
  <c r="B1327" i="79"/>
  <c r="B1321" i="79"/>
  <c r="B1320" i="79"/>
  <c r="B1318" i="79"/>
  <c r="B1317" i="79"/>
  <c r="B1316" i="79"/>
  <c r="B1313" i="79"/>
  <c r="B1312" i="79"/>
  <c r="B1309" i="79"/>
  <c r="B1307" i="79"/>
  <c r="B1306" i="79"/>
  <c r="B1305" i="79"/>
  <c r="B1303" i="79"/>
  <c r="B1302" i="79"/>
  <c r="B1301" i="79"/>
  <c r="B1299" i="79"/>
  <c r="B1298" i="79"/>
  <c r="B1297" i="79"/>
  <c r="B1295" i="79"/>
  <c r="B1294" i="79"/>
  <c r="B1292" i="79"/>
  <c r="B1291" i="79"/>
  <c r="B1288" i="79"/>
  <c r="B1287" i="79"/>
  <c r="B1286" i="79"/>
  <c r="B1285" i="79"/>
  <c r="B1284" i="79"/>
  <c r="B1283" i="79"/>
  <c r="B1282" i="79"/>
  <c r="B1276" i="79"/>
  <c r="B1275" i="79"/>
  <c r="B1273" i="79"/>
  <c r="B1272" i="79"/>
  <c r="B1271" i="79"/>
  <c r="B1268" i="79"/>
  <c r="B1267" i="79"/>
  <c r="B1266" i="79"/>
  <c r="B1265" i="79"/>
  <c r="B1264" i="79"/>
  <c r="B1249" i="79"/>
  <c r="B1248" i="79"/>
  <c r="B1247" i="79"/>
  <c r="B1246" i="79"/>
  <c r="B1245" i="79"/>
  <c r="B1255" i="79"/>
  <c r="B1254" i="79"/>
  <c r="B1253" i="79"/>
  <c r="B1252" i="79"/>
  <c r="B1251" i="79"/>
  <c r="B1262" i="79"/>
  <c r="B1261" i="79"/>
  <c r="B1260" i="79"/>
  <c r="B1259" i="79"/>
  <c r="B1258" i="79"/>
  <c r="C1243" i="79"/>
  <c r="B1240" i="79"/>
  <c r="B1239" i="79"/>
  <c r="B1236" i="79"/>
  <c r="B1233" i="79"/>
  <c r="B1232" i="79"/>
  <c r="B1231" i="79"/>
  <c r="B1230" i="79"/>
  <c r="B1229" i="79"/>
  <c r="B1227" i="79"/>
  <c r="B1224" i="79"/>
  <c r="B1223" i="79"/>
  <c r="B1222" i="79"/>
  <c r="B1221" i="79"/>
  <c r="B1219" i="79"/>
  <c r="B1218" i="79"/>
  <c r="B1215" i="79"/>
  <c r="B1214" i="79"/>
  <c r="B1213" i="79"/>
  <c r="B1212" i="79"/>
  <c r="B1211" i="79"/>
  <c r="B1209" i="79"/>
  <c r="B1206" i="79"/>
  <c r="B1205" i="79"/>
  <c r="B1202" i="79"/>
  <c r="B1200" i="79"/>
  <c r="B1199" i="79"/>
  <c r="B1198" i="79"/>
  <c r="B1196" i="79"/>
  <c r="B1195" i="79"/>
  <c r="B1194" i="79"/>
  <c r="B1192" i="79"/>
  <c r="B1191" i="79"/>
  <c r="B1190" i="79"/>
  <c r="B1188" i="79"/>
  <c r="B1187" i="79"/>
  <c r="B1185" i="79"/>
  <c r="B1184" i="79"/>
  <c r="B1183" i="79"/>
  <c r="B1177" i="79"/>
  <c r="B1176" i="79"/>
  <c r="B1174" i="79"/>
  <c r="B1173" i="79"/>
  <c r="B1172" i="79"/>
  <c r="B1169" i="79"/>
  <c r="B1168" i="79"/>
  <c r="B1165" i="79"/>
  <c r="B1163" i="79"/>
  <c r="B1162" i="79"/>
  <c r="B1161" i="79"/>
  <c r="B1159" i="79"/>
  <c r="B1158" i="79"/>
  <c r="B1157" i="79"/>
  <c r="B1155" i="79"/>
  <c r="B1154" i="79"/>
  <c r="B1153" i="79"/>
  <c r="B1151" i="79"/>
  <c r="B1150" i="79"/>
  <c r="B1148" i="79"/>
  <c r="B1147" i="79"/>
  <c r="B1140" i="79"/>
  <c r="B1139" i="79"/>
  <c r="B1137" i="79"/>
  <c r="B1136" i="79"/>
  <c r="B1135" i="79"/>
  <c r="B1132" i="79"/>
  <c r="B1131" i="79"/>
  <c r="B1128" i="79"/>
  <c r="B1126" i="79"/>
  <c r="B1125" i="79"/>
  <c r="B1124" i="79"/>
  <c r="B1122" i="79"/>
  <c r="B1121" i="79"/>
  <c r="B1120" i="79"/>
  <c r="B1118" i="79"/>
  <c r="B1117" i="79"/>
  <c r="B1116" i="79"/>
  <c r="B1114" i="79"/>
  <c r="B1113" i="79"/>
  <c r="B1111" i="79"/>
  <c r="B1110" i="79"/>
  <c r="B1103" i="79"/>
  <c r="B1102" i="79"/>
  <c r="B1100" i="79"/>
  <c r="B1099" i="79"/>
  <c r="B1098" i="79"/>
  <c r="B1095" i="79"/>
  <c r="B1094" i="79"/>
  <c r="B1091" i="79"/>
  <c r="B1089" i="79"/>
  <c r="B1088" i="79"/>
  <c r="B1087" i="79"/>
  <c r="B1085" i="79"/>
  <c r="B1084" i="79"/>
  <c r="B1083" i="79"/>
  <c r="B1081" i="79"/>
  <c r="B1080" i="79"/>
  <c r="B1079" i="79"/>
  <c r="B1077" i="79"/>
  <c r="B1076" i="79"/>
  <c r="B1074" i="79"/>
  <c r="B1073" i="79"/>
  <c r="B1072" i="79"/>
  <c r="B1066" i="79"/>
  <c r="B1065" i="79"/>
  <c r="B1063" i="79"/>
  <c r="B1062" i="79"/>
  <c r="B1061" i="79"/>
  <c r="B1058" i="79"/>
  <c r="B1057" i="79"/>
  <c r="B1054" i="79"/>
  <c r="B1052" i="79"/>
  <c r="B1051" i="79"/>
  <c r="B1050" i="79"/>
  <c r="B1048" i="79"/>
  <c r="B1047" i="79"/>
  <c r="B1046" i="79"/>
  <c r="B1044" i="79"/>
  <c r="B1043" i="79"/>
  <c r="B1042" i="79"/>
  <c r="B1040" i="79"/>
  <c r="B1039" i="79"/>
  <c r="B1037" i="79"/>
  <c r="B1036" i="79"/>
  <c r="B1035" i="79"/>
  <c r="B1029" i="79"/>
  <c r="B1028" i="79"/>
  <c r="B1026" i="79"/>
  <c r="B1025" i="79"/>
  <c r="B1024" i="79"/>
  <c r="B1021" i="79"/>
  <c r="B1020" i="79"/>
  <c r="B1019" i="79"/>
  <c r="B1018" i="79"/>
  <c r="B1017" i="79"/>
  <c r="B1002" i="79"/>
  <c r="B1001" i="79"/>
  <c r="B1000" i="79"/>
  <c r="B999" i="79"/>
  <c r="B998" i="79"/>
  <c r="B1008" i="79"/>
  <c r="B1007" i="79"/>
  <c r="B1006" i="79"/>
  <c r="B1005" i="79"/>
  <c r="B1004" i="79"/>
  <c r="B1015" i="79"/>
  <c r="B1014" i="79"/>
  <c r="B1013" i="79"/>
  <c r="B1012" i="79"/>
  <c r="B1011" i="79"/>
  <c r="C996" i="79"/>
  <c r="B993" i="79"/>
  <c r="B992" i="79"/>
  <c r="B991" i="79"/>
  <c r="B988" i="79"/>
  <c r="B987" i="79"/>
  <c r="M984" i="79"/>
  <c r="L984" i="79"/>
  <c r="K984" i="79"/>
  <c r="J984" i="79"/>
  <c r="I984" i="79"/>
  <c r="H984" i="79"/>
  <c r="G984" i="79"/>
  <c r="B984" i="79"/>
  <c r="B983" i="79"/>
  <c r="B982" i="79"/>
  <c r="B981" i="79"/>
  <c r="B980" i="79"/>
  <c r="B978" i="79"/>
  <c r="B975" i="79"/>
  <c r="B974" i="79"/>
  <c r="B973" i="79"/>
  <c r="B971" i="79"/>
  <c r="B968" i="79"/>
  <c r="B967" i="79"/>
  <c r="B966" i="79"/>
  <c r="B965" i="79"/>
  <c r="B964" i="79"/>
  <c r="B962" i="79"/>
  <c r="C959" i="79"/>
  <c r="B959" i="79" s="1"/>
  <c r="B958" i="79"/>
  <c r="B955" i="79"/>
  <c r="C953" i="79"/>
  <c r="B953" i="79" s="1"/>
  <c r="B952" i="79"/>
  <c r="B951" i="79"/>
  <c r="C949" i="79"/>
  <c r="B949" i="79" s="1"/>
  <c r="B948" i="79"/>
  <c r="B947" i="79"/>
  <c r="B945" i="79"/>
  <c r="B944" i="79"/>
  <c r="B943" i="79"/>
  <c r="B941" i="79"/>
  <c r="B940" i="79"/>
  <c r="B938" i="79"/>
  <c r="B937" i="79"/>
  <c r="B936" i="79"/>
  <c r="B925" i="79"/>
  <c r="B926" i="79" s="1"/>
  <c r="B927" i="79" s="1"/>
  <c r="B929" i="79" s="1"/>
  <c r="B930" i="79" s="1"/>
  <c r="B922" i="79"/>
  <c r="B921" i="79"/>
  <c r="B918" i="79"/>
  <c r="B916" i="79"/>
  <c r="B915" i="79"/>
  <c r="B914" i="79"/>
  <c r="B912" i="79"/>
  <c r="B911" i="79"/>
  <c r="B910" i="79"/>
  <c r="B908" i="79"/>
  <c r="B907" i="79"/>
  <c r="B906" i="79"/>
  <c r="B904" i="79"/>
  <c r="B903" i="79"/>
  <c r="B901" i="79"/>
  <c r="B900" i="79"/>
  <c r="B899" i="79"/>
  <c r="B888" i="79"/>
  <c r="B889" i="79" s="1"/>
  <c r="B890" i="79" s="1"/>
  <c r="B892" i="79" s="1"/>
  <c r="B893" i="79" s="1"/>
  <c r="B885" i="79"/>
  <c r="B884" i="79"/>
  <c r="B881" i="79"/>
  <c r="B879" i="79"/>
  <c r="B878" i="79"/>
  <c r="B877" i="79"/>
  <c r="B875" i="79"/>
  <c r="B874" i="79"/>
  <c r="B873" i="79"/>
  <c r="B871" i="79"/>
  <c r="B870" i="79"/>
  <c r="B869" i="79"/>
  <c r="B867" i="79"/>
  <c r="B866" i="79"/>
  <c r="B864" i="79"/>
  <c r="B863" i="79"/>
  <c r="B862" i="79"/>
  <c r="B851" i="79"/>
  <c r="B852" i="79" s="1"/>
  <c r="B853" i="79" s="1"/>
  <c r="B855" i="79" s="1"/>
  <c r="B856" i="79" s="1"/>
  <c r="B848" i="79"/>
  <c r="B847" i="79"/>
  <c r="B844" i="79"/>
  <c r="C842" i="79"/>
  <c r="B842" i="79" s="1"/>
  <c r="B841" i="79"/>
  <c r="B840" i="79"/>
  <c r="B838" i="79"/>
  <c r="B837" i="79"/>
  <c r="B836" i="79"/>
  <c r="B834" i="79"/>
  <c r="C833" i="79"/>
  <c r="B833" i="79" s="1"/>
  <c r="B832" i="79"/>
  <c r="B830" i="79"/>
  <c r="B829" i="79"/>
  <c r="B827" i="79"/>
  <c r="B826" i="79"/>
  <c r="B825" i="79"/>
  <c r="B814" i="79"/>
  <c r="B815" i="79" s="1"/>
  <c r="B816" i="79" s="1"/>
  <c r="B818" i="79" s="1"/>
  <c r="B819" i="79" s="1"/>
  <c r="C811" i="79"/>
  <c r="B811" i="79" s="1"/>
  <c r="B810" i="79"/>
  <c r="B807" i="79"/>
  <c r="C805" i="79"/>
  <c r="B805" i="79" s="1"/>
  <c r="B804" i="79"/>
  <c r="B803" i="79"/>
  <c r="C801" i="79"/>
  <c r="B801" i="79" s="1"/>
  <c r="B800" i="79"/>
  <c r="B799" i="79"/>
  <c r="B797" i="79"/>
  <c r="B796" i="79"/>
  <c r="B795" i="79"/>
  <c r="B793" i="79"/>
  <c r="B792" i="79"/>
  <c r="B790" i="79"/>
  <c r="B789" i="79"/>
  <c r="B788" i="79"/>
  <c r="B777" i="79"/>
  <c r="B774" i="79"/>
  <c r="B773" i="79"/>
  <c r="B772" i="79"/>
  <c r="B771" i="79"/>
  <c r="B770" i="79"/>
  <c r="B768" i="79"/>
  <c r="B767" i="79"/>
  <c r="B766" i="79"/>
  <c r="B765" i="79"/>
  <c r="B764" i="79"/>
  <c r="B761" i="79"/>
  <c r="B760" i="79"/>
  <c r="B759" i="79"/>
  <c r="B758" i="79"/>
  <c r="B757" i="79"/>
  <c r="B755" i="79"/>
  <c r="B754" i="79"/>
  <c r="B753" i="79"/>
  <c r="B752" i="79"/>
  <c r="B751" i="79"/>
  <c r="C749" i="79"/>
  <c r="B746" i="79"/>
  <c r="B745" i="79"/>
  <c r="B744" i="79"/>
  <c r="B743" i="79"/>
  <c r="B741" i="79"/>
  <c r="B738" i="79"/>
  <c r="B737" i="79"/>
  <c r="B736" i="79"/>
  <c r="B734" i="79"/>
  <c r="C728" i="79"/>
  <c r="B728" i="79" s="1"/>
  <c r="B727" i="79"/>
  <c r="C724" i="79"/>
  <c r="B724" i="79" s="1"/>
  <c r="B722" i="79"/>
  <c r="B721" i="79"/>
  <c r="C720" i="79"/>
  <c r="B720" i="79" s="1"/>
  <c r="B718" i="79"/>
  <c r="C717" i="79"/>
  <c r="B717" i="79" s="1"/>
  <c r="C716" i="79"/>
  <c r="B716" i="79" s="1"/>
  <c r="B714" i="79"/>
  <c r="C713" i="79"/>
  <c r="B713" i="79" s="1"/>
  <c r="B711" i="79"/>
  <c r="B710" i="79"/>
  <c r="C709" i="79"/>
  <c r="B709" i="79" s="1"/>
  <c r="C706" i="79"/>
  <c r="B706" i="79" s="1"/>
  <c r="C705" i="79"/>
  <c r="B705" i="79" s="1"/>
  <c r="C704" i="79"/>
  <c r="B704" i="79" s="1"/>
  <c r="C701" i="79"/>
  <c r="B701" i="79" s="1"/>
  <c r="B700" i="79"/>
  <c r="C697" i="79"/>
  <c r="B697" i="79" s="1"/>
  <c r="B695" i="79"/>
  <c r="B694" i="79"/>
  <c r="C693" i="79"/>
  <c r="B693" i="79" s="1"/>
  <c r="B691" i="79"/>
  <c r="C690" i="79"/>
  <c r="B690" i="79" s="1"/>
  <c r="C689" i="79"/>
  <c r="B689" i="79" s="1"/>
  <c r="B687" i="79"/>
  <c r="C686" i="79"/>
  <c r="B686" i="79" s="1"/>
  <c r="B684" i="79"/>
  <c r="B683" i="79"/>
  <c r="C682" i="79"/>
  <c r="B682" i="79" s="1"/>
  <c r="C679" i="79"/>
  <c r="B679" i="79" s="1"/>
  <c r="C678" i="79"/>
  <c r="B678" i="79" s="1"/>
  <c r="C677" i="79"/>
  <c r="B677" i="79" s="1"/>
  <c r="C674" i="79"/>
  <c r="B674" i="79" s="1"/>
  <c r="B673" i="79"/>
  <c r="C670" i="79"/>
  <c r="B670" i="79" s="1"/>
  <c r="B668" i="79"/>
  <c r="B667" i="79"/>
  <c r="C666" i="79"/>
  <c r="B666" i="79" s="1"/>
  <c r="B664" i="79"/>
  <c r="C663" i="79"/>
  <c r="B663" i="79" s="1"/>
  <c r="C662" i="79"/>
  <c r="B662" i="79" s="1"/>
  <c r="B660" i="79"/>
  <c r="C659" i="79"/>
  <c r="B659" i="79" s="1"/>
  <c r="B657" i="79"/>
  <c r="B656" i="79"/>
  <c r="C655" i="79"/>
  <c r="B655" i="79" s="1"/>
  <c r="C652" i="79"/>
  <c r="B652" i="79" s="1"/>
  <c r="C651" i="79"/>
  <c r="B651" i="79" s="1"/>
  <c r="C650" i="79"/>
  <c r="B650" i="79" s="1"/>
  <c r="C647" i="79"/>
  <c r="B647" i="79" s="1"/>
  <c r="B646" i="79"/>
  <c r="C643" i="79"/>
  <c r="B643" i="79" s="1"/>
  <c r="B641" i="79"/>
  <c r="B640" i="79"/>
  <c r="C639" i="79"/>
  <c r="B639" i="79" s="1"/>
  <c r="B637" i="79"/>
  <c r="C636" i="79"/>
  <c r="B636" i="79" s="1"/>
  <c r="C635" i="79"/>
  <c r="B635" i="79" s="1"/>
  <c r="B633" i="79"/>
  <c r="C632" i="79"/>
  <c r="B632" i="79" s="1"/>
  <c r="B630" i="79"/>
  <c r="B629" i="79"/>
  <c r="C628" i="79"/>
  <c r="B628" i="79" s="1"/>
  <c r="C625" i="79"/>
  <c r="B625" i="79" s="1"/>
  <c r="C624" i="79"/>
  <c r="B624" i="79" s="1"/>
  <c r="C623" i="79"/>
  <c r="B623" i="79" s="1"/>
  <c r="C620" i="79"/>
  <c r="B620" i="79" s="1"/>
  <c r="B619" i="79"/>
  <c r="C616" i="79"/>
  <c r="B616" i="79" s="1"/>
  <c r="B614" i="79"/>
  <c r="B613" i="79"/>
  <c r="C612" i="79"/>
  <c r="B612" i="79" s="1"/>
  <c r="B610" i="79"/>
  <c r="C609" i="79"/>
  <c r="B609" i="79" s="1"/>
  <c r="C608" i="79"/>
  <c r="B608" i="79" s="1"/>
  <c r="B606" i="79"/>
  <c r="C605" i="79"/>
  <c r="B605" i="79" s="1"/>
  <c r="B603" i="79"/>
  <c r="B602" i="79"/>
  <c r="C601" i="79"/>
  <c r="B601" i="79" s="1"/>
  <c r="C598" i="79"/>
  <c r="B598" i="79" s="1"/>
  <c r="C597" i="79"/>
  <c r="B597" i="79" s="1"/>
  <c r="C596" i="79"/>
  <c r="B596" i="79" s="1"/>
  <c r="B593" i="79"/>
  <c r="B592" i="79"/>
  <c r="B591" i="79"/>
  <c r="B590" i="79"/>
  <c r="B589" i="79"/>
  <c r="B587" i="79"/>
  <c r="B586" i="79"/>
  <c r="B585" i="79"/>
  <c r="B584" i="79"/>
  <c r="B583" i="79"/>
  <c r="C582" i="79"/>
  <c r="B575" i="79"/>
  <c r="B570" i="79"/>
  <c r="B569" i="79"/>
  <c r="B568" i="79"/>
  <c r="B566" i="79"/>
  <c r="B563" i="79"/>
  <c r="B562" i="79"/>
  <c r="B561" i="79"/>
  <c r="B558" i="79"/>
  <c r="B551" i="79"/>
  <c r="B546" i="79"/>
  <c r="B545" i="79"/>
  <c r="B544" i="79"/>
  <c r="B542" i="79"/>
  <c r="B541" i="79"/>
  <c r="B540" i="79"/>
  <c r="B538" i="79"/>
  <c r="B535" i="79"/>
  <c r="B534" i="79"/>
  <c r="B533" i="79"/>
  <c r="B530" i="79"/>
  <c r="B527" i="79"/>
  <c r="C526" i="79"/>
  <c r="B526" i="79" s="1"/>
  <c r="C519" i="79"/>
  <c r="B519" i="79" s="1"/>
  <c r="C518" i="79"/>
  <c r="B518" i="79" s="1"/>
  <c r="B516" i="79"/>
  <c r="C515" i="79"/>
  <c r="B515" i="79" s="1"/>
  <c r="B513" i="79"/>
  <c r="C512" i="79"/>
  <c r="B511" i="79"/>
  <c r="C510" i="79"/>
  <c r="B510" i="79" s="1"/>
  <c r="C509" i="79"/>
  <c r="B509" i="79" s="1"/>
  <c r="C508" i="79"/>
  <c r="B508" i="79" s="1"/>
  <c r="B505" i="79"/>
  <c r="C504" i="79"/>
  <c r="B504" i="79" s="1"/>
  <c r="C497" i="79"/>
  <c r="B497" i="79" s="1"/>
  <c r="C496" i="79"/>
  <c r="B496" i="79" s="1"/>
  <c r="B494" i="79"/>
  <c r="C493" i="79"/>
  <c r="B493" i="79" s="1"/>
  <c r="B491" i="79"/>
  <c r="C490" i="79"/>
  <c r="B489" i="79"/>
  <c r="C488" i="79"/>
  <c r="B488" i="79" s="1"/>
  <c r="C487" i="79"/>
  <c r="B487" i="79" s="1"/>
  <c r="C486" i="79"/>
  <c r="B486" i="79" s="1"/>
  <c r="B483" i="79"/>
  <c r="C482" i="79"/>
  <c r="B482" i="79" s="1"/>
  <c r="C475" i="79"/>
  <c r="C474" i="79"/>
  <c r="B474" i="79" s="1"/>
  <c r="B472" i="79"/>
  <c r="C471" i="79"/>
  <c r="B471" i="79" s="1"/>
  <c r="B469" i="79"/>
  <c r="C468" i="79"/>
  <c r="B467" i="79"/>
  <c r="C466" i="79"/>
  <c r="B466" i="79" s="1"/>
  <c r="C465" i="79"/>
  <c r="B465" i="79" s="1"/>
  <c r="C464" i="79"/>
  <c r="B464" i="79" s="1"/>
  <c r="B460" i="79"/>
  <c r="C459" i="79"/>
  <c r="B459" i="79" s="1"/>
  <c r="C452" i="79"/>
  <c r="B452" i="79" s="1"/>
  <c r="C451" i="79"/>
  <c r="B451" i="79" s="1"/>
  <c r="B449" i="79"/>
  <c r="C448" i="79"/>
  <c r="B448" i="79" s="1"/>
  <c r="B446" i="79"/>
  <c r="C445" i="79"/>
  <c r="B444" i="79"/>
  <c r="C443" i="79"/>
  <c r="B443" i="79" s="1"/>
  <c r="C442" i="79"/>
  <c r="B442" i="79" s="1"/>
  <c r="C441" i="79"/>
  <c r="B441" i="79" s="1"/>
  <c r="B438" i="79"/>
  <c r="C437" i="79"/>
  <c r="B437" i="79" s="1"/>
  <c r="C430" i="79"/>
  <c r="B430" i="79" s="1"/>
  <c r="C429" i="79"/>
  <c r="B429" i="79" s="1"/>
  <c r="B427" i="79"/>
  <c r="C426" i="79"/>
  <c r="B426" i="79" s="1"/>
  <c r="B424" i="79"/>
  <c r="C423" i="79"/>
  <c r="B422" i="79"/>
  <c r="C421" i="79"/>
  <c r="B421" i="79" s="1"/>
  <c r="C420" i="79"/>
  <c r="B420" i="79" s="1"/>
  <c r="C419" i="79"/>
  <c r="B419" i="79" s="1"/>
  <c r="B416" i="79"/>
  <c r="C415" i="79"/>
  <c r="B415" i="79" s="1"/>
  <c r="C408" i="79"/>
  <c r="B408" i="79" s="1"/>
  <c r="C407" i="79"/>
  <c r="B407" i="79" s="1"/>
  <c r="B405" i="79"/>
  <c r="C404" i="79"/>
  <c r="B404" i="79" s="1"/>
  <c r="B402" i="79"/>
  <c r="C401" i="79"/>
  <c r="B400" i="79"/>
  <c r="C399" i="79"/>
  <c r="B399" i="79" s="1"/>
  <c r="C398" i="79"/>
  <c r="B398" i="79" s="1"/>
  <c r="C397" i="79"/>
  <c r="B397" i="79" s="1"/>
  <c r="B393" i="79"/>
  <c r="C392" i="79"/>
  <c r="B392" i="79" s="1"/>
  <c r="C385" i="79"/>
  <c r="B385" i="79" s="1"/>
  <c r="C384" i="79"/>
  <c r="B384" i="79" s="1"/>
  <c r="B382" i="79"/>
  <c r="C381" i="79"/>
  <c r="B381" i="79" s="1"/>
  <c r="B379" i="79"/>
  <c r="C378" i="79"/>
  <c r="B377" i="79"/>
  <c r="C376" i="79"/>
  <c r="B376" i="79" s="1"/>
  <c r="C375" i="79"/>
  <c r="B375" i="79" s="1"/>
  <c r="C374" i="79"/>
  <c r="B374" i="79" s="1"/>
  <c r="B371" i="79"/>
  <c r="C370" i="79"/>
  <c r="B370" i="79" s="1"/>
  <c r="C363" i="79"/>
  <c r="B363" i="79" s="1"/>
  <c r="C362" i="79"/>
  <c r="B362" i="79" s="1"/>
  <c r="B360" i="79"/>
  <c r="C359" i="79"/>
  <c r="B359" i="79" s="1"/>
  <c r="B357" i="79"/>
  <c r="C356" i="79"/>
  <c r="B355" i="79"/>
  <c r="C354" i="79"/>
  <c r="B354" i="79" s="1"/>
  <c r="C353" i="79"/>
  <c r="B353" i="79" s="1"/>
  <c r="C352" i="79"/>
  <c r="B352" i="79" s="1"/>
  <c r="B349" i="79"/>
  <c r="C348" i="79"/>
  <c r="B348" i="79" s="1"/>
  <c r="C341" i="79"/>
  <c r="B341" i="79" s="1"/>
  <c r="C340" i="79"/>
  <c r="B340" i="79" s="1"/>
  <c r="B338" i="79"/>
  <c r="C337" i="79"/>
  <c r="B337" i="79" s="1"/>
  <c r="B335" i="79"/>
  <c r="C334" i="79"/>
  <c r="B333" i="79"/>
  <c r="C332" i="79"/>
  <c r="B332" i="79" s="1"/>
  <c r="C331" i="79"/>
  <c r="B331" i="79" s="1"/>
  <c r="C330" i="79"/>
  <c r="B330" i="79" s="1"/>
  <c r="B326" i="79"/>
  <c r="C325" i="79"/>
  <c r="B325" i="79" s="1"/>
  <c r="C318" i="79"/>
  <c r="B318" i="79" s="1"/>
  <c r="C317" i="79"/>
  <c r="B317" i="79" s="1"/>
  <c r="B315" i="79"/>
  <c r="C314" i="79"/>
  <c r="B314" i="79" s="1"/>
  <c r="B312" i="79"/>
  <c r="C311" i="79"/>
  <c r="B310" i="79"/>
  <c r="C309" i="79"/>
  <c r="B309" i="79" s="1"/>
  <c r="C308" i="79"/>
  <c r="B308" i="79" s="1"/>
  <c r="C307" i="79"/>
  <c r="B307" i="79" s="1"/>
  <c r="B304" i="79"/>
  <c r="C303" i="79"/>
  <c r="B303" i="79" s="1"/>
  <c r="C296" i="79"/>
  <c r="B296" i="79" s="1"/>
  <c r="C295" i="79"/>
  <c r="B295" i="79" s="1"/>
  <c r="B293" i="79"/>
  <c r="C292" i="79"/>
  <c r="B292" i="79" s="1"/>
  <c r="B290" i="79"/>
  <c r="C289" i="79"/>
  <c r="B288" i="79"/>
  <c r="C287" i="79"/>
  <c r="B287" i="79" s="1"/>
  <c r="C286" i="79"/>
  <c r="B286" i="79" s="1"/>
  <c r="C285" i="79"/>
  <c r="B285" i="79" s="1"/>
  <c r="B282" i="79"/>
  <c r="C281" i="79"/>
  <c r="B281" i="79" s="1"/>
  <c r="C274" i="79"/>
  <c r="B274" i="79" s="1"/>
  <c r="C273" i="79"/>
  <c r="B273" i="79" s="1"/>
  <c r="B271" i="79"/>
  <c r="C270" i="79"/>
  <c r="B270" i="79" s="1"/>
  <c r="B268" i="79"/>
  <c r="C267" i="79"/>
  <c r="B266" i="79"/>
  <c r="C265" i="79"/>
  <c r="B265" i="79" s="1"/>
  <c r="C264" i="79"/>
  <c r="B264" i="79" s="1"/>
  <c r="C263" i="79"/>
  <c r="B263" i="79" s="1"/>
  <c r="B259" i="79"/>
  <c r="C258" i="79"/>
  <c r="B258" i="79" s="1"/>
  <c r="C251" i="79"/>
  <c r="B251" i="79" s="1"/>
  <c r="C250" i="79"/>
  <c r="B250" i="79" s="1"/>
  <c r="B248" i="79"/>
  <c r="C247" i="79"/>
  <c r="B247" i="79" s="1"/>
  <c r="B245" i="79"/>
  <c r="C244" i="79"/>
  <c r="B243" i="79"/>
  <c r="C242" i="79"/>
  <c r="B242" i="79" s="1"/>
  <c r="C241" i="79"/>
  <c r="B241" i="79" s="1"/>
  <c r="C240" i="79"/>
  <c r="B240" i="79" s="1"/>
  <c r="B237" i="79"/>
  <c r="C236" i="79"/>
  <c r="B236" i="79" s="1"/>
  <c r="C229" i="79"/>
  <c r="B229" i="79" s="1"/>
  <c r="C228" i="79"/>
  <c r="B228" i="79" s="1"/>
  <c r="B226" i="79"/>
  <c r="C225" i="79"/>
  <c r="B225" i="79" s="1"/>
  <c r="B223" i="79"/>
  <c r="C222" i="79"/>
  <c r="B221" i="79"/>
  <c r="C220" i="79"/>
  <c r="B220" i="79" s="1"/>
  <c r="C219" i="79"/>
  <c r="B219" i="79" s="1"/>
  <c r="C218" i="79"/>
  <c r="B218" i="79" s="1"/>
  <c r="B215" i="79"/>
  <c r="C214" i="79"/>
  <c r="B214" i="79" s="1"/>
  <c r="C207" i="79"/>
  <c r="B207" i="79" s="1"/>
  <c r="C206" i="79"/>
  <c r="B206" i="79" s="1"/>
  <c r="B204" i="79"/>
  <c r="C203" i="79"/>
  <c r="B203" i="79" s="1"/>
  <c r="B201" i="79"/>
  <c r="C200" i="79"/>
  <c r="B199" i="79"/>
  <c r="C198" i="79"/>
  <c r="B198" i="79" s="1"/>
  <c r="C197" i="79"/>
  <c r="B197" i="79" s="1"/>
  <c r="C196" i="79"/>
  <c r="B196" i="79" s="1"/>
  <c r="B192" i="79"/>
  <c r="C185" i="79"/>
  <c r="C191" i="79" s="1"/>
  <c r="B191" i="79" s="1"/>
  <c r="C184" i="79"/>
  <c r="C190" i="79" s="1"/>
  <c r="B190" i="79" s="1"/>
  <c r="C183" i="79"/>
  <c r="C189" i="79" s="1"/>
  <c r="B189" i="79" s="1"/>
  <c r="C182" i="79"/>
  <c r="B178" i="79"/>
  <c r="B177" i="79"/>
  <c r="B176" i="79"/>
  <c r="B175" i="79"/>
  <c r="B174" i="79"/>
  <c r="B173" i="79"/>
  <c r="B172" i="79"/>
  <c r="B171" i="79"/>
  <c r="C112" i="79"/>
  <c r="C118" i="79" s="1"/>
  <c r="B118" i="79" s="1"/>
  <c r="C111" i="79"/>
  <c r="C110" i="79"/>
  <c r="B110" i="79" s="1"/>
  <c r="C109" i="79"/>
  <c r="C115" i="79" s="1"/>
  <c r="B115" i="79" s="1"/>
  <c r="C108" i="79"/>
  <c r="C114" i="79" s="1"/>
  <c r="B114" i="79" s="1"/>
  <c r="B106" i="79"/>
  <c r="B105" i="79"/>
  <c r="B104" i="79"/>
  <c r="B103" i="79"/>
  <c r="B102" i="79"/>
  <c r="B141" i="79"/>
  <c r="B140" i="79"/>
  <c r="B139" i="79"/>
  <c r="C10" i="79"/>
  <c r="C22" i="79" s="1"/>
  <c r="B22" i="79" s="1"/>
  <c r="C9" i="79"/>
  <c r="C21" i="79" s="1"/>
  <c r="B21" i="79" s="1"/>
  <c r="C8" i="79"/>
  <c r="C20" i="79" s="1"/>
  <c r="B20" i="79" s="1"/>
  <c r="C7" i="79"/>
  <c r="C19" i="79" s="1"/>
  <c r="B19" i="79" s="1"/>
  <c r="C6" i="79"/>
  <c r="C18" i="79" s="1"/>
  <c r="B18" i="79" s="1"/>
  <c r="B16" i="79"/>
  <c r="B15" i="79"/>
  <c r="B14" i="79"/>
  <c r="B13" i="79"/>
  <c r="B12" i="79"/>
  <c r="C4" i="79"/>
  <c r="D289" i="52"/>
  <c r="D288" i="52"/>
  <c r="D287" i="52"/>
  <c r="D286" i="52"/>
  <c r="D285" i="52"/>
  <c r="D284" i="52"/>
  <c r="D283" i="52"/>
  <c r="D282" i="52"/>
  <c r="D281" i="52"/>
  <c r="D280" i="52"/>
  <c r="D279" i="52"/>
  <c r="D278" i="52"/>
  <c r="D277" i="52"/>
  <c r="D276" i="52"/>
  <c r="D275" i="52"/>
  <c r="D274" i="52"/>
  <c r="D273" i="52"/>
  <c r="D272" i="52"/>
  <c r="D271" i="52"/>
  <c r="AF248" i="52"/>
  <c r="AF247" i="52"/>
  <c r="AF246" i="52"/>
  <c r="AF245" i="52"/>
  <c r="AF244" i="52"/>
  <c r="AF242" i="52"/>
  <c r="AF241" i="52"/>
  <c r="AF240" i="52"/>
  <c r="AF239" i="52"/>
  <c r="AF238" i="52"/>
  <c r="AF230" i="52"/>
  <c r="AF229" i="52"/>
  <c r="AF228" i="52"/>
  <c r="AF227" i="52"/>
  <c r="AF226" i="52"/>
  <c r="AF224" i="52"/>
  <c r="AF223" i="52"/>
  <c r="AF222" i="52"/>
  <c r="AF221" i="52"/>
  <c r="AF220" i="52"/>
  <c r="AF218" i="52"/>
  <c r="AF217" i="52"/>
  <c r="AF216" i="52"/>
  <c r="AF215" i="52"/>
  <c r="AF214" i="52"/>
  <c r="AF206" i="52"/>
  <c r="AF205" i="52"/>
  <c r="AF204" i="52"/>
  <c r="AF203" i="52"/>
  <c r="AF202" i="52"/>
  <c r="AF200" i="52"/>
  <c r="AF199" i="52"/>
  <c r="AF198" i="52"/>
  <c r="AF197" i="52"/>
  <c r="AF196" i="52"/>
  <c r="AF182" i="52"/>
  <c r="AF181" i="52"/>
  <c r="AF180" i="52"/>
  <c r="AF179" i="52"/>
  <c r="AF178" i="52"/>
  <c r="AF176" i="52"/>
  <c r="AF175" i="52"/>
  <c r="AF174" i="52"/>
  <c r="AF173" i="52"/>
  <c r="AF172" i="52"/>
  <c r="AF158" i="52"/>
  <c r="AF157" i="52"/>
  <c r="AF156" i="52"/>
  <c r="AF155" i="52"/>
  <c r="AF154" i="52"/>
  <c r="AF152" i="52"/>
  <c r="AF151" i="52"/>
  <c r="AF150" i="52"/>
  <c r="AF149" i="52"/>
  <c r="AF148" i="52"/>
  <c r="AF146" i="52"/>
  <c r="AF145" i="52"/>
  <c r="AF144" i="52"/>
  <c r="AF143" i="52"/>
  <c r="G143" i="52"/>
  <c r="AF142" i="52"/>
  <c r="AD141" i="52"/>
  <c r="AC141" i="52"/>
  <c r="AB141" i="52"/>
  <c r="AA141" i="52"/>
  <c r="Z141" i="52"/>
  <c r="Y141" i="52"/>
  <c r="X141" i="52"/>
  <c r="D24" i="52"/>
  <c r="D23" i="52"/>
  <c r="D22" i="52"/>
  <c r="D44" i="52" s="1"/>
  <c r="D66" i="52" s="1"/>
  <c r="D88" i="52" s="1"/>
  <c r="D110" i="52" s="1"/>
  <c r="D132" i="52" s="1"/>
  <c r="D21" i="52"/>
  <c r="D20" i="52"/>
  <c r="D42" i="52" s="1"/>
  <c r="D64" i="52" s="1"/>
  <c r="D86" i="52" s="1"/>
  <c r="D108" i="52" s="1"/>
  <c r="D130" i="52" s="1"/>
  <c r="D17" i="52"/>
  <c r="D39" i="52" s="1"/>
  <c r="D61" i="52" s="1"/>
  <c r="D83" i="52" s="1"/>
  <c r="D105" i="52" s="1"/>
  <c r="D127" i="52" s="1"/>
  <c r="D13" i="52"/>
  <c r="D11" i="52"/>
  <c r="D33" i="52" s="1"/>
  <c r="D55" i="52" s="1"/>
  <c r="D77" i="52" s="1"/>
  <c r="D99" i="52" s="1"/>
  <c r="D121" i="52" s="1"/>
  <c r="D9" i="52"/>
  <c r="D8" i="52"/>
  <c r="D6" i="52"/>
  <c r="E1" i="52" a="1"/>
  <c r="E1" i="52" s="1"/>
  <c r="D61" i="56"/>
  <c r="D56" i="56"/>
  <c r="D57" i="56" s="1"/>
  <c r="D62" i="56" s="1"/>
  <c r="D63" i="56" s="1"/>
  <c r="D64" i="56" s="1"/>
  <c r="D65" i="56" s="1"/>
  <c r="D66" i="56" s="1"/>
  <c r="D54" i="56"/>
  <c r="E52" i="56"/>
  <c r="D50" i="56"/>
  <c r="D44" i="56"/>
  <c r="D39" i="56"/>
  <c r="D45" i="56" s="1"/>
  <c r="D38" i="56"/>
  <c r="D31" i="56"/>
  <c r="E27" i="56"/>
  <c r="D19" i="56"/>
  <c r="O11" i="56"/>
  <c r="P11" i="56" s="1"/>
  <c r="Q11" i="56" s="1"/>
  <c r="R11" i="56" s="1"/>
  <c r="S11" i="56" s="1"/>
  <c r="E1" i="56" a="1"/>
  <c r="E1" i="56" s="1"/>
  <c r="J346" i="37"/>
  <c r="J345" i="37"/>
  <c r="H282" i="37"/>
  <c r="I187" i="37"/>
  <c r="I183" i="37"/>
  <c r="J28" i="37"/>
  <c r="J27" i="37"/>
  <c r="J26" i="37"/>
  <c r="J25" i="37"/>
  <c r="F1" i="37" a="1"/>
  <c r="F1" i="37" s="1"/>
  <c r="A490" i="54"/>
  <c r="H489" i="54" a="1"/>
  <c r="H489" i="54" s="1"/>
  <c r="A469" i="54"/>
  <c r="A470" i="54" s="1"/>
  <c r="H468" i="54" a="1"/>
  <c r="H468" i="54" s="1"/>
  <c r="L467" i="54"/>
  <c r="M467" i="54" s="1"/>
  <c r="N467" i="54" s="1"/>
  <c r="O467" i="54" s="1"/>
  <c r="P467" i="54" s="1"/>
  <c r="Q467" i="54" s="1"/>
  <c r="R467" i="54" s="1"/>
  <c r="S467" i="54" s="1"/>
  <c r="T467" i="54" s="1"/>
  <c r="U467" i="54" s="1"/>
  <c r="V467" i="54" s="1"/>
  <c r="E444" i="54"/>
  <c r="A444" i="54"/>
  <c r="H443" i="54" a="1"/>
  <c r="H443" i="54" s="1"/>
  <c r="E423" i="54"/>
  <c r="A423" i="54"/>
  <c r="A424" i="54" s="1"/>
  <c r="H422" i="54" a="1"/>
  <c r="H422" i="54" s="1"/>
  <c r="E381" i="54"/>
  <c r="A381" i="54"/>
  <c r="A382" i="54" s="1"/>
  <c r="H380" i="54" a="1"/>
  <c r="H380" i="54" s="1"/>
  <c r="E360" i="54"/>
  <c r="A360" i="54"/>
  <c r="A361" i="54" s="1"/>
  <c r="A362" i="54" s="1"/>
  <c r="H359" i="54" a="1"/>
  <c r="H359" i="54" s="1"/>
  <c r="L358" i="54"/>
  <c r="M358" i="54" s="1"/>
  <c r="N358" i="54" s="1"/>
  <c r="O358" i="54" s="1"/>
  <c r="P358" i="54" s="1"/>
  <c r="Q358" i="54" s="1"/>
  <c r="R358" i="54" s="1"/>
  <c r="S358" i="54" s="1"/>
  <c r="T358" i="54" s="1"/>
  <c r="U358" i="54" s="1"/>
  <c r="V358" i="54" s="1"/>
  <c r="E306" i="54"/>
  <c r="E307" i="54" s="1"/>
  <c r="E308" i="54" s="1"/>
  <c r="A306" i="54"/>
  <c r="E285" i="54"/>
  <c r="A285" i="54"/>
  <c r="E243" i="54"/>
  <c r="A243" i="54"/>
  <c r="A244" i="54" s="1"/>
  <c r="E222" i="54"/>
  <c r="A222" i="54"/>
  <c r="E199" i="54"/>
  <c r="E200" i="54" s="1"/>
  <c r="E201" i="54" s="1"/>
  <c r="E202" i="54" s="1"/>
  <c r="E203" i="54" s="1"/>
  <c r="E204" i="54" s="1"/>
  <c r="E205" i="54" s="1"/>
  <c r="E206" i="54" s="1"/>
  <c r="E207" i="54" s="1"/>
  <c r="E208" i="54" s="1"/>
  <c r="E209" i="54" s="1"/>
  <c r="E210" i="54" s="1"/>
  <c r="E211" i="54" s="1"/>
  <c r="E212" i="54" s="1"/>
  <c r="E213" i="54" s="1"/>
  <c r="E214" i="54" s="1"/>
  <c r="E215" i="54" s="1"/>
  <c r="E216" i="54" s="1"/>
  <c r="E217" i="54" s="1"/>
  <c r="A199" i="54"/>
  <c r="H199" i="54" s="1" a="1"/>
  <c r="H199" i="54" s="1"/>
  <c r="H198" i="54" a="1"/>
  <c r="H198" i="54" s="1"/>
  <c r="E178" i="54"/>
  <c r="E179" i="54" s="1"/>
  <c r="E180" i="54" s="1"/>
  <c r="E181" i="54" s="1"/>
  <c r="E182" i="54" s="1"/>
  <c r="E183" i="54" s="1"/>
  <c r="E184" i="54" s="1"/>
  <c r="E185" i="54" s="1"/>
  <c r="E186" i="54" s="1"/>
  <c r="E187" i="54" s="1"/>
  <c r="E188" i="54" s="1"/>
  <c r="E189" i="54" s="1"/>
  <c r="E190" i="54" s="1"/>
  <c r="E191" i="54" s="1"/>
  <c r="E192" i="54" s="1"/>
  <c r="E193" i="54" s="1"/>
  <c r="E194" i="54" s="1"/>
  <c r="E195" i="54" s="1"/>
  <c r="E196" i="54" s="1"/>
  <c r="A178" i="54"/>
  <c r="H177" i="54" a="1"/>
  <c r="H177" i="54" s="1"/>
  <c r="E136" i="54"/>
  <c r="E137" i="54" s="1"/>
  <c r="E138" i="54" s="1"/>
  <c r="E139" i="54" s="1"/>
  <c r="E140" i="54" s="1"/>
  <c r="E141" i="54" s="1"/>
  <c r="E142" i="54" s="1"/>
  <c r="E143" i="54" s="1"/>
  <c r="E144" i="54" s="1"/>
  <c r="E145" i="54" s="1"/>
  <c r="E146" i="54" s="1"/>
  <c r="E147" i="54" s="1"/>
  <c r="E148" i="54" s="1"/>
  <c r="E149" i="54" s="1"/>
  <c r="E150" i="54" s="1"/>
  <c r="E151" i="54" s="1"/>
  <c r="E152" i="54" s="1"/>
  <c r="E153" i="54" s="1"/>
  <c r="E154" i="54" s="1"/>
  <c r="A136" i="54"/>
  <c r="H135" i="54" a="1"/>
  <c r="H135" i="54" s="1"/>
  <c r="E115" i="54"/>
  <c r="E116" i="54" s="1"/>
  <c r="E117" i="54" s="1"/>
  <c r="E118" i="54" s="1"/>
  <c r="E119" i="54" s="1"/>
  <c r="E120" i="54" s="1"/>
  <c r="E121" i="54" s="1"/>
  <c r="E122" i="54" s="1"/>
  <c r="E123" i="54" s="1"/>
  <c r="E124" i="54" s="1"/>
  <c r="E125" i="54" s="1"/>
  <c r="E126" i="54" s="1"/>
  <c r="E127" i="54" s="1"/>
  <c r="E128" i="54" s="1"/>
  <c r="E129" i="54" s="1"/>
  <c r="E130" i="54" s="1"/>
  <c r="E131" i="54" s="1"/>
  <c r="E132" i="54" s="1"/>
  <c r="E133" i="54" s="1"/>
  <c r="A115" i="54"/>
  <c r="H115" i="54" s="1" a="1"/>
  <c r="H115" i="54" s="1"/>
  <c r="H114" i="54" a="1"/>
  <c r="H114" i="54" s="1"/>
  <c r="L113" i="54"/>
  <c r="E90" i="54"/>
  <c r="E91" i="54" s="1"/>
  <c r="E92" i="54" s="1"/>
  <c r="E93" i="54" s="1"/>
  <c r="E94" i="54" s="1"/>
  <c r="E95" i="54" s="1"/>
  <c r="E96" i="54" s="1"/>
  <c r="E97" i="54" s="1"/>
  <c r="E98" i="54" s="1"/>
  <c r="E99" i="54" s="1"/>
  <c r="E100" i="54" s="1"/>
  <c r="E101" i="54" s="1"/>
  <c r="A90" i="54"/>
  <c r="A91" i="54" s="1"/>
  <c r="E69" i="54"/>
  <c r="E70" i="54" s="1"/>
  <c r="E71" i="54" s="1"/>
  <c r="E72" i="54" s="1"/>
  <c r="E73" i="54" s="1"/>
  <c r="E74" i="54" s="1"/>
  <c r="E75" i="54" s="1"/>
  <c r="E76" i="54" s="1"/>
  <c r="E77" i="54" s="1"/>
  <c r="E78" i="54" s="1"/>
  <c r="E79" i="54" s="1"/>
  <c r="E80" i="54" s="1"/>
  <c r="A69" i="54"/>
  <c r="A70" i="54" s="1"/>
  <c r="A71" i="54" s="1"/>
  <c r="E27" i="54"/>
  <c r="E28" i="54" s="1"/>
  <c r="E29" i="54" s="1"/>
  <c r="E30" i="54" s="1"/>
  <c r="E31" i="54" s="1"/>
  <c r="E32" i="54" s="1"/>
  <c r="E33" i="54" s="1"/>
  <c r="E34" i="54" s="1"/>
  <c r="E35" i="54" s="1"/>
  <c r="E36" i="54" s="1"/>
  <c r="E37" i="54" s="1"/>
  <c r="E38" i="54" s="1"/>
  <c r="A27" i="54"/>
  <c r="E6" i="54"/>
  <c r="E7" i="54" s="1"/>
  <c r="E8" i="54" s="1"/>
  <c r="E9" i="54" s="1"/>
  <c r="E10" i="54" s="1"/>
  <c r="E11" i="54" s="1"/>
  <c r="E12" i="54" s="1"/>
  <c r="E13" i="54" s="1"/>
  <c r="E14" i="54" s="1"/>
  <c r="E15" i="54" s="1"/>
  <c r="E16" i="54" s="1"/>
  <c r="E17" i="54" s="1"/>
  <c r="A6" i="54"/>
  <c r="A7" i="54" s="1"/>
  <c r="A8" i="54" s="1"/>
  <c r="L4" i="54"/>
  <c r="E1" i="54" a="1"/>
  <c r="E1" i="54" s="1"/>
  <c r="B75" i="74"/>
  <c r="B44" i="74"/>
  <c r="B303" i="74"/>
  <c r="B165" i="74"/>
  <c r="B24" i="74"/>
  <c r="B175" i="74"/>
  <c r="B14" i="74"/>
  <c r="B145" i="74"/>
  <c r="B323" i="74"/>
  <c r="B273" i="74"/>
  <c r="B283" i="74"/>
  <c r="B253" i="74"/>
  <c r="B333" i="74"/>
  <c r="B135" i="74"/>
  <c r="B243" i="74"/>
  <c r="B85" i="74"/>
  <c r="B233" i="74"/>
  <c r="B209" i="74"/>
  <c r="B219" i="74"/>
  <c r="B200" i="74"/>
  <c r="B115" i="74"/>
  <c r="B313" i="74"/>
  <c r="B33" i="74"/>
  <c r="B96" i="74"/>
  <c r="B106" i="74"/>
  <c r="B155" i="74"/>
  <c r="B125" i="74"/>
  <c r="B263" i="74"/>
  <c r="B65" i="74"/>
  <c r="B55" i="74"/>
  <c r="B185" i="74"/>
  <c r="B343" i="74"/>
  <c r="B293" i="74"/>
  <c r="B404" i="74"/>
  <c r="B403" i="74"/>
  <c r="B402" i="74"/>
  <c r="B401" i="74"/>
  <c r="B400" i="74"/>
  <c r="B399" i="74"/>
  <c r="B398" i="74"/>
  <c r="B397" i="74"/>
  <c r="B76" i="74"/>
  <c r="B45" i="74"/>
  <c r="B304" i="74"/>
  <c r="B166" i="74"/>
  <c r="B25" i="74"/>
  <c r="B176" i="74"/>
  <c r="B15" i="74"/>
  <c r="B146" i="74"/>
  <c r="B324" i="74"/>
  <c r="B274" i="74"/>
  <c r="B284" i="74"/>
  <c r="B254" i="74"/>
  <c r="B334" i="74"/>
  <c r="B136" i="74"/>
  <c r="B244" i="74"/>
  <c r="B86" i="74"/>
  <c r="B234" i="74"/>
  <c r="B210" i="74"/>
  <c r="B220" i="74"/>
  <c r="B199" i="74"/>
  <c r="B116" i="74"/>
  <c r="B314" i="74"/>
  <c r="B35" i="74"/>
  <c r="B91" i="74"/>
  <c r="B101" i="74"/>
  <c r="B156" i="74"/>
  <c r="B126" i="74"/>
  <c r="B264" i="74"/>
  <c r="B66" i="74"/>
  <c r="B56" i="74"/>
  <c r="B186" i="74"/>
  <c r="B344" i="74"/>
  <c r="B294" i="74"/>
  <c r="B396" i="74"/>
  <c r="B395" i="74"/>
  <c r="B394" i="74"/>
  <c r="B393" i="74"/>
  <c r="B392" i="74"/>
  <c r="B391" i="74"/>
  <c r="B390" i="74"/>
  <c r="B389" i="74"/>
  <c r="B74" i="74"/>
  <c r="B43" i="74"/>
  <c r="B302" i="74"/>
  <c r="B164" i="74"/>
  <c r="B23" i="74"/>
  <c r="B174" i="74"/>
  <c r="B13" i="74"/>
  <c r="B144" i="74"/>
  <c r="B322" i="74"/>
  <c r="B272" i="74"/>
  <c r="B282" i="74"/>
  <c r="B252" i="74"/>
  <c r="B332" i="74"/>
  <c r="B134" i="74"/>
  <c r="B242" i="74"/>
  <c r="B84" i="74"/>
  <c r="B232" i="74"/>
  <c r="B208" i="74"/>
  <c r="B218" i="74"/>
  <c r="B198" i="74"/>
  <c r="B114" i="74"/>
  <c r="B312" i="74"/>
  <c r="B31" i="74"/>
  <c r="B95" i="74"/>
  <c r="B105" i="74"/>
  <c r="B154" i="74"/>
  <c r="B124" i="74"/>
  <c r="B262" i="74"/>
  <c r="B64" i="74"/>
  <c r="B54" i="74"/>
  <c r="B184" i="74"/>
  <c r="B342" i="74"/>
  <c r="B292" i="74"/>
  <c r="B388" i="74"/>
  <c r="B387" i="74"/>
  <c r="B386" i="74"/>
  <c r="B385" i="74"/>
  <c r="B384" i="74"/>
  <c r="B383" i="74"/>
  <c r="B382" i="74"/>
  <c r="B381" i="74"/>
  <c r="B380" i="74"/>
  <c r="B379" i="74"/>
  <c r="B378" i="74"/>
  <c r="B69" i="74"/>
  <c r="B38" i="74"/>
  <c r="B297" i="74"/>
  <c r="B159" i="74"/>
  <c r="B18" i="74"/>
  <c r="B169" i="74"/>
  <c r="B8" i="74"/>
  <c r="B139" i="74"/>
  <c r="B317" i="74"/>
  <c r="B267" i="74"/>
  <c r="B277" i="74"/>
  <c r="B247" i="74"/>
  <c r="B326" i="74"/>
  <c r="B128" i="74"/>
  <c r="B237" i="74"/>
  <c r="B80" i="74"/>
  <c r="B227" i="74"/>
  <c r="B203" i="74"/>
  <c r="B213" i="74"/>
  <c r="B193" i="74"/>
  <c r="B109" i="74"/>
  <c r="B307" i="74"/>
  <c r="B32" i="74"/>
  <c r="B88" i="74"/>
  <c r="B99" i="74"/>
  <c r="B149" i="74"/>
  <c r="B119" i="74"/>
  <c r="B257" i="74"/>
  <c r="B59" i="74"/>
  <c r="B49" i="74"/>
  <c r="B179" i="74"/>
  <c r="B335" i="74"/>
  <c r="B287" i="74"/>
  <c r="B377" i="74"/>
  <c r="B376" i="74"/>
  <c r="B375" i="74"/>
  <c r="B374" i="74"/>
  <c r="B373" i="74"/>
  <c r="B72" i="74"/>
  <c r="B41" i="74"/>
  <c r="B300" i="74"/>
  <c r="B162" i="74"/>
  <c r="B21" i="74"/>
  <c r="B172" i="74"/>
  <c r="B11" i="74"/>
  <c r="B142" i="74"/>
  <c r="B320" i="74"/>
  <c r="B270" i="74"/>
  <c r="B280" i="74"/>
  <c r="B250" i="74"/>
  <c r="B330" i="74"/>
  <c r="B132" i="74"/>
  <c r="B240" i="74"/>
  <c r="B82" i="74"/>
  <c r="B230" i="74"/>
  <c r="B206" i="74"/>
  <c r="B216" i="74"/>
  <c r="B196" i="74"/>
  <c r="B112" i="74"/>
  <c r="B310" i="74"/>
  <c r="B29" i="74"/>
  <c r="B93" i="74"/>
  <c r="B103" i="74"/>
  <c r="B152" i="74"/>
  <c r="B122" i="74"/>
  <c r="B260" i="74"/>
  <c r="B62" i="74"/>
  <c r="B52" i="74"/>
  <c r="B182" i="74"/>
  <c r="B340" i="74"/>
  <c r="B290" i="74"/>
  <c r="B372" i="74"/>
  <c r="B371" i="74"/>
  <c r="B370" i="74"/>
  <c r="B369" i="74"/>
  <c r="B368" i="74"/>
  <c r="B367" i="74"/>
  <c r="B366" i="74"/>
  <c r="B365" i="74"/>
  <c r="B73" i="74"/>
  <c r="B42" i="74"/>
  <c r="B301" i="74"/>
  <c r="B163" i="74"/>
  <c r="B22" i="74"/>
  <c r="B173" i="74"/>
  <c r="B12" i="74"/>
  <c r="B143" i="74"/>
  <c r="B321" i="74"/>
  <c r="B271" i="74"/>
  <c r="B281" i="74"/>
  <c r="B251" i="74"/>
  <c r="B331" i="74"/>
  <c r="B133" i="74"/>
  <c r="B241" i="74"/>
  <c r="B83" i="74"/>
  <c r="B231" i="74"/>
  <c r="B207" i="74"/>
  <c r="B217" i="74"/>
  <c r="B197" i="74"/>
  <c r="B113" i="74"/>
  <c r="B311" i="74"/>
  <c r="B30" i="74"/>
  <c r="B94" i="74"/>
  <c r="B104" i="74"/>
  <c r="B153" i="74"/>
  <c r="B123" i="74"/>
  <c r="B261" i="74"/>
  <c r="B63" i="74"/>
  <c r="B53" i="74"/>
  <c r="B183" i="74"/>
  <c r="B341" i="74"/>
  <c r="B291" i="74"/>
  <c r="B364" i="74"/>
  <c r="B363" i="74"/>
  <c r="B362" i="74"/>
  <c r="B361" i="74"/>
  <c r="B360" i="74"/>
  <c r="B70" i="74"/>
  <c r="B39" i="74"/>
  <c r="B298" i="74"/>
  <c r="B160" i="74"/>
  <c r="B19" i="74"/>
  <c r="B170" i="74"/>
  <c r="B9" i="74"/>
  <c r="B140" i="74"/>
  <c r="B318" i="74"/>
  <c r="B268" i="74"/>
  <c r="B278" i="74"/>
  <c r="B248" i="74"/>
  <c r="B327" i="74"/>
  <c r="B129" i="74"/>
  <c r="B238" i="74"/>
  <c r="B81" i="74"/>
  <c r="B228" i="74"/>
  <c r="B204" i="74"/>
  <c r="B214" i="74"/>
  <c r="B194" i="74"/>
  <c r="B110" i="74"/>
  <c r="B308" i="74"/>
  <c r="B34" i="74"/>
  <c r="B89" i="74"/>
  <c r="B100" i="74"/>
  <c r="B150" i="74"/>
  <c r="B120" i="74"/>
  <c r="B258" i="74"/>
  <c r="B60" i="74"/>
  <c r="B50" i="74"/>
  <c r="B180" i="74"/>
  <c r="B336" i="74"/>
  <c r="B288" i="74"/>
  <c r="B359" i="74"/>
  <c r="B358" i="74"/>
  <c r="B357" i="74"/>
  <c r="B356" i="74"/>
  <c r="B355" i="74"/>
  <c r="B354" i="74"/>
  <c r="B71" i="74"/>
  <c r="B40" i="74"/>
  <c r="B299" i="74"/>
  <c r="B161" i="74"/>
  <c r="B20" i="74"/>
  <c r="B171" i="74"/>
  <c r="B10" i="74"/>
  <c r="B141" i="74"/>
  <c r="B319" i="74"/>
  <c r="B269" i="74"/>
  <c r="B279" i="74"/>
  <c r="B249" i="74"/>
  <c r="B329" i="74"/>
  <c r="B131" i="74"/>
  <c r="B239" i="74"/>
  <c r="B78" i="74"/>
  <c r="B229" i="74"/>
  <c r="B205" i="74"/>
  <c r="B215" i="74"/>
  <c r="B195" i="74"/>
  <c r="B111" i="74"/>
  <c r="B309" i="74"/>
  <c r="B28" i="74"/>
  <c r="B92" i="74"/>
  <c r="B102" i="74"/>
  <c r="B151" i="74"/>
  <c r="B121" i="74"/>
  <c r="B259" i="74"/>
  <c r="B61" i="74"/>
  <c r="B51" i="74"/>
  <c r="B181" i="74"/>
  <c r="B339" i="74"/>
  <c r="B289" i="74"/>
  <c r="B353" i="74"/>
  <c r="B352" i="74"/>
  <c r="B351" i="74"/>
  <c r="B350" i="74"/>
  <c r="B68" i="74"/>
  <c r="B37" i="74"/>
  <c r="B296" i="74"/>
  <c r="B158" i="74"/>
  <c r="B17" i="74"/>
  <c r="B168" i="74"/>
  <c r="B7" i="74"/>
  <c r="B138" i="74"/>
  <c r="B316" i="74"/>
  <c r="B266" i="74"/>
  <c r="B276" i="74"/>
  <c r="B246" i="74"/>
  <c r="B325" i="74"/>
  <c r="B127" i="74"/>
  <c r="B236" i="74"/>
  <c r="B79" i="74"/>
  <c r="B226" i="74"/>
  <c r="B202" i="74"/>
  <c r="B212" i="74"/>
  <c r="B192" i="74"/>
  <c r="B108" i="74"/>
  <c r="B306" i="74"/>
  <c r="B27" i="74"/>
  <c r="B90" i="74"/>
  <c r="B98" i="74"/>
  <c r="B148" i="74"/>
  <c r="B118" i="74"/>
  <c r="B256" i="74"/>
  <c r="B58" i="74"/>
  <c r="B48" i="74"/>
  <c r="B178" i="74"/>
  <c r="B337" i="74"/>
  <c r="B286" i="74"/>
  <c r="B349" i="74"/>
  <c r="B348" i="74"/>
  <c r="B347" i="74"/>
  <c r="B346" i="74"/>
  <c r="B67" i="74"/>
  <c r="B36" i="74"/>
  <c r="B295" i="74"/>
  <c r="B157" i="74"/>
  <c r="B16" i="74"/>
  <c r="B167" i="74"/>
  <c r="B6" i="74"/>
  <c r="B137" i="74"/>
  <c r="B315" i="74"/>
  <c r="B265" i="74"/>
  <c r="B275" i="74"/>
  <c r="B245" i="74"/>
  <c r="B328" i="74"/>
  <c r="B130" i="74"/>
  <c r="B235" i="74"/>
  <c r="B77" i="74"/>
  <c r="B225" i="74"/>
  <c r="B201" i="74"/>
  <c r="B211" i="74"/>
  <c r="B191" i="74"/>
  <c r="B107" i="74"/>
  <c r="B305" i="74"/>
  <c r="B26" i="74"/>
  <c r="B87" i="74"/>
  <c r="B97" i="74"/>
  <c r="B147" i="74"/>
  <c r="B117" i="74"/>
  <c r="B255" i="74"/>
  <c r="B57" i="74"/>
  <c r="B47" i="74"/>
  <c r="B177" i="74"/>
  <c r="B338" i="74"/>
  <c r="B285" i="74"/>
  <c r="B345" i="74"/>
  <c r="B222" i="74"/>
  <c r="B224" i="74"/>
  <c r="T221" i="74"/>
  <c r="T222" i="74" s="1"/>
  <c r="S221" i="74"/>
  <c r="S222" i="74" s="1"/>
  <c r="R221" i="74"/>
  <c r="R222" i="74" s="1"/>
  <c r="Q221" i="74"/>
  <c r="Q222" i="74" s="1"/>
  <c r="P221" i="74"/>
  <c r="P222" i="74" s="1"/>
  <c r="O221" i="74"/>
  <c r="O222" i="74" s="1"/>
  <c r="N221" i="74"/>
  <c r="N222" i="74" s="1"/>
  <c r="M221" i="74"/>
  <c r="M222" i="74" s="1"/>
  <c r="L221" i="74"/>
  <c r="L222" i="74" s="1"/>
  <c r="K221" i="74"/>
  <c r="K222" i="74" s="1"/>
  <c r="J221" i="74"/>
  <c r="J222" i="74" s="1"/>
  <c r="I221" i="74"/>
  <c r="I222" i="74" s="1"/>
  <c r="H221" i="74"/>
  <c r="H222" i="74" s="1"/>
  <c r="G221" i="74"/>
  <c r="G222" i="74" s="1"/>
  <c r="F221" i="74"/>
  <c r="F222" i="74" s="1"/>
  <c r="B221" i="74"/>
  <c r="B223" i="74"/>
  <c r="B46" i="74"/>
  <c r="B189" i="74"/>
  <c r="B188" i="74"/>
  <c r="B187" i="74"/>
  <c r="B190" i="74"/>
  <c r="T3" i="74"/>
  <c r="S3" i="74"/>
  <c r="R3" i="74"/>
  <c r="Q3" i="74"/>
  <c r="P3" i="74"/>
  <c r="O3" i="74"/>
  <c r="N3" i="74"/>
  <c r="M3" i="74"/>
  <c r="L3" i="74"/>
  <c r="K3" i="74"/>
  <c r="J3" i="74"/>
  <c r="I3" i="74"/>
  <c r="H3" i="74"/>
  <c r="G3" i="74"/>
  <c r="F3" i="74"/>
  <c r="B1" i="74" a="1"/>
  <c r="B1" i="74" s="1"/>
  <c r="B57" i="10"/>
  <c r="B56" i="10"/>
  <c r="B55" i="10"/>
  <c r="B54" i="10"/>
  <c r="B53" i="10"/>
  <c r="AY30" i="10"/>
  <c r="AY29" i="10"/>
  <c r="H28" i="10"/>
  <c r="I28" i="10" s="1"/>
  <c r="J28" i="10" s="1"/>
  <c r="K28" i="10" s="1"/>
  <c r="L28" i="10" s="1"/>
  <c r="M28" i="10" s="1"/>
  <c r="N28" i="10" s="1"/>
  <c r="O28" i="10" s="1"/>
  <c r="P28" i="10" s="1"/>
  <c r="Q28" i="10" s="1"/>
  <c r="R28" i="10" s="1"/>
  <c r="AZ27" i="10"/>
  <c r="E23" i="10"/>
  <c r="E22" i="10"/>
  <c r="E21" i="10"/>
  <c r="E20" i="10"/>
  <c r="AY19" i="10"/>
  <c r="E19" i="10"/>
  <c r="E18" i="10"/>
  <c r="E17" i="10"/>
  <c r="E16" i="10"/>
  <c r="E15" i="10"/>
  <c r="AZ14" i="10"/>
  <c r="AY14" i="10"/>
  <c r="E14" i="10"/>
  <c r="AZ13" i="10"/>
  <c r="AY13" i="10"/>
  <c r="E13" i="10"/>
  <c r="E12" i="10"/>
  <c r="E11" i="10"/>
  <c r="BJ10" i="10"/>
  <c r="BK10" i="10" s="1"/>
  <c r="BL10" i="10" s="1"/>
  <c r="BM10" i="10" s="1"/>
  <c r="BN10" i="10" s="1"/>
  <c r="BO10" i="10" s="1"/>
  <c r="E10" i="10"/>
  <c r="AZ9" i="10"/>
  <c r="AY9" i="10"/>
  <c r="E9" i="10"/>
  <c r="AZ8" i="10"/>
  <c r="AY8" i="10"/>
  <c r="E8" i="10"/>
  <c r="AZ7" i="10"/>
  <c r="AY7" i="10"/>
  <c r="E7" i="10"/>
  <c r="BO5" i="10"/>
  <c r="BN5" i="10"/>
  <c r="BM5" i="10"/>
  <c r="BL5" i="10"/>
  <c r="BK5" i="10"/>
  <c r="BJ5" i="10"/>
  <c r="BI5" i="10"/>
  <c r="AZ6" i="10"/>
  <c r="AY6" i="10"/>
  <c r="E6" i="10"/>
  <c r="AZ5" i="10"/>
  <c r="AY5" i="10"/>
  <c r="E5" i="10"/>
  <c r="A5" i="10"/>
  <c r="A6" i="10" s="1"/>
  <c r="A7" i="10" s="1"/>
  <c r="A8" i="10" s="1"/>
  <c r="A9" i="10" s="1"/>
  <c r="A10" i="10" s="1"/>
  <c r="A11" i="10" s="1"/>
  <c r="A12" i="10" s="1"/>
  <c r="A13" i="10" s="1"/>
  <c r="A14" i="10" s="1"/>
  <c r="A15" i="10" s="1"/>
  <c r="A16" i="10" s="1"/>
  <c r="A17" i="10" s="1"/>
  <c r="A18" i="10" s="1"/>
  <c r="A19" i="10" s="1"/>
  <c r="A20" i="10" s="1"/>
  <c r="A21" i="10" s="1"/>
  <c r="A22" i="10" s="1"/>
  <c r="BO4" i="10"/>
  <c r="BN4" i="10"/>
  <c r="BM4" i="10"/>
  <c r="BL4" i="10"/>
  <c r="BK4" i="10"/>
  <c r="BJ4" i="10"/>
  <c r="BI4" i="10"/>
  <c r="AZ4" i="10"/>
  <c r="AY4" i="10"/>
  <c r="AB4" i="10"/>
  <c r="X4" i="10"/>
  <c r="E4" i="10"/>
  <c r="BJ3" i="10"/>
  <c r="BK3" i="10" s="1"/>
  <c r="BL3" i="10" s="1"/>
  <c r="BM3" i="10" s="1"/>
  <c r="BN3" i="10" s="1"/>
  <c r="BO3" i="10" s="1"/>
  <c r="E1" i="10" a="1"/>
  <c r="E1" i="10" s="1"/>
  <c r="L602" i="59"/>
  <c r="L603" i="59" s="1"/>
  <c r="L604" i="59" s="1"/>
  <c r="L605" i="59" s="1"/>
  <c r="L606" i="59" s="1"/>
  <c r="L607" i="59" s="1"/>
  <c r="L608" i="59" s="1"/>
  <c r="L609" i="59" s="1"/>
  <c r="L610" i="59" s="1"/>
  <c r="L611" i="59" s="1"/>
  <c r="L612" i="59" s="1"/>
  <c r="L613" i="59" s="1"/>
  <c r="L614" i="59" s="1"/>
  <c r="L615" i="59" s="1"/>
  <c r="L616" i="59" s="1"/>
  <c r="L617" i="59" s="1"/>
  <c r="L618" i="59" s="1"/>
  <c r="L619" i="59" s="1"/>
  <c r="L560" i="59"/>
  <c r="L561" i="59" s="1"/>
  <c r="L562" i="59" s="1"/>
  <c r="L563" i="59" s="1"/>
  <c r="L564" i="59" s="1"/>
  <c r="L565" i="59" s="1"/>
  <c r="L566" i="59" s="1"/>
  <c r="L567" i="59" s="1"/>
  <c r="L568" i="59" s="1"/>
  <c r="L569" i="59" s="1"/>
  <c r="L570" i="59" s="1"/>
  <c r="L571" i="59" s="1"/>
  <c r="L572" i="59" s="1"/>
  <c r="L573" i="59" s="1"/>
  <c r="L574" i="59" s="1"/>
  <c r="L575" i="59" s="1"/>
  <c r="L576" i="59" s="1"/>
  <c r="L577" i="59" s="1"/>
  <c r="L539" i="59"/>
  <c r="L540" i="59" s="1"/>
  <c r="L541" i="59" s="1"/>
  <c r="L542" i="59" s="1"/>
  <c r="L543" i="59" s="1"/>
  <c r="L544" i="59" s="1"/>
  <c r="L545" i="59" s="1"/>
  <c r="L546" i="59" s="1"/>
  <c r="L547" i="59" s="1"/>
  <c r="L548" i="59" s="1"/>
  <c r="L549" i="59" s="1"/>
  <c r="L550" i="59" s="1"/>
  <c r="L551" i="59" s="1"/>
  <c r="L552" i="59" s="1"/>
  <c r="L553" i="59" s="1"/>
  <c r="L554" i="59" s="1"/>
  <c r="L555" i="59" s="1"/>
  <c r="L556" i="59" s="1"/>
  <c r="L497" i="59"/>
  <c r="L498" i="59" s="1"/>
  <c r="L499" i="59" s="1"/>
  <c r="L500" i="59" s="1"/>
  <c r="L501" i="59" s="1"/>
  <c r="L502" i="59" s="1"/>
  <c r="L503" i="59" s="1"/>
  <c r="L504" i="59" s="1"/>
  <c r="L505" i="59" s="1"/>
  <c r="L506" i="59" s="1"/>
  <c r="L507" i="59" s="1"/>
  <c r="L508" i="59" s="1"/>
  <c r="L509" i="59" s="1"/>
  <c r="L510" i="59" s="1"/>
  <c r="L511" i="59" s="1"/>
  <c r="L512" i="59" s="1"/>
  <c r="L513" i="59" s="1"/>
  <c r="L514" i="59" s="1"/>
  <c r="L476" i="59"/>
  <c r="L477" i="59" s="1"/>
  <c r="L478" i="59" s="1"/>
  <c r="L479" i="59" s="1"/>
  <c r="L480" i="59" s="1"/>
  <c r="L481" i="59" s="1"/>
  <c r="L482" i="59" s="1"/>
  <c r="L483" i="59" s="1"/>
  <c r="L484" i="59" s="1"/>
  <c r="L485" i="59" s="1"/>
  <c r="L486" i="59" s="1"/>
  <c r="L487" i="59" s="1"/>
  <c r="L488" i="59" s="1"/>
  <c r="L489" i="59" s="1"/>
  <c r="L490" i="59" s="1"/>
  <c r="L491" i="59" s="1"/>
  <c r="L492" i="59" s="1"/>
  <c r="L493" i="59" s="1"/>
  <c r="L494" i="59" s="1"/>
  <c r="C476" i="59"/>
  <c r="C477" i="59" s="1"/>
  <c r="R376" i="59"/>
  <c r="S376" i="59" s="1"/>
  <c r="T376" i="59" s="1"/>
  <c r="U376" i="59" s="1"/>
  <c r="V376" i="59" s="1"/>
  <c r="W376" i="59" s="1"/>
  <c r="X376" i="59" s="1"/>
  <c r="Y376" i="59" s="1"/>
  <c r="Z376" i="59" s="1"/>
  <c r="AA376" i="59" s="1"/>
  <c r="AB376" i="59" s="1"/>
  <c r="AC376" i="59" s="1"/>
  <c r="AD376" i="59" s="1"/>
  <c r="S375" i="59"/>
  <c r="T375" i="59" s="1"/>
  <c r="U375" i="59" s="1"/>
  <c r="V375" i="59" s="1"/>
  <c r="W375" i="59" s="1"/>
  <c r="X375" i="59" s="1"/>
  <c r="Y375" i="59" s="1"/>
  <c r="Z375" i="59" s="1"/>
  <c r="AA375" i="59" s="1"/>
  <c r="AB375" i="59" s="1"/>
  <c r="AC375" i="59" s="1"/>
  <c r="AD375" i="59" s="1"/>
  <c r="S374" i="59"/>
  <c r="T374" i="59" s="1"/>
  <c r="U374" i="59" s="1"/>
  <c r="V374" i="59" s="1"/>
  <c r="W374" i="59" s="1"/>
  <c r="X374" i="59" s="1"/>
  <c r="Y374" i="59" s="1"/>
  <c r="Z374" i="59" s="1"/>
  <c r="AA374" i="59" s="1"/>
  <c r="AB374" i="59" s="1"/>
  <c r="AC374" i="59" s="1"/>
  <c r="AD374" i="59" s="1"/>
  <c r="S373" i="59"/>
  <c r="T373" i="59" s="1"/>
  <c r="U373" i="59" s="1"/>
  <c r="V373" i="59" s="1"/>
  <c r="W373" i="59" s="1"/>
  <c r="X373" i="59" s="1"/>
  <c r="Y373" i="59" s="1"/>
  <c r="Z373" i="59" s="1"/>
  <c r="AA373" i="59" s="1"/>
  <c r="AB373" i="59" s="1"/>
  <c r="AC373" i="59" s="1"/>
  <c r="AD373" i="59" s="1"/>
  <c r="S372" i="59"/>
  <c r="T372" i="59" s="1"/>
  <c r="U372" i="59" s="1"/>
  <c r="V372" i="59" s="1"/>
  <c r="W372" i="59" s="1"/>
  <c r="X372" i="59" s="1"/>
  <c r="Y372" i="59" s="1"/>
  <c r="Z372" i="59" s="1"/>
  <c r="AA372" i="59" s="1"/>
  <c r="AB372" i="59" s="1"/>
  <c r="AC372" i="59" s="1"/>
  <c r="AD372" i="59" s="1"/>
  <c r="S371" i="59"/>
  <c r="T371" i="59" s="1"/>
  <c r="U371" i="59" s="1"/>
  <c r="V371" i="59" s="1"/>
  <c r="W371" i="59" s="1"/>
  <c r="X371" i="59" s="1"/>
  <c r="Y371" i="59" s="1"/>
  <c r="Z371" i="59" s="1"/>
  <c r="AA371" i="59" s="1"/>
  <c r="AB371" i="59" s="1"/>
  <c r="AC371" i="59" s="1"/>
  <c r="AD371" i="59" s="1"/>
  <c r="S370" i="59"/>
  <c r="T370" i="59" s="1"/>
  <c r="U370" i="59" s="1"/>
  <c r="V370" i="59" s="1"/>
  <c r="W370" i="59" s="1"/>
  <c r="X370" i="59" s="1"/>
  <c r="Y370" i="59" s="1"/>
  <c r="Z370" i="59" s="1"/>
  <c r="AA370" i="59" s="1"/>
  <c r="AB370" i="59" s="1"/>
  <c r="AC370" i="59" s="1"/>
  <c r="AD370" i="59" s="1"/>
  <c r="S369" i="59"/>
  <c r="T369" i="59" s="1"/>
  <c r="U369" i="59" s="1"/>
  <c r="V369" i="59" s="1"/>
  <c r="W369" i="59" s="1"/>
  <c r="X369" i="59" s="1"/>
  <c r="Y369" i="59" s="1"/>
  <c r="Z369" i="59" s="1"/>
  <c r="AA369" i="59" s="1"/>
  <c r="AB369" i="59" s="1"/>
  <c r="AC369" i="59" s="1"/>
  <c r="AD369" i="59" s="1"/>
  <c r="S368" i="59"/>
  <c r="T368" i="59" s="1"/>
  <c r="U368" i="59" s="1"/>
  <c r="V368" i="59" s="1"/>
  <c r="W368" i="59" s="1"/>
  <c r="X368" i="59" s="1"/>
  <c r="Y368" i="59" s="1"/>
  <c r="Z368" i="59" s="1"/>
  <c r="AA368" i="59" s="1"/>
  <c r="AB368" i="59" s="1"/>
  <c r="AC368" i="59" s="1"/>
  <c r="AD368" i="59" s="1"/>
  <c r="S367" i="59"/>
  <c r="T367" i="59" s="1"/>
  <c r="U367" i="59" s="1"/>
  <c r="V367" i="59" s="1"/>
  <c r="W367" i="59" s="1"/>
  <c r="X367" i="59" s="1"/>
  <c r="Y367" i="59" s="1"/>
  <c r="Z367" i="59" s="1"/>
  <c r="AA367" i="59" s="1"/>
  <c r="AB367" i="59" s="1"/>
  <c r="AC367" i="59" s="1"/>
  <c r="AD367" i="59" s="1"/>
  <c r="S366" i="59"/>
  <c r="T366" i="59" s="1"/>
  <c r="U366" i="59" s="1"/>
  <c r="V366" i="59" s="1"/>
  <c r="W366" i="59" s="1"/>
  <c r="X366" i="59" s="1"/>
  <c r="Y366" i="59" s="1"/>
  <c r="Z366" i="59" s="1"/>
  <c r="AA366" i="59" s="1"/>
  <c r="AB366" i="59" s="1"/>
  <c r="AC366" i="59" s="1"/>
  <c r="AD366" i="59" s="1"/>
  <c r="S247" i="59"/>
  <c r="T247" i="59" s="1"/>
  <c r="U247" i="59" s="1"/>
  <c r="V247" i="59" s="1"/>
  <c r="W247" i="59" s="1"/>
  <c r="X247" i="59" s="1"/>
  <c r="Y247" i="59" s="1"/>
  <c r="Z247" i="59" s="1"/>
  <c r="AA247" i="59" s="1"/>
  <c r="AB247" i="59" s="1"/>
  <c r="AC247" i="59" s="1"/>
  <c r="AD247" i="59" s="1"/>
  <c r="S246" i="59"/>
  <c r="T246" i="59" s="1"/>
  <c r="U246" i="59" s="1"/>
  <c r="V246" i="59" s="1"/>
  <c r="W246" i="59" s="1"/>
  <c r="X246" i="59" s="1"/>
  <c r="Y246" i="59" s="1"/>
  <c r="Z246" i="59" s="1"/>
  <c r="AA246" i="59" s="1"/>
  <c r="AB246" i="59" s="1"/>
  <c r="AC246" i="59" s="1"/>
  <c r="AD246" i="59" s="1"/>
  <c r="S243" i="59"/>
  <c r="T243" i="59" s="1"/>
  <c r="U243" i="59" s="1"/>
  <c r="V243" i="59" s="1"/>
  <c r="W243" i="59" s="1"/>
  <c r="X243" i="59" s="1"/>
  <c r="Y243" i="59" s="1"/>
  <c r="Z243" i="59" s="1"/>
  <c r="AA243" i="59" s="1"/>
  <c r="AB243" i="59" s="1"/>
  <c r="AC243" i="59" s="1"/>
  <c r="AD243" i="59" s="1"/>
  <c r="S242" i="59"/>
  <c r="T242" i="59" s="1"/>
  <c r="U242" i="59" s="1"/>
  <c r="V242" i="59" s="1"/>
  <c r="W242" i="59" s="1"/>
  <c r="X242" i="59" s="1"/>
  <c r="Y242" i="59" s="1"/>
  <c r="Z242" i="59" s="1"/>
  <c r="AA242" i="59" s="1"/>
  <c r="AB242" i="59" s="1"/>
  <c r="AC242" i="59" s="1"/>
  <c r="AD242" i="59" s="1"/>
  <c r="S241" i="59"/>
  <c r="T241" i="59" s="1"/>
  <c r="U241" i="59" s="1"/>
  <c r="V241" i="59" s="1"/>
  <c r="W241" i="59" s="1"/>
  <c r="X241" i="59" s="1"/>
  <c r="Y241" i="59" s="1"/>
  <c r="Z241" i="59" s="1"/>
  <c r="AA241" i="59" s="1"/>
  <c r="AB241" i="59" s="1"/>
  <c r="AC241" i="59" s="1"/>
  <c r="AD241" i="59" s="1"/>
  <c r="S240" i="59"/>
  <c r="T240" i="59" s="1"/>
  <c r="U240" i="59" s="1"/>
  <c r="V240" i="59" s="1"/>
  <c r="W240" i="59" s="1"/>
  <c r="X240" i="59" s="1"/>
  <c r="Y240" i="59" s="1"/>
  <c r="Z240" i="59" s="1"/>
  <c r="AA240" i="59" s="1"/>
  <c r="AB240" i="59" s="1"/>
  <c r="AC240" i="59" s="1"/>
  <c r="AD240" i="59" s="1"/>
  <c r="S239" i="59"/>
  <c r="T239" i="59" s="1"/>
  <c r="U239" i="59" s="1"/>
  <c r="V239" i="59" s="1"/>
  <c r="W239" i="59" s="1"/>
  <c r="X239" i="59" s="1"/>
  <c r="Y239" i="59" s="1"/>
  <c r="Z239" i="59" s="1"/>
  <c r="AA239" i="59" s="1"/>
  <c r="AB239" i="59" s="1"/>
  <c r="AC239" i="59" s="1"/>
  <c r="AD239" i="59" s="1"/>
  <c r="S234" i="59"/>
  <c r="S233" i="59"/>
  <c r="S232" i="59"/>
  <c r="S231" i="59"/>
  <c r="S230" i="59"/>
  <c r="S226" i="59"/>
  <c r="T226" i="59" s="1"/>
  <c r="U226" i="59" s="1"/>
  <c r="V226" i="59" s="1"/>
  <c r="W226" i="59" s="1"/>
  <c r="X226" i="59" s="1"/>
  <c r="Y226" i="59" s="1"/>
  <c r="Z226" i="59" s="1"/>
  <c r="AA226" i="59" s="1"/>
  <c r="AB226" i="59" s="1"/>
  <c r="AC226" i="59" s="1"/>
  <c r="AD226" i="59" s="1"/>
  <c r="T221" i="59"/>
  <c r="U221" i="59" s="1"/>
  <c r="V221" i="59" s="1"/>
  <c r="W221" i="59" s="1"/>
  <c r="X221" i="59" s="1"/>
  <c r="Y221" i="59" s="1"/>
  <c r="Z221" i="59" s="1"/>
  <c r="AA221" i="59" s="1"/>
  <c r="AB221" i="59" s="1"/>
  <c r="AC221" i="59" s="1"/>
  <c r="AD221" i="59" s="1"/>
  <c r="T220" i="59"/>
  <c r="U220" i="59" s="1"/>
  <c r="V220" i="59" s="1"/>
  <c r="W220" i="59" s="1"/>
  <c r="X220" i="59" s="1"/>
  <c r="Y220" i="59" s="1"/>
  <c r="Z220" i="59" s="1"/>
  <c r="AA220" i="59" s="1"/>
  <c r="AB220" i="59" s="1"/>
  <c r="AC220" i="59" s="1"/>
  <c r="AD220" i="59" s="1"/>
  <c r="S215" i="59"/>
  <c r="T215" i="59" s="1"/>
  <c r="U215" i="59" s="1"/>
  <c r="V215" i="59" s="1"/>
  <c r="W215" i="59" s="1"/>
  <c r="X215" i="59" s="1"/>
  <c r="Y215" i="59" s="1"/>
  <c r="Z215" i="59" s="1"/>
  <c r="AA215" i="59" s="1"/>
  <c r="AB215" i="59" s="1"/>
  <c r="AC215" i="59" s="1"/>
  <c r="AD215" i="59" s="1"/>
  <c r="S214" i="59"/>
  <c r="T214" i="59" s="1"/>
  <c r="U214" i="59" s="1"/>
  <c r="V214" i="59" s="1"/>
  <c r="W214" i="59" s="1"/>
  <c r="X214" i="59" s="1"/>
  <c r="Y214" i="59" s="1"/>
  <c r="Z214" i="59" s="1"/>
  <c r="AA214" i="59" s="1"/>
  <c r="AB214" i="59" s="1"/>
  <c r="AC214" i="59" s="1"/>
  <c r="AD214" i="59" s="1"/>
  <c r="S210" i="59"/>
  <c r="E205" i="59"/>
  <c r="E204" i="59"/>
  <c r="E203" i="59"/>
  <c r="E202" i="59"/>
  <c r="E201" i="59"/>
  <c r="E200" i="59"/>
  <c r="E199" i="59"/>
  <c r="E197" i="59"/>
  <c r="E196" i="59"/>
  <c r="E195" i="59"/>
  <c r="E194" i="59"/>
  <c r="E193" i="59"/>
  <c r="E192" i="59"/>
  <c r="E191" i="59"/>
  <c r="S189" i="59"/>
  <c r="T189" i="59" s="1"/>
  <c r="U189" i="59" s="1"/>
  <c r="V189" i="59" s="1"/>
  <c r="W189" i="59" s="1"/>
  <c r="X189" i="59" s="1"/>
  <c r="Y189" i="59" s="1"/>
  <c r="S157" i="59"/>
  <c r="T157" i="59" s="1"/>
  <c r="U157" i="59" s="1"/>
  <c r="V157" i="59" s="1"/>
  <c r="W157" i="59" s="1"/>
  <c r="X157" i="59" s="1"/>
  <c r="Y157" i="59" s="1"/>
  <c r="Z157" i="59" s="1"/>
  <c r="AA157" i="59" s="1"/>
  <c r="AB157" i="59" s="1"/>
  <c r="AC157" i="59" s="1"/>
  <c r="AD157" i="59" s="1"/>
  <c r="S156" i="59"/>
  <c r="T156" i="59" s="1"/>
  <c r="U156" i="59" s="1"/>
  <c r="V156" i="59" s="1"/>
  <c r="W156" i="59" s="1"/>
  <c r="X156" i="59" s="1"/>
  <c r="Y156" i="59" s="1"/>
  <c r="Z156" i="59" s="1"/>
  <c r="AA156" i="59" s="1"/>
  <c r="AB156" i="59" s="1"/>
  <c r="AC156" i="59" s="1"/>
  <c r="AD156" i="59" s="1"/>
  <c r="S155" i="59"/>
  <c r="T155" i="59" s="1"/>
  <c r="U155" i="59" s="1"/>
  <c r="V155" i="59" s="1"/>
  <c r="W155" i="59" s="1"/>
  <c r="X155" i="59" s="1"/>
  <c r="Y155" i="59" s="1"/>
  <c r="Z155" i="59" s="1"/>
  <c r="AA155" i="59" s="1"/>
  <c r="AB155" i="59" s="1"/>
  <c r="AC155" i="59" s="1"/>
  <c r="AD155" i="59" s="1"/>
  <c r="S154" i="59"/>
  <c r="T154" i="59" s="1"/>
  <c r="U154" i="59" s="1"/>
  <c r="V154" i="59" s="1"/>
  <c r="W154" i="59" s="1"/>
  <c r="X154" i="59" s="1"/>
  <c r="Y154" i="59" s="1"/>
  <c r="Z154" i="59" s="1"/>
  <c r="AA154" i="59" s="1"/>
  <c r="AB154" i="59" s="1"/>
  <c r="AC154" i="59" s="1"/>
  <c r="AD154" i="59" s="1"/>
  <c r="S153" i="59"/>
  <c r="T153" i="59" s="1"/>
  <c r="U153" i="59" s="1"/>
  <c r="V153" i="59" s="1"/>
  <c r="W153" i="59" s="1"/>
  <c r="X153" i="59" s="1"/>
  <c r="Y153" i="59" s="1"/>
  <c r="Z153" i="59" s="1"/>
  <c r="AA153" i="59" s="1"/>
  <c r="AB153" i="59" s="1"/>
  <c r="AC153" i="59" s="1"/>
  <c r="AD153" i="59" s="1"/>
  <c r="S152" i="59"/>
  <c r="T152" i="59" s="1"/>
  <c r="U152" i="59" s="1"/>
  <c r="V152" i="59" s="1"/>
  <c r="W152" i="59" s="1"/>
  <c r="X152" i="59" s="1"/>
  <c r="Y152" i="59" s="1"/>
  <c r="Z152" i="59" s="1"/>
  <c r="AA152" i="59" s="1"/>
  <c r="AB152" i="59" s="1"/>
  <c r="AC152" i="59" s="1"/>
  <c r="AD152" i="59" s="1"/>
  <c r="S151" i="59"/>
  <c r="T151" i="59" s="1"/>
  <c r="U151" i="59" s="1"/>
  <c r="V151" i="59" s="1"/>
  <c r="W151" i="59" s="1"/>
  <c r="X151" i="59" s="1"/>
  <c r="Y151" i="59" s="1"/>
  <c r="Z151" i="59" s="1"/>
  <c r="AA151" i="59" s="1"/>
  <c r="AB151" i="59" s="1"/>
  <c r="AC151" i="59" s="1"/>
  <c r="AD151" i="59" s="1"/>
  <c r="S150" i="59"/>
  <c r="T150" i="59" s="1"/>
  <c r="U150" i="59" s="1"/>
  <c r="V150" i="59" s="1"/>
  <c r="W150" i="59" s="1"/>
  <c r="X150" i="59" s="1"/>
  <c r="Y150" i="59" s="1"/>
  <c r="Z150" i="59" s="1"/>
  <c r="AA150" i="59" s="1"/>
  <c r="AB150" i="59" s="1"/>
  <c r="AC150" i="59" s="1"/>
  <c r="AD150" i="59" s="1"/>
  <c r="S149" i="59"/>
  <c r="T149" i="59" s="1"/>
  <c r="U149" i="59" s="1"/>
  <c r="V149" i="59" s="1"/>
  <c r="W149" i="59" s="1"/>
  <c r="X149" i="59" s="1"/>
  <c r="Y149" i="59" s="1"/>
  <c r="Z149" i="59" s="1"/>
  <c r="AA149" i="59" s="1"/>
  <c r="AB149" i="59" s="1"/>
  <c r="AC149" i="59" s="1"/>
  <c r="AD149" i="59" s="1"/>
  <c r="S148" i="59"/>
  <c r="T148" i="59" s="1"/>
  <c r="U148" i="59" s="1"/>
  <c r="V148" i="59" s="1"/>
  <c r="W148" i="59" s="1"/>
  <c r="X148" i="59" s="1"/>
  <c r="Y148" i="59" s="1"/>
  <c r="Z148" i="59" s="1"/>
  <c r="AA148" i="59" s="1"/>
  <c r="AB148" i="59" s="1"/>
  <c r="AC148" i="59" s="1"/>
  <c r="AD148" i="59" s="1"/>
  <c r="S147" i="59"/>
  <c r="T147" i="59" s="1"/>
  <c r="U147" i="59" s="1"/>
  <c r="V147" i="59" s="1"/>
  <c r="W147" i="59" s="1"/>
  <c r="X147" i="59" s="1"/>
  <c r="Y147" i="59" s="1"/>
  <c r="Z147" i="59" s="1"/>
  <c r="AA147" i="59" s="1"/>
  <c r="AB147" i="59" s="1"/>
  <c r="AC147" i="59" s="1"/>
  <c r="AD147" i="59" s="1"/>
  <c r="S146" i="59"/>
  <c r="T146" i="59" s="1"/>
  <c r="U146" i="59" s="1"/>
  <c r="V146" i="59" s="1"/>
  <c r="W146" i="59" s="1"/>
  <c r="X146" i="59" s="1"/>
  <c r="Y146" i="59" s="1"/>
  <c r="Z146" i="59" s="1"/>
  <c r="AA146" i="59" s="1"/>
  <c r="AB146" i="59" s="1"/>
  <c r="AC146" i="59" s="1"/>
  <c r="AD146" i="59" s="1"/>
  <c r="S145" i="59"/>
  <c r="T145" i="59" s="1"/>
  <c r="U145" i="59" s="1"/>
  <c r="V145" i="59" s="1"/>
  <c r="W145" i="59" s="1"/>
  <c r="X145" i="59" s="1"/>
  <c r="Y145" i="59" s="1"/>
  <c r="Z145" i="59" s="1"/>
  <c r="AA145" i="59" s="1"/>
  <c r="AB145" i="59" s="1"/>
  <c r="AC145" i="59" s="1"/>
  <c r="AD145" i="59" s="1"/>
  <c r="S144" i="59"/>
  <c r="T144" i="59" s="1"/>
  <c r="U144" i="59" s="1"/>
  <c r="V144" i="59" s="1"/>
  <c r="W144" i="59" s="1"/>
  <c r="X144" i="59" s="1"/>
  <c r="Y144" i="59" s="1"/>
  <c r="Z144" i="59" s="1"/>
  <c r="AA144" i="59" s="1"/>
  <c r="AB144" i="59" s="1"/>
  <c r="AC144" i="59" s="1"/>
  <c r="AD144" i="59" s="1"/>
  <c r="S143" i="59"/>
  <c r="T143" i="59" s="1"/>
  <c r="U143" i="59" s="1"/>
  <c r="V143" i="59" s="1"/>
  <c r="W143" i="59" s="1"/>
  <c r="X143" i="59" s="1"/>
  <c r="Y143" i="59" s="1"/>
  <c r="Z143" i="59" s="1"/>
  <c r="AA143" i="59" s="1"/>
  <c r="AB143" i="59" s="1"/>
  <c r="AC143" i="59" s="1"/>
  <c r="AD143" i="59" s="1"/>
  <c r="S142" i="59"/>
  <c r="T142" i="59" s="1"/>
  <c r="U142" i="59" s="1"/>
  <c r="V142" i="59" s="1"/>
  <c r="W142" i="59" s="1"/>
  <c r="X142" i="59" s="1"/>
  <c r="Y142" i="59" s="1"/>
  <c r="Z142" i="59" s="1"/>
  <c r="AA142" i="59" s="1"/>
  <c r="AB142" i="59" s="1"/>
  <c r="AC142" i="59" s="1"/>
  <c r="AD142" i="59" s="1"/>
  <c r="S141" i="59"/>
  <c r="T141" i="59" s="1"/>
  <c r="U141" i="59" s="1"/>
  <c r="V141" i="59" s="1"/>
  <c r="W141" i="59" s="1"/>
  <c r="X141" i="59" s="1"/>
  <c r="Y141" i="59" s="1"/>
  <c r="Z141" i="59" s="1"/>
  <c r="AA141" i="59" s="1"/>
  <c r="AB141" i="59" s="1"/>
  <c r="AC141" i="59" s="1"/>
  <c r="AD141" i="59" s="1"/>
  <c r="S140" i="59"/>
  <c r="T140" i="59" s="1"/>
  <c r="U140" i="59" s="1"/>
  <c r="V140" i="59" s="1"/>
  <c r="W140" i="59" s="1"/>
  <c r="X140" i="59" s="1"/>
  <c r="Y140" i="59" s="1"/>
  <c r="Z140" i="59" s="1"/>
  <c r="AA140" i="59" s="1"/>
  <c r="AB140" i="59" s="1"/>
  <c r="AC140" i="59" s="1"/>
  <c r="AD140" i="59" s="1"/>
  <c r="S139" i="59"/>
  <c r="T139" i="59" s="1"/>
  <c r="U139" i="59" s="1"/>
  <c r="V139" i="59" s="1"/>
  <c r="W139" i="59" s="1"/>
  <c r="X139" i="59" s="1"/>
  <c r="Y139" i="59" s="1"/>
  <c r="Z139" i="59" s="1"/>
  <c r="AA139" i="59" s="1"/>
  <c r="AB139" i="59" s="1"/>
  <c r="AC139" i="59" s="1"/>
  <c r="AD139" i="59" s="1"/>
  <c r="S138" i="59"/>
  <c r="T138" i="59" s="1"/>
  <c r="U138" i="59" s="1"/>
  <c r="V138" i="59" s="1"/>
  <c r="W138" i="59" s="1"/>
  <c r="X138" i="59" s="1"/>
  <c r="Y138" i="59" s="1"/>
  <c r="Z138" i="59" s="1"/>
  <c r="AA138" i="59" s="1"/>
  <c r="AB138" i="59" s="1"/>
  <c r="AC138" i="59" s="1"/>
  <c r="AD138" i="59" s="1"/>
  <c r="S137" i="59"/>
  <c r="T137" i="59" s="1"/>
  <c r="U137" i="59" s="1"/>
  <c r="V137" i="59" s="1"/>
  <c r="W137" i="59" s="1"/>
  <c r="X137" i="59" s="1"/>
  <c r="Y137" i="59" s="1"/>
  <c r="Z137" i="59" s="1"/>
  <c r="AA137" i="59" s="1"/>
  <c r="AB137" i="59" s="1"/>
  <c r="AC137" i="59" s="1"/>
  <c r="AD137" i="59" s="1"/>
  <c r="S136" i="59"/>
  <c r="T136" i="59" s="1"/>
  <c r="U136" i="59" s="1"/>
  <c r="V136" i="59" s="1"/>
  <c r="W136" i="59" s="1"/>
  <c r="X136" i="59" s="1"/>
  <c r="Y136" i="59" s="1"/>
  <c r="Z136" i="59" s="1"/>
  <c r="AA136" i="59" s="1"/>
  <c r="AB136" i="59" s="1"/>
  <c r="AC136" i="59" s="1"/>
  <c r="AD136" i="59" s="1"/>
  <c r="S135" i="59"/>
  <c r="T135" i="59" s="1"/>
  <c r="U135" i="59" s="1"/>
  <c r="V135" i="59" s="1"/>
  <c r="W135" i="59" s="1"/>
  <c r="X135" i="59" s="1"/>
  <c r="Y135" i="59" s="1"/>
  <c r="Z135" i="59" s="1"/>
  <c r="AA135" i="59" s="1"/>
  <c r="AB135" i="59" s="1"/>
  <c r="AC135" i="59" s="1"/>
  <c r="AD135" i="59" s="1"/>
  <c r="S134" i="59"/>
  <c r="T134" i="59" s="1"/>
  <c r="U134" i="59" s="1"/>
  <c r="V134" i="59" s="1"/>
  <c r="W134" i="59" s="1"/>
  <c r="X134" i="59" s="1"/>
  <c r="Y134" i="59" s="1"/>
  <c r="Z134" i="59" s="1"/>
  <c r="AA134" i="59" s="1"/>
  <c r="AB134" i="59" s="1"/>
  <c r="AC134" i="59" s="1"/>
  <c r="AD134" i="59" s="1"/>
  <c r="S133" i="59"/>
  <c r="T133" i="59" s="1"/>
  <c r="U133" i="59" s="1"/>
  <c r="V133" i="59" s="1"/>
  <c r="W133" i="59" s="1"/>
  <c r="X133" i="59" s="1"/>
  <c r="Y133" i="59" s="1"/>
  <c r="Z133" i="59" s="1"/>
  <c r="AA133" i="59" s="1"/>
  <c r="AB133" i="59" s="1"/>
  <c r="AC133" i="59" s="1"/>
  <c r="AD133" i="59" s="1"/>
  <c r="S132" i="59"/>
  <c r="T132" i="59" s="1"/>
  <c r="U132" i="59" s="1"/>
  <c r="V132" i="59" s="1"/>
  <c r="W132" i="59" s="1"/>
  <c r="X132" i="59" s="1"/>
  <c r="Y132" i="59" s="1"/>
  <c r="Z132" i="59" s="1"/>
  <c r="AA132" i="59" s="1"/>
  <c r="AB132" i="59" s="1"/>
  <c r="AC132" i="59" s="1"/>
  <c r="AD132" i="59" s="1"/>
  <c r="S131" i="59"/>
  <c r="T131" i="59" s="1"/>
  <c r="U131" i="59" s="1"/>
  <c r="V131" i="59" s="1"/>
  <c r="W131" i="59" s="1"/>
  <c r="X131" i="59" s="1"/>
  <c r="Y131" i="59" s="1"/>
  <c r="Z131" i="59" s="1"/>
  <c r="AA131" i="59" s="1"/>
  <c r="AB131" i="59" s="1"/>
  <c r="AC131" i="59" s="1"/>
  <c r="AD131" i="59" s="1"/>
  <c r="S130" i="59"/>
  <c r="T130" i="59" s="1"/>
  <c r="U130" i="59" s="1"/>
  <c r="V130" i="59" s="1"/>
  <c r="W130" i="59" s="1"/>
  <c r="X130" i="59" s="1"/>
  <c r="Y130" i="59" s="1"/>
  <c r="Z130" i="59" s="1"/>
  <c r="AA130" i="59" s="1"/>
  <c r="AB130" i="59" s="1"/>
  <c r="AC130" i="59" s="1"/>
  <c r="AD130" i="59" s="1"/>
  <c r="S129" i="59"/>
  <c r="T129" i="59" s="1"/>
  <c r="U129" i="59" s="1"/>
  <c r="V129" i="59" s="1"/>
  <c r="W129" i="59" s="1"/>
  <c r="X129" i="59" s="1"/>
  <c r="Y129" i="59" s="1"/>
  <c r="Z129" i="59" s="1"/>
  <c r="AA129" i="59" s="1"/>
  <c r="AB129" i="59" s="1"/>
  <c r="AC129" i="59" s="1"/>
  <c r="AD129" i="59" s="1"/>
  <c r="S128" i="59"/>
  <c r="T128" i="59" s="1"/>
  <c r="U128" i="59" s="1"/>
  <c r="V128" i="59" s="1"/>
  <c r="W128" i="59" s="1"/>
  <c r="X128" i="59" s="1"/>
  <c r="Y128" i="59" s="1"/>
  <c r="Z128" i="59" s="1"/>
  <c r="AA128" i="59" s="1"/>
  <c r="AB128" i="59" s="1"/>
  <c r="AC128" i="59" s="1"/>
  <c r="AD128" i="59" s="1"/>
  <c r="S127" i="59"/>
  <c r="T127" i="59" s="1"/>
  <c r="U127" i="59" s="1"/>
  <c r="V127" i="59" s="1"/>
  <c r="W127" i="59" s="1"/>
  <c r="X127" i="59" s="1"/>
  <c r="Y127" i="59" s="1"/>
  <c r="Z127" i="59" s="1"/>
  <c r="AA127" i="59" s="1"/>
  <c r="AB127" i="59" s="1"/>
  <c r="AC127" i="59" s="1"/>
  <c r="AD127" i="59" s="1"/>
  <c r="S126" i="59"/>
  <c r="T126" i="59" s="1"/>
  <c r="U126" i="59" s="1"/>
  <c r="V126" i="59" s="1"/>
  <c r="W126" i="59" s="1"/>
  <c r="X126" i="59" s="1"/>
  <c r="Y126" i="59" s="1"/>
  <c r="Z126" i="59" s="1"/>
  <c r="AA126" i="59" s="1"/>
  <c r="AB126" i="59" s="1"/>
  <c r="AC126" i="59" s="1"/>
  <c r="AD126" i="59" s="1"/>
  <c r="S125" i="59"/>
  <c r="T125" i="59" s="1"/>
  <c r="U125" i="59" s="1"/>
  <c r="V125" i="59" s="1"/>
  <c r="W125" i="59" s="1"/>
  <c r="X125" i="59" s="1"/>
  <c r="Y125" i="59" s="1"/>
  <c r="Z125" i="59" s="1"/>
  <c r="AA125" i="59" s="1"/>
  <c r="AB125" i="59" s="1"/>
  <c r="AC125" i="59" s="1"/>
  <c r="AD125" i="59" s="1"/>
  <c r="S124" i="59"/>
  <c r="T124" i="59" s="1"/>
  <c r="U124" i="59" s="1"/>
  <c r="V124" i="59" s="1"/>
  <c r="W124" i="59" s="1"/>
  <c r="X124" i="59" s="1"/>
  <c r="Y124" i="59" s="1"/>
  <c r="Z124" i="59" s="1"/>
  <c r="AA124" i="59" s="1"/>
  <c r="AB124" i="59" s="1"/>
  <c r="AC124" i="59" s="1"/>
  <c r="AD124" i="59" s="1"/>
  <c r="S123" i="59"/>
  <c r="T123" i="59" s="1"/>
  <c r="U123" i="59" s="1"/>
  <c r="V123" i="59" s="1"/>
  <c r="W123" i="59" s="1"/>
  <c r="X123" i="59" s="1"/>
  <c r="Y123" i="59" s="1"/>
  <c r="Z123" i="59" s="1"/>
  <c r="AA123" i="59" s="1"/>
  <c r="AB123" i="59" s="1"/>
  <c r="AC123" i="59" s="1"/>
  <c r="AD123" i="59" s="1"/>
  <c r="S122" i="59"/>
  <c r="T122" i="59" s="1"/>
  <c r="U122" i="59" s="1"/>
  <c r="V122" i="59" s="1"/>
  <c r="W122" i="59" s="1"/>
  <c r="X122" i="59" s="1"/>
  <c r="Y122" i="59" s="1"/>
  <c r="Z122" i="59" s="1"/>
  <c r="AA122" i="59" s="1"/>
  <c r="AB122" i="59" s="1"/>
  <c r="AC122" i="59" s="1"/>
  <c r="AD122" i="59" s="1"/>
  <c r="S121" i="59"/>
  <c r="T121" i="59" s="1"/>
  <c r="U121" i="59" s="1"/>
  <c r="V121" i="59" s="1"/>
  <c r="W121" i="59" s="1"/>
  <c r="X121" i="59" s="1"/>
  <c r="Y121" i="59" s="1"/>
  <c r="Z121" i="59" s="1"/>
  <c r="AA121" i="59" s="1"/>
  <c r="AB121" i="59" s="1"/>
  <c r="AC121" i="59" s="1"/>
  <c r="AD121" i="59" s="1"/>
  <c r="S248" i="59"/>
  <c r="T248" i="59" s="1"/>
  <c r="U248" i="59" s="1"/>
  <c r="V248" i="59" s="1"/>
  <c r="W248" i="59" s="1"/>
  <c r="X248" i="59" s="1"/>
  <c r="Y248" i="59" s="1"/>
  <c r="Z248" i="59" s="1"/>
  <c r="AA248" i="59" s="1"/>
  <c r="AB248" i="59" s="1"/>
  <c r="AC248" i="59" s="1"/>
  <c r="AD248" i="59" s="1"/>
  <c r="T115" i="59"/>
  <c r="U115" i="59" s="1"/>
  <c r="V115" i="59" s="1"/>
  <c r="W115" i="59" s="1"/>
  <c r="X115" i="59" s="1"/>
  <c r="Y115" i="59" s="1"/>
  <c r="Z115" i="59" s="1"/>
  <c r="AA115" i="59" s="1"/>
  <c r="AB115" i="59" s="1"/>
  <c r="AC115" i="59" s="1"/>
  <c r="AD115" i="59" s="1"/>
  <c r="S245" i="59"/>
  <c r="T245" i="59" s="1"/>
  <c r="U245" i="59" s="1"/>
  <c r="V245" i="59" s="1"/>
  <c r="W245" i="59" s="1"/>
  <c r="X245" i="59" s="1"/>
  <c r="Y245" i="59" s="1"/>
  <c r="Z245" i="59" s="1"/>
  <c r="AA245" i="59" s="1"/>
  <c r="AB245" i="59" s="1"/>
  <c r="AC245" i="59" s="1"/>
  <c r="AD245" i="59" s="1"/>
  <c r="S244" i="59"/>
  <c r="T244" i="59" s="1"/>
  <c r="U244" i="59" s="1"/>
  <c r="V244" i="59" s="1"/>
  <c r="W244" i="59" s="1"/>
  <c r="X244" i="59" s="1"/>
  <c r="Y244" i="59" s="1"/>
  <c r="Z244" i="59" s="1"/>
  <c r="AA244" i="59" s="1"/>
  <c r="AB244" i="59" s="1"/>
  <c r="AC244" i="59" s="1"/>
  <c r="AD244" i="59" s="1"/>
  <c r="T111" i="59"/>
  <c r="U111" i="59" s="1"/>
  <c r="V111" i="59" s="1"/>
  <c r="W111" i="59" s="1"/>
  <c r="X111" i="59" s="1"/>
  <c r="Y111" i="59" s="1"/>
  <c r="Z111" i="59" s="1"/>
  <c r="AA111" i="59" s="1"/>
  <c r="AB111" i="59" s="1"/>
  <c r="AC111" i="59" s="1"/>
  <c r="AD111" i="59" s="1"/>
  <c r="T110" i="59"/>
  <c r="U110" i="59" s="1"/>
  <c r="V110" i="59" s="1"/>
  <c r="W110" i="59" s="1"/>
  <c r="X110" i="59" s="1"/>
  <c r="Y110" i="59" s="1"/>
  <c r="Z110" i="59" s="1"/>
  <c r="AA110" i="59" s="1"/>
  <c r="AB110" i="59" s="1"/>
  <c r="AC110" i="59" s="1"/>
  <c r="AD110" i="59" s="1"/>
  <c r="T109" i="59"/>
  <c r="T113" i="59" s="1"/>
  <c r="T108" i="59"/>
  <c r="U108" i="59" s="1"/>
  <c r="V108" i="59" s="1"/>
  <c r="W108" i="59" s="1"/>
  <c r="X108" i="59" s="1"/>
  <c r="Y108" i="59" s="1"/>
  <c r="Z108" i="59" s="1"/>
  <c r="AA108" i="59" s="1"/>
  <c r="AB108" i="59" s="1"/>
  <c r="AC108" i="59" s="1"/>
  <c r="AD108" i="59" s="1"/>
  <c r="S106" i="59"/>
  <c r="T106" i="59" s="1"/>
  <c r="U106" i="59" s="1"/>
  <c r="V106" i="59" s="1"/>
  <c r="W106" i="59" s="1"/>
  <c r="X106" i="59" s="1"/>
  <c r="Y106" i="59" s="1"/>
  <c r="Z106" i="59" s="1"/>
  <c r="AA106" i="59" s="1"/>
  <c r="AB106" i="59" s="1"/>
  <c r="AC106" i="59" s="1"/>
  <c r="AD106" i="59" s="1"/>
  <c r="T105" i="59"/>
  <c r="U105" i="59" s="1"/>
  <c r="V105" i="59" s="1"/>
  <c r="W105" i="59" s="1"/>
  <c r="X105" i="59" s="1"/>
  <c r="Y105" i="59" s="1"/>
  <c r="Z105" i="59" s="1"/>
  <c r="AA105" i="59" s="1"/>
  <c r="AB105" i="59" s="1"/>
  <c r="AC105" i="59" s="1"/>
  <c r="AD105" i="59" s="1"/>
  <c r="S104" i="59"/>
  <c r="T104" i="59" s="1"/>
  <c r="U104" i="59" s="1"/>
  <c r="V104" i="59" s="1"/>
  <c r="W104" i="59" s="1"/>
  <c r="X104" i="59" s="1"/>
  <c r="Y104" i="59" s="1"/>
  <c r="Z104" i="59" s="1"/>
  <c r="AA104" i="59" s="1"/>
  <c r="AB104" i="59" s="1"/>
  <c r="AC104" i="59" s="1"/>
  <c r="AD104" i="59" s="1"/>
  <c r="T101" i="59"/>
  <c r="U101" i="59" s="1"/>
  <c r="V101" i="59" s="1"/>
  <c r="W101" i="59" s="1"/>
  <c r="X101" i="59" s="1"/>
  <c r="Y101" i="59" s="1"/>
  <c r="Z101" i="59" s="1"/>
  <c r="AA101" i="59" s="1"/>
  <c r="AB101" i="59" s="1"/>
  <c r="AC101" i="59" s="1"/>
  <c r="AD101" i="59" s="1"/>
  <c r="T100" i="59"/>
  <c r="U100" i="59" s="1"/>
  <c r="V100" i="59" s="1"/>
  <c r="W100" i="59" s="1"/>
  <c r="X100" i="59" s="1"/>
  <c r="Y100" i="59" s="1"/>
  <c r="Z100" i="59" s="1"/>
  <c r="AA100" i="59" s="1"/>
  <c r="AB100" i="59" s="1"/>
  <c r="AC100" i="59" s="1"/>
  <c r="AD100" i="59" s="1"/>
  <c r="T99" i="59"/>
  <c r="T103" i="59" s="1"/>
  <c r="T98" i="59"/>
  <c r="U98" i="59" s="1"/>
  <c r="V98" i="59" s="1"/>
  <c r="W98" i="59" s="1"/>
  <c r="X98" i="59" s="1"/>
  <c r="Y98" i="59" s="1"/>
  <c r="Z98" i="59" s="1"/>
  <c r="AA98" i="59" s="1"/>
  <c r="AB98" i="59" s="1"/>
  <c r="AC98" i="59" s="1"/>
  <c r="AD98" i="59" s="1"/>
  <c r="S90" i="59"/>
  <c r="T88" i="59"/>
  <c r="U88" i="59" s="1"/>
  <c r="V88" i="59" s="1"/>
  <c r="W88" i="59" s="1"/>
  <c r="X88" i="59" s="1"/>
  <c r="Y88" i="59" s="1"/>
  <c r="Z88" i="59" s="1"/>
  <c r="AA88" i="59" s="1"/>
  <c r="AB88" i="59" s="1"/>
  <c r="AC88" i="59" s="1"/>
  <c r="AD88" i="59" s="1"/>
  <c r="T87" i="59"/>
  <c r="U87" i="59" s="1"/>
  <c r="T86" i="59"/>
  <c r="T233" i="59" s="1"/>
  <c r="T85" i="59"/>
  <c r="T84" i="59"/>
  <c r="T231" i="59" s="1"/>
  <c r="T83" i="59"/>
  <c r="T230" i="59" s="1"/>
  <c r="AD78" i="59"/>
  <c r="AC78" i="59"/>
  <c r="AB78" i="59"/>
  <c r="AA78" i="59"/>
  <c r="Z78" i="59"/>
  <c r="Y78" i="59"/>
  <c r="X78" i="59"/>
  <c r="W78" i="59"/>
  <c r="V78" i="59"/>
  <c r="U78" i="59"/>
  <c r="T78" i="59"/>
  <c r="AD77" i="59"/>
  <c r="AC77" i="59"/>
  <c r="AB77" i="59"/>
  <c r="AA77" i="59"/>
  <c r="Z77" i="59"/>
  <c r="Y77" i="59"/>
  <c r="X77" i="59"/>
  <c r="W77" i="59"/>
  <c r="V77" i="59"/>
  <c r="U77" i="59"/>
  <c r="T77" i="59"/>
  <c r="S75" i="59"/>
  <c r="S72" i="59"/>
  <c r="T72" i="59" s="1"/>
  <c r="U72" i="59" s="1"/>
  <c r="V72" i="59" s="1"/>
  <c r="W72" i="59" s="1"/>
  <c r="X72" i="59" s="1"/>
  <c r="Y72" i="59" s="1"/>
  <c r="Z72" i="59" s="1"/>
  <c r="AA72" i="59" s="1"/>
  <c r="AB72" i="59" s="1"/>
  <c r="AC72" i="59" s="1"/>
  <c r="AD72" i="59" s="1"/>
  <c r="S71" i="59"/>
  <c r="S70" i="59"/>
  <c r="T70" i="59" s="1"/>
  <c r="U70" i="59" s="1"/>
  <c r="V70" i="59" s="1"/>
  <c r="W70" i="59" s="1"/>
  <c r="X70" i="59" s="1"/>
  <c r="Y70" i="59" s="1"/>
  <c r="Z70" i="59" s="1"/>
  <c r="AA70" i="59" s="1"/>
  <c r="AB70" i="59" s="1"/>
  <c r="AC70" i="59" s="1"/>
  <c r="AD70" i="59" s="1"/>
  <c r="AD65" i="59"/>
  <c r="AC65" i="59"/>
  <c r="AB65" i="59"/>
  <c r="AA65" i="59"/>
  <c r="Z65" i="59"/>
  <c r="Y65" i="59"/>
  <c r="X65" i="59"/>
  <c r="W65" i="59"/>
  <c r="V65" i="59"/>
  <c r="U65" i="59"/>
  <c r="T65" i="59"/>
  <c r="T63" i="59" s="1"/>
  <c r="N64" i="59"/>
  <c r="AD52" i="59"/>
  <c r="AC52" i="59"/>
  <c r="AB52" i="59"/>
  <c r="AA52" i="59"/>
  <c r="Z52" i="59"/>
  <c r="Y52" i="59"/>
  <c r="X52" i="59"/>
  <c r="W52" i="59"/>
  <c r="V52" i="59"/>
  <c r="U52" i="59"/>
  <c r="T52" i="59"/>
  <c r="AD51" i="59"/>
  <c r="AC51" i="59"/>
  <c r="AB51" i="59"/>
  <c r="AA51" i="59"/>
  <c r="Z51" i="59"/>
  <c r="Y51" i="59"/>
  <c r="X51" i="59"/>
  <c r="W51" i="59"/>
  <c r="V51" i="59"/>
  <c r="U51" i="59"/>
  <c r="T51" i="59"/>
  <c r="AD50" i="59"/>
  <c r="AC50" i="59"/>
  <c r="AB50" i="59"/>
  <c r="AA50" i="59"/>
  <c r="Z50" i="59"/>
  <c r="Y50" i="59"/>
  <c r="X50" i="59"/>
  <c r="W50" i="59"/>
  <c r="V50" i="59"/>
  <c r="U50" i="59"/>
  <c r="T50" i="59"/>
  <c r="T42" i="59" s="1"/>
  <c r="AD49" i="59"/>
  <c r="AC49" i="59"/>
  <c r="AB49" i="59"/>
  <c r="AA49" i="59"/>
  <c r="Z49" i="59"/>
  <c r="Y49" i="59"/>
  <c r="X49" i="59"/>
  <c r="W49" i="59"/>
  <c r="V49" i="59"/>
  <c r="U49" i="59"/>
  <c r="T49" i="59"/>
  <c r="T41" i="59" s="1"/>
  <c r="AD48" i="59"/>
  <c r="AC48" i="59"/>
  <c r="AB48" i="59"/>
  <c r="AA48" i="59"/>
  <c r="Z48" i="59"/>
  <c r="Y48" i="59"/>
  <c r="X48" i="59"/>
  <c r="W48" i="59"/>
  <c r="V48" i="59"/>
  <c r="U48" i="59"/>
  <c r="T48" i="59"/>
  <c r="T40" i="59" s="1"/>
  <c r="AD47" i="59"/>
  <c r="AC47" i="59"/>
  <c r="AB47" i="59"/>
  <c r="AA47" i="59"/>
  <c r="Z47" i="59"/>
  <c r="Y47" i="59"/>
  <c r="X47" i="59"/>
  <c r="W47" i="59"/>
  <c r="V47" i="59"/>
  <c r="U47" i="59"/>
  <c r="T47" i="59"/>
  <c r="T39" i="59" s="1"/>
  <c r="R28" i="59"/>
  <c r="D18" i="59"/>
  <c r="D17" i="59"/>
  <c r="D16" i="59"/>
  <c r="D11" i="59"/>
  <c r="D10" i="59"/>
  <c r="T6" i="59"/>
  <c r="T55" i="59" s="1"/>
  <c r="C441" i="9"/>
  <c r="C440" i="9"/>
  <c r="C439" i="9"/>
  <c r="C438" i="9"/>
  <c r="C437" i="9"/>
  <c r="C436" i="9"/>
  <c r="C435" i="9"/>
  <c r="C434" i="9"/>
  <c r="C433" i="9"/>
  <c r="C432" i="9"/>
  <c r="C431" i="9"/>
  <c r="C430" i="9"/>
  <c r="C429" i="9"/>
  <c r="C428" i="9"/>
  <c r="C427" i="9"/>
  <c r="C426" i="9"/>
  <c r="C425" i="9"/>
  <c r="C424" i="9"/>
  <c r="C423" i="9"/>
  <c r="C422" i="9"/>
  <c r="C421" i="9"/>
  <c r="C420" i="9"/>
  <c r="C419" i="9"/>
  <c r="C418" i="9"/>
  <c r="C417" i="9"/>
  <c r="C416" i="9"/>
  <c r="C415" i="9"/>
  <c r="C414" i="9"/>
  <c r="C413" i="9"/>
  <c r="C412" i="9"/>
  <c r="C411" i="9"/>
  <c r="C410" i="9"/>
  <c r="C409" i="9"/>
  <c r="C405" i="9"/>
  <c r="C404" i="9"/>
  <c r="C403" i="9"/>
  <c r="C402" i="9"/>
  <c r="C400" i="9"/>
  <c r="C399" i="9"/>
  <c r="C398" i="9"/>
  <c r="C397" i="9"/>
  <c r="C396" i="9"/>
  <c r="C395" i="9"/>
  <c r="C394" i="9"/>
  <c r="C393" i="9"/>
  <c r="C392" i="9"/>
  <c r="C391" i="9"/>
  <c r="C390" i="9"/>
  <c r="C388" i="9"/>
  <c r="C387" i="9"/>
  <c r="C386" i="9"/>
  <c r="C385" i="9"/>
  <c r="C384" i="9"/>
  <c r="C383" i="9"/>
  <c r="C382" i="9"/>
  <c r="C381" i="9"/>
  <c r="C380" i="9"/>
  <c r="C379" i="9"/>
  <c r="C378" i="9"/>
  <c r="C377" i="9"/>
  <c r="C376" i="9"/>
  <c r="C375" i="9"/>
  <c r="C374" i="9"/>
  <c r="C373" i="9"/>
  <c r="C372" i="9"/>
  <c r="C371" i="9"/>
  <c r="C370" i="9"/>
  <c r="C369" i="9"/>
  <c r="C368" i="9"/>
  <c r="C364" i="9"/>
  <c r="C363" i="9"/>
  <c r="C362" i="9"/>
  <c r="C361" i="9"/>
  <c r="C359" i="9"/>
  <c r="C358" i="9"/>
  <c r="C357" i="9"/>
  <c r="C356" i="9"/>
  <c r="C355" i="9"/>
  <c r="C354" i="9"/>
  <c r="C353" i="9"/>
  <c r="C352" i="9"/>
  <c r="C351" i="9"/>
  <c r="C350" i="9"/>
  <c r="C349" i="9"/>
  <c r="C347" i="9"/>
  <c r="C346" i="9"/>
  <c r="C345" i="9"/>
  <c r="C344" i="9"/>
  <c r="C343" i="9"/>
  <c r="C342" i="9"/>
  <c r="C341" i="9"/>
  <c r="C340" i="9"/>
  <c r="C339" i="9"/>
  <c r="C338" i="9"/>
  <c r="C337" i="9"/>
  <c r="C336" i="9"/>
  <c r="C335" i="9"/>
  <c r="C334" i="9"/>
  <c r="C333" i="9"/>
  <c r="C332" i="9"/>
  <c r="C331" i="9"/>
  <c r="C330" i="9"/>
  <c r="C329" i="9"/>
  <c r="C328" i="9"/>
  <c r="C327" i="9"/>
  <c r="C323" i="9"/>
  <c r="C322" i="9"/>
  <c r="C321" i="9"/>
  <c r="C320" i="9"/>
  <c r="C317" i="9"/>
  <c r="C316" i="9"/>
  <c r="C315" i="9"/>
  <c r="C314" i="9"/>
  <c r="C313" i="9"/>
  <c r="C312" i="9"/>
  <c r="C311" i="9"/>
  <c r="C310" i="9"/>
  <c r="C309" i="9"/>
  <c r="C308" i="9"/>
  <c r="C307" i="9"/>
  <c r="C304" i="9"/>
  <c r="C303" i="9"/>
  <c r="C302" i="9"/>
  <c r="C301" i="9"/>
  <c r="C300" i="9"/>
  <c r="C299" i="9"/>
  <c r="C298" i="9"/>
  <c r="C297" i="9"/>
  <c r="C296" i="9"/>
  <c r="C295" i="9"/>
  <c r="C294" i="9"/>
  <c r="C293" i="9"/>
  <c r="C292" i="9"/>
  <c r="C291" i="9"/>
  <c r="C290" i="9"/>
  <c r="C289" i="9"/>
  <c r="C288" i="9"/>
  <c r="C287" i="9"/>
  <c r="C286" i="9"/>
  <c r="C285" i="9"/>
  <c r="C284" i="9"/>
  <c r="D195" i="9"/>
  <c r="CF191" i="9"/>
  <c r="BL191" i="9"/>
  <c r="AR191" i="9"/>
  <c r="X191" i="9"/>
  <c r="D191" i="9"/>
  <c r="CF190" i="9"/>
  <c r="BL190" i="9"/>
  <c r="AR190" i="9"/>
  <c r="X190" i="9"/>
  <c r="D190" i="9"/>
  <c r="CF189" i="9"/>
  <c r="BL189" i="9"/>
  <c r="AR189" i="9"/>
  <c r="X189" i="9"/>
  <c r="D189" i="9"/>
  <c r="CF188" i="9"/>
  <c r="BL188" i="9"/>
  <c r="AR188" i="9"/>
  <c r="X188" i="9"/>
  <c r="D188" i="9"/>
  <c r="CF186" i="9"/>
  <c r="BL186" i="9"/>
  <c r="AR186" i="9"/>
  <c r="X186" i="9"/>
  <c r="D186" i="9"/>
  <c r="CF185" i="9"/>
  <c r="BL185" i="9"/>
  <c r="AR185" i="9"/>
  <c r="X185" i="9"/>
  <c r="D185" i="9"/>
  <c r="CF184" i="9"/>
  <c r="BL184" i="9"/>
  <c r="AR184" i="9"/>
  <c r="X184" i="9"/>
  <c r="D184" i="9"/>
  <c r="CF183" i="9"/>
  <c r="BL183" i="9"/>
  <c r="AR183" i="9"/>
  <c r="X183" i="9"/>
  <c r="D183" i="9"/>
  <c r="R38" i="9"/>
  <c r="Q38" i="9"/>
  <c r="P38" i="9"/>
  <c r="O38" i="9"/>
  <c r="N38" i="9"/>
  <c r="M38" i="9"/>
  <c r="L38" i="9"/>
  <c r="K38" i="9"/>
  <c r="J38" i="9"/>
  <c r="I38" i="9"/>
  <c r="H38" i="9"/>
  <c r="G38" i="9"/>
  <c r="F8" i="9"/>
  <c r="F20" i="9" s="1"/>
  <c r="CJ6" i="9"/>
  <c r="CK6" i="9" s="1"/>
  <c r="CL6" i="9" s="1"/>
  <c r="CM6" i="9" s="1"/>
  <c r="CN6" i="9" s="1"/>
  <c r="CO6" i="9" s="1"/>
  <c r="CP6" i="9" s="1"/>
  <c r="CQ6" i="9" s="1"/>
  <c r="CR6" i="9" s="1"/>
  <c r="CS6" i="9" s="1"/>
  <c r="CT6" i="9" s="1"/>
  <c r="BP6" i="9"/>
  <c r="BQ6" i="9" s="1"/>
  <c r="BR6" i="9" s="1"/>
  <c r="BS6" i="9" s="1"/>
  <c r="BT6" i="9" s="1"/>
  <c r="BU6" i="9" s="1"/>
  <c r="BV6" i="9" s="1"/>
  <c r="BW6" i="9" s="1"/>
  <c r="BX6" i="9" s="1"/>
  <c r="BY6" i="9" s="1"/>
  <c r="BZ6" i="9" s="1"/>
  <c r="AV6" i="9"/>
  <c r="AW6" i="9" s="1"/>
  <c r="AX6" i="9" s="1"/>
  <c r="AY6" i="9" s="1"/>
  <c r="AZ6" i="9" s="1"/>
  <c r="BA6" i="9" s="1"/>
  <c r="BB6" i="9" s="1"/>
  <c r="BC6" i="9" s="1"/>
  <c r="BD6" i="9" s="1"/>
  <c r="BE6" i="9" s="1"/>
  <c r="BF6" i="9" s="1"/>
  <c r="AB6" i="9"/>
  <c r="AC6" i="9" s="1"/>
  <c r="AD6" i="9" s="1"/>
  <c r="AE6" i="9" s="1"/>
  <c r="AF6" i="9" s="1"/>
  <c r="AG6" i="9" s="1"/>
  <c r="AH6" i="9" s="1"/>
  <c r="AI6" i="9" s="1"/>
  <c r="AJ6" i="9" s="1"/>
  <c r="AK6" i="9" s="1"/>
  <c r="AL6" i="9" s="1"/>
  <c r="H6" i="9"/>
  <c r="I6" i="9" s="1"/>
  <c r="J6" i="9" s="1"/>
  <c r="K6" i="9" s="1"/>
  <c r="L6" i="9" s="1"/>
  <c r="M6" i="9" s="1"/>
  <c r="N6" i="9" s="1"/>
  <c r="O6" i="9" s="1"/>
  <c r="P6" i="9" s="1"/>
  <c r="Q6" i="9" s="1"/>
  <c r="R6" i="9" s="1"/>
  <c r="CH4" i="9"/>
  <c r="BN4" i="9"/>
  <c r="AT4" i="9"/>
  <c r="Z4" i="9"/>
  <c r="F4" i="9"/>
  <c r="E1" i="9" a="1"/>
  <c r="E1" i="9" s="1"/>
  <c r="AE6" i="8"/>
  <c r="AE5" i="8" s="1"/>
  <c r="W6" i="8"/>
  <c r="X6" i="8" s="1"/>
  <c r="O6" i="8"/>
  <c r="P6" i="8" s="1"/>
  <c r="AD5" i="8"/>
  <c r="V5" i="8"/>
  <c r="N5" i="8"/>
  <c r="L5" i="8"/>
  <c r="K5" i="8"/>
  <c r="J5" i="8"/>
  <c r="I5" i="8"/>
  <c r="H5" i="8"/>
  <c r="G5" i="8"/>
  <c r="F5" i="8"/>
  <c r="D1" i="8" a="1"/>
  <c r="D1" i="8" s="1"/>
  <c r="G24" i="62"/>
  <c r="F24" i="62"/>
  <c r="E24" i="62"/>
  <c r="D24" i="62"/>
  <c r="G16" i="62"/>
  <c r="F16" i="62"/>
  <c r="E16" i="62"/>
  <c r="D16" i="62"/>
  <c r="D14" i="62"/>
  <c r="AD26" i="59" a="1"/>
  <c r="AD26" i="59" s="1"/>
  <c r="M2510" i="79" l="1"/>
  <c r="L2476" i="79"/>
  <c r="K2442" i="79"/>
  <c r="K2408" i="79"/>
  <c r="L2408" i="79"/>
  <c r="L2510" i="79"/>
  <c r="K2476" i="79"/>
  <c r="J2442" i="79"/>
  <c r="H2408" i="79"/>
  <c r="K2510" i="79"/>
  <c r="J2476" i="79"/>
  <c r="I2442" i="79"/>
  <c r="J2408" i="79"/>
  <c r="J2510" i="79"/>
  <c r="I2476" i="79"/>
  <c r="H2442" i="79"/>
  <c r="I2408" i="79"/>
  <c r="I2510" i="79"/>
  <c r="H2476" i="79"/>
  <c r="G2442" i="79"/>
  <c r="M2476" i="79"/>
  <c r="H2510" i="79"/>
  <c r="G2476" i="79"/>
  <c r="M2408" i="79"/>
  <c r="L2442" i="79"/>
  <c r="G2510" i="79"/>
  <c r="M2442" i="79"/>
  <c r="G2408" i="79"/>
  <c r="G2406" i="79"/>
  <c r="M2508" i="79"/>
  <c r="L2508" i="79"/>
  <c r="H2474" i="79"/>
  <c r="L2472" i="79"/>
  <c r="L2438" i="79"/>
  <c r="I2406" i="79"/>
  <c r="I2506" i="79"/>
  <c r="M2472" i="79"/>
  <c r="I2474" i="79"/>
  <c r="I2440" i="79"/>
  <c r="L2404" i="79"/>
  <c r="K2438" i="79"/>
  <c r="G2440" i="79"/>
  <c r="M2506" i="79"/>
  <c r="L2506" i="79"/>
  <c r="J2438" i="79"/>
  <c r="L2474" i="79"/>
  <c r="M2440" i="79"/>
  <c r="J2406" i="79"/>
  <c r="I2472" i="79"/>
  <c r="K2404" i="79"/>
  <c r="M2474" i="79"/>
  <c r="K2406" i="79"/>
  <c r="K2506" i="79"/>
  <c r="H2406" i="79"/>
  <c r="G2472" i="79"/>
  <c r="H2508" i="79"/>
  <c r="I2438" i="79"/>
  <c r="H2404" i="79"/>
  <c r="G2474" i="79"/>
  <c r="J2508" i="79"/>
  <c r="I2508" i="79"/>
  <c r="J2404" i="79"/>
  <c r="G2438" i="79"/>
  <c r="K2508" i="79"/>
  <c r="M2438" i="79"/>
  <c r="J2472" i="79"/>
  <c r="H2440" i="79"/>
  <c r="G2508" i="79"/>
  <c r="K2474" i="79"/>
  <c r="G2506" i="79"/>
  <c r="H2506" i="79"/>
  <c r="H2472" i="79"/>
  <c r="J2474" i="79"/>
  <c r="J2440" i="79"/>
  <c r="I2404" i="79"/>
  <c r="L2406" i="79"/>
  <c r="G2404" i="79"/>
  <c r="J2506" i="79"/>
  <c r="H2438" i="79"/>
  <c r="K2440" i="79"/>
  <c r="M2404" i="79"/>
  <c r="L2440" i="79"/>
  <c r="M2406" i="79"/>
  <c r="K2472" i="79"/>
  <c r="H2366" i="79"/>
  <c r="M2509" i="79"/>
  <c r="K2475" i="79"/>
  <c r="I2441" i="79"/>
  <c r="J2407" i="79"/>
  <c r="H2373" i="79"/>
  <c r="L2509" i="79"/>
  <c r="J2475" i="79"/>
  <c r="H2441" i="79"/>
  <c r="L2373" i="79"/>
  <c r="K2509" i="79"/>
  <c r="I2475" i="79"/>
  <c r="G2441" i="79"/>
  <c r="I2407" i="79"/>
  <c r="K2373" i="79"/>
  <c r="J2441" i="79"/>
  <c r="J2509" i="79"/>
  <c r="H2475" i="79"/>
  <c r="G2407" i="79"/>
  <c r="J2373" i="79"/>
  <c r="L2475" i="79"/>
  <c r="I2509" i="79"/>
  <c r="G2475" i="79"/>
  <c r="M2441" i="79"/>
  <c r="M2407" i="79"/>
  <c r="I2373" i="79"/>
  <c r="H2509" i="79"/>
  <c r="L2441" i="79"/>
  <c r="L2407" i="79"/>
  <c r="G2373" i="79"/>
  <c r="H2407" i="79"/>
  <c r="G2509" i="79"/>
  <c r="M2475" i="79"/>
  <c r="K2441" i="79"/>
  <c r="K2407" i="79"/>
  <c r="M2373" i="79"/>
  <c r="I2516" i="79"/>
  <c r="K2516" i="79"/>
  <c r="L2516" i="79"/>
  <c r="G2516" i="79"/>
  <c r="I33" i="80"/>
  <c r="J33" i="80" s="1"/>
  <c r="K33" i="80" s="1"/>
  <c r="L33" i="80" s="1"/>
  <c r="M33" i="80" s="1"/>
  <c r="N33" i="80" s="1"/>
  <c r="I271" i="80"/>
  <c r="J271" i="80" s="1"/>
  <c r="K271" i="80" s="1"/>
  <c r="L271" i="80" s="1"/>
  <c r="M271" i="80" s="1"/>
  <c r="N271" i="80" s="1"/>
  <c r="M2516" i="79" s="1"/>
  <c r="M1675" i="79"/>
  <c r="K2453" i="79"/>
  <c r="K2487" i="79"/>
  <c r="M1677" i="79"/>
  <c r="K2456" i="79"/>
  <c r="J2494" i="79"/>
  <c r="M2487" i="79"/>
  <c r="M2490" i="79"/>
  <c r="I2463" i="79"/>
  <c r="I2486" i="79"/>
  <c r="L2456" i="79"/>
  <c r="M2453" i="79"/>
  <c r="H2456" i="79"/>
  <c r="I2456" i="79"/>
  <c r="J2452" i="79"/>
  <c r="J2429" i="79"/>
  <c r="G2395" i="79"/>
  <c r="K2433" i="79"/>
  <c r="K2439" i="79" s="1"/>
  <c r="G2418" i="79"/>
  <c r="J2422" i="79"/>
  <c r="G2429" i="79"/>
  <c r="G1661" i="79"/>
  <c r="I1672" i="79"/>
  <c r="J1677" i="79"/>
  <c r="K1676" i="79"/>
  <c r="H1665" i="79"/>
  <c r="J1661" i="79"/>
  <c r="L1673" i="79"/>
  <c r="J2388" i="79"/>
  <c r="M2361" i="79"/>
  <c r="M2399" i="79"/>
  <c r="M2384" i="79"/>
  <c r="H2384" i="79"/>
  <c r="I2388" i="79"/>
  <c r="I2361" i="79"/>
  <c r="G2370" i="79"/>
  <c r="M2418" i="79"/>
  <c r="J2497" i="79"/>
  <c r="M2486" i="79"/>
  <c r="G2494" i="79"/>
  <c r="M2426" i="79"/>
  <c r="L2429" i="79"/>
  <c r="I1677" i="79"/>
  <c r="H1675" i="79"/>
  <c r="H2392" i="79"/>
  <c r="L2494" i="79"/>
  <c r="I2501" i="79"/>
  <c r="I2507" i="79" s="1"/>
  <c r="M2395" i="79"/>
  <c r="K1672" i="79"/>
  <c r="L1661" i="79"/>
  <c r="J2399" i="79"/>
  <c r="M2433" i="79"/>
  <c r="M2439" i="79" s="1"/>
  <c r="J2384" i="79"/>
  <c r="G2497" i="79"/>
  <c r="M2429" i="79"/>
  <c r="K2395" i="79"/>
  <c r="K1673" i="79"/>
  <c r="L1662" i="79"/>
  <c r="K2392" i="79"/>
  <c r="J2370" i="79"/>
  <c r="M2501" i="79"/>
  <c r="M2507" i="79" s="1"/>
  <c r="M1661" i="79"/>
  <c r="M2497" i="79"/>
  <c r="I2467" i="79"/>
  <c r="I2473" i="79" s="1"/>
  <c r="H2497" i="79"/>
  <c r="H2486" i="79"/>
  <c r="I2487" i="79"/>
  <c r="K2463" i="79"/>
  <c r="G2460" i="79"/>
  <c r="M2460" i="79"/>
  <c r="M2463" i="79"/>
  <c r="L2467" i="79"/>
  <c r="L2473" i="79" s="1"/>
  <c r="J2453" i="79"/>
  <c r="H2433" i="79"/>
  <c r="H2439" i="79" s="1"/>
  <c r="K2419" i="79"/>
  <c r="J2418" i="79"/>
  <c r="G2426" i="79"/>
  <c r="G1672" i="79"/>
  <c r="I1674" i="79"/>
  <c r="K1661" i="79"/>
  <c r="K1677" i="79"/>
  <c r="K1671" i="79" s="1"/>
  <c r="H1672" i="79"/>
  <c r="J1665" i="79"/>
  <c r="L1674" i="79"/>
  <c r="J2385" i="79"/>
  <c r="M2385" i="79"/>
  <c r="L2388" i="79"/>
  <c r="H2385" i="79"/>
  <c r="G2392" i="79"/>
  <c r="J2361" i="79"/>
  <c r="I2370" i="79"/>
  <c r="M2494" i="79"/>
  <c r="H2463" i="79"/>
  <c r="J2487" i="79"/>
  <c r="L2426" i="79"/>
  <c r="I2429" i="79"/>
  <c r="H2395" i="79"/>
  <c r="G1665" i="79"/>
  <c r="L1676" i="79"/>
  <c r="K2452" i="79"/>
  <c r="L2490" i="79"/>
  <c r="J2490" i="79"/>
  <c r="J2460" i="79"/>
  <c r="I2433" i="79"/>
  <c r="I2439" i="79" s="1"/>
  <c r="H1673" i="79"/>
  <c r="G1673" i="79"/>
  <c r="L1677" i="79"/>
  <c r="K2384" i="79"/>
  <c r="G2388" i="79"/>
  <c r="G2467" i="79"/>
  <c r="G2473" i="79" s="1"/>
  <c r="G2490" i="79"/>
  <c r="H2494" i="79"/>
  <c r="J2419" i="79"/>
  <c r="I2422" i="79"/>
  <c r="H1676" i="79"/>
  <c r="G1674" i="79"/>
  <c r="G1676" i="79"/>
  <c r="L2384" i="79"/>
  <c r="M1662" i="79"/>
  <c r="L2422" i="79"/>
  <c r="K2490" i="79"/>
  <c r="M1673" i="79"/>
  <c r="H2429" i="79"/>
  <c r="I2497" i="79"/>
  <c r="K2494" i="79"/>
  <c r="J2467" i="79"/>
  <c r="J2473" i="79" s="1"/>
  <c r="H2501" i="79"/>
  <c r="M2452" i="79"/>
  <c r="H2487" i="79"/>
  <c r="I2490" i="79"/>
  <c r="J2486" i="79"/>
  <c r="I2460" i="79"/>
  <c r="L2453" i="79"/>
  <c r="K2467" i="79"/>
  <c r="K2473" i="79" s="1"/>
  <c r="J2456" i="79"/>
  <c r="M2422" i="79"/>
  <c r="I2395" i="79"/>
  <c r="I2419" i="79"/>
  <c r="I2399" i="79"/>
  <c r="I2405" i="79" s="1"/>
  <c r="G1675" i="79"/>
  <c r="I1675" i="79"/>
  <c r="K1662" i="79"/>
  <c r="G1662" i="79"/>
  <c r="H1674" i="79"/>
  <c r="J1674" i="79"/>
  <c r="L1675" i="79"/>
  <c r="M2370" i="79"/>
  <c r="J2392" i="79"/>
  <c r="M2392" i="79"/>
  <c r="H2388" i="79"/>
  <c r="K2361" i="79"/>
  <c r="M2467" i="79"/>
  <c r="M2473" i="79" s="1"/>
  <c r="L2395" i="79"/>
  <c r="M2456" i="79"/>
  <c r="H2490" i="79"/>
  <c r="L2452" i="79"/>
  <c r="H2419" i="79"/>
  <c r="L2418" i="79"/>
  <c r="H1662" i="79"/>
  <c r="K1665" i="79"/>
  <c r="J1676" i="79"/>
  <c r="L2399" i="79"/>
  <c r="L2405" i="79" s="1"/>
  <c r="L2361" i="79"/>
  <c r="I2494" i="79"/>
  <c r="K2501" i="79"/>
  <c r="L2501" i="79"/>
  <c r="L2507" i="79" s="1"/>
  <c r="K2460" i="79"/>
  <c r="G2452" i="79"/>
  <c r="L2419" i="79"/>
  <c r="K2422" i="79"/>
  <c r="J1662" i="79"/>
  <c r="H1677" i="79"/>
  <c r="K2385" i="79"/>
  <c r="H2370" i="79"/>
  <c r="M1676" i="79"/>
  <c r="J2501" i="79"/>
  <c r="L2463" i="79"/>
  <c r="J2395" i="79"/>
  <c r="K2418" i="79"/>
  <c r="J1672" i="79"/>
  <c r="I1661" i="79"/>
  <c r="G2384" i="79"/>
  <c r="M1672" i="79"/>
  <c r="L2497" i="79"/>
  <c r="I2453" i="79"/>
  <c r="K2429" i="79"/>
  <c r="G2422" i="79"/>
  <c r="J1675" i="79"/>
  <c r="L1672" i="79"/>
  <c r="M2388" i="79"/>
  <c r="H2361" i="79"/>
  <c r="I2385" i="79"/>
  <c r="I1662" i="79"/>
  <c r="H2453" i="79"/>
  <c r="I1665" i="79"/>
  <c r="G2486" i="79"/>
  <c r="J1673" i="79"/>
  <c r="G2361" i="79"/>
  <c r="I2426" i="79"/>
  <c r="L2487" i="79"/>
  <c r="L2460" i="79"/>
  <c r="K2426" i="79"/>
  <c r="K1674" i="79"/>
  <c r="G2399" i="79"/>
  <c r="G2405" i="79" s="1"/>
  <c r="K2370" i="79"/>
  <c r="I2418" i="79"/>
  <c r="L2385" i="79"/>
  <c r="H2418" i="79"/>
  <c r="I1676" i="79"/>
  <c r="J2433" i="79"/>
  <c r="J2439" i="79" s="1"/>
  <c r="L1665" i="79"/>
  <c r="K2486" i="79"/>
  <c r="H2467" i="79"/>
  <c r="J2463" i="79"/>
  <c r="J2426" i="79"/>
  <c r="L2433" i="79"/>
  <c r="L2439" i="79" s="1"/>
  <c r="H2426" i="79"/>
  <c r="K1675" i="79"/>
  <c r="H2399" i="79"/>
  <c r="L2370" i="79"/>
  <c r="H2460" i="79"/>
  <c r="G2501" i="79"/>
  <c r="G2507" i="79" s="1"/>
  <c r="M2419" i="79"/>
  <c r="G1677" i="79"/>
  <c r="I2392" i="79"/>
  <c r="I2384" i="79"/>
  <c r="G2463" i="79"/>
  <c r="L2486" i="79"/>
  <c r="H1661" i="79"/>
  <c r="K2399" i="79"/>
  <c r="M1665" i="79"/>
  <c r="H2452" i="79"/>
  <c r="G2456" i="79"/>
  <c r="I1673" i="79"/>
  <c r="M1674" i="79"/>
  <c r="G2433" i="79"/>
  <c r="G2439" i="79" s="1"/>
  <c r="L2392" i="79"/>
  <c r="K2497" i="79"/>
  <c r="I2452" i="79"/>
  <c r="H2422" i="79"/>
  <c r="K2388" i="79"/>
  <c r="K2391" i="79"/>
  <c r="I2493" i="79"/>
  <c r="G2468" i="79"/>
  <c r="H2459" i="79"/>
  <c r="H2425" i="79"/>
  <c r="H2434" i="79"/>
  <c r="M2391" i="79"/>
  <c r="J2468" i="79"/>
  <c r="M2434" i="79"/>
  <c r="M2493" i="79"/>
  <c r="J2391" i="79"/>
  <c r="G2425" i="79"/>
  <c r="M2468" i="79"/>
  <c r="I2434" i="79"/>
  <c r="M2502" i="79"/>
  <c r="K2493" i="79"/>
  <c r="L2468" i="79"/>
  <c r="K2459" i="79"/>
  <c r="K2425" i="79"/>
  <c r="L2434" i="79"/>
  <c r="M2400" i="79"/>
  <c r="J2459" i="79"/>
  <c r="H2391" i="79"/>
  <c r="I2468" i="79"/>
  <c r="K2434" i="79"/>
  <c r="L2493" i="79"/>
  <c r="I2391" i="79"/>
  <c r="J2502" i="79"/>
  <c r="H2502" i="79"/>
  <c r="H2493" i="79"/>
  <c r="K2468" i="79"/>
  <c r="G2459" i="79"/>
  <c r="J2425" i="79"/>
  <c r="G2434" i="79"/>
  <c r="J2400" i="79"/>
  <c r="G2493" i="79"/>
  <c r="I2502" i="79"/>
  <c r="I2500" i="79" s="1"/>
  <c r="K2502" i="79"/>
  <c r="J2434" i="79"/>
  <c r="M2459" i="79"/>
  <c r="L2391" i="79"/>
  <c r="G2502" i="79"/>
  <c r="J2493" i="79"/>
  <c r="H2468" i="79"/>
  <c r="L2459" i="79"/>
  <c r="L2425" i="79"/>
  <c r="G2391" i="79"/>
  <c r="I2400" i="79"/>
  <c r="L2502" i="79"/>
  <c r="H2400" i="79"/>
  <c r="I2425" i="79"/>
  <c r="L2400" i="79"/>
  <c r="I2459" i="79"/>
  <c r="K2400" i="79"/>
  <c r="M2425" i="79"/>
  <c r="G2400" i="79"/>
  <c r="L721" i="79"/>
  <c r="K721" i="79"/>
  <c r="I721" i="79"/>
  <c r="H721" i="79"/>
  <c r="G721" i="79"/>
  <c r="M721" i="79"/>
  <c r="J721" i="79"/>
  <c r="L694" i="79"/>
  <c r="I694" i="79"/>
  <c r="K694" i="79"/>
  <c r="J694" i="79"/>
  <c r="H694" i="79"/>
  <c r="G694" i="79"/>
  <c r="M694" i="79"/>
  <c r="L667" i="79"/>
  <c r="I667" i="79"/>
  <c r="G667" i="79"/>
  <c r="K667" i="79"/>
  <c r="J667" i="79"/>
  <c r="H667" i="79"/>
  <c r="M667" i="79"/>
  <c r="L640" i="79"/>
  <c r="K640" i="79"/>
  <c r="J640" i="79"/>
  <c r="I640" i="79"/>
  <c r="H640" i="79"/>
  <c r="G640" i="79"/>
  <c r="M640" i="79"/>
  <c r="M2374" i="79"/>
  <c r="H2365" i="79"/>
  <c r="J2374" i="79"/>
  <c r="K2372" i="79"/>
  <c r="L2365" i="79"/>
  <c r="H2372" i="79"/>
  <c r="I2374" i="79"/>
  <c r="G2365" i="79"/>
  <c r="J2372" i="79"/>
  <c r="M2365" i="79"/>
  <c r="L2372" i="79"/>
  <c r="L2374" i="79"/>
  <c r="M2372" i="79"/>
  <c r="G2372" i="79"/>
  <c r="K2374" i="79"/>
  <c r="I2365" i="79"/>
  <c r="J2365" i="79"/>
  <c r="H2374" i="79"/>
  <c r="G2374" i="79"/>
  <c r="K2365" i="79"/>
  <c r="I2372" i="79"/>
  <c r="G2366" i="79"/>
  <c r="J2366" i="79"/>
  <c r="M2366" i="79"/>
  <c r="L2366" i="79"/>
  <c r="I2366" i="79"/>
  <c r="K2366" i="79"/>
  <c r="H60" i="80"/>
  <c r="I60" i="80" s="1"/>
  <c r="J60" i="80" s="1"/>
  <c r="K60" i="80" s="1"/>
  <c r="L60" i="80" s="1"/>
  <c r="M60" i="80" s="1"/>
  <c r="N60" i="80" s="1"/>
  <c r="I51" i="80"/>
  <c r="J51" i="80" s="1"/>
  <c r="K51" i="80" s="1"/>
  <c r="L51" i="80" s="1"/>
  <c r="M51" i="80" s="1"/>
  <c r="N51" i="80" s="1"/>
  <c r="G1545" i="79"/>
  <c r="M1546" i="79"/>
  <c r="I1558" i="79"/>
  <c r="H1559" i="79"/>
  <c r="G1560" i="79"/>
  <c r="M1557" i="79"/>
  <c r="J1556" i="79"/>
  <c r="J1549" i="79"/>
  <c r="I1546" i="79"/>
  <c r="L1557" i="79"/>
  <c r="G1556" i="79"/>
  <c r="L1546" i="79"/>
  <c r="M1556" i="79"/>
  <c r="H1558" i="79"/>
  <c r="G1559" i="79"/>
  <c r="M1561" i="79"/>
  <c r="J1557" i="79"/>
  <c r="H1556" i="79"/>
  <c r="G1549" i="79"/>
  <c r="K1556" i="79"/>
  <c r="G1561" i="79"/>
  <c r="M1549" i="79"/>
  <c r="G1558" i="79"/>
  <c r="M1560" i="79"/>
  <c r="L1561" i="79"/>
  <c r="I1557" i="79"/>
  <c r="K1549" i="79"/>
  <c r="L1549" i="79"/>
  <c r="J1546" i="79"/>
  <c r="L1560" i="79"/>
  <c r="K1561" i="79"/>
  <c r="H1549" i="79"/>
  <c r="H1560" i="79"/>
  <c r="I1549" i="79"/>
  <c r="M1559" i="79"/>
  <c r="J1558" i="79"/>
  <c r="M1558" i="79"/>
  <c r="L1559" i="79"/>
  <c r="K1560" i="79"/>
  <c r="J1561" i="79"/>
  <c r="K1557" i="79"/>
  <c r="L1556" i="79"/>
  <c r="K1546" i="79"/>
  <c r="I1560" i="79"/>
  <c r="G1557" i="79"/>
  <c r="I1559" i="79"/>
  <c r="L1558" i="79"/>
  <c r="K1559" i="79"/>
  <c r="J1560" i="79"/>
  <c r="I1561" i="79"/>
  <c r="H1557" i="79"/>
  <c r="I1556" i="79"/>
  <c r="G1546" i="79"/>
  <c r="H1546" i="79"/>
  <c r="K1558" i="79"/>
  <c r="J1559" i="79"/>
  <c r="H1561" i="79"/>
  <c r="F19" i="9"/>
  <c r="F185" i="9" s="1"/>
  <c r="F18" i="9"/>
  <c r="G18" i="9" s="1"/>
  <c r="H18" i="9" s="1"/>
  <c r="I18" i="9" s="1"/>
  <c r="J18" i="9" s="1"/>
  <c r="K18" i="9" s="1"/>
  <c r="L18" i="9" s="1"/>
  <c r="M18" i="9" s="1"/>
  <c r="N18" i="9" s="1"/>
  <c r="O18" i="9" s="1"/>
  <c r="P18" i="9" s="1"/>
  <c r="Q18" i="9" s="1"/>
  <c r="R18" i="9" s="1"/>
  <c r="CI30" i="10"/>
  <c r="DJ30" i="10" s="1"/>
  <c r="CI33" i="10"/>
  <c r="DJ33" i="10" s="1"/>
  <c r="CI36" i="10"/>
  <c r="DJ36" i="10" s="1"/>
  <c r="CI7" i="10"/>
  <c r="DJ7" i="10" s="1"/>
  <c r="CI17" i="10"/>
  <c r="DJ17" i="10" s="1"/>
  <c r="CI4" i="10"/>
  <c r="CI22" i="10"/>
  <c r="DJ22" i="10" s="1"/>
  <c r="CI16" i="10"/>
  <c r="DJ16" i="10" s="1"/>
  <c r="CI21" i="10"/>
  <c r="DJ21" i="10" s="1"/>
  <c r="CI20" i="10"/>
  <c r="DJ20" i="10" s="1"/>
  <c r="CI15" i="10"/>
  <c r="DJ15" i="10" s="1"/>
  <c r="CI32" i="10"/>
  <c r="DJ32" i="10" s="1"/>
  <c r="CI13" i="10"/>
  <c r="DJ13" i="10" s="1"/>
  <c r="CI5" i="10"/>
  <c r="DJ5" i="10" s="1"/>
  <c r="CI24" i="10"/>
  <c r="DJ24" i="10" s="1"/>
  <c r="CI29" i="10"/>
  <c r="DJ29" i="10" s="1"/>
  <c r="CI8" i="10"/>
  <c r="DJ8" i="10" s="1"/>
  <c r="CI25" i="10"/>
  <c r="DJ25" i="10" s="1"/>
  <c r="CI14" i="10"/>
  <c r="DJ14" i="10" s="1"/>
  <c r="CI9" i="10"/>
  <c r="DJ9" i="10" s="1"/>
  <c r="CI6" i="10"/>
  <c r="DJ6" i="10" s="1"/>
  <c r="CI12" i="10"/>
  <c r="DJ12" i="10" s="1"/>
  <c r="CI23" i="10"/>
  <c r="DJ23" i="10" s="1"/>
  <c r="CI26" i="10"/>
  <c r="DJ26" i="10" s="1"/>
  <c r="CI10" i="10"/>
  <c r="DJ10" i="10" s="1"/>
  <c r="CI11" i="10"/>
  <c r="DJ11" i="10" s="1"/>
  <c r="CI27" i="10"/>
  <c r="DJ27" i="10" s="1"/>
  <c r="CI18" i="10"/>
  <c r="DJ18" i="10" s="1"/>
  <c r="CI35" i="10"/>
  <c r="DJ35" i="10" s="1"/>
  <c r="CI19" i="10"/>
  <c r="DJ19" i="10" s="1"/>
  <c r="CI34" i="10"/>
  <c r="DJ34" i="10" s="1"/>
  <c r="CI28" i="10"/>
  <c r="DJ28" i="10" s="1"/>
  <c r="CI31" i="10"/>
  <c r="DJ31" i="10" s="1"/>
  <c r="D382" i="59"/>
  <c r="D452" i="59"/>
  <c r="E429" i="59"/>
  <c r="D406" i="59"/>
  <c r="D429" i="59"/>
  <c r="N341" i="59"/>
  <c r="D341" i="59" s="1"/>
  <c r="D317" i="59"/>
  <c r="D419" i="59"/>
  <c r="D395" i="59"/>
  <c r="R293" i="59"/>
  <c r="S293" i="59" s="1"/>
  <c r="T293" i="59" s="1"/>
  <c r="U293" i="59" s="1"/>
  <c r="V293" i="59" s="1"/>
  <c r="W293" i="59" s="1"/>
  <c r="X293" i="59" s="1"/>
  <c r="Y293" i="59" s="1"/>
  <c r="Z293" i="59" s="1"/>
  <c r="AA293" i="59" s="1"/>
  <c r="AB293" i="59" s="1"/>
  <c r="AC293" i="59" s="1"/>
  <c r="AD293" i="59" s="1"/>
  <c r="E382" i="54"/>
  <c r="D381" i="54"/>
  <c r="E424" i="54"/>
  <c r="D423" i="54"/>
  <c r="E361" i="54"/>
  <c r="D360" i="54"/>
  <c r="E445" i="54"/>
  <c r="D444" i="54"/>
  <c r="E414" i="54"/>
  <c r="D413" i="54"/>
  <c r="N178" i="59"/>
  <c r="D178" i="59" s="1"/>
  <c r="B9" i="56"/>
  <c r="G67" i="62"/>
  <c r="F67" i="62"/>
  <c r="E67" i="62"/>
  <c r="D67" i="62"/>
  <c r="C67" i="62"/>
  <c r="Z204" i="9"/>
  <c r="BN204" i="9"/>
  <c r="AT204" i="9"/>
  <c r="CH204" i="9"/>
  <c r="C18" i="52"/>
  <c r="C7" i="52"/>
  <c r="B271" i="52"/>
  <c r="C24" i="52"/>
  <c r="C14" i="52"/>
  <c r="C6" i="52"/>
  <c r="B142" i="52"/>
  <c r="C23" i="52"/>
  <c r="C17" i="52"/>
  <c r="C13" i="52"/>
  <c r="B6" i="52"/>
  <c r="C22" i="52"/>
  <c r="C16" i="52"/>
  <c r="C12" i="52"/>
  <c r="C21" i="52"/>
  <c r="C11" i="52"/>
  <c r="C26" i="52"/>
  <c r="C20" i="52"/>
  <c r="C10" i="52"/>
  <c r="C25" i="52"/>
  <c r="C19" i="52"/>
  <c r="C15" i="52"/>
  <c r="C9" i="52"/>
  <c r="C8" i="52"/>
  <c r="C29" i="52"/>
  <c r="C40" i="52"/>
  <c r="C30" i="52"/>
  <c r="C42" i="52"/>
  <c r="C59" i="52"/>
  <c r="C92" i="52"/>
  <c r="C33" i="52"/>
  <c r="C38" i="52"/>
  <c r="C31" i="52"/>
  <c r="C36" i="52"/>
  <c r="C46" i="52"/>
  <c r="C43" i="52"/>
  <c r="C34" i="52"/>
  <c r="C37" i="52"/>
  <c r="C62" i="52"/>
  <c r="C44" i="52"/>
  <c r="C41" i="52"/>
  <c r="C39" i="52"/>
  <c r="C35" i="52"/>
  <c r="C32" i="52"/>
  <c r="C91" i="52"/>
  <c r="C28" i="52"/>
  <c r="C68" i="52"/>
  <c r="C45" i="52"/>
  <c r="C58" i="52"/>
  <c r="C65" i="52"/>
  <c r="C67" i="52"/>
  <c r="C63" i="52"/>
  <c r="C78" i="52"/>
  <c r="C50" i="52"/>
  <c r="C53" i="52"/>
  <c r="C79" i="52"/>
  <c r="C55" i="52"/>
  <c r="C57" i="52"/>
  <c r="C54" i="52"/>
  <c r="C136" i="52"/>
  <c r="C56" i="52"/>
  <c r="C66" i="52"/>
  <c r="C61" i="52"/>
  <c r="C83" i="52"/>
  <c r="C52" i="52"/>
  <c r="C64" i="52"/>
  <c r="C89" i="52"/>
  <c r="C60" i="52"/>
  <c r="C135" i="52"/>
  <c r="C51" i="52"/>
  <c r="C123" i="52"/>
  <c r="C82" i="52"/>
  <c r="C132" i="52"/>
  <c r="C76" i="52"/>
  <c r="C100" i="52"/>
  <c r="C133" i="52"/>
  <c r="C72" i="52"/>
  <c r="C86" i="52"/>
  <c r="C111" i="52"/>
  <c r="C77" i="52"/>
  <c r="C127" i="52"/>
  <c r="C80" i="52"/>
  <c r="C122" i="52"/>
  <c r="C105" i="52"/>
  <c r="C85" i="52"/>
  <c r="C81" i="52"/>
  <c r="C88" i="52"/>
  <c r="C74" i="52"/>
  <c r="C75" i="52"/>
  <c r="C101" i="52"/>
  <c r="C73" i="52"/>
  <c r="C84" i="52"/>
  <c r="C90" i="52"/>
  <c r="C87" i="52"/>
  <c r="C110" i="52"/>
  <c r="C120" i="52"/>
  <c r="C94" i="52"/>
  <c r="C112" i="52"/>
  <c r="C106" i="52"/>
  <c r="C104" i="52"/>
  <c r="C128" i="52"/>
  <c r="C109" i="52"/>
  <c r="C96" i="52"/>
  <c r="C116" i="52"/>
  <c r="C117" i="52"/>
  <c r="C126" i="52"/>
  <c r="C103" i="52"/>
  <c r="C98" i="52"/>
  <c r="C124" i="52"/>
  <c r="C125" i="52"/>
  <c r="C119" i="52"/>
  <c r="C102" i="52"/>
  <c r="C99" i="52"/>
  <c r="C129" i="52"/>
  <c r="C118" i="52"/>
  <c r="C107" i="52"/>
  <c r="C134" i="52"/>
  <c r="C121" i="52"/>
  <c r="C95" i="52"/>
  <c r="C108" i="52"/>
  <c r="C130" i="52"/>
  <c r="C131" i="52"/>
  <c r="C97" i="52"/>
  <c r="C69" i="52"/>
  <c r="C114" i="52"/>
  <c r="C47" i="52"/>
  <c r="C113" i="52"/>
  <c r="C70" i="52"/>
  <c r="C48" i="52"/>
  <c r="F15" i="9"/>
  <c r="F200" i="9" s="1"/>
  <c r="Q443" i="54"/>
  <c r="R443" i="54" s="1"/>
  <c r="S443" i="54" s="1"/>
  <c r="T443" i="54" s="1"/>
  <c r="U443" i="54" s="1"/>
  <c r="V443" i="54" s="1"/>
  <c r="P443" i="54"/>
  <c r="O443" i="54"/>
  <c r="K443" i="54"/>
  <c r="N443" i="54"/>
  <c r="M443" i="54"/>
  <c r="L443" i="54"/>
  <c r="O380" i="54"/>
  <c r="N380" i="54"/>
  <c r="P380" i="54"/>
  <c r="M380" i="54"/>
  <c r="L380" i="54"/>
  <c r="K380" i="54"/>
  <c r="Q380" i="54"/>
  <c r="R380" i="54" s="1"/>
  <c r="S380" i="54" s="1"/>
  <c r="T380" i="54" s="1"/>
  <c r="U380" i="54" s="1"/>
  <c r="V380" i="54" s="1"/>
  <c r="N422" i="54"/>
  <c r="L422" i="54"/>
  <c r="M422" i="54"/>
  <c r="K422" i="54"/>
  <c r="Q422" i="54"/>
  <c r="R422" i="54" s="1"/>
  <c r="S422" i="54" s="1"/>
  <c r="T422" i="54" s="1"/>
  <c r="U422" i="54" s="1"/>
  <c r="V422" i="54" s="1"/>
  <c r="P422" i="54"/>
  <c r="O422" i="54"/>
  <c r="G8" i="9"/>
  <c r="H8" i="9" s="1"/>
  <c r="I8" i="9" s="1"/>
  <c r="J8" i="9" s="1"/>
  <c r="K8" i="9" s="1"/>
  <c r="L8" i="9" s="1"/>
  <c r="M8" i="9" s="1"/>
  <c r="N8" i="9" s="1"/>
  <c r="O8" i="9" s="1"/>
  <c r="P8" i="9" s="1"/>
  <c r="Q8" i="9" s="1"/>
  <c r="R8" i="9" s="1"/>
  <c r="F9" i="9"/>
  <c r="G9" i="9" s="1"/>
  <c r="O5" i="8"/>
  <c r="W5" i="8"/>
  <c r="Q6" i="8"/>
  <c r="P5" i="8"/>
  <c r="X5" i="8"/>
  <c r="Y6" i="8"/>
  <c r="AF6" i="8"/>
  <c r="B154" i="52"/>
  <c r="B148" i="52"/>
  <c r="B8" i="52"/>
  <c r="B7" i="52"/>
  <c r="G144" i="52"/>
  <c r="B143" i="52"/>
  <c r="B50" i="52"/>
  <c r="B28" i="52"/>
  <c r="B273" i="52"/>
  <c r="B272" i="52"/>
  <c r="J15" i="80"/>
  <c r="J251" i="37"/>
  <c r="J20" i="80"/>
  <c r="I1224" i="79" s="1"/>
  <c r="J340" i="37"/>
  <c r="J24" i="80"/>
  <c r="I1533" i="79" s="1"/>
  <c r="J38" i="80"/>
  <c r="I3018" i="79" s="1"/>
  <c r="J341" i="37"/>
  <c r="J17" i="80"/>
  <c r="I738" i="79" s="1"/>
  <c r="J125" i="37"/>
  <c r="J39" i="80"/>
  <c r="I2667" i="79" s="1"/>
  <c r="J181" i="37"/>
  <c r="J18" i="80"/>
  <c r="I993" i="79" s="1"/>
  <c r="J180" i="37"/>
  <c r="J22" i="80"/>
  <c r="K66" i="37" s="1"/>
  <c r="J36" i="80"/>
  <c r="K67" i="37" s="1"/>
  <c r="L359" i="54"/>
  <c r="K359" i="54"/>
  <c r="Q359" i="54"/>
  <c r="R359" i="54" s="1"/>
  <c r="S359" i="54" s="1"/>
  <c r="T359" i="54" s="1"/>
  <c r="U359" i="54" s="1"/>
  <c r="V359" i="54" s="1"/>
  <c r="O359" i="54"/>
  <c r="N359" i="54"/>
  <c r="M359" i="54"/>
  <c r="P359" i="54"/>
  <c r="S176" i="59"/>
  <c r="N60" i="56"/>
  <c r="O60" i="56" s="1"/>
  <c r="P60" i="56" s="1"/>
  <c r="Q60" i="56" s="1"/>
  <c r="R60" i="56" s="1"/>
  <c r="S60" i="56" s="1"/>
  <c r="S66" i="56" s="1"/>
  <c r="M59" i="56"/>
  <c r="M65" i="56" s="1"/>
  <c r="L57" i="56"/>
  <c r="L63" i="56" s="1"/>
  <c r="K58" i="56"/>
  <c r="K64" i="56" s="1"/>
  <c r="J56" i="56"/>
  <c r="J62" i="56" s="1"/>
  <c r="J57" i="56"/>
  <c r="J63" i="56" s="1"/>
  <c r="H56" i="56"/>
  <c r="H62" i="56" s="1"/>
  <c r="I57" i="56"/>
  <c r="I63" i="56" s="1"/>
  <c r="I59" i="56"/>
  <c r="I65" i="56" s="1"/>
  <c r="N56" i="56"/>
  <c r="O56" i="56" s="1"/>
  <c r="P56" i="56" s="1"/>
  <c r="Q56" i="56" s="1"/>
  <c r="R56" i="56" s="1"/>
  <c r="S56" i="56" s="1"/>
  <c r="S62" i="56" s="1"/>
  <c r="N58" i="56"/>
  <c r="O58" i="56" s="1"/>
  <c r="P58" i="56" s="1"/>
  <c r="Q58" i="56" s="1"/>
  <c r="R58" i="56" s="1"/>
  <c r="S58" i="56" s="1"/>
  <c r="S64" i="56" s="1"/>
  <c r="M60" i="56"/>
  <c r="M66" i="56" s="1"/>
  <c r="L59" i="56"/>
  <c r="L65" i="56" s="1"/>
  <c r="K57" i="56"/>
  <c r="K63" i="56" s="1"/>
  <c r="J58" i="56"/>
  <c r="J64" i="56" s="1"/>
  <c r="I56" i="56"/>
  <c r="I62" i="56" s="1"/>
  <c r="K59" i="56"/>
  <c r="K65" i="56" s="1"/>
  <c r="I58" i="56"/>
  <c r="I64" i="56" s="1"/>
  <c r="J59" i="56"/>
  <c r="J65" i="56" s="1"/>
  <c r="H58" i="56"/>
  <c r="H64" i="56" s="1"/>
  <c r="J60" i="56"/>
  <c r="J66" i="56" s="1"/>
  <c r="I60" i="56"/>
  <c r="I66" i="56" s="1"/>
  <c r="M56" i="56"/>
  <c r="M62" i="56" s="1"/>
  <c r="L60" i="56"/>
  <c r="L66" i="56" s="1"/>
  <c r="K60" i="56"/>
  <c r="K66" i="56" s="1"/>
  <c r="H60" i="56"/>
  <c r="H66" i="56" s="1"/>
  <c r="N57" i="56"/>
  <c r="O57" i="56" s="1"/>
  <c r="P57" i="56" s="1"/>
  <c r="Q57" i="56" s="1"/>
  <c r="R57" i="56" s="1"/>
  <c r="S57" i="56" s="1"/>
  <c r="S63" i="56" s="1"/>
  <c r="M58" i="56"/>
  <c r="M64" i="56" s="1"/>
  <c r="L56" i="56"/>
  <c r="L62" i="56" s="1"/>
  <c r="N59" i="56"/>
  <c r="O59" i="56" s="1"/>
  <c r="P59" i="56" s="1"/>
  <c r="Q59" i="56" s="1"/>
  <c r="R59" i="56" s="1"/>
  <c r="S59" i="56" s="1"/>
  <c r="S65" i="56" s="1"/>
  <c r="M57" i="56"/>
  <c r="M63" i="56" s="1"/>
  <c r="L58" i="56"/>
  <c r="L64" i="56" s="1"/>
  <c r="K56" i="56"/>
  <c r="K62" i="56" s="1"/>
  <c r="H57" i="56"/>
  <c r="H63" i="56" s="1"/>
  <c r="H59" i="56"/>
  <c r="H65" i="56" s="1"/>
  <c r="N785" i="59"/>
  <c r="N777" i="59"/>
  <c r="N760" i="59"/>
  <c r="N752" i="59"/>
  <c r="N743" i="59"/>
  <c r="N735" i="59"/>
  <c r="N726" i="59"/>
  <c r="N718" i="59"/>
  <c r="N710" i="59"/>
  <c r="N701" i="59"/>
  <c r="N693" i="59"/>
  <c r="N747" i="59"/>
  <c r="N689" i="59"/>
  <c r="N792" i="59"/>
  <c r="N784" i="59"/>
  <c r="N776" i="59"/>
  <c r="N759" i="59"/>
  <c r="N750" i="59"/>
  <c r="N742" i="59"/>
  <c r="N734" i="59"/>
  <c r="N725" i="59"/>
  <c r="N717" i="59"/>
  <c r="N708" i="59"/>
  <c r="N700" i="59"/>
  <c r="N692" i="59"/>
  <c r="N756" i="59"/>
  <c r="N714" i="59"/>
  <c r="N791" i="59"/>
  <c r="N783" i="59"/>
  <c r="N775" i="59"/>
  <c r="N766" i="59"/>
  <c r="N758" i="59"/>
  <c r="N749" i="59"/>
  <c r="N741" i="59"/>
  <c r="N733" i="59"/>
  <c r="N724" i="59"/>
  <c r="N716" i="59"/>
  <c r="N707" i="59"/>
  <c r="N699" i="59"/>
  <c r="N691" i="59"/>
  <c r="N690" i="59"/>
  <c r="N789" i="59"/>
  <c r="N764" i="59"/>
  <c r="N722" i="59"/>
  <c r="N790" i="59"/>
  <c r="N782" i="59"/>
  <c r="N774" i="59"/>
  <c r="N765" i="59"/>
  <c r="N757" i="59"/>
  <c r="N748" i="59"/>
  <c r="N740" i="59"/>
  <c r="N732" i="59"/>
  <c r="N723" i="59"/>
  <c r="N715" i="59"/>
  <c r="N706" i="59"/>
  <c r="N698" i="59"/>
  <c r="N781" i="59"/>
  <c r="N788" i="59"/>
  <c r="N780" i="59"/>
  <c r="N763" i="59"/>
  <c r="N755" i="59"/>
  <c r="N746" i="59"/>
  <c r="N738" i="59"/>
  <c r="N729" i="59"/>
  <c r="N721" i="59"/>
  <c r="N713" i="59"/>
  <c r="N704" i="59"/>
  <c r="N696" i="59"/>
  <c r="N697" i="59"/>
  <c r="N787" i="59"/>
  <c r="N779" i="59"/>
  <c r="N762" i="59"/>
  <c r="N754" i="59"/>
  <c r="N745" i="59"/>
  <c r="N737" i="59"/>
  <c r="N728" i="59"/>
  <c r="N720" i="59"/>
  <c r="N712" i="59"/>
  <c r="N703" i="59"/>
  <c r="N695" i="59"/>
  <c r="N739" i="59"/>
  <c r="N786" i="59"/>
  <c r="N778" i="59"/>
  <c r="N761" i="59"/>
  <c r="N753" i="59"/>
  <c r="N744" i="59"/>
  <c r="N736" i="59"/>
  <c r="N727" i="59"/>
  <c r="N719" i="59"/>
  <c r="N711" i="59"/>
  <c r="N702" i="59"/>
  <c r="N694" i="59"/>
  <c r="N773" i="59"/>
  <c r="N731" i="59"/>
  <c r="N705" i="59"/>
  <c r="N682" i="59"/>
  <c r="N674" i="59"/>
  <c r="F461" i="54"/>
  <c r="F453" i="54"/>
  <c r="F445" i="54"/>
  <c r="F436" i="54"/>
  <c r="F428" i="54"/>
  <c r="F419" i="54"/>
  <c r="F411" i="54"/>
  <c r="F403" i="54"/>
  <c r="F394" i="54"/>
  <c r="F386" i="54"/>
  <c r="F377" i="54"/>
  <c r="F369" i="54"/>
  <c r="F361" i="54"/>
  <c r="N671" i="59"/>
  <c r="F450" i="54"/>
  <c r="F433" i="54"/>
  <c r="F416" i="54"/>
  <c r="F391" i="54"/>
  <c r="F415" i="54"/>
  <c r="F390" i="54"/>
  <c r="F373" i="54"/>
  <c r="F446" i="54"/>
  <c r="F387" i="54"/>
  <c r="N681" i="59"/>
  <c r="N673" i="59"/>
  <c r="F460" i="54"/>
  <c r="F452" i="54"/>
  <c r="F444" i="54"/>
  <c r="F435" i="54"/>
  <c r="F427" i="54"/>
  <c r="F418" i="54"/>
  <c r="F410" i="54"/>
  <c r="F402" i="54"/>
  <c r="F393" i="54"/>
  <c r="F385" i="54"/>
  <c r="F376" i="54"/>
  <c r="F368" i="54"/>
  <c r="F360" i="54"/>
  <c r="N679" i="59"/>
  <c r="F441" i="54"/>
  <c r="F408" i="54"/>
  <c r="F383" i="54"/>
  <c r="F366" i="54"/>
  <c r="F424" i="54"/>
  <c r="F398" i="54"/>
  <c r="F365" i="54"/>
  <c r="F454" i="54"/>
  <c r="F420" i="54"/>
  <c r="F378" i="54"/>
  <c r="N680" i="59"/>
  <c r="N672" i="59"/>
  <c r="F459" i="54"/>
  <c r="F451" i="54"/>
  <c r="F443" i="54"/>
  <c r="F434" i="54"/>
  <c r="F426" i="54"/>
  <c r="F417" i="54"/>
  <c r="F409" i="54"/>
  <c r="F401" i="54"/>
  <c r="F392" i="54"/>
  <c r="F384" i="54"/>
  <c r="F375" i="54"/>
  <c r="F367" i="54"/>
  <c r="F359" i="54"/>
  <c r="N687" i="59"/>
  <c r="F425" i="54"/>
  <c r="F374" i="54"/>
  <c r="F432" i="54"/>
  <c r="F382" i="54"/>
  <c r="N683" i="59"/>
  <c r="F462" i="54"/>
  <c r="F437" i="54"/>
  <c r="F412" i="54"/>
  <c r="F404" i="54"/>
  <c r="F370" i="54"/>
  <c r="F458" i="54"/>
  <c r="F399" i="54"/>
  <c r="N686" i="59"/>
  <c r="N678" i="59"/>
  <c r="N670" i="59"/>
  <c r="F457" i="54"/>
  <c r="F449" i="54"/>
  <c r="F440" i="54"/>
  <c r="F407" i="54"/>
  <c r="N685" i="59"/>
  <c r="N677" i="59"/>
  <c r="N669" i="59"/>
  <c r="F456" i="54"/>
  <c r="F448" i="54"/>
  <c r="F439" i="54"/>
  <c r="F431" i="54"/>
  <c r="F423" i="54"/>
  <c r="F414" i="54"/>
  <c r="F406" i="54"/>
  <c r="F397" i="54"/>
  <c r="F389" i="54"/>
  <c r="F381" i="54"/>
  <c r="F372" i="54"/>
  <c r="F364" i="54"/>
  <c r="N684" i="59"/>
  <c r="N676" i="59"/>
  <c r="N668" i="59"/>
  <c r="F455" i="54"/>
  <c r="F447" i="54"/>
  <c r="F438" i="54"/>
  <c r="F430" i="54"/>
  <c r="F422" i="54"/>
  <c r="F413" i="54"/>
  <c r="F405" i="54"/>
  <c r="F396" i="54"/>
  <c r="F388" i="54"/>
  <c r="F380" i="54"/>
  <c r="F371" i="54"/>
  <c r="F363" i="54"/>
  <c r="N675" i="59"/>
  <c r="F429" i="54"/>
  <c r="F395" i="54"/>
  <c r="F362" i="54"/>
  <c r="A65" i="37"/>
  <c r="N359" i="59"/>
  <c r="D359" i="59" s="1"/>
  <c r="D336" i="59"/>
  <c r="D335" i="59"/>
  <c r="N360" i="59"/>
  <c r="D360" i="59" s="1"/>
  <c r="D400" i="59"/>
  <c r="D424" i="59"/>
  <c r="D401" i="59"/>
  <c r="D425" i="59"/>
  <c r="E447" i="59"/>
  <c r="D470" i="59"/>
  <c r="D447" i="59"/>
  <c r="D471" i="59"/>
  <c r="E448" i="59"/>
  <c r="D448" i="59"/>
  <c r="A233" i="37"/>
  <c r="A234" i="37"/>
  <c r="A235" i="37"/>
  <c r="A205" i="37"/>
  <c r="A236" i="37"/>
  <c r="A255" i="37"/>
  <c r="L43" i="13"/>
  <c r="L79" i="13"/>
  <c r="K1519" i="79"/>
  <c r="J1518" i="79"/>
  <c r="G967" i="79"/>
  <c r="J1519" i="79"/>
  <c r="I1518" i="79"/>
  <c r="I1519" i="79"/>
  <c r="H1518" i="79"/>
  <c r="G1517" i="79"/>
  <c r="M967" i="79"/>
  <c r="H1519" i="79"/>
  <c r="G1518" i="79"/>
  <c r="L967" i="79"/>
  <c r="G1519" i="79"/>
  <c r="K967" i="79"/>
  <c r="M1518" i="79"/>
  <c r="J967" i="79"/>
  <c r="M1519" i="79"/>
  <c r="L1518" i="79"/>
  <c r="I967" i="79"/>
  <c r="G965" i="79"/>
  <c r="L1519" i="79"/>
  <c r="K1518" i="79"/>
  <c r="H967" i="79"/>
  <c r="G966" i="79"/>
  <c r="O10" i="56"/>
  <c r="P10" i="56" s="1"/>
  <c r="Q10" i="56" s="1"/>
  <c r="R10" i="56" s="1"/>
  <c r="S10" i="56" s="1"/>
  <c r="J29" i="80"/>
  <c r="I29" i="56"/>
  <c r="G1230" i="79"/>
  <c r="G1231" i="79"/>
  <c r="M1232" i="79"/>
  <c r="L1232" i="79"/>
  <c r="K1232" i="79"/>
  <c r="J1232" i="79"/>
  <c r="I1232" i="79"/>
  <c r="H1232" i="79"/>
  <c r="G1232" i="79"/>
  <c r="M975" i="79"/>
  <c r="L975" i="79"/>
  <c r="K975" i="79"/>
  <c r="J975" i="79"/>
  <c r="I975" i="79"/>
  <c r="H975" i="79"/>
  <c r="G974" i="79"/>
  <c r="G975" i="79"/>
  <c r="G1532" i="79"/>
  <c r="H1533" i="79"/>
  <c r="G1533" i="79"/>
  <c r="G1526" i="79"/>
  <c r="G1510" i="79"/>
  <c r="M1240" i="79"/>
  <c r="L1240" i="79"/>
  <c r="K1240" i="79"/>
  <c r="J1240" i="79"/>
  <c r="I1240" i="79"/>
  <c r="H1240" i="79"/>
  <c r="G1240" i="79"/>
  <c r="G1239" i="79"/>
  <c r="G1223" i="79"/>
  <c r="G2350" i="79"/>
  <c r="M2351" i="79"/>
  <c r="L2351" i="79"/>
  <c r="K2351" i="79"/>
  <c r="J2351" i="79"/>
  <c r="I2351" i="79"/>
  <c r="H2351" i="79"/>
  <c r="L2354" i="79"/>
  <c r="K2354" i="79"/>
  <c r="J2354" i="79"/>
  <c r="I2354" i="79"/>
  <c r="M2354" i="79"/>
  <c r="H2354" i="79"/>
  <c r="G2354" i="79"/>
  <c r="M2358" i="79"/>
  <c r="L2358" i="79"/>
  <c r="K2358" i="79"/>
  <c r="J2358" i="79"/>
  <c r="I2358" i="79"/>
  <c r="H2358" i="79"/>
  <c r="G2358" i="79"/>
  <c r="AG229" i="52"/>
  <c r="AG227" i="52"/>
  <c r="M2797" i="79"/>
  <c r="I2797" i="79"/>
  <c r="J2797" i="79"/>
  <c r="K2797" i="79"/>
  <c r="G2797" i="79"/>
  <c r="H2797" i="79"/>
  <c r="L2797" i="79"/>
  <c r="G2325" i="79"/>
  <c r="L2325" i="79"/>
  <c r="I2312" i="79"/>
  <c r="G2312" i="79"/>
  <c r="M2312" i="79"/>
  <c r="M2325" i="79"/>
  <c r="L2312" i="79"/>
  <c r="H2325" i="79"/>
  <c r="J2312" i="79"/>
  <c r="I2325" i="79"/>
  <c r="K2312" i="79"/>
  <c r="J2325" i="79"/>
  <c r="K2325" i="79"/>
  <c r="H2312" i="79"/>
  <c r="M203" i="74" a="1"/>
  <c r="M203" i="74" s="1"/>
  <c r="L267" i="74" a="1"/>
  <c r="L267" i="74" s="1"/>
  <c r="I69" i="74" a="1"/>
  <c r="I69" i="74" s="1"/>
  <c r="T8" i="74" a="1"/>
  <c r="T8" i="74" s="1"/>
  <c r="N169" i="74" a="1"/>
  <c r="N169" i="74" s="1"/>
  <c r="S18" i="74" a="1"/>
  <c r="S18" i="74" s="1"/>
  <c r="K18" i="74" a="1"/>
  <c r="K18" i="74" s="1"/>
  <c r="M277" i="74" a="1"/>
  <c r="M277" i="74" s="1"/>
  <c r="I237" i="74" a="1"/>
  <c r="I237" i="74" s="1"/>
  <c r="T169" i="74" a="1"/>
  <c r="T169" i="74" s="1"/>
  <c r="T277" i="74" a="1"/>
  <c r="T277" i="74" s="1"/>
  <c r="H139" i="74" a="1"/>
  <c r="H139" i="74" s="1"/>
  <c r="G139" i="74" a="1"/>
  <c r="G139" i="74" s="1"/>
  <c r="M317" i="74" a="1"/>
  <c r="M317" i="74" s="1"/>
  <c r="O18" i="74" a="1"/>
  <c r="O18" i="74" s="1"/>
  <c r="M2327" i="79"/>
  <c r="I2314" i="79"/>
  <c r="H2327" i="79"/>
  <c r="K2327" i="79"/>
  <c r="I2327" i="79"/>
  <c r="G2314" i="79"/>
  <c r="M2314" i="79"/>
  <c r="G2313" i="79"/>
  <c r="G2326" i="79"/>
  <c r="G2327" i="79"/>
  <c r="J2327" i="79"/>
  <c r="H2314" i="79"/>
  <c r="J2314" i="79"/>
  <c r="K2314" i="79"/>
  <c r="L2314" i="79"/>
  <c r="L2327" i="79"/>
  <c r="F10" i="9"/>
  <c r="S73" i="59"/>
  <c r="T73" i="59" s="1"/>
  <c r="U73" i="59" s="1"/>
  <c r="V73" i="59" s="1"/>
  <c r="W73" i="59" s="1"/>
  <c r="X73" i="59" s="1"/>
  <c r="Y73" i="59" s="1"/>
  <c r="Z73" i="59" s="1"/>
  <c r="AA73" i="59" s="1"/>
  <c r="AB73" i="59" s="1"/>
  <c r="AC73" i="59" s="1"/>
  <c r="AD73" i="59" s="1"/>
  <c r="T71" i="59"/>
  <c r="U71" i="59" s="1"/>
  <c r="V71" i="59" s="1"/>
  <c r="W71" i="59" s="1"/>
  <c r="X71" i="59" s="1"/>
  <c r="Y71" i="59" s="1"/>
  <c r="Z71" i="59" s="1"/>
  <c r="AA71" i="59" s="1"/>
  <c r="AB71" i="59" s="1"/>
  <c r="AC71" i="59" s="1"/>
  <c r="AD71" i="59" s="1"/>
  <c r="U39" i="59"/>
  <c r="V39" i="59" s="1"/>
  <c r="W39" i="59" s="1"/>
  <c r="X39" i="59" s="1"/>
  <c r="Y39" i="59" s="1"/>
  <c r="Z39" i="59" s="1"/>
  <c r="AA39" i="59" s="1"/>
  <c r="AB39" i="59" s="1"/>
  <c r="AC39" i="59" s="1"/>
  <c r="AD39" i="59" s="1"/>
  <c r="T210" i="59"/>
  <c r="U210" i="59" s="1"/>
  <c r="V210" i="59" s="1"/>
  <c r="W210" i="59" s="1"/>
  <c r="X210" i="59" s="1"/>
  <c r="Y210" i="59" s="1"/>
  <c r="Z210" i="59" s="1"/>
  <c r="AA210" i="59" s="1"/>
  <c r="AB210" i="59" s="1"/>
  <c r="AC210" i="59" s="1"/>
  <c r="AD210" i="59" s="1"/>
  <c r="S211" i="59"/>
  <c r="G1687" i="79"/>
  <c r="X203" i="52" s="1"/>
  <c r="AN203" i="52" s="1"/>
  <c r="R309" i="59"/>
  <c r="S309" i="59" s="1"/>
  <c r="T309" i="59" s="1"/>
  <c r="U309" i="59" s="1"/>
  <c r="V309" i="59" s="1"/>
  <c r="W309" i="59" s="1"/>
  <c r="X309" i="59" s="1"/>
  <c r="Y309" i="59" s="1"/>
  <c r="Z309" i="59" s="1"/>
  <c r="AA309" i="59" s="1"/>
  <c r="AB309" i="59" s="1"/>
  <c r="AC309" i="59" s="1"/>
  <c r="AD309" i="59" s="1"/>
  <c r="R301" i="59"/>
  <c r="R292" i="59"/>
  <c r="R316" i="59" s="1"/>
  <c r="S316" i="59" s="1"/>
  <c r="T316" i="59" s="1"/>
  <c r="U316" i="59" s="1"/>
  <c r="V316" i="59" s="1"/>
  <c r="W316" i="59" s="1"/>
  <c r="X316" i="59" s="1"/>
  <c r="Y316" i="59" s="1"/>
  <c r="Z316" i="59" s="1"/>
  <c r="AA316" i="59" s="1"/>
  <c r="AB316" i="59" s="1"/>
  <c r="AC316" i="59" s="1"/>
  <c r="AD316" i="59" s="1"/>
  <c r="R308" i="59"/>
  <c r="R332" i="59" s="1"/>
  <c r="S332" i="59" s="1"/>
  <c r="T332" i="59" s="1"/>
  <c r="U332" i="59" s="1"/>
  <c r="V332" i="59" s="1"/>
  <c r="W332" i="59" s="1"/>
  <c r="X332" i="59" s="1"/>
  <c r="Y332" i="59" s="1"/>
  <c r="Z332" i="59" s="1"/>
  <c r="AA332" i="59" s="1"/>
  <c r="AB332" i="59" s="1"/>
  <c r="AC332" i="59" s="1"/>
  <c r="AD332" i="59" s="1"/>
  <c r="R312" i="59"/>
  <c r="R300" i="59"/>
  <c r="R307" i="59"/>
  <c r="S307" i="59" s="1"/>
  <c r="T307" i="59" s="1"/>
  <c r="U307" i="59" s="1"/>
  <c r="V307" i="59" s="1"/>
  <c r="W307" i="59" s="1"/>
  <c r="X307" i="59" s="1"/>
  <c r="Y307" i="59" s="1"/>
  <c r="Z307" i="59" s="1"/>
  <c r="AA307" i="59" s="1"/>
  <c r="AB307" i="59" s="1"/>
  <c r="AC307" i="59" s="1"/>
  <c r="AD307" i="59" s="1"/>
  <c r="R298" i="59"/>
  <c r="R322" i="59" s="1"/>
  <c r="S322" i="59" s="1"/>
  <c r="T322" i="59" s="1"/>
  <c r="U322" i="59" s="1"/>
  <c r="V322" i="59" s="1"/>
  <c r="W322" i="59" s="1"/>
  <c r="X322" i="59" s="1"/>
  <c r="Y322" i="59" s="1"/>
  <c r="Z322" i="59" s="1"/>
  <c r="AA322" i="59" s="1"/>
  <c r="AB322" i="59" s="1"/>
  <c r="AC322" i="59" s="1"/>
  <c r="AD322" i="59" s="1"/>
  <c r="R294" i="59"/>
  <c r="R318" i="59" s="1"/>
  <c r="S318" i="59" s="1"/>
  <c r="T318" i="59" s="1"/>
  <c r="U318" i="59" s="1"/>
  <c r="V318" i="59" s="1"/>
  <c r="W318" i="59" s="1"/>
  <c r="X318" i="59" s="1"/>
  <c r="Y318" i="59" s="1"/>
  <c r="Z318" i="59" s="1"/>
  <c r="AA318" i="59" s="1"/>
  <c r="AB318" i="59" s="1"/>
  <c r="AC318" i="59" s="1"/>
  <c r="AD318" i="59" s="1"/>
  <c r="R291" i="59"/>
  <c r="R304" i="59"/>
  <c r="R328" i="59" s="1"/>
  <c r="S328" i="59" s="1"/>
  <c r="T328" i="59" s="1"/>
  <c r="U328" i="59" s="1"/>
  <c r="V328" i="59" s="1"/>
  <c r="W328" i="59" s="1"/>
  <c r="X328" i="59" s="1"/>
  <c r="Y328" i="59" s="1"/>
  <c r="Z328" i="59" s="1"/>
  <c r="AA328" i="59" s="1"/>
  <c r="AB328" i="59" s="1"/>
  <c r="AC328" i="59" s="1"/>
  <c r="AD328" i="59" s="1"/>
  <c r="R302" i="59"/>
  <c r="R295" i="59"/>
  <c r="R319" i="59" s="1"/>
  <c r="R310" i="59"/>
  <c r="S310" i="59" s="1"/>
  <c r="T310" i="59" s="1"/>
  <c r="U310" i="59" s="1"/>
  <c r="V310" i="59" s="1"/>
  <c r="W310" i="59" s="1"/>
  <c r="X310" i="59" s="1"/>
  <c r="Y310" i="59" s="1"/>
  <c r="Z310" i="59" s="1"/>
  <c r="AA310" i="59" s="1"/>
  <c r="AB310" i="59" s="1"/>
  <c r="AC310" i="59" s="1"/>
  <c r="AD310" i="59" s="1"/>
  <c r="R299" i="59"/>
  <c r="R303" i="59"/>
  <c r="R327" i="59" s="1"/>
  <c r="S327" i="59" s="1"/>
  <c r="T327" i="59" s="1"/>
  <c r="U327" i="59" s="1"/>
  <c r="V327" i="59" s="1"/>
  <c r="W327" i="59" s="1"/>
  <c r="X327" i="59" s="1"/>
  <c r="Y327" i="59" s="1"/>
  <c r="Z327" i="59" s="1"/>
  <c r="AA327" i="59" s="1"/>
  <c r="AB327" i="59" s="1"/>
  <c r="AC327" i="59" s="1"/>
  <c r="AD327" i="59" s="1"/>
  <c r="R297" i="59"/>
  <c r="S297" i="59" s="1"/>
  <c r="T297" i="59" s="1"/>
  <c r="U297" i="59" s="1"/>
  <c r="V297" i="59" s="1"/>
  <c r="W297" i="59" s="1"/>
  <c r="X297" i="59" s="1"/>
  <c r="Y297" i="59" s="1"/>
  <c r="Z297" i="59" s="1"/>
  <c r="AA297" i="59" s="1"/>
  <c r="AB297" i="59" s="1"/>
  <c r="AC297" i="59" s="1"/>
  <c r="AD297" i="59" s="1"/>
  <c r="R311" i="59"/>
  <c r="R296" i="59"/>
  <c r="S296" i="59" s="1"/>
  <c r="T296" i="59" s="1"/>
  <c r="U296" i="59" s="1"/>
  <c r="V296" i="59" s="1"/>
  <c r="W296" i="59" s="1"/>
  <c r="X296" i="59" s="1"/>
  <c r="Y296" i="59" s="1"/>
  <c r="Z296" i="59" s="1"/>
  <c r="AA296" i="59" s="1"/>
  <c r="AB296" i="59" s="1"/>
  <c r="AC296" i="59" s="1"/>
  <c r="AD296" i="59" s="1"/>
  <c r="R305" i="59"/>
  <c r="R329" i="59" s="1"/>
  <c r="S329" i="59" s="1"/>
  <c r="T329" i="59" s="1"/>
  <c r="U329" i="59" s="1"/>
  <c r="V329" i="59" s="1"/>
  <c r="W329" i="59" s="1"/>
  <c r="X329" i="59" s="1"/>
  <c r="Y329" i="59" s="1"/>
  <c r="Z329" i="59" s="1"/>
  <c r="AA329" i="59" s="1"/>
  <c r="AB329" i="59" s="1"/>
  <c r="AC329" i="59" s="1"/>
  <c r="AD329" i="59" s="1"/>
  <c r="R306" i="59"/>
  <c r="S306" i="59" s="1"/>
  <c r="T306" i="59" s="1"/>
  <c r="U306" i="59" s="1"/>
  <c r="V306" i="59" s="1"/>
  <c r="W306" i="59" s="1"/>
  <c r="X306" i="59" s="1"/>
  <c r="Y306" i="59" s="1"/>
  <c r="Z306" i="59" s="1"/>
  <c r="AA306" i="59" s="1"/>
  <c r="AB306" i="59" s="1"/>
  <c r="AC306" i="59" s="1"/>
  <c r="AD306" i="59" s="1"/>
  <c r="H1687" i="79"/>
  <c r="Y202" i="52" s="1"/>
  <c r="J30" i="80"/>
  <c r="K42" i="13"/>
  <c r="K17" i="13"/>
  <c r="K79" i="13"/>
  <c r="K43" i="13"/>
  <c r="G43" i="13"/>
  <c r="G44" i="13" s="1"/>
  <c r="G92" i="13" s="1"/>
  <c r="G79" i="13"/>
  <c r="H43" i="13"/>
  <c r="H44" i="13" s="1"/>
  <c r="H64" i="13"/>
  <c r="H65" i="13" s="1"/>
  <c r="L44" i="13"/>
  <c r="L92" i="13" s="1"/>
  <c r="J43" i="13"/>
  <c r="F14" i="9"/>
  <c r="G14" i="9" s="1"/>
  <c r="G63" i="9" s="1"/>
  <c r="F25" i="9"/>
  <c r="G25" i="9" s="1"/>
  <c r="H25" i="9" s="1"/>
  <c r="I25" i="9" s="1"/>
  <c r="J25" i="9" s="1"/>
  <c r="K25" i="9" s="1"/>
  <c r="L25" i="9" s="1"/>
  <c r="M25" i="9" s="1"/>
  <c r="N25" i="9" s="1"/>
  <c r="O25" i="9" s="1"/>
  <c r="P25" i="9" s="1"/>
  <c r="Q25" i="9" s="1"/>
  <c r="R25" i="9" s="1"/>
  <c r="F22" i="9"/>
  <c r="F179" i="9" s="1"/>
  <c r="F17" i="9"/>
  <c r="F91" i="9"/>
  <c r="O91" i="9" s="1"/>
  <c r="F16" i="9"/>
  <c r="F117" i="9" s="1"/>
  <c r="F11" i="9"/>
  <c r="G11" i="9" s="1"/>
  <c r="H11" i="9" s="1"/>
  <c r="I11" i="9" s="1"/>
  <c r="J11" i="9" s="1"/>
  <c r="K11" i="9" s="1"/>
  <c r="L11" i="9" s="1"/>
  <c r="M11" i="9" s="1"/>
  <c r="N11" i="9" s="1"/>
  <c r="O11" i="9" s="1"/>
  <c r="P11" i="9" s="1"/>
  <c r="Q11" i="9" s="1"/>
  <c r="R11" i="9" s="1"/>
  <c r="F13" i="9"/>
  <c r="G13" i="9" s="1"/>
  <c r="G166" i="9" s="1"/>
  <c r="I79" i="13"/>
  <c r="I43" i="13"/>
  <c r="I64" i="13"/>
  <c r="I65" i="13" s="1"/>
  <c r="K9" i="13"/>
  <c r="K80" i="13" s="1"/>
  <c r="G9" i="13"/>
  <c r="G80" i="13" s="1"/>
  <c r="G70" i="13"/>
  <c r="K70" i="13"/>
  <c r="H9" i="13"/>
  <c r="H80" i="13" s="1"/>
  <c r="J70" i="13"/>
  <c r="C97" i="13"/>
  <c r="J9" i="13"/>
  <c r="J80" i="13" s="1"/>
  <c r="C99" i="13"/>
  <c r="D100" i="13"/>
  <c r="L9" i="13"/>
  <c r="L80" i="13" s="1"/>
  <c r="L70" i="13"/>
  <c r="H70" i="13"/>
  <c r="H79" i="13"/>
  <c r="C89" i="13"/>
  <c r="I70" i="13"/>
  <c r="I9" i="13"/>
  <c r="M2909" i="79"/>
  <c r="M2873" i="79"/>
  <c r="M2943" i="79"/>
  <c r="M3243" i="79"/>
  <c r="M3303" i="79"/>
  <c r="H3367" i="79"/>
  <c r="K3366" i="79"/>
  <c r="H3334" i="79"/>
  <c r="J3336" i="79"/>
  <c r="G3304" i="79"/>
  <c r="J3303" i="79"/>
  <c r="L3305" i="79"/>
  <c r="I3273" i="79"/>
  <c r="L3272" i="79"/>
  <c r="H3243" i="79"/>
  <c r="K3242" i="79"/>
  <c r="G3384" i="79"/>
  <c r="G3385" i="79"/>
  <c r="G3001" i="79"/>
  <c r="J3000" i="79"/>
  <c r="L3002" i="79"/>
  <c r="J2977" i="79"/>
  <c r="G2977" i="79"/>
  <c r="G2942" i="79"/>
  <c r="J2944" i="79"/>
  <c r="L2838" i="79"/>
  <c r="L2837" i="79"/>
  <c r="M2837" i="79"/>
  <c r="J2909" i="79"/>
  <c r="J2872" i="79"/>
  <c r="H2837" i="79"/>
  <c r="L2909" i="79"/>
  <c r="K3243" i="79"/>
  <c r="K3384" i="79"/>
  <c r="J3001" i="79"/>
  <c r="H2942" i="79"/>
  <c r="G2979" i="79"/>
  <c r="G2943" i="79"/>
  <c r="K2837" i="79"/>
  <c r="H2839" i="79"/>
  <c r="G2837" i="79"/>
  <c r="J2907" i="79"/>
  <c r="I2873" i="79"/>
  <c r="H3274" i="79"/>
  <c r="I3001" i="79"/>
  <c r="I2839" i="79"/>
  <c r="K2908" i="79"/>
  <c r="K2838" i="79"/>
  <c r="H3366" i="79"/>
  <c r="L3304" i="79"/>
  <c r="H3386" i="79"/>
  <c r="I2979" i="79"/>
  <c r="J2837" i="79"/>
  <c r="L2908" i="79"/>
  <c r="M2839" i="79"/>
  <c r="M2977" i="79"/>
  <c r="M3335" i="79"/>
  <c r="M2908" i="79"/>
  <c r="M3367" i="79"/>
  <c r="I3365" i="79"/>
  <c r="K3367" i="79"/>
  <c r="H3335" i="79"/>
  <c r="K3334" i="79"/>
  <c r="G3305" i="79"/>
  <c r="J3304" i="79"/>
  <c r="G3272" i="79"/>
  <c r="I3274" i="79"/>
  <c r="L3273" i="79"/>
  <c r="I3241" i="79"/>
  <c r="G3386" i="79"/>
  <c r="G3002" i="79"/>
  <c r="J2978" i="79"/>
  <c r="K2942" i="79"/>
  <c r="I2874" i="79"/>
  <c r="J2838" i="79"/>
  <c r="K3273" i="79"/>
  <c r="L2944" i="79"/>
  <c r="H3242" i="79"/>
  <c r="G2909" i="79"/>
  <c r="M3241" i="79"/>
  <c r="M3242" i="79"/>
  <c r="M2872" i="79"/>
  <c r="M3384" i="79"/>
  <c r="M3000" i="79"/>
  <c r="I3366" i="79"/>
  <c r="L3365" i="79"/>
  <c r="H3336" i="79"/>
  <c r="K3335" i="79"/>
  <c r="H3303" i="79"/>
  <c r="J3305" i="79"/>
  <c r="G3273" i="79"/>
  <c r="J3272" i="79"/>
  <c r="L3274" i="79"/>
  <c r="I3242" i="79"/>
  <c r="L3241" i="79"/>
  <c r="I3384" i="79"/>
  <c r="K3385" i="79"/>
  <c r="H3000" i="79"/>
  <c r="J3002" i="79"/>
  <c r="H2977" i="79"/>
  <c r="J2979" i="79"/>
  <c r="L2977" i="79"/>
  <c r="G2944" i="79"/>
  <c r="K2943" i="79"/>
  <c r="G2872" i="79"/>
  <c r="H2872" i="79"/>
  <c r="I2907" i="79"/>
  <c r="I2872" i="79"/>
  <c r="G2839" i="79"/>
  <c r="L2839" i="79"/>
  <c r="H2838" i="79"/>
  <c r="G3241" i="79"/>
  <c r="L3242" i="79"/>
  <c r="I3385" i="79"/>
  <c r="H3001" i="79"/>
  <c r="H2978" i="79"/>
  <c r="G2978" i="79"/>
  <c r="I2942" i="79"/>
  <c r="K2944" i="79"/>
  <c r="H2873" i="79"/>
  <c r="I2908" i="79"/>
  <c r="G2838" i="79"/>
  <c r="L2872" i="79"/>
  <c r="L3303" i="79"/>
  <c r="L3386" i="79"/>
  <c r="K2978" i="79"/>
  <c r="J2874" i="79"/>
  <c r="G3303" i="79"/>
  <c r="K3274" i="79"/>
  <c r="L3001" i="79"/>
  <c r="J2839" i="79"/>
  <c r="J2908" i="79"/>
  <c r="M3001" i="79"/>
  <c r="M3334" i="79"/>
  <c r="M2944" i="79"/>
  <c r="M3386" i="79"/>
  <c r="M3273" i="79"/>
  <c r="G3365" i="79"/>
  <c r="I3367" i="79"/>
  <c r="L3366" i="79"/>
  <c r="I3334" i="79"/>
  <c r="K3336" i="79"/>
  <c r="H3304" i="79"/>
  <c r="K3303" i="79"/>
  <c r="G3274" i="79"/>
  <c r="J3273" i="79"/>
  <c r="I3243" i="79"/>
  <c r="K3386" i="79"/>
  <c r="K3000" i="79"/>
  <c r="L2978" i="79"/>
  <c r="G2873" i="79"/>
  <c r="I2838" i="79"/>
  <c r="H3241" i="79"/>
  <c r="G2908" i="79"/>
  <c r="M3385" i="79"/>
  <c r="I3305" i="79"/>
  <c r="I3002" i="79"/>
  <c r="K2909" i="79"/>
  <c r="M3305" i="79"/>
  <c r="M2907" i="79"/>
  <c r="M3365" i="79"/>
  <c r="G3366" i="79"/>
  <c r="J3365" i="79"/>
  <c r="L3367" i="79"/>
  <c r="I3335" i="79"/>
  <c r="L3334" i="79"/>
  <c r="H3305" i="79"/>
  <c r="K3304" i="79"/>
  <c r="H3272" i="79"/>
  <c r="J3274" i="79"/>
  <c r="G3242" i="79"/>
  <c r="J3241" i="79"/>
  <c r="L3243" i="79"/>
  <c r="I3386" i="79"/>
  <c r="L3384" i="79"/>
  <c r="H3002" i="79"/>
  <c r="K3001" i="79"/>
  <c r="H2979" i="79"/>
  <c r="H2943" i="79"/>
  <c r="L2979" i="79"/>
  <c r="I2943" i="79"/>
  <c r="L2942" i="79"/>
  <c r="G2874" i="79"/>
  <c r="H2874" i="79"/>
  <c r="I2909" i="79"/>
  <c r="J2873" i="79"/>
  <c r="K2839" i="79"/>
  <c r="L2873" i="79"/>
  <c r="K3305" i="79"/>
  <c r="K3272" i="79"/>
  <c r="J3242" i="79"/>
  <c r="H3384" i="79"/>
  <c r="L3385" i="79"/>
  <c r="I3000" i="79"/>
  <c r="I2977" i="79"/>
  <c r="K2977" i="79"/>
  <c r="I2944" i="79"/>
  <c r="L2943" i="79"/>
  <c r="H2907" i="79"/>
  <c r="M2838" i="79"/>
  <c r="K2872" i="79"/>
  <c r="L2874" i="79"/>
  <c r="I3304" i="79"/>
  <c r="J3385" i="79"/>
  <c r="I2978" i="79"/>
  <c r="H2908" i="79"/>
  <c r="L2907" i="79"/>
  <c r="M2978" i="79"/>
  <c r="J3335" i="79"/>
  <c r="I3272" i="79"/>
  <c r="G3000" i="79"/>
  <c r="K2979" i="79"/>
  <c r="H2909" i="79"/>
  <c r="M2942" i="79"/>
  <c r="I2837" i="79"/>
  <c r="M2979" i="79"/>
  <c r="M3274" i="79"/>
  <c r="G3367" i="79"/>
  <c r="J3366" i="79"/>
  <c r="G3334" i="79"/>
  <c r="I3336" i="79"/>
  <c r="L3335" i="79"/>
  <c r="I3303" i="79"/>
  <c r="H3273" i="79"/>
  <c r="G3243" i="79"/>
  <c r="J3384" i="79"/>
  <c r="K3002" i="79"/>
  <c r="H2944" i="79"/>
  <c r="G2907" i="79"/>
  <c r="K2874" i="79"/>
  <c r="J3243" i="79"/>
  <c r="J2942" i="79"/>
  <c r="M3336" i="79"/>
  <c r="G3336" i="79"/>
  <c r="K3241" i="79"/>
  <c r="J2943" i="79"/>
  <c r="M3304" i="79"/>
  <c r="M3366" i="79"/>
  <c r="M2874" i="79"/>
  <c r="M3272" i="79"/>
  <c r="M3002" i="79"/>
  <c r="H3365" i="79"/>
  <c r="J3367" i="79"/>
  <c r="G3335" i="79"/>
  <c r="J3334" i="79"/>
  <c r="L3336" i="79"/>
  <c r="H3385" i="79"/>
  <c r="L3000" i="79"/>
  <c r="K2873" i="79"/>
  <c r="K3365" i="79"/>
  <c r="J3386" i="79"/>
  <c r="K2907" i="79"/>
  <c r="G2801" i="79"/>
  <c r="G2659" i="79"/>
  <c r="G3191" i="79"/>
  <c r="G3203" i="79"/>
  <c r="G3010" i="79"/>
  <c r="J2801" i="79"/>
  <c r="H2659" i="79"/>
  <c r="H3191" i="79"/>
  <c r="H3196" i="79"/>
  <c r="J3203" i="79"/>
  <c r="H3010" i="79"/>
  <c r="M3203" i="79"/>
  <c r="M3196" i="79"/>
  <c r="I2659" i="79"/>
  <c r="K3196" i="79"/>
  <c r="I3010" i="79"/>
  <c r="H2801" i="79"/>
  <c r="H3203" i="79"/>
  <c r="J3010" i="79"/>
  <c r="G2652" i="79"/>
  <c r="K2801" i="79"/>
  <c r="L2659" i="79"/>
  <c r="I3196" i="79"/>
  <c r="K3203" i="79"/>
  <c r="K3010" i="79"/>
  <c r="K2659" i="79"/>
  <c r="G2653" i="79"/>
  <c r="J2659" i="79"/>
  <c r="L3196" i="79"/>
  <c r="L3010" i="79"/>
  <c r="M2801" i="79"/>
  <c r="I2801" i="79"/>
  <c r="M2659" i="79"/>
  <c r="G3196" i="79"/>
  <c r="I3203" i="79"/>
  <c r="G2995" i="79"/>
  <c r="M3010" i="79"/>
  <c r="G2796" i="79"/>
  <c r="L2801" i="79"/>
  <c r="G3197" i="79"/>
  <c r="J3196" i="79"/>
  <c r="L3203" i="79"/>
  <c r="M2654" i="79"/>
  <c r="M3202" i="79"/>
  <c r="M3009" i="79"/>
  <c r="I2798" i="79"/>
  <c r="K2800" i="79"/>
  <c r="M2657" i="79"/>
  <c r="G2654" i="79"/>
  <c r="L2658" i="79"/>
  <c r="M2658" i="79"/>
  <c r="M3200" i="79"/>
  <c r="I3008" i="79"/>
  <c r="K3008" i="79"/>
  <c r="J3193" i="79"/>
  <c r="H3198" i="79"/>
  <c r="J3202" i="79"/>
  <c r="L3204" i="79"/>
  <c r="G3009" i="79"/>
  <c r="G3202" i="79"/>
  <c r="M3198" i="79"/>
  <c r="M3201" i="79"/>
  <c r="M3204" i="79"/>
  <c r="G2800" i="79"/>
  <c r="I2799" i="79"/>
  <c r="M2656" i="79"/>
  <c r="H2655" i="79"/>
  <c r="K2658" i="79"/>
  <c r="G2660" i="79"/>
  <c r="I2658" i="79"/>
  <c r="G3200" i="79"/>
  <c r="I3200" i="79"/>
  <c r="K3200" i="79"/>
  <c r="H3192" i="79"/>
  <c r="G3198" i="79"/>
  <c r="I3202" i="79"/>
  <c r="K3204" i="79"/>
  <c r="K3009" i="79"/>
  <c r="L3009" i="79"/>
  <c r="G2655" i="79"/>
  <c r="I2657" i="79"/>
  <c r="M3008" i="79"/>
  <c r="H2800" i="79"/>
  <c r="J2798" i="79"/>
  <c r="L2800" i="79"/>
  <c r="H2660" i="79"/>
  <c r="K2655" i="79"/>
  <c r="I2656" i="79"/>
  <c r="H3201" i="79"/>
  <c r="J3201" i="79"/>
  <c r="L3201" i="79"/>
  <c r="H3193" i="79"/>
  <c r="K3192" i="79"/>
  <c r="G3199" i="79"/>
  <c r="H3202" i="79"/>
  <c r="J3204" i="79"/>
  <c r="G2658" i="79"/>
  <c r="J3007" i="79"/>
  <c r="L3007" i="79"/>
  <c r="I3204" i="79"/>
  <c r="J3192" i="79"/>
  <c r="M2798" i="79"/>
  <c r="J2658" i="79"/>
  <c r="J2799" i="79"/>
  <c r="G2657" i="79"/>
  <c r="I2660" i="79"/>
  <c r="L2655" i="79"/>
  <c r="H3007" i="79"/>
  <c r="K3193" i="79"/>
  <c r="H3009" i="79"/>
  <c r="L3200" i="79"/>
  <c r="M3007" i="79"/>
  <c r="M2800" i="79"/>
  <c r="I2800" i="79"/>
  <c r="K2798" i="79"/>
  <c r="J2660" i="79"/>
  <c r="M2655" i="79"/>
  <c r="H2654" i="79"/>
  <c r="I2654" i="79"/>
  <c r="H3008" i="79"/>
  <c r="J3008" i="79"/>
  <c r="L3008" i="79"/>
  <c r="I3192" i="79"/>
  <c r="H3204" i="79"/>
  <c r="L3198" i="79"/>
  <c r="L2799" i="79"/>
  <c r="K2657" i="79"/>
  <c r="G3008" i="79"/>
  <c r="G3193" i="79"/>
  <c r="J3009" i="79"/>
  <c r="H2656" i="79"/>
  <c r="L2660" i="79"/>
  <c r="G2798" i="79"/>
  <c r="G2656" i="79"/>
  <c r="K2799" i="79"/>
  <c r="H2657" i="79"/>
  <c r="K2660" i="79"/>
  <c r="J2654" i="79"/>
  <c r="I2655" i="79"/>
  <c r="J2655" i="79"/>
  <c r="H2658" i="79"/>
  <c r="G3201" i="79"/>
  <c r="H3200" i="79"/>
  <c r="J3200" i="79"/>
  <c r="I3193" i="79"/>
  <c r="L3192" i="79"/>
  <c r="G3204" i="79"/>
  <c r="K3198" i="79"/>
  <c r="I3009" i="79"/>
  <c r="M3192" i="79"/>
  <c r="L2656" i="79"/>
  <c r="J2657" i="79"/>
  <c r="L2657" i="79"/>
  <c r="K3007" i="79"/>
  <c r="I3198" i="79"/>
  <c r="M2799" i="79"/>
  <c r="G2799" i="79"/>
  <c r="H2798" i="79"/>
  <c r="J2800" i="79"/>
  <c r="L2798" i="79"/>
  <c r="M2660" i="79"/>
  <c r="K2654" i="79"/>
  <c r="J2656" i="79"/>
  <c r="K2656" i="79"/>
  <c r="G3007" i="79"/>
  <c r="I3201" i="79"/>
  <c r="K3201" i="79"/>
  <c r="G3192" i="79"/>
  <c r="L3193" i="79"/>
  <c r="J3198" i="79"/>
  <c r="L3202" i="79"/>
  <c r="M3193" i="79"/>
  <c r="H2799" i="79"/>
  <c r="L2654" i="79"/>
  <c r="I3007" i="79"/>
  <c r="K3202" i="79"/>
  <c r="H2995" i="79"/>
  <c r="M2661" i="79"/>
  <c r="L2661" i="79"/>
  <c r="K2661" i="79"/>
  <c r="J2661" i="79"/>
  <c r="I2661" i="79"/>
  <c r="H2661" i="79"/>
  <c r="G2661" i="79"/>
  <c r="G3005" i="79"/>
  <c r="I3005" i="79"/>
  <c r="K3011" i="79"/>
  <c r="G3006" i="79"/>
  <c r="J3003" i="79"/>
  <c r="M3003" i="79"/>
  <c r="G3011" i="79"/>
  <c r="L3003" i="79"/>
  <c r="I3011" i="79"/>
  <c r="M3005" i="79"/>
  <c r="M3011" i="79"/>
  <c r="L3005" i="79"/>
  <c r="H3003" i="79"/>
  <c r="L3011" i="79"/>
  <c r="J3011" i="79"/>
  <c r="H3011" i="79"/>
  <c r="I3003" i="79"/>
  <c r="G3003" i="79"/>
  <c r="H3005" i="79"/>
  <c r="J3005" i="79"/>
  <c r="K3003" i="79"/>
  <c r="G3004" i="79"/>
  <c r="K3005" i="79"/>
  <c r="H269" i="80"/>
  <c r="G3553" i="79"/>
  <c r="G3552" i="79"/>
  <c r="M3553" i="79"/>
  <c r="H3553" i="79"/>
  <c r="K3553" i="79"/>
  <c r="L3553" i="79"/>
  <c r="G3551" i="79"/>
  <c r="H3551" i="79"/>
  <c r="J3553" i="79"/>
  <c r="I3553" i="79"/>
  <c r="L3557" i="79"/>
  <c r="K3555" i="79"/>
  <c r="J3560" i="79"/>
  <c r="I3560" i="79"/>
  <c r="L3555" i="79"/>
  <c r="J3555" i="79"/>
  <c r="I3555" i="79"/>
  <c r="M3557" i="79"/>
  <c r="J3558" i="79"/>
  <c r="L3560" i="79"/>
  <c r="M3558" i="79"/>
  <c r="K3558" i="79"/>
  <c r="G3555" i="79"/>
  <c r="H3557" i="79"/>
  <c r="I3557" i="79"/>
  <c r="G3556" i="79"/>
  <c r="H3558" i="79"/>
  <c r="L3558" i="79"/>
  <c r="G3557" i="79"/>
  <c r="H3559" i="79"/>
  <c r="M3555" i="79"/>
  <c r="K3560" i="79"/>
  <c r="G3558" i="79"/>
  <c r="H3560" i="79"/>
  <c r="M3560" i="79"/>
  <c r="J3557" i="79"/>
  <c r="G3559" i="79"/>
  <c r="I3558" i="79"/>
  <c r="K3557" i="79"/>
  <c r="G3560" i="79"/>
  <c r="H3555" i="79"/>
  <c r="L3387" i="79"/>
  <c r="M3387" i="79"/>
  <c r="J3387" i="79"/>
  <c r="K3387" i="79"/>
  <c r="G3387" i="79"/>
  <c r="H3387" i="79"/>
  <c r="I3387" i="79"/>
  <c r="M3392" i="79"/>
  <c r="L3392" i="79"/>
  <c r="K3392" i="79"/>
  <c r="J3392" i="79"/>
  <c r="I3392" i="79"/>
  <c r="H3392" i="79"/>
  <c r="AJ151" i="52"/>
  <c r="AL149" i="52"/>
  <c r="AG226" i="52"/>
  <c r="AG228" i="52"/>
  <c r="AG238" i="52"/>
  <c r="AG239" i="52"/>
  <c r="AG240" i="52"/>
  <c r="AG241" i="52"/>
  <c r="AG242" i="52"/>
  <c r="G3392" i="79"/>
  <c r="M3389" i="79"/>
  <c r="H3389" i="79"/>
  <c r="I3389" i="79"/>
  <c r="J3389" i="79"/>
  <c r="G3389" i="79"/>
  <c r="K3389" i="79"/>
  <c r="L3389" i="79"/>
  <c r="AI178" i="52"/>
  <c r="G3388" i="79"/>
  <c r="AJ181" i="52"/>
  <c r="D14" i="52"/>
  <c r="D36" i="52" s="1"/>
  <c r="D58" i="52" s="1"/>
  <c r="D80" i="52" s="1"/>
  <c r="D102" i="52" s="1"/>
  <c r="D124" i="52" s="1"/>
  <c r="AJ174" i="52"/>
  <c r="AJ176" i="52"/>
  <c r="AI180" i="52"/>
  <c r="AJ173" i="52"/>
  <c r="AK176" i="52"/>
  <c r="AJ180" i="52"/>
  <c r="AK173" i="52"/>
  <c r="AI182" i="52"/>
  <c r="AJ175" i="52"/>
  <c r="AI179" i="52"/>
  <c r="AJ182" i="52"/>
  <c r="AJ178" i="52"/>
  <c r="AJ172" i="52"/>
  <c r="AK175" i="52"/>
  <c r="AJ179" i="52"/>
  <c r="AK174" i="52"/>
  <c r="AK172" i="52"/>
  <c r="AI181" i="52"/>
  <c r="I3527" i="79"/>
  <c r="H3527" i="79"/>
  <c r="H3528" i="79"/>
  <c r="M3415" i="79"/>
  <c r="M3416" i="79"/>
  <c r="L3489" i="79"/>
  <c r="K3528" i="79"/>
  <c r="M3545" i="79"/>
  <c r="L3541" i="79"/>
  <c r="I3546" i="79"/>
  <c r="M3538" i="79"/>
  <c r="L3546" i="79"/>
  <c r="L3499" i="79"/>
  <c r="J3513" i="79"/>
  <c r="J3510" i="79"/>
  <c r="H3517" i="79"/>
  <c r="K3507" i="79"/>
  <c r="K3517" i="79"/>
  <c r="I3472" i="79"/>
  <c r="G3490" i="79"/>
  <c r="H3479" i="79"/>
  <c r="M3485" i="79"/>
  <c r="K3443" i="79"/>
  <c r="J3457" i="79"/>
  <c r="L3457" i="79"/>
  <c r="I3462" i="79"/>
  <c r="M3454" i="79"/>
  <c r="L3462" i="79"/>
  <c r="J3415" i="79"/>
  <c r="L3415" i="79"/>
  <c r="L3434" i="79"/>
  <c r="J3068" i="79"/>
  <c r="J3069" i="79"/>
  <c r="K3426" i="79"/>
  <c r="H3149" i="79"/>
  <c r="M3133" i="79"/>
  <c r="M3429" i="79"/>
  <c r="I3434" i="79"/>
  <c r="K3423" i="79"/>
  <c r="H3566" i="79"/>
  <c r="L3165" i="79"/>
  <c r="K3133" i="79"/>
  <c r="L3100" i="79"/>
  <c r="I3149" i="79"/>
  <c r="J3149" i="79"/>
  <c r="L3150" i="79"/>
  <c r="M3150" i="79"/>
  <c r="I3153" i="79"/>
  <c r="J3153" i="79"/>
  <c r="I3151" i="79"/>
  <c r="J3101" i="79"/>
  <c r="M3068" i="79"/>
  <c r="K3118" i="79"/>
  <c r="K3117" i="79"/>
  <c r="M3118" i="79"/>
  <c r="G3107" i="79"/>
  <c r="I3108" i="79"/>
  <c r="G3068" i="79"/>
  <c r="H3069" i="79"/>
  <c r="G3081" i="79"/>
  <c r="L3086" i="79"/>
  <c r="M3086" i="79"/>
  <c r="G3075" i="79"/>
  <c r="I3076" i="79"/>
  <c r="G3036" i="79"/>
  <c r="K3036" i="79"/>
  <c r="H3078" i="79"/>
  <c r="J3086" i="79"/>
  <c r="H3086" i="79"/>
  <c r="I3164" i="79"/>
  <c r="M3117" i="79"/>
  <c r="I3087" i="79"/>
  <c r="L3461" i="79"/>
  <c r="G3500" i="79"/>
  <c r="M3490" i="79"/>
  <c r="G3527" i="79"/>
  <c r="L3527" i="79"/>
  <c r="G3535" i="79"/>
  <c r="G3545" i="79"/>
  <c r="G3541" i="79"/>
  <c r="H3499" i="79"/>
  <c r="M3499" i="79"/>
  <c r="M3517" i="79"/>
  <c r="L3513" i="79"/>
  <c r="I3518" i="79"/>
  <c r="M3510" i="79"/>
  <c r="L3518" i="79"/>
  <c r="K3485" i="79"/>
  <c r="L3471" i="79"/>
  <c r="J3482" i="79"/>
  <c r="H3489" i="79"/>
  <c r="K3479" i="79"/>
  <c r="L3479" i="79"/>
  <c r="H3443" i="79"/>
  <c r="G3451" i="79"/>
  <c r="G3461" i="79"/>
  <c r="G3457" i="79"/>
  <c r="K3415" i="79"/>
  <c r="L3416" i="79"/>
  <c r="M3434" i="79"/>
  <c r="I3426" i="79"/>
  <c r="J3426" i="79"/>
  <c r="K3429" i="79"/>
  <c r="M3132" i="79"/>
  <c r="G3433" i="79"/>
  <c r="H3433" i="79"/>
  <c r="K3434" i="79"/>
  <c r="J3433" i="79"/>
  <c r="H3565" i="79"/>
  <c r="G3566" i="79"/>
  <c r="G3165" i="79"/>
  <c r="J3132" i="79"/>
  <c r="H3132" i="79"/>
  <c r="J3150" i="79"/>
  <c r="K3150" i="79"/>
  <c r="M3151" i="79"/>
  <c r="H3153" i="79"/>
  <c r="J3154" i="79"/>
  <c r="K3154" i="79"/>
  <c r="K3153" i="79"/>
  <c r="J3100" i="79"/>
  <c r="K3069" i="79"/>
  <c r="L3119" i="79"/>
  <c r="L3118" i="79"/>
  <c r="H3121" i="79"/>
  <c r="H3108" i="79"/>
  <c r="J3110" i="79"/>
  <c r="M3069" i="79"/>
  <c r="L3078" i="79"/>
  <c r="J3085" i="79"/>
  <c r="M3087" i="79"/>
  <c r="H3089" i="79"/>
  <c r="H3076" i="79"/>
  <c r="J3078" i="79"/>
  <c r="H3056" i="79"/>
  <c r="H3036" i="79"/>
  <c r="L3087" i="79"/>
  <c r="I3085" i="79"/>
  <c r="J3081" i="79"/>
  <c r="K3566" i="79"/>
  <c r="H3119" i="79"/>
  <c r="G3482" i="79"/>
  <c r="M3507" i="79"/>
  <c r="J3076" i="79"/>
  <c r="G3510" i="79"/>
  <c r="M3443" i="79"/>
  <c r="L3528" i="79"/>
  <c r="I3538" i="79"/>
  <c r="H3546" i="79"/>
  <c r="J3535" i="79"/>
  <c r="J3545" i="79"/>
  <c r="H3472" i="79"/>
  <c r="J3499" i="79"/>
  <c r="G3507" i="79"/>
  <c r="G3517" i="79"/>
  <c r="G3513" i="79"/>
  <c r="H3482" i="79"/>
  <c r="J3471" i="79"/>
  <c r="L3472" i="79"/>
  <c r="L3485" i="79"/>
  <c r="I3490" i="79"/>
  <c r="M3482" i="79"/>
  <c r="H3485" i="79"/>
  <c r="H3444" i="79"/>
  <c r="I3454" i="79"/>
  <c r="H3462" i="79"/>
  <c r="J3451" i="79"/>
  <c r="J3461" i="79"/>
  <c r="H3415" i="79"/>
  <c r="I3429" i="79"/>
  <c r="J3429" i="79"/>
  <c r="L3426" i="79"/>
  <c r="M3426" i="79"/>
  <c r="H3429" i="79"/>
  <c r="M3423" i="79"/>
  <c r="J3434" i="79"/>
  <c r="L3433" i="79"/>
  <c r="G3565" i="79"/>
  <c r="J3165" i="79"/>
  <c r="H3165" i="79"/>
  <c r="L3133" i="79"/>
  <c r="H3133" i="79"/>
  <c r="K3151" i="79"/>
  <c r="L3151" i="79"/>
  <c r="G3153" i="79"/>
  <c r="I3154" i="79"/>
  <c r="G3139" i="79"/>
  <c r="L3154" i="79"/>
  <c r="K3101" i="79"/>
  <c r="K3119" i="79"/>
  <c r="K3108" i="79"/>
  <c r="M3119" i="79"/>
  <c r="G3108" i="79"/>
  <c r="I3110" i="79"/>
  <c r="L3113" i="79"/>
  <c r="K3087" i="79"/>
  <c r="I3068" i="79"/>
  <c r="K3086" i="79"/>
  <c r="G3089" i="79"/>
  <c r="G3076" i="79"/>
  <c r="I3078" i="79"/>
  <c r="L3081" i="79"/>
  <c r="L3036" i="79"/>
  <c r="K3081" i="79"/>
  <c r="H3118" i="79"/>
  <c r="I3036" i="79"/>
  <c r="I3133" i="79"/>
  <c r="M3110" i="79"/>
  <c r="G3078" i="79"/>
  <c r="G3538" i="79"/>
  <c r="I3457" i="79"/>
  <c r="I3541" i="79"/>
  <c r="L3545" i="79"/>
  <c r="M3527" i="79"/>
  <c r="K3541" i="79"/>
  <c r="L3538" i="79"/>
  <c r="K3546" i="79"/>
  <c r="H3500" i="79"/>
  <c r="J3500" i="79"/>
  <c r="I3510" i="79"/>
  <c r="H3518" i="79"/>
  <c r="J3507" i="79"/>
  <c r="J3517" i="79"/>
  <c r="H3471" i="79"/>
  <c r="J3472" i="79"/>
  <c r="G3444" i="79"/>
  <c r="G3489" i="79"/>
  <c r="G3485" i="79"/>
  <c r="K3489" i="79"/>
  <c r="K3457" i="79"/>
  <c r="L3454" i="79"/>
  <c r="K3462" i="79"/>
  <c r="H3416" i="79"/>
  <c r="M3433" i="79"/>
  <c r="G3426" i="79"/>
  <c r="I3433" i="79"/>
  <c r="I3086" i="79"/>
  <c r="M3145" i="79"/>
  <c r="L3429" i="79"/>
  <c r="G3423" i="79"/>
  <c r="K3433" i="79"/>
  <c r="M3566" i="79"/>
  <c r="G3164" i="79"/>
  <c r="I3132" i="79"/>
  <c r="L3132" i="79"/>
  <c r="M3100" i="79"/>
  <c r="M3153" i="79"/>
  <c r="G3154" i="79"/>
  <c r="H3154" i="79"/>
  <c r="G3140" i="79"/>
  <c r="H3140" i="79"/>
  <c r="I3140" i="79"/>
  <c r="G3101" i="79"/>
  <c r="M3121" i="79"/>
  <c r="L3110" i="79"/>
  <c r="G3121" i="79"/>
  <c r="H3110" i="79"/>
  <c r="K3113" i="79"/>
  <c r="G3117" i="79"/>
  <c r="L3068" i="79"/>
  <c r="I3069" i="79"/>
  <c r="M3089" i="79"/>
  <c r="M3140" i="79"/>
  <c r="K3145" i="79"/>
  <c r="L3101" i="79"/>
  <c r="G3069" i="79"/>
  <c r="G3471" i="79"/>
  <c r="M3518" i="79"/>
  <c r="G3472" i="79"/>
  <c r="L3153" i="79"/>
  <c r="G3499" i="79"/>
  <c r="I3528" i="79"/>
  <c r="M3528" i="79"/>
  <c r="G3546" i="79"/>
  <c r="I3535" i="79"/>
  <c r="I3545" i="79"/>
  <c r="I3500" i="79"/>
  <c r="K3499" i="79"/>
  <c r="K3513" i="79"/>
  <c r="L3510" i="79"/>
  <c r="K3518" i="79"/>
  <c r="J3443" i="79"/>
  <c r="L3443" i="79"/>
  <c r="M3471" i="79"/>
  <c r="H3490" i="79"/>
  <c r="J3479" i="79"/>
  <c r="J3489" i="79"/>
  <c r="L3490" i="79"/>
  <c r="I3443" i="79"/>
  <c r="G3462" i="79"/>
  <c r="I3451" i="79"/>
  <c r="I3461" i="79"/>
  <c r="G3415" i="79"/>
  <c r="M3036" i="79"/>
  <c r="H3085" i="79"/>
  <c r="H3117" i="79"/>
  <c r="H3101" i="79"/>
  <c r="L3121" i="79"/>
  <c r="I3423" i="79"/>
  <c r="H3434" i="79"/>
  <c r="L3566" i="79"/>
  <c r="H3164" i="79"/>
  <c r="K3132" i="79"/>
  <c r="G3133" i="79"/>
  <c r="H3142" i="79"/>
  <c r="I3142" i="79"/>
  <c r="J3142" i="79"/>
  <c r="K3100" i="79"/>
  <c r="L3108" i="79"/>
  <c r="I3117" i="79"/>
  <c r="J3113" i="79"/>
  <c r="G3118" i="79"/>
  <c r="J3145" i="79"/>
  <c r="G3100" i="79"/>
  <c r="I3119" i="79"/>
  <c r="M3076" i="79"/>
  <c r="M3462" i="79"/>
  <c r="M3535" i="79"/>
  <c r="M3451" i="79"/>
  <c r="J3527" i="79"/>
  <c r="G3534" i="79"/>
  <c r="K3538" i="79"/>
  <c r="J3546" i="79"/>
  <c r="L3535" i="79"/>
  <c r="L3500" i="79"/>
  <c r="K3500" i="79"/>
  <c r="G3518" i="79"/>
  <c r="I3507" i="79"/>
  <c r="I3517" i="79"/>
  <c r="J3444" i="79"/>
  <c r="M3489" i="79"/>
  <c r="M3472" i="79"/>
  <c r="L3482" i="79"/>
  <c r="K3490" i="79"/>
  <c r="K3444" i="79"/>
  <c r="I3444" i="79"/>
  <c r="G3450" i="79"/>
  <c r="K3454" i="79"/>
  <c r="J3462" i="79"/>
  <c r="L3451" i="79"/>
  <c r="G3416" i="79"/>
  <c r="I3415" i="79"/>
  <c r="M3165" i="79"/>
  <c r="M3081" i="79"/>
  <c r="M3113" i="79"/>
  <c r="L3423" i="79"/>
  <c r="L3089" i="79"/>
  <c r="J3151" i="79"/>
  <c r="G3422" i="79"/>
  <c r="H3423" i="79"/>
  <c r="L3140" i="79"/>
  <c r="L3145" i="79"/>
  <c r="M3479" i="79"/>
  <c r="M3444" i="79"/>
  <c r="I3485" i="79"/>
  <c r="M3154" i="79"/>
  <c r="J3528" i="79"/>
  <c r="H3538" i="79"/>
  <c r="H3535" i="79"/>
  <c r="M3541" i="79"/>
  <c r="H3541" i="79"/>
  <c r="M3500" i="79"/>
  <c r="G3506" i="79"/>
  <c r="K3510" i="79"/>
  <c r="J3518" i="79"/>
  <c r="L3507" i="79"/>
  <c r="J3485" i="79"/>
  <c r="K3471" i="79"/>
  <c r="I3479" i="79"/>
  <c r="I3489" i="79"/>
  <c r="G3479" i="79"/>
  <c r="G3443" i="79"/>
  <c r="M3461" i="79"/>
  <c r="H3451" i="79"/>
  <c r="M3457" i="79"/>
  <c r="H3457" i="79"/>
  <c r="J3416" i="79"/>
  <c r="I3416" i="79"/>
  <c r="K3078" i="79"/>
  <c r="K3110" i="79"/>
  <c r="K3142" i="79"/>
  <c r="J3087" i="79"/>
  <c r="J3119" i="79"/>
  <c r="M3164" i="79"/>
  <c r="J3423" i="79"/>
  <c r="L3164" i="79"/>
  <c r="J3566" i="79"/>
  <c r="K3164" i="79"/>
  <c r="I3165" i="79"/>
  <c r="G3132" i="79"/>
  <c r="K3140" i="79"/>
  <c r="M3142" i="79"/>
  <c r="H3145" i="79"/>
  <c r="I3145" i="79"/>
  <c r="M3149" i="79"/>
  <c r="G3150" i="79"/>
  <c r="G3149" i="79"/>
  <c r="I3101" i="79"/>
  <c r="K3068" i="79"/>
  <c r="G3113" i="79"/>
  <c r="M3108" i="79"/>
  <c r="I3113" i="79"/>
  <c r="G3119" i="79"/>
  <c r="J3121" i="79"/>
  <c r="K3121" i="79"/>
  <c r="K3076" i="79"/>
  <c r="L3076" i="79"/>
  <c r="H3081" i="79"/>
  <c r="I3081" i="79"/>
  <c r="G3087" i="79"/>
  <c r="J3089" i="79"/>
  <c r="K3089" i="79"/>
  <c r="J3036" i="79"/>
  <c r="G3142" i="79"/>
  <c r="H3087" i="79"/>
  <c r="I3513" i="79"/>
  <c r="G3528" i="79"/>
  <c r="L3517" i="79"/>
  <c r="M3546" i="79"/>
  <c r="G3454" i="79"/>
  <c r="K3527" i="79"/>
  <c r="J3541" i="79"/>
  <c r="J3538" i="79"/>
  <c r="H3545" i="79"/>
  <c r="K3535" i="79"/>
  <c r="K3545" i="79"/>
  <c r="I3499" i="79"/>
  <c r="H3510" i="79"/>
  <c r="H3507" i="79"/>
  <c r="M3513" i="79"/>
  <c r="H3513" i="79"/>
  <c r="I3471" i="79"/>
  <c r="K3472" i="79"/>
  <c r="G3478" i="79"/>
  <c r="K3482" i="79"/>
  <c r="J3490" i="79"/>
  <c r="I3482" i="79"/>
  <c r="L3444" i="79"/>
  <c r="H3454" i="79"/>
  <c r="J3454" i="79"/>
  <c r="H3461" i="79"/>
  <c r="K3451" i="79"/>
  <c r="K3461" i="79"/>
  <c r="K3416" i="79"/>
  <c r="J3108" i="79"/>
  <c r="J3140" i="79"/>
  <c r="H3100" i="79"/>
  <c r="I3118" i="79"/>
  <c r="I3150" i="79"/>
  <c r="H3426" i="79"/>
  <c r="G3434" i="79"/>
  <c r="G3429" i="79"/>
  <c r="I3566" i="79"/>
  <c r="K3165" i="79"/>
  <c r="M3101" i="79"/>
  <c r="J3133" i="79"/>
  <c r="L3142" i="79"/>
  <c r="G3145" i="79"/>
  <c r="K3149" i="79"/>
  <c r="L3149" i="79"/>
  <c r="G3151" i="79"/>
  <c r="H3151" i="79"/>
  <c r="H3150" i="79"/>
  <c r="I3100" i="79"/>
  <c r="J3118" i="79"/>
  <c r="J3117" i="79"/>
  <c r="H3113" i="79"/>
  <c r="L3117" i="79"/>
  <c r="I3121" i="79"/>
  <c r="L3069" i="79"/>
  <c r="H3068" i="79"/>
  <c r="M3078" i="79"/>
  <c r="K3085" i="79"/>
  <c r="L3085" i="79"/>
  <c r="I3089" i="79"/>
  <c r="G3056" i="79"/>
  <c r="G3085" i="79"/>
  <c r="G3086" i="79"/>
  <c r="J3164" i="79"/>
  <c r="G3110" i="79"/>
  <c r="M3085" i="79"/>
  <c r="G3514" i="79"/>
  <c r="I3146" i="79"/>
  <c r="M3122" i="79"/>
  <c r="L3090" i="79"/>
  <c r="M3486" i="79"/>
  <c r="M3114" i="79"/>
  <c r="L3122" i="79"/>
  <c r="K3090" i="79"/>
  <c r="G3146" i="79"/>
  <c r="K3122" i="79"/>
  <c r="J3090" i="79"/>
  <c r="G3088" i="79"/>
  <c r="K3114" i="79"/>
  <c r="J3122" i="79"/>
  <c r="I3090" i="79"/>
  <c r="K3486" i="79"/>
  <c r="I3122" i="79"/>
  <c r="H3090" i="79"/>
  <c r="H3120" i="79"/>
  <c r="H3122" i="79"/>
  <c r="G3090" i="79"/>
  <c r="I3514" i="79"/>
  <c r="M3458" i="79"/>
  <c r="G3120" i="79"/>
  <c r="G3122" i="79"/>
  <c r="M3082" i="79"/>
  <c r="G3152" i="79"/>
  <c r="M3090" i="79"/>
  <c r="AF113" i="52"/>
  <c r="AF114" i="52"/>
  <c r="AF69" i="52"/>
  <c r="AF70" i="52"/>
  <c r="AF47" i="52"/>
  <c r="AF48" i="52"/>
  <c r="AF25" i="52"/>
  <c r="AF26" i="52"/>
  <c r="F787" i="59" a="1"/>
  <c r="F787" i="59" s="1"/>
  <c r="F792" i="59" a="1"/>
  <c r="F792" i="59" s="1"/>
  <c r="F790" i="59" a="1"/>
  <c r="F790" i="59" s="1"/>
  <c r="N351" i="59"/>
  <c r="D351" i="59" s="1"/>
  <c r="N347" i="59"/>
  <c r="D347" i="59" s="1"/>
  <c r="N358" i="59"/>
  <c r="D358" i="59" s="1"/>
  <c r="N350" i="59"/>
  <c r="D350" i="59" s="1"/>
  <c r="N345" i="59"/>
  <c r="D345" i="59" s="1"/>
  <c r="N343" i="59"/>
  <c r="D343" i="59" s="1"/>
  <c r="N340" i="59"/>
  <c r="D340" i="59" s="1"/>
  <c r="N357" i="59"/>
  <c r="D357" i="59" s="1"/>
  <c r="N355" i="59"/>
  <c r="D355" i="59" s="1"/>
  <c r="N349" i="59"/>
  <c r="D349" i="59" s="1"/>
  <c r="N344" i="59"/>
  <c r="D344" i="59" s="1"/>
  <c r="N348" i="59"/>
  <c r="D348" i="59" s="1"/>
  <c r="N356" i="59"/>
  <c r="N354" i="59"/>
  <c r="D354" i="59" s="1"/>
  <c r="N353" i="59"/>
  <c r="D353" i="59" s="1"/>
  <c r="N342" i="59"/>
  <c r="D342" i="59" s="1"/>
  <c r="N346" i="59"/>
  <c r="D346" i="59" s="1"/>
  <c r="N352" i="59"/>
  <c r="D352" i="59" s="1"/>
  <c r="N339" i="59"/>
  <c r="F523" i="54"/>
  <c r="F515" i="54"/>
  <c r="A68" i="37"/>
  <c r="A57" i="37"/>
  <c r="A124" i="37"/>
  <c r="F522" i="54"/>
  <c r="F514" i="54"/>
  <c r="A56" i="37"/>
  <c r="A53" i="37"/>
  <c r="A252" i="37"/>
  <c r="F529" i="54"/>
  <c r="F521" i="54"/>
  <c r="F513" i="54"/>
  <c r="A63" i="37"/>
  <c r="A55" i="37"/>
  <c r="A52" i="37"/>
  <c r="A339" i="37"/>
  <c r="F528" i="54"/>
  <c r="F520" i="54"/>
  <c r="F512" i="54"/>
  <c r="A62" i="37"/>
  <c r="A54" i="37"/>
  <c r="A51" i="37"/>
  <c r="F527" i="54"/>
  <c r="F519" i="54"/>
  <c r="F511" i="54"/>
  <c r="A61" i="37"/>
  <c r="A253" i="37"/>
  <c r="F526" i="54"/>
  <c r="F518" i="54"/>
  <c r="F510" i="54"/>
  <c r="A60" i="37"/>
  <c r="A179" i="37"/>
  <c r="F525" i="54"/>
  <c r="F517" i="54"/>
  <c r="A59" i="37"/>
  <c r="A251" i="37"/>
  <c r="F524" i="54"/>
  <c r="F516" i="54"/>
  <c r="A58" i="37"/>
  <c r="A67" i="37"/>
  <c r="A181" i="37"/>
  <c r="A125" i="37"/>
  <c r="A340" i="37"/>
  <c r="A180" i="37"/>
  <c r="A66" i="37"/>
  <c r="A341" i="37"/>
  <c r="N593" i="59"/>
  <c r="N585" i="59"/>
  <c r="N590" i="59"/>
  <c r="N589" i="59"/>
  <c r="N588" i="59"/>
  <c r="N595" i="59"/>
  <c r="N592" i="59"/>
  <c r="N584" i="59"/>
  <c r="N591" i="59"/>
  <c r="N582" i="59"/>
  <c r="N581" i="59"/>
  <c r="N587" i="59"/>
  <c r="N599" i="59"/>
  <c r="N583" i="59"/>
  <c r="N580" i="59"/>
  <c r="N586" i="59"/>
  <c r="N598" i="59"/>
  <c r="N597" i="59"/>
  <c r="N596" i="59"/>
  <c r="N594" i="59"/>
  <c r="A327" i="37"/>
  <c r="A244" i="37"/>
  <c r="A118" i="37"/>
  <c r="A167" i="37"/>
  <c r="N536" i="59"/>
  <c r="N528" i="59"/>
  <c r="N520" i="59"/>
  <c r="F63" i="54"/>
  <c r="F55" i="54"/>
  <c r="F171" i="54"/>
  <c r="F163" i="54"/>
  <c r="F277" i="54"/>
  <c r="F269" i="54"/>
  <c r="F265" i="54"/>
  <c r="F270" i="54"/>
  <c r="N535" i="59"/>
  <c r="N527" i="59"/>
  <c r="N519" i="59"/>
  <c r="F62" i="54"/>
  <c r="F54" i="54"/>
  <c r="F170" i="54"/>
  <c r="F162" i="54"/>
  <c r="F276" i="54"/>
  <c r="F268" i="54"/>
  <c r="F264" i="54"/>
  <c r="N534" i="59"/>
  <c r="N526" i="59"/>
  <c r="N518" i="59"/>
  <c r="F61" i="54"/>
  <c r="F53" i="54"/>
  <c r="F169" i="54"/>
  <c r="F161" i="54"/>
  <c r="F156" i="54"/>
  <c r="F275" i="54"/>
  <c r="F267" i="54"/>
  <c r="F266" i="54"/>
  <c r="N533" i="59"/>
  <c r="N525" i="59"/>
  <c r="F60" i="54"/>
  <c r="F52" i="54"/>
  <c r="F47" i="54"/>
  <c r="F168" i="54"/>
  <c r="F160" i="54"/>
  <c r="F282" i="54"/>
  <c r="F274" i="54"/>
  <c r="N532" i="59"/>
  <c r="N524" i="59"/>
  <c r="N517" i="59"/>
  <c r="F59" i="54"/>
  <c r="F51" i="54"/>
  <c r="F175" i="54"/>
  <c r="F167" i="54"/>
  <c r="F159" i="54"/>
  <c r="F281" i="54"/>
  <c r="F273" i="54"/>
  <c r="N531" i="59"/>
  <c r="N523" i="59"/>
  <c r="F66" i="54"/>
  <c r="F58" i="54"/>
  <c r="F50" i="54"/>
  <c r="F174" i="54"/>
  <c r="F166" i="54"/>
  <c r="F158" i="54"/>
  <c r="F280" i="54"/>
  <c r="F272" i="54"/>
  <c r="N530" i="59"/>
  <c r="N522" i="59"/>
  <c r="F65" i="54"/>
  <c r="F57" i="54"/>
  <c r="F49" i="54"/>
  <c r="F173" i="54"/>
  <c r="F165" i="54"/>
  <c r="F157" i="54"/>
  <c r="F279" i="54"/>
  <c r="F271" i="54"/>
  <c r="N529" i="59"/>
  <c r="N521" i="59"/>
  <c r="F64" i="54"/>
  <c r="F56" i="54"/>
  <c r="F48" i="54"/>
  <c r="F172" i="54"/>
  <c r="F164" i="54"/>
  <c r="F278" i="54"/>
  <c r="F263" i="54"/>
  <c r="A256" i="37"/>
  <c r="A208" i="37"/>
  <c r="A257" i="37"/>
  <c r="F680" i="59" a="1"/>
  <c r="F680" i="59" s="1"/>
  <c r="F765" i="59" a="1"/>
  <c r="F765" i="59" s="1"/>
  <c r="F791" i="59" a="1"/>
  <c r="F791" i="59" s="1"/>
  <c r="A209" i="37"/>
  <c r="A258" i="37"/>
  <c r="M3037" i="79"/>
  <c r="J3037" i="79"/>
  <c r="L3037" i="79"/>
  <c r="I3037" i="79"/>
  <c r="G3037" i="79"/>
  <c r="H3037" i="79"/>
  <c r="K3037" i="79"/>
  <c r="G3205" i="79"/>
  <c r="K3186" i="79"/>
  <c r="J3185" i="79"/>
  <c r="L3174" i="79"/>
  <c r="M3053" i="79"/>
  <c r="I3046" i="79"/>
  <c r="G3044" i="79"/>
  <c r="K3053" i="79"/>
  <c r="M3044" i="79"/>
  <c r="K3044" i="79"/>
  <c r="G3043" i="79"/>
  <c r="J3186" i="79"/>
  <c r="H3185" i="79"/>
  <c r="M3177" i="79"/>
  <c r="I3174" i="79"/>
  <c r="M3055" i="79"/>
  <c r="L3053" i="79"/>
  <c r="M3049" i="79"/>
  <c r="H3046" i="79"/>
  <c r="L3055" i="79"/>
  <c r="K3049" i="79"/>
  <c r="H3186" i="79"/>
  <c r="G3185" i="79"/>
  <c r="K3181" i="79"/>
  <c r="L3177" i="79"/>
  <c r="L3049" i="79"/>
  <c r="G3186" i="79"/>
  <c r="H3181" i="79"/>
  <c r="K3177" i="79"/>
  <c r="H3172" i="79"/>
  <c r="J3053" i="79"/>
  <c r="M3183" i="79"/>
  <c r="J3177" i="79"/>
  <c r="M3054" i="79"/>
  <c r="I3053" i="79"/>
  <c r="L3044" i="79"/>
  <c r="I3183" i="79"/>
  <c r="H3044" i="79"/>
  <c r="M3185" i="79"/>
  <c r="L3183" i="79"/>
  <c r="H3177" i="79"/>
  <c r="L3054" i="79"/>
  <c r="M3046" i="79"/>
  <c r="M3186" i="79"/>
  <c r="L3185" i="79"/>
  <c r="K3183" i="79"/>
  <c r="G3177" i="79"/>
  <c r="K3054" i="79"/>
  <c r="L3046" i="79"/>
  <c r="I3044" i="79"/>
  <c r="L3186" i="79"/>
  <c r="K3185" i="79"/>
  <c r="K3046" i="79"/>
  <c r="I3185" i="79"/>
  <c r="I3177" i="79"/>
  <c r="G3049" i="79"/>
  <c r="L3058" i="79"/>
  <c r="G3046" i="79"/>
  <c r="L3057" i="79"/>
  <c r="M3182" i="79"/>
  <c r="M3172" i="79"/>
  <c r="G3171" i="79"/>
  <c r="H3174" i="79"/>
  <c r="K3174" i="79"/>
  <c r="I3211" i="79"/>
  <c r="J3211" i="79"/>
  <c r="H3049" i="79"/>
  <c r="M3058" i="79"/>
  <c r="G3172" i="79"/>
  <c r="J3054" i="79"/>
  <c r="L3182" i="79"/>
  <c r="I3182" i="79"/>
  <c r="G3181" i="79"/>
  <c r="H3211" i="79"/>
  <c r="K3182" i="79"/>
  <c r="H3058" i="79"/>
  <c r="J3181" i="79"/>
  <c r="H3210" i="79"/>
  <c r="G3211" i="79"/>
  <c r="M3181" i="79"/>
  <c r="G3210" i="79"/>
  <c r="G3183" i="79"/>
  <c r="G3058" i="79"/>
  <c r="I3058" i="79"/>
  <c r="J3182" i="79"/>
  <c r="J3183" i="79"/>
  <c r="G3057" i="79"/>
  <c r="J3172" i="79"/>
  <c r="K3055" i="79"/>
  <c r="I3049" i="79"/>
  <c r="G3054" i="79"/>
  <c r="I3057" i="79"/>
  <c r="L3172" i="79"/>
  <c r="H3182" i="79"/>
  <c r="J3046" i="79"/>
  <c r="H3055" i="79"/>
  <c r="H3054" i="79"/>
  <c r="J3058" i="79"/>
  <c r="H3053" i="79"/>
  <c r="K3172" i="79"/>
  <c r="M3057" i="79"/>
  <c r="G3174" i="79"/>
  <c r="L3181" i="79"/>
  <c r="H3183" i="79"/>
  <c r="M3211" i="79"/>
  <c r="G3053" i="79"/>
  <c r="H3057" i="79"/>
  <c r="J3055" i="79"/>
  <c r="G3182" i="79"/>
  <c r="M3174" i="79"/>
  <c r="K3211" i="79"/>
  <c r="I3186" i="79"/>
  <c r="J3044" i="79"/>
  <c r="I3055" i="79"/>
  <c r="I3054" i="79"/>
  <c r="I3172" i="79"/>
  <c r="J3174" i="79"/>
  <c r="I3181" i="79"/>
  <c r="L3211" i="79"/>
  <c r="G3055" i="79"/>
  <c r="J3057" i="79"/>
  <c r="J3049" i="79"/>
  <c r="K3058" i="79"/>
  <c r="K3057" i="79"/>
  <c r="H3184" i="79"/>
  <c r="G3184" i="79"/>
  <c r="M3311" i="79"/>
  <c r="K3363" i="79"/>
  <c r="G3359" i="79"/>
  <c r="G3321" i="79"/>
  <c r="J3328" i="79"/>
  <c r="G3290" i="79"/>
  <c r="G3294" i="79"/>
  <c r="H3311" i="79"/>
  <c r="J3311" i="79"/>
  <c r="K3297" i="79"/>
  <c r="G3270" i="79"/>
  <c r="H3270" i="79"/>
  <c r="K3260" i="79"/>
  <c r="I3280" i="79"/>
  <c r="G3239" i="79"/>
  <c r="L3301" i="79"/>
  <c r="I3301" i="79"/>
  <c r="G3280" i="79"/>
  <c r="H3239" i="79"/>
  <c r="K3280" i="79"/>
  <c r="G3328" i="79"/>
  <c r="J3297" i="79"/>
  <c r="I3260" i="79"/>
  <c r="G3291" i="79"/>
  <c r="L3260" i="79"/>
  <c r="M3301" i="79"/>
  <c r="I3270" i="79"/>
  <c r="J3332" i="79"/>
  <c r="J3353" i="79"/>
  <c r="G3356" i="79"/>
  <c r="M3363" i="79"/>
  <c r="I3359" i="79"/>
  <c r="K3359" i="79"/>
  <c r="K3322" i="79"/>
  <c r="H3322" i="79"/>
  <c r="I3342" i="79"/>
  <c r="H3332" i="79"/>
  <c r="M3297" i="79"/>
  <c r="M3266" i="79"/>
  <c r="J3280" i="79"/>
  <c r="I3266" i="79"/>
  <c r="K3328" i="79"/>
  <c r="K3239" i="79"/>
  <c r="L3266" i="79"/>
  <c r="L3239" i="79"/>
  <c r="L3280" i="79"/>
  <c r="J3363" i="79"/>
  <c r="M3239" i="79"/>
  <c r="M3359" i="79"/>
  <c r="H3328" i="79"/>
  <c r="L3363" i="79"/>
  <c r="H3373" i="79"/>
  <c r="G3363" i="79"/>
  <c r="I3363" i="79"/>
  <c r="K3332" i="79"/>
  <c r="G3325" i="79"/>
  <c r="K3342" i="79"/>
  <c r="G3311" i="79"/>
  <c r="I3311" i="79"/>
  <c r="L3291" i="79"/>
  <c r="L3311" i="79"/>
  <c r="K3270" i="79"/>
  <c r="G3259" i="79"/>
  <c r="I3239" i="79"/>
  <c r="G3342" i="79"/>
  <c r="I3291" i="79"/>
  <c r="I3328" i="79"/>
  <c r="M3328" i="79"/>
  <c r="H3294" i="79"/>
  <c r="H3263" i="79"/>
  <c r="G3301" i="79"/>
  <c r="M3291" i="79"/>
  <c r="J3260" i="79"/>
  <c r="G3352" i="79"/>
  <c r="G3373" i="79"/>
  <c r="J3373" i="79"/>
  <c r="L3373" i="79"/>
  <c r="L3332" i="79"/>
  <c r="G3332" i="79"/>
  <c r="K3301" i="79"/>
  <c r="L3270" i="79"/>
  <c r="G3260" i="79"/>
  <c r="J3239" i="79"/>
  <c r="L3328" i="79"/>
  <c r="I3373" i="79"/>
  <c r="J3342" i="79"/>
  <c r="K3291" i="79"/>
  <c r="M3260" i="79"/>
  <c r="J3359" i="79"/>
  <c r="H3325" i="79"/>
  <c r="H3301" i="79"/>
  <c r="H3260" i="79"/>
  <c r="H3291" i="79"/>
  <c r="J3266" i="79"/>
  <c r="M3353" i="79"/>
  <c r="L3297" i="79"/>
  <c r="L3353" i="79"/>
  <c r="I3322" i="79"/>
  <c r="J3270" i="79"/>
  <c r="H3280" i="79"/>
  <c r="M3280" i="79"/>
  <c r="M3373" i="79"/>
  <c r="M3342" i="79"/>
  <c r="H3359" i="79"/>
  <c r="I3332" i="79"/>
  <c r="M3322" i="79"/>
  <c r="H3266" i="79"/>
  <c r="G3353" i="79"/>
  <c r="I3353" i="79"/>
  <c r="H3363" i="79"/>
  <c r="G3322" i="79"/>
  <c r="M3332" i="79"/>
  <c r="L3322" i="79"/>
  <c r="L3342" i="79"/>
  <c r="G3297" i="79"/>
  <c r="I3297" i="79"/>
  <c r="K3311" i="79"/>
  <c r="G3263" i="79"/>
  <c r="K3266" i="79"/>
  <c r="G3266" i="79"/>
  <c r="L3359" i="79"/>
  <c r="J3301" i="79"/>
  <c r="H3353" i="79"/>
  <c r="H3356" i="79"/>
  <c r="K3353" i="79"/>
  <c r="K3373" i="79"/>
  <c r="J3322" i="79"/>
  <c r="J3291" i="79"/>
  <c r="H3342" i="79"/>
  <c r="H3297" i="79"/>
  <c r="M3270" i="79"/>
  <c r="M3267" i="79"/>
  <c r="I3329" i="79"/>
  <c r="G3329" i="79"/>
  <c r="M3298" i="79"/>
  <c r="L3360" i="79"/>
  <c r="K3298" i="79"/>
  <c r="L2933" i="79"/>
  <c r="L2925" i="79" s="1"/>
  <c r="M2901" i="79"/>
  <c r="M2919" i="79"/>
  <c r="M2898" i="79"/>
  <c r="M2890" i="79" s="1"/>
  <c r="M2931" i="79"/>
  <c r="J2987" i="79"/>
  <c r="G2989" i="79"/>
  <c r="J2933" i="79"/>
  <c r="J2925" i="79" s="1"/>
  <c r="I2975" i="79"/>
  <c r="G2931" i="79"/>
  <c r="I2954" i="79"/>
  <c r="L2870" i="79"/>
  <c r="H2896" i="79"/>
  <c r="K2896" i="79"/>
  <c r="G2898" i="79"/>
  <c r="G2890" i="79" s="1"/>
  <c r="I2896" i="79"/>
  <c r="J2919" i="79"/>
  <c r="K2861" i="79"/>
  <c r="M2861" i="79"/>
  <c r="I2882" i="79"/>
  <c r="G2863" i="79"/>
  <c r="G2855" i="79" s="1"/>
  <c r="G2905" i="79"/>
  <c r="J2866" i="79"/>
  <c r="L2917" i="79"/>
  <c r="M2866" i="79"/>
  <c r="K2882" i="79"/>
  <c r="K2866" i="79"/>
  <c r="G2860" i="79"/>
  <c r="G2987" i="79"/>
  <c r="I2989" i="79"/>
  <c r="H2917" i="79"/>
  <c r="M2936" i="79"/>
  <c r="M2884" i="79"/>
  <c r="I2931" i="79"/>
  <c r="J2975" i="79"/>
  <c r="G2966" i="79"/>
  <c r="G2940" i="79"/>
  <c r="I2940" i="79"/>
  <c r="K2940" i="79"/>
  <c r="K2989" i="79"/>
  <c r="M2952" i="79"/>
  <c r="H2931" i="79"/>
  <c r="J2954" i="79"/>
  <c r="G2895" i="79"/>
  <c r="K2917" i="79"/>
  <c r="H2905" i="79"/>
  <c r="I2898" i="79"/>
  <c r="I2890" i="79" s="1"/>
  <c r="K2919" i="79"/>
  <c r="J2870" i="79"/>
  <c r="H2866" i="79"/>
  <c r="J2861" i="79"/>
  <c r="I2884" i="79"/>
  <c r="L2882" i="79"/>
  <c r="K2954" i="79"/>
  <c r="K2901" i="79"/>
  <c r="J2863" i="79"/>
  <c r="J2855" i="79" s="1"/>
  <c r="L2884" i="79"/>
  <c r="G2917" i="79"/>
  <c r="I2870" i="79"/>
  <c r="G2882" i="79"/>
  <c r="L2861" i="79"/>
  <c r="K2884" i="79"/>
  <c r="J2905" i="79"/>
  <c r="K2971" i="79"/>
  <c r="I2901" i="79"/>
  <c r="L2968" i="79"/>
  <c r="L2960" i="79" s="1"/>
  <c r="M2917" i="79"/>
  <c r="H2863" i="79"/>
  <c r="H2855" i="79" s="1"/>
  <c r="M2954" i="79"/>
  <c r="K2987" i="79"/>
  <c r="I2987" i="79"/>
  <c r="G2965" i="79"/>
  <c r="H2971" i="79"/>
  <c r="G2952" i="79"/>
  <c r="L2971" i="79"/>
  <c r="G2933" i="79"/>
  <c r="G2925" i="79" s="1"/>
  <c r="G2930" i="79"/>
  <c r="H2933" i="79"/>
  <c r="H2925" i="79" s="1"/>
  <c r="J2896" i="79"/>
  <c r="H2901" i="79"/>
  <c r="J2882" i="79"/>
  <c r="H2919" i="79"/>
  <c r="G2884" i="79"/>
  <c r="M2968" i="79"/>
  <c r="M2960" i="79" s="1"/>
  <c r="I2936" i="79"/>
  <c r="M2870" i="79"/>
  <c r="K2975" i="79"/>
  <c r="M2896" i="79"/>
  <c r="L2987" i="79"/>
  <c r="M2987" i="79"/>
  <c r="J2966" i="79"/>
  <c r="H2966" i="79"/>
  <c r="H2989" i="79"/>
  <c r="J2971" i="79"/>
  <c r="L2989" i="79"/>
  <c r="K2936" i="79"/>
  <c r="K2931" i="79"/>
  <c r="G2936" i="79"/>
  <c r="L2954" i="79"/>
  <c r="K2905" i="79"/>
  <c r="L2898" i="79"/>
  <c r="L2890" i="79" s="1"/>
  <c r="L2896" i="79"/>
  <c r="K2863" i="79"/>
  <c r="K2855" i="79" s="1"/>
  <c r="I2917" i="79"/>
  <c r="I2861" i="79"/>
  <c r="L2866" i="79"/>
  <c r="H2870" i="79"/>
  <c r="J2884" i="79"/>
  <c r="G2919" i="79"/>
  <c r="L2901" i="79"/>
  <c r="I2866" i="79"/>
  <c r="H2987" i="79"/>
  <c r="L2952" i="79"/>
  <c r="G2861" i="79"/>
  <c r="M2882" i="79"/>
  <c r="M2989" i="79"/>
  <c r="I2968" i="79"/>
  <c r="I2960" i="79" s="1"/>
  <c r="L2931" i="79"/>
  <c r="I2966" i="79"/>
  <c r="J2931" i="79"/>
  <c r="H2968" i="79"/>
  <c r="H2960" i="79" s="1"/>
  <c r="J2940" i="79"/>
  <c r="H2975" i="79"/>
  <c r="L2940" i="79"/>
  <c r="M2933" i="79"/>
  <c r="M2925" i="79" s="1"/>
  <c r="H2952" i="79"/>
  <c r="K2898" i="79"/>
  <c r="K2890" i="79" s="1"/>
  <c r="M2905" i="79"/>
  <c r="I2863" i="79"/>
  <c r="I2855" i="79" s="1"/>
  <c r="J2901" i="79"/>
  <c r="M2940" i="79"/>
  <c r="L2966" i="79"/>
  <c r="I2952" i="79"/>
  <c r="J2968" i="79"/>
  <c r="J2960" i="79" s="1"/>
  <c r="G2971" i="79"/>
  <c r="I2971" i="79"/>
  <c r="J2989" i="79"/>
  <c r="J2936" i="79"/>
  <c r="K2952" i="79"/>
  <c r="H2940" i="79"/>
  <c r="G2954" i="79"/>
  <c r="I2905" i="79"/>
  <c r="H2898" i="79"/>
  <c r="H2890" i="79" s="1"/>
  <c r="J2917" i="79"/>
  <c r="G2901" i="79"/>
  <c r="I2919" i="79"/>
  <c r="L2975" i="79"/>
  <c r="K2870" i="79"/>
  <c r="H2884" i="79"/>
  <c r="M2971" i="79"/>
  <c r="H2861" i="79"/>
  <c r="I2933" i="79"/>
  <c r="I2925" i="79" s="1"/>
  <c r="K2968" i="79"/>
  <c r="K2960" i="79" s="1"/>
  <c r="M2966" i="79"/>
  <c r="G2968" i="79"/>
  <c r="G2960" i="79" s="1"/>
  <c r="K2966" i="79"/>
  <c r="M2975" i="79"/>
  <c r="G2975" i="79"/>
  <c r="K2933" i="79"/>
  <c r="K2925" i="79" s="1"/>
  <c r="J2952" i="79"/>
  <c r="L2936" i="79"/>
  <c r="H2936" i="79"/>
  <c r="J2898" i="79"/>
  <c r="J2890" i="79" s="1"/>
  <c r="L2905" i="79"/>
  <c r="G2896" i="79"/>
  <c r="L2863" i="79"/>
  <c r="L2855" i="79" s="1"/>
  <c r="M2863" i="79"/>
  <c r="M2855" i="79" s="1"/>
  <c r="L2919" i="79"/>
  <c r="G2866" i="79"/>
  <c r="G2870" i="79"/>
  <c r="H2882" i="79"/>
  <c r="H2954" i="79"/>
  <c r="G2937" i="79"/>
  <c r="H2918" i="79"/>
  <c r="G2883" i="79"/>
  <c r="I2937" i="79"/>
  <c r="G2918" i="79"/>
  <c r="M2902" i="79"/>
  <c r="J2867" i="79"/>
  <c r="H2988" i="79"/>
  <c r="G2953" i="79"/>
  <c r="G2988" i="79"/>
  <c r="K2902" i="79"/>
  <c r="M2867" i="79"/>
  <c r="I2986" i="79"/>
  <c r="M2916" i="79"/>
  <c r="H2986" i="79"/>
  <c r="G2951" i="79"/>
  <c r="L2915" i="79"/>
  <c r="H2916" i="79"/>
  <c r="I2915" i="79"/>
  <c r="I2950" i="79"/>
  <c r="J2986" i="79"/>
  <c r="J2985" i="79"/>
  <c r="I2916" i="79"/>
  <c r="K2880" i="79"/>
  <c r="G2915" i="79"/>
  <c r="I2881" i="79"/>
  <c r="H2951" i="79"/>
  <c r="L2916" i="79"/>
  <c r="H2985" i="79"/>
  <c r="J2881" i="79"/>
  <c r="M2915" i="79"/>
  <c r="G2986" i="79"/>
  <c r="L2880" i="79"/>
  <c r="G2880" i="79"/>
  <c r="L2881" i="79"/>
  <c r="K2881" i="79"/>
  <c r="M2985" i="79"/>
  <c r="K2951" i="79"/>
  <c r="K2916" i="79"/>
  <c r="H2880" i="79"/>
  <c r="I2951" i="79"/>
  <c r="J2950" i="79"/>
  <c r="J2951" i="79"/>
  <c r="H2915" i="79"/>
  <c r="G2916" i="79"/>
  <c r="I2880" i="79"/>
  <c r="G2881" i="79"/>
  <c r="L2950" i="79"/>
  <c r="J2880" i="79"/>
  <c r="H2881" i="79"/>
  <c r="L2985" i="79"/>
  <c r="M2950" i="79"/>
  <c r="M2881" i="79"/>
  <c r="K2986" i="79"/>
  <c r="G2985" i="79"/>
  <c r="K2950" i="79"/>
  <c r="H2950" i="79"/>
  <c r="K2915" i="79"/>
  <c r="J2916" i="79"/>
  <c r="J2915" i="79"/>
  <c r="L2986" i="79"/>
  <c r="M2986" i="79"/>
  <c r="I2985" i="79"/>
  <c r="K2985" i="79"/>
  <c r="G2950" i="79"/>
  <c r="M2880" i="79"/>
  <c r="L2951" i="79"/>
  <c r="M2951" i="79"/>
  <c r="M2845" i="79"/>
  <c r="K2845" i="79"/>
  <c r="H2846" i="79"/>
  <c r="K2835" i="79"/>
  <c r="M2846" i="79"/>
  <c r="I2835" i="79"/>
  <c r="H2845" i="79"/>
  <c r="K2846" i="79"/>
  <c r="G2845" i="79"/>
  <c r="J2845" i="79"/>
  <c r="L2835" i="79"/>
  <c r="M2835" i="79"/>
  <c r="L2845" i="79"/>
  <c r="J2835" i="79"/>
  <c r="I2845" i="79"/>
  <c r="L2846" i="79"/>
  <c r="I2846" i="79"/>
  <c r="G2846" i="79"/>
  <c r="J2846" i="79"/>
  <c r="G2835" i="79"/>
  <c r="H2835" i="79"/>
  <c r="G2826" i="79"/>
  <c r="G2828" i="79"/>
  <c r="G2820" i="79" s="1"/>
  <c r="M2828" i="79"/>
  <c r="M2820" i="79" s="1"/>
  <c r="L2828" i="79"/>
  <c r="L2820" i="79" s="1"/>
  <c r="K2828" i="79"/>
  <c r="K2820" i="79" s="1"/>
  <c r="J2828" i="79"/>
  <c r="J2820" i="79" s="1"/>
  <c r="I2828" i="79"/>
  <c r="I2820" i="79" s="1"/>
  <c r="H2828" i="79"/>
  <c r="H2820" i="79" s="1"/>
  <c r="G2621" i="79"/>
  <c r="H2549" i="79"/>
  <c r="G2615" i="79"/>
  <c r="K2591" i="79"/>
  <c r="H2645" i="79"/>
  <c r="M2591" i="79"/>
  <c r="I2615" i="79"/>
  <c r="G2645" i="79"/>
  <c r="G2549" i="79"/>
  <c r="J2567" i="79"/>
  <c r="G2597" i="79"/>
  <c r="L2567" i="79"/>
  <c r="M2567" i="79"/>
  <c r="H2597" i="79"/>
  <c r="H2594" i="79"/>
  <c r="M2547" i="79"/>
  <c r="J2644" i="79"/>
  <c r="I2642" i="79"/>
  <c r="G2638" i="79"/>
  <c r="M2643" i="79"/>
  <c r="I2646" i="79"/>
  <c r="G2642" i="79"/>
  <c r="M2620" i="79"/>
  <c r="H2622" i="79"/>
  <c r="H2619" i="79"/>
  <c r="M2595" i="79"/>
  <c r="K2590" i="79"/>
  <c r="I2596" i="79"/>
  <c r="H2566" i="79"/>
  <c r="H2574" i="79"/>
  <c r="H2572" i="79"/>
  <c r="I2542" i="79"/>
  <c r="M2638" i="79"/>
  <c r="I2571" i="79"/>
  <c r="L2542" i="79"/>
  <c r="M2619" i="79"/>
  <c r="K2642" i="79"/>
  <c r="K2638" i="79"/>
  <c r="H2643" i="79"/>
  <c r="I2618" i="79"/>
  <c r="G2614" i="79"/>
  <c r="J2614" i="79"/>
  <c r="G2619" i="79"/>
  <c r="I2620" i="79"/>
  <c r="K2594" i="79"/>
  <c r="H2598" i="79"/>
  <c r="K2598" i="79"/>
  <c r="K2570" i="79"/>
  <c r="J2566" i="79"/>
  <c r="J2574" i="79"/>
  <c r="M2542" i="79"/>
  <c r="I2546" i="79"/>
  <c r="H2548" i="79"/>
  <c r="L2571" i="79"/>
  <c r="L2566" i="79"/>
  <c r="K2542" i="79"/>
  <c r="I2548" i="79"/>
  <c r="J2595" i="79"/>
  <c r="G2571" i="79"/>
  <c r="J2542" i="79"/>
  <c r="M2566" i="79"/>
  <c r="L2598" i="79"/>
  <c r="L2574" i="79"/>
  <c r="K2620" i="79"/>
  <c r="J2642" i="79"/>
  <c r="L2643" i="79"/>
  <c r="H2646" i="79"/>
  <c r="I2644" i="79"/>
  <c r="G2622" i="79"/>
  <c r="H2620" i="79"/>
  <c r="G2590" i="79"/>
  <c r="L2595" i="79"/>
  <c r="M2598" i="79"/>
  <c r="G2595" i="79"/>
  <c r="I2570" i="79"/>
  <c r="M2570" i="79"/>
  <c r="J2546" i="79"/>
  <c r="H2590" i="79"/>
  <c r="I2595" i="79"/>
  <c r="I2619" i="79"/>
  <c r="L2622" i="79"/>
  <c r="K2643" i="79"/>
  <c r="M2644" i="79"/>
  <c r="J2638" i="79"/>
  <c r="G2643" i="79"/>
  <c r="K2618" i="79"/>
  <c r="J2618" i="79"/>
  <c r="M2618" i="79"/>
  <c r="K2622" i="79"/>
  <c r="M2596" i="79"/>
  <c r="J2590" i="79"/>
  <c r="H2596" i="79"/>
  <c r="M2574" i="79"/>
  <c r="M2572" i="79"/>
  <c r="G2572" i="79"/>
  <c r="G2570" i="79"/>
  <c r="G2542" i="79"/>
  <c r="K2546" i="79"/>
  <c r="J2548" i="79"/>
  <c r="G2574" i="79"/>
  <c r="I2574" i="79"/>
  <c r="G2546" i="79"/>
  <c r="K2548" i="79"/>
  <c r="I2590" i="79"/>
  <c r="J2570" i="79"/>
  <c r="K2572" i="79"/>
  <c r="H2542" i="79"/>
  <c r="K2547" i="79"/>
  <c r="G2547" i="79"/>
  <c r="I2643" i="79"/>
  <c r="H2638" i="79"/>
  <c r="L2619" i="79"/>
  <c r="L2594" i="79"/>
  <c r="M2571" i="79"/>
  <c r="J2547" i="79"/>
  <c r="M2548" i="79"/>
  <c r="H2642" i="79"/>
  <c r="M2546" i="79"/>
  <c r="J2643" i="79"/>
  <c r="L2644" i="79"/>
  <c r="G2646" i="79"/>
  <c r="H2644" i="79"/>
  <c r="K2646" i="79"/>
  <c r="M2622" i="79"/>
  <c r="K2619" i="79"/>
  <c r="G2620" i="79"/>
  <c r="J2622" i="79"/>
  <c r="H2614" i="79"/>
  <c r="J2594" i="79"/>
  <c r="G2598" i="79"/>
  <c r="J2598" i="79"/>
  <c r="K2571" i="79"/>
  <c r="H2571" i="79"/>
  <c r="L2546" i="79"/>
  <c r="L2590" i="79"/>
  <c r="I2566" i="79"/>
  <c r="H2547" i="79"/>
  <c r="K2574" i="79"/>
  <c r="H2618" i="79"/>
  <c r="L2638" i="79"/>
  <c r="G2618" i="79"/>
  <c r="J2571" i="79"/>
  <c r="L2547" i="79"/>
  <c r="H2570" i="79"/>
  <c r="J2572" i="79"/>
  <c r="M2590" i="79"/>
  <c r="K2644" i="79"/>
  <c r="I2638" i="79"/>
  <c r="M2642" i="79"/>
  <c r="K2596" i="79"/>
  <c r="L2618" i="79"/>
  <c r="L2620" i="79"/>
  <c r="L2614" i="79"/>
  <c r="I2614" i="79"/>
  <c r="K2595" i="79"/>
  <c r="M2594" i="79"/>
  <c r="I2572" i="79"/>
  <c r="L2548" i="79"/>
  <c r="L2642" i="79"/>
  <c r="H2595" i="79"/>
  <c r="G2548" i="79"/>
  <c r="J2596" i="79"/>
  <c r="J2620" i="79"/>
  <c r="M2614" i="79"/>
  <c r="M2646" i="79"/>
  <c r="G2644" i="79"/>
  <c r="J2646" i="79"/>
  <c r="J2619" i="79"/>
  <c r="I2622" i="79"/>
  <c r="I2594" i="79"/>
  <c r="L2596" i="79"/>
  <c r="G2596" i="79"/>
  <c r="G2594" i="79"/>
  <c r="G2566" i="79"/>
  <c r="L2570" i="79"/>
  <c r="K2566" i="79"/>
  <c r="I2547" i="79"/>
  <c r="L2646" i="79"/>
  <c r="K2614" i="79"/>
  <c r="I2598" i="79"/>
  <c r="L2572" i="79"/>
  <c r="H2546" i="79"/>
  <c r="G2632" i="79"/>
  <c r="J2633" i="79"/>
  <c r="I2633" i="79"/>
  <c r="H2633" i="79"/>
  <c r="G2633" i="79"/>
  <c r="M2633" i="79"/>
  <c r="K2633" i="79"/>
  <c r="L2633" i="79"/>
  <c r="K2635" i="79"/>
  <c r="J2635" i="79"/>
  <c r="I2635" i="79"/>
  <c r="H2635" i="79"/>
  <c r="G2635" i="79"/>
  <c r="L2635" i="79"/>
  <c r="M2635" i="79"/>
  <c r="H2647" i="79"/>
  <c r="G2647" i="79"/>
  <c r="J2609" i="79"/>
  <c r="M2609" i="79"/>
  <c r="I2609" i="79"/>
  <c r="H2609" i="79"/>
  <c r="G2609" i="79"/>
  <c r="K2609" i="79"/>
  <c r="L2609" i="79"/>
  <c r="K2611" i="79"/>
  <c r="G2611" i="79"/>
  <c r="J2611" i="79"/>
  <c r="I2611" i="79"/>
  <c r="H2611" i="79"/>
  <c r="L2611" i="79"/>
  <c r="M2611" i="79"/>
  <c r="H2623" i="79"/>
  <c r="G2623" i="79"/>
  <c r="G2608" i="79"/>
  <c r="H2599" i="79"/>
  <c r="G2599" i="79"/>
  <c r="K2587" i="79"/>
  <c r="J2587" i="79"/>
  <c r="I2587" i="79"/>
  <c r="H2587" i="79"/>
  <c r="L2587" i="79"/>
  <c r="G2587" i="79"/>
  <c r="M2587" i="79"/>
  <c r="G2584" i="79"/>
  <c r="J2585" i="79"/>
  <c r="I2585" i="79"/>
  <c r="H2585" i="79"/>
  <c r="G2585" i="79"/>
  <c r="K2585" i="79"/>
  <c r="M2585" i="79"/>
  <c r="L2585" i="79"/>
  <c r="B2554" i="79"/>
  <c r="C2573" i="79"/>
  <c r="B2573" i="79" s="1"/>
  <c r="M2561" i="79"/>
  <c r="L2561" i="79"/>
  <c r="K2561" i="79"/>
  <c r="J2561" i="79"/>
  <c r="G2561" i="79"/>
  <c r="I2561" i="79"/>
  <c r="H2561" i="79"/>
  <c r="G2560" i="79"/>
  <c r="K2563" i="79"/>
  <c r="J2563" i="79"/>
  <c r="I2563" i="79"/>
  <c r="L2563" i="79"/>
  <c r="H2563" i="79"/>
  <c r="G2563" i="79"/>
  <c r="M2563" i="79"/>
  <c r="G2575" i="79"/>
  <c r="G2757" i="79"/>
  <c r="K2734" i="79"/>
  <c r="G2711" i="79"/>
  <c r="I2757" i="79"/>
  <c r="M2711" i="79"/>
  <c r="M2734" i="79"/>
  <c r="J2711" i="79"/>
  <c r="M2756" i="79"/>
  <c r="L2732" i="79"/>
  <c r="H2778" i="79"/>
  <c r="M2755" i="79"/>
  <c r="J2755" i="79"/>
  <c r="G2732" i="79"/>
  <c r="J2709" i="79"/>
  <c r="L2709" i="79"/>
  <c r="K2755" i="79"/>
  <c r="J2710" i="79"/>
  <c r="I2733" i="79"/>
  <c r="M2710" i="79"/>
  <c r="L2755" i="79"/>
  <c r="G2779" i="79"/>
  <c r="G2756" i="79"/>
  <c r="K2756" i="79"/>
  <c r="H2733" i="79"/>
  <c r="K2709" i="79"/>
  <c r="L2710" i="79"/>
  <c r="G2778" i="79"/>
  <c r="H2732" i="79"/>
  <c r="M2709" i="79"/>
  <c r="G2709" i="79"/>
  <c r="K2732" i="79"/>
  <c r="J2756" i="79"/>
  <c r="K2710" i="79"/>
  <c r="L2778" i="79"/>
  <c r="M2733" i="79"/>
  <c r="G2755" i="79"/>
  <c r="L2756" i="79"/>
  <c r="M2779" i="79"/>
  <c r="H2779" i="79"/>
  <c r="H2756" i="79"/>
  <c r="L2733" i="79"/>
  <c r="I2709" i="79"/>
  <c r="I2778" i="79"/>
  <c r="I2779" i="79"/>
  <c r="H2755" i="79"/>
  <c r="I2732" i="79"/>
  <c r="J2733" i="79"/>
  <c r="G2710" i="79"/>
  <c r="I2710" i="79"/>
  <c r="K2778" i="79"/>
  <c r="M2732" i="79"/>
  <c r="H2710" i="79"/>
  <c r="M2778" i="79"/>
  <c r="G2733" i="79"/>
  <c r="J2778" i="79"/>
  <c r="J2779" i="79"/>
  <c r="I2756" i="79"/>
  <c r="J2732" i="79"/>
  <c r="K2733" i="79"/>
  <c r="H2709" i="79"/>
  <c r="K2779" i="79"/>
  <c r="I2755" i="79"/>
  <c r="L2779" i="79"/>
  <c r="M2686" i="79"/>
  <c r="K2777" i="79"/>
  <c r="I2754" i="79"/>
  <c r="M2731" i="79"/>
  <c r="G2708" i="79"/>
  <c r="J2687" i="79"/>
  <c r="J2777" i="79"/>
  <c r="H2754" i="79"/>
  <c r="L2731" i="79"/>
  <c r="K2708" i="79"/>
  <c r="G2686" i="79"/>
  <c r="L2687" i="79"/>
  <c r="H2708" i="79"/>
  <c r="I2777" i="79"/>
  <c r="G2754" i="79"/>
  <c r="I2731" i="79"/>
  <c r="H2686" i="79"/>
  <c r="G2687" i="79"/>
  <c r="G2731" i="79"/>
  <c r="H2777" i="79"/>
  <c r="L2754" i="79"/>
  <c r="J2708" i="79"/>
  <c r="I2686" i="79"/>
  <c r="K2687" i="79"/>
  <c r="J2754" i="79"/>
  <c r="M2687" i="79"/>
  <c r="G2777" i="79"/>
  <c r="M2754" i="79"/>
  <c r="K2731" i="79"/>
  <c r="I2708" i="79"/>
  <c r="J2686" i="79"/>
  <c r="I2687" i="79"/>
  <c r="H2687" i="79"/>
  <c r="M2777" i="79"/>
  <c r="J2731" i="79"/>
  <c r="M2708" i="79"/>
  <c r="K2686" i="79"/>
  <c r="L2777" i="79"/>
  <c r="K2754" i="79"/>
  <c r="H2731" i="79"/>
  <c r="L2708" i="79"/>
  <c r="L2686" i="79"/>
  <c r="J2786" i="79"/>
  <c r="I2786" i="79"/>
  <c r="H2786" i="79"/>
  <c r="G2786" i="79"/>
  <c r="M2786" i="79"/>
  <c r="L2786" i="79"/>
  <c r="K2786" i="79"/>
  <c r="L2789" i="79"/>
  <c r="K2789" i="79"/>
  <c r="J2789" i="79"/>
  <c r="I2789" i="79"/>
  <c r="H2789" i="79"/>
  <c r="G2789" i="79"/>
  <c r="M2789" i="79"/>
  <c r="H2790" i="79"/>
  <c r="G2790" i="79"/>
  <c r="G2782" i="79"/>
  <c r="M2782" i="79"/>
  <c r="L2782" i="79"/>
  <c r="K2782" i="79"/>
  <c r="J2782" i="79"/>
  <c r="I2782" i="79"/>
  <c r="H2782" i="79"/>
  <c r="G2785" i="79"/>
  <c r="G2767" i="79"/>
  <c r="G2759" i="79"/>
  <c r="H2759" i="79"/>
  <c r="M2759" i="79"/>
  <c r="L2759" i="79"/>
  <c r="K2759" i="79"/>
  <c r="J2759" i="79"/>
  <c r="I2759" i="79"/>
  <c r="G2762" i="79"/>
  <c r="J2763" i="79"/>
  <c r="I2763" i="79"/>
  <c r="K2763" i="79"/>
  <c r="H2763" i="79"/>
  <c r="G2763" i="79"/>
  <c r="M2763" i="79"/>
  <c r="L2763" i="79"/>
  <c r="L2766" i="79"/>
  <c r="K2766" i="79"/>
  <c r="M2766" i="79"/>
  <c r="J2766" i="79"/>
  <c r="I2766" i="79"/>
  <c r="H2766" i="79"/>
  <c r="G2766" i="79"/>
  <c r="G2739" i="79"/>
  <c r="J2740" i="79"/>
  <c r="I2740" i="79"/>
  <c r="H2740" i="79"/>
  <c r="G2740" i="79"/>
  <c r="M2740" i="79"/>
  <c r="L2740" i="79"/>
  <c r="K2740" i="79"/>
  <c r="L2743" i="79"/>
  <c r="K2743" i="79"/>
  <c r="J2743" i="79"/>
  <c r="I2743" i="79"/>
  <c r="H2743" i="79"/>
  <c r="G2743" i="79"/>
  <c r="M2743" i="79"/>
  <c r="H2744" i="79"/>
  <c r="G2744" i="79"/>
  <c r="G2736" i="79"/>
  <c r="M2736" i="79"/>
  <c r="L2736" i="79"/>
  <c r="K2736" i="79"/>
  <c r="J2736" i="79"/>
  <c r="I2736" i="79"/>
  <c r="H2736" i="79"/>
  <c r="L2720" i="79"/>
  <c r="K2720" i="79"/>
  <c r="J2720" i="79"/>
  <c r="M2720" i="79"/>
  <c r="I2720" i="79"/>
  <c r="H2720" i="79"/>
  <c r="G2720" i="79"/>
  <c r="G2721" i="79"/>
  <c r="G2716" i="79"/>
  <c r="M2717" i="79"/>
  <c r="L2717" i="79"/>
  <c r="K2717" i="79"/>
  <c r="J2717" i="79"/>
  <c r="I2717" i="79"/>
  <c r="G2717" i="79"/>
  <c r="H2717" i="79"/>
  <c r="M2713" i="79"/>
  <c r="L2713" i="79"/>
  <c r="I2713" i="79"/>
  <c r="K2713" i="79"/>
  <c r="J2713" i="79"/>
  <c r="H2713" i="79"/>
  <c r="G2713" i="79"/>
  <c r="M2685" i="79"/>
  <c r="L2685" i="79"/>
  <c r="K2685" i="79"/>
  <c r="J2685" i="79"/>
  <c r="I2685" i="79"/>
  <c r="H2685" i="79"/>
  <c r="G2685" i="79"/>
  <c r="M2690" i="79"/>
  <c r="L2690" i="79"/>
  <c r="K2690" i="79"/>
  <c r="J2690" i="79"/>
  <c r="I2690" i="79"/>
  <c r="H2690" i="79"/>
  <c r="G2690" i="79"/>
  <c r="M543" i="79"/>
  <c r="G543" i="79"/>
  <c r="J543" i="79"/>
  <c r="H543" i="79"/>
  <c r="I543" i="79"/>
  <c r="K543" i="79"/>
  <c r="L543" i="79"/>
  <c r="M545" i="79"/>
  <c r="L545" i="79"/>
  <c r="K545" i="79"/>
  <c r="J545" i="79"/>
  <c r="I545" i="79"/>
  <c r="H545" i="79"/>
  <c r="G545" i="79"/>
  <c r="G544" i="79"/>
  <c r="M544" i="79"/>
  <c r="L544" i="79"/>
  <c r="K544" i="79"/>
  <c r="J544" i="79"/>
  <c r="I544" i="79"/>
  <c r="H544" i="79"/>
  <c r="AK178" i="52"/>
  <c r="AK179" i="52"/>
  <c r="AK180" i="52"/>
  <c r="AK181" i="52"/>
  <c r="AK182" i="52"/>
  <c r="AG172" i="52"/>
  <c r="AG173" i="52"/>
  <c r="AG174" i="52"/>
  <c r="AG175" i="52"/>
  <c r="AG176" i="52"/>
  <c r="AH172" i="52"/>
  <c r="AH173" i="52"/>
  <c r="AH174" i="52"/>
  <c r="AH175" i="52"/>
  <c r="AH176" i="52"/>
  <c r="AG178" i="52"/>
  <c r="AG179" i="52"/>
  <c r="AG180" i="52"/>
  <c r="AG181" i="52"/>
  <c r="AG182" i="52"/>
  <c r="M364" i="79"/>
  <c r="M520" i="79"/>
  <c r="G453" i="79"/>
  <c r="G386" i="79"/>
  <c r="L498" i="79"/>
  <c r="G364" i="79"/>
  <c r="I476" i="79"/>
  <c r="K409" i="79"/>
  <c r="G498" i="79"/>
  <c r="G409" i="79"/>
  <c r="J520" i="79"/>
  <c r="J431" i="79"/>
  <c r="J342" i="79"/>
  <c r="K520" i="79"/>
  <c r="H476" i="79"/>
  <c r="M342" i="79"/>
  <c r="L431" i="79"/>
  <c r="L342" i="79"/>
  <c r="M431" i="79"/>
  <c r="M409" i="79"/>
  <c r="H453" i="79"/>
  <c r="J386" i="79"/>
  <c r="K498" i="79"/>
  <c r="H364" i="79"/>
  <c r="J476" i="79"/>
  <c r="L409" i="79"/>
  <c r="I520" i="79"/>
  <c r="I342" i="79"/>
  <c r="L453" i="79"/>
  <c r="L364" i="79"/>
  <c r="I498" i="79"/>
  <c r="K342" i="79"/>
  <c r="I386" i="79"/>
  <c r="J409" i="79"/>
  <c r="M386" i="79"/>
  <c r="G520" i="79"/>
  <c r="I453" i="79"/>
  <c r="K386" i="79"/>
  <c r="G431" i="79"/>
  <c r="I364" i="79"/>
  <c r="K476" i="79"/>
  <c r="G342" i="79"/>
  <c r="K453" i="79"/>
  <c r="K364" i="79"/>
  <c r="H498" i="79"/>
  <c r="M498" i="79"/>
  <c r="K431" i="79"/>
  <c r="J498" i="79"/>
  <c r="M453" i="79"/>
  <c r="H520" i="79"/>
  <c r="J453" i="79"/>
  <c r="L386" i="79"/>
  <c r="H431" i="79"/>
  <c r="J364" i="79"/>
  <c r="L476" i="79"/>
  <c r="H342" i="79"/>
  <c r="M476" i="79"/>
  <c r="I431" i="79"/>
  <c r="I409" i="79"/>
  <c r="H386" i="79"/>
  <c r="H409" i="79"/>
  <c r="L520" i="79"/>
  <c r="G476" i="79"/>
  <c r="AI172" i="52"/>
  <c r="AI173" i="52"/>
  <c r="AI174" i="52"/>
  <c r="AI175" i="52"/>
  <c r="AI176" i="52"/>
  <c r="AH178" i="52"/>
  <c r="AH179" i="52"/>
  <c r="AH180" i="52"/>
  <c r="AH181" i="52"/>
  <c r="AH182" i="52"/>
  <c r="B423" i="79"/>
  <c r="C425" i="79"/>
  <c r="B425" i="79" s="1"/>
  <c r="B356" i="79"/>
  <c r="C358" i="79"/>
  <c r="B358" i="79" s="1"/>
  <c r="B378" i="79"/>
  <c r="C380" i="79"/>
  <c r="B380" i="79" s="1"/>
  <c r="B490" i="79"/>
  <c r="C492" i="79"/>
  <c r="B492" i="79" s="1"/>
  <c r="B512" i="79"/>
  <c r="C514" i="79"/>
  <c r="B514" i="79" s="1"/>
  <c r="B445" i="79"/>
  <c r="C447" i="79"/>
  <c r="B447" i="79" s="1"/>
  <c r="B401" i="79"/>
  <c r="C403" i="79"/>
  <c r="B403" i="79" s="1"/>
  <c r="B468" i="79"/>
  <c r="C470" i="79"/>
  <c r="B470" i="79" s="1"/>
  <c r="B311" i="79"/>
  <c r="C313" i="79"/>
  <c r="B313" i="79" s="1"/>
  <c r="B334" i="79"/>
  <c r="C336" i="79"/>
  <c r="B336" i="79" s="1"/>
  <c r="B289" i="79"/>
  <c r="C291" i="79"/>
  <c r="B291" i="79" s="1"/>
  <c r="B222" i="79"/>
  <c r="C224" i="79"/>
  <c r="B224" i="79" s="1"/>
  <c r="B267" i="79"/>
  <c r="C269" i="79"/>
  <c r="B269" i="79" s="1"/>
  <c r="B200" i="79"/>
  <c r="C202" i="79"/>
  <c r="B202" i="79" s="1"/>
  <c r="B244" i="79"/>
  <c r="C246" i="79"/>
  <c r="B246" i="79" s="1"/>
  <c r="M549" i="79"/>
  <c r="M211" i="79"/>
  <c r="M480" i="79"/>
  <c r="M389" i="79"/>
  <c r="M413" i="79"/>
  <c r="J2316" i="79"/>
  <c r="M2272" i="79"/>
  <c r="G573" i="79"/>
  <c r="K573" i="79"/>
  <c r="G550" i="79"/>
  <c r="K550" i="79"/>
  <c r="H523" i="79"/>
  <c r="K524" i="79"/>
  <c r="I502" i="79"/>
  <c r="G480" i="79"/>
  <c r="K480" i="79"/>
  <c r="H457" i="79"/>
  <c r="L457" i="79"/>
  <c r="I435" i="79"/>
  <c r="G412" i="79"/>
  <c r="K412" i="79"/>
  <c r="H390" i="79"/>
  <c r="L390" i="79"/>
  <c r="J367" i="79"/>
  <c r="G346" i="79"/>
  <c r="K346" i="79"/>
  <c r="I323" i="79"/>
  <c r="G300" i="79"/>
  <c r="K300" i="79"/>
  <c r="I278" i="79"/>
  <c r="J256" i="79"/>
  <c r="H234" i="79"/>
  <c r="L234" i="79"/>
  <c r="J211" i="79"/>
  <c r="G2032" i="79"/>
  <c r="K2032" i="79"/>
  <c r="H2024" i="79"/>
  <c r="I2013" i="79"/>
  <c r="G1992" i="79"/>
  <c r="K1992" i="79"/>
  <c r="I1972" i="79"/>
  <c r="G1952" i="79"/>
  <c r="K1952" i="79"/>
  <c r="H1932" i="79"/>
  <c r="L1932" i="79"/>
  <c r="J2317" i="79"/>
  <c r="H2330" i="79"/>
  <c r="L2330" i="79"/>
  <c r="K2297" i="79"/>
  <c r="L2296" i="79"/>
  <c r="K2271" i="79"/>
  <c r="I2247" i="79"/>
  <c r="L2246" i="79"/>
  <c r="I2221" i="79"/>
  <c r="J2196" i="79"/>
  <c r="M2221" i="79"/>
  <c r="M479" i="79"/>
  <c r="M1992" i="79"/>
  <c r="M2247" i="79"/>
  <c r="M502" i="79"/>
  <c r="M2023" i="79"/>
  <c r="M2329" i="79"/>
  <c r="G574" i="79"/>
  <c r="K574" i="79"/>
  <c r="H549" i="79"/>
  <c r="L549" i="79"/>
  <c r="H524" i="79"/>
  <c r="L523" i="79"/>
  <c r="J501" i="79"/>
  <c r="H479" i="79"/>
  <c r="L479" i="79"/>
  <c r="I456" i="79"/>
  <c r="J434" i="79"/>
  <c r="G413" i="79"/>
  <c r="K413" i="79"/>
  <c r="I389" i="79"/>
  <c r="J368" i="79"/>
  <c r="H345" i="79"/>
  <c r="L345" i="79"/>
  <c r="J322" i="79"/>
  <c r="G301" i="79"/>
  <c r="K301" i="79"/>
  <c r="I279" i="79"/>
  <c r="G255" i="79"/>
  <c r="K255" i="79"/>
  <c r="I233" i="79"/>
  <c r="J212" i="79"/>
  <c r="H2031" i="79"/>
  <c r="L2031" i="79"/>
  <c r="J2023" i="79"/>
  <c r="J2012" i="79"/>
  <c r="G1993" i="79"/>
  <c r="K1993" i="79"/>
  <c r="I1973" i="79"/>
  <c r="G1953" i="79"/>
  <c r="K1953" i="79"/>
  <c r="H1933" i="79"/>
  <c r="L1933" i="79"/>
  <c r="L2317" i="79"/>
  <c r="I2329" i="79"/>
  <c r="G2317" i="79"/>
  <c r="L2297" i="79"/>
  <c r="J2221" i="79"/>
  <c r="K2272" i="79"/>
  <c r="J2246" i="79"/>
  <c r="M456" i="79"/>
  <c r="M2246" i="79"/>
  <c r="M367" i="79"/>
  <c r="M1952" i="79"/>
  <c r="M2031" i="79"/>
  <c r="M234" i="79"/>
  <c r="M1973" i="79"/>
  <c r="H573" i="79"/>
  <c r="L573" i="79"/>
  <c r="H550" i="79"/>
  <c r="L550" i="79"/>
  <c r="L524" i="79"/>
  <c r="J502" i="79"/>
  <c r="H480" i="79"/>
  <c r="L480" i="79"/>
  <c r="I457" i="79"/>
  <c r="J435" i="79"/>
  <c r="H412" i="79"/>
  <c r="L412" i="79"/>
  <c r="I390" i="79"/>
  <c r="G367" i="79"/>
  <c r="K367" i="79"/>
  <c r="H346" i="79"/>
  <c r="L346" i="79"/>
  <c r="J323" i="79"/>
  <c r="H300" i="79"/>
  <c r="L300" i="79"/>
  <c r="J278" i="79"/>
  <c r="G256" i="79"/>
  <c r="K256" i="79"/>
  <c r="I234" i="79"/>
  <c r="G211" i="79"/>
  <c r="K211" i="79"/>
  <c r="H2032" i="79"/>
  <c r="L2032" i="79"/>
  <c r="J2024" i="79"/>
  <c r="J2013" i="79"/>
  <c r="H1992" i="79"/>
  <c r="L1992" i="79"/>
  <c r="J1972" i="79"/>
  <c r="H1952" i="79"/>
  <c r="L1952" i="79"/>
  <c r="I1932" i="79"/>
  <c r="H2316" i="79"/>
  <c r="M2330" i="79"/>
  <c r="I2330" i="79"/>
  <c r="G2271" i="79"/>
  <c r="L2271" i="79"/>
  <c r="J2247" i="79"/>
  <c r="H2246" i="79"/>
  <c r="L2221" i="79"/>
  <c r="I2196" i="79"/>
  <c r="J2271" i="79"/>
  <c r="K2221" i="79"/>
  <c r="M2222" i="79"/>
  <c r="M1933" i="79"/>
  <c r="M2296" i="79"/>
  <c r="M233" i="79"/>
  <c r="M345" i="79"/>
  <c r="M323" i="79"/>
  <c r="M256" i="79"/>
  <c r="H574" i="79"/>
  <c r="L574" i="79"/>
  <c r="I549" i="79"/>
  <c r="I523" i="79"/>
  <c r="G501" i="79"/>
  <c r="K501" i="79"/>
  <c r="I479" i="79"/>
  <c r="J456" i="79"/>
  <c r="G434" i="79"/>
  <c r="K434" i="79"/>
  <c r="H413" i="79"/>
  <c r="L413" i="79"/>
  <c r="J389" i="79"/>
  <c r="G368" i="79"/>
  <c r="K368" i="79"/>
  <c r="I345" i="79"/>
  <c r="G322" i="79"/>
  <c r="K322" i="79"/>
  <c r="H301" i="79"/>
  <c r="L301" i="79"/>
  <c r="J279" i="79"/>
  <c r="H255" i="79"/>
  <c r="L255" i="79"/>
  <c r="J233" i="79"/>
  <c r="G212" i="79"/>
  <c r="K212" i="79"/>
  <c r="I2031" i="79"/>
  <c r="H2023" i="79"/>
  <c r="K2023" i="79"/>
  <c r="G2012" i="79"/>
  <c r="K2012" i="79"/>
  <c r="H1993" i="79"/>
  <c r="L1993" i="79"/>
  <c r="J1973" i="79"/>
  <c r="H1953" i="79"/>
  <c r="L1953" i="79"/>
  <c r="I1933" i="79"/>
  <c r="L2316" i="79"/>
  <c r="H2317" i="79"/>
  <c r="J2329" i="79"/>
  <c r="I2296" i="79"/>
  <c r="G2296" i="79"/>
  <c r="G2272" i="79"/>
  <c r="L2272" i="79"/>
  <c r="K2246" i="79"/>
  <c r="H2247" i="79"/>
  <c r="L2222" i="79"/>
  <c r="L2196" i="79"/>
  <c r="K2247" i="79"/>
  <c r="M1993" i="79"/>
  <c r="M2013" i="79"/>
  <c r="M279" i="79"/>
  <c r="M322" i="79"/>
  <c r="M434" i="79"/>
  <c r="M2271" i="79"/>
  <c r="M346" i="79"/>
  <c r="I573" i="79"/>
  <c r="M2024" i="79"/>
  <c r="I550" i="79"/>
  <c r="I524" i="79"/>
  <c r="G502" i="79"/>
  <c r="K502" i="79"/>
  <c r="I480" i="79"/>
  <c r="J457" i="79"/>
  <c r="G435" i="79"/>
  <c r="K435" i="79"/>
  <c r="I412" i="79"/>
  <c r="J390" i="79"/>
  <c r="H367" i="79"/>
  <c r="L367" i="79"/>
  <c r="I346" i="79"/>
  <c r="G323" i="79"/>
  <c r="K323" i="79"/>
  <c r="I300" i="79"/>
  <c r="G278" i="79"/>
  <c r="K278" i="79"/>
  <c r="H256" i="79"/>
  <c r="L256" i="79"/>
  <c r="J234" i="79"/>
  <c r="H211" i="79"/>
  <c r="L211" i="79"/>
  <c r="I2032" i="79"/>
  <c r="I2023" i="79"/>
  <c r="K2024" i="79"/>
  <c r="G2013" i="79"/>
  <c r="K2013" i="79"/>
  <c r="I1992" i="79"/>
  <c r="G1972" i="79"/>
  <c r="K1972" i="79"/>
  <c r="I1952" i="79"/>
  <c r="G2316" i="79"/>
  <c r="J1932" i="79"/>
  <c r="M2316" i="79"/>
  <c r="G2329" i="79"/>
  <c r="J2330" i="79"/>
  <c r="J2296" i="79"/>
  <c r="G2297" i="79"/>
  <c r="H2272" i="79"/>
  <c r="G2221" i="79"/>
  <c r="M368" i="79"/>
  <c r="M212" i="79"/>
  <c r="M457" i="79"/>
  <c r="M412" i="79"/>
  <c r="M523" i="79"/>
  <c r="M1972" i="79"/>
  <c r="M435" i="79"/>
  <c r="I574" i="79"/>
  <c r="M2032" i="79"/>
  <c r="J549" i="79"/>
  <c r="J523" i="79"/>
  <c r="H501" i="79"/>
  <c r="L501" i="79"/>
  <c r="J479" i="79"/>
  <c r="G456" i="79"/>
  <c r="K456" i="79"/>
  <c r="H434" i="79"/>
  <c r="L434" i="79"/>
  <c r="I413" i="79"/>
  <c r="G389" i="79"/>
  <c r="K389" i="79"/>
  <c r="H368" i="79"/>
  <c r="L368" i="79"/>
  <c r="J345" i="79"/>
  <c r="H322" i="79"/>
  <c r="L322" i="79"/>
  <c r="I301" i="79"/>
  <c r="G279" i="79"/>
  <c r="K279" i="79"/>
  <c r="I255" i="79"/>
  <c r="G233" i="79"/>
  <c r="K233" i="79"/>
  <c r="H212" i="79"/>
  <c r="L212" i="79"/>
  <c r="J2031" i="79"/>
  <c r="I2024" i="79"/>
  <c r="L2023" i="79"/>
  <c r="H2012" i="79"/>
  <c r="L2012" i="79"/>
  <c r="I1993" i="79"/>
  <c r="G1973" i="79"/>
  <c r="K1973" i="79"/>
  <c r="I1953" i="79"/>
  <c r="K2316" i="79"/>
  <c r="J1933" i="79"/>
  <c r="I2316" i="79"/>
  <c r="G2330" i="79"/>
  <c r="K2329" i="79"/>
  <c r="K2296" i="79"/>
  <c r="I2271" i="79"/>
  <c r="J2272" i="79"/>
  <c r="G2246" i="79"/>
  <c r="G2222" i="79"/>
  <c r="K2222" i="79"/>
  <c r="K2196" i="79"/>
  <c r="M2297" i="79"/>
  <c r="M301" i="79"/>
  <c r="M1932" i="79"/>
  <c r="M501" i="79"/>
  <c r="M573" i="79"/>
  <c r="M255" i="79"/>
  <c r="M524" i="79"/>
  <c r="J573" i="79"/>
  <c r="M550" i="79"/>
  <c r="J550" i="79"/>
  <c r="G523" i="79"/>
  <c r="J524" i="79"/>
  <c r="H502" i="79"/>
  <c r="L502" i="79"/>
  <c r="J480" i="79"/>
  <c r="G457" i="79"/>
  <c r="K457" i="79"/>
  <c r="H435" i="79"/>
  <c r="L435" i="79"/>
  <c r="J412" i="79"/>
  <c r="G390" i="79"/>
  <c r="K390" i="79"/>
  <c r="I367" i="79"/>
  <c r="J346" i="79"/>
  <c r="H323" i="79"/>
  <c r="L323" i="79"/>
  <c r="J300" i="79"/>
  <c r="H278" i="79"/>
  <c r="L278" i="79"/>
  <c r="I256" i="79"/>
  <c r="G234" i="79"/>
  <c r="K234" i="79"/>
  <c r="I211" i="79"/>
  <c r="J2032" i="79"/>
  <c r="G2023" i="79"/>
  <c r="L2024" i="79"/>
  <c r="H2013" i="79"/>
  <c r="L2013" i="79"/>
  <c r="J1992" i="79"/>
  <c r="H1972" i="79"/>
  <c r="L1972" i="79"/>
  <c r="J1952" i="79"/>
  <c r="G1932" i="79"/>
  <c r="K1932" i="79"/>
  <c r="K2317" i="79"/>
  <c r="I2317" i="79"/>
  <c r="K2330" i="79"/>
  <c r="I2297" i="79"/>
  <c r="H2296" i="79"/>
  <c r="I2272" i="79"/>
  <c r="G2247" i="79"/>
  <c r="H2221" i="79"/>
  <c r="G2196" i="79"/>
  <c r="I2222" i="79"/>
  <c r="M2012" i="79"/>
  <c r="M390" i="79"/>
  <c r="M300" i="79"/>
  <c r="M1953" i="79"/>
  <c r="M278" i="79"/>
  <c r="M2196" i="79"/>
  <c r="M574" i="79"/>
  <c r="J574" i="79"/>
  <c r="G549" i="79"/>
  <c r="K549" i="79"/>
  <c r="G524" i="79"/>
  <c r="K523" i="79"/>
  <c r="I501" i="79"/>
  <c r="G479" i="79"/>
  <c r="K479" i="79"/>
  <c r="H456" i="79"/>
  <c r="L456" i="79"/>
  <c r="I434" i="79"/>
  <c r="J413" i="79"/>
  <c r="H389" i="79"/>
  <c r="L389" i="79"/>
  <c r="I368" i="79"/>
  <c r="G345" i="79"/>
  <c r="K345" i="79"/>
  <c r="I322" i="79"/>
  <c r="J301" i="79"/>
  <c r="H279" i="79"/>
  <c r="L279" i="79"/>
  <c r="J255" i="79"/>
  <c r="H233" i="79"/>
  <c r="L233" i="79"/>
  <c r="I212" i="79"/>
  <c r="G2031" i="79"/>
  <c r="K2031" i="79"/>
  <c r="G2024" i="79"/>
  <c r="I2012" i="79"/>
  <c r="J1993" i="79"/>
  <c r="H1973" i="79"/>
  <c r="L1973" i="79"/>
  <c r="J1953" i="79"/>
  <c r="G1933" i="79"/>
  <c r="K1933" i="79"/>
  <c r="M2317" i="79"/>
  <c r="H2329" i="79"/>
  <c r="L2329" i="79"/>
  <c r="J2297" i="79"/>
  <c r="H2297" i="79"/>
  <c r="H2271" i="79"/>
  <c r="I2246" i="79"/>
  <c r="J2222" i="79"/>
  <c r="H2222" i="79"/>
  <c r="H2196" i="79"/>
  <c r="L2247" i="79"/>
  <c r="G2197" i="79"/>
  <c r="H2197" i="79"/>
  <c r="M2197" i="79"/>
  <c r="L2197" i="79"/>
  <c r="J2197" i="79"/>
  <c r="I2197" i="79"/>
  <c r="K2197" i="79"/>
  <c r="C522" i="79"/>
  <c r="B522" i="79" s="1"/>
  <c r="C500" i="79"/>
  <c r="B500" i="79" s="1"/>
  <c r="C478" i="79"/>
  <c r="B478" i="79" s="1"/>
  <c r="B475" i="79"/>
  <c r="C455" i="79"/>
  <c r="B455" i="79" s="1"/>
  <c r="C433" i="79"/>
  <c r="B433" i="79" s="1"/>
  <c r="C411" i="79"/>
  <c r="B411" i="79" s="1"/>
  <c r="C388" i="79"/>
  <c r="B388" i="79" s="1"/>
  <c r="C366" i="79"/>
  <c r="B366" i="79" s="1"/>
  <c r="C344" i="79"/>
  <c r="B344" i="79" s="1"/>
  <c r="B319" i="79"/>
  <c r="C321" i="79"/>
  <c r="B321" i="79" s="1"/>
  <c r="B297" i="79"/>
  <c r="C299" i="79"/>
  <c r="B299" i="79" s="1"/>
  <c r="B275" i="79"/>
  <c r="C277" i="79"/>
  <c r="B277" i="79" s="1"/>
  <c r="B252" i="79"/>
  <c r="C254" i="79"/>
  <c r="B254" i="79" s="1"/>
  <c r="B230" i="79"/>
  <c r="C232" i="79"/>
  <c r="B232" i="79" s="1"/>
  <c r="B208" i="79"/>
  <c r="C210" i="79"/>
  <c r="B210" i="79" s="1"/>
  <c r="AF161" i="52"/>
  <c r="H363" i="80"/>
  <c r="I363" i="80" s="1"/>
  <c r="J363" i="80" s="1"/>
  <c r="K363" i="80" s="1"/>
  <c r="L363" i="80" s="1"/>
  <c r="M363" i="80" s="1"/>
  <c r="N363" i="80" s="1"/>
  <c r="I371" i="80"/>
  <c r="J371" i="80" s="1"/>
  <c r="K371" i="80" s="1"/>
  <c r="L371" i="80" s="1"/>
  <c r="M371" i="80" s="1"/>
  <c r="N371" i="80" s="1"/>
  <c r="AK216" i="52"/>
  <c r="AI218" i="52"/>
  <c r="AI220" i="52"/>
  <c r="AG222" i="52"/>
  <c r="AL143" i="52"/>
  <c r="AJ145" i="52"/>
  <c r="AK150" i="52"/>
  <c r="AI152" i="52"/>
  <c r="AL215" i="52"/>
  <c r="AJ217" i="52"/>
  <c r="AH221" i="52"/>
  <c r="AK144" i="52"/>
  <c r="AI146" i="52"/>
  <c r="AY23" i="10"/>
  <c r="G139" i="79"/>
  <c r="H140" i="79"/>
  <c r="I141" i="79"/>
  <c r="H139" i="79"/>
  <c r="I140" i="79"/>
  <c r="I139" i="79"/>
  <c r="J140" i="79"/>
  <c r="K141" i="79"/>
  <c r="J139" i="79"/>
  <c r="K140" i="79"/>
  <c r="L141" i="79"/>
  <c r="K139" i="79"/>
  <c r="L140" i="79"/>
  <c r="M141" i="79"/>
  <c r="J141" i="79"/>
  <c r="L139" i="79"/>
  <c r="M140" i="79"/>
  <c r="H141" i="79"/>
  <c r="M139" i="79"/>
  <c r="G141" i="79"/>
  <c r="G140" i="79"/>
  <c r="AK142" i="52"/>
  <c r="AI143" i="52"/>
  <c r="AH144" i="52"/>
  <c r="AG145" i="52"/>
  <c r="AJ148" i="52"/>
  <c r="AI149" i="52"/>
  <c r="AH150" i="52"/>
  <c r="AG151" i="52"/>
  <c r="AJ214" i="52"/>
  <c r="AI215" i="52"/>
  <c r="AH216" i="52"/>
  <c r="AG217" i="52"/>
  <c r="AL222" i="52"/>
  <c r="AK223" i="52"/>
  <c r="AJ224" i="52"/>
  <c r="AL142" i="52"/>
  <c r="AJ143" i="52"/>
  <c r="AI144" i="52"/>
  <c r="AH145" i="52"/>
  <c r="AG146" i="52"/>
  <c r="AK148" i="52"/>
  <c r="AJ149" i="52"/>
  <c r="AI150" i="52"/>
  <c r="AH151" i="52"/>
  <c r="AG152" i="52"/>
  <c r="AK214" i="52"/>
  <c r="AJ215" i="52"/>
  <c r="AI216" i="52"/>
  <c r="AH217" i="52"/>
  <c r="AG218" i="52"/>
  <c r="AG220" i="52"/>
  <c r="AL223" i="52"/>
  <c r="AK224" i="52"/>
  <c r="AK143" i="52"/>
  <c r="AJ144" i="52"/>
  <c r="AI145" i="52"/>
  <c r="AH146" i="52"/>
  <c r="AL148" i="52"/>
  <c r="AK149" i="52"/>
  <c r="AJ150" i="52"/>
  <c r="AI151" i="52"/>
  <c r="AH152" i="52"/>
  <c r="AL214" i="52"/>
  <c r="AK215" i="52"/>
  <c r="AJ216" i="52"/>
  <c r="AI217" i="52"/>
  <c r="AH218" i="52"/>
  <c r="AH220" i="52"/>
  <c r="AG221" i="52"/>
  <c r="AL224" i="52"/>
  <c r="AG142" i="52"/>
  <c r="AL144" i="52"/>
  <c r="AK145" i="52"/>
  <c r="AJ146" i="52"/>
  <c r="AL150" i="52"/>
  <c r="AK151" i="52"/>
  <c r="AJ152" i="52"/>
  <c r="AL216" i="52"/>
  <c r="AK217" i="52"/>
  <c r="AJ218" i="52"/>
  <c r="AJ220" i="52"/>
  <c r="AI221" i="52"/>
  <c r="AH222" i="52"/>
  <c r="AG223" i="52"/>
  <c r="AH142" i="52"/>
  <c r="AL145" i="52"/>
  <c r="AK146" i="52"/>
  <c r="AG148" i="52"/>
  <c r="AL151" i="52"/>
  <c r="AK152" i="52"/>
  <c r="AG214" i="52"/>
  <c r="AL217" i="52"/>
  <c r="AK218" i="52"/>
  <c r="AK220" i="52"/>
  <c r="AJ221" i="52"/>
  <c r="AI222" i="52"/>
  <c r="AH223" i="52"/>
  <c r="AG224" i="52"/>
  <c r="D10" i="52"/>
  <c r="D32" i="52" s="1"/>
  <c r="D54" i="52" s="1"/>
  <c r="D76" i="52" s="1"/>
  <c r="D98" i="52" s="1"/>
  <c r="D120" i="52" s="1"/>
  <c r="AI142" i="52"/>
  <c r="AG143" i="52"/>
  <c r="AL146" i="52"/>
  <c r="AH148" i="52"/>
  <c r="AG149" i="52"/>
  <c r="AL152" i="52"/>
  <c r="AH214" i="52"/>
  <c r="AG215" i="52"/>
  <c r="AL218" i="52"/>
  <c r="AL220" i="52"/>
  <c r="AK221" i="52"/>
  <c r="AJ222" i="52"/>
  <c r="AI223" i="52"/>
  <c r="AH224" i="52"/>
  <c r="AJ142" i="52"/>
  <c r="AH143" i="52"/>
  <c r="AG144" i="52"/>
  <c r="AI148" i="52"/>
  <c r="AH149" i="52"/>
  <c r="AG150" i="52"/>
  <c r="AI214" i="52"/>
  <c r="AH215" i="52"/>
  <c r="AG216" i="52"/>
  <c r="AK222" i="52"/>
  <c r="AJ223" i="52"/>
  <c r="AI224" i="52"/>
  <c r="AL141" i="52"/>
  <c r="AT141" i="52" s="1"/>
  <c r="AF141" i="52"/>
  <c r="AN141" i="52" s="1"/>
  <c r="AG141" i="52"/>
  <c r="AO141" i="52" s="1"/>
  <c r="AH141" i="52"/>
  <c r="AP141" i="52" s="1"/>
  <c r="AJ141" i="52"/>
  <c r="AR141" i="52" s="1"/>
  <c r="AI141" i="52"/>
  <c r="AQ141" i="52" s="1"/>
  <c r="AK141" i="52"/>
  <c r="AS141" i="52" s="1"/>
  <c r="AF164" i="52"/>
  <c r="AF167" i="52"/>
  <c r="AF250" i="52"/>
  <c r="AF170" i="52"/>
  <c r="AF253" i="52"/>
  <c r="AF162" i="52"/>
  <c r="AF168" i="52"/>
  <c r="AF251" i="52"/>
  <c r="AF160" i="52"/>
  <c r="AF254" i="52"/>
  <c r="AF163" i="52"/>
  <c r="AF166" i="52"/>
  <c r="AF169" i="52"/>
  <c r="AF252" i="52"/>
  <c r="M3006" i="79"/>
  <c r="D12" i="52"/>
  <c r="D34" i="52" s="1"/>
  <c r="D56" i="52" s="1"/>
  <c r="D78" i="52" s="1"/>
  <c r="D100" i="52" s="1"/>
  <c r="D122" i="52" s="1"/>
  <c r="AH197" i="52"/>
  <c r="AK154" i="52"/>
  <c r="AI156" i="52"/>
  <c r="AG158" i="52"/>
  <c r="AI196" i="52"/>
  <c r="AG198" i="52"/>
  <c r="AJ155" i="52"/>
  <c r="AH157" i="52"/>
  <c r="D7" i="52"/>
  <c r="D18" i="52"/>
  <c r="D40" i="52" s="1"/>
  <c r="D62" i="52" s="1"/>
  <c r="D84" i="52" s="1"/>
  <c r="D106" i="52" s="1"/>
  <c r="D128" i="52" s="1"/>
  <c r="AL154" i="52"/>
  <c r="AK155" i="52"/>
  <c r="AJ156" i="52"/>
  <c r="AI157" i="52"/>
  <c r="AH158" i="52"/>
  <c r="AJ196" i="52"/>
  <c r="AI197" i="52"/>
  <c r="AH198" i="52"/>
  <c r="AG199" i="52"/>
  <c r="AL155" i="52"/>
  <c r="AK156" i="52"/>
  <c r="AJ157" i="52"/>
  <c r="AI158" i="52"/>
  <c r="AK196" i="52"/>
  <c r="AJ197" i="52"/>
  <c r="AI198" i="52"/>
  <c r="AH199" i="52"/>
  <c r="AG200" i="52"/>
  <c r="AL156" i="52"/>
  <c r="AK157" i="52"/>
  <c r="AJ158" i="52"/>
  <c r="AL196" i="52"/>
  <c r="AK197" i="52"/>
  <c r="AJ198" i="52"/>
  <c r="AI199" i="52"/>
  <c r="AH200" i="52"/>
  <c r="AG154" i="52"/>
  <c r="AL157" i="52"/>
  <c r="AK158" i="52"/>
  <c r="AL197" i="52"/>
  <c r="AK198" i="52"/>
  <c r="AJ199" i="52"/>
  <c r="AI200" i="52"/>
  <c r="AH154" i="52"/>
  <c r="AG155" i="52"/>
  <c r="AL158" i="52"/>
  <c r="AL198" i="52"/>
  <c r="AK199" i="52"/>
  <c r="AJ200" i="52"/>
  <c r="AI154" i="52"/>
  <c r="AH155" i="52"/>
  <c r="AG156" i="52"/>
  <c r="AG196" i="52"/>
  <c r="AL199" i="52"/>
  <c r="AK200" i="52"/>
  <c r="AJ154" i="52"/>
  <c r="AI155" i="52"/>
  <c r="AH156" i="52"/>
  <c r="AG157" i="52"/>
  <c r="AH196" i="52"/>
  <c r="AG197" i="52"/>
  <c r="T232" i="59"/>
  <c r="J157" i="37"/>
  <c r="M4" i="54"/>
  <c r="M113" i="54"/>
  <c r="A206" i="37"/>
  <c r="N611" i="59"/>
  <c r="A326" i="37"/>
  <c r="A318" i="37"/>
  <c r="A310" i="37"/>
  <c r="A302" i="37"/>
  <c r="A353" i="37"/>
  <c r="A316" i="37"/>
  <c r="A300" i="37"/>
  <c r="A294" i="37"/>
  <c r="A325" i="37"/>
  <c r="A317" i="37"/>
  <c r="A309" i="37"/>
  <c r="A301" i="37"/>
  <c r="A324" i="37"/>
  <c r="A308" i="37"/>
  <c r="A303" i="37"/>
  <c r="A352" i="37"/>
  <c r="A323" i="37"/>
  <c r="A315" i="37"/>
  <c r="A307" i="37"/>
  <c r="A299" i="37"/>
  <c r="A312" i="37"/>
  <c r="A342" i="37"/>
  <c r="A351" i="37"/>
  <c r="A322" i="37"/>
  <c r="A314" i="37"/>
  <c r="A306" i="37"/>
  <c r="A298" i="37"/>
  <c r="A349" i="37"/>
  <c r="A295" i="37"/>
  <c r="A311" i="37"/>
  <c r="A350" i="37"/>
  <c r="A321" i="37"/>
  <c r="A313" i="37"/>
  <c r="A305" i="37"/>
  <c r="A296" i="37"/>
  <c r="A320" i="37"/>
  <c r="A304" i="37"/>
  <c r="A319" i="37"/>
  <c r="A164" i="37"/>
  <c r="A156" i="37"/>
  <c r="A148" i="37"/>
  <c r="A140" i="37"/>
  <c r="A190" i="37"/>
  <c r="A126" i="37"/>
  <c r="A110" i="37"/>
  <c r="A102" i="37"/>
  <c r="A94" i="37"/>
  <c r="A87" i="37"/>
  <c r="A250" i="37"/>
  <c r="A216" i="37"/>
  <c r="A187" i="37"/>
  <c r="A163" i="37"/>
  <c r="A155" i="37"/>
  <c r="A147" i="37"/>
  <c r="A139" i="37"/>
  <c r="A189" i="37"/>
  <c r="A117" i="37"/>
  <c r="A109" i="37"/>
  <c r="A101" i="37"/>
  <c r="A93" i="37"/>
  <c r="A85" i="37"/>
  <c r="A231" i="37"/>
  <c r="A215" i="37"/>
  <c r="A186" i="37"/>
  <c r="A162" i="37"/>
  <c r="A154" i="37"/>
  <c r="A146" i="37"/>
  <c r="A138" i="37"/>
  <c r="A116" i="37"/>
  <c r="A108" i="37"/>
  <c r="A100" i="37"/>
  <c r="A92" i="37"/>
  <c r="A84" i="37"/>
  <c r="A214" i="37"/>
  <c r="A185" i="37"/>
  <c r="A161" i="37"/>
  <c r="A153" i="37"/>
  <c r="A145" i="37"/>
  <c r="A136" i="37"/>
  <c r="A131" i="37"/>
  <c r="A115" i="37"/>
  <c r="A107" i="37"/>
  <c r="A99" i="37"/>
  <c r="A91" i="37"/>
  <c r="A83" i="37"/>
  <c r="A225" i="37"/>
  <c r="A213" i="37"/>
  <c r="A184" i="37"/>
  <c r="A160" i="37"/>
  <c r="A152" i="37"/>
  <c r="A144" i="37"/>
  <c r="A135" i="37"/>
  <c r="A130" i="37"/>
  <c r="A114" i="37"/>
  <c r="A106" i="37"/>
  <c r="A98" i="37"/>
  <c r="A90" i="37"/>
  <c r="A82" i="37"/>
  <c r="A259" i="37"/>
  <c r="A218" i="37"/>
  <c r="A210" i="37"/>
  <c r="A182" i="37"/>
  <c r="A159" i="37"/>
  <c r="A151" i="37"/>
  <c r="A143" i="37"/>
  <c r="A134" i="37"/>
  <c r="A193" i="37"/>
  <c r="A129" i="37"/>
  <c r="A113" i="37"/>
  <c r="A105" i="37"/>
  <c r="A97" i="37"/>
  <c r="A183" i="37"/>
  <c r="A238" i="37"/>
  <c r="A204" i="37"/>
  <c r="A166" i="37"/>
  <c r="A158" i="37"/>
  <c r="A150" i="37"/>
  <c r="A142" i="37"/>
  <c r="A192" i="37"/>
  <c r="A128" i="37"/>
  <c r="A112" i="37"/>
  <c r="A104" i="37"/>
  <c r="A96" i="37"/>
  <c r="A89" i="37"/>
  <c r="A265" i="37"/>
  <c r="A196" i="37"/>
  <c r="A165" i="37"/>
  <c r="A157" i="37"/>
  <c r="A149" i="37"/>
  <c r="A141" i="37"/>
  <c r="A191" i="37"/>
  <c r="A127" i="37"/>
  <c r="A111" i="37"/>
  <c r="A103" i="37"/>
  <c r="A95" i="37"/>
  <c r="A88" i="37"/>
  <c r="A199" i="37"/>
  <c r="A201" i="37"/>
  <c r="A242" i="37"/>
  <c r="A202" i="37"/>
  <c r="A198" i="37"/>
  <c r="A221" i="37"/>
  <c r="A223" i="37"/>
  <c r="A217" i="37"/>
  <c r="A239" i="37"/>
  <c r="A220" i="37"/>
  <c r="A197" i="37"/>
  <c r="A203" i="37"/>
  <c r="A222" i="37"/>
  <c r="A263" i="37"/>
  <c r="A227" i="37"/>
  <c r="A260" i="37"/>
  <c r="A243" i="37"/>
  <c r="A229" i="37"/>
  <c r="A224" i="37"/>
  <c r="A228" i="37"/>
  <c r="A226" i="37"/>
  <c r="A241" i="37"/>
  <c r="A240" i="37"/>
  <c r="A261" i="37"/>
  <c r="A262" i="37"/>
  <c r="A264" i="37"/>
  <c r="A230" i="37"/>
  <c r="A48" i="37"/>
  <c r="A40" i="37"/>
  <c r="A32" i="37"/>
  <c r="A24" i="37"/>
  <c r="A15" i="37"/>
  <c r="A79" i="37"/>
  <c r="A26" i="37"/>
  <c r="A16" i="37"/>
  <c r="A47" i="37"/>
  <c r="A39" i="37"/>
  <c r="A31" i="37"/>
  <c r="A23" i="37"/>
  <c r="A14" i="37"/>
  <c r="A76" i="37"/>
  <c r="A75" i="37"/>
  <c r="A18" i="37"/>
  <c r="A77" i="37"/>
  <c r="A46" i="37"/>
  <c r="A38" i="37"/>
  <c r="A30" i="37"/>
  <c r="A22" i="37"/>
  <c r="A21" i="37"/>
  <c r="A41" i="37"/>
  <c r="A45" i="37"/>
  <c r="A37" i="37"/>
  <c r="A29" i="37"/>
  <c r="A25" i="37"/>
  <c r="A44" i="37"/>
  <c r="A36" i="37"/>
  <c r="A28" i="37"/>
  <c r="A20" i="37"/>
  <c r="A27" i="37"/>
  <c r="A78" i="37"/>
  <c r="A49" i="37"/>
  <c r="A43" i="37"/>
  <c r="A35" i="37"/>
  <c r="A19" i="37"/>
  <c r="A33" i="37"/>
  <c r="A50" i="37"/>
  <c r="A42" i="37"/>
  <c r="A34" i="37"/>
  <c r="A237" i="37"/>
  <c r="A207" i="37"/>
  <c r="A254" i="37"/>
  <c r="J343" i="37"/>
  <c r="J344" i="37"/>
  <c r="J347" i="37"/>
  <c r="I110" i="37"/>
  <c r="I109" i="37"/>
  <c r="A211" i="37"/>
  <c r="A212" i="37"/>
  <c r="I184" i="37"/>
  <c r="I185" i="37"/>
  <c r="I186" i="37"/>
  <c r="K25" i="37"/>
  <c r="L25" i="37" s="1"/>
  <c r="J24" i="37"/>
  <c r="K346" i="37"/>
  <c r="K27" i="37"/>
  <c r="K28" i="37"/>
  <c r="K26" i="37"/>
  <c r="K345" i="37"/>
  <c r="J1231" i="79"/>
  <c r="M1642" i="79"/>
  <c r="D19" i="52"/>
  <c r="D41" i="52" s="1"/>
  <c r="D63" i="52" s="1"/>
  <c r="D85" i="52" s="1"/>
  <c r="D107" i="52" s="1"/>
  <c r="D129" i="52" s="1"/>
  <c r="K12" i="13"/>
  <c r="M1710" i="79"/>
  <c r="H1752" i="79"/>
  <c r="M830" i="79"/>
  <c r="I2326" i="79"/>
  <c r="H2885" i="79"/>
  <c r="AD91" i="9"/>
  <c r="P91" i="9"/>
  <c r="F275" i="9"/>
  <c r="F779" i="59" a="1"/>
  <c r="F779" i="59" s="1"/>
  <c r="F758" i="59" a="1"/>
  <c r="F758" i="59" s="1"/>
  <c r="F737" i="59" a="1"/>
  <c r="F737" i="59" s="1"/>
  <c r="F716" i="59" a="1"/>
  <c r="F716" i="59" s="1"/>
  <c r="F695" i="59" a="1"/>
  <c r="F695" i="59" s="1"/>
  <c r="F674" i="59" a="1"/>
  <c r="F674" i="59" s="1"/>
  <c r="F781" i="59" a="1"/>
  <c r="F781" i="59" s="1"/>
  <c r="F760" i="59" a="1"/>
  <c r="F760" i="59" s="1"/>
  <c r="F718" i="59" a="1"/>
  <c r="F718" i="59" s="1"/>
  <c r="F697" i="59" a="1"/>
  <c r="F697" i="59" s="1"/>
  <c r="F676" i="59" a="1"/>
  <c r="F676" i="59" s="1"/>
  <c r="F739" i="59" a="1"/>
  <c r="F739" i="59" s="1"/>
  <c r="F783" i="59" a="1"/>
  <c r="F783" i="59" s="1"/>
  <c r="F762" i="59" a="1"/>
  <c r="F762" i="59" s="1"/>
  <c r="F720" i="59" a="1"/>
  <c r="F720" i="59" s="1"/>
  <c r="F699" i="59" a="1"/>
  <c r="F699" i="59" s="1"/>
  <c r="F741" i="59" a="1"/>
  <c r="F741" i="59" s="1"/>
  <c r="F678" i="59" a="1"/>
  <c r="F678" i="59" s="1"/>
  <c r="F743" i="59" a="1"/>
  <c r="F743" i="59" s="1"/>
  <c r="F178" i="9"/>
  <c r="F276" i="9"/>
  <c r="F789" i="59" a="1"/>
  <c r="F789" i="59" s="1"/>
  <c r="F277" i="9"/>
  <c r="F774" i="59" a="1"/>
  <c r="F774" i="59" s="1"/>
  <c r="F753" i="59" a="1"/>
  <c r="F753" i="59" s="1"/>
  <c r="F690" i="59" a="1"/>
  <c r="F690" i="59" s="1"/>
  <c r="F732" i="59" a="1"/>
  <c r="F732" i="59" s="1"/>
  <c r="F669" i="59" a="1"/>
  <c r="F669" i="59" s="1"/>
  <c r="F711" i="59" a="1"/>
  <c r="F711" i="59" s="1"/>
  <c r="F776" i="59" a="1"/>
  <c r="F776" i="59" s="1"/>
  <c r="F755" i="59" a="1"/>
  <c r="F755" i="59" s="1"/>
  <c r="F713" i="59" a="1"/>
  <c r="F713" i="59" s="1"/>
  <c r="F692" i="59" a="1"/>
  <c r="F692" i="59" s="1"/>
  <c r="F671" i="59" a="1"/>
  <c r="F671" i="59" s="1"/>
  <c r="F734" i="59" a="1"/>
  <c r="F734" i="59" s="1"/>
  <c r="F785" i="59" a="1"/>
  <c r="F785" i="59" s="1"/>
  <c r="F764" i="59" a="1"/>
  <c r="F764" i="59" s="1"/>
  <c r="F181" i="9"/>
  <c r="F278" i="9"/>
  <c r="F645" i="59" a="1"/>
  <c r="F645" i="59" s="1"/>
  <c r="F773" i="59" a="1"/>
  <c r="F773" i="59" s="1"/>
  <c r="F689" i="59" a="1"/>
  <c r="F689" i="59" s="1"/>
  <c r="F752" i="59" a="1"/>
  <c r="F752" i="59" s="1"/>
  <c r="F731" i="59" a="1"/>
  <c r="F731" i="59" s="1"/>
  <c r="F668" i="59" a="1"/>
  <c r="F668" i="59" s="1"/>
  <c r="F710" i="59" a="1"/>
  <c r="F710" i="59" s="1"/>
  <c r="F778" i="59" a="1"/>
  <c r="F778" i="59" s="1"/>
  <c r="F757" i="59" a="1"/>
  <c r="F757" i="59" s="1"/>
  <c r="F736" i="59" a="1"/>
  <c r="F736" i="59" s="1"/>
  <c r="F673" i="59" a="1"/>
  <c r="F673" i="59" s="1"/>
  <c r="F715" i="59" a="1"/>
  <c r="F715" i="59" s="1"/>
  <c r="F694" i="59" a="1"/>
  <c r="F694" i="59" s="1"/>
  <c r="F701" i="59" a="1"/>
  <c r="F701" i="59" s="1"/>
  <c r="F279" i="9"/>
  <c r="F780" i="59" a="1"/>
  <c r="F780" i="59" s="1"/>
  <c r="F759" i="59" a="1"/>
  <c r="F759" i="59" s="1"/>
  <c r="F717" i="59" a="1"/>
  <c r="F717" i="59" s="1"/>
  <c r="F696" i="59" a="1"/>
  <c r="F696" i="59" s="1"/>
  <c r="F738" i="59" a="1"/>
  <c r="F738" i="59" s="1"/>
  <c r="F675" i="59" a="1"/>
  <c r="F675" i="59" s="1"/>
  <c r="F782" i="59" a="1"/>
  <c r="F782" i="59" s="1"/>
  <c r="F761" i="59" a="1"/>
  <c r="F761" i="59" s="1"/>
  <c r="F740" i="59" a="1"/>
  <c r="F740" i="59" s="1"/>
  <c r="F719" i="59" a="1"/>
  <c r="F719" i="59" s="1"/>
  <c r="F698" i="59" a="1"/>
  <c r="F698" i="59" s="1"/>
  <c r="F677" i="59" a="1"/>
  <c r="F677" i="59" s="1"/>
  <c r="F180" i="9"/>
  <c r="F788" i="59" a="1"/>
  <c r="F788" i="59" s="1"/>
  <c r="F722" i="59" a="1"/>
  <c r="F722" i="59" s="1"/>
  <c r="F775" i="59" a="1"/>
  <c r="F775" i="59" s="1"/>
  <c r="F754" i="59" a="1"/>
  <c r="F754" i="59" s="1"/>
  <c r="F691" i="59" a="1"/>
  <c r="F691" i="59" s="1"/>
  <c r="F733" i="59" a="1"/>
  <c r="F733" i="59" s="1"/>
  <c r="F670" i="59" a="1"/>
  <c r="F670" i="59" s="1"/>
  <c r="F712" i="59" a="1"/>
  <c r="F712" i="59" s="1"/>
  <c r="F777" i="59" a="1"/>
  <c r="F777" i="59" s="1"/>
  <c r="F756" i="59" a="1"/>
  <c r="F756" i="59" s="1"/>
  <c r="F714" i="59" a="1"/>
  <c r="F714" i="59" s="1"/>
  <c r="F693" i="59" a="1"/>
  <c r="F693" i="59" s="1"/>
  <c r="F672" i="59" a="1"/>
  <c r="F672" i="59" s="1"/>
  <c r="F735" i="59" a="1"/>
  <c r="F735" i="59" s="1"/>
  <c r="F784" i="59" a="1"/>
  <c r="F784" i="59" s="1"/>
  <c r="F763" i="59" a="1"/>
  <c r="F763" i="59" s="1"/>
  <c r="F721" i="59" a="1"/>
  <c r="F721" i="59" s="1"/>
  <c r="F700" i="59" a="1"/>
  <c r="F700" i="59" s="1"/>
  <c r="F679" i="59" a="1"/>
  <c r="F679" i="59" s="1"/>
  <c r="F742" i="59" a="1"/>
  <c r="F742" i="59" s="1"/>
  <c r="G22" i="9"/>
  <c r="H22" i="9" s="1"/>
  <c r="I22" i="9" s="1"/>
  <c r="J22" i="9" s="1"/>
  <c r="K22" i="9" s="1"/>
  <c r="L22" i="9" s="1"/>
  <c r="M22" i="9" s="1"/>
  <c r="N22" i="9" s="1"/>
  <c r="O22" i="9" s="1"/>
  <c r="P22" i="9" s="1"/>
  <c r="Q22" i="9" s="1"/>
  <c r="R22" i="9" s="1"/>
  <c r="F786" i="59" a="1"/>
  <c r="F786" i="59" s="1"/>
  <c r="H1711" i="79"/>
  <c r="H1702" i="79" s="1"/>
  <c r="M1970" i="79"/>
  <c r="M1950" i="79"/>
  <c r="M2010" i="79"/>
  <c r="L2269" i="79"/>
  <c r="D40" i="56"/>
  <c r="B40" i="56" s="1"/>
  <c r="D58" i="56"/>
  <c r="D59" i="56" s="1"/>
  <c r="D60" i="56" s="1"/>
  <c r="B60" i="56" s="1"/>
  <c r="H414" i="54" a="1"/>
  <c r="H414" i="54" s="1"/>
  <c r="A415" i="54"/>
  <c r="T45" i="59"/>
  <c r="U45" i="59" s="1"/>
  <c r="V45" i="59" s="1"/>
  <c r="W45" i="59" s="1"/>
  <c r="X45" i="59" s="1"/>
  <c r="Y45" i="59" s="1"/>
  <c r="Z45" i="59" s="1"/>
  <c r="AA45" i="59" s="1"/>
  <c r="AB45" i="59" s="1"/>
  <c r="AC45" i="59" s="1"/>
  <c r="AD45" i="59" s="1"/>
  <c r="U40" i="59"/>
  <c r="V40" i="59" s="1"/>
  <c r="W40" i="59" s="1"/>
  <c r="X40" i="59" s="1"/>
  <c r="Y40" i="59" s="1"/>
  <c r="Z40" i="59" s="1"/>
  <c r="AA40" i="59" s="1"/>
  <c r="AB40" i="59" s="1"/>
  <c r="AC40" i="59" s="1"/>
  <c r="AD40" i="59" s="1"/>
  <c r="C767" i="59"/>
  <c r="F766" i="59" a="1"/>
  <c r="F766" i="59" s="1"/>
  <c r="Q767" i="59"/>
  <c r="N767" i="59" s="1"/>
  <c r="C745" i="59"/>
  <c r="F744" i="59" a="1"/>
  <c r="F744" i="59" s="1"/>
  <c r="C724" i="59"/>
  <c r="F723" i="59" a="1"/>
  <c r="F723" i="59" s="1"/>
  <c r="C703" i="59"/>
  <c r="F702" i="59" a="1"/>
  <c r="F702" i="59" s="1"/>
  <c r="C682" i="59"/>
  <c r="F681" i="59" a="1"/>
  <c r="F681" i="59" s="1"/>
  <c r="CH97" i="9"/>
  <c r="N488" i="59"/>
  <c r="H10" i="10"/>
  <c r="N199" i="59"/>
  <c r="D199" i="59" s="1"/>
  <c r="D68" i="62"/>
  <c r="CH96" i="9"/>
  <c r="D277" i="59"/>
  <c r="N563" i="59"/>
  <c r="F68" i="62"/>
  <c r="F99" i="9"/>
  <c r="D167" i="59"/>
  <c r="H16" i="10"/>
  <c r="D333" i="59"/>
  <c r="D267" i="59"/>
  <c r="N538" i="59"/>
  <c r="N613" i="59"/>
  <c r="AT98" i="9"/>
  <c r="D230" i="59"/>
  <c r="N504" i="59"/>
  <c r="AT99" i="9"/>
  <c r="D45" i="59"/>
  <c r="D220" i="59"/>
  <c r="D255" i="59"/>
  <c r="F475" i="59" a="1"/>
  <c r="F475" i="59" s="1"/>
  <c r="F517" i="59" s="1"/>
  <c r="D105" i="59"/>
  <c r="D125" i="59"/>
  <c r="D155" i="59"/>
  <c r="AT96" i="9"/>
  <c r="D374" i="59"/>
  <c r="N548" i="59"/>
  <c r="F97" i="9"/>
  <c r="CH99" i="9"/>
  <c r="D35" i="59"/>
  <c r="D58" i="59"/>
  <c r="D66" i="59"/>
  <c r="D101" i="59"/>
  <c r="D111" i="59"/>
  <c r="D121" i="59"/>
  <c r="D143" i="59"/>
  <c r="D181" i="59"/>
  <c r="D212" i="59"/>
  <c r="D235" i="59"/>
  <c r="D245" i="59"/>
  <c r="D252" i="59"/>
  <c r="D263" i="59"/>
  <c r="D327" i="59"/>
  <c r="D370" i="59"/>
  <c r="N490" i="59"/>
  <c r="N506" i="59"/>
  <c r="N549" i="59"/>
  <c r="N564" i="59"/>
  <c r="N601" i="59"/>
  <c r="N615" i="59"/>
  <c r="Z97" i="9"/>
  <c r="D83" i="59"/>
  <c r="D90" i="59"/>
  <c r="D106" i="59"/>
  <c r="D126" i="59"/>
  <c r="D131" i="59"/>
  <c r="D182" i="59"/>
  <c r="D213" i="59"/>
  <c r="D231" i="59"/>
  <c r="D236" i="59"/>
  <c r="D268" i="59"/>
  <c r="D282" i="59"/>
  <c r="D318" i="59"/>
  <c r="D366" i="59"/>
  <c r="D375" i="59"/>
  <c r="N491" i="59"/>
  <c r="N507" i="59"/>
  <c r="N539" i="59"/>
  <c r="N552" i="59"/>
  <c r="N567" i="59"/>
  <c r="N616" i="59"/>
  <c r="D70" i="59"/>
  <c r="D102" i="59"/>
  <c r="D122" i="59"/>
  <c r="D151" i="59"/>
  <c r="D185" i="59"/>
  <c r="N194" i="59"/>
  <c r="D194" i="59" s="1"/>
  <c r="D223" i="59"/>
  <c r="D247" i="59"/>
  <c r="D264" i="59"/>
  <c r="D273" i="59"/>
  <c r="D278" i="59"/>
  <c r="D371" i="59"/>
  <c r="N478" i="59"/>
  <c r="N494" i="59"/>
  <c r="N510" i="59"/>
  <c r="N554" i="59"/>
  <c r="N569" i="59"/>
  <c r="N603" i="59"/>
  <c r="F98" i="9"/>
  <c r="D22" i="59"/>
  <c r="D39" i="59"/>
  <c r="D98" i="59"/>
  <c r="D127" i="59"/>
  <c r="D139" i="59"/>
  <c r="D171" i="59"/>
  <c r="D187" i="59"/>
  <c r="D215" i="59"/>
  <c r="D260" i="59"/>
  <c r="D269" i="59"/>
  <c r="D283" i="59"/>
  <c r="D323" i="59"/>
  <c r="D367" i="59"/>
  <c r="D376" i="59"/>
  <c r="N480" i="59"/>
  <c r="N512" i="59"/>
  <c r="N540" i="59"/>
  <c r="N556" i="59"/>
  <c r="N571" i="59"/>
  <c r="N605" i="59"/>
  <c r="H23" i="10"/>
  <c r="D24" i="59"/>
  <c r="D40" i="59"/>
  <c r="D64" i="59"/>
  <c r="D71" i="59"/>
  <c r="D109" i="59"/>
  <c r="D123" i="59"/>
  <c r="D173" i="59"/>
  <c r="N189" i="59"/>
  <c r="D189" i="59" s="1"/>
  <c r="N203" i="59"/>
  <c r="D203" i="59" s="1"/>
  <c r="D225" i="59"/>
  <c r="D233" i="59"/>
  <c r="D257" i="59"/>
  <c r="D265" i="59"/>
  <c r="D279" i="59"/>
  <c r="D372" i="59"/>
  <c r="N482" i="59"/>
  <c r="N498" i="59"/>
  <c r="N514" i="59"/>
  <c r="N541" i="59"/>
  <c r="N557" i="59"/>
  <c r="N572" i="59"/>
  <c r="N607" i="59"/>
  <c r="AY20" i="10"/>
  <c r="AZ19" i="10"/>
  <c r="BN98" i="9"/>
  <c r="D26" i="59"/>
  <c r="D43" i="59"/>
  <c r="D104" i="59"/>
  <c r="D115" i="59"/>
  <c r="D147" i="59"/>
  <c r="D163" i="59"/>
  <c r="D174" i="59"/>
  <c r="D217" i="59"/>
  <c r="D242" i="59"/>
  <c r="D254" i="59"/>
  <c r="D261" i="59"/>
  <c r="D331" i="59"/>
  <c r="D368" i="59"/>
  <c r="N483" i="59"/>
  <c r="N499" i="59"/>
  <c r="N515" i="59"/>
  <c r="N544" i="59"/>
  <c r="N575" i="59"/>
  <c r="N608" i="59"/>
  <c r="D28" i="59"/>
  <c r="D56" i="59"/>
  <c r="D72" i="59"/>
  <c r="D87" i="59"/>
  <c r="D100" i="59"/>
  <c r="D110" i="59"/>
  <c r="D135" i="59"/>
  <c r="D165" i="59"/>
  <c r="D177" i="59"/>
  <c r="D228" i="59"/>
  <c r="D234" i="59"/>
  <c r="D251" i="59"/>
  <c r="D258" i="59"/>
  <c r="D271" i="59"/>
  <c r="D280" i="59"/>
  <c r="N486" i="59"/>
  <c r="N502" i="59"/>
  <c r="N546" i="59"/>
  <c r="N561" i="59"/>
  <c r="N577" i="59"/>
  <c r="N614" i="59"/>
  <c r="N606" i="59"/>
  <c r="N578" i="59"/>
  <c r="N570" i="59"/>
  <c r="N562" i="59"/>
  <c r="N555" i="59"/>
  <c r="N547" i="59"/>
  <c r="N513" i="59"/>
  <c r="N505" i="59"/>
  <c r="N497" i="59"/>
  <c r="N489" i="59"/>
  <c r="N481" i="59"/>
  <c r="N475" i="59"/>
  <c r="D332" i="59"/>
  <c r="D330" i="59"/>
  <c r="D326" i="59"/>
  <c r="D322" i="59"/>
  <c r="D321" i="59"/>
  <c r="D276" i="59"/>
  <c r="D272" i="59"/>
  <c r="D246" i="59"/>
  <c r="D241" i="59"/>
  <c r="D224" i="59"/>
  <c r="D218" i="59"/>
  <c r="D211" i="59"/>
  <c r="N202" i="59"/>
  <c r="D202" i="59" s="1"/>
  <c r="N197" i="59"/>
  <c r="D197" i="59" s="1"/>
  <c r="N193" i="59"/>
  <c r="D193" i="59" s="1"/>
  <c r="D188" i="59"/>
  <c r="D180" i="59"/>
  <c r="D172" i="59"/>
  <c r="D166" i="59"/>
  <c r="D154" i="59"/>
  <c r="D150" i="59"/>
  <c r="D146" i="59"/>
  <c r="D142" i="59"/>
  <c r="D138" i="59"/>
  <c r="D134" i="59"/>
  <c r="D130" i="59"/>
  <c r="D114" i="59"/>
  <c r="D86" i="59"/>
  <c r="D82" i="59"/>
  <c r="D77" i="59"/>
  <c r="D52" i="59"/>
  <c r="D50" i="59"/>
  <c r="D48" i="59"/>
  <c r="D25" i="59"/>
  <c r="F204" i="9"/>
  <c r="BN99" i="9"/>
  <c r="Z98" i="9"/>
  <c r="G68" i="62"/>
  <c r="N612" i="59"/>
  <c r="N604" i="59"/>
  <c r="N576" i="59"/>
  <c r="N568" i="59"/>
  <c r="N560" i="59"/>
  <c r="N553" i="59"/>
  <c r="N545" i="59"/>
  <c r="N511" i="59"/>
  <c r="N503" i="59"/>
  <c r="N496" i="59"/>
  <c r="N487" i="59"/>
  <c r="N479" i="59"/>
  <c r="D329" i="59"/>
  <c r="D325" i="59"/>
  <c r="D320" i="59"/>
  <c r="D316" i="59"/>
  <c r="D275" i="59"/>
  <c r="D244" i="59"/>
  <c r="D240" i="59"/>
  <c r="D229" i="59"/>
  <c r="D222" i="59"/>
  <c r="D210" i="59"/>
  <c r="N205" i="59"/>
  <c r="D205" i="59" s="1"/>
  <c r="N201" i="59"/>
  <c r="D201" i="59" s="1"/>
  <c r="N196" i="59"/>
  <c r="D196" i="59" s="1"/>
  <c r="N192" i="59"/>
  <c r="D192" i="59" s="1"/>
  <c r="D186" i="59"/>
  <c r="D164" i="59"/>
  <c r="D157" i="59"/>
  <c r="D153" i="59"/>
  <c r="D149" i="59"/>
  <c r="D145" i="59"/>
  <c r="D141" i="59"/>
  <c r="D137" i="59"/>
  <c r="D133" i="59"/>
  <c r="D129" i="59"/>
  <c r="D113" i="59"/>
  <c r="D89" i="59"/>
  <c r="D85" i="59"/>
  <c r="D75" i="59"/>
  <c r="D65" i="59"/>
  <c r="D23" i="59"/>
  <c r="Z99" i="9"/>
  <c r="BN96" i="9"/>
  <c r="E68" i="62"/>
  <c r="N620" i="59"/>
  <c r="N610" i="59"/>
  <c r="N602" i="59"/>
  <c r="N574" i="59"/>
  <c r="N566" i="59"/>
  <c r="N559" i="59"/>
  <c r="N551" i="59"/>
  <c r="N543" i="59"/>
  <c r="N509" i="59"/>
  <c r="N501" i="59"/>
  <c r="N493" i="59"/>
  <c r="N485" i="59"/>
  <c r="N477" i="59"/>
  <c r="D334" i="59"/>
  <c r="D328" i="59"/>
  <c r="D324" i="59"/>
  <c r="D319" i="59"/>
  <c r="D274" i="59"/>
  <c r="D248" i="59"/>
  <c r="D243" i="59"/>
  <c r="D239" i="59"/>
  <c r="D221" i="59"/>
  <c r="D209" i="59"/>
  <c r="N204" i="59"/>
  <c r="D204" i="59" s="1"/>
  <c r="N200" i="59"/>
  <c r="D200" i="59" s="1"/>
  <c r="N195" i="59"/>
  <c r="D195" i="59" s="1"/>
  <c r="N191" i="59"/>
  <c r="D191" i="59" s="1"/>
  <c r="D184" i="59"/>
  <c r="D176" i="59"/>
  <c r="D169" i="59"/>
  <c r="D162" i="59"/>
  <c r="D156" i="59"/>
  <c r="D152" i="59"/>
  <c r="D148" i="59"/>
  <c r="D144" i="59"/>
  <c r="D140" i="59"/>
  <c r="D136" i="59"/>
  <c r="D132" i="59"/>
  <c r="D128" i="59"/>
  <c r="D112" i="59"/>
  <c r="D88" i="59"/>
  <c r="D84" i="59"/>
  <c r="D78" i="59"/>
  <c r="D74" i="59"/>
  <c r="D63" i="59"/>
  <c r="D51" i="59"/>
  <c r="D49" i="59"/>
  <c r="D47" i="59"/>
  <c r="D42" i="59"/>
  <c r="D33" i="59"/>
  <c r="D21" i="59"/>
  <c r="BN97" i="9"/>
  <c r="Z96" i="9"/>
  <c r="C68" i="62"/>
  <c r="F5" i="9" s="1" a="1"/>
  <c r="F5" i="9" s="1"/>
  <c r="N619" i="59"/>
  <c r="N609" i="59"/>
  <c r="N573" i="59"/>
  <c r="N565" i="59"/>
  <c r="N550" i="59"/>
  <c r="N542" i="59"/>
  <c r="N508" i="59"/>
  <c r="N500" i="59"/>
  <c r="N492" i="59"/>
  <c r="N484" i="59"/>
  <c r="N476" i="59"/>
  <c r="D373" i="59"/>
  <c r="D369" i="59"/>
  <c r="D281" i="59"/>
  <c r="D270" i="59"/>
  <c r="D266" i="59"/>
  <c r="D262" i="59"/>
  <c r="D259" i="59"/>
  <c r="D256" i="59"/>
  <c r="D253" i="59"/>
  <c r="D237" i="59"/>
  <c r="D232" i="59"/>
  <c r="D226" i="59"/>
  <c r="D214" i="59"/>
  <c r="D183" i="59"/>
  <c r="D175" i="59"/>
  <c r="D168" i="59"/>
  <c r="D124" i="59"/>
  <c r="D116" i="59"/>
  <c r="D108" i="59"/>
  <c r="D103" i="59"/>
  <c r="D99" i="59"/>
  <c r="D73" i="59"/>
  <c r="D69" i="59"/>
  <c r="D60" i="59"/>
  <c r="D41" i="59"/>
  <c r="CH98" i="9"/>
  <c r="AT97" i="9"/>
  <c r="F96" i="9"/>
  <c r="AZ16" i="10"/>
  <c r="AY16" i="10"/>
  <c r="D57" i="59"/>
  <c r="D43" i="52"/>
  <c r="AG244" i="52"/>
  <c r="AG245" i="52"/>
  <c r="AG246" i="52"/>
  <c r="AG247" i="52"/>
  <c r="AG248" i="52"/>
  <c r="AH244" i="52"/>
  <c r="AH245" i="52"/>
  <c r="AH246" i="52"/>
  <c r="AH247" i="52"/>
  <c r="AH248" i="52"/>
  <c r="AI244" i="52"/>
  <c r="AI245" i="52"/>
  <c r="AI246" i="52"/>
  <c r="AI247" i="52"/>
  <c r="AI248" i="52"/>
  <c r="AJ244" i="52"/>
  <c r="AJ245" i="52"/>
  <c r="AJ246" i="52"/>
  <c r="AJ247" i="52"/>
  <c r="AJ248" i="52"/>
  <c r="G1754" i="79"/>
  <c r="AK244" i="52"/>
  <c r="AK245" i="52"/>
  <c r="AK246" i="52"/>
  <c r="AK247" i="52"/>
  <c r="AK248" i="52"/>
  <c r="AY27" i="10"/>
  <c r="H4" i="10"/>
  <c r="C422" i="54" s="1" a="1"/>
  <c r="C422" i="54" s="1"/>
  <c r="H18" i="10"/>
  <c r="H15" i="10"/>
  <c r="H14" i="10"/>
  <c r="H13" i="10"/>
  <c r="D15" i="52"/>
  <c r="K546" i="79"/>
  <c r="B1799" i="79"/>
  <c r="C1811" i="79"/>
  <c r="B1811" i="79" s="1"/>
  <c r="C5" i="54" a="1"/>
  <c r="C5" i="54" s="1"/>
  <c r="C47" i="54" s="1"/>
  <c r="H17" i="10"/>
  <c r="H20" i="10"/>
  <c r="H11" i="10"/>
  <c r="H12" i="10"/>
  <c r="H22" i="10"/>
  <c r="N645" i="59"/>
  <c r="N618" i="59"/>
  <c r="F329" i="54"/>
  <c r="B66" i="56"/>
  <c r="B62" i="56"/>
  <c r="B18" i="56"/>
  <c r="B11" i="56"/>
  <c r="A346" i="37"/>
  <c r="A71" i="37"/>
  <c r="F505" i="54"/>
  <c r="F497" i="54"/>
  <c r="F483" i="54"/>
  <c r="F475" i="54"/>
  <c r="F323" i="54"/>
  <c r="F315" i="54"/>
  <c r="F307" i="54"/>
  <c r="F301" i="54"/>
  <c r="F293" i="54"/>
  <c r="F285" i="54"/>
  <c r="F258" i="54"/>
  <c r="F250" i="54"/>
  <c r="F236" i="54"/>
  <c r="F228" i="54"/>
  <c r="B26" i="56"/>
  <c r="B24" i="56"/>
  <c r="B23" i="56"/>
  <c r="B22" i="56"/>
  <c r="B21" i="56"/>
  <c r="B20" i="56"/>
  <c r="A358" i="37"/>
  <c r="A345" i="37"/>
  <c r="A6" i="37"/>
  <c r="F503" i="54"/>
  <c r="F494" i="54"/>
  <c r="F479" i="54"/>
  <c r="F470" i="54"/>
  <c r="F317" i="54"/>
  <c r="F308" i="54"/>
  <c r="F300" i="54"/>
  <c r="F291" i="54"/>
  <c r="F284" i="54"/>
  <c r="F254" i="54"/>
  <c r="F245" i="54"/>
  <c r="F239" i="54"/>
  <c r="F230" i="54"/>
  <c r="F214" i="54"/>
  <c r="F206" i="54"/>
  <c r="F193" i="54"/>
  <c r="F185" i="54"/>
  <c r="F151" i="54"/>
  <c r="F143" i="54"/>
  <c r="F130" i="54"/>
  <c r="F122" i="54"/>
  <c r="F106" i="54"/>
  <c r="F98" i="54"/>
  <c r="F90" i="54"/>
  <c r="F85" i="54"/>
  <c r="F77" i="54"/>
  <c r="F69" i="54"/>
  <c r="F42" i="54"/>
  <c r="F34" i="54"/>
  <c r="F20" i="54"/>
  <c r="F12" i="54"/>
  <c r="B63" i="56"/>
  <c r="B14" i="56"/>
  <c r="B10" i="56"/>
  <c r="A69" i="37"/>
  <c r="A9" i="37"/>
  <c r="F502" i="54"/>
  <c r="F493" i="54"/>
  <c r="F487" i="54"/>
  <c r="F478" i="54"/>
  <c r="F469" i="54"/>
  <c r="F316" i="54"/>
  <c r="F306" i="54"/>
  <c r="F299" i="54"/>
  <c r="F290" i="54"/>
  <c r="F253" i="54"/>
  <c r="F244" i="54"/>
  <c r="F238" i="54"/>
  <c r="F229" i="54"/>
  <c r="F213" i="54"/>
  <c r="F205" i="54"/>
  <c r="F192" i="54"/>
  <c r="F184" i="54"/>
  <c r="F150" i="54"/>
  <c r="F142" i="54"/>
  <c r="F129" i="54"/>
  <c r="F121" i="54"/>
  <c r="F105" i="54"/>
  <c r="F97" i="54"/>
  <c r="F84" i="54"/>
  <c r="F76" i="54"/>
  <c r="F41" i="54"/>
  <c r="F33" i="54"/>
  <c r="F19" i="54"/>
  <c r="F11" i="54"/>
  <c r="B51" i="56"/>
  <c r="B39" i="56"/>
  <c r="B17" i="56"/>
  <c r="A356" i="37"/>
  <c r="A343" i="37"/>
  <c r="F501" i="54"/>
  <c r="F492" i="54"/>
  <c r="F486" i="54"/>
  <c r="F477" i="54"/>
  <c r="F324" i="54"/>
  <c r="F314" i="54"/>
  <c r="F298" i="54"/>
  <c r="F289" i="54"/>
  <c r="F261" i="54"/>
  <c r="F252" i="54"/>
  <c r="F243" i="54"/>
  <c r="F237" i="54"/>
  <c r="F227" i="54"/>
  <c r="F221" i="54"/>
  <c r="F212" i="54"/>
  <c r="F204" i="54"/>
  <c r="F191" i="54"/>
  <c r="F183" i="54"/>
  <c r="F149" i="54"/>
  <c r="F141" i="54"/>
  <c r="F128" i="54"/>
  <c r="F120" i="54"/>
  <c r="F104" i="54"/>
  <c r="F96" i="54"/>
  <c r="F83" i="54"/>
  <c r="F75" i="54"/>
  <c r="F40" i="54"/>
  <c r="F32" i="54"/>
  <c r="F18" i="54"/>
  <c r="F10" i="54"/>
  <c r="F5" i="54"/>
  <c r="B57" i="56"/>
  <c r="B45" i="56"/>
  <c r="B32" i="56"/>
  <c r="B27" i="56"/>
  <c r="A359" i="37"/>
  <c r="A72" i="37"/>
  <c r="A7" i="37"/>
  <c r="F500" i="54"/>
  <c r="F491" i="54"/>
  <c r="F485" i="54"/>
  <c r="F476" i="54"/>
  <c r="F322" i="54"/>
  <c r="F313" i="54"/>
  <c r="F297" i="54"/>
  <c r="F288" i="54"/>
  <c r="F260" i="54"/>
  <c r="F251" i="54"/>
  <c r="F235" i="54"/>
  <c r="F226" i="54"/>
  <c r="F211" i="54"/>
  <c r="F203" i="54"/>
  <c r="F198" i="54"/>
  <c r="F190" i="54"/>
  <c r="F182" i="54"/>
  <c r="F177" i="54"/>
  <c r="F148" i="54"/>
  <c r="F140" i="54"/>
  <c r="F135" i="54"/>
  <c r="F127" i="54"/>
  <c r="F119" i="54"/>
  <c r="F114" i="54"/>
  <c r="F103" i="54"/>
  <c r="F95" i="54"/>
  <c r="F82" i="54"/>
  <c r="F74" i="54"/>
  <c r="F39" i="54"/>
  <c r="F31" i="54"/>
  <c r="F26" i="54"/>
  <c r="F17" i="54"/>
  <c r="F9" i="54"/>
  <c r="B28" i="56"/>
  <c r="B15" i="56"/>
  <c r="A70" i="37"/>
  <c r="A10" i="37"/>
  <c r="F508" i="54"/>
  <c r="F499" i="54"/>
  <c r="F490" i="54"/>
  <c r="F484" i="54"/>
  <c r="F474" i="54"/>
  <c r="F468" i="54"/>
  <c r="F321" i="54"/>
  <c r="F312" i="54"/>
  <c r="F305" i="54"/>
  <c r="F296" i="54"/>
  <c r="F287" i="54"/>
  <c r="F259" i="54"/>
  <c r="F249" i="54"/>
  <c r="F234" i="54"/>
  <c r="F225" i="54"/>
  <c r="F210" i="54"/>
  <c r="F202" i="54"/>
  <c r="F189" i="54"/>
  <c r="F181" i="54"/>
  <c r="F147" i="54"/>
  <c r="F139" i="54"/>
  <c r="F126" i="54"/>
  <c r="F118" i="54"/>
  <c r="F102" i="54"/>
  <c r="F94" i="54"/>
  <c r="F89" i="54"/>
  <c r="F81" i="54"/>
  <c r="F73" i="54"/>
  <c r="F68" i="54"/>
  <c r="F38" i="54"/>
  <c r="F30" i="54"/>
  <c r="F24" i="54"/>
  <c r="F16" i="54"/>
  <c r="F8" i="54"/>
  <c r="B65" i="56"/>
  <c r="B52" i="56"/>
  <c r="A357" i="37"/>
  <c r="A344" i="37"/>
  <c r="F507" i="54"/>
  <c r="F498" i="54"/>
  <c r="F482" i="54"/>
  <c r="F473" i="54"/>
  <c r="F320" i="54"/>
  <c r="F311" i="54"/>
  <c r="F295" i="54"/>
  <c r="F286" i="54"/>
  <c r="F257" i="54"/>
  <c r="F248" i="54"/>
  <c r="F242" i="54"/>
  <c r="F233" i="54"/>
  <c r="F224" i="54"/>
  <c r="F217" i="54"/>
  <c r="F209" i="54"/>
  <c r="F201" i="54"/>
  <c r="F196" i="54"/>
  <c r="F188" i="54"/>
  <c r="F180" i="54"/>
  <c r="F154" i="54"/>
  <c r="F146" i="54"/>
  <c r="F138" i="54"/>
  <c r="F133" i="54"/>
  <c r="F125" i="54"/>
  <c r="F117" i="54"/>
  <c r="F101" i="54"/>
  <c r="F93" i="54"/>
  <c r="F80" i="54"/>
  <c r="F72" i="54"/>
  <c r="F45" i="54"/>
  <c r="F37" i="54"/>
  <c r="F29" i="54"/>
  <c r="F23" i="54"/>
  <c r="F15" i="54"/>
  <c r="F7" i="54"/>
  <c r="B53" i="56"/>
  <c r="A360" i="37"/>
  <c r="A73" i="37"/>
  <c r="A8" i="37"/>
  <c r="F506" i="54"/>
  <c r="F496" i="54"/>
  <c r="F481" i="54"/>
  <c r="F472" i="54"/>
  <c r="F319" i="54"/>
  <c r="F310" i="54"/>
  <c r="F303" i="54"/>
  <c r="F294" i="54"/>
  <c r="F256" i="54"/>
  <c r="F247" i="54"/>
  <c r="F232" i="54"/>
  <c r="F223" i="54"/>
  <c r="F216" i="54"/>
  <c r="F208" i="54"/>
  <c r="F200" i="54"/>
  <c r="F195" i="54"/>
  <c r="F187" i="54"/>
  <c r="F179" i="54"/>
  <c r="F153" i="54"/>
  <c r="F145" i="54"/>
  <c r="F137" i="54"/>
  <c r="F132" i="54"/>
  <c r="F124" i="54"/>
  <c r="F116" i="54"/>
  <c r="F108" i="54"/>
  <c r="F100" i="54"/>
  <c r="F92" i="54"/>
  <c r="F87" i="54"/>
  <c r="F79" i="54"/>
  <c r="F71" i="54"/>
  <c r="F44" i="54"/>
  <c r="F36" i="54"/>
  <c r="F28" i="54"/>
  <c r="F22" i="54"/>
  <c r="F14" i="54"/>
  <c r="F6" i="54"/>
  <c r="B64" i="56"/>
  <c r="B56" i="56"/>
  <c r="B16" i="56"/>
  <c r="B8" i="56"/>
  <c r="A347" i="37"/>
  <c r="F504" i="54"/>
  <c r="F495" i="54"/>
  <c r="F489" i="54"/>
  <c r="F480" i="54"/>
  <c r="F471" i="54"/>
  <c r="F318" i="54"/>
  <c r="F309" i="54"/>
  <c r="F302" i="54"/>
  <c r="F292" i="54"/>
  <c r="F255" i="54"/>
  <c r="F246" i="54"/>
  <c r="F240" i="54"/>
  <c r="F231" i="54"/>
  <c r="F222" i="54"/>
  <c r="F215" i="54"/>
  <c r="F207" i="54"/>
  <c r="F199" i="54"/>
  <c r="F194" i="54"/>
  <c r="F186" i="54"/>
  <c r="F178" i="54"/>
  <c r="F152" i="54"/>
  <c r="F144" i="54"/>
  <c r="F136" i="54"/>
  <c r="F131" i="54"/>
  <c r="F123" i="54"/>
  <c r="F115" i="54"/>
  <c r="F107" i="54"/>
  <c r="F99" i="54"/>
  <c r="F91" i="54"/>
  <c r="F86" i="54"/>
  <c r="F78" i="54"/>
  <c r="F70" i="54"/>
  <c r="F43" i="54"/>
  <c r="F35" i="54"/>
  <c r="F27" i="54"/>
  <c r="F21" i="54"/>
  <c r="F13" i="54"/>
  <c r="H5" i="10"/>
  <c r="C306" i="54" s="1" a="1"/>
  <c r="C306" i="54" s="1"/>
  <c r="D306" i="54" s="1"/>
  <c r="H6" i="10"/>
  <c r="C382" i="54" s="1" a="1"/>
  <c r="C382" i="54" s="1"/>
  <c r="H7" i="10"/>
  <c r="C362" i="54" s="1" a="1"/>
  <c r="C362" i="54" s="1"/>
  <c r="H8" i="10"/>
  <c r="H21" i="10"/>
  <c r="N617" i="59"/>
  <c r="AB5" i="10"/>
  <c r="AB6" i="10" s="1"/>
  <c r="AB7" i="10" s="1"/>
  <c r="H9" i="10"/>
  <c r="H19" i="10"/>
  <c r="F330" i="54"/>
  <c r="F646" i="59" a="1"/>
  <c r="F646" i="59" s="1"/>
  <c r="M3197" i="79"/>
  <c r="M2721" i="79"/>
  <c r="I2767" i="79"/>
  <c r="M2025" i="79"/>
  <c r="M1929" i="79"/>
  <c r="G237" i="79"/>
  <c r="G326" i="79"/>
  <c r="G416" i="79"/>
  <c r="I577" i="79"/>
  <c r="H225" i="79"/>
  <c r="G259" i="79"/>
  <c r="G349" i="79"/>
  <c r="G438" i="79"/>
  <c r="H493" i="79"/>
  <c r="H1036" i="79"/>
  <c r="G282" i="79"/>
  <c r="G371" i="79"/>
  <c r="G460" i="79"/>
  <c r="G215" i="79"/>
  <c r="G304" i="79"/>
  <c r="G393" i="79"/>
  <c r="H471" i="79"/>
  <c r="G293" i="79"/>
  <c r="M448" i="79"/>
  <c r="K578" i="79"/>
  <c r="G226" i="79"/>
  <c r="G315" i="79"/>
  <c r="L579" i="79"/>
  <c r="H1214" i="79"/>
  <c r="H990" i="79"/>
  <c r="H248" i="79"/>
  <c r="H338" i="79"/>
  <c r="G554" i="79"/>
  <c r="H555" i="79"/>
  <c r="G449" i="79"/>
  <c r="AL246" i="52"/>
  <c r="AL247" i="52"/>
  <c r="K553" i="79"/>
  <c r="M554" i="79"/>
  <c r="G577" i="79"/>
  <c r="I578" i="79"/>
  <c r="J579" i="79"/>
  <c r="G613" i="79"/>
  <c r="H745" i="79"/>
  <c r="H837" i="79"/>
  <c r="G1288" i="79"/>
  <c r="H1340" i="79"/>
  <c r="H1378" i="79"/>
  <c r="G505" i="79"/>
  <c r="L553" i="79"/>
  <c r="G555" i="79"/>
  <c r="G576" i="79"/>
  <c r="H577" i="79"/>
  <c r="J578" i="79"/>
  <c r="K579" i="79"/>
  <c r="H746" i="79"/>
  <c r="H1037" i="79"/>
  <c r="H1077" i="79"/>
  <c r="G1188" i="79"/>
  <c r="G1739" i="79"/>
  <c r="G527" i="79"/>
  <c r="H554" i="79"/>
  <c r="I555" i="79"/>
  <c r="J577" i="79"/>
  <c r="L578" i="79"/>
  <c r="M579" i="79"/>
  <c r="G683" i="79"/>
  <c r="H841" i="79"/>
  <c r="I983" i="79"/>
  <c r="G1040" i="79"/>
  <c r="G1051" i="79"/>
  <c r="H1151" i="79"/>
  <c r="G553" i="79"/>
  <c r="I554" i="79"/>
  <c r="J555" i="79"/>
  <c r="K577" i="79"/>
  <c r="M578" i="79"/>
  <c r="G684" i="79"/>
  <c r="H810" i="79"/>
  <c r="H945" i="79"/>
  <c r="H1094" i="79"/>
  <c r="G552" i="79"/>
  <c r="H553" i="79"/>
  <c r="J554" i="79"/>
  <c r="K555" i="79"/>
  <c r="L577" i="79"/>
  <c r="G579" i="79"/>
  <c r="G660" i="79"/>
  <c r="H673" i="79"/>
  <c r="H878" i="79"/>
  <c r="G1437" i="79"/>
  <c r="H516" i="79"/>
  <c r="I553" i="79"/>
  <c r="K554" i="79"/>
  <c r="L555" i="79"/>
  <c r="G578" i="79"/>
  <c r="H579" i="79"/>
  <c r="H610" i="79"/>
  <c r="G700" i="79"/>
  <c r="H800" i="79"/>
  <c r="G990" i="79"/>
  <c r="H1168" i="79"/>
  <c r="G483" i="79"/>
  <c r="J553" i="79"/>
  <c r="L554" i="79"/>
  <c r="M555" i="79"/>
  <c r="H578" i="79"/>
  <c r="I579" i="79"/>
  <c r="H938" i="79"/>
  <c r="H993" i="79"/>
  <c r="G1287" i="79"/>
  <c r="I16" i="80"/>
  <c r="J16" i="80" s="1"/>
  <c r="K16" i="80" s="1"/>
  <c r="L16" i="80" s="1"/>
  <c r="M16" i="80" s="1"/>
  <c r="N16" i="80" s="1"/>
  <c r="M1239" i="79" s="1"/>
  <c r="AL179" i="52"/>
  <c r="AL178" i="52"/>
  <c r="AL176" i="52"/>
  <c r="AL172" i="52"/>
  <c r="AL175" i="52"/>
  <c r="AL182" i="52"/>
  <c r="AL174" i="52"/>
  <c r="AL180" i="52"/>
  <c r="AL181" i="52"/>
  <c r="AL173" i="52"/>
  <c r="D46" i="52"/>
  <c r="D68" i="52" s="1"/>
  <c r="D90" i="52" s="1"/>
  <c r="D112" i="52" s="1"/>
  <c r="D134" i="52" s="1"/>
  <c r="AL248" i="52"/>
  <c r="D28" i="52"/>
  <c r="D50" i="52" s="1"/>
  <c r="D72" i="52" s="1"/>
  <c r="D94" i="52" s="1"/>
  <c r="D116" i="52" s="1"/>
  <c r="H1530" i="79"/>
  <c r="G1530" i="79"/>
  <c r="D30" i="52"/>
  <c r="AF30" i="52" s="1"/>
  <c r="AL244" i="52"/>
  <c r="AL245" i="52"/>
  <c r="D35" i="52"/>
  <c r="D57" i="52" s="1"/>
  <c r="D79" i="52" s="1"/>
  <c r="D101" i="52" s="1"/>
  <c r="D123" i="52" s="1"/>
  <c r="D45" i="52"/>
  <c r="AF45" i="52" s="1"/>
  <c r="G1610" i="79"/>
  <c r="G1312" i="79"/>
  <c r="G1402" i="79"/>
  <c r="H1710" i="79"/>
  <c r="M2219" i="79"/>
  <c r="L2275" i="79"/>
  <c r="I26" i="80"/>
  <c r="J26" i="80" s="1"/>
  <c r="K26" i="80" s="1"/>
  <c r="L26" i="80" s="1"/>
  <c r="M26" i="80" s="1"/>
  <c r="N26" i="80" s="1"/>
  <c r="G1613" i="79"/>
  <c r="L1711" i="79"/>
  <c r="L1702" i="79" s="1"/>
  <c r="L2194" i="79"/>
  <c r="K2250" i="79"/>
  <c r="K2302" i="79"/>
  <c r="K2323" i="79"/>
  <c r="K2517" i="79"/>
  <c r="G2698" i="79"/>
  <c r="H1482" i="79"/>
  <c r="G1649" i="79"/>
  <c r="I1726" i="79"/>
  <c r="I1717" i="79" s="1"/>
  <c r="G1989" i="79"/>
  <c r="H2225" i="79"/>
  <c r="H31" i="80"/>
  <c r="H1292" i="79"/>
  <c r="G1741" i="79"/>
  <c r="G1732" i="79" s="1"/>
  <c r="G1755" i="79"/>
  <c r="J1990" i="79"/>
  <c r="H2226" i="79"/>
  <c r="M2252" i="79"/>
  <c r="G2331" i="79"/>
  <c r="K2550" i="79"/>
  <c r="G1357" i="79"/>
  <c r="H1434" i="79"/>
  <c r="K1527" i="79"/>
  <c r="H1629" i="79"/>
  <c r="L1756" i="79"/>
  <c r="L1747" i="79" s="1"/>
  <c r="G1936" i="79"/>
  <c r="M2227" i="79"/>
  <c r="G1295" i="79"/>
  <c r="H1333" i="79"/>
  <c r="H1385" i="79"/>
  <c r="H1500" i="79"/>
  <c r="K1950" i="79"/>
  <c r="G1967" i="79"/>
  <c r="K2202" i="79"/>
  <c r="M2310" i="79"/>
  <c r="J2807" i="79"/>
  <c r="C44" i="79"/>
  <c r="C38" i="79" s="1"/>
  <c r="C25" i="79"/>
  <c r="B7" i="79"/>
  <c r="C26" i="79"/>
  <c r="C46" i="79"/>
  <c r="C65" i="79" s="1"/>
  <c r="B65" i="79" s="1"/>
  <c r="C27" i="79"/>
  <c r="C47" i="79"/>
  <c r="C28" i="79"/>
  <c r="B10" i="79"/>
  <c r="C29" i="79"/>
  <c r="AF22" i="52"/>
  <c r="AF11" i="52"/>
  <c r="AF8" i="52"/>
  <c r="D38" i="52"/>
  <c r="AF16" i="52"/>
  <c r="B9" i="52"/>
  <c r="AF6" i="52"/>
  <c r="D31" i="52"/>
  <c r="D53" i="52" s="1"/>
  <c r="D75" i="52" s="1"/>
  <c r="D97" i="52" s="1"/>
  <c r="D119" i="52" s="1"/>
  <c r="AF42" i="52"/>
  <c r="AF20" i="52"/>
  <c r="B29" i="52"/>
  <c r="AF23" i="52"/>
  <c r="AF33" i="52"/>
  <c r="AF44" i="52"/>
  <c r="B160" i="52"/>
  <c r="B149" i="52"/>
  <c r="B274" i="52"/>
  <c r="H381" i="54" a="1"/>
  <c r="H381" i="54" s="1"/>
  <c r="I331" i="54"/>
  <c r="I332" i="54" s="1"/>
  <c r="F332" i="54" s="1"/>
  <c r="A116" i="54"/>
  <c r="H423" i="54" a="1"/>
  <c r="H423" i="54" s="1"/>
  <c r="E14" i="62"/>
  <c r="K7" i="13"/>
  <c r="G20" i="9"/>
  <c r="H20" i="9" s="1"/>
  <c r="I20" i="9" s="1"/>
  <c r="J20" i="9" s="1"/>
  <c r="K20" i="9" s="1"/>
  <c r="L20" i="9" s="1"/>
  <c r="M20" i="9" s="1"/>
  <c r="N20" i="9" s="1"/>
  <c r="O20" i="9" s="1"/>
  <c r="P20" i="9" s="1"/>
  <c r="Q20" i="9" s="1"/>
  <c r="R20" i="9" s="1"/>
  <c r="F186" i="9"/>
  <c r="F191" i="9"/>
  <c r="F190" i="9"/>
  <c r="G19" i="9"/>
  <c r="H19" i="9" s="1"/>
  <c r="I19" i="9" s="1"/>
  <c r="J19" i="9" s="1"/>
  <c r="K19" i="9" s="1"/>
  <c r="L19" i="9" s="1"/>
  <c r="M19" i="9" s="1"/>
  <c r="N19" i="9" s="1"/>
  <c r="O19" i="9" s="1"/>
  <c r="P19" i="9" s="1"/>
  <c r="Q19" i="9" s="1"/>
  <c r="R19" i="9" s="1"/>
  <c r="H2849" i="79"/>
  <c r="M553" i="79"/>
  <c r="M577" i="79"/>
  <c r="H175" i="79"/>
  <c r="H427" i="79"/>
  <c r="H270" i="79"/>
  <c r="H2218" i="79"/>
  <c r="L2300" i="79"/>
  <c r="M176" i="79"/>
  <c r="J2697" i="79"/>
  <c r="B778" i="79"/>
  <c r="G1947" i="79"/>
  <c r="G1633" i="79"/>
  <c r="J1756" i="79"/>
  <c r="J1747" i="79" s="1"/>
  <c r="I745" i="79"/>
  <c r="H1649" i="79"/>
  <c r="G1688" i="79"/>
  <c r="G867" i="79"/>
  <c r="G1786" i="79"/>
  <c r="X230" i="52" s="1"/>
  <c r="G1926" i="79"/>
  <c r="H1188" i="79"/>
  <c r="G1927" i="79"/>
  <c r="H2323" i="79"/>
  <c r="G2276" i="79"/>
  <c r="L2294" i="79"/>
  <c r="G1966" i="79"/>
  <c r="G357" i="79"/>
  <c r="H827" i="79"/>
  <c r="G1641" i="79"/>
  <c r="G1770" i="79"/>
  <c r="B6" i="79"/>
  <c r="G175" i="79"/>
  <c r="H1786" i="79"/>
  <c r="Y228" i="52" s="1"/>
  <c r="H1947" i="79"/>
  <c r="K2310" i="79"/>
  <c r="L2310" i="79"/>
  <c r="G2318" i="79"/>
  <c r="G1726" i="79"/>
  <c r="G1717" i="79" s="1"/>
  <c r="K1756" i="79"/>
  <c r="K1747" i="79" s="1"/>
  <c r="G2311" i="79"/>
  <c r="G2536" i="79"/>
  <c r="G2825" i="79"/>
  <c r="H1613" i="79"/>
  <c r="G1426" i="79"/>
  <c r="H1755" i="79"/>
  <c r="G2009" i="79"/>
  <c r="G2518" i="79"/>
  <c r="G1427" i="79"/>
  <c r="G1625" i="79"/>
  <c r="H2200" i="79"/>
  <c r="I2200" i="79"/>
  <c r="G2200" i="79"/>
  <c r="L2200" i="79"/>
  <c r="K2200" i="79"/>
  <c r="G2240" i="79"/>
  <c r="H1617" i="79"/>
  <c r="I1950" i="79"/>
  <c r="J1970" i="79"/>
  <c r="G2007" i="79"/>
  <c r="J2200" i="79"/>
  <c r="G1601" i="79"/>
  <c r="H1987" i="79"/>
  <c r="H1996" i="79"/>
  <c r="G1585" i="79"/>
  <c r="H1601" i="79"/>
  <c r="H1645" i="79"/>
  <c r="G1787" i="79"/>
  <c r="H1585" i="79"/>
  <c r="M1756" i="79"/>
  <c r="M1747" i="79" s="1"/>
  <c r="I1756" i="79"/>
  <c r="I1747" i="79" s="1"/>
  <c r="H1787" i="79"/>
  <c r="H1581" i="79"/>
  <c r="G1581" i="79"/>
  <c r="G2693" i="79"/>
  <c r="G2667" i="79"/>
  <c r="G2885" i="79"/>
  <c r="H2216" i="79"/>
  <c r="H2268" i="79"/>
  <c r="J2310" i="79"/>
  <c r="H2920" i="79"/>
  <c r="G2955" i="79"/>
  <c r="G1632" i="79"/>
  <c r="G1597" i="79"/>
  <c r="H1597" i="79"/>
  <c r="H1633" i="79"/>
  <c r="J1642" i="79"/>
  <c r="G1642" i="79"/>
  <c r="G1710" i="79"/>
  <c r="H1741" i="79"/>
  <c r="H1732" i="79" s="1"/>
  <c r="J2029" i="79"/>
  <c r="G2029" i="79"/>
  <c r="H915" i="79"/>
  <c r="J1578" i="79"/>
  <c r="G1594" i="79"/>
  <c r="H1725" i="79"/>
  <c r="H2029" i="79"/>
  <c r="J745" i="79"/>
  <c r="G915" i="79"/>
  <c r="G1707" i="79"/>
  <c r="G1725" i="79"/>
  <c r="I1741" i="79"/>
  <c r="I1732" i="79" s="1"/>
  <c r="G1721" i="79"/>
  <c r="I1930" i="79"/>
  <c r="K2021" i="79"/>
  <c r="J2021" i="79"/>
  <c r="I2021" i="79"/>
  <c r="G2021" i="79"/>
  <c r="M2021" i="79"/>
  <c r="L2021" i="79"/>
  <c r="H204" i="79"/>
  <c r="H1501" i="79"/>
  <c r="J1501" i="79"/>
  <c r="I1711" i="79"/>
  <c r="I1702" i="79" s="1"/>
  <c r="J1711" i="79"/>
  <c r="J1702" i="79" s="1"/>
  <c r="G1711" i="79"/>
  <c r="G1702" i="79" s="1"/>
  <c r="K1711" i="79"/>
  <c r="K1702" i="79" s="1"/>
  <c r="L1740" i="79"/>
  <c r="H1740" i="79"/>
  <c r="L1930" i="79"/>
  <c r="H2021" i="79"/>
  <c r="H1148" i="79"/>
  <c r="I1468" i="79"/>
  <c r="L1594" i="79"/>
  <c r="K1726" i="79"/>
  <c r="K1717" i="79" s="1"/>
  <c r="J1726" i="79"/>
  <c r="J1717" i="79" s="1"/>
  <c r="H1726" i="79"/>
  <c r="H1717" i="79" s="1"/>
  <c r="G1737" i="79"/>
  <c r="G1740" i="79"/>
  <c r="G1774" i="79"/>
  <c r="G2006" i="79"/>
  <c r="G2025" i="79"/>
  <c r="H714" i="79"/>
  <c r="H948" i="79"/>
  <c r="G1578" i="79"/>
  <c r="G1645" i="79"/>
  <c r="H1936" i="79"/>
  <c r="G2215" i="79"/>
  <c r="H2266" i="79"/>
  <c r="G2266" i="79"/>
  <c r="G2290" i="79"/>
  <c r="H2193" i="79"/>
  <c r="H2250" i="79"/>
  <c r="J2250" i="79"/>
  <c r="I2250" i="79"/>
  <c r="K2269" i="79"/>
  <c r="J2269" i="79"/>
  <c r="H1967" i="79"/>
  <c r="L1970" i="79"/>
  <c r="H2007" i="79"/>
  <c r="J2202" i="79"/>
  <c r="M2202" i="79"/>
  <c r="G2250" i="79"/>
  <c r="M2269" i="79"/>
  <c r="H2291" i="79"/>
  <c r="I2194" i="79"/>
  <c r="J2194" i="79"/>
  <c r="I2244" i="79"/>
  <c r="J2244" i="79"/>
  <c r="H2244" i="79"/>
  <c r="G2265" i="79"/>
  <c r="J2277" i="79"/>
  <c r="M2277" i="79"/>
  <c r="L2277" i="79"/>
  <c r="H1927" i="79"/>
  <c r="H1989" i="79"/>
  <c r="G2194" i="79"/>
  <c r="G2244" i="79"/>
  <c r="L2250" i="79"/>
  <c r="G2255" i="79"/>
  <c r="K2275" i="79"/>
  <c r="J2275" i="79"/>
  <c r="H2275" i="79"/>
  <c r="M2275" i="79"/>
  <c r="G2293" i="79"/>
  <c r="H2205" i="79"/>
  <c r="K2244" i="79"/>
  <c r="M2250" i="79"/>
  <c r="H2255" i="79"/>
  <c r="G2033" i="79"/>
  <c r="K2194" i="79"/>
  <c r="G2205" i="79"/>
  <c r="L2244" i="79"/>
  <c r="G2280" i="79"/>
  <c r="K2293" i="79"/>
  <c r="H2990" i="79"/>
  <c r="G2268" i="79"/>
  <c r="M2300" i="79"/>
  <c r="H2310" i="79"/>
  <c r="G2920" i="79"/>
  <c r="G2517" i="79"/>
  <c r="G2551" i="79"/>
  <c r="H2698" i="79"/>
  <c r="G3228" i="79"/>
  <c r="H2517" i="79"/>
  <c r="H2551" i="79"/>
  <c r="J2323" i="79"/>
  <c r="J2517" i="79"/>
  <c r="G2539" i="79"/>
  <c r="H3250" i="79"/>
  <c r="G2990" i="79"/>
  <c r="G1771" i="79"/>
  <c r="G1762" i="79" s="1"/>
  <c r="H1771" i="79"/>
  <c r="H1762" i="79" s="1"/>
  <c r="L1771" i="79"/>
  <c r="L1762" i="79" s="1"/>
  <c r="K1771" i="79"/>
  <c r="K1762" i="79" s="1"/>
  <c r="J1771" i="79"/>
  <c r="J1762" i="79" s="1"/>
  <c r="I1771" i="79"/>
  <c r="I1762" i="79" s="1"/>
  <c r="G1956" i="79"/>
  <c r="I2010" i="79"/>
  <c r="K2010" i="79"/>
  <c r="G1212" i="79"/>
  <c r="H1389" i="79"/>
  <c r="K1578" i="79"/>
  <c r="J1741" i="79"/>
  <c r="J1732" i="79" s="1"/>
  <c r="G1752" i="79"/>
  <c r="H1950" i="79"/>
  <c r="J1950" i="79"/>
  <c r="H1956" i="79"/>
  <c r="G2010" i="79"/>
  <c r="G874" i="79"/>
  <c r="H958" i="79"/>
  <c r="G1158" i="79"/>
  <c r="K1741" i="79"/>
  <c r="K1732" i="79" s="1"/>
  <c r="G1751" i="79"/>
  <c r="G1756" i="79"/>
  <c r="G1747" i="79" s="1"/>
  <c r="G1769" i="79"/>
  <c r="G1950" i="79"/>
  <c r="G1996" i="79"/>
  <c r="H2010" i="79"/>
  <c r="L1741" i="79"/>
  <c r="L1732" i="79" s="1"/>
  <c r="H1756" i="79"/>
  <c r="H1747" i="79" s="1"/>
  <c r="G1767" i="79"/>
  <c r="H1949" i="79"/>
  <c r="I1949" i="79"/>
  <c r="H1976" i="79"/>
  <c r="M1990" i="79"/>
  <c r="K1990" i="79"/>
  <c r="I1990" i="79"/>
  <c r="J2010" i="79"/>
  <c r="G1930" i="79"/>
  <c r="K1930" i="79"/>
  <c r="G1949" i="79"/>
  <c r="I1970" i="79"/>
  <c r="H1970" i="79"/>
  <c r="G1976" i="79"/>
  <c r="G1990" i="79"/>
  <c r="L2010" i="79"/>
  <c r="B183" i="79"/>
  <c r="H405" i="79"/>
  <c r="G810" i="79"/>
  <c r="G938" i="79"/>
  <c r="G1593" i="79"/>
  <c r="G1617" i="79"/>
  <c r="G1709" i="79"/>
  <c r="G1722" i="79"/>
  <c r="G1724" i="79"/>
  <c r="G1946" i="79"/>
  <c r="G1970" i="79"/>
  <c r="G1987" i="79"/>
  <c r="H1990" i="79"/>
  <c r="H2009" i="79"/>
  <c r="K2029" i="79"/>
  <c r="M2029" i="79"/>
  <c r="L2029" i="79"/>
  <c r="I2029" i="79"/>
  <c r="G1929" i="79"/>
  <c r="J1929" i="79"/>
  <c r="G1969" i="79"/>
  <c r="H2016" i="79"/>
  <c r="C48" i="79"/>
  <c r="M746" i="79"/>
  <c r="G827" i="79"/>
  <c r="G948" i="79"/>
  <c r="G1577" i="79"/>
  <c r="G1609" i="79"/>
  <c r="G1626" i="79"/>
  <c r="G1629" i="79"/>
  <c r="H1770" i="79"/>
  <c r="H1929" i="79"/>
  <c r="J1930" i="79"/>
  <c r="H1969" i="79"/>
  <c r="K1970" i="79"/>
  <c r="G1986" i="79"/>
  <c r="G2016" i="79"/>
  <c r="G2243" i="79"/>
  <c r="K2243" i="79"/>
  <c r="H2243" i="79"/>
  <c r="G2201" i="79"/>
  <c r="G2216" i="79"/>
  <c r="J2225" i="79"/>
  <c r="G2225" i="79"/>
  <c r="I2225" i="79"/>
  <c r="G2230" i="79"/>
  <c r="H2230" i="79"/>
  <c r="K2219" i="79"/>
  <c r="G2219" i="79"/>
  <c r="I2219" i="79"/>
  <c r="K2225" i="79"/>
  <c r="H2227" i="79"/>
  <c r="G2227" i="79"/>
  <c r="J2227" i="79"/>
  <c r="G2252" i="79"/>
  <c r="H2252" i="79"/>
  <c r="J2252" i="79"/>
  <c r="G2191" i="79"/>
  <c r="H2219" i="79"/>
  <c r="L2225" i="79"/>
  <c r="I2227" i="79"/>
  <c r="G2241" i="79"/>
  <c r="I2252" i="79"/>
  <c r="H2191" i="79"/>
  <c r="G2202" i="79"/>
  <c r="L2202" i="79"/>
  <c r="H2202" i="79"/>
  <c r="J2219" i="79"/>
  <c r="M2225" i="79"/>
  <c r="K2227" i="79"/>
  <c r="H2241" i="79"/>
  <c r="K2252" i="79"/>
  <c r="G2190" i="79"/>
  <c r="G2193" i="79"/>
  <c r="I2202" i="79"/>
  <c r="G2218" i="79"/>
  <c r="G2226" i="79"/>
  <c r="L2227" i="79"/>
  <c r="H2251" i="79"/>
  <c r="G2251" i="79"/>
  <c r="L2252" i="79"/>
  <c r="I2269" i="79"/>
  <c r="I2275" i="79"/>
  <c r="K2277" i="79"/>
  <c r="K2294" i="79"/>
  <c r="K2300" i="79"/>
  <c r="M2302" i="79"/>
  <c r="I2310" i="79"/>
  <c r="G2324" i="79"/>
  <c r="H2324" i="79"/>
  <c r="K2519" i="79"/>
  <c r="J2519" i="79"/>
  <c r="H2519" i="79"/>
  <c r="G2519" i="79"/>
  <c r="L2537" i="79"/>
  <c r="I2537" i="79"/>
  <c r="H2537" i="79"/>
  <c r="G2301" i="79"/>
  <c r="G2302" i="79"/>
  <c r="G2305" i="79"/>
  <c r="G2291" i="79"/>
  <c r="G2294" i="79"/>
  <c r="G2300" i="79"/>
  <c r="H2301" i="79"/>
  <c r="H2302" i="79"/>
  <c r="H2305" i="79"/>
  <c r="G2323" i="79"/>
  <c r="M2323" i="79"/>
  <c r="L2323" i="79"/>
  <c r="G2277" i="79"/>
  <c r="H2294" i="79"/>
  <c r="H2300" i="79"/>
  <c r="I2302" i="79"/>
  <c r="M2200" i="79"/>
  <c r="G2269" i="79"/>
  <c r="G2275" i="79"/>
  <c r="H2276" i="79"/>
  <c r="H2277" i="79"/>
  <c r="H2280" i="79"/>
  <c r="H2293" i="79"/>
  <c r="I2294" i="79"/>
  <c r="I2300" i="79"/>
  <c r="J2302" i="79"/>
  <c r="G2310" i="79"/>
  <c r="H2311" i="79"/>
  <c r="I2323" i="79"/>
  <c r="H2269" i="79"/>
  <c r="I2277" i="79"/>
  <c r="J2294" i="79"/>
  <c r="J2300" i="79"/>
  <c r="L2302" i="79"/>
  <c r="G2550" i="79"/>
  <c r="H2550" i="79"/>
  <c r="H2667" i="79"/>
  <c r="H2850" i="79"/>
  <c r="G3374" i="79"/>
  <c r="H3374" i="79"/>
  <c r="G2807" i="79"/>
  <c r="G3312" i="79"/>
  <c r="H2807" i="79"/>
  <c r="H3312" i="79"/>
  <c r="I2807" i="79"/>
  <c r="K2807" i="79"/>
  <c r="G3281" i="79"/>
  <c r="L2807" i="79"/>
  <c r="G3343" i="79"/>
  <c r="M2807" i="79"/>
  <c r="G2850" i="79"/>
  <c r="G3250" i="79"/>
  <c r="H3343" i="79"/>
  <c r="H2955" i="79"/>
  <c r="G3390" i="79"/>
  <c r="G268" i="79"/>
  <c r="G290" i="79"/>
  <c r="G248" i="79"/>
  <c r="B184" i="79"/>
  <c r="H293" i="79"/>
  <c r="G446" i="79"/>
  <c r="H449" i="79"/>
  <c r="G427" i="79"/>
  <c r="B112" i="79"/>
  <c r="C125" i="79"/>
  <c r="G338" i="79"/>
  <c r="G360" i="79"/>
  <c r="G516" i="79"/>
  <c r="B109" i="79"/>
  <c r="G192" i="79"/>
  <c r="U41" i="59"/>
  <c r="V41" i="59" s="1"/>
  <c r="W41" i="59" s="1"/>
  <c r="X41" i="59" s="1"/>
  <c r="Y41" i="59" s="1"/>
  <c r="Z41" i="59" s="1"/>
  <c r="AA41" i="59" s="1"/>
  <c r="AB41" i="59" s="1"/>
  <c r="AC41" i="59" s="1"/>
  <c r="AD41" i="59" s="1"/>
  <c r="U63" i="59"/>
  <c r="V63" i="59" s="1"/>
  <c r="T75" i="59"/>
  <c r="U75" i="59" s="1"/>
  <c r="V75" i="59" s="1"/>
  <c r="W75" i="59" s="1"/>
  <c r="X75" i="59" s="1"/>
  <c r="Y75" i="59" s="1"/>
  <c r="Z75" i="59" s="1"/>
  <c r="AA75" i="59" s="1"/>
  <c r="AB75" i="59" s="1"/>
  <c r="AC75" i="59" s="1"/>
  <c r="AD75" i="59" s="1"/>
  <c r="T43" i="59"/>
  <c r="U43" i="59" s="1"/>
  <c r="V43" i="59" s="1"/>
  <c r="W43" i="59" s="1"/>
  <c r="X43" i="59" s="1"/>
  <c r="Y43" i="59" s="1"/>
  <c r="Z43" i="59" s="1"/>
  <c r="AA43" i="59" s="1"/>
  <c r="AB43" i="59" s="1"/>
  <c r="AC43" i="59" s="1"/>
  <c r="AD43" i="59" s="1"/>
  <c r="U86" i="59"/>
  <c r="U233" i="59" s="1"/>
  <c r="U42" i="59"/>
  <c r="V42" i="59" s="1"/>
  <c r="W42" i="59" s="1"/>
  <c r="X42" i="59" s="1"/>
  <c r="Y42" i="59" s="1"/>
  <c r="Z42" i="59" s="1"/>
  <c r="AA42" i="59" s="1"/>
  <c r="AB42" i="59" s="1"/>
  <c r="AC42" i="59" s="1"/>
  <c r="AD42" i="59" s="1"/>
  <c r="U109" i="59"/>
  <c r="V109" i="59" s="1"/>
  <c r="W109" i="59" s="1"/>
  <c r="X109" i="59" s="1"/>
  <c r="T112" i="59"/>
  <c r="U83" i="59"/>
  <c r="U230" i="59" s="1"/>
  <c r="U99" i="59"/>
  <c r="V99" i="59" s="1"/>
  <c r="U84" i="59"/>
  <c r="U231" i="59" s="1"/>
  <c r="N646" i="59"/>
  <c r="T102" i="59"/>
  <c r="U85" i="59"/>
  <c r="S229" i="59"/>
  <c r="S89" i="59"/>
  <c r="T82" i="59"/>
  <c r="U6" i="59"/>
  <c r="U55" i="59" s="1"/>
  <c r="R29" i="59"/>
  <c r="S237" i="59"/>
  <c r="T90" i="59"/>
  <c r="R30" i="59"/>
  <c r="H132" i="80" s="1"/>
  <c r="I132" i="80" s="1"/>
  <c r="J132" i="80" s="1"/>
  <c r="K132" i="80" s="1"/>
  <c r="L132" i="80" s="1"/>
  <c r="M132" i="80" s="1"/>
  <c r="N132" i="80" s="1"/>
  <c r="U234" i="59"/>
  <c r="V87" i="59"/>
  <c r="T177" i="59"/>
  <c r="T176" i="59"/>
  <c r="T234" i="59"/>
  <c r="T116" i="59"/>
  <c r="U116" i="59" s="1"/>
  <c r="V116" i="59" s="1"/>
  <c r="W116" i="59" s="1"/>
  <c r="X116" i="59" s="1"/>
  <c r="Y116" i="59" s="1"/>
  <c r="Z116" i="59" s="1"/>
  <c r="AA116" i="59" s="1"/>
  <c r="AB116" i="59" s="1"/>
  <c r="AC116" i="59" s="1"/>
  <c r="AD116" i="59" s="1"/>
  <c r="S340" i="59"/>
  <c r="T340" i="59" s="1"/>
  <c r="U340" i="59" s="1"/>
  <c r="V340" i="59" s="1"/>
  <c r="W340" i="59" s="1"/>
  <c r="X340" i="59" s="1"/>
  <c r="Y340" i="59" s="1"/>
  <c r="Z340" i="59" s="1"/>
  <c r="AA340" i="59" s="1"/>
  <c r="AB340" i="59" s="1"/>
  <c r="AC340" i="59" s="1"/>
  <c r="AD340" i="59" s="1"/>
  <c r="S344" i="59"/>
  <c r="T344" i="59" s="1"/>
  <c r="U344" i="59" s="1"/>
  <c r="V344" i="59" s="1"/>
  <c r="W344" i="59" s="1"/>
  <c r="X344" i="59" s="1"/>
  <c r="Y344" i="59" s="1"/>
  <c r="Z344" i="59" s="1"/>
  <c r="AA344" i="59" s="1"/>
  <c r="AB344" i="59" s="1"/>
  <c r="AC344" i="59" s="1"/>
  <c r="AD344" i="59" s="1"/>
  <c r="S345" i="59"/>
  <c r="T345" i="59" s="1"/>
  <c r="U345" i="59" s="1"/>
  <c r="V345" i="59" s="1"/>
  <c r="W345" i="59" s="1"/>
  <c r="X345" i="59" s="1"/>
  <c r="Y345" i="59" s="1"/>
  <c r="Z345" i="59" s="1"/>
  <c r="AA345" i="59" s="1"/>
  <c r="AB345" i="59" s="1"/>
  <c r="AC345" i="59" s="1"/>
  <c r="AD345" i="59" s="1"/>
  <c r="S342" i="59"/>
  <c r="T342" i="59" s="1"/>
  <c r="U342" i="59" s="1"/>
  <c r="V342" i="59" s="1"/>
  <c r="W342" i="59" s="1"/>
  <c r="X342" i="59" s="1"/>
  <c r="Y342" i="59" s="1"/>
  <c r="Z342" i="59" s="1"/>
  <c r="AA342" i="59" s="1"/>
  <c r="AB342" i="59" s="1"/>
  <c r="AC342" i="59" s="1"/>
  <c r="AD342" i="59" s="1"/>
  <c r="S343" i="59"/>
  <c r="T343" i="59" s="1"/>
  <c r="U343" i="59" s="1"/>
  <c r="V343" i="59" s="1"/>
  <c r="W343" i="59" s="1"/>
  <c r="X343" i="59" s="1"/>
  <c r="Y343" i="59" s="1"/>
  <c r="Z343" i="59" s="1"/>
  <c r="AA343" i="59" s="1"/>
  <c r="AB343" i="59" s="1"/>
  <c r="AC343" i="59" s="1"/>
  <c r="AD343" i="59" s="1"/>
  <c r="S348" i="59"/>
  <c r="T348" i="59" s="1"/>
  <c r="U348" i="59" s="1"/>
  <c r="V348" i="59" s="1"/>
  <c r="W348" i="59" s="1"/>
  <c r="X348" i="59" s="1"/>
  <c r="Y348" i="59" s="1"/>
  <c r="Z348" i="59" s="1"/>
  <c r="AA348" i="59" s="1"/>
  <c r="AB348" i="59" s="1"/>
  <c r="AC348" i="59" s="1"/>
  <c r="AD348" i="59" s="1"/>
  <c r="S352" i="59"/>
  <c r="T352" i="59" s="1"/>
  <c r="U352" i="59" s="1"/>
  <c r="V352" i="59" s="1"/>
  <c r="W352" i="59" s="1"/>
  <c r="X352" i="59" s="1"/>
  <c r="Y352" i="59" s="1"/>
  <c r="Z352" i="59" s="1"/>
  <c r="AA352" i="59" s="1"/>
  <c r="AB352" i="59" s="1"/>
  <c r="AC352" i="59" s="1"/>
  <c r="AD352" i="59" s="1"/>
  <c r="S349" i="59"/>
  <c r="T349" i="59" s="1"/>
  <c r="U349" i="59" s="1"/>
  <c r="V349" i="59" s="1"/>
  <c r="W349" i="59" s="1"/>
  <c r="X349" i="59" s="1"/>
  <c r="Y349" i="59" s="1"/>
  <c r="Z349" i="59" s="1"/>
  <c r="AA349" i="59" s="1"/>
  <c r="AB349" i="59" s="1"/>
  <c r="AC349" i="59" s="1"/>
  <c r="AD349" i="59" s="1"/>
  <c r="S353" i="59"/>
  <c r="T353" i="59" s="1"/>
  <c r="U353" i="59" s="1"/>
  <c r="V353" i="59" s="1"/>
  <c r="W353" i="59" s="1"/>
  <c r="X353" i="59" s="1"/>
  <c r="Y353" i="59" s="1"/>
  <c r="Z353" i="59" s="1"/>
  <c r="AA353" i="59" s="1"/>
  <c r="AB353" i="59" s="1"/>
  <c r="AC353" i="59" s="1"/>
  <c r="AD353" i="59" s="1"/>
  <c r="S346" i="59"/>
  <c r="T346" i="59" s="1"/>
  <c r="U346" i="59" s="1"/>
  <c r="V346" i="59" s="1"/>
  <c r="W346" i="59" s="1"/>
  <c r="X346" i="59" s="1"/>
  <c r="Y346" i="59" s="1"/>
  <c r="Z346" i="59" s="1"/>
  <c r="AA346" i="59" s="1"/>
  <c r="AB346" i="59" s="1"/>
  <c r="AC346" i="59" s="1"/>
  <c r="AD346" i="59" s="1"/>
  <c r="S350" i="59"/>
  <c r="T350" i="59" s="1"/>
  <c r="U350" i="59" s="1"/>
  <c r="V350" i="59" s="1"/>
  <c r="W350" i="59" s="1"/>
  <c r="X350" i="59" s="1"/>
  <c r="Y350" i="59" s="1"/>
  <c r="Z350" i="59" s="1"/>
  <c r="AA350" i="59" s="1"/>
  <c r="AB350" i="59" s="1"/>
  <c r="AC350" i="59" s="1"/>
  <c r="AD350" i="59" s="1"/>
  <c r="S354" i="59"/>
  <c r="T354" i="59" s="1"/>
  <c r="U354" i="59" s="1"/>
  <c r="V354" i="59" s="1"/>
  <c r="W354" i="59" s="1"/>
  <c r="X354" i="59" s="1"/>
  <c r="Y354" i="59" s="1"/>
  <c r="Z354" i="59" s="1"/>
  <c r="AA354" i="59" s="1"/>
  <c r="AB354" i="59" s="1"/>
  <c r="AC354" i="59" s="1"/>
  <c r="AD354" i="59" s="1"/>
  <c r="S347" i="59"/>
  <c r="T347" i="59" s="1"/>
  <c r="U347" i="59" s="1"/>
  <c r="V347" i="59" s="1"/>
  <c r="W347" i="59" s="1"/>
  <c r="X347" i="59" s="1"/>
  <c r="Y347" i="59" s="1"/>
  <c r="Z347" i="59" s="1"/>
  <c r="AA347" i="59" s="1"/>
  <c r="AB347" i="59" s="1"/>
  <c r="AC347" i="59" s="1"/>
  <c r="AD347" i="59" s="1"/>
  <c r="S351" i="59"/>
  <c r="T351" i="59" s="1"/>
  <c r="U351" i="59" s="1"/>
  <c r="V351" i="59" s="1"/>
  <c r="W351" i="59" s="1"/>
  <c r="X351" i="59" s="1"/>
  <c r="Y351" i="59" s="1"/>
  <c r="Z351" i="59" s="1"/>
  <c r="AA351" i="59" s="1"/>
  <c r="AB351" i="59" s="1"/>
  <c r="AC351" i="59" s="1"/>
  <c r="AD351" i="59" s="1"/>
  <c r="S355" i="59"/>
  <c r="T355" i="59" s="1"/>
  <c r="U355" i="59" s="1"/>
  <c r="V355" i="59" s="1"/>
  <c r="W355" i="59" s="1"/>
  <c r="X355" i="59" s="1"/>
  <c r="Y355" i="59" s="1"/>
  <c r="Z355" i="59" s="1"/>
  <c r="AA355" i="59" s="1"/>
  <c r="AB355" i="59" s="1"/>
  <c r="AC355" i="59" s="1"/>
  <c r="AD355" i="59" s="1"/>
  <c r="L620" i="59"/>
  <c r="L578" i="59"/>
  <c r="C478" i="59"/>
  <c r="F477" i="59" a="1"/>
  <c r="F477" i="59" s="1"/>
  <c r="F519" i="59" s="1"/>
  <c r="L515" i="59"/>
  <c r="L557" i="59"/>
  <c r="F476" i="59" a="1"/>
  <c r="F476" i="59" s="1"/>
  <c r="F518" i="59" s="1"/>
  <c r="Q648" i="59"/>
  <c r="Q649" i="59" s="1"/>
  <c r="N647" i="59"/>
  <c r="C647" i="59"/>
  <c r="U21" i="59" a="1"/>
  <c r="U21" i="59" s="1"/>
  <c r="Y21" i="59" a="1"/>
  <c r="Y21" i="59" s="1"/>
  <c r="AC21" i="59" a="1"/>
  <c r="AC21" i="59" s="1"/>
  <c r="T23" i="59" a="1"/>
  <c r="T23" i="59" s="1"/>
  <c r="X23" i="59" a="1"/>
  <c r="X23" i="59" s="1"/>
  <c r="AB23" i="59" a="1"/>
  <c r="AB23" i="59" s="1"/>
  <c r="S25" i="59" a="1"/>
  <c r="S25" i="59" s="1"/>
  <c r="W25" i="59" a="1"/>
  <c r="W25" i="59" s="1"/>
  <c r="AA25" i="59" a="1"/>
  <c r="AA25" i="59" s="1"/>
  <c r="U22" i="59" a="1"/>
  <c r="U22" i="59" s="1"/>
  <c r="Y22" i="59" a="1"/>
  <c r="Y22" i="59" s="1"/>
  <c r="AC22" i="59" a="1"/>
  <c r="AC22" i="59" s="1"/>
  <c r="T24" i="59" a="1"/>
  <c r="T24" i="59" s="1"/>
  <c r="X24" i="59" a="1"/>
  <c r="X24" i="59" s="1"/>
  <c r="AB24" i="59" a="1"/>
  <c r="AB24" i="59" s="1"/>
  <c r="S26" i="59" a="1"/>
  <c r="S26" i="59" s="1"/>
  <c r="W26" i="59" a="1"/>
  <c r="W26" i="59" s="1"/>
  <c r="AA26" i="59" a="1"/>
  <c r="AA26" i="59" s="1"/>
  <c r="V21" i="59" a="1"/>
  <c r="V21" i="59" s="1"/>
  <c r="Z21" i="59" a="1"/>
  <c r="Z21" i="59" s="1"/>
  <c r="AD21" i="59" a="1"/>
  <c r="AD21" i="59" s="1"/>
  <c r="U23" i="59" a="1"/>
  <c r="U23" i="59" s="1"/>
  <c r="Y23" i="59" a="1"/>
  <c r="Y23" i="59" s="1"/>
  <c r="AC23" i="59" a="1"/>
  <c r="AC23" i="59" s="1"/>
  <c r="T25" i="59" a="1"/>
  <c r="T25" i="59" s="1"/>
  <c r="X25" i="59" a="1"/>
  <c r="X25" i="59" s="1"/>
  <c r="AB25" i="59" a="1"/>
  <c r="AB25" i="59" s="1"/>
  <c r="V22" i="59" a="1"/>
  <c r="V22" i="59" s="1"/>
  <c r="Z22" i="59" a="1"/>
  <c r="Z22" i="59" s="1"/>
  <c r="AD22" i="59" a="1"/>
  <c r="AD22" i="59" s="1"/>
  <c r="U24" i="59" a="1"/>
  <c r="U24" i="59" s="1"/>
  <c r="Y24" i="59" a="1"/>
  <c r="Y24" i="59" s="1"/>
  <c r="AC24" i="59" a="1"/>
  <c r="AC24" i="59" s="1"/>
  <c r="T26" i="59" a="1"/>
  <c r="T26" i="59" s="1"/>
  <c r="X26" i="59" a="1"/>
  <c r="X26" i="59" s="1"/>
  <c r="AB26" i="59" a="1"/>
  <c r="AB26" i="59" s="1"/>
  <c r="S21" i="59" a="1"/>
  <c r="S21" i="59" s="1"/>
  <c r="W21" i="59" a="1"/>
  <c r="W21" i="59" s="1"/>
  <c r="AA21" i="59" a="1"/>
  <c r="AA21" i="59" s="1"/>
  <c r="V23" i="59" a="1"/>
  <c r="V23" i="59" s="1"/>
  <c r="Z23" i="59" a="1"/>
  <c r="Z23" i="59" s="1"/>
  <c r="AD23" i="59" a="1"/>
  <c r="AD23" i="59" s="1"/>
  <c r="U25" i="59" a="1"/>
  <c r="U25" i="59" s="1"/>
  <c r="Y25" i="59" a="1"/>
  <c r="Y25" i="59" s="1"/>
  <c r="AC25" i="59" a="1"/>
  <c r="AC25" i="59" s="1"/>
  <c r="S22" i="59" a="1"/>
  <c r="S22" i="59" s="1"/>
  <c r="W22" i="59" a="1"/>
  <c r="W22" i="59" s="1"/>
  <c r="AA22" i="59" a="1"/>
  <c r="AA22" i="59" s="1"/>
  <c r="V24" i="59" a="1"/>
  <c r="V24" i="59" s="1"/>
  <c r="Z24" i="59" a="1"/>
  <c r="Z24" i="59" s="1"/>
  <c r="AD24" i="59" a="1"/>
  <c r="AD24" i="59" s="1"/>
  <c r="U26" i="59" a="1"/>
  <c r="U26" i="59" s="1"/>
  <c r="Y26" i="59" a="1"/>
  <c r="Y26" i="59" s="1"/>
  <c r="AC26" i="59" a="1"/>
  <c r="AC26" i="59" s="1"/>
  <c r="T21" i="59" a="1"/>
  <c r="T21" i="59" s="1"/>
  <c r="X21" i="59" a="1"/>
  <c r="X21" i="59" s="1"/>
  <c r="AB21" i="59" a="1"/>
  <c r="AB21" i="59" s="1"/>
  <c r="S23" i="59" a="1"/>
  <c r="S23" i="59" s="1"/>
  <c r="W23" i="59" a="1"/>
  <c r="W23" i="59" s="1"/>
  <c r="AA23" i="59" a="1"/>
  <c r="AA23" i="59" s="1"/>
  <c r="V25" i="59" a="1"/>
  <c r="V25" i="59" s="1"/>
  <c r="Z25" i="59" a="1"/>
  <c r="Z25" i="59" s="1"/>
  <c r="AD25" i="59" a="1"/>
  <c r="AD25" i="59" s="1"/>
  <c r="T22" i="59" a="1"/>
  <c r="T22" i="59" s="1"/>
  <c r="X22" i="59" a="1"/>
  <c r="X22" i="59" s="1"/>
  <c r="AB22" i="59" a="1"/>
  <c r="AB22" i="59" s="1"/>
  <c r="S24" i="59" a="1"/>
  <c r="S24" i="59" s="1"/>
  <c r="W24" i="59" a="1"/>
  <c r="W24" i="59" s="1"/>
  <c r="AA24" i="59" a="1"/>
  <c r="AA24" i="59" s="1"/>
  <c r="V26" i="59" a="1"/>
  <c r="V26" i="59" s="1"/>
  <c r="Z26" i="59" a="1"/>
  <c r="Z26" i="59" s="1"/>
  <c r="G745" i="79"/>
  <c r="H718" i="79"/>
  <c r="H664" i="79"/>
  <c r="L745" i="79"/>
  <c r="G746" i="79"/>
  <c r="I1333" i="79"/>
  <c r="G1385" i="79"/>
  <c r="H1337" i="79"/>
  <c r="I333" i="54"/>
  <c r="A286" i="54"/>
  <c r="A287" i="54" s="1"/>
  <c r="H444" i="54" a="1"/>
  <c r="H444" i="54" s="1"/>
  <c r="A245" i="54"/>
  <c r="H382" i="54" a="1"/>
  <c r="H382" i="54" s="1"/>
  <c r="A383" i="54"/>
  <c r="A384" i="54" s="1"/>
  <c r="A445" i="54"/>
  <c r="A117" i="54"/>
  <c r="H117" i="54" s="1" a="1"/>
  <c r="H117" i="54" s="1"/>
  <c r="H469" i="54" a="1"/>
  <c r="H469" i="54" s="1"/>
  <c r="A200" i="54"/>
  <c r="H360" i="54" a="1"/>
  <c r="H360" i="54" s="1"/>
  <c r="E18" i="54"/>
  <c r="E21" i="54"/>
  <c r="E84" i="54"/>
  <c r="E81" i="54"/>
  <c r="C8" i="54" a="1"/>
  <c r="C8" i="54" s="1"/>
  <c r="C50" i="54" s="1"/>
  <c r="A9" i="54"/>
  <c r="E42" i="54"/>
  <c r="E39" i="54"/>
  <c r="A28" i="54"/>
  <c r="A72" i="54"/>
  <c r="C7" i="54" a="1"/>
  <c r="C7" i="54" s="1"/>
  <c r="C49" i="54" s="1"/>
  <c r="E105" i="54"/>
  <c r="E102" i="54"/>
  <c r="C6" i="54" a="1"/>
  <c r="C6" i="54" s="1"/>
  <c r="C48" i="54" s="1"/>
  <c r="B48" i="54" s="1"/>
  <c r="A92" i="54"/>
  <c r="H136" i="54" a="1"/>
  <c r="H136" i="54" s="1"/>
  <c r="A137" i="54"/>
  <c r="A179" i="54"/>
  <c r="H178" i="54" a="1"/>
  <c r="H178" i="54" s="1"/>
  <c r="E223" i="54"/>
  <c r="N113" i="54"/>
  <c r="A223" i="54"/>
  <c r="E244" i="54"/>
  <c r="E309" i="54"/>
  <c r="E286" i="54"/>
  <c r="A307" i="54"/>
  <c r="A363" i="54"/>
  <c r="H362" i="54" a="1"/>
  <c r="H362" i="54" s="1"/>
  <c r="H424" i="54" a="1"/>
  <c r="H424" i="54" s="1"/>
  <c r="A425" i="54"/>
  <c r="H361" i="54" a="1"/>
  <c r="H361" i="54" s="1"/>
  <c r="H490" i="54" a="1"/>
  <c r="H490" i="54" s="1"/>
  <c r="A491" i="54"/>
  <c r="H470" i="54" a="1"/>
  <c r="H470" i="54" s="1"/>
  <c r="A471" i="54"/>
  <c r="A332" i="54"/>
  <c r="E332" i="54"/>
  <c r="G1382" i="79"/>
  <c r="H1382" i="79"/>
  <c r="G1094" i="79"/>
  <c r="G1110" i="79"/>
  <c r="G1214" i="79"/>
  <c r="G1205" i="79"/>
  <c r="H1295" i="79"/>
  <c r="G1336" i="79"/>
  <c r="G1344" i="79"/>
  <c r="G1378" i="79"/>
  <c r="G1292" i="79"/>
  <c r="G1381" i="79"/>
  <c r="G1486" i="79"/>
  <c r="H1392" i="79"/>
  <c r="G1471" i="79"/>
  <c r="H1486" i="79"/>
  <c r="G1347" i="79"/>
  <c r="L1501" i="79"/>
  <c r="G1527" i="79"/>
  <c r="M1501" i="79"/>
  <c r="G1420" i="79"/>
  <c r="G1423" i="79"/>
  <c r="G1434" i="79"/>
  <c r="K1500" i="79"/>
  <c r="L1500" i="79"/>
  <c r="G1333" i="79"/>
  <c r="H1344" i="79"/>
  <c r="H1347" i="79"/>
  <c r="H1437" i="79"/>
  <c r="H1468" i="79"/>
  <c r="G1501" i="79"/>
  <c r="G1285" i="79"/>
  <c r="G1467" i="79"/>
  <c r="J1468" i="79"/>
  <c r="M1500" i="79"/>
  <c r="G1511" i="79"/>
  <c r="H1527" i="79"/>
  <c r="H1511" i="79"/>
  <c r="I1527" i="79"/>
  <c r="G1299" i="79"/>
  <c r="G1302" i="79"/>
  <c r="H1427" i="79"/>
  <c r="H1430" i="79"/>
  <c r="G1500" i="79"/>
  <c r="I1501" i="79"/>
  <c r="H1299" i="79"/>
  <c r="H1302" i="79"/>
  <c r="I1500" i="79"/>
  <c r="G1337" i="79"/>
  <c r="G1340" i="79"/>
  <c r="M1378" i="79"/>
  <c r="G1389" i="79"/>
  <c r="G1392" i="79"/>
  <c r="G1465" i="79"/>
  <c r="G1468" i="79"/>
  <c r="G1492" i="79"/>
  <c r="J1500" i="79"/>
  <c r="K1501" i="79"/>
  <c r="G1111" i="79"/>
  <c r="G1125" i="79"/>
  <c r="G1147" i="79"/>
  <c r="H1205" i="79"/>
  <c r="G1224" i="79"/>
  <c r="G1036" i="79"/>
  <c r="G1221" i="79"/>
  <c r="G1037" i="79"/>
  <c r="G1081" i="79"/>
  <c r="G1155" i="79"/>
  <c r="G1433" i="79"/>
  <c r="G1330" i="79"/>
  <c r="G1375" i="79"/>
  <c r="G1422" i="79"/>
  <c r="H1423" i="79"/>
  <c r="G1472" i="79"/>
  <c r="G1475" i="79"/>
  <c r="G1479" i="79"/>
  <c r="G1482" i="79"/>
  <c r="J1527" i="79"/>
  <c r="H1472" i="79"/>
  <c r="H1475" i="79"/>
  <c r="H1479" i="79"/>
  <c r="M1288" i="79"/>
  <c r="G1291" i="79"/>
  <c r="G1306" i="79"/>
  <c r="G1351" i="79"/>
  <c r="G1396" i="79"/>
  <c r="G1419" i="79"/>
  <c r="G1441" i="79"/>
  <c r="G1447" i="79"/>
  <c r="G1499" i="79"/>
  <c r="G1508" i="79"/>
  <c r="H1306" i="79"/>
  <c r="H1351" i="79"/>
  <c r="H1396" i="79"/>
  <c r="H1441" i="79"/>
  <c r="H1508" i="79"/>
  <c r="M1527" i="79"/>
  <c r="L1527" i="79"/>
  <c r="H1288" i="79"/>
  <c r="G1332" i="79"/>
  <c r="G1377" i="79"/>
  <c r="G1430" i="79"/>
  <c r="G1044" i="79"/>
  <c r="G1074" i="79"/>
  <c r="G1077" i="79"/>
  <c r="G1168" i="79"/>
  <c r="G1192" i="79"/>
  <c r="G1195" i="79"/>
  <c r="G1073" i="79"/>
  <c r="H1074" i="79"/>
  <c r="G1148" i="79"/>
  <c r="G1151" i="79"/>
  <c r="G1213" i="79"/>
  <c r="G1057" i="79"/>
  <c r="G1084" i="79"/>
  <c r="G1121" i="79"/>
  <c r="G1199" i="79"/>
  <c r="J1214" i="79"/>
  <c r="H660" i="79"/>
  <c r="J746" i="79"/>
  <c r="G673" i="79"/>
  <c r="L746" i="79"/>
  <c r="G606" i="79"/>
  <c r="H657" i="79"/>
  <c r="G711" i="79"/>
  <c r="H606" i="79"/>
  <c r="H727" i="79"/>
  <c r="G610" i="79"/>
  <c r="M745" i="79"/>
  <c r="G664" i="79"/>
  <c r="H684" i="79"/>
  <c r="G710" i="79"/>
  <c r="I746" i="79"/>
  <c r="H700" i="79"/>
  <c r="G727" i="79"/>
  <c r="G744" i="79"/>
  <c r="J793" i="79"/>
  <c r="G830" i="79"/>
  <c r="G921" i="79"/>
  <c r="G937" i="79"/>
  <c r="H830" i="79"/>
  <c r="H921" i="79"/>
  <c r="G797" i="79"/>
  <c r="G847" i="79"/>
  <c r="G878" i="79"/>
  <c r="H983" i="79"/>
  <c r="H797" i="79"/>
  <c r="G826" i="79"/>
  <c r="G837" i="79"/>
  <c r="H847" i="79"/>
  <c r="H864" i="79"/>
  <c r="I867" i="79"/>
  <c r="G884" i="79"/>
  <c r="J983" i="79"/>
  <c r="H884" i="79"/>
  <c r="K983" i="79"/>
  <c r="K867" i="79"/>
  <c r="G871" i="79"/>
  <c r="H874" i="79"/>
  <c r="L983" i="79"/>
  <c r="H871" i="79"/>
  <c r="G907" i="79"/>
  <c r="G789" i="79"/>
  <c r="G790" i="79"/>
  <c r="G804" i="79"/>
  <c r="G900" i="79"/>
  <c r="G901" i="79"/>
  <c r="G908" i="79"/>
  <c r="H790" i="79"/>
  <c r="G793" i="79"/>
  <c r="H804" i="79"/>
  <c r="G833" i="79"/>
  <c r="G834" i="79"/>
  <c r="H901" i="79"/>
  <c r="G904" i="79"/>
  <c r="H908" i="79"/>
  <c r="G911" i="79"/>
  <c r="G952" i="79"/>
  <c r="M983" i="79"/>
  <c r="J830" i="79"/>
  <c r="H834" i="79"/>
  <c r="H911" i="79"/>
  <c r="H952" i="79"/>
  <c r="G863" i="79"/>
  <c r="G864" i="79"/>
  <c r="G941" i="79"/>
  <c r="G958" i="79"/>
  <c r="G981" i="79"/>
  <c r="G982" i="79"/>
  <c r="G983" i="79"/>
  <c r="G800" i="79"/>
  <c r="G841" i="79"/>
  <c r="G945" i="79"/>
  <c r="G992" i="79"/>
  <c r="G993" i="79"/>
  <c r="H1040" i="79"/>
  <c r="G1154" i="79"/>
  <c r="I1214" i="79"/>
  <c r="H1057" i="79"/>
  <c r="H1111" i="79"/>
  <c r="G1114" i="79"/>
  <c r="G1131" i="79"/>
  <c r="G1184" i="79"/>
  <c r="G1185" i="79"/>
  <c r="K1214" i="79"/>
  <c r="H1221" i="79"/>
  <c r="H1224" i="79"/>
  <c r="H1114" i="79"/>
  <c r="H1131" i="79"/>
  <c r="H1185" i="79"/>
  <c r="L1214" i="79"/>
  <c r="G1047" i="79"/>
  <c r="G1088" i="79"/>
  <c r="G1118" i="79"/>
  <c r="G1162" i="79"/>
  <c r="M1214" i="79"/>
  <c r="G203" i="79"/>
  <c r="H203" i="79"/>
  <c r="G247" i="79"/>
  <c r="H247" i="79"/>
  <c r="G292" i="79"/>
  <c r="H292" i="79"/>
  <c r="B108" i="79"/>
  <c r="B185" i="79"/>
  <c r="H226" i="79"/>
  <c r="H472" i="79"/>
  <c r="B8" i="79"/>
  <c r="C121" i="79"/>
  <c r="B9" i="79"/>
  <c r="G176" i="79"/>
  <c r="G424" i="79"/>
  <c r="H314" i="79"/>
  <c r="G204" i="79"/>
  <c r="G270" i="79"/>
  <c r="G471" i="79"/>
  <c r="G491" i="79"/>
  <c r="G472" i="79"/>
  <c r="G494" i="79"/>
  <c r="C117" i="79"/>
  <c r="B111" i="79"/>
  <c r="G493" i="79"/>
  <c r="H515" i="79"/>
  <c r="G515" i="79"/>
  <c r="G404" i="79"/>
  <c r="G337" i="79"/>
  <c r="G426" i="79"/>
  <c r="G469" i="79"/>
  <c r="C116" i="79"/>
  <c r="H315" i="79"/>
  <c r="H337" i="79"/>
  <c r="G178" i="79"/>
  <c r="G513" i="79"/>
  <c r="C122" i="79"/>
  <c r="C188" i="79"/>
  <c r="B188" i="79" s="1"/>
  <c r="B182" i="79"/>
  <c r="H382" i="79"/>
  <c r="G382" i="79"/>
  <c r="G452" i="79"/>
  <c r="C45" i="79"/>
  <c r="C64" i="79" s="1"/>
  <c r="B64" i="79" s="1"/>
  <c r="G402" i="79"/>
  <c r="G546" i="79"/>
  <c r="G201" i="79"/>
  <c r="G223" i="79"/>
  <c r="G225" i="79"/>
  <c r="G245" i="79"/>
  <c r="G271" i="79"/>
  <c r="G312" i="79"/>
  <c r="G359" i="79"/>
  <c r="G379" i="79"/>
  <c r="G381" i="79"/>
  <c r="G430" i="79"/>
  <c r="G519" i="79"/>
  <c r="H271" i="79"/>
  <c r="G314" i="79"/>
  <c r="H359" i="79"/>
  <c r="H381" i="79"/>
  <c r="G405" i="79"/>
  <c r="G408" i="79"/>
  <c r="G448" i="79"/>
  <c r="G335" i="79"/>
  <c r="G602" i="79"/>
  <c r="H619" i="79"/>
  <c r="G619" i="79"/>
  <c r="H687" i="79"/>
  <c r="G687" i="79"/>
  <c r="H603" i="79"/>
  <c r="G603" i="79"/>
  <c r="H636" i="79"/>
  <c r="H646" i="79"/>
  <c r="G646" i="79"/>
  <c r="H637" i="79"/>
  <c r="G637" i="79"/>
  <c r="G690" i="79"/>
  <c r="H633" i="79"/>
  <c r="G633" i="79"/>
  <c r="G629" i="79"/>
  <c r="G630" i="79"/>
  <c r="G714" i="79"/>
  <c r="K745" i="79"/>
  <c r="K746" i="79"/>
  <c r="G691" i="79"/>
  <c r="G737" i="79"/>
  <c r="G738" i="79"/>
  <c r="G656" i="79"/>
  <c r="G657" i="79"/>
  <c r="H691" i="79"/>
  <c r="G718" i="79"/>
  <c r="H738" i="79"/>
  <c r="H3249" i="79"/>
  <c r="H3018" i="79"/>
  <c r="G3229" i="79"/>
  <c r="M2849" i="79"/>
  <c r="L3249" i="79"/>
  <c r="L2849" i="79"/>
  <c r="G3249" i="79"/>
  <c r="H3229" i="79"/>
  <c r="K2849" i="79"/>
  <c r="J2849" i="79"/>
  <c r="H2806" i="79"/>
  <c r="L3379" i="79"/>
  <c r="H3017" i="79"/>
  <c r="I2849" i="79"/>
  <c r="G2806" i="79"/>
  <c r="K3379" i="79"/>
  <c r="G3232" i="79"/>
  <c r="G3017" i="79"/>
  <c r="G2849" i="79"/>
  <c r="G2848" i="79"/>
  <c r="G2847" i="79"/>
  <c r="G2831" i="79"/>
  <c r="H2826" i="79"/>
  <c r="G3235" i="79"/>
  <c r="I2697" i="79"/>
  <c r="I2694" i="79"/>
  <c r="H2831" i="79"/>
  <c r="H2697" i="79"/>
  <c r="H2694" i="79"/>
  <c r="G2537" i="79"/>
  <c r="G2697" i="79"/>
  <c r="G2694" i="79"/>
  <c r="H2666" i="79"/>
  <c r="M2550" i="79"/>
  <c r="M2519" i="79"/>
  <c r="M2517" i="79"/>
  <c r="G3018" i="79"/>
  <c r="G2666" i="79"/>
  <c r="L2550" i="79"/>
  <c r="M2537" i="79"/>
  <c r="L2519" i="79"/>
  <c r="L2517" i="79"/>
  <c r="M2697" i="79"/>
  <c r="H2847" i="79"/>
  <c r="L2697" i="79"/>
  <c r="J2550" i="79"/>
  <c r="K2537" i="79"/>
  <c r="K2697" i="79"/>
  <c r="K2694" i="79"/>
  <c r="I2550" i="79"/>
  <c r="J2537" i="79"/>
  <c r="I2519" i="79"/>
  <c r="I2517" i="79"/>
  <c r="M3235" i="79"/>
  <c r="M3249" i="79"/>
  <c r="G3379" i="79"/>
  <c r="G3012" i="79"/>
  <c r="H3232" i="79"/>
  <c r="M3379" i="79"/>
  <c r="J3379" i="79"/>
  <c r="J3249" i="79"/>
  <c r="H3398" i="79"/>
  <c r="H3397" i="79"/>
  <c r="I3379" i="79"/>
  <c r="I3249" i="79"/>
  <c r="G3398" i="79"/>
  <c r="G3397" i="79"/>
  <c r="H3391" i="79"/>
  <c r="H3379" i="79"/>
  <c r="G3391" i="79"/>
  <c r="K3249" i="79"/>
  <c r="O49" i="74" a="1"/>
  <c r="O49" i="74" s="1"/>
  <c r="S119" i="74" a="1"/>
  <c r="S119" i="74" s="1"/>
  <c r="H32" i="74" a="1"/>
  <c r="H32" i="74" s="1"/>
  <c r="P193" i="74" a="1"/>
  <c r="P193" i="74" s="1"/>
  <c r="Q326" i="74" a="1"/>
  <c r="Q326" i="74" s="1"/>
  <c r="S213" i="74" a="1"/>
  <c r="S213" i="74" s="1"/>
  <c r="O213" i="74" a="1"/>
  <c r="O213" i="74" s="1"/>
  <c r="R213" i="74" a="1"/>
  <c r="R213" i="74" s="1"/>
  <c r="N213" i="74" a="1"/>
  <c r="N213" i="74" s="1"/>
  <c r="Q213" i="74" a="1"/>
  <c r="Q213" i="74" s="1"/>
  <c r="M213" i="74" a="1"/>
  <c r="M213" i="74" s="1"/>
  <c r="I213" i="74" a="1"/>
  <c r="I213" i="74" s="1"/>
  <c r="T213" i="74" a="1"/>
  <c r="T213" i="74" s="1"/>
  <c r="P213" i="74" a="1"/>
  <c r="P213" i="74" s="1"/>
  <c r="K213" i="74" a="1"/>
  <c r="K213" i="74" s="1"/>
  <c r="M69" i="74" a="1"/>
  <c r="M69" i="74" s="1"/>
  <c r="M38" i="74" a="1"/>
  <c r="M38" i="74" s="1"/>
  <c r="M297" i="74" a="1"/>
  <c r="M297" i="74" s="1"/>
  <c r="M159" i="74" a="1"/>
  <c r="M159" i="74" s="1"/>
  <c r="M18" i="74" a="1"/>
  <c r="M18" i="74" s="1"/>
  <c r="M169" i="74" a="1"/>
  <c r="M169" i="74" s="1"/>
  <c r="M8" i="74" a="1"/>
  <c r="M8" i="74" s="1"/>
  <c r="M139" i="74" a="1"/>
  <c r="M139" i="74" s="1"/>
  <c r="M267" i="74" a="1"/>
  <c r="M267" i="74" s="1"/>
  <c r="M247" i="74" a="1"/>
  <c r="M247" i="74" s="1"/>
  <c r="M326" i="74" a="1"/>
  <c r="M326" i="74" s="1"/>
  <c r="M128" i="74" a="1"/>
  <c r="M128" i="74" s="1"/>
  <c r="M237" i="74" a="1"/>
  <c r="M237" i="74" s="1"/>
  <c r="M80" i="74" a="1"/>
  <c r="M80" i="74" s="1"/>
  <c r="M227" i="74" a="1"/>
  <c r="M227" i="74" s="1"/>
  <c r="N193" i="74" a="1"/>
  <c r="N193" i="74" s="1"/>
  <c r="F193" i="74" a="1"/>
  <c r="F193" i="74" s="1"/>
  <c r="F213" i="74" a="1"/>
  <c r="F213" i="74" s="1"/>
  <c r="Q109" i="74" a="1"/>
  <c r="Q109" i="74" s="1"/>
  <c r="M109" i="74" a="1"/>
  <c r="M109" i="74" s="1"/>
  <c r="I109" i="74" a="1"/>
  <c r="I109" i="74" s="1"/>
  <c r="T69" i="74" a="1"/>
  <c r="T69" i="74" s="1"/>
  <c r="L69" i="74" a="1"/>
  <c r="L69" i="74" s="1"/>
  <c r="T38" i="74" a="1"/>
  <c r="T38" i="74" s="1"/>
  <c r="L38" i="74" a="1"/>
  <c r="L38" i="74" s="1"/>
  <c r="T297" i="74" a="1"/>
  <c r="T297" i="74" s="1"/>
  <c r="L297" i="74" a="1"/>
  <c r="L297" i="74" s="1"/>
  <c r="T159" i="74" a="1"/>
  <c r="T159" i="74" s="1"/>
  <c r="L159" i="74" a="1"/>
  <c r="L159" i="74" s="1"/>
  <c r="T18" i="74" a="1"/>
  <c r="T18" i="74" s="1"/>
  <c r="L18" i="74" a="1"/>
  <c r="L18" i="74" s="1"/>
  <c r="L169" i="74" a="1"/>
  <c r="L169" i="74" s="1"/>
  <c r="L8" i="74" a="1"/>
  <c r="L8" i="74" s="1"/>
  <c r="T139" i="74" a="1"/>
  <c r="T139" i="74" s="1"/>
  <c r="L139" i="74" a="1"/>
  <c r="L139" i="74" s="1"/>
  <c r="T317" i="74" a="1"/>
  <c r="T317" i="74" s="1"/>
  <c r="L317" i="74" a="1"/>
  <c r="L317" i="74" s="1"/>
  <c r="T267" i="74" a="1"/>
  <c r="T267" i="74" s="1"/>
  <c r="L277" i="74" a="1"/>
  <c r="L277" i="74" s="1"/>
  <c r="J213" i="74" a="1"/>
  <c r="J213" i="74" s="1"/>
  <c r="S69" i="74" a="1"/>
  <c r="S69" i="74" s="1"/>
  <c r="K69" i="74" a="1"/>
  <c r="K69" i="74" s="1"/>
  <c r="S38" i="74" a="1"/>
  <c r="S38" i="74" s="1"/>
  <c r="K38" i="74" a="1"/>
  <c r="K38" i="74" s="1"/>
  <c r="S297" i="74" a="1"/>
  <c r="S297" i="74" s="1"/>
  <c r="K297" i="74" a="1"/>
  <c r="K297" i="74" s="1"/>
  <c r="S159" i="74" a="1"/>
  <c r="S159" i="74" s="1"/>
  <c r="K159" i="74" a="1"/>
  <c r="K159" i="74" s="1"/>
  <c r="S169" i="74" a="1"/>
  <c r="S169" i="74" s="1"/>
  <c r="K169" i="74" a="1"/>
  <c r="K169" i="74" s="1"/>
  <c r="S8" i="74" a="1"/>
  <c r="S8" i="74" s="1"/>
  <c r="K8" i="74" a="1"/>
  <c r="K8" i="74" s="1"/>
  <c r="S139" i="74" a="1"/>
  <c r="S139" i="74" s="1"/>
  <c r="K139" i="74" a="1"/>
  <c r="K139" i="74" s="1"/>
  <c r="S317" i="74" a="1"/>
  <c r="S317" i="74" s="1"/>
  <c r="K317" i="74" a="1"/>
  <c r="K317" i="74" s="1"/>
  <c r="S267" i="74" a="1"/>
  <c r="S267" i="74" s="1"/>
  <c r="K267" i="74" a="1"/>
  <c r="K267" i="74" s="1"/>
  <c r="S277" i="74" a="1"/>
  <c r="S277" i="74" s="1"/>
  <c r="K277" i="74" a="1"/>
  <c r="K277" i="74" s="1"/>
  <c r="Q69" i="74" a="1"/>
  <c r="Q69" i="74" s="1"/>
  <c r="Q38" i="74" a="1"/>
  <c r="Q38" i="74" s="1"/>
  <c r="I38" i="74" a="1"/>
  <c r="I38" i="74" s="1"/>
  <c r="Q297" i="74" a="1"/>
  <c r="Q297" i="74" s="1"/>
  <c r="I297" i="74" a="1"/>
  <c r="I297" i="74" s="1"/>
  <c r="Q159" i="74" a="1"/>
  <c r="Q159" i="74" s="1"/>
  <c r="I159" i="74" a="1"/>
  <c r="I159" i="74" s="1"/>
  <c r="Q18" i="74" a="1"/>
  <c r="Q18" i="74" s="1"/>
  <c r="I18" i="74" a="1"/>
  <c r="I18" i="74" s="1"/>
  <c r="Q169" i="74" a="1"/>
  <c r="Q169" i="74" s="1"/>
  <c r="I169" i="74" a="1"/>
  <c r="I169" i="74" s="1"/>
  <c r="Q8" i="74" a="1"/>
  <c r="Q8" i="74" s="1"/>
  <c r="I8" i="74" a="1"/>
  <c r="I8" i="74" s="1"/>
  <c r="Q139" i="74" a="1"/>
  <c r="Q139" i="74" s="1"/>
  <c r="I139" i="74" a="1"/>
  <c r="I139" i="74" s="1"/>
  <c r="Q317" i="74" a="1"/>
  <c r="Q317" i="74" s="1"/>
  <c r="I317" i="74" a="1"/>
  <c r="I317" i="74" s="1"/>
  <c r="Q267" i="74" a="1"/>
  <c r="Q267" i="74" s="1"/>
  <c r="I267" i="74" a="1"/>
  <c r="I267" i="74" s="1"/>
  <c r="Q277" i="74" a="1"/>
  <c r="Q277" i="74" s="1"/>
  <c r="I277" i="74" a="1"/>
  <c r="I277" i="74" s="1"/>
  <c r="H213" i="74" a="1"/>
  <c r="H213" i="74" s="1"/>
  <c r="S109" i="74" a="1"/>
  <c r="S109" i="74" s="1"/>
  <c r="O109" i="74" a="1"/>
  <c r="O109" i="74" s="1"/>
  <c r="K109" i="74" a="1"/>
  <c r="K109" i="74" s="1"/>
  <c r="G109" i="74" a="1"/>
  <c r="G109" i="74" s="1"/>
  <c r="P69" i="74" a="1"/>
  <c r="P69" i="74" s="1"/>
  <c r="H69" i="74" a="1"/>
  <c r="H69" i="74" s="1"/>
  <c r="P38" i="74" a="1"/>
  <c r="P38" i="74" s="1"/>
  <c r="H38" i="74" a="1"/>
  <c r="H38" i="74" s="1"/>
  <c r="P297" i="74" a="1"/>
  <c r="P297" i="74" s="1"/>
  <c r="H297" i="74" a="1"/>
  <c r="H297" i="74" s="1"/>
  <c r="P159" i="74" a="1"/>
  <c r="P159" i="74" s="1"/>
  <c r="H159" i="74" a="1"/>
  <c r="H159" i="74" s="1"/>
  <c r="P18" i="74" a="1"/>
  <c r="P18" i="74" s="1"/>
  <c r="H18" i="74" a="1"/>
  <c r="H18" i="74" s="1"/>
  <c r="P169" i="74" a="1"/>
  <c r="P169" i="74" s="1"/>
  <c r="H169" i="74" a="1"/>
  <c r="H169" i="74" s="1"/>
  <c r="P8" i="74" a="1"/>
  <c r="P8" i="74" s="1"/>
  <c r="H8" i="74" a="1"/>
  <c r="H8" i="74" s="1"/>
  <c r="P139" i="74" a="1"/>
  <c r="P139" i="74" s="1"/>
  <c r="P317" i="74" a="1"/>
  <c r="P317" i="74" s="1"/>
  <c r="H317" i="74" a="1"/>
  <c r="H317" i="74" s="1"/>
  <c r="P267" i="74" a="1"/>
  <c r="P267" i="74" s="1"/>
  <c r="H267" i="74" a="1"/>
  <c r="H267" i="74" s="1"/>
  <c r="P277" i="74" a="1"/>
  <c r="P277" i="74" s="1"/>
  <c r="T109" i="74" a="1"/>
  <c r="T109" i="74" s="1"/>
  <c r="J109" i="74" a="1"/>
  <c r="J109" i="74" s="1"/>
  <c r="F69" i="74" a="1"/>
  <c r="F69" i="74" s="1"/>
  <c r="R159" i="74" a="1"/>
  <c r="R159" i="74" s="1"/>
  <c r="J8" i="74" a="1"/>
  <c r="J8" i="74" s="1"/>
  <c r="F317" i="74" a="1"/>
  <c r="F317" i="74" s="1"/>
  <c r="L247" i="74" a="1"/>
  <c r="L247" i="74" s="1"/>
  <c r="T326" i="74" a="1"/>
  <c r="T326" i="74" s="1"/>
  <c r="K326" i="74" a="1"/>
  <c r="K326" i="74" s="1"/>
  <c r="S128" i="74" a="1"/>
  <c r="S128" i="74" s="1"/>
  <c r="J128" i="74" a="1"/>
  <c r="J128" i="74" s="1"/>
  <c r="R237" i="74" a="1"/>
  <c r="R237" i="74" s="1"/>
  <c r="Q80" i="74" a="1"/>
  <c r="Q80" i="74" s="1"/>
  <c r="H80" i="74" a="1"/>
  <c r="H80" i="74" s="1"/>
  <c r="P227" i="74" a="1"/>
  <c r="P227" i="74" s="1"/>
  <c r="G227" i="74" a="1"/>
  <c r="G227" i="74" s="1"/>
  <c r="O203" i="74" a="1"/>
  <c r="O203" i="74" s="1"/>
  <c r="F203" i="74" a="1"/>
  <c r="F203" i="74" s="1"/>
  <c r="O193" i="74" a="1"/>
  <c r="O193" i="74" s="1"/>
  <c r="N307" i="74" a="1"/>
  <c r="N307" i="74" s="1"/>
  <c r="F307" i="74" a="1"/>
  <c r="F307" i="74" s="1"/>
  <c r="N32" i="74" a="1"/>
  <c r="N32" i="74" s="1"/>
  <c r="F32" i="74" a="1"/>
  <c r="F32" i="74" s="1"/>
  <c r="N88" i="74" a="1"/>
  <c r="N88" i="74" s="1"/>
  <c r="F88" i="74" a="1"/>
  <c r="F88" i="74" s="1"/>
  <c r="N99" i="74" a="1"/>
  <c r="N99" i="74" s="1"/>
  <c r="F99" i="74" a="1"/>
  <c r="F99" i="74" s="1"/>
  <c r="N149" i="74" a="1"/>
  <c r="N149" i="74" s="1"/>
  <c r="F149" i="74" a="1"/>
  <c r="F149" i="74" s="1"/>
  <c r="N119" i="74" a="1"/>
  <c r="N119" i="74" s="1"/>
  <c r="F119" i="74" a="1"/>
  <c r="F119" i="74" s="1"/>
  <c r="N257" i="74" a="1"/>
  <c r="N257" i="74" s="1"/>
  <c r="F257" i="74" a="1"/>
  <c r="F257" i="74" s="1"/>
  <c r="N59" i="74" a="1"/>
  <c r="N59" i="74" s="1"/>
  <c r="F59" i="74" a="1"/>
  <c r="F59" i="74" s="1"/>
  <c r="N49" i="74" a="1"/>
  <c r="N49" i="74" s="1"/>
  <c r="F49" i="74" a="1"/>
  <c r="F49" i="74" s="1"/>
  <c r="N179" i="74" a="1"/>
  <c r="N179" i="74" s="1"/>
  <c r="F179" i="74" a="1"/>
  <c r="F179" i="74" s="1"/>
  <c r="N335" i="74" a="1"/>
  <c r="N335" i="74" s="1"/>
  <c r="F335" i="74" a="1"/>
  <c r="F335" i="74" s="1"/>
  <c r="N287" i="74" a="1"/>
  <c r="N287" i="74" s="1"/>
  <c r="F287" i="74" a="1"/>
  <c r="F287" i="74" s="1"/>
  <c r="G213" i="74" a="1"/>
  <c r="G213" i="74" s="1"/>
  <c r="H109" i="74" a="1"/>
  <c r="H109" i="74" s="1"/>
  <c r="R297" i="74" a="1"/>
  <c r="R297" i="74" s="1"/>
  <c r="O159" i="74" a="1"/>
  <c r="O159" i="74" s="1"/>
  <c r="N18" i="74" a="1"/>
  <c r="N18" i="74" s="1"/>
  <c r="J169" i="74" a="1"/>
  <c r="J169" i="74" s="1"/>
  <c r="G8" i="74" a="1"/>
  <c r="G8" i="74" s="1"/>
  <c r="F139" i="74" a="1"/>
  <c r="F139" i="74" s="1"/>
  <c r="R277" i="74" a="1"/>
  <c r="R277" i="74" s="1"/>
  <c r="T247" i="74" a="1"/>
  <c r="T247" i="74" s="1"/>
  <c r="K247" i="74" a="1"/>
  <c r="K247" i="74" s="1"/>
  <c r="S326" i="74" a="1"/>
  <c r="S326" i="74" s="1"/>
  <c r="J326" i="74" a="1"/>
  <c r="J326" i="74" s="1"/>
  <c r="R128" i="74" a="1"/>
  <c r="R128" i="74" s="1"/>
  <c r="I128" i="74" a="1"/>
  <c r="I128" i="74" s="1"/>
  <c r="Q237" i="74" a="1"/>
  <c r="Q237" i="74" s="1"/>
  <c r="H237" i="74" a="1"/>
  <c r="H237" i="74" s="1"/>
  <c r="P80" i="74" a="1"/>
  <c r="P80" i="74" s="1"/>
  <c r="G80" i="74" a="1"/>
  <c r="G80" i="74" s="1"/>
  <c r="O227" i="74" a="1"/>
  <c r="O227" i="74" s="1"/>
  <c r="F227" i="74" a="1"/>
  <c r="F227" i="74" s="1"/>
  <c r="N203" i="74" a="1"/>
  <c r="N203" i="74" s="1"/>
  <c r="M193" i="74" a="1"/>
  <c r="M193" i="74" s="1"/>
  <c r="M307" i="74" a="1"/>
  <c r="M307" i="74" s="1"/>
  <c r="M32" i="74" a="1"/>
  <c r="M32" i="74" s="1"/>
  <c r="M88" i="74" a="1"/>
  <c r="M88" i="74" s="1"/>
  <c r="M99" i="74" a="1"/>
  <c r="M99" i="74" s="1"/>
  <c r="M149" i="74" a="1"/>
  <c r="M149" i="74" s="1"/>
  <c r="M119" i="74" a="1"/>
  <c r="M119" i="74" s="1"/>
  <c r="M257" i="74" a="1"/>
  <c r="M257" i="74" s="1"/>
  <c r="M59" i="74" a="1"/>
  <c r="M59" i="74" s="1"/>
  <c r="M49" i="74" a="1"/>
  <c r="M49" i="74" s="1"/>
  <c r="M179" i="74" a="1"/>
  <c r="M179" i="74" s="1"/>
  <c r="M335" i="74" a="1"/>
  <c r="M335" i="74" s="1"/>
  <c r="M287" i="74" a="1"/>
  <c r="M287" i="74" s="1"/>
  <c r="R109" i="74" a="1"/>
  <c r="R109" i="74" s="1"/>
  <c r="R38" i="74" a="1"/>
  <c r="R38" i="74" s="1"/>
  <c r="O297" i="74" a="1"/>
  <c r="O297" i="74" s="1"/>
  <c r="N159" i="74" a="1"/>
  <c r="N159" i="74" s="1"/>
  <c r="J18" i="74" a="1"/>
  <c r="J18" i="74" s="1"/>
  <c r="G169" i="74" a="1"/>
  <c r="G169" i="74" s="1"/>
  <c r="F8" i="74" a="1"/>
  <c r="F8" i="74" s="1"/>
  <c r="R267" i="74" a="1"/>
  <c r="R267" i="74" s="1"/>
  <c r="O277" i="74" a="1"/>
  <c r="O277" i="74" s="1"/>
  <c r="S247" i="74" a="1"/>
  <c r="S247" i="74" s="1"/>
  <c r="J247" i="74" a="1"/>
  <c r="J247" i="74" s="1"/>
  <c r="R326" i="74" a="1"/>
  <c r="R326" i="74" s="1"/>
  <c r="I326" i="74" a="1"/>
  <c r="I326" i="74" s="1"/>
  <c r="Q128" i="74" a="1"/>
  <c r="Q128" i="74" s="1"/>
  <c r="H128" i="74" a="1"/>
  <c r="H128" i="74" s="1"/>
  <c r="P237" i="74" a="1"/>
  <c r="P237" i="74" s="1"/>
  <c r="G237" i="74" a="1"/>
  <c r="G237" i="74" s="1"/>
  <c r="O80" i="74" a="1"/>
  <c r="O80" i="74" s="1"/>
  <c r="F80" i="74" a="1"/>
  <c r="F80" i="74" s="1"/>
  <c r="N227" i="74" a="1"/>
  <c r="N227" i="74" s="1"/>
  <c r="L203" i="74" a="1"/>
  <c r="L203" i="74" s="1"/>
  <c r="L193" i="74" a="1"/>
  <c r="L193" i="74" s="1"/>
  <c r="T307" i="74" a="1"/>
  <c r="T307" i="74" s="1"/>
  <c r="L307" i="74" a="1"/>
  <c r="L307" i="74" s="1"/>
  <c r="T32" i="74" a="1"/>
  <c r="T32" i="74" s="1"/>
  <c r="L32" i="74" a="1"/>
  <c r="L32" i="74" s="1"/>
  <c r="T88" i="74" a="1"/>
  <c r="T88" i="74" s="1"/>
  <c r="L88" i="74" a="1"/>
  <c r="L88" i="74" s="1"/>
  <c r="T99" i="74" a="1"/>
  <c r="T99" i="74" s="1"/>
  <c r="L99" i="74" a="1"/>
  <c r="L99" i="74" s="1"/>
  <c r="T149" i="74" a="1"/>
  <c r="T149" i="74" s="1"/>
  <c r="L149" i="74" a="1"/>
  <c r="L149" i="74" s="1"/>
  <c r="T119" i="74" a="1"/>
  <c r="T119" i="74" s="1"/>
  <c r="L119" i="74" a="1"/>
  <c r="L119" i="74" s="1"/>
  <c r="T257" i="74" a="1"/>
  <c r="T257" i="74" s="1"/>
  <c r="L257" i="74" a="1"/>
  <c r="L257" i="74" s="1"/>
  <c r="T59" i="74" a="1"/>
  <c r="T59" i="74" s="1"/>
  <c r="L59" i="74" a="1"/>
  <c r="L59" i="74" s="1"/>
  <c r="T49" i="74" a="1"/>
  <c r="T49" i="74" s="1"/>
  <c r="L49" i="74" a="1"/>
  <c r="L49" i="74" s="1"/>
  <c r="T179" i="74" a="1"/>
  <c r="T179" i="74" s="1"/>
  <c r="L179" i="74" a="1"/>
  <c r="L179" i="74" s="1"/>
  <c r="T335" i="74" a="1"/>
  <c r="T335" i="74" s="1"/>
  <c r="L335" i="74" a="1"/>
  <c r="L335" i="74" s="1"/>
  <c r="T287" i="74" a="1"/>
  <c r="T287" i="74" s="1"/>
  <c r="L287" i="74" a="1"/>
  <c r="L287" i="74" s="1"/>
  <c r="O69" i="74" a="1"/>
  <c r="O69" i="74" s="1"/>
  <c r="N38" i="74" a="1"/>
  <c r="N38" i="74" s="1"/>
  <c r="J297" i="74" a="1"/>
  <c r="J297" i="74" s="1"/>
  <c r="G159" i="74" a="1"/>
  <c r="G159" i="74" s="1"/>
  <c r="F18" i="74" a="1"/>
  <c r="F18" i="74" s="1"/>
  <c r="R139" i="74" a="1"/>
  <c r="R139" i="74" s="1"/>
  <c r="O317" i="74" a="1"/>
  <c r="O317" i="74" s="1"/>
  <c r="N267" i="74" a="1"/>
  <c r="N267" i="74" s="1"/>
  <c r="J277" i="74" a="1"/>
  <c r="J277" i="74" s="1"/>
  <c r="Q247" i="74" a="1"/>
  <c r="Q247" i="74" s="1"/>
  <c r="H247" i="74" a="1"/>
  <c r="H247" i="74" s="1"/>
  <c r="P326" i="74" a="1"/>
  <c r="P326" i="74" s="1"/>
  <c r="G326" i="74" a="1"/>
  <c r="G326" i="74" s="1"/>
  <c r="O128" i="74" a="1"/>
  <c r="O128" i="74" s="1"/>
  <c r="F128" i="74" a="1"/>
  <c r="F128" i="74" s="1"/>
  <c r="N237" i="74" a="1"/>
  <c r="N237" i="74" s="1"/>
  <c r="L80" i="74" a="1"/>
  <c r="L80" i="74" s="1"/>
  <c r="T227" i="74" a="1"/>
  <c r="T227" i="74" s="1"/>
  <c r="K227" i="74" a="1"/>
  <c r="K227" i="74" s="1"/>
  <c r="S203" i="74" a="1"/>
  <c r="S203" i="74" s="1"/>
  <c r="J203" i="74" a="1"/>
  <c r="J203" i="74" s="1"/>
  <c r="S193" i="74" a="1"/>
  <c r="S193" i="74" s="1"/>
  <c r="J193" i="74" a="1"/>
  <c r="J193" i="74" s="1"/>
  <c r="R307" i="74" a="1"/>
  <c r="R307" i="74" s="1"/>
  <c r="J307" i="74" a="1"/>
  <c r="J307" i="74" s="1"/>
  <c r="R32" i="74" a="1"/>
  <c r="R32" i="74" s="1"/>
  <c r="J32" i="74" a="1"/>
  <c r="J32" i="74" s="1"/>
  <c r="R88" i="74" a="1"/>
  <c r="R88" i="74" s="1"/>
  <c r="J88" i="74" a="1"/>
  <c r="J88" i="74" s="1"/>
  <c r="R99" i="74" a="1"/>
  <c r="R99" i="74" s="1"/>
  <c r="J99" i="74" a="1"/>
  <c r="J99" i="74" s="1"/>
  <c r="R149" i="74" a="1"/>
  <c r="R149" i="74" s="1"/>
  <c r="J149" i="74" a="1"/>
  <c r="J149" i="74" s="1"/>
  <c r="R119" i="74" a="1"/>
  <c r="R119" i="74" s="1"/>
  <c r="J119" i="74" a="1"/>
  <c r="J119" i="74" s="1"/>
  <c r="R257" i="74" a="1"/>
  <c r="R257" i="74" s="1"/>
  <c r="J257" i="74" a="1"/>
  <c r="J257" i="74" s="1"/>
  <c r="R59" i="74" a="1"/>
  <c r="R59" i="74" s="1"/>
  <c r="J59" i="74" a="1"/>
  <c r="J59" i="74" s="1"/>
  <c r="R49" i="74" a="1"/>
  <c r="R49" i="74" s="1"/>
  <c r="J49" i="74" a="1"/>
  <c r="J49" i="74" s="1"/>
  <c r="R179" i="74" a="1"/>
  <c r="R179" i="74" s="1"/>
  <c r="J179" i="74" a="1"/>
  <c r="J179" i="74" s="1"/>
  <c r="R335" i="74" a="1"/>
  <c r="R335" i="74" s="1"/>
  <c r="J335" i="74" a="1"/>
  <c r="J335" i="74" s="1"/>
  <c r="R287" i="74" a="1"/>
  <c r="R287" i="74" s="1"/>
  <c r="J287" i="74" a="1"/>
  <c r="J287" i="74" s="1"/>
  <c r="L213" i="74" a="1"/>
  <c r="L213" i="74" s="1"/>
  <c r="N109" i="74" a="1"/>
  <c r="N109" i="74" s="1"/>
  <c r="N69" i="74" a="1"/>
  <c r="N69" i="74" s="1"/>
  <c r="J38" i="74" a="1"/>
  <c r="J38" i="74" s="1"/>
  <c r="G297" i="74" a="1"/>
  <c r="G297" i="74" s="1"/>
  <c r="F159" i="74" a="1"/>
  <c r="F159" i="74" s="1"/>
  <c r="R8" i="74" a="1"/>
  <c r="R8" i="74" s="1"/>
  <c r="O139" i="74" a="1"/>
  <c r="O139" i="74" s="1"/>
  <c r="N317" i="74" a="1"/>
  <c r="N317" i="74" s="1"/>
  <c r="J267" i="74" a="1"/>
  <c r="J267" i="74" s="1"/>
  <c r="H277" i="74" a="1"/>
  <c r="H277" i="74" s="1"/>
  <c r="P247" i="74" a="1"/>
  <c r="P247" i="74" s="1"/>
  <c r="G247" i="74" a="1"/>
  <c r="G247" i="74" s="1"/>
  <c r="O326" i="74" a="1"/>
  <c r="O326" i="74" s="1"/>
  <c r="F326" i="74" a="1"/>
  <c r="F326" i="74" s="1"/>
  <c r="N128" i="74" a="1"/>
  <c r="N128" i="74" s="1"/>
  <c r="L237" i="74" a="1"/>
  <c r="L237" i="74" s="1"/>
  <c r="T80" i="74" a="1"/>
  <c r="T80" i="74" s="1"/>
  <c r="S227" i="74" a="1"/>
  <c r="S227" i="74" s="1"/>
  <c r="J227" i="74" a="1"/>
  <c r="J227" i="74" s="1"/>
  <c r="R203" i="74" a="1"/>
  <c r="R203" i="74" s="1"/>
  <c r="I203" i="74" a="1"/>
  <c r="I203" i="74" s="1"/>
  <c r="R193" i="74" a="1"/>
  <c r="R193" i="74" s="1"/>
  <c r="I193" i="74" a="1"/>
  <c r="I193" i="74" s="1"/>
  <c r="Q307" i="74" a="1"/>
  <c r="Q307" i="74" s="1"/>
  <c r="I307" i="74" a="1"/>
  <c r="I307" i="74" s="1"/>
  <c r="Q32" i="74" a="1"/>
  <c r="Q32" i="74" s="1"/>
  <c r="I32" i="74" a="1"/>
  <c r="I32" i="74" s="1"/>
  <c r="Q88" i="74" a="1"/>
  <c r="Q88" i="74" s="1"/>
  <c r="I88" i="74" a="1"/>
  <c r="I88" i="74" s="1"/>
  <c r="Q99" i="74" a="1"/>
  <c r="Q99" i="74" s="1"/>
  <c r="I99" i="74" a="1"/>
  <c r="I99" i="74" s="1"/>
  <c r="Q149" i="74" a="1"/>
  <c r="Q149" i="74" s="1"/>
  <c r="I149" i="74" a="1"/>
  <c r="I149" i="74" s="1"/>
  <c r="Q119" i="74" a="1"/>
  <c r="Q119" i="74" s="1"/>
  <c r="I119" i="74" a="1"/>
  <c r="I119" i="74" s="1"/>
  <c r="Q257" i="74" a="1"/>
  <c r="Q257" i="74" s="1"/>
  <c r="I257" i="74" a="1"/>
  <c r="I257" i="74" s="1"/>
  <c r="Q59" i="74" a="1"/>
  <c r="Q59" i="74" s="1"/>
  <c r="I59" i="74" a="1"/>
  <c r="I59" i="74" s="1"/>
  <c r="Q49" i="74" a="1"/>
  <c r="Q49" i="74" s="1"/>
  <c r="I49" i="74" a="1"/>
  <c r="I49" i="74" s="1"/>
  <c r="Q179" i="74" a="1"/>
  <c r="Q179" i="74" s="1"/>
  <c r="I179" i="74" a="1"/>
  <c r="I179" i="74" s="1"/>
  <c r="Q335" i="74" a="1"/>
  <c r="Q335" i="74" s="1"/>
  <c r="I335" i="74" a="1"/>
  <c r="I335" i="74" s="1"/>
  <c r="Q287" i="74" a="1"/>
  <c r="Q287" i="74" s="1"/>
  <c r="I287" i="74" a="1"/>
  <c r="I287" i="74" s="1"/>
  <c r="F38" i="74" a="1"/>
  <c r="F38" i="74" s="1"/>
  <c r="G18" i="74" a="1"/>
  <c r="G18" i="74" s="1"/>
  <c r="O267" i="74" a="1"/>
  <c r="O267" i="74" s="1"/>
  <c r="R247" i="74" a="1"/>
  <c r="R247" i="74" s="1"/>
  <c r="L326" i="74" a="1"/>
  <c r="L326" i="74" s="1"/>
  <c r="S80" i="74" a="1"/>
  <c r="S80" i="74" s="1"/>
  <c r="L227" i="74" a="1"/>
  <c r="L227" i="74" s="1"/>
  <c r="H203" i="74" a="1"/>
  <c r="H203" i="74" s="1"/>
  <c r="H193" i="74" a="1"/>
  <c r="H193" i="74" s="1"/>
  <c r="H307" i="74" a="1"/>
  <c r="H307" i="74" s="1"/>
  <c r="G32" i="74" a="1"/>
  <c r="G32" i="74" s="1"/>
  <c r="S149" i="74" a="1"/>
  <c r="S149" i="74" s="1"/>
  <c r="P119" i="74" a="1"/>
  <c r="P119" i="74" s="1"/>
  <c r="O257" i="74" a="1"/>
  <c r="O257" i="74" s="1"/>
  <c r="K59" i="74" a="1"/>
  <c r="K59" i="74" s="1"/>
  <c r="H49" i="74" a="1"/>
  <c r="H49" i="74" s="1"/>
  <c r="G179" i="74" a="1"/>
  <c r="G179" i="74" s="1"/>
  <c r="N139" i="74" a="1"/>
  <c r="N139" i="74" s="1"/>
  <c r="G267" i="74" a="1"/>
  <c r="G267" i="74" s="1"/>
  <c r="O247" i="74" a="1"/>
  <c r="O247" i="74" s="1"/>
  <c r="H326" i="74" a="1"/>
  <c r="H326" i="74" s="1"/>
  <c r="T237" i="74" a="1"/>
  <c r="T237" i="74" s="1"/>
  <c r="R80" i="74" a="1"/>
  <c r="R80" i="74" s="1"/>
  <c r="I227" i="74" a="1"/>
  <c r="I227" i="74" s="1"/>
  <c r="G203" i="74" a="1"/>
  <c r="G203" i="74" s="1"/>
  <c r="G193" i="74" a="1"/>
  <c r="G193" i="74" s="1"/>
  <c r="G307" i="74" a="1"/>
  <c r="G307" i="74" s="1"/>
  <c r="S99" i="74" a="1"/>
  <c r="S99" i="74" s="1"/>
  <c r="P149" i="74" a="1"/>
  <c r="P149" i="74" s="1"/>
  <c r="O119" i="74" a="1"/>
  <c r="O119" i="74" s="1"/>
  <c r="K257" i="74" a="1"/>
  <c r="K257" i="74" s="1"/>
  <c r="H59" i="74" a="1"/>
  <c r="H59" i="74" s="1"/>
  <c r="G49" i="74" a="1"/>
  <c r="G49" i="74" s="1"/>
  <c r="S287" i="74" a="1"/>
  <c r="S287" i="74" s="1"/>
  <c r="P109" i="74" a="1"/>
  <c r="P109" i="74" s="1"/>
  <c r="R69" i="74" a="1"/>
  <c r="R69" i="74" s="1"/>
  <c r="N297" i="74" a="1"/>
  <c r="N297" i="74" s="1"/>
  <c r="R169" i="74" a="1"/>
  <c r="R169" i="74" s="1"/>
  <c r="J139" i="74" a="1"/>
  <c r="J139" i="74" s="1"/>
  <c r="F267" i="74" a="1"/>
  <c r="F267" i="74" s="1"/>
  <c r="N247" i="74" a="1"/>
  <c r="N247" i="74" s="1"/>
  <c r="S237" i="74" a="1"/>
  <c r="S237" i="74" s="1"/>
  <c r="N80" i="74" a="1"/>
  <c r="N80" i="74" s="1"/>
  <c r="H227" i="74" a="1"/>
  <c r="H227" i="74" s="1"/>
  <c r="S88" i="74" a="1"/>
  <c r="S88" i="74" s="1"/>
  <c r="P99" i="74" a="1"/>
  <c r="P99" i="74" s="1"/>
  <c r="O149" i="74" a="1"/>
  <c r="O149" i="74" s="1"/>
  <c r="K119" i="74" a="1"/>
  <c r="K119" i="74" s="1"/>
  <c r="H257" i="74" a="1"/>
  <c r="H257" i="74" s="1"/>
  <c r="G59" i="74" a="1"/>
  <c r="G59" i="74" s="1"/>
  <c r="S335" i="74" a="1"/>
  <c r="S335" i="74" s="1"/>
  <c r="P287" i="74" a="1"/>
  <c r="P287" i="74" s="1"/>
  <c r="L109" i="74" a="1"/>
  <c r="L109" i="74" s="1"/>
  <c r="J69" i="74" a="1"/>
  <c r="J69" i="74" s="1"/>
  <c r="F297" i="74" a="1"/>
  <c r="F297" i="74" s="1"/>
  <c r="O169" i="74" a="1"/>
  <c r="O169" i="74" s="1"/>
  <c r="I247" i="74" a="1"/>
  <c r="I247" i="74" s="1"/>
  <c r="T128" i="74" a="1"/>
  <c r="T128" i="74" s="1"/>
  <c r="O237" i="74" a="1"/>
  <c r="O237" i="74" s="1"/>
  <c r="S32" i="74" a="1"/>
  <c r="S32" i="74" s="1"/>
  <c r="P88" i="74" a="1"/>
  <c r="P88" i="74" s="1"/>
  <c r="O99" i="74" a="1"/>
  <c r="O99" i="74" s="1"/>
  <c r="K149" i="74" a="1"/>
  <c r="K149" i="74" s="1"/>
  <c r="H119" i="74" a="1"/>
  <c r="H119" i="74" s="1"/>
  <c r="G257" i="74" a="1"/>
  <c r="G257" i="74" s="1"/>
  <c r="S179" i="74" a="1"/>
  <c r="S179" i="74" s="1"/>
  <c r="P335" i="74" a="1"/>
  <c r="P335" i="74" s="1"/>
  <c r="O287" i="74" a="1"/>
  <c r="O287" i="74" s="1"/>
  <c r="G69" i="74" a="1"/>
  <c r="G69" i="74" s="1"/>
  <c r="F169" i="74" a="1"/>
  <c r="F169" i="74" s="1"/>
  <c r="R317" i="74" a="1"/>
  <c r="R317" i="74" s="1"/>
  <c r="N277" i="74" a="1"/>
  <c r="N277" i="74" s="1"/>
  <c r="F247" i="74" a="1"/>
  <c r="F247" i="74" s="1"/>
  <c r="P128" i="74" a="1"/>
  <c r="P128" i="74" s="1"/>
  <c r="K237" i="74" a="1"/>
  <c r="K237" i="74" s="1"/>
  <c r="T203" i="74" a="1"/>
  <c r="T203" i="74" s="1"/>
  <c r="T193" i="74" a="1"/>
  <c r="T193" i="74" s="1"/>
  <c r="S307" i="74" a="1"/>
  <c r="S307" i="74" s="1"/>
  <c r="P32" i="74" a="1"/>
  <c r="P32" i="74" s="1"/>
  <c r="O88" i="74" a="1"/>
  <c r="O88" i="74" s="1"/>
  <c r="K99" i="74" a="1"/>
  <c r="K99" i="74" s="1"/>
  <c r="H149" i="74" a="1"/>
  <c r="H149" i="74" s="1"/>
  <c r="G119" i="74" a="1"/>
  <c r="G119" i="74" s="1"/>
  <c r="S49" i="74" a="1"/>
  <c r="S49" i="74" s="1"/>
  <c r="P179" i="74" a="1"/>
  <c r="P179" i="74" s="1"/>
  <c r="O335" i="74" a="1"/>
  <c r="O335" i="74" s="1"/>
  <c r="K287" i="74" a="1"/>
  <c r="K287" i="74" s="1"/>
  <c r="F109" i="74" a="1"/>
  <c r="F109" i="74" s="1"/>
  <c r="J159" i="74" a="1"/>
  <c r="J159" i="74" s="1"/>
  <c r="J317" i="74" a="1"/>
  <c r="J317" i="74" s="1"/>
  <c r="G277" i="74" a="1"/>
  <c r="G277" i="74" s="1"/>
  <c r="L128" i="74" a="1"/>
  <c r="L128" i="74" s="1"/>
  <c r="J237" i="74" a="1"/>
  <c r="J237" i="74" s="1"/>
  <c r="Q203" i="74" a="1"/>
  <c r="Q203" i="74" s="1"/>
  <c r="Q193" i="74" a="1"/>
  <c r="Q193" i="74" s="1"/>
  <c r="P307" i="74" a="1"/>
  <c r="P307" i="74" s="1"/>
  <c r="O32" i="74" a="1"/>
  <c r="O32" i="74" s="1"/>
  <c r="K88" i="74" a="1"/>
  <c r="K88" i="74" s="1"/>
  <c r="H99" i="74" a="1"/>
  <c r="H99" i="74" s="1"/>
  <c r="G149" i="74" a="1"/>
  <c r="G149" i="74" s="1"/>
  <c r="S59" i="74" a="1"/>
  <c r="S59" i="74" s="1"/>
  <c r="P49" i="74" a="1"/>
  <c r="P49" i="74" s="1"/>
  <c r="O179" i="74" a="1"/>
  <c r="O179" i="74" s="1"/>
  <c r="K335" i="74" a="1"/>
  <c r="K335" i="74" s="1"/>
  <c r="H287" i="74" a="1"/>
  <c r="H287" i="74" s="1"/>
  <c r="G335" i="74" a="1"/>
  <c r="G335" i="74" s="1"/>
  <c r="K32" i="74" a="1"/>
  <c r="K32" i="74" s="1"/>
  <c r="N8" i="74" a="1"/>
  <c r="N8" i="74" s="1"/>
  <c r="G38" i="74" a="1"/>
  <c r="G38" i="74" s="1"/>
  <c r="H335" i="74" a="1"/>
  <c r="H335" i="74" s="1"/>
  <c r="O59" i="74" a="1"/>
  <c r="O59" i="74" s="1"/>
  <c r="F237" i="74" a="1"/>
  <c r="F237" i="74" s="1"/>
  <c r="O8" i="74" a="1"/>
  <c r="O8" i="74" s="1"/>
  <c r="O38" i="74" a="1"/>
  <c r="O38" i="74" s="1"/>
  <c r="P59" i="74" a="1"/>
  <c r="P59" i="74" s="1"/>
  <c r="G99" i="74" a="1"/>
  <c r="G99" i="74" s="1"/>
  <c r="K307" i="74" a="1"/>
  <c r="K307" i="74" s="1"/>
  <c r="K203" i="74" a="1"/>
  <c r="K203" i="74" s="1"/>
  <c r="F277" i="74" a="1"/>
  <c r="F277" i="74" s="1"/>
  <c r="H179" i="74" a="1"/>
  <c r="H179" i="74" s="1"/>
  <c r="O307" i="74" a="1"/>
  <c r="O307" i="74" s="1"/>
  <c r="P203" i="74" a="1"/>
  <c r="P203" i="74" s="1"/>
  <c r="G128" i="74" a="1"/>
  <c r="G128" i="74" s="1"/>
  <c r="K179" i="74" a="1"/>
  <c r="K179" i="74" s="1"/>
  <c r="P257" i="74" a="1"/>
  <c r="P257" i="74" s="1"/>
  <c r="G88" i="74" a="1"/>
  <c r="G88" i="74" s="1"/>
  <c r="K128" i="74" a="1"/>
  <c r="K128" i="74" s="1"/>
  <c r="R18" i="74" a="1"/>
  <c r="R18" i="74" s="1"/>
  <c r="S257" i="74" a="1"/>
  <c r="S257" i="74" s="1"/>
  <c r="H88" i="74" a="1"/>
  <c r="H88" i="74" s="1"/>
  <c r="Q227" i="74" a="1"/>
  <c r="Q227" i="74" s="1"/>
  <c r="G317" i="74" a="1"/>
  <c r="G317" i="74" s="1"/>
  <c r="G287" i="74" a="1"/>
  <c r="G287" i="74" s="1"/>
  <c r="K49" i="74" a="1"/>
  <c r="K49" i="74" s="1"/>
  <c r="K193" i="74" a="1"/>
  <c r="K193" i="74" s="1"/>
  <c r="R227" i="74" a="1"/>
  <c r="R227" i="74" s="1"/>
  <c r="N326" i="74" a="1"/>
  <c r="N326" i="74" s="1"/>
  <c r="J2507" i="79" l="1"/>
  <c r="M2405" i="79"/>
  <c r="D519" i="59"/>
  <c r="H2507" i="79"/>
  <c r="H2505" i="79" s="1"/>
  <c r="H2504" i="79" s="1"/>
  <c r="H2483" i="79" s="1"/>
  <c r="H2473" i="79"/>
  <c r="H2471" i="79" s="1"/>
  <c r="H2470" i="79" s="1"/>
  <c r="H2449" i="79" s="1"/>
  <c r="K2507" i="79"/>
  <c r="K2505" i="79" s="1"/>
  <c r="J2405" i="79"/>
  <c r="J2403" i="79" s="1"/>
  <c r="J2402" i="79" s="1"/>
  <c r="J2381" i="79" s="1"/>
  <c r="I2492" i="79"/>
  <c r="L2505" i="79"/>
  <c r="L2504" i="79" s="1"/>
  <c r="L2483" i="79" s="1"/>
  <c r="G2505" i="79"/>
  <c r="G2504" i="79" s="1"/>
  <c r="G2483" i="79" s="1"/>
  <c r="I2505" i="79"/>
  <c r="I2504" i="79" s="1"/>
  <c r="I2483" i="79" s="1"/>
  <c r="J2505" i="79"/>
  <c r="J2504" i="79" s="1"/>
  <c r="J2483" i="79" s="1"/>
  <c r="M2505" i="79"/>
  <c r="M2504" i="79" s="1"/>
  <c r="M2483" i="79" s="1"/>
  <c r="K1669" i="79"/>
  <c r="K2471" i="79"/>
  <c r="K2470" i="79" s="1"/>
  <c r="K2449" i="79" s="1"/>
  <c r="I1668" i="79"/>
  <c r="L2471" i="79"/>
  <c r="L2470" i="79" s="1"/>
  <c r="L2449" i="79" s="1"/>
  <c r="I1670" i="79"/>
  <c r="J2471" i="79"/>
  <c r="J2470" i="79" s="1"/>
  <c r="J2449" i="79" s="1"/>
  <c r="I2471" i="79"/>
  <c r="I2470" i="79" s="1"/>
  <c r="I2449" i="79" s="1"/>
  <c r="I1667" i="79"/>
  <c r="G2471" i="79"/>
  <c r="G2470" i="79" s="1"/>
  <c r="G2449" i="79" s="1"/>
  <c r="M2471" i="79"/>
  <c r="M2470" i="79" s="1"/>
  <c r="M2449" i="79" s="1"/>
  <c r="J1667" i="79"/>
  <c r="L2437" i="79"/>
  <c r="L2436" i="79" s="1"/>
  <c r="L2415" i="79" s="1"/>
  <c r="H2437" i="79"/>
  <c r="H2436" i="79" s="1"/>
  <c r="H2415" i="79" s="1"/>
  <c r="M2437" i="79"/>
  <c r="M2436" i="79" s="1"/>
  <c r="M2415" i="79" s="1"/>
  <c r="J2466" i="79"/>
  <c r="I2437" i="79"/>
  <c r="I2436" i="79" s="1"/>
  <c r="I2415" i="79" s="1"/>
  <c r="K2437" i="79"/>
  <c r="K2436" i="79" s="1"/>
  <c r="K2415" i="79" s="1"/>
  <c r="G2437" i="79"/>
  <c r="G2436" i="79" s="1"/>
  <c r="G2415" i="79" s="1"/>
  <c r="J2437" i="79"/>
  <c r="J2436" i="79" s="1"/>
  <c r="J2415" i="79" s="1"/>
  <c r="I1671" i="79"/>
  <c r="K2405" i="79"/>
  <c r="H2405" i="79"/>
  <c r="I2403" i="79"/>
  <c r="I2402" i="79" s="1"/>
  <c r="I2381" i="79" s="1"/>
  <c r="G2403" i="79"/>
  <c r="G2402" i="79" s="1"/>
  <c r="G2381" i="79" s="1"/>
  <c r="L2403" i="79"/>
  <c r="L2402" i="79" s="1"/>
  <c r="L2381" i="79" s="1"/>
  <c r="M2403" i="79"/>
  <c r="M2402" i="79" s="1"/>
  <c r="M2381" i="79" s="1"/>
  <c r="I1669" i="79"/>
  <c r="G1670" i="79"/>
  <c r="G1671" i="79"/>
  <c r="G1669" i="79"/>
  <c r="G1668" i="79"/>
  <c r="G1667" i="79"/>
  <c r="H1671" i="79"/>
  <c r="M1668" i="79"/>
  <c r="K1668" i="79"/>
  <c r="J1669" i="79"/>
  <c r="H1670" i="79"/>
  <c r="H1668" i="79"/>
  <c r="H1667" i="79"/>
  <c r="M1670" i="79"/>
  <c r="L1667" i="79"/>
  <c r="M1669" i="79"/>
  <c r="M1667" i="79"/>
  <c r="L1669" i="79"/>
  <c r="L1670" i="79"/>
  <c r="J1668" i="79"/>
  <c r="K1670" i="79"/>
  <c r="L1671" i="79"/>
  <c r="K1667" i="79"/>
  <c r="H1669" i="79"/>
  <c r="J1671" i="79"/>
  <c r="M1671" i="79"/>
  <c r="J1670" i="79"/>
  <c r="L1668" i="79"/>
  <c r="H2516" i="79"/>
  <c r="J2516" i="79"/>
  <c r="K2390" i="79"/>
  <c r="G2458" i="79"/>
  <c r="M2424" i="79"/>
  <c r="G15" i="9"/>
  <c r="H15" i="9" s="1"/>
  <c r="F188" i="9"/>
  <c r="F106" i="9"/>
  <c r="J2424" i="79"/>
  <c r="M2432" i="79"/>
  <c r="L2458" i="79"/>
  <c r="M2466" i="79"/>
  <c r="H2424" i="79"/>
  <c r="G2398" i="79"/>
  <c r="L2398" i="79"/>
  <c r="J2500" i="79"/>
  <c r="L2432" i="79"/>
  <c r="G2424" i="79"/>
  <c r="H2458" i="79"/>
  <c r="K2466" i="79"/>
  <c r="J2458" i="79"/>
  <c r="M2398" i="79"/>
  <c r="I2424" i="79"/>
  <c r="J2398" i="79"/>
  <c r="J2390" i="79"/>
  <c r="G2466" i="79"/>
  <c r="H2432" i="79"/>
  <c r="I2458" i="79"/>
  <c r="H2500" i="79"/>
  <c r="G2500" i="79"/>
  <c r="L2492" i="79"/>
  <c r="M2492" i="79"/>
  <c r="L2383" i="79"/>
  <c r="L2378" i="79" s="1"/>
  <c r="L2387" i="79"/>
  <c r="L2379" i="79" s="1"/>
  <c r="M2451" i="79"/>
  <c r="M2446" i="79" s="1"/>
  <c r="M2455" i="79"/>
  <c r="M2447" i="79" s="1"/>
  <c r="K2387" i="79"/>
  <c r="K2379" i="79" s="1"/>
  <c r="K2383" i="79"/>
  <c r="K2378" i="79" s="1"/>
  <c r="I2390" i="79"/>
  <c r="M2421" i="79"/>
  <c r="M2413" i="79" s="1"/>
  <c r="M2417" i="79"/>
  <c r="M2412" i="79" s="1"/>
  <c r="J1664" i="79"/>
  <c r="J1660" i="79"/>
  <c r="K2489" i="79"/>
  <c r="K2481" i="79" s="1"/>
  <c r="K2485" i="79"/>
  <c r="K2480" i="79" s="1"/>
  <c r="L2500" i="79"/>
  <c r="L2390" i="79"/>
  <c r="K2432" i="79"/>
  <c r="L2466" i="79"/>
  <c r="I1664" i="79"/>
  <c r="I1660" i="79"/>
  <c r="H2417" i="79"/>
  <c r="H2412" i="79" s="1"/>
  <c r="H2421" i="79"/>
  <c r="H2413" i="79" s="1"/>
  <c r="H2489" i="79"/>
  <c r="H2481" i="79" s="1"/>
  <c r="H2485" i="79"/>
  <c r="H2480" i="79" s="1"/>
  <c r="K2417" i="79"/>
  <c r="K2412" i="79" s="1"/>
  <c r="K2421" i="79"/>
  <c r="K2413" i="79" s="1"/>
  <c r="K2455" i="79"/>
  <c r="K2447" i="79" s="1"/>
  <c r="K2451" i="79"/>
  <c r="K2446" i="79" s="1"/>
  <c r="K1664" i="79"/>
  <c r="K1660" i="79"/>
  <c r="G2492" i="79"/>
  <c r="H2398" i="79"/>
  <c r="K2458" i="79"/>
  <c r="L2485" i="79"/>
  <c r="L2480" i="79" s="1"/>
  <c r="L2489" i="79"/>
  <c r="L2481" i="79" s="1"/>
  <c r="I2398" i="79"/>
  <c r="M2458" i="79"/>
  <c r="I2466" i="79"/>
  <c r="K2492" i="79"/>
  <c r="I2451" i="79"/>
  <c r="I2446" i="79" s="1"/>
  <c r="I2455" i="79"/>
  <c r="I2447" i="79" s="1"/>
  <c r="L2421" i="79"/>
  <c r="L2413" i="79" s="1"/>
  <c r="L2417" i="79"/>
  <c r="L2412" i="79" s="1"/>
  <c r="J2421" i="79"/>
  <c r="J2413" i="79" s="1"/>
  <c r="J2417" i="79"/>
  <c r="J2412" i="79" s="1"/>
  <c r="M2383" i="79"/>
  <c r="M2378" i="79" s="1"/>
  <c r="M2387" i="79"/>
  <c r="M2379" i="79" s="1"/>
  <c r="L1660" i="79"/>
  <c r="L1664" i="79"/>
  <c r="I2421" i="79"/>
  <c r="I2413" i="79" s="1"/>
  <c r="I2417" i="79"/>
  <c r="I2412" i="79" s="1"/>
  <c r="H2466" i="79"/>
  <c r="H1660" i="79"/>
  <c r="H1664" i="79"/>
  <c r="G2432" i="79"/>
  <c r="J2489" i="79"/>
  <c r="J2481" i="79" s="1"/>
  <c r="J2485" i="79"/>
  <c r="J2480" i="79" s="1"/>
  <c r="G2390" i="79"/>
  <c r="J2432" i="79"/>
  <c r="H2390" i="79"/>
  <c r="M2500" i="79"/>
  <c r="M2390" i="79"/>
  <c r="I2387" i="79"/>
  <c r="I2379" i="79" s="1"/>
  <c r="I2383" i="79"/>
  <c r="I2378" i="79" s="1"/>
  <c r="M1664" i="79"/>
  <c r="M1660" i="79"/>
  <c r="J2383" i="79"/>
  <c r="J2378" i="79" s="1"/>
  <c r="J2387" i="79"/>
  <c r="J2379" i="79" s="1"/>
  <c r="J2492" i="79"/>
  <c r="K2424" i="79"/>
  <c r="H2455" i="79"/>
  <c r="H2447" i="79" s="1"/>
  <c r="H2451" i="79"/>
  <c r="H2446" i="79" s="1"/>
  <c r="H2383" i="79"/>
  <c r="H2378" i="79" s="1"/>
  <c r="H2387" i="79"/>
  <c r="H2379" i="79" s="1"/>
  <c r="K2398" i="79"/>
  <c r="L2424" i="79"/>
  <c r="K2500" i="79"/>
  <c r="H2492" i="79"/>
  <c r="I2432" i="79"/>
  <c r="G1660" i="79"/>
  <c r="G1664" i="79"/>
  <c r="L2455" i="79"/>
  <c r="L2447" i="79" s="1"/>
  <c r="L2451" i="79"/>
  <c r="L2446" i="79" s="1"/>
  <c r="J2451" i="79"/>
  <c r="J2446" i="79" s="1"/>
  <c r="J2455" i="79"/>
  <c r="J2447" i="79" s="1"/>
  <c r="I2489" i="79"/>
  <c r="I2481" i="79" s="1"/>
  <c r="I2485" i="79"/>
  <c r="I2480" i="79" s="1"/>
  <c r="M2489" i="79"/>
  <c r="M2481" i="79" s="1"/>
  <c r="M2485" i="79"/>
  <c r="M2480" i="79" s="1"/>
  <c r="J2364" i="79"/>
  <c r="L2364" i="79"/>
  <c r="G2364" i="79"/>
  <c r="K2364" i="79"/>
  <c r="I2371" i="79"/>
  <c r="I2364" i="79"/>
  <c r="M2364" i="79"/>
  <c r="H2364" i="79"/>
  <c r="J2371" i="79"/>
  <c r="M2371" i="79"/>
  <c r="L2371" i="79"/>
  <c r="H2371" i="79"/>
  <c r="K2371" i="79"/>
  <c r="G2371" i="79"/>
  <c r="H2652" i="79"/>
  <c r="H270" i="80"/>
  <c r="I270" i="80" s="1"/>
  <c r="J270" i="80" s="1"/>
  <c r="K270" i="80" s="1"/>
  <c r="L270" i="80" s="1"/>
  <c r="M270" i="80" s="1"/>
  <c r="N270" i="80" s="1"/>
  <c r="I269" i="80"/>
  <c r="J269" i="80" s="1"/>
  <c r="K269" i="80" s="1"/>
  <c r="L269" i="80" s="1"/>
  <c r="M269" i="80" s="1"/>
  <c r="N269" i="80" s="1"/>
  <c r="J1553" i="79"/>
  <c r="J1555" i="79"/>
  <c r="H1548" i="79"/>
  <c r="G1551" i="79"/>
  <c r="G1552" i="79"/>
  <c r="H1551" i="79"/>
  <c r="H1555" i="79"/>
  <c r="J1554" i="79"/>
  <c r="H1545" i="79"/>
  <c r="H1544" i="79" s="1"/>
  <c r="AF212" i="52"/>
  <c r="J1552" i="79"/>
  <c r="M1553" i="79"/>
  <c r="H1554" i="79"/>
  <c r="J1551" i="79"/>
  <c r="G1553" i="79"/>
  <c r="M1552" i="79"/>
  <c r="G1555" i="79"/>
  <c r="AA328" i="9" a="1"/>
  <c r="AA328" i="9" s="1"/>
  <c r="K1551" i="79"/>
  <c r="K1553" i="79"/>
  <c r="K1552" i="79"/>
  <c r="L1555" i="79"/>
  <c r="I1548" i="79"/>
  <c r="M1554" i="79"/>
  <c r="M1555" i="79"/>
  <c r="L1552" i="79"/>
  <c r="K1554" i="79"/>
  <c r="K1555" i="79"/>
  <c r="I1553" i="79"/>
  <c r="L1553" i="79"/>
  <c r="L1554" i="79"/>
  <c r="H1552" i="79"/>
  <c r="M1551" i="79"/>
  <c r="G1544" i="79"/>
  <c r="G1548" i="79"/>
  <c r="J1548" i="79"/>
  <c r="G1554" i="79"/>
  <c r="I1554" i="79"/>
  <c r="L1548" i="79"/>
  <c r="H1553" i="79"/>
  <c r="K1548" i="79"/>
  <c r="I1552" i="79"/>
  <c r="I1555" i="79"/>
  <c r="I1551" i="79"/>
  <c r="L1551" i="79"/>
  <c r="M1548" i="79"/>
  <c r="CI338" i="9" a="1"/>
  <c r="CI338" i="9" s="1"/>
  <c r="CI364" i="9" a="1"/>
  <c r="CI364" i="9" s="1"/>
  <c r="CI342" i="9" a="1"/>
  <c r="CI342" i="9" s="1"/>
  <c r="CI386" i="9" a="1"/>
  <c r="CI386" i="9" s="1"/>
  <c r="CI346" i="9" a="1"/>
  <c r="CI346" i="9" s="1"/>
  <c r="CI405" i="9" a="1"/>
  <c r="CI405" i="9" s="1"/>
  <c r="CI355" i="9" a="1"/>
  <c r="CI355" i="9" s="1"/>
  <c r="CI341" i="9" a="1"/>
  <c r="CI341" i="9" s="1"/>
  <c r="CI377" i="9" a="1"/>
  <c r="CI377" i="9" s="1"/>
  <c r="CI332" i="9" a="1"/>
  <c r="CI332" i="9" s="1"/>
  <c r="CI381" i="9" a="1"/>
  <c r="CI381" i="9" s="1"/>
  <c r="CI336" i="9" a="1"/>
  <c r="CI336" i="9" s="1"/>
  <c r="CI339" i="9" a="1"/>
  <c r="CI339" i="9" s="1"/>
  <c r="CI350" i="9" a="1"/>
  <c r="CI350" i="9" s="1"/>
  <c r="CI372" i="9" a="1"/>
  <c r="CI372" i="9" s="1"/>
  <c r="CI343" i="9" a="1"/>
  <c r="CI343" i="9" s="1"/>
  <c r="CI354" i="9" a="1"/>
  <c r="CI354" i="9" s="1"/>
  <c r="CI376" i="9" a="1"/>
  <c r="CI376" i="9" s="1"/>
  <c r="CI380" i="9" a="1"/>
  <c r="CI380" i="9" s="1"/>
  <c r="CI385" i="9" a="1"/>
  <c r="CI385" i="9" s="1"/>
  <c r="CI347" i="9" a="1"/>
  <c r="CI347" i="9" s="1"/>
  <c r="CI353" i="9" a="1"/>
  <c r="CI353" i="9" s="1"/>
  <c r="CI340" i="9" a="1"/>
  <c r="CI340" i="9" s="1"/>
  <c r="CI358" i="9" a="1"/>
  <c r="CI358" i="9" s="1"/>
  <c r="CI351" i="9" a="1"/>
  <c r="CI351" i="9" s="1"/>
  <c r="CI384" i="9" a="1"/>
  <c r="CI384" i="9" s="1"/>
  <c r="CI394" i="9" a="1"/>
  <c r="CI394" i="9" s="1"/>
  <c r="CI404" i="9" a="1"/>
  <c r="CI404" i="9" s="1"/>
  <c r="CI362" i="9" a="1"/>
  <c r="CI362" i="9" s="1"/>
  <c r="CI359" i="9" a="1"/>
  <c r="CI359" i="9" s="1"/>
  <c r="CI357" i="9" a="1"/>
  <c r="CI357" i="9" s="1"/>
  <c r="CI393" i="9" a="1"/>
  <c r="CI393" i="9" s="1"/>
  <c r="CI344" i="9" a="1"/>
  <c r="CI344" i="9" s="1"/>
  <c r="CI371" i="9" a="1"/>
  <c r="CI371" i="9" s="1"/>
  <c r="BO356" i="9" a="1"/>
  <c r="BO356" i="9" s="1"/>
  <c r="CI388" i="9" a="1"/>
  <c r="CI388" i="9" s="1"/>
  <c r="CI398" i="9" a="1"/>
  <c r="CI398" i="9" s="1"/>
  <c r="CI352" i="9" a="1"/>
  <c r="CI352" i="9" s="1"/>
  <c r="CI333" i="9" a="1"/>
  <c r="CI333" i="9" s="1"/>
  <c r="CI391" i="9" a="1"/>
  <c r="CI391" i="9" s="1"/>
  <c r="CI370" i="9" a="1"/>
  <c r="CI370" i="9" s="1"/>
  <c r="CI363" i="9" a="1"/>
  <c r="CI363" i="9" s="1"/>
  <c r="CI375" i="9" a="1"/>
  <c r="CI375" i="9" s="1"/>
  <c r="CI345" i="9" a="1"/>
  <c r="CI345" i="9" s="1"/>
  <c r="CI403" i="9" a="1"/>
  <c r="CI403" i="9" s="1"/>
  <c r="CI337" i="9" a="1"/>
  <c r="CI337" i="9" s="1"/>
  <c r="CI356" i="9" a="1"/>
  <c r="CI356" i="9" s="1"/>
  <c r="CI395" i="9" a="1"/>
  <c r="CI395" i="9" s="1"/>
  <c r="CI374" i="9" a="1"/>
  <c r="CI374" i="9" s="1"/>
  <c r="CI392" i="9" a="1"/>
  <c r="CI392" i="9" s="1"/>
  <c r="CI379" i="9" a="1"/>
  <c r="CI379" i="9" s="1"/>
  <c r="CI330" i="9" a="1"/>
  <c r="CI330" i="9" s="1"/>
  <c r="CI397" i="9" a="1"/>
  <c r="CI397" i="9" s="1"/>
  <c r="CI369" i="9" a="1"/>
  <c r="CI369" i="9" s="1"/>
  <c r="CI331" i="9" a="1"/>
  <c r="CI331" i="9" s="1"/>
  <c r="CI399" i="9" a="1"/>
  <c r="CI399" i="9" s="1"/>
  <c r="CI378" i="9" a="1"/>
  <c r="CI378" i="9" s="1"/>
  <c r="CI396" i="9" a="1"/>
  <c r="CI396" i="9" s="1"/>
  <c r="CI383" i="9" a="1"/>
  <c r="CI383" i="9" s="1"/>
  <c r="CI334" i="9" a="1"/>
  <c r="CI334" i="9" s="1"/>
  <c r="CI373" i="9" a="1"/>
  <c r="CI373" i="9" s="1"/>
  <c r="CI335" i="9" a="1"/>
  <c r="CI335" i="9" s="1"/>
  <c r="CI329" i="9" a="1"/>
  <c r="CI329" i="9" s="1"/>
  <c r="CI382" i="9" a="1"/>
  <c r="CI382" i="9" s="1"/>
  <c r="CI328" i="9" a="1"/>
  <c r="CI328" i="9" s="1"/>
  <c r="CI400" i="9" a="1"/>
  <c r="CI400" i="9" s="1"/>
  <c r="CI387" i="9" a="1"/>
  <c r="CI387" i="9" s="1"/>
  <c r="BO346" i="9" a="1"/>
  <c r="BO346" i="9" s="1"/>
  <c r="BO339" i="9" a="1"/>
  <c r="BO339" i="9" s="1"/>
  <c r="BO337" i="9" a="1"/>
  <c r="BO337" i="9" s="1"/>
  <c r="BO355" i="9" a="1"/>
  <c r="BO355" i="9" s="1"/>
  <c r="BO394" i="9" a="1"/>
  <c r="BO394" i="9" s="1"/>
  <c r="BO399" i="9" a="1"/>
  <c r="BO399" i="9" s="1"/>
  <c r="BO328" i="9" a="1"/>
  <c r="BO328" i="9" s="1"/>
  <c r="BO400" i="9" a="1"/>
  <c r="BO400" i="9" s="1"/>
  <c r="BO350" i="9" a="1"/>
  <c r="BO350" i="9" s="1"/>
  <c r="BO362" i="9" a="1"/>
  <c r="BO362" i="9" s="1"/>
  <c r="BO341" i="9" a="1"/>
  <c r="BO341" i="9" s="1"/>
  <c r="BO359" i="9" a="1"/>
  <c r="BO359" i="9" s="1"/>
  <c r="BO398" i="9" a="1"/>
  <c r="BO398" i="9" s="1"/>
  <c r="BO405" i="9" a="1"/>
  <c r="BO405" i="9" s="1"/>
  <c r="BO332" i="9" a="1"/>
  <c r="BO332" i="9" s="1"/>
  <c r="BO331" i="9" a="1"/>
  <c r="BO331" i="9" s="1"/>
  <c r="BO354" i="9" a="1"/>
  <c r="BO354" i="9" s="1"/>
  <c r="AU332" i="9" a="1"/>
  <c r="AU332" i="9" s="1"/>
  <c r="BO369" i="9" a="1"/>
  <c r="BO369" i="9" s="1"/>
  <c r="BO345" i="9" a="1"/>
  <c r="BO345" i="9" s="1"/>
  <c r="BO372" i="9" a="1"/>
  <c r="BO372" i="9" s="1"/>
  <c r="BO381" i="9" a="1"/>
  <c r="BO381" i="9" s="1"/>
  <c r="BO335" i="9" a="1"/>
  <c r="BO335" i="9" s="1"/>
  <c r="BO336" i="9" a="1"/>
  <c r="BO336" i="9" s="1"/>
  <c r="BO343" i="9" a="1"/>
  <c r="BO343" i="9" s="1"/>
  <c r="BO358" i="9" a="1"/>
  <c r="BO358" i="9" s="1"/>
  <c r="AU381" i="9" a="1"/>
  <c r="AU381" i="9" s="1"/>
  <c r="BO342" i="9" a="1"/>
  <c r="BO342" i="9" s="1"/>
  <c r="BO364" i="9" a="1"/>
  <c r="BO364" i="9" s="1"/>
  <c r="BO376" i="9" a="1"/>
  <c r="BO376" i="9" s="1"/>
  <c r="BO385" i="9" a="1"/>
  <c r="BO385" i="9" s="1"/>
  <c r="BO340" i="9" a="1"/>
  <c r="BO340" i="9" s="1"/>
  <c r="BO371" i="9" a="1"/>
  <c r="BO371" i="9" s="1"/>
  <c r="AU350" i="9" a="1"/>
  <c r="AU350" i="9" s="1"/>
  <c r="BO373" i="9" a="1"/>
  <c r="BO373" i="9" s="1"/>
  <c r="BO393" i="9" a="1"/>
  <c r="BO393" i="9" s="1"/>
  <c r="BO380" i="9" a="1"/>
  <c r="BO380" i="9" s="1"/>
  <c r="BO404" i="9" a="1"/>
  <c r="BO404" i="9" s="1"/>
  <c r="BO344" i="9" a="1"/>
  <c r="BO344" i="9" s="1"/>
  <c r="BO375" i="9" a="1"/>
  <c r="BO375" i="9" s="1"/>
  <c r="BO352" i="9" a="1"/>
  <c r="BO352" i="9" s="1"/>
  <c r="BO334" i="9" a="1"/>
  <c r="BO334" i="9" s="1"/>
  <c r="BO353" i="9" a="1"/>
  <c r="BO353" i="9" s="1"/>
  <c r="BO397" i="9" a="1"/>
  <c r="BO397" i="9" s="1"/>
  <c r="BO384" i="9" a="1"/>
  <c r="BO384" i="9" s="1"/>
  <c r="BO347" i="9" a="1"/>
  <c r="BO347" i="9" s="1"/>
  <c r="BO357" i="9" a="1"/>
  <c r="BO357" i="9" s="1"/>
  <c r="BO363" i="9" a="1"/>
  <c r="BO363" i="9" s="1"/>
  <c r="BO370" i="9" a="1"/>
  <c r="BO370" i="9" s="1"/>
  <c r="BO379" i="9" a="1"/>
  <c r="BO379" i="9" s="1"/>
  <c r="BO329" i="9" a="1"/>
  <c r="BO329" i="9" s="1"/>
  <c r="BO388" i="9" a="1"/>
  <c r="BO388" i="9" s="1"/>
  <c r="BO391" i="9" a="1"/>
  <c r="BO391" i="9" s="1"/>
  <c r="BO374" i="9" a="1"/>
  <c r="BO374" i="9" s="1"/>
  <c r="BO392" i="9" a="1"/>
  <c r="BO392" i="9" s="1"/>
  <c r="BO378" i="9" a="1"/>
  <c r="BO378" i="9" s="1"/>
  <c r="BO383" i="9" a="1"/>
  <c r="BO383" i="9" s="1"/>
  <c r="BO338" i="9" a="1"/>
  <c r="BO338" i="9" s="1"/>
  <c r="BO330" i="9" a="1"/>
  <c r="BO330" i="9" s="1"/>
  <c r="BO377" i="9" a="1"/>
  <c r="BO377" i="9" s="1"/>
  <c r="BO333" i="9" a="1"/>
  <c r="BO333" i="9" s="1"/>
  <c r="BO351" i="9" a="1"/>
  <c r="BO351" i="9" s="1"/>
  <c r="BO403" i="9" a="1"/>
  <c r="BO403" i="9" s="1"/>
  <c r="BO395" i="9" a="1"/>
  <c r="BO395" i="9" s="1"/>
  <c r="BO382" i="9" a="1"/>
  <c r="BO382" i="9" s="1"/>
  <c r="BO396" i="9" a="1"/>
  <c r="BO396" i="9" s="1"/>
  <c r="BO386" i="9" a="1"/>
  <c r="BO386" i="9" s="1"/>
  <c r="BO387" i="9" a="1"/>
  <c r="BO387" i="9" s="1"/>
  <c r="AU393" i="9" a="1"/>
  <c r="AU393" i="9" s="1"/>
  <c r="AU380" i="9" a="1"/>
  <c r="AU380" i="9" s="1"/>
  <c r="AU362" i="9" a="1"/>
  <c r="AU362" i="9" s="1"/>
  <c r="AU405" i="9" a="1"/>
  <c r="AU405" i="9" s="1"/>
  <c r="AU338" i="9" a="1"/>
  <c r="AU338" i="9" s="1"/>
  <c r="AU340" i="9" a="1"/>
  <c r="AU340" i="9" s="1"/>
  <c r="AU397" i="9" a="1"/>
  <c r="AU397" i="9" s="1"/>
  <c r="AU384" i="9" a="1"/>
  <c r="AU384" i="9" s="1"/>
  <c r="AU385" i="9" a="1"/>
  <c r="AU385" i="9" s="1"/>
  <c r="AU391" i="9" a="1"/>
  <c r="AU391" i="9" s="1"/>
  <c r="AU353" i="9" a="1"/>
  <c r="AU353" i="9" s="1"/>
  <c r="AU363" i="9" a="1"/>
  <c r="AU363" i="9" s="1"/>
  <c r="AU354" i="9" a="1"/>
  <c r="AU354" i="9" s="1"/>
  <c r="AU329" i="9" a="1"/>
  <c r="AU329" i="9" s="1"/>
  <c r="AU388" i="9" a="1"/>
  <c r="AU388" i="9" s="1"/>
  <c r="AU404" i="9" a="1"/>
  <c r="AU404" i="9" s="1"/>
  <c r="AU357" i="9" a="1"/>
  <c r="AU357" i="9" s="1"/>
  <c r="AU400" i="9" a="1"/>
  <c r="AU400" i="9" s="1"/>
  <c r="AU358" i="9" a="1"/>
  <c r="AU358" i="9" s="1"/>
  <c r="AU342" i="9" a="1"/>
  <c r="AU342" i="9" s="1"/>
  <c r="AU333" i="9" a="1"/>
  <c r="AU333" i="9" s="1"/>
  <c r="AU351" i="9" a="1"/>
  <c r="AU351" i="9" s="1"/>
  <c r="AU403" i="9" a="1"/>
  <c r="AU403" i="9" s="1"/>
  <c r="AU347" i="9" a="1"/>
  <c r="AU347" i="9" s="1"/>
  <c r="AU370" i="9" a="1"/>
  <c r="AU370" i="9" s="1"/>
  <c r="AU331" i="9" a="1"/>
  <c r="AU331" i="9" s="1"/>
  <c r="AU371" i="9" a="1"/>
  <c r="AU371" i="9" s="1"/>
  <c r="AU330" i="9" a="1"/>
  <c r="AU330" i="9" s="1"/>
  <c r="AU369" i="9" a="1"/>
  <c r="AU369" i="9" s="1"/>
  <c r="AU337" i="9" a="1"/>
  <c r="AU337" i="9" s="1"/>
  <c r="AU355" i="9" a="1"/>
  <c r="AU355" i="9" s="1"/>
  <c r="AU346" i="9" a="1"/>
  <c r="AU346" i="9" s="1"/>
  <c r="AU395" i="9" a="1"/>
  <c r="AU395" i="9" s="1"/>
  <c r="AU374" i="9" a="1"/>
  <c r="AU374" i="9" s="1"/>
  <c r="AU336" i="9" a="1"/>
  <c r="AU336" i="9" s="1"/>
  <c r="AU375" i="9" a="1"/>
  <c r="AU375" i="9" s="1"/>
  <c r="AU373" i="9" a="1"/>
  <c r="AU373" i="9" s="1"/>
  <c r="AU341" i="9" a="1"/>
  <c r="AU341" i="9" s="1"/>
  <c r="AU359" i="9" a="1"/>
  <c r="AU359" i="9" s="1"/>
  <c r="AU394" i="9" a="1"/>
  <c r="AU394" i="9" s="1"/>
  <c r="AU399" i="9" a="1"/>
  <c r="AU399" i="9" s="1"/>
  <c r="AU378" i="9" a="1"/>
  <c r="AU378" i="9" s="1"/>
  <c r="AU344" i="9" a="1"/>
  <c r="AU344" i="9" s="1"/>
  <c r="AU379" i="9" a="1"/>
  <c r="AU379" i="9" s="1"/>
  <c r="AU352" i="9" a="1"/>
  <c r="AU352" i="9" s="1"/>
  <c r="AU335" i="9" a="1"/>
  <c r="AU335" i="9" s="1"/>
  <c r="AU345" i="9" a="1"/>
  <c r="AU345" i="9" s="1"/>
  <c r="AU372" i="9" a="1"/>
  <c r="AU372" i="9" s="1"/>
  <c r="AU398" i="9" a="1"/>
  <c r="AU398" i="9" s="1"/>
  <c r="AU339" i="9" a="1"/>
  <c r="AU339" i="9" s="1"/>
  <c r="AU382" i="9" a="1"/>
  <c r="AU382" i="9" s="1"/>
  <c r="AU392" i="9" a="1"/>
  <c r="AU392" i="9" s="1"/>
  <c r="AU383" i="9" a="1"/>
  <c r="AU383" i="9" s="1"/>
  <c r="AU334" i="9" a="1"/>
  <c r="AU334" i="9" s="1"/>
  <c r="AU356" i="9" a="1"/>
  <c r="AU356" i="9" s="1"/>
  <c r="AU328" i="9" a="1"/>
  <c r="AU328" i="9" s="1"/>
  <c r="AU364" i="9" a="1"/>
  <c r="AU364" i="9" s="1"/>
  <c r="AU376" i="9" a="1"/>
  <c r="AU376" i="9" s="1"/>
  <c r="AU377" i="9" a="1"/>
  <c r="AU377" i="9" s="1"/>
  <c r="AU343" i="9" a="1"/>
  <c r="AU343" i="9" s="1"/>
  <c r="AU386" i="9" a="1"/>
  <c r="AU386" i="9" s="1"/>
  <c r="AU396" i="9" a="1"/>
  <c r="AU396" i="9" s="1"/>
  <c r="AU387" i="9" a="1"/>
  <c r="AU387" i="9" s="1"/>
  <c r="AA333" i="9" a="1"/>
  <c r="AA333" i="9" s="1"/>
  <c r="AA376" i="9" a="1"/>
  <c r="AA376" i="9" s="1"/>
  <c r="AA397" i="9" a="1"/>
  <c r="AA397" i="9" s="1"/>
  <c r="AA398" i="9" a="1"/>
  <c r="AA398" i="9" s="1"/>
  <c r="AA385" i="9" a="1"/>
  <c r="AA385" i="9" s="1"/>
  <c r="AA362" i="9" a="1"/>
  <c r="AA362" i="9" s="1"/>
  <c r="AA386" i="9" a="1"/>
  <c r="AA386" i="9" s="1"/>
  <c r="AA336" i="9" a="1"/>
  <c r="AA336" i="9" s="1"/>
  <c r="AA350" i="9" a="1"/>
  <c r="AA350" i="9" s="1"/>
  <c r="AA341" i="9" a="1"/>
  <c r="AA341" i="9" s="1"/>
  <c r="AA380" i="9" a="1"/>
  <c r="AA380" i="9" s="1"/>
  <c r="AA404" i="9" a="1"/>
  <c r="AA404" i="9" s="1"/>
  <c r="AA391" i="9" a="1"/>
  <c r="AA391" i="9" s="1"/>
  <c r="AA405" i="9" a="1"/>
  <c r="AA405" i="9" s="1"/>
  <c r="AA340" i="9" a="1"/>
  <c r="AA340" i="9" s="1"/>
  <c r="AA354" i="9" a="1"/>
  <c r="AA354" i="9" s="1"/>
  <c r="AA345" i="9" a="1"/>
  <c r="AA345" i="9" s="1"/>
  <c r="AA384" i="9" a="1"/>
  <c r="AA384" i="9" s="1"/>
  <c r="AA330" i="9" a="1"/>
  <c r="AA330" i="9" s="1"/>
  <c r="AA352" i="9" a="1"/>
  <c r="AA352" i="9" s="1"/>
  <c r="AA395" i="9" a="1"/>
  <c r="AA395" i="9" s="1"/>
  <c r="AA357" i="9" a="1"/>
  <c r="AA357" i="9" s="1"/>
  <c r="AA344" i="9" a="1"/>
  <c r="AA344" i="9" s="1"/>
  <c r="AA358" i="9" a="1"/>
  <c r="AA358" i="9" s="1"/>
  <c r="AA393" i="9" a="1"/>
  <c r="AA393" i="9" s="1"/>
  <c r="AA388" i="9" a="1"/>
  <c r="AA388" i="9" s="1"/>
  <c r="AA334" i="9" a="1"/>
  <c r="AA334" i="9" s="1"/>
  <c r="AA356" i="9" a="1"/>
  <c r="AA356" i="9" s="1"/>
  <c r="AA331" i="9" a="1"/>
  <c r="AA331" i="9" s="1"/>
  <c r="AA399" i="9" a="1"/>
  <c r="AA399" i="9" s="1"/>
  <c r="AA370" i="9" a="1"/>
  <c r="AA370" i="9" s="1"/>
  <c r="AA363" i="9" a="1"/>
  <c r="AA363" i="9" s="1"/>
  <c r="AA371" i="9" a="1"/>
  <c r="AA371" i="9" s="1"/>
  <c r="AA351" i="9" a="1"/>
  <c r="AA351" i="9" s="1"/>
  <c r="AA403" i="9" a="1"/>
  <c r="AA403" i="9" s="1"/>
  <c r="AA338" i="9" a="1"/>
  <c r="AA338" i="9" s="1"/>
  <c r="AA369" i="9" a="1"/>
  <c r="AA369" i="9" s="1"/>
  <c r="AA335" i="9" a="1"/>
  <c r="AA335" i="9" s="1"/>
  <c r="AA378" i="9" a="1"/>
  <c r="AA378" i="9" s="1"/>
  <c r="AA392" i="9" a="1"/>
  <c r="AA392" i="9" s="1"/>
  <c r="AA375" i="9" a="1"/>
  <c r="AA375" i="9" s="1"/>
  <c r="AA355" i="9" a="1"/>
  <c r="AA355" i="9" s="1"/>
  <c r="AA342" i="9" a="1"/>
  <c r="AA342" i="9" s="1"/>
  <c r="AA373" i="9" a="1"/>
  <c r="AA373" i="9" s="1"/>
  <c r="AA339" i="9" a="1"/>
  <c r="AA339" i="9" s="1"/>
  <c r="AA382" i="9" a="1"/>
  <c r="AA382" i="9" s="1"/>
  <c r="AA396" i="9" a="1"/>
  <c r="AA396" i="9" s="1"/>
  <c r="AA379" i="9" a="1"/>
  <c r="AA379" i="9" s="1"/>
  <c r="AA359" i="9" a="1"/>
  <c r="AA359" i="9" s="1"/>
  <c r="AA337" i="9" a="1"/>
  <c r="AA337" i="9" s="1"/>
  <c r="AA346" i="9" a="1"/>
  <c r="AA346" i="9" s="1"/>
  <c r="AA377" i="9" a="1"/>
  <c r="AA377" i="9" s="1"/>
  <c r="AA343" i="9" a="1"/>
  <c r="AA343" i="9" s="1"/>
  <c r="AA353" i="9" a="1"/>
  <c r="AA353" i="9" s="1"/>
  <c r="AA400" i="9" a="1"/>
  <c r="AA400" i="9" s="1"/>
  <c r="AA383" i="9" a="1"/>
  <c r="AA383" i="9" s="1"/>
  <c r="AA329" i="9" a="1"/>
  <c r="AA329" i="9" s="1"/>
  <c r="AA372" i="9" a="1"/>
  <c r="AA372" i="9" s="1"/>
  <c r="AA364" i="9" a="1"/>
  <c r="AA364" i="9" s="1"/>
  <c r="AA394" i="9" a="1"/>
  <c r="AA394" i="9" s="1"/>
  <c r="AA381" i="9" a="1"/>
  <c r="AA381" i="9" s="1"/>
  <c r="AA347" i="9" a="1"/>
  <c r="AA347" i="9" s="1"/>
  <c r="AA374" i="9" a="1"/>
  <c r="AA374" i="9" s="1"/>
  <c r="AA332" i="9" a="1"/>
  <c r="AA332" i="9" s="1"/>
  <c r="AA387" i="9" a="1"/>
  <c r="AA387" i="9" s="1"/>
  <c r="G2844" i="79"/>
  <c r="G2879" i="79"/>
  <c r="G2914" i="79"/>
  <c r="H2914" i="79"/>
  <c r="G2949" i="79"/>
  <c r="G2984" i="79"/>
  <c r="H2984" i="79"/>
  <c r="G2650" i="79"/>
  <c r="X251" i="52" s="1"/>
  <c r="H1357" i="79"/>
  <c r="H1312" i="79"/>
  <c r="H1447" i="79"/>
  <c r="H1402" i="79"/>
  <c r="H1492" i="79"/>
  <c r="N64" i="56"/>
  <c r="O64" i="56"/>
  <c r="N63" i="56"/>
  <c r="F183" i="9"/>
  <c r="F113" i="9"/>
  <c r="H2545" i="79"/>
  <c r="H2533" i="79" s="1"/>
  <c r="G2545" i="79"/>
  <c r="G2533" i="79" s="1"/>
  <c r="G2593" i="79"/>
  <c r="G2581" i="79" s="1"/>
  <c r="H2593" i="79"/>
  <c r="H2581" i="79" s="1"/>
  <c r="G2617" i="79"/>
  <c r="G2605" i="79" s="1"/>
  <c r="H2641" i="79"/>
  <c r="H2629" i="79" s="1"/>
  <c r="G2641" i="79"/>
  <c r="G2629" i="79" s="1"/>
  <c r="G328" i="9" a="1"/>
  <c r="G328" i="9" s="1"/>
  <c r="G405" i="9" a="1"/>
  <c r="G405" i="9" s="1"/>
  <c r="G403" i="9" a="1"/>
  <c r="G403" i="9" s="1"/>
  <c r="G404" i="9" a="1"/>
  <c r="G404" i="9" s="1"/>
  <c r="G397" i="9" a="1"/>
  <c r="G397" i="9" s="1"/>
  <c r="G398" i="9" a="1"/>
  <c r="G398" i="9" s="1"/>
  <c r="G399" i="9" a="1"/>
  <c r="G399" i="9" s="1"/>
  <c r="G395" i="9" a="1"/>
  <c r="G395" i="9" s="1"/>
  <c r="G396" i="9" a="1"/>
  <c r="G396" i="9" s="1"/>
  <c r="G356" i="9" a="1"/>
  <c r="G356" i="9" s="1"/>
  <c r="G391" i="9" a="1"/>
  <c r="G391" i="9" s="1"/>
  <c r="G394" i="9" a="1"/>
  <c r="G394" i="9" s="1"/>
  <c r="G392" i="9" a="1"/>
  <c r="G392" i="9" s="1"/>
  <c r="G393" i="9" a="1"/>
  <c r="G393" i="9" s="1"/>
  <c r="G400" i="9" a="1"/>
  <c r="G400" i="9" s="1"/>
  <c r="G385" i="9" a="1"/>
  <c r="G385" i="9" s="1"/>
  <c r="G379" i="9" a="1"/>
  <c r="G379" i="9" s="1"/>
  <c r="G374" i="9" a="1"/>
  <c r="G374" i="9" s="1"/>
  <c r="G383" i="9" a="1"/>
  <c r="G383" i="9" s="1"/>
  <c r="G378" i="9" a="1"/>
  <c r="G378" i="9" s="1"/>
  <c r="G388" i="9" a="1"/>
  <c r="G388" i="9" s="1"/>
  <c r="G386" i="9" a="1"/>
  <c r="G386" i="9" s="1"/>
  <c r="G371" i="9" a="1"/>
  <c r="G371" i="9" s="1"/>
  <c r="G369" i="9" a="1"/>
  <c r="G369" i="9" s="1"/>
  <c r="G370" i="9" a="1"/>
  <c r="G370" i="9" s="1"/>
  <c r="G372" i="9" a="1"/>
  <c r="G372" i="9" s="1"/>
  <c r="G373" i="9" a="1"/>
  <c r="G373" i="9" s="1"/>
  <c r="G382" i="9" a="1"/>
  <c r="G382" i="9" s="1"/>
  <c r="G376" i="9" a="1"/>
  <c r="G376" i="9" s="1"/>
  <c r="G377" i="9" a="1"/>
  <c r="G377" i="9" s="1"/>
  <c r="G375" i="9" a="1"/>
  <c r="G375" i="9" s="1"/>
  <c r="G380" i="9" a="1"/>
  <c r="G380" i="9" s="1"/>
  <c r="G381" i="9" a="1"/>
  <c r="G381" i="9" s="1"/>
  <c r="G387" i="9" a="1"/>
  <c r="G387" i="9" s="1"/>
  <c r="G384" i="9" a="1"/>
  <c r="G384" i="9" s="1"/>
  <c r="G331" i="9" a="1"/>
  <c r="G331" i="9" s="1"/>
  <c r="G355" i="9" a="1"/>
  <c r="G355" i="9" s="1"/>
  <c r="G362" i="9" a="1"/>
  <c r="G362" i="9" s="1"/>
  <c r="G363" i="9" a="1"/>
  <c r="G363" i="9" s="1"/>
  <c r="G364" i="9" a="1"/>
  <c r="G364" i="9" s="1"/>
  <c r="G350" i="9" a="1"/>
  <c r="G350" i="9" s="1"/>
  <c r="G351" i="9" a="1"/>
  <c r="G351" i="9" s="1"/>
  <c r="G352" i="9" a="1"/>
  <c r="G352" i="9" s="1"/>
  <c r="G353" i="9" a="1"/>
  <c r="G353" i="9" s="1"/>
  <c r="G357" i="9" a="1"/>
  <c r="G357" i="9" s="1"/>
  <c r="G358" i="9" a="1"/>
  <c r="G358" i="9" s="1"/>
  <c r="G354" i="9" a="1"/>
  <c r="G354" i="9" s="1"/>
  <c r="G359" i="9" a="1"/>
  <c r="G359" i="9" s="1"/>
  <c r="G332" i="9" a="1"/>
  <c r="G332" i="9" s="1"/>
  <c r="G345" i="9" a="1"/>
  <c r="G345" i="9" s="1"/>
  <c r="G336" i="9" a="1"/>
  <c r="G336" i="9" s="1"/>
  <c r="G346" i="9" a="1"/>
  <c r="G346" i="9" s="1"/>
  <c r="G340" i="9" a="1"/>
  <c r="G340" i="9" s="1"/>
  <c r="G343" i="9" a="1"/>
  <c r="G343" i="9" s="1"/>
  <c r="G344" i="9" a="1"/>
  <c r="G344" i="9" s="1"/>
  <c r="G330" i="9" a="1"/>
  <c r="G330" i="9" s="1"/>
  <c r="G329" i="9" a="1"/>
  <c r="G329" i="9" s="1"/>
  <c r="G342" i="9" a="1"/>
  <c r="G342" i="9" s="1"/>
  <c r="G334" i="9" a="1"/>
  <c r="G334" i="9" s="1"/>
  <c r="G333" i="9" a="1"/>
  <c r="G333" i="9" s="1"/>
  <c r="G335" i="9" a="1"/>
  <c r="G335" i="9" s="1"/>
  <c r="G338" i="9" a="1"/>
  <c r="G338" i="9" s="1"/>
  <c r="G337" i="9" a="1"/>
  <c r="G337" i="9" s="1"/>
  <c r="G339" i="9" a="1"/>
  <c r="G339" i="9" s="1"/>
  <c r="G341" i="9" a="1"/>
  <c r="G341" i="9" s="1"/>
  <c r="G347" i="9" a="1"/>
  <c r="G347" i="9" s="1"/>
  <c r="DJ4" i="10"/>
  <c r="P64" i="56"/>
  <c r="R64" i="56"/>
  <c r="B47" i="54"/>
  <c r="M33" i="91"/>
  <c r="M44" i="91"/>
  <c r="M6" i="91"/>
  <c r="Q63" i="56"/>
  <c r="N44" i="91"/>
  <c r="N33" i="91"/>
  <c r="O33" i="91"/>
  <c r="O6" i="91"/>
  <c r="O44" i="91"/>
  <c r="C9" i="91" a="1"/>
  <c r="C9" i="91" s="1"/>
  <c r="C10" i="91" a="1"/>
  <c r="C10" i="91" s="1"/>
  <c r="P44" i="91"/>
  <c r="P6" i="91"/>
  <c r="P33" i="91"/>
  <c r="Q33" i="91"/>
  <c r="Q6" i="91"/>
  <c r="Q44" i="91"/>
  <c r="C11" i="91" a="1"/>
  <c r="C11" i="91" s="1"/>
  <c r="N6" i="91"/>
  <c r="C8" i="91" a="1"/>
  <c r="C8" i="91" s="1"/>
  <c r="G4" i="8" a="1"/>
  <c r="G4" i="8" s="1"/>
  <c r="N4" i="8" s="1"/>
  <c r="C7" i="91" a="1"/>
  <c r="C7" i="91" s="1"/>
  <c r="R63" i="56"/>
  <c r="O63" i="56"/>
  <c r="Q64" i="56"/>
  <c r="P63" i="56"/>
  <c r="F12" i="9"/>
  <c r="G12" i="9" s="1"/>
  <c r="H12" i="9" s="1"/>
  <c r="I12" i="9" s="1"/>
  <c r="B291" i="9"/>
  <c r="CI291" i="9" s="1" a="1"/>
  <c r="CI291" i="9" s="1"/>
  <c r="I1511" i="79"/>
  <c r="R317" i="59"/>
  <c r="S317" i="59" s="1"/>
  <c r="T317" i="59" s="1"/>
  <c r="U317" i="59" s="1"/>
  <c r="V317" i="59" s="1"/>
  <c r="W317" i="59" s="1"/>
  <c r="X317" i="59" s="1"/>
  <c r="Y317" i="59" s="1"/>
  <c r="Z317" i="59" s="1"/>
  <c r="AA317" i="59" s="1"/>
  <c r="AB317" i="59" s="1"/>
  <c r="AC317" i="59" s="1"/>
  <c r="AD317" i="59" s="1"/>
  <c r="B49" i="54"/>
  <c r="E446" i="54"/>
  <c r="D445" i="54"/>
  <c r="E362" i="54"/>
  <c r="D361" i="54"/>
  <c r="B362" i="54"/>
  <c r="E425" i="54"/>
  <c r="D424" i="54"/>
  <c r="F331" i="54"/>
  <c r="E415" i="54"/>
  <c r="D414" i="54"/>
  <c r="E383" i="54"/>
  <c r="D382" i="54"/>
  <c r="B59" i="56"/>
  <c r="B58" i="56"/>
  <c r="J3082" i="79"/>
  <c r="J3080" i="79" s="1"/>
  <c r="J3064" i="79" s="1"/>
  <c r="G870" i="79"/>
  <c r="G869" i="79" s="1"/>
  <c r="H1080" i="79"/>
  <c r="G1478" i="79"/>
  <c r="G1477" i="79" s="1"/>
  <c r="G1388" i="79"/>
  <c r="G1387" i="79" s="1"/>
  <c r="P62" i="56"/>
  <c r="N62" i="56"/>
  <c r="G1616" i="79"/>
  <c r="G1615" i="79" s="1"/>
  <c r="G385" i="79"/>
  <c r="G341" i="79"/>
  <c r="G189" i="79" s="1"/>
  <c r="G183" i="79" s="1"/>
  <c r="Q62" i="56"/>
  <c r="G363" i="79"/>
  <c r="G362" i="79" s="1"/>
  <c r="H318" i="79"/>
  <c r="G1374" i="79"/>
  <c r="G1373" i="79" s="1"/>
  <c r="G1464" i="79"/>
  <c r="G1463" i="79" s="1"/>
  <c r="H274" i="79"/>
  <c r="H188" i="79" s="1"/>
  <c r="G2780" i="79"/>
  <c r="G2776" i="79" s="1"/>
  <c r="G2772" i="79" s="1"/>
  <c r="L2937" i="79"/>
  <c r="L2935" i="79" s="1"/>
  <c r="L2926" i="79" s="1"/>
  <c r="G497" i="79"/>
  <c r="G496" i="79" s="1"/>
  <c r="H1343" i="79"/>
  <c r="H1342" i="79" s="1"/>
  <c r="O62" i="56"/>
  <c r="H1600" i="79"/>
  <c r="H1599" i="79" s="1"/>
  <c r="I111" i="37"/>
  <c r="I51" i="37" s="1"/>
  <c r="I73" i="37" s="1"/>
  <c r="G475" i="79"/>
  <c r="G191" i="79" s="1"/>
  <c r="G185" i="79" s="1"/>
  <c r="G717" i="79"/>
  <c r="G716" i="79" s="1"/>
  <c r="G1117" i="79"/>
  <c r="G1116" i="79" s="1"/>
  <c r="H833" i="79"/>
  <c r="H832" i="79" s="1"/>
  <c r="G944" i="79"/>
  <c r="G943" i="79" s="1"/>
  <c r="G663" i="79"/>
  <c r="G662" i="79" s="1"/>
  <c r="G1191" i="79"/>
  <c r="G1190" i="79" s="1"/>
  <c r="R62" i="56"/>
  <c r="G1648" i="79"/>
  <c r="G1647" i="79" s="1"/>
  <c r="G1736" i="79"/>
  <c r="G1735" i="79" s="1"/>
  <c r="G1731" i="79" s="1"/>
  <c r="J109" i="37"/>
  <c r="J49" i="37" s="1"/>
  <c r="H296" i="79"/>
  <c r="G1766" i="79"/>
  <c r="G1765" i="79" s="1"/>
  <c r="G1761" i="79" s="1"/>
  <c r="I108" i="37"/>
  <c r="H1721" i="79"/>
  <c r="H1329" i="79"/>
  <c r="G2902" i="79"/>
  <c r="G2900" i="79" s="1"/>
  <c r="G2891" i="79" s="1"/>
  <c r="G3298" i="79"/>
  <c r="G3296" i="79" s="1"/>
  <c r="G2734" i="79"/>
  <c r="G2730" i="79" s="1"/>
  <c r="G2726" i="79" s="1"/>
  <c r="G2972" i="79"/>
  <c r="G2970" i="79" s="1"/>
  <c r="G2961" i="79" s="1"/>
  <c r="H3267" i="79"/>
  <c r="H3265" i="79" s="1"/>
  <c r="M3430" i="79"/>
  <c r="M3428" i="79" s="1"/>
  <c r="H2867" i="79"/>
  <c r="H2865" i="79" s="1"/>
  <c r="H2856" i="79" s="1"/>
  <c r="L3514" i="79"/>
  <c r="L3512" i="79" s="1"/>
  <c r="L2615" i="79"/>
  <c r="L2613" i="79" s="1"/>
  <c r="L2604" i="79" s="1"/>
  <c r="G3542" i="79"/>
  <c r="G3540" i="79" s="1"/>
  <c r="M2688" i="79"/>
  <c r="M2684" i="79" s="1"/>
  <c r="M2680" i="79" s="1"/>
  <c r="L2757" i="79"/>
  <c r="L2753" i="79" s="1"/>
  <c r="L2749" i="79" s="1"/>
  <c r="L3329" i="79"/>
  <c r="L3327" i="79" s="1"/>
  <c r="G3486" i="79"/>
  <c r="G3484" i="79" s="1"/>
  <c r="H2711" i="79"/>
  <c r="H2707" i="79" s="1"/>
  <c r="H2703" i="79" s="1"/>
  <c r="H2567" i="79"/>
  <c r="H2565" i="79" s="1"/>
  <c r="H2556" i="79" s="1"/>
  <c r="G2591" i="79"/>
  <c r="G2589" i="79" s="1"/>
  <c r="G2580" i="79" s="1"/>
  <c r="M3050" i="79"/>
  <c r="M3048" i="79" s="1"/>
  <c r="M3032" i="79" s="1"/>
  <c r="L3146" i="79"/>
  <c r="L3144" i="79" s="1"/>
  <c r="L3128" i="79" s="1"/>
  <c r="H3458" i="79"/>
  <c r="H3456" i="79" s="1"/>
  <c r="M2543" i="79"/>
  <c r="M2541" i="79" s="1"/>
  <c r="G2639" i="79"/>
  <c r="G2637" i="79" s="1"/>
  <c r="G2628" i="79" s="1"/>
  <c r="G3360" i="79"/>
  <c r="G3358" i="79" s="1"/>
  <c r="G3178" i="79"/>
  <c r="G3176" i="79" s="1"/>
  <c r="G3160" i="79" s="1"/>
  <c r="G3114" i="79"/>
  <c r="G3112" i="79" s="1"/>
  <c r="G3096" i="79" s="1"/>
  <c r="H3082" i="79"/>
  <c r="H3080" i="79" s="1"/>
  <c r="H3064" i="79" s="1"/>
  <c r="M2357" i="79"/>
  <c r="M2356" i="79" s="1"/>
  <c r="Q382" i="54"/>
  <c r="R382" i="54" s="1"/>
  <c r="S382" i="54" s="1"/>
  <c r="T382" i="54" s="1"/>
  <c r="U382" i="54" s="1"/>
  <c r="V382" i="54" s="1"/>
  <c r="O382" i="54"/>
  <c r="L382" i="54"/>
  <c r="P382" i="54"/>
  <c r="N382" i="54"/>
  <c r="M382" i="54"/>
  <c r="K382" i="54"/>
  <c r="P424" i="54"/>
  <c r="O424" i="54"/>
  <c r="M424" i="54"/>
  <c r="Q424" i="54"/>
  <c r="R424" i="54" s="1"/>
  <c r="S424" i="54" s="1"/>
  <c r="T424" i="54" s="1"/>
  <c r="U424" i="54" s="1"/>
  <c r="V424" i="54" s="1"/>
  <c r="L424" i="54"/>
  <c r="K424" i="54"/>
  <c r="N424" i="54"/>
  <c r="I91" i="9"/>
  <c r="CP91" i="9"/>
  <c r="CI91" i="9"/>
  <c r="BF91" i="9"/>
  <c r="AY91" i="9"/>
  <c r="AZ91" i="9"/>
  <c r="M254" i="79"/>
  <c r="R321" i="59"/>
  <c r="S321" i="59" s="1"/>
  <c r="T321" i="59" s="1"/>
  <c r="U321" i="59" s="1"/>
  <c r="V321" i="59" s="1"/>
  <c r="W321" i="59" s="1"/>
  <c r="X321" i="59" s="1"/>
  <c r="Y321" i="59" s="1"/>
  <c r="Z321" i="59" s="1"/>
  <c r="AA321" i="59" s="1"/>
  <c r="AB321" i="59" s="1"/>
  <c r="AC321" i="59" s="1"/>
  <c r="AD321" i="59" s="1"/>
  <c r="R323" i="59"/>
  <c r="S323" i="59" s="1"/>
  <c r="T323" i="59" s="1"/>
  <c r="U323" i="59" s="1"/>
  <c r="V323" i="59" s="1"/>
  <c r="W323" i="59" s="1"/>
  <c r="X323" i="59" s="1"/>
  <c r="Y323" i="59" s="1"/>
  <c r="Z323" i="59" s="1"/>
  <c r="AA323" i="59" s="1"/>
  <c r="AB323" i="59" s="1"/>
  <c r="AC323" i="59" s="1"/>
  <c r="AD323" i="59" s="1"/>
  <c r="R334" i="59"/>
  <c r="S334" i="59" s="1"/>
  <c r="T334" i="59" s="1"/>
  <c r="U334" i="59" s="1"/>
  <c r="V334" i="59" s="1"/>
  <c r="W334" i="59" s="1"/>
  <c r="X334" i="59" s="1"/>
  <c r="Y334" i="59" s="1"/>
  <c r="Z334" i="59" s="1"/>
  <c r="AA334" i="59" s="1"/>
  <c r="AB334" i="59" s="1"/>
  <c r="AC334" i="59" s="1"/>
  <c r="AD334" i="59" s="1"/>
  <c r="S302" i="59"/>
  <c r="T302" i="59" s="1"/>
  <c r="U302" i="59" s="1"/>
  <c r="V302" i="59" s="1"/>
  <c r="W302" i="59" s="1"/>
  <c r="X302" i="59" s="1"/>
  <c r="Y302" i="59" s="1"/>
  <c r="Z302" i="59" s="1"/>
  <c r="AA302" i="59" s="1"/>
  <c r="AB302" i="59" s="1"/>
  <c r="AC302" i="59" s="1"/>
  <c r="AD302" i="59" s="1"/>
  <c r="R324" i="59"/>
  <c r="S324" i="59" s="1"/>
  <c r="T324" i="59" s="1"/>
  <c r="U324" i="59" s="1"/>
  <c r="V324" i="59" s="1"/>
  <c r="W324" i="59" s="1"/>
  <c r="X324" i="59" s="1"/>
  <c r="Y324" i="59" s="1"/>
  <c r="Z324" i="59" s="1"/>
  <c r="AA324" i="59" s="1"/>
  <c r="AB324" i="59" s="1"/>
  <c r="AC324" i="59" s="1"/>
  <c r="AD324" i="59" s="1"/>
  <c r="S312" i="59"/>
  <c r="T312" i="59" s="1"/>
  <c r="U312" i="59" s="1"/>
  <c r="V312" i="59" s="1"/>
  <c r="W312" i="59" s="1"/>
  <c r="X312" i="59" s="1"/>
  <c r="Y312" i="59" s="1"/>
  <c r="Z312" i="59" s="1"/>
  <c r="AA312" i="59" s="1"/>
  <c r="AB312" i="59" s="1"/>
  <c r="AC312" i="59" s="1"/>
  <c r="AD312" i="59" s="1"/>
  <c r="R325" i="59"/>
  <c r="S325" i="59" s="1"/>
  <c r="T325" i="59" s="1"/>
  <c r="U325" i="59" s="1"/>
  <c r="V325" i="59" s="1"/>
  <c r="W325" i="59" s="1"/>
  <c r="X325" i="59" s="1"/>
  <c r="Y325" i="59" s="1"/>
  <c r="Z325" i="59" s="1"/>
  <c r="AA325" i="59" s="1"/>
  <c r="AB325" i="59" s="1"/>
  <c r="AC325" i="59" s="1"/>
  <c r="AD325" i="59" s="1"/>
  <c r="R335" i="59"/>
  <c r="S335" i="59" s="1"/>
  <c r="T335" i="59" s="1"/>
  <c r="U335" i="59" s="1"/>
  <c r="V335" i="59" s="1"/>
  <c r="W335" i="59" s="1"/>
  <c r="X335" i="59" s="1"/>
  <c r="Y335" i="59" s="1"/>
  <c r="Z335" i="59" s="1"/>
  <c r="AA335" i="59" s="1"/>
  <c r="AB335" i="59" s="1"/>
  <c r="AC335" i="59" s="1"/>
  <c r="AD335" i="59" s="1"/>
  <c r="R315" i="59"/>
  <c r="R333" i="59"/>
  <c r="S333" i="59" s="1"/>
  <c r="T333" i="59" s="1"/>
  <c r="U333" i="59" s="1"/>
  <c r="V333" i="59" s="1"/>
  <c r="W333" i="59" s="1"/>
  <c r="X333" i="59" s="1"/>
  <c r="Y333" i="59" s="1"/>
  <c r="Z333" i="59" s="1"/>
  <c r="AA333" i="59" s="1"/>
  <c r="AB333" i="59" s="1"/>
  <c r="AC333" i="59" s="1"/>
  <c r="AD333" i="59" s="1"/>
  <c r="AF133" i="52"/>
  <c r="AF136" i="52"/>
  <c r="AF118" i="52"/>
  <c r="AF135" i="52"/>
  <c r="AF130" i="52"/>
  <c r="AF121" i="52"/>
  <c r="AF132" i="52"/>
  <c r="AF116" i="52"/>
  <c r="AF126" i="52"/>
  <c r="AE91" i="9"/>
  <c r="Q91" i="9"/>
  <c r="CQ91" i="9"/>
  <c r="BU91" i="9"/>
  <c r="BV91" i="9"/>
  <c r="BO91" i="9"/>
  <c r="AL91" i="9"/>
  <c r="BB91" i="9"/>
  <c r="AF91" i="9"/>
  <c r="J91" i="9"/>
  <c r="CJ91" i="9"/>
  <c r="CK91" i="9"/>
  <c r="BW91" i="9"/>
  <c r="BA91" i="9"/>
  <c r="G21" i="9"/>
  <c r="H21" i="9" s="1"/>
  <c r="I21" i="9" s="1"/>
  <c r="I71" i="9" s="1"/>
  <c r="BQ91" i="9"/>
  <c r="AU91" i="9"/>
  <c r="R91" i="9"/>
  <c r="K91" i="9"/>
  <c r="CR91" i="9"/>
  <c r="CS91" i="9"/>
  <c r="CL91" i="9"/>
  <c r="BP91" i="9"/>
  <c r="BY91" i="9"/>
  <c r="BC91" i="9"/>
  <c r="AG91" i="9"/>
  <c r="AH91" i="9"/>
  <c r="L91" i="9"/>
  <c r="CT91" i="9"/>
  <c r="BX91" i="9"/>
  <c r="CN91" i="9"/>
  <c r="BR91" i="9"/>
  <c r="AV91" i="9"/>
  <c r="AW91" i="9"/>
  <c r="AA91" i="9"/>
  <c r="M91" i="9"/>
  <c r="N91" i="9"/>
  <c r="CM91" i="9"/>
  <c r="F82" i="9"/>
  <c r="M82" i="9" s="1"/>
  <c r="BZ91" i="9"/>
  <c r="BD91" i="9"/>
  <c r="BE91" i="9"/>
  <c r="AI91" i="9"/>
  <c r="AB91" i="9"/>
  <c r="AC91" i="9"/>
  <c r="G91" i="9"/>
  <c r="H91" i="9"/>
  <c r="CO91" i="9"/>
  <c r="BS91" i="9"/>
  <c r="BT91" i="9"/>
  <c r="AX91" i="9"/>
  <c r="AJ91" i="9"/>
  <c r="AK91" i="9"/>
  <c r="F202" i="9"/>
  <c r="F203" i="9"/>
  <c r="B294" i="9"/>
  <c r="B317" i="9"/>
  <c r="B286" i="9"/>
  <c r="G17" i="9"/>
  <c r="G67" i="9" s="1"/>
  <c r="G78" i="9" s="1"/>
  <c r="F67" i="9"/>
  <c r="F78" i="9" s="1"/>
  <c r="AF5" i="8"/>
  <c r="AG6" i="8"/>
  <c r="Z6" i="8"/>
  <c r="Y5" i="8"/>
  <c r="R6" i="8"/>
  <c r="Q5" i="8"/>
  <c r="J2734" i="79"/>
  <c r="J2730" i="79" s="1"/>
  <c r="J2726" i="79" s="1"/>
  <c r="G1600" i="79"/>
  <c r="G1599" i="79" s="1"/>
  <c r="L2711" i="79"/>
  <c r="L2707" i="79" s="1"/>
  <c r="L2703" i="79" s="1"/>
  <c r="L2639" i="79"/>
  <c r="L2637" i="79" s="1"/>
  <c r="L2628" i="79" s="1"/>
  <c r="L2972" i="79"/>
  <c r="L2970" i="79" s="1"/>
  <c r="L2961" i="79" s="1"/>
  <c r="G3267" i="79"/>
  <c r="G3265" i="79" s="1"/>
  <c r="L3178" i="79"/>
  <c r="L3176" i="79" s="1"/>
  <c r="L3160" i="79" s="1"/>
  <c r="G2567" i="79"/>
  <c r="G2565" i="79" s="1"/>
  <c r="G2556" i="79" s="1"/>
  <c r="G318" i="79"/>
  <c r="L2780" i="79"/>
  <c r="L2776" i="79" s="1"/>
  <c r="L2772" i="79" s="1"/>
  <c r="L3082" i="79"/>
  <c r="L3080" i="79" s="1"/>
  <c r="L3064" i="79" s="1"/>
  <c r="J3458" i="79"/>
  <c r="J3456" i="79" s="1"/>
  <c r="G636" i="79"/>
  <c r="G635" i="79" s="1"/>
  <c r="G274" i="79"/>
  <c r="G188" i="79" s="1"/>
  <c r="G182" i="79" s="1"/>
  <c r="G1080" i="79"/>
  <c r="G1079" i="79" s="1"/>
  <c r="G2867" i="79"/>
  <c r="G2865" i="79" s="1"/>
  <c r="G2856" i="79" s="1"/>
  <c r="J3267" i="79"/>
  <c r="J3265" i="79" s="1"/>
  <c r="L3542" i="79"/>
  <c r="L3540" i="79" s="1"/>
  <c r="G296" i="79"/>
  <c r="G1343" i="79"/>
  <c r="G1342" i="79" s="1"/>
  <c r="G1329" i="79"/>
  <c r="G1328" i="79" s="1"/>
  <c r="L2867" i="79"/>
  <c r="L2865" i="79" s="1"/>
  <c r="L2856" i="79" s="1"/>
  <c r="L3267" i="79"/>
  <c r="L3265" i="79" s="1"/>
  <c r="S301" i="59"/>
  <c r="T301" i="59" s="1"/>
  <c r="U301" i="59" s="1"/>
  <c r="V301" i="59" s="1"/>
  <c r="W301" i="59" s="1"/>
  <c r="X301" i="59" s="1"/>
  <c r="Y301" i="59" s="1"/>
  <c r="Z301" i="59" s="1"/>
  <c r="AA301" i="59" s="1"/>
  <c r="AB301" i="59" s="1"/>
  <c r="AC301" i="59" s="1"/>
  <c r="AD301" i="59" s="1"/>
  <c r="S304" i="59"/>
  <c r="T304" i="59" s="1"/>
  <c r="U304" i="59" s="1"/>
  <c r="V304" i="59" s="1"/>
  <c r="W304" i="59" s="1"/>
  <c r="X304" i="59" s="1"/>
  <c r="Y304" i="59" s="1"/>
  <c r="Z304" i="59" s="1"/>
  <c r="AA304" i="59" s="1"/>
  <c r="AB304" i="59" s="1"/>
  <c r="AC304" i="59" s="1"/>
  <c r="AD304" i="59" s="1"/>
  <c r="K3146" i="79"/>
  <c r="K3144" i="79" s="1"/>
  <c r="K3128" i="79" s="1"/>
  <c r="K3329" i="79"/>
  <c r="K3327" i="79" s="1"/>
  <c r="G3458" i="79"/>
  <c r="G3456" i="79" s="1"/>
  <c r="G3082" i="79"/>
  <c r="G3080" i="79" s="1"/>
  <c r="G3064" i="79" s="1"/>
  <c r="I2972" i="79"/>
  <c r="I2970" i="79" s="1"/>
  <c r="I2961" i="79" s="1"/>
  <c r="L3458" i="79"/>
  <c r="L3456" i="79" s="1"/>
  <c r="J252" i="37"/>
  <c r="S292" i="59"/>
  <c r="T292" i="59" s="1"/>
  <c r="U292" i="59" s="1"/>
  <c r="V292" i="59" s="1"/>
  <c r="W292" i="59" s="1"/>
  <c r="X292" i="59" s="1"/>
  <c r="Y292" i="59" s="1"/>
  <c r="Z292" i="59" s="1"/>
  <c r="AA292" i="59" s="1"/>
  <c r="AB292" i="59" s="1"/>
  <c r="AC292" i="59" s="1"/>
  <c r="AD292" i="59" s="1"/>
  <c r="AL22" i="52"/>
  <c r="AL33" i="52"/>
  <c r="AG8" i="52"/>
  <c r="AF24" i="52"/>
  <c r="AL6" i="52"/>
  <c r="AH11" i="52"/>
  <c r="B30" i="52"/>
  <c r="AG44" i="52"/>
  <c r="AI6" i="52"/>
  <c r="AG23" i="52"/>
  <c r="AJ44" i="52"/>
  <c r="AG22" i="52"/>
  <c r="AJ8" i="52"/>
  <c r="AK8" i="52"/>
  <c r="AG33" i="52"/>
  <c r="AK33" i="52"/>
  <c r="AG42" i="52"/>
  <c r="AF9" i="52"/>
  <c r="AK11" i="52"/>
  <c r="AJ22" i="52"/>
  <c r="AI8" i="52"/>
  <c r="AG11" i="52"/>
  <c r="AG20" i="52"/>
  <c r="AH6" i="52"/>
  <c r="AI22" i="52"/>
  <c r="AL11" i="52"/>
  <c r="AK44" i="52"/>
  <c r="AH44" i="52"/>
  <c r="AH8" i="52"/>
  <c r="AL8" i="52"/>
  <c r="AJ6" i="52"/>
  <c r="AI33" i="52"/>
  <c r="AJ11" i="52"/>
  <c r="AI44" i="52"/>
  <c r="AL44" i="52"/>
  <c r="AK22" i="52"/>
  <c r="AH22" i="52"/>
  <c r="AG6" i="52"/>
  <c r="AK6" i="52"/>
  <c r="AI11" i="52"/>
  <c r="AH33" i="52"/>
  <c r="AJ33" i="52"/>
  <c r="B72" i="52"/>
  <c r="G145" i="52"/>
  <c r="B144" i="52"/>
  <c r="B150" i="52"/>
  <c r="G1298" i="79"/>
  <c r="G1297" i="79" s="1"/>
  <c r="H363" i="79"/>
  <c r="K2688" i="79"/>
  <c r="K2684" i="79" s="1"/>
  <c r="K2680" i="79" s="1"/>
  <c r="I2780" i="79"/>
  <c r="I2776" i="79" s="1"/>
  <c r="I2772" i="79" s="1"/>
  <c r="M2615" i="79"/>
  <c r="M2613" i="79" s="1"/>
  <c r="M2604" i="79" s="1"/>
  <c r="M2937" i="79"/>
  <c r="M2935" i="79" s="1"/>
  <c r="M2926" i="79" s="1"/>
  <c r="K2615" i="79"/>
  <c r="K2613" i="79" s="1"/>
  <c r="K2604" i="79" s="1"/>
  <c r="K2972" i="79"/>
  <c r="K2970" i="79" s="1"/>
  <c r="K2961" i="79" s="1"/>
  <c r="K3458" i="79"/>
  <c r="K3456" i="79" s="1"/>
  <c r="K3542" i="79"/>
  <c r="K3540" i="79" s="1"/>
  <c r="G207" i="79"/>
  <c r="K2639" i="79"/>
  <c r="K2637" i="79" s="1"/>
  <c r="K2628" i="79" s="1"/>
  <c r="K2543" i="79"/>
  <c r="K2541" i="79" s="1"/>
  <c r="K3360" i="79"/>
  <c r="K3358" i="79" s="1"/>
  <c r="K3178" i="79"/>
  <c r="K3176" i="79" s="1"/>
  <c r="K3160" i="79" s="1"/>
  <c r="H3114" i="79"/>
  <c r="H3112" i="79" s="1"/>
  <c r="H3096" i="79" s="1"/>
  <c r="H1388" i="79"/>
  <c r="H1387" i="79" s="1"/>
  <c r="K2711" i="79"/>
  <c r="K2707" i="79" s="1"/>
  <c r="K2703" i="79" s="1"/>
  <c r="I2543" i="79"/>
  <c r="I2541" i="79" s="1"/>
  <c r="K2937" i="79"/>
  <c r="K2935" i="79" s="1"/>
  <c r="K2926" i="79" s="1"/>
  <c r="H2902" i="79"/>
  <c r="H2900" i="79" s="1"/>
  <c r="H2891" i="79" s="1"/>
  <c r="K3514" i="79"/>
  <c r="K3512" i="79" s="1"/>
  <c r="K2757" i="79"/>
  <c r="K2753" i="79" s="1"/>
  <c r="K2749" i="79" s="1"/>
  <c r="H2543" i="79"/>
  <c r="H2541" i="79" s="1"/>
  <c r="I2357" i="79"/>
  <c r="I2356" i="79" s="1"/>
  <c r="H2688" i="79"/>
  <c r="H2684" i="79" s="1"/>
  <c r="H2680" i="79" s="1"/>
  <c r="J108" i="37"/>
  <c r="K2780" i="79"/>
  <c r="K2776" i="79" s="1"/>
  <c r="K2772" i="79" s="1"/>
  <c r="I2639" i="79"/>
  <c r="I2637" i="79" s="1"/>
  <c r="I2628" i="79" s="1"/>
  <c r="H2591" i="79"/>
  <c r="H2589" i="79" s="1"/>
  <c r="H2580" i="79" s="1"/>
  <c r="I3430" i="79"/>
  <c r="I3428" i="79" s="1"/>
  <c r="K2867" i="79"/>
  <c r="K2865" i="79" s="1"/>
  <c r="K2856" i="79" s="1"/>
  <c r="H2734" i="79"/>
  <c r="H2730" i="79" s="1"/>
  <c r="H2726" i="79" s="1"/>
  <c r="I2688" i="79"/>
  <c r="I2684" i="79" s="1"/>
  <c r="I2680" i="79" s="1"/>
  <c r="K2567" i="79"/>
  <c r="K2565" i="79" s="1"/>
  <c r="K2556" i="79" s="1"/>
  <c r="I3360" i="79"/>
  <c r="I3358" i="79" s="1"/>
  <c r="I3178" i="79"/>
  <c r="I3176" i="79" s="1"/>
  <c r="I3160" i="79" s="1"/>
  <c r="K3050" i="79"/>
  <c r="K3048" i="79" s="1"/>
  <c r="K3032" i="79" s="1"/>
  <c r="I3050" i="79"/>
  <c r="I3048" i="79" s="1"/>
  <c r="I3032" i="79" s="1"/>
  <c r="I3542" i="79"/>
  <c r="I3540" i="79" s="1"/>
  <c r="K3430" i="79"/>
  <c r="K3428" i="79" s="1"/>
  <c r="G1043" i="79"/>
  <c r="G1042" i="79" s="1"/>
  <c r="B422" i="54"/>
  <c r="L2734" i="79"/>
  <c r="L2730" i="79" s="1"/>
  <c r="L2726" i="79" s="1"/>
  <c r="K3082" i="79"/>
  <c r="K3080" i="79" s="1"/>
  <c r="K3064" i="79" s="1"/>
  <c r="I107" i="37"/>
  <c r="K3267" i="79"/>
  <c r="K3265" i="79" s="1"/>
  <c r="H3486" i="79"/>
  <c r="H3484" i="79" s="1"/>
  <c r="G229" i="79"/>
  <c r="G2832" i="79"/>
  <c r="G2830" i="79" s="1"/>
  <c r="G2821" i="79" s="1"/>
  <c r="H3298" i="79"/>
  <c r="H3296" i="79" s="1"/>
  <c r="H3050" i="79"/>
  <c r="H3048" i="79" s="1"/>
  <c r="H3032" i="79" s="1"/>
  <c r="G251" i="79"/>
  <c r="H3430" i="79"/>
  <c r="H3428" i="79" s="1"/>
  <c r="G609" i="79"/>
  <c r="G608" i="79" s="1"/>
  <c r="H1191" i="79"/>
  <c r="H1766" i="79"/>
  <c r="J2591" i="79"/>
  <c r="J2589" i="79" s="1"/>
  <c r="J2580" i="79" s="1"/>
  <c r="J3298" i="79"/>
  <c r="J3296" i="79" s="1"/>
  <c r="M3329" i="79"/>
  <c r="M3327" i="79" s="1"/>
  <c r="I3486" i="79"/>
  <c r="I3484" i="79" s="1"/>
  <c r="H1464" i="79"/>
  <c r="N65" i="56"/>
  <c r="F172" i="9"/>
  <c r="I172" i="9" s="1"/>
  <c r="M2757" i="79"/>
  <c r="M2753" i="79" s="1"/>
  <c r="M2749" i="79" s="1"/>
  <c r="J2902" i="79"/>
  <c r="J2900" i="79" s="1"/>
  <c r="J2891" i="79" s="1"/>
  <c r="H717" i="79"/>
  <c r="H716" i="79" s="1"/>
  <c r="H519" i="79"/>
  <c r="H1478" i="79"/>
  <c r="H1477" i="79" s="1"/>
  <c r="P65" i="56"/>
  <c r="H2639" i="79"/>
  <c r="H2637" i="79" s="1"/>
  <c r="H2628" i="79" s="1"/>
  <c r="H2972" i="79"/>
  <c r="H2970" i="79" s="1"/>
  <c r="H2961" i="79" s="1"/>
  <c r="R65" i="56"/>
  <c r="H2780" i="79"/>
  <c r="H2776" i="79" s="1"/>
  <c r="H2772" i="79" s="1"/>
  <c r="I2734" i="79"/>
  <c r="I2730" i="79" s="1"/>
  <c r="I2726" i="79" s="1"/>
  <c r="I2591" i="79"/>
  <c r="I2589" i="79" s="1"/>
  <c r="I2580" i="79" s="1"/>
  <c r="H497" i="79"/>
  <c r="O65" i="56"/>
  <c r="H3360" i="79"/>
  <c r="H3358" i="79" s="1"/>
  <c r="I3298" i="79"/>
  <c r="I3296" i="79" s="1"/>
  <c r="H3178" i="79"/>
  <c r="H3176" i="79" s="1"/>
  <c r="H3160" i="79" s="1"/>
  <c r="I3114" i="79"/>
  <c r="I3112" i="79" s="1"/>
  <c r="I3096" i="79" s="1"/>
  <c r="H944" i="79"/>
  <c r="H943" i="79" s="1"/>
  <c r="H1648" i="79"/>
  <c r="H1647" i="79" s="1"/>
  <c r="J111" i="37"/>
  <c r="J3114" i="79"/>
  <c r="J3112" i="79" s="1"/>
  <c r="J3096" i="79" s="1"/>
  <c r="M3514" i="79"/>
  <c r="M3512" i="79" s="1"/>
  <c r="Q65" i="56"/>
  <c r="I2902" i="79"/>
  <c r="I2900" i="79" s="1"/>
  <c r="I2891" i="79" s="1"/>
  <c r="M3146" i="79"/>
  <c r="M3144" i="79" s="1"/>
  <c r="M3128" i="79" s="1"/>
  <c r="J3486" i="79"/>
  <c r="J3484" i="79" s="1"/>
  <c r="H3542" i="79"/>
  <c r="H3540" i="79" s="1"/>
  <c r="H2357" i="79"/>
  <c r="H2356" i="79" s="1"/>
  <c r="C330" i="54" a="1"/>
  <c r="C330" i="54" s="1"/>
  <c r="D330" i="54" s="1"/>
  <c r="K2357" i="79"/>
  <c r="K2356" i="79" s="1"/>
  <c r="M3265" i="79"/>
  <c r="C199" i="54" a="1"/>
  <c r="C199" i="54" s="1"/>
  <c r="B199" i="54" s="1"/>
  <c r="C360" i="54" a="1"/>
  <c r="C360" i="54" s="1"/>
  <c r="B360" i="54" s="1"/>
  <c r="I3458" i="79"/>
  <c r="I3456" i="79" s="1"/>
  <c r="I3267" i="79"/>
  <c r="I3265" i="79" s="1"/>
  <c r="L2543" i="79"/>
  <c r="L2541" i="79" s="1"/>
  <c r="G3050" i="79"/>
  <c r="G3048" i="79" s="1"/>
  <c r="G3032" i="79" s="1"/>
  <c r="C381" i="54" a="1"/>
  <c r="C381" i="54" s="1"/>
  <c r="B381" i="54" s="1"/>
  <c r="L3430" i="79"/>
  <c r="L3428" i="79" s="1"/>
  <c r="K22" i="80"/>
  <c r="L66" i="37" s="1"/>
  <c r="K38" i="80"/>
  <c r="K341" i="37"/>
  <c r="K18" i="80"/>
  <c r="K180" i="37"/>
  <c r="K24" i="80"/>
  <c r="K39" i="80"/>
  <c r="K181" i="37"/>
  <c r="K20" i="80"/>
  <c r="K340" i="37"/>
  <c r="K36" i="80"/>
  <c r="L67" i="37" s="1"/>
  <c r="K17" i="80"/>
  <c r="K125" i="37"/>
  <c r="K15" i="80"/>
  <c r="K251" i="37"/>
  <c r="D787" i="59"/>
  <c r="D792" i="59"/>
  <c r="J3178" i="79"/>
  <c r="J3176" i="79" s="1"/>
  <c r="J3160" i="79" s="1"/>
  <c r="C115" i="54" a="1"/>
  <c r="C115" i="54" s="1"/>
  <c r="B115" i="54" s="1"/>
  <c r="H3146" i="79"/>
  <c r="H3144" i="79" s="1"/>
  <c r="H3128" i="79" s="1"/>
  <c r="B50" i="54"/>
  <c r="H430" i="79"/>
  <c r="B382" i="54"/>
  <c r="M2780" i="79"/>
  <c r="M2776" i="79" s="1"/>
  <c r="M2772" i="79" s="1"/>
  <c r="J3146" i="79"/>
  <c r="J3144" i="79" s="1"/>
  <c r="J3128" i="79" s="1"/>
  <c r="B313" i="9"/>
  <c r="B285" i="9"/>
  <c r="F189" i="9"/>
  <c r="M3178" i="79"/>
  <c r="M3176" i="79" s="1"/>
  <c r="M3160" i="79" s="1"/>
  <c r="J3430" i="79"/>
  <c r="J3428" i="79" s="1"/>
  <c r="H690" i="79"/>
  <c r="H689" i="79" s="1"/>
  <c r="H1419" i="79"/>
  <c r="B321" i="9"/>
  <c r="CI321" i="9" s="1" a="1"/>
  <c r="CI321" i="9" s="1"/>
  <c r="B309" i="9"/>
  <c r="CI309" i="9" s="1" a="1"/>
  <c r="CI309" i="9" s="1"/>
  <c r="B323" i="9"/>
  <c r="B322" i="9"/>
  <c r="B314" i="9"/>
  <c r="B316" i="9"/>
  <c r="CI437" i="9" s="1"/>
  <c r="F184" i="9"/>
  <c r="J2688" i="79"/>
  <c r="J2684" i="79" s="1"/>
  <c r="J2680" i="79" s="1"/>
  <c r="B304" i="9"/>
  <c r="B311" i="9"/>
  <c r="B310" i="9"/>
  <c r="B302" i="9"/>
  <c r="B297" i="9"/>
  <c r="F107" i="9"/>
  <c r="P66" i="56"/>
  <c r="H1751" i="79"/>
  <c r="H1750" i="79" s="1"/>
  <c r="H1746" i="79" s="1"/>
  <c r="H2757" i="79"/>
  <c r="H2753" i="79" s="1"/>
  <c r="H2749" i="79" s="1"/>
  <c r="J2757" i="79"/>
  <c r="J2753" i="79" s="1"/>
  <c r="J2749" i="79" s="1"/>
  <c r="J2639" i="79"/>
  <c r="J2637" i="79" s="1"/>
  <c r="J2628" i="79" s="1"/>
  <c r="H3514" i="79"/>
  <c r="H3512" i="79" s="1"/>
  <c r="J3514" i="79"/>
  <c r="J3512" i="79" s="1"/>
  <c r="M3542" i="79"/>
  <c r="M3540" i="79" s="1"/>
  <c r="H408" i="79"/>
  <c r="H190" i="79" s="1"/>
  <c r="H1433" i="79"/>
  <c r="H1432" i="79" s="1"/>
  <c r="B300" i="9"/>
  <c r="CI300" i="9" s="1" a="1"/>
  <c r="CI300" i="9" s="1"/>
  <c r="B299" i="9"/>
  <c r="CI299" i="9" s="1" a="1"/>
  <c r="CI299" i="9" s="1"/>
  <c r="B298" i="9"/>
  <c r="B293" i="9"/>
  <c r="B308" i="9"/>
  <c r="G16" i="9"/>
  <c r="H16" i="9" s="1"/>
  <c r="H1632" i="79"/>
  <c r="H1631" i="79" s="1"/>
  <c r="J2780" i="79"/>
  <c r="J2776" i="79" s="1"/>
  <c r="J2772" i="79" s="1"/>
  <c r="H2615" i="79"/>
  <c r="H2613" i="79" s="1"/>
  <c r="H2604" i="79" s="1"/>
  <c r="M2639" i="79"/>
  <c r="M2637" i="79" s="1"/>
  <c r="M2628" i="79" s="1"/>
  <c r="J2615" i="79"/>
  <c r="J2613" i="79" s="1"/>
  <c r="J2604" i="79" s="1"/>
  <c r="M2972" i="79"/>
  <c r="M2970" i="79" s="1"/>
  <c r="M2961" i="79" s="1"/>
  <c r="J2972" i="79"/>
  <c r="J2970" i="79" s="1"/>
  <c r="J2961" i="79" s="1"/>
  <c r="H2937" i="79"/>
  <c r="H2935" i="79" s="1"/>
  <c r="H2926" i="79" s="1"/>
  <c r="J3360" i="79"/>
  <c r="J3358" i="79" s="1"/>
  <c r="J3050" i="79"/>
  <c r="J3048" i="79" s="1"/>
  <c r="J3032" i="79" s="1"/>
  <c r="J3542" i="79"/>
  <c r="J3540" i="79" s="1"/>
  <c r="H452" i="79"/>
  <c r="H907" i="79"/>
  <c r="H906" i="79" s="1"/>
  <c r="B296" i="9"/>
  <c r="B290" i="9"/>
  <c r="CI290" i="9" s="1" a="1"/>
  <c r="CI290" i="9" s="1"/>
  <c r="B289" i="9"/>
  <c r="CI289" i="9" s="1" a="1"/>
  <c r="CI289" i="9" s="1"/>
  <c r="B301" i="9"/>
  <c r="CI301" i="9" s="1" a="1"/>
  <c r="CI301" i="9" s="1"/>
  <c r="B295" i="9"/>
  <c r="CI295" i="9" s="1" a="1"/>
  <c r="CI295" i="9" s="1"/>
  <c r="R66" i="56"/>
  <c r="B292" i="9"/>
  <c r="CI416" i="9" s="1"/>
  <c r="B315" i="9"/>
  <c r="CI436" i="9" s="1"/>
  <c r="B287" i="9"/>
  <c r="B312" i="9"/>
  <c r="Q66" i="56"/>
  <c r="O66" i="56"/>
  <c r="M3360" i="79"/>
  <c r="M3358" i="79" s="1"/>
  <c r="J2357" i="79"/>
  <c r="J2356" i="79" s="1"/>
  <c r="H1154" i="79"/>
  <c r="B288" i="9"/>
  <c r="B303" i="9"/>
  <c r="N66" i="56"/>
  <c r="J110" i="37"/>
  <c r="J2543" i="79"/>
  <c r="J2541" i="79" s="1"/>
  <c r="J2937" i="79"/>
  <c r="J2935" i="79" s="1"/>
  <c r="J2926" i="79" s="1"/>
  <c r="H3329" i="79"/>
  <c r="H3327" i="79" s="1"/>
  <c r="J3329" i="79"/>
  <c r="J3327" i="79" s="1"/>
  <c r="L361" i="54"/>
  <c r="K361" i="54"/>
  <c r="P361" i="54"/>
  <c r="Q361" i="54"/>
  <c r="R361" i="54" s="1"/>
  <c r="S361" i="54" s="1"/>
  <c r="T361" i="54" s="1"/>
  <c r="U361" i="54" s="1"/>
  <c r="V361" i="54" s="1"/>
  <c r="O361" i="54"/>
  <c r="N361" i="54"/>
  <c r="M361" i="54"/>
  <c r="C287" i="54" a="1"/>
  <c r="C287" i="54" s="1"/>
  <c r="D287" i="54" s="1"/>
  <c r="P362" i="54"/>
  <c r="L362" i="54"/>
  <c r="O362" i="54"/>
  <c r="N362" i="54"/>
  <c r="M362" i="54"/>
  <c r="K362" i="54"/>
  <c r="Q362" i="54"/>
  <c r="R362" i="54" s="1"/>
  <c r="S362" i="54" s="1"/>
  <c r="T362" i="54" s="1"/>
  <c r="U362" i="54" s="1"/>
  <c r="V362" i="54" s="1"/>
  <c r="M3296" i="79"/>
  <c r="L2357" i="79"/>
  <c r="L2356" i="79" s="1"/>
  <c r="I3082" i="79"/>
  <c r="I3080" i="79" s="1"/>
  <c r="I3064" i="79" s="1"/>
  <c r="G1706" i="79"/>
  <c r="G1705" i="79" s="1"/>
  <c r="G1701" i="79" s="1"/>
  <c r="G3236" i="79"/>
  <c r="G3234" i="79" s="1"/>
  <c r="L2902" i="79"/>
  <c r="L2900" i="79" s="1"/>
  <c r="L2891" i="79" s="1"/>
  <c r="G2357" i="79"/>
  <c r="G2356" i="79" s="1"/>
  <c r="G2688" i="79"/>
  <c r="G2684" i="79" s="1"/>
  <c r="G2680" i="79" s="1"/>
  <c r="I2567" i="79"/>
  <c r="I2565" i="79" s="1"/>
  <c r="I2556" i="79" s="1"/>
  <c r="G796" i="79"/>
  <c r="G795" i="79" s="1"/>
  <c r="G1284" i="79"/>
  <c r="G1283" i="79" s="1"/>
  <c r="G1584" i="79"/>
  <c r="G1583" i="79" s="1"/>
  <c r="I2711" i="79"/>
  <c r="I2707" i="79" s="1"/>
  <c r="I2703" i="79" s="1"/>
  <c r="G2543" i="79"/>
  <c r="G2541" i="79" s="1"/>
  <c r="G2532" i="79" s="1"/>
  <c r="L3298" i="79"/>
  <c r="L3296" i="79" s="1"/>
  <c r="L2591" i="79"/>
  <c r="L2589" i="79" s="1"/>
  <c r="L2580" i="79" s="1"/>
  <c r="L3114" i="79"/>
  <c r="L3112" i="79" s="1"/>
  <c r="L3096" i="79" s="1"/>
  <c r="G3430" i="79"/>
  <c r="G3428" i="79" s="1"/>
  <c r="L2688" i="79"/>
  <c r="L2684" i="79" s="1"/>
  <c r="L2680" i="79" s="1"/>
  <c r="I2867" i="79"/>
  <c r="I2865" i="79" s="1"/>
  <c r="I2856" i="79" s="1"/>
  <c r="L3050" i="79"/>
  <c r="L3048" i="79" s="1"/>
  <c r="L3032" i="79" s="1"/>
  <c r="L3486" i="79"/>
  <c r="L3484" i="79" s="1"/>
  <c r="BX5" i="10"/>
  <c r="BY5" i="10" s="1"/>
  <c r="BX4" i="10"/>
  <c r="BY4" i="10" s="1"/>
  <c r="C244" i="54" a="1"/>
  <c r="C244" i="54" s="1"/>
  <c r="D244" i="54" s="1"/>
  <c r="BX6" i="10"/>
  <c r="BY6" i="10" s="1"/>
  <c r="C331" i="54" a="1"/>
  <c r="C331" i="54" s="1"/>
  <c r="D331" i="54" s="1"/>
  <c r="C424" i="54" a="1"/>
  <c r="C424" i="54" s="1"/>
  <c r="B424" i="54" s="1"/>
  <c r="BX7" i="10"/>
  <c r="BY7" i="10" s="1"/>
  <c r="C361" i="54" a="1"/>
  <c r="C361" i="54" s="1"/>
  <c r="B361" i="54" s="1"/>
  <c r="C91" i="54" a="1"/>
  <c r="C91" i="54" s="1"/>
  <c r="B91" i="54" s="1"/>
  <c r="C469" i="54" a="1"/>
  <c r="C469" i="54" s="1"/>
  <c r="C243" i="54" a="1"/>
  <c r="C243" i="54" s="1"/>
  <c r="D243" i="54" s="1"/>
  <c r="C384" i="54" a="1"/>
  <c r="C384" i="54" s="1"/>
  <c r="C90" i="54" a="1"/>
  <c r="C90" i="54" s="1"/>
  <c r="B90" i="54" s="1"/>
  <c r="C222" i="54" a="1"/>
  <c r="C222" i="54" s="1"/>
  <c r="D222" i="54" s="1"/>
  <c r="C490" i="54" a="1"/>
  <c r="C490" i="54" s="1"/>
  <c r="B490" i="54" s="1"/>
  <c r="C178" i="54" a="1"/>
  <c r="C178" i="54" s="1"/>
  <c r="B178" i="54" s="1"/>
  <c r="C423" i="54" a="1"/>
  <c r="C423" i="54" s="1"/>
  <c r="B423" i="54" s="1"/>
  <c r="C200" i="54" a="1"/>
  <c r="C200" i="54" s="1"/>
  <c r="B200" i="54" s="1"/>
  <c r="C116" i="54" a="1"/>
  <c r="C116" i="54" s="1"/>
  <c r="B116" i="54" s="1"/>
  <c r="C245" i="54" a="1"/>
  <c r="C245" i="54" s="1"/>
  <c r="D245" i="54" s="1"/>
  <c r="H966" i="79"/>
  <c r="L1517" i="79"/>
  <c r="K966" i="79"/>
  <c r="L1230" i="79"/>
  <c r="I1517" i="79"/>
  <c r="M1230" i="79"/>
  <c r="K1517" i="79"/>
  <c r="I965" i="79"/>
  <c r="L965" i="79"/>
  <c r="J966" i="79"/>
  <c r="M966" i="79"/>
  <c r="H1231" i="79"/>
  <c r="H1230" i="79"/>
  <c r="J1517" i="79"/>
  <c r="K965" i="79"/>
  <c r="H1517" i="79"/>
  <c r="I1231" i="79"/>
  <c r="I1230" i="79"/>
  <c r="H965" i="79"/>
  <c r="M1517" i="79"/>
  <c r="L966" i="79"/>
  <c r="J1230" i="79"/>
  <c r="I966" i="79"/>
  <c r="K1230" i="79"/>
  <c r="J965" i="79"/>
  <c r="M965" i="79"/>
  <c r="C468" i="54" a="1"/>
  <c r="C468" i="54" s="1"/>
  <c r="B468" i="54" s="1"/>
  <c r="C284" i="54" a="1"/>
  <c r="C284" i="54" s="1"/>
  <c r="D284" i="54" s="1"/>
  <c r="C444" i="54" a="1"/>
  <c r="C444" i="54" s="1"/>
  <c r="B444" i="54" s="1"/>
  <c r="C114" i="54" a="1"/>
  <c r="C114" i="54" s="1"/>
  <c r="B114" i="54" s="1"/>
  <c r="C380" i="54" a="1"/>
  <c r="C380" i="54" s="1"/>
  <c r="B380" i="54" s="1"/>
  <c r="C135" i="54" a="1"/>
  <c r="C135" i="54" s="1"/>
  <c r="B135" i="54" s="1"/>
  <c r="C489" i="54" a="1"/>
  <c r="C489" i="54" s="1"/>
  <c r="K489" i="54" s="1"/>
  <c r="C177" i="54" a="1"/>
  <c r="C177" i="54" s="1"/>
  <c r="B177" i="54" s="1"/>
  <c r="C329" i="54" a="1"/>
  <c r="C329" i="54" s="1"/>
  <c r="D329" i="54" s="1"/>
  <c r="R320" i="59"/>
  <c r="S320" i="59" s="1"/>
  <c r="T320" i="59" s="1"/>
  <c r="U320" i="59" s="1"/>
  <c r="V320" i="59" s="1"/>
  <c r="W320" i="59" s="1"/>
  <c r="X320" i="59" s="1"/>
  <c r="Y320" i="59" s="1"/>
  <c r="Z320" i="59" s="1"/>
  <c r="AA320" i="59" s="1"/>
  <c r="AB320" i="59" s="1"/>
  <c r="AC320" i="59" s="1"/>
  <c r="AD320" i="59" s="1"/>
  <c r="C242" i="54" a="1"/>
  <c r="C242" i="54" s="1"/>
  <c r="D242" i="54" s="1"/>
  <c r="C198" i="54" a="1"/>
  <c r="C198" i="54" s="1"/>
  <c r="B198" i="54" s="1"/>
  <c r="C359" i="54" a="1"/>
  <c r="C359" i="54" s="1"/>
  <c r="B359" i="54" s="1"/>
  <c r="C443" i="54" a="1"/>
  <c r="C443" i="54" s="1"/>
  <c r="B443" i="54" s="1"/>
  <c r="C89" i="54" a="1"/>
  <c r="C89" i="54" s="1"/>
  <c r="B89" i="54" s="1"/>
  <c r="C221" i="54" a="1"/>
  <c r="C221" i="54" s="1"/>
  <c r="D221" i="54" s="1"/>
  <c r="C305" i="54" a="1"/>
  <c r="C305" i="54" s="1"/>
  <c r="D305" i="54" s="1"/>
  <c r="K92" i="13"/>
  <c r="K44" i="13"/>
  <c r="K71" i="13"/>
  <c r="K93" i="13" s="1"/>
  <c r="K29" i="80"/>
  <c r="J29" i="56"/>
  <c r="M1223" i="79"/>
  <c r="H1510" i="79"/>
  <c r="I1526" i="79"/>
  <c r="K1532" i="79"/>
  <c r="I1510" i="79"/>
  <c r="J1526" i="79"/>
  <c r="L1532" i="79"/>
  <c r="I974" i="79"/>
  <c r="H1239" i="79"/>
  <c r="J1510" i="79"/>
  <c r="K1526" i="79"/>
  <c r="L974" i="79"/>
  <c r="H1223" i="79"/>
  <c r="I1239" i="79"/>
  <c r="K1510" i="79"/>
  <c r="L1526" i="79"/>
  <c r="M1532" i="79"/>
  <c r="M974" i="79"/>
  <c r="J974" i="79"/>
  <c r="I1223" i="79"/>
  <c r="J1239" i="79"/>
  <c r="L1510" i="79"/>
  <c r="M1526" i="79"/>
  <c r="H2350" i="79"/>
  <c r="H2349" i="79" s="1"/>
  <c r="H2344" i="79" s="1"/>
  <c r="J1223" i="79"/>
  <c r="K1239" i="79"/>
  <c r="M1510" i="79"/>
  <c r="H1532" i="79"/>
  <c r="K974" i="79"/>
  <c r="K1223" i="79"/>
  <c r="L1239" i="79"/>
  <c r="I1532" i="79"/>
  <c r="L1223" i="79"/>
  <c r="H1526" i="79"/>
  <c r="J1532" i="79"/>
  <c r="H974" i="79"/>
  <c r="M2353" i="79"/>
  <c r="M2345" i="79" s="1"/>
  <c r="L2353" i="79"/>
  <c r="L2345" i="79" s="1"/>
  <c r="H2353" i="79"/>
  <c r="H2345" i="79" s="1"/>
  <c r="I2353" i="79"/>
  <c r="I2345" i="79" s="1"/>
  <c r="J2353" i="79"/>
  <c r="J2345" i="79" s="1"/>
  <c r="K2353" i="79"/>
  <c r="K2345" i="79" s="1"/>
  <c r="S303" i="59"/>
  <c r="T303" i="59" s="1"/>
  <c r="U303" i="59" s="1"/>
  <c r="V303" i="59" s="1"/>
  <c r="W303" i="59" s="1"/>
  <c r="X303" i="59" s="1"/>
  <c r="Y303" i="59" s="1"/>
  <c r="Z303" i="59" s="1"/>
  <c r="AA303" i="59" s="1"/>
  <c r="AB303" i="59" s="1"/>
  <c r="AC303" i="59" s="1"/>
  <c r="AD303" i="59" s="1"/>
  <c r="G3195" i="79"/>
  <c r="G3189" i="79" s="1"/>
  <c r="L2752" i="79"/>
  <c r="M500" i="79"/>
  <c r="M548" i="79"/>
  <c r="M572" i="79"/>
  <c r="M2328" i="79"/>
  <c r="G2793" i="79"/>
  <c r="G2792" i="79" s="1"/>
  <c r="AF233" i="52"/>
  <c r="AF43" i="52" s="1"/>
  <c r="S308" i="59"/>
  <c r="T308" i="59" s="1"/>
  <c r="U308" i="59" s="1"/>
  <c r="V308" i="59" s="1"/>
  <c r="W308" i="59" s="1"/>
  <c r="X308" i="59" s="1"/>
  <c r="Y308" i="59" s="1"/>
  <c r="Z308" i="59" s="1"/>
  <c r="AA308" i="59" s="1"/>
  <c r="AB308" i="59" s="1"/>
  <c r="AC308" i="59" s="1"/>
  <c r="AD308" i="59" s="1"/>
  <c r="S298" i="59"/>
  <c r="T298" i="59" s="1"/>
  <c r="U298" i="59" s="1"/>
  <c r="V298" i="59" s="1"/>
  <c r="W298" i="59" s="1"/>
  <c r="X298" i="59" s="1"/>
  <c r="Y298" i="59" s="1"/>
  <c r="Z298" i="59" s="1"/>
  <c r="AA298" i="59" s="1"/>
  <c r="AB298" i="59" s="1"/>
  <c r="AC298" i="59" s="1"/>
  <c r="AD298" i="59" s="1"/>
  <c r="S294" i="59"/>
  <c r="T294" i="59" s="1"/>
  <c r="U294" i="59" s="1"/>
  <c r="V294" i="59" s="1"/>
  <c r="W294" i="59" s="1"/>
  <c r="X294" i="59" s="1"/>
  <c r="Y294" i="59" s="1"/>
  <c r="Z294" i="59" s="1"/>
  <c r="AA294" i="59" s="1"/>
  <c r="AB294" i="59" s="1"/>
  <c r="AC294" i="59" s="1"/>
  <c r="AD294" i="59" s="1"/>
  <c r="AF184" i="52"/>
  <c r="AF186" i="52"/>
  <c r="AI7" i="52"/>
  <c r="AI117" i="52" s="1"/>
  <c r="R336" i="59"/>
  <c r="S336" i="59" s="1"/>
  <c r="T336" i="59" s="1"/>
  <c r="U336" i="59" s="1"/>
  <c r="V336" i="59" s="1"/>
  <c r="W336" i="59" s="1"/>
  <c r="X336" i="59" s="1"/>
  <c r="Y336" i="59" s="1"/>
  <c r="Z336" i="59" s="1"/>
  <c r="AA336" i="59" s="1"/>
  <c r="AB336" i="59" s="1"/>
  <c r="AC336" i="59" s="1"/>
  <c r="AD336" i="59" s="1"/>
  <c r="H14" i="9"/>
  <c r="F116" i="9"/>
  <c r="I2313" i="79"/>
  <c r="H2313" i="79"/>
  <c r="H2326" i="79"/>
  <c r="H1047" i="79"/>
  <c r="H1051" i="79"/>
  <c r="H1420" i="79"/>
  <c r="H1722" i="79"/>
  <c r="S295" i="59"/>
  <c r="T295" i="59" s="1"/>
  <c r="U295" i="59" s="1"/>
  <c r="V295" i="59" s="1"/>
  <c r="W295" i="59" s="1"/>
  <c r="X295" i="59" s="1"/>
  <c r="Y295" i="59" s="1"/>
  <c r="Z295" i="59" s="1"/>
  <c r="AA295" i="59" s="1"/>
  <c r="AB295" i="59" s="1"/>
  <c r="AC295" i="59" s="1"/>
  <c r="AD295" i="59" s="1"/>
  <c r="S300" i="59"/>
  <c r="T300" i="59" s="1"/>
  <c r="U300" i="59" s="1"/>
  <c r="V300" i="59" s="1"/>
  <c r="W300" i="59" s="1"/>
  <c r="X300" i="59" s="1"/>
  <c r="Y300" i="59" s="1"/>
  <c r="Z300" i="59" s="1"/>
  <c r="AA300" i="59" s="1"/>
  <c r="AB300" i="59" s="1"/>
  <c r="AC300" i="59" s="1"/>
  <c r="AD300" i="59" s="1"/>
  <c r="S305" i="59"/>
  <c r="T305" i="59" s="1"/>
  <c r="U305" i="59" s="1"/>
  <c r="V305" i="59" s="1"/>
  <c r="W305" i="59" s="1"/>
  <c r="X305" i="59" s="1"/>
  <c r="Y305" i="59" s="1"/>
  <c r="Z305" i="59" s="1"/>
  <c r="AA305" i="59" s="1"/>
  <c r="AB305" i="59" s="1"/>
  <c r="AC305" i="59" s="1"/>
  <c r="AD305" i="59" s="1"/>
  <c r="S311" i="59"/>
  <c r="T311" i="59" s="1"/>
  <c r="U311" i="59" s="1"/>
  <c r="V311" i="59" s="1"/>
  <c r="W311" i="59" s="1"/>
  <c r="X311" i="59" s="1"/>
  <c r="Y311" i="59" s="1"/>
  <c r="Z311" i="59" s="1"/>
  <c r="AA311" i="59" s="1"/>
  <c r="AB311" i="59" s="1"/>
  <c r="AC311" i="59" s="1"/>
  <c r="AD311" i="59" s="1"/>
  <c r="G10" i="9"/>
  <c r="G49" i="9" s="1"/>
  <c r="F15" i="8" s="1"/>
  <c r="F79" i="9"/>
  <c r="F88" i="9"/>
  <c r="F201" i="9"/>
  <c r="F197" i="9"/>
  <c r="F68" i="9"/>
  <c r="S212" i="59"/>
  <c r="T211" i="59"/>
  <c r="U211" i="59" s="1"/>
  <c r="V211" i="59" s="1"/>
  <c r="W211" i="59" s="1"/>
  <c r="X211" i="59" s="1"/>
  <c r="Y211" i="59" s="1"/>
  <c r="Z211" i="59" s="1"/>
  <c r="AA211" i="59" s="1"/>
  <c r="AB211" i="59" s="1"/>
  <c r="AC211" i="59" s="1"/>
  <c r="AD211" i="59" s="1"/>
  <c r="R330" i="59"/>
  <c r="S330" i="59" s="1"/>
  <c r="T330" i="59" s="1"/>
  <c r="U330" i="59" s="1"/>
  <c r="V330" i="59" s="1"/>
  <c r="W330" i="59" s="1"/>
  <c r="X330" i="59" s="1"/>
  <c r="Y330" i="59" s="1"/>
  <c r="Z330" i="59" s="1"/>
  <c r="AA330" i="59" s="1"/>
  <c r="AB330" i="59" s="1"/>
  <c r="AC330" i="59" s="1"/>
  <c r="AD330" i="59" s="1"/>
  <c r="G130" i="9"/>
  <c r="G93" i="9"/>
  <c r="G163" i="9"/>
  <c r="G73" i="9"/>
  <c r="G129" i="9"/>
  <c r="G84" i="9"/>
  <c r="H9" i="9"/>
  <c r="F111" i="9"/>
  <c r="F115" i="9" s="1"/>
  <c r="K30" i="80"/>
  <c r="G248" i="9"/>
  <c r="H88" i="13"/>
  <c r="D766" i="59"/>
  <c r="G88" i="13"/>
  <c r="H92" i="13"/>
  <c r="H71" i="13"/>
  <c r="H72" i="13" s="1"/>
  <c r="H19" i="13" s="1"/>
  <c r="J44" i="13"/>
  <c r="J92" i="13" s="1"/>
  <c r="H13" i="9"/>
  <c r="H166" i="9" s="1"/>
  <c r="S299" i="59"/>
  <c r="T299" i="59" s="1"/>
  <c r="U299" i="59" s="1"/>
  <c r="V299" i="59" s="1"/>
  <c r="W299" i="59" s="1"/>
  <c r="X299" i="59" s="1"/>
  <c r="Y299" i="59" s="1"/>
  <c r="Z299" i="59" s="1"/>
  <c r="AA299" i="59" s="1"/>
  <c r="AB299" i="59" s="1"/>
  <c r="AC299" i="59" s="1"/>
  <c r="AD299" i="59" s="1"/>
  <c r="R326" i="59"/>
  <c r="S326" i="59" s="1"/>
  <c r="T326" i="59" s="1"/>
  <c r="U326" i="59" s="1"/>
  <c r="V326" i="59" s="1"/>
  <c r="W326" i="59" s="1"/>
  <c r="X326" i="59" s="1"/>
  <c r="Y326" i="59" s="1"/>
  <c r="Z326" i="59" s="1"/>
  <c r="AA326" i="59" s="1"/>
  <c r="AB326" i="59" s="1"/>
  <c r="AC326" i="59" s="1"/>
  <c r="AD326" i="59" s="1"/>
  <c r="R331" i="59"/>
  <c r="S331" i="59" s="1"/>
  <c r="T331" i="59" s="1"/>
  <c r="U331" i="59" s="1"/>
  <c r="V331" i="59" s="1"/>
  <c r="W331" i="59" s="1"/>
  <c r="X331" i="59" s="1"/>
  <c r="Y331" i="59" s="1"/>
  <c r="Z331" i="59" s="1"/>
  <c r="AA331" i="59" s="1"/>
  <c r="AB331" i="59" s="1"/>
  <c r="AC331" i="59" s="1"/>
  <c r="AD331" i="59" s="1"/>
  <c r="D782" i="59"/>
  <c r="D774" i="59"/>
  <c r="D681" i="59"/>
  <c r="Z8" i="9"/>
  <c r="Z5" i="9" s="1" a="1"/>
  <c r="Z5" i="9" s="1"/>
  <c r="G126" i="9"/>
  <c r="J71" i="13"/>
  <c r="J93" i="13" s="1"/>
  <c r="G71" i="13"/>
  <c r="G94" i="13"/>
  <c r="L71" i="13"/>
  <c r="L72" i="13" s="1"/>
  <c r="L19" i="13" s="1"/>
  <c r="C100" i="13"/>
  <c r="D101" i="13"/>
  <c r="I44" i="13"/>
  <c r="I92" i="13" s="1"/>
  <c r="I71" i="13"/>
  <c r="I80" i="13"/>
  <c r="I88" i="13" s="1"/>
  <c r="D717" i="59"/>
  <c r="AF234" i="52"/>
  <c r="AF191" i="52"/>
  <c r="AF193" i="52"/>
  <c r="AF236" i="52"/>
  <c r="AF187" i="52"/>
  <c r="AF211" i="52"/>
  <c r="AF210" i="52"/>
  <c r="AF232" i="52"/>
  <c r="AF208" i="52"/>
  <c r="AF185" i="52"/>
  <c r="AF235" i="52"/>
  <c r="AF194" i="52"/>
  <c r="G1775" i="79"/>
  <c r="AF209" i="52"/>
  <c r="AF188" i="52"/>
  <c r="AF190" i="52"/>
  <c r="AF192" i="52"/>
  <c r="D765" i="59"/>
  <c r="D773" i="59"/>
  <c r="D775" i="59"/>
  <c r="D675" i="59"/>
  <c r="D356" i="59"/>
  <c r="S356" i="59"/>
  <c r="T356" i="59" s="1"/>
  <c r="U356" i="59" s="1"/>
  <c r="V356" i="59" s="1"/>
  <c r="W356" i="59" s="1"/>
  <c r="X356" i="59" s="1"/>
  <c r="Y356" i="59" s="1"/>
  <c r="Z356" i="59" s="1"/>
  <c r="AA356" i="59" s="1"/>
  <c r="AB356" i="59" s="1"/>
  <c r="AC356" i="59" s="1"/>
  <c r="AD356" i="59" s="1"/>
  <c r="D670" i="59"/>
  <c r="D737" i="59"/>
  <c r="D518" i="59"/>
  <c r="D517" i="59"/>
  <c r="D761" i="59"/>
  <c r="D699" i="59"/>
  <c r="G3127" i="79"/>
  <c r="D680" i="59"/>
  <c r="D645" i="59"/>
  <c r="I613" i="79"/>
  <c r="H1707" i="79"/>
  <c r="H1158" i="79"/>
  <c r="H1285" i="79"/>
  <c r="H1330" i="79"/>
  <c r="S358" i="59"/>
  <c r="T358" i="59" s="1"/>
  <c r="U358" i="59" s="1"/>
  <c r="V358" i="59" s="1"/>
  <c r="W358" i="59" s="1"/>
  <c r="X358" i="59" s="1"/>
  <c r="Y358" i="59" s="1"/>
  <c r="Z358" i="59" s="1"/>
  <c r="AA358" i="59" s="1"/>
  <c r="AB358" i="59" s="1"/>
  <c r="AC358" i="59" s="1"/>
  <c r="AD358" i="59" s="1"/>
  <c r="S360" i="59"/>
  <c r="T360" i="59" s="1"/>
  <c r="U360" i="59" s="1"/>
  <c r="V360" i="59" s="1"/>
  <c r="W360" i="59" s="1"/>
  <c r="X360" i="59" s="1"/>
  <c r="Y360" i="59" s="1"/>
  <c r="Z360" i="59" s="1"/>
  <c r="AA360" i="59" s="1"/>
  <c r="AB360" i="59" s="1"/>
  <c r="AC360" i="59" s="1"/>
  <c r="AD360" i="59" s="1"/>
  <c r="S357" i="59"/>
  <c r="T357" i="59" s="1"/>
  <c r="U357" i="59" s="1"/>
  <c r="V357" i="59" s="1"/>
  <c r="W357" i="59" s="1"/>
  <c r="X357" i="59" s="1"/>
  <c r="Y357" i="59" s="1"/>
  <c r="Z357" i="59" s="1"/>
  <c r="AA357" i="59" s="1"/>
  <c r="AB357" i="59" s="1"/>
  <c r="AC357" i="59" s="1"/>
  <c r="AD357" i="59" s="1"/>
  <c r="S359" i="59"/>
  <c r="T359" i="59" s="1"/>
  <c r="U359" i="59" s="1"/>
  <c r="V359" i="59" s="1"/>
  <c r="W359" i="59" s="1"/>
  <c r="X359" i="59" s="1"/>
  <c r="Y359" i="59" s="1"/>
  <c r="Z359" i="59" s="1"/>
  <c r="AA359" i="59" s="1"/>
  <c r="AB359" i="59" s="1"/>
  <c r="AC359" i="59" s="1"/>
  <c r="AD359" i="59" s="1"/>
  <c r="D785" i="59"/>
  <c r="D702" i="59"/>
  <c r="D672" i="59"/>
  <c r="D740" i="59"/>
  <c r="D738" i="59"/>
  <c r="D694" i="59"/>
  <c r="D731" i="59"/>
  <c r="D671" i="59"/>
  <c r="D718" i="59"/>
  <c r="I315" i="79"/>
  <c r="M613" i="79"/>
  <c r="H1767" i="79"/>
  <c r="H1465" i="79"/>
  <c r="H1737" i="79"/>
  <c r="L2796" i="79"/>
  <c r="L2793" i="79" s="1"/>
  <c r="H2796" i="79"/>
  <c r="H2793" i="79" s="1"/>
  <c r="K3197" i="79"/>
  <c r="H1375" i="79"/>
  <c r="K2653" i="79"/>
  <c r="L3197" i="79"/>
  <c r="I2796" i="79"/>
  <c r="I2793" i="79" s="1"/>
  <c r="H3197" i="79"/>
  <c r="J2796" i="79"/>
  <c r="J2793" i="79" s="1"/>
  <c r="I2653" i="79"/>
  <c r="L2653" i="79"/>
  <c r="M2796" i="79"/>
  <c r="M2793" i="79" s="1"/>
  <c r="H2653" i="79"/>
  <c r="M2653" i="79"/>
  <c r="I3197" i="79"/>
  <c r="J2653" i="79"/>
  <c r="K2796" i="79"/>
  <c r="K2793" i="79" s="1"/>
  <c r="J3197" i="79"/>
  <c r="L3199" i="79"/>
  <c r="L3006" i="79"/>
  <c r="I3006" i="79"/>
  <c r="H3199" i="79"/>
  <c r="K3006" i="79"/>
  <c r="M3199" i="79"/>
  <c r="H3006" i="79"/>
  <c r="I3199" i="79"/>
  <c r="J3006" i="79"/>
  <c r="I2995" i="79"/>
  <c r="AH240" i="52"/>
  <c r="AH241" i="52"/>
  <c r="AH242" i="52"/>
  <c r="AH238" i="52"/>
  <c r="AH239" i="52"/>
  <c r="K3199" i="79"/>
  <c r="J3199" i="79"/>
  <c r="J2706" i="79"/>
  <c r="J3031" i="79"/>
  <c r="K3004" i="79"/>
  <c r="L3004" i="79"/>
  <c r="J3004" i="79"/>
  <c r="I3004" i="79"/>
  <c r="H3004" i="79"/>
  <c r="M3004" i="79"/>
  <c r="J3063" i="79"/>
  <c r="G3554" i="79"/>
  <c r="G3549" i="79" s="1"/>
  <c r="L3552" i="79"/>
  <c r="M3552" i="79"/>
  <c r="I3552" i="79"/>
  <c r="K3552" i="79"/>
  <c r="H3552" i="79"/>
  <c r="J3552" i="79"/>
  <c r="J404" i="79"/>
  <c r="J426" i="79"/>
  <c r="M3556" i="79"/>
  <c r="L3556" i="79"/>
  <c r="J3556" i="79"/>
  <c r="K3556" i="79"/>
  <c r="H3556" i="79"/>
  <c r="H3554" i="79" s="1"/>
  <c r="I3556" i="79"/>
  <c r="L613" i="79"/>
  <c r="J613" i="79"/>
  <c r="I1213" i="79"/>
  <c r="H613" i="79"/>
  <c r="M2033" i="79"/>
  <c r="K613" i="79"/>
  <c r="H1774" i="79"/>
  <c r="Y210" i="52" s="1"/>
  <c r="Y61" i="52" s="1"/>
  <c r="H1213" i="79"/>
  <c r="I2033" i="79"/>
  <c r="I3159" i="79"/>
  <c r="H3516" i="79"/>
  <c r="K3159" i="79"/>
  <c r="L3031" i="79"/>
  <c r="I3388" i="79"/>
  <c r="H3388" i="79"/>
  <c r="J3388" i="79"/>
  <c r="L3388" i="79"/>
  <c r="K3388" i="79"/>
  <c r="M3388" i="79"/>
  <c r="J3432" i="79"/>
  <c r="J3159" i="79"/>
  <c r="M3063" i="79"/>
  <c r="L3159" i="79"/>
  <c r="M3488" i="79"/>
  <c r="H3127" i="79"/>
  <c r="I3144" i="79"/>
  <c r="I3128" i="79" s="1"/>
  <c r="M3159" i="79"/>
  <c r="H3159" i="79"/>
  <c r="H3031" i="79"/>
  <c r="J3127" i="79"/>
  <c r="H3432" i="79"/>
  <c r="G3063" i="79"/>
  <c r="M3456" i="79"/>
  <c r="H176" i="79"/>
  <c r="M2331" i="79"/>
  <c r="K2033" i="79"/>
  <c r="L2025" i="79"/>
  <c r="L176" i="79"/>
  <c r="H2318" i="79"/>
  <c r="K2331" i="79"/>
  <c r="I2331" i="79"/>
  <c r="L2033" i="79"/>
  <c r="J2033" i="79"/>
  <c r="J2331" i="79"/>
  <c r="K2318" i="79"/>
  <c r="H3205" i="79"/>
  <c r="M2318" i="79"/>
  <c r="I2025" i="79"/>
  <c r="L2331" i="79"/>
  <c r="I2318" i="79"/>
  <c r="H2331" i="79"/>
  <c r="J2025" i="79"/>
  <c r="J2318" i="79"/>
  <c r="L2318" i="79"/>
  <c r="H2033" i="79"/>
  <c r="K2025" i="79"/>
  <c r="M3031" i="79"/>
  <c r="G3544" i="79"/>
  <c r="G3074" i="79"/>
  <c r="G3062" i="79" s="1"/>
  <c r="I3031" i="79"/>
  <c r="J3460" i="79"/>
  <c r="G3106" i="79"/>
  <c r="G3094" i="79" s="1"/>
  <c r="K3484" i="79"/>
  <c r="K3112" i="79"/>
  <c r="K3096" i="79" s="1"/>
  <c r="G3512" i="79"/>
  <c r="G3460" i="79"/>
  <c r="M3080" i="79"/>
  <c r="M3064" i="79" s="1"/>
  <c r="M3112" i="79"/>
  <c r="M3096" i="79" s="1"/>
  <c r="G3516" i="79"/>
  <c r="K3516" i="79"/>
  <c r="I3512" i="79"/>
  <c r="K3031" i="79"/>
  <c r="G3159" i="79"/>
  <c r="L3127" i="79"/>
  <c r="G3372" i="79"/>
  <c r="G3432" i="79"/>
  <c r="J3088" i="79"/>
  <c r="J3084" i="79" s="1"/>
  <c r="I3127" i="79"/>
  <c r="G3144" i="79"/>
  <c r="G3128" i="79" s="1"/>
  <c r="J3544" i="79"/>
  <c r="J3516" i="79"/>
  <c r="L3095" i="79"/>
  <c r="H3488" i="79"/>
  <c r="J3488" i="79"/>
  <c r="K3488" i="79"/>
  <c r="K3095" i="79"/>
  <c r="K3088" i="79"/>
  <c r="K3084" i="79" s="1"/>
  <c r="H3088" i="79"/>
  <c r="H3084" i="79" s="1"/>
  <c r="M2245" i="79"/>
  <c r="G3031" i="79"/>
  <c r="M3088" i="79"/>
  <c r="M3084" i="79" s="1"/>
  <c r="M3484" i="79"/>
  <c r="M3127" i="79"/>
  <c r="M3460" i="79"/>
  <c r="I3063" i="79"/>
  <c r="G3148" i="79"/>
  <c r="L3488" i="79"/>
  <c r="G3138" i="79"/>
  <c r="H3152" i="79"/>
  <c r="H3148" i="79" s="1"/>
  <c r="J3095" i="79"/>
  <c r="I3152" i="79"/>
  <c r="I3148" i="79" s="1"/>
  <c r="G3310" i="79"/>
  <c r="I3088" i="79"/>
  <c r="I3084" i="79" s="1"/>
  <c r="L3088" i="79"/>
  <c r="L3084" i="79" s="1"/>
  <c r="G3084" i="79"/>
  <c r="L3537" i="79"/>
  <c r="I3425" i="79"/>
  <c r="H3534" i="79"/>
  <c r="H3533" i="79" s="1"/>
  <c r="I3488" i="79"/>
  <c r="G3505" i="79"/>
  <c r="G3509" i="79"/>
  <c r="M3516" i="79"/>
  <c r="M3453" i="79"/>
  <c r="H3481" i="79"/>
  <c r="AG113" i="52"/>
  <c r="AG25" i="52"/>
  <c r="AG69" i="52"/>
  <c r="AG47" i="52"/>
  <c r="K3127" i="79"/>
  <c r="H3506" i="79"/>
  <c r="H3505" i="79" s="1"/>
  <c r="G3116" i="79"/>
  <c r="G3421" i="79"/>
  <c r="G3425" i="79"/>
  <c r="J3509" i="79"/>
  <c r="M3095" i="79"/>
  <c r="I3460" i="79"/>
  <c r="G3488" i="79"/>
  <c r="L3544" i="79"/>
  <c r="H3107" i="79"/>
  <c r="H3106" i="79" s="1"/>
  <c r="H3422" i="79"/>
  <c r="H3421" i="79" s="1"/>
  <c r="K3063" i="79"/>
  <c r="H3453" i="79"/>
  <c r="J3481" i="79"/>
  <c r="J3453" i="79"/>
  <c r="M3537" i="79"/>
  <c r="H3075" i="79"/>
  <c r="H3074" i="79" s="1"/>
  <c r="H3509" i="79"/>
  <c r="L3509" i="79"/>
  <c r="H3425" i="79"/>
  <c r="H3095" i="79"/>
  <c r="H3460" i="79"/>
  <c r="H3063" i="79"/>
  <c r="I3544" i="79"/>
  <c r="G3095" i="79"/>
  <c r="J3425" i="79"/>
  <c r="H3537" i="79"/>
  <c r="I3509" i="79"/>
  <c r="H3116" i="79"/>
  <c r="K3460" i="79"/>
  <c r="J3537" i="79"/>
  <c r="L3063" i="79"/>
  <c r="G3453" i="79"/>
  <c r="G3449" i="79"/>
  <c r="L3516" i="79"/>
  <c r="K3425" i="79"/>
  <c r="L3432" i="79"/>
  <c r="K3509" i="79"/>
  <c r="K3453" i="79"/>
  <c r="G3481" i="79"/>
  <c r="G3477" i="79"/>
  <c r="I3453" i="79"/>
  <c r="H3544" i="79"/>
  <c r="M3432" i="79"/>
  <c r="M3509" i="79"/>
  <c r="I3432" i="79"/>
  <c r="M3544" i="79"/>
  <c r="L3453" i="79"/>
  <c r="H3478" i="79"/>
  <c r="H3477" i="79" s="1"/>
  <c r="H3450" i="79"/>
  <c r="H3449" i="79" s="1"/>
  <c r="K3544" i="79"/>
  <c r="H3139" i="79"/>
  <c r="H3138" i="79" s="1"/>
  <c r="K3432" i="79"/>
  <c r="L3481" i="79"/>
  <c r="I3516" i="79"/>
  <c r="G3533" i="79"/>
  <c r="G3537" i="79"/>
  <c r="K3537" i="79"/>
  <c r="I3481" i="79"/>
  <c r="L3425" i="79"/>
  <c r="I3537" i="79"/>
  <c r="I3095" i="79"/>
  <c r="M3425" i="79"/>
  <c r="M3481" i="79"/>
  <c r="K3481" i="79"/>
  <c r="L3460" i="79"/>
  <c r="V84" i="59"/>
  <c r="V231" i="59" s="1"/>
  <c r="D791" i="59"/>
  <c r="D790" i="59"/>
  <c r="D679" i="59"/>
  <c r="D690" i="59"/>
  <c r="D760" i="59"/>
  <c r="D781" i="59"/>
  <c r="D736" i="59"/>
  <c r="D789" i="59"/>
  <c r="D739" i="59"/>
  <c r="D669" i="59"/>
  <c r="D678" i="59"/>
  <c r="D754" i="59"/>
  <c r="D689" i="59"/>
  <c r="D753" i="59"/>
  <c r="D677" i="59"/>
  <c r="D696" i="59"/>
  <c r="D695" i="59"/>
  <c r="D698" i="59"/>
  <c r="D743" i="59"/>
  <c r="D676" i="59"/>
  <c r="D716" i="59"/>
  <c r="D735" i="59"/>
  <c r="D788" i="59"/>
  <c r="D759" i="59"/>
  <c r="D668" i="59"/>
  <c r="D734" i="59"/>
  <c r="D744" i="59"/>
  <c r="D742" i="59"/>
  <c r="D780" i="59"/>
  <c r="D758" i="59"/>
  <c r="D722" i="59"/>
  <c r="D779" i="59"/>
  <c r="D691" i="59"/>
  <c r="D673" i="59"/>
  <c r="D762" i="59"/>
  <c r="D776" i="59"/>
  <c r="D783" i="59"/>
  <c r="D710" i="59"/>
  <c r="D719" i="59"/>
  <c r="H3341" i="79"/>
  <c r="G3279" i="79"/>
  <c r="G3341" i="79"/>
  <c r="H3372" i="79"/>
  <c r="H3180" i="79"/>
  <c r="M2900" i="79"/>
  <c r="M2891" i="79" s="1"/>
  <c r="G3052" i="79"/>
  <c r="I3327" i="79"/>
  <c r="G3042" i="79"/>
  <c r="G3030" i="79" s="1"/>
  <c r="H3052" i="79"/>
  <c r="H3171" i="79"/>
  <c r="G3180" i="79"/>
  <c r="H3043" i="79"/>
  <c r="G3170" i="79"/>
  <c r="K3296" i="79"/>
  <c r="G3327" i="79"/>
  <c r="M546" i="79"/>
  <c r="H3310" i="79"/>
  <c r="M2865" i="79"/>
  <c r="M2856" i="79" s="1"/>
  <c r="H3355" i="79"/>
  <c r="L3358" i="79"/>
  <c r="AF32" i="52"/>
  <c r="G3262" i="79"/>
  <c r="G3258" i="79"/>
  <c r="G3254" i="79" s="1"/>
  <c r="H3259" i="79"/>
  <c r="H3258" i="79" s="1"/>
  <c r="H3254" i="79" s="1"/>
  <c r="G3293" i="79"/>
  <c r="G3289" i="79"/>
  <c r="G3285" i="79" s="1"/>
  <c r="H3293" i="79"/>
  <c r="H3324" i="79"/>
  <c r="G3324" i="79"/>
  <c r="G3320" i="79"/>
  <c r="G3316" i="79" s="1"/>
  <c r="H3262" i="79"/>
  <c r="H3290" i="79"/>
  <c r="H3289" i="79" s="1"/>
  <c r="H3285" i="79" s="1"/>
  <c r="H3352" i="79"/>
  <c r="H3351" i="79" s="1"/>
  <c r="H3347" i="79" s="1"/>
  <c r="H3321" i="79"/>
  <c r="H3320" i="79" s="1"/>
  <c r="H3316" i="79" s="1"/>
  <c r="G3351" i="79"/>
  <c r="G3347" i="79" s="1"/>
  <c r="G3355" i="79"/>
  <c r="J2865" i="79"/>
  <c r="J2856" i="79" s="1"/>
  <c r="K2900" i="79"/>
  <c r="K2891" i="79" s="1"/>
  <c r="I2935" i="79"/>
  <c r="I2926" i="79" s="1"/>
  <c r="G2935" i="79"/>
  <c r="G2926" i="79" s="1"/>
  <c r="K2883" i="79"/>
  <c r="L2883" i="79"/>
  <c r="H2883" i="79"/>
  <c r="H2879" i="79" s="1"/>
  <c r="I2953" i="79"/>
  <c r="H2953" i="79"/>
  <c r="H2949" i="79" s="1"/>
  <c r="J2883" i="79"/>
  <c r="H2930" i="79"/>
  <c r="H2924" i="79" s="1"/>
  <c r="G2894" i="79"/>
  <c r="G2889" i="79"/>
  <c r="H2965" i="79"/>
  <c r="H2964" i="79" s="1"/>
  <c r="G2929" i="79"/>
  <c r="G2924" i="79"/>
  <c r="I2883" i="79"/>
  <c r="H2895" i="79"/>
  <c r="H2889" i="79" s="1"/>
  <c r="G2964" i="79"/>
  <c r="G2959" i="79"/>
  <c r="H2860" i="79"/>
  <c r="H2854" i="79" s="1"/>
  <c r="G2859" i="79"/>
  <c r="G2854" i="79"/>
  <c r="M2883" i="79"/>
  <c r="I2613" i="79"/>
  <c r="I2604" i="79" s="1"/>
  <c r="L2565" i="79"/>
  <c r="L2556" i="79" s="1"/>
  <c r="K2589" i="79"/>
  <c r="K2580" i="79" s="1"/>
  <c r="J2565" i="79"/>
  <c r="J2556" i="79" s="1"/>
  <c r="M2565" i="79"/>
  <c r="M2556" i="79" s="1"/>
  <c r="I1499" i="79"/>
  <c r="H546" i="79"/>
  <c r="J176" i="79"/>
  <c r="K1212" i="79"/>
  <c r="K176" i="79"/>
  <c r="H981" i="79"/>
  <c r="H2621" i="79"/>
  <c r="I2621" i="79"/>
  <c r="H2575" i="79"/>
  <c r="G2583" i="79"/>
  <c r="G2579" i="79" s="1"/>
  <c r="G2631" i="79"/>
  <c r="G2627" i="79" s="1"/>
  <c r="H2584" i="79"/>
  <c r="H2583" i="79" s="1"/>
  <c r="H2579" i="79" s="1"/>
  <c r="H2608" i="79"/>
  <c r="H2607" i="79" s="1"/>
  <c r="H2603" i="79" s="1"/>
  <c r="M2589" i="79"/>
  <c r="M2580" i="79" s="1"/>
  <c r="H2560" i="79"/>
  <c r="H2559" i="79" s="1"/>
  <c r="H2555" i="79" s="1"/>
  <c r="G2613" i="79"/>
  <c r="G2604" i="79" s="1"/>
  <c r="H2632" i="79"/>
  <c r="H2631" i="79" s="1"/>
  <c r="H2627" i="79" s="1"/>
  <c r="M2752" i="79"/>
  <c r="G2607" i="79"/>
  <c r="G2603" i="79" s="1"/>
  <c r="M2706" i="79"/>
  <c r="H2775" i="79"/>
  <c r="K2573" i="79"/>
  <c r="I2573" i="79"/>
  <c r="J2573" i="79"/>
  <c r="H2573" i="79"/>
  <c r="M2573" i="79"/>
  <c r="G2573" i="79"/>
  <c r="L2573" i="79"/>
  <c r="G2753" i="79"/>
  <c r="G2749" i="79" s="1"/>
  <c r="K2730" i="79"/>
  <c r="K2726" i="79" s="1"/>
  <c r="G2559" i="79"/>
  <c r="G2555" i="79" s="1"/>
  <c r="M2683" i="79"/>
  <c r="H2729" i="79"/>
  <c r="K2752" i="79"/>
  <c r="I2753" i="79"/>
  <c r="I2749" i="79" s="1"/>
  <c r="J2707" i="79"/>
  <c r="J2703" i="79" s="1"/>
  <c r="M2730" i="79"/>
  <c r="M2726" i="79" s="1"/>
  <c r="G2729" i="79"/>
  <c r="L2729" i="79"/>
  <c r="G2535" i="79"/>
  <c r="G2531" i="79" s="1"/>
  <c r="K2706" i="79"/>
  <c r="K2683" i="79"/>
  <c r="G2683" i="79"/>
  <c r="H2683" i="79"/>
  <c r="G2706" i="79"/>
  <c r="H2721" i="79"/>
  <c r="H2719" i="79" s="1"/>
  <c r="I2721" i="79"/>
  <c r="I2719" i="79" s="1"/>
  <c r="J2721" i="79"/>
  <c r="J2719" i="79" s="1"/>
  <c r="H2767" i="79"/>
  <c r="H2765" i="79" s="1"/>
  <c r="K2721" i="79"/>
  <c r="K2719" i="79" s="1"/>
  <c r="L2721" i="79"/>
  <c r="L2719" i="79" s="1"/>
  <c r="J2775" i="79"/>
  <c r="I2683" i="79"/>
  <c r="M2775" i="79"/>
  <c r="L2706" i="79"/>
  <c r="L2775" i="79"/>
  <c r="I2729" i="79"/>
  <c r="J2683" i="79"/>
  <c r="G2761" i="79"/>
  <c r="G2748" i="79" s="1"/>
  <c r="H2785" i="79"/>
  <c r="H2784" i="79" s="1"/>
  <c r="H2771" i="79" s="1"/>
  <c r="L2683" i="79"/>
  <c r="H2716" i="79"/>
  <c r="H2715" i="79" s="1"/>
  <c r="H2702" i="79" s="1"/>
  <c r="I2706" i="79"/>
  <c r="H2762" i="79"/>
  <c r="H2761" i="79" s="1"/>
  <c r="H2748" i="79" s="1"/>
  <c r="M2729" i="79"/>
  <c r="M2707" i="79"/>
  <c r="M2703" i="79" s="1"/>
  <c r="J2729" i="79"/>
  <c r="G2775" i="79"/>
  <c r="H2739" i="79"/>
  <c r="H2738" i="79" s="1"/>
  <c r="H2725" i="79" s="1"/>
  <c r="G2707" i="79"/>
  <c r="G2703" i="79" s="1"/>
  <c r="H2752" i="79"/>
  <c r="I2752" i="79"/>
  <c r="K2775" i="79"/>
  <c r="J2752" i="79"/>
  <c r="G2752" i="79"/>
  <c r="I2775" i="79"/>
  <c r="K2729" i="79"/>
  <c r="H2706" i="79"/>
  <c r="G2788" i="79"/>
  <c r="H2788" i="79"/>
  <c r="G2784" i="79"/>
  <c r="G2771" i="79" s="1"/>
  <c r="G2765" i="79"/>
  <c r="I2765" i="79"/>
  <c r="G2738" i="79"/>
  <c r="G2725" i="79" s="1"/>
  <c r="G2715" i="79"/>
  <c r="G2702" i="79" s="1"/>
  <c r="G2742" i="79"/>
  <c r="H2742" i="79"/>
  <c r="G2719" i="79"/>
  <c r="M2719" i="79"/>
  <c r="J2195" i="79"/>
  <c r="G2692" i="79"/>
  <c r="G2679" i="79" s="1"/>
  <c r="AF10" i="52"/>
  <c r="L3235" i="79"/>
  <c r="K1288" i="79"/>
  <c r="L1468" i="79"/>
  <c r="J1288" i="79"/>
  <c r="J1378" i="79"/>
  <c r="L1990" i="79"/>
  <c r="K1468" i="79"/>
  <c r="K1725" i="79"/>
  <c r="M1755" i="79"/>
  <c r="M1423" i="79"/>
  <c r="H1125" i="79"/>
  <c r="M1333" i="79"/>
  <c r="K1740" i="79"/>
  <c r="M1726" i="79"/>
  <c r="M1717" i="79" s="1"/>
  <c r="I1725" i="79"/>
  <c r="L1710" i="79"/>
  <c r="J1755" i="79"/>
  <c r="J3235" i="79"/>
  <c r="J1423" i="79"/>
  <c r="M1468" i="79"/>
  <c r="H1162" i="79"/>
  <c r="I1288" i="79"/>
  <c r="K1710" i="79"/>
  <c r="L1770" i="79"/>
  <c r="I471" i="79"/>
  <c r="H3235" i="79"/>
  <c r="H1199" i="79"/>
  <c r="L1288" i="79"/>
  <c r="I1423" i="79"/>
  <c r="I1770" i="79"/>
  <c r="J1725" i="79"/>
  <c r="I3235" i="79"/>
  <c r="H1084" i="79"/>
  <c r="L1423" i="79"/>
  <c r="L1378" i="79"/>
  <c r="K1378" i="79"/>
  <c r="H1121" i="79"/>
  <c r="I1378" i="79"/>
  <c r="J1770" i="79"/>
  <c r="M1740" i="79"/>
  <c r="M1725" i="79"/>
  <c r="I1710" i="79"/>
  <c r="H1688" i="79"/>
  <c r="K1755" i="79"/>
  <c r="K3235" i="79"/>
  <c r="J1333" i="79"/>
  <c r="L1725" i="79"/>
  <c r="J1710" i="79"/>
  <c r="L1755" i="79"/>
  <c r="I1740" i="79"/>
  <c r="K1423" i="79"/>
  <c r="L1333" i="79"/>
  <c r="K1333" i="79"/>
  <c r="M1770" i="79"/>
  <c r="J1740" i="79"/>
  <c r="I1755" i="79"/>
  <c r="K1770" i="79"/>
  <c r="K2295" i="79"/>
  <c r="H475" i="79"/>
  <c r="H191" i="79" s="1"/>
  <c r="G447" i="79"/>
  <c r="G425" i="79"/>
  <c r="G437" i="79" s="1"/>
  <c r="M1931" i="79"/>
  <c r="J2315" i="79"/>
  <c r="M319" i="79"/>
  <c r="J319" i="79"/>
  <c r="H319" i="79"/>
  <c r="G319" i="79"/>
  <c r="L319" i="79"/>
  <c r="K319" i="79"/>
  <c r="I319" i="79"/>
  <c r="M297" i="79"/>
  <c r="L297" i="79"/>
  <c r="K297" i="79"/>
  <c r="J297" i="79"/>
  <c r="I297" i="79"/>
  <c r="H297" i="79"/>
  <c r="G297" i="79"/>
  <c r="I500" i="79"/>
  <c r="G275" i="79"/>
  <c r="M275" i="79"/>
  <c r="L275" i="79"/>
  <c r="K275" i="79"/>
  <c r="J275" i="79"/>
  <c r="I275" i="79"/>
  <c r="H275" i="79"/>
  <c r="I2011" i="79"/>
  <c r="H388" i="79"/>
  <c r="M252" i="79"/>
  <c r="G252" i="79"/>
  <c r="G563" i="79" s="1"/>
  <c r="L252" i="79"/>
  <c r="K252" i="79"/>
  <c r="J252" i="79"/>
  <c r="I252" i="79"/>
  <c r="H252" i="79"/>
  <c r="M230" i="79"/>
  <c r="L230" i="79"/>
  <c r="K230" i="79"/>
  <c r="J230" i="79"/>
  <c r="I230" i="79"/>
  <c r="H230" i="79"/>
  <c r="H224" i="79" s="1"/>
  <c r="G230" i="79"/>
  <c r="G562" i="79" s="1"/>
  <c r="M208" i="79"/>
  <c r="K208" i="79"/>
  <c r="I208" i="79"/>
  <c r="G208" i="79"/>
  <c r="G568" i="79" s="1"/>
  <c r="L208" i="79"/>
  <c r="J208" i="79"/>
  <c r="H208" i="79"/>
  <c r="L455" i="79"/>
  <c r="G548" i="79"/>
  <c r="M2011" i="79"/>
  <c r="K344" i="79"/>
  <c r="H455" i="79"/>
  <c r="L232" i="79"/>
  <c r="G344" i="79"/>
  <c r="L2195" i="79"/>
  <c r="M411" i="79"/>
  <c r="I433" i="79"/>
  <c r="K548" i="79"/>
  <c r="G2030" i="79"/>
  <c r="G2028" i="79" s="1"/>
  <c r="I321" i="79"/>
  <c r="K2030" i="79"/>
  <c r="K1231" i="79"/>
  <c r="J1213" i="79"/>
  <c r="I2245" i="79"/>
  <c r="M2195" i="79"/>
  <c r="K522" i="79"/>
  <c r="H2022" i="79"/>
  <c r="I2195" i="79"/>
  <c r="G2315" i="79"/>
  <c r="G2308" i="79" s="1"/>
  <c r="M321" i="79"/>
  <c r="M2030" i="79"/>
  <c r="L2315" i="79"/>
  <c r="M478" i="79"/>
  <c r="G2195" i="79"/>
  <c r="M2270" i="79"/>
  <c r="G478" i="79"/>
  <c r="J254" i="79"/>
  <c r="L388" i="79"/>
  <c r="H2328" i="79"/>
  <c r="H2025" i="79"/>
  <c r="L982" i="79"/>
  <c r="M2244" i="79"/>
  <c r="M1771" i="79"/>
  <c r="M1762" i="79" s="1"/>
  <c r="M2294" i="79"/>
  <c r="L2293" i="79"/>
  <c r="L2292" i="79" s="1"/>
  <c r="M982" i="79"/>
  <c r="J2193" i="79"/>
  <c r="J2192" i="79" s="1"/>
  <c r="M1741" i="79"/>
  <c r="M1732" i="79" s="1"/>
  <c r="L737" i="79"/>
  <c r="M277" i="79"/>
  <c r="M299" i="79"/>
  <c r="M1971" i="79"/>
  <c r="H2270" i="79"/>
  <c r="K478" i="79"/>
  <c r="H232" i="79"/>
  <c r="L2328" i="79"/>
  <c r="M232" i="79"/>
  <c r="K2195" i="79"/>
  <c r="H1971" i="79"/>
  <c r="G232" i="79"/>
  <c r="I1951" i="79"/>
  <c r="I299" i="79"/>
  <c r="G2295" i="79"/>
  <c r="K321" i="79"/>
  <c r="G2270" i="79"/>
  <c r="L1991" i="79"/>
  <c r="H2030" i="79"/>
  <c r="J321" i="79"/>
  <c r="I455" i="79"/>
  <c r="K1991" i="79"/>
  <c r="J366" i="79"/>
  <c r="G572" i="79"/>
  <c r="K2245" i="79"/>
  <c r="J572" i="79"/>
  <c r="L2011" i="79"/>
  <c r="G455" i="79"/>
  <c r="K433" i="79"/>
  <c r="M2220" i="79"/>
  <c r="J1991" i="79"/>
  <c r="I366" i="79"/>
  <c r="I2315" i="79"/>
  <c r="H2011" i="79"/>
  <c r="I254" i="79"/>
  <c r="J478" i="79"/>
  <c r="K1971" i="79"/>
  <c r="L210" i="79"/>
  <c r="I572" i="79"/>
  <c r="I2295" i="79"/>
  <c r="G321" i="79"/>
  <c r="G433" i="79"/>
  <c r="K2220" i="79"/>
  <c r="H1991" i="79"/>
  <c r="K366" i="79"/>
  <c r="J2220" i="79"/>
  <c r="L344" i="79"/>
  <c r="L478" i="79"/>
  <c r="G1991" i="79"/>
  <c r="L2022" i="79"/>
  <c r="K388" i="79"/>
  <c r="L500" i="79"/>
  <c r="M522" i="79"/>
  <c r="J2295" i="79"/>
  <c r="G1971" i="79"/>
  <c r="H210" i="79"/>
  <c r="J2328" i="79"/>
  <c r="J232" i="79"/>
  <c r="I344" i="79"/>
  <c r="J455" i="79"/>
  <c r="J2270" i="79"/>
  <c r="G366" i="79"/>
  <c r="I232" i="79"/>
  <c r="H344" i="79"/>
  <c r="H478" i="79"/>
  <c r="I2220" i="79"/>
  <c r="I277" i="79"/>
  <c r="H2195" i="79"/>
  <c r="L277" i="79"/>
  <c r="G2245" i="79"/>
  <c r="K2315" i="79"/>
  <c r="G388" i="79"/>
  <c r="H500" i="79"/>
  <c r="I1991" i="79"/>
  <c r="K2011" i="79"/>
  <c r="L254" i="79"/>
  <c r="I478" i="79"/>
  <c r="H2315" i="79"/>
  <c r="J277" i="79"/>
  <c r="M1951" i="79"/>
  <c r="K254" i="79"/>
  <c r="J500" i="79"/>
  <c r="M2022" i="79"/>
  <c r="M2019" i="79" s="1"/>
  <c r="L2245" i="79"/>
  <c r="L1931" i="79"/>
  <c r="K299" i="79"/>
  <c r="K411" i="79"/>
  <c r="H2220" i="79"/>
  <c r="K1931" i="79"/>
  <c r="H277" i="79"/>
  <c r="J411" i="79"/>
  <c r="J2030" i="79"/>
  <c r="J522" i="79"/>
  <c r="G2328" i="79"/>
  <c r="G2321" i="79" s="1"/>
  <c r="L366" i="79"/>
  <c r="M433" i="79"/>
  <c r="G2011" i="79"/>
  <c r="H254" i="79"/>
  <c r="K500" i="79"/>
  <c r="M344" i="79"/>
  <c r="L2220" i="79"/>
  <c r="I1931" i="79"/>
  <c r="L299" i="79"/>
  <c r="L411" i="79"/>
  <c r="M366" i="79"/>
  <c r="I2328" i="79"/>
  <c r="G254" i="79"/>
  <c r="I388" i="79"/>
  <c r="L522" i="79"/>
  <c r="H1931" i="79"/>
  <c r="G299" i="79"/>
  <c r="G411" i="79"/>
  <c r="H522" i="79"/>
  <c r="M388" i="79"/>
  <c r="G1931" i="79"/>
  <c r="G2022" i="79"/>
  <c r="G2019" i="79" s="1"/>
  <c r="J299" i="79"/>
  <c r="G522" i="79"/>
  <c r="I2270" i="79"/>
  <c r="L321" i="79"/>
  <c r="L433" i="79"/>
  <c r="J548" i="79"/>
  <c r="M2315" i="79"/>
  <c r="H366" i="79"/>
  <c r="K2022" i="79"/>
  <c r="J388" i="79"/>
  <c r="G500" i="79"/>
  <c r="H2245" i="79"/>
  <c r="L1951" i="79"/>
  <c r="H299" i="79"/>
  <c r="H411" i="79"/>
  <c r="J2011" i="79"/>
  <c r="K2270" i="79"/>
  <c r="K1951" i="79"/>
  <c r="J1951" i="79"/>
  <c r="H321" i="79"/>
  <c r="H433" i="79"/>
  <c r="J1931" i="79"/>
  <c r="K277" i="79"/>
  <c r="I522" i="79"/>
  <c r="M2295" i="79"/>
  <c r="H1951" i="79"/>
  <c r="K210" i="79"/>
  <c r="L572" i="79"/>
  <c r="M455" i="79"/>
  <c r="J2022" i="79"/>
  <c r="L548" i="79"/>
  <c r="M1991" i="79"/>
  <c r="L2295" i="79"/>
  <c r="G1951" i="79"/>
  <c r="J210" i="79"/>
  <c r="M210" i="79"/>
  <c r="H2295" i="79"/>
  <c r="L1971" i="79"/>
  <c r="I210" i="79"/>
  <c r="K2328" i="79"/>
  <c r="K232" i="79"/>
  <c r="J344" i="79"/>
  <c r="K455" i="79"/>
  <c r="G2220" i="79"/>
  <c r="I2022" i="79"/>
  <c r="G277" i="79"/>
  <c r="I411" i="79"/>
  <c r="I2030" i="79"/>
  <c r="I548" i="79"/>
  <c r="L2270" i="79"/>
  <c r="J1971" i="79"/>
  <c r="G210" i="79"/>
  <c r="H572" i="79"/>
  <c r="J2245" i="79"/>
  <c r="L2030" i="79"/>
  <c r="J433" i="79"/>
  <c r="H548" i="79"/>
  <c r="I1971" i="79"/>
  <c r="K572" i="79"/>
  <c r="G190" i="79"/>
  <c r="G184" i="79" s="1"/>
  <c r="J1447" i="79"/>
  <c r="I1492" i="79"/>
  <c r="I1312" i="79"/>
  <c r="I1447" i="79"/>
  <c r="I1357" i="79"/>
  <c r="I1402" i="79"/>
  <c r="I2831" i="79"/>
  <c r="H3012" i="79"/>
  <c r="I1155" i="79"/>
  <c r="H1118" i="79"/>
  <c r="I178" i="79"/>
  <c r="H1155" i="79"/>
  <c r="H1081" i="79"/>
  <c r="K982" i="79"/>
  <c r="I546" i="79"/>
  <c r="I1192" i="79"/>
  <c r="I1118" i="79"/>
  <c r="I192" i="79"/>
  <c r="J982" i="79"/>
  <c r="I982" i="79"/>
  <c r="J192" i="79"/>
  <c r="K192" i="79"/>
  <c r="I1044" i="79"/>
  <c r="J546" i="79"/>
  <c r="H1044" i="79"/>
  <c r="H2194" i="79"/>
  <c r="H2192" i="79" s="1"/>
  <c r="K448" i="79"/>
  <c r="J2539" i="79"/>
  <c r="H192" i="79"/>
  <c r="I1081" i="79"/>
  <c r="H982" i="79"/>
  <c r="H1192" i="79"/>
  <c r="I1121" i="79"/>
  <c r="I1125" i="79"/>
  <c r="I1088" i="79"/>
  <c r="I1047" i="79"/>
  <c r="I1158" i="79"/>
  <c r="I1051" i="79"/>
  <c r="I1084" i="79"/>
  <c r="I1199" i="79"/>
  <c r="I1195" i="79"/>
  <c r="I1162" i="79"/>
  <c r="M2243" i="79"/>
  <c r="J2009" i="79"/>
  <c r="J2008" i="79" s="1"/>
  <c r="K1929" i="79"/>
  <c r="K1928" i="79" s="1"/>
  <c r="K1922" i="79" s="1"/>
  <c r="K1989" i="79"/>
  <c r="K1988" i="79" s="1"/>
  <c r="I2293" i="79"/>
  <c r="I2292" i="79" s="1"/>
  <c r="M1949" i="79"/>
  <c r="M1948" i="79" s="1"/>
  <c r="M2268" i="79"/>
  <c r="M2267" i="79" s="1"/>
  <c r="I1989" i="79"/>
  <c r="I1988" i="79" s="1"/>
  <c r="J2268" i="79"/>
  <c r="J2267" i="79" s="1"/>
  <c r="K2009" i="79"/>
  <c r="K2008" i="79" s="1"/>
  <c r="J1989" i="79"/>
  <c r="J1988" i="79" s="1"/>
  <c r="L2009" i="79"/>
  <c r="L2008" i="79" s="1"/>
  <c r="L1969" i="79"/>
  <c r="L1968" i="79" s="1"/>
  <c r="K1626" i="79"/>
  <c r="M2293" i="79"/>
  <c r="K1594" i="79"/>
  <c r="K2218" i="79"/>
  <c r="K2217" i="79" s="1"/>
  <c r="L1989" i="79"/>
  <c r="M2218" i="79"/>
  <c r="M2217" i="79" s="1"/>
  <c r="I2268" i="79"/>
  <c r="I2267" i="79" s="1"/>
  <c r="J2694" i="79"/>
  <c r="M1594" i="79"/>
  <c r="AH19" i="52"/>
  <c r="AL19" i="52"/>
  <c r="I2218" i="79"/>
  <c r="I2217" i="79" s="1"/>
  <c r="L2243" i="79"/>
  <c r="L2242" i="79" s="1"/>
  <c r="M1989" i="79"/>
  <c r="M1988" i="79" s="1"/>
  <c r="I2009" i="79"/>
  <c r="I2008" i="79" s="1"/>
  <c r="L1610" i="79"/>
  <c r="M2009" i="79"/>
  <c r="M2008" i="79" s="1"/>
  <c r="J1969" i="79"/>
  <c r="J1968" i="79" s="1"/>
  <c r="L2193" i="79"/>
  <c r="L2192" i="79" s="1"/>
  <c r="I2243" i="79"/>
  <c r="I2242" i="79" s="1"/>
  <c r="L1929" i="79"/>
  <c r="L1928" i="79" s="1"/>
  <c r="L1922" i="79" s="1"/>
  <c r="L1578" i="79"/>
  <c r="J2218" i="79"/>
  <c r="J2217" i="79" s="1"/>
  <c r="J1594" i="79"/>
  <c r="I1642" i="79"/>
  <c r="H1578" i="79"/>
  <c r="H1580" i="79" s="1"/>
  <c r="I1610" i="79"/>
  <c r="K1642" i="79"/>
  <c r="M1969" i="79"/>
  <c r="M1968" i="79" s="1"/>
  <c r="L2218" i="79"/>
  <c r="I2193" i="79"/>
  <c r="I2192" i="79" s="1"/>
  <c r="L1949" i="79"/>
  <c r="L1626" i="79"/>
  <c r="K1969" i="79"/>
  <c r="K1968" i="79" s="1"/>
  <c r="K2193" i="79"/>
  <c r="K2192" i="79" s="1"/>
  <c r="M2193" i="79"/>
  <c r="J1610" i="79"/>
  <c r="H1088" i="79"/>
  <c r="H1642" i="79"/>
  <c r="H1644" i="79" s="1"/>
  <c r="K1949" i="79"/>
  <c r="K1948" i="79" s="1"/>
  <c r="I1626" i="79"/>
  <c r="H1195" i="79"/>
  <c r="J1949" i="79"/>
  <c r="J1948" i="79" s="1"/>
  <c r="M1626" i="79"/>
  <c r="M1610" i="79"/>
  <c r="J1626" i="79"/>
  <c r="H1610" i="79"/>
  <c r="H1612" i="79" s="1"/>
  <c r="L1642" i="79"/>
  <c r="H1626" i="79"/>
  <c r="H1628" i="79" s="1"/>
  <c r="L2268" i="79"/>
  <c r="L2267" i="79" s="1"/>
  <c r="I1578" i="79"/>
  <c r="J2243" i="79"/>
  <c r="J2242" i="79" s="1"/>
  <c r="I1969" i="79"/>
  <c r="I1968" i="79" s="1"/>
  <c r="M1578" i="79"/>
  <c r="K1610" i="79"/>
  <c r="K2268" i="79"/>
  <c r="K2267" i="79" s="1"/>
  <c r="I1594" i="79"/>
  <c r="H1594" i="79"/>
  <c r="H1596" i="79" s="1"/>
  <c r="I1929" i="79"/>
  <c r="I1928" i="79" s="1"/>
  <c r="I1922" i="79" s="1"/>
  <c r="J2293" i="79"/>
  <c r="J2292" i="79" s="1"/>
  <c r="AL34" i="52"/>
  <c r="AZ20" i="10"/>
  <c r="C403" i="54" a="1"/>
  <c r="C403" i="54" s="1"/>
  <c r="B403" i="54" s="1"/>
  <c r="C512" i="54" a="1"/>
  <c r="C512" i="54" s="1"/>
  <c r="D512" i="54" s="1"/>
  <c r="B512" i="54" s="1"/>
  <c r="C265" i="54" a="1"/>
  <c r="C265" i="54" s="1"/>
  <c r="D265" i="54" s="1"/>
  <c r="C158" i="54" a="1"/>
  <c r="C158" i="54" s="1"/>
  <c r="B158" i="54" s="1"/>
  <c r="C414" i="54" a="1"/>
  <c r="C414" i="54" s="1"/>
  <c r="B414" i="54" s="1"/>
  <c r="C523" i="54" a="1"/>
  <c r="C523" i="54" s="1"/>
  <c r="D523" i="54" s="1"/>
  <c r="B523" i="54" s="1"/>
  <c r="C276" i="54" a="1"/>
  <c r="C276" i="54" s="1"/>
  <c r="D276" i="54" s="1"/>
  <c r="C169" i="54" a="1"/>
  <c r="C169" i="54" s="1"/>
  <c r="B169" i="54" s="1"/>
  <c r="C60" i="54" a="1"/>
  <c r="C60" i="54" s="1"/>
  <c r="B60" i="54" s="1"/>
  <c r="C412" i="54" a="1"/>
  <c r="C412" i="54" s="1"/>
  <c r="C521" i="54" a="1"/>
  <c r="C521" i="54" s="1"/>
  <c r="D521" i="54" s="1"/>
  <c r="B521" i="54" s="1"/>
  <c r="C167" i="54" a="1"/>
  <c r="C167" i="54" s="1"/>
  <c r="B167" i="54" s="1"/>
  <c r="C274" i="54" a="1"/>
  <c r="C274" i="54" s="1"/>
  <c r="D274" i="54" s="1"/>
  <c r="C402" i="54" a="1"/>
  <c r="C402" i="54" s="1"/>
  <c r="C511" i="54" a="1"/>
  <c r="C511" i="54" s="1"/>
  <c r="D511" i="54" s="1"/>
  <c r="B511" i="54" s="1"/>
  <c r="C157" i="54" a="1"/>
  <c r="C157" i="54" s="1"/>
  <c r="B157" i="54" s="1"/>
  <c r="C264" i="54" a="1"/>
  <c r="C264" i="54" s="1"/>
  <c r="D264" i="54" s="1"/>
  <c r="D674" i="59"/>
  <c r="C136" i="54" a="1"/>
  <c r="C136" i="54" s="1"/>
  <c r="B136" i="54" s="1"/>
  <c r="C285" i="54" a="1"/>
  <c r="C285" i="54" s="1"/>
  <c r="D285" i="54" s="1"/>
  <c r="C413" i="54" a="1"/>
  <c r="C413" i="54" s="1"/>
  <c r="C522" i="54" a="1"/>
  <c r="C522" i="54" s="1"/>
  <c r="D522" i="54" s="1"/>
  <c r="B522" i="54" s="1"/>
  <c r="C168" i="54" a="1"/>
  <c r="C168" i="54" s="1"/>
  <c r="B168" i="54" s="1"/>
  <c r="C275" i="54" a="1"/>
  <c r="C275" i="54" s="1"/>
  <c r="D275" i="54" s="1"/>
  <c r="C59" i="54" a="1"/>
  <c r="C59" i="54" s="1"/>
  <c r="B59" i="54" s="1"/>
  <c r="D723" i="59"/>
  <c r="D693" i="59"/>
  <c r="C525" i="54" a="1"/>
  <c r="C525" i="54" s="1"/>
  <c r="D525" i="54" s="1"/>
  <c r="B525" i="54" s="1"/>
  <c r="C171" i="54" a="1"/>
  <c r="C171" i="54" s="1"/>
  <c r="B171" i="54" s="1"/>
  <c r="C278" i="54" a="1"/>
  <c r="C278" i="54" s="1"/>
  <c r="D278" i="54" s="1"/>
  <c r="C62" i="54" a="1"/>
  <c r="C62" i="54" s="1"/>
  <c r="B62" i="54" s="1"/>
  <c r="C529" i="54" a="1"/>
  <c r="C529" i="54" s="1"/>
  <c r="D529" i="54" s="1"/>
  <c r="B529" i="54" s="1"/>
  <c r="C282" i="54" a="1"/>
  <c r="C282" i="54" s="1"/>
  <c r="D282" i="54" s="1"/>
  <c r="C175" i="54" a="1"/>
  <c r="C175" i="54" s="1"/>
  <c r="B175" i="54" s="1"/>
  <c r="C66" i="54" a="1"/>
  <c r="C66" i="54" s="1"/>
  <c r="B66" i="54" s="1"/>
  <c r="C407" i="54" a="1"/>
  <c r="C407" i="54" s="1"/>
  <c r="C516" i="54" a="1"/>
  <c r="C516" i="54" s="1"/>
  <c r="D516" i="54" s="1"/>
  <c r="B516" i="54" s="1"/>
  <c r="C269" i="54" a="1"/>
  <c r="C269" i="54" s="1"/>
  <c r="D269" i="54" s="1"/>
  <c r="C162" i="54" a="1"/>
  <c r="C162" i="54" s="1"/>
  <c r="B162" i="54" s="1"/>
  <c r="C409" i="54" a="1"/>
  <c r="C409" i="54" s="1"/>
  <c r="C518" i="54" a="1"/>
  <c r="C518" i="54" s="1"/>
  <c r="D518" i="54" s="1"/>
  <c r="B518" i="54" s="1"/>
  <c r="C271" i="54" a="1"/>
  <c r="C271" i="54" s="1"/>
  <c r="D271" i="54" s="1"/>
  <c r="C164" i="54" a="1"/>
  <c r="C164" i="54" s="1"/>
  <c r="B164" i="54" s="1"/>
  <c r="C401" i="54" a="1"/>
  <c r="C401" i="54" s="1"/>
  <c r="B401" i="54" s="1"/>
  <c r="C510" i="54" a="1"/>
  <c r="C510" i="54" s="1"/>
  <c r="D510" i="54" s="1"/>
  <c r="B510" i="54" s="1"/>
  <c r="C156" i="54" a="1"/>
  <c r="C156" i="54" s="1"/>
  <c r="B156" i="54" s="1"/>
  <c r="C263" i="54" a="1"/>
  <c r="C263" i="54" s="1"/>
  <c r="D263" i="54" s="1"/>
  <c r="D756" i="59"/>
  <c r="D692" i="59"/>
  <c r="D741" i="59"/>
  <c r="C408" i="54" a="1"/>
  <c r="C408" i="54" s="1"/>
  <c r="C517" i="54" a="1"/>
  <c r="C517" i="54" s="1"/>
  <c r="D517" i="54" s="1"/>
  <c r="B517" i="54" s="1"/>
  <c r="K517" i="54" s="1"/>
  <c r="C163" i="54" a="1"/>
  <c r="C163" i="54" s="1"/>
  <c r="B163" i="54" s="1"/>
  <c r="C270" i="54" a="1"/>
  <c r="C270" i="54" s="1"/>
  <c r="D270" i="54" s="1"/>
  <c r="C410" i="54" a="1"/>
  <c r="C410" i="54" s="1"/>
  <c r="C519" i="54" a="1"/>
  <c r="C519" i="54" s="1"/>
  <c r="D519" i="54" s="1"/>
  <c r="B519" i="54" s="1"/>
  <c r="C272" i="54" a="1"/>
  <c r="C272" i="54" s="1"/>
  <c r="D272" i="54" s="1"/>
  <c r="C165" i="54" a="1"/>
  <c r="C165" i="54" s="1"/>
  <c r="B165" i="54" s="1"/>
  <c r="D777" i="59"/>
  <c r="D713" i="59"/>
  <c r="C406" i="54" a="1"/>
  <c r="C406" i="54" s="1"/>
  <c r="C515" i="54" a="1"/>
  <c r="C515" i="54" s="1"/>
  <c r="D515" i="54" s="1"/>
  <c r="B515" i="54" s="1"/>
  <c r="C161" i="54" a="1"/>
  <c r="C161" i="54" s="1"/>
  <c r="B161" i="54" s="1"/>
  <c r="C268" i="54" a="1"/>
  <c r="C268" i="54" s="1"/>
  <c r="D268" i="54" s="1"/>
  <c r="C405" i="54" a="1"/>
  <c r="C405" i="54" s="1"/>
  <c r="C514" i="54" a="1"/>
  <c r="C514" i="54" s="1"/>
  <c r="D514" i="54" s="1"/>
  <c r="B514" i="54" s="1"/>
  <c r="C267" i="54" a="1"/>
  <c r="C267" i="54" s="1"/>
  <c r="D267" i="54" s="1"/>
  <c r="C160" i="54" a="1"/>
  <c r="C160" i="54" s="1"/>
  <c r="B160" i="54" s="1"/>
  <c r="C411" i="54" a="1"/>
  <c r="C411" i="54" s="1"/>
  <c r="C520" i="54" a="1"/>
  <c r="C520" i="54" s="1"/>
  <c r="D520" i="54" s="1"/>
  <c r="B520" i="54" s="1"/>
  <c r="C273" i="54" a="1"/>
  <c r="C273" i="54" s="1"/>
  <c r="D273" i="54" s="1"/>
  <c r="C166" i="54" a="1"/>
  <c r="C166" i="54" s="1"/>
  <c r="B166" i="54" s="1"/>
  <c r="C524" i="54" a="1"/>
  <c r="C524" i="54" s="1"/>
  <c r="D524" i="54" s="1"/>
  <c r="B524" i="54" s="1"/>
  <c r="C277" i="54" a="1"/>
  <c r="C277" i="54" s="1"/>
  <c r="D277" i="54" s="1"/>
  <c r="C170" i="54" a="1"/>
  <c r="C170" i="54" s="1"/>
  <c r="B170" i="54" s="1"/>
  <c r="C61" i="54" a="1"/>
  <c r="C61" i="54" s="1"/>
  <c r="B61" i="54" s="1"/>
  <c r="C404" i="54" a="1"/>
  <c r="C404" i="54" s="1"/>
  <c r="B404" i="54" s="1"/>
  <c r="C513" i="54" a="1"/>
  <c r="C513" i="54" s="1"/>
  <c r="D513" i="54" s="1"/>
  <c r="B513" i="54" s="1"/>
  <c r="C266" i="54" a="1"/>
  <c r="C266" i="54" s="1"/>
  <c r="D266" i="54" s="1"/>
  <c r="C159" i="54" a="1"/>
  <c r="C159" i="54" s="1"/>
  <c r="B159" i="54" s="1"/>
  <c r="C526" i="54" a="1"/>
  <c r="C526" i="54" s="1"/>
  <c r="D526" i="54" s="1"/>
  <c r="B526" i="54" s="1"/>
  <c r="C279" i="54" a="1"/>
  <c r="C279" i="54" s="1"/>
  <c r="D279" i="54" s="1"/>
  <c r="C172" i="54" a="1"/>
  <c r="C172" i="54" s="1"/>
  <c r="B172" i="54" s="1"/>
  <c r="C63" i="54" a="1"/>
  <c r="C63" i="54" s="1"/>
  <c r="B63" i="54" s="1"/>
  <c r="D712" i="59"/>
  <c r="D764" i="59"/>
  <c r="H1739" i="79"/>
  <c r="H1738" i="79" s="1"/>
  <c r="H1730" i="79" s="1"/>
  <c r="H1946" i="79"/>
  <c r="H1945" i="79" s="1"/>
  <c r="H1336" i="79"/>
  <c r="H1335" i="79" s="1"/>
  <c r="H683" i="79"/>
  <c r="H682" i="79" s="1"/>
  <c r="AH12" i="52"/>
  <c r="H1754" i="79"/>
  <c r="H1753" i="79" s="1"/>
  <c r="H1745" i="79" s="1"/>
  <c r="H469" i="79"/>
  <c r="AK34" i="52"/>
  <c r="M981" i="79"/>
  <c r="M1212" i="79"/>
  <c r="I744" i="79"/>
  <c r="J1212" i="79"/>
  <c r="L1212" i="79"/>
  <c r="L981" i="79"/>
  <c r="J981" i="79"/>
  <c r="J744" i="79"/>
  <c r="L1499" i="79"/>
  <c r="K744" i="79"/>
  <c r="I1212" i="79"/>
  <c r="M744" i="79"/>
  <c r="K981" i="79"/>
  <c r="L744" i="79"/>
  <c r="M1499" i="79"/>
  <c r="C528" i="54" a="1"/>
  <c r="C528" i="54" s="1"/>
  <c r="D528" i="54" s="1"/>
  <c r="B528" i="54" s="1"/>
  <c r="K528" i="54" s="1"/>
  <c r="C174" i="54" a="1"/>
  <c r="C174" i="54" s="1"/>
  <c r="B174" i="54" s="1"/>
  <c r="C281" i="54" a="1"/>
  <c r="C281" i="54" s="1"/>
  <c r="D281" i="54" s="1"/>
  <c r="C65" i="54" a="1"/>
  <c r="C65" i="54" s="1"/>
  <c r="B65" i="54" s="1"/>
  <c r="H491" i="79"/>
  <c r="H1184" i="79"/>
  <c r="H1183" i="79" s="1"/>
  <c r="H1966" i="79"/>
  <c r="H1965" i="79" s="1"/>
  <c r="H2190" i="79"/>
  <c r="H2189" i="79" s="1"/>
  <c r="H1724" i="79"/>
  <c r="H1723" i="79" s="1"/>
  <c r="H1715" i="79" s="1"/>
  <c r="H312" i="79"/>
  <c r="H379" i="79"/>
  <c r="H1467" i="79"/>
  <c r="H1466" i="79" s="1"/>
  <c r="H1287" i="79"/>
  <c r="H1286" i="79" s="1"/>
  <c r="H2825" i="79"/>
  <c r="H2824" i="79" s="1"/>
  <c r="H2290" i="79"/>
  <c r="H2289" i="79" s="1"/>
  <c r="H2284" i="79" s="1"/>
  <c r="H2129" i="79" s="1"/>
  <c r="H2080" i="79" s="1"/>
  <c r="H1709" i="79"/>
  <c r="H1708" i="79" s="1"/>
  <c r="H1700" i="79" s="1"/>
  <c r="D65" i="52"/>
  <c r="D87" i="52" s="1"/>
  <c r="D109" i="52" s="1"/>
  <c r="D131" i="52" s="1"/>
  <c r="H402" i="79"/>
  <c r="H1073" i="79"/>
  <c r="H1072" i="79" s="1"/>
  <c r="H863" i="79"/>
  <c r="H862" i="79" s="1"/>
  <c r="H1625" i="79"/>
  <c r="H2240" i="79"/>
  <c r="H2239" i="79" s="1"/>
  <c r="H2234" i="79" s="1"/>
  <c r="H2127" i="79" s="1"/>
  <c r="H2078" i="79" s="1"/>
  <c r="AI34" i="52"/>
  <c r="AI12" i="52"/>
  <c r="H446" i="79"/>
  <c r="H223" i="79"/>
  <c r="H268" i="79"/>
  <c r="H1471" i="79"/>
  <c r="H1470" i="79" s="1"/>
  <c r="H1381" i="79"/>
  <c r="H1380" i="79" s="1"/>
  <c r="H710" i="79"/>
  <c r="H2536" i="79"/>
  <c r="H2535" i="79" s="1"/>
  <c r="H2531" i="79" s="1"/>
  <c r="H1926" i="79"/>
  <c r="H1925" i="79" s="1"/>
  <c r="H3228" i="79"/>
  <c r="H3227" i="79" s="1"/>
  <c r="H1577" i="79"/>
  <c r="H1986" i="79"/>
  <c r="H1985" i="79" s="1"/>
  <c r="H602" i="79"/>
  <c r="H601" i="79" s="1"/>
  <c r="H245" i="79"/>
  <c r="H424" i="79"/>
  <c r="H656" i="79"/>
  <c r="H655" i="79" s="1"/>
  <c r="H1422" i="79"/>
  <c r="H1421" i="79" s="1"/>
  <c r="H357" i="79"/>
  <c r="H2265" i="79"/>
  <c r="H2264" i="79" s="1"/>
  <c r="H2259" i="79" s="1"/>
  <c r="H2128" i="79" s="1"/>
  <c r="H2079" i="79" s="1"/>
  <c r="H1593" i="79"/>
  <c r="H2693" i="79"/>
  <c r="H2692" i="79" s="1"/>
  <c r="H2679" i="79" s="1"/>
  <c r="AJ34" i="52"/>
  <c r="AF34" i="52"/>
  <c r="AK12" i="52"/>
  <c r="H201" i="79"/>
  <c r="H513" i="79"/>
  <c r="H290" i="79"/>
  <c r="H629" i="79"/>
  <c r="H1769" i="79"/>
  <c r="H1768" i="79" s="1"/>
  <c r="H1760" i="79" s="1"/>
  <c r="AG34" i="52"/>
  <c r="AG12" i="52"/>
  <c r="H1110" i="79"/>
  <c r="H1109" i="79" s="1"/>
  <c r="H900" i="79"/>
  <c r="H899" i="79" s="1"/>
  <c r="H789" i="79"/>
  <c r="H788" i="79" s="1"/>
  <c r="H826" i="79"/>
  <c r="H825" i="79" s="1"/>
  <c r="H1147" i="79"/>
  <c r="H1146" i="79" s="1"/>
  <c r="H1426" i="79"/>
  <c r="H1425" i="79" s="1"/>
  <c r="H335" i="79"/>
  <c r="H2006" i="79"/>
  <c r="H2005" i="79" s="1"/>
  <c r="H1641" i="79"/>
  <c r="AH34" i="52"/>
  <c r="AJ12" i="52"/>
  <c r="AF12" i="52"/>
  <c r="H2215" i="79"/>
  <c r="H2214" i="79" s="1"/>
  <c r="H2209" i="79" s="1"/>
  <c r="H2126" i="79" s="1"/>
  <c r="H2077" i="79" s="1"/>
  <c r="AL12" i="52"/>
  <c r="D701" i="59"/>
  <c r="C527" i="54" a="1"/>
  <c r="C527" i="54" s="1"/>
  <c r="D527" i="54" s="1"/>
  <c r="B527" i="54" s="1"/>
  <c r="C173" i="54" a="1"/>
  <c r="C173" i="54" s="1"/>
  <c r="B173" i="54" s="1"/>
  <c r="C280" i="54" a="1"/>
  <c r="C280" i="54" s="1"/>
  <c r="D280" i="54" s="1"/>
  <c r="C64" i="54" a="1"/>
  <c r="C64" i="54" s="1"/>
  <c r="B64" i="54" s="1"/>
  <c r="AG70" i="52"/>
  <c r="AG114" i="52"/>
  <c r="D29" i="52"/>
  <c r="D51" i="52" s="1"/>
  <c r="D73" i="52" s="1"/>
  <c r="D95" i="52" s="1"/>
  <c r="D117" i="52" s="1"/>
  <c r="AL7" i="52"/>
  <c r="AL117" i="52" s="1"/>
  <c r="AH7" i="52"/>
  <c r="AH117" i="52" s="1"/>
  <c r="AK7" i="52"/>
  <c r="AK117" i="52" s="1"/>
  <c r="AF7" i="52"/>
  <c r="AF117" i="52" s="1"/>
  <c r="AG7" i="52"/>
  <c r="AG117" i="52" s="1"/>
  <c r="AJ7" i="52"/>
  <c r="AJ117" i="52" s="1"/>
  <c r="K1155" i="79"/>
  <c r="J1044" i="79"/>
  <c r="J1081" i="79"/>
  <c r="J1192" i="79"/>
  <c r="J1155" i="79"/>
  <c r="J1118" i="79"/>
  <c r="J576" i="79"/>
  <c r="I552" i="79"/>
  <c r="H3281" i="79"/>
  <c r="H744" i="79"/>
  <c r="H1212" i="79"/>
  <c r="L2694" i="79"/>
  <c r="H1377" i="79"/>
  <c r="H1376" i="79" s="1"/>
  <c r="H1609" i="79"/>
  <c r="H937" i="79"/>
  <c r="H936" i="79" s="1"/>
  <c r="H1332" i="79"/>
  <c r="H1331" i="79" s="1"/>
  <c r="H1291" i="79"/>
  <c r="H1290" i="79" s="1"/>
  <c r="I1687" i="79"/>
  <c r="I3559" i="79"/>
  <c r="I2652" i="79"/>
  <c r="AG250" i="52"/>
  <c r="AG167" i="52"/>
  <c r="AG160" i="52"/>
  <c r="AG166" i="52"/>
  <c r="AG254" i="52"/>
  <c r="AG164" i="52"/>
  <c r="AG253" i="52"/>
  <c r="AG170" i="52"/>
  <c r="AG163" i="52"/>
  <c r="AG252" i="52"/>
  <c r="AG169" i="52"/>
  <c r="AG162" i="52"/>
  <c r="AG251" i="52"/>
  <c r="AG168" i="52"/>
  <c r="AG161" i="52"/>
  <c r="I1774" i="79"/>
  <c r="Z208" i="52" s="1"/>
  <c r="Z17" i="52" s="1"/>
  <c r="Z127" i="52" s="1"/>
  <c r="D700" i="59"/>
  <c r="D714" i="59"/>
  <c r="D732" i="59"/>
  <c r="D721" i="59"/>
  <c r="D763" i="59"/>
  <c r="D784" i="59"/>
  <c r="D755" i="59"/>
  <c r="D720" i="59"/>
  <c r="D778" i="59"/>
  <c r="D711" i="59"/>
  <c r="U103" i="59"/>
  <c r="I49" i="37"/>
  <c r="I77" i="37" s="1"/>
  <c r="I115" i="37"/>
  <c r="I129" i="37" s="1"/>
  <c r="I50" i="37"/>
  <c r="I72" i="37" s="1"/>
  <c r="I116" i="37"/>
  <c r="I130" i="37" s="1"/>
  <c r="U102" i="59"/>
  <c r="K1081" i="79"/>
  <c r="I1037" i="79"/>
  <c r="D715" i="59"/>
  <c r="D752" i="59"/>
  <c r="D697" i="59"/>
  <c r="D786" i="59"/>
  <c r="D757" i="59"/>
  <c r="D733" i="59"/>
  <c r="M1930" i="79"/>
  <c r="M1928" i="79" s="1"/>
  <c r="M1922" i="79" s="1"/>
  <c r="M1880" i="79" s="1"/>
  <c r="M2194" i="79"/>
  <c r="H1930" i="79"/>
  <c r="H1928" i="79" s="1"/>
  <c r="H1922" i="79" s="1"/>
  <c r="M1711" i="79"/>
  <c r="M1702" i="79" s="1"/>
  <c r="H2848" i="79"/>
  <c r="H2844" i="79" s="1"/>
  <c r="H663" i="79"/>
  <c r="H662" i="79" s="1"/>
  <c r="H1117" i="79"/>
  <c r="H1374" i="79"/>
  <c r="H870" i="79"/>
  <c r="H869" i="79" s="1"/>
  <c r="H1736" i="79"/>
  <c r="H1616" i="79"/>
  <c r="H1615" i="79" s="1"/>
  <c r="H385" i="79"/>
  <c r="H341" i="79"/>
  <c r="H189" i="79" s="1"/>
  <c r="M737" i="79"/>
  <c r="I992" i="79"/>
  <c r="H737" i="79"/>
  <c r="I737" i="79"/>
  <c r="M992" i="79"/>
  <c r="K992" i="79"/>
  <c r="J992" i="79"/>
  <c r="L992" i="79"/>
  <c r="K737" i="79"/>
  <c r="L426" i="79"/>
  <c r="K404" i="79"/>
  <c r="M426" i="79"/>
  <c r="I404" i="79"/>
  <c r="I448" i="79"/>
  <c r="K426" i="79"/>
  <c r="L404" i="79"/>
  <c r="L448" i="79"/>
  <c r="M404" i="79"/>
  <c r="J448" i="79"/>
  <c r="H404" i="79"/>
  <c r="H448" i="79"/>
  <c r="H447" i="79" s="1"/>
  <c r="I426" i="79"/>
  <c r="H426" i="79"/>
  <c r="H425" i="79" s="1"/>
  <c r="V83" i="59"/>
  <c r="V230" i="59" s="1"/>
  <c r="J164" i="37"/>
  <c r="J191" i="37" s="1"/>
  <c r="J165" i="37"/>
  <c r="J192" i="37" s="1"/>
  <c r="J163" i="37"/>
  <c r="J190" i="37" s="1"/>
  <c r="J162" i="37"/>
  <c r="J189" i="37" s="1"/>
  <c r="J166" i="37"/>
  <c r="N648" i="59"/>
  <c r="V113" i="59"/>
  <c r="U232" i="59"/>
  <c r="K157" i="37"/>
  <c r="N4" i="54"/>
  <c r="L343" i="37"/>
  <c r="K343" i="37"/>
  <c r="K344" i="37"/>
  <c r="K347" i="37"/>
  <c r="J107" i="37"/>
  <c r="I2539" i="79"/>
  <c r="L2539" i="79"/>
  <c r="H2539" i="79"/>
  <c r="K2539" i="79"/>
  <c r="M2539" i="79"/>
  <c r="L346" i="37"/>
  <c r="K24" i="37"/>
  <c r="M343" i="37"/>
  <c r="L27" i="37"/>
  <c r="M346" i="37"/>
  <c r="L26" i="37"/>
  <c r="M25" i="37"/>
  <c r="L345" i="37"/>
  <c r="L28" i="37"/>
  <c r="K793" i="79"/>
  <c r="I904" i="79"/>
  <c r="L830" i="79"/>
  <c r="L793" i="79"/>
  <c r="H904" i="79"/>
  <c r="H903" i="79" s="1"/>
  <c r="L941" i="79"/>
  <c r="H867" i="79"/>
  <c r="H866" i="79" s="1"/>
  <c r="K941" i="79"/>
  <c r="I941" i="79"/>
  <c r="M941" i="79"/>
  <c r="J867" i="79"/>
  <c r="H941" i="79"/>
  <c r="H940" i="79" s="1"/>
  <c r="M904" i="79"/>
  <c r="K904" i="79"/>
  <c r="K830" i="79"/>
  <c r="I830" i="79"/>
  <c r="M867" i="79"/>
  <c r="J904" i="79"/>
  <c r="I793" i="79"/>
  <c r="M793" i="79"/>
  <c r="L904" i="79"/>
  <c r="L867" i="79"/>
  <c r="H793" i="79"/>
  <c r="H792" i="79" s="1"/>
  <c r="J941" i="79"/>
  <c r="I3056" i="79"/>
  <c r="I3052" i="79" s="1"/>
  <c r="AG204" i="52"/>
  <c r="AG202" i="52"/>
  <c r="AG205" i="52"/>
  <c r="AG203" i="52"/>
  <c r="AG206" i="52"/>
  <c r="H494" i="79"/>
  <c r="I2205" i="79"/>
  <c r="H1298" i="79"/>
  <c r="H1297" i="79" s="1"/>
  <c r="H1584" i="79"/>
  <c r="H1583" i="79" s="1"/>
  <c r="H1284" i="79"/>
  <c r="H1706" i="79"/>
  <c r="H251" i="79"/>
  <c r="H1043" i="79"/>
  <c r="H609" i="79"/>
  <c r="H608" i="79" s="1"/>
  <c r="H2832" i="79"/>
  <c r="H2830" i="79" s="1"/>
  <c r="H2821" i="79" s="1"/>
  <c r="H229" i="79"/>
  <c r="H796" i="79"/>
  <c r="H795" i="79" s="1"/>
  <c r="H3236" i="79"/>
  <c r="H207" i="79"/>
  <c r="AF46" i="52"/>
  <c r="L2219" i="79"/>
  <c r="L1950" i="79"/>
  <c r="L1726" i="79"/>
  <c r="L1717" i="79" s="1"/>
  <c r="H2201" i="79"/>
  <c r="H2199" i="79" s="1"/>
  <c r="AL15" i="52"/>
  <c r="D37" i="52"/>
  <c r="D59" i="52" s="1"/>
  <c r="D81" i="52" s="1"/>
  <c r="D103" i="52" s="1"/>
  <c r="D125" i="52" s="1"/>
  <c r="AK15" i="52"/>
  <c r="AG15" i="52"/>
  <c r="AH15" i="52"/>
  <c r="AF15" i="52"/>
  <c r="AI15" i="52"/>
  <c r="AJ15" i="52"/>
  <c r="H630" i="79"/>
  <c r="H711" i="79"/>
  <c r="H713" i="79" s="1"/>
  <c r="I1074" i="79"/>
  <c r="I718" i="79"/>
  <c r="K1499" i="79"/>
  <c r="J3390" i="79"/>
  <c r="I2518" i="79"/>
  <c r="K2518" i="79"/>
  <c r="M3390" i="79"/>
  <c r="J552" i="79"/>
  <c r="L576" i="79"/>
  <c r="M552" i="79"/>
  <c r="J2518" i="79"/>
  <c r="H1499" i="79"/>
  <c r="I981" i="79"/>
  <c r="I3390" i="79"/>
  <c r="M2518" i="79"/>
  <c r="M576" i="79"/>
  <c r="K552" i="79"/>
  <c r="H576" i="79"/>
  <c r="K3390" i="79"/>
  <c r="H2518" i="79"/>
  <c r="K576" i="79"/>
  <c r="L3390" i="79"/>
  <c r="H3390" i="79"/>
  <c r="J1499" i="79"/>
  <c r="H552" i="79"/>
  <c r="L2518" i="79"/>
  <c r="I576" i="79"/>
  <c r="L552" i="79"/>
  <c r="AJ82" i="9"/>
  <c r="AB82" i="9"/>
  <c r="AI82" i="9"/>
  <c r="K82" i="9"/>
  <c r="J82" i="9"/>
  <c r="CO82" i="9"/>
  <c r="I82" i="9"/>
  <c r="CN82" i="9"/>
  <c r="CM82" i="9"/>
  <c r="CL82" i="9"/>
  <c r="C470" i="54" a="1"/>
  <c r="C470" i="54" s="1"/>
  <c r="B33" i="56"/>
  <c r="D41" i="56"/>
  <c r="D46" i="56"/>
  <c r="B46" i="56" s="1"/>
  <c r="H415" i="54" a="1"/>
  <c r="H415" i="54" s="1"/>
  <c r="A416" i="54"/>
  <c r="C415" i="54" a="1"/>
  <c r="C415" i="54" s="1"/>
  <c r="B415" i="54" s="1"/>
  <c r="D475" i="59"/>
  <c r="F496" i="59"/>
  <c r="F538" i="59" s="1"/>
  <c r="F580" i="59" s="1"/>
  <c r="W112" i="59"/>
  <c r="W113" i="59"/>
  <c r="V86" i="59"/>
  <c r="V233" i="59" s="1"/>
  <c r="U112" i="59"/>
  <c r="V112" i="59"/>
  <c r="G53" i="9"/>
  <c r="I58" i="9"/>
  <c r="H58" i="9"/>
  <c r="G58" i="9"/>
  <c r="Q768" i="59"/>
  <c r="N768" i="59" s="1"/>
  <c r="C768" i="59"/>
  <c r="F767" i="59" a="1"/>
  <c r="F767" i="59" s="1"/>
  <c r="F745" i="59" a="1"/>
  <c r="F745" i="59" s="1"/>
  <c r="D745" i="59" s="1"/>
  <c r="C746" i="59"/>
  <c r="F724" i="59" a="1"/>
  <c r="F724" i="59" s="1"/>
  <c r="D724" i="59" s="1"/>
  <c r="C725" i="59"/>
  <c r="F703" i="59" a="1"/>
  <c r="F703" i="59" s="1"/>
  <c r="D703" i="59" s="1"/>
  <c r="C704" i="59"/>
  <c r="F682" i="59" a="1"/>
  <c r="F682" i="59" s="1"/>
  <c r="D682" i="59" s="1"/>
  <c r="C683" i="59"/>
  <c r="G1753" i="79"/>
  <c r="G1745" i="79" s="1"/>
  <c r="G146" i="9"/>
  <c r="B5" i="54"/>
  <c r="G2289" i="79"/>
  <c r="G2284" i="79" s="1"/>
  <c r="G2129" i="79" s="1"/>
  <c r="G2080" i="79" s="1"/>
  <c r="G1039" i="79"/>
  <c r="B46" i="79"/>
  <c r="C40" i="79"/>
  <c r="C52" i="79" s="1"/>
  <c r="B52" i="79" s="1"/>
  <c r="C41" i="79"/>
  <c r="C53" i="79" s="1"/>
  <c r="C66" i="79"/>
  <c r="B66" i="79" s="1"/>
  <c r="B44" i="79"/>
  <c r="C63" i="79"/>
  <c r="B63" i="79" s="1"/>
  <c r="B48" i="79"/>
  <c r="C67" i="79"/>
  <c r="B67" i="79" s="1"/>
  <c r="C26" i="54"/>
  <c r="C68" i="54" s="1"/>
  <c r="B68" i="54" s="1"/>
  <c r="D646" i="59"/>
  <c r="B306" i="54"/>
  <c r="G686" i="79"/>
  <c r="D67" i="52"/>
  <c r="D89" i="52" s="1"/>
  <c r="D111" i="52" s="1"/>
  <c r="D133" i="52" s="1"/>
  <c r="I176" i="79"/>
  <c r="H178" i="79"/>
  <c r="H360" i="79"/>
  <c r="G1935" i="79"/>
  <c r="G1921" i="79" s="1"/>
  <c r="AB8" i="10"/>
  <c r="AB9" i="10" s="1"/>
  <c r="AB10" i="10" s="1"/>
  <c r="B47" i="79"/>
  <c r="G1187" i="79"/>
  <c r="H1035" i="79"/>
  <c r="G1612" i="79"/>
  <c r="G682" i="79"/>
  <c r="H1039" i="79"/>
  <c r="C57" i="79"/>
  <c r="B57" i="79" s="1"/>
  <c r="C50" i="79"/>
  <c r="G1286" i="79"/>
  <c r="G407" i="79"/>
  <c r="G429" i="79"/>
  <c r="H1076" i="79"/>
  <c r="G1294" i="79"/>
  <c r="AL28" i="52"/>
  <c r="AG45" i="52"/>
  <c r="H1150" i="79"/>
  <c r="AG28" i="52"/>
  <c r="AF28" i="52"/>
  <c r="AI28" i="52"/>
  <c r="AK28" i="52"/>
  <c r="AH28" i="52"/>
  <c r="AJ28" i="52"/>
  <c r="J178" i="79"/>
  <c r="H2224" i="79"/>
  <c r="G2696" i="79"/>
  <c r="G1738" i="79"/>
  <c r="G1730" i="79" s="1"/>
  <c r="H1384" i="79"/>
  <c r="H1339" i="79"/>
  <c r="J737" i="79"/>
  <c r="H992" i="79"/>
  <c r="G1608" i="79"/>
  <c r="G1605" i="79" s="1"/>
  <c r="AG50" i="52"/>
  <c r="AG41" i="52"/>
  <c r="AK41" i="52"/>
  <c r="AG18" i="52"/>
  <c r="AG128" i="52" s="1"/>
  <c r="AI40" i="52"/>
  <c r="AJ18" i="52"/>
  <c r="AJ128" i="52" s="1"/>
  <c r="G1988" i="79"/>
  <c r="AH50" i="52"/>
  <c r="AF41" i="52"/>
  <c r="AK19" i="52"/>
  <c r="AG40" i="52"/>
  <c r="AK40" i="52"/>
  <c r="AI50" i="52"/>
  <c r="AH41" i="52"/>
  <c r="AI18" i="52"/>
  <c r="AI128" i="52" s="1"/>
  <c r="AJ40" i="52"/>
  <c r="AK18" i="52"/>
  <c r="AK128" i="52" s="1"/>
  <c r="AF40" i="52"/>
  <c r="AL41" i="52"/>
  <c r="AJ50" i="52"/>
  <c r="AI41" i="52"/>
  <c r="AL50" i="52"/>
  <c r="AK50" i="52"/>
  <c r="AJ19" i="52"/>
  <c r="AH40" i="52"/>
  <c r="AL40" i="52"/>
  <c r="AF50" i="52"/>
  <c r="AH18" i="52"/>
  <c r="AH128" i="52" s="1"/>
  <c r="AI19" i="52"/>
  <c r="AF19" i="52"/>
  <c r="AJ41" i="52"/>
  <c r="AL18" i="52"/>
  <c r="AL128" i="52" s="1"/>
  <c r="AK30" i="52"/>
  <c r="AI30" i="52"/>
  <c r="AG30" i="52"/>
  <c r="AJ30" i="52"/>
  <c r="AL30" i="52"/>
  <c r="D52" i="52"/>
  <c r="AJ52" i="52" s="1"/>
  <c r="AH30" i="52"/>
  <c r="D60" i="52"/>
  <c r="D82" i="52" s="1"/>
  <c r="D104" i="52" s="1"/>
  <c r="D126" i="52" s="1"/>
  <c r="AF38" i="52"/>
  <c r="I31" i="80"/>
  <c r="J31" i="80" s="1"/>
  <c r="K31" i="80" s="1"/>
  <c r="L31" i="80" s="1"/>
  <c r="M31" i="80" s="1"/>
  <c r="N31" i="80" s="1"/>
  <c r="AF31" i="52"/>
  <c r="H1294" i="79"/>
  <c r="G1975" i="79"/>
  <c r="G1961" i="79" s="1"/>
  <c r="AF18" i="52"/>
  <c r="AF128" i="52" s="1"/>
  <c r="I1545" i="79"/>
  <c r="I1544" i="79" s="1"/>
  <c r="G1965" i="79"/>
  <c r="AG19" i="52"/>
  <c r="C34" i="79"/>
  <c r="B34" i="79" s="1"/>
  <c r="B28" i="79"/>
  <c r="C33" i="79"/>
  <c r="B33" i="79" s="1"/>
  <c r="B27" i="79"/>
  <c r="B26" i="79"/>
  <c r="C32" i="79"/>
  <c r="B32" i="79" s="1"/>
  <c r="B29" i="79"/>
  <c r="C35" i="79"/>
  <c r="B35" i="79" s="1"/>
  <c r="B25" i="79"/>
  <c r="C31" i="79"/>
  <c r="B31" i="79" s="1"/>
  <c r="B125" i="79"/>
  <c r="AF68" i="52"/>
  <c r="B275" i="52"/>
  <c r="AG63" i="52"/>
  <c r="AF63" i="52"/>
  <c r="AL63" i="52"/>
  <c r="AK63" i="52"/>
  <c r="AJ63" i="52"/>
  <c r="AI63" i="52"/>
  <c r="AH63" i="52"/>
  <c r="AK66" i="52"/>
  <c r="AJ66" i="52"/>
  <c r="AI66" i="52"/>
  <c r="AH66" i="52"/>
  <c r="AG66" i="52"/>
  <c r="AF66" i="52"/>
  <c r="AL66" i="52"/>
  <c r="AG55" i="52"/>
  <c r="AF55" i="52"/>
  <c r="AL55" i="52"/>
  <c r="AK55" i="52"/>
  <c r="AJ55" i="52"/>
  <c r="AI55" i="52"/>
  <c r="AH55" i="52"/>
  <c r="B51" i="52"/>
  <c r="AG62" i="52"/>
  <c r="AF62" i="52"/>
  <c r="AL62" i="52"/>
  <c r="AK62" i="52"/>
  <c r="AJ62" i="52"/>
  <c r="AI62" i="52"/>
  <c r="AH62" i="52"/>
  <c r="AG64" i="52"/>
  <c r="AF64" i="52"/>
  <c r="AI72" i="52"/>
  <c r="AH72" i="52"/>
  <c r="AG72" i="52"/>
  <c r="AF72" i="52"/>
  <c r="AL72" i="52"/>
  <c r="AK72" i="52"/>
  <c r="AJ72" i="52"/>
  <c r="B155" i="52"/>
  <c r="AF53" i="52"/>
  <c r="B31" i="52"/>
  <c r="B10" i="52"/>
  <c r="B166" i="52"/>
  <c r="AK56" i="52"/>
  <c r="AJ56" i="52"/>
  <c r="AI56" i="52"/>
  <c r="AH56" i="52"/>
  <c r="AG56" i="52"/>
  <c r="AF56" i="52"/>
  <c r="AL56" i="52"/>
  <c r="AF54" i="52"/>
  <c r="A246" i="54"/>
  <c r="C246" i="54" s="1" a="1"/>
  <c r="C246" i="54" s="1"/>
  <c r="D246" i="54" s="1"/>
  <c r="H116" i="54" a="1"/>
  <c r="H116" i="54" s="1"/>
  <c r="A288" i="54"/>
  <c r="A385" i="54"/>
  <c r="H385" i="54" s="1" a="1"/>
  <c r="H385" i="54" s="1"/>
  <c r="H383" i="54" a="1"/>
  <c r="H383" i="54" s="1"/>
  <c r="H384" i="54" a="1"/>
  <c r="H384" i="54" s="1"/>
  <c r="C383" i="54" a="1"/>
  <c r="C383" i="54" s="1"/>
  <c r="B383" i="54" s="1"/>
  <c r="C286" i="54" a="1"/>
  <c r="C286" i="54" s="1"/>
  <c r="D286" i="54" s="1"/>
  <c r="F14" i="62"/>
  <c r="G23" i="9"/>
  <c r="H2217" i="79"/>
  <c r="G2254" i="79"/>
  <c r="G2235" i="79" s="1"/>
  <c r="G2133" i="79" s="1"/>
  <c r="G1750" i="79"/>
  <c r="G1746" i="79" s="1"/>
  <c r="G1576" i="79"/>
  <c r="G1573" i="79" s="1"/>
  <c r="X38" i="52"/>
  <c r="G3227" i="79"/>
  <c r="G3223" i="79" s="1"/>
  <c r="G829" i="79"/>
  <c r="X202" i="52"/>
  <c r="X16" i="52" s="1"/>
  <c r="G3248" i="79"/>
  <c r="G940" i="79"/>
  <c r="H3248" i="79"/>
  <c r="Y206" i="52"/>
  <c r="Y16" i="52"/>
  <c r="Y204" i="52"/>
  <c r="H2299" i="79"/>
  <c r="H2287" i="79" s="1"/>
  <c r="G1628" i="79"/>
  <c r="H829" i="79"/>
  <c r="G1945" i="79"/>
  <c r="G1955" i="79"/>
  <c r="G1941" i="79" s="1"/>
  <c r="X206" i="52"/>
  <c r="AN206" i="52" s="1"/>
  <c r="X204" i="52"/>
  <c r="AN204" i="52" s="1"/>
  <c r="X205" i="52"/>
  <c r="AN205" i="52" s="1"/>
  <c r="G1768" i="79"/>
  <c r="G1760" i="79" s="1"/>
  <c r="G1631" i="79"/>
  <c r="G2204" i="79"/>
  <c r="G2185" i="79" s="1"/>
  <c r="G2131" i="79" s="1"/>
  <c r="H2204" i="79"/>
  <c r="H2185" i="79" s="1"/>
  <c r="H2131" i="79" s="1"/>
  <c r="G2274" i="79"/>
  <c r="H2696" i="79"/>
  <c r="G2279" i="79"/>
  <c r="G2260" i="79" s="1"/>
  <c r="G2134" i="79" s="1"/>
  <c r="G1580" i="79"/>
  <c r="H1955" i="79"/>
  <c r="H1941" i="79" s="1"/>
  <c r="X229" i="52"/>
  <c r="AN229" i="52" s="1"/>
  <c r="AN230" i="52"/>
  <c r="G866" i="79"/>
  <c r="X226" i="52"/>
  <c r="AN226" i="52" s="1"/>
  <c r="H2304" i="79"/>
  <c r="H2285" i="79" s="1"/>
  <c r="H2135" i="79" s="1"/>
  <c r="G1429" i="79"/>
  <c r="X228" i="52"/>
  <c r="AN228" i="52" s="1"/>
  <c r="B779" i="79"/>
  <c r="H2242" i="79"/>
  <c r="G2224" i="79"/>
  <c r="H2254" i="79"/>
  <c r="H2235" i="79" s="1"/>
  <c r="H2133" i="79" s="1"/>
  <c r="G1596" i="79"/>
  <c r="G1425" i="79"/>
  <c r="H1187" i="79"/>
  <c r="H1975" i="79"/>
  <c r="H1961" i="79" s="1"/>
  <c r="Y205" i="52"/>
  <c r="I1948" i="79"/>
  <c r="G1708" i="79"/>
  <c r="G1700" i="79" s="1"/>
  <c r="H2249" i="79"/>
  <c r="H2664" i="79"/>
  <c r="C131" i="79"/>
  <c r="C137" i="79" s="1"/>
  <c r="G936" i="79"/>
  <c r="G825" i="79"/>
  <c r="G1723" i="79"/>
  <c r="G1715" i="79" s="1"/>
  <c r="G605" i="79"/>
  <c r="H2015" i="79"/>
  <c r="H2001" i="79" s="1"/>
  <c r="G2264" i="79"/>
  <c r="G2259" i="79" s="1"/>
  <c r="G2128" i="79" s="1"/>
  <c r="G2079" i="79" s="1"/>
  <c r="G1624" i="79"/>
  <c r="G1621" i="79" s="1"/>
  <c r="G2304" i="79"/>
  <c r="G2285" i="79" s="1"/>
  <c r="G2135" i="79" s="1"/>
  <c r="G2217" i="79"/>
  <c r="C42" i="79"/>
  <c r="C54" i="79" s="1"/>
  <c r="X227" i="52"/>
  <c r="AN227" i="52" s="1"/>
  <c r="G2008" i="79"/>
  <c r="H2229" i="79"/>
  <c r="H2210" i="79" s="1"/>
  <c r="H2132" i="79" s="1"/>
  <c r="H2279" i="79"/>
  <c r="H2260" i="79" s="1"/>
  <c r="H2134" i="79" s="1"/>
  <c r="G1384" i="79"/>
  <c r="H1995" i="79"/>
  <c r="H1981" i="79" s="1"/>
  <c r="K2242" i="79"/>
  <c r="G1925" i="79"/>
  <c r="G1985" i="79"/>
  <c r="H1968" i="79"/>
  <c r="G1720" i="79"/>
  <c r="G1716" i="79" s="1"/>
  <c r="G2005" i="79"/>
  <c r="G2292" i="79"/>
  <c r="G1995" i="79"/>
  <c r="G1981" i="79" s="1"/>
  <c r="H2008" i="79"/>
  <c r="G1592" i="79"/>
  <c r="G1589" i="79" s="1"/>
  <c r="G2015" i="79"/>
  <c r="G2001" i="79" s="1"/>
  <c r="G2299" i="79"/>
  <c r="G2287" i="79" s="1"/>
  <c r="G2229" i="79"/>
  <c r="G2210" i="79" s="1"/>
  <c r="G2132" i="79" s="1"/>
  <c r="K2292" i="79"/>
  <c r="H1988" i="79"/>
  <c r="G2214" i="79"/>
  <c r="G2209" i="79" s="1"/>
  <c r="Y230" i="52"/>
  <c r="H2267" i="79"/>
  <c r="G2189" i="79"/>
  <c r="G2664" i="79"/>
  <c r="Y64" i="52"/>
  <c r="AO228" i="52"/>
  <c r="G2267" i="79"/>
  <c r="Y226" i="52"/>
  <c r="G2192" i="79"/>
  <c r="G2239" i="79"/>
  <c r="G2234" i="79" s="1"/>
  <c r="H1948" i="79"/>
  <c r="G1640" i="79"/>
  <c r="H2274" i="79"/>
  <c r="H1935" i="79"/>
  <c r="H1921" i="79" s="1"/>
  <c r="G1644" i="79"/>
  <c r="G2242" i="79"/>
  <c r="G2199" i="79"/>
  <c r="G2249" i="79"/>
  <c r="G1928" i="79"/>
  <c r="G1076" i="79"/>
  <c r="Y203" i="52"/>
  <c r="G1948" i="79"/>
  <c r="G1968" i="79"/>
  <c r="Y229" i="52"/>
  <c r="Y227" i="52"/>
  <c r="J1928" i="79"/>
  <c r="J1922" i="79" s="1"/>
  <c r="G1113" i="79"/>
  <c r="X212" i="52"/>
  <c r="X210" i="52"/>
  <c r="X208" i="52"/>
  <c r="X211" i="52"/>
  <c r="X209" i="52"/>
  <c r="G1474" i="79"/>
  <c r="G1339" i="79"/>
  <c r="G792" i="79"/>
  <c r="G903" i="79"/>
  <c r="H1474" i="79"/>
  <c r="H2292" i="79"/>
  <c r="G1290" i="79"/>
  <c r="G1470" i="79"/>
  <c r="G1421" i="79"/>
  <c r="H1429" i="79"/>
  <c r="H659" i="79"/>
  <c r="G1432" i="79"/>
  <c r="H1113" i="79"/>
  <c r="G1150" i="79"/>
  <c r="G632" i="79"/>
  <c r="H605" i="79"/>
  <c r="G1331" i="79"/>
  <c r="G1335" i="79"/>
  <c r="G713" i="79"/>
  <c r="G1109" i="79"/>
  <c r="G1376" i="79"/>
  <c r="H686" i="79"/>
  <c r="G1380" i="79"/>
  <c r="U176" i="59"/>
  <c r="V85" i="59"/>
  <c r="U113" i="59"/>
  <c r="D398" i="59"/>
  <c r="D392" i="59"/>
  <c r="D386" i="59"/>
  <c r="D394" i="59"/>
  <c r="D399" i="59"/>
  <c r="D389" i="59"/>
  <c r="T229" i="59"/>
  <c r="U82" i="59"/>
  <c r="F497" i="59"/>
  <c r="D388" i="59"/>
  <c r="V6" i="59"/>
  <c r="V55" i="59" s="1"/>
  <c r="S236" i="59"/>
  <c r="T89" i="59"/>
  <c r="C648" i="59"/>
  <c r="F647" i="59" a="1"/>
  <c r="F647" i="59" s="1"/>
  <c r="D647" i="59" s="1"/>
  <c r="D385" i="59"/>
  <c r="D391" i="59"/>
  <c r="D390" i="59"/>
  <c r="T237" i="59"/>
  <c r="U90" i="59"/>
  <c r="V103" i="59"/>
  <c r="V102" i="59"/>
  <c r="W99" i="59"/>
  <c r="W63" i="59"/>
  <c r="F498" i="59"/>
  <c r="D477" i="59"/>
  <c r="V234" i="59"/>
  <c r="W87" i="59"/>
  <c r="F478" i="59" a="1"/>
  <c r="F478" i="59" s="1"/>
  <c r="F520" i="59" s="1"/>
  <c r="D520" i="59" s="1"/>
  <c r="C479" i="59"/>
  <c r="D396" i="59"/>
  <c r="D397" i="59"/>
  <c r="D387" i="59"/>
  <c r="D384" i="59"/>
  <c r="D381" i="59"/>
  <c r="U177" i="59"/>
  <c r="S319" i="59"/>
  <c r="T319" i="59" s="1"/>
  <c r="U319" i="59" s="1"/>
  <c r="V319" i="59" s="1"/>
  <c r="W319" i="59" s="1"/>
  <c r="X319" i="59" s="1"/>
  <c r="Y319" i="59" s="1"/>
  <c r="Z319" i="59" s="1"/>
  <c r="AA319" i="59" s="1"/>
  <c r="AB319" i="59" s="1"/>
  <c r="AC319" i="59" s="1"/>
  <c r="AD319" i="59" s="1"/>
  <c r="Y109" i="59"/>
  <c r="X112" i="59"/>
  <c r="X113" i="59"/>
  <c r="D393" i="59"/>
  <c r="D383" i="59"/>
  <c r="S223" i="59"/>
  <c r="S224" i="59" s="1"/>
  <c r="S225" i="59" s="1"/>
  <c r="T222" i="59"/>
  <c r="Q650" i="59"/>
  <c r="N649" i="59"/>
  <c r="G1418" i="79"/>
  <c r="F333" i="54"/>
  <c r="I334" i="54"/>
  <c r="H200" i="54" a="1"/>
  <c r="H200" i="54" s="1"/>
  <c r="A201" i="54"/>
  <c r="A202" i="54" s="1"/>
  <c r="A446" i="54"/>
  <c r="H445" i="54" a="1"/>
  <c r="H445" i="54" s="1"/>
  <c r="C445" i="54" a="1"/>
  <c r="C445" i="54" s="1"/>
  <c r="B445" i="54" s="1"/>
  <c r="C117" i="54" a="1"/>
  <c r="C117" i="54" s="1"/>
  <c r="B117" i="54" s="1"/>
  <c r="A118" i="54"/>
  <c r="A386" i="54"/>
  <c r="E287" i="54"/>
  <c r="E310" i="54"/>
  <c r="C137" i="54" a="1"/>
  <c r="C137" i="54" s="1"/>
  <c r="B137" i="54" s="1"/>
  <c r="A138" i="54"/>
  <c r="H137" i="54" a="1"/>
  <c r="H137" i="54" s="1"/>
  <c r="C28" i="54"/>
  <c r="B7" i="54"/>
  <c r="A73" i="54"/>
  <c r="C9" i="54" a="1"/>
  <c r="C9" i="54" s="1"/>
  <c r="C51" i="54" s="1"/>
  <c r="B51" i="54" s="1"/>
  <c r="A10" i="54"/>
  <c r="E333" i="54"/>
  <c r="C491" i="54" a="1"/>
  <c r="C491" i="54" s="1"/>
  <c r="K491" i="54" s="1"/>
  <c r="H491" i="54" a="1"/>
  <c r="H491" i="54" s="1"/>
  <c r="A492" i="54"/>
  <c r="C179" i="54" a="1"/>
  <c r="C179" i="54" s="1"/>
  <c r="B179" i="54" s="1"/>
  <c r="A180" i="54"/>
  <c r="H179" i="54" a="1"/>
  <c r="H179" i="54" s="1"/>
  <c r="C29" i="54"/>
  <c r="B8" i="54"/>
  <c r="C332" i="54" a="1"/>
  <c r="C332" i="54" s="1"/>
  <c r="D332" i="54" s="1"/>
  <c r="A333" i="54"/>
  <c r="A29" i="54"/>
  <c r="E85" i="54"/>
  <c r="E82" i="54"/>
  <c r="A426" i="54"/>
  <c r="H425" i="54" a="1"/>
  <c r="H425" i="54" s="1"/>
  <c r="C425" i="54" a="1"/>
  <c r="C425" i="54" s="1"/>
  <c r="B425" i="54" s="1"/>
  <c r="E224" i="54"/>
  <c r="C92" i="54" a="1"/>
  <c r="C92" i="54" s="1"/>
  <c r="B92" i="54" s="1"/>
  <c r="A93" i="54"/>
  <c r="E106" i="54"/>
  <c r="E103" i="54"/>
  <c r="E43" i="54"/>
  <c r="E40" i="54"/>
  <c r="A308" i="54"/>
  <c r="C307" i="54" a="1"/>
  <c r="C307" i="54" s="1"/>
  <c r="D307" i="54" s="1"/>
  <c r="O113" i="54"/>
  <c r="B6" i="54"/>
  <c r="C27" i="54"/>
  <c r="C471" i="54" a="1"/>
  <c r="C471" i="54" s="1"/>
  <c r="A472" i="54"/>
  <c r="H471" i="54" a="1"/>
  <c r="H471" i="54" s="1"/>
  <c r="C363" i="54" a="1"/>
  <c r="C363" i="54" s="1"/>
  <c r="A364" i="54"/>
  <c r="H363" i="54" a="1"/>
  <c r="H363" i="54" s="1"/>
  <c r="E245" i="54"/>
  <c r="A224" i="54"/>
  <c r="C223" i="54" a="1"/>
  <c r="C223" i="54" s="1"/>
  <c r="D223" i="54" s="1"/>
  <c r="E22" i="54"/>
  <c r="E19" i="54"/>
  <c r="G1146" i="79"/>
  <c r="G1153" i="79"/>
  <c r="G709" i="79"/>
  <c r="G1466" i="79"/>
  <c r="G1035" i="79"/>
  <c r="G1072" i="79"/>
  <c r="G177" i="79"/>
  <c r="G906" i="79"/>
  <c r="G832" i="79"/>
  <c r="G788" i="79"/>
  <c r="H3231" i="79"/>
  <c r="G1183" i="79"/>
  <c r="G862" i="79"/>
  <c r="G899" i="79"/>
  <c r="G628" i="79"/>
  <c r="B121" i="79"/>
  <c r="C127" i="79"/>
  <c r="G3231" i="79"/>
  <c r="G601" i="79"/>
  <c r="C123" i="79"/>
  <c r="B116" i="79"/>
  <c r="G655" i="79"/>
  <c r="C82" i="79"/>
  <c r="B38" i="79"/>
  <c r="C128" i="79"/>
  <c r="B122" i="79"/>
  <c r="C39" i="79"/>
  <c r="B45" i="79"/>
  <c r="C124" i="79"/>
  <c r="B117" i="79"/>
  <c r="H635" i="79"/>
  <c r="G659" i="79"/>
  <c r="G689" i="79"/>
  <c r="I248" i="79"/>
  <c r="I382" i="79"/>
  <c r="I516" i="79"/>
  <c r="I449" i="79"/>
  <c r="I427" i="79"/>
  <c r="I293" i="79"/>
  <c r="I494" i="79"/>
  <c r="I226" i="79"/>
  <c r="I360" i="79"/>
  <c r="H371" i="79"/>
  <c r="H483" i="79"/>
  <c r="H438" i="79"/>
  <c r="H304" i="79"/>
  <c r="H393" i="79"/>
  <c r="H259" i="79"/>
  <c r="H215" i="79"/>
  <c r="H326" i="79"/>
  <c r="H505" i="79"/>
  <c r="H460" i="79"/>
  <c r="H349" i="79"/>
  <c r="H527" i="79"/>
  <c r="H416" i="79"/>
  <c r="H282" i="79"/>
  <c r="H237" i="79"/>
  <c r="G2819" i="79"/>
  <c r="G2824" i="79"/>
  <c r="B244" i="54" l="1"/>
  <c r="K2504" i="79"/>
  <c r="K2483" i="79" s="1"/>
  <c r="H2403" i="79"/>
  <c r="H2402" i="79" s="1"/>
  <c r="H2381" i="79" s="1"/>
  <c r="K2403" i="79"/>
  <c r="K2402" i="79" s="1"/>
  <c r="K2381" i="79" s="1"/>
  <c r="G224" i="79"/>
  <c r="L1656" i="79"/>
  <c r="L2430" i="79" s="1"/>
  <c r="L2428" i="79" s="1"/>
  <c r="L2414" i="79" s="1"/>
  <c r="L2411" i="79" s="1"/>
  <c r="L1657" i="79"/>
  <c r="L2464" i="79" s="1"/>
  <c r="L2462" i="79" s="1"/>
  <c r="L2448" i="79" s="1"/>
  <c r="L2445" i="79" s="1"/>
  <c r="G1655" i="79"/>
  <c r="H1656" i="79"/>
  <c r="H2430" i="79" s="1"/>
  <c r="H2428" i="79" s="1"/>
  <c r="H2414" i="79" s="1"/>
  <c r="H2411" i="79" s="1"/>
  <c r="H1657" i="79"/>
  <c r="H2464" i="79" s="1"/>
  <c r="H2462" i="79" s="1"/>
  <c r="H2448" i="79" s="1"/>
  <c r="H2445" i="79" s="1"/>
  <c r="I1658" i="79"/>
  <c r="I2498" i="79" s="1"/>
  <c r="I2496" i="79" s="1"/>
  <c r="I2482" i="79" s="1"/>
  <c r="I2479" i="79" s="1"/>
  <c r="H1658" i="79"/>
  <c r="H2498" i="79" s="1"/>
  <c r="H2496" i="79" s="1"/>
  <c r="H2482" i="79" s="1"/>
  <c r="H2479" i="79" s="1"/>
  <c r="G1658" i="79"/>
  <c r="G2498" i="79" s="1"/>
  <c r="G2496" i="79" s="1"/>
  <c r="G2482" i="79" s="1"/>
  <c r="J1655" i="79"/>
  <c r="H1655" i="79"/>
  <c r="G1654" i="79"/>
  <c r="G2362" i="79" s="1"/>
  <c r="G2360" i="79" s="1"/>
  <c r="G2346" i="79" s="1"/>
  <c r="H1654" i="79"/>
  <c r="H2362" i="79" s="1"/>
  <c r="H2360" i="79" s="1"/>
  <c r="H2346" i="79" s="1"/>
  <c r="G1657" i="79"/>
  <c r="G2464" i="79" s="1"/>
  <c r="G2462" i="79" s="1"/>
  <c r="G2448" i="79" s="1"/>
  <c r="G1656" i="79"/>
  <c r="G2430" i="79" s="1"/>
  <c r="G2428" i="79" s="1"/>
  <c r="G2414" i="79" s="1"/>
  <c r="J1658" i="79"/>
  <c r="J2498" i="79" s="1"/>
  <c r="J2496" i="79" s="1"/>
  <c r="J2482" i="79" s="1"/>
  <c r="J2479" i="79" s="1"/>
  <c r="L1658" i="79"/>
  <c r="L2498" i="79" s="1"/>
  <c r="L2496" i="79" s="1"/>
  <c r="L2482" i="79" s="1"/>
  <c r="L2479" i="79" s="1"/>
  <c r="M1657" i="79"/>
  <c r="M2464" i="79" s="1"/>
  <c r="M2462" i="79" s="1"/>
  <c r="M2448" i="79" s="1"/>
  <c r="M2445" i="79" s="1"/>
  <c r="K1654" i="79"/>
  <c r="K2362" i="79" s="1"/>
  <c r="K2360" i="79" s="1"/>
  <c r="K2346" i="79" s="1"/>
  <c r="M1658" i="79"/>
  <c r="M2498" i="79" s="1"/>
  <c r="M2496" i="79" s="1"/>
  <c r="M2482" i="79" s="1"/>
  <c r="M2479" i="79" s="1"/>
  <c r="K1658" i="79"/>
  <c r="K2498" i="79" s="1"/>
  <c r="K2496" i="79" s="1"/>
  <c r="K2482" i="79" s="1"/>
  <c r="M1656" i="79"/>
  <c r="M2430" i="79" s="1"/>
  <c r="M2428" i="79" s="1"/>
  <c r="M2414" i="79" s="1"/>
  <c r="M2411" i="79" s="1"/>
  <c r="M1654" i="79"/>
  <c r="M2362" i="79" s="1"/>
  <c r="M2360" i="79" s="1"/>
  <c r="M2346" i="79" s="1"/>
  <c r="I1657" i="79"/>
  <c r="I2464" i="79" s="1"/>
  <c r="I2462" i="79" s="1"/>
  <c r="I2448" i="79" s="1"/>
  <c r="I2445" i="79" s="1"/>
  <c r="M1655" i="79"/>
  <c r="I1655" i="79"/>
  <c r="J1654" i="79"/>
  <c r="J2362" i="79" s="1"/>
  <c r="J2360" i="79" s="1"/>
  <c r="J2346" i="79" s="1"/>
  <c r="K1657" i="79"/>
  <c r="K2464" i="79" s="1"/>
  <c r="K2462" i="79" s="1"/>
  <c r="K2448" i="79" s="1"/>
  <c r="K2445" i="79" s="1"/>
  <c r="I1654" i="79"/>
  <c r="I2362" i="79" s="1"/>
  <c r="I2360" i="79" s="1"/>
  <c r="I2346" i="79" s="1"/>
  <c r="J1657" i="79"/>
  <c r="J2464" i="79" s="1"/>
  <c r="J2462" i="79" s="1"/>
  <c r="J2448" i="79" s="1"/>
  <c r="J2445" i="79" s="1"/>
  <c r="L1654" i="79"/>
  <c r="L2362" i="79" s="1"/>
  <c r="L2360" i="79" s="1"/>
  <c r="L2346" i="79" s="1"/>
  <c r="K1655" i="79"/>
  <c r="I1656" i="79"/>
  <c r="I2430" i="79" s="1"/>
  <c r="I2428" i="79" s="1"/>
  <c r="I2414" i="79" s="1"/>
  <c r="I2411" i="79" s="1"/>
  <c r="J1656" i="79"/>
  <c r="J2430" i="79" s="1"/>
  <c r="J2428" i="79" s="1"/>
  <c r="J2414" i="79" s="1"/>
  <c r="J2411" i="79" s="1"/>
  <c r="L1655" i="79"/>
  <c r="K1656" i="79"/>
  <c r="K2430" i="79" s="1"/>
  <c r="K2428" i="79" s="1"/>
  <c r="K2414" i="79" s="1"/>
  <c r="K2411" i="79" s="1"/>
  <c r="I2369" i="79"/>
  <c r="I2368" i="79" s="1"/>
  <c r="J2369" i="79"/>
  <c r="L2369" i="79"/>
  <c r="G2369" i="79"/>
  <c r="K2369" i="79"/>
  <c r="K2368" i="79" s="1"/>
  <c r="M2369" i="79"/>
  <c r="H2369" i="79"/>
  <c r="H2368" i="79" s="1"/>
  <c r="I1775" i="79"/>
  <c r="H1775" i="79"/>
  <c r="H2650" i="79"/>
  <c r="Y251" i="52" s="1"/>
  <c r="AO251" i="52" s="1"/>
  <c r="G1539" i="79"/>
  <c r="G1540" i="79"/>
  <c r="G1541" i="79"/>
  <c r="G1542" i="79"/>
  <c r="H1539" i="79"/>
  <c r="H1540" i="79"/>
  <c r="H1541" i="79"/>
  <c r="H1542" i="79"/>
  <c r="I1539" i="79"/>
  <c r="I1540" i="79"/>
  <c r="I1538" i="79"/>
  <c r="I1541" i="79"/>
  <c r="I1542" i="79"/>
  <c r="H1538" i="79"/>
  <c r="G1538" i="79"/>
  <c r="CI402" i="9"/>
  <c r="CI315" i="9" a="1"/>
  <c r="CI315" i="9" s="1"/>
  <c r="CI292" i="9" a="1"/>
  <c r="CI292" i="9" s="1"/>
  <c r="CI349" i="9"/>
  <c r="CI312" i="9" a="1"/>
  <c r="CI312" i="9" s="1"/>
  <c r="CI296" i="9" a="1"/>
  <c r="CI296" i="9" s="1"/>
  <c r="CI317" i="9" a="1"/>
  <c r="CI317" i="9" s="1"/>
  <c r="CI310" i="9" a="1"/>
  <c r="CI310" i="9" s="1"/>
  <c r="CI323" i="9" a="1"/>
  <c r="CI323" i="9" s="1"/>
  <c r="BO285" i="9" a="1"/>
  <c r="BO285" i="9" s="1"/>
  <c r="CI285" i="9" a="1"/>
  <c r="CI285" i="9" s="1"/>
  <c r="CI303" i="9" a="1"/>
  <c r="CI303" i="9" s="1"/>
  <c r="CI316" i="9" a="1"/>
  <c r="CI316" i="9" s="1"/>
  <c r="CI313" i="9" a="1"/>
  <c r="CI313" i="9" s="1"/>
  <c r="CI294" i="9" a="1"/>
  <c r="CI294" i="9" s="1"/>
  <c r="CI298" i="9" a="1"/>
  <c r="CI298" i="9" s="1"/>
  <c r="CI361" i="9"/>
  <c r="CI293" i="9" a="1"/>
  <c r="CI293" i="9" s="1"/>
  <c r="CI327" i="9"/>
  <c r="CI311" i="9" a="1"/>
  <c r="CI311" i="9" s="1"/>
  <c r="CI286" i="9" a="1"/>
  <c r="CI286" i="9" s="1"/>
  <c r="CI308" i="9" a="1"/>
  <c r="CI308" i="9" s="1"/>
  <c r="CI288" i="9" a="1"/>
  <c r="CI288" i="9" s="1"/>
  <c r="CI287" i="9" a="1"/>
  <c r="CI287" i="9" s="1"/>
  <c r="CI314" i="9" a="1"/>
  <c r="CI314" i="9" s="1"/>
  <c r="CI304" i="9" a="1"/>
  <c r="CI304" i="9" s="1"/>
  <c r="CI368" i="9"/>
  <c r="CI322" i="9" a="1"/>
  <c r="CI322" i="9" s="1"/>
  <c r="CI390" i="9"/>
  <c r="CI297" i="9" a="1"/>
  <c r="CI297" i="9" s="1"/>
  <c r="CI302" i="9" a="1"/>
  <c r="CI302" i="9" s="1"/>
  <c r="BO308" i="9" a="1"/>
  <c r="BO308" i="9" s="1"/>
  <c r="BO295" i="9" a="1"/>
  <c r="BO295" i="9" s="1"/>
  <c r="BO287" i="9" a="1"/>
  <c r="BO287" i="9" s="1"/>
  <c r="BO302" i="9" a="1"/>
  <c r="BO302" i="9" s="1"/>
  <c r="BO309" i="9" a="1"/>
  <c r="BO309" i="9" s="1"/>
  <c r="AA315" i="9" a="1"/>
  <c r="AA315" i="9" s="1"/>
  <c r="BO310" i="9" a="1"/>
  <c r="BO310" i="9" s="1"/>
  <c r="BO323" i="9" a="1"/>
  <c r="BO323" i="9" s="1"/>
  <c r="BO294" i="9" a="1"/>
  <c r="BO294" i="9" s="1"/>
  <c r="BO291" i="9" a="1"/>
  <c r="BO291" i="9" s="1"/>
  <c r="BO402" i="9"/>
  <c r="BO292" i="9" a="1"/>
  <c r="BO292" i="9" s="1"/>
  <c r="BO313" i="9" a="1"/>
  <c r="BO313" i="9" s="1"/>
  <c r="BO390" i="9"/>
  <c r="BO314" i="9" a="1"/>
  <c r="BO314" i="9" s="1"/>
  <c r="AU402" i="9"/>
  <c r="BO289" i="9" a="1"/>
  <c r="BO289" i="9" s="1"/>
  <c r="BO312" i="9" a="1"/>
  <c r="BO312" i="9" s="1"/>
  <c r="BO290" i="9" a="1"/>
  <c r="BO290" i="9" s="1"/>
  <c r="BO286" i="9" a="1"/>
  <c r="BO286" i="9" s="1"/>
  <c r="BO311" i="9" a="1"/>
  <c r="BO311" i="9" s="1"/>
  <c r="AU300" i="9" a="1"/>
  <c r="AU300" i="9" s="1"/>
  <c r="AU304" i="9" a="1"/>
  <c r="AU304" i="9" s="1"/>
  <c r="AU321" i="9" a="1"/>
  <c r="AU321" i="9" s="1"/>
  <c r="AU349" i="9"/>
  <c r="BO315" i="9" a="1"/>
  <c r="BO315" i="9" s="1"/>
  <c r="BO361" i="9"/>
  <c r="AU301" i="9" a="1"/>
  <c r="AU301" i="9" s="1"/>
  <c r="BO301" i="9" a="1"/>
  <c r="BO301" i="9" s="1"/>
  <c r="BO304" i="9" a="1"/>
  <c r="BO304" i="9" s="1"/>
  <c r="BO300" i="9" a="1"/>
  <c r="BO300" i="9" s="1"/>
  <c r="AU289" i="9" a="1"/>
  <c r="AU289" i="9" s="1"/>
  <c r="AU316" i="9" a="1"/>
  <c r="AU316" i="9" s="1"/>
  <c r="BO437" i="9"/>
  <c r="AA301" i="9" a="1"/>
  <c r="AA301" i="9" s="1"/>
  <c r="BO316" i="9" a="1"/>
  <c r="BO316" i="9" s="1"/>
  <c r="BO317" i="9" a="1"/>
  <c r="BO317" i="9" s="1"/>
  <c r="AU303" i="9" a="1"/>
  <c r="AU303" i="9" s="1"/>
  <c r="AU290" i="9" a="1"/>
  <c r="AU290" i="9" s="1"/>
  <c r="BO321" i="9" a="1"/>
  <c r="BO321" i="9" s="1"/>
  <c r="BO293" i="9" a="1"/>
  <c r="BO293" i="9" s="1"/>
  <c r="BO288" i="9" a="1"/>
  <c r="BO288" i="9" s="1"/>
  <c r="BO349" i="9"/>
  <c r="AU322" i="9" a="1"/>
  <c r="AU322" i="9" s="1"/>
  <c r="AU436" i="9"/>
  <c r="BO436" i="9"/>
  <c r="AU294" i="9" a="1"/>
  <c r="AU294" i="9" s="1"/>
  <c r="BO368" i="9"/>
  <c r="AU292" i="9" a="1"/>
  <c r="AU292" i="9" s="1"/>
  <c r="BO416" i="9"/>
  <c r="AU309" i="9" a="1"/>
  <c r="AU309" i="9" s="1"/>
  <c r="AU313" i="9" a="1"/>
  <c r="AU313" i="9" s="1"/>
  <c r="BO322" i="9" a="1"/>
  <c r="BO322" i="9" s="1"/>
  <c r="BO303" i="9" a="1"/>
  <c r="BO303" i="9" s="1"/>
  <c r="BO297" i="9" a="1"/>
  <c r="BO297" i="9" s="1"/>
  <c r="BO296" i="9" a="1"/>
  <c r="BO296" i="9" s="1"/>
  <c r="BO298" i="9" a="1"/>
  <c r="BO298" i="9" s="1"/>
  <c r="BO327" i="9"/>
  <c r="BO299" i="9" a="1"/>
  <c r="BO299" i="9" s="1"/>
  <c r="AU314" i="9" a="1"/>
  <c r="AU314" i="9" s="1"/>
  <c r="AU315" i="9" a="1"/>
  <c r="AU315" i="9" s="1"/>
  <c r="AA302" i="9" a="1"/>
  <c r="AA302" i="9" s="1"/>
  <c r="AA322" i="9" a="1"/>
  <c r="AA322" i="9" s="1"/>
  <c r="AU317" i="9" a="1"/>
  <c r="AU317" i="9" s="1"/>
  <c r="AA297" i="9" a="1"/>
  <c r="AA297" i="9" s="1"/>
  <c r="AU286" i="9" a="1"/>
  <c r="AU286" i="9" s="1"/>
  <c r="AU390" i="9"/>
  <c r="AU285" i="9" a="1"/>
  <c r="AU285" i="9" s="1"/>
  <c r="AA294" i="9" a="1"/>
  <c r="AA294" i="9" s="1"/>
  <c r="AU308" i="9" a="1"/>
  <c r="AU308" i="9" s="1"/>
  <c r="AU293" i="9" a="1"/>
  <c r="AU293" i="9" s="1"/>
  <c r="AA416" i="9"/>
  <c r="AU416" i="9"/>
  <c r="AA299" i="9" a="1"/>
  <c r="AA299" i="9" s="1"/>
  <c r="AA309" i="9" a="1"/>
  <c r="AA309" i="9" s="1"/>
  <c r="AU368" i="9"/>
  <c r="AU287" i="9" a="1"/>
  <c r="AU287" i="9" s="1"/>
  <c r="AU361" i="9"/>
  <c r="AA304" i="9" a="1"/>
  <c r="AA304" i="9" s="1"/>
  <c r="AA361" i="9"/>
  <c r="AU327" i="9"/>
  <c r="AU298" i="9" a="1"/>
  <c r="AU298" i="9" s="1"/>
  <c r="AU323" i="9" a="1"/>
  <c r="AU323" i="9" s="1"/>
  <c r="AU311" i="9" a="1"/>
  <c r="AU311" i="9" s="1"/>
  <c r="AU296" i="9" a="1"/>
  <c r="AU296" i="9" s="1"/>
  <c r="AU288" i="9" a="1"/>
  <c r="AU288" i="9" s="1"/>
  <c r="AU312" i="9" a="1"/>
  <c r="AU312" i="9" s="1"/>
  <c r="AA295" i="9" a="1"/>
  <c r="AA295" i="9" s="1"/>
  <c r="AA327" i="9"/>
  <c r="AA402" i="9"/>
  <c r="AU310" i="9" a="1"/>
  <c r="AU310" i="9" s="1"/>
  <c r="AU297" i="9" a="1"/>
  <c r="AU297" i="9" s="1"/>
  <c r="AA289" i="9" a="1"/>
  <c r="AA289" i="9" s="1"/>
  <c r="AA437" i="9"/>
  <c r="AU437" i="9"/>
  <c r="AU302" i="9" a="1"/>
  <c r="AU302" i="9" s="1"/>
  <c r="AU295" i="9" a="1"/>
  <c r="AU295" i="9" s="1"/>
  <c r="AU291" i="9" a="1"/>
  <c r="AU291" i="9" s="1"/>
  <c r="AU299" i="9" a="1"/>
  <c r="AU299" i="9" s="1"/>
  <c r="AA312" i="9" a="1"/>
  <c r="AA312" i="9" s="1"/>
  <c r="AA296" i="9" a="1"/>
  <c r="AA296" i="9" s="1"/>
  <c r="AA287" i="9" a="1"/>
  <c r="AA287" i="9" s="1"/>
  <c r="AA368" i="9"/>
  <c r="AA314" i="9" a="1"/>
  <c r="AA314" i="9" s="1"/>
  <c r="G436" i="9"/>
  <c r="CK31" i="10" s="1"/>
  <c r="AA436" i="9"/>
  <c r="AA323" i="9" a="1"/>
  <c r="AA323" i="9" s="1"/>
  <c r="AA292" i="9" a="1"/>
  <c r="AA292" i="9" s="1"/>
  <c r="AA317" i="9" a="1"/>
  <c r="AA317" i="9" s="1"/>
  <c r="AA349" i="9"/>
  <c r="AA293" i="9" a="1"/>
  <c r="AA293" i="9" s="1"/>
  <c r="AA390" i="9"/>
  <c r="AA285" i="9" a="1"/>
  <c r="AA285" i="9" s="1"/>
  <c r="AA298" i="9" a="1"/>
  <c r="AA298" i="9" s="1"/>
  <c r="AA316" i="9" a="1"/>
  <c r="AA316" i="9" s="1"/>
  <c r="AA308" i="9" a="1"/>
  <c r="AA308" i="9" s="1"/>
  <c r="AA300" i="9" a="1"/>
  <c r="AA300" i="9" s="1"/>
  <c r="AA290" i="9" a="1"/>
  <c r="AA290" i="9" s="1"/>
  <c r="AA303" i="9" a="1"/>
  <c r="AA303" i="9" s="1"/>
  <c r="AA310" i="9" a="1"/>
  <c r="AA310" i="9" s="1"/>
  <c r="AA321" i="9" a="1"/>
  <c r="AA321" i="9" s="1"/>
  <c r="AA311" i="9" a="1"/>
  <c r="AA311" i="9" s="1"/>
  <c r="AA313" i="9" a="1"/>
  <c r="AA313" i="9" s="1"/>
  <c r="AA288" i="9" a="1"/>
  <c r="AA288" i="9" s="1"/>
  <c r="AA291" i="9" a="1"/>
  <c r="AA291" i="9" s="1"/>
  <c r="AA286" i="9" a="1"/>
  <c r="AA286" i="9" s="1"/>
  <c r="G437" i="9"/>
  <c r="CK32" i="10" s="1"/>
  <c r="H2569" i="79"/>
  <c r="H2557" i="79" s="1"/>
  <c r="G2569" i="79"/>
  <c r="G2557" i="79" s="1"/>
  <c r="G2554" i="79" s="1"/>
  <c r="G2524" i="79" s="1"/>
  <c r="H2617" i="79"/>
  <c r="H2605" i="79" s="1"/>
  <c r="H2602" i="79" s="1"/>
  <c r="H17" i="9"/>
  <c r="H67" i="9" s="1"/>
  <c r="H78" i="9" s="1"/>
  <c r="G111" i="9"/>
  <c r="G115" i="9" s="1"/>
  <c r="CT82" i="9"/>
  <c r="AH82" i="9"/>
  <c r="BX82" i="9"/>
  <c r="AA82" i="9"/>
  <c r="N82" i="9"/>
  <c r="G82" i="9"/>
  <c r="H82" i="9"/>
  <c r="Q82" i="9"/>
  <c r="R82" i="9"/>
  <c r="AW82" i="9"/>
  <c r="AX82" i="9"/>
  <c r="AY82" i="9"/>
  <c r="AC82" i="9"/>
  <c r="O82" i="9"/>
  <c r="P82" i="9"/>
  <c r="AF82" i="9"/>
  <c r="AG82" i="9"/>
  <c r="BE82" i="9"/>
  <c r="BF82" i="9"/>
  <c r="BV82" i="9"/>
  <c r="AK82" i="9"/>
  <c r="AD82" i="9"/>
  <c r="AE82" i="9"/>
  <c r="AU82" i="9"/>
  <c r="AV82" i="9"/>
  <c r="BT82" i="9"/>
  <c r="BU82" i="9"/>
  <c r="CK82" i="9"/>
  <c r="AZ82" i="9"/>
  <c r="AL82" i="9"/>
  <c r="BB82" i="9"/>
  <c r="BC82" i="9"/>
  <c r="BD82" i="9"/>
  <c r="CI82" i="9"/>
  <c r="CJ82" i="9"/>
  <c r="CS82" i="9"/>
  <c r="BO82" i="9"/>
  <c r="BA82" i="9"/>
  <c r="BQ82" i="9"/>
  <c r="BR82" i="9"/>
  <c r="BS82" i="9"/>
  <c r="CQ82" i="9"/>
  <c r="CR82" i="9"/>
  <c r="BW82" i="9"/>
  <c r="BP82" i="9"/>
  <c r="BY82" i="9"/>
  <c r="BZ82" i="9"/>
  <c r="CP82" i="9"/>
  <c r="L82" i="9"/>
  <c r="G71" i="9"/>
  <c r="G301" i="9" a="1"/>
  <c r="G301" i="9" s="1"/>
  <c r="G289" i="9" a="1"/>
  <c r="G289" i="9" s="1"/>
  <c r="G303" i="9" a="1"/>
  <c r="G303" i="9" s="1"/>
  <c r="G312" i="9" a="1"/>
  <c r="G312" i="9" s="1"/>
  <c r="G290" i="9" a="1"/>
  <c r="G290" i="9" s="1"/>
  <c r="G308" i="9" a="1"/>
  <c r="G308" i="9" s="1"/>
  <c r="G287" i="9" a="1"/>
  <c r="G287" i="9" s="1"/>
  <c r="G296" i="9" a="1"/>
  <c r="G296" i="9" s="1"/>
  <c r="G293" i="9" a="1"/>
  <c r="G293" i="9" s="1"/>
  <c r="G302" i="9" a="1"/>
  <c r="G302" i="9" s="1"/>
  <c r="G322" i="9" a="1"/>
  <c r="G322" i="9" s="1"/>
  <c r="G298" i="9" a="1"/>
  <c r="G298" i="9" s="1"/>
  <c r="G310" i="9" a="1"/>
  <c r="G310" i="9" s="1"/>
  <c r="G285" i="9" a="1"/>
  <c r="G285" i="9" s="1"/>
  <c r="G286" i="9" a="1"/>
  <c r="G286" i="9" s="1"/>
  <c r="G299" i="9" a="1"/>
  <c r="G299" i="9" s="1"/>
  <c r="G311" i="9" a="1"/>
  <c r="G311" i="9" s="1"/>
  <c r="G309" i="9" a="1"/>
  <c r="G309" i="9" s="1"/>
  <c r="G317" i="9" a="1"/>
  <c r="G317" i="9" s="1"/>
  <c r="G300" i="9" a="1"/>
  <c r="G300" i="9" s="1"/>
  <c r="G304" i="9" a="1"/>
  <c r="G304" i="9" s="1"/>
  <c r="G294" i="9" a="1"/>
  <c r="G294" i="9" s="1"/>
  <c r="G291" i="9" a="1"/>
  <c r="G291" i="9" s="1"/>
  <c r="G323" i="9" a="1"/>
  <c r="G323" i="9" s="1"/>
  <c r="G321" i="9" a="1"/>
  <c r="G321" i="9" s="1"/>
  <c r="G314" i="9" a="1"/>
  <c r="G314" i="9" s="1"/>
  <c r="G313" i="9" a="1"/>
  <c r="G313" i="9" s="1"/>
  <c r="G316" i="9" a="1"/>
  <c r="G316" i="9" s="1"/>
  <c r="G315" i="9" a="1"/>
  <c r="G315" i="9" s="1"/>
  <c r="G292" i="9" a="1"/>
  <c r="G292" i="9" s="1"/>
  <c r="G288" i="9" a="1"/>
  <c r="G288" i="9" s="1"/>
  <c r="G295" i="9" a="1"/>
  <c r="G295" i="9" s="1"/>
  <c r="G297" i="9" a="1"/>
  <c r="G297" i="9" s="1"/>
  <c r="B330" i="54"/>
  <c r="B245" i="54"/>
  <c r="B221" i="54"/>
  <c r="H3" i="8"/>
  <c r="I3" i="8"/>
  <c r="L3" i="8"/>
  <c r="J3" i="8"/>
  <c r="K3" i="8"/>
  <c r="F3" i="8"/>
  <c r="G3" i="8"/>
  <c r="I117" i="37"/>
  <c r="I131" i="37" s="1"/>
  <c r="J115" i="37"/>
  <c r="J129" i="37" s="1"/>
  <c r="G202" i="79"/>
  <c r="B242" i="54"/>
  <c r="C385" i="54" a="1"/>
  <c r="C385" i="54" s="1"/>
  <c r="E426" i="54"/>
  <c r="D425" i="54"/>
  <c r="E384" i="54"/>
  <c r="D383" i="54"/>
  <c r="E363" i="54"/>
  <c r="D362" i="54"/>
  <c r="A247" i="54"/>
  <c r="E416" i="54"/>
  <c r="D415" i="54"/>
  <c r="E447" i="54"/>
  <c r="D446" i="54"/>
  <c r="H127" i="9"/>
  <c r="K72" i="13"/>
  <c r="G474" i="79"/>
  <c r="G106" i="79" s="1"/>
  <c r="G340" i="79"/>
  <c r="G104" i="79" s="1"/>
  <c r="H1328" i="79"/>
  <c r="H1327" i="79" s="1"/>
  <c r="H1079" i="79"/>
  <c r="I114" i="37"/>
  <c r="I128" i="37" s="1"/>
  <c r="I48" i="37"/>
  <c r="I70" i="37" s="1"/>
  <c r="H1720" i="79"/>
  <c r="H1716" i="79" s="1"/>
  <c r="H1714" i="79" s="1"/>
  <c r="O4" i="8" a="1"/>
  <c r="O4" i="8" s="1"/>
  <c r="K516" i="54"/>
  <c r="L516" i="54"/>
  <c r="M516" i="54"/>
  <c r="O425" i="54"/>
  <c r="Q425" i="54"/>
  <c r="R425" i="54" s="1"/>
  <c r="S425" i="54" s="1"/>
  <c r="T425" i="54" s="1"/>
  <c r="U425" i="54" s="1"/>
  <c r="V425" i="54" s="1"/>
  <c r="P425" i="54"/>
  <c r="N425" i="54"/>
  <c r="M425" i="54"/>
  <c r="L425" i="54"/>
  <c r="K425" i="54"/>
  <c r="K514" i="54"/>
  <c r="L514" i="54"/>
  <c r="K511" i="54"/>
  <c r="L511" i="54"/>
  <c r="L517" i="54"/>
  <c r="K518" i="54"/>
  <c r="L518" i="54"/>
  <c r="L491" i="54"/>
  <c r="M445" i="54"/>
  <c r="K445" i="54"/>
  <c r="Q445" i="54"/>
  <c r="R445" i="54" s="1"/>
  <c r="S445" i="54" s="1"/>
  <c r="T445" i="54" s="1"/>
  <c r="U445" i="54" s="1"/>
  <c r="V445" i="54" s="1"/>
  <c r="P445" i="54"/>
  <c r="L445" i="54"/>
  <c r="O445" i="54"/>
  <c r="N445" i="54"/>
  <c r="K383" i="54"/>
  <c r="Q383" i="54"/>
  <c r="R383" i="54" s="1"/>
  <c r="S383" i="54" s="1"/>
  <c r="T383" i="54" s="1"/>
  <c r="U383" i="54" s="1"/>
  <c r="V383" i="54" s="1"/>
  <c r="P383" i="54"/>
  <c r="L383" i="54"/>
  <c r="O383" i="54"/>
  <c r="N383" i="54"/>
  <c r="M383" i="54"/>
  <c r="K519" i="54"/>
  <c r="L519" i="54"/>
  <c r="M529" i="54"/>
  <c r="M519" i="54"/>
  <c r="L528" i="54"/>
  <c r="K520" i="54"/>
  <c r="L520" i="54"/>
  <c r="K515" i="54"/>
  <c r="L515" i="54"/>
  <c r="K529" i="54"/>
  <c r="L529" i="54"/>
  <c r="K521" i="54"/>
  <c r="L521" i="54"/>
  <c r="AB172" i="9"/>
  <c r="G159" i="9"/>
  <c r="CI172" i="9"/>
  <c r="AW172" i="9"/>
  <c r="BQ172" i="9"/>
  <c r="AV172" i="9"/>
  <c r="CK172" i="9"/>
  <c r="G24" i="9"/>
  <c r="G76" i="9" s="1"/>
  <c r="H172" i="9"/>
  <c r="AC172" i="9"/>
  <c r="AU172" i="9"/>
  <c r="CJ172" i="9"/>
  <c r="G172" i="9"/>
  <c r="AA172" i="9"/>
  <c r="BP172" i="9"/>
  <c r="J21" i="9"/>
  <c r="K21" i="9" s="1"/>
  <c r="BO172" i="9"/>
  <c r="H71" i="9"/>
  <c r="G79" i="9"/>
  <c r="G77" i="9" s="1"/>
  <c r="H79" i="9"/>
  <c r="BE204" i="9"/>
  <c r="H204" i="9"/>
  <c r="CO204" i="9"/>
  <c r="CJ204" i="9"/>
  <c r="AU204" i="9"/>
  <c r="N204" i="9"/>
  <c r="BR204" i="9"/>
  <c r="P204" i="9"/>
  <c r="AV204" i="9"/>
  <c r="CR204" i="9"/>
  <c r="BC204" i="9"/>
  <c r="AI204" i="9"/>
  <c r="BZ204" i="9"/>
  <c r="AC204" i="9"/>
  <c r="I204" i="9"/>
  <c r="J204" i="9"/>
  <c r="K204" i="9"/>
  <c r="CL204" i="9"/>
  <c r="BP204" i="9"/>
  <c r="CM204" i="9"/>
  <c r="AK204" i="9"/>
  <c r="Q204" i="9"/>
  <c r="R204" i="9"/>
  <c r="AF204" i="9"/>
  <c r="L204" i="9"/>
  <c r="BX204" i="9"/>
  <c r="O204" i="9"/>
  <c r="AX204" i="9"/>
  <c r="AD204" i="9"/>
  <c r="AE204" i="9"/>
  <c r="BA204" i="9"/>
  <c r="AG204" i="9"/>
  <c r="AA204" i="9"/>
  <c r="CK204" i="9"/>
  <c r="H197" i="9"/>
  <c r="G197" i="9"/>
  <c r="AB204" i="9"/>
  <c r="BD204" i="9"/>
  <c r="BF204" i="9"/>
  <c r="AL204" i="9"/>
  <c r="AZ204" i="9"/>
  <c r="BV204" i="9"/>
  <c r="BB204" i="9"/>
  <c r="CT204" i="9"/>
  <c r="CS204" i="9"/>
  <c r="G201" i="9"/>
  <c r="H201" i="9"/>
  <c r="AJ204" i="9"/>
  <c r="BQ204" i="9"/>
  <c r="BS204" i="9"/>
  <c r="AY204" i="9"/>
  <c r="BU204" i="9"/>
  <c r="CI204" i="9"/>
  <c r="BO204" i="9"/>
  <c r="M204" i="9"/>
  <c r="AW204" i="9"/>
  <c r="BY204" i="9"/>
  <c r="CN204" i="9"/>
  <c r="BT204" i="9"/>
  <c r="CP204" i="9"/>
  <c r="CQ204" i="9"/>
  <c r="BW204" i="9"/>
  <c r="AH204" i="9"/>
  <c r="M511" i="54"/>
  <c r="M518" i="54"/>
  <c r="M517" i="54"/>
  <c r="M515" i="54"/>
  <c r="M514" i="54"/>
  <c r="M521" i="54"/>
  <c r="M520" i="54"/>
  <c r="AF129" i="52"/>
  <c r="AI125" i="52"/>
  <c r="AK116" i="52"/>
  <c r="AJ116" i="52"/>
  <c r="AF125" i="52"/>
  <c r="AL118" i="52"/>
  <c r="AK118" i="52"/>
  <c r="AH125" i="52"/>
  <c r="AL122" i="52"/>
  <c r="AG122" i="52"/>
  <c r="AK122" i="52"/>
  <c r="AH118" i="52"/>
  <c r="AJ118" i="52"/>
  <c r="AL116" i="52"/>
  <c r="AG129" i="52"/>
  <c r="AG125" i="52"/>
  <c r="AF120" i="52"/>
  <c r="AK132" i="52"/>
  <c r="AJ132" i="52"/>
  <c r="AK125" i="52"/>
  <c r="AF122" i="52"/>
  <c r="AL129" i="52"/>
  <c r="AG135" i="52"/>
  <c r="AK121" i="52"/>
  <c r="AK129" i="52"/>
  <c r="AJ122" i="52"/>
  <c r="AH122" i="52"/>
  <c r="AH129" i="52"/>
  <c r="AL121" i="52"/>
  <c r="AI129" i="52"/>
  <c r="AJ129" i="52"/>
  <c r="AL125" i="52"/>
  <c r="AI122" i="52"/>
  <c r="AJ121" i="52"/>
  <c r="AJ125" i="52"/>
  <c r="AI121" i="52"/>
  <c r="AL132" i="52"/>
  <c r="G327" i="9"/>
  <c r="G249" i="9"/>
  <c r="O471" i="54"/>
  <c r="Q471" i="54"/>
  <c r="R471" i="54" s="1"/>
  <c r="S471" i="54" s="1"/>
  <c r="T471" i="54" s="1"/>
  <c r="U471" i="54" s="1"/>
  <c r="V471" i="54" s="1"/>
  <c r="N471" i="54"/>
  <c r="M471" i="54"/>
  <c r="L471" i="54"/>
  <c r="K471" i="54"/>
  <c r="P471" i="54"/>
  <c r="B469" i="54"/>
  <c r="R5" i="8"/>
  <c r="S6" i="8"/>
  <c r="AA6" i="8"/>
  <c r="Z5" i="8"/>
  <c r="AH6" i="8"/>
  <c r="AG5" i="8"/>
  <c r="G295" i="79"/>
  <c r="G109" i="79" s="1"/>
  <c r="G273" i="79"/>
  <c r="G103" i="79" s="1"/>
  <c r="AF119" i="52"/>
  <c r="AG133" i="52"/>
  <c r="AI132" i="52"/>
  <c r="AI116" i="52"/>
  <c r="AG116" i="52"/>
  <c r="AG130" i="52"/>
  <c r="AH132" i="52"/>
  <c r="AG121" i="52"/>
  <c r="AH121" i="52"/>
  <c r="AH116" i="52"/>
  <c r="K252" i="37"/>
  <c r="M528" i="54" s="1"/>
  <c r="AI118" i="52"/>
  <c r="L468" i="54"/>
  <c r="Y126" i="52"/>
  <c r="AG132" i="52"/>
  <c r="AF134" i="52"/>
  <c r="K468" i="54"/>
  <c r="X126" i="52"/>
  <c r="AG118" i="52"/>
  <c r="J48" i="37"/>
  <c r="J76" i="37" s="1"/>
  <c r="J114" i="37"/>
  <c r="J128" i="37" s="1"/>
  <c r="H1463" i="79"/>
  <c r="H1462" i="79" s="1"/>
  <c r="AG38" i="52"/>
  <c r="AG68" i="52"/>
  <c r="AG24" i="52"/>
  <c r="AG31" i="52"/>
  <c r="AG16" i="52"/>
  <c r="AG54" i="52"/>
  <c r="AH45" i="52"/>
  <c r="AF35" i="52"/>
  <c r="AF57" i="52"/>
  <c r="AF61" i="52"/>
  <c r="AG46" i="52"/>
  <c r="AH23" i="52"/>
  <c r="AF39" i="52"/>
  <c r="AF13" i="52"/>
  <c r="AG53" i="52"/>
  <c r="AG10" i="52"/>
  <c r="AF17" i="52"/>
  <c r="K490" i="54" s="1"/>
  <c r="AF36" i="52"/>
  <c r="AG32" i="52"/>
  <c r="AF14" i="52"/>
  <c r="B52" i="52"/>
  <c r="B156" i="52"/>
  <c r="AG9" i="52"/>
  <c r="AF58" i="52"/>
  <c r="AF21" i="52"/>
  <c r="B145" i="52"/>
  <c r="G146" i="52"/>
  <c r="I113" i="37"/>
  <c r="I127" i="37" s="1"/>
  <c r="I47" i="37"/>
  <c r="H1765" i="79"/>
  <c r="H1761" i="79" s="1"/>
  <c r="M469" i="54"/>
  <c r="J117" i="37"/>
  <c r="J131" i="37" s="1"/>
  <c r="H1190" i="79"/>
  <c r="J51" i="37"/>
  <c r="J79" i="37" s="1"/>
  <c r="H1153" i="79"/>
  <c r="J116" i="37"/>
  <c r="J130" i="37" s="1"/>
  <c r="J50" i="37"/>
  <c r="J72" i="37" s="1"/>
  <c r="H130" i="9"/>
  <c r="H93" i="9"/>
  <c r="H163" i="9"/>
  <c r="H73" i="9"/>
  <c r="H126" i="9"/>
  <c r="I9" i="9"/>
  <c r="I68" i="9" s="1"/>
  <c r="H129" i="9"/>
  <c r="H84" i="9"/>
  <c r="S668" i="59"/>
  <c r="B243" i="54"/>
  <c r="B331" i="54"/>
  <c r="L17" i="80"/>
  <c r="L125" i="37"/>
  <c r="J738" i="79"/>
  <c r="L24" i="80"/>
  <c r="J1533" i="79"/>
  <c r="L36" i="80"/>
  <c r="M67" i="37" s="1"/>
  <c r="N516" i="54"/>
  <c r="L18" i="80"/>
  <c r="L180" i="37"/>
  <c r="J993" i="79"/>
  <c r="L20" i="80"/>
  <c r="L340" i="37"/>
  <c r="J1224" i="79"/>
  <c r="L38" i="80"/>
  <c r="L341" i="37"/>
  <c r="J3018" i="79"/>
  <c r="L15" i="80"/>
  <c r="L251" i="37"/>
  <c r="N529" i="54" s="1"/>
  <c r="L39" i="80"/>
  <c r="L181" i="37"/>
  <c r="N519" i="54" s="1"/>
  <c r="J2667" i="79"/>
  <c r="L22" i="80"/>
  <c r="M66" i="37" s="1"/>
  <c r="J1511" i="79"/>
  <c r="G416" i="9"/>
  <c r="CK11" i="10" s="1"/>
  <c r="B329" i="54"/>
  <c r="I13" i="9"/>
  <c r="I166" i="9" s="1"/>
  <c r="H1418" i="79"/>
  <c r="H1417" i="79" s="1"/>
  <c r="B402" i="54"/>
  <c r="B409" i="54"/>
  <c r="B410" i="54"/>
  <c r="B305" i="54"/>
  <c r="B411" i="54"/>
  <c r="B406" i="54"/>
  <c r="B412" i="54"/>
  <c r="B407" i="54"/>
  <c r="B408" i="54"/>
  <c r="B405" i="54"/>
  <c r="B413" i="54"/>
  <c r="G433" i="59"/>
  <c r="D433" i="59" s="1"/>
  <c r="BX10" i="10"/>
  <c r="BY10" i="10" s="1"/>
  <c r="BX9" i="10"/>
  <c r="BY9" i="10" s="1"/>
  <c r="BX8" i="10"/>
  <c r="BY8" i="10" s="1"/>
  <c r="B284" i="54"/>
  <c r="B222" i="54"/>
  <c r="B489" i="54"/>
  <c r="H68" i="9"/>
  <c r="H93" i="13"/>
  <c r="H104" i="13" s="1"/>
  <c r="L93" i="13"/>
  <c r="L29" i="80"/>
  <c r="K29" i="56"/>
  <c r="I2350" i="79"/>
  <c r="I2349" i="79" s="1"/>
  <c r="I2344" i="79" s="1"/>
  <c r="H3195" i="79"/>
  <c r="H3189" i="79" s="1"/>
  <c r="I14" i="9"/>
  <c r="I63" i="9" s="1"/>
  <c r="H63" i="9"/>
  <c r="H248" i="9"/>
  <c r="H2308" i="79"/>
  <c r="H2321" i="79"/>
  <c r="J2313" i="79"/>
  <c r="J2326" i="79"/>
  <c r="D140" i="9"/>
  <c r="D119" i="9"/>
  <c r="X119" i="9" s="1"/>
  <c r="AR119" i="9" s="1"/>
  <c r="BL119" i="9" s="1"/>
  <c r="CF119" i="9" s="1"/>
  <c r="H10" i="9"/>
  <c r="G68" i="9"/>
  <c r="G66" i="9" s="1"/>
  <c r="S213" i="59"/>
  <c r="T213" i="59" s="1"/>
  <c r="U213" i="59" s="1"/>
  <c r="V213" i="59" s="1"/>
  <c r="W213" i="59" s="1"/>
  <c r="X213" i="59" s="1"/>
  <c r="Y213" i="59" s="1"/>
  <c r="Z213" i="59" s="1"/>
  <c r="AA213" i="59" s="1"/>
  <c r="AB213" i="59" s="1"/>
  <c r="AC213" i="59" s="1"/>
  <c r="AD213" i="59" s="1"/>
  <c r="T212" i="59"/>
  <c r="U212" i="59" s="1"/>
  <c r="V212" i="59" s="1"/>
  <c r="W212" i="59" s="1"/>
  <c r="X212" i="59" s="1"/>
  <c r="Y212" i="59" s="1"/>
  <c r="Z212" i="59" s="1"/>
  <c r="AA212" i="59" s="1"/>
  <c r="AB212" i="59" s="1"/>
  <c r="AC212" i="59" s="1"/>
  <c r="AD212" i="59" s="1"/>
  <c r="L30" i="80"/>
  <c r="X236" i="52"/>
  <c r="AN236" i="52" s="1"/>
  <c r="J104" i="13"/>
  <c r="B470" i="54"/>
  <c r="B285" i="54"/>
  <c r="B471" i="54"/>
  <c r="J72" i="13"/>
  <c r="J19" i="13" s="1"/>
  <c r="G93" i="13"/>
  <c r="G104" i="13" s="1"/>
  <c r="Z11" i="9"/>
  <c r="Z16" i="9"/>
  <c r="Z19" i="9"/>
  <c r="Z9" i="9"/>
  <c r="Z17" i="9"/>
  <c r="Z67" i="9" s="1"/>
  <c r="Z78" i="9" s="1"/>
  <c r="Z22" i="9"/>
  <c r="AA8" i="9"/>
  <c r="Z25" i="9"/>
  <c r="AA25" i="9" s="1"/>
  <c r="AB25" i="9" s="1"/>
  <c r="AC25" i="9" s="1"/>
  <c r="AD25" i="9" s="1"/>
  <c r="AE25" i="9" s="1"/>
  <c r="AF25" i="9" s="1"/>
  <c r="AG25" i="9" s="1"/>
  <c r="AH25" i="9" s="1"/>
  <c r="AI25" i="9" s="1"/>
  <c r="AJ25" i="9" s="1"/>
  <c r="AK25" i="9" s="1"/>
  <c r="AL25" i="9" s="1"/>
  <c r="Z14" i="9"/>
  <c r="Z18" i="9"/>
  <c r="AA18" i="9" s="1"/>
  <c r="Z15" i="9"/>
  <c r="Z200" i="9" s="1"/>
  <c r="Z10" i="9"/>
  <c r="Z13" i="9"/>
  <c r="AA13" i="9" s="1"/>
  <c r="Z20" i="9"/>
  <c r="G72" i="13"/>
  <c r="G19" i="13" s="1"/>
  <c r="G127" i="9"/>
  <c r="I72" i="13"/>
  <c r="I19" i="13" s="1"/>
  <c r="I93" i="13"/>
  <c r="D102" i="13"/>
  <c r="C101" i="13"/>
  <c r="X260" i="52"/>
  <c r="X256" i="52"/>
  <c r="AN256" i="52" s="1"/>
  <c r="X258" i="52"/>
  <c r="X259" i="52"/>
  <c r="AN259" i="52" s="1"/>
  <c r="X257" i="52"/>
  <c r="H1705" i="79"/>
  <c r="H1701" i="79" s="1"/>
  <c r="W84" i="59"/>
  <c r="W231" i="59" s="1"/>
  <c r="W83" i="59"/>
  <c r="W230" i="59" s="1"/>
  <c r="D496" i="59"/>
  <c r="W86" i="59"/>
  <c r="W233" i="59" s="1"/>
  <c r="J2704" i="79"/>
  <c r="AG208" i="52"/>
  <c r="H1283" i="79"/>
  <c r="H1282" i="79" s="1"/>
  <c r="AG184" i="52"/>
  <c r="B26" i="54"/>
  <c r="AG193" i="52"/>
  <c r="AG192" i="52"/>
  <c r="I2650" i="79"/>
  <c r="AG210" i="52"/>
  <c r="AG212" i="52"/>
  <c r="G3224" i="79"/>
  <c r="Y208" i="52"/>
  <c r="H1735" i="79"/>
  <c r="H1731" i="79" s="1"/>
  <c r="H1373" i="79"/>
  <c r="H1372" i="79" s="1"/>
  <c r="AO206" i="52"/>
  <c r="Y209" i="52"/>
  <c r="Y39" i="52" s="1"/>
  <c r="Y211" i="52"/>
  <c r="H2792" i="79"/>
  <c r="I2792" i="79"/>
  <c r="Y212" i="52"/>
  <c r="I3551" i="79"/>
  <c r="I3191" i="79"/>
  <c r="J2995" i="79"/>
  <c r="AI241" i="52"/>
  <c r="AI242" i="52"/>
  <c r="AI238" i="52"/>
  <c r="AI239" i="52"/>
  <c r="AI240" i="52"/>
  <c r="AI67" i="52" s="1"/>
  <c r="G1637" i="79"/>
  <c r="H3549" i="79"/>
  <c r="L3523" i="79"/>
  <c r="I3554" i="79"/>
  <c r="M192" i="79"/>
  <c r="M563" i="79" s="1"/>
  <c r="M2028" i="79"/>
  <c r="I515" i="79"/>
  <c r="I493" i="79"/>
  <c r="AG187" i="52"/>
  <c r="AG233" i="52"/>
  <c r="AG235" i="52"/>
  <c r="AG211" i="52"/>
  <c r="AG191" i="52"/>
  <c r="AG209" i="52"/>
  <c r="AG232" i="52"/>
  <c r="I2028" i="79"/>
  <c r="AG186" i="52"/>
  <c r="AG188" i="52"/>
  <c r="AG236" i="52"/>
  <c r="AG234" i="52"/>
  <c r="AG194" i="52"/>
  <c r="AG190" i="52"/>
  <c r="AG185" i="52"/>
  <c r="J3439" i="79"/>
  <c r="H3286" i="79"/>
  <c r="K2019" i="79"/>
  <c r="L3495" i="79"/>
  <c r="J2019" i="79"/>
  <c r="H177" i="79"/>
  <c r="L2019" i="79"/>
  <c r="I3467" i="79"/>
  <c r="K3411" i="79"/>
  <c r="K2028" i="79"/>
  <c r="L2028" i="79"/>
  <c r="L3439" i="79"/>
  <c r="G3495" i="79"/>
  <c r="I2019" i="79"/>
  <c r="L3467" i="79"/>
  <c r="I3495" i="79"/>
  <c r="H3467" i="79"/>
  <c r="M3439" i="79"/>
  <c r="K3439" i="79"/>
  <c r="H2028" i="79"/>
  <c r="K3467" i="79"/>
  <c r="K3523" i="79"/>
  <c r="J2028" i="79"/>
  <c r="H3411" i="79"/>
  <c r="AL73" i="52"/>
  <c r="AO205" i="52"/>
  <c r="I3210" i="79"/>
  <c r="I3565" i="79"/>
  <c r="L192" i="79"/>
  <c r="L570" i="79" s="1"/>
  <c r="I175" i="79"/>
  <c r="I533" i="79" s="1"/>
  <c r="AK29" i="52"/>
  <c r="AH29" i="52"/>
  <c r="I3205" i="79"/>
  <c r="I3195" i="79" s="1"/>
  <c r="G3523" i="79"/>
  <c r="AJ51" i="52"/>
  <c r="L546" i="79"/>
  <c r="L542" i="79" s="1"/>
  <c r="M3495" i="79"/>
  <c r="AO204" i="52"/>
  <c r="J3523" i="79"/>
  <c r="I3439" i="79"/>
  <c r="K3495" i="79"/>
  <c r="M3467" i="79"/>
  <c r="G3467" i="79"/>
  <c r="L3411" i="79"/>
  <c r="H3495" i="79"/>
  <c r="G3136" i="79"/>
  <c r="H3523" i="79"/>
  <c r="J3411" i="79"/>
  <c r="G3439" i="79"/>
  <c r="M3523" i="79"/>
  <c r="M3411" i="79"/>
  <c r="J3467" i="79"/>
  <c r="I3523" i="79"/>
  <c r="I3411" i="79"/>
  <c r="G3126" i="79"/>
  <c r="H3439" i="79"/>
  <c r="G3072" i="79"/>
  <c r="J3495" i="79"/>
  <c r="I2988" i="79"/>
  <c r="I3184" i="79"/>
  <c r="I3180" i="79" s="1"/>
  <c r="J2953" i="79"/>
  <c r="J3152" i="79"/>
  <c r="J3148" i="79" s="1"/>
  <c r="I2918" i="79"/>
  <c r="I3120" i="79"/>
  <c r="I3116" i="79" s="1"/>
  <c r="H3126" i="79"/>
  <c r="H3136" i="79"/>
  <c r="H3062" i="79"/>
  <c r="H3072" i="79"/>
  <c r="H3494" i="79"/>
  <c r="H3503" i="79"/>
  <c r="H3438" i="79"/>
  <c r="H3447" i="79"/>
  <c r="H3466" i="79"/>
  <c r="H3475" i="79"/>
  <c r="G3410" i="79"/>
  <c r="G3419" i="79"/>
  <c r="G3438" i="79"/>
  <c r="G3447" i="79"/>
  <c r="H3410" i="79"/>
  <c r="H3419" i="79"/>
  <c r="I3506" i="79"/>
  <c r="I3505" i="79" s="1"/>
  <c r="I3139" i="79"/>
  <c r="I3138" i="79" s="1"/>
  <c r="I3422" i="79"/>
  <c r="I3421" i="79" s="1"/>
  <c r="I3534" i="79"/>
  <c r="I3533" i="79" s="1"/>
  <c r="I3107" i="79"/>
  <c r="I3106" i="79" s="1"/>
  <c r="I3478" i="79"/>
  <c r="I3477" i="79" s="1"/>
  <c r="I3450" i="79"/>
  <c r="I3449" i="79" s="1"/>
  <c r="I3075" i="79"/>
  <c r="I3074" i="79" s="1"/>
  <c r="H3094" i="79"/>
  <c r="H3104" i="79"/>
  <c r="G3494" i="79"/>
  <c r="G3503" i="79"/>
  <c r="G3104" i="79"/>
  <c r="G3466" i="79"/>
  <c r="G3475" i="79"/>
  <c r="H3522" i="79"/>
  <c r="H3531" i="79"/>
  <c r="G3522" i="79"/>
  <c r="G3531" i="79"/>
  <c r="G3411" i="79"/>
  <c r="AG26" i="52"/>
  <c r="AG48" i="52"/>
  <c r="G3168" i="79"/>
  <c r="G3158" i="79"/>
  <c r="G3040" i="79"/>
  <c r="G3348" i="79"/>
  <c r="G3317" i="79"/>
  <c r="H3042" i="79"/>
  <c r="AJ59" i="52"/>
  <c r="AK59" i="52"/>
  <c r="H3255" i="79"/>
  <c r="I3171" i="79"/>
  <c r="I3043" i="79"/>
  <c r="H3170" i="79"/>
  <c r="H3317" i="79"/>
  <c r="G3255" i="79"/>
  <c r="H3348" i="79"/>
  <c r="I3263" i="79"/>
  <c r="I3262" i="79" s="1"/>
  <c r="I3255" i="79" s="1"/>
  <c r="I3294" i="79"/>
  <c r="I3293" i="79" s="1"/>
  <c r="I3286" i="79" s="1"/>
  <c r="I3325" i="79"/>
  <c r="I3324" i="79" s="1"/>
  <c r="I3317" i="79" s="1"/>
  <c r="I3356" i="79"/>
  <c r="I3355" i="79" s="1"/>
  <c r="I3348" i="79" s="1"/>
  <c r="AH211" i="52"/>
  <c r="AH233" i="52"/>
  <c r="AI51" i="52"/>
  <c r="AI73" i="52"/>
  <c r="AI29" i="52"/>
  <c r="AH73" i="52"/>
  <c r="AF51" i="52"/>
  <c r="AG29" i="52"/>
  <c r="AL51" i="52"/>
  <c r="AH51" i="52"/>
  <c r="AF73" i="52"/>
  <c r="AK73" i="52"/>
  <c r="AJ29" i="52"/>
  <c r="AG51" i="52"/>
  <c r="AK51" i="52"/>
  <c r="AL29" i="52"/>
  <c r="AG73" i="52"/>
  <c r="AJ73" i="52"/>
  <c r="AF29" i="52"/>
  <c r="I3259" i="79"/>
  <c r="I3258" i="79" s="1"/>
  <c r="I3254" i="79" s="1"/>
  <c r="I3352" i="79"/>
  <c r="I3351" i="79" s="1"/>
  <c r="I3347" i="79" s="1"/>
  <c r="I3290" i="79"/>
  <c r="I3289" i="79" s="1"/>
  <c r="I3285" i="79" s="1"/>
  <c r="I3321" i="79"/>
  <c r="I3320" i="79" s="1"/>
  <c r="I3316" i="79" s="1"/>
  <c r="G3286" i="79"/>
  <c r="J2532" i="79"/>
  <c r="M2532" i="79"/>
  <c r="H3279" i="79"/>
  <c r="H2959" i="79"/>
  <c r="H2929" i="79"/>
  <c r="I2549" i="79"/>
  <c r="I2848" i="79"/>
  <c r="H2859" i="79"/>
  <c r="H2894" i="79"/>
  <c r="I2895" i="79"/>
  <c r="I2860" i="79"/>
  <c r="I2965" i="79"/>
  <c r="I2930" i="79"/>
  <c r="K2532" i="79"/>
  <c r="L2532" i="79"/>
  <c r="H2819" i="79"/>
  <c r="I2532" i="79"/>
  <c r="AH185" i="52"/>
  <c r="H2532" i="79"/>
  <c r="AH193" i="52"/>
  <c r="AH209" i="52"/>
  <c r="AH232" i="52"/>
  <c r="AH192" i="52"/>
  <c r="AH236" i="52"/>
  <c r="AH188" i="52"/>
  <c r="AH184" i="52"/>
  <c r="AH191" i="52"/>
  <c r="AH186" i="52"/>
  <c r="AH235" i="52"/>
  <c r="AH194" i="52"/>
  <c r="AH190" i="52"/>
  <c r="AH234" i="52"/>
  <c r="AH210" i="52"/>
  <c r="AH208" i="52"/>
  <c r="AH187" i="52"/>
  <c r="AH212" i="52"/>
  <c r="I2647" i="79"/>
  <c r="I2790" i="79"/>
  <c r="I2788" i="79" s="1"/>
  <c r="I2773" i="79" s="1"/>
  <c r="I2645" i="79"/>
  <c r="G2578" i="79"/>
  <c r="J2767" i="79"/>
  <c r="J2765" i="79" s="1"/>
  <c r="J2750" i="79" s="1"/>
  <c r="J2621" i="79"/>
  <c r="I2623" i="79"/>
  <c r="G2626" i="79"/>
  <c r="H2626" i="79"/>
  <c r="I2599" i="79"/>
  <c r="I2575" i="79"/>
  <c r="I2744" i="79"/>
  <c r="I2742" i="79" s="1"/>
  <c r="I2727" i="79" s="1"/>
  <c r="I2597" i="79"/>
  <c r="I2608" i="79"/>
  <c r="I2607" i="79" s="1"/>
  <c r="I2603" i="79" s="1"/>
  <c r="I2560" i="79"/>
  <c r="I2559" i="79" s="1"/>
  <c r="I2555" i="79" s="1"/>
  <c r="I2584" i="79"/>
  <c r="I2583" i="79" s="1"/>
  <c r="I2579" i="79" s="1"/>
  <c r="I2632" i="79"/>
  <c r="I2631" i="79" s="1"/>
  <c r="I2627" i="79" s="1"/>
  <c r="H2578" i="79"/>
  <c r="G2602" i="79"/>
  <c r="G2681" i="79"/>
  <c r="K2704" i="79"/>
  <c r="M2704" i="79"/>
  <c r="G2727" i="79"/>
  <c r="H2681" i="79"/>
  <c r="H2773" i="79"/>
  <c r="G2704" i="79"/>
  <c r="H2727" i="79"/>
  <c r="I3398" i="79"/>
  <c r="L2704" i="79"/>
  <c r="I2750" i="79"/>
  <c r="I2704" i="79"/>
  <c r="I2739" i="79"/>
  <c r="I2738" i="79" s="1"/>
  <c r="I2725" i="79" s="1"/>
  <c r="I2762" i="79"/>
  <c r="I2761" i="79" s="1"/>
  <c r="I2748" i="79" s="1"/>
  <c r="I2716" i="79"/>
  <c r="I2715" i="79" s="1"/>
  <c r="I2702" i="79" s="1"/>
  <c r="I2785" i="79"/>
  <c r="I2784" i="79" s="1"/>
  <c r="I2771" i="79" s="1"/>
  <c r="H3234" i="79"/>
  <c r="H3224" i="79" s="1"/>
  <c r="H2750" i="79"/>
  <c r="H2704" i="79"/>
  <c r="G2773" i="79"/>
  <c r="G2750" i="79"/>
  <c r="H568" i="79"/>
  <c r="H569" i="79"/>
  <c r="H570" i="79"/>
  <c r="I568" i="79"/>
  <c r="I569" i="79"/>
  <c r="I570" i="79"/>
  <c r="J569" i="79"/>
  <c r="J570" i="79"/>
  <c r="J568" i="79"/>
  <c r="K569" i="79"/>
  <c r="K570" i="79"/>
  <c r="K568" i="79"/>
  <c r="G228" i="79"/>
  <c r="G108" i="79" s="1"/>
  <c r="L1988" i="79"/>
  <c r="L1982" i="79" s="1"/>
  <c r="L1883" i="79" s="1"/>
  <c r="G570" i="79"/>
  <c r="G569" i="79"/>
  <c r="K561" i="79"/>
  <c r="H563" i="79"/>
  <c r="I563" i="79"/>
  <c r="H561" i="79"/>
  <c r="H562" i="79"/>
  <c r="J563" i="79"/>
  <c r="J561" i="79"/>
  <c r="I562" i="79"/>
  <c r="K563" i="79"/>
  <c r="J562" i="79"/>
  <c r="K562" i="79"/>
  <c r="I561" i="79"/>
  <c r="H533" i="79"/>
  <c r="G533" i="79"/>
  <c r="G561" i="79"/>
  <c r="H540" i="79"/>
  <c r="H542" i="79"/>
  <c r="H541" i="79"/>
  <c r="M542" i="79"/>
  <c r="M540" i="79"/>
  <c r="M541" i="79"/>
  <c r="I540" i="79"/>
  <c r="I542" i="79"/>
  <c r="I541" i="79"/>
  <c r="J541" i="79"/>
  <c r="J542" i="79"/>
  <c r="J540" i="79"/>
  <c r="K541" i="79"/>
  <c r="K542" i="79"/>
  <c r="K540" i="79"/>
  <c r="H246" i="79"/>
  <c r="H258" i="79" s="1"/>
  <c r="H535" i="79"/>
  <c r="H534" i="79"/>
  <c r="G246" i="79"/>
  <c r="G535" i="79"/>
  <c r="G534" i="79"/>
  <c r="H202" i="79"/>
  <c r="I1942" i="79"/>
  <c r="I1881" i="79" s="1"/>
  <c r="J2002" i="79"/>
  <c r="J1884" i="79" s="1"/>
  <c r="H1982" i="79"/>
  <c r="H1883" i="79" s="1"/>
  <c r="G206" i="79"/>
  <c r="G102" i="79" s="1"/>
  <c r="I447" i="79"/>
  <c r="I425" i="79"/>
  <c r="G492" i="79"/>
  <c r="G490" i="79" s="1"/>
  <c r="G487" i="79" s="1"/>
  <c r="G358" i="79"/>
  <c r="G356" i="79" s="1"/>
  <c r="G353" i="79" s="1"/>
  <c r="G470" i="79"/>
  <c r="G482" i="79" s="1"/>
  <c r="G403" i="79"/>
  <c r="G401" i="79" s="1"/>
  <c r="G398" i="79" s="1"/>
  <c r="I2002" i="79"/>
  <c r="I1884" i="79" s="1"/>
  <c r="G336" i="79"/>
  <c r="G334" i="79" s="1"/>
  <c r="G331" i="79" s="1"/>
  <c r="M2002" i="79"/>
  <c r="M1884" i="79" s="1"/>
  <c r="B131" i="79"/>
  <c r="G291" i="79"/>
  <c r="G303" i="79" s="1"/>
  <c r="G269" i="79"/>
  <c r="G281" i="79" s="1"/>
  <c r="H1576" i="79"/>
  <c r="H1573" i="79" s="1"/>
  <c r="I1185" i="79"/>
  <c r="I1111" i="79"/>
  <c r="I1148" i="79"/>
  <c r="H2002" i="79"/>
  <c r="H1884" i="79" s="1"/>
  <c r="G1982" i="79"/>
  <c r="G1883" i="79" s="1"/>
  <c r="G2002" i="79"/>
  <c r="G1884" i="79" s="1"/>
  <c r="M2242" i="79"/>
  <c r="M2236" i="79" s="1"/>
  <c r="M2139" i="79" s="1"/>
  <c r="H1962" i="79"/>
  <c r="H1882" i="79" s="1"/>
  <c r="M1982" i="79"/>
  <c r="M1883" i="79" s="1"/>
  <c r="I1982" i="79"/>
  <c r="I1883" i="79" s="1"/>
  <c r="H2019" i="79"/>
  <c r="M1962" i="79"/>
  <c r="M1882" i="79" s="1"/>
  <c r="K1962" i="79"/>
  <c r="K1882" i="79" s="1"/>
  <c r="I3012" i="79"/>
  <c r="L1231" i="79"/>
  <c r="K1213" i="79"/>
  <c r="K2002" i="79"/>
  <c r="K1884" i="79" s="1"/>
  <c r="L2002" i="79"/>
  <c r="L1884" i="79" s="1"/>
  <c r="L1962" i="79"/>
  <c r="L1882" i="79" s="1"/>
  <c r="J1962" i="79"/>
  <c r="J1882" i="79" s="1"/>
  <c r="J1942" i="79"/>
  <c r="J1881" i="79" s="1"/>
  <c r="G1962" i="79"/>
  <c r="G1882" i="79" s="1"/>
  <c r="H1608" i="79"/>
  <c r="H1605" i="79" s="1"/>
  <c r="J1982" i="79"/>
  <c r="J1883" i="79" s="1"/>
  <c r="H184" i="79"/>
  <c r="G1942" i="79"/>
  <c r="G1881" i="79" s="1"/>
  <c r="K1942" i="79"/>
  <c r="K1881" i="79" s="1"/>
  <c r="K1982" i="79"/>
  <c r="K1883" i="79" s="1"/>
  <c r="AF65" i="52"/>
  <c r="I1962" i="79"/>
  <c r="I1882" i="79" s="1"/>
  <c r="H1942" i="79"/>
  <c r="H1881" i="79" s="1"/>
  <c r="M1942" i="79"/>
  <c r="M1881" i="79" s="1"/>
  <c r="G112" i="79"/>
  <c r="G111" i="79"/>
  <c r="G421" i="79"/>
  <c r="G105" i="79"/>
  <c r="G110" i="79"/>
  <c r="H1640" i="79"/>
  <c r="L1948" i="79"/>
  <c r="L1942" i="79" s="1"/>
  <c r="L1881" i="79" s="1"/>
  <c r="M2192" i="79"/>
  <c r="M2186" i="79" s="1"/>
  <c r="M2137" i="79" s="1"/>
  <c r="H2286" i="79"/>
  <c r="H2141" i="79" s="1"/>
  <c r="I2286" i="79"/>
  <c r="I2141" i="79" s="1"/>
  <c r="L2286" i="79"/>
  <c r="L2141" i="79" s="1"/>
  <c r="G2286" i="79"/>
  <c r="G2141" i="79" s="1"/>
  <c r="K2286" i="79"/>
  <c r="K2141" i="79" s="1"/>
  <c r="J2286" i="79"/>
  <c r="J2141" i="79" s="1"/>
  <c r="M2292" i="79"/>
  <c r="G2261" i="79"/>
  <c r="G2140" i="79" s="1"/>
  <c r="H2261" i="79"/>
  <c r="H2140" i="79" s="1"/>
  <c r="K2261" i="79"/>
  <c r="K2140" i="79" s="1"/>
  <c r="J2261" i="79"/>
  <c r="J2140" i="79" s="1"/>
  <c r="M2261" i="79"/>
  <c r="M2140" i="79" s="1"/>
  <c r="L2261" i="79"/>
  <c r="L2140" i="79" s="1"/>
  <c r="I2261" i="79"/>
  <c r="I2140" i="79" s="1"/>
  <c r="G2236" i="79"/>
  <c r="G2139" i="79" s="1"/>
  <c r="I2236" i="79"/>
  <c r="I2139" i="79" s="1"/>
  <c r="L2236" i="79"/>
  <c r="L2139" i="79" s="1"/>
  <c r="H2236" i="79"/>
  <c r="H2139" i="79" s="1"/>
  <c r="J2236" i="79"/>
  <c r="J2139" i="79" s="1"/>
  <c r="K2236" i="79"/>
  <c r="K2139" i="79" s="1"/>
  <c r="G2211" i="79"/>
  <c r="G2138" i="79" s="1"/>
  <c r="H2211" i="79"/>
  <c r="H2138" i="79" s="1"/>
  <c r="I2211" i="79"/>
  <c r="I2138" i="79" s="1"/>
  <c r="J2211" i="79"/>
  <c r="J2138" i="79" s="1"/>
  <c r="K2211" i="79"/>
  <c r="K2138" i="79" s="1"/>
  <c r="M2211" i="79"/>
  <c r="M2138" i="79" s="1"/>
  <c r="H183" i="79"/>
  <c r="H185" i="79"/>
  <c r="H1116" i="79"/>
  <c r="H182" i="79"/>
  <c r="I2186" i="79"/>
  <c r="I2137" i="79" s="1"/>
  <c r="L2186" i="79"/>
  <c r="L2137" i="79" s="1"/>
  <c r="J2186" i="79"/>
  <c r="J2137" i="79" s="1"/>
  <c r="K2186" i="79"/>
  <c r="K2137" i="79" s="1"/>
  <c r="H2186" i="79"/>
  <c r="H2137" i="79" s="1"/>
  <c r="G2186" i="79"/>
  <c r="G2137" i="79" s="1"/>
  <c r="H1624" i="79"/>
  <c r="H1621" i="79" s="1"/>
  <c r="J1402" i="79"/>
  <c r="J1312" i="79"/>
  <c r="J1357" i="79"/>
  <c r="J1492" i="79"/>
  <c r="L2217" i="79"/>
  <c r="H1042" i="79"/>
  <c r="H1592" i="79"/>
  <c r="H1589" i="79" s="1"/>
  <c r="J1047" i="79"/>
  <c r="J1158" i="79"/>
  <c r="J1121" i="79"/>
  <c r="J1125" i="79"/>
  <c r="J1195" i="79"/>
  <c r="J1088" i="79"/>
  <c r="J1199" i="79"/>
  <c r="J1162" i="79"/>
  <c r="J1084" i="79"/>
  <c r="J1051" i="79"/>
  <c r="B279" i="54"/>
  <c r="B269" i="54"/>
  <c r="B264" i="54"/>
  <c r="B276" i="54"/>
  <c r="AF59" i="52"/>
  <c r="B267" i="54"/>
  <c r="B278" i="54"/>
  <c r="AG59" i="52"/>
  <c r="AJ37" i="52"/>
  <c r="AF37" i="52"/>
  <c r="AK37" i="52"/>
  <c r="B266" i="54"/>
  <c r="B277" i="54"/>
  <c r="B274" i="54"/>
  <c r="AH37" i="52"/>
  <c r="AG37" i="52"/>
  <c r="B272" i="54"/>
  <c r="B271" i="54"/>
  <c r="B275" i="54"/>
  <c r="AH59" i="52"/>
  <c r="AI37" i="52"/>
  <c r="B268" i="54"/>
  <c r="B265" i="54"/>
  <c r="B273" i="54"/>
  <c r="AI59" i="52"/>
  <c r="B270" i="54"/>
  <c r="B263" i="54"/>
  <c r="B282" i="54"/>
  <c r="AL59" i="52"/>
  <c r="AL37" i="52"/>
  <c r="B281" i="54"/>
  <c r="H628" i="79"/>
  <c r="B280" i="54"/>
  <c r="AH70" i="52"/>
  <c r="AH114" i="52"/>
  <c r="I2885" i="79"/>
  <c r="I2879" i="79" s="1"/>
  <c r="I3281" i="79"/>
  <c r="X265" i="52"/>
  <c r="AN265" i="52" s="1"/>
  <c r="X266" i="52"/>
  <c r="X262" i="52"/>
  <c r="X263" i="52"/>
  <c r="X264" i="52"/>
  <c r="X70" i="52" s="1"/>
  <c r="AN70" i="52" s="1"/>
  <c r="I1581" i="79"/>
  <c r="I1580" i="79" s="1"/>
  <c r="I1629" i="79"/>
  <c r="I1628" i="79" s="1"/>
  <c r="I1613" i="79"/>
  <c r="I1612" i="79" s="1"/>
  <c r="I1597" i="79"/>
  <c r="I1596" i="79" s="1"/>
  <c r="I1645" i="79"/>
  <c r="I1644" i="79" s="1"/>
  <c r="Z210" i="52"/>
  <c r="Z212" i="52"/>
  <c r="Z209" i="52"/>
  <c r="Z211" i="52"/>
  <c r="I2301" i="79"/>
  <c r="I2299" i="79" s="1"/>
  <c r="I2251" i="79"/>
  <c r="I2249" i="79" s="1"/>
  <c r="I2237" i="79" s="1"/>
  <c r="I2145" i="79" s="1"/>
  <c r="K1118" i="79"/>
  <c r="K1044" i="79"/>
  <c r="K1192" i="79"/>
  <c r="I3229" i="79"/>
  <c r="K110" i="37"/>
  <c r="K108" i="37"/>
  <c r="J2575" i="79"/>
  <c r="K107" i="37"/>
  <c r="I2255" i="79"/>
  <c r="M2694" i="79"/>
  <c r="K178" i="79"/>
  <c r="K177" i="79" s="1"/>
  <c r="I1956" i="79"/>
  <c r="I2230" i="79"/>
  <c r="I2305" i="79"/>
  <c r="I2280" i="79"/>
  <c r="I1996" i="79"/>
  <c r="I2016" i="79"/>
  <c r="I1976" i="79"/>
  <c r="I1936" i="79"/>
  <c r="AN202" i="52"/>
  <c r="J1687" i="79"/>
  <c r="J2652" i="79"/>
  <c r="J2650" i="79" s="1"/>
  <c r="AH166" i="52"/>
  <c r="AH254" i="52"/>
  <c r="AH164" i="52"/>
  <c r="AH253" i="52"/>
  <c r="AH170" i="52"/>
  <c r="AH163" i="52"/>
  <c r="AH252" i="52"/>
  <c r="AH169" i="52"/>
  <c r="AH162" i="52"/>
  <c r="AH251" i="52"/>
  <c r="AH168" i="52"/>
  <c r="AH161" i="52"/>
  <c r="AH250" i="52"/>
  <c r="AH167" i="52"/>
  <c r="AH160" i="52"/>
  <c r="J3559" i="79"/>
  <c r="J3554" i="79" s="1"/>
  <c r="I3391" i="79"/>
  <c r="J1774" i="79"/>
  <c r="G444" i="59"/>
  <c r="D444" i="59" s="1"/>
  <c r="G443" i="59"/>
  <c r="D443" i="59" s="1"/>
  <c r="G431" i="59"/>
  <c r="D431" i="59" s="1"/>
  <c r="G442" i="59"/>
  <c r="D442" i="59" s="1"/>
  <c r="G439" i="59"/>
  <c r="D439" i="59" s="1"/>
  <c r="G428" i="59"/>
  <c r="D428" i="59" s="1"/>
  <c r="G437" i="59"/>
  <c r="D437" i="59" s="1"/>
  <c r="G435" i="59"/>
  <c r="D435" i="59" s="1"/>
  <c r="G436" i="59"/>
  <c r="D436" i="59" s="1"/>
  <c r="G432" i="59"/>
  <c r="D432" i="59" s="1"/>
  <c r="G441" i="59"/>
  <c r="D441" i="59" s="1"/>
  <c r="G430" i="59"/>
  <c r="D430" i="59" s="1"/>
  <c r="G434" i="59"/>
  <c r="D434" i="59" s="1"/>
  <c r="G438" i="59"/>
  <c r="D438" i="59" s="1"/>
  <c r="G445" i="59"/>
  <c r="D445" i="59" s="1"/>
  <c r="G440" i="59"/>
  <c r="D440" i="59" s="1"/>
  <c r="G446" i="59"/>
  <c r="D446" i="59" s="1"/>
  <c r="J185" i="37"/>
  <c r="D580" i="59"/>
  <c r="F622" i="59"/>
  <c r="D622" i="59" s="1"/>
  <c r="J184" i="37"/>
  <c r="J47" i="37"/>
  <c r="J69" i="37" s="1"/>
  <c r="J113" i="37"/>
  <c r="J127" i="37" s="1"/>
  <c r="AO202" i="52"/>
  <c r="I1649" i="79"/>
  <c r="I1221" i="79"/>
  <c r="I990" i="79"/>
  <c r="I1585" i="79"/>
  <c r="I1601" i="79"/>
  <c r="I1617" i="79"/>
  <c r="I1530" i="79"/>
  <c r="I1633" i="79"/>
  <c r="I1508" i="79"/>
  <c r="H632" i="79"/>
  <c r="G13" i="62"/>
  <c r="J186" i="37"/>
  <c r="I71" i="37"/>
  <c r="I78" i="37"/>
  <c r="J183" i="37"/>
  <c r="I79" i="37"/>
  <c r="V232" i="59"/>
  <c r="L157" i="37"/>
  <c r="K162" i="37"/>
  <c r="K189" i="37" s="1"/>
  <c r="K165" i="37"/>
  <c r="K163" i="37"/>
  <c r="K190" i="37" s="1"/>
  <c r="K164" i="37"/>
  <c r="K166" i="37"/>
  <c r="K193" i="37" s="1"/>
  <c r="J193" i="37"/>
  <c r="J187" i="37"/>
  <c r="O4" i="54"/>
  <c r="N343" i="37"/>
  <c r="L347" i="37"/>
  <c r="L344" i="37"/>
  <c r="K109" i="37"/>
  <c r="K111" i="37"/>
  <c r="J77" i="37"/>
  <c r="J71" i="37"/>
  <c r="L24" i="37"/>
  <c r="M26" i="37"/>
  <c r="M28" i="37"/>
  <c r="O343" i="37"/>
  <c r="M345" i="37"/>
  <c r="N25" i="37"/>
  <c r="N346" i="37"/>
  <c r="M27" i="37"/>
  <c r="I804" i="79"/>
  <c r="I952" i="79"/>
  <c r="I915" i="79"/>
  <c r="I878" i="79"/>
  <c r="I800" i="79"/>
  <c r="I874" i="79"/>
  <c r="I948" i="79"/>
  <c r="I837" i="79"/>
  <c r="I841" i="79"/>
  <c r="I911" i="79"/>
  <c r="J3056" i="79"/>
  <c r="J3052" i="79" s="1"/>
  <c r="I2698" i="79"/>
  <c r="I2696" i="79" s="1"/>
  <c r="I2681" i="79" s="1"/>
  <c r="AH202" i="52"/>
  <c r="AH205" i="52"/>
  <c r="AH203" i="52"/>
  <c r="AH206" i="52"/>
  <c r="AH204" i="52"/>
  <c r="I1688" i="79"/>
  <c r="I1292" i="79"/>
  <c r="I1337" i="79"/>
  <c r="I1427" i="79"/>
  <c r="I1382" i="79"/>
  <c r="I1472" i="79"/>
  <c r="I790" i="79"/>
  <c r="I792" i="79" s="1"/>
  <c r="I827" i="79"/>
  <c r="I829" i="79" s="1"/>
  <c r="I938" i="79"/>
  <c r="I940" i="79" s="1"/>
  <c r="I901" i="79"/>
  <c r="I903" i="79" s="1"/>
  <c r="I864" i="79"/>
  <c r="I866" i="79" s="1"/>
  <c r="I871" i="79"/>
  <c r="I834" i="79"/>
  <c r="I945" i="79"/>
  <c r="I797" i="79"/>
  <c r="I908" i="79"/>
  <c r="I1786" i="79"/>
  <c r="I1751" i="79"/>
  <c r="I430" i="79"/>
  <c r="I452" i="79"/>
  <c r="I1433" i="79"/>
  <c r="I1154" i="79"/>
  <c r="I1153" i="79" s="1"/>
  <c r="I690" i="79"/>
  <c r="I408" i="79"/>
  <c r="I190" i="79" s="1"/>
  <c r="I184" i="79" s="1"/>
  <c r="I1632" i="79"/>
  <c r="I1419" i="79"/>
  <c r="I907" i="79"/>
  <c r="H709" i="79"/>
  <c r="I2832" i="79"/>
  <c r="I2830" i="79" s="1"/>
  <c r="I2821" i="79" s="1"/>
  <c r="I1043" i="79"/>
  <c r="I1042" i="79" s="1"/>
  <c r="I251" i="79"/>
  <c r="I1584" i="79"/>
  <c r="I1284" i="79"/>
  <c r="I229" i="79"/>
  <c r="I1298" i="79"/>
  <c r="I796" i="79"/>
  <c r="I609" i="79"/>
  <c r="I3236" i="79"/>
  <c r="I3234" i="79" s="1"/>
  <c r="I207" i="79"/>
  <c r="I1706" i="79"/>
  <c r="J2305" i="79"/>
  <c r="I1340" i="79"/>
  <c r="I1295" i="79"/>
  <c r="I1475" i="79"/>
  <c r="I1430" i="79"/>
  <c r="I1385" i="79"/>
  <c r="I1114" i="79"/>
  <c r="I1077" i="79"/>
  <c r="I1076" i="79" s="1"/>
  <c r="I1040" i="79"/>
  <c r="I1039" i="79" s="1"/>
  <c r="I1188" i="79"/>
  <c r="I1151" i="79"/>
  <c r="I3232" i="79"/>
  <c r="I2826" i="79"/>
  <c r="I385" i="79"/>
  <c r="I363" i="79"/>
  <c r="I870" i="79"/>
  <c r="I1117" i="79"/>
  <c r="I1116" i="79" s="1"/>
  <c r="I1616" i="79"/>
  <c r="I1388" i="79"/>
  <c r="I1374" i="79"/>
  <c r="I1736" i="79"/>
  <c r="I341" i="79"/>
  <c r="I189" i="79" s="1"/>
  <c r="I183" i="79" s="1"/>
  <c r="I663" i="79"/>
  <c r="I1767" i="79"/>
  <c r="I1737" i="79"/>
  <c r="I1375" i="79"/>
  <c r="I1707" i="79"/>
  <c r="I1752" i="79"/>
  <c r="I1722" i="79"/>
  <c r="I1420" i="79"/>
  <c r="I1330" i="79"/>
  <c r="I1465" i="79"/>
  <c r="I1285" i="79"/>
  <c r="I2847" i="79"/>
  <c r="I1168" i="79"/>
  <c r="I1057" i="79"/>
  <c r="I1205" i="79"/>
  <c r="I1094" i="79"/>
  <c r="I1131" i="79"/>
  <c r="I1389" i="79"/>
  <c r="I1479" i="79"/>
  <c r="I1434" i="79"/>
  <c r="I1344" i="79"/>
  <c r="I1299" i="79"/>
  <c r="J1074" i="79"/>
  <c r="J1148" i="79"/>
  <c r="J1037" i="79"/>
  <c r="J1111" i="79"/>
  <c r="J1185" i="79"/>
  <c r="I958" i="79"/>
  <c r="I921" i="79"/>
  <c r="I810" i="79"/>
  <c r="I884" i="79"/>
  <c r="I847" i="79"/>
  <c r="AH228" i="52"/>
  <c r="AH227" i="52"/>
  <c r="AH226" i="52"/>
  <c r="AH230" i="52"/>
  <c r="AH229" i="52"/>
  <c r="I1787" i="79"/>
  <c r="I657" i="79"/>
  <c r="I684" i="79"/>
  <c r="I711" i="79"/>
  <c r="I630" i="79"/>
  <c r="I603" i="79"/>
  <c r="I1306" i="79"/>
  <c r="I1396" i="79"/>
  <c r="I1392" i="79"/>
  <c r="I1302" i="79"/>
  <c r="I1351" i="79"/>
  <c r="I1486" i="79"/>
  <c r="I1347" i="79"/>
  <c r="I1441" i="79"/>
  <c r="I1437" i="79"/>
  <c r="I1482" i="79"/>
  <c r="I2201" i="79"/>
  <c r="I2199" i="79" s="1"/>
  <c r="I2187" i="79" s="1"/>
  <c r="I2143" i="79" s="1"/>
  <c r="J2831" i="79"/>
  <c r="I610" i="79"/>
  <c r="I664" i="79"/>
  <c r="I637" i="79"/>
  <c r="I691" i="79"/>
  <c r="I2276" i="79"/>
  <c r="I2274" i="79" s="1"/>
  <c r="I2262" i="79" s="1"/>
  <c r="I2146" i="79" s="1"/>
  <c r="I26" i="56"/>
  <c r="I27" i="56"/>
  <c r="I51" i="56"/>
  <c r="I52" i="56"/>
  <c r="J26" i="56"/>
  <c r="J51" i="56"/>
  <c r="J52" i="56"/>
  <c r="J27" i="56"/>
  <c r="H26" i="56"/>
  <c r="H51" i="56"/>
  <c r="H52" i="56"/>
  <c r="H27" i="56"/>
  <c r="J71" i="9"/>
  <c r="D47" i="56"/>
  <c r="B47" i="56" s="1"/>
  <c r="D42" i="56"/>
  <c r="B41" i="56"/>
  <c r="B34" i="56"/>
  <c r="C416" i="54" a="1"/>
  <c r="C416" i="54" s="1"/>
  <c r="B416" i="54" s="1"/>
  <c r="H416" i="54" a="1"/>
  <c r="H416" i="54" s="1"/>
  <c r="A417" i="54"/>
  <c r="H221" i="54"/>
  <c r="W85" i="59"/>
  <c r="M157" i="37" s="1"/>
  <c r="D767" i="59"/>
  <c r="C769" i="59"/>
  <c r="F768" i="59" a="1"/>
  <c r="F768" i="59" s="1"/>
  <c r="D768" i="59" s="1"/>
  <c r="Q769" i="59"/>
  <c r="N769" i="59" s="1"/>
  <c r="C747" i="59"/>
  <c r="F746" i="59" a="1"/>
  <c r="F746" i="59" s="1"/>
  <c r="C726" i="59"/>
  <c r="F725" i="59" a="1"/>
  <c r="F725" i="59" s="1"/>
  <c r="D725" i="59" s="1"/>
  <c r="C705" i="59"/>
  <c r="F704" i="59" a="1"/>
  <c r="F704" i="59" s="1"/>
  <c r="D704" i="59" s="1"/>
  <c r="H1744" i="79"/>
  <c r="C684" i="59"/>
  <c r="F683" i="59" a="1"/>
  <c r="F683" i="59" s="1"/>
  <c r="D683" i="59" s="1"/>
  <c r="G1759" i="79"/>
  <c r="G1744" i="79"/>
  <c r="G1729" i="79"/>
  <c r="G1714" i="79"/>
  <c r="G1693" i="79" s="1"/>
  <c r="G1699" i="79"/>
  <c r="G1749" i="79"/>
  <c r="H1875" i="79"/>
  <c r="G1875" i="79"/>
  <c r="H1876" i="79"/>
  <c r="G1876" i="79"/>
  <c r="G1874" i="79"/>
  <c r="G1878" i="79"/>
  <c r="G1877" i="79"/>
  <c r="H1874" i="79"/>
  <c r="H1877" i="79"/>
  <c r="H1878" i="79"/>
  <c r="M1837" i="79"/>
  <c r="M1811" i="79"/>
  <c r="I1880" i="79"/>
  <c r="J1880" i="79"/>
  <c r="L1880" i="79"/>
  <c r="K1880" i="79"/>
  <c r="H1880" i="79"/>
  <c r="H1960" i="79"/>
  <c r="G1920" i="79"/>
  <c r="G1868" i="79" s="1"/>
  <c r="H2000" i="79"/>
  <c r="G1960" i="79"/>
  <c r="G1870" i="79" s="1"/>
  <c r="G1980" i="79"/>
  <c r="G1940" i="79"/>
  <c r="G1869" i="79" s="1"/>
  <c r="H1940" i="79"/>
  <c r="H1980" i="79"/>
  <c r="G2000" i="79"/>
  <c r="H1920" i="79"/>
  <c r="H1919" i="79" s="1"/>
  <c r="G2127" i="79"/>
  <c r="G2078" i="79" s="1"/>
  <c r="G2126" i="79"/>
  <c r="G2077" i="79" s="1"/>
  <c r="J177" i="79"/>
  <c r="I177" i="79"/>
  <c r="C60" i="79"/>
  <c r="C72" i="79" s="1"/>
  <c r="B72" i="79" s="1"/>
  <c r="AF67" i="52"/>
  <c r="C85" i="79"/>
  <c r="B85" i="79" s="1"/>
  <c r="B41" i="79"/>
  <c r="H2212" i="79"/>
  <c r="H2144" i="79" s="1"/>
  <c r="G2237" i="79"/>
  <c r="G2145" i="79" s="1"/>
  <c r="G2147" i="79"/>
  <c r="G2187" i="79"/>
  <c r="H2187" i="79"/>
  <c r="H2143" i="79" s="1"/>
  <c r="G2262" i="79"/>
  <c r="G2146" i="79" s="1"/>
  <c r="H2237" i="79"/>
  <c r="H2145" i="79" s="1"/>
  <c r="G2212" i="79"/>
  <c r="H2147" i="79"/>
  <c r="H2262" i="79"/>
  <c r="G2184" i="79"/>
  <c r="G2125" i="79" s="1"/>
  <c r="G2076" i="79" s="1"/>
  <c r="H2184" i="79"/>
  <c r="H2125" i="79" s="1"/>
  <c r="H2076" i="79" s="1"/>
  <c r="C59" i="79"/>
  <c r="C71" i="79" s="1"/>
  <c r="B71" i="79" s="1"/>
  <c r="B40" i="79"/>
  <c r="C84" i="79"/>
  <c r="B50" i="79"/>
  <c r="B54" i="79"/>
  <c r="B53" i="79"/>
  <c r="B286" i="54"/>
  <c r="C69" i="79"/>
  <c r="B69" i="79" s="1"/>
  <c r="AG67" i="52"/>
  <c r="AH67" i="52"/>
  <c r="AG60" i="52"/>
  <c r="G1922" i="79"/>
  <c r="G1880" i="79" s="1"/>
  <c r="H3223" i="79"/>
  <c r="G2530" i="79"/>
  <c r="AB11" i="10"/>
  <c r="I3374" i="79"/>
  <c r="I2990" i="79"/>
  <c r="I2955" i="79"/>
  <c r="I2949" i="79" s="1"/>
  <c r="I3343" i="79"/>
  <c r="I3250" i="79"/>
  <c r="I3248" i="79" s="1"/>
  <c r="I2850" i="79"/>
  <c r="I2551" i="79"/>
  <c r="I1766" i="79"/>
  <c r="I1191" i="79"/>
  <c r="I1190" i="79" s="1"/>
  <c r="I519" i="79"/>
  <c r="I475" i="79"/>
  <c r="I191" i="79" s="1"/>
  <c r="I185" i="79" s="1"/>
  <c r="I1648" i="79"/>
  <c r="I717" i="79"/>
  <c r="I716" i="79" s="1"/>
  <c r="I497" i="79"/>
  <c r="I1478" i="79"/>
  <c r="I1464" i="79"/>
  <c r="I944" i="79"/>
  <c r="I833" i="79"/>
  <c r="I296" i="79"/>
  <c r="I274" i="79"/>
  <c r="I188" i="79" s="1"/>
  <c r="I182" i="79" s="1"/>
  <c r="I1343" i="79"/>
  <c r="I318" i="79"/>
  <c r="I636" i="79"/>
  <c r="I1721" i="79"/>
  <c r="I1600" i="79"/>
  <c r="I1080" i="79"/>
  <c r="I1079" i="79" s="1"/>
  <c r="I1329" i="79"/>
  <c r="I2920" i="79"/>
  <c r="I3312" i="79"/>
  <c r="I3310" i="79" s="1"/>
  <c r="I2806" i="79"/>
  <c r="I3017" i="79"/>
  <c r="I2666" i="79"/>
  <c r="I2664" i="79" s="1"/>
  <c r="I3397" i="79"/>
  <c r="G1606" i="79"/>
  <c r="G1604" i="79" s="1"/>
  <c r="G1566" i="79" s="1"/>
  <c r="G1282" i="79"/>
  <c r="G1638" i="79"/>
  <c r="C58" i="79"/>
  <c r="B58" i="79" s="1"/>
  <c r="C51" i="79"/>
  <c r="G540" i="79"/>
  <c r="G541" i="79"/>
  <c r="AH52" i="52"/>
  <c r="AG52" i="52"/>
  <c r="AF52" i="52"/>
  <c r="AK52" i="52"/>
  <c r="AL52" i="52"/>
  <c r="AN38" i="52"/>
  <c r="G1734" i="79"/>
  <c r="H1606" i="79"/>
  <c r="H1749" i="79"/>
  <c r="H1622" i="79"/>
  <c r="I405" i="79"/>
  <c r="I338" i="79"/>
  <c r="I271" i="79"/>
  <c r="I472" i="79"/>
  <c r="I204" i="79"/>
  <c r="I2324" i="79"/>
  <c r="I2321" i="79" s="1"/>
  <c r="I2311" i="79"/>
  <c r="I2308" i="79" s="1"/>
  <c r="I2241" i="79"/>
  <c r="I2266" i="79"/>
  <c r="I1987" i="79"/>
  <c r="I2007" i="79"/>
  <c r="I2291" i="79"/>
  <c r="I2191" i="79"/>
  <c r="I2204" i="79" s="1"/>
  <c r="I2185" i="79" s="1"/>
  <c r="I2131" i="79" s="1"/>
  <c r="I1927" i="79"/>
  <c r="I1967" i="79"/>
  <c r="I1947" i="79"/>
  <c r="I2216" i="79"/>
  <c r="I2226" i="79"/>
  <c r="I700" i="79"/>
  <c r="I646" i="79"/>
  <c r="I673" i="79"/>
  <c r="I619" i="79"/>
  <c r="I727" i="79"/>
  <c r="I606" i="79"/>
  <c r="I687" i="79"/>
  <c r="I714" i="79"/>
  <c r="I633" i="79"/>
  <c r="I660" i="79"/>
  <c r="AF60" i="52"/>
  <c r="J1545" i="79"/>
  <c r="J1544" i="79" s="1"/>
  <c r="I602" i="79"/>
  <c r="I1641" i="79"/>
  <c r="I1640" i="79" s="1"/>
  <c r="I1625" i="79"/>
  <c r="I1624" i="79" s="1"/>
  <c r="I1621" i="79" s="1"/>
  <c r="I2240" i="79"/>
  <c r="I656" i="79"/>
  <c r="I491" i="79"/>
  <c r="I863" i="79"/>
  <c r="I357" i="79"/>
  <c r="I1593" i="79"/>
  <c r="I1592" i="79" s="1"/>
  <c r="I1589" i="79" s="1"/>
  <c r="I1754" i="79"/>
  <c r="I1753" i="79" s="1"/>
  <c r="I2265" i="79"/>
  <c r="I3228" i="79"/>
  <c r="I1986" i="79"/>
  <c r="I1926" i="79"/>
  <c r="I2215" i="79"/>
  <c r="I1966" i="79"/>
  <c r="I1422" i="79"/>
  <c r="I290" i="79"/>
  <c r="I245" i="79"/>
  <c r="I2190" i="79"/>
  <c r="I1739" i="79"/>
  <c r="I1738" i="79" s="1"/>
  <c r="I710" i="79"/>
  <c r="I1336" i="79"/>
  <c r="I1381" i="79"/>
  <c r="I1609" i="79"/>
  <c r="I1608" i="79" s="1"/>
  <c r="I1605" i="79" s="1"/>
  <c r="I1709" i="79"/>
  <c r="I1708" i="79" s="1"/>
  <c r="I2290" i="79"/>
  <c r="I2536" i="79"/>
  <c r="I2535" i="79" s="1"/>
  <c r="I2531" i="79" s="1"/>
  <c r="I424" i="79"/>
  <c r="I1769" i="79"/>
  <c r="I1768" i="79" s="1"/>
  <c r="I1760" i="79" s="1"/>
  <c r="I1946" i="79"/>
  <c r="I2825" i="79"/>
  <c r="I1377" i="79"/>
  <c r="I2693" i="79"/>
  <c r="I2692" i="79" s="1"/>
  <c r="I2679" i="79" s="1"/>
  <c r="I1577" i="79"/>
  <c r="I1576" i="79" s="1"/>
  <c r="I1573" i="79" s="1"/>
  <c r="I1332" i="79"/>
  <c r="I1426" i="79"/>
  <c r="I1073" i="79"/>
  <c r="I1072" i="79" s="1"/>
  <c r="I1291" i="79"/>
  <c r="I900" i="79"/>
  <c r="I335" i="79"/>
  <c r="I379" i="79"/>
  <c r="I683" i="79"/>
  <c r="I789" i="79"/>
  <c r="I469" i="79"/>
  <c r="I629" i="79"/>
  <c r="I826" i="79"/>
  <c r="I1147" i="79"/>
  <c r="I402" i="79"/>
  <c r="I513" i="79"/>
  <c r="I312" i="79"/>
  <c r="I268" i="79"/>
  <c r="I201" i="79"/>
  <c r="I1471" i="79"/>
  <c r="I1467" i="79"/>
  <c r="I1287" i="79"/>
  <c r="I1036" i="79"/>
  <c r="I1035" i="79" s="1"/>
  <c r="I1184" i="79"/>
  <c r="I223" i="79"/>
  <c r="I446" i="79"/>
  <c r="I2006" i="79"/>
  <c r="I1724" i="79"/>
  <c r="I1723" i="79" s="1"/>
  <c r="I1715" i="79" s="1"/>
  <c r="I937" i="79"/>
  <c r="I1110" i="79"/>
  <c r="D74" i="52"/>
  <c r="AI52" i="52"/>
  <c r="AO64" i="52"/>
  <c r="C86" i="79"/>
  <c r="B86" i="79" s="1"/>
  <c r="C61" i="79"/>
  <c r="B42" i="79"/>
  <c r="AL95" i="52"/>
  <c r="AI95" i="52"/>
  <c r="AH95" i="52"/>
  <c r="AG95" i="52"/>
  <c r="AF95" i="52"/>
  <c r="AK95" i="52"/>
  <c r="AJ95" i="52"/>
  <c r="B73" i="52"/>
  <c r="AH94" i="52"/>
  <c r="AL94" i="52"/>
  <c r="AK94" i="52"/>
  <c r="AJ94" i="52"/>
  <c r="AI94" i="52"/>
  <c r="AG94" i="52"/>
  <c r="AF94" i="52"/>
  <c r="B161" i="52"/>
  <c r="B276" i="52"/>
  <c r="AG75" i="52"/>
  <c r="AF75" i="52"/>
  <c r="B172" i="52"/>
  <c r="B11" i="52"/>
  <c r="B32" i="52"/>
  <c r="B53" i="52"/>
  <c r="H201" i="54" a="1"/>
  <c r="H201" i="54" s="1"/>
  <c r="C201" i="54" a="1"/>
  <c r="C201" i="54" s="1"/>
  <c r="B201" i="54" s="1"/>
  <c r="C288" i="54" a="1"/>
  <c r="C288" i="54" s="1"/>
  <c r="D288" i="54" s="1"/>
  <c r="A289" i="54"/>
  <c r="G14" i="62"/>
  <c r="J12" i="9"/>
  <c r="H23" i="9"/>
  <c r="I15" i="9"/>
  <c r="G153" i="9"/>
  <c r="G87" i="9"/>
  <c r="G96" i="9"/>
  <c r="G65" i="9"/>
  <c r="G156" i="9"/>
  <c r="H111" i="9"/>
  <c r="H115" i="9" s="1"/>
  <c r="H1590" i="79"/>
  <c r="I292" i="79"/>
  <c r="I314" i="79"/>
  <c r="I270" i="79"/>
  <c r="I337" i="79"/>
  <c r="I359" i="79"/>
  <c r="I381" i="79"/>
  <c r="X64" i="52"/>
  <c r="AN64" i="52" s="1"/>
  <c r="X60" i="52"/>
  <c r="X20" i="52"/>
  <c r="G1704" i="79"/>
  <c r="G1622" i="79"/>
  <c r="G1620" i="79" s="1"/>
  <c r="G1567" i="79" s="1"/>
  <c r="Y60" i="52"/>
  <c r="G1574" i="79"/>
  <c r="G1572" i="79" s="1"/>
  <c r="G1564" i="79" s="1"/>
  <c r="G1764" i="79"/>
  <c r="G1590" i="79"/>
  <c r="G1588" i="79" s="1"/>
  <c r="G1565" i="79" s="1"/>
  <c r="B781" i="79"/>
  <c r="H1638" i="79"/>
  <c r="H1574" i="79"/>
  <c r="X42" i="52"/>
  <c r="AN42" i="52" s="1"/>
  <c r="G1719" i="79"/>
  <c r="G1372" i="79"/>
  <c r="X250" i="52"/>
  <c r="X24" i="52" s="1"/>
  <c r="AO230" i="52"/>
  <c r="AO226" i="52"/>
  <c r="Y20" i="52"/>
  <c r="G423" i="79"/>
  <c r="G420" i="79" s="1"/>
  <c r="G1417" i="79"/>
  <c r="AO203" i="52"/>
  <c r="Y38" i="52"/>
  <c r="AO227" i="52"/>
  <c r="Y42" i="52"/>
  <c r="AO42" i="52" s="1"/>
  <c r="AO229" i="52"/>
  <c r="AN210" i="52"/>
  <c r="X61" i="52"/>
  <c r="AN212" i="52"/>
  <c r="AN209" i="52"/>
  <c r="X39" i="52"/>
  <c r="AN211" i="52"/>
  <c r="AN208" i="52"/>
  <c r="X17" i="52"/>
  <c r="X214" i="52"/>
  <c r="X218" i="52"/>
  <c r="X215" i="52"/>
  <c r="X216" i="52"/>
  <c r="X217" i="52"/>
  <c r="G1327" i="79"/>
  <c r="X254" i="52"/>
  <c r="X253" i="52"/>
  <c r="AN253" i="52" s="1"/>
  <c r="X252" i="52"/>
  <c r="AN252" i="52" s="1"/>
  <c r="D408" i="59"/>
  <c r="F479" i="59" a="1"/>
  <c r="F479" i="59" s="1"/>
  <c r="F521" i="59" s="1"/>
  <c r="D521" i="59" s="1"/>
  <c r="C480" i="59"/>
  <c r="T236" i="59"/>
  <c r="U89" i="59"/>
  <c r="D422" i="59"/>
  <c r="F499" i="59"/>
  <c r="U237" i="59"/>
  <c r="V90" i="59"/>
  <c r="V176" i="59"/>
  <c r="C649" i="59"/>
  <c r="F648" i="59" a="1"/>
  <c r="F648" i="59" s="1"/>
  <c r="D648" i="59" s="1"/>
  <c r="U229" i="59"/>
  <c r="V82" i="59"/>
  <c r="D413" i="59"/>
  <c r="U222" i="59"/>
  <c r="F540" i="59"/>
  <c r="F582" i="59" s="1"/>
  <c r="D498" i="59"/>
  <c r="X63" i="59"/>
  <c r="S64" i="59"/>
  <c r="D415" i="59"/>
  <c r="D410" i="59"/>
  <c r="T223" i="59"/>
  <c r="T224" i="59" s="1"/>
  <c r="T225" i="59" s="1"/>
  <c r="Y112" i="59"/>
  <c r="Y113" i="59"/>
  <c r="Z109" i="59"/>
  <c r="V177" i="59"/>
  <c r="D411" i="59"/>
  <c r="W6" i="59"/>
  <c r="J58" i="9"/>
  <c r="CL172" i="9"/>
  <c r="J172" i="9"/>
  <c r="BR172" i="9"/>
  <c r="AX172" i="9"/>
  <c r="AD172" i="9"/>
  <c r="D407" i="59"/>
  <c r="W234" i="59"/>
  <c r="X87" i="59"/>
  <c r="D423" i="59"/>
  <c r="D421" i="59"/>
  <c r="D414" i="59"/>
  <c r="D538" i="59"/>
  <c r="F559" i="59"/>
  <c r="D416" i="59"/>
  <c r="D417" i="59"/>
  <c r="D405" i="59"/>
  <c r="W103" i="59"/>
  <c r="X99" i="59"/>
  <c r="W102" i="59"/>
  <c r="D409" i="59"/>
  <c r="D497" i="59"/>
  <c r="F539" i="59"/>
  <c r="F581" i="59" s="1"/>
  <c r="D418" i="59"/>
  <c r="D420" i="59"/>
  <c r="D412" i="59"/>
  <c r="H24" i="9"/>
  <c r="I16" i="9"/>
  <c r="G402" i="9"/>
  <c r="G361" i="9"/>
  <c r="G390" i="9"/>
  <c r="G368" i="9"/>
  <c r="G349" i="9"/>
  <c r="Q651" i="59"/>
  <c r="N650" i="59"/>
  <c r="X235" i="52"/>
  <c r="AN235" i="52" s="1"/>
  <c r="X232" i="52"/>
  <c r="X21" i="52" s="1"/>
  <c r="F334" i="54"/>
  <c r="I335" i="54"/>
  <c r="H446" i="54" a="1"/>
  <c r="H446" i="54" s="1"/>
  <c r="A447" i="54"/>
  <c r="C446" i="54" a="1"/>
  <c r="C446" i="54" s="1"/>
  <c r="B446" i="54" s="1"/>
  <c r="H118" i="54" a="1"/>
  <c r="H118" i="54" s="1"/>
  <c r="A119" i="54"/>
  <c r="C118" i="54" a="1"/>
  <c r="C118" i="54" s="1"/>
  <c r="B118" i="54" s="1"/>
  <c r="P113" i="54"/>
  <c r="B332" i="54"/>
  <c r="H492" i="54" a="1"/>
  <c r="H492" i="54" s="1"/>
  <c r="A493" i="54"/>
  <c r="C492" i="54" a="1"/>
  <c r="C492" i="54" s="1"/>
  <c r="B28" i="54"/>
  <c r="C70" i="54"/>
  <c r="B70" i="54" s="1"/>
  <c r="H472" i="54" a="1"/>
  <c r="H472" i="54" s="1"/>
  <c r="C472" i="54" a="1"/>
  <c r="C472" i="54" s="1"/>
  <c r="A473" i="54"/>
  <c r="E225" i="54"/>
  <c r="E288" i="54"/>
  <c r="B287" i="54"/>
  <c r="E44" i="54"/>
  <c r="E41" i="54"/>
  <c r="E45" i="54" s="1"/>
  <c r="E86" i="54"/>
  <c r="E83" i="54"/>
  <c r="E87" i="54" s="1"/>
  <c r="B491" i="54"/>
  <c r="C10" i="54" a="1"/>
  <c r="C10" i="54" s="1"/>
  <c r="C52" i="54" s="1"/>
  <c r="B52" i="54" s="1"/>
  <c r="A11" i="54"/>
  <c r="A203" i="54"/>
  <c r="C202" i="54" a="1"/>
  <c r="C202" i="54" s="1"/>
  <c r="B202" i="54" s="1"/>
  <c r="H202" i="54" a="1"/>
  <c r="H202" i="54" s="1"/>
  <c r="E23" i="54"/>
  <c r="E20" i="54"/>
  <c r="E24" i="54" s="1"/>
  <c r="E246" i="54"/>
  <c r="E107" i="54"/>
  <c r="E104" i="54"/>
  <c r="E108" i="54" s="1"/>
  <c r="B29" i="54"/>
  <c r="C71" i="54"/>
  <c r="B71" i="54" s="1"/>
  <c r="B9" i="54"/>
  <c r="C30" i="54"/>
  <c r="C69" i="54"/>
  <c r="B69" i="54" s="1"/>
  <c r="B27" i="54"/>
  <c r="A30" i="54"/>
  <c r="H180" i="54" a="1"/>
  <c r="H180" i="54" s="1"/>
  <c r="A181" i="54"/>
  <c r="C180" i="54" a="1"/>
  <c r="C180" i="54" s="1"/>
  <c r="B180" i="54" s="1"/>
  <c r="E334" i="54"/>
  <c r="A74" i="54"/>
  <c r="C138" i="54" a="1"/>
  <c r="C138" i="54" s="1"/>
  <c r="B138" i="54" s="1"/>
  <c r="A139" i="54"/>
  <c r="H138" i="54" a="1"/>
  <c r="H138" i="54" s="1"/>
  <c r="B223" i="54"/>
  <c r="C364" i="54" a="1"/>
  <c r="C364" i="54" s="1"/>
  <c r="A365" i="54"/>
  <c r="H364" i="54" a="1"/>
  <c r="H364" i="54" s="1"/>
  <c r="B307" i="54"/>
  <c r="C386" i="54" a="1"/>
  <c r="C386" i="54" s="1"/>
  <c r="A387" i="54"/>
  <c r="H386" i="54" a="1"/>
  <c r="H386" i="54" s="1"/>
  <c r="A225" i="54"/>
  <c r="C224" i="54" a="1"/>
  <c r="C224" i="54" s="1"/>
  <c r="D224" i="54" s="1"/>
  <c r="A309" i="54"/>
  <c r="C308" i="54" a="1"/>
  <c r="C308" i="54" s="1"/>
  <c r="D308" i="54" s="1"/>
  <c r="C93" i="54" a="1"/>
  <c r="C93" i="54" s="1"/>
  <c r="B93" i="54" s="1"/>
  <c r="A94" i="54"/>
  <c r="A427" i="54"/>
  <c r="H426" i="54" a="1"/>
  <c r="H426" i="54" s="1"/>
  <c r="C426" i="54" a="1"/>
  <c r="C426" i="54" s="1"/>
  <c r="B426" i="54" s="1"/>
  <c r="A334" i="54"/>
  <c r="C333" i="54" a="1"/>
  <c r="C333" i="54" s="1"/>
  <c r="D333" i="54" s="1"/>
  <c r="C247" i="54" a="1"/>
  <c r="C247" i="54" s="1"/>
  <c r="D247" i="54" s="1"/>
  <c r="A248" i="54"/>
  <c r="E311" i="54"/>
  <c r="X234" i="52"/>
  <c r="AN234" i="52" s="1"/>
  <c r="X233" i="52"/>
  <c r="AN233" i="52" s="1"/>
  <c r="G1462" i="79"/>
  <c r="C133" i="79"/>
  <c r="B127" i="79"/>
  <c r="C134" i="79"/>
  <c r="B128" i="79"/>
  <c r="C83" i="79"/>
  <c r="B39" i="79"/>
  <c r="B137" i="79"/>
  <c r="C148" i="79"/>
  <c r="C76" i="79"/>
  <c r="B82" i="79"/>
  <c r="C129" i="79"/>
  <c r="B123" i="79"/>
  <c r="B124" i="79"/>
  <c r="C130" i="79"/>
  <c r="H407" i="79"/>
  <c r="J175" i="79"/>
  <c r="J533" i="79" s="1"/>
  <c r="H429" i="79"/>
  <c r="J493" i="79"/>
  <c r="J494" i="79"/>
  <c r="J427" i="79"/>
  <c r="J425" i="79" s="1"/>
  <c r="J293" i="79"/>
  <c r="J226" i="79"/>
  <c r="J360" i="79"/>
  <c r="L178" i="79"/>
  <c r="I527" i="79"/>
  <c r="I483" i="79"/>
  <c r="I438" i="79"/>
  <c r="I304" i="79"/>
  <c r="I393" i="79"/>
  <c r="I259" i="79"/>
  <c r="I215" i="79"/>
  <c r="I326" i="79"/>
  <c r="I505" i="79"/>
  <c r="I460" i="79"/>
  <c r="I349" i="79"/>
  <c r="I416" i="79"/>
  <c r="I282" i="79"/>
  <c r="I237" i="79"/>
  <c r="I371" i="79"/>
  <c r="I247" i="79"/>
  <c r="I203" i="79"/>
  <c r="I225" i="79"/>
  <c r="I224" i="79" s="1"/>
  <c r="H362" i="79"/>
  <c r="H496" i="79"/>
  <c r="J516" i="79"/>
  <c r="J248" i="79"/>
  <c r="J382" i="79"/>
  <c r="J449" i="79"/>
  <c r="J447" i="79" s="1"/>
  <c r="J315" i="79"/>
  <c r="AN251" i="52"/>
  <c r="X46" i="52"/>
  <c r="AN46" i="52" s="1"/>
  <c r="K2479" i="79" l="1"/>
  <c r="L668" i="79"/>
  <c r="L666" i="79" s="1"/>
  <c r="L2368" i="79"/>
  <c r="L2347" i="79" s="1"/>
  <c r="I2347" i="79"/>
  <c r="H2347" i="79"/>
  <c r="G2368" i="79"/>
  <c r="G2347" i="79" s="1"/>
  <c r="J2368" i="79"/>
  <c r="J2347" i="79" s="1"/>
  <c r="K2347" i="79"/>
  <c r="M2368" i="79"/>
  <c r="M2347" i="79" s="1"/>
  <c r="I246" i="79"/>
  <c r="I258" i="79" s="1"/>
  <c r="G236" i="79"/>
  <c r="G200" i="79"/>
  <c r="G197" i="79" s="1"/>
  <c r="L695" i="79"/>
  <c r="L693" i="79" s="1"/>
  <c r="K614" i="79"/>
  <c r="K612" i="79" s="1"/>
  <c r="K2396" i="79"/>
  <c r="K2394" i="79" s="1"/>
  <c r="K2380" i="79" s="1"/>
  <c r="K2377" i="79" s="1"/>
  <c r="K641" i="79"/>
  <c r="K639" i="79" s="1"/>
  <c r="L2396" i="79"/>
  <c r="L2394" i="79" s="1"/>
  <c r="L2380" i="79" s="1"/>
  <c r="L2377" i="79" s="1"/>
  <c r="L641" i="79"/>
  <c r="L639" i="79" s="1"/>
  <c r="G2396" i="79"/>
  <c r="G2394" i="79" s="1"/>
  <c r="G2380" i="79" s="1"/>
  <c r="G641" i="79"/>
  <c r="G639" i="79" s="1"/>
  <c r="I2396" i="79"/>
  <c r="I2394" i="79" s="1"/>
  <c r="I2380" i="79" s="1"/>
  <c r="I2377" i="79" s="1"/>
  <c r="I641" i="79"/>
  <c r="I639" i="79" s="1"/>
  <c r="H2396" i="79"/>
  <c r="H2394" i="79" s="1"/>
  <c r="H2380" i="79" s="1"/>
  <c r="H2377" i="79" s="1"/>
  <c r="H641" i="79"/>
  <c r="H639" i="79" s="1"/>
  <c r="M2396" i="79"/>
  <c r="M2394" i="79" s="1"/>
  <c r="M2380" i="79" s="1"/>
  <c r="M2377" i="79" s="1"/>
  <c r="M641" i="79"/>
  <c r="M639" i="79" s="1"/>
  <c r="J2396" i="79"/>
  <c r="J2394" i="79" s="1"/>
  <c r="J2380" i="79" s="1"/>
  <c r="J2377" i="79" s="1"/>
  <c r="J641" i="79"/>
  <c r="J639" i="79" s="1"/>
  <c r="I695" i="79"/>
  <c r="I693" i="79" s="1"/>
  <c r="M695" i="79"/>
  <c r="M693" i="79" s="1"/>
  <c r="H614" i="79"/>
  <c r="H612" i="79" s="1"/>
  <c r="G614" i="79"/>
  <c r="G612" i="79" s="1"/>
  <c r="H668" i="79"/>
  <c r="H666" i="79" s="1"/>
  <c r="G668" i="79"/>
  <c r="G666" i="79" s="1"/>
  <c r="H695" i="79"/>
  <c r="H693" i="79" s="1"/>
  <c r="K722" i="79"/>
  <c r="K720" i="79" s="1"/>
  <c r="M614" i="79"/>
  <c r="M612" i="79" s="1"/>
  <c r="G695" i="79"/>
  <c r="G693" i="79" s="1"/>
  <c r="I722" i="79"/>
  <c r="I720" i="79" s="1"/>
  <c r="J722" i="79"/>
  <c r="J720" i="79" s="1"/>
  <c r="I2515" i="79"/>
  <c r="I2513" i="79" s="1"/>
  <c r="M668" i="79"/>
  <c r="M666" i="79" s="1"/>
  <c r="G722" i="79"/>
  <c r="G720" i="79" s="1"/>
  <c r="L722" i="79"/>
  <c r="L720" i="79" s="1"/>
  <c r="H722" i="79"/>
  <c r="H720" i="79" s="1"/>
  <c r="Y254" i="52"/>
  <c r="Y112" i="52" s="1"/>
  <c r="L614" i="79"/>
  <c r="L612" i="79" s="1"/>
  <c r="M722" i="79"/>
  <c r="M720" i="79" s="1"/>
  <c r="K695" i="79"/>
  <c r="K693" i="79" s="1"/>
  <c r="K668" i="79"/>
  <c r="K666" i="79" s="1"/>
  <c r="I614" i="79"/>
  <c r="I612" i="79" s="1"/>
  <c r="J695" i="79"/>
  <c r="J693" i="79" s="1"/>
  <c r="J2515" i="79"/>
  <c r="J2513" i="79" s="1"/>
  <c r="J668" i="79"/>
  <c r="J666" i="79" s="1"/>
  <c r="I668" i="79"/>
  <c r="I666" i="79" s="1"/>
  <c r="K2515" i="79"/>
  <c r="K2513" i="79" s="1"/>
  <c r="J614" i="79"/>
  <c r="J612" i="79" s="1"/>
  <c r="G2515" i="79"/>
  <c r="G2513" i="79" s="1"/>
  <c r="H2515" i="79"/>
  <c r="H2513" i="79" s="1"/>
  <c r="L2515" i="79"/>
  <c r="L2513" i="79" s="1"/>
  <c r="M2515" i="79"/>
  <c r="M2513" i="79" s="1"/>
  <c r="Y252" i="52"/>
  <c r="Y68" i="52" s="1"/>
  <c r="AO68" i="52" s="1"/>
  <c r="Y253" i="52"/>
  <c r="AO253" i="52" s="1"/>
  <c r="Y250" i="52"/>
  <c r="Y24" i="52" s="1"/>
  <c r="AO24" i="52" s="1"/>
  <c r="Y46" i="52"/>
  <c r="AO46" i="52" s="1"/>
  <c r="H879" i="79"/>
  <c r="H877" i="79" s="1"/>
  <c r="H860" i="79" s="1"/>
  <c r="H1397" i="79"/>
  <c r="H1395" i="79" s="1"/>
  <c r="H1370" i="79" s="1"/>
  <c r="H1126" i="79"/>
  <c r="H1124" i="79" s="1"/>
  <c r="H1107" i="79" s="1"/>
  <c r="I916" i="79"/>
  <c r="I914" i="79" s="1"/>
  <c r="I897" i="79" s="1"/>
  <c r="I1442" i="79"/>
  <c r="I1440" i="79" s="1"/>
  <c r="I1415" i="79" s="1"/>
  <c r="I1163" i="79"/>
  <c r="I1161" i="79" s="1"/>
  <c r="I1144" i="79" s="1"/>
  <c r="G953" i="79"/>
  <c r="G951" i="79" s="1"/>
  <c r="G934" i="79" s="1"/>
  <c r="G1200" i="79"/>
  <c r="G1198" i="79" s="1"/>
  <c r="G1181" i="79" s="1"/>
  <c r="G1487" i="79"/>
  <c r="G1485" i="79" s="1"/>
  <c r="G1460" i="79" s="1"/>
  <c r="I805" i="79"/>
  <c r="I803" i="79" s="1"/>
  <c r="I786" i="79" s="1"/>
  <c r="I1052" i="79"/>
  <c r="I1050" i="79" s="1"/>
  <c r="I1033" i="79" s="1"/>
  <c r="I1307" i="79"/>
  <c r="I1305" i="79" s="1"/>
  <c r="I1280" i="79" s="1"/>
  <c r="G916" i="79"/>
  <c r="G914" i="79" s="1"/>
  <c r="G897" i="79" s="1"/>
  <c r="G1442" i="79"/>
  <c r="G1440" i="79" s="1"/>
  <c r="G1415" i="79" s="1"/>
  <c r="G1163" i="79"/>
  <c r="G1161" i="79" s="1"/>
  <c r="G1144" i="79" s="1"/>
  <c r="H805" i="79"/>
  <c r="H803" i="79" s="1"/>
  <c r="H786" i="79" s="1"/>
  <c r="H1307" i="79"/>
  <c r="H1305" i="79" s="1"/>
  <c r="H1280" i="79" s="1"/>
  <c r="H1052" i="79"/>
  <c r="H1050" i="79" s="1"/>
  <c r="H1033" i="79" s="1"/>
  <c r="I953" i="79"/>
  <c r="I951" i="79" s="1"/>
  <c r="I934" i="79" s="1"/>
  <c r="I1487" i="79"/>
  <c r="I1485" i="79" s="1"/>
  <c r="I1460" i="79" s="1"/>
  <c r="I1200" i="79"/>
  <c r="I1198" i="79" s="1"/>
  <c r="I1181" i="79" s="1"/>
  <c r="I879" i="79"/>
  <c r="I877" i="79" s="1"/>
  <c r="I860" i="79" s="1"/>
  <c r="I1397" i="79"/>
  <c r="I1395" i="79" s="1"/>
  <c r="I1370" i="79" s="1"/>
  <c r="I1126" i="79"/>
  <c r="I1124" i="79" s="1"/>
  <c r="I1107" i="79" s="1"/>
  <c r="G879" i="79"/>
  <c r="G877" i="79" s="1"/>
  <c r="G860" i="79" s="1"/>
  <c r="G1397" i="79"/>
  <c r="G1395" i="79" s="1"/>
  <c r="G1370" i="79" s="1"/>
  <c r="G1126" i="79"/>
  <c r="G1124" i="79" s="1"/>
  <c r="G1107" i="79" s="1"/>
  <c r="H842" i="79"/>
  <c r="H840" i="79" s="1"/>
  <c r="H823" i="79" s="1"/>
  <c r="H1352" i="79"/>
  <c r="H1350" i="79" s="1"/>
  <c r="H1325" i="79" s="1"/>
  <c r="H1089" i="79"/>
  <c r="H1087" i="79" s="1"/>
  <c r="H1070" i="79" s="1"/>
  <c r="I842" i="79"/>
  <c r="I840" i="79" s="1"/>
  <c r="I823" i="79" s="1"/>
  <c r="I1352" i="79"/>
  <c r="I1350" i="79" s="1"/>
  <c r="I1325" i="79" s="1"/>
  <c r="I1089" i="79"/>
  <c r="I1087" i="79" s="1"/>
  <c r="I1070" i="79" s="1"/>
  <c r="G842" i="79"/>
  <c r="G840" i="79" s="1"/>
  <c r="G823" i="79" s="1"/>
  <c r="G1352" i="79"/>
  <c r="G1350" i="79" s="1"/>
  <c r="G1325" i="79" s="1"/>
  <c r="G1089" i="79"/>
  <c r="G1087" i="79" s="1"/>
  <c r="G1070" i="79" s="1"/>
  <c r="H953" i="79"/>
  <c r="H951" i="79" s="1"/>
  <c r="H934" i="79" s="1"/>
  <c r="H1200" i="79"/>
  <c r="H1198" i="79" s="1"/>
  <c r="H1181" i="79" s="1"/>
  <c r="H1487" i="79"/>
  <c r="H1485" i="79" s="1"/>
  <c r="H1460" i="79" s="1"/>
  <c r="G805" i="79"/>
  <c r="G803" i="79" s="1"/>
  <c r="G786" i="79" s="1"/>
  <c r="G1307" i="79"/>
  <c r="G1305" i="79" s="1"/>
  <c r="G1280" i="79" s="1"/>
  <c r="G1052" i="79"/>
  <c r="G1050" i="79" s="1"/>
  <c r="G1033" i="79" s="1"/>
  <c r="H916" i="79"/>
  <c r="H914" i="79" s="1"/>
  <c r="H897" i="79" s="1"/>
  <c r="H1442" i="79"/>
  <c r="H1440" i="79" s="1"/>
  <c r="H1415" i="79" s="1"/>
  <c r="H1163" i="79"/>
  <c r="H1161" i="79" s="1"/>
  <c r="H1144" i="79" s="1"/>
  <c r="J1538" i="79"/>
  <c r="J1539" i="79"/>
  <c r="J1540" i="79"/>
  <c r="J1541" i="79"/>
  <c r="J1542" i="79"/>
  <c r="CI320" i="9"/>
  <c r="AA320" i="9"/>
  <c r="CI307" i="9"/>
  <c r="CI283" i="9"/>
  <c r="CI284" i="9"/>
  <c r="CI319" i="9"/>
  <c r="CI306" i="9"/>
  <c r="BO307" i="9"/>
  <c r="BO306" i="9"/>
  <c r="AU320" i="9"/>
  <c r="BO319" i="9"/>
  <c r="BO320" i="9"/>
  <c r="BO283" i="9"/>
  <c r="BO284" i="9"/>
  <c r="AU319" i="9"/>
  <c r="AU307" i="9"/>
  <c r="AA307" i="9"/>
  <c r="AU284" i="9"/>
  <c r="AU306" i="9"/>
  <c r="AU283" i="9"/>
  <c r="AA284" i="9"/>
  <c r="AA283" i="9"/>
  <c r="AA319" i="9"/>
  <c r="AA306" i="9"/>
  <c r="J471" i="79"/>
  <c r="J515" i="79"/>
  <c r="I2914" i="79"/>
  <c r="I2844" i="79"/>
  <c r="I2984" i="79"/>
  <c r="I17" i="9"/>
  <c r="I67" i="9" s="1"/>
  <c r="I78" i="9" s="1"/>
  <c r="G97" i="9"/>
  <c r="G157" i="9"/>
  <c r="G155" i="9" s="1"/>
  <c r="G154" i="9"/>
  <c r="I2593" i="79"/>
  <c r="I2581" i="79" s="1"/>
  <c r="I2641" i="79"/>
  <c r="I2629" i="79" s="1"/>
  <c r="I2545" i="79"/>
  <c r="I2533" i="79" s="1"/>
  <c r="J2569" i="79"/>
  <c r="J2557" i="79" s="1"/>
  <c r="I2569" i="79"/>
  <c r="I2557" i="79" s="1"/>
  <c r="I2554" i="79" s="1"/>
  <c r="I2524" i="79" s="1"/>
  <c r="I2617" i="79"/>
  <c r="I2605" i="79" s="1"/>
  <c r="I2602" i="79" s="1"/>
  <c r="G64" i="9"/>
  <c r="H77" i="9"/>
  <c r="H66" i="9"/>
  <c r="I127" i="9"/>
  <c r="CL31" i="10"/>
  <c r="CR31" i="10" s="1"/>
  <c r="CL32" i="10"/>
  <c r="CR32" i="10" s="1"/>
  <c r="CL11" i="10"/>
  <c r="CR11" i="10" s="1"/>
  <c r="G320" i="9"/>
  <c r="G284" i="9"/>
  <c r="G319" i="9"/>
  <c r="G306" i="9"/>
  <c r="G283" i="9"/>
  <c r="DC11" i="10"/>
  <c r="DC32" i="10"/>
  <c r="CW32" i="10"/>
  <c r="DC31" i="10"/>
  <c r="CQ31" i="10"/>
  <c r="CW31" i="10"/>
  <c r="CQ32" i="10"/>
  <c r="CW11" i="10"/>
  <c r="V4" i="8"/>
  <c r="W4" i="8" s="1" a="1"/>
  <c r="W4" i="8" s="1"/>
  <c r="Q3" i="8"/>
  <c r="R3" i="8"/>
  <c r="P3" i="8"/>
  <c r="O3" i="8"/>
  <c r="T3" i="8"/>
  <c r="S3" i="8"/>
  <c r="N3" i="8"/>
  <c r="H1719" i="79"/>
  <c r="G466" i="79"/>
  <c r="E364" i="54"/>
  <c r="D363" i="54"/>
  <c r="E448" i="54"/>
  <c r="D447" i="54"/>
  <c r="E385" i="54"/>
  <c r="D384" i="54"/>
  <c r="B363" i="54"/>
  <c r="E417" i="54"/>
  <c r="D416" i="54"/>
  <c r="B384" i="54"/>
  <c r="E427" i="54"/>
  <c r="D426" i="54"/>
  <c r="B385" i="54"/>
  <c r="I76" i="37"/>
  <c r="G265" i="79"/>
  <c r="H146" i="9"/>
  <c r="L446" i="54"/>
  <c r="K446" i="54"/>
  <c r="Q446" i="54"/>
  <c r="R446" i="54" s="1"/>
  <c r="S446" i="54" s="1"/>
  <c r="T446" i="54" s="1"/>
  <c r="U446" i="54" s="1"/>
  <c r="V446" i="54" s="1"/>
  <c r="N446" i="54"/>
  <c r="M446" i="54"/>
  <c r="P446" i="54"/>
  <c r="O446" i="54"/>
  <c r="P492" i="54"/>
  <c r="Q492" i="54"/>
  <c r="R492" i="54" s="1"/>
  <c r="S492" i="54" s="1"/>
  <c r="T492" i="54" s="1"/>
  <c r="U492" i="54" s="1"/>
  <c r="V492" i="54" s="1"/>
  <c r="K492" i="54"/>
  <c r="L492" i="54"/>
  <c r="M492" i="54"/>
  <c r="N492" i="54"/>
  <c r="O492" i="54"/>
  <c r="I201" i="9"/>
  <c r="I197" i="9"/>
  <c r="Z201" i="9"/>
  <c r="Z197" i="9"/>
  <c r="Z79" i="9"/>
  <c r="Z68" i="9"/>
  <c r="Z203" i="9"/>
  <c r="Z202" i="9"/>
  <c r="I79" i="9"/>
  <c r="I28" i="56"/>
  <c r="Y215" i="52"/>
  <c r="AO215" i="52" s="1"/>
  <c r="G1348" i="79"/>
  <c r="G1346" i="79" s="1"/>
  <c r="G1324" i="79" s="1"/>
  <c r="G1159" i="79"/>
  <c r="G1438" i="79"/>
  <c r="G1122" i="79"/>
  <c r="G1120" i="79" s="1"/>
  <c r="G1106" i="79" s="1"/>
  <c r="G1393" i="79"/>
  <c r="G1048" i="79"/>
  <c r="G1046" i="79" s="1"/>
  <c r="G1032" i="79" s="1"/>
  <c r="G1303" i="79"/>
  <c r="G838" i="79"/>
  <c r="G836" i="79" s="1"/>
  <c r="G822" i="79" s="1"/>
  <c r="G1085" i="79"/>
  <c r="G1083" i="79" s="1"/>
  <c r="G1069" i="79" s="1"/>
  <c r="G912" i="79"/>
  <c r="G910" i="79" s="1"/>
  <c r="G896" i="79" s="1"/>
  <c r="G875" i="79"/>
  <c r="G801" i="79"/>
  <c r="G307" i="9"/>
  <c r="N521" i="54"/>
  <c r="N520" i="54"/>
  <c r="N515" i="54"/>
  <c r="N514" i="54"/>
  <c r="N517" i="54"/>
  <c r="N511" i="54"/>
  <c r="N518" i="54"/>
  <c r="AG136" i="52"/>
  <c r="AG134" i="52"/>
  <c r="AG126" i="52"/>
  <c r="L489" i="54"/>
  <c r="H53" i="56"/>
  <c r="I53" i="56"/>
  <c r="J28" i="56"/>
  <c r="J20" i="56" s="1"/>
  <c r="J53" i="56"/>
  <c r="H28" i="56"/>
  <c r="G75" i="9"/>
  <c r="H249" i="9"/>
  <c r="I73" i="9"/>
  <c r="I248" i="9"/>
  <c r="I93" i="9"/>
  <c r="AI6" i="8"/>
  <c r="AH5" i="8"/>
  <c r="AB6" i="8"/>
  <c r="AB5" i="8" s="1"/>
  <c r="AA5" i="8"/>
  <c r="S5" i="8"/>
  <c r="T6" i="8"/>
  <c r="T5" i="8" s="1"/>
  <c r="G287" i="79"/>
  <c r="I130" i="9"/>
  <c r="I126" i="9"/>
  <c r="I163" i="9"/>
  <c r="J9" i="9"/>
  <c r="J68" i="9" s="1"/>
  <c r="I129" i="9"/>
  <c r="I84" i="9"/>
  <c r="H1764" i="79"/>
  <c r="H1759" i="79"/>
  <c r="H1696" i="79" s="1"/>
  <c r="L252" i="37"/>
  <c r="N528" i="54" s="1"/>
  <c r="AF123" i="52"/>
  <c r="X131" i="52"/>
  <c r="AG119" i="52"/>
  <c r="AH133" i="52"/>
  <c r="X134" i="52"/>
  <c r="H1699" i="79"/>
  <c r="H1692" i="79" s="1"/>
  <c r="AF127" i="52"/>
  <c r="AO16" i="52"/>
  <c r="J70" i="37"/>
  <c r="K470" i="54"/>
  <c r="X130" i="52"/>
  <c r="AF131" i="52"/>
  <c r="AG120" i="52"/>
  <c r="K469" i="54"/>
  <c r="X127" i="52"/>
  <c r="L470" i="54"/>
  <c r="Y130" i="52"/>
  <c r="AF124" i="52"/>
  <c r="B94" i="52"/>
  <c r="B116" i="52"/>
  <c r="X114" i="52"/>
  <c r="AN114" i="52" s="1"/>
  <c r="AN61" i="52"/>
  <c r="B162" i="52"/>
  <c r="AO38" i="52"/>
  <c r="B74" i="52"/>
  <c r="AH65" i="52"/>
  <c r="AH36" i="52"/>
  <c r="AG35" i="52"/>
  <c r="AG57" i="52"/>
  <c r="AG36" i="52"/>
  <c r="AI23" i="52"/>
  <c r="AH14" i="52"/>
  <c r="AH13" i="52"/>
  <c r="AG14" i="52"/>
  <c r="AG58" i="52"/>
  <c r="AH16" i="52"/>
  <c r="M489" i="54" s="1"/>
  <c r="AH53" i="52"/>
  <c r="AH10" i="52"/>
  <c r="AG17" i="52"/>
  <c r="L490" i="54" s="1"/>
  <c r="AH42" i="52"/>
  <c r="AH9" i="52"/>
  <c r="AH68" i="52"/>
  <c r="AH32" i="52"/>
  <c r="AH75" i="52"/>
  <c r="AH35" i="52"/>
  <c r="AH54" i="52"/>
  <c r="AH21" i="52"/>
  <c r="AH61" i="52"/>
  <c r="AH39" i="52"/>
  <c r="AH20" i="52"/>
  <c r="M491" i="54" s="1"/>
  <c r="AH60" i="52"/>
  <c r="AH24" i="52"/>
  <c r="AH17" i="52"/>
  <c r="M490" i="54" s="1"/>
  <c r="AH43" i="52"/>
  <c r="AH46" i="52"/>
  <c r="AH57" i="52"/>
  <c r="AI45" i="52"/>
  <c r="AH31" i="52"/>
  <c r="AH58" i="52"/>
  <c r="AG21" i="52"/>
  <c r="AG65" i="52"/>
  <c r="AG39" i="52"/>
  <c r="AO39" i="52" s="1"/>
  <c r="AG43" i="52"/>
  <c r="AG61" i="52"/>
  <c r="AG13" i="52"/>
  <c r="B151" i="52"/>
  <c r="B146" i="52"/>
  <c r="J78" i="37"/>
  <c r="H41" i="56"/>
  <c r="H39" i="56"/>
  <c r="H40" i="56"/>
  <c r="I39" i="56"/>
  <c r="I41" i="56"/>
  <c r="I40" i="56"/>
  <c r="J41" i="56"/>
  <c r="J39" i="56"/>
  <c r="J40" i="56"/>
  <c r="J73" i="37"/>
  <c r="J13" i="9"/>
  <c r="K13" i="9" s="1"/>
  <c r="M22" i="80"/>
  <c r="N66" i="37" s="1"/>
  <c r="K1511" i="79"/>
  <c r="M38" i="80"/>
  <c r="M341" i="37"/>
  <c r="K3018" i="79"/>
  <c r="M36" i="80"/>
  <c r="N67" i="37" s="1"/>
  <c r="O516" i="54"/>
  <c r="M39" i="80"/>
  <c r="M181" i="37"/>
  <c r="O519" i="54" s="1"/>
  <c r="K2667" i="79"/>
  <c r="M20" i="80"/>
  <c r="M340" i="37"/>
  <c r="K1224" i="79"/>
  <c r="M24" i="80"/>
  <c r="K1533" i="79"/>
  <c r="M15" i="80"/>
  <c r="M251" i="37"/>
  <c r="O529" i="54" s="1"/>
  <c r="M18" i="80"/>
  <c r="M180" i="37"/>
  <c r="K993" i="79"/>
  <c r="M17" i="80"/>
  <c r="M125" i="37"/>
  <c r="K738" i="79"/>
  <c r="I146" i="9"/>
  <c r="J14" i="9"/>
  <c r="J146" i="9" s="1"/>
  <c r="AN39" i="52"/>
  <c r="E433" i="59"/>
  <c r="E443" i="59"/>
  <c r="E432" i="59"/>
  <c r="E440" i="59"/>
  <c r="E444" i="59"/>
  <c r="E436" i="59"/>
  <c r="E441" i="59"/>
  <c r="E430" i="59"/>
  <c r="E435" i="59"/>
  <c r="E438" i="59"/>
  <c r="E446" i="59"/>
  <c r="E437" i="59"/>
  <c r="E445" i="59"/>
  <c r="E428" i="59"/>
  <c r="E442" i="59"/>
  <c r="E439" i="59"/>
  <c r="E434" i="59"/>
  <c r="E431" i="59"/>
  <c r="AB12" i="10"/>
  <c r="AB13" i="10" s="1"/>
  <c r="BX11" i="10"/>
  <c r="BY11" i="10" s="1"/>
  <c r="M29" i="80"/>
  <c r="L29" i="56"/>
  <c r="J2350" i="79"/>
  <c r="J2349" i="79" s="1"/>
  <c r="J2344" i="79" s="1"/>
  <c r="K2313" i="79"/>
  <c r="K2326" i="79"/>
  <c r="X109" i="52"/>
  <c r="W55" i="59"/>
  <c r="AO208" i="52"/>
  <c r="I10" i="9"/>
  <c r="H159" i="9"/>
  <c r="H49" i="9"/>
  <c r="G15" i="8" s="1"/>
  <c r="AA10" i="9"/>
  <c r="Z88" i="9"/>
  <c r="J2792" i="79"/>
  <c r="M30" i="80"/>
  <c r="Y235" i="52"/>
  <c r="AO235" i="52" s="1"/>
  <c r="AA9" i="9"/>
  <c r="Z12" i="9"/>
  <c r="AA12" i="9" s="1"/>
  <c r="AB12" i="9" s="1"/>
  <c r="B472" i="54"/>
  <c r="K58" i="9"/>
  <c r="AB13" i="9"/>
  <c r="AA166" i="9"/>
  <c r="AB8" i="9"/>
  <c r="AC8" i="9" s="1"/>
  <c r="AD8" i="9" s="1"/>
  <c r="AE8" i="9" s="1"/>
  <c r="AF8" i="9" s="1"/>
  <c r="AG8" i="9" s="1"/>
  <c r="AH8" i="9" s="1"/>
  <c r="AI8" i="9" s="1"/>
  <c r="AJ8" i="9" s="1"/>
  <c r="AK8" i="9" s="1"/>
  <c r="AL8" i="9" s="1"/>
  <c r="AA11" i="9"/>
  <c r="AB11" i="9" s="1"/>
  <c r="AC11" i="9" s="1"/>
  <c r="AD11" i="9" s="1"/>
  <c r="AE11" i="9" s="1"/>
  <c r="AF11" i="9" s="1"/>
  <c r="AG11" i="9" s="1"/>
  <c r="AH11" i="9" s="1"/>
  <c r="AI11" i="9" s="1"/>
  <c r="AJ11" i="9" s="1"/>
  <c r="AK11" i="9" s="1"/>
  <c r="AL11" i="9" s="1"/>
  <c r="Z172" i="9"/>
  <c r="Z180" i="9"/>
  <c r="Z179" i="9"/>
  <c r="Z181" i="9"/>
  <c r="Z178" i="9"/>
  <c r="AA22" i="9"/>
  <c r="AB22" i="9" s="1"/>
  <c r="AC22" i="9" s="1"/>
  <c r="AD22" i="9" s="1"/>
  <c r="AE22" i="9" s="1"/>
  <c r="AF22" i="9" s="1"/>
  <c r="AG22" i="9" s="1"/>
  <c r="AH22" i="9" s="1"/>
  <c r="AI22" i="9" s="1"/>
  <c r="AJ22" i="9" s="1"/>
  <c r="AK22" i="9" s="1"/>
  <c r="AL22" i="9" s="1"/>
  <c r="Z111" i="9"/>
  <c r="Z115" i="9" s="1"/>
  <c r="AA17" i="9"/>
  <c r="AA67" i="9" s="1"/>
  <c r="AA78" i="9" s="1"/>
  <c r="AA15" i="9"/>
  <c r="Z183" i="9"/>
  <c r="Z113" i="9"/>
  <c r="Z106" i="9"/>
  <c r="Z188" i="9"/>
  <c r="Z190" i="9"/>
  <c r="AA19" i="9"/>
  <c r="Z185" i="9"/>
  <c r="AB18" i="9"/>
  <c r="AA58" i="9"/>
  <c r="AA14" i="9"/>
  <c r="Z116" i="9"/>
  <c r="Z82" i="9"/>
  <c r="AA21" i="9"/>
  <c r="AA71" i="9" s="1"/>
  <c r="Z91" i="9"/>
  <c r="Z186" i="9"/>
  <c r="Z191" i="9"/>
  <c r="AA20" i="9"/>
  <c r="Z189" i="9"/>
  <c r="AA16" i="9"/>
  <c r="Z184" i="9"/>
  <c r="Z117" i="9"/>
  <c r="Z107" i="9"/>
  <c r="L104" i="13"/>
  <c r="C102" i="13"/>
  <c r="D104" i="13"/>
  <c r="C104" i="13" s="1"/>
  <c r="I104" i="13"/>
  <c r="X84" i="59"/>
  <c r="Y84" i="59" s="1"/>
  <c r="H1704" i="79"/>
  <c r="AN258" i="52"/>
  <c r="X69" i="52"/>
  <c r="AN69" i="52" s="1"/>
  <c r="AN257" i="52"/>
  <c r="X47" i="52"/>
  <c r="AN47" i="52" s="1"/>
  <c r="Y260" i="52"/>
  <c r="Y258" i="52"/>
  <c r="Y259" i="52"/>
  <c r="AO259" i="52" s="1"/>
  <c r="Y256" i="52"/>
  <c r="AO256" i="52" s="1"/>
  <c r="Y257" i="52"/>
  <c r="AN260" i="52"/>
  <c r="X113" i="52"/>
  <c r="AN113" i="52" s="1"/>
  <c r="X86" i="59"/>
  <c r="X233" i="59" s="1"/>
  <c r="X83" i="59"/>
  <c r="Y83" i="59" s="1"/>
  <c r="X85" i="59"/>
  <c r="N157" i="37" s="1"/>
  <c r="N163" i="37" s="1"/>
  <c r="N190" i="37" s="1"/>
  <c r="W232" i="59"/>
  <c r="AO210" i="52"/>
  <c r="H1729" i="79"/>
  <c r="H1694" i="79" s="1"/>
  <c r="H1734" i="79"/>
  <c r="AO212" i="52"/>
  <c r="H2747" i="79"/>
  <c r="H2724" i="79"/>
  <c r="G2747" i="79"/>
  <c r="G2701" i="79"/>
  <c r="G2672" i="79" s="1"/>
  <c r="G2724" i="79"/>
  <c r="H2530" i="79"/>
  <c r="H2554" i="79"/>
  <c r="H2524" i="79" s="1"/>
  <c r="G2770" i="79"/>
  <c r="H2701" i="79"/>
  <c r="H2672" i="79" s="1"/>
  <c r="H2770" i="79"/>
  <c r="AO211" i="52"/>
  <c r="Y17" i="52"/>
  <c r="Y127" i="52" s="1"/>
  <c r="I3189" i="79"/>
  <c r="G1636" i="79"/>
  <c r="G1568" i="79" s="1"/>
  <c r="I3549" i="79"/>
  <c r="Z265" i="52" s="1"/>
  <c r="AP265" i="52" s="1"/>
  <c r="J3551" i="79"/>
  <c r="J3549" i="79" s="1"/>
  <c r="J3191" i="79"/>
  <c r="K2995" i="79"/>
  <c r="AJ241" i="52"/>
  <c r="AJ242" i="52"/>
  <c r="AJ238" i="52"/>
  <c r="AJ239" i="52"/>
  <c r="AJ240" i="52"/>
  <c r="M569" i="79"/>
  <c r="M561" i="79"/>
  <c r="H1637" i="79"/>
  <c r="I1637" i="79"/>
  <c r="Y232" i="52"/>
  <c r="Y21" i="52" s="1"/>
  <c r="Y233" i="52"/>
  <c r="AO233" i="52" s="1"/>
  <c r="Y234" i="52"/>
  <c r="AO234" i="52" s="1"/>
  <c r="Y236" i="52"/>
  <c r="M562" i="79"/>
  <c r="M568" i="79"/>
  <c r="M570" i="79"/>
  <c r="AO209" i="52"/>
  <c r="AP212" i="52"/>
  <c r="Y218" i="52"/>
  <c r="L562" i="79"/>
  <c r="Y214" i="52"/>
  <c r="AO214" i="52" s="1"/>
  <c r="Y217" i="52"/>
  <c r="AO217" i="52" s="1"/>
  <c r="Y216" i="52"/>
  <c r="AO216" i="52" s="1"/>
  <c r="L541" i="79"/>
  <c r="L540" i="79"/>
  <c r="I534" i="79"/>
  <c r="I535" i="79"/>
  <c r="L563" i="79"/>
  <c r="L569" i="79"/>
  <c r="L568" i="79"/>
  <c r="L561" i="79"/>
  <c r="J3205" i="79"/>
  <c r="J3195" i="79" s="1"/>
  <c r="AP210" i="52"/>
  <c r="AP211" i="52"/>
  <c r="J3565" i="79"/>
  <c r="J3210" i="79"/>
  <c r="AP209" i="52"/>
  <c r="G370" i="79"/>
  <c r="G354" i="79" s="1"/>
  <c r="G352" i="79" s="1"/>
  <c r="G351" i="79" s="1"/>
  <c r="J2918" i="79"/>
  <c r="J3120" i="79"/>
  <c r="J3116" i="79" s="1"/>
  <c r="K2953" i="79"/>
  <c r="K3152" i="79"/>
  <c r="K3148" i="79" s="1"/>
  <c r="J2988" i="79"/>
  <c r="J3184" i="79"/>
  <c r="J3180" i="79" s="1"/>
  <c r="I3466" i="79"/>
  <c r="I3475" i="79"/>
  <c r="I3094" i="79"/>
  <c r="I3104" i="79"/>
  <c r="AH25" i="52"/>
  <c r="I3522" i="79"/>
  <c r="I3531" i="79"/>
  <c r="AH113" i="52"/>
  <c r="I3419" i="79"/>
  <c r="I3410" i="79"/>
  <c r="AH47" i="52"/>
  <c r="I3126" i="79"/>
  <c r="I3136" i="79"/>
  <c r="AH69" i="52"/>
  <c r="I3494" i="79"/>
  <c r="I3503" i="79"/>
  <c r="J3075" i="79"/>
  <c r="J3074" i="79" s="1"/>
  <c r="J3139" i="79"/>
  <c r="J3138" i="79" s="1"/>
  <c r="J3478" i="79"/>
  <c r="J3477" i="79" s="1"/>
  <c r="J3107" i="79"/>
  <c r="J3106" i="79" s="1"/>
  <c r="J3422" i="79"/>
  <c r="J3421" i="79" s="1"/>
  <c r="J3534" i="79"/>
  <c r="J3533" i="79" s="1"/>
  <c r="J3506" i="79"/>
  <c r="J3505" i="79" s="1"/>
  <c r="J3450" i="79"/>
  <c r="J3449" i="79" s="1"/>
  <c r="I3062" i="79"/>
  <c r="I3072" i="79"/>
  <c r="I3438" i="79"/>
  <c r="I3447" i="79"/>
  <c r="X48" i="52"/>
  <c r="AN48" i="52" s="1"/>
  <c r="AP208" i="52"/>
  <c r="X112" i="52"/>
  <c r="AH26" i="52"/>
  <c r="AH48" i="52"/>
  <c r="AN262" i="52"/>
  <c r="X26" i="52"/>
  <c r="X25" i="52"/>
  <c r="H3168" i="79"/>
  <c r="H3158" i="79"/>
  <c r="H3040" i="79"/>
  <c r="H3030" i="79"/>
  <c r="J3171" i="79"/>
  <c r="J3043" i="79"/>
  <c r="I3042" i="79"/>
  <c r="I3170" i="79"/>
  <c r="J3325" i="79"/>
  <c r="J3324" i="79" s="1"/>
  <c r="J3317" i="79" s="1"/>
  <c r="J3356" i="79"/>
  <c r="J3355" i="79" s="1"/>
  <c r="J3348" i="79" s="1"/>
  <c r="J3294" i="79"/>
  <c r="J3293" i="79" s="1"/>
  <c r="J3286" i="79" s="1"/>
  <c r="J3263" i="79"/>
  <c r="J3262" i="79" s="1"/>
  <c r="J3255" i="79" s="1"/>
  <c r="J3352" i="79"/>
  <c r="J3351" i="79" s="1"/>
  <c r="J3347" i="79" s="1"/>
  <c r="J3259" i="79"/>
  <c r="J3258" i="79" s="1"/>
  <c r="J3254" i="79" s="1"/>
  <c r="J3290" i="79"/>
  <c r="J3289" i="79" s="1"/>
  <c r="J3285" i="79" s="1"/>
  <c r="J3321" i="79"/>
  <c r="J3320" i="79" s="1"/>
  <c r="J3316" i="79" s="1"/>
  <c r="I3372" i="79"/>
  <c r="I3341" i="79"/>
  <c r="I3279" i="79"/>
  <c r="I2929" i="79"/>
  <c r="I2924" i="79"/>
  <c r="I2964" i="79"/>
  <c r="I2959" i="79"/>
  <c r="I2854" i="79"/>
  <c r="I2859" i="79"/>
  <c r="J2965" i="79"/>
  <c r="J2860" i="79"/>
  <c r="J2895" i="79"/>
  <c r="J2930" i="79"/>
  <c r="I2894" i="79"/>
  <c r="I2889" i="79"/>
  <c r="J2549" i="79"/>
  <c r="J2848" i="79"/>
  <c r="I2819" i="79"/>
  <c r="H1572" i="79"/>
  <c r="H1564" i="79" s="1"/>
  <c r="J2744" i="79"/>
  <c r="J2742" i="79" s="1"/>
  <c r="J2727" i="79" s="1"/>
  <c r="J2597" i="79"/>
  <c r="J2790" i="79"/>
  <c r="J2788" i="79" s="1"/>
  <c r="J2773" i="79" s="1"/>
  <c r="J2645" i="79"/>
  <c r="J2647" i="79"/>
  <c r="K2767" i="79"/>
  <c r="K2765" i="79" s="1"/>
  <c r="K2750" i="79" s="1"/>
  <c r="K2621" i="79"/>
  <c r="J2599" i="79"/>
  <c r="J2623" i="79"/>
  <c r="J2584" i="79"/>
  <c r="J2583" i="79" s="1"/>
  <c r="J2579" i="79" s="1"/>
  <c r="J2632" i="79"/>
  <c r="J2631" i="79" s="1"/>
  <c r="J2627" i="79" s="1"/>
  <c r="J2608" i="79"/>
  <c r="J2607" i="79" s="1"/>
  <c r="J2603" i="79" s="1"/>
  <c r="J2560" i="79"/>
  <c r="J2559" i="79" s="1"/>
  <c r="J2555" i="79" s="1"/>
  <c r="G267" i="79"/>
  <c r="G264" i="79" s="1"/>
  <c r="I2724" i="79"/>
  <c r="J3398" i="79"/>
  <c r="I2747" i="79"/>
  <c r="I2701" i="79"/>
  <c r="I2770" i="79"/>
  <c r="J2785" i="79"/>
  <c r="J2784" i="79" s="1"/>
  <c r="J2771" i="79" s="1"/>
  <c r="J2762" i="79"/>
  <c r="J2761" i="79" s="1"/>
  <c r="J2748" i="79" s="1"/>
  <c r="J2739" i="79"/>
  <c r="J2738" i="79" s="1"/>
  <c r="J2725" i="79" s="1"/>
  <c r="J2716" i="79"/>
  <c r="J2715" i="79" s="1"/>
  <c r="J2702" i="79" s="1"/>
  <c r="G214" i="79"/>
  <c r="G198" i="79" s="1"/>
  <c r="G196" i="79" s="1"/>
  <c r="G222" i="79"/>
  <c r="G219" i="79" s="1"/>
  <c r="G220" i="79"/>
  <c r="G415" i="79"/>
  <c r="G399" i="79" s="1"/>
  <c r="G397" i="79" s="1"/>
  <c r="G396" i="79" s="1"/>
  <c r="I1183" i="79"/>
  <c r="J535" i="79"/>
  <c r="J534" i="79"/>
  <c r="I1109" i="79"/>
  <c r="H1604" i="79"/>
  <c r="H1566" i="79" s="1"/>
  <c r="I1113" i="79"/>
  <c r="I1150" i="79"/>
  <c r="I1146" i="79"/>
  <c r="G348" i="79"/>
  <c r="G332" i="79" s="1"/>
  <c r="G330" i="79" s="1"/>
  <c r="H492" i="79"/>
  <c r="H358" i="79"/>
  <c r="H356" i="79" s="1"/>
  <c r="H474" i="79"/>
  <c r="H106" i="79" s="1"/>
  <c r="H470" i="79"/>
  <c r="G289" i="79"/>
  <c r="G286" i="79" s="1"/>
  <c r="H403" i="79"/>
  <c r="H401" i="79" s="1"/>
  <c r="H398" i="79" s="1"/>
  <c r="I1187" i="79"/>
  <c r="H340" i="79"/>
  <c r="H104" i="79" s="1"/>
  <c r="H336" i="79"/>
  <c r="H334" i="79" s="1"/>
  <c r="H317" i="79"/>
  <c r="H115" i="79" s="1"/>
  <c r="H313" i="79"/>
  <c r="H295" i="79"/>
  <c r="H109" i="79" s="1"/>
  <c r="H291" i="79"/>
  <c r="H303" i="79" s="1"/>
  <c r="H273" i="79"/>
  <c r="H103" i="79" s="1"/>
  <c r="H269" i="79"/>
  <c r="H281" i="79" s="1"/>
  <c r="I202" i="79"/>
  <c r="M1231" i="79"/>
  <c r="L1213" i="79"/>
  <c r="Z250" i="52"/>
  <c r="Z24" i="52" s="1"/>
  <c r="H110" i="79"/>
  <c r="Z215" i="52"/>
  <c r="G2061" i="79"/>
  <c r="G2092" i="79"/>
  <c r="L2061" i="79"/>
  <c r="L2092" i="79"/>
  <c r="J2061" i="79"/>
  <c r="J2092" i="79"/>
  <c r="K2061" i="79"/>
  <c r="K2092" i="79"/>
  <c r="I2061" i="79"/>
  <c r="I2092" i="79"/>
  <c r="H2061" i="79"/>
  <c r="H2092" i="79"/>
  <c r="M2286" i="79"/>
  <c r="M2141" i="79" s="1"/>
  <c r="I2287" i="79"/>
  <c r="I2147" i="79" s="1"/>
  <c r="I2058" i="79"/>
  <c r="I2089" i="79"/>
  <c r="I2060" i="79"/>
  <c r="I2091" i="79"/>
  <c r="L2060" i="79"/>
  <c r="L2091" i="79"/>
  <c r="M2060" i="79"/>
  <c r="M2091" i="79"/>
  <c r="J2060" i="79"/>
  <c r="J2091" i="79"/>
  <c r="K2060" i="79"/>
  <c r="K2091" i="79"/>
  <c r="H2060" i="79"/>
  <c r="H2091" i="79"/>
  <c r="G2060" i="79"/>
  <c r="G2091" i="79"/>
  <c r="G2058" i="79"/>
  <c r="G2089" i="79"/>
  <c r="M2059" i="79"/>
  <c r="M2090" i="79"/>
  <c r="M2058" i="79"/>
  <c r="M2089" i="79"/>
  <c r="K2059" i="79"/>
  <c r="K2090" i="79"/>
  <c r="K2058" i="79"/>
  <c r="K2089" i="79"/>
  <c r="J2059" i="79"/>
  <c r="J2090" i="79"/>
  <c r="H2059" i="79"/>
  <c r="H2090" i="79"/>
  <c r="L2059" i="79"/>
  <c r="L2090" i="79"/>
  <c r="I2059" i="79"/>
  <c r="I2090" i="79"/>
  <c r="G2059" i="79"/>
  <c r="G2090" i="79"/>
  <c r="J2058" i="79"/>
  <c r="J2089" i="79"/>
  <c r="H2058" i="79"/>
  <c r="H2089" i="79"/>
  <c r="L2211" i="79"/>
  <c r="L2138" i="79" s="1"/>
  <c r="H1620" i="79"/>
  <c r="H1567" i="79" s="1"/>
  <c r="H2057" i="79"/>
  <c r="H2088" i="79"/>
  <c r="K2057" i="79"/>
  <c r="K2088" i="79"/>
  <c r="M2057" i="79"/>
  <c r="M2088" i="79"/>
  <c r="J2057" i="79"/>
  <c r="J2088" i="79"/>
  <c r="L2057" i="79"/>
  <c r="L2088" i="79"/>
  <c r="I2057" i="79"/>
  <c r="I2088" i="79"/>
  <c r="G2057" i="79"/>
  <c r="G2088" i="79"/>
  <c r="K1402" i="79"/>
  <c r="K1357" i="79"/>
  <c r="K1447" i="79"/>
  <c r="K1312" i="79"/>
  <c r="K1492" i="79"/>
  <c r="J3012" i="79"/>
  <c r="H1588" i="79"/>
  <c r="H1565" i="79" s="1"/>
  <c r="J1956" i="79"/>
  <c r="J1936" i="79"/>
  <c r="K1125" i="79"/>
  <c r="K1195" i="79"/>
  <c r="K1162" i="79"/>
  <c r="K1199" i="79"/>
  <c r="K1084" i="79"/>
  <c r="K1051" i="79"/>
  <c r="K1047" i="79"/>
  <c r="K1158" i="79"/>
  <c r="K1088" i="79"/>
  <c r="K1121" i="79"/>
  <c r="C79" i="79"/>
  <c r="B79" i="79" s="1"/>
  <c r="G250" i="79"/>
  <c r="G566" i="79"/>
  <c r="G451" i="79"/>
  <c r="G150" i="9"/>
  <c r="AA150" i="9"/>
  <c r="AI70" i="52"/>
  <c r="AI114" i="52"/>
  <c r="J2016" i="79"/>
  <c r="Z39" i="52"/>
  <c r="J2205" i="79"/>
  <c r="J2280" i="79"/>
  <c r="J2255" i="79"/>
  <c r="J1996" i="79"/>
  <c r="J2230" i="79"/>
  <c r="J1976" i="79"/>
  <c r="Y263" i="52"/>
  <c r="Y264" i="52"/>
  <c r="Y70" i="52" s="1"/>
  <c r="AO70" i="52" s="1"/>
  <c r="Y265" i="52"/>
  <c r="AO265" i="52" s="1"/>
  <c r="Y266" i="52"/>
  <c r="Y262" i="52"/>
  <c r="AN264" i="52"/>
  <c r="AN263" i="52"/>
  <c r="AN266" i="52"/>
  <c r="I2015" i="79"/>
  <c r="I2001" i="79" s="1"/>
  <c r="I1878" i="79" s="1"/>
  <c r="K113" i="37"/>
  <c r="K127" i="37" s="1"/>
  <c r="I3227" i="79"/>
  <c r="I3223" i="79" s="1"/>
  <c r="Z105" i="52"/>
  <c r="I2279" i="79"/>
  <c r="I2260" i="79" s="1"/>
  <c r="I2134" i="79" s="1"/>
  <c r="I1995" i="79"/>
  <c r="I1981" i="79" s="1"/>
  <c r="I1877" i="79" s="1"/>
  <c r="I2229" i="79"/>
  <c r="I2210" i="79" s="1"/>
  <c r="I2132" i="79" s="1"/>
  <c r="I2254" i="79"/>
  <c r="I2235" i="79" s="1"/>
  <c r="I2133" i="79" s="1"/>
  <c r="Z61" i="52"/>
  <c r="K116" i="37"/>
  <c r="K130" i="37" s="1"/>
  <c r="K47" i="37"/>
  <c r="K75" i="37" s="1"/>
  <c r="K50" i="37"/>
  <c r="K72" i="37" s="1"/>
  <c r="I1975" i="79"/>
  <c r="I1961" i="79" s="1"/>
  <c r="I1876" i="79" s="1"/>
  <c r="J1645" i="79"/>
  <c r="J1644" i="79" s="1"/>
  <c r="J1613" i="79"/>
  <c r="J1612" i="79" s="1"/>
  <c r="J1629" i="79"/>
  <c r="J1628" i="79" s="1"/>
  <c r="J1581" i="79"/>
  <c r="J1580" i="79" s="1"/>
  <c r="J1597" i="79"/>
  <c r="J1596" i="79" s="1"/>
  <c r="I3231" i="79"/>
  <c r="I3224" i="79" s="1"/>
  <c r="K114" i="37"/>
  <c r="K128" i="37" s="1"/>
  <c r="K48" i="37"/>
  <c r="K76" i="37" s="1"/>
  <c r="J2251" i="79"/>
  <c r="J2249" i="79" s="1"/>
  <c r="J2237" i="79" s="1"/>
  <c r="J2145" i="79" s="1"/>
  <c r="J2096" i="79" s="1"/>
  <c r="J2301" i="79"/>
  <c r="J2299" i="79" s="1"/>
  <c r="L1044" i="79"/>
  <c r="L1118" i="79"/>
  <c r="L1081" i="79"/>
  <c r="L1155" i="79"/>
  <c r="L1192" i="79"/>
  <c r="J3229" i="79"/>
  <c r="L108" i="37"/>
  <c r="J3281" i="79"/>
  <c r="L110" i="37"/>
  <c r="J2885" i="79"/>
  <c r="J2879" i="79" s="1"/>
  <c r="L107" i="37"/>
  <c r="I1935" i="79"/>
  <c r="I1921" i="79" s="1"/>
  <c r="I1647" i="79"/>
  <c r="I1638" i="79" s="1"/>
  <c r="Z203" i="52"/>
  <c r="Z38" i="52" s="1"/>
  <c r="Z206" i="52"/>
  <c r="Z202" i="52"/>
  <c r="Z16" i="52" s="1"/>
  <c r="Z205" i="52"/>
  <c r="AP205" i="52" s="1"/>
  <c r="Z204" i="52"/>
  <c r="Z60" i="52" s="1"/>
  <c r="K1687" i="79"/>
  <c r="K3559" i="79"/>
  <c r="K3554" i="79" s="1"/>
  <c r="J3391" i="79"/>
  <c r="K2652" i="79"/>
  <c r="K2650" i="79" s="1"/>
  <c r="AI254" i="52"/>
  <c r="AI164" i="52"/>
  <c r="AI253" i="52"/>
  <c r="AI170" i="52"/>
  <c r="AI163" i="52"/>
  <c r="AI252" i="52"/>
  <c r="AI169" i="52"/>
  <c r="AI162" i="52"/>
  <c r="AI251" i="52"/>
  <c r="AI168" i="52"/>
  <c r="AI161" i="52"/>
  <c r="AI250" i="52"/>
  <c r="AI167" i="52"/>
  <c r="AI160" i="52"/>
  <c r="AI166" i="52"/>
  <c r="AA208" i="52"/>
  <c r="AA17" i="52" s="1"/>
  <c r="AA209" i="52"/>
  <c r="AA39" i="52" s="1"/>
  <c r="AA212" i="52"/>
  <c r="AA211" i="52"/>
  <c r="AA210" i="52"/>
  <c r="AA61" i="52" s="1"/>
  <c r="K1774" i="79"/>
  <c r="BS172" i="9"/>
  <c r="I1380" i="79"/>
  <c r="I1765" i="79"/>
  <c r="I1761" i="79" s="1"/>
  <c r="CM172" i="9"/>
  <c r="K187" i="37"/>
  <c r="D582" i="59"/>
  <c r="F624" i="59"/>
  <c r="D624" i="59" s="1"/>
  <c r="D581" i="59"/>
  <c r="F623" i="59"/>
  <c r="D623" i="59" s="1"/>
  <c r="K49" i="37"/>
  <c r="K115" i="37"/>
  <c r="K129" i="37" s="1"/>
  <c r="K51" i="37"/>
  <c r="K79" i="37" s="1"/>
  <c r="K117" i="37"/>
  <c r="K131" i="37" s="1"/>
  <c r="I1599" i="79"/>
  <c r="I1590" i="79" s="1"/>
  <c r="I1588" i="79" s="1"/>
  <c r="I1565" i="79" s="1"/>
  <c r="J11" i="56"/>
  <c r="K11" i="56" s="1"/>
  <c r="L11" i="56" s="1"/>
  <c r="M11" i="56" s="1"/>
  <c r="I1583" i="79"/>
  <c r="I1574" i="79" s="1"/>
  <c r="I1572" i="79" s="1"/>
  <c r="I1564" i="79" s="1"/>
  <c r="I1470" i="79"/>
  <c r="I1631" i="79"/>
  <c r="I1622" i="79" s="1"/>
  <c r="I1620" i="79" s="1"/>
  <c r="I1567" i="79" s="1"/>
  <c r="I1615" i="79"/>
  <c r="I1606" i="79" s="1"/>
  <c r="I1604" i="79" s="1"/>
  <c r="I1566" i="79" s="1"/>
  <c r="I682" i="79"/>
  <c r="J990" i="79"/>
  <c r="J1649" i="79"/>
  <c r="J1633" i="79"/>
  <c r="J1221" i="79"/>
  <c r="J1530" i="79"/>
  <c r="J1617" i="79"/>
  <c r="J1508" i="79"/>
  <c r="J1585" i="79"/>
  <c r="J1601" i="79"/>
  <c r="I601" i="79"/>
  <c r="AO60" i="52"/>
  <c r="K183" i="37"/>
  <c r="K184" i="37"/>
  <c r="I1335" i="79"/>
  <c r="I869" i="79"/>
  <c r="I1290" i="79"/>
  <c r="I1283" i="79"/>
  <c r="I1705" i="79"/>
  <c r="I1701" i="79" s="1"/>
  <c r="I1474" i="79"/>
  <c r="I1339" i="79"/>
  <c r="AY172" i="9"/>
  <c r="M164" i="37"/>
  <c r="M191" i="37" s="1"/>
  <c r="M162" i="37"/>
  <c r="M189" i="37" s="1"/>
  <c r="M165" i="37"/>
  <c r="M192" i="37" s="1"/>
  <c r="M163" i="37"/>
  <c r="M190" i="37" s="1"/>
  <c r="M166" i="37"/>
  <c r="M193" i="37" s="1"/>
  <c r="K191" i="37"/>
  <c r="K185" i="37"/>
  <c r="L166" i="37"/>
  <c r="L193" i="37" s="1"/>
  <c r="L164" i="37"/>
  <c r="L163" i="37"/>
  <c r="L162" i="37"/>
  <c r="L183" i="37" s="1"/>
  <c r="L165" i="37"/>
  <c r="K192" i="37"/>
  <c r="K186" i="37"/>
  <c r="K172" i="9"/>
  <c r="AE172" i="9"/>
  <c r="P4" i="54"/>
  <c r="M344" i="37"/>
  <c r="M347" i="37"/>
  <c r="L111" i="37"/>
  <c r="L109" i="37"/>
  <c r="J75" i="37"/>
  <c r="I832" i="79"/>
  <c r="I605" i="79"/>
  <c r="M24" i="37"/>
  <c r="O346" i="37"/>
  <c r="N27" i="37"/>
  <c r="N26" i="37"/>
  <c r="N28" i="37"/>
  <c r="O25" i="37"/>
  <c r="N345" i="37"/>
  <c r="P343" i="37"/>
  <c r="I943" i="79"/>
  <c r="I788" i="79"/>
  <c r="I608" i="79"/>
  <c r="I1750" i="79"/>
  <c r="I1746" i="79" s="1"/>
  <c r="I825" i="79"/>
  <c r="I795" i="79"/>
  <c r="I1720" i="79"/>
  <c r="I1716" i="79" s="1"/>
  <c r="I1294" i="79"/>
  <c r="I1477" i="79"/>
  <c r="I709" i="79"/>
  <c r="I713" i="79"/>
  <c r="I1328" i="79"/>
  <c r="I1429" i="79"/>
  <c r="I1425" i="79"/>
  <c r="I686" i="79"/>
  <c r="I1432" i="79"/>
  <c r="J841" i="79"/>
  <c r="J915" i="79"/>
  <c r="J948" i="79"/>
  <c r="J837" i="79"/>
  <c r="J952" i="79"/>
  <c r="J804" i="79"/>
  <c r="J878" i="79"/>
  <c r="J800" i="79"/>
  <c r="J911" i="79"/>
  <c r="J874" i="79"/>
  <c r="I1384" i="79"/>
  <c r="K3056" i="79"/>
  <c r="K3052" i="79" s="1"/>
  <c r="J2698" i="79"/>
  <c r="J2696" i="79" s="1"/>
  <c r="J2681" i="79" s="1"/>
  <c r="I632" i="79"/>
  <c r="I628" i="79"/>
  <c r="I906" i="79"/>
  <c r="AH38" i="52"/>
  <c r="J1688" i="79"/>
  <c r="AI206" i="52"/>
  <c r="AI205" i="52"/>
  <c r="AI204" i="52"/>
  <c r="AI203" i="52"/>
  <c r="AI202" i="52"/>
  <c r="J938" i="79"/>
  <c r="J940" i="79" s="1"/>
  <c r="J790" i="79"/>
  <c r="J792" i="79" s="1"/>
  <c r="J827" i="79"/>
  <c r="J829" i="79" s="1"/>
  <c r="J864" i="79"/>
  <c r="J866" i="79" s="1"/>
  <c r="J901" i="79"/>
  <c r="J903" i="79" s="1"/>
  <c r="J908" i="79"/>
  <c r="J945" i="79"/>
  <c r="J834" i="79"/>
  <c r="J871" i="79"/>
  <c r="J797" i="79"/>
  <c r="J1337" i="79"/>
  <c r="J1472" i="79"/>
  <c r="J1292" i="79"/>
  <c r="J1427" i="79"/>
  <c r="J1382" i="79"/>
  <c r="I1297" i="79"/>
  <c r="J1786" i="79"/>
  <c r="Z228" i="52"/>
  <c r="Z64" i="52" s="1"/>
  <c r="Z230" i="52"/>
  <c r="Z227" i="52"/>
  <c r="Z42" i="52" s="1"/>
  <c r="Z229" i="52"/>
  <c r="AP229" i="52" s="1"/>
  <c r="Z226" i="52"/>
  <c r="I1463" i="79"/>
  <c r="I1342" i="79"/>
  <c r="I1418" i="79"/>
  <c r="I689" i="79"/>
  <c r="J452" i="79"/>
  <c r="J1751" i="79"/>
  <c r="J1433" i="79"/>
  <c r="J690" i="79"/>
  <c r="J1154" i="79"/>
  <c r="J1153" i="79" s="1"/>
  <c r="J430" i="79"/>
  <c r="J1419" i="79"/>
  <c r="J1632" i="79"/>
  <c r="J907" i="79"/>
  <c r="J408" i="79"/>
  <c r="J190" i="79" s="1"/>
  <c r="J184" i="79" s="1"/>
  <c r="J1298" i="79"/>
  <c r="J1284" i="79"/>
  <c r="J1706" i="79"/>
  <c r="J1043" i="79"/>
  <c r="J1042" i="79" s="1"/>
  <c r="J609" i="79"/>
  <c r="J3236" i="79"/>
  <c r="J3234" i="79" s="1"/>
  <c r="J207" i="79"/>
  <c r="J1584" i="79"/>
  <c r="J2832" i="79"/>
  <c r="J2830" i="79" s="1"/>
  <c r="J2821" i="79" s="1"/>
  <c r="J796" i="79"/>
  <c r="J251" i="79"/>
  <c r="J229" i="79"/>
  <c r="I635" i="79"/>
  <c r="I1373" i="79"/>
  <c r="K2831" i="79"/>
  <c r="J718" i="79"/>
  <c r="J691" i="79"/>
  <c r="J610" i="79"/>
  <c r="J637" i="79"/>
  <c r="J664" i="79"/>
  <c r="AI227" i="52"/>
  <c r="AI226" i="52"/>
  <c r="AI230" i="52"/>
  <c r="AI229" i="52"/>
  <c r="AI228" i="52"/>
  <c r="J1787" i="79"/>
  <c r="I1387" i="79"/>
  <c r="AH64" i="52"/>
  <c r="J2276" i="79"/>
  <c r="J2274" i="79" s="1"/>
  <c r="J2262" i="79" s="1"/>
  <c r="J2146" i="79" s="1"/>
  <c r="J2097" i="79" s="1"/>
  <c r="J2201" i="79"/>
  <c r="J2199" i="79" s="1"/>
  <c r="J2187" i="79" s="1"/>
  <c r="J2143" i="79" s="1"/>
  <c r="J2094" i="79" s="1"/>
  <c r="J711" i="79"/>
  <c r="J657" i="79"/>
  <c r="J630" i="79"/>
  <c r="J603" i="79"/>
  <c r="J684" i="79"/>
  <c r="J1077" i="79"/>
  <c r="J1076" i="79" s="1"/>
  <c r="J1040" i="79"/>
  <c r="J1039" i="79" s="1"/>
  <c r="J1151" i="79"/>
  <c r="J1150" i="79" s="1"/>
  <c r="J1188" i="79"/>
  <c r="J1187" i="79" s="1"/>
  <c r="J1114" i="79"/>
  <c r="J1113" i="79" s="1"/>
  <c r="I655" i="79"/>
  <c r="J921" i="79"/>
  <c r="J884" i="79"/>
  <c r="J958" i="79"/>
  <c r="J810" i="79"/>
  <c r="J847" i="79"/>
  <c r="J2847" i="79"/>
  <c r="J1707" i="79"/>
  <c r="J1737" i="79"/>
  <c r="J1465" i="79"/>
  <c r="J1752" i="79"/>
  <c r="J1420" i="79"/>
  <c r="J1285" i="79"/>
  <c r="J1375" i="79"/>
  <c r="J1767" i="79"/>
  <c r="J1722" i="79"/>
  <c r="J1330" i="79"/>
  <c r="J2826" i="79"/>
  <c r="J3232" i="79"/>
  <c r="I659" i="79"/>
  <c r="J1351" i="79"/>
  <c r="J1441" i="79"/>
  <c r="J1486" i="79"/>
  <c r="J1302" i="79"/>
  <c r="J1306" i="79"/>
  <c r="J1482" i="79"/>
  <c r="J1347" i="79"/>
  <c r="J1392" i="79"/>
  <c r="J1396" i="79"/>
  <c r="J1437" i="79"/>
  <c r="J1434" i="79"/>
  <c r="J1479" i="79"/>
  <c r="J1344" i="79"/>
  <c r="J1389" i="79"/>
  <c r="J1299" i="79"/>
  <c r="I662" i="79"/>
  <c r="K1976" i="79"/>
  <c r="K1996" i="79"/>
  <c r="K2255" i="79"/>
  <c r="K2305" i="79"/>
  <c r="K2205" i="79"/>
  <c r="K1936" i="79"/>
  <c r="K2230" i="79"/>
  <c r="K1956" i="79"/>
  <c r="K2016" i="79"/>
  <c r="K2280" i="79"/>
  <c r="J1094" i="79"/>
  <c r="J1205" i="79"/>
  <c r="J1168" i="79"/>
  <c r="J1057" i="79"/>
  <c r="J1131" i="79"/>
  <c r="J1117" i="79"/>
  <c r="J1116" i="79" s="1"/>
  <c r="J341" i="79"/>
  <c r="J189" i="79" s="1"/>
  <c r="J183" i="79" s="1"/>
  <c r="J1388" i="79"/>
  <c r="J363" i="79"/>
  <c r="J1374" i="79"/>
  <c r="J663" i="79"/>
  <c r="J385" i="79"/>
  <c r="J1736" i="79"/>
  <c r="J870" i="79"/>
  <c r="J1616" i="79"/>
  <c r="J1340" i="79"/>
  <c r="J1385" i="79"/>
  <c r="J1430" i="79"/>
  <c r="J1475" i="79"/>
  <c r="J1295" i="79"/>
  <c r="K1185" i="79"/>
  <c r="K1148" i="79"/>
  <c r="K1111" i="79"/>
  <c r="K1074" i="79"/>
  <c r="K1037" i="79"/>
  <c r="I1735" i="79"/>
  <c r="I1731" i="79" s="1"/>
  <c r="H1695" i="79"/>
  <c r="K26" i="56"/>
  <c r="K27" i="56"/>
  <c r="K52" i="56"/>
  <c r="K51" i="56"/>
  <c r="G1694" i="79"/>
  <c r="L21" i="9"/>
  <c r="K71" i="9"/>
  <c r="D48" i="56"/>
  <c r="B48" i="56" s="1"/>
  <c r="D43" i="56"/>
  <c r="B42" i="56"/>
  <c r="B35" i="56"/>
  <c r="H417" i="54" a="1"/>
  <c r="H417" i="54" s="1"/>
  <c r="A418" i="54"/>
  <c r="C417" i="54" a="1"/>
  <c r="C417" i="54" s="1"/>
  <c r="B417" i="54" s="1"/>
  <c r="Q770" i="59"/>
  <c r="N770" i="59" s="1"/>
  <c r="C770" i="59"/>
  <c r="F769" i="59" a="1"/>
  <c r="F769" i="59" s="1"/>
  <c r="D769" i="59" s="1"/>
  <c r="D746" i="59"/>
  <c r="C748" i="59"/>
  <c r="F747" i="59" a="1"/>
  <c r="F747" i="59" s="1"/>
  <c r="D747" i="59" s="1"/>
  <c r="C727" i="59"/>
  <c r="F726" i="59" a="1"/>
  <c r="F726" i="59" s="1"/>
  <c r="C706" i="59"/>
  <c r="F705" i="59" a="1"/>
  <c r="F705" i="59" s="1"/>
  <c r="D705" i="59" s="1"/>
  <c r="G1696" i="79"/>
  <c r="C685" i="59"/>
  <c r="F684" i="59" a="1"/>
  <c r="F684" i="59" s="1"/>
  <c r="AB14" i="10"/>
  <c r="AB15" i="10" s="1"/>
  <c r="AB16" i="10" s="1"/>
  <c r="G1695" i="79"/>
  <c r="I1745" i="79"/>
  <c r="I1730" i="79"/>
  <c r="I1700" i="79"/>
  <c r="H1693" i="79"/>
  <c r="L1839" i="79"/>
  <c r="L1813" i="79"/>
  <c r="L1841" i="79"/>
  <c r="L1815" i="79"/>
  <c r="G1841" i="79"/>
  <c r="G1815" i="79"/>
  <c r="J1839" i="79"/>
  <c r="J1813" i="79"/>
  <c r="G1839" i="79"/>
  <c r="G1813" i="79"/>
  <c r="K1840" i="79"/>
  <c r="K1814" i="79"/>
  <c r="K1839" i="79"/>
  <c r="K1813" i="79"/>
  <c r="K1841" i="79"/>
  <c r="K1815" i="79"/>
  <c r="J1841" i="79"/>
  <c r="J1815" i="79"/>
  <c r="K1837" i="79"/>
  <c r="K1811" i="79"/>
  <c r="L1837" i="79"/>
  <c r="L1811" i="79"/>
  <c r="G1840" i="79"/>
  <c r="G1814" i="79"/>
  <c r="H1839" i="79"/>
  <c r="H1813" i="79"/>
  <c r="K1838" i="79"/>
  <c r="K1812" i="79"/>
  <c r="H1840" i="79"/>
  <c r="H1814" i="79"/>
  <c r="I1840" i="79"/>
  <c r="I1814" i="79"/>
  <c r="M1841" i="79"/>
  <c r="M1815" i="79"/>
  <c r="I1838" i="79"/>
  <c r="I1812" i="79"/>
  <c r="H1838" i="79"/>
  <c r="H1812" i="79"/>
  <c r="I1837" i="79"/>
  <c r="I1811" i="79"/>
  <c r="M1839" i="79"/>
  <c r="M1813" i="79"/>
  <c r="I1841" i="79"/>
  <c r="I1815" i="79"/>
  <c r="M1838" i="79"/>
  <c r="M1812" i="79"/>
  <c r="J1837" i="79"/>
  <c r="J1811" i="79"/>
  <c r="G1838" i="79"/>
  <c r="G1812" i="79"/>
  <c r="M1840" i="79"/>
  <c r="M1814" i="79"/>
  <c r="L1838" i="79"/>
  <c r="L1812" i="79"/>
  <c r="H1841" i="79"/>
  <c r="H1815" i="79"/>
  <c r="I1839" i="79"/>
  <c r="I1813" i="79"/>
  <c r="J1838" i="79"/>
  <c r="J1812" i="79"/>
  <c r="H1837" i="79"/>
  <c r="H1811" i="79"/>
  <c r="L1840" i="79"/>
  <c r="L1814" i="79"/>
  <c r="J1840" i="79"/>
  <c r="J1814" i="79"/>
  <c r="G1837" i="79"/>
  <c r="G1811" i="79"/>
  <c r="G1826" i="79"/>
  <c r="G1827" i="79"/>
  <c r="G1825" i="79"/>
  <c r="G1959" i="79"/>
  <c r="G1864" i="79" s="1"/>
  <c r="H1871" i="79"/>
  <c r="H1999" i="79"/>
  <c r="H2003" i="79" s="1"/>
  <c r="H1872" i="79"/>
  <c r="H1959" i="79"/>
  <c r="H1963" i="79" s="1"/>
  <c r="H1870" i="79"/>
  <c r="G1999" i="79"/>
  <c r="G1866" i="79" s="1"/>
  <c r="G1872" i="79"/>
  <c r="G1979" i="79"/>
  <c r="G1865" i="79" s="1"/>
  <c r="G1871" i="79"/>
  <c r="H1939" i="79"/>
  <c r="H1943" i="79" s="1"/>
  <c r="H1869" i="79"/>
  <c r="H1868" i="79"/>
  <c r="G1939" i="79"/>
  <c r="G1863" i="79" s="1"/>
  <c r="H1979" i="79"/>
  <c r="H1865" i="79" s="1"/>
  <c r="H1923" i="79"/>
  <c r="H2094" i="79"/>
  <c r="H2063" i="79"/>
  <c r="G2096" i="79"/>
  <c r="G2065" i="79"/>
  <c r="I2096" i="79"/>
  <c r="I2065" i="79"/>
  <c r="H2095" i="79"/>
  <c r="H2064" i="79"/>
  <c r="I2094" i="79"/>
  <c r="I2063" i="79"/>
  <c r="H2096" i="79"/>
  <c r="H2065" i="79"/>
  <c r="I2097" i="79"/>
  <c r="I2066" i="79"/>
  <c r="H2098" i="79"/>
  <c r="H2067" i="79"/>
  <c r="G2097" i="79"/>
  <c r="G2066" i="79"/>
  <c r="G2098" i="79"/>
  <c r="G2067" i="79"/>
  <c r="B60" i="79"/>
  <c r="B148" i="79"/>
  <c r="C155" i="79"/>
  <c r="Y108" i="52"/>
  <c r="G2143" i="79"/>
  <c r="G2144" i="79"/>
  <c r="H2258" i="79"/>
  <c r="H2122" i="79" s="1"/>
  <c r="H2146" i="79"/>
  <c r="G2208" i="79"/>
  <c r="G2258" i="79"/>
  <c r="G2283" i="79"/>
  <c r="G2233" i="79"/>
  <c r="H2233" i="79"/>
  <c r="H2208" i="79"/>
  <c r="H2283" i="79"/>
  <c r="I2224" i="79"/>
  <c r="B59" i="79"/>
  <c r="I2289" i="79"/>
  <c r="I2284" i="79" s="1"/>
  <c r="I2129" i="79" s="1"/>
  <c r="I2080" i="79" s="1"/>
  <c r="I2304" i="79"/>
  <c r="I2285" i="79" s="1"/>
  <c r="I2135" i="79" s="1"/>
  <c r="H2183" i="79"/>
  <c r="G2183" i="79"/>
  <c r="C78" i="79"/>
  <c r="B84" i="79"/>
  <c r="G504" i="79"/>
  <c r="C80" i="79"/>
  <c r="B80" i="79" s="1"/>
  <c r="B51" i="79"/>
  <c r="Y104" i="52"/>
  <c r="X105" i="52"/>
  <c r="Y105" i="52"/>
  <c r="AN60" i="52"/>
  <c r="I1955" i="79"/>
  <c r="I1941" i="79" s="1"/>
  <c r="G1919" i="79"/>
  <c r="Z233" i="52"/>
  <c r="AP233" i="52" s="1"/>
  <c r="H2678" i="79"/>
  <c r="G2678" i="79"/>
  <c r="X104" i="52"/>
  <c r="J2990" i="79"/>
  <c r="J3374" i="79"/>
  <c r="J3312" i="79"/>
  <c r="J3310" i="79" s="1"/>
  <c r="J2920" i="79"/>
  <c r="J3250" i="79"/>
  <c r="J3248" i="79" s="1"/>
  <c r="J2850" i="79"/>
  <c r="J2551" i="79"/>
  <c r="J1721" i="79"/>
  <c r="J296" i="79"/>
  <c r="J1343" i="79"/>
  <c r="J318" i="79"/>
  <c r="J1329" i="79"/>
  <c r="J274" i="79"/>
  <c r="J188" i="79" s="1"/>
  <c r="J182" i="79" s="1"/>
  <c r="J1600" i="79"/>
  <c r="J1080" i="79"/>
  <c r="J1079" i="79" s="1"/>
  <c r="J636" i="79"/>
  <c r="J833" i="79"/>
  <c r="J519" i="79"/>
  <c r="J475" i="79"/>
  <c r="J191" i="79" s="1"/>
  <c r="J185" i="79" s="1"/>
  <c r="J1648" i="79"/>
  <c r="J1766" i="79"/>
  <c r="J1191" i="79"/>
  <c r="J1190" i="79" s="1"/>
  <c r="J497" i="79"/>
  <c r="J1478" i="79"/>
  <c r="J717" i="79"/>
  <c r="J1464" i="79"/>
  <c r="J944" i="79"/>
  <c r="J2955" i="79"/>
  <c r="J2949" i="79" s="1"/>
  <c r="J3343" i="79"/>
  <c r="J2806" i="79"/>
  <c r="G1692" i="79"/>
  <c r="J3017" i="79"/>
  <c r="J2666" i="79"/>
  <c r="J2664" i="79" s="1"/>
  <c r="J3397" i="79"/>
  <c r="G468" i="79"/>
  <c r="G465" i="79" s="1"/>
  <c r="I1466" i="79"/>
  <c r="I1421" i="79"/>
  <c r="I1376" i="79"/>
  <c r="I1331" i="79"/>
  <c r="I1286" i="79"/>
  <c r="C70" i="79"/>
  <c r="B70" i="79" s="1"/>
  <c r="I862" i="79"/>
  <c r="I899" i="79"/>
  <c r="I936" i="79"/>
  <c r="I1925" i="79"/>
  <c r="I1985" i="79"/>
  <c r="I2189" i="79"/>
  <c r="I2239" i="79"/>
  <c r="I2234" i="79" s="1"/>
  <c r="I2127" i="79" s="1"/>
  <c r="I2078" i="79" s="1"/>
  <c r="I2214" i="79"/>
  <c r="I2209" i="79" s="1"/>
  <c r="I2126" i="79" s="1"/>
  <c r="I2077" i="79" s="1"/>
  <c r="J204" i="79"/>
  <c r="J472" i="79"/>
  <c r="J405" i="79"/>
  <c r="J271" i="79"/>
  <c r="J338" i="79"/>
  <c r="I1945" i="79"/>
  <c r="I2005" i="79"/>
  <c r="J2324" i="79"/>
  <c r="J2321" i="79" s="1"/>
  <c r="J2311" i="79"/>
  <c r="J2308" i="79" s="1"/>
  <c r="I1965" i="79"/>
  <c r="J2226" i="79"/>
  <c r="J2241" i="79"/>
  <c r="J2291" i="79"/>
  <c r="J2266" i="79"/>
  <c r="J2007" i="79"/>
  <c r="J1947" i="79"/>
  <c r="J1987" i="79"/>
  <c r="J1927" i="79"/>
  <c r="J2191" i="79"/>
  <c r="J2216" i="79"/>
  <c r="J1967" i="79"/>
  <c r="I2264" i="79"/>
  <c r="I2259" i="79" s="1"/>
  <c r="I2128" i="79" s="1"/>
  <c r="I2079" i="79" s="1"/>
  <c r="J687" i="79"/>
  <c r="J606" i="79"/>
  <c r="J660" i="79"/>
  <c r="J633" i="79"/>
  <c r="J714" i="79"/>
  <c r="J727" i="79"/>
  <c r="J646" i="79"/>
  <c r="J619" i="79"/>
  <c r="J673" i="79"/>
  <c r="J700" i="79"/>
  <c r="K1545" i="79"/>
  <c r="K1544" i="79" s="1"/>
  <c r="J1724" i="79"/>
  <c r="J1723" i="79" s="1"/>
  <c r="J1715" i="79" s="1"/>
  <c r="J2290" i="79"/>
  <c r="J1593" i="79"/>
  <c r="J1592" i="79" s="1"/>
  <c r="J1589" i="79" s="1"/>
  <c r="J1946" i="79"/>
  <c r="J357" i="79"/>
  <c r="J1381" i="79"/>
  <c r="J268" i="79"/>
  <c r="J1739" i="79"/>
  <c r="J1738" i="79" s="1"/>
  <c r="J1769" i="79"/>
  <c r="J1768" i="79" s="1"/>
  <c r="J1760" i="79" s="1"/>
  <c r="J2536" i="79"/>
  <c r="J2535" i="79" s="1"/>
  <c r="J2531" i="79" s="1"/>
  <c r="J1073" i="79"/>
  <c r="J1072" i="79" s="1"/>
  <c r="J446" i="79"/>
  <c r="J1966" i="79"/>
  <c r="J402" i="79"/>
  <c r="J1471" i="79"/>
  <c r="J1641" i="79"/>
  <c r="J1640" i="79" s="1"/>
  <c r="J1577" i="79"/>
  <c r="J1576" i="79" s="1"/>
  <c r="J1573" i="79" s="1"/>
  <c r="J1926" i="79"/>
  <c r="J2215" i="79"/>
  <c r="J1709" i="79"/>
  <c r="J1708" i="79" s="1"/>
  <c r="J2190" i="79"/>
  <c r="J2825" i="79"/>
  <c r="J1986" i="79"/>
  <c r="J1625" i="79"/>
  <c r="J1624" i="79" s="1"/>
  <c r="J1621" i="79" s="1"/>
  <c r="J1377" i="79"/>
  <c r="J1426" i="79"/>
  <c r="J2240" i="79"/>
  <c r="J2693" i="79"/>
  <c r="J2692" i="79" s="1"/>
  <c r="J2679" i="79" s="1"/>
  <c r="J3228" i="79"/>
  <c r="J335" i="79"/>
  <c r="J2006" i="79"/>
  <c r="J1291" i="79"/>
  <c r="J1147" i="79"/>
  <c r="J1146" i="79" s="1"/>
  <c r="J710" i="79"/>
  <c r="J789" i="79"/>
  <c r="J900" i="79"/>
  <c r="J1609" i="79"/>
  <c r="J1608" i="79" s="1"/>
  <c r="J1605" i="79" s="1"/>
  <c r="J1287" i="79"/>
  <c r="J290" i="79"/>
  <c r="J469" i="79"/>
  <c r="J1336" i="79"/>
  <c r="J1332" i="79"/>
  <c r="J1184" i="79"/>
  <c r="J1183" i="79" s="1"/>
  <c r="J629" i="79"/>
  <c r="J1467" i="79"/>
  <c r="J1110" i="79"/>
  <c r="J1109" i="79" s="1"/>
  <c r="J379" i="79"/>
  <c r="J424" i="79"/>
  <c r="J1036" i="79"/>
  <c r="J1035" i="79" s="1"/>
  <c r="J656" i="79"/>
  <c r="J602" i="79"/>
  <c r="J683" i="79"/>
  <c r="J863" i="79"/>
  <c r="J2265" i="79"/>
  <c r="J312" i="79"/>
  <c r="J223" i="79"/>
  <c r="J937" i="79"/>
  <c r="J826" i="79"/>
  <c r="J491" i="79"/>
  <c r="J1754" i="79"/>
  <c r="J1753" i="79" s="1"/>
  <c r="J1422" i="79"/>
  <c r="J245" i="79"/>
  <c r="J201" i="79"/>
  <c r="J513" i="79"/>
  <c r="D96" i="52"/>
  <c r="D118" i="52" s="1"/>
  <c r="AL74" i="52"/>
  <c r="AK74" i="52"/>
  <c r="AJ74" i="52"/>
  <c r="AI74" i="52"/>
  <c r="AH74" i="52"/>
  <c r="AG74" i="52"/>
  <c r="AF74" i="52"/>
  <c r="I2824" i="79"/>
  <c r="L177" i="79"/>
  <c r="B61" i="79"/>
  <c r="C73" i="79"/>
  <c r="B73" i="79" s="1"/>
  <c r="B76" i="79"/>
  <c r="C89" i="79"/>
  <c r="AL106" i="52"/>
  <c r="AI106" i="52"/>
  <c r="AH106" i="52"/>
  <c r="AG106" i="52"/>
  <c r="AF106" i="52"/>
  <c r="AK106" i="52"/>
  <c r="AJ106" i="52"/>
  <c r="AH76" i="52"/>
  <c r="AG76" i="52"/>
  <c r="AF76" i="52"/>
  <c r="B167" i="52"/>
  <c r="AL107" i="52"/>
  <c r="AK107" i="52"/>
  <c r="AJ107" i="52"/>
  <c r="AI107" i="52"/>
  <c r="AH107" i="52"/>
  <c r="AG107" i="52"/>
  <c r="AF107" i="52"/>
  <c r="AI111" i="52"/>
  <c r="AH111" i="52"/>
  <c r="AG111" i="52"/>
  <c r="AF111" i="52"/>
  <c r="AF105" i="52"/>
  <c r="AH105" i="52"/>
  <c r="AG105" i="52"/>
  <c r="B168" i="52"/>
  <c r="B54" i="52"/>
  <c r="AG109" i="52"/>
  <c r="AF109" i="52"/>
  <c r="AH109" i="52"/>
  <c r="AL103" i="52"/>
  <c r="AH103" i="52"/>
  <c r="AG103" i="52"/>
  <c r="AF103" i="52"/>
  <c r="AK103" i="52"/>
  <c r="AJ103" i="52"/>
  <c r="AI103" i="52"/>
  <c r="AL99" i="52"/>
  <c r="AG99" i="52"/>
  <c r="AF99" i="52"/>
  <c r="AK99" i="52"/>
  <c r="AJ99" i="52"/>
  <c r="AI99" i="52"/>
  <c r="AH99" i="52"/>
  <c r="B33" i="52"/>
  <c r="B12" i="52"/>
  <c r="AH97" i="52"/>
  <c r="AG97" i="52"/>
  <c r="AF97" i="52"/>
  <c r="AH102" i="52"/>
  <c r="AG102" i="52"/>
  <c r="AF102" i="52"/>
  <c r="B178" i="52"/>
  <c r="B277" i="52"/>
  <c r="AH101" i="52"/>
  <c r="AG101" i="52"/>
  <c r="AF101" i="52"/>
  <c r="AH98" i="52"/>
  <c r="AG98" i="52"/>
  <c r="AF98" i="52"/>
  <c r="AH100" i="52"/>
  <c r="AL100" i="52"/>
  <c r="AK100" i="52"/>
  <c r="AJ100" i="52"/>
  <c r="AI100" i="52"/>
  <c r="AG100" i="52"/>
  <c r="AF100" i="52"/>
  <c r="AH112" i="52"/>
  <c r="AG112" i="52"/>
  <c r="AF112" i="52"/>
  <c r="AH108" i="52"/>
  <c r="AG108" i="52"/>
  <c r="AF108" i="52"/>
  <c r="X108" i="52"/>
  <c r="AH110" i="52"/>
  <c r="AL110" i="52"/>
  <c r="AK110" i="52"/>
  <c r="AJ110" i="52"/>
  <c r="AI110" i="52"/>
  <c r="AG110" i="52"/>
  <c r="AF110" i="52"/>
  <c r="B75" i="52"/>
  <c r="AH104" i="52"/>
  <c r="AG104" i="52"/>
  <c r="AF104" i="52"/>
  <c r="A290" i="54"/>
  <c r="C289" i="54" a="1"/>
  <c r="C289" i="54" s="1"/>
  <c r="D289" i="54" s="1"/>
  <c r="K12" i="9"/>
  <c r="I23" i="9"/>
  <c r="J15" i="9"/>
  <c r="H87" i="9"/>
  <c r="H96" i="9"/>
  <c r="H156" i="9"/>
  <c r="H65" i="9"/>
  <c r="H153" i="9"/>
  <c r="J337" i="79"/>
  <c r="J381" i="79"/>
  <c r="J359" i="79"/>
  <c r="J292" i="79"/>
  <c r="J314" i="79"/>
  <c r="J270" i="79"/>
  <c r="AN16" i="52"/>
  <c r="AN126" i="52" s="1"/>
  <c r="AN20" i="52"/>
  <c r="AN130" i="52" s="1"/>
  <c r="B782" i="79"/>
  <c r="AN250" i="52"/>
  <c r="AN254" i="52"/>
  <c r="X68" i="52"/>
  <c r="AN232" i="52"/>
  <c r="X43" i="52"/>
  <c r="AN43" i="52" s="1"/>
  <c r="G419" i="79"/>
  <c r="G418" i="79" s="1"/>
  <c r="X65" i="52"/>
  <c r="AO20" i="52"/>
  <c r="AO130" i="52" s="1"/>
  <c r="AN17" i="52"/>
  <c r="AN217" i="52"/>
  <c r="AN216" i="52"/>
  <c r="X63" i="52"/>
  <c r="AN63" i="52" s="1"/>
  <c r="AN215" i="52"/>
  <c r="X41" i="52"/>
  <c r="AN41" i="52" s="1"/>
  <c r="X107" i="52"/>
  <c r="AN218" i="52"/>
  <c r="AN214" i="52"/>
  <c r="X19" i="52"/>
  <c r="D462" i="59"/>
  <c r="X6" i="59"/>
  <c r="X55" i="59" s="1"/>
  <c r="W177" i="59"/>
  <c r="U223" i="59"/>
  <c r="U224" i="59" s="1"/>
  <c r="U225" i="59" s="1"/>
  <c r="D461" i="59"/>
  <c r="D499" i="59"/>
  <c r="F541" i="59"/>
  <c r="F583" i="59" s="1"/>
  <c r="D454" i="59"/>
  <c r="D465" i="59"/>
  <c r="D453" i="59"/>
  <c r="Z112" i="59"/>
  <c r="Z113" i="59"/>
  <c r="AA109" i="59"/>
  <c r="G62" i="9"/>
  <c r="G61" i="9" s="1"/>
  <c r="CI62" i="9"/>
  <c r="AU62" i="9"/>
  <c r="AA62" i="9"/>
  <c r="BO62" i="9"/>
  <c r="D540" i="59"/>
  <c r="F561" i="59"/>
  <c r="D458" i="59"/>
  <c r="D466" i="59"/>
  <c r="D464" i="59"/>
  <c r="D469" i="59"/>
  <c r="T64" i="59"/>
  <c r="D459" i="59"/>
  <c r="C650" i="59"/>
  <c r="F649" i="59" a="1"/>
  <c r="F649" i="59" s="1"/>
  <c r="D649" i="59" s="1"/>
  <c r="X102" i="59"/>
  <c r="X103" i="59"/>
  <c r="Y99" i="59"/>
  <c r="D463" i="59"/>
  <c r="X234" i="59"/>
  <c r="Y87" i="59"/>
  <c r="D456" i="59"/>
  <c r="V237" i="59"/>
  <c r="W90" i="59"/>
  <c r="U236" i="59"/>
  <c r="V89" i="59"/>
  <c r="D468" i="59"/>
  <c r="Y63" i="59"/>
  <c r="V222" i="59"/>
  <c r="V229" i="59"/>
  <c r="W82" i="59"/>
  <c r="W176" i="59"/>
  <c r="C481" i="59"/>
  <c r="F480" i="59" a="1"/>
  <c r="F480" i="59" s="1"/>
  <c r="F522" i="59" s="1"/>
  <c r="D522" i="59" s="1"/>
  <c r="F560" i="59"/>
  <c r="D539" i="59"/>
  <c r="D451" i="59"/>
  <c r="D457" i="59"/>
  <c r="D479" i="59"/>
  <c r="F500" i="59"/>
  <c r="D455" i="59"/>
  <c r="F601" i="59"/>
  <c r="D601" i="59" s="1"/>
  <c r="D559" i="59"/>
  <c r="D460" i="59"/>
  <c r="D467" i="59"/>
  <c r="J16" i="9"/>
  <c r="I24" i="9"/>
  <c r="H76" i="9"/>
  <c r="H154" i="9"/>
  <c r="H97" i="9"/>
  <c r="H157" i="9"/>
  <c r="Q652" i="59"/>
  <c r="N651" i="59"/>
  <c r="F335" i="54"/>
  <c r="I336" i="54"/>
  <c r="H119" i="54" a="1"/>
  <c r="H119" i="54" s="1"/>
  <c r="C119" i="54" a="1"/>
  <c r="C119" i="54" s="1"/>
  <c r="B119" i="54" s="1"/>
  <c r="A120" i="54"/>
  <c r="A448" i="54"/>
  <c r="H447" i="54" a="1"/>
  <c r="H447" i="54" s="1"/>
  <c r="C447" i="54" a="1"/>
  <c r="C447" i="54" s="1"/>
  <c r="B447" i="54" s="1"/>
  <c r="Q113" i="54"/>
  <c r="B492" i="54"/>
  <c r="B308" i="54"/>
  <c r="C387" i="54" a="1"/>
  <c r="C387" i="54" s="1"/>
  <c r="A388" i="54"/>
  <c r="H387" i="54" a="1"/>
  <c r="H387" i="54" s="1"/>
  <c r="A75" i="54"/>
  <c r="C181" i="54" a="1"/>
  <c r="C181" i="54" s="1"/>
  <c r="B181" i="54" s="1"/>
  <c r="A182" i="54"/>
  <c r="H181" i="54" a="1"/>
  <c r="H181" i="54" s="1"/>
  <c r="C72" i="54"/>
  <c r="B72" i="54" s="1"/>
  <c r="B30" i="54"/>
  <c r="E226" i="54"/>
  <c r="A494" i="54"/>
  <c r="C493" i="54" a="1"/>
  <c r="C493" i="54" s="1"/>
  <c r="H493" i="54" a="1"/>
  <c r="H493" i="54" s="1"/>
  <c r="A310" i="54"/>
  <c r="C309" i="54" a="1"/>
  <c r="C309" i="54" s="1"/>
  <c r="D309" i="54" s="1"/>
  <c r="C139" i="54" a="1"/>
  <c r="C139" i="54" s="1"/>
  <c r="B139" i="54" s="1"/>
  <c r="A140" i="54"/>
  <c r="H139" i="54" a="1"/>
  <c r="H139" i="54" s="1"/>
  <c r="C11" i="54" a="1"/>
  <c r="C11" i="54" s="1"/>
  <c r="C53" i="54" s="1"/>
  <c r="B53" i="54" s="1"/>
  <c r="A12" i="54"/>
  <c r="E289" i="54"/>
  <c r="B288" i="54"/>
  <c r="A335" i="54"/>
  <c r="C334" i="54" a="1"/>
  <c r="C334" i="54" s="1"/>
  <c r="D334" i="54" s="1"/>
  <c r="E335" i="54"/>
  <c r="C94" i="54" a="1"/>
  <c r="C94" i="54" s="1"/>
  <c r="B94" i="54" s="1"/>
  <c r="A95" i="54"/>
  <c r="E312" i="54"/>
  <c r="A249" i="54"/>
  <c r="C248" i="54" a="1"/>
  <c r="C248" i="54" s="1"/>
  <c r="D248" i="54" s="1"/>
  <c r="B224" i="54"/>
  <c r="C365" i="54" a="1"/>
  <c r="C365" i="54" s="1"/>
  <c r="A366" i="54"/>
  <c r="H365" i="54" a="1"/>
  <c r="H365" i="54" s="1"/>
  <c r="E247" i="54"/>
  <c r="B247" i="54" s="1"/>
  <c r="B10" i="54"/>
  <c r="C31" i="54"/>
  <c r="B246" i="54"/>
  <c r="A428" i="54"/>
  <c r="H427" i="54" a="1"/>
  <c r="H427" i="54" s="1"/>
  <c r="C427" i="54" a="1"/>
  <c r="C427" i="54" s="1"/>
  <c r="B427" i="54" s="1"/>
  <c r="A226" i="54"/>
  <c r="C225" i="54" a="1"/>
  <c r="C225" i="54" s="1"/>
  <c r="D225" i="54" s="1"/>
  <c r="A31" i="54"/>
  <c r="C203" i="54" a="1"/>
  <c r="C203" i="54" s="1"/>
  <c r="B203" i="54" s="1"/>
  <c r="H203" i="54" a="1"/>
  <c r="H203" i="54" s="1"/>
  <c r="A204" i="54"/>
  <c r="B333" i="54"/>
  <c r="A474" i="54"/>
  <c r="H473" i="54" a="1"/>
  <c r="H473" i="54" s="1"/>
  <c r="C473" i="54" a="1"/>
  <c r="C473" i="54" s="1"/>
  <c r="B133" i="79"/>
  <c r="C144" i="79"/>
  <c r="C151" i="79" s="1"/>
  <c r="B130" i="79"/>
  <c r="C136" i="79"/>
  <c r="C77" i="79"/>
  <c r="B83" i="79"/>
  <c r="C135" i="79"/>
  <c r="B129" i="79"/>
  <c r="C145" i="79"/>
  <c r="B134" i="79"/>
  <c r="I295" i="79"/>
  <c r="H451" i="79"/>
  <c r="I273" i="79"/>
  <c r="I250" i="79"/>
  <c r="H250" i="79"/>
  <c r="H228" i="79"/>
  <c r="I407" i="79"/>
  <c r="I429" i="79"/>
  <c r="I340" i="79"/>
  <c r="H423" i="79"/>
  <c r="H437" i="79"/>
  <c r="H421" i="79" s="1"/>
  <c r="K175" i="79"/>
  <c r="H105" i="79"/>
  <c r="I474" i="79"/>
  <c r="J483" i="79"/>
  <c r="J505" i="79"/>
  <c r="J438" i="79"/>
  <c r="J304" i="79"/>
  <c r="J393" i="79"/>
  <c r="J259" i="79"/>
  <c r="J215" i="79"/>
  <c r="J326" i="79"/>
  <c r="J460" i="79"/>
  <c r="J349" i="79"/>
  <c r="J416" i="79"/>
  <c r="J282" i="79"/>
  <c r="J237" i="79"/>
  <c r="J527" i="79"/>
  <c r="J371" i="79"/>
  <c r="K494" i="79"/>
  <c r="K226" i="79"/>
  <c r="K360" i="79"/>
  <c r="K427" i="79"/>
  <c r="K425" i="79" s="1"/>
  <c r="K293" i="79"/>
  <c r="H111" i="79"/>
  <c r="I362" i="79"/>
  <c r="I206" i="79"/>
  <c r="H206" i="79"/>
  <c r="H459" i="79"/>
  <c r="H445" i="79"/>
  <c r="H442" i="79" s="1"/>
  <c r="K382" i="79"/>
  <c r="K449" i="79"/>
  <c r="K447" i="79" s="1"/>
  <c r="K315" i="79"/>
  <c r="K516" i="79"/>
  <c r="K248" i="79"/>
  <c r="K493" i="79"/>
  <c r="K515" i="79"/>
  <c r="K471" i="79"/>
  <c r="H112" i="79"/>
  <c r="I228" i="79"/>
  <c r="J247" i="79"/>
  <c r="J203" i="79"/>
  <c r="J225" i="79"/>
  <c r="J224" i="79" s="1"/>
  <c r="M178" i="79"/>
  <c r="AN21" i="52"/>
  <c r="AN24" i="52"/>
  <c r="AN134" i="52" s="1"/>
  <c r="J246" i="79" l="1"/>
  <c r="J258" i="79" s="1"/>
  <c r="J17" i="9"/>
  <c r="J67" i="9" s="1"/>
  <c r="J78" i="9" s="1"/>
  <c r="I77" i="9"/>
  <c r="I111" i="9"/>
  <c r="I115" i="9" s="1"/>
  <c r="AO254" i="52"/>
  <c r="AO252" i="52"/>
  <c r="Y134" i="52"/>
  <c r="AO250" i="52"/>
  <c r="J879" i="79"/>
  <c r="J877" i="79" s="1"/>
  <c r="J860" i="79" s="1"/>
  <c r="J1397" i="79"/>
  <c r="J1395" i="79" s="1"/>
  <c r="J1370" i="79" s="1"/>
  <c r="J1126" i="79"/>
  <c r="J1124" i="79" s="1"/>
  <c r="J1107" i="79" s="1"/>
  <c r="J842" i="79"/>
  <c r="J840" i="79" s="1"/>
  <c r="J823" i="79" s="1"/>
  <c r="J1352" i="79"/>
  <c r="J1350" i="79" s="1"/>
  <c r="J1325" i="79" s="1"/>
  <c r="J1089" i="79"/>
  <c r="J1087" i="79" s="1"/>
  <c r="J1070" i="79" s="1"/>
  <c r="J805" i="79"/>
  <c r="J803" i="79" s="1"/>
  <c r="J786" i="79" s="1"/>
  <c r="J1307" i="79"/>
  <c r="J1305" i="79" s="1"/>
  <c r="J1280" i="79" s="1"/>
  <c r="J1052" i="79"/>
  <c r="J1050" i="79" s="1"/>
  <c r="J1033" i="79" s="1"/>
  <c r="J916" i="79"/>
  <c r="J914" i="79" s="1"/>
  <c r="J897" i="79" s="1"/>
  <c r="J1163" i="79"/>
  <c r="J1161" i="79" s="1"/>
  <c r="J1144" i="79" s="1"/>
  <c r="J1442" i="79"/>
  <c r="J1440" i="79" s="1"/>
  <c r="J1415" i="79" s="1"/>
  <c r="J953" i="79"/>
  <c r="J951" i="79" s="1"/>
  <c r="J934" i="79" s="1"/>
  <c r="J1487" i="79"/>
  <c r="J1485" i="79" s="1"/>
  <c r="J1460" i="79" s="1"/>
  <c r="J1200" i="79"/>
  <c r="J1198" i="79" s="1"/>
  <c r="J1181" i="79" s="1"/>
  <c r="K1539" i="79"/>
  <c r="K1541" i="79"/>
  <c r="K1542" i="79"/>
  <c r="K1540" i="79"/>
  <c r="K1538" i="79"/>
  <c r="CI281" i="9"/>
  <c r="CI282" i="9"/>
  <c r="AA282" i="9"/>
  <c r="BO281" i="9"/>
  <c r="BO282" i="9"/>
  <c r="AU281" i="9"/>
  <c r="AU282" i="9"/>
  <c r="AA281" i="9"/>
  <c r="I66" i="9"/>
  <c r="J166" i="9"/>
  <c r="J84" i="9"/>
  <c r="J248" i="9"/>
  <c r="J2844" i="79"/>
  <c r="J2914" i="79"/>
  <c r="J2984" i="79"/>
  <c r="J2593" i="79"/>
  <c r="J2581" i="79" s="1"/>
  <c r="J2641" i="79"/>
  <c r="J2629" i="79" s="1"/>
  <c r="J2545" i="79"/>
  <c r="J2533" i="79" s="1"/>
  <c r="J2617" i="79"/>
  <c r="J2605" i="79" s="1"/>
  <c r="J2602" i="79" s="1"/>
  <c r="H75" i="9"/>
  <c r="H64" i="9"/>
  <c r="J93" i="9"/>
  <c r="J163" i="9"/>
  <c r="CX11" i="10"/>
  <c r="CX31" i="10"/>
  <c r="DD31" i="10"/>
  <c r="J73" i="9"/>
  <c r="J249" i="9" s="1"/>
  <c r="K9" i="9"/>
  <c r="K197" i="9" s="1"/>
  <c r="J126" i="9"/>
  <c r="J129" i="9"/>
  <c r="J127" i="9"/>
  <c r="J130" i="9"/>
  <c r="G282" i="9"/>
  <c r="CQ11" i="10"/>
  <c r="DD32" i="10"/>
  <c r="CX32" i="10"/>
  <c r="DD11" i="10"/>
  <c r="AD4" i="8"/>
  <c r="AE4" i="8" s="1" a="1"/>
  <c r="AE4" i="8" s="1"/>
  <c r="Z3" i="8"/>
  <c r="AA3" i="8"/>
  <c r="Y3" i="8"/>
  <c r="X3" i="8"/>
  <c r="AB3" i="8"/>
  <c r="W3" i="8"/>
  <c r="V3" i="8"/>
  <c r="J66" i="9"/>
  <c r="BX12" i="10"/>
  <c r="BY12" i="10" s="1"/>
  <c r="E386" i="54"/>
  <c r="D385" i="54"/>
  <c r="E428" i="54"/>
  <c r="D427" i="54"/>
  <c r="E449" i="54"/>
  <c r="D448" i="54"/>
  <c r="E418" i="54"/>
  <c r="D417" i="54"/>
  <c r="E365" i="54"/>
  <c r="D364" i="54"/>
  <c r="B365" i="54"/>
  <c r="B364" i="54"/>
  <c r="G263" i="79"/>
  <c r="G122" i="79" s="1"/>
  <c r="Y41" i="52"/>
  <c r="AO41" i="52" s="1"/>
  <c r="K493" i="54"/>
  <c r="Q493" i="54"/>
  <c r="R493" i="54" s="1"/>
  <c r="S493" i="54" s="1"/>
  <c r="T493" i="54" s="1"/>
  <c r="U493" i="54" s="1"/>
  <c r="V493" i="54" s="1"/>
  <c r="P493" i="54"/>
  <c r="L493" i="54"/>
  <c r="N493" i="54"/>
  <c r="M493" i="54"/>
  <c r="O493" i="54"/>
  <c r="J197" i="9"/>
  <c r="J79" i="9"/>
  <c r="J77" i="9" s="1"/>
  <c r="J201" i="9"/>
  <c r="AA201" i="9"/>
  <c r="AA197" i="9"/>
  <c r="G285" i="79"/>
  <c r="G284" i="79" s="1"/>
  <c r="G1483" i="79"/>
  <c r="H1438" i="79"/>
  <c r="H1393" i="79"/>
  <c r="H1348" i="79"/>
  <c r="I1348" i="79"/>
  <c r="I1346" i="79" s="1"/>
  <c r="I1324" i="79" s="1"/>
  <c r="I1159" i="79"/>
  <c r="I1438" i="79"/>
  <c r="I1122" i="79"/>
  <c r="I1120" i="79" s="1"/>
  <c r="I1106" i="79" s="1"/>
  <c r="I1393" i="79"/>
  <c r="H1048" i="79"/>
  <c r="H1303" i="79"/>
  <c r="I1048" i="79"/>
  <c r="I1303" i="79"/>
  <c r="G949" i="79"/>
  <c r="G1196" i="79"/>
  <c r="H912" i="79"/>
  <c r="H910" i="79" s="1"/>
  <c r="H896" i="79" s="1"/>
  <c r="H1159" i="79"/>
  <c r="H1157" i="79" s="1"/>
  <c r="H1143" i="79" s="1"/>
  <c r="H875" i="79"/>
  <c r="H873" i="79" s="1"/>
  <c r="H859" i="79" s="1"/>
  <c r="H1122" i="79"/>
  <c r="H1120" i="79" s="1"/>
  <c r="H1106" i="79" s="1"/>
  <c r="I838" i="79"/>
  <c r="I1085" i="79"/>
  <c r="H838" i="79"/>
  <c r="H1085" i="79"/>
  <c r="G281" i="9"/>
  <c r="I912" i="79"/>
  <c r="I910" i="79" s="1"/>
  <c r="I896" i="79" s="1"/>
  <c r="I875" i="79"/>
  <c r="H801" i="79"/>
  <c r="I801" i="79"/>
  <c r="I799" i="79" s="1"/>
  <c r="O521" i="54"/>
  <c r="O520" i="54"/>
  <c r="O518" i="54"/>
  <c r="O517" i="54"/>
  <c r="O511" i="54"/>
  <c r="O515" i="54"/>
  <c r="O514" i="54"/>
  <c r="AH135" i="52"/>
  <c r="AH136" i="52"/>
  <c r="AG124" i="52"/>
  <c r="AH123" i="52"/>
  <c r="K53" i="56"/>
  <c r="K28" i="56"/>
  <c r="K20" i="56" s="1"/>
  <c r="I42" i="56"/>
  <c r="J42" i="56"/>
  <c r="H42" i="56"/>
  <c r="AA72" i="9"/>
  <c r="AA73" i="9"/>
  <c r="AA68" i="9"/>
  <c r="AA66" i="9" s="1"/>
  <c r="AA79" i="9"/>
  <c r="AA77" i="9" s="1"/>
  <c r="I249" i="9"/>
  <c r="AJ6" i="8"/>
  <c r="AJ5" i="8" s="1"/>
  <c r="AI5" i="8"/>
  <c r="M252" i="37"/>
  <c r="O528" i="54" s="1"/>
  <c r="AH120" i="52"/>
  <c r="AO126" i="52"/>
  <c r="X135" i="52"/>
  <c r="AI133" i="52"/>
  <c r="AN131" i="52"/>
  <c r="AP17" i="52"/>
  <c r="AH127" i="52"/>
  <c r="M468" i="54"/>
  <c r="Z126" i="52"/>
  <c r="AH134" i="52"/>
  <c r="AH126" i="52"/>
  <c r="X129" i="52"/>
  <c r="N469" i="54"/>
  <c r="AA127" i="52"/>
  <c r="X136" i="52"/>
  <c r="AG123" i="52"/>
  <c r="AH131" i="52"/>
  <c r="AH130" i="52"/>
  <c r="AG127" i="52"/>
  <c r="AO134" i="52"/>
  <c r="Y131" i="52"/>
  <c r="AH119" i="52"/>
  <c r="AH124" i="52"/>
  <c r="AN127" i="52"/>
  <c r="Z134" i="52"/>
  <c r="AG131" i="52"/>
  <c r="AO236" i="52"/>
  <c r="B95" i="52"/>
  <c r="B117" i="52"/>
  <c r="AP230" i="52"/>
  <c r="B96" i="52"/>
  <c r="B118" i="52"/>
  <c r="AP206" i="52"/>
  <c r="Y107" i="52"/>
  <c r="AO107" i="52" s="1"/>
  <c r="Y114" i="52"/>
  <c r="AO114" i="52" s="1"/>
  <c r="AP60" i="52"/>
  <c r="AJ45" i="52"/>
  <c r="AI32" i="52"/>
  <c r="AJ23" i="52"/>
  <c r="AJ111" i="52"/>
  <c r="AI108" i="52"/>
  <c r="AI46" i="52"/>
  <c r="AI112" i="52"/>
  <c r="AJ67" i="52"/>
  <c r="AI104" i="52"/>
  <c r="AI54" i="52"/>
  <c r="AI97" i="52"/>
  <c r="AI53" i="52"/>
  <c r="AO61" i="52"/>
  <c r="AI31" i="52"/>
  <c r="AP42" i="52"/>
  <c r="AI10" i="52"/>
  <c r="AI76" i="52"/>
  <c r="AI75" i="52"/>
  <c r="AI24" i="52"/>
  <c r="AI98" i="52"/>
  <c r="AI9" i="52"/>
  <c r="AI68" i="52"/>
  <c r="B157" i="52"/>
  <c r="B152" i="52"/>
  <c r="K41" i="56"/>
  <c r="K39" i="56"/>
  <c r="K42" i="56"/>
  <c r="K40" i="56"/>
  <c r="L469" i="54"/>
  <c r="K14" i="9"/>
  <c r="L14" i="9" s="1"/>
  <c r="L146" i="9" s="1"/>
  <c r="J63" i="9"/>
  <c r="N17" i="80"/>
  <c r="N125" i="37"/>
  <c r="L738" i="79"/>
  <c r="N24" i="80"/>
  <c r="L1533" i="79"/>
  <c r="N36" i="80"/>
  <c r="P516" i="54"/>
  <c r="N18" i="80"/>
  <c r="N180" i="37"/>
  <c r="L993" i="79"/>
  <c r="N20" i="80"/>
  <c r="N340" i="37"/>
  <c r="L1224" i="79"/>
  <c r="N38" i="80"/>
  <c r="N341" i="37"/>
  <c r="L3018" i="79"/>
  <c r="N15" i="80"/>
  <c r="O251" i="37" s="1"/>
  <c r="Q529" i="54" s="1"/>
  <c r="R529" i="54" s="1"/>
  <c r="S529" i="54" s="1"/>
  <c r="T529" i="54" s="1"/>
  <c r="U529" i="54" s="1"/>
  <c r="V529" i="54" s="1"/>
  <c r="N251" i="37"/>
  <c r="P529" i="54" s="1"/>
  <c r="N39" i="80"/>
  <c r="N181" i="37"/>
  <c r="P519" i="54" s="1"/>
  <c r="L2667" i="79"/>
  <c r="N22" i="80"/>
  <c r="O66" i="37" s="1"/>
  <c r="L1511" i="79"/>
  <c r="AB10" i="9"/>
  <c r="X140" i="9"/>
  <c r="AN65" i="52"/>
  <c r="AN68" i="52"/>
  <c r="AP61" i="52"/>
  <c r="AP39" i="52"/>
  <c r="D476" i="59"/>
  <c r="D478" i="59"/>
  <c r="BX15" i="10"/>
  <c r="BY15" i="10" s="1"/>
  <c r="BX14" i="10"/>
  <c r="BY14" i="10" s="1"/>
  <c r="BX13" i="10"/>
  <c r="BY13" i="10" s="1"/>
  <c r="BX16" i="10"/>
  <c r="BY16" i="10" s="1"/>
  <c r="AN109" i="52"/>
  <c r="J21" i="56"/>
  <c r="I1682" i="79" s="1"/>
  <c r="J14" i="56"/>
  <c r="M114" i="54" s="1"/>
  <c r="N29" i="80"/>
  <c r="N29" i="56" s="1"/>
  <c r="M29" i="56"/>
  <c r="Y86" i="59"/>
  <c r="K2350" i="79"/>
  <c r="K2349" i="79" s="1"/>
  <c r="K2344" i="79" s="1"/>
  <c r="AA130" i="9"/>
  <c r="AA93" i="9"/>
  <c r="AA159" i="9"/>
  <c r="N34" i="8" s="1"/>
  <c r="AA129" i="9"/>
  <c r="AA84" i="9"/>
  <c r="AA126" i="9"/>
  <c r="AB9" i="9"/>
  <c r="AA49" i="9"/>
  <c r="N15" i="8" s="1"/>
  <c r="AA163" i="9"/>
  <c r="L2313" i="79"/>
  <c r="L2326" i="79"/>
  <c r="J10" i="9"/>
  <c r="J195" i="9" s="1"/>
  <c r="I49" i="9"/>
  <c r="H15" i="8" s="1"/>
  <c r="I159" i="9"/>
  <c r="K2792" i="79"/>
  <c r="N30" i="80"/>
  <c r="AL209" i="52" s="1"/>
  <c r="AI210" i="52"/>
  <c r="AQ210" i="52" s="1"/>
  <c r="AI190" i="52"/>
  <c r="AI194" i="52"/>
  <c r="AI192" i="52"/>
  <c r="AI234" i="52"/>
  <c r="AI186" i="52"/>
  <c r="AI184" i="52"/>
  <c r="AI232" i="52"/>
  <c r="AI188" i="52"/>
  <c r="AI236" i="52"/>
  <c r="J1775" i="79"/>
  <c r="AI211" i="52"/>
  <c r="AI209" i="52"/>
  <c r="AQ209" i="52" s="1"/>
  <c r="AI193" i="52"/>
  <c r="AI233" i="52"/>
  <c r="AI185" i="52"/>
  <c r="AI212" i="52"/>
  <c r="AI187" i="52"/>
  <c r="AI191" i="52"/>
  <c r="AI208" i="52"/>
  <c r="AI235" i="52"/>
  <c r="AA127" i="9"/>
  <c r="AA248" i="9"/>
  <c r="B473" i="54"/>
  <c r="AP24" i="52"/>
  <c r="AN25" i="52"/>
  <c r="AN135" i="52" s="1"/>
  <c r="AO17" i="52"/>
  <c r="AN26" i="52"/>
  <c r="AN136" i="52" s="1"/>
  <c r="AO21" i="52"/>
  <c r="AP16" i="52"/>
  <c r="Z264" i="52"/>
  <c r="Z70" i="52" s="1"/>
  <c r="AP70" i="52" s="1"/>
  <c r="AA23" i="9"/>
  <c r="AB15" i="9"/>
  <c r="AC12" i="9"/>
  <c r="AB19" i="9"/>
  <c r="AA24" i="9"/>
  <c r="AB16" i="9"/>
  <c r="AB21" i="9"/>
  <c r="AB71" i="9" s="1"/>
  <c r="AC18" i="9"/>
  <c r="AC150" i="9" s="1"/>
  <c r="AB58" i="9"/>
  <c r="AB17" i="9"/>
  <c r="AB67" i="9" s="1"/>
  <c r="AB78" i="9" s="1"/>
  <c r="AA111" i="9"/>
  <c r="AA115" i="9" s="1"/>
  <c r="AB20" i="9"/>
  <c r="AT8" i="9"/>
  <c r="AB14" i="9"/>
  <c r="AA63" i="9"/>
  <c r="AA61" i="9" s="1"/>
  <c r="AA146" i="9"/>
  <c r="AC13" i="9"/>
  <c r="AB166" i="9"/>
  <c r="H195" i="9"/>
  <c r="X231" i="59"/>
  <c r="N162" i="37"/>
  <c r="X230" i="59"/>
  <c r="N164" i="37"/>
  <c r="N191" i="37" s="1"/>
  <c r="N165" i="37"/>
  <c r="N192" i="37" s="1"/>
  <c r="N166" i="37"/>
  <c r="N193" i="37" s="1"/>
  <c r="Y85" i="59"/>
  <c r="O157" i="37" s="1"/>
  <c r="O163" i="37" s="1"/>
  <c r="O190" i="37" s="1"/>
  <c r="X232" i="59"/>
  <c r="Z262" i="52"/>
  <c r="Z26" i="52" s="1"/>
  <c r="Z263" i="52"/>
  <c r="Z266" i="52"/>
  <c r="Z114" i="52" s="1"/>
  <c r="AP114" i="52" s="1"/>
  <c r="Y69" i="52"/>
  <c r="AO69" i="52" s="1"/>
  <c r="AO258" i="52"/>
  <c r="Y113" i="52"/>
  <c r="AO113" i="52" s="1"/>
  <c r="AO260" i="52"/>
  <c r="Z256" i="52"/>
  <c r="AP256" i="52" s="1"/>
  <c r="Z257" i="52"/>
  <c r="Z258" i="52"/>
  <c r="Z259" i="52"/>
  <c r="AP259" i="52" s="1"/>
  <c r="Z260" i="52"/>
  <c r="Y47" i="52"/>
  <c r="AO47" i="52" s="1"/>
  <c r="AO257" i="52"/>
  <c r="Y25" i="52"/>
  <c r="G799" i="79"/>
  <c r="G785" i="79" s="1"/>
  <c r="G1301" i="79"/>
  <c r="G1279" i="79" s="1"/>
  <c r="G1569" i="79"/>
  <c r="H1636" i="79"/>
  <c r="H1568" i="79" s="1"/>
  <c r="I2578" i="79"/>
  <c r="I2525" i="79" s="1"/>
  <c r="I1714" i="79"/>
  <c r="I1693" i="79" s="1"/>
  <c r="I2626" i="79"/>
  <c r="I2527" i="79" s="1"/>
  <c r="I1759" i="79"/>
  <c r="I1696" i="79" s="1"/>
  <c r="J2701" i="79"/>
  <c r="J2554" i="79"/>
  <c r="J2747" i="79"/>
  <c r="J3189" i="79"/>
  <c r="J256" i="80"/>
  <c r="I3038" i="79" s="1"/>
  <c r="I3033" i="79" s="1"/>
  <c r="K3551" i="79"/>
  <c r="K3549" i="79" s="1"/>
  <c r="K3191" i="79"/>
  <c r="L2995" i="79"/>
  <c r="AK241" i="52"/>
  <c r="AK240" i="52"/>
  <c r="AK239" i="52"/>
  <c r="AK238" i="52"/>
  <c r="AK242" i="52"/>
  <c r="Y65" i="52"/>
  <c r="AO232" i="52"/>
  <c r="I1636" i="79"/>
  <c r="I1568" i="79" s="1"/>
  <c r="J1637" i="79"/>
  <c r="Y109" i="52"/>
  <c r="AO109" i="52" s="1"/>
  <c r="Y43" i="52"/>
  <c r="AO218" i="52"/>
  <c r="Y63" i="52"/>
  <c r="AO63" i="52" s="1"/>
  <c r="Y19" i="52"/>
  <c r="AN112" i="52"/>
  <c r="K3565" i="79"/>
  <c r="K3210" i="79"/>
  <c r="K3205" i="79"/>
  <c r="K3195" i="79" s="1"/>
  <c r="L2953" i="79"/>
  <c r="L3152" i="79"/>
  <c r="L3148" i="79" s="1"/>
  <c r="K2988" i="79"/>
  <c r="K3184" i="79"/>
  <c r="K3180" i="79" s="1"/>
  <c r="K2918" i="79"/>
  <c r="K3120" i="79"/>
  <c r="K3116" i="79" s="1"/>
  <c r="J3126" i="79"/>
  <c r="J3136" i="79"/>
  <c r="AI113" i="52"/>
  <c r="J3062" i="79"/>
  <c r="J3072" i="79"/>
  <c r="AI69" i="52"/>
  <c r="J3438" i="79"/>
  <c r="J3447" i="79"/>
  <c r="K3107" i="79"/>
  <c r="K3106" i="79" s="1"/>
  <c r="K3478" i="79"/>
  <c r="K3477" i="79" s="1"/>
  <c r="K3534" i="79"/>
  <c r="K3533" i="79" s="1"/>
  <c r="K3139" i="79"/>
  <c r="K3138" i="79" s="1"/>
  <c r="K3075" i="79"/>
  <c r="K3074" i="79" s="1"/>
  <c r="K3450" i="79"/>
  <c r="K3449" i="79" s="1"/>
  <c r="K3506" i="79"/>
  <c r="K3505" i="79" s="1"/>
  <c r="K3422" i="79"/>
  <c r="K3421" i="79" s="1"/>
  <c r="J3494" i="79"/>
  <c r="J3503" i="79"/>
  <c r="J3522" i="79"/>
  <c r="J3531" i="79"/>
  <c r="J3410" i="79"/>
  <c r="J3419" i="79"/>
  <c r="J3094" i="79"/>
  <c r="J3104" i="79"/>
  <c r="AI25" i="52"/>
  <c r="J3466" i="79"/>
  <c r="J3475" i="79"/>
  <c r="AI47" i="52"/>
  <c r="Y48" i="52"/>
  <c r="AO48" i="52" s="1"/>
  <c r="AI26" i="52"/>
  <c r="AI48" i="52"/>
  <c r="AO262" i="52"/>
  <c r="Y26" i="52"/>
  <c r="I3168" i="79"/>
  <c r="I3158" i="79"/>
  <c r="I3040" i="79"/>
  <c r="I3030" i="79"/>
  <c r="K3043" i="79"/>
  <c r="K3171" i="79"/>
  <c r="J3042" i="79"/>
  <c r="J3170" i="79"/>
  <c r="K3356" i="79"/>
  <c r="K3355" i="79" s="1"/>
  <c r="K3348" i="79" s="1"/>
  <c r="K3325" i="79"/>
  <c r="K3324" i="79" s="1"/>
  <c r="K3317" i="79" s="1"/>
  <c r="K3294" i="79"/>
  <c r="K3293" i="79" s="1"/>
  <c r="K3286" i="79" s="1"/>
  <c r="K3263" i="79"/>
  <c r="K3262" i="79" s="1"/>
  <c r="K3255" i="79" s="1"/>
  <c r="K3259" i="79"/>
  <c r="K3258" i="79" s="1"/>
  <c r="K3254" i="79" s="1"/>
  <c r="K3352" i="79"/>
  <c r="K3351" i="79" s="1"/>
  <c r="K3347" i="79" s="1"/>
  <c r="K3290" i="79"/>
  <c r="K3289" i="79" s="1"/>
  <c r="K3285" i="79" s="1"/>
  <c r="K3321" i="79"/>
  <c r="K3320" i="79" s="1"/>
  <c r="K3316" i="79" s="1"/>
  <c r="J3372" i="79"/>
  <c r="J3341" i="79"/>
  <c r="H348" i="79"/>
  <c r="H332" i="79" s="1"/>
  <c r="J3279" i="79"/>
  <c r="K2549" i="79"/>
  <c r="K2848" i="79"/>
  <c r="J2854" i="79"/>
  <c r="J2859" i="79"/>
  <c r="J2959" i="79"/>
  <c r="J2964" i="79"/>
  <c r="K2965" i="79"/>
  <c r="K2860" i="79"/>
  <c r="K2930" i="79"/>
  <c r="K2895" i="79"/>
  <c r="J2929" i="79"/>
  <c r="J2924" i="79"/>
  <c r="J2889" i="79"/>
  <c r="J2894" i="79"/>
  <c r="J2819" i="79"/>
  <c r="J2724" i="79"/>
  <c r="J2770" i="79"/>
  <c r="K2623" i="79"/>
  <c r="K2617" i="79" s="1"/>
  <c r="K2647" i="79"/>
  <c r="K2575" i="79"/>
  <c r="K2790" i="79"/>
  <c r="K2788" i="79" s="1"/>
  <c r="K2773" i="79" s="1"/>
  <c r="K2645" i="79"/>
  <c r="L2575" i="79"/>
  <c r="K2599" i="79"/>
  <c r="K2744" i="79"/>
  <c r="K2742" i="79" s="1"/>
  <c r="K2727" i="79" s="1"/>
  <c r="K2597" i="79"/>
  <c r="L2767" i="79"/>
  <c r="L2765" i="79" s="1"/>
  <c r="L2750" i="79" s="1"/>
  <c r="L2621" i="79"/>
  <c r="K2584" i="79"/>
  <c r="K2583" i="79" s="1"/>
  <c r="K2579" i="79" s="1"/>
  <c r="K2632" i="79"/>
  <c r="K2631" i="79" s="1"/>
  <c r="K2627" i="79" s="1"/>
  <c r="K2560" i="79"/>
  <c r="K2559" i="79" s="1"/>
  <c r="K2555" i="79" s="1"/>
  <c r="K2608" i="79"/>
  <c r="K2607" i="79" s="1"/>
  <c r="K2603" i="79" s="1"/>
  <c r="K3398" i="79"/>
  <c r="K2762" i="79"/>
  <c r="K2761" i="79" s="1"/>
  <c r="K2748" i="79" s="1"/>
  <c r="K2716" i="79"/>
  <c r="K2715" i="79" s="1"/>
  <c r="K2702" i="79" s="1"/>
  <c r="K2785" i="79"/>
  <c r="K2784" i="79" s="1"/>
  <c r="K2771" i="79" s="1"/>
  <c r="K2739" i="79"/>
  <c r="K2738" i="79" s="1"/>
  <c r="K2725" i="79" s="1"/>
  <c r="C92" i="79"/>
  <c r="B92" i="79" s="1"/>
  <c r="H289" i="79"/>
  <c r="H286" i="79" s="1"/>
  <c r="H287" i="79"/>
  <c r="K535" i="79"/>
  <c r="K534" i="79"/>
  <c r="K533" i="79"/>
  <c r="H370" i="79"/>
  <c r="H354" i="79" s="1"/>
  <c r="H267" i="79"/>
  <c r="H264" i="79" s="1"/>
  <c r="G518" i="79"/>
  <c r="G118" i="79" s="1"/>
  <c r="G86" i="79" s="1"/>
  <c r="G48" i="79" s="1"/>
  <c r="G514" i="79"/>
  <c r="H518" i="79"/>
  <c r="H118" i="79" s="1"/>
  <c r="H86" i="79" s="1"/>
  <c r="H514" i="79"/>
  <c r="H512" i="79" s="1"/>
  <c r="H509" i="79" s="1"/>
  <c r="G384" i="79"/>
  <c r="G116" i="79" s="1"/>
  <c r="G84" i="79" s="1"/>
  <c r="G46" i="79" s="1"/>
  <c r="G380" i="79"/>
  <c r="G392" i="79" s="1"/>
  <c r="H384" i="79"/>
  <c r="H116" i="79" s="1"/>
  <c r="H84" i="79" s="1"/>
  <c r="H380" i="79"/>
  <c r="I496" i="79"/>
  <c r="I112" i="79" s="1"/>
  <c r="I492" i="79"/>
  <c r="I504" i="79" s="1"/>
  <c r="H415" i="79"/>
  <c r="H399" i="79" s="1"/>
  <c r="H397" i="79" s="1"/>
  <c r="H396" i="79" s="1"/>
  <c r="H265" i="79"/>
  <c r="I358" i="79"/>
  <c r="I370" i="79" s="1"/>
  <c r="I354" i="79" s="1"/>
  <c r="I470" i="79"/>
  <c r="I482" i="79" s="1"/>
  <c r="I466" i="79" s="1"/>
  <c r="Z251" i="52"/>
  <c r="AP251" i="52" s="1"/>
  <c r="I403" i="79"/>
  <c r="I401" i="79" s="1"/>
  <c r="I398" i="79" s="1"/>
  <c r="H311" i="79"/>
  <c r="H308" i="79" s="1"/>
  <c r="I336" i="79"/>
  <c r="I348" i="79" s="1"/>
  <c r="I332" i="79" s="1"/>
  <c r="G317" i="79"/>
  <c r="G115" i="79" s="1"/>
  <c r="G83" i="79" s="1"/>
  <c r="G45" i="79" s="1"/>
  <c r="G313" i="79"/>
  <c r="G311" i="79" s="1"/>
  <c r="G308" i="79" s="1"/>
  <c r="G90" i="79" s="1"/>
  <c r="I291" i="79"/>
  <c r="I289" i="79" s="1"/>
  <c r="I269" i="79"/>
  <c r="I281" i="79" s="1"/>
  <c r="I265" i="79" s="1"/>
  <c r="J202" i="79"/>
  <c r="AP250" i="52"/>
  <c r="Z253" i="52"/>
  <c r="AP253" i="52" s="1"/>
  <c r="Z252" i="52"/>
  <c r="AP252" i="52" s="1"/>
  <c r="Z254" i="52"/>
  <c r="M1213" i="79"/>
  <c r="Z217" i="52"/>
  <c r="AP217" i="52" s="1"/>
  <c r="Z214" i="52"/>
  <c r="AP214" i="52" s="1"/>
  <c r="Z216" i="52"/>
  <c r="AP216" i="52" s="1"/>
  <c r="Z218" i="52"/>
  <c r="K3281" i="79"/>
  <c r="K2885" i="79"/>
  <c r="K2879" i="79" s="1"/>
  <c r="H538" i="79"/>
  <c r="Y143" i="52" s="1"/>
  <c r="H566" i="79"/>
  <c r="G488" i="79"/>
  <c r="G486" i="79" s="1"/>
  <c r="I106" i="79"/>
  <c r="H117" i="79"/>
  <c r="H85" i="79" s="1"/>
  <c r="H443" i="79"/>
  <c r="H441" i="79" s="1"/>
  <c r="I111" i="79"/>
  <c r="I109" i="79"/>
  <c r="I103" i="79"/>
  <c r="G114" i="79"/>
  <c r="G82" i="79" s="1"/>
  <c r="I114" i="79"/>
  <c r="H114" i="79"/>
  <c r="I108" i="79"/>
  <c r="H102" i="79"/>
  <c r="I102" i="79"/>
  <c r="AP215" i="52"/>
  <c r="Z41" i="52"/>
  <c r="AP41" i="52" s="1"/>
  <c r="M2061" i="79"/>
  <c r="M2092" i="79"/>
  <c r="I2067" i="79"/>
  <c r="I2098" i="79"/>
  <c r="J2287" i="79"/>
  <c r="J2147" i="79" s="1"/>
  <c r="L2058" i="79"/>
  <c r="L2089" i="79"/>
  <c r="J1935" i="79"/>
  <c r="J1921" i="79" s="1"/>
  <c r="L1312" i="79"/>
  <c r="L1357" i="79"/>
  <c r="L1402" i="79"/>
  <c r="L1447" i="79"/>
  <c r="L1492" i="79"/>
  <c r="K3012" i="79"/>
  <c r="L1088" i="79"/>
  <c r="L1047" i="79"/>
  <c r="L1162" i="79"/>
  <c r="L1121" i="79"/>
  <c r="L1084" i="79"/>
  <c r="L1195" i="79"/>
  <c r="L1051" i="79"/>
  <c r="L1199" i="79"/>
  <c r="L1158" i="79"/>
  <c r="L1125" i="79"/>
  <c r="X149" i="52"/>
  <c r="X148" i="52"/>
  <c r="X7" i="52" s="1"/>
  <c r="X117" i="52" s="1"/>
  <c r="X151" i="52"/>
  <c r="AN151" i="52" s="1"/>
  <c r="X152" i="52"/>
  <c r="X150" i="52"/>
  <c r="AN150" i="52" s="1"/>
  <c r="G558" i="79"/>
  <c r="G542" i="79"/>
  <c r="G117" i="79"/>
  <c r="G85" i="79" s="1"/>
  <c r="G47" i="79" s="1"/>
  <c r="G459" i="79"/>
  <c r="G98" i="79" s="1"/>
  <c r="G72" i="79" s="1"/>
  <c r="BD151" i="52" s="1"/>
  <c r="G445" i="79"/>
  <c r="G442" i="79" s="1"/>
  <c r="G530" i="79"/>
  <c r="H150" i="9"/>
  <c r="AB150" i="9"/>
  <c r="J2229" i="79"/>
  <c r="J2210" i="79" s="1"/>
  <c r="J2132" i="79" s="1"/>
  <c r="J1995" i="79"/>
  <c r="J1981" i="79" s="1"/>
  <c r="J1877" i="79" s="1"/>
  <c r="K70" i="37"/>
  <c r="J3227" i="79"/>
  <c r="J3223" i="79" s="1"/>
  <c r="J3231" i="79"/>
  <c r="J3224" i="79" s="1"/>
  <c r="J2015" i="79"/>
  <c r="J2001" i="79" s="1"/>
  <c r="J1878" i="79" s="1"/>
  <c r="J1975" i="79"/>
  <c r="J1961" i="79" s="1"/>
  <c r="J1876" i="79" s="1"/>
  <c r="AJ70" i="52"/>
  <c r="AJ114" i="52"/>
  <c r="AO263" i="52"/>
  <c r="AA263" i="52"/>
  <c r="AA264" i="52"/>
  <c r="AA265" i="52"/>
  <c r="AQ265" i="52" s="1"/>
  <c r="AA266" i="52"/>
  <c r="AA262" i="52"/>
  <c r="AO266" i="52"/>
  <c r="AO264" i="52"/>
  <c r="K69" i="37"/>
  <c r="L114" i="37"/>
  <c r="L128" i="37" s="1"/>
  <c r="AP203" i="52"/>
  <c r="J2065" i="79"/>
  <c r="AP105" i="52"/>
  <c r="K78" i="37"/>
  <c r="K1613" i="79"/>
  <c r="K1612" i="79" s="1"/>
  <c r="K1645" i="79"/>
  <c r="K1644" i="79" s="1"/>
  <c r="K1597" i="79"/>
  <c r="K1596" i="79" s="1"/>
  <c r="K1629" i="79"/>
  <c r="K1628" i="79" s="1"/>
  <c r="K1581" i="79"/>
  <c r="K1580" i="79" s="1"/>
  <c r="I1764" i="79"/>
  <c r="L50" i="37"/>
  <c r="L78" i="37" s="1"/>
  <c r="L116" i="37"/>
  <c r="L130" i="37" s="1"/>
  <c r="L48" i="37"/>
  <c r="L76" i="37" s="1"/>
  <c r="L113" i="37"/>
  <c r="L127" i="37" s="1"/>
  <c r="L47" i="37"/>
  <c r="L69" i="37" s="1"/>
  <c r="M1044" i="79"/>
  <c r="M1081" i="79"/>
  <c r="M1155" i="79"/>
  <c r="M1118" i="79"/>
  <c r="M1192" i="79"/>
  <c r="K2301" i="79"/>
  <c r="K2299" i="79" s="1"/>
  <c r="K2251" i="79"/>
  <c r="K2249" i="79" s="1"/>
  <c r="K2237" i="79" s="1"/>
  <c r="K2145" i="79" s="1"/>
  <c r="K3229" i="79"/>
  <c r="M108" i="37"/>
  <c r="M110" i="37"/>
  <c r="M107" i="37"/>
  <c r="AP202" i="52"/>
  <c r="L2885" i="79"/>
  <c r="L2879" i="79" s="1"/>
  <c r="L3281" i="79"/>
  <c r="AP38" i="52"/>
  <c r="Z104" i="52"/>
  <c r="AP104" i="52" s="1"/>
  <c r="AA105" i="52"/>
  <c r="AA206" i="52"/>
  <c r="AA205" i="52"/>
  <c r="AQ205" i="52" s="1"/>
  <c r="AA204" i="52"/>
  <c r="AA60" i="52" s="1"/>
  <c r="AA202" i="52"/>
  <c r="AA16" i="52" s="1"/>
  <c r="AA203" i="52"/>
  <c r="AA38" i="52" s="1"/>
  <c r="L1687" i="79"/>
  <c r="AP204" i="52"/>
  <c r="L2652" i="79"/>
  <c r="L2650" i="79" s="1"/>
  <c r="AJ254" i="52"/>
  <c r="AJ164" i="52"/>
  <c r="AJ253" i="52"/>
  <c r="AJ170" i="52"/>
  <c r="AJ163" i="52"/>
  <c r="AJ252" i="52"/>
  <c r="AJ169" i="52"/>
  <c r="AJ162" i="52"/>
  <c r="AJ251" i="52"/>
  <c r="AJ168" i="52"/>
  <c r="AJ161" i="52"/>
  <c r="AJ250" i="52"/>
  <c r="AJ167" i="52"/>
  <c r="AJ160" i="52"/>
  <c r="AJ166" i="52"/>
  <c r="L3559" i="79"/>
  <c r="L3554" i="79" s="1"/>
  <c r="K3391" i="79"/>
  <c r="AB212" i="52"/>
  <c r="AB210" i="52"/>
  <c r="AB61" i="52" s="1"/>
  <c r="AB209" i="52"/>
  <c r="AB39" i="52" s="1"/>
  <c r="AB208" i="52"/>
  <c r="AB17" i="52" s="1"/>
  <c r="AB211" i="52"/>
  <c r="L1774" i="79"/>
  <c r="J1470" i="79"/>
  <c r="J1599" i="79"/>
  <c r="J1590" i="79" s="1"/>
  <c r="J1588" i="79" s="1"/>
  <c r="J1565" i="79" s="1"/>
  <c r="M187" i="37"/>
  <c r="L13" i="9"/>
  <c r="K166" i="9"/>
  <c r="D583" i="59"/>
  <c r="F625" i="59"/>
  <c r="D625" i="59" s="1"/>
  <c r="L51" i="37"/>
  <c r="L79" i="37" s="1"/>
  <c r="L117" i="37"/>
  <c r="L131" i="37" s="1"/>
  <c r="L49" i="37"/>
  <c r="L77" i="37" s="1"/>
  <c r="L115" i="37"/>
  <c r="L129" i="37" s="1"/>
  <c r="L187" i="37"/>
  <c r="J1647" i="79"/>
  <c r="J1638" i="79" s="1"/>
  <c r="J605" i="79"/>
  <c r="J601" i="79"/>
  <c r="I1744" i="79"/>
  <c r="I1695" i="79" s="1"/>
  <c r="I1749" i="79"/>
  <c r="I20" i="56"/>
  <c r="H20" i="56"/>
  <c r="J1384" i="79"/>
  <c r="J1631" i="79"/>
  <c r="J1622" i="79" s="1"/>
  <c r="J1620" i="79" s="1"/>
  <c r="J1567" i="79" s="1"/>
  <c r="J1380" i="79"/>
  <c r="J655" i="79"/>
  <c r="J659" i="79"/>
  <c r="J1615" i="79"/>
  <c r="J1606" i="79" s="1"/>
  <c r="J1604" i="79" s="1"/>
  <c r="J1566" i="79" s="1"/>
  <c r="J1583" i="79"/>
  <c r="J1574" i="79" s="1"/>
  <c r="J1572" i="79" s="1"/>
  <c r="J1564" i="79" s="1"/>
  <c r="K990" i="79"/>
  <c r="K1649" i="79"/>
  <c r="K1617" i="79"/>
  <c r="K1585" i="79"/>
  <c r="K1508" i="79"/>
  <c r="K1530" i="79"/>
  <c r="K1601" i="79"/>
  <c r="K1221" i="79"/>
  <c r="K1633" i="79"/>
  <c r="J1294" i="79"/>
  <c r="AP64" i="52"/>
  <c r="J825" i="79"/>
  <c r="I1699" i="79"/>
  <c r="I1692" i="79" s="1"/>
  <c r="I1704" i="79"/>
  <c r="J1765" i="79"/>
  <c r="J1761" i="79" s="1"/>
  <c r="J832" i="79"/>
  <c r="J1342" i="79"/>
  <c r="M185" i="37"/>
  <c r="L189" i="37"/>
  <c r="M186" i="37"/>
  <c r="M184" i="37"/>
  <c r="K73" i="37"/>
  <c r="J1474" i="79"/>
  <c r="J2066" i="79"/>
  <c r="L192" i="37"/>
  <c r="L186" i="37"/>
  <c r="K71" i="37"/>
  <c r="L190" i="37"/>
  <c r="L184" i="37"/>
  <c r="L191" i="37"/>
  <c r="L185" i="37"/>
  <c r="Q4" i="54"/>
  <c r="K77" i="37"/>
  <c r="N347" i="37"/>
  <c r="N344" i="37"/>
  <c r="M111" i="37"/>
  <c r="M109" i="37"/>
  <c r="J1283" i="79"/>
  <c r="J788" i="79"/>
  <c r="J869" i="79"/>
  <c r="M183" i="37"/>
  <c r="N184" i="37"/>
  <c r="N24" i="37"/>
  <c r="P25" i="37"/>
  <c r="Q343" i="37"/>
  <c r="O26" i="37"/>
  <c r="O345" i="37"/>
  <c r="P346" i="37"/>
  <c r="O27" i="37"/>
  <c r="O28" i="37"/>
  <c r="J713" i="79"/>
  <c r="J1425" i="79"/>
  <c r="I1719" i="79"/>
  <c r="J2063" i="79"/>
  <c r="J943" i="79"/>
  <c r="J709" i="79"/>
  <c r="J1429" i="79"/>
  <c r="J1705" i="79"/>
  <c r="J1701" i="79" s="1"/>
  <c r="J1335" i="79"/>
  <c r="AP228" i="52"/>
  <c r="J1339" i="79"/>
  <c r="K878" i="79"/>
  <c r="K952" i="79"/>
  <c r="K841" i="79"/>
  <c r="K948" i="79"/>
  <c r="K800" i="79"/>
  <c r="K915" i="79"/>
  <c r="K837" i="79"/>
  <c r="K874" i="79"/>
  <c r="K804" i="79"/>
  <c r="K911" i="79"/>
  <c r="J1297" i="79"/>
  <c r="J608" i="79"/>
  <c r="L3056" i="79"/>
  <c r="L3052" i="79" s="1"/>
  <c r="K2698" i="79"/>
  <c r="K2696" i="79" s="1"/>
  <c r="K2681" i="79" s="1"/>
  <c r="AJ206" i="52"/>
  <c r="AJ205" i="52"/>
  <c r="AJ204" i="52"/>
  <c r="AJ203" i="52"/>
  <c r="AJ202" i="52"/>
  <c r="K1688" i="79"/>
  <c r="J795" i="79"/>
  <c r="AI16" i="52"/>
  <c r="AI38" i="52"/>
  <c r="AI60" i="52"/>
  <c r="J1290" i="79"/>
  <c r="AP227" i="52"/>
  <c r="J1432" i="79"/>
  <c r="J906" i="79"/>
  <c r="K797" i="79"/>
  <c r="K945" i="79"/>
  <c r="K834" i="79"/>
  <c r="K871" i="79"/>
  <c r="K908" i="79"/>
  <c r="K1292" i="79"/>
  <c r="K1382" i="79"/>
  <c r="K1337" i="79"/>
  <c r="K1427" i="79"/>
  <c r="K1472" i="79"/>
  <c r="K864" i="79"/>
  <c r="K866" i="79" s="1"/>
  <c r="K790" i="79"/>
  <c r="K792" i="79" s="1"/>
  <c r="K827" i="79"/>
  <c r="K829" i="79" s="1"/>
  <c r="K938" i="79"/>
  <c r="K940" i="79" s="1"/>
  <c r="K901" i="79"/>
  <c r="K903" i="79" s="1"/>
  <c r="J628" i="79"/>
  <c r="J632" i="79"/>
  <c r="J1418" i="79"/>
  <c r="J1387" i="79"/>
  <c r="J689" i="79"/>
  <c r="Z108" i="52"/>
  <c r="AP108" i="52" s="1"/>
  <c r="J1735" i="79"/>
  <c r="J1731" i="79" s="1"/>
  <c r="AA229" i="52"/>
  <c r="AQ229" i="52" s="1"/>
  <c r="AA226" i="52"/>
  <c r="AA20" i="52" s="1"/>
  <c r="AA227" i="52"/>
  <c r="AA42" i="52" s="1"/>
  <c r="AA230" i="52"/>
  <c r="AA228" i="52"/>
  <c r="AA64" i="52" s="1"/>
  <c r="K1786" i="79"/>
  <c r="Z20" i="52"/>
  <c r="AP226" i="52"/>
  <c r="J716" i="79"/>
  <c r="J1750" i="79"/>
  <c r="J1746" i="79" s="1"/>
  <c r="J1328" i="79"/>
  <c r="K1632" i="79"/>
  <c r="K1433" i="79"/>
  <c r="K1154" i="79"/>
  <c r="K1153" i="79" s="1"/>
  <c r="K690" i="79"/>
  <c r="K1419" i="79"/>
  <c r="K1751" i="79"/>
  <c r="K907" i="79"/>
  <c r="K408" i="79"/>
  <c r="K190" i="79" s="1"/>
  <c r="K184" i="79" s="1"/>
  <c r="K430" i="79"/>
  <c r="K452" i="79"/>
  <c r="J1477" i="79"/>
  <c r="J1373" i="79"/>
  <c r="K1043" i="79"/>
  <c r="K1042" i="79" s="1"/>
  <c r="K207" i="79"/>
  <c r="K2832" i="79"/>
  <c r="K2830" i="79" s="1"/>
  <c r="K2821" i="79" s="1"/>
  <c r="K1706" i="79"/>
  <c r="K3236" i="79"/>
  <c r="K3234" i="79" s="1"/>
  <c r="K1284" i="79"/>
  <c r="K251" i="79"/>
  <c r="K1584" i="79"/>
  <c r="K796" i="79"/>
  <c r="K609" i="79"/>
  <c r="K1298" i="79"/>
  <c r="K229" i="79"/>
  <c r="J682" i="79"/>
  <c r="J686" i="79"/>
  <c r="I1729" i="79"/>
  <c r="I1694" i="79" s="1"/>
  <c r="I1734" i="79"/>
  <c r="J1463" i="79"/>
  <c r="K1151" i="79"/>
  <c r="K1150" i="79" s="1"/>
  <c r="K1114" i="79"/>
  <c r="K1113" i="79" s="1"/>
  <c r="K1077" i="79"/>
  <c r="K1076" i="79" s="1"/>
  <c r="K1188" i="79"/>
  <c r="K1187" i="79" s="1"/>
  <c r="K1040" i="79"/>
  <c r="K1039" i="79" s="1"/>
  <c r="AI20" i="52"/>
  <c r="L1936" i="79"/>
  <c r="L1996" i="79"/>
  <c r="L2205" i="79"/>
  <c r="L1956" i="79"/>
  <c r="L1976" i="79"/>
  <c r="L2305" i="79"/>
  <c r="L2255" i="79"/>
  <c r="L2016" i="79"/>
  <c r="L2280" i="79"/>
  <c r="L2230" i="79"/>
  <c r="K1306" i="79"/>
  <c r="K1351" i="79"/>
  <c r="K1396" i="79"/>
  <c r="K1392" i="79"/>
  <c r="K1347" i="79"/>
  <c r="K1302" i="79"/>
  <c r="K1437" i="79"/>
  <c r="K1441" i="79"/>
  <c r="K1482" i="79"/>
  <c r="K1486" i="79"/>
  <c r="K657" i="79"/>
  <c r="K684" i="79"/>
  <c r="K630" i="79"/>
  <c r="K711" i="79"/>
  <c r="K603" i="79"/>
  <c r="AI42" i="52"/>
  <c r="L1111" i="79"/>
  <c r="L1074" i="79"/>
  <c r="L1148" i="79"/>
  <c r="L1037" i="79"/>
  <c r="L1185" i="79"/>
  <c r="K1385" i="79"/>
  <c r="K1295" i="79"/>
  <c r="K1340" i="79"/>
  <c r="K1430" i="79"/>
  <c r="K1475" i="79"/>
  <c r="K1131" i="79"/>
  <c r="K1057" i="79"/>
  <c r="K1094" i="79"/>
  <c r="K1205" i="79"/>
  <c r="K1168" i="79"/>
  <c r="K2826" i="79"/>
  <c r="K2847" i="79"/>
  <c r="AJ226" i="52"/>
  <c r="AJ230" i="52"/>
  <c r="AJ229" i="52"/>
  <c r="AJ228" i="52"/>
  <c r="AJ227" i="52"/>
  <c r="K1787" i="79"/>
  <c r="K691" i="79"/>
  <c r="K718" i="79"/>
  <c r="K637" i="79"/>
  <c r="K664" i="79"/>
  <c r="K610" i="79"/>
  <c r="K2201" i="79"/>
  <c r="K2199" i="79" s="1"/>
  <c r="K2187" i="79" s="1"/>
  <c r="K2143" i="79" s="1"/>
  <c r="J662" i="79"/>
  <c r="K884" i="79"/>
  <c r="K921" i="79"/>
  <c r="K810" i="79"/>
  <c r="K958" i="79"/>
  <c r="K847" i="79"/>
  <c r="J1720" i="79"/>
  <c r="J1716" i="79" s="1"/>
  <c r="K1117" i="79"/>
  <c r="K1116" i="79" s="1"/>
  <c r="K1736" i="79"/>
  <c r="K385" i="79"/>
  <c r="K1374" i="79"/>
  <c r="K870" i="79"/>
  <c r="K663" i="79"/>
  <c r="K1616" i="79"/>
  <c r="K341" i="79"/>
  <c r="K189" i="79" s="1"/>
  <c r="K183" i="79" s="1"/>
  <c r="K363" i="79"/>
  <c r="K1388" i="79"/>
  <c r="K3232" i="79"/>
  <c r="K1330" i="79"/>
  <c r="K1420" i="79"/>
  <c r="K1737" i="79"/>
  <c r="K1707" i="79"/>
  <c r="K1752" i="79"/>
  <c r="K1465" i="79"/>
  <c r="K1767" i="79"/>
  <c r="K1722" i="79"/>
  <c r="K1375" i="79"/>
  <c r="K1285" i="79"/>
  <c r="J635" i="79"/>
  <c r="K1344" i="79"/>
  <c r="K1299" i="79"/>
  <c r="K1479" i="79"/>
  <c r="K1389" i="79"/>
  <c r="K1434" i="79"/>
  <c r="K2276" i="79"/>
  <c r="K2274" i="79" s="1"/>
  <c r="K2262" i="79" s="1"/>
  <c r="K2146" i="79" s="1"/>
  <c r="AI64" i="52"/>
  <c r="L2831" i="79"/>
  <c r="I1680" i="79"/>
  <c r="L52" i="56"/>
  <c r="L51" i="56"/>
  <c r="L26" i="56"/>
  <c r="L27" i="56"/>
  <c r="M21" i="9"/>
  <c r="L71" i="9"/>
  <c r="D49" i="56"/>
  <c r="B43" i="56"/>
  <c r="B36" i="56"/>
  <c r="C418" i="54" a="1"/>
  <c r="C418" i="54" s="1"/>
  <c r="H418" i="54" a="1"/>
  <c r="H418" i="54" s="1"/>
  <c r="A419" i="54"/>
  <c r="C771" i="59"/>
  <c r="F771" i="59" s="1" a="1"/>
  <c r="F771" i="59" s="1"/>
  <c r="F770" i="59" a="1"/>
  <c r="F770" i="59" s="1"/>
  <c r="D770" i="59" s="1"/>
  <c r="Q771" i="59"/>
  <c r="N771" i="59" s="1"/>
  <c r="C749" i="59"/>
  <c r="F748" i="59" a="1"/>
  <c r="F748" i="59" s="1"/>
  <c r="D726" i="59"/>
  <c r="C728" i="59"/>
  <c r="F727" i="59" a="1"/>
  <c r="F727" i="59" s="1"/>
  <c r="D727" i="59" s="1"/>
  <c r="C707" i="59"/>
  <c r="F706" i="59" a="1"/>
  <c r="F706" i="59" s="1"/>
  <c r="D706" i="59" s="1"/>
  <c r="D684" i="59"/>
  <c r="C686" i="59"/>
  <c r="F685" i="59" a="1"/>
  <c r="F685" i="59" s="1"/>
  <c r="D685" i="59" s="1"/>
  <c r="K73" i="9"/>
  <c r="AB17" i="10"/>
  <c r="J1745" i="79"/>
  <c r="J1730" i="79"/>
  <c r="J1700" i="79"/>
  <c r="C93" i="79"/>
  <c r="B93" i="79" s="1"/>
  <c r="H1864" i="79"/>
  <c r="I1875" i="79"/>
  <c r="I1874" i="79"/>
  <c r="G1963" i="79"/>
  <c r="G1828" i="79"/>
  <c r="H1828" i="79"/>
  <c r="G1829" i="79"/>
  <c r="H1827" i="79"/>
  <c r="H1825" i="79"/>
  <c r="H1826" i="79"/>
  <c r="H1829" i="79"/>
  <c r="H1866" i="79"/>
  <c r="G2003" i="79"/>
  <c r="AO108" i="52"/>
  <c r="G1983" i="79"/>
  <c r="G1943" i="79"/>
  <c r="H1983" i="79"/>
  <c r="G1923" i="79"/>
  <c r="I2000" i="79"/>
  <c r="I1940" i="79"/>
  <c r="I1920" i="79"/>
  <c r="I1868" i="79" s="1"/>
  <c r="I1960" i="79"/>
  <c r="I1980" i="79"/>
  <c r="AA214" i="52"/>
  <c r="AA215" i="52"/>
  <c r="AA218" i="52"/>
  <c r="AA216" i="52"/>
  <c r="H2097" i="79"/>
  <c r="H2066" i="79"/>
  <c r="G2095" i="79"/>
  <c r="G2064" i="79"/>
  <c r="G2094" i="79"/>
  <c r="G2063" i="79"/>
  <c r="B151" i="79"/>
  <c r="C157" i="79"/>
  <c r="C161" i="79"/>
  <c r="B155" i="79"/>
  <c r="B145" i="79"/>
  <c r="C152" i="79"/>
  <c r="AN107" i="52"/>
  <c r="H2119" i="79"/>
  <c r="G2122" i="79"/>
  <c r="H2121" i="79"/>
  <c r="G2123" i="79"/>
  <c r="H2123" i="79"/>
  <c r="J2279" i="79"/>
  <c r="J2260" i="79" s="1"/>
  <c r="J2134" i="79" s="1"/>
  <c r="J2254" i="79"/>
  <c r="J2235" i="79" s="1"/>
  <c r="J2133" i="79" s="1"/>
  <c r="J2204" i="79"/>
  <c r="J2185" i="79" s="1"/>
  <c r="J2131" i="79" s="1"/>
  <c r="J2224" i="79"/>
  <c r="I2212" i="79"/>
  <c r="I2144" i="79" s="1"/>
  <c r="G2119" i="79"/>
  <c r="G1436" i="79"/>
  <c r="G1414" i="79" s="1"/>
  <c r="I2283" i="79"/>
  <c r="G1157" i="79"/>
  <c r="G1143" i="79" s="1"/>
  <c r="J2289" i="79"/>
  <c r="J2284" i="79" s="1"/>
  <c r="J2129" i="79" s="1"/>
  <c r="J2080" i="79" s="1"/>
  <c r="J2304" i="79"/>
  <c r="J2285" i="79" s="1"/>
  <c r="J2135" i="79" s="1"/>
  <c r="I2258" i="79"/>
  <c r="I2233" i="79"/>
  <c r="G873" i="79"/>
  <c r="G859" i="79" s="1"/>
  <c r="G1391" i="79"/>
  <c r="G1369" i="79" s="1"/>
  <c r="G2121" i="79"/>
  <c r="H2120" i="79"/>
  <c r="G2120" i="79"/>
  <c r="I2184" i="79"/>
  <c r="I2125" i="79" s="1"/>
  <c r="I2076" i="79" s="1"/>
  <c r="C91" i="79"/>
  <c r="B78" i="79"/>
  <c r="I1282" i="79"/>
  <c r="AO104" i="52"/>
  <c r="AN105" i="52"/>
  <c r="AO105" i="52"/>
  <c r="H1863" i="79"/>
  <c r="Z232" i="52"/>
  <c r="Z21" i="52" s="1"/>
  <c r="Z131" i="52" s="1"/>
  <c r="Z234" i="52"/>
  <c r="AP234" i="52" s="1"/>
  <c r="Z235" i="52"/>
  <c r="AP235" i="52" s="1"/>
  <c r="Z236" i="52"/>
  <c r="J1955" i="79"/>
  <c r="J1941" i="79" s="1"/>
  <c r="G1862" i="79"/>
  <c r="H1862" i="79"/>
  <c r="Z43" i="52"/>
  <c r="H2673" i="79"/>
  <c r="G2673" i="79"/>
  <c r="H2675" i="79"/>
  <c r="G2674" i="79"/>
  <c r="H2674" i="79"/>
  <c r="G2675" i="79"/>
  <c r="H2671" i="79"/>
  <c r="G2671" i="79"/>
  <c r="AA232" i="52"/>
  <c r="AA21" i="52" s="1"/>
  <c r="AA131" i="52" s="1"/>
  <c r="I2530" i="79"/>
  <c r="I2523" i="79" s="1"/>
  <c r="H2526" i="79"/>
  <c r="H2525" i="79"/>
  <c r="G2525" i="79"/>
  <c r="I2526" i="79"/>
  <c r="H2527" i="79"/>
  <c r="G2526" i="79"/>
  <c r="G2527" i="79"/>
  <c r="H2523" i="79"/>
  <c r="G2523" i="79"/>
  <c r="G464" i="79"/>
  <c r="G463" i="79" s="1"/>
  <c r="AN104" i="52"/>
  <c r="K3374" i="79"/>
  <c r="K2990" i="79"/>
  <c r="K2551" i="79"/>
  <c r="K2850" i="79"/>
  <c r="K3250" i="79"/>
  <c r="K3248" i="79" s="1"/>
  <c r="K2955" i="79"/>
  <c r="K2949" i="79" s="1"/>
  <c r="K3343" i="79"/>
  <c r="K1080" i="79"/>
  <c r="K1079" i="79" s="1"/>
  <c r="K274" i="79"/>
  <c r="K188" i="79" s="1"/>
  <c r="K182" i="79" s="1"/>
  <c r="K1721" i="79"/>
  <c r="K833" i="79"/>
  <c r="K296" i="79"/>
  <c r="K318" i="79"/>
  <c r="K1343" i="79"/>
  <c r="K1600" i="79"/>
  <c r="K636" i="79"/>
  <c r="K1329" i="79"/>
  <c r="K1648" i="79"/>
  <c r="K1766" i="79"/>
  <c r="K1191" i="79"/>
  <c r="K1190" i="79" s="1"/>
  <c r="K497" i="79"/>
  <c r="K519" i="79"/>
  <c r="K1464" i="79"/>
  <c r="K1478" i="79"/>
  <c r="K944" i="79"/>
  <c r="K475" i="79"/>
  <c r="K191" i="79" s="1"/>
  <c r="K185" i="79" s="1"/>
  <c r="K717" i="79"/>
  <c r="K2920" i="79"/>
  <c r="K3312" i="79"/>
  <c r="K3310" i="79" s="1"/>
  <c r="K2806" i="79"/>
  <c r="K3397" i="79"/>
  <c r="K3017" i="79"/>
  <c r="K2666" i="79"/>
  <c r="K2664" i="79" s="1"/>
  <c r="I1462" i="79"/>
  <c r="I1417" i="79"/>
  <c r="I1372" i="79"/>
  <c r="I1327" i="79"/>
  <c r="J1466" i="79"/>
  <c r="J1421" i="79"/>
  <c r="J1376" i="79"/>
  <c r="J1331" i="79"/>
  <c r="J1286" i="79"/>
  <c r="J862" i="79"/>
  <c r="J899" i="79"/>
  <c r="J936" i="79"/>
  <c r="J1945" i="79"/>
  <c r="J2264" i="79"/>
  <c r="J2259" i="79" s="1"/>
  <c r="J2128" i="79" s="1"/>
  <c r="J2079" i="79" s="1"/>
  <c r="J2239" i="79"/>
  <c r="J2234" i="79" s="1"/>
  <c r="J2127" i="79" s="1"/>
  <c r="J2078" i="79" s="1"/>
  <c r="J1925" i="79"/>
  <c r="J2005" i="79"/>
  <c r="J1985" i="79"/>
  <c r="J1965" i="79"/>
  <c r="J2189" i="79"/>
  <c r="J2214" i="79"/>
  <c r="J2209" i="79" s="1"/>
  <c r="J2126" i="79" s="1"/>
  <c r="J2077" i="79" s="1"/>
  <c r="K271" i="79"/>
  <c r="K472" i="79"/>
  <c r="K338" i="79"/>
  <c r="K405" i="79"/>
  <c r="K204" i="79"/>
  <c r="K2226" i="79"/>
  <c r="AA217" i="52"/>
  <c r="AQ217" i="52" s="1"/>
  <c r="K2311" i="79"/>
  <c r="K2308" i="79" s="1"/>
  <c r="K2324" i="79"/>
  <c r="K2321" i="79" s="1"/>
  <c r="K1987" i="79"/>
  <c r="K1995" i="79" s="1"/>
  <c r="K1981" i="79" s="1"/>
  <c r="K2191" i="79"/>
  <c r="K2007" i="79"/>
  <c r="K2015" i="79" s="1"/>
  <c r="K2001" i="79" s="1"/>
  <c r="K1967" i="79"/>
  <c r="K1975" i="79" s="1"/>
  <c r="K1961" i="79" s="1"/>
  <c r="K2216" i="79"/>
  <c r="K2229" i="79" s="1"/>
  <c r="K2210" i="79" s="1"/>
  <c r="K2132" i="79" s="1"/>
  <c r="K1927" i="79"/>
  <c r="K1935" i="79" s="1"/>
  <c r="K1947" i="79"/>
  <c r="K2266" i="79"/>
  <c r="K2291" i="79"/>
  <c r="K2241" i="79"/>
  <c r="K619" i="79"/>
  <c r="K646" i="79"/>
  <c r="K727" i="79"/>
  <c r="K700" i="79"/>
  <c r="K673" i="79"/>
  <c r="K714" i="79"/>
  <c r="K606" i="79"/>
  <c r="K633" i="79"/>
  <c r="K660" i="79"/>
  <c r="K687" i="79"/>
  <c r="AO112" i="52"/>
  <c r="L1545" i="79"/>
  <c r="L1544" i="79" s="1"/>
  <c r="K1739" i="79"/>
  <c r="K1738" i="79" s="1"/>
  <c r="K1609" i="79"/>
  <c r="K1608" i="79" s="1"/>
  <c r="K1605" i="79" s="1"/>
  <c r="K290" i="79"/>
  <c r="K1184" i="79"/>
  <c r="K1183" i="79" s="1"/>
  <c r="K402" i="79"/>
  <c r="K3228" i="79"/>
  <c r="K1641" i="79"/>
  <c r="K1640" i="79" s="1"/>
  <c r="K2190" i="79"/>
  <c r="K1966" i="79"/>
  <c r="K2215" i="79"/>
  <c r="K1467" i="79"/>
  <c r="K2240" i="79"/>
  <c r="K1577" i="79"/>
  <c r="K1576" i="79" s="1"/>
  <c r="K1573" i="79" s="1"/>
  <c r="K1625" i="79"/>
  <c r="K1624" i="79" s="1"/>
  <c r="K1621" i="79" s="1"/>
  <c r="K2825" i="79"/>
  <c r="K201" i="79"/>
  <c r="K1287" i="79"/>
  <c r="K2006" i="79"/>
  <c r="K2290" i="79"/>
  <c r="K2693" i="79"/>
  <c r="K2692" i="79" s="1"/>
  <c r="K2679" i="79" s="1"/>
  <c r="K1724" i="79"/>
  <c r="K1723" i="79" s="1"/>
  <c r="K1715" i="79" s="1"/>
  <c r="K1946" i="79"/>
  <c r="K1926" i="79"/>
  <c r="K1110" i="79"/>
  <c r="K1109" i="79" s="1"/>
  <c r="K1471" i="79"/>
  <c r="K1147" i="79"/>
  <c r="K1146" i="79" s="1"/>
  <c r="K1769" i="79"/>
  <c r="K1768" i="79" s="1"/>
  <c r="K1760" i="79" s="1"/>
  <c r="K1709" i="79"/>
  <c r="K1708" i="79" s="1"/>
  <c r="K2265" i="79"/>
  <c r="K1986" i="79"/>
  <c r="K1381" i="79"/>
  <c r="K2536" i="79"/>
  <c r="K2535" i="79" s="1"/>
  <c r="K2531" i="79" s="1"/>
  <c r="K826" i="79"/>
  <c r="K491" i="79"/>
  <c r="K469" i="79"/>
  <c r="K357" i="79"/>
  <c r="K710" i="79"/>
  <c r="K424" i="79"/>
  <c r="K312" i="79"/>
  <c r="K1377" i="79"/>
  <c r="K1036" i="79"/>
  <c r="K1035" i="79" s="1"/>
  <c r="K379" i="79"/>
  <c r="K1593" i="79"/>
  <c r="K1592" i="79" s="1"/>
  <c r="K1589" i="79" s="1"/>
  <c r="K1336" i="79"/>
  <c r="K1291" i="79"/>
  <c r="K863" i="79"/>
  <c r="K1426" i="79"/>
  <c r="K900" i="79"/>
  <c r="K602" i="79"/>
  <c r="K1073" i="79"/>
  <c r="K1072" i="79" s="1"/>
  <c r="K683" i="79"/>
  <c r="K789" i="79"/>
  <c r="K245" i="79"/>
  <c r="K268" i="79"/>
  <c r="K223" i="79"/>
  <c r="K446" i="79"/>
  <c r="K1332" i="79"/>
  <c r="K1422" i="79"/>
  <c r="K513" i="79"/>
  <c r="K1754" i="79"/>
  <c r="K1753" i="79" s="1"/>
  <c r="K656" i="79"/>
  <c r="K937" i="79"/>
  <c r="K335" i="79"/>
  <c r="K629" i="79"/>
  <c r="AG96" i="52"/>
  <c r="AH96" i="52"/>
  <c r="AF96" i="52"/>
  <c r="AL96" i="52"/>
  <c r="AK96" i="52"/>
  <c r="AJ96" i="52"/>
  <c r="AI96" i="52"/>
  <c r="J2824" i="79"/>
  <c r="G329" i="79"/>
  <c r="G123" i="79"/>
  <c r="G195" i="79"/>
  <c r="G121" i="79"/>
  <c r="G218" i="79"/>
  <c r="G217" i="79" s="1"/>
  <c r="M177" i="79"/>
  <c r="G124" i="79"/>
  <c r="H353" i="79"/>
  <c r="H331" i="79"/>
  <c r="H420" i="79"/>
  <c r="H92" i="79" s="1"/>
  <c r="B89" i="79"/>
  <c r="C95" i="79"/>
  <c r="B95" i="79" s="1"/>
  <c r="B77" i="79"/>
  <c r="C90" i="79"/>
  <c r="B90" i="79" s="1"/>
  <c r="H155" i="9"/>
  <c r="AN108" i="52"/>
  <c r="B278" i="52"/>
  <c r="B34" i="52"/>
  <c r="B13" i="52"/>
  <c r="B173" i="52"/>
  <c r="B184" i="52"/>
  <c r="B76" i="52"/>
  <c r="B55" i="52"/>
  <c r="B174" i="52"/>
  <c r="AH77" i="52"/>
  <c r="AG77" i="52"/>
  <c r="AF77" i="52"/>
  <c r="AL77" i="52"/>
  <c r="AK77" i="52"/>
  <c r="AJ77" i="52"/>
  <c r="AI77" i="52"/>
  <c r="A291" i="54"/>
  <c r="C290" i="54" a="1"/>
  <c r="C290" i="54" s="1"/>
  <c r="D290" i="54" s="1"/>
  <c r="L12" i="9"/>
  <c r="J23" i="9"/>
  <c r="K15" i="9"/>
  <c r="J111" i="9"/>
  <c r="J115" i="9" s="1"/>
  <c r="K17" i="9"/>
  <c r="K67" i="9" s="1"/>
  <c r="K78" i="9" s="1"/>
  <c r="I153" i="9"/>
  <c r="I156" i="9"/>
  <c r="I96" i="9"/>
  <c r="I87" i="9"/>
  <c r="I65" i="9"/>
  <c r="K292" i="79"/>
  <c r="K314" i="79"/>
  <c r="K270" i="79"/>
  <c r="K359" i="79"/>
  <c r="K337" i="79"/>
  <c r="K381" i="79"/>
  <c r="G130" i="79"/>
  <c r="AN19" i="52"/>
  <c r="AN129" i="52" s="1"/>
  <c r="AA112" i="59"/>
  <c r="AA113" i="59"/>
  <c r="AB109" i="59"/>
  <c r="V223" i="59"/>
  <c r="V224" i="59" s="1"/>
  <c r="V225" i="59" s="1"/>
  <c r="W222" i="59"/>
  <c r="X177" i="59"/>
  <c r="Y233" i="59"/>
  <c r="Z86" i="59"/>
  <c r="W237" i="59"/>
  <c r="X90" i="59"/>
  <c r="U64" i="59"/>
  <c r="H62" i="9"/>
  <c r="H61" i="9" s="1"/>
  <c r="CJ62" i="9"/>
  <c r="AB62" i="9"/>
  <c r="AV62" i="9"/>
  <c r="BP62" i="9"/>
  <c r="X176" i="59"/>
  <c r="F501" i="59"/>
  <c r="D480" i="59"/>
  <c r="Y231" i="59"/>
  <c r="Z84" i="59"/>
  <c r="V236" i="59"/>
  <c r="W89" i="59"/>
  <c r="Y6" i="59"/>
  <c r="CN172" i="9"/>
  <c r="L172" i="9"/>
  <c r="BT172" i="9"/>
  <c r="AZ172" i="9"/>
  <c r="AF172" i="9"/>
  <c r="L58" i="9"/>
  <c r="F542" i="59"/>
  <c r="F584" i="59" s="1"/>
  <c r="D500" i="59"/>
  <c r="C482" i="59"/>
  <c r="F481" i="59" a="1"/>
  <c r="F481" i="59" s="1"/>
  <c r="F523" i="59" s="1"/>
  <c r="D523" i="59" s="1"/>
  <c r="W229" i="59"/>
  <c r="X82" i="59"/>
  <c r="Z63" i="59"/>
  <c r="Y102" i="59"/>
  <c r="Y103" i="59"/>
  <c r="Z99" i="59"/>
  <c r="C651" i="59"/>
  <c r="F650" i="59" a="1"/>
  <c r="F650" i="59" s="1"/>
  <c r="D650" i="59" s="1"/>
  <c r="F562" i="59"/>
  <c r="D541" i="59"/>
  <c r="D560" i="59"/>
  <c r="F602" i="59"/>
  <c r="D602" i="59" s="1"/>
  <c r="Y234" i="59"/>
  <c r="Z87" i="59"/>
  <c r="Y230" i="59"/>
  <c r="Z83" i="59"/>
  <c r="F603" i="59"/>
  <c r="D603" i="59" s="1"/>
  <c r="D561" i="59"/>
  <c r="I154" i="9"/>
  <c r="I97" i="9"/>
  <c r="I76" i="9"/>
  <c r="I157" i="9"/>
  <c r="K16" i="9"/>
  <c r="J24" i="9"/>
  <c r="N652" i="59"/>
  <c r="Q653" i="59"/>
  <c r="F336" i="54"/>
  <c r="I337" i="54"/>
  <c r="H448" i="54" a="1"/>
  <c r="H448" i="54" s="1"/>
  <c r="C448" i="54" a="1"/>
  <c r="C448" i="54" s="1"/>
  <c r="B448" i="54" s="1"/>
  <c r="A449" i="54"/>
  <c r="H120" i="54" a="1"/>
  <c r="H120" i="54" s="1"/>
  <c r="C120" i="54" a="1"/>
  <c r="C120" i="54" s="1"/>
  <c r="B120" i="54" s="1"/>
  <c r="A121" i="54"/>
  <c r="C204" i="54" a="1"/>
  <c r="C204" i="54" s="1"/>
  <c r="B204" i="54" s="1"/>
  <c r="A205" i="54"/>
  <c r="H204" i="54" a="1"/>
  <c r="H204" i="54" s="1"/>
  <c r="E336" i="54"/>
  <c r="A336" i="54"/>
  <c r="C335" i="54" a="1"/>
  <c r="C335" i="54" s="1"/>
  <c r="D335" i="54" s="1"/>
  <c r="E227" i="54"/>
  <c r="B225" i="54"/>
  <c r="A250" i="54"/>
  <c r="C249" i="54" a="1"/>
  <c r="C249" i="54" s="1"/>
  <c r="D249" i="54" s="1"/>
  <c r="C32" i="54"/>
  <c r="B11" i="54"/>
  <c r="B493" i="54"/>
  <c r="A475" i="54"/>
  <c r="H474" i="54" a="1"/>
  <c r="H474" i="54" s="1"/>
  <c r="C474" i="54" a="1"/>
  <c r="C474" i="54" s="1"/>
  <c r="L474" i="54" s="1"/>
  <c r="C226" i="54" a="1"/>
  <c r="C226" i="54" s="1"/>
  <c r="D226" i="54" s="1"/>
  <c r="A227" i="54"/>
  <c r="H494" i="54" a="1"/>
  <c r="H494" i="54" s="1"/>
  <c r="A495" i="54"/>
  <c r="C494" i="54" a="1"/>
  <c r="C494" i="54" s="1"/>
  <c r="A32" i="54"/>
  <c r="C366" i="54" a="1"/>
  <c r="C366" i="54" s="1"/>
  <c r="A367" i="54"/>
  <c r="H366" i="54" a="1"/>
  <c r="H366" i="54" s="1"/>
  <c r="C95" i="54" a="1"/>
  <c r="C95" i="54" s="1"/>
  <c r="B95" i="54" s="1"/>
  <c r="A96" i="54"/>
  <c r="H140" i="54" a="1"/>
  <c r="H140" i="54" s="1"/>
  <c r="C140" i="54" a="1"/>
  <c r="C140" i="54" s="1"/>
  <c r="B140" i="54" s="1"/>
  <c r="A141" i="54"/>
  <c r="C182" i="54" a="1"/>
  <c r="C182" i="54" s="1"/>
  <c r="B182" i="54" s="1"/>
  <c r="A183" i="54"/>
  <c r="H182" i="54" a="1"/>
  <c r="H182" i="54" s="1"/>
  <c r="R113" i="54"/>
  <c r="C73" i="54"/>
  <c r="B73" i="54" s="1"/>
  <c r="B31" i="54"/>
  <c r="E313" i="54"/>
  <c r="C388" i="54" a="1"/>
  <c r="C388" i="54" s="1"/>
  <c r="A389" i="54"/>
  <c r="H388" i="54" a="1"/>
  <c r="H388" i="54" s="1"/>
  <c r="A429" i="54"/>
  <c r="H428" i="54" a="1"/>
  <c r="H428" i="54" s="1"/>
  <c r="C428" i="54" a="1"/>
  <c r="C428" i="54" s="1"/>
  <c r="B428" i="54" s="1"/>
  <c r="B309" i="54"/>
  <c r="E248" i="54"/>
  <c r="C310" i="54" a="1"/>
  <c r="C310" i="54" s="1"/>
  <c r="D310" i="54" s="1"/>
  <c r="A311" i="54"/>
  <c r="A76" i="54"/>
  <c r="B334" i="54"/>
  <c r="E290" i="54"/>
  <c r="B289" i="54"/>
  <c r="C12" i="54" a="1"/>
  <c r="C12" i="54" s="1"/>
  <c r="C54" i="54" s="1"/>
  <c r="B54" i="54" s="1"/>
  <c r="A13" i="54"/>
  <c r="H325" i="79"/>
  <c r="C170" i="79"/>
  <c r="B144" i="79"/>
  <c r="I451" i="79"/>
  <c r="G129" i="79"/>
  <c r="C146" i="79"/>
  <c r="B135" i="79"/>
  <c r="C147" i="79"/>
  <c r="B136" i="79"/>
  <c r="I242" i="79"/>
  <c r="H482" i="79"/>
  <c r="H466" i="79" s="1"/>
  <c r="H468" i="79"/>
  <c r="H465" i="79" s="1"/>
  <c r="I110" i="79"/>
  <c r="L494" i="79"/>
  <c r="L226" i="79"/>
  <c r="L360" i="79"/>
  <c r="L427" i="79"/>
  <c r="L425" i="79" s="1"/>
  <c r="L293" i="79"/>
  <c r="I459" i="79"/>
  <c r="I445" i="79"/>
  <c r="I442" i="79" s="1"/>
  <c r="I104" i="79"/>
  <c r="L516" i="79"/>
  <c r="L449" i="79"/>
  <c r="L447" i="79" s="1"/>
  <c r="L315" i="79"/>
  <c r="L248" i="79"/>
  <c r="L382" i="79"/>
  <c r="H558" i="79"/>
  <c r="J295" i="79"/>
  <c r="J474" i="79"/>
  <c r="I437" i="79"/>
  <c r="I421" i="79" s="1"/>
  <c r="I423" i="79"/>
  <c r="I214" i="79"/>
  <c r="I198" i="79" s="1"/>
  <c r="I200" i="79"/>
  <c r="I197" i="79" s="1"/>
  <c r="J429" i="79"/>
  <c r="K527" i="79"/>
  <c r="K483" i="79"/>
  <c r="K393" i="79"/>
  <c r="K259" i="79"/>
  <c r="K215" i="79"/>
  <c r="K326" i="79"/>
  <c r="K460" i="79"/>
  <c r="K349" i="79"/>
  <c r="K505" i="79"/>
  <c r="K416" i="79"/>
  <c r="K282" i="79"/>
  <c r="K237" i="79"/>
  <c r="K371" i="79"/>
  <c r="K438" i="79"/>
  <c r="K304" i="79"/>
  <c r="H222" i="79"/>
  <c r="H236" i="79"/>
  <c r="H220" i="79" s="1"/>
  <c r="I105" i="79"/>
  <c r="H504" i="79"/>
  <c r="H488" i="79" s="1"/>
  <c r="H490" i="79"/>
  <c r="J362" i="79"/>
  <c r="H530" i="79"/>
  <c r="K203" i="79"/>
  <c r="K225" i="79"/>
  <c r="K224" i="79" s="1"/>
  <c r="K247" i="79"/>
  <c r="L515" i="79"/>
  <c r="L471" i="79"/>
  <c r="L493" i="79"/>
  <c r="H83" i="79"/>
  <c r="J228" i="79"/>
  <c r="J206" i="79"/>
  <c r="H200" i="79"/>
  <c r="H197" i="79" s="1"/>
  <c r="H214" i="79"/>
  <c r="H198" i="79" s="1"/>
  <c r="J273" i="79"/>
  <c r="L175" i="79"/>
  <c r="H108" i="79"/>
  <c r="J407" i="79"/>
  <c r="J340" i="79"/>
  <c r="I75" i="9" l="1"/>
  <c r="K246" i="79"/>
  <c r="K258" i="79" s="1"/>
  <c r="K916" i="79"/>
  <c r="K914" i="79" s="1"/>
  <c r="K897" i="79" s="1"/>
  <c r="K1163" i="79"/>
  <c r="K1161" i="79" s="1"/>
  <c r="K1144" i="79" s="1"/>
  <c r="K1442" i="79"/>
  <c r="K1440" i="79" s="1"/>
  <c r="K1415" i="79" s="1"/>
  <c r="K842" i="79"/>
  <c r="K840" i="79" s="1"/>
  <c r="K823" i="79" s="1"/>
  <c r="K1352" i="79"/>
  <c r="K1350" i="79" s="1"/>
  <c r="K1325" i="79" s="1"/>
  <c r="K1089" i="79"/>
  <c r="K1087" i="79" s="1"/>
  <c r="K1070" i="79" s="1"/>
  <c r="K805" i="79"/>
  <c r="K803" i="79" s="1"/>
  <c r="K786" i="79" s="1"/>
  <c r="K1307" i="79"/>
  <c r="K1305" i="79" s="1"/>
  <c r="K1280" i="79" s="1"/>
  <c r="K1052" i="79"/>
  <c r="K1050" i="79" s="1"/>
  <c r="K1033" i="79" s="1"/>
  <c r="K879" i="79"/>
  <c r="K877" i="79" s="1"/>
  <c r="K860" i="79" s="1"/>
  <c r="K1397" i="79"/>
  <c r="K1395" i="79" s="1"/>
  <c r="K1370" i="79" s="1"/>
  <c r="K1126" i="79"/>
  <c r="K1124" i="79" s="1"/>
  <c r="K1107" i="79" s="1"/>
  <c r="K953" i="79"/>
  <c r="K951" i="79" s="1"/>
  <c r="K934" i="79" s="1"/>
  <c r="K1487" i="79"/>
  <c r="K1485" i="79" s="1"/>
  <c r="K1460" i="79" s="1"/>
  <c r="K1200" i="79"/>
  <c r="K1198" i="79" s="1"/>
  <c r="K1181" i="79" s="1"/>
  <c r="L1540" i="79"/>
  <c r="L1538" i="79"/>
  <c r="L1539" i="79"/>
  <c r="L1541" i="79"/>
  <c r="L1542" i="79"/>
  <c r="I64" i="9"/>
  <c r="K79" i="9"/>
  <c r="K77" i="9" s="1"/>
  <c r="K2844" i="79"/>
  <c r="K2914" i="79"/>
  <c r="K2984" i="79"/>
  <c r="K92" i="9"/>
  <c r="K130" i="9"/>
  <c r="K93" i="9"/>
  <c r="K68" i="9"/>
  <c r="K66" i="9" s="1"/>
  <c r="K248" i="9"/>
  <c r="K201" i="9"/>
  <c r="K63" i="9"/>
  <c r="C98" i="79"/>
  <c r="B98" i="79" s="1"/>
  <c r="K2641" i="79"/>
  <c r="K2629" i="79" s="1"/>
  <c r="K2545" i="79"/>
  <c r="K2533" i="79" s="1"/>
  <c r="L2569" i="79"/>
  <c r="L2557" i="79" s="1"/>
  <c r="K2569" i="79"/>
  <c r="K2557" i="79" s="1"/>
  <c r="K2554" i="79" s="1"/>
  <c r="K2593" i="79"/>
  <c r="K2581" i="79" s="1"/>
  <c r="K2605" i="79"/>
  <c r="K2602" i="79" s="1"/>
  <c r="K83" i="9"/>
  <c r="K72" i="9"/>
  <c r="L9" i="9"/>
  <c r="L127" i="9" s="1"/>
  <c r="K163" i="9"/>
  <c r="K126" i="9"/>
  <c r="K129" i="9"/>
  <c r="K84" i="9"/>
  <c r="K127" i="9"/>
  <c r="K146" i="9"/>
  <c r="AT5" i="9" a="1"/>
  <c r="AT5" i="9" s="1"/>
  <c r="AL4" i="8"/>
  <c r="AM4" i="8" s="1" a="1"/>
  <c r="AM4" i="8" s="1"/>
  <c r="AI3" i="8"/>
  <c r="AJ3" i="8"/>
  <c r="AH3" i="8"/>
  <c r="AG3" i="8"/>
  <c r="AD3" i="8"/>
  <c r="AF3" i="8"/>
  <c r="AE3" i="8"/>
  <c r="G262" i="79"/>
  <c r="E450" i="54"/>
  <c r="D449" i="54"/>
  <c r="B366" i="54"/>
  <c r="E429" i="54"/>
  <c r="D428" i="54"/>
  <c r="E419" i="54"/>
  <c r="D418" i="54"/>
  <c r="E366" i="54"/>
  <c r="D365" i="54"/>
  <c r="B418" i="54"/>
  <c r="E387" i="54"/>
  <c r="D386" i="54"/>
  <c r="B386" i="54"/>
  <c r="AA195" i="9"/>
  <c r="I195" i="9"/>
  <c r="G128" i="79"/>
  <c r="O67" i="37"/>
  <c r="Q516" i="54" s="1"/>
  <c r="R516" i="54" s="1"/>
  <c r="S516" i="54" s="1"/>
  <c r="T516" i="54" s="1"/>
  <c r="U516" i="54" s="1"/>
  <c r="V516" i="54" s="1"/>
  <c r="N494" i="54"/>
  <c r="O494" i="54"/>
  <c r="M494" i="54"/>
  <c r="L494" i="54"/>
  <c r="P494" i="54"/>
  <c r="Q494" i="54"/>
  <c r="R494" i="54" s="1"/>
  <c r="S494" i="54" s="1"/>
  <c r="T494" i="54" s="1"/>
  <c r="U494" i="54" s="1"/>
  <c r="V494" i="54" s="1"/>
  <c r="K494" i="54"/>
  <c r="AC10" i="9"/>
  <c r="AB195" i="9"/>
  <c r="AB197" i="9"/>
  <c r="AB201" i="9"/>
  <c r="AA76" i="9"/>
  <c r="AA75" i="9" s="1"/>
  <c r="AA65" i="9"/>
  <c r="AA64" i="9" s="1"/>
  <c r="L53" i="56"/>
  <c r="AL192" i="52"/>
  <c r="AL58" i="52" s="1"/>
  <c r="H1391" i="79"/>
  <c r="H1369" i="79" s="1"/>
  <c r="H1436" i="79"/>
  <c r="H1414" i="79" s="1"/>
  <c r="I1483" i="79"/>
  <c r="H1483" i="79"/>
  <c r="H1481" i="79" s="1"/>
  <c r="H1459" i="79" s="1"/>
  <c r="J1438" i="79"/>
  <c r="J1436" i="79" s="1"/>
  <c r="J1414" i="79" s="1"/>
  <c r="J1393" i="79"/>
  <c r="J1348" i="79"/>
  <c r="J1346" i="79" s="1"/>
  <c r="J1324" i="79" s="1"/>
  <c r="I836" i="79"/>
  <c r="I822" i="79" s="1"/>
  <c r="H1301" i="79"/>
  <c r="H1279" i="79" s="1"/>
  <c r="J1048" i="79"/>
  <c r="J1303" i="79"/>
  <c r="G1194" i="79"/>
  <c r="G1180" i="79" s="1"/>
  <c r="I949" i="79"/>
  <c r="I947" i="79" s="1"/>
  <c r="I933" i="79" s="1"/>
  <c r="I1196" i="79"/>
  <c r="I1194" i="79" s="1"/>
  <c r="I1180" i="79" s="1"/>
  <c r="H949" i="79"/>
  <c r="H947" i="79" s="1"/>
  <c r="H933" i="79" s="1"/>
  <c r="H1196" i="79"/>
  <c r="H1194" i="79" s="1"/>
  <c r="H1180" i="79" s="1"/>
  <c r="J912" i="79"/>
  <c r="J910" i="79" s="1"/>
  <c r="J896" i="79" s="1"/>
  <c r="J1159" i="79"/>
  <c r="J875" i="79"/>
  <c r="J873" i="79" s="1"/>
  <c r="J859" i="79" s="1"/>
  <c r="J1122" i="79"/>
  <c r="J1120" i="79" s="1"/>
  <c r="J1106" i="79" s="1"/>
  <c r="J838" i="79"/>
  <c r="J836" i="79" s="1"/>
  <c r="J822" i="79" s="1"/>
  <c r="J1085" i="79"/>
  <c r="J1083" i="79" s="1"/>
  <c r="J1069" i="79" s="1"/>
  <c r="H836" i="79"/>
  <c r="H822" i="79" s="1"/>
  <c r="G1481" i="79"/>
  <c r="G1459" i="79" s="1"/>
  <c r="G947" i="79"/>
  <c r="G933" i="79" s="1"/>
  <c r="J801" i="79"/>
  <c r="H1083" i="79"/>
  <c r="H1069" i="79" s="1"/>
  <c r="M2792" i="79"/>
  <c r="H1346" i="79"/>
  <c r="H1324" i="79" s="1"/>
  <c r="P521" i="54"/>
  <c r="P520" i="54"/>
  <c r="P515" i="54"/>
  <c r="P514" i="54"/>
  <c r="P511" i="54"/>
  <c r="P518" i="54"/>
  <c r="P517" i="54"/>
  <c r="AI119" i="52"/>
  <c r="AI135" i="52"/>
  <c r="AI130" i="52"/>
  <c r="N491" i="54"/>
  <c r="AI136" i="52"/>
  <c r="AJ133" i="52"/>
  <c r="AI126" i="52"/>
  <c r="N489" i="54"/>
  <c r="L28" i="56"/>
  <c r="L20" i="56" s="1"/>
  <c r="J257" i="80"/>
  <c r="I3445" i="79" s="1"/>
  <c r="N137" i="54"/>
  <c r="L158" i="54"/>
  <c r="N158" i="54"/>
  <c r="J43" i="56"/>
  <c r="M200" i="54" s="1"/>
  <c r="I43" i="56"/>
  <c r="L200" i="54" s="1"/>
  <c r="H43" i="56"/>
  <c r="K200" i="54" s="1"/>
  <c r="K158" i="54"/>
  <c r="K179" i="54"/>
  <c r="N179" i="54"/>
  <c r="M179" i="54"/>
  <c r="K43" i="56"/>
  <c r="N200" i="54" s="1"/>
  <c r="M137" i="54"/>
  <c r="L137" i="54"/>
  <c r="K137" i="54"/>
  <c r="L179" i="54"/>
  <c r="M158" i="54"/>
  <c r="AB72" i="9"/>
  <c r="AB73" i="9"/>
  <c r="AB68" i="9"/>
  <c r="AB66" i="9" s="1"/>
  <c r="AB79" i="9"/>
  <c r="AB77" i="9" s="1"/>
  <c r="AA249" i="9"/>
  <c r="K249" i="9"/>
  <c r="K474" i="54"/>
  <c r="AL236" i="52"/>
  <c r="AL109" i="52" s="1"/>
  <c r="O469" i="54"/>
  <c r="AB127" i="52"/>
  <c r="N470" i="54"/>
  <c r="AA130" i="52"/>
  <c r="AP126" i="52"/>
  <c r="AO127" i="52"/>
  <c r="N468" i="54"/>
  <c r="AA126" i="52"/>
  <c r="Z136" i="52"/>
  <c r="AI120" i="52"/>
  <c r="AP127" i="52"/>
  <c r="AP134" i="52"/>
  <c r="N252" i="37"/>
  <c r="P528" i="54" s="1"/>
  <c r="AO131" i="52"/>
  <c r="M470" i="54"/>
  <c r="Z130" i="52"/>
  <c r="Y136" i="52"/>
  <c r="Y129" i="52"/>
  <c r="Y135" i="52"/>
  <c r="O252" i="37"/>
  <c r="Q528" i="54" s="1"/>
  <c r="R528" i="54" s="1"/>
  <c r="S528" i="54" s="1"/>
  <c r="T528" i="54" s="1"/>
  <c r="U528" i="54" s="1"/>
  <c r="V528" i="54" s="1"/>
  <c r="AI134" i="52"/>
  <c r="AB105" i="52"/>
  <c r="AP218" i="52"/>
  <c r="Z112" i="52"/>
  <c r="AP112" i="52" s="1"/>
  <c r="AN152" i="52"/>
  <c r="AA104" i="52"/>
  <c r="AQ104" i="52" s="1"/>
  <c r="AP236" i="52"/>
  <c r="B97" i="52"/>
  <c r="B119" i="52"/>
  <c r="AA108" i="52"/>
  <c r="AQ108" i="52" s="1"/>
  <c r="AJ98" i="52"/>
  <c r="AI43" i="52"/>
  <c r="AI21" i="52"/>
  <c r="AI14" i="52"/>
  <c r="AJ75" i="52"/>
  <c r="AI109" i="52"/>
  <c r="AI101" i="52"/>
  <c r="AJ54" i="52"/>
  <c r="AJ97" i="52"/>
  <c r="AK111" i="52"/>
  <c r="AI13" i="52"/>
  <c r="AI17" i="52"/>
  <c r="N490" i="54" s="1"/>
  <c r="AJ24" i="52"/>
  <c r="AJ46" i="52"/>
  <c r="AJ112" i="52"/>
  <c r="AK23" i="52"/>
  <c r="AI39" i="52"/>
  <c r="AI57" i="52"/>
  <c r="AI36" i="52"/>
  <c r="AJ31" i="52"/>
  <c r="AJ53" i="52"/>
  <c r="AK45" i="52"/>
  <c r="AQ211" i="52"/>
  <c r="AI61" i="52"/>
  <c r="AJ32" i="52"/>
  <c r="AI102" i="52"/>
  <c r="AJ10" i="52"/>
  <c r="AJ76" i="52"/>
  <c r="AK67" i="52"/>
  <c r="AI105" i="52"/>
  <c r="AQ105" i="52" s="1"/>
  <c r="AI65" i="52"/>
  <c r="AJ9" i="52"/>
  <c r="AJ68" i="52"/>
  <c r="AI35" i="52"/>
  <c r="AI58" i="52"/>
  <c r="B158" i="52"/>
  <c r="B163" i="52"/>
  <c r="L42" i="56"/>
  <c r="O179" i="54" s="1"/>
  <c r="L40" i="56"/>
  <c r="O158" i="54" s="1"/>
  <c r="L43" i="56"/>
  <c r="O200" i="54" s="1"/>
  <c r="L41" i="56"/>
  <c r="O137" i="54" s="1"/>
  <c r="L39" i="56"/>
  <c r="B49" i="56"/>
  <c r="P117" i="54" s="1"/>
  <c r="L140" i="9"/>
  <c r="L139" i="9" s="1"/>
  <c r="M474" i="54"/>
  <c r="N474" i="54"/>
  <c r="M1511" i="79"/>
  <c r="O341" i="37"/>
  <c r="M3018" i="79"/>
  <c r="O181" i="37"/>
  <c r="Q519" i="54" s="1"/>
  <c r="R519" i="54" s="1"/>
  <c r="S519" i="54" s="1"/>
  <c r="T519" i="54" s="1"/>
  <c r="U519" i="54" s="1"/>
  <c r="V519" i="54" s="1"/>
  <c r="M2667" i="79"/>
  <c r="O340" i="37"/>
  <c r="M1224" i="79"/>
  <c r="M1533" i="79"/>
  <c r="O180" i="37"/>
  <c r="M993" i="79"/>
  <c r="O125" i="37"/>
  <c r="M738" i="79"/>
  <c r="L116" i="54"/>
  <c r="M116" i="54"/>
  <c r="K116" i="54"/>
  <c r="AO43" i="52"/>
  <c r="AP43" i="52"/>
  <c r="AO65" i="52"/>
  <c r="N185" i="37"/>
  <c r="AB18" i="10"/>
  <c r="BX17" i="10"/>
  <c r="BY17" i="10" s="1"/>
  <c r="K140" i="9"/>
  <c r="K139" i="9" s="1"/>
  <c r="AB140" i="9"/>
  <c r="AB139" i="9" s="1"/>
  <c r="J140" i="9"/>
  <c r="J139" i="9" s="1"/>
  <c r="I140" i="9"/>
  <c r="I139" i="9" s="1"/>
  <c r="H140" i="9"/>
  <c r="H139" i="9" s="1"/>
  <c r="G140" i="9"/>
  <c r="G139" i="9" s="1"/>
  <c r="AA140" i="9"/>
  <c r="AA139" i="9" s="1"/>
  <c r="N116" i="54"/>
  <c r="K21" i="56"/>
  <c r="K257" i="80" s="1"/>
  <c r="K14" i="56"/>
  <c r="N114" i="54" s="1"/>
  <c r="H21" i="56"/>
  <c r="H257" i="80" s="1"/>
  <c r="H14" i="56"/>
  <c r="K114" i="54" s="1"/>
  <c r="I21" i="56"/>
  <c r="I15" i="56" s="1"/>
  <c r="L156" i="54" s="1"/>
  <c r="I14" i="56"/>
  <c r="L114" i="54" s="1"/>
  <c r="J22" i="56"/>
  <c r="I1681" i="79" s="1"/>
  <c r="J15" i="56"/>
  <c r="M156" i="54" s="1"/>
  <c r="O29" i="56"/>
  <c r="L2350" i="79"/>
  <c r="L2349" i="79" s="1"/>
  <c r="L2344" i="79" s="1"/>
  <c r="AQ208" i="52"/>
  <c r="AC9" i="9"/>
  <c r="AB49" i="9"/>
  <c r="O15" i="8" s="1"/>
  <c r="AB127" i="9"/>
  <c r="AB159" i="9"/>
  <c r="O34" i="8" s="1"/>
  <c r="AB130" i="9"/>
  <c r="AB126" i="9"/>
  <c r="AB163" i="9"/>
  <c r="AB248" i="9"/>
  <c r="AB129" i="9"/>
  <c r="AB93" i="9"/>
  <c r="AB84" i="9"/>
  <c r="M1774" i="79"/>
  <c r="AD208" i="52" s="1"/>
  <c r="AD17" i="52" s="1"/>
  <c r="M2313" i="79"/>
  <c r="M2326" i="79"/>
  <c r="Y55" i="59"/>
  <c r="J159" i="9"/>
  <c r="J49" i="9"/>
  <c r="I15" i="8" s="1"/>
  <c r="K10" i="9"/>
  <c r="K195" i="9" s="1"/>
  <c r="AQ212" i="52"/>
  <c r="L2792" i="79"/>
  <c r="AJ210" i="52"/>
  <c r="AR210" i="52" s="1"/>
  <c r="AJ208" i="52"/>
  <c r="AJ235" i="52"/>
  <c r="AJ191" i="52"/>
  <c r="AJ188" i="52"/>
  <c r="AJ184" i="52"/>
  <c r="K1775" i="79"/>
  <c r="AJ194" i="52"/>
  <c r="AJ192" i="52"/>
  <c r="AJ232" i="52"/>
  <c r="AJ186" i="52"/>
  <c r="AJ209" i="52"/>
  <c r="AR209" i="52" s="1"/>
  <c r="AJ233" i="52"/>
  <c r="AJ211" i="52"/>
  <c r="AJ190" i="52"/>
  <c r="AJ236" i="52"/>
  <c r="AJ187" i="52"/>
  <c r="AJ193" i="52"/>
  <c r="AJ234" i="52"/>
  <c r="AJ212" i="52"/>
  <c r="AJ185" i="52"/>
  <c r="B474" i="54"/>
  <c r="L68" i="9"/>
  <c r="G247" i="9"/>
  <c r="H119" i="9"/>
  <c r="H118" i="9" s="1"/>
  <c r="I246" i="9"/>
  <c r="AB245" i="9"/>
  <c r="G167" i="9"/>
  <c r="G165" i="9" s="1"/>
  <c r="H59" i="9"/>
  <c r="H57" i="9" s="1"/>
  <c r="H56" i="9" s="1"/>
  <c r="G17" i="8" s="1"/>
  <c r="I52" i="9"/>
  <c r="AB59" i="9"/>
  <c r="AB57" i="9" s="1"/>
  <c r="AB56" i="9" s="1"/>
  <c r="O17" i="8" s="1"/>
  <c r="AA245" i="9"/>
  <c r="H128" i="9"/>
  <c r="AB119" i="9"/>
  <c r="AB118" i="9" s="1"/>
  <c r="AA119" i="9"/>
  <c r="AA118" i="9" s="1"/>
  <c r="I119" i="9"/>
  <c r="I118" i="9" s="1"/>
  <c r="G119" i="9"/>
  <c r="G118" i="9" s="1"/>
  <c r="K119" i="9"/>
  <c r="K118" i="9" s="1"/>
  <c r="J119" i="9"/>
  <c r="J118" i="9" s="1"/>
  <c r="AP20" i="52"/>
  <c r="AP130" i="52" s="1"/>
  <c r="AP21" i="52"/>
  <c r="AP131" i="52" s="1"/>
  <c r="AP26" i="52"/>
  <c r="AP136" i="52" s="1"/>
  <c r="AO25" i="52"/>
  <c r="AO135" i="52" s="1"/>
  <c r="AO26" i="52"/>
  <c r="AO136" i="52" s="1"/>
  <c r="AO19" i="52"/>
  <c r="AO129" i="52" s="1"/>
  <c r="AP264" i="52"/>
  <c r="AP266" i="52"/>
  <c r="Z48" i="52"/>
  <c r="AP48" i="52" s="1"/>
  <c r="AT16" i="9"/>
  <c r="AT19" i="9"/>
  <c r="AT17" i="9"/>
  <c r="AT67" i="9" s="1"/>
  <c r="AT78" i="9" s="1"/>
  <c r="AT22" i="9"/>
  <c r="AT25" i="9"/>
  <c r="AU25" i="9" s="1"/>
  <c r="AV25" i="9" s="1"/>
  <c r="AW25" i="9" s="1"/>
  <c r="AX25" i="9" s="1"/>
  <c r="AY25" i="9" s="1"/>
  <c r="AZ25" i="9" s="1"/>
  <c r="BA25" i="9" s="1"/>
  <c r="BB25" i="9" s="1"/>
  <c r="BC25" i="9" s="1"/>
  <c r="BD25" i="9" s="1"/>
  <c r="BE25" i="9" s="1"/>
  <c r="BF25" i="9" s="1"/>
  <c r="AT14" i="9"/>
  <c r="AT20" i="9"/>
  <c r="AT15" i="9"/>
  <c r="AT200" i="9" s="1"/>
  <c r="AT11" i="9"/>
  <c r="AU8" i="9"/>
  <c r="AV8" i="9" s="1"/>
  <c r="AW8" i="9" s="1"/>
  <c r="AX8" i="9" s="1"/>
  <c r="AY8" i="9" s="1"/>
  <c r="AZ8" i="9" s="1"/>
  <c r="BA8" i="9" s="1"/>
  <c r="BB8" i="9" s="1"/>
  <c r="BC8" i="9" s="1"/>
  <c r="BD8" i="9" s="1"/>
  <c r="BE8" i="9" s="1"/>
  <c r="BF8" i="9" s="1"/>
  <c r="BN8" i="9" s="1"/>
  <c r="AT13" i="9"/>
  <c r="AU13" i="9" s="1"/>
  <c r="AT18" i="9"/>
  <c r="AU18" i="9" s="1"/>
  <c r="AT9" i="9"/>
  <c r="AT10" i="9"/>
  <c r="AB24" i="9"/>
  <c r="AC16" i="9"/>
  <c r="AD12" i="9"/>
  <c r="AC20" i="9"/>
  <c r="AB111" i="9"/>
  <c r="AB115" i="9" s="1"/>
  <c r="AC17" i="9"/>
  <c r="AC67" i="9" s="1"/>
  <c r="AC78" i="9" s="1"/>
  <c r="AA154" i="9"/>
  <c r="AA157" i="9"/>
  <c r="AA97" i="9"/>
  <c r="AC166" i="9"/>
  <c r="AD13" i="9"/>
  <c r="AD18" i="9"/>
  <c r="AC58" i="9"/>
  <c r="AC21" i="9"/>
  <c r="AC71" i="9" s="1"/>
  <c r="AB23" i="9"/>
  <c r="AC15" i="9"/>
  <c r="AB63" i="9"/>
  <c r="AB61" i="9" s="1"/>
  <c r="AC14" i="9"/>
  <c r="AB146" i="9"/>
  <c r="AA96" i="9"/>
  <c r="AA156" i="9"/>
  <c r="AA153" i="9"/>
  <c r="AA87" i="9"/>
  <c r="AC19" i="9"/>
  <c r="I164" i="9"/>
  <c r="I162" i="9" s="1"/>
  <c r="H167" i="9"/>
  <c r="H165" i="9" s="1"/>
  <c r="AB128" i="9"/>
  <c r="I128" i="9"/>
  <c r="G128" i="9"/>
  <c r="I245" i="9"/>
  <c r="G59" i="9"/>
  <c r="G57" i="9" s="1"/>
  <c r="G56" i="9" s="1"/>
  <c r="F17" i="8" s="1"/>
  <c r="AB247" i="9"/>
  <c r="AA167" i="9"/>
  <c r="AA165" i="9" s="1"/>
  <c r="N32" i="8" s="1"/>
  <c r="G164" i="9"/>
  <c r="G162" i="9" s="1"/>
  <c r="AB52" i="9"/>
  <c r="AB246" i="9"/>
  <c r="AA59" i="9"/>
  <c r="AA57" i="9" s="1"/>
  <c r="AA56" i="9" s="1"/>
  <c r="N17" i="8" s="1"/>
  <c r="G195" i="9"/>
  <c r="I167" i="9"/>
  <c r="I165" i="9" s="1"/>
  <c r="H245" i="9"/>
  <c r="G52" i="9"/>
  <c r="G245" i="9"/>
  <c r="AA128" i="9"/>
  <c r="H164" i="9"/>
  <c r="H162" i="9" s="1"/>
  <c r="AB167" i="9"/>
  <c r="AB165" i="9" s="1"/>
  <c r="O32" i="8" s="1"/>
  <c r="AA247" i="9"/>
  <c r="AA52" i="9"/>
  <c r="AA98" i="9" s="1"/>
  <c r="I247" i="9"/>
  <c r="G246" i="9"/>
  <c r="AB164" i="9"/>
  <c r="I59" i="9"/>
  <c r="I57" i="9" s="1"/>
  <c r="I56" i="9" s="1"/>
  <c r="H17" i="8" s="1"/>
  <c r="AA92" i="9"/>
  <c r="H72" i="9"/>
  <c r="G72" i="9"/>
  <c r="J72" i="9"/>
  <c r="AA83" i="9"/>
  <c r="I83" i="9"/>
  <c r="J83" i="9"/>
  <c r="J92" i="9"/>
  <c r="H83" i="9"/>
  <c r="I72" i="9"/>
  <c r="H92" i="9"/>
  <c r="AB92" i="9"/>
  <c r="G83" i="9"/>
  <c r="G92" i="9"/>
  <c r="I92" i="9"/>
  <c r="AB83" i="9"/>
  <c r="J167" i="9"/>
  <c r="J165" i="9" s="1"/>
  <c r="J247" i="9"/>
  <c r="J59" i="9"/>
  <c r="J57" i="9" s="1"/>
  <c r="J56" i="9" s="1"/>
  <c r="I17" i="8" s="1"/>
  <c r="J245" i="9"/>
  <c r="J52" i="9"/>
  <c r="J98" i="9" s="1"/>
  <c r="H246" i="9"/>
  <c r="J128" i="9"/>
  <c r="AA246" i="9"/>
  <c r="J164" i="9"/>
  <c r="J162" i="9" s="1"/>
  <c r="H247" i="9"/>
  <c r="H52" i="9"/>
  <c r="J246" i="9"/>
  <c r="AA164" i="9"/>
  <c r="AA162" i="9" s="1"/>
  <c r="N31" i="8" s="1"/>
  <c r="I3417" i="79"/>
  <c r="I3412" i="79" s="1"/>
  <c r="N187" i="37"/>
  <c r="H799" i="79"/>
  <c r="H785" i="79" s="1"/>
  <c r="N186" i="37"/>
  <c r="Y232" i="59"/>
  <c r="O166" i="37"/>
  <c r="O193" i="37" s="1"/>
  <c r="O162" i="37"/>
  <c r="O165" i="37"/>
  <c r="O192" i="37" s="1"/>
  <c r="O164" i="37"/>
  <c r="O191" i="37" s="1"/>
  <c r="AP262" i="52"/>
  <c r="Z85" i="59"/>
  <c r="P157" i="37" s="1"/>
  <c r="P165" i="37" s="1"/>
  <c r="P192" i="37" s="1"/>
  <c r="AP263" i="52"/>
  <c r="Z25" i="52"/>
  <c r="Z69" i="52"/>
  <c r="AP258" i="52"/>
  <c r="Z47" i="52"/>
  <c r="AP47" i="52" s="1"/>
  <c r="AP257" i="52"/>
  <c r="Z113" i="52"/>
  <c r="AP113" i="52" s="1"/>
  <c r="AP260" i="52"/>
  <c r="AA260" i="52"/>
  <c r="AA256" i="52"/>
  <c r="AQ256" i="52" s="1"/>
  <c r="AA257" i="52"/>
  <c r="AA258" i="52"/>
  <c r="AA259" i="52"/>
  <c r="AQ259" i="52" s="1"/>
  <c r="H1046" i="79"/>
  <c r="H1032" i="79" s="1"/>
  <c r="I1046" i="79"/>
  <c r="I1032" i="79" s="1"/>
  <c r="I1301" i="79"/>
  <c r="I1279" i="79" s="1"/>
  <c r="H1569" i="79"/>
  <c r="I1569" i="79"/>
  <c r="M1775" i="79"/>
  <c r="AL186" i="52"/>
  <c r="AL212" i="52"/>
  <c r="AL235" i="52"/>
  <c r="AL194" i="52"/>
  <c r="AL233" i="52"/>
  <c r="AL188" i="52"/>
  <c r="AL211" i="52"/>
  <c r="AL191" i="52"/>
  <c r="AL208" i="52"/>
  <c r="AL232" i="52"/>
  <c r="AL187" i="52"/>
  <c r="AL210" i="52"/>
  <c r="AL234" i="52"/>
  <c r="AL185" i="52"/>
  <c r="AL190" i="52"/>
  <c r="AL184" i="52"/>
  <c r="AL193" i="52"/>
  <c r="J2578" i="79"/>
  <c r="J2525" i="79" s="1"/>
  <c r="J2626" i="79"/>
  <c r="J2527" i="79" s="1"/>
  <c r="J1714" i="79"/>
  <c r="J1693" i="79" s="1"/>
  <c r="J1759" i="79"/>
  <c r="J1696" i="79" s="1"/>
  <c r="K2701" i="79"/>
  <c r="K2747" i="79"/>
  <c r="H1680" i="79"/>
  <c r="Y148" i="52"/>
  <c r="AO148" i="52" s="1"/>
  <c r="K3189" i="79"/>
  <c r="L3551" i="79"/>
  <c r="L3549" i="79" s="1"/>
  <c r="L3191" i="79"/>
  <c r="M2995" i="79"/>
  <c r="AL238" i="52"/>
  <c r="AL239" i="52"/>
  <c r="AL242" i="52"/>
  <c r="AL241" i="52"/>
  <c r="AL240" i="52"/>
  <c r="J1636" i="79"/>
  <c r="J1568" i="79" s="1"/>
  <c r="K1637" i="79"/>
  <c r="L3205" i="79"/>
  <c r="L3195" i="79" s="1"/>
  <c r="I3029" i="79"/>
  <c r="I3035" i="79"/>
  <c r="L3565" i="79"/>
  <c r="L3210" i="79"/>
  <c r="M2953" i="79"/>
  <c r="M3152" i="79"/>
  <c r="M3148" i="79" s="1"/>
  <c r="L2988" i="79"/>
  <c r="L3184" i="79"/>
  <c r="L3180" i="79" s="1"/>
  <c r="L2918" i="79"/>
  <c r="L3120" i="79"/>
  <c r="L3116" i="79" s="1"/>
  <c r="AJ25" i="52"/>
  <c r="K3438" i="79"/>
  <c r="K3447" i="79"/>
  <c r="AJ47" i="52"/>
  <c r="K3062" i="79"/>
  <c r="K3072" i="79"/>
  <c r="K3126" i="79"/>
  <c r="K3136" i="79"/>
  <c r="K3522" i="79"/>
  <c r="K3531" i="79"/>
  <c r="K3466" i="79"/>
  <c r="K3475" i="79"/>
  <c r="L3422" i="79"/>
  <c r="L3421" i="79" s="1"/>
  <c r="L3075" i="79"/>
  <c r="L3074" i="79" s="1"/>
  <c r="L3506" i="79"/>
  <c r="L3505" i="79" s="1"/>
  <c r="L3139" i="79"/>
  <c r="L3138" i="79" s="1"/>
  <c r="L3107" i="79"/>
  <c r="L3106" i="79" s="1"/>
  <c r="L3478" i="79"/>
  <c r="L3477" i="79" s="1"/>
  <c r="L3450" i="79"/>
  <c r="L3449" i="79" s="1"/>
  <c r="L3534" i="79"/>
  <c r="L3533" i="79" s="1"/>
  <c r="K3094" i="79"/>
  <c r="K3104" i="79"/>
  <c r="AJ69" i="52"/>
  <c r="K3410" i="79"/>
  <c r="K3419" i="79"/>
  <c r="AJ113" i="52"/>
  <c r="K3494" i="79"/>
  <c r="K3503" i="79"/>
  <c r="AA114" i="52"/>
  <c r="AQ114" i="52" s="1"/>
  <c r="AA70" i="52"/>
  <c r="AQ70" i="52" s="1"/>
  <c r="AA48" i="52"/>
  <c r="AQ48" i="52" s="1"/>
  <c r="AJ26" i="52"/>
  <c r="AJ48" i="52"/>
  <c r="AQ262" i="52"/>
  <c r="AA26" i="52"/>
  <c r="J3168" i="79"/>
  <c r="J3158" i="79"/>
  <c r="J3040" i="79"/>
  <c r="J3030" i="79"/>
  <c r="K3170" i="79"/>
  <c r="L3043" i="79"/>
  <c r="L3171" i="79"/>
  <c r="K3042" i="79"/>
  <c r="L3263" i="79"/>
  <c r="L3262" i="79" s="1"/>
  <c r="L3255" i="79" s="1"/>
  <c r="L3325" i="79"/>
  <c r="L3324" i="79" s="1"/>
  <c r="L3317" i="79" s="1"/>
  <c r="L3356" i="79"/>
  <c r="L3355" i="79" s="1"/>
  <c r="L3348" i="79" s="1"/>
  <c r="L3294" i="79"/>
  <c r="L3293" i="79" s="1"/>
  <c r="L3286" i="79" s="1"/>
  <c r="L3259" i="79"/>
  <c r="L3258" i="79" s="1"/>
  <c r="L3254" i="79" s="1"/>
  <c r="L3290" i="79"/>
  <c r="L3289" i="79" s="1"/>
  <c r="L3285" i="79" s="1"/>
  <c r="L3352" i="79"/>
  <c r="L3351" i="79" s="1"/>
  <c r="L3347" i="79" s="1"/>
  <c r="L3321" i="79"/>
  <c r="L3320" i="79" s="1"/>
  <c r="L3316" i="79" s="1"/>
  <c r="K3372" i="79"/>
  <c r="K3341" i="79"/>
  <c r="L3279" i="79"/>
  <c r="K3279" i="79"/>
  <c r="K2854" i="79"/>
  <c r="K2859" i="79"/>
  <c r="L2860" i="79"/>
  <c r="L2895" i="79"/>
  <c r="L2930" i="79"/>
  <c r="L2965" i="79"/>
  <c r="L2549" i="79"/>
  <c r="L2848" i="79"/>
  <c r="K2964" i="79"/>
  <c r="K2959" i="79"/>
  <c r="K2894" i="79"/>
  <c r="K2889" i="79"/>
  <c r="K2924" i="79"/>
  <c r="K2929" i="79"/>
  <c r="K2770" i="79"/>
  <c r="K2819" i="79"/>
  <c r="K2724" i="79"/>
  <c r="L2623" i="79"/>
  <c r="L2790" i="79"/>
  <c r="L2788" i="79" s="1"/>
  <c r="L2773" i="79" s="1"/>
  <c r="L2645" i="79"/>
  <c r="L2647" i="79"/>
  <c r="M2575" i="79"/>
  <c r="L2599" i="79"/>
  <c r="M2767" i="79"/>
  <c r="M2765" i="79" s="1"/>
  <c r="M2750" i="79" s="1"/>
  <c r="M2621" i="79"/>
  <c r="L2744" i="79"/>
  <c r="L2742" i="79" s="1"/>
  <c r="L2727" i="79" s="1"/>
  <c r="L2597" i="79"/>
  <c r="L2584" i="79"/>
  <c r="L2583" i="79" s="1"/>
  <c r="L2579" i="79" s="1"/>
  <c r="L2608" i="79"/>
  <c r="L2607" i="79" s="1"/>
  <c r="L2603" i="79" s="1"/>
  <c r="L2632" i="79"/>
  <c r="L2631" i="79" s="1"/>
  <c r="L2627" i="79" s="1"/>
  <c r="L2560" i="79"/>
  <c r="L2559" i="79" s="1"/>
  <c r="L2555" i="79" s="1"/>
  <c r="I415" i="79"/>
  <c r="I399" i="79" s="1"/>
  <c r="I397" i="79" s="1"/>
  <c r="I396" i="79" s="1"/>
  <c r="L3398" i="79"/>
  <c r="L2762" i="79"/>
  <c r="L2761" i="79" s="1"/>
  <c r="L2748" i="79" s="1"/>
  <c r="L2716" i="79"/>
  <c r="L2715" i="79" s="1"/>
  <c r="L2702" i="79" s="1"/>
  <c r="L2785" i="79"/>
  <c r="L2784" i="79" s="1"/>
  <c r="L2771" i="79" s="1"/>
  <c r="L2739" i="79"/>
  <c r="L2738" i="79" s="1"/>
  <c r="L2725" i="79" s="1"/>
  <c r="H285" i="79"/>
  <c r="H284" i="79" s="1"/>
  <c r="G378" i="79"/>
  <c r="G375" i="79" s="1"/>
  <c r="G91" i="79" s="1"/>
  <c r="G59" i="79" s="1"/>
  <c r="AV150" i="52" s="1"/>
  <c r="I267" i="79"/>
  <c r="I264" i="79" s="1"/>
  <c r="I490" i="79"/>
  <c r="I487" i="79" s="1"/>
  <c r="H526" i="79"/>
  <c r="H510" i="79" s="1"/>
  <c r="H508" i="79" s="1"/>
  <c r="I468" i="79"/>
  <c r="I465" i="79" s="1"/>
  <c r="I464" i="79" s="1"/>
  <c r="I463" i="79" s="1"/>
  <c r="H98" i="79"/>
  <c r="H72" i="79" s="1"/>
  <c r="BE151" i="52" s="1"/>
  <c r="I488" i="79"/>
  <c r="Z46" i="52"/>
  <c r="AP46" i="52" s="1"/>
  <c r="H352" i="79"/>
  <c r="H351" i="79" s="1"/>
  <c r="G376" i="79"/>
  <c r="L533" i="79"/>
  <c r="L535" i="79"/>
  <c r="L534" i="79"/>
  <c r="I334" i="79"/>
  <c r="I331" i="79" s="1"/>
  <c r="C99" i="79"/>
  <c r="B99" i="79" s="1"/>
  <c r="I356" i="79"/>
  <c r="I353" i="79" s="1"/>
  <c r="I352" i="79" s="1"/>
  <c r="G325" i="79"/>
  <c r="G96" i="79" s="1"/>
  <c r="G70" i="79" s="1"/>
  <c r="BD149" i="52" s="1"/>
  <c r="J518" i="79"/>
  <c r="J118" i="79" s="1"/>
  <c r="J514" i="79"/>
  <c r="I518" i="79"/>
  <c r="I118" i="79" s="1"/>
  <c r="I86" i="79" s="1"/>
  <c r="I514" i="79"/>
  <c r="I526" i="79" s="1"/>
  <c r="I384" i="79"/>
  <c r="I116" i="79" s="1"/>
  <c r="I84" i="79" s="1"/>
  <c r="I380" i="79"/>
  <c r="H392" i="79"/>
  <c r="H378" i="79"/>
  <c r="H375" i="79" s="1"/>
  <c r="H91" i="79" s="1"/>
  <c r="J496" i="79"/>
  <c r="J112" i="79" s="1"/>
  <c r="J492" i="79"/>
  <c r="J504" i="79" s="1"/>
  <c r="J358" i="79"/>
  <c r="J370" i="79" s="1"/>
  <c r="J354" i="79" s="1"/>
  <c r="J470" i="79"/>
  <c r="J468" i="79" s="1"/>
  <c r="J465" i="79" s="1"/>
  <c r="I303" i="79"/>
  <c r="I287" i="79" s="1"/>
  <c r="J403" i="79"/>
  <c r="J401" i="79" s="1"/>
  <c r="J398" i="79" s="1"/>
  <c r="J336" i="79"/>
  <c r="J334" i="79" s="1"/>
  <c r="Z19" i="52"/>
  <c r="I317" i="79"/>
  <c r="I115" i="79" s="1"/>
  <c r="I83" i="79" s="1"/>
  <c r="I45" i="79" s="1"/>
  <c r="I313" i="79"/>
  <c r="J291" i="79"/>
  <c r="J303" i="79" s="1"/>
  <c r="J287" i="79" s="1"/>
  <c r="Z68" i="52"/>
  <c r="J269" i="79"/>
  <c r="J281" i="79" s="1"/>
  <c r="J265" i="79" s="1"/>
  <c r="K202" i="79"/>
  <c r="AA254" i="52"/>
  <c r="AA250" i="52"/>
  <c r="AA24" i="52" s="1"/>
  <c r="AA252" i="52"/>
  <c r="AQ252" i="52" s="1"/>
  <c r="AA251" i="52"/>
  <c r="AA46" i="52" s="1"/>
  <c r="AQ46" i="52" s="1"/>
  <c r="G34" i="79"/>
  <c r="BD145" i="52" s="1"/>
  <c r="AA253" i="52"/>
  <c r="AQ253" i="52" s="1"/>
  <c r="AP254" i="52"/>
  <c r="Z63" i="52"/>
  <c r="AP63" i="52" s="1"/>
  <c r="Z107" i="52"/>
  <c r="AP107" i="52" s="1"/>
  <c r="AN7" i="52"/>
  <c r="AN117" i="52" s="1"/>
  <c r="I566" i="79"/>
  <c r="I538" i="79"/>
  <c r="Z143" i="52" s="1"/>
  <c r="G538" i="79"/>
  <c r="X146" i="52" s="1"/>
  <c r="AN148" i="52"/>
  <c r="G485" i="79"/>
  <c r="G131" i="79"/>
  <c r="I117" i="79"/>
  <c r="I85" i="79" s="1"/>
  <c r="I443" i="79"/>
  <c r="I441" i="79" s="1"/>
  <c r="G443" i="79"/>
  <c r="G441" i="79" s="1"/>
  <c r="J111" i="79"/>
  <c r="J105" i="79"/>
  <c r="H82" i="79"/>
  <c r="H309" i="79"/>
  <c r="H307" i="79" s="1"/>
  <c r="J109" i="79"/>
  <c r="I82" i="79"/>
  <c r="X73" i="52"/>
  <c r="AN73" i="52" s="1"/>
  <c r="J102" i="79"/>
  <c r="X95" i="52"/>
  <c r="AN95" i="52" s="1"/>
  <c r="X51" i="52"/>
  <c r="AN51" i="52" s="1"/>
  <c r="J2098" i="79"/>
  <c r="J2067" i="79"/>
  <c r="K2287" i="79"/>
  <c r="K2147" i="79" s="1"/>
  <c r="M1357" i="79"/>
  <c r="M1402" i="79"/>
  <c r="M1492" i="79"/>
  <c r="M1312" i="79"/>
  <c r="M1447" i="79"/>
  <c r="L3012" i="79"/>
  <c r="M1158" i="79"/>
  <c r="M1051" i="79"/>
  <c r="M1195" i="79"/>
  <c r="M1088" i="79"/>
  <c r="M1162" i="79"/>
  <c r="M1199" i="79"/>
  <c r="M1047" i="79"/>
  <c r="M1084" i="79"/>
  <c r="M1125" i="79"/>
  <c r="M1121" i="79"/>
  <c r="G526" i="79"/>
  <c r="G510" i="79" s="1"/>
  <c r="G512" i="79"/>
  <c r="G509" i="79" s="1"/>
  <c r="G244" i="79"/>
  <c r="G241" i="79" s="1"/>
  <c r="G89" i="79" s="1"/>
  <c r="G258" i="79"/>
  <c r="G242" i="79" s="1"/>
  <c r="G92" i="79"/>
  <c r="G97" i="79"/>
  <c r="AN149" i="52"/>
  <c r="X29" i="52"/>
  <c r="AN29" i="52" s="1"/>
  <c r="I150" i="9"/>
  <c r="G1680" i="79"/>
  <c r="H256" i="80"/>
  <c r="K3227" i="79"/>
  <c r="K3223" i="79" s="1"/>
  <c r="L70" i="37"/>
  <c r="AK114" i="52"/>
  <c r="AK70" i="52"/>
  <c r="AQ266" i="52"/>
  <c r="AQ264" i="52"/>
  <c r="AQ263" i="52"/>
  <c r="AB262" i="52"/>
  <c r="AB263" i="52"/>
  <c r="AB264" i="52"/>
  <c r="AB265" i="52"/>
  <c r="AR265" i="52" s="1"/>
  <c r="AB266" i="52"/>
  <c r="K3231" i="79"/>
  <c r="K3224" i="79" s="1"/>
  <c r="L75" i="37"/>
  <c r="L72" i="37"/>
  <c r="L1613" i="79"/>
  <c r="L1612" i="79" s="1"/>
  <c r="L1645" i="79"/>
  <c r="L1644" i="79" s="1"/>
  <c r="L1629" i="79"/>
  <c r="L1628" i="79" s="1"/>
  <c r="L1597" i="79"/>
  <c r="L1596" i="79" s="1"/>
  <c r="L1581" i="79"/>
  <c r="L1580" i="79" s="1"/>
  <c r="M48" i="37"/>
  <c r="M76" i="37" s="1"/>
  <c r="K1615" i="79"/>
  <c r="K1606" i="79" s="1"/>
  <c r="K1604" i="79" s="1"/>
  <c r="K1566" i="79" s="1"/>
  <c r="AQ204" i="52"/>
  <c r="AQ60" i="52"/>
  <c r="K2096" i="79"/>
  <c r="K2065" i="79"/>
  <c r="M2251" i="79"/>
  <c r="M2249" i="79" s="1"/>
  <c r="M2237" i="79" s="1"/>
  <c r="M2145" i="79" s="1"/>
  <c r="L2251" i="79"/>
  <c r="L2249" i="79" s="1"/>
  <c r="L2237" i="79" s="1"/>
  <c r="L2145" i="79" s="1"/>
  <c r="M116" i="37"/>
  <c r="M130" i="37" s="1"/>
  <c r="M50" i="37"/>
  <c r="M78" i="37" s="1"/>
  <c r="M2301" i="79"/>
  <c r="M2299" i="79" s="1"/>
  <c r="L2301" i="79"/>
  <c r="L2299" i="79" s="1"/>
  <c r="M114" i="37"/>
  <c r="M128" i="37" s="1"/>
  <c r="M113" i="37"/>
  <c r="M127" i="37" s="1"/>
  <c r="M47" i="37"/>
  <c r="M69" i="37" s="1"/>
  <c r="L3229" i="79"/>
  <c r="N107" i="37"/>
  <c r="N108" i="37"/>
  <c r="N110" i="37"/>
  <c r="M2885" i="79"/>
  <c r="M2879" i="79" s="1"/>
  <c r="M3281" i="79"/>
  <c r="K1463" i="79"/>
  <c r="AQ202" i="52"/>
  <c r="AQ16" i="52"/>
  <c r="AQ38" i="52"/>
  <c r="K1647" i="79"/>
  <c r="K1638" i="79" s="1"/>
  <c r="AQ203" i="52"/>
  <c r="AQ206" i="52"/>
  <c r="AB204" i="52"/>
  <c r="AB60" i="52" s="1"/>
  <c r="AB205" i="52"/>
  <c r="AR205" i="52" s="1"/>
  <c r="AB203" i="52"/>
  <c r="AB38" i="52" s="1"/>
  <c r="AB206" i="52"/>
  <c r="AB202" i="52"/>
  <c r="AB16" i="52" s="1"/>
  <c r="M3559" i="79"/>
  <c r="M3554" i="79" s="1"/>
  <c r="L3391" i="79"/>
  <c r="M2652" i="79"/>
  <c r="M2650" i="79" s="1"/>
  <c r="AK254" i="52"/>
  <c r="AK164" i="52"/>
  <c r="AK253" i="52"/>
  <c r="AK170" i="52"/>
  <c r="AK163" i="52"/>
  <c r="AK252" i="52"/>
  <c r="AK169" i="52"/>
  <c r="AK162" i="52"/>
  <c r="AK251" i="52"/>
  <c r="AK168" i="52"/>
  <c r="AK161" i="52"/>
  <c r="AK250" i="52"/>
  <c r="AK167" i="52"/>
  <c r="AK160" i="52"/>
  <c r="AK166" i="52"/>
  <c r="AC210" i="52"/>
  <c r="AC61" i="52" s="1"/>
  <c r="AC212" i="52"/>
  <c r="AC208" i="52"/>
  <c r="AC17" i="52" s="1"/>
  <c r="AC211" i="52"/>
  <c r="AC209" i="52"/>
  <c r="AC39" i="52" s="1"/>
  <c r="M13" i="9"/>
  <c r="L166" i="9"/>
  <c r="D584" i="59"/>
  <c r="F626" i="59"/>
  <c r="D626" i="59" s="1"/>
  <c r="M51" i="37"/>
  <c r="M73" i="37" s="1"/>
  <c r="M117" i="37"/>
  <c r="M131" i="37" s="1"/>
  <c r="M49" i="37"/>
  <c r="M77" i="37" s="1"/>
  <c r="M115" i="37"/>
  <c r="M129" i="37" s="1"/>
  <c r="K1297" i="79"/>
  <c r="K1432" i="79"/>
  <c r="K1599" i="79"/>
  <c r="K1590" i="79" s="1"/>
  <c r="K1588" i="79" s="1"/>
  <c r="K1565" i="79" s="1"/>
  <c r="J1764" i="79"/>
  <c r="G1779" i="79"/>
  <c r="K869" i="79"/>
  <c r="K256" i="80"/>
  <c r="I256" i="80"/>
  <c r="K1425" i="79"/>
  <c r="AQ228" i="52"/>
  <c r="AQ64" i="52"/>
  <c r="K1583" i="79"/>
  <c r="K1574" i="79" s="1"/>
  <c r="K1572" i="79" s="1"/>
  <c r="K1564" i="79" s="1"/>
  <c r="H1781" i="79"/>
  <c r="H1782" i="79"/>
  <c r="K1631" i="79"/>
  <c r="K1622" i="79" s="1"/>
  <c r="K1620" i="79" s="1"/>
  <c r="K1567" i="79" s="1"/>
  <c r="K1380" i="79"/>
  <c r="K1720" i="79"/>
  <c r="K1716" i="79" s="1"/>
  <c r="K1477" i="79"/>
  <c r="L1508" i="79"/>
  <c r="L990" i="79"/>
  <c r="L1585" i="79"/>
  <c r="L1530" i="79"/>
  <c r="L1601" i="79"/>
  <c r="L1633" i="79"/>
  <c r="L1649" i="79"/>
  <c r="L1617" i="79"/>
  <c r="L1221" i="79"/>
  <c r="K943" i="79"/>
  <c r="K1429" i="79"/>
  <c r="L71" i="37"/>
  <c r="K608" i="79"/>
  <c r="K1335" i="79"/>
  <c r="K1339" i="79"/>
  <c r="R4" i="54"/>
  <c r="G1781" i="79"/>
  <c r="G1782" i="79"/>
  <c r="H1779" i="79"/>
  <c r="L73" i="37"/>
  <c r="O344" i="37"/>
  <c r="O347" i="37"/>
  <c r="N111" i="37"/>
  <c r="N109" i="37"/>
  <c r="K605" i="79"/>
  <c r="J1719" i="79"/>
  <c r="K601" i="79"/>
  <c r="K635" i="79"/>
  <c r="J1699" i="79"/>
  <c r="J1692" i="79" s="1"/>
  <c r="K1470" i="79"/>
  <c r="J1704" i="79"/>
  <c r="N183" i="37"/>
  <c r="N189" i="37"/>
  <c r="O184" i="37"/>
  <c r="O24" i="37"/>
  <c r="P345" i="37"/>
  <c r="P27" i="37"/>
  <c r="Q346" i="37"/>
  <c r="R343" i="37"/>
  <c r="P26" i="37"/>
  <c r="Q25" i="37"/>
  <c r="P28" i="37"/>
  <c r="K788" i="79"/>
  <c r="K1328" i="79"/>
  <c r="K1294" i="79"/>
  <c r="K716" i="79"/>
  <c r="K1342" i="79"/>
  <c r="J1729" i="79"/>
  <c r="J1694" i="79" s="1"/>
  <c r="J1734" i="79"/>
  <c r="L948" i="79"/>
  <c r="L804" i="79"/>
  <c r="L911" i="79"/>
  <c r="L837" i="79"/>
  <c r="L952" i="79"/>
  <c r="L915" i="79"/>
  <c r="L841" i="79"/>
  <c r="L874" i="79"/>
  <c r="L878" i="79"/>
  <c r="L800" i="79"/>
  <c r="K1384" i="79"/>
  <c r="J1744" i="79"/>
  <c r="J1695" i="79" s="1"/>
  <c r="K1283" i="79"/>
  <c r="K795" i="79"/>
  <c r="L2698" i="79"/>
  <c r="L2696" i="79" s="1"/>
  <c r="L2681" i="79" s="1"/>
  <c r="AJ16" i="52"/>
  <c r="AJ38" i="52"/>
  <c r="AJ60" i="52"/>
  <c r="AJ104" i="52"/>
  <c r="AK206" i="52"/>
  <c r="AK205" i="52"/>
  <c r="AK204" i="52"/>
  <c r="AK203" i="52"/>
  <c r="AK202" i="52"/>
  <c r="L1688" i="79"/>
  <c r="K1418" i="79"/>
  <c r="K1474" i="79"/>
  <c r="K906" i="79"/>
  <c r="AQ227" i="52"/>
  <c r="K832" i="79"/>
  <c r="L1292" i="79"/>
  <c r="L1427" i="79"/>
  <c r="L1337" i="79"/>
  <c r="L1472" i="79"/>
  <c r="L1382" i="79"/>
  <c r="K1750" i="79"/>
  <c r="K1746" i="79" s="1"/>
  <c r="K682" i="79"/>
  <c r="K825" i="79"/>
  <c r="L790" i="79"/>
  <c r="L792" i="79" s="1"/>
  <c r="L827" i="79"/>
  <c r="L829" i="79" s="1"/>
  <c r="L864" i="79"/>
  <c r="L866" i="79" s="1"/>
  <c r="L938" i="79"/>
  <c r="L940" i="79" s="1"/>
  <c r="L901" i="79"/>
  <c r="L903" i="79" s="1"/>
  <c r="K1290" i="79"/>
  <c r="K1765" i="79"/>
  <c r="K1761" i="79" s="1"/>
  <c r="L945" i="79"/>
  <c r="L908" i="79"/>
  <c r="L871" i="79"/>
  <c r="L834" i="79"/>
  <c r="L797" i="79"/>
  <c r="AQ226" i="52"/>
  <c r="AQ20" i="52"/>
  <c r="AQ42" i="52"/>
  <c r="J1749" i="79"/>
  <c r="K689" i="79"/>
  <c r="M1786" i="79"/>
  <c r="L1786" i="79"/>
  <c r="AQ230" i="52"/>
  <c r="AB226" i="52"/>
  <c r="AB20" i="52" s="1"/>
  <c r="AB228" i="52"/>
  <c r="AB64" i="52" s="1"/>
  <c r="AB230" i="52"/>
  <c r="AB227" i="52"/>
  <c r="AB42" i="52" s="1"/>
  <c r="AB229" i="52"/>
  <c r="AR229" i="52" s="1"/>
  <c r="L1632" i="79"/>
  <c r="L1154" i="79"/>
  <c r="L1153" i="79" s="1"/>
  <c r="L430" i="79"/>
  <c r="L907" i="79"/>
  <c r="L408" i="79"/>
  <c r="L190" i="79" s="1"/>
  <c r="L184" i="79" s="1"/>
  <c r="L452" i="79"/>
  <c r="L690" i="79"/>
  <c r="L1751" i="79"/>
  <c r="L1433" i="79"/>
  <c r="L1419" i="79"/>
  <c r="K686" i="79"/>
  <c r="K1705" i="79"/>
  <c r="K1701" i="79" s="1"/>
  <c r="L2832" i="79"/>
  <c r="L2830" i="79" s="1"/>
  <c r="L2821" i="79" s="1"/>
  <c r="L796" i="79"/>
  <c r="L609" i="79"/>
  <c r="L1584" i="79"/>
  <c r="L1043" i="79"/>
  <c r="L1042" i="79" s="1"/>
  <c r="L207" i="79"/>
  <c r="L1284" i="79"/>
  <c r="L1706" i="79"/>
  <c r="L229" i="79"/>
  <c r="L251" i="79"/>
  <c r="L1298" i="79"/>
  <c r="L3236" i="79"/>
  <c r="L3234" i="79" s="1"/>
  <c r="K628" i="79"/>
  <c r="K632" i="79"/>
  <c r="K713" i="79"/>
  <c r="K659" i="79"/>
  <c r="K709" i="79"/>
  <c r="K655" i="79"/>
  <c r="L1151" i="79"/>
  <c r="L1150" i="79" s="1"/>
  <c r="L1114" i="79"/>
  <c r="L1113" i="79" s="1"/>
  <c r="L1040" i="79"/>
  <c r="L1039" i="79" s="1"/>
  <c r="L1188" i="79"/>
  <c r="L1187" i="79" s="1"/>
  <c r="L1077" i="79"/>
  <c r="L1076" i="79" s="1"/>
  <c r="M2831" i="79"/>
  <c r="AJ108" i="52"/>
  <c r="L2847" i="79"/>
  <c r="L1295" i="79"/>
  <c r="L1430" i="79"/>
  <c r="L1385" i="79"/>
  <c r="L1340" i="79"/>
  <c r="L1475" i="79"/>
  <c r="K1735" i="79"/>
  <c r="K1731" i="79" s="1"/>
  <c r="K2094" i="79"/>
  <c r="K2063" i="79"/>
  <c r="AJ20" i="52"/>
  <c r="L630" i="79"/>
  <c r="L711" i="79"/>
  <c r="L657" i="79"/>
  <c r="L684" i="79"/>
  <c r="L603" i="79"/>
  <c r="L3232" i="79"/>
  <c r="M2201" i="79"/>
  <c r="M2199" i="79" s="1"/>
  <c r="M2187" i="79" s="1"/>
  <c r="M2143" i="79" s="1"/>
  <c r="L2201" i="79"/>
  <c r="L2199" i="79" s="1"/>
  <c r="L2187" i="79" s="1"/>
  <c r="L2143" i="79" s="1"/>
  <c r="AK230" i="52"/>
  <c r="AK229" i="52"/>
  <c r="AK228" i="52"/>
  <c r="AK227" i="52"/>
  <c r="AK226" i="52"/>
  <c r="L1787" i="79"/>
  <c r="L1131" i="79"/>
  <c r="L1205" i="79"/>
  <c r="L1057" i="79"/>
  <c r="L1094" i="79"/>
  <c r="L1168" i="79"/>
  <c r="M1976" i="79"/>
  <c r="M2305" i="79"/>
  <c r="M2205" i="79"/>
  <c r="M2255" i="79"/>
  <c r="M1936" i="79"/>
  <c r="M1996" i="79"/>
  <c r="M2230" i="79"/>
  <c r="M2280" i="79"/>
  <c r="M2016" i="79"/>
  <c r="M1956" i="79"/>
  <c r="K1387" i="79"/>
  <c r="K662" i="79"/>
  <c r="L610" i="79"/>
  <c r="L664" i="79"/>
  <c r="L637" i="79"/>
  <c r="L691" i="79"/>
  <c r="L718" i="79"/>
  <c r="L1767" i="79"/>
  <c r="L1722" i="79"/>
  <c r="L1375" i="79"/>
  <c r="L1752" i="79"/>
  <c r="L1420" i="79"/>
  <c r="L1707" i="79"/>
  <c r="L1330" i="79"/>
  <c r="L1285" i="79"/>
  <c r="L1465" i="79"/>
  <c r="L1737" i="79"/>
  <c r="L1117" i="79"/>
  <c r="L1116" i="79" s="1"/>
  <c r="L1736" i="79"/>
  <c r="L341" i="79"/>
  <c r="L189" i="79" s="1"/>
  <c r="L183" i="79" s="1"/>
  <c r="L663" i="79"/>
  <c r="L363" i="79"/>
  <c r="L1374" i="79"/>
  <c r="L1388" i="79"/>
  <c r="L870" i="79"/>
  <c r="L1616" i="79"/>
  <c r="L385" i="79"/>
  <c r="L1441" i="79"/>
  <c r="L1306" i="79"/>
  <c r="L1351" i="79"/>
  <c r="L1396" i="79"/>
  <c r="L1347" i="79"/>
  <c r="L1392" i="79"/>
  <c r="L1482" i="79"/>
  <c r="L1486" i="79"/>
  <c r="L1437" i="79"/>
  <c r="L1302" i="79"/>
  <c r="K2097" i="79"/>
  <c r="K2066" i="79"/>
  <c r="L884" i="79"/>
  <c r="L958" i="79"/>
  <c r="L847" i="79"/>
  <c r="L810" i="79"/>
  <c r="L921" i="79"/>
  <c r="AJ42" i="52"/>
  <c r="M2276" i="79"/>
  <c r="M2274" i="79" s="1"/>
  <c r="M2262" i="79" s="1"/>
  <c r="M2146" i="79" s="1"/>
  <c r="L2276" i="79"/>
  <c r="L2274" i="79" s="1"/>
  <c r="L2262" i="79" s="1"/>
  <c r="L2146" i="79" s="1"/>
  <c r="L1389" i="79"/>
  <c r="L1344" i="79"/>
  <c r="L1434" i="79"/>
  <c r="L1299" i="79"/>
  <c r="L1479" i="79"/>
  <c r="K1373" i="79"/>
  <c r="AJ64" i="52"/>
  <c r="L2826" i="79"/>
  <c r="M1148" i="79"/>
  <c r="M1185" i="79"/>
  <c r="M1074" i="79"/>
  <c r="M1111" i="79"/>
  <c r="M1037" i="79"/>
  <c r="J1680" i="79"/>
  <c r="I1782" i="79"/>
  <c r="M27" i="56"/>
  <c r="M52" i="56"/>
  <c r="M51" i="56"/>
  <c r="M26" i="56"/>
  <c r="I1781" i="79"/>
  <c r="I1779" i="79"/>
  <c r="N21" i="9"/>
  <c r="M71" i="9"/>
  <c r="H419" i="54" a="1"/>
  <c r="H419" i="54" s="1"/>
  <c r="A420" i="54"/>
  <c r="C419" i="54" a="1"/>
  <c r="C419" i="54" s="1"/>
  <c r="B419" i="54" s="1"/>
  <c r="M58" i="9"/>
  <c r="BA172" i="9"/>
  <c r="BU172" i="9"/>
  <c r="AG172" i="9"/>
  <c r="CO172" i="9"/>
  <c r="M172" i="9"/>
  <c r="D771" i="59"/>
  <c r="D748" i="59"/>
  <c r="C750" i="59"/>
  <c r="F750" i="59" s="1" a="1"/>
  <c r="F750" i="59" s="1"/>
  <c r="F749" i="59" a="1"/>
  <c r="F749" i="59" s="1"/>
  <c r="D749" i="59" s="1"/>
  <c r="C729" i="59"/>
  <c r="F729" i="59" s="1" a="1"/>
  <c r="F729" i="59" s="1"/>
  <c r="D729" i="59" s="1"/>
  <c r="F728" i="59" a="1"/>
  <c r="F728" i="59" s="1"/>
  <c r="C708" i="59"/>
  <c r="F708" i="59" s="1" a="1"/>
  <c r="F708" i="59" s="1"/>
  <c r="D708" i="59" s="1"/>
  <c r="F707" i="59" a="1"/>
  <c r="F707" i="59" s="1"/>
  <c r="C687" i="59"/>
  <c r="F687" i="59" s="1" a="1"/>
  <c r="F687" i="59" s="1"/>
  <c r="F686" i="59" a="1"/>
  <c r="F686" i="59" s="1"/>
  <c r="L93" i="9"/>
  <c r="L130" i="9"/>
  <c r="M9" i="9"/>
  <c r="L92" i="9"/>
  <c r="L73" i="9"/>
  <c r="K1745" i="79"/>
  <c r="K1730" i="79"/>
  <c r="K1700" i="79"/>
  <c r="J1874" i="79"/>
  <c r="J1875" i="79"/>
  <c r="K1876" i="79"/>
  <c r="K1878" i="79"/>
  <c r="K1877" i="79"/>
  <c r="I1825" i="79"/>
  <c r="I1919" i="79"/>
  <c r="I1923" i="79" s="1"/>
  <c r="I1999" i="79"/>
  <c r="I2003" i="79" s="1"/>
  <c r="I1872" i="79"/>
  <c r="I1979" i="79"/>
  <c r="I1983" i="79" s="1"/>
  <c r="I1871" i="79"/>
  <c r="I1959" i="79"/>
  <c r="I1963" i="79" s="1"/>
  <c r="I1870" i="79"/>
  <c r="I1939" i="79"/>
  <c r="I1943" i="79" s="1"/>
  <c r="I1869" i="79"/>
  <c r="J1940" i="79"/>
  <c r="J1920" i="79"/>
  <c r="J1960" i="79"/>
  <c r="J1980" i="79"/>
  <c r="J2000" i="79"/>
  <c r="AQ216" i="52"/>
  <c r="AA63" i="52"/>
  <c r="AQ63" i="52" s="1"/>
  <c r="AQ218" i="52"/>
  <c r="AA107" i="52"/>
  <c r="AQ107" i="52" s="1"/>
  <c r="AQ215" i="52"/>
  <c r="AA41" i="52"/>
  <c r="AQ41" i="52" s="1"/>
  <c r="AB215" i="52"/>
  <c r="AB214" i="52"/>
  <c r="AB216" i="52"/>
  <c r="AB218" i="52"/>
  <c r="AQ214" i="52"/>
  <c r="AA19" i="52"/>
  <c r="I2095" i="79"/>
  <c r="I2064" i="79"/>
  <c r="B161" i="79"/>
  <c r="C167" i="79"/>
  <c r="B167" i="79" s="1"/>
  <c r="B157" i="79"/>
  <c r="C163" i="79"/>
  <c r="B163" i="79" s="1"/>
  <c r="C158" i="79"/>
  <c r="B152" i="79"/>
  <c r="B147" i="79"/>
  <c r="C154" i="79"/>
  <c r="B146" i="79"/>
  <c r="C153" i="79"/>
  <c r="I2208" i="79"/>
  <c r="K2254" i="79"/>
  <c r="K2235" i="79" s="1"/>
  <c r="K2133" i="79" s="1"/>
  <c r="K2204" i="79"/>
  <c r="K2185" i="79" s="1"/>
  <c r="K2131" i="79" s="1"/>
  <c r="K2224" i="79"/>
  <c r="K2279" i="79"/>
  <c r="K2260" i="79" s="1"/>
  <c r="K2134" i="79" s="1"/>
  <c r="I2123" i="79"/>
  <c r="J2212" i="79"/>
  <c r="J2144" i="79" s="1"/>
  <c r="I1157" i="79"/>
  <c r="I1143" i="79" s="1"/>
  <c r="I1436" i="79"/>
  <c r="I1414" i="79" s="1"/>
  <c r="I2121" i="79"/>
  <c r="I2122" i="79"/>
  <c r="J2283" i="79"/>
  <c r="K2289" i="79"/>
  <c r="K2284" i="79" s="1"/>
  <c r="K2129" i="79" s="1"/>
  <c r="K2080" i="79" s="1"/>
  <c r="K2304" i="79"/>
  <c r="K2285" i="79" s="1"/>
  <c r="K2135" i="79" s="1"/>
  <c r="J2258" i="79"/>
  <c r="J2233" i="79"/>
  <c r="I2183" i="79"/>
  <c r="I1391" i="79"/>
  <c r="I1369" i="79" s="1"/>
  <c r="J2184" i="79"/>
  <c r="J2125" i="79" s="1"/>
  <c r="J2076" i="79" s="1"/>
  <c r="I873" i="79"/>
  <c r="I859" i="79" s="1"/>
  <c r="C97" i="79"/>
  <c r="B97" i="79" s="1"/>
  <c r="B91" i="79"/>
  <c r="I785" i="79"/>
  <c r="AP232" i="52"/>
  <c r="Z65" i="52"/>
  <c r="Z109" i="52"/>
  <c r="AP109" i="52" s="1"/>
  <c r="K1955" i="79"/>
  <c r="K1941" i="79" s="1"/>
  <c r="K1921" i="79"/>
  <c r="AB233" i="52"/>
  <c r="AA233" i="52"/>
  <c r="AA43" i="52" s="1"/>
  <c r="AA234" i="52"/>
  <c r="AQ234" i="52" s="1"/>
  <c r="AA235" i="52"/>
  <c r="AQ235" i="52" s="1"/>
  <c r="AA236" i="52"/>
  <c r="I2673" i="79"/>
  <c r="I2675" i="79"/>
  <c r="I2674" i="79"/>
  <c r="I2678" i="79"/>
  <c r="I2671" i="79" s="1"/>
  <c r="J2530" i="79"/>
  <c r="J2523" i="79" s="1"/>
  <c r="J2526" i="79"/>
  <c r="G125" i="79"/>
  <c r="J1462" i="79"/>
  <c r="J1372" i="79"/>
  <c r="K1985" i="79"/>
  <c r="K1945" i="79"/>
  <c r="L2990" i="79"/>
  <c r="L3374" i="79"/>
  <c r="L2955" i="79"/>
  <c r="L2949" i="79" s="1"/>
  <c r="L3343" i="79"/>
  <c r="L717" i="79"/>
  <c r="L1191" i="79"/>
  <c r="L1190" i="79" s="1"/>
  <c r="L1478" i="79"/>
  <c r="L944" i="79"/>
  <c r="L497" i="79"/>
  <c r="L1464" i="79"/>
  <c r="L1648" i="79"/>
  <c r="L1766" i="79"/>
  <c r="L519" i="79"/>
  <c r="L475" i="79"/>
  <c r="L191" i="79" s="1"/>
  <c r="L185" i="79" s="1"/>
  <c r="L1721" i="79"/>
  <c r="L318" i="79"/>
  <c r="L274" i="79"/>
  <c r="L188" i="79" s="1"/>
  <c r="L182" i="79" s="1"/>
  <c r="L636" i="79"/>
  <c r="L1343" i="79"/>
  <c r="L1080" i="79"/>
  <c r="L1079" i="79" s="1"/>
  <c r="L1329" i="79"/>
  <c r="L833" i="79"/>
  <c r="L1600" i="79"/>
  <c r="L296" i="79"/>
  <c r="L3250" i="79"/>
  <c r="L3248" i="79" s="1"/>
  <c r="L2551" i="79"/>
  <c r="L2850" i="79"/>
  <c r="L3312" i="79"/>
  <c r="L3310" i="79" s="1"/>
  <c r="L2920" i="79"/>
  <c r="M2806" i="79"/>
  <c r="L2806" i="79"/>
  <c r="L3397" i="79"/>
  <c r="L2666" i="79"/>
  <c r="L2664" i="79" s="1"/>
  <c r="L3017" i="79"/>
  <c r="J1417" i="79"/>
  <c r="J1327" i="79"/>
  <c r="K1466" i="79"/>
  <c r="K1421" i="79"/>
  <c r="K1376" i="79"/>
  <c r="K1331" i="79"/>
  <c r="J1282" i="79"/>
  <c r="K1286" i="79"/>
  <c r="I1083" i="79"/>
  <c r="I1069" i="79" s="1"/>
  <c r="K862" i="79"/>
  <c r="K899" i="79"/>
  <c r="K936" i="79"/>
  <c r="K1925" i="79"/>
  <c r="K2189" i="79"/>
  <c r="K2214" i="79"/>
  <c r="K2209" i="79" s="1"/>
  <c r="K2126" i="79" s="1"/>
  <c r="K2077" i="79" s="1"/>
  <c r="K2239" i="79"/>
  <c r="K2234" i="79" s="1"/>
  <c r="K2127" i="79" s="1"/>
  <c r="K2078" i="79" s="1"/>
  <c r="K1965" i="79"/>
  <c r="AQ232" i="52"/>
  <c r="K2264" i="79"/>
  <c r="K2259" i="79" s="1"/>
  <c r="K2128" i="79" s="1"/>
  <c r="K2079" i="79" s="1"/>
  <c r="K2005" i="79"/>
  <c r="L405" i="79"/>
  <c r="L338" i="79"/>
  <c r="L271" i="79"/>
  <c r="L472" i="79"/>
  <c r="L204" i="79"/>
  <c r="L2324" i="79"/>
  <c r="L2321" i="79" s="1"/>
  <c r="L2311" i="79"/>
  <c r="L2308" i="79" s="1"/>
  <c r="L2007" i="79"/>
  <c r="L2015" i="79" s="1"/>
  <c r="L2001" i="79" s="1"/>
  <c r="L2241" i="79"/>
  <c r="L1987" i="79"/>
  <c r="L1995" i="79" s="1"/>
  <c r="L1981" i="79" s="1"/>
  <c r="L2291" i="79"/>
  <c r="L2216" i="79"/>
  <c r="L2229" i="79" s="1"/>
  <c r="L2210" i="79" s="1"/>
  <c r="L2132" i="79" s="1"/>
  <c r="L1947" i="79"/>
  <c r="L2191" i="79"/>
  <c r="L1967" i="79"/>
  <c r="L1975" i="79" s="1"/>
  <c r="L1961" i="79" s="1"/>
  <c r="L2266" i="79"/>
  <c r="L1927" i="79"/>
  <c r="L1935" i="79" s="1"/>
  <c r="M2226" i="79"/>
  <c r="L2226" i="79"/>
  <c r="AB217" i="52"/>
  <c r="AR217" i="52" s="1"/>
  <c r="L633" i="79"/>
  <c r="L606" i="79"/>
  <c r="L714" i="79"/>
  <c r="L660" i="79"/>
  <c r="L687" i="79"/>
  <c r="L673" i="79"/>
  <c r="L700" i="79"/>
  <c r="L727" i="79"/>
  <c r="L646" i="79"/>
  <c r="L619" i="79"/>
  <c r="K2824" i="79"/>
  <c r="M1545" i="79"/>
  <c r="M1544" i="79" s="1"/>
  <c r="L1073" i="79"/>
  <c r="L1072" i="79" s="1"/>
  <c r="L1471" i="79"/>
  <c r="L1593" i="79"/>
  <c r="L1592" i="79" s="1"/>
  <c r="L1589" i="79" s="1"/>
  <c r="L863" i="79"/>
  <c r="L290" i="79"/>
  <c r="L826" i="79"/>
  <c r="L1184" i="79"/>
  <c r="L1183" i="79" s="1"/>
  <c r="L1625" i="79"/>
  <c r="L1624" i="79" s="1"/>
  <c r="L1621" i="79" s="1"/>
  <c r="L1147" i="79"/>
  <c r="L1146" i="79" s="1"/>
  <c r="L2265" i="79"/>
  <c r="L2536" i="79"/>
  <c r="L2535" i="79" s="1"/>
  <c r="L1709" i="79"/>
  <c r="L1708" i="79" s="1"/>
  <c r="L1769" i="79"/>
  <c r="L1768" i="79" s="1"/>
  <c r="L1760" i="79" s="1"/>
  <c r="L1966" i="79"/>
  <c r="L1336" i="79"/>
  <c r="L1426" i="79"/>
  <c r="L1381" i="79"/>
  <c r="L1377" i="79"/>
  <c r="L629" i="79"/>
  <c r="L1754" i="79"/>
  <c r="L1753" i="79" s="1"/>
  <c r="L1641" i="79"/>
  <c r="L1640" i="79" s="1"/>
  <c r="L223" i="79"/>
  <c r="L1577" i="79"/>
  <c r="L1576" i="79" s="1"/>
  <c r="L1573" i="79" s="1"/>
  <c r="L1986" i="79"/>
  <c r="L2693" i="79"/>
  <c r="L2692" i="79" s="1"/>
  <c r="L2679" i="79" s="1"/>
  <c r="L2215" i="79"/>
  <c r="L3228" i="79"/>
  <c r="L2006" i="79"/>
  <c r="L2290" i="79"/>
  <c r="L2190" i="79"/>
  <c r="L1291" i="79"/>
  <c r="L379" i="79"/>
  <c r="L1926" i="79"/>
  <c r="L1724" i="79"/>
  <c r="L1723" i="79" s="1"/>
  <c r="L1715" i="79" s="1"/>
  <c r="L1946" i="79"/>
  <c r="L1609" i="79"/>
  <c r="L1608" i="79" s="1"/>
  <c r="L1605" i="79" s="1"/>
  <c r="L1467" i="79"/>
  <c r="L1332" i="79"/>
  <c r="L1287" i="79"/>
  <c r="L900" i="79"/>
  <c r="L491" i="79"/>
  <c r="L446" i="79"/>
  <c r="L268" i="79"/>
  <c r="L683" i="79"/>
  <c r="L2240" i="79"/>
  <c r="L357" i="79"/>
  <c r="L1422" i="79"/>
  <c r="L937" i="79"/>
  <c r="L513" i="79"/>
  <c r="L312" i="79"/>
  <c r="L1036" i="79"/>
  <c r="L1035" i="79" s="1"/>
  <c r="L402" i="79"/>
  <c r="L201" i="79"/>
  <c r="L602" i="79"/>
  <c r="L710" i="79"/>
  <c r="L424" i="79"/>
  <c r="L2825" i="79"/>
  <c r="L1739" i="79"/>
  <c r="L1738" i="79" s="1"/>
  <c r="L1110" i="79"/>
  <c r="L1109" i="79" s="1"/>
  <c r="L469" i="79"/>
  <c r="L245" i="79"/>
  <c r="L335" i="79"/>
  <c r="L789" i="79"/>
  <c r="L656" i="79"/>
  <c r="AL39" i="52"/>
  <c r="H263" i="79"/>
  <c r="H262" i="79" s="1"/>
  <c r="G127" i="79"/>
  <c r="G58" i="79"/>
  <c r="AV149" i="52" s="1"/>
  <c r="G26" i="79"/>
  <c r="AV143" i="52" s="1"/>
  <c r="H60" i="79"/>
  <c r="AW151" i="52" s="1"/>
  <c r="H28" i="79"/>
  <c r="AW145" i="52" s="1"/>
  <c r="H330" i="79"/>
  <c r="H329" i="79" s="1"/>
  <c r="H464" i="79"/>
  <c r="H125" i="79" s="1"/>
  <c r="H96" i="79"/>
  <c r="H196" i="79"/>
  <c r="H121" i="79" s="1"/>
  <c r="I196" i="79"/>
  <c r="I121" i="79" s="1"/>
  <c r="H419" i="79"/>
  <c r="H418" i="79" s="1"/>
  <c r="H90" i="79"/>
  <c r="H219" i="79"/>
  <c r="H218" i="79" s="1"/>
  <c r="I286" i="79"/>
  <c r="H487" i="79"/>
  <c r="H93" i="79" s="1"/>
  <c r="I420" i="79"/>
  <c r="I92" i="79" s="1"/>
  <c r="C96" i="79"/>
  <c r="B96" i="79" s="1"/>
  <c r="B56" i="52"/>
  <c r="B180" i="52"/>
  <c r="AI78" i="52"/>
  <c r="AK78" i="52"/>
  <c r="AL78" i="52"/>
  <c r="AJ78" i="52"/>
  <c r="AH78" i="52"/>
  <c r="AG78" i="52"/>
  <c r="AF78" i="52"/>
  <c r="B279" i="52"/>
  <c r="B179" i="52"/>
  <c r="B77" i="52"/>
  <c r="B190" i="52"/>
  <c r="B35" i="52"/>
  <c r="B14" i="52"/>
  <c r="C291" i="54" a="1"/>
  <c r="C291" i="54" s="1"/>
  <c r="D291" i="54" s="1"/>
  <c r="A292" i="54"/>
  <c r="M12" i="9"/>
  <c r="I155" i="9"/>
  <c r="L63" i="9"/>
  <c r="M14" i="9"/>
  <c r="L17" i="9"/>
  <c r="L67" i="9" s="1"/>
  <c r="L78" i="9" s="1"/>
  <c r="K111" i="9"/>
  <c r="K115" i="9" s="1"/>
  <c r="L15" i="9"/>
  <c r="K23" i="9"/>
  <c r="J156" i="9"/>
  <c r="J65" i="9"/>
  <c r="J64" i="9" s="1"/>
  <c r="J96" i="9"/>
  <c r="J87" i="9"/>
  <c r="J153" i="9"/>
  <c r="L337" i="79"/>
  <c r="L359" i="79"/>
  <c r="L381" i="79"/>
  <c r="L314" i="79"/>
  <c r="L270" i="79"/>
  <c r="L292" i="79"/>
  <c r="I530" i="79"/>
  <c r="Y177" i="59"/>
  <c r="X229" i="59"/>
  <c r="Y82" i="59"/>
  <c r="D542" i="59"/>
  <c r="F563" i="59"/>
  <c r="W236" i="59"/>
  <c r="X89" i="59"/>
  <c r="X237" i="59"/>
  <c r="Y90" i="59"/>
  <c r="X222" i="59"/>
  <c r="AB112" i="59"/>
  <c r="AB113" i="59"/>
  <c r="AC109" i="59"/>
  <c r="D562" i="59"/>
  <c r="F604" i="59"/>
  <c r="D604" i="59" s="1"/>
  <c r="C652" i="59"/>
  <c r="F651" i="59" a="1"/>
  <c r="F651" i="59" s="1"/>
  <c r="D651" i="59" s="1"/>
  <c r="Z103" i="59"/>
  <c r="AA99" i="59"/>
  <c r="Z102" i="59"/>
  <c r="F502" i="59"/>
  <c r="D481" i="59"/>
  <c r="Z231" i="59"/>
  <c r="AA84" i="59"/>
  <c r="M40" i="10"/>
  <c r="Z233" i="59"/>
  <c r="AA86" i="59"/>
  <c r="AA63" i="59"/>
  <c r="V64" i="59"/>
  <c r="F482" i="59" a="1"/>
  <c r="F482" i="59" s="1"/>
  <c r="F524" i="59" s="1"/>
  <c r="D524" i="59" s="1"/>
  <c r="C483" i="59"/>
  <c r="Z234" i="59"/>
  <c r="AA87" i="59"/>
  <c r="Z6" i="59"/>
  <c r="Z55" i="59" s="1"/>
  <c r="Z230" i="59"/>
  <c r="AA83" i="59"/>
  <c r="D501" i="59"/>
  <c r="F543" i="59"/>
  <c r="F585" i="59" s="1"/>
  <c r="I62" i="9"/>
  <c r="I61" i="9" s="1"/>
  <c r="CK62" i="9"/>
  <c r="AW62" i="9"/>
  <c r="BQ62" i="9"/>
  <c r="AC62" i="9"/>
  <c r="W223" i="59"/>
  <c r="W224" i="59" s="1"/>
  <c r="W225" i="59" s="1"/>
  <c r="J154" i="9"/>
  <c r="J97" i="9"/>
  <c r="J157" i="9"/>
  <c r="J76" i="9"/>
  <c r="J75" i="9" s="1"/>
  <c r="K24" i="9"/>
  <c r="L16" i="9"/>
  <c r="N653" i="59"/>
  <c r="Q654" i="59"/>
  <c r="I338" i="54"/>
  <c r="F337" i="54"/>
  <c r="H121" i="54" a="1"/>
  <c r="H121" i="54" s="1"/>
  <c r="C121" i="54" a="1"/>
  <c r="C121" i="54" s="1"/>
  <c r="B121" i="54" s="1"/>
  <c r="A122" i="54"/>
  <c r="C449" i="54" a="1"/>
  <c r="C449" i="54" s="1"/>
  <c r="B449" i="54" s="1"/>
  <c r="A450" i="54"/>
  <c r="H449" i="54" a="1"/>
  <c r="H449" i="54" s="1"/>
  <c r="E249" i="54"/>
  <c r="B249" i="54" s="1"/>
  <c r="S113" i="54"/>
  <c r="C96" i="54" a="1"/>
  <c r="C96" i="54" s="1"/>
  <c r="B96" i="54" s="1"/>
  <c r="A97" i="54"/>
  <c r="A228" i="54"/>
  <c r="C227" i="54" a="1"/>
  <c r="C227" i="54" s="1"/>
  <c r="D227" i="54" s="1"/>
  <c r="A476" i="54"/>
  <c r="H475" i="54" a="1"/>
  <c r="H475" i="54" s="1"/>
  <c r="C475" i="54" a="1"/>
  <c r="C475" i="54" s="1"/>
  <c r="B32" i="54"/>
  <c r="C74" i="54"/>
  <c r="B74" i="54" s="1"/>
  <c r="E291" i="54"/>
  <c r="B290" i="54"/>
  <c r="B226" i="54"/>
  <c r="E228" i="54"/>
  <c r="E337" i="54"/>
  <c r="H205" i="54" a="1"/>
  <c r="H205" i="54" s="1"/>
  <c r="C205" i="54" a="1"/>
  <c r="C205" i="54" s="1"/>
  <c r="B205" i="54" s="1"/>
  <c r="A206" i="54"/>
  <c r="C311" i="54" a="1"/>
  <c r="C311" i="54" s="1"/>
  <c r="D311" i="54" s="1"/>
  <c r="A312" i="54"/>
  <c r="C367" i="54" a="1"/>
  <c r="C367" i="54" s="1"/>
  <c r="A368" i="54"/>
  <c r="H367" i="54" a="1"/>
  <c r="H367" i="54" s="1"/>
  <c r="C13" i="54" a="1"/>
  <c r="C13" i="54" s="1"/>
  <c r="C55" i="54" s="1"/>
  <c r="B55" i="54" s="1"/>
  <c r="A14" i="54"/>
  <c r="A77" i="54"/>
  <c r="B310" i="54"/>
  <c r="C389" i="54" a="1"/>
  <c r="C389" i="54" s="1"/>
  <c r="A390" i="54"/>
  <c r="H389" i="54" a="1"/>
  <c r="H389" i="54" s="1"/>
  <c r="A430" i="54"/>
  <c r="H429" i="54" a="1"/>
  <c r="H429" i="54" s="1"/>
  <c r="C429" i="54" a="1"/>
  <c r="C429" i="54" s="1"/>
  <c r="B429" i="54" s="1"/>
  <c r="C183" i="54" a="1"/>
  <c r="C183" i="54" s="1"/>
  <c r="B183" i="54" s="1"/>
  <c r="H183" i="54" a="1"/>
  <c r="H183" i="54" s="1"/>
  <c r="A184" i="54"/>
  <c r="H141" i="54" a="1"/>
  <c r="H141" i="54" s="1"/>
  <c r="C141" i="54" a="1"/>
  <c r="C141" i="54" s="1"/>
  <c r="B141" i="54" s="1"/>
  <c r="A142" i="54"/>
  <c r="B494" i="54"/>
  <c r="C33" i="54"/>
  <c r="B12" i="54"/>
  <c r="H495" i="54" a="1"/>
  <c r="H495" i="54" s="1"/>
  <c r="A496" i="54"/>
  <c r="C495" i="54" a="1"/>
  <c r="C495" i="54" s="1"/>
  <c r="A251" i="54"/>
  <c r="C250" i="54" a="1"/>
  <c r="C250" i="54" s="1"/>
  <c r="D250" i="54" s="1"/>
  <c r="B335" i="54"/>
  <c r="E314" i="54"/>
  <c r="A33" i="54"/>
  <c r="A337" i="54"/>
  <c r="C336" i="54" a="1"/>
  <c r="C336" i="54" s="1"/>
  <c r="D336" i="54" s="1"/>
  <c r="B248" i="54"/>
  <c r="C181" i="79"/>
  <c r="B170" i="79"/>
  <c r="Y142" i="52"/>
  <c r="AO142" i="52" s="1"/>
  <c r="Y151" i="52"/>
  <c r="AO151" i="52" s="1"/>
  <c r="Y150" i="52"/>
  <c r="Y51" i="52" s="1"/>
  <c r="AO51" i="52" s="1"/>
  <c r="Y152" i="52"/>
  <c r="Y149" i="52"/>
  <c r="Y29" i="52" s="1"/>
  <c r="AO29" i="52" s="1"/>
  <c r="I558" i="79"/>
  <c r="I244" i="79"/>
  <c r="I241" i="79" s="1"/>
  <c r="I240" i="79" s="1"/>
  <c r="Y146" i="52"/>
  <c r="Y145" i="52"/>
  <c r="AO145" i="52" s="1"/>
  <c r="Y144" i="52"/>
  <c r="Y50" i="52" s="1"/>
  <c r="AO50" i="52" s="1"/>
  <c r="H124" i="79"/>
  <c r="H440" i="79"/>
  <c r="H136" i="79"/>
  <c r="J459" i="79"/>
  <c r="J445" i="79"/>
  <c r="J442" i="79" s="1"/>
  <c r="I222" i="79"/>
  <c r="I236" i="79"/>
  <c r="I220" i="79" s="1"/>
  <c r="J103" i="79"/>
  <c r="J106" i="79"/>
  <c r="K362" i="79"/>
  <c r="J423" i="79"/>
  <c r="J437" i="79"/>
  <c r="J421" i="79" s="1"/>
  <c r="K228" i="79"/>
  <c r="K206" i="79"/>
  <c r="H242" i="79"/>
  <c r="H244" i="79"/>
  <c r="H241" i="79" s="1"/>
  <c r="M449" i="79"/>
  <c r="M447" i="79" s="1"/>
  <c r="M315" i="79"/>
  <c r="M516" i="79"/>
  <c r="M248" i="79"/>
  <c r="M382" i="79"/>
  <c r="M494" i="79"/>
  <c r="M226" i="79"/>
  <c r="M360" i="79"/>
  <c r="M427" i="79"/>
  <c r="M425" i="79" s="1"/>
  <c r="M293" i="79"/>
  <c r="K273" i="79"/>
  <c r="K250" i="79"/>
  <c r="L203" i="79"/>
  <c r="L225" i="79"/>
  <c r="L224" i="79" s="1"/>
  <c r="L247" i="79"/>
  <c r="L215" i="79"/>
  <c r="L326" i="79"/>
  <c r="L460" i="79"/>
  <c r="L349" i="79"/>
  <c r="L505" i="79"/>
  <c r="L416" i="79"/>
  <c r="L282" i="79"/>
  <c r="L237" i="79"/>
  <c r="L371" i="79"/>
  <c r="L527" i="79"/>
  <c r="L438" i="79"/>
  <c r="L304" i="79"/>
  <c r="L483" i="79"/>
  <c r="L393" i="79"/>
  <c r="L259" i="79"/>
  <c r="K407" i="79"/>
  <c r="J451" i="79"/>
  <c r="J104" i="79"/>
  <c r="AO143" i="52"/>
  <c r="Y28" i="52"/>
  <c r="AO28" i="52" s="1"/>
  <c r="M175" i="79"/>
  <c r="J108" i="79"/>
  <c r="K340" i="79"/>
  <c r="M493" i="79"/>
  <c r="M515" i="79"/>
  <c r="M471" i="79"/>
  <c r="J110" i="79"/>
  <c r="K295" i="79"/>
  <c r="H46" i="79"/>
  <c r="Q150" i="52" s="1"/>
  <c r="H48" i="79"/>
  <c r="Q152" i="52" s="1"/>
  <c r="J250" i="79"/>
  <c r="H45" i="79"/>
  <c r="Q149" i="52" s="1"/>
  <c r="K429" i="79"/>
  <c r="K474" i="79"/>
  <c r="H47" i="79"/>
  <c r="Q151" i="52" s="1"/>
  <c r="L246" i="79" l="1"/>
  <c r="L258" i="79" s="1"/>
  <c r="L805" i="79"/>
  <c r="L803" i="79" s="1"/>
  <c r="L786" i="79" s="1"/>
  <c r="L1052" i="79"/>
  <c r="L1050" i="79" s="1"/>
  <c r="L1033" i="79" s="1"/>
  <c r="L1307" i="79"/>
  <c r="L1305" i="79" s="1"/>
  <c r="L1280" i="79" s="1"/>
  <c r="L879" i="79"/>
  <c r="L877" i="79" s="1"/>
  <c r="L860" i="79" s="1"/>
  <c r="L1397" i="79"/>
  <c r="L1395" i="79" s="1"/>
  <c r="L1370" i="79" s="1"/>
  <c r="L1126" i="79"/>
  <c r="L1124" i="79" s="1"/>
  <c r="L1107" i="79" s="1"/>
  <c r="L953" i="79"/>
  <c r="L951" i="79" s="1"/>
  <c r="L934" i="79" s="1"/>
  <c r="L1487" i="79"/>
  <c r="L1485" i="79" s="1"/>
  <c r="L1460" i="79" s="1"/>
  <c r="L1200" i="79"/>
  <c r="L1198" i="79" s="1"/>
  <c r="L1181" i="79" s="1"/>
  <c r="L916" i="79"/>
  <c r="L914" i="79" s="1"/>
  <c r="L897" i="79" s="1"/>
  <c r="L1442" i="79"/>
  <c r="L1440" i="79" s="1"/>
  <c r="L1415" i="79" s="1"/>
  <c r="L1163" i="79"/>
  <c r="L1161" i="79" s="1"/>
  <c r="L1144" i="79" s="1"/>
  <c r="L842" i="79"/>
  <c r="L840" i="79" s="1"/>
  <c r="L823" i="79" s="1"/>
  <c r="L1352" i="79"/>
  <c r="L1350" i="79" s="1"/>
  <c r="L1325" i="79" s="1"/>
  <c r="L1089" i="79"/>
  <c r="L1087" i="79" s="1"/>
  <c r="L1070" i="79" s="1"/>
  <c r="M1541" i="79"/>
  <c r="M1539" i="79"/>
  <c r="M1542" i="79"/>
  <c r="M1538" i="79"/>
  <c r="M1540" i="79"/>
  <c r="L197" i="9"/>
  <c r="L2844" i="79"/>
  <c r="L2914" i="79"/>
  <c r="L2984" i="79"/>
  <c r="L201" i="9"/>
  <c r="L79" i="9"/>
  <c r="L77" i="9" s="1"/>
  <c r="L83" i="9"/>
  <c r="L163" i="9"/>
  <c r="L126" i="9"/>
  <c r="L72" i="9"/>
  <c r="L129" i="9"/>
  <c r="L119" i="9"/>
  <c r="L118" i="9" s="1"/>
  <c r="L248" i="9"/>
  <c r="L84" i="9"/>
  <c r="L2641" i="79"/>
  <c r="L2629" i="79" s="1"/>
  <c r="L2545" i="79"/>
  <c r="L2533" i="79" s="1"/>
  <c r="M2569" i="79"/>
  <c r="M2557" i="79" s="1"/>
  <c r="L2593" i="79"/>
  <c r="L2581" i="79" s="1"/>
  <c r="L2617" i="79"/>
  <c r="L2605" i="79" s="1"/>
  <c r="L2602" i="79" s="1"/>
  <c r="BN5" i="9" a="1"/>
  <c r="BN5" i="9" s="1"/>
  <c r="CM11" i="10"/>
  <c r="CM32" i="10"/>
  <c r="CM31" i="10"/>
  <c r="N30" i="8"/>
  <c r="AR3" i="8"/>
  <c r="AQ3" i="8"/>
  <c r="AP3" i="8"/>
  <c r="AM3" i="8"/>
  <c r="AL3" i="8"/>
  <c r="AO3" i="8"/>
  <c r="AN3" i="8"/>
  <c r="AL6" i="8"/>
  <c r="L66" i="9"/>
  <c r="E420" i="54"/>
  <c r="D420" i="54" s="1"/>
  <c r="D419" i="54"/>
  <c r="E388" i="54"/>
  <c r="D387" i="54"/>
  <c r="B387" i="54"/>
  <c r="E430" i="54"/>
  <c r="D429" i="54"/>
  <c r="E367" i="54"/>
  <c r="D366" i="54"/>
  <c r="E451" i="54"/>
  <c r="D450" i="54"/>
  <c r="Y167" i="59"/>
  <c r="Z167" i="59" s="1"/>
  <c r="AA167" i="59" s="1"/>
  <c r="AB167" i="59" s="1"/>
  <c r="AC167" i="59" s="1"/>
  <c r="AD167" i="59" s="1"/>
  <c r="K495" i="54"/>
  <c r="L495" i="54"/>
  <c r="M495" i="54"/>
  <c r="N495" i="54"/>
  <c r="M140" i="9"/>
  <c r="M139" i="9" s="1"/>
  <c r="M197" i="9"/>
  <c r="M201" i="9"/>
  <c r="M79" i="9"/>
  <c r="AD10" i="9"/>
  <c r="AC195" i="9"/>
  <c r="AB76" i="9"/>
  <c r="AB75" i="9" s="1"/>
  <c r="AT203" i="9"/>
  <c r="AT202" i="9"/>
  <c r="AB65" i="9"/>
  <c r="AB64" i="9" s="1"/>
  <c r="AT201" i="9"/>
  <c r="AT197" i="9"/>
  <c r="AT79" i="9"/>
  <c r="AT68" i="9"/>
  <c r="AC201" i="9"/>
  <c r="AC197" i="9"/>
  <c r="G1682" i="79"/>
  <c r="J258" i="80"/>
  <c r="I3473" i="79" s="1"/>
  <c r="J1483" i="79"/>
  <c r="J1391" i="79"/>
  <c r="J1369" i="79" s="1"/>
  <c r="I1481" i="79"/>
  <c r="I1459" i="79" s="1"/>
  <c r="K1438" i="79"/>
  <c r="K1436" i="79" s="1"/>
  <c r="K1414" i="79" s="1"/>
  <c r="K1393" i="79"/>
  <c r="K1348" i="79"/>
  <c r="K1048" i="79"/>
  <c r="K1303" i="79"/>
  <c r="J1157" i="79"/>
  <c r="J1143" i="79" s="1"/>
  <c r="J949" i="79"/>
  <c r="J1196" i="79"/>
  <c r="K912" i="79"/>
  <c r="K910" i="79" s="1"/>
  <c r="K896" i="79" s="1"/>
  <c r="K1159" i="79"/>
  <c r="K1157" i="79" s="1"/>
  <c r="K1143" i="79" s="1"/>
  <c r="K875" i="79"/>
  <c r="K873" i="79" s="1"/>
  <c r="K859" i="79" s="1"/>
  <c r="K1122" i="79"/>
  <c r="K1120" i="79" s="1"/>
  <c r="K1106" i="79" s="1"/>
  <c r="K838" i="79"/>
  <c r="K836" i="79" s="1"/>
  <c r="K822" i="79" s="1"/>
  <c r="K1085" i="79"/>
  <c r="K1083" i="79" s="1"/>
  <c r="K1069" i="79" s="1"/>
  <c r="K801" i="79"/>
  <c r="K799" i="79" s="1"/>
  <c r="I3070" i="79"/>
  <c r="I3065" i="79" s="1"/>
  <c r="Q515" i="54"/>
  <c r="R515" i="54" s="1"/>
  <c r="S515" i="54" s="1"/>
  <c r="T515" i="54" s="1"/>
  <c r="U515" i="54" s="1"/>
  <c r="V515" i="54" s="1"/>
  <c r="Q514" i="54"/>
  <c r="R514" i="54" s="1"/>
  <c r="S514" i="54" s="1"/>
  <c r="T514" i="54" s="1"/>
  <c r="U514" i="54" s="1"/>
  <c r="V514" i="54" s="1"/>
  <c r="Q520" i="54"/>
  <c r="R520" i="54" s="1"/>
  <c r="S520" i="54" s="1"/>
  <c r="T520" i="54" s="1"/>
  <c r="U520" i="54" s="1"/>
  <c r="V520" i="54" s="1"/>
  <c r="Q521" i="54"/>
  <c r="R521" i="54" s="1"/>
  <c r="S521" i="54" s="1"/>
  <c r="T521" i="54" s="1"/>
  <c r="U521" i="54" s="1"/>
  <c r="V521" i="54" s="1"/>
  <c r="Q511" i="54"/>
  <c r="R511" i="54" s="1"/>
  <c r="S511" i="54" s="1"/>
  <c r="T511" i="54" s="1"/>
  <c r="U511" i="54" s="1"/>
  <c r="V511" i="54" s="1"/>
  <c r="Q518" i="54"/>
  <c r="R518" i="54" s="1"/>
  <c r="S518" i="54" s="1"/>
  <c r="T518" i="54" s="1"/>
  <c r="U518" i="54" s="1"/>
  <c r="V518" i="54" s="1"/>
  <c r="Q517" i="54"/>
  <c r="R517" i="54" s="1"/>
  <c r="S517" i="54" s="1"/>
  <c r="T517" i="54" s="1"/>
  <c r="U517" i="54" s="1"/>
  <c r="V517" i="54" s="1"/>
  <c r="AJ119" i="52"/>
  <c r="AJ126" i="52"/>
  <c r="O489" i="54"/>
  <c r="AJ120" i="52"/>
  <c r="AJ134" i="52"/>
  <c r="AJ136" i="52"/>
  <c r="AJ135" i="52"/>
  <c r="AK133" i="52"/>
  <c r="AI123" i="52"/>
  <c r="AJ130" i="52"/>
  <c r="O491" i="54"/>
  <c r="M28" i="56"/>
  <c r="M53" i="56"/>
  <c r="K201" i="54"/>
  <c r="N180" i="54"/>
  <c r="K138" i="54"/>
  <c r="Q159" i="54"/>
  <c r="R159" i="54" s="1"/>
  <c r="S159" i="54" s="1"/>
  <c r="O180" i="54"/>
  <c r="Q201" i="54"/>
  <c r="R201" i="54" s="1"/>
  <c r="S201" i="54" s="1"/>
  <c r="L201" i="54"/>
  <c r="Q180" i="54"/>
  <c r="R180" i="54" s="1"/>
  <c r="S180" i="54" s="1"/>
  <c r="N117" i="54"/>
  <c r="N138" i="54"/>
  <c r="L180" i="54"/>
  <c r="Q117" i="54"/>
  <c r="R117" i="54" s="1"/>
  <c r="O159" i="54"/>
  <c r="M180" i="54"/>
  <c r="P159" i="54"/>
  <c r="L138" i="54"/>
  <c r="N201" i="54"/>
  <c r="K117" i="54"/>
  <c r="Q138" i="54"/>
  <c r="R138" i="54" s="1"/>
  <c r="S138" i="54" s="1"/>
  <c r="N159" i="54"/>
  <c r="O138" i="54"/>
  <c r="L117" i="54"/>
  <c r="P201" i="54"/>
  <c r="O201" i="54"/>
  <c r="K180" i="54"/>
  <c r="O117" i="54"/>
  <c r="M201" i="54"/>
  <c r="P180" i="54"/>
  <c r="M159" i="54"/>
  <c r="M138" i="54"/>
  <c r="L159" i="54"/>
  <c r="M117" i="54"/>
  <c r="K159" i="54"/>
  <c r="P138" i="54"/>
  <c r="AC140" i="9"/>
  <c r="AC139" i="9" s="1"/>
  <c r="AC72" i="9"/>
  <c r="AC73" i="9"/>
  <c r="AC79" i="9"/>
  <c r="AC77" i="9" s="1"/>
  <c r="AC68" i="9"/>
  <c r="AC66" i="9" s="1"/>
  <c r="L249" i="9"/>
  <c r="AB249" i="9"/>
  <c r="AB244" i="9" s="1"/>
  <c r="AB237" i="9" s="1"/>
  <c r="AC92" i="9"/>
  <c r="AC128" i="9"/>
  <c r="AC248" i="9"/>
  <c r="AC247" i="9"/>
  <c r="AC52" i="9"/>
  <c r="AC245" i="9"/>
  <c r="AC164" i="9"/>
  <c r="AC167" i="9"/>
  <c r="AC165" i="9" s="1"/>
  <c r="P32" i="8" s="1"/>
  <c r="AC59" i="9"/>
  <c r="AC57" i="9" s="1"/>
  <c r="AC56" i="9" s="1"/>
  <c r="P17" i="8" s="1"/>
  <c r="AC246" i="9"/>
  <c r="AQ130" i="52"/>
  <c r="AI127" i="52"/>
  <c r="AA134" i="52"/>
  <c r="AA136" i="52"/>
  <c r="AI124" i="52"/>
  <c r="Z129" i="52"/>
  <c r="I3409" i="79"/>
  <c r="I3402" i="79" s="1"/>
  <c r="O468" i="54"/>
  <c r="AB126" i="52"/>
  <c r="AI131" i="52"/>
  <c r="AA129" i="52"/>
  <c r="AQ126" i="52"/>
  <c r="O470" i="54"/>
  <c r="AB130" i="52"/>
  <c r="Q469" i="54"/>
  <c r="R469" i="54" s="1"/>
  <c r="S469" i="54" s="1"/>
  <c r="T469" i="54" s="1"/>
  <c r="U469" i="54" s="1"/>
  <c r="V469" i="54" s="1"/>
  <c r="AD127" i="52"/>
  <c r="P469" i="54"/>
  <c r="AC127" i="52"/>
  <c r="Z135" i="52"/>
  <c r="AQ236" i="52"/>
  <c r="AB104" i="52"/>
  <c r="AR104" i="52" s="1"/>
  <c r="AA112" i="52"/>
  <c r="AQ112" i="52" s="1"/>
  <c r="AO146" i="52"/>
  <c r="AO152" i="52"/>
  <c r="AC105" i="52"/>
  <c r="AB108" i="52"/>
  <c r="AR108" i="52" s="1"/>
  <c r="B98" i="52"/>
  <c r="B120" i="52"/>
  <c r="AQ17" i="52"/>
  <c r="P150" i="52"/>
  <c r="AQ21" i="52"/>
  <c r="AL35" i="52"/>
  <c r="AJ101" i="52"/>
  <c r="AL65" i="52"/>
  <c r="AL36" i="52"/>
  <c r="AL105" i="52"/>
  <c r="AJ65" i="52"/>
  <c r="AJ14" i="52"/>
  <c r="AJ36" i="52"/>
  <c r="AK24" i="52"/>
  <c r="AK31" i="52"/>
  <c r="AL67" i="52"/>
  <c r="AL61" i="52"/>
  <c r="AR211" i="52"/>
  <c r="AK9" i="52"/>
  <c r="AK75" i="52"/>
  <c r="AK54" i="52"/>
  <c r="AK97" i="52"/>
  <c r="AL57" i="52"/>
  <c r="AJ43" i="52"/>
  <c r="AJ17" i="52"/>
  <c r="O490" i="54" s="1"/>
  <c r="AL17" i="52"/>
  <c r="AL102" i="52"/>
  <c r="AK32" i="52"/>
  <c r="AK98" i="52"/>
  <c r="AK46" i="52"/>
  <c r="AK112" i="52"/>
  <c r="AL111" i="52"/>
  <c r="AL101" i="52"/>
  <c r="AJ39" i="52"/>
  <c r="AJ61" i="52"/>
  <c r="AJ105" i="52"/>
  <c r="AJ58" i="52"/>
  <c r="AJ13" i="52"/>
  <c r="AJ102" i="52"/>
  <c r="AR212" i="52"/>
  <c r="AK53" i="52"/>
  <c r="AL45" i="52"/>
  <c r="AL13" i="52"/>
  <c r="AL43" i="52"/>
  <c r="AJ57" i="52"/>
  <c r="AQ61" i="52"/>
  <c r="AQ39" i="52"/>
  <c r="AK68" i="52"/>
  <c r="AK10" i="52"/>
  <c r="AK76" i="52"/>
  <c r="AL23" i="52"/>
  <c r="AL14" i="52"/>
  <c r="AL21" i="52"/>
  <c r="AJ35" i="52"/>
  <c r="AJ109" i="52"/>
  <c r="AJ21" i="52"/>
  <c r="B169" i="52"/>
  <c r="B164" i="52"/>
  <c r="AC127" i="9"/>
  <c r="AC93" i="9"/>
  <c r="AC83" i="9"/>
  <c r="AC119" i="9"/>
  <c r="AC118" i="9" s="1"/>
  <c r="AC130" i="9"/>
  <c r="AC163" i="9"/>
  <c r="AC126" i="9"/>
  <c r="AD9" i="9"/>
  <c r="AC49" i="9"/>
  <c r="P15" i="8" s="1"/>
  <c r="AC129" i="9"/>
  <c r="AC159" i="9"/>
  <c r="P34" i="8" s="1"/>
  <c r="AC84" i="9"/>
  <c r="J1682" i="79"/>
  <c r="M40" i="56"/>
  <c r="P158" i="54" s="1"/>
  <c r="M42" i="56"/>
  <c r="P179" i="54" s="1"/>
  <c r="M43" i="56"/>
  <c r="P200" i="54" s="1"/>
  <c r="M41" i="56"/>
  <c r="P137" i="54" s="1"/>
  <c r="M39" i="56"/>
  <c r="H1682" i="79"/>
  <c r="I257" i="80"/>
  <c r="H3070" i="79" s="1"/>
  <c r="J1781" i="79"/>
  <c r="I22" i="56"/>
  <c r="I16" i="56" s="1"/>
  <c r="L135" i="54" s="1"/>
  <c r="AP65" i="52"/>
  <c r="AQ43" i="52"/>
  <c r="AP68" i="52"/>
  <c r="AP69" i="52"/>
  <c r="P152" i="52"/>
  <c r="R149" i="52"/>
  <c r="P151" i="52"/>
  <c r="P149" i="52"/>
  <c r="AB19" i="10"/>
  <c r="BX18" i="10"/>
  <c r="BY18" i="10" s="1"/>
  <c r="AA244" i="9"/>
  <c r="AA237" i="9" s="1"/>
  <c r="G161" i="9"/>
  <c r="O116" i="54"/>
  <c r="H1783" i="79"/>
  <c r="J23" i="56"/>
  <c r="J16" i="56"/>
  <c r="M135" i="54" s="1"/>
  <c r="L21" i="56"/>
  <c r="L257" i="80" s="1"/>
  <c r="L14" i="56"/>
  <c r="O114" i="54" s="1"/>
  <c r="H22" i="56"/>
  <c r="H15" i="56"/>
  <c r="K156" i="54" s="1"/>
  <c r="K22" i="56"/>
  <c r="J1681" i="79" s="1"/>
  <c r="K15" i="56"/>
  <c r="N156" i="54" s="1"/>
  <c r="P29" i="56"/>
  <c r="M2350" i="79"/>
  <c r="M2349" i="79" s="1"/>
  <c r="M2344" i="79" s="1"/>
  <c r="AA99" i="9"/>
  <c r="AA95" i="9" s="1"/>
  <c r="N20" i="8" s="1"/>
  <c r="AR208" i="52"/>
  <c r="AD212" i="52"/>
  <c r="AD210" i="52"/>
  <c r="AD61" i="52" s="1"/>
  <c r="AD209" i="52"/>
  <c r="AD39" i="52" s="1"/>
  <c r="AT39" i="52" s="1"/>
  <c r="AD211" i="52"/>
  <c r="AT211" i="52" s="1"/>
  <c r="AB162" i="9"/>
  <c r="H1780" i="79"/>
  <c r="K52" i="9"/>
  <c r="K98" i="9" s="1"/>
  <c r="K247" i="9"/>
  <c r="L10" i="9"/>
  <c r="L195" i="9" s="1"/>
  <c r="K245" i="9"/>
  <c r="K167" i="9"/>
  <c r="K165" i="9" s="1"/>
  <c r="K159" i="9"/>
  <c r="K164" i="9"/>
  <c r="K162" i="9" s="1"/>
  <c r="K59" i="9"/>
  <c r="K57" i="9" s="1"/>
  <c r="K56" i="9" s="1"/>
  <c r="J17" i="8" s="1"/>
  <c r="K246" i="9"/>
  <c r="K49" i="9"/>
  <c r="J15" i="8" s="1"/>
  <c r="K128" i="9"/>
  <c r="AU10" i="9"/>
  <c r="AT88" i="9"/>
  <c r="I98" i="9"/>
  <c r="I99" i="9"/>
  <c r="H98" i="9"/>
  <c r="H99" i="9"/>
  <c r="G98" i="9"/>
  <c r="G99" i="9"/>
  <c r="I244" i="9"/>
  <c r="I237" i="9" s="1"/>
  <c r="J99" i="9"/>
  <c r="J95" i="9" s="1"/>
  <c r="I20" i="8" s="1"/>
  <c r="AB98" i="9"/>
  <c r="AK209" i="52"/>
  <c r="AS209" i="52" s="1"/>
  <c r="AK193" i="52"/>
  <c r="AK232" i="52"/>
  <c r="AK190" i="52"/>
  <c r="L1775" i="79"/>
  <c r="AK210" i="52"/>
  <c r="AS210" i="52" s="1"/>
  <c r="AK185" i="52"/>
  <c r="AK234" i="52"/>
  <c r="AK211" i="52"/>
  <c r="AK233" i="52"/>
  <c r="AK187" i="52"/>
  <c r="AK208" i="52"/>
  <c r="AS208" i="52" s="1"/>
  <c r="AK191" i="52"/>
  <c r="AK194" i="52"/>
  <c r="AK212" i="52"/>
  <c r="AK186" i="52"/>
  <c r="AK192" i="52"/>
  <c r="AK188" i="52"/>
  <c r="AK236" i="52"/>
  <c r="AK184" i="52"/>
  <c r="AK235" i="52"/>
  <c r="O186" i="37"/>
  <c r="O187" i="37"/>
  <c r="AU9" i="9"/>
  <c r="AT12" i="9"/>
  <c r="AU12" i="9" s="1"/>
  <c r="AV12" i="9" s="1"/>
  <c r="B475" i="54"/>
  <c r="M119" i="9"/>
  <c r="M118" i="9" s="1"/>
  <c r="M248" i="9"/>
  <c r="M68" i="9"/>
  <c r="I161" i="9"/>
  <c r="AQ24" i="52"/>
  <c r="AQ134" i="52" s="1"/>
  <c r="AQ19" i="52"/>
  <c r="AQ129" i="52" s="1"/>
  <c r="AQ26" i="52"/>
  <c r="AQ136" i="52" s="1"/>
  <c r="AP19" i="52"/>
  <c r="AP129" i="52" s="1"/>
  <c r="AP25" i="52"/>
  <c r="AP135" i="52" s="1"/>
  <c r="M3191" i="79"/>
  <c r="M1687" i="79"/>
  <c r="AD203" i="52" s="1"/>
  <c r="AD38" i="52" s="1"/>
  <c r="I3414" i="79"/>
  <c r="H161" i="9"/>
  <c r="AB156" i="9"/>
  <c r="AB87" i="9"/>
  <c r="AB96" i="9"/>
  <c r="AB153" i="9"/>
  <c r="AE12" i="9"/>
  <c r="AU166" i="9"/>
  <c r="AV13" i="9"/>
  <c r="AT180" i="9"/>
  <c r="AU22" i="9"/>
  <c r="AV22" i="9" s="1"/>
  <c r="AW22" i="9" s="1"/>
  <c r="AX22" i="9" s="1"/>
  <c r="AY22" i="9" s="1"/>
  <c r="AZ22" i="9" s="1"/>
  <c r="BA22" i="9" s="1"/>
  <c r="BB22" i="9" s="1"/>
  <c r="BC22" i="9" s="1"/>
  <c r="BD22" i="9" s="1"/>
  <c r="BE22" i="9" s="1"/>
  <c r="BF22" i="9" s="1"/>
  <c r="AT181" i="9"/>
  <c r="AT178" i="9"/>
  <c r="AT179" i="9"/>
  <c r="AC63" i="9"/>
  <c r="AC61" i="9" s="1"/>
  <c r="AD14" i="9"/>
  <c r="AC146" i="9"/>
  <c r="BN17" i="9"/>
  <c r="BN67" i="9" s="1"/>
  <c r="BN78" i="9" s="1"/>
  <c r="BN22" i="9"/>
  <c r="BO8" i="9"/>
  <c r="CN31" i="10" s="1"/>
  <c r="BN25" i="9"/>
  <c r="BO25" i="9" s="1"/>
  <c r="BP25" i="9" s="1"/>
  <c r="BQ25" i="9" s="1"/>
  <c r="BR25" i="9" s="1"/>
  <c r="BS25" i="9" s="1"/>
  <c r="BT25" i="9" s="1"/>
  <c r="BU25" i="9" s="1"/>
  <c r="BV25" i="9" s="1"/>
  <c r="BW25" i="9" s="1"/>
  <c r="BX25" i="9" s="1"/>
  <c r="BY25" i="9" s="1"/>
  <c r="BZ25" i="9" s="1"/>
  <c r="BN14" i="9"/>
  <c r="BN15" i="9"/>
  <c r="BN200" i="9" s="1"/>
  <c r="BN11" i="9"/>
  <c r="BN16" i="9"/>
  <c r="BN18" i="9"/>
  <c r="BO18" i="9" s="1"/>
  <c r="BN20" i="9"/>
  <c r="BN13" i="9"/>
  <c r="BO13" i="9" s="1"/>
  <c r="BN19" i="9"/>
  <c r="BN10" i="9"/>
  <c r="BN9" i="9"/>
  <c r="AT111" i="9"/>
  <c r="AT115" i="9" s="1"/>
  <c r="AU17" i="9"/>
  <c r="AU67" i="9" s="1"/>
  <c r="AU78" i="9" s="1"/>
  <c r="AD21" i="9"/>
  <c r="AD71" i="9" s="1"/>
  <c r="AD17" i="9"/>
  <c r="AD67" i="9" s="1"/>
  <c r="AD78" i="9" s="1"/>
  <c r="AC111" i="9"/>
  <c r="AC115" i="9" s="1"/>
  <c r="AU11" i="9"/>
  <c r="AV11" i="9" s="1"/>
  <c r="AW11" i="9" s="1"/>
  <c r="AX11" i="9" s="1"/>
  <c r="AY11" i="9" s="1"/>
  <c r="AZ11" i="9" s="1"/>
  <c r="BA11" i="9" s="1"/>
  <c r="BB11" i="9" s="1"/>
  <c r="BC11" i="9" s="1"/>
  <c r="BD11" i="9" s="1"/>
  <c r="BE11" i="9" s="1"/>
  <c r="BF11" i="9" s="1"/>
  <c r="AT172" i="9"/>
  <c r="AU19" i="9"/>
  <c r="AT185" i="9"/>
  <c r="AT190" i="9"/>
  <c r="AU15" i="9"/>
  <c r="AT113" i="9"/>
  <c r="AT106" i="9"/>
  <c r="AT188" i="9"/>
  <c r="AT183" i="9"/>
  <c r="AU21" i="9"/>
  <c r="AU71" i="9" s="1"/>
  <c r="AT91" i="9"/>
  <c r="AT82" i="9"/>
  <c r="AC24" i="9"/>
  <c r="AD16" i="9"/>
  <c r="AU16" i="9"/>
  <c r="AT107" i="9"/>
  <c r="AT184" i="9"/>
  <c r="AT189" i="9"/>
  <c r="AT117" i="9"/>
  <c r="AD20" i="9"/>
  <c r="AB154" i="9"/>
  <c r="AB157" i="9"/>
  <c r="AB97" i="9"/>
  <c r="AB99" i="9"/>
  <c r="AU20" i="9"/>
  <c r="AT191" i="9"/>
  <c r="AT186" i="9"/>
  <c r="AE18" i="9"/>
  <c r="AE150" i="9" s="1"/>
  <c r="AD58" i="9"/>
  <c r="AA155" i="9"/>
  <c r="N38" i="8" s="1"/>
  <c r="AT116" i="9"/>
  <c r="AU14" i="9"/>
  <c r="AD19" i="9"/>
  <c r="AC23" i="9"/>
  <c r="AD15" i="9"/>
  <c r="AD166" i="9"/>
  <c r="AE13" i="9"/>
  <c r="AV18" i="9"/>
  <c r="AU150" i="9"/>
  <c r="H244" i="9"/>
  <c r="H237" i="9" s="1"/>
  <c r="AA161" i="9"/>
  <c r="G244" i="9"/>
  <c r="G237" i="9" s="1"/>
  <c r="J161" i="9"/>
  <c r="J244" i="9"/>
  <c r="J237" i="9" s="1"/>
  <c r="O185" i="37"/>
  <c r="P164" i="37"/>
  <c r="P191" i="37" s="1"/>
  <c r="AA85" i="59"/>
  <c r="Q157" i="37" s="1"/>
  <c r="Q166" i="37" s="1"/>
  <c r="Q193" i="37" s="1"/>
  <c r="Z232" i="59"/>
  <c r="P163" i="37"/>
  <c r="P190" i="37" s="1"/>
  <c r="P162" i="37"/>
  <c r="P166" i="37"/>
  <c r="P193" i="37" s="1"/>
  <c r="AA25" i="52"/>
  <c r="AB257" i="52"/>
  <c r="AB259" i="52"/>
  <c r="AR259" i="52" s="1"/>
  <c r="AB260" i="52"/>
  <c r="AB256" i="52"/>
  <c r="AR256" i="52" s="1"/>
  <c r="AB258" i="52"/>
  <c r="AA47" i="52"/>
  <c r="AQ47" i="52" s="1"/>
  <c r="AQ257" i="52"/>
  <c r="AA113" i="52"/>
  <c r="AQ113" i="52" s="1"/>
  <c r="AQ260" i="52"/>
  <c r="AA69" i="52"/>
  <c r="AQ258" i="52"/>
  <c r="J1046" i="79"/>
  <c r="J1032" i="79" s="1"/>
  <c r="J1301" i="79"/>
  <c r="J1279" i="79" s="1"/>
  <c r="J799" i="79"/>
  <c r="J785" i="79" s="1"/>
  <c r="Y7" i="52"/>
  <c r="Y117" i="52" s="1"/>
  <c r="J1569" i="79"/>
  <c r="K1759" i="79"/>
  <c r="K1696" i="79" s="1"/>
  <c r="K1714" i="79"/>
  <c r="K1693" i="79" s="1"/>
  <c r="K2578" i="79"/>
  <c r="K2525" i="79" s="1"/>
  <c r="K2626" i="79"/>
  <c r="K2527" i="79" s="1"/>
  <c r="L2747" i="79"/>
  <c r="L2554" i="79"/>
  <c r="L2701" i="79"/>
  <c r="Z148" i="52"/>
  <c r="AP148" i="52" s="1"/>
  <c r="L3189" i="79"/>
  <c r="G1783" i="79"/>
  <c r="G1780" i="79"/>
  <c r="K1636" i="79"/>
  <c r="K1568" i="79" s="1"/>
  <c r="L1637" i="79"/>
  <c r="M3551" i="79"/>
  <c r="M3549" i="79" s="1"/>
  <c r="J3445" i="79"/>
  <c r="J3070" i="79"/>
  <c r="M3205" i="79"/>
  <c r="G3445" i="79"/>
  <c r="G3070" i="79"/>
  <c r="J3038" i="79"/>
  <c r="J3033" i="79" s="1"/>
  <c r="J3417" i="79"/>
  <c r="G3417" i="79"/>
  <c r="G3038" i="79"/>
  <c r="I3440" i="79"/>
  <c r="I3442" i="79"/>
  <c r="M3565" i="79"/>
  <c r="M3210" i="79"/>
  <c r="H3417" i="79"/>
  <c r="H3038" i="79"/>
  <c r="AB48" i="52"/>
  <c r="AR48" i="52" s="1"/>
  <c r="H128" i="79"/>
  <c r="M2918" i="79"/>
  <c r="M3120" i="79"/>
  <c r="M3116" i="79" s="1"/>
  <c r="M2988" i="79"/>
  <c r="M3184" i="79"/>
  <c r="M3180" i="79" s="1"/>
  <c r="M2848" i="79"/>
  <c r="M3056" i="79"/>
  <c r="M3052" i="79" s="1"/>
  <c r="L3522" i="79"/>
  <c r="L3531" i="79"/>
  <c r="L3438" i="79"/>
  <c r="L3447" i="79"/>
  <c r="L3466" i="79"/>
  <c r="L3475" i="79"/>
  <c r="L3094" i="79"/>
  <c r="L3104" i="79"/>
  <c r="AK47" i="52"/>
  <c r="L3126" i="79"/>
  <c r="L3136" i="79"/>
  <c r="L3494" i="79"/>
  <c r="L3503" i="79"/>
  <c r="L3062" i="79"/>
  <c r="L3072" i="79"/>
  <c r="AK69" i="52"/>
  <c r="AK113" i="52"/>
  <c r="M3506" i="79"/>
  <c r="M3505" i="79" s="1"/>
  <c r="M3534" i="79"/>
  <c r="M3533" i="79" s="1"/>
  <c r="M3139" i="79"/>
  <c r="M3138" i="79" s="1"/>
  <c r="M3107" i="79"/>
  <c r="M3106" i="79" s="1"/>
  <c r="M3422" i="79"/>
  <c r="M3421" i="79" s="1"/>
  <c r="M3450" i="79"/>
  <c r="M3449" i="79" s="1"/>
  <c r="M3075" i="79"/>
  <c r="M3074" i="79" s="1"/>
  <c r="M3478" i="79"/>
  <c r="M3477" i="79" s="1"/>
  <c r="L3410" i="79"/>
  <c r="L3419" i="79"/>
  <c r="AK25" i="52"/>
  <c r="AB114" i="52"/>
  <c r="AR114" i="52" s="1"/>
  <c r="AB70" i="52"/>
  <c r="AR70" i="52" s="1"/>
  <c r="AK26" i="52"/>
  <c r="AK48" i="52"/>
  <c r="AR262" i="52"/>
  <c r="AB26" i="52"/>
  <c r="K3168" i="79"/>
  <c r="K3158" i="79"/>
  <c r="J348" i="79"/>
  <c r="J332" i="79" s="1"/>
  <c r="K3040" i="79"/>
  <c r="K3030" i="79"/>
  <c r="M3043" i="79"/>
  <c r="M3171" i="79"/>
  <c r="L3170" i="79"/>
  <c r="L3042" i="79"/>
  <c r="M3294" i="79"/>
  <c r="M3293" i="79" s="1"/>
  <c r="M3286" i="79" s="1"/>
  <c r="M3325" i="79"/>
  <c r="M3324" i="79" s="1"/>
  <c r="M3317" i="79" s="1"/>
  <c r="M3356" i="79"/>
  <c r="M3355" i="79" s="1"/>
  <c r="M3348" i="79" s="1"/>
  <c r="M3263" i="79"/>
  <c r="M3262" i="79" s="1"/>
  <c r="M3255" i="79" s="1"/>
  <c r="M3321" i="79"/>
  <c r="M3320" i="79" s="1"/>
  <c r="M3316" i="79" s="1"/>
  <c r="M3259" i="79"/>
  <c r="M3258" i="79" s="1"/>
  <c r="M3254" i="79" s="1"/>
  <c r="M3290" i="79"/>
  <c r="M3289" i="79" s="1"/>
  <c r="M3285" i="79" s="1"/>
  <c r="M3352" i="79"/>
  <c r="M3351" i="79" s="1"/>
  <c r="M3347" i="79" s="1"/>
  <c r="L3372" i="79"/>
  <c r="L3341" i="79"/>
  <c r="M3279" i="79"/>
  <c r="L2770" i="79"/>
  <c r="L2959" i="79"/>
  <c r="L2964" i="79"/>
  <c r="L2929" i="79"/>
  <c r="L2924" i="79"/>
  <c r="L2894" i="79"/>
  <c r="L2889" i="79"/>
  <c r="M2965" i="79"/>
  <c r="M2895" i="79"/>
  <c r="M2860" i="79"/>
  <c r="M2930" i="79"/>
  <c r="L2859" i="79"/>
  <c r="L2854" i="79"/>
  <c r="L2819" i="79"/>
  <c r="I98" i="79"/>
  <c r="I72" i="79" s="1"/>
  <c r="BF151" i="52" s="1"/>
  <c r="L2724" i="79"/>
  <c r="M2790" i="79"/>
  <c r="M2788" i="79" s="1"/>
  <c r="M2773" i="79" s="1"/>
  <c r="M2645" i="79"/>
  <c r="M2647" i="79"/>
  <c r="M2623" i="79"/>
  <c r="M2744" i="79"/>
  <c r="M2742" i="79" s="1"/>
  <c r="M2727" i="79" s="1"/>
  <c r="M2597" i="79"/>
  <c r="M2599" i="79"/>
  <c r="M2698" i="79"/>
  <c r="M2696" i="79" s="1"/>
  <c r="M2681" i="79" s="1"/>
  <c r="M2549" i="79"/>
  <c r="M2584" i="79"/>
  <c r="M2583" i="79" s="1"/>
  <c r="M2579" i="79" s="1"/>
  <c r="M2608" i="79"/>
  <c r="M2607" i="79" s="1"/>
  <c r="M2603" i="79" s="1"/>
  <c r="M2632" i="79"/>
  <c r="M2631" i="79" s="1"/>
  <c r="M2627" i="79" s="1"/>
  <c r="M2560" i="79"/>
  <c r="M2559" i="79" s="1"/>
  <c r="M2555" i="79" s="1"/>
  <c r="G27" i="79"/>
  <c r="AV144" i="52" s="1"/>
  <c r="M3398" i="79"/>
  <c r="M2785" i="79"/>
  <c r="M2784" i="79" s="1"/>
  <c r="M2771" i="79" s="1"/>
  <c r="M2739" i="79"/>
  <c r="M2738" i="79" s="1"/>
  <c r="M2725" i="79" s="1"/>
  <c r="M2716" i="79"/>
  <c r="M2715" i="79" s="1"/>
  <c r="M2702" i="79" s="1"/>
  <c r="M2762" i="79"/>
  <c r="M2761" i="79" s="1"/>
  <c r="M2748" i="79" s="1"/>
  <c r="AA68" i="52"/>
  <c r="H99" i="79"/>
  <c r="H73" i="79" s="1"/>
  <c r="BE152" i="52" s="1"/>
  <c r="I285" i="79"/>
  <c r="I284" i="79" s="1"/>
  <c r="H34" i="79"/>
  <c r="BE145" i="52" s="1"/>
  <c r="I512" i="79"/>
  <c r="I509" i="79" s="1"/>
  <c r="I93" i="79" s="1"/>
  <c r="I61" i="79" s="1"/>
  <c r="AX152" i="52" s="1"/>
  <c r="G374" i="79"/>
  <c r="G373" i="79" s="1"/>
  <c r="I486" i="79"/>
  <c r="I131" i="79" s="1"/>
  <c r="J356" i="79"/>
  <c r="J353" i="79" s="1"/>
  <c r="J352" i="79" s="1"/>
  <c r="H129" i="79"/>
  <c r="G32" i="79"/>
  <c r="BD143" i="52" s="1"/>
  <c r="AQ254" i="52"/>
  <c r="G309" i="79"/>
  <c r="G307" i="79" s="1"/>
  <c r="G134" i="79" s="1"/>
  <c r="G77" i="79" s="1"/>
  <c r="G39" i="79" s="1"/>
  <c r="M534" i="79"/>
  <c r="M533" i="79"/>
  <c r="M535" i="79"/>
  <c r="J488" i="79"/>
  <c r="I510" i="79"/>
  <c r="J490" i="79"/>
  <c r="J487" i="79" s="1"/>
  <c r="AQ250" i="52"/>
  <c r="K518" i="79"/>
  <c r="K118" i="79" s="1"/>
  <c r="K514" i="79"/>
  <c r="J384" i="79"/>
  <c r="J116" i="79" s="1"/>
  <c r="J84" i="79" s="1"/>
  <c r="J380" i="79"/>
  <c r="H97" i="79"/>
  <c r="H376" i="79"/>
  <c r="H374" i="79" s="1"/>
  <c r="I378" i="79"/>
  <c r="I375" i="79" s="1"/>
  <c r="I91" i="79" s="1"/>
  <c r="I392" i="79"/>
  <c r="J482" i="79"/>
  <c r="J466" i="79" s="1"/>
  <c r="J464" i="79" s="1"/>
  <c r="J463" i="79" s="1"/>
  <c r="AQ251" i="52"/>
  <c r="K496" i="79"/>
  <c r="K112" i="79" s="1"/>
  <c r="K492" i="79"/>
  <c r="K490" i="79" s="1"/>
  <c r="K358" i="79"/>
  <c r="K356" i="79" s="1"/>
  <c r="J415" i="79"/>
  <c r="J399" i="79" s="1"/>
  <c r="J397" i="79" s="1"/>
  <c r="K470" i="79"/>
  <c r="K482" i="79" s="1"/>
  <c r="K466" i="79" s="1"/>
  <c r="J289" i="79"/>
  <c r="J286" i="79" s="1"/>
  <c r="J285" i="79" s="1"/>
  <c r="K403" i="79"/>
  <c r="K415" i="79" s="1"/>
  <c r="K399" i="79" s="1"/>
  <c r="J267" i="79"/>
  <c r="J264" i="79" s="1"/>
  <c r="K336" i="79"/>
  <c r="K334" i="79" s="1"/>
  <c r="I325" i="79"/>
  <c r="I311" i="79"/>
  <c r="I308" i="79" s="1"/>
  <c r="I90" i="79" s="1"/>
  <c r="J317" i="79"/>
  <c r="J115" i="79" s="1"/>
  <c r="J83" i="79" s="1"/>
  <c r="J313" i="79"/>
  <c r="K291" i="79"/>
  <c r="K289" i="79" s="1"/>
  <c r="K269" i="79"/>
  <c r="K281" i="79" s="1"/>
  <c r="K265" i="79" s="1"/>
  <c r="L202" i="79"/>
  <c r="X144" i="52"/>
  <c r="X50" i="52" s="1"/>
  <c r="AN50" i="52" s="1"/>
  <c r="X143" i="52"/>
  <c r="X28" i="52" s="1"/>
  <c r="AN28" i="52" s="1"/>
  <c r="X145" i="52"/>
  <c r="X72" i="52" s="1"/>
  <c r="AN72" i="52" s="1"/>
  <c r="X142" i="52"/>
  <c r="X6" i="52" s="1"/>
  <c r="X94" i="52"/>
  <c r="AN94" i="52" s="1"/>
  <c r="AN146" i="52"/>
  <c r="J566" i="79"/>
  <c r="J86" i="79"/>
  <c r="J48" i="79" s="1"/>
  <c r="S152" i="52" s="1"/>
  <c r="J538" i="79"/>
  <c r="AA145" i="52" s="1"/>
  <c r="J117" i="79"/>
  <c r="J85" i="79" s="1"/>
  <c r="J47" i="79" s="1"/>
  <c r="S151" i="52" s="1"/>
  <c r="J443" i="79"/>
  <c r="J441" i="79" s="1"/>
  <c r="K111" i="79"/>
  <c r="K105" i="79"/>
  <c r="K104" i="79"/>
  <c r="H134" i="79"/>
  <c r="H306" i="79"/>
  <c r="K109" i="79"/>
  <c r="J114" i="79"/>
  <c r="J82" i="79" s="1"/>
  <c r="AB253" i="52"/>
  <c r="AR253" i="52" s="1"/>
  <c r="K108" i="79"/>
  <c r="AB251" i="52"/>
  <c r="AR251" i="52" s="1"/>
  <c r="AB254" i="52"/>
  <c r="AB250" i="52"/>
  <c r="AB24" i="52" s="1"/>
  <c r="AB252" i="52"/>
  <c r="AR252" i="52" s="1"/>
  <c r="K2098" i="79"/>
  <c r="K2067" i="79"/>
  <c r="M2287" i="79"/>
  <c r="M2147" i="79" s="1"/>
  <c r="L2287" i="79"/>
  <c r="L2147" i="79" s="1"/>
  <c r="AC251" i="52"/>
  <c r="M3012" i="79"/>
  <c r="G440" i="79"/>
  <c r="G136" i="79"/>
  <c r="G79" i="79" s="1"/>
  <c r="G41" i="79" s="1"/>
  <c r="G71" i="79"/>
  <c r="BD150" i="52" s="1"/>
  <c r="G33" i="79"/>
  <c r="BD144" i="52" s="1"/>
  <c r="G60" i="79"/>
  <c r="AV151" i="52" s="1"/>
  <c r="G28" i="79"/>
  <c r="AV145" i="52" s="1"/>
  <c r="G240" i="79"/>
  <c r="G95" i="79"/>
  <c r="G57" i="79"/>
  <c r="AV148" i="52" s="1"/>
  <c r="G25" i="79"/>
  <c r="AV142" i="52" s="1"/>
  <c r="G93" i="79"/>
  <c r="G508" i="79"/>
  <c r="G99" i="79"/>
  <c r="J150" i="9"/>
  <c r="AD150" i="9"/>
  <c r="M72" i="37"/>
  <c r="AR206" i="52"/>
  <c r="L3231" i="79"/>
  <c r="L3224" i="79" s="1"/>
  <c r="L3227" i="79"/>
  <c r="L3223" i="79" s="1"/>
  <c r="AL114" i="52"/>
  <c r="AL70" i="52"/>
  <c r="AR264" i="52"/>
  <c r="AC262" i="52"/>
  <c r="AC263" i="52"/>
  <c r="AC264" i="52"/>
  <c r="AC265" i="52"/>
  <c r="AS265" i="52" s="1"/>
  <c r="AC266" i="52"/>
  <c r="AR266" i="52"/>
  <c r="AR263" i="52"/>
  <c r="M70" i="37"/>
  <c r="N114" i="37"/>
  <c r="N128" i="37" s="1"/>
  <c r="N48" i="37"/>
  <c r="N76" i="37" s="1"/>
  <c r="M1645" i="79"/>
  <c r="M1644" i="79" s="1"/>
  <c r="M1581" i="79"/>
  <c r="M1580" i="79" s="1"/>
  <c r="M1613" i="79"/>
  <c r="M1612" i="79" s="1"/>
  <c r="M1597" i="79"/>
  <c r="M1596" i="79" s="1"/>
  <c r="M1629" i="79"/>
  <c r="M1628" i="79" s="1"/>
  <c r="M75" i="37"/>
  <c r="N113" i="37"/>
  <c r="N127" i="37" s="1"/>
  <c r="N47" i="37"/>
  <c r="N69" i="37" s="1"/>
  <c r="L2096" i="79"/>
  <c r="L2065" i="79"/>
  <c r="M2096" i="79"/>
  <c r="M2065" i="79"/>
  <c r="AT208" i="52"/>
  <c r="N116" i="37"/>
  <c r="N130" i="37" s="1"/>
  <c r="M3229" i="79"/>
  <c r="N50" i="37"/>
  <c r="N78" i="37" s="1"/>
  <c r="M3391" i="79"/>
  <c r="O109" i="37"/>
  <c r="P109" i="37" s="1"/>
  <c r="O107" i="37"/>
  <c r="P107" i="37" s="1"/>
  <c r="O108" i="37"/>
  <c r="P108" i="37" s="1"/>
  <c r="O110" i="37"/>
  <c r="P110" i="37" s="1"/>
  <c r="O111" i="37"/>
  <c r="P111" i="37" s="1"/>
  <c r="AR202" i="52"/>
  <c r="AR16" i="52"/>
  <c r="AR126" i="52" s="1"/>
  <c r="AR60" i="52"/>
  <c r="AR204" i="52"/>
  <c r="AR203" i="52"/>
  <c r="AR38" i="52"/>
  <c r="AC205" i="52"/>
  <c r="AS205" i="52" s="1"/>
  <c r="AC203" i="52"/>
  <c r="AC38" i="52" s="1"/>
  <c r="AC206" i="52"/>
  <c r="AC204" i="52"/>
  <c r="AC60" i="52" s="1"/>
  <c r="AC202" i="52"/>
  <c r="AC16" i="52" s="1"/>
  <c r="AL253" i="52"/>
  <c r="AL170" i="52"/>
  <c r="AL163" i="52"/>
  <c r="AL252" i="52"/>
  <c r="AL169" i="52"/>
  <c r="AL162" i="52"/>
  <c r="AL251" i="52"/>
  <c r="AL168" i="52"/>
  <c r="AL161" i="52"/>
  <c r="AL250" i="52"/>
  <c r="AL167" i="52"/>
  <c r="AL160" i="52"/>
  <c r="AL166" i="52"/>
  <c r="AL254" i="52"/>
  <c r="AL164" i="52"/>
  <c r="K1729" i="79"/>
  <c r="K1694" i="79" s="1"/>
  <c r="L713" i="79"/>
  <c r="L832" i="79"/>
  <c r="N13" i="9"/>
  <c r="M166" i="9"/>
  <c r="D585" i="59"/>
  <c r="F627" i="59"/>
  <c r="D627" i="59" s="1"/>
  <c r="N49" i="37"/>
  <c r="N77" i="37" s="1"/>
  <c r="N115" i="37"/>
  <c r="N129" i="37" s="1"/>
  <c r="N51" i="37"/>
  <c r="N79" i="37" s="1"/>
  <c r="N117" i="37"/>
  <c r="N131" i="37" s="1"/>
  <c r="L709" i="79"/>
  <c r="L1418" i="79"/>
  <c r="L1647" i="79"/>
  <c r="L1638" i="79" s="1"/>
  <c r="L1583" i="79"/>
  <c r="L1574" i="79" s="1"/>
  <c r="L1572" i="79" s="1"/>
  <c r="L1564" i="79" s="1"/>
  <c r="L788" i="79"/>
  <c r="L1335" i="79"/>
  <c r="L628" i="79"/>
  <c r="L632" i="79"/>
  <c r="L601" i="79"/>
  <c r="L605" i="79"/>
  <c r="L716" i="79"/>
  <c r="L1599" i="79"/>
  <c r="L1590" i="79" s="1"/>
  <c r="L1588" i="79" s="1"/>
  <c r="L1565" i="79" s="1"/>
  <c r="L1425" i="79"/>
  <c r="L1283" i="79"/>
  <c r="L1720" i="79"/>
  <c r="L1716" i="79" s="1"/>
  <c r="K1719" i="79"/>
  <c r="L1615" i="79"/>
  <c r="L1606" i="79" s="1"/>
  <c r="L1604" i="79" s="1"/>
  <c r="L1566" i="79" s="1"/>
  <c r="K1764" i="79"/>
  <c r="L686" i="79"/>
  <c r="L825" i="79"/>
  <c r="L943" i="79"/>
  <c r="L1470" i="79"/>
  <c r="L682" i="79"/>
  <c r="K1699" i="79"/>
  <c r="K1692" i="79" s="1"/>
  <c r="K1704" i="79"/>
  <c r="K1744" i="79"/>
  <c r="K1695" i="79" s="1"/>
  <c r="K1749" i="79"/>
  <c r="L1631" i="79"/>
  <c r="L1622" i="79" s="1"/>
  <c r="L1620" i="79" s="1"/>
  <c r="L1567" i="79" s="1"/>
  <c r="AR227" i="52"/>
  <c r="L1750" i="79"/>
  <c r="L1746" i="79" s="1"/>
  <c r="K1734" i="79"/>
  <c r="AR42" i="52"/>
  <c r="L1477" i="79"/>
  <c r="M1585" i="79"/>
  <c r="M1530" i="79"/>
  <c r="M1508" i="79"/>
  <c r="M1617" i="79"/>
  <c r="M1601" i="79"/>
  <c r="M990" i="79"/>
  <c r="M1221" i="79"/>
  <c r="M1649" i="79"/>
  <c r="M1633" i="79"/>
  <c r="L1429" i="79"/>
  <c r="L1705" i="79"/>
  <c r="L1701" i="79" s="1"/>
  <c r="AR64" i="52"/>
  <c r="M71" i="37"/>
  <c r="L1474" i="79"/>
  <c r="S4" i="54"/>
  <c r="M79" i="37"/>
  <c r="P347" i="37"/>
  <c r="P344" i="37"/>
  <c r="L795" i="79"/>
  <c r="L1339" i="79"/>
  <c r="L1432" i="79"/>
  <c r="O183" i="37"/>
  <c r="O189" i="37"/>
  <c r="P186" i="37"/>
  <c r="P24" i="37"/>
  <c r="Q28" i="37"/>
  <c r="Q26" i="37"/>
  <c r="Q27" i="37"/>
  <c r="R346" i="37"/>
  <c r="R25" i="37"/>
  <c r="S343" i="37"/>
  <c r="Q345" i="37"/>
  <c r="L655" i="79"/>
  <c r="L1373" i="79"/>
  <c r="L659" i="79"/>
  <c r="L1380" i="79"/>
  <c r="L1297" i="79"/>
  <c r="L1328" i="79"/>
  <c r="L1290" i="79"/>
  <c r="L1294" i="79"/>
  <c r="L608" i="79"/>
  <c r="AR228" i="52"/>
  <c r="L869" i="79"/>
  <c r="M841" i="79"/>
  <c r="M948" i="79"/>
  <c r="M874" i="79"/>
  <c r="M952" i="79"/>
  <c r="M804" i="79"/>
  <c r="M800" i="79"/>
  <c r="M878" i="79"/>
  <c r="M915" i="79"/>
  <c r="M837" i="79"/>
  <c r="M911" i="79"/>
  <c r="L689" i="79"/>
  <c r="AR230" i="52"/>
  <c r="L906" i="79"/>
  <c r="L1765" i="79"/>
  <c r="L1761" i="79" s="1"/>
  <c r="AR226" i="52"/>
  <c r="AR20" i="52"/>
  <c r="AR130" i="52" s="1"/>
  <c r="L1384" i="79"/>
  <c r="AL206" i="52"/>
  <c r="AL205" i="52"/>
  <c r="AL204" i="52"/>
  <c r="AL203" i="52"/>
  <c r="AL202" i="52"/>
  <c r="M1688" i="79"/>
  <c r="AK16" i="52"/>
  <c r="AK38" i="52"/>
  <c r="AK60" i="52"/>
  <c r="AK104" i="52"/>
  <c r="M871" i="79"/>
  <c r="M834" i="79"/>
  <c r="M797" i="79"/>
  <c r="M945" i="79"/>
  <c r="M908" i="79"/>
  <c r="M827" i="79"/>
  <c r="M829" i="79" s="1"/>
  <c r="M901" i="79"/>
  <c r="M903" i="79" s="1"/>
  <c r="M790" i="79"/>
  <c r="M792" i="79" s="1"/>
  <c r="M938" i="79"/>
  <c r="M940" i="79" s="1"/>
  <c r="M864" i="79"/>
  <c r="M866" i="79" s="1"/>
  <c r="M1337" i="79"/>
  <c r="M1292" i="79"/>
  <c r="M1427" i="79"/>
  <c r="M1382" i="79"/>
  <c r="M1472" i="79"/>
  <c r="AC230" i="52"/>
  <c r="AC226" i="52"/>
  <c r="AC20" i="52" s="1"/>
  <c r="AC227" i="52"/>
  <c r="AC42" i="52" s="1"/>
  <c r="AC229" i="52"/>
  <c r="AS229" i="52" s="1"/>
  <c r="AC228" i="52"/>
  <c r="AC64" i="52" s="1"/>
  <c r="AD230" i="52"/>
  <c r="AD228" i="52"/>
  <c r="AD64" i="52" s="1"/>
  <c r="AD229" i="52"/>
  <c r="AD227" i="52"/>
  <c r="AD42" i="52" s="1"/>
  <c r="AD226" i="52"/>
  <c r="AD20" i="52" s="1"/>
  <c r="M1419" i="79"/>
  <c r="M1154" i="79"/>
  <c r="M1153" i="79" s="1"/>
  <c r="M1632" i="79"/>
  <c r="M1751" i="79"/>
  <c r="M430" i="79"/>
  <c r="M907" i="79"/>
  <c r="M1433" i="79"/>
  <c r="M408" i="79"/>
  <c r="M190" i="79" s="1"/>
  <c r="M184" i="79" s="1"/>
  <c r="M690" i="79"/>
  <c r="M452" i="79"/>
  <c r="L1463" i="79"/>
  <c r="L1342" i="79"/>
  <c r="L635" i="79"/>
  <c r="M1284" i="79"/>
  <c r="M609" i="79"/>
  <c r="M1584" i="79"/>
  <c r="M1706" i="79"/>
  <c r="M3236" i="79"/>
  <c r="M3234" i="79" s="1"/>
  <c r="M796" i="79"/>
  <c r="M207" i="79"/>
  <c r="M2832" i="79"/>
  <c r="M2830" i="79" s="1"/>
  <c r="M2821" i="79" s="1"/>
  <c r="M1298" i="79"/>
  <c r="M251" i="79"/>
  <c r="M229" i="79"/>
  <c r="M1043" i="79"/>
  <c r="M1042" i="79" s="1"/>
  <c r="L1735" i="79"/>
  <c r="L1731" i="79" s="1"/>
  <c r="L662" i="79"/>
  <c r="M2826" i="79"/>
  <c r="M2066" i="79"/>
  <c r="M2097" i="79"/>
  <c r="L1387" i="79"/>
  <c r="AK64" i="52"/>
  <c r="M664" i="79"/>
  <c r="M718" i="79"/>
  <c r="M610" i="79"/>
  <c r="M637" i="79"/>
  <c r="M691" i="79"/>
  <c r="M1131" i="79"/>
  <c r="M1094" i="79"/>
  <c r="M1168" i="79"/>
  <c r="M1057" i="79"/>
  <c r="M1205" i="79"/>
  <c r="AK108" i="52"/>
  <c r="M884" i="79"/>
  <c r="M810" i="79"/>
  <c r="M847" i="79"/>
  <c r="M958" i="79"/>
  <c r="M921" i="79"/>
  <c r="AL230" i="52"/>
  <c r="AL229" i="52"/>
  <c r="AL228" i="52"/>
  <c r="AL227" i="52"/>
  <c r="AL226" i="52"/>
  <c r="M1787" i="79"/>
  <c r="M3232" i="79"/>
  <c r="M630" i="79"/>
  <c r="M711" i="79"/>
  <c r="M684" i="79"/>
  <c r="M657" i="79"/>
  <c r="M603" i="79"/>
  <c r="M1430" i="79"/>
  <c r="M1340" i="79"/>
  <c r="M1385" i="79"/>
  <c r="M1295" i="79"/>
  <c r="M1475" i="79"/>
  <c r="M2847" i="79"/>
  <c r="M1117" i="79"/>
  <c r="M1116" i="79" s="1"/>
  <c r="M1736" i="79"/>
  <c r="M663" i="79"/>
  <c r="M385" i="79"/>
  <c r="M1616" i="79"/>
  <c r="M341" i="79"/>
  <c r="M189" i="79" s="1"/>
  <c r="M183" i="79" s="1"/>
  <c r="M363" i="79"/>
  <c r="M1374" i="79"/>
  <c r="M1388" i="79"/>
  <c r="M870" i="79"/>
  <c r="M1707" i="79"/>
  <c r="M1752" i="79"/>
  <c r="M1465" i="79"/>
  <c r="M1722" i="79"/>
  <c r="M1767" i="79"/>
  <c r="M1285" i="79"/>
  <c r="M1375" i="79"/>
  <c r="M1420" i="79"/>
  <c r="M1737" i="79"/>
  <c r="M1330" i="79"/>
  <c r="L2094" i="79"/>
  <c r="L2063" i="79"/>
  <c r="M1347" i="79"/>
  <c r="M1482" i="79"/>
  <c r="M1351" i="79"/>
  <c r="M1441" i="79"/>
  <c r="M1302" i="79"/>
  <c r="M1306" i="79"/>
  <c r="M1396" i="79"/>
  <c r="M1486" i="79"/>
  <c r="M1437" i="79"/>
  <c r="M1392" i="79"/>
  <c r="M2094" i="79"/>
  <c r="M2063" i="79"/>
  <c r="M1188" i="79"/>
  <c r="M1187" i="79" s="1"/>
  <c r="M1077" i="79"/>
  <c r="M1076" i="79" s="1"/>
  <c r="M1114" i="79"/>
  <c r="M1113" i="79" s="1"/>
  <c r="M1151" i="79"/>
  <c r="M1150" i="79" s="1"/>
  <c r="M1040" i="79"/>
  <c r="M1039" i="79" s="1"/>
  <c r="M1389" i="79"/>
  <c r="M1479" i="79"/>
  <c r="M1344" i="79"/>
  <c r="M1299" i="79"/>
  <c r="M1434" i="79"/>
  <c r="AK20" i="52"/>
  <c r="L2097" i="79"/>
  <c r="L2066" i="79"/>
  <c r="AK42" i="52"/>
  <c r="J1779" i="79"/>
  <c r="J1782" i="79"/>
  <c r="M20" i="56"/>
  <c r="I1780" i="79"/>
  <c r="L256" i="80"/>
  <c r="I1783" i="79"/>
  <c r="N51" i="56"/>
  <c r="N52" i="56"/>
  <c r="N26" i="56"/>
  <c r="N27" i="56"/>
  <c r="O8" i="56"/>
  <c r="O21" i="9"/>
  <c r="N71" i="9"/>
  <c r="C420" i="54" a="1"/>
  <c r="C420" i="54" s="1"/>
  <c r="B420" i="54" s="1"/>
  <c r="H420" i="54" a="1"/>
  <c r="H420" i="54" s="1"/>
  <c r="D750" i="59"/>
  <c r="D728" i="59"/>
  <c r="D707" i="59"/>
  <c r="D686" i="59"/>
  <c r="D687" i="59"/>
  <c r="I1862" i="79"/>
  <c r="M130" i="9"/>
  <c r="M127" i="9"/>
  <c r="M129" i="9"/>
  <c r="M126" i="9"/>
  <c r="M163" i="9"/>
  <c r="M93" i="9"/>
  <c r="M83" i="9"/>
  <c r="N9" i="9"/>
  <c r="M92" i="9"/>
  <c r="M73" i="9"/>
  <c r="M84" i="9"/>
  <c r="M72" i="9"/>
  <c r="L1745" i="79"/>
  <c r="L1730" i="79"/>
  <c r="L1700" i="79"/>
  <c r="K1874" i="79"/>
  <c r="L1877" i="79"/>
  <c r="K1875" i="79"/>
  <c r="L1878" i="79"/>
  <c r="L1876" i="79"/>
  <c r="I1828" i="79"/>
  <c r="I1829" i="79"/>
  <c r="I1826" i="79"/>
  <c r="I1827" i="79"/>
  <c r="J1919" i="79"/>
  <c r="J1923" i="79" s="1"/>
  <c r="J1999" i="79"/>
  <c r="J2003" i="79" s="1"/>
  <c r="J1872" i="79"/>
  <c r="J1979" i="79"/>
  <c r="J1983" i="79" s="1"/>
  <c r="J1871" i="79"/>
  <c r="J1959" i="79"/>
  <c r="J1963" i="79" s="1"/>
  <c r="J1870" i="79"/>
  <c r="J1939" i="79"/>
  <c r="J1943" i="79" s="1"/>
  <c r="J1869" i="79"/>
  <c r="J1868" i="79"/>
  <c r="K2000" i="79"/>
  <c r="K1960" i="79"/>
  <c r="K1920" i="79"/>
  <c r="K1940" i="79"/>
  <c r="K1869" i="79" s="1"/>
  <c r="K1980" i="79"/>
  <c r="AR214" i="52"/>
  <c r="AB19" i="52"/>
  <c r="AR215" i="52"/>
  <c r="AB41" i="52"/>
  <c r="AR41" i="52" s="1"/>
  <c r="AC214" i="52"/>
  <c r="AC217" i="52"/>
  <c r="AS217" i="52" s="1"/>
  <c r="AC215" i="52"/>
  <c r="AC218" i="52"/>
  <c r="AC216" i="52"/>
  <c r="AR218" i="52"/>
  <c r="AB107" i="52"/>
  <c r="AR107" i="52" s="1"/>
  <c r="AB63" i="52"/>
  <c r="AR63" i="52" s="1"/>
  <c r="AR216" i="52"/>
  <c r="J2095" i="79"/>
  <c r="J2064" i="79"/>
  <c r="B158" i="79"/>
  <c r="C164" i="79"/>
  <c r="B164" i="79" s="1"/>
  <c r="B153" i="79"/>
  <c r="C159" i="79"/>
  <c r="B154" i="79"/>
  <c r="C160" i="79"/>
  <c r="J2208" i="79"/>
  <c r="I2120" i="79"/>
  <c r="L2224" i="79"/>
  <c r="M2224" i="79"/>
  <c r="J2123" i="79"/>
  <c r="K2212" i="79"/>
  <c r="K2144" i="79" s="1"/>
  <c r="L2254" i="79"/>
  <c r="L2235" i="79" s="1"/>
  <c r="L2133" i="79" s="1"/>
  <c r="L2279" i="79"/>
  <c r="L2260" i="79" s="1"/>
  <c r="L2134" i="79" s="1"/>
  <c r="L2204" i="79"/>
  <c r="L2185" i="79" s="1"/>
  <c r="L2131" i="79" s="1"/>
  <c r="J2122" i="79"/>
  <c r="J2121" i="79"/>
  <c r="I2119" i="79"/>
  <c r="K2283" i="79"/>
  <c r="L2289" i="79"/>
  <c r="L2284" i="79" s="1"/>
  <c r="L2129" i="79" s="1"/>
  <c r="L2080" i="79" s="1"/>
  <c r="L2304" i="79"/>
  <c r="L2285" i="79" s="1"/>
  <c r="L2135" i="79" s="1"/>
  <c r="K2258" i="79"/>
  <c r="K2233" i="79"/>
  <c r="J2183" i="79"/>
  <c r="K2184" i="79"/>
  <c r="K2125" i="79" s="1"/>
  <c r="K2076" i="79" s="1"/>
  <c r="K1282" i="79"/>
  <c r="I48" i="79"/>
  <c r="R152" i="52" s="1"/>
  <c r="I47" i="79"/>
  <c r="R151" i="52" s="1"/>
  <c r="AB234" i="52"/>
  <c r="AR234" i="52" s="1"/>
  <c r="AB235" i="52"/>
  <c r="AR235" i="52" s="1"/>
  <c r="I1866" i="79"/>
  <c r="I1865" i="79"/>
  <c r="I1864" i="79"/>
  <c r="AB232" i="52"/>
  <c r="AB21" i="52" s="1"/>
  <c r="AB236" i="52"/>
  <c r="I1863" i="79"/>
  <c r="AQ233" i="52"/>
  <c r="AA65" i="52"/>
  <c r="L1955" i="79"/>
  <c r="L1941" i="79" s="1"/>
  <c r="K1417" i="79"/>
  <c r="L1921" i="79"/>
  <c r="AA109" i="52"/>
  <c r="AQ109" i="52" s="1"/>
  <c r="J2674" i="79"/>
  <c r="J2673" i="79"/>
  <c r="J2678" i="79"/>
  <c r="J2671" i="79" s="1"/>
  <c r="I2672" i="79"/>
  <c r="J2675" i="79"/>
  <c r="AC234" i="52"/>
  <c r="K2530" i="79"/>
  <c r="K2523" i="79" s="1"/>
  <c r="K2526" i="79"/>
  <c r="J2524" i="79"/>
  <c r="L2531" i="79"/>
  <c r="K1372" i="79"/>
  <c r="K1327" i="79"/>
  <c r="M3374" i="79"/>
  <c r="M2990" i="79"/>
  <c r="M2850" i="79"/>
  <c r="M3250" i="79"/>
  <c r="M3248" i="79" s="1"/>
  <c r="M2551" i="79"/>
  <c r="M833" i="79"/>
  <c r="M1329" i="79"/>
  <c r="M318" i="79"/>
  <c r="M1080" i="79"/>
  <c r="M1079" i="79" s="1"/>
  <c r="M636" i="79"/>
  <c r="M274" i="79"/>
  <c r="M188" i="79" s="1"/>
  <c r="M182" i="79" s="1"/>
  <c r="M1343" i="79"/>
  <c r="M1721" i="79"/>
  <c r="M1600" i="79"/>
  <c r="M296" i="79"/>
  <c r="M3343" i="79"/>
  <c r="M2955" i="79"/>
  <c r="M2949" i="79" s="1"/>
  <c r="M2920" i="79"/>
  <c r="M3312" i="79"/>
  <c r="M3310" i="79" s="1"/>
  <c r="M475" i="79"/>
  <c r="M191" i="79" s="1"/>
  <c r="M185" i="79" s="1"/>
  <c r="M944" i="79"/>
  <c r="M497" i="79"/>
  <c r="M717" i="79"/>
  <c r="M1464" i="79"/>
  <c r="M1191" i="79"/>
  <c r="M1190" i="79" s="1"/>
  <c r="M1648" i="79"/>
  <c r="M1766" i="79"/>
  <c r="M1478" i="79"/>
  <c r="M519" i="79"/>
  <c r="M2666" i="79"/>
  <c r="M2664" i="79" s="1"/>
  <c r="M3017" i="79"/>
  <c r="M3397" i="79"/>
  <c r="K1462" i="79"/>
  <c r="L1466" i="79"/>
  <c r="L1421" i="79"/>
  <c r="L1376" i="79"/>
  <c r="L1331" i="79"/>
  <c r="L1286" i="79"/>
  <c r="L862" i="79"/>
  <c r="L899" i="79"/>
  <c r="L936" i="79"/>
  <c r="H89" i="79"/>
  <c r="H25" i="79" s="1"/>
  <c r="AW142" i="52" s="1"/>
  <c r="L1985" i="79"/>
  <c r="H122" i="79"/>
  <c r="L2239" i="79"/>
  <c r="L2234" i="79" s="1"/>
  <c r="L2127" i="79" s="1"/>
  <c r="L2078" i="79" s="1"/>
  <c r="H123" i="79"/>
  <c r="AB43" i="52"/>
  <c r="AR233" i="52"/>
  <c r="H486" i="79"/>
  <c r="H131" i="79" s="1"/>
  <c r="L1965" i="79"/>
  <c r="L2214" i="79"/>
  <c r="L2209" i="79" s="1"/>
  <c r="L2126" i="79" s="1"/>
  <c r="L2077" i="79" s="1"/>
  <c r="L2189" i="79"/>
  <c r="L1945" i="79"/>
  <c r="L2264" i="79"/>
  <c r="L2259" i="79" s="1"/>
  <c r="L2128" i="79" s="1"/>
  <c r="L2079" i="79" s="1"/>
  <c r="L2005" i="79"/>
  <c r="L1925" i="79"/>
  <c r="M271" i="79"/>
  <c r="M405" i="79"/>
  <c r="M204" i="79"/>
  <c r="M472" i="79"/>
  <c r="M338" i="79"/>
  <c r="M1947" i="79"/>
  <c r="M2191" i="79"/>
  <c r="M2241" i="79"/>
  <c r="M1987" i="79"/>
  <c r="M1995" i="79" s="1"/>
  <c r="M1981" i="79" s="1"/>
  <c r="M2266" i="79"/>
  <c r="M2216" i="79"/>
  <c r="M2229" i="79" s="1"/>
  <c r="M2210" i="79" s="1"/>
  <c r="M2132" i="79" s="1"/>
  <c r="M1967" i="79"/>
  <c r="M1975" i="79" s="1"/>
  <c r="M1961" i="79" s="1"/>
  <c r="M1927" i="79"/>
  <c r="M1935" i="79" s="1"/>
  <c r="M2007" i="79"/>
  <c r="M2015" i="79" s="1"/>
  <c r="M2001" i="79" s="1"/>
  <c r="M2291" i="79"/>
  <c r="M2324" i="79"/>
  <c r="M2321" i="79" s="1"/>
  <c r="M2311" i="79"/>
  <c r="M2308" i="79" s="1"/>
  <c r="M633" i="79"/>
  <c r="M606" i="79"/>
  <c r="M687" i="79"/>
  <c r="M660" i="79"/>
  <c r="M714" i="79"/>
  <c r="M673" i="79"/>
  <c r="M727" i="79"/>
  <c r="M646" i="79"/>
  <c r="M619" i="79"/>
  <c r="M700" i="79"/>
  <c r="L2824" i="79"/>
  <c r="M312" i="79"/>
  <c r="M1422" i="79"/>
  <c r="M2215" i="79"/>
  <c r="M1641" i="79"/>
  <c r="M1640" i="79" s="1"/>
  <c r="M1336" i="79"/>
  <c r="M1073" i="79"/>
  <c r="M1072" i="79" s="1"/>
  <c r="M1147" i="79"/>
  <c r="M1146" i="79" s="1"/>
  <c r="M2693" i="79"/>
  <c r="M2692" i="79" s="1"/>
  <c r="M2679" i="79" s="1"/>
  <c r="M1926" i="79"/>
  <c r="M2536" i="79"/>
  <c r="M2535" i="79" s="1"/>
  <c r="M2531" i="79" s="1"/>
  <c r="M1291" i="79"/>
  <c r="M1739" i="79"/>
  <c r="M1738" i="79" s="1"/>
  <c r="M1724" i="79"/>
  <c r="M1723" i="79" s="1"/>
  <c r="M1715" i="79" s="1"/>
  <c r="M1577" i="79"/>
  <c r="M1576" i="79" s="1"/>
  <c r="M1573" i="79" s="1"/>
  <c r="M1625" i="79"/>
  <c r="M1624" i="79" s="1"/>
  <c r="M1621" i="79" s="1"/>
  <c r="M335" i="79"/>
  <c r="M1946" i="79"/>
  <c r="M1609" i="79"/>
  <c r="M1608" i="79" s="1"/>
  <c r="M1605" i="79" s="1"/>
  <c r="M2006" i="79"/>
  <c r="M1467" i="79"/>
  <c r="M1377" i="79"/>
  <c r="M900" i="79"/>
  <c r="M789" i="79"/>
  <c r="M245" i="79"/>
  <c r="M826" i="79"/>
  <c r="M2190" i="79"/>
  <c r="M1426" i="79"/>
  <c r="M1110" i="79"/>
  <c r="M1109" i="79" s="1"/>
  <c r="M2265" i="79"/>
  <c r="M3228" i="79"/>
  <c r="M1381" i="79"/>
  <c r="M268" i="79"/>
  <c r="M357" i="79"/>
  <c r="M513" i="79"/>
  <c r="M402" i="79"/>
  <c r="M2825" i="79"/>
  <c r="M602" i="79"/>
  <c r="M223" i="79"/>
  <c r="M1769" i="79"/>
  <c r="M1768" i="79" s="1"/>
  <c r="M1760" i="79" s="1"/>
  <c r="M629" i="79"/>
  <c r="M937" i="79"/>
  <c r="M1184" i="79"/>
  <c r="M1183" i="79" s="1"/>
  <c r="M424" i="79"/>
  <c r="M1986" i="79"/>
  <c r="M1754" i="79"/>
  <c r="M1753" i="79" s="1"/>
  <c r="M1471" i="79"/>
  <c r="M710" i="79"/>
  <c r="M683" i="79"/>
  <c r="M201" i="79"/>
  <c r="M2240" i="79"/>
  <c r="M379" i="79"/>
  <c r="M290" i="79"/>
  <c r="M863" i="79"/>
  <c r="M1036" i="79"/>
  <c r="M1035" i="79" s="1"/>
  <c r="M491" i="79"/>
  <c r="M2290" i="79"/>
  <c r="M1966" i="79"/>
  <c r="M1593" i="79"/>
  <c r="M1592" i="79" s="1"/>
  <c r="M1589" i="79" s="1"/>
  <c r="M1709" i="79"/>
  <c r="M1708" i="79" s="1"/>
  <c r="M1332" i="79"/>
  <c r="M1287" i="79"/>
  <c r="M656" i="79"/>
  <c r="M469" i="79"/>
  <c r="M446" i="79"/>
  <c r="I330" i="79"/>
  <c r="I329" i="79" s="1"/>
  <c r="I263" i="79"/>
  <c r="I262" i="79" s="1"/>
  <c r="H130" i="79"/>
  <c r="H79" i="79" s="1"/>
  <c r="H41" i="79" s="1"/>
  <c r="H70" i="79"/>
  <c r="BE149" i="52" s="1"/>
  <c r="H32" i="79"/>
  <c r="BE143" i="52" s="1"/>
  <c r="I60" i="79"/>
  <c r="AX151" i="52" s="1"/>
  <c r="I28" i="79"/>
  <c r="AX145" i="52" s="1"/>
  <c r="H59" i="79"/>
  <c r="AW150" i="52" s="1"/>
  <c r="H27" i="79"/>
  <c r="AW144" i="52" s="1"/>
  <c r="H58" i="79"/>
  <c r="AW149" i="52" s="1"/>
  <c r="H26" i="79"/>
  <c r="AW143" i="52" s="1"/>
  <c r="H61" i="79"/>
  <c r="AW152" i="52" s="1"/>
  <c r="H29" i="79"/>
  <c r="AW146" i="52" s="1"/>
  <c r="I419" i="79"/>
  <c r="I418" i="79" s="1"/>
  <c r="I99" i="79"/>
  <c r="I95" i="79"/>
  <c r="H95" i="79"/>
  <c r="J331" i="79"/>
  <c r="J420" i="79"/>
  <c r="J92" i="79" s="1"/>
  <c r="I219" i="79"/>
  <c r="I89" i="79" s="1"/>
  <c r="AL79" i="52"/>
  <c r="AJ79" i="52"/>
  <c r="AI79" i="52"/>
  <c r="AH79" i="52"/>
  <c r="AF79" i="52"/>
  <c r="AG79" i="52"/>
  <c r="B185" i="52"/>
  <c r="B78" i="52"/>
  <c r="B36" i="52"/>
  <c r="B15" i="52"/>
  <c r="B57" i="52"/>
  <c r="B186" i="52"/>
  <c r="C292" i="54" a="1"/>
  <c r="C292" i="54" s="1"/>
  <c r="D292" i="54" s="1"/>
  <c r="A293" i="54"/>
  <c r="J155" i="9"/>
  <c r="N12" i="9"/>
  <c r="L23" i="9"/>
  <c r="M15" i="9"/>
  <c r="L111" i="9"/>
  <c r="L115" i="9" s="1"/>
  <c r="M17" i="9"/>
  <c r="M67" i="9" s="1"/>
  <c r="M78" i="9" s="1"/>
  <c r="M63" i="9"/>
  <c r="N14" i="9"/>
  <c r="N146" i="9" s="1"/>
  <c r="M146" i="9"/>
  <c r="K65" i="9"/>
  <c r="K64" i="9" s="1"/>
  <c r="K96" i="9"/>
  <c r="K87" i="9"/>
  <c r="K156" i="9"/>
  <c r="K153" i="9"/>
  <c r="M270" i="79"/>
  <c r="M292" i="79"/>
  <c r="M314" i="79"/>
  <c r="M381" i="79"/>
  <c r="M337" i="79"/>
  <c r="M359" i="79"/>
  <c r="AO149" i="52"/>
  <c r="AO150" i="52"/>
  <c r="AA230" i="59"/>
  <c r="AB83" i="59"/>
  <c r="F483" i="59" a="1"/>
  <c r="F483" i="59" s="1"/>
  <c r="F525" i="59" s="1"/>
  <c r="D525" i="59" s="1"/>
  <c r="C484" i="59"/>
  <c r="Y222" i="59"/>
  <c r="Z177" i="59"/>
  <c r="F503" i="59"/>
  <c r="D482" i="59"/>
  <c r="AA102" i="59"/>
  <c r="AA103" i="59"/>
  <c r="AB99" i="59"/>
  <c r="X223" i="59"/>
  <c r="X224" i="59" s="1"/>
  <c r="X225" i="59" s="1"/>
  <c r="AA6" i="59"/>
  <c r="N58" i="9"/>
  <c r="AH172" i="9"/>
  <c r="CP172" i="9"/>
  <c r="BB172" i="9"/>
  <c r="N172" i="9"/>
  <c r="BV172" i="9"/>
  <c r="BR62" i="9"/>
  <c r="AD62" i="9"/>
  <c r="AX62" i="9"/>
  <c r="CL62" i="9"/>
  <c r="J62" i="9"/>
  <c r="J61" i="9" s="1"/>
  <c r="AA233" i="59"/>
  <c r="AB86" i="59"/>
  <c r="F564" i="59"/>
  <c r="D543" i="59"/>
  <c r="AB63" i="59"/>
  <c r="X64" i="59" s="1"/>
  <c r="W64" i="59"/>
  <c r="AC113" i="59"/>
  <c r="AD109" i="59"/>
  <c r="AC112" i="59"/>
  <c r="C653" i="59"/>
  <c r="F652" i="59" a="1"/>
  <c r="F652" i="59" s="1"/>
  <c r="D652" i="59" s="1"/>
  <c r="Y237" i="59"/>
  <c r="Z90" i="59"/>
  <c r="F605" i="59"/>
  <c r="D605" i="59" s="1"/>
  <c r="D563" i="59"/>
  <c r="AA234" i="59"/>
  <c r="AB87" i="59"/>
  <c r="X236" i="59"/>
  <c r="Y89" i="59"/>
  <c r="AA231" i="59"/>
  <c r="AB84" i="59"/>
  <c r="F544" i="59"/>
  <c r="F586" i="59" s="1"/>
  <c r="D502" i="59"/>
  <c r="Y229" i="59"/>
  <c r="Z82" i="59"/>
  <c r="L24" i="9"/>
  <c r="M16" i="9"/>
  <c r="K157" i="9"/>
  <c r="K97" i="9"/>
  <c r="K76" i="9"/>
  <c r="K75" i="9" s="1"/>
  <c r="K154" i="9"/>
  <c r="N654" i="59"/>
  <c r="Q655" i="59"/>
  <c r="Y6" i="52"/>
  <c r="I339" i="54"/>
  <c r="F338" i="54"/>
  <c r="H450" i="54" a="1"/>
  <c r="H450" i="54" s="1"/>
  <c r="C450" i="54" a="1"/>
  <c r="C450" i="54" s="1"/>
  <c r="B450" i="54" s="1"/>
  <c r="A451" i="54"/>
  <c r="H122" i="54" a="1"/>
  <c r="H122" i="54" s="1"/>
  <c r="C122" i="54" a="1"/>
  <c r="C122" i="54" s="1"/>
  <c r="B122" i="54" s="1"/>
  <c r="A123" i="54"/>
  <c r="C476" i="54" a="1"/>
  <c r="C476" i="54" s="1"/>
  <c r="A477" i="54"/>
  <c r="H476" i="54" a="1"/>
  <c r="H476" i="54" s="1"/>
  <c r="C184" i="54" a="1"/>
  <c r="C184" i="54" s="1"/>
  <c r="B184" i="54" s="1"/>
  <c r="A185" i="54"/>
  <c r="H184" i="54" a="1"/>
  <c r="H184" i="54" s="1"/>
  <c r="C390" i="54" a="1"/>
  <c r="C390" i="54" s="1"/>
  <c r="A391" i="54"/>
  <c r="H390" i="54" a="1"/>
  <c r="H390" i="54" s="1"/>
  <c r="B13" i="54"/>
  <c r="C34" i="54"/>
  <c r="B227" i="54"/>
  <c r="E250" i="54"/>
  <c r="B250" i="54" s="1"/>
  <c r="A431" i="54"/>
  <c r="H430" i="54" a="1"/>
  <c r="H430" i="54" s="1"/>
  <c r="C430" i="54" a="1"/>
  <c r="C430" i="54" s="1"/>
  <c r="B430" i="54" s="1"/>
  <c r="A229" i="54"/>
  <c r="C228" i="54" a="1"/>
  <c r="C228" i="54" s="1"/>
  <c r="D228" i="54" s="1"/>
  <c r="B336" i="54"/>
  <c r="A34" i="54"/>
  <c r="B495" i="54"/>
  <c r="A207" i="54"/>
  <c r="H206" i="54" a="1"/>
  <c r="H206" i="54" s="1"/>
  <c r="C206" i="54" a="1"/>
  <c r="C206" i="54" s="1"/>
  <c r="B206" i="54" s="1"/>
  <c r="E292" i="54"/>
  <c r="B291" i="54"/>
  <c r="A338" i="54"/>
  <c r="C337" i="54" a="1"/>
  <c r="C337" i="54" s="1"/>
  <c r="D337" i="54" s="1"/>
  <c r="E315" i="54"/>
  <c r="A497" i="54"/>
  <c r="C496" i="54" a="1"/>
  <c r="C496" i="54" s="1"/>
  <c r="H496" i="54" a="1"/>
  <c r="H496" i="54" s="1"/>
  <c r="A313" i="54"/>
  <c r="C312" i="54" a="1"/>
  <c r="C312" i="54" s="1"/>
  <c r="D312" i="54" s="1"/>
  <c r="E338" i="54"/>
  <c r="E229" i="54"/>
  <c r="C75" i="54"/>
  <c r="B75" i="54" s="1"/>
  <c r="B33" i="54"/>
  <c r="A78" i="54"/>
  <c r="B311" i="54"/>
  <c r="A252" i="54"/>
  <c r="C251" i="54" a="1"/>
  <c r="C251" i="54" s="1"/>
  <c r="D251" i="54" s="1"/>
  <c r="A143" i="54"/>
  <c r="H142" i="54" a="1"/>
  <c r="H142" i="54" s="1"/>
  <c r="C142" i="54" a="1"/>
  <c r="C142" i="54" s="1"/>
  <c r="B142" i="54" s="1"/>
  <c r="C368" i="54" a="1"/>
  <c r="C368" i="54" s="1"/>
  <c r="A369" i="54"/>
  <c r="H368" i="54" a="1"/>
  <c r="H368" i="54" s="1"/>
  <c r="T113" i="54"/>
  <c r="C14" i="54" a="1"/>
  <c r="C14" i="54" s="1"/>
  <c r="C56" i="54" s="1"/>
  <c r="B56" i="54" s="1"/>
  <c r="A15" i="54"/>
  <c r="C97" i="54" a="1"/>
  <c r="C97" i="54" s="1"/>
  <c r="B97" i="54" s="1"/>
  <c r="A98" i="54"/>
  <c r="Y72" i="52"/>
  <c r="AO72" i="52" s="1"/>
  <c r="Y73" i="52"/>
  <c r="AO73" i="52" s="1"/>
  <c r="C187" i="79"/>
  <c r="B187" i="79" s="1"/>
  <c r="B181" i="79"/>
  <c r="AO144" i="52"/>
  <c r="H195" i="79"/>
  <c r="I46" i="79"/>
  <c r="R150" i="52" s="1"/>
  <c r="Z151" i="52"/>
  <c r="Z73" i="52" s="1"/>
  <c r="AP73" i="52" s="1"/>
  <c r="Y94" i="52"/>
  <c r="AO94" i="52" s="1"/>
  <c r="H463" i="79"/>
  <c r="Z149" i="52"/>
  <c r="Z29" i="52" s="1"/>
  <c r="AP29" i="52" s="1"/>
  <c r="K451" i="79"/>
  <c r="Z142" i="52"/>
  <c r="AP142" i="52" s="1"/>
  <c r="I125" i="79"/>
  <c r="I124" i="79"/>
  <c r="Z152" i="52"/>
  <c r="I195" i="79"/>
  <c r="Y95" i="52"/>
  <c r="AO95" i="52" s="1"/>
  <c r="Z146" i="52"/>
  <c r="Z145" i="52"/>
  <c r="Z72" i="52" s="1"/>
  <c r="AP72" i="52" s="1"/>
  <c r="L273" i="79"/>
  <c r="J558" i="79"/>
  <c r="Z144" i="52"/>
  <c r="AP144" i="52" s="1"/>
  <c r="Z150" i="52"/>
  <c r="AP150" i="52" s="1"/>
  <c r="K106" i="79"/>
  <c r="J222" i="79"/>
  <c r="J236" i="79"/>
  <c r="J220" i="79" s="1"/>
  <c r="L317" i="79"/>
  <c r="L451" i="79"/>
  <c r="L250" i="79"/>
  <c r="I239" i="79"/>
  <c r="I133" i="79"/>
  <c r="L228" i="79"/>
  <c r="J214" i="79"/>
  <c r="J198" i="79" s="1"/>
  <c r="J200" i="79"/>
  <c r="J197" i="79" s="1"/>
  <c r="M225" i="79"/>
  <c r="M224" i="79" s="1"/>
  <c r="M247" i="79"/>
  <c r="M203" i="79"/>
  <c r="L206" i="79"/>
  <c r="K103" i="79"/>
  <c r="H240" i="79"/>
  <c r="H507" i="79"/>
  <c r="H137" i="79"/>
  <c r="K114" i="79"/>
  <c r="L407" i="79"/>
  <c r="K200" i="79"/>
  <c r="K197" i="79" s="1"/>
  <c r="K214" i="79"/>
  <c r="K198" i="79" s="1"/>
  <c r="K102" i="79"/>
  <c r="K423" i="79"/>
  <c r="K437" i="79"/>
  <c r="K421" i="79" s="1"/>
  <c r="K445" i="79"/>
  <c r="K442" i="79" s="1"/>
  <c r="K459" i="79"/>
  <c r="L340" i="79"/>
  <c r="I440" i="79"/>
  <c r="I136" i="79"/>
  <c r="M505" i="79"/>
  <c r="M326" i="79"/>
  <c r="M460" i="79"/>
  <c r="M349" i="79"/>
  <c r="M416" i="79"/>
  <c r="M282" i="79"/>
  <c r="M237" i="79"/>
  <c r="M371" i="79"/>
  <c r="M527" i="79"/>
  <c r="M438" i="79"/>
  <c r="M304" i="79"/>
  <c r="M483" i="79"/>
  <c r="M393" i="79"/>
  <c r="M259" i="79"/>
  <c r="M215" i="79"/>
  <c r="L295" i="79"/>
  <c r="J530" i="79"/>
  <c r="I351" i="79"/>
  <c r="I129" i="79"/>
  <c r="L429" i="79"/>
  <c r="L474" i="79"/>
  <c r="H217" i="79"/>
  <c r="H127" i="79"/>
  <c r="Z28" i="52"/>
  <c r="AP28" i="52" s="1"/>
  <c r="AP143" i="52"/>
  <c r="J512" i="79"/>
  <c r="J509" i="79" s="1"/>
  <c r="J526" i="79"/>
  <c r="J510" i="79" s="1"/>
  <c r="K110" i="79"/>
  <c r="L362" i="79"/>
  <c r="M246" i="79" l="1"/>
  <c r="M258" i="79" s="1"/>
  <c r="M916" i="79"/>
  <c r="M914" i="79" s="1"/>
  <c r="M897" i="79" s="1"/>
  <c r="M1442" i="79"/>
  <c r="M1440" i="79" s="1"/>
  <c r="M1415" i="79" s="1"/>
  <c r="M1163" i="79"/>
  <c r="M1161" i="79" s="1"/>
  <c r="M1144" i="79" s="1"/>
  <c r="M842" i="79"/>
  <c r="M840" i="79" s="1"/>
  <c r="M823" i="79" s="1"/>
  <c r="M1089" i="79"/>
  <c r="M1087" i="79" s="1"/>
  <c r="M1070" i="79" s="1"/>
  <c r="M1352" i="79"/>
  <c r="M1350" i="79" s="1"/>
  <c r="M1325" i="79" s="1"/>
  <c r="M879" i="79"/>
  <c r="M877" i="79" s="1"/>
  <c r="M860" i="79" s="1"/>
  <c r="M1126" i="79"/>
  <c r="M1124" i="79" s="1"/>
  <c r="M1107" i="79" s="1"/>
  <c r="M1397" i="79"/>
  <c r="M1395" i="79" s="1"/>
  <c r="M1370" i="79" s="1"/>
  <c r="M805" i="79"/>
  <c r="M803" i="79" s="1"/>
  <c r="M786" i="79" s="1"/>
  <c r="M1052" i="79"/>
  <c r="M1050" i="79" s="1"/>
  <c r="M1033" i="79" s="1"/>
  <c r="M1307" i="79"/>
  <c r="M1305" i="79" s="1"/>
  <c r="M1280" i="79" s="1"/>
  <c r="M953" i="79"/>
  <c r="M951" i="79" s="1"/>
  <c r="M934" i="79" s="1"/>
  <c r="M1200" i="79"/>
  <c r="M1198" i="79" s="1"/>
  <c r="M1181" i="79" s="1"/>
  <c r="M1487" i="79"/>
  <c r="M1485" i="79" s="1"/>
  <c r="M1460" i="79" s="1"/>
  <c r="M2844" i="79"/>
  <c r="M2914" i="79"/>
  <c r="M2984" i="79"/>
  <c r="M2593" i="79"/>
  <c r="M2581" i="79" s="1"/>
  <c r="M2545" i="79"/>
  <c r="M2533" i="79" s="1"/>
  <c r="M2617" i="79"/>
  <c r="M2605" i="79" s="1"/>
  <c r="M2602" i="79" s="1"/>
  <c r="M2641" i="79"/>
  <c r="M2629" i="79" s="1"/>
  <c r="I3102" i="79"/>
  <c r="I3099" i="79" s="1"/>
  <c r="CZ31" i="10"/>
  <c r="DF31" i="10"/>
  <c r="CT31" i="10"/>
  <c r="CS31" i="10"/>
  <c r="DE31" i="10"/>
  <c r="CY31" i="10"/>
  <c r="CN32" i="10"/>
  <c r="DE32" i="10"/>
  <c r="CY32" i="10"/>
  <c r="CS32" i="10"/>
  <c r="CS11" i="10"/>
  <c r="CY11" i="10"/>
  <c r="DE11" i="10"/>
  <c r="AB161" i="9"/>
  <c r="O31" i="8"/>
  <c r="O30" i="8" s="1"/>
  <c r="AL5" i="8"/>
  <c r="AM6" i="8"/>
  <c r="M66" i="9"/>
  <c r="B196" i="52"/>
  <c r="T180" i="54"/>
  <c r="T201" i="54"/>
  <c r="E431" i="54"/>
  <c r="D430" i="54"/>
  <c r="T159" i="54"/>
  <c r="E452" i="54"/>
  <c r="D451" i="54"/>
  <c r="T138" i="54"/>
  <c r="E389" i="54"/>
  <c r="D388" i="54"/>
  <c r="B388" i="54"/>
  <c r="E368" i="54"/>
  <c r="D367" i="54"/>
  <c r="B367" i="54"/>
  <c r="I3067" i="79"/>
  <c r="M77" i="9"/>
  <c r="K496" i="54"/>
  <c r="M496" i="54"/>
  <c r="L496" i="54"/>
  <c r="N496" i="54"/>
  <c r="N140" i="9"/>
  <c r="N139" i="9" s="1"/>
  <c r="N79" i="9"/>
  <c r="N197" i="9"/>
  <c r="N201" i="9"/>
  <c r="AU197" i="9"/>
  <c r="AU201" i="9"/>
  <c r="BN203" i="9"/>
  <c r="BN202" i="9"/>
  <c r="AC65" i="9"/>
  <c r="AC64" i="9" s="1"/>
  <c r="BN201" i="9"/>
  <c r="BN197" i="9"/>
  <c r="BN79" i="9"/>
  <c r="BN68" i="9"/>
  <c r="AE10" i="9"/>
  <c r="AD195" i="9"/>
  <c r="AD201" i="9"/>
  <c r="AD197" i="9"/>
  <c r="AR140" i="9"/>
  <c r="AU195" i="9"/>
  <c r="AC76" i="9"/>
  <c r="AC75" i="9" s="1"/>
  <c r="N28" i="56"/>
  <c r="N20" i="56" s="1"/>
  <c r="K99" i="9"/>
  <c r="K95" i="9" s="1"/>
  <c r="J20" i="8" s="1"/>
  <c r="K1346" i="79"/>
  <c r="K1324" i="79" s="1"/>
  <c r="K1483" i="79"/>
  <c r="K1481" i="79" s="1"/>
  <c r="K1459" i="79" s="1"/>
  <c r="K1391" i="79"/>
  <c r="K1369" i="79" s="1"/>
  <c r="L1438" i="79"/>
  <c r="L1436" i="79" s="1"/>
  <c r="L1414" i="79" s="1"/>
  <c r="L1393" i="79"/>
  <c r="L1348" i="79"/>
  <c r="J947" i="79"/>
  <c r="J933" i="79" s="1"/>
  <c r="L1048" i="79"/>
  <c r="L1303" i="79"/>
  <c r="K949" i="79"/>
  <c r="K1196" i="79"/>
  <c r="K1194" i="79" s="1"/>
  <c r="K1180" i="79" s="1"/>
  <c r="L912" i="79"/>
  <c r="L910" i="79" s="1"/>
  <c r="L896" i="79" s="1"/>
  <c r="L1159" i="79"/>
  <c r="L875" i="79"/>
  <c r="L873" i="79" s="1"/>
  <c r="L859" i="79" s="1"/>
  <c r="L1122" i="79"/>
  <c r="L838" i="79"/>
  <c r="L836" i="79" s="1"/>
  <c r="L822" i="79" s="1"/>
  <c r="L1085" i="79"/>
  <c r="L1083" i="79" s="1"/>
  <c r="L1069" i="79" s="1"/>
  <c r="L801" i="79"/>
  <c r="J1481" i="79"/>
  <c r="J1459" i="79" s="1"/>
  <c r="J1194" i="79"/>
  <c r="J1180" i="79" s="1"/>
  <c r="AK120" i="52"/>
  <c r="AJ131" i="52"/>
  <c r="O495" i="54"/>
  <c r="AJ123" i="52"/>
  <c r="O496" i="54"/>
  <c r="AK119" i="52"/>
  <c r="AK130" i="52"/>
  <c r="P491" i="54"/>
  <c r="AK136" i="52"/>
  <c r="AL123" i="52"/>
  <c r="Q496" i="54"/>
  <c r="R496" i="54" s="1"/>
  <c r="S496" i="54" s="1"/>
  <c r="T496" i="54" s="1"/>
  <c r="U496" i="54" s="1"/>
  <c r="V496" i="54" s="1"/>
  <c r="AL127" i="52"/>
  <c r="Q490" i="54"/>
  <c r="R490" i="54" s="1"/>
  <c r="S490" i="54" s="1"/>
  <c r="T490" i="54" s="1"/>
  <c r="U490" i="54" s="1"/>
  <c r="V490" i="54" s="1"/>
  <c r="AK134" i="52"/>
  <c r="AL131" i="52"/>
  <c r="Q495" i="54"/>
  <c r="R495" i="54" s="1"/>
  <c r="S495" i="54" s="1"/>
  <c r="T495" i="54" s="1"/>
  <c r="U495" i="54" s="1"/>
  <c r="V495" i="54" s="1"/>
  <c r="AK126" i="52"/>
  <c r="P489" i="54"/>
  <c r="AL124" i="52"/>
  <c r="AL133" i="52"/>
  <c r="AJ124" i="52"/>
  <c r="AK135" i="52"/>
  <c r="H3445" i="79"/>
  <c r="H3440" i="79" s="1"/>
  <c r="N53" i="56"/>
  <c r="AU130" i="9"/>
  <c r="AU73" i="9"/>
  <c r="AU72" i="9"/>
  <c r="AU79" i="9"/>
  <c r="AU77" i="9" s="1"/>
  <c r="AU68" i="9"/>
  <c r="AU66" i="9" s="1"/>
  <c r="AD126" i="9"/>
  <c r="AD73" i="9"/>
  <c r="AD72" i="9"/>
  <c r="AD79" i="9"/>
  <c r="AD77" i="9" s="1"/>
  <c r="AD68" i="9"/>
  <c r="AD66" i="9" s="1"/>
  <c r="AC249" i="9"/>
  <c r="AC244" i="9" s="1"/>
  <c r="AC237" i="9" s="1"/>
  <c r="M249" i="9"/>
  <c r="AD128" i="9"/>
  <c r="AD164" i="9"/>
  <c r="AD247" i="9"/>
  <c r="AD130" i="9"/>
  <c r="AD93" i="9"/>
  <c r="AE9" i="9"/>
  <c r="AD49" i="9"/>
  <c r="Q15" i="8" s="1"/>
  <c r="AD246" i="9"/>
  <c r="AD159" i="9"/>
  <c r="Q34" i="8" s="1"/>
  <c r="AD140" i="9"/>
  <c r="AD139" i="9" s="1"/>
  <c r="AD52" i="9"/>
  <c r="AD127" i="9"/>
  <c r="AD83" i="9"/>
  <c r="AC162" i="9"/>
  <c r="AD84" i="9"/>
  <c r="AD248" i="9"/>
  <c r="AD92" i="9"/>
  <c r="AD59" i="9"/>
  <c r="AD57" i="9" s="1"/>
  <c r="AD56" i="9" s="1"/>
  <c r="Q17" i="8" s="1"/>
  <c r="AD163" i="9"/>
  <c r="AD119" i="9"/>
  <c r="AD118" i="9" s="1"/>
  <c r="AD167" i="9"/>
  <c r="AD165" i="9" s="1"/>
  <c r="Q32" i="8" s="1"/>
  <c r="AD245" i="9"/>
  <c r="AD129" i="9"/>
  <c r="AT17" i="52"/>
  <c r="AT127" i="52" s="1"/>
  <c r="Y116" i="52"/>
  <c r="O474" i="54"/>
  <c r="AB131" i="52"/>
  <c r="AQ127" i="52"/>
  <c r="AB136" i="52"/>
  <c r="AQ131" i="52"/>
  <c r="Q470" i="54"/>
  <c r="R470" i="54" s="1"/>
  <c r="AD130" i="52"/>
  <c r="P470" i="54"/>
  <c r="AC130" i="52"/>
  <c r="X116" i="52"/>
  <c r="AB134" i="52"/>
  <c r="AA135" i="52"/>
  <c r="P468" i="54"/>
  <c r="AC126" i="52"/>
  <c r="AB129" i="52"/>
  <c r="AR17" i="52"/>
  <c r="AR127" i="52" s="1"/>
  <c r="AJ127" i="52"/>
  <c r="AC108" i="52"/>
  <c r="AS108" i="52" s="1"/>
  <c r="Z95" i="52"/>
  <c r="AP95" i="52" s="1"/>
  <c r="AD108" i="52"/>
  <c r="AD105" i="52"/>
  <c r="AT105" i="52" s="1"/>
  <c r="B99" i="52"/>
  <c r="B121" i="52"/>
  <c r="AC104" i="52"/>
  <c r="AS104" i="52" s="1"/>
  <c r="Z94" i="52"/>
  <c r="AP94" i="52" s="1"/>
  <c r="AB112" i="52"/>
  <c r="AR112" i="52" s="1"/>
  <c r="AB109" i="52"/>
  <c r="AR109" i="52" s="1"/>
  <c r="AT61" i="52"/>
  <c r="AR43" i="52"/>
  <c r="AK21" i="52"/>
  <c r="AR61" i="52"/>
  <c r="AK102" i="52"/>
  <c r="AL24" i="52"/>
  <c r="AL98" i="52"/>
  <c r="AL31" i="52"/>
  <c r="AK58" i="52"/>
  <c r="AK36" i="52"/>
  <c r="AS211" i="52"/>
  <c r="AK109" i="52"/>
  <c r="AK79" i="52"/>
  <c r="AL54" i="52"/>
  <c r="AK57" i="52"/>
  <c r="AK65" i="52"/>
  <c r="AK39" i="52"/>
  <c r="AL97" i="52"/>
  <c r="AL46" i="52"/>
  <c r="AK17" i="52"/>
  <c r="AK35" i="52"/>
  <c r="AL9" i="52"/>
  <c r="AL68" i="52"/>
  <c r="AL32" i="52"/>
  <c r="AK43" i="52"/>
  <c r="AL112" i="52"/>
  <c r="AL53" i="52"/>
  <c r="AK105" i="52"/>
  <c r="AR39" i="52"/>
  <c r="AL75" i="52"/>
  <c r="AK101" i="52"/>
  <c r="AK14" i="52"/>
  <c r="AL10" i="52"/>
  <c r="AL76" i="52"/>
  <c r="AK13" i="52"/>
  <c r="AK61" i="52"/>
  <c r="AR105" i="52"/>
  <c r="B170" i="52"/>
  <c r="B175" i="52"/>
  <c r="H1681" i="79"/>
  <c r="I258" i="80"/>
  <c r="H3102" i="79" s="1"/>
  <c r="I23" i="56"/>
  <c r="I17" i="56" s="1"/>
  <c r="L177" i="54" s="1"/>
  <c r="N42" i="56"/>
  <c r="Q179" i="54" s="1"/>
  <c r="R179" i="54" s="1"/>
  <c r="S179" i="54" s="1"/>
  <c r="T179" i="54" s="1"/>
  <c r="N40" i="56"/>
  <c r="Q158" i="54" s="1"/>
  <c r="R158" i="54" s="1"/>
  <c r="S158" i="54" s="1"/>
  <c r="T158" i="54" s="1"/>
  <c r="N43" i="56"/>
  <c r="Q200" i="54" s="1"/>
  <c r="R200" i="54" s="1"/>
  <c r="S200" i="54" s="1"/>
  <c r="T200" i="54" s="1"/>
  <c r="N41" i="56"/>
  <c r="Q137" i="54" s="1"/>
  <c r="R137" i="54" s="1"/>
  <c r="S137" i="54" s="1"/>
  <c r="T137" i="54" s="1"/>
  <c r="N39" i="56"/>
  <c r="S117" i="54"/>
  <c r="K1781" i="79"/>
  <c r="AV10" i="9"/>
  <c r="AW10" i="9" s="1"/>
  <c r="AQ68" i="52"/>
  <c r="AQ69" i="52"/>
  <c r="AQ65" i="52"/>
  <c r="Q111" i="37"/>
  <c r="P51" i="37"/>
  <c r="P117" i="37"/>
  <c r="P131" i="37" s="1"/>
  <c r="Q107" i="37"/>
  <c r="P47" i="37"/>
  <c r="P113" i="37"/>
  <c r="P127" i="37" s="1"/>
  <c r="Q109" i="37"/>
  <c r="P49" i="37"/>
  <c r="P115" i="37"/>
  <c r="P129" i="37" s="1"/>
  <c r="Q110" i="37"/>
  <c r="P50" i="37"/>
  <c r="P116" i="37"/>
  <c r="P130" i="37" s="1"/>
  <c r="Q108" i="37"/>
  <c r="P48" i="37"/>
  <c r="P114" i="37"/>
  <c r="P128" i="37" s="1"/>
  <c r="AB20" i="10"/>
  <c r="BX19" i="10"/>
  <c r="BY19" i="10" s="1"/>
  <c r="P116" i="54"/>
  <c r="K23" i="56"/>
  <c r="K16" i="56"/>
  <c r="N135" i="54" s="1"/>
  <c r="K258" i="80"/>
  <c r="H23" i="56"/>
  <c r="H16" i="56"/>
  <c r="K135" i="54" s="1"/>
  <c r="H258" i="80"/>
  <c r="G1681" i="79"/>
  <c r="M21" i="56"/>
  <c r="M257" i="80" s="1"/>
  <c r="M14" i="56"/>
  <c r="P114" i="54" s="1"/>
  <c r="L22" i="56"/>
  <c r="L258" i="80" s="1"/>
  <c r="L15" i="56"/>
  <c r="O156" i="54" s="1"/>
  <c r="J24" i="56"/>
  <c r="J17" i="56"/>
  <c r="M177" i="54" s="1"/>
  <c r="I1683" i="79"/>
  <c r="J259" i="80"/>
  <c r="Q29" i="56"/>
  <c r="AS212" i="52"/>
  <c r="P185" i="37"/>
  <c r="M3195" i="79"/>
  <c r="M3189" i="79" s="1"/>
  <c r="AT212" i="52"/>
  <c r="AT210" i="52"/>
  <c r="AT209" i="52"/>
  <c r="AU49" i="9"/>
  <c r="V15" i="8" s="1"/>
  <c r="AU52" i="9"/>
  <c r="AU126" i="9"/>
  <c r="AU129" i="9"/>
  <c r="AU246" i="9"/>
  <c r="AU84" i="9"/>
  <c r="AU247" i="9"/>
  <c r="AU127" i="9"/>
  <c r="AU93" i="9"/>
  <c r="AV9" i="9"/>
  <c r="AU163" i="9"/>
  <c r="AU159" i="9"/>
  <c r="V34" i="8" s="1"/>
  <c r="AU245" i="9"/>
  <c r="AU140" i="9"/>
  <c r="AU139" i="9" s="1"/>
  <c r="AU164" i="9"/>
  <c r="AU92" i="9"/>
  <c r="AU167" i="9"/>
  <c r="AU165" i="9" s="1"/>
  <c r="V32" i="8" s="1"/>
  <c r="P184" i="37"/>
  <c r="O58" i="9"/>
  <c r="AA55" i="59"/>
  <c r="AC98" i="9"/>
  <c r="K244" i="9"/>
  <c r="K237" i="9" s="1"/>
  <c r="L159" i="9"/>
  <c r="L52" i="9"/>
  <c r="L98" i="9" s="1"/>
  <c r="L164" i="9"/>
  <c r="L162" i="9" s="1"/>
  <c r="L128" i="9"/>
  <c r="L49" i="9"/>
  <c r="K15" i="8" s="1"/>
  <c r="L247" i="9"/>
  <c r="M10" i="9"/>
  <c r="M195" i="9" s="1"/>
  <c r="L167" i="9"/>
  <c r="L165" i="9" s="1"/>
  <c r="L59" i="9"/>
  <c r="L57" i="9" s="1"/>
  <c r="L56" i="9" s="1"/>
  <c r="K17" i="8" s="1"/>
  <c r="L246" i="9"/>
  <c r="L245" i="9"/>
  <c r="AU59" i="9"/>
  <c r="BO10" i="9"/>
  <c r="BN88" i="9"/>
  <c r="K161" i="9"/>
  <c r="AU83" i="9"/>
  <c r="I95" i="9"/>
  <c r="H20" i="8" s="1"/>
  <c r="G95" i="9"/>
  <c r="F20" i="8" s="1"/>
  <c r="H95" i="9"/>
  <c r="G20" i="8" s="1"/>
  <c r="Q164" i="37"/>
  <c r="Q191" i="37" s="1"/>
  <c r="B476" i="54"/>
  <c r="N119" i="9"/>
  <c r="N118" i="9" s="1"/>
  <c r="N248" i="9"/>
  <c r="N68" i="9"/>
  <c r="BO9" i="9"/>
  <c r="BN12" i="9"/>
  <c r="BO12" i="9" s="1"/>
  <c r="BP12" i="9" s="1"/>
  <c r="AU119" i="9"/>
  <c r="AU118" i="9" s="1"/>
  <c r="AU248" i="9"/>
  <c r="AU128" i="9"/>
  <c r="AR24" i="52"/>
  <c r="AR134" i="52" s="1"/>
  <c r="AR19" i="52"/>
  <c r="AR129" i="52" s="1"/>
  <c r="AR21" i="52"/>
  <c r="AR131" i="52" s="1"/>
  <c r="AR26" i="52"/>
  <c r="AR136" i="52" s="1"/>
  <c r="AN6" i="52"/>
  <c r="AN116" i="52" s="1"/>
  <c r="AQ25" i="52"/>
  <c r="AQ135" i="52" s="1"/>
  <c r="Q163" i="37"/>
  <c r="Q190" i="37" s="1"/>
  <c r="Q165" i="37"/>
  <c r="Q192" i="37" s="1"/>
  <c r="AB85" i="59"/>
  <c r="R157" i="37" s="1"/>
  <c r="R166" i="37" s="1"/>
  <c r="R193" i="37" s="1"/>
  <c r="AA232" i="59"/>
  <c r="Q162" i="37"/>
  <c r="AB155" i="9"/>
  <c r="O38" i="8" s="1"/>
  <c r="AB95" i="9"/>
  <c r="O20" i="8" s="1"/>
  <c r="AE166" i="9"/>
  <c r="AF13" i="9"/>
  <c r="AE19" i="9"/>
  <c r="AU23" i="9"/>
  <c r="AV15" i="9"/>
  <c r="BP18" i="9"/>
  <c r="BO150" i="9"/>
  <c r="BN111" i="9"/>
  <c r="BN115" i="9" s="1"/>
  <c r="BO17" i="9"/>
  <c r="BO67" i="9" s="1"/>
  <c r="BO78" i="9" s="1"/>
  <c r="AE14" i="9"/>
  <c r="AD63" i="9"/>
  <c r="AD61" i="9" s="1"/>
  <c r="AD146" i="9"/>
  <c r="AU63" i="9"/>
  <c r="AU61" i="9" s="1"/>
  <c r="AV14" i="9"/>
  <c r="AU146" i="9"/>
  <c r="AV20" i="9"/>
  <c r="AV16" i="9"/>
  <c r="AU24" i="9"/>
  <c r="AD111" i="9"/>
  <c r="AD115" i="9" s="1"/>
  <c r="AE17" i="9"/>
  <c r="AE67" i="9" s="1"/>
  <c r="AE78" i="9" s="1"/>
  <c r="BN107" i="9"/>
  <c r="BN189" i="9"/>
  <c r="BN117" i="9"/>
  <c r="BO16" i="9"/>
  <c r="BN184" i="9"/>
  <c r="BN82" i="9"/>
  <c r="BN91" i="9"/>
  <c r="BO21" i="9"/>
  <c r="BO71" i="9" s="1"/>
  <c r="AE20" i="9"/>
  <c r="AV21" i="9"/>
  <c r="AV71" i="9" s="1"/>
  <c r="AV19" i="9"/>
  <c r="BO11" i="9"/>
  <c r="BP11" i="9" s="1"/>
  <c r="BQ11" i="9" s="1"/>
  <c r="BR11" i="9" s="1"/>
  <c r="BS11" i="9" s="1"/>
  <c r="BT11" i="9" s="1"/>
  <c r="BU11" i="9" s="1"/>
  <c r="BV11" i="9" s="1"/>
  <c r="BW11" i="9" s="1"/>
  <c r="BX11" i="9" s="1"/>
  <c r="BY11" i="9" s="1"/>
  <c r="BZ11" i="9" s="1"/>
  <c r="BN172" i="9"/>
  <c r="AD23" i="9"/>
  <c r="AE15" i="9"/>
  <c r="AE21" i="9"/>
  <c r="AE71" i="9" s="1"/>
  <c r="BO15" i="9"/>
  <c r="BN183" i="9"/>
  <c r="BN106" i="9"/>
  <c r="BN113" i="9"/>
  <c r="BN188" i="9"/>
  <c r="AF12" i="9"/>
  <c r="AC96" i="9"/>
  <c r="AC153" i="9"/>
  <c r="AC87" i="9"/>
  <c r="AC156" i="9"/>
  <c r="AW12" i="9"/>
  <c r="AU111" i="9"/>
  <c r="AU115" i="9" s="1"/>
  <c r="AV17" i="9"/>
  <c r="AV67" i="9" s="1"/>
  <c r="AV78" i="9" s="1"/>
  <c r="BN116" i="9"/>
  <c r="BO14" i="9"/>
  <c r="AW18" i="9"/>
  <c r="AV150" i="9"/>
  <c r="BO19" i="9"/>
  <c r="BN185" i="9"/>
  <c r="BN190" i="9"/>
  <c r="AF18" i="9"/>
  <c r="AE58" i="9"/>
  <c r="AD24" i="9"/>
  <c r="AE16" i="9"/>
  <c r="BO166" i="9"/>
  <c r="BP13" i="9"/>
  <c r="BP8" i="9"/>
  <c r="BQ8" i="9" s="1"/>
  <c r="BR8" i="9" s="1"/>
  <c r="BS8" i="9" s="1"/>
  <c r="BT8" i="9" s="1"/>
  <c r="BU8" i="9" s="1"/>
  <c r="BV8" i="9" s="1"/>
  <c r="BW8" i="9" s="1"/>
  <c r="BX8" i="9" s="1"/>
  <c r="BY8" i="9" s="1"/>
  <c r="BZ8" i="9" s="1"/>
  <c r="CH8" i="9" s="1"/>
  <c r="AC154" i="9"/>
  <c r="AC157" i="9"/>
  <c r="AC99" i="9"/>
  <c r="AC97" i="9"/>
  <c r="BN191" i="9"/>
  <c r="BO20" i="9"/>
  <c r="BN186" i="9"/>
  <c r="BN181" i="9"/>
  <c r="BN178" i="9"/>
  <c r="BN180" i="9"/>
  <c r="BN179" i="9"/>
  <c r="BO22" i="9"/>
  <c r="BP22" i="9" s="1"/>
  <c r="BQ22" i="9" s="1"/>
  <c r="BR22" i="9" s="1"/>
  <c r="BS22" i="9" s="1"/>
  <c r="BT22" i="9" s="1"/>
  <c r="BU22" i="9" s="1"/>
  <c r="BV22" i="9" s="1"/>
  <c r="BW22" i="9" s="1"/>
  <c r="BX22" i="9" s="1"/>
  <c r="BY22" i="9" s="1"/>
  <c r="BZ22" i="9" s="1"/>
  <c r="AV166" i="9"/>
  <c r="AW13" i="9"/>
  <c r="P187" i="37"/>
  <c r="AB69" i="52"/>
  <c r="AR69" i="52" s="1"/>
  <c r="AR258" i="52"/>
  <c r="AB113" i="52"/>
  <c r="AR113" i="52" s="1"/>
  <c r="AR260" i="52"/>
  <c r="AC259" i="52"/>
  <c r="AS259" i="52" s="1"/>
  <c r="AC256" i="52"/>
  <c r="AS256" i="52" s="1"/>
  <c r="AC258" i="52"/>
  <c r="AC257" i="52"/>
  <c r="AC260" i="52"/>
  <c r="AB25" i="52"/>
  <c r="AB47" i="52"/>
  <c r="AR47" i="52" s="1"/>
  <c r="AR257" i="52"/>
  <c r="K1301" i="79"/>
  <c r="K1279" i="79" s="1"/>
  <c r="AO7" i="52"/>
  <c r="AO117" i="52" s="1"/>
  <c r="K1046" i="79"/>
  <c r="K1032" i="79" s="1"/>
  <c r="Z7" i="52"/>
  <c r="Z117" i="52" s="1"/>
  <c r="K1569" i="79"/>
  <c r="L1759" i="79"/>
  <c r="L1696" i="79" s="1"/>
  <c r="L2578" i="79"/>
  <c r="L2525" i="79" s="1"/>
  <c r="L2626" i="79"/>
  <c r="L2527" i="79" s="1"/>
  <c r="I3437" i="79"/>
  <c r="I3403" i="79" s="1"/>
  <c r="J3029" i="79"/>
  <c r="L1714" i="79"/>
  <c r="L1693" i="79" s="1"/>
  <c r="I3061" i="79"/>
  <c r="M2747" i="79"/>
  <c r="M2701" i="79"/>
  <c r="M2554" i="79"/>
  <c r="AD204" i="52"/>
  <c r="AD60" i="52" s="1"/>
  <c r="K1782" i="79"/>
  <c r="AD205" i="52"/>
  <c r="AT205" i="52" s="1"/>
  <c r="AD206" i="52"/>
  <c r="AD202" i="52"/>
  <c r="AD16" i="52" s="1"/>
  <c r="AA148" i="52"/>
  <c r="AA7" i="52" s="1"/>
  <c r="AA117" i="52" s="1"/>
  <c r="L1636" i="79"/>
  <c r="L1568" i="79" s="1"/>
  <c r="M1637" i="79"/>
  <c r="G3033" i="79"/>
  <c r="G3035" i="79"/>
  <c r="J3035" i="79"/>
  <c r="J3440" i="79"/>
  <c r="J3442" i="79"/>
  <c r="I3468" i="79"/>
  <c r="I3470" i="79"/>
  <c r="J3065" i="79"/>
  <c r="J3067" i="79"/>
  <c r="H3065" i="79"/>
  <c r="H3067" i="79"/>
  <c r="G3412" i="79"/>
  <c r="G3414" i="79"/>
  <c r="J3412" i="79"/>
  <c r="J3414" i="79"/>
  <c r="G3065" i="79"/>
  <c r="G3067" i="79"/>
  <c r="H3033" i="79"/>
  <c r="H3035" i="79"/>
  <c r="G3440" i="79"/>
  <c r="G3442" i="79"/>
  <c r="K3070" i="79"/>
  <c r="K3445" i="79"/>
  <c r="H3412" i="79"/>
  <c r="H3414" i="79"/>
  <c r="K3417" i="79"/>
  <c r="K3038" i="79"/>
  <c r="K3033" i="79" s="1"/>
  <c r="AC48" i="52"/>
  <c r="AS48" i="52" s="1"/>
  <c r="AL69" i="52"/>
  <c r="M3094" i="79"/>
  <c r="M3104" i="79"/>
  <c r="M3126" i="79"/>
  <c r="M3136" i="79"/>
  <c r="AL47" i="52"/>
  <c r="M3522" i="79"/>
  <c r="M3531" i="79"/>
  <c r="AL113" i="52"/>
  <c r="M3494" i="79"/>
  <c r="M3503" i="79"/>
  <c r="M3466" i="79"/>
  <c r="M3475" i="79"/>
  <c r="M3062" i="79"/>
  <c r="M3072" i="79"/>
  <c r="M3438" i="79"/>
  <c r="M3447" i="79"/>
  <c r="AL25" i="52"/>
  <c r="M3410" i="79"/>
  <c r="M3419" i="79"/>
  <c r="BW172" i="9"/>
  <c r="AC114" i="52"/>
  <c r="AS114" i="52" s="1"/>
  <c r="AC70" i="52"/>
  <c r="AS70" i="52" s="1"/>
  <c r="AL26" i="52"/>
  <c r="AL48" i="52"/>
  <c r="AS262" i="52"/>
  <c r="AC26" i="52"/>
  <c r="I485" i="79"/>
  <c r="L3168" i="79"/>
  <c r="L3158" i="79"/>
  <c r="L3040" i="79"/>
  <c r="L3030" i="79"/>
  <c r="M3042" i="79"/>
  <c r="M3170" i="79"/>
  <c r="M3372" i="79"/>
  <c r="M3341" i="79"/>
  <c r="I128" i="79"/>
  <c r="M2894" i="79"/>
  <c r="M2889" i="79"/>
  <c r="M2959" i="79"/>
  <c r="M2964" i="79"/>
  <c r="M2929" i="79"/>
  <c r="M2924" i="79"/>
  <c r="M2859" i="79"/>
  <c r="M2854" i="79"/>
  <c r="K504" i="79"/>
  <c r="K488" i="79" s="1"/>
  <c r="H35" i="79"/>
  <c r="BE146" i="52" s="1"/>
  <c r="I34" i="79"/>
  <c r="BF145" i="52" s="1"/>
  <c r="K401" i="79"/>
  <c r="K398" i="79" s="1"/>
  <c r="K397" i="79" s="1"/>
  <c r="K396" i="79" s="1"/>
  <c r="M2819" i="79"/>
  <c r="M2724" i="79"/>
  <c r="M2770" i="79"/>
  <c r="J98" i="79"/>
  <c r="J72" i="79" s="1"/>
  <c r="BG151" i="52" s="1"/>
  <c r="K303" i="79"/>
  <c r="K287" i="79" s="1"/>
  <c r="G306" i="79"/>
  <c r="I508" i="79"/>
  <c r="I507" i="79" s="1"/>
  <c r="G135" i="79"/>
  <c r="G78" i="79" s="1"/>
  <c r="G40" i="79" s="1"/>
  <c r="O117" i="37"/>
  <c r="O131" i="37" s="1"/>
  <c r="O113" i="37"/>
  <c r="O127" i="37" s="1"/>
  <c r="O115" i="37"/>
  <c r="O129" i="37" s="1"/>
  <c r="O116" i="37"/>
  <c r="O130" i="37" s="1"/>
  <c r="O114" i="37"/>
  <c r="O128" i="37" s="1"/>
  <c r="K468" i="79"/>
  <c r="K465" i="79" s="1"/>
  <c r="K464" i="79" s="1"/>
  <c r="K125" i="79" s="1"/>
  <c r="K348" i="79"/>
  <c r="K332" i="79" s="1"/>
  <c r="J486" i="79"/>
  <c r="J485" i="79" s="1"/>
  <c r="K370" i="79"/>
  <c r="K354" i="79" s="1"/>
  <c r="AB46" i="52"/>
  <c r="AR46" i="52" s="1"/>
  <c r="L518" i="79"/>
  <c r="L118" i="79" s="1"/>
  <c r="L514" i="79"/>
  <c r="AR250" i="52"/>
  <c r="I376" i="79"/>
  <c r="I374" i="79" s="1"/>
  <c r="I97" i="79"/>
  <c r="K384" i="79"/>
  <c r="K116" i="79" s="1"/>
  <c r="K84" i="79" s="1"/>
  <c r="K380" i="79"/>
  <c r="H135" i="79"/>
  <c r="H78" i="79" s="1"/>
  <c r="H40" i="79" s="1"/>
  <c r="H373" i="79"/>
  <c r="H71" i="79"/>
  <c r="BE150" i="52" s="1"/>
  <c r="H33" i="79"/>
  <c r="BE144" i="52" s="1"/>
  <c r="J378" i="79"/>
  <c r="J375" i="79" s="1"/>
  <c r="J91" i="79" s="1"/>
  <c r="J392" i="79"/>
  <c r="H77" i="79"/>
  <c r="H39" i="79" s="1"/>
  <c r="L496" i="79"/>
  <c r="L112" i="79" s="1"/>
  <c r="L492" i="79"/>
  <c r="L504" i="79" s="1"/>
  <c r="L358" i="79"/>
  <c r="L356" i="79" s="1"/>
  <c r="L470" i="79"/>
  <c r="L482" i="79" s="1"/>
  <c r="L466" i="79" s="1"/>
  <c r="AN144" i="52"/>
  <c r="L403" i="79"/>
  <c r="L401" i="79" s="1"/>
  <c r="L398" i="79" s="1"/>
  <c r="AN143" i="52"/>
  <c r="L336" i="79"/>
  <c r="L334" i="79" s="1"/>
  <c r="K267" i="79"/>
  <c r="K264" i="79" s="1"/>
  <c r="J311" i="79"/>
  <c r="J308" i="79" s="1"/>
  <c r="J90" i="79" s="1"/>
  <c r="J325" i="79"/>
  <c r="K317" i="79"/>
  <c r="K115" i="79" s="1"/>
  <c r="K83" i="79" s="1"/>
  <c r="K313" i="79"/>
  <c r="I309" i="79"/>
  <c r="I307" i="79" s="1"/>
  <c r="I96" i="79"/>
  <c r="L313" i="79"/>
  <c r="L291" i="79"/>
  <c r="L303" i="79" s="1"/>
  <c r="L287" i="79" s="1"/>
  <c r="L269" i="79"/>
  <c r="L281" i="79" s="1"/>
  <c r="L265" i="79" s="1"/>
  <c r="M202" i="79"/>
  <c r="M906" i="79"/>
  <c r="AN145" i="52"/>
  <c r="AC250" i="52"/>
  <c r="AC24" i="52" s="1"/>
  <c r="AB68" i="52"/>
  <c r="AR68" i="52" s="1"/>
  <c r="AN142" i="52"/>
  <c r="AR254" i="52"/>
  <c r="K566" i="79"/>
  <c r="K538" i="79"/>
  <c r="AB144" i="52" s="1"/>
  <c r="K117" i="79"/>
  <c r="K85" i="79" s="1"/>
  <c r="K47" i="79" s="1"/>
  <c r="T151" i="52" s="1"/>
  <c r="K443" i="79"/>
  <c r="K441" i="79" s="1"/>
  <c r="K440" i="79" s="1"/>
  <c r="L117" i="79"/>
  <c r="L111" i="79"/>
  <c r="L110" i="79"/>
  <c r="L104" i="79"/>
  <c r="L109" i="79"/>
  <c r="L103" i="79"/>
  <c r="L102" i="79"/>
  <c r="AC253" i="52"/>
  <c r="AS253" i="52" s="1"/>
  <c r="AC254" i="52"/>
  <c r="AC252" i="52"/>
  <c r="AS252" i="52" s="1"/>
  <c r="M2098" i="79"/>
  <c r="M2067" i="79"/>
  <c r="L2098" i="79"/>
  <c r="L2067" i="79"/>
  <c r="AD254" i="52"/>
  <c r="AD250" i="52"/>
  <c r="AT250" i="52" s="1"/>
  <c r="AD251" i="52"/>
  <c r="AT251" i="52" s="1"/>
  <c r="AD253" i="52"/>
  <c r="AT253" i="52" s="1"/>
  <c r="AD252" i="52"/>
  <c r="AD68" i="52" s="1"/>
  <c r="AS263" i="52"/>
  <c r="H149" i="52"/>
  <c r="G64" i="79"/>
  <c r="G51" i="79"/>
  <c r="G137" i="79"/>
  <c r="G80" i="79" s="1"/>
  <c r="G42" i="79" s="1"/>
  <c r="G507" i="79"/>
  <c r="G73" i="79"/>
  <c r="BD152" i="52" s="1"/>
  <c r="G35" i="79"/>
  <c r="BD146" i="52" s="1"/>
  <c r="G31" i="79"/>
  <c r="BD142" i="52" s="1"/>
  <c r="G69" i="79"/>
  <c r="BD148" i="52" s="1"/>
  <c r="G61" i="79"/>
  <c r="AV152" i="52" s="1"/>
  <c r="G29" i="79"/>
  <c r="AV146" i="52" s="1"/>
  <c r="G239" i="79"/>
  <c r="G133" i="79"/>
  <c r="G76" i="79" s="1"/>
  <c r="Y176" i="59"/>
  <c r="K150" i="9"/>
  <c r="AS264" i="52"/>
  <c r="AD263" i="52"/>
  <c r="AT263" i="52" s="1"/>
  <c r="AD264" i="52"/>
  <c r="AD265" i="52"/>
  <c r="AT265" i="52" s="1"/>
  <c r="AD266" i="52"/>
  <c r="AD262" i="52"/>
  <c r="AS266" i="52"/>
  <c r="N70" i="37"/>
  <c r="M3227" i="79"/>
  <c r="M3223" i="79" s="1"/>
  <c r="AS60" i="52"/>
  <c r="M1425" i="79"/>
  <c r="G66" i="79"/>
  <c r="H53" i="79"/>
  <c r="O47" i="37"/>
  <c r="O69" i="37" s="1"/>
  <c r="N75" i="37"/>
  <c r="AS204" i="52"/>
  <c r="O50" i="37"/>
  <c r="O72" i="37" s="1"/>
  <c r="AS203" i="52"/>
  <c r="AS38" i="52"/>
  <c r="N72" i="37"/>
  <c r="O49" i="37"/>
  <c r="O71" i="37" s="1"/>
  <c r="AS202" i="52"/>
  <c r="AS16" i="52"/>
  <c r="AS126" i="52" s="1"/>
  <c r="M3231" i="79"/>
  <c r="M3224" i="79" s="1"/>
  <c r="O51" i="37"/>
  <c r="O79" i="37" s="1"/>
  <c r="O48" i="37"/>
  <c r="O70" i="37" s="1"/>
  <c r="AS206" i="52"/>
  <c r="O13" i="9"/>
  <c r="N166" i="9"/>
  <c r="D586" i="59"/>
  <c r="F628" i="59"/>
  <c r="D628" i="59" s="1"/>
  <c r="M1380" i="79"/>
  <c r="M825" i="79"/>
  <c r="M1297" i="79"/>
  <c r="L1719" i="79"/>
  <c r="M832" i="79"/>
  <c r="AS226" i="52"/>
  <c r="AS20" i="52"/>
  <c r="AS130" i="52" s="1"/>
  <c r="M1429" i="79"/>
  <c r="M1599" i="79"/>
  <c r="M1590" i="79" s="1"/>
  <c r="M1588" i="79" s="1"/>
  <c r="M1565" i="79" s="1"/>
  <c r="L1704" i="79"/>
  <c r="AT229" i="52"/>
  <c r="M1615" i="79"/>
  <c r="M1606" i="79" s="1"/>
  <c r="M1604" i="79" s="1"/>
  <c r="M1566" i="79" s="1"/>
  <c r="L1699" i="79"/>
  <c r="L1692" i="79" s="1"/>
  <c r="AS227" i="52"/>
  <c r="M1470" i="79"/>
  <c r="L1734" i="79"/>
  <c r="M1647" i="79"/>
  <c r="M1638" i="79" s="1"/>
  <c r="L1744" i="79"/>
  <c r="L1695" i="79" s="1"/>
  <c r="L1749" i="79"/>
  <c r="M788" i="79"/>
  <c r="AS42" i="52"/>
  <c r="M1339" i="79"/>
  <c r="M1335" i="79"/>
  <c r="L1729" i="79"/>
  <c r="L1694" i="79" s="1"/>
  <c r="M1583" i="79"/>
  <c r="M1574" i="79" s="1"/>
  <c r="M1572" i="79" s="1"/>
  <c r="M1564" i="79" s="1"/>
  <c r="M1631" i="79"/>
  <c r="M1622" i="79" s="1"/>
  <c r="M1620" i="79" s="1"/>
  <c r="M1567" i="79" s="1"/>
  <c r="M1705" i="79"/>
  <c r="M1701" i="79" s="1"/>
  <c r="M1384" i="79"/>
  <c r="M1342" i="79"/>
  <c r="M601" i="79"/>
  <c r="M943" i="79"/>
  <c r="M605" i="79"/>
  <c r="N73" i="37"/>
  <c r="N71" i="37"/>
  <c r="T4" i="54"/>
  <c r="Q344" i="37"/>
  <c r="Q347" i="37"/>
  <c r="AS228" i="52"/>
  <c r="AS64" i="52"/>
  <c r="P183" i="37"/>
  <c r="P189" i="37"/>
  <c r="Q187" i="37"/>
  <c r="Q24" i="37"/>
  <c r="R345" i="37"/>
  <c r="T343" i="37"/>
  <c r="S25" i="37"/>
  <c r="R26" i="37"/>
  <c r="S346" i="37"/>
  <c r="R27" i="37"/>
  <c r="R28" i="37"/>
  <c r="AS230" i="52"/>
  <c r="M869" i="79"/>
  <c r="M1418" i="79"/>
  <c r="M1294" i="79"/>
  <c r="M682" i="79"/>
  <c r="M1290" i="79"/>
  <c r="L1764" i="79"/>
  <c r="M689" i="79"/>
  <c r="M795" i="79"/>
  <c r="M1750" i="79"/>
  <c r="M1746" i="79" s="1"/>
  <c r="M1474" i="79"/>
  <c r="M1432" i="79"/>
  <c r="AL16" i="52"/>
  <c r="AT203" i="52"/>
  <c r="AL38" i="52"/>
  <c r="AL60" i="52"/>
  <c r="AL104" i="52"/>
  <c r="AD236" i="52"/>
  <c r="M608" i="79"/>
  <c r="M1283" i="79"/>
  <c r="M686" i="79"/>
  <c r="M655" i="79"/>
  <c r="K1779" i="79"/>
  <c r="K1780" i="79"/>
  <c r="M1720" i="79"/>
  <c r="M1716" i="79" s="1"/>
  <c r="M709" i="79"/>
  <c r="M713" i="79"/>
  <c r="M1765" i="79"/>
  <c r="M1761" i="79" s="1"/>
  <c r="M1328" i="79"/>
  <c r="M632" i="79"/>
  <c r="M628" i="79"/>
  <c r="M716" i="79"/>
  <c r="M662" i="79"/>
  <c r="M659" i="79"/>
  <c r="AL64" i="52"/>
  <c r="AT228" i="52"/>
  <c r="M635" i="79"/>
  <c r="AT230" i="52"/>
  <c r="AL108" i="52"/>
  <c r="M1463" i="79"/>
  <c r="M1387" i="79"/>
  <c r="M1477" i="79"/>
  <c r="M1373" i="79"/>
  <c r="M1735" i="79"/>
  <c r="M1731" i="79" s="1"/>
  <c r="AL20" i="52"/>
  <c r="AT226" i="52"/>
  <c r="AL42" i="52"/>
  <c r="AT227" i="52"/>
  <c r="J1780" i="79"/>
  <c r="K1682" i="79"/>
  <c r="O26" i="56"/>
  <c r="O51" i="56"/>
  <c r="O27" i="56"/>
  <c r="O52" i="56"/>
  <c r="P8" i="56"/>
  <c r="K1680" i="79"/>
  <c r="L1680" i="79"/>
  <c r="P21" i="9"/>
  <c r="O71" i="9"/>
  <c r="BC172" i="9"/>
  <c r="O172" i="9"/>
  <c r="J1862" i="79"/>
  <c r="K1939" i="79"/>
  <c r="K1943" i="79" s="1"/>
  <c r="N129" i="9"/>
  <c r="N126" i="9"/>
  <c r="N163" i="9"/>
  <c r="N93" i="9"/>
  <c r="N130" i="9"/>
  <c r="N127" i="9"/>
  <c r="N92" i="9"/>
  <c r="N73" i="9"/>
  <c r="N84" i="9"/>
  <c r="N72" i="9"/>
  <c r="N83" i="9"/>
  <c r="O9" i="9"/>
  <c r="M1745" i="79"/>
  <c r="M1730" i="79"/>
  <c r="M1700" i="79"/>
  <c r="M1878" i="79"/>
  <c r="L1874" i="79"/>
  <c r="M1876" i="79"/>
  <c r="L1875" i="79"/>
  <c r="M1877" i="79"/>
  <c r="K1826" i="79"/>
  <c r="J1827" i="79"/>
  <c r="J1828" i="79"/>
  <c r="J1829" i="79"/>
  <c r="J1825" i="79"/>
  <c r="J1826" i="79"/>
  <c r="K1959" i="79"/>
  <c r="K1963" i="79" s="1"/>
  <c r="K1870" i="79"/>
  <c r="K1999" i="79"/>
  <c r="K2003" i="79" s="1"/>
  <c r="K1872" i="79"/>
  <c r="K1979" i="79"/>
  <c r="K1983" i="79" s="1"/>
  <c r="K1871" i="79"/>
  <c r="K1919" i="79"/>
  <c r="K1923" i="79" s="1"/>
  <c r="K1868" i="79"/>
  <c r="L1940" i="79"/>
  <c r="L1960" i="79"/>
  <c r="L1920" i="79"/>
  <c r="L1868" i="79" s="1"/>
  <c r="L1980" i="79"/>
  <c r="L2000" i="79"/>
  <c r="AC41" i="52"/>
  <c r="AS41" i="52" s="1"/>
  <c r="AS215" i="52"/>
  <c r="AS214" i="52"/>
  <c r="AC19" i="52"/>
  <c r="AS216" i="52"/>
  <c r="AC63" i="52"/>
  <c r="AS63" i="52" s="1"/>
  <c r="AD214" i="52"/>
  <c r="AD216" i="52"/>
  <c r="AD217" i="52"/>
  <c r="AT217" i="52" s="1"/>
  <c r="AD215" i="52"/>
  <c r="AD218" i="52"/>
  <c r="AS218" i="52"/>
  <c r="AC107" i="52"/>
  <c r="AS107" i="52" s="1"/>
  <c r="K2095" i="79"/>
  <c r="K2064" i="79"/>
  <c r="B160" i="79"/>
  <c r="C166" i="79"/>
  <c r="B166" i="79" s="1"/>
  <c r="B159" i="79"/>
  <c r="C165" i="79"/>
  <c r="B165" i="79" s="1"/>
  <c r="K2183" i="79"/>
  <c r="K2119" i="79" s="1"/>
  <c r="J2120" i="79"/>
  <c r="K2208" i="79"/>
  <c r="M2204" i="79"/>
  <c r="M2185" i="79" s="1"/>
  <c r="M2131" i="79" s="1"/>
  <c r="M2212" i="79"/>
  <c r="M2144" i="79" s="1"/>
  <c r="M2279" i="79"/>
  <c r="M2260" i="79" s="1"/>
  <c r="M2134" i="79" s="1"/>
  <c r="L2212" i="79"/>
  <c r="L2144" i="79" s="1"/>
  <c r="M2254" i="79"/>
  <c r="M2235" i="79" s="1"/>
  <c r="M2133" i="79" s="1"/>
  <c r="K2123" i="79"/>
  <c r="K2122" i="79"/>
  <c r="J2119" i="79"/>
  <c r="K2121" i="79"/>
  <c r="L2283" i="79"/>
  <c r="M2289" i="79"/>
  <c r="M2284" i="79" s="1"/>
  <c r="M2129" i="79" s="1"/>
  <c r="M2080" i="79" s="1"/>
  <c r="M2304" i="79"/>
  <c r="M2285" i="79" s="1"/>
  <c r="M2135" i="79" s="1"/>
  <c r="L2258" i="79"/>
  <c r="L2233" i="79"/>
  <c r="L2184" i="79"/>
  <c r="L2125" i="79" s="1"/>
  <c r="L2076" i="79" s="1"/>
  <c r="K785" i="79"/>
  <c r="H66" i="79"/>
  <c r="H31" i="79"/>
  <c r="BE142" i="52" s="1"/>
  <c r="I31" i="79"/>
  <c r="BF142" i="52" s="1"/>
  <c r="AB65" i="52"/>
  <c r="AR65" i="52" s="1"/>
  <c r="G53" i="79"/>
  <c r="J46" i="79"/>
  <c r="S150" i="52" s="1"/>
  <c r="AR232" i="52"/>
  <c r="J1866" i="79"/>
  <c r="AR236" i="52"/>
  <c r="J1865" i="79"/>
  <c r="J1864" i="79"/>
  <c r="J1863" i="79"/>
  <c r="H57" i="79"/>
  <c r="AW148" i="52" s="1"/>
  <c r="M1955" i="79"/>
  <c r="M1941" i="79" s="1"/>
  <c r="M1921" i="79"/>
  <c r="L1282" i="79"/>
  <c r="AC236" i="52"/>
  <c r="AC235" i="52"/>
  <c r="AS235" i="52" s="1"/>
  <c r="AC233" i="52"/>
  <c r="AC43" i="52" s="1"/>
  <c r="AC232" i="52"/>
  <c r="AC21" i="52" s="1"/>
  <c r="K2675" i="79"/>
  <c r="K2674" i="79"/>
  <c r="J2672" i="79"/>
  <c r="K2673" i="79"/>
  <c r="K2678" i="79"/>
  <c r="K2671" i="79" s="1"/>
  <c r="L2530" i="79"/>
  <c r="L2523" i="79" s="1"/>
  <c r="L2526" i="79"/>
  <c r="K2524" i="79"/>
  <c r="L1327" i="79"/>
  <c r="AS251" i="52"/>
  <c r="AC46" i="52"/>
  <c r="AS46" i="52" s="1"/>
  <c r="L1372" i="79"/>
  <c r="L1462" i="79"/>
  <c r="L1417" i="79"/>
  <c r="M1466" i="79"/>
  <c r="M1421" i="79"/>
  <c r="M1376" i="79"/>
  <c r="M1331" i="79"/>
  <c r="M1286" i="79"/>
  <c r="M862" i="79"/>
  <c r="M899" i="79"/>
  <c r="M936" i="79"/>
  <c r="M1945" i="79"/>
  <c r="M2264" i="79"/>
  <c r="M2259" i="79" s="1"/>
  <c r="M2128" i="79" s="1"/>
  <c r="M2079" i="79" s="1"/>
  <c r="J263" i="79"/>
  <c r="J262" i="79" s="1"/>
  <c r="J93" i="79"/>
  <c r="J61" i="79" s="1"/>
  <c r="AY152" i="52" s="1"/>
  <c r="I122" i="79"/>
  <c r="I130" i="79"/>
  <c r="I79" i="79" s="1"/>
  <c r="I41" i="79" s="1"/>
  <c r="J330" i="79"/>
  <c r="J329" i="79" s="1"/>
  <c r="H80" i="79"/>
  <c r="H42" i="79" s="1"/>
  <c r="H485" i="79"/>
  <c r="M2005" i="79"/>
  <c r="M2214" i="79"/>
  <c r="M2209" i="79" s="1"/>
  <c r="M2126" i="79" s="1"/>
  <c r="M2077" i="79" s="1"/>
  <c r="I218" i="79"/>
  <c r="I217" i="79" s="1"/>
  <c r="M1965" i="79"/>
  <c r="M2239" i="79"/>
  <c r="M2234" i="79" s="1"/>
  <c r="M2127" i="79" s="1"/>
  <c r="M2078" i="79" s="1"/>
  <c r="M2189" i="79"/>
  <c r="AC65" i="52"/>
  <c r="AS234" i="52"/>
  <c r="J419" i="79"/>
  <c r="J418" i="79" s="1"/>
  <c r="M1985" i="79"/>
  <c r="M1925" i="79"/>
  <c r="I123" i="79"/>
  <c r="M2824" i="79"/>
  <c r="I29" i="79"/>
  <c r="AX146" i="52" s="1"/>
  <c r="I73" i="79"/>
  <c r="BF152" i="52" s="1"/>
  <c r="I35" i="79"/>
  <c r="BF146" i="52" s="1"/>
  <c r="J60" i="79"/>
  <c r="AY151" i="52" s="1"/>
  <c r="J28" i="79"/>
  <c r="AY145" i="52" s="1"/>
  <c r="I59" i="79"/>
  <c r="AX150" i="52" s="1"/>
  <c r="I27" i="79"/>
  <c r="AX144" i="52" s="1"/>
  <c r="I58" i="79"/>
  <c r="AX149" i="52" s="1"/>
  <c r="I26" i="79"/>
  <c r="AX143" i="52" s="1"/>
  <c r="I57" i="79"/>
  <c r="AX148" i="52" s="1"/>
  <c r="I25" i="79"/>
  <c r="AX142" i="52" s="1"/>
  <c r="H69" i="79"/>
  <c r="BE148" i="52" s="1"/>
  <c r="I69" i="79"/>
  <c r="BF148" i="52" s="1"/>
  <c r="J99" i="79"/>
  <c r="K98" i="79"/>
  <c r="K196" i="79"/>
  <c r="K195" i="79" s="1"/>
  <c r="J196" i="79"/>
  <c r="K353" i="79"/>
  <c r="J219" i="79"/>
  <c r="J218" i="79" s="1"/>
  <c r="K286" i="79"/>
  <c r="K420" i="79"/>
  <c r="K331" i="79"/>
  <c r="K487" i="79"/>
  <c r="B192" i="52"/>
  <c r="B37" i="52"/>
  <c r="B79" i="52"/>
  <c r="B58" i="52"/>
  <c r="B191" i="52"/>
  <c r="AH80" i="52"/>
  <c r="AG80" i="52"/>
  <c r="AF80" i="52"/>
  <c r="AL80" i="52"/>
  <c r="AK80" i="52"/>
  <c r="AI80" i="52"/>
  <c r="AJ80" i="52"/>
  <c r="A294" i="54"/>
  <c r="C293" i="54" a="1"/>
  <c r="C293" i="54" s="1"/>
  <c r="D293" i="54" s="1"/>
  <c r="K155" i="9"/>
  <c r="O12" i="9"/>
  <c r="M111" i="9"/>
  <c r="M115" i="9" s="1"/>
  <c r="N17" i="9"/>
  <c r="N67" i="9" s="1"/>
  <c r="N78" i="9" s="1"/>
  <c r="M23" i="9"/>
  <c r="N15" i="9"/>
  <c r="N63" i="9"/>
  <c r="O14" i="9"/>
  <c r="L87" i="9"/>
  <c r="L65" i="9"/>
  <c r="L64" i="9" s="1"/>
  <c r="L96" i="9"/>
  <c r="L156" i="9"/>
  <c r="L153" i="9"/>
  <c r="AA144" i="52"/>
  <c r="AQ144" i="52" s="1"/>
  <c r="AO6" i="52"/>
  <c r="AO116" i="52" s="1"/>
  <c r="AA142" i="52"/>
  <c r="AQ142" i="52" s="1"/>
  <c r="AP149" i="52"/>
  <c r="AA151" i="52"/>
  <c r="AQ151" i="52" s="1"/>
  <c r="AA150" i="52"/>
  <c r="AQ150" i="52" s="1"/>
  <c r="AA152" i="52"/>
  <c r="Z6" i="52"/>
  <c r="AA149" i="52"/>
  <c r="AQ149" i="52" s="1"/>
  <c r="AP152" i="52"/>
  <c r="CQ172" i="9"/>
  <c r="Y236" i="59"/>
  <c r="Z89" i="59"/>
  <c r="Z237" i="59"/>
  <c r="AA90" i="59"/>
  <c r="AB6" i="59"/>
  <c r="AB55" i="59" s="1"/>
  <c r="AI172" i="9"/>
  <c r="AB230" i="59"/>
  <c r="AC83" i="59"/>
  <c r="D564" i="59"/>
  <c r="F606" i="59"/>
  <c r="D606" i="59" s="1"/>
  <c r="Y223" i="59"/>
  <c r="Y224" i="59" s="1"/>
  <c r="Y225" i="59" s="1"/>
  <c r="AA177" i="59"/>
  <c r="Z222" i="59"/>
  <c r="D544" i="59"/>
  <c r="F565" i="59"/>
  <c r="C654" i="59"/>
  <c r="F653" i="59" a="1"/>
  <c r="F653" i="59" s="1"/>
  <c r="D653" i="59" s="1"/>
  <c r="AD113" i="59"/>
  <c r="AD112" i="59"/>
  <c r="AF62" i="9"/>
  <c r="BT62" i="9"/>
  <c r="CN62" i="9"/>
  <c r="L62" i="9"/>
  <c r="L61" i="9" s="1"/>
  <c r="AZ62" i="9"/>
  <c r="Z229" i="59"/>
  <c r="AA82" i="59"/>
  <c r="AB231" i="59"/>
  <c r="AC84" i="59"/>
  <c r="AB102" i="59"/>
  <c r="AB103" i="59"/>
  <c r="AC99" i="59"/>
  <c r="D503" i="59"/>
  <c r="F545" i="59"/>
  <c r="F587" i="59" s="1"/>
  <c r="C485" i="59"/>
  <c r="F484" i="59" a="1"/>
  <c r="F484" i="59" s="1"/>
  <c r="F526" i="59" s="1"/>
  <c r="D526" i="59" s="1"/>
  <c r="AB234" i="59"/>
  <c r="AC87" i="59"/>
  <c r="K62" i="9"/>
  <c r="K61" i="9" s="1"/>
  <c r="BS62" i="9"/>
  <c r="AE62" i="9"/>
  <c r="AY62" i="9"/>
  <c r="CM62" i="9"/>
  <c r="AB233" i="59"/>
  <c r="AC86" i="59"/>
  <c r="D483" i="59"/>
  <c r="F504" i="59"/>
  <c r="AC63" i="59"/>
  <c r="M24" i="9"/>
  <c r="N16" i="9"/>
  <c r="L97" i="9"/>
  <c r="L76" i="9"/>
  <c r="L75" i="9" s="1"/>
  <c r="L154" i="9"/>
  <c r="L157" i="9"/>
  <c r="Q656" i="59"/>
  <c r="N655" i="59"/>
  <c r="L242" i="79"/>
  <c r="I340" i="54"/>
  <c r="F339" i="54"/>
  <c r="H123" i="54" a="1"/>
  <c r="H123" i="54" s="1"/>
  <c r="C123" i="54" a="1"/>
  <c r="C123" i="54" s="1"/>
  <c r="B123" i="54" s="1"/>
  <c r="A124" i="54"/>
  <c r="H451" i="54" a="1"/>
  <c r="H451" i="54" s="1"/>
  <c r="A452" i="54"/>
  <c r="C451" i="54" a="1"/>
  <c r="C451" i="54" s="1"/>
  <c r="B451" i="54" s="1"/>
  <c r="A230" i="54"/>
  <c r="C229" i="54" a="1"/>
  <c r="C229" i="54" s="1"/>
  <c r="D229" i="54" s="1"/>
  <c r="C15" i="54" a="1"/>
  <c r="C15" i="54" s="1"/>
  <c r="C57" i="54" s="1"/>
  <c r="B57" i="54" s="1"/>
  <c r="A16" i="54"/>
  <c r="C369" i="54" a="1"/>
  <c r="C369" i="54" s="1"/>
  <c r="A370" i="54"/>
  <c r="H369" i="54" a="1"/>
  <c r="H369" i="54" s="1"/>
  <c r="A144" i="54"/>
  <c r="H143" i="54" a="1"/>
  <c r="H143" i="54" s="1"/>
  <c r="C143" i="54" a="1"/>
  <c r="C143" i="54" s="1"/>
  <c r="B143" i="54" s="1"/>
  <c r="A79" i="54"/>
  <c r="E251" i="54"/>
  <c r="B251" i="54" s="1"/>
  <c r="C391" i="54" a="1"/>
  <c r="C391" i="54" s="1"/>
  <c r="A392" i="54"/>
  <c r="H391" i="54" a="1"/>
  <c r="H391" i="54" s="1"/>
  <c r="B14" i="54"/>
  <c r="C35" i="54"/>
  <c r="U113" i="54"/>
  <c r="A253" i="54"/>
  <c r="C252" i="54" a="1"/>
  <c r="C252" i="54" s="1"/>
  <c r="D252" i="54" s="1"/>
  <c r="E230" i="54"/>
  <c r="B312" i="54"/>
  <c r="A314" i="54"/>
  <c r="C313" i="54" a="1"/>
  <c r="C313" i="54" s="1"/>
  <c r="D313" i="54" s="1"/>
  <c r="A208" i="54"/>
  <c r="H207" i="54" a="1"/>
  <c r="H207" i="54" s="1"/>
  <c r="C207" i="54" a="1"/>
  <c r="C207" i="54" s="1"/>
  <c r="B207" i="54" s="1"/>
  <c r="A35" i="54"/>
  <c r="C477" i="54" a="1"/>
  <c r="C477" i="54" s="1"/>
  <c r="A478" i="54"/>
  <c r="H477" i="54" a="1"/>
  <c r="H477" i="54" s="1"/>
  <c r="E339" i="54"/>
  <c r="B496" i="54"/>
  <c r="E316" i="54"/>
  <c r="B337" i="54"/>
  <c r="C185" i="54" a="1"/>
  <c r="C185" i="54" s="1"/>
  <c r="B185" i="54" s="1"/>
  <c r="A186" i="54"/>
  <c r="H185" i="54" a="1"/>
  <c r="H185" i="54" s="1"/>
  <c r="H497" i="54" a="1"/>
  <c r="H497" i="54" s="1"/>
  <c r="A498" i="54"/>
  <c r="C497" i="54" a="1"/>
  <c r="C497" i="54" s="1"/>
  <c r="Q497" i="54" s="1"/>
  <c r="R497" i="54" s="1"/>
  <c r="S497" i="54" s="1"/>
  <c r="T497" i="54" s="1"/>
  <c r="U497" i="54" s="1"/>
  <c r="V497" i="54" s="1"/>
  <c r="A339" i="54"/>
  <c r="C338" i="54" a="1"/>
  <c r="C338" i="54" s="1"/>
  <c r="D338" i="54" s="1"/>
  <c r="E293" i="54"/>
  <c r="B292" i="54"/>
  <c r="C98" i="54" a="1"/>
  <c r="C98" i="54" s="1"/>
  <c r="B98" i="54" s="1"/>
  <c r="A99" i="54"/>
  <c r="B228" i="54"/>
  <c r="A432" i="54"/>
  <c r="H431" i="54" a="1"/>
  <c r="H431" i="54" s="1"/>
  <c r="C431" i="54" a="1"/>
  <c r="C431" i="54" s="1"/>
  <c r="B431" i="54" s="1"/>
  <c r="C76" i="54"/>
  <c r="B76" i="54" s="1"/>
  <c r="B34" i="54"/>
  <c r="AP151" i="52"/>
  <c r="AP146" i="52"/>
  <c r="K526" i="79"/>
  <c r="K510" i="79" s="1"/>
  <c r="AA143" i="52"/>
  <c r="AA28" i="52" s="1"/>
  <c r="AQ28" i="52" s="1"/>
  <c r="AP145" i="52"/>
  <c r="Z51" i="52"/>
  <c r="AP51" i="52" s="1"/>
  <c r="L459" i="79"/>
  <c r="L443" i="79" s="1"/>
  <c r="AA146" i="52"/>
  <c r="K558" i="79"/>
  <c r="L172" i="79"/>
  <c r="G172" i="79"/>
  <c r="H173" i="79"/>
  <c r="I171" i="79"/>
  <c r="I172" i="79"/>
  <c r="I174" i="79"/>
  <c r="G173" i="79"/>
  <c r="L171" i="79"/>
  <c r="G171" i="79"/>
  <c r="G187" i="79"/>
  <c r="J174" i="79"/>
  <c r="L173" i="79"/>
  <c r="M172" i="79"/>
  <c r="G174" i="79"/>
  <c r="M173" i="79"/>
  <c r="H187" i="79"/>
  <c r="J172" i="79"/>
  <c r="K174" i="79"/>
  <c r="H172" i="79"/>
  <c r="M174" i="79"/>
  <c r="K172" i="79"/>
  <c r="M187" i="79"/>
  <c r="H171" i="79"/>
  <c r="M171" i="79"/>
  <c r="L174" i="79"/>
  <c r="K187" i="79"/>
  <c r="J187" i="79"/>
  <c r="L187" i="79"/>
  <c r="J173" i="79"/>
  <c r="K171" i="79"/>
  <c r="I173" i="79"/>
  <c r="H174" i="79"/>
  <c r="K173" i="79"/>
  <c r="I187" i="79"/>
  <c r="J171" i="79"/>
  <c r="Z50" i="52"/>
  <c r="AP50" i="52" s="1"/>
  <c r="H151" i="52"/>
  <c r="K82" i="79"/>
  <c r="J125" i="79"/>
  <c r="J508" i="79"/>
  <c r="J507" i="79" s="1"/>
  <c r="K530" i="79"/>
  <c r="J440" i="79"/>
  <c r="J136" i="79"/>
  <c r="M228" i="79"/>
  <c r="L108" i="79"/>
  <c r="L115" i="79"/>
  <c r="M273" i="79"/>
  <c r="AQ145" i="52"/>
  <c r="AA72" i="52"/>
  <c r="AQ72" i="52" s="1"/>
  <c r="M206" i="79"/>
  <c r="M407" i="79"/>
  <c r="K86" i="79"/>
  <c r="L106" i="79"/>
  <c r="J284" i="79"/>
  <c r="J128" i="79"/>
  <c r="L114" i="79"/>
  <c r="K222" i="79"/>
  <c r="K236" i="79"/>
  <c r="K220" i="79" s="1"/>
  <c r="L423" i="79"/>
  <c r="L437" i="79"/>
  <c r="L421" i="79" s="1"/>
  <c r="J244" i="79"/>
  <c r="J241" i="79" s="1"/>
  <c r="J242" i="79"/>
  <c r="M340" i="79"/>
  <c r="J351" i="79"/>
  <c r="J129" i="79"/>
  <c r="J124" i="79"/>
  <c r="J396" i="79"/>
  <c r="M295" i="79"/>
  <c r="M474" i="79"/>
  <c r="L105" i="79"/>
  <c r="H133" i="79"/>
  <c r="H76" i="79" s="1"/>
  <c r="H239" i="79"/>
  <c r="M429" i="79"/>
  <c r="I151" i="52"/>
  <c r="J45" i="79"/>
  <c r="S149" i="52" s="1"/>
  <c r="M362" i="79"/>
  <c r="I3097" i="79" l="1"/>
  <c r="I3093" i="79" s="1"/>
  <c r="DF32" i="10"/>
  <c r="CZ32" i="10"/>
  <c r="CT32" i="10"/>
  <c r="CH5" i="9" a="1"/>
  <c r="CH5" i="9" s="1"/>
  <c r="AC161" i="9"/>
  <c r="P31" i="8"/>
  <c r="P30" i="8" s="1"/>
  <c r="AM5" i="8"/>
  <c r="AN6" i="8"/>
  <c r="N66" i="9"/>
  <c r="S470" i="54"/>
  <c r="U159" i="54"/>
  <c r="U137" i="54"/>
  <c r="E390" i="54"/>
  <c r="D389" i="54"/>
  <c r="B389" i="54"/>
  <c r="E432" i="54"/>
  <c r="D431" i="54"/>
  <c r="U200" i="54"/>
  <c r="U138" i="54"/>
  <c r="U201" i="54"/>
  <c r="U158" i="54"/>
  <c r="U179" i="54"/>
  <c r="U180" i="54"/>
  <c r="E369" i="54"/>
  <c r="B369" i="54" s="1"/>
  <c r="D368" i="54"/>
  <c r="E453" i="54"/>
  <c r="D452" i="54"/>
  <c r="B368" i="54"/>
  <c r="I259" i="80"/>
  <c r="H3134" i="79" s="1"/>
  <c r="H1683" i="79"/>
  <c r="Q185" i="37"/>
  <c r="I24" i="56"/>
  <c r="I18" i="56" s="1"/>
  <c r="L198" i="54" s="1"/>
  <c r="N77" i="9"/>
  <c r="K497" i="54"/>
  <c r="L497" i="54"/>
  <c r="M497" i="54"/>
  <c r="N497" i="54"/>
  <c r="O497" i="54"/>
  <c r="O140" i="9"/>
  <c r="O139" i="9" s="1"/>
  <c r="O197" i="9"/>
  <c r="O201" i="9"/>
  <c r="O79" i="9"/>
  <c r="AD65" i="9"/>
  <c r="AD64" i="9" s="1"/>
  <c r="AU76" i="9"/>
  <c r="AU75" i="9" s="1"/>
  <c r="BL140" i="9"/>
  <c r="BO195" i="9"/>
  <c r="AV195" i="9"/>
  <c r="AD76" i="9"/>
  <c r="AD75" i="9" s="1"/>
  <c r="AE197" i="9"/>
  <c r="AE201" i="9"/>
  <c r="BO197" i="9"/>
  <c r="BO201" i="9"/>
  <c r="AV201" i="9"/>
  <c r="AV197" i="9"/>
  <c r="AE195" i="9"/>
  <c r="AF10" i="9"/>
  <c r="AU65" i="9"/>
  <c r="AU64" i="9" s="1"/>
  <c r="O53" i="56"/>
  <c r="O28" i="56"/>
  <c r="O20" i="56" s="1"/>
  <c r="L99" i="9"/>
  <c r="L95" i="9" s="1"/>
  <c r="K20" i="8" s="1"/>
  <c r="H3473" i="79"/>
  <c r="H3470" i="79" s="1"/>
  <c r="L1483" i="79"/>
  <c r="L1481" i="79" s="1"/>
  <c r="L1459" i="79" s="1"/>
  <c r="BQ188" i="52" s="1"/>
  <c r="BQ101" i="52" s="1"/>
  <c r="M1438" i="79"/>
  <c r="M1436" i="79" s="1"/>
  <c r="L1346" i="79"/>
  <c r="M1393" i="79"/>
  <c r="M1391" i="79" s="1"/>
  <c r="M1348" i="79"/>
  <c r="M1346" i="79" s="1"/>
  <c r="K947" i="79"/>
  <c r="K933" i="79" s="1"/>
  <c r="BP164" i="52" s="1"/>
  <c r="BP97" i="52" s="1"/>
  <c r="M1048" i="79"/>
  <c r="M1046" i="79" s="1"/>
  <c r="M1032" i="79" s="1"/>
  <c r="BR172" i="52" s="1"/>
  <c r="M1303" i="79"/>
  <c r="L949" i="79"/>
  <c r="L947" i="79" s="1"/>
  <c r="L933" i="79" s="1"/>
  <c r="BQ164" i="52" s="1"/>
  <c r="L1196" i="79"/>
  <c r="L1194" i="79" s="1"/>
  <c r="L1180" i="79" s="1"/>
  <c r="BQ176" i="52" s="1"/>
  <c r="L1157" i="79"/>
  <c r="L1143" i="79" s="1"/>
  <c r="BQ175" i="52" s="1"/>
  <c r="BQ77" i="52" s="1"/>
  <c r="M912" i="79"/>
  <c r="M910" i="79" s="1"/>
  <c r="M896" i="79" s="1"/>
  <c r="BR163" i="52" s="1"/>
  <c r="M1159" i="79"/>
  <c r="M1157" i="79" s="1"/>
  <c r="M1143" i="79" s="1"/>
  <c r="BR175" i="52" s="1"/>
  <c r="L1120" i="79"/>
  <c r="L1106" i="79" s="1"/>
  <c r="BQ174" i="52" s="1"/>
  <c r="BQ55" i="52" s="1"/>
  <c r="M875" i="79"/>
  <c r="M873" i="79" s="1"/>
  <c r="M859" i="79" s="1"/>
  <c r="BR162" i="52" s="1"/>
  <c r="M1122" i="79"/>
  <c r="M1120" i="79" s="1"/>
  <c r="M1106" i="79" s="1"/>
  <c r="BR174" i="52" s="1"/>
  <c r="M838" i="79"/>
  <c r="M836" i="79" s="1"/>
  <c r="M822" i="79" s="1"/>
  <c r="BR161" i="52" s="1"/>
  <c r="M1085" i="79"/>
  <c r="L1391" i="79"/>
  <c r="M801" i="79"/>
  <c r="H3442" i="79"/>
  <c r="BP194" i="52"/>
  <c r="BP102" i="52" s="1"/>
  <c r="BP181" i="52"/>
  <c r="BP78" i="52" s="1"/>
  <c r="BN185" i="52"/>
  <c r="BN35" i="52" s="1"/>
  <c r="BP184" i="52"/>
  <c r="BP13" i="52" s="1"/>
  <c r="BM190" i="52"/>
  <c r="BM14" i="52" s="1"/>
  <c r="BL172" i="52"/>
  <c r="BL11" i="52" s="1"/>
  <c r="BP188" i="52"/>
  <c r="BP101" i="52" s="1"/>
  <c r="BM191" i="52"/>
  <c r="BM36" i="52" s="1"/>
  <c r="BN179" i="52"/>
  <c r="BN34" i="52" s="1"/>
  <c r="BM185" i="52"/>
  <c r="BM35" i="52" s="1"/>
  <c r="BP187" i="52"/>
  <c r="BP79" i="52" s="1"/>
  <c r="BM187" i="52"/>
  <c r="BM79" i="52" s="1"/>
  <c r="BL191" i="52"/>
  <c r="BL36" i="52" s="1"/>
  <c r="BL170" i="52"/>
  <c r="BL98" i="52" s="1"/>
  <c r="BM175" i="52"/>
  <c r="BM77" i="52" s="1"/>
  <c r="BQ190" i="52"/>
  <c r="BQ14" i="52" s="1"/>
  <c r="BN194" i="52"/>
  <c r="BN102" i="52" s="1"/>
  <c r="BP191" i="52"/>
  <c r="BP36" i="52" s="1"/>
  <c r="BP167" i="52"/>
  <c r="BP32" i="52" s="1"/>
  <c r="BM170" i="52"/>
  <c r="BM98" i="52" s="1"/>
  <c r="BO172" i="52"/>
  <c r="BO11" i="52" s="1"/>
  <c r="BO168" i="52"/>
  <c r="BO54" i="52" s="1"/>
  <c r="BL160" i="52"/>
  <c r="BL9" i="52" s="1"/>
  <c r="BO164" i="52"/>
  <c r="BO97" i="52" s="1"/>
  <c r="BQ193" i="52"/>
  <c r="BQ80" i="52" s="1"/>
  <c r="BO193" i="52"/>
  <c r="BO80" i="52" s="1"/>
  <c r="BQ181" i="52"/>
  <c r="BQ78" i="52" s="1"/>
  <c r="BM180" i="52"/>
  <c r="BM56" i="52" s="1"/>
  <c r="BR167" i="52"/>
  <c r="BR32" i="52" s="1"/>
  <c r="BM168" i="52"/>
  <c r="BM54" i="52" s="1"/>
  <c r="BO187" i="52"/>
  <c r="BO79" i="52" s="1"/>
  <c r="BO181" i="52"/>
  <c r="BO78" i="52" s="1"/>
  <c r="BP193" i="52"/>
  <c r="BP80" i="52" s="1"/>
  <c r="BQ163" i="52"/>
  <c r="BQ75" i="52" s="1"/>
  <c r="BL185" i="52"/>
  <c r="BL35" i="52" s="1"/>
  <c r="BL181" i="52"/>
  <c r="BL78" i="52" s="1"/>
  <c r="BM169" i="52"/>
  <c r="BM76" i="52" s="1"/>
  <c r="BO176" i="52"/>
  <c r="BO99" i="52" s="1"/>
  <c r="BR182" i="52"/>
  <c r="BR100" i="52" s="1"/>
  <c r="BO190" i="52"/>
  <c r="BO14" i="52" s="1"/>
  <c r="BP180" i="52"/>
  <c r="BP56" i="52" s="1"/>
  <c r="BN188" i="52"/>
  <c r="BN101" i="52" s="1"/>
  <c r="BN176" i="52"/>
  <c r="BN99" i="52" s="1"/>
  <c r="BP172" i="52"/>
  <c r="BP11" i="52" s="1"/>
  <c r="BO185" i="52"/>
  <c r="BO35" i="52" s="1"/>
  <c r="BM161" i="52"/>
  <c r="BM31" i="52" s="1"/>
  <c r="BN172" i="52"/>
  <c r="BN11" i="52" s="1"/>
  <c r="BM167" i="52"/>
  <c r="BM32" i="52" s="1"/>
  <c r="BR179" i="52"/>
  <c r="BR34" i="52" s="1"/>
  <c r="BP173" i="52"/>
  <c r="BP33" i="52" s="1"/>
  <c r="BR168" i="52"/>
  <c r="BR54" i="52" s="1"/>
  <c r="BN186" i="52"/>
  <c r="BN57" i="52" s="1"/>
  <c r="BP182" i="52"/>
  <c r="BP100" i="52" s="1"/>
  <c r="BM160" i="52"/>
  <c r="BM9" i="52" s="1"/>
  <c r="BR181" i="52"/>
  <c r="BR78" i="52" s="1"/>
  <c r="BP161" i="52"/>
  <c r="BP31" i="52" s="1"/>
  <c r="BL164" i="52"/>
  <c r="BL97" i="52" s="1"/>
  <c r="BP169" i="52"/>
  <c r="BP76" i="52" s="1"/>
  <c r="BL194" i="52"/>
  <c r="BL102" i="52" s="1"/>
  <c r="BP185" i="52"/>
  <c r="BP35" i="52" s="1"/>
  <c r="BN168" i="52"/>
  <c r="BN54" i="52" s="1"/>
  <c r="BL161" i="52"/>
  <c r="BL31" i="52" s="1"/>
  <c r="BP192" i="52"/>
  <c r="BP58" i="52" s="1"/>
  <c r="BN173" i="52"/>
  <c r="BN33" i="52" s="1"/>
  <c r="BQ173" i="52"/>
  <c r="BQ33" i="52" s="1"/>
  <c r="BQ170" i="52"/>
  <c r="BQ98" i="52" s="1"/>
  <c r="BP190" i="52"/>
  <c r="BP14" i="52" s="1"/>
  <c r="BO174" i="52"/>
  <c r="BO55" i="52" s="1"/>
  <c r="BM188" i="52"/>
  <c r="BM101" i="52" s="1"/>
  <c r="BQ194" i="52"/>
  <c r="BQ102" i="52" s="1"/>
  <c r="BQ180" i="52"/>
  <c r="BQ56" i="52" s="1"/>
  <c r="BR194" i="52"/>
  <c r="BR102" i="52" s="1"/>
  <c r="BR191" i="52"/>
  <c r="BR36" i="52" s="1"/>
  <c r="BO194" i="52"/>
  <c r="BO102" i="52" s="1"/>
  <c r="BR180" i="52"/>
  <c r="BR56" i="52" s="1"/>
  <c r="BL175" i="52"/>
  <c r="BL77" i="52" s="1"/>
  <c r="BQ191" i="52"/>
  <c r="BQ36" i="52" s="1"/>
  <c r="BQ162" i="52"/>
  <c r="BQ53" i="52" s="1"/>
  <c r="BR178" i="52"/>
  <c r="BR12" i="52" s="1"/>
  <c r="BO192" i="52"/>
  <c r="BO58" i="52" s="1"/>
  <c r="BP176" i="52"/>
  <c r="BP99" i="52" s="1"/>
  <c r="BL180" i="52"/>
  <c r="BL56" i="52" s="1"/>
  <c r="BO173" i="52"/>
  <c r="BO33" i="52" s="1"/>
  <c r="BN182" i="52"/>
  <c r="BN100" i="52" s="1"/>
  <c r="BN178" i="52"/>
  <c r="BN12" i="52" s="1"/>
  <c r="BL192" i="52"/>
  <c r="BL58" i="52" s="1"/>
  <c r="BL166" i="52"/>
  <c r="BL10" i="52" s="1"/>
  <c r="BN191" i="52"/>
  <c r="BN36" i="52" s="1"/>
  <c r="BN162" i="52"/>
  <c r="BN53" i="52" s="1"/>
  <c r="BN170" i="52"/>
  <c r="BN98" i="52" s="1"/>
  <c r="BN180" i="52"/>
  <c r="BN56" i="52" s="1"/>
  <c r="BO167" i="52"/>
  <c r="BO32" i="52" s="1"/>
  <c r="BL176" i="52"/>
  <c r="BL99" i="52" s="1"/>
  <c r="BP168" i="52"/>
  <c r="BP54" i="52" s="1"/>
  <c r="BM174" i="52"/>
  <c r="BM55" i="52" s="1"/>
  <c r="BR169" i="52"/>
  <c r="BR76" i="52" s="1"/>
  <c r="BO170" i="52"/>
  <c r="BO98" i="52" s="1"/>
  <c r="BQ168" i="52"/>
  <c r="BQ54" i="52" s="1"/>
  <c r="BN175" i="52"/>
  <c r="BN77" i="52" s="1"/>
  <c r="BO175" i="52"/>
  <c r="BO77" i="52" s="1"/>
  <c r="BR193" i="52"/>
  <c r="BR80" i="52" s="1"/>
  <c r="BQ166" i="52"/>
  <c r="BQ10" i="52" s="1"/>
  <c r="BN163" i="52"/>
  <c r="BN75" i="52" s="1"/>
  <c r="BO191" i="52"/>
  <c r="BO36" i="52" s="1"/>
  <c r="BN164" i="52"/>
  <c r="BN97" i="52" s="1"/>
  <c r="BL190" i="52"/>
  <c r="BL14" i="52" s="1"/>
  <c r="BL169" i="52"/>
  <c r="BL76" i="52" s="1"/>
  <c r="BN166" i="52"/>
  <c r="BN10" i="52" s="1"/>
  <c r="BL179" i="52"/>
  <c r="BL34" i="52" s="1"/>
  <c r="BR192" i="52"/>
  <c r="BR58" i="52" s="1"/>
  <c r="BN181" i="52"/>
  <c r="BN78" i="52" s="1"/>
  <c r="BN193" i="52"/>
  <c r="BN80" i="52" s="1"/>
  <c r="BO188" i="52"/>
  <c r="BO101" i="52" s="1"/>
  <c r="BP178" i="52"/>
  <c r="BP12" i="52" s="1"/>
  <c r="BM182" i="52"/>
  <c r="BM100" i="52" s="1"/>
  <c r="BL173" i="52"/>
  <c r="BL33" i="52" s="1"/>
  <c r="BL188" i="52"/>
  <c r="BL101" i="52" s="1"/>
  <c r="BL182" i="52"/>
  <c r="BL100" i="52" s="1"/>
  <c r="BO162" i="52"/>
  <c r="BO53" i="52" s="1"/>
  <c r="BQ161" i="52"/>
  <c r="BQ31" i="52" s="1"/>
  <c r="BO169" i="52"/>
  <c r="BO76" i="52" s="1"/>
  <c r="BP175" i="52"/>
  <c r="BP77" i="52" s="1"/>
  <c r="BL184" i="52"/>
  <c r="BL13" i="52" s="1"/>
  <c r="BM181" i="52"/>
  <c r="BM78" i="52" s="1"/>
  <c r="BO179" i="52"/>
  <c r="BO34" i="52" s="1"/>
  <c r="BL186" i="52"/>
  <c r="BL57" i="52" s="1"/>
  <c r="BO166" i="52"/>
  <c r="BO10" i="52" s="1"/>
  <c r="BO160" i="52"/>
  <c r="BO9" i="52" s="1"/>
  <c r="BO178" i="52"/>
  <c r="BO12" i="52" s="1"/>
  <c r="BQ192" i="52"/>
  <c r="BQ58" i="52" s="1"/>
  <c r="BM178" i="52"/>
  <c r="BM12" i="52" s="1"/>
  <c r="BO184" i="52"/>
  <c r="BO13" i="52" s="1"/>
  <c r="BM176" i="52"/>
  <c r="BM99" i="52" s="1"/>
  <c r="BM162" i="52"/>
  <c r="BM53" i="52" s="1"/>
  <c r="BL162" i="52"/>
  <c r="BL53" i="52" s="1"/>
  <c r="BM192" i="52"/>
  <c r="BM58" i="52" s="1"/>
  <c r="BP162" i="52"/>
  <c r="BP53" i="52" s="1"/>
  <c r="BL163" i="52"/>
  <c r="BL75" i="52" s="1"/>
  <c r="BL193" i="52"/>
  <c r="BL80" i="52" s="1"/>
  <c r="BN167" i="52"/>
  <c r="BN32" i="52" s="1"/>
  <c r="BN174" i="52"/>
  <c r="BN55" i="52" s="1"/>
  <c r="BP166" i="52"/>
  <c r="BP10" i="52" s="1"/>
  <c r="BO163" i="52"/>
  <c r="BO75" i="52" s="1"/>
  <c r="BL178" i="52"/>
  <c r="BL12" i="52" s="1"/>
  <c r="BN190" i="52"/>
  <c r="BN14" i="52" s="1"/>
  <c r="BQ167" i="52"/>
  <c r="BQ32" i="52" s="1"/>
  <c r="BL167" i="52"/>
  <c r="BL32" i="52" s="1"/>
  <c r="BM163" i="52"/>
  <c r="BM75" i="52" s="1"/>
  <c r="BN169" i="52"/>
  <c r="BN76" i="52" s="1"/>
  <c r="BN187" i="52"/>
  <c r="BN79" i="52" s="1"/>
  <c r="BP163" i="52"/>
  <c r="BP75" i="52" s="1"/>
  <c r="BM194" i="52"/>
  <c r="BM102" i="52" s="1"/>
  <c r="BM172" i="52"/>
  <c r="BM11" i="52" s="1"/>
  <c r="BO161" i="52"/>
  <c r="BO31" i="52" s="1"/>
  <c r="BQ182" i="52"/>
  <c r="BQ100" i="52" s="1"/>
  <c r="BR170" i="52"/>
  <c r="BR98" i="52" s="1"/>
  <c r="BR190" i="52"/>
  <c r="BR14" i="52" s="1"/>
  <c r="BL174" i="52"/>
  <c r="BL55" i="52" s="1"/>
  <c r="BP174" i="52"/>
  <c r="BP55" i="52" s="1"/>
  <c r="BN184" i="52"/>
  <c r="BN13" i="52" s="1"/>
  <c r="BQ178" i="52"/>
  <c r="BQ12" i="52" s="1"/>
  <c r="BM179" i="52"/>
  <c r="BM34" i="52" s="1"/>
  <c r="BO180" i="52"/>
  <c r="BO56" i="52" s="1"/>
  <c r="BM193" i="52"/>
  <c r="BM80" i="52" s="1"/>
  <c r="BP160" i="52"/>
  <c r="BP9" i="52" s="1"/>
  <c r="BQ169" i="52"/>
  <c r="BQ76" i="52" s="1"/>
  <c r="BP179" i="52"/>
  <c r="BP34" i="52" s="1"/>
  <c r="BL168" i="52"/>
  <c r="BL54" i="52" s="1"/>
  <c r="BO182" i="52"/>
  <c r="BO100" i="52" s="1"/>
  <c r="BM164" i="52"/>
  <c r="BM97" i="52" s="1"/>
  <c r="BM184" i="52"/>
  <c r="BM13" i="52" s="1"/>
  <c r="BM166" i="52"/>
  <c r="BM10" i="52" s="1"/>
  <c r="BN160" i="52"/>
  <c r="BN9" i="52" s="1"/>
  <c r="BN161" i="52"/>
  <c r="BN31" i="52" s="1"/>
  <c r="BM173" i="52"/>
  <c r="BM33" i="52" s="1"/>
  <c r="BL187" i="52"/>
  <c r="BL79" i="52" s="1"/>
  <c r="BN192" i="52"/>
  <c r="BN58" i="52" s="1"/>
  <c r="BM186" i="52"/>
  <c r="BM57" i="52" s="1"/>
  <c r="BQ179" i="52"/>
  <c r="BQ34" i="52" s="1"/>
  <c r="BR166" i="52"/>
  <c r="BR10" i="52" s="1"/>
  <c r="BP170" i="52"/>
  <c r="BP98" i="52" s="1"/>
  <c r="BQ187" i="52"/>
  <c r="BQ79" i="52" s="1"/>
  <c r="BP186" i="52"/>
  <c r="BP57" i="52" s="1"/>
  <c r="BO186" i="52"/>
  <c r="BO57" i="52" s="1"/>
  <c r="AL126" i="52"/>
  <c r="Q489" i="54"/>
  <c r="R489" i="54" s="1"/>
  <c r="S489" i="54" s="1"/>
  <c r="T489" i="54" s="1"/>
  <c r="U489" i="54" s="1"/>
  <c r="V489" i="54" s="1"/>
  <c r="AL130" i="52"/>
  <c r="Q491" i="54"/>
  <c r="R491" i="54" s="1"/>
  <c r="S491" i="54" s="1"/>
  <c r="T491" i="54" s="1"/>
  <c r="U491" i="54" s="1"/>
  <c r="V491" i="54" s="1"/>
  <c r="AK123" i="52"/>
  <c r="P496" i="54"/>
  <c r="AL120" i="52"/>
  <c r="AL119" i="52"/>
  <c r="AL134" i="52"/>
  <c r="AK124" i="52"/>
  <c r="P497" i="54"/>
  <c r="AL136" i="52"/>
  <c r="AL135" i="52"/>
  <c r="AK127" i="52"/>
  <c r="P490" i="54"/>
  <c r="AK131" i="52"/>
  <c r="P495" i="54"/>
  <c r="BO127" i="9"/>
  <c r="BO73" i="9"/>
  <c r="BO72" i="9"/>
  <c r="BO68" i="9"/>
  <c r="BO66" i="9" s="1"/>
  <c r="BO79" i="9"/>
  <c r="BO77" i="9" s="1"/>
  <c r="AV140" i="9"/>
  <c r="AV139" i="9" s="1"/>
  <c r="AV73" i="9"/>
  <c r="AV72" i="9"/>
  <c r="AV79" i="9"/>
  <c r="AV77" i="9" s="1"/>
  <c r="AV68" i="9"/>
  <c r="AV66" i="9" s="1"/>
  <c r="AE140" i="9"/>
  <c r="AE139" i="9" s="1"/>
  <c r="AE73" i="9"/>
  <c r="AE72" i="9"/>
  <c r="AE68" i="9"/>
  <c r="AE66" i="9" s="1"/>
  <c r="AE79" i="9"/>
  <c r="AE77" i="9" s="1"/>
  <c r="N249" i="9"/>
  <c r="AD249" i="9"/>
  <c r="AD244" i="9" s="1"/>
  <c r="AD237" i="9" s="1"/>
  <c r="AU249" i="9"/>
  <c r="AU244" i="9" s="1"/>
  <c r="AU237" i="9" s="1"/>
  <c r="AD162" i="9"/>
  <c r="AE119" i="9"/>
  <c r="AE118" i="9" s="1"/>
  <c r="BP10" i="9"/>
  <c r="K477" i="54"/>
  <c r="L477" i="54"/>
  <c r="M477" i="54"/>
  <c r="N477" i="54"/>
  <c r="O477" i="54"/>
  <c r="AE246" i="9"/>
  <c r="AE92" i="9"/>
  <c r="AE52" i="9"/>
  <c r="AE129" i="9"/>
  <c r="AE83" i="9"/>
  <c r="AE128" i="9"/>
  <c r="AF9" i="9"/>
  <c r="AE93" i="9"/>
  <c r="AE245" i="9"/>
  <c r="AE84" i="9"/>
  <c r="AE248" i="9"/>
  <c r="AE49" i="9"/>
  <c r="R15" i="8" s="1"/>
  <c r="AE159" i="9"/>
  <c r="R34" i="8" s="1"/>
  <c r="AE167" i="9"/>
  <c r="AE165" i="9" s="1"/>
  <c r="R32" i="8" s="1"/>
  <c r="AE59" i="9"/>
  <c r="AE57" i="9" s="1"/>
  <c r="AE56" i="9" s="1"/>
  <c r="R17" i="8" s="1"/>
  <c r="AE164" i="9"/>
  <c r="AE127" i="9"/>
  <c r="AE163" i="9"/>
  <c r="AE247" i="9"/>
  <c r="AE130" i="9"/>
  <c r="AE126" i="9"/>
  <c r="AV167" i="9"/>
  <c r="AV165" i="9" s="1"/>
  <c r="W32" i="8" s="1"/>
  <c r="AV163" i="9"/>
  <c r="AV83" i="9"/>
  <c r="AV126" i="9"/>
  <c r="AV159" i="9"/>
  <c r="W34" i="8" s="1"/>
  <c r="AV128" i="9"/>
  <c r="AV84" i="9"/>
  <c r="AV129" i="9"/>
  <c r="AV127" i="9"/>
  <c r="AV93" i="9"/>
  <c r="AV246" i="9"/>
  <c r="P474" i="54"/>
  <c r="AC131" i="52"/>
  <c r="Z116" i="52"/>
  <c r="AC136" i="52"/>
  <c r="AC129" i="52"/>
  <c r="P477" i="54"/>
  <c r="AC134" i="52"/>
  <c r="Q468" i="54"/>
  <c r="R468" i="54" s="1"/>
  <c r="S468" i="54" s="1"/>
  <c r="T468" i="54" s="1"/>
  <c r="U468" i="54" s="1"/>
  <c r="V468" i="54" s="1"/>
  <c r="AD126" i="52"/>
  <c r="AB135" i="52"/>
  <c r="AS254" i="52"/>
  <c r="AA94" i="52"/>
  <c r="AQ94" i="52" s="1"/>
  <c r="AD104" i="52"/>
  <c r="AT104" i="52" s="1"/>
  <c r="AT236" i="52"/>
  <c r="B100" i="52"/>
  <c r="B122" i="52"/>
  <c r="AA95" i="52"/>
  <c r="AQ95" i="52" s="1"/>
  <c r="AT254" i="52"/>
  <c r="AS236" i="52"/>
  <c r="I73" i="52"/>
  <c r="H29" i="52"/>
  <c r="H73" i="52"/>
  <c r="AS43" i="52"/>
  <c r="AS65" i="52"/>
  <c r="AS39" i="52"/>
  <c r="AT42" i="52"/>
  <c r="AS17" i="52"/>
  <c r="AS127" i="52" s="1"/>
  <c r="AT68" i="52"/>
  <c r="AT64" i="52"/>
  <c r="AT108" i="52"/>
  <c r="AT38" i="52"/>
  <c r="AS61" i="52"/>
  <c r="AS105" i="52"/>
  <c r="B181" i="52"/>
  <c r="B176" i="52"/>
  <c r="O42" i="56"/>
  <c r="O40" i="56"/>
  <c r="O43" i="56"/>
  <c r="O41" i="56"/>
  <c r="O39" i="56"/>
  <c r="T117" i="54"/>
  <c r="BO159" i="9"/>
  <c r="AV49" i="9"/>
  <c r="W15" i="8" s="1"/>
  <c r="AW9" i="9"/>
  <c r="AW195" i="9" s="1"/>
  <c r="AV59" i="9"/>
  <c r="AV52" i="9"/>
  <c r="AV245" i="9"/>
  <c r="AV248" i="9"/>
  <c r="AV119" i="9"/>
  <c r="AV118" i="9" s="1"/>
  <c r="AV92" i="9"/>
  <c r="AV130" i="9"/>
  <c r="AV164" i="9"/>
  <c r="AV247" i="9"/>
  <c r="R110" i="37"/>
  <c r="Q50" i="37"/>
  <c r="Q116" i="37"/>
  <c r="Q130" i="37" s="1"/>
  <c r="R165" i="37"/>
  <c r="R192" i="37" s="1"/>
  <c r="R107" i="37"/>
  <c r="Q47" i="37"/>
  <c r="Q69" i="37" s="1"/>
  <c r="Q113" i="37"/>
  <c r="Q127" i="37" s="1"/>
  <c r="R108" i="37"/>
  <c r="Q114" i="37"/>
  <c r="Q128" i="37" s="1"/>
  <c r="Q48" i="37"/>
  <c r="R109" i="37"/>
  <c r="Q49" i="37"/>
  <c r="Q115" i="37"/>
  <c r="Q129" i="37" s="1"/>
  <c r="R111" i="37"/>
  <c r="Q51" i="37"/>
  <c r="Q117" i="37"/>
  <c r="Q131" i="37" s="1"/>
  <c r="G647" i="79"/>
  <c r="G701" i="79"/>
  <c r="G697" i="79" s="1"/>
  <c r="H701" i="79"/>
  <c r="H922" i="79" s="1"/>
  <c r="H918" i="79" s="1"/>
  <c r="G699" i="79"/>
  <c r="I743" i="79"/>
  <c r="G922" i="79"/>
  <c r="G1169" i="79" s="1"/>
  <c r="G1165" i="79" s="1"/>
  <c r="H743" i="79"/>
  <c r="J743" i="79"/>
  <c r="G743" i="79"/>
  <c r="AB21" i="10"/>
  <c r="BX20" i="10"/>
  <c r="BY20" i="10" s="1"/>
  <c r="Q116" i="54"/>
  <c r="M22" i="56"/>
  <c r="L1681" i="79" s="1"/>
  <c r="M15" i="56"/>
  <c r="P156" i="54" s="1"/>
  <c r="I3501" i="79"/>
  <c r="I3134" i="79"/>
  <c r="G3473" i="79"/>
  <c r="G3102" i="79"/>
  <c r="J18" i="56"/>
  <c r="M198" i="54" s="1"/>
  <c r="I1684" i="79"/>
  <c r="J260" i="80"/>
  <c r="H24" i="56"/>
  <c r="H17" i="56"/>
  <c r="K177" i="54" s="1"/>
  <c r="G1683" i="79"/>
  <c r="H259" i="80"/>
  <c r="J3102" i="79"/>
  <c r="J3473" i="79"/>
  <c r="N21" i="56"/>
  <c r="N257" i="80" s="1"/>
  <c r="N14" i="56"/>
  <c r="Q114" i="54" s="1"/>
  <c r="L23" i="56"/>
  <c r="L16" i="56"/>
  <c r="O135" i="54" s="1"/>
  <c r="K24" i="56"/>
  <c r="K17" i="56"/>
  <c r="N177" i="54" s="1"/>
  <c r="K259" i="80"/>
  <c r="J1683" i="79"/>
  <c r="R29" i="56"/>
  <c r="K743" i="79"/>
  <c r="G736" i="79"/>
  <c r="J736" i="79"/>
  <c r="I736" i="79"/>
  <c r="H736" i="79"/>
  <c r="AC85" i="59"/>
  <c r="S157" i="37" s="1"/>
  <c r="S164" i="37" s="1"/>
  <c r="S191" i="37" s="1"/>
  <c r="AB232" i="59"/>
  <c r="R162" i="37"/>
  <c r="R164" i="37"/>
  <c r="R191" i="37" s="1"/>
  <c r="T251" i="54" s="1"/>
  <c r="R163" i="37"/>
  <c r="R190" i="37" s="1"/>
  <c r="K736" i="79"/>
  <c r="K973" i="79" s="1"/>
  <c r="H728" i="79"/>
  <c r="H959" i="79" s="1"/>
  <c r="G728" i="79"/>
  <c r="G959" i="79" s="1"/>
  <c r="I701" i="79"/>
  <c r="G674" i="79"/>
  <c r="H674" i="79"/>
  <c r="H670" i="79" s="1"/>
  <c r="H647" i="79"/>
  <c r="AD256" i="52"/>
  <c r="AT256" i="52" s="1"/>
  <c r="AD258" i="52"/>
  <c r="AD69" i="52" s="1"/>
  <c r="AT69" i="52" s="1"/>
  <c r="AD260" i="52"/>
  <c r="AD257" i="52"/>
  <c r="AD47" i="52" s="1"/>
  <c r="AT47" i="52" s="1"/>
  <c r="AD259" i="52"/>
  <c r="AT259" i="52" s="1"/>
  <c r="AU162" i="9"/>
  <c r="BO140" i="9"/>
  <c r="BO139" i="9" s="1"/>
  <c r="L161" i="9"/>
  <c r="Q184" i="37"/>
  <c r="L244" i="9"/>
  <c r="L237" i="9" s="1"/>
  <c r="AD98" i="9"/>
  <c r="BO52" i="9"/>
  <c r="M159" i="9"/>
  <c r="M59" i="9"/>
  <c r="M57" i="9" s="1"/>
  <c r="M56" i="9" s="1"/>
  <c r="L17" i="8" s="1"/>
  <c r="M52" i="9"/>
  <c r="M98" i="9" s="1"/>
  <c r="M167" i="9"/>
  <c r="M165" i="9" s="1"/>
  <c r="M247" i="9"/>
  <c r="M128" i="9"/>
  <c r="M245" i="9"/>
  <c r="M164" i="9"/>
  <c r="M162" i="9" s="1"/>
  <c r="N10" i="9"/>
  <c r="N195" i="9" s="1"/>
  <c r="M246" i="9"/>
  <c r="M49" i="9"/>
  <c r="L15" i="8" s="1"/>
  <c r="M34" i="91" s="1"/>
  <c r="BO128" i="9"/>
  <c r="BO83" i="9"/>
  <c r="BO245" i="9"/>
  <c r="BO93" i="9"/>
  <c r="BO92" i="9"/>
  <c r="BO84" i="9"/>
  <c r="BP9" i="9"/>
  <c r="BO59" i="9"/>
  <c r="BO129" i="9"/>
  <c r="BO163" i="9"/>
  <c r="BO126" i="9"/>
  <c r="Q186" i="37"/>
  <c r="BO119" i="9"/>
  <c r="BO118" i="9" s="1"/>
  <c r="BO248" i="9"/>
  <c r="BO167" i="9"/>
  <c r="BO165" i="9" s="1"/>
  <c r="O119" i="9"/>
  <c r="O118" i="9" s="1"/>
  <c r="O248" i="9"/>
  <c r="O68" i="9"/>
  <c r="BO49" i="9"/>
  <c r="AD15" i="8" s="1"/>
  <c r="BO130" i="9"/>
  <c r="BO164" i="9"/>
  <c r="BO246" i="9"/>
  <c r="BO247" i="9"/>
  <c r="B477" i="54"/>
  <c r="AT20" i="52"/>
  <c r="AT130" i="52" s="1"/>
  <c r="AS21" i="52"/>
  <c r="AS131" i="52" s="1"/>
  <c r="AS26" i="52"/>
  <c r="AS136" i="52" s="1"/>
  <c r="AS24" i="52"/>
  <c r="AS134" i="52" s="1"/>
  <c r="AR25" i="52"/>
  <c r="AR135" i="52" s="1"/>
  <c r="AP6" i="52"/>
  <c r="AP116" i="52" s="1"/>
  <c r="AS19" i="52"/>
  <c r="AS129" i="52" s="1"/>
  <c r="AC95" i="9"/>
  <c r="P20" i="8" s="1"/>
  <c r="AC155" i="9"/>
  <c r="P38" i="8" s="1"/>
  <c r="BP19" i="9"/>
  <c r="BQ10" i="9"/>
  <c r="AG13" i="9"/>
  <c r="AF166" i="9"/>
  <c r="AF16" i="9"/>
  <c r="AE24" i="9"/>
  <c r="AX12" i="9"/>
  <c r="AX10" i="9"/>
  <c r="AF20" i="9"/>
  <c r="BP16" i="9"/>
  <c r="BO24" i="9"/>
  <c r="AW20" i="9"/>
  <c r="CH17" i="9"/>
  <c r="CH67" i="9" s="1"/>
  <c r="CH78" i="9" s="1"/>
  <c r="CH22" i="9"/>
  <c r="CH25" i="9"/>
  <c r="CI25" i="9" s="1"/>
  <c r="CJ25" i="9" s="1"/>
  <c r="CK25" i="9" s="1"/>
  <c r="CL25" i="9" s="1"/>
  <c r="CM25" i="9" s="1"/>
  <c r="CN25" i="9" s="1"/>
  <c r="CO25" i="9" s="1"/>
  <c r="CP25" i="9" s="1"/>
  <c r="CQ25" i="9" s="1"/>
  <c r="CR25" i="9" s="1"/>
  <c r="CS25" i="9" s="1"/>
  <c r="CT25" i="9" s="1"/>
  <c r="CH14" i="9"/>
  <c r="CH18" i="9"/>
  <c r="CI18" i="9" s="1"/>
  <c r="CI58" i="9" s="1"/>
  <c r="CH15" i="9"/>
  <c r="CH200" i="9" s="1"/>
  <c r="CH11" i="9"/>
  <c r="CI8" i="9"/>
  <c r="CH16" i="9"/>
  <c r="CH23" i="9"/>
  <c r="CH19" i="9"/>
  <c r="CH20" i="9"/>
  <c r="CH13" i="9"/>
  <c r="CI13" i="9" s="1"/>
  <c r="CH9" i="9"/>
  <c r="CH12" i="9" s="1"/>
  <c r="CI12" i="9" s="1"/>
  <c r="CH10" i="9"/>
  <c r="AD99" i="9"/>
  <c r="AD154" i="9"/>
  <c r="AD97" i="9"/>
  <c r="AD157" i="9"/>
  <c r="BO23" i="9"/>
  <c r="BP15" i="9"/>
  <c r="AF17" i="9"/>
  <c r="AF67" i="9" s="1"/>
  <c r="AF78" i="9" s="1"/>
  <c r="AE111" i="9"/>
  <c r="AE115" i="9" s="1"/>
  <c r="BQ18" i="9"/>
  <c r="BP150" i="9"/>
  <c r="BP166" i="9"/>
  <c r="BQ13" i="9"/>
  <c r="BQ12" i="9"/>
  <c r="AG12" i="9"/>
  <c r="AE63" i="9"/>
  <c r="AE61" i="9" s="1"/>
  <c r="AF14" i="9"/>
  <c r="AE146" i="9"/>
  <c r="AV23" i="9"/>
  <c r="AW15" i="9"/>
  <c r="AW166" i="9"/>
  <c r="AX13" i="9"/>
  <c r="BP20" i="9"/>
  <c r="AG18" i="9"/>
  <c r="AF58" i="9"/>
  <c r="AF21" i="9"/>
  <c r="AF71" i="9" s="1"/>
  <c r="AF15" i="9"/>
  <c r="AE23" i="9"/>
  <c r="BP21" i="9"/>
  <c r="BP71" i="9" s="1"/>
  <c r="BP17" i="9"/>
  <c r="BP67" i="9" s="1"/>
  <c r="BP78" i="9" s="1"/>
  <c r="BO111" i="9"/>
  <c r="BO115" i="9" s="1"/>
  <c r="AU87" i="9"/>
  <c r="AU96" i="9"/>
  <c r="AU156" i="9"/>
  <c r="AU153" i="9"/>
  <c r="AU98" i="9"/>
  <c r="AX18" i="9"/>
  <c r="AW150" i="9"/>
  <c r="AW19" i="9"/>
  <c r="AW14" i="9"/>
  <c r="AV63" i="9"/>
  <c r="AV61" i="9" s="1"/>
  <c r="AV146" i="9"/>
  <c r="BO63" i="9"/>
  <c r="BO61" i="9" s="1"/>
  <c r="BP14" i="9"/>
  <c r="BO146" i="9"/>
  <c r="AV111" i="9"/>
  <c r="AV115" i="9" s="1"/>
  <c r="AW17" i="9"/>
  <c r="AW67" i="9" s="1"/>
  <c r="AW78" i="9" s="1"/>
  <c r="AD87" i="9"/>
  <c r="AD156" i="9"/>
  <c r="AD96" i="9"/>
  <c r="AD153" i="9"/>
  <c r="AU97" i="9"/>
  <c r="AU157" i="9"/>
  <c r="AU154" i="9"/>
  <c r="AU99" i="9"/>
  <c r="AW21" i="9"/>
  <c r="AW71" i="9" s="1"/>
  <c r="AV24" i="9"/>
  <c r="AW16" i="9"/>
  <c r="AF19" i="9"/>
  <c r="AC47" i="52"/>
  <c r="AS47" i="52" s="1"/>
  <c r="AS257" i="52"/>
  <c r="AC25" i="52"/>
  <c r="AC69" i="52"/>
  <c r="AS69" i="52" s="1"/>
  <c r="AS258" i="52"/>
  <c r="AC113" i="52"/>
  <c r="AS113" i="52" s="1"/>
  <c r="AS260" i="52"/>
  <c r="L799" i="79"/>
  <c r="L785" i="79" s="1"/>
  <c r="BQ160" i="52" s="1"/>
  <c r="L1046" i="79"/>
  <c r="L1032" i="79" s="1"/>
  <c r="BQ172" i="52" s="1"/>
  <c r="AT16" i="52"/>
  <c r="AT126" i="52" s="1"/>
  <c r="AP7" i="52"/>
  <c r="AP117" i="52" s="1"/>
  <c r="L1301" i="79"/>
  <c r="L1569" i="79"/>
  <c r="AQ148" i="52"/>
  <c r="AT202" i="52"/>
  <c r="M2578" i="79"/>
  <c r="M2525" i="79" s="1"/>
  <c r="H3409" i="79"/>
  <c r="H3402" i="79" s="1"/>
  <c r="G3437" i="79"/>
  <c r="H3029" i="79"/>
  <c r="H3061" i="79"/>
  <c r="I3465" i="79"/>
  <c r="I3404" i="79" s="1"/>
  <c r="M1759" i="79"/>
  <c r="M1696" i="79" s="1"/>
  <c r="M1714" i="79"/>
  <c r="M1693" i="79" s="1"/>
  <c r="M2626" i="79"/>
  <c r="M2527" i="79" s="1"/>
  <c r="H3437" i="79"/>
  <c r="H3403" i="79" s="1"/>
  <c r="G3061" i="79"/>
  <c r="J3409" i="79"/>
  <c r="J3402" i="79" s="1"/>
  <c r="J3061" i="79"/>
  <c r="J3437" i="79"/>
  <c r="J3403" i="79" s="1"/>
  <c r="K3029" i="79"/>
  <c r="G3029" i="79"/>
  <c r="G65" i="79"/>
  <c r="G672" i="79" s="1"/>
  <c r="M1636" i="79"/>
  <c r="M1568" i="79" s="1"/>
  <c r="AT60" i="52"/>
  <c r="AT204" i="52"/>
  <c r="AT206" i="52"/>
  <c r="K3035" i="79"/>
  <c r="H3097" i="79"/>
  <c r="H3099" i="79"/>
  <c r="K3102" i="79"/>
  <c r="K3473" i="79"/>
  <c r="K3412" i="79"/>
  <c r="K3414" i="79"/>
  <c r="K3440" i="79"/>
  <c r="K3442" i="79"/>
  <c r="L3445" i="79"/>
  <c r="L3070" i="79"/>
  <c r="K3065" i="79"/>
  <c r="K3067" i="79"/>
  <c r="AD114" i="52"/>
  <c r="AT114" i="52" s="1"/>
  <c r="AD48" i="52"/>
  <c r="AT48" i="52" s="1"/>
  <c r="AD70" i="52"/>
  <c r="AT70" i="52" s="1"/>
  <c r="AT262" i="52"/>
  <c r="AD26" i="52"/>
  <c r="M3168" i="79"/>
  <c r="M3158" i="79"/>
  <c r="M3040" i="79"/>
  <c r="M3030" i="79"/>
  <c r="K285" i="79"/>
  <c r="K128" i="79" s="1"/>
  <c r="L289" i="79"/>
  <c r="L286" i="79" s="1"/>
  <c r="L285" i="79" s="1"/>
  <c r="K92" i="79"/>
  <c r="K28" i="79" s="1"/>
  <c r="AZ145" i="52" s="1"/>
  <c r="I137" i="79"/>
  <c r="I80" i="79" s="1"/>
  <c r="I42" i="79" s="1"/>
  <c r="H150" i="52"/>
  <c r="G52" i="79"/>
  <c r="J34" i="79"/>
  <c r="BG145" i="52" s="1"/>
  <c r="J131" i="79"/>
  <c r="K352" i="79"/>
  <c r="K129" i="79" s="1"/>
  <c r="K486" i="79"/>
  <c r="K485" i="79" s="1"/>
  <c r="L490" i="79"/>
  <c r="L487" i="79" s="1"/>
  <c r="L468" i="79"/>
  <c r="L465" i="79" s="1"/>
  <c r="L464" i="79" s="1"/>
  <c r="L370" i="79"/>
  <c r="L354" i="79" s="1"/>
  <c r="L267" i="79"/>
  <c r="L264" i="79" s="1"/>
  <c r="L415" i="79"/>
  <c r="L399" i="79" s="1"/>
  <c r="L397" i="79" s="1"/>
  <c r="L124" i="79" s="1"/>
  <c r="L488" i="79"/>
  <c r="H52" i="79"/>
  <c r="H65" i="79"/>
  <c r="H672" i="79" s="1"/>
  <c r="I150" i="52"/>
  <c r="L384" i="79"/>
  <c r="L116" i="79" s="1"/>
  <c r="L84" i="79" s="1"/>
  <c r="L46" i="79" s="1"/>
  <c r="U150" i="52" s="1"/>
  <c r="L380" i="79"/>
  <c r="K392" i="79"/>
  <c r="K378" i="79"/>
  <c r="K375" i="79" s="1"/>
  <c r="K91" i="79" s="1"/>
  <c r="J376" i="79"/>
  <c r="J374" i="79" s="1"/>
  <c r="J97" i="79"/>
  <c r="I71" i="79"/>
  <c r="BF150" i="52" s="1"/>
  <c r="I33" i="79"/>
  <c r="BF144" i="52" s="1"/>
  <c r="I373" i="79"/>
  <c r="I135" i="79"/>
  <c r="I78" i="79" s="1"/>
  <c r="I40" i="79" s="1"/>
  <c r="M496" i="79"/>
  <c r="M112" i="79" s="1"/>
  <c r="M492" i="79"/>
  <c r="M490" i="79" s="1"/>
  <c r="M358" i="79"/>
  <c r="M356" i="79" s="1"/>
  <c r="L348" i="79"/>
  <c r="L332" i="79" s="1"/>
  <c r="L325" i="79"/>
  <c r="L309" i="79" s="1"/>
  <c r="M470" i="79"/>
  <c r="M468" i="79" s="1"/>
  <c r="M465" i="79" s="1"/>
  <c r="M403" i="79"/>
  <c r="M401" i="79" s="1"/>
  <c r="M398" i="79" s="1"/>
  <c r="AS250" i="52"/>
  <c r="M336" i="79"/>
  <c r="M334" i="79" s="1"/>
  <c r="I70" i="79"/>
  <c r="BF149" i="52" s="1"/>
  <c r="I32" i="79"/>
  <c r="BF143" i="52" s="1"/>
  <c r="I306" i="79"/>
  <c r="I134" i="79"/>
  <c r="I77" i="79" s="1"/>
  <c r="I39" i="79" s="1"/>
  <c r="K325" i="79"/>
  <c r="K311" i="79"/>
  <c r="K308" i="79" s="1"/>
  <c r="K90" i="79" s="1"/>
  <c r="K26" i="79" s="1"/>
  <c r="AZ143" i="52" s="1"/>
  <c r="J96" i="79"/>
  <c r="J309" i="79"/>
  <c r="J307" i="79" s="1"/>
  <c r="M291" i="79"/>
  <c r="M289" i="79" s="1"/>
  <c r="M269" i="79"/>
  <c r="M267" i="79" s="1"/>
  <c r="AD112" i="52"/>
  <c r="AT112" i="52" s="1"/>
  <c r="L85" i="79"/>
  <c r="L47" i="79" s="1"/>
  <c r="U151" i="52" s="1"/>
  <c r="L83" i="79"/>
  <c r="L45" i="79" s="1"/>
  <c r="U149" i="52" s="1"/>
  <c r="L566" i="79"/>
  <c r="L538" i="79"/>
  <c r="M106" i="79"/>
  <c r="M110" i="79"/>
  <c r="M109" i="79"/>
  <c r="M108" i="79"/>
  <c r="AC68" i="52"/>
  <c r="AS68" i="52" s="1"/>
  <c r="AC112" i="52"/>
  <c r="AS112" i="52" s="1"/>
  <c r="AD46" i="52"/>
  <c r="AT46" i="52" s="1"/>
  <c r="AT252" i="52"/>
  <c r="AD24" i="52"/>
  <c r="G67" i="79"/>
  <c r="G726" i="79" s="1"/>
  <c r="G54" i="79"/>
  <c r="H152" i="52"/>
  <c r="L150" i="9"/>
  <c r="Z176" i="59"/>
  <c r="AF150" i="9"/>
  <c r="O77" i="37"/>
  <c r="O78" i="37"/>
  <c r="AT264" i="52"/>
  <c r="AT266" i="52"/>
  <c r="H54" i="79"/>
  <c r="O75" i="37"/>
  <c r="I53" i="79"/>
  <c r="H64" i="79"/>
  <c r="O76" i="37"/>
  <c r="O73" i="37"/>
  <c r="G2177" i="79"/>
  <c r="G2072" i="79" s="1"/>
  <c r="O166" i="9"/>
  <c r="P13" i="9"/>
  <c r="D587" i="59"/>
  <c r="F629" i="59"/>
  <c r="D629" i="59" s="1"/>
  <c r="AD234" i="52"/>
  <c r="AD65" i="52" s="1"/>
  <c r="AT65" i="52" s="1"/>
  <c r="I260" i="80"/>
  <c r="H1684" i="79"/>
  <c r="AD109" i="52"/>
  <c r="AT109" i="52" s="1"/>
  <c r="AD233" i="52"/>
  <c r="AD43" i="52" s="1"/>
  <c r="AT43" i="52" s="1"/>
  <c r="K1783" i="79"/>
  <c r="L1682" i="79"/>
  <c r="M1699" i="79"/>
  <c r="M1692" i="79" s="1"/>
  <c r="M256" i="80"/>
  <c r="M1704" i="79"/>
  <c r="U4" i="54"/>
  <c r="R347" i="37"/>
  <c r="R344" i="37"/>
  <c r="M1749" i="79"/>
  <c r="Q183" i="37"/>
  <c r="Q189" i="37"/>
  <c r="R187" i="37"/>
  <c r="P75" i="37"/>
  <c r="P78" i="37"/>
  <c r="R290" i="54" s="1"/>
  <c r="P72" i="37"/>
  <c r="P69" i="37"/>
  <c r="P77" i="37"/>
  <c r="P71" i="37"/>
  <c r="P76" i="37"/>
  <c r="P70" i="37"/>
  <c r="P79" i="37"/>
  <c r="P73" i="37"/>
  <c r="R24" i="37"/>
  <c r="S26" i="37"/>
  <c r="T25" i="37"/>
  <c r="S28" i="37"/>
  <c r="T346" i="37"/>
  <c r="S27" i="37"/>
  <c r="S345" i="37"/>
  <c r="M1744" i="79"/>
  <c r="M1695" i="79" s="1"/>
  <c r="AD232" i="52"/>
  <c r="AD21" i="52" s="1"/>
  <c r="AD235" i="52"/>
  <c r="AT235" i="52" s="1"/>
  <c r="M1719" i="79"/>
  <c r="M1764" i="79"/>
  <c r="N256" i="80"/>
  <c r="M1729" i="79"/>
  <c r="M1694" i="79" s="1"/>
  <c r="M1734" i="79"/>
  <c r="J1783" i="79"/>
  <c r="L1781" i="79"/>
  <c r="L1779" i="79"/>
  <c r="M1782" i="79"/>
  <c r="P51" i="56"/>
  <c r="Q8" i="56"/>
  <c r="P52" i="56"/>
  <c r="P26" i="56"/>
  <c r="P27" i="56"/>
  <c r="K1681" i="79"/>
  <c r="L1782" i="79"/>
  <c r="Q21" i="9"/>
  <c r="P71" i="9"/>
  <c r="I1913" i="79"/>
  <c r="I1819" i="79" s="1"/>
  <c r="J1914" i="79"/>
  <c r="J1833" i="79" s="1"/>
  <c r="J1913" i="79"/>
  <c r="J1832" i="79" s="1"/>
  <c r="M1914" i="79"/>
  <c r="M1833" i="79" s="1"/>
  <c r="M2179" i="79"/>
  <c r="M2086" i="79" s="1"/>
  <c r="M2176" i="79"/>
  <c r="M2083" i="79" s="1"/>
  <c r="O129" i="9"/>
  <c r="O126" i="9"/>
  <c r="O163" i="9"/>
  <c r="O93" i="9"/>
  <c r="O130" i="9"/>
  <c r="O127" i="9"/>
  <c r="O92" i="9"/>
  <c r="O73" i="9"/>
  <c r="O84" i="9"/>
  <c r="O72" i="9"/>
  <c r="O83" i="9"/>
  <c r="P9" i="9"/>
  <c r="M1874" i="79"/>
  <c r="M1875" i="79"/>
  <c r="L1825" i="79"/>
  <c r="K1829" i="79"/>
  <c r="K1827" i="79"/>
  <c r="K1825" i="79"/>
  <c r="K1828" i="79"/>
  <c r="L1959" i="79"/>
  <c r="L1963" i="79" s="1"/>
  <c r="L1870" i="79"/>
  <c r="L1999" i="79"/>
  <c r="L2003" i="79" s="1"/>
  <c r="L1872" i="79"/>
  <c r="L1979" i="79"/>
  <c r="L1983" i="79" s="1"/>
  <c r="L1871" i="79"/>
  <c r="L1919" i="79"/>
  <c r="L1923" i="79" s="1"/>
  <c r="K1862" i="79"/>
  <c r="L1939" i="79"/>
  <c r="L1943" i="79" s="1"/>
  <c r="L1869" i="79"/>
  <c r="M2000" i="79"/>
  <c r="M1920" i="79"/>
  <c r="M1919" i="79" s="1"/>
  <c r="M1980" i="79"/>
  <c r="M1960" i="79"/>
  <c r="M1940" i="79"/>
  <c r="AD19" i="52"/>
  <c r="AT214" i="52"/>
  <c r="AD107" i="52"/>
  <c r="AT107" i="52" s="1"/>
  <c r="AT218" i="52"/>
  <c r="AT215" i="52"/>
  <c r="AD41" i="52"/>
  <c r="AT41" i="52" s="1"/>
  <c r="AT216" i="52"/>
  <c r="AD63" i="52"/>
  <c r="AT63" i="52" s="1"/>
  <c r="L2095" i="79"/>
  <c r="L2064" i="79"/>
  <c r="M2095" i="79"/>
  <c r="M2064" i="79"/>
  <c r="M1915" i="79"/>
  <c r="M1834" i="79" s="1"/>
  <c r="H1915" i="79"/>
  <c r="L1915" i="79"/>
  <c r="L1834" i="79" s="1"/>
  <c r="K1913" i="79"/>
  <c r="I2177" i="79"/>
  <c r="J2178" i="79"/>
  <c r="M2177" i="79"/>
  <c r="M2084" i="79" s="1"/>
  <c r="L1914" i="79"/>
  <c r="L1833" i="79" s="1"/>
  <c r="G1914" i="79"/>
  <c r="M1913" i="79"/>
  <c r="M1916" i="79"/>
  <c r="M1835" i="79" s="1"/>
  <c r="M2178" i="79"/>
  <c r="M2085" i="79" s="1"/>
  <c r="H2179" i="79"/>
  <c r="K2176" i="79"/>
  <c r="K2083" i="79" s="1"/>
  <c r="K1915" i="79"/>
  <c r="K1834" i="79" s="1"/>
  <c r="L1913" i="79"/>
  <c r="J1915" i="79"/>
  <c r="J1834" i="79" s="1"/>
  <c r="K2177" i="79"/>
  <c r="K2084" i="79" s="1"/>
  <c r="G2179" i="79"/>
  <c r="L2176" i="79"/>
  <c r="L2083" i="79" s="1"/>
  <c r="I2179" i="79"/>
  <c r="H1916" i="79"/>
  <c r="K1916" i="79"/>
  <c r="K1835" i="79" s="1"/>
  <c r="K1914" i="79"/>
  <c r="K1833" i="79" s="1"/>
  <c r="H2177" i="79"/>
  <c r="G2178" i="79"/>
  <c r="I2178" i="79"/>
  <c r="J2179" i="79"/>
  <c r="H1914" i="79"/>
  <c r="G1913" i="79"/>
  <c r="G1916" i="79"/>
  <c r="L2178" i="79"/>
  <c r="L2085" i="79" s="1"/>
  <c r="K2179" i="79"/>
  <c r="L2179" i="79"/>
  <c r="L2086" i="79" s="1"/>
  <c r="I2176" i="79"/>
  <c r="I1914" i="79"/>
  <c r="I1916" i="79"/>
  <c r="I1915" i="79"/>
  <c r="H2176" i="79"/>
  <c r="J2176" i="79"/>
  <c r="L2177" i="79"/>
  <c r="L2084" i="79" s="1"/>
  <c r="K2178" i="79"/>
  <c r="J1916" i="79"/>
  <c r="J1835" i="79" s="1"/>
  <c r="G1915" i="79"/>
  <c r="H1913" i="79"/>
  <c r="H1819" i="79" s="1"/>
  <c r="H2178" i="79"/>
  <c r="G2176" i="79"/>
  <c r="J2177" i="79"/>
  <c r="I147" i="79"/>
  <c r="I2153" i="79" s="1"/>
  <c r="L148" i="79"/>
  <c r="L1891" i="79" s="1"/>
  <c r="G148" i="79"/>
  <c r="G2154" i="79" s="1"/>
  <c r="H147" i="79"/>
  <c r="H1890" i="79" s="1"/>
  <c r="J147" i="79"/>
  <c r="M148" i="79"/>
  <c r="M1891" i="79" s="1"/>
  <c r="G147" i="79"/>
  <c r="G2153" i="79" s="1"/>
  <c r="L147" i="79"/>
  <c r="I148" i="79"/>
  <c r="I2154" i="79" s="1"/>
  <c r="K148" i="79"/>
  <c r="K2154" i="79" s="1"/>
  <c r="J148" i="79"/>
  <c r="J1891" i="79" s="1"/>
  <c r="K147" i="79"/>
  <c r="H148" i="79"/>
  <c r="H2154" i="79" s="1"/>
  <c r="M147" i="79"/>
  <c r="M1890" i="79" s="1"/>
  <c r="L1916" i="79"/>
  <c r="L1835" i="79" s="1"/>
  <c r="L2183" i="79"/>
  <c r="K2120" i="79"/>
  <c r="L2123" i="79"/>
  <c r="L2208" i="79"/>
  <c r="L2121" i="79"/>
  <c r="L2122" i="79"/>
  <c r="M2283" i="79"/>
  <c r="M2258" i="79"/>
  <c r="M2233" i="79"/>
  <c r="M2208" i="79"/>
  <c r="M2184" i="79"/>
  <c r="M2125" i="79" s="1"/>
  <c r="M2076" i="79" s="1"/>
  <c r="H699" i="79"/>
  <c r="H67" i="79"/>
  <c r="H726" i="79" s="1"/>
  <c r="I66" i="79"/>
  <c r="K46" i="79"/>
  <c r="T150" i="52" s="1"/>
  <c r="K45" i="79"/>
  <c r="T149" i="52" s="1"/>
  <c r="K1866" i="79"/>
  <c r="K1865" i="79"/>
  <c r="K1864" i="79"/>
  <c r="K1863" i="79"/>
  <c r="AS233" i="52"/>
  <c r="AC109" i="52"/>
  <c r="AS109" i="52" s="1"/>
  <c r="AS232" i="52"/>
  <c r="L2675" i="79"/>
  <c r="L2674" i="79"/>
  <c r="L2673" i="79"/>
  <c r="K2672" i="79"/>
  <c r="L2678" i="79"/>
  <c r="L2671" i="79" s="1"/>
  <c r="M2530" i="79"/>
  <c r="M2523" i="79" s="1"/>
  <c r="M2526" i="79"/>
  <c r="L2524" i="79"/>
  <c r="M1327" i="79"/>
  <c r="M1282" i="79"/>
  <c r="M1462" i="79"/>
  <c r="M1417" i="79"/>
  <c r="M1372" i="79"/>
  <c r="J123" i="79"/>
  <c r="I127" i="79"/>
  <c r="I76" i="79" s="1"/>
  <c r="J122" i="79"/>
  <c r="J29" i="79"/>
  <c r="AY146" i="52" s="1"/>
  <c r="K419" i="79"/>
  <c r="K418" i="79" s="1"/>
  <c r="J130" i="79"/>
  <c r="J79" i="79" s="1"/>
  <c r="H51" i="79"/>
  <c r="K330" i="79"/>
  <c r="K329" i="79" s="1"/>
  <c r="K263" i="79"/>
  <c r="K122" i="79" s="1"/>
  <c r="AA73" i="52"/>
  <c r="AQ73" i="52" s="1"/>
  <c r="AA51" i="52"/>
  <c r="AQ51" i="52" s="1"/>
  <c r="K512" i="79"/>
  <c r="K509" i="79" s="1"/>
  <c r="K93" i="79" s="1"/>
  <c r="K61" i="79" s="1"/>
  <c r="AZ152" i="52" s="1"/>
  <c r="K72" i="79"/>
  <c r="BH151" i="52" s="1"/>
  <c r="K34" i="79"/>
  <c r="BH145" i="52" s="1"/>
  <c r="J73" i="79"/>
  <c r="BG152" i="52" s="1"/>
  <c r="J35" i="79"/>
  <c r="BG146" i="52" s="1"/>
  <c r="J59" i="79"/>
  <c r="AY150" i="52" s="1"/>
  <c r="J27" i="79"/>
  <c r="AY144" i="52" s="1"/>
  <c r="J58" i="79"/>
  <c r="AY149" i="52" s="1"/>
  <c r="J26" i="79"/>
  <c r="AY143" i="52" s="1"/>
  <c r="K99" i="79"/>
  <c r="J95" i="79"/>
  <c r="L145" i="79"/>
  <c r="G145" i="79"/>
  <c r="M146" i="79"/>
  <c r="J145" i="79"/>
  <c r="G146" i="79"/>
  <c r="H146" i="79"/>
  <c r="L146" i="79"/>
  <c r="M145" i="79"/>
  <c r="H145" i="79"/>
  <c r="K146" i="79"/>
  <c r="J146" i="79"/>
  <c r="I146" i="79"/>
  <c r="K145" i="79"/>
  <c r="I145" i="79"/>
  <c r="AQ146" i="52"/>
  <c r="AA6" i="52"/>
  <c r="L353" i="79"/>
  <c r="K170" i="79"/>
  <c r="L420" i="79"/>
  <c r="L419" i="79" s="1"/>
  <c r="H181" i="79"/>
  <c r="H1912" i="79" s="1"/>
  <c r="G181" i="79"/>
  <c r="L331" i="79"/>
  <c r="J181" i="79"/>
  <c r="J1912" i="79" s="1"/>
  <c r="K219" i="79"/>
  <c r="K218" i="79" s="1"/>
  <c r="K127" i="79" s="1"/>
  <c r="J89" i="79"/>
  <c r="AQ143" i="52"/>
  <c r="AA29" i="52"/>
  <c r="AQ29" i="52" s="1"/>
  <c r="L155" i="9"/>
  <c r="B59" i="52"/>
  <c r="B202" i="52"/>
  <c r="AI81" i="52"/>
  <c r="AH81" i="52"/>
  <c r="AG81" i="52"/>
  <c r="AF81" i="52"/>
  <c r="AL81" i="52"/>
  <c r="AK81" i="52"/>
  <c r="AJ81" i="52"/>
  <c r="B80" i="52"/>
  <c r="C294" i="54" a="1"/>
  <c r="C294" i="54" s="1"/>
  <c r="D294" i="54" s="1"/>
  <c r="A295" i="54"/>
  <c r="P12" i="9"/>
  <c r="O63" i="9"/>
  <c r="P14" i="9"/>
  <c r="O146" i="9"/>
  <c r="O17" i="9"/>
  <c r="O67" i="9" s="1"/>
  <c r="O78" i="9" s="1"/>
  <c r="N111" i="9"/>
  <c r="N115" i="9" s="1"/>
  <c r="N23" i="9"/>
  <c r="O15" i="9"/>
  <c r="M65" i="9"/>
  <c r="M64" i="9" s="1"/>
  <c r="M153" i="9"/>
  <c r="M87" i="9"/>
  <c r="M156" i="9"/>
  <c r="M96" i="9"/>
  <c r="AA50" i="52"/>
  <c r="AQ152" i="52"/>
  <c r="L445" i="79"/>
  <c r="L442" i="79" s="1"/>
  <c r="L441" i="79" s="1"/>
  <c r="L530" i="79"/>
  <c r="L311" i="79"/>
  <c r="L308" i="79" s="1"/>
  <c r="L244" i="79"/>
  <c r="L241" i="79" s="1"/>
  <c r="L240" i="79" s="1"/>
  <c r="F566" i="59"/>
  <c r="D545" i="59"/>
  <c r="AC231" i="59"/>
  <c r="AD84" i="59"/>
  <c r="AD231" i="59" s="1"/>
  <c r="Z236" i="59"/>
  <c r="AA89" i="59"/>
  <c r="AD63" i="59"/>
  <c r="AD64" i="59" s="1"/>
  <c r="AC6" i="59"/>
  <c r="AC55" i="59" s="1"/>
  <c r="BD172" i="9"/>
  <c r="BX172" i="9"/>
  <c r="P58" i="9"/>
  <c r="AJ172" i="9"/>
  <c r="CR172" i="9"/>
  <c r="P172" i="9"/>
  <c r="AD99" i="59"/>
  <c r="AC102" i="59"/>
  <c r="AC103" i="59"/>
  <c r="AA229" i="59"/>
  <c r="AB82" i="59"/>
  <c r="AA237" i="59"/>
  <c r="AB90" i="59"/>
  <c r="F505" i="59"/>
  <c r="D484" i="59"/>
  <c r="C486" i="59"/>
  <c r="F485" i="59" a="1"/>
  <c r="F485" i="59" s="1"/>
  <c r="F527" i="59" s="1"/>
  <c r="D527" i="59" s="1"/>
  <c r="C655" i="59"/>
  <c r="F654" i="59" a="1"/>
  <c r="F654" i="59" s="1"/>
  <c r="D654" i="59" s="1"/>
  <c r="AA222" i="59"/>
  <c r="AC230" i="59"/>
  <c r="AD83" i="59"/>
  <c r="AD230" i="59" s="1"/>
  <c r="AC234" i="59"/>
  <c r="AD87" i="59"/>
  <c r="F546" i="59"/>
  <c r="F588" i="59" s="1"/>
  <c r="D504" i="59"/>
  <c r="AC233" i="59"/>
  <c r="AD86" i="59"/>
  <c r="AD233" i="59" s="1"/>
  <c r="Z223" i="59"/>
  <c r="Z224" i="59" s="1"/>
  <c r="Z225" i="59" s="1"/>
  <c r="F607" i="59"/>
  <c r="D607" i="59" s="1"/>
  <c r="D565" i="59"/>
  <c r="AB177" i="59"/>
  <c r="Y64" i="59"/>
  <c r="N24" i="9"/>
  <c r="O16" i="9"/>
  <c r="M154" i="9"/>
  <c r="M97" i="9"/>
  <c r="M76" i="9"/>
  <c r="M75" i="9" s="1"/>
  <c r="M157" i="9"/>
  <c r="Q657" i="59"/>
  <c r="N656" i="59"/>
  <c r="F340" i="54"/>
  <c r="I341" i="54"/>
  <c r="H452" i="54" a="1"/>
  <c r="H452" i="54" s="1"/>
  <c r="C452" i="54" a="1"/>
  <c r="C452" i="54" s="1"/>
  <c r="B452" i="54" s="1"/>
  <c r="A453" i="54"/>
  <c r="H124" i="54" a="1"/>
  <c r="H124" i="54" s="1"/>
  <c r="C124" i="54" a="1"/>
  <c r="C124" i="54" s="1"/>
  <c r="B124" i="54" s="1"/>
  <c r="A125" i="54"/>
  <c r="A340" i="54"/>
  <c r="C339" i="54" a="1"/>
  <c r="C339" i="54" s="1"/>
  <c r="D339" i="54" s="1"/>
  <c r="E231" i="54"/>
  <c r="V113" i="54"/>
  <c r="A80" i="54"/>
  <c r="B338" i="54"/>
  <c r="B497" i="54"/>
  <c r="C392" i="54" a="1"/>
  <c r="C392" i="54" s="1"/>
  <c r="H392" i="54" a="1"/>
  <c r="H392" i="54" s="1"/>
  <c r="A393" i="54"/>
  <c r="C16" i="54" a="1"/>
  <c r="C16" i="54" s="1"/>
  <c r="C58" i="54" s="1"/>
  <c r="B58" i="54" s="1"/>
  <c r="A17" i="54"/>
  <c r="B229" i="54"/>
  <c r="C99" i="54" a="1"/>
  <c r="C99" i="54" s="1"/>
  <c r="B99" i="54" s="1"/>
  <c r="A100" i="54"/>
  <c r="A433" i="54"/>
  <c r="H432" i="54" a="1"/>
  <c r="H432" i="54" s="1"/>
  <c r="C432" i="54" a="1"/>
  <c r="C432" i="54" s="1"/>
  <c r="B432" i="54" s="1"/>
  <c r="H498" i="54" a="1"/>
  <c r="H498" i="54" s="1"/>
  <c r="A499" i="54"/>
  <c r="C498" i="54" a="1"/>
  <c r="C498" i="54" s="1"/>
  <c r="Q498" i="54" s="1"/>
  <c r="R498" i="54" s="1"/>
  <c r="S498" i="54" s="1"/>
  <c r="T498" i="54" s="1"/>
  <c r="U498" i="54" s="1"/>
  <c r="V498" i="54" s="1"/>
  <c r="E340" i="54"/>
  <c r="C478" i="54" a="1"/>
  <c r="C478" i="54" s="1"/>
  <c r="A479" i="54"/>
  <c r="H478" i="54" a="1"/>
  <c r="H478" i="54" s="1"/>
  <c r="H208" i="54" a="1"/>
  <c r="H208" i="54" s="1"/>
  <c r="A209" i="54"/>
  <c r="C208" i="54" a="1"/>
  <c r="C208" i="54" s="1"/>
  <c r="B208" i="54" s="1"/>
  <c r="A254" i="54"/>
  <c r="C253" i="54" a="1"/>
  <c r="C253" i="54" s="1"/>
  <c r="D253" i="54" s="1"/>
  <c r="C230" i="54" a="1"/>
  <c r="C230" i="54" s="1"/>
  <c r="D230" i="54" s="1"/>
  <c r="A231" i="54"/>
  <c r="A36" i="54"/>
  <c r="E317" i="54"/>
  <c r="B313" i="54"/>
  <c r="E252" i="54"/>
  <c r="B252" i="54" s="1"/>
  <c r="A145" i="54"/>
  <c r="H144" i="54" a="1"/>
  <c r="H144" i="54" s="1"/>
  <c r="C144" i="54" a="1"/>
  <c r="C144" i="54" s="1"/>
  <c r="B144" i="54" s="1"/>
  <c r="C36" i="54"/>
  <c r="B15" i="54"/>
  <c r="C186" i="54" a="1"/>
  <c r="C186" i="54" s="1"/>
  <c r="B186" i="54" s="1"/>
  <c r="H186" i="54" a="1"/>
  <c r="H186" i="54" s="1"/>
  <c r="A187" i="54"/>
  <c r="A315" i="54"/>
  <c r="C314" i="54" a="1"/>
  <c r="C314" i="54" s="1"/>
  <c r="D314" i="54" s="1"/>
  <c r="E294" i="54"/>
  <c r="B293" i="54"/>
  <c r="C77" i="54"/>
  <c r="B77" i="54" s="1"/>
  <c r="B35" i="54"/>
  <c r="C370" i="54" a="1"/>
  <c r="C370" i="54" s="1"/>
  <c r="A371" i="54"/>
  <c r="H370" i="54" a="1"/>
  <c r="H370" i="54" s="1"/>
  <c r="K124" i="79"/>
  <c r="L512" i="79"/>
  <c r="L509" i="79" s="1"/>
  <c r="K463" i="79"/>
  <c r="J170" i="79"/>
  <c r="H170" i="79"/>
  <c r="I170" i="79"/>
  <c r="L558" i="79"/>
  <c r="AB145" i="52"/>
  <c r="AR145" i="52" s="1"/>
  <c r="J137" i="79"/>
  <c r="AB143" i="52"/>
  <c r="AR143" i="52" s="1"/>
  <c r="K136" i="79"/>
  <c r="L170" i="79"/>
  <c r="AB142" i="52"/>
  <c r="AR142" i="52" s="1"/>
  <c r="AB146" i="52"/>
  <c r="L82" i="79"/>
  <c r="L181" i="79"/>
  <c r="K181" i="79"/>
  <c r="I181" i="79"/>
  <c r="M170" i="79"/>
  <c r="M181" i="79"/>
  <c r="G170" i="79"/>
  <c r="M451" i="79"/>
  <c r="I149" i="52"/>
  <c r="J240" i="79"/>
  <c r="K121" i="79"/>
  <c r="M244" i="79"/>
  <c r="M241" i="79" s="1"/>
  <c r="M250" i="79"/>
  <c r="K244" i="79"/>
  <c r="K241" i="79" s="1"/>
  <c r="K242" i="79"/>
  <c r="M200" i="79"/>
  <c r="M197" i="79" s="1"/>
  <c r="M214" i="79"/>
  <c r="M198" i="79" s="1"/>
  <c r="L214" i="79"/>
  <c r="L198" i="79" s="1"/>
  <c r="L200" i="79"/>
  <c r="L197" i="79" s="1"/>
  <c r="J217" i="79"/>
  <c r="J127" i="79"/>
  <c r="M102" i="79"/>
  <c r="M459" i="79"/>
  <c r="M445" i="79"/>
  <c r="M442" i="79" s="1"/>
  <c r="M104" i="79"/>
  <c r="L86" i="79"/>
  <c r="J151" i="52"/>
  <c r="AB50" i="52"/>
  <c r="AR50" i="52" s="1"/>
  <c r="AR144" i="52"/>
  <c r="AQ7" i="52"/>
  <c r="AQ117" i="52" s="1"/>
  <c r="I152" i="52"/>
  <c r="K48" i="79"/>
  <c r="T152" i="52" s="1"/>
  <c r="J195" i="79"/>
  <c r="J121" i="79"/>
  <c r="M103" i="79"/>
  <c r="M105" i="79"/>
  <c r="M111" i="79"/>
  <c r="L222" i="79"/>
  <c r="L236" i="79"/>
  <c r="L220" i="79" s="1"/>
  <c r="AB149" i="52"/>
  <c r="AB152" i="52"/>
  <c r="AB150" i="52"/>
  <c r="AB151" i="52"/>
  <c r="AB148" i="52"/>
  <c r="M437" i="79"/>
  <c r="M421" i="79" s="1"/>
  <c r="M423" i="79"/>
  <c r="M1414" i="79" l="1"/>
  <c r="BR187" i="52" s="1"/>
  <c r="BR79" i="52" s="1"/>
  <c r="M1369" i="79"/>
  <c r="BR186" i="52" s="1"/>
  <c r="BR57" i="52" s="1"/>
  <c r="L1369" i="79"/>
  <c r="BQ186" i="52" s="1"/>
  <c r="BQ57" i="52" s="1"/>
  <c r="M1324" i="79"/>
  <c r="BR185" i="52" s="1"/>
  <c r="BR35" i="52" s="1"/>
  <c r="L1324" i="79"/>
  <c r="BQ185" i="52" s="1"/>
  <c r="BQ35" i="52" s="1"/>
  <c r="L1279" i="79"/>
  <c r="BQ184" i="52" s="1"/>
  <c r="BQ13" i="52" s="1"/>
  <c r="H3501" i="79"/>
  <c r="H3498" i="79" s="1"/>
  <c r="AF167" i="9"/>
  <c r="AU161" i="9"/>
  <c r="V31" i="8"/>
  <c r="V30" i="8" s="1"/>
  <c r="AD161" i="9"/>
  <c r="Q31" i="8"/>
  <c r="Q30" i="8" s="1"/>
  <c r="AN5" i="8"/>
  <c r="AO6" i="8"/>
  <c r="O66" i="9"/>
  <c r="T470" i="54"/>
  <c r="B197" i="52"/>
  <c r="B198" i="52"/>
  <c r="Q269" i="54"/>
  <c r="R269" i="54"/>
  <c r="Q290" i="54"/>
  <c r="R227" i="54"/>
  <c r="Q227" i="54"/>
  <c r="Q248" i="54"/>
  <c r="U251" i="54"/>
  <c r="R248" i="54"/>
  <c r="R311" i="54"/>
  <c r="T272" i="54"/>
  <c r="T293" i="54"/>
  <c r="Q252" i="54"/>
  <c r="V201" i="54"/>
  <c r="O252" i="54"/>
  <c r="V180" i="54"/>
  <c r="V138" i="54"/>
  <c r="S252" i="54"/>
  <c r="P252" i="54"/>
  <c r="E391" i="54"/>
  <c r="D390" i="54"/>
  <c r="B390" i="54"/>
  <c r="R252" i="54"/>
  <c r="V200" i="54"/>
  <c r="K252" i="54"/>
  <c r="V179" i="54"/>
  <c r="V137" i="54"/>
  <c r="L252" i="54"/>
  <c r="E454" i="54"/>
  <c r="D453" i="54"/>
  <c r="M252" i="54"/>
  <c r="V159" i="54"/>
  <c r="N252" i="54"/>
  <c r="E370" i="54"/>
  <c r="D369" i="54"/>
  <c r="V158" i="54"/>
  <c r="E433" i="54"/>
  <c r="D432" i="54"/>
  <c r="H3468" i="79"/>
  <c r="H3465" i="79" s="1"/>
  <c r="H3404" i="79" s="1"/>
  <c r="AD85" i="59"/>
  <c r="AD232" i="59" s="1"/>
  <c r="AC232" i="59"/>
  <c r="R186" i="37"/>
  <c r="T294" i="54" s="1"/>
  <c r="S162" i="37"/>
  <c r="S166" i="37"/>
  <c r="S193" i="37" s="1"/>
  <c r="U314" i="54" s="1"/>
  <c r="S165" i="37"/>
  <c r="S192" i="37" s="1"/>
  <c r="U293" i="54" s="1"/>
  <c r="S163" i="37"/>
  <c r="S190" i="37" s="1"/>
  <c r="U272" i="54" s="1"/>
  <c r="R184" i="37"/>
  <c r="T274" i="54" s="1"/>
  <c r="R185" i="37"/>
  <c r="T252" i="54" s="1"/>
  <c r="S273" i="54"/>
  <c r="S274" i="54"/>
  <c r="O77" i="9"/>
  <c r="AF52" i="9"/>
  <c r="AF126" i="9"/>
  <c r="AF92" i="9"/>
  <c r="M230" i="54"/>
  <c r="O230" i="54"/>
  <c r="L230" i="54"/>
  <c r="S230" i="54"/>
  <c r="K230" i="54"/>
  <c r="R230" i="54"/>
  <c r="P230" i="54"/>
  <c r="N230" i="54"/>
  <c r="Q230" i="54"/>
  <c r="AF83" i="9"/>
  <c r="Q314" i="54"/>
  <c r="O314" i="54"/>
  <c r="K314" i="54"/>
  <c r="P314" i="54"/>
  <c r="N314" i="54"/>
  <c r="S314" i="54"/>
  <c r="R314" i="54"/>
  <c r="M314" i="54"/>
  <c r="L314" i="54"/>
  <c r="T314" i="54"/>
  <c r="R294" i="54"/>
  <c r="S294" i="54"/>
  <c r="Q294" i="54"/>
  <c r="M294" i="54"/>
  <c r="L294" i="54"/>
  <c r="K294" i="54"/>
  <c r="O294" i="54"/>
  <c r="N294" i="54"/>
  <c r="P294" i="54"/>
  <c r="AF247" i="9"/>
  <c r="K498" i="54"/>
  <c r="L498" i="54"/>
  <c r="M498" i="54"/>
  <c r="N498" i="54"/>
  <c r="O498" i="54"/>
  <c r="P498" i="54"/>
  <c r="AF128" i="9"/>
  <c r="BO65" i="9"/>
  <c r="BO64" i="9" s="1"/>
  <c r="AE65" i="9"/>
  <c r="AE64" i="9" s="1"/>
  <c r="AV65" i="9"/>
  <c r="AV64" i="9" s="1"/>
  <c r="AE76" i="9"/>
  <c r="AE75" i="9" s="1"/>
  <c r="AV76" i="9"/>
  <c r="AV75" i="9" s="1"/>
  <c r="CH203" i="9"/>
  <c r="CH202" i="9"/>
  <c r="BP201" i="9"/>
  <c r="BP197" i="9"/>
  <c r="AF195" i="9"/>
  <c r="AG10" i="9"/>
  <c r="CH197" i="9"/>
  <c r="CH201" i="9"/>
  <c r="CH79" i="9"/>
  <c r="CH68" i="9"/>
  <c r="AW197" i="9"/>
  <c r="AW201" i="9"/>
  <c r="AF197" i="9"/>
  <c r="AF201" i="9"/>
  <c r="BP195" i="9"/>
  <c r="P140" i="9"/>
  <c r="P139" i="9" s="1"/>
  <c r="P201" i="9"/>
  <c r="P79" i="9"/>
  <c r="P197" i="9"/>
  <c r="BO76" i="9"/>
  <c r="BO75" i="9" s="1"/>
  <c r="M99" i="9"/>
  <c r="M95" i="9" s="1"/>
  <c r="L20" i="8" s="1"/>
  <c r="M1483" i="79"/>
  <c r="M1481" i="79" s="1"/>
  <c r="M1459" i="79" s="1"/>
  <c r="BR188" i="52" s="1"/>
  <c r="M949" i="79"/>
  <c r="M947" i="79" s="1"/>
  <c r="M933" i="79" s="1"/>
  <c r="BR164" i="52" s="1"/>
  <c r="M1196" i="79"/>
  <c r="M1194" i="79" s="1"/>
  <c r="M1180" i="79" s="1"/>
  <c r="BR176" i="52" s="1"/>
  <c r="M1083" i="79"/>
  <c r="M1069" i="79" s="1"/>
  <c r="BR173" i="52" s="1"/>
  <c r="BR33" i="52" s="1"/>
  <c r="P28" i="56"/>
  <c r="P20" i="56" s="1"/>
  <c r="P53" i="56"/>
  <c r="R313" i="54"/>
  <c r="R312" i="54"/>
  <c r="R306" i="54"/>
  <c r="R229" i="54"/>
  <c r="R228" i="54"/>
  <c r="R222" i="54"/>
  <c r="Q313" i="54"/>
  <c r="Q312" i="54"/>
  <c r="Q306" i="54"/>
  <c r="S246" i="54"/>
  <c r="S247" i="54"/>
  <c r="S225" i="54"/>
  <c r="S226" i="54"/>
  <c r="R271" i="54"/>
  <c r="R270" i="54"/>
  <c r="R264" i="54"/>
  <c r="S228" i="54"/>
  <c r="S222" i="54"/>
  <c r="S229" i="54"/>
  <c r="R250" i="54"/>
  <c r="R249" i="54"/>
  <c r="R243" i="54"/>
  <c r="S310" i="54"/>
  <c r="S309" i="54"/>
  <c r="R291" i="54"/>
  <c r="R285" i="54"/>
  <c r="R292" i="54"/>
  <c r="S268" i="54"/>
  <c r="S267" i="54"/>
  <c r="S289" i="54"/>
  <c r="S288" i="54"/>
  <c r="BP59" i="9"/>
  <c r="BP72" i="9"/>
  <c r="BP73" i="9"/>
  <c r="BP79" i="9"/>
  <c r="BP77" i="9" s="1"/>
  <c r="BP68" i="9"/>
  <c r="BP66" i="9" s="1"/>
  <c r="AW140" i="9"/>
  <c r="AW139" i="9" s="1"/>
  <c r="AW73" i="9"/>
  <c r="AW72" i="9"/>
  <c r="AW79" i="9"/>
  <c r="AW77" i="9" s="1"/>
  <c r="AW68" i="9"/>
  <c r="AW66" i="9" s="1"/>
  <c r="AW119" i="9"/>
  <c r="AW118" i="9" s="1"/>
  <c r="AF140" i="9"/>
  <c r="AF139" i="9" s="1"/>
  <c r="AF73" i="9"/>
  <c r="AF72" i="9"/>
  <c r="AF68" i="9"/>
  <c r="AF66" i="9" s="1"/>
  <c r="AF79" i="9"/>
  <c r="AF77" i="9" s="1"/>
  <c r="O249" i="9"/>
  <c r="BO249" i="9"/>
  <c r="BO244" i="9" s="1"/>
  <c r="BO237" i="9" s="1"/>
  <c r="AV249" i="9"/>
  <c r="AV244" i="9" s="1"/>
  <c r="AV237" i="9" s="1"/>
  <c r="AE249" i="9"/>
  <c r="AE244" i="9" s="1"/>
  <c r="AE237" i="9" s="1"/>
  <c r="BL124" i="52"/>
  <c r="BM120" i="52"/>
  <c r="BL122" i="52"/>
  <c r="BO121" i="52"/>
  <c r="BR124" i="52"/>
  <c r="BQ124" i="52"/>
  <c r="BR120" i="52"/>
  <c r="BL123" i="52"/>
  <c r="BO123" i="52"/>
  <c r="BQ120" i="52"/>
  <c r="BP119" i="52"/>
  <c r="BN122" i="52"/>
  <c r="BL120" i="52"/>
  <c r="BM124" i="52"/>
  <c r="BM123" i="52"/>
  <c r="BN121" i="52"/>
  <c r="BP120" i="52"/>
  <c r="BN120" i="52"/>
  <c r="BM122" i="52"/>
  <c r="BQ122" i="52"/>
  <c r="BO120" i="52"/>
  <c r="BO124" i="52"/>
  <c r="BL121" i="52"/>
  <c r="BR122" i="52"/>
  <c r="BN124" i="52"/>
  <c r="BO119" i="52"/>
  <c r="BO122" i="52"/>
  <c r="BL119" i="52"/>
  <c r="BN123" i="52"/>
  <c r="BM119" i="52"/>
  <c r="BP122" i="52"/>
  <c r="BP124" i="52"/>
  <c r="BN119" i="52"/>
  <c r="BM121" i="52"/>
  <c r="AW247" i="9"/>
  <c r="AW126" i="9"/>
  <c r="AW59" i="9"/>
  <c r="AW130" i="9"/>
  <c r="AW167" i="9"/>
  <c r="AW165" i="9" s="1"/>
  <c r="X32" i="8" s="1"/>
  <c r="AE162" i="9"/>
  <c r="AW49" i="9"/>
  <c r="X15" i="8" s="1"/>
  <c r="AX9" i="9"/>
  <c r="AX164" i="9" s="1"/>
  <c r="AW245" i="9"/>
  <c r="AW159" i="9"/>
  <c r="X34" i="8" s="1"/>
  <c r="AW246" i="9"/>
  <c r="AW93" i="9"/>
  <c r="AW84" i="9"/>
  <c r="AW83" i="9"/>
  <c r="AW128" i="9"/>
  <c r="AW163" i="9"/>
  <c r="AW248" i="9"/>
  <c r="AF159" i="9"/>
  <c r="S34" i="8" s="1"/>
  <c r="AF84" i="9"/>
  <c r="AF163" i="9"/>
  <c r="BP126" i="9"/>
  <c r="BP129" i="9"/>
  <c r="AF164" i="9"/>
  <c r="AF129" i="9"/>
  <c r="AF130" i="9"/>
  <c r="BP127" i="9"/>
  <c r="AF49" i="9"/>
  <c r="S15" i="8" s="1"/>
  <c r="AF246" i="9"/>
  <c r="AG9" i="9"/>
  <c r="AG248" i="9" s="1"/>
  <c r="AF127" i="9"/>
  <c r="AF93" i="9"/>
  <c r="AF248" i="9"/>
  <c r="AF245" i="9"/>
  <c r="AF59" i="9"/>
  <c r="AF57" i="9" s="1"/>
  <c r="AF56" i="9" s="1"/>
  <c r="S17" i="8" s="1"/>
  <c r="AF119" i="9"/>
  <c r="AF118" i="9" s="1"/>
  <c r="AV162" i="9"/>
  <c r="BP84" i="9"/>
  <c r="BP92" i="9"/>
  <c r="BP93" i="9"/>
  <c r="AW164" i="9"/>
  <c r="AW92" i="9"/>
  <c r="AW129" i="9"/>
  <c r="BP130" i="9"/>
  <c r="BP159" i="9"/>
  <c r="AW52" i="9"/>
  <c r="AW127" i="9"/>
  <c r="BP121" i="52"/>
  <c r="BP123" i="52"/>
  <c r="BQ97" i="52"/>
  <c r="BR11" i="52"/>
  <c r="BR53" i="52"/>
  <c r="AA116" i="52"/>
  <c r="BQ99" i="52"/>
  <c r="AD136" i="52"/>
  <c r="Q477" i="54"/>
  <c r="R477" i="54" s="1"/>
  <c r="S477" i="54" s="1"/>
  <c r="T477" i="54" s="1"/>
  <c r="U477" i="54" s="1"/>
  <c r="V477" i="54" s="1"/>
  <c r="AD134" i="52"/>
  <c r="BQ11" i="52"/>
  <c r="Q474" i="54"/>
  <c r="R474" i="54" s="1"/>
  <c r="S474" i="54" s="1"/>
  <c r="T474" i="54" s="1"/>
  <c r="U474" i="54" s="1"/>
  <c r="V474" i="54" s="1"/>
  <c r="AD131" i="52"/>
  <c r="BR55" i="52"/>
  <c r="AD129" i="52"/>
  <c r="BR31" i="52"/>
  <c r="AC135" i="52"/>
  <c r="G918" i="79"/>
  <c r="BR75" i="52"/>
  <c r="BR77" i="52"/>
  <c r="BQ9" i="52"/>
  <c r="AD113" i="52"/>
  <c r="AT113" i="52" s="1"/>
  <c r="AB94" i="52"/>
  <c r="AR94" i="52" s="1"/>
  <c r="B101" i="52"/>
  <c r="B123" i="52"/>
  <c r="H95" i="52"/>
  <c r="J73" i="52"/>
  <c r="H51" i="52"/>
  <c r="I29" i="52"/>
  <c r="I51" i="52"/>
  <c r="I95" i="52"/>
  <c r="B182" i="52"/>
  <c r="B280" i="52"/>
  <c r="B187" i="52"/>
  <c r="P43" i="56"/>
  <c r="P41" i="56"/>
  <c r="P39" i="56"/>
  <c r="P42" i="56"/>
  <c r="P40" i="56"/>
  <c r="M1682" i="79"/>
  <c r="R114" i="54"/>
  <c r="R116" i="54"/>
  <c r="U117" i="54"/>
  <c r="AQ50" i="52"/>
  <c r="S111" i="37"/>
  <c r="R51" i="37"/>
  <c r="R117" i="37"/>
  <c r="R131" i="37" s="1"/>
  <c r="S108" i="37"/>
  <c r="R48" i="37"/>
  <c r="R114" i="37"/>
  <c r="R128" i="37" s="1"/>
  <c r="S110" i="37"/>
  <c r="R50" i="37"/>
  <c r="R116" i="37"/>
  <c r="R130" i="37" s="1"/>
  <c r="S109" i="37"/>
  <c r="R49" i="37"/>
  <c r="R115" i="37"/>
  <c r="R129" i="37" s="1"/>
  <c r="S107" i="37"/>
  <c r="R47" i="37"/>
  <c r="R69" i="37" s="1"/>
  <c r="R113" i="37"/>
  <c r="R127" i="37" s="1"/>
  <c r="H697" i="79"/>
  <c r="H678" i="79" s="1"/>
  <c r="AW157" i="52" s="1"/>
  <c r="I964" i="79"/>
  <c r="H964" i="79"/>
  <c r="J964" i="79"/>
  <c r="K964" i="79"/>
  <c r="K980" i="79" s="1"/>
  <c r="K978" i="79" s="1"/>
  <c r="G964" i="79"/>
  <c r="H973" i="79"/>
  <c r="I973" i="79"/>
  <c r="G973" i="79"/>
  <c r="J973" i="79"/>
  <c r="K991" i="79"/>
  <c r="G1448" i="79"/>
  <c r="G1444" i="79" s="1"/>
  <c r="H1169" i="79"/>
  <c r="H1165" i="79" s="1"/>
  <c r="G643" i="79"/>
  <c r="G848" i="79"/>
  <c r="G844" i="79" s="1"/>
  <c r="H848" i="79"/>
  <c r="G1206" i="79"/>
  <c r="H885" i="79"/>
  <c r="H881" i="79" s="1"/>
  <c r="H1206" i="79"/>
  <c r="H1202" i="79" s="1"/>
  <c r="G885" i="79"/>
  <c r="G881" i="79" s="1"/>
  <c r="I922" i="79"/>
  <c r="I918" i="79" s="1"/>
  <c r="AB22" i="10"/>
  <c r="BX21" i="10"/>
  <c r="BY21" i="10" s="1"/>
  <c r="M161" i="9"/>
  <c r="N22" i="56"/>
  <c r="N15" i="56"/>
  <c r="Q156" i="54" s="1"/>
  <c r="R156" i="54" s="1"/>
  <c r="S156" i="54" s="1"/>
  <c r="T156" i="54" s="1"/>
  <c r="U156" i="54" s="1"/>
  <c r="V156" i="54" s="1"/>
  <c r="J3468" i="79"/>
  <c r="J3470" i="79"/>
  <c r="J3134" i="79"/>
  <c r="J3501" i="79"/>
  <c r="J3097" i="79"/>
  <c r="J3099" i="79"/>
  <c r="G3097" i="79"/>
  <c r="G3099" i="79"/>
  <c r="G3501" i="79"/>
  <c r="G3134" i="79"/>
  <c r="G3468" i="79"/>
  <c r="G3470" i="79"/>
  <c r="O21" i="56"/>
  <c r="O14" i="56"/>
  <c r="K18" i="56"/>
  <c r="N198" i="54" s="1"/>
  <c r="K260" i="80"/>
  <c r="J1684" i="79"/>
  <c r="I3129" i="79"/>
  <c r="I3131" i="79"/>
  <c r="I3498" i="79"/>
  <c r="I3496" i="79"/>
  <c r="L24" i="56"/>
  <c r="K1684" i="79" s="1"/>
  <c r="L17" i="56"/>
  <c r="O177" i="54" s="1"/>
  <c r="L259" i="80"/>
  <c r="K1683" i="79"/>
  <c r="H18" i="56"/>
  <c r="K198" i="54" s="1"/>
  <c r="H260" i="80"/>
  <c r="G1684" i="79"/>
  <c r="I3166" i="79"/>
  <c r="I3529" i="79"/>
  <c r="M23" i="56"/>
  <c r="M16" i="56"/>
  <c r="P135" i="54" s="1"/>
  <c r="S29" i="56"/>
  <c r="L743" i="79"/>
  <c r="AT260" i="52"/>
  <c r="L736" i="79"/>
  <c r="AD25" i="52"/>
  <c r="AT257" i="52"/>
  <c r="AT258" i="52"/>
  <c r="I728" i="79"/>
  <c r="I959" i="79" s="1"/>
  <c r="I674" i="79"/>
  <c r="I647" i="79"/>
  <c r="BP52" i="9"/>
  <c r="BP140" i="9"/>
  <c r="BP139" i="9" s="1"/>
  <c r="M244" i="9"/>
  <c r="M237" i="9" s="1"/>
  <c r="AE98" i="9"/>
  <c r="BP245" i="9"/>
  <c r="N246" i="9"/>
  <c r="N159" i="9"/>
  <c r="O10" i="9"/>
  <c r="O195" i="9" s="1"/>
  <c r="N49" i="9"/>
  <c r="N167" i="9"/>
  <c r="N165" i="9" s="1"/>
  <c r="N247" i="9"/>
  <c r="N128" i="9"/>
  <c r="N245" i="9"/>
  <c r="N52" i="9"/>
  <c r="N98" i="9" s="1"/>
  <c r="N164" i="9"/>
  <c r="N162" i="9" s="1"/>
  <c r="N59" i="9"/>
  <c r="N57" i="9" s="1"/>
  <c r="N56" i="9" s="1"/>
  <c r="CI10" i="9"/>
  <c r="CH88" i="9"/>
  <c r="BO162" i="9"/>
  <c r="BO161" i="9" s="1"/>
  <c r="BP167" i="9"/>
  <c r="BP165" i="9" s="1"/>
  <c r="BP248" i="9"/>
  <c r="BP83" i="9"/>
  <c r="BP128" i="9"/>
  <c r="BP119" i="9"/>
  <c r="BP118" i="9" s="1"/>
  <c r="BQ9" i="9"/>
  <c r="BQ195" i="9" s="1"/>
  <c r="BP49" i="9"/>
  <c r="AE15" i="8" s="1"/>
  <c r="BP247" i="9"/>
  <c r="BP164" i="9"/>
  <c r="BP163" i="9"/>
  <c r="BP246" i="9"/>
  <c r="AG150" i="9"/>
  <c r="P119" i="9"/>
  <c r="P118" i="9" s="1"/>
  <c r="P248" i="9"/>
  <c r="P68" i="9"/>
  <c r="B478" i="54"/>
  <c r="AF165" i="9"/>
  <c r="S32" i="8" s="1"/>
  <c r="AT19" i="52"/>
  <c r="AT129" i="52" s="1"/>
  <c r="AT26" i="52"/>
  <c r="AT136" i="52" s="1"/>
  <c r="AT21" i="52"/>
  <c r="AT131" i="52" s="1"/>
  <c r="AT24" i="52"/>
  <c r="AT134" i="52" s="1"/>
  <c r="AQ6" i="52"/>
  <c r="AQ116" i="52" s="1"/>
  <c r="AS25" i="52"/>
  <c r="AS135" i="52" s="1"/>
  <c r="AD95" i="9"/>
  <c r="Q20" i="8" s="1"/>
  <c r="AU155" i="9"/>
  <c r="V38" i="8" s="1"/>
  <c r="AG19" i="9"/>
  <c r="BR12" i="9"/>
  <c r="CI166" i="9"/>
  <c r="CJ13" i="9"/>
  <c r="CI15" i="9"/>
  <c r="CH188" i="9"/>
  <c r="CH106" i="9"/>
  <c r="CH183" i="9"/>
  <c r="CH113" i="9"/>
  <c r="AY12" i="9"/>
  <c r="BQ19" i="9"/>
  <c r="AY18" i="9"/>
  <c r="AX150" i="9"/>
  <c r="AU95" i="9"/>
  <c r="V20" i="8" s="1"/>
  <c r="AE156" i="9"/>
  <c r="AE87" i="9"/>
  <c r="AE96" i="9"/>
  <c r="AE153" i="9"/>
  <c r="BQ20" i="9"/>
  <c r="AF63" i="9"/>
  <c r="AF61" i="9" s="1"/>
  <c r="AG14" i="9"/>
  <c r="AF146" i="9"/>
  <c r="BQ166" i="9"/>
  <c r="BR13" i="9"/>
  <c r="BP23" i="9"/>
  <c r="BQ15" i="9"/>
  <c r="CH186" i="9"/>
  <c r="CI20" i="9"/>
  <c r="CH191" i="9"/>
  <c r="CJ18" i="9"/>
  <c r="CJ58" i="9" s="1"/>
  <c r="CI150" i="9"/>
  <c r="BO97" i="9"/>
  <c r="BO157" i="9"/>
  <c r="BO154" i="9"/>
  <c r="BO99" i="9"/>
  <c r="BR10" i="9"/>
  <c r="BP63" i="9"/>
  <c r="BP61" i="9" s="1"/>
  <c r="BP146" i="9"/>
  <c r="BQ14" i="9"/>
  <c r="AY13" i="9"/>
  <c r="AX166" i="9"/>
  <c r="BO96" i="9"/>
  <c r="BO156" i="9"/>
  <c r="BO153" i="9"/>
  <c r="BO87" i="9"/>
  <c r="BO98" i="9"/>
  <c r="CI19" i="9"/>
  <c r="CH190" i="9"/>
  <c r="CH185" i="9"/>
  <c r="CI14" i="9"/>
  <c r="CH116" i="9"/>
  <c r="BP24" i="9"/>
  <c r="BQ16" i="9"/>
  <c r="AX19" i="9"/>
  <c r="AF23" i="9"/>
  <c r="AG15" i="9"/>
  <c r="AH12" i="9"/>
  <c r="BR18" i="9"/>
  <c r="BQ150" i="9"/>
  <c r="AD155" i="9"/>
  <c r="Q38" i="8" s="1"/>
  <c r="CI9" i="9"/>
  <c r="CH82" i="9"/>
  <c r="CI21" i="9"/>
  <c r="CI71" i="9" s="1"/>
  <c r="CH91" i="9"/>
  <c r="AY10" i="9"/>
  <c r="AW24" i="9"/>
  <c r="AX16" i="9"/>
  <c r="AW111" i="9"/>
  <c r="AW115" i="9" s="1"/>
  <c r="AX17" i="9"/>
  <c r="AX67" i="9" s="1"/>
  <c r="AX78" i="9" s="1"/>
  <c r="CJ12" i="9"/>
  <c r="CH181" i="9"/>
  <c r="CH178" i="9"/>
  <c r="CI22" i="9"/>
  <c r="CJ22" i="9" s="1"/>
  <c r="CK22" i="9" s="1"/>
  <c r="CL22" i="9" s="1"/>
  <c r="CM22" i="9" s="1"/>
  <c r="CN22" i="9" s="1"/>
  <c r="CO22" i="9" s="1"/>
  <c r="CP22" i="9" s="1"/>
  <c r="CQ22" i="9" s="1"/>
  <c r="CR22" i="9" s="1"/>
  <c r="CS22" i="9" s="1"/>
  <c r="CT22" i="9" s="1"/>
  <c r="CH179" i="9"/>
  <c r="CH180" i="9"/>
  <c r="AE154" i="9"/>
  <c r="AE99" i="9"/>
  <c r="AE97" i="9"/>
  <c r="AE157" i="9"/>
  <c r="AV154" i="9"/>
  <c r="AV97" i="9"/>
  <c r="AV157" i="9"/>
  <c r="AV99" i="9"/>
  <c r="BQ17" i="9"/>
  <c r="BQ67" i="9" s="1"/>
  <c r="BQ78" i="9" s="1"/>
  <c r="BP111" i="9"/>
  <c r="BP115" i="9" s="1"/>
  <c r="AG21" i="9"/>
  <c r="AG71" i="9" s="1"/>
  <c r="AF111" i="9"/>
  <c r="AF115" i="9" s="1"/>
  <c r="AG17" i="9"/>
  <c r="AG67" i="9" s="1"/>
  <c r="AG78" i="9" s="1"/>
  <c r="CH107" i="9"/>
  <c r="CI16" i="9"/>
  <c r="CH184" i="9"/>
  <c r="CH189" i="9"/>
  <c r="CH117" i="9"/>
  <c r="CH111" i="9"/>
  <c r="CH115" i="9" s="1"/>
  <c r="CI17" i="9"/>
  <c r="CI67" i="9" s="1"/>
  <c r="CI78" i="9" s="1"/>
  <c r="AG20" i="9"/>
  <c r="AF24" i="9"/>
  <c r="AG16" i="9"/>
  <c r="AX21" i="9"/>
  <c r="AX71" i="9" s="1"/>
  <c r="AW23" i="9"/>
  <c r="AX15" i="9"/>
  <c r="CJ8" i="9"/>
  <c r="CK8" i="9" s="1"/>
  <c r="CL8" i="9" s="1"/>
  <c r="CM8" i="9" s="1"/>
  <c r="CN8" i="9" s="1"/>
  <c r="CO8" i="9" s="1"/>
  <c r="CP8" i="9" s="1"/>
  <c r="CQ8" i="9" s="1"/>
  <c r="CR8" i="9" s="1"/>
  <c r="CS8" i="9" s="1"/>
  <c r="CT8" i="9" s="1"/>
  <c r="AX20" i="9"/>
  <c r="AG166" i="9"/>
  <c r="AH13" i="9"/>
  <c r="AW63" i="9"/>
  <c r="AW61" i="9" s="1"/>
  <c r="AX14" i="9"/>
  <c r="AW146" i="9"/>
  <c r="BQ21" i="9"/>
  <c r="BQ71" i="9" s="1"/>
  <c r="AH18" i="9"/>
  <c r="AG58" i="9"/>
  <c r="AV96" i="9"/>
  <c r="AV87" i="9"/>
  <c r="AV156" i="9"/>
  <c r="AV153" i="9"/>
  <c r="AV98" i="9"/>
  <c r="CI11" i="9"/>
  <c r="CJ11" i="9" s="1"/>
  <c r="CK11" i="9" s="1"/>
  <c r="CL11" i="9" s="1"/>
  <c r="CM11" i="9" s="1"/>
  <c r="CN11" i="9" s="1"/>
  <c r="CO11" i="9" s="1"/>
  <c r="CP11" i="9" s="1"/>
  <c r="CQ11" i="9" s="1"/>
  <c r="CR11" i="9" s="1"/>
  <c r="CS11" i="9" s="1"/>
  <c r="CT11" i="9" s="1"/>
  <c r="CH172" i="9"/>
  <c r="M1301" i="79"/>
  <c r="M799" i="79"/>
  <c r="M785" i="79" s="1"/>
  <c r="BR160" i="52" s="1"/>
  <c r="K60" i="79"/>
  <c r="AZ151" i="52" s="1"/>
  <c r="M1569" i="79"/>
  <c r="K3061" i="79"/>
  <c r="K3437" i="79"/>
  <c r="K3403" i="79" s="1"/>
  <c r="H3093" i="79"/>
  <c r="K3409" i="79"/>
  <c r="K3402" i="79" s="1"/>
  <c r="J741" i="79"/>
  <c r="AA158" i="52" s="1"/>
  <c r="H3529" i="79"/>
  <c r="H3166" i="79"/>
  <c r="L3065" i="79"/>
  <c r="L3067" i="79"/>
  <c r="L3440" i="79"/>
  <c r="L3442" i="79"/>
  <c r="M3417" i="79"/>
  <c r="M3038" i="79"/>
  <c r="M3033" i="79" s="1"/>
  <c r="L3038" i="79"/>
  <c r="L3417" i="79"/>
  <c r="K3468" i="79"/>
  <c r="K3470" i="79"/>
  <c r="K3097" i="79"/>
  <c r="K3099" i="79"/>
  <c r="M3070" i="79"/>
  <c r="M3445" i="79"/>
  <c r="H3129" i="79"/>
  <c r="H3131" i="79"/>
  <c r="G670" i="79"/>
  <c r="G651" i="79" s="1"/>
  <c r="AV156" i="52" s="1"/>
  <c r="K284" i="79"/>
  <c r="J80" i="79"/>
  <c r="J42" i="79" s="1"/>
  <c r="K351" i="79"/>
  <c r="K131" i="79"/>
  <c r="M281" i="79"/>
  <c r="M265" i="79" s="1"/>
  <c r="L352" i="79"/>
  <c r="L351" i="79" s="1"/>
  <c r="M482" i="79"/>
  <c r="M466" i="79" s="1"/>
  <c r="M464" i="79" s="1"/>
  <c r="M463" i="79" s="1"/>
  <c r="L98" i="79"/>
  <c r="L34" i="79" s="1"/>
  <c r="BI145" i="52" s="1"/>
  <c r="L486" i="79"/>
  <c r="L131" i="79" s="1"/>
  <c r="M504" i="79"/>
  <c r="M488" i="79" s="1"/>
  <c r="M370" i="79"/>
  <c r="M354" i="79" s="1"/>
  <c r="M303" i="79"/>
  <c r="M287" i="79" s="1"/>
  <c r="L96" i="79"/>
  <c r="L70" i="79" s="1"/>
  <c r="BI149" i="52" s="1"/>
  <c r="L307" i="79"/>
  <c r="L306" i="79" s="1"/>
  <c r="M415" i="79"/>
  <c r="M399" i="79" s="1"/>
  <c r="M397" i="79" s="1"/>
  <c r="M396" i="79" s="1"/>
  <c r="M518" i="79"/>
  <c r="M118" i="79" s="1"/>
  <c r="M86" i="79" s="1"/>
  <c r="M16" i="79" s="1"/>
  <c r="V146" i="52" s="1"/>
  <c r="M514" i="79"/>
  <c r="M526" i="79" s="1"/>
  <c r="K376" i="79"/>
  <c r="K374" i="79" s="1"/>
  <c r="K97" i="79"/>
  <c r="L392" i="79"/>
  <c r="L378" i="79"/>
  <c r="L375" i="79" s="1"/>
  <c r="L91" i="79" s="1"/>
  <c r="M384" i="79"/>
  <c r="M116" i="79" s="1"/>
  <c r="M84" i="79" s="1"/>
  <c r="M14" i="79" s="1"/>
  <c r="V144" i="52" s="1"/>
  <c r="M380" i="79"/>
  <c r="J71" i="79"/>
  <c r="BG150" i="52" s="1"/>
  <c r="J33" i="79"/>
  <c r="BG144" i="52" s="1"/>
  <c r="J373" i="79"/>
  <c r="J135" i="79"/>
  <c r="J78" i="79" s="1"/>
  <c r="M348" i="79"/>
  <c r="M332" i="79" s="1"/>
  <c r="J70" i="79"/>
  <c r="BG149" i="52" s="1"/>
  <c r="J32" i="79"/>
  <c r="BG143" i="52" s="1"/>
  <c r="K309" i="79"/>
  <c r="K307" i="79" s="1"/>
  <c r="K96" i="79"/>
  <c r="M317" i="79"/>
  <c r="M115" i="79" s="1"/>
  <c r="M83" i="79" s="1"/>
  <c r="M13" i="79" s="1"/>
  <c r="V143" i="52" s="1"/>
  <c r="M313" i="79"/>
  <c r="J306" i="79"/>
  <c r="J134" i="79"/>
  <c r="J77" i="79" s="1"/>
  <c r="M566" i="79"/>
  <c r="M538" i="79"/>
  <c r="AD145" i="52" s="1"/>
  <c r="M117" i="79"/>
  <c r="M85" i="79" s="1"/>
  <c r="M15" i="79" s="1"/>
  <c r="V145" i="52" s="1"/>
  <c r="M443" i="79"/>
  <c r="M441" i="79" s="1"/>
  <c r="M440" i="79" s="1"/>
  <c r="M114" i="79"/>
  <c r="M82" i="79" s="1"/>
  <c r="G955" i="79"/>
  <c r="G724" i="79"/>
  <c r="G705" i="79" s="1"/>
  <c r="AV158" i="52" s="1"/>
  <c r="AA176" i="59"/>
  <c r="M150" i="9"/>
  <c r="G2108" i="79"/>
  <c r="I65" i="79"/>
  <c r="I672" i="79" s="1"/>
  <c r="I1856" i="79"/>
  <c r="I64" i="79"/>
  <c r="G2084" i="79"/>
  <c r="AT234" i="52"/>
  <c r="P166" i="9"/>
  <c r="Q13" i="9"/>
  <c r="Z64" i="59"/>
  <c r="D588" i="59"/>
  <c r="F630" i="59"/>
  <c r="D630" i="59" s="1"/>
  <c r="AT233" i="52"/>
  <c r="M1779" i="79"/>
  <c r="AT232" i="52"/>
  <c r="M1781" i="79"/>
  <c r="M258" i="80"/>
  <c r="T157" i="37"/>
  <c r="V4" i="54"/>
  <c r="S344" i="37"/>
  <c r="T344" i="37"/>
  <c r="S347" i="37"/>
  <c r="T347" i="37"/>
  <c r="R183" i="37"/>
  <c r="R189" i="37"/>
  <c r="T230" i="54" s="1"/>
  <c r="S186" i="37"/>
  <c r="U294" i="54" s="1"/>
  <c r="Q78" i="37"/>
  <c r="S290" i="54" s="1"/>
  <c r="S286" i="54"/>
  <c r="Q72" i="37"/>
  <c r="Q77" i="37"/>
  <c r="S248" i="54" s="1"/>
  <c r="S244" i="54"/>
  <c r="Q71" i="37"/>
  <c r="Q79" i="37"/>
  <c r="S311" i="54" s="1"/>
  <c r="Q73" i="37"/>
  <c r="S307" i="54"/>
  <c r="S185" i="37"/>
  <c r="U252" i="54" s="1"/>
  <c r="Q75" i="37"/>
  <c r="S227" i="54" s="1"/>
  <c r="S223" i="54"/>
  <c r="Q76" i="37"/>
  <c r="S269" i="54" s="1"/>
  <c r="S265" i="54"/>
  <c r="Q70" i="37"/>
  <c r="S184" i="37"/>
  <c r="S24" i="37"/>
  <c r="T28" i="37"/>
  <c r="T345" i="37"/>
  <c r="T26" i="37"/>
  <c r="T27" i="37"/>
  <c r="G2102" i="79"/>
  <c r="M1680" i="79"/>
  <c r="L1783" i="79"/>
  <c r="R8" i="56"/>
  <c r="Q51" i="56"/>
  <c r="Q52" i="56"/>
  <c r="Q26" i="56"/>
  <c r="Q27" i="56"/>
  <c r="L1780" i="79"/>
  <c r="Q71" i="9"/>
  <c r="R21" i="9"/>
  <c r="R71" i="9" s="1"/>
  <c r="I1832" i="79"/>
  <c r="J1820" i="79"/>
  <c r="J1819" i="79"/>
  <c r="L1862" i="79"/>
  <c r="AK172" i="9"/>
  <c r="AA64" i="59"/>
  <c r="BE172" i="9"/>
  <c r="AC64" i="59"/>
  <c r="BY62" i="9" s="1"/>
  <c r="BY172" i="9"/>
  <c r="Q58" i="9"/>
  <c r="Q172" i="9"/>
  <c r="CS172" i="9"/>
  <c r="P129" i="9"/>
  <c r="P126" i="9"/>
  <c r="P163" i="9"/>
  <c r="P93" i="9"/>
  <c r="P130" i="9"/>
  <c r="P127" i="9"/>
  <c r="P84" i="9"/>
  <c r="P72" i="9"/>
  <c r="P83" i="9"/>
  <c r="Q9" i="9"/>
  <c r="P92" i="9"/>
  <c r="P73" i="9"/>
  <c r="K1821" i="79"/>
  <c r="K1819" i="79"/>
  <c r="K1822" i="79"/>
  <c r="I1835" i="79"/>
  <c r="I1822" i="79"/>
  <c r="G1822" i="79"/>
  <c r="H1831" i="79"/>
  <c r="H1818" i="79"/>
  <c r="I1833" i="79"/>
  <c r="I1820" i="79"/>
  <c r="G1819" i="79"/>
  <c r="H1834" i="79"/>
  <c r="H1821" i="79"/>
  <c r="H1833" i="79"/>
  <c r="H1820" i="79"/>
  <c r="H1835" i="79"/>
  <c r="H1822" i="79"/>
  <c r="K1820" i="79"/>
  <c r="G1834" i="79"/>
  <c r="G1821" i="79"/>
  <c r="G1833" i="79"/>
  <c r="G1820" i="79"/>
  <c r="J1822" i="79"/>
  <c r="J1831" i="79"/>
  <c r="J1818" i="79"/>
  <c r="J1821" i="79"/>
  <c r="I1834" i="79"/>
  <c r="I1821" i="79"/>
  <c r="I1844" i="79"/>
  <c r="H741" i="79"/>
  <c r="Y158" i="52" s="1"/>
  <c r="L1828" i="79"/>
  <c r="L1829" i="79"/>
  <c r="L1826" i="79"/>
  <c r="L1827" i="79"/>
  <c r="M1868" i="79"/>
  <c r="M1959" i="79"/>
  <c r="M1963" i="79" s="1"/>
  <c r="M1870" i="79"/>
  <c r="M1979" i="79"/>
  <c r="M1983" i="79" s="1"/>
  <c r="M1871" i="79"/>
  <c r="M1999" i="79"/>
  <c r="M2003" i="79" s="1"/>
  <c r="M1872" i="79"/>
  <c r="H9" i="79"/>
  <c r="H2153" i="79"/>
  <c r="H2042" i="79" s="1"/>
  <c r="G1832" i="79"/>
  <c r="M1939" i="79"/>
  <c r="M1943" i="79" s="1"/>
  <c r="M1869" i="79"/>
  <c r="G1890" i="79"/>
  <c r="G1795" i="79" s="1"/>
  <c r="G1835" i="79"/>
  <c r="I9" i="79"/>
  <c r="I741" i="79"/>
  <c r="Z157" i="52" s="1"/>
  <c r="I1890" i="79"/>
  <c r="I1795" i="79" s="1"/>
  <c r="K2072" i="79"/>
  <c r="H1832" i="79"/>
  <c r="M1832" i="79"/>
  <c r="K1832" i="79"/>
  <c r="L1832" i="79"/>
  <c r="M1923" i="79"/>
  <c r="M2153" i="79"/>
  <c r="G741" i="79"/>
  <c r="X158" i="52" s="1"/>
  <c r="M2154" i="79"/>
  <c r="G10" i="79"/>
  <c r="G1891" i="79"/>
  <c r="G1796" i="79" s="1"/>
  <c r="G9" i="79"/>
  <c r="G2114" i="79"/>
  <c r="J2071" i="79"/>
  <c r="J2083" i="79"/>
  <c r="I2073" i="79"/>
  <c r="I2085" i="79"/>
  <c r="I2074" i="79"/>
  <c r="I2086" i="79"/>
  <c r="J2073" i="79"/>
  <c r="J2085" i="79"/>
  <c r="H2071" i="79"/>
  <c r="H2083" i="79"/>
  <c r="K2074" i="79"/>
  <c r="K2086" i="79"/>
  <c r="G2073" i="79"/>
  <c r="G2085" i="79"/>
  <c r="I2072" i="79"/>
  <c r="I2084" i="79"/>
  <c r="H2072" i="79"/>
  <c r="H2084" i="79"/>
  <c r="G2074" i="79"/>
  <c r="G2086" i="79"/>
  <c r="J2072" i="79"/>
  <c r="J2084" i="79"/>
  <c r="H2074" i="79"/>
  <c r="H2086" i="79"/>
  <c r="G2071" i="79"/>
  <c r="G2083" i="79"/>
  <c r="H2073" i="79"/>
  <c r="H2085" i="79"/>
  <c r="K2073" i="79"/>
  <c r="K2085" i="79"/>
  <c r="I2071" i="79"/>
  <c r="I2083" i="79"/>
  <c r="J2074" i="79"/>
  <c r="J2086" i="79"/>
  <c r="K1891" i="79"/>
  <c r="K2043" i="79"/>
  <c r="H2043" i="79"/>
  <c r="G2043" i="79"/>
  <c r="I2043" i="79"/>
  <c r="I2042" i="79"/>
  <c r="H10" i="79"/>
  <c r="G2042" i="79"/>
  <c r="L16" i="79"/>
  <c r="U146" i="52" s="1"/>
  <c r="L2154" i="79"/>
  <c r="H1891" i="79"/>
  <c r="J9" i="79"/>
  <c r="H1856" i="79"/>
  <c r="I10" i="79"/>
  <c r="I1891" i="79"/>
  <c r="I158" i="79"/>
  <c r="I1900" i="79" s="1"/>
  <c r="H159" i="79"/>
  <c r="H1901" i="79" s="1"/>
  <c r="L154" i="79"/>
  <c r="L1896" i="79" s="1"/>
  <c r="K158" i="79"/>
  <c r="G159" i="79"/>
  <c r="G160" i="79"/>
  <c r="I159" i="79"/>
  <c r="I1901" i="79" s="1"/>
  <c r="J158" i="79"/>
  <c r="M160" i="79"/>
  <c r="M167" i="79"/>
  <c r="J159" i="79"/>
  <c r="M159" i="79"/>
  <c r="H161" i="79"/>
  <c r="H1903" i="79" s="1"/>
  <c r="J160" i="79"/>
  <c r="K159" i="79"/>
  <c r="K1901" i="79" s="1"/>
  <c r="G158" i="79"/>
  <c r="K160" i="79"/>
  <c r="K1902" i="79" s="1"/>
  <c r="H160" i="79"/>
  <c r="H1902" i="79" s="1"/>
  <c r="H158" i="79"/>
  <c r="H1900" i="79" s="1"/>
  <c r="L158" i="79"/>
  <c r="J161" i="79"/>
  <c r="G161" i="79"/>
  <c r="M158" i="79"/>
  <c r="K161" i="79"/>
  <c r="K1903" i="79" s="1"/>
  <c r="L167" i="79"/>
  <c r="L159" i="79"/>
  <c r="I161" i="79"/>
  <c r="I1903" i="79" s="1"/>
  <c r="I160" i="79"/>
  <c r="I1902" i="79" s="1"/>
  <c r="L2153" i="79"/>
  <c r="L1890" i="79"/>
  <c r="L15" i="79"/>
  <c r="U145" i="52" s="1"/>
  <c r="M154" i="79"/>
  <c r="M1896" i="79" s="1"/>
  <c r="M155" i="79"/>
  <c r="M161" i="79"/>
  <c r="I154" i="79"/>
  <c r="I1896" i="79" s="1"/>
  <c r="J2154" i="79"/>
  <c r="H154" i="79"/>
  <c r="H1896" i="79" s="1"/>
  <c r="H1802" i="79" s="1"/>
  <c r="H167" i="79"/>
  <c r="H1909" i="79" s="1"/>
  <c r="H15" i="79"/>
  <c r="Q145" i="52" s="1"/>
  <c r="H166" i="79"/>
  <c r="H1908" i="79" s="1"/>
  <c r="L161" i="79"/>
  <c r="J1890" i="79"/>
  <c r="I155" i="79"/>
  <c r="I1897" i="79" s="1"/>
  <c r="G15" i="79"/>
  <c r="P145" i="52" s="1"/>
  <c r="K1890" i="79"/>
  <c r="K15" i="79"/>
  <c r="T145" i="52" s="1"/>
  <c r="G155" i="79"/>
  <c r="G1897" i="79" s="1"/>
  <c r="G166" i="79"/>
  <c r="K2153" i="79"/>
  <c r="K166" i="79"/>
  <c r="K1908" i="79" s="1"/>
  <c r="L155" i="79"/>
  <c r="L1897" i="79" s="1"/>
  <c r="G154" i="79"/>
  <c r="G1896" i="79" s="1"/>
  <c r="J16" i="79"/>
  <c r="S146" i="52" s="1"/>
  <c r="M166" i="79"/>
  <c r="K154" i="79"/>
  <c r="K1896" i="79" s="1"/>
  <c r="L160" i="79"/>
  <c r="J15" i="79"/>
  <c r="S145" i="52" s="1"/>
  <c r="J155" i="79"/>
  <c r="J1897" i="79" s="1"/>
  <c r="J2153" i="79"/>
  <c r="I16" i="79"/>
  <c r="R146" i="52" s="1"/>
  <c r="K155" i="79"/>
  <c r="K1897" i="79" s="1"/>
  <c r="L166" i="79"/>
  <c r="J154" i="79"/>
  <c r="J1896" i="79" s="1"/>
  <c r="H155" i="79"/>
  <c r="H1897" i="79" s="1"/>
  <c r="I15" i="79"/>
  <c r="R145" i="52" s="1"/>
  <c r="H16" i="79"/>
  <c r="Q146" i="52" s="1"/>
  <c r="J167" i="79"/>
  <c r="J166" i="79"/>
  <c r="H165" i="79"/>
  <c r="H1907" i="79" s="1"/>
  <c r="G167" i="79"/>
  <c r="K167" i="79"/>
  <c r="K1909" i="79" s="1"/>
  <c r="L165" i="79"/>
  <c r="G165" i="79"/>
  <c r="M165" i="79"/>
  <c r="I144" i="79"/>
  <c r="I1887" i="79" s="1"/>
  <c r="K16" i="79"/>
  <c r="T146" i="52" s="1"/>
  <c r="G16" i="79"/>
  <c r="P146" i="52" s="1"/>
  <c r="J164" i="79"/>
  <c r="K165" i="79"/>
  <c r="K1907" i="79" s="1"/>
  <c r="I164" i="79"/>
  <c r="I1906" i="79" s="1"/>
  <c r="I167" i="79"/>
  <c r="I1909" i="79" s="1"/>
  <c r="M164" i="79"/>
  <c r="I166" i="79"/>
  <c r="I1908" i="79" s="1"/>
  <c r="M144" i="79"/>
  <c r="L144" i="79"/>
  <c r="L1887" i="79" s="1"/>
  <c r="J144" i="79"/>
  <c r="J1887" i="79" s="1"/>
  <c r="K144" i="79"/>
  <c r="K2150" i="79" s="1"/>
  <c r="L164" i="79"/>
  <c r="J165" i="79"/>
  <c r="J2170" i="79" s="1"/>
  <c r="K164" i="79"/>
  <c r="K1906" i="79" s="1"/>
  <c r="H144" i="79"/>
  <c r="H1887" i="79" s="1"/>
  <c r="I165" i="79"/>
  <c r="I1907" i="79" s="1"/>
  <c r="H164" i="79"/>
  <c r="H1906" i="79" s="1"/>
  <c r="G164" i="79"/>
  <c r="G144" i="79"/>
  <c r="G1887" i="79" s="1"/>
  <c r="I13" i="79"/>
  <c r="R143" i="52" s="1"/>
  <c r="I152" i="79"/>
  <c r="I1894" i="79" s="1"/>
  <c r="H14" i="79"/>
  <c r="Q144" i="52" s="1"/>
  <c r="H153" i="79"/>
  <c r="H1895" i="79" s="1"/>
  <c r="K2151" i="79"/>
  <c r="K152" i="79"/>
  <c r="K1894" i="79" s="1"/>
  <c r="G14" i="79"/>
  <c r="P144" i="52" s="1"/>
  <c r="G153" i="79"/>
  <c r="G1895" i="79" s="1"/>
  <c r="I14" i="79"/>
  <c r="R144" i="52" s="1"/>
  <c r="I153" i="79"/>
  <c r="I1895" i="79" s="1"/>
  <c r="J13" i="79"/>
  <c r="S143" i="52" s="1"/>
  <c r="J152" i="79"/>
  <c r="J1894" i="79" s="1"/>
  <c r="J14" i="79"/>
  <c r="S144" i="52" s="1"/>
  <c r="J153" i="79"/>
  <c r="J1895" i="79" s="1"/>
  <c r="M1889" i="79"/>
  <c r="M153" i="79"/>
  <c r="M1895" i="79" s="1"/>
  <c r="K2152" i="79"/>
  <c r="K153" i="79"/>
  <c r="K1895" i="79" s="1"/>
  <c r="G13" i="79"/>
  <c r="P143" i="52" s="1"/>
  <c r="G152" i="79"/>
  <c r="G1894" i="79" s="1"/>
  <c r="H13" i="79"/>
  <c r="Q143" i="52" s="1"/>
  <c r="H152" i="79"/>
  <c r="H1894" i="79" s="1"/>
  <c r="L1888" i="79"/>
  <c r="L152" i="79"/>
  <c r="L1894" i="79" s="1"/>
  <c r="M1888" i="79"/>
  <c r="M152" i="79"/>
  <c r="M1894" i="79" s="1"/>
  <c r="L1889" i="79"/>
  <c r="L153" i="79"/>
  <c r="L1895" i="79" s="1"/>
  <c r="L2074" i="79"/>
  <c r="K2071" i="79"/>
  <c r="L2073" i="79"/>
  <c r="L2072" i="79"/>
  <c r="L2119" i="79"/>
  <c r="L2120" i="79"/>
  <c r="M2122" i="79"/>
  <c r="M2183" i="79"/>
  <c r="M2120" i="79"/>
  <c r="I699" i="79"/>
  <c r="G678" i="79"/>
  <c r="AV157" i="52" s="1"/>
  <c r="H651" i="79"/>
  <c r="AW156" i="52" s="1"/>
  <c r="I54" i="79"/>
  <c r="I67" i="79"/>
  <c r="I726" i="79" s="1"/>
  <c r="J31" i="79"/>
  <c r="BG142" i="52" s="1"/>
  <c r="L14" i="79"/>
  <c r="U144" i="52" s="1"/>
  <c r="K13" i="79"/>
  <c r="T143" i="52" s="1"/>
  <c r="K14" i="79"/>
  <c r="T144" i="52" s="1"/>
  <c r="L13" i="79"/>
  <c r="U143" i="52" s="1"/>
  <c r="H1889" i="79"/>
  <c r="G1889" i="79"/>
  <c r="G1794" i="79" s="1"/>
  <c r="J2151" i="79"/>
  <c r="J2152" i="79"/>
  <c r="L1866" i="79"/>
  <c r="L1822" i="79" s="1"/>
  <c r="L1865" i="79"/>
  <c r="L1821" i="79" s="1"/>
  <c r="L1864" i="79"/>
  <c r="L1820" i="79" s="1"/>
  <c r="L1863" i="79"/>
  <c r="L1819" i="79" s="1"/>
  <c r="J1796" i="79"/>
  <c r="H1795" i="79"/>
  <c r="M1862" i="79"/>
  <c r="K262" i="79"/>
  <c r="M2674" i="79"/>
  <c r="M2675" i="79"/>
  <c r="M2673" i="79"/>
  <c r="L2672" i="79"/>
  <c r="M2678" i="79"/>
  <c r="M2671" i="79" s="1"/>
  <c r="M2524" i="79"/>
  <c r="M2123" i="79"/>
  <c r="M2121" i="79"/>
  <c r="K58" i="79"/>
  <c r="AZ149" i="52" s="1"/>
  <c r="K130" i="79"/>
  <c r="K79" i="79" s="1"/>
  <c r="K41" i="79" s="1"/>
  <c r="K123" i="79"/>
  <c r="H643" i="79"/>
  <c r="I52" i="79"/>
  <c r="J149" i="52"/>
  <c r="I51" i="79"/>
  <c r="K508" i="79"/>
  <c r="K507" i="79" s="1"/>
  <c r="I8" i="79"/>
  <c r="I1889" i="79"/>
  <c r="J1888" i="79"/>
  <c r="M2152" i="79"/>
  <c r="J1889" i="79"/>
  <c r="H38" i="79"/>
  <c r="G8" i="79"/>
  <c r="H8" i="79"/>
  <c r="I7" i="79"/>
  <c r="I1888" i="79"/>
  <c r="H44" i="79"/>
  <c r="Q148" i="52" s="1"/>
  <c r="K29" i="79"/>
  <c r="AZ146" i="52" s="1"/>
  <c r="M2151" i="79"/>
  <c r="M155" i="9"/>
  <c r="J44" i="79"/>
  <c r="S148" i="52" s="1"/>
  <c r="K73" i="79"/>
  <c r="BH152" i="52" s="1"/>
  <c r="K35" i="79"/>
  <c r="BH146" i="52" s="1"/>
  <c r="L263" i="79"/>
  <c r="L262" i="79" s="1"/>
  <c r="J57" i="79"/>
  <c r="AY148" i="52" s="1"/>
  <c r="J25" i="79"/>
  <c r="AY142" i="52" s="1"/>
  <c r="K59" i="79"/>
  <c r="AZ150" i="52" s="1"/>
  <c r="K27" i="79"/>
  <c r="AZ144" i="52" s="1"/>
  <c r="J69" i="79"/>
  <c r="BG148" i="52" s="1"/>
  <c r="K1888" i="79"/>
  <c r="G2152" i="79"/>
  <c r="L330" i="79"/>
  <c r="L329" i="79" s="1"/>
  <c r="M196" i="79"/>
  <c r="M121" i="79" s="1"/>
  <c r="K95" i="79"/>
  <c r="L196" i="79"/>
  <c r="L121" i="79" s="1"/>
  <c r="L95" i="79"/>
  <c r="K2175" i="79"/>
  <c r="J2175" i="79"/>
  <c r="H2151" i="79"/>
  <c r="G1888" i="79"/>
  <c r="G1793" i="79" s="1"/>
  <c r="I2151" i="79"/>
  <c r="H2152" i="79"/>
  <c r="I2152" i="79"/>
  <c r="H1888" i="79"/>
  <c r="L2152" i="79"/>
  <c r="L2151" i="79"/>
  <c r="H7" i="79"/>
  <c r="H2175" i="79"/>
  <c r="I2175" i="79"/>
  <c r="G44" i="79"/>
  <c r="P148" i="52" s="1"/>
  <c r="K1889" i="79"/>
  <c r="G7" i="79"/>
  <c r="L93" i="79"/>
  <c r="G2151" i="79"/>
  <c r="J133" i="79"/>
  <c r="J76" i="79" s="1"/>
  <c r="G2175" i="79"/>
  <c r="G38" i="79"/>
  <c r="G1912" i="79"/>
  <c r="G1818" i="79" s="1"/>
  <c r="M420" i="79"/>
  <c r="M92" i="79" s="1"/>
  <c r="M331" i="79"/>
  <c r="M353" i="79"/>
  <c r="M286" i="79"/>
  <c r="M487" i="79"/>
  <c r="M264" i="79"/>
  <c r="L219" i="79"/>
  <c r="L89" i="79" s="1"/>
  <c r="L90" i="79"/>
  <c r="K89" i="79"/>
  <c r="L92" i="79"/>
  <c r="B208" i="52"/>
  <c r="B81" i="52"/>
  <c r="C295" i="54" a="1"/>
  <c r="C295" i="54" s="1"/>
  <c r="D295" i="54" s="1"/>
  <c r="A296" i="54"/>
  <c r="Q12" i="9"/>
  <c r="P63" i="9"/>
  <c r="Q14" i="9"/>
  <c r="O111" i="9"/>
  <c r="O115" i="9" s="1"/>
  <c r="P17" i="9"/>
  <c r="P67" i="9" s="1"/>
  <c r="P78" i="9" s="1"/>
  <c r="P146" i="9"/>
  <c r="O23" i="9"/>
  <c r="P15" i="9"/>
  <c r="N87" i="9"/>
  <c r="N96" i="9"/>
  <c r="N65" i="9"/>
  <c r="N64" i="9" s="1"/>
  <c r="N153" i="9"/>
  <c r="N156" i="9"/>
  <c r="M1912" i="79"/>
  <c r="M1831" i="79" s="1"/>
  <c r="M2175" i="79"/>
  <c r="M2082" i="79" s="1"/>
  <c r="L1912" i="79"/>
  <c r="L1831" i="79" s="1"/>
  <c r="L2175" i="79"/>
  <c r="L2082" i="79" s="1"/>
  <c r="I44" i="79"/>
  <c r="R148" i="52" s="1"/>
  <c r="I1912" i="79"/>
  <c r="K44" i="79"/>
  <c r="T148" i="52" s="1"/>
  <c r="K1912" i="79"/>
  <c r="K1831" i="79" s="1"/>
  <c r="L526" i="79"/>
  <c r="L510" i="79" s="1"/>
  <c r="AB72" i="52"/>
  <c r="AR72" i="52" s="1"/>
  <c r="J41" i="79"/>
  <c r="AB28" i="52"/>
  <c r="AR28" i="52" s="1"/>
  <c r="AB6" i="52"/>
  <c r="D546" i="59"/>
  <c r="F567" i="59"/>
  <c r="AD234" i="59"/>
  <c r="F506" i="59"/>
  <c r="D485" i="59"/>
  <c r="AB237" i="59"/>
  <c r="AC90" i="59"/>
  <c r="AD103" i="59"/>
  <c r="AD102" i="59"/>
  <c r="F486" i="59" a="1"/>
  <c r="F486" i="59" s="1"/>
  <c r="F528" i="59" s="1"/>
  <c r="D528" i="59" s="1"/>
  <c r="C487" i="59"/>
  <c r="AB64" i="59"/>
  <c r="AD6" i="59"/>
  <c r="AD55" i="59" s="1"/>
  <c r="AA223" i="59"/>
  <c r="AA224" i="59" s="1"/>
  <c r="AA225" i="59" s="1"/>
  <c r="AA236" i="59"/>
  <c r="AB89" i="59"/>
  <c r="AG62" i="9"/>
  <c r="M62" i="9"/>
  <c r="M61" i="9" s="1"/>
  <c r="BU62" i="9"/>
  <c r="BA62" i="9"/>
  <c r="CO62" i="9"/>
  <c r="AB222" i="59"/>
  <c r="AB229" i="59"/>
  <c r="AC82" i="59"/>
  <c r="D566" i="59"/>
  <c r="F608" i="59"/>
  <c r="D608" i="59" s="1"/>
  <c r="AC177" i="59"/>
  <c r="D505" i="59"/>
  <c r="F547" i="59"/>
  <c r="F589" i="59" s="1"/>
  <c r="C656" i="59"/>
  <c r="F655" i="59" a="1"/>
  <c r="F655" i="59" s="1"/>
  <c r="D655" i="59" s="1"/>
  <c r="O24" i="9"/>
  <c r="P16" i="9"/>
  <c r="N154" i="9"/>
  <c r="N97" i="9"/>
  <c r="N76" i="9"/>
  <c r="N75" i="9" s="1"/>
  <c r="N157" i="9"/>
  <c r="Q658" i="59"/>
  <c r="N657" i="59"/>
  <c r="AR146" i="52"/>
  <c r="F341" i="54"/>
  <c r="I342" i="54"/>
  <c r="A454" i="54"/>
  <c r="H453" i="54" a="1"/>
  <c r="H453" i="54" s="1"/>
  <c r="C453" i="54" a="1"/>
  <c r="C453" i="54" s="1"/>
  <c r="B453" i="54" s="1"/>
  <c r="C125" i="54" a="1"/>
  <c r="C125" i="54" s="1"/>
  <c r="B125" i="54" s="1"/>
  <c r="A126" i="54"/>
  <c r="H125" i="54" a="1"/>
  <c r="H125" i="54" s="1"/>
  <c r="B36" i="54"/>
  <c r="C78" i="54"/>
  <c r="B78" i="54" s="1"/>
  <c r="E341" i="54"/>
  <c r="B498" i="54"/>
  <c r="B314" i="54"/>
  <c r="H479" i="54" a="1"/>
  <c r="H479" i="54" s="1"/>
  <c r="C479" i="54" a="1"/>
  <c r="C479" i="54" s="1"/>
  <c r="A480" i="54"/>
  <c r="C499" i="54" a="1"/>
  <c r="C499" i="54" s="1"/>
  <c r="H499" i="54" a="1"/>
  <c r="H499" i="54" s="1"/>
  <c r="A500" i="54"/>
  <c r="C371" i="54" a="1"/>
  <c r="C371" i="54" s="1"/>
  <c r="A372" i="54"/>
  <c r="H371" i="54" a="1"/>
  <c r="H371" i="54" s="1"/>
  <c r="E295" i="54"/>
  <c r="B294" i="54"/>
  <c r="C315" i="54" a="1"/>
  <c r="C315" i="54" s="1"/>
  <c r="D315" i="54" s="1"/>
  <c r="A316" i="54"/>
  <c r="C100" i="54" a="1"/>
  <c r="C100" i="54" s="1"/>
  <c r="B100" i="54" s="1"/>
  <c r="A101" i="54"/>
  <c r="C17" i="54" a="1"/>
  <c r="C17" i="54" s="1"/>
  <c r="B17" i="54" s="1"/>
  <c r="A18" i="54"/>
  <c r="C187" i="54" a="1"/>
  <c r="C187" i="54" s="1"/>
  <c r="B187" i="54" s="1"/>
  <c r="H187" i="54" a="1"/>
  <c r="H187" i="54" s="1"/>
  <c r="A188" i="54"/>
  <c r="C145" i="54" a="1"/>
  <c r="C145" i="54" s="1"/>
  <c r="B145" i="54" s="1"/>
  <c r="A146" i="54"/>
  <c r="H145" i="54" a="1"/>
  <c r="H145" i="54" s="1"/>
  <c r="A37" i="54"/>
  <c r="C254" i="54" a="1"/>
  <c r="C254" i="54" s="1"/>
  <c r="D254" i="54" s="1"/>
  <c r="A255" i="54"/>
  <c r="C37" i="54"/>
  <c r="B16" i="54"/>
  <c r="C80" i="54" a="1"/>
  <c r="C80" i="54" s="1"/>
  <c r="B80" i="54" s="1"/>
  <c r="A81" i="54"/>
  <c r="A434" i="54"/>
  <c r="H433" i="54" a="1"/>
  <c r="H433" i="54" s="1"/>
  <c r="C433" i="54" a="1"/>
  <c r="C433" i="54" s="1"/>
  <c r="B433" i="54" s="1"/>
  <c r="C393" i="54" a="1"/>
  <c r="C393" i="54" s="1"/>
  <c r="H393" i="54" a="1"/>
  <c r="H393" i="54" s="1"/>
  <c r="A394" i="54"/>
  <c r="B339" i="54"/>
  <c r="E253" i="54"/>
  <c r="B253" i="54" s="1"/>
  <c r="C231" i="54" a="1"/>
  <c r="C231" i="54" s="1"/>
  <c r="D231" i="54" s="1"/>
  <c r="A232" i="54"/>
  <c r="H209" i="54" a="1"/>
  <c r="H209" i="54" s="1"/>
  <c r="C209" i="54" a="1"/>
  <c r="C209" i="54" s="1"/>
  <c r="B209" i="54" s="1"/>
  <c r="A210" i="54"/>
  <c r="E232" i="54"/>
  <c r="C340" i="54" a="1"/>
  <c r="C340" i="54" s="1"/>
  <c r="D340" i="54" s="1"/>
  <c r="A341" i="54"/>
  <c r="E318" i="54"/>
  <c r="B230" i="54"/>
  <c r="L396" i="79"/>
  <c r="L44" i="79"/>
  <c r="U148" i="52" s="1"/>
  <c r="M530" i="79"/>
  <c r="I38" i="79"/>
  <c r="M558" i="79"/>
  <c r="J239" i="79"/>
  <c r="J150" i="52"/>
  <c r="K217" i="79"/>
  <c r="K240" i="79"/>
  <c r="AR149" i="52"/>
  <c r="AB29" i="52"/>
  <c r="AR29" i="52" s="1"/>
  <c r="L48" i="79"/>
  <c r="U152" i="52" s="1"/>
  <c r="K741" i="79"/>
  <c r="L128" i="79"/>
  <c r="L284" i="79"/>
  <c r="L239" i="79"/>
  <c r="L133" i="79"/>
  <c r="L136" i="79"/>
  <c r="L440" i="79"/>
  <c r="L418" i="79"/>
  <c r="L130" i="79"/>
  <c r="AR148" i="52"/>
  <c r="AB7" i="52"/>
  <c r="AB117" i="52" s="1"/>
  <c r="AC152" i="52"/>
  <c r="AC150" i="52"/>
  <c r="AC151" i="52"/>
  <c r="AC148" i="52"/>
  <c r="AC149" i="52"/>
  <c r="H955" i="79"/>
  <c r="H724" i="79"/>
  <c r="L125" i="79"/>
  <c r="L463" i="79"/>
  <c r="AR151" i="52"/>
  <c r="AB73" i="52"/>
  <c r="AR73" i="52" s="1"/>
  <c r="I697" i="79"/>
  <c r="AR150" i="52"/>
  <c r="AB51" i="52"/>
  <c r="AR51" i="52" s="1"/>
  <c r="M222" i="79"/>
  <c r="M236" i="79"/>
  <c r="M220" i="79" s="1"/>
  <c r="AC146" i="52"/>
  <c r="AC142" i="52"/>
  <c r="AC143" i="52"/>
  <c r="AC144" i="52"/>
  <c r="AC145" i="52"/>
  <c r="AR152" i="52"/>
  <c r="AB95" i="52"/>
  <c r="AR95" i="52" s="1"/>
  <c r="J152" i="52"/>
  <c r="H3496" i="79" l="1"/>
  <c r="H3493" i="79" s="1"/>
  <c r="H3405" i="79" s="1"/>
  <c r="BQ123" i="52"/>
  <c r="M1279" i="79"/>
  <c r="BR184" i="52" s="1"/>
  <c r="BR13" i="52" s="1"/>
  <c r="AD135" i="52"/>
  <c r="AG247" i="9"/>
  <c r="AG164" i="9"/>
  <c r="AG129" i="9"/>
  <c r="CI59" i="9"/>
  <c r="AG49" i="9"/>
  <c r="T15" i="8" s="1"/>
  <c r="N34" i="91" s="1"/>
  <c r="AG246" i="9"/>
  <c r="AG127" i="9"/>
  <c r="AG245" i="9"/>
  <c r="AX84" i="9"/>
  <c r="AX247" i="9"/>
  <c r="CN11" i="10"/>
  <c r="CO11" i="10"/>
  <c r="CO32" i="10"/>
  <c r="CO31" i="10"/>
  <c r="AE161" i="9"/>
  <c r="R31" i="8"/>
  <c r="R30" i="8" s="1"/>
  <c r="AV161" i="9"/>
  <c r="W31" i="8"/>
  <c r="W30" i="8" s="1"/>
  <c r="AO5" i="8"/>
  <c r="AP6" i="8"/>
  <c r="P66" i="9"/>
  <c r="AX127" i="9"/>
  <c r="AX167" i="9"/>
  <c r="AX165" i="9" s="1"/>
  <c r="Y32" i="8" s="1"/>
  <c r="AX130" i="9"/>
  <c r="AX246" i="9"/>
  <c r="AX248" i="9"/>
  <c r="AX83" i="9"/>
  <c r="AY9" i="9"/>
  <c r="AY79" i="9" s="1"/>
  <c r="AX119" i="9"/>
  <c r="AX118" i="9" s="1"/>
  <c r="AX49" i="9"/>
  <c r="Y15" i="8" s="1"/>
  <c r="AX93" i="9"/>
  <c r="AX52" i="9"/>
  <c r="AX159" i="9"/>
  <c r="Y34" i="8" s="1"/>
  <c r="AX126" i="9"/>
  <c r="AX59" i="9"/>
  <c r="AX92" i="9"/>
  <c r="AX129" i="9"/>
  <c r="AX128" i="9"/>
  <c r="AX245" i="9"/>
  <c r="AX163" i="9"/>
  <c r="AX162" i="9" s="1"/>
  <c r="Y31" i="8" s="1"/>
  <c r="U470" i="54"/>
  <c r="S187" i="37"/>
  <c r="N253" i="54"/>
  <c r="E371" i="54"/>
  <c r="D370" i="54"/>
  <c r="E392" i="54"/>
  <c r="D391" i="54"/>
  <c r="B391" i="54"/>
  <c r="R253" i="54"/>
  <c r="P253" i="54"/>
  <c r="K253" i="54"/>
  <c r="B370" i="54"/>
  <c r="B371" i="54"/>
  <c r="S253" i="54"/>
  <c r="O253" i="54"/>
  <c r="M253" i="54"/>
  <c r="E434" i="54"/>
  <c r="D433" i="54"/>
  <c r="Q253" i="54"/>
  <c r="E455" i="54"/>
  <c r="D454" i="54"/>
  <c r="L253" i="54"/>
  <c r="T273" i="54"/>
  <c r="T253" i="54"/>
  <c r="U273" i="54"/>
  <c r="U274" i="54"/>
  <c r="U253" i="54"/>
  <c r="P77" i="9"/>
  <c r="U315" i="54"/>
  <c r="T315" i="54"/>
  <c r="S315" i="54"/>
  <c r="R315" i="54"/>
  <c r="O315" i="54"/>
  <c r="M315" i="54"/>
  <c r="L315" i="54"/>
  <c r="K315" i="54"/>
  <c r="Q315" i="54"/>
  <c r="N315" i="54"/>
  <c r="P315" i="54"/>
  <c r="K499" i="54"/>
  <c r="L499" i="54"/>
  <c r="M499" i="54"/>
  <c r="N499" i="54"/>
  <c r="O499" i="54"/>
  <c r="P499" i="54"/>
  <c r="Q499" i="54"/>
  <c r="R499" i="54" s="1"/>
  <c r="S499" i="54" s="1"/>
  <c r="T499" i="54" s="1"/>
  <c r="U499" i="54" s="1"/>
  <c r="V499" i="54" s="1"/>
  <c r="P295" i="54"/>
  <c r="R295" i="54"/>
  <c r="S295" i="54"/>
  <c r="U295" i="54"/>
  <c r="T295" i="54"/>
  <c r="Q295" i="54"/>
  <c r="O295" i="54"/>
  <c r="M295" i="54"/>
  <c r="L295" i="54"/>
  <c r="N295" i="54"/>
  <c r="K295" i="54"/>
  <c r="M231" i="54"/>
  <c r="R231" i="54"/>
  <c r="T231" i="54"/>
  <c r="Q231" i="54"/>
  <c r="L231" i="54"/>
  <c r="P231" i="54"/>
  <c r="S231" i="54"/>
  <c r="O231" i="54"/>
  <c r="K231" i="54"/>
  <c r="N231" i="54"/>
  <c r="AF76" i="9"/>
  <c r="AF75" i="9" s="1"/>
  <c r="AX201" i="9"/>
  <c r="AX197" i="9"/>
  <c r="AX195" i="9"/>
  <c r="AF65" i="9"/>
  <c r="AF64" i="9" s="1"/>
  <c r="BP65" i="9"/>
  <c r="BP64" i="9" s="1"/>
  <c r="CI201" i="9"/>
  <c r="CI197" i="9"/>
  <c r="AW76" i="9"/>
  <c r="AW75" i="9" s="1"/>
  <c r="AG197" i="9"/>
  <c r="AG201" i="9"/>
  <c r="AG195" i="9"/>
  <c r="AH10" i="9"/>
  <c r="AW65" i="9"/>
  <c r="AW64" i="9" s="1"/>
  <c r="BP76" i="9"/>
  <c r="BP75" i="9" s="1"/>
  <c r="BQ201" i="9"/>
  <c r="BQ197" i="9"/>
  <c r="Q140" i="9"/>
  <c r="Q139" i="9" s="1"/>
  <c r="Q201" i="9"/>
  <c r="Q79" i="9"/>
  <c r="Q197" i="9"/>
  <c r="CF140" i="9"/>
  <c r="CI195" i="9"/>
  <c r="N99" i="9"/>
  <c r="N95" i="9" s="1"/>
  <c r="Q28" i="56"/>
  <c r="Q20" i="56" s="1"/>
  <c r="Q53" i="56"/>
  <c r="S291" i="54"/>
  <c r="S292" i="54"/>
  <c r="S285" i="54"/>
  <c r="T226" i="54"/>
  <c r="T225" i="54"/>
  <c r="T289" i="54"/>
  <c r="T288" i="54"/>
  <c r="T309" i="54"/>
  <c r="T310" i="54"/>
  <c r="T228" i="54"/>
  <c r="T222" i="54"/>
  <c r="T229" i="54"/>
  <c r="S271" i="54"/>
  <c r="S270" i="54"/>
  <c r="S264" i="54"/>
  <c r="S312" i="54"/>
  <c r="S306" i="54"/>
  <c r="S313" i="54"/>
  <c r="T247" i="54"/>
  <c r="T246" i="54"/>
  <c r="T268" i="54"/>
  <c r="T267" i="54"/>
  <c r="S250" i="54"/>
  <c r="S249" i="54"/>
  <c r="S243" i="54"/>
  <c r="CI140" i="9"/>
  <c r="CI139" i="9" s="1"/>
  <c r="CI73" i="9"/>
  <c r="CI72" i="9"/>
  <c r="CI79" i="9"/>
  <c r="CI77" i="9" s="1"/>
  <c r="CI68" i="9"/>
  <c r="CI66" i="9" s="1"/>
  <c r="BQ92" i="9"/>
  <c r="BQ72" i="9"/>
  <c r="BQ73" i="9"/>
  <c r="BQ68" i="9"/>
  <c r="BQ66" i="9" s="1"/>
  <c r="BQ79" i="9"/>
  <c r="BQ77" i="9" s="1"/>
  <c r="AX140" i="9"/>
  <c r="AX139" i="9" s="1"/>
  <c r="AX73" i="9"/>
  <c r="AX249" i="9" s="1"/>
  <c r="AX72" i="9"/>
  <c r="AX68" i="9"/>
  <c r="AX66" i="9" s="1"/>
  <c r="AX79" i="9"/>
  <c r="AX77" i="9" s="1"/>
  <c r="AG140" i="9"/>
  <c r="AG139" i="9" s="1"/>
  <c r="AG73" i="9"/>
  <c r="AG72" i="9"/>
  <c r="AG79" i="9"/>
  <c r="AG77" i="9" s="1"/>
  <c r="AG68" i="9"/>
  <c r="AG66" i="9" s="1"/>
  <c r="AF249" i="9"/>
  <c r="AF244" i="9" s="1"/>
  <c r="AF237" i="9" s="1"/>
  <c r="P249" i="9"/>
  <c r="AW249" i="9"/>
  <c r="AW244" i="9" s="1"/>
  <c r="AW237" i="9" s="1"/>
  <c r="BP249" i="9"/>
  <c r="BP244" i="9" s="1"/>
  <c r="BP237" i="9" s="1"/>
  <c r="AW162" i="9"/>
  <c r="X31" i="8" s="1"/>
  <c r="X30" i="8" s="1"/>
  <c r="AF162" i="9"/>
  <c r="AG59" i="9"/>
  <c r="AG57" i="9" s="1"/>
  <c r="AG56" i="9" s="1"/>
  <c r="T17" i="8" s="1"/>
  <c r="AG92" i="9"/>
  <c r="AG52" i="9"/>
  <c r="AG84" i="9"/>
  <c r="AG83" i="9"/>
  <c r="AG119" i="9"/>
  <c r="AG118" i="9" s="1"/>
  <c r="AG163" i="9"/>
  <c r="AG162" i="9" s="1"/>
  <c r="T31" i="8" s="1"/>
  <c r="AG130" i="9"/>
  <c r="AG128" i="9"/>
  <c r="AG126" i="9"/>
  <c r="AH9" i="9"/>
  <c r="AG167" i="9"/>
  <c r="AG165" i="9" s="1"/>
  <c r="T32" i="8" s="1"/>
  <c r="AG159" i="9"/>
  <c r="T34" i="8" s="1"/>
  <c r="AG93" i="9"/>
  <c r="BQ119" i="52"/>
  <c r="BQ121" i="52"/>
  <c r="BR97" i="52"/>
  <c r="BR9" i="52"/>
  <c r="BR99" i="52"/>
  <c r="BR121" i="52" s="1"/>
  <c r="AB116" i="52"/>
  <c r="BR101" i="52"/>
  <c r="AA96" i="52"/>
  <c r="AQ96" i="52" s="1"/>
  <c r="B102" i="52"/>
  <c r="B124" i="52"/>
  <c r="J51" i="52"/>
  <c r="J29" i="52"/>
  <c r="J95" i="52"/>
  <c r="I3493" i="79"/>
  <c r="I3405" i="79" s="1"/>
  <c r="J3093" i="79"/>
  <c r="G3465" i="79"/>
  <c r="I3125" i="79"/>
  <c r="J3465" i="79"/>
  <c r="J3404" i="79" s="1"/>
  <c r="G3093" i="79"/>
  <c r="B193" i="52"/>
  <c r="B188" i="52"/>
  <c r="B16" i="52"/>
  <c r="Q41" i="56"/>
  <c r="Q43" i="56"/>
  <c r="Q39" i="56"/>
  <c r="Q42" i="56"/>
  <c r="Q40" i="56"/>
  <c r="AT25" i="52"/>
  <c r="AT135" i="52" s="1"/>
  <c r="V117" i="54"/>
  <c r="S116" i="54"/>
  <c r="S114" i="54"/>
  <c r="CJ10" i="9"/>
  <c r="T108" i="37"/>
  <c r="S48" i="37"/>
  <c r="S114" i="37"/>
  <c r="S128" i="37" s="1"/>
  <c r="T107" i="37"/>
  <c r="S47" i="37"/>
  <c r="S69" i="37" s="1"/>
  <c r="S113" i="37"/>
  <c r="S127" i="37" s="1"/>
  <c r="T110" i="37"/>
  <c r="S50" i="37"/>
  <c r="S116" i="37"/>
  <c r="S130" i="37" s="1"/>
  <c r="T111" i="37"/>
  <c r="S51" i="37"/>
  <c r="S117" i="37"/>
  <c r="S131" i="37" s="1"/>
  <c r="T109" i="37"/>
  <c r="S49" i="37"/>
  <c r="S115" i="37"/>
  <c r="S129" i="37" s="1"/>
  <c r="K1222" i="79"/>
  <c r="K1219" i="79" s="1"/>
  <c r="H1448" i="79"/>
  <c r="H1444" i="79" s="1"/>
  <c r="G1493" i="79"/>
  <c r="G1489" i="79" s="1"/>
  <c r="G1202" i="79"/>
  <c r="H1493" i="79"/>
  <c r="H1489" i="79" s="1"/>
  <c r="K962" i="79"/>
  <c r="H980" i="79"/>
  <c r="H978" i="79" s="1"/>
  <c r="Y161" i="52" s="1"/>
  <c r="K1211" i="79"/>
  <c r="K1209" i="79" s="1"/>
  <c r="G980" i="79"/>
  <c r="G978" i="79" s="1"/>
  <c r="J980" i="79"/>
  <c r="J978" i="79" s="1"/>
  <c r="I980" i="79"/>
  <c r="I978" i="79" s="1"/>
  <c r="I991" i="79"/>
  <c r="H991" i="79"/>
  <c r="G991" i="79"/>
  <c r="J991" i="79"/>
  <c r="H1222" i="79"/>
  <c r="H1219" i="79" s="1"/>
  <c r="H1132" i="79"/>
  <c r="H1128" i="79" s="1"/>
  <c r="I1169" i="79"/>
  <c r="I1165" i="79" s="1"/>
  <c r="G1132" i="79"/>
  <c r="G1128" i="79" s="1"/>
  <c r="H1095" i="79"/>
  <c r="H1091" i="79" s="1"/>
  <c r="G1095" i="79"/>
  <c r="G1091" i="79" s="1"/>
  <c r="L964" i="79"/>
  <c r="L973" i="79"/>
  <c r="I1206" i="79"/>
  <c r="I1202" i="79" s="1"/>
  <c r="I848" i="79"/>
  <c r="I844" i="79" s="1"/>
  <c r="I885" i="79"/>
  <c r="I881" i="79" s="1"/>
  <c r="AB23" i="10"/>
  <c r="BX22" i="10"/>
  <c r="BY22" i="10" s="1"/>
  <c r="I3524" i="79"/>
  <c r="I3526" i="79"/>
  <c r="L18" i="56"/>
  <c r="O198" i="54" s="1"/>
  <c r="L260" i="80"/>
  <c r="I3161" i="79"/>
  <c r="I3163" i="79"/>
  <c r="O22" i="56"/>
  <c r="O15" i="56"/>
  <c r="J3496" i="79"/>
  <c r="J3498" i="79"/>
  <c r="G3166" i="79"/>
  <c r="G3529" i="79"/>
  <c r="J3129" i="79"/>
  <c r="J3131" i="79"/>
  <c r="G3129" i="79"/>
  <c r="G3131" i="79"/>
  <c r="P21" i="56"/>
  <c r="P14" i="56"/>
  <c r="G3496" i="79"/>
  <c r="G3498" i="79"/>
  <c r="K3134" i="79"/>
  <c r="K3501" i="79"/>
  <c r="J3166" i="79"/>
  <c r="J3529" i="79"/>
  <c r="M24" i="56"/>
  <c r="M18" i="56" s="1"/>
  <c r="P198" i="54" s="1"/>
  <c r="M17" i="56"/>
  <c r="P177" i="54" s="1"/>
  <c r="M259" i="80"/>
  <c r="L1683" i="79"/>
  <c r="N23" i="56"/>
  <c r="N16" i="56"/>
  <c r="Q135" i="54" s="1"/>
  <c r="R135" i="54" s="1"/>
  <c r="S135" i="54" s="1"/>
  <c r="T135" i="54" s="1"/>
  <c r="U135" i="54" s="1"/>
  <c r="V135" i="54" s="1"/>
  <c r="M743" i="79"/>
  <c r="M964" i="79" s="1"/>
  <c r="M736" i="79"/>
  <c r="J728" i="79"/>
  <c r="J701" i="79"/>
  <c r="K701" i="79"/>
  <c r="K697" i="79" s="1"/>
  <c r="I620" i="79"/>
  <c r="H620" i="79"/>
  <c r="G620" i="79"/>
  <c r="J962" i="79"/>
  <c r="AA166" i="52" s="1"/>
  <c r="I962" i="79"/>
  <c r="Z169" i="52" s="1"/>
  <c r="H962" i="79"/>
  <c r="G962" i="79"/>
  <c r="N161" i="9"/>
  <c r="BQ167" i="9"/>
  <c r="BQ165" i="9" s="1"/>
  <c r="BQ246" i="9"/>
  <c r="BQ129" i="9"/>
  <c r="BQ59" i="9"/>
  <c r="BQ127" i="9"/>
  <c r="BQ248" i="9"/>
  <c r="BQ83" i="9"/>
  <c r="BQ119" i="9"/>
  <c r="BQ118" i="9" s="1"/>
  <c r="BQ164" i="9"/>
  <c r="BQ52" i="9"/>
  <c r="BQ49" i="9"/>
  <c r="AF15" i="8" s="1"/>
  <c r="BQ128" i="9"/>
  <c r="BQ245" i="9"/>
  <c r="BQ93" i="9"/>
  <c r="BQ84" i="9"/>
  <c r="BQ247" i="9"/>
  <c r="BQ126" i="9"/>
  <c r="BQ159" i="9"/>
  <c r="BQ130" i="9"/>
  <c r="BQ140" i="9"/>
  <c r="BQ139" i="9" s="1"/>
  <c r="N244" i="9"/>
  <c r="N237" i="9" s="1"/>
  <c r="CP62" i="9"/>
  <c r="N62" i="9"/>
  <c r="N61" i="9" s="1"/>
  <c r="BB62" i="9"/>
  <c r="BV62" i="9"/>
  <c r="AH62" i="9"/>
  <c r="AW98" i="9"/>
  <c r="BQ163" i="9"/>
  <c r="O167" i="9"/>
  <c r="O165" i="9" s="1"/>
  <c r="O245" i="9"/>
  <c r="P10" i="9"/>
  <c r="P195" i="9" s="1"/>
  <c r="O164" i="9"/>
  <c r="O162" i="9" s="1"/>
  <c r="O59" i="9"/>
  <c r="O57" i="9" s="1"/>
  <c r="O56" i="9" s="1"/>
  <c r="O246" i="9"/>
  <c r="O128" i="9"/>
  <c r="O52" i="9"/>
  <c r="O98" i="9" s="1"/>
  <c r="O159" i="9"/>
  <c r="O247" i="9"/>
  <c r="BR9" i="9"/>
  <c r="BR195" i="9" s="1"/>
  <c r="BP162" i="9"/>
  <c r="BP161" i="9" s="1"/>
  <c r="CI248" i="9"/>
  <c r="B479" i="54"/>
  <c r="Q119" i="9"/>
  <c r="Q118" i="9" s="1"/>
  <c r="Q248" i="9"/>
  <c r="Q68" i="9"/>
  <c r="CI119" i="9"/>
  <c r="CI118" i="9" s="1"/>
  <c r="AE155" i="9"/>
  <c r="R38" i="8" s="1"/>
  <c r="AW96" i="9"/>
  <c r="AW156" i="9"/>
  <c r="AW87" i="9"/>
  <c r="AW153" i="9"/>
  <c r="AH17" i="9"/>
  <c r="AH67" i="9" s="1"/>
  <c r="AH78" i="9" s="1"/>
  <c r="AG111" i="9"/>
  <c r="AG115" i="9" s="1"/>
  <c r="AX111" i="9"/>
  <c r="AX115" i="9" s="1"/>
  <c r="AY17" i="9"/>
  <c r="AY67" i="9" s="1"/>
  <c r="AY78" i="9" s="1"/>
  <c r="CJ19" i="9"/>
  <c r="CI245" i="9"/>
  <c r="AZ13" i="9"/>
  <c r="AY166" i="9"/>
  <c r="CJ166" i="9"/>
  <c r="CK13" i="9"/>
  <c r="AI18" i="9"/>
  <c r="AH58" i="9"/>
  <c r="CJ21" i="9"/>
  <c r="CJ71" i="9" s="1"/>
  <c r="AG23" i="9"/>
  <c r="AH15" i="9"/>
  <c r="BR16" i="9"/>
  <c r="BQ24" i="9"/>
  <c r="CI246" i="9"/>
  <c r="AZ12" i="9"/>
  <c r="AI13" i="9"/>
  <c r="AH166" i="9"/>
  <c r="AY21" i="9"/>
  <c r="AY71" i="9" s="1"/>
  <c r="AH21" i="9"/>
  <c r="AH71" i="9" s="1"/>
  <c r="AZ10" i="9"/>
  <c r="AF156" i="9"/>
  <c r="AF96" i="9"/>
  <c r="AF87" i="9"/>
  <c r="AF153" i="9"/>
  <c r="CK10" i="9"/>
  <c r="CI52" i="9"/>
  <c r="BO155" i="9"/>
  <c r="CK18" i="9"/>
  <c r="CK58" i="9" s="1"/>
  <c r="CJ150" i="9"/>
  <c r="BQ23" i="9"/>
  <c r="BR15" i="9"/>
  <c r="BR20" i="9"/>
  <c r="BR21" i="9"/>
  <c r="BR71" i="9" s="1"/>
  <c r="BS18" i="9"/>
  <c r="BR150" i="9"/>
  <c r="BP97" i="9"/>
  <c r="BP154" i="9"/>
  <c r="BP157" i="9"/>
  <c r="BP99" i="9"/>
  <c r="BP87" i="9"/>
  <c r="BP156" i="9"/>
  <c r="BP153" i="9"/>
  <c r="BP96" i="9"/>
  <c r="BP98" i="9"/>
  <c r="CI164" i="9"/>
  <c r="BR14" i="9"/>
  <c r="BQ146" i="9"/>
  <c r="BQ63" i="9"/>
  <c r="BQ61" i="9" s="1"/>
  <c r="BS10" i="9"/>
  <c r="CJ20" i="9"/>
  <c r="BR166" i="9"/>
  <c r="BS13" i="9"/>
  <c r="AE95" i="9"/>
  <c r="R20" i="8" s="1"/>
  <c r="AF98" i="9"/>
  <c r="AY20" i="9"/>
  <c r="AH20" i="9"/>
  <c r="BQ111" i="9"/>
  <c r="BQ115" i="9" s="1"/>
  <c r="BR17" i="9"/>
  <c r="BR67" i="9" s="1"/>
  <c r="BR78" i="9" s="1"/>
  <c r="CK12" i="9"/>
  <c r="AY16" i="9"/>
  <c r="AX24" i="9"/>
  <c r="CI127" i="9"/>
  <c r="CI84" i="9"/>
  <c r="CI129" i="9"/>
  <c r="CJ9" i="9"/>
  <c r="CI126" i="9"/>
  <c r="CI93" i="9"/>
  <c r="CI163" i="9"/>
  <c r="CI130" i="9"/>
  <c r="CI83" i="9"/>
  <c r="CI92" i="9"/>
  <c r="CI49" i="9"/>
  <c r="AL15" i="8" s="1"/>
  <c r="CI159" i="9"/>
  <c r="AI12" i="9"/>
  <c r="AY19" i="9"/>
  <c r="CI63" i="9"/>
  <c r="CI61" i="9" s="1"/>
  <c r="CJ14" i="9"/>
  <c r="CI146" i="9"/>
  <c r="CI247" i="9"/>
  <c r="CI167" i="9"/>
  <c r="CI165" i="9" s="1"/>
  <c r="AG24" i="9"/>
  <c r="AH16" i="9"/>
  <c r="CI24" i="9"/>
  <c r="CJ16" i="9"/>
  <c r="AW154" i="9"/>
  <c r="AW157" i="9"/>
  <c r="AW97" i="9"/>
  <c r="AW99" i="9"/>
  <c r="BO95" i="9"/>
  <c r="AD20" i="8" s="1"/>
  <c r="BR19" i="9"/>
  <c r="BS12" i="9"/>
  <c r="AV95" i="9"/>
  <c r="W20" i="8" s="1"/>
  <c r="AX63" i="9"/>
  <c r="AX61" i="9" s="1"/>
  <c r="AY14" i="9"/>
  <c r="AX146" i="9"/>
  <c r="AX23" i="9"/>
  <c r="AY15" i="9"/>
  <c r="AF99" i="9"/>
  <c r="AF97" i="9"/>
  <c r="AF157" i="9"/>
  <c r="AF154" i="9"/>
  <c r="CI111" i="9"/>
  <c r="CI115" i="9" s="1"/>
  <c r="CJ17" i="9"/>
  <c r="CJ67" i="9" s="1"/>
  <c r="CJ78" i="9" s="1"/>
  <c r="AV155" i="9"/>
  <c r="W38" i="8" s="1"/>
  <c r="CI128" i="9"/>
  <c r="AG63" i="9"/>
  <c r="AG61" i="9" s="1"/>
  <c r="AH14" i="9"/>
  <c r="AG146" i="9"/>
  <c r="AZ18" i="9"/>
  <c r="AY150" i="9"/>
  <c r="CI23" i="9"/>
  <c r="CJ15" i="9"/>
  <c r="AH19" i="9"/>
  <c r="O62" i="9"/>
  <c r="O61" i="9" s="1"/>
  <c r="CQ62" i="9"/>
  <c r="BC62" i="9"/>
  <c r="AI62" i="9"/>
  <c r="BW62" i="9"/>
  <c r="AA157" i="52"/>
  <c r="AQ157" i="52" s="1"/>
  <c r="H3125" i="79"/>
  <c r="K3093" i="79"/>
  <c r="L3437" i="79"/>
  <c r="L3403" i="79" s="1"/>
  <c r="M3029" i="79"/>
  <c r="K3465" i="79"/>
  <c r="K3404" i="79" s="1"/>
  <c r="L3061" i="79"/>
  <c r="I1850" i="79"/>
  <c r="J143" i="52"/>
  <c r="J144" i="52"/>
  <c r="J145" i="52"/>
  <c r="I145" i="52"/>
  <c r="H143" i="52"/>
  <c r="I144" i="52"/>
  <c r="K145" i="52"/>
  <c r="H145" i="52"/>
  <c r="I143" i="52"/>
  <c r="H144" i="52"/>
  <c r="J146" i="52"/>
  <c r="I146" i="52"/>
  <c r="H146" i="52"/>
  <c r="AQ158" i="52"/>
  <c r="AA154" i="52"/>
  <c r="AQ154" i="52" s="1"/>
  <c r="AA156" i="52"/>
  <c r="AQ156" i="52" s="1"/>
  <c r="AA155" i="52"/>
  <c r="AA30" i="52" s="1"/>
  <c r="AD149" i="52"/>
  <c r="AD29" i="52" s="1"/>
  <c r="AT29" i="52" s="1"/>
  <c r="J54" i="79"/>
  <c r="J10" i="79"/>
  <c r="K152" i="52"/>
  <c r="J67" i="79"/>
  <c r="J726" i="79" s="1"/>
  <c r="L72" i="79"/>
  <c r="BI151" i="52" s="1"/>
  <c r="M3412" i="79"/>
  <c r="M3414" i="79"/>
  <c r="M3440" i="79"/>
  <c r="M3442" i="79"/>
  <c r="L3102" i="79"/>
  <c r="L3473" i="79"/>
  <c r="M3065" i="79"/>
  <c r="M3067" i="79"/>
  <c r="M3035" i="79"/>
  <c r="L3412" i="79"/>
  <c r="L3414" i="79"/>
  <c r="H3161" i="79"/>
  <c r="H3163" i="79"/>
  <c r="L3033" i="79"/>
  <c r="L3035" i="79"/>
  <c r="H3524" i="79"/>
  <c r="H3526" i="79"/>
  <c r="L129" i="79"/>
  <c r="L485" i="79"/>
  <c r="M486" i="79"/>
  <c r="M485" i="79" s="1"/>
  <c r="M352" i="79"/>
  <c r="M351" i="79" s="1"/>
  <c r="M98" i="79"/>
  <c r="M72" i="79" s="1"/>
  <c r="BJ151" i="52" s="1"/>
  <c r="M510" i="79"/>
  <c r="M512" i="79"/>
  <c r="M509" i="79" s="1"/>
  <c r="M93" i="79" s="1"/>
  <c r="M285" i="79"/>
  <c r="M128" i="79" s="1"/>
  <c r="L32" i="79"/>
  <c r="BI143" i="52" s="1"/>
  <c r="L134" i="79"/>
  <c r="J40" i="79"/>
  <c r="J8" i="79"/>
  <c r="M392" i="79"/>
  <c r="M378" i="79"/>
  <c r="M375" i="79" s="1"/>
  <c r="M91" i="79" s="1"/>
  <c r="L376" i="79"/>
  <c r="L374" i="79" s="1"/>
  <c r="L97" i="79"/>
  <c r="K71" i="79"/>
  <c r="BH150" i="52" s="1"/>
  <c r="K33" i="79"/>
  <c r="BH144" i="52" s="1"/>
  <c r="K373" i="79"/>
  <c r="K135" i="79"/>
  <c r="K78" i="79" s="1"/>
  <c r="J39" i="79"/>
  <c r="J7" i="79"/>
  <c r="M311" i="79"/>
  <c r="M308" i="79" s="1"/>
  <c r="M90" i="79" s="1"/>
  <c r="M325" i="79"/>
  <c r="K70" i="79"/>
  <c r="BH149" i="52" s="1"/>
  <c r="K32" i="79"/>
  <c r="BH143" i="52" s="1"/>
  <c r="K134" i="79"/>
  <c r="K77" i="79" s="1"/>
  <c r="K39" i="79" s="1"/>
  <c r="K306" i="79"/>
  <c r="M242" i="79"/>
  <c r="M240" i="79" s="1"/>
  <c r="N150" i="9"/>
  <c r="AH150" i="9"/>
  <c r="AB176" i="59"/>
  <c r="I2110" i="79"/>
  <c r="G2110" i="79"/>
  <c r="K2104" i="79"/>
  <c r="J2110" i="79"/>
  <c r="G1859" i="79"/>
  <c r="H2110" i="79"/>
  <c r="J2109" i="79"/>
  <c r="K66" i="79"/>
  <c r="K2109" i="79"/>
  <c r="G2109" i="79"/>
  <c r="H2103" i="79"/>
  <c r="I2109" i="79"/>
  <c r="J66" i="79"/>
  <c r="J699" i="79" s="1"/>
  <c r="I2108" i="79"/>
  <c r="K2114" i="79"/>
  <c r="J2108" i="79"/>
  <c r="H2108" i="79"/>
  <c r="I2107" i="79"/>
  <c r="G2107" i="79"/>
  <c r="H2107" i="79"/>
  <c r="J2101" i="79"/>
  <c r="J1850" i="79"/>
  <c r="G1856" i="79"/>
  <c r="K1856" i="79"/>
  <c r="J1845" i="79"/>
  <c r="Q166" i="9"/>
  <c r="R13" i="9"/>
  <c r="R166" i="9" s="1"/>
  <c r="D589" i="59"/>
  <c r="F631" i="59"/>
  <c r="D631" i="59" s="1"/>
  <c r="M1783" i="79"/>
  <c r="M1780" i="79"/>
  <c r="N258" i="80"/>
  <c r="T164" i="37"/>
  <c r="T191" i="37" s="1"/>
  <c r="V251" i="54" s="1"/>
  <c r="T165" i="37"/>
  <c r="T192" i="37" s="1"/>
  <c r="V293" i="54" s="1"/>
  <c r="T163" i="37"/>
  <c r="T190" i="37" s="1"/>
  <c r="V272" i="54" s="1"/>
  <c r="T166" i="37"/>
  <c r="T193" i="37" s="1"/>
  <c r="V314" i="54" s="1"/>
  <c r="T162" i="37"/>
  <c r="J1851" i="79"/>
  <c r="S183" i="37"/>
  <c r="U231" i="54" s="1"/>
  <c r="S189" i="37"/>
  <c r="U230" i="54" s="1"/>
  <c r="R76" i="37"/>
  <c r="T269" i="54" s="1"/>
  <c r="R70" i="37"/>
  <c r="T265" i="54"/>
  <c r="R79" i="37"/>
  <c r="T311" i="54" s="1"/>
  <c r="R73" i="37"/>
  <c r="T307" i="54"/>
  <c r="R77" i="37"/>
  <c r="T248" i="54" s="1"/>
  <c r="T244" i="54"/>
  <c r="R71" i="37"/>
  <c r="R78" i="37"/>
  <c r="T290" i="54" s="1"/>
  <c r="T286" i="54"/>
  <c r="R72" i="37"/>
  <c r="R75" i="37"/>
  <c r="T227" i="54" s="1"/>
  <c r="T223" i="54"/>
  <c r="T24" i="37"/>
  <c r="J1857" i="79"/>
  <c r="M1681" i="79"/>
  <c r="J1844" i="79"/>
  <c r="J1856" i="79"/>
  <c r="R52" i="56"/>
  <c r="R26" i="56"/>
  <c r="R27" i="56"/>
  <c r="S8" i="56"/>
  <c r="R51" i="56"/>
  <c r="AK62" i="9"/>
  <c r="BE62" i="9"/>
  <c r="Q62" i="9"/>
  <c r="CS62" i="9"/>
  <c r="Q129" i="9"/>
  <c r="Q126" i="9"/>
  <c r="Q163" i="9"/>
  <c r="Q93" i="9"/>
  <c r="Q130" i="9"/>
  <c r="Q127" i="9"/>
  <c r="Q84" i="9"/>
  <c r="Q72" i="9"/>
  <c r="Q83" i="9"/>
  <c r="R9" i="9"/>
  <c r="Q92" i="9"/>
  <c r="Q73" i="9"/>
  <c r="X154" i="52"/>
  <c r="AN154" i="52" s="1"/>
  <c r="X156" i="52"/>
  <c r="AN156" i="52" s="1"/>
  <c r="H6" i="79"/>
  <c r="Y154" i="52"/>
  <c r="Y8" i="52" s="1"/>
  <c r="Y155" i="52"/>
  <c r="AO155" i="52" s="1"/>
  <c r="Y156" i="52"/>
  <c r="Y52" i="52" s="1"/>
  <c r="Y157" i="52"/>
  <c r="Y74" i="52" s="1"/>
  <c r="G1844" i="79"/>
  <c r="I6" i="79"/>
  <c r="X157" i="52"/>
  <c r="AN157" i="52" s="1"/>
  <c r="G1853" i="79"/>
  <c r="G1847" i="79"/>
  <c r="G1850" i="79"/>
  <c r="K1818" i="79"/>
  <c r="M1818" i="79"/>
  <c r="I1831" i="79"/>
  <c r="I1818" i="79"/>
  <c r="L1818" i="79"/>
  <c r="L1859" i="79"/>
  <c r="J1853" i="79"/>
  <c r="J1859" i="79"/>
  <c r="H1852" i="79"/>
  <c r="H1858" i="79"/>
  <c r="K1859" i="79"/>
  <c r="H1853" i="79"/>
  <c r="H1859" i="79"/>
  <c r="K1857" i="79"/>
  <c r="J1849" i="79"/>
  <c r="J1855" i="79"/>
  <c r="I1852" i="79"/>
  <c r="I1858" i="79"/>
  <c r="J1852" i="79"/>
  <c r="J1858" i="79"/>
  <c r="H1849" i="79"/>
  <c r="H1855" i="79"/>
  <c r="I1851" i="79"/>
  <c r="I1857" i="79"/>
  <c r="L1856" i="79"/>
  <c r="K1858" i="79"/>
  <c r="L1857" i="79"/>
  <c r="G1851" i="79"/>
  <c r="G1857" i="79"/>
  <c r="H1851" i="79"/>
  <c r="H1857" i="79"/>
  <c r="L1858" i="79"/>
  <c r="G1852" i="79"/>
  <c r="G1858" i="79"/>
  <c r="I1853" i="79"/>
  <c r="I1859" i="79"/>
  <c r="K1850" i="79"/>
  <c r="K1852" i="79"/>
  <c r="H1850" i="79"/>
  <c r="K1853" i="79"/>
  <c r="L1851" i="79"/>
  <c r="L1852" i="79"/>
  <c r="K1851" i="79"/>
  <c r="L1853" i="79"/>
  <c r="L1850" i="79"/>
  <c r="L1844" i="79"/>
  <c r="H1844" i="79"/>
  <c r="G1845" i="79"/>
  <c r="H1845" i="79"/>
  <c r="G1846" i="79"/>
  <c r="I1847" i="79"/>
  <c r="L1847" i="79"/>
  <c r="K1845" i="79"/>
  <c r="J1847" i="79"/>
  <c r="H1846" i="79"/>
  <c r="L1846" i="79"/>
  <c r="H1847" i="79"/>
  <c r="K1847" i="79"/>
  <c r="J1843" i="79"/>
  <c r="I1846" i="79"/>
  <c r="K1844" i="79"/>
  <c r="J1846" i="79"/>
  <c r="K1846" i="79"/>
  <c r="H1843" i="79"/>
  <c r="I1845" i="79"/>
  <c r="L1845" i="79"/>
  <c r="H21" i="79"/>
  <c r="L1803" i="79"/>
  <c r="I1806" i="79"/>
  <c r="J1803" i="79"/>
  <c r="K1807" i="79"/>
  <c r="I1807" i="79"/>
  <c r="I21" i="79"/>
  <c r="H1807" i="79"/>
  <c r="H1808" i="79"/>
  <c r="J1800" i="79"/>
  <c r="G1800" i="79"/>
  <c r="K1800" i="79"/>
  <c r="I1809" i="79"/>
  <c r="H1809" i="79"/>
  <c r="K1809" i="79"/>
  <c r="H1800" i="79"/>
  <c r="H1806" i="79"/>
  <c r="K1808" i="79"/>
  <c r="I1808" i="79"/>
  <c r="J1801" i="79"/>
  <c r="L1801" i="79"/>
  <c r="K1801" i="79"/>
  <c r="G1803" i="79"/>
  <c r="M1827" i="79"/>
  <c r="M1801" i="79"/>
  <c r="I1803" i="79"/>
  <c r="H1796" i="79"/>
  <c r="H1803" i="79"/>
  <c r="L1800" i="79"/>
  <c r="I1800" i="79"/>
  <c r="K1796" i="79"/>
  <c r="K1803" i="79"/>
  <c r="I1801" i="79"/>
  <c r="G1801" i="79"/>
  <c r="K1795" i="79"/>
  <c r="K1802" i="79"/>
  <c r="I1802" i="79"/>
  <c r="H1801" i="79"/>
  <c r="M1829" i="79"/>
  <c r="M1825" i="79"/>
  <c r="G1802" i="79"/>
  <c r="L1802" i="79"/>
  <c r="J1795" i="79"/>
  <c r="J1802" i="79"/>
  <c r="M1826" i="79"/>
  <c r="M1800" i="79"/>
  <c r="M1828" i="79"/>
  <c r="M1802" i="79"/>
  <c r="G2163" i="79"/>
  <c r="G1900" i="79"/>
  <c r="J2163" i="79"/>
  <c r="J1900" i="79"/>
  <c r="M2163" i="79"/>
  <c r="M1900" i="79"/>
  <c r="L2163" i="79"/>
  <c r="L1900" i="79"/>
  <c r="K2163" i="79"/>
  <c r="K1900" i="79"/>
  <c r="G1906" i="79"/>
  <c r="G1907" i="79"/>
  <c r="G1903" i="79"/>
  <c r="G1909" i="79"/>
  <c r="G1908" i="79"/>
  <c r="G1901" i="79"/>
  <c r="G1902" i="79"/>
  <c r="J1908" i="79"/>
  <c r="J1903" i="79"/>
  <c r="J1906" i="79"/>
  <c r="J1907" i="79"/>
  <c r="J1909" i="79"/>
  <c r="J1902" i="79"/>
  <c r="J1901" i="79"/>
  <c r="Z158" i="52"/>
  <c r="K2110" i="79"/>
  <c r="Z154" i="52"/>
  <c r="Z8" i="52" s="1"/>
  <c r="Z156" i="52"/>
  <c r="AP156" i="52" s="1"/>
  <c r="Z155" i="52"/>
  <c r="Z30" i="52" s="1"/>
  <c r="K2108" i="79"/>
  <c r="K2102" i="79"/>
  <c r="G22" i="79"/>
  <c r="K2170" i="79"/>
  <c r="G2150" i="79"/>
  <c r="G2039" i="79" s="1"/>
  <c r="X155" i="52"/>
  <c r="X30" i="52" s="1"/>
  <c r="G21" i="79"/>
  <c r="H2104" i="79"/>
  <c r="I2101" i="79"/>
  <c r="I2103" i="79"/>
  <c r="H2109" i="79"/>
  <c r="J2102" i="79"/>
  <c r="G2104" i="79"/>
  <c r="H2102" i="79"/>
  <c r="G2101" i="79"/>
  <c r="J2104" i="79"/>
  <c r="K2103" i="79"/>
  <c r="G2103" i="79"/>
  <c r="I2104" i="79"/>
  <c r="H2101" i="79"/>
  <c r="J2107" i="79"/>
  <c r="K2113" i="79"/>
  <c r="H2115" i="79"/>
  <c r="G2116" i="79"/>
  <c r="K2116" i="79"/>
  <c r="I2115" i="79"/>
  <c r="L2116" i="79"/>
  <c r="J2116" i="79"/>
  <c r="G2113" i="79"/>
  <c r="H2114" i="79"/>
  <c r="H2113" i="79"/>
  <c r="J2113" i="79"/>
  <c r="I2113" i="79"/>
  <c r="H2116" i="79"/>
  <c r="J2115" i="79"/>
  <c r="L2114" i="79"/>
  <c r="K2115" i="79"/>
  <c r="J2114" i="79"/>
  <c r="G2115" i="79"/>
  <c r="I2116" i="79"/>
  <c r="L2115" i="79"/>
  <c r="I2114" i="79"/>
  <c r="I2102" i="79"/>
  <c r="I2070" i="79"/>
  <c r="I2082" i="79"/>
  <c r="H2070" i="79"/>
  <c r="H2082" i="79"/>
  <c r="J2103" i="79"/>
  <c r="J2070" i="79"/>
  <c r="J2082" i="79"/>
  <c r="K2070" i="79"/>
  <c r="K2082" i="79"/>
  <c r="G2070" i="79"/>
  <c r="G2082" i="79"/>
  <c r="I1796" i="79"/>
  <c r="H22" i="79"/>
  <c r="G2041" i="79"/>
  <c r="H2040" i="79"/>
  <c r="J2041" i="79"/>
  <c r="L2042" i="79"/>
  <c r="G2040" i="79"/>
  <c r="J2040" i="79"/>
  <c r="K2040" i="79"/>
  <c r="J2043" i="79"/>
  <c r="L2041" i="79"/>
  <c r="K2039" i="79"/>
  <c r="J2042" i="79"/>
  <c r="I2041" i="79"/>
  <c r="K2042" i="79"/>
  <c r="H2041" i="79"/>
  <c r="K2041" i="79"/>
  <c r="L2043" i="79"/>
  <c r="I2040" i="79"/>
  <c r="L2150" i="79"/>
  <c r="L2039" i="79" s="1"/>
  <c r="L2158" i="79"/>
  <c r="L2047" i="79" s="1"/>
  <c r="K2158" i="79"/>
  <c r="K2047" i="79" s="1"/>
  <c r="H2164" i="79"/>
  <c r="M2158" i="79"/>
  <c r="M2047" i="79" s="1"/>
  <c r="G2158" i="79"/>
  <c r="G2047" i="79" s="1"/>
  <c r="J21" i="79"/>
  <c r="I2157" i="79"/>
  <c r="I2046" i="79" s="1"/>
  <c r="M2157" i="79"/>
  <c r="M2046" i="79" s="1"/>
  <c r="I22" i="79"/>
  <c r="I2158" i="79"/>
  <c r="I2047" i="79" s="1"/>
  <c r="I2164" i="79"/>
  <c r="H2169" i="79"/>
  <c r="H2163" i="79"/>
  <c r="I2169" i="79"/>
  <c r="I2163" i="79"/>
  <c r="G2164" i="79"/>
  <c r="J2164" i="79"/>
  <c r="J2053" i="79" s="1"/>
  <c r="K2157" i="79"/>
  <c r="K2046" i="79" s="1"/>
  <c r="K2169" i="79"/>
  <c r="J2157" i="79"/>
  <c r="J2046" i="79" s="1"/>
  <c r="J2169" i="79"/>
  <c r="G2157" i="79"/>
  <c r="G2046" i="79" s="1"/>
  <c r="G2169" i="79"/>
  <c r="J2158" i="79"/>
  <c r="J2047" i="79" s="1"/>
  <c r="G2170" i="79"/>
  <c r="H2158" i="79"/>
  <c r="H2047" i="79" s="1"/>
  <c r="H2170" i="79"/>
  <c r="L2157" i="79"/>
  <c r="L2046" i="79" s="1"/>
  <c r="L2169" i="79"/>
  <c r="H2157" i="79"/>
  <c r="H2046" i="79" s="1"/>
  <c r="I2170" i="79"/>
  <c r="M163" i="79"/>
  <c r="H157" i="79"/>
  <c r="H1899" i="79" s="1"/>
  <c r="I157" i="79"/>
  <c r="I1899" i="79" s="1"/>
  <c r="G157" i="79"/>
  <c r="G1899" i="79" s="1"/>
  <c r="K157" i="79"/>
  <c r="K1899" i="79" s="1"/>
  <c r="J157" i="79"/>
  <c r="J1899" i="79" s="1"/>
  <c r="L157" i="79"/>
  <c r="L1899" i="79" s="1"/>
  <c r="K1887" i="79"/>
  <c r="K12" i="79"/>
  <c r="T142" i="52" s="1"/>
  <c r="G6" i="79"/>
  <c r="L12" i="79"/>
  <c r="U142" i="52" s="1"/>
  <c r="M12" i="79"/>
  <c r="V142" i="52" s="1"/>
  <c r="M2150" i="79"/>
  <c r="M1887" i="79"/>
  <c r="G12" i="79"/>
  <c r="P142" i="52" s="1"/>
  <c r="J2150" i="79"/>
  <c r="M151" i="79"/>
  <c r="M1893" i="79" s="1"/>
  <c r="H2150" i="79"/>
  <c r="I2150" i="79"/>
  <c r="J12" i="79"/>
  <c r="S142" i="52" s="1"/>
  <c r="M157" i="79"/>
  <c r="M1899" i="79" s="1"/>
  <c r="H151" i="79"/>
  <c r="H1893" i="79" s="1"/>
  <c r="H1799" i="79" s="1"/>
  <c r="H12" i="79"/>
  <c r="Q142" i="52" s="1"/>
  <c r="J151" i="79"/>
  <c r="J1893" i="79" s="1"/>
  <c r="J1799" i="79" s="1"/>
  <c r="H163" i="79"/>
  <c r="H1905" i="79" s="1"/>
  <c r="I12" i="79"/>
  <c r="R142" i="52" s="1"/>
  <c r="L151" i="79"/>
  <c r="L1893" i="79" s="1"/>
  <c r="L1799" i="79" s="1"/>
  <c r="L163" i="79"/>
  <c r="K151" i="79"/>
  <c r="K1893" i="79" s="1"/>
  <c r="K163" i="79"/>
  <c r="K1905" i="79" s="1"/>
  <c r="I163" i="79"/>
  <c r="I1905" i="79" s="1"/>
  <c r="J163" i="79"/>
  <c r="J1905" i="79" s="1"/>
  <c r="I151" i="79"/>
  <c r="G151" i="79"/>
  <c r="G163" i="79"/>
  <c r="G1905" i="79" s="1"/>
  <c r="L2070" i="79"/>
  <c r="L2104" i="79"/>
  <c r="L2110" i="79"/>
  <c r="K2101" i="79"/>
  <c r="K2107" i="79"/>
  <c r="L2102" i="79"/>
  <c r="L2108" i="79"/>
  <c r="L2103" i="79"/>
  <c r="L2109" i="79"/>
  <c r="M2071" i="79"/>
  <c r="M2073" i="79"/>
  <c r="M2072" i="79"/>
  <c r="L2071" i="79"/>
  <c r="M2074" i="79"/>
  <c r="L2040" i="79"/>
  <c r="M2042" i="79"/>
  <c r="M2119" i="79"/>
  <c r="M2040" i="79"/>
  <c r="H1794" i="79"/>
  <c r="H705" i="79"/>
  <c r="AW158" i="52" s="1"/>
  <c r="I678" i="79"/>
  <c r="AX157" i="52" s="1"/>
  <c r="I148" i="52"/>
  <c r="H63" i="79"/>
  <c r="I63" i="79"/>
  <c r="H148" i="52"/>
  <c r="G63" i="79"/>
  <c r="K31" i="79"/>
  <c r="BH142" i="52" s="1"/>
  <c r="L31" i="79"/>
  <c r="BI142" i="52" s="1"/>
  <c r="M46" i="79"/>
  <c r="V150" i="52" s="1"/>
  <c r="L1796" i="79"/>
  <c r="M1866" i="79"/>
  <c r="L1795" i="79"/>
  <c r="M1865" i="79"/>
  <c r="L1794" i="79"/>
  <c r="M1864" i="79"/>
  <c r="L1793" i="79"/>
  <c r="M1863" i="79"/>
  <c r="M1819" i="79" s="1"/>
  <c r="G1855" i="79"/>
  <c r="G1831" i="79"/>
  <c r="H1793" i="79"/>
  <c r="J1794" i="79"/>
  <c r="H1792" i="79"/>
  <c r="I1793" i="79"/>
  <c r="J1793" i="79"/>
  <c r="I1794" i="79"/>
  <c r="H844" i="79"/>
  <c r="L1792" i="79"/>
  <c r="J1792" i="79"/>
  <c r="K1794" i="79"/>
  <c r="I1792" i="79"/>
  <c r="K1793" i="79"/>
  <c r="G1792" i="79"/>
  <c r="M2672" i="79"/>
  <c r="M2041" i="79"/>
  <c r="M2043" i="79"/>
  <c r="K137" i="79"/>
  <c r="K80" i="79" s="1"/>
  <c r="K10" i="79" s="1"/>
  <c r="I670" i="79"/>
  <c r="J53" i="79"/>
  <c r="G50" i="79"/>
  <c r="H50" i="79"/>
  <c r="L151" i="52"/>
  <c r="K53" i="79"/>
  <c r="I50" i="79"/>
  <c r="I20" i="79"/>
  <c r="I19" i="79"/>
  <c r="H19" i="79"/>
  <c r="G20" i="79"/>
  <c r="G19" i="79"/>
  <c r="H20" i="79"/>
  <c r="L123" i="79"/>
  <c r="L122" i="79"/>
  <c r="K57" i="79"/>
  <c r="AZ148" i="52" s="1"/>
  <c r="K25" i="79"/>
  <c r="AZ142" i="52" s="1"/>
  <c r="M60" i="79"/>
  <c r="BB151" i="52" s="1"/>
  <c r="M28" i="79"/>
  <c r="BB145" i="52" s="1"/>
  <c r="L61" i="79"/>
  <c r="BA152" i="52" s="1"/>
  <c r="L29" i="79"/>
  <c r="BA146" i="52" s="1"/>
  <c r="L58" i="79"/>
  <c r="BA149" i="52" s="1"/>
  <c r="L26" i="79"/>
  <c r="BA143" i="52" s="1"/>
  <c r="L59" i="79"/>
  <c r="BA150" i="52" s="1"/>
  <c r="L27" i="79"/>
  <c r="BA144" i="52" s="1"/>
  <c r="L57" i="79"/>
  <c r="BA148" i="52" s="1"/>
  <c r="L25" i="79"/>
  <c r="BA142" i="52" s="1"/>
  <c r="L60" i="79"/>
  <c r="BA151" i="52" s="1"/>
  <c r="L28" i="79"/>
  <c r="BA145" i="52" s="1"/>
  <c r="K69" i="79"/>
  <c r="BH148" i="52" s="1"/>
  <c r="L69" i="79"/>
  <c r="BI148" i="52" s="1"/>
  <c r="L508" i="79"/>
  <c r="L507" i="79" s="1"/>
  <c r="L99" i="79"/>
  <c r="M99" i="79"/>
  <c r="M263" i="79"/>
  <c r="M262" i="79" s="1"/>
  <c r="M330" i="79"/>
  <c r="M123" i="79" s="1"/>
  <c r="M419" i="79"/>
  <c r="M418" i="79" s="1"/>
  <c r="M95" i="79"/>
  <c r="L218" i="79"/>
  <c r="L127" i="79" s="1"/>
  <c r="L76" i="79" s="1"/>
  <c r="M219" i="79"/>
  <c r="M89" i="79" s="1"/>
  <c r="N155" i="9"/>
  <c r="B204" i="52"/>
  <c r="B38" i="52"/>
  <c r="B203" i="52"/>
  <c r="A297" i="54"/>
  <c r="C296" i="54" a="1"/>
  <c r="C296" i="54" s="1"/>
  <c r="D296" i="54" s="1"/>
  <c r="R12" i="9"/>
  <c r="O65" i="9"/>
  <c r="O64" i="9" s="1"/>
  <c r="O96" i="9"/>
  <c r="O87" i="9"/>
  <c r="O156" i="9"/>
  <c r="O153" i="9"/>
  <c r="P111" i="9"/>
  <c r="P115" i="9" s="1"/>
  <c r="Q17" i="9"/>
  <c r="Q67" i="9" s="1"/>
  <c r="Q78" i="9" s="1"/>
  <c r="Q63" i="9"/>
  <c r="R14" i="9"/>
  <c r="R63" i="9" s="1"/>
  <c r="Q146" i="9"/>
  <c r="P23" i="9"/>
  <c r="Q15" i="9"/>
  <c r="K151" i="52"/>
  <c r="AR6" i="52"/>
  <c r="AR116" i="52" s="1"/>
  <c r="I643" i="79"/>
  <c r="AD143" i="52"/>
  <c r="AT143" i="52" s="1"/>
  <c r="J148" i="52"/>
  <c r="AD144" i="52"/>
  <c r="AD50" i="52" s="1"/>
  <c r="AT50" i="52" s="1"/>
  <c r="AD146" i="52"/>
  <c r="AD142" i="52"/>
  <c r="AT142" i="52" s="1"/>
  <c r="AC222" i="59"/>
  <c r="AJ62" i="9"/>
  <c r="CR62" i="9"/>
  <c r="P62" i="9"/>
  <c r="P61" i="9" s="1"/>
  <c r="BD62" i="9"/>
  <c r="BX62" i="9"/>
  <c r="F548" i="59"/>
  <c r="F590" i="59" s="1"/>
  <c r="D506" i="59"/>
  <c r="AC229" i="59"/>
  <c r="AD82" i="59"/>
  <c r="AD229" i="59" s="1"/>
  <c r="O49" i="9"/>
  <c r="BF62" i="9"/>
  <c r="CT62" i="9"/>
  <c r="BZ172" i="9"/>
  <c r="R62" i="9"/>
  <c r="R172" i="9"/>
  <c r="CT172" i="9"/>
  <c r="R58" i="9"/>
  <c r="BZ62" i="9"/>
  <c r="BF172" i="9"/>
  <c r="AL62" i="9"/>
  <c r="AL172" i="9"/>
  <c r="F487" i="59" a="1"/>
  <c r="F487" i="59" s="1"/>
  <c r="F529" i="59" s="1"/>
  <c r="D529" i="59" s="1"/>
  <c r="C488" i="59"/>
  <c r="F507" i="59"/>
  <c r="D486" i="59"/>
  <c r="C657" i="59"/>
  <c r="F656" i="59" a="1"/>
  <c r="F656" i="59" s="1"/>
  <c r="D656" i="59" s="1"/>
  <c r="AC237" i="59"/>
  <c r="AD90" i="59"/>
  <c r="AD237" i="59" s="1"/>
  <c r="AB236" i="59"/>
  <c r="AC89" i="59"/>
  <c r="F609" i="59"/>
  <c r="D609" i="59" s="1"/>
  <c r="D567" i="59"/>
  <c r="F568" i="59"/>
  <c r="D547" i="59"/>
  <c r="AD177" i="59"/>
  <c r="AB223" i="59"/>
  <c r="AB224" i="59" s="1"/>
  <c r="AB225" i="59" s="1"/>
  <c r="P24" i="9"/>
  <c r="Q16" i="9"/>
  <c r="O154" i="9"/>
  <c r="O76" i="9"/>
  <c r="O75" i="9" s="1"/>
  <c r="O97" i="9"/>
  <c r="O157" i="9"/>
  <c r="Q659" i="59"/>
  <c r="N658" i="59"/>
  <c r="K9" i="79"/>
  <c r="F342" i="54"/>
  <c r="I343" i="54"/>
  <c r="H126" i="54" a="1"/>
  <c r="H126" i="54" s="1"/>
  <c r="C126" i="54" a="1"/>
  <c r="C126" i="54" s="1"/>
  <c r="B126" i="54" s="1"/>
  <c r="A127" i="54"/>
  <c r="C454" i="54" a="1"/>
  <c r="C454" i="54" s="1"/>
  <c r="B454" i="54" s="1"/>
  <c r="H454" i="54" a="1"/>
  <c r="H454" i="54" s="1"/>
  <c r="A455" i="54"/>
  <c r="B340" i="54"/>
  <c r="C394" i="54" a="1"/>
  <c r="C394" i="54" s="1"/>
  <c r="H394" i="54" a="1"/>
  <c r="H394" i="54" s="1"/>
  <c r="A395" i="54"/>
  <c r="H500" i="54" a="1"/>
  <c r="H500" i="54" s="1"/>
  <c r="A501" i="54"/>
  <c r="C500" i="54" a="1"/>
  <c r="C500" i="54" s="1"/>
  <c r="E319" i="54"/>
  <c r="A317" i="54"/>
  <c r="C316" i="54" a="1"/>
  <c r="C316" i="54" s="1"/>
  <c r="D316" i="54" s="1"/>
  <c r="H210" i="54" a="1"/>
  <c r="H210" i="54" s="1"/>
  <c r="C210" i="54" a="1"/>
  <c r="C210" i="54" s="1"/>
  <c r="B210" i="54" s="1"/>
  <c r="A211" i="54"/>
  <c r="A38" i="54"/>
  <c r="H146" i="54" a="1"/>
  <c r="H146" i="54" s="1"/>
  <c r="C146" i="54" a="1"/>
  <c r="C146" i="54" s="1"/>
  <c r="B146" i="54" s="1"/>
  <c r="A147" i="54"/>
  <c r="B315" i="54"/>
  <c r="C372" i="54" a="1"/>
  <c r="C372" i="54" s="1"/>
  <c r="A373" i="54"/>
  <c r="H372" i="54" a="1"/>
  <c r="H372" i="54" s="1"/>
  <c r="B499" i="54"/>
  <c r="E254" i="54"/>
  <c r="Q254" i="54" s="1"/>
  <c r="C79" i="54"/>
  <c r="B79" i="54" s="1"/>
  <c r="B37" i="54"/>
  <c r="C101" i="54" a="1"/>
  <c r="C101" i="54" s="1"/>
  <c r="B101" i="54" s="1"/>
  <c r="A102" i="54"/>
  <c r="A481" i="54"/>
  <c r="H480" i="54" a="1"/>
  <c r="H480" i="54" s="1"/>
  <c r="C480" i="54" a="1"/>
  <c r="C480" i="54" s="1"/>
  <c r="C81" i="54" a="1"/>
  <c r="C81" i="54" s="1"/>
  <c r="B81" i="54" s="1"/>
  <c r="A82" i="54"/>
  <c r="E296" i="54"/>
  <c r="B295" i="54"/>
  <c r="E342" i="54"/>
  <c r="C232" i="54" a="1"/>
  <c r="C232" i="54" s="1"/>
  <c r="D232" i="54" s="1"/>
  <c r="A233" i="54"/>
  <c r="A435" i="54"/>
  <c r="H434" i="54" a="1"/>
  <c r="H434" i="54" s="1"/>
  <c r="C434" i="54" a="1"/>
  <c r="C434" i="54" s="1"/>
  <c r="B434" i="54" s="1"/>
  <c r="E233" i="54"/>
  <c r="B231" i="54"/>
  <c r="C188" i="54" a="1"/>
  <c r="C188" i="54" s="1"/>
  <c r="B188" i="54" s="1"/>
  <c r="A189" i="54"/>
  <c r="H188" i="54" a="1"/>
  <c r="H188" i="54" s="1"/>
  <c r="A342" i="54"/>
  <c r="C341" i="54" a="1"/>
  <c r="C341" i="54" s="1"/>
  <c r="D341" i="54" s="1"/>
  <c r="C255" i="54" a="1"/>
  <c r="C255" i="54" s="1"/>
  <c r="D255" i="54" s="1"/>
  <c r="A256" i="54"/>
  <c r="C18" i="54" a="1"/>
  <c r="C18" i="54" s="1"/>
  <c r="A19" i="54"/>
  <c r="M136" i="79"/>
  <c r="M125" i="79"/>
  <c r="M124" i="79"/>
  <c r="L195" i="79"/>
  <c r="AN158" i="52"/>
  <c r="X96" i="52"/>
  <c r="AO158" i="52"/>
  <c r="Y96" i="52"/>
  <c r="AP157" i="52"/>
  <c r="Z74" i="52"/>
  <c r="AD150" i="52"/>
  <c r="AT150" i="52" s="1"/>
  <c r="L79" i="79"/>
  <c r="L41" i="79" s="1"/>
  <c r="AD148" i="52"/>
  <c r="AD7" i="52" s="1"/>
  <c r="AD117" i="52" s="1"/>
  <c r="AD151" i="52"/>
  <c r="AT151" i="52" s="1"/>
  <c r="M195" i="79"/>
  <c r="AD152" i="52"/>
  <c r="K239" i="79"/>
  <c r="K133" i="79"/>
  <c r="K76" i="79" s="1"/>
  <c r="AS142" i="52"/>
  <c r="AC6" i="52"/>
  <c r="I955" i="79"/>
  <c r="I724" i="79"/>
  <c r="AS146" i="52"/>
  <c r="AC94" i="52"/>
  <c r="AS94" i="52" s="1"/>
  <c r="L741" i="79"/>
  <c r="M48" i="79"/>
  <c r="V152" i="52" s="1"/>
  <c r="AS144" i="52"/>
  <c r="AC50" i="52"/>
  <c r="AS50" i="52" s="1"/>
  <c r="AS149" i="52"/>
  <c r="AC29" i="52"/>
  <c r="AS29" i="52" s="1"/>
  <c r="M45" i="79"/>
  <c r="V149" i="52" s="1"/>
  <c r="J38" i="79"/>
  <c r="J6" i="79"/>
  <c r="AS148" i="52"/>
  <c r="AC7" i="52"/>
  <c r="AC117" i="52" s="1"/>
  <c r="M47" i="79"/>
  <c r="V151" i="52" s="1"/>
  <c r="AS151" i="52"/>
  <c r="AC73" i="52"/>
  <c r="AS73" i="52" s="1"/>
  <c r="AT145" i="52"/>
  <c r="AD72" i="52"/>
  <c r="AT72" i="52" s="1"/>
  <c r="AS145" i="52"/>
  <c r="AC72" i="52"/>
  <c r="AS72" i="52" s="1"/>
  <c r="AC51" i="52"/>
  <c r="AS51" i="52" s="1"/>
  <c r="AS150" i="52"/>
  <c r="AC95" i="52"/>
  <c r="AS95" i="52" s="1"/>
  <c r="AS152" i="52"/>
  <c r="M44" i="79"/>
  <c r="V148" i="52" s="1"/>
  <c r="AS143" i="52"/>
  <c r="AC28" i="52"/>
  <c r="AS28" i="52" s="1"/>
  <c r="AR7" i="52"/>
  <c r="AR117" i="52" s="1"/>
  <c r="AB155" i="52"/>
  <c r="AB154" i="52"/>
  <c r="AB158" i="52"/>
  <c r="AB157" i="52"/>
  <c r="AB156" i="52"/>
  <c r="AY84" i="9" l="1"/>
  <c r="AY128" i="9"/>
  <c r="AW161" i="9"/>
  <c r="AY72" i="9"/>
  <c r="DG31" i="10"/>
  <c r="DA31" i="10"/>
  <c r="CU31" i="10"/>
  <c r="DA32" i="10"/>
  <c r="CU32" i="10"/>
  <c r="DG32" i="10"/>
  <c r="CU11" i="10"/>
  <c r="DG11" i="10"/>
  <c r="DA11" i="10"/>
  <c r="CT11" i="10"/>
  <c r="CZ11" i="10"/>
  <c r="DF11" i="10"/>
  <c r="AF161" i="9"/>
  <c r="S31" i="8"/>
  <c r="S30" i="8" s="1"/>
  <c r="T30" i="8"/>
  <c r="N46" i="91" s="1"/>
  <c r="Y30" i="8"/>
  <c r="AQ6" i="8"/>
  <c r="AP5" i="8"/>
  <c r="AX244" i="9"/>
  <c r="AX237" i="9" s="1"/>
  <c r="AY163" i="9"/>
  <c r="AY140" i="9"/>
  <c r="AY139" i="9" s="1"/>
  <c r="AY195" i="9"/>
  <c r="AY92" i="9"/>
  <c r="AY49" i="9"/>
  <c r="Z15" i="8" s="1"/>
  <c r="AY83" i="9"/>
  <c r="AY59" i="9"/>
  <c r="AY119" i="9"/>
  <c r="AY118" i="9" s="1"/>
  <c r="AY159" i="9"/>
  <c r="Z34" i="8" s="1"/>
  <c r="AY127" i="9"/>
  <c r="AY164" i="9"/>
  <c r="AY246" i="9"/>
  <c r="AY248" i="9"/>
  <c r="AY93" i="9"/>
  <c r="AZ9" i="9"/>
  <c r="AZ140" i="9" s="1"/>
  <c r="AZ139" i="9" s="1"/>
  <c r="AY167" i="9"/>
  <c r="AY165" i="9" s="1"/>
  <c r="Z32" i="8" s="1"/>
  <c r="AY126" i="9"/>
  <c r="AY130" i="9"/>
  <c r="AY245" i="9"/>
  <c r="AY68" i="9"/>
  <c r="AY66" i="9" s="1"/>
  <c r="AY129" i="9"/>
  <c r="AY52" i="9"/>
  <c r="AY247" i="9"/>
  <c r="Q66" i="9"/>
  <c r="AY73" i="9"/>
  <c r="AY249" i="9" s="1"/>
  <c r="AY201" i="9"/>
  <c r="AY197" i="9"/>
  <c r="V470" i="54"/>
  <c r="M254" i="54"/>
  <c r="E435" i="54"/>
  <c r="D434" i="54"/>
  <c r="V254" i="54"/>
  <c r="P254" i="54"/>
  <c r="S254" i="54"/>
  <c r="N254" i="54"/>
  <c r="T254" i="54"/>
  <c r="E393" i="54"/>
  <c r="D392" i="54"/>
  <c r="B392" i="54"/>
  <c r="O254" i="54"/>
  <c r="U254" i="54"/>
  <c r="E456" i="54"/>
  <c r="D455" i="54"/>
  <c r="K254" i="54"/>
  <c r="R254" i="54"/>
  <c r="E372" i="54"/>
  <c r="B372" i="54" s="1"/>
  <c r="D371" i="54"/>
  <c r="L254" i="54"/>
  <c r="R316" i="54"/>
  <c r="N316" i="54"/>
  <c r="K316" i="54"/>
  <c r="U316" i="54"/>
  <c r="T316" i="54"/>
  <c r="M316" i="54"/>
  <c r="L316" i="54"/>
  <c r="Q316" i="54"/>
  <c r="O316" i="54"/>
  <c r="P316" i="54"/>
  <c r="S316" i="54"/>
  <c r="K500" i="54"/>
  <c r="L500" i="54"/>
  <c r="M500" i="54"/>
  <c r="N500" i="54"/>
  <c r="O500" i="54"/>
  <c r="P500" i="54"/>
  <c r="Q500" i="54"/>
  <c r="R500" i="54" s="1"/>
  <c r="S500" i="54" s="1"/>
  <c r="T500" i="54" s="1"/>
  <c r="U500" i="54" s="1"/>
  <c r="V500" i="54" s="1"/>
  <c r="U296" i="54"/>
  <c r="T296" i="54"/>
  <c r="S296" i="54"/>
  <c r="Q296" i="54"/>
  <c r="V296" i="54"/>
  <c r="M296" i="54"/>
  <c r="L296" i="54"/>
  <c r="K296" i="54"/>
  <c r="R296" i="54"/>
  <c r="N296" i="54"/>
  <c r="O296" i="54"/>
  <c r="P296" i="54"/>
  <c r="R232" i="54"/>
  <c r="N232" i="54"/>
  <c r="Q232" i="54"/>
  <c r="U232" i="54"/>
  <c r="P232" i="54"/>
  <c r="M232" i="54"/>
  <c r="O232" i="54"/>
  <c r="T232" i="54"/>
  <c r="L232" i="54"/>
  <c r="K232" i="54"/>
  <c r="S232" i="54"/>
  <c r="Q77" i="9"/>
  <c r="AG76" i="9"/>
  <c r="AG75" i="9" s="1"/>
  <c r="AH197" i="9"/>
  <c r="AH201" i="9"/>
  <c r="AH195" i="9"/>
  <c r="AI10" i="9"/>
  <c r="R140" i="9"/>
  <c r="R139" i="9" s="1"/>
  <c r="R197" i="9"/>
  <c r="R79" i="9"/>
  <c r="R201" i="9"/>
  <c r="CI76" i="9"/>
  <c r="CI75" i="9" s="1"/>
  <c r="CJ197" i="9"/>
  <c r="CJ201" i="9"/>
  <c r="CI65" i="9"/>
  <c r="CI64" i="9" s="1"/>
  <c r="BQ76" i="9"/>
  <c r="BQ75" i="9" s="1"/>
  <c r="AX65" i="9"/>
  <c r="AX64" i="9" s="1"/>
  <c r="AX76" i="9"/>
  <c r="AX75" i="9" s="1"/>
  <c r="AG65" i="9"/>
  <c r="AG64" i="9" s="1"/>
  <c r="BR201" i="9"/>
  <c r="BR197" i="9"/>
  <c r="CJ195" i="9"/>
  <c r="BQ65" i="9"/>
  <c r="BQ64" i="9" s="1"/>
  <c r="O99" i="9"/>
  <c r="O95" i="9" s="1"/>
  <c r="R28" i="56"/>
  <c r="R20" i="56" s="1"/>
  <c r="R53" i="56"/>
  <c r="U228" i="54"/>
  <c r="U222" i="54"/>
  <c r="U229" i="54"/>
  <c r="T249" i="54"/>
  <c r="T243" i="54"/>
  <c r="T250" i="54"/>
  <c r="T271" i="54"/>
  <c r="T270" i="54"/>
  <c r="T264" i="54"/>
  <c r="U247" i="54"/>
  <c r="U246" i="54"/>
  <c r="U289" i="54"/>
  <c r="U288" i="54"/>
  <c r="U267" i="54"/>
  <c r="U268" i="54"/>
  <c r="T312" i="54"/>
  <c r="T306" i="54"/>
  <c r="T313" i="54"/>
  <c r="T291" i="54"/>
  <c r="T285" i="54"/>
  <c r="T292" i="54"/>
  <c r="U309" i="54"/>
  <c r="U310" i="54"/>
  <c r="U226" i="54"/>
  <c r="U225" i="54"/>
  <c r="AY77" i="9"/>
  <c r="CJ140" i="9"/>
  <c r="CJ139" i="9" s="1"/>
  <c r="CJ73" i="9"/>
  <c r="CJ72" i="9"/>
  <c r="CJ68" i="9"/>
  <c r="CJ66" i="9" s="1"/>
  <c r="CJ79" i="9"/>
  <c r="CJ77" i="9" s="1"/>
  <c r="BR72" i="9"/>
  <c r="BR73" i="9"/>
  <c r="BR68" i="9"/>
  <c r="BR66" i="9" s="1"/>
  <c r="BR79" i="9"/>
  <c r="BR77" i="9" s="1"/>
  <c r="AH140" i="9"/>
  <c r="AH139" i="9" s="1"/>
  <c r="AH73" i="9"/>
  <c r="AH72" i="9"/>
  <c r="AH68" i="9"/>
  <c r="AH66" i="9" s="1"/>
  <c r="AH79" i="9"/>
  <c r="AH77" i="9" s="1"/>
  <c r="CI249" i="9"/>
  <c r="CI244" i="9" s="1"/>
  <c r="CI237" i="9" s="1"/>
  <c r="AG249" i="9"/>
  <c r="AG244" i="9" s="1"/>
  <c r="AG237" i="9" s="1"/>
  <c r="Q249" i="9"/>
  <c r="BQ249" i="9"/>
  <c r="BQ244" i="9" s="1"/>
  <c r="BQ237" i="9" s="1"/>
  <c r="AH245" i="9"/>
  <c r="AH246" i="9"/>
  <c r="AH130" i="9"/>
  <c r="AH159" i="9"/>
  <c r="AH93" i="9"/>
  <c r="AH119" i="9"/>
  <c r="AH118" i="9" s="1"/>
  <c r="AH49" i="9"/>
  <c r="AH84" i="9"/>
  <c r="AH126" i="9"/>
  <c r="AH83" i="9"/>
  <c r="AH129" i="9"/>
  <c r="AH247" i="9"/>
  <c r="AH128" i="9"/>
  <c r="AH163" i="9"/>
  <c r="AI9" i="9"/>
  <c r="AH167" i="9"/>
  <c r="AH165" i="9" s="1"/>
  <c r="AH52" i="9"/>
  <c r="AH127" i="9"/>
  <c r="AH248" i="9"/>
  <c r="AH164" i="9"/>
  <c r="AH59" i="9"/>
  <c r="AH57" i="9" s="1"/>
  <c r="AH56" i="9" s="1"/>
  <c r="AH92" i="9"/>
  <c r="BR119" i="52"/>
  <c r="AC116" i="52"/>
  <c r="L472" i="54"/>
  <c r="Y118" i="52"/>
  <c r="BR123" i="52"/>
  <c r="M472" i="54"/>
  <c r="Z118" i="52"/>
  <c r="AD94" i="52"/>
  <c r="AT94" i="52" s="1"/>
  <c r="Z96" i="52"/>
  <c r="AP96" i="52" s="1"/>
  <c r="AD95" i="52"/>
  <c r="AT95" i="52" s="1"/>
  <c r="B103" i="52"/>
  <c r="B125" i="52"/>
  <c r="J7" i="52"/>
  <c r="J94" i="52"/>
  <c r="H50" i="52"/>
  <c r="J72" i="52"/>
  <c r="I50" i="52"/>
  <c r="H28" i="52"/>
  <c r="I72" i="52"/>
  <c r="K73" i="52"/>
  <c r="K95" i="52"/>
  <c r="I28" i="52"/>
  <c r="J50" i="52"/>
  <c r="H72" i="52"/>
  <c r="J28" i="52"/>
  <c r="H94" i="52"/>
  <c r="I7" i="52"/>
  <c r="I94" i="52"/>
  <c r="L73" i="52"/>
  <c r="H7" i="52"/>
  <c r="K72" i="52"/>
  <c r="G3125" i="79"/>
  <c r="J3125" i="79"/>
  <c r="I3157" i="79"/>
  <c r="G3493" i="79"/>
  <c r="J3493" i="79"/>
  <c r="J3405" i="79" s="1"/>
  <c r="I3521" i="79"/>
  <c r="I3406" i="79" s="1"/>
  <c r="B17" i="52"/>
  <c r="B199" i="52"/>
  <c r="B194" i="52"/>
  <c r="B281" i="52"/>
  <c r="R43" i="56"/>
  <c r="R41" i="56"/>
  <c r="R39" i="56"/>
  <c r="R42" i="56"/>
  <c r="R40" i="56"/>
  <c r="X162" i="52"/>
  <c r="X53" i="52" s="1"/>
  <c r="AN53" i="52" s="1"/>
  <c r="X160" i="52"/>
  <c r="X9" i="52" s="1"/>
  <c r="X164" i="52"/>
  <c r="X161" i="52"/>
  <c r="X31" i="52" s="1"/>
  <c r="T114" i="54"/>
  <c r="T116" i="54"/>
  <c r="X163" i="52"/>
  <c r="X75" i="52" s="1"/>
  <c r="AN75" i="52" s="1"/>
  <c r="BR93" i="9"/>
  <c r="L1684" i="79"/>
  <c r="BR127" i="9"/>
  <c r="BR83" i="9"/>
  <c r="BR246" i="9"/>
  <c r="BR49" i="9"/>
  <c r="AG15" i="8" s="1"/>
  <c r="BS9" i="9"/>
  <c r="BS93" i="9" s="1"/>
  <c r="BR130" i="9"/>
  <c r="AP74" i="52"/>
  <c r="AN96" i="52"/>
  <c r="BR52" i="9"/>
  <c r="BR126" i="9"/>
  <c r="BR163" i="9"/>
  <c r="BR128" i="9"/>
  <c r="BR159" i="9"/>
  <c r="AP30" i="52"/>
  <c r="AO74" i="52"/>
  <c r="BR59" i="9"/>
  <c r="BR245" i="9"/>
  <c r="BR129" i="9"/>
  <c r="AO52" i="52"/>
  <c r="AQ30" i="52"/>
  <c r="BR247" i="9"/>
  <c r="BR167" i="9"/>
  <c r="BR165" i="9" s="1"/>
  <c r="BR84" i="9"/>
  <c r="BR92" i="9"/>
  <c r="AO96" i="52"/>
  <c r="AN30" i="52"/>
  <c r="BR164" i="9"/>
  <c r="T51" i="37"/>
  <c r="T73" i="37" s="1"/>
  <c r="T117" i="37"/>
  <c r="T131" i="37" s="1"/>
  <c r="T47" i="37"/>
  <c r="T75" i="37" s="1"/>
  <c r="V227" i="54" s="1"/>
  <c r="T113" i="37"/>
  <c r="T127" i="37" s="1"/>
  <c r="T49" i="37"/>
  <c r="T77" i="37" s="1"/>
  <c r="V248" i="54" s="1"/>
  <c r="T115" i="37"/>
  <c r="T129" i="37" s="1"/>
  <c r="T50" i="37"/>
  <c r="T72" i="37" s="1"/>
  <c r="T116" i="37"/>
  <c r="T130" i="37" s="1"/>
  <c r="T48" i="37"/>
  <c r="T76" i="37" s="1"/>
  <c r="V269" i="54" s="1"/>
  <c r="T114" i="37"/>
  <c r="T128" i="37" s="1"/>
  <c r="AB173" i="52"/>
  <c r="AR173" i="52" s="1"/>
  <c r="AB176" i="52"/>
  <c r="AB175" i="52"/>
  <c r="AB77" i="52" s="1"/>
  <c r="AR77" i="52" s="1"/>
  <c r="AB172" i="52"/>
  <c r="AB11" i="52" s="1"/>
  <c r="AB174" i="52"/>
  <c r="AB55" i="52" s="1"/>
  <c r="AR55" i="52" s="1"/>
  <c r="AB166" i="52"/>
  <c r="AR166" i="52" s="1"/>
  <c r="AB167" i="52"/>
  <c r="AR167" i="52" s="1"/>
  <c r="AB170" i="52"/>
  <c r="AB169" i="52"/>
  <c r="AR169" i="52" s="1"/>
  <c r="AB168" i="52"/>
  <c r="AR168" i="52" s="1"/>
  <c r="K1229" i="79"/>
  <c r="K1227" i="79" s="1"/>
  <c r="H1211" i="79"/>
  <c r="H1209" i="79" s="1"/>
  <c r="I1211" i="79"/>
  <c r="I1229" i="79" s="1"/>
  <c r="I1227" i="79" s="1"/>
  <c r="G1211" i="79"/>
  <c r="G1209" i="79" s="1"/>
  <c r="J1211" i="79"/>
  <c r="J1209" i="79" s="1"/>
  <c r="K1218" i="79"/>
  <c r="H1238" i="79"/>
  <c r="H1236" i="79" s="1"/>
  <c r="K1238" i="79"/>
  <c r="K1236" i="79" s="1"/>
  <c r="I1222" i="79"/>
  <c r="I1238" i="79" s="1"/>
  <c r="I1236" i="79" s="1"/>
  <c r="J1222" i="79"/>
  <c r="J1218" i="79" s="1"/>
  <c r="G1222" i="79"/>
  <c r="I1493" i="79"/>
  <c r="I1489" i="79" s="1"/>
  <c r="G1403" i="79"/>
  <c r="G1399" i="79" s="1"/>
  <c r="I1448" i="79"/>
  <c r="I1444" i="79" s="1"/>
  <c r="G1358" i="79"/>
  <c r="G1354" i="79" s="1"/>
  <c r="H1403" i="79"/>
  <c r="H1399" i="79" s="1"/>
  <c r="H1358" i="79"/>
  <c r="H1354" i="79" s="1"/>
  <c r="L962" i="79"/>
  <c r="L980" i="79"/>
  <c r="L978" i="79" s="1"/>
  <c r="H1218" i="79"/>
  <c r="L991" i="79"/>
  <c r="L1222" i="79" s="1"/>
  <c r="L1218" i="79" s="1"/>
  <c r="I1132" i="79"/>
  <c r="I1095" i="79"/>
  <c r="I1091" i="79" s="1"/>
  <c r="M980" i="79"/>
  <c r="M978" i="79" s="1"/>
  <c r="M973" i="79"/>
  <c r="J959" i="79"/>
  <c r="J955" i="79" s="1"/>
  <c r="K922" i="79"/>
  <c r="J922" i="79"/>
  <c r="G811" i="79"/>
  <c r="I811" i="79"/>
  <c r="I807" i="79" s="1"/>
  <c r="H811" i="79"/>
  <c r="H807" i="79" s="1"/>
  <c r="AB24" i="10"/>
  <c r="BX23" i="10"/>
  <c r="BY23" i="10" s="1"/>
  <c r="BQ162" i="9"/>
  <c r="BQ161" i="9" s="1"/>
  <c r="M260" i="80"/>
  <c r="L3166" i="79" s="1"/>
  <c r="J3526" i="79"/>
  <c r="J3524" i="79"/>
  <c r="J3161" i="79"/>
  <c r="J3163" i="79"/>
  <c r="O23" i="56"/>
  <c r="O16" i="56"/>
  <c r="Q21" i="56"/>
  <c r="Q14" i="56"/>
  <c r="K3496" i="79"/>
  <c r="K3498" i="79"/>
  <c r="N24" i="56"/>
  <c r="N17" i="56"/>
  <c r="Q177" i="54" s="1"/>
  <c r="R177" i="54" s="1"/>
  <c r="S177" i="54" s="1"/>
  <c r="T177" i="54" s="1"/>
  <c r="U177" i="54" s="1"/>
  <c r="V177" i="54" s="1"/>
  <c r="N259" i="80"/>
  <c r="M1683" i="79"/>
  <c r="K3129" i="79"/>
  <c r="K3131" i="79"/>
  <c r="G3524" i="79"/>
  <c r="G3526" i="79"/>
  <c r="K3166" i="79"/>
  <c r="K3529" i="79"/>
  <c r="L3134" i="79"/>
  <c r="L3501" i="79"/>
  <c r="G3161" i="79"/>
  <c r="G3163" i="79"/>
  <c r="P22" i="56"/>
  <c r="P15" i="56"/>
  <c r="Y167" i="52"/>
  <c r="Y32" i="52" s="1"/>
  <c r="AA168" i="52"/>
  <c r="AA54" i="52" s="1"/>
  <c r="AA170" i="52"/>
  <c r="AA169" i="52"/>
  <c r="AQ169" i="52" s="1"/>
  <c r="AA167" i="52"/>
  <c r="AQ167" i="52" s="1"/>
  <c r="X168" i="52"/>
  <c r="AN168" i="52" s="1"/>
  <c r="Z168" i="52"/>
  <c r="AP168" i="52" s="1"/>
  <c r="Z170" i="52"/>
  <c r="Z167" i="52"/>
  <c r="AP167" i="52" s="1"/>
  <c r="Z166" i="52"/>
  <c r="Z10" i="52" s="1"/>
  <c r="L701" i="79"/>
  <c r="J674" i="79"/>
  <c r="K647" i="79"/>
  <c r="J647" i="79"/>
  <c r="J620" i="79"/>
  <c r="X169" i="52"/>
  <c r="AN169" i="52" s="1"/>
  <c r="X167" i="52"/>
  <c r="AN167" i="52" s="1"/>
  <c r="X170" i="52"/>
  <c r="X166" i="52"/>
  <c r="AN166" i="52" s="1"/>
  <c r="Y166" i="52"/>
  <c r="Y10" i="52" s="1"/>
  <c r="Y170" i="52"/>
  <c r="Y168" i="52"/>
  <c r="AO168" i="52" s="1"/>
  <c r="Y169" i="52"/>
  <c r="Y76" i="52" s="1"/>
  <c r="Z76" i="52"/>
  <c r="AP169" i="52"/>
  <c r="AQ166" i="52"/>
  <c r="AA10" i="52"/>
  <c r="BR119" i="9"/>
  <c r="BR118" i="9" s="1"/>
  <c r="BR140" i="9"/>
  <c r="BR139" i="9" s="1"/>
  <c r="BR248" i="9"/>
  <c r="O244" i="9"/>
  <c r="O237" i="9" s="1"/>
  <c r="AG98" i="9"/>
  <c r="AX98" i="9"/>
  <c r="O161" i="9"/>
  <c r="P167" i="9"/>
  <c r="P165" i="9" s="1"/>
  <c r="P246" i="9"/>
  <c r="P49" i="9"/>
  <c r="P245" i="9"/>
  <c r="P128" i="9"/>
  <c r="P164" i="9"/>
  <c r="P162" i="9" s="1"/>
  <c r="P159" i="9"/>
  <c r="Q10" i="9"/>
  <c r="Q195" i="9" s="1"/>
  <c r="P59" i="9"/>
  <c r="P57" i="9" s="1"/>
  <c r="P56" i="9" s="1"/>
  <c r="P52" i="9"/>
  <c r="P98" i="9" s="1"/>
  <c r="P247" i="9"/>
  <c r="AG161" i="9"/>
  <c r="AX161" i="9"/>
  <c r="R119" i="9"/>
  <c r="R118" i="9" s="1"/>
  <c r="R248" i="9"/>
  <c r="R68" i="9"/>
  <c r="B480" i="54"/>
  <c r="CJ248" i="9"/>
  <c r="AF155" i="9"/>
  <c r="S38" i="8" s="1"/>
  <c r="CJ119" i="9"/>
  <c r="CJ118" i="9" s="1"/>
  <c r="AW95" i="9"/>
  <c r="X20" i="8" s="1"/>
  <c r="AW155" i="9"/>
  <c r="X38" i="8" s="1"/>
  <c r="BA18" i="9"/>
  <c r="AZ150" i="9"/>
  <c r="CJ63" i="9"/>
  <c r="CJ61" i="9" s="1"/>
  <c r="CK14" i="9"/>
  <c r="CJ146" i="9"/>
  <c r="AZ20" i="9"/>
  <c r="CI162" i="9"/>
  <c r="CI161" i="9" s="1"/>
  <c r="BP155" i="9"/>
  <c r="BS21" i="9"/>
  <c r="BS71" i="9" s="1"/>
  <c r="BS20" i="9"/>
  <c r="CL10" i="9"/>
  <c r="AZ21" i="9"/>
  <c r="AZ71" i="9" s="1"/>
  <c r="CK21" i="9"/>
  <c r="CK71" i="9" s="1"/>
  <c r="CK19" i="9"/>
  <c r="CL12" i="9"/>
  <c r="CK20" i="9"/>
  <c r="CL18" i="9"/>
  <c r="CL58" i="9" s="1"/>
  <c r="CK150" i="9"/>
  <c r="CJ128" i="9"/>
  <c r="CK166" i="9"/>
  <c r="CL13" i="9"/>
  <c r="AY111" i="9"/>
  <c r="AY115" i="9" s="1"/>
  <c r="AZ17" i="9"/>
  <c r="AZ67" i="9" s="1"/>
  <c r="AZ78" i="9" s="1"/>
  <c r="CJ23" i="9"/>
  <c r="CK15" i="9"/>
  <c r="AH63" i="9"/>
  <c r="AH61" i="9" s="1"/>
  <c r="AI14" i="9"/>
  <c r="AH146" i="9"/>
  <c r="BR23" i="9"/>
  <c r="BS15" i="9"/>
  <c r="CJ246" i="9"/>
  <c r="BQ157" i="9"/>
  <c r="BQ154" i="9"/>
  <c r="BQ97" i="9"/>
  <c r="BQ99" i="9"/>
  <c r="CI96" i="9"/>
  <c r="CI87" i="9"/>
  <c r="CI153" i="9"/>
  <c r="CI156" i="9"/>
  <c r="CI98" i="9"/>
  <c r="BT12" i="9"/>
  <c r="CK16" i="9"/>
  <c r="CJ24" i="9"/>
  <c r="AI16" i="9"/>
  <c r="AH24" i="9"/>
  <c r="BR111" i="9"/>
  <c r="BR115" i="9" s="1"/>
  <c r="BS17" i="9"/>
  <c r="BS67" i="9" s="1"/>
  <c r="BS78" i="9" s="1"/>
  <c r="BA10" i="9"/>
  <c r="BS16" i="9"/>
  <c r="BR24" i="9"/>
  <c r="CK17" i="9"/>
  <c r="CK67" i="9" s="1"/>
  <c r="CK78" i="9" s="1"/>
  <c r="CJ111" i="9"/>
  <c r="CJ115" i="9" s="1"/>
  <c r="CI157" i="9"/>
  <c r="CI154" i="9"/>
  <c r="CI97" i="9"/>
  <c r="CI99" i="9"/>
  <c r="AG99" i="9"/>
  <c r="AG97" i="9"/>
  <c r="AG157" i="9"/>
  <c r="AG154" i="9"/>
  <c r="AZ19" i="9"/>
  <c r="CJ84" i="9"/>
  <c r="CJ83" i="9"/>
  <c r="CJ92" i="9"/>
  <c r="CK9" i="9"/>
  <c r="CK195" i="9" s="1"/>
  <c r="CJ127" i="9"/>
  <c r="CJ126" i="9"/>
  <c r="CJ93" i="9"/>
  <c r="CJ129" i="9"/>
  <c r="CJ163" i="9"/>
  <c r="CJ130" i="9"/>
  <c r="CJ49" i="9"/>
  <c r="AM15" i="8" s="1"/>
  <c r="CJ159" i="9"/>
  <c r="BQ96" i="9"/>
  <c r="BQ87" i="9"/>
  <c r="BQ153" i="9"/>
  <c r="BQ156" i="9"/>
  <c r="BQ98" i="9"/>
  <c r="CJ52" i="9"/>
  <c r="AZ166" i="9"/>
  <c r="BA13" i="9"/>
  <c r="AI17" i="9"/>
  <c r="AI67" i="9" s="1"/>
  <c r="AI78" i="9" s="1"/>
  <c r="AH111" i="9"/>
  <c r="AH115" i="9" s="1"/>
  <c r="AJ12" i="9"/>
  <c r="CJ245" i="9"/>
  <c r="BA12" i="9"/>
  <c r="AH23" i="9"/>
  <c r="AI15" i="9"/>
  <c r="AZ15" i="9"/>
  <c r="AY23" i="9"/>
  <c r="BS19" i="9"/>
  <c r="AX154" i="9"/>
  <c r="AX157" i="9"/>
  <c r="AX97" i="9"/>
  <c r="AX99" i="9"/>
  <c r="AI20" i="9"/>
  <c r="BS166" i="9"/>
  <c r="BT13" i="9"/>
  <c r="BP95" i="9"/>
  <c r="AE20" i="8" s="1"/>
  <c r="CJ59" i="9"/>
  <c r="CJ167" i="9"/>
  <c r="CJ165" i="9" s="1"/>
  <c r="AF95" i="9"/>
  <c r="S20" i="8" s="1"/>
  <c r="AI21" i="9"/>
  <c r="AI71" i="9" s="1"/>
  <c r="AG87" i="9"/>
  <c r="AG96" i="9"/>
  <c r="AG156" i="9"/>
  <c r="AG153" i="9"/>
  <c r="AJ18" i="9"/>
  <c r="AI58" i="9"/>
  <c r="AI19" i="9"/>
  <c r="AX96" i="9"/>
  <c r="AX87" i="9"/>
  <c r="AX156" i="9"/>
  <c r="AX153" i="9"/>
  <c r="AY63" i="9"/>
  <c r="AY61" i="9" s="1"/>
  <c r="AZ14" i="9"/>
  <c r="AY146" i="9"/>
  <c r="AZ129" i="9"/>
  <c r="AZ16" i="9"/>
  <c r="AY24" i="9"/>
  <c r="BT10" i="9"/>
  <c r="BR63" i="9"/>
  <c r="BR61" i="9" s="1"/>
  <c r="BS14" i="9"/>
  <c r="BR146" i="9"/>
  <c r="BT18" i="9"/>
  <c r="BS150" i="9"/>
  <c r="CJ164" i="9"/>
  <c r="CJ247" i="9"/>
  <c r="AJ13" i="9"/>
  <c r="AI166" i="9"/>
  <c r="J724" i="79"/>
  <c r="J705" i="79" s="1"/>
  <c r="AY158" i="52" s="1"/>
  <c r="AA74" i="52"/>
  <c r="AA52" i="52"/>
  <c r="AT149" i="52"/>
  <c r="AA8" i="52"/>
  <c r="AA118" i="52" s="1"/>
  <c r="AQ155" i="52"/>
  <c r="L3029" i="79"/>
  <c r="L3409" i="79"/>
  <c r="L3402" i="79" s="1"/>
  <c r="M3061" i="79"/>
  <c r="M3409" i="79"/>
  <c r="M3402" i="79" s="1"/>
  <c r="H3521" i="79"/>
  <c r="H3406" i="79" s="1"/>
  <c r="H3157" i="79"/>
  <c r="M3437" i="79"/>
  <c r="M3403" i="79" s="1"/>
  <c r="K142" i="52"/>
  <c r="J142" i="52"/>
  <c r="K144" i="52"/>
  <c r="J65" i="79"/>
  <c r="J672" i="79" s="1"/>
  <c r="K143" i="52"/>
  <c r="K146" i="52"/>
  <c r="J22" i="79"/>
  <c r="L3468" i="79"/>
  <c r="L3470" i="79"/>
  <c r="L3097" i="79"/>
  <c r="L3099" i="79"/>
  <c r="M3473" i="79"/>
  <c r="M3102" i="79"/>
  <c r="M129" i="79"/>
  <c r="M131" i="79"/>
  <c r="M284" i="79"/>
  <c r="M508" i="79"/>
  <c r="M507" i="79" s="1"/>
  <c r="M34" i="79"/>
  <c r="BJ145" i="52" s="1"/>
  <c r="L77" i="79"/>
  <c r="L7" i="79" s="1"/>
  <c r="K7" i="79"/>
  <c r="K150" i="52"/>
  <c r="J20" i="79"/>
  <c r="J52" i="79"/>
  <c r="K149" i="52"/>
  <c r="J51" i="79"/>
  <c r="J19" i="79"/>
  <c r="J64" i="79"/>
  <c r="K40" i="79"/>
  <c r="K8" i="79"/>
  <c r="L71" i="79"/>
  <c r="BI150" i="52" s="1"/>
  <c r="L33" i="79"/>
  <c r="BI144" i="52" s="1"/>
  <c r="L135" i="79"/>
  <c r="L78" i="79" s="1"/>
  <c r="L373" i="79"/>
  <c r="M376" i="79"/>
  <c r="M374" i="79" s="1"/>
  <c r="M97" i="79"/>
  <c r="M96" i="79"/>
  <c r="M309" i="79"/>
  <c r="M307" i="79" s="1"/>
  <c r="M133" i="79"/>
  <c r="M239" i="79"/>
  <c r="AC176" i="59"/>
  <c r="O150" i="9"/>
  <c r="AI150" i="9"/>
  <c r="K699" i="79"/>
  <c r="K678" i="79" s="1"/>
  <c r="AZ157" i="52" s="1"/>
  <c r="L53" i="79"/>
  <c r="K51" i="79"/>
  <c r="Y164" i="52"/>
  <c r="J50" i="79"/>
  <c r="K2112" i="79"/>
  <c r="J2106" i="79"/>
  <c r="H2100" i="79"/>
  <c r="I2112" i="79"/>
  <c r="I142" i="52"/>
  <c r="H142" i="52"/>
  <c r="G2106" i="79"/>
  <c r="G616" i="79"/>
  <c r="Y162" i="52"/>
  <c r="AO162" i="52" s="1"/>
  <c r="Y163" i="52"/>
  <c r="AO163" i="52" s="1"/>
  <c r="Y160" i="52"/>
  <c r="AO160" i="52" s="1"/>
  <c r="D590" i="59"/>
  <c r="F632" i="59"/>
  <c r="D632" i="59" s="1"/>
  <c r="T184" i="37"/>
  <c r="T185" i="37"/>
  <c r="X52" i="52"/>
  <c r="X74" i="52"/>
  <c r="T183" i="37"/>
  <c r="V231" i="54" s="1"/>
  <c r="T189" i="37"/>
  <c r="V230" i="54" s="1"/>
  <c r="T186" i="37"/>
  <c r="T187" i="37"/>
  <c r="V315" i="54" s="1"/>
  <c r="V265" i="54"/>
  <c r="S76" i="37"/>
  <c r="U269" i="54" s="1"/>
  <c r="U265" i="54"/>
  <c r="S70" i="37"/>
  <c r="S75" i="37"/>
  <c r="U227" i="54" s="1"/>
  <c r="U223" i="54"/>
  <c r="S77" i="37"/>
  <c r="U248" i="54" s="1"/>
  <c r="U244" i="54"/>
  <c r="S71" i="37"/>
  <c r="S79" i="37"/>
  <c r="U311" i="54" s="1"/>
  <c r="S73" i="37"/>
  <c r="U307" i="54"/>
  <c r="V286" i="54"/>
  <c r="S78" i="37"/>
  <c r="U290" i="54" s="1"/>
  <c r="U286" i="54"/>
  <c r="S72" i="37"/>
  <c r="V244" i="54"/>
  <c r="V307" i="54"/>
  <c r="AP158" i="52"/>
  <c r="X8" i="52"/>
  <c r="X118" i="52" s="1"/>
  <c r="Y30" i="52"/>
  <c r="AO157" i="52"/>
  <c r="S52" i="56"/>
  <c r="S51" i="56"/>
  <c r="S26" i="56"/>
  <c r="S27" i="56"/>
  <c r="R146" i="9"/>
  <c r="AO154" i="52"/>
  <c r="AP155" i="52"/>
  <c r="Q61" i="9"/>
  <c r="R163" i="9"/>
  <c r="R93" i="9"/>
  <c r="R130" i="9"/>
  <c r="R127" i="9"/>
  <c r="R129" i="9"/>
  <c r="R126" i="9"/>
  <c r="R72" i="9"/>
  <c r="R83" i="9"/>
  <c r="R92" i="9"/>
  <c r="R73" i="9"/>
  <c r="R84" i="9"/>
  <c r="AP154" i="52"/>
  <c r="J2052" i="79"/>
  <c r="I18" i="79"/>
  <c r="H18" i="79"/>
  <c r="AO156" i="52"/>
  <c r="M1822" i="79"/>
  <c r="M1820" i="79"/>
  <c r="M1821" i="79"/>
  <c r="L1849" i="79"/>
  <c r="L1855" i="79"/>
  <c r="M1856" i="79"/>
  <c r="M1855" i="79"/>
  <c r="I1849" i="79"/>
  <c r="I1855" i="79"/>
  <c r="K1849" i="79"/>
  <c r="K1855" i="79"/>
  <c r="M1849" i="79"/>
  <c r="M1850" i="79"/>
  <c r="G1849" i="79"/>
  <c r="K1843" i="79"/>
  <c r="M1843" i="79"/>
  <c r="L1843" i="79"/>
  <c r="M1844" i="79"/>
  <c r="I1843" i="79"/>
  <c r="G1843" i="79"/>
  <c r="G2052" i="79"/>
  <c r="K2052" i="79"/>
  <c r="K1806" i="79"/>
  <c r="L2052" i="79"/>
  <c r="G1807" i="79"/>
  <c r="J1807" i="79"/>
  <c r="J1809" i="79"/>
  <c r="J1805" i="79"/>
  <c r="G1809" i="79"/>
  <c r="J1806" i="79"/>
  <c r="I1805" i="79"/>
  <c r="H1805" i="79"/>
  <c r="G1808" i="79"/>
  <c r="G1806" i="79"/>
  <c r="J1808" i="79"/>
  <c r="G1805" i="79"/>
  <c r="K1805" i="79"/>
  <c r="M1799" i="79"/>
  <c r="K1792" i="79"/>
  <c r="K1799" i="79"/>
  <c r="G2162" i="79"/>
  <c r="G1893" i="79"/>
  <c r="G1799" i="79" s="1"/>
  <c r="I2162" i="79"/>
  <c r="I1893" i="79"/>
  <c r="I1799" i="79" s="1"/>
  <c r="L2164" i="79"/>
  <c r="L1908" i="79"/>
  <c r="L1909" i="79"/>
  <c r="L1906" i="79"/>
  <c r="L1806" i="79" s="1"/>
  <c r="L1901" i="79"/>
  <c r="L1903" i="79"/>
  <c r="L1905" i="79"/>
  <c r="L1805" i="79" s="1"/>
  <c r="L1902" i="79"/>
  <c r="L1907" i="79"/>
  <c r="I2100" i="79"/>
  <c r="Z52" i="52"/>
  <c r="AN155" i="52"/>
  <c r="I2106" i="79"/>
  <c r="I2052" i="79"/>
  <c r="H2052" i="79"/>
  <c r="I2053" i="79"/>
  <c r="H2053" i="79"/>
  <c r="G2053" i="79"/>
  <c r="G2100" i="79"/>
  <c r="G2112" i="79"/>
  <c r="H2112" i="79"/>
  <c r="J2112" i="79"/>
  <c r="J2100" i="79"/>
  <c r="K2100" i="79"/>
  <c r="M2114" i="79"/>
  <c r="M2115" i="79"/>
  <c r="M2113" i="79"/>
  <c r="H2106" i="79"/>
  <c r="K2106" i="79"/>
  <c r="M2116" i="79"/>
  <c r="L2106" i="79"/>
  <c r="L2113" i="79"/>
  <c r="M2162" i="79"/>
  <c r="J2162" i="79"/>
  <c r="J2039" i="79"/>
  <c r="I2039" i="79"/>
  <c r="H2039" i="79"/>
  <c r="L2162" i="79"/>
  <c r="H2162" i="79"/>
  <c r="K2162" i="79"/>
  <c r="J2156" i="79"/>
  <c r="J2045" i="79" s="1"/>
  <c r="J2168" i="79"/>
  <c r="K2156" i="79"/>
  <c r="K2045" i="79" s="1"/>
  <c r="K2168" i="79"/>
  <c r="L2170" i="79"/>
  <c r="H2156" i="79"/>
  <c r="H2045" i="79" s="1"/>
  <c r="H2168" i="79"/>
  <c r="L2156" i="79"/>
  <c r="L2045" i="79" s="1"/>
  <c r="L2168" i="79"/>
  <c r="G2156" i="79"/>
  <c r="G2168" i="79"/>
  <c r="M1792" i="79"/>
  <c r="I2156" i="79"/>
  <c r="I2045" i="79" s="1"/>
  <c r="I2168" i="79"/>
  <c r="M2156" i="79"/>
  <c r="M2045" i="79" s="1"/>
  <c r="M2168" i="79"/>
  <c r="G18" i="79"/>
  <c r="M2039" i="79"/>
  <c r="L2100" i="79"/>
  <c r="L2112" i="79"/>
  <c r="L2101" i="79"/>
  <c r="L2107" i="79"/>
  <c r="M2102" i="79"/>
  <c r="M2108" i="79"/>
  <c r="M2103" i="79"/>
  <c r="M2109" i="79"/>
  <c r="M2101" i="79"/>
  <c r="M2107" i="79"/>
  <c r="M2104" i="79"/>
  <c r="M2110" i="79"/>
  <c r="M2070" i="79"/>
  <c r="I617" i="79"/>
  <c r="H617" i="79"/>
  <c r="G617" i="79"/>
  <c r="G1491" i="79"/>
  <c r="G1453" i="79" s="1"/>
  <c r="AV188" i="52" s="1"/>
  <c r="I1491" i="79"/>
  <c r="H1491" i="79"/>
  <c r="H1453" i="79" s="1"/>
  <c r="AW188" i="52" s="1"/>
  <c r="G1401" i="79"/>
  <c r="G1446" i="79"/>
  <c r="I1401" i="79"/>
  <c r="I1446" i="79"/>
  <c r="H1401" i="79"/>
  <c r="H1446" i="79"/>
  <c r="G1311" i="79"/>
  <c r="G1356" i="79"/>
  <c r="I1311" i="79"/>
  <c r="I1356" i="79"/>
  <c r="H1311" i="79"/>
  <c r="H1356" i="79"/>
  <c r="G1167" i="79"/>
  <c r="G1137" i="79" s="1"/>
  <c r="AV175" i="52" s="1"/>
  <c r="G1204" i="79"/>
  <c r="G1174" i="79" s="1"/>
  <c r="AV176" i="52" s="1"/>
  <c r="I1167" i="79"/>
  <c r="I1137" i="79" s="1"/>
  <c r="AX175" i="52" s="1"/>
  <c r="I1204" i="79"/>
  <c r="I1174" i="79" s="1"/>
  <c r="AX176" i="52" s="1"/>
  <c r="H1167" i="79"/>
  <c r="H1137" i="79" s="1"/>
  <c r="AW175" i="52" s="1"/>
  <c r="H1204" i="79"/>
  <c r="H1174" i="79" s="1"/>
  <c r="AW176" i="52" s="1"/>
  <c r="G1093" i="79"/>
  <c r="G1063" i="79" s="1"/>
  <c r="AV173" i="52" s="1"/>
  <c r="G1130" i="79"/>
  <c r="G1100" i="79" s="1"/>
  <c r="AV174" i="52" s="1"/>
  <c r="I1093" i="79"/>
  <c r="I1130" i="79"/>
  <c r="H1093" i="79"/>
  <c r="H1063" i="79" s="1"/>
  <c r="AW173" i="52" s="1"/>
  <c r="H1130" i="79"/>
  <c r="H1100" i="79" s="1"/>
  <c r="AW174" i="52" s="1"/>
  <c r="G957" i="79"/>
  <c r="G927" i="79" s="1"/>
  <c r="AV164" i="52" s="1"/>
  <c r="G1056" i="79"/>
  <c r="I957" i="79"/>
  <c r="I927" i="79" s="1"/>
  <c r="AX164" i="52" s="1"/>
  <c r="I1056" i="79"/>
  <c r="H957" i="79"/>
  <c r="H927" i="79" s="1"/>
  <c r="AW164" i="52" s="1"/>
  <c r="H1056" i="79"/>
  <c r="G883" i="79"/>
  <c r="G853" i="79" s="1"/>
  <c r="AV162" i="52" s="1"/>
  <c r="G920" i="79"/>
  <c r="G890" i="79" s="1"/>
  <c r="AV163" i="52" s="1"/>
  <c r="I883" i="79"/>
  <c r="I853" i="79" s="1"/>
  <c r="AX162" i="52" s="1"/>
  <c r="I920" i="79"/>
  <c r="I890" i="79" s="1"/>
  <c r="AX163" i="52" s="1"/>
  <c r="H883" i="79"/>
  <c r="H853" i="79" s="1"/>
  <c r="AW162" i="52" s="1"/>
  <c r="H920" i="79"/>
  <c r="H890" i="79" s="1"/>
  <c r="AW163" i="52" s="1"/>
  <c r="G809" i="79"/>
  <c r="G846" i="79"/>
  <c r="G816" i="79" s="1"/>
  <c r="AV161" i="52" s="1"/>
  <c r="I809" i="79"/>
  <c r="I846" i="79"/>
  <c r="I816" i="79" s="1"/>
  <c r="AX161" i="52" s="1"/>
  <c r="H809" i="79"/>
  <c r="H846" i="79"/>
  <c r="H816" i="79" s="1"/>
  <c r="AW161" i="52" s="1"/>
  <c r="I616" i="79"/>
  <c r="I705" i="79"/>
  <c r="AX158" i="52" s="1"/>
  <c r="I651" i="79"/>
  <c r="AX156" i="52" s="1"/>
  <c r="G618" i="79"/>
  <c r="G645" i="79"/>
  <c r="G624" i="79" s="1"/>
  <c r="AV155" i="52" s="1"/>
  <c r="I618" i="79"/>
  <c r="I645" i="79"/>
  <c r="I624" i="79" s="1"/>
  <c r="AX155" i="52" s="1"/>
  <c r="H618" i="79"/>
  <c r="H645" i="79"/>
  <c r="H624" i="79" s="1"/>
  <c r="AW155" i="52" s="1"/>
  <c r="L66" i="79"/>
  <c r="K64" i="79"/>
  <c r="J63" i="79"/>
  <c r="M31" i="79"/>
  <c r="BJ142" i="52" s="1"/>
  <c r="M1794" i="79"/>
  <c r="M1796" i="79"/>
  <c r="M1795" i="79"/>
  <c r="M1793" i="79"/>
  <c r="J697" i="79"/>
  <c r="L145" i="52"/>
  <c r="K21" i="79"/>
  <c r="L146" i="52"/>
  <c r="K22" i="79"/>
  <c r="J18" i="79"/>
  <c r="K42" i="79"/>
  <c r="H616" i="79"/>
  <c r="M130" i="79"/>
  <c r="M79" i="79" s="1"/>
  <c r="M41" i="79" s="1"/>
  <c r="M218" i="79"/>
  <c r="M217" i="79" s="1"/>
  <c r="M329" i="79"/>
  <c r="M122" i="79"/>
  <c r="L217" i="79"/>
  <c r="L73" i="79"/>
  <c r="BI152" i="52" s="1"/>
  <c r="L35" i="79"/>
  <c r="BI146" i="52" s="1"/>
  <c r="M73" i="79"/>
  <c r="BJ152" i="52" s="1"/>
  <c r="M35" i="79"/>
  <c r="BJ146" i="52" s="1"/>
  <c r="M57" i="79"/>
  <c r="BB148" i="52" s="1"/>
  <c r="M25" i="79"/>
  <c r="BB142" i="52" s="1"/>
  <c r="M58" i="79"/>
  <c r="BB149" i="52" s="1"/>
  <c r="M26" i="79"/>
  <c r="BB143" i="52" s="1"/>
  <c r="M59" i="79"/>
  <c r="BB150" i="52" s="1"/>
  <c r="M27" i="79"/>
  <c r="BB144" i="52" s="1"/>
  <c r="M61" i="79"/>
  <c r="BB152" i="52" s="1"/>
  <c r="M29" i="79"/>
  <c r="BB146" i="52" s="1"/>
  <c r="M69" i="79"/>
  <c r="BJ148" i="52" s="1"/>
  <c r="L137" i="79"/>
  <c r="L80" i="79" s="1"/>
  <c r="L42" i="79" s="1"/>
  <c r="Z160" i="52"/>
  <c r="AT144" i="52"/>
  <c r="AJ82" i="52"/>
  <c r="AI82" i="52"/>
  <c r="AH82" i="52"/>
  <c r="AG82" i="52"/>
  <c r="AF82" i="52"/>
  <c r="AL82" i="52"/>
  <c r="AK82" i="52"/>
  <c r="AC82" i="52"/>
  <c r="Z82" i="52"/>
  <c r="X82" i="52"/>
  <c r="AB82" i="52"/>
  <c r="Y82" i="52"/>
  <c r="AD82" i="52"/>
  <c r="AA82" i="52"/>
  <c r="B39" i="52"/>
  <c r="B214" i="52"/>
  <c r="B209" i="52"/>
  <c r="B60" i="52"/>
  <c r="B210" i="52"/>
  <c r="A298" i="54"/>
  <c r="C297" i="54" a="1"/>
  <c r="C297" i="54" s="1"/>
  <c r="D297" i="54" s="1"/>
  <c r="R61" i="9"/>
  <c r="O155" i="9"/>
  <c r="Q111" i="9"/>
  <c r="Q115" i="9" s="1"/>
  <c r="R17" i="9"/>
  <c r="Q23" i="9"/>
  <c r="R15" i="9"/>
  <c r="P153" i="9"/>
  <c r="P156" i="9"/>
  <c r="P65" i="9"/>
  <c r="P64" i="9" s="1"/>
  <c r="P87" i="9"/>
  <c r="P96" i="9"/>
  <c r="AD28" i="52"/>
  <c r="AT28" i="52" s="1"/>
  <c r="AT146" i="52"/>
  <c r="AD6" i="52"/>
  <c r="AD73" i="52"/>
  <c r="AT73" i="52" s="1"/>
  <c r="C489" i="59"/>
  <c r="F488" i="59" a="1"/>
  <c r="F488" i="59" s="1"/>
  <c r="F530" i="59" s="1"/>
  <c r="D530" i="59" s="1"/>
  <c r="AD222" i="59"/>
  <c r="D487" i="59"/>
  <c r="F508" i="59"/>
  <c r="AC223" i="59"/>
  <c r="AC224" i="59" s="1"/>
  <c r="AC225" i="59" s="1"/>
  <c r="D568" i="59"/>
  <c r="F610" i="59"/>
  <c r="D610" i="59" s="1"/>
  <c r="AC236" i="59"/>
  <c r="AD89" i="59"/>
  <c r="AD236" i="59" s="1"/>
  <c r="C658" i="59"/>
  <c r="F657" i="59" a="1"/>
  <c r="F657" i="59" s="1"/>
  <c r="D657" i="59" s="1"/>
  <c r="D507" i="59"/>
  <c r="F549" i="59"/>
  <c r="F591" i="59" s="1"/>
  <c r="D548" i="59"/>
  <c r="F569" i="59"/>
  <c r="R16" i="9"/>
  <c r="Q24" i="9"/>
  <c r="P154" i="9"/>
  <c r="P76" i="9"/>
  <c r="P75" i="9" s="1"/>
  <c r="P97" i="9"/>
  <c r="P157" i="9"/>
  <c r="Q660" i="59"/>
  <c r="N659" i="59"/>
  <c r="F343" i="54"/>
  <c r="I344" i="54"/>
  <c r="H455" i="54" a="1"/>
  <c r="H455" i="54" s="1"/>
  <c r="C455" i="54" a="1"/>
  <c r="C455" i="54" s="1"/>
  <c r="B455" i="54" s="1"/>
  <c r="A456" i="54"/>
  <c r="A128" i="54"/>
  <c r="H127" i="54" a="1"/>
  <c r="H127" i="54" s="1"/>
  <c r="C127" i="54" a="1"/>
  <c r="C127" i="54" s="1"/>
  <c r="B127" i="54" s="1"/>
  <c r="C19" i="54" a="1"/>
  <c r="C19" i="54" s="1"/>
  <c r="A20" i="54"/>
  <c r="A343" i="54"/>
  <c r="C342" i="54" a="1"/>
  <c r="C342" i="54" s="1"/>
  <c r="D342" i="54" s="1"/>
  <c r="E255" i="54"/>
  <c r="B255" i="54" s="1"/>
  <c r="C233" i="54" a="1"/>
  <c r="C233" i="54" s="1"/>
  <c r="D233" i="54" s="1"/>
  <c r="A234" i="54"/>
  <c r="E343" i="54"/>
  <c r="C102" i="54" a="1"/>
  <c r="C102" i="54" s="1"/>
  <c r="B102" i="54" s="1"/>
  <c r="A103" i="54"/>
  <c r="C373" i="54" a="1"/>
  <c r="C373" i="54" s="1"/>
  <c r="A374" i="54"/>
  <c r="H373" i="54" a="1"/>
  <c r="H373" i="54" s="1"/>
  <c r="A39" i="54"/>
  <c r="C38" i="54" a="1"/>
  <c r="C38" i="54" s="1"/>
  <c r="B38" i="54" s="1"/>
  <c r="H211" i="54" a="1"/>
  <c r="H211" i="54" s="1"/>
  <c r="C211" i="54" a="1"/>
  <c r="C211" i="54" s="1"/>
  <c r="B211" i="54" s="1"/>
  <c r="A212" i="54"/>
  <c r="B316" i="54"/>
  <c r="E320" i="54"/>
  <c r="B18" i="54"/>
  <c r="B232" i="54"/>
  <c r="C317" i="54" a="1"/>
  <c r="C317" i="54" s="1"/>
  <c r="D317" i="54" s="1"/>
  <c r="A318" i="54"/>
  <c r="A257" i="54"/>
  <c r="C256" i="54" a="1"/>
  <c r="C256" i="54" s="1"/>
  <c r="D256" i="54" s="1"/>
  <c r="E297" i="54"/>
  <c r="B296" i="54"/>
  <c r="H147" i="54" a="1"/>
  <c r="H147" i="54" s="1"/>
  <c r="C147" i="54" a="1"/>
  <c r="C147" i="54" s="1"/>
  <c r="B147" i="54" s="1"/>
  <c r="A148" i="54"/>
  <c r="A436" i="54"/>
  <c r="H435" i="54" a="1"/>
  <c r="H435" i="54" s="1"/>
  <c r="C435" i="54" a="1"/>
  <c r="C435" i="54" s="1"/>
  <c r="B435" i="54" s="1"/>
  <c r="C189" i="54" a="1"/>
  <c r="C189" i="54" s="1"/>
  <c r="B189" i="54" s="1"/>
  <c r="A190" i="54"/>
  <c r="H189" i="54" a="1"/>
  <c r="H189" i="54" s="1"/>
  <c r="E234" i="54"/>
  <c r="B500" i="54"/>
  <c r="C82" i="54" a="1"/>
  <c r="C82" i="54" s="1"/>
  <c r="B82" i="54" s="1"/>
  <c r="A83" i="54"/>
  <c r="A482" i="54"/>
  <c r="H481" i="54" a="1"/>
  <c r="H481" i="54" s="1"/>
  <c r="C481" i="54" a="1"/>
  <c r="C481" i="54" s="1"/>
  <c r="A502" i="54"/>
  <c r="C501" i="54" a="1"/>
  <c r="C501" i="54" s="1"/>
  <c r="H501" i="54" a="1"/>
  <c r="H501" i="54" s="1"/>
  <c r="B254" i="54"/>
  <c r="B341" i="54"/>
  <c r="C395" i="54" a="1"/>
  <c r="C395" i="54" s="1"/>
  <c r="H395" i="54" a="1"/>
  <c r="H395" i="54" s="1"/>
  <c r="A396" i="54"/>
  <c r="AD51" i="52"/>
  <c r="AT51" i="52" s="1"/>
  <c r="AT148" i="52"/>
  <c r="L9" i="79"/>
  <c r="AT152" i="52"/>
  <c r="AO8" i="52"/>
  <c r="AO118" i="52" s="1"/>
  <c r="AP8" i="52"/>
  <c r="AP118" i="52" s="1"/>
  <c r="M741" i="79"/>
  <c r="AD155" i="52" s="1"/>
  <c r="K6" i="79"/>
  <c r="K38" i="79"/>
  <c r="AR154" i="52"/>
  <c r="AB8" i="52"/>
  <c r="L6" i="79"/>
  <c r="L38" i="79"/>
  <c r="AB30" i="52"/>
  <c r="AR30" i="52" s="1"/>
  <c r="AR155" i="52"/>
  <c r="K148" i="52"/>
  <c r="AS7" i="52"/>
  <c r="AS117" i="52" s="1"/>
  <c r="L149" i="52"/>
  <c r="AR156" i="52"/>
  <c r="AB52" i="52"/>
  <c r="AR52" i="52" s="1"/>
  <c r="Y31" i="52"/>
  <c r="AO161" i="52"/>
  <c r="AT7" i="52"/>
  <c r="AT117" i="52" s="1"/>
  <c r="AC155" i="52"/>
  <c r="AC154" i="52"/>
  <c r="AC158" i="52"/>
  <c r="AC157" i="52"/>
  <c r="AC156" i="52"/>
  <c r="M151" i="52"/>
  <c r="AB74" i="52"/>
  <c r="AR74" i="52" s="1"/>
  <c r="AR157" i="52"/>
  <c r="AS6" i="52"/>
  <c r="AS116" i="52" s="1"/>
  <c r="AB96" i="52"/>
  <c r="AR96" i="52" s="1"/>
  <c r="AR158" i="52"/>
  <c r="G1318" i="79" l="1"/>
  <c r="AV185" i="52" s="1"/>
  <c r="H1318" i="79"/>
  <c r="AW185" i="52" s="1"/>
  <c r="G1363" i="79"/>
  <c r="AV186" i="52" s="1"/>
  <c r="H1363" i="79"/>
  <c r="AW186" i="52" s="1"/>
  <c r="G1408" i="79"/>
  <c r="AV187" i="52" s="1"/>
  <c r="I1408" i="79"/>
  <c r="AX187" i="52" s="1"/>
  <c r="H1408" i="79"/>
  <c r="AW187" i="52" s="1"/>
  <c r="BA9" i="9"/>
  <c r="AZ68" i="9"/>
  <c r="AZ66" i="9" s="1"/>
  <c r="AZ92" i="9"/>
  <c r="AZ245" i="9"/>
  <c r="AZ127" i="9"/>
  <c r="AZ246" i="9"/>
  <c r="AZ248" i="9"/>
  <c r="AZ72" i="9"/>
  <c r="AZ130" i="9"/>
  <c r="AZ52" i="9"/>
  <c r="AZ119" i="9"/>
  <c r="AZ118" i="9" s="1"/>
  <c r="AZ159" i="9"/>
  <c r="AA34" i="8" s="1"/>
  <c r="AZ93" i="9"/>
  <c r="AZ59" i="9"/>
  <c r="AZ83" i="9"/>
  <c r="AZ167" i="9"/>
  <c r="AZ165" i="9" s="1"/>
  <c r="AA32" i="8" s="1"/>
  <c r="AZ49" i="9"/>
  <c r="AA15" i="8" s="1"/>
  <c r="AZ126" i="9"/>
  <c r="AZ164" i="9"/>
  <c r="AZ128" i="9"/>
  <c r="AZ163" i="9"/>
  <c r="AZ84" i="9"/>
  <c r="AZ247" i="9"/>
  <c r="AY162" i="9"/>
  <c r="Z31" i="8" s="1"/>
  <c r="Z30" i="8" s="1"/>
  <c r="AY244" i="9"/>
  <c r="AY237" i="9" s="1"/>
  <c r="AQ5" i="8"/>
  <c r="AR6" i="8"/>
  <c r="AR5" i="8" s="1"/>
  <c r="AZ79" i="9"/>
  <c r="AZ77" i="9" s="1"/>
  <c r="AZ201" i="9"/>
  <c r="AZ197" i="9"/>
  <c r="AZ73" i="9"/>
  <c r="AZ249" i="9" s="1"/>
  <c r="AZ195" i="9"/>
  <c r="M255" i="54"/>
  <c r="E457" i="54"/>
  <c r="D456" i="54"/>
  <c r="U255" i="54"/>
  <c r="N255" i="54"/>
  <c r="B373" i="54"/>
  <c r="V255" i="54"/>
  <c r="L255" i="54"/>
  <c r="O255" i="54"/>
  <c r="E373" i="54"/>
  <c r="D372" i="54"/>
  <c r="P255" i="54"/>
  <c r="Q255" i="54"/>
  <c r="E394" i="54"/>
  <c r="D393" i="54"/>
  <c r="B393" i="54"/>
  <c r="R255" i="54"/>
  <c r="K255" i="54"/>
  <c r="E436" i="54"/>
  <c r="D435" i="54"/>
  <c r="T255" i="54"/>
  <c r="S255" i="54"/>
  <c r="P99" i="9"/>
  <c r="P95" i="9" s="1"/>
  <c r="V273" i="54"/>
  <c r="V274" i="54"/>
  <c r="V294" i="54"/>
  <c r="V295" i="54"/>
  <c r="V232" i="54"/>
  <c r="V316" i="54"/>
  <c r="V252" i="54"/>
  <c r="V253" i="54"/>
  <c r="K501" i="54"/>
  <c r="L501" i="54"/>
  <c r="M501" i="54"/>
  <c r="N501" i="54"/>
  <c r="O501" i="54"/>
  <c r="P501" i="54"/>
  <c r="Q501" i="54"/>
  <c r="R501" i="54" s="1"/>
  <c r="S501" i="54" s="1"/>
  <c r="T501" i="54" s="1"/>
  <c r="U501" i="54" s="1"/>
  <c r="V501" i="54" s="1"/>
  <c r="U297" i="54"/>
  <c r="T297" i="54"/>
  <c r="K297" i="54"/>
  <c r="Q297" i="54"/>
  <c r="O297" i="54"/>
  <c r="M297" i="54"/>
  <c r="L297" i="54"/>
  <c r="S297" i="54"/>
  <c r="R297" i="54"/>
  <c r="P297" i="54"/>
  <c r="V297" i="54"/>
  <c r="N297" i="54"/>
  <c r="N317" i="54"/>
  <c r="P317" i="54"/>
  <c r="V317" i="54"/>
  <c r="M317" i="54"/>
  <c r="L317" i="54"/>
  <c r="K317" i="54"/>
  <c r="Q317" i="54"/>
  <c r="U317" i="54"/>
  <c r="T317" i="54"/>
  <c r="S317" i="54"/>
  <c r="R317" i="54"/>
  <c r="O317" i="54"/>
  <c r="Q233" i="54"/>
  <c r="L233" i="54"/>
  <c r="P233" i="54"/>
  <c r="S233" i="54"/>
  <c r="O233" i="54"/>
  <c r="V233" i="54"/>
  <c r="N233" i="54"/>
  <c r="U233" i="54"/>
  <c r="R233" i="54"/>
  <c r="T233" i="54"/>
  <c r="M233" i="54"/>
  <c r="K233" i="54"/>
  <c r="AY76" i="9"/>
  <c r="AY75" i="9" s="1"/>
  <c r="AH76" i="9"/>
  <c r="AH75" i="9" s="1"/>
  <c r="BR65" i="9"/>
  <c r="BR64" i="9" s="1"/>
  <c r="AI197" i="9"/>
  <c r="AI201" i="9"/>
  <c r="BA195" i="9"/>
  <c r="AH65" i="9"/>
  <c r="AH64" i="9" s="1"/>
  <c r="AY65" i="9"/>
  <c r="AY64" i="9" s="1"/>
  <c r="CJ76" i="9"/>
  <c r="CJ75" i="9" s="1"/>
  <c r="BR76" i="9"/>
  <c r="BR75" i="9" s="1"/>
  <c r="CJ65" i="9"/>
  <c r="CJ64" i="9" s="1"/>
  <c r="CK197" i="9"/>
  <c r="CK201" i="9"/>
  <c r="BA201" i="9"/>
  <c r="BA197" i="9"/>
  <c r="BS201" i="9"/>
  <c r="BS197" i="9"/>
  <c r="BS195" i="9"/>
  <c r="AI195" i="9"/>
  <c r="AJ10" i="9"/>
  <c r="S53" i="56"/>
  <c r="S28" i="56"/>
  <c r="S20" i="56" s="1"/>
  <c r="U291" i="54"/>
  <c r="U285" i="54"/>
  <c r="U292" i="54"/>
  <c r="V247" i="54"/>
  <c r="V246" i="54"/>
  <c r="V312" i="54"/>
  <c r="V306" i="54"/>
  <c r="V313" i="54"/>
  <c r="U312" i="54"/>
  <c r="U306" i="54"/>
  <c r="U313" i="54"/>
  <c r="V267" i="54"/>
  <c r="V268" i="54"/>
  <c r="U271" i="54"/>
  <c r="U270" i="54"/>
  <c r="U264" i="54"/>
  <c r="V226" i="54"/>
  <c r="V225" i="54"/>
  <c r="U243" i="54"/>
  <c r="U250" i="54"/>
  <c r="U249" i="54"/>
  <c r="V288" i="54"/>
  <c r="V289" i="54"/>
  <c r="V310" i="54"/>
  <c r="V309" i="54"/>
  <c r="V292" i="54"/>
  <c r="V285" i="54"/>
  <c r="V291" i="54"/>
  <c r="CK140" i="9"/>
  <c r="CK139" i="9" s="1"/>
  <c r="CK72" i="9"/>
  <c r="CK73" i="9"/>
  <c r="CK79" i="9"/>
  <c r="CK77" i="9" s="1"/>
  <c r="CK68" i="9"/>
  <c r="CK66" i="9" s="1"/>
  <c r="BS140" i="9"/>
  <c r="BS139" i="9" s="1"/>
  <c r="BS72" i="9"/>
  <c r="BS73" i="9"/>
  <c r="BS68" i="9"/>
  <c r="BS66" i="9" s="1"/>
  <c r="BS79" i="9"/>
  <c r="BS77" i="9" s="1"/>
  <c r="BA140" i="9"/>
  <c r="BA139" i="9" s="1"/>
  <c r="BA72" i="9"/>
  <c r="BA73" i="9"/>
  <c r="BA68" i="9"/>
  <c r="BA79" i="9"/>
  <c r="AI140" i="9"/>
  <c r="AI139" i="9" s="1"/>
  <c r="AI73" i="9"/>
  <c r="AI72" i="9"/>
  <c r="AI79" i="9"/>
  <c r="AI77" i="9" s="1"/>
  <c r="AI68" i="9"/>
  <c r="AI66" i="9" s="1"/>
  <c r="BR249" i="9"/>
  <c r="BR244" i="9" s="1"/>
  <c r="BR237" i="9" s="1"/>
  <c r="R249" i="9"/>
  <c r="CJ249" i="9"/>
  <c r="CJ244" i="9" s="1"/>
  <c r="CJ237" i="9" s="1"/>
  <c r="AH249" i="9"/>
  <c r="AH244" i="9" s="1"/>
  <c r="AH237" i="9" s="1"/>
  <c r="BS164" i="9"/>
  <c r="R111" i="9"/>
  <c r="R115" i="9" s="1"/>
  <c r="R67" i="9"/>
  <c r="R78" i="9" s="1"/>
  <c r="R77" i="9" s="1"/>
  <c r="AI167" i="9"/>
  <c r="AI165" i="9" s="1"/>
  <c r="AI247" i="9"/>
  <c r="AI92" i="9"/>
  <c r="AI93" i="9"/>
  <c r="AI126" i="9"/>
  <c r="AH162" i="9"/>
  <c r="AH161" i="9" s="1"/>
  <c r="AI129" i="9"/>
  <c r="AI52" i="9"/>
  <c r="AI127" i="9"/>
  <c r="AI163" i="9"/>
  <c r="AI159" i="9"/>
  <c r="AJ9" i="9"/>
  <c r="AI248" i="9"/>
  <c r="AI83" i="9"/>
  <c r="AI128" i="9"/>
  <c r="AI245" i="9"/>
  <c r="AI130" i="9"/>
  <c r="AI119" i="9"/>
  <c r="AI118" i="9" s="1"/>
  <c r="AI164" i="9"/>
  <c r="AI59" i="9"/>
  <c r="AI57" i="9" s="1"/>
  <c r="AI56" i="9" s="1"/>
  <c r="AI84" i="9"/>
  <c r="AI49" i="9"/>
  <c r="AI246" i="9"/>
  <c r="BS130" i="9"/>
  <c r="BS246" i="9"/>
  <c r="BS52" i="9"/>
  <c r="BS83" i="9"/>
  <c r="BS163" i="9"/>
  <c r="BS128" i="9"/>
  <c r="BS247" i="9"/>
  <c r="BS245" i="9"/>
  <c r="BS84" i="9"/>
  <c r="BS92" i="9"/>
  <c r="BS119" i="9"/>
  <c r="BS118" i="9" s="1"/>
  <c r="BS129" i="9"/>
  <c r="BS59" i="9"/>
  <c r="BS127" i="9"/>
  <c r="BS159" i="9"/>
  <c r="BT9" i="9"/>
  <c r="BT195" i="9" s="1"/>
  <c r="BS248" i="9"/>
  <c r="BS49" i="9"/>
  <c r="AH15" i="8" s="1"/>
  <c r="BS126" i="9"/>
  <c r="BS167" i="9"/>
  <c r="BS165" i="9" s="1"/>
  <c r="T69" i="37"/>
  <c r="M479" i="54"/>
  <c r="Z120" i="52"/>
  <c r="AN9" i="52"/>
  <c r="AN119" i="52" s="1"/>
  <c r="X119" i="52"/>
  <c r="AB121" i="52"/>
  <c r="I117" i="52"/>
  <c r="O472" i="54"/>
  <c r="AB118" i="52"/>
  <c r="AD116" i="52"/>
  <c r="H117" i="52"/>
  <c r="L479" i="54"/>
  <c r="Y120" i="52"/>
  <c r="T71" i="37"/>
  <c r="N479" i="54"/>
  <c r="AA120" i="52"/>
  <c r="T70" i="37"/>
  <c r="J117" i="52"/>
  <c r="X97" i="52"/>
  <c r="AN97" i="52" s="1"/>
  <c r="AA98" i="52"/>
  <c r="AQ98" i="52" s="1"/>
  <c r="Y98" i="52"/>
  <c r="AO98" i="52" s="1"/>
  <c r="AN170" i="52"/>
  <c r="AR170" i="52"/>
  <c r="Y97" i="52"/>
  <c r="AO97" i="52" s="1"/>
  <c r="AP170" i="52"/>
  <c r="AR176" i="52"/>
  <c r="AB10" i="52"/>
  <c r="AN160" i="52"/>
  <c r="L29" i="52"/>
  <c r="K51" i="52"/>
  <c r="K28" i="52"/>
  <c r="H6" i="52"/>
  <c r="K7" i="52"/>
  <c r="I6" i="52"/>
  <c r="K50" i="52"/>
  <c r="M73" i="52"/>
  <c r="J6" i="52"/>
  <c r="K29" i="52"/>
  <c r="K94" i="52"/>
  <c r="K6" i="52"/>
  <c r="G3521" i="79"/>
  <c r="K3493" i="79"/>
  <c r="K3405" i="79" s="1"/>
  <c r="G3157" i="79"/>
  <c r="K3125" i="79"/>
  <c r="J3157" i="79"/>
  <c r="J3521" i="79"/>
  <c r="J3406" i="79" s="1"/>
  <c r="AN162" i="52"/>
  <c r="B282" i="52"/>
  <c r="AN163" i="52"/>
  <c r="B200" i="52"/>
  <c r="AN31" i="52"/>
  <c r="AN164" i="52"/>
  <c r="AN161" i="52"/>
  <c r="AB76" i="52"/>
  <c r="AR76" i="52" s="1"/>
  <c r="S43" i="56"/>
  <c r="S41" i="56"/>
  <c r="S39" i="56"/>
  <c r="S42" i="56"/>
  <c r="S40" i="56"/>
  <c r="AB99" i="52"/>
  <c r="AR99" i="52" s="1"/>
  <c r="T79" i="37"/>
  <c r="V311" i="54" s="1"/>
  <c r="N472" i="54"/>
  <c r="K472" i="54"/>
  <c r="K478" i="54"/>
  <c r="AB33" i="52"/>
  <c r="AR33" i="52" s="1"/>
  <c r="U116" i="54"/>
  <c r="U114" i="54"/>
  <c r="T78" i="37"/>
  <c r="V290" i="54" s="1"/>
  <c r="BR162" i="9"/>
  <c r="BR161" i="9" s="1"/>
  <c r="AR172" i="52"/>
  <c r="AR174" i="52"/>
  <c r="AO30" i="52"/>
  <c r="AN74" i="52"/>
  <c r="AQ10" i="52"/>
  <c r="AQ120" i="52" s="1"/>
  <c r="AN52" i="52"/>
  <c r="AP52" i="52"/>
  <c r="AP76" i="52"/>
  <c r="AO31" i="52"/>
  <c r="AQ52" i="52"/>
  <c r="AO76" i="52"/>
  <c r="AQ54" i="52"/>
  <c r="AQ74" i="52"/>
  <c r="AO32" i="52"/>
  <c r="AR175" i="52"/>
  <c r="AB54" i="52"/>
  <c r="AR54" i="52" s="1"/>
  <c r="Z180" i="52"/>
  <c r="Z56" i="52" s="1"/>
  <c r="Z182" i="52"/>
  <c r="Z181" i="52"/>
  <c r="AP181" i="52" s="1"/>
  <c r="Z179" i="52"/>
  <c r="AP179" i="52" s="1"/>
  <c r="Z178" i="52"/>
  <c r="Z12" i="52" s="1"/>
  <c r="AB32" i="52"/>
  <c r="AR32" i="52" s="1"/>
  <c r="AB98" i="52"/>
  <c r="AR98" i="52" s="1"/>
  <c r="K1509" i="79"/>
  <c r="H1509" i="79"/>
  <c r="H1506" i="79" s="1"/>
  <c r="K1498" i="79"/>
  <c r="K1496" i="79" s="1"/>
  <c r="AA172" i="52"/>
  <c r="AA176" i="52"/>
  <c r="AA173" i="52"/>
  <c r="AA175" i="52"/>
  <c r="X173" i="52"/>
  <c r="X33" i="52" s="1"/>
  <c r="X176" i="52"/>
  <c r="X174" i="52"/>
  <c r="X172" i="52"/>
  <c r="X175" i="52"/>
  <c r="Y172" i="52"/>
  <c r="Y11" i="52" s="1"/>
  <c r="Y121" i="52" s="1"/>
  <c r="Y173" i="52"/>
  <c r="Y175" i="52"/>
  <c r="Y176" i="52"/>
  <c r="Y174" i="52"/>
  <c r="I1498" i="79"/>
  <c r="I1496" i="79" s="1"/>
  <c r="H1498" i="79"/>
  <c r="H1496" i="79" s="1"/>
  <c r="H1229" i="79"/>
  <c r="H1227" i="79" s="1"/>
  <c r="I1209" i="79"/>
  <c r="J1498" i="79"/>
  <c r="J1496" i="79" s="1"/>
  <c r="J1229" i="79"/>
  <c r="J1227" i="79" s="1"/>
  <c r="AC169" i="52"/>
  <c r="AS169" i="52" s="1"/>
  <c r="AC170" i="52"/>
  <c r="J1219" i="79"/>
  <c r="G1229" i="79"/>
  <c r="G1227" i="79" s="1"/>
  <c r="AC167" i="52"/>
  <c r="AS167" i="52" s="1"/>
  <c r="AC168" i="52"/>
  <c r="AS168" i="52" s="1"/>
  <c r="I1218" i="79"/>
  <c r="L1211" i="79"/>
  <c r="L1229" i="79" s="1"/>
  <c r="L1227" i="79" s="1"/>
  <c r="AC166" i="52"/>
  <c r="AS166" i="52" s="1"/>
  <c r="AA174" i="52"/>
  <c r="M1211" i="79"/>
  <c r="I277" i="52"/>
  <c r="J277" i="52"/>
  <c r="I1509" i="79"/>
  <c r="I1219" i="79"/>
  <c r="G1238" i="79"/>
  <c r="G1236" i="79" s="1"/>
  <c r="I1453" i="79"/>
  <c r="AX188" i="52" s="1"/>
  <c r="J1238" i="79"/>
  <c r="J1236" i="79" s="1"/>
  <c r="L277" i="52"/>
  <c r="L1238" i="79"/>
  <c r="L1236" i="79" s="1"/>
  <c r="G1219" i="79"/>
  <c r="G1218" i="79"/>
  <c r="I1063" i="79"/>
  <c r="AX173" i="52" s="1"/>
  <c r="I1128" i="79"/>
  <c r="I1100" i="79" s="1"/>
  <c r="AX174" i="52" s="1"/>
  <c r="I1403" i="79"/>
  <c r="I1399" i="79" s="1"/>
  <c r="I1358" i="79"/>
  <c r="I1354" i="79" s="1"/>
  <c r="L1219" i="79"/>
  <c r="G807" i="79"/>
  <c r="G779" i="79" s="1"/>
  <c r="AV160" i="52" s="1"/>
  <c r="M991" i="79"/>
  <c r="M1222" i="79" s="1"/>
  <c r="M1219" i="79" s="1"/>
  <c r="J918" i="79"/>
  <c r="J1206" i="79"/>
  <c r="J1202" i="79" s="1"/>
  <c r="K918" i="79"/>
  <c r="J1169" i="79"/>
  <c r="J1165" i="79" s="1"/>
  <c r="K1169" i="79"/>
  <c r="K1165" i="79" s="1"/>
  <c r="I1058" i="79"/>
  <c r="I1054" i="79" s="1"/>
  <c r="I1026" i="79" s="1"/>
  <c r="AX172" i="52" s="1"/>
  <c r="G1058" i="79"/>
  <c r="G1054" i="79" s="1"/>
  <c r="G1026" i="79" s="1"/>
  <c r="AV172" i="52" s="1"/>
  <c r="H1058" i="79"/>
  <c r="H1054" i="79" s="1"/>
  <c r="H1026" i="79" s="1"/>
  <c r="AW172" i="52" s="1"/>
  <c r="J885" i="79"/>
  <c r="J881" i="79" s="1"/>
  <c r="K848" i="79"/>
  <c r="L922" i="79"/>
  <c r="L1169" i="79" s="1"/>
  <c r="L1165" i="79" s="1"/>
  <c r="J848" i="79"/>
  <c r="J811" i="79"/>
  <c r="J807" i="79" s="1"/>
  <c r="AB25" i="10"/>
  <c r="BX24" i="10"/>
  <c r="BY24" i="10" s="1"/>
  <c r="L3529" i="79"/>
  <c r="L3524" i="79" s="1"/>
  <c r="Q22" i="56"/>
  <c r="Q15" i="56"/>
  <c r="L3496" i="79"/>
  <c r="L3498" i="79"/>
  <c r="L3131" i="79"/>
  <c r="L3129" i="79"/>
  <c r="M3134" i="79"/>
  <c r="M3501" i="79"/>
  <c r="O24" i="56"/>
  <c r="O18" i="56" s="1"/>
  <c r="O17" i="56"/>
  <c r="K3524" i="79"/>
  <c r="K3526" i="79"/>
  <c r="R21" i="56"/>
  <c r="R14" i="56"/>
  <c r="K3161" i="79"/>
  <c r="K3163" i="79"/>
  <c r="N18" i="56"/>
  <c r="Q198" i="54" s="1"/>
  <c r="R198" i="54" s="1"/>
  <c r="S198" i="54" s="1"/>
  <c r="T198" i="54" s="1"/>
  <c r="U198" i="54" s="1"/>
  <c r="V198" i="54" s="1"/>
  <c r="N260" i="80"/>
  <c r="M1684" i="79"/>
  <c r="P23" i="56"/>
  <c r="P16" i="56"/>
  <c r="AA76" i="52"/>
  <c r="AA32" i="52"/>
  <c r="AO167" i="52"/>
  <c r="AQ168" i="52"/>
  <c r="AQ170" i="52"/>
  <c r="AP10" i="52"/>
  <c r="AP120" i="52" s="1"/>
  <c r="Z54" i="52"/>
  <c r="AO169" i="52"/>
  <c r="Z32" i="52"/>
  <c r="X54" i="52"/>
  <c r="X98" i="52"/>
  <c r="Z98" i="52"/>
  <c r="AP166" i="52"/>
  <c r="AO170" i="52"/>
  <c r="X32" i="52"/>
  <c r="L728" i="79"/>
  <c r="L724" i="79" s="1"/>
  <c r="K728" i="79"/>
  <c r="M701" i="79"/>
  <c r="M922" i="79" s="1"/>
  <c r="K674" i="79"/>
  <c r="K885" i="79" s="1"/>
  <c r="K620" i="79"/>
  <c r="L620" i="79"/>
  <c r="X76" i="52"/>
  <c r="AO166" i="52"/>
  <c r="AO10" i="52"/>
  <c r="AO120" i="52" s="1"/>
  <c r="Y54" i="52"/>
  <c r="X10" i="52"/>
  <c r="M962" i="79"/>
  <c r="AD167" i="52" s="1"/>
  <c r="AY98" i="9"/>
  <c r="Q59" i="9"/>
  <c r="Q57" i="9" s="1"/>
  <c r="Q56" i="9" s="1"/>
  <c r="Q167" i="9"/>
  <c r="Q165" i="9" s="1"/>
  <c r="Q52" i="9"/>
  <c r="Q98" i="9" s="1"/>
  <c r="Q164" i="9"/>
  <c r="Q162" i="9" s="1"/>
  <c r="Q49" i="9"/>
  <c r="Q247" i="9"/>
  <c r="Q159" i="9"/>
  <c r="Q128" i="9"/>
  <c r="Q245" i="9"/>
  <c r="Q246" i="9"/>
  <c r="R10" i="9"/>
  <c r="R195" i="9" s="1"/>
  <c r="P161" i="9"/>
  <c r="P244" i="9"/>
  <c r="P237" i="9" s="1"/>
  <c r="B481" i="54"/>
  <c r="BA119" i="9"/>
  <c r="BA118" i="9" s="1"/>
  <c r="BA248" i="9"/>
  <c r="CK248" i="9"/>
  <c r="CJ162" i="9"/>
  <c r="CJ161" i="9" s="1"/>
  <c r="AQ8" i="52"/>
  <c r="AQ118" i="52" s="1"/>
  <c r="AG95" i="9"/>
  <c r="T20" i="8" s="1"/>
  <c r="CK128" i="9"/>
  <c r="CK119" i="9"/>
  <c r="CK118" i="9" s="1"/>
  <c r="AX155" i="9"/>
  <c r="Y38" i="8" s="1"/>
  <c r="BQ95" i="9"/>
  <c r="AF20" i="8" s="1"/>
  <c r="AX95" i="9"/>
  <c r="Y20" i="8" s="1"/>
  <c r="AJ19" i="9"/>
  <c r="BR154" i="9"/>
  <c r="BR157" i="9"/>
  <c r="BR97" i="9"/>
  <c r="BR99" i="9"/>
  <c r="CL16" i="9"/>
  <c r="CK24" i="9"/>
  <c r="BR96" i="9"/>
  <c r="BR153" i="9"/>
  <c r="BR87" i="9"/>
  <c r="BR156" i="9"/>
  <c r="BR98" i="9"/>
  <c r="CL15" i="9"/>
  <c r="CK23" i="9"/>
  <c r="CK59" i="9"/>
  <c r="AJ20" i="9"/>
  <c r="AK12" i="9"/>
  <c r="BS24" i="9"/>
  <c r="BT16" i="9"/>
  <c r="BU12" i="9"/>
  <c r="CJ87" i="9"/>
  <c r="CJ156" i="9"/>
  <c r="CJ96" i="9"/>
  <c r="CJ153" i="9"/>
  <c r="CJ98" i="9"/>
  <c r="CM18" i="9"/>
  <c r="CM58" i="9" s="1"/>
  <c r="CL150" i="9"/>
  <c r="BA21" i="9"/>
  <c r="BA71" i="9" s="1"/>
  <c r="CK246" i="9"/>
  <c r="BA20" i="9"/>
  <c r="BU10" i="9"/>
  <c r="AH97" i="9"/>
  <c r="AH99" i="9"/>
  <c r="AH157" i="9"/>
  <c r="AH154" i="9"/>
  <c r="CI95" i="9"/>
  <c r="AL20" i="8" s="1"/>
  <c r="BA17" i="9"/>
  <c r="BA67" i="9" s="1"/>
  <c r="BA78" i="9" s="1"/>
  <c r="AZ111" i="9"/>
  <c r="AZ115" i="9" s="1"/>
  <c r="BT20" i="9"/>
  <c r="BT14" i="9"/>
  <c r="BS146" i="9"/>
  <c r="BS63" i="9"/>
  <c r="BS61" i="9" s="1"/>
  <c r="BA129" i="9"/>
  <c r="BA126" i="9"/>
  <c r="BA84" i="9"/>
  <c r="BA163" i="9"/>
  <c r="BA130" i="9"/>
  <c r="BB9" i="9"/>
  <c r="BA127" i="9"/>
  <c r="BA93" i="9"/>
  <c r="BA83" i="9"/>
  <c r="BA92" i="9"/>
  <c r="BA49" i="9"/>
  <c r="BA159" i="9"/>
  <c r="AB34" i="8" s="1"/>
  <c r="CK245" i="9"/>
  <c r="CK167" i="9"/>
  <c r="CK165" i="9" s="1"/>
  <c r="BT21" i="9"/>
  <c r="BT71" i="9" s="1"/>
  <c r="AY97" i="9"/>
  <c r="AY154" i="9"/>
  <c r="AY157" i="9"/>
  <c r="AY99" i="9"/>
  <c r="BT19" i="9"/>
  <c r="AJ15" i="9"/>
  <c r="AI23" i="9"/>
  <c r="BA19" i="9"/>
  <c r="CK111" i="9"/>
  <c r="CK115" i="9" s="1"/>
  <c r="CL17" i="9"/>
  <c r="CL67" i="9" s="1"/>
  <c r="CL78" i="9" s="1"/>
  <c r="AJ16" i="9"/>
  <c r="AI24" i="9"/>
  <c r="BQ155" i="9"/>
  <c r="AI63" i="9"/>
  <c r="AI61" i="9" s="1"/>
  <c r="AJ14" i="9"/>
  <c r="AI146" i="9"/>
  <c r="CM13" i="9"/>
  <c r="CL166" i="9"/>
  <c r="CK164" i="9"/>
  <c r="BA16" i="9"/>
  <c r="AZ24" i="9"/>
  <c r="BA14" i="9"/>
  <c r="AZ63" i="9"/>
  <c r="AZ61" i="9" s="1"/>
  <c r="AZ146" i="9"/>
  <c r="AK18" i="9"/>
  <c r="AJ58" i="9"/>
  <c r="AH96" i="9"/>
  <c r="AH87" i="9"/>
  <c r="AH156" i="9"/>
  <c r="AH153" i="9"/>
  <c r="AH98" i="9"/>
  <c r="CK92" i="9"/>
  <c r="CK129" i="9"/>
  <c r="CK84" i="9"/>
  <c r="CK126" i="9"/>
  <c r="CK93" i="9"/>
  <c r="CL9" i="9"/>
  <c r="CL195" i="9" s="1"/>
  <c r="CK130" i="9"/>
  <c r="CK163" i="9"/>
  <c r="CK127" i="9"/>
  <c r="CK83" i="9"/>
  <c r="CK159" i="9"/>
  <c r="CK49" i="9"/>
  <c r="AN15" i="8" s="1"/>
  <c r="BA167" i="9"/>
  <c r="BA247" i="9"/>
  <c r="BA245" i="9"/>
  <c r="BA59" i="9"/>
  <c r="BA246" i="9"/>
  <c r="BA128" i="9"/>
  <c r="BA164" i="9"/>
  <c r="BA52" i="9"/>
  <c r="BB10" i="9"/>
  <c r="CL20" i="9"/>
  <c r="CL19" i="9"/>
  <c r="BB18" i="9"/>
  <c r="BA150" i="9"/>
  <c r="AJ21" i="9"/>
  <c r="AJ71" i="9" s="1"/>
  <c r="BT166" i="9"/>
  <c r="BU13" i="9"/>
  <c r="AY87" i="9"/>
  <c r="AY156" i="9"/>
  <c r="AY96" i="9"/>
  <c r="AY153" i="9"/>
  <c r="AJ17" i="9"/>
  <c r="AJ67" i="9" s="1"/>
  <c r="AJ78" i="9" s="1"/>
  <c r="AI111" i="9"/>
  <c r="AI115" i="9" s="1"/>
  <c r="BS111" i="9"/>
  <c r="BS115" i="9" s="1"/>
  <c r="BT17" i="9"/>
  <c r="BT67" i="9" s="1"/>
  <c r="BT78" i="9" s="1"/>
  <c r="CL21" i="9"/>
  <c r="CL71" i="9" s="1"/>
  <c r="CK52" i="9"/>
  <c r="AK13" i="9"/>
  <c r="AJ166" i="9"/>
  <c r="BU18" i="9"/>
  <c r="BT150" i="9"/>
  <c r="AZ23" i="9"/>
  <c r="BA15" i="9"/>
  <c r="BB12" i="9"/>
  <c r="BA166" i="9"/>
  <c r="BB13" i="9"/>
  <c r="AG155" i="9"/>
  <c r="T38" i="8" s="1"/>
  <c r="CJ154" i="9"/>
  <c r="CJ97" i="9"/>
  <c r="CJ157" i="9"/>
  <c r="CJ99" i="9"/>
  <c r="CI155" i="9"/>
  <c r="BS23" i="9"/>
  <c r="BT15" i="9"/>
  <c r="CM12" i="9"/>
  <c r="CM10" i="9"/>
  <c r="CK247" i="9"/>
  <c r="CK63" i="9"/>
  <c r="CK61" i="9" s="1"/>
  <c r="CL14" i="9"/>
  <c r="CK146" i="9"/>
  <c r="L3465" i="79"/>
  <c r="L3404" i="79" s="1"/>
  <c r="L3093" i="79"/>
  <c r="H1454" i="79"/>
  <c r="AW194" i="52" s="1"/>
  <c r="G1454" i="79"/>
  <c r="AV194" i="52" s="1"/>
  <c r="L144" i="52"/>
  <c r="L143" i="52"/>
  <c r="M143" i="52"/>
  <c r="M3468" i="79"/>
  <c r="M3470" i="79"/>
  <c r="M3097" i="79"/>
  <c r="M3099" i="79"/>
  <c r="L3161" i="79"/>
  <c r="L3163" i="79"/>
  <c r="L39" i="79"/>
  <c r="L19" i="79"/>
  <c r="K19" i="79"/>
  <c r="M137" i="79"/>
  <c r="M80" i="79" s="1"/>
  <c r="M42" i="79" s="1"/>
  <c r="K20" i="79"/>
  <c r="J670" i="79"/>
  <c r="J651" i="79" s="1"/>
  <c r="AY156" i="52" s="1"/>
  <c r="J643" i="79"/>
  <c r="L8" i="79"/>
  <c r="L40" i="79"/>
  <c r="M373" i="79"/>
  <c r="M135" i="79"/>
  <c r="M78" i="79" s="1"/>
  <c r="M8" i="79" s="1"/>
  <c r="M71" i="79"/>
  <c r="BJ150" i="52" s="1"/>
  <c r="M33" i="79"/>
  <c r="BJ144" i="52" s="1"/>
  <c r="L150" i="52"/>
  <c r="K52" i="79"/>
  <c r="K65" i="79"/>
  <c r="K672" i="79" s="1"/>
  <c r="M134" i="79"/>
  <c r="M77" i="79" s="1"/>
  <c r="M306" i="79"/>
  <c r="M70" i="79"/>
  <c r="BJ149" i="52" s="1"/>
  <c r="M32" i="79"/>
  <c r="BJ143" i="52" s="1"/>
  <c r="P150" i="9"/>
  <c r="AD176" i="59"/>
  <c r="Y53" i="52"/>
  <c r="AO82" i="52"/>
  <c r="M1859" i="79"/>
  <c r="L67" i="79"/>
  <c r="L726" i="79" s="1"/>
  <c r="K67" i="79"/>
  <c r="K726" i="79" s="1"/>
  <c r="M53" i="79"/>
  <c r="M1858" i="79"/>
  <c r="J617" i="79"/>
  <c r="Y75" i="52"/>
  <c r="AO164" i="52"/>
  <c r="M1857" i="79"/>
  <c r="L50" i="79"/>
  <c r="K50" i="79"/>
  <c r="Y9" i="52"/>
  <c r="Y119" i="52" s="1"/>
  <c r="D591" i="59"/>
  <c r="F633" i="59"/>
  <c r="D633" i="59" s="1"/>
  <c r="G597" i="79"/>
  <c r="AV154" i="52" s="1"/>
  <c r="G599" i="79"/>
  <c r="P154" i="52" s="1"/>
  <c r="L94" i="52"/>
  <c r="L72" i="52"/>
  <c r="V223" i="54"/>
  <c r="AN8" i="52"/>
  <c r="AN118" i="52" s="1"/>
  <c r="I928" i="79"/>
  <c r="AX170" i="52" s="1"/>
  <c r="G928" i="79"/>
  <c r="AV170" i="52" s="1"/>
  <c r="H928" i="79"/>
  <c r="AW170" i="52" s="1"/>
  <c r="I891" i="79"/>
  <c r="AX169" i="52" s="1"/>
  <c r="G891" i="79"/>
  <c r="AV169" i="52" s="1"/>
  <c r="H891" i="79"/>
  <c r="AW169" i="52" s="1"/>
  <c r="I854" i="79"/>
  <c r="AX168" i="52" s="1"/>
  <c r="G854" i="79"/>
  <c r="AV168" i="52" s="1"/>
  <c r="H854" i="79"/>
  <c r="AW168" i="52" s="1"/>
  <c r="H817" i="79"/>
  <c r="AW167" i="52" s="1"/>
  <c r="I817" i="79"/>
  <c r="AX167" i="52" s="1"/>
  <c r="G817" i="79"/>
  <c r="AV167" i="52" s="1"/>
  <c r="M1851" i="79"/>
  <c r="M1846" i="79"/>
  <c r="M1852" i="79"/>
  <c r="M1845" i="79"/>
  <c r="M1853" i="79"/>
  <c r="M1847" i="79"/>
  <c r="L1808" i="79"/>
  <c r="L1809" i="79"/>
  <c r="L1807" i="79"/>
  <c r="G2051" i="79"/>
  <c r="I2051" i="79"/>
  <c r="L2053" i="79"/>
  <c r="K2051" i="79"/>
  <c r="J2051" i="79"/>
  <c r="M2051" i="79"/>
  <c r="H2051" i="79"/>
  <c r="L2051" i="79"/>
  <c r="G2045" i="79"/>
  <c r="L699" i="79"/>
  <c r="M2106" i="79"/>
  <c r="M2112" i="79"/>
  <c r="M2100" i="79"/>
  <c r="J1491" i="79"/>
  <c r="J1401" i="79"/>
  <c r="J1446" i="79"/>
  <c r="J1311" i="79"/>
  <c r="J1356" i="79"/>
  <c r="I1175" i="79"/>
  <c r="AX182" i="52" s="1"/>
  <c r="G1175" i="79"/>
  <c r="AV182" i="52" s="1"/>
  <c r="H1175" i="79"/>
  <c r="AW182" i="52" s="1"/>
  <c r="H1138" i="79"/>
  <c r="AW181" i="52" s="1"/>
  <c r="I1138" i="79"/>
  <c r="AX181" i="52" s="1"/>
  <c r="G1138" i="79"/>
  <c r="AV181" i="52" s="1"/>
  <c r="G1101" i="79"/>
  <c r="AV180" i="52" s="1"/>
  <c r="H1101" i="79"/>
  <c r="AW180" i="52" s="1"/>
  <c r="G1064" i="79"/>
  <c r="AV179" i="52" s="1"/>
  <c r="H1064" i="79"/>
  <c r="AW179" i="52" s="1"/>
  <c r="J1167" i="79"/>
  <c r="J1204" i="79"/>
  <c r="J1093" i="79"/>
  <c r="J1130" i="79"/>
  <c r="J957" i="79"/>
  <c r="J927" i="79" s="1"/>
  <c r="AY164" i="52" s="1"/>
  <c r="J1056" i="79"/>
  <c r="I779" i="79"/>
  <c r="AX160" i="52" s="1"/>
  <c r="H779" i="79"/>
  <c r="AW160" i="52" s="1"/>
  <c r="J883" i="79"/>
  <c r="J920" i="79"/>
  <c r="J809" i="79"/>
  <c r="J846" i="79"/>
  <c r="I597" i="79"/>
  <c r="AX154" i="52" s="1"/>
  <c r="J678" i="79"/>
  <c r="AY157" i="52" s="1"/>
  <c r="I598" i="79"/>
  <c r="BF154" i="52" s="1"/>
  <c r="J618" i="79"/>
  <c r="J645" i="79"/>
  <c r="H597" i="79"/>
  <c r="AW154" i="52" s="1"/>
  <c r="H598" i="79"/>
  <c r="BE154" i="52" s="1"/>
  <c r="G598" i="79"/>
  <c r="BD154" i="52" s="1"/>
  <c r="M66" i="79"/>
  <c r="L63" i="79"/>
  <c r="K63" i="79"/>
  <c r="K54" i="79"/>
  <c r="L152" i="52"/>
  <c r="I599" i="79"/>
  <c r="R154" i="52" s="1"/>
  <c r="H599" i="79"/>
  <c r="Q154" i="52" s="1"/>
  <c r="L54" i="79"/>
  <c r="M142" i="52"/>
  <c r="L18" i="79"/>
  <c r="M145" i="52"/>
  <c r="L21" i="79"/>
  <c r="L142" i="52"/>
  <c r="K18" i="79"/>
  <c r="M127" i="79"/>
  <c r="M76" i="79" s="1"/>
  <c r="Z161" i="52"/>
  <c r="AP161" i="52" s="1"/>
  <c r="Z162" i="52"/>
  <c r="AP162" i="52" s="1"/>
  <c r="Z164" i="52"/>
  <c r="Z163" i="52"/>
  <c r="Z75" i="52" s="1"/>
  <c r="M152" i="52"/>
  <c r="L10" i="79"/>
  <c r="AR82" i="52"/>
  <c r="AP82" i="52"/>
  <c r="AS82" i="52"/>
  <c r="AT82" i="52"/>
  <c r="B82" i="52"/>
  <c r="AQ82" i="52"/>
  <c r="AN82" i="52"/>
  <c r="AL83" i="52"/>
  <c r="AK83" i="52"/>
  <c r="AJ83" i="52"/>
  <c r="AI83" i="52"/>
  <c r="AH83" i="52"/>
  <c r="AG83" i="52"/>
  <c r="AF83" i="52"/>
  <c r="AB83" i="52"/>
  <c r="Y83" i="52"/>
  <c r="AC83" i="52"/>
  <c r="AA83" i="52"/>
  <c r="X83" i="52"/>
  <c r="AD83" i="52"/>
  <c r="Z83" i="52"/>
  <c r="G226" i="52"/>
  <c r="B226" i="52" s="1"/>
  <c r="B61" i="52"/>
  <c r="A299" i="54"/>
  <c r="C298" i="54" a="1"/>
  <c r="C298" i="54" s="1"/>
  <c r="D298" i="54" s="1"/>
  <c r="P155" i="9"/>
  <c r="R23" i="9"/>
  <c r="Q96" i="9"/>
  <c r="Q153" i="9"/>
  <c r="Q87" i="9"/>
  <c r="Q156" i="9"/>
  <c r="Q65" i="9"/>
  <c r="Q64" i="9" s="1"/>
  <c r="AT6" i="52"/>
  <c r="AT116" i="52" s="1"/>
  <c r="M9" i="79"/>
  <c r="AD157" i="52"/>
  <c r="AT157" i="52" s="1"/>
  <c r="F550" i="59"/>
  <c r="F592" i="59" s="1"/>
  <c r="D508" i="59"/>
  <c r="C659" i="59"/>
  <c r="F658" i="59" a="1"/>
  <c r="F658" i="59" s="1"/>
  <c r="D658" i="59" s="1"/>
  <c r="AD223" i="59"/>
  <c r="AD224" i="59" s="1"/>
  <c r="AD225" i="59" s="1"/>
  <c r="F611" i="59"/>
  <c r="D611" i="59" s="1"/>
  <c r="D569" i="59"/>
  <c r="F509" i="59"/>
  <c r="D488" i="59"/>
  <c r="C490" i="59"/>
  <c r="F489" i="59" a="1"/>
  <c r="F489" i="59" s="1"/>
  <c r="F531" i="59" s="1"/>
  <c r="D531" i="59" s="1"/>
  <c r="F570" i="59"/>
  <c r="D549" i="59"/>
  <c r="Q76" i="9"/>
  <c r="Q75" i="9" s="1"/>
  <c r="Q154" i="9"/>
  <c r="Q157" i="9"/>
  <c r="Q97" i="9"/>
  <c r="R24" i="9"/>
  <c r="N660" i="59"/>
  <c r="Q661" i="59"/>
  <c r="F344" i="54"/>
  <c r="I345" i="54"/>
  <c r="H128" i="54" a="1"/>
  <c r="H128" i="54" s="1"/>
  <c r="C128" i="54" a="1"/>
  <c r="C128" i="54" s="1"/>
  <c r="B128" i="54" s="1"/>
  <c r="A129" i="54"/>
  <c r="A457" i="54"/>
  <c r="H456" i="54" a="1"/>
  <c r="H456" i="54" s="1"/>
  <c r="C456" i="54" a="1"/>
  <c r="C456" i="54" s="1"/>
  <c r="B456" i="54" s="1"/>
  <c r="A40" i="54"/>
  <c r="C39" i="54" a="1"/>
  <c r="C39" i="54" s="1"/>
  <c r="B39" i="54" s="1"/>
  <c r="A149" i="54"/>
  <c r="H148" i="54" a="1"/>
  <c r="H148" i="54" s="1"/>
  <c r="C148" i="54" a="1"/>
  <c r="C148" i="54" s="1"/>
  <c r="B148" i="54" s="1"/>
  <c r="E298" i="54"/>
  <c r="B297" i="54"/>
  <c r="A258" i="54"/>
  <c r="C257" i="54" a="1"/>
  <c r="C257" i="54" s="1"/>
  <c r="D257" i="54" s="1"/>
  <c r="E321" i="54"/>
  <c r="B19" i="54"/>
  <c r="A483" i="54"/>
  <c r="H482" i="54" a="1"/>
  <c r="H482" i="54" s="1"/>
  <c r="C482" i="54" a="1"/>
  <c r="C482" i="54" s="1"/>
  <c r="O482" i="54" s="1"/>
  <c r="A319" i="54"/>
  <c r="C318" i="54" a="1"/>
  <c r="C318" i="54" s="1"/>
  <c r="D318" i="54" s="1"/>
  <c r="C374" i="54" a="1"/>
  <c r="C374" i="54" s="1"/>
  <c r="A375" i="54"/>
  <c r="H374" i="54" a="1"/>
  <c r="H374" i="54" s="1"/>
  <c r="E256" i="54"/>
  <c r="P256" i="54" s="1"/>
  <c r="C396" i="54" a="1"/>
  <c r="C396" i="54" s="1"/>
  <c r="H396" i="54" a="1"/>
  <c r="H396" i="54" s="1"/>
  <c r="A397" i="54"/>
  <c r="C83" i="54" a="1"/>
  <c r="C83" i="54" s="1"/>
  <c r="B83" i="54" s="1"/>
  <c r="A84" i="54"/>
  <c r="C190" i="54" a="1"/>
  <c r="C190" i="54" s="1"/>
  <c r="B190" i="54" s="1"/>
  <c r="A191" i="54"/>
  <c r="H190" i="54" a="1"/>
  <c r="H190" i="54" s="1"/>
  <c r="B317" i="54"/>
  <c r="H212" i="54" a="1"/>
  <c r="H212" i="54" s="1"/>
  <c r="C212" i="54" a="1"/>
  <c r="C212" i="54" s="1"/>
  <c r="B212" i="54" s="1"/>
  <c r="A213" i="54"/>
  <c r="B501" i="54"/>
  <c r="E235" i="54"/>
  <c r="B342" i="54"/>
  <c r="H502" i="54" a="1"/>
  <c r="H502" i="54" s="1"/>
  <c r="A503" i="54"/>
  <c r="C502" i="54" a="1"/>
  <c r="C502" i="54" s="1"/>
  <c r="A235" i="54"/>
  <c r="C234" i="54" a="1"/>
  <c r="C234" i="54" s="1"/>
  <c r="D234" i="54" s="1"/>
  <c r="A344" i="54"/>
  <c r="C343" i="54" a="1"/>
  <c r="C343" i="54" s="1"/>
  <c r="D343" i="54" s="1"/>
  <c r="C103" i="54" a="1"/>
  <c r="C103" i="54" s="1"/>
  <c r="B103" i="54" s="1"/>
  <c r="A104" i="54"/>
  <c r="E344" i="54"/>
  <c r="B233" i="54"/>
  <c r="A437" i="54"/>
  <c r="H436" i="54" a="1"/>
  <c r="H436" i="54" s="1"/>
  <c r="C436" i="54" a="1"/>
  <c r="C436" i="54" s="1"/>
  <c r="B436" i="54" s="1"/>
  <c r="C20" i="54" a="1"/>
  <c r="C20" i="54" s="1"/>
  <c r="A21" i="54"/>
  <c r="AD154" i="52"/>
  <c r="AT154" i="52" s="1"/>
  <c r="AR11" i="52"/>
  <c r="AR121" i="52" s="1"/>
  <c r="AD158" i="52"/>
  <c r="AD156" i="52"/>
  <c r="AT156" i="52" s="1"/>
  <c r="L148" i="52"/>
  <c r="AT155" i="52"/>
  <c r="AD30" i="52"/>
  <c r="AT30" i="52" s="1"/>
  <c r="L697" i="79"/>
  <c r="AP160" i="52"/>
  <c r="Z9" i="52"/>
  <c r="AR8" i="52"/>
  <c r="AR118" i="52" s="1"/>
  <c r="AS156" i="52"/>
  <c r="AC52" i="52"/>
  <c r="AS52" i="52" s="1"/>
  <c r="AC74" i="52"/>
  <c r="AS74" i="52" s="1"/>
  <c r="AS157" i="52"/>
  <c r="K643" i="79"/>
  <c r="M148" i="52"/>
  <c r="AC96" i="52"/>
  <c r="AS96" i="52" s="1"/>
  <c r="AS158" i="52"/>
  <c r="J616" i="79"/>
  <c r="AS154" i="52"/>
  <c r="AC8" i="52"/>
  <c r="AS155" i="52"/>
  <c r="AC30" i="52"/>
  <c r="AS30" i="52" s="1"/>
  <c r="N151" i="52"/>
  <c r="I1318" i="79" l="1"/>
  <c r="AX185" i="52" s="1"/>
  <c r="H1319" i="79"/>
  <c r="AW191" i="52" s="1"/>
  <c r="G1319" i="79"/>
  <c r="H1364" i="79"/>
  <c r="AW192" i="52" s="1"/>
  <c r="I1363" i="79"/>
  <c r="AX186" i="52" s="1"/>
  <c r="G1364" i="79"/>
  <c r="AV192" i="52" s="1"/>
  <c r="I1409" i="79"/>
  <c r="AX193" i="52" s="1"/>
  <c r="G1409" i="79"/>
  <c r="H1409" i="79"/>
  <c r="AZ244" i="9"/>
  <c r="AZ237" i="9" s="1"/>
  <c r="AY161" i="9"/>
  <c r="AZ162" i="9"/>
  <c r="AA31" i="8" s="1"/>
  <c r="AA30" i="8" s="1"/>
  <c r="AB15" i="8"/>
  <c r="O34" i="91" s="1"/>
  <c r="R66" i="9"/>
  <c r="BA66" i="9"/>
  <c r="U256" i="54"/>
  <c r="R256" i="54"/>
  <c r="K256" i="54"/>
  <c r="E395" i="54"/>
  <c r="D394" i="54"/>
  <c r="B394" i="54"/>
  <c r="L256" i="54"/>
  <c r="M256" i="54"/>
  <c r="N256" i="54"/>
  <c r="E437" i="54"/>
  <c r="D436" i="54"/>
  <c r="V256" i="54"/>
  <c r="O256" i="54"/>
  <c r="E374" i="54"/>
  <c r="D373" i="54"/>
  <c r="S256" i="54"/>
  <c r="Q256" i="54"/>
  <c r="E458" i="54"/>
  <c r="D457" i="54"/>
  <c r="T256" i="54"/>
  <c r="AJ167" i="9"/>
  <c r="AJ165" i="9" s="1"/>
  <c r="T234" i="54"/>
  <c r="L234" i="54"/>
  <c r="S234" i="54"/>
  <c r="K234" i="54"/>
  <c r="V234" i="54"/>
  <c r="R234" i="54"/>
  <c r="N234" i="54"/>
  <c r="Q234" i="54"/>
  <c r="M234" i="54"/>
  <c r="O234" i="54"/>
  <c r="U234" i="54"/>
  <c r="P234" i="54"/>
  <c r="Q318" i="54"/>
  <c r="O318" i="54"/>
  <c r="R318" i="54"/>
  <c r="P318" i="54"/>
  <c r="N318" i="54"/>
  <c r="S318" i="54"/>
  <c r="V318" i="54"/>
  <c r="K318" i="54"/>
  <c r="M318" i="54"/>
  <c r="L318" i="54"/>
  <c r="U318" i="54"/>
  <c r="T318" i="54"/>
  <c r="K502" i="54"/>
  <c r="P502" i="54"/>
  <c r="O502" i="54"/>
  <c r="N502" i="54"/>
  <c r="M502" i="54"/>
  <c r="L502" i="54"/>
  <c r="Q502" i="54"/>
  <c r="R502" i="54" s="1"/>
  <c r="S502" i="54" s="1"/>
  <c r="T502" i="54" s="1"/>
  <c r="U502" i="54" s="1"/>
  <c r="V502" i="54" s="1"/>
  <c r="V298" i="54"/>
  <c r="U298" i="54"/>
  <c r="T298" i="54"/>
  <c r="S298" i="54"/>
  <c r="Q298" i="54"/>
  <c r="N298" i="54"/>
  <c r="M298" i="54"/>
  <c r="L298" i="54"/>
  <c r="K298" i="54"/>
  <c r="O298" i="54"/>
  <c r="P298" i="54"/>
  <c r="R298" i="54"/>
  <c r="AJ84" i="9"/>
  <c r="BB195" i="9"/>
  <c r="BS162" i="9"/>
  <c r="BS161" i="9" s="1"/>
  <c r="AZ65" i="9"/>
  <c r="AZ64" i="9" s="1"/>
  <c r="AI65" i="9"/>
  <c r="AI64" i="9" s="1"/>
  <c r="BB197" i="9"/>
  <c r="BB201" i="9"/>
  <c r="BS76" i="9"/>
  <c r="BS75" i="9" s="1"/>
  <c r="AJ197" i="9"/>
  <c r="AJ201" i="9"/>
  <c r="CK65" i="9"/>
  <c r="CK64" i="9" s="1"/>
  <c r="Q99" i="9"/>
  <c r="Q95" i="9" s="1"/>
  <c r="CL201" i="9"/>
  <c r="CL197" i="9"/>
  <c r="AZ76" i="9"/>
  <c r="AZ75" i="9" s="1"/>
  <c r="AJ195" i="9"/>
  <c r="AK10" i="9"/>
  <c r="BT201" i="9"/>
  <c r="BT197" i="9"/>
  <c r="BS65" i="9"/>
  <c r="BS64" i="9" s="1"/>
  <c r="AI76" i="9"/>
  <c r="AI75" i="9" s="1"/>
  <c r="BT128" i="9"/>
  <c r="CK76" i="9"/>
  <c r="CK75" i="9" s="1"/>
  <c r="BA77" i="9"/>
  <c r="V249" i="54"/>
  <c r="V243" i="54"/>
  <c r="V250" i="54"/>
  <c r="V270" i="54"/>
  <c r="V264" i="54"/>
  <c r="V271" i="54"/>
  <c r="V228" i="54"/>
  <c r="V222" i="54"/>
  <c r="V229" i="54"/>
  <c r="CL72" i="9"/>
  <c r="CL73" i="9"/>
  <c r="CL68" i="9"/>
  <c r="CL66" i="9" s="1"/>
  <c r="CL79" i="9"/>
  <c r="CL77" i="9" s="1"/>
  <c r="BT140" i="9"/>
  <c r="BT139" i="9" s="1"/>
  <c r="BT73" i="9"/>
  <c r="BT72" i="9"/>
  <c r="BT68" i="9"/>
  <c r="BT66" i="9" s="1"/>
  <c r="BT79" i="9"/>
  <c r="BT77" i="9" s="1"/>
  <c r="BB140" i="9"/>
  <c r="BB139" i="9" s="1"/>
  <c r="BB72" i="9"/>
  <c r="BB73" i="9"/>
  <c r="BB79" i="9"/>
  <c r="BB68" i="9"/>
  <c r="AJ140" i="9"/>
  <c r="AJ139" i="9" s="1"/>
  <c r="AJ72" i="9"/>
  <c r="AJ73" i="9"/>
  <c r="AJ68" i="9"/>
  <c r="AJ66" i="9" s="1"/>
  <c r="AJ79" i="9"/>
  <c r="AJ77" i="9" s="1"/>
  <c r="AI249" i="9"/>
  <c r="AI244" i="9" s="1"/>
  <c r="AI237" i="9" s="1"/>
  <c r="CK249" i="9"/>
  <c r="CK244" i="9" s="1"/>
  <c r="CK237" i="9" s="1"/>
  <c r="BS249" i="9"/>
  <c r="BS244" i="9" s="1"/>
  <c r="BS237" i="9" s="1"/>
  <c r="BA249" i="9"/>
  <c r="BA244" i="9" s="1"/>
  <c r="BA237" i="9" s="1"/>
  <c r="BT127" i="9"/>
  <c r="BT159" i="9"/>
  <c r="AJ126" i="9"/>
  <c r="AJ247" i="9"/>
  <c r="AJ49" i="9"/>
  <c r="AJ159" i="9"/>
  <c r="AJ245" i="9"/>
  <c r="AJ92" i="9"/>
  <c r="AJ52" i="9"/>
  <c r="AJ83" i="9"/>
  <c r="AJ128" i="9"/>
  <c r="AK9" i="9"/>
  <c r="AK119" i="9" s="1"/>
  <c r="AK118" i="9" s="1"/>
  <c r="AJ164" i="9"/>
  <c r="AJ127" i="9"/>
  <c r="AJ248" i="9"/>
  <c r="AJ130" i="9"/>
  <c r="AJ119" i="9"/>
  <c r="AJ118" i="9" s="1"/>
  <c r="AJ59" i="9"/>
  <c r="AJ57" i="9" s="1"/>
  <c r="AJ56" i="9" s="1"/>
  <c r="AJ246" i="9"/>
  <c r="AJ163" i="9"/>
  <c r="AJ129" i="9"/>
  <c r="AJ93" i="9"/>
  <c r="AI162" i="9"/>
  <c r="AI161" i="9" s="1"/>
  <c r="BT52" i="9"/>
  <c r="BT130" i="9"/>
  <c r="BT246" i="9"/>
  <c r="BU9" i="9"/>
  <c r="BU195" i="9" s="1"/>
  <c r="BT248" i="9"/>
  <c r="BT245" i="9"/>
  <c r="BT164" i="9"/>
  <c r="BT163" i="9"/>
  <c r="BT84" i="9"/>
  <c r="BT119" i="9"/>
  <c r="BT118" i="9" s="1"/>
  <c r="BT59" i="9"/>
  <c r="BT129" i="9"/>
  <c r="BT49" i="9"/>
  <c r="AI15" i="8" s="1"/>
  <c r="BT167" i="9"/>
  <c r="BT165" i="9" s="1"/>
  <c r="BT92" i="9"/>
  <c r="BT93" i="9"/>
  <c r="BT247" i="9"/>
  <c r="BT83" i="9"/>
  <c r="BT126" i="9"/>
  <c r="I116" i="52"/>
  <c r="K479" i="54"/>
  <c r="X120" i="52"/>
  <c r="K116" i="52"/>
  <c r="H116" i="52"/>
  <c r="O479" i="54"/>
  <c r="AB120" i="52"/>
  <c r="Z122" i="52"/>
  <c r="AR10" i="52"/>
  <c r="AR120" i="52" s="1"/>
  <c r="P472" i="54"/>
  <c r="AC118" i="52"/>
  <c r="K117" i="52"/>
  <c r="M478" i="54"/>
  <c r="Z119" i="52"/>
  <c r="J116" i="52"/>
  <c r="AP182" i="52"/>
  <c r="AD96" i="52"/>
  <c r="AT96" i="52" s="1"/>
  <c r="AP164" i="52"/>
  <c r="AS170" i="52"/>
  <c r="N73" i="52"/>
  <c r="M7" i="52"/>
  <c r="M28" i="52"/>
  <c r="L7" i="52"/>
  <c r="M95" i="52"/>
  <c r="L95" i="52"/>
  <c r="L28" i="52"/>
  <c r="L51" i="52"/>
  <c r="L50" i="52"/>
  <c r="K3521" i="79"/>
  <c r="K3406" i="79" s="1"/>
  <c r="L3493" i="79"/>
  <c r="L3405" i="79" s="1"/>
  <c r="L3125" i="79"/>
  <c r="K3157" i="79"/>
  <c r="B205" i="52"/>
  <c r="B18" i="52"/>
  <c r="AC10" i="52"/>
  <c r="Z78" i="52"/>
  <c r="AP78" i="52" s="1"/>
  <c r="Z100" i="52"/>
  <c r="AP100" i="52" s="1"/>
  <c r="Z34" i="52"/>
  <c r="AP34" i="52" s="1"/>
  <c r="L478" i="54"/>
  <c r="AO11" i="52"/>
  <c r="AO121" i="52" s="1"/>
  <c r="L482" i="54"/>
  <c r="AC76" i="52"/>
  <c r="AS76" i="52" s="1"/>
  <c r="V114" i="54"/>
  <c r="V116" i="54"/>
  <c r="AP178" i="52"/>
  <c r="AC98" i="52"/>
  <c r="AS98" i="52" s="1"/>
  <c r="AP180" i="52"/>
  <c r="AO75" i="52"/>
  <c r="AN76" i="52"/>
  <c r="AN33" i="52"/>
  <c r="AO53" i="52"/>
  <c r="AP98" i="52"/>
  <c r="AN98" i="52"/>
  <c r="AN54" i="52"/>
  <c r="AQ32" i="52"/>
  <c r="AO54" i="52"/>
  <c r="AP32" i="52"/>
  <c r="AQ76" i="52"/>
  <c r="AP75" i="52"/>
  <c r="AN32" i="52"/>
  <c r="AP54" i="52"/>
  <c r="AP56" i="52"/>
  <c r="X181" i="52"/>
  <c r="X182" i="52"/>
  <c r="X180" i="52"/>
  <c r="X179" i="52"/>
  <c r="X178" i="52"/>
  <c r="Y178" i="52"/>
  <c r="Y181" i="52"/>
  <c r="Y179" i="52"/>
  <c r="Y182" i="52"/>
  <c r="Y180" i="52"/>
  <c r="AC54" i="52"/>
  <c r="AS54" i="52" s="1"/>
  <c r="AC32" i="52"/>
  <c r="AS32" i="52" s="1"/>
  <c r="AB187" i="52"/>
  <c r="AB185" i="52"/>
  <c r="AB188" i="52"/>
  <c r="AB186" i="52"/>
  <c r="AB184" i="52"/>
  <c r="Y188" i="52"/>
  <c r="Y186" i="52"/>
  <c r="Y185" i="52"/>
  <c r="Y184" i="52"/>
  <c r="Y187" i="52"/>
  <c r="Z186" i="52"/>
  <c r="Z57" i="52" s="1"/>
  <c r="Z185" i="52"/>
  <c r="Z184" i="52"/>
  <c r="Z188" i="52"/>
  <c r="Z187" i="52"/>
  <c r="AA185" i="52"/>
  <c r="AQ185" i="52" s="1"/>
  <c r="AA187" i="52"/>
  <c r="AA186" i="52"/>
  <c r="AA188" i="52"/>
  <c r="AA184" i="52"/>
  <c r="K1505" i="79"/>
  <c r="K1506" i="79"/>
  <c r="I1064" i="79"/>
  <c r="AX179" i="52" s="1"/>
  <c r="K1525" i="79"/>
  <c r="K1523" i="79" s="1"/>
  <c r="I1525" i="79"/>
  <c r="I1523" i="79" s="1"/>
  <c r="J279" i="52" s="1"/>
  <c r="H1525" i="79"/>
  <c r="H1523" i="79" s="1"/>
  <c r="H1505" i="79"/>
  <c r="L1509" i="79"/>
  <c r="L1505" i="79" s="1"/>
  <c r="AN173" i="52"/>
  <c r="G1509" i="79"/>
  <c r="J1509" i="79"/>
  <c r="J1525" i="79" s="1"/>
  <c r="J1523" i="79" s="1"/>
  <c r="I1516" i="79"/>
  <c r="I1514" i="79" s="1"/>
  <c r="H1516" i="79"/>
  <c r="H1514" i="79" s="1"/>
  <c r="Y191" i="52" s="1"/>
  <c r="AO172" i="52"/>
  <c r="K1516" i="79"/>
  <c r="K1514" i="79" s="1"/>
  <c r="G1498" i="79"/>
  <c r="G1516" i="79" s="1"/>
  <c r="G1514" i="79" s="1"/>
  <c r="X191" i="52" s="1"/>
  <c r="J1516" i="79"/>
  <c r="J1514" i="79" s="1"/>
  <c r="Z174" i="52"/>
  <c r="Z172" i="52"/>
  <c r="Z173" i="52"/>
  <c r="Z176" i="52"/>
  <c r="X55" i="52"/>
  <c r="AN174" i="52"/>
  <c r="Y55" i="52"/>
  <c r="AO174" i="52"/>
  <c r="X99" i="52"/>
  <c r="AN99" i="52" s="1"/>
  <c r="AN176" i="52"/>
  <c r="AO176" i="52"/>
  <c r="Y99" i="52"/>
  <c r="AO99" i="52" s="1"/>
  <c r="Y77" i="52"/>
  <c r="AO77" i="52" s="1"/>
  <c r="AO175" i="52"/>
  <c r="AQ175" i="52"/>
  <c r="AA77" i="52"/>
  <c r="AQ77" i="52" s="1"/>
  <c r="Y33" i="52"/>
  <c r="AO173" i="52"/>
  <c r="AA33" i="52"/>
  <c r="AQ173" i="52"/>
  <c r="AQ176" i="52"/>
  <c r="AA99" i="52"/>
  <c r="AQ99" i="52" s="1"/>
  <c r="X77" i="52"/>
  <c r="AN77" i="52" s="1"/>
  <c r="AN175" i="52"/>
  <c r="AA11" i="52"/>
  <c r="AQ172" i="52"/>
  <c r="AN172" i="52"/>
  <c r="X11" i="52"/>
  <c r="I1454" i="79"/>
  <c r="AX194" i="52" s="1"/>
  <c r="J853" i="79"/>
  <c r="AY162" i="52" s="1"/>
  <c r="J1137" i="79"/>
  <c r="AY175" i="52" s="1"/>
  <c r="J1174" i="79"/>
  <c r="AY176" i="52" s="1"/>
  <c r="Z175" i="52"/>
  <c r="L1209" i="79"/>
  <c r="L1498" i="79"/>
  <c r="L1496" i="79" s="1"/>
  <c r="M1209" i="79"/>
  <c r="M1229" i="79"/>
  <c r="M1227" i="79" s="1"/>
  <c r="AQ174" i="52"/>
  <c r="AA55" i="52"/>
  <c r="I1506" i="79"/>
  <c r="I1505" i="79"/>
  <c r="H277" i="52"/>
  <c r="K277" i="52"/>
  <c r="M1238" i="79"/>
  <c r="M1236" i="79" s="1"/>
  <c r="M277" i="52"/>
  <c r="J1493" i="79"/>
  <c r="J1489" i="79" s="1"/>
  <c r="J1453" i="79" s="1"/>
  <c r="AY188" i="52" s="1"/>
  <c r="J1448" i="79"/>
  <c r="J1444" i="79" s="1"/>
  <c r="K1448" i="79"/>
  <c r="K1444" i="79" s="1"/>
  <c r="I1313" i="79"/>
  <c r="I1309" i="79" s="1"/>
  <c r="H1313" i="79"/>
  <c r="H1309" i="79" s="1"/>
  <c r="G1313" i="79"/>
  <c r="G1309" i="79" s="1"/>
  <c r="L918" i="79"/>
  <c r="M1218" i="79"/>
  <c r="L1448" i="79"/>
  <c r="L1444" i="79" s="1"/>
  <c r="J1132" i="79"/>
  <c r="J1128" i="79" s="1"/>
  <c r="J1100" i="79" s="1"/>
  <c r="AY174" i="52" s="1"/>
  <c r="J1095" i="79"/>
  <c r="J1091" i="79" s="1"/>
  <c r="J1063" i="79" s="1"/>
  <c r="AY173" i="52" s="1"/>
  <c r="K1095" i="79"/>
  <c r="K1091" i="79" s="1"/>
  <c r="J1058" i="79"/>
  <c r="J1054" i="79" s="1"/>
  <c r="J1026" i="79" s="1"/>
  <c r="AY172" i="52" s="1"/>
  <c r="K1132" i="79"/>
  <c r="K959" i="79"/>
  <c r="K955" i="79" s="1"/>
  <c r="M1169" i="79"/>
  <c r="M1165" i="79" s="1"/>
  <c r="L959" i="79"/>
  <c r="L955" i="79" s="1"/>
  <c r="L3526" i="79"/>
  <c r="L811" i="79"/>
  <c r="L807" i="79" s="1"/>
  <c r="K811" i="79"/>
  <c r="K807" i="79" s="1"/>
  <c r="AB26" i="10"/>
  <c r="BX25" i="10"/>
  <c r="BY25" i="10" s="1"/>
  <c r="M3496" i="79"/>
  <c r="M3498" i="79"/>
  <c r="M3131" i="79"/>
  <c r="M3129" i="79"/>
  <c r="S21" i="56"/>
  <c r="S14" i="56"/>
  <c r="R22" i="56"/>
  <c r="R15" i="56"/>
  <c r="P24" i="56"/>
  <c r="P18" i="56" s="1"/>
  <c r="P17" i="56"/>
  <c r="M3166" i="79"/>
  <c r="M3529" i="79"/>
  <c r="Q23" i="56"/>
  <c r="Q16" i="56"/>
  <c r="AN10" i="52"/>
  <c r="AN120" i="52" s="1"/>
  <c r="M728" i="79"/>
  <c r="AD169" i="52"/>
  <c r="AT169" i="52" s="1"/>
  <c r="AD170" i="52"/>
  <c r="AD168" i="52"/>
  <c r="AD54" i="52" s="1"/>
  <c r="AT54" i="52" s="1"/>
  <c r="AD166" i="52"/>
  <c r="AT166" i="52" s="1"/>
  <c r="L674" i="79"/>
  <c r="L647" i="79"/>
  <c r="AD32" i="52"/>
  <c r="AT32" i="52" s="1"/>
  <c r="AT167" i="52"/>
  <c r="CL246" i="9"/>
  <c r="CL140" i="9"/>
  <c r="CL139" i="9" s="1"/>
  <c r="Q161" i="9"/>
  <c r="Q244" i="9"/>
  <c r="Q237" i="9" s="1"/>
  <c r="AI98" i="9"/>
  <c r="AZ98" i="9"/>
  <c r="R246" i="9"/>
  <c r="R59" i="9"/>
  <c r="R57" i="9" s="1"/>
  <c r="R56" i="9" s="1"/>
  <c r="R245" i="9"/>
  <c r="R164" i="9"/>
  <c r="R162" i="9" s="1"/>
  <c r="R159" i="9"/>
  <c r="R128" i="9"/>
  <c r="R52" i="9"/>
  <c r="R98" i="9" s="1"/>
  <c r="R167" i="9"/>
  <c r="R165" i="9" s="1"/>
  <c r="R247" i="9"/>
  <c r="R49" i="9"/>
  <c r="BA162" i="9"/>
  <c r="AB31" i="8" s="1"/>
  <c r="CL164" i="9"/>
  <c r="CL167" i="9"/>
  <c r="CL165" i="9" s="1"/>
  <c r="CL52" i="9"/>
  <c r="CL245" i="9"/>
  <c r="CL128" i="9"/>
  <c r="CL59" i="9"/>
  <c r="CL247" i="9"/>
  <c r="B482" i="54"/>
  <c r="BB119" i="9"/>
  <c r="BB118" i="9" s="1"/>
  <c r="BB248" i="9"/>
  <c r="CL119" i="9"/>
  <c r="CL118" i="9" s="1"/>
  <c r="CL248" i="9"/>
  <c r="AO9" i="52"/>
  <c r="AO119" i="52" s="1"/>
  <c r="BA23" i="9"/>
  <c r="BB15" i="9"/>
  <c r="AL12" i="9"/>
  <c r="CL63" i="9"/>
  <c r="CL61" i="9" s="1"/>
  <c r="CM14" i="9"/>
  <c r="CL146" i="9"/>
  <c r="AZ87" i="9"/>
  <c r="AZ96" i="9"/>
  <c r="AZ156" i="9"/>
  <c r="AZ153" i="9"/>
  <c r="BV18" i="9"/>
  <c r="BU150" i="9"/>
  <c r="AJ111" i="9"/>
  <c r="AJ115" i="9" s="1"/>
  <c r="AK17" i="9"/>
  <c r="AK67" i="9" s="1"/>
  <c r="AK78" i="9" s="1"/>
  <c r="BU166" i="9"/>
  <c r="BV13" i="9"/>
  <c r="CM20" i="9"/>
  <c r="AI157" i="9"/>
  <c r="AI154" i="9"/>
  <c r="AI97" i="9"/>
  <c r="AI99" i="9"/>
  <c r="BB19" i="9"/>
  <c r="CN10" i="9"/>
  <c r="BC13" i="9"/>
  <c r="BB166" i="9"/>
  <c r="BC18" i="9"/>
  <c r="BB150" i="9"/>
  <c r="BB167" i="9"/>
  <c r="BB247" i="9"/>
  <c r="BB245" i="9"/>
  <c r="BB128" i="9"/>
  <c r="BB52" i="9"/>
  <c r="BB164" i="9"/>
  <c r="BC10" i="9"/>
  <c r="BB59" i="9"/>
  <c r="BB246" i="9"/>
  <c r="AH95" i="9"/>
  <c r="BB14" i="9"/>
  <c r="BA63" i="9"/>
  <c r="BA61" i="9" s="1"/>
  <c r="BA146" i="9"/>
  <c r="CM166" i="9"/>
  <c r="CN13" i="9"/>
  <c r="AJ24" i="9"/>
  <c r="AK16" i="9"/>
  <c r="BU19" i="9"/>
  <c r="CJ95" i="9"/>
  <c r="AM20" i="8" s="1"/>
  <c r="AK20" i="9"/>
  <c r="CK97" i="9"/>
  <c r="CK154" i="9"/>
  <c r="CK157" i="9"/>
  <c r="CK99" i="9"/>
  <c r="CN12" i="9"/>
  <c r="AK166" i="9"/>
  <c r="AL13" i="9"/>
  <c r="AL166" i="9" s="1"/>
  <c r="BU17" i="9"/>
  <c r="BU67" i="9" s="1"/>
  <c r="BU78" i="9" s="1"/>
  <c r="BT111" i="9"/>
  <c r="BT115" i="9" s="1"/>
  <c r="AK21" i="9"/>
  <c r="AK71" i="9" s="1"/>
  <c r="CL129" i="9"/>
  <c r="CL84" i="9"/>
  <c r="CL127" i="9"/>
  <c r="CL163" i="9"/>
  <c r="CL130" i="9"/>
  <c r="CL83" i="9"/>
  <c r="CL93" i="9"/>
  <c r="CM9" i="9"/>
  <c r="CM195" i="9" s="1"/>
  <c r="CL126" i="9"/>
  <c r="CL92" i="9"/>
  <c r="CL49" i="9"/>
  <c r="AO15" i="8" s="1"/>
  <c r="CL159" i="9"/>
  <c r="AY95" i="9"/>
  <c r="Z20" i="8" s="1"/>
  <c r="BA111" i="9"/>
  <c r="BA115" i="9" s="1"/>
  <c r="BB17" i="9"/>
  <c r="BB67" i="9" s="1"/>
  <c r="BB78" i="9" s="1"/>
  <c r="BB20" i="9"/>
  <c r="CJ155" i="9"/>
  <c r="BT24" i="9"/>
  <c r="BU16" i="9"/>
  <c r="CM16" i="9"/>
  <c r="CL24" i="9"/>
  <c r="AJ63" i="9"/>
  <c r="AJ61" i="9" s="1"/>
  <c r="AK14" i="9"/>
  <c r="AJ146" i="9"/>
  <c r="BU14" i="9"/>
  <c r="BT63" i="9"/>
  <c r="BT61" i="9" s="1"/>
  <c r="BT146" i="9"/>
  <c r="BV10" i="9"/>
  <c r="CN18" i="9"/>
  <c r="CN58" i="9" s="1"/>
  <c r="CM150" i="9"/>
  <c r="BS97" i="9"/>
  <c r="BS154" i="9"/>
  <c r="BS157" i="9"/>
  <c r="BS99" i="9"/>
  <c r="CK87" i="9"/>
  <c r="CK96" i="9"/>
  <c r="CK156" i="9"/>
  <c r="CK153" i="9"/>
  <c r="CK98" i="9"/>
  <c r="BT23" i="9"/>
  <c r="BU15" i="9"/>
  <c r="BC12" i="9"/>
  <c r="AL18" i="9"/>
  <c r="AL58" i="9" s="1"/>
  <c r="AK58" i="9"/>
  <c r="AZ154" i="9"/>
  <c r="AZ157" i="9"/>
  <c r="AZ97" i="9"/>
  <c r="AZ99" i="9"/>
  <c r="CL111" i="9"/>
  <c r="CL115" i="9" s="1"/>
  <c r="CM17" i="9"/>
  <c r="CM67" i="9" s="1"/>
  <c r="CM78" i="9" s="1"/>
  <c r="AI87" i="9"/>
  <c r="AI156" i="9"/>
  <c r="AI96" i="9"/>
  <c r="AI153" i="9"/>
  <c r="AY155" i="9"/>
  <c r="Z38" i="8" s="1"/>
  <c r="AK19" i="9"/>
  <c r="BS96" i="9"/>
  <c r="BS87" i="9"/>
  <c r="BS156" i="9"/>
  <c r="BS153" i="9"/>
  <c r="BS98" i="9"/>
  <c r="BA165" i="9"/>
  <c r="AB32" i="8" s="1"/>
  <c r="BB16" i="9"/>
  <c r="BA24" i="9"/>
  <c r="AJ23" i="9"/>
  <c r="AK15" i="9"/>
  <c r="BU21" i="9"/>
  <c r="BU71" i="9" s="1"/>
  <c r="BB129" i="9"/>
  <c r="BB126" i="9"/>
  <c r="BB92" i="9"/>
  <c r="BB163" i="9"/>
  <c r="BB93" i="9"/>
  <c r="BC9" i="9"/>
  <c r="BB84" i="9"/>
  <c r="BB130" i="9"/>
  <c r="BB83" i="9"/>
  <c r="BB127" i="9"/>
  <c r="BB159" i="9"/>
  <c r="BB49" i="9"/>
  <c r="BU20" i="9"/>
  <c r="BB21" i="9"/>
  <c r="BB71" i="9" s="1"/>
  <c r="CL23" i="9"/>
  <c r="CM15" i="9"/>
  <c r="BR95" i="9"/>
  <c r="AG20" i="8" s="1"/>
  <c r="CM21" i="9"/>
  <c r="CM71" i="9" s="1"/>
  <c r="CM19" i="9"/>
  <c r="CK162" i="9"/>
  <c r="CK161" i="9" s="1"/>
  <c r="AH155" i="9"/>
  <c r="BV12" i="9"/>
  <c r="BR155" i="9"/>
  <c r="M3465" i="79"/>
  <c r="M3404" i="79" s="1"/>
  <c r="L3157" i="79"/>
  <c r="L3521" i="79"/>
  <c r="L3406" i="79" s="1"/>
  <c r="M3093" i="79"/>
  <c r="I1027" i="79"/>
  <c r="AX178" i="52" s="1"/>
  <c r="L65" i="79"/>
  <c r="L672" i="79" s="1"/>
  <c r="N144" i="52"/>
  <c r="AA178" i="52"/>
  <c r="AA12" i="52" s="1"/>
  <c r="AA122" i="52" s="1"/>
  <c r="M149" i="52"/>
  <c r="L51" i="79"/>
  <c r="L64" i="79"/>
  <c r="M10" i="79"/>
  <c r="AA160" i="52"/>
  <c r="AQ160" i="52" s="1"/>
  <c r="AA164" i="52"/>
  <c r="AA161" i="52"/>
  <c r="AQ161" i="52" s="1"/>
  <c r="AA162" i="52"/>
  <c r="AA53" i="52" s="1"/>
  <c r="AA163" i="52"/>
  <c r="AQ163" i="52" s="1"/>
  <c r="J844" i="79"/>
  <c r="M6" i="79"/>
  <c r="J624" i="79"/>
  <c r="AY155" i="52" s="1"/>
  <c r="L52" i="79"/>
  <c r="M20" i="79"/>
  <c r="M40" i="79"/>
  <c r="M150" i="52"/>
  <c r="K670" i="79"/>
  <c r="K651" i="79" s="1"/>
  <c r="AZ156" i="52" s="1"/>
  <c r="K881" i="79"/>
  <c r="M144" i="52"/>
  <c r="L20" i="79"/>
  <c r="M7" i="79"/>
  <c r="M39" i="79"/>
  <c r="Q150" i="9"/>
  <c r="AK150" i="9"/>
  <c r="L617" i="79"/>
  <c r="M54" i="79"/>
  <c r="K617" i="79"/>
  <c r="D592" i="59"/>
  <c r="F634" i="59"/>
  <c r="D634" i="59" s="1"/>
  <c r="M6" i="52"/>
  <c r="L6" i="52"/>
  <c r="M72" i="52"/>
  <c r="J928" i="79"/>
  <c r="AY170" i="52" s="1"/>
  <c r="J890" i="79"/>
  <c r="AY163" i="52" s="1"/>
  <c r="K1491" i="79"/>
  <c r="L1491" i="79"/>
  <c r="K1401" i="79"/>
  <c r="K1446" i="79"/>
  <c r="L1446" i="79"/>
  <c r="K1311" i="79"/>
  <c r="K1356" i="79"/>
  <c r="L1311" i="79"/>
  <c r="I1101" i="79"/>
  <c r="AX180" i="52" s="1"/>
  <c r="H1027" i="79"/>
  <c r="AW178" i="52" s="1"/>
  <c r="G1027" i="79"/>
  <c r="AV178" i="52" s="1"/>
  <c r="K1167" i="79"/>
  <c r="K1137" i="79" s="1"/>
  <c r="AZ175" i="52" s="1"/>
  <c r="K1204" i="79"/>
  <c r="L1167" i="79"/>
  <c r="L1137" i="79" s="1"/>
  <c r="BA175" i="52" s="1"/>
  <c r="L1204" i="79"/>
  <c r="K1093" i="79"/>
  <c r="K1130" i="79"/>
  <c r="L957" i="79"/>
  <c r="L1056" i="79"/>
  <c r="K957" i="79"/>
  <c r="K1056" i="79"/>
  <c r="H780" i="79"/>
  <c r="AW166" i="52" s="1"/>
  <c r="J779" i="79"/>
  <c r="AY160" i="52" s="1"/>
  <c r="I780" i="79"/>
  <c r="AX166" i="52" s="1"/>
  <c r="G780" i="79"/>
  <c r="AV166" i="52" s="1"/>
  <c r="K883" i="79"/>
  <c r="K920" i="79"/>
  <c r="K890" i="79" s="1"/>
  <c r="AZ163" i="52" s="1"/>
  <c r="L920" i="79"/>
  <c r="K809" i="79"/>
  <c r="K846" i="79"/>
  <c r="L809" i="79"/>
  <c r="L705" i="79"/>
  <c r="BA158" i="52" s="1"/>
  <c r="L678" i="79"/>
  <c r="BA157" i="52" s="1"/>
  <c r="K618" i="79"/>
  <c r="K645" i="79"/>
  <c r="L618" i="79"/>
  <c r="J597" i="79"/>
  <c r="AY154" i="52" s="1"/>
  <c r="J598" i="79"/>
  <c r="BG154" i="52" s="1"/>
  <c r="H589" i="79"/>
  <c r="I589" i="79"/>
  <c r="R8" i="52" s="1"/>
  <c r="M67" i="79"/>
  <c r="M726" i="79" s="1"/>
  <c r="Z53" i="52"/>
  <c r="Z31" i="52"/>
  <c r="K724" i="79"/>
  <c r="AP163" i="52"/>
  <c r="I596" i="79"/>
  <c r="G596" i="79"/>
  <c r="G583" i="79" s="1"/>
  <c r="G589" i="79"/>
  <c r="H596" i="79"/>
  <c r="J599" i="79"/>
  <c r="S154" i="52" s="1"/>
  <c r="N145" i="52"/>
  <c r="M21" i="79"/>
  <c r="M146" i="52"/>
  <c r="L22" i="79"/>
  <c r="M38" i="79"/>
  <c r="Z97" i="52"/>
  <c r="AR83" i="52"/>
  <c r="AO83" i="52"/>
  <c r="AT83" i="52"/>
  <c r="AN83" i="52"/>
  <c r="B83" i="52"/>
  <c r="B220" i="52"/>
  <c r="AQ83" i="52"/>
  <c r="AS83" i="52"/>
  <c r="B216" i="52"/>
  <c r="B215" i="52"/>
  <c r="AP83" i="52"/>
  <c r="C299" i="54" a="1"/>
  <c r="C299" i="54" s="1"/>
  <c r="D299" i="54" s="1"/>
  <c r="A300" i="54"/>
  <c r="Q155" i="9"/>
  <c r="R156" i="9"/>
  <c r="R87" i="9"/>
  <c r="R65" i="9"/>
  <c r="R153" i="9"/>
  <c r="R96" i="9"/>
  <c r="AD74" i="52"/>
  <c r="AT74" i="52" s="1"/>
  <c r="AD52" i="52"/>
  <c r="AT52" i="52" s="1"/>
  <c r="AD8" i="52"/>
  <c r="D509" i="59"/>
  <c r="F551" i="59"/>
  <c r="F593" i="59" s="1"/>
  <c r="D550" i="59"/>
  <c r="F571" i="59"/>
  <c r="F510" i="59"/>
  <c r="D489" i="59"/>
  <c r="F490" i="59" a="1"/>
  <c r="F490" i="59" s="1"/>
  <c r="F532" i="59" s="1"/>
  <c r="D532" i="59" s="1"/>
  <c r="C491" i="59"/>
  <c r="C660" i="59"/>
  <c r="F659" i="59" a="1"/>
  <c r="F659" i="59" s="1"/>
  <c r="D659" i="59" s="1"/>
  <c r="D570" i="59"/>
  <c r="F612" i="59"/>
  <c r="D612" i="59" s="1"/>
  <c r="R154" i="9"/>
  <c r="R157" i="9"/>
  <c r="R97" i="9"/>
  <c r="R76" i="9"/>
  <c r="R75" i="9" s="1"/>
  <c r="N661" i="59"/>
  <c r="Q662" i="59"/>
  <c r="I346" i="54"/>
  <c r="F345" i="54"/>
  <c r="H129" i="54" a="1"/>
  <c r="H129" i="54" s="1"/>
  <c r="C129" i="54" a="1"/>
  <c r="C129" i="54" s="1"/>
  <c r="B129" i="54" s="1"/>
  <c r="A130" i="54"/>
  <c r="A458" i="54"/>
  <c r="H457" i="54" a="1"/>
  <c r="H457" i="54" s="1"/>
  <c r="C457" i="54" a="1"/>
  <c r="C457" i="54" s="1"/>
  <c r="B457" i="54" s="1"/>
  <c r="C104" i="54" a="1"/>
  <c r="C104" i="54" s="1"/>
  <c r="B104" i="54" s="1"/>
  <c r="A105" i="54"/>
  <c r="A236" i="54"/>
  <c r="C235" i="54" a="1"/>
  <c r="C235" i="54" s="1"/>
  <c r="D235" i="54" s="1"/>
  <c r="C191" i="54" a="1"/>
  <c r="C191" i="54" s="1"/>
  <c r="B191" i="54" s="1"/>
  <c r="H191" i="54" a="1"/>
  <c r="H191" i="54" s="1"/>
  <c r="A192" i="54"/>
  <c r="H213" i="54" a="1"/>
  <c r="H213" i="54" s="1"/>
  <c r="C213" i="54" a="1"/>
  <c r="C213" i="54" s="1"/>
  <c r="B213" i="54" s="1"/>
  <c r="A214" i="54"/>
  <c r="C84" i="54" a="1"/>
  <c r="C84" i="54" s="1"/>
  <c r="B84" i="54" s="1"/>
  <c r="A85" i="54"/>
  <c r="C21" i="54" a="1"/>
  <c r="C21" i="54" s="1"/>
  <c r="A22" i="54"/>
  <c r="B318" i="54"/>
  <c r="E345" i="54"/>
  <c r="E236" i="54"/>
  <c r="A320" i="54"/>
  <c r="C319" i="54" a="1"/>
  <c r="C319" i="54" s="1"/>
  <c r="D319" i="54" s="1"/>
  <c r="E322" i="54"/>
  <c r="A259" i="54"/>
  <c r="C258" i="54" a="1"/>
  <c r="C258" i="54" s="1"/>
  <c r="D258" i="54" s="1"/>
  <c r="A41" i="54"/>
  <c r="C40" i="54" a="1"/>
  <c r="C40" i="54" s="1"/>
  <c r="B40" i="54" s="1"/>
  <c r="B20" i="54"/>
  <c r="B343" i="54"/>
  <c r="C397" i="54" a="1"/>
  <c r="C397" i="54" s="1"/>
  <c r="H397" i="54" a="1"/>
  <c r="H397" i="54" s="1"/>
  <c r="A398" i="54"/>
  <c r="C375" i="54" a="1"/>
  <c r="C375" i="54" s="1"/>
  <c r="A376" i="54"/>
  <c r="H375" i="54" a="1"/>
  <c r="H375" i="54" s="1"/>
  <c r="A150" i="54"/>
  <c r="H149" i="54" a="1"/>
  <c r="H149" i="54" s="1"/>
  <c r="C149" i="54" a="1"/>
  <c r="C149" i="54" s="1"/>
  <c r="B149" i="54" s="1"/>
  <c r="A438" i="54"/>
  <c r="H437" i="54" a="1"/>
  <c r="H437" i="54" s="1"/>
  <c r="C437" i="54" a="1"/>
  <c r="C437" i="54" s="1"/>
  <c r="B437" i="54" s="1"/>
  <c r="A345" i="54"/>
  <c r="C344" i="54" a="1"/>
  <c r="C344" i="54" s="1"/>
  <c r="D344" i="54" s="1"/>
  <c r="B502" i="54"/>
  <c r="E257" i="54"/>
  <c r="N257" i="54" s="1"/>
  <c r="B256" i="54"/>
  <c r="B234" i="54"/>
  <c r="H503" i="54" a="1"/>
  <c r="H503" i="54" s="1"/>
  <c r="A504" i="54"/>
  <c r="C503" i="54" a="1"/>
  <c r="C503" i="54" s="1"/>
  <c r="C483" i="54" a="1"/>
  <c r="C483" i="54" s="1"/>
  <c r="M483" i="54" s="1"/>
  <c r="A484" i="54"/>
  <c r="H483" i="54" a="1"/>
  <c r="H483" i="54" s="1"/>
  <c r="E299" i="54"/>
  <c r="B298" i="54"/>
  <c r="AT158" i="52"/>
  <c r="K616" i="79"/>
  <c r="AP12" i="52"/>
  <c r="AP122" i="52" s="1"/>
  <c r="AS8" i="52"/>
  <c r="AS118" i="52" s="1"/>
  <c r="K844" i="79"/>
  <c r="M918" i="79"/>
  <c r="M697" i="79"/>
  <c r="AP9" i="52"/>
  <c r="AP119" i="52" s="1"/>
  <c r="L616" i="79"/>
  <c r="N152" i="52"/>
  <c r="AZ161" i="9" l="1"/>
  <c r="H1273" i="79"/>
  <c r="AW184" i="52" s="1"/>
  <c r="I1273" i="79"/>
  <c r="G1273" i="79"/>
  <c r="AV184" i="52" s="1"/>
  <c r="AV191" i="52"/>
  <c r="I1319" i="79"/>
  <c r="I1364" i="79"/>
  <c r="AW193" i="52"/>
  <c r="K1408" i="79"/>
  <c r="AZ187" i="52" s="1"/>
  <c r="AV193" i="52"/>
  <c r="L1408" i="79"/>
  <c r="BA187" i="52" s="1"/>
  <c r="J1408" i="79"/>
  <c r="AY187" i="52" s="1"/>
  <c r="AK84" i="9"/>
  <c r="AK129" i="9"/>
  <c r="R64" i="9"/>
  <c r="AK127" i="9"/>
  <c r="AL9" i="9"/>
  <c r="AL73" i="9" s="1"/>
  <c r="AK92" i="9"/>
  <c r="AK126" i="9"/>
  <c r="AK130" i="9"/>
  <c r="AK248" i="9"/>
  <c r="AK83" i="9"/>
  <c r="AK93" i="9"/>
  <c r="AK163" i="9"/>
  <c r="BU52" i="9"/>
  <c r="BU167" i="9"/>
  <c r="BU165" i="9" s="1"/>
  <c r="BU92" i="9"/>
  <c r="BU246" i="9"/>
  <c r="BU129" i="9"/>
  <c r="BU127" i="9"/>
  <c r="BU130" i="9"/>
  <c r="BU93" i="9"/>
  <c r="AB30" i="8"/>
  <c r="BB66" i="9"/>
  <c r="V257" i="54"/>
  <c r="K257" i="54"/>
  <c r="E375" i="54"/>
  <c r="D374" i="54"/>
  <c r="M257" i="54"/>
  <c r="T257" i="54"/>
  <c r="U257" i="54"/>
  <c r="E396" i="54"/>
  <c r="D395" i="54"/>
  <c r="B395" i="54"/>
  <c r="L257" i="54"/>
  <c r="E459" i="54"/>
  <c r="D458" i="54"/>
  <c r="P257" i="54"/>
  <c r="O257" i="54"/>
  <c r="E438" i="54"/>
  <c r="D437" i="54"/>
  <c r="B374" i="54"/>
  <c r="R257" i="54"/>
  <c r="Q257" i="54"/>
  <c r="B375" i="54"/>
  <c r="S257" i="54"/>
  <c r="R99" i="9"/>
  <c r="R95" i="9" s="1"/>
  <c r="BU59" i="9"/>
  <c r="BV9" i="9"/>
  <c r="BV197" i="9" s="1"/>
  <c r="Q299" i="54"/>
  <c r="O299" i="54"/>
  <c r="M299" i="54"/>
  <c r="L299" i="54"/>
  <c r="S299" i="54"/>
  <c r="N299" i="54"/>
  <c r="R299" i="54"/>
  <c r="P299" i="54"/>
  <c r="K299" i="54"/>
  <c r="U299" i="54"/>
  <c r="T299" i="54"/>
  <c r="V299" i="54"/>
  <c r="K503" i="54"/>
  <c r="L503" i="54"/>
  <c r="O503" i="54"/>
  <c r="M503" i="54"/>
  <c r="P503" i="54"/>
  <c r="N503" i="54"/>
  <c r="Q503" i="54"/>
  <c r="R503" i="54" s="1"/>
  <c r="S503" i="54" s="1"/>
  <c r="T503" i="54" s="1"/>
  <c r="U503" i="54" s="1"/>
  <c r="V503" i="54" s="1"/>
  <c r="AK245" i="9"/>
  <c r="V319" i="54"/>
  <c r="U319" i="54"/>
  <c r="T319" i="54"/>
  <c r="S319" i="54"/>
  <c r="R319" i="54"/>
  <c r="O319" i="54"/>
  <c r="N319" i="54"/>
  <c r="M319" i="54"/>
  <c r="L319" i="54"/>
  <c r="K319" i="54"/>
  <c r="Q319" i="54"/>
  <c r="P319" i="54"/>
  <c r="R235" i="54"/>
  <c r="T235" i="54"/>
  <c r="Q235" i="54"/>
  <c r="L235" i="54"/>
  <c r="P235" i="54"/>
  <c r="S235" i="54"/>
  <c r="O235" i="54"/>
  <c r="K235" i="54"/>
  <c r="V235" i="54"/>
  <c r="N235" i="54"/>
  <c r="M235" i="54"/>
  <c r="U235" i="54"/>
  <c r="BC195" i="9"/>
  <c r="AJ162" i="9"/>
  <c r="AJ161" i="9" s="1"/>
  <c r="AK246" i="9"/>
  <c r="AK164" i="9"/>
  <c r="AK162" i="9" s="1"/>
  <c r="AK128" i="9"/>
  <c r="BT162" i="9"/>
  <c r="BT161" i="9" s="1"/>
  <c r="CL65" i="9"/>
  <c r="CL64" i="9" s="1"/>
  <c r="AK195" i="9"/>
  <c r="AL10" i="9"/>
  <c r="BC201" i="9"/>
  <c r="BC197" i="9"/>
  <c r="AJ65" i="9"/>
  <c r="AJ64" i="9" s="1"/>
  <c r="AK167" i="9"/>
  <c r="AK165" i="9" s="1"/>
  <c r="AK247" i="9"/>
  <c r="AK159" i="9"/>
  <c r="BA76" i="9"/>
  <c r="BA75" i="9" s="1"/>
  <c r="CM201" i="9"/>
  <c r="CM197" i="9"/>
  <c r="AK49" i="9"/>
  <c r="BA65" i="9"/>
  <c r="BA64" i="9" s="1"/>
  <c r="AK52" i="9"/>
  <c r="BT65" i="9"/>
  <c r="BT64" i="9" s="1"/>
  <c r="CL76" i="9"/>
  <c r="CL75" i="9" s="1"/>
  <c r="BU197" i="9"/>
  <c r="BU201" i="9"/>
  <c r="AK197" i="9"/>
  <c r="AK201" i="9"/>
  <c r="AJ76" i="9"/>
  <c r="AJ75" i="9" s="1"/>
  <c r="AK59" i="9"/>
  <c r="AK57" i="9" s="1"/>
  <c r="AK56" i="9" s="1"/>
  <c r="BT76" i="9"/>
  <c r="BT75" i="9" s="1"/>
  <c r="AA35" i="52"/>
  <c r="AQ35" i="52" s="1"/>
  <c r="BB77" i="9"/>
  <c r="CM140" i="9"/>
  <c r="CM139" i="9" s="1"/>
  <c r="CM72" i="9"/>
  <c r="CM73" i="9"/>
  <c r="CM79" i="9"/>
  <c r="CM77" i="9" s="1"/>
  <c r="CM68" i="9"/>
  <c r="CM66" i="9" s="1"/>
  <c r="BU140" i="9"/>
  <c r="BU139" i="9" s="1"/>
  <c r="BU73" i="9"/>
  <c r="BU72" i="9"/>
  <c r="BU68" i="9"/>
  <c r="BU66" i="9" s="1"/>
  <c r="BU79" i="9"/>
  <c r="BU77" i="9" s="1"/>
  <c r="BC140" i="9"/>
  <c r="BC139" i="9" s="1"/>
  <c r="BC72" i="9"/>
  <c r="BC73" i="9"/>
  <c r="BC79" i="9"/>
  <c r="BC68" i="9"/>
  <c r="AK140" i="9"/>
  <c r="AK139" i="9" s="1"/>
  <c r="AK72" i="9"/>
  <c r="AK73" i="9"/>
  <c r="AK249" i="9" s="1"/>
  <c r="AK79" i="9"/>
  <c r="AK77" i="9" s="1"/>
  <c r="AK68" i="9"/>
  <c r="AK66" i="9" s="1"/>
  <c r="AJ249" i="9"/>
  <c r="AJ244" i="9" s="1"/>
  <c r="AJ237" i="9" s="1"/>
  <c r="CL249" i="9"/>
  <c r="CL244" i="9" s="1"/>
  <c r="CL237" i="9" s="1"/>
  <c r="BT249" i="9"/>
  <c r="BT244" i="9" s="1"/>
  <c r="BT237" i="9" s="1"/>
  <c r="BB249" i="9"/>
  <c r="BB244" i="9" s="1"/>
  <c r="BB237" i="9" s="1"/>
  <c r="BU159" i="9"/>
  <c r="BU247" i="9"/>
  <c r="BU163" i="9"/>
  <c r="BU126" i="9"/>
  <c r="BU248" i="9"/>
  <c r="BU164" i="9"/>
  <c r="BU128" i="9"/>
  <c r="BU49" i="9"/>
  <c r="AJ15" i="8" s="1"/>
  <c r="P34" i="91" s="1"/>
  <c r="BU119" i="9"/>
  <c r="BU118" i="9" s="1"/>
  <c r="BU245" i="9"/>
  <c r="BU83" i="9"/>
  <c r="BU84" i="9"/>
  <c r="L116" i="52"/>
  <c r="L117" i="52"/>
  <c r="N482" i="54"/>
  <c r="AA121" i="52"/>
  <c r="K482" i="54"/>
  <c r="X121" i="52"/>
  <c r="M363" i="54"/>
  <c r="Q472" i="54"/>
  <c r="AD118" i="52"/>
  <c r="P479" i="54"/>
  <c r="AC120" i="52"/>
  <c r="B104" i="52"/>
  <c r="B126" i="52"/>
  <c r="AT170" i="52"/>
  <c r="AA97" i="52"/>
  <c r="AQ97" i="52" s="1"/>
  <c r="AO188" i="52"/>
  <c r="M50" i="52"/>
  <c r="N50" i="52"/>
  <c r="M51" i="52"/>
  <c r="N95" i="52"/>
  <c r="AS10" i="52"/>
  <c r="AS120" i="52" s="1"/>
  <c r="M29" i="52"/>
  <c r="M3125" i="79"/>
  <c r="M3493" i="79"/>
  <c r="M3405" i="79" s="1"/>
  <c r="B283" i="52"/>
  <c r="B40" i="52"/>
  <c r="B211" i="52"/>
  <c r="B206" i="52"/>
  <c r="N483" i="54"/>
  <c r="BA161" i="9"/>
  <c r="AQ53" i="52"/>
  <c r="AQ33" i="52"/>
  <c r="AP53" i="52"/>
  <c r="AN11" i="52"/>
  <c r="AN121" i="52" s="1"/>
  <c r="AQ11" i="52"/>
  <c r="AQ121" i="52" s="1"/>
  <c r="AO33" i="52"/>
  <c r="AO55" i="52"/>
  <c r="AP31" i="52"/>
  <c r="AQ55" i="52"/>
  <c r="AP57" i="52"/>
  <c r="AP97" i="52"/>
  <c r="AN55" i="52"/>
  <c r="Y192" i="52"/>
  <c r="Y190" i="52"/>
  <c r="Y194" i="52"/>
  <c r="Y193" i="52"/>
  <c r="Z192" i="52"/>
  <c r="Z193" i="52"/>
  <c r="Z191" i="52"/>
  <c r="Z190" i="52"/>
  <c r="Z194" i="52"/>
  <c r="AA192" i="52"/>
  <c r="AA58" i="52" s="1"/>
  <c r="AA191" i="52"/>
  <c r="AA190" i="52"/>
  <c r="AA194" i="52"/>
  <c r="AA193" i="52"/>
  <c r="X193" i="52"/>
  <c r="X190" i="52"/>
  <c r="X192" i="52"/>
  <c r="X194" i="52"/>
  <c r="AB194" i="52"/>
  <c r="AB193" i="52"/>
  <c r="AB190" i="52"/>
  <c r="AB192" i="52"/>
  <c r="AB191" i="52"/>
  <c r="Y12" i="52"/>
  <c r="AO178" i="52"/>
  <c r="AN178" i="52"/>
  <c r="X12" i="52"/>
  <c r="AN179" i="52"/>
  <c r="X34" i="52"/>
  <c r="Y56" i="52"/>
  <c r="AO180" i="52"/>
  <c r="X56" i="52"/>
  <c r="AN180" i="52"/>
  <c r="Y100" i="52"/>
  <c r="AO100" i="52" s="1"/>
  <c r="AO182" i="52"/>
  <c r="AN182" i="52"/>
  <c r="X100" i="52"/>
  <c r="AN100" i="52" s="1"/>
  <c r="AO179" i="52"/>
  <c r="Y34" i="52"/>
  <c r="AN181" i="52"/>
  <c r="X78" i="52"/>
  <c r="AN78" i="52" s="1"/>
  <c r="AO181" i="52"/>
  <c r="Y78" i="52"/>
  <c r="AO78" i="52" s="1"/>
  <c r="AP186" i="52"/>
  <c r="Y101" i="52"/>
  <c r="AP187" i="52"/>
  <c r="Z79" i="52"/>
  <c r="AO186" i="52"/>
  <c r="Y57" i="52"/>
  <c r="AP188" i="52"/>
  <c r="Z101" i="52"/>
  <c r="AP184" i="52"/>
  <c r="Z13" i="52"/>
  <c r="AR184" i="52"/>
  <c r="AB13" i="52"/>
  <c r="AQ184" i="52"/>
  <c r="AA13" i="52"/>
  <c r="AP185" i="52"/>
  <c r="Z35" i="52"/>
  <c r="AR186" i="52"/>
  <c r="AB57" i="52"/>
  <c r="AR57" i="52" s="1"/>
  <c r="AQ188" i="52"/>
  <c r="AA101" i="52"/>
  <c r="AR188" i="52"/>
  <c r="AB101" i="52"/>
  <c r="AR101" i="52" s="1"/>
  <c r="AQ186" i="52"/>
  <c r="AA57" i="52"/>
  <c r="Y79" i="52"/>
  <c r="AO187" i="52"/>
  <c r="AR185" i="52"/>
  <c r="AB35" i="52"/>
  <c r="AR35" i="52" s="1"/>
  <c r="AC184" i="52"/>
  <c r="AC186" i="52"/>
  <c r="AC185" i="52"/>
  <c r="AC187" i="52"/>
  <c r="AC188" i="52"/>
  <c r="AQ187" i="52"/>
  <c r="AA79" i="52"/>
  <c r="AO184" i="52"/>
  <c r="Y13" i="52"/>
  <c r="AB79" i="52"/>
  <c r="AR79" i="52" s="1"/>
  <c r="AR187" i="52"/>
  <c r="AO185" i="52"/>
  <c r="Y35" i="52"/>
  <c r="J1506" i="79"/>
  <c r="J1138" i="79"/>
  <c r="AY181" i="52" s="1"/>
  <c r="J1505" i="79"/>
  <c r="L1506" i="79"/>
  <c r="G1505" i="79"/>
  <c r="G1506" i="79"/>
  <c r="J854" i="79"/>
  <c r="AY168" i="52" s="1"/>
  <c r="G1525" i="79"/>
  <c r="G1523" i="79" s="1"/>
  <c r="L279" i="52"/>
  <c r="K279" i="52"/>
  <c r="J1175" i="79"/>
  <c r="AY182" i="52" s="1"/>
  <c r="I279" i="52"/>
  <c r="L1525" i="79"/>
  <c r="L1523" i="79" s="1"/>
  <c r="M1509" i="79"/>
  <c r="M1506" i="79" s="1"/>
  <c r="L1516" i="79"/>
  <c r="L1514" i="79" s="1"/>
  <c r="G1496" i="79"/>
  <c r="M1498" i="79"/>
  <c r="AC173" i="52"/>
  <c r="AC174" i="52"/>
  <c r="AC175" i="52"/>
  <c r="AC172" i="52"/>
  <c r="AC176" i="52"/>
  <c r="AP176" i="52"/>
  <c r="Z99" i="52"/>
  <c r="AP99" i="52" s="1"/>
  <c r="AD175" i="52"/>
  <c r="AD173" i="52"/>
  <c r="AD174" i="52"/>
  <c r="AD176" i="52"/>
  <c r="AD172" i="52"/>
  <c r="AP173" i="52"/>
  <c r="Z33" i="52"/>
  <c r="AP172" i="52"/>
  <c r="Z11" i="52"/>
  <c r="AP174" i="52"/>
  <c r="Z55" i="52"/>
  <c r="AO191" i="52"/>
  <c r="Y36" i="52"/>
  <c r="AP175" i="52"/>
  <c r="Z77" i="52"/>
  <c r="AN191" i="52"/>
  <c r="X36" i="52"/>
  <c r="N277" i="52"/>
  <c r="J1454" i="79"/>
  <c r="AY194" i="52" s="1"/>
  <c r="K1063" i="79"/>
  <c r="AZ173" i="52" s="1"/>
  <c r="M1448" i="79"/>
  <c r="M1444" i="79" s="1"/>
  <c r="J1403" i="79"/>
  <c r="J1399" i="79" s="1"/>
  <c r="K1358" i="79"/>
  <c r="K1354" i="79" s="1"/>
  <c r="K1403" i="79"/>
  <c r="K1399" i="79" s="1"/>
  <c r="J1358" i="79"/>
  <c r="J1354" i="79" s="1"/>
  <c r="J1313" i="79"/>
  <c r="J1309" i="79" s="1"/>
  <c r="L1206" i="79"/>
  <c r="L1202" i="79" s="1"/>
  <c r="L1174" i="79" s="1"/>
  <c r="BA176" i="52" s="1"/>
  <c r="K1206" i="79"/>
  <c r="K1202" i="79" s="1"/>
  <c r="K1174" i="79" s="1"/>
  <c r="AZ176" i="52" s="1"/>
  <c r="L1058" i="79"/>
  <c r="L1054" i="79" s="1"/>
  <c r="L1026" i="79" s="1"/>
  <c r="BA172" i="52" s="1"/>
  <c r="K1058" i="79"/>
  <c r="K1054" i="79" s="1"/>
  <c r="K1026" i="79" s="1"/>
  <c r="AZ172" i="52" s="1"/>
  <c r="L848" i="79"/>
  <c r="L844" i="79" s="1"/>
  <c r="L885" i="79"/>
  <c r="L881" i="79" s="1"/>
  <c r="M959" i="79"/>
  <c r="AB27" i="10"/>
  <c r="BX26" i="10"/>
  <c r="BY26" i="10" s="1"/>
  <c r="AD10" i="52"/>
  <c r="R23" i="56"/>
  <c r="R16" i="56"/>
  <c r="Q24" i="56"/>
  <c r="Q18" i="56" s="1"/>
  <c r="Q17" i="56"/>
  <c r="S22" i="56"/>
  <c r="S15" i="56"/>
  <c r="M3524" i="79"/>
  <c r="M3526" i="79"/>
  <c r="M3161" i="79"/>
  <c r="M3163" i="79"/>
  <c r="AD76" i="52"/>
  <c r="AT76" i="52" s="1"/>
  <c r="AD98" i="52"/>
  <c r="AT98" i="52" s="1"/>
  <c r="AT168" i="52"/>
  <c r="M674" i="79"/>
  <c r="M885" i="79" s="1"/>
  <c r="M647" i="79"/>
  <c r="M620" i="79"/>
  <c r="CL162" i="9"/>
  <c r="CL161" i="9" s="1"/>
  <c r="R161" i="9"/>
  <c r="R244" i="9"/>
  <c r="R237" i="9" s="1"/>
  <c r="BA98" i="9"/>
  <c r="AL248" i="9"/>
  <c r="CM248" i="9"/>
  <c r="B483" i="54"/>
  <c r="BC119" i="9"/>
  <c r="BC118" i="9" s="1"/>
  <c r="BC248" i="9"/>
  <c r="AT8" i="52"/>
  <c r="AT118" i="52" s="1"/>
  <c r="AI95" i="9"/>
  <c r="CK155" i="9"/>
  <c r="CM119" i="9"/>
  <c r="CM118" i="9" s="1"/>
  <c r="AZ155" i="9"/>
  <c r="AA38" i="8" s="1"/>
  <c r="BS95" i="9"/>
  <c r="AH20" i="8" s="1"/>
  <c r="BW12" i="9"/>
  <c r="CN15" i="9"/>
  <c r="CM23" i="9"/>
  <c r="AJ96" i="9"/>
  <c r="AJ156" i="9"/>
  <c r="AJ87" i="9"/>
  <c r="AJ153" i="9"/>
  <c r="BU146" i="9"/>
  <c r="BU63" i="9"/>
  <c r="BU61" i="9" s="1"/>
  <c r="BV14" i="9"/>
  <c r="AL21" i="9"/>
  <c r="AL71" i="9" s="1"/>
  <c r="CO12" i="9"/>
  <c r="CN166" i="9"/>
  <c r="CO13" i="9"/>
  <c r="CM164" i="9"/>
  <c r="CO10" i="9"/>
  <c r="BW13" i="9"/>
  <c r="BV166" i="9"/>
  <c r="BW18" i="9"/>
  <c r="BV150" i="9"/>
  <c r="AL83" i="9"/>
  <c r="AL130" i="9"/>
  <c r="AL127" i="9"/>
  <c r="AL129" i="9"/>
  <c r="CL87" i="9"/>
  <c r="CL153" i="9"/>
  <c r="CL156" i="9"/>
  <c r="CL96" i="9"/>
  <c r="CL98" i="9"/>
  <c r="BD12" i="9"/>
  <c r="BW10" i="9"/>
  <c r="BV16" i="9"/>
  <c r="BU24" i="9"/>
  <c r="CN19" i="9"/>
  <c r="AL19" i="9"/>
  <c r="AK63" i="9"/>
  <c r="AK61" i="9" s="1"/>
  <c r="AL14" i="9"/>
  <c r="AL63" i="9" s="1"/>
  <c r="AL61" i="9" s="1"/>
  <c r="AK146" i="9"/>
  <c r="BT97" i="9"/>
  <c r="BT157" i="9"/>
  <c r="BT154" i="9"/>
  <c r="BT99" i="9"/>
  <c r="BD18" i="9"/>
  <c r="BC150" i="9"/>
  <c r="AK111" i="9"/>
  <c r="AK115" i="9" s="1"/>
  <c r="AL17" i="9"/>
  <c r="AL67" i="9" s="1"/>
  <c r="AL78" i="9" s="1"/>
  <c r="CN21" i="9"/>
  <c r="CN71" i="9" s="1"/>
  <c r="BA154" i="9"/>
  <c r="BA157" i="9"/>
  <c r="BA97" i="9"/>
  <c r="BA99" i="9"/>
  <c r="BS155" i="9"/>
  <c r="CM92" i="9"/>
  <c r="CM84" i="9"/>
  <c r="CM93" i="9"/>
  <c r="CN9" i="9"/>
  <c r="CM130" i="9"/>
  <c r="CM163" i="9"/>
  <c r="CM126" i="9"/>
  <c r="CM83" i="9"/>
  <c r="CM127" i="9"/>
  <c r="CM129" i="9"/>
  <c r="CM159" i="9"/>
  <c r="CM49" i="9"/>
  <c r="AP15" i="8" s="1"/>
  <c r="BV17" i="9"/>
  <c r="BV67" i="9" s="1"/>
  <c r="BV78" i="9" s="1"/>
  <c r="BU111" i="9"/>
  <c r="BU115" i="9" s="1"/>
  <c r="BV19" i="9"/>
  <c r="CM167" i="9"/>
  <c r="CM165" i="9" s="1"/>
  <c r="BC21" i="9"/>
  <c r="BC71" i="9" s="1"/>
  <c r="BC93" i="9"/>
  <c r="BD9" i="9"/>
  <c r="BC130" i="9"/>
  <c r="BC83" i="9"/>
  <c r="BC127" i="9"/>
  <c r="BC129" i="9"/>
  <c r="BC126" i="9"/>
  <c r="BC92" i="9"/>
  <c r="BC163" i="9"/>
  <c r="BC84" i="9"/>
  <c r="BC49" i="9"/>
  <c r="BC159" i="9"/>
  <c r="BV21" i="9"/>
  <c r="BV71" i="9" s="1"/>
  <c r="BC166" i="9"/>
  <c r="BD13" i="9"/>
  <c r="CM245" i="9"/>
  <c r="CM63" i="9"/>
  <c r="CM61" i="9" s="1"/>
  <c r="CN14" i="9"/>
  <c r="CM146" i="9"/>
  <c r="BB23" i="9"/>
  <c r="BC15" i="9"/>
  <c r="BC16" i="9"/>
  <c r="BB24" i="9"/>
  <c r="CM111" i="9"/>
  <c r="CM115" i="9" s="1"/>
  <c r="CN17" i="9"/>
  <c r="CN67" i="9" s="1"/>
  <c r="CN78" i="9" s="1"/>
  <c r="BV15" i="9"/>
  <c r="BU23" i="9"/>
  <c r="CO18" i="9"/>
  <c r="CO58" i="9" s="1"/>
  <c r="CN150" i="9"/>
  <c r="CL97" i="9"/>
  <c r="CL154" i="9"/>
  <c r="CL157" i="9"/>
  <c r="CL99" i="9"/>
  <c r="BV159" i="9"/>
  <c r="BW9" i="9"/>
  <c r="BC59" i="9"/>
  <c r="BC246" i="9"/>
  <c r="BC245" i="9"/>
  <c r="BC167" i="9"/>
  <c r="BC128" i="9"/>
  <c r="BC247" i="9"/>
  <c r="BC52" i="9"/>
  <c r="BC164" i="9"/>
  <c r="BD10" i="9"/>
  <c r="BB165" i="9"/>
  <c r="CM246" i="9"/>
  <c r="CM247" i="9"/>
  <c r="AI155" i="9"/>
  <c r="BA156" i="9"/>
  <c r="BA87" i="9"/>
  <c r="BA96" i="9"/>
  <c r="BA153" i="9"/>
  <c r="BT87" i="9"/>
  <c r="BT96" i="9"/>
  <c r="BT156" i="9"/>
  <c r="BT153" i="9"/>
  <c r="BT98" i="9"/>
  <c r="AJ98" i="9"/>
  <c r="CN16" i="9"/>
  <c r="CM24" i="9"/>
  <c r="BC20" i="9"/>
  <c r="AK24" i="9"/>
  <c r="AL16" i="9"/>
  <c r="BB63" i="9"/>
  <c r="BB61" i="9" s="1"/>
  <c r="BC14" i="9"/>
  <c r="BB146" i="9"/>
  <c r="BB162" i="9"/>
  <c r="CM59" i="9"/>
  <c r="CM52" i="9"/>
  <c r="BC19" i="9"/>
  <c r="BV20" i="9"/>
  <c r="AK23" i="9"/>
  <c r="AL15" i="9"/>
  <c r="AZ95" i="9"/>
  <c r="AA20" i="8" s="1"/>
  <c r="CK95" i="9"/>
  <c r="AN20" i="8" s="1"/>
  <c r="BC17" i="9"/>
  <c r="BC67" i="9" s="1"/>
  <c r="BC78" i="9" s="1"/>
  <c r="BB111" i="9"/>
  <c r="BB115" i="9" s="1"/>
  <c r="AL20" i="9"/>
  <c r="AJ154" i="9"/>
  <c r="AJ97" i="9"/>
  <c r="AJ99" i="9"/>
  <c r="AJ157" i="9"/>
  <c r="CM128" i="9"/>
  <c r="CN20" i="9"/>
  <c r="L883" i="79"/>
  <c r="L1130" i="79"/>
  <c r="AA181" i="52"/>
  <c r="AQ181" i="52" s="1"/>
  <c r="L1401" i="79"/>
  <c r="J1101" i="79"/>
  <c r="AY180" i="52" s="1"/>
  <c r="L1093" i="79"/>
  <c r="J1064" i="79"/>
  <c r="AY179" i="52" s="1"/>
  <c r="N146" i="52"/>
  <c r="N142" i="52"/>
  <c r="L645" i="79"/>
  <c r="L643" i="79"/>
  <c r="L846" i="79"/>
  <c r="L1356" i="79"/>
  <c r="AC163" i="52"/>
  <c r="AA31" i="52"/>
  <c r="AA180" i="52"/>
  <c r="AQ180" i="52" s="1"/>
  <c r="AQ178" i="52"/>
  <c r="AA182" i="52"/>
  <c r="AA179" i="52"/>
  <c r="AQ179" i="52" s="1"/>
  <c r="AQ162" i="52"/>
  <c r="J816" i="79"/>
  <c r="AY161" i="52" s="1"/>
  <c r="M22" i="79"/>
  <c r="AA9" i="52"/>
  <c r="AA119" i="52" s="1"/>
  <c r="AQ164" i="52"/>
  <c r="AA75" i="52"/>
  <c r="M18" i="79"/>
  <c r="M52" i="79"/>
  <c r="K853" i="79"/>
  <c r="AZ162" i="52" s="1"/>
  <c r="N150" i="52"/>
  <c r="M65" i="79"/>
  <c r="M699" i="79" s="1"/>
  <c r="M678" i="79" s="1"/>
  <c r="BB157" i="52" s="1"/>
  <c r="L670" i="79"/>
  <c r="AC182" i="52"/>
  <c r="N149" i="52"/>
  <c r="M64" i="79"/>
  <c r="M51" i="79"/>
  <c r="K1128" i="79"/>
  <c r="N143" i="52"/>
  <c r="M19" i="79"/>
  <c r="R150" i="9"/>
  <c r="M63" i="79"/>
  <c r="D593" i="59"/>
  <c r="F635" i="59"/>
  <c r="D635" i="59" s="1"/>
  <c r="N72" i="52"/>
  <c r="M94" i="52"/>
  <c r="K927" i="79"/>
  <c r="AZ164" i="52" s="1"/>
  <c r="L927" i="79"/>
  <c r="BA164" i="52" s="1"/>
  <c r="K891" i="79"/>
  <c r="AZ169" i="52" s="1"/>
  <c r="L890" i="79"/>
  <c r="BA163" i="52" s="1"/>
  <c r="J891" i="79"/>
  <c r="AY169" i="52" s="1"/>
  <c r="K816" i="79"/>
  <c r="AZ161" i="52" s="1"/>
  <c r="M1491" i="79"/>
  <c r="M1446" i="79"/>
  <c r="K1138" i="79"/>
  <c r="AZ181" i="52" s="1"/>
  <c r="L1138" i="79"/>
  <c r="BA181" i="52" s="1"/>
  <c r="M1204" i="79"/>
  <c r="J1027" i="79"/>
  <c r="AY178" i="52" s="1"/>
  <c r="M1167" i="79"/>
  <c r="M1137" i="79" s="1"/>
  <c r="BB175" i="52" s="1"/>
  <c r="M957" i="79"/>
  <c r="J780" i="79"/>
  <c r="AY166" i="52" s="1"/>
  <c r="K779" i="79"/>
  <c r="AZ160" i="52" s="1"/>
  <c r="L779" i="79"/>
  <c r="BA160" i="52" s="1"/>
  <c r="M920" i="79"/>
  <c r="M890" i="79" s="1"/>
  <c r="BB163" i="52" s="1"/>
  <c r="K705" i="79"/>
  <c r="AZ158" i="52" s="1"/>
  <c r="K624" i="79"/>
  <c r="AZ155" i="52" s="1"/>
  <c r="L597" i="79"/>
  <c r="BA154" i="52" s="1"/>
  <c r="L598" i="79"/>
  <c r="BI154" i="52" s="1"/>
  <c r="K597" i="79"/>
  <c r="AZ154" i="52" s="1"/>
  <c r="K598" i="79"/>
  <c r="BH154" i="52" s="1"/>
  <c r="J589" i="79"/>
  <c r="I583" i="79"/>
  <c r="P8" i="52"/>
  <c r="H583" i="79"/>
  <c r="Q8" i="52"/>
  <c r="J596" i="79"/>
  <c r="L599" i="79"/>
  <c r="U154" i="52" s="1"/>
  <c r="K599" i="79"/>
  <c r="T154" i="52" s="1"/>
  <c r="N148" i="52"/>
  <c r="M50" i="79"/>
  <c r="G228" i="52"/>
  <c r="B228" i="52" s="1"/>
  <c r="G227" i="52"/>
  <c r="B227" i="52" s="1"/>
  <c r="AK84" i="52"/>
  <c r="AJ84" i="52"/>
  <c r="AI84" i="52"/>
  <c r="AH84" i="52"/>
  <c r="AG84" i="52"/>
  <c r="AF84" i="52"/>
  <c r="AL84" i="52"/>
  <c r="C300" i="54" a="1"/>
  <c r="C300" i="54" s="1"/>
  <c r="D300" i="54" s="1"/>
  <c r="A301" i="54"/>
  <c r="R155" i="9"/>
  <c r="F511" i="59"/>
  <c r="D490" i="59"/>
  <c r="C661" i="59"/>
  <c r="F660" i="59" a="1"/>
  <c r="F660" i="59" s="1"/>
  <c r="D660" i="59" s="1"/>
  <c r="F552" i="59"/>
  <c r="F594" i="59" s="1"/>
  <c r="D510" i="59"/>
  <c r="F572" i="59"/>
  <c r="D551" i="59"/>
  <c r="F613" i="59"/>
  <c r="D613" i="59" s="1"/>
  <c r="D571" i="59"/>
  <c r="F491" i="59" a="1"/>
  <c r="F491" i="59" s="1"/>
  <c r="F533" i="59" s="1"/>
  <c r="D533" i="59" s="1"/>
  <c r="C492" i="59"/>
  <c r="N662" i="59"/>
  <c r="Q663" i="59"/>
  <c r="I347" i="54"/>
  <c r="F346" i="54"/>
  <c r="A459" i="54"/>
  <c r="C458" i="54" a="1"/>
  <c r="C458" i="54" s="1"/>
  <c r="B458" i="54" s="1"/>
  <c r="H458" i="54" a="1"/>
  <c r="H458" i="54" s="1"/>
  <c r="H130" i="54" a="1"/>
  <c r="H130" i="54" s="1"/>
  <c r="C130" i="54" a="1"/>
  <c r="C130" i="54" s="1"/>
  <c r="B130" i="54" s="1"/>
  <c r="A131" i="54"/>
  <c r="B344" i="54"/>
  <c r="C259" i="54" a="1"/>
  <c r="C259" i="54" s="1"/>
  <c r="D259" i="54" s="1"/>
  <c r="A260" i="54"/>
  <c r="E237" i="54"/>
  <c r="C22" i="54" a="1"/>
  <c r="C22" i="54" s="1"/>
  <c r="A23" i="54"/>
  <c r="A346" i="54"/>
  <c r="C345" i="54" a="1"/>
  <c r="C345" i="54" s="1"/>
  <c r="D345" i="54" s="1"/>
  <c r="A439" i="54"/>
  <c r="H438" i="54" a="1"/>
  <c r="H438" i="54" s="1"/>
  <c r="C438" i="54" a="1"/>
  <c r="C438" i="54" s="1"/>
  <c r="B438" i="54" s="1"/>
  <c r="C398" i="54" a="1"/>
  <c r="C398" i="54" s="1"/>
  <c r="H398" i="54" a="1"/>
  <c r="H398" i="54" s="1"/>
  <c r="A399" i="54"/>
  <c r="H214" i="54" a="1"/>
  <c r="H214" i="54" s="1"/>
  <c r="C214" i="54" a="1"/>
  <c r="C214" i="54" s="1"/>
  <c r="B214" i="54" s="1"/>
  <c r="A215" i="54"/>
  <c r="B235" i="54"/>
  <c r="C484" i="54" a="1"/>
  <c r="C484" i="54" s="1"/>
  <c r="A485" i="54"/>
  <c r="H484" i="54" a="1"/>
  <c r="H484" i="54" s="1"/>
  <c r="E258" i="54"/>
  <c r="B258" i="54" s="1"/>
  <c r="B21" i="54"/>
  <c r="A237" i="54"/>
  <c r="C236" i="54" a="1"/>
  <c r="C236" i="54" s="1"/>
  <c r="D236" i="54" s="1"/>
  <c r="E346" i="54"/>
  <c r="A151" i="54"/>
  <c r="H150" i="54" a="1"/>
  <c r="H150" i="54" s="1"/>
  <c r="C150" i="54" a="1"/>
  <c r="C150" i="54" s="1"/>
  <c r="B150" i="54" s="1"/>
  <c r="A42" i="54"/>
  <c r="C41" i="54" a="1"/>
  <c r="C41" i="54" s="1"/>
  <c r="B41" i="54" s="1"/>
  <c r="B319" i="54"/>
  <c r="B257" i="54"/>
  <c r="C192" i="54" a="1"/>
  <c r="C192" i="54" s="1"/>
  <c r="B192" i="54" s="1"/>
  <c r="A193" i="54"/>
  <c r="H192" i="54" a="1"/>
  <c r="H192" i="54" s="1"/>
  <c r="C105" i="54" a="1"/>
  <c r="C105" i="54" s="1"/>
  <c r="B105" i="54" s="1"/>
  <c r="A106" i="54"/>
  <c r="E300" i="54"/>
  <c r="B299" i="54"/>
  <c r="B503" i="54"/>
  <c r="E323" i="54"/>
  <c r="A321" i="54"/>
  <c r="C320" i="54" a="1"/>
  <c r="C320" i="54" s="1"/>
  <c r="D320" i="54" s="1"/>
  <c r="A505" i="54"/>
  <c r="C504" i="54" a="1"/>
  <c r="C504" i="54" s="1"/>
  <c r="H504" i="54" a="1"/>
  <c r="H504" i="54" s="1"/>
  <c r="C85" i="54" a="1"/>
  <c r="C85" i="54" s="1"/>
  <c r="B85" i="54" s="1"/>
  <c r="A86" i="54"/>
  <c r="C376" i="54" a="1"/>
  <c r="C376" i="54" s="1"/>
  <c r="A377" i="54"/>
  <c r="H376" i="54" a="1"/>
  <c r="H376" i="54" s="1"/>
  <c r="AB163" i="52"/>
  <c r="AB162" i="52"/>
  <c r="AB164" i="52"/>
  <c r="AB161" i="52"/>
  <c r="AB160" i="52"/>
  <c r="M724" i="79"/>
  <c r="AQ12" i="52"/>
  <c r="AQ122" i="52" s="1"/>
  <c r="I1274" i="79" l="1"/>
  <c r="J1273" i="79"/>
  <c r="AY184" i="52" s="1"/>
  <c r="AX184" i="52"/>
  <c r="G1274" i="79"/>
  <c r="H1274" i="79"/>
  <c r="J1318" i="79"/>
  <c r="AY185" i="52" s="1"/>
  <c r="AX191" i="52"/>
  <c r="K1318" i="79"/>
  <c r="AZ185" i="52" s="1"/>
  <c r="J1363" i="79"/>
  <c r="K1363" i="79"/>
  <c r="AZ186" i="52" s="1"/>
  <c r="AX192" i="52"/>
  <c r="M1408" i="79"/>
  <c r="BB187" i="52" s="1"/>
  <c r="J1409" i="79"/>
  <c r="K1409" i="79"/>
  <c r="L1409" i="79"/>
  <c r="BA193" i="52" s="1"/>
  <c r="AD120" i="52"/>
  <c r="BV195" i="9"/>
  <c r="BV246" i="9"/>
  <c r="AL167" i="9"/>
  <c r="AL165" i="9" s="1"/>
  <c r="AL119" i="9"/>
  <c r="AL118" i="9" s="1"/>
  <c r="BV128" i="9"/>
  <c r="BV164" i="9"/>
  <c r="AL247" i="9"/>
  <c r="BV127" i="9"/>
  <c r="AL246" i="9"/>
  <c r="BV129" i="9"/>
  <c r="AL159" i="9"/>
  <c r="AL140" i="9"/>
  <c r="AL139" i="9" s="1"/>
  <c r="BV130" i="9"/>
  <c r="BV79" i="9"/>
  <c r="BV77" i="9" s="1"/>
  <c r="BV126" i="9"/>
  <c r="BV245" i="9"/>
  <c r="AL49" i="9"/>
  <c r="AL93" i="9"/>
  <c r="AL68" i="9"/>
  <c r="AL66" i="9" s="1"/>
  <c r="BV68" i="9"/>
  <c r="BV66" i="9" s="1"/>
  <c r="AL195" i="9"/>
  <c r="BV84" i="9"/>
  <c r="BV247" i="9"/>
  <c r="AL163" i="9"/>
  <c r="AL84" i="9"/>
  <c r="BV248" i="9"/>
  <c r="AL79" i="9"/>
  <c r="AL77" i="9" s="1"/>
  <c r="BV72" i="9"/>
  <c r="AL201" i="9"/>
  <c r="BV49" i="9"/>
  <c r="BV93" i="9"/>
  <c r="BV59" i="9"/>
  <c r="AL92" i="9"/>
  <c r="BV119" i="9"/>
  <c r="BV118" i="9" s="1"/>
  <c r="AL72" i="9"/>
  <c r="BV73" i="9"/>
  <c r="BV249" i="9" s="1"/>
  <c r="AL197" i="9"/>
  <c r="BV92" i="9"/>
  <c r="BV52" i="9"/>
  <c r="BV83" i="9"/>
  <c r="BV163" i="9"/>
  <c r="BV167" i="9"/>
  <c r="BV165" i="9" s="1"/>
  <c r="AL126" i="9"/>
  <c r="BV140" i="9"/>
  <c r="BV139" i="9" s="1"/>
  <c r="BV201" i="9"/>
  <c r="AL52" i="9"/>
  <c r="AL59" i="9"/>
  <c r="AL57" i="9" s="1"/>
  <c r="AL56" i="9" s="1"/>
  <c r="AL128" i="9"/>
  <c r="AL164" i="9"/>
  <c r="AL245" i="9"/>
  <c r="BC66" i="9"/>
  <c r="AK244" i="9"/>
  <c r="AK237" i="9" s="1"/>
  <c r="R472" i="54"/>
  <c r="L258" i="54"/>
  <c r="Q258" i="54"/>
  <c r="E397" i="54"/>
  <c r="D396" i="54"/>
  <c r="B396" i="54"/>
  <c r="M258" i="54"/>
  <c r="O258" i="54"/>
  <c r="N258" i="54"/>
  <c r="R258" i="54"/>
  <c r="P258" i="54"/>
  <c r="S258" i="54"/>
  <c r="E460" i="54"/>
  <c r="D459" i="54"/>
  <c r="T258" i="54"/>
  <c r="E376" i="54"/>
  <c r="D375" i="54"/>
  <c r="U258" i="54"/>
  <c r="K258" i="54"/>
  <c r="V258" i="54"/>
  <c r="E439" i="54"/>
  <c r="D438" i="54"/>
  <c r="BU162" i="9"/>
  <c r="BU161" i="9" s="1"/>
  <c r="R320" i="54"/>
  <c r="P320" i="54"/>
  <c r="V320" i="54"/>
  <c r="N320" i="54"/>
  <c r="S320" i="54"/>
  <c r="U320" i="54"/>
  <c r="T320" i="54"/>
  <c r="K320" i="54"/>
  <c r="Q320" i="54"/>
  <c r="O320" i="54"/>
  <c r="M320" i="54"/>
  <c r="L320" i="54"/>
  <c r="L236" i="54"/>
  <c r="S236" i="54"/>
  <c r="K236" i="54"/>
  <c r="V236" i="54"/>
  <c r="R236" i="54"/>
  <c r="N236" i="54"/>
  <c r="Q236" i="54"/>
  <c r="U236" i="54"/>
  <c r="P236" i="54"/>
  <c r="T236" i="54"/>
  <c r="M236" i="54"/>
  <c r="O236" i="54"/>
  <c r="L504" i="54"/>
  <c r="O504" i="54"/>
  <c r="P504" i="54"/>
  <c r="M504" i="54"/>
  <c r="Q504" i="54"/>
  <c r="R504" i="54" s="1"/>
  <c r="S504" i="54" s="1"/>
  <c r="T504" i="54" s="1"/>
  <c r="U504" i="54" s="1"/>
  <c r="V504" i="54" s="1"/>
  <c r="K504" i="54"/>
  <c r="N504" i="54"/>
  <c r="N300" i="54"/>
  <c r="M300" i="54"/>
  <c r="L300" i="54"/>
  <c r="K300" i="54"/>
  <c r="Q300" i="54"/>
  <c r="O300" i="54"/>
  <c r="P300" i="54"/>
  <c r="V300" i="54"/>
  <c r="U300" i="54"/>
  <c r="T300" i="54"/>
  <c r="S300" i="54"/>
  <c r="R300" i="54"/>
  <c r="BU65" i="9"/>
  <c r="BU64" i="9" s="1"/>
  <c r="BD197" i="9"/>
  <c r="BD201" i="9"/>
  <c r="CN197" i="9"/>
  <c r="CN201" i="9"/>
  <c r="BU76" i="9"/>
  <c r="BU75" i="9" s="1"/>
  <c r="AK76" i="9"/>
  <c r="AK75" i="9" s="1"/>
  <c r="CN195" i="9"/>
  <c r="BW197" i="9"/>
  <c r="BW201" i="9"/>
  <c r="CM76" i="9"/>
  <c r="CM75" i="9" s="1"/>
  <c r="BD195" i="9"/>
  <c r="BB76" i="9"/>
  <c r="BB75" i="9" s="1"/>
  <c r="BW195" i="9"/>
  <c r="AK65" i="9"/>
  <c r="AK64" i="9" s="1"/>
  <c r="BB65" i="9"/>
  <c r="BB64" i="9" s="1"/>
  <c r="CM65" i="9"/>
  <c r="CM64" i="9" s="1"/>
  <c r="BC77" i="9"/>
  <c r="CN140" i="9"/>
  <c r="CN139" i="9" s="1"/>
  <c r="CN72" i="9"/>
  <c r="CN73" i="9"/>
  <c r="CN68" i="9"/>
  <c r="CN66" i="9" s="1"/>
  <c r="CN79" i="9"/>
  <c r="CN77" i="9" s="1"/>
  <c r="BW140" i="9"/>
  <c r="BW139" i="9" s="1"/>
  <c r="BW73" i="9"/>
  <c r="BW72" i="9"/>
  <c r="BW68" i="9"/>
  <c r="BW79" i="9"/>
  <c r="BD140" i="9"/>
  <c r="BD139" i="9" s="1"/>
  <c r="BD73" i="9"/>
  <c r="BD72" i="9"/>
  <c r="BD68" i="9"/>
  <c r="BD79" i="9"/>
  <c r="BC249" i="9"/>
  <c r="BC244" i="9" s="1"/>
  <c r="BC237" i="9" s="1"/>
  <c r="CM249" i="9"/>
  <c r="CM244" i="9" s="1"/>
  <c r="CM237" i="9" s="1"/>
  <c r="AL249" i="9"/>
  <c r="BU249" i="9"/>
  <c r="BU244" i="9" s="1"/>
  <c r="BU237" i="9" s="1"/>
  <c r="AL111" i="9"/>
  <c r="AL115" i="9" s="1"/>
  <c r="K484" i="54"/>
  <c r="L484" i="54"/>
  <c r="M484" i="54"/>
  <c r="N484" i="54"/>
  <c r="O484" i="54"/>
  <c r="P484" i="54"/>
  <c r="Q484" i="54"/>
  <c r="R484" i="54" s="1"/>
  <c r="S484" i="54" s="1"/>
  <c r="T484" i="54" s="1"/>
  <c r="U484" i="54" s="1"/>
  <c r="V484" i="54" s="1"/>
  <c r="AK161" i="9"/>
  <c r="L475" i="54"/>
  <c r="Y123" i="52"/>
  <c r="N475" i="54"/>
  <c r="AA123" i="52"/>
  <c r="M482" i="54"/>
  <c r="Z121" i="52"/>
  <c r="M475" i="54"/>
  <c r="Z123" i="52"/>
  <c r="M116" i="52"/>
  <c r="K363" i="54"/>
  <c r="L483" i="54"/>
  <c r="Y122" i="52"/>
  <c r="O475" i="54"/>
  <c r="AB123" i="52"/>
  <c r="K483" i="54"/>
  <c r="X122" i="52"/>
  <c r="L363" i="54"/>
  <c r="M117" i="52"/>
  <c r="AQ182" i="52"/>
  <c r="B105" i="52"/>
  <c r="B127" i="52"/>
  <c r="N6" i="52"/>
  <c r="N28" i="52"/>
  <c r="N29" i="52"/>
  <c r="N7" i="52"/>
  <c r="N94" i="52"/>
  <c r="N51" i="52"/>
  <c r="M3521" i="79"/>
  <c r="M3406" i="79" s="1"/>
  <c r="M3157" i="79"/>
  <c r="B62" i="52"/>
  <c r="B212" i="52"/>
  <c r="B232" i="52"/>
  <c r="B19" i="52"/>
  <c r="AT10" i="52"/>
  <c r="AT120" i="52" s="1"/>
  <c r="Q479" i="54"/>
  <c r="R479" i="54" s="1"/>
  <c r="S479" i="54" s="1"/>
  <c r="T479" i="54" s="1"/>
  <c r="U479" i="54" s="1"/>
  <c r="V479" i="54" s="1"/>
  <c r="N478" i="54"/>
  <c r="BC165" i="9"/>
  <c r="AP35" i="52"/>
  <c r="AP33" i="52"/>
  <c r="AQ57" i="52"/>
  <c r="AP77" i="52"/>
  <c r="AO13" i="52"/>
  <c r="AO123" i="52" s="1"/>
  <c r="AQ13" i="52"/>
  <c r="AQ123" i="52" s="1"/>
  <c r="AO57" i="52"/>
  <c r="AN56" i="52"/>
  <c r="AO12" i="52"/>
  <c r="AO122" i="52" s="1"/>
  <c r="AQ58" i="52"/>
  <c r="AO36" i="52"/>
  <c r="AP55" i="52"/>
  <c r="AQ79" i="52"/>
  <c r="AQ101" i="52"/>
  <c r="AP79" i="52"/>
  <c r="AO34" i="52"/>
  <c r="AN36" i="52"/>
  <c r="AN12" i="52"/>
  <c r="AN122" i="52" s="1"/>
  <c r="AO56" i="52"/>
  <c r="AP101" i="52"/>
  <c r="AQ75" i="52"/>
  <c r="AQ31" i="52"/>
  <c r="AP11" i="52"/>
  <c r="AP121" i="52" s="1"/>
  <c r="AO35" i="52"/>
  <c r="AP13" i="52"/>
  <c r="AP123" i="52" s="1"/>
  <c r="AO101" i="52"/>
  <c r="AN34" i="52"/>
  <c r="AO79" i="52"/>
  <c r="AQ192" i="52"/>
  <c r="AR193" i="52"/>
  <c r="AB80" i="52"/>
  <c r="AR80" i="52" s="1"/>
  <c r="AQ193" i="52"/>
  <c r="AA80" i="52"/>
  <c r="Z80" i="52"/>
  <c r="AP193" i="52"/>
  <c r="AB102" i="52"/>
  <c r="AR102" i="52" s="1"/>
  <c r="AR194" i="52"/>
  <c r="AQ194" i="52"/>
  <c r="AA102" i="52"/>
  <c r="Z58" i="52"/>
  <c r="AP192" i="52"/>
  <c r="AC193" i="52"/>
  <c r="AS193" i="52" s="1"/>
  <c r="AC192" i="52"/>
  <c r="AC190" i="52"/>
  <c r="AC194" i="52"/>
  <c r="AC191" i="52"/>
  <c r="AQ190" i="52"/>
  <c r="AA14" i="52"/>
  <c r="AN194" i="52"/>
  <c r="X102" i="52"/>
  <c r="AQ191" i="52"/>
  <c r="AA36" i="52"/>
  <c r="AO193" i="52"/>
  <c r="Y80" i="52"/>
  <c r="AN192" i="52"/>
  <c r="X58" i="52"/>
  <c r="Y102" i="52"/>
  <c r="AO194" i="52"/>
  <c r="AB36" i="52"/>
  <c r="AR36" i="52" s="1"/>
  <c r="AR191" i="52"/>
  <c r="X14" i="52"/>
  <c r="X124" i="52" s="1"/>
  <c r="AN190" i="52"/>
  <c r="Z102" i="52"/>
  <c r="AP194" i="52"/>
  <c r="Y14" i="52"/>
  <c r="AO190" i="52"/>
  <c r="AR192" i="52"/>
  <c r="AB58" i="52"/>
  <c r="AR58" i="52" s="1"/>
  <c r="AN193" i="52"/>
  <c r="X80" i="52"/>
  <c r="AP190" i="52"/>
  <c r="Z14" i="52"/>
  <c r="Y58" i="52"/>
  <c r="AO192" i="52"/>
  <c r="AB14" i="52"/>
  <c r="AR190" i="52"/>
  <c r="AP191" i="52"/>
  <c r="Z36" i="52"/>
  <c r="AC101" i="52"/>
  <c r="AS101" i="52" s="1"/>
  <c r="AS188" i="52"/>
  <c r="AC79" i="52"/>
  <c r="AS79" i="52" s="1"/>
  <c r="AS187" i="52"/>
  <c r="AS185" i="52"/>
  <c r="AC35" i="52"/>
  <c r="AS35" i="52" s="1"/>
  <c r="AS186" i="52"/>
  <c r="AC57" i="52"/>
  <c r="AS57" i="52" s="1"/>
  <c r="AS184" i="52"/>
  <c r="AC13" i="52"/>
  <c r="AR13" i="52"/>
  <c r="AR123" i="52" s="1"/>
  <c r="X184" i="52"/>
  <c r="X187" i="52"/>
  <c r="X186" i="52"/>
  <c r="X185" i="52"/>
  <c r="X188" i="52"/>
  <c r="M1505" i="79"/>
  <c r="H279" i="52"/>
  <c r="M279" i="52"/>
  <c r="M1525" i="79"/>
  <c r="M1523" i="79" s="1"/>
  <c r="M1516" i="79"/>
  <c r="M1514" i="79" s="1"/>
  <c r="M1496" i="79"/>
  <c r="AT172" i="52"/>
  <c r="AD11" i="52"/>
  <c r="AS176" i="52"/>
  <c r="AC99" i="52"/>
  <c r="AS99" i="52" s="1"/>
  <c r="AD99" i="52"/>
  <c r="AT99" i="52" s="1"/>
  <c r="AT176" i="52"/>
  <c r="AS172" i="52"/>
  <c r="AC11" i="52"/>
  <c r="AC121" i="52" s="1"/>
  <c r="AD55" i="52"/>
  <c r="AT55" i="52" s="1"/>
  <c r="AT174" i="52"/>
  <c r="AC77" i="52"/>
  <c r="AS77" i="52" s="1"/>
  <c r="AS175" i="52"/>
  <c r="AT173" i="52"/>
  <c r="AD33" i="52"/>
  <c r="AT33" i="52" s="1"/>
  <c r="AS174" i="52"/>
  <c r="AC55" i="52"/>
  <c r="AS55" i="52" s="1"/>
  <c r="AD77" i="52"/>
  <c r="AT77" i="52" s="1"/>
  <c r="AT175" i="52"/>
  <c r="AS173" i="52"/>
  <c r="AC33" i="52"/>
  <c r="AS33" i="52" s="1"/>
  <c r="K1064" i="79"/>
  <c r="AZ179" i="52" s="1"/>
  <c r="L1493" i="79"/>
  <c r="L1489" i="79" s="1"/>
  <c r="L1453" i="79" s="1"/>
  <c r="BA188" i="52" s="1"/>
  <c r="K1493" i="79"/>
  <c r="K1489" i="79" s="1"/>
  <c r="K1453" i="79" s="1"/>
  <c r="AZ188" i="52" s="1"/>
  <c r="L1313" i="79"/>
  <c r="L1309" i="79" s="1"/>
  <c r="K1313" i="79"/>
  <c r="K1309" i="79" s="1"/>
  <c r="M955" i="79"/>
  <c r="M927" i="79" s="1"/>
  <c r="BB164" i="52" s="1"/>
  <c r="M1206" i="79"/>
  <c r="M1202" i="79" s="1"/>
  <c r="M1174" i="79" s="1"/>
  <c r="BB176" i="52" s="1"/>
  <c r="L1132" i="79"/>
  <c r="L1128" i="79" s="1"/>
  <c r="L1095" i="79"/>
  <c r="L1091" i="79" s="1"/>
  <c r="L1063" i="79" s="1"/>
  <c r="BA173" i="52" s="1"/>
  <c r="L816" i="79"/>
  <c r="BA161" i="52" s="1"/>
  <c r="M1132" i="79"/>
  <c r="M1403" i="79" s="1"/>
  <c r="M1399" i="79" s="1"/>
  <c r="M848" i="79"/>
  <c r="M844" i="79" s="1"/>
  <c r="M811" i="79"/>
  <c r="M807" i="79" s="1"/>
  <c r="BB98" i="9"/>
  <c r="AB28" i="10"/>
  <c r="BX27" i="10"/>
  <c r="BY27" i="10" s="1"/>
  <c r="S23" i="56"/>
  <c r="S16" i="56"/>
  <c r="R24" i="56"/>
  <c r="R18" i="56" s="1"/>
  <c r="R17" i="56"/>
  <c r="AK98" i="9"/>
  <c r="CN248" i="9"/>
  <c r="BW119" i="9"/>
  <c r="BW118" i="9" s="1"/>
  <c r="BW248" i="9"/>
  <c r="BD119" i="9"/>
  <c r="BD118" i="9" s="1"/>
  <c r="BD248" i="9"/>
  <c r="B484" i="54"/>
  <c r="AQ9" i="52"/>
  <c r="AQ119" i="52" s="1"/>
  <c r="AJ155" i="9"/>
  <c r="BC162" i="9"/>
  <c r="CN167" i="9"/>
  <c r="CN165" i="9" s="1"/>
  <c r="CN119" i="9"/>
  <c r="CN118" i="9" s="1"/>
  <c r="BB161" i="9"/>
  <c r="BT95" i="9"/>
  <c r="AI20" i="8" s="1"/>
  <c r="CM97" i="9"/>
  <c r="CM157" i="9"/>
  <c r="CM154" i="9"/>
  <c r="CM99" i="9"/>
  <c r="BC24" i="9"/>
  <c r="BD16" i="9"/>
  <c r="BC23" i="9"/>
  <c r="BD15" i="9"/>
  <c r="BW19" i="9"/>
  <c r="BE18" i="9"/>
  <c r="BD150" i="9"/>
  <c r="BW16" i="9"/>
  <c r="BV24" i="9"/>
  <c r="BE12" i="9"/>
  <c r="CN245" i="9"/>
  <c r="CM87" i="9"/>
  <c r="CM96" i="9"/>
  <c r="CM156" i="9"/>
  <c r="CM153" i="9"/>
  <c r="CM98" i="9"/>
  <c r="AL24" i="9"/>
  <c r="CO16" i="9"/>
  <c r="CN24" i="9"/>
  <c r="BU156" i="9"/>
  <c r="BU153" i="9"/>
  <c r="BU87" i="9"/>
  <c r="BU96" i="9"/>
  <c r="BU98" i="9"/>
  <c r="BB156" i="9"/>
  <c r="BB87" i="9"/>
  <c r="BB96" i="9"/>
  <c r="BB153" i="9"/>
  <c r="BA95" i="9"/>
  <c r="CO21" i="9"/>
  <c r="CO71" i="9" s="1"/>
  <c r="BX18" i="9"/>
  <c r="BW150" i="9"/>
  <c r="CN247" i="9"/>
  <c r="CM162" i="9"/>
  <c r="CM161" i="9" s="1"/>
  <c r="CN23" i="9"/>
  <c r="CO15" i="9"/>
  <c r="BW20" i="9"/>
  <c r="AK99" i="9"/>
  <c r="AK154" i="9"/>
  <c r="AK97" i="9"/>
  <c r="AK157" i="9"/>
  <c r="BD128" i="9"/>
  <c r="BD164" i="9"/>
  <c r="BD52" i="9"/>
  <c r="BE10" i="9"/>
  <c r="BD247" i="9"/>
  <c r="BD246" i="9"/>
  <c r="BD245" i="9"/>
  <c r="BD167" i="9"/>
  <c r="BD59" i="9"/>
  <c r="BV23" i="9"/>
  <c r="BW15" i="9"/>
  <c r="BD166" i="9"/>
  <c r="BE13" i="9"/>
  <c r="BD21" i="9"/>
  <c r="BD71" i="9" s="1"/>
  <c r="CO19" i="9"/>
  <c r="BW247" i="9"/>
  <c r="BW246" i="9"/>
  <c r="BW245" i="9"/>
  <c r="BW59" i="9"/>
  <c r="BW164" i="9"/>
  <c r="BW167" i="9"/>
  <c r="BW52" i="9"/>
  <c r="BW128" i="9"/>
  <c r="BX10" i="9"/>
  <c r="CN59" i="9"/>
  <c r="CO166" i="9"/>
  <c r="CP13" i="9"/>
  <c r="BX12" i="9"/>
  <c r="CO17" i="9"/>
  <c r="CO67" i="9" s="1"/>
  <c r="CO78" i="9" s="1"/>
  <c r="CN111" i="9"/>
  <c r="CN115" i="9" s="1"/>
  <c r="BW17" i="9"/>
  <c r="BW67" i="9" s="1"/>
  <c r="BW78" i="9" s="1"/>
  <c r="BV111" i="9"/>
  <c r="BV115" i="9" s="1"/>
  <c r="BW166" i="9"/>
  <c r="BX13" i="9"/>
  <c r="CN246" i="9"/>
  <c r="AJ95" i="9"/>
  <c r="BW126" i="9"/>
  <c r="BW92" i="9"/>
  <c r="BW93" i="9"/>
  <c r="BW163" i="9"/>
  <c r="BW130" i="9"/>
  <c r="BX9" i="9"/>
  <c r="BW83" i="9"/>
  <c r="BW127" i="9"/>
  <c r="BW129" i="9"/>
  <c r="BW159" i="9"/>
  <c r="BW49" i="9"/>
  <c r="BW84" i="9"/>
  <c r="CL95" i="9"/>
  <c r="AO20" i="8" s="1"/>
  <c r="CP10" i="9"/>
  <c r="BV63" i="9"/>
  <c r="BV61" i="9" s="1"/>
  <c r="BW14" i="9"/>
  <c r="BV146" i="9"/>
  <c r="BD14" i="9"/>
  <c r="BC63" i="9"/>
  <c r="BC61" i="9" s="1"/>
  <c r="BC146" i="9"/>
  <c r="BD20" i="9"/>
  <c r="BW21" i="9"/>
  <c r="BW71" i="9" s="1"/>
  <c r="BA155" i="9"/>
  <c r="AB38" i="8" s="1"/>
  <c r="BT155" i="9"/>
  <c r="CL155" i="9"/>
  <c r="CN52" i="9"/>
  <c r="BC111" i="9"/>
  <c r="BC115" i="9" s="1"/>
  <c r="BD17" i="9"/>
  <c r="BD67" i="9" s="1"/>
  <c r="BD78" i="9" s="1"/>
  <c r="AL23" i="9"/>
  <c r="BD19" i="9"/>
  <c r="CP18" i="9"/>
  <c r="CP58" i="9" s="1"/>
  <c r="CO150" i="9"/>
  <c r="BD130" i="9"/>
  <c r="BD83" i="9"/>
  <c r="BD127" i="9"/>
  <c r="BD92" i="9"/>
  <c r="BD129" i="9"/>
  <c r="BD126" i="9"/>
  <c r="BD163" i="9"/>
  <c r="BD84" i="9"/>
  <c r="BD93" i="9"/>
  <c r="BE9" i="9"/>
  <c r="BD159" i="9"/>
  <c r="BD49" i="9"/>
  <c r="CN128" i="9"/>
  <c r="CP12" i="9"/>
  <c r="CO20" i="9"/>
  <c r="AK156" i="9"/>
  <c r="AK96" i="9"/>
  <c r="AK87" i="9"/>
  <c r="AK153" i="9"/>
  <c r="BB97" i="9"/>
  <c r="BB157" i="9"/>
  <c r="BB154" i="9"/>
  <c r="BB99" i="9"/>
  <c r="CN63" i="9"/>
  <c r="CN61" i="9" s="1"/>
  <c r="CO14" i="9"/>
  <c r="CN146" i="9"/>
  <c r="CN84" i="9"/>
  <c r="CN130" i="9"/>
  <c r="CN129" i="9"/>
  <c r="CN163" i="9"/>
  <c r="CO9" i="9"/>
  <c r="CO195" i="9" s="1"/>
  <c r="CN127" i="9"/>
  <c r="CN93" i="9"/>
  <c r="CN126" i="9"/>
  <c r="CN92" i="9"/>
  <c r="CN83" i="9"/>
  <c r="CN159" i="9"/>
  <c r="CN49" i="9"/>
  <c r="AQ15" i="8" s="1"/>
  <c r="BU97" i="9"/>
  <c r="BU157" i="9"/>
  <c r="BU154" i="9"/>
  <c r="BU99" i="9"/>
  <c r="CN164" i="9"/>
  <c r="AA78" i="52"/>
  <c r="K854" i="79"/>
  <c r="AZ168" i="52" s="1"/>
  <c r="J154" i="52"/>
  <c r="L624" i="79"/>
  <c r="BA155" i="52" s="1"/>
  <c r="AA56" i="52"/>
  <c r="AC164" i="52"/>
  <c r="AC160" i="52"/>
  <c r="AS160" i="52" s="1"/>
  <c r="AC161" i="52"/>
  <c r="AC31" i="52" s="1"/>
  <c r="AS31" i="52" s="1"/>
  <c r="AC162" i="52"/>
  <c r="AS162" i="52" s="1"/>
  <c r="AA34" i="52"/>
  <c r="AA100" i="52"/>
  <c r="AQ100" i="52" s="1"/>
  <c r="J817" i="79"/>
  <c r="AY167" i="52" s="1"/>
  <c r="M672" i="79"/>
  <c r="AC180" i="52"/>
  <c r="AC56" i="52" s="1"/>
  <c r="AS56" i="52" s="1"/>
  <c r="AC181" i="52"/>
  <c r="AC78" i="52" s="1"/>
  <c r="AS78" i="52" s="1"/>
  <c r="AC179" i="52"/>
  <c r="AS179" i="52" s="1"/>
  <c r="M881" i="79"/>
  <c r="M670" i="79"/>
  <c r="M1130" i="79"/>
  <c r="M1401" i="79"/>
  <c r="M883" i="79"/>
  <c r="L853" i="79"/>
  <c r="BA162" i="52" s="1"/>
  <c r="AC178" i="52"/>
  <c r="AS178" i="52" s="1"/>
  <c r="M643" i="79"/>
  <c r="M846" i="79"/>
  <c r="M1356" i="79"/>
  <c r="M1093" i="79"/>
  <c r="M645" i="79"/>
  <c r="L651" i="79"/>
  <c r="BA156" i="52" s="1"/>
  <c r="AB178" i="52"/>
  <c r="AB180" i="52"/>
  <c r="AB181" i="52"/>
  <c r="AB182" i="52"/>
  <c r="AB179" i="52"/>
  <c r="K1100" i="79"/>
  <c r="AZ174" i="52" s="1"/>
  <c r="M809" i="79"/>
  <c r="M1311" i="79"/>
  <c r="M1056" i="79"/>
  <c r="M618" i="79"/>
  <c r="I154" i="52"/>
  <c r="M616" i="79"/>
  <c r="D594" i="59"/>
  <c r="F636" i="59"/>
  <c r="D636" i="59" s="1"/>
  <c r="L928" i="79"/>
  <c r="BA170" i="52" s="1"/>
  <c r="K928" i="79"/>
  <c r="AZ170" i="52" s="1"/>
  <c r="M891" i="79"/>
  <c r="BB169" i="52" s="1"/>
  <c r="L891" i="79"/>
  <c r="BA169" i="52" s="1"/>
  <c r="K817" i="79"/>
  <c r="AZ167" i="52" s="1"/>
  <c r="M617" i="79"/>
  <c r="K1175" i="79"/>
  <c r="AZ182" i="52" s="1"/>
  <c r="L1175" i="79"/>
  <c r="BA182" i="52" s="1"/>
  <c r="M1138" i="79"/>
  <c r="BB181" i="52" s="1"/>
  <c r="L1027" i="79"/>
  <c r="BA178" i="52" s="1"/>
  <c r="K1027" i="79"/>
  <c r="AZ178" i="52" s="1"/>
  <c r="L780" i="79"/>
  <c r="BA166" i="52" s="1"/>
  <c r="K780" i="79"/>
  <c r="AZ166" i="52" s="1"/>
  <c r="M705" i="79"/>
  <c r="BB158" i="52" s="1"/>
  <c r="L589" i="79"/>
  <c r="K589" i="79"/>
  <c r="J583" i="79"/>
  <c r="S8" i="52"/>
  <c r="K596" i="79"/>
  <c r="L596" i="79"/>
  <c r="B221" i="52"/>
  <c r="B238" i="52"/>
  <c r="B222" i="52"/>
  <c r="A302" i="54"/>
  <c r="C301" i="54" a="1"/>
  <c r="C301" i="54" s="1"/>
  <c r="D301" i="54" s="1"/>
  <c r="C493" i="59"/>
  <c r="F492" i="59" a="1"/>
  <c r="F492" i="59" s="1"/>
  <c r="F534" i="59" s="1"/>
  <c r="D534" i="59" s="1"/>
  <c r="D572" i="59"/>
  <c r="F614" i="59"/>
  <c r="D614" i="59" s="1"/>
  <c r="D552" i="59"/>
  <c r="F573" i="59"/>
  <c r="D491" i="59"/>
  <c r="F512" i="59"/>
  <c r="C662" i="59"/>
  <c r="F661" i="59" a="1"/>
  <c r="F661" i="59" s="1"/>
  <c r="D661" i="59" s="1"/>
  <c r="D511" i="59"/>
  <c r="F553" i="59"/>
  <c r="F595" i="59" s="1"/>
  <c r="Q664" i="59"/>
  <c r="N664" i="59" s="1"/>
  <c r="N663" i="59"/>
  <c r="I348" i="54"/>
  <c r="F348" i="54" s="1"/>
  <c r="F347" i="54"/>
  <c r="A132" i="54"/>
  <c r="H131" i="54" a="1"/>
  <c r="H131" i="54" s="1"/>
  <c r="C131" i="54" a="1"/>
  <c r="C131" i="54" s="1"/>
  <c r="B131" i="54" s="1"/>
  <c r="A460" i="54"/>
  <c r="H459" i="54" a="1"/>
  <c r="H459" i="54" s="1"/>
  <c r="C459" i="54" a="1"/>
  <c r="C459" i="54" s="1"/>
  <c r="B459" i="54" s="1"/>
  <c r="E301" i="54"/>
  <c r="B300" i="54"/>
  <c r="E324" i="54"/>
  <c r="C106" i="54" a="1"/>
  <c r="C106" i="54" s="1"/>
  <c r="B106" i="54" s="1"/>
  <c r="A107" i="54"/>
  <c r="B22" i="54"/>
  <c r="B504" i="54"/>
  <c r="H505" i="54" a="1"/>
  <c r="H505" i="54" s="1"/>
  <c r="A506" i="54"/>
  <c r="C505" i="54" a="1"/>
  <c r="C505" i="54" s="1"/>
  <c r="A43" i="54"/>
  <c r="C42" i="54" a="1"/>
  <c r="C42" i="54" s="1"/>
  <c r="B42" i="54" s="1"/>
  <c r="C193" i="54" a="1"/>
  <c r="C193" i="54" s="1"/>
  <c r="B193" i="54" s="1"/>
  <c r="A194" i="54"/>
  <c r="H193" i="54" a="1"/>
  <c r="H193" i="54" s="1"/>
  <c r="E259" i="54"/>
  <c r="B259" i="54" s="1"/>
  <c r="H215" i="54" a="1"/>
  <c r="H215" i="54" s="1"/>
  <c r="C215" i="54" a="1"/>
  <c r="C215" i="54" s="1"/>
  <c r="B215" i="54" s="1"/>
  <c r="A216" i="54"/>
  <c r="C377" i="54" a="1"/>
  <c r="C377" i="54" s="1"/>
  <c r="A378" i="54"/>
  <c r="H377" i="54" a="1"/>
  <c r="H377" i="54" s="1"/>
  <c r="E347" i="54"/>
  <c r="B236" i="54"/>
  <c r="A440" i="54"/>
  <c r="H439" i="54" a="1"/>
  <c r="H439" i="54" s="1"/>
  <c r="C439" i="54" a="1"/>
  <c r="C439" i="54" s="1"/>
  <c r="B439" i="54" s="1"/>
  <c r="B320" i="54"/>
  <c r="H151" i="54" a="1"/>
  <c r="H151" i="54" s="1"/>
  <c r="C151" i="54" a="1"/>
  <c r="C151" i="54" s="1"/>
  <c r="B151" i="54" s="1"/>
  <c r="A152" i="54"/>
  <c r="A238" i="54"/>
  <c r="C237" i="54" a="1"/>
  <c r="C237" i="54" s="1"/>
  <c r="D237" i="54" s="1"/>
  <c r="B345" i="54"/>
  <c r="E238" i="54"/>
  <c r="A87" i="54"/>
  <c r="C86" i="54" a="1"/>
  <c r="C86" i="54" s="1"/>
  <c r="B86" i="54" s="1"/>
  <c r="A322" i="54"/>
  <c r="C321" i="54" a="1"/>
  <c r="C321" i="54" s="1"/>
  <c r="D321" i="54" s="1"/>
  <c r="C485" i="54" a="1"/>
  <c r="C485" i="54" s="1"/>
  <c r="A486" i="54"/>
  <c r="H485" i="54" a="1"/>
  <c r="H485" i="54" s="1"/>
  <c r="C399" i="54" a="1"/>
  <c r="C399" i="54" s="1"/>
  <c r="H399" i="54" a="1"/>
  <c r="H399" i="54" s="1"/>
  <c r="A347" i="54"/>
  <c r="C346" i="54" a="1"/>
  <c r="C346" i="54" s="1"/>
  <c r="D346" i="54" s="1"/>
  <c r="C23" i="54" a="1"/>
  <c r="C23" i="54" s="1"/>
  <c r="A24" i="54"/>
  <c r="A261" i="54"/>
  <c r="C261" i="54" s="1" a="1"/>
  <c r="C261" i="54" s="1"/>
  <c r="D261" i="54" s="1"/>
  <c r="C260" i="54" a="1"/>
  <c r="C260" i="54" s="1"/>
  <c r="D260" i="54" s="1"/>
  <c r="AR161" i="52"/>
  <c r="AB31" i="52"/>
  <c r="AR31" i="52" s="1"/>
  <c r="AR164" i="52"/>
  <c r="AB97" i="52"/>
  <c r="AR97" i="52" s="1"/>
  <c r="AR162" i="52"/>
  <c r="AB53" i="52"/>
  <c r="AR53" i="52" s="1"/>
  <c r="AC100" i="52"/>
  <c r="AS100" i="52" s="1"/>
  <c r="AS182" i="52"/>
  <c r="AB75" i="52"/>
  <c r="AR75" i="52" s="1"/>
  <c r="AR163" i="52"/>
  <c r="AS163" i="52"/>
  <c r="AC75" i="52"/>
  <c r="AS75" i="52" s="1"/>
  <c r="AB9" i="52"/>
  <c r="AR160" i="52"/>
  <c r="J1274" i="79" l="1"/>
  <c r="AV190" i="52"/>
  <c r="L1273" i="79"/>
  <c r="BA184" i="52" s="1"/>
  <c r="AW190" i="52"/>
  <c r="AX190" i="52"/>
  <c r="K1273" i="79"/>
  <c r="AZ184" i="52" s="1"/>
  <c r="J1319" i="79"/>
  <c r="K1319" i="79"/>
  <c r="J1364" i="79"/>
  <c r="M1363" i="79"/>
  <c r="BB186" i="52" s="1"/>
  <c r="K1364" i="79"/>
  <c r="AY186" i="52"/>
  <c r="AY193" i="52"/>
  <c r="M1409" i="79"/>
  <c r="BB193" i="52" s="1"/>
  <c r="AZ193" i="52"/>
  <c r="BV162" i="9"/>
  <c r="BV244" i="9"/>
  <c r="BV237" i="9" s="1"/>
  <c r="AL162" i="9"/>
  <c r="AL161" i="9" s="1"/>
  <c r="AB20" i="8"/>
  <c r="AL244" i="9"/>
  <c r="AL237" i="9" s="1"/>
  <c r="BD66" i="9"/>
  <c r="BW66" i="9"/>
  <c r="S472" i="54"/>
  <c r="M259" i="54"/>
  <c r="V259" i="54"/>
  <c r="E377" i="54"/>
  <c r="D376" i="54"/>
  <c r="B376" i="54"/>
  <c r="T259" i="54"/>
  <c r="U259" i="54"/>
  <c r="E440" i="54"/>
  <c r="D439" i="54"/>
  <c r="K259" i="54"/>
  <c r="E461" i="54"/>
  <c r="D460" i="54"/>
  <c r="S259" i="54"/>
  <c r="P259" i="54"/>
  <c r="N259" i="54"/>
  <c r="E398" i="54"/>
  <c r="D397" i="54"/>
  <c r="B397" i="54"/>
  <c r="R259" i="54"/>
  <c r="O259" i="54"/>
  <c r="L259" i="54"/>
  <c r="Q259" i="54"/>
  <c r="P321" i="54"/>
  <c r="V321" i="54"/>
  <c r="U321" i="54"/>
  <c r="T321" i="54"/>
  <c r="S321" i="54"/>
  <c r="R321" i="54"/>
  <c r="Q321" i="54"/>
  <c r="O321" i="54"/>
  <c r="M321" i="54"/>
  <c r="L321" i="54"/>
  <c r="K321" i="54"/>
  <c r="N321" i="54"/>
  <c r="Q301" i="54"/>
  <c r="O301" i="54"/>
  <c r="K301" i="54"/>
  <c r="U301" i="54"/>
  <c r="T301" i="54"/>
  <c r="M301" i="54"/>
  <c r="L301" i="54"/>
  <c r="N301" i="54"/>
  <c r="R301" i="54"/>
  <c r="P301" i="54"/>
  <c r="S301" i="54"/>
  <c r="V301" i="54"/>
  <c r="K505" i="54"/>
  <c r="L505" i="54"/>
  <c r="M505" i="54"/>
  <c r="N505" i="54"/>
  <c r="O505" i="54"/>
  <c r="P505" i="54"/>
  <c r="Q505" i="54"/>
  <c r="R505" i="54" s="1"/>
  <c r="S505" i="54" s="1"/>
  <c r="T505" i="54" s="1"/>
  <c r="U505" i="54" s="1"/>
  <c r="V505" i="54" s="1"/>
  <c r="O237" i="54"/>
  <c r="K237" i="54"/>
  <c r="V237" i="54"/>
  <c r="N237" i="54"/>
  <c r="U237" i="54"/>
  <c r="M237" i="54"/>
  <c r="R237" i="54"/>
  <c r="T237" i="54"/>
  <c r="P237" i="54"/>
  <c r="S237" i="54"/>
  <c r="Q237" i="54"/>
  <c r="L237" i="54"/>
  <c r="BE195" i="9"/>
  <c r="BC76" i="9"/>
  <c r="BC75" i="9" s="1"/>
  <c r="AL65" i="9"/>
  <c r="AL64" i="9" s="1"/>
  <c r="BX201" i="9"/>
  <c r="BX197" i="9"/>
  <c r="BV65" i="9"/>
  <c r="BV64" i="9" s="1"/>
  <c r="CN65" i="9"/>
  <c r="CN64" i="9" s="1"/>
  <c r="BE197" i="9"/>
  <c r="BE201" i="9"/>
  <c r="BX195" i="9"/>
  <c r="CN76" i="9"/>
  <c r="CN75" i="9" s="1"/>
  <c r="AL76" i="9"/>
  <c r="AL75" i="9" s="1"/>
  <c r="BC65" i="9"/>
  <c r="BC64" i="9" s="1"/>
  <c r="CO197" i="9"/>
  <c r="CO201" i="9"/>
  <c r="BV76" i="9"/>
  <c r="BV75" i="9" s="1"/>
  <c r="BW77" i="9"/>
  <c r="CO140" i="9"/>
  <c r="CO139" i="9" s="1"/>
  <c r="CO73" i="9"/>
  <c r="CO72" i="9"/>
  <c r="CO68" i="9"/>
  <c r="CO66" i="9" s="1"/>
  <c r="CO79" i="9"/>
  <c r="CO77" i="9" s="1"/>
  <c r="BX140" i="9"/>
  <c r="BX139" i="9" s="1"/>
  <c r="BX72" i="9"/>
  <c r="BX73" i="9"/>
  <c r="BX79" i="9"/>
  <c r="BX68" i="9"/>
  <c r="BD77" i="9"/>
  <c r="BE140" i="9"/>
  <c r="BE139" i="9" s="1"/>
  <c r="BE72" i="9"/>
  <c r="BE73" i="9"/>
  <c r="BE79" i="9"/>
  <c r="BE68" i="9"/>
  <c r="CN249" i="9"/>
  <c r="CN244" i="9" s="1"/>
  <c r="CN237" i="9" s="1"/>
  <c r="BD249" i="9"/>
  <c r="BD244" i="9" s="1"/>
  <c r="BD237" i="9" s="1"/>
  <c r="BW249" i="9"/>
  <c r="BW244" i="9" s="1"/>
  <c r="BW237" i="9" s="1"/>
  <c r="BC161" i="9"/>
  <c r="BV161" i="9"/>
  <c r="K485" i="54"/>
  <c r="M485" i="54"/>
  <c r="L485" i="54"/>
  <c r="N485" i="54"/>
  <c r="O485" i="54"/>
  <c r="P485" i="54"/>
  <c r="Q485" i="54"/>
  <c r="R485" i="54" s="1"/>
  <c r="S485" i="54" s="1"/>
  <c r="T485" i="54" s="1"/>
  <c r="U485" i="54" s="1"/>
  <c r="V485" i="54" s="1"/>
  <c r="M476" i="54"/>
  <c r="Z124" i="52"/>
  <c r="N476" i="54"/>
  <c r="AA124" i="52"/>
  <c r="O478" i="54"/>
  <c r="AB119" i="52"/>
  <c r="L1454" i="79"/>
  <c r="BA194" i="52" s="1"/>
  <c r="P475" i="54"/>
  <c r="AC123" i="52"/>
  <c r="N117" i="52"/>
  <c r="Q482" i="54"/>
  <c r="R482" i="54" s="1"/>
  <c r="S482" i="54" s="1"/>
  <c r="T482" i="54" s="1"/>
  <c r="U482" i="54" s="1"/>
  <c r="V482" i="54" s="1"/>
  <c r="AD121" i="52"/>
  <c r="K1454" i="79"/>
  <c r="AZ194" i="52" s="1"/>
  <c r="N363" i="54"/>
  <c r="O476" i="54"/>
  <c r="AB124" i="52"/>
  <c r="L476" i="54"/>
  <c r="Y124" i="52"/>
  <c r="N116" i="52"/>
  <c r="AS164" i="52"/>
  <c r="I8" i="52"/>
  <c r="J8" i="52"/>
  <c r="B84" i="52"/>
  <c r="B284" i="52"/>
  <c r="B20" i="52"/>
  <c r="B217" i="52"/>
  <c r="G229" i="52"/>
  <c r="B41" i="52"/>
  <c r="AS11" i="52"/>
  <c r="AS121" i="52" s="1"/>
  <c r="P482" i="54"/>
  <c r="K476" i="54"/>
  <c r="AQ56" i="52"/>
  <c r="AQ36" i="52"/>
  <c r="AN102" i="52"/>
  <c r="AP80" i="52"/>
  <c r="AQ34" i="52"/>
  <c r="AO58" i="52"/>
  <c r="AO14" i="52"/>
  <c r="AO124" i="52" s="1"/>
  <c r="AO102" i="52"/>
  <c r="AQ80" i="52"/>
  <c r="AP14" i="52"/>
  <c r="AP124" i="52" s="1"/>
  <c r="AN58" i="52"/>
  <c r="AQ14" i="52"/>
  <c r="AQ124" i="52" s="1"/>
  <c r="AP58" i="52"/>
  <c r="AP102" i="52"/>
  <c r="AQ102" i="52"/>
  <c r="AQ78" i="52"/>
  <c r="AP36" i="52"/>
  <c r="AN80" i="52"/>
  <c r="AO80" i="52"/>
  <c r="AC80" i="52"/>
  <c r="AS80" i="52" s="1"/>
  <c r="AN14" i="52"/>
  <c r="AN124" i="52" s="1"/>
  <c r="AC102" i="52"/>
  <c r="AS102" i="52" s="1"/>
  <c r="AS194" i="52"/>
  <c r="AC14" i="52"/>
  <c r="AS190" i="52"/>
  <c r="AR14" i="52"/>
  <c r="AR124" i="52" s="1"/>
  <c r="AS192" i="52"/>
  <c r="AC58" i="52"/>
  <c r="AS58" i="52" s="1"/>
  <c r="AD190" i="52"/>
  <c r="AD193" i="52"/>
  <c r="AD191" i="52"/>
  <c r="AD194" i="52"/>
  <c r="AD192" i="52"/>
  <c r="AC36" i="52"/>
  <c r="AS36" i="52" s="1"/>
  <c r="AS191" i="52"/>
  <c r="X79" i="52"/>
  <c r="AN187" i="52"/>
  <c r="X13" i="52"/>
  <c r="X123" i="52" s="1"/>
  <c r="AN184" i="52"/>
  <c r="AN186" i="52"/>
  <c r="X57" i="52"/>
  <c r="AN188" i="52"/>
  <c r="X101" i="52"/>
  <c r="AS13" i="52"/>
  <c r="AS123" i="52" s="1"/>
  <c r="AD185" i="52"/>
  <c r="AD184" i="52"/>
  <c r="AD188" i="52"/>
  <c r="AD186" i="52"/>
  <c r="AD187" i="52"/>
  <c r="AN185" i="52"/>
  <c r="X35" i="52"/>
  <c r="N279" i="52"/>
  <c r="L817" i="79"/>
  <c r="BA167" i="52" s="1"/>
  <c r="AT11" i="52"/>
  <c r="AT121" i="52" s="1"/>
  <c r="M1493" i="79"/>
  <c r="M1489" i="79" s="1"/>
  <c r="M1453" i="79" s="1"/>
  <c r="BB188" i="52" s="1"/>
  <c r="L1403" i="79"/>
  <c r="L1399" i="79" s="1"/>
  <c r="L1358" i="79"/>
  <c r="L1354" i="79" s="1"/>
  <c r="M1095" i="79"/>
  <c r="M1091" i="79" s="1"/>
  <c r="M1063" i="79" s="1"/>
  <c r="BB173" i="52" s="1"/>
  <c r="M1058" i="79"/>
  <c r="M1054" i="79" s="1"/>
  <c r="M1026" i="79" s="1"/>
  <c r="BB172" i="52" s="1"/>
  <c r="AB29" i="10"/>
  <c r="BX28" i="10"/>
  <c r="BY28" i="10" s="1"/>
  <c r="S24" i="56"/>
  <c r="S18" i="56" s="1"/>
  <c r="S17" i="56"/>
  <c r="BC98" i="9"/>
  <c r="CO248" i="9"/>
  <c r="BX119" i="9"/>
  <c r="BX118" i="9" s="1"/>
  <c r="BX248" i="9"/>
  <c r="BE119" i="9"/>
  <c r="BE118" i="9" s="1"/>
  <c r="BE248" i="9"/>
  <c r="B485" i="54"/>
  <c r="BU155" i="9"/>
  <c r="CO128" i="9"/>
  <c r="CO119" i="9"/>
  <c r="CO118" i="9" s="1"/>
  <c r="CN162" i="9"/>
  <c r="CN161" i="9" s="1"/>
  <c r="BW162" i="9"/>
  <c r="AK95" i="9"/>
  <c r="CM155" i="9"/>
  <c r="BB155" i="9"/>
  <c r="BB95" i="9"/>
  <c r="BW146" i="9"/>
  <c r="BW63" i="9"/>
  <c r="BW61" i="9" s="1"/>
  <c r="BX14" i="9"/>
  <c r="BX167" i="9"/>
  <c r="BX247" i="9"/>
  <c r="BX164" i="9"/>
  <c r="BX246" i="9"/>
  <c r="BX245" i="9"/>
  <c r="BX59" i="9"/>
  <c r="BX52" i="9"/>
  <c r="BY10" i="9"/>
  <c r="BX128" i="9"/>
  <c r="BE245" i="9"/>
  <c r="BE164" i="9"/>
  <c r="BF10" i="9"/>
  <c r="BE247" i="9"/>
  <c r="BE246" i="9"/>
  <c r="BE167" i="9"/>
  <c r="BE59" i="9"/>
  <c r="BE128" i="9"/>
  <c r="BE52" i="9"/>
  <c r="CO23" i="9"/>
  <c r="CP15" i="9"/>
  <c r="CO24" i="9"/>
  <c r="CP16" i="9"/>
  <c r="BX16" i="9"/>
  <c r="BW24" i="9"/>
  <c r="BX19" i="9"/>
  <c r="CP9" i="9"/>
  <c r="CP246" i="9" s="1"/>
  <c r="CO93" i="9"/>
  <c r="CO92" i="9"/>
  <c r="CO130" i="9"/>
  <c r="CO163" i="9"/>
  <c r="CO83" i="9"/>
  <c r="CO129" i="9"/>
  <c r="CO84" i="9"/>
  <c r="CO127" i="9"/>
  <c r="CO126" i="9"/>
  <c r="CO49" i="9"/>
  <c r="AR15" i="8" s="1"/>
  <c r="Q34" i="91" s="1"/>
  <c r="CO159" i="9"/>
  <c r="CQ12" i="9"/>
  <c r="AL156" i="9"/>
  <c r="AL96" i="9"/>
  <c r="BX17" i="9"/>
  <c r="BX67" i="9" s="1"/>
  <c r="BX78" i="9" s="1"/>
  <c r="BW111" i="9"/>
  <c r="BW115" i="9" s="1"/>
  <c r="BE21" i="9"/>
  <c r="BE71" i="9" s="1"/>
  <c r="CN87" i="9"/>
  <c r="CN153" i="9"/>
  <c r="CN156" i="9"/>
  <c r="CN96" i="9"/>
  <c r="CN98" i="9"/>
  <c r="BY18" i="9"/>
  <c r="BX150" i="9"/>
  <c r="BU95" i="9"/>
  <c r="AJ20" i="8" s="1"/>
  <c r="BD111" i="9"/>
  <c r="BD115" i="9" s="1"/>
  <c r="BE17" i="9"/>
  <c r="BE67" i="9" s="1"/>
  <c r="BE78" i="9" s="1"/>
  <c r="CO52" i="9"/>
  <c r="BY12" i="9"/>
  <c r="BD23" i="9"/>
  <c r="BE15" i="9"/>
  <c r="CQ18" i="9"/>
  <c r="CQ58" i="9" s="1"/>
  <c r="CP150" i="9"/>
  <c r="BD63" i="9"/>
  <c r="BD61" i="9" s="1"/>
  <c r="BE14" i="9"/>
  <c r="BD146" i="9"/>
  <c r="CO59" i="9"/>
  <c r="CO164" i="9"/>
  <c r="BE166" i="9"/>
  <c r="BF13" i="9"/>
  <c r="BF166" i="9" s="1"/>
  <c r="BD162" i="9"/>
  <c r="CM95" i="9"/>
  <c r="AP20" i="8" s="1"/>
  <c r="BF12" i="9"/>
  <c r="BC156" i="9"/>
  <c r="BC96" i="9"/>
  <c r="BC87" i="9"/>
  <c r="BC153" i="9"/>
  <c r="CP14" i="9"/>
  <c r="CO63" i="9"/>
  <c r="CO61" i="9" s="1"/>
  <c r="CO146" i="9"/>
  <c r="BX21" i="9"/>
  <c r="BX71" i="9" s="1"/>
  <c r="CO245" i="9"/>
  <c r="CQ10" i="9"/>
  <c r="BX166" i="9"/>
  <c r="BY13" i="9"/>
  <c r="CP17" i="9"/>
  <c r="CP67" i="9" s="1"/>
  <c r="CP78" i="9" s="1"/>
  <c r="CO111" i="9"/>
  <c r="CO115" i="9" s="1"/>
  <c r="CP166" i="9"/>
  <c r="CQ13" i="9"/>
  <c r="BW165" i="9"/>
  <c r="BD165" i="9"/>
  <c r="CP21" i="9"/>
  <c r="CP71" i="9" s="1"/>
  <c r="AL99" i="9"/>
  <c r="AL97" i="9"/>
  <c r="AL157" i="9"/>
  <c r="AL154" i="9"/>
  <c r="CP20" i="9"/>
  <c r="BF18" i="9"/>
  <c r="BE150" i="9"/>
  <c r="BE129" i="9"/>
  <c r="BE126" i="9"/>
  <c r="BE163" i="9"/>
  <c r="BE84" i="9"/>
  <c r="BE93" i="9"/>
  <c r="BF9" i="9"/>
  <c r="BE130" i="9"/>
  <c r="BE83" i="9"/>
  <c r="BE127" i="9"/>
  <c r="BE92" i="9"/>
  <c r="BE159" i="9"/>
  <c r="BE49" i="9"/>
  <c r="BE19" i="9"/>
  <c r="BE20" i="9"/>
  <c r="CO247" i="9"/>
  <c r="CO246" i="9"/>
  <c r="BW23" i="9"/>
  <c r="BX15" i="9"/>
  <c r="AK155" i="9"/>
  <c r="BX20" i="9"/>
  <c r="BE16" i="9"/>
  <c r="BD24" i="9"/>
  <c r="CO167" i="9"/>
  <c r="CO165" i="9" s="1"/>
  <c r="BX163" i="9"/>
  <c r="BX130" i="9"/>
  <c r="BX92" i="9"/>
  <c r="BX127" i="9"/>
  <c r="BX129" i="9"/>
  <c r="BX84" i="9"/>
  <c r="BX126" i="9"/>
  <c r="BX159" i="9"/>
  <c r="BX93" i="9"/>
  <c r="BX83" i="9"/>
  <c r="BY9" i="9"/>
  <c r="BX49" i="9"/>
  <c r="AL98" i="9"/>
  <c r="CP19" i="9"/>
  <c r="BV153" i="9"/>
  <c r="BV96" i="9"/>
  <c r="BV156" i="9"/>
  <c r="BV87" i="9"/>
  <c r="BV98" i="9"/>
  <c r="CN157" i="9"/>
  <c r="CN154" i="9"/>
  <c r="CN97" i="9"/>
  <c r="CN99" i="9"/>
  <c r="BV157" i="9"/>
  <c r="BV154" i="9"/>
  <c r="BV97" i="9"/>
  <c r="BV99" i="9"/>
  <c r="BC97" i="9"/>
  <c r="BC154" i="9"/>
  <c r="BC157" i="9"/>
  <c r="BC99" i="9"/>
  <c r="K1101" i="79"/>
  <c r="AZ180" i="52" s="1"/>
  <c r="L854" i="79"/>
  <c r="BA168" i="52" s="1"/>
  <c r="L1064" i="79"/>
  <c r="BA179" i="52" s="1"/>
  <c r="K154" i="52"/>
  <c r="AC97" i="52"/>
  <c r="AS97" i="52" s="1"/>
  <c r="AC9" i="52"/>
  <c r="AS161" i="52"/>
  <c r="AC53" i="52"/>
  <c r="AS53" i="52" s="1"/>
  <c r="AC34" i="52"/>
  <c r="AS34" i="52" s="1"/>
  <c r="M651" i="79"/>
  <c r="BB156" i="52" s="1"/>
  <c r="AS181" i="52"/>
  <c r="AC12" i="52"/>
  <c r="B256" i="52"/>
  <c r="AD179" i="52"/>
  <c r="AT179" i="52" s="1"/>
  <c r="AD178" i="52"/>
  <c r="AT178" i="52" s="1"/>
  <c r="AS180" i="52"/>
  <c r="AD182" i="52"/>
  <c r="M1128" i="79"/>
  <c r="AD181" i="52"/>
  <c r="AD78" i="52" s="1"/>
  <c r="AT78" i="52" s="1"/>
  <c r="AD180" i="52"/>
  <c r="AT180" i="52" s="1"/>
  <c r="M853" i="79"/>
  <c r="BB162" i="52" s="1"/>
  <c r="M816" i="79"/>
  <c r="BB161" i="52" s="1"/>
  <c r="L1100" i="79"/>
  <c r="BA174" i="52" s="1"/>
  <c r="M624" i="79"/>
  <c r="BB155" i="52" s="1"/>
  <c r="AB34" i="52"/>
  <c r="AR34" i="52" s="1"/>
  <c r="AR179" i="52"/>
  <c r="AR182" i="52"/>
  <c r="AB100" i="52"/>
  <c r="AR100" i="52" s="1"/>
  <c r="AR181" i="52"/>
  <c r="AB78" i="52"/>
  <c r="AR78" i="52" s="1"/>
  <c r="AR180" i="52"/>
  <c r="AB56" i="52"/>
  <c r="AR56" i="52" s="1"/>
  <c r="AB12" i="52"/>
  <c r="AR178" i="52"/>
  <c r="M597" i="79"/>
  <c r="BB154" i="52" s="1"/>
  <c r="M598" i="79"/>
  <c r="BJ154" i="52" s="1"/>
  <c r="D595" i="59"/>
  <c r="F637" i="59"/>
  <c r="D637" i="59" s="1"/>
  <c r="M928" i="79"/>
  <c r="BB170" i="52" s="1"/>
  <c r="M599" i="79"/>
  <c r="V154" i="52" s="1"/>
  <c r="M1175" i="79"/>
  <c r="BB182" i="52" s="1"/>
  <c r="M779" i="79"/>
  <c r="BB160" i="52" s="1"/>
  <c r="L583" i="79"/>
  <c r="U8" i="52"/>
  <c r="K583" i="79"/>
  <c r="T8" i="52"/>
  <c r="AI85" i="52"/>
  <c r="AH85" i="52"/>
  <c r="AG85" i="52"/>
  <c r="AF85" i="52"/>
  <c r="AL85" i="52"/>
  <c r="AK85" i="52"/>
  <c r="AJ85" i="52"/>
  <c r="AA85" i="52"/>
  <c r="AB85" i="52"/>
  <c r="Y85" i="52"/>
  <c r="Z85" i="52"/>
  <c r="AD85" i="52"/>
  <c r="AC85" i="52"/>
  <c r="X85" i="52"/>
  <c r="A303" i="54"/>
  <c r="C303" i="54" s="1" a="1"/>
  <c r="C303" i="54" s="1"/>
  <c r="D303" i="54" s="1"/>
  <c r="C302" i="54" a="1"/>
  <c r="C302" i="54" s="1"/>
  <c r="D302" i="54" s="1"/>
  <c r="F615" i="59"/>
  <c r="D615" i="59" s="1"/>
  <c r="D573" i="59"/>
  <c r="F574" i="59"/>
  <c r="D553" i="59"/>
  <c r="F554" i="59"/>
  <c r="F596" i="59" s="1"/>
  <c r="D512" i="59"/>
  <c r="F513" i="59"/>
  <c r="D492" i="59"/>
  <c r="C494" i="59"/>
  <c r="F494" i="59" s="1" a="1"/>
  <c r="F494" i="59" s="1"/>
  <c r="F536" i="59" s="1"/>
  <c r="D536" i="59" s="1"/>
  <c r="F493" i="59" a="1"/>
  <c r="F493" i="59" s="1"/>
  <c r="F535" i="59" s="1"/>
  <c r="D535" i="59" s="1"/>
  <c r="C663" i="59"/>
  <c r="F662" i="59" a="1"/>
  <c r="F662" i="59" s="1"/>
  <c r="D662" i="59" s="1"/>
  <c r="A461" i="54"/>
  <c r="H460" i="54" a="1"/>
  <c r="H460" i="54" s="1"/>
  <c r="C460" i="54" a="1"/>
  <c r="C460" i="54" s="1"/>
  <c r="B460" i="54" s="1"/>
  <c r="H132" i="54" a="1"/>
  <c r="H132" i="54" s="1"/>
  <c r="C132" i="54" a="1"/>
  <c r="C132" i="54" s="1"/>
  <c r="B132" i="54" s="1"/>
  <c r="A133" i="54"/>
  <c r="C24" i="54" a="1"/>
  <c r="C24" i="54" s="1"/>
  <c r="B24" i="54" s="1"/>
  <c r="B237" i="54"/>
  <c r="A239" i="54"/>
  <c r="C238" i="54" a="1"/>
  <c r="C238" i="54" s="1"/>
  <c r="D238" i="54" s="1"/>
  <c r="A441" i="54"/>
  <c r="H440" i="54" a="1"/>
  <c r="H440" i="54" s="1"/>
  <c r="C440" i="54" a="1"/>
  <c r="C440" i="54" s="1"/>
  <c r="B440" i="54" s="1"/>
  <c r="E348" i="54"/>
  <c r="B23" i="54"/>
  <c r="C194" i="54" a="1"/>
  <c r="C194" i="54" s="1"/>
  <c r="B194" i="54" s="1"/>
  <c r="A195" i="54"/>
  <c r="H194" i="54" a="1"/>
  <c r="H194" i="54" s="1"/>
  <c r="C107" i="54" a="1"/>
  <c r="C107" i="54" s="1"/>
  <c r="B107" i="54" s="1"/>
  <c r="A108" i="54"/>
  <c r="H152" i="54" a="1"/>
  <c r="H152" i="54" s="1"/>
  <c r="C152" i="54" a="1"/>
  <c r="C152" i="54" s="1"/>
  <c r="B152" i="54" s="1"/>
  <c r="A153" i="54"/>
  <c r="E260" i="54"/>
  <c r="B260" i="54" s="1"/>
  <c r="B505" i="54"/>
  <c r="B346" i="54"/>
  <c r="B321" i="54"/>
  <c r="E239" i="54"/>
  <c r="H506" i="54" a="1"/>
  <c r="H506" i="54" s="1"/>
  <c r="A507" i="54"/>
  <c r="C506" i="54" a="1"/>
  <c r="C506" i="54" s="1"/>
  <c r="E302" i="54"/>
  <c r="B301" i="54"/>
  <c r="A348" i="54"/>
  <c r="C348" i="54" s="1" a="1"/>
  <c r="C348" i="54" s="1"/>
  <c r="D348" i="54" s="1"/>
  <c r="C347" i="54" a="1"/>
  <c r="C347" i="54" s="1"/>
  <c r="D347" i="54" s="1"/>
  <c r="A323" i="54"/>
  <c r="C322" i="54" a="1"/>
  <c r="C322" i="54" s="1"/>
  <c r="D322" i="54" s="1"/>
  <c r="C87" i="54" a="1"/>
  <c r="C87" i="54" s="1"/>
  <c r="B87" i="54" s="1"/>
  <c r="H216" i="54" a="1"/>
  <c r="H216" i="54" s="1"/>
  <c r="C216" i="54" a="1"/>
  <c r="C216" i="54" s="1"/>
  <c r="B216" i="54" s="1"/>
  <c r="A217" i="54"/>
  <c r="A44" i="54"/>
  <c r="C43" i="54" a="1"/>
  <c r="C43" i="54" s="1"/>
  <c r="B43" i="54" s="1"/>
  <c r="H486" i="54" a="1"/>
  <c r="H486" i="54" s="1"/>
  <c r="C486" i="54" a="1"/>
  <c r="C486" i="54" s="1"/>
  <c r="A487" i="54"/>
  <c r="C378" i="54" a="1"/>
  <c r="C378" i="54" s="1"/>
  <c r="H378" i="54" a="1"/>
  <c r="H378" i="54" s="1"/>
  <c r="AR9" i="52"/>
  <c r="AR119" i="52" s="1"/>
  <c r="K1274" i="79" l="1"/>
  <c r="L1274" i="79"/>
  <c r="AY190" i="52"/>
  <c r="L1318" i="79"/>
  <c r="BA185" i="52" s="1"/>
  <c r="AZ191" i="52"/>
  <c r="AY191" i="52"/>
  <c r="AZ192" i="52"/>
  <c r="L1363" i="79"/>
  <c r="BA186" i="52" s="1"/>
  <c r="M1364" i="79"/>
  <c r="AY192" i="52"/>
  <c r="BX66" i="9"/>
  <c r="BE66" i="9"/>
  <c r="T472" i="54"/>
  <c r="E462" i="54"/>
  <c r="D462" i="54" s="1"/>
  <c r="D461" i="54"/>
  <c r="E378" i="54"/>
  <c r="D378" i="54" s="1"/>
  <c r="D377" i="54"/>
  <c r="E399" i="54"/>
  <c r="D398" i="54"/>
  <c r="B398" i="54"/>
  <c r="E441" i="54"/>
  <c r="D441" i="54" s="1"/>
  <c r="D440" i="54"/>
  <c r="B377" i="54"/>
  <c r="K506" i="54"/>
  <c r="L506" i="54"/>
  <c r="M506" i="54"/>
  <c r="N506" i="54"/>
  <c r="O506" i="54"/>
  <c r="P506" i="54"/>
  <c r="Q506" i="54"/>
  <c r="R506" i="54" s="1"/>
  <c r="S506" i="54" s="1"/>
  <c r="T506" i="54" s="1"/>
  <c r="U506" i="54" s="1"/>
  <c r="V506" i="54" s="1"/>
  <c r="M322" i="54"/>
  <c r="L322" i="54"/>
  <c r="K322" i="54"/>
  <c r="R322" i="54"/>
  <c r="P322" i="54"/>
  <c r="V322" i="54"/>
  <c r="N322" i="54"/>
  <c r="Q322" i="54"/>
  <c r="O322" i="54"/>
  <c r="U322" i="54"/>
  <c r="T322" i="54"/>
  <c r="S322" i="54"/>
  <c r="L238" i="54"/>
  <c r="S238" i="54"/>
  <c r="K238" i="54"/>
  <c r="V238" i="54"/>
  <c r="R238" i="54"/>
  <c r="N238" i="54"/>
  <c r="Q238" i="54"/>
  <c r="U238" i="54"/>
  <c r="P238" i="54"/>
  <c r="T238" i="54"/>
  <c r="M238" i="54"/>
  <c r="O238" i="54"/>
  <c r="CO65" i="9"/>
  <c r="CO64" i="9" s="1"/>
  <c r="BD76" i="9"/>
  <c r="BD75" i="9" s="1"/>
  <c r="BF197" i="9"/>
  <c r="BF201" i="9"/>
  <c r="BD65" i="9"/>
  <c r="BD64" i="9" s="1"/>
  <c r="CP201" i="9"/>
  <c r="CP197" i="9"/>
  <c r="BW76" i="9"/>
  <c r="BW75" i="9" s="1"/>
  <c r="BY195" i="9"/>
  <c r="BY197" i="9"/>
  <c r="BY201" i="9"/>
  <c r="BW65" i="9"/>
  <c r="BW64" i="9" s="1"/>
  <c r="CO76" i="9"/>
  <c r="CO75" i="9" s="1"/>
  <c r="BF195" i="9"/>
  <c r="CP195" i="9"/>
  <c r="BE77" i="9"/>
  <c r="BX77" i="9"/>
  <c r="CP140" i="9"/>
  <c r="CP139" i="9" s="1"/>
  <c r="CP73" i="9"/>
  <c r="CP72" i="9"/>
  <c r="CP79" i="9"/>
  <c r="CP77" i="9" s="1"/>
  <c r="CP68" i="9"/>
  <c r="CP66" i="9" s="1"/>
  <c r="BY140" i="9"/>
  <c r="BY139" i="9" s="1"/>
  <c r="BY72" i="9"/>
  <c r="BY73" i="9"/>
  <c r="BY79" i="9"/>
  <c r="BY68" i="9"/>
  <c r="BF140" i="9"/>
  <c r="BF139" i="9" s="1"/>
  <c r="BF73" i="9"/>
  <c r="BF72" i="9"/>
  <c r="BF68" i="9"/>
  <c r="BF79" i="9"/>
  <c r="BX249" i="9"/>
  <c r="BX244" i="9" s="1"/>
  <c r="BX237" i="9" s="1"/>
  <c r="BE249" i="9"/>
  <c r="BE244" i="9" s="1"/>
  <c r="BE237" i="9" s="1"/>
  <c r="CO249" i="9"/>
  <c r="CO244" i="9" s="1"/>
  <c r="CO237" i="9" s="1"/>
  <c r="K486" i="54"/>
  <c r="L486" i="54"/>
  <c r="N486" i="54"/>
  <c r="M486" i="54"/>
  <c r="O486" i="54"/>
  <c r="P486" i="54"/>
  <c r="Q486" i="54"/>
  <c r="R486" i="54" s="1"/>
  <c r="S486" i="54" s="1"/>
  <c r="T486" i="54" s="1"/>
  <c r="U486" i="54" s="1"/>
  <c r="V486" i="54" s="1"/>
  <c r="P478" i="54"/>
  <c r="AC119" i="52"/>
  <c r="P483" i="54"/>
  <c r="AC122" i="52"/>
  <c r="O363" i="54"/>
  <c r="O483" i="54"/>
  <c r="AB122" i="52"/>
  <c r="P363" i="54"/>
  <c r="P476" i="54"/>
  <c r="AC124" i="52"/>
  <c r="AT182" i="52"/>
  <c r="B106" i="52"/>
  <c r="B128" i="52"/>
  <c r="M118" i="54"/>
  <c r="K8" i="52"/>
  <c r="L118" i="54"/>
  <c r="B262" i="52"/>
  <c r="B244" i="52"/>
  <c r="B285" i="52"/>
  <c r="B229" i="52"/>
  <c r="B63" i="52"/>
  <c r="B42" i="52"/>
  <c r="B223" i="52"/>
  <c r="B233" i="52"/>
  <c r="B234" i="52"/>
  <c r="B218" i="52"/>
  <c r="G230" i="52"/>
  <c r="B21" i="52"/>
  <c r="K475" i="54"/>
  <c r="AN35" i="52"/>
  <c r="AN79" i="52"/>
  <c r="AN101" i="52"/>
  <c r="AN57" i="52"/>
  <c r="AT192" i="52"/>
  <c r="AD58" i="52"/>
  <c r="AT58" i="52" s="1"/>
  <c r="AD102" i="52"/>
  <c r="AT102" i="52" s="1"/>
  <c r="AT194" i="52"/>
  <c r="AT191" i="52"/>
  <c r="AD36" i="52"/>
  <c r="AT36" i="52" s="1"/>
  <c r="AT193" i="52"/>
  <c r="AD80" i="52"/>
  <c r="AT80" i="52" s="1"/>
  <c r="AS14" i="52"/>
  <c r="AS124" i="52" s="1"/>
  <c r="AT190" i="52"/>
  <c r="AD14" i="52"/>
  <c r="AT187" i="52"/>
  <c r="AD79" i="52"/>
  <c r="AT79" i="52" s="1"/>
  <c r="AD57" i="52"/>
  <c r="AT57" i="52" s="1"/>
  <c r="AT186" i="52"/>
  <c r="AT188" i="52"/>
  <c r="AD101" i="52"/>
  <c r="AT101" i="52" s="1"/>
  <c r="AT184" i="52"/>
  <c r="AD13" i="52"/>
  <c r="AT185" i="52"/>
  <c r="AD35" i="52"/>
  <c r="AT35" i="52" s="1"/>
  <c r="AN13" i="52"/>
  <c r="AN123" i="52" s="1"/>
  <c r="M1454" i="79"/>
  <c r="BB194" i="52" s="1"/>
  <c r="M1358" i="79"/>
  <c r="M1354" i="79" s="1"/>
  <c r="M1313" i="79"/>
  <c r="M1309" i="79" s="1"/>
  <c r="AB30" i="10"/>
  <c r="BX29" i="10"/>
  <c r="BY29" i="10" s="1"/>
  <c r="CP247" i="9"/>
  <c r="CP167" i="9"/>
  <c r="CP165" i="9" s="1"/>
  <c r="CO162" i="9"/>
  <c r="CO161" i="9" s="1"/>
  <c r="BY119" i="9"/>
  <c r="BY118" i="9" s="1"/>
  <c r="BY248" i="9"/>
  <c r="B486" i="54"/>
  <c r="CP119" i="9"/>
  <c r="CP118" i="9" s="1"/>
  <c r="CP248" i="9"/>
  <c r="BF119" i="9"/>
  <c r="BF118" i="9" s="1"/>
  <c r="BF248" i="9"/>
  <c r="CP59" i="9"/>
  <c r="CP128" i="9"/>
  <c r="CP52" i="9"/>
  <c r="CP164" i="9"/>
  <c r="CP245" i="9"/>
  <c r="BW161" i="9"/>
  <c r="AS12" i="52"/>
  <c r="AS122" i="52" s="1"/>
  <c r="AS9" i="52"/>
  <c r="AS119" i="52" s="1"/>
  <c r="AR12" i="52"/>
  <c r="AR122" i="52" s="1"/>
  <c r="AL155" i="9"/>
  <c r="BC155" i="9"/>
  <c r="BV155" i="9"/>
  <c r="BV95" i="9"/>
  <c r="BY84" i="9"/>
  <c r="BY93" i="9"/>
  <c r="BY163" i="9"/>
  <c r="BZ9" i="9"/>
  <c r="BY83" i="9"/>
  <c r="BY130" i="9"/>
  <c r="BY127" i="9"/>
  <c r="BY129" i="9"/>
  <c r="BY92" i="9"/>
  <c r="BY49" i="9"/>
  <c r="BY126" i="9"/>
  <c r="BY159" i="9"/>
  <c r="CP111" i="9"/>
  <c r="CP115" i="9" s="1"/>
  <c r="CQ17" i="9"/>
  <c r="CQ67" i="9" s="1"/>
  <c r="CQ78" i="9" s="1"/>
  <c r="CQ14" i="9"/>
  <c r="CP63" i="9"/>
  <c r="CP61" i="9" s="1"/>
  <c r="CP146" i="9"/>
  <c r="BD87" i="9"/>
  <c r="BD156" i="9"/>
  <c r="BD96" i="9"/>
  <c r="BD153" i="9"/>
  <c r="BE111" i="9"/>
  <c r="BE115" i="9" s="1"/>
  <c r="BF17" i="9"/>
  <c r="BF67" i="9" s="1"/>
  <c r="BF78" i="9" s="1"/>
  <c r="AL95" i="9"/>
  <c r="CP129" i="9"/>
  <c r="CP93" i="9"/>
  <c r="CP126" i="9"/>
  <c r="CP83" i="9"/>
  <c r="CP130" i="9"/>
  <c r="CP92" i="9"/>
  <c r="CP163" i="9"/>
  <c r="CQ9" i="9"/>
  <c r="CP127" i="9"/>
  <c r="CP84" i="9"/>
  <c r="CP49" i="9"/>
  <c r="CP159" i="9"/>
  <c r="BE24" i="9"/>
  <c r="BF16" i="9"/>
  <c r="BX23" i="9"/>
  <c r="BY15" i="9"/>
  <c r="BF19" i="9"/>
  <c r="BF127" i="9"/>
  <c r="BF92" i="9"/>
  <c r="BF84" i="9"/>
  <c r="BF163" i="9"/>
  <c r="BF129" i="9"/>
  <c r="BF126" i="9"/>
  <c r="BF93" i="9"/>
  <c r="BF130" i="9"/>
  <c r="BF83" i="9"/>
  <c r="BF159" i="9"/>
  <c r="BF49" i="9"/>
  <c r="CQ20" i="9"/>
  <c r="BY166" i="9"/>
  <c r="BZ13" i="9"/>
  <c r="BZ166" i="9" s="1"/>
  <c r="BY21" i="9"/>
  <c r="BY71" i="9" s="1"/>
  <c r="BF21" i="9"/>
  <c r="BF71" i="9" s="1"/>
  <c r="CQ16" i="9"/>
  <c r="CP24" i="9"/>
  <c r="BX165" i="9"/>
  <c r="BW87" i="9"/>
  <c r="BW156" i="9"/>
  <c r="BW153" i="9"/>
  <c r="BW96" i="9"/>
  <c r="BW98" i="9"/>
  <c r="BF150" i="9"/>
  <c r="CQ21" i="9"/>
  <c r="CQ71" i="9" s="1"/>
  <c r="BD98" i="9"/>
  <c r="CR12" i="9"/>
  <c r="BE162" i="9"/>
  <c r="CN95" i="9"/>
  <c r="AQ20" i="8" s="1"/>
  <c r="BY19" i="9"/>
  <c r="CO154" i="9"/>
  <c r="CO157" i="9"/>
  <c r="CO97" i="9"/>
  <c r="CO99" i="9"/>
  <c r="BE165" i="9"/>
  <c r="BD161" i="9"/>
  <c r="BZ12" i="9"/>
  <c r="CN155" i="9"/>
  <c r="BY17" i="9"/>
  <c r="BY67" i="9" s="1"/>
  <c r="BY78" i="9" s="1"/>
  <c r="BX111" i="9"/>
  <c r="BX115" i="9" s="1"/>
  <c r="BC95" i="9"/>
  <c r="CQ19" i="9"/>
  <c r="BY20" i="9"/>
  <c r="CQ166" i="9"/>
  <c r="CR13" i="9"/>
  <c r="CR18" i="9"/>
  <c r="CR58" i="9" s="1"/>
  <c r="CQ150" i="9"/>
  <c r="CP23" i="9"/>
  <c r="CQ15" i="9"/>
  <c r="BX146" i="9"/>
  <c r="BX63" i="9"/>
  <c r="BX61" i="9" s="1"/>
  <c r="BY14" i="9"/>
  <c r="BF20" i="9"/>
  <c r="CR10" i="9"/>
  <c r="BW97" i="9"/>
  <c r="BW154" i="9"/>
  <c r="BW157" i="9"/>
  <c r="BW99" i="9"/>
  <c r="CO96" i="9"/>
  <c r="CO87" i="9"/>
  <c r="CO153" i="9"/>
  <c r="CO156" i="9"/>
  <c r="CO98" i="9"/>
  <c r="BY167" i="9"/>
  <c r="BY247" i="9"/>
  <c r="BY59" i="9"/>
  <c r="BY245" i="9"/>
  <c r="BY164" i="9"/>
  <c r="BY52" i="9"/>
  <c r="BZ10" i="9"/>
  <c r="BY128" i="9"/>
  <c r="BY246" i="9"/>
  <c r="BX162" i="9"/>
  <c r="BD97" i="9"/>
  <c r="BD154" i="9"/>
  <c r="BD157" i="9"/>
  <c r="BD99" i="9"/>
  <c r="BE63" i="9"/>
  <c r="BE61" i="9" s="1"/>
  <c r="BF14" i="9"/>
  <c r="BE146" i="9"/>
  <c r="BE23" i="9"/>
  <c r="BF15" i="9"/>
  <c r="BZ18" i="9"/>
  <c r="BY16" i="9"/>
  <c r="BX24" i="9"/>
  <c r="BF128" i="9"/>
  <c r="BF246" i="9"/>
  <c r="BF167" i="9"/>
  <c r="BF165" i="9" s="1"/>
  <c r="BF59" i="9"/>
  <c r="BF247" i="9"/>
  <c r="BF164" i="9"/>
  <c r="BF245" i="9"/>
  <c r="BF52" i="9"/>
  <c r="M1027" i="79"/>
  <c r="BB178" i="52" s="1"/>
  <c r="M854" i="79"/>
  <c r="BB168" i="52" s="1"/>
  <c r="L1101" i="79"/>
  <c r="BA180" i="52" s="1"/>
  <c r="M1064" i="79"/>
  <c r="BB179" i="52" s="1"/>
  <c r="M817" i="79"/>
  <c r="BB167" i="52" s="1"/>
  <c r="L154" i="52"/>
  <c r="M154" i="52"/>
  <c r="AD100" i="52"/>
  <c r="AT100" i="52" s="1"/>
  <c r="AT181" i="52"/>
  <c r="AD34" i="52"/>
  <c r="AT34" i="52" s="1"/>
  <c r="AD12" i="52"/>
  <c r="AD56" i="52"/>
  <c r="AT56" i="52" s="1"/>
  <c r="M1100" i="79"/>
  <c r="BB174" i="52" s="1"/>
  <c r="AD163" i="52"/>
  <c r="AD75" i="52" s="1"/>
  <c r="AT75" i="52" s="1"/>
  <c r="AD161" i="52"/>
  <c r="AT161" i="52" s="1"/>
  <c r="AD160" i="52"/>
  <c r="AT160" i="52" s="1"/>
  <c r="AD162" i="52"/>
  <c r="AT162" i="52" s="1"/>
  <c r="AD164" i="52"/>
  <c r="D596" i="59"/>
  <c r="F638" i="59"/>
  <c r="D638" i="59" s="1"/>
  <c r="M589" i="79"/>
  <c r="M780" i="79"/>
  <c r="BB166" i="52" s="1"/>
  <c r="M596" i="79"/>
  <c r="M583" i="79" s="1"/>
  <c r="AP85" i="52"/>
  <c r="AN85" i="52"/>
  <c r="AS85" i="52"/>
  <c r="AQ85" i="52"/>
  <c r="AT85" i="52"/>
  <c r="AO85" i="52"/>
  <c r="AR85" i="52"/>
  <c r="B250" i="52"/>
  <c r="AL86" i="52"/>
  <c r="AK86" i="52"/>
  <c r="AJ86" i="52"/>
  <c r="AI86" i="52"/>
  <c r="AH86" i="52"/>
  <c r="AG86" i="52"/>
  <c r="AF86" i="52"/>
  <c r="AA86" i="52"/>
  <c r="AC86" i="52"/>
  <c r="AD86" i="52"/>
  <c r="Z86" i="52"/>
  <c r="X86" i="52"/>
  <c r="Y86" i="52"/>
  <c r="AB86" i="52"/>
  <c r="B239" i="52"/>
  <c r="B240" i="52"/>
  <c r="D574" i="59"/>
  <c r="F616" i="59"/>
  <c r="D616" i="59" s="1"/>
  <c r="C664" i="59"/>
  <c r="F664" i="59" s="1" a="1"/>
  <c r="F664" i="59" s="1"/>
  <c r="D664" i="59" s="1"/>
  <c r="F663" i="59" a="1"/>
  <c r="F663" i="59" s="1"/>
  <c r="D663" i="59" s="1"/>
  <c r="D513" i="59"/>
  <c r="F555" i="59"/>
  <c r="F597" i="59" s="1"/>
  <c r="F514" i="59"/>
  <c r="D493" i="59"/>
  <c r="D554" i="59"/>
  <c r="F575" i="59"/>
  <c r="F515" i="59"/>
  <c r="D494" i="59"/>
  <c r="H133" i="54" a="1"/>
  <c r="H133" i="54" s="1"/>
  <c r="C133" i="54" a="1"/>
  <c r="C133" i="54" s="1"/>
  <c r="B133" i="54" s="1"/>
  <c r="A462" i="54"/>
  <c r="H461" i="54" a="1"/>
  <c r="H461" i="54" s="1"/>
  <c r="C461" i="54" a="1"/>
  <c r="C461" i="54" s="1"/>
  <c r="B461" i="54" s="1"/>
  <c r="H217" i="54" a="1"/>
  <c r="H217" i="54" s="1"/>
  <c r="C217" i="54" a="1"/>
  <c r="C217" i="54" s="1"/>
  <c r="B217" i="54" s="1"/>
  <c r="C507" i="54" a="1"/>
  <c r="C507" i="54" s="1"/>
  <c r="H507" i="54" a="1"/>
  <c r="H507" i="54" s="1"/>
  <c r="A508" i="54"/>
  <c r="E261" i="54"/>
  <c r="H441" i="54" a="1"/>
  <c r="H441" i="54" s="1"/>
  <c r="C441" i="54" a="1"/>
  <c r="C441" i="54" s="1"/>
  <c r="B441" i="54" s="1"/>
  <c r="B238" i="54"/>
  <c r="C195" i="54" a="1"/>
  <c r="C195" i="54" s="1"/>
  <c r="B195" i="54" s="1"/>
  <c r="H195" i="54" a="1"/>
  <c r="H195" i="54" s="1"/>
  <c r="A196" i="54"/>
  <c r="C239" i="54" a="1"/>
  <c r="C239" i="54" s="1"/>
  <c r="D239" i="54" s="1"/>
  <c r="A240" i="54"/>
  <c r="C240" i="54" s="1" a="1"/>
  <c r="C240" i="54" s="1"/>
  <c r="D240" i="54" s="1"/>
  <c r="B322" i="54"/>
  <c r="B347" i="54"/>
  <c r="E303" i="54"/>
  <c r="B302" i="54"/>
  <c r="E240" i="54"/>
  <c r="H153" i="54" a="1"/>
  <c r="H153" i="54" s="1"/>
  <c r="A154" i="54"/>
  <c r="C153" i="54" a="1"/>
  <c r="C153" i="54" s="1"/>
  <c r="B153" i="54" s="1"/>
  <c r="C323" i="54" a="1"/>
  <c r="C323" i="54" s="1"/>
  <c r="D323" i="54" s="1"/>
  <c r="A324" i="54"/>
  <c r="C324" i="54" s="1" a="1"/>
  <c r="C324" i="54" s="1"/>
  <c r="D324" i="54" s="1"/>
  <c r="B348" i="54"/>
  <c r="C108" i="54" a="1"/>
  <c r="C108" i="54" s="1"/>
  <c r="H487" i="54" a="1"/>
  <c r="H487" i="54" s="1"/>
  <c r="C487" i="54" a="1"/>
  <c r="C487" i="54" s="1"/>
  <c r="A45" i="54"/>
  <c r="C44" i="54" a="1"/>
  <c r="C44" i="54" s="1"/>
  <c r="B506" i="54"/>
  <c r="M1273" i="79" l="1"/>
  <c r="BA190" i="52"/>
  <c r="AZ190" i="52"/>
  <c r="M1318" i="79"/>
  <c r="BB185" i="52" s="1"/>
  <c r="L1319" i="79"/>
  <c r="L1364" i="79"/>
  <c r="BB192" i="52"/>
  <c r="AD123" i="52"/>
  <c r="BY66" i="9"/>
  <c r="BF66" i="9"/>
  <c r="BZ195" i="9"/>
  <c r="U472" i="54"/>
  <c r="D399" i="54"/>
  <c r="B399" i="54"/>
  <c r="B378" i="54"/>
  <c r="Q507" i="54"/>
  <c r="R507" i="54" s="1"/>
  <c r="S507" i="54" s="1"/>
  <c r="T507" i="54" s="1"/>
  <c r="U507" i="54" s="1"/>
  <c r="V507" i="54" s="1"/>
  <c r="N507" i="54"/>
  <c r="L507" i="54"/>
  <c r="O507" i="54"/>
  <c r="M507" i="54"/>
  <c r="K507" i="54"/>
  <c r="P507" i="54"/>
  <c r="CQ197" i="9"/>
  <c r="CQ201" i="9"/>
  <c r="BE65" i="9"/>
  <c r="BE64" i="9" s="1"/>
  <c r="BX65" i="9"/>
  <c r="BX64" i="9" s="1"/>
  <c r="CQ195" i="9"/>
  <c r="CP65" i="9"/>
  <c r="CP64" i="9" s="1"/>
  <c r="BE76" i="9"/>
  <c r="BE75" i="9" s="1"/>
  <c r="BZ201" i="9"/>
  <c r="BZ197" i="9"/>
  <c r="BX76" i="9"/>
  <c r="BX75" i="9" s="1"/>
  <c r="CP76" i="9"/>
  <c r="CP75" i="9" s="1"/>
  <c r="BF77" i="9"/>
  <c r="BY77" i="9"/>
  <c r="CQ73" i="9"/>
  <c r="CQ72" i="9"/>
  <c r="CQ68" i="9"/>
  <c r="CQ66" i="9" s="1"/>
  <c r="CQ79" i="9"/>
  <c r="CQ77" i="9" s="1"/>
  <c r="BZ140" i="9"/>
  <c r="BZ139" i="9" s="1"/>
  <c r="BZ72" i="9"/>
  <c r="BZ73" i="9"/>
  <c r="BZ68" i="9"/>
  <c r="BZ79" i="9"/>
  <c r="BY249" i="9"/>
  <c r="BY244" i="9" s="1"/>
  <c r="BY237" i="9" s="1"/>
  <c r="BF249" i="9"/>
  <c r="BF244" i="9" s="1"/>
  <c r="BF237" i="9" s="1"/>
  <c r="CP249" i="9"/>
  <c r="CP244" i="9" s="1"/>
  <c r="CP237" i="9" s="1"/>
  <c r="BF111" i="9"/>
  <c r="BF115" i="9" s="1"/>
  <c r="L487" i="54"/>
  <c r="K487" i="54"/>
  <c r="M487" i="54"/>
  <c r="N487" i="54"/>
  <c r="O487" i="54"/>
  <c r="P487" i="54"/>
  <c r="Q487" i="54"/>
  <c r="R487" i="54" s="1"/>
  <c r="S487" i="54" s="1"/>
  <c r="T487" i="54" s="1"/>
  <c r="U487" i="54" s="1"/>
  <c r="V487" i="54" s="1"/>
  <c r="Q483" i="54"/>
  <c r="R483" i="54" s="1"/>
  <c r="S483" i="54" s="1"/>
  <c r="T483" i="54" s="1"/>
  <c r="U483" i="54" s="1"/>
  <c r="V483" i="54" s="1"/>
  <c r="AD122" i="52"/>
  <c r="Q476" i="54"/>
  <c r="R476" i="54" s="1"/>
  <c r="S476" i="54" s="1"/>
  <c r="T476" i="54" s="1"/>
  <c r="U476" i="54" s="1"/>
  <c r="V476" i="54" s="1"/>
  <c r="AD124" i="52"/>
  <c r="AT164" i="52"/>
  <c r="L8" i="52"/>
  <c r="M8" i="52"/>
  <c r="N118" i="54"/>
  <c r="B230" i="52"/>
  <c r="B43" i="52"/>
  <c r="B64" i="52"/>
  <c r="B224" i="52"/>
  <c r="B85" i="52"/>
  <c r="B22" i="52"/>
  <c r="AT13" i="52"/>
  <c r="AT123" i="52" s="1"/>
  <c r="Q475" i="54"/>
  <c r="R475" i="54" s="1"/>
  <c r="S475" i="54" s="1"/>
  <c r="T475" i="54" s="1"/>
  <c r="U475" i="54" s="1"/>
  <c r="V475" i="54" s="1"/>
  <c r="M133" i="54"/>
  <c r="L133" i="54"/>
  <c r="K133" i="54"/>
  <c r="N133" i="54"/>
  <c r="O133" i="54"/>
  <c r="P133" i="54"/>
  <c r="Q133" i="54"/>
  <c r="AT14" i="52"/>
  <c r="AT124" i="52" s="1"/>
  <c r="AB31" i="10"/>
  <c r="BX30" i="10"/>
  <c r="BY30" i="10" s="1"/>
  <c r="CQ245" i="9"/>
  <c r="CQ140" i="9"/>
  <c r="CQ139" i="9" s="1"/>
  <c r="BF162" i="9"/>
  <c r="BF161" i="9" s="1"/>
  <c r="BX161" i="9"/>
  <c r="B487" i="54"/>
  <c r="CQ119" i="9"/>
  <c r="CQ118" i="9" s="1"/>
  <c r="CQ248" i="9"/>
  <c r="BZ119" i="9"/>
  <c r="BZ118" i="9" s="1"/>
  <c r="BZ248" i="9"/>
  <c r="BY165" i="9"/>
  <c r="CQ52" i="9"/>
  <c r="CQ59" i="9"/>
  <c r="CQ246" i="9"/>
  <c r="CQ167" i="9"/>
  <c r="CQ165" i="9" s="1"/>
  <c r="CQ164" i="9"/>
  <c r="CP162" i="9"/>
  <c r="CP161" i="9" s="1"/>
  <c r="CQ247" i="9"/>
  <c r="CQ128" i="9"/>
  <c r="BY162" i="9"/>
  <c r="AT12" i="52"/>
  <c r="AT122" i="52" s="1"/>
  <c r="BW155" i="9"/>
  <c r="BD155" i="9"/>
  <c r="CO155" i="9"/>
  <c r="AR38" i="8" s="1"/>
  <c r="BY146" i="9"/>
  <c r="BZ14" i="9"/>
  <c r="BY63" i="9"/>
  <c r="BY61" i="9" s="1"/>
  <c r="CR19" i="9"/>
  <c r="BE161" i="9"/>
  <c r="CR21" i="9"/>
  <c r="CR71" i="9" s="1"/>
  <c r="BX97" i="9"/>
  <c r="BX157" i="9"/>
  <c r="BX154" i="9"/>
  <c r="BX99" i="9"/>
  <c r="BF23" i="9"/>
  <c r="BD95" i="9"/>
  <c r="CQ63" i="9"/>
  <c r="CQ61" i="9" s="1"/>
  <c r="CR14" i="9"/>
  <c r="CQ146" i="9"/>
  <c r="BZ16" i="9"/>
  <c r="BY24" i="9"/>
  <c r="BE87" i="9"/>
  <c r="BE156" i="9"/>
  <c r="BE96" i="9"/>
  <c r="BE153" i="9"/>
  <c r="CS10" i="9"/>
  <c r="CS13" i="9"/>
  <c r="CR166" i="9"/>
  <c r="CP97" i="9"/>
  <c r="CP157" i="9"/>
  <c r="CP154" i="9"/>
  <c r="CP99" i="9"/>
  <c r="BZ21" i="9"/>
  <c r="BZ71" i="9" s="1"/>
  <c r="CQ111" i="9"/>
  <c r="CQ115" i="9" s="1"/>
  <c r="CR17" i="9"/>
  <c r="CR67" i="9" s="1"/>
  <c r="CR78" i="9" s="1"/>
  <c r="BZ245" i="9"/>
  <c r="BZ164" i="9"/>
  <c r="BZ59" i="9"/>
  <c r="BZ167" i="9"/>
  <c r="BZ165" i="9" s="1"/>
  <c r="BZ52" i="9"/>
  <c r="BZ246" i="9"/>
  <c r="BZ247" i="9"/>
  <c r="BZ128" i="9"/>
  <c r="CS12" i="9"/>
  <c r="CQ24" i="9"/>
  <c r="CR16" i="9"/>
  <c r="BF24" i="9"/>
  <c r="BZ127" i="9"/>
  <c r="BZ84" i="9"/>
  <c r="BZ93" i="9"/>
  <c r="BZ130" i="9"/>
  <c r="BZ159" i="9"/>
  <c r="BZ129" i="9"/>
  <c r="BZ49" i="9"/>
  <c r="BZ83" i="9"/>
  <c r="BZ126" i="9"/>
  <c r="BZ92" i="9"/>
  <c r="BZ163" i="9"/>
  <c r="BY111" i="9"/>
  <c r="BY115" i="9" s="1"/>
  <c r="BZ17" i="9"/>
  <c r="BZ67" i="9" s="1"/>
  <c r="BZ78" i="9" s="1"/>
  <c r="BZ19" i="9"/>
  <c r="BE97" i="9"/>
  <c r="BE154" i="9"/>
  <c r="BE157" i="9"/>
  <c r="BE99" i="9"/>
  <c r="CQ93" i="9"/>
  <c r="CQ83" i="9"/>
  <c r="CQ126" i="9"/>
  <c r="CQ130" i="9"/>
  <c r="CQ163" i="9"/>
  <c r="CQ84" i="9"/>
  <c r="CQ92" i="9"/>
  <c r="CQ127" i="9"/>
  <c r="CR9" i="9"/>
  <c r="CR195" i="9" s="1"/>
  <c r="CQ129" i="9"/>
  <c r="CQ159" i="9"/>
  <c r="CQ49" i="9"/>
  <c r="CO95" i="9"/>
  <c r="AR20" i="8" s="1"/>
  <c r="BZ20" i="9"/>
  <c r="BE98" i="9"/>
  <c r="BF63" i="9"/>
  <c r="BF61" i="9" s="1"/>
  <c r="BF146" i="9"/>
  <c r="CQ23" i="9"/>
  <c r="CR15" i="9"/>
  <c r="CR20" i="9"/>
  <c r="BY23" i="9"/>
  <c r="BZ15" i="9"/>
  <c r="CP87" i="9"/>
  <c r="CP153" i="9"/>
  <c r="CP96" i="9"/>
  <c r="CP156" i="9"/>
  <c r="CP98" i="9"/>
  <c r="CS18" i="9"/>
  <c r="CS58" i="9" s="1"/>
  <c r="CR150" i="9"/>
  <c r="BW95" i="9"/>
  <c r="BX87" i="9"/>
  <c r="BX156" i="9"/>
  <c r="BX153" i="9"/>
  <c r="BX96" i="9"/>
  <c r="BX98" i="9"/>
  <c r="N154" i="52"/>
  <c r="AD9" i="52"/>
  <c r="M1101" i="79"/>
  <c r="BB180" i="52" s="1"/>
  <c r="B258" i="52"/>
  <c r="B257" i="52"/>
  <c r="AD53" i="52"/>
  <c r="AT53" i="52" s="1"/>
  <c r="AT163" i="52"/>
  <c r="AD31" i="52"/>
  <c r="AT31" i="52" s="1"/>
  <c r="AD97" i="52"/>
  <c r="AT97" i="52" s="1"/>
  <c r="D597" i="59"/>
  <c r="F639" i="59"/>
  <c r="D639" i="59" s="1"/>
  <c r="V8" i="52"/>
  <c r="AQ86" i="52"/>
  <c r="AO86" i="52"/>
  <c r="AS86" i="52"/>
  <c r="AR86" i="52"/>
  <c r="AN86" i="52"/>
  <c r="AG87" i="52"/>
  <c r="AF87" i="52"/>
  <c r="AL87" i="52"/>
  <c r="AK87" i="52"/>
  <c r="AJ87" i="52"/>
  <c r="AI87" i="52"/>
  <c r="AH87" i="52"/>
  <c r="Y87" i="52"/>
  <c r="AC87" i="52"/>
  <c r="Z87" i="52"/>
  <c r="AB87" i="52"/>
  <c r="AD87" i="52"/>
  <c r="AA87" i="52"/>
  <c r="X87" i="52"/>
  <c r="AP86" i="52"/>
  <c r="AT86" i="52"/>
  <c r="AP32" i="8"/>
  <c r="AG32" i="8"/>
  <c r="F32" i="8"/>
  <c r="AJ31" i="8"/>
  <c r="I31" i="8"/>
  <c r="AO32" i="8"/>
  <c r="AF32" i="8"/>
  <c r="AR31" i="8"/>
  <c r="AI31" i="8"/>
  <c r="H31" i="8"/>
  <c r="AN32" i="8"/>
  <c r="AE32" i="8"/>
  <c r="L32" i="8"/>
  <c r="AQ31" i="8"/>
  <c r="AH31" i="8"/>
  <c r="G31" i="8"/>
  <c r="AM32" i="8"/>
  <c r="AD32" i="8"/>
  <c r="K32" i="8"/>
  <c r="AP31" i="8"/>
  <c r="AG31" i="8"/>
  <c r="F31" i="8"/>
  <c r="AL32" i="8"/>
  <c r="J32" i="8"/>
  <c r="AO31" i="8"/>
  <c r="AF31" i="8"/>
  <c r="AJ32" i="8"/>
  <c r="I32" i="8"/>
  <c r="AN31" i="8"/>
  <c r="AE31" i="8"/>
  <c r="L31" i="8"/>
  <c r="AR32" i="8"/>
  <c r="AI32" i="8"/>
  <c r="H32" i="8"/>
  <c r="AM31" i="8"/>
  <c r="AD31" i="8"/>
  <c r="K31" i="8"/>
  <c r="AQ32" i="8"/>
  <c r="AH32" i="8"/>
  <c r="G32" i="8"/>
  <c r="AL31" i="8"/>
  <c r="J31" i="8"/>
  <c r="AN34" i="8"/>
  <c r="H34" i="8"/>
  <c r="AE34" i="8"/>
  <c r="AL34" i="8"/>
  <c r="F34" i="8"/>
  <c r="G34" i="8"/>
  <c r="AF34" i="8"/>
  <c r="AM34" i="8"/>
  <c r="AD34" i="8"/>
  <c r="AL38" i="8"/>
  <c r="AH34" i="8"/>
  <c r="J34" i="8"/>
  <c r="AD38" i="8"/>
  <c r="AP34" i="8"/>
  <c r="AO34" i="8"/>
  <c r="AG34" i="8"/>
  <c r="I34" i="8"/>
  <c r="F38" i="8"/>
  <c r="AM38" i="8"/>
  <c r="G38" i="8"/>
  <c r="AN38" i="8"/>
  <c r="AE38" i="8"/>
  <c r="AI34" i="8"/>
  <c r="AF38" i="8"/>
  <c r="AJ34" i="8"/>
  <c r="H38" i="8"/>
  <c r="L34" i="8"/>
  <c r="AR34" i="8"/>
  <c r="K34" i="8"/>
  <c r="AQ34" i="8"/>
  <c r="AO38" i="8"/>
  <c r="AP38" i="8"/>
  <c r="I38" i="8"/>
  <c r="AG38" i="8"/>
  <c r="J38" i="8"/>
  <c r="AQ38" i="8"/>
  <c r="AH38" i="8"/>
  <c r="AI38" i="8"/>
  <c r="K38" i="8"/>
  <c r="L38" i="8"/>
  <c r="AJ38" i="8"/>
  <c r="D515" i="59"/>
  <c r="F557" i="59"/>
  <c r="F599" i="59" s="1"/>
  <c r="F556" i="59"/>
  <c r="F598" i="59" s="1"/>
  <c r="D514" i="59"/>
  <c r="F617" i="59"/>
  <c r="D617" i="59" s="1"/>
  <c r="D575" i="59"/>
  <c r="F576" i="59"/>
  <c r="D555" i="59"/>
  <c r="H462" i="54" a="1"/>
  <c r="H462" i="54" s="1"/>
  <c r="C462" i="54" a="1"/>
  <c r="C462" i="54" s="1"/>
  <c r="B462" i="54" s="1"/>
  <c r="B240" i="54"/>
  <c r="B239" i="54"/>
  <c r="B108" i="54"/>
  <c r="H154" i="54" a="1"/>
  <c r="H154" i="54" s="1"/>
  <c r="C154" i="54" a="1"/>
  <c r="C154" i="54" s="1"/>
  <c r="B154" i="54" s="1"/>
  <c r="H508" i="54" a="1"/>
  <c r="H508" i="54" s="1"/>
  <c r="C508" i="54" a="1"/>
  <c r="C508" i="54" s="1"/>
  <c r="B44" i="54"/>
  <c r="B303" i="54"/>
  <c r="C196" i="54" a="1"/>
  <c r="C196" i="54" s="1"/>
  <c r="B196" i="54" s="1"/>
  <c r="H196" i="54" a="1"/>
  <c r="H196" i="54" s="1"/>
  <c r="B507" i="54"/>
  <c r="B324" i="54"/>
  <c r="C45" i="54" a="1"/>
  <c r="C45" i="54" s="1"/>
  <c r="B323" i="54"/>
  <c r="B261" i="54"/>
  <c r="M1274" i="79" l="1"/>
  <c r="BB184" i="52"/>
  <c r="BA191" i="52"/>
  <c r="M1319" i="79"/>
  <c r="BA192" i="52"/>
  <c r="BZ66" i="9"/>
  <c r="V472" i="54"/>
  <c r="K508" i="54"/>
  <c r="L508" i="54"/>
  <c r="Q508" i="54"/>
  <c r="R508" i="54" s="1"/>
  <c r="S508" i="54" s="1"/>
  <c r="T508" i="54" s="1"/>
  <c r="U508" i="54" s="1"/>
  <c r="V508" i="54" s="1"/>
  <c r="M508" i="54"/>
  <c r="P508" i="54"/>
  <c r="N508" i="54"/>
  <c r="O508" i="54"/>
  <c r="BY76" i="9"/>
  <c r="BY75" i="9" s="1"/>
  <c r="CQ65" i="9"/>
  <c r="CQ64" i="9" s="1"/>
  <c r="CR201" i="9"/>
  <c r="CR197" i="9"/>
  <c r="BY65" i="9"/>
  <c r="BY64" i="9" s="1"/>
  <c r="BF76" i="9"/>
  <c r="BF75" i="9" s="1"/>
  <c r="BF65" i="9"/>
  <c r="BF64" i="9" s="1"/>
  <c r="CQ76" i="9"/>
  <c r="CQ75" i="9" s="1"/>
  <c r="BZ77" i="9"/>
  <c r="CR140" i="9"/>
  <c r="CR139" i="9" s="1"/>
  <c r="CR73" i="9"/>
  <c r="CR72" i="9"/>
  <c r="CR79" i="9"/>
  <c r="CR77" i="9" s="1"/>
  <c r="CR68" i="9"/>
  <c r="CR66" i="9" s="1"/>
  <c r="BZ249" i="9"/>
  <c r="BZ244" i="9" s="1"/>
  <c r="BZ237" i="9" s="1"/>
  <c r="CQ249" i="9"/>
  <c r="CQ244" i="9" s="1"/>
  <c r="CQ237" i="9" s="1"/>
  <c r="BZ111" i="9"/>
  <c r="BZ115" i="9" s="1"/>
  <c r="Q363" i="54"/>
  <c r="R363" i="54" s="1"/>
  <c r="S363" i="54" s="1"/>
  <c r="T363" i="54" s="1"/>
  <c r="U363" i="54" s="1"/>
  <c r="V363" i="54" s="1"/>
  <c r="Q478" i="54"/>
  <c r="R478" i="54" s="1"/>
  <c r="S478" i="54" s="1"/>
  <c r="T478" i="54" s="1"/>
  <c r="U478" i="54" s="1"/>
  <c r="V478" i="54" s="1"/>
  <c r="AD119" i="52"/>
  <c r="B107" i="52"/>
  <c r="B129" i="52"/>
  <c r="P118" i="54"/>
  <c r="N8" i="52"/>
  <c r="O118" i="54"/>
  <c r="B44" i="52"/>
  <c r="B65" i="52"/>
  <c r="B86" i="52"/>
  <c r="B264" i="52"/>
  <c r="B246" i="52"/>
  <c r="B23" i="52"/>
  <c r="B286" i="52"/>
  <c r="B235" i="52"/>
  <c r="B263" i="52"/>
  <c r="B245" i="52"/>
  <c r="R133" i="54"/>
  <c r="AB32" i="10"/>
  <c r="BX31" i="10"/>
  <c r="BY31" i="10" s="1"/>
  <c r="Y670" i="59"/>
  <c r="T670" i="59"/>
  <c r="AC670" i="59"/>
  <c r="X671" i="59"/>
  <c r="V672" i="59"/>
  <c r="Y668" i="59"/>
  <c r="Z670" i="59"/>
  <c r="AA670" i="59"/>
  <c r="Z668" i="59"/>
  <c r="Z671" i="59"/>
  <c r="S671" i="59"/>
  <c r="S670" i="59"/>
  <c r="T671" i="59"/>
  <c r="AC671" i="59"/>
  <c r="AB670" i="59"/>
  <c r="AB671" i="59"/>
  <c r="T668" i="59"/>
  <c r="V670" i="59"/>
  <c r="AB668" i="59"/>
  <c r="X670" i="59"/>
  <c r="V668" i="59"/>
  <c r="X672" i="59"/>
  <c r="W671" i="59"/>
  <c r="V671" i="59"/>
  <c r="U672" i="59"/>
  <c r="W672" i="59"/>
  <c r="AD671" i="59"/>
  <c r="W670" i="59"/>
  <c r="U671" i="59"/>
  <c r="S672" i="59"/>
  <c r="AD670" i="59"/>
  <c r="AA671" i="59"/>
  <c r="X668" i="59"/>
  <c r="T672" i="59"/>
  <c r="U668" i="59"/>
  <c r="AC668" i="59"/>
  <c r="AD668" i="59"/>
  <c r="W668" i="59"/>
  <c r="Y671" i="59"/>
  <c r="AA668" i="59"/>
  <c r="U670" i="59"/>
  <c r="BF98" i="9"/>
  <c r="CQ162" i="9"/>
  <c r="CQ161" i="9" s="1"/>
  <c r="CR248" i="9"/>
  <c r="BY161" i="9"/>
  <c r="AT9" i="52"/>
  <c r="AT119" i="52" s="1"/>
  <c r="CP155" i="9"/>
  <c r="BE155" i="9"/>
  <c r="CR167" i="9"/>
  <c r="CR165" i="9" s="1"/>
  <c r="CR119" i="9"/>
  <c r="CR118" i="9" s="1"/>
  <c r="BX95" i="9"/>
  <c r="BE95" i="9"/>
  <c r="CP95" i="9"/>
  <c r="CR59" i="9"/>
  <c r="CR247" i="9"/>
  <c r="BZ24" i="9"/>
  <c r="CS19" i="9"/>
  <c r="CS16" i="9"/>
  <c r="CR24" i="9"/>
  <c r="CR164" i="9"/>
  <c r="CT10" i="9"/>
  <c r="BX155" i="9"/>
  <c r="CR23" i="9"/>
  <c r="CS15" i="9"/>
  <c r="CQ154" i="9"/>
  <c r="CQ97" i="9"/>
  <c r="CQ157" i="9"/>
  <c r="CQ99" i="9"/>
  <c r="CS17" i="9"/>
  <c r="CS67" i="9" s="1"/>
  <c r="CS78" i="9" s="1"/>
  <c r="CR111" i="9"/>
  <c r="CR115" i="9" s="1"/>
  <c r="CR128" i="9"/>
  <c r="BZ23" i="9"/>
  <c r="CQ156" i="9"/>
  <c r="CQ96" i="9"/>
  <c r="CQ153" i="9"/>
  <c r="CQ87" i="9"/>
  <c r="CQ98" i="9"/>
  <c r="BF96" i="9"/>
  <c r="BF156" i="9"/>
  <c r="BF87" i="9"/>
  <c r="BF153" i="9"/>
  <c r="CS21" i="9"/>
  <c r="CS71" i="9" s="1"/>
  <c r="BY156" i="9"/>
  <c r="BY153" i="9"/>
  <c r="BY96" i="9"/>
  <c r="BY87" i="9"/>
  <c r="BY98" i="9"/>
  <c r="CR92" i="9"/>
  <c r="CR127" i="9"/>
  <c r="CS9" i="9"/>
  <c r="CR84" i="9"/>
  <c r="CR93" i="9"/>
  <c r="CR126" i="9"/>
  <c r="CR129" i="9"/>
  <c r="CR130" i="9"/>
  <c r="CR83" i="9"/>
  <c r="CR163" i="9"/>
  <c r="CR49" i="9"/>
  <c r="CR159" i="9"/>
  <c r="CT12" i="9"/>
  <c r="CR246" i="9"/>
  <c r="CT18" i="9"/>
  <c r="CS150" i="9"/>
  <c r="CR245" i="9"/>
  <c r="CR63" i="9"/>
  <c r="CR61" i="9" s="1"/>
  <c r="CS14" i="9"/>
  <c r="BF154" i="9"/>
  <c r="BF157" i="9"/>
  <c r="BF97" i="9"/>
  <c r="BF99" i="9"/>
  <c r="BZ162" i="9"/>
  <c r="BZ161" i="9" s="1"/>
  <c r="CT13" i="9"/>
  <c r="CT166" i="9" s="1"/>
  <c r="CS166" i="9"/>
  <c r="BY157" i="9"/>
  <c r="BY154" i="9"/>
  <c r="BY97" i="9"/>
  <c r="BY99" i="9"/>
  <c r="BZ146" i="9"/>
  <c r="BZ63" i="9"/>
  <c r="BZ61" i="9" s="1"/>
  <c r="CS20" i="9"/>
  <c r="CR52" i="9"/>
  <c r="D598" i="59"/>
  <c r="F640" i="59"/>
  <c r="D640" i="59" s="1"/>
  <c r="D599" i="59"/>
  <c r="F641" i="59"/>
  <c r="D641" i="59" s="1"/>
  <c r="AA754" i="59"/>
  <c r="Y754" i="59"/>
  <c r="V754" i="59"/>
  <c r="T710" i="59"/>
  <c r="AC754" i="59"/>
  <c r="Z731" i="59"/>
  <c r="Z692" i="59"/>
  <c r="Z752" i="59"/>
  <c r="Z734" i="59"/>
  <c r="V733" i="59"/>
  <c r="T692" i="59"/>
  <c r="Z713" i="59"/>
  <c r="Y733" i="59"/>
  <c r="T755" i="59"/>
  <c r="W712" i="59"/>
  <c r="AC712" i="59"/>
  <c r="AD710" i="59"/>
  <c r="U755" i="59"/>
  <c r="AD691" i="59"/>
  <c r="S692" i="59"/>
  <c r="Z733" i="59"/>
  <c r="AB733" i="59"/>
  <c r="AD754" i="59"/>
  <c r="S752" i="59"/>
  <c r="W710" i="59"/>
  <c r="X755" i="59"/>
  <c r="Y691" i="59"/>
  <c r="S733" i="59"/>
  <c r="T734" i="59"/>
  <c r="AC733" i="59"/>
  <c r="AD734" i="59"/>
  <c r="AB710" i="59"/>
  <c r="AD755" i="59"/>
  <c r="S691" i="59"/>
  <c r="Y755" i="59"/>
  <c r="AA691" i="59"/>
  <c r="Y731" i="59"/>
  <c r="Y692" i="59"/>
  <c r="AB731" i="59"/>
  <c r="AC689" i="59"/>
  <c r="V755" i="59"/>
  <c r="Z712" i="59"/>
  <c r="U752" i="59"/>
  <c r="S754" i="59"/>
  <c r="W713" i="59"/>
  <c r="AA713" i="59"/>
  <c r="AB692" i="59"/>
  <c r="AD689" i="59"/>
  <c r="AA731" i="59"/>
  <c r="AD752" i="59"/>
  <c r="W734" i="59"/>
  <c r="AB712" i="59"/>
  <c r="U712" i="59"/>
  <c r="AA734" i="59"/>
  <c r="V734" i="59"/>
  <c r="AC691" i="59"/>
  <c r="AC731" i="59"/>
  <c r="AA755" i="59"/>
  <c r="AD733" i="59"/>
  <c r="AD731" i="59"/>
  <c r="Z754" i="59"/>
  <c r="Y752" i="59"/>
  <c r="AB713" i="59"/>
  <c r="T689" i="59"/>
  <c r="V710" i="59"/>
  <c r="U731" i="59"/>
  <c r="AB754" i="59"/>
  <c r="X691" i="59"/>
  <c r="W689" i="59"/>
  <c r="AB755" i="59"/>
  <c r="AC734" i="59"/>
  <c r="X731" i="59"/>
  <c r="S734" i="59"/>
  <c r="X710" i="59"/>
  <c r="AC755" i="59"/>
  <c r="U733" i="59"/>
  <c r="W731" i="59"/>
  <c r="W754" i="59"/>
  <c r="X692" i="59"/>
  <c r="W691" i="59"/>
  <c r="W733" i="59"/>
  <c r="AB689" i="59"/>
  <c r="X712" i="59"/>
  <c r="T731" i="59"/>
  <c r="AC752" i="59"/>
  <c r="Y734" i="59"/>
  <c r="V691" i="59"/>
  <c r="T752" i="59"/>
  <c r="U710" i="59"/>
  <c r="AB734" i="59"/>
  <c r="V689" i="59"/>
  <c r="X752" i="59"/>
  <c r="Y712" i="59"/>
  <c r="AD712" i="59"/>
  <c r="AA692" i="59"/>
  <c r="V692" i="59"/>
  <c r="AB752" i="59"/>
  <c r="X734" i="59"/>
  <c r="X754" i="59"/>
  <c r="AA710" i="59"/>
  <c r="AD692" i="59"/>
  <c r="T733" i="59"/>
  <c r="W755" i="59"/>
  <c r="AA733" i="59"/>
  <c r="U734" i="59"/>
  <c r="AC692" i="59"/>
  <c r="S689" i="59"/>
  <c r="T754" i="59"/>
  <c r="T712" i="59"/>
  <c r="Y689" i="59"/>
  <c r="S710" i="59"/>
  <c r="U691" i="59"/>
  <c r="AA752" i="59"/>
  <c r="U692" i="59"/>
  <c r="W752" i="59"/>
  <c r="U754" i="59"/>
  <c r="X689" i="59"/>
  <c r="V713" i="59"/>
  <c r="U689" i="59"/>
  <c r="X733" i="59"/>
  <c r="W692" i="59"/>
  <c r="AC713" i="59"/>
  <c r="AD713" i="59"/>
  <c r="AB691" i="59"/>
  <c r="S731" i="59"/>
  <c r="Y710" i="59"/>
  <c r="X713" i="59"/>
  <c r="T691" i="59"/>
  <c r="T713" i="59"/>
  <c r="AA712" i="59"/>
  <c r="AA689" i="59"/>
  <c r="AC710" i="59"/>
  <c r="Y713" i="59"/>
  <c r="S713" i="59"/>
  <c r="U713" i="59"/>
  <c r="Z755" i="59"/>
  <c r="Z710" i="59"/>
  <c r="S755" i="59"/>
  <c r="Z691" i="59"/>
  <c r="V712" i="59"/>
  <c r="Z689" i="59"/>
  <c r="V752" i="59"/>
  <c r="V731" i="59"/>
  <c r="S712" i="59"/>
  <c r="K30" i="8"/>
  <c r="AR87" i="52"/>
  <c r="AQ87" i="52"/>
  <c r="AS87" i="52"/>
  <c r="AT87" i="52"/>
  <c r="AO87" i="52"/>
  <c r="B252" i="52"/>
  <c r="AN87" i="52"/>
  <c r="AJ88" i="52"/>
  <c r="AI88" i="52"/>
  <c r="AH88" i="52"/>
  <c r="AG88" i="52"/>
  <c r="AF88" i="52"/>
  <c r="AL88" i="52"/>
  <c r="AK88" i="52"/>
  <c r="AP87" i="52"/>
  <c r="B251" i="52"/>
  <c r="AO30" i="8"/>
  <c r="AG30" i="8"/>
  <c r="AM30" i="8"/>
  <c r="AE30" i="8"/>
  <c r="AF30" i="8"/>
  <c r="AN30" i="8"/>
  <c r="I30" i="8"/>
  <c r="AH30" i="8"/>
  <c r="AR30" i="8"/>
  <c r="AQ30" i="8"/>
  <c r="AI30" i="8"/>
  <c r="J30" i="8"/>
  <c r="AJ30" i="8"/>
  <c r="L30" i="8"/>
  <c r="F30" i="8"/>
  <c r="D556" i="59"/>
  <c r="F577" i="59"/>
  <c r="AJ150" i="9"/>
  <c r="BY150" i="9"/>
  <c r="CR146" i="9"/>
  <c r="AL146" i="9"/>
  <c r="AL87" i="9"/>
  <c r="AL150" i="9"/>
  <c r="AL153" i="9"/>
  <c r="BZ150" i="9"/>
  <c r="AL30" i="8"/>
  <c r="AD30" i="8"/>
  <c r="G30" i="8"/>
  <c r="F578" i="59"/>
  <c r="D557" i="59"/>
  <c r="H30" i="8"/>
  <c r="M46" i="91" s="1"/>
  <c r="D576" i="59"/>
  <c r="F618" i="59"/>
  <c r="D618" i="59" s="1"/>
  <c r="AP30" i="8"/>
  <c r="B508" i="54"/>
  <c r="B45" i="54"/>
  <c r="V387" i="59" s="1"/>
  <c r="BB190" i="52" l="1"/>
  <c r="BB191" i="52"/>
  <c r="CT150" i="9"/>
  <c r="CT58" i="9"/>
  <c r="P46" i="91"/>
  <c r="Q46" i="91"/>
  <c r="Z406" i="59"/>
  <c r="AC406" i="59"/>
  <c r="AD406" i="59"/>
  <c r="AA406" i="59"/>
  <c r="AB406" i="59"/>
  <c r="S424" i="59"/>
  <c r="Y406" i="59"/>
  <c r="Y416" i="59"/>
  <c r="W424" i="59"/>
  <c r="T424" i="59"/>
  <c r="X425" i="59"/>
  <c r="W406" i="59"/>
  <c r="T406" i="59"/>
  <c r="Y424" i="59"/>
  <c r="V424" i="59"/>
  <c r="T425" i="59"/>
  <c r="V406" i="59"/>
  <c r="S425" i="59"/>
  <c r="V425" i="59"/>
  <c r="S419" i="59"/>
  <c r="X406" i="59"/>
  <c r="X424" i="59"/>
  <c r="Y425" i="59"/>
  <c r="V419" i="59"/>
  <c r="U424" i="59"/>
  <c r="W425" i="59"/>
  <c r="W419" i="59"/>
  <c r="AD382" i="59"/>
  <c r="U419" i="59"/>
  <c r="X419" i="59"/>
  <c r="Y419" i="59"/>
  <c r="U406" i="59"/>
  <c r="U425" i="59"/>
  <c r="T419" i="59"/>
  <c r="Y413" i="59"/>
  <c r="AB382" i="59"/>
  <c r="Z382" i="59"/>
  <c r="T382" i="59"/>
  <c r="W382" i="59"/>
  <c r="S406" i="59"/>
  <c r="V382" i="59"/>
  <c r="AA382" i="59"/>
  <c r="Y382" i="59"/>
  <c r="U382" i="59"/>
  <c r="X382" i="59"/>
  <c r="AC382" i="59"/>
  <c r="S382" i="59"/>
  <c r="S416" i="59"/>
  <c r="V408" i="59"/>
  <c r="T414" i="59"/>
  <c r="U405" i="59"/>
  <c r="W411" i="59"/>
  <c r="T415" i="59"/>
  <c r="S412" i="59"/>
  <c r="T407" i="59"/>
  <c r="T411" i="59"/>
  <c r="Y407" i="59"/>
  <c r="W413" i="59"/>
  <c r="W408" i="59"/>
  <c r="U414" i="59"/>
  <c r="U420" i="59"/>
  <c r="U421" i="59"/>
  <c r="Y417" i="59"/>
  <c r="X421" i="59"/>
  <c r="T410" i="59"/>
  <c r="X405" i="59"/>
  <c r="W412" i="59"/>
  <c r="U409" i="59"/>
  <c r="U416" i="59"/>
  <c r="Y410" i="59"/>
  <c r="Y408" i="59"/>
  <c r="X414" i="59"/>
  <c r="V407" i="59"/>
  <c r="T408" i="59"/>
  <c r="V412" i="59"/>
  <c r="S420" i="59"/>
  <c r="U415" i="59"/>
  <c r="X417" i="59"/>
  <c r="T405" i="59"/>
  <c r="Y414" i="59"/>
  <c r="S414" i="59"/>
  <c r="V413" i="59"/>
  <c r="Y421" i="59"/>
  <c r="T416" i="59"/>
  <c r="S421" i="59"/>
  <c r="V409" i="59"/>
  <c r="S405" i="59"/>
  <c r="V420" i="59"/>
  <c r="W415" i="59"/>
  <c r="S417" i="59"/>
  <c r="X410" i="59"/>
  <c r="X415" i="59"/>
  <c r="X411" i="59"/>
  <c r="X409" i="59"/>
  <c r="T420" i="59"/>
  <c r="V421" i="59"/>
  <c r="S409" i="59"/>
  <c r="V405" i="59"/>
  <c r="S411" i="59"/>
  <c r="W407" i="59"/>
  <c r="S410" i="59"/>
  <c r="W417" i="59"/>
  <c r="U413" i="59"/>
  <c r="T412" i="59"/>
  <c r="W420" i="59"/>
  <c r="T417" i="59"/>
  <c r="W416" i="59"/>
  <c r="Y405" i="59"/>
  <c r="S413" i="59"/>
  <c r="S415" i="59"/>
  <c r="U408" i="59"/>
  <c r="Y412" i="59"/>
  <c r="T421" i="59"/>
  <c r="W410" i="59"/>
  <c r="U410" i="59"/>
  <c r="V414" i="59"/>
  <c r="X407" i="59"/>
  <c r="V417" i="59"/>
  <c r="S407" i="59"/>
  <c r="V411" i="59"/>
  <c r="W421" i="59"/>
  <c r="U412" i="59"/>
  <c r="W405" i="59"/>
  <c r="Y415" i="59"/>
  <c r="W414" i="59"/>
  <c r="V415" i="59"/>
  <c r="T409" i="59"/>
  <c r="V416" i="59"/>
  <c r="Y409" i="59"/>
  <c r="X408" i="59"/>
  <c r="U407" i="59"/>
  <c r="S408" i="59"/>
  <c r="X412" i="59"/>
  <c r="W409" i="59"/>
  <c r="V410" i="59"/>
  <c r="Y420" i="59"/>
  <c r="U411" i="59"/>
  <c r="X413" i="59"/>
  <c r="Y411" i="59"/>
  <c r="T413" i="59"/>
  <c r="X420" i="59"/>
  <c r="U417" i="59"/>
  <c r="X416" i="59"/>
  <c r="S395" i="59"/>
  <c r="AA419" i="59"/>
  <c r="X395" i="59"/>
  <c r="U395" i="59"/>
  <c r="AB395" i="59"/>
  <c r="Z395" i="59"/>
  <c r="AD395" i="59"/>
  <c r="AC419" i="59"/>
  <c r="AB419" i="59"/>
  <c r="W395" i="59"/>
  <c r="AC395" i="59"/>
  <c r="T395" i="59"/>
  <c r="AA395" i="59"/>
  <c r="Y395" i="59"/>
  <c r="AD419" i="59"/>
  <c r="V395" i="59"/>
  <c r="Z419" i="59"/>
  <c r="Y672" i="59"/>
  <c r="CR76" i="9"/>
  <c r="CR75" i="9" s="1"/>
  <c r="CS201" i="9"/>
  <c r="CS197" i="9"/>
  <c r="BZ65" i="9"/>
  <c r="BZ64" i="9" s="1"/>
  <c r="BZ76" i="9"/>
  <c r="BZ75" i="9" s="1"/>
  <c r="CR65" i="9"/>
  <c r="CR64" i="9" s="1"/>
  <c r="CS195" i="9"/>
  <c r="CS140" i="9"/>
  <c r="CS139" i="9" s="1"/>
  <c r="CS72" i="9"/>
  <c r="CS73" i="9"/>
  <c r="CS79" i="9"/>
  <c r="CS77" i="9" s="1"/>
  <c r="CS68" i="9"/>
  <c r="CS66" i="9" s="1"/>
  <c r="CR249" i="9"/>
  <c r="CR244" i="9" s="1"/>
  <c r="CR237" i="9" s="1"/>
  <c r="B108" i="52"/>
  <c r="B130" i="52"/>
  <c r="Q118" i="54"/>
  <c r="R118" i="54" s="1"/>
  <c r="S118" i="54" s="1"/>
  <c r="B287" i="52"/>
  <c r="B66" i="52"/>
  <c r="B241" i="52"/>
  <c r="B259" i="52"/>
  <c r="B45" i="52"/>
  <c r="B48" i="52"/>
  <c r="B24" i="52"/>
  <c r="B87" i="52"/>
  <c r="B236" i="52"/>
  <c r="S133" i="54"/>
  <c r="AB33" i="10"/>
  <c r="BX32" i="10"/>
  <c r="BY32" i="10" s="1"/>
  <c r="T387" i="59"/>
  <c r="AC383" i="59"/>
  <c r="AA383" i="59"/>
  <c r="X384" i="59"/>
  <c r="Y387" i="59"/>
  <c r="S383" i="59"/>
  <c r="AB387" i="59"/>
  <c r="V383" i="59"/>
  <c r="W383" i="59"/>
  <c r="T384" i="59"/>
  <c r="X387" i="59"/>
  <c r="V384" i="59"/>
  <c r="U383" i="59"/>
  <c r="T383" i="59"/>
  <c r="X383" i="59"/>
  <c r="Y383" i="59"/>
  <c r="Z384" i="59"/>
  <c r="AC384" i="59"/>
  <c r="U387" i="59"/>
  <c r="U384" i="59"/>
  <c r="AB383" i="59"/>
  <c r="Y384" i="59"/>
  <c r="S387" i="59"/>
  <c r="AD383" i="59"/>
  <c r="AC387" i="59"/>
  <c r="Z387" i="59"/>
  <c r="AB384" i="59"/>
  <c r="AA387" i="59"/>
  <c r="W384" i="59"/>
  <c r="CS245" i="9"/>
  <c r="CS248" i="9"/>
  <c r="AD384" i="59"/>
  <c r="W387" i="59"/>
  <c r="AD387" i="59"/>
  <c r="AA384" i="59"/>
  <c r="Z383" i="59"/>
  <c r="S384" i="59"/>
  <c r="BF155" i="9"/>
  <c r="CQ155" i="9"/>
  <c r="CS52" i="9"/>
  <c r="CS119" i="9"/>
  <c r="CS118" i="9" s="1"/>
  <c r="BY155" i="9"/>
  <c r="CT20" i="9"/>
  <c r="BY95" i="9"/>
  <c r="CS164" i="9"/>
  <c r="CS167" i="9"/>
  <c r="CS165" i="9" s="1"/>
  <c r="CS246" i="9"/>
  <c r="CS23" i="9"/>
  <c r="CT15" i="9"/>
  <c r="CT19" i="9"/>
  <c r="BF95" i="9"/>
  <c r="BZ153" i="9"/>
  <c r="BZ87" i="9"/>
  <c r="BZ96" i="9"/>
  <c r="BZ156" i="9"/>
  <c r="BZ98" i="9"/>
  <c r="CR87" i="9"/>
  <c r="CR156" i="9"/>
  <c r="CR96" i="9"/>
  <c r="CR153" i="9"/>
  <c r="CR98" i="9"/>
  <c r="CR162" i="9"/>
  <c r="CR161" i="9" s="1"/>
  <c r="CT21" i="9"/>
  <c r="CT71" i="9" s="1"/>
  <c r="BZ157" i="9"/>
  <c r="BZ154" i="9"/>
  <c r="BZ97" i="9"/>
  <c r="BZ99" i="9"/>
  <c r="CT14" i="9"/>
  <c r="CS63" i="9"/>
  <c r="CS61" i="9" s="1"/>
  <c r="CS146" i="9"/>
  <c r="CS84" i="9"/>
  <c r="CS129" i="9"/>
  <c r="CS93" i="9"/>
  <c r="CT9" i="9"/>
  <c r="CS130" i="9"/>
  <c r="CS163" i="9"/>
  <c r="CS126" i="9"/>
  <c r="CS92" i="9"/>
  <c r="CS127" i="9"/>
  <c r="CS83" i="9"/>
  <c r="CS49" i="9"/>
  <c r="CS159" i="9"/>
  <c r="CS247" i="9"/>
  <c r="CR154" i="9"/>
  <c r="CR97" i="9"/>
  <c r="CR157" i="9"/>
  <c r="CR99" i="9"/>
  <c r="CQ95" i="9"/>
  <c r="CS111" i="9"/>
  <c r="CS115" i="9" s="1"/>
  <c r="CT17" i="9"/>
  <c r="CT67" i="9" s="1"/>
  <c r="CT78" i="9" s="1"/>
  <c r="CS128" i="9"/>
  <c r="CS59" i="9"/>
  <c r="CT16" i="9"/>
  <c r="CS24" i="9"/>
  <c r="Z672" i="59"/>
  <c r="W776" i="59"/>
  <c r="Z775" i="59"/>
  <c r="AC775" i="59"/>
  <c r="AB775" i="59"/>
  <c r="T775" i="59"/>
  <c r="AA773" i="59"/>
  <c r="U776" i="59"/>
  <c r="AB773" i="59"/>
  <c r="U775" i="59"/>
  <c r="V776" i="59"/>
  <c r="W775" i="59"/>
  <c r="T773" i="59"/>
  <c r="AD773" i="59"/>
  <c r="AC773" i="59"/>
  <c r="U773" i="59"/>
  <c r="AA776" i="59"/>
  <c r="V775" i="59"/>
  <c r="X776" i="59"/>
  <c r="AB776" i="59"/>
  <c r="Z776" i="59"/>
  <c r="Y773" i="59"/>
  <c r="Y776" i="59"/>
  <c r="Z773" i="59"/>
  <c r="X773" i="59"/>
  <c r="AD776" i="59"/>
  <c r="W773" i="59"/>
  <c r="X775" i="59"/>
  <c r="AA775" i="59"/>
  <c r="S776" i="59"/>
  <c r="S773" i="59"/>
  <c r="V773" i="59"/>
  <c r="Y775" i="59"/>
  <c r="AD775" i="59"/>
  <c r="T776" i="59"/>
  <c r="AC776" i="59"/>
  <c r="S775" i="59"/>
  <c r="AD405" i="59"/>
  <c r="AD410" i="59"/>
  <c r="AC417" i="59"/>
  <c r="Z405" i="59"/>
  <c r="AB417" i="59"/>
  <c r="Z416" i="59"/>
  <c r="Z407" i="59"/>
  <c r="AA416" i="59"/>
  <c r="AA407" i="59"/>
  <c r="AB405" i="59"/>
  <c r="AD407" i="59"/>
  <c r="Z417" i="59"/>
  <c r="AA417" i="59"/>
  <c r="AA405" i="59"/>
  <c r="AB407" i="59"/>
  <c r="AC405" i="59"/>
  <c r="AD416" i="59"/>
  <c r="AC407" i="59"/>
  <c r="AA410" i="59"/>
  <c r="Z410" i="59"/>
  <c r="AD417" i="59"/>
  <c r="AC416" i="59"/>
  <c r="AB410" i="59"/>
  <c r="AC410" i="59"/>
  <c r="AB416" i="59"/>
  <c r="AL89" i="52"/>
  <c r="AK89" i="52"/>
  <c r="AJ89" i="52"/>
  <c r="AI89" i="52"/>
  <c r="AH89" i="52"/>
  <c r="AG89" i="52"/>
  <c r="AF89" i="52"/>
  <c r="S381" i="59"/>
  <c r="V381" i="59"/>
  <c r="T381" i="59"/>
  <c r="Y381" i="59"/>
  <c r="X381" i="59"/>
  <c r="W381" i="59"/>
  <c r="U381" i="59"/>
  <c r="F619" i="59"/>
  <c r="D619" i="59" s="1"/>
  <c r="D577" i="59"/>
  <c r="BF53" i="9" s="1"/>
  <c r="F620" i="59"/>
  <c r="D620" i="59" s="1"/>
  <c r="D578" i="59"/>
  <c r="Z452" i="59" l="1"/>
  <c r="AA452" i="59"/>
  <c r="AB452" i="59"/>
  <c r="V452" i="59"/>
  <c r="S452" i="59"/>
  <c r="U452" i="59"/>
  <c r="Y452" i="59"/>
  <c r="X452" i="59"/>
  <c r="T452" i="59"/>
  <c r="AD452" i="59"/>
  <c r="W452" i="59"/>
  <c r="AC452" i="59"/>
  <c r="CS76" i="9"/>
  <c r="CS75" i="9" s="1"/>
  <c r="CS65" i="9"/>
  <c r="CS64" i="9" s="1"/>
  <c r="CT201" i="9"/>
  <c r="CT197" i="9"/>
  <c r="CT195" i="9"/>
  <c r="CT72" i="9"/>
  <c r="CT73" i="9"/>
  <c r="CT68" i="9"/>
  <c r="CT66" i="9" s="1"/>
  <c r="CT79" i="9"/>
  <c r="CT77" i="9" s="1"/>
  <c r="CS249" i="9"/>
  <c r="CS244" i="9" s="1"/>
  <c r="CS237" i="9" s="1"/>
  <c r="CT111" i="9"/>
  <c r="CT115" i="9" s="1"/>
  <c r="B109" i="52"/>
  <c r="B131" i="52"/>
  <c r="U453" i="59"/>
  <c r="AC453" i="59"/>
  <c r="B67" i="52"/>
  <c r="B88" i="52"/>
  <c r="B70" i="52"/>
  <c r="B47" i="52"/>
  <c r="B46" i="52"/>
  <c r="B265" i="52"/>
  <c r="B247" i="52"/>
  <c r="B288" i="52"/>
  <c r="B291" i="52"/>
  <c r="B242" i="52"/>
  <c r="B260" i="52"/>
  <c r="T118" i="54"/>
  <c r="T133" i="54"/>
  <c r="Y453" i="59"/>
  <c r="V453" i="59"/>
  <c r="S453" i="59"/>
  <c r="W453" i="59"/>
  <c r="AA453" i="59"/>
  <c r="X453" i="59"/>
  <c r="Z453" i="59"/>
  <c r="T453" i="59"/>
  <c r="AD453" i="59"/>
  <c r="Y451" i="59"/>
  <c r="AB453" i="59"/>
  <c r="V451" i="59"/>
  <c r="T451" i="59"/>
  <c r="S451" i="59"/>
  <c r="X451" i="59"/>
  <c r="W451" i="59"/>
  <c r="U451" i="59"/>
  <c r="AB34" i="10"/>
  <c r="BX33" i="10"/>
  <c r="BY33" i="10" s="1"/>
  <c r="CT247" i="9"/>
  <c r="CT140" i="9"/>
  <c r="CT139" i="9" s="1"/>
  <c r="CT119" i="9"/>
  <c r="CT118" i="9" s="1"/>
  <c r="CT248" i="9"/>
  <c r="CT246" i="9"/>
  <c r="CT59" i="9"/>
  <c r="CT128" i="9"/>
  <c r="CT245" i="9"/>
  <c r="CT167" i="9"/>
  <c r="CT165" i="9" s="1"/>
  <c r="CT52" i="9"/>
  <c r="CT164" i="9"/>
  <c r="BZ155" i="9"/>
  <c r="CS97" i="9"/>
  <c r="CS157" i="9"/>
  <c r="CS154" i="9"/>
  <c r="CS99" i="9"/>
  <c r="CS162" i="9"/>
  <c r="CS161" i="9" s="1"/>
  <c r="CT24" i="9"/>
  <c r="CT92" i="9"/>
  <c r="CT84" i="9"/>
  <c r="CT129" i="9"/>
  <c r="CT130" i="9"/>
  <c r="CT83" i="9"/>
  <c r="CT93" i="9"/>
  <c r="CT163" i="9"/>
  <c r="CT126" i="9"/>
  <c r="CT127" i="9"/>
  <c r="CT49" i="9"/>
  <c r="CT159" i="9"/>
  <c r="CT23" i="9"/>
  <c r="CR95" i="9"/>
  <c r="CS153" i="9"/>
  <c r="CS96" i="9"/>
  <c r="CS87" i="9"/>
  <c r="CS156" i="9"/>
  <c r="CS98" i="9"/>
  <c r="BZ95" i="9"/>
  <c r="CT63" i="9"/>
  <c r="CT61" i="9" s="1"/>
  <c r="CT146" i="9"/>
  <c r="CR155" i="9"/>
  <c r="AV53" i="9"/>
  <c r="BD53" i="9"/>
  <c r="BE53" i="9"/>
  <c r="AX53" i="9"/>
  <c r="AZ53" i="9"/>
  <c r="AW53" i="9"/>
  <c r="AU53" i="9"/>
  <c r="BB53" i="9"/>
  <c r="AY53" i="9"/>
  <c r="BC53" i="9"/>
  <c r="BA53" i="9"/>
  <c r="AH90" i="52"/>
  <c r="AG90" i="52"/>
  <c r="AF90" i="52"/>
  <c r="AL90" i="52"/>
  <c r="AK90" i="52"/>
  <c r="AJ90" i="52"/>
  <c r="AI90" i="52"/>
  <c r="AC90" i="52"/>
  <c r="Y90" i="52"/>
  <c r="Z90" i="52"/>
  <c r="X90" i="52"/>
  <c r="AB90" i="52"/>
  <c r="AA90" i="52"/>
  <c r="AD90" i="52"/>
  <c r="CT65" i="9" l="1"/>
  <c r="CT64" i="9" s="1"/>
  <c r="CT76" i="9"/>
  <c r="CT75" i="9" s="1"/>
  <c r="CT249" i="9"/>
  <c r="CT244" i="9" s="1"/>
  <c r="CT237" i="9" s="1"/>
  <c r="B132" i="52"/>
  <c r="B253" i="52"/>
  <c r="B92" i="52"/>
  <c r="B110" i="52"/>
  <c r="B69" i="52"/>
  <c r="B68" i="52"/>
  <c r="B89" i="52"/>
  <c r="B290" i="52"/>
  <c r="B289" i="52"/>
  <c r="B266" i="52"/>
  <c r="B248" i="52"/>
  <c r="U133" i="54"/>
  <c r="U118" i="54"/>
  <c r="AB35" i="10"/>
  <c r="BX34" i="10"/>
  <c r="BY34" i="10" s="1"/>
  <c r="AA672" i="59"/>
  <c r="CT162" i="9"/>
  <c r="CT161" i="9" s="1"/>
  <c r="Z381" i="59"/>
  <c r="Z451" i="59" s="1"/>
  <c r="CS155" i="9"/>
  <c r="CT96" i="9"/>
  <c r="CT153" i="9"/>
  <c r="CT87" i="9"/>
  <c r="CT156" i="9"/>
  <c r="CT98" i="9"/>
  <c r="CT157" i="9"/>
  <c r="CT154" i="9"/>
  <c r="CT97" i="9"/>
  <c r="CT99" i="9"/>
  <c r="CS95" i="9"/>
  <c r="AK91" i="52"/>
  <c r="AB91" i="52"/>
  <c r="AJ91" i="52"/>
  <c r="AA91" i="52"/>
  <c r="AI91" i="52"/>
  <c r="Z91" i="52"/>
  <c r="AH91" i="52"/>
  <c r="Y91" i="52"/>
  <c r="AG91" i="52"/>
  <c r="X91" i="52"/>
  <c r="AF91" i="52"/>
  <c r="AD91" i="52"/>
  <c r="AL91" i="52"/>
  <c r="AC91" i="52"/>
  <c r="AB672" i="59"/>
  <c r="AO90" i="52"/>
  <c r="AS90" i="52"/>
  <c r="AN90" i="52"/>
  <c r="AQ90" i="52"/>
  <c r="AP90" i="52"/>
  <c r="AR90" i="52"/>
  <c r="AT90" i="52"/>
  <c r="BX36" i="10" l="1"/>
  <c r="BY36" i="10" s="1"/>
  <c r="B133" i="52"/>
  <c r="B136" i="52"/>
  <c r="B254" i="52"/>
  <c r="B111" i="52"/>
  <c r="B90" i="52"/>
  <c r="B91" i="52"/>
  <c r="B114" i="52"/>
  <c r="B25" i="52"/>
  <c r="V118" i="54"/>
  <c r="V133" i="54"/>
  <c r="AB36" i="10"/>
  <c r="BX37" i="10" s="1"/>
  <c r="BY37" i="10" s="1"/>
  <c r="BX35" i="10"/>
  <c r="BY35" i="10" s="1"/>
  <c r="AA381" i="59"/>
  <c r="AA451" i="59" s="1"/>
  <c r="CT155" i="9"/>
  <c r="CT95" i="9"/>
  <c r="AS91" i="52"/>
  <c r="AT91" i="52"/>
  <c r="AN91" i="52"/>
  <c r="AO91" i="52"/>
  <c r="AP91" i="52"/>
  <c r="AK92" i="52"/>
  <c r="AB92" i="52"/>
  <c r="AJ92" i="52"/>
  <c r="AA92" i="52"/>
  <c r="AI92" i="52"/>
  <c r="Z92" i="52"/>
  <c r="AH92" i="52"/>
  <c r="Y92" i="52"/>
  <c r="AG92" i="52"/>
  <c r="X92" i="52"/>
  <c r="AF92" i="52"/>
  <c r="AD92" i="52"/>
  <c r="AL92" i="52"/>
  <c r="AC92" i="52"/>
  <c r="AQ91" i="52"/>
  <c r="AR91" i="52"/>
  <c r="AD672" i="59"/>
  <c r="AC672" i="59"/>
  <c r="B135" i="52" l="1"/>
  <c r="B134" i="52"/>
  <c r="B26" i="52"/>
  <c r="B112" i="52"/>
  <c r="B113" i="52"/>
  <c r="AB381" i="59"/>
  <c r="AB451" i="59" s="1"/>
  <c r="AS92" i="52"/>
  <c r="AQ92" i="52"/>
  <c r="AO92" i="52"/>
  <c r="AT92" i="52"/>
  <c r="AP92" i="52"/>
  <c r="AR92" i="52"/>
  <c r="AN92" i="52"/>
  <c r="W394" i="59"/>
  <c r="V394" i="59"/>
  <c r="U394" i="59"/>
  <c r="T394" i="59"/>
  <c r="S394" i="59"/>
  <c r="X394" i="59"/>
  <c r="X392" i="59"/>
  <c r="X462" i="59" s="1"/>
  <c r="S392" i="59"/>
  <c r="S462" i="59" s="1"/>
  <c r="W392" i="59"/>
  <c r="W462" i="59" s="1"/>
  <c r="V392" i="59"/>
  <c r="V462" i="59" s="1"/>
  <c r="U392" i="59"/>
  <c r="U462" i="59" s="1"/>
  <c r="T392" i="59"/>
  <c r="T462" i="59" s="1"/>
  <c r="V390" i="59"/>
  <c r="U390" i="59"/>
  <c r="T390" i="59"/>
  <c r="S390" i="59"/>
  <c r="Y390" i="59"/>
  <c r="X390" i="59"/>
  <c r="W390" i="59"/>
  <c r="Y386" i="59"/>
  <c r="Y456" i="59" s="1"/>
  <c r="W386" i="59"/>
  <c r="W456" i="59" s="1"/>
  <c r="V386" i="59"/>
  <c r="V456" i="59" s="1"/>
  <c r="U386" i="59"/>
  <c r="U456" i="59" s="1"/>
  <c r="X386" i="59"/>
  <c r="X456" i="59" s="1"/>
  <c r="T386" i="59"/>
  <c r="T456" i="59" s="1"/>
  <c r="S386" i="59"/>
  <c r="S456" i="59" s="1"/>
  <c r="T389" i="59"/>
  <c r="Y389" i="59"/>
  <c r="S389" i="59"/>
  <c r="X389" i="59"/>
  <c r="W389" i="59"/>
  <c r="V389" i="59"/>
  <c r="U389" i="59"/>
  <c r="V388" i="59"/>
  <c r="U388" i="59"/>
  <c r="W388" i="59"/>
  <c r="T388" i="59"/>
  <c r="S388" i="59"/>
  <c r="Y388" i="59"/>
  <c r="X388" i="59"/>
  <c r="S401" i="59"/>
  <c r="Y401" i="59"/>
  <c r="T401" i="59"/>
  <c r="X401" i="59"/>
  <c r="V401" i="59"/>
  <c r="W401" i="59"/>
  <c r="U401" i="59"/>
  <c r="W393" i="59"/>
  <c r="W463" i="59" s="1"/>
  <c r="V393" i="59"/>
  <c r="V463" i="59" s="1"/>
  <c r="U393" i="59"/>
  <c r="U463" i="59" s="1"/>
  <c r="T393" i="59"/>
  <c r="T463" i="59" s="1"/>
  <c r="X393" i="59"/>
  <c r="X463" i="59" s="1"/>
  <c r="S393" i="59"/>
  <c r="S463" i="59" s="1"/>
  <c r="Y393" i="59"/>
  <c r="Y463" i="59" s="1"/>
  <c r="X398" i="59"/>
  <c r="W398" i="59"/>
  <c r="V398" i="59"/>
  <c r="U398" i="59"/>
  <c r="T398" i="59"/>
  <c r="S398" i="59"/>
  <c r="Y398" i="59"/>
  <c r="W396" i="59"/>
  <c r="V396" i="59"/>
  <c r="U396" i="59"/>
  <c r="T396" i="59"/>
  <c r="S396" i="59"/>
  <c r="Y396" i="59"/>
  <c r="X396" i="59"/>
  <c r="W399" i="59"/>
  <c r="V399" i="59"/>
  <c r="U399" i="59"/>
  <c r="T399" i="59"/>
  <c r="S399" i="59"/>
  <c r="Y399" i="59"/>
  <c r="X399" i="59"/>
  <c r="T391" i="59"/>
  <c r="S391" i="59"/>
  <c r="Y391" i="59"/>
  <c r="X391" i="59"/>
  <c r="V391" i="59"/>
  <c r="W391" i="59"/>
  <c r="U391" i="59"/>
  <c r="X400" i="59"/>
  <c r="V400" i="59"/>
  <c r="U400" i="59"/>
  <c r="T400" i="59"/>
  <c r="Y400" i="59"/>
  <c r="S400" i="59"/>
  <c r="W400" i="59"/>
  <c r="S385" i="59"/>
  <c r="Y385" i="59"/>
  <c r="X385" i="59"/>
  <c r="W385" i="59"/>
  <c r="V385" i="59"/>
  <c r="U385" i="59"/>
  <c r="T385" i="59"/>
  <c r="Q154" i="54" l="1"/>
  <c r="R154" i="54" s="1"/>
  <c r="S154" i="54" s="1"/>
  <c r="T154" i="54" s="1"/>
  <c r="U154" i="54" s="1"/>
  <c r="V154" i="54" s="1"/>
  <c r="Y394" i="59"/>
  <c r="Y392" i="59"/>
  <c r="Y462" i="59" s="1"/>
  <c r="AD381" i="59"/>
  <c r="AD451" i="59" s="1"/>
  <c r="AC381" i="59"/>
  <c r="AC451" i="59" s="1"/>
  <c r="T397" i="59"/>
  <c r="W397" i="59"/>
  <c r="S397" i="59"/>
  <c r="V397" i="59"/>
  <c r="U397" i="59"/>
  <c r="X397" i="59"/>
  <c r="Z400" i="59"/>
  <c r="Z396" i="59"/>
  <c r="Z389" i="59"/>
  <c r="Z390" i="59"/>
  <c r="Z401" i="59"/>
  <c r="Z388" i="59"/>
  <c r="Z399" i="59"/>
  <c r="Z386" i="59"/>
  <c r="Z456" i="59" s="1"/>
  <c r="Z398" i="59"/>
  <c r="Z393" i="59"/>
  <c r="Z463" i="59" s="1"/>
  <c r="Z391" i="59"/>
  <c r="Z385" i="59"/>
  <c r="L154" i="54" l="1"/>
  <c r="P154" i="54"/>
  <c r="N154" i="54"/>
  <c r="O154" i="54"/>
  <c r="M154" i="54"/>
  <c r="K154" i="54"/>
  <c r="Q175" i="54"/>
  <c r="R175" i="54" s="1"/>
  <c r="S175" i="54" s="1"/>
  <c r="T175" i="54" s="1"/>
  <c r="U175" i="54" s="1"/>
  <c r="V175" i="54" s="1"/>
  <c r="Z392" i="59"/>
  <c r="Z462" i="59" s="1"/>
  <c r="Y397" i="59"/>
  <c r="Z394" i="59"/>
  <c r="AA400" i="59"/>
  <c r="AA388" i="59"/>
  <c r="AA386" i="59"/>
  <c r="AA456" i="59" s="1"/>
  <c r="AA401" i="59"/>
  <c r="AA389" i="59"/>
  <c r="AA396" i="59"/>
  <c r="AA393" i="59"/>
  <c r="AA463" i="59" s="1"/>
  <c r="AA390" i="59"/>
  <c r="AA391" i="59"/>
  <c r="AA385" i="59"/>
  <c r="N175" i="54" l="1"/>
  <c r="M175" i="54"/>
  <c r="K175" i="54"/>
  <c r="O175" i="54"/>
  <c r="L175" i="54"/>
  <c r="P175" i="54"/>
  <c r="M196" i="54"/>
  <c r="AA394" i="59"/>
  <c r="Z397" i="59"/>
  <c r="AA392" i="59"/>
  <c r="AA462" i="59" s="1"/>
  <c r="AB400" i="59"/>
  <c r="AB389" i="59"/>
  <c r="AB386" i="59"/>
  <c r="AB456" i="59" s="1"/>
  <c r="AB401" i="59"/>
  <c r="AB393" i="59"/>
  <c r="AB463" i="59" s="1"/>
  <c r="AB390" i="59"/>
  <c r="AB396" i="59"/>
  <c r="AB388" i="59"/>
  <c r="AB391" i="59"/>
  <c r="AB385" i="59"/>
  <c r="M217" i="54" l="1"/>
  <c r="AB392" i="59"/>
  <c r="AB462" i="59" s="1"/>
  <c r="AA397" i="59"/>
  <c r="AB394" i="59"/>
  <c r="AC400" i="59"/>
  <c r="AC388" i="59"/>
  <c r="AC396" i="59"/>
  <c r="AC389" i="59"/>
  <c r="AC393" i="59"/>
  <c r="AC463" i="59" s="1"/>
  <c r="AC390" i="59"/>
  <c r="AC401" i="59"/>
  <c r="AC391" i="59"/>
  <c r="AC385" i="59"/>
  <c r="J223" i="37" l="1"/>
  <c r="J236" i="37" s="1"/>
  <c r="J257" i="37" s="1"/>
  <c r="L303" i="54" s="1"/>
  <c r="O220" i="37"/>
  <c r="O347" i="54"/>
  <c r="K329" i="54"/>
  <c r="S645" i="59" s="1"/>
  <c r="N221" i="37"/>
  <c r="N234" i="37" s="1"/>
  <c r="N255" i="37" s="1"/>
  <c r="P282" i="54" s="1"/>
  <c r="P337" i="54"/>
  <c r="N337" i="54"/>
  <c r="M221" i="37"/>
  <c r="M234" i="37" s="1"/>
  <c r="M255" i="37" s="1"/>
  <c r="O282" i="54" s="1"/>
  <c r="O329" i="54"/>
  <c r="W645" i="59" s="1"/>
  <c r="O334" i="54"/>
  <c r="W650" i="59" s="1"/>
  <c r="M222" i="37"/>
  <c r="M235" i="37" s="1"/>
  <c r="M256" i="37" s="1"/>
  <c r="O261" i="54" s="1"/>
  <c r="P329" i="54"/>
  <c r="X645" i="59" s="1"/>
  <c r="P330" i="54"/>
  <c r="X646" i="59" s="1"/>
  <c r="I224" i="37"/>
  <c r="I237" i="37" s="1"/>
  <c r="I258" i="37" s="1"/>
  <c r="K324" i="54" s="1"/>
  <c r="L337" i="54"/>
  <c r="K347" i="54"/>
  <c r="K223" i="37"/>
  <c r="K236" i="37" s="1"/>
  <c r="K257" i="37" s="1"/>
  <c r="M303" i="54" s="1"/>
  <c r="O331" i="54"/>
  <c r="W647" i="59" s="1"/>
  <c r="I220" i="37"/>
  <c r="I233" i="37" s="1"/>
  <c r="I254" i="37" s="1"/>
  <c r="K240" i="54" s="1"/>
  <c r="N347" i="54"/>
  <c r="K334" i="54"/>
  <c r="S650" i="59" s="1"/>
  <c r="K344" i="54"/>
  <c r="L222" i="37"/>
  <c r="L235" i="37" s="1"/>
  <c r="L256" i="37" s="1"/>
  <c r="N261" i="54" s="1"/>
  <c r="K221" i="37"/>
  <c r="K234" i="37" s="1"/>
  <c r="K255" i="37" s="1"/>
  <c r="M282" i="54" s="1"/>
  <c r="L329" i="54"/>
  <c r="T645" i="59" s="1"/>
  <c r="I222" i="37"/>
  <c r="I235" i="37" s="1"/>
  <c r="I256" i="37" s="1"/>
  <c r="K261" i="54" s="1"/>
  <c r="N223" i="37"/>
  <c r="N236" i="37" s="1"/>
  <c r="N257" i="37" s="1"/>
  <c r="P303" i="54" s="1"/>
  <c r="L334" i="54"/>
  <c r="T650" i="59" s="1"/>
  <c r="M337" i="54"/>
  <c r="N331" i="54"/>
  <c r="V647" i="59" s="1"/>
  <c r="J222" i="37"/>
  <c r="J235" i="37" s="1"/>
  <c r="J256" i="37" s="1"/>
  <c r="L261" i="54" s="1"/>
  <c r="N329" i="54"/>
  <c r="V645" i="59" s="1"/>
  <c r="M223" i="37"/>
  <c r="M236" i="37" s="1"/>
  <c r="M257" i="37" s="1"/>
  <c r="O303" i="54" s="1"/>
  <c r="Q344" i="54"/>
  <c r="R344" i="54" s="1"/>
  <c r="S344" i="54" s="1"/>
  <c r="T344" i="54" s="1"/>
  <c r="U344" i="54" s="1"/>
  <c r="V344" i="54" s="1"/>
  <c r="M330" i="54"/>
  <c r="U646" i="59" s="1"/>
  <c r="M344" i="54"/>
  <c r="K332" i="54"/>
  <c r="S648" i="59" s="1"/>
  <c r="O222" i="37"/>
  <c r="Q334" i="54"/>
  <c r="L221" i="37"/>
  <c r="L234" i="37" s="1"/>
  <c r="L255" i="37" s="1"/>
  <c r="N282" i="54" s="1"/>
  <c r="K331" i="54"/>
  <c r="S647" i="59" s="1"/>
  <c r="I223" i="37"/>
  <c r="I236" i="37" s="1"/>
  <c r="I257" i="37" s="1"/>
  <c r="K303" i="54" s="1"/>
  <c r="M347" i="54"/>
  <c r="N330" i="54"/>
  <c r="V646" i="59" s="1"/>
  <c r="N344" i="54"/>
  <c r="Q332" i="54"/>
  <c r="N332" i="54"/>
  <c r="V648" i="59" s="1"/>
  <c r="N222" i="37"/>
  <c r="N235" i="37" s="1"/>
  <c r="N256" i="37" s="1"/>
  <c r="P261" i="54" s="1"/>
  <c r="O337" i="54"/>
  <c r="M334" i="54"/>
  <c r="U650" i="59" s="1"/>
  <c r="M224" i="37"/>
  <c r="M237" i="37" s="1"/>
  <c r="M258" i="37" s="1"/>
  <c r="O324" i="54" s="1"/>
  <c r="N224" i="37"/>
  <c r="N237" i="37" s="1"/>
  <c r="N258" i="37" s="1"/>
  <c r="P324" i="54" s="1"/>
  <c r="P332" i="54"/>
  <c r="X648" i="59" s="1"/>
  <c r="O221" i="37"/>
  <c r="L331" i="54"/>
  <c r="T647" i="59" s="1"/>
  <c r="M329" i="54"/>
  <c r="U645" i="59" s="1"/>
  <c r="Q329" i="54"/>
  <c r="M220" i="37"/>
  <c r="M233" i="37" s="1"/>
  <c r="M254" i="37" s="1"/>
  <c r="O240" i="54" s="1"/>
  <c r="P334" i="54"/>
  <c r="X650" i="59" s="1"/>
  <c r="AD394" i="59"/>
  <c r="AC394" i="59"/>
  <c r="AC386" i="59"/>
  <c r="AC456" i="59" s="1"/>
  <c r="AB397" i="59"/>
  <c r="AC392" i="59"/>
  <c r="AC462" i="59" s="1"/>
  <c r="AD392" i="59"/>
  <c r="AD462" i="59" s="1"/>
  <c r="AD400" i="59"/>
  <c r="AD401" i="59"/>
  <c r="AD393" i="59"/>
  <c r="AD463" i="59" s="1"/>
  <c r="AD390" i="59"/>
  <c r="AD396" i="59"/>
  <c r="AD389" i="59"/>
  <c r="AD388" i="59"/>
  <c r="AD391" i="59"/>
  <c r="AD385" i="59"/>
  <c r="O223" i="37" l="1"/>
  <c r="O236" i="37" s="1"/>
  <c r="O257" i="37" s="1"/>
  <c r="Q303" i="54" s="1"/>
  <c r="P344" i="54"/>
  <c r="Q330" i="54"/>
  <c r="R330" i="54" s="1"/>
  <c r="K337" i="54"/>
  <c r="J220" i="37"/>
  <c r="J233" i="37" s="1"/>
  <c r="J254" i="37" s="1"/>
  <c r="L240" i="54" s="1"/>
  <c r="L330" i="54"/>
  <c r="T646" i="59" s="1"/>
  <c r="L223" i="37"/>
  <c r="L236" i="37" s="1"/>
  <c r="L257" i="37" s="1"/>
  <c r="N303" i="54" s="1"/>
  <c r="K222" i="37"/>
  <c r="K235" i="37" s="1"/>
  <c r="K256" i="37" s="1"/>
  <c r="M261" i="54" s="1"/>
  <c r="N334" i="54"/>
  <c r="V650" i="59" s="1"/>
  <c r="K224" i="37"/>
  <c r="K237" i="37" s="1"/>
  <c r="K258" i="37" s="1"/>
  <c r="M324" i="54" s="1"/>
  <c r="O330" i="54"/>
  <c r="W646" i="59" s="1"/>
  <c r="I221" i="37"/>
  <c r="I234" i="37" s="1"/>
  <c r="I255" i="37" s="1"/>
  <c r="K282" i="54" s="1"/>
  <c r="O332" i="54"/>
  <c r="W648" i="59" s="1"/>
  <c r="Q331" i="54"/>
  <c r="R331" i="54" s="1"/>
  <c r="M332" i="54"/>
  <c r="U648" i="59" s="1"/>
  <c r="L344" i="54"/>
  <c r="O224" i="37"/>
  <c r="P224" i="37" s="1"/>
  <c r="J224" i="37"/>
  <c r="J237" i="37" s="1"/>
  <c r="J258" i="37" s="1"/>
  <c r="L324" i="54" s="1"/>
  <c r="Q337" i="54"/>
  <c r="R337" i="54" s="1"/>
  <c r="S337" i="54" s="1"/>
  <c r="T337" i="54" s="1"/>
  <c r="U337" i="54" s="1"/>
  <c r="V337" i="54" s="1"/>
  <c r="O344" i="54"/>
  <c r="K330" i="54"/>
  <c r="S646" i="59" s="1"/>
  <c r="L332" i="54"/>
  <c r="T648" i="59" s="1"/>
  <c r="K196" i="54"/>
  <c r="N196" i="54"/>
  <c r="K217" i="54"/>
  <c r="L196" i="54"/>
  <c r="O196" i="54"/>
  <c r="P196" i="54"/>
  <c r="Q196" i="54"/>
  <c r="R196" i="54" s="1"/>
  <c r="S196" i="54" s="1"/>
  <c r="T196" i="54" s="1"/>
  <c r="U196" i="54" s="1"/>
  <c r="V196" i="54" s="1"/>
  <c r="O217" i="54"/>
  <c r="P217" i="54"/>
  <c r="N217" i="54"/>
  <c r="L217" i="54"/>
  <c r="Q217" i="54"/>
  <c r="R217" i="54" s="1"/>
  <c r="S217" i="54" s="1"/>
  <c r="T217" i="54" s="1"/>
  <c r="U217" i="54" s="1"/>
  <c r="V217" i="54" s="1"/>
  <c r="L224" i="37"/>
  <c r="L237" i="37" s="1"/>
  <c r="L258" i="37" s="1"/>
  <c r="N324" i="54" s="1"/>
  <c r="L220" i="37"/>
  <c r="L233" i="37" s="1"/>
  <c r="L254" i="37" s="1"/>
  <c r="N240" i="54" s="1"/>
  <c r="P347" i="54"/>
  <c r="P331" i="54"/>
  <c r="X647" i="59" s="1"/>
  <c r="J221" i="37"/>
  <c r="J234" i="37" s="1"/>
  <c r="J255" i="37" s="1"/>
  <c r="L282" i="54" s="1"/>
  <c r="K220" i="37"/>
  <c r="K233" i="37" s="1"/>
  <c r="K254" i="37" s="1"/>
  <c r="M240" i="54" s="1"/>
  <c r="L347" i="54"/>
  <c r="N220" i="37"/>
  <c r="N233" i="37" s="1"/>
  <c r="N254" i="37" s="1"/>
  <c r="P240" i="54" s="1"/>
  <c r="M331" i="54"/>
  <c r="U647" i="59" s="1"/>
  <c r="Q347" i="54"/>
  <c r="R347" i="54" s="1"/>
  <c r="S347" i="54" s="1"/>
  <c r="T347" i="54" s="1"/>
  <c r="U347" i="54" s="1"/>
  <c r="V347" i="54" s="1"/>
  <c r="O233" i="37"/>
  <c r="O254" i="37" s="1"/>
  <c r="Q240" i="54" s="1"/>
  <c r="P220" i="37"/>
  <c r="R329" i="54"/>
  <c r="Y645" i="59"/>
  <c r="P222" i="37"/>
  <c r="O235" i="37"/>
  <c r="O256" i="37" s="1"/>
  <c r="Q261" i="54" s="1"/>
  <c r="P221" i="37"/>
  <c r="O234" i="37"/>
  <c r="O255" i="37" s="1"/>
  <c r="Q282" i="54" s="1"/>
  <c r="R332" i="54"/>
  <c r="Y648" i="59"/>
  <c r="R334" i="54"/>
  <c r="Y650" i="59"/>
  <c r="AD397" i="59"/>
  <c r="AC397" i="59"/>
  <c r="AD386" i="59"/>
  <c r="AD456" i="59" s="1"/>
  <c r="Y646" i="59" l="1"/>
  <c r="P223" i="37"/>
  <c r="P236" i="37" s="1"/>
  <c r="P257" i="37" s="1"/>
  <c r="R303" i="54" s="1"/>
  <c r="Y647" i="59"/>
  <c r="O237" i="37"/>
  <c r="O258" i="37" s="1"/>
  <c r="Q324" i="54" s="1"/>
  <c r="S334" i="54"/>
  <c r="Z650" i="59"/>
  <c r="Q221" i="37"/>
  <c r="P234" i="37"/>
  <c r="P255" i="37" s="1"/>
  <c r="R282" i="54" s="1"/>
  <c r="S332" i="54"/>
  <c r="Z648" i="59"/>
  <c r="P235" i="37"/>
  <c r="P256" i="37" s="1"/>
  <c r="R261" i="54" s="1"/>
  <c r="Q222" i="37"/>
  <c r="Q220" i="37"/>
  <c r="P233" i="37"/>
  <c r="P254" i="37" s="1"/>
  <c r="R240" i="54" s="1"/>
  <c r="Q224" i="37"/>
  <c r="P237" i="37"/>
  <c r="P258" i="37" s="1"/>
  <c r="R324" i="54" s="1"/>
  <c r="S330" i="54"/>
  <c r="Z646" i="59"/>
  <c r="S329" i="54"/>
  <c r="Z645" i="59"/>
  <c r="S331" i="54"/>
  <c r="Z647" i="59"/>
  <c r="Q223" i="37" l="1"/>
  <c r="R223" i="37" s="1"/>
  <c r="T330" i="54"/>
  <c r="AA646" i="59"/>
  <c r="T332" i="54"/>
  <c r="AA648" i="59"/>
  <c r="R224" i="37"/>
  <c r="Q237" i="37"/>
  <c r="Q258" i="37" s="1"/>
  <c r="S324" i="54" s="1"/>
  <c r="R221" i="37"/>
  <c r="Q234" i="37"/>
  <c r="Q255" i="37" s="1"/>
  <c r="S282" i="54" s="1"/>
  <c r="R222" i="37"/>
  <c r="Q235" i="37"/>
  <c r="Q256" i="37" s="1"/>
  <c r="S261" i="54" s="1"/>
  <c r="T329" i="54"/>
  <c r="AA645" i="59"/>
  <c r="T331" i="54"/>
  <c r="AA647" i="59"/>
  <c r="Q233" i="37"/>
  <c r="Q254" i="37" s="1"/>
  <c r="S240" i="54" s="1"/>
  <c r="R220" i="37"/>
  <c r="T334" i="54"/>
  <c r="AA650" i="59"/>
  <c r="Q236" i="37" l="1"/>
  <c r="Q257" i="37" s="1"/>
  <c r="S303" i="54" s="1"/>
  <c r="U334" i="54"/>
  <c r="AB650" i="59"/>
  <c r="R235" i="37"/>
  <c r="R256" i="37" s="1"/>
  <c r="T261" i="54" s="1"/>
  <c r="S222" i="37"/>
  <c r="U332" i="54"/>
  <c r="AB648" i="59"/>
  <c r="U331" i="54"/>
  <c r="AB647" i="59"/>
  <c r="R237" i="37"/>
  <c r="R258" i="37" s="1"/>
  <c r="T324" i="54" s="1"/>
  <c r="S224" i="37"/>
  <c r="U329" i="54"/>
  <c r="AB645" i="59"/>
  <c r="R236" i="37"/>
  <c r="R257" i="37" s="1"/>
  <c r="T303" i="54" s="1"/>
  <c r="S223" i="37"/>
  <c r="S220" i="37"/>
  <c r="R233" i="37"/>
  <c r="R254" i="37" s="1"/>
  <c r="T240" i="54" s="1"/>
  <c r="R234" i="37"/>
  <c r="R255" i="37" s="1"/>
  <c r="T282" i="54" s="1"/>
  <c r="S221" i="37"/>
  <c r="U330" i="54"/>
  <c r="AB646" i="59"/>
  <c r="T222" i="37" l="1"/>
  <c r="T235" i="37" s="1"/>
  <c r="T256" i="37" s="1"/>
  <c r="V261" i="54" s="1"/>
  <c r="S235" i="37"/>
  <c r="S256" i="37" s="1"/>
  <c r="U261" i="54" s="1"/>
  <c r="V332" i="54"/>
  <c r="AD648" i="59" s="1"/>
  <c r="AC648" i="59"/>
  <c r="V329" i="54"/>
  <c r="AD645" i="59" s="1"/>
  <c r="AC645" i="59"/>
  <c r="S236" i="37"/>
  <c r="S257" i="37" s="1"/>
  <c r="U303" i="54" s="1"/>
  <c r="T223" i="37"/>
  <c r="T236" i="37" s="1"/>
  <c r="T257" i="37" s="1"/>
  <c r="V303" i="54" s="1"/>
  <c r="T220" i="37"/>
  <c r="T233" i="37" s="1"/>
  <c r="T254" i="37" s="1"/>
  <c r="V240" i="54" s="1"/>
  <c r="S233" i="37"/>
  <c r="S254" i="37" s="1"/>
  <c r="U240" i="54" s="1"/>
  <c r="V331" i="54"/>
  <c r="AD647" i="59" s="1"/>
  <c r="AC647" i="59"/>
  <c r="V330" i="54"/>
  <c r="AD646" i="59" s="1"/>
  <c r="AC646" i="59"/>
  <c r="T221" i="37"/>
  <c r="T234" i="37" s="1"/>
  <c r="T255" i="37" s="1"/>
  <c r="V282" i="54" s="1"/>
  <c r="S234" i="37"/>
  <c r="S255" i="37" s="1"/>
  <c r="U282" i="54" s="1"/>
  <c r="T224" i="37"/>
  <c r="T237" i="37" s="1"/>
  <c r="T258" i="37" s="1"/>
  <c r="V324" i="54" s="1"/>
  <c r="S237" i="37"/>
  <c r="S258" i="37" s="1"/>
  <c r="U324" i="54" s="1"/>
  <c r="V334" i="54"/>
  <c r="AD650" i="59" s="1"/>
  <c r="AC650" i="59"/>
  <c r="G987" i="79" l="1"/>
  <c r="G971" i="79"/>
  <c r="G988" i="79" l="1"/>
  <c r="K987" i="79"/>
  <c r="J971" i="79"/>
  <c r="I987" i="79"/>
  <c r="J987" i="79"/>
  <c r="M987" i="79"/>
  <c r="H987" i="79"/>
  <c r="M734" i="79"/>
  <c r="M971" i="79"/>
  <c r="L987" i="79"/>
  <c r="L734" i="79"/>
  <c r="L971" i="79"/>
  <c r="H971" i="79"/>
  <c r="J734" i="79"/>
  <c r="H734" i="79"/>
  <c r="K734" i="79"/>
  <c r="K971" i="79"/>
  <c r="I734" i="79"/>
  <c r="I971" i="79"/>
  <c r="L988" i="79" l="1"/>
  <c r="K988" i="79"/>
  <c r="I988" i="79"/>
  <c r="J988" i="79"/>
  <c r="M988" i="79"/>
  <c r="H988" i="79"/>
  <c r="G734" i="79" l="1"/>
  <c r="BB98" i="52" l="1"/>
  <c r="I3246" i="79"/>
  <c r="BD73" i="52"/>
  <c r="BO154" i="52" l="1"/>
  <c r="BO8" i="52" s="1"/>
  <c r="AV205" i="52"/>
  <c r="AV82" i="52" s="1"/>
  <c r="AW229" i="52"/>
  <c r="AW86" i="52" s="1"/>
  <c r="BO262" i="52"/>
  <c r="BO26" i="52" s="1"/>
  <c r="BH240" i="52"/>
  <c r="BH67" i="52" s="1"/>
  <c r="BV252" i="52"/>
  <c r="BV68" i="52" s="1"/>
  <c r="BV158" i="52"/>
  <c r="BV96" i="52" s="1"/>
  <c r="BZ162" i="52"/>
  <c r="BZ53" i="52" s="1"/>
  <c r="AW239" i="52"/>
  <c r="AW45" i="52" s="1"/>
  <c r="BY180" i="52"/>
  <c r="BY56" i="52" s="1"/>
  <c r="AZ248" i="52"/>
  <c r="AZ110" i="52" s="1"/>
  <c r="BU206" i="52"/>
  <c r="BU104" i="52" s="1"/>
  <c r="BP145" i="52"/>
  <c r="BP72" i="52" s="1"/>
  <c r="BV176" i="52"/>
  <c r="BV99" i="52" s="1"/>
  <c r="BO226" i="52"/>
  <c r="BO20" i="52" s="1"/>
  <c r="BZ226" i="52"/>
  <c r="BZ20" i="52" s="1"/>
  <c r="BI262" i="52"/>
  <c r="BI26" i="52" s="1"/>
  <c r="BX186" i="52"/>
  <c r="BX57" i="52" s="1"/>
  <c r="BF251" i="52"/>
  <c r="BF46" i="52" s="1"/>
  <c r="AW230" i="52"/>
  <c r="AW108" i="52" s="1"/>
  <c r="BW181" i="52"/>
  <c r="BW78" i="52" s="1"/>
  <c r="AW233" i="52"/>
  <c r="AW43" i="52" s="1"/>
  <c r="BX145" i="52"/>
  <c r="BX72" i="52" s="1"/>
  <c r="BU264" i="52"/>
  <c r="BU70" i="52" s="1"/>
  <c r="BA235" i="52"/>
  <c r="BA87" i="52" s="1"/>
  <c r="BQ154" i="52"/>
  <c r="BQ8" i="52" s="1"/>
  <c r="BA221" i="52"/>
  <c r="BA40" i="52" s="1"/>
  <c r="BF210" i="52"/>
  <c r="BF61" i="52" s="1"/>
  <c r="BI256" i="52"/>
  <c r="BI25" i="52" s="1"/>
  <c r="BG252" i="52"/>
  <c r="BG68" i="52" s="1"/>
  <c r="AW250" i="52"/>
  <c r="AW24" i="52" s="1"/>
  <c r="BB248" i="52"/>
  <c r="BB110" i="52" s="1"/>
  <c r="BP248" i="52"/>
  <c r="BP110" i="52" s="1"/>
  <c r="BL247" i="52"/>
  <c r="BL88" i="52" s="1"/>
  <c r="BM253" i="52"/>
  <c r="BM90" i="52" s="1"/>
  <c r="BR245" i="52"/>
  <c r="BR44" i="52" s="1"/>
  <c r="BJ253" i="52"/>
  <c r="BJ90" i="52" s="1"/>
  <c r="BE232" i="52"/>
  <c r="BE21" i="52" s="1"/>
  <c r="BB205" i="52"/>
  <c r="BB82" i="52" s="1"/>
  <c r="BJ266" i="52"/>
  <c r="BJ114" i="52" s="1"/>
  <c r="BW158" i="52"/>
  <c r="BW96" i="52" s="1"/>
  <c r="AX234" i="52"/>
  <c r="AX65" i="52" s="1"/>
  <c r="BX202" i="52"/>
  <c r="BX16" i="52" s="1"/>
  <c r="AZ228" i="52"/>
  <c r="AZ64" i="52" s="1"/>
  <c r="BP223" i="52"/>
  <c r="BP84" i="52" s="1"/>
  <c r="AY238" i="52"/>
  <c r="AY23" i="52" s="1"/>
  <c r="BR216" i="52"/>
  <c r="BR63" i="52" s="1"/>
  <c r="BR265" i="52"/>
  <c r="BR92" i="52" s="1"/>
  <c r="BL246" i="52"/>
  <c r="BL66" i="52" s="1"/>
  <c r="BN253" i="52"/>
  <c r="BN90" i="52" s="1"/>
  <c r="BG238" i="52"/>
  <c r="BG23" i="52" s="1"/>
  <c r="BA247" i="52"/>
  <c r="BA88" i="52" s="1"/>
  <c r="BT262" i="52"/>
  <c r="BT26" i="52" s="1"/>
  <c r="BB223" i="52"/>
  <c r="BB84" i="52" s="1"/>
  <c r="BL144" i="52"/>
  <c r="BL50" i="52" s="1"/>
  <c r="BT230" i="52"/>
  <c r="BT108" i="52" s="1"/>
  <c r="BU166" i="52"/>
  <c r="BU10" i="52" s="1"/>
  <c r="BT182" i="52"/>
  <c r="BT100" i="52" s="1"/>
  <c r="AW209" i="52"/>
  <c r="AW39" i="52" s="1"/>
  <c r="BM234" i="52"/>
  <c r="BM65" i="52" s="1"/>
  <c r="BD246" i="52"/>
  <c r="BD66" i="52" s="1"/>
  <c r="BL217" i="52"/>
  <c r="BL85" i="52" s="1"/>
  <c r="BZ175" i="52"/>
  <c r="BZ77" i="52" s="1"/>
  <c r="AZ236" i="52"/>
  <c r="AZ109" i="52" s="1"/>
  <c r="BP205" i="52"/>
  <c r="BP82" i="52" s="1"/>
  <c r="BF236" i="52"/>
  <c r="BF109" i="52" s="1"/>
  <c r="BM156" i="52"/>
  <c r="BM52" i="52" s="1"/>
  <c r="AX224" i="52"/>
  <c r="AX106" i="52" s="1"/>
  <c r="BD229" i="52"/>
  <c r="BD86" i="52" s="1"/>
  <c r="BQ236" i="52"/>
  <c r="BQ109" i="52" s="1"/>
  <c r="BJ235" i="52"/>
  <c r="BJ87" i="52" s="1"/>
  <c r="BX265" i="52"/>
  <c r="BX92" i="52" s="1"/>
  <c r="AY206" i="52"/>
  <c r="AY104" i="52" s="1"/>
  <c r="BR238" i="52"/>
  <c r="BR23" i="52" s="1"/>
  <c r="BQ204" i="52"/>
  <c r="BQ60" i="52" s="1"/>
  <c r="BB252" i="52"/>
  <c r="BB68" i="52" s="1"/>
  <c r="BV234" i="52"/>
  <c r="BV65" i="52" s="1"/>
  <c r="BH232" i="52"/>
  <c r="BH21" i="52" s="1"/>
  <c r="BF206" i="52"/>
  <c r="BF104" i="52" s="1"/>
  <c r="BT184" i="52"/>
  <c r="BT13" i="52" s="1"/>
  <c r="BN156" i="52"/>
  <c r="BN52" i="52" s="1"/>
  <c r="BO253" i="52"/>
  <c r="BO90" i="52" s="1"/>
  <c r="BN252" i="52"/>
  <c r="BN68" i="52" s="1"/>
  <c r="BW226" i="52"/>
  <c r="BW20" i="52" s="1"/>
  <c r="BL232" i="52"/>
  <c r="BL21" i="52" s="1"/>
  <c r="BP232" i="52"/>
  <c r="BP21" i="52" s="1"/>
  <c r="BW222" i="52"/>
  <c r="BW62" i="52" s="1"/>
  <c r="BP245" i="52"/>
  <c r="BP44" i="52" s="1"/>
  <c r="BT164" i="52"/>
  <c r="BT97" i="52" s="1"/>
  <c r="BZ256" i="52"/>
  <c r="BZ25" i="52" s="1"/>
  <c r="BG214" i="52"/>
  <c r="BG19" i="52" s="1"/>
  <c r="BQ209" i="52"/>
  <c r="BQ39" i="52" s="1"/>
  <c r="BZ190" i="52"/>
  <c r="BZ14" i="52" s="1"/>
  <c r="BA239" i="52"/>
  <c r="BA45" i="52" s="1"/>
  <c r="BY194" i="52"/>
  <c r="BY102" i="52" s="1"/>
  <c r="BX216" i="52"/>
  <c r="BX63" i="52" s="1"/>
  <c r="BW220" i="52"/>
  <c r="BW18" i="52" s="1"/>
  <c r="AY227" i="52"/>
  <c r="AY42" i="52" s="1"/>
  <c r="BE208" i="52"/>
  <c r="BE17" i="52" s="1"/>
  <c r="BE248" i="52"/>
  <c r="BE110" i="52" s="1"/>
  <c r="BU193" i="52"/>
  <c r="BU80" i="52" s="1"/>
  <c r="BN203" i="52"/>
  <c r="BN38" i="52" s="1"/>
  <c r="BT210" i="52"/>
  <c r="BT61" i="52" s="1"/>
  <c r="BM208" i="52"/>
  <c r="BM17" i="52" s="1"/>
  <c r="AY239" i="52"/>
  <c r="AY45" i="52" s="1"/>
  <c r="AW251" i="52"/>
  <c r="AW46" i="52" s="1"/>
  <c r="BP148" i="52"/>
  <c r="BP7" i="52" s="1"/>
  <c r="BL227" i="52"/>
  <c r="BL42" i="52" s="1"/>
  <c r="BE246" i="52"/>
  <c r="BE66" i="52" s="1"/>
  <c r="AX252" i="52"/>
  <c r="AX68" i="52" s="1"/>
  <c r="AY210" i="52"/>
  <c r="AY61" i="52" s="1"/>
  <c r="BE264" i="52"/>
  <c r="BE70" i="52" s="1"/>
  <c r="BQ250" i="52"/>
  <c r="BQ24" i="52" s="1"/>
  <c r="BB211" i="52"/>
  <c r="BB83" i="52" s="1"/>
  <c r="BN234" i="52"/>
  <c r="BN65" i="52" s="1"/>
  <c r="BP247" i="52"/>
  <c r="BP88" i="52" s="1"/>
  <c r="AZ239" i="52"/>
  <c r="AZ45" i="52" s="1"/>
  <c r="BT252" i="52"/>
  <c r="BT68" i="52" s="1"/>
  <c r="BN235" i="52"/>
  <c r="BN87" i="52" s="1"/>
  <c r="AX208" i="52"/>
  <c r="AX17" i="52" s="1"/>
  <c r="BJ208" i="52"/>
  <c r="BJ17" i="52" s="1"/>
  <c r="BE238" i="52"/>
  <c r="BE23" i="52" s="1"/>
  <c r="BW218" i="52"/>
  <c r="BW107" i="52" s="1"/>
  <c r="BT192" i="52"/>
  <c r="BT58" i="52" s="1"/>
  <c r="BU157" i="52"/>
  <c r="BU74" i="52" s="1"/>
  <c r="BV143" i="52"/>
  <c r="BV28" i="52" s="1"/>
  <c r="BR144" i="52"/>
  <c r="BR50" i="52" s="1"/>
  <c r="BB222" i="52"/>
  <c r="BB62" i="52" s="1"/>
  <c r="BX143" i="52"/>
  <c r="BX28" i="52" s="1"/>
  <c r="BN229" i="52"/>
  <c r="BN86" i="52" s="1"/>
  <c r="BN245" i="52"/>
  <c r="BN44" i="52" s="1"/>
  <c r="AX223" i="52"/>
  <c r="AX84" i="52" s="1"/>
  <c r="BU205" i="52"/>
  <c r="BU82" i="52" s="1"/>
  <c r="AZ256" i="52"/>
  <c r="AZ25" i="52" s="1"/>
  <c r="BR253" i="52"/>
  <c r="BR90" i="52" s="1"/>
  <c r="BB247" i="52"/>
  <c r="BB88" i="52" s="1"/>
  <c r="BR203" i="52"/>
  <c r="BR38" i="52" s="1"/>
  <c r="BW145" i="52"/>
  <c r="BW72" i="52" s="1"/>
  <c r="BO224" i="52"/>
  <c r="BO106" i="52" s="1"/>
  <c r="BW253" i="52"/>
  <c r="BW90" i="52" s="1"/>
  <c r="BL250" i="52"/>
  <c r="BL24" i="52" s="1"/>
  <c r="BT181" i="52"/>
  <c r="BT78" i="52" s="1"/>
  <c r="BD230" i="52"/>
  <c r="BD108" i="52" s="1"/>
  <c r="AW232" i="52"/>
  <c r="AW21" i="52" s="1"/>
  <c r="BH259" i="52"/>
  <c r="BH91" i="52" s="1"/>
  <c r="BT190" i="52"/>
  <c r="BT14" i="52" s="1"/>
  <c r="BT229" i="52"/>
  <c r="BT86" i="52" s="1"/>
  <c r="BR242" i="52"/>
  <c r="BR111" i="52" s="1"/>
  <c r="BJ202" i="52"/>
  <c r="BJ16" i="52" s="1"/>
  <c r="BB214" i="52"/>
  <c r="BB19" i="52" s="1"/>
  <c r="BY155" i="52"/>
  <c r="BY30" i="52" s="1"/>
  <c r="BU228" i="52"/>
  <c r="BU64" i="52" s="1"/>
  <c r="BU259" i="52"/>
  <c r="BU91" i="52" s="1"/>
  <c r="AV230" i="52"/>
  <c r="AV108" i="52" s="1"/>
  <c r="AW220" i="52"/>
  <c r="AW18" i="52" s="1"/>
  <c r="BO256" i="52"/>
  <c r="BO25" i="52" s="1"/>
  <c r="AY232" i="52"/>
  <c r="AY21" i="52" s="1"/>
  <c r="BV226" i="52"/>
  <c r="BV20" i="52" s="1"/>
  <c r="BB226" i="52"/>
  <c r="BB20" i="52" s="1"/>
  <c r="BY226" i="52"/>
  <c r="BY20" i="52" s="1"/>
  <c r="BX233" i="52"/>
  <c r="BX43" i="52" s="1"/>
  <c r="BU221" i="52"/>
  <c r="BU40" i="52" s="1"/>
  <c r="BZ156" i="52"/>
  <c r="BZ52" i="52" s="1"/>
  <c r="BZ208" i="52"/>
  <c r="BZ17" i="52" s="1"/>
  <c r="BO149" i="52"/>
  <c r="BO29" i="52" s="1"/>
  <c r="BT212" i="52"/>
  <c r="BT105" i="52" s="1"/>
  <c r="BH248" i="52"/>
  <c r="BH110" i="52" s="1"/>
  <c r="BN206" i="52"/>
  <c r="BN104" i="52" s="1"/>
  <c r="AV234" i="52"/>
  <c r="AV65" i="52" s="1"/>
  <c r="BT221" i="52"/>
  <c r="BT40" i="52" s="1"/>
  <c r="BI202" i="52"/>
  <c r="BI16" i="52" s="1"/>
  <c r="BV266" i="52"/>
  <c r="BV114" i="52" s="1"/>
  <c r="BN208" i="52"/>
  <c r="BN17" i="52" s="1"/>
  <c r="BU252" i="52"/>
  <c r="BU68" i="52" s="1"/>
  <c r="BD248" i="52"/>
  <c r="BD110" i="52" s="1"/>
  <c r="BT188" i="52"/>
  <c r="BT101" i="52" s="1"/>
  <c r="BV151" i="52"/>
  <c r="BV73" i="52" s="1"/>
  <c r="BM265" i="52"/>
  <c r="BM92" i="52" s="1"/>
  <c r="AW236" i="52"/>
  <c r="AW109" i="52" s="1"/>
  <c r="BN250" i="52"/>
  <c r="BN24" i="52" s="1"/>
  <c r="BH222" i="52"/>
  <c r="BH62" i="52" s="1"/>
  <c r="BJ214" i="52"/>
  <c r="BJ19" i="52" s="1"/>
  <c r="BG232" i="52"/>
  <c r="BG21" i="52" s="1"/>
  <c r="BQ233" i="52"/>
  <c r="BQ43" i="52" s="1"/>
  <c r="BP257" i="52"/>
  <c r="BP47" i="52" s="1"/>
  <c r="BW144" i="52"/>
  <c r="BW50" i="52" s="1"/>
  <c r="AV262" i="52"/>
  <c r="AV26" i="52" s="1"/>
  <c r="BE263" i="52"/>
  <c r="BE48" i="52" s="1"/>
  <c r="BN220" i="52"/>
  <c r="BN18" i="52" s="1"/>
  <c r="AZ252" i="52"/>
  <c r="AZ68" i="52" s="1"/>
  <c r="AZ251" i="52"/>
  <c r="AZ46" i="52" s="1"/>
  <c r="BE239" i="52"/>
  <c r="BE45" i="52" s="1"/>
  <c r="BB262" i="52"/>
  <c r="BB26" i="52" s="1"/>
  <c r="BU178" i="52"/>
  <c r="BU12" i="52" s="1"/>
  <c r="BF239" i="52"/>
  <c r="BF45" i="52" s="1"/>
  <c r="BD251" i="52"/>
  <c r="BD46" i="52" s="1"/>
  <c r="BM145" i="52"/>
  <c r="BM72" i="52" s="1"/>
  <c r="BO248" i="52"/>
  <c r="BO110" i="52" s="1"/>
  <c r="BN155" i="52"/>
  <c r="BN30" i="52" s="1"/>
  <c r="BV184" i="52"/>
  <c r="BV13" i="52" s="1"/>
  <c r="AV257" i="52"/>
  <c r="AV47" i="52" s="1"/>
  <c r="BW190" i="52"/>
  <c r="BW14" i="52" s="1"/>
  <c r="BW214" i="52"/>
  <c r="BW19" i="52" s="1"/>
  <c r="BH260" i="52"/>
  <c r="BH113" i="52" s="1"/>
  <c r="BU169" i="52"/>
  <c r="BU76" i="52" s="1"/>
  <c r="BA216" i="52"/>
  <c r="BA63" i="52" s="1"/>
  <c r="AZ208" i="52"/>
  <c r="AZ17" i="52" s="1"/>
  <c r="BO221" i="52"/>
  <c r="BO40" i="52" s="1"/>
  <c r="BX185" i="52"/>
  <c r="BX35" i="52" s="1"/>
  <c r="BT174" i="52"/>
  <c r="BT55" i="52" s="1"/>
  <c r="BI235" i="52"/>
  <c r="BI87" i="52" s="1"/>
  <c r="BV254" i="52"/>
  <c r="BV112" i="52" s="1"/>
  <c r="BJ226" i="52"/>
  <c r="BJ20" i="52" s="1"/>
  <c r="BE244" i="52"/>
  <c r="BE22" i="52" s="1"/>
  <c r="BQ230" i="52"/>
  <c r="BQ108" i="52" s="1"/>
  <c r="BZ148" i="52"/>
  <c r="BZ7" i="52" s="1"/>
  <c r="BU262" i="52"/>
  <c r="BU26" i="52" s="1"/>
  <c r="BI242" i="52"/>
  <c r="BI111" i="52" s="1"/>
  <c r="BV235" i="52"/>
  <c r="BV87" i="52" s="1"/>
  <c r="AZ222" i="52"/>
  <c r="AZ62" i="52" s="1"/>
  <c r="AX253" i="52"/>
  <c r="AX90" i="52" s="1"/>
  <c r="BU265" i="52"/>
  <c r="BU92" i="52" s="1"/>
  <c r="BV259" i="52"/>
  <c r="BV91" i="52" s="1"/>
  <c r="AW215" i="52"/>
  <c r="AW41" i="52" s="1"/>
  <c r="BO143" i="52"/>
  <c r="BO28" i="52" s="1"/>
  <c r="BV190" i="52"/>
  <c r="BV14" i="52" s="1"/>
  <c r="BT215" i="52"/>
  <c r="BT41" i="52" s="1"/>
  <c r="BY175" i="52"/>
  <c r="BY77" i="52" s="1"/>
  <c r="AY253" i="52"/>
  <c r="AY90" i="52" s="1"/>
  <c r="BR266" i="52"/>
  <c r="BR114" i="52" s="1"/>
  <c r="BW168" i="52"/>
  <c r="BW54" i="52" s="1"/>
  <c r="BQ266" i="52"/>
  <c r="BQ114" i="52" s="1"/>
  <c r="BL157" i="52"/>
  <c r="BL74" i="52" s="1"/>
  <c r="BP203" i="52"/>
  <c r="BP38" i="52" s="1"/>
  <c r="BE221" i="52"/>
  <c r="BE40" i="52" s="1"/>
  <c r="BA244" i="52"/>
  <c r="BA22" i="52" s="1"/>
  <c r="BO217" i="52"/>
  <c r="BO85" i="52" s="1"/>
  <c r="BM230" i="52"/>
  <c r="BM108" i="52" s="1"/>
  <c r="BI239" i="52"/>
  <c r="BI45" i="52" s="1"/>
  <c r="AW264" i="52"/>
  <c r="AW70" i="52" s="1"/>
  <c r="BO144" i="52"/>
  <c r="BO50" i="52" s="1"/>
  <c r="BM144" i="52"/>
  <c r="BM50" i="52" s="1"/>
  <c r="BF250" i="52"/>
  <c r="BF24" i="52" s="1"/>
  <c r="BM218" i="52"/>
  <c r="BM107" i="52" s="1"/>
  <c r="BD247" i="52"/>
  <c r="BD88" i="52" s="1"/>
  <c r="AV245" i="52"/>
  <c r="AV44" i="52" s="1"/>
  <c r="BQ259" i="52"/>
  <c r="BQ91" i="52" s="1"/>
  <c r="BW209" i="52"/>
  <c r="BW39" i="52" s="1"/>
  <c r="BW172" i="52"/>
  <c r="BW11" i="52" s="1"/>
  <c r="BA240" i="52"/>
  <c r="BA67" i="52" s="1"/>
  <c r="BD239" i="52"/>
  <c r="BD45" i="52" s="1"/>
  <c r="BX210" i="52"/>
  <c r="BX61" i="52" s="1"/>
  <c r="BG208" i="52"/>
  <c r="BG17" i="52" s="1"/>
  <c r="BQ217" i="52"/>
  <c r="BQ85" i="52" s="1"/>
  <c r="BT264" i="52"/>
  <c r="BT70" i="52" s="1"/>
  <c r="BY258" i="52"/>
  <c r="BY69" i="52" s="1"/>
  <c r="AW208" i="52"/>
  <c r="AW17" i="52" s="1"/>
  <c r="AY254" i="52"/>
  <c r="AY112" i="52" s="1"/>
  <c r="BZ205" i="52"/>
  <c r="BZ82" i="52" s="1"/>
  <c r="BI233" i="52"/>
  <c r="BI43" i="52" s="1"/>
  <c r="BV172" i="52"/>
  <c r="BV11" i="52" s="1"/>
  <c r="AX260" i="52"/>
  <c r="AX113" i="52" s="1"/>
  <c r="AX241" i="52"/>
  <c r="AX89" i="52" s="1"/>
  <c r="BF260" i="52"/>
  <c r="BF113" i="52" s="1"/>
  <c r="BZ188" i="52"/>
  <c r="BZ101" i="52" s="1"/>
  <c r="BF257" i="52"/>
  <c r="BF47" i="52" s="1"/>
  <c r="BB208" i="52"/>
  <c r="BB17" i="52" s="1"/>
  <c r="BP214" i="52"/>
  <c r="BP19" i="52" s="1"/>
  <c r="BI253" i="52"/>
  <c r="BI90" i="52" s="1"/>
  <c r="AZ253" i="52"/>
  <c r="AZ90" i="52" s="1"/>
  <c r="BX193" i="52"/>
  <c r="BX80" i="52" s="1"/>
  <c r="BJ206" i="52"/>
  <c r="BJ104" i="52" s="1"/>
  <c r="BF223" i="52"/>
  <c r="BF84" i="52" s="1"/>
  <c r="BB242" i="52"/>
  <c r="BB111" i="52" s="1"/>
  <c r="BY190" i="52"/>
  <c r="BY14" i="52" s="1"/>
  <c r="AX227" i="52"/>
  <c r="AX42" i="52" s="1"/>
  <c r="BX181" i="52"/>
  <c r="BX78" i="52" s="1"/>
  <c r="AZ206" i="52"/>
  <c r="AZ104" i="52" s="1"/>
  <c r="AZ263" i="52"/>
  <c r="AZ48" i="52" s="1"/>
  <c r="BH229" i="52"/>
  <c r="BH86" i="52" s="1"/>
  <c r="BJ252" i="52"/>
  <c r="BJ68" i="52" s="1"/>
  <c r="BX234" i="52"/>
  <c r="BX65" i="52" s="1"/>
  <c r="BU162" i="52"/>
  <c r="BU53" i="52" s="1"/>
  <c r="BA228" i="52"/>
  <c r="BA64" i="52" s="1"/>
  <c r="BF245" i="52"/>
  <c r="BF44" i="52" s="1"/>
  <c r="BR258" i="52"/>
  <c r="BR69" i="52" s="1"/>
  <c r="BJ229" i="52"/>
  <c r="BJ86" i="52" s="1"/>
  <c r="BE226" i="52"/>
  <c r="BE20" i="52" s="1"/>
  <c r="BB206" i="52"/>
  <c r="BB104" i="52" s="1"/>
  <c r="BQ242" i="52"/>
  <c r="BQ111" i="52" s="1"/>
  <c r="BX175" i="52"/>
  <c r="BX77" i="52" s="1"/>
  <c r="BO265" i="52"/>
  <c r="BO92" i="52" s="1"/>
  <c r="BO220" i="52"/>
  <c r="BO18" i="52" s="1"/>
  <c r="BD258" i="52"/>
  <c r="BD69" i="52" s="1"/>
  <c r="AV253" i="52"/>
  <c r="AV90" i="52" s="1"/>
  <c r="BD254" i="52"/>
  <c r="BD112" i="52" s="1"/>
  <c r="BY191" i="52"/>
  <c r="BY36" i="52" s="1"/>
  <c r="BT145" i="52"/>
  <c r="BT72" i="52" s="1"/>
  <c r="BM146" i="52"/>
  <c r="BM94" i="52" s="1"/>
  <c r="BB239" i="52"/>
  <c r="BB45" i="52" s="1"/>
  <c r="BU266" i="52"/>
  <c r="BU114" i="52" s="1"/>
  <c r="BM264" i="52"/>
  <c r="BM70" i="52" s="1"/>
  <c r="AY263" i="52"/>
  <c r="AY48" i="52" s="1"/>
  <c r="BL224" i="52"/>
  <c r="BL106" i="52" s="1"/>
  <c r="BB245" i="52"/>
  <c r="BB44" i="52" s="1"/>
  <c r="BJ251" i="52"/>
  <c r="BJ46" i="52" s="1"/>
  <c r="BX168" i="52"/>
  <c r="BX54" i="52" s="1"/>
  <c r="BG224" i="52"/>
  <c r="BG106" i="52" s="1"/>
  <c r="BE205" i="52"/>
  <c r="BE82" i="52" s="1"/>
  <c r="BE233" i="52"/>
  <c r="BE43" i="52" s="1"/>
  <c r="AZ259" i="52"/>
  <c r="AZ91" i="52" s="1"/>
  <c r="BR236" i="52"/>
  <c r="BR109" i="52" s="1"/>
  <c r="BV180" i="52"/>
  <c r="BV56" i="52" s="1"/>
  <c r="BZ258" i="52"/>
  <c r="BZ69" i="52" s="1"/>
  <c r="BV144" i="52"/>
  <c r="BV50" i="52" s="1"/>
  <c r="BZ232" i="52"/>
  <c r="BZ21" i="52" s="1"/>
  <c r="BD236" i="52"/>
  <c r="BD109" i="52" s="1"/>
  <c r="BB246" i="52"/>
  <c r="BB66" i="52" s="1"/>
  <c r="AV216" i="52"/>
  <c r="AV63" i="52" s="1"/>
  <c r="BB258" i="52"/>
  <c r="BB69" i="52" s="1"/>
  <c r="BG265" i="52"/>
  <c r="BG92" i="52" s="1"/>
  <c r="BD232" i="52"/>
  <c r="BD21" i="52" s="1"/>
  <c r="AY233" i="52"/>
  <c r="AY43" i="52" s="1"/>
  <c r="BN216" i="52"/>
  <c r="BN63" i="52" s="1"/>
  <c r="BJ238" i="52"/>
  <c r="BJ23" i="52" s="1"/>
  <c r="BP209" i="52"/>
  <c r="BP39" i="52" s="1"/>
  <c r="BL245" i="52"/>
  <c r="BL44" i="52" s="1"/>
  <c r="BJ245" i="52"/>
  <c r="BJ44" i="52" s="1"/>
  <c r="BE259" i="52"/>
  <c r="BE91" i="52" s="1"/>
  <c r="BW223" i="52"/>
  <c r="BW84" i="52" s="1"/>
  <c r="BY168" i="52"/>
  <c r="BY54" i="52" s="1"/>
  <c r="BB230" i="52"/>
  <c r="BB108" i="52" s="1"/>
  <c r="BI260" i="52"/>
  <c r="BI113" i="52" s="1"/>
  <c r="BL259" i="52"/>
  <c r="BL91" i="52" s="1"/>
  <c r="AW241" i="52"/>
  <c r="AW89" i="52" s="1"/>
  <c r="BV262" i="52"/>
  <c r="BV26" i="52" s="1"/>
  <c r="BV202" i="52"/>
  <c r="BV16" i="52" s="1"/>
  <c r="BZ204" i="52"/>
  <c r="BZ60" i="52" s="1"/>
  <c r="BL233" i="52"/>
  <c r="BL43" i="52" s="1"/>
  <c r="AV240" i="52"/>
  <c r="AV67" i="52" s="1"/>
  <c r="BH230" i="52"/>
  <c r="BH108" i="52" s="1"/>
  <c r="BQ150" i="52"/>
  <c r="BQ51" i="52" s="1"/>
  <c r="BJ223" i="52"/>
  <c r="BJ84" i="52" s="1"/>
  <c r="BY236" i="52"/>
  <c r="BY109" i="52" s="1"/>
  <c r="BA252" i="52"/>
  <c r="BA68" i="52" s="1"/>
  <c r="BD228" i="52"/>
  <c r="BD64" i="52" s="1"/>
  <c r="BQ142" i="52"/>
  <c r="BQ6" i="52" s="1"/>
  <c r="AY242" i="52"/>
  <c r="AY111" i="52" s="1"/>
  <c r="BL254" i="52"/>
  <c r="BL112" i="52" s="1"/>
  <c r="BX205" i="52"/>
  <c r="BX82" i="52" s="1"/>
  <c r="BL158" i="52"/>
  <c r="BL96" i="52" s="1"/>
  <c r="BV260" i="52"/>
  <c r="BV113" i="52" s="1"/>
  <c r="BZ227" i="52"/>
  <c r="BZ42" i="52" s="1"/>
  <c r="BG202" i="52"/>
  <c r="BG16" i="52" s="1"/>
  <c r="BY254" i="52"/>
  <c r="BY112" i="52" s="1"/>
  <c r="BU156" i="52"/>
  <c r="BU52" i="52" s="1"/>
  <c r="BT202" i="52"/>
  <c r="BT16" i="52" s="1"/>
  <c r="AV236" i="52"/>
  <c r="AV109" i="52" s="1"/>
  <c r="BB227" i="52"/>
  <c r="BB42" i="52" s="1"/>
  <c r="BJ205" i="52"/>
  <c r="BJ82" i="52" s="1"/>
  <c r="BT148" i="52"/>
  <c r="BT7" i="52" s="1"/>
  <c r="BY223" i="52"/>
  <c r="BY84" i="52" s="1"/>
  <c r="BV206" i="52"/>
  <c r="BV104" i="52" s="1"/>
  <c r="BG220" i="52"/>
  <c r="BG18" i="52" s="1"/>
  <c r="BX167" i="52"/>
  <c r="BX32" i="52" s="1"/>
  <c r="BE253" i="52"/>
  <c r="BE90" i="52" s="1"/>
  <c r="BQ227" i="52"/>
  <c r="BQ42" i="52" s="1"/>
  <c r="AY220" i="52"/>
  <c r="AY18" i="52" s="1"/>
  <c r="BN157" i="52"/>
  <c r="BN74" i="52" s="1"/>
  <c r="BN154" i="52"/>
  <c r="BN8" i="52" s="1"/>
  <c r="BP229" i="52"/>
  <c r="BP86" i="52" s="1"/>
  <c r="BZ212" i="52"/>
  <c r="BZ105" i="52" s="1"/>
  <c r="BH244" i="52"/>
  <c r="BH22" i="52" s="1"/>
  <c r="BV155" i="52"/>
  <c r="BV30" i="52" s="1"/>
  <c r="BM212" i="52"/>
  <c r="BM105" i="52" s="1"/>
  <c r="BP158" i="52"/>
  <c r="BP96" i="52" s="1"/>
  <c r="BM256" i="52"/>
  <c r="BM25" i="52" s="1"/>
  <c r="BJ234" i="52"/>
  <c r="BJ65" i="52" s="1"/>
  <c r="BN142" i="52"/>
  <c r="BN6" i="52" s="1"/>
  <c r="BP156" i="52"/>
  <c r="BP52" i="52" s="1"/>
  <c r="BT187" i="52"/>
  <c r="BT79" i="52" s="1"/>
  <c r="AY240" i="52"/>
  <c r="AY67" i="52" s="1"/>
  <c r="BG221" i="52"/>
  <c r="BG40" i="52" s="1"/>
  <c r="BL226" i="52"/>
  <c r="BL20" i="52" s="1"/>
  <c r="BO244" i="52"/>
  <c r="BO22" i="52" s="1"/>
  <c r="AW265" i="52"/>
  <c r="AW92" i="52" s="1"/>
  <c r="BT235" i="52"/>
  <c r="BT87" i="52" s="1"/>
  <c r="BB251" i="52"/>
  <c r="BB46" i="52" s="1"/>
  <c r="AW227" i="52"/>
  <c r="AW42" i="52" s="1"/>
  <c r="BY211" i="52"/>
  <c r="BY83" i="52" s="1"/>
  <c r="BW192" i="52"/>
  <c r="BW58" i="52" s="1"/>
  <c r="AX210" i="52"/>
  <c r="AX61" i="52" s="1"/>
  <c r="BP260" i="52"/>
  <c r="BP113" i="52" s="1"/>
  <c r="BV263" i="52"/>
  <c r="BV48" i="52" s="1"/>
  <c r="BU154" i="52"/>
  <c r="BU8" i="52" s="1"/>
  <c r="BZ193" i="52"/>
  <c r="BZ80" i="52" s="1"/>
  <c r="BQ245" i="52"/>
  <c r="BQ44" i="52" s="1"/>
  <c r="AV229" i="52"/>
  <c r="AV86" i="52" s="1"/>
  <c r="BX254" i="52"/>
  <c r="BX112" i="52" s="1"/>
  <c r="BG259" i="52"/>
  <c r="BG91" i="52" s="1"/>
  <c r="BY202" i="52"/>
  <c r="BY16" i="52" s="1"/>
  <c r="BE220" i="52"/>
  <c r="BE18" i="52" s="1"/>
  <c r="BI263" i="52"/>
  <c r="BI48" i="52" s="1"/>
  <c r="BT156" i="52"/>
  <c r="BT52" i="52" s="1"/>
  <c r="BT146" i="52"/>
  <c r="BT94" i="52" s="1"/>
  <c r="BY144" i="52"/>
  <c r="BY50" i="52" s="1"/>
  <c r="BI209" i="52"/>
  <c r="BI39" i="52" s="1"/>
  <c r="BE216" i="52"/>
  <c r="BE63" i="52" s="1"/>
  <c r="BD245" i="52"/>
  <c r="BD44" i="52" s="1"/>
  <c r="BX176" i="52"/>
  <c r="BX99" i="52" s="1"/>
  <c r="AV228" i="52"/>
  <c r="AV64" i="52" s="1"/>
  <c r="BQ203" i="52"/>
  <c r="BQ38" i="52" s="1"/>
  <c r="BH212" i="52"/>
  <c r="BH105" i="52" s="1"/>
  <c r="BA259" i="52"/>
  <c r="BA91" i="52" s="1"/>
  <c r="BU204" i="52"/>
  <c r="BU60" i="52" s="1"/>
  <c r="BT173" i="52"/>
  <c r="BT33" i="52" s="1"/>
  <c r="BH247" i="52"/>
  <c r="BH88" i="52" s="1"/>
  <c r="AZ233" i="52"/>
  <c r="AZ43" i="52" s="1"/>
  <c r="BH226" i="52"/>
  <c r="BH20" i="52" s="1"/>
  <c r="BT149" i="52"/>
  <c r="BT29" i="52" s="1"/>
  <c r="BR210" i="52"/>
  <c r="BR61" i="52" s="1"/>
  <c r="BY173" i="52"/>
  <c r="BY33" i="52" s="1"/>
  <c r="BB215" i="52"/>
  <c r="BB41" i="52" s="1"/>
  <c r="BU180" i="52"/>
  <c r="BU56" i="52" s="1"/>
  <c r="BO212" i="52"/>
  <c r="BO105" i="52" s="1"/>
  <c r="BO232" i="52"/>
  <c r="BO21" i="52" s="1"/>
  <c r="BR223" i="52"/>
  <c r="BR84" i="52" s="1"/>
  <c r="AZ229" i="52"/>
  <c r="AZ86" i="52" s="1"/>
  <c r="BG216" i="52"/>
  <c r="BG63" i="52" s="1"/>
  <c r="BY209" i="52"/>
  <c r="BY39" i="52" s="1"/>
  <c r="BL202" i="52"/>
  <c r="BL16" i="52" s="1"/>
  <c r="BF222" i="52"/>
  <c r="BF62" i="52" s="1"/>
  <c r="BA211" i="52"/>
  <c r="BA83" i="52" s="1"/>
  <c r="AW226" i="52"/>
  <c r="AW20" i="52" s="1"/>
  <c r="BU211" i="52"/>
  <c r="BU83" i="52" s="1"/>
  <c r="BV222" i="52"/>
  <c r="BV62" i="52" s="1"/>
  <c r="BZ169" i="52"/>
  <c r="BZ76" i="52" s="1"/>
  <c r="BY224" i="52"/>
  <c r="BY106" i="52" s="1"/>
  <c r="BX149" i="52"/>
  <c r="BX29" i="52" s="1"/>
  <c r="BW188" i="52"/>
  <c r="BW101" i="52" s="1"/>
  <c r="BO259" i="52"/>
  <c r="BO91" i="52" s="1"/>
  <c r="BH228" i="52"/>
  <c r="BH64" i="52" s="1"/>
  <c r="BZ216" i="52"/>
  <c r="BZ63" i="52" s="1"/>
  <c r="BN228" i="52"/>
  <c r="BN64" i="52" s="1"/>
  <c r="BB257" i="52"/>
  <c r="BB47" i="52" s="1"/>
  <c r="BL205" i="52"/>
  <c r="BL82" i="52" s="1"/>
  <c r="BZ252" i="52"/>
  <c r="BZ68" i="52" s="1"/>
  <c r="BU176" i="52"/>
  <c r="BU99" i="52" s="1"/>
  <c r="BA242" i="52"/>
  <c r="BA111" i="52" s="1"/>
  <c r="BW186" i="52"/>
  <c r="BW57" i="52" s="1"/>
  <c r="BJ211" i="52"/>
  <c r="BJ83" i="52" s="1"/>
  <c r="BO142" i="52"/>
  <c r="BO6" i="52" s="1"/>
  <c r="BN205" i="52"/>
  <c r="BN82" i="52" s="1"/>
  <c r="BX222" i="52"/>
  <c r="BX62" i="52" s="1"/>
  <c r="BE222" i="52"/>
  <c r="BE62" i="52" s="1"/>
  <c r="BY185" i="52"/>
  <c r="BY35" i="52" s="1"/>
  <c r="BW266" i="52"/>
  <c r="BW114" i="52" s="1"/>
  <c r="BV162" i="52"/>
  <c r="BV53" i="52" s="1"/>
  <c r="BT263" i="52"/>
  <c r="BT48" i="52" s="1"/>
  <c r="BA230" i="52"/>
  <c r="BA108" i="52" s="1"/>
  <c r="BQ251" i="52"/>
  <c r="BQ46" i="52" s="1"/>
  <c r="BU181" i="52"/>
  <c r="BU78" i="52" s="1"/>
  <c r="BU152" i="52"/>
  <c r="BU95" i="52" s="1"/>
  <c r="BZ265" i="52"/>
  <c r="BZ92" i="52" s="1"/>
  <c r="BT257" i="52"/>
  <c r="BT47" i="52" s="1"/>
  <c r="BU149" i="52"/>
  <c r="BU29" i="52" s="1"/>
  <c r="AX262" i="52"/>
  <c r="AX26" i="52" s="1"/>
  <c r="BV152" i="52"/>
  <c r="BV95" i="52" s="1"/>
  <c r="BL215" i="52"/>
  <c r="BL41" i="52" s="1"/>
  <c r="BM216" i="52"/>
  <c r="BM63" i="52" s="1"/>
  <c r="BT206" i="52"/>
  <c r="BT104" i="52" s="1"/>
  <c r="BH258" i="52"/>
  <c r="BH69" i="52" s="1"/>
  <c r="BL263" i="52"/>
  <c r="BL48" i="52" s="1"/>
  <c r="BI223" i="52"/>
  <c r="BI84" i="52" s="1"/>
  <c r="AY212" i="52"/>
  <c r="AY105" i="52" s="1"/>
  <c r="BE247" i="52"/>
  <c r="BE88" i="52" s="1"/>
  <c r="BO257" i="52"/>
  <c r="BO47" i="52" s="1"/>
  <c r="BH239" i="52"/>
  <c r="BH45" i="52" s="1"/>
  <c r="AZ211" i="52"/>
  <c r="AZ83" i="52" s="1"/>
  <c r="BZ194" i="52"/>
  <c r="BZ102" i="52" s="1"/>
  <c r="BO260" i="52"/>
  <c r="BO113" i="52" s="1"/>
  <c r="BN202" i="52"/>
  <c r="BN16" i="52" s="1"/>
  <c r="BQ252" i="52"/>
  <c r="BQ68" i="52" s="1"/>
  <c r="BY150" i="52"/>
  <c r="BY51" i="52" s="1"/>
  <c r="BV220" i="52"/>
  <c r="BV18" i="52" s="1"/>
  <c r="BW227" i="52"/>
  <c r="BW42" i="52" s="1"/>
  <c r="BT152" i="52"/>
  <c r="BT95" i="52" s="1"/>
  <c r="BY142" i="52"/>
  <c r="BY6" i="52" s="1"/>
  <c r="BZ168" i="52"/>
  <c r="BZ54" i="52" s="1"/>
  <c r="BN263" i="52"/>
  <c r="BN48" i="52" s="1"/>
  <c r="BF262" i="52"/>
  <c r="BF26" i="52" s="1"/>
  <c r="BI227" i="52"/>
  <c r="BI42" i="52" s="1"/>
  <c r="AX239" i="52"/>
  <c r="AX45" i="52" s="1"/>
  <c r="BZ236" i="52"/>
  <c r="BZ109" i="52" s="1"/>
  <c r="BU257" i="52"/>
  <c r="BU47" i="52" s="1"/>
  <c r="AV260" i="52"/>
  <c r="AV113" i="52" s="1"/>
  <c r="BU150" i="52"/>
  <c r="BU51" i="52" s="1"/>
  <c r="BW205" i="52"/>
  <c r="BW82" i="52" s="1"/>
  <c r="BE210" i="52"/>
  <c r="BE61" i="52" s="1"/>
  <c r="BG251" i="52"/>
  <c r="BG46" i="52" s="1"/>
  <c r="BY260" i="52"/>
  <c r="BY113" i="52" s="1"/>
  <c r="BQ222" i="52"/>
  <c r="BQ62" i="52" s="1"/>
  <c r="BA214" i="52"/>
  <c r="BA19" i="52" s="1"/>
  <c r="BT256" i="52"/>
  <c r="BT25" i="52" s="1"/>
  <c r="BJ212" i="52"/>
  <c r="BJ105" i="52" s="1"/>
  <c r="BQ220" i="52"/>
  <c r="BQ18" i="52" s="1"/>
  <c r="BO204" i="52"/>
  <c r="BO60" i="52" s="1"/>
  <c r="BI245" i="52"/>
  <c r="BI44" i="52" s="1"/>
  <c r="BM235" i="52"/>
  <c r="BM87" i="52" s="1"/>
  <c r="BW224" i="52"/>
  <c r="BW106" i="52" s="1"/>
  <c r="BX236" i="52"/>
  <c r="BX109" i="52" s="1"/>
  <c r="BM214" i="52"/>
  <c r="BM19" i="52" s="1"/>
  <c r="BY264" i="52"/>
  <c r="BY70" i="52" s="1"/>
  <c r="BV145" i="52"/>
  <c r="BV72" i="52" s="1"/>
  <c r="BA254" i="52"/>
  <c r="BA112" i="52" s="1"/>
  <c r="BL220" i="52"/>
  <c r="BL18" i="52" s="1"/>
  <c r="BX150" i="52"/>
  <c r="BX51" i="52" s="1"/>
  <c r="AZ245" i="52"/>
  <c r="AZ44" i="52" s="1"/>
  <c r="BJ239" i="52"/>
  <c r="BJ45" i="52" s="1"/>
  <c r="AV210" i="52"/>
  <c r="AV61" i="52" s="1"/>
  <c r="BV179" i="52"/>
  <c r="BV34" i="52" s="1"/>
  <c r="AV242" i="52"/>
  <c r="AV111" i="52" s="1"/>
  <c r="BG253" i="52"/>
  <c r="BG90" i="52" s="1"/>
  <c r="BJ264" i="52"/>
  <c r="BJ70" i="52" s="1"/>
  <c r="BF266" i="52"/>
  <c r="BF114" i="52" s="1"/>
  <c r="BU250" i="52"/>
  <c r="BU24" i="52" s="1"/>
  <c r="BQ263" i="52"/>
  <c r="BQ48" i="52" s="1"/>
  <c r="AX242" i="52"/>
  <c r="AX111" i="52" s="1"/>
  <c r="BU160" i="52"/>
  <c r="BU9" i="52" s="1"/>
  <c r="BL148" i="52"/>
  <c r="BL7" i="52" s="1"/>
  <c r="BL151" i="52"/>
  <c r="BL73" i="52" s="1"/>
  <c r="BL253" i="52"/>
  <c r="BL90" i="52" s="1"/>
  <c r="BZ146" i="52"/>
  <c r="BZ94" i="52" s="1"/>
  <c r="AW263" i="52"/>
  <c r="AW48" i="52" s="1"/>
  <c r="BY176" i="52"/>
  <c r="BY99" i="52" s="1"/>
  <c r="BZ176" i="52"/>
  <c r="BZ99" i="52" s="1"/>
  <c r="BW176" i="52"/>
  <c r="BW99" i="52" s="1"/>
  <c r="BU224" i="52"/>
  <c r="BU106" i="52" s="1"/>
  <c r="BW258" i="52"/>
  <c r="BW69" i="52" s="1"/>
  <c r="AW252" i="52"/>
  <c r="AW68" i="52" s="1"/>
  <c r="BL211" i="52"/>
  <c r="BL83" i="52" s="1"/>
  <c r="BF220" i="52"/>
  <c r="BF18" i="52" s="1"/>
  <c r="BX262" i="52"/>
  <c r="BX26" i="52" s="1"/>
  <c r="BL204" i="52"/>
  <c r="BL60" i="52" s="1"/>
  <c r="AW253" i="52"/>
  <c r="AW90" i="52" s="1"/>
  <c r="BL244" i="52"/>
  <c r="BL22" i="52" s="1"/>
  <c r="BV215" i="52"/>
  <c r="BV41" i="52" s="1"/>
  <c r="BX217" i="52"/>
  <c r="BX85" i="52" s="1"/>
  <c r="BV229" i="52"/>
  <c r="BV86" i="52" s="1"/>
  <c r="AZ232" i="52"/>
  <c r="AZ21" i="52" s="1"/>
  <c r="BP234" i="52"/>
  <c r="BP65" i="52" s="1"/>
  <c r="BP221" i="52"/>
  <c r="BP40" i="52" s="1"/>
  <c r="BW221" i="52"/>
  <c r="BW40" i="52" s="1"/>
  <c r="BY222" i="52"/>
  <c r="BY62" i="52" s="1"/>
  <c r="BE215" i="52"/>
  <c r="BE41" i="52" s="1"/>
  <c r="BY210" i="52"/>
  <c r="BY61" i="52" s="1"/>
  <c r="BG250" i="52"/>
  <c r="BG24" i="52" s="1"/>
  <c r="BP244" i="52"/>
  <c r="BP22" i="52" s="1"/>
  <c r="BT143" i="52"/>
  <c r="BT28" i="52" s="1"/>
  <c r="BT193" i="52"/>
  <c r="BT80" i="52" s="1"/>
  <c r="BW157" i="52"/>
  <c r="BW74" i="52" s="1"/>
  <c r="BN244" i="52"/>
  <c r="BN22" i="52" s="1"/>
  <c r="BF216" i="52"/>
  <c r="BF63" i="52" s="1"/>
  <c r="BX162" i="52"/>
  <c r="BX53" i="52" s="1"/>
  <c r="BJ250" i="52"/>
  <c r="BJ24" i="52" s="1"/>
  <c r="BZ202" i="52"/>
  <c r="BZ16" i="52" s="1"/>
  <c r="BT178" i="52"/>
  <c r="BT12" i="52" s="1"/>
  <c r="BQ210" i="52"/>
  <c r="BQ61" i="52" s="1"/>
  <c r="BV192" i="52"/>
  <c r="BV58" i="52" s="1"/>
  <c r="BU233" i="52"/>
  <c r="BU43" i="52" s="1"/>
  <c r="BT228" i="52"/>
  <c r="BT64" i="52" s="1"/>
  <c r="BZ254" i="52"/>
  <c r="BZ112" i="52" s="1"/>
  <c r="BU232" i="52"/>
  <c r="BU21" i="52" s="1"/>
  <c r="BY259" i="52"/>
  <c r="BY91" i="52" s="1"/>
  <c r="BX190" i="52"/>
  <c r="BX14" i="52" s="1"/>
  <c r="BR227" i="52"/>
  <c r="BR42" i="52" s="1"/>
  <c r="AV223" i="52"/>
  <c r="AV84" i="52" s="1"/>
  <c r="BP155" i="52"/>
  <c r="BP30" i="52" s="1"/>
  <c r="BT158" i="52"/>
  <c r="BT96" i="52" s="1"/>
  <c r="AZ246" i="52"/>
  <c r="AZ66" i="52" s="1"/>
  <c r="BW194" i="52"/>
  <c r="BW102" i="52" s="1"/>
  <c r="BJ246" i="52"/>
  <c r="BJ66" i="52" s="1"/>
  <c r="BG211" i="52"/>
  <c r="BG83" i="52" s="1"/>
  <c r="BV175" i="52"/>
  <c r="BV77" i="52" s="1"/>
  <c r="BJ244" i="52"/>
  <c r="BJ22" i="52" s="1"/>
  <c r="AV241" i="52"/>
  <c r="AV89" i="52" s="1"/>
  <c r="AX211" i="52"/>
  <c r="AX83" i="52" s="1"/>
  <c r="BG241" i="52"/>
  <c r="BG89" i="52" s="1"/>
  <c r="BM259" i="52"/>
  <c r="BM91" i="52" s="1"/>
  <c r="BV205" i="52"/>
  <c r="BV82" i="52" s="1"/>
  <c r="AY204" i="52"/>
  <c r="AY60" i="52" s="1"/>
  <c r="BO216" i="52"/>
  <c r="BO63" i="52" s="1"/>
  <c r="AV256" i="52"/>
  <c r="AV25" i="52" s="1"/>
  <c r="BH205" i="52"/>
  <c r="BH82" i="52" s="1"/>
  <c r="BZ178" i="52"/>
  <c r="BZ12" i="52" s="1"/>
  <c r="BF205" i="52"/>
  <c r="BF82" i="52" s="1"/>
  <c r="AX220" i="52"/>
  <c r="AX18" i="52" s="1"/>
  <c r="BE211" i="52"/>
  <c r="BE83" i="52" s="1"/>
  <c r="BD222" i="52"/>
  <c r="BD62" i="52" s="1"/>
  <c r="BT216" i="52"/>
  <c r="BT63" i="52" s="1"/>
  <c r="BO151" i="52"/>
  <c r="BO73" i="52" s="1"/>
  <c r="BF256" i="52"/>
  <c r="BF25" i="52" s="1"/>
  <c r="BH242" i="52"/>
  <c r="BH111" i="52" s="1"/>
  <c r="BV157" i="52"/>
  <c r="BV74" i="52" s="1"/>
  <c r="BP146" i="52"/>
  <c r="BP94" i="52" s="1"/>
  <c r="BW250" i="52"/>
  <c r="BW24" i="52" s="1"/>
  <c r="BX144" i="52"/>
  <c r="BX50" i="52" s="1"/>
  <c r="AZ224" i="52"/>
  <c r="AZ106" i="52" s="1"/>
  <c r="BD244" i="52"/>
  <c r="BD22" i="52" s="1"/>
  <c r="AZ214" i="52"/>
  <c r="AZ19" i="52" s="1"/>
  <c r="BX229" i="52"/>
  <c r="BX86" i="52" s="1"/>
  <c r="BI206" i="52"/>
  <c r="BI104" i="52" s="1"/>
  <c r="BO155" i="52"/>
  <c r="BO30" i="52" s="1"/>
  <c r="BR157" i="52"/>
  <c r="BR74" i="52" s="1"/>
  <c r="BY181" i="52"/>
  <c r="BY78" i="52" s="1"/>
  <c r="BN232" i="52"/>
  <c r="BN21" i="52" s="1"/>
  <c r="AV258" i="52"/>
  <c r="AV69" i="52" s="1"/>
  <c r="BT144" i="52"/>
  <c r="BT50" i="52" s="1"/>
  <c r="BF252" i="52"/>
  <c r="BF68" i="52" s="1"/>
  <c r="BN151" i="52"/>
  <c r="BN73" i="52" s="1"/>
  <c r="BQ257" i="52"/>
  <c r="BQ47" i="52" s="1"/>
  <c r="BQ265" i="52"/>
  <c r="BQ92" i="52" s="1"/>
  <c r="BB212" i="52"/>
  <c r="BB105" i="52" s="1"/>
  <c r="BX224" i="52"/>
  <c r="BX106" i="52" s="1"/>
  <c r="BG226" i="52"/>
  <c r="BG20" i="52" s="1"/>
  <c r="BY193" i="52"/>
  <c r="BY80" i="52" s="1"/>
  <c r="BQ155" i="52"/>
  <c r="BQ30" i="52" s="1"/>
  <c r="BT258" i="52"/>
  <c r="BT69" i="52" s="1"/>
  <c r="AW260" i="52"/>
  <c r="AW113" i="52" s="1"/>
  <c r="BL142" i="52"/>
  <c r="BL6" i="52" s="1"/>
  <c r="BI205" i="52"/>
  <c r="BI82" i="52" s="1"/>
  <c r="BW180" i="52"/>
  <c r="BW56" i="52" s="1"/>
  <c r="BX227" i="52"/>
  <c r="BX42" i="52" s="1"/>
  <c r="BL252" i="52"/>
  <c r="BL68" i="52" s="1"/>
  <c r="AY264" i="52"/>
  <c r="AY70" i="52" s="1"/>
  <c r="BV230" i="52"/>
  <c r="BV108" i="52" s="1"/>
  <c r="BP254" i="52"/>
  <c r="BP112" i="52" s="1"/>
  <c r="AY222" i="52"/>
  <c r="AY62" i="52" s="1"/>
  <c r="BM157" i="52"/>
  <c r="BM74" i="52" s="1"/>
  <c r="AW242" i="52"/>
  <c r="AW111" i="52" s="1"/>
  <c r="BR215" i="52"/>
  <c r="BR41" i="52" s="1"/>
  <c r="BR221" i="52"/>
  <c r="BR40" i="52" s="1"/>
  <c r="BZ264" i="52"/>
  <c r="BZ70" i="52" s="1"/>
  <c r="BU145" i="52"/>
  <c r="BU72" i="52" s="1"/>
  <c r="AX222" i="52"/>
  <c r="AX62" i="52" s="1"/>
  <c r="BR235" i="52"/>
  <c r="BR87" i="52" s="1"/>
  <c r="BV208" i="52"/>
  <c r="BV17" i="52" s="1"/>
  <c r="BE250" i="52"/>
  <c r="BE24" i="52" s="1"/>
  <c r="BA258" i="52"/>
  <c r="BA69" i="52" s="1"/>
  <c r="BJ232" i="52"/>
  <c r="BJ21" i="52" s="1"/>
  <c r="BX180" i="52"/>
  <c r="BX56" i="52" s="1"/>
  <c r="BU164" i="52"/>
  <c r="BU97" i="52" s="1"/>
  <c r="BR250" i="52"/>
  <c r="BR24" i="52" s="1"/>
  <c r="BZ260" i="52"/>
  <c r="BZ113" i="52" s="1"/>
  <c r="BZ259" i="52"/>
  <c r="BZ91" i="52" s="1"/>
  <c r="BX264" i="52"/>
  <c r="BX70" i="52" s="1"/>
  <c r="BF234" i="52"/>
  <c r="BF65" i="52" s="1"/>
  <c r="BG203" i="52"/>
  <c r="BG38" i="52" s="1"/>
  <c r="BM263" i="52"/>
  <c r="BM48" i="52" s="1"/>
  <c r="BX146" i="52"/>
  <c r="BX94" i="52" s="1"/>
  <c r="BN218" i="52"/>
  <c r="BN107" i="52" s="1"/>
  <c r="BY143" i="52"/>
  <c r="BY28" i="52" s="1"/>
  <c r="BZ218" i="52"/>
  <c r="BZ107" i="52" s="1"/>
  <c r="AY224" i="52"/>
  <c r="AY106" i="52" s="1"/>
  <c r="BI214" i="52"/>
  <c r="BI19" i="52" s="1"/>
  <c r="BX179" i="52"/>
  <c r="BX34" i="52" s="1"/>
  <c r="AY266" i="52"/>
  <c r="AY114" i="52" s="1"/>
  <c r="BG263" i="52"/>
  <c r="BG48" i="52" s="1"/>
  <c r="BD215" i="52"/>
  <c r="BD41" i="52" s="1"/>
  <c r="BV170" i="52"/>
  <c r="BV98" i="52" s="1"/>
  <c r="BT150" i="52"/>
  <c r="BT51" i="52" s="1"/>
  <c r="BA208" i="52"/>
  <c r="BA17" i="52" s="1"/>
  <c r="AZ209" i="52"/>
  <c r="AZ39" i="52" s="1"/>
  <c r="BI211" i="52"/>
  <c r="BI83" i="52" s="1"/>
  <c r="BQ146" i="52"/>
  <c r="BQ94" i="52" s="1"/>
  <c r="BB216" i="52"/>
  <c r="BB63" i="52" s="1"/>
  <c r="BP256" i="52"/>
  <c r="BP25" i="52" s="1"/>
  <c r="BI238" i="52"/>
  <c r="BI23" i="52" s="1"/>
  <c r="AX251" i="52"/>
  <c r="AX46" i="52" s="1"/>
  <c r="BX215" i="52"/>
  <c r="BX41" i="52" s="1"/>
  <c r="BW166" i="52"/>
  <c r="BW10" i="52" s="1"/>
  <c r="AX247" i="52"/>
  <c r="AX88" i="52" s="1"/>
  <c r="BJ228" i="52"/>
  <c r="BJ64" i="52" s="1"/>
  <c r="BN221" i="52"/>
  <c r="BN40" i="52" s="1"/>
  <c r="BQ226" i="52"/>
  <c r="BQ20" i="52" s="1"/>
  <c r="BM229" i="52"/>
  <c r="BM86" i="52" s="1"/>
  <c r="BM211" i="52"/>
  <c r="BM83" i="52" s="1"/>
  <c r="BZ149" i="52"/>
  <c r="BZ29" i="52" s="1"/>
  <c r="BP241" i="52"/>
  <c r="BP89" i="52" s="1"/>
  <c r="BW233" i="52"/>
  <c r="BW43" i="52" s="1"/>
  <c r="BB203" i="52"/>
  <c r="BB38" i="52" s="1"/>
  <c r="BW251" i="52"/>
  <c r="BW46" i="52" s="1"/>
  <c r="BD262" i="52"/>
  <c r="BD26" i="52" s="1"/>
  <c r="BT204" i="52"/>
  <c r="BT60" i="52" s="1"/>
  <c r="AX244" i="52"/>
  <c r="AX22" i="52" s="1"/>
  <c r="BD206" i="52"/>
  <c r="BD104" i="52" s="1"/>
  <c r="BX250" i="52"/>
  <c r="BX24" i="52" s="1"/>
  <c r="BY208" i="52"/>
  <c r="BY17" i="52" s="1"/>
  <c r="BL222" i="52"/>
  <c r="BL62" i="52" s="1"/>
  <c r="BD253" i="52"/>
  <c r="BD90" i="52" s="1"/>
  <c r="BM262" i="52"/>
  <c r="BM26" i="52" s="1"/>
  <c r="BX188" i="52"/>
  <c r="BX101" i="52" s="1"/>
  <c r="BW217" i="52"/>
  <c r="BW85" i="52" s="1"/>
  <c r="BH214" i="52"/>
  <c r="BH19" i="52" s="1"/>
  <c r="BW234" i="52"/>
  <c r="BW65" i="52" s="1"/>
  <c r="AY221" i="52"/>
  <c r="AY40" i="52" s="1"/>
  <c r="BR149" i="52"/>
  <c r="BR29" i="52" s="1"/>
  <c r="BO252" i="52"/>
  <c r="BO68" i="52" s="1"/>
  <c r="BF248" i="52"/>
  <c r="BF110" i="52" s="1"/>
  <c r="BW252" i="52"/>
  <c r="BW68" i="52" s="1"/>
  <c r="BJ209" i="52"/>
  <c r="BJ39" i="52" s="1"/>
  <c r="BT160" i="52"/>
  <c r="BT9" i="52" s="1"/>
  <c r="BI251" i="52"/>
  <c r="BI46" i="52" s="1"/>
  <c r="BD224" i="52"/>
  <c r="BD106" i="52" s="1"/>
  <c r="BW170" i="52"/>
  <c r="BW98" i="52" s="1"/>
  <c r="BR143" i="52"/>
  <c r="BR28" i="52" s="1"/>
  <c r="BV148" i="52"/>
  <c r="BV7" i="52" s="1"/>
  <c r="BP143" i="52"/>
  <c r="BP28" i="52" s="1"/>
  <c r="AW259" i="52"/>
  <c r="AW91" i="52" s="1"/>
  <c r="BZ180" i="52"/>
  <c r="BZ56" i="52" s="1"/>
  <c r="BZ151" i="52"/>
  <c r="BZ73" i="52" s="1"/>
  <c r="BM210" i="52"/>
  <c r="BM61" i="52" s="1"/>
  <c r="BZ257" i="52"/>
  <c r="BZ47" i="52" s="1"/>
  <c r="BZ215" i="52"/>
  <c r="BZ41" i="52" s="1"/>
  <c r="BW216" i="52"/>
  <c r="BW63" i="52" s="1"/>
  <c r="BY265" i="52"/>
  <c r="BY92" i="52" s="1"/>
  <c r="BP154" i="52"/>
  <c r="BP8" i="52" s="1"/>
  <c r="BJ210" i="52"/>
  <c r="BJ61" i="52" s="1"/>
  <c r="BL145" i="52"/>
  <c r="BL72" i="52" s="1"/>
  <c r="BH263" i="52"/>
  <c r="BH48" i="52" s="1"/>
  <c r="BV221" i="52"/>
  <c r="BV40" i="52" s="1"/>
  <c r="AV247" i="52"/>
  <c r="AV88" i="52" s="1"/>
  <c r="BB263" i="52"/>
  <c r="BB48" i="52" s="1"/>
  <c r="BR214" i="52"/>
  <c r="BR19" i="52" s="1"/>
  <c r="BQ208" i="52"/>
  <c r="BQ17" i="52" s="1"/>
  <c r="BO240" i="52"/>
  <c r="BO67" i="52" s="1"/>
  <c r="AV259" i="52"/>
  <c r="AV91" i="52" s="1"/>
  <c r="BY205" i="52"/>
  <c r="BY82" i="52" s="1"/>
  <c r="AZ262" i="52"/>
  <c r="AZ26" i="52" s="1"/>
  <c r="BM228" i="52"/>
  <c r="BM64" i="52" s="1"/>
  <c r="AV214" i="52"/>
  <c r="AV19" i="52" s="1"/>
  <c r="BI208" i="52"/>
  <c r="BI17" i="52" s="1"/>
  <c r="BY164" i="52"/>
  <c r="BY97" i="52" s="1"/>
  <c r="BY172" i="52"/>
  <c r="BY11" i="52" s="1"/>
  <c r="BQ218" i="52"/>
  <c r="BQ107" i="52" s="1"/>
  <c r="BY158" i="52"/>
  <c r="BY96" i="52" s="1"/>
  <c r="AW216" i="52"/>
  <c r="AW63" i="52" s="1"/>
  <c r="BM209" i="52"/>
  <c r="BM39" i="52" s="1"/>
  <c r="AX215" i="52"/>
  <c r="AX41" i="52" s="1"/>
  <c r="BD203" i="52"/>
  <c r="BD38" i="52" s="1"/>
  <c r="BQ157" i="52"/>
  <c r="BQ74" i="52" s="1"/>
  <c r="BA246" i="52"/>
  <c r="BA66" i="52" s="1"/>
  <c r="BZ222" i="52"/>
  <c r="BZ62" i="52" s="1"/>
  <c r="BY187" i="52"/>
  <c r="BY79" i="52" s="1"/>
  <c r="AY259" i="52"/>
  <c r="AY91" i="52" s="1"/>
  <c r="BW259" i="52"/>
  <c r="BW91" i="52" s="1"/>
  <c r="BP224" i="52"/>
  <c r="BP106" i="52" s="1"/>
  <c r="BT214" i="52"/>
  <c r="BT19" i="52" s="1"/>
  <c r="BD266" i="52"/>
  <c r="BD114" i="52" s="1"/>
  <c r="BF265" i="52"/>
  <c r="BF92" i="52" s="1"/>
  <c r="BO156" i="52"/>
  <c r="BO52" i="52" s="1"/>
  <c r="BX154" i="52"/>
  <c r="BX8" i="52" s="1"/>
  <c r="BY174" i="52"/>
  <c r="BY55" i="52" s="1"/>
  <c r="BO211" i="52"/>
  <c r="BO83" i="52" s="1"/>
  <c r="BB232" i="52"/>
  <c r="BB21" i="52" s="1"/>
  <c r="BW182" i="52"/>
  <c r="BW100" i="52" s="1"/>
  <c r="BG206" i="52"/>
  <c r="BG104" i="52" s="1"/>
  <c r="BD252" i="52"/>
  <c r="BD68" i="52" s="1"/>
  <c r="BA226" i="52"/>
  <c r="BA20" i="52" s="1"/>
  <c r="BX163" i="52"/>
  <c r="BX75" i="52" s="1"/>
  <c r="BP227" i="52"/>
  <c r="BP42" i="52" s="1"/>
  <c r="BX235" i="52"/>
  <c r="BX87" i="52" s="1"/>
  <c r="BV160" i="52"/>
  <c r="BV9" i="52" s="1"/>
  <c r="BF202" i="52"/>
  <c r="BF16" i="52" s="1"/>
  <c r="BD241" i="52"/>
  <c r="BD89" i="52" s="1"/>
  <c r="BP151" i="52"/>
  <c r="BP73" i="52" s="1"/>
  <c r="BQ205" i="52"/>
  <c r="BQ82" i="52" s="1"/>
  <c r="BM204" i="52"/>
  <c r="BM60" i="52" s="1"/>
  <c r="BY146" i="52"/>
  <c r="BY94" i="52" s="1"/>
  <c r="BX226" i="52"/>
  <c r="BX20" i="52" s="1"/>
  <c r="BP208" i="52"/>
  <c r="BP17" i="52" s="1"/>
  <c r="BA222" i="52"/>
  <c r="BA62" i="52" s="1"/>
  <c r="BE214" i="52"/>
  <c r="BE19" i="52" s="1"/>
  <c r="BD208" i="52"/>
  <c r="BD17" i="52" s="1"/>
  <c r="BU235" i="52"/>
  <c r="BU87" i="52" s="1"/>
  <c r="BZ230" i="52"/>
  <c r="BZ108" i="52" s="1"/>
  <c r="BI212" i="52"/>
  <c r="BI105" i="52" s="1"/>
  <c r="BZ223" i="52"/>
  <c r="BZ84" i="52" s="1"/>
  <c r="BT217" i="52"/>
  <c r="BT85" i="52" s="1"/>
  <c r="BY203" i="52"/>
  <c r="BY38" i="52" s="1"/>
  <c r="BZ192" i="52"/>
  <c r="BZ58" i="52" s="1"/>
  <c r="AX238" i="52"/>
  <c r="AX23" i="52" s="1"/>
  <c r="BR146" i="52"/>
  <c r="BR94" i="52" s="1"/>
  <c r="BH245" i="52"/>
  <c r="BH44" i="52" s="1"/>
  <c r="BW149" i="52"/>
  <c r="BW29" i="52" s="1"/>
  <c r="BL223" i="52"/>
  <c r="BL84" i="52" s="1"/>
  <c r="BF212" i="52"/>
  <c r="BF105" i="52" s="1"/>
  <c r="BM215" i="52"/>
  <c r="BM41" i="52" s="1"/>
  <c r="BA245" i="52"/>
  <c r="BA44" i="52" s="1"/>
  <c r="BW178" i="52"/>
  <c r="BW12" i="52" s="1"/>
  <c r="BO230" i="52"/>
  <c r="BO108" i="52" s="1"/>
  <c r="BT236" i="52"/>
  <c r="BT109" i="52" s="1"/>
  <c r="AY229" i="52"/>
  <c r="AY86" i="52" s="1"/>
  <c r="BL218" i="52"/>
  <c r="BL107" i="52" s="1"/>
  <c r="BY251" i="52"/>
  <c r="BY46" i="52" s="1"/>
  <c r="BP263" i="52"/>
  <c r="BP48" i="52" s="1"/>
  <c r="AZ226" i="52"/>
  <c r="AZ20" i="52" s="1"/>
  <c r="BV210" i="52"/>
  <c r="BV61" i="52" s="1"/>
  <c r="BT222" i="52"/>
  <c r="BT62" i="52" s="1"/>
  <c r="AY215" i="52"/>
  <c r="AY41" i="52" s="1"/>
  <c r="BD233" i="52"/>
  <c r="BD43" i="52" s="1"/>
  <c r="BP230" i="52"/>
  <c r="BP108" i="52" s="1"/>
  <c r="AX212" i="52"/>
  <c r="AX105" i="52" s="1"/>
  <c r="BF215" i="52"/>
  <c r="BF41" i="52" s="1"/>
  <c r="BZ217" i="52"/>
  <c r="BZ85" i="52" s="1"/>
  <c r="BR260" i="52"/>
  <c r="BR113" i="52" s="1"/>
  <c r="BU234" i="52"/>
  <c r="BU65" i="52" s="1"/>
  <c r="AX205" i="52"/>
  <c r="AX82" i="52" s="1"/>
  <c r="AX232" i="52"/>
  <c r="AX21" i="52" s="1"/>
  <c r="AX209" i="52"/>
  <c r="AX39" i="52" s="1"/>
  <c r="BM221" i="52"/>
  <c r="BM40" i="52" s="1"/>
  <c r="BX169" i="52"/>
  <c r="BX76" i="52" s="1"/>
  <c r="AX266" i="52"/>
  <c r="AX114" i="52" s="1"/>
  <c r="BH246" i="52"/>
  <c r="BH66" i="52" s="1"/>
  <c r="BL209" i="52"/>
  <c r="BL39" i="52" s="1"/>
  <c r="BR154" i="52"/>
  <c r="BR8" i="52" s="1"/>
  <c r="BH256" i="52"/>
  <c r="BH25" i="52" s="1"/>
  <c r="BV178" i="52"/>
  <c r="BV12" i="52" s="1"/>
  <c r="BW167" i="52"/>
  <c r="BW32" i="52" s="1"/>
  <c r="BI257" i="52"/>
  <c r="BI47" i="52" s="1"/>
  <c r="BA209" i="52"/>
  <c r="BA39" i="52" s="1"/>
  <c r="BN236" i="52"/>
  <c r="BN109" i="52" s="1"/>
  <c r="BD210" i="52"/>
  <c r="BD61" i="52" s="1"/>
  <c r="BT209" i="52"/>
  <c r="BT39" i="52" s="1"/>
  <c r="AX256" i="52"/>
  <c r="AX25" i="52" s="1"/>
  <c r="BE229" i="52"/>
  <c r="BE86" i="52" s="1"/>
  <c r="AW247" i="52"/>
  <c r="AW88" i="52" s="1"/>
  <c r="AY202" i="52"/>
  <c r="AY16" i="52" s="1"/>
  <c r="BH210" i="52"/>
  <c r="BH61" i="52" s="1"/>
  <c r="BU144" i="52"/>
  <c r="BU50" i="52" s="1"/>
  <c r="BY161" i="52"/>
  <c r="BY31" i="52" s="1"/>
  <c r="BY233" i="52"/>
  <c r="BY43" i="52" s="1"/>
  <c r="BQ239" i="52"/>
  <c r="BQ45" i="52" s="1"/>
  <c r="BB224" i="52"/>
  <c r="BB106" i="52" s="1"/>
  <c r="BV191" i="52"/>
  <c r="BV36" i="52" s="1"/>
  <c r="BN158" i="52"/>
  <c r="BN96" i="52" s="1"/>
  <c r="BA210" i="52"/>
  <c r="BA61" i="52" s="1"/>
  <c r="BQ229" i="52"/>
  <c r="BQ86" i="52" s="1"/>
  <c r="BW208" i="52"/>
  <c r="BW17" i="52" s="1"/>
  <c r="BM155" i="52"/>
  <c r="BM30" i="52" s="1"/>
  <c r="BN226" i="52"/>
  <c r="BN20" i="52" s="1"/>
  <c r="BW161" i="52"/>
  <c r="BW31" i="52" s="1"/>
  <c r="BH238" i="52"/>
  <c r="BH23" i="52" s="1"/>
  <c r="AW205" i="52"/>
  <c r="AW82" i="52" s="1"/>
  <c r="BH206" i="52"/>
  <c r="BH104" i="52" s="1"/>
  <c r="BW232" i="52"/>
  <c r="BW21" i="52" s="1"/>
  <c r="BL208" i="52"/>
  <c r="BL17" i="52" s="1"/>
  <c r="BR211" i="52"/>
  <c r="BR83" i="52" s="1"/>
  <c r="BY149" i="52"/>
  <c r="BY29" i="52" s="1"/>
  <c r="BP252" i="52"/>
  <c r="BP68" i="52" s="1"/>
  <c r="AZ230" i="52"/>
  <c r="AZ108" i="52" s="1"/>
  <c r="BU187" i="52"/>
  <c r="BU79" i="52" s="1"/>
  <c r="BZ224" i="52"/>
  <c r="BZ106" i="52" s="1"/>
  <c r="BB266" i="52"/>
  <c r="BB114" i="52" s="1"/>
  <c r="BN251" i="52"/>
  <c r="BN46" i="52" s="1"/>
  <c r="BZ157" i="52"/>
  <c r="BZ74" i="52" s="1"/>
  <c r="BB240" i="52"/>
  <c r="BB67" i="52" s="1"/>
  <c r="BN254" i="52"/>
  <c r="BN112" i="52" s="1"/>
  <c r="AV252" i="52"/>
  <c r="AV68" i="52" s="1"/>
  <c r="BU202" i="52"/>
  <c r="BU16" i="52" s="1"/>
  <c r="BR222" i="52"/>
  <c r="BR62" i="52" s="1"/>
  <c r="BN257" i="52"/>
  <c r="BN47" i="52" s="1"/>
  <c r="BL152" i="52"/>
  <c r="BL95" i="52" s="1"/>
  <c r="BW256" i="52"/>
  <c r="BW25" i="52" s="1"/>
  <c r="BP233" i="52"/>
  <c r="BP43" i="52" s="1"/>
  <c r="BH252" i="52"/>
  <c r="BH68" i="52" s="1"/>
  <c r="AY235" i="52"/>
  <c r="AY87" i="52" s="1"/>
  <c r="BU168" i="52"/>
  <c r="BU54" i="52" s="1"/>
  <c r="BB238" i="52"/>
  <c r="BB23" i="52" s="1"/>
  <c r="BU161" i="52"/>
  <c r="BU31" i="52" s="1"/>
  <c r="BO222" i="52"/>
  <c r="BO62" i="52" s="1"/>
  <c r="BI232" i="52"/>
  <c r="BI21" i="52" s="1"/>
  <c r="AV264" i="52"/>
  <c r="AV70" i="52" s="1"/>
  <c r="BP144" i="52"/>
  <c r="BP50" i="52" s="1"/>
  <c r="AX240" i="52"/>
  <c r="AX67" i="52" s="1"/>
  <c r="BN152" i="52"/>
  <c r="BN95" i="52" s="1"/>
  <c r="BR244" i="52"/>
  <c r="BR22" i="52" s="1"/>
  <c r="BX142" i="52"/>
  <c r="BX6" i="52" s="1"/>
  <c r="BQ143" i="52"/>
  <c r="BQ28" i="52" s="1"/>
  <c r="BM236" i="52"/>
  <c r="BM109" i="52" s="1"/>
  <c r="BV214" i="52"/>
  <c r="BV19" i="52" s="1"/>
  <c r="AX228" i="52"/>
  <c r="AX64" i="52" s="1"/>
  <c r="BE230" i="52"/>
  <c r="BE108" i="52" s="1"/>
  <c r="BO264" i="52"/>
  <c r="BO70" i="52" s="1"/>
  <c r="AY234" i="52"/>
  <c r="AY65" i="52" s="1"/>
  <c r="BN264" i="52"/>
  <c r="BN70" i="52" s="1"/>
  <c r="BV223" i="52"/>
  <c r="BV84" i="52" s="1"/>
  <c r="BW235" i="52"/>
  <c r="BW87" i="52" s="1"/>
  <c r="BM227" i="52"/>
  <c r="BM42" i="52" s="1"/>
  <c r="BW215" i="52"/>
  <c r="BW41" i="52" s="1"/>
  <c r="BX155" i="52"/>
  <c r="BX30" i="52" s="1"/>
  <c r="BB210" i="52"/>
  <c r="BB61" i="52" s="1"/>
  <c r="AW240" i="52"/>
  <c r="AW67" i="52" s="1"/>
  <c r="BH233" i="52"/>
  <c r="BH43" i="52" s="1"/>
  <c r="BD250" i="52"/>
  <c r="BD24" i="52" s="1"/>
  <c r="BT253" i="52"/>
  <c r="BT90" i="52" s="1"/>
  <c r="BH265" i="52"/>
  <c r="BH92" i="52" s="1"/>
  <c r="BG215" i="52"/>
  <c r="BG41" i="52" s="1"/>
  <c r="BP206" i="52"/>
  <c r="BP104" i="52" s="1"/>
  <c r="BQ212" i="52"/>
  <c r="BQ105" i="52" s="1"/>
  <c r="BM149" i="52"/>
  <c r="BM29" i="52" s="1"/>
  <c r="BM158" i="52"/>
  <c r="BM96" i="52" s="1"/>
  <c r="BT185" i="52"/>
  <c r="BT35" i="52" s="1"/>
  <c r="AZ220" i="52"/>
  <c r="AZ18" i="52" s="1"/>
  <c r="BU194" i="52"/>
  <c r="BU102" i="52" s="1"/>
  <c r="AW210" i="52"/>
  <c r="AW61" i="52" s="1"/>
  <c r="BZ211" i="52"/>
  <c r="BZ83" i="52" s="1"/>
  <c r="BL235" i="52"/>
  <c r="BL87" i="52" s="1"/>
  <c r="BX232" i="52"/>
  <c r="BX21" i="52" s="1"/>
  <c r="AV208" i="52"/>
  <c r="AV17" i="52" s="1"/>
  <c r="BR148" i="52"/>
  <c r="BR7" i="52" s="1"/>
  <c r="BX156" i="52"/>
  <c r="BX52" i="52" s="1"/>
  <c r="BA264" i="52"/>
  <c r="BA70" i="52" s="1"/>
  <c r="BZ187" i="52"/>
  <c r="BZ79" i="52" s="1"/>
  <c r="BT168" i="52"/>
  <c r="BT54" i="52" s="1"/>
  <c r="BG204" i="52"/>
  <c r="BG60" i="52" s="1"/>
  <c r="BP211" i="52"/>
  <c r="BP83" i="52" s="1"/>
  <c r="BW148" i="52"/>
  <c r="BW7" i="52" s="1"/>
  <c r="BV228" i="52"/>
  <c r="BV64" i="52" s="1"/>
  <c r="BQ256" i="52"/>
  <c r="BQ25" i="52" s="1"/>
  <c r="BT226" i="52"/>
  <c r="BT20" i="52" s="1"/>
  <c r="BY184" i="52"/>
  <c r="BY13" i="52" s="1"/>
  <c r="AY248" i="52"/>
  <c r="AY110" i="52" s="1"/>
  <c r="BX208" i="52"/>
  <c r="BX17" i="52" s="1"/>
  <c r="BD259" i="52"/>
  <c r="BD91" i="52" s="1"/>
  <c r="BA220" i="52"/>
  <c r="BA18" i="52" s="1"/>
  <c r="BW210" i="52"/>
  <c r="BW61" i="52" s="1"/>
  <c r="BB228" i="52"/>
  <c r="BB64" i="52" s="1"/>
  <c r="BW263" i="52"/>
  <c r="BW48" i="52" s="1"/>
  <c r="BZ262" i="52"/>
  <c r="BZ26" i="52" s="1"/>
  <c r="BP253" i="52"/>
  <c r="BP90" i="52" s="1"/>
  <c r="BF214" i="52"/>
  <c r="BF19" i="52" s="1"/>
  <c r="BJ241" i="52"/>
  <c r="BJ89" i="52" s="1"/>
  <c r="BL156" i="52"/>
  <c r="BL52" i="52" s="1"/>
  <c r="BT250" i="52"/>
  <c r="BT24" i="52" s="1"/>
  <c r="BG233" i="52"/>
  <c r="BG43" i="52" s="1"/>
  <c r="BM260" i="52"/>
  <c r="BM113" i="52" s="1"/>
  <c r="BL240" i="52"/>
  <c r="BL67" i="52" s="1"/>
  <c r="BN222" i="52"/>
  <c r="BN62" i="52" s="1"/>
  <c r="BV232" i="52"/>
  <c r="BV21" i="52" s="1"/>
  <c r="AZ265" i="52"/>
  <c r="AZ92" i="52" s="1"/>
  <c r="BL143" i="52"/>
  <c r="BL28" i="52" s="1"/>
  <c r="BZ179" i="52"/>
  <c r="BZ34" i="52" s="1"/>
  <c r="BV166" i="52"/>
  <c r="BV10" i="52" s="1"/>
  <c r="BU167" i="52"/>
  <c r="BU32" i="52" s="1"/>
  <c r="BV216" i="52"/>
  <c r="BV63" i="52" s="1"/>
  <c r="AZ202" i="52"/>
  <c r="AZ16" i="52" s="1"/>
  <c r="BY188" i="52"/>
  <c r="BY101" i="52" s="1"/>
  <c r="AZ260" i="52"/>
  <c r="AZ113" i="52" s="1"/>
  <c r="BO266" i="52"/>
  <c r="BO114" i="52" s="1"/>
  <c r="BZ220" i="52"/>
  <c r="BZ18" i="52" s="1"/>
  <c r="BM224" i="52"/>
  <c r="BM106" i="52" s="1"/>
  <c r="BI252" i="52"/>
  <c r="BI68" i="52" s="1"/>
  <c r="BL256" i="52"/>
  <c r="BL25" i="52" s="1"/>
  <c r="AW214" i="52"/>
  <c r="AW19" i="52" s="1"/>
  <c r="AZ216" i="52"/>
  <c r="AZ63" i="52" s="1"/>
  <c r="BT205" i="52"/>
  <c r="BT82" i="52" s="1"/>
  <c r="BI224" i="52"/>
  <c r="BI106" i="52" s="1"/>
  <c r="BM241" i="52"/>
  <c r="BM89" i="52" s="1"/>
  <c r="AV227" i="52"/>
  <c r="AV42" i="52" s="1"/>
  <c r="BU173" i="52"/>
  <c r="BU33" i="52" s="1"/>
  <c r="BO150" i="52"/>
  <c r="BO51" i="52" s="1"/>
  <c r="AY214" i="52"/>
  <c r="AY19" i="52" s="1"/>
  <c r="AW256" i="52"/>
  <c r="AW25" i="52" s="1"/>
  <c r="BR152" i="52"/>
  <c r="BR95" i="52" s="1"/>
  <c r="BZ206" i="52"/>
  <c r="BZ104" i="52" s="1"/>
  <c r="BH264" i="52"/>
  <c r="BH70" i="52" s="1"/>
  <c r="BE240" i="52"/>
  <c r="BE67" i="52" s="1"/>
  <c r="AW228" i="52"/>
  <c r="AW64" i="52" s="1"/>
  <c r="BL206" i="52"/>
  <c r="BL104" i="52" s="1"/>
  <c r="BP149" i="52"/>
  <c r="BP29" i="52" s="1"/>
  <c r="AY228" i="52"/>
  <c r="AY64" i="52" s="1"/>
  <c r="BV217" i="52"/>
  <c r="BV85" i="52" s="1"/>
  <c r="BN211" i="52"/>
  <c r="BN83" i="52" s="1"/>
  <c r="BY216" i="52"/>
  <c r="BY63" i="52" s="1"/>
  <c r="BF209" i="52"/>
  <c r="BF39" i="52" s="1"/>
  <c r="BI229" i="52"/>
  <c r="BI86" i="52" s="1"/>
  <c r="BA248" i="52"/>
  <c r="BA110" i="52" s="1"/>
  <c r="BI226" i="52"/>
  <c r="BI20" i="52" s="1"/>
  <c r="BL154" i="52"/>
  <c r="BL8" i="52" s="1"/>
  <c r="BP152" i="52"/>
  <c r="BP95" i="52" s="1"/>
  <c r="BW173" i="52"/>
  <c r="BW33" i="52" s="1"/>
  <c r="BL229" i="52"/>
  <c r="BL86" i="52" s="1"/>
  <c r="BU142" i="52"/>
  <c r="BU6" i="52" s="1"/>
  <c r="BM143" i="52"/>
  <c r="BM28" i="52" s="1"/>
  <c r="BV167" i="52"/>
  <c r="BV32" i="52" s="1"/>
  <c r="BX223" i="52"/>
  <c r="BX84" i="52" s="1"/>
  <c r="BO250" i="52"/>
  <c r="BO24" i="52" s="1"/>
  <c r="BT155" i="52"/>
  <c r="BT30" i="52" s="1"/>
  <c r="BP220" i="52"/>
  <c r="BP18" i="52" s="1"/>
  <c r="AV211" i="52"/>
  <c r="AV83" i="52" s="1"/>
  <c r="BU186" i="52"/>
  <c r="BU57" i="52" s="1"/>
  <c r="BV224" i="52"/>
  <c r="BV106" i="52" s="1"/>
  <c r="BO145" i="52"/>
  <c r="BO72" i="52" s="1"/>
  <c r="BW174" i="52"/>
  <c r="BW55" i="52" s="1"/>
  <c r="BA250" i="52"/>
  <c r="BA24" i="52" s="1"/>
  <c r="BA260" i="52"/>
  <c r="BA113" i="52" s="1"/>
  <c r="BQ254" i="52"/>
  <c r="BQ112" i="52" s="1"/>
  <c r="BN210" i="52"/>
  <c r="BN61" i="52" s="1"/>
  <c r="BU192" i="52"/>
  <c r="BU58" i="52" s="1"/>
  <c r="BF230" i="52"/>
  <c r="BF108" i="52" s="1"/>
  <c r="BF235" i="52"/>
  <c r="BF87" i="52" s="1"/>
  <c r="BY218" i="52"/>
  <c r="BY107" i="52" s="1"/>
  <c r="BL257" i="52"/>
  <c r="BL47" i="52" s="1"/>
  <c r="BA251" i="52"/>
  <c r="BA46" i="52" s="1"/>
  <c r="BN240" i="52"/>
  <c r="BN67" i="52" s="1"/>
  <c r="AZ210" i="52"/>
  <c r="AZ61" i="52" s="1"/>
  <c r="BN212" i="52"/>
  <c r="BN105" i="52" s="1"/>
  <c r="BQ228" i="52"/>
  <c r="BQ64" i="52" s="1"/>
  <c r="BA212" i="52"/>
  <c r="BA105" i="52" s="1"/>
  <c r="BI248" i="52"/>
  <c r="BI110" i="52" s="1"/>
  <c r="BP210" i="52"/>
  <c r="BP61" i="52" s="1"/>
  <c r="BY228" i="52"/>
  <c r="BY64" i="52" s="1"/>
  <c r="BU208" i="52"/>
  <c r="BU17" i="52" s="1"/>
  <c r="BZ173" i="52"/>
  <c r="BZ33" i="52" s="1"/>
  <c r="AW203" i="52"/>
  <c r="AW38" i="52" s="1"/>
  <c r="BH221" i="52"/>
  <c r="BH40" i="52" s="1"/>
  <c r="AX204" i="52"/>
  <c r="AX60" i="52" s="1"/>
  <c r="BM238" i="52"/>
  <c r="BM23" i="52" s="1"/>
  <c r="BG266" i="52"/>
  <c r="BG114" i="52" s="1"/>
  <c r="BY230" i="52"/>
  <c r="BY108" i="52" s="1"/>
  <c r="BM152" i="52"/>
  <c r="BM95" i="52" s="1"/>
  <c r="BY227" i="52"/>
  <c r="BY42" i="52" s="1"/>
  <c r="BE212" i="52"/>
  <c r="BE105" i="52" s="1"/>
  <c r="BD205" i="52"/>
  <c r="BD82" i="52" s="1"/>
  <c r="BH254" i="52"/>
  <c r="BH112" i="52" s="1"/>
  <c r="BO227" i="52"/>
  <c r="BO42" i="52" s="1"/>
  <c r="BM252" i="52"/>
  <c r="BM68" i="52" s="1"/>
  <c r="BP258" i="52"/>
  <c r="BP69" i="52" s="1"/>
  <c r="AX226" i="52"/>
  <c r="AX20" i="52" s="1"/>
  <c r="BL228" i="52"/>
  <c r="BL64" i="52" s="1"/>
  <c r="BA215" i="52"/>
  <c r="BA41" i="52" s="1"/>
  <c r="BV164" i="52"/>
  <c r="BV97" i="52" s="1"/>
  <c r="BW155" i="52"/>
  <c r="BW30" i="52" s="1"/>
  <c r="BX173" i="52"/>
  <c r="BX33" i="52" s="1"/>
  <c r="BH257" i="52"/>
  <c r="BH47" i="52" s="1"/>
  <c r="BY154" i="52"/>
  <c r="BY8" i="52" s="1"/>
  <c r="BX230" i="52"/>
  <c r="BX108" i="52" s="1"/>
  <c r="BW230" i="52"/>
  <c r="BW108" i="52" s="1"/>
  <c r="BL266" i="52"/>
  <c r="BL114" i="52" s="1"/>
  <c r="AW222" i="52"/>
  <c r="AW62" i="52" s="1"/>
  <c r="BR264" i="52"/>
  <c r="BR70" i="52" s="1"/>
  <c r="BZ155" i="52"/>
  <c r="BZ30" i="52" s="1"/>
  <c r="BU217" i="52"/>
  <c r="BU85" i="52" s="1"/>
  <c r="AX250" i="52"/>
  <c r="AX24" i="52" s="1"/>
  <c r="BA205" i="52"/>
  <c r="BA82" i="52" s="1"/>
  <c r="BQ206" i="52"/>
  <c r="BQ104" i="52" s="1"/>
  <c r="BJ204" i="52"/>
  <c r="BJ60" i="52" s="1"/>
  <c r="BH235" i="52"/>
  <c r="BH87" i="52" s="1"/>
  <c r="BY166" i="52"/>
  <c r="BY10" i="52" s="1"/>
  <c r="BP216" i="52"/>
  <c r="BP63" i="52" s="1"/>
  <c r="BQ241" i="52"/>
  <c r="BQ89" i="52" s="1"/>
  <c r="BG239" i="52"/>
  <c r="BG45" i="52" s="1"/>
  <c r="BH234" i="52"/>
  <c r="BH65" i="52" s="1"/>
  <c r="BG242" i="52"/>
  <c r="BG111" i="52" s="1"/>
  <c r="BI230" i="52"/>
  <c r="BI108" i="52" s="1"/>
  <c r="BO258" i="52"/>
  <c r="BO69" i="52" s="1"/>
  <c r="BI220" i="52"/>
  <c r="BI18" i="52" s="1"/>
  <c r="AW211" i="52"/>
  <c r="AW83" i="52" s="1"/>
  <c r="AY252" i="52"/>
  <c r="AY68" i="52" s="1"/>
  <c r="BV253" i="52"/>
  <c r="BV90" i="52" s="1"/>
  <c r="AY209" i="52"/>
  <c r="AY39" i="52" s="1"/>
  <c r="BT251" i="52"/>
  <c r="BT46" i="52" s="1"/>
  <c r="BD214" i="52"/>
  <c r="BD19" i="52" s="1"/>
  <c r="BT203" i="52"/>
  <c r="BT38" i="52" s="1"/>
  <c r="BR228" i="52"/>
  <c r="BR64" i="52" s="1"/>
  <c r="BI258" i="52"/>
  <c r="BI69" i="52" s="1"/>
  <c r="BJ222" i="52"/>
  <c r="BJ62" i="52" s="1"/>
  <c r="BF259" i="52"/>
  <c r="BF91" i="52" s="1"/>
  <c r="BB236" i="52"/>
  <c r="BB109" i="52" s="1"/>
  <c r="BJ236" i="52"/>
  <c r="BJ109" i="52" s="1"/>
  <c r="BD235" i="52"/>
  <c r="BD87" i="52" s="1"/>
  <c r="BF233" i="52"/>
  <c r="BF43" i="52" s="1"/>
  <c r="BF221" i="52"/>
  <c r="BF40" i="52" s="1"/>
  <c r="BN204" i="52"/>
  <c r="BN60" i="52" s="1"/>
  <c r="BT142" i="52"/>
  <c r="BT6" i="52" s="1"/>
  <c r="BT260" i="52"/>
  <c r="BT113" i="52" s="1"/>
  <c r="BW163" i="52"/>
  <c r="BW75" i="52" s="1"/>
  <c r="BW203" i="52"/>
  <c r="BW38" i="52" s="1"/>
  <c r="BB233" i="52"/>
  <c r="BB43" i="52" s="1"/>
  <c r="BU174" i="52"/>
  <c r="BU55" i="52" s="1"/>
  <c r="BZ166" i="52"/>
  <c r="BZ10" i="52" s="1"/>
  <c r="BF263" i="52"/>
  <c r="BF48" i="52" s="1"/>
  <c r="BT232" i="52"/>
  <c r="BT21" i="52" s="1"/>
  <c r="BW151" i="52"/>
  <c r="BW73" i="52" s="1"/>
  <c r="BB204" i="52"/>
  <c r="BB60" i="52" s="1"/>
  <c r="BP262" i="52"/>
  <c r="BP26" i="52" s="1"/>
  <c r="BY263" i="52"/>
  <c r="BY48" i="52" s="1"/>
  <c r="BW179" i="52"/>
  <c r="BW34" i="52" s="1"/>
  <c r="BJ220" i="52"/>
  <c r="BJ18" i="52" s="1"/>
  <c r="BH224" i="52"/>
  <c r="BH106" i="52" s="1"/>
  <c r="BV194" i="52"/>
  <c r="BV102" i="52" s="1"/>
  <c r="BD220" i="52"/>
  <c r="BD18" i="52" s="1"/>
  <c r="BF227" i="52"/>
  <c r="BF42" i="52" s="1"/>
  <c r="BU260" i="52"/>
  <c r="BU113" i="52" s="1"/>
  <c r="BW236" i="52"/>
  <c r="BW109" i="52" s="1"/>
  <c r="BM202" i="52"/>
  <c r="BM16" i="52" s="1"/>
  <c r="BV212" i="52"/>
  <c r="BV105" i="52" s="1"/>
  <c r="BV185" i="52"/>
  <c r="BV35" i="52" s="1"/>
  <c r="BL251" i="52"/>
  <c r="BL46" i="52" s="1"/>
  <c r="BV161" i="52"/>
  <c r="BV31" i="52" s="1"/>
  <c r="BN260" i="52"/>
  <c r="BN113" i="52" s="1"/>
  <c r="BO238" i="52"/>
  <c r="BO23" i="52" s="1"/>
  <c r="BA233" i="52"/>
  <c r="BA43" i="52" s="1"/>
  <c r="BI215" i="52"/>
  <c r="BI41" i="52" s="1"/>
  <c r="BJ262" i="52"/>
  <c r="BJ26" i="52" s="1"/>
  <c r="BX256" i="52"/>
  <c r="BX25" i="52" s="1"/>
  <c r="BT265" i="52"/>
  <c r="BT92" i="52" s="1"/>
  <c r="BY215" i="52"/>
  <c r="BY41" i="52" s="1"/>
  <c r="AZ240" i="52"/>
  <c r="AZ67" i="52" s="1"/>
  <c r="BQ211" i="52"/>
  <c r="BQ83" i="52" s="1"/>
  <c r="BQ238" i="52"/>
  <c r="BQ23" i="52" s="1"/>
  <c r="BW202" i="52"/>
  <c r="BW16" i="52" s="1"/>
  <c r="BY253" i="52"/>
  <c r="BY90" i="52" s="1"/>
  <c r="AW221" i="52"/>
  <c r="AW40" i="52" s="1"/>
  <c r="BE245" i="52"/>
  <c r="BE44" i="52" s="1"/>
  <c r="BD257" i="52"/>
  <c r="BD47" i="52" s="1"/>
  <c r="BY151" i="52"/>
  <c r="BY73" i="52" s="1"/>
  <c r="BP236" i="52"/>
  <c r="BP109" i="52" s="1"/>
  <c r="BM203" i="52"/>
  <c r="BM38" i="52" s="1"/>
  <c r="BW184" i="52"/>
  <c r="BW13" i="52" s="1"/>
  <c r="BG248" i="52"/>
  <c r="BG110" i="52" s="1"/>
  <c r="BA266" i="52"/>
  <c r="BA114" i="52" s="1"/>
  <c r="AX202" i="52"/>
  <c r="AX16" i="52" s="1"/>
  <c r="BL241" i="52"/>
  <c r="BL89" i="52" s="1"/>
  <c r="BU188" i="52"/>
  <c r="BU101" i="52" s="1"/>
  <c r="BU203" i="52"/>
  <c r="BU38" i="52" s="1"/>
  <c r="BZ172" i="52"/>
  <c r="BZ11" i="52" s="1"/>
  <c r="AX233" i="52"/>
  <c r="AX43" i="52" s="1"/>
  <c r="BX203" i="52"/>
  <c r="BX38" i="52" s="1"/>
  <c r="BO209" i="52"/>
  <c r="BO39" i="52" s="1"/>
  <c r="BZ221" i="52"/>
  <c r="BZ40" i="52" s="1"/>
  <c r="BH208" i="52"/>
  <c r="BH17" i="52" s="1"/>
  <c r="BD240" i="52"/>
  <c r="BD67" i="52" s="1"/>
  <c r="BV258" i="52"/>
  <c r="BV69" i="52" s="1"/>
  <c r="BG229" i="52"/>
  <c r="BG86" i="52" s="1"/>
  <c r="BY145" i="52"/>
  <c r="BY72" i="52" s="1"/>
  <c r="BR239" i="52"/>
  <c r="BR45" i="52" s="1"/>
  <c r="BP242" i="52"/>
  <c r="BP111" i="52" s="1"/>
  <c r="BA224" i="52"/>
  <c r="BA106" i="52" s="1"/>
  <c r="BQ240" i="52"/>
  <c r="BQ67" i="52" s="1"/>
  <c r="BG258" i="52"/>
  <c r="BG69" i="52" s="1"/>
  <c r="BN241" i="52"/>
  <c r="BN89" i="52" s="1"/>
  <c r="BU184" i="52"/>
  <c r="BU13" i="52" s="1"/>
  <c r="BL265" i="52"/>
  <c r="BL92" i="52" s="1"/>
  <c r="BL149" i="52"/>
  <c r="BL29" i="52" s="1"/>
  <c r="AZ204" i="52"/>
  <c r="AZ60" i="52" s="1"/>
  <c r="AX263" i="52"/>
  <c r="AX48" i="52" s="1"/>
  <c r="BJ221" i="52"/>
  <c r="BJ40" i="52" s="1"/>
  <c r="AZ221" i="52"/>
  <c r="AZ40" i="52" s="1"/>
  <c r="AV235" i="52"/>
  <c r="AV87" i="52" s="1"/>
  <c r="BV209" i="52"/>
  <c r="BV39" i="52" s="1"/>
  <c r="BX260" i="52"/>
  <c r="BX113" i="52" s="1"/>
  <c r="BX212" i="52"/>
  <c r="BX105" i="52" s="1"/>
  <c r="AY246" i="52"/>
  <c r="AY66" i="52" s="1"/>
  <c r="BA223" i="52"/>
  <c r="BA84" i="52" s="1"/>
  <c r="BY148" i="52"/>
  <c r="BY7" i="52" s="1"/>
  <c r="BO148" i="52"/>
  <c r="BO7" i="52" s="1"/>
  <c r="BR204" i="52"/>
  <c r="BR60" i="52" s="1"/>
  <c r="BZ228" i="52"/>
  <c r="BZ64" i="52" s="1"/>
  <c r="BU151" i="52"/>
  <c r="BU73" i="52" s="1"/>
  <c r="BA265" i="52"/>
  <c r="BA92" i="52" s="1"/>
  <c r="BR262" i="52"/>
  <c r="BR26" i="52" s="1"/>
  <c r="BP238" i="52"/>
  <c r="BP23" i="52" s="1"/>
  <c r="BU209" i="52"/>
  <c r="BU39" i="52" s="1"/>
  <c r="BP215" i="52"/>
  <c r="BP41" i="52" s="1"/>
  <c r="BM217" i="52"/>
  <c r="BM85" i="52" s="1"/>
  <c r="BR257" i="52"/>
  <c r="BR47" i="52" s="1"/>
  <c r="BW260" i="52"/>
  <c r="BW113" i="52" s="1"/>
  <c r="BE223" i="52"/>
  <c r="BE84" i="52" s="1"/>
  <c r="BZ251" i="52"/>
  <c r="BZ46" i="52" s="1"/>
  <c r="BV264" i="52"/>
  <c r="BV70" i="52" s="1"/>
  <c r="BE256" i="52"/>
  <c r="BE25" i="52" s="1"/>
  <c r="BV163" i="52"/>
  <c r="BV75" i="52" s="1"/>
  <c r="BF211" i="52"/>
  <c r="BF83" i="52" s="1"/>
  <c r="BE235" i="52"/>
  <c r="BE87" i="52" s="1"/>
  <c r="BW164" i="52"/>
  <c r="BW97" i="52" s="1"/>
  <c r="AX214" i="52"/>
  <c r="AX19" i="52" s="1"/>
  <c r="AZ215" i="52"/>
  <c r="AZ41" i="52" s="1"/>
  <c r="BT186" i="52"/>
  <c r="BT57" i="52" s="1"/>
  <c r="BF208" i="52"/>
  <c r="BF17" i="52" s="1"/>
  <c r="BV250" i="52"/>
  <c r="BV24" i="52" s="1"/>
  <c r="BF238" i="52"/>
  <c r="BF23" i="52" s="1"/>
  <c r="BQ244" i="52"/>
  <c r="BQ22" i="52" s="1"/>
  <c r="BT259" i="52"/>
  <c r="BT91" i="52" s="1"/>
  <c r="BQ234" i="52"/>
  <c r="BQ65" i="52" s="1"/>
  <c r="BQ247" i="52"/>
  <c r="BQ88" i="52" s="1"/>
  <c r="AV226" i="52"/>
  <c r="AV20" i="52" s="1"/>
  <c r="BF240" i="52"/>
  <c r="BF67" i="52" s="1"/>
  <c r="BN262" i="52"/>
  <c r="BN26" i="52" s="1"/>
  <c r="BU256" i="52"/>
  <c r="BU25" i="52" s="1"/>
  <c r="BZ167" i="52"/>
  <c r="BZ32" i="52" s="1"/>
  <c r="BG228" i="52"/>
  <c r="BG64" i="52" s="1"/>
  <c r="BA263" i="52"/>
  <c r="BA48" i="52" s="1"/>
  <c r="BL221" i="52"/>
  <c r="BL40" i="52" s="1"/>
  <c r="AX206" i="52"/>
  <c r="AX104" i="52" s="1"/>
  <c r="BU229" i="52"/>
  <c r="BU86" i="52" s="1"/>
  <c r="BD238" i="52"/>
  <c r="BD23" i="52" s="1"/>
  <c r="BO157" i="52"/>
  <c r="BO74" i="52" s="1"/>
  <c r="AX245" i="52"/>
  <c r="AX44" i="52" s="1"/>
  <c r="BV236" i="52"/>
  <c r="BV109" i="52" s="1"/>
  <c r="BX164" i="52"/>
  <c r="BX97" i="52" s="1"/>
  <c r="BW257" i="52"/>
  <c r="BW47" i="52" s="1"/>
  <c r="BP204" i="52"/>
  <c r="BP60" i="52" s="1"/>
  <c r="AV212" i="52"/>
  <c r="AV105" i="52" s="1"/>
  <c r="BY204" i="52"/>
  <c r="BY60" i="52" s="1"/>
  <c r="BT224" i="52"/>
  <c r="BT106" i="52" s="1"/>
  <c r="BX252" i="52"/>
  <c r="BX68" i="52" s="1"/>
  <c r="BE224" i="52"/>
  <c r="BE106" i="52" s="1"/>
  <c r="AZ257" i="52"/>
  <c r="AZ47" i="52" s="1"/>
  <c r="BR156" i="52"/>
  <c r="BR52" i="52" s="1"/>
  <c r="BM251" i="52"/>
  <c r="BM46" i="52" s="1"/>
  <c r="BJ257" i="52"/>
  <c r="BJ47" i="52" s="1"/>
  <c r="BZ182" i="52"/>
  <c r="BZ100" i="52" s="1"/>
  <c r="BH202" i="52"/>
  <c r="BH16" i="52" s="1"/>
  <c r="BR241" i="52"/>
  <c r="BR89" i="52" s="1"/>
  <c r="BB244" i="52"/>
  <c r="BB22" i="52" s="1"/>
  <c r="BM220" i="52"/>
  <c r="BM18" i="52" s="1"/>
  <c r="BZ229" i="52"/>
  <c r="BZ86" i="52" s="1"/>
  <c r="BH209" i="52"/>
  <c r="BH39" i="52" s="1"/>
  <c r="BW175" i="52"/>
  <c r="BW77" i="52" s="1"/>
  <c r="BW142" i="52"/>
  <c r="BW6" i="52" s="1"/>
  <c r="AY257" i="52"/>
  <c r="AY47" i="52" s="1"/>
  <c r="BN150" i="52"/>
  <c r="BN51" i="52" s="1"/>
  <c r="BU230" i="52"/>
  <c r="BU108" i="52" s="1"/>
  <c r="BM257" i="52"/>
  <c r="BM47" i="52" s="1"/>
  <c r="BL214" i="52"/>
  <c r="BL19" i="52" s="1"/>
  <c r="BQ262" i="52"/>
  <c r="BQ26" i="52" s="1"/>
  <c r="BV150" i="52"/>
  <c r="BV51" i="52" s="1"/>
  <c r="BQ149" i="52"/>
  <c r="BQ29" i="52" s="1"/>
  <c r="BH241" i="52"/>
  <c r="BH89" i="52" s="1"/>
  <c r="BJ203" i="52"/>
  <c r="BJ38" i="52" s="1"/>
  <c r="BE262" i="52"/>
  <c r="BE26" i="52" s="1"/>
  <c r="BR205" i="52"/>
  <c r="BR82" i="52" s="1"/>
  <c r="BV186" i="52"/>
  <c r="BV57" i="52" s="1"/>
  <c r="BM246" i="52"/>
  <c r="BM66" i="52" s="1"/>
  <c r="AX259" i="52"/>
  <c r="AX91" i="52" s="1"/>
  <c r="BF254" i="52"/>
  <c r="BF112" i="52" s="1"/>
  <c r="BT151" i="52"/>
  <c r="BT73" i="52" s="1"/>
  <c r="BU182" i="52"/>
  <c r="BU100" i="52" s="1"/>
  <c r="BN258" i="52"/>
  <c r="BN69" i="52" s="1"/>
  <c r="BN148" i="52"/>
  <c r="BN7" i="52" s="1"/>
  <c r="BP240" i="52"/>
  <c r="BP67" i="52" s="1"/>
  <c r="BT167" i="52"/>
  <c r="BT32" i="52" s="1"/>
  <c r="BI204" i="52"/>
  <c r="BI60" i="52" s="1"/>
  <c r="BV174" i="52"/>
  <c r="BV55" i="52" s="1"/>
  <c r="BN217" i="52"/>
  <c r="BN85" i="52" s="1"/>
  <c r="BR259" i="52"/>
  <c r="BR91" i="52" s="1"/>
  <c r="BO203" i="52"/>
  <c r="BO38" i="52" s="1"/>
  <c r="AY203" i="52"/>
  <c r="AY38" i="52" s="1"/>
  <c r="BW265" i="52"/>
  <c r="BW92" i="52" s="1"/>
  <c r="BG234" i="52"/>
  <c r="BG65" i="52" s="1"/>
  <c r="BW156" i="52"/>
  <c r="BW52" i="52" s="1"/>
  <c r="BG257" i="52"/>
  <c r="BG47" i="52" s="1"/>
  <c r="BJ256" i="52"/>
  <c r="BJ25" i="52" s="1"/>
  <c r="BO235" i="52"/>
  <c r="BO87" i="52" s="1"/>
  <c r="BD260" i="52"/>
  <c r="BD113" i="52" s="1"/>
  <c r="BM226" i="52"/>
  <c r="BM20" i="52" s="1"/>
  <c r="BV168" i="52"/>
  <c r="BV54" i="52" s="1"/>
  <c r="BI259" i="52"/>
  <c r="BI91" i="52" s="1"/>
  <c r="BH223" i="52"/>
  <c r="BH84" i="52" s="1"/>
  <c r="AY251" i="52"/>
  <c r="AY46" i="52" s="1"/>
  <c r="BD264" i="52"/>
  <c r="BD70" i="52" s="1"/>
  <c r="BH211" i="52"/>
  <c r="BH83" i="52" s="1"/>
  <c r="BB254" i="52"/>
  <c r="BB112" i="52" s="1"/>
  <c r="BU251" i="52"/>
  <c r="BU46" i="52" s="1"/>
  <c r="BB259" i="52"/>
  <c r="BB91" i="52" s="1"/>
  <c r="BZ143" i="52"/>
  <c r="BZ28" i="52" s="1"/>
  <c r="AV215" i="52"/>
  <c r="AV41" i="52" s="1"/>
  <c r="BJ242" i="52"/>
  <c r="BJ111" i="52" s="1"/>
  <c r="BR234" i="52"/>
  <c r="BR65" i="52" s="1"/>
  <c r="BV156" i="52"/>
  <c r="BV52" i="52" s="1"/>
  <c r="BZ263" i="52"/>
  <c r="BZ48" i="52" s="1"/>
  <c r="AW257" i="52"/>
  <c r="AW47" i="52" s="1"/>
  <c r="BU214" i="52"/>
  <c r="BU19" i="52" s="1"/>
  <c r="BM206" i="52"/>
  <c r="BM104" i="52" s="1"/>
  <c r="BL264" i="52"/>
  <c r="BL70" i="52" s="1"/>
  <c r="AW204" i="52"/>
  <c r="AW60" i="52" s="1"/>
  <c r="AY247" i="52"/>
  <c r="AY88" i="52" s="1"/>
  <c r="BE234" i="52"/>
  <c r="BE65" i="52" s="1"/>
  <c r="BU218" i="52"/>
  <c r="BU107" i="52" s="1"/>
  <c r="BG262" i="52"/>
  <c r="BG26" i="52" s="1"/>
  <c r="BT208" i="52"/>
  <c r="BT17" i="52" s="1"/>
  <c r="BT172" i="52"/>
  <c r="BT11" i="52" s="1"/>
  <c r="BX258" i="52"/>
  <c r="BX69" i="52" s="1"/>
  <c r="BB264" i="52"/>
  <c r="BB70" i="52" s="1"/>
  <c r="AY208" i="52"/>
  <c r="AY17" i="52" s="1"/>
  <c r="BY232" i="52"/>
  <c r="BY21" i="52" s="1"/>
  <c r="BO223" i="52"/>
  <c r="BO84" i="52" s="1"/>
  <c r="AV250" i="52"/>
  <c r="AV24" i="52" s="1"/>
  <c r="BX166" i="52"/>
  <c r="BX10" i="52" s="1"/>
  <c r="BW187" i="52"/>
  <c r="BW79" i="52" s="1"/>
  <c r="BD226" i="52"/>
  <c r="BD20" i="52" s="1"/>
  <c r="BW228" i="52"/>
  <c r="BW64" i="52" s="1"/>
  <c r="BO206" i="52"/>
  <c r="BO104" i="52" s="1"/>
  <c r="BI228" i="52"/>
  <c r="BI64" i="52" s="1"/>
  <c r="BX158" i="52"/>
  <c r="BX96" i="52" s="1"/>
  <c r="BP222" i="52"/>
  <c r="BP62" i="52" s="1"/>
  <c r="BM240" i="52"/>
  <c r="BM67" i="52" s="1"/>
  <c r="BZ152" i="52"/>
  <c r="BZ95" i="52" s="1"/>
  <c r="BU223" i="52"/>
  <c r="BU84" i="52" s="1"/>
  <c r="AX230" i="52"/>
  <c r="AX108" i="52" s="1"/>
  <c r="BX206" i="52"/>
  <c r="BX104" i="52" s="1"/>
  <c r="BU191" i="52"/>
  <c r="BU36" i="52" s="1"/>
  <c r="BE228" i="52"/>
  <c r="BE64" i="52" s="1"/>
  <c r="BE209" i="52"/>
  <c r="BE39" i="52" s="1"/>
  <c r="BL236" i="52"/>
  <c r="BL109" i="52" s="1"/>
  <c r="BN209" i="52"/>
  <c r="BN39" i="52" s="1"/>
  <c r="BG209" i="52"/>
  <c r="BG39" i="52" s="1"/>
  <c r="BU146" i="52"/>
  <c r="BU94" i="52" s="1"/>
  <c r="BR206" i="52"/>
  <c r="BR104" i="52" s="1"/>
  <c r="AZ235" i="52"/>
  <c r="AZ87" i="52" s="1"/>
  <c r="AW202" i="52"/>
  <c r="AW16" i="52" s="1"/>
  <c r="BO152" i="52"/>
  <c r="BO95" i="52" s="1"/>
  <c r="BZ174" i="52"/>
  <c r="BZ55" i="52" s="1"/>
  <c r="BH215" i="52"/>
  <c r="BH41" i="52" s="1"/>
  <c r="BT154" i="52"/>
  <c r="BT8" i="52" s="1"/>
  <c r="BI240" i="52"/>
  <c r="BI67" i="52" s="1"/>
  <c r="BJ224" i="52"/>
  <c r="BJ106" i="52" s="1"/>
  <c r="BD227" i="52"/>
  <c r="BD42" i="52" s="1"/>
  <c r="BY234" i="52"/>
  <c r="BY65" i="52" s="1"/>
  <c r="BJ254" i="52"/>
  <c r="BJ112" i="52" s="1"/>
  <c r="BR224" i="52"/>
  <c r="BR106" i="52" s="1"/>
  <c r="BP142" i="52"/>
  <c r="BP6" i="52" s="1"/>
  <c r="BX209" i="52"/>
  <c r="BX39" i="52" s="1"/>
  <c r="BR202" i="52"/>
  <c r="BR16" i="52" s="1"/>
  <c r="BX187" i="52"/>
  <c r="BX79" i="52" s="1"/>
  <c r="BY235" i="52"/>
  <c r="BY87" i="52" s="1"/>
  <c r="BE252" i="52"/>
  <c r="BE68" i="52" s="1"/>
  <c r="BE251" i="52"/>
  <c r="BE46" i="52" s="1"/>
  <c r="AW262" i="52"/>
  <c r="AW26" i="52" s="1"/>
  <c r="BF247" i="52"/>
  <c r="BF88" i="52" s="1"/>
  <c r="BZ185" i="52"/>
  <c r="BZ35" i="52" s="1"/>
  <c r="BY170" i="52"/>
  <c r="BY98" i="52" s="1"/>
  <c r="BQ221" i="52"/>
  <c r="BQ40" i="52" s="1"/>
  <c r="AZ227" i="52"/>
  <c r="AZ42" i="52" s="1"/>
  <c r="BV251" i="52"/>
  <c r="BV46" i="52" s="1"/>
  <c r="BB202" i="52"/>
  <c r="BB16" i="52" s="1"/>
  <c r="BY160" i="52"/>
  <c r="BY9" i="52" s="1"/>
  <c r="BW229" i="52"/>
  <c r="BW86" i="52" s="1"/>
  <c r="BO233" i="52"/>
  <c r="BO43" i="52" s="1"/>
  <c r="BT166" i="52"/>
  <c r="BT10" i="52" s="1"/>
  <c r="BO251" i="52"/>
  <c r="BO46" i="52" s="1"/>
  <c r="BO228" i="52"/>
  <c r="BO64" i="52" s="1"/>
  <c r="AV239" i="52"/>
  <c r="AV45" i="52" s="1"/>
  <c r="AX246" i="52"/>
  <c r="AX66" i="52" s="1"/>
  <c r="AV224" i="52"/>
  <c r="AV106" i="52" s="1"/>
  <c r="BT169" i="52"/>
  <c r="BT76" i="52" s="1"/>
  <c r="BY214" i="52"/>
  <c r="BY19" i="52" s="1"/>
  <c r="BF244" i="52"/>
  <c r="BF22" i="52" s="1"/>
  <c r="AY245" i="52"/>
  <c r="AY44" i="52" s="1"/>
  <c r="BQ158" i="52"/>
  <c r="BQ96" i="52" s="1"/>
  <c r="BX170" i="52"/>
  <c r="BX98" i="52" s="1"/>
  <c r="AV248" i="52"/>
  <c r="AV110" i="52" s="1"/>
  <c r="BM245" i="52"/>
  <c r="BM44" i="52" s="1"/>
  <c r="BR240" i="52"/>
  <c r="BR67" i="52" s="1"/>
  <c r="BZ203" i="52"/>
  <c r="BZ38" i="52" s="1"/>
  <c r="BR145" i="52"/>
  <c r="BR72" i="52" s="1"/>
  <c r="BY182" i="52"/>
  <c r="BY100" i="52" s="1"/>
  <c r="BJ258" i="52"/>
  <c r="BJ69" i="52" s="1"/>
  <c r="BP251" i="52"/>
  <c r="BP46" i="52" s="1"/>
  <c r="BN143" i="52"/>
  <c r="BN28" i="52" s="1"/>
  <c r="BY167" i="52"/>
  <c r="BY32" i="52" s="1"/>
  <c r="BW185" i="52"/>
  <c r="BW35" i="52" s="1"/>
  <c r="AY262" i="52"/>
  <c r="AY26" i="52" s="1"/>
  <c r="AZ266" i="52"/>
  <c r="AZ114" i="52" s="1"/>
  <c r="BG245" i="52"/>
  <c r="BG44" i="52" s="1"/>
  <c r="BJ240" i="52"/>
  <c r="BJ67" i="52" s="1"/>
  <c r="BG236" i="52"/>
  <c r="BG109" i="52" s="1"/>
  <c r="BG210" i="52"/>
  <c r="BG61" i="52" s="1"/>
  <c r="BF203" i="52"/>
  <c r="BF38" i="52" s="1"/>
  <c r="BU210" i="52"/>
  <c r="BU61" i="52" s="1"/>
  <c r="BU212" i="52"/>
  <c r="BU105" i="52" s="1"/>
  <c r="BR246" i="52"/>
  <c r="BR66" i="52" s="1"/>
  <c r="BA206" i="52"/>
  <c r="BA104" i="52" s="1"/>
  <c r="BN214" i="52"/>
  <c r="BN19" i="52" s="1"/>
  <c r="BQ248" i="52"/>
  <c r="BQ110" i="52" s="1"/>
  <c r="AW266" i="52"/>
  <c r="AW114" i="52" s="1"/>
  <c r="AX203" i="52"/>
  <c r="AX38" i="52" s="1"/>
  <c r="BI250" i="52"/>
  <c r="BI24" i="52" s="1"/>
  <c r="BG244" i="52"/>
  <c r="BG22" i="52" s="1"/>
  <c r="BR229" i="52"/>
  <c r="BR86" i="52" s="1"/>
  <c r="BO246" i="52"/>
  <c r="BO66" i="52" s="1"/>
  <c r="BJ259" i="52"/>
  <c r="BJ91" i="52" s="1"/>
  <c r="BO263" i="52"/>
  <c r="BO48" i="52" s="1"/>
  <c r="BN149" i="52"/>
  <c r="BN29" i="52" s="1"/>
  <c r="BU215" i="52"/>
  <c r="BU41" i="52" s="1"/>
  <c r="AY260" i="52"/>
  <c r="AY113" i="52" s="1"/>
  <c r="BY262" i="52"/>
  <c r="BY26" i="52" s="1"/>
  <c r="AW258" i="52"/>
  <c r="AW69" i="52" s="1"/>
  <c r="AY211" i="52"/>
  <c r="AY83" i="52" s="1"/>
  <c r="AW238" i="52"/>
  <c r="AW23" i="52" s="1"/>
  <c r="BD204" i="52"/>
  <c r="BD60" i="52" s="1"/>
  <c r="BF258" i="52"/>
  <c r="BF69" i="52" s="1"/>
  <c r="BZ214" i="52"/>
  <c r="BZ19" i="52" s="1"/>
  <c r="BW152" i="52"/>
  <c r="BW95" i="52" s="1"/>
  <c r="BX221" i="52"/>
  <c r="BX40" i="52" s="1"/>
  <c r="BG222" i="52"/>
  <c r="BG62" i="52" s="1"/>
  <c r="BE257" i="52"/>
  <c r="BE47" i="52" s="1"/>
  <c r="BI265" i="52"/>
  <c r="BI92" i="52" s="1"/>
  <c r="BJ247" i="52"/>
  <c r="BJ88" i="52" s="1"/>
  <c r="AX216" i="52"/>
  <c r="AX63" i="52" s="1"/>
  <c r="BY252" i="52"/>
  <c r="BY68" i="52" s="1"/>
  <c r="BM254" i="52"/>
  <c r="BM112" i="52" s="1"/>
  <c r="BX259" i="52"/>
  <c r="BX91" i="52" s="1"/>
  <c r="BM205" i="52"/>
  <c r="BM82" i="52" s="1"/>
  <c r="AW248" i="52"/>
  <c r="AW110" i="52" s="1"/>
  <c r="AW206" i="52"/>
  <c r="AW104" i="52" s="1"/>
  <c r="BN246" i="52"/>
  <c r="BN66" i="52" s="1"/>
  <c r="BZ250" i="52"/>
  <c r="BZ24" i="52" s="1"/>
  <c r="BP217" i="52"/>
  <c r="BP85" i="52" s="1"/>
  <c r="BX266" i="52"/>
  <c r="BX114" i="52" s="1"/>
  <c r="AX229" i="52"/>
  <c r="AX86" i="52" s="1"/>
  <c r="BF232" i="52"/>
  <c r="BF21" i="52" s="1"/>
  <c r="AZ254" i="52"/>
  <c r="AZ112" i="52" s="1"/>
  <c r="BV146" i="52"/>
  <c r="BV94" i="52" s="1"/>
  <c r="BL238" i="52"/>
  <c r="BL23" i="52" s="1"/>
  <c r="AY241" i="52"/>
  <c r="AY89" i="52" s="1"/>
  <c r="BW162" i="52"/>
  <c r="BW53" i="52" s="1"/>
  <c r="AV221" i="52"/>
  <c r="AV40" i="52" s="1"/>
  <c r="BE236" i="52"/>
  <c r="BE109" i="52" s="1"/>
  <c r="BQ246" i="52"/>
  <c r="BQ66" i="52" s="1"/>
  <c r="AZ247" i="52"/>
  <c r="AZ88" i="52" s="1"/>
  <c r="BB260" i="52"/>
  <c r="BB113" i="52" s="1"/>
  <c r="AY205" i="52"/>
  <c r="AY82" i="52" s="1"/>
  <c r="BX174" i="52"/>
  <c r="BX55" i="52" s="1"/>
  <c r="BO242" i="52"/>
  <c r="BO111" i="52" s="1"/>
  <c r="BT170" i="52"/>
  <c r="BT98" i="52" s="1"/>
  <c r="AX221" i="52"/>
  <c r="AX40" i="52" s="1"/>
  <c r="BQ260" i="52"/>
  <c r="BQ113" i="52" s="1"/>
  <c r="BQ223" i="52"/>
  <c r="BQ84" i="52" s="1"/>
  <c r="BX172" i="52"/>
  <c r="BX11" i="52" s="1"/>
  <c r="BQ232" i="52"/>
  <c r="BQ21" i="52" s="1"/>
  <c r="AZ203" i="52"/>
  <c r="AZ38" i="52" s="1"/>
  <c r="BR151" i="52"/>
  <c r="BR73" i="52" s="1"/>
  <c r="BG246" i="52"/>
  <c r="BG66" i="52" s="1"/>
  <c r="BW204" i="52"/>
  <c r="BW60" i="52" s="1"/>
  <c r="BD216" i="52"/>
  <c r="BD63" i="52" s="1"/>
  <c r="AX235" i="52"/>
  <c r="AX87" i="52" s="1"/>
  <c r="BQ152" i="52"/>
  <c r="BQ95" i="52" s="1"/>
  <c r="AV233" i="52"/>
  <c r="AV43" i="52" s="1"/>
  <c r="BN248" i="52"/>
  <c r="BN110" i="52" s="1"/>
  <c r="BN266" i="52"/>
  <c r="BN114" i="52" s="1"/>
  <c r="BE260" i="52"/>
  <c r="BE113" i="52" s="1"/>
  <c r="BX251" i="52"/>
  <c r="BX46" i="52" s="1"/>
  <c r="BU170" i="52"/>
  <c r="BU98" i="52" s="1"/>
  <c r="BF229" i="52"/>
  <c r="BF86" i="52" s="1"/>
  <c r="BW206" i="52"/>
  <c r="BW104" i="52" s="1"/>
  <c r="AV232" i="52"/>
  <c r="AV21" i="52" s="1"/>
  <c r="AV244" i="52"/>
  <c r="AV22" i="52" s="1"/>
  <c r="BB229" i="52"/>
  <c r="BB86" i="52" s="1"/>
  <c r="BP235" i="52"/>
  <c r="BP87" i="52" s="1"/>
  <c r="BA227" i="52"/>
  <c r="BA42" i="52" s="1"/>
  <c r="BX214" i="52"/>
  <c r="BX19" i="52" s="1"/>
  <c r="BY162" i="52"/>
  <c r="BY53" i="52" s="1"/>
  <c r="BI254" i="52"/>
  <c r="BI112" i="52" s="1"/>
  <c r="BY206" i="52"/>
  <c r="BY104" i="52" s="1"/>
  <c r="BL150" i="52"/>
  <c r="BL51" i="52" s="1"/>
  <c r="BQ151" i="52"/>
  <c r="BQ73" i="52" s="1"/>
  <c r="BV187" i="52"/>
  <c r="BV79" i="52" s="1"/>
  <c r="BA236" i="52"/>
  <c r="BA109" i="52" s="1"/>
  <c r="BJ227" i="52"/>
  <c r="BJ42" i="52" s="1"/>
  <c r="AX265" i="52"/>
  <c r="AX92" i="52" s="1"/>
  <c r="BV265" i="52"/>
  <c r="BV92" i="52" s="1"/>
  <c r="BJ230" i="52"/>
  <c r="BJ108" i="52" s="1"/>
  <c r="BX184" i="52"/>
  <c r="BX13" i="52" s="1"/>
  <c r="BQ202" i="52"/>
  <c r="BQ16" i="52" s="1"/>
  <c r="BD256" i="52"/>
  <c r="BD25" i="52" s="1"/>
  <c r="BG256" i="52"/>
  <c r="BG25" i="52" s="1"/>
  <c r="BY220" i="52"/>
  <c r="BY18" i="52" s="1"/>
  <c r="BA262" i="52"/>
  <c r="BA26" i="52" s="1"/>
  <c r="BV188" i="52"/>
  <c r="BV101" i="52" s="1"/>
  <c r="BM250" i="52"/>
  <c r="BM24" i="52" s="1"/>
  <c r="BM148" i="52"/>
  <c r="BM7" i="52" s="1"/>
  <c r="BP250" i="52"/>
  <c r="BP24" i="52" s="1"/>
  <c r="BY186" i="52"/>
  <c r="BY57" i="52" s="1"/>
  <c r="BB220" i="52"/>
  <c r="BB18" i="52" s="1"/>
  <c r="BP246" i="52"/>
  <c r="BP66" i="52" s="1"/>
  <c r="BF246" i="52"/>
  <c r="BF66" i="52" s="1"/>
  <c r="BB250" i="52"/>
  <c r="BB24" i="52" s="1"/>
  <c r="BU185" i="52"/>
  <c r="BU35" i="52" s="1"/>
  <c r="BH204" i="52"/>
  <c r="BH60" i="52" s="1"/>
  <c r="BJ265" i="52"/>
  <c r="BJ92" i="52" s="1"/>
  <c r="BT194" i="52"/>
  <c r="BT102" i="52" s="1"/>
  <c r="BN223" i="52"/>
  <c r="BN84" i="52" s="1"/>
  <c r="BR218" i="52"/>
  <c r="BR107" i="52" s="1"/>
  <c r="AX236" i="52"/>
  <c r="AX109" i="52" s="1"/>
  <c r="BM150" i="52"/>
  <c r="BM51" i="52" s="1"/>
  <c r="AV203" i="52"/>
  <c r="AV38" i="52" s="1"/>
  <c r="AW223" i="52"/>
  <c r="AW84" i="52" s="1"/>
  <c r="BE203" i="52"/>
  <c r="BE38" i="52" s="1"/>
  <c r="BU222" i="52"/>
  <c r="BU62" i="52" s="1"/>
  <c r="BA238" i="52"/>
  <c r="BA23" i="52" s="1"/>
  <c r="BQ156" i="52"/>
  <c r="BQ52" i="52" s="1"/>
  <c r="BO158" i="52"/>
  <c r="BO96" i="52" s="1"/>
  <c r="BZ266" i="52"/>
  <c r="BZ114" i="52" s="1"/>
  <c r="BL260" i="52"/>
  <c r="BL113" i="52" s="1"/>
  <c r="BY163" i="52"/>
  <c r="BY75" i="52" s="1"/>
  <c r="BO210" i="52"/>
  <c r="BO61" i="52" s="1"/>
  <c r="BV142" i="52"/>
  <c r="BV6" i="52" s="1"/>
  <c r="BI266" i="52"/>
  <c r="BI114" i="52" s="1"/>
  <c r="AW254" i="52"/>
  <c r="AW112" i="52" s="1"/>
  <c r="BV181" i="52"/>
  <c r="BV78" i="52" s="1"/>
  <c r="BX194" i="52"/>
  <c r="BX102" i="52" s="1"/>
  <c r="BI244" i="52"/>
  <c r="BI22" i="52" s="1"/>
  <c r="BZ144" i="52"/>
  <c r="BZ50" i="52" s="1"/>
  <c r="BX182" i="52"/>
  <c r="BX100" i="52" s="1"/>
  <c r="BL216" i="52"/>
  <c r="BL63" i="52" s="1"/>
  <c r="BR233" i="52"/>
  <c r="BR43" i="52" s="1"/>
  <c r="BQ216" i="52"/>
  <c r="BQ63" i="52" s="1"/>
  <c r="BT218" i="52"/>
  <c r="BT107" i="52" s="1"/>
  <c r="BM233" i="52"/>
  <c r="BM43" i="52" s="1"/>
  <c r="AX257" i="52"/>
  <c r="AX47" i="52" s="1"/>
  <c r="BR232" i="52"/>
  <c r="BR21" i="52" s="1"/>
  <c r="BX191" i="52"/>
  <c r="BX36" i="52" s="1"/>
  <c r="AV238" i="52"/>
  <c r="AV23" i="52" s="1"/>
  <c r="BZ142" i="52"/>
  <c r="BZ6" i="52" s="1"/>
  <c r="BO254" i="52"/>
  <c r="BO112" i="52" s="1"/>
  <c r="BL210" i="52"/>
  <c r="BL61" i="52" s="1"/>
  <c r="BY266" i="52"/>
  <c r="BY114" i="52" s="1"/>
  <c r="BU179" i="52"/>
  <c r="BU34" i="52" s="1"/>
  <c r="BD263" i="52"/>
  <c r="BD48" i="52" s="1"/>
  <c r="BV169" i="52"/>
  <c r="BV76" i="52" s="1"/>
  <c r="BW211" i="52"/>
  <c r="BW83" i="52" s="1"/>
  <c r="BY156" i="52"/>
  <c r="BY52" i="52" s="1"/>
  <c r="BQ258" i="52"/>
  <c r="BQ69" i="52" s="1"/>
  <c r="BU226" i="52"/>
  <c r="BU20" i="52" s="1"/>
  <c r="BO205" i="52"/>
  <c r="BO82" i="52" s="1"/>
  <c r="AW235" i="52"/>
  <c r="AW87" i="52" s="1"/>
  <c r="BZ210" i="52"/>
  <c r="BZ61" i="52" s="1"/>
  <c r="BX257" i="52"/>
  <c r="BX47" i="52" s="1"/>
  <c r="BO146" i="52"/>
  <c r="BO94" i="52" s="1"/>
  <c r="BR263" i="52"/>
  <c r="BR48" i="52" s="1"/>
  <c r="AY216" i="52"/>
  <c r="AY63" i="52" s="1"/>
  <c r="AX258" i="52"/>
  <c r="AX69" i="52" s="1"/>
  <c r="BO247" i="52"/>
  <c r="BO88" i="52" s="1"/>
  <c r="BT234" i="52"/>
  <c r="BT65" i="52" s="1"/>
  <c r="BL248" i="52"/>
  <c r="BL110" i="52" s="1"/>
  <c r="AZ264" i="52"/>
  <c r="AZ70" i="52" s="1"/>
  <c r="BR208" i="52"/>
  <c r="BR17" i="52" s="1"/>
  <c r="AW224" i="52"/>
  <c r="AW106" i="52" s="1"/>
  <c r="BQ145" i="52"/>
  <c r="BQ72" i="52" s="1"/>
  <c r="AV202" i="52"/>
  <c r="AV16" i="52" s="1"/>
  <c r="BR217" i="52"/>
  <c r="BR85" i="52" s="1"/>
  <c r="BB235" i="52"/>
  <c r="BB87" i="52" s="1"/>
  <c r="BW160" i="52"/>
  <c r="BW9" i="52" s="1"/>
  <c r="BX192" i="52"/>
  <c r="BX58" i="52" s="1"/>
  <c r="AV251" i="52"/>
  <c r="AV46" i="52" s="1"/>
  <c r="BB221" i="52"/>
  <c r="BB40" i="52" s="1"/>
  <c r="BR226" i="52"/>
  <c r="BR20" i="52" s="1"/>
  <c r="AV263" i="52"/>
  <c r="AV48" i="52" s="1"/>
  <c r="BE266" i="52"/>
  <c r="BE114" i="52" s="1"/>
  <c r="BJ260" i="52"/>
  <c r="BJ113" i="52" s="1"/>
  <c r="BR230" i="52"/>
  <c r="BR108" i="52" s="1"/>
  <c r="BN233" i="52"/>
  <c r="BN43" i="52" s="1"/>
  <c r="BV257" i="52"/>
  <c r="BV47" i="52" s="1"/>
  <c r="BF226" i="52"/>
  <c r="BF20" i="52" s="1"/>
  <c r="BY157" i="52"/>
  <c r="BY74" i="52" s="1"/>
  <c r="BH227" i="52"/>
  <c r="BH42" i="52" s="1"/>
  <c r="AV265" i="52"/>
  <c r="AV92" i="52" s="1"/>
  <c r="BP218" i="52"/>
  <c r="BP107" i="52" s="1"/>
  <c r="AV254" i="52"/>
  <c r="AV112" i="52" s="1"/>
  <c r="BN146" i="52"/>
  <c r="BN94" i="52" s="1"/>
  <c r="AV204" i="52"/>
  <c r="AV60" i="52" s="1"/>
  <c r="BP228" i="52"/>
  <c r="BP64" i="52" s="1"/>
  <c r="BI216" i="52"/>
  <c r="BI63" i="52" s="1"/>
  <c r="BI203" i="52"/>
  <c r="BI38" i="52" s="1"/>
  <c r="BG247" i="52"/>
  <c r="BG88" i="52" s="1"/>
  <c r="BB234" i="52"/>
  <c r="BB65" i="52" s="1"/>
  <c r="BR247" i="52"/>
  <c r="BR88" i="52" s="1"/>
  <c r="BU258" i="52"/>
  <c r="BU69" i="52" s="1"/>
  <c r="BZ160" i="52"/>
  <c r="BZ9" i="52" s="1"/>
  <c r="BO218" i="52"/>
  <c r="BO107" i="52" s="1"/>
  <c r="AW212" i="52"/>
  <c r="AW105" i="52" s="1"/>
  <c r="BX218" i="52"/>
  <c r="BX107" i="52" s="1"/>
  <c r="BZ234" i="52"/>
  <c r="BZ65" i="52" s="1"/>
  <c r="BL234" i="52"/>
  <c r="BL65" i="52" s="1"/>
  <c r="BX253" i="52"/>
  <c r="BX90" i="52" s="1"/>
  <c r="AZ205" i="52"/>
  <c r="AZ82" i="52" s="1"/>
  <c r="BM247" i="52"/>
  <c r="BM88" i="52" s="1"/>
  <c r="BP212" i="52"/>
  <c r="BP105" i="52" s="1"/>
  <c r="BW254" i="52"/>
  <c r="BW112" i="52" s="1"/>
  <c r="BO245" i="52"/>
  <c r="BO44" i="52" s="1"/>
  <c r="AV266" i="52"/>
  <c r="AV114" i="52" s="1"/>
  <c r="BM151" i="52"/>
  <c r="BM73" i="52" s="1"/>
  <c r="BN239" i="52"/>
  <c r="BN45" i="52" s="1"/>
  <c r="BF224" i="52"/>
  <c r="BF106" i="52" s="1"/>
  <c r="BU263" i="52"/>
  <c r="BU48" i="52" s="1"/>
  <c r="BG260" i="52"/>
  <c r="BG113" i="52" s="1"/>
  <c r="BI221" i="52"/>
  <c r="BI40" i="52" s="1"/>
  <c r="BU172" i="52"/>
  <c r="BU11" i="52" s="1"/>
  <c r="AY223" i="52"/>
  <c r="AY84" i="52" s="1"/>
  <c r="BD202" i="52"/>
  <c r="BD16" i="52" s="1"/>
  <c r="BX220" i="52"/>
  <c r="BX18" i="52" s="1"/>
  <c r="BI236" i="52"/>
  <c r="BI109" i="52" s="1"/>
  <c r="BV173" i="52"/>
  <c r="BV33" i="52" s="1"/>
  <c r="BO234" i="52"/>
  <c r="BO65" i="52" s="1"/>
  <c r="BG264" i="52"/>
  <c r="BG70" i="52" s="1"/>
  <c r="BN265" i="52"/>
  <c r="BN92" i="52" s="1"/>
  <c r="BR254" i="52"/>
  <c r="BR112" i="52" s="1"/>
  <c r="BZ164" i="52"/>
  <c r="BZ97" i="52" s="1"/>
  <c r="BM258" i="52"/>
  <c r="BM69" i="52" s="1"/>
  <c r="BZ186" i="52"/>
  <c r="BZ57" i="52" s="1"/>
  <c r="BG205" i="52"/>
  <c r="BG82" i="52" s="1"/>
  <c r="BU253" i="52"/>
  <c r="BU90" i="52" s="1"/>
  <c r="BR251" i="52"/>
  <c r="BR46" i="52" s="1"/>
  <c r="BV233" i="52"/>
  <c r="BV43" i="52" s="1"/>
  <c r="BQ224" i="52"/>
  <c r="BQ106" i="52" s="1"/>
  <c r="BA229" i="52"/>
  <c r="BA86" i="52" s="1"/>
  <c r="BN145" i="52"/>
  <c r="BN72" i="52" s="1"/>
  <c r="BY221" i="52"/>
  <c r="BY40" i="52" s="1"/>
  <c r="BO215" i="52"/>
  <c r="BO41" i="52" s="1"/>
  <c r="BE202" i="52"/>
  <c r="BE16" i="52" s="1"/>
  <c r="BD211" i="52"/>
  <c r="BD83" i="52" s="1"/>
  <c r="BN224" i="52"/>
  <c r="BN106" i="52" s="1"/>
  <c r="BX151" i="52"/>
  <c r="BX73" i="52" s="1"/>
  <c r="BV203" i="52"/>
  <c r="BV38" i="52" s="1"/>
  <c r="BH250" i="52"/>
  <c r="BH24" i="52" s="1"/>
  <c r="BT220" i="52"/>
  <c r="BT18" i="52" s="1"/>
  <c r="BX228" i="52"/>
  <c r="BX64" i="52" s="1"/>
  <c r="BU216" i="52"/>
  <c r="BU63" i="52" s="1"/>
  <c r="BW212" i="52"/>
  <c r="BW105" i="52" s="1"/>
  <c r="BH262" i="52"/>
  <c r="BH26" i="52" s="1"/>
  <c r="BD234" i="52"/>
  <c r="BD65" i="52" s="1"/>
  <c r="BR150" i="52"/>
  <c r="BR51" i="52" s="1"/>
  <c r="AW234" i="52"/>
  <c r="AW65" i="52" s="1"/>
  <c r="BP265" i="52"/>
  <c r="BP92" i="52" s="1"/>
  <c r="BX263" i="52"/>
  <c r="BX48" i="52" s="1"/>
  <c r="BT223" i="52"/>
  <c r="BT84" i="52" s="1"/>
  <c r="BB253" i="52"/>
  <c r="BB90" i="52" s="1"/>
  <c r="BR142" i="52"/>
  <c r="BR6" i="52" s="1"/>
  <c r="BU143" i="52"/>
  <c r="BU28" i="52" s="1"/>
  <c r="AZ241" i="52"/>
  <c r="AZ89" i="52" s="1"/>
  <c r="BL239" i="52"/>
  <c r="BL45" i="52" s="1"/>
  <c r="BG254" i="52"/>
  <c r="BG112" i="52" s="1"/>
  <c r="BF264" i="52"/>
  <c r="BF70" i="52" s="1"/>
  <c r="BB265" i="52"/>
  <c r="BB92" i="52" s="1"/>
  <c r="BG227" i="52"/>
  <c r="BG42" i="52" s="1"/>
  <c r="BZ145" i="52"/>
  <c r="BZ72" i="52" s="1"/>
  <c r="BA232" i="52"/>
  <c r="BA21" i="52" s="1"/>
  <c r="BY257" i="52"/>
  <c r="BY47" i="52" s="1"/>
  <c r="BP259" i="52"/>
  <c r="BP91" i="52" s="1"/>
  <c r="BP266" i="52"/>
  <c r="BP114" i="52" s="1"/>
  <c r="BH253" i="52"/>
  <c r="BH90" i="52" s="1"/>
  <c r="BP157" i="52"/>
  <c r="BP74" i="52" s="1"/>
  <c r="AV206" i="52"/>
  <c r="AV104" i="52" s="1"/>
  <c r="BF241" i="52"/>
  <c r="BF89" i="52" s="1"/>
  <c r="BH236" i="52"/>
  <c r="BH109" i="52" s="1"/>
  <c r="BI264" i="52"/>
  <c r="BI70" i="52" s="1"/>
  <c r="AY265" i="52"/>
  <c r="AY92" i="52" s="1"/>
  <c r="BQ148" i="52"/>
  <c r="BQ7" i="52" s="1"/>
  <c r="BY256" i="52"/>
  <c r="BY25" i="52" s="1"/>
  <c r="AY230" i="52"/>
  <c r="AY108" i="52" s="1"/>
  <c r="BI210" i="52"/>
  <c r="BI61" i="52" s="1"/>
  <c r="BO214" i="52"/>
  <c r="BO19" i="52" s="1"/>
  <c r="BM266" i="52"/>
  <c r="BM114" i="52" s="1"/>
  <c r="BR256" i="52"/>
  <c r="BR25" i="52" s="1"/>
  <c r="BT266" i="52"/>
  <c r="BT114" i="52" s="1"/>
  <c r="BI234" i="52"/>
  <c r="BI65" i="52" s="1"/>
  <c r="BX161" i="52"/>
  <c r="BX31" i="52" s="1"/>
  <c r="BF228" i="52"/>
  <c r="BF64" i="52" s="1"/>
  <c r="BX204" i="52"/>
  <c r="BX60" i="52" s="1"/>
  <c r="BQ215" i="52"/>
  <c r="BQ41" i="52" s="1"/>
  <c r="BA253" i="52"/>
  <c r="BA90" i="52" s="1"/>
  <c r="BT211" i="52"/>
  <c r="BT83" i="52" s="1"/>
  <c r="AY236" i="52"/>
  <c r="AY109" i="52" s="1"/>
  <c r="BE206" i="52"/>
  <c r="BE104" i="52" s="1"/>
  <c r="BT161" i="52"/>
  <c r="BT31" i="52" s="1"/>
  <c r="BM239" i="52"/>
  <c r="BM45" i="52" s="1"/>
  <c r="AX248" i="52"/>
  <c r="AX110" i="52" s="1"/>
  <c r="BP226" i="52"/>
  <c r="BP20" i="52" s="1"/>
  <c r="AX264" i="52"/>
  <c r="AX70" i="52" s="1"/>
  <c r="BW191" i="52"/>
  <c r="BW36" i="52" s="1"/>
  <c r="BJ263" i="52"/>
  <c r="BJ48" i="52" s="1"/>
  <c r="BV154" i="52"/>
  <c r="BV8" i="52" s="1"/>
  <c r="BN259" i="52"/>
  <c r="BN91" i="52" s="1"/>
  <c r="BP150" i="52"/>
  <c r="BP51" i="52" s="1"/>
  <c r="BV204" i="52"/>
  <c r="BV60" i="52" s="1"/>
  <c r="AZ223" i="52"/>
  <c r="AZ84" i="52" s="1"/>
  <c r="BO202" i="52"/>
  <c r="BO16" i="52" s="1"/>
  <c r="BW264" i="52"/>
  <c r="BW70" i="52" s="1"/>
  <c r="AZ238" i="52"/>
  <c r="AZ23" i="52" s="1"/>
  <c r="BW150" i="52"/>
  <c r="BW51" i="52" s="1"/>
  <c r="BU155" i="52"/>
  <c r="BU30" i="52" s="1"/>
  <c r="BO239" i="52"/>
  <c r="BO45" i="52" s="1"/>
  <c r="BR252" i="52"/>
  <c r="BR68" i="52" s="1"/>
  <c r="BR212" i="52"/>
  <c r="BR105" i="52" s="1"/>
  <c r="AW246" i="52"/>
  <c r="AW66" i="52" s="1"/>
  <c r="BU220" i="52"/>
  <c r="BU18" i="52" s="1"/>
  <c r="BY192" i="52"/>
  <c r="BY58" i="52" s="1"/>
  <c r="BF253" i="52"/>
  <c r="BF90" i="52" s="1"/>
  <c r="BG240" i="52"/>
  <c r="BG67" i="52" s="1"/>
  <c r="BF204" i="52"/>
  <c r="BF60" i="52" s="1"/>
  <c r="BV227" i="52"/>
  <c r="BV42" i="52" s="1"/>
  <c r="AZ212" i="52"/>
  <c r="AZ105" i="52" s="1"/>
  <c r="AY250" i="52"/>
  <c r="AY24" i="52" s="1"/>
  <c r="BZ233" i="52"/>
  <c r="BZ43" i="52" s="1"/>
  <c r="BZ209" i="52"/>
  <c r="BZ39" i="52" s="1"/>
  <c r="BL146" i="52"/>
  <c r="BL94" i="52" s="1"/>
  <c r="BQ235" i="52"/>
  <c r="BQ87" i="52" s="1"/>
  <c r="BR209" i="52"/>
  <c r="BR39" i="52" s="1"/>
  <c r="BM244" i="52"/>
  <c r="BM22" i="52" s="1"/>
  <c r="BX211" i="52"/>
  <c r="BX83" i="52" s="1"/>
  <c r="BZ154" i="52"/>
  <c r="BZ8" i="52" s="1"/>
  <c r="BH251" i="52"/>
  <c r="BH46" i="52" s="1"/>
  <c r="BY178" i="52"/>
  <c r="BY12" i="52" s="1"/>
  <c r="BD265" i="52"/>
  <c r="BD92" i="52" s="1"/>
  <c r="BA257" i="52"/>
  <c r="BA47" i="52" s="1"/>
  <c r="BL258" i="52"/>
  <c r="BL69" i="52" s="1"/>
  <c r="BG235" i="52"/>
  <c r="BG87" i="52" s="1"/>
  <c r="AV209" i="52"/>
  <c r="AV39" i="52" s="1"/>
  <c r="AZ242" i="52"/>
  <c r="AZ111" i="52" s="1"/>
  <c r="AY258" i="52"/>
  <c r="AY69" i="52" s="1"/>
  <c r="BT180" i="52"/>
  <c r="BT56" i="52" s="1"/>
  <c r="AZ244" i="52"/>
  <c r="AZ22" i="52" s="1"/>
  <c r="BE204" i="52"/>
  <c r="BE60" i="52" s="1"/>
  <c r="BA202" i="52"/>
  <c r="BA16" i="52" s="1"/>
  <c r="BU148" i="52"/>
  <c r="BU7" i="52" s="1"/>
  <c r="BZ191" i="52"/>
  <c r="BZ36" i="52" s="1"/>
  <c r="BJ248" i="52"/>
  <c r="BJ110" i="52" s="1"/>
  <c r="BW262" i="52"/>
  <c r="BW26" i="52" s="1"/>
  <c r="BM232" i="52"/>
  <c r="BM21" i="52" s="1"/>
  <c r="AY244" i="52"/>
  <c r="AY22" i="52" s="1"/>
  <c r="BU236" i="52"/>
  <c r="BU109" i="52" s="1"/>
  <c r="BZ161" i="52"/>
  <c r="BZ31" i="52" s="1"/>
  <c r="BE227" i="52"/>
  <c r="BE42" i="52" s="1"/>
  <c r="BN242" i="52"/>
  <c r="BN111" i="52" s="1"/>
  <c r="BT175" i="52"/>
  <c r="BT77" i="52" s="1"/>
  <c r="BR155" i="52"/>
  <c r="BR30" i="52" s="1"/>
  <c r="BE242" i="52"/>
  <c r="BE111" i="52" s="1"/>
  <c r="BT176" i="52"/>
  <c r="BT99" i="52" s="1"/>
  <c r="BD221" i="52"/>
  <c r="BD40" i="52" s="1"/>
  <c r="BT162" i="52"/>
  <c r="BT53" i="52" s="1"/>
  <c r="BH220" i="52"/>
  <c r="BH18" i="52" s="1"/>
  <c r="BV218" i="52"/>
  <c r="BV107" i="52" s="1"/>
  <c r="BZ170" i="52"/>
  <c r="BZ98" i="52" s="1"/>
  <c r="BY250" i="52"/>
  <c r="BY24" i="52" s="1"/>
  <c r="BE265" i="52"/>
  <c r="BE92" i="52" s="1"/>
  <c r="BQ253" i="52"/>
  <c r="BQ90" i="52" s="1"/>
  <c r="BU163" i="52"/>
  <c r="BU75" i="52" s="1"/>
  <c r="BN227" i="52"/>
  <c r="BN42" i="52" s="1"/>
  <c r="BI222" i="52"/>
  <c r="BI62" i="52" s="1"/>
  <c r="BU190" i="52"/>
  <c r="BU14" i="52" s="1"/>
  <c r="BZ253" i="52"/>
  <c r="BZ90" i="52" s="1"/>
  <c r="BW146" i="52"/>
  <c r="BW94" i="52" s="1"/>
  <c r="BX148" i="52"/>
  <c r="BX7" i="52" s="1"/>
  <c r="BT191" i="52"/>
  <c r="BT36" i="52" s="1"/>
  <c r="BL155" i="52"/>
  <c r="BL30" i="52" s="1"/>
  <c r="BA203" i="52"/>
  <c r="BA38" i="52" s="1"/>
  <c r="BV182" i="52"/>
  <c r="BV100" i="52" s="1"/>
  <c r="BY169" i="52"/>
  <c r="BY76" i="52" s="1"/>
  <c r="BH266" i="52"/>
  <c r="BH114" i="52" s="1"/>
  <c r="BA256" i="52"/>
  <c r="BA25" i="52" s="1"/>
  <c r="BZ181" i="52"/>
  <c r="BZ78" i="52" s="1"/>
  <c r="BT227" i="52"/>
  <c r="BT42" i="52" s="1"/>
  <c r="BT157" i="52"/>
  <c r="BT74" i="52" s="1"/>
  <c r="BW143" i="52"/>
  <c r="BW28" i="52" s="1"/>
  <c r="BV256" i="52"/>
  <c r="BV25" i="52" s="1"/>
  <c r="BZ150" i="52"/>
  <c r="BZ51" i="52" s="1"/>
  <c r="BM222" i="52"/>
  <c r="BM62" i="52" s="1"/>
  <c r="BM223" i="52"/>
  <c r="BM84" i="52" s="1"/>
  <c r="BG212" i="52"/>
  <c r="BG105" i="52" s="1"/>
  <c r="AZ250" i="52"/>
  <c r="AZ24" i="52" s="1"/>
  <c r="BU175" i="52"/>
  <c r="BU77" i="52" s="1"/>
  <c r="BD209" i="52"/>
  <c r="BD39" i="52" s="1"/>
  <c r="AW245" i="52"/>
  <c r="AW44" i="52" s="1"/>
  <c r="BY217" i="52"/>
  <c r="BY85" i="52" s="1"/>
  <c r="BU254" i="52"/>
  <c r="BU112" i="52" s="1"/>
  <c r="BP264" i="52"/>
  <c r="BP70" i="52" s="1"/>
  <c r="BZ158" i="52"/>
  <c r="BZ96" i="52" s="1"/>
  <c r="BG230" i="52"/>
  <c r="BG108" i="52" s="1"/>
  <c r="BY229" i="52"/>
  <c r="BY86" i="52" s="1"/>
  <c r="BL242" i="52"/>
  <c r="BL111" i="52" s="1"/>
  <c r="BN247" i="52"/>
  <c r="BN88" i="52" s="1"/>
  <c r="BQ144" i="52"/>
  <c r="BQ50" i="52" s="1"/>
  <c r="AZ258" i="52"/>
  <c r="AZ69" i="52" s="1"/>
  <c r="BT254" i="52"/>
  <c r="BT112" i="52" s="1"/>
  <c r="BA204" i="52"/>
  <c r="BA60" i="52" s="1"/>
  <c r="AW244" i="52"/>
  <c r="AW22" i="52" s="1"/>
  <c r="BQ264" i="52"/>
  <c r="BQ70" i="52" s="1"/>
  <c r="BZ163" i="52"/>
  <c r="BZ75" i="52" s="1"/>
  <c r="BM248" i="52"/>
  <c r="BM110" i="52" s="1"/>
  <c r="BT163" i="52"/>
  <c r="BT75" i="52" s="1"/>
  <c r="BD212" i="52"/>
  <c r="BD105" i="52" s="1"/>
  <c r="BL203" i="52"/>
  <c r="BL38" i="52" s="1"/>
  <c r="BE241" i="52"/>
  <c r="BE89" i="52" s="1"/>
  <c r="BZ235" i="52"/>
  <c r="BZ87" i="52" s="1"/>
  <c r="BV193" i="52"/>
  <c r="BV80" i="52" s="1"/>
  <c r="BW193" i="52"/>
  <c r="BW80" i="52" s="1"/>
  <c r="BL262" i="52"/>
  <c r="BL26" i="52" s="1"/>
  <c r="BD242" i="52"/>
  <c r="BD111" i="52" s="1"/>
  <c r="BN256" i="52"/>
  <c r="BN25" i="52" s="1"/>
  <c r="BV211" i="52"/>
  <c r="BV83" i="52" s="1"/>
  <c r="BO236" i="52"/>
  <c r="BO109" i="52" s="1"/>
  <c r="BB209" i="52"/>
  <c r="BB39" i="52" s="1"/>
  <c r="BX157" i="52"/>
  <c r="BX74" i="52" s="1"/>
  <c r="BP202" i="52"/>
  <c r="BP16" i="52" s="1"/>
  <c r="BW169" i="52"/>
  <c r="BW76" i="52" s="1"/>
  <c r="AY256" i="52"/>
  <c r="AY25" i="52" s="1"/>
  <c r="BB241" i="52"/>
  <c r="BB89" i="52" s="1"/>
  <c r="BJ233" i="52"/>
  <c r="BJ43" i="52" s="1"/>
  <c r="AV222" i="52"/>
  <c r="AV62" i="52" s="1"/>
  <c r="BO241" i="52"/>
  <c r="BO89" i="52" s="1"/>
  <c r="BN230" i="52"/>
  <c r="BN108" i="52" s="1"/>
  <c r="AY226" i="52"/>
  <c r="AY20" i="52" s="1"/>
  <c r="BQ214" i="52"/>
  <c r="BQ19" i="52" s="1"/>
  <c r="BT179" i="52"/>
  <c r="BT34" i="52" s="1"/>
  <c r="BU227" i="52"/>
  <c r="BU42" i="52" s="1"/>
  <c r="AZ234" i="52"/>
  <c r="AZ65" i="52" s="1"/>
  <c r="BY152" i="52"/>
  <c r="BY95" i="52" s="1"/>
  <c r="BI247" i="52"/>
  <c r="BI88" i="52" s="1"/>
  <c r="BP239" i="52"/>
  <c r="BP45" i="52" s="1"/>
  <c r="BN144" i="52"/>
  <c r="BN50" i="52" s="1"/>
  <c r="BM154" i="52"/>
  <c r="BM8" i="52" s="1"/>
  <c r="BY179" i="52"/>
  <c r="BY34" i="52" s="1"/>
  <c r="BN215" i="52"/>
  <c r="BN41" i="52" s="1"/>
  <c r="BI246" i="52"/>
  <c r="BI66" i="52" s="1"/>
  <c r="BE258" i="52"/>
  <c r="BE69" i="52" s="1"/>
  <c r="BL212" i="52"/>
  <c r="BL105" i="52" s="1"/>
  <c r="BB256" i="52"/>
  <c r="BB25" i="52" s="1"/>
  <c r="BI241" i="52"/>
  <c r="BI89" i="52" s="1"/>
  <c r="BM242" i="52"/>
  <c r="BM111" i="52" s="1"/>
  <c r="BD223" i="52"/>
  <c r="BD84" i="52" s="1"/>
  <c r="AV220" i="52"/>
  <c r="AV18" i="52" s="1"/>
  <c r="BH203" i="52"/>
  <c r="BH38" i="52" s="1"/>
  <c r="BN238" i="52"/>
  <c r="BN23" i="52" s="1"/>
  <c r="BR158" i="52"/>
  <c r="BR96" i="52" s="1"/>
  <c r="BF242" i="52"/>
  <c r="BF111" i="52" s="1"/>
  <c r="BE254" i="52"/>
  <c r="BE112" i="52" s="1"/>
  <c r="BX152" i="52"/>
  <c r="BX95" i="52" s="1"/>
  <c r="BA241" i="52"/>
  <c r="BA89" i="52" s="1"/>
  <c r="BO208" i="52"/>
  <c r="BO17" i="52" s="1"/>
  <c r="BR220" i="52"/>
  <c r="BR18" i="52" s="1"/>
  <c r="BT233" i="52"/>
  <c r="BT43" i="52" s="1"/>
  <c r="BR248" i="52"/>
  <c r="BR110" i="52" s="1"/>
  <c r="BX160" i="52"/>
  <c r="BX9" i="52" s="1"/>
  <c r="BZ184" i="52"/>
  <c r="BZ13" i="52" s="1"/>
  <c r="BX178" i="52"/>
  <c r="BX12" i="52" s="1"/>
  <c r="AV246" i="52"/>
  <c r="AV66" i="52" s="1"/>
  <c r="BL230" i="52"/>
  <c r="BL108" i="52" s="1"/>
  <c r="BO229" i="52"/>
  <c r="BO86" i="52" s="1"/>
  <c r="BM142" i="52"/>
  <c r="BM6" i="52" s="1"/>
  <c r="BA234" i="52"/>
  <c r="BA65" i="52" s="1"/>
  <c r="BG223" i="52"/>
  <c r="BG84" i="52" s="1"/>
  <c r="AX254" i="52"/>
  <c r="AX112" i="52" s="1"/>
  <c r="BY212" i="52"/>
  <c r="BY105" i="52" s="1"/>
  <c r="BW154" i="52"/>
  <c r="BW8" i="52" s="1"/>
  <c r="BV149" i="52"/>
  <c r="BV29" i="52" s="1"/>
  <c r="BU158" i="52"/>
  <c r="BU96" i="52" s="1"/>
  <c r="AX53" i="52"/>
  <c r="G2877" i="79"/>
  <c r="L276" i="52"/>
  <c r="O343" i="54" s="1"/>
  <c r="W659" i="59" s="1"/>
  <c r="I271" i="52"/>
  <c r="L348" i="54" s="1"/>
  <c r="L273" i="52"/>
  <c r="O333" i="54" s="1"/>
  <c r="W649" i="59" s="1"/>
  <c r="AV101" i="52"/>
  <c r="AW100" i="52"/>
  <c r="AZ77" i="52"/>
  <c r="BB101" i="52"/>
  <c r="AZ79" i="52"/>
  <c r="BA98" i="52"/>
  <c r="AW35" i="52"/>
  <c r="BJ29" i="52"/>
  <c r="AX10" i="52"/>
  <c r="BF28" i="52"/>
  <c r="BJ51" i="52"/>
  <c r="M1531" i="79"/>
  <c r="BA13" i="52"/>
  <c r="BE95" i="52"/>
  <c r="BI50" i="52"/>
  <c r="BA32" i="52"/>
  <c r="BG50" i="52"/>
  <c r="BB33" i="52"/>
  <c r="BB79" i="52"/>
  <c r="AV76" i="52"/>
  <c r="AY56" i="52"/>
  <c r="H271" i="52"/>
  <c r="K348" i="54" s="1"/>
  <c r="AW75" i="52"/>
  <c r="K3246" i="79"/>
  <c r="BI6" i="52"/>
  <c r="AV58" i="52"/>
  <c r="BI73" i="52"/>
  <c r="AX35" i="52"/>
  <c r="AW101" i="52"/>
  <c r="AV98" i="52"/>
  <c r="BE8" i="52"/>
  <c r="AY36" i="52"/>
  <c r="N273" i="52"/>
  <c r="Q333" i="54" s="1"/>
  <c r="AX54" i="52"/>
  <c r="AX75" i="52"/>
  <c r="BB76" i="52"/>
  <c r="AV99" i="52"/>
  <c r="J271" i="52"/>
  <c r="M348" i="54" s="1"/>
  <c r="AV33" i="52"/>
  <c r="BA54" i="52"/>
  <c r="AW99" i="52"/>
  <c r="H278" i="52"/>
  <c r="K336" i="54" s="1"/>
  <c r="BD6" i="52"/>
  <c r="BD28" i="52"/>
  <c r="BH94" i="52"/>
  <c r="BB57" i="52"/>
  <c r="AX55" i="52"/>
  <c r="AZ9" i="52"/>
  <c r="AX80" i="52"/>
  <c r="BF73" i="52"/>
  <c r="AV77" i="52"/>
  <c r="BA36" i="52"/>
  <c r="J278" i="52"/>
  <c r="M336" i="54" s="1"/>
  <c r="BA74" i="52"/>
  <c r="AV12" i="52"/>
  <c r="BE29" i="52"/>
  <c r="AX78" i="52"/>
  <c r="H2842" i="79"/>
  <c r="AY54" i="52"/>
  <c r="BE72" i="52"/>
  <c r="AY78" i="52"/>
  <c r="BF51" i="52"/>
  <c r="M271" i="52"/>
  <c r="P348" i="54" s="1"/>
  <c r="AW56" i="52"/>
  <c r="H273" i="52"/>
  <c r="K333" i="54" s="1"/>
  <c r="S649" i="59" s="1"/>
  <c r="BB58" i="52"/>
  <c r="AW31" i="52"/>
  <c r="AY34" i="52"/>
  <c r="H274" i="52"/>
  <c r="K339" i="54" s="1"/>
  <c r="AX32" i="52"/>
  <c r="AV75" i="52"/>
  <c r="BA58" i="52"/>
  <c r="AV54" i="52"/>
  <c r="AY55" i="52"/>
  <c r="AW77" i="52"/>
  <c r="AY101" i="52"/>
  <c r="AY74" i="52"/>
  <c r="AX79" i="52"/>
  <c r="BB55" i="52"/>
  <c r="AY100" i="52"/>
  <c r="BJ8" i="52"/>
  <c r="K2877" i="79"/>
  <c r="AZ55" i="52"/>
  <c r="AV35" i="52"/>
  <c r="BB96" i="52"/>
  <c r="AW9" i="52"/>
  <c r="AV100" i="52"/>
  <c r="AY52" i="52"/>
  <c r="BA100" i="52"/>
  <c r="AV31" i="52"/>
  <c r="BA35" i="52"/>
  <c r="AX99" i="52"/>
  <c r="BA30" i="52"/>
  <c r="I274" i="52"/>
  <c r="L339" i="54" s="1"/>
  <c r="BA78" i="52"/>
  <c r="BG29" i="52"/>
  <c r="BG73" i="52"/>
  <c r="BG95" i="52"/>
  <c r="AX74" i="52"/>
  <c r="BB34" i="52"/>
  <c r="AY76" i="52"/>
  <c r="AZ102" i="52"/>
  <c r="AV36" i="52"/>
  <c r="AY33" i="52"/>
  <c r="BF8" i="52"/>
  <c r="BB11" i="52"/>
  <c r="BI94" i="52"/>
  <c r="BG72" i="52"/>
  <c r="AW53" i="52"/>
  <c r="AV97" i="52"/>
  <c r="AZ54" i="52"/>
  <c r="H276" i="52"/>
  <c r="K343" i="54" s="1"/>
  <c r="S659" i="59" s="1"/>
  <c r="AY77" i="52"/>
  <c r="BE73" i="52"/>
  <c r="AY57" i="52"/>
  <c r="BF29" i="52"/>
  <c r="M273" i="52"/>
  <c r="P333" i="54" s="1"/>
  <c r="X649" i="59" s="1"/>
  <c r="K3277" i="79"/>
  <c r="AX57" i="52"/>
  <c r="AY80" i="52"/>
  <c r="AW54" i="52"/>
  <c r="BH72" i="52"/>
  <c r="N271" i="52"/>
  <c r="Q348" i="54" s="1"/>
  <c r="R348" i="54" s="1"/>
  <c r="S348" i="54" s="1"/>
  <c r="T348" i="54" s="1"/>
  <c r="U348" i="54" s="1"/>
  <c r="V348" i="54" s="1"/>
  <c r="BA33" i="52"/>
  <c r="BB35" i="52"/>
  <c r="BB75" i="52"/>
  <c r="BI72" i="52"/>
  <c r="BJ73" i="52"/>
  <c r="AW52" i="52"/>
  <c r="BJ94" i="52"/>
  <c r="AZ80" i="52"/>
  <c r="AW32" i="52"/>
  <c r="BI95" i="52"/>
  <c r="BF6" i="52"/>
  <c r="AX12" i="52"/>
  <c r="AX52" i="52"/>
  <c r="AY79" i="52"/>
  <c r="L2842" i="79"/>
  <c r="AZ12" i="52"/>
  <c r="J3277" i="79"/>
  <c r="M278" i="52"/>
  <c r="P336" i="54" s="1"/>
  <c r="N276" i="52"/>
  <c r="Q343" i="54" s="1"/>
  <c r="BD29" i="52"/>
  <c r="AY30" i="52"/>
  <c r="BI29" i="52"/>
  <c r="AW14" i="52"/>
  <c r="AW80" i="52"/>
  <c r="AV80" i="52"/>
  <c r="AV32" i="52"/>
  <c r="I276" i="52"/>
  <c r="L343" i="54" s="1"/>
  <c r="T659" i="59" s="1"/>
  <c r="N274" i="52"/>
  <c r="Q339" i="54" s="1"/>
  <c r="R339" i="54" s="1"/>
  <c r="S339" i="54" s="1"/>
  <c r="T339" i="54" s="1"/>
  <c r="U339" i="54" s="1"/>
  <c r="V339" i="54" s="1"/>
  <c r="AY10" i="52"/>
  <c r="BI7" i="52"/>
  <c r="AW78" i="52"/>
  <c r="AZ10" i="52"/>
  <c r="AZ98" i="52"/>
  <c r="BJ72" i="52"/>
  <c r="AV8" i="52"/>
  <c r="AY99" i="52"/>
  <c r="BB13" i="52"/>
  <c r="AY32" i="52"/>
  <c r="BJ6" i="52"/>
  <c r="AZ75" i="52"/>
  <c r="AW12" i="52"/>
  <c r="N278" i="52"/>
  <c r="Q336" i="54" s="1"/>
  <c r="R336" i="54" s="1"/>
  <c r="S336" i="54" s="1"/>
  <c r="T336" i="54" s="1"/>
  <c r="U336" i="54" s="1"/>
  <c r="V336" i="54" s="1"/>
  <c r="AX76" i="52"/>
  <c r="BF72" i="52"/>
  <c r="L271" i="52"/>
  <c r="O348" i="54" s="1"/>
  <c r="H275" i="52"/>
  <c r="K340" i="54" s="1"/>
  <c r="BJ95" i="52"/>
  <c r="AY53" i="52"/>
  <c r="BB54" i="52"/>
  <c r="BA11" i="52"/>
  <c r="AZ11" i="52"/>
  <c r="AZ74" i="52"/>
  <c r="BB14" i="52"/>
  <c r="BE94" i="52"/>
  <c r="BB56" i="52"/>
  <c r="BA80" i="52"/>
  <c r="L278" i="52"/>
  <c r="O336" i="54" s="1"/>
  <c r="AX98" i="52"/>
  <c r="AX56" i="52"/>
  <c r="AX77" i="52"/>
  <c r="BA12" i="52"/>
  <c r="BB30" i="52"/>
  <c r="AX11" i="52"/>
  <c r="BF94" i="52"/>
  <c r="BE7" i="52"/>
  <c r="AY13" i="52"/>
  <c r="BB32" i="52"/>
  <c r="AZ99" i="52"/>
  <c r="AV56" i="52"/>
  <c r="BA52" i="52"/>
  <c r="AV9" i="52"/>
  <c r="BB9" i="52"/>
  <c r="BB10" i="52"/>
  <c r="BH28" i="52"/>
  <c r="BH51" i="52"/>
  <c r="BA56" i="52"/>
  <c r="J276" i="52"/>
  <c r="M343" i="54" s="1"/>
  <c r="U659" i="59" s="1"/>
  <c r="J3246" i="79"/>
  <c r="J275" i="52"/>
  <c r="M340" i="54" s="1"/>
  <c r="BA34" i="52"/>
  <c r="AZ34" i="52"/>
  <c r="AW10" i="52"/>
  <c r="AX13" i="52"/>
  <c r="AV74" i="52"/>
  <c r="BG51" i="52"/>
  <c r="I278" i="52"/>
  <c r="L336" i="54" s="1"/>
  <c r="AY9" i="52"/>
  <c r="AZ97" i="52"/>
  <c r="BE28" i="52"/>
  <c r="L275" i="52"/>
  <c r="O340" i="54" s="1"/>
  <c r="BB78" i="52"/>
  <c r="BA10" i="52"/>
  <c r="AW55" i="52"/>
  <c r="AX102" i="52"/>
  <c r="AW97" i="52"/>
  <c r="BA99" i="52"/>
  <c r="AX96" i="52"/>
  <c r="K274" i="52"/>
  <c r="N339" i="54" s="1"/>
  <c r="BB97" i="52"/>
  <c r="AY75" i="52"/>
  <c r="AW36" i="52"/>
  <c r="AW34" i="52"/>
  <c r="AY35" i="52"/>
  <c r="AW57" i="52"/>
  <c r="BH95" i="52"/>
  <c r="BG28" i="52"/>
  <c r="AX97" i="52"/>
  <c r="AV14" i="52"/>
  <c r="AV102" i="52"/>
  <c r="BA14" i="52"/>
  <c r="AY12" i="52"/>
  <c r="BG94" i="52"/>
  <c r="AV52" i="52"/>
  <c r="AZ100" i="52"/>
  <c r="BJ50" i="52"/>
  <c r="N275" i="52"/>
  <c r="Q340" i="54" s="1"/>
  <c r="R340" i="54" s="1"/>
  <c r="S340" i="54" s="1"/>
  <c r="T340" i="54" s="1"/>
  <c r="U340" i="54" s="1"/>
  <c r="V340" i="54" s="1"/>
  <c r="AW74" i="52"/>
  <c r="BD8" i="52"/>
  <c r="J2877" i="79"/>
  <c r="BG6" i="52"/>
  <c r="BA76" i="52"/>
  <c r="BB80" i="52"/>
  <c r="AV57" i="52"/>
  <c r="BI8" i="52"/>
  <c r="AX33" i="52"/>
  <c r="AY97" i="52"/>
  <c r="BF50" i="52"/>
  <c r="BD7" i="52"/>
  <c r="AW58" i="52"/>
  <c r="BF7" i="52"/>
  <c r="AW102" i="52"/>
  <c r="BE51" i="52"/>
  <c r="AV55" i="52"/>
  <c r="BH8" i="52"/>
  <c r="AW96" i="52"/>
  <c r="I273" i="52"/>
  <c r="L333" i="54" s="1"/>
  <c r="T649" i="59" s="1"/>
  <c r="AY96" i="52"/>
  <c r="BA102" i="52"/>
  <c r="K273" i="52"/>
  <c r="N333" i="54" s="1"/>
  <c r="V649" i="59" s="1"/>
  <c r="AV34" i="52"/>
  <c r="AX31" i="52"/>
  <c r="L274" i="52"/>
  <c r="O339" i="54" s="1"/>
  <c r="K278" i="52"/>
  <c r="N336" i="54" s="1"/>
  <c r="AZ101" i="52"/>
  <c r="AZ14" i="52"/>
  <c r="AX58" i="52"/>
  <c r="BD95" i="52"/>
  <c r="BA53" i="52"/>
  <c r="BA97" i="52"/>
  <c r="AZ13" i="52"/>
  <c r="BB31" i="52"/>
  <c r="BF95" i="52"/>
  <c r="AX14" i="52"/>
  <c r="AW13" i="52"/>
  <c r="AW11" i="52"/>
  <c r="BB52" i="52"/>
  <c r="BA101" i="52"/>
  <c r="BA9" i="52"/>
  <c r="K271" i="52"/>
  <c r="N348" i="54" s="1"/>
  <c r="AZ30" i="52"/>
  <c r="BA75" i="52"/>
  <c r="AV53" i="52"/>
  <c r="AY102" i="52"/>
  <c r="BA57" i="52"/>
  <c r="I275" i="52"/>
  <c r="L340" i="54" s="1"/>
  <c r="AY58" i="52"/>
  <c r="AX34" i="52"/>
  <c r="AZ78" i="52"/>
  <c r="AZ58" i="52"/>
  <c r="AZ56" i="52"/>
  <c r="AW33" i="52"/>
  <c r="AZ57" i="52"/>
  <c r="BB102" i="52"/>
  <c r="BH7" i="52"/>
  <c r="BA79" i="52"/>
  <c r="BB77" i="52"/>
  <c r="AZ76" i="52"/>
  <c r="AX101" i="52"/>
  <c r="AX9" i="52"/>
  <c r="AV96" i="52"/>
  <c r="K2842" i="79"/>
  <c r="AZ96" i="52"/>
  <c r="L3277" i="79"/>
  <c r="M274" i="52"/>
  <c r="P339" i="54" s="1"/>
  <c r="BI51" i="52"/>
  <c r="AX100" i="52"/>
  <c r="AV78" i="52"/>
  <c r="AW76" i="52"/>
  <c r="AW30" i="52"/>
  <c r="J1531" i="79"/>
  <c r="AV10" i="52"/>
  <c r="AV30" i="52"/>
  <c r="BB36" i="52"/>
  <c r="K276" i="52"/>
  <c r="N343" i="54" s="1"/>
  <c r="V659" i="59" s="1"/>
  <c r="J2842" i="79"/>
  <c r="BA96" i="52"/>
  <c r="BB12" i="52"/>
  <c r="AW98" i="52"/>
  <c r="AZ33" i="52"/>
  <c r="I2877" i="79"/>
  <c r="AZ52" i="52"/>
  <c r="I2842" i="79"/>
  <c r="BG8" i="52"/>
  <c r="BJ28" i="52"/>
  <c r="BA55" i="52"/>
  <c r="BH73" i="52"/>
  <c r="AY31" i="52"/>
  <c r="BB74" i="52"/>
  <c r="BH50" i="52"/>
  <c r="BI28" i="52"/>
  <c r="AZ35" i="52"/>
  <c r="BG7" i="52"/>
  <c r="J273" i="52"/>
  <c r="M333" i="54" s="1"/>
  <c r="U649" i="59" s="1"/>
  <c r="AZ36" i="52"/>
  <c r="BH6" i="52"/>
  <c r="BA31" i="52"/>
  <c r="G2842" i="79"/>
  <c r="AZ53" i="52"/>
  <c r="AV13" i="52"/>
  <c r="BD94" i="52"/>
  <c r="M276" i="52"/>
  <c r="P343" i="54" s="1"/>
  <c r="X659" i="59" s="1"/>
  <c r="BD72" i="52"/>
  <c r="M2842" i="79"/>
  <c r="AY14" i="52"/>
  <c r="BB99" i="52"/>
  <c r="AV11" i="52"/>
  <c r="BA77" i="52"/>
  <c r="K275" i="52"/>
  <c r="N340" i="54" s="1"/>
  <c r="BD51" i="52"/>
  <c r="AW79" i="52"/>
  <c r="AX36" i="52"/>
  <c r="AY11" i="52"/>
  <c r="BE6" i="52"/>
  <c r="AZ31" i="52"/>
  <c r="BB100" i="52"/>
  <c r="AZ32" i="52"/>
  <c r="BH29" i="52"/>
  <c r="BJ7" i="52"/>
  <c r="BB53" i="52"/>
  <c r="M275" i="52"/>
  <c r="P340" i="54" s="1"/>
  <c r="BE50" i="52"/>
  <c r="AX30" i="52"/>
  <c r="AY98" i="52"/>
  <c r="AV79" i="52"/>
  <c r="J274" i="52"/>
  <c r="M339" i="54" s="1"/>
  <c r="BD50" i="52"/>
  <c r="J202" i="52"/>
  <c r="J16" i="52" s="1"/>
  <c r="M3381" i="79"/>
  <c r="M3382" i="79"/>
  <c r="G3382" i="79"/>
  <c r="I3381" i="79"/>
  <c r="H3381" i="79"/>
  <c r="J3381" i="79"/>
  <c r="L3381" i="79"/>
  <c r="L3382" i="79"/>
  <c r="K3381" i="79"/>
  <c r="H3382" i="79"/>
  <c r="J3382" i="79"/>
  <c r="G3381" i="79"/>
  <c r="I3382" i="79"/>
  <c r="K3382" i="79"/>
  <c r="H2998" i="79"/>
  <c r="J2998" i="79"/>
  <c r="L2998" i="79"/>
  <c r="M2998" i="79"/>
  <c r="K2998" i="79"/>
  <c r="I2998" i="79"/>
  <c r="G2998" i="79"/>
  <c r="M2997" i="79"/>
  <c r="G2997" i="79"/>
  <c r="K2997" i="79"/>
  <c r="L2997" i="79"/>
  <c r="J2997" i="79"/>
  <c r="H2997" i="79"/>
  <c r="I2997" i="79"/>
  <c r="I2841" i="79"/>
  <c r="O345" i="54"/>
  <c r="P256" i="52"/>
  <c r="R258" i="52"/>
  <c r="R69" i="52" s="1"/>
  <c r="M417" i="54" s="1"/>
  <c r="R259" i="52"/>
  <c r="R91" i="52" s="1"/>
  <c r="M438" i="54" s="1"/>
  <c r="U256" i="52"/>
  <c r="S257" i="52"/>
  <c r="S47" i="52" s="1"/>
  <c r="N396" i="54" s="1"/>
  <c r="T258" i="52"/>
  <c r="T69" i="52" s="1"/>
  <c r="O417" i="54" s="1"/>
  <c r="R257" i="52"/>
  <c r="R47" i="52" s="1"/>
  <c r="M396" i="54" s="1"/>
  <c r="R260" i="52"/>
  <c r="R113" i="52" s="1"/>
  <c r="M459" i="54" s="1"/>
  <c r="N345" i="54"/>
  <c r="T256" i="52"/>
  <c r="Q345" i="54"/>
  <c r="R345" i="54" s="1"/>
  <c r="S345" i="54" s="1"/>
  <c r="T345" i="54" s="1"/>
  <c r="U345" i="54" s="1"/>
  <c r="V345" i="54" s="1"/>
  <c r="Q257" i="52"/>
  <c r="Q47" i="52" s="1"/>
  <c r="L396" i="54" s="1"/>
  <c r="V256" i="52"/>
  <c r="R256" i="52"/>
  <c r="Q258" i="52"/>
  <c r="Q69" i="52" s="1"/>
  <c r="L417" i="54" s="1"/>
  <c r="V260" i="52"/>
  <c r="S256" i="52"/>
  <c r="T257" i="52"/>
  <c r="T47" i="52" s="1"/>
  <c r="O396" i="54" s="1"/>
  <c r="V258" i="52"/>
  <c r="V69" i="52" s="1"/>
  <c r="Q417" i="54" s="1"/>
  <c r="R417" i="54" s="1"/>
  <c r="S417" i="54" s="1"/>
  <c r="T417" i="54" s="1"/>
  <c r="U417" i="54" s="1"/>
  <c r="V417" i="54" s="1"/>
  <c r="V257" i="52"/>
  <c r="V47" i="52" s="1"/>
  <c r="Q396" i="54" s="1"/>
  <c r="R396" i="54" s="1"/>
  <c r="S396" i="54" s="1"/>
  <c r="T396" i="54" s="1"/>
  <c r="U396" i="54" s="1"/>
  <c r="V396" i="54" s="1"/>
  <c r="V259" i="52"/>
  <c r="V91" i="52" s="1"/>
  <c r="Q438" i="54" s="1"/>
  <c r="R438" i="54" s="1"/>
  <c r="S438" i="54" s="1"/>
  <c r="T438" i="54" s="1"/>
  <c r="U438" i="54" s="1"/>
  <c r="V438" i="54" s="1"/>
  <c r="U258" i="52"/>
  <c r="U69" i="52" s="1"/>
  <c r="P417" i="54" s="1"/>
  <c r="P345" i="54"/>
  <c r="M345" i="54"/>
  <c r="S258" i="52"/>
  <c r="S69" i="52" s="1"/>
  <c r="N417" i="54" s="1"/>
  <c r="Q256" i="52"/>
  <c r="U259" i="52"/>
  <c r="U91" i="52" s="1"/>
  <c r="P438" i="54" s="1"/>
  <c r="S260" i="52"/>
  <c r="S113" i="52" s="1"/>
  <c r="N459" i="54" s="1"/>
  <c r="S259" i="52"/>
  <c r="S91" i="52" s="1"/>
  <c r="N438" i="54" s="1"/>
  <c r="U257" i="52"/>
  <c r="U47" i="52" s="1"/>
  <c r="P396" i="54" s="1"/>
  <c r="K345" i="54"/>
  <c r="U260" i="52"/>
  <c r="Q260" i="52"/>
  <c r="T259" i="52"/>
  <c r="T91" i="52" s="1"/>
  <c r="O438" i="54" s="1"/>
  <c r="Q259" i="52"/>
  <c r="Q91" i="52" s="1"/>
  <c r="L438" i="54" s="1"/>
  <c r="P259" i="52"/>
  <c r="P91" i="52" s="1"/>
  <c r="K438" i="54" s="1"/>
  <c r="P258" i="52"/>
  <c r="P69" i="52" s="1"/>
  <c r="K417" i="54" s="1"/>
  <c r="P257" i="52"/>
  <c r="P47" i="52" s="1"/>
  <c r="K396" i="54" s="1"/>
  <c r="P260" i="52"/>
  <c r="L345" i="54"/>
  <c r="T260" i="52"/>
  <c r="J3022" i="79"/>
  <c r="K3022" i="79"/>
  <c r="G3368" i="79"/>
  <c r="I3370" i="79"/>
  <c r="M3368" i="79"/>
  <c r="H3368" i="79"/>
  <c r="K3370" i="79"/>
  <c r="M3370" i="79"/>
  <c r="J3369" i="79"/>
  <c r="K3369" i="79"/>
  <c r="G3370" i="79"/>
  <c r="I3369" i="79"/>
  <c r="J3368" i="79"/>
  <c r="I3368" i="79"/>
  <c r="H3370" i="79"/>
  <c r="J3370" i="79"/>
  <c r="M3369" i="79"/>
  <c r="H3369" i="79"/>
  <c r="K3368" i="79"/>
  <c r="L3368" i="79"/>
  <c r="L3370" i="79"/>
  <c r="L3369" i="79"/>
  <c r="G3369" i="79"/>
  <c r="J3338" i="79"/>
  <c r="M3337" i="79"/>
  <c r="H3337" i="79"/>
  <c r="G3338" i="79"/>
  <c r="H3339" i="79"/>
  <c r="J3339" i="79"/>
  <c r="I3338" i="79"/>
  <c r="M3338" i="79"/>
  <c r="I3337" i="79"/>
  <c r="K3338" i="79"/>
  <c r="H3338" i="79"/>
  <c r="G3337" i="79"/>
  <c r="L3337" i="79"/>
  <c r="K3339" i="79"/>
  <c r="J3337" i="79"/>
  <c r="M3339" i="79"/>
  <c r="G3339" i="79"/>
  <c r="K3337" i="79"/>
  <c r="I3339" i="79"/>
  <c r="L3338" i="79"/>
  <c r="L3339" i="79"/>
  <c r="G3306" i="79"/>
  <c r="M3307" i="79"/>
  <c r="I3307" i="79"/>
  <c r="M3306" i="79"/>
  <c r="L3306" i="79"/>
  <c r="K3307" i="79"/>
  <c r="I3308" i="79"/>
  <c r="J3307" i="79"/>
  <c r="G3307" i="79"/>
  <c r="J3308" i="79"/>
  <c r="H3306" i="79"/>
  <c r="H3307" i="79"/>
  <c r="G3308" i="79"/>
  <c r="I3306" i="79"/>
  <c r="K3306" i="79"/>
  <c r="L3307" i="79"/>
  <c r="J3306" i="79"/>
  <c r="L3308" i="79"/>
  <c r="M3308" i="79"/>
  <c r="H3308" i="79"/>
  <c r="K3308" i="79"/>
  <c r="M3277" i="79"/>
  <c r="I3275" i="79"/>
  <c r="I3277" i="79"/>
  <c r="I3276" i="79"/>
  <c r="H3275" i="79"/>
  <c r="H3276" i="79"/>
  <c r="M3276" i="79"/>
  <c r="K3275" i="79"/>
  <c r="G3276" i="79"/>
  <c r="L3275" i="79"/>
  <c r="L3276" i="79"/>
  <c r="M3275" i="79"/>
  <c r="G3275" i="79"/>
  <c r="J3275" i="79"/>
  <c r="K3276" i="79"/>
  <c r="J3276" i="79"/>
  <c r="M3244" i="79"/>
  <c r="L3246" i="79"/>
  <c r="M3246" i="79"/>
  <c r="M3245" i="79"/>
  <c r="L3244" i="79"/>
  <c r="G3245" i="79"/>
  <c r="J3244" i="79"/>
  <c r="J3245" i="79"/>
  <c r="L3245" i="79"/>
  <c r="K3244" i="79"/>
  <c r="G3244" i="79"/>
  <c r="I3245" i="79"/>
  <c r="H3244" i="79"/>
  <c r="K3245" i="79"/>
  <c r="I3244" i="79"/>
  <c r="H3245" i="79"/>
  <c r="H2980" i="79"/>
  <c r="I2981" i="79"/>
  <c r="M2982" i="79"/>
  <c r="G2980" i="79"/>
  <c r="M2981" i="79"/>
  <c r="H2982" i="79"/>
  <c r="L2982" i="79"/>
  <c r="I2980" i="79"/>
  <c r="J2981" i="79"/>
  <c r="K2981" i="79"/>
  <c r="K2980" i="79"/>
  <c r="G2982" i="79"/>
  <c r="I2982" i="79"/>
  <c r="J2980" i="79"/>
  <c r="H2981" i="79"/>
  <c r="K2982" i="79"/>
  <c r="J2982" i="79"/>
  <c r="L2981" i="79"/>
  <c r="G2981" i="79"/>
  <c r="M2980" i="79"/>
  <c r="L2980" i="79"/>
  <c r="H2946" i="79"/>
  <c r="G2946" i="79"/>
  <c r="I2947" i="79"/>
  <c r="G2945" i="79"/>
  <c r="M2945" i="79"/>
  <c r="J2947" i="79"/>
  <c r="M2946" i="79"/>
  <c r="H2947" i="79"/>
  <c r="J2946" i="79"/>
  <c r="K2947" i="79"/>
  <c r="I2945" i="79"/>
  <c r="M2947" i="79"/>
  <c r="L2946" i="79"/>
  <c r="J2945" i="79"/>
  <c r="L2945" i="79"/>
  <c r="H2945" i="79"/>
  <c r="I2946" i="79"/>
  <c r="G2947" i="79"/>
  <c r="K2945" i="79"/>
  <c r="K2946" i="79"/>
  <c r="L2947" i="79"/>
  <c r="H2910" i="79"/>
  <c r="G2910" i="79"/>
  <c r="I2910" i="79"/>
  <c r="H2911" i="79"/>
  <c r="K2911" i="79"/>
  <c r="K2910" i="79"/>
  <c r="L2912" i="79"/>
  <c r="I2912" i="79"/>
  <c r="J2912" i="79"/>
  <c r="L2911" i="79"/>
  <c r="J2910" i="79"/>
  <c r="H2912" i="79"/>
  <c r="M2910" i="79"/>
  <c r="M2911" i="79"/>
  <c r="I2911" i="79"/>
  <c r="K2912" i="79"/>
  <c r="J2911" i="79"/>
  <c r="L2910" i="79"/>
  <c r="M2912" i="79"/>
  <c r="G2911" i="79"/>
  <c r="G2912" i="79"/>
  <c r="M2841" i="79"/>
  <c r="L2877" i="79"/>
  <c r="M2875" i="79"/>
  <c r="M2876" i="79"/>
  <c r="M2877" i="79"/>
  <c r="G2876" i="79"/>
  <c r="H2876" i="79"/>
  <c r="H2875" i="79"/>
  <c r="I2875" i="79"/>
  <c r="K2876" i="79"/>
  <c r="J2875" i="79"/>
  <c r="I2876" i="79"/>
  <c r="L2876" i="79"/>
  <c r="J2876" i="79"/>
  <c r="L2875" i="79"/>
  <c r="K2875" i="79"/>
  <c r="G2875" i="79"/>
  <c r="J2840" i="79"/>
  <c r="H2840" i="79"/>
  <c r="I2840" i="79"/>
  <c r="L2841" i="79"/>
  <c r="G2840" i="79"/>
  <c r="K2840" i="79"/>
  <c r="J2841" i="79"/>
  <c r="K2841" i="79"/>
  <c r="G2841" i="79"/>
  <c r="L2840" i="79"/>
  <c r="H2841" i="79"/>
  <c r="M2840" i="79"/>
  <c r="V265" i="52"/>
  <c r="U263" i="52"/>
  <c r="Q265" i="52"/>
  <c r="Q263" i="52"/>
  <c r="U265" i="52"/>
  <c r="V262" i="52"/>
  <c r="V266" i="52"/>
  <c r="R262" i="52"/>
  <c r="V264" i="52"/>
  <c r="I227" i="52"/>
  <c r="I42" i="52" s="1"/>
  <c r="S266" i="52"/>
  <c r="S265" i="52"/>
  <c r="R264" i="52"/>
  <c r="P264" i="52"/>
  <c r="P266" i="52"/>
  <c r="T266" i="52"/>
  <c r="P262" i="52"/>
  <c r="S262" i="52"/>
  <c r="S263" i="52"/>
  <c r="P263" i="52"/>
  <c r="T263" i="52"/>
  <c r="P265" i="52"/>
  <c r="U217" i="52"/>
  <c r="U85" i="52" s="1"/>
  <c r="P440" i="54" s="1"/>
  <c r="U264" i="52"/>
  <c r="U262" i="52"/>
  <c r="T262" i="52"/>
  <c r="Q264" i="52"/>
  <c r="T264" i="52"/>
  <c r="V263" i="52"/>
  <c r="Q262" i="52"/>
  <c r="R266" i="52"/>
  <c r="U266" i="52"/>
  <c r="R263" i="52"/>
  <c r="R265" i="52"/>
  <c r="S264" i="52"/>
  <c r="Q266" i="52"/>
  <c r="T265" i="52"/>
  <c r="V204" i="52"/>
  <c r="V60" i="52" s="1"/>
  <c r="P220" i="52"/>
  <c r="P18" i="52" s="1"/>
  <c r="P236" i="52"/>
  <c r="U209" i="52"/>
  <c r="U39" i="52" s="1"/>
  <c r="P381" i="54" s="1"/>
  <c r="U228" i="52"/>
  <c r="U64" i="52" s="1"/>
  <c r="T217" i="52"/>
  <c r="T85" i="52" s="1"/>
  <c r="O440" i="54" s="1"/>
  <c r="R228" i="52"/>
  <c r="R64" i="52" s="1"/>
  <c r="R220" i="52"/>
  <c r="R18" i="52" s="1"/>
  <c r="T215" i="52"/>
  <c r="T41" i="52" s="1"/>
  <c r="O398" i="54" s="1"/>
  <c r="T244" i="52"/>
  <c r="T22" i="52" s="1"/>
  <c r="Q209" i="52"/>
  <c r="Q39" i="52" s="1"/>
  <c r="L381" i="54" s="1"/>
  <c r="U214" i="52"/>
  <c r="U19" i="52" s="1"/>
  <c r="U232" i="52"/>
  <c r="U21" i="52" s="1"/>
  <c r="R224" i="52"/>
  <c r="P209" i="52"/>
  <c r="P39" i="52" s="1"/>
  <c r="K381" i="54" s="1"/>
  <c r="Q234" i="52"/>
  <c r="Q65" i="52" s="1"/>
  <c r="L407" i="54" s="1"/>
  <c r="U202" i="52"/>
  <c r="U16" i="52" s="1"/>
  <c r="P247" i="52"/>
  <c r="P88" i="52" s="1"/>
  <c r="K435" i="54" s="1"/>
  <c r="R203" i="52"/>
  <c r="R38" i="52" s="1"/>
  <c r="R238" i="52"/>
  <c r="R23" i="52" s="1"/>
  <c r="P210" i="52"/>
  <c r="P61" i="52" s="1"/>
  <c r="K402" i="54" s="1"/>
  <c r="R241" i="52"/>
  <c r="R89" i="52" s="1"/>
  <c r="M434" i="54" s="1"/>
  <c r="U210" i="52"/>
  <c r="U61" i="52" s="1"/>
  <c r="P402" i="54" s="1"/>
  <c r="P242" i="52"/>
  <c r="Q246" i="52"/>
  <c r="Q66" i="52" s="1"/>
  <c r="L414" i="54" s="1"/>
  <c r="R206" i="52"/>
  <c r="R250" i="52"/>
  <c r="R24" i="52" s="1"/>
  <c r="T199" i="52"/>
  <c r="T81" i="52" s="1"/>
  <c r="O427" i="54" s="1"/>
  <c r="R215" i="52"/>
  <c r="R41" i="52" s="1"/>
  <c r="M398" i="54" s="1"/>
  <c r="S197" i="52"/>
  <c r="S37" i="52" s="1"/>
  <c r="N385" i="54" s="1"/>
  <c r="V254" i="52"/>
  <c r="R216" i="52"/>
  <c r="R63" i="52" s="1"/>
  <c r="M419" i="54" s="1"/>
  <c r="P240" i="52"/>
  <c r="P67" i="52" s="1"/>
  <c r="K413" i="54" s="1"/>
  <c r="R205" i="52"/>
  <c r="R82" i="52" s="1"/>
  <c r="S240" i="52"/>
  <c r="S67" i="52" s="1"/>
  <c r="N413" i="54" s="1"/>
  <c r="U246" i="52"/>
  <c r="U66" i="52" s="1"/>
  <c r="P414" i="54" s="1"/>
  <c r="R246" i="52"/>
  <c r="R66" i="52" s="1"/>
  <c r="M414" i="54" s="1"/>
  <c r="U241" i="52"/>
  <c r="U89" i="52" s="1"/>
  <c r="P434" i="54" s="1"/>
  <c r="U240" i="52"/>
  <c r="U67" i="52" s="1"/>
  <c r="P413" i="54" s="1"/>
  <c r="U234" i="52"/>
  <c r="U65" i="52" s="1"/>
  <c r="P407" i="54" s="1"/>
  <c r="Q229" i="52"/>
  <c r="Q86" i="52" s="1"/>
  <c r="S254" i="52"/>
  <c r="U205" i="52"/>
  <c r="U82" i="52" s="1"/>
  <c r="U223" i="52"/>
  <c r="U84" i="52" s="1"/>
  <c r="V232" i="52"/>
  <c r="V21" i="52" s="1"/>
  <c r="Q218" i="52"/>
  <c r="S204" i="52"/>
  <c r="S60" i="52" s="1"/>
  <c r="S211" i="52"/>
  <c r="S83" i="52" s="1"/>
  <c r="N423" i="54" s="1"/>
  <c r="R230" i="52"/>
  <c r="T223" i="52"/>
  <c r="T84" i="52" s="1"/>
  <c r="Q250" i="52"/>
  <c r="Q24" i="52" s="1"/>
  <c r="V197" i="52"/>
  <c r="V37" i="52" s="1"/>
  <c r="Q385" i="54" s="1"/>
  <c r="R385" i="54" s="1"/>
  <c r="S385" i="54" s="1"/>
  <c r="T385" i="54" s="1"/>
  <c r="U385" i="54" s="1"/>
  <c r="V385" i="54" s="1"/>
  <c r="R211" i="52"/>
  <c r="R83" i="52" s="1"/>
  <c r="M423" i="54" s="1"/>
  <c r="U220" i="52"/>
  <c r="U18" i="52" s="1"/>
  <c r="Q198" i="52"/>
  <c r="Q59" i="52" s="1"/>
  <c r="L406" i="54" s="1"/>
  <c r="T205" i="52"/>
  <c r="T82" i="52" s="1"/>
  <c r="Q205" i="52"/>
  <c r="Q82" i="52" s="1"/>
  <c r="S245" i="52"/>
  <c r="S44" i="52" s="1"/>
  <c r="N393" i="54" s="1"/>
  <c r="P246" i="52"/>
  <c r="P66" i="52" s="1"/>
  <c r="K414" i="54" s="1"/>
  <c r="R244" i="52"/>
  <c r="R22" i="52" s="1"/>
  <c r="S198" i="52"/>
  <c r="S59" i="52" s="1"/>
  <c r="N406" i="54" s="1"/>
  <c r="R253" i="52"/>
  <c r="R90" i="52" s="1"/>
  <c r="M431" i="54" s="1"/>
  <c r="Q203" i="52"/>
  <c r="Q38" i="52" s="1"/>
  <c r="S215" i="52"/>
  <c r="S41" i="52" s="1"/>
  <c r="N398" i="54" s="1"/>
  <c r="P203" i="52"/>
  <c r="P38" i="52" s="1"/>
  <c r="P218" i="52"/>
  <c r="R232" i="52"/>
  <c r="R21" i="52" s="1"/>
  <c r="U239" i="52"/>
  <c r="U45" i="52" s="1"/>
  <c r="P392" i="54" s="1"/>
  <c r="V220" i="52"/>
  <c r="V18" i="52" s="1"/>
  <c r="T247" i="52"/>
  <c r="T88" i="52" s="1"/>
  <c r="O435" i="54" s="1"/>
  <c r="R196" i="52"/>
  <c r="R15" i="52" s="1"/>
  <c r="U236" i="52"/>
  <c r="U206" i="52"/>
  <c r="R233" i="52"/>
  <c r="R43" i="52" s="1"/>
  <c r="M386" i="54" s="1"/>
  <c r="S200" i="52"/>
  <c r="P234" i="52"/>
  <c r="P65" i="52" s="1"/>
  <c r="K407" i="54" s="1"/>
  <c r="Q248" i="52"/>
  <c r="Q211" i="52"/>
  <c r="Q83" i="52" s="1"/>
  <c r="L423" i="54" s="1"/>
  <c r="V211" i="52"/>
  <c r="V83" i="52" s="1"/>
  <c r="Q423" i="54" s="1"/>
  <c r="R423" i="54" s="1"/>
  <c r="S423" i="54" s="1"/>
  <c r="T423" i="54" s="1"/>
  <c r="U423" i="54" s="1"/>
  <c r="V423" i="54" s="1"/>
  <c r="U250" i="52"/>
  <c r="U24" i="52" s="1"/>
  <c r="Q212" i="52"/>
  <c r="P208" i="52"/>
  <c r="P17" i="52" s="1"/>
  <c r="S214" i="52"/>
  <c r="S19" i="52" s="1"/>
  <c r="T226" i="52"/>
  <c r="T20" i="52" s="1"/>
  <c r="T212" i="52"/>
  <c r="R202" i="52"/>
  <c r="R16" i="52" s="1"/>
  <c r="R214" i="52"/>
  <c r="R19" i="52" s="1"/>
  <c r="U229" i="52"/>
  <c r="U86" i="52" s="1"/>
  <c r="S209" i="52"/>
  <c r="S39" i="52" s="1"/>
  <c r="N381" i="54" s="1"/>
  <c r="P205" i="52"/>
  <c r="P82" i="52" s="1"/>
  <c r="Q214" i="52"/>
  <c r="Q19" i="52" s="1"/>
  <c r="S206" i="52"/>
  <c r="S208" i="52"/>
  <c r="S17" i="52" s="1"/>
  <c r="V245" i="52"/>
  <c r="V44" i="52" s="1"/>
  <c r="Q393" i="54" s="1"/>
  <c r="R393" i="54" s="1"/>
  <c r="S393" i="54" s="1"/>
  <c r="T393" i="54" s="1"/>
  <c r="U393" i="54" s="1"/>
  <c r="V393" i="54" s="1"/>
  <c r="V253" i="52"/>
  <c r="V90" i="52" s="1"/>
  <c r="Q431" i="54" s="1"/>
  <c r="R431" i="54" s="1"/>
  <c r="S431" i="54" s="1"/>
  <c r="T431" i="54" s="1"/>
  <c r="U431" i="54" s="1"/>
  <c r="V431" i="54" s="1"/>
  <c r="V222" i="52"/>
  <c r="V62" i="52" s="1"/>
  <c r="U224" i="52"/>
  <c r="V196" i="52"/>
  <c r="V15" i="52" s="1"/>
  <c r="P245" i="52"/>
  <c r="P44" i="52" s="1"/>
  <c r="K393" i="54" s="1"/>
  <c r="P235" i="52"/>
  <c r="P87" i="52" s="1"/>
  <c r="K428" i="54" s="1"/>
  <c r="P212" i="52"/>
  <c r="S196" i="52"/>
  <c r="S15" i="52" s="1"/>
  <c r="P224" i="52"/>
  <c r="S222" i="52"/>
  <c r="S62" i="52" s="1"/>
  <c r="P230" i="52"/>
  <c r="U203" i="52"/>
  <c r="U38" i="52" s="1"/>
  <c r="S239" i="52"/>
  <c r="S45" i="52" s="1"/>
  <c r="N392" i="54" s="1"/>
  <c r="T253" i="52"/>
  <c r="T90" i="52" s="1"/>
  <c r="O431" i="54" s="1"/>
  <c r="T241" i="52"/>
  <c r="T89" i="52" s="1"/>
  <c r="O434" i="54" s="1"/>
  <c r="P244" i="52"/>
  <c r="P22" i="52" s="1"/>
  <c r="S217" i="52"/>
  <c r="S85" i="52" s="1"/>
  <c r="N440" i="54" s="1"/>
  <c r="T204" i="52"/>
  <c r="T60" i="52" s="1"/>
  <c r="R222" i="52"/>
  <c r="R62" i="52" s="1"/>
  <c r="S228" i="52"/>
  <c r="S64" i="52" s="1"/>
  <c r="V215" i="52"/>
  <c r="V41" i="52" s="1"/>
  <c r="Q398" i="54" s="1"/>
  <c r="R398" i="54" s="1"/>
  <c r="S398" i="54" s="1"/>
  <c r="T398" i="54" s="1"/>
  <c r="U398" i="54" s="1"/>
  <c r="V398" i="54" s="1"/>
  <c r="T234" i="52"/>
  <c r="T65" i="52" s="1"/>
  <c r="O407" i="54" s="1"/>
  <c r="Q251" i="52"/>
  <c r="Q46" i="52" s="1"/>
  <c r="L389" i="54" s="1"/>
  <c r="P229" i="52"/>
  <c r="P86" i="52" s="1"/>
  <c r="T197" i="52"/>
  <c r="T37" i="52" s="1"/>
  <c r="O385" i="54" s="1"/>
  <c r="R212" i="52"/>
  <c r="S235" i="52"/>
  <c r="S87" i="52" s="1"/>
  <c r="N428" i="54" s="1"/>
  <c r="P196" i="52"/>
  <c r="P15" i="52" s="1"/>
  <c r="R252" i="52"/>
  <c r="R68" i="52" s="1"/>
  <c r="M410" i="54" s="1"/>
  <c r="S205" i="52"/>
  <c r="S82" i="52" s="1"/>
  <c r="P226" i="52"/>
  <c r="P20" i="52" s="1"/>
  <c r="R236" i="52"/>
  <c r="T233" i="52"/>
  <c r="T43" i="52" s="1"/>
  <c r="O386" i="54" s="1"/>
  <c r="Q236" i="52"/>
  <c r="R204" i="52"/>
  <c r="R60" i="52" s="1"/>
  <c r="R209" i="52"/>
  <c r="R39" i="52" s="1"/>
  <c r="M381" i="54" s="1"/>
  <c r="U215" i="52"/>
  <c r="U41" i="52" s="1"/>
  <c r="P398" i="54" s="1"/>
  <c r="S229" i="52"/>
  <c r="S86" i="52" s="1"/>
  <c r="P254" i="52"/>
  <c r="U247" i="52"/>
  <c r="U88" i="52" s="1"/>
  <c r="P435" i="54" s="1"/>
  <c r="V236" i="52"/>
  <c r="R200" i="52"/>
  <c r="T232" i="52"/>
  <c r="T21" i="52" s="1"/>
  <c r="Q216" i="52"/>
  <c r="Q63" i="52" s="1"/>
  <c r="L419" i="54" s="1"/>
  <c r="Q240" i="52"/>
  <c r="Q67" i="52" s="1"/>
  <c r="L413" i="54" s="1"/>
  <c r="T228" i="52"/>
  <c r="T64" i="52" s="1"/>
  <c r="Q252" i="52"/>
  <c r="Q68" i="52" s="1"/>
  <c r="L410" i="54" s="1"/>
  <c r="Q224" i="52"/>
  <c r="T235" i="52"/>
  <c r="T87" i="52" s="1"/>
  <c r="O428" i="54" s="1"/>
  <c r="Q235" i="52"/>
  <c r="Q87" i="52" s="1"/>
  <c r="L428" i="54" s="1"/>
  <c r="V210" i="52"/>
  <c r="V61" i="52" s="1"/>
  <c r="Q402" i="54" s="1"/>
  <c r="R402" i="54" s="1"/>
  <c r="S402" i="54" s="1"/>
  <c r="T402" i="54" s="1"/>
  <c r="U402" i="54" s="1"/>
  <c r="V402" i="54" s="1"/>
  <c r="Q238" i="52"/>
  <c r="Q23" i="52" s="1"/>
  <c r="T203" i="52"/>
  <c r="T38" i="52" s="1"/>
  <c r="V251" i="52"/>
  <c r="V46" i="52" s="1"/>
  <c r="Q389" i="54" s="1"/>
  <c r="R389" i="54" s="1"/>
  <c r="S389" i="54" s="1"/>
  <c r="T389" i="54" s="1"/>
  <c r="U389" i="54" s="1"/>
  <c r="V389" i="54" s="1"/>
  <c r="P215" i="52"/>
  <c r="P41" i="52" s="1"/>
  <c r="K398" i="54" s="1"/>
  <c r="P227" i="52"/>
  <c r="P42" i="52" s="1"/>
  <c r="Q206" i="52"/>
  <c r="Q204" i="52"/>
  <c r="Q60" i="52" s="1"/>
  <c r="R242" i="52"/>
  <c r="U212" i="52"/>
  <c r="Q227" i="52"/>
  <c r="Q42" i="52" s="1"/>
  <c r="S210" i="52"/>
  <c r="S61" i="52" s="1"/>
  <c r="N402" i="54" s="1"/>
  <c r="V227" i="52"/>
  <c r="V42" i="52" s="1"/>
  <c r="P233" i="52"/>
  <c r="P43" i="52" s="1"/>
  <c r="K386" i="54" s="1"/>
  <c r="V218" i="52"/>
  <c r="U230" i="52"/>
  <c r="V202" i="52"/>
  <c r="V16" i="52" s="1"/>
  <c r="R208" i="52"/>
  <c r="R17" i="52" s="1"/>
  <c r="P228" i="52"/>
  <c r="P64" i="52" s="1"/>
  <c r="P197" i="52"/>
  <c r="P37" i="52" s="1"/>
  <c r="K385" i="54" s="1"/>
  <c r="V224" i="52"/>
  <c r="V206" i="52"/>
  <c r="R227" i="52"/>
  <c r="R42" i="52" s="1"/>
  <c r="P199" i="52"/>
  <c r="P81" i="52" s="1"/>
  <c r="K427" i="54" s="1"/>
  <c r="U216" i="52"/>
  <c r="U63" i="52" s="1"/>
  <c r="P419" i="54" s="1"/>
  <c r="U218" i="52"/>
  <c r="P248" i="52"/>
  <c r="Q230" i="52"/>
  <c r="S244" i="52"/>
  <c r="S22" i="52" s="1"/>
  <c r="V198" i="52"/>
  <c r="V59" i="52" s="1"/>
  <c r="Q406" i="54" s="1"/>
  <c r="R406" i="54" s="1"/>
  <c r="S406" i="54" s="1"/>
  <c r="T406" i="54" s="1"/>
  <c r="U406" i="54" s="1"/>
  <c r="V406" i="54" s="1"/>
  <c r="Q223" i="52"/>
  <c r="Q84" i="52" s="1"/>
  <c r="T211" i="52"/>
  <c r="T83" i="52" s="1"/>
  <c r="O423" i="54" s="1"/>
  <c r="V230" i="52"/>
  <c r="Q253" i="52"/>
  <c r="Q90" i="52" s="1"/>
  <c r="L431" i="54" s="1"/>
  <c r="P216" i="52"/>
  <c r="P63" i="52" s="1"/>
  <c r="K419" i="54" s="1"/>
  <c r="S248" i="52"/>
  <c r="R198" i="52"/>
  <c r="R59" i="52" s="1"/>
  <c r="M406" i="54" s="1"/>
  <c r="V209" i="52"/>
  <c r="V39" i="52" s="1"/>
  <c r="Q381" i="54" s="1"/>
  <c r="R381" i="54" s="1"/>
  <c r="S381" i="54" s="1"/>
  <c r="T381" i="54" s="1"/>
  <c r="U381" i="54" s="1"/>
  <c r="V381" i="54" s="1"/>
  <c r="T240" i="52"/>
  <c r="T67" i="52" s="1"/>
  <c r="O413" i="54" s="1"/>
  <c r="U235" i="52"/>
  <c r="U87" i="52" s="1"/>
  <c r="P428" i="54" s="1"/>
  <c r="T208" i="52"/>
  <c r="T17" i="52" s="1"/>
  <c r="Q241" i="52"/>
  <c r="Q89" i="52" s="1"/>
  <c r="L434" i="54" s="1"/>
  <c r="U211" i="52"/>
  <c r="U83" i="52" s="1"/>
  <c r="P423" i="54" s="1"/>
  <c r="R251" i="52"/>
  <c r="R46" i="52" s="1"/>
  <c r="M389" i="54" s="1"/>
  <c r="P251" i="52"/>
  <c r="P46" i="52" s="1"/>
  <c r="K389" i="54" s="1"/>
  <c r="P252" i="52"/>
  <c r="P68" i="52" s="1"/>
  <c r="K410" i="54" s="1"/>
  <c r="T202" i="52"/>
  <c r="T16" i="52" s="1"/>
  <c r="U227" i="52"/>
  <c r="U42" i="52" s="1"/>
  <c r="R226" i="52"/>
  <c r="R20" i="52" s="1"/>
  <c r="U245" i="52"/>
  <c r="U44" i="52" s="1"/>
  <c r="P393" i="54" s="1"/>
  <c r="U251" i="52"/>
  <c r="U46" i="52" s="1"/>
  <c r="P389" i="54" s="1"/>
  <c r="T227" i="52"/>
  <c r="T42" i="52" s="1"/>
  <c r="T220" i="52"/>
  <c r="T18" i="52" s="1"/>
  <c r="U233" i="52"/>
  <c r="U43" i="52" s="1"/>
  <c r="P386" i="54" s="1"/>
  <c r="S230" i="52"/>
  <c r="P250" i="52"/>
  <c r="P24" i="52" s="1"/>
  <c r="V242" i="52"/>
  <c r="T248" i="52"/>
  <c r="T198" i="52"/>
  <c r="T59" i="52" s="1"/>
  <c r="O406" i="54" s="1"/>
  <c r="T206" i="52"/>
  <c r="S221" i="52"/>
  <c r="S40" i="52" s="1"/>
  <c r="P221" i="52"/>
  <c r="P40" i="52" s="1"/>
  <c r="U196" i="52"/>
  <c r="U15" i="52" s="1"/>
  <c r="P223" i="52"/>
  <c r="P84" i="52" s="1"/>
  <c r="V226" i="52"/>
  <c r="V20" i="52" s="1"/>
  <c r="P239" i="52"/>
  <c r="P45" i="52" s="1"/>
  <c r="K392" i="54" s="1"/>
  <c r="R235" i="52"/>
  <c r="R87" i="52" s="1"/>
  <c r="M428" i="54" s="1"/>
  <c r="U200" i="52"/>
  <c r="Q199" i="52"/>
  <c r="Q81" i="52" s="1"/>
  <c r="L427" i="54" s="1"/>
  <c r="P232" i="52"/>
  <c r="P21" i="52" s="1"/>
  <c r="V235" i="52"/>
  <c r="V87" i="52" s="1"/>
  <c r="Q428" i="54" s="1"/>
  <c r="R428" i="54" s="1"/>
  <c r="S428" i="54" s="1"/>
  <c r="T428" i="54" s="1"/>
  <c r="U428" i="54" s="1"/>
  <c r="V428" i="54" s="1"/>
  <c r="H218" i="52"/>
  <c r="S218" i="52"/>
  <c r="S232" i="52"/>
  <c r="S21" i="52" s="1"/>
  <c r="S247" i="52"/>
  <c r="S88" i="52" s="1"/>
  <c r="N435" i="54" s="1"/>
  <c r="Q217" i="52"/>
  <c r="Q85" i="52" s="1"/>
  <c r="L440" i="54" s="1"/>
  <c r="Q221" i="52"/>
  <c r="Q40" i="52" s="1"/>
  <c r="V228" i="52"/>
  <c r="V64" i="52" s="1"/>
  <c r="R248" i="52"/>
  <c r="R218" i="52"/>
  <c r="V203" i="52"/>
  <c r="V38" i="52" s="1"/>
  <c r="R254" i="52"/>
  <c r="V216" i="52"/>
  <c r="V63" i="52" s="1"/>
  <c r="Q419" i="54" s="1"/>
  <c r="R419" i="54" s="1"/>
  <c r="S419" i="54" s="1"/>
  <c r="T419" i="54" s="1"/>
  <c r="U419" i="54" s="1"/>
  <c r="V419" i="54" s="1"/>
  <c r="S250" i="52"/>
  <c r="S24" i="52" s="1"/>
  <c r="Q197" i="52"/>
  <c r="Q37" i="52" s="1"/>
  <c r="L385" i="54" s="1"/>
  <c r="V208" i="52"/>
  <c r="V17" i="52" s="1"/>
  <c r="U199" i="52"/>
  <c r="U81" i="52" s="1"/>
  <c r="P427" i="54" s="1"/>
  <c r="S203" i="52"/>
  <c r="S38" i="52" s="1"/>
  <c r="Q222" i="52"/>
  <c r="Q62" i="52" s="1"/>
  <c r="R217" i="52"/>
  <c r="R85" i="52" s="1"/>
  <c r="M440" i="54" s="1"/>
  <c r="R247" i="52"/>
  <c r="R88" i="52" s="1"/>
  <c r="M435" i="54" s="1"/>
  <c r="S252" i="52"/>
  <c r="S68" i="52" s="1"/>
  <c r="N410" i="54" s="1"/>
  <c r="V205" i="52"/>
  <c r="V82" i="52" s="1"/>
  <c r="T196" i="52"/>
  <c r="T15" i="52" s="1"/>
  <c r="T242" i="52"/>
  <c r="T209" i="52"/>
  <c r="T39" i="52" s="1"/>
  <c r="O381" i="54" s="1"/>
  <c r="V212" i="52"/>
  <c r="U244" i="52"/>
  <c r="U22" i="52" s="1"/>
  <c r="Q208" i="52"/>
  <c r="Q17" i="52" s="1"/>
  <c r="S253" i="52"/>
  <c r="S90" i="52" s="1"/>
  <c r="N431" i="54" s="1"/>
  <c r="R223" i="52"/>
  <c r="R84" i="52" s="1"/>
  <c r="Q254" i="52"/>
  <c r="P204" i="52"/>
  <c r="P60" i="52" s="1"/>
  <c r="Q226" i="52"/>
  <c r="Q20" i="52" s="1"/>
  <c r="S224" i="52"/>
  <c r="T216" i="52"/>
  <c r="T63" i="52" s="1"/>
  <c r="O419" i="54" s="1"/>
  <c r="U238" i="52"/>
  <c r="U23" i="52" s="1"/>
  <c r="R210" i="52"/>
  <c r="R61" i="52" s="1"/>
  <c r="M402" i="54" s="1"/>
  <c r="U226" i="52"/>
  <c r="U20" i="52" s="1"/>
  <c r="V238" i="52"/>
  <c r="V23" i="52" s="1"/>
  <c r="V252" i="52"/>
  <c r="V68" i="52" s="1"/>
  <c r="Q410" i="54" s="1"/>
  <c r="R410" i="54" s="1"/>
  <c r="S410" i="54" s="1"/>
  <c r="T410" i="54" s="1"/>
  <c r="U410" i="54" s="1"/>
  <c r="V410" i="54" s="1"/>
  <c r="P238" i="52"/>
  <c r="P23" i="52" s="1"/>
  <c r="T238" i="52"/>
  <c r="T23" i="52" s="1"/>
  <c r="S220" i="52"/>
  <c r="S18" i="52" s="1"/>
  <c r="V234" i="52"/>
  <c r="V65" i="52" s="1"/>
  <c r="Q407" i="54" s="1"/>
  <c r="R407" i="54" s="1"/>
  <c r="S407" i="54" s="1"/>
  <c r="T407" i="54" s="1"/>
  <c r="U407" i="54" s="1"/>
  <c r="V407" i="54" s="1"/>
  <c r="Q202" i="52"/>
  <c r="Q16" i="52" s="1"/>
  <c r="V214" i="52"/>
  <c r="V19" i="52" s="1"/>
  <c r="Q247" i="52"/>
  <c r="Q88" i="52" s="1"/>
  <c r="L435" i="54" s="1"/>
  <c r="T221" i="52"/>
  <c r="T40" i="52" s="1"/>
  <c r="S246" i="52"/>
  <c r="S66" i="52" s="1"/>
  <c r="N414" i="54" s="1"/>
  <c r="R245" i="52"/>
  <c r="R44" i="52" s="1"/>
  <c r="M393" i="54" s="1"/>
  <c r="S236" i="52"/>
  <c r="T229" i="52"/>
  <c r="T86" i="52" s="1"/>
  <c r="U198" i="52"/>
  <c r="U59" i="52" s="1"/>
  <c r="P406" i="54" s="1"/>
  <c r="P253" i="52"/>
  <c r="P90" i="52" s="1"/>
  <c r="K431" i="54" s="1"/>
  <c r="V223" i="52"/>
  <c r="V84" i="52" s="1"/>
  <c r="P200" i="52"/>
  <c r="U208" i="52"/>
  <c r="U17" i="52" s="1"/>
  <c r="S227" i="52"/>
  <c r="S42" i="52" s="1"/>
  <c r="V246" i="52"/>
  <c r="V66" i="52" s="1"/>
  <c r="Q414" i="54" s="1"/>
  <c r="R414" i="54" s="1"/>
  <c r="S414" i="54" s="1"/>
  <c r="T414" i="54" s="1"/>
  <c r="U414" i="54" s="1"/>
  <c r="V414" i="54" s="1"/>
  <c r="T246" i="52"/>
  <c r="T66" i="52" s="1"/>
  <c r="O414" i="54" s="1"/>
  <c r="V240" i="52"/>
  <c r="V67" i="52" s="1"/>
  <c r="Q413" i="54" s="1"/>
  <c r="R413" i="54" s="1"/>
  <c r="S413" i="54" s="1"/>
  <c r="T413" i="54" s="1"/>
  <c r="U413" i="54" s="1"/>
  <c r="V413" i="54" s="1"/>
  <c r="V233" i="52"/>
  <c r="V43" i="52" s="1"/>
  <c r="Q386" i="54" s="1"/>
  <c r="R386" i="54" s="1"/>
  <c r="S386" i="54" s="1"/>
  <c r="T386" i="54" s="1"/>
  <c r="U386" i="54" s="1"/>
  <c r="V386" i="54" s="1"/>
  <c r="R199" i="52"/>
  <c r="R81" i="52" s="1"/>
  <c r="M427" i="54" s="1"/>
  <c r="R234" i="52"/>
  <c r="R65" i="52" s="1"/>
  <c r="M407" i="54" s="1"/>
  <c r="U248" i="52"/>
  <c r="Q210" i="52"/>
  <c r="Q61" i="52" s="1"/>
  <c r="L402" i="54" s="1"/>
  <c r="P214" i="52"/>
  <c r="P19" i="52" s="1"/>
  <c r="Q232" i="52"/>
  <c r="Q21" i="52" s="1"/>
  <c r="Q220" i="52"/>
  <c r="Q18" i="52" s="1"/>
  <c r="Q215" i="52"/>
  <c r="Q41" i="52" s="1"/>
  <c r="L398" i="54" s="1"/>
  <c r="S223" i="52"/>
  <c r="S84" i="52" s="1"/>
  <c r="V241" i="52"/>
  <c r="V89" i="52" s="1"/>
  <c r="Q434" i="54" s="1"/>
  <c r="R434" i="54" s="1"/>
  <c r="S434" i="54" s="1"/>
  <c r="T434" i="54" s="1"/>
  <c r="U434" i="54" s="1"/>
  <c r="V434" i="54" s="1"/>
  <c r="S251" i="52"/>
  <c r="S46" i="52" s="1"/>
  <c r="N389" i="54" s="1"/>
  <c r="T218" i="52"/>
  <c r="P202" i="52"/>
  <c r="P16" i="52" s="1"/>
  <c r="S212" i="52"/>
  <c r="T230" i="52"/>
  <c r="T245" i="52"/>
  <c r="T44" i="52" s="1"/>
  <c r="O393" i="54" s="1"/>
  <c r="Q200" i="52"/>
  <c r="V199" i="52"/>
  <c r="V81" i="52" s="1"/>
  <c r="Q427" i="54" s="1"/>
  <c r="R427" i="54" s="1"/>
  <c r="S427" i="54" s="1"/>
  <c r="T427" i="54" s="1"/>
  <c r="U427" i="54" s="1"/>
  <c r="V427" i="54" s="1"/>
  <c r="V221" i="52"/>
  <c r="V40" i="52" s="1"/>
  <c r="U221" i="52"/>
  <c r="U40" i="52" s="1"/>
  <c r="V248" i="52"/>
  <c r="Q196" i="52"/>
  <c r="Q15" i="52" s="1"/>
  <c r="V217" i="52"/>
  <c r="V85" i="52" s="1"/>
  <c r="Q440" i="54" s="1"/>
  <c r="R440" i="54" s="1"/>
  <c r="S440" i="54" s="1"/>
  <c r="T440" i="54" s="1"/>
  <c r="U440" i="54" s="1"/>
  <c r="V440" i="54" s="1"/>
  <c r="S233" i="52"/>
  <c r="S43" i="52" s="1"/>
  <c r="N386" i="54" s="1"/>
  <c r="S242" i="52"/>
  <c r="T224" i="52"/>
  <c r="U252" i="52"/>
  <c r="U68" i="52" s="1"/>
  <c r="P410" i="54" s="1"/>
  <c r="S226" i="52"/>
  <c r="S20" i="52" s="1"/>
  <c r="U204" i="52"/>
  <c r="U60" i="52" s="1"/>
  <c r="V247" i="52"/>
  <c r="V88" i="52" s="1"/>
  <c r="Q435" i="54" s="1"/>
  <c r="R435" i="54" s="1"/>
  <c r="S435" i="54" s="1"/>
  <c r="T435" i="54" s="1"/>
  <c r="U435" i="54" s="1"/>
  <c r="V435" i="54" s="1"/>
  <c r="S238" i="52"/>
  <c r="S23" i="52" s="1"/>
  <c r="Q239" i="52"/>
  <c r="Q45" i="52" s="1"/>
  <c r="L392" i="54" s="1"/>
  <c r="T236" i="52"/>
  <c r="Q245" i="52"/>
  <c r="Q44" i="52" s="1"/>
  <c r="L393" i="54" s="1"/>
  <c r="P198" i="52"/>
  <c r="P59" i="52" s="1"/>
  <c r="K406" i="54" s="1"/>
  <c r="T210" i="52"/>
  <c r="T61" i="52" s="1"/>
  <c r="O402" i="54" s="1"/>
  <c r="P217" i="52"/>
  <c r="P85" i="52" s="1"/>
  <c r="K440" i="54" s="1"/>
  <c r="R197" i="52"/>
  <c r="R37" i="52" s="1"/>
  <c r="M385" i="54" s="1"/>
  <c r="R221" i="52"/>
  <c r="R40" i="52" s="1"/>
  <c r="Q242" i="52"/>
  <c r="U254" i="52"/>
  <c r="P206" i="52"/>
  <c r="Q244" i="52"/>
  <c r="Q22" i="52" s="1"/>
  <c r="P241" i="52"/>
  <c r="P89" i="52" s="1"/>
  <c r="K434" i="54" s="1"/>
  <c r="S241" i="52"/>
  <c r="S89" i="52" s="1"/>
  <c r="N434" i="54" s="1"/>
  <c r="U222" i="52"/>
  <c r="U62" i="52" s="1"/>
  <c r="V250" i="52"/>
  <c r="V24" i="52" s="1"/>
  <c r="V239" i="52"/>
  <c r="V45" i="52" s="1"/>
  <c r="Q392" i="54" s="1"/>
  <c r="R392" i="54" s="1"/>
  <c r="S392" i="54" s="1"/>
  <c r="T392" i="54" s="1"/>
  <c r="U392" i="54" s="1"/>
  <c r="V392" i="54" s="1"/>
  <c r="P211" i="52"/>
  <c r="P83" i="52" s="1"/>
  <c r="K423" i="54" s="1"/>
  <c r="P222" i="52"/>
  <c r="P62" i="52" s="1"/>
  <c r="U242" i="52"/>
  <c r="T214" i="52"/>
  <c r="T19" i="52" s="1"/>
  <c r="U197" i="52"/>
  <c r="U37" i="52" s="1"/>
  <c r="P385" i="54" s="1"/>
  <c r="V244" i="52"/>
  <c r="V22" i="52" s="1"/>
  <c r="U253" i="52"/>
  <c r="U90" i="52" s="1"/>
  <c r="P431" i="54" s="1"/>
  <c r="Q228" i="52"/>
  <c r="Q64" i="52" s="1"/>
  <c r="S234" i="52"/>
  <c r="S65" i="52" s="1"/>
  <c r="N407" i="54" s="1"/>
  <c r="R240" i="52"/>
  <c r="R67" i="52" s="1"/>
  <c r="M413" i="54" s="1"/>
  <c r="S216" i="52"/>
  <c r="S63" i="52" s="1"/>
  <c r="N419" i="54" s="1"/>
  <c r="S202" i="52"/>
  <c r="S16" i="52" s="1"/>
  <c r="V229" i="52"/>
  <c r="V86" i="52" s="1"/>
  <c r="S199" i="52"/>
  <c r="S81" i="52" s="1"/>
  <c r="N427" i="54" s="1"/>
  <c r="T252" i="52"/>
  <c r="T68" i="52" s="1"/>
  <c r="O410" i="54" s="1"/>
  <c r="T222" i="52"/>
  <c r="T62" i="52" s="1"/>
  <c r="Q233" i="52"/>
  <c r="Q43" i="52" s="1"/>
  <c r="L386" i="54" s="1"/>
  <c r="R229" i="52"/>
  <c r="R86" i="52" s="1"/>
  <c r="T200" i="52"/>
  <c r="T239" i="52"/>
  <c r="T45" i="52" s="1"/>
  <c r="O392" i="54" s="1"/>
  <c r="V200" i="52"/>
  <c r="T251" i="52"/>
  <c r="T46" i="52" s="1"/>
  <c r="O389" i="54" s="1"/>
  <c r="T250" i="52"/>
  <c r="T24" i="52" s="1"/>
  <c r="R239" i="52"/>
  <c r="R45" i="52" s="1"/>
  <c r="M392" i="54" s="1"/>
  <c r="T254" i="52"/>
  <c r="M1897" i="79"/>
  <c r="M1902" i="79"/>
  <c r="M1905" i="79"/>
  <c r="M1805" i="79" s="1"/>
  <c r="M1906" i="79"/>
  <c r="M1806" i="79" s="1"/>
  <c r="M1901" i="79"/>
  <c r="M1903" i="79"/>
  <c r="M1908" i="79"/>
  <c r="M1909" i="79"/>
  <c r="M1907" i="79"/>
  <c r="L2160" i="79"/>
  <c r="L2049" i="79" s="1"/>
  <c r="BA218" i="52" s="1"/>
  <c r="M2164" i="79"/>
  <c r="K2164" i="79"/>
  <c r="K2053" i="79" s="1"/>
  <c r="BH216" i="52" s="1"/>
  <c r="M2166" i="79"/>
  <c r="M2165" i="79"/>
  <c r="K2165" i="79"/>
  <c r="H2166" i="79"/>
  <c r="J2165" i="79"/>
  <c r="G2166" i="79"/>
  <c r="G2165" i="79"/>
  <c r="I2165" i="79"/>
  <c r="I2166" i="79"/>
  <c r="J2166" i="79"/>
  <c r="L2165" i="79"/>
  <c r="L2166" i="79"/>
  <c r="K2166" i="79"/>
  <c r="H2165" i="79"/>
  <c r="H2160" i="79"/>
  <c r="H2049" i="79" s="1"/>
  <c r="AW218" i="52" s="1"/>
  <c r="J2160" i="79"/>
  <c r="J2049" i="79" s="1"/>
  <c r="AY218" i="52" s="1"/>
  <c r="M2169" i="79"/>
  <c r="M2052" i="79" s="1"/>
  <c r="BJ215" i="52" s="1"/>
  <c r="J2172" i="79"/>
  <c r="M2170" i="79"/>
  <c r="M2172" i="79"/>
  <c r="M2171" i="79"/>
  <c r="I2172" i="79"/>
  <c r="I2171" i="79"/>
  <c r="G2172" i="79"/>
  <c r="H2172" i="79"/>
  <c r="L2172" i="79"/>
  <c r="J2171" i="79"/>
  <c r="K2172" i="79"/>
  <c r="H2171" i="79"/>
  <c r="K2171" i="79"/>
  <c r="G2171" i="79"/>
  <c r="L2171" i="79"/>
  <c r="G2160" i="79"/>
  <c r="G2049" i="79" s="1"/>
  <c r="AV218" i="52" s="1"/>
  <c r="K2160" i="79"/>
  <c r="K2049" i="79" s="1"/>
  <c r="AZ218" i="52" s="1"/>
  <c r="M2159" i="79"/>
  <c r="M2048" i="79" s="1"/>
  <c r="BB217" i="52" s="1"/>
  <c r="G2159" i="79"/>
  <c r="G2048" i="79" s="1"/>
  <c r="AV217" i="52" s="1"/>
  <c r="H2159" i="79"/>
  <c r="H2048" i="79" s="1"/>
  <c r="AW217" i="52" s="1"/>
  <c r="M2160" i="79"/>
  <c r="M2049" i="79" s="1"/>
  <c r="BB218" i="52" s="1"/>
  <c r="K2159" i="79"/>
  <c r="K2048" i="79" s="1"/>
  <c r="AZ217" i="52" s="1"/>
  <c r="L2159" i="79"/>
  <c r="L2048" i="79" s="1"/>
  <c r="BA217" i="52" s="1"/>
  <c r="J2159" i="79"/>
  <c r="J2048" i="79" s="1"/>
  <c r="AY217" i="52" s="1"/>
  <c r="I2160" i="79"/>
  <c r="I2049" i="79" s="1"/>
  <c r="AX218" i="52" s="1"/>
  <c r="I2159" i="79"/>
  <c r="I2048" i="79" s="1"/>
  <c r="AX217" i="52" s="1"/>
  <c r="P50" i="52"/>
  <c r="K420" i="54" s="1"/>
  <c r="V50" i="52"/>
  <c r="Q420" i="54" s="1"/>
  <c r="R420" i="54" s="1"/>
  <c r="S420" i="54" s="1"/>
  <c r="T420" i="54" s="1"/>
  <c r="U420" i="54" s="1"/>
  <c r="V420" i="54" s="1"/>
  <c r="T6" i="52"/>
  <c r="P94" i="52"/>
  <c r="K462" i="54" s="1"/>
  <c r="P6" i="52"/>
  <c r="T94" i="52"/>
  <c r="O462" i="54" s="1"/>
  <c r="Q72" i="52"/>
  <c r="L441" i="54" s="1"/>
  <c r="R94" i="52"/>
  <c r="M462" i="54" s="1"/>
  <c r="Q28" i="52"/>
  <c r="L399" i="54" s="1"/>
  <c r="Q94" i="52"/>
  <c r="L462" i="54" s="1"/>
  <c r="U50" i="52"/>
  <c r="P420" i="54" s="1"/>
  <c r="S50" i="52"/>
  <c r="N420" i="54" s="1"/>
  <c r="U28" i="52"/>
  <c r="P399" i="54" s="1"/>
  <c r="S28" i="52"/>
  <c r="N399" i="54" s="1"/>
  <c r="S6" i="52"/>
  <c r="R50" i="52"/>
  <c r="M420" i="54" s="1"/>
  <c r="U94" i="52"/>
  <c r="P462" i="54" s="1"/>
  <c r="P72" i="52"/>
  <c r="K441" i="54" s="1"/>
  <c r="U72" i="52"/>
  <c r="P441" i="54" s="1"/>
  <c r="T28" i="52"/>
  <c r="O399" i="54" s="1"/>
  <c r="R28" i="52"/>
  <c r="M399" i="54" s="1"/>
  <c r="V72" i="52"/>
  <c r="Q441" i="54" s="1"/>
  <c r="R441" i="54" s="1"/>
  <c r="S441" i="54" s="1"/>
  <c r="T441" i="54" s="1"/>
  <c r="U441" i="54" s="1"/>
  <c r="V441" i="54" s="1"/>
  <c r="T50" i="52"/>
  <c r="O420" i="54" s="1"/>
  <c r="S72" i="52"/>
  <c r="N441" i="54" s="1"/>
  <c r="S94" i="52"/>
  <c r="N462" i="54" s="1"/>
  <c r="V28" i="52"/>
  <c r="Q399" i="54" s="1"/>
  <c r="R399" i="54" s="1"/>
  <c r="S399" i="54" s="1"/>
  <c r="T399" i="54" s="1"/>
  <c r="U399" i="54" s="1"/>
  <c r="V399" i="54" s="1"/>
  <c r="P28" i="52"/>
  <c r="K399" i="54" s="1"/>
  <c r="Q6" i="52"/>
  <c r="R72" i="52"/>
  <c r="M441" i="54" s="1"/>
  <c r="R6" i="52"/>
  <c r="U6" i="52"/>
  <c r="T72" i="52"/>
  <c r="O441" i="54" s="1"/>
  <c r="V94" i="52"/>
  <c r="Q462" i="54" s="1"/>
  <c r="R462" i="54" s="1"/>
  <c r="S462" i="54" s="1"/>
  <c r="T462" i="54" s="1"/>
  <c r="U462" i="54" s="1"/>
  <c r="V462" i="54" s="1"/>
  <c r="Q50" i="52"/>
  <c r="L420" i="54" s="1"/>
  <c r="V6" i="52"/>
  <c r="J204" i="52"/>
  <c r="J60" i="52" s="1"/>
  <c r="K204" i="52"/>
  <c r="K60" i="52" s="1"/>
  <c r="M209" i="52"/>
  <c r="K210" i="52"/>
  <c r="M210" i="52"/>
  <c r="H228" i="52"/>
  <c r="H64" i="52" s="1"/>
  <c r="N235" i="52"/>
  <c r="H234" i="52"/>
  <c r="M234" i="52"/>
  <c r="H209" i="52"/>
  <c r="K230" i="52"/>
  <c r="J253" i="52"/>
  <c r="M218" i="52"/>
  <c r="J208" i="52"/>
  <c r="H212" i="52"/>
  <c r="M253" i="52"/>
  <c r="M206" i="52"/>
  <c r="K253" i="52"/>
  <c r="J209" i="52"/>
  <c r="J206" i="52"/>
  <c r="N210" i="52"/>
  <c r="L228" i="52"/>
  <c r="L64" i="52" s="1"/>
  <c r="N217" i="52"/>
  <c r="H202" i="52"/>
  <c r="H16" i="52" s="1"/>
  <c r="N251" i="52"/>
  <c r="I251" i="52"/>
  <c r="N204" i="52"/>
  <c r="N60" i="52" s="1"/>
  <c r="N226" i="52"/>
  <c r="N20" i="52" s="1"/>
  <c r="J203" i="52"/>
  <c r="J38" i="52" s="1"/>
  <c r="H253" i="52"/>
  <c r="H252" i="52"/>
  <c r="J212" i="52"/>
  <c r="K202" i="52"/>
  <c r="K16" i="52" s="1"/>
  <c r="I230" i="52"/>
  <c r="N216" i="52"/>
  <c r="M230" i="52"/>
  <c r="H206" i="52"/>
  <c r="H214" i="52"/>
  <c r="I204" i="52"/>
  <c r="I60" i="52" s="1"/>
  <c r="J230" i="52"/>
  <c r="N236" i="52"/>
  <c r="L214" i="52"/>
  <c r="J227" i="52"/>
  <c r="J42" i="52" s="1"/>
  <c r="I203" i="52"/>
  <c r="I38" i="52" s="1"/>
  <c r="H210" i="52"/>
  <c r="N232" i="52"/>
  <c r="H235" i="52"/>
  <c r="N218" i="52"/>
  <c r="N229" i="52"/>
  <c r="N86" i="52" s="1"/>
  <c r="L250" i="52"/>
  <c r="I211" i="52"/>
  <c r="L206" i="52"/>
  <c r="J214" i="52"/>
  <c r="M203" i="52"/>
  <c r="M38" i="52" s="1"/>
  <c r="M289" i="52"/>
  <c r="P338" i="54" s="1"/>
  <c r="H289" i="52"/>
  <c r="K338" i="54" s="1"/>
  <c r="H211" i="52"/>
  <c r="H208" i="52"/>
  <c r="M216" i="52"/>
  <c r="J228" i="52"/>
  <c r="J64" i="52" s="1"/>
  <c r="I253" i="52"/>
  <c r="K289" i="52"/>
  <c r="N338" i="54" s="1"/>
  <c r="M229" i="52"/>
  <c r="M86" i="52" s="1"/>
  <c r="J236" i="52"/>
  <c r="M215" i="52"/>
  <c r="L211" i="52"/>
  <c r="I252" i="52"/>
  <c r="L212" i="52"/>
  <c r="K254" i="52"/>
  <c r="L204" i="52"/>
  <c r="L60" i="52" s="1"/>
  <c r="N230" i="52"/>
  <c r="I217" i="52"/>
  <c r="L251" i="52"/>
  <c r="L205" i="52"/>
  <c r="L82" i="52" s="1"/>
  <c r="H229" i="52"/>
  <c r="H86" i="52" s="1"/>
  <c r="J216" i="52"/>
  <c r="J234" i="52"/>
  <c r="M251" i="52"/>
  <c r="H250" i="52"/>
  <c r="N208" i="52"/>
  <c r="I236" i="52"/>
  <c r="J211" i="52"/>
  <c r="L227" i="52"/>
  <c r="L42" i="52" s="1"/>
  <c r="L226" i="52"/>
  <c r="L20" i="52" s="1"/>
  <c r="L230" i="52"/>
  <c r="L254" i="52"/>
  <c r="J210" i="52"/>
  <c r="H227" i="52"/>
  <c r="H42" i="52" s="1"/>
  <c r="H230" i="52"/>
  <c r="I202" i="52"/>
  <c r="I16" i="52" s="1"/>
  <c r="K233" i="52"/>
  <c r="J226" i="52"/>
  <c r="J20" i="52" s="1"/>
  <c r="I254" i="52"/>
  <c r="N254" i="52"/>
  <c r="J250" i="52"/>
  <c r="M252" i="52"/>
  <c r="K206" i="52"/>
  <c r="H254" i="52"/>
  <c r="K235" i="52"/>
  <c r="M233" i="52"/>
  <c r="J251" i="52"/>
  <c r="M211" i="52"/>
  <c r="L210" i="52"/>
  <c r="H226" i="52"/>
  <c r="H20" i="52" s="1"/>
  <c r="I235" i="52"/>
  <c r="K226" i="52"/>
  <c r="K20" i="52" s="1"/>
  <c r="J229" i="52"/>
  <c r="J86" i="52" s="1"/>
  <c r="K252" i="52"/>
  <c r="M202" i="52"/>
  <c r="M16" i="52" s="1"/>
  <c r="N253" i="52"/>
  <c r="J215" i="52"/>
  <c r="K216" i="52"/>
  <c r="K214" i="52"/>
  <c r="H205" i="52"/>
  <c r="H82" i="52" s="1"/>
  <c r="I206" i="52"/>
  <c r="K212" i="52"/>
  <c r="N234" i="52"/>
  <c r="H233" i="52"/>
  <c r="J205" i="52"/>
  <c r="J82" i="52" s="1"/>
  <c r="H216" i="52"/>
  <c r="L217" i="52"/>
  <c r="J232" i="52"/>
  <c r="M250" i="52"/>
  <c r="L209" i="52"/>
  <c r="K208" i="52"/>
  <c r="I208" i="52"/>
  <c r="K218" i="52"/>
  <c r="H251" i="52"/>
  <c r="M214" i="52"/>
  <c r="N205" i="52"/>
  <c r="N82" i="52" s="1"/>
  <c r="L208" i="52"/>
  <c r="I214" i="52"/>
  <c r="K209" i="52"/>
  <c r="N202" i="52"/>
  <c r="N16" i="52" s="1"/>
  <c r="I228" i="52"/>
  <c r="I64" i="52" s="1"/>
  <c r="K228" i="52"/>
  <c r="K64" i="52" s="1"/>
  <c r="N212" i="52"/>
  <c r="K232" i="52"/>
  <c r="N250" i="52"/>
  <c r="N227" i="52"/>
  <c r="N42" i="52" s="1"/>
  <c r="H217" i="52"/>
  <c r="I289" i="52"/>
  <c r="L338" i="54" s="1"/>
  <c r="N214" i="52"/>
  <c r="L252" i="52"/>
  <c r="M254" i="52"/>
  <c r="J254" i="52"/>
  <c r="L235" i="52"/>
  <c r="N211" i="52"/>
  <c r="J235" i="52"/>
  <c r="I250" i="52"/>
  <c r="M227" i="52"/>
  <c r="M42" i="52" s="1"/>
  <c r="M212" i="52"/>
  <c r="L253" i="52"/>
  <c r="L215" i="52"/>
  <c r="I232" i="52"/>
  <c r="H236" i="52"/>
  <c r="L229" i="52"/>
  <c r="L86" i="52" s="1"/>
  <c r="J217" i="52"/>
  <c r="L203" i="52"/>
  <c r="L38" i="52" s="1"/>
  <c r="L216" i="52"/>
  <c r="L236" i="52"/>
  <c r="N289" i="52"/>
  <c r="Q338" i="54" s="1"/>
  <c r="R338" i="54" s="1"/>
  <c r="S338" i="54" s="1"/>
  <c r="T338" i="54" s="1"/>
  <c r="U338" i="54" s="1"/>
  <c r="V338" i="54" s="1"/>
  <c r="K211" i="52"/>
  <c r="J218" i="52"/>
  <c r="K215" i="52"/>
  <c r="I226" i="52"/>
  <c r="I20" i="52" s="1"/>
  <c r="I215" i="52"/>
  <c r="J233" i="52"/>
  <c r="I205" i="52"/>
  <c r="I82" i="52" s="1"/>
  <c r="L233" i="52"/>
  <c r="N206" i="52"/>
  <c r="H204" i="52"/>
  <c r="H60" i="52" s="1"/>
  <c r="N203" i="52"/>
  <c r="N38" i="52" s="1"/>
  <c r="N228" i="52"/>
  <c r="N64" i="52" s="1"/>
  <c r="I218" i="52"/>
  <c r="I209" i="52"/>
  <c r="K203" i="52"/>
  <c r="K38" i="52" s="1"/>
  <c r="N252" i="52"/>
  <c r="M217" i="52"/>
  <c r="I233" i="52"/>
  <c r="L218" i="52"/>
  <c r="I229" i="52"/>
  <c r="I86" i="52" s="1"/>
  <c r="H232" i="52"/>
  <c r="M204" i="52"/>
  <c r="M60" i="52" s="1"/>
  <c r="H203" i="52"/>
  <c r="H38" i="52" s="1"/>
  <c r="I210" i="52"/>
  <c r="L289" i="52"/>
  <c r="O338" i="54" s="1"/>
  <c r="M232" i="52"/>
  <c r="I234" i="52"/>
  <c r="J289" i="52"/>
  <c r="M338" i="54" s="1"/>
  <c r="K229" i="52"/>
  <c r="K86" i="52" s="1"/>
  <c r="N209" i="52"/>
  <c r="I216" i="52"/>
  <c r="K251" i="52"/>
  <c r="L232" i="52"/>
  <c r="K250" i="52"/>
  <c r="I212" i="52"/>
  <c r="M226" i="52"/>
  <c r="M20" i="52" s="1"/>
  <c r="L234" i="52"/>
  <c r="N233" i="52"/>
  <c r="M205" i="52"/>
  <c r="M82" i="52" s="1"/>
  <c r="M236" i="52"/>
  <c r="K205" i="52"/>
  <c r="K82" i="52" s="1"/>
  <c r="H215" i="52"/>
  <c r="M208" i="52"/>
  <c r="L202" i="52"/>
  <c r="L16" i="52" s="1"/>
  <c r="N215" i="52"/>
  <c r="J252" i="52"/>
  <c r="K234" i="52"/>
  <c r="K227" i="52"/>
  <c r="K42" i="52" s="1"/>
  <c r="K217" i="52"/>
  <c r="M235" i="52"/>
  <c r="M228" i="52"/>
  <c r="M64" i="52" s="1"/>
  <c r="K236" i="52"/>
  <c r="Z197" i="52" l="1"/>
  <c r="Z196" i="52"/>
  <c r="Z200" i="52"/>
  <c r="Z199" i="52"/>
  <c r="Z198" i="52"/>
  <c r="AA197" i="52"/>
  <c r="AA196" i="52"/>
  <c r="AA199" i="52"/>
  <c r="AA198" i="52"/>
  <c r="AA200" i="52"/>
  <c r="X199" i="52"/>
  <c r="X196" i="52"/>
  <c r="X200" i="52"/>
  <c r="X197" i="52"/>
  <c r="X198" i="52"/>
  <c r="AB196" i="52"/>
  <c r="AB199" i="52"/>
  <c r="AB198" i="52"/>
  <c r="AB200" i="52"/>
  <c r="AB197" i="52"/>
  <c r="Y198" i="52"/>
  <c r="Y200" i="52"/>
  <c r="Y196" i="52"/>
  <c r="Y199" i="52"/>
  <c r="Y197" i="52"/>
  <c r="AC199" i="52"/>
  <c r="AC200" i="52"/>
  <c r="AC198" i="52"/>
  <c r="AC197" i="52"/>
  <c r="AC196" i="52"/>
  <c r="AD199" i="52"/>
  <c r="AD196" i="52"/>
  <c r="AD200" i="52"/>
  <c r="AD198" i="52"/>
  <c r="AD197" i="52"/>
  <c r="BM116" i="52"/>
  <c r="BZ136" i="52"/>
  <c r="BX122" i="52"/>
  <c r="BN135" i="52"/>
  <c r="BZ130" i="52"/>
  <c r="BT116" i="52"/>
  <c r="BO130" i="52"/>
  <c r="BO127" i="52"/>
  <c r="BV116" i="52"/>
  <c r="BO118" i="52"/>
  <c r="BR135" i="52"/>
  <c r="BR131" i="52"/>
  <c r="BM118" i="52"/>
  <c r="BL136" i="52"/>
  <c r="BQ118" i="52"/>
  <c r="BX119" i="52"/>
  <c r="BX128" i="52"/>
  <c r="BM130" i="52"/>
  <c r="BW118" i="52"/>
  <c r="BN133" i="52"/>
  <c r="BU124" i="52"/>
  <c r="BY134" i="52"/>
  <c r="BT136" i="52"/>
  <c r="BP134" i="52"/>
  <c r="BX116" i="52"/>
  <c r="BM131" i="52"/>
  <c r="BP130" i="52"/>
  <c r="BQ117" i="52"/>
  <c r="BM134" i="52"/>
  <c r="BZ129" i="52"/>
  <c r="BO136" i="52"/>
  <c r="BQ126" i="52"/>
  <c r="BZ123" i="52"/>
  <c r="BP126" i="52"/>
  <c r="BU128" i="52"/>
  <c r="BV118" i="52"/>
  <c r="BX131" i="52"/>
  <c r="BX123" i="52"/>
  <c r="BR126" i="52"/>
  <c r="BX126" i="52"/>
  <c r="BU117" i="52"/>
  <c r="BX121" i="52"/>
  <c r="BZ118" i="52"/>
  <c r="BQ129" i="52"/>
  <c r="BN117" i="52"/>
  <c r="BY136" i="52"/>
  <c r="BR130" i="52"/>
  <c r="BX120" i="52"/>
  <c r="BM128" i="52"/>
  <c r="BY121" i="52"/>
  <c r="BX136" i="52"/>
  <c r="BV134" i="52"/>
  <c r="BW135" i="52"/>
  <c r="BL135" i="52"/>
  <c r="BV120" i="52"/>
  <c r="BX127" i="52"/>
  <c r="BX134" i="52"/>
  <c r="BM135" i="52"/>
  <c r="BV124" i="52"/>
  <c r="BT124" i="52"/>
  <c r="BO126" i="52"/>
  <c r="BO129" i="52"/>
  <c r="BQ131" i="52"/>
  <c r="BL133" i="52"/>
  <c r="BW116" i="52"/>
  <c r="BN136" i="52"/>
  <c r="BT131" i="52"/>
  <c r="BW127" i="52"/>
  <c r="BR118" i="52"/>
  <c r="BQ130" i="52"/>
  <c r="BW120" i="52"/>
  <c r="BZ122" i="52"/>
  <c r="BT122" i="52"/>
  <c r="BL117" i="52"/>
  <c r="BW136" i="52"/>
  <c r="BO131" i="52"/>
  <c r="BY126" i="52"/>
  <c r="BO132" i="52"/>
  <c r="BU136" i="52"/>
  <c r="BV123" i="52"/>
  <c r="BO135" i="52"/>
  <c r="BZ124" i="52"/>
  <c r="BX117" i="52"/>
  <c r="BM132" i="52"/>
  <c r="BZ116" i="52"/>
  <c r="BX129" i="52"/>
  <c r="BN129" i="52"/>
  <c r="BY119" i="52"/>
  <c r="BQ128" i="52"/>
  <c r="BY131" i="52"/>
  <c r="BT127" i="52"/>
  <c r="BO117" i="52"/>
  <c r="BX135" i="52"/>
  <c r="BW117" i="52"/>
  <c r="BT129" i="52"/>
  <c r="BV117" i="52"/>
  <c r="BT119" i="52"/>
  <c r="BP135" i="52"/>
  <c r="BL116" i="52"/>
  <c r="BU119" i="52"/>
  <c r="BU118" i="52"/>
  <c r="BL130" i="52"/>
  <c r="BV135" i="52"/>
  <c r="BW121" i="52"/>
  <c r="BR116" i="52"/>
  <c r="BY128" i="52"/>
  <c r="BT120" i="52"/>
  <c r="BP116" i="52"/>
  <c r="BT118" i="52"/>
  <c r="BQ132" i="52"/>
  <c r="BP133" i="52"/>
  <c r="BU123" i="52"/>
  <c r="BW123" i="52"/>
  <c r="BU135" i="52"/>
  <c r="BZ120" i="52"/>
  <c r="BT135" i="52"/>
  <c r="BM133" i="52"/>
  <c r="BU127" i="52"/>
  <c r="BP128" i="52"/>
  <c r="BU116" i="52"/>
  <c r="BZ128" i="52"/>
  <c r="BY123" i="52"/>
  <c r="BR132" i="52"/>
  <c r="BV119" i="52"/>
  <c r="BP118" i="52"/>
  <c r="BM136" i="52"/>
  <c r="BR129" i="52"/>
  <c r="BZ126" i="52"/>
  <c r="BN132" i="52"/>
  <c r="BP132" i="52"/>
  <c r="BL132" i="52"/>
  <c r="BM129" i="52"/>
  <c r="BY116" i="52"/>
  <c r="BO116" i="52"/>
  <c r="BL126" i="52"/>
  <c r="BQ116" i="52"/>
  <c r="BY124" i="52"/>
  <c r="BP129" i="52"/>
  <c r="BW129" i="52"/>
  <c r="BP117" i="52"/>
  <c r="BM127" i="52"/>
  <c r="BT123" i="52"/>
  <c r="BU120" i="52"/>
  <c r="BY135" i="52"/>
  <c r="BW119" i="52"/>
  <c r="BM117" i="52"/>
  <c r="BZ134" i="52"/>
  <c r="BR136" i="52"/>
  <c r="BY117" i="52"/>
  <c r="BL118" i="52"/>
  <c r="BT134" i="52"/>
  <c r="BT130" i="52"/>
  <c r="BW122" i="52"/>
  <c r="BX118" i="52"/>
  <c r="BQ127" i="52"/>
  <c r="BN131" i="52"/>
  <c r="BW134" i="52"/>
  <c r="BN126" i="52"/>
  <c r="BT126" i="52"/>
  <c r="BW124" i="52"/>
  <c r="BY130" i="52"/>
  <c r="BW128" i="52"/>
  <c r="BP131" i="52"/>
  <c r="BY122" i="52"/>
  <c r="BT128" i="52"/>
  <c r="BU121" i="52"/>
  <c r="BZ119" i="52"/>
  <c r="BR127" i="52"/>
  <c r="BU129" i="52"/>
  <c r="BZ121" i="52"/>
  <c r="BW126" i="52"/>
  <c r="BO133" i="52"/>
  <c r="BP136" i="52"/>
  <c r="BY118" i="52"/>
  <c r="BO134" i="52"/>
  <c r="BV129" i="52"/>
  <c r="BL127" i="52"/>
  <c r="BP127" i="52"/>
  <c r="BZ135" i="52"/>
  <c r="BX124" i="52"/>
  <c r="BU134" i="52"/>
  <c r="BN118" i="52"/>
  <c r="BO128" i="52"/>
  <c r="BZ117" i="52"/>
  <c r="BQ136" i="52"/>
  <c r="BQ133" i="52"/>
  <c r="BY120" i="52"/>
  <c r="BV131" i="52"/>
  <c r="BQ135" i="52"/>
  <c r="BR117" i="52"/>
  <c r="BW131" i="52"/>
  <c r="BX130" i="52"/>
  <c r="BY127" i="52"/>
  <c r="BR134" i="52"/>
  <c r="BV127" i="52"/>
  <c r="BL128" i="52"/>
  <c r="BN116" i="52"/>
  <c r="BZ131" i="52"/>
  <c r="BV121" i="52"/>
  <c r="BN134" i="52"/>
  <c r="BN127" i="52"/>
  <c r="BL134" i="52"/>
  <c r="BL131" i="52"/>
  <c r="BR133" i="52"/>
  <c r="BU130" i="52"/>
  <c r="BY129" i="52"/>
  <c r="BT121" i="52"/>
  <c r="BL129" i="52"/>
  <c r="BM126" i="52"/>
  <c r="BU126" i="52"/>
  <c r="BN130" i="52"/>
  <c r="BV122" i="52"/>
  <c r="BR128" i="52"/>
  <c r="BU131" i="52"/>
  <c r="BV128" i="52"/>
  <c r="BT117" i="52"/>
  <c r="BV126" i="52"/>
  <c r="BU122" i="52"/>
  <c r="BN128" i="52"/>
  <c r="BV136" i="52"/>
  <c r="BZ127" i="52"/>
  <c r="BV130" i="52"/>
  <c r="BQ134" i="52"/>
  <c r="BW130" i="52"/>
  <c r="AY122" i="52"/>
  <c r="BG117" i="52"/>
  <c r="AV121" i="52"/>
  <c r="AV124" i="52"/>
  <c r="BB128" i="52"/>
  <c r="AY124" i="52"/>
  <c r="AX132" i="52"/>
  <c r="BB135" i="52"/>
  <c r="BA135" i="52"/>
  <c r="AZ131" i="52"/>
  <c r="AY132" i="52"/>
  <c r="BE133" i="52"/>
  <c r="BB133" i="52"/>
  <c r="AV127" i="52"/>
  <c r="BG136" i="52"/>
  <c r="BJ135" i="52"/>
  <c r="AV131" i="52"/>
  <c r="AW135" i="52"/>
  <c r="AY133" i="52"/>
  <c r="BG116" i="52"/>
  <c r="AZ130" i="52"/>
  <c r="AY130" i="52"/>
  <c r="AV120" i="52"/>
  <c r="BA130" i="52"/>
  <c r="BA124" i="52"/>
  <c r="AY135" i="52"/>
  <c r="BB132" i="52"/>
  <c r="AY121" i="52"/>
  <c r="AW121" i="52"/>
  <c r="AX121" i="52"/>
  <c r="BJ116" i="52"/>
  <c r="BF116" i="52"/>
  <c r="AW126" i="52"/>
  <c r="AW127" i="52"/>
  <c r="AX127" i="52"/>
  <c r="BD134" i="52"/>
  <c r="BF135" i="52"/>
  <c r="BD135" i="52"/>
  <c r="BD133" i="52"/>
  <c r="AZ134" i="52"/>
  <c r="BD128" i="52"/>
  <c r="BA120" i="52"/>
  <c r="BJ126" i="52"/>
  <c r="BD117" i="52"/>
  <c r="AW120" i="52"/>
  <c r="AZ121" i="52"/>
  <c r="AW124" i="52"/>
  <c r="AZ119" i="52"/>
  <c r="BA123" i="52"/>
  <c r="AX120" i="52"/>
  <c r="AX126" i="52"/>
  <c r="U750" i="59"/>
  <c r="U708" i="59"/>
  <c r="X708" i="59"/>
  <c r="P116" i="52"/>
  <c r="BA85" i="52"/>
  <c r="AY107" i="52"/>
  <c r="L365" i="54"/>
  <c r="T674" i="59" s="1"/>
  <c r="P360" i="54"/>
  <c r="X669" i="59" s="1"/>
  <c r="Q377" i="54"/>
  <c r="R377" i="54" s="1"/>
  <c r="S377" i="54" s="1"/>
  <c r="T377" i="54" s="1"/>
  <c r="U377" i="54" s="1"/>
  <c r="V377" i="54" s="1"/>
  <c r="Q371" i="54"/>
  <c r="R371" i="54" s="1"/>
  <c r="S371" i="54" s="1"/>
  <c r="T371" i="54" s="1"/>
  <c r="U371" i="54" s="1"/>
  <c r="V371" i="54" s="1"/>
  <c r="L368" i="54"/>
  <c r="M371" i="54"/>
  <c r="O372" i="54"/>
  <c r="AZ136" i="52"/>
  <c r="AW131" i="52"/>
  <c r="AV135" i="52"/>
  <c r="AV134" i="52"/>
  <c r="BA127" i="52"/>
  <c r="AW133" i="52"/>
  <c r="BH132" i="52"/>
  <c r="BE136" i="52"/>
  <c r="BI135" i="52"/>
  <c r="BE135" i="52"/>
  <c r="AZ133" i="52"/>
  <c r="AW134" i="52"/>
  <c r="AX135" i="52"/>
  <c r="BE128" i="52"/>
  <c r="AY134" i="52"/>
  <c r="BB122" i="52"/>
  <c r="BA119" i="52"/>
  <c r="AZ123" i="52"/>
  <c r="BB120" i="52"/>
  <c r="AY123" i="52"/>
  <c r="BA121" i="52"/>
  <c r="AV118" i="52"/>
  <c r="BI117" i="52"/>
  <c r="AV122" i="52"/>
  <c r="BE130" i="52"/>
  <c r="BF126" i="52"/>
  <c r="BB126" i="52"/>
  <c r="Q116" i="52"/>
  <c r="W708" i="59"/>
  <c r="V729" i="59"/>
  <c r="AZ85" i="52"/>
  <c r="AW107" i="52"/>
  <c r="K377" i="54"/>
  <c r="S686" i="59" s="1"/>
  <c r="O364" i="54"/>
  <c r="K368" i="54"/>
  <c r="L371" i="54"/>
  <c r="K364" i="54"/>
  <c r="P368" i="54"/>
  <c r="M368" i="54"/>
  <c r="AV136" i="52"/>
  <c r="AX136" i="52"/>
  <c r="BJ134" i="52"/>
  <c r="BF131" i="52"/>
  <c r="BI133" i="52"/>
  <c r="BJ133" i="52"/>
  <c r="BA128" i="52"/>
  <c r="AV132" i="52"/>
  <c r="AW128" i="52"/>
  <c r="AV123" i="52"/>
  <c r="AY119" i="52"/>
  <c r="BB119" i="52"/>
  <c r="BE117" i="52"/>
  <c r="AW122" i="52"/>
  <c r="AY120" i="52"/>
  <c r="BB121" i="52"/>
  <c r="BI116" i="52"/>
  <c r="BG130" i="52"/>
  <c r="O377" i="54"/>
  <c r="W686" i="59" s="1"/>
  <c r="V116" i="52"/>
  <c r="X750" i="59"/>
  <c r="X729" i="59"/>
  <c r="T116" i="52"/>
  <c r="BB107" i="52"/>
  <c r="BA107" i="52"/>
  <c r="O368" i="54"/>
  <c r="L372" i="54"/>
  <c r="Q364" i="54"/>
  <c r="R364" i="54" s="1"/>
  <c r="S364" i="54" s="1"/>
  <c r="T364" i="54" s="1"/>
  <c r="U364" i="54" s="1"/>
  <c r="V364" i="54" s="1"/>
  <c r="BJ128" i="52"/>
  <c r="BH128" i="52"/>
  <c r="BA133" i="52"/>
  <c r="AX134" i="52"/>
  <c r="AX128" i="52"/>
  <c r="BJ127" i="52"/>
  <c r="BI127" i="52"/>
  <c r="BE134" i="52"/>
  <c r="BF132" i="52"/>
  <c r="BG134" i="52"/>
  <c r="BD136" i="52"/>
  <c r="BH135" i="52"/>
  <c r="BD131" i="52"/>
  <c r="BJ132" i="52"/>
  <c r="AZ135" i="52"/>
  <c r="AX133" i="52"/>
  <c r="BE116" i="52"/>
  <c r="BH117" i="52"/>
  <c r="AX122" i="52"/>
  <c r="BH126" i="52"/>
  <c r="N371" i="54"/>
  <c r="O360" i="54"/>
  <c r="W669" i="59" s="1"/>
  <c r="M377" i="54"/>
  <c r="BE132" i="52"/>
  <c r="AW85" i="52"/>
  <c r="Q372" i="54"/>
  <c r="R372" i="54" s="1"/>
  <c r="S372" i="54" s="1"/>
  <c r="T372" i="54" s="1"/>
  <c r="U372" i="54" s="1"/>
  <c r="V372" i="54" s="1"/>
  <c r="L360" i="54"/>
  <c r="T669" i="59" s="1"/>
  <c r="O365" i="54"/>
  <c r="W674" i="59" s="1"/>
  <c r="K372" i="54"/>
  <c r="N360" i="54"/>
  <c r="V669" i="59" s="1"/>
  <c r="M365" i="54"/>
  <c r="U674" i="59" s="1"/>
  <c r="BA131" i="52"/>
  <c r="BA132" i="52"/>
  <c r="BG132" i="52"/>
  <c r="BD132" i="52"/>
  <c r="BI136" i="52"/>
  <c r="BD127" i="52"/>
  <c r="BG131" i="52"/>
  <c r="BJ131" i="52"/>
  <c r="BG133" i="52"/>
  <c r="BB127" i="52"/>
  <c r="BG128" i="52"/>
  <c r="AV119" i="52"/>
  <c r="BD130" i="52"/>
  <c r="BJ130" i="52"/>
  <c r="AY85" i="52"/>
  <c r="P365" i="54"/>
  <c r="X674" i="59" s="1"/>
  <c r="AY128" i="52"/>
  <c r="AW136" i="52"/>
  <c r="AZ132" i="52"/>
  <c r="AW132" i="52"/>
  <c r="AZ128" i="52"/>
  <c r="AV128" i="52"/>
  <c r="BJ136" i="52"/>
  <c r="BE131" i="52"/>
  <c r="AX119" i="52"/>
  <c r="AW123" i="52"/>
  <c r="BE126" i="52"/>
  <c r="BD126" i="52"/>
  <c r="BI130" i="52"/>
  <c r="BI126" i="52"/>
  <c r="V708" i="59"/>
  <c r="N368" i="54"/>
  <c r="P364" i="54"/>
  <c r="L377" i="54"/>
  <c r="X771" i="59"/>
  <c r="AV85" i="52"/>
  <c r="L364" i="54"/>
  <c r="O371" i="54"/>
  <c r="N364" i="54"/>
  <c r="M372" i="54"/>
  <c r="W750" i="59"/>
  <c r="U729" i="59"/>
  <c r="U771" i="59"/>
  <c r="AX85" i="52"/>
  <c r="BB85" i="52"/>
  <c r="Q368" i="54"/>
  <c r="R368" i="54" s="1"/>
  <c r="S368" i="54" s="1"/>
  <c r="T368" i="54" s="1"/>
  <c r="U368" i="54" s="1"/>
  <c r="V368" i="54" s="1"/>
  <c r="K371" i="54"/>
  <c r="P371" i="54"/>
  <c r="Q360" i="54"/>
  <c r="R360" i="54" s="1"/>
  <c r="S360" i="54" s="1"/>
  <c r="T360" i="54" s="1"/>
  <c r="U360" i="54" s="1"/>
  <c r="V360" i="54" s="1"/>
  <c r="N372" i="54"/>
  <c r="M360" i="54"/>
  <c r="U669" i="59" s="1"/>
  <c r="K360" i="54"/>
  <c r="S669" i="59" s="1"/>
  <c r="P377" i="54"/>
  <c r="X686" i="59" s="1"/>
  <c r="AY127" i="52"/>
  <c r="BF128" i="52"/>
  <c r="BA136" i="52"/>
  <c r="AV133" i="52"/>
  <c r="BI134" i="52"/>
  <c r="BF136" i="52"/>
  <c r="BE127" i="52"/>
  <c r="BG135" i="52"/>
  <c r="BI131" i="52"/>
  <c r="BH133" i="52"/>
  <c r="BI128" i="52"/>
  <c r="BJ117" i="52"/>
  <c r="AX124" i="52"/>
  <c r="AZ124" i="52"/>
  <c r="BF117" i="52"/>
  <c r="BA122" i="52"/>
  <c r="BB124" i="52"/>
  <c r="AZ120" i="52"/>
  <c r="BF130" i="52"/>
  <c r="AX130" i="52"/>
  <c r="BB130" i="52"/>
  <c r="AY126" i="52"/>
  <c r="AV126" i="52"/>
  <c r="R116" i="52"/>
  <c r="W771" i="59"/>
  <c r="AV107" i="52"/>
  <c r="V771" i="59"/>
  <c r="P372" i="54"/>
  <c r="N377" i="54"/>
  <c r="U116" i="52"/>
  <c r="W729" i="59"/>
  <c r="S116" i="52"/>
  <c r="AX107" i="52"/>
  <c r="AZ107" i="52"/>
  <c r="N365" i="54"/>
  <c r="V674" i="59" s="1"/>
  <c r="K365" i="54"/>
  <c r="S674" i="59" s="1"/>
  <c r="M364" i="54"/>
  <c r="Q365" i="54"/>
  <c r="AY136" i="52"/>
  <c r="BA134" i="52"/>
  <c r="BB134" i="52"/>
  <c r="BI132" i="52"/>
  <c r="AX131" i="52"/>
  <c r="BB136" i="52"/>
  <c r="AZ127" i="52"/>
  <c r="BH127" i="52"/>
  <c r="BG127" i="52"/>
  <c r="BF127" i="52"/>
  <c r="BH134" i="52"/>
  <c r="BF134" i="52"/>
  <c r="BH136" i="52"/>
  <c r="BH131" i="52"/>
  <c r="BF133" i="52"/>
  <c r="AY131" i="52"/>
  <c r="BB131" i="52"/>
  <c r="BH116" i="52"/>
  <c r="AX123" i="52"/>
  <c r="BB123" i="52"/>
  <c r="AZ122" i="52"/>
  <c r="AW119" i="52"/>
  <c r="BD116" i="52"/>
  <c r="AV130" i="52"/>
  <c r="BH130" i="52"/>
  <c r="BG126" i="52"/>
  <c r="AZ126" i="52"/>
  <c r="AW130" i="52"/>
  <c r="BA126" i="52"/>
  <c r="L104" i="52"/>
  <c r="L126" i="52" s="1"/>
  <c r="M108" i="52"/>
  <c r="M130" i="52" s="1"/>
  <c r="M104" i="52"/>
  <c r="M126" i="52" s="1"/>
  <c r="T110" i="52"/>
  <c r="O456" i="54" s="1"/>
  <c r="Q108" i="52"/>
  <c r="Q130" i="52" s="1"/>
  <c r="K104" i="52"/>
  <c r="K126" i="52" s="1"/>
  <c r="T107" i="52"/>
  <c r="T111" i="52"/>
  <c r="O455" i="54" s="1"/>
  <c r="V106" i="52"/>
  <c r="V128" i="52" s="1"/>
  <c r="K108" i="52"/>
  <c r="K130" i="52" s="1"/>
  <c r="S106" i="52"/>
  <c r="S128" i="52" s="1"/>
  <c r="V108" i="52"/>
  <c r="V130" i="52" s="1"/>
  <c r="P109" i="52"/>
  <c r="Q113" i="52"/>
  <c r="L459" i="54" s="1"/>
  <c r="T103" i="52"/>
  <c r="O448" i="54" s="1"/>
  <c r="Q103" i="52"/>
  <c r="L448" i="54" s="1"/>
  <c r="S109" i="52"/>
  <c r="R112" i="52"/>
  <c r="M452" i="54" s="1"/>
  <c r="U108" i="52"/>
  <c r="U130" i="52" s="1"/>
  <c r="Q104" i="52"/>
  <c r="Q126" i="52" s="1"/>
  <c r="R106" i="52"/>
  <c r="R128" i="52" s="1"/>
  <c r="T113" i="52"/>
  <c r="O459" i="54" s="1"/>
  <c r="U113" i="52"/>
  <c r="P459" i="54" s="1"/>
  <c r="J104" i="52"/>
  <c r="J126" i="52" s="1"/>
  <c r="S107" i="52"/>
  <c r="P108" i="52"/>
  <c r="P130" i="52" s="1"/>
  <c r="P111" i="52"/>
  <c r="K455" i="54" s="1"/>
  <c r="I108" i="52"/>
  <c r="I130" i="52" s="1"/>
  <c r="P103" i="52"/>
  <c r="K448" i="54" s="1"/>
  <c r="S108" i="52"/>
  <c r="S130" i="52" s="1"/>
  <c r="V107" i="52"/>
  <c r="Q461" i="54" s="1"/>
  <c r="R461" i="54" s="1"/>
  <c r="S461" i="54" s="1"/>
  <c r="T461" i="54" s="1"/>
  <c r="U461" i="54" s="1"/>
  <c r="V461" i="54" s="1"/>
  <c r="U105" i="52"/>
  <c r="T105" i="52"/>
  <c r="R104" i="52"/>
  <c r="R126" i="52" s="1"/>
  <c r="V103" i="52"/>
  <c r="Q448" i="54" s="1"/>
  <c r="R448" i="54" s="1"/>
  <c r="S448" i="54" s="1"/>
  <c r="T448" i="54" s="1"/>
  <c r="U448" i="54" s="1"/>
  <c r="V448" i="54" s="1"/>
  <c r="J108" i="52"/>
  <c r="J130" i="52" s="1"/>
  <c r="V111" i="52"/>
  <c r="Q455" i="54" s="1"/>
  <c r="R455" i="54" s="1"/>
  <c r="S455" i="54" s="1"/>
  <c r="T455" i="54" s="1"/>
  <c r="U455" i="54" s="1"/>
  <c r="V455" i="54" s="1"/>
  <c r="Q105" i="52"/>
  <c r="S103" i="52"/>
  <c r="N448" i="54" s="1"/>
  <c r="U110" i="52"/>
  <c r="P456" i="54" s="1"/>
  <c r="P104" i="52"/>
  <c r="P126" i="52" s="1"/>
  <c r="T108" i="52"/>
  <c r="T130" i="52" s="1"/>
  <c r="T104" i="52"/>
  <c r="T126" i="52" s="1"/>
  <c r="R111" i="52"/>
  <c r="M455" i="54" s="1"/>
  <c r="R105" i="52"/>
  <c r="P106" i="52"/>
  <c r="P128" i="52" s="1"/>
  <c r="U106" i="52"/>
  <c r="U128" i="52" s="1"/>
  <c r="U104" i="52"/>
  <c r="U126" i="52" s="1"/>
  <c r="S112" i="52"/>
  <c r="N452" i="54" s="1"/>
  <c r="V112" i="52"/>
  <c r="Q452" i="54" s="1"/>
  <c r="R452" i="54" s="1"/>
  <c r="S452" i="54" s="1"/>
  <c r="T452" i="54" s="1"/>
  <c r="U452" i="54" s="1"/>
  <c r="V452" i="54" s="1"/>
  <c r="V109" i="52"/>
  <c r="S104" i="52"/>
  <c r="S126" i="52" s="1"/>
  <c r="Q112" i="52"/>
  <c r="L452" i="54" s="1"/>
  <c r="P110" i="52"/>
  <c r="K456" i="54" s="1"/>
  <c r="I104" i="52"/>
  <c r="I126" i="52" s="1"/>
  <c r="U111" i="52"/>
  <c r="P455" i="54" s="1"/>
  <c r="Q111" i="52"/>
  <c r="L455" i="54" s="1"/>
  <c r="U103" i="52"/>
  <c r="P448" i="54" s="1"/>
  <c r="U107" i="52"/>
  <c r="Q109" i="52"/>
  <c r="V113" i="52"/>
  <c r="Q459" i="54" s="1"/>
  <c r="R459" i="54" s="1"/>
  <c r="S459" i="54" s="1"/>
  <c r="T459" i="54" s="1"/>
  <c r="U459" i="54" s="1"/>
  <c r="V459" i="54" s="1"/>
  <c r="L108" i="52"/>
  <c r="L130" i="52" s="1"/>
  <c r="U112" i="52"/>
  <c r="P452" i="54" s="1"/>
  <c r="T109" i="52"/>
  <c r="R107" i="52"/>
  <c r="R109" i="52"/>
  <c r="U109" i="52"/>
  <c r="P107" i="52"/>
  <c r="P113" i="52"/>
  <c r="K459" i="54" s="1"/>
  <c r="N108" i="52"/>
  <c r="N130" i="52" s="1"/>
  <c r="T112" i="52"/>
  <c r="O452" i="54" s="1"/>
  <c r="T106" i="52"/>
  <c r="T128" i="52" s="1"/>
  <c r="S111" i="52"/>
  <c r="N455" i="54" s="1"/>
  <c r="P112" i="52"/>
  <c r="K452" i="54" s="1"/>
  <c r="N104" i="52"/>
  <c r="N126" i="52" s="1"/>
  <c r="H108" i="52"/>
  <c r="H130" i="52" s="1"/>
  <c r="H104" i="52"/>
  <c r="H126" i="52" s="1"/>
  <c r="V110" i="52"/>
  <c r="Q456" i="54" s="1"/>
  <c r="R456" i="54" s="1"/>
  <c r="S456" i="54" s="1"/>
  <c r="T456" i="54" s="1"/>
  <c r="U456" i="54" s="1"/>
  <c r="V456" i="54" s="1"/>
  <c r="S105" i="52"/>
  <c r="V105" i="52"/>
  <c r="R110" i="52"/>
  <c r="M456" i="54" s="1"/>
  <c r="S110" i="52"/>
  <c r="N456" i="54" s="1"/>
  <c r="V104" i="52"/>
  <c r="V126" i="52" s="1"/>
  <c r="Q106" i="52"/>
  <c r="Q128" i="52" s="1"/>
  <c r="R103" i="52"/>
  <c r="M448" i="54" s="1"/>
  <c r="P105" i="52"/>
  <c r="Q110" i="52"/>
  <c r="L456" i="54" s="1"/>
  <c r="R108" i="52"/>
  <c r="R130" i="52" s="1"/>
  <c r="Q107" i="52"/>
  <c r="AY51" i="52"/>
  <c r="AZ72" i="52"/>
  <c r="I39" i="52"/>
  <c r="BA6" i="52"/>
  <c r="N24" i="52"/>
  <c r="M83" i="52"/>
  <c r="P178" i="54" s="1"/>
  <c r="J61" i="52"/>
  <c r="I90" i="52"/>
  <c r="N46" i="52"/>
  <c r="M90" i="52"/>
  <c r="P186" i="54" s="1"/>
  <c r="AZ94" i="52"/>
  <c r="BA29" i="52"/>
  <c r="AV7" i="52"/>
  <c r="AV50" i="52"/>
  <c r="AZ50" i="52"/>
  <c r="AX72" i="52"/>
  <c r="AX94" i="52"/>
  <c r="AX29" i="52"/>
  <c r="AY6" i="52"/>
  <c r="AZ95" i="52"/>
  <c r="AW51" i="52"/>
  <c r="BB7" i="52"/>
  <c r="AY50" i="52"/>
  <c r="N43" i="52"/>
  <c r="Q141" i="54" s="1"/>
  <c r="R141" i="54" s="1"/>
  <c r="S141" i="54" s="1"/>
  <c r="T141" i="54" s="1"/>
  <c r="U141" i="54" s="1"/>
  <c r="V141" i="54" s="1"/>
  <c r="AZ51" i="52"/>
  <c r="BA28" i="52"/>
  <c r="AZ73" i="52"/>
  <c r="BA8" i="52"/>
  <c r="BA94" i="52"/>
  <c r="H112" i="52"/>
  <c r="K207" i="54" s="1"/>
  <c r="N61" i="52"/>
  <c r="Q157" i="54" s="1"/>
  <c r="R157" i="54" s="1"/>
  <c r="S157" i="54" s="1"/>
  <c r="T157" i="54" s="1"/>
  <c r="U157" i="54" s="1"/>
  <c r="V157" i="54" s="1"/>
  <c r="J90" i="52"/>
  <c r="M186" i="54" s="1"/>
  <c r="AW29" i="52"/>
  <c r="AW72" i="52"/>
  <c r="AY72" i="52"/>
  <c r="BA72" i="52"/>
  <c r="K65" i="52"/>
  <c r="N162" i="54" s="1"/>
  <c r="L105" i="52"/>
  <c r="O199" i="54" s="1"/>
  <c r="BB28" i="52"/>
  <c r="BA73" i="52"/>
  <c r="BB6" i="52"/>
  <c r="K17" i="52"/>
  <c r="M68" i="52"/>
  <c r="P165" i="54" s="1"/>
  <c r="I68" i="52"/>
  <c r="H83" i="52"/>
  <c r="K178" i="54" s="1"/>
  <c r="N87" i="52"/>
  <c r="Q183" i="54" s="1"/>
  <c r="R183" i="54" s="1"/>
  <c r="S183" i="54" s="1"/>
  <c r="T183" i="54" s="1"/>
  <c r="U183" i="54" s="1"/>
  <c r="V183" i="54" s="1"/>
  <c r="I24" i="52"/>
  <c r="N90" i="52"/>
  <c r="M43" i="52"/>
  <c r="P141" i="54" s="1"/>
  <c r="M39" i="52"/>
  <c r="P136" i="54" s="1"/>
  <c r="L378" i="54"/>
  <c r="T687" i="59" s="1"/>
  <c r="L65" i="52"/>
  <c r="O162" i="54" s="1"/>
  <c r="L109" i="52"/>
  <c r="O204" i="54" s="1"/>
  <c r="J87" i="52"/>
  <c r="K39" i="52"/>
  <c r="H46" i="52"/>
  <c r="M24" i="52"/>
  <c r="K87" i="52"/>
  <c r="N183" i="54" s="1"/>
  <c r="H24" i="52"/>
  <c r="J109" i="52"/>
  <c r="M204" i="54" s="1"/>
  <c r="I226" i="37"/>
  <c r="I239" i="37" s="1"/>
  <c r="I260" i="37" s="1"/>
  <c r="K239" i="54" s="1"/>
  <c r="M61" i="52"/>
  <c r="P157" i="54" s="1"/>
  <c r="Q378" i="54"/>
  <c r="R378" i="54" s="1"/>
  <c r="S378" i="54" s="1"/>
  <c r="T378" i="54" s="1"/>
  <c r="U378" i="54" s="1"/>
  <c r="V378" i="54" s="1"/>
  <c r="S708" i="59"/>
  <c r="O378" i="54"/>
  <c r="W687" i="59" s="1"/>
  <c r="BA95" i="52"/>
  <c r="AX95" i="52"/>
  <c r="BB94" i="52"/>
  <c r="AY73" i="52"/>
  <c r="AX50" i="52"/>
  <c r="BA7" i="52"/>
  <c r="AW7" i="52"/>
  <c r="AY95" i="52"/>
  <c r="AW6" i="52"/>
  <c r="AX6" i="52"/>
  <c r="AV28" i="52"/>
  <c r="L87" i="52"/>
  <c r="O183" i="54" s="1"/>
  <c r="J65" i="52"/>
  <c r="H17" i="52"/>
  <c r="I46" i="52"/>
  <c r="H65" i="52"/>
  <c r="I61" i="52"/>
  <c r="J112" i="52"/>
  <c r="M207" i="54" s="1"/>
  <c r="AV94" i="52"/>
  <c r="J43" i="52"/>
  <c r="L68" i="52"/>
  <c r="O165" i="54" s="1"/>
  <c r="J39" i="52"/>
  <c r="K90" i="52"/>
  <c r="N186" i="54" s="1"/>
  <c r="M109" i="52"/>
  <c r="P204" i="54" s="1"/>
  <c r="I65" i="52"/>
  <c r="K43" i="52"/>
  <c r="N141" i="54" s="1"/>
  <c r="L112" i="52"/>
  <c r="O207" i="54" s="1"/>
  <c r="M46" i="52"/>
  <c r="P144" i="54" s="1"/>
  <c r="I83" i="52"/>
  <c r="H105" i="52"/>
  <c r="K199" i="54" s="1"/>
  <c r="T729" i="59"/>
  <c r="S750" i="59"/>
  <c r="T771" i="59"/>
  <c r="Y729" i="59"/>
  <c r="BB51" i="52"/>
  <c r="AZ28" i="52"/>
  <c r="AZ8" i="52"/>
  <c r="AZ7" i="52"/>
  <c r="BB29" i="52"/>
  <c r="AZ29" i="52"/>
  <c r="AX28" i="52"/>
  <c r="AY94" i="52"/>
  <c r="AX7" i="52"/>
  <c r="BB95" i="52"/>
  <c r="BB50" i="52"/>
  <c r="AW94" i="52"/>
  <c r="AV72" i="52"/>
  <c r="K24" i="52"/>
  <c r="I43" i="52"/>
  <c r="L43" i="52"/>
  <c r="O141" i="54" s="1"/>
  <c r="L17" i="52"/>
  <c r="K105" i="52"/>
  <c r="N199" i="54" s="1"/>
  <c r="L61" i="52"/>
  <c r="I112" i="52"/>
  <c r="N17" i="52"/>
  <c r="P378" i="54"/>
  <c r="X687" i="59" s="1"/>
  <c r="N378" i="54"/>
  <c r="V687" i="59" s="1"/>
  <c r="T750" i="59"/>
  <c r="AV95" i="52"/>
  <c r="AY8" i="52"/>
  <c r="M378" i="54"/>
  <c r="U687" i="59" s="1"/>
  <c r="BB72" i="52"/>
  <c r="AW8" i="52"/>
  <c r="BB73" i="52"/>
  <c r="BA51" i="52"/>
  <c r="K83" i="52"/>
  <c r="K109" i="52"/>
  <c r="N204" i="54" s="1"/>
  <c r="K46" i="52"/>
  <c r="N144" i="54" s="1"/>
  <c r="N105" i="52"/>
  <c r="Q199" i="54" s="1"/>
  <c r="R199" i="54" s="1"/>
  <c r="S199" i="54" s="1"/>
  <c r="T199" i="54" s="1"/>
  <c r="U199" i="54" s="1"/>
  <c r="V199" i="54" s="1"/>
  <c r="L39" i="52"/>
  <c r="L83" i="52"/>
  <c r="M87" i="52"/>
  <c r="P183" i="54" s="1"/>
  <c r="L90" i="52"/>
  <c r="O186" i="54" s="1"/>
  <c r="I17" i="52"/>
  <c r="H43" i="52"/>
  <c r="I87" i="52"/>
  <c r="J24" i="52"/>
  <c r="J83" i="52"/>
  <c r="L46" i="52"/>
  <c r="O144" i="54" s="1"/>
  <c r="J105" i="52"/>
  <c r="M199" i="54" s="1"/>
  <c r="J17" i="52"/>
  <c r="Y771" i="59"/>
  <c r="T708" i="59"/>
  <c r="S729" i="59"/>
  <c r="BA50" i="52"/>
  <c r="AV6" i="52"/>
  <c r="BB8" i="52"/>
  <c r="AX8" i="52"/>
  <c r="AX51" i="52"/>
  <c r="AV51" i="52"/>
  <c r="AW28" i="52"/>
  <c r="AZ6" i="52"/>
  <c r="AY29" i="52"/>
  <c r="AW95" i="52"/>
  <c r="J46" i="52"/>
  <c r="M144" i="54" s="1"/>
  <c r="H61" i="52"/>
  <c r="K157" i="54" s="1"/>
  <c r="H90" i="52"/>
  <c r="K378" i="54"/>
  <c r="S687" i="59" s="1"/>
  <c r="J68" i="52"/>
  <c r="M165" i="54" s="1"/>
  <c r="H87" i="52"/>
  <c r="H39" i="52"/>
  <c r="K136" i="54" s="1"/>
  <c r="S771" i="59"/>
  <c r="N39" i="52"/>
  <c r="Q136" i="54" s="1"/>
  <c r="R136" i="54" s="1"/>
  <c r="S136" i="54" s="1"/>
  <c r="T136" i="54" s="1"/>
  <c r="U136" i="54" s="1"/>
  <c r="V136" i="54" s="1"/>
  <c r="N68" i="52"/>
  <c r="M17" i="52"/>
  <c r="I105" i="52"/>
  <c r="L199" i="54" s="1"/>
  <c r="H109" i="52"/>
  <c r="K204" i="54" s="1"/>
  <c r="M105" i="52"/>
  <c r="P199" i="54" s="1"/>
  <c r="N83" i="52"/>
  <c r="Q178" i="54" s="1"/>
  <c r="R178" i="54" s="1"/>
  <c r="S178" i="54" s="1"/>
  <c r="T178" i="54" s="1"/>
  <c r="U178" i="54" s="1"/>
  <c r="V178" i="54" s="1"/>
  <c r="M112" i="52"/>
  <c r="P207" i="54" s="1"/>
  <c r="N65" i="52"/>
  <c r="Q162" i="54" s="1"/>
  <c r="R162" i="54" s="1"/>
  <c r="S162" i="54" s="1"/>
  <c r="T162" i="54" s="1"/>
  <c r="U162" i="54" s="1"/>
  <c r="V162" i="54" s="1"/>
  <c r="K68" i="52"/>
  <c r="N165" i="54" s="1"/>
  <c r="N112" i="52"/>
  <c r="Q207" i="54" s="1"/>
  <c r="R207" i="54" s="1"/>
  <c r="S207" i="54" s="1"/>
  <c r="T207" i="54" s="1"/>
  <c r="U207" i="54" s="1"/>
  <c r="V207" i="54" s="1"/>
  <c r="I109" i="52"/>
  <c r="L204" i="54" s="1"/>
  <c r="K112" i="52"/>
  <c r="N207" i="54" s="1"/>
  <c r="L24" i="52"/>
  <c r="N109" i="52"/>
  <c r="Q204" i="54" s="1"/>
  <c r="R204" i="54" s="1"/>
  <c r="S204" i="54" s="1"/>
  <c r="T204" i="54" s="1"/>
  <c r="U204" i="54" s="1"/>
  <c r="V204" i="54" s="1"/>
  <c r="H68" i="52"/>
  <c r="M65" i="52"/>
  <c r="P162" i="54" s="1"/>
  <c r="K61" i="52"/>
  <c r="AY28" i="52"/>
  <c r="AV73" i="52"/>
  <c r="AW73" i="52"/>
  <c r="AY7" i="52"/>
  <c r="AV29" i="52"/>
  <c r="AW50" i="52"/>
  <c r="AX73" i="52"/>
  <c r="Y655" i="59"/>
  <c r="Y223" i="52"/>
  <c r="Y222" i="52"/>
  <c r="Y220" i="52"/>
  <c r="Y224" i="52"/>
  <c r="Y221" i="52"/>
  <c r="AD221" i="52"/>
  <c r="AD222" i="52"/>
  <c r="AD223" i="52"/>
  <c r="AD224" i="52"/>
  <c r="AD220" i="52"/>
  <c r="AC224" i="52"/>
  <c r="AC221" i="52"/>
  <c r="AC220" i="52"/>
  <c r="AC223" i="52"/>
  <c r="AC222" i="52"/>
  <c r="AB222" i="52"/>
  <c r="AB224" i="52"/>
  <c r="AB220" i="52"/>
  <c r="AB221" i="52"/>
  <c r="AB223" i="52"/>
  <c r="Z222" i="52"/>
  <c r="Z223" i="52"/>
  <c r="Z221" i="52"/>
  <c r="Z224" i="52"/>
  <c r="Z220" i="52"/>
  <c r="AA224" i="52"/>
  <c r="AA221" i="52"/>
  <c r="AA223" i="52"/>
  <c r="AA220" i="52"/>
  <c r="AA222" i="52"/>
  <c r="X222" i="52"/>
  <c r="X223" i="52"/>
  <c r="X220" i="52"/>
  <c r="X221" i="52"/>
  <c r="X224" i="52"/>
  <c r="N272" i="52"/>
  <c r="L1531" i="79"/>
  <c r="X655" i="59" s="1"/>
  <c r="G1531" i="79"/>
  <c r="S655" i="59" s="1"/>
  <c r="I1531" i="79"/>
  <c r="U655" i="59" s="1"/>
  <c r="M2999" i="79"/>
  <c r="M2996" i="79" s="1"/>
  <c r="M2993" i="79" s="1"/>
  <c r="H1531" i="79"/>
  <c r="T655" i="59" s="1"/>
  <c r="K1531" i="79"/>
  <c r="W655" i="59" s="1"/>
  <c r="H272" i="52"/>
  <c r="J272" i="52"/>
  <c r="K272" i="52"/>
  <c r="R343" i="54"/>
  <c r="Y659" i="59"/>
  <c r="R333" i="54"/>
  <c r="Y649" i="59"/>
  <c r="I272" i="52"/>
  <c r="K341" i="54"/>
  <c r="S657" i="59" s="1"/>
  <c r="Q341" i="54"/>
  <c r="R341" i="54" s="1"/>
  <c r="S341" i="54" s="1"/>
  <c r="T341" i="54" s="1"/>
  <c r="U341" i="54" s="1"/>
  <c r="V341" i="54" s="1"/>
  <c r="L335" i="54"/>
  <c r="T651" i="59" s="1"/>
  <c r="O341" i="54"/>
  <c r="W657" i="59" s="1"/>
  <c r="M341" i="54"/>
  <c r="U657" i="59" s="1"/>
  <c r="K346" i="54"/>
  <c r="S662" i="59" s="1"/>
  <c r="L342" i="54"/>
  <c r="T658" i="59" s="1"/>
  <c r="N341" i="54"/>
  <c r="V657" i="59" s="1"/>
  <c r="N346" i="54"/>
  <c r="V662" i="59" s="1"/>
  <c r="P346" i="54"/>
  <c r="X662" i="59" s="1"/>
  <c r="M346" i="54"/>
  <c r="U662" i="59" s="1"/>
  <c r="Q346" i="54"/>
  <c r="R346" i="54" s="1"/>
  <c r="S346" i="54" s="1"/>
  <c r="T346" i="54" s="1"/>
  <c r="U346" i="54" s="1"/>
  <c r="V346" i="54" s="1"/>
  <c r="O335" i="54"/>
  <c r="W651" i="59" s="1"/>
  <c r="N335" i="54"/>
  <c r="V651" i="59" s="1"/>
  <c r="M335" i="54"/>
  <c r="U651" i="59" s="1"/>
  <c r="N342" i="54"/>
  <c r="V658" i="59" s="1"/>
  <c r="K335" i="54"/>
  <c r="S651" i="59" s="1"/>
  <c r="M342" i="54"/>
  <c r="U658" i="59" s="1"/>
  <c r="L346" i="54"/>
  <c r="T662" i="59" s="1"/>
  <c r="P341" i="54"/>
  <c r="X657" i="59" s="1"/>
  <c r="K342" i="54"/>
  <c r="S658" i="59" s="1"/>
  <c r="Q342" i="54"/>
  <c r="R342" i="54" s="1"/>
  <c r="S342" i="54" s="1"/>
  <c r="T342" i="54" s="1"/>
  <c r="U342" i="54" s="1"/>
  <c r="V342" i="54" s="1"/>
  <c r="O342" i="54"/>
  <c r="W658" i="59" s="1"/>
  <c r="P335" i="54"/>
  <c r="X651" i="59" s="1"/>
  <c r="P342" i="54"/>
  <c r="X658" i="59" s="1"/>
  <c r="Q335" i="54"/>
  <c r="R335" i="54" s="1"/>
  <c r="S335" i="54" s="1"/>
  <c r="T335" i="54" s="1"/>
  <c r="U335" i="54" s="1"/>
  <c r="V335" i="54" s="1"/>
  <c r="L341" i="54"/>
  <c r="T657" i="59" s="1"/>
  <c r="O346" i="54"/>
  <c r="W662" i="59" s="1"/>
  <c r="W661" i="59"/>
  <c r="U661" i="59"/>
  <c r="X661" i="59"/>
  <c r="V661" i="59"/>
  <c r="T661" i="59"/>
  <c r="S661" i="59"/>
  <c r="BJ41" i="52"/>
  <c r="BH63" i="52"/>
  <c r="K256" i="52"/>
  <c r="L256" i="52"/>
  <c r="X732" i="59"/>
  <c r="W732" i="59"/>
  <c r="V711" i="59"/>
  <c r="U690" i="59"/>
  <c r="S690" i="59"/>
  <c r="T690" i="59"/>
  <c r="W652" i="59"/>
  <c r="S652" i="59"/>
  <c r="W711" i="59"/>
  <c r="U711" i="59"/>
  <c r="T732" i="59"/>
  <c r="U732" i="59"/>
  <c r="V732" i="59"/>
  <c r="S711" i="59"/>
  <c r="U652" i="59"/>
  <c r="Y652" i="59"/>
  <c r="V652" i="59"/>
  <c r="X652" i="59"/>
  <c r="W690" i="59"/>
  <c r="X711" i="59"/>
  <c r="X690" i="59"/>
  <c r="T652" i="59"/>
  <c r="V737" i="59"/>
  <c r="S732" i="59"/>
  <c r="T711" i="59"/>
  <c r="V690" i="59"/>
  <c r="L3364" i="79"/>
  <c r="L3362" i="79" s="1"/>
  <c r="I3364" i="79"/>
  <c r="I3362" i="79" s="1"/>
  <c r="H3364" i="79"/>
  <c r="H3362" i="79" s="1"/>
  <c r="J3364" i="79"/>
  <c r="J3362" i="79" s="1"/>
  <c r="M3364" i="79"/>
  <c r="M3362" i="79" s="1"/>
  <c r="K3364" i="79"/>
  <c r="K3362" i="79" s="1"/>
  <c r="G3364" i="79"/>
  <c r="G3362" i="79" s="1"/>
  <c r="I3333" i="79"/>
  <c r="I3331" i="79" s="1"/>
  <c r="I3318" i="79" s="1"/>
  <c r="BV247" i="52" s="1"/>
  <c r="K3333" i="79"/>
  <c r="K3331" i="79" s="1"/>
  <c r="K3318" i="79" s="1"/>
  <c r="BX247" i="52" s="1"/>
  <c r="M3333" i="79"/>
  <c r="M3331" i="79" s="1"/>
  <c r="M3318" i="79" s="1"/>
  <c r="BZ247" i="52" s="1"/>
  <c r="J3333" i="79"/>
  <c r="J3331" i="79" s="1"/>
  <c r="J3318" i="79" s="1"/>
  <c r="BW247" i="52" s="1"/>
  <c r="L3333" i="79"/>
  <c r="L3331" i="79" s="1"/>
  <c r="L3318" i="79" s="1"/>
  <c r="BY247" i="52" s="1"/>
  <c r="G3333" i="79"/>
  <c r="G3331" i="79" s="1"/>
  <c r="G3318" i="79" s="1"/>
  <c r="BT247" i="52" s="1"/>
  <c r="H3333" i="79"/>
  <c r="H3331" i="79" s="1"/>
  <c r="J3302" i="79"/>
  <c r="J3300" i="79" s="1"/>
  <c r="J3287" i="79" s="1"/>
  <c r="BW246" i="52" s="1"/>
  <c r="L3302" i="79"/>
  <c r="L3300" i="79" s="1"/>
  <c r="L3287" i="79" s="1"/>
  <c r="BY246" i="52" s="1"/>
  <c r="M3302" i="79"/>
  <c r="M3300" i="79" s="1"/>
  <c r="M3287" i="79" s="1"/>
  <c r="BZ246" i="52" s="1"/>
  <c r="H3302" i="79"/>
  <c r="H3300" i="79" s="1"/>
  <c r="H3287" i="79" s="1"/>
  <c r="BU246" i="52" s="1"/>
  <c r="G3302" i="79"/>
  <c r="G3300" i="79" s="1"/>
  <c r="G3287" i="79" s="1"/>
  <c r="BT246" i="52" s="1"/>
  <c r="K3302" i="79"/>
  <c r="K3300" i="79" s="1"/>
  <c r="K3287" i="79" s="1"/>
  <c r="BX246" i="52" s="1"/>
  <c r="I3302" i="79"/>
  <c r="I3300" i="79" s="1"/>
  <c r="I3287" i="79" s="1"/>
  <c r="BV246" i="52" s="1"/>
  <c r="J3271" i="79"/>
  <c r="J3269" i="79" s="1"/>
  <c r="J3256" i="79" s="1"/>
  <c r="BW245" i="52" s="1"/>
  <c r="L3271" i="79"/>
  <c r="L3269" i="79" s="1"/>
  <c r="L3256" i="79" s="1"/>
  <c r="BY245" i="52" s="1"/>
  <c r="K3271" i="79"/>
  <c r="K3269" i="79" s="1"/>
  <c r="K3256" i="79" s="1"/>
  <c r="BX245" i="52" s="1"/>
  <c r="M3271" i="79"/>
  <c r="M3269" i="79" s="1"/>
  <c r="M3256" i="79" s="1"/>
  <c r="BZ245" i="52" s="1"/>
  <c r="I3271" i="79"/>
  <c r="I3269" i="79" s="1"/>
  <c r="I3256" i="79" s="1"/>
  <c r="BV245" i="52" s="1"/>
  <c r="L3240" i="79"/>
  <c r="L3238" i="79" s="1"/>
  <c r="I3240" i="79"/>
  <c r="I3238" i="79" s="1"/>
  <c r="J3240" i="79"/>
  <c r="J3238" i="79" s="1"/>
  <c r="K3240" i="79"/>
  <c r="K3238" i="79" s="1"/>
  <c r="M3240" i="79"/>
  <c r="M3238" i="79" s="1"/>
  <c r="J2976" i="79"/>
  <c r="J2974" i="79" s="1"/>
  <c r="J2962" i="79" s="1"/>
  <c r="BW242" i="52" s="1"/>
  <c r="H2976" i="79"/>
  <c r="H2974" i="79" s="1"/>
  <c r="H2962" i="79" s="1"/>
  <c r="BU242" i="52" s="1"/>
  <c r="I2976" i="79"/>
  <c r="I2974" i="79" s="1"/>
  <c r="I2962" i="79" s="1"/>
  <c r="BV242" i="52" s="1"/>
  <c r="L2976" i="79"/>
  <c r="L2974" i="79" s="1"/>
  <c r="L2962" i="79" s="1"/>
  <c r="BY242" i="52" s="1"/>
  <c r="M2976" i="79"/>
  <c r="M2974" i="79" s="1"/>
  <c r="M2962" i="79" s="1"/>
  <c r="BZ242" i="52" s="1"/>
  <c r="G2976" i="79"/>
  <c r="G2974" i="79" s="1"/>
  <c r="G2962" i="79" s="1"/>
  <c r="BT242" i="52" s="1"/>
  <c r="K2976" i="79"/>
  <c r="K2974" i="79" s="1"/>
  <c r="K2962" i="79" s="1"/>
  <c r="BX242" i="52" s="1"/>
  <c r="M2941" i="79"/>
  <c r="M2939" i="79" s="1"/>
  <c r="M2927" i="79" s="1"/>
  <c r="BZ241" i="52" s="1"/>
  <c r="I2941" i="79"/>
  <c r="I2939" i="79" s="1"/>
  <c r="I2927" i="79" s="1"/>
  <c r="BV241" i="52" s="1"/>
  <c r="G2941" i="79"/>
  <c r="G2939" i="79" s="1"/>
  <c r="G2927" i="79" s="1"/>
  <c r="BT241" i="52" s="1"/>
  <c r="K2906" i="79"/>
  <c r="K2904" i="79" s="1"/>
  <c r="K2892" i="79" s="1"/>
  <c r="BX240" i="52" s="1"/>
  <c r="K2941" i="79"/>
  <c r="K2939" i="79" s="1"/>
  <c r="K2927" i="79" s="1"/>
  <c r="BX241" i="52" s="1"/>
  <c r="H2941" i="79"/>
  <c r="H2939" i="79" s="1"/>
  <c r="H2927" i="79" s="1"/>
  <c r="BU241" i="52" s="1"/>
  <c r="L2941" i="79"/>
  <c r="L2939" i="79" s="1"/>
  <c r="L2927" i="79" s="1"/>
  <c r="BY241" i="52" s="1"/>
  <c r="J2941" i="79"/>
  <c r="J2939" i="79" s="1"/>
  <c r="J2927" i="79" s="1"/>
  <c r="BW241" i="52" s="1"/>
  <c r="M2906" i="79"/>
  <c r="M2904" i="79" s="1"/>
  <c r="M2892" i="79" s="1"/>
  <c r="BZ240" i="52" s="1"/>
  <c r="J2906" i="79"/>
  <c r="J2904" i="79" s="1"/>
  <c r="J2892" i="79" s="1"/>
  <c r="BW240" i="52" s="1"/>
  <c r="I2906" i="79"/>
  <c r="I2904" i="79" s="1"/>
  <c r="I2892" i="79" s="1"/>
  <c r="BV240" i="52" s="1"/>
  <c r="L2906" i="79"/>
  <c r="L2904" i="79" s="1"/>
  <c r="L2892" i="79" s="1"/>
  <c r="BY240" i="52" s="1"/>
  <c r="G2906" i="79"/>
  <c r="G2904" i="79" s="1"/>
  <c r="G2892" i="79" s="1"/>
  <c r="BT240" i="52" s="1"/>
  <c r="H2906" i="79"/>
  <c r="H2904" i="79" s="1"/>
  <c r="H2892" i="79" s="1"/>
  <c r="BU240" i="52" s="1"/>
  <c r="M2871" i="79"/>
  <c r="M2869" i="79" s="1"/>
  <c r="M2857" i="79" s="1"/>
  <c r="BZ239" i="52" s="1"/>
  <c r="J2871" i="79"/>
  <c r="J2869" i="79" s="1"/>
  <c r="J2857" i="79" s="1"/>
  <c r="BW239" i="52" s="1"/>
  <c r="I2871" i="79"/>
  <c r="I2869" i="79" s="1"/>
  <c r="I2857" i="79" s="1"/>
  <c r="BV239" i="52" s="1"/>
  <c r="G2871" i="79"/>
  <c r="G2869" i="79" s="1"/>
  <c r="G2857" i="79" s="1"/>
  <c r="BT239" i="52" s="1"/>
  <c r="G2836" i="79"/>
  <c r="G2834" i="79" s="1"/>
  <c r="G2822" i="79" s="1"/>
  <c r="BT238" i="52" s="1"/>
  <c r="K2836" i="79"/>
  <c r="K2834" i="79" s="1"/>
  <c r="K2822" i="79" s="1"/>
  <c r="BX238" i="52" s="1"/>
  <c r="K2871" i="79"/>
  <c r="K2869" i="79" s="1"/>
  <c r="K2857" i="79" s="1"/>
  <c r="BX239" i="52" s="1"/>
  <c r="L2871" i="79"/>
  <c r="L2869" i="79" s="1"/>
  <c r="L2857" i="79" s="1"/>
  <c r="BY239" i="52" s="1"/>
  <c r="L2836" i="79"/>
  <c r="L2834" i="79" s="1"/>
  <c r="L2822" i="79" s="1"/>
  <c r="BY238" i="52" s="1"/>
  <c r="J2836" i="79"/>
  <c r="J2834" i="79" s="1"/>
  <c r="J2822" i="79" s="1"/>
  <c r="BW238" i="52" s="1"/>
  <c r="M2836" i="79"/>
  <c r="M2834" i="79" s="1"/>
  <c r="M2822" i="79" s="1"/>
  <c r="BZ238" i="52" s="1"/>
  <c r="I2836" i="79"/>
  <c r="I2834" i="79" s="1"/>
  <c r="I2822" i="79" s="1"/>
  <c r="BV238" i="52" s="1"/>
  <c r="H2836" i="79"/>
  <c r="H2834" i="79" s="1"/>
  <c r="H2822" i="79" s="1"/>
  <c r="BU238" i="52" s="1"/>
  <c r="W737" i="59"/>
  <c r="V25" i="52"/>
  <c r="P25" i="52"/>
  <c r="R25" i="52"/>
  <c r="T25" i="52"/>
  <c r="U25" i="52"/>
  <c r="Q25" i="52"/>
  <c r="S25" i="52"/>
  <c r="U716" i="59"/>
  <c r="K265" i="52"/>
  <c r="M266" i="52"/>
  <c r="W716" i="59"/>
  <c r="T737" i="59"/>
  <c r="W695" i="59"/>
  <c r="R114" i="52"/>
  <c r="M460" i="54" s="1"/>
  <c r="Q114" i="52"/>
  <c r="L460" i="54" s="1"/>
  <c r="P114" i="52"/>
  <c r="K460" i="54" s="1"/>
  <c r="U114" i="52"/>
  <c r="P460" i="54" s="1"/>
  <c r="S114" i="52"/>
  <c r="N460" i="54" s="1"/>
  <c r="T114" i="52"/>
  <c r="O460" i="54" s="1"/>
  <c r="V114" i="52"/>
  <c r="Q460" i="54" s="1"/>
  <c r="R460" i="54" s="1"/>
  <c r="S460" i="54" s="1"/>
  <c r="T460" i="54" s="1"/>
  <c r="U460" i="54" s="1"/>
  <c r="V460" i="54" s="1"/>
  <c r="T92" i="52"/>
  <c r="O439" i="54" s="1"/>
  <c r="V92" i="52"/>
  <c r="Q439" i="54" s="1"/>
  <c r="R439" i="54" s="1"/>
  <c r="S439" i="54" s="1"/>
  <c r="T439" i="54" s="1"/>
  <c r="U439" i="54" s="1"/>
  <c r="V439" i="54" s="1"/>
  <c r="R92" i="52"/>
  <c r="M439" i="54" s="1"/>
  <c r="P92" i="52"/>
  <c r="K439" i="54" s="1"/>
  <c r="Q92" i="52"/>
  <c r="L439" i="54" s="1"/>
  <c r="U92" i="52"/>
  <c r="P439" i="54" s="1"/>
  <c r="S92" i="52"/>
  <c r="N439" i="54" s="1"/>
  <c r="P70" i="52"/>
  <c r="K418" i="54" s="1"/>
  <c r="V70" i="52"/>
  <c r="Q418" i="54" s="1"/>
  <c r="R418" i="54" s="1"/>
  <c r="S418" i="54" s="1"/>
  <c r="T418" i="54" s="1"/>
  <c r="U418" i="54" s="1"/>
  <c r="V418" i="54" s="1"/>
  <c r="Q70" i="52"/>
  <c r="L418" i="54" s="1"/>
  <c r="R70" i="52"/>
  <c r="M418" i="54" s="1"/>
  <c r="U70" i="52"/>
  <c r="P418" i="54" s="1"/>
  <c r="T70" i="52"/>
  <c r="O418" i="54" s="1"/>
  <c r="S70" i="52"/>
  <c r="N418" i="54" s="1"/>
  <c r="S26" i="52"/>
  <c r="S48" i="52"/>
  <c r="N397" i="54" s="1"/>
  <c r="P26" i="52"/>
  <c r="P48" i="52"/>
  <c r="K397" i="54" s="1"/>
  <c r="U26" i="52"/>
  <c r="U48" i="52"/>
  <c r="P397" i="54" s="1"/>
  <c r="R26" i="52"/>
  <c r="R48" i="52"/>
  <c r="M397" i="54" s="1"/>
  <c r="V26" i="52"/>
  <c r="V48" i="52"/>
  <c r="Q397" i="54" s="1"/>
  <c r="R397" i="54" s="1"/>
  <c r="S397" i="54" s="1"/>
  <c r="T397" i="54" s="1"/>
  <c r="U397" i="54" s="1"/>
  <c r="V397" i="54" s="1"/>
  <c r="T26" i="52"/>
  <c r="T48" i="52"/>
  <c r="O397" i="54" s="1"/>
  <c r="Q26" i="52"/>
  <c r="Q48" i="52"/>
  <c r="L397" i="54" s="1"/>
  <c r="S737" i="59"/>
  <c r="G3403" i="79"/>
  <c r="G3404" i="79"/>
  <c r="G3406" i="79"/>
  <c r="G3405" i="79"/>
  <c r="X695" i="59"/>
  <c r="K3023" i="79"/>
  <c r="I3024" i="79"/>
  <c r="J3026" i="79"/>
  <c r="G3023" i="79"/>
  <c r="K3026" i="79"/>
  <c r="G3026" i="79"/>
  <c r="H3026" i="79"/>
  <c r="L3024" i="79"/>
  <c r="H3025" i="79"/>
  <c r="H3024" i="79"/>
  <c r="L3025" i="79"/>
  <c r="L3023" i="79"/>
  <c r="G3022" i="79"/>
  <c r="H3023" i="79"/>
  <c r="G3025" i="79"/>
  <c r="G3024" i="79"/>
  <c r="H3022" i="79"/>
  <c r="J3025" i="79"/>
  <c r="M3024" i="79"/>
  <c r="K3024" i="79"/>
  <c r="L3026" i="79"/>
  <c r="M3026" i="79"/>
  <c r="L3022" i="79"/>
  <c r="I3025" i="79"/>
  <c r="K3025" i="79"/>
  <c r="M3022" i="79"/>
  <c r="I3026" i="79"/>
  <c r="M3025" i="79"/>
  <c r="I3023" i="79"/>
  <c r="I3022" i="79"/>
  <c r="J3024" i="79"/>
  <c r="M3023" i="79"/>
  <c r="J3023" i="79"/>
  <c r="V695" i="59"/>
  <c r="U695" i="59"/>
  <c r="S716" i="59"/>
  <c r="V716" i="59"/>
  <c r="W654" i="59"/>
  <c r="Y695" i="59"/>
  <c r="T695" i="59"/>
  <c r="Y728" i="59"/>
  <c r="U654" i="59"/>
  <c r="X663" i="59"/>
  <c r="W663" i="59"/>
  <c r="T663" i="59"/>
  <c r="W728" i="59"/>
  <c r="U728" i="59"/>
  <c r="S695" i="59"/>
  <c r="X716" i="59"/>
  <c r="W656" i="59"/>
  <c r="S656" i="59"/>
  <c r="S654" i="59"/>
  <c r="T656" i="59"/>
  <c r="T654" i="59"/>
  <c r="Y654" i="59"/>
  <c r="V663" i="59"/>
  <c r="T716" i="59"/>
  <c r="S728" i="59"/>
  <c r="X728" i="59"/>
  <c r="X656" i="59"/>
  <c r="S663" i="59"/>
  <c r="U737" i="59"/>
  <c r="X737" i="59"/>
  <c r="V654" i="59"/>
  <c r="T728" i="59"/>
  <c r="V728" i="59"/>
  <c r="U656" i="59"/>
  <c r="V656" i="59"/>
  <c r="U663" i="59"/>
  <c r="X654" i="59"/>
  <c r="Y656" i="59"/>
  <c r="Y737" i="59"/>
  <c r="V653" i="59"/>
  <c r="V655" i="59"/>
  <c r="H154" i="52"/>
  <c r="K85" i="52"/>
  <c r="N195" i="54" s="1"/>
  <c r="L229" i="37"/>
  <c r="L242" i="37" s="1"/>
  <c r="L263" i="37" s="1"/>
  <c r="N302" i="54" s="1"/>
  <c r="L41" i="52"/>
  <c r="O153" i="54" s="1"/>
  <c r="M228" i="37"/>
  <c r="M241" i="37" s="1"/>
  <c r="M262" i="37" s="1"/>
  <c r="O260" i="54" s="1"/>
  <c r="N41" i="52"/>
  <c r="Q153" i="54" s="1"/>
  <c r="R153" i="54" s="1"/>
  <c r="S153" i="54" s="1"/>
  <c r="T153" i="54" s="1"/>
  <c r="U153" i="54" s="1"/>
  <c r="V153" i="54" s="1"/>
  <c r="O228" i="37"/>
  <c r="K41" i="52"/>
  <c r="N153" i="54" s="1"/>
  <c r="L228" i="37"/>
  <c r="L241" i="37" s="1"/>
  <c r="L262" i="37" s="1"/>
  <c r="N260" i="54" s="1"/>
  <c r="I85" i="52"/>
  <c r="L195" i="54" s="1"/>
  <c r="J229" i="37"/>
  <c r="J242" i="37" s="1"/>
  <c r="J263" i="37" s="1"/>
  <c r="L302" i="54" s="1"/>
  <c r="H85" i="52"/>
  <c r="K195" i="54" s="1"/>
  <c r="I229" i="37"/>
  <c r="I242" i="37" s="1"/>
  <c r="I263" i="37" s="1"/>
  <c r="K302" i="54" s="1"/>
  <c r="M19" i="52"/>
  <c r="N226" i="37"/>
  <c r="N239" i="37" s="1"/>
  <c r="N260" i="37" s="1"/>
  <c r="P239" i="54" s="1"/>
  <c r="M41" i="52"/>
  <c r="N228" i="37"/>
  <c r="N241" i="37" s="1"/>
  <c r="N262" i="37" s="1"/>
  <c r="P260" i="54" s="1"/>
  <c r="M63" i="52"/>
  <c r="N227" i="37"/>
  <c r="N240" i="37" s="1"/>
  <c r="N261" i="37" s="1"/>
  <c r="P281" i="54" s="1"/>
  <c r="N107" i="52"/>
  <c r="Q216" i="54" s="1"/>
  <c r="R216" i="54" s="1"/>
  <c r="S216" i="54" s="1"/>
  <c r="T216" i="54" s="1"/>
  <c r="U216" i="54" s="1"/>
  <c r="V216" i="54" s="1"/>
  <c r="O230" i="37"/>
  <c r="M107" i="52"/>
  <c r="P216" i="54" s="1"/>
  <c r="N230" i="37"/>
  <c r="N243" i="37" s="1"/>
  <c r="N264" i="37" s="1"/>
  <c r="P323" i="54" s="1"/>
  <c r="H41" i="52"/>
  <c r="I228" i="37"/>
  <c r="I241" i="37" s="1"/>
  <c r="I262" i="37" s="1"/>
  <c r="K260" i="54" s="1"/>
  <c r="I63" i="52"/>
  <c r="L174" i="54" s="1"/>
  <c r="J227" i="37"/>
  <c r="J240" i="37" s="1"/>
  <c r="J261" i="37" s="1"/>
  <c r="L281" i="54" s="1"/>
  <c r="L107" i="52"/>
  <c r="O216" i="54" s="1"/>
  <c r="M230" i="37"/>
  <c r="M243" i="37" s="1"/>
  <c r="M264" i="37" s="1"/>
  <c r="O323" i="54" s="1"/>
  <c r="I107" i="52"/>
  <c r="L216" i="54" s="1"/>
  <c r="J230" i="37"/>
  <c r="J243" i="37" s="1"/>
  <c r="J264" i="37" s="1"/>
  <c r="L323" i="54" s="1"/>
  <c r="J85" i="52"/>
  <c r="M195" i="54" s="1"/>
  <c r="K229" i="37"/>
  <c r="K242" i="37" s="1"/>
  <c r="K263" i="37" s="1"/>
  <c r="M302" i="54" s="1"/>
  <c r="H63" i="52"/>
  <c r="I227" i="37"/>
  <c r="I240" i="37" s="1"/>
  <c r="I261" i="37" s="1"/>
  <c r="K281" i="54" s="1"/>
  <c r="K19" i="52"/>
  <c r="L226" i="37"/>
  <c r="L239" i="37" s="1"/>
  <c r="L260" i="37" s="1"/>
  <c r="N239" i="54" s="1"/>
  <c r="N63" i="52"/>
  <c r="Q174" i="54" s="1"/>
  <c r="R174" i="54" s="1"/>
  <c r="S174" i="54" s="1"/>
  <c r="T174" i="54" s="1"/>
  <c r="U174" i="54" s="1"/>
  <c r="V174" i="54" s="1"/>
  <c r="O227" i="37"/>
  <c r="L63" i="52"/>
  <c r="O174" i="54" s="1"/>
  <c r="M227" i="37"/>
  <c r="M240" i="37" s="1"/>
  <c r="M261" i="37" s="1"/>
  <c r="O281" i="54" s="1"/>
  <c r="L85" i="52"/>
  <c r="O195" i="54" s="1"/>
  <c r="M229" i="37"/>
  <c r="M242" i="37" s="1"/>
  <c r="M263" i="37" s="1"/>
  <c r="O302" i="54" s="1"/>
  <c r="J63" i="52"/>
  <c r="M174" i="54" s="1"/>
  <c r="K227" i="37"/>
  <c r="K240" i="37" s="1"/>
  <c r="K261" i="37" s="1"/>
  <c r="M281" i="54" s="1"/>
  <c r="I41" i="52"/>
  <c r="L153" i="54" s="1"/>
  <c r="J228" i="37"/>
  <c r="J241" i="37" s="1"/>
  <c r="J262" i="37" s="1"/>
  <c r="L260" i="54" s="1"/>
  <c r="J107" i="52"/>
  <c r="M216" i="54" s="1"/>
  <c r="K230" i="37"/>
  <c r="K243" i="37" s="1"/>
  <c r="K264" i="37" s="1"/>
  <c r="M323" i="54" s="1"/>
  <c r="K63" i="52"/>
  <c r="N174" i="54" s="1"/>
  <c r="L227" i="37"/>
  <c r="L240" i="37" s="1"/>
  <c r="L261" i="37" s="1"/>
  <c r="N281" i="54" s="1"/>
  <c r="J19" i="52"/>
  <c r="K226" i="37"/>
  <c r="K239" i="37" s="1"/>
  <c r="K260" i="37" s="1"/>
  <c r="M239" i="54" s="1"/>
  <c r="N19" i="52"/>
  <c r="O226" i="37"/>
  <c r="K107" i="52"/>
  <c r="N216" i="54" s="1"/>
  <c r="L230" i="37"/>
  <c r="L243" i="37" s="1"/>
  <c r="L264" i="37" s="1"/>
  <c r="N323" i="54" s="1"/>
  <c r="J41" i="52"/>
  <c r="M153" i="54" s="1"/>
  <c r="K228" i="37"/>
  <c r="K241" i="37" s="1"/>
  <c r="K262" i="37" s="1"/>
  <c r="M260" i="54" s="1"/>
  <c r="L19" i="52"/>
  <c r="M226" i="37"/>
  <c r="M239" i="37" s="1"/>
  <c r="M260" i="37" s="1"/>
  <c r="O239" i="54" s="1"/>
  <c r="N85" i="52"/>
  <c r="Q195" i="54" s="1"/>
  <c r="R195" i="54" s="1"/>
  <c r="S195" i="54" s="1"/>
  <c r="T195" i="54" s="1"/>
  <c r="U195" i="54" s="1"/>
  <c r="V195" i="54" s="1"/>
  <c r="O229" i="37"/>
  <c r="M85" i="52"/>
  <c r="P195" i="54" s="1"/>
  <c r="N229" i="37"/>
  <c r="N242" i="37" s="1"/>
  <c r="N263" i="37" s="1"/>
  <c r="P302" i="54" s="1"/>
  <c r="I19" i="52"/>
  <c r="J226" i="37"/>
  <c r="J239" i="37" s="1"/>
  <c r="J260" i="37" s="1"/>
  <c r="L239" i="54" s="1"/>
  <c r="H107" i="52"/>
  <c r="K216" i="54" s="1"/>
  <c r="I230" i="37"/>
  <c r="I243" i="37" s="1"/>
  <c r="I264" i="37" s="1"/>
  <c r="K323" i="54" s="1"/>
  <c r="U664" i="59"/>
  <c r="Y660" i="59"/>
  <c r="M1803" i="79"/>
  <c r="M1807" i="79"/>
  <c r="M1809" i="79"/>
  <c r="M1808" i="79"/>
  <c r="K2055" i="79"/>
  <c r="BH218" i="52" s="1"/>
  <c r="J2054" i="79"/>
  <c r="BG217" i="52" s="1"/>
  <c r="L2055" i="79"/>
  <c r="BI218" i="52" s="1"/>
  <c r="H2055" i="79"/>
  <c r="BE218" i="52" s="1"/>
  <c r="L2054" i="79"/>
  <c r="BI217" i="52" s="1"/>
  <c r="K2054" i="79"/>
  <c r="BH217" i="52" s="1"/>
  <c r="J2055" i="79"/>
  <c r="BG218" i="52" s="1"/>
  <c r="M2054" i="79"/>
  <c r="BJ217" i="52" s="1"/>
  <c r="I2055" i="79"/>
  <c r="BF218" i="52" s="1"/>
  <c r="M2055" i="79"/>
  <c r="BJ218" i="52" s="1"/>
  <c r="I2054" i="79"/>
  <c r="BF217" i="52" s="1"/>
  <c r="G2054" i="79"/>
  <c r="BD217" i="52" s="1"/>
  <c r="M2053" i="79"/>
  <c r="BJ216" i="52" s="1"/>
  <c r="H2054" i="79"/>
  <c r="BE217" i="52" s="1"/>
  <c r="G2055" i="79"/>
  <c r="BD218" i="52" s="1"/>
  <c r="V707" i="59"/>
  <c r="T749" i="59"/>
  <c r="V749" i="59"/>
  <c r="U749" i="59"/>
  <c r="U707" i="59"/>
  <c r="V750" i="59"/>
  <c r="W749" i="59"/>
  <c r="S749" i="59"/>
  <c r="S707" i="59"/>
  <c r="X707" i="59"/>
  <c r="X749" i="59"/>
  <c r="W707" i="59"/>
  <c r="T707" i="59"/>
  <c r="X660" i="59"/>
  <c r="T660" i="59"/>
  <c r="U660" i="59"/>
  <c r="S660" i="59"/>
  <c r="W660" i="59"/>
  <c r="V660" i="59"/>
  <c r="X653" i="59"/>
  <c r="U653" i="59"/>
  <c r="W653" i="59"/>
  <c r="T653" i="59"/>
  <c r="S653" i="59"/>
  <c r="H19" i="52"/>
  <c r="Y653" i="59"/>
  <c r="Z655" i="59"/>
  <c r="N19" i="91" l="1"/>
  <c r="Q20" i="91"/>
  <c r="N20" i="91"/>
  <c r="Q19" i="91"/>
  <c r="AD15" i="52"/>
  <c r="AT196" i="52"/>
  <c r="AO199" i="52"/>
  <c r="Y81" i="52"/>
  <c r="AO81" i="52" s="1"/>
  <c r="AR196" i="52"/>
  <c r="AB15" i="52"/>
  <c r="AQ199" i="52"/>
  <c r="AA81" i="52"/>
  <c r="AQ81" i="52" s="1"/>
  <c r="AT199" i="52"/>
  <c r="AD81" i="52"/>
  <c r="AT81" i="52" s="1"/>
  <c r="Y15" i="52"/>
  <c r="AO196" i="52"/>
  <c r="X59" i="52"/>
  <c r="AN59" i="52" s="1"/>
  <c r="AN198" i="52"/>
  <c r="AQ196" i="52"/>
  <c r="AA15" i="52"/>
  <c r="AC15" i="52"/>
  <c r="AS196" i="52"/>
  <c r="Y103" i="52"/>
  <c r="AO103" i="52" s="1"/>
  <c r="AO200" i="52"/>
  <c r="X37" i="52"/>
  <c r="AN37" i="52" s="1"/>
  <c r="AN197" i="52"/>
  <c r="AA37" i="52"/>
  <c r="AQ37" i="52" s="1"/>
  <c r="AQ197" i="52"/>
  <c r="AS197" i="52"/>
  <c r="AC37" i="52"/>
  <c r="AS37" i="52" s="1"/>
  <c r="Y59" i="52"/>
  <c r="AO59" i="52" s="1"/>
  <c r="AO198" i="52"/>
  <c r="AN200" i="52"/>
  <c r="X103" i="52"/>
  <c r="AN103" i="52" s="1"/>
  <c r="AP198" i="52"/>
  <c r="Z59" i="52"/>
  <c r="AP59" i="52" s="1"/>
  <c r="AS198" i="52"/>
  <c r="AC59" i="52"/>
  <c r="AS59" i="52" s="1"/>
  <c r="AR197" i="52"/>
  <c r="AB37" i="52"/>
  <c r="AR37" i="52" s="1"/>
  <c r="X15" i="52"/>
  <c r="AN196" i="52"/>
  <c r="AP199" i="52"/>
  <c r="Z81" i="52"/>
  <c r="AP81" i="52" s="1"/>
  <c r="AT197" i="52"/>
  <c r="AD37" i="52"/>
  <c r="AT37" i="52" s="1"/>
  <c r="AS200" i="52"/>
  <c r="AC103" i="52"/>
  <c r="AS103" i="52" s="1"/>
  <c r="AR200" i="52"/>
  <c r="AB103" i="52"/>
  <c r="AR103" i="52" s="1"/>
  <c r="AN199" i="52"/>
  <c r="X81" i="52"/>
  <c r="AN81" i="52" s="1"/>
  <c r="AP200" i="52"/>
  <c r="Z103" i="52"/>
  <c r="AP103" i="52" s="1"/>
  <c r="AT198" i="52"/>
  <c r="AD59" i="52"/>
  <c r="AT59" i="52" s="1"/>
  <c r="AS199" i="52"/>
  <c r="AC81" i="52"/>
  <c r="AS81" i="52" s="1"/>
  <c r="AR198" i="52"/>
  <c r="AB59" i="52"/>
  <c r="AR59" i="52" s="1"/>
  <c r="AQ200" i="52"/>
  <c r="AA103" i="52"/>
  <c r="AQ103" i="52" s="1"/>
  <c r="AP196" i="52"/>
  <c r="Z15" i="52"/>
  <c r="AD103" i="52"/>
  <c r="AT103" i="52" s="1"/>
  <c r="AT200" i="52"/>
  <c r="Y37" i="52"/>
  <c r="AO37" i="52" s="1"/>
  <c r="AO197" i="52"/>
  <c r="AR199" i="52"/>
  <c r="AB81" i="52"/>
  <c r="AR81" i="52" s="1"/>
  <c r="AQ198" i="52"/>
  <c r="AA59" i="52"/>
  <c r="AQ59" i="52" s="1"/>
  <c r="AP197" i="52"/>
  <c r="Z37" i="52"/>
  <c r="AP37" i="52" s="1"/>
  <c r="K153" i="54"/>
  <c r="P153" i="54"/>
  <c r="Q186" i="54"/>
  <c r="R186" i="54" s="1"/>
  <c r="S186" i="54" s="1"/>
  <c r="T186" i="54" s="1"/>
  <c r="U186" i="54" s="1"/>
  <c r="V186" i="54" s="1"/>
  <c r="Q144" i="54"/>
  <c r="R144" i="54" s="1"/>
  <c r="S144" i="54" s="1"/>
  <c r="T144" i="54" s="1"/>
  <c r="U144" i="54" s="1"/>
  <c r="V144" i="54" s="1"/>
  <c r="M157" i="54"/>
  <c r="P444" i="54"/>
  <c r="X753" i="59" s="1"/>
  <c r="X774" i="59" s="1"/>
  <c r="L183" i="54"/>
  <c r="M136" i="54"/>
  <c r="N136" i="54"/>
  <c r="L449" i="54"/>
  <c r="T758" i="59" s="1"/>
  <c r="T779" i="59" s="1"/>
  <c r="O178" i="54"/>
  <c r="L207" i="54"/>
  <c r="L165" i="54"/>
  <c r="L136" i="54"/>
  <c r="P461" i="54"/>
  <c r="X770" i="59" s="1"/>
  <c r="X791" i="59" s="1"/>
  <c r="N449" i="54"/>
  <c r="V758" i="59" s="1"/>
  <c r="V779" i="59" s="1"/>
  <c r="K186" i="54"/>
  <c r="L162" i="54"/>
  <c r="K162" i="54"/>
  <c r="K444" i="54"/>
  <c r="S753" i="59" s="1"/>
  <c r="S774" i="59" s="1"/>
  <c r="Q444" i="54"/>
  <c r="R444" i="54" s="1"/>
  <c r="S444" i="54" s="1"/>
  <c r="T444" i="54" s="1"/>
  <c r="U444" i="54" s="1"/>
  <c r="V444" i="54" s="1"/>
  <c r="M461" i="54"/>
  <c r="U770" i="59" s="1"/>
  <c r="K174" i="54"/>
  <c r="O136" i="54"/>
  <c r="N178" i="54"/>
  <c r="O157" i="54"/>
  <c r="L186" i="54"/>
  <c r="K461" i="54"/>
  <c r="S770" i="59" s="1"/>
  <c r="S791" i="59" s="1"/>
  <c r="O449" i="54"/>
  <c r="W758" i="59" s="1"/>
  <c r="W779" i="59" s="1"/>
  <c r="L444" i="54"/>
  <c r="T753" i="59" s="1"/>
  <c r="T774" i="59" s="1"/>
  <c r="N461" i="54"/>
  <c r="V770" i="59" s="1"/>
  <c r="Y674" i="59"/>
  <c r="R365" i="54"/>
  <c r="S365" i="54" s="1"/>
  <c r="T365" i="54" s="1"/>
  <c r="U365" i="54" s="1"/>
  <c r="V365" i="54" s="1"/>
  <c r="K165" i="54"/>
  <c r="M178" i="54"/>
  <c r="L144" i="54"/>
  <c r="M162" i="54"/>
  <c r="M183" i="54"/>
  <c r="N444" i="54"/>
  <c r="V753" i="59" s="1"/>
  <c r="V774" i="59" s="1"/>
  <c r="P449" i="54"/>
  <c r="X758" i="59" s="1"/>
  <c r="X779" i="59" s="1"/>
  <c r="P174" i="54"/>
  <c r="Q165" i="54"/>
  <c r="R165" i="54" s="1"/>
  <c r="S165" i="54" s="1"/>
  <c r="T165" i="54" s="1"/>
  <c r="U165" i="54" s="1"/>
  <c r="V165" i="54" s="1"/>
  <c r="K183" i="54"/>
  <c r="L141" i="54"/>
  <c r="L178" i="54"/>
  <c r="Q449" i="54"/>
  <c r="R449" i="54" s="1"/>
  <c r="S449" i="54" s="1"/>
  <c r="T449" i="54" s="1"/>
  <c r="U449" i="54" s="1"/>
  <c r="V449" i="54" s="1"/>
  <c r="M444" i="54"/>
  <c r="U753" i="59" s="1"/>
  <c r="U774" i="59" s="1"/>
  <c r="O444" i="54"/>
  <c r="W753" i="59" s="1"/>
  <c r="W774" i="59" s="1"/>
  <c r="O461" i="54"/>
  <c r="W770" i="59" s="1"/>
  <c r="W791" i="59" s="1"/>
  <c r="N157" i="54"/>
  <c r="K141" i="54"/>
  <c r="M141" i="54"/>
  <c r="L157" i="54"/>
  <c r="K144" i="54"/>
  <c r="L461" i="54"/>
  <c r="T770" i="59" s="1"/>
  <c r="M449" i="54"/>
  <c r="U758" i="59" s="1"/>
  <c r="U779" i="59" s="1"/>
  <c r="K449" i="54"/>
  <c r="S758" i="59" s="1"/>
  <c r="S779" i="59" s="1"/>
  <c r="AW129" i="52"/>
  <c r="AZ116" i="52"/>
  <c r="BB129" i="52"/>
  <c r="T125" i="52"/>
  <c r="AV129" i="52"/>
  <c r="AX117" i="52"/>
  <c r="U129" i="52"/>
  <c r="T133" i="52"/>
  <c r="R131" i="52"/>
  <c r="BA129" i="52"/>
  <c r="P133" i="52"/>
  <c r="AZ129" i="52"/>
  <c r="AY117" i="52"/>
  <c r="S129" i="52"/>
  <c r="R127" i="52"/>
  <c r="T129" i="52"/>
  <c r="U127" i="52"/>
  <c r="AY129" i="52"/>
  <c r="S134" i="52"/>
  <c r="V131" i="52"/>
  <c r="T131" i="52"/>
  <c r="AX129" i="52"/>
  <c r="L134" i="52"/>
  <c r="H127" i="52"/>
  <c r="H134" i="52"/>
  <c r="R125" i="52"/>
  <c r="S132" i="52"/>
  <c r="U125" i="52"/>
  <c r="V132" i="52"/>
  <c r="R129" i="52"/>
  <c r="P125" i="52"/>
  <c r="T132" i="52"/>
  <c r="L129" i="52"/>
  <c r="M375" i="54"/>
  <c r="R135" i="52"/>
  <c r="BW89" i="52"/>
  <c r="BW44" i="52"/>
  <c r="I127" i="52"/>
  <c r="V686" i="59"/>
  <c r="BZ45" i="52"/>
  <c r="BU67" i="52"/>
  <c r="BY88" i="52"/>
  <c r="Q376" i="54"/>
  <c r="R376" i="54" s="1"/>
  <c r="S376" i="54" s="1"/>
  <c r="T376" i="54" s="1"/>
  <c r="U376" i="54" s="1"/>
  <c r="V376" i="54" s="1"/>
  <c r="V136" i="52"/>
  <c r="N376" i="54"/>
  <c r="V685" i="59" s="1"/>
  <c r="S136" i="52"/>
  <c r="Q375" i="54"/>
  <c r="R375" i="54" s="1"/>
  <c r="S375" i="54" s="1"/>
  <c r="T375" i="54" s="1"/>
  <c r="U375" i="54" s="1"/>
  <c r="V375" i="54" s="1"/>
  <c r="V135" i="52"/>
  <c r="BX45" i="52"/>
  <c r="BT67" i="52"/>
  <c r="BX89" i="52"/>
  <c r="BY111" i="52"/>
  <c r="BT66" i="52"/>
  <c r="BW88" i="52"/>
  <c r="M127" i="52"/>
  <c r="AV116" i="52"/>
  <c r="AZ117" i="52"/>
  <c r="K127" i="52"/>
  <c r="AY116" i="52"/>
  <c r="BA116" i="52"/>
  <c r="U132" i="52"/>
  <c r="V134" i="52"/>
  <c r="R132" i="52"/>
  <c r="Q132" i="52"/>
  <c r="Q131" i="52"/>
  <c r="L375" i="54"/>
  <c r="Q135" i="52"/>
  <c r="BZ111" i="52"/>
  <c r="P375" i="54"/>
  <c r="U135" i="52"/>
  <c r="BX23" i="52"/>
  <c r="BY67" i="52"/>
  <c r="BX67" i="52"/>
  <c r="BV111" i="52"/>
  <c r="BV44" i="52"/>
  <c r="BU66" i="52"/>
  <c r="BZ88" i="52"/>
  <c r="AW117" i="52"/>
  <c r="P131" i="52"/>
  <c r="P127" i="52"/>
  <c r="Q125" i="52"/>
  <c r="S127" i="52"/>
  <c r="T127" i="52"/>
  <c r="R134" i="52"/>
  <c r="Q133" i="52"/>
  <c r="R133" i="52"/>
  <c r="K129" i="52"/>
  <c r="BW23" i="52"/>
  <c r="J127" i="52"/>
  <c r="T686" i="59"/>
  <c r="K376" i="54"/>
  <c r="S685" i="59" s="1"/>
  <c r="P136" i="52"/>
  <c r="BT88" i="52"/>
  <c r="N129" i="52"/>
  <c r="BU89" i="52"/>
  <c r="BX66" i="52"/>
  <c r="M376" i="54"/>
  <c r="U685" i="59" s="1"/>
  <c r="R136" i="52"/>
  <c r="O375" i="54"/>
  <c r="T135" i="52"/>
  <c r="BU23" i="52"/>
  <c r="BT23" i="52"/>
  <c r="BV67" i="52"/>
  <c r="BT89" i="52"/>
  <c r="BU111" i="52"/>
  <c r="BZ44" i="52"/>
  <c r="BZ66" i="52"/>
  <c r="BX88" i="52"/>
  <c r="AZ118" i="52"/>
  <c r="I134" i="52"/>
  <c r="BB116" i="52"/>
  <c r="BB117" i="52"/>
  <c r="V127" i="52"/>
  <c r="S125" i="52"/>
  <c r="T134" i="52"/>
  <c r="V133" i="52"/>
  <c r="O376" i="54"/>
  <c r="W685" i="59" s="1"/>
  <c r="T136" i="52"/>
  <c r="BY89" i="52"/>
  <c r="BV66" i="52"/>
  <c r="BB118" i="52"/>
  <c r="BA118" i="52"/>
  <c r="K375" i="54"/>
  <c r="P135" i="52"/>
  <c r="M129" i="52"/>
  <c r="H129" i="52"/>
  <c r="I129" i="52"/>
  <c r="BV23" i="52"/>
  <c r="BT45" i="52"/>
  <c r="BW67" i="52"/>
  <c r="BV89" i="52"/>
  <c r="BW111" i="52"/>
  <c r="BX44" i="52"/>
  <c r="BY66" i="52"/>
  <c r="BV88" i="52"/>
  <c r="J134" i="52"/>
  <c r="AX116" i="52"/>
  <c r="BA117" i="52"/>
  <c r="M134" i="52"/>
  <c r="S131" i="52"/>
  <c r="Q129" i="52"/>
  <c r="U131" i="52"/>
  <c r="P132" i="52"/>
  <c r="S133" i="52"/>
  <c r="V125" i="52"/>
  <c r="P134" i="52"/>
  <c r="P129" i="52"/>
  <c r="Q134" i="52"/>
  <c r="J129" i="52"/>
  <c r="BW45" i="52"/>
  <c r="BX111" i="52"/>
  <c r="AY118" i="52"/>
  <c r="AW116" i="52"/>
  <c r="BY23" i="52"/>
  <c r="BT111" i="52"/>
  <c r="AW118" i="52"/>
  <c r="BY45" i="52"/>
  <c r="U686" i="59"/>
  <c r="L376" i="54"/>
  <c r="T685" i="59" s="1"/>
  <c r="Q136" i="52"/>
  <c r="P376" i="54"/>
  <c r="X685" i="59" s="1"/>
  <c r="U136" i="52"/>
  <c r="N375" i="54"/>
  <c r="S135" i="52"/>
  <c r="BZ23" i="52"/>
  <c r="BV45" i="52"/>
  <c r="BZ67" i="52"/>
  <c r="BZ89" i="52"/>
  <c r="BY44" i="52"/>
  <c r="BW66" i="52"/>
  <c r="AX118" i="52"/>
  <c r="N127" i="52"/>
  <c r="L127" i="52"/>
  <c r="K134" i="52"/>
  <c r="AV117" i="52"/>
  <c r="N134" i="52"/>
  <c r="U133" i="52"/>
  <c r="Q127" i="52"/>
  <c r="U134" i="52"/>
  <c r="V129" i="52"/>
  <c r="P115" i="54"/>
  <c r="Q115" i="54"/>
  <c r="R115" i="54" s="1"/>
  <c r="S115" i="54" s="1"/>
  <c r="O115" i="54"/>
  <c r="N123" i="54"/>
  <c r="K123" i="54"/>
  <c r="K132" i="54"/>
  <c r="K115" i="54"/>
  <c r="L123" i="54"/>
  <c r="O132" i="54"/>
  <c r="M132" i="54"/>
  <c r="N132" i="54"/>
  <c r="K25" i="52"/>
  <c r="N115" i="54"/>
  <c r="P132" i="54"/>
  <c r="M114" i="52"/>
  <c r="L132" i="54"/>
  <c r="K92" i="52"/>
  <c r="H8" i="52"/>
  <c r="Q123" i="54"/>
  <c r="R123" i="54" s="1"/>
  <c r="S123" i="54" s="1"/>
  <c r="Q132" i="54"/>
  <c r="R132" i="54" s="1"/>
  <c r="M115" i="54"/>
  <c r="L115" i="54"/>
  <c r="L25" i="52"/>
  <c r="O123" i="54"/>
  <c r="M123" i="54"/>
  <c r="P123" i="54"/>
  <c r="AN223" i="52"/>
  <c r="X84" i="52"/>
  <c r="AN84" i="52" s="1"/>
  <c r="AP224" i="52"/>
  <c r="Z106" i="52"/>
  <c r="AP106" i="52" s="1"/>
  <c r="AR222" i="52"/>
  <c r="AB62" i="52"/>
  <c r="AR62" i="52" s="1"/>
  <c r="AT223" i="52"/>
  <c r="AD84" i="52"/>
  <c r="AT84" i="52" s="1"/>
  <c r="AN222" i="52"/>
  <c r="X62" i="52"/>
  <c r="AN62" i="52" s="1"/>
  <c r="Z40" i="52"/>
  <c r="AP40" i="52" s="1"/>
  <c r="AP221" i="52"/>
  <c r="AS222" i="52"/>
  <c r="AC62" i="52"/>
  <c r="AS62" i="52" s="1"/>
  <c r="AT222" i="52"/>
  <c r="AD62" i="52"/>
  <c r="AT62" i="52" s="1"/>
  <c r="AQ222" i="52"/>
  <c r="AA62" i="52"/>
  <c r="AQ62" i="52" s="1"/>
  <c r="AP223" i="52"/>
  <c r="Z84" i="52"/>
  <c r="AP84" i="52" s="1"/>
  <c r="AS223" i="52"/>
  <c r="AC84" i="52"/>
  <c r="AS84" i="52" s="1"/>
  <c r="AT221" i="52"/>
  <c r="AD40" i="52"/>
  <c r="AT40" i="52" s="1"/>
  <c r="AA18" i="52"/>
  <c r="AQ220" i="52"/>
  <c r="AP222" i="52"/>
  <c r="Z62" i="52"/>
  <c r="AP62" i="52" s="1"/>
  <c r="AS220" i="52"/>
  <c r="AC18" i="52"/>
  <c r="AO221" i="52"/>
  <c r="Y40" i="52"/>
  <c r="AO40" i="52" s="1"/>
  <c r="AQ223" i="52"/>
  <c r="AA84" i="52"/>
  <c r="AQ84" i="52" s="1"/>
  <c r="AR223" i="52"/>
  <c r="AB84" i="52"/>
  <c r="AR84" i="52" s="1"/>
  <c r="AC40" i="52"/>
  <c r="AS40" i="52" s="1"/>
  <c r="AS221" i="52"/>
  <c r="AO224" i="52"/>
  <c r="Y106" i="52"/>
  <c r="AO106" i="52" s="1"/>
  <c r="AN224" i="52"/>
  <c r="X106" i="52"/>
  <c r="AN106" i="52" s="1"/>
  <c r="AQ221" i="52"/>
  <c r="AA40" i="52"/>
  <c r="AQ40" i="52" s="1"/>
  <c r="AR221" i="52"/>
  <c r="AB40" i="52"/>
  <c r="AR40" i="52" s="1"/>
  <c r="AC106" i="52"/>
  <c r="AS106" i="52" s="1"/>
  <c r="AS224" i="52"/>
  <c r="AO220" i="52"/>
  <c r="Y18" i="52"/>
  <c r="AN221" i="52"/>
  <c r="X40" i="52"/>
  <c r="AN40" i="52" s="1"/>
  <c r="AQ224" i="52"/>
  <c r="AA106" i="52"/>
  <c r="AQ106" i="52" s="1"/>
  <c r="AR220" i="52"/>
  <c r="AB18" i="52"/>
  <c r="AT220" i="52"/>
  <c r="AD18" i="52"/>
  <c r="AO222" i="52"/>
  <c r="Y62" i="52"/>
  <c r="AO62" i="52" s="1"/>
  <c r="AN220" i="52"/>
  <c r="X18" i="52"/>
  <c r="AP220" i="52"/>
  <c r="Z18" i="52"/>
  <c r="AR224" i="52"/>
  <c r="AB106" i="52"/>
  <c r="AR106" i="52" s="1"/>
  <c r="AT224" i="52"/>
  <c r="AD106" i="52"/>
  <c r="AT106" i="52" s="1"/>
  <c r="AO223" i="52"/>
  <c r="Y84" i="52"/>
  <c r="AO84" i="52" s="1"/>
  <c r="M272" i="52"/>
  <c r="L272" i="52"/>
  <c r="J2999" i="79"/>
  <c r="J2996" i="79" s="1"/>
  <c r="J2993" i="79" s="1"/>
  <c r="AA238" i="52" s="1"/>
  <c r="I3383" i="79"/>
  <c r="I3380" i="79" s="1"/>
  <c r="I3377" i="79" s="1"/>
  <c r="Z244" i="52" s="1"/>
  <c r="L3383" i="79"/>
  <c r="L3380" i="79" s="1"/>
  <c r="L3377" i="79" s="1"/>
  <c r="AC247" i="52" s="1"/>
  <c r="K2999" i="79"/>
  <c r="K2996" i="79" s="1"/>
  <c r="K2993" i="79" s="1"/>
  <c r="AB241" i="52" s="1"/>
  <c r="AR241" i="52" s="1"/>
  <c r="K3383" i="79"/>
  <c r="K3380" i="79" s="1"/>
  <c r="K3377" i="79" s="1"/>
  <c r="AB245" i="52" s="1"/>
  <c r="G3383" i="79"/>
  <c r="G3380" i="79" s="1"/>
  <c r="G3377" i="79" s="1"/>
  <c r="X245" i="52" s="1"/>
  <c r="H2999" i="79"/>
  <c r="H2996" i="79" s="1"/>
  <c r="H2993" i="79" s="1"/>
  <c r="Y238" i="52" s="1"/>
  <c r="AO238" i="52" s="1"/>
  <c r="J3383" i="79"/>
  <c r="J3380" i="79" s="1"/>
  <c r="J3377" i="79" s="1"/>
  <c r="AA247" i="52" s="1"/>
  <c r="M3383" i="79"/>
  <c r="M3380" i="79" s="1"/>
  <c r="M3377" i="79" s="1"/>
  <c r="AD244" i="52" s="1"/>
  <c r="I2999" i="79"/>
  <c r="I2996" i="79" s="1"/>
  <c r="I2993" i="79" s="1"/>
  <c r="Z240" i="52" s="1"/>
  <c r="L2999" i="79"/>
  <c r="L2996" i="79" s="1"/>
  <c r="L2993" i="79" s="1"/>
  <c r="AC241" i="52" s="1"/>
  <c r="AS241" i="52" s="1"/>
  <c r="H3383" i="79"/>
  <c r="H3380" i="79" s="1"/>
  <c r="H3377" i="79" s="1"/>
  <c r="Y245" i="52" s="1"/>
  <c r="G2999" i="79"/>
  <c r="G2996" i="79" s="1"/>
  <c r="G2993" i="79" s="1"/>
  <c r="X239" i="52" s="1"/>
  <c r="X45" i="52" s="1"/>
  <c r="S343" i="54"/>
  <c r="Z659" i="59"/>
  <c r="S333" i="54"/>
  <c r="Z649" i="59"/>
  <c r="U727" i="59"/>
  <c r="V748" i="59"/>
  <c r="W769" i="59"/>
  <c r="T769" i="59"/>
  <c r="AD239" i="52"/>
  <c r="AT239" i="52" s="1"/>
  <c r="W727" i="59"/>
  <c r="Y662" i="59"/>
  <c r="S748" i="59"/>
  <c r="T727" i="59"/>
  <c r="W748" i="59"/>
  <c r="Y690" i="59"/>
  <c r="U706" i="59"/>
  <c r="V727" i="59"/>
  <c r="T706" i="59"/>
  <c r="X706" i="59"/>
  <c r="X769" i="59"/>
  <c r="X727" i="59"/>
  <c r="T748" i="59"/>
  <c r="X748" i="59"/>
  <c r="U769" i="59"/>
  <c r="S706" i="59"/>
  <c r="S769" i="59"/>
  <c r="S727" i="59"/>
  <c r="W706" i="59"/>
  <c r="V706" i="59"/>
  <c r="V769" i="59"/>
  <c r="Y769" i="59"/>
  <c r="U748" i="59"/>
  <c r="Y661" i="59"/>
  <c r="Y711" i="59"/>
  <c r="Z652" i="59"/>
  <c r="Y669" i="59"/>
  <c r="M3253" i="79"/>
  <c r="M3216" i="79" s="1"/>
  <c r="N245" i="52" s="1"/>
  <c r="J2853" i="79"/>
  <c r="J2812" i="79" s="1"/>
  <c r="K239" i="52" s="1"/>
  <c r="L2888" i="79"/>
  <c r="L2813" i="79" s="1"/>
  <c r="M240" i="52" s="1"/>
  <c r="J2923" i="79"/>
  <c r="J2814" i="79" s="1"/>
  <c r="K241" i="52" s="1"/>
  <c r="K2888" i="79"/>
  <c r="K2813" i="79" s="1"/>
  <c r="L240" i="52" s="1"/>
  <c r="K2958" i="79"/>
  <c r="K2815" i="79" s="1"/>
  <c r="L242" i="52" s="1"/>
  <c r="I2958" i="79"/>
  <c r="I2815" i="79" s="1"/>
  <c r="J242" i="52" s="1"/>
  <c r="K3253" i="79"/>
  <c r="K3216" i="79" s="1"/>
  <c r="L245" i="52" s="1"/>
  <c r="K3284" i="79"/>
  <c r="K3217" i="79" s="1"/>
  <c r="L246" i="52" s="1"/>
  <c r="L3284" i="79"/>
  <c r="L3217" i="79" s="1"/>
  <c r="M246" i="52" s="1"/>
  <c r="L3315" i="79"/>
  <c r="L3218" i="79" s="1"/>
  <c r="M247" i="52" s="1"/>
  <c r="I3315" i="79"/>
  <c r="I3218" i="79" s="1"/>
  <c r="J247" i="52" s="1"/>
  <c r="M3284" i="79"/>
  <c r="M3217" i="79" s="1"/>
  <c r="N246" i="52" s="1"/>
  <c r="M2853" i="79"/>
  <c r="M2812" i="79" s="1"/>
  <c r="N239" i="52" s="1"/>
  <c r="I2888" i="79"/>
  <c r="I2813" i="79" s="1"/>
  <c r="J240" i="52" s="1"/>
  <c r="L2923" i="79"/>
  <c r="L2814" i="79" s="1"/>
  <c r="M241" i="52" s="1"/>
  <c r="G2923" i="79"/>
  <c r="G2814" i="79" s="1"/>
  <c r="H241" i="52" s="1"/>
  <c r="G2958" i="79"/>
  <c r="G2815" i="79" s="1"/>
  <c r="H242" i="52" s="1"/>
  <c r="H2958" i="79"/>
  <c r="H2815" i="79" s="1"/>
  <c r="I242" i="52" s="1"/>
  <c r="G3284" i="79"/>
  <c r="G3217" i="79" s="1"/>
  <c r="H246" i="52" s="1"/>
  <c r="J3284" i="79"/>
  <c r="J3217" i="79" s="1"/>
  <c r="K246" i="52" s="1"/>
  <c r="J3315" i="79"/>
  <c r="J3218" i="79" s="1"/>
  <c r="K247" i="52" s="1"/>
  <c r="G3315" i="79"/>
  <c r="G3218" i="79" s="1"/>
  <c r="H247" i="52" s="1"/>
  <c r="L2853" i="79"/>
  <c r="L2812" i="79" s="1"/>
  <c r="M239" i="52" s="1"/>
  <c r="G2853" i="79"/>
  <c r="G2812" i="79" s="1"/>
  <c r="H239" i="52" s="1"/>
  <c r="H2888" i="79"/>
  <c r="H2813" i="79" s="1"/>
  <c r="I240" i="52" s="1"/>
  <c r="J2888" i="79"/>
  <c r="J2813" i="79" s="1"/>
  <c r="K240" i="52" s="1"/>
  <c r="H2923" i="79"/>
  <c r="H2814" i="79" s="1"/>
  <c r="I241" i="52" s="1"/>
  <c r="I2923" i="79"/>
  <c r="I2814" i="79" s="1"/>
  <c r="J241" i="52" s="1"/>
  <c r="M2958" i="79"/>
  <c r="M2815" i="79" s="1"/>
  <c r="N242" i="52" s="1"/>
  <c r="J2958" i="79"/>
  <c r="J2815" i="79" s="1"/>
  <c r="K242" i="52" s="1"/>
  <c r="I3253" i="79"/>
  <c r="I3216" i="79" s="1"/>
  <c r="J245" i="52" s="1"/>
  <c r="J3253" i="79"/>
  <c r="J3216" i="79" s="1"/>
  <c r="K245" i="52" s="1"/>
  <c r="H3284" i="79"/>
  <c r="H3217" i="79" s="1"/>
  <c r="I246" i="52" s="1"/>
  <c r="M3315" i="79"/>
  <c r="M3218" i="79" s="1"/>
  <c r="N247" i="52" s="1"/>
  <c r="L3253" i="79"/>
  <c r="L3216" i="79" s="1"/>
  <c r="M245" i="52" s="1"/>
  <c r="K2853" i="79"/>
  <c r="K2812" i="79" s="1"/>
  <c r="L239" i="52" s="1"/>
  <c r="I2853" i="79"/>
  <c r="I2812" i="79" s="1"/>
  <c r="J239" i="52" s="1"/>
  <c r="G2888" i="79"/>
  <c r="G2813" i="79" s="1"/>
  <c r="H240" i="52" s="1"/>
  <c r="M2888" i="79"/>
  <c r="M2813" i="79" s="1"/>
  <c r="N240" i="52" s="1"/>
  <c r="K2923" i="79"/>
  <c r="K2814" i="79" s="1"/>
  <c r="L241" i="52" s="1"/>
  <c r="M2923" i="79"/>
  <c r="M2814" i="79" s="1"/>
  <c r="N241" i="52" s="1"/>
  <c r="L2958" i="79"/>
  <c r="L2815" i="79" s="1"/>
  <c r="M242" i="52" s="1"/>
  <c r="I3284" i="79"/>
  <c r="I3217" i="79" s="1"/>
  <c r="J246" i="52" s="1"/>
  <c r="K3315" i="79"/>
  <c r="K3218" i="79" s="1"/>
  <c r="L247" i="52" s="1"/>
  <c r="Y732" i="59"/>
  <c r="N257" i="52"/>
  <c r="N259" i="52"/>
  <c r="J259" i="52"/>
  <c r="L258" i="52"/>
  <c r="H258" i="52"/>
  <c r="M257" i="52"/>
  <c r="M258" i="52"/>
  <c r="H257" i="52"/>
  <c r="K258" i="52"/>
  <c r="J260" i="52"/>
  <c r="M256" i="52"/>
  <c r="N258" i="52"/>
  <c r="H259" i="52"/>
  <c r="M259" i="52"/>
  <c r="I260" i="52"/>
  <c r="K260" i="52"/>
  <c r="J256" i="52"/>
  <c r="N256" i="52"/>
  <c r="N260" i="52"/>
  <c r="K259" i="52"/>
  <c r="I257" i="52"/>
  <c r="I258" i="52"/>
  <c r="H260" i="52"/>
  <c r="J258" i="52"/>
  <c r="K257" i="52"/>
  <c r="J257" i="52"/>
  <c r="L259" i="52"/>
  <c r="M260" i="52"/>
  <c r="I256" i="52"/>
  <c r="H256" i="52"/>
  <c r="I259" i="52"/>
  <c r="L260" i="52"/>
  <c r="L257" i="52"/>
  <c r="K3349" i="79"/>
  <c r="BX248" i="52" s="1"/>
  <c r="J3349" i="79"/>
  <c r="BW248" i="52" s="1"/>
  <c r="H3349" i="79"/>
  <c r="BU248" i="52" s="1"/>
  <c r="L3349" i="79"/>
  <c r="BY248" i="52" s="1"/>
  <c r="I3349" i="79"/>
  <c r="BV248" i="52" s="1"/>
  <c r="M3349" i="79"/>
  <c r="BZ248" i="52" s="1"/>
  <c r="H3318" i="79"/>
  <c r="BU247" i="52" s="1"/>
  <c r="K3225" i="79"/>
  <c r="BX244" i="52" s="1"/>
  <c r="J3225" i="79"/>
  <c r="BW244" i="52" s="1"/>
  <c r="L3225" i="79"/>
  <c r="BY244" i="52" s="1"/>
  <c r="I3225" i="79"/>
  <c r="BV244" i="52" s="1"/>
  <c r="M3225" i="79"/>
  <c r="BZ244" i="52" s="1"/>
  <c r="AD242" i="52"/>
  <c r="AD238" i="52"/>
  <c r="AT238" i="52" s="1"/>
  <c r="AD240" i="52"/>
  <c r="AT240" i="52" s="1"/>
  <c r="AD241" i="52"/>
  <c r="AD89" i="52" s="1"/>
  <c r="AT89" i="52" s="1"/>
  <c r="I2818" i="79"/>
  <c r="I2811" i="79" s="1"/>
  <c r="H263" i="52"/>
  <c r="J264" i="52"/>
  <c r="L263" i="52"/>
  <c r="L266" i="52"/>
  <c r="N266" i="52"/>
  <c r="N264" i="52"/>
  <c r="J263" i="52"/>
  <c r="H264" i="52"/>
  <c r="K263" i="52"/>
  <c r="I263" i="52"/>
  <c r="M264" i="52"/>
  <c r="J266" i="52"/>
  <c r="H266" i="52"/>
  <c r="J265" i="52"/>
  <c r="K266" i="52"/>
  <c r="K264" i="52"/>
  <c r="L264" i="52"/>
  <c r="J262" i="52"/>
  <c r="H265" i="52"/>
  <c r="N263" i="52"/>
  <c r="L265" i="52"/>
  <c r="I265" i="52"/>
  <c r="I264" i="52"/>
  <c r="I266" i="52"/>
  <c r="M265" i="52"/>
  <c r="M263" i="52"/>
  <c r="N265" i="52"/>
  <c r="G3349" i="79"/>
  <c r="BT248" i="52" s="1"/>
  <c r="M2818" i="79"/>
  <c r="M2811" i="79" s="1"/>
  <c r="H2818" i="79"/>
  <c r="H2811" i="79" s="1"/>
  <c r="K2818" i="79"/>
  <c r="K2811" i="79" s="1"/>
  <c r="J2818" i="79"/>
  <c r="J2811" i="79" s="1"/>
  <c r="L2818" i="79"/>
  <c r="L2811" i="79" s="1"/>
  <c r="G2818" i="79"/>
  <c r="G2811" i="79" s="1"/>
  <c r="Y716" i="59"/>
  <c r="Z654" i="59"/>
  <c r="Y657" i="59"/>
  <c r="Y706" i="59"/>
  <c r="Y658" i="59"/>
  <c r="Y663" i="59"/>
  <c r="W792" i="59"/>
  <c r="U792" i="59"/>
  <c r="T792" i="59"/>
  <c r="X792" i="59"/>
  <c r="S792" i="59"/>
  <c r="V792" i="59"/>
  <c r="Z737" i="59"/>
  <c r="Z695" i="59"/>
  <c r="Y651" i="59"/>
  <c r="Z669" i="59"/>
  <c r="Z732" i="59"/>
  <c r="Z711" i="59"/>
  <c r="Z690" i="59"/>
  <c r="Y664" i="59"/>
  <c r="P226" i="37"/>
  <c r="O239" i="37"/>
  <c r="O260" i="37" s="1"/>
  <c r="Q239" i="54" s="1"/>
  <c r="P227" i="37"/>
  <c r="O240" i="37"/>
  <c r="O261" i="37" s="1"/>
  <c r="Q281" i="54" s="1"/>
  <c r="P230" i="37"/>
  <c r="O243" i="37"/>
  <c r="O264" i="37" s="1"/>
  <c r="Q323" i="54" s="1"/>
  <c r="P228" i="37"/>
  <c r="O241" i="37"/>
  <c r="O262" i="37" s="1"/>
  <c r="Q260" i="54" s="1"/>
  <c r="P229" i="37"/>
  <c r="O242" i="37"/>
  <c r="O263" i="37" s="1"/>
  <c r="Q302" i="54" s="1"/>
  <c r="Z716" i="59"/>
  <c r="Y749" i="59"/>
  <c r="Y750" i="59"/>
  <c r="Y770" i="59"/>
  <c r="Y708" i="59"/>
  <c r="Y687" i="59"/>
  <c r="Z771" i="59"/>
  <c r="Z706" i="59"/>
  <c r="Y707" i="59"/>
  <c r="Y686" i="59"/>
  <c r="Z660" i="59"/>
  <c r="Z657" i="59"/>
  <c r="Z658" i="59"/>
  <c r="V664" i="59"/>
  <c r="T664" i="59"/>
  <c r="X664" i="59"/>
  <c r="W664" i="59"/>
  <c r="S664" i="59"/>
  <c r="Z663" i="59"/>
  <c r="Z664" i="59"/>
  <c r="AA655" i="59"/>
  <c r="Z653" i="59"/>
  <c r="M21" i="91" l="1"/>
  <c r="N17" i="91"/>
  <c r="Q17" i="91"/>
  <c r="Z674" i="59"/>
  <c r="AA125" i="52"/>
  <c r="AQ15" i="52"/>
  <c r="AQ125" i="52" s="1"/>
  <c r="N473" i="54"/>
  <c r="V418" i="59" s="1"/>
  <c r="V464" i="59" s="1"/>
  <c r="AR15" i="52"/>
  <c r="AR125" i="52" s="1"/>
  <c r="AB125" i="52"/>
  <c r="O473" i="54"/>
  <c r="W418" i="59" s="1"/>
  <c r="W464" i="59" s="1"/>
  <c r="K473" i="54"/>
  <c r="X125" i="52"/>
  <c r="AN15" i="52"/>
  <c r="AN125" i="52" s="1"/>
  <c r="Z125" i="52"/>
  <c r="AP15" i="52"/>
  <c r="AP125" i="52" s="1"/>
  <c r="M473" i="54"/>
  <c r="U418" i="59" s="1"/>
  <c r="U464" i="59" s="1"/>
  <c r="Y125" i="52"/>
  <c r="L473" i="54"/>
  <c r="T418" i="59" s="1"/>
  <c r="T464" i="59" s="1"/>
  <c r="AO15" i="52"/>
  <c r="AO125" i="52" s="1"/>
  <c r="P473" i="54"/>
  <c r="X418" i="59" s="1"/>
  <c r="X464" i="59" s="1"/>
  <c r="AS15" i="52"/>
  <c r="AS125" i="52" s="1"/>
  <c r="AC125" i="52"/>
  <c r="Q473" i="54"/>
  <c r="AD125" i="52"/>
  <c r="AT15" i="52"/>
  <c r="AT125" i="52" s="1"/>
  <c r="Z758" i="59"/>
  <c r="Z685" i="59"/>
  <c r="N194" i="54"/>
  <c r="U791" i="59"/>
  <c r="V791" i="59"/>
  <c r="P215" i="54"/>
  <c r="T791" i="59"/>
  <c r="Y758" i="59"/>
  <c r="Y779" i="59" s="1"/>
  <c r="Y753" i="59"/>
  <c r="Y774" i="59" s="1"/>
  <c r="Y244" i="52"/>
  <c r="Y22" i="52" s="1"/>
  <c r="Y132" i="52" s="1"/>
  <c r="Y247" i="52"/>
  <c r="AO247" i="52" s="1"/>
  <c r="Y246" i="52"/>
  <c r="Y66" i="52" s="1"/>
  <c r="Y248" i="52"/>
  <c r="AO248" i="52" s="1"/>
  <c r="BY133" i="52"/>
  <c r="BW133" i="52"/>
  <c r="BX133" i="52"/>
  <c r="BT133" i="52"/>
  <c r="BZ133" i="52"/>
  <c r="BV22" i="52"/>
  <c r="BU110" i="52"/>
  <c r="BY22" i="52"/>
  <c r="BW110" i="52"/>
  <c r="BX22" i="52"/>
  <c r="AT18" i="52"/>
  <c r="AT128" i="52" s="1"/>
  <c r="AD128" i="52"/>
  <c r="AO18" i="52"/>
  <c r="AO128" i="52" s="1"/>
  <c r="Y128" i="52"/>
  <c r="BU88" i="52"/>
  <c r="AQ18" i="52"/>
  <c r="AQ128" i="52" s="1"/>
  <c r="AA128" i="52"/>
  <c r="BV133" i="52"/>
  <c r="BW22" i="52"/>
  <c r="BX110" i="52"/>
  <c r="BZ110" i="52"/>
  <c r="AP18" i="52"/>
  <c r="AP128" i="52" s="1"/>
  <c r="Z128" i="52"/>
  <c r="AR18" i="52"/>
  <c r="AR128" i="52" s="1"/>
  <c r="AB128" i="52"/>
  <c r="AC244" i="52"/>
  <c r="AS244" i="52" s="1"/>
  <c r="BV110" i="52"/>
  <c r="BT110" i="52"/>
  <c r="BZ22" i="52"/>
  <c r="BY110" i="52"/>
  <c r="AN18" i="52"/>
  <c r="AN128" i="52" s="1"/>
  <c r="X128" i="52"/>
  <c r="AS18" i="52"/>
  <c r="AS128" i="52" s="1"/>
  <c r="AC128" i="52"/>
  <c r="AT242" i="52"/>
  <c r="BD107" i="52"/>
  <c r="BH107" i="52"/>
  <c r="BF85" i="52"/>
  <c r="BE107" i="52"/>
  <c r="BG85" i="52"/>
  <c r="BF107" i="52"/>
  <c r="BH85" i="52"/>
  <c r="BJ85" i="52"/>
  <c r="BD85" i="52"/>
  <c r="BI85" i="52"/>
  <c r="BJ63" i="52"/>
  <c r="BJ107" i="52"/>
  <c r="BG107" i="52"/>
  <c r="BI107" i="52"/>
  <c r="BE85" i="52"/>
  <c r="I69" i="52"/>
  <c r="H89" i="52"/>
  <c r="K113" i="52"/>
  <c r="M111" i="52"/>
  <c r="K89" i="52"/>
  <c r="I92" i="52"/>
  <c r="J92" i="52"/>
  <c r="I91" i="52"/>
  <c r="M69" i="52"/>
  <c r="M88" i="52"/>
  <c r="M67" i="52"/>
  <c r="H114" i="52"/>
  <c r="H25" i="52"/>
  <c r="M47" i="52"/>
  <c r="M45" i="52"/>
  <c r="K45" i="52"/>
  <c r="J114" i="52"/>
  <c r="O130" i="54"/>
  <c r="H92" i="52"/>
  <c r="M70" i="52"/>
  <c r="M113" i="52"/>
  <c r="K91" i="52"/>
  <c r="N69" i="52"/>
  <c r="L69" i="52"/>
  <c r="H67" i="52"/>
  <c r="N111" i="52"/>
  <c r="J67" i="52"/>
  <c r="L44" i="52"/>
  <c r="K114" i="52"/>
  <c r="L113" i="52"/>
  <c r="H47" i="52"/>
  <c r="I67" i="52"/>
  <c r="J88" i="52"/>
  <c r="N70" i="52"/>
  <c r="I113" i="52"/>
  <c r="K44" i="52"/>
  <c r="N114" i="52"/>
  <c r="M91" i="52"/>
  <c r="J44" i="52"/>
  <c r="H69" i="52"/>
  <c r="H88" i="52"/>
  <c r="L66" i="52"/>
  <c r="L91" i="52"/>
  <c r="N113" i="52"/>
  <c r="M25" i="52"/>
  <c r="J91" i="52"/>
  <c r="J45" i="52"/>
  <c r="J89" i="52"/>
  <c r="K88" i="52"/>
  <c r="N45" i="52"/>
  <c r="J111" i="52"/>
  <c r="J69" i="52"/>
  <c r="M44" i="52"/>
  <c r="L114" i="52"/>
  <c r="I25" i="52"/>
  <c r="N67" i="52"/>
  <c r="M89" i="52"/>
  <c r="K118" i="54"/>
  <c r="J70" i="52"/>
  <c r="M92" i="52"/>
  <c r="J113" i="52"/>
  <c r="K66" i="52"/>
  <c r="N66" i="52"/>
  <c r="L111" i="52"/>
  <c r="N130" i="54"/>
  <c r="I70" i="52"/>
  <c r="I66" i="52"/>
  <c r="I111" i="52"/>
  <c r="H113" i="52"/>
  <c r="N89" i="52"/>
  <c r="H45" i="52"/>
  <c r="H111" i="52"/>
  <c r="L92" i="52"/>
  <c r="L89" i="52"/>
  <c r="M66" i="52"/>
  <c r="I47" i="52"/>
  <c r="H91" i="52"/>
  <c r="K111" i="52"/>
  <c r="N44" i="52"/>
  <c r="N92" i="52"/>
  <c r="L70" i="52"/>
  <c r="J47" i="52"/>
  <c r="N25" i="52"/>
  <c r="N91" i="52"/>
  <c r="L88" i="52"/>
  <c r="L45" i="52"/>
  <c r="I89" i="52"/>
  <c r="I114" i="52"/>
  <c r="K70" i="52"/>
  <c r="H70" i="52"/>
  <c r="L47" i="52"/>
  <c r="K47" i="52"/>
  <c r="J25" i="52"/>
  <c r="K69" i="52"/>
  <c r="N47" i="52"/>
  <c r="J66" i="52"/>
  <c r="N88" i="52"/>
  <c r="K67" i="52"/>
  <c r="H66" i="52"/>
  <c r="L67" i="52"/>
  <c r="X242" i="52"/>
  <c r="X241" i="52"/>
  <c r="AN241" i="52" s="1"/>
  <c r="X238" i="52"/>
  <c r="AN238" i="52" s="1"/>
  <c r="AA242" i="52"/>
  <c r="X247" i="52"/>
  <c r="AN247" i="52" s="1"/>
  <c r="X246" i="52"/>
  <c r="AN246" i="52" s="1"/>
  <c r="X240" i="52"/>
  <c r="AN240" i="52" s="1"/>
  <c r="X244" i="52"/>
  <c r="AN244" i="52" s="1"/>
  <c r="X248" i="52"/>
  <c r="Y241" i="52"/>
  <c r="AO241" i="52" s="1"/>
  <c r="AA248" i="52"/>
  <c r="AA246" i="52"/>
  <c r="AQ246" i="52" s="1"/>
  <c r="Z245" i="52"/>
  <c r="AP245" i="52" s="1"/>
  <c r="Z247" i="52"/>
  <c r="AP247" i="52" s="1"/>
  <c r="AA245" i="52"/>
  <c r="AQ245" i="52" s="1"/>
  <c r="AA244" i="52"/>
  <c r="AQ244" i="52" s="1"/>
  <c r="Z246" i="52"/>
  <c r="AP246" i="52" s="1"/>
  <c r="S132" i="54"/>
  <c r="T115" i="54"/>
  <c r="T123" i="54"/>
  <c r="AC248" i="52"/>
  <c r="AC246" i="52"/>
  <c r="AS246" i="52" s="1"/>
  <c r="AC245" i="52"/>
  <c r="AC44" i="52" s="1"/>
  <c r="AS44" i="52" s="1"/>
  <c r="Z248" i="52"/>
  <c r="AN45" i="52"/>
  <c r="AD245" i="52"/>
  <c r="AT245" i="52" s="1"/>
  <c r="Y240" i="52"/>
  <c r="AO240" i="52" s="1"/>
  <c r="AA240" i="52"/>
  <c r="AQ240" i="52" s="1"/>
  <c r="AA239" i="52"/>
  <c r="AQ239" i="52" s="1"/>
  <c r="Y242" i="52"/>
  <c r="Y239" i="52"/>
  <c r="AO239" i="52" s="1"/>
  <c r="AA241" i="52"/>
  <c r="AQ241" i="52" s="1"/>
  <c r="AB238" i="52"/>
  <c r="AR238" i="52" s="1"/>
  <c r="Z242" i="52"/>
  <c r="Z239" i="52"/>
  <c r="AP239" i="52" s="1"/>
  <c r="AD247" i="52"/>
  <c r="AT247" i="52" s="1"/>
  <c r="AB240" i="52"/>
  <c r="AR240" i="52" s="1"/>
  <c r="AD248" i="52"/>
  <c r="AB239" i="52"/>
  <c r="AR239" i="52" s="1"/>
  <c r="Z238" i="52"/>
  <c r="Z23" i="52" s="1"/>
  <c r="AB242" i="52"/>
  <c r="AB247" i="52"/>
  <c r="AR247" i="52" s="1"/>
  <c r="AD246" i="52"/>
  <c r="AT246" i="52" s="1"/>
  <c r="Z241" i="52"/>
  <c r="AP241" i="52" s="1"/>
  <c r="AC239" i="52"/>
  <c r="AS239" i="52" s="1"/>
  <c r="AB246" i="52"/>
  <c r="AR246" i="52" s="1"/>
  <c r="AC242" i="52"/>
  <c r="AB244" i="52"/>
  <c r="AB22" i="52" s="1"/>
  <c r="AC238" i="52"/>
  <c r="AS238" i="52" s="1"/>
  <c r="AC240" i="52"/>
  <c r="AC67" i="52" s="1"/>
  <c r="AS67" i="52" s="1"/>
  <c r="AB248" i="52"/>
  <c r="Z67" i="52"/>
  <c r="AP240" i="52"/>
  <c r="T333" i="54"/>
  <c r="AA649" i="59"/>
  <c r="T343" i="54"/>
  <c r="AA659" i="59"/>
  <c r="AC89" i="52"/>
  <c r="AS89" i="52" s="1"/>
  <c r="Y23" i="52"/>
  <c r="AN239" i="52"/>
  <c r="AD45" i="52"/>
  <c r="AT45" i="52" s="1"/>
  <c r="AB89" i="52"/>
  <c r="AR89" i="52" s="1"/>
  <c r="AQ238" i="52"/>
  <c r="AA23" i="52"/>
  <c r="W790" i="59"/>
  <c r="Y685" i="59"/>
  <c r="U790" i="59"/>
  <c r="Z727" i="59"/>
  <c r="Y727" i="59"/>
  <c r="T790" i="59"/>
  <c r="S790" i="59"/>
  <c r="X790" i="59"/>
  <c r="V790" i="59"/>
  <c r="AA769" i="59"/>
  <c r="Z748" i="59"/>
  <c r="Y748" i="59"/>
  <c r="Z661" i="59"/>
  <c r="Z753" i="59"/>
  <c r="Z774" i="59" s="1"/>
  <c r="G3346" i="79"/>
  <c r="G3219" i="79" s="1"/>
  <c r="H248" i="52" s="1"/>
  <c r="J3222" i="79"/>
  <c r="J3215" i="79" s="1"/>
  <c r="K244" i="52" s="1"/>
  <c r="I3346" i="79"/>
  <c r="I3219" i="79" s="1"/>
  <c r="J248" i="52" s="1"/>
  <c r="K3346" i="79"/>
  <c r="K3219" i="79" s="1"/>
  <c r="L248" i="52" s="1"/>
  <c r="M3222" i="79"/>
  <c r="M3215" i="79" s="1"/>
  <c r="N244" i="52" s="1"/>
  <c r="K3222" i="79"/>
  <c r="K3215" i="79" s="1"/>
  <c r="L244" i="52" s="1"/>
  <c r="L3346" i="79"/>
  <c r="L3219" i="79" s="1"/>
  <c r="M248" i="52" s="1"/>
  <c r="I3222" i="79"/>
  <c r="I3215" i="79" s="1"/>
  <c r="J244" i="52" s="1"/>
  <c r="H3315" i="79"/>
  <c r="H3218" i="79" s="1"/>
  <c r="I247" i="52" s="1"/>
  <c r="H3346" i="79"/>
  <c r="H3219" i="79" s="1"/>
  <c r="I248" i="52" s="1"/>
  <c r="L3222" i="79"/>
  <c r="L3215" i="79" s="1"/>
  <c r="M244" i="52" s="1"/>
  <c r="M3346" i="79"/>
  <c r="M3219" i="79" s="1"/>
  <c r="N248" i="52" s="1"/>
  <c r="J3346" i="79"/>
  <c r="J3219" i="79" s="1"/>
  <c r="K248" i="52" s="1"/>
  <c r="M238" i="52"/>
  <c r="L238" i="52"/>
  <c r="N238" i="52"/>
  <c r="H238" i="52"/>
  <c r="K238" i="52"/>
  <c r="I238" i="52"/>
  <c r="J238" i="52"/>
  <c r="AA674" i="59"/>
  <c r="AD23" i="52"/>
  <c r="AD111" i="52"/>
  <c r="AT111" i="52" s="1"/>
  <c r="Y44" i="52"/>
  <c r="AO245" i="52"/>
  <c r="Z22" i="52"/>
  <c r="Z132" i="52" s="1"/>
  <c r="AP244" i="52"/>
  <c r="AB44" i="52"/>
  <c r="AR44" i="52" s="1"/>
  <c r="AR245" i="52"/>
  <c r="AQ247" i="52"/>
  <c r="AA88" i="52"/>
  <c r="AS247" i="52"/>
  <c r="AC88" i="52"/>
  <c r="AS88" i="52" s="1"/>
  <c r="AT244" i="52"/>
  <c r="AD22" i="52"/>
  <c r="AD67" i="52"/>
  <c r="AT67" i="52" s="1"/>
  <c r="AN245" i="52"/>
  <c r="X44" i="52"/>
  <c r="AT241" i="52"/>
  <c r="J48" i="52"/>
  <c r="J26" i="52"/>
  <c r="N262" i="52"/>
  <c r="L262" i="52"/>
  <c r="I262" i="52"/>
  <c r="M262" i="52"/>
  <c r="K262" i="52"/>
  <c r="Z728" i="59"/>
  <c r="Z662" i="59"/>
  <c r="AA758" i="59"/>
  <c r="Z729" i="59"/>
  <c r="AA737" i="59"/>
  <c r="Z656" i="59"/>
  <c r="AA695" i="59"/>
  <c r="Y791" i="59"/>
  <c r="Y792" i="59"/>
  <c r="Z651" i="59"/>
  <c r="AA711" i="59"/>
  <c r="AA753" i="59"/>
  <c r="AA732" i="59"/>
  <c r="AA690" i="59"/>
  <c r="AA669" i="59"/>
  <c r="Q228" i="37"/>
  <c r="P241" i="37"/>
  <c r="P262" i="37" s="1"/>
  <c r="R260" i="54" s="1"/>
  <c r="Q230" i="37"/>
  <c r="P243" i="37"/>
  <c r="P264" i="37" s="1"/>
  <c r="R323" i="54" s="1"/>
  <c r="Q229" i="37"/>
  <c r="P242" i="37"/>
  <c r="P263" i="37" s="1"/>
  <c r="R302" i="54" s="1"/>
  <c r="Q227" i="37"/>
  <c r="P240" i="37"/>
  <c r="P261" i="37" s="1"/>
  <c r="R281" i="54" s="1"/>
  <c r="Q226" i="37"/>
  <c r="P239" i="37"/>
  <c r="P260" i="37" s="1"/>
  <c r="R239" i="54" s="1"/>
  <c r="AA727" i="59"/>
  <c r="AA729" i="59"/>
  <c r="AA716" i="59"/>
  <c r="AA728" i="59"/>
  <c r="Z749" i="59"/>
  <c r="Z750" i="59"/>
  <c r="AA748" i="59"/>
  <c r="Z770" i="59"/>
  <c r="AA771" i="59"/>
  <c r="AA706" i="59"/>
  <c r="Z686" i="59"/>
  <c r="Z707" i="59"/>
  <c r="Z687" i="59"/>
  <c r="Z708" i="59"/>
  <c r="AA660" i="59"/>
  <c r="AA657" i="59"/>
  <c r="AA658" i="59"/>
  <c r="AA662" i="59"/>
  <c r="AA664" i="59"/>
  <c r="AA663" i="59"/>
  <c r="AA656" i="59"/>
  <c r="AB655" i="59"/>
  <c r="AA653" i="59"/>
  <c r="AA652" i="59"/>
  <c r="S418" i="59" l="1"/>
  <c r="S464" i="59" s="1"/>
  <c r="Z779" i="59"/>
  <c r="AO244" i="52"/>
  <c r="R473" i="54"/>
  <c r="Y418" i="59"/>
  <c r="Y464" i="59" s="1"/>
  <c r="Q190" i="54"/>
  <c r="R190" i="54" s="1"/>
  <c r="S190" i="54" s="1"/>
  <c r="T190" i="54" s="1"/>
  <c r="U190" i="54" s="1"/>
  <c r="V190" i="54" s="1"/>
  <c r="N172" i="54"/>
  <c r="K173" i="54"/>
  <c r="O147" i="54"/>
  <c r="M151" i="54"/>
  <c r="L151" i="54"/>
  <c r="K210" i="54"/>
  <c r="L173" i="54"/>
  <c r="P189" i="54"/>
  <c r="M172" i="54"/>
  <c r="Q147" i="54"/>
  <c r="R147" i="54" s="1"/>
  <c r="S147" i="54" s="1"/>
  <c r="T147" i="54" s="1"/>
  <c r="U147" i="54" s="1"/>
  <c r="V147" i="54" s="1"/>
  <c r="M147" i="54"/>
  <c r="O193" i="54"/>
  <c r="M148" i="54"/>
  <c r="N148" i="54"/>
  <c r="L168" i="54"/>
  <c r="O172" i="54"/>
  <c r="P173" i="54"/>
  <c r="M214" i="54"/>
  <c r="N147" i="54"/>
  <c r="L194" i="54"/>
  <c r="K189" i="54"/>
  <c r="K169" i="54"/>
  <c r="N173" i="54"/>
  <c r="O190" i="54"/>
  <c r="O173" i="54"/>
  <c r="P169" i="54"/>
  <c r="K147" i="54"/>
  <c r="L210" i="54"/>
  <c r="Q168" i="54"/>
  <c r="R168" i="54" s="1"/>
  <c r="S168" i="54" s="1"/>
  <c r="T168" i="54" s="1"/>
  <c r="U168" i="54" s="1"/>
  <c r="V168" i="54" s="1"/>
  <c r="N190" i="54"/>
  <c r="M193" i="54"/>
  <c r="O169" i="54"/>
  <c r="P193" i="54"/>
  <c r="L214" i="54"/>
  <c r="K151" i="54"/>
  <c r="O148" i="54"/>
  <c r="Q172" i="54"/>
  <c r="R172" i="54" s="1"/>
  <c r="S172" i="54" s="1"/>
  <c r="T172" i="54" s="1"/>
  <c r="U172" i="54" s="1"/>
  <c r="V172" i="54" s="1"/>
  <c r="K194" i="54"/>
  <c r="Q169" i="54"/>
  <c r="R169" i="54" s="1"/>
  <c r="S169" i="54" s="1"/>
  <c r="T169" i="54" s="1"/>
  <c r="U169" i="54" s="1"/>
  <c r="V169" i="54" s="1"/>
  <c r="P194" i="54"/>
  <c r="P147" i="54"/>
  <c r="K215" i="54"/>
  <c r="P172" i="54"/>
  <c r="N189" i="54"/>
  <c r="L172" i="54"/>
  <c r="O168" i="54"/>
  <c r="M169" i="54"/>
  <c r="N151" i="54"/>
  <c r="L215" i="54"/>
  <c r="Q193" i="54"/>
  <c r="R193" i="54" s="1"/>
  <c r="S193" i="54" s="1"/>
  <c r="T193" i="54" s="1"/>
  <c r="U193" i="54" s="1"/>
  <c r="V193" i="54" s="1"/>
  <c r="Q194" i="54"/>
  <c r="R194" i="54" s="1"/>
  <c r="S194" i="54" s="1"/>
  <c r="T194" i="54" s="1"/>
  <c r="U194" i="54" s="1"/>
  <c r="V194" i="54" s="1"/>
  <c r="N210" i="54"/>
  <c r="O189" i="54"/>
  <c r="Q189" i="54"/>
  <c r="R189" i="54" s="1"/>
  <c r="S189" i="54" s="1"/>
  <c r="T189" i="54" s="1"/>
  <c r="U189" i="54" s="1"/>
  <c r="V189" i="54" s="1"/>
  <c r="M210" i="54"/>
  <c r="K190" i="54"/>
  <c r="Q215" i="54"/>
  <c r="R215" i="54" s="1"/>
  <c r="S215" i="54" s="1"/>
  <c r="T215" i="54" s="1"/>
  <c r="U215" i="54" s="1"/>
  <c r="V215" i="54" s="1"/>
  <c r="Q173" i="54"/>
  <c r="R173" i="54" s="1"/>
  <c r="S173" i="54" s="1"/>
  <c r="T173" i="54" s="1"/>
  <c r="U173" i="54" s="1"/>
  <c r="V173" i="54" s="1"/>
  <c r="O214" i="54"/>
  <c r="Q210" i="54"/>
  <c r="R210" i="54" s="1"/>
  <c r="S210" i="54" s="1"/>
  <c r="T210" i="54" s="1"/>
  <c r="U210" i="54" s="1"/>
  <c r="V210" i="54" s="1"/>
  <c r="N193" i="54"/>
  <c r="M152" i="54"/>
  <c r="N169" i="54"/>
  <c r="M173" i="54"/>
  <c r="P168" i="54"/>
  <c r="L193" i="54"/>
  <c r="P210" i="54"/>
  <c r="N168" i="54"/>
  <c r="Q151" i="54"/>
  <c r="R151" i="54" s="1"/>
  <c r="S151" i="54" s="1"/>
  <c r="T151" i="54" s="1"/>
  <c r="U151" i="54" s="1"/>
  <c r="V151" i="54" s="1"/>
  <c r="O151" i="54"/>
  <c r="L189" i="54"/>
  <c r="Q148" i="54"/>
  <c r="R148" i="54" s="1"/>
  <c r="S148" i="54" s="1"/>
  <c r="T148" i="54" s="1"/>
  <c r="U148" i="54" s="1"/>
  <c r="V148" i="54" s="1"/>
  <c r="K193" i="54"/>
  <c r="O194" i="54"/>
  <c r="K214" i="54"/>
  <c r="L169" i="54"/>
  <c r="O215" i="54"/>
  <c r="P148" i="54"/>
  <c r="M189" i="54"/>
  <c r="Q214" i="54"/>
  <c r="R214" i="54" s="1"/>
  <c r="S214" i="54" s="1"/>
  <c r="T214" i="54" s="1"/>
  <c r="U214" i="54" s="1"/>
  <c r="V214" i="54" s="1"/>
  <c r="K172" i="54"/>
  <c r="M190" i="54"/>
  <c r="N215" i="54"/>
  <c r="M168" i="54"/>
  <c r="K168" i="54"/>
  <c r="P214" i="54"/>
  <c r="O210" i="54"/>
  <c r="M215" i="54"/>
  <c r="P151" i="54"/>
  <c r="P190" i="54"/>
  <c r="M194" i="54"/>
  <c r="N214" i="54"/>
  <c r="Y88" i="52"/>
  <c r="AO88" i="52" s="1"/>
  <c r="AO246" i="52"/>
  <c r="Y110" i="52"/>
  <c r="AO110" i="52" s="1"/>
  <c r="BW132" i="52"/>
  <c r="AA44" i="52"/>
  <c r="AQ44" i="52" s="1"/>
  <c r="BV132" i="52"/>
  <c r="BX132" i="52"/>
  <c r="BY132" i="52"/>
  <c r="Q481" i="54"/>
  <c r="AD132" i="52"/>
  <c r="L480" i="54"/>
  <c r="T422" i="59" s="1"/>
  <c r="Y133" i="52"/>
  <c r="BH129" i="52"/>
  <c r="AC22" i="52"/>
  <c r="AS22" i="52" s="1"/>
  <c r="AS132" i="52" s="1"/>
  <c r="J135" i="52"/>
  <c r="J136" i="52"/>
  <c r="H135" i="52"/>
  <c r="BI129" i="52"/>
  <c r="Q480" i="54"/>
  <c r="AD133" i="52"/>
  <c r="BJ129" i="52"/>
  <c r="N480" i="54"/>
  <c r="V422" i="59" s="1"/>
  <c r="AA133" i="52"/>
  <c r="O481" i="54"/>
  <c r="W423" i="59" s="1"/>
  <c r="AB132" i="52"/>
  <c r="M480" i="54"/>
  <c r="U422" i="59" s="1"/>
  <c r="Z133" i="52"/>
  <c r="BZ132" i="52"/>
  <c r="I135" i="52"/>
  <c r="M135" i="52"/>
  <c r="BD129" i="52"/>
  <c r="BG129" i="52"/>
  <c r="L135" i="52"/>
  <c r="BE129" i="52"/>
  <c r="BF129" i="52"/>
  <c r="K135" i="52"/>
  <c r="N135" i="52"/>
  <c r="AS248" i="52"/>
  <c r="AP248" i="52"/>
  <c r="Z111" i="52"/>
  <c r="AR242" i="52"/>
  <c r="AQ242" i="52"/>
  <c r="AR248" i="52"/>
  <c r="AA110" i="52"/>
  <c r="AS242" i="52"/>
  <c r="AD110" i="52"/>
  <c r="AT110" i="52" s="1"/>
  <c r="AO242" i="52"/>
  <c r="X110" i="52"/>
  <c r="AN110" i="52" s="1"/>
  <c r="AN242" i="52"/>
  <c r="AQ248" i="52"/>
  <c r="X111" i="52"/>
  <c r="N23" i="52"/>
  <c r="Q130" i="54"/>
  <c r="R130" i="54" s="1"/>
  <c r="S130" i="54" s="1"/>
  <c r="M48" i="52"/>
  <c r="M131" i="54"/>
  <c r="K23" i="52"/>
  <c r="H23" i="52"/>
  <c r="H110" i="52"/>
  <c r="X89" i="52"/>
  <c r="AN89" i="52" s="1"/>
  <c r="J22" i="52"/>
  <c r="L48" i="52"/>
  <c r="AC66" i="52"/>
  <c r="AS66" i="52" s="1"/>
  <c r="L23" i="52"/>
  <c r="M110" i="52"/>
  <c r="J110" i="52"/>
  <c r="X23" i="52"/>
  <c r="I88" i="52"/>
  <c r="AA111" i="52"/>
  <c r="L22" i="52"/>
  <c r="L130" i="54"/>
  <c r="P130" i="54"/>
  <c r="K130" i="54"/>
  <c r="I23" i="52"/>
  <c r="K22" i="52"/>
  <c r="I48" i="52"/>
  <c r="M23" i="52"/>
  <c r="K48" i="52"/>
  <c r="K110" i="52"/>
  <c r="N22" i="52"/>
  <c r="M22" i="52"/>
  <c r="I110" i="52"/>
  <c r="N48" i="52"/>
  <c r="J23" i="52"/>
  <c r="N110" i="52"/>
  <c r="L110" i="52"/>
  <c r="M130" i="54"/>
  <c r="AS245" i="52"/>
  <c r="X88" i="52"/>
  <c r="AN88" i="52" s="1"/>
  <c r="Z66" i="52"/>
  <c r="Z110" i="52"/>
  <c r="AP110" i="52" s="1"/>
  <c r="X66" i="52"/>
  <c r="AN66" i="52" s="1"/>
  <c r="AA22" i="52"/>
  <c r="X67" i="52"/>
  <c r="AN67" i="52" s="1"/>
  <c r="AN248" i="52"/>
  <c r="Y89" i="52"/>
  <c r="AO89" i="52" s="1"/>
  <c r="X22" i="52"/>
  <c r="AN22" i="52" s="1"/>
  <c r="AN132" i="52" s="1"/>
  <c r="Z44" i="52"/>
  <c r="AP44" i="52" s="1"/>
  <c r="Z88" i="52"/>
  <c r="AP88" i="52" s="1"/>
  <c r="AD44" i="52"/>
  <c r="AT44" i="52" s="1"/>
  <c r="AC110" i="52"/>
  <c r="AS110" i="52" s="1"/>
  <c r="AA66" i="52"/>
  <c r="L481" i="54"/>
  <c r="T423" i="59" s="1"/>
  <c r="M481" i="54"/>
  <c r="U423" i="59" s="1"/>
  <c r="AB66" i="52"/>
  <c r="AR66" i="52" s="1"/>
  <c r="U115" i="54"/>
  <c r="U123" i="54"/>
  <c r="T132" i="54"/>
  <c r="AT248" i="52"/>
  <c r="AA89" i="52"/>
  <c r="AQ89" i="52" s="1"/>
  <c r="Y67" i="52"/>
  <c r="AO67" i="52" s="1"/>
  <c r="Z45" i="52"/>
  <c r="AP45" i="52" s="1"/>
  <c r="AA67" i="52"/>
  <c r="AQ67" i="52" s="1"/>
  <c r="AD88" i="52"/>
  <c r="AT88" i="52" s="1"/>
  <c r="Z89" i="52"/>
  <c r="AP89" i="52" s="1"/>
  <c r="AC45" i="52"/>
  <c r="AS45" i="52" s="1"/>
  <c r="AB67" i="52"/>
  <c r="AR67" i="52" s="1"/>
  <c r="AA45" i="52"/>
  <c r="AQ45" i="52" s="1"/>
  <c r="AO44" i="52"/>
  <c r="AP67" i="52"/>
  <c r="AO66" i="52"/>
  <c r="AQ88" i="52"/>
  <c r="AP23" i="52"/>
  <c r="AP133" i="52" s="1"/>
  <c r="AN44" i="52"/>
  <c r="Y45" i="52"/>
  <c r="Y111" i="52"/>
  <c r="AP242" i="52"/>
  <c r="AB23" i="52"/>
  <c r="AP238" i="52"/>
  <c r="AO23" i="52"/>
  <c r="AO133" i="52" s="1"/>
  <c r="AR244" i="52"/>
  <c r="AC111" i="52"/>
  <c r="AS111" i="52" s="1"/>
  <c r="AB45" i="52"/>
  <c r="AR45" i="52" s="1"/>
  <c r="AD66" i="52"/>
  <c r="AT66" i="52" s="1"/>
  <c r="AC23" i="52"/>
  <c r="AC133" i="52" s="1"/>
  <c r="AB88" i="52"/>
  <c r="AR88" i="52" s="1"/>
  <c r="AB111" i="52"/>
  <c r="AR111" i="52" s="1"/>
  <c r="AS240" i="52"/>
  <c r="AB110" i="52"/>
  <c r="AR110" i="52" s="1"/>
  <c r="U343" i="54"/>
  <c r="AB659" i="59"/>
  <c r="U333" i="54"/>
  <c r="AB649" i="59"/>
  <c r="AQ23" i="52"/>
  <c r="AQ133" i="52" s="1"/>
  <c r="Z769" i="59"/>
  <c r="Z790" i="59" s="1"/>
  <c r="AA685" i="59"/>
  <c r="AA790" i="59" s="1"/>
  <c r="AT23" i="52"/>
  <c r="AT133" i="52" s="1"/>
  <c r="Y790" i="59"/>
  <c r="AA661" i="59"/>
  <c r="AB674" i="59"/>
  <c r="AO22" i="52"/>
  <c r="AO132" i="52" s="1"/>
  <c r="AT22" i="52"/>
  <c r="AT132" i="52" s="1"/>
  <c r="AP22" i="52"/>
  <c r="AP132" i="52" s="1"/>
  <c r="AR22" i="52"/>
  <c r="AR132" i="52" s="1"/>
  <c r="I26" i="52"/>
  <c r="AA654" i="59"/>
  <c r="L26" i="52"/>
  <c r="N26" i="52"/>
  <c r="M26" i="52"/>
  <c r="K26" i="52"/>
  <c r="AB758" i="59"/>
  <c r="AB737" i="59"/>
  <c r="AB695" i="59"/>
  <c r="AA779" i="59"/>
  <c r="AA774" i="59"/>
  <c r="Z791" i="59"/>
  <c r="Z792" i="59"/>
  <c r="AA651" i="59"/>
  <c r="AB669" i="59"/>
  <c r="AB690" i="59"/>
  <c r="AB732" i="59"/>
  <c r="AB753" i="59"/>
  <c r="AB711" i="59"/>
  <c r="R226" i="37"/>
  <c r="Q239" i="37"/>
  <c r="Q260" i="37" s="1"/>
  <c r="S239" i="54" s="1"/>
  <c r="R228" i="37"/>
  <c r="Q241" i="37"/>
  <c r="Q262" i="37" s="1"/>
  <c r="S260" i="54" s="1"/>
  <c r="R230" i="37"/>
  <c r="Q243" i="37"/>
  <c r="Q264" i="37" s="1"/>
  <c r="S323" i="54" s="1"/>
  <c r="R229" i="37"/>
  <c r="Q242" i="37"/>
  <c r="Q263" i="37" s="1"/>
  <c r="S302" i="54" s="1"/>
  <c r="R227" i="37"/>
  <c r="Q240" i="37"/>
  <c r="Q261" i="37" s="1"/>
  <c r="S281" i="54" s="1"/>
  <c r="AB728" i="59"/>
  <c r="AB729" i="59"/>
  <c r="AB716" i="59"/>
  <c r="AB727" i="59"/>
  <c r="AA750" i="59"/>
  <c r="AA749" i="59"/>
  <c r="AB748" i="59"/>
  <c r="AA770" i="59"/>
  <c r="AB769" i="59"/>
  <c r="AB706" i="59"/>
  <c r="AA708" i="59"/>
  <c r="AA687" i="59"/>
  <c r="AA707" i="59"/>
  <c r="AA686" i="59"/>
  <c r="AB771" i="59"/>
  <c r="AB685" i="59"/>
  <c r="AB658" i="59"/>
  <c r="AB657" i="59"/>
  <c r="AB660" i="59"/>
  <c r="AB662" i="59"/>
  <c r="AB663" i="59"/>
  <c r="AB664" i="59"/>
  <c r="AB652" i="59"/>
  <c r="AC655" i="59"/>
  <c r="AB653" i="59"/>
  <c r="AB656" i="59"/>
  <c r="AB654" i="59"/>
  <c r="S473" i="54" l="1"/>
  <c r="Z418" i="59"/>
  <c r="Z464" i="59" s="1"/>
  <c r="R480" i="54"/>
  <c r="S480" i="54" s="1"/>
  <c r="T480" i="54" s="1"/>
  <c r="U480" i="54" s="1"/>
  <c r="V480" i="54" s="1"/>
  <c r="Y422" i="59"/>
  <c r="R481" i="54"/>
  <c r="S481" i="54" s="1"/>
  <c r="T481" i="54" s="1"/>
  <c r="U481" i="54" s="1"/>
  <c r="V481" i="54" s="1"/>
  <c r="Y423" i="59"/>
  <c r="Q211" i="54"/>
  <c r="R211" i="54" s="1"/>
  <c r="S211" i="54" s="1"/>
  <c r="T211" i="54" s="1"/>
  <c r="U211" i="54" s="1"/>
  <c r="V211" i="54" s="1"/>
  <c r="L211" i="54"/>
  <c r="L152" i="54"/>
  <c r="L190" i="54"/>
  <c r="P152" i="54"/>
  <c r="K211" i="54"/>
  <c r="N152" i="54"/>
  <c r="O152" i="54"/>
  <c r="M211" i="54"/>
  <c r="Q152" i="54"/>
  <c r="R152" i="54" s="1"/>
  <c r="S152" i="54" s="1"/>
  <c r="T152" i="54" s="1"/>
  <c r="U152" i="54" s="1"/>
  <c r="V152" i="54" s="1"/>
  <c r="P211" i="54"/>
  <c r="O211" i="54"/>
  <c r="N211" i="54"/>
  <c r="AQ110" i="52"/>
  <c r="AN111" i="52"/>
  <c r="AQ111" i="52"/>
  <c r="AP111" i="52"/>
  <c r="M133" i="52"/>
  <c r="L132" i="52"/>
  <c r="H133" i="52"/>
  <c r="N133" i="52"/>
  <c r="I136" i="52"/>
  <c r="N132" i="52"/>
  <c r="J133" i="52"/>
  <c r="J132" i="52"/>
  <c r="M132" i="52"/>
  <c r="K480" i="54"/>
  <c r="S422" i="59" s="1"/>
  <c r="X133" i="52"/>
  <c r="M136" i="52"/>
  <c r="N136" i="52"/>
  <c r="O480" i="54"/>
  <c r="W422" i="59" s="1"/>
  <c r="AB133" i="52"/>
  <c r="L136" i="52"/>
  <c r="X132" i="52"/>
  <c r="AQ22" i="52"/>
  <c r="AQ132" i="52" s="1"/>
  <c r="AA132" i="52"/>
  <c r="K136" i="52"/>
  <c r="K132" i="52"/>
  <c r="L133" i="52"/>
  <c r="K133" i="52"/>
  <c r="P481" i="54"/>
  <c r="X423" i="59" s="1"/>
  <c r="AC132" i="52"/>
  <c r="AP66" i="52"/>
  <c r="N481" i="54"/>
  <c r="V423" i="59" s="1"/>
  <c r="AN23" i="52"/>
  <c r="AN133" i="52" s="1"/>
  <c r="L131" i="54"/>
  <c r="N127" i="54"/>
  <c r="N126" i="54"/>
  <c r="P131" i="54"/>
  <c r="P126" i="54"/>
  <c r="N131" i="54"/>
  <c r="Q131" i="54"/>
  <c r="R131" i="54" s="1"/>
  <c r="M126" i="54"/>
  <c r="P127" i="54"/>
  <c r="L126" i="54"/>
  <c r="O127" i="54"/>
  <c r="K126" i="54"/>
  <c r="Q127" i="54"/>
  <c r="R127" i="54" s="1"/>
  <c r="S127" i="54" s="1"/>
  <c r="O131" i="54"/>
  <c r="M127" i="54"/>
  <c r="O126" i="54"/>
  <c r="Q126" i="54"/>
  <c r="R126" i="54" s="1"/>
  <c r="S126" i="54" s="1"/>
  <c r="AC399" i="59"/>
  <c r="AC398" i="59"/>
  <c r="AA399" i="59"/>
  <c r="AB398" i="59"/>
  <c r="AB399" i="59"/>
  <c r="AD398" i="59"/>
  <c r="K481" i="54"/>
  <c r="S423" i="59" s="1"/>
  <c r="AQ66" i="52"/>
  <c r="AS23" i="52"/>
  <c r="AS133" i="52" s="1"/>
  <c r="P480" i="54"/>
  <c r="X422" i="59" s="1"/>
  <c r="T130" i="54"/>
  <c r="U132" i="54"/>
  <c r="V115" i="54"/>
  <c r="V123" i="54"/>
  <c r="AO111" i="52"/>
  <c r="AO45" i="52"/>
  <c r="AR23" i="52"/>
  <c r="AR133" i="52" s="1"/>
  <c r="V333" i="54"/>
  <c r="AD649" i="59" s="1"/>
  <c r="AC649" i="59"/>
  <c r="V343" i="54"/>
  <c r="AD659" i="59" s="1"/>
  <c r="AC659" i="59"/>
  <c r="AC674" i="59"/>
  <c r="AC695" i="59"/>
  <c r="AB661" i="59"/>
  <c r="AC758" i="59"/>
  <c r="AC737" i="59"/>
  <c r="AB779" i="59"/>
  <c r="AA792" i="59"/>
  <c r="AB790" i="59"/>
  <c r="AA791" i="59"/>
  <c r="AB774" i="59"/>
  <c r="AB651" i="59"/>
  <c r="AD753" i="59"/>
  <c r="AC753" i="59"/>
  <c r="AD669" i="59"/>
  <c r="AC669" i="59"/>
  <c r="AD732" i="59"/>
  <c r="AC732" i="59"/>
  <c r="AD690" i="59"/>
  <c r="AC690" i="59"/>
  <c r="AD711" i="59"/>
  <c r="AC711" i="59"/>
  <c r="S229" i="37"/>
  <c r="R242" i="37"/>
  <c r="R263" i="37" s="1"/>
  <c r="T302" i="54" s="1"/>
  <c r="S230" i="37"/>
  <c r="R243" i="37"/>
  <c r="R264" i="37" s="1"/>
  <c r="T323" i="54" s="1"/>
  <c r="S228" i="37"/>
  <c r="R241" i="37"/>
  <c r="R262" i="37" s="1"/>
  <c r="T260" i="54" s="1"/>
  <c r="S227" i="37"/>
  <c r="R240" i="37"/>
  <c r="R261" i="37" s="1"/>
  <c r="T281" i="54" s="1"/>
  <c r="S226" i="37"/>
  <c r="R239" i="37"/>
  <c r="R260" i="37" s="1"/>
  <c r="T239" i="54" s="1"/>
  <c r="AC727" i="59"/>
  <c r="AC716" i="59"/>
  <c r="AC728" i="59"/>
  <c r="AC729" i="59"/>
  <c r="AD748" i="59"/>
  <c r="AC748" i="59"/>
  <c r="AB750" i="59"/>
  <c r="AB749" i="59"/>
  <c r="AD769" i="59"/>
  <c r="AC769" i="59"/>
  <c r="AB770" i="59"/>
  <c r="AC685" i="59"/>
  <c r="AB708" i="59"/>
  <c r="AC771" i="59"/>
  <c r="AD706" i="59"/>
  <c r="AC706" i="59"/>
  <c r="AB686" i="59"/>
  <c r="AB707" i="59"/>
  <c r="AB687" i="59"/>
  <c r="AC658" i="59"/>
  <c r="AC660" i="59"/>
  <c r="AC657" i="59"/>
  <c r="AC664" i="59"/>
  <c r="AC662" i="59"/>
  <c r="AC663" i="59"/>
  <c r="AC654" i="59"/>
  <c r="AC653" i="59"/>
  <c r="AD655" i="59"/>
  <c r="AC656" i="59"/>
  <c r="AC652" i="59"/>
  <c r="T473" i="54" l="1"/>
  <c r="AA418" i="59"/>
  <c r="AA464" i="59" s="1"/>
  <c r="AD399" i="59"/>
  <c r="AA398" i="59"/>
  <c r="T126" i="54"/>
  <c r="S131" i="54"/>
  <c r="V132" i="54"/>
  <c r="T127" i="54"/>
  <c r="U130" i="54"/>
  <c r="AD661" i="59"/>
  <c r="AC661" i="59"/>
  <c r="AD737" i="59"/>
  <c r="AD758" i="59"/>
  <c r="AC779" i="59"/>
  <c r="AB791" i="59"/>
  <c r="AD774" i="59"/>
  <c r="AC790" i="59"/>
  <c r="AB792" i="59"/>
  <c r="AC774" i="59"/>
  <c r="AC651" i="59"/>
  <c r="AD651" i="59"/>
  <c r="AD685" i="59"/>
  <c r="AD727" i="59"/>
  <c r="AD729" i="59"/>
  <c r="AD716" i="59"/>
  <c r="AD728" i="59"/>
  <c r="T227" i="37"/>
  <c r="T240" i="37" s="1"/>
  <c r="T261" i="37" s="1"/>
  <c r="V281" i="54" s="1"/>
  <c r="S240" i="37"/>
  <c r="S261" i="37" s="1"/>
  <c r="U281" i="54" s="1"/>
  <c r="T228" i="37"/>
  <c r="T241" i="37" s="1"/>
  <c r="T262" i="37" s="1"/>
  <c r="V260" i="54" s="1"/>
  <c r="S241" i="37"/>
  <c r="S262" i="37" s="1"/>
  <c r="U260" i="54" s="1"/>
  <c r="T229" i="37"/>
  <c r="T242" i="37" s="1"/>
  <c r="T263" i="37" s="1"/>
  <c r="V302" i="54" s="1"/>
  <c r="S242" i="37"/>
  <c r="S263" i="37" s="1"/>
  <c r="U302" i="54" s="1"/>
  <c r="T226" i="37"/>
  <c r="T239" i="37" s="1"/>
  <c r="T260" i="37" s="1"/>
  <c r="V239" i="54" s="1"/>
  <c r="S239" i="37"/>
  <c r="S260" i="37" s="1"/>
  <c r="U239" i="54" s="1"/>
  <c r="T230" i="37"/>
  <c r="T243" i="37" s="1"/>
  <c r="T264" i="37" s="1"/>
  <c r="V323" i="54" s="1"/>
  <c r="S243" i="37"/>
  <c r="S264" i="37" s="1"/>
  <c r="U323" i="54" s="1"/>
  <c r="AD749" i="59"/>
  <c r="AC749" i="59"/>
  <c r="AC750" i="59"/>
  <c r="AD770" i="59"/>
  <c r="AC770" i="59"/>
  <c r="AD708" i="59"/>
  <c r="AC708" i="59"/>
  <c r="AD695" i="59"/>
  <c r="AD687" i="59"/>
  <c r="AC687" i="59"/>
  <c r="AD707" i="59"/>
  <c r="AC707" i="59"/>
  <c r="AD674" i="59"/>
  <c r="AD686" i="59"/>
  <c r="AC686" i="59"/>
  <c r="AD771" i="59"/>
  <c r="AD652" i="59"/>
  <c r="AD663" i="59"/>
  <c r="AD662" i="59"/>
  <c r="AD664" i="59"/>
  <c r="AD656" i="59"/>
  <c r="AD660" i="59"/>
  <c r="AD654" i="59"/>
  <c r="AD658" i="59"/>
  <c r="AD653" i="59"/>
  <c r="AD657" i="59"/>
  <c r="U473" i="54" l="1"/>
  <c r="AB418" i="59"/>
  <c r="AB464" i="59" s="1"/>
  <c r="T131" i="54"/>
  <c r="V130" i="54"/>
  <c r="U126" i="54"/>
  <c r="U127" i="54"/>
  <c r="AD791" i="59"/>
  <c r="AD779" i="59"/>
  <c r="AD790" i="59"/>
  <c r="AC792" i="59"/>
  <c r="AC791" i="59"/>
  <c r="AD750" i="59"/>
  <c r="AD792" i="59" s="1"/>
  <c r="V473" i="54" l="1"/>
  <c r="AD418" i="59" s="1"/>
  <c r="AD464" i="59" s="1"/>
  <c r="AC418" i="59"/>
  <c r="AC464" i="59" s="1"/>
  <c r="V127" i="54"/>
  <c r="V126" i="54"/>
  <c r="U131" i="54"/>
  <c r="V131" i="54" l="1"/>
  <c r="W698" i="59"/>
  <c r="S761" i="59"/>
  <c r="V719" i="59"/>
  <c r="S719" i="59"/>
  <c r="U761" i="59"/>
  <c r="S698" i="59"/>
  <c r="V677" i="59"/>
  <c r="X761" i="59"/>
  <c r="T698" i="59"/>
  <c r="U740" i="59"/>
  <c r="T677" i="59"/>
  <c r="X719" i="59"/>
  <c r="X740" i="59"/>
  <c r="T761" i="59"/>
  <c r="V698" i="59"/>
  <c r="T719" i="59"/>
  <c r="Y740" i="59"/>
  <c r="W677" i="59"/>
  <c r="U698" i="59"/>
  <c r="X677" i="59"/>
  <c r="U719" i="59"/>
  <c r="V740" i="59"/>
  <c r="W740" i="59"/>
  <c r="Y698" i="59"/>
  <c r="S677" i="59"/>
  <c r="X698" i="59"/>
  <c r="W761" i="59"/>
  <c r="W719" i="59"/>
  <c r="T740" i="59"/>
  <c r="Z761" i="59"/>
  <c r="V761" i="59"/>
  <c r="U677" i="59"/>
  <c r="Y677" i="59"/>
  <c r="S740" i="59"/>
  <c r="Y719" i="59" l="1"/>
  <c r="Z698" i="59"/>
  <c r="Y761" i="59"/>
  <c r="Z740" i="59"/>
  <c r="Z677" i="59"/>
  <c r="W782" i="59"/>
  <c r="V782" i="59"/>
  <c r="S782" i="59"/>
  <c r="X782" i="59"/>
  <c r="U782" i="59"/>
  <c r="T782" i="59"/>
  <c r="AA761" i="59"/>
  <c r="Z719" i="59"/>
  <c r="Y782" i="59" l="1"/>
  <c r="Z782" i="59"/>
  <c r="AA740" i="59"/>
  <c r="AA698" i="59"/>
  <c r="AA677" i="59"/>
  <c r="AB761" i="59"/>
  <c r="AA719" i="59"/>
  <c r="AB740" i="59" l="1"/>
  <c r="AB698" i="59"/>
  <c r="AA782" i="59"/>
  <c r="AB677" i="59"/>
  <c r="AC761" i="59"/>
  <c r="AB719" i="59"/>
  <c r="AC740" i="59" l="1"/>
  <c r="AB782" i="59"/>
  <c r="AC698" i="59"/>
  <c r="AC677" i="59"/>
  <c r="AD761" i="59"/>
  <c r="AC719" i="59"/>
  <c r="AD698" i="59" l="1"/>
  <c r="AD677" i="59"/>
  <c r="AC782" i="59"/>
  <c r="AD719" i="59"/>
  <c r="AD740" i="59"/>
  <c r="AD782" i="59" l="1"/>
  <c r="S680" i="59" l="1"/>
  <c r="S722" i="59"/>
  <c r="V723" i="59"/>
  <c r="T681" i="59"/>
  <c r="V702" i="59"/>
  <c r="S701" i="59"/>
  <c r="S702" i="59"/>
  <c r="T702" i="59"/>
  <c r="Y743" i="59"/>
  <c r="S764" i="59"/>
  <c r="V722" i="59"/>
  <c r="T722" i="59"/>
  <c r="U723" i="59"/>
  <c r="X701" i="59"/>
  <c r="T680" i="59"/>
  <c r="V743" i="59"/>
  <c r="T723" i="59"/>
  <c r="V680" i="59"/>
  <c r="W744" i="59"/>
  <c r="T743" i="59"/>
  <c r="V744" i="59"/>
  <c r="W723" i="59"/>
  <c r="T765" i="59"/>
  <c r="Y702" i="59"/>
  <c r="Y765" i="59"/>
  <c r="Y680" i="59"/>
  <c r="X765" i="59"/>
  <c r="T744" i="59"/>
  <c r="W764" i="59"/>
  <c r="W681" i="59"/>
  <c r="T764" i="59"/>
  <c r="V701" i="59"/>
  <c r="U743" i="59"/>
  <c r="Y744" i="59"/>
  <c r="U680" i="59"/>
  <c r="U702" i="59"/>
  <c r="X723" i="59"/>
  <c r="X680" i="59"/>
  <c r="V765" i="59"/>
  <c r="U765" i="59"/>
  <c r="Y701" i="59"/>
  <c r="S681" i="59"/>
  <c r="X744" i="59"/>
  <c r="U701" i="59"/>
  <c r="S743" i="59"/>
  <c r="W702" i="59"/>
  <c r="V764" i="59"/>
  <c r="Z743" i="59" l="1"/>
  <c r="Y723" i="59"/>
  <c r="Z765" i="59"/>
  <c r="Z702" i="59"/>
  <c r="Z680" i="59"/>
  <c r="Z744" i="59"/>
  <c r="S785" i="59"/>
  <c r="T786" i="59"/>
  <c r="V785" i="59"/>
  <c r="Z701" i="59"/>
  <c r="U764" i="59"/>
  <c r="S765" i="59"/>
  <c r="Y681" i="59"/>
  <c r="X743" i="59"/>
  <c r="X702" i="59"/>
  <c r="Y764" i="59"/>
  <c r="S744" i="59"/>
  <c r="W743" i="59"/>
  <c r="S723" i="59"/>
  <c r="T701" i="59"/>
  <c r="X722" i="59"/>
  <c r="U681" i="59"/>
  <c r="U722" i="59"/>
  <c r="X764" i="59"/>
  <c r="W680" i="59"/>
  <c r="U744" i="59"/>
  <c r="W765" i="59"/>
  <c r="W701" i="59"/>
  <c r="X681" i="59"/>
  <c r="W722" i="59"/>
  <c r="V681" i="59"/>
  <c r="Z723" i="59"/>
  <c r="AA743" i="59" l="1"/>
  <c r="AA765" i="59"/>
  <c r="AA680" i="59"/>
  <c r="AA702" i="59"/>
  <c r="AA744" i="59"/>
  <c r="Z764" i="59"/>
  <c r="AA701" i="59"/>
  <c r="Y722" i="59"/>
  <c r="Y785" i="59" s="1"/>
  <c r="U785" i="59"/>
  <c r="S786" i="59"/>
  <c r="X785" i="59"/>
  <c r="U786" i="59"/>
  <c r="W785" i="59"/>
  <c r="W786" i="59"/>
  <c r="V786" i="59"/>
  <c r="X786" i="59"/>
  <c r="Y786" i="59"/>
  <c r="T785" i="59"/>
  <c r="Z681" i="59"/>
  <c r="Z786" i="59" s="1"/>
  <c r="AA723" i="59"/>
  <c r="Z722" i="59"/>
  <c r="AB765" i="59" l="1"/>
  <c r="AB743" i="59"/>
  <c r="AB744" i="59"/>
  <c r="AB680" i="59"/>
  <c r="AB702" i="59"/>
  <c r="AA764" i="59"/>
  <c r="AB701" i="59"/>
  <c r="Z785" i="59"/>
  <c r="AA681" i="59"/>
  <c r="AA786" i="59" s="1"/>
  <c r="AA722" i="59"/>
  <c r="AB723" i="59"/>
  <c r="AC743" i="59"/>
  <c r="AC765" i="59"/>
  <c r="AC702" i="59" l="1"/>
  <c r="AC744" i="59"/>
  <c r="AC680" i="59"/>
  <c r="AB764" i="59"/>
  <c r="AB681" i="59"/>
  <c r="AB786" i="59" s="1"/>
  <c r="AC701" i="59"/>
  <c r="AA785" i="59"/>
  <c r="AC723" i="59"/>
  <c r="AB722" i="59"/>
  <c r="AD680" i="59" l="1"/>
  <c r="AB785" i="59"/>
  <c r="AC764" i="59"/>
  <c r="AD701" i="59"/>
  <c r="AC681" i="59"/>
  <c r="AC786" i="59" s="1"/>
  <c r="AD723" i="59"/>
  <c r="AC722" i="59"/>
  <c r="AD743" i="59"/>
  <c r="AD744" i="59"/>
  <c r="AD765" i="59"/>
  <c r="AD702" i="59"/>
  <c r="S7" i="52"/>
  <c r="S95" i="52"/>
  <c r="S51" i="52"/>
  <c r="Q29" i="52"/>
  <c r="Q73" i="52"/>
  <c r="T7" i="52"/>
  <c r="R51" i="52"/>
  <c r="T95" i="52"/>
  <c r="U73" i="52"/>
  <c r="Q95" i="52"/>
  <c r="R29" i="52"/>
  <c r="Q7" i="52"/>
  <c r="S29" i="52"/>
  <c r="P7" i="52"/>
  <c r="T51" i="52"/>
  <c r="U51" i="52"/>
  <c r="P95" i="52"/>
  <c r="V29" i="52"/>
  <c r="P51" i="52"/>
  <c r="R7" i="52"/>
  <c r="P29" i="52"/>
  <c r="R95" i="52"/>
  <c r="V95" i="52"/>
  <c r="U29" i="52"/>
  <c r="V7" i="52"/>
  <c r="V73" i="52"/>
  <c r="Q51" i="52"/>
  <c r="U7" i="52"/>
  <c r="V51" i="52"/>
  <c r="T29" i="52"/>
  <c r="T73" i="52"/>
  <c r="U95" i="52"/>
  <c r="R73" i="52"/>
  <c r="S73" i="52"/>
  <c r="P73" i="52"/>
  <c r="R117" i="52" l="1"/>
  <c r="U117" i="52"/>
  <c r="Q117" i="52"/>
  <c r="V117" i="52"/>
  <c r="S117" i="52"/>
  <c r="P117" i="52"/>
  <c r="T117" i="52"/>
  <c r="AC785" i="59"/>
  <c r="AD681" i="59"/>
  <c r="AD786" i="59" s="1"/>
  <c r="W684" i="59"/>
  <c r="W747" i="59"/>
  <c r="S726" i="59"/>
  <c r="T768" i="59"/>
  <c r="T747" i="59"/>
  <c r="V747" i="59"/>
  <c r="S684" i="59"/>
  <c r="X747" i="59"/>
  <c r="T705" i="59"/>
  <c r="U684" i="59"/>
  <c r="X705" i="59"/>
  <c r="V705" i="59"/>
  <c r="W768" i="59"/>
  <c r="V726" i="59"/>
  <c r="X684" i="59"/>
  <c r="Y757" i="59"/>
  <c r="Y694" i="59"/>
  <c r="T684" i="59"/>
  <c r="V768" i="59"/>
  <c r="U705" i="59"/>
  <c r="U747" i="59"/>
  <c r="S768" i="59"/>
  <c r="V684" i="59"/>
  <c r="S747" i="59"/>
  <c r="W705" i="59"/>
  <c r="U768" i="59"/>
  <c r="W726" i="59"/>
  <c r="X768" i="59"/>
  <c r="T726" i="59"/>
  <c r="S705" i="59"/>
  <c r="X726" i="59"/>
  <c r="U726" i="59"/>
  <c r="AD722" i="59"/>
  <c r="AD764" i="59"/>
  <c r="W673" i="59"/>
  <c r="V736" i="59" l="1"/>
  <c r="Y715" i="59"/>
  <c r="S715" i="59"/>
  <c r="T736" i="59"/>
  <c r="T694" i="59"/>
  <c r="Y673" i="59"/>
  <c r="T757" i="59"/>
  <c r="S673" i="59"/>
  <c r="U673" i="59"/>
  <c r="W757" i="59"/>
  <c r="W736" i="59"/>
  <c r="U694" i="59"/>
  <c r="Z757" i="59"/>
  <c r="Z694" i="59"/>
  <c r="X694" i="59"/>
  <c r="U736" i="59"/>
  <c r="V715" i="59"/>
  <c r="S757" i="59"/>
  <c r="S736" i="59"/>
  <c r="X757" i="59"/>
  <c r="T673" i="59"/>
  <c r="V789" i="59"/>
  <c r="W715" i="59"/>
  <c r="S694" i="59"/>
  <c r="AD785" i="59"/>
  <c r="X715" i="59"/>
  <c r="U789" i="59"/>
  <c r="W789" i="59"/>
  <c r="X789" i="59"/>
  <c r="T789" i="59"/>
  <c r="S789" i="59"/>
  <c r="W694" i="59"/>
  <c r="Y736" i="59"/>
  <c r="T715" i="59"/>
  <c r="X736" i="59"/>
  <c r="U715" i="59"/>
  <c r="Y747" i="59"/>
  <c r="V673" i="59"/>
  <c r="Y705" i="59"/>
  <c r="U757" i="59"/>
  <c r="V694" i="59"/>
  <c r="Y684" i="59"/>
  <c r="X673" i="59"/>
  <c r="Y768" i="59"/>
  <c r="V757" i="59"/>
  <c r="Y726" i="59"/>
  <c r="Z673" i="59"/>
  <c r="Z736" i="59"/>
  <c r="AA757" i="59" l="1"/>
  <c r="Z715" i="59"/>
  <c r="Z778" i="59" s="1"/>
  <c r="AA694" i="59"/>
  <c r="T778" i="59"/>
  <c r="S778" i="59"/>
  <c r="W778" i="59"/>
  <c r="X778" i="59"/>
  <c r="U778" i="59"/>
  <c r="V778" i="59"/>
  <c r="Y778" i="59"/>
  <c r="Y789" i="59"/>
  <c r="Z684" i="59"/>
  <c r="Z726" i="59"/>
  <c r="Z747" i="59"/>
  <c r="Z768" i="59"/>
  <c r="Z705" i="59"/>
  <c r="AA673" i="59"/>
  <c r="AA736" i="59"/>
  <c r="AA715" i="59" l="1"/>
  <c r="AA778" i="59" s="1"/>
  <c r="AB757" i="59"/>
  <c r="Z789" i="59"/>
  <c r="AA768" i="59"/>
  <c r="AA747" i="59"/>
  <c r="AA726" i="59"/>
  <c r="AA705" i="59"/>
  <c r="AA684" i="59"/>
  <c r="AB736" i="59"/>
  <c r="AB673" i="59"/>
  <c r="AB715" i="59" l="1"/>
  <c r="AB694" i="59"/>
  <c r="AA789" i="59"/>
  <c r="AB705" i="59"/>
  <c r="AB726" i="59"/>
  <c r="AB747" i="59"/>
  <c r="AB684" i="59"/>
  <c r="AB768" i="59"/>
  <c r="AC673" i="59"/>
  <c r="AC736" i="59"/>
  <c r="AC694" i="59"/>
  <c r="AC757" i="59"/>
  <c r="AC715" i="59"/>
  <c r="AB778" i="59" l="1"/>
  <c r="AB789" i="59"/>
  <c r="AC778" i="59"/>
  <c r="AD684" i="59"/>
  <c r="AC684" i="59"/>
  <c r="AD747" i="59"/>
  <c r="AC747" i="59"/>
  <c r="AD726" i="59"/>
  <c r="AC726" i="59"/>
  <c r="AD768" i="59"/>
  <c r="AC768" i="59"/>
  <c r="AC705" i="59"/>
  <c r="AD705" i="59"/>
  <c r="AD715" i="59"/>
  <c r="AD736" i="59"/>
  <c r="AD757" i="59"/>
  <c r="AD673" i="59"/>
  <c r="AD694" i="59"/>
  <c r="K223" i="52"/>
  <c r="M223" i="52"/>
  <c r="I223" i="52"/>
  <c r="J223" i="52"/>
  <c r="L223" i="52"/>
  <c r="H223" i="52"/>
  <c r="N223" i="52"/>
  <c r="BB199" i="52"/>
  <c r="AX199" i="52"/>
  <c r="BJ197" i="52"/>
  <c r="N221" i="52"/>
  <c r="BJ200" i="52"/>
  <c r="N224" i="52"/>
  <c r="I222" i="52"/>
  <c r="H221" i="52"/>
  <c r="L222" i="52"/>
  <c r="I224" i="52"/>
  <c r="K221" i="52"/>
  <c r="L224" i="52"/>
  <c r="H222" i="52"/>
  <c r="M224" i="52"/>
  <c r="M221" i="52"/>
  <c r="AX197" i="52"/>
  <c r="J221" i="52"/>
  <c r="N222" i="52"/>
  <c r="L221" i="52"/>
  <c r="H224" i="52"/>
  <c r="K222" i="52"/>
  <c r="J224" i="52"/>
  <c r="M222" i="52"/>
  <c r="I221" i="52"/>
  <c r="K224" i="52"/>
  <c r="J222" i="52"/>
  <c r="AX37" i="52" l="1"/>
  <c r="AX81" i="52"/>
  <c r="BB81" i="52"/>
  <c r="H106" i="52"/>
  <c r="L84" i="52"/>
  <c r="N62" i="52"/>
  <c r="N40" i="52"/>
  <c r="J84" i="52"/>
  <c r="N106" i="52"/>
  <c r="K106" i="52"/>
  <c r="K40" i="52"/>
  <c r="I106" i="52"/>
  <c r="M84" i="52"/>
  <c r="H62" i="52"/>
  <c r="J40" i="52"/>
  <c r="J106" i="52"/>
  <c r="L62" i="52"/>
  <c r="K84" i="52"/>
  <c r="H84" i="52"/>
  <c r="L106" i="52"/>
  <c r="I40" i="52"/>
  <c r="M40" i="52"/>
  <c r="H40" i="52"/>
  <c r="J62" i="52"/>
  <c r="L40" i="52"/>
  <c r="I84" i="52"/>
  <c r="M62" i="52"/>
  <c r="M106" i="52"/>
  <c r="K62" i="52"/>
  <c r="I62" i="52"/>
  <c r="N84" i="52"/>
  <c r="BJ103" i="52"/>
  <c r="BJ37" i="52"/>
  <c r="G3409" i="79"/>
  <c r="G3402" i="79" s="1"/>
  <c r="H48" i="52"/>
  <c r="G3246" i="79"/>
  <c r="G3277" i="79"/>
  <c r="H3246" i="79"/>
  <c r="H3277" i="79"/>
  <c r="H2877" i="79"/>
  <c r="BT200" i="52"/>
  <c r="BE200" i="52"/>
  <c r="AC789" i="59"/>
  <c r="AD789" i="59"/>
  <c r="AD778" i="59"/>
  <c r="BF198" i="52"/>
  <c r="AX198" i="52"/>
  <c r="BV198" i="52"/>
  <c r="BN198" i="52"/>
  <c r="BJ198" i="52"/>
  <c r="BZ198" i="52"/>
  <c r="BR198" i="52"/>
  <c r="BB198" i="52"/>
  <c r="BL198" i="52"/>
  <c r="BT198" i="52"/>
  <c r="AZ199" i="52"/>
  <c r="BH199" i="52"/>
  <c r="BP199" i="52"/>
  <c r="BX199" i="52"/>
  <c r="BE198" i="52"/>
  <c r="AW198" i="52"/>
  <c r="BU198" i="52"/>
  <c r="BM198" i="52"/>
  <c r="BA197" i="52"/>
  <c r="BI197" i="52"/>
  <c r="BQ197" i="52"/>
  <c r="BY197" i="52"/>
  <c r="AZ200" i="52"/>
  <c r="BH200" i="52"/>
  <c r="BP200" i="52"/>
  <c r="BX200" i="52"/>
  <c r="BM200" i="52"/>
  <c r="BI199" i="52"/>
  <c r="BA199" i="52"/>
  <c r="BY199" i="52"/>
  <c r="BQ199" i="52"/>
  <c r="AY199" i="52"/>
  <c r="BW199" i="52"/>
  <c r="BG199" i="52"/>
  <c r="BO199" i="52"/>
  <c r="AY197" i="52"/>
  <c r="BO197" i="52"/>
  <c r="BW197" i="52"/>
  <c r="BG197" i="52"/>
  <c r="AZ198" i="52"/>
  <c r="BH198" i="52"/>
  <c r="BP198" i="52"/>
  <c r="BX198" i="52"/>
  <c r="BI198" i="52"/>
  <c r="BA198" i="52"/>
  <c r="BQ198" i="52"/>
  <c r="BY198" i="52"/>
  <c r="AX200" i="52"/>
  <c r="BV200" i="52"/>
  <c r="BF200" i="52"/>
  <c r="BN200" i="52"/>
  <c r="AZ197" i="52"/>
  <c r="BH197" i="52"/>
  <c r="BP197" i="52"/>
  <c r="BX197" i="52"/>
  <c r="AY200" i="52"/>
  <c r="BO200" i="52"/>
  <c r="BG200" i="52"/>
  <c r="BW200" i="52"/>
  <c r="AW197" i="52"/>
  <c r="BE197" i="52"/>
  <c r="BM197" i="52"/>
  <c r="BU197" i="52"/>
  <c r="BE199" i="52"/>
  <c r="AW199" i="52"/>
  <c r="BU199" i="52"/>
  <c r="BM199" i="52"/>
  <c r="BA200" i="52"/>
  <c r="BI200" i="52"/>
  <c r="BQ200" i="52"/>
  <c r="BY200" i="52"/>
  <c r="AY198" i="52"/>
  <c r="BG198" i="52"/>
  <c r="BW198" i="52"/>
  <c r="BO198" i="52"/>
  <c r="BL197" i="52"/>
  <c r="BT197" i="52"/>
  <c r="BN197" i="52"/>
  <c r="BB197" i="52"/>
  <c r="BV199" i="52"/>
  <c r="BR200" i="52"/>
  <c r="BR199" i="52"/>
  <c r="BB200" i="52"/>
  <c r="BL199" i="52"/>
  <c r="BZ200" i="52"/>
  <c r="BR197" i="52"/>
  <c r="BN199" i="52"/>
  <c r="BZ199" i="52"/>
  <c r="BF197" i="52"/>
  <c r="BZ197" i="52"/>
  <c r="BF199" i="52"/>
  <c r="BJ199" i="52"/>
  <c r="BV197" i="52"/>
  <c r="BT199" i="52"/>
  <c r="K152" i="54" l="1"/>
  <c r="BR37" i="52"/>
  <c r="BT37" i="52"/>
  <c r="BZ37" i="52"/>
  <c r="BL37" i="52"/>
  <c r="AW81" i="52"/>
  <c r="BO103" i="52"/>
  <c r="BV103" i="52"/>
  <c r="BW81" i="52"/>
  <c r="BU59" i="52"/>
  <c r="BV59" i="52"/>
  <c r="AY103" i="52"/>
  <c r="AX103" i="52"/>
  <c r="AZ59" i="52"/>
  <c r="AY81" i="52"/>
  <c r="AW59" i="52"/>
  <c r="AX59" i="52"/>
  <c r="BY103" i="52"/>
  <c r="BU37" i="52"/>
  <c r="BY59" i="52"/>
  <c r="BQ81" i="52"/>
  <c r="BL81" i="52"/>
  <c r="BM37" i="52"/>
  <c r="BQ59" i="52"/>
  <c r="BY37" i="52"/>
  <c r="BB103" i="52"/>
  <c r="BR81" i="52"/>
  <c r="BA103" i="52"/>
  <c r="AW37" i="52"/>
  <c r="AZ37" i="52"/>
  <c r="BZ59" i="52"/>
  <c r="BT81" i="52"/>
  <c r="BB37" i="52"/>
  <c r="BZ103" i="52"/>
  <c r="AY59" i="52"/>
  <c r="BX37" i="52"/>
  <c r="BQ103" i="52"/>
  <c r="BP37" i="52"/>
  <c r="BW37" i="52"/>
  <c r="BY81" i="52"/>
  <c r="BX81" i="52"/>
  <c r="BB59" i="52"/>
  <c r="BP103" i="52"/>
  <c r="BL59" i="52"/>
  <c r="BV37" i="52"/>
  <c r="BN37" i="52"/>
  <c r="AZ103" i="52"/>
  <c r="BA59" i="52"/>
  <c r="BO37" i="52"/>
  <c r="BA81" i="52"/>
  <c r="BQ37" i="52"/>
  <c r="BP81" i="52"/>
  <c r="BR59" i="52"/>
  <c r="AY37" i="52"/>
  <c r="BZ81" i="52"/>
  <c r="BR103" i="52"/>
  <c r="BO59" i="52"/>
  <c r="BM81" i="52"/>
  <c r="BW103" i="52"/>
  <c r="BN103" i="52"/>
  <c r="BX59" i="52"/>
  <c r="BO81" i="52"/>
  <c r="BM103" i="52"/>
  <c r="BA37" i="52"/>
  <c r="AZ81" i="52"/>
  <c r="BN81" i="52"/>
  <c r="BV81" i="52"/>
  <c r="BW59" i="52"/>
  <c r="BU81" i="52"/>
  <c r="BP59" i="52"/>
  <c r="BX103" i="52"/>
  <c r="BM59" i="52"/>
  <c r="BT59" i="52"/>
  <c r="BN59" i="52"/>
  <c r="BT103" i="52"/>
  <c r="BF81" i="52"/>
  <c r="BG103" i="52"/>
  <c r="BF103" i="52"/>
  <c r="BG81" i="52"/>
  <c r="BG59" i="52"/>
  <c r="BI103" i="52"/>
  <c r="BE37" i="52"/>
  <c r="BH37" i="52"/>
  <c r="BH59" i="52"/>
  <c r="BF37" i="52"/>
  <c r="BE81" i="52"/>
  <c r="BI59" i="52"/>
  <c r="BI81" i="52"/>
  <c r="BH103" i="52"/>
  <c r="BI37" i="52"/>
  <c r="BH81" i="52"/>
  <c r="BJ81" i="52"/>
  <c r="BG37" i="52"/>
  <c r="BE59" i="52"/>
  <c r="BJ59" i="52"/>
  <c r="BF59" i="52"/>
  <c r="BE103" i="52"/>
  <c r="H262" i="52"/>
  <c r="H3271" i="79"/>
  <c r="H3269" i="79" s="1"/>
  <c r="H3256" i="79" s="1"/>
  <c r="BU245" i="52" s="1"/>
  <c r="G3271" i="79"/>
  <c r="G3269" i="79" s="1"/>
  <c r="G3256" i="79" s="1"/>
  <c r="BT245" i="52" s="1"/>
  <c r="H3240" i="79"/>
  <c r="H3238" i="79" s="1"/>
  <c r="G3240" i="79"/>
  <c r="G3238" i="79" s="1"/>
  <c r="G3225" i="79" s="1"/>
  <c r="BT244" i="52" s="1"/>
  <c r="H2871" i="79"/>
  <c r="H2869" i="79" s="1"/>
  <c r="H2857" i="79" s="1"/>
  <c r="BU239" i="52" s="1"/>
  <c r="BU200" i="52"/>
  <c r="BL200" i="52"/>
  <c r="AW200" i="52"/>
  <c r="I2337" i="79"/>
  <c r="M2338" i="79"/>
  <c r="H2338" i="79"/>
  <c r="M2339" i="79"/>
  <c r="M2337" i="79"/>
  <c r="I2339" i="79"/>
  <c r="L2340" i="79"/>
  <c r="J2337" i="79"/>
  <c r="H2339" i="79"/>
  <c r="J2338" i="79"/>
  <c r="L2339" i="79"/>
  <c r="K2340" i="79"/>
  <c r="K2339" i="79"/>
  <c r="H2337" i="79"/>
  <c r="M2340" i="79"/>
  <c r="J2340" i="79"/>
  <c r="I2340" i="79"/>
  <c r="K2338" i="79"/>
  <c r="K2337" i="79"/>
  <c r="J2339" i="79"/>
  <c r="I2338" i="79"/>
  <c r="L2338" i="79"/>
  <c r="L2337" i="79"/>
  <c r="BT22" i="52" l="1"/>
  <c r="BU44" i="52"/>
  <c r="BU45" i="52"/>
  <c r="BU133" i="52" s="1"/>
  <c r="AW103" i="52"/>
  <c r="BT44" i="52"/>
  <c r="BL103" i="52"/>
  <c r="BU103" i="52"/>
  <c r="H26" i="52"/>
  <c r="H3253" i="79"/>
  <c r="H3216" i="79" s="1"/>
  <c r="I245" i="52" s="1"/>
  <c r="H2853" i="79"/>
  <c r="H2812" i="79" s="1"/>
  <c r="I239" i="52" s="1"/>
  <c r="G3222" i="79"/>
  <c r="G3215" i="79" s="1"/>
  <c r="H244" i="52" s="1"/>
  <c r="G3253" i="79"/>
  <c r="G3216" i="79" s="1"/>
  <c r="H245" i="52" s="1"/>
  <c r="M198" i="52"/>
  <c r="I197" i="52"/>
  <c r="J198" i="52"/>
  <c r="J200" i="52"/>
  <c r="L199" i="52"/>
  <c r="I199" i="52"/>
  <c r="J199" i="52"/>
  <c r="I198" i="52"/>
  <c r="L198" i="52"/>
  <c r="K198" i="52"/>
  <c r="N199" i="52"/>
  <c r="K199" i="52"/>
  <c r="K200" i="52"/>
  <c r="L200" i="52"/>
  <c r="K197" i="52"/>
  <c r="N198" i="52"/>
  <c r="M197" i="52"/>
  <c r="L197" i="52"/>
  <c r="N200" i="52"/>
  <c r="M199" i="52"/>
  <c r="M200" i="52"/>
  <c r="N197" i="52"/>
  <c r="J197" i="52"/>
  <c r="H3225" i="79"/>
  <c r="BU244" i="52" s="1"/>
  <c r="H2340" i="79"/>
  <c r="L220" i="52"/>
  <c r="N220" i="52"/>
  <c r="M220" i="52"/>
  <c r="J220" i="52"/>
  <c r="I220" i="52"/>
  <c r="H220" i="52"/>
  <c r="K220" i="52"/>
  <c r="BT132" i="52" l="1"/>
  <c r="BU22" i="52"/>
  <c r="BU132" i="52" s="1"/>
  <c r="H136" i="52"/>
  <c r="M103" i="52"/>
  <c r="H22" i="52"/>
  <c r="L18" i="52"/>
  <c r="N103" i="52"/>
  <c r="K81" i="52"/>
  <c r="L81" i="52"/>
  <c r="N18" i="52"/>
  <c r="I81" i="52"/>
  <c r="I45" i="52"/>
  <c r="L147" i="54" s="1"/>
  <c r="K18" i="52"/>
  <c r="M37" i="52"/>
  <c r="N81" i="52"/>
  <c r="J59" i="52"/>
  <c r="I44" i="52"/>
  <c r="L103" i="52"/>
  <c r="K103" i="52"/>
  <c r="N59" i="52"/>
  <c r="K59" i="52"/>
  <c r="M18" i="52"/>
  <c r="J81" i="52"/>
  <c r="M81" i="52"/>
  <c r="J103" i="52"/>
  <c r="I18" i="52"/>
  <c r="J37" i="52"/>
  <c r="L59" i="52"/>
  <c r="I37" i="52"/>
  <c r="K131" i="54"/>
  <c r="H44" i="52"/>
  <c r="L37" i="52"/>
  <c r="H18" i="52"/>
  <c r="J18" i="52"/>
  <c r="N37" i="52"/>
  <c r="K37" i="52"/>
  <c r="I59" i="52"/>
  <c r="M59" i="52"/>
  <c r="H3222" i="79"/>
  <c r="H3215" i="79" s="1"/>
  <c r="I244" i="52" s="1"/>
  <c r="I200" i="52"/>
  <c r="BY196" i="52"/>
  <c r="BF196" i="52"/>
  <c r="BH196" i="52"/>
  <c r="BW196" i="52"/>
  <c r="BU196" i="52"/>
  <c r="BR196" i="52"/>
  <c r="Q140" i="54" l="1"/>
  <c r="R140" i="54" s="1"/>
  <c r="S140" i="54" s="1"/>
  <c r="T140" i="54" s="1"/>
  <c r="U140" i="54" s="1"/>
  <c r="V140" i="54" s="1"/>
  <c r="K148" i="54"/>
  <c r="M182" i="54"/>
  <c r="L148" i="54"/>
  <c r="O182" i="54"/>
  <c r="M140" i="54"/>
  <c r="Q161" i="54"/>
  <c r="R161" i="54" s="1"/>
  <c r="S161" i="54" s="1"/>
  <c r="T161" i="54" s="1"/>
  <c r="U161" i="54" s="1"/>
  <c r="V161" i="54" s="1"/>
  <c r="P161" i="54"/>
  <c r="M161" i="54"/>
  <c r="N182" i="54"/>
  <c r="P203" i="54"/>
  <c r="L161" i="54"/>
  <c r="L140" i="54"/>
  <c r="O161" i="54"/>
  <c r="M203" i="54"/>
  <c r="N203" i="54"/>
  <c r="Q182" i="54"/>
  <c r="R182" i="54" s="1"/>
  <c r="S182" i="54" s="1"/>
  <c r="T182" i="54" s="1"/>
  <c r="U182" i="54" s="1"/>
  <c r="V182" i="54" s="1"/>
  <c r="L182" i="54"/>
  <c r="Q203" i="54"/>
  <c r="R203" i="54" s="1"/>
  <c r="S203" i="54" s="1"/>
  <c r="T203" i="54" s="1"/>
  <c r="U203" i="54" s="1"/>
  <c r="V203" i="54" s="1"/>
  <c r="N140" i="54"/>
  <c r="O140" i="54"/>
  <c r="P182" i="54"/>
  <c r="N161" i="54"/>
  <c r="O203" i="54"/>
  <c r="P140" i="54"/>
  <c r="K128" i="52"/>
  <c r="H132" i="52"/>
  <c r="BW15" i="52"/>
  <c r="BW125" i="52" s="1"/>
  <c r="J128" i="52"/>
  <c r="BR15" i="52"/>
  <c r="BR125" i="52" s="1"/>
  <c r="L128" i="52"/>
  <c r="BU15" i="52"/>
  <c r="BU125" i="52" s="1"/>
  <c r="BH15" i="52"/>
  <c r="BH125" i="52" s="1"/>
  <c r="M18" i="91" s="1"/>
  <c r="I128" i="52"/>
  <c r="I133" i="52"/>
  <c r="BY15" i="52"/>
  <c r="BY125" i="52" s="1"/>
  <c r="N128" i="52"/>
  <c r="M128" i="52"/>
  <c r="BF15" i="52"/>
  <c r="BF125" i="52" s="1"/>
  <c r="H128" i="52"/>
  <c r="I103" i="52"/>
  <c r="K127" i="54"/>
  <c r="I22" i="52"/>
  <c r="AZ196" i="52"/>
  <c r="BJ196" i="52"/>
  <c r="BP196" i="52"/>
  <c r="BX196" i="52"/>
  <c r="BE196" i="52"/>
  <c r="BN196" i="52"/>
  <c r="BI196" i="52"/>
  <c r="BQ196" i="52"/>
  <c r="BA196" i="52"/>
  <c r="AX196" i="52"/>
  <c r="BT196" i="52"/>
  <c r="BV196" i="52"/>
  <c r="BM196" i="52"/>
  <c r="BZ196" i="52"/>
  <c r="AW196" i="52"/>
  <c r="BB196" i="52"/>
  <c r="BO196" i="52"/>
  <c r="AY196" i="52"/>
  <c r="BL196" i="52"/>
  <c r="BG196" i="52"/>
  <c r="L203" i="54" l="1"/>
  <c r="BZ15" i="52"/>
  <c r="BZ125" i="52" s="1"/>
  <c r="BI15" i="52"/>
  <c r="BI125" i="52" s="1"/>
  <c r="BO15" i="52"/>
  <c r="BO125" i="52" s="1"/>
  <c r="BJ15" i="52"/>
  <c r="BJ125" i="52" s="1"/>
  <c r="I132" i="52"/>
  <c r="BM15" i="52"/>
  <c r="BM125" i="52" s="1"/>
  <c r="BN15" i="52"/>
  <c r="BN125" i="52" s="1"/>
  <c r="BQ15" i="52"/>
  <c r="BQ125" i="52" s="1"/>
  <c r="BT15" i="52"/>
  <c r="BT125" i="52" s="1"/>
  <c r="BP15" i="52"/>
  <c r="BP125" i="52" s="1"/>
  <c r="BG15" i="52"/>
  <c r="BG125" i="52" s="1"/>
  <c r="BE15" i="52"/>
  <c r="BE125" i="52" s="1"/>
  <c r="BL15" i="52"/>
  <c r="BL125" i="52" s="1"/>
  <c r="BV15" i="52"/>
  <c r="BV125" i="52" s="1"/>
  <c r="BX15" i="52"/>
  <c r="BX125" i="52" s="1"/>
  <c r="L127" i="54"/>
  <c r="AY15" i="52"/>
  <c r="AY125" i="52" s="1"/>
  <c r="BB15" i="52"/>
  <c r="BB125" i="52" s="1"/>
  <c r="AW15" i="52"/>
  <c r="AW125" i="52" s="1"/>
  <c r="AX15" i="52"/>
  <c r="AX125" i="52" s="1"/>
  <c r="BA15" i="52"/>
  <c r="BA125" i="52" s="1"/>
  <c r="AZ15" i="52"/>
  <c r="AZ125" i="52" s="1"/>
  <c r="I2343" i="79"/>
  <c r="I2336" i="79" s="1"/>
  <c r="H2343" i="79"/>
  <c r="H2336" i="79" s="1"/>
  <c r="K2343" i="79"/>
  <c r="K2336" i="79" s="1"/>
  <c r="L2343" i="79"/>
  <c r="L2336" i="79" s="1"/>
  <c r="M2343" i="79"/>
  <c r="M2336" i="79" s="1"/>
  <c r="J2343" i="79"/>
  <c r="J2336" i="79" s="1"/>
  <c r="O20" i="91" l="1"/>
  <c r="M20" i="91"/>
  <c r="M17" i="91"/>
  <c r="O17" i="91"/>
  <c r="M19" i="91"/>
  <c r="O19" i="91"/>
  <c r="P17" i="91"/>
  <c r="P19" i="91"/>
  <c r="P20" i="91"/>
  <c r="N196" i="52"/>
  <c r="J196" i="52"/>
  <c r="M196" i="52"/>
  <c r="K196" i="52"/>
  <c r="L196" i="52"/>
  <c r="I196" i="52"/>
  <c r="J15" i="52" l="1"/>
  <c r="N15" i="52"/>
  <c r="K15" i="52"/>
  <c r="I15" i="52"/>
  <c r="M15" i="52"/>
  <c r="L15" i="52"/>
  <c r="L21" i="52"/>
  <c r="N21" i="52"/>
  <c r="H21" i="52"/>
  <c r="I21" i="52"/>
  <c r="K21" i="52"/>
  <c r="M21" i="52"/>
  <c r="J21" i="52"/>
  <c r="M131" i="52" l="1"/>
  <c r="H131" i="52"/>
  <c r="N131" i="52"/>
  <c r="I125" i="52"/>
  <c r="L125" i="52"/>
  <c r="L131" i="52"/>
  <c r="N125" i="52"/>
  <c r="I131" i="52"/>
  <c r="K125" i="52"/>
  <c r="K131" i="52"/>
  <c r="J131" i="52"/>
  <c r="M125" i="52"/>
  <c r="J125" i="52"/>
  <c r="L119" i="54"/>
  <c r="K120" i="54"/>
  <c r="O119" i="54"/>
  <c r="O120" i="54"/>
  <c r="L120" i="54"/>
  <c r="N119" i="54"/>
  <c r="Q119" i="54"/>
  <c r="R119" i="54" s="1"/>
  <c r="S119" i="54" s="1"/>
  <c r="Q120" i="54"/>
  <c r="R120" i="54" s="1"/>
  <c r="M120" i="54"/>
  <c r="N120" i="54"/>
  <c r="P120" i="54"/>
  <c r="P119" i="54"/>
  <c r="M119" i="54"/>
  <c r="I69" i="37"/>
  <c r="I75" i="37"/>
  <c r="K223" i="54"/>
  <c r="F270" i="37"/>
  <c r="A270" i="37"/>
  <c r="F269" i="37"/>
  <c r="A269" i="37"/>
  <c r="C266" i="37"/>
  <c r="Q271" i="54" l="1"/>
  <c r="P250" i="54"/>
  <c r="R226" i="54"/>
  <c r="R10" i="54" s="1"/>
  <c r="R286" i="54"/>
  <c r="Q243" i="54"/>
  <c r="R307" i="54"/>
  <c r="Q310" i="54"/>
  <c r="Q309" i="54"/>
  <c r="R244" i="54"/>
  <c r="R265" i="54"/>
  <c r="R223" i="54"/>
  <c r="R7" i="54" s="1"/>
  <c r="R274" i="54"/>
  <c r="R267" i="54"/>
  <c r="P249" i="54"/>
  <c r="M313" i="54"/>
  <c r="R246" i="54"/>
  <c r="P243" i="54"/>
  <c r="Q250" i="54"/>
  <c r="P292" i="54"/>
  <c r="O251" i="54"/>
  <c r="K293" i="54"/>
  <c r="R310" i="54"/>
  <c r="P313" i="54"/>
  <c r="Q249" i="54"/>
  <c r="P291" i="54"/>
  <c r="R293" i="54"/>
  <c r="Q226" i="54"/>
  <c r="Q10" i="54" s="1"/>
  <c r="P312" i="54"/>
  <c r="Q288" i="54"/>
  <c r="P285" i="54"/>
  <c r="Q251" i="54"/>
  <c r="O229" i="54"/>
  <c r="Q291" i="54"/>
  <c r="R289" i="54"/>
  <c r="Q289" i="54"/>
  <c r="Q285" i="54"/>
  <c r="R288" i="54"/>
  <c r="Q268" i="54"/>
  <c r="Q246" i="54"/>
  <c r="P271" i="54"/>
  <c r="R225" i="54"/>
  <c r="R9" i="54" s="1"/>
  <c r="Q267" i="54"/>
  <c r="Q311" i="54"/>
  <c r="K251" i="54"/>
  <c r="M293" i="54"/>
  <c r="M229" i="54"/>
  <c r="K313" i="54"/>
  <c r="Q222" i="54"/>
  <c r="Q6" i="54" s="1"/>
  <c r="P227" i="54"/>
  <c r="P11" i="54" s="1"/>
  <c r="L293" i="54"/>
  <c r="N229" i="54"/>
  <c r="L313" i="54"/>
  <c r="Q247" i="54"/>
  <c r="R268" i="54"/>
  <c r="Q292" i="54"/>
  <c r="S272" i="54"/>
  <c r="P251" i="54"/>
  <c r="S251" i="54"/>
  <c r="R273" i="54"/>
  <c r="S293" i="54"/>
  <c r="P229" i="54"/>
  <c r="O313" i="54"/>
  <c r="Q270" i="54"/>
  <c r="P293" i="54"/>
  <c r="N313" i="54"/>
  <c r="Q264" i="54"/>
  <c r="R247" i="54"/>
  <c r="P264" i="54"/>
  <c r="P306" i="54"/>
  <c r="M251" i="54"/>
  <c r="N251" i="54"/>
  <c r="R251" i="54"/>
  <c r="Q293" i="54"/>
  <c r="N293" i="54"/>
  <c r="Q229" i="54"/>
  <c r="R309" i="54"/>
  <c r="P270" i="54"/>
  <c r="L251" i="54"/>
  <c r="O293" i="54"/>
  <c r="L229" i="54"/>
  <c r="Q228" i="54"/>
  <c r="Q225" i="54"/>
  <c r="Q9" i="54" s="1"/>
  <c r="N228" i="54"/>
  <c r="P288" i="54"/>
  <c r="P307" i="54"/>
  <c r="O228" i="54"/>
  <c r="P289" i="54"/>
  <c r="P244" i="54"/>
  <c r="Q223" i="54"/>
  <c r="Q7" i="54" s="1"/>
  <c r="P225" i="54"/>
  <c r="P9" i="54" s="1"/>
  <c r="P246" i="54"/>
  <c r="Q286" i="54"/>
  <c r="Q307" i="54"/>
  <c r="P247" i="54"/>
  <c r="M312" i="54"/>
  <c r="O270" i="54"/>
  <c r="Q244" i="54"/>
  <c r="K292" i="54"/>
  <c r="O243" i="54"/>
  <c r="Q265" i="54"/>
  <c r="O250" i="54"/>
  <c r="P286" i="54"/>
  <c r="P311" i="54"/>
  <c r="M292" i="54"/>
  <c r="P222" i="54"/>
  <c r="P6" i="54" s="1"/>
  <c r="P267" i="54"/>
  <c r="O227" i="54"/>
  <c r="O11" i="54" s="1"/>
  <c r="M250" i="54"/>
  <c r="N292" i="54"/>
  <c r="P310" i="54"/>
  <c r="O264" i="54"/>
  <c r="P248" i="54"/>
  <c r="N250" i="54"/>
  <c r="N312" i="54"/>
  <c r="O292" i="54"/>
  <c r="P309" i="54"/>
  <c r="O271" i="54"/>
  <c r="O312" i="54"/>
  <c r="L228" i="54"/>
  <c r="K312" i="54"/>
  <c r="O291" i="54"/>
  <c r="O311" i="54"/>
  <c r="M228" i="54"/>
  <c r="L312" i="54"/>
  <c r="O285" i="54"/>
  <c r="P226" i="54"/>
  <c r="P10" i="54" s="1"/>
  <c r="O249" i="54"/>
  <c r="R272" i="54"/>
  <c r="P290" i="54"/>
  <c r="P269" i="54"/>
  <c r="L292" i="54"/>
  <c r="P228" i="54"/>
  <c r="P268" i="54"/>
  <c r="N249" i="54"/>
  <c r="L311" i="54"/>
  <c r="O268" i="54"/>
  <c r="P223" i="54"/>
  <c r="P7" i="54" s="1"/>
  <c r="L291" i="54"/>
  <c r="O310" i="54"/>
  <c r="N264" i="54"/>
  <c r="O307" i="54"/>
  <c r="P265" i="54"/>
  <c r="N291" i="54"/>
  <c r="O244" i="54"/>
  <c r="O222" i="54"/>
  <c r="O6" i="54" s="1"/>
  <c r="N244" i="54"/>
  <c r="O248" i="54"/>
  <c r="K250" i="54"/>
  <c r="M311" i="54"/>
  <c r="O288" i="54"/>
  <c r="O269" i="54"/>
  <c r="N311" i="54"/>
  <c r="O289" i="54"/>
  <c r="O247" i="54"/>
  <c r="N271" i="54"/>
  <c r="O290" i="54"/>
  <c r="K291" i="54"/>
  <c r="N306" i="54"/>
  <c r="O246" i="54"/>
  <c r="Q273" i="54"/>
  <c r="Q274" i="54"/>
  <c r="L227" i="54"/>
  <c r="L11" i="54" s="1"/>
  <c r="M291" i="54"/>
  <c r="O225" i="54"/>
  <c r="O9" i="54" s="1"/>
  <c r="O267" i="54"/>
  <c r="M227" i="54"/>
  <c r="M11" i="54" s="1"/>
  <c r="O306" i="54"/>
  <c r="O226" i="54"/>
  <c r="O10" i="54" s="1"/>
  <c r="O309" i="54"/>
  <c r="N227" i="54"/>
  <c r="N11" i="54" s="1"/>
  <c r="L250" i="54"/>
  <c r="K311" i="54"/>
  <c r="N285" i="54"/>
  <c r="N243" i="54"/>
  <c r="N270" i="54"/>
  <c r="N307" i="54"/>
  <c r="M310" i="54"/>
  <c r="N289" i="54"/>
  <c r="M264" i="54"/>
  <c r="O286" i="54"/>
  <c r="O265" i="54"/>
  <c r="O223" i="54"/>
  <c r="O7" i="54" s="1"/>
  <c r="N272" i="54"/>
  <c r="M243" i="54"/>
  <c r="M249" i="54"/>
  <c r="N310" i="54"/>
  <c r="N273" i="54"/>
  <c r="N226" i="54"/>
  <c r="N10" i="54" s="1"/>
  <c r="N309" i="54"/>
  <c r="P273" i="54"/>
  <c r="N247" i="54"/>
  <c r="M306" i="54"/>
  <c r="N246" i="54"/>
  <c r="N290" i="54"/>
  <c r="M222" i="54"/>
  <c r="M6" i="54" s="1"/>
  <c r="K310" i="54"/>
  <c r="N288" i="54"/>
  <c r="N265" i="54"/>
  <c r="N286" i="54"/>
  <c r="N269" i="54"/>
  <c r="L310" i="54"/>
  <c r="N225" i="54"/>
  <c r="N9" i="54" s="1"/>
  <c r="M271" i="54"/>
  <c r="N248" i="54"/>
  <c r="L249" i="54"/>
  <c r="M226" i="54"/>
  <c r="M10" i="54" s="1"/>
  <c r="N267" i="54"/>
  <c r="M270" i="54"/>
  <c r="M307" i="54"/>
  <c r="N274" i="54"/>
  <c r="K249" i="54"/>
  <c r="L290" i="54"/>
  <c r="N268" i="54"/>
  <c r="N223" i="54"/>
  <c r="N7" i="54" s="1"/>
  <c r="Q272" i="54"/>
  <c r="O274" i="54"/>
  <c r="K226" i="54"/>
  <c r="N222" i="54"/>
  <c r="N6" i="54" s="1"/>
  <c r="K290" i="54"/>
  <c r="O273" i="54"/>
  <c r="L226" i="54"/>
  <c r="L10" i="54" s="1"/>
  <c r="M248" i="54"/>
  <c r="P274" i="54"/>
  <c r="M290" i="54"/>
  <c r="M223" i="54"/>
  <c r="M7" i="54" s="1"/>
  <c r="M267" i="54"/>
  <c r="M265" i="54"/>
  <c r="L264" i="54"/>
  <c r="M288" i="54"/>
  <c r="M244" i="54"/>
  <c r="M273" i="54"/>
  <c r="L309" i="54"/>
  <c r="M285" i="54"/>
  <c r="L269" i="54"/>
  <c r="K271" i="54"/>
  <c r="K270" i="54"/>
  <c r="L225" i="54"/>
  <c r="L9" i="54" s="1"/>
  <c r="P272" i="54"/>
  <c r="M246" i="54"/>
  <c r="M286" i="54"/>
  <c r="K309" i="54"/>
  <c r="L289" i="54"/>
  <c r="M247" i="54"/>
  <c r="L223" i="54"/>
  <c r="L7" i="54" s="1"/>
  <c r="K248" i="54"/>
  <c r="K225" i="54"/>
  <c r="K9" i="54" s="1"/>
  <c r="L248" i="54"/>
  <c r="M225" i="54"/>
  <c r="M9" i="54" s="1"/>
  <c r="M269" i="54"/>
  <c r="M309" i="54"/>
  <c r="M268" i="54"/>
  <c r="K289" i="54"/>
  <c r="M274" i="54"/>
  <c r="M289" i="54"/>
  <c r="L270" i="54"/>
  <c r="O272" i="54"/>
  <c r="L306" i="54"/>
  <c r="L271" i="54"/>
  <c r="L247" i="54"/>
  <c r="K247" i="54"/>
  <c r="L222" i="54"/>
  <c r="L6" i="54" s="1"/>
  <c r="L286" i="54"/>
  <c r="L285" i="54"/>
  <c r="K286" i="54"/>
  <c r="L288" i="54"/>
  <c r="M272" i="54"/>
  <c r="L265" i="54"/>
  <c r="L274" i="54"/>
  <c r="K288" i="54"/>
  <c r="L267" i="54"/>
  <c r="L243" i="54"/>
  <c r="L244" i="54"/>
  <c r="K269" i="54"/>
  <c r="L268" i="54"/>
  <c r="K243" i="54"/>
  <c r="K307" i="54"/>
  <c r="L307" i="54"/>
  <c r="K244" i="54"/>
  <c r="L273" i="54"/>
  <c r="K264" i="54"/>
  <c r="L272" i="54"/>
  <c r="K246" i="54"/>
  <c r="K285" i="54"/>
  <c r="K306" i="54"/>
  <c r="O263" i="54"/>
  <c r="T305" i="54"/>
  <c r="K268" i="54"/>
  <c r="K267" i="54"/>
  <c r="S284" i="54"/>
  <c r="L246" i="54"/>
  <c r="V276" i="54"/>
  <c r="K273" i="54"/>
  <c r="M276" i="54"/>
  <c r="M263" i="54"/>
  <c r="V263" i="54"/>
  <c r="N263" i="54"/>
  <c r="P276" i="54"/>
  <c r="Q221" i="54"/>
  <c r="Q5" i="54" s="1"/>
  <c r="Q263" i="54"/>
  <c r="P221" i="54"/>
  <c r="P5" i="54" s="1"/>
  <c r="L242" i="54"/>
  <c r="K263" i="54"/>
  <c r="U280" i="54"/>
  <c r="T263" i="54"/>
  <c r="S280" i="54"/>
  <c r="R263" i="54"/>
  <c r="P277" i="54"/>
  <c r="V242" i="54"/>
  <c r="S276" i="54"/>
  <c r="M280" i="54"/>
  <c r="K274" i="54"/>
  <c r="S221" i="54"/>
  <c r="S5" i="54" s="1"/>
  <c r="L263" i="54"/>
  <c r="N276" i="54"/>
  <c r="L280" i="54"/>
  <c r="U221" i="54"/>
  <c r="U5" i="54" s="1"/>
  <c r="O221" i="54"/>
  <c r="O5" i="54" s="1"/>
  <c r="P263" i="54"/>
  <c r="M242" i="54"/>
  <c r="Q284" i="54"/>
  <c r="Q280" i="54"/>
  <c r="R280" i="54"/>
  <c r="M221" i="54"/>
  <c r="M5" i="54" s="1"/>
  <c r="K221" i="54"/>
  <c r="K5" i="54" s="1"/>
  <c r="U263" i="54"/>
  <c r="N279" i="54"/>
  <c r="V305" i="54"/>
  <c r="Q276" i="54"/>
  <c r="P279" i="54"/>
  <c r="R276" i="54"/>
  <c r="O280" i="54"/>
  <c r="P280" i="54"/>
  <c r="R221" i="54"/>
  <c r="R5" i="54" s="1"/>
  <c r="N221" i="54"/>
  <c r="N5" i="54" s="1"/>
  <c r="M279" i="54"/>
  <c r="N305" i="54"/>
  <c r="U276" i="54"/>
  <c r="V280" i="54"/>
  <c r="N280" i="54"/>
  <c r="T221" i="54"/>
  <c r="T5" i="54" s="1"/>
  <c r="S263" i="54"/>
  <c r="V277" i="54"/>
  <c r="O242" i="54"/>
  <c r="U277" i="54"/>
  <c r="U242" i="54"/>
  <c r="K276" i="54"/>
  <c r="T280" i="54"/>
  <c r="L221" i="54"/>
  <c r="L5" i="54" s="1"/>
  <c r="K277" i="54"/>
  <c r="K278" i="54"/>
  <c r="K284" i="54"/>
  <c r="L279" i="54"/>
  <c r="T277" i="54"/>
  <c r="S305" i="54"/>
  <c r="S242" i="54"/>
  <c r="R278" i="54"/>
  <c r="V279" i="54"/>
  <c r="K279" i="54"/>
  <c r="S277" i="54"/>
  <c r="R305" i="54"/>
  <c r="K242" i="54"/>
  <c r="L276" i="54"/>
  <c r="K272" i="54"/>
  <c r="P278" i="54"/>
  <c r="U279" i="54"/>
  <c r="R279" i="54"/>
  <c r="O277" i="54"/>
  <c r="U305" i="54"/>
  <c r="K305" i="54"/>
  <c r="N242" i="54"/>
  <c r="S275" i="54"/>
  <c r="O284" i="54"/>
  <c r="T279" i="54"/>
  <c r="O279" i="54"/>
  <c r="N277" i="54"/>
  <c r="M305" i="54"/>
  <c r="Q305" i="54"/>
  <c r="T242" i="54"/>
  <c r="O276" i="54"/>
  <c r="V275" i="54"/>
  <c r="U284" i="54"/>
  <c r="S279" i="54"/>
  <c r="R277" i="54"/>
  <c r="M277" i="54"/>
  <c r="P305" i="54"/>
  <c r="L305" i="54"/>
  <c r="R242" i="54"/>
  <c r="Q278" i="54"/>
  <c r="P284" i="54"/>
  <c r="Q279" i="54"/>
  <c r="Q277" i="54"/>
  <c r="L277" i="54"/>
  <c r="O305" i="54"/>
  <c r="Q242" i="54"/>
  <c r="P242" i="54"/>
  <c r="T276" i="54"/>
  <c r="O278" i="54"/>
  <c r="M284" i="54"/>
  <c r="M278" i="54"/>
  <c r="R284" i="54"/>
  <c r="K280" i="54"/>
  <c r="O275" i="54"/>
  <c r="K275" i="54"/>
  <c r="S278" i="54"/>
  <c r="T284" i="54"/>
  <c r="Q275" i="54"/>
  <c r="N275" i="54"/>
  <c r="U275" i="54"/>
  <c r="P275" i="54"/>
  <c r="L278" i="54"/>
  <c r="L284" i="54"/>
  <c r="V221" i="54"/>
  <c r="V5" i="54" s="1"/>
  <c r="T275" i="54"/>
  <c r="R275" i="54"/>
  <c r="K265" i="54"/>
  <c r="M275" i="54"/>
  <c r="U278" i="54"/>
  <c r="N278" i="54"/>
  <c r="V284" i="54"/>
  <c r="L275" i="54"/>
  <c r="T278" i="54"/>
  <c r="V278" i="54"/>
  <c r="N284" i="54"/>
  <c r="K227" i="54"/>
  <c r="K11" i="54" s="1"/>
  <c r="K228" i="54"/>
  <c r="K222" i="54"/>
  <c r="K6" i="54" s="1"/>
  <c r="K229" i="54"/>
  <c r="T119" i="54"/>
  <c r="S120" i="54"/>
  <c r="S22" i="54"/>
  <c r="U22" i="54"/>
  <c r="S21" i="54"/>
  <c r="Q21" i="54"/>
  <c r="Q22" i="54"/>
  <c r="M18" i="54"/>
  <c r="P18" i="54"/>
  <c r="L18" i="54"/>
  <c r="V7" i="54"/>
  <c r="L22" i="54"/>
  <c r="P17" i="54"/>
  <c r="K21" i="54"/>
  <c r="K7" i="54"/>
  <c r="Q17" i="54"/>
  <c r="M17" i="54"/>
  <c r="U18" i="54"/>
  <c r="T18" i="54"/>
  <c r="R17" i="54"/>
  <c r="U7" i="54"/>
  <c r="S18" i="54"/>
  <c r="V18" i="54"/>
  <c r="M21" i="54"/>
  <c r="K18" i="54"/>
  <c r="T22" i="54"/>
  <c r="V21" i="54"/>
  <c r="N18" i="54"/>
  <c r="O17" i="54"/>
  <c r="S7" i="54"/>
  <c r="R22" i="54"/>
  <c r="S17" i="54"/>
  <c r="P22" i="54"/>
  <c r="V22" i="54"/>
  <c r="N17" i="54"/>
  <c r="K17" i="54"/>
  <c r="U21" i="54"/>
  <c r="K14" i="54"/>
  <c r="N22" i="54"/>
  <c r="O18" i="54"/>
  <c r="V17" i="54"/>
  <c r="O21" i="54"/>
  <c r="U17" i="54"/>
  <c r="T17" i="54"/>
  <c r="L21" i="54"/>
  <c r="T7" i="54"/>
  <c r="N21" i="54"/>
  <c r="K22" i="54"/>
  <c r="R21" i="54"/>
  <c r="L17" i="54"/>
  <c r="R18" i="54"/>
  <c r="O22" i="54"/>
  <c r="Q18" i="54"/>
  <c r="P21" i="54"/>
  <c r="T21" i="54"/>
  <c r="M22" i="54"/>
  <c r="L14" i="54"/>
  <c r="M14" i="54"/>
  <c r="O14" i="54"/>
  <c r="N14" i="54"/>
  <c r="P14" i="54"/>
  <c r="Q14" i="54"/>
  <c r="R14" i="54"/>
  <c r="R11" i="54"/>
  <c r="S6" i="54"/>
  <c r="Q11" i="54"/>
  <c r="S14" i="54"/>
  <c r="S9" i="54"/>
  <c r="S10" i="54"/>
  <c r="R6" i="54"/>
  <c r="T14" i="54"/>
  <c r="T6" i="54"/>
  <c r="T9" i="54"/>
  <c r="U6" i="54"/>
  <c r="U9" i="54"/>
  <c r="U14" i="54"/>
  <c r="V9" i="54"/>
  <c r="V6" i="54"/>
  <c r="V14" i="54"/>
  <c r="K23" i="54"/>
  <c r="M23" i="54"/>
  <c r="N23" i="54"/>
  <c r="O23" i="54"/>
  <c r="P23" i="54"/>
  <c r="L23" i="54"/>
  <c r="Q23" i="54"/>
  <c r="R23" i="54"/>
  <c r="S23" i="54"/>
  <c r="T23" i="54"/>
  <c r="U23" i="54"/>
  <c r="V23" i="54"/>
  <c r="A268" i="37"/>
  <c r="F268" i="37"/>
  <c r="A267" i="37"/>
  <c r="F267" i="37"/>
  <c r="A271" i="37"/>
  <c r="F271" i="37"/>
  <c r="T120" i="54" l="1"/>
  <c r="S11" i="54"/>
  <c r="U119" i="54"/>
  <c r="T10" i="54"/>
  <c r="A288" i="37"/>
  <c r="A289" i="37"/>
  <c r="A290" i="37"/>
  <c r="A287" i="37"/>
  <c r="K510" i="54" s="1"/>
  <c r="A291" i="37"/>
  <c r="O524" i="54" l="1"/>
  <c r="O523" i="54"/>
  <c r="N523" i="54"/>
  <c r="L524" i="54"/>
  <c r="M527" i="54"/>
  <c r="L522" i="54"/>
  <c r="P512" i="54"/>
  <c r="Q522" i="54"/>
  <c r="R522" i="54" s="1"/>
  <c r="S522" i="54" s="1"/>
  <c r="T522" i="54" s="1"/>
  <c r="U522" i="54" s="1"/>
  <c r="V522" i="54" s="1"/>
  <c r="O525" i="54"/>
  <c r="L525" i="54"/>
  <c r="K525" i="54"/>
  <c r="N526" i="54"/>
  <c r="K513" i="54"/>
  <c r="Q512" i="54"/>
  <c r="R512" i="54" s="1"/>
  <c r="S512" i="54" s="1"/>
  <c r="T512" i="54" s="1"/>
  <c r="U512" i="54" s="1"/>
  <c r="V512" i="54" s="1"/>
  <c r="L510" i="54"/>
  <c r="Q524" i="54"/>
  <c r="R524" i="54" s="1"/>
  <c r="S524" i="54" s="1"/>
  <c r="T524" i="54" s="1"/>
  <c r="U524" i="54" s="1"/>
  <c r="V524" i="54" s="1"/>
  <c r="N522" i="54"/>
  <c r="P526" i="54"/>
  <c r="O526" i="54"/>
  <c r="L512" i="54"/>
  <c r="K523" i="54"/>
  <c r="M510" i="54"/>
  <c r="Q527" i="54"/>
  <c r="R527" i="54" s="1"/>
  <c r="S527" i="54" s="1"/>
  <c r="T527" i="54" s="1"/>
  <c r="U527" i="54" s="1"/>
  <c r="V527" i="54" s="1"/>
  <c r="Q525" i="54"/>
  <c r="R525" i="54" s="1"/>
  <c r="S525" i="54" s="1"/>
  <c r="T525" i="54" s="1"/>
  <c r="U525" i="54" s="1"/>
  <c r="V525" i="54" s="1"/>
  <c r="N524" i="54"/>
  <c r="N512" i="54"/>
  <c r="M512" i="54"/>
  <c r="P510" i="54"/>
  <c r="M526" i="54"/>
  <c r="K527" i="54"/>
  <c r="P513" i="54"/>
  <c r="P522" i="54"/>
  <c r="N525" i="54"/>
  <c r="Q510" i="54"/>
  <c r="R510" i="54" s="1"/>
  <c r="S510" i="54" s="1"/>
  <c r="T510" i="54" s="1"/>
  <c r="U510" i="54" s="1"/>
  <c r="V510" i="54" s="1"/>
  <c r="M524" i="54"/>
  <c r="L513" i="54"/>
  <c r="N510" i="54"/>
  <c r="Q513" i="54"/>
  <c r="R513" i="54" s="1"/>
  <c r="S513" i="54" s="1"/>
  <c r="T513" i="54" s="1"/>
  <c r="U513" i="54" s="1"/>
  <c r="V513" i="54" s="1"/>
  <c r="P523" i="54"/>
  <c r="P524" i="54"/>
  <c r="M525" i="54"/>
  <c r="M522" i="54"/>
  <c r="N527" i="54"/>
  <c r="K524" i="54"/>
  <c r="L527" i="54"/>
  <c r="L523" i="54"/>
  <c r="Q526" i="54"/>
  <c r="R526" i="54" s="1"/>
  <c r="S526" i="54" s="1"/>
  <c r="T526" i="54" s="1"/>
  <c r="U526" i="54" s="1"/>
  <c r="V526" i="54" s="1"/>
  <c r="P525" i="54"/>
  <c r="P527" i="54"/>
  <c r="O527" i="54"/>
  <c r="M513" i="54"/>
  <c r="K512" i="54"/>
  <c r="Q523" i="54"/>
  <c r="R523" i="54" s="1"/>
  <c r="S523" i="54" s="1"/>
  <c r="T523" i="54" s="1"/>
  <c r="U523" i="54" s="1"/>
  <c r="V523" i="54" s="1"/>
  <c r="K526" i="54"/>
  <c r="O512" i="54"/>
  <c r="O522" i="54"/>
  <c r="O513" i="54"/>
  <c r="N513" i="54"/>
  <c r="M523" i="54"/>
  <c r="O510" i="54"/>
  <c r="L526" i="54"/>
  <c r="K522" i="54"/>
  <c r="V119" i="54"/>
  <c r="V10" i="54" s="1"/>
  <c r="U10" i="54"/>
  <c r="U120" i="54"/>
  <c r="T11" i="54"/>
  <c r="T457" i="59"/>
  <c r="X457" i="59"/>
  <c r="V457" i="59"/>
  <c r="S457" i="59"/>
  <c r="U457" i="59"/>
  <c r="W457" i="59"/>
  <c r="Y467" i="59"/>
  <c r="J28" i="91" l="1"/>
  <c r="V120" i="54"/>
  <c r="V11" i="54" s="1"/>
  <c r="U11" i="54"/>
  <c r="W466" i="59"/>
  <c r="Y470" i="59"/>
  <c r="Y471" i="59"/>
  <c r="V470" i="59"/>
  <c r="V471" i="59"/>
  <c r="U470" i="59"/>
  <c r="U471" i="59"/>
  <c r="X470" i="59"/>
  <c r="X471" i="59"/>
  <c r="T470" i="59"/>
  <c r="T471" i="59"/>
  <c r="W470" i="59"/>
  <c r="W471" i="59"/>
  <c r="V466" i="59"/>
  <c r="T466" i="59"/>
  <c r="X466" i="59"/>
  <c r="V459" i="59"/>
  <c r="V458" i="59"/>
  <c r="X459" i="59"/>
  <c r="X458" i="59"/>
  <c r="Y458" i="59"/>
  <c r="Y459" i="59"/>
  <c r="S459" i="59"/>
  <c r="S458" i="59"/>
  <c r="W458" i="59"/>
  <c r="W459" i="59"/>
  <c r="T459" i="59"/>
  <c r="T458" i="59"/>
  <c r="U458" i="59"/>
  <c r="U459" i="59"/>
  <c r="S466" i="59"/>
  <c r="U466" i="59"/>
  <c r="T455" i="59"/>
  <c r="T467" i="59"/>
  <c r="S455" i="59"/>
  <c r="S467" i="59"/>
  <c r="X455" i="59"/>
  <c r="X467" i="59"/>
  <c r="U455" i="59"/>
  <c r="U467" i="59"/>
  <c r="W455" i="59"/>
  <c r="W467" i="59"/>
  <c r="V455" i="59"/>
  <c r="V467" i="59"/>
  <c r="W465" i="59"/>
  <c r="W454" i="59"/>
  <c r="T469" i="59"/>
  <c r="T461" i="59"/>
  <c r="T468" i="59"/>
  <c r="T460" i="59"/>
  <c r="Y457" i="59"/>
  <c r="Y455" i="59"/>
  <c r="U454" i="59"/>
  <c r="U465" i="59"/>
  <c r="V468" i="59"/>
  <c r="V460" i="59"/>
  <c r="V469" i="59"/>
  <c r="V461" i="59"/>
  <c r="X454" i="59"/>
  <c r="X465" i="59"/>
  <c r="V454" i="59"/>
  <c r="V465" i="59"/>
  <c r="X468" i="59"/>
  <c r="X460" i="59"/>
  <c r="X461" i="59"/>
  <c r="X469" i="59"/>
  <c r="T465" i="59"/>
  <c r="T454" i="59"/>
  <c r="Y465" i="59"/>
  <c r="Y454" i="59"/>
  <c r="Y469" i="59"/>
  <c r="Y461" i="59"/>
  <c r="Y460" i="59"/>
  <c r="Y468" i="59"/>
  <c r="S469" i="59"/>
  <c r="S460" i="59"/>
  <c r="S461" i="59"/>
  <c r="S468" i="59"/>
  <c r="Y466" i="59"/>
  <c r="W461" i="59"/>
  <c r="W460" i="59"/>
  <c r="W468" i="59"/>
  <c r="W469" i="59"/>
  <c r="S454" i="59"/>
  <c r="S465" i="59"/>
  <c r="U468" i="59"/>
  <c r="U460" i="59"/>
  <c r="U461" i="59"/>
  <c r="U469" i="59"/>
  <c r="J31" i="91" l="1"/>
  <c r="H29" i="91"/>
  <c r="H30" i="91"/>
  <c r="J29" i="91"/>
  <c r="J30" i="91"/>
  <c r="I29" i="91"/>
  <c r="I30" i="91"/>
  <c r="G29" i="91"/>
  <c r="G30" i="91"/>
  <c r="E29" i="91"/>
  <c r="E30" i="91"/>
  <c r="F29" i="91"/>
  <c r="F30" i="91"/>
  <c r="E28" i="91"/>
  <c r="E31" i="91"/>
  <c r="G28" i="91"/>
  <c r="G31" i="91"/>
  <c r="D28" i="91"/>
  <c r="F28" i="91"/>
  <c r="F31" i="91"/>
  <c r="H28" i="91"/>
  <c r="H31" i="91"/>
  <c r="I28" i="91"/>
  <c r="I31" i="91"/>
  <c r="Z421" i="59"/>
  <c r="Z467" i="59" s="1"/>
  <c r="S471" i="59"/>
  <c r="D31" i="91" s="1"/>
  <c r="S470" i="59"/>
  <c r="D29" i="91" s="1"/>
  <c r="Z424" i="59"/>
  <c r="Z470" i="59" s="1"/>
  <c r="Z425" i="59"/>
  <c r="Z471" i="59" s="1"/>
  <c r="Z422" i="59"/>
  <c r="Z468" i="59" s="1"/>
  <c r="Z411" i="59"/>
  <c r="Z457" i="59" s="1"/>
  <c r="D30" i="91" l="1"/>
  <c r="N28" i="91"/>
  <c r="Z409" i="59"/>
  <c r="Z455" i="59" s="1"/>
  <c r="Z413" i="59"/>
  <c r="Z459" i="59" s="1"/>
  <c r="AA421" i="59"/>
  <c r="AA467" i="59" s="1"/>
  <c r="Z414" i="59"/>
  <c r="Z460" i="59" s="1"/>
  <c r="Z465" i="59"/>
  <c r="Z408" i="59"/>
  <c r="Z454" i="59" s="1"/>
  <c r="Z415" i="59"/>
  <c r="Z461" i="59" s="1"/>
  <c r="Z412" i="59"/>
  <c r="Z458" i="59" s="1"/>
  <c r="Z423" i="59"/>
  <c r="Z469" i="59" s="1"/>
  <c r="Z420" i="59"/>
  <c r="Z466" i="59" s="1"/>
  <c r="AA424" i="59"/>
  <c r="AA470" i="59" s="1"/>
  <c r="AA425" i="59"/>
  <c r="AA471" i="59" s="1"/>
  <c r="AA422" i="59"/>
  <c r="AA468" i="59" s="1"/>
  <c r="AA411" i="59"/>
  <c r="AA457" i="59" s="1"/>
  <c r="AA420" i="59" l="1"/>
  <c r="AA466" i="59" s="1"/>
  <c r="AA412" i="59"/>
  <c r="AA458" i="59" s="1"/>
  <c r="AA414" i="59"/>
  <c r="AA460" i="59" s="1"/>
  <c r="AA413" i="59"/>
  <c r="AA459" i="59" s="1"/>
  <c r="AA409" i="59"/>
  <c r="AA455" i="59" s="1"/>
  <c r="AB421" i="59"/>
  <c r="AB467" i="59" s="1"/>
  <c r="AA408" i="59"/>
  <c r="AA454" i="59" s="1"/>
  <c r="AA415" i="59"/>
  <c r="AA461" i="59" s="1"/>
  <c r="AA465" i="59"/>
  <c r="AA423" i="59"/>
  <c r="AA469" i="59" s="1"/>
  <c r="AB424" i="59"/>
  <c r="AB470" i="59" s="1"/>
  <c r="AB425" i="59"/>
  <c r="AB471" i="59" s="1"/>
  <c r="AB411" i="59"/>
  <c r="AB457" i="59" s="1"/>
  <c r="AB422" i="59"/>
  <c r="AB468" i="59" s="1"/>
  <c r="AB408" i="59" l="1"/>
  <c r="AB454" i="59" s="1"/>
  <c r="AB465" i="59"/>
  <c r="AB413" i="59"/>
  <c r="AB459" i="59" s="1"/>
  <c r="AB409" i="59"/>
  <c r="AB455" i="59" s="1"/>
  <c r="AB414" i="59"/>
  <c r="AB460" i="59" s="1"/>
  <c r="AC421" i="59"/>
  <c r="AC467" i="59" s="1"/>
  <c r="AB412" i="59"/>
  <c r="AB458" i="59" s="1"/>
  <c r="AB420" i="59"/>
  <c r="AB466" i="59" s="1"/>
  <c r="AB415" i="59"/>
  <c r="AB461" i="59" s="1"/>
  <c r="AB423" i="59"/>
  <c r="AB469" i="59" s="1"/>
  <c r="AC424" i="59"/>
  <c r="AC470" i="59" s="1"/>
  <c r="AC425" i="59"/>
  <c r="AC471" i="59" s="1"/>
  <c r="AC422" i="59"/>
  <c r="AC468" i="59" s="1"/>
  <c r="AD411" i="59"/>
  <c r="AD457" i="59" s="1"/>
  <c r="AC411" i="59"/>
  <c r="AC457" i="59" s="1"/>
  <c r="AC420" i="59" l="1"/>
  <c r="AC466" i="59" s="1"/>
  <c r="AC412" i="59"/>
  <c r="AC458" i="59" s="1"/>
  <c r="AC423" i="59"/>
  <c r="AC469" i="59" s="1"/>
  <c r="AC413" i="59"/>
  <c r="AC459" i="59" s="1"/>
  <c r="AC409" i="59"/>
  <c r="AC455" i="59" s="1"/>
  <c r="AD420" i="59"/>
  <c r="AD466" i="59" s="1"/>
  <c r="AC465" i="59"/>
  <c r="AC414" i="59"/>
  <c r="AC460" i="59" s="1"/>
  <c r="AC408" i="59"/>
  <c r="AC454" i="59" s="1"/>
  <c r="AC415" i="59"/>
  <c r="AC461" i="59" s="1"/>
  <c r="AD424" i="59"/>
  <c r="AD470" i="59" s="1"/>
  <c r="AD425" i="59"/>
  <c r="AD471" i="59" s="1"/>
  <c r="AD422" i="59"/>
  <c r="AD468" i="59" s="1"/>
  <c r="AD414" i="59" l="1"/>
  <c r="AD460" i="59" s="1"/>
  <c r="AD421" i="59"/>
  <c r="AD467" i="59" s="1"/>
  <c r="AD465" i="59"/>
  <c r="AD408" i="59"/>
  <c r="AD454" i="59" s="1"/>
  <c r="AD409" i="59"/>
  <c r="AD455" i="59" s="1"/>
  <c r="AD415" i="59"/>
  <c r="AD461" i="59" s="1"/>
  <c r="AD412" i="59"/>
  <c r="AD458" i="59" s="1"/>
  <c r="AD423" i="59"/>
  <c r="AD469" i="59" s="1"/>
  <c r="AD413" i="59"/>
  <c r="AD459" i="59" s="1"/>
  <c r="S27" i="54" l="1"/>
  <c r="M90" i="54"/>
  <c r="R28" i="54"/>
  <c r="M27" i="54"/>
  <c r="P91" i="54"/>
  <c r="N91" i="54"/>
  <c r="U28" i="54"/>
  <c r="K27" i="54"/>
  <c r="Q27" i="54"/>
  <c r="S90" i="54"/>
  <c r="O91" i="54"/>
  <c r="O27" i="54"/>
  <c r="M28" i="54"/>
  <c r="S91" i="54"/>
  <c r="O90" i="54"/>
  <c r="N27" i="54"/>
  <c r="U27" i="54"/>
  <c r="T27" i="54"/>
  <c r="L90" i="54"/>
  <c r="L91" i="54"/>
  <c r="Q90" i="54"/>
  <c r="R27" i="54"/>
  <c r="P27" i="54"/>
  <c r="V90" i="54"/>
  <c r="U91" i="54"/>
  <c r="R90" i="54"/>
  <c r="M91" i="54"/>
  <c r="N28" i="54"/>
  <c r="O28" i="54"/>
  <c r="S28" i="54"/>
  <c r="U90" i="54"/>
  <c r="V27" i="54"/>
  <c r="P90" i="54"/>
  <c r="T28" i="54"/>
  <c r="K91" i="54"/>
  <c r="Q91" i="54"/>
  <c r="V28" i="54"/>
  <c r="N90" i="54"/>
  <c r="L28" i="54"/>
  <c r="P28" i="54"/>
  <c r="V91" i="54"/>
  <c r="T91" i="54"/>
  <c r="K90" i="54"/>
  <c r="Q28" i="54"/>
  <c r="K28" i="54"/>
  <c r="R91" i="54"/>
  <c r="T90" i="54"/>
  <c r="L27" i="54"/>
  <c r="V101" i="54"/>
  <c r="O38" i="54"/>
  <c r="T102" i="54"/>
  <c r="L102" i="54"/>
  <c r="N38" i="54"/>
  <c r="S39" i="54"/>
  <c r="P38" i="54"/>
  <c r="V102" i="54"/>
  <c r="P101" i="54"/>
  <c r="O101" i="54"/>
  <c r="S38" i="54"/>
  <c r="L38" i="54"/>
  <c r="M101" i="54"/>
  <c r="P102" i="54"/>
  <c r="U101" i="54"/>
  <c r="K38" i="54"/>
  <c r="Q38" i="54"/>
  <c r="O102" i="54"/>
  <c r="N101" i="54"/>
  <c r="T101" i="54"/>
  <c r="R38" i="54"/>
  <c r="R102" i="54"/>
  <c r="Q101" i="54"/>
  <c r="N102" i="54"/>
  <c r="U38" i="54"/>
  <c r="V38" i="54"/>
  <c r="U102" i="54"/>
  <c r="M102" i="54"/>
  <c r="R101" i="54"/>
  <c r="M39" i="54"/>
  <c r="T38" i="54"/>
  <c r="S102" i="54"/>
  <c r="Q102" i="54"/>
  <c r="S101" i="54"/>
  <c r="M38" i="54"/>
  <c r="L101" i="54"/>
  <c r="P39" i="54"/>
  <c r="T105" i="54"/>
  <c r="P105" i="54"/>
  <c r="P43" i="54"/>
  <c r="U42" i="54"/>
  <c r="T42" i="54"/>
  <c r="U106" i="54"/>
  <c r="K43" i="54"/>
  <c r="Q39" i="54"/>
  <c r="T39" i="54"/>
  <c r="O42" i="54"/>
  <c r="V106" i="54"/>
  <c r="R43" i="54"/>
  <c r="K105" i="54"/>
  <c r="L105" i="54"/>
  <c r="Q60" i="54"/>
  <c r="T59" i="54"/>
  <c r="R63" i="54"/>
  <c r="T48" i="54"/>
  <c r="M49" i="54"/>
  <c r="Q59" i="54"/>
  <c r="N64" i="54"/>
  <c r="M47" i="54"/>
  <c r="R49" i="54"/>
  <c r="Q48" i="54"/>
  <c r="P47" i="54"/>
  <c r="L47" i="54"/>
  <c r="S59" i="54"/>
  <c r="K48" i="54"/>
  <c r="S49" i="54"/>
  <c r="K63" i="54"/>
  <c r="M63" i="54"/>
  <c r="L60" i="54"/>
  <c r="U63" i="54"/>
  <c r="P48" i="54"/>
  <c r="R39" i="54"/>
  <c r="K101" i="54"/>
  <c r="U105" i="54"/>
  <c r="M105" i="54"/>
  <c r="P42" i="54"/>
  <c r="V42" i="54"/>
  <c r="R42" i="54"/>
  <c r="O106" i="54"/>
  <c r="L106" i="54"/>
  <c r="L39" i="54"/>
  <c r="K102" i="54"/>
  <c r="K42" i="54"/>
  <c r="O43" i="54"/>
  <c r="V105" i="54"/>
  <c r="Q105" i="54"/>
  <c r="T106" i="54"/>
  <c r="P59" i="54"/>
  <c r="N59" i="54"/>
  <c r="S48" i="54"/>
  <c r="V63" i="54"/>
  <c r="K47" i="54"/>
  <c r="U48" i="54"/>
  <c r="K59" i="54"/>
  <c r="K64" i="54"/>
  <c r="O49" i="54"/>
  <c r="Q64" i="54"/>
  <c r="P49" i="54"/>
  <c r="Q63" i="54"/>
  <c r="R48" i="54"/>
  <c r="V59" i="54"/>
  <c r="M64" i="54"/>
  <c r="O59" i="54"/>
  <c r="K39" i="54"/>
  <c r="V39" i="54"/>
  <c r="M106" i="54"/>
  <c r="N43" i="54"/>
  <c r="S105" i="54"/>
  <c r="M43" i="54"/>
  <c r="T43" i="54"/>
  <c r="L43" i="54"/>
  <c r="U39" i="54"/>
  <c r="S106" i="54"/>
  <c r="S43" i="54"/>
  <c r="N105" i="54"/>
  <c r="S42" i="54"/>
  <c r="Q42" i="54"/>
  <c r="M42" i="54"/>
  <c r="N42" i="54"/>
  <c r="T60" i="54"/>
  <c r="L63" i="54"/>
  <c r="T64" i="54"/>
  <c r="T49" i="54"/>
  <c r="P63" i="54"/>
  <c r="O47" i="54"/>
  <c r="Q49" i="54"/>
  <c r="U64" i="54"/>
  <c r="P64" i="54"/>
  <c r="K60" i="54"/>
  <c r="V60" i="54"/>
  <c r="N47" i="54"/>
  <c r="L48" i="54"/>
  <c r="V64" i="54"/>
  <c r="N60" i="54"/>
  <c r="R64" i="54"/>
  <c r="M48" i="54"/>
  <c r="R59" i="54"/>
  <c r="L59" i="54"/>
  <c r="O60" i="54"/>
  <c r="O63" i="54"/>
  <c r="O39" i="54"/>
  <c r="L42" i="54"/>
  <c r="N106" i="54"/>
  <c r="O105" i="54"/>
  <c r="R106" i="54"/>
  <c r="Q43" i="54"/>
  <c r="N39" i="54"/>
  <c r="Q106" i="54"/>
  <c r="R105" i="54"/>
  <c r="V43" i="54"/>
  <c r="U43" i="54"/>
  <c r="K106" i="54"/>
  <c r="P106" i="54"/>
  <c r="U60" i="54"/>
  <c r="T63" i="54"/>
  <c r="V47" i="54"/>
  <c r="N63" i="54"/>
  <c r="L64" i="54"/>
  <c r="L49" i="54"/>
  <c r="U47" i="54"/>
  <c r="Q47" i="54"/>
  <c r="S60" i="54"/>
  <c r="U59" i="54"/>
  <c r="R60" i="54"/>
  <c r="S47" i="54"/>
  <c r="R47" i="54"/>
  <c r="O48" i="54"/>
  <c r="K49" i="54"/>
  <c r="M60" i="54"/>
  <c r="P60" i="54"/>
  <c r="S64" i="54"/>
  <c r="V49" i="54"/>
  <c r="T47" i="54"/>
  <c r="N49" i="54"/>
  <c r="U49" i="54"/>
  <c r="S63" i="54"/>
  <c r="N48" i="54"/>
  <c r="M59" i="54"/>
  <c r="O64" i="54"/>
  <c r="V48" i="54"/>
  <c r="U477" i="59"/>
  <c r="U476" i="59"/>
  <c r="S476" i="59"/>
  <c r="S488" i="59"/>
  <c r="S492" i="59"/>
  <c r="S477" i="59"/>
  <c r="S491" i="59"/>
  <c r="U488" i="59"/>
  <c r="U487" i="59"/>
  <c r="U475" i="59"/>
  <c r="S487" i="59"/>
  <c r="N70" i="54"/>
  <c r="O81" i="54"/>
  <c r="M84" i="54"/>
  <c r="M69" i="54"/>
  <c r="U81" i="54"/>
  <c r="S68" i="54"/>
  <c r="S85" i="54"/>
  <c r="O68" i="54"/>
  <c r="V85" i="54"/>
  <c r="V80" i="54"/>
  <c r="S69" i="54"/>
  <c r="P69" i="54"/>
  <c r="Y475" i="59"/>
  <c r="Z475" i="59" s="1"/>
  <c r="AA475" i="59" s="1"/>
  <c r="AB475" i="59" s="1"/>
  <c r="AC475" i="59" s="1"/>
  <c r="AD475" i="59" s="1"/>
  <c r="L85" i="54"/>
  <c r="N80" i="54"/>
  <c r="N81" i="54"/>
  <c r="O84" i="54"/>
  <c r="K80" i="54"/>
  <c r="T84" i="54"/>
  <c r="S81" i="54"/>
  <c r="V70" i="54"/>
  <c r="V69" i="54"/>
  <c r="T81" i="54"/>
  <c r="V81" i="54"/>
  <c r="R85" i="54"/>
  <c r="V84" i="54"/>
  <c r="T80" i="54"/>
  <c r="N84" i="54"/>
  <c r="P85" i="54"/>
  <c r="N86" i="54"/>
  <c r="R68" i="54"/>
  <c r="O70" i="54"/>
  <c r="L70" i="54"/>
  <c r="K81" i="54"/>
  <c r="K70" i="54"/>
  <c r="K87" i="54"/>
  <c r="M70" i="54"/>
  <c r="K69" i="54"/>
  <c r="K85" i="54"/>
  <c r="U80" i="54"/>
  <c r="S84" i="54"/>
  <c r="T85" i="54"/>
  <c r="R80" i="54"/>
  <c r="U69" i="54"/>
  <c r="R69" i="54"/>
  <c r="R84" i="54"/>
  <c r="T73" i="54"/>
  <c r="L81" i="54"/>
  <c r="U84" i="54"/>
  <c r="P81" i="54"/>
  <c r="N68" i="54"/>
  <c r="P70" i="54"/>
  <c r="V68" i="54"/>
  <c r="T68" i="54"/>
  <c r="P68" i="54"/>
  <c r="L80" i="54"/>
  <c r="L84" i="54"/>
  <c r="P80" i="54"/>
  <c r="L68" i="54"/>
  <c r="M81" i="54"/>
  <c r="M80" i="54"/>
  <c r="M68" i="54"/>
  <c r="K84" i="54"/>
  <c r="K68" i="54"/>
  <c r="M85" i="54"/>
  <c r="R81" i="54"/>
  <c r="U70" i="54"/>
  <c r="N69" i="54"/>
  <c r="T70" i="54"/>
  <c r="U85" i="54"/>
  <c r="T69" i="54"/>
  <c r="R70" i="54"/>
  <c r="S80" i="54"/>
  <c r="S70" i="54"/>
  <c r="O80" i="54"/>
  <c r="N85" i="54"/>
  <c r="U68" i="54"/>
  <c r="O85" i="54"/>
  <c r="L87" i="54"/>
  <c r="O69" i="54"/>
  <c r="P84" i="54"/>
  <c r="L69" i="54"/>
  <c r="Q74" i="54"/>
  <c r="Q81" i="54"/>
  <c r="Q85" i="54"/>
  <c r="Q80" i="54"/>
  <c r="Q73" i="54"/>
  <c r="Q68" i="54"/>
  <c r="Q69" i="54"/>
  <c r="Q86" i="54"/>
  <c r="Q84" i="54"/>
  <c r="Q70" i="54"/>
  <c r="Q87" i="54" l="1"/>
  <c r="Y557" i="59" s="1"/>
  <c r="Z557" i="59" s="1"/>
  <c r="AA557" i="59" s="1"/>
  <c r="AB557" i="59" s="1"/>
  <c r="AC557" i="59" s="1"/>
  <c r="AD557" i="59" s="1"/>
  <c r="V87" i="54"/>
  <c r="S74" i="54"/>
  <c r="V45" i="54"/>
  <c r="S45" i="54"/>
  <c r="T66" i="54"/>
  <c r="R52" i="54"/>
  <c r="P35" i="54"/>
  <c r="X505" i="59" s="1"/>
  <c r="T107" i="54"/>
  <c r="S44" i="54"/>
  <c r="V31" i="54"/>
  <c r="U94" i="54"/>
  <c r="M35" i="54"/>
  <c r="U505" i="59" s="1"/>
  <c r="S108" i="54"/>
  <c r="V77" i="54"/>
  <c r="T86" i="54"/>
  <c r="L73" i="54"/>
  <c r="T543" i="59" s="1"/>
  <c r="S86" i="54"/>
  <c r="M73" i="54"/>
  <c r="U543" i="59" s="1"/>
  <c r="U77" i="54"/>
  <c r="R74" i="54"/>
  <c r="V65" i="54"/>
  <c r="T35" i="54"/>
  <c r="S65" i="54"/>
  <c r="U65" i="54"/>
  <c r="R45" i="54"/>
  <c r="V98" i="54"/>
  <c r="P56" i="54"/>
  <c r="X526" i="59" s="1"/>
  <c r="V44" i="54"/>
  <c r="L44" i="54"/>
  <c r="T514" i="59" s="1"/>
  <c r="N44" i="54"/>
  <c r="V514" i="59" s="1"/>
  <c r="T94" i="54"/>
  <c r="S87" i="54"/>
  <c r="T87" i="54"/>
  <c r="O73" i="54"/>
  <c r="W543" i="59" s="1"/>
  <c r="V86" i="54"/>
  <c r="U66" i="54"/>
  <c r="S52" i="54"/>
  <c r="V56" i="54"/>
  <c r="N53" i="54"/>
  <c r="V523" i="59" s="1"/>
  <c r="M45" i="54"/>
  <c r="U515" i="59" s="1"/>
  <c r="O53" i="54"/>
  <c r="W523" i="59" s="1"/>
  <c r="S53" i="54"/>
  <c r="M107" i="54"/>
  <c r="U577" i="59" s="1"/>
  <c r="V32" i="54"/>
  <c r="S107" i="54"/>
  <c r="U108" i="54"/>
  <c r="T98" i="54"/>
  <c r="R98" i="54"/>
  <c r="V74" i="54"/>
  <c r="V73" i="54"/>
  <c r="R86" i="54"/>
  <c r="S73" i="54"/>
  <c r="Q52" i="54"/>
  <c r="Y522" i="59" s="1"/>
  <c r="Z522" i="59" s="1"/>
  <c r="AA522" i="59" s="1"/>
  <c r="AB522" i="59" s="1"/>
  <c r="AC522" i="59" s="1"/>
  <c r="AD522" i="59" s="1"/>
  <c r="U52" i="54"/>
  <c r="V53" i="54"/>
  <c r="R31" i="54"/>
  <c r="S31" i="54"/>
  <c r="T44" i="54"/>
  <c r="U31" i="54"/>
  <c r="R95" i="54"/>
  <c r="R94" i="54"/>
  <c r="T31" i="54"/>
  <c r="T108" i="54"/>
  <c r="U95" i="54"/>
  <c r="O98" i="54"/>
  <c r="W568" i="59" s="1"/>
  <c r="T74" i="54"/>
  <c r="R73" i="54"/>
  <c r="U86" i="54"/>
  <c r="V52" i="54"/>
  <c r="Q65" i="54"/>
  <c r="Y535" i="59" s="1"/>
  <c r="Z535" i="59" s="1"/>
  <c r="AA535" i="59" s="1"/>
  <c r="AB535" i="59" s="1"/>
  <c r="AC535" i="59" s="1"/>
  <c r="AD535" i="59" s="1"/>
  <c r="T52" i="54"/>
  <c r="U107" i="54"/>
  <c r="V94" i="54"/>
  <c r="R107" i="54"/>
  <c r="T45" i="54"/>
  <c r="T77" i="54"/>
  <c r="T65" i="54"/>
  <c r="S56" i="54"/>
  <c r="U53" i="54"/>
  <c r="R65" i="54"/>
  <c r="R44" i="54"/>
  <c r="V35" i="54"/>
  <c r="S35" i="54"/>
  <c r="S32" i="54"/>
  <c r="T32" i="54"/>
  <c r="U87" i="54"/>
  <c r="R77" i="54"/>
  <c r="U73" i="54"/>
  <c r="R87" i="54"/>
  <c r="R56" i="54"/>
  <c r="K65" i="54"/>
  <c r="T53" i="54"/>
  <c r="R66" i="54"/>
  <c r="U45" i="54"/>
  <c r="U44" i="54"/>
  <c r="R35" i="54"/>
  <c r="V108" i="54"/>
  <c r="U35" i="54"/>
  <c r="T95" i="54"/>
  <c r="U98" i="54"/>
  <c r="U74" i="54"/>
  <c r="S77" i="54"/>
  <c r="V66" i="54"/>
  <c r="R53" i="54"/>
  <c r="R108" i="54"/>
  <c r="S98" i="54"/>
  <c r="U56" i="54"/>
  <c r="T56" i="54"/>
  <c r="S66" i="54"/>
  <c r="S94" i="54"/>
  <c r="V107" i="54"/>
  <c r="K45" i="54"/>
  <c r="V95" i="54"/>
  <c r="U32" i="54"/>
  <c r="S95" i="54"/>
  <c r="R32" i="54"/>
  <c r="X554" i="59"/>
  <c r="S540" i="59"/>
  <c r="W554" i="59"/>
  <c r="V491" i="59"/>
  <c r="T492" i="59"/>
  <c r="X477" i="59"/>
  <c r="V492" i="59"/>
  <c r="T519" i="59"/>
  <c r="Y576" i="59"/>
  <c r="Z576" i="59" s="1"/>
  <c r="AA576" i="59" s="1"/>
  <c r="AB576" i="59" s="1"/>
  <c r="AC576" i="59" s="1"/>
  <c r="AD576" i="59" s="1"/>
  <c r="W575" i="59"/>
  <c r="T529" i="59"/>
  <c r="X533" i="59"/>
  <c r="T533" i="59"/>
  <c r="S512" i="59"/>
  <c r="S533" i="59"/>
  <c r="Y518" i="59"/>
  <c r="Z518" i="59" s="1"/>
  <c r="AA518" i="59" s="1"/>
  <c r="AB518" i="59" s="1"/>
  <c r="AC518" i="59" s="1"/>
  <c r="AD518" i="59" s="1"/>
  <c r="U519" i="59"/>
  <c r="U508" i="59"/>
  <c r="V571" i="59"/>
  <c r="Y508" i="59"/>
  <c r="Z508" i="59" s="1"/>
  <c r="AA508" i="59" s="1"/>
  <c r="AB508" i="59" s="1"/>
  <c r="AC508" i="59" s="1"/>
  <c r="AD508" i="59" s="1"/>
  <c r="X571" i="59"/>
  <c r="V560" i="59"/>
  <c r="Y561" i="59"/>
  <c r="Z561" i="59" s="1"/>
  <c r="AA561" i="59" s="1"/>
  <c r="AB561" i="59" s="1"/>
  <c r="AC561" i="59" s="1"/>
  <c r="AD561" i="59" s="1"/>
  <c r="T560" i="59"/>
  <c r="U498" i="59"/>
  <c r="S497" i="59"/>
  <c r="V561" i="59"/>
  <c r="Y540" i="59"/>
  <c r="Z540" i="59" s="1"/>
  <c r="AA540" i="59" s="1"/>
  <c r="AB540" i="59" s="1"/>
  <c r="AC540" i="59" s="1"/>
  <c r="AD540" i="59" s="1"/>
  <c r="Y487" i="59"/>
  <c r="Z487" i="59" s="1"/>
  <c r="AA487" i="59" s="1"/>
  <c r="AB487" i="59" s="1"/>
  <c r="AC487" i="59" s="1"/>
  <c r="AD487" i="59" s="1"/>
  <c r="Y476" i="59"/>
  <c r="Z476" i="59" s="1"/>
  <c r="AA476" i="59" s="1"/>
  <c r="AB476" i="59" s="1"/>
  <c r="AC476" i="59" s="1"/>
  <c r="AD476" i="59" s="1"/>
  <c r="T554" i="59"/>
  <c r="Y555" i="59"/>
  <c r="Z555" i="59" s="1"/>
  <c r="AA555" i="59" s="1"/>
  <c r="AB555" i="59" s="1"/>
  <c r="AC555" i="59" s="1"/>
  <c r="AD555" i="59" s="1"/>
  <c r="W492" i="59"/>
  <c r="S538" i="59"/>
  <c r="T538" i="59"/>
  <c r="T550" i="59"/>
  <c r="X551" i="59"/>
  <c r="X555" i="59"/>
  <c r="U554" i="59"/>
  <c r="W476" i="59"/>
  <c r="W475" i="59"/>
  <c r="T491" i="59"/>
  <c r="V487" i="59"/>
  <c r="W488" i="59"/>
  <c r="W534" i="59"/>
  <c r="W518" i="59"/>
  <c r="Y517" i="59"/>
  <c r="Z517" i="59" s="1"/>
  <c r="AA517" i="59" s="1"/>
  <c r="AB517" i="59" s="1"/>
  <c r="AC517" i="59" s="1"/>
  <c r="AD517" i="59" s="1"/>
  <c r="T534" i="59"/>
  <c r="V576" i="59"/>
  <c r="T513" i="59"/>
  <c r="X512" i="59"/>
  <c r="T517" i="59"/>
  <c r="X509" i="59"/>
  <c r="U509" i="59"/>
  <c r="S508" i="59"/>
  <c r="W539" i="59"/>
  <c r="S554" i="59"/>
  <c r="X538" i="59"/>
  <c r="Y491" i="59"/>
  <c r="Z491" i="59" s="1"/>
  <c r="AA491" i="59" s="1"/>
  <c r="AB491" i="59" s="1"/>
  <c r="AC491" i="59" s="1"/>
  <c r="AD491" i="59" s="1"/>
  <c r="V551" i="59"/>
  <c r="V477" i="59"/>
  <c r="T475" i="59"/>
  <c r="W487" i="59"/>
  <c r="V476" i="59"/>
  <c r="U529" i="59"/>
  <c r="V533" i="59"/>
  <c r="T512" i="59"/>
  <c r="V512" i="59"/>
  <c r="S509" i="59"/>
  <c r="U575" i="59"/>
  <c r="X518" i="59"/>
  <c r="X517" i="59"/>
  <c r="U517" i="59"/>
  <c r="T508" i="59"/>
  <c r="W508" i="59"/>
  <c r="S498" i="59"/>
  <c r="S560" i="59"/>
  <c r="S561" i="59"/>
  <c r="W498" i="59"/>
  <c r="W497" i="59"/>
  <c r="W561" i="59"/>
  <c r="X561" i="59"/>
  <c r="X540" i="59"/>
  <c r="Y554" i="59"/>
  <c r="Z554" i="59" s="1"/>
  <c r="AA554" i="59" s="1"/>
  <c r="AB554" i="59" s="1"/>
  <c r="AC554" i="59" s="1"/>
  <c r="AD554" i="59" s="1"/>
  <c r="Y538" i="59"/>
  <c r="Z538" i="59" s="1"/>
  <c r="AA538" i="59" s="1"/>
  <c r="AB538" i="59" s="1"/>
  <c r="AC538" i="59" s="1"/>
  <c r="AD538" i="59" s="1"/>
  <c r="Y551" i="59"/>
  <c r="Z551" i="59" s="1"/>
  <c r="AA551" i="59" s="1"/>
  <c r="AB551" i="59" s="1"/>
  <c r="AC551" i="59" s="1"/>
  <c r="AD551" i="59" s="1"/>
  <c r="V555" i="59"/>
  <c r="W550" i="59"/>
  <c r="U538" i="59"/>
  <c r="X550" i="59"/>
  <c r="T551" i="59"/>
  <c r="S555" i="59"/>
  <c r="V550" i="59"/>
  <c r="X539" i="59"/>
  <c r="V488" i="59"/>
  <c r="V475" i="59"/>
  <c r="T488" i="59"/>
  <c r="X530" i="59"/>
  <c r="X576" i="59"/>
  <c r="V509" i="59"/>
  <c r="S530" i="59"/>
  <c r="U512" i="59"/>
  <c r="U513" i="59"/>
  <c r="U534" i="59"/>
  <c r="X519" i="59"/>
  <c r="W519" i="59"/>
  <c r="S517" i="59"/>
  <c r="T509" i="59"/>
  <c r="V534" i="59"/>
  <c r="T575" i="59"/>
  <c r="X513" i="59"/>
  <c r="U497" i="59"/>
  <c r="T557" i="59"/>
  <c r="V540" i="59"/>
  <c r="W491" i="59"/>
  <c r="X488" i="59"/>
  <c r="T487" i="59"/>
  <c r="U530" i="59"/>
  <c r="S576" i="59"/>
  <c r="U518" i="59"/>
  <c r="Y512" i="59"/>
  <c r="Z512" i="59" s="1"/>
  <c r="AA512" i="59" s="1"/>
  <c r="AB512" i="59" s="1"/>
  <c r="AC512" i="59" s="1"/>
  <c r="AD512" i="59" s="1"/>
  <c r="Y534" i="59"/>
  <c r="Z534" i="59" s="1"/>
  <c r="AA534" i="59" s="1"/>
  <c r="AB534" i="59" s="1"/>
  <c r="AC534" i="59" s="1"/>
  <c r="AD534" i="59" s="1"/>
  <c r="S534" i="59"/>
  <c r="T530" i="59"/>
  <c r="Y530" i="59"/>
  <c r="Z530" i="59" s="1"/>
  <c r="AA530" i="59" s="1"/>
  <c r="AB530" i="59" s="1"/>
  <c r="AC530" i="59" s="1"/>
  <c r="AD530" i="59" s="1"/>
  <c r="S575" i="59"/>
  <c r="Y509" i="59"/>
  <c r="Z509" i="59" s="1"/>
  <c r="AA509" i="59" s="1"/>
  <c r="AB509" i="59" s="1"/>
  <c r="AC509" i="59" s="1"/>
  <c r="AD509" i="59" s="1"/>
  <c r="X575" i="59"/>
  <c r="T571" i="59"/>
  <c r="W571" i="59"/>
  <c r="X560" i="59"/>
  <c r="V498" i="59"/>
  <c r="X497" i="59"/>
  <c r="Y497" i="59"/>
  <c r="Z497" i="59" s="1"/>
  <c r="AA497" i="59" s="1"/>
  <c r="AB497" i="59" s="1"/>
  <c r="AC497" i="59" s="1"/>
  <c r="AD497" i="59" s="1"/>
  <c r="Y539" i="59"/>
  <c r="Z539" i="59" s="1"/>
  <c r="AA539" i="59" s="1"/>
  <c r="AB539" i="59" s="1"/>
  <c r="AC539" i="59" s="1"/>
  <c r="AD539" i="59" s="1"/>
  <c r="S551" i="59"/>
  <c r="Y488" i="59"/>
  <c r="Z488" i="59" s="1"/>
  <c r="AA488" i="59" s="1"/>
  <c r="AB488" i="59" s="1"/>
  <c r="AC488" i="59" s="1"/>
  <c r="AD488" i="59" s="1"/>
  <c r="W555" i="59"/>
  <c r="U551" i="59"/>
  <c r="W538" i="59"/>
  <c r="U539" i="59"/>
  <c r="X492" i="59"/>
  <c r="V519" i="59"/>
  <c r="W509" i="59"/>
  <c r="V513" i="59"/>
  <c r="W529" i="59"/>
  <c r="Y575" i="59"/>
  <c r="Z575" i="59" s="1"/>
  <c r="AA575" i="59" s="1"/>
  <c r="AB575" i="59" s="1"/>
  <c r="AC575" i="59" s="1"/>
  <c r="AD575" i="59" s="1"/>
  <c r="T576" i="59"/>
  <c r="S518" i="59"/>
  <c r="Y529" i="59"/>
  <c r="Z529" i="59" s="1"/>
  <c r="AA529" i="59" s="1"/>
  <c r="AB529" i="59" s="1"/>
  <c r="AC529" i="59" s="1"/>
  <c r="AD529" i="59" s="1"/>
  <c r="X508" i="59"/>
  <c r="V508" i="59"/>
  <c r="Y498" i="59"/>
  <c r="Z498" i="59" s="1"/>
  <c r="AA498" i="59" s="1"/>
  <c r="AB498" i="59" s="1"/>
  <c r="AC498" i="59" s="1"/>
  <c r="AD498" i="59" s="1"/>
  <c r="X498" i="59"/>
  <c r="U561" i="59"/>
  <c r="Y560" i="59"/>
  <c r="Z560" i="59" s="1"/>
  <c r="AA560" i="59" s="1"/>
  <c r="AB560" i="59" s="1"/>
  <c r="AC560" i="59" s="1"/>
  <c r="AD560" i="59" s="1"/>
  <c r="V497" i="59"/>
  <c r="Y556" i="59"/>
  <c r="Z556" i="59" s="1"/>
  <c r="AA556" i="59" s="1"/>
  <c r="AB556" i="59" s="1"/>
  <c r="AC556" i="59" s="1"/>
  <c r="AD556" i="59" s="1"/>
  <c r="V538" i="59"/>
  <c r="X476" i="59"/>
  <c r="T540" i="59"/>
  <c r="T555" i="59"/>
  <c r="T477" i="59"/>
  <c r="X487" i="59"/>
  <c r="U540" i="59"/>
  <c r="T476" i="59"/>
  <c r="V554" i="59"/>
  <c r="W551" i="59"/>
  <c r="V518" i="59"/>
  <c r="S519" i="59"/>
  <c r="Y513" i="59"/>
  <c r="Z513" i="59" s="1"/>
  <c r="AA513" i="59" s="1"/>
  <c r="AB513" i="59" s="1"/>
  <c r="AC513" i="59" s="1"/>
  <c r="AD513" i="59" s="1"/>
  <c r="W533" i="59"/>
  <c r="V530" i="59"/>
  <c r="T518" i="59"/>
  <c r="Y519" i="59"/>
  <c r="Z519" i="59" s="1"/>
  <c r="AA519" i="59" s="1"/>
  <c r="AB519" i="59" s="1"/>
  <c r="AC519" i="59" s="1"/>
  <c r="AD519" i="59" s="1"/>
  <c r="V575" i="59"/>
  <c r="U576" i="59"/>
  <c r="S529" i="59"/>
  <c r="V529" i="59"/>
  <c r="W576" i="59"/>
  <c r="S571" i="59"/>
  <c r="T498" i="59"/>
  <c r="W560" i="59"/>
  <c r="Y543" i="59"/>
  <c r="Z543" i="59" s="1"/>
  <c r="AA543" i="59" s="1"/>
  <c r="AB543" i="59" s="1"/>
  <c r="AC543" i="59" s="1"/>
  <c r="AD543" i="59" s="1"/>
  <c r="U550" i="59"/>
  <c r="Y550" i="59"/>
  <c r="Z550" i="59" s="1"/>
  <c r="AA550" i="59" s="1"/>
  <c r="AB550" i="59" s="1"/>
  <c r="AC550" i="59" s="1"/>
  <c r="AD550" i="59" s="1"/>
  <c r="S539" i="59"/>
  <c r="Y544" i="59"/>
  <c r="Z544" i="59" s="1"/>
  <c r="AA544" i="59" s="1"/>
  <c r="AB544" i="59" s="1"/>
  <c r="AC544" i="59" s="1"/>
  <c r="AD544" i="59" s="1"/>
  <c r="T539" i="59"/>
  <c r="X491" i="59"/>
  <c r="V539" i="59"/>
  <c r="U555" i="59"/>
  <c r="S557" i="59"/>
  <c r="W540" i="59"/>
  <c r="V556" i="59"/>
  <c r="X475" i="59"/>
  <c r="W477" i="59"/>
  <c r="W530" i="59"/>
  <c r="V517" i="59"/>
  <c r="X534" i="59"/>
  <c r="W517" i="59"/>
  <c r="Y533" i="59"/>
  <c r="Z533" i="59" s="1"/>
  <c r="AA533" i="59" s="1"/>
  <c r="AB533" i="59" s="1"/>
  <c r="AC533" i="59" s="1"/>
  <c r="AD533" i="59" s="1"/>
  <c r="X529" i="59"/>
  <c r="W513" i="59"/>
  <c r="U533" i="59"/>
  <c r="W512" i="59"/>
  <c r="S513" i="59"/>
  <c r="Y571" i="59"/>
  <c r="Z571" i="59" s="1"/>
  <c r="AA571" i="59" s="1"/>
  <c r="AB571" i="59" s="1"/>
  <c r="AC571" i="59" s="1"/>
  <c r="AD571" i="59" s="1"/>
  <c r="U571" i="59"/>
  <c r="T497" i="59"/>
  <c r="T561" i="59"/>
  <c r="U560" i="59"/>
  <c r="Y572" i="59"/>
  <c r="Z572" i="59" s="1"/>
  <c r="AA572" i="59" s="1"/>
  <c r="AB572" i="59" s="1"/>
  <c r="AC572" i="59" s="1"/>
  <c r="AD572" i="59" s="1"/>
  <c r="S572" i="59"/>
  <c r="V572" i="59"/>
  <c r="W572" i="59"/>
  <c r="X572" i="59"/>
  <c r="U572" i="59"/>
  <c r="T572" i="59"/>
  <c r="D315" i="59"/>
  <c r="S475" i="59"/>
  <c r="O26" i="54"/>
  <c r="V26" i="54"/>
  <c r="M26" i="54"/>
  <c r="U89" i="54"/>
  <c r="T26" i="54"/>
  <c r="P89" i="54"/>
  <c r="O89" i="54"/>
  <c r="N89" i="54"/>
  <c r="M89" i="54"/>
  <c r="Q26" i="54"/>
  <c r="U26" i="54"/>
  <c r="R89" i="54"/>
  <c r="Q89" i="54"/>
  <c r="S26" i="54"/>
  <c r="T89" i="54"/>
  <c r="L26" i="54"/>
  <c r="K26" i="54"/>
  <c r="P26" i="54"/>
  <c r="V89" i="54"/>
  <c r="L89" i="54"/>
  <c r="R26" i="54"/>
  <c r="S89" i="54"/>
  <c r="N26" i="54"/>
  <c r="K89" i="54"/>
  <c r="S291" i="59"/>
  <c r="T291" i="59" s="1"/>
  <c r="U291" i="59" s="1"/>
  <c r="V291" i="59" s="1"/>
  <c r="W291" i="59" s="1"/>
  <c r="X291" i="59" s="1"/>
  <c r="Y291" i="59" s="1"/>
  <c r="Z291" i="59" s="1"/>
  <c r="AA291" i="59" s="1"/>
  <c r="AB291" i="59" s="1"/>
  <c r="AC291" i="59" s="1"/>
  <c r="AD291" i="59" s="1"/>
  <c r="K74" i="54" l="1"/>
  <c r="S544" i="59" s="1"/>
  <c r="K77" i="54"/>
  <c r="S547" i="59" s="1"/>
  <c r="P45" i="54"/>
  <c r="X515" i="59" s="1"/>
  <c r="L94" i="54"/>
  <c r="T564" i="59" s="1"/>
  <c r="M98" i="54"/>
  <c r="U568" i="59" s="1"/>
  <c r="P98" i="54"/>
  <c r="X568" i="59" s="1"/>
  <c r="L107" i="54"/>
  <c r="T577" i="59" s="1"/>
  <c r="N66" i="54"/>
  <c r="V536" i="59" s="1"/>
  <c r="L77" i="54"/>
  <c r="T547" i="59" s="1"/>
  <c r="O94" i="54"/>
  <c r="W564" i="59" s="1"/>
  <c r="O108" i="54"/>
  <c r="W578" i="59" s="1"/>
  <c r="Q98" i="54"/>
  <c r="Y568" i="59" s="1"/>
  <c r="Z568" i="59" s="1"/>
  <c r="AA568" i="59" s="1"/>
  <c r="AB568" i="59" s="1"/>
  <c r="AC568" i="59" s="1"/>
  <c r="AD568" i="59" s="1"/>
  <c r="Q107" i="54"/>
  <c r="Y577" i="59" s="1"/>
  <c r="Z577" i="59" s="1"/>
  <c r="AA577" i="59" s="1"/>
  <c r="AB577" i="59" s="1"/>
  <c r="AC577" i="59" s="1"/>
  <c r="AD577" i="59" s="1"/>
  <c r="Q56" i="54"/>
  <c r="Y526" i="59" s="1"/>
  <c r="Z526" i="59" s="1"/>
  <c r="AA526" i="59" s="1"/>
  <c r="AB526" i="59" s="1"/>
  <c r="AC526" i="59" s="1"/>
  <c r="AD526" i="59" s="1"/>
  <c r="M56" i="54"/>
  <c r="U526" i="59" s="1"/>
  <c r="P95" i="54"/>
  <c r="X565" i="59" s="1"/>
  <c r="L32" i="54"/>
  <c r="T502" i="59" s="1"/>
  <c r="N65" i="54"/>
  <c r="V535" i="59" s="1"/>
  <c r="Q44" i="54"/>
  <c r="Y514" i="59" s="1"/>
  <c r="Z514" i="59" s="1"/>
  <c r="AA514" i="59" s="1"/>
  <c r="AB514" i="59" s="1"/>
  <c r="AC514" i="59" s="1"/>
  <c r="AD514" i="59" s="1"/>
  <c r="N94" i="54"/>
  <c r="V564" i="59" s="1"/>
  <c r="K108" i="54"/>
  <c r="S578" i="59" s="1"/>
  <c r="Q45" i="54"/>
  <c r="Y515" i="59" s="1"/>
  <c r="Z515" i="59" s="1"/>
  <c r="AA515" i="59" s="1"/>
  <c r="AB515" i="59" s="1"/>
  <c r="AC515" i="59" s="1"/>
  <c r="AD515" i="59" s="1"/>
  <c r="P44" i="54"/>
  <c r="X514" i="59" s="1"/>
  <c r="P108" i="54"/>
  <c r="X578" i="59" s="1"/>
  <c r="O66" i="54"/>
  <c r="W536" i="59" s="1"/>
  <c r="O32" i="54"/>
  <c r="W502" i="59" s="1"/>
  <c r="L53" i="54"/>
  <c r="T523" i="59" s="1"/>
  <c r="P52" i="54"/>
  <c r="X522" i="59" s="1"/>
  <c r="L45" i="54"/>
  <c r="T515" i="59" s="1"/>
  <c r="O44" i="54"/>
  <c r="W514" i="59" s="1"/>
  <c r="P77" i="54"/>
  <c r="X547" i="59" s="1"/>
  <c r="N56" i="54"/>
  <c r="V526" i="59" s="1"/>
  <c r="N31" i="54"/>
  <c r="V501" i="59" s="1"/>
  <c r="M66" i="54"/>
  <c r="U536" i="59" s="1"/>
  <c r="P86" i="54"/>
  <c r="X556" i="59" s="1"/>
  <c r="Q66" i="54"/>
  <c r="Y536" i="59" s="1"/>
  <c r="Z536" i="59" s="1"/>
  <c r="AA536" i="59" s="1"/>
  <c r="AB536" i="59" s="1"/>
  <c r="AC536" i="59" s="1"/>
  <c r="AD536" i="59" s="1"/>
  <c r="K44" i="54"/>
  <c r="S514" i="59" s="1"/>
  <c r="K53" i="54"/>
  <c r="S523" i="59" s="1"/>
  <c r="N77" i="54"/>
  <c r="V547" i="59" s="1"/>
  <c r="Q31" i="54"/>
  <c r="Y501" i="59" s="1"/>
  <c r="Z501" i="59" s="1"/>
  <c r="AA501" i="59" s="1"/>
  <c r="AB501" i="59" s="1"/>
  <c r="AC501" i="59" s="1"/>
  <c r="AD501" i="59" s="1"/>
  <c r="Q108" i="54"/>
  <c r="Y578" i="59" s="1"/>
  <c r="Z578" i="59" s="1"/>
  <c r="AA578" i="59" s="1"/>
  <c r="AB578" i="59" s="1"/>
  <c r="AC578" i="59" s="1"/>
  <c r="AD578" i="59" s="1"/>
  <c r="P107" i="54"/>
  <c r="X577" i="59" s="1"/>
  <c r="Q53" i="54"/>
  <c r="Y523" i="59" s="1"/>
  <c r="Z523" i="59" s="1"/>
  <c r="AA523" i="59" s="1"/>
  <c r="AB523" i="59" s="1"/>
  <c r="AC523" i="59" s="1"/>
  <c r="AD523" i="59" s="1"/>
  <c r="L74" i="54"/>
  <c r="T544" i="59" s="1"/>
  <c r="K32" i="54"/>
  <c r="S502" i="59" s="1"/>
  <c r="K98" i="54"/>
  <c r="S568" i="59" s="1"/>
  <c r="O87" i="54"/>
  <c r="W557" i="59" s="1"/>
  <c r="O65" i="54"/>
  <c r="W535" i="59" s="1"/>
  <c r="N32" i="54"/>
  <c r="V502" i="59" s="1"/>
  <c r="O52" i="54"/>
  <c r="W522" i="59" s="1"/>
  <c r="P66" i="54"/>
  <c r="X536" i="59" s="1"/>
  <c r="M74" i="54"/>
  <c r="U544" i="59" s="1"/>
  <c r="N98" i="54"/>
  <c r="V568" i="59" s="1"/>
  <c r="M94" i="54"/>
  <c r="U564" i="59" s="1"/>
  <c r="P65" i="54"/>
  <c r="X535" i="59" s="1"/>
  <c r="N108" i="54"/>
  <c r="V578" i="59" s="1"/>
  <c r="N35" i="54"/>
  <c r="V505" i="59" s="1"/>
  <c r="M108" i="54"/>
  <c r="U578" i="59" s="1"/>
  <c r="P87" i="54"/>
  <c r="X557" i="59" s="1"/>
  <c r="L86" i="54"/>
  <c r="T556" i="59" s="1"/>
  <c r="N107" i="54"/>
  <c r="V577" i="59" s="1"/>
  <c r="N45" i="54"/>
  <c r="V515" i="59" s="1"/>
  <c r="N87" i="54"/>
  <c r="V557" i="59" s="1"/>
  <c r="K35" i="54"/>
  <c r="S505" i="59" s="1"/>
  <c r="L56" i="54"/>
  <c r="T526" i="59" s="1"/>
  <c r="K86" i="54"/>
  <c r="S556" i="59" s="1"/>
  <c r="L65" i="54"/>
  <c r="T535" i="59" s="1"/>
  <c r="K66" i="54"/>
  <c r="S536" i="59" s="1"/>
  <c r="P32" i="54"/>
  <c r="X502" i="59" s="1"/>
  <c r="Q35" i="54"/>
  <c r="Y505" i="59" s="1"/>
  <c r="Z505" i="59" s="1"/>
  <c r="AA505" i="59" s="1"/>
  <c r="AB505" i="59" s="1"/>
  <c r="AC505" i="59" s="1"/>
  <c r="AD505" i="59" s="1"/>
  <c r="Q95" i="54"/>
  <c r="Y565" i="59" s="1"/>
  <c r="Z565" i="59" s="1"/>
  <c r="AA565" i="59" s="1"/>
  <c r="AB565" i="59" s="1"/>
  <c r="AC565" i="59" s="1"/>
  <c r="AD565" i="59" s="1"/>
  <c r="Q77" i="54"/>
  <c r="Y547" i="59" s="1"/>
  <c r="Z547" i="59" s="1"/>
  <c r="AA547" i="59" s="1"/>
  <c r="AB547" i="59" s="1"/>
  <c r="AC547" i="59" s="1"/>
  <c r="AD547" i="59" s="1"/>
  <c r="M44" i="54"/>
  <c r="U514" i="59" s="1"/>
  <c r="O86" i="54"/>
  <c r="W556" i="59" s="1"/>
  <c r="L98" i="54"/>
  <c r="T568" i="59" s="1"/>
  <c r="P94" i="54"/>
  <c r="X564" i="59" s="1"/>
  <c r="O56" i="54"/>
  <c r="W526" i="59" s="1"/>
  <c r="L95" i="54"/>
  <c r="T565" i="59" s="1"/>
  <c r="M31" i="54"/>
  <c r="U501" i="59" s="1"/>
  <c r="M95" i="54"/>
  <c r="U565" i="59" s="1"/>
  <c r="M52" i="54"/>
  <c r="U522" i="59" s="1"/>
  <c r="K95" i="54"/>
  <c r="S565" i="59" s="1"/>
  <c r="L35" i="54"/>
  <c r="T505" i="59" s="1"/>
  <c r="O45" i="54"/>
  <c r="W515" i="59" s="1"/>
  <c r="O74" i="54"/>
  <c r="W544" i="59" s="1"/>
  <c r="M65" i="54"/>
  <c r="U535" i="59" s="1"/>
  <c r="P73" i="54"/>
  <c r="X543" i="59" s="1"/>
  <c r="P31" i="54"/>
  <c r="X501" i="59" s="1"/>
  <c r="K56" i="54"/>
  <c r="S526" i="59" s="1"/>
  <c r="N73" i="54"/>
  <c r="V543" i="59" s="1"/>
  <c r="L66" i="54"/>
  <c r="T536" i="59" s="1"/>
  <c r="N52" i="54"/>
  <c r="V522" i="59" s="1"/>
  <c r="L31" i="54"/>
  <c r="T501" i="59" s="1"/>
  <c r="P53" i="54"/>
  <c r="X523" i="59" s="1"/>
  <c r="M86" i="54"/>
  <c r="U556" i="59" s="1"/>
  <c r="K107" i="54"/>
  <c r="S577" i="59" s="1"/>
  <c r="Q32" i="54"/>
  <c r="Y502" i="59" s="1"/>
  <c r="Z502" i="59" s="1"/>
  <c r="AA502" i="59" s="1"/>
  <c r="AB502" i="59" s="1"/>
  <c r="AC502" i="59" s="1"/>
  <c r="AD502" i="59" s="1"/>
  <c r="M32" i="54"/>
  <c r="U502" i="59" s="1"/>
  <c r="O77" i="54"/>
  <c r="W547" i="59" s="1"/>
  <c r="O35" i="54"/>
  <c r="W505" i="59" s="1"/>
  <c r="M77" i="54"/>
  <c r="U547" i="59" s="1"/>
  <c r="Q94" i="54"/>
  <c r="Y564" i="59" s="1"/>
  <c r="Z564" i="59" s="1"/>
  <c r="AA564" i="59" s="1"/>
  <c r="AB564" i="59" s="1"/>
  <c r="AC564" i="59" s="1"/>
  <c r="AD564" i="59" s="1"/>
  <c r="N95" i="54"/>
  <c r="V565" i="59" s="1"/>
  <c r="L52" i="54"/>
  <c r="T522" i="59" s="1"/>
  <c r="M87" i="54"/>
  <c r="U557" i="59" s="1"/>
  <c r="L108" i="54"/>
  <c r="T578" i="59" s="1"/>
  <c r="P74" i="54"/>
  <c r="X544" i="59" s="1"/>
  <c r="O95" i="54"/>
  <c r="W565" i="59" s="1"/>
  <c r="O107" i="54"/>
  <c r="W577" i="59" s="1"/>
  <c r="O31" i="54"/>
  <c r="W501" i="59" s="1"/>
  <c r="M53" i="54"/>
  <c r="U523" i="59" s="1"/>
  <c r="N74" i="54"/>
  <c r="V544" i="59" s="1"/>
  <c r="AC602" i="59"/>
  <c r="AB602" i="59"/>
  <c r="Y477" i="59"/>
  <c r="Z477" i="59" s="1"/>
  <c r="AA477" i="59" s="1"/>
  <c r="AB477" i="59" s="1"/>
  <c r="AC477" i="59" s="1"/>
  <c r="AD477" i="59" s="1"/>
  <c r="AD603" i="59" s="1"/>
  <c r="U492" i="59"/>
  <c r="U597" i="59" s="1"/>
  <c r="Y492" i="59"/>
  <c r="Z492" i="59" s="1"/>
  <c r="AA492" i="59" s="1"/>
  <c r="AB492" i="59" s="1"/>
  <c r="AC492" i="59" s="1"/>
  <c r="AD492" i="59" s="1"/>
  <c r="AD618" i="59" s="1"/>
  <c r="U491" i="59"/>
  <c r="U617" i="59" s="1"/>
  <c r="S550" i="59"/>
  <c r="S613" i="59" s="1"/>
  <c r="S515" i="59"/>
  <c r="S535" i="59"/>
  <c r="AC613" i="59"/>
  <c r="X613" i="59"/>
  <c r="T582" i="59"/>
  <c r="U592" i="59"/>
  <c r="AA613" i="59"/>
  <c r="V613" i="59"/>
  <c r="W613" i="59"/>
  <c r="W592" i="59"/>
  <c r="T592" i="59"/>
  <c r="AD617" i="59"/>
  <c r="Z613" i="59"/>
  <c r="V592" i="59"/>
  <c r="AC617" i="59"/>
  <c r="AC614" i="59"/>
  <c r="X596" i="59"/>
  <c r="AD613" i="59"/>
  <c r="X592" i="59"/>
  <c r="V618" i="59"/>
  <c r="T593" i="59"/>
  <c r="AB613" i="59"/>
  <c r="T613" i="59"/>
  <c r="W597" i="59"/>
  <c r="W582" i="59"/>
  <c r="V614" i="59"/>
  <c r="Z614" i="59"/>
  <c r="S597" i="59"/>
  <c r="W618" i="59"/>
  <c r="T597" i="59"/>
  <c r="T618" i="59"/>
  <c r="AD602" i="59"/>
  <c r="X597" i="59"/>
  <c r="W596" i="59"/>
  <c r="W617" i="59"/>
  <c r="T596" i="59"/>
  <c r="V597" i="59"/>
  <c r="X617" i="59"/>
  <c r="X618" i="59"/>
  <c r="AA617" i="59"/>
  <c r="V603" i="59"/>
  <c r="Z617" i="59"/>
  <c r="V596" i="59"/>
  <c r="AA602" i="59"/>
  <c r="S596" i="59"/>
  <c r="V617" i="59"/>
  <c r="AB617" i="59"/>
  <c r="T617" i="59"/>
  <c r="X582" i="59"/>
  <c r="S581" i="59"/>
  <c r="V593" i="59"/>
  <c r="T614" i="59"/>
  <c r="X602" i="59"/>
  <c r="U582" i="59"/>
  <c r="W603" i="59"/>
  <c r="X581" i="59"/>
  <c r="X614" i="59"/>
  <c r="X603" i="59"/>
  <c r="W614" i="59"/>
  <c r="T581" i="59"/>
  <c r="X593" i="59"/>
  <c r="T602" i="59"/>
  <c r="U602" i="59"/>
  <c r="S603" i="59"/>
  <c r="W593" i="59"/>
  <c r="AD614" i="59"/>
  <c r="W581" i="59"/>
  <c r="T603" i="59"/>
  <c r="Z602" i="59"/>
  <c r="AB614" i="59"/>
  <c r="AA614" i="59"/>
  <c r="V602" i="59"/>
  <c r="V581" i="59"/>
  <c r="V582" i="59"/>
  <c r="Y496" i="59"/>
  <c r="Z496" i="59" s="1"/>
  <c r="AA496" i="59" s="1"/>
  <c r="AB496" i="59" s="1"/>
  <c r="AC496" i="59" s="1"/>
  <c r="AD496" i="59" s="1"/>
  <c r="S559" i="59"/>
  <c r="T496" i="59"/>
  <c r="U559" i="59"/>
  <c r="W496" i="59"/>
  <c r="U593" i="59"/>
  <c r="S496" i="59"/>
  <c r="V496" i="59"/>
  <c r="V559" i="59"/>
  <c r="W559" i="59"/>
  <c r="W602" i="59"/>
  <c r="X559" i="59"/>
  <c r="T559" i="59"/>
  <c r="Y559" i="59"/>
  <c r="Z559" i="59" s="1"/>
  <c r="AA559" i="59" s="1"/>
  <c r="AB559" i="59" s="1"/>
  <c r="AC559" i="59" s="1"/>
  <c r="AD559" i="59" s="1"/>
  <c r="S593" i="59"/>
  <c r="X496" i="59"/>
  <c r="U496" i="59"/>
  <c r="Y592" i="59"/>
  <c r="Z592" i="59" s="1"/>
  <c r="AA592" i="59" s="1"/>
  <c r="AB592" i="59" s="1"/>
  <c r="AC592" i="59" s="1"/>
  <c r="AD592" i="59" s="1"/>
  <c r="S582" i="59"/>
  <c r="U581" i="59"/>
  <c r="S617" i="59"/>
  <c r="U603" i="59"/>
  <c r="S181" i="59"/>
  <c r="T180" i="59"/>
  <c r="S315" i="59"/>
  <c r="AA125" i="9" s="1"/>
  <c r="S614" i="59"/>
  <c r="U613" i="59"/>
  <c r="D339" i="59"/>
  <c r="S339" i="59"/>
  <c r="T339" i="59" s="1"/>
  <c r="U339" i="59" s="1"/>
  <c r="V339" i="59" s="1"/>
  <c r="W339" i="59" s="1"/>
  <c r="X339" i="59" s="1"/>
  <c r="Y339" i="59" s="1"/>
  <c r="Z339" i="59" s="1"/>
  <c r="AA339" i="59" s="1"/>
  <c r="AB339" i="59" s="1"/>
  <c r="AC339" i="59" s="1"/>
  <c r="AD339" i="59" s="1"/>
  <c r="S618" i="59"/>
  <c r="U614" i="59"/>
  <c r="S172" i="59"/>
  <c r="S602" i="59"/>
  <c r="CS203" i="9" l="1"/>
  <c r="BF200" i="9"/>
  <c r="BX203" i="9"/>
  <c r="BF69" i="9"/>
  <c r="BD200" i="9"/>
  <c r="CN200" i="9"/>
  <c r="CN69" i="9"/>
  <c r="BV69" i="9"/>
  <c r="BA200" i="9"/>
  <c r="AJ69" i="9"/>
  <c r="BT69" i="9"/>
  <c r="BS69" i="9"/>
  <c r="CJ69" i="9"/>
  <c r="AX200" i="9"/>
  <c r="AF200" i="9"/>
  <c r="O203" i="9"/>
  <c r="AF69" i="9"/>
  <c r="M203" i="9"/>
  <c r="AA69" i="9"/>
  <c r="H200" i="9"/>
  <c r="CS200" i="9"/>
  <c r="CQ200" i="9"/>
  <c r="CP200" i="9"/>
  <c r="CO203" i="9"/>
  <c r="CP69" i="9"/>
  <c r="BC200" i="9"/>
  <c r="CM200" i="9"/>
  <c r="AJ203" i="9"/>
  <c r="AK69" i="9"/>
  <c r="R203" i="9"/>
  <c r="BS203" i="9"/>
  <c r="AY203" i="9"/>
  <c r="BR200" i="9"/>
  <c r="AG200" i="9"/>
  <c r="P200" i="9"/>
  <c r="AE200" i="9"/>
  <c r="AD203" i="9"/>
  <c r="AD69" i="9"/>
  <c r="K203" i="9"/>
  <c r="J203" i="9"/>
  <c r="CT69" i="9"/>
  <c r="BF203" i="9"/>
  <c r="BX200" i="9"/>
  <c r="BW203" i="9"/>
  <c r="AL200" i="9"/>
  <c r="BW69" i="9"/>
  <c r="BB203" i="9"/>
  <c r="BT203" i="9"/>
  <c r="CM69" i="9"/>
  <c r="AI203" i="9"/>
  <c r="CL69" i="9"/>
  <c r="AZ69" i="9"/>
  <c r="AI69" i="9"/>
  <c r="CI203" i="9"/>
  <c r="AW203" i="9"/>
  <c r="O200" i="9"/>
  <c r="AW69" i="9"/>
  <c r="AU203" i="9"/>
  <c r="AE69" i="9"/>
  <c r="AC200" i="9"/>
  <c r="AB200" i="9"/>
  <c r="I203" i="9"/>
  <c r="BZ203" i="9"/>
  <c r="CQ203" i="9"/>
  <c r="BE203" i="9"/>
  <c r="BD203" i="9"/>
  <c r="BV203" i="9"/>
  <c r="AL203" i="9"/>
  <c r="AK203" i="9"/>
  <c r="BT200" i="9"/>
  <c r="CL203" i="9"/>
  <c r="AI200" i="9"/>
  <c r="BR203" i="9"/>
  <c r="CJ203" i="9"/>
  <c r="BQ203" i="9"/>
  <c r="BQ69" i="9"/>
  <c r="AE203" i="9"/>
  <c r="BO203" i="9"/>
  <c r="BO69" i="9"/>
  <c r="AU69" i="9"/>
  <c r="AC69" i="9"/>
  <c r="AA200" i="9"/>
  <c r="I200" i="9"/>
  <c r="CR203" i="9"/>
  <c r="BY200" i="9"/>
  <c r="CQ69" i="9"/>
  <c r="CO200" i="9"/>
  <c r="BV200" i="9"/>
  <c r="BD69" i="9"/>
  <c r="BC69" i="9"/>
  <c r="AJ200" i="9"/>
  <c r="BU69" i="9"/>
  <c r="R200" i="9"/>
  <c r="AH200" i="9"/>
  <c r="Q203" i="9"/>
  <c r="AH69" i="9"/>
  <c r="BR69" i="9"/>
  <c r="BP200" i="9"/>
  <c r="AW200" i="9"/>
  <c r="AV203" i="9"/>
  <c r="AU200" i="9"/>
  <c r="AV69" i="9"/>
  <c r="L200" i="9"/>
  <c r="J200" i="9"/>
  <c r="BZ200" i="9"/>
  <c r="BY203" i="9"/>
  <c r="BE200" i="9"/>
  <c r="BW200" i="9"/>
  <c r="CN203" i="9"/>
  <c r="AK200" i="9"/>
  <c r="AL69" i="9"/>
  <c r="CL200" i="9"/>
  <c r="CK203" i="9"/>
  <c r="AZ203" i="9"/>
  <c r="AH203" i="9"/>
  <c r="CJ200" i="9"/>
  <c r="AG203" i="9"/>
  <c r="BQ200" i="9"/>
  <c r="AF203" i="9"/>
  <c r="CI69" i="9"/>
  <c r="AV200" i="9"/>
  <c r="N200" i="9"/>
  <c r="AC203" i="9"/>
  <c r="L203" i="9"/>
  <c r="K200" i="9"/>
  <c r="AB69" i="9"/>
  <c r="CT203" i="9"/>
  <c r="CR200" i="9"/>
  <c r="CR69" i="9"/>
  <c r="BY69" i="9"/>
  <c r="BE69" i="9"/>
  <c r="BC203" i="9"/>
  <c r="BU203" i="9"/>
  <c r="BB200" i="9"/>
  <c r="BA203" i="9"/>
  <c r="AZ200" i="9"/>
  <c r="BA69" i="9"/>
  <c r="Q200" i="9"/>
  <c r="AY69" i="9"/>
  <c r="P203" i="9"/>
  <c r="AG69" i="9"/>
  <c r="BP69" i="9"/>
  <c r="BO200" i="9"/>
  <c r="M200" i="9"/>
  <c r="AB203" i="9"/>
  <c r="H203" i="9"/>
  <c r="CT200" i="9"/>
  <c r="CS69" i="9"/>
  <c r="BZ69" i="9"/>
  <c r="CP203" i="9"/>
  <c r="BX69" i="9"/>
  <c r="CO69" i="9"/>
  <c r="CM203" i="9"/>
  <c r="BU200" i="9"/>
  <c r="BB69" i="9"/>
  <c r="CK200" i="9"/>
  <c r="BS200" i="9"/>
  <c r="CK69" i="9"/>
  <c r="AY200" i="9"/>
  <c r="CI200" i="9"/>
  <c r="AX203" i="9"/>
  <c r="BP203" i="9"/>
  <c r="AX69" i="9"/>
  <c r="N203" i="9"/>
  <c r="AD200" i="9"/>
  <c r="AA203" i="9"/>
  <c r="U596" i="59"/>
  <c r="U638" i="59" s="1"/>
  <c r="Z618" i="59"/>
  <c r="AA618" i="59"/>
  <c r="AB618" i="59"/>
  <c r="AC618" i="59"/>
  <c r="U618" i="59"/>
  <c r="U639" i="59" s="1"/>
  <c r="S592" i="59"/>
  <c r="S634" i="59" s="1"/>
  <c r="S638" i="59"/>
  <c r="X635" i="59"/>
  <c r="Y597" i="59"/>
  <c r="Z597" i="59" s="1"/>
  <c r="AA597" i="59" s="1"/>
  <c r="AB597" i="59" s="1"/>
  <c r="AC597" i="59" s="1"/>
  <c r="AD597" i="59" s="1"/>
  <c r="AD639" i="59" s="1"/>
  <c r="W638" i="59"/>
  <c r="V634" i="59"/>
  <c r="X638" i="59"/>
  <c r="T634" i="59"/>
  <c r="V623" i="59"/>
  <c r="AA634" i="59"/>
  <c r="AC634" i="59"/>
  <c r="AB634" i="59"/>
  <c r="V624" i="59"/>
  <c r="X623" i="59"/>
  <c r="T638" i="59"/>
  <c r="X624" i="59"/>
  <c r="T635" i="59"/>
  <c r="T624" i="59"/>
  <c r="V639" i="59"/>
  <c r="W624" i="59"/>
  <c r="X634" i="59"/>
  <c r="Y582" i="59"/>
  <c r="Z582" i="59" s="1"/>
  <c r="AA582" i="59" s="1"/>
  <c r="AB582" i="59" s="1"/>
  <c r="AC582" i="59" s="1"/>
  <c r="AD582" i="59" s="1"/>
  <c r="AD624" i="59" s="1"/>
  <c r="AA603" i="59"/>
  <c r="Z603" i="59"/>
  <c r="AD634" i="59"/>
  <c r="T623" i="59"/>
  <c r="AB603" i="59"/>
  <c r="AC603" i="59"/>
  <c r="W635" i="59"/>
  <c r="X639" i="59"/>
  <c r="T639" i="59"/>
  <c r="Z634" i="59"/>
  <c r="W634" i="59"/>
  <c r="V638" i="59"/>
  <c r="W623" i="59"/>
  <c r="V635" i="59"/>
  <c r="U624" i="59"/>
  <c r="W639" i="59"/>
  <c r="S580" i="59"/>
  <c r="S601" i="59"/>
  <c r="W601" i="59"/>
  <c r="W580" i="59"/>
  <c r="U580" i="59"/>
  <c r="U601" i="59"/>
  <c r="V601" i="59"/>
  <c r="V580" i="59"/>
  <c r="Y580" i="59"/>
  <c r="T601" i="59"/>
  <c r="T580" i="59"/>
  <c r="AA601" i="59"/>
  <c r="Z601" i="59"/>
  <c r="X601" i="59"/>
  <c r="X580" i="59"/>
  <c r="AD601" i="59"/>
  <c r="AB601" i="59"/>
  <c r="AC601" i="59"/>
  <c r="AA138" i="9"/>
  <c r="AA113" i="9"/>
  <c r="Y603" i="59"/>
  <c r="Y613" i="59"/>
  <c r="Y634" i="59" s="1"/>
  <c r="G200" i="9"/>
  <c r="Y618" i="59"/>
  <c r="S624" i="59"/>
  <c r="U623" i="59"/>
  <c r="S635" i="59"/>
  <c r="U180" i="59"/>
  <c r="S623" i="59"/>
  <c r="Y581" i="59"/>
  <c r="Y602" i="59"/>
  <c r="P80" i="9"/>
  <c r="G80" i="9"/>
  <c r="L80" i="9"/>
  <c r="AI89" i="9"/>
  <c r="G203" i="9"/>
  <c r="AD89" i="9"/>
  <c r="AF89" i="9"/>
  <c r="R80" i="9"/>
  <c r="AK89" i="9"/>
  <c r="AJ89" i="9"/>
  <c r="K80" i="9"/>
  <c r="AB89" i="9"/>
  <c r="AA89" i="9"/>
  <c r="AE89" i="9"/>
  <c r="M80" i="9"/>
  <c r="Q80" i="9"/>
  <c r="AH89" i="9"/>
  <c r="O80" i="9"/>
  <c r="H80" i="9"/>
  <c r="N80" i="9"/>
  <c r="J80" i="9"/>
  <c r="AC89" i="9"/>
  <c r="I80" i="9"/>
  <c r="AG89" i="9"/>
  <c r="AL89" i="9"/>
  <c r="T181" i="59"/>
  <c r="S182" i="59"/>
  <c r="S205" i="59"/>
  <c r="AC205" i="59"/>
  <c r="V205" i="59"/>
  <c r="AD205" i="59"/>
  <c r="W205" i="59"/>
  <c r="X205" i="59"/>
  <c r="Y205" i="59"/>
  <c r="Z205" i="59"/>
  <c r="U205" i="59"/>
  <c r="AA205" i="59"/>
  <c r="T205" i="59"/>
  <c r="AB205" i="59"/>
  <c r="S199" i="59"/>
  <c r="W204" i="59"/>
  <c r="Z204" i="59"/>
  <c r="AA204" i="59"/>
  <c r="AC204" i="59"/>
  <c r="S204" i="59"/>
  <c r="X204" i="59"/>
  <c r="AD204" i="59"/>
  <c r="V204" i="59"/>
  <c r="Y204" i="59"/>
  <c r="U204" i="59"/>
  <c r="T204" i="59"/>
  <c r="AB204" i="59"/>
  <c r="T171" i="59"/>
  <c r="U635" i="59"/>
  <c r="Y197" i="59"/>
  <c r="Z197" i="59"/>
  <c r="T197" i="59"/>
  <c r="AA197" i="59"/>
  <c r="S197" i="59"/>
  <c r="AB197" i="59"/>
  <c r="U197" i="59"/>
  <c r="AC197" i="59"/>
  <c r="V197" i="59"/>
  <c r="AD197" i="59"/>
  <c r="W197" i="59"/>
  <c r="X197" i="59"/>
  <c r="S196" i="59"/>
  <c r="T196" i="59"/>
  <c r="U196" i="59"/>
  <c r="V196" i="59"/>
  <c r="W196" i="59"/>
  <c r="S191" i="59"/>
  <c r="X196" i="59"/>
  <c r="Y196" i="59"/>
  <c r="Z196" i="59"/>
  <c r="AB196" i="59"/>
  <c r="AC196" i="59"/>
  <c r="AA196" i="59"/>
  <c r="AD196" i="59"/>
  <c r="AA112" i="9"/>
  <c r="AA262" i="9" s="1"/>
  <c r="G116" i="9"/>
  <c r="AA116" i="9"/>
  <c r="AA263" i="9" s="1"/>
  <c r="Y593" i="59"/>
  <c r="Z593" i="59" s="1"/>
  <c r="Y614" i="59"/>
  <c r="T315" i="59"/>
  <c r="G117" i="9"/>
  <c r="S639" i="59"/>
  <c r="U634" i="59"/>
  <c r="Y596" i="59"/>
  <c r="Z596" i="59" s="1"/>
  <c r="Y617" i="59"/>
  <c r="D380" i="59"/>
  <c r="Y601" i="59"/>
  <c r="AA261" i="9" l="1"/>
  <c r="Z580" i="59"/>
  <c r="AA580" i="59" s="1"/>
  <c r="AB580" i="59" s="1"/>
  <c r="AC580" i="59" s="1"/>
  <c r="AD580" i="59" s="1"/>
  <c r="AD622" i="59" s="1"/>
  <c r="BT196" i="9"/>
  <c r="BT194" i="9" s="1"/>
  <c r="CI196" i="9"/>
  <c r="CI194" i="9" s="1"/>
  <c r="CI198" i="9"/>
  <c r="BB198" i="9"/>
  <c r="BB196" i="9"/>
  <c r="BB194" i="9" s="1"/>
  <c r="AV196" i="9"/>
  <c r="AV194" i="9" s="1"/>
  <c r="W43" i="8" s="1"/>
  <c r="AV198" i="9"/>
  <c r="BZ198" i="9"/>
  <c r="BZ196" i="9"/>
  <c r="BZ194" i="9" s="1"/>
  <c r="R198" i="9"/>
  <c r="R196" i="9"/>
  <c r="BY196" i="9"/>
  <c r="BY194" i="9" s="1"/>
  <c r="BY198" i="9"/>
  <c r="BR198" i="9"/>
  <c r="BR196" i="9"/>
  <c r="BR194" i="9" s="1"/>
  <c r="CN198" i="9"/>
  <c r="CN196" i="9"/>
  <c r="CN194" i="9" s="1"/>
  <c r="AY196" i="9"/>
  <c r="AY194" i="9" s="1"/>
  <c r="Z43" i="8" s="1"/>
  <c r="AY198" i="9"/>
  <c r="CL198" i="9"/>
  <c r="CL196" i="9"/>
  <c r="CL194" i="9" s="1"/>
  <c r="AI196" i="9"/>
  <c r="AI194" i="9" s="1"/>
  <c r="AI198" i="9"/>
  <c r="BX196" i="9"/>
  <c r="BX194" i="9" s="1"/>
  <c r="BX198" i="9"/>
  <c r="BD196" i="9"/>
  <c r="BD194" i="9" s="1"/>
  <c r="BD198" i="9"/>
  <c r="AD196" i="9"/>
  <c r="AD194" i="9" s="1"/>
  <c r="Q43" i="8" s="1"/>
  <c r="AD198" i="9"/>
  <c r="AW196" i="9"/>
  <c r="AW194" i="9" s="1"/>
  <c r="X43" i="8" s="1"/>
  <c r="AW198" i="9"/>
  <c r="AJ196" i="9"/>
  <c r="AJ194" i="9" s="1"/>
  <c r="AJ198" i="9"/>
  <c r="CP198" i="9"/>
  <c r="CP196" i="9"/>
  <c r="CP194" i="9" s="1"/>
  <c r="BS198" i="9"/>
  <c r="BS196" i="9"/>
  <c r="BS194" i="9" s="1"/>
  <c r="Q198" i="9"/>
  <c r="Q196" i="9"/>
  <c r="K196" i="9"/>
  <c r="K198" i="9"/>
  <c r="BQ196" i="9"/>
  <c r="BQ194" i="9" s="1"/>
  <c r="BQ198" i="9"/>
  <c r="AK196" i="9"/>
  <c r="AK194" i="9" s="1"/>
  <c r="AK198" i="9"/>
  <c r="J198" i="9"/>
  <c r="J196" i="9"/>
  <c r="BP198" i="9"/>
  <c r="BP196" i="9"/>
  <c r="BP194" i="9" s="1"/>
  <c r="I196" i="9"/>
  <c r="I198" i="9"/>
  <c r="O198" i="9"/>
  <c r="O196" i="9"/>
  <c r="AE196" i="9"/>
  <c r="AE194" i="9" s="1"/>
  <c r="R43" i="8" s="1"/>
  <c r="AE198" i="9"/>
  <c r="CQ196" i="9"/>
  <c r="CQ194" i="9" s="1"/>
  <c r="CQ198" i="9"/>
  <c r="CK196" i="9"/>
  <c r="CK194" i="9" s="1"/>
  <c r="CK198" i="9"/>
  <c r="M198" i="9"/>
  <c r="M196" i="9"/>
  <c r="AA198" i="9"/>
  <c r="AA196" i="9"/>
  <c r="AA194" i="9" s="1"/>
  <c r="N43" i="8" s="1"/>
  <c r="BT198" i="9"/>
  <c r="CS198" i="9"/>
  <c r="CS196" i="9"/>
  <c r="CS194" i="9" s="1"/>
  <c r="BF196" i="9"/>
  <c r="BF194" i="9" s="1"/>
  <c r="BF198" i="9"/>
  <c r="CT198" i="9"/>
  <c r="CT196" i="9"/>
  <c r="CT194" i="9" s="1"/>
  <c r="BO196" i="9"/>
  <c r="BO194" i="9" s="1"/>
  <c r="BO198" i="9"/>
  <c r="CJ198" i="9"/>
  <c r="CJ196" i="9"/>
  <c r="CJ194" i="9" s="1"/>
  <c r="BW196" i="9"/>
  <c r="BW194" i="9" s="1"/>
  <c r="BW198" i="9"/>
  <c r="L196" i="9"/>
  <c r="L198" i="9"/>
  <c r="BV196" i="9"/>
  <c r="BV194" i="9" s="1"/>
  <c r="BV198" i="9"/>
  <c r="H196" i="9"/>
  <c r="H198" i="9"/>
  <c r="BA198" i="9"/>
  <c r="BA196" i="9"/>
  <c r="BA194" i="9" s="1"/>
  <c r="AB43" i="8" s="1"/>
  <c r="BU196" i="9"/>
  <c r="BU194" i="9" s="1"/>
  <c r="BU198" i="9"/>
  <c r="AZ198" i="9"/>
  <c r="AZ196" i="9"/>
  <c r="AZ194" i="9" s="1"/>
  <c r="AA43" i="8" s="1"/>
  <c r="CR198" i="9"/>
  <c r="CR196" i="9"/>
  <c r="CR194" i="9" s="1"/>
  <c r="BE198" i="9"/>
  <c r="BE196" i="9"/>
  <c r="BE194" i="9" s="1"/>
  <c r="CO196" i="9"/>
  <c r="CO194" i="9" s="1"/>
  <c r="CO198" i="9"/>
  <c r="AB198" i="9"/>
  <c r="AB196" i="9"/>
  <c r="AB194" i="9" s="1"/>
  <c r="O43" i="8" s="1"/>
  <c r="P198" i="9"/>
  <c r="P196" i="9"/>
  <c r="CM198" i="9"/>
  <c r="CM196" i="9"/>
  <c r="CM194" i="9" s="1"/>
  <c r="AF198" i="9"/>
  <c r="AF196" i="9"/>
  <c r="AF194" i="9" s="1"/>
  <c r="S43" i="8" s="1"/>
  <c r="N196" i="9"/>
  <c r="N198" i="9"/>
  <c r="AU198" i="9"/>
  <c r="AU196" i="9"/>
  <c r="AU194" i="9" s="1"/>
  <c r="V43" i="8" s="1"/>
  <c r="AH198" i="9"/>
  <c r="AH196" i="9"/>
  <c r="AH194" i="9" s="1"/>
  <c r="AC198" i="9"/>
  <c r="AC196" i="9"/>
  <c r="AC194" i="9" s="1"/>
  <c r="P43" i="8" s="1"/>
  <c r="AL196" i="9"/>
  <c r="AL194" i="9" s="1"/>
  <c r="AL198" i="9"/>
  <c r="AG196" i="9"/>
  <c r="AG194" i="9" s="1"/>
  <c r="T43" i="8" s="1"/>
  <c r="AG198" i="9"/>
  <c r="BC198" i="9"/>
  <c r="BC196" i="9"/>
  <c r="BC194" i="9" s="1"/>
  <c r="AX198" i="9"/>
  <c r="AX196" i="9"/>
  <c r="AX194" i="9" s="1"/>
  <c r="Y43" i="8" s="1"/>
  <c r="Z581" i="59"/>
  <c r="AA581" i="59" s="1"/>
  <c r="AA623" i="59" s="1"/>
  <c r="Y639" i="59"/>
  <c r="AA639" i="59"/>
  <c r="Z639" i="59"/>
  <c r="AC639" i="59"/>
  <c r="AB639" i="59"/>
  <c r="U622" i="59"/>
  <c r="X622" i="59"/>
  <c r="V622" i="59"/>
  <c r="T622" i="59"/>
  <c r="Y624" i="59"/>
  <c r="AC624" i="59"/>
  <c r="AB624" i="59"/>
  <c r="Z624" i="59"/>
  <c r="AA624" i="59"/>
  <c r="AA596" i="59"/>
  <c r="Z638" i="59"/>
  <c r="AA593" i="59"/>
  <c r="Z635" i="59"/>
  <c r="W622" i="59"/>
  <c r="S622" i="59"/>
  <c r="AB113" i="9"/>
  <c r="AB125" i="9"/>
  <c r="AB138" i="9"/>
  <c r="BO141" i="9"/>
  <c r="BO273" i="9" s="1"/>
  <c r="CI141" i="9"/>
  <c r="CI273" i="9" s="1"/>
  <c r="AU112" i="9"/>
  <c r="AU262" i="9" s="1"/>
  <c r="AU116" i="9"/>
  <c r="AU263" i="9" s="1"/>
  <c r="G112" i="9"/>
  <c r="G262" i="9" s="1"/>
  <c r="W380" i="59"/>
  <c r="AE191" i="9" s="1"/>
  <c r="Y380" i="59"/>
  <c r="AG191" i="9" s="1"/>
  <c r="AB380" i="59"/>
  <c r="AJ191" i="9" s="1"/>
  <c r="AC380" i="59"/>
  <c r="AK191" i="9" s="1"/>
  <c r="U380" i="59"/>
  <c r="Z380" i="59"/>
  <c r="AH191" i="9" s="1"/>
  <c r="AA380" i="59"/>
  <c r="AI188" i="9" s="1"/>
  <c r="X380" i="59"/>
  <c r="AF191" i="9" s="1"/>
  <c r="V380" i="59"/>
  <c r="AD191" i="9" s="1"/>
  <c r="AD380" i="59"/>
  <c r="AL191" i="9" s="1"/>
  <c r="S380" i="59"/>
  <c r="AA191" i="9" s="1"/>
  <c r="T380" i="59"/>
  <c r="AB188" i="9" s="1"/>
  <c r="AD188" i="9"/>
  <c r="Y638" i="59"/>
  <c r="AH190" i="9"/>
  <c r="V180" i="59"/>
  <c r="T182" i="59"/>
  <c r="S183" i="59"/>
  <c r="AA141" i="9" s="1"/>
  <c r="AA273" i="9" s="1"/>
  <c r="AK190" i="9"/>
  <c r="AH188" i="9"/>
  <c r="T199" i="59"/>
  <c r="U171" i="59"/>
  <c r="G263" i="9"/>
  <c r="AG190" i="9"/>
  <c r="AA190" i="9"/>
  <c r="T191" i="59"/>
  <c r="AL188" i="9"/>
  <c r="AG188" i="9"/>
  <c r="U315" i="59"/>
  <c r="H117" i="9"/>
  <c r="U181" i="59"/>
  <c r="Y622" i="59"/>
  <c r="AE188" i="9"/>
  <c r="AJ190" i="9"/>
  <c r="S200" i="59"/>
  <c r="T172" i="59"/>
  <c r="S173" i="59"/>
  <c r="S192" i="59"/>
  <c r="CI116" i="9"/>
  <c r="CI263" i="9" s="1"/>
  <c r="CI112" i="9"/>
  <c r="CI262" i="9" s="1"/>
  <c r="AE190" i="9"/>
  <c r="AL190" i="9"/>
  <c r="AD190" i="9"/>
  <c r="AJ188" i="9"/>
  <c r="AA188" i="9"/>
  <c r="D404" i="59"/>
  <c r="Y635" i="59"/>
  <c r="AK188" i="9"/>
  <c r="Y623" i="59"/>
  <c r="Z622" i="59" l="1"/>
  <c r="CI261" i="9"/>
  <c r="AU261" i="9"/>
  <c r="AB622" i="59"/>
  <c r="AA622" i="59"/>
  <c r="AC622" i="59"/>
  <c r="AB191" i="9"/>
  <c r="O49" i="91"/>
  <c r="N49" i="91"/>
  <c r="AB581" i="59"/>
  <c r="AC581" i="59" s="1"/>
  <c r="Z623" i="59"/>
  <c r="X480" i="59"/>
  <c r="X585" i="59" s="1"/>
  <c r="T484" i="59"/>
  <c r="T479" i="59"/>
  <c r="Y484" i="59"/>
  <c r="Y610" i="59" s="1"/>
  <c r="V484" i="59"/>
  <c r="W479" i="59"/>
  <c r="U480" i="59"/>
  <c r="U585" i="59" s="1"/>
  <c r="W481" i="59"/>
  <c r="X481" i="59"/>
  <c r="T481" i="59"/>
  <c r="V481" i="59"/>
  <c r="U481" i="59"/>
  <c r="T24" i="54"/>
  <c r="K24" i="54"/>
  <c r="V24" i="54"/>
  <c r="U493" i="59"/>
  <c r="X484" i="59"/>
  <c r="U484" i="59"/>
  <c r="V480" i="59"/>
  <c r="V585" i="59" s="1"/>
  <c r="X479" i="59"/>
  <c r="U479" i="59"/>
  <c r="U24" i="54"/>
  <c r="S479" i="59"/>
  <c r="W484" i="59"/>
  <c r="R24" i="54"/>
  <c r="W480" i="59"/>
  <c r="W585" i="59" s="1"/>
  <c r="S24" i="54"/>
  <c r="T480" i="59"/>
  <c r="T493" i="59"/>
  <c r="Y480" i="59"/>
  <c r="V479" i="59"/>
  <c r="V493" i="59"/>
  <c r="Y481" i="59"/>
  <c r="Y607" i="59" s="1"/>
  <c r="Y493" i="59"/>
  <c r="Y619" i="59" s="1"/>
  <c r="Y479" i="59"/>
  <c r="X493" i="59"/>
  <c r="W493" i="59"/>
  <c r="AB593" i="59"/>
  <c r="AA635" i="59"/>
  <c r="AB596" i="59"/>
  <c r="AA638" i="59"/>
  <c r="AU131" i="9"/>
  <c r="AU268" i="9" s="1"/>
  <c r="AU141" i="9"/>
  <c r="AU273" i="9" s="1"/>
  <c r="AF188" i="9"/>
  <c r="AF190" i="9"/>
  <c r="AI191" i="9"/>
  <c r="AI190" i="9"/>
  <c r="AC113" i="9"/>
  <c r="AC138" i="9"/>
  <c r="AC125" i="9"/>
  <c r="AB190" i="9"/>
  <c r="AC191" i="9"/>
  <c r="AC188" i="9"/>
  <c r="AC190" i="9"/>
  <c r="BP141" i="9"/>
  <c r="CJ141" i="9"/>
  <c r="S201" i="59"/>
  <c r="S175" i="59"/>
  <c r="T173" i="59"/>
  <c r="S174" i="59"/>
  <c r="AA131" i="9" s="1"/>
  <c r="AA268" i="9" s="1"/>
  <c r="W180" i="59"/>
  <c r="T192" i="59"/>
  <c r="T200" i="59"/>
  <c r="U172" i="59"/>
  <c r="G261" i="9"/>
  <c r="G427" i="59"/>
  <c r="D427" i="59" s="1"/>
  <c r="E427" i="59"/>
  <c r="S193" i="59"/>
  <c r="V181" i="59"/>
  <c r="U191" i="59"/>
  <c r="D450" i="59"/>
  <c r="T183" i="59"/>
  <c r="U183" i="59" s="1"/>
  <c r="V183" i="59" s="1"/>
  <c r="W183" i="59" s="1"/>
  <c r="X183" i="59" s="1"/>
  <c r="Y183" i="59" s="1"/>
  <c r="Z183" i="59" s="1"/>
  <c r="AA183" i="59" s="1"/>
  <c r="AB183" i="59" s="1"/>
  <c r="AC183" i="59" s="1"/>
  <c r="AD183" i="59" s="1"/>
  <c r="S184" i="59"/>
  <c r="V315" i="59"/>
  <c r="AC117" i="9"/>
  <c r="I117" i="9"/>
  <c r="CK117" i="9"/>
  <c r="BQ117" i="9"/>
  <c r="AW117" i="9"/>
  <c r="U199" i="59"/>
  <c r="V171" i="59"/>
  <c r="U182" i="59"/>
  <c r="BX185" i="9"/>
  <c r="BO185" i="9"/>
  <c r="CI131" i="9" l="1"/>
  <c r="CI268" i="9" s="1"/>
  <c r="G131" i="9"/>
  <c r="G268" i="9" s="1"/>
  <c r="AB623" i="59"/>
  <c r="Y606" i="59"/>
  <c r="Y585" i="59"/>
  <c r="T606" i="59"/>
  <c r="T585" i="59"/>
  <c r="E20" i="91" s="1"/>
  <c r="Q24" i="54"/>
  <c r="Y494" i="59" s="1"/>
  <c r="M24" i="54"/>
  <c r="U494" i="59" s="1"/>
  <c r="N24" i="54"/>
  <c r="V494" i="59" s="1"/>
  <c r="O24" i="54"/>
  <c r="W494" i="59" s="1"/>
  <c r="L24" i="54"/>
  <c r="T494" i="59" s="1"/>
  <c r="T599" i="59" s="1"/>
  <c r="P24" i="54"/>
  <c r="X494" i="59" s="1"/>
  <c r="X598" i="59"/>
  <c r="X619" i="59"/>
  <c r="V598" i="59"/>
  <c r="V619" i="59"/>
  <c r="W586" i="59"/>
  <c r="W607" i="59"/>
  <c r="W606" i="59"/>
  <c r="U606" i="59"/>
  <c r="W598" i="59"/>
  <c r="W619" i="59"/>
  <c r="U586" i="59"/>
  <c r="U607" i="59"/>
  <c r="X606" i="59"/>
  <c r="W589" i="59"/>
  <c r="H17" i="91" s="1"/>
  <c r="W610" i="59"/>
  <c r="V606" i="59"/>
  <c r="V586" i="59"/>
  <c r="V607" i="59"/>
  <c r="V589" i="59"/>
  <c r="G17" i="91" s="1"/>
  <c r="V610" i="59"/>
  <c r="X586" i="59"/>
  <c r="X607" i="59"/>
  <c r="T598" i="59"/>
  <c r="T619" i="59"/>
  <c r="U589" i="59"/>
  <c r="F17" i="91" s="1"/>
  <c r="U610" i="59"/>
  <c r="T589" i="59"/>
  <c r="T610" i="59"/>
  <c r="X589" i="59"/>
  <c r="I17" i="91" s="1"/>
  <c r="X610" i="59"/>
  <c r="U598" i="59"/>
  <c r="U619" i="59"/>
  <c r="T586" i="59"/>
  <c r="T607" i="59"/>
  <c r="BW183" i="9"/>
  <c r="BX186" i="9"/>
  <c r="BY185" i="9"/>
  <c r="BR185" i="9"/>
  <c r="BU185" i="9"/>
  <c r="BZ186" i="9"/>
  <c r="I125" i="9"/>
  <c r="AY55" i="9"/>
  <c r="I113" i="9"/>
  <c r="BX183" i="9"/>
  <c r="Q55" i="9"/>
  <c r="BT185" i="9"/>
  <c r="BQ186" i="9"/>
  <c r="BQ183" i="9"/>
  <c r="BV183" i="9"/>
  <c r="BU183" i="9"/>
  <c r="I138" i="9"/>
  <c r="BT183" i="9"/>
  <c r="BZ183" i="9"/>
  <c r="BP185" i="9"/>
  <c r="BO186" i="9"/>
  <c r="S493" i="59"/>
  <c r="S484" i="59"/>
  <c r="Z479" i="59"/>
  <c r="Z493" i="59"/>
  <c r="Y598" i="59"/>
  <c r="Z480" i="59"/>
  <c r="S494" i="59"/>
  <c r="Z484" i="59"/>
  <c r="Y589" i="59"/>
  <c r="Z481" i="59"/>
  <c r="Y586" i="59"/>
  <c r="S481" i="59"/>
  <c r="BP186" i="9"/>
  <c r="BV185" i="9"/>
  <c r="BS186" i="9"/>
  <c r="AZ190" i="9"/>
  <c r="L69" i="9"/>
  <c r="BE188" i="9"/>
  <c r="CS89" i="9"/>
  <c r="CM80" i="9"/>
  <c r="BQ138" i="9"/>
  <c r="I69" i="9"/>
  <c r="BB190" i="9"/>
  <c r="CT191" i="9"/>
  <c r="BR138" i="9"/>
  <c r="BZ89" i="9"/>
  <c r="BF188" i="9"/>
  <c r="AU138" i="9"/>
  <c r="BB89" i="9"/>
  <c r="CJ190" i="9"/>
  <c r="BD191" i="9"/>
  <c r="AB80" i="9"/>
  <c r="BT89" i="9"/>
  <c r="M69" i="9"/>
  <c r="CR80" i="9"/>
  <c r="BT190" i="9"/>
  <c r="BO80" i="9"/>
  <c r="AL80" i="9"/>
  <c r="BP188" i="9"/>
  <c r="AX89" i="9"/>
  <c r="BY190" i="9"/>
  <c r="AK80" i="9"/>
  <c r="I89" i="9"/>
  <c r="BX89" i="9"/>
  <c r="CK89" i="9"/>
  <c r="BO183" i="9"/>
  <c r="BW186" i="9"/>
  <c r="BW185" i="9"/>
  <c r="AW188" i="9"/>
  <c r="AZ188" i="9"/>
  <c r="G69" i="9"/>
  <c r="AJ80" i="9"/>
  <c r="BD190" i="9"/>
  <c r="AX190" i="9"/>
  <c r="BR113" i="9"/>
  <c r="BU125" i="9"/>
  <c r="BF190" i="9"/>
  <c r="BA80" i="9"/>
  <c r="AV80" i="9"/>
  <c r="BY191" i="9"/>
  <c r="BA191" i="9"/>
  <c r="CP80" i="9"/>
  <c r="BW138" i="9"/>
  <c r="BU191" i="9"/>
  <c r="BR89" i="9"/>
  <c r="CK113" i="9"/>
  <c r="BS80" i="9"/>
  <c r="BO191" i="9"/>
  <c r="CN190" i="9"/>
  <c r="BV125" i="9"/>
  <c r="AG80" i="9"/>
  <c r="CR190" i="9"/>
  <c r="CI138" i="9"/>
  <c r="O89" i="9"/>
  <c r="AV191" i="9"/>
  <c r="CS190" i="9"/>
  <c r="BX138" i="9"/>
  <c r="BV113" i="9"/>
  <c r="CI125" i="9"/>
  <c r="AU190" i="9"/>
  <c r="BR186" i="9"/>
  <c r="CQ188" i="9"/>
  <c r="AY190" i="9"/>
  <c r="AY188" i="9"/>
  <c r="BT188" i="9"/>
  <c r="CO191" i="9"/>
  <c r="BW190" i="9"/>
  <c r="BZ191" i="9"/>
  <c r="BB191" i="9"/>
  <c r="BS188" i="9"/>
  <c r="AX191" i="9"/>
  <c r="BR191" i="9"/>
  <c r="CM188" i="9"/>
  <c r="BU188" i="9"/>
  <c r="BW191" i="9"/>
  <c r="CJ188" i="9"/>
  <c r="BP183" i="9"/>
  <c r="AZ191" i="9"/>
  <c r="BW113" i="9"/>
  <c r="BU190" i="9"/>
  <c r="CM190" i="9"/>
  <c r="BC80" i="9"/>
  <c r="CR89" i="9"/>
  <c r="CJ89" i="9"/>
  <c r="BE191" i="9"/>
  <c r="BV191" i="9"/>
  <c r="N89" i="9"/>
  <c r="R69" i="9"/>
  <c r="BO188" i="9"/>
  <c r="BZ190" i="9"/>
  <c r="AH80" i="9"/>
  <c r="BQ89" i="9"/>
  <c r="BD188" i="9"/>
  <c r="BV188" i="9"/>
  <c r="CQ89" i="9"/>
  <c r="G89" i="9"/>
  <c r="CS191" i="9"/>
  <c r="CQ191" i="9"/>
  <c r="BX125" i="9"/>
  <c r="BA190" i="9"/>
  <c r="CJ138" i="9"/>
  <c r="BQ80" i="9"/>
  <c r="BP113" i="9"/>
  <c r="CI89" i="9"/>
  <c r="AU188" i="9"/>
  <c r="BV190" i="9"/>
  <c r="CQ80" i="9"/>
  <c r="J69" i="9"/>
  <c r="BX113" i="9"/>
  <c r="CT188" i="9"/>
  <c r="BT186" i="9"/>
  <c r="BR183" i="9"/>
  <c r="BC190" i="9"/>
  <c r="CN80" i="9"/>
  <c r="K89" i="9"/>
  <c r="BS113" i="9"/>
  <c r="AA80" i="9"/>
  <c r="BP89" i="9"/>
  <c r="AU80" i="9"/>
  <c r="BY89" i="9"/>
  <c r="BX80" i="9"/>
  <c r="CK191" i="9"/>
  <c r="AU125" i="9"/>
  <c r="Q69" i="9"/>
  <c r="BP138" i="9"/>
  <c r="AU191" i="9"/>
  <c r="CI188" i="9"/>
  <c r="G125" i="9"/>
  <c r="BT138" i="9"/>
  <c r="BZ125" i="9"/>
  <c r="BY138" i="9"/>
  <c r="AX188" i="9"/>
  <c r="AV117" i="9"/>
  <c r="AI80" i="9"/>
  <c r="K69" i="9"/>
  <c r="CL190" i="9"/>
  <c r="BR188" i="9"/>
  <c r="BB80" i="9"/>
  <c r="CJ125" i="9"/>
  <c r="AW89" i="9"/>
  <c r="CL80" i="9"/>
  <c r="CO80" i="9"/>
  <c r="BO125" i="9"/>
  <c r="AF80" i="9"/>
  <c r="BU113" i="9"/>
  <c r="AB117" i="9"/>
  <c r="BZ185" i="9"/>
  <c r="AW138" i="9"/>
  <c r="CK125" i="9"/>
  <c r="BY113" i="9"/>
  <c r="CN191" i="9"/>
  <c r="CQ190" i="9"/>
  <c r="CJ113" i="9"/>
  <c r="CR188" i="9"/>
  <c r="H125" i="9"/>
  <c r="H69" i="9"/>
  <c r="CJ80" i="9"/>
  <c r="BO89" i="9"/>
  <c r="CJ191" i="9"/>
  <c r="CN188" i="9"/>
  <c r="M89" i="9"/>
  <c r="BF89" i="9"/>
  <c r="CM89" i="9"/>
  <c r="BZ113" i="9"/>
  <c r="CP190" i="9"/>
  <c r="G138" i="9"/>
  <c r="AY89" i="9"/>
  <c r="BT80" i="9"/>
  <c r="BQ125" i="9"/>
  <c r="AV190" i="9"/>
  <c r="BT191" i="9"/>
  <c r="AU117" i="9"/>
  <c r="BY125" i="9"/>
  <c r="BV89" i="9"/>
  <c r="BS89" i="9"/>
  <c r="BW125" i="9"/>
  <c r="CJ117" i="9"/>
  <c r="CL125" i="9"/>
  <c r="BR80" i="9"/>
  <c r="CK190" i="9"/>
  <c r="BP117" i="9"/>
  <c r="BU89" i="9"/>
  <c r="AU113" i="9"/>
  <c r="BO138" i="9"/>
  <c r="BY188" i="9"/>
  <c r="BS183" i="9"/>
  <c r="BV186" i="9"/>
  <c r="BY183" i="9"/>
  <c r="AW125" i="9"/>
  <c r="BC191" i="9"/>
  <c r="BD89" i="9"/>
  <c r="AW80" i="9"/>
  <c r="CP188" i="9"/>
  <c r="BA188" i="9"/>
  <c r="P89" i="9"/>
  <c r="BW188" i="9"/>
  <c r="BD80" i="9"/>
  <c r="R89" i="9"/>
  <c r="BP80" i="9"/>
  <c r="BO190" i="9"/>
  <c r="AE80" i="9"/>
  <c r="BO117" i="9"/>
  <c r="CN89" i="9"/>
  <c r="AD80" i="9"/>
  <c r="AA117" i="9"/>
  <c r="CL89" i="9"/>
  <c r="BU138" i="9"/>
  <c r="AV125" i="9"/>
  <c r="BQ191" i="9"/>
  <c r="BE89" i="9"/>
  <c r="BO113" i="9"/>
  <c r="AZ89" i="9"/>
  <c r="AZ80" i="9"/>
  <c r="CT190" i="9"/>
  <c r="AX80" i="9"/>
  <c r="BZ138" i="9"/>
  <c r="BA89" i="9"/>
  <c r="CI190" i="9"/>
  <c r="BP190" i="9"/>
  <c r="CL188" i="9"/>
  <c r="Q89" i="9"/>
  <c r="AV138" i="9"/>
  <c r="AY191" i="9"/>
  <c r="BX190" i="9"/>
  <c r="BU186" i="9"/>
  <c r="BS185" i="9"/>
  <c r="AW190" i="9"/>
  <c r="AW113" i="9"/>
  <c r="BC188" i="9"/>
  <c r="BF80" i="9"/>
  <c r="H89" i="9"/>
  <c r="BY80" i="9"/>
  <c r="AU89" i="9"/>
  <c r="CI113" i="9"/>
  <c r="BB188" i="9"/>
  <c r="AV188" i="9"/>
  <c r="BS125" i="9"/>
  <c r="BZ80" i="9"/>
  <c r="BE190" i="9"/>
  <c r="H138" i="9"/>
  <c r="J89" i="9"/>
  <c r="CT80" i="9"/>
  <c r="H113" i="9"/>
  <c r="CI117" i="9"/>
  <c r="AV89" i="9"/>
  <c r="CL191" i="9"/>
  <c r="BP191" i="9"/>
  <c r="CO190" i="9"/>
  <c r="AC80" i="9"/>
  <c r="AV113" i="9"/>
  <c r="BS190" i="9"/>
  <c r="BU80" i="9"/>
  <c r="BR125" i="9"/>
  <c r="CI191" i="9"/>
  <c r="BR190" i="9"/>
  <c r="O69" i="9"/>
  <c r="BV80" i="9"/>
  <c r="BF191" i="9"/>
  <c r="CK188" i="9"/>
  <c r="BQ185" i="9"/>
  <c r="BY186" i="9"/>
  <c r="BT125" i="9"/>
  <c r="CO89" i="9"/>
  <c r="BX191" i="9"/>
  <c r="BQ190" i="9"/>
  <c r="BW80" i="9"/>
  <c r="P69" i="9"/>
  <c r="CK80" i="9"/>
  <c r="CM191" i="9"/>
  <c r="BX188" i="9"/>
  <c r="BS138" i="9"/>
  <c r="CI80" i="9"/>
  <c r="CL138" i="9"/>
  <c r="CS188" i="9"/>
  <c r="BT113" i="9"/>
  <c r="AY80" i="9"/>
  <c r="CP89" i="9"/>
  <c r="CP191" i="9"/>
  <c r="BQ188" i="9"/>
  <c r="G113" i="9"/>
  <c r="BV138" i="9"/>
  <c r="N69" i="9"/>
  <c r="BC89" i="9"/>
  <c r="CK138" i="9"/>
  <c r="CR191" i="9"/>
  <c r="CL113" i="9"/>
  <c r="BQ113" i="9"/>
  <c r="AW191" i="9"/>
  <c r="BZ188" i="9"/>
  <c r="BW89" i="9"/>
  <c r="CS80" i="9"/>
  <c r="CO188" i="9"/>
  <c r="BS191" i="9"/>
  <c r="BE80" i="9"/>
  <c r="BP125" i="9"/>
  <c r="L89" i="9"/>
  <c r="CT89" i="9"/>
  <c r="AC596" i="59"/>
  <c r="AB638" i="59"/>
  <c r="AC593" i="59"/>
  <c r="CS107" i="9" s="1"/>
  <c r="AB635" i="59"/>
  <c r="AD581" i="59"/>
  <c r="AD623" i="59" s="1"/>
  <c r="AC623" i="59"/>
  <c r="AB404" i="59"/>
  <c r="AB450" i="59" s="1"/>
  <c r="T404" i="59"/>
  <c r="V404" i="59"/>
  <c r="AA404" i="59"/>
  <c r="AA450" i="59" s="1"/>
  <c r="AC404" i="59"/>
  <c r="AC450" i="59" s="1"/>
  <c r="CN55" i="9"/>
  <c r="BQ55" i="9"/>
  <c r="G107" i="9"/>
  <c r="BD55" i="9"/>
  <c r="CS55" i="9"/>
  <c r="AF107" i="9"/>
  <c r="I55" i="9"/>
  <c r="AX55" i="9"/>
  <c r="BZ55" i="9"/>
  <c r="CO55" i="9"/>
  <c r="J55" i="9"/>
  <c r="BY55" i="9"/>
  <c r="AB107" i="9"/>
  <c r="N55" i="9"/>
  <c r="O55" i="9"/>
  <c r="AE55" i="9"/>
  <c r="CQ55" i="9"/>
  <c r="AZ55" i="9"/>
  <c r="M53" i="9"/>
  <c r="I53" i="9"/>
  <c r="Q53" i="9"/>
  <c r="O53" i="9"/>
  <c r="N53" i="9"/>
  <c r="G141" i="9"/>
  <c r="G273" i="9" s="1"/>
  <c r="R53" i="9"/>
  <c r="L53" i="9"/>
  <c r="K53" i="9"/>
  <c r="P53" i="9"/>
  <c r="H53" i="9"/>
  <c r="J53" i="9"/>
  <c r="BC148" i="9"/>
  <c r="CL107" i="9"/>
  <c r="AG107" i="9"/>
  <c r="AV148" i="9"/>
  <c r="AC55" i="9"/>
  <c r="K107" i="9"/>
  <c r="H107" i="9"/>
  <c r="AW148" i="9"/>
  <c r="BE55" i="9"/>
  <c r="R107" i="9"/>
  <c r="K55" i="9"/>
  <c r="I107" i="9"/>
  <c r="CK107" i="9"/>
  <c r="CR55" i="9"/>
  <c r="BP53" i="9"/>
  <c r="BW53" i="9"/>
  <c r="AB116" i="9"/>
  <c r="AB112" i="9"/>
  <c r="AV141" i="9"/>
  <c r="AB141" i="9"/>
  <c r="AV116" i="9"/>
  <c r="AV112" i="9"/>
  <c r="AU109" i="9"/>
  <c r="AC107" i="9"/>
  <c r="CL55" i="9"/>
  <c r="BU55" i="9"/>
  <c r="L107" i="9"/>
  <c r="BB148" i="9"/>
  <c r="AU132" i="9"/>
  <c r="AV131" i="9"/>
  <c r="AX113" i="9"/>
  <c r="AD113" i="9"/>
  <c r="AD138" i="9"/>
  <c r="AX138" i="9"/>
  <c r="AD125" i="9"/>
  <c r="AX125" i="9"/>
  <c r="CS53" i="9"/>
  <c r="CJ53" i="9"/>
  <c r="CL53" i="9"/>
  <c r="CO53" i="9"/>
  <c r="CK53" i="9"/>
  <c r="CI53" i="9"/>
  <c r="CT53" i="9"/>
  <c r="CR53" i="9"/>
  <c r="CP53" i="9"/>
  <c r="CM53" i="9"/>
  <c r="CN53" i="9"/>
  <c r="CQ53" i="9"/>
  <c r="AC141" i="9"/>
  <c r="AW141" i="9"/>
  <c r="BQ141" i="9"/>
  <c r="CK141" i="9"/>
  <c r="AB53" i="9"/>
  <c r="AE53" i="9"/>
  <c r="BQ53" i="9"/>
  <c r="AK53" i="9"/>
  <c r="AG53" i="9"/>
  <c r="BV53" i="9"/>
  <c r="BO53" i="9"/>
  <c r="BT53" i="9"/>
  <c r="BR53" i="9"/>
  <c r="BY53" i="9"/>
  <c r="AJ53" i="9"/>
  <c r="AC53" i="9"/>
  <c r="AL53" i="9"/>
  <c r="AA53" i="9"/>
  <c r="BU53" i="9"/>
  <c r="AI53" i="9"/>
  <c r="AF53" i="9"/>
  <c r="BZ53" i="9"/>
  <c r="AH53" i="9"/>
  <c r="BX53" i="9"/>
  <c r="BS53" i="9"/>
  <c r="AD53" i="9"/>
  <c r="P107" i="9"/>
  <c r="O107" i="9"/>
  <c r="T184" i="59"/>
  <c r="S185" i="59"/>
  <c r="AY148" i="9"/>
  <c r="AX148" i="9"/>
  <c r="AK55" i="9"/>
  <c r="U200" i="59"/>
  <c r="V172" i="59"/>
  <c r="N107" i="9"/>
  <c r="BO55" i="9"/>
  <c r="T201" i="59"/>
  <c r="U173" i="59"/>
  <c r="J107" i="9"/>
  <c r="W181" i="59"/>
  <c r="BD148" i="9"/>
  <c r="R55" i="9"/>
  <c r="X180" i="59"/>
  <c r="CI107" i="9"/>
  <c r="AG55" i="9"/>
  <c r="BA55" i="9"/>
  <c r="S203" i="59"/>
  <c r="T175" i="59"/>
  <c r="AL55" i="9"/>
  <c r="CM55" i="9"/>
  <c r="AE107" i="9"/>
  <c r="BE148" i="9"/>
  <c r="BS55" i="9"/>
  <c r="M55" i="9"/>
  <c r="CT55" i="9"/>
  <c r="AJ55" i="9"/>
  <c r="BF148" i="9"/>
  <c r="V182" i="59"/>
  <c r="V199" i="59"/>
  <c r="W171" i="59"/>
  <c r="S194" i="59"/>
  <c r="G109" i="9" s="1"/>
  <c r="BO116" i="9"/>
  <c r="BO263" i="9" s="1"/>
  <c r="BO112" i="9"/>
  <c r="BO262" i="9" s="1"/>
  <c r="U192" i="59"/>
  <c r="BX55" i="9"/>
  <c r="AV55" i="9"/>
  <c r="W315" i="59"/>
  <c r="CM125" i="9" s="1"/>
  <c r="AX117" i="9"/>
  <c r="J125" i="9"/>
  <c r="AD117" i="9"/>
  <c r="J117" i="9"/>
  <c r="J113" i="9"/>
  <c r="J138" i="9"/>
  <c r="BR117" i="9"/>
  <c r="CL117" i="9"/>
  <c r="AD55" i="9"/>
  <c r="T193" i="59"/>
  <c r="AW116" i="9"/>
  <c r="U404" i="59"/>
  <c r="W404" i="59"/>
  <c r="AD404" i="59"/>
  <c r="AD450" i="59" s="1"/>
  <c r="Z404" i="59"/>
  <c r="Z450" i="59" s="1"/>
  <c r="X404" i="59"/>
  <c r="S404" i="59"/>
  <c r="Y404" i="59"/>
  <c r="CR107" i="9"/>
  <c r="BA148" i="9"/>
  <c r="AD107" i="9"/>
  <c r="AW55" i="9"/>
  <c r="AU55" i="9"/>
  <c r="CI55" i="9"/>
  <c r="BB55" i="9"/>
  <c r="L55" i="9"/>
  <c r="CQ107" i="9"/>
  <c r="P55" i="9"/>
  <c r="AB55" i="9"/>
  <c r="M107" i="9"/>
  <c r="BR55" i="9"/>
  <c r="BV55" i="9"/>
  <c r="CK55" i="9"/>
  <c r="CO107" i="9"/>
  <c r="AA55" i="9"/>
  <c r="AI55" i="9"/>
  <c r="CP55" i="9"/>
  <c r="CM107" i="9"/>
  <c r="BT55" i="9"/>
  <c r="BC55" i="9"/>
  <c r="Q107" i="9"/>
  <c r="AH55" i="9"/>
  <c r="AA107" i="9"/>
  <c r="G55" i="9"/>
  <c r="V191" i="59"/>
  <c r="AJ107" i="9"/>
  <c r="AF55" i="9"/>
  <c r="AH107" i="9"/>
  <c r="AU148" i="9"/>
  <c r="BW55" i="9"/>
  <c r="AI107" i="9"/>
  <c r="H55" i="9"/>
  <c r="BP55" i="9"/>
  <c r="CN107" i="9"/>
  <c r="AZ148" i="9"/>
  <c r="CJ55" i="9"/>
  <c r="CJ107" i="9"/>
  <c r="BF55" i="9"/>
  <c r="CP107" i="9"/>
  <c r="S202" i="59"/>
  <c r="G132" i="9" s="1"/>
  <c r="T174" i="59"/>
  <c r="AB131" i="9" s="1"/>
  <c r="BO131" i="9"/>
  <c r="BO268" i="9" s="1"/>
  <c r="BO278" i="9" l="1"/>
  <c r="E17" i="91"/>
  <c r="BO279" i="9"/>
  <c r="BO276" i="9"/>
  <c r="BO261" i="9"/>
  <c r="J17" i="91"/>
  <c r="M27" i="91" s="1"/>
  <c r="AA109" i="9"/>
  <c r="AA132" i="9"/>
  <c r="S450" i="59"/>
  <c r="D27" i="91" s="1"/>
  <c r="X450" i="59"/>
  <c r="I27" i="91" s="1"/>
  <c r="T450" i="59"/>
  <c r="E27" i="91" s="1"/>
  <c r="W450" i="59"/>
  <c r="H27" i="91" s="1"/>
  <c r="Q28" i="91" s="1"/>
  <c r="U450" i="59"/>
  <c r="F27" i="91" s="1"/>
  <c r="Y450" i="59"/>
  <c r="J27" i="91" s="1"/>
  <c r="V450" i="59"/>
  <c r="G27" i="91" s="1"/>
  <c r="H116" i="9"/>
  <c r="H112" i="9"/>
  <c r="CJ131" i="9"/>
  <c r="H131" i="9"/>
  <c r="T627" i="59"/>
  <c r="Z585" i="59"/>
  <c r="W620" i="59"/>
  <c r="W599" i="59"/>
  <c r="Y620" i="59"/>
  <c r="Z494" i="59"/>
  <c r="AA494" i="59" s="1"/>
  <c r="Y599" i="59"/>
  <c r="V599" i="59"/>
  <c r="V620" i="59"/>
  <c r="U599" i="59"/>
  <c r="U620" i="59"/>
  <c r="X599" i="59"/>
  <c r="X620" i="59"/>
  <c r="T620" i="59"/>
  <c r="T641" i="59" s="1"/>
  <c r="CM138" i="9"/>
  <c r="CM113" i="9"/>
  <c r="CL186" i="9"/>
  <c r="CR186" i="9"/>
  <c r="CS183" i="9"/>
  <c r="CL185" i="9"/>
  <c r="CK186" i="9"/>
  <c r="CP186" i="9"/>
  <c r="CI185" i="9"/>
  <c r="CI278" i="9" s="1"/>
  <c r="CS185" i="9"/>
  <c r="CT186" i="9"/>
  <c r="CN186" i="9"/>
  <c r="CT185" i="9"/>
  <c r="CO185" i="9"/>
  <c r="CL183" i="9"/>
  <c r="CN183" i="9"/>
  <c r="CS186" i="9"/>
  <c r="CR185" i="9"/>
  <c r="CP185" i="9"/>
  <c r="CJ185" i="9"/>
  <c r="CN185" i="9"/>
  <c r="CM185" i="9"/>
  <c r="CQ186" i="9"/>
  <c r="CO183" i="9"/>
  <c r="CQ185" i="9"/>
  <c r="CR183" i="9"/>
  <c r="CJ183" i="9"/>
  <c r="CK185" i="9"/>
  <c r="CI183" i="9"/>
  <c r="CI276" i="9" s="1"/>
  <c r="CO186" i="9"/>
  <c r="CM186" i="9"/>
  <c r="CP183" i="9"/>
  <c r="CQ183" i="9"/>
  <c r="CI186" i="9"/>
  <c r="CI279" i="9" s="1"/>
  <c r="CT183" i="9"/>
  <c r="CM183" i="9"/>
  <c r="CJ186" i="9"/>
  <c r="CK183" i="9"/>
  <c r="X628" i="59"/>
  <c r="V627" i="59"/>
  <c r="U631" i="59"/>
  <c r="X631" i="59"/>
  <c r="U640" i="59"/>
  <c r="T631" i="59"/>
  <c r="T640" i="59"/>
  <c r="V631" i="59"/>
  <c r="W640" i="59"/>
  <c r="U628" i="59"/>
  <c r="V628" i="59"/>
  <c r="W628" i="59"/>
  <c r="X627" i="59"/>
  <c r="X640" i="59"/>
  <c r="U627" i="59"/>
  <c r="V640" i="59"/>
  <c r="T628" i="59"/>
  <c r="W631" i="59"/>
  <c r="W627" i="59"/>
  <c r="S586" i="59"/>
  <c r="S607" i="59"/>
  <c r="AA480" i="59"/>
  <c r="Z606" i="59"/>
  <c r="AA481" i="59"/>
  <c r="Z607" i="59"/>
  <c r="AA484" i="59"/>
  <c r="Z610" i="59"/>
  <c r="AA479" i="59"/>
  <c r="S599" i="59"/>
  <c r="S620" i="59"/>
  <c r="AA493" i="59"/>
  <c r="Z619" i="59"/>
  <c r="S598" i="59"/>
  <c r="S619" i="59"/>
  <c r="Z586" i="59"/>
  <c r="Y628" i="59"/>
  <c r="Z598" i="59"/>
  <c r="Y640" i="59"/>
  <c r="S610" i="59"/>
  <c r="S589" i="59"/>
  <c r="Z589" i="59"/>
  <c r="Y631" i="59"/>
  <c r="Y627" i="59"/>
  <c r="AK107" i="9"/>
  <c r="AD593" i="59"/>
  <c r="AC635" i="59"/>
  <c r="AD596" i="59"/>
  <c r="AD638" i="59" s="1"/>
  <c r="AC638" i="59"/>
  <c r="H141" i="9"/>
  <c r="AW112" i="9"/>
  <c r="BO109" i="9"/>
  <c r="CI109" i="9"/>
  <c r="AW131" i="9"/>
  <c r="BO132" i="9"/>
  <c r="CI132" i="9"/>
  <c r="AC116" i="9"/>
  <c r="AC112" i="9"/>
  <c r="CJ116" i="9"/>
  <c r="CJ112" i="9"/>
  <c r="AV109" i="9"/>
  <c r="AV132" i="9"/>
  <c r="AY125" i="9"/>
  <c r="AY138" i="9"/>
  <c r="AE138" i="9"/>
  <c r="AE113" i="9"/>
  <c r="AE125" i="9"/>
  <c r="AY113" i="9"/>
  <c r="AL185" i="9"/>
  <c r="BF186" i="9"/>
  <c r="BF183" i="9"/>
  <c r="AL186" i="9"/>
  <c r="AL183" i="9"/>
  <c r="BF185" i="9"/>
  <c r="BC183" i="9"/>
  <c r="BC185" i="9"/>
  <c r="AI186" i="9"/>
  <c r="AI185" i="9"/>
  <c r="BC186" i="9"/>
  <c r="AI183" i="9"/>
  <c r="AB185" i="9"/>
  <c r="AV185" i="9"/>
  <c r="AB183" i="9"/>
  <c r="AV186" i="9"/>
  <c r="AB186" i="9"/>
  <c r="AV183" i="9"/>
  <c r="AG183" i="9"/>
  <c r="AG186" i="9"/>
  <c r="BA183" i="9"/>
  <c r="BA186" i="9"/>
  <c r="AG185" i="9"/>
  <c r="BA185" i="9"/>
  <c r="AJ183" i="9"/>
  <c r="AJ186" i="9"/>
  <c r="AJ185" i="9"/>
  <c r="BD186" i="9"/>
  <c r="BD183" i="9"/>
  <c r="BD185" i="9"/>
  <c r="AA185" i="9"/>
  <c r="AA278" i="9" s="1"/>
  <c r="AA186" i="9"/>
  <c r="AA279" i="9" s="1"/>
  <c r="AU183" i="9"/>
  <c r="AU276" i="9" s="1"/>
  <c r="AA183" i="9"/>
  <c r="AA276" i="9" s="1"/>
  <c r="AU186" i="9"/>
  <c r="AU279" i="9" s="1"/>
  <c r="AU185" i="9"/>
  <c r="AU278" i="9" s="1"/>
  <c r="AY183" i="9"/>
  <c r="AY185" i="9"/>
  <c r="AE185" i="9"/>
  <c r="AE186" i="9"/>
  <c r="AE183" i="9"/>
  <c r="AY186" i="9"/>
  <c r="AK185" i="9"/>
  <c r="AK186" i="9"/>
  <c r="BE183" i="9"/>
  <c r="AK183" i="9"/>
  <c r="BE185" i="9"/>
  <c r="BE186" i="9"/>
  <c r="AC183" i="9"/>
  <c r="AW185" i="9"/>
  <c r="AW186" i="9"/>
  <c r="AC185" i="9"/>
  <c r="AC186" i="9"/>
  <c r="AW183" i="9"/>
  <c r="AZ183" i="9"/>
  <c r="AF183" i="9"/>
  <c r="AF186" i="9"/>
  <c r="AZ186" i="9"/>
  <c r="AF185" i="9"/>
  <c r="AZ185" i="9"/>
  <c r="AD183" i="9"/>
  <c r="AX186" i="9"/>
  <c r="AX183" i="9"/>
  <c r="AX185" i="9"/>
  <c r="AD185" i="9"/>
  <c r="AD186" i="9"/>
  <c r="BB183" i="9"/>
  <c r="AH183" i="9"/>
  <c r="BB186" i="9"/>
  <c r="BB185" i="9"/>
  <c r="AH186" i="9"/>
  <c r="AH185" i="9"/>
  <c r="AD141" i="9"/>
  <c r="AX141" i="9"/>
  <c r="BR141" i="9"/>
  <c r="CL141" i="9"/>
  <c r="AU184" i="9"/>
  <c r="G183" i="9"/>
  <c r="BO184" i="9"/>
  <c r="G186" i="9"/>
  <c r="AA184" i="9"/>
  <c r="CI184" i="9"/>
  <c r="G185" i="9"/>
  <c r="G184" i="9"/>
  <c r="T185" i="59"/>
  <c r="U185" i="59" s="1"/>
  <c r="V185" i="59" s="1"/>
  <c r="W185" i="59" s="1"/>
  <c r="X185" i="59" s="1"/>
  <c r="Y185" i="59" s="1"/>
  <c r="Z185" i="59" s="1"/>
  <c r="AA185" i="59" s="1"/>
  <c r="AB185" i="59" s="1"/>
  <c r="AC185" i="59" s="1"/>
  <c r="AD185" i="59" s="1"/>
  <c r="S186" i="59"/>
  <c r="CS184" i="9"/>
  <c r="BY184" i="9"/>
  <c r="Q185" i="9"/>
  <c r="BE184" i="9"/>
  <c r="Q186" i="9"/>
  <c r="Q184" i="9"/>
  <c r="AK184" i="9"/>
  <c r="Q183" i="9"/>
  <c r="I183" i="9"/>
  <c r="I185" i="9"/>
  <c r="I184" i="9"/>
  <c r="I186" i="9"/>
  <c r="AC184" i="9"/>
  <c r="AW184" i="9"/>
  <c r="BQ184" i="9"/>
  <c r="CK184" i="9"/>
  <c r="U184" i="59"/>
  <c r="L186" i="9"/>
  <c r="L185" i="9"/>
  <c r="AZ184" i="9"/>
  <c r="L183" i="9"/>
  <c r="BT184" i="9"/>
  <c r="CN184" i="9"/>
  <c r="L184" i="9"/>
  <c r="AF184" i="9"/>
  <c r="X181" i="59"/>
  <c r="U201" i="59"/>
  <c r="V173" i="59"/>
  <c r="V200" i="59"/>
  <c r="W172" i="59"/>
  <c r="Y180" i="59"/>
  <c r="W191" i="59"/>
  <c r="AD184" i="9"/>
  <c r="J184" i="9"/>
  <c r="AX184" i="9"/>
  <c r="J186" i="9"/>
  <c r="J183" i="9"/>
  <c r="BR184" i="9"/>
  <c r="CL184" i="9"/>
  <c r="J185" i="9"/>
  <c r="U193" i="59"/>
  <c r="W199" i="59"/>
  <c r="X171" i="59"/>
  <c r="N184" i="9"/>
  <c r="N183" i="9"/>
  <c r="BV184" i="9"/>
  <c r="BB184" i="9"/>
  <c r="N185" i="9"/>
  <c r="AH184" i="9"/>
  <c r="CP184" i="9"/>
  <c r="N186" i="9"/>
  <c r="T194" i="59"/>
  <c r="H109" i="9" s="1"/>
  <c r="BP112" i="9"/>
  <c r="BP116" i="9"/>
  <c r="T202" i="59"/>
  <c r="H132" i="9" s="1"/>
  <c r="U174" i="59"/>
  <c r="AC131" i="9" s="1"/>
  <c r="BP131" i="9"/>
  <c r="BS184" i="9"/>
  <c r="AY184" i="9"/>
  <c r="K186" i="9"/>
  <c r="AE184" i="9"/>
  <c r="CM184" i="9"/>
  <c r="K185" i="9"/>
  <c r="K184" i="9"/>
  <c r="K183" i="9"/>
  <c r="R185" i="9"/>
  <c r="R186" i="9"/>
  <c r="CT184" i="9"/>
  <c r="R183" i="9"/>
  <c r="AL184" i="9"/>
  <c r="BF184" i="9"/>
  <c r="BZ184" i="9"/>
  <c r="R184" i="9"/>
  <c r="V192" i="59"/>
  <c r="T203" i="59"/>
  <c r="U175" i="59"/>
  <c r="W182" i="59"/>
  <c r="O183" i="9"/>
  <c r="AI184" i="9"/>
  <c r="O186" i="9"/>
  <c r="BW184" i="9"/>
  <c r="O184" i="9"/>
  <c r="CQ184" i="9"/>
  <c r="BC184" i="9"/>
  <c r="O185" i="9"/>
  <c r="BP184" i="9"/>
  <c r="AV184" i="9"/>
  <c r="H185" i="9"/>
  <c r="H186" i="9"/>
  <c r="H183" i="9"/>
  <c r="CJ184" i="9"/>
  <c r="H184" i="9"/>
  <c r="AB184" i="9"/>
  <c r="S195" i="59"/>
  <c r="CO184" i="9"/>
  <c r="BA184" i="9"/>
  <c r="M183" i="9"/>
  <c r="AG184" i="9"/>
  <c r="M184" i="9"/>
  <c r="BU184" i="9"/>
  <c r="M186" i="9"/>
  <c r="M185" i="9"/>
  <c r="AJ184" i="9"/>
  <c r="BX184" i="9"/>
  <c r="P185" i="9"/>
  <c r="BD184" i="9"/>
  <c r="CR184" i="9"/>
  <c r="P184" i="9"/>
  <c r="P186" i="9"/>
  <c r="P183" i="9"/>
  <c r="X315" i="59"/>
  <c r="AE117" i="9"/>
  <c r="CM117" i="9"/>
  <c r="K117" i="9"/>
  <c r="K125" i="9"/>
  <c r="K138" i="9"/>
  <c r="K113" i="9"/>
  <c r="AY117" i="9"/>
  <c r="BS117" i="9"/>
  <c r="M22" i="91" l="1"/>
  <c r="M23" i="91" s="1"/>
  <c r="AA585" i="59"/>
  <c r="D17" i="91"/>
  <c r="O28" i="91"/>
  <c r="P28" i="91"/>
  <c r="M28" i="91"/>
  <c r="M29" i="91" s="1"/>
  <c r="AB109" i="9"/>
  <c r="AB132" i="9"/>
  <c r="I116" i="9"/>
  <c r="I112" i="9"/>
  <c r="CK131" i="9"/>
  <c r="I131" i="9"/>
  <c r="X641" i="59"/>
  <c r="V641" i="59"/>
  <c r="W641" i="59"/>
  <c r="Z620" i="59"/>
  <c r="Y641" i="59"/>
  <c r="Z599" i="59"/>
  <c r="U641" i="59"/>
  <c r="CN113" i="9"/>
  <c r="CN138" i="9"/>
  <c r="CN125" i="9"/>
  <c r="S640" i="59"/>
  <c r="S628" i="59"/>
  <c r="S641" i="59"/>
  <c r="AB484" i="59"/>
  <c r="AA610" i="59"/>
  <c r="AB493" i="59"/>
  <c r="AA619" i="59"/>
  <c r="AB494" i="59"/>
  <c r="AA620" i="59"/>
  <c r="AB481" i="59"/>
  <c r="AA607" i="59"/>
  <c r="AB479" i="59"/>
  <c r="AB480" i="59"/>
  <c r="AA606" i="59"/>
  <c r="Z627" i="59"/>
  <c r="S631" i="59"/>
  <c r="AA589" i="59"/>
  <c r="Z631" i="59"/>
  <c r="AA598" i="59"/>
  <c r="Z640" i="59"/>
  <c r="AA586" i="59"/>
  <c r="Z628" i="59"/>
  <c r="AD635" i="59"/>
  <c r="AL107" i="9"/>
  <c r="CT107" i="9"/>
  <c r="I141" i="9"/>
  <c r="AW132" i="9"/>
  <c r="AD116" i="9"/>
  <c r="AX116" i="9"/>
  <c r="AX112" i="9"/>
  <c r="AD112" i="9"/>
  <c r="BP109" i="9"/>
  <c r="CJ109" i="9"/>
  <c r="AX131" i="9"/>
  <c r="BP132" i="9"/>
  <c r="CJ132" i="9"/>
  <c r="CK116" i="9"/>
  <c r="CK112" i="9"/>
  <c r="AW109" i="9"/>
  <c r="AZ138" i="9"/>
  <c r="AZ113" i="9"/>
  <c r="AZ125" i="9"/>
  <c r="AF138" i="9"/>
  <c r="AF125" i="9"/>
  <c r="AF113" i="9"/>
  <c r="AE141" i="9"/>
  <c r="AY141" i="9"/>
  <c r="BS141" i="9"/>
  <c r="CM141" i="9"/>
  <c r="X199" i="59"/>
  <c r="Y171" i="59"/>
  <c r="BW189" i="9"/>
  <c r="O191" i="9"/>
  <c r="O188" i="9"/>
  <c r="CQ189" i="9"/>
  <c r="BC189" i="9"/>
  <c r="O189" i="9"/>
  <c r="AI189" i="9"/>
  <c r="O190" i="9"/>
  <c r="BO189" i="9"/>
  <c r="BO277" i="9" s="1"/>
  <c r="BO275" i="9" s="1"/>
  <c r="G190" i="9"/>
  <c r="G278" i="9" s="1"/>
  <c r="G188" i="9"/>
  <c r="G276" i="9" s="1"/>
  <c r="AU189" i="9"/>
  <c r="AU277" i="9" s="1"/>
  <c r="AU275" i="9" s="1"/>
  <c r="AA189" i="9"/>
  <c r="AA277" i="9" s="1"/>
  <c r="AA275" i="9" s="1"/>
  <c r="CI189" i="9"/>
  <c r="CI277" i="9" s="1"/>
  <c r="CI275" i="9" s="1"/>
  <c r="G191" i="9"/>
  <c r="G279" i="9" s="1"/>
  <c r="G189" i="9"/>
  <c r="G277" i="9" s="1"/>
  <c r="T195" i="59"/>
  <c r="J191" i="9"/>
  <c r="J189" i="9"/>
  <c r="BR189" i="9"/>
  <c r="J190" i="9"/>
  <c r="J188" i="9"/>
  <c r="AD189" i="9"/>
  <c r="CL189" i="9"/>
  <c r="AX189" i="9"/>
  <c r="V201" i="59"/>
  <c r="W173" i="59"/>
  <c r="Y181" i="59"/>
  <c r="V184" i="59"/>
  <c r="H189" i="9"/>
  <c r="H191" i="9"/>
  <c r="H188" i="9"/>
  <c r="AB189" i="9"/>
  <c r="H190" i="9"/>
  <c r="BP189" i="9"/>
  <c r="AV189" i="9"/>
  <c r="CJ189" i="9"/>
  <c r="U194" i="59"/>
  <c r="I109" i="9" s="1"/>
  <c r="BQ116" i="9"/>
  <c r="BQ112" i="9"/>
  <c r="AG189" i="9"/>
  <c r="M191" i="9"/>
  <c r="BA189" i="9"/>
  <c r="M189" i="9"/>
  <c r="M190" i="9"/>
  <c r="CO189" i="9"/>
  <c r="M188" i="9"/>
  <c r="BU189" i="9"/>
  <c r="Y315" i="59"/>
  <c r="L113" i="9"/>
  <c r="L125" i="9"/>
  <c r="L117" i="9"/>
  <c r="CN117" i="9"/>
  <c r="AZ117" i="9"/>
  <c r="AF117" i="9"/>
  <c r="L138" i="9"/>
  <c r="BT117" i="9"/>
  <c r="L189" i="9"/>
  <c r="L188" i="9"/>
  <c r="CN189" i="9"/>
  <c r="L190" i="9"/>
  <c r="BT189" i="9"/>
  <c r="AZ189" i="9"/>
  <c r="AF189" i="9"/>
  <c r="L191" i="9"/>
  <c r="BS189" i="9"/>
  <c r="K189" i="9"/>
  <c r="CM189" i="9"/>
  <c r="K191" i="9"/>
  <c r="K190" i="9"/>
  <c r="AY189" i="9"/>
  <c r="K188" i="9"/>
  <c r="AE189" i="9"/>
  <c r="Q189" i="9"/>
  <c r="Q188" i="9"/>
  <c r="CS189" i="9"/>
  <c r="Q191" i="9"/>
  <c r="AK189" i="9"/>
  <c r="BE189" i="9"/>
  <c r="BY189" i="9"/>
  <c r="Q190" i="9"/>
  <c r="AC189" i="9"/>
  <c r="I188" i="9"/>
  <c r="I190" i="9"/>
  <c r="BQ189" i="9"/>
  <c r="I189" i="9"/>
  <c r="CK189" i="9"/>
  <c r="AW189" i="9"/>
  <c r="I191" i="9"/>
  <c r="V193" i="59"/>
  <c r="AY116" i="9"/>
  <c r="Z180" i="59"/>
  <c r="T186" i="59"/>
  <c r="U186" i="59" s="1"/>
  <c r="V186" i="59" s="1"/>
  <c r="W186" i="59" s="1"/>
  <c r="X186" i="59" s="1"/>
  <c r="Y186" i="59" s="1"/>
  <c r="Z186" i="59" s="1"/>
  <c r="AA186" i="59" s="1"/>
  <c r="AB186" i="59" s="1"/>
  <c r="AC186" i="59" s="1"/>
  <c r="AD186" i="59" s="1"/>
  <c r="S187" i="59"/>
  <c r="CT189" i="9"/>
  <c r="R189" i="9"/>
  <c r="BZ189" i="9"/>
  <c r="R188" i="9"/>
  <c r="AL189" i="9"/>
  <c r="BF189" i="9"/>
  <c r="R190" i="9"/>
  <c r="R191" i="9"/>
  <c r="W192" i="59"/>
  <c r="BB189" i="9"/>
  <c r="N191" i="9"/>
  <c r="AH189" i="9"/>
  <c r="CP189" i="9"/>
  <c r="N189" i="9"/>
  <c r="N188" i="9"/>
  <c r="BV189" i="9"/>
  <c r="N190" i="9"/>
  <c r="W200" i="59"/>
  <c r="X172" i="59"/>
  <c r="P189" i="9"/>
  <c r="BX189" i="9"/>
  <c r="AJ189" i="9"/>
  <c r="P188" i="9"/>
  <c r="P191" i="9"/>
  <c r="BD189" i="9"/>
  <c r="P190" i="9"/>
  <c r="CR189" i="9"/>
  <c r="X182" i="59"/>
  <c r="U203" i="59"/>
  <c r="V175" i="59"/>
  <c r="U202" i="59"/>
  <c r="I132" i="9" s="1"/>
  <c r="BQ131" i="9"/>
  <c r="V174" i="59"/>
  <c r="AD131" i="9" s="1"/>
  <c r="X191" i="59"/>
  <c r="AB585" i="59" l="1"/>
  <c r="AC109" i="9"/>
  <c r="AC132" i="9"/>
  <c r="J116" i="9"/>
  <c r="J112" i="9"/>
  <c r="CL131" i="9"/>
  <c r="J131" i="9"/>
  <c r="Z641" i="59"/>
  <c r="AA599" i="59"/>
  <c r="CO138" i="9"/>
  <c r="CO125" i="9"/>
  <c r="CO113" i="9"/>
  <c r="AC481" i="59"/>
  <c r="AB607" i="59"/>
  <c r="AC480" i="59"/>
  <c r="AB606" i="59"/>
  <c r="AC494" i="59"/>
  <c r="AB620" i="59"/>
  <c r="AC479" i="59"/>
  <c r="AC493" i="59"/>
  <c r="AB619" i="59"/>
  <c r="AC484" i="59"/>
  <c r="AB610" i="59"/>
  <c r="AB598" i="59"/>
  <c r="AA640" i="59"/>
  <c r="AB589" i="59"/>
  <c r="AA631" i="59"/>
  <c r="AB586" i="59"/>
  <c r="AA628" i="59"/>
  <c r="AA627" i="59"/>
  <c r="J141" i="9"/>
  <c r="BQ109" i="9"/>
  <c r="CK109" i="9"/>
  <c r="AE116" i="9"/>
  <c r="AE112" i="9"/>
  <c r="AX132" i="9"/>
  <c r="AY131" i="9"/>
  <c r="AX109" i="9"/>
  <c r="BQ132" i="9"/>
  <c r="CK132" i="9"/>
  <c r="CL116" i="9"/>
  <c r="CL112" i="9"/>
  <c r="AY112" i="9"/>
  <c r="AG113" i="9"/>
  <c r="BA125" i="9"/>
  <c r="BA113" i="9"/>
  <c r="AG138" i="9"/>
  <c r="AG125" i="9"/>
  <c r="BA138" i="9"/>
  <c r="AF141" i="9"/>
  <c r="AZ141" i="9"/>
  <c r="BT141" i="9"/>
  <c r="CN141" i="9"/>
  <c r="U195" i="59"/>
  <c r="X192" i="59"/>
  <c r="Z315" i="59"/>
  <c r="M113" i="9"/>
  <c r="M125" i="9"/>
  <c r="BU117" i="9"/>
  <c r="CO117" i="9"/>
  <c r="M117" i="9"/>
  <c r="BA117" i="9"/>
  <c r="M138" i="9"/>
  <c r="AG117" i="9"/>
  <c r="V194" i="59"/>
  <c r="J109" i="9" s="1"/>
  <c r="BR116" i="9"/>
  <c r="BR112" i="9"/>
  <c r="Z181" i="59"/>
  <c r="G275" i="9"/>
  <c r="Y191" i="59"/>
  <c r="S188" i="59"/>
  <c r="T188" i="59" s="1"/>
  <c r="U188" i="59" s="1"/>
  <c r="V188" i="59" s="1"/>
  <c r="W188" i="59" s="1"/>
  <c r="X188" i="59" s="1"/>
  <c r="Y188" i="59" s="1"/>
  <c r="Z188" i="59" s="1"/>
  <c r="AA188" i="59" s="1"/>
  <c r="AB188" i="59" s="1"/>
  <c r="AC188" i="59" s="1"/>
  <c r="AD188" i="59" s="1"/>
  <c r="T187" i="59"/>
  <c r="AA180" i="59"/>
  <c r="W201" i="59"/>
  <c r="X173" i="59"/>
  <c r="Y182" i="59"/>
  <c r="W193" i="59"/>
  <c r="W184" i="59"/>
  <c r="Y199" i="59"/>
  <c r="Z171" i="59"/>
  <c r="V202" i="59"/>
  <c r="J132" i="9" s="1"/>
  <c r="W174" i="59"/>
  <c r="AE131" i="9" s="1"/>
  <c r="BR131" i="9"/>
  <c r="V203" i="59"/>
  <c r="W175" i="59"/>
  <c r="X200" i="59"/>
  <c r="Y172" i="59"/>
  <c r="AC585" i="59" l="1"/>
  <c r="AD132" i="9"/>
  <c r="AD109" i="9"/>
  <c r="CM131" i="9"/>
  <c r="K131" i="9"/>
  <c r="K116" i="9"/>
  <c r="K112" i="9"/>
  <c r="AB599" i="59"/>
  <c r="AA641" i="59"/>
  <c r="CP138" i="9"/>
  <c r="CP113" i="9"/>
  <c r="CP125" i="9"/>
  <c r="AD484" i="59"/>
  <c r="AD610" i="59" s="1"/>
  <c r="AC610" i="59"/>
  <c r="AD479" i="59"/>
  <c r="AD494" i="59"/>
  <c r="AD620" i="59" s="1"/>
  <c r="AC620" i="59"/>
  <c r="AD480" i="59"/>
  <c r="AD606" i="59" s="1"/>
  <c r="AC606" i="59"/>
  <c r="AD493" i="59"/>
  <c r="AD619" i="59" s="1"/>
  <c r="AC619" i="59"/>
  <c r="AD481" i="59"/>
  <c r="AD607" i="59" s="1"/>
  <c r="AC607" i="59"/>
  <c r="AB627" i="59"/>
  <c r="AC589" i="59"/>
  <c r="AB631" i="59"/>
  <c r="AC586" i="59"/>
  <c r="AB628" i="59"/>
  <c r="AC598" i="59"/>
  <c r="AB640" i="59"/>
  <c r="K141" i="9"/>
  <c r="AZ112" i="9"/>
  <c r="AF116" i="9"/>
  <c r="AZ116" i="9"/>
  <c r="AF112" i="9"/>
  <c r="CM116" i="9"/>
  <c r="CM112" i="9"/>
  <c r="BR109" i="9"/>
  <c r="CL109" i="9"/>
  <c r="BR132" i="9"/>
  <c r="CL132" i="9"/>
  <c r="AY109" i="9"/>
  <c r="AY132" i="9"/>
  <c r="AZ131" i="9"/>
  <c r="AH125" i="9"/>
  <c r="BB113" i="9"/>
  <c r="BB138" i="9"/>
  <c r="BB125" i="9"/>
  <c r="AH138" i="9"/>
  <c r="AH113" i="9"/>
  <c r="AG141" i="9"/>
  <c r="BA141" i="9"/>
  <c r="BU141" i="9"/>
  <c r="CO141" i="9"/>
  <c r="U187" i="59"/>
  <c r="W203" i="59"/>
  <c r="X175" i="59"/>
  <c r="G204" i="9"/>
  <c r="X201" i="59"/>
  <c r="Y173" i="59"/>
  <c r="Z191" i="59"/>
  <c r="X184" i="59"/>
  <c r="W202" i="59"/>
  <c r="K132" i="9" s="1"/>
  <c r="X174" i="59"/>
  <c r="AF131" i="9" s="1"/>
  <c r="BS131" i="9"/>
  <c r="W194" i="59"/>
  <c r="K109" i="9" s="1"/>
  <c r="BS116" i="9"/>
  <c r="BS112" i="9"/>
  <c r="X193" i="59"/>
  <c r="BA116" i="9"/>
  <c r="Y200" i="59"/>
  <c r="Z172" i="59"/>
  <c r="Z199" i="59"/>
  <c r="AA171" i="59"/>
  <c r="AA181" i="59"/>
  <c r="Z182" i="59"/>
  <c r="Y192" i="59"/>
  <c r="AB180" i="59"/>
  <c r="V195" i="59"/>
  <c r="AA315" i="59"/>
  <c r="N117" i="9"/>
  <c r="BB117" i="9"/>
  <c r="N138" i="9"/>
  <c r="CP117" i="9"/>
  <c r="N113" i="9"/>
  <c r="AH117" i="9"/>
  <c r="BV117" i="9"/>
  <c r="N125" i="9"/>
  <c r="AD585" i="59" l="1"/>
  <c r="AE109" i="9"/>
  <c r="AE132" i="9"/>
  <c r="CN131" i="9"/>
  <c r="L131" i="9"/>
  <c r="L116" i="9"/>
  <c r="L112" i="9"/>
  <c r="AC599" i="59"/>
  <c r="AD599" i="59" s="1"/>
  <c r="AB641" i="59"/>
  <c r="CQ113" i="9"/>
  <c r="CQ125" i="9"/>
  <c r="CQ138" i="9"/>
  <c r="AD598" i="59"/>
  <c r="AD640" i="59" s="1"/>
  <c r="AC640" i="59"/>
  <c r="AD589" i="59"/>
  <c r="AC631" i="59"/>
  <c r="AD586" i="59"/>
  <c r="AD628" i="59" s="1"/>
  <c r="AC628" i="59"/>
  <c r="AC627" i="59"/>
  <c r="L141" i="9"/>
  <c r="BA131" i="9"/>
  <c r="AG116" i="9"/>
  <c r="AG112" i="9"/>
  <c r="BS132" i="9"/>
  <c r="CM132" i="9"/>
  <c r="BA112" i="9"/>
  <c r="CN116" i="9"/>
  <c r="CN112" i="9"/>
  <c r="AZ109" i="9"/>
  <c r="BS109" i="9"/>
  <c r="CM109" i="9"/>
  <c r="AZ132" i="9"/>
  <c r="AI113" i="9"/>
  <c r="AI125" i="9"/>
  <c r="BC138" i="9"/>
  <c r="BC113" i="9"/>
  <c r="AI138" i="9"/>
  <c r="BC125" i="9"/>
  <c r="AH141" i="9"/>
  <c r="BB141" i="9"/>
  <c r="BV141" i="9"/>
  <c r="CP141" i="9"/>
  <c r="AB315" i="59"/>
  <c r="O117" i="9"/>
  <c r="CQ117" i="9"/>
  <c r="AI117" i="9"/>
  <c r="O113" i="9"/>
  <c r="O138" i="9"/>
  <c r="O125" i="9"/>
  <c r="BC117" i="9"/>
  <c r="BW117" i="9"/>
  <c r="Z192" i="59"/>
  <c r="AA199" i="59"/>
  <c r="AB171" i="59"/>
  <c r="Y201" i="59"/>
  <c r="Z173" i="59"/>
  <c r="X194" i="59"/>
  <c r="L109" i="9" s="1"/>
  <c r="BT116" i="9"/>
  <c r="BT112" i="9"/>
  <c r="X202" i="59"/>
  <c r="L132" i="9" s="1"/>
  <c r="BT131" i="9"/>
  <c r="Y174" i="59"/>
  <c r="AG131" i="9" s="1"/>
  <c r="AA182" i="59"/>
  <c r="Y184" i="59"/>
  <c r="W195" i="59"/>
  <c r="AB181" i="59"/>
  <c r="Y193" i="59"/>
  <c r="BB116" i="9"/>
  <c r="AA191" i="59"/>
  <c r="AC180" i="59"/>
  <c r="Z200" i="59"/>
  <c r="AA172" i="59"/>
  <c r="X203" i="59"/>
  <c r="Y175" i="59"/>
  <c r="V187" i="59"/>
  <c r="AF132" i="9" l="1"/>
  <c r="AF109" i="9"/>
  <c r="AC641" i="59"/>
  <c r="M116" i="9"/>
  <c r="M112" i="9"/>
  <c r="CO131" i="9"/>
  <c r="M131" i="9"/>
  <c r="CR138" i="9"/>
  <c r="CR125" i="9"/>
  <c r="CR113" i="9"/>
  <c r="AD627" i="59"/>
  <c r="AD641" i="59"/>
  <c r="AD631" i="59"/>
  <c r="M141" i="9"/>
  <c r="BT109" i="9"/>
  <c r="CN109" i="9"/>
  <c r="BB131" i="9"/>
  <c r="BA132" i="9"/>
  <c r="AH116" i="9"/>
  <c r="AH112" i="9"/>
  <c r="BT132" i="9"/>
  <c r="CN132" i="9"/>
  <c r="CO116" i="9"/>
  <c r="CO112" i="9"/>
  <c r="BA109" i="9"/>
  <c r="BB112" i="9"/>
  <c r="BD125" i="9"/>
  <c r="AJ125" i="9"/>
  <c r="AJ113" i="9"/>
  <c r="BD138" i="9"/>
  <c r="BD113" i="9"/>
  <c r="AJ138" i="9"/>
  <c r="AI141" i="9"/>
  <c r="BC141" i="9"/>
  <c r="BW141" i="9"/>
  <c r="CQ141" i="9"/>
  <c r="BO152" i="9"/>
  <c r="AB191" i="59"/>
  <c r="X195" i="59"/>
  <c r="AB182" i="59"/>
  <c r="Y194" i="59"/>
  <c r="M109" i="9" s="1"/>
  <c r="BU116" i="9"/>
  <c r="BU112" i="9"/>
  <c r="AA192" i="59"/>
  <c r="AC315" i="59"/>
  <c r="BD117" i="9"/>
  <c r="P138" i="9"/>
  <c r="AJ117" i="9"/>
  <c r="P113" i="9"/>
  <c r="P125" i="9"/>
  <c r="P117" i="9"/>
  <c r="BX117" i="9"/>
  <c r="CR117" i="9"/>
  <c r="Y202" i="59"/>
  <c r="M132" i="9" s="1"/>
  <c r="BU131" i="9"/>
  <c r="Z174" i="59"/>
  <c r="AH131" i="9" s="1"/>
  <c r="CJ152" i="9"/>
  <c r="AA200" i="59"/>
  <c r="AB172" i="59"/>
  <c r="AD180" i="59"/>
  <c r="Y203" i="59"/>
  <c r="Z175" i="59"/>
  <c r="W187" i="59"/>
  <c r="AC181" i="59"/>
  <c r="Z184" i="59"/>
  <c r="Z201" i="59"/>
  <c r="AA173" i="59"/>
  <c r="G152" i="9"/>
  <c r="Z193" i="59"/>
  <c r="CI152" i="9"/>
  <c r="AB199" i="59"/>
  <c r="AC171" i="59"/>
  <c r="AG132" i="9" l="1"/>
  <c r="AG109" i="9"/>
  <c r="N112" i="9"/>
  <c r="N116" i="9"/>
  <c r="CP131" i="9"/>
  <c r="N131" i="9"/>
  <c r="CS125" i="9"/>
  <c r="CS113" i="9"/>
  <c r="CS138" i="9"/>
  <c r="N141" i="9"/>
  <c r="BC112" i="9"/>
  <c r="AI116" i="9"/>
  <c r="BC116" i="9"/>
  <c r="AI112" i="9"/>
  <c r="BC131" i="9"/>
  <c r="BU132" i="9"/>
  <c r="CO132" i="9"/>
  <c r="BB132" i="9"/>
  <c r="BB109" i="9"/>
  <c r="CP116" i="9"/>
  <c r="CP112" i="9"/>
  <c r="BU109" i="9"/>
  <c r="CO109" i="9"/>
  <c r="AK125" i="9"/>
  <c r="BE125" i="9"/>
  <c r="AK113" i="9"/>
  <c r="BE113" i="9"/>
  <c r="AK138" i="9"/>
  <c r="BE138" i="9"/>
  <c r="AJ141" i="9"/>
  <c r="BD141" i="9"/>
  <c r="BX141" i="9"/>
  <c r="CR141" i="9"/>
  <c r="AM37" i="8"/>
  <c r="AC191" i="59"/>
  <c r="AL37" i="8"/>
  <c r="AC199" i="59"/>
  <c r="AD171" i="59"/>
  <c r="F37" i="8"/>
  <c r="AA184" i="59"/>
  <c r="BP152" i="9"/>
  <c r="X187" i="59"/>
  <c r="AD315" i="59"/>
  <c r="BE117" i="9"/>
  <c r="BY117" i="9"/>
  <c r="AK117" i="9"/>
  <c r="Q138" i="9"/>
  <c r="Q113" i="9"/>
  <c r="Q117" i="9"/>
  <c r="CS117" i="9"/>
  <c r="Q125" i="9"/>
  <c r="Y195" i="59"/>
  <c r="AA193" i="59"/>
  <c r="AB200" i="59"/>
  <c r="AC172" i="59"/>
  <c r="AB192" i="59"/>
  <c r="AC182" i="59"/>
  <c r="H152" i="9"/>
  <c r="AA175" i="59"/>
  <c r="Z203" i="59"/>
  <c r="Z202" i="59"/>
  <c r="N132" i="9" s="1"/>
  <c r="BV131" i="9"/>
  <c r="AA174" i="59"/>
  <c r="AI131" i="9" s="1"/>
  <c r="AA201" i="59"/>
  <c r="AB173" i="59"/>
  <c r="AD181" i="59"/>
  <c r="Z194" i="59"/>
  <c r="N109" i="9" s="1"/>
  <c r="BV116" i="9"/>
  <c r="BV112" i="9"/>
  <c r="AD37" i="8"/>
  <c r="AH109" i="9" l="1"/>
  <c r="AH132" i="9"/>
  <c r="O116" i="9"/>
  <c r="O112" i="9"/>
  <c r="CQ131" i="9"/>
  <c r="O131" i="9"/>
  <c r="CT138" i="9"/>
  <c r="CT113" i="9"/>
  <c r="CT125" i="9"/>
  <c r="O141" i="9"/>
  <c r="AJ116" i="9"/>
  <c r="AJ112" i="9"/>
  <c r="BC109" i="9"/>
  <c r="BD112" i="9"/>
  <c r="BC132" i="9"/>
  <c r="BD116" i="9"/>
  <c r="BV109" i="9"/>
  <c r="CP109" i="9"/>
  <c r="CQ116" i="9"/>
  <c r="CQ112" i="9"/>
  <c r="BV132" i="9"/>
  <c r="CP132" i="9"/>
  <c r="BD131" i="9"/>
  <c r="BF138" i="9"/>
  <c r="AL125" i="9"/>
  <c r="BF125" i="9"/>
  <c r="AL113" i="9"/>
  <c r="AL138" i="9"/>
  <c r="BF113" i="9"/>
  <c r="AK141" i="9"/>
  <c r="BE141" i="9"/>
  <c r="BY141" i="9"/>
  <c r="CS141" i="9"/>
  <c r="CK152" i="9"/>
  <c r="AC192" i="59"/>
  <c r="CT117" i="9"/>
  <c r="R138" i="9"/>
  <c r="R117" i="9"/>
  <c r="BF117" i="9"/>
  <c r="AL117" i="9"/>
  <c r="R113" i="9"/>
  <c r="R125" i="9"/>
  <c r="BZ117" i="9"/>
  <c r="Y187" i="59"/>
  <c r="AE37" i="8"/>
  <c r="I152" i="9"/>
  <c r="AD199" i="59"/>
  <c r="AC200" i="59"/>
  <c r="AD172" i="59"/>
  <c r="AB201" i="59"/>
  <c r="AC173" i="59"/>
  <c r="G37" i="8"/>
  <c r="AB193" i="59"/>
  <c r="BE112" i="9"/>
  <c r="AA194" i="59"/>
  <c r="O109" i="9" s="1"/>
  <c r="BW116" i="9"/>
  <c r="BW112" i="9"/>
  <c r="AA202" i="59"/>
  <c r="O132" i="9" s="1"/>
  <c r="BW131" i="9"/>
  <c r="AB174" i="59"/>
  <c r="AJ131" i="9" s="1"/>
  <c r="Z195" i="59"/>
  <c r="BQ152" i="9"/>
  <c r="AA203" i="59"/>
  <c r="AB175" i="59"/>
  <c r="AD182" i="59"/>
  <c r="AB184" i="59"/>
  <c r="AD191" i="59"/>
  <c r="AI132" i="9" l="1"/>
  <c r="AI109" i="9"/>
  <c r="CR131" i="9"/>
  <c r="P131" i="9"/>
  <c r="P116" i="9"/>
  <c r="P112" i="9"/>
  <c r="P141" i="9"/>
  <c r="BE131" i="9"/>
  <c r="AK116" i="9"/>
  <c r="AK112" i="9"/>
  <c r="BW132" i="9"/>
  <c r="CQ132" i="9"/>
  <c r="CR112" i="9"/>
  <c r="CR116" i="9"/>
  <c r="BD109" i="9"/>
  <c r="BW109" i="9"/>
  <c r="CQ109" i="9"/>
  <c r="BD132" i="9"/>
  <c r="BE116" i="9"/>
  <c r="AL141" i="9"/>
  <c r="BF141" i="9"/>
  <c r="BZ141" i="9"/>
  <c r="CT141" i="9"/>
  <c r="AC184" i="59"/>
  <c r="AB202" i="59"/>
  <c r="P132" i="9" s="1"/>
  <c r="BX131" i="9"/>
  <c r="AC174" i="59"/>
  <c r="AK131" i="9" s="1"/>
  <c r="AB203" i="59"/>
  <c r="AC175" i="59"/>
  <c r="J152" i="9"/>
  <c r="BR152" i="9"/>
  <c r="H37" i="8"/>
  <c r="Z187" i="59"/>
  <c r="AU152" i="9"/>
  <c r="V37" i="8" s="1"/>
  <c r="AN37" i="8"/>
  <c r="AA152" i="9"/>
  <c r="N37" i="8" s="1"/>
  <c r="AD173" i="59"/>
  <c r="BF131" i="9" s="1"/>
  <c r="AC201" i="59"/>
  <c r="CL152" i="9"/>
  <c r="AA195" i="59"/>
  <c r="AD200" i="59"/>
  <c r="AF37" i="8"/>
  <c r="AB194" i="59"/>
  <c r="P109" i="9" s="1"/>
  <c r="BX116" i="9"/>
  <c r="BX112" i="9"/>
  <c r="AC193" i="59"/>
  <c r="AD192" i="59"/>
  <c r="AJ132" i="9" l="1"/>
  <c r="AJ109" i="9"/>
  <c r="CS131" i="9"/>
  <c r="Q131" i="9"/>
  <c r="Q112" i="9"/>
  <c r="Q116" i="9"/>
  <c r="Q141" i="9"/>
  <c r="CS116" i="9"/>
  <c r="CS112" i="9"/>
  <c r="BE132" i="9"/>
  <c r="BE109" i="9"/>
  <c r="AD193" i="59"/>
  <c r="AL116" i="9"/>
  <c r="BF116" i="9"/>
  <c r="BF112" i="9"/>
  <c r="AL112" i="9"/>
  <c r="BX132" i="9"/>
  <c r="CR132" i="9"/>
  <c r="AD201" i="59"/>
  <c r="BX109" i="9"/>
  <c r="CR109" i="9"/>
  <c r="BT152" i="9"/>
  <c r="AI37" i="8" s="1"/>
  <c r="K152" i="9"/>
  <c r="BS152" i="9"/>
  <c r="AB152" i="9"/>
  <c r="O37" i="8" s="1"/>
  <c r="AO37" i="8"/>
  <c r="AG37" i="8"/>
  <c r="AC202" i="59"/>
  <c r="Q132" i="9" s="1"/>
  <c r="AD174" i="59"/>
  <c r="AL131" i="9" s="1"/>
  <c r="BY131" i="9"/>
  <c r="I37" i="8"/>
  <c r="AD184" i="59"/>
  <c r="AV152" i="9"/>
  <c r="W37" i="8" s="1"/>
  <c r="CM152" i="9"/>
  <c r="AA187" i="59"/>
  <c r="AC203" i="59"/>
  <c r="AD175" i="59"/>
  <c r="AD203" i="59" s="1"/>
  <c r="AC194" i="59"/>
  <c r="Q109" i="9" s="1"/>
  <c r="BY116" i="9"/>
  <c r="BY112" i="9"/>
  <c r="AB195" i="59"/>
  <c r="AK109" i="9" l="1"/>
  <c r="AK132" i="9"/>
  <c r="BF109" i="9"/>
  <c r="BF132" i="9"/>
  <c r="CT131" i="9"/>
  <c r="R131" i="9"/>
  <c r="R112" i="9"/>
  <c r="R116" i="9"/>
  <c r="R141" i="9"/>
  <c r="BY132" i="9"/>
  <c r="CS132" i="9"/>
  <c r="CT112" i="9"/>
  <c r="CT116" i="9"/>
  <c r="BY109" i="9"/>
  <c r="CS109" i="9"/>
  <c r="BU152" i="9"/>
  <c r="AC195" i="59"/>
  <c r="AD195" i="59"/>
  <c r="AC152" i="9"/>
  <c r="P37" i="8" s="1"/>
  <c r="AD194" i="59"/>
  <c r="R109" i="9" s="1"/>
  <c r="BZ112" i="9"/>
  <c r="BZ116" i="9"/>
  <c r="L152" i="9"/>
  <c r="AP37" i="8"/>
  <c r="AB187" i="59"/>
  <c r="AD202" i="59"/>
  <c r="R132" i="9" s="1"/>
  <c r="BZ131" i="9"/>
  <c r="CN152" i="9"/>
  <c r="J37" i="8"/>
  <c r="AW152" i="9"/>
  <c r="X37" i="8" s="1"/>
  <c r="AH37" i="8"/>
  <c r="AL109" i="9" l="1"/>
  <c r="AL132" i="9"/>
  <c r="BZ109" i="9"/>
  <c r="CT109" i="9"/>
  <c r="BZ132" i="9"/>
  <c r="CT132" i="9"/>
  <c r="AJ37" i="8"/>
  <c r="BV152" i="9"/>
  <c r="AQ37" i="8"/>
  <c r="M152" i="9"/>
  <c r="K37" i="8"/>
  <c r="AC187" i="59"/>
  <c r="AX152" i="9"/>
  <c r="Y37" i="8" s="1"/>
  <c r="CO152" i="9"/>
  <c r="AD152" i="9"/>
  <c r="Q37" i="8" s="1"/>
  <c r="BW152" i="9" l="1"/>
  <c r="AR37" i="8"/>
  <c r="AY152" i="9"/>
  <c r="Z37" i="8" s="1"/>
  <c r="N152" i="9"/>
  <c r="L37" i="8"/>
  <c r="AE152" i="9"/>
  <c r="R37" i="8" s="1"/>
  <c r="CP152" i="9"/>
  <c r="AD187" i="59"/>
  <c r="BX152" i="9" l="1"/>
  <c r="AZ152" i="9"/>
  <c r="AA37" i="8" s="1"/>
  <c r="AF152" i="9"/>
  <c r="S37" i="8" s="1"/>
  <c r="CQ152" i="9"/>
  <c r="O152" i="9"/>
  <c r="BY152" i="9" l="1"/>
  <c r="P152" i="9"/>
  <c r="CR152" i="9"/>
  <c r="AG152" i="9"/>
  <c r="T37" i="8" s="1"/>
  <c r="BA152" i="9"/>
  <c r="AB37" i="8" s="1"/>
  <c r="BZ152" i="9"/>
  <c r="BB152" i="9" l="1"/>
  <c r="AH152" i="9"/>
  <c r="R152" i="9"/>
  <c r="CS152" i="9"/>
  <c r="Q152" i="9"/>
  <c r="CT152" i="9"/>
  <c r="BC152" i="9" l="1"/>
  <c r="AI152" i="9"/>
  <c r="AJ152" i="9" l="1"/>
  <c r="BD152" i="9"/>
  <c r="BE152" i="9" l="1"/>
  <c r="AL152" i="9"/>
  <c r="BF152" i="9"/>
  <c r="AK152" i="9"/>
  <c r="CP44" i="9" l="1"/>
  <c r="CR44" i="9"/>
  <c r="CQ44" i="9"/>
  <c r="CS44" i="9"/>
  <c r="CT44" i="9"/>
  <c r="BX44" i="9"/>
  <c r="BY44" i="9"/>
  <c r="BW44" i="9"/>
  <c r="BV44" i="9"/>
  <c r="BZ44" i="9"/>
  <c r="BB44" i="9"/>
  <c r="BD44" i="9"/>
  <c r="BE44" i="9"/>
  <c r="BC44" i="9"/>
  <c r="BF44" i="9"/>
  <c r="AH44" i="9"/>
  <c r="AJ44" i="9"/>
  <c r="AK44" i="9"/>
  <c r="AI44" i="9"/>
  <c r="AL44" i="9"/>
  <c r="O194" i="9"/>
  <c r="P194" i="9"/>
  <c r="R194" i="9"/>
  <c r="H194" i="9"/>
  <c r="Q194" i="9"/>
  <c r="G198" i="9"/>
  <c r="G196" i="9"/>
  <c r="G194" i="9" s="1"/>
  <c r="J194" i="9"/>
  <c r="N194" i="9"/>
  <c r="N44" i="9" s="1"/>
  <c r="M194" i="9"/>
  <c r="K194" i="9"/>
  <c r="I194" i="9"/>
  <c r="L194" i="9"/>
  <c r="R44" i="9" l="1"/>
  <c r="O44" i="9"/>
  <c r="P44" i="9"/>
  <c r="Q44" i="9"/>
  <c r="AO43" i="8"/>
  <c r="CL44" i="9"/>
  <c r="CO44" i="9"/>
  <c r="AR43" i="8"/>
  <c r="CJ44" i="9"/>
  <c r="AM43" i="8"/>
  <c r="CN44" i="9"/>
  <c r="AQ43" i="8"/>
  <c r="CK44" i="9"/>
  <c r="AN43" i="8"/>
  <c r="CI44" i="9"/>
  <c r="AL43" i="8"/>
  <c r="CM44" i="9"/>
  <c r="AP43" i="8"/>
  <c r="BO44" i="9"/>
  <c r="AD43" i="8"/>
  <c r="BS44" i="9"/>
  <c r="AH43" i="8"/>
  <c r="BR44" i="9"/>
  <c r="AG43" i="8"/>
  <c r="BU44" i="9"/>
  <c r="AJ43" i="8"/>
  <c r="BT44" i="9"/>
  <c r="AI43" i="8"/>
  <c r="BQ44" i="9"/>
  <c r="AF43" i="8"/>
  <c r="BP44" i="9"/>
  <c r="AE43" i="8"/>
  <c r="AX44" i="9"/>
  <c r="AU44" i="9"/>
  <c r="BA44" i="9"/>
  <c r="AW44" i="9"/>
  <c r="AY44" i="9"/>
  <c r="AZ44" i="9"/>
  <c r="AV44" i="9"/>
  <c r="AD44" i="9"/>
  <c r="AA44" i="9"/>
  <c r="AG44" i="9"/>
  <c r="AC44" i="9"/>
  <c r="AE44" i="9"/>
  <c r="AF44" i="9"/>
  <c r="AB44" i="9"/>
  <c r="K43" i="8"/>
  <c r="L44" i="9"/>
  <c r="H44" i="9"/>
  <c r="G43" i="8"/>
  <c r="I44" i="9"/>
  <c r="H43" i="8"/>
  <c r="I43" i="8"/>
  <c r="J44" i="9"/>
  <c r="K44" i="9"/>
  <c r="J43" i="8"/>
  <c r="G44" i="9"/>
  <c r="F43" i="8"/>
  <c r="M44" i="9"/>
  <c r="L43" i="8"/>
  <c r="P49" i="91" l="1"/>
  <c r="Q49" i="91"/>
  <c r="M49" i="91"/>
  <c r="S217" i="59" l="1"/>
  <c r="G148" i="9" s="1"/>
  <c r="T218" i="59"/>
  <c r="U218" i="59" s="1"/>
  <c r="V218" i="59" s="1"/>
  <c r="W218" i="59" s="1"/>
  <c r="X218" i="59" s="1"/>
  <c r="Y218" i="59" s="1"/>
  <c r="Z218" i="59" s="1"/>
  <c r="AA218" i="59" s="1"/>
  <c r="AB218" i="59" s="1"/>
  <c r="AC218" i="59" s="1"/>
  <c r="AD218" i="59" s="1"/>
  <c r="BO148" i="9" l="1"/>
  <c r="CI148" i="9"/>
  <c r="T217" i="59"/>
  <c r="AA148" i="9"/>
  <c r="CJ148" i="9" l="1"/>
  <c r="H148" i="9"/>
  <c r="BP148" i="9"/>
  <c r="U217" i="59"/>
  <c r="AB148" i="9"/>
  <c r="CK148" i="9" l="1"/>
  <c r="I148" i="9"/>
  <c r="V217" i="59"/>
  <c r="BQ148" i="9"/>
  <c r="AC148" i="9"/>
  <c r="CL148" i="9" l="1"/>
  <c r="J148" i="9"/>
  <c r="BR148" i="9"/>
  <c r="AD148" i="9"/>
  <c r="W217" i="59"/>
  <c r="CM148" i="9" l="1"/>
  <c r="K148" i="9"/>
  <c r="BS148" i="9"/>
  <c r="X217" i="59"/>
  <c r="AE148" i="9"/>
  <c r="CN148" i="9" l="1"/>
  <c r="L148" i="9"/>
  <c r="AF148" i="9"/>
  <c r="Y217" i="59"/>
  <c r="BT148" i="9"/>
  <c r="CO148" i="9" l="1"/>
  <c r="M148" i="9"/>
  <c r="BU148" i="9"/>
  <c r="AG148" i="9"/>
  <c r="Z217" i="59"/>
  <c r="CP148" i="9" l="1"/>
  <c r="N148" i="9"/>
  <c r="AH148" i="9"/>
  <c r="BV148" i="9"/>
  <c r="AA217" i="59"/>
  <c r="CQ148" i="9" l="1"/>
  <c r="O148" i="9"/>
  <c r="BW148" i="9"/>
  <c r="AB217" i="59"/>
  <c r="AI148" i="9"/>
  <c r="CR148" i="9" l="1"/>
  <c r="P148" i="9"/>
  <c r="BX148" i="9"/>
  <c r="AJ148" i="9"/>
  <c r="AC217" i="59"/>
  <c r="CS148" i="9" l="1"/>
  <c r="Q148" i="9"/>
  <c r="AK148" i="9"/>
  <c r="AD217" i="59"/>
  <c r="BY148" i="9"/>
  <c r="CT148" i="9" l="1"/>
  <c r="R148" i="9"/>
  <c r="BZ148" i="9"/>
  <c r="AL148" i="9"/>
  <c r="Y58" i="59" l="1"/>
  <c r="U58" i="59"/>
  <c r="X58" i="59"/>
  <c r="W58" i="59"/>
  <c r="AB58" i="59"/>
  <c r="AA58" i="59"/>
  <c r="AD58" i="59"/>
  <c r="V58" i="59"/>
  <c r="AC58" i="59"/>
  <c r="Z58" i="59"/>
  <c r="T58" i="59"/>
  <c r="G54" i="9" l="1"/>
  <c r="AA54" i="9"/>
  <c r="N18" i="8" s="1"/>
  <c r="CI57" i="9" l="1"/>
  <c r="CI56" i="9" s="1"/>
  <c r="AL17" i="8" s="1"/>
  <c r="F18" i="8"/>
  <c r="G51" i="9"/>
  <c r="G50" i="9" s="1"/>
  <c r="AB54" i="9"/>
  <c r="O18" i="8" s="1"/>
  <c r="AA51" i="9"/>
  <c r="AA50" i="9" s="1"/>
  <c r="N16" i="8" s="1"/>
  <c r="CJ57" i="9" l="1"/>
  <c r="CJ56" i="9" s="1"/>
  <c r="AM17" i="8" s="1"/>
  <c r="H54" i="9"/>
  <c r="F16" i="8"/>
  <c r="AC54" i="9"/>
  <c r="P18" i="8" s="1"/>
  <c r="AB51" i="9"/>
  <c r="AB50" i="9" s="1"/>
  <c r="O16" i="8" s="1"/>
  <c r="CK57" i="9" l="1"/>
  <c r="CK56" i="9" s="1"/>
  <c r="AN17" i="8" s="1"/>
  <c r="I54" i="9"/>
  <c r="G18" i="8"/>
  <c r="H51" i="9"/>
  <c r="H50" i="9" s="1"/>
  <c r="AC51" i="9"/>
  <c r="AC50" i="9" s="1"/>
  <c r="P16" i="8" s="1"/>
  <c r="AD54" i="9"/>
  <c r="Q18" i="8" s="1"/>
  <c r="CL57" i="9" l="1"/>
  <c r="CL56" i="9" s="1"/>
  <c r="AO17" i="8" s="1"/>
  <c r="G16" i="8"/>
  <c r="H18" i="8"/>
  <c r="I51" i="9"/>
  <c r="I50" i="9" s="1"/>
  <c r="J54" i="9"/>
  <c r="AE54" i="9"/>
  <c r="R18" i="8" s="1"/>
  <c r="AD51" i="9"/>
  <c r="AD50" i="9" s="1"/>
  <c r="Q16" i="8" s="1"/>
  <c r="CM57" i="9" l="1"/>
  <c r="CM56" i="9" s="1"/>
  <c r="AP17" i="8" s="1"/>
  <c r="L54" i="9"/>
  <c r="I18" i="8"/>
  <c r="J51" i="9"/>
  <c r="J50" i="9" s="1"/>
  <c r="H16" i="8"/>
  <c r="AE51" i="9"/>
  <c r="AE50" i="9" s="1"/>
  <c r="R16" i="8" s="1"/>
  <c r="AF54" i="9"/>
  <c r="S18" i="8" s="1"/>
  <c r="CN57" i="9" l="1"/>
  <c r="CN56" i="9" s="1"/>
  <c r="AQ17" i="8" s="1"/>
  <c r="M54" i="9"/>
  <c r="I16" i="8"/>
  <c r="K18" i="8"/>
  <c r="L51" i="9"/>
  <c r="L50" i="9" s="1"/>
  <c r="AF51" i="9"/>
  <c r="AF50" i="9" s="1"/>
  <c r="S16" i="8" s="1"/>
  <c r="AG54" i="9"/>
  <c r="T18" i="8" s="1"/>
  <c r="N36" i="91" s="1"/>
  <c r="CO57" i="9" l="1"/>
  <c r="CO56" i="9" s="1"/>
  <c r="AR17" i="8" s="1"/>
  <c r="K16" i="8"/>
  <c r="O54" i="9"/>
  <c r="L18" i="8"/>
  <c r="M51" i="9"/>
  <c r="M50" i="9" s="1"/>
  <c r="AG51" i="9"/>
  <c r="AG50" i="9" s="1"/>
  <c r="T16" i="8" s="1"/>
  <c r="N35" i="91" s="1"/>
  <c r="AH54" i="9"/>
  <c r="AH51" i="9" s="1"/>
  <c r="AH50" i="9" s="1"/>
  <c r="CP57" i="9" l="1"/>
  <c r="CP56" i="9" s="1"/>
  <c r="O51" i="9"/>
  <c r="O50" i="9" s="1"/>
  <c r="N54" i="9"/>
  <c r="N51" i="9" s="1"/>
  <c r="N50" i="9" s="1"/>
  <c r="L16" i="8"/>
  <c r="P54" i="9"/>
  <c r="Q54" i="9"/>
  <c r="R54" i="9"/>
  <c r="AI54" i="9"/>
  <c r="AI51" i="9" s="1"/>
  <c r="AI50" i="9" s="1"/>
  <c r="CQ57" i="9" l="1"/>
  <c r="CQ56" i="9" s="1"/>
  <c r="R51" i="9"/>
  <c r="R50" i="9" s="1"/>
  <c r="Q51" i="9"/>
  <c r="Q50" i="9" s="1"/>
  <c r="P51" i="9"/>
  <c r="P50" i="9" s="1"/>
  <c r="AJ54" i="9"/>
  <c r="AJ51" i="9" s="1"/>
  <c r="AJ50" i="9" s="1"/>
  <c r="CR57" i="9" l="1"/>
  <c r="CR56" i="9" s="1"/>
  <c r="AK54" i="9"/>
  <c r="AK51" i="9" s="1"/>
  <c r="AK50" i="9" s="1"/>
  <c r="CS57" i="9" l="1"/>
  <c r="CS56" i="9" s="1"/>
  <c r="AL54" i="9"/>
  <c r="AL51" i="9" s="1"/>
  <c r="AL50" i="9" s="1"/>
  <c r="CT57" i="9" l="1"/>
  <c r="CT56" i="9" s="1"/>
  <c r="H285" i="37"/>
  <c r="K81" i="13"/>
  <c r="K19" i="13" s="1"/>
  <c r="K87" i="13"/>
  <c r="K94" i="13" s="1"/>
  <c r="K104" i="13" s="1"/>
  <c r="I278" i="37" l="1"/>
  <c r="I276" i="37"/>
  <c r="I277" i="37"/>
  <c r="I274" i="37"/>
  <c r="I275" i="37"/>
  <c r="I290" i="37" l="1"/>
  <c r="J277" i="37"/>
  <c r="J278" i="37"/>
  <c r="I291" i="37"/>
  <c r="K308" i="54" s="1"/>
  <c r="I289" i="37"/>
  <c r="J276" i="37"/>
  <c r="I288" i="37"/>
  <c r="J275" i="37"/>
  <c r="J274" i="37"/>
  <c r="I287" i="37"/>
  <c r="K266" i="54" l="1"/>
  <c r="K50" i="54" s="1"/>
  <c r="S520" i="59" s="1"/>
  <c r="K245" i="54"/>
  <c r="K29" i="54" s="1"/>
  <c r="S499" i="59" s="1"/>
  <c r="K224" i="54"/>
  <c r="K8" i="54" s="1"/>
  <c r="S478" i="59" s="1"/>
  <c r="K287" i="54"/>
  <c r="K71" i="54" s="1"/>
  <c r="S541" i="59" s="1"/>
  <c r="J288" i="37"/>
  <c r="K275" i="37"/>
  <c r="K278" i="37"/>
  <c r="J291" i="37"/>
  <c r="L308" i="54" s="1"/>
  <c r="K276" i="37"/>
  <c r="J289" i="37"/>
  <c r="J287" i="37"/>
  <c r="L224" i="54" s="1"/>
  <c r="L8" i="54" s="1"/>
  <c r="K274" i="37"/>
  <c r="J290" i="37"/>
  <c r="K277" i="37"/>
  <c r="L245" i="54" l="1"/>
  <c r="L29" i="54" s="1"/>
  <c r="T499" i="59" s="1"/>
  <c r="L287" i="54"/>
  <c r="L71" i="54" s="1"/>
  <c r="T541" i="59" s="1"/>
  <c r="L266" i="54"/>
  <c r="L50" i="54" s="1"/>
  <c r="T520" i="59" s="1"/>
  <c r="K92" i="54"/>
  <c r="S562" i="59" s="1"/>
  <c r="S604" i="59" s="1"/>
  <c r="T478" i="59"/>
  <c r="K287" i="37"/>
  <c r="L274" i="37"/>
  <c r="L277" i="37"/>
  <c r="K290" i="37"/>
  <c r="L276" i="37"/>
  <c r="K289" i="37"/>
  <c r="L275" i="37"/>
  <c r="K288" i="37"/>
  <c r="L278" i="37"/>
  <c r="K291" i="37"/>
  <c r="M308" i="54" s="1"/>
  <c r="M245" i="54" l="1"/>
  <c r="M29" i="54" s="1"/>
  <c r="U499" i="59" s="1"/>
  <c r="M266" i="54"/>
  <c r="M50" i="54" s="1"/>
  <c r="U520" i="59" s="1"/>
  <c r="M287" i="54"/>
  <c r="M71" i="54" s="1"/>
  <c r="U541" i="59" s="1"/>
  <c r="M224" i="54"/>
  <c r="M8" i="54" s="1"/>
  <c r="U478" i="59" s="1"/>
  <c r="S583" i="59"/>
  <c r="L92" i="54"/>
  <c r="T562" i="59" s="1"/>
  <c r="T604" i="59" s="1"/>
  <c r="M275" i="37"/>
  <c r="L288" i="37"/>
  <c r="M276" i="37"/>
  <c r="L289" i="37"/>
  <c r="L287" i="37"/>
  <c r="N224" i="54" s="1"/>
  <c r="N8" i="54" s="1"/>
  <c r="M274" i="37"/>
  <c r="L291" i="37"/>
  <c r="N308" i="54" s="1"/>
  <c r="M278" i="37"/>
  <c r="M277" i="37"/>
  <c r="L290" i="37"/>
  <c r="N287" i="54" l="1"/>
  <c r="N71" i="54" s="1"/>
  <c r="V541" i="59" s="1"/>
  <c r="N245" i="54"/>
  <c r="N29" i="54" s="1"/>
  <c r="V499" i="59" s="1"/>
  <c r="N266" i="54"/>
  <c r="N50" i="54" s="1"/>
  <c r="V520" i="59" s="1"/>
  <c r="T583" i="59"/>
  <c r="S625" i="59"/>
  <c r="M92" i="54"/>
  <c r="U562" i="59" s="1"/>
  <c r="V478" i="59"/>
  <c r="N277" i="37"/>
  <c r="M290" i="37"/>
  <c r="M287" i="37"/>
  <c r="O224" i="54" s="1"/>
  <c r="O8" i="54" s="1"/>
  <c r="N274" i="37"/>
  <c r="M291" i="37"/>
  <c r="O308" i="54" s="1"/>
  <c r="N278" i="37"/>
  <c r="M289" i="37"/>
  <c r="N276" i="37"/>
  <c r="M288" i="37"/>
  <c r="N275" i="37"/>
  <c r="O287" i="54" l="1"/>
  <c r="O71" i="54" s="1"/>
  <c r="W541" i="59" s="1"/>
  <c r="O266" i="54"/>
  <c r="O50" i="54" s="1"/>
  <c r="W520" i="59" s="1"/>
  <c r="O245" i="54"/>
  <c r="O29" i="54" s="1"/>
  <c r="W499" i="59" s="1"/>
  <c r="T625" i="59"/>
  <c r="U583" i="59"/>
  <c r="U604" i="59"/>
  <c r="N92" i="54"/>
  <c r="V562" i="59" s="1"/>
  <c r="V604" i="59" s="1"/>
  <c r="W478" i="59"/>
  <c r="O275" i="37"/>
  <c r="N288" i="37"/>
  <c r="O276" i="37"/>
  <c r="N289" i="37"/>
  <c r="N291" i="37"/>
  <c r="P308" i="54" s="1"/>
  <c r="O278" i="37"/>
  <c r="N287" i="37"/>
  <c r="P224" i="54" s="1"/>
  <c r="P8" i="54" s="1"/>
  <c r="O274" i="37"/>
  <c r="N290" i="37"/>
  <c r="O277" i="37"/>
  <c r="P245" i="54" l="1"/>
  <c r="P29" i="54" s="1"/>
  <c r="X499" i="59" s="1"/>
  <c r="P266" i="54"/>
  <c r="P50" i="54" s="1"/>
  <c r="X520" i="59" s="1"/>
  <c r="P287" i="54"/>
  <c r="P71" i="54" s="1"/>
  <c r="X541" i="59" s="1"/>
  <c r="V583" i="59"/>
  <c r="U625" i="59"/>
  <c r="O92" i="54"/>
  <c r="W562" i="59" s="1"/>
  <c r="W604" i="59" s="1"/>
  <c r="X478" i="59"/>
  <c r="O287" i="37"/>
  <c r="P274" i="37"/>
  <c r="O290" i="37"/>
  <c r="P277" i="37"/>
  <c r="P278" i="37"/>
  <c r="O291" i="37"/>
  <c r="Q308" i="54" s="1"/>
  <c r="O288" i="37"/>
  <c r="P275" i="37"/>
  <c r="O289" i="37"/>
  <c r="P276" i="37"/>
  <c r="Q287" i="54" l="1"/>
  <c r="Q71" i="54" s="1"/>
  <c r="Y541" i="59" s="1"/>
  <c r="Z541" i="59" s="1"/>
  <c r="AA541" i="59" s="1"/>
  <c r="AB541" i="59" s="1"/>
  <c r="AC541" i="59" s="1"/>
  <c r="AD541" i="59" s="1"/>
  <c r="Q245" i="54"/>
  <c r="Q29" i="54" s="1"/>
  <c r="Y499" i="59" s="1"/>
  <c r="Z499" i="59" s="1"/>
  <c r="AA499" i="59" s="1"/>
  <c r="AB499" i="59" s="1"/>
  <c r="AC499" i="59" s="1"/>
  <c r="AD499" i="59" s="1"/>
  <c r="Q266" i="54"/>
  <c r="Q50" i="54" s="1"/>
  <c r="Y520" i="59" s="1"/>
  <c r="Z520" i="59" s="1"/>
  <c r="AA520" i="59" s="1"/>
  <c r="AB520" i="59" s="1"/>
  <c r="AC520" i="59" s="1"/>
  <c r="AD520" i="59" s="1"/>
  <c r="Q224" i="54"/>
  <c r="Q8" i="54" s="1"/>
  <c r="Y478" i="59" s="1"/>
  <c r="Z478" i="59" s="1"/>
  <c r="AA478" i="59" s="1"/>
  <c r="AB478" i="59" s="1"/>
  <c r="AC478" i="59" s="1"/>
  <c r="AD478" i="59" s="1"/>
  <c r="V625" i="59"/>
  <c r="W583" i="59"/>
  <c r="P92" i="54"/>
  <c r="X562" i="59" s="1"/>
  <c r="X604" i="59" s="1"/>
  <c r="Q276" i="37"/>
  <c r="P289" i="37"/>
  <c r="P288" i="37"/>
  <c r="Q275" i="37"/>
  <c r="P287" i="37"/>
  <c r="R224" i="54" s="1"/>
  <c r="R8" i="54" s="1"/>
  <c r="Q274" i="37"/>
  <c r="P291" i="37"/>
  <c r="R308" i="54" s="1"/>
  <c r="Q278" i="37"/>
  <c r="P290" i="37"/>
  <c r="Q277" i="37"/>
  <c r="R245" i="54" l="1"/>
  <c r="R29" i="54" s="1"/>
  <c r="R287" i="54"/>
  <c r="R71" i="54" s="1"/>
  <c r="R266" i="54"/>
  <c r="R50" i="54" s="1"/>
  <c r="X583" i="59"/>
  <c r="W625" i="59"/>
  <c r="Q92" i="54"/>
  <c r="Y562" i="59" s="1"/>
  <c r="Z562" i="59" s="1"/>
  <c r="AA562" i="59" s="1"/>
  <c r="AB562" i="59" s="1"/>
  <c r="AC562" i="59" s="1"/>
  <c r="AD562" i="59" s="1"/>
  <c r="R92" i="54"/>
  <c r="R278" i="37"/>
  <c r="Q291" i="37"/>
  <c r="S308" i="54" s="1"/>
  <c r="Q290" i="37"/>
  <c r="R277" i="37"/>
  <c r="R274" i="37"/>
  <c r="Q287" i="37"/>
  <c r="S224" i="54" s="1"/>
  <c r="S8" i="54" s="1"/>
  <c r="R275" i="37"/>
  <c r="Q288" i="37"/>
  <c r="R276" i="37"/>
  <c r="Q289" i="37"/>
  <c r="S266" i="54" l="1"/>
  <c r="S50" i="54" s="1"/>
  <c r="S287" i="54"/>
  <c r="S71" i="54" s="1"/>
  <c r="S245" i="54"/>
  <c r="S29" i="54" s="1"/>
  <c r="X625" i="59"/>
  <c r="S92" i="54"/>
  <c r="Z604" i="59"/>
  <c r="S274" i="37"/>
  <c r="R287" i="37"/>
  <c r="T224" i="54" s="1"/>
  <c r="T8" i="54" s="1"/>
  <c r="R290" i="37"/>
  <c r="S277" i="37"/>
  <c r="S276" i="37"/>
  <c r="R289" i="37"/>
  <c r="R288" i="37"/>
  <c r="S275" i="37"/>
  <c r="Y583" i="59"/>
  <c r="Y604" i="59"/>
  <c r="S278" i="37"/>
  <c r="R291" i="37"/>
  <c r="T308" i="54" s="1"/>
  <c r="T287" i="54" l="1"/>
  <c r="T71" i="54" s="1"/>
  <c r="T266" i="54"/>
  <c r="T50" i="54" s="1"/>
  <c r="T245" i="54"/>
  <c r="T29" i="54" s="1"/>
  <c r="T92" i="54"/>
  <c r="Z583" i="59"/>
  <c r="AA583" i="59" s="1"/>
  <c r="AB583" i="59" s="1"/>
  <c r="AC583" i="59" s="1"/>
  <c r="AD583" i="59" s="1"/>
  <c r="AA604" i="59"/>
  <c r="Y625" i="59"/>
  <c r="S289" i="37"/>
  <c r="T276" i="37"/>
  <c r="T289" i="37" s="1"/>
  <c r="T278" i="37"/>
  <c r="T291" i="37" s="1"/>
  <c r="V308" i="54" s="1"/>
  <c r="S291" i="37"/>
  <c r="U308" i="54" s="1"/>
  <c r="S290" i="37"/>
  <c r="T277" i="37"/>
  <c r="T290" i="37" s="1"/>
  <c r="T275" i="37"/>
  <c r="T288" i="37" s="1"/>
  <c r="S288" i="37"/>
  <c r="T274" i="37"/>
  <c r="T287" i="37" s="1"/>
  <c r="V224" i="54" s="1"/>
  <c r="V8" i="54" s="1"/>
  <c r="S287" i="37"/>
  <c r="U224" i="54" s="1"/>
  <c r="U8" i="54" s="1"/>
  <c r="U287" i="54" l="1"/>
  <c r="U71" i="54" s="1"/>
  <c r="V245" i="54"/>
  <c r="V29" i="54" s="1"/>
  <c r="U245" i="54"/>
  <c r="U29" i="54" s="1"/>
  <c r="U266" i="54"/>
  <c r="U50" i="54" s="1"/>
  <c r="V266" i="54"/>
  <c r="V50" i="54" s="1"/>
  <c r="V287" i="54"/>
  <c r="V71" i="54" s="1"/>
  <c r="U92" i="54"/>
  <c r="V92" i="54"/>
  <c r="AA625" i="59"/>
  <c r="Z625" i="59"/>
  <c r="AB604" i="59"/>
  <c r="AB625" i="59" l="1"/>
  <c r="AC604" i="59"/>
  <c r="AD604" i="59"/>
  <c r="AD625" i="59" l="1"/>
  <c r="AC625" i="59"/>
  <c r="K725" i="79" l="1"/>
  <c r="H725" i="79"/>
  <c r="J725" i="79"/>
  <c r="G725" i="79"/>
  <c r="L725" i="79"/>
  <c r="I725" i="79"/>
  <c r="M725" i="79"/>
  <c r="H707" i="79" l="1"/>
  <c r="H706" i="79"/>
  <c r="BE158" i="52" s="1"/>
  <c r="J707" i="79"/>
  <c r="J706" i="79"/>
  <c r="BG158" i="52" s="1"/>
  <c r="K707" i="79"/>
  <c r="K706" i="79"/>
  <c r="BH158" i="52" s="1"/>
  <c r="L707" i="79"/>
  <c r="L706" i="79"/>
  <c r="BI158" i="52" s="1"/>
  <c r="I706" i="79"/>
  <c r="BF158" i="52" s="1"/>
  <c r="I707" i="79"/>
  <c r="M707" i="79"/>
  <c r="M706" i="79"/>
  <c r="BJ158" i="52" s="1"/>
  <c r="G707" i="79"/>
  <c r="G706" i="79"/>
  <c r="BD158" i="52" s="1"/>
  <c r="L593" i="79" l="1"/>
  <c r="U158" i="52"/>
  <c r="G593" i="79"/>
  <c r="P158" i="52"/>
  <c r="K593" i="79"/>
  <c r="T158" i="52"/>
  <c r="M593" i="79"/>
  <c r="V158" i="52"/>
  <c r="J593" i="79"/>
  <c r="S158" i="52"/>
  <c r="I593" i="79"/>
  <c r="R158" i="52"/>
  <c r="H593" i="79"/>
  <c r="Q158" i="52"/>
  <c r="BI96" i="52"/>
  <c r="L704" i="79"/>
  <c r="L587" i="79" s="1"/>
  <c r="M158" i="52" s="1"/>
  <c r="BD96" i="52"/>
  <c r="G704" i="79"/>
  <c r="G587" i="79" s="1"/>
  <c r="H158" i="52" s="1"/>
  <c r="BH96" i="52"/>
  <c r="K704" i="79"/>
  <c r="K587" i="79" s="1"/>
  <c r="L158" i="52" s="1"/>
  <c r="BJ96" i="52"/>
  <c r="M704" i="79"/>
  <c r="M587" i="79" s="1"/>
  <c r="N158" i="52" s="1"/>
  <c r="BG96" i="52"/>
  <c r="J704" i="79"/>
  <c r="J587" i="79" s="1"/>
  <c r="K158" i="52" s="1"/>
  <c r="BE96" i="52"/>
  <c r="H704" i="79"/>
  <c r="H587" i="79" s="1"/>
  <c r="I158" i="52" s="1"/>
  <c r="BF96" i="52"/>
  <c r="I704" i="79"/>
  <c r="I587" i="79" s="1"/>
  <c r="J158" i="52" s="1"/>
  <c r="T96" i="52" l="1"/>
  <c r="Q96" i="52"/>
  <c r="V96" i="52"/>
  <c r="P96" i="52"/>
  <c r="R96" i="52"/>
  <c r="U96" i="52"/>
  <c r="S96" i="52"/>
  <c r="J96" i="52"/>
  <c r="M96" i="52"/>
  <c r="P202" i="54" s="1"/>
  <c r="N96" i="52"/>
  <c r="L96" i="52"/>
  <c r="K96" i="52"/>
  <c r="I96" i="52"/>
  <c r="H96" i="52"/>
  <c r="K202" i="54" s="1"/>
  <c r="I644" i="79"/>
  <c r="I625" i="79" s="1"/>
  <c r="BF155" i="52" s="1"/>
  <c r="K644" i="79"/>
  <c r="J644" i="79"/>
  <c r="J626" i="79" s="1"/>
  <c r="G644" i="79"/>
  <c r="G625" i="79" s="1"/>
  <c r="BD155" i="52" s="1"/>
  <c r="H644" i="79"/>
  <c r="M644" i="79"/>
  <c r="L644" i="79"/>
  <c r="L625" i="79" s="1"/>
  <c r="BI155" i="52" s="1"/>
  <c r="L202" i="54" l="1"/>
  <c r="L93" i="54" s="1"/>
  <c r="T563" i="59" s="1"/>
  <c r="N202" i="54"/>
  <c r="N93" i="54" s="1"/>
  <c r="V563" i="59" s="1"/>
  <c r="M202" i="54"/>
  <c r="M93" i="54" s="1"/>
  <c r="U563" i="59" s="1"/>
  <c r="N447" i="54"/>
  <c r="V756" i="59" s="1"/>
  <c r="O202" i="54"/>
  <c r="O93" i="54" s="1"/>
  <c r="W563" i="59" s="1"/>
  <c r="P447" i="54"/>
  <c r="X756" i="59" s="1"/>
  <c r="M447" i="54"/>
  <c r="U756" i="59" s="1"/>
  <c r="Q202" i="54"/>
  <c r="R202" i="54" s="1"/>
  <c r="S202" i="54" s="1"/>
  <c r="T202" i="54" s="1"/>
  <c r="U202" i="54" s="1"/>
  <c r="V202" i="54" s="1"/>
  <c r="K447" i="54"/>
  <c r="S756" i="59" s="1"/>
  <c r="Q447" i="54"/>
  <c r="R447" i="54" s="1"/>
  <c r="L447" i="54"/>
  <c r="T756" i="59" s="1"/>
  <c r="O447" i="54"/>
  <c r="W756" i="59" s="1"/>
  <c r="P93" i="54"/>
  <c r="X563" i="59" s="1"/>
  <c r="K93" i="54"/>
  <c r="S563" i="59" s="1"/>
  <c r="J590" i="79"/>
  <c r="S155" i="52"/>
  <c r="S30" i="52" s="1"/>
  <c r="N384" i="54" s="1"/>
  <c r="G626" i="79"/>
  <c r="G623" i="79" s="1"/>
  <c r="G584" i="79" s="1"/>
  <c r="H155" i="52" s="1"/>
  <c r="K625" i="79"/>
  <c r="BH155" i="52" s="1"/>
  <c r="K626" i="79"/>
  <c r="M625" i="79"/>
  <c r="BJ155" i="52" s="1"/>
  <c r="M626" i="79"/>
  <c r="BD30" i="52"/>
  <c r="L626" i="79"/>
  <c r="H625" i="79"/>
  <c r="BE155" i="52" s="1"/>
  <c r="H626" i="79"/>
  <c r="BI30" i="52"/>
  <c r="J625" i="79"/>
  <c r="BG155" i="52" s="1"/>
  <c r="BF30" i="52"/>
  <c r="I626" i="79"/>
  <c r="S447" i="54" l="1"/>
  <c r="Z756" i="59"/>
  <c r="Y756" i="59"/>
  <c r="H30" i="52"/>
  <c r="K139" i="54" s="1"/>
  <c r="Q93" i="54"/>
  <c r="Y563" i="59" s="1"/>
  <c r="Z563" i="59" s="1"/>
  <c r="AA563" i="59" s="1"/>
  <c r="AB563" i="59" s="1"/>
  <c r="AC563" i="59" s="1"/>
  <c r="AD563" i="59" s="1"/>
  <c r="V693" i="59"/>
  <c r="M590" i="79"/>
  <c r="V155" i="52"/>
  <c r="V30" i="52" s="1"/>
  <c r="Q384" i="54" s="1"/>
  <c r="R384" i="54" s="1"/>
  <c r="S384" i="54" s="1"/>
  <c r="T384" i="54" s="1"/>
  <c r="U384" i="54" s="1"/>
  <c r="V384" i="54" s="1"/>
  <c r="L590" i="79"/>
  <c r="U155" i="52"/>
  <c r="U30" i="52" s="1"/>
  <c r="P384" i="54" s="1"/>
  <c r="I590" i="79"/>
  <c r="R155" i="52"/>
  <c r="R30" i="52" s="1"/>
  <c r="M384" i="54" s="1"/>
  <c r="K590" i="79"/>
  <c r="T155" i="52"/>
  <c r="T30" i="52" s="1"/>
  <c r="O384" i="54" s="1"/>
  <c r="H590" i="79"/>
  <c r="Q155" i="52"/>
  <c r="Q30" i="52" s="1"/>
  <c r="L384" i="54" s="1"/>
  <c r="G590" i="79"/>
  <c r="P155" i="52"/>
  <c r="P30" i="52" s="1"/>
  <c r="K384" i="54" s="1"/>
  <c r="H623" i="79"/>
  <c r="H584" i="79" s="1"/>
  <c r="I155" i="52" s="1"/>
  <c r="BE30" i="52"/>
  <c r="I623" i="79"/>
  <c r="I584" i="79" s="1"/>
  <c r="J155" i="52" s="1"/>
  <c r="M623" i="79"/>
  <c r="M584" i="79" s="1"/>
  <c r="N155" i="52" s="1"/>
  <c r="BJ30" i="52"/>
  <c r="J623" i="79"/>
  <c r="J584" i="79" s="1"/>
  <c r="K155" i="52" s="1"/>
  <c r="BG30" i="52"/>
  <c r="L623" i="79"/>
  <c r="L584" i="79" s="1"/>
  <c r="M155" i="52" s="1"/>
  <c r="K623" i="79"/>
  <c r="K584" i="79" s="1"/>
  <c r="L155" i="52" s="1"/>
  <c r="BH30" i="52"/>
  <c r="L671" i="79"/>
  <c r="G671" i="79"/>
  <c r="M671" i="79"/>
  <c r="M652" i="79" s="1"/>
  <c r="BJ156" i="52" s="1"/>
  <c r="H671" i="79"/>
  <c r="H653" i="79" s="1"/>
  <c r="K671" i="79"/>
  <c r="K652" i="79" s="1"/>
  <c r="BH156" i="52" s="1"/>
  <c r="J671" i="79"/>
  <c r="I671" i="79"/>
  <c r="T447" i="54" l="1"/>
  <c r="AA756" i="59"/>
  <c r="J30" i="52"/>
  <c r="M139" i="54" s="1"/>
  <c r="L30" i="52"/>
  <c r="O139" i="54" s="1"/>
  <c r="I30" i="52"/>
  <c r="L139" i="54" s="1"/>
  <c r="R93" i="54"/>
  <c r="N30" i="52"/>
  <c r="Q139" i="54" s="1"/>
  <c r="R139" i="54" s="1"/>
  <c r="S139" i="54" s="1"/>
  <c r="T139" i="54" s="1"/>
  <c r="U139" i="54" s="1"/>
  <c r="V139" i="54" s="1"/>
  <c r="M30" i="52"/>
  <c r="P139" i="54" s="1"/>
  <c r="K30" i="52"/>
  <c r="N139" i="54" s="1"/>
  <c r="K30" i="54"/>
  <c r="S500" i="59" s="1"/>
  <c r="T693" i="59"/>
  <c r="W693" i="59"/>
  <c r="U693" i="59"/>
  <c r="S693" i="59"/>
  <c r="X693" i="59"/>
  <c r="Y693" i="59"/>
  <c r="H591" i="79"/>
  <c r="Q156" i="52"/>
  <c r="Q52" i="52" s="1"/>
  <c r="L405" i="54" s="1"/>
  <c r="J652" i="79"/>
  <c r="BG156" i="52" s="1"/>
  <c r="J653" i="79"/>
  <c r="BH52" i="52"/>
  <c r="K653" i="79"/>
  <c r="H652" i="79"/>
  <c r="BE156" i="52" s="1"/>
  <c r="I652" i="79"/>
  <c r="BF156" i="52" s="1"/>
  <c r="I653" i="79"/>
  <c r="BJ52" i="52"/>
  <c r="L653" i="79"/>
  <c r="L652" i="79"/>
  <c r="BI156" i="52" s="1"/>
  <c r="M653" i="79"/>
  <c r="G652" i="79"/>
  <c r="BD156" i="52" s="1"/>
  <c r="G653" i="79"/>
  <c r="U447" i="54" l="1"/>
  <c r="AB756" i="59"/>
  <c r="L30" i="54"/>
  <c r="T500" i="59" s="1"/>
  <c r="N30" i="54"/>
  <c r="V500" i="59" s="1"/>
  <c r="P30" i="54"/>
  <c r="X500" i="59" s="1"/>
  <c r="O30" i="54"/>
  <c r="W500" i="59" s="1"/>
  <c r="S93" i="54"/>
  <c r="M30" i="54"/>
  <c r="U500" i="59" s="1"/>
  <c r="T714" i="59"/>
  <c r="Z693" i="59"/>
  <c r="K591" i="79"/>
  <c r="T156" i="52"/>
  <c r="T52" i="52" s="1"/>
  <c r="O405" i="54" s="1"/>
  <c r="M591" i="79"/>
  <c r="V156" i="52"/>
  <c r="V52" i="52" s="1"/>
  <c r="Q405" i="54" s="1"/>
  <c r="R405" i="54" s="1"/>
  <c r="S405" i="54" s="1"/>
  <c r="T405" i="54" s="1"/>
  <c r="U405" i="54" s="1"/>
  <c r="V405" i="54" s="1"/>
  <c r="J591" i="79"/>
  <c r="S156" i="52"/>
  <c r="S52" i="52" s="1"/>
  <c r="N405" i="54" s="1"/>
  <c r="L591" i="79"/>
  <c r="U156" i="52"/>
  <c r="U52" i="52" s="1"/>
  <c r="P405" i="54" s="1"/>
  <c r="G591" i="79"/>
  <c r="P156" i="52"/>
  <c r="P52" i="52" s="1"/>
  <c r="K405" i="54" s="1"/>
  <c r="I591" i="79"/>
  <c r="R156" i="52"/>
  <c r="R52" i="52" s="1"/>
  <c r="M405" i="54" s="1"/>
  <c r="G650" i="79"/>
  <c r="G585" i="79" s="1"/>
  <c r="H156" i="52" s="1"/>
  <c r="BD52" i="52"/>
  <c r="H650" i="79"/>
  <c r="H585" i="79" s="1"/>
  <c r="I156" i="52" s="1"/>
  <c r="BE52" i="52"/>
  <c r="K650" i="79"/>
  <c r="K585" i="79" s="1"/>
  <c r="L156" i="52" s="1"/>
  <c r="I650" i="79"/>
  <c r="I585" i="79" s="1"/>
  <c r="J156" i="52" s="1"/>
  <c r="BF52" i="52"/>
  <c r="L650" i="79"/>
  <c r="L585" i="79" s="1"/>
  <c r="M156" i="52" s="1"/>
  <c r="BI52" i="52"/>
  <c r="M650" i="79"/>
  <c r="M585" i="79" s="1"/>
  <c r="N156" i="52" s="1"/>
  <c r="J650" i="79"/>
  <c r="J585" i="79" s="1"/>
  <c r="K156" i="52" s="1"/>
  <c r="BG52" i="52"/>
  <c r="G698" i="79"/>
  <c r="G679" i="79" s="1"/>
  <c r="BD157" i="52" s="1"/>
  <c r="J698" i="79"/>
  <c r="J679" i="79" s="1"/>
  <c r="BG157" i="52" s="1"/>
  <c r="K698" i="79"/>
  <c r="K680" i="79" s="1"/>
  <c r="L698" i="79"/>
  <c r="L680" i="79" s="1"/>
  <c r="H698" i="79"/>
  <c r="I698" i="79"/>
  <c r="M698" i="79"/>
  <c r="M679" i="79" s="1"/>
  <c r="BJ157" i="52" s="1"/>
  <c r="V447" i="54" l="1"/>
  <c r="AD756" i="59" s="1"/>
  <c r="AC756" i="59"/>
  <c r="Y714" i="59"/>
  <c r="L52" i="52"/>
  <c r="O160" i="54" s="1"/>
  <c r="M52" i="52"/>
  <c r="P160" i="54" s="1"/>
  <c r="J52" i="52"/>
  <c r="M160" i="54" s="1"/>
  <c r="K52" i="52"/>
  <c r="N160" i="54" s="1"/>
  <c r="I52" i="52"/>
  <c r="L160" i="54" s="1"/>
  <c r="T93" i="54"/>
  <c r="H52" i="52"/>
  <c r="K160" i="54" s="1"/>
  <c r="Q30" i="54"/>
  <c r="Y500" i="59" s="1"/>
  <c r="Z500" i="59" s="1"/>
  <c r="AA500" i="59" s="1"/>
  <c r="AB500" i="59" s="1"/>
  <c r="AC500" i="59" s="1"/>
  <c r="AD500" i="59" s="1"/>
  <c r="N52" i="52"/>
  <c r="Q160" i="54" s="1"/>
  <c r="R160" i="54" s="1"/>
  <c r="S160" i="54" s="1"/>
  <c r="T160" i="54" s="1"/>
  <c r="U160" i="54" s="1"/>
  <c r="V160" i="54" s="1"/>
  <c r="X714" i="59"/>
  <c r="V714" i="59"/>
  <c r="U714" i="59"/>
  <c r="S714" i="59"/>
  <c r="W714" i="59"/>
  <c r="AA693" i="59"/>
  <c r="L592" i="79"/>
  <c r="U157" i="52"/>
  <c r="U74" i="52" s="1"/>
  <c r="K592" i="79"/>
  <c r="T157" i="52"/>
  <c r="T74" i="52" s="1"/>
  <c r="J680" i="79"/>
  <c r="L679" i="79"/>
  <c r="BI157" i="52" s="1"/>
  <c r="BD74" i="52"/>
  <c r="BD118" i="52" s="1"/>
  <c r="K679" i="79"/>
  <c r="BH157" i="52" s="1"/>
  <c r="G680" i="79"/>
  <c r="H680" i="79"/>
  <c r="H679" i="79"/>
  <c r="BE157" i="52" s="1"/>
  <c r="I679" i="79"/>
  <c r="BF157" i="52" s="1"/>
  <c r="I680" i="79"/>
  <c r="M680" i="79"/>
  <c r="BJ74" i="52"/>
  <c r="BJ118" i="52" s="1"/>
  <c r="BG74" i="52"/>
  <c r="BG118" i="52" s="1"/>
  <c r="T118" i="52" l="1"/>
  <c r="O426" i="54"/>
  <c r="W735" i="59" s="1"/>
  <c r="W777" i="59" s="1"/>
  <c r="U118" i="52"/>
  <c r="P426" i="54"/>
  <c r="X735" i="59" s="1"/>
  <c r="X777" i="59" s="1"/>
  <c r="R30" i="54"/>
  <c r="K51" i="54"/>
  <c r="S521" i="59" s="1"/>
  <c r="M51" i="54"/>
  <c r="U521" i="59" s="1"/>
  <c r="U93" i="54"/>
  <c r="V93" i="54"/>
  <c r="N51" i="54"/>
  <c r="V521" i="59" s="1"/>
  <c r="P51" i="54"/>
  <c r="X521" i="59" s="1"/>
  <c r="L51" i="54"/>
  <c r="T521" i="59" s="1"/>
  <c r="O51" i="54"/>
  <c r="W521" i="59" s="1"/>
  <c r="Z714" i="59"/>
  <c r="AB693" i="59"/>
  <c r="M592" i="79"/>
  <c r="V157" i="52"/>
  <c r="V74" i="52" s="1"/>
  <c r="Q426" i="54" s="1"/>
  <c r="R426" i="54" s="1"/>
  <c r="S426" i="54" s="1"/>
  <c r="T426" i="54" s="1"/>
  <c r="U426" i="54" s="1"/>
  <c r="V426" i="54" s="1"/>
  <c r="M677" i="79"/>
  <c r="M586" i="79" s="1"/>
  <c r="N157" i="52" s="1"/>
  <c r="J592" i="79"/>
  <c r="S157" i="52"/>
  <c r="S74" i="52" s="1"/>
  <c r="I592" i="79"/>
  <c r="R157" i="52"/>
  <c r="R74" i="52" s="1"/>
  <c r="H592" i="79"/>
  <c r="Q157" i="52"/>
  <c r="Q74" i="52" s="1"/>
  <c r="J677" i="79"/>
  <c r="J586" i="79" s="1"/>
  <c r="K157" i="52" s="1"/>
  <c r="G592" i="79"/>
  <c r="P157" i="52"/>
  <c r="P74" i="52" s="1"/>
  <c r="L677" i="79"/>
  <c r="L586" i="79" s="1"/>
  <c r="M157" i="52" s="1"/>
  <c r="BI74" i="52"/>
  <c r="BI118" i="52" s="1"/>
  <c r="G677" i="79"/>
  <c r="G586" i="79" s="1"/>
  <c r="H157" i="52" s="1"/>
  <c r="I677" i="79"/>
  <c r="I586" i="79" s="1"/>
  <c r="J157" i="52" s="1"/>
  <c r="BF74" i="52"/>
  <c r="BF118" i="52" s="1"/>
  <c r="H677" i="79"/>
  <c r="H586" i="79" s="1"/>
  <c r="I157" i="52" s="1"/>
  <c r="BE74" i="52"/>
  <c r="BE118" i="52" s="1"/>
  <c r="K677" i="79"/>
  <c r="K586" i="79" s="1"/>
  <c r="L157" i="52" s="1"/>
  <c r="BH74" i="52"/>
  <c r="BH118" i="52" s="1"/>
  <c r="J808" i="79"/>
  <c r="M808" i="79"/>
  <c r="M783" i="79" s="1"/>
  <c r="L808" i="79"/>
  <c r="K808" i="79"/>
  <c r="I808" i="79"/>
  <c r="G808" i="79"/>
  <c r="G783" i="79" s="1"/>
  <c r="H808" i="79"/>
  <c r="H783" i="79" s="1"/>
  <c r="N18" i="91" l="1"/>
  <c r="R118" i="52"/>
  <c r="M426" i="54"/>
  <c r="U735" i="59" s="1"/>
  <c r="U777" i="59" s="1"/>
  <c r="S118" i="52"/>
  <c r="N426" i="54"/>
  <c r="V735" i="59" s="1"/>
  <c r="V777" i="59" s="1"/>
  <c r="P118" i="52"/>
  <c r="K426" i="54"/>
  <c r="S735" i="59" s="1"/>
  <c r="S777" i="59" s="1"/>
  <c r="Q118" i="52"/>
  <c r="L426" i="54"/>
  <c r="T735" i="59" s="1"/>
  <c r="T777" i="59" s="1"/>
  <c r="V118" i="52"/>
  <c r="M74" i="52"/>
  <c r="P181" i="54" s="1"/>
  <c r="Q51" i="54"/>
  <c r="Y521" i="59" s="1"/>
  <c r="Z521" i="59" s="1"/>
  <c r="AA521" i="59" s="1"/>
  <c r="AB521" i="59" s="1"/>
  <c r="AC521" i="59" s="1"/>
  <c r="AD521" i="59" s="1"/>
  <c r="H74" i="52"/>
  <c r="K181" i="54" s="1"/>
  <c r="L74" i="52"/>
  <c r="O181" i="54" s="1"/>
  <c r="N74" i="52"/>
  <c r="Q181" i="54" s="1"/>
  <c r="R181" i="54" s="1"/>
  <c r="S181" i="54" s="1"/>
  <c r="T181" i="54" s="1"/>
  <c r="U181" i="54" s="1"/>
  <c r="V181" i="54" s="1"/>
  <c r="S30" i="54"/>
  <c r="I74" i="52"/>
  <c r="L181" i="54" s="1"/>
  <c r="K74" i="52"/>
  <c r="N181" i="54" s="1"/>
  <c r="J74" i="52"/>
  <c r="M181" i="54" s="1"/>
  <c r="Y735" i="59"/>
  <c r="Y777" i="59" s="1"/>
  <c r="AD693" i="59"/>
  <c r="AC693" i="59"/>
  <c r="AA714" i="59"/>
  <c r="M781" i="79"/>
  <c r="BJ160" i="52" s="1"/>
  <c r="J783" i="79"/>
  <c r="J781" i="79"/>
  <c r="BG160" i="52" s="1"/>
  <c r="I783" i="79"/>
  <c r="I781" i="79"/>
  <c r="BF160" i="52" s="1"/>
  <c r="H781" i="79"/>
  <c r="BE160" i="52" s="1"/>
  <c r="K783" i="79"/>
  <c r="K781" i="79"/>
  <c r="BH160" i="52" s="1"/>
  <c r="H757" i="79"/>
  <c r="Q160" i="52"/>
  <c r="Q9" i="52" s="1"/>
  <c r="H784" i="79"/>
  <c r="L783" i="79"/>
  <c r="L781" i="79"/>
  <c r="BI160" i="52" s="1"/>
  <c r="G781" i="79"/>
  <c r="BD160" i="52" s="1"/>
  <c r="G757" i="79"/>
  <c r="G784" i="79"/>
  <c r="P160" i="52"/>
  <c r="P9" i="52" s="1"/>
  <c r="M757" i="79"/>
  <c r="M784" i="79"/>
  <c r="V160" i="52"/>
  <c r="V9" i="52" s="1"/>
  <c r="N21" i="91" l="1"/>
  <c r="Q369" i="54"/>
  <c r="R369" i="54" s="1"/>
  <c r="S369" i="54" s="1"/>
  <c r="T369" i="54" s="1"/>
  <c r="U369" i="54" s="1"/>
  <c r="V369" i="54" s="1"/>
  <c r="H118" i="52"/>
  <c r="BH9" i="52"/>
  <c r="BJ9" i="52"/>
  <c r="J118" i="52"/>
  <c r="N118" i="52"/>
  <c r="M118" i="52"/>
  <c r="BG9" i="52"/>
  <c r="I118" i="52"/>
  <c r="BD9" i="52"/>
  <c r="BE9" i="52"/>
  <c r="BI9" i="52"/>
  <c r="BF9" i="52"/>
  <c r="K118" i="52"/>
  <c r="L118" i="52"/>
  <c r="N72" i="54"/>
  <c r="V542" i="59" s="1"/>
  <c r="O72" i="54"/>
  <c r="W542" i="59" s="1"/>
  <c r="W584" i="59" s="1"/>
  <c r="AY107" i="9" s="1"/>
  <c r="L72" i="54"/>
  <c r="T542" i="59" s="1"/>
  <c r="T605" i="59" s="1"/>
  <c r="K72" i="54"/>
  <c r="S542" i="59" s="1"/>
  <c r="S605" i="59" s="1"/>
  <c r="T30" i="54"/>
  <c r="R51" i="54"/>
  <c r="M72" i="54"/>
  <c r="U542" i="59" s="1"/>
  <c r="U584" i="59" s="1"/>
  <c r="AW107" i="9" s="1"/>
  <c r="P72" i="54"/>
  <c r="X542" i="59" s="1"/>
  <c r="X584" i="59" s="1"/>
  <c r="AZ107" i="9" s="1"/>
  <c r="L369" i="54"/>
  <c r="T678" i="59" s="1"/>
  <c r="J136" i="9"/>
  <c r="J219" i="9" s="1"/>
  <c r="J106" i="9"/>
  <c r="J123" i="9"/>
  <c r="K369" i="54"/>
  <c r="S678" i="59" s="1"/>
  <c r="L123" i="9"/>
  <c r="L106" i="9"/>
  <c r="L136" i="9"/>
  <c r="L219" i="9" s="1"/>
  <c r="I106" i="9"/>
  <c r="I123" i="9"/>
  <c r="I136" i="9"/>
  <c r="I219" i="9" s="1"/>
  <c r="K123" i="9"/>
  <c r="K106" i="9"/>
  <c r="K136" i="9"/>
  <c r="K219" i="9" s="1"/>
  <c r="H123" i="9"/>
  <c r="H136" i="9"/>
  <c r="H219" i="9" s="1"/>
  <c r="H106" i="9"/>
  <c r="AB714" i="59"/>
  <c r="Z735" i="59"/>
  <c r="Z777" i="59" s="1"/>
  <c r="M782" i="79"/>
  <c r="BJ166" i="52" s="1"/>
  <c r="M777" i="79"/>
  <c r="M751" i="79" s="1"/>
  <c r="N160" i="52" s="1"/>
  <c r="P166" i="52"/>
  <c r="P10" i="52" s="1"/>
  <c r="G770" i="79"/>
  <c r="K782" i="79"/>
  <c r="BH166" i="52" s="1"/>
  <c r="K777" i="79"/>
  <c r="K751" i="79" s="1"/>
  <c r="L160" i="52" s="1"/>
  <c r="K784" i="79"/>
  <c r="K757" i="79"/>
  <c r="T160" i="52"/>
  <c r="T9" i="52" s="1"/>
  <c r="H777" i="79"/>
  <c r="H751" i="79" s="1"/>
  <c r="I160" i="52" s="1"/>
  <c r="H782" i="79"/>
  <c r="BE166" i="52" s="1"/>
  <c r="G782" i="79"/>
  <c r="BD166" i="52" s="1"/>
  <c r="G777" i="79"/>
  <c r="G751" i="79" s="1"/>
  <c r="H160" i="52" s="1"/>
  <c r="L777" i="79"/>
  <c r="L751" i="79" s="1"/>
  <c r="M160" i="52" s="1"/>
  <c r="L782" i="79"/>
  <c r="BI166" i="52" s="1"/>
  <c r="I782" i="79"/>
  <c r="BF166" i="52" s="1"/>
  <c r="I777" i="79"/>
  <c r="I751" i="79" s="1"/>
  <c r="J160" i="52" s="1"/>
  <c r="L757" i="79"/>
  <c r="U160" i="52"/>
  <c r="U9" i="52" s="1"/>
  <c r="L784" i="79"/>
  <c r="M770" i="79"/>
  <c r="V166" i="52"/>
  <c r="V10" i="52" s="1"/>
  <c r="H770" i="79"/>
  <c r="Q166" i="52"/>
  <c r="Q10" i="52" s="1"/>
  <c r="R160" i="52"/>
  <c r="R9" i="52" s="1"/>
  <c r="I757" i="79"/>
  <c r="I784" i="79"/>
  <c r="J777" i="79"/>
  <c r="J751" i="79" s="1"/>
  <c r="K160" i="52" s="1"/>
  <c r="J782" i="79"/>
  <c r="BG166" i="52" s="1"/>
  <c r="J784" i="79"/>
  <c r="S160" i="52"/>
  <c r="S9" i="52" s="1"/>
  <c r="J757" i="79"/>
  <c r="Y678" i="59" l="1"/>
  <c r="BT107" i="9"/>
  <c r="I18" i="91"/>
  <c r="BQ107" i="9"/>
  <c r="F18" i="91"/>
  <c r="BS107" i="9"/>
  <c r="H18" i="91"/>
  <c r="BH10" i="52"/>
  <c r="BI10" i="52"/>
  <c r="Q370" i="54"/>
  <c r="R370" i="54" s="1"/>
  <c r="S370" i="54" s="1"/>
  <c r="T370" i="54" s="1"/>
  <c r="U370" i="54" s="1"/>
  <c r="V370" i="54" s="1"/>
  <c r="BG10" i="52"/>
  <c r="BF10" i="52"/>
  <c r="W605" i="59"/>
  <c r="W626" i="59" s="1"/>
  <c r="X605" i="59"/>
  <c r="X626" i="59" s="1"/>
  <c r="T584" i="59"/>
  <c r="AV107" i="9" s="1"/>
  <c r="H9" i="52"/>
  <c r="L9" i="52"/>
  <c r="Q72" i="54"/>
  <c r="Y542" i="59" s="1"/>
  <c r="S584" i="59"/>
  <c r="AU107" i="9" s="1"/>
  <c r="U605" i="59"/>
  <c r="U626" i="59" s="1"/>
  <c r="S51" i="54"/>
  <c r="I9" i="52"/>
  <c r="M9" i="52"/>
  <c r="K9" i="52"/>
  <c r="J9" i="52"/>
  <c r="U30" i="54"/>
  <c r="V30" i="54"/>
  <c r="N9" i="52"/>
  <c r="V605" i="59"/>
  <c r="V584" i="59"/>
  <c r="AX107" i="9" s="1"/>
  <c r="M369" i="54"/>
  <c r="U678" i="59" s="1"/>
  <c r="N369" i="54"/>
  <c r="V678" i="59" s="1"/>
  <c r="M123" i="9"/>
  <c r="M106" i="9"/>
  <c r="M136" i="9"/>
  <c r="M219" i="9" s="1"/>
  <c r="H209" i="9"/>
  <c r="I214" i="9"/>
  <c r="J214" i="9"/>
  <c r="H214" i="9"/>
  <c r="I209" i="9"/>
  <c r="J209" i="9"/>
  <c r="P369" i="54"/>
  <c r="X678" i="59" s="1"/>
  <c r="K370" i="54"/>
  <c r="S679" i="59" s="1"/>
  <c r="L209" i="9"/>
  <c r="O369" i="54"/>
  <c r="W678" i="59" s="1"/>
  <c r="K209" i="9"/>
  <c r="L214" i="9"/>
  <c r="L370" i="54"/>
  <c r="T679" i="59" s="1"/>
  <c r="G123" i="9"/>
  <c r="G136" i="9"/>
  <c r="G106" i="9"/>
  <c r="G260" i="9" s="1"/>
  <c r="K214" i="9"/>
  <c r="AA735" i="59"/>
  <c r="AA777" i="59" s="1"/>
  <c r="AC714" i="59"/>
  <c r="AD714" i="59"/>
  <c r="G778" i="79"/>
  <c r="G764" i="79" s="1"/>
  <c r="H166" i="52" s="1"/>
  <c r="BD10" i="52"/>
  <c r="H778" i="79"/>
  <c r="H764" i="79" s="1"/>
  <c r="I166" i="52" s="1"/>
  <c r="BE10" i="52"/>
  <c r="M778" i="79"/>
  <c r="M764" i="79" s="1"/>
  <c r="N166" i="52" s="1"/>
  <c r="BJ10" i="52"/>
  <c r="Z678" i="59"/>
  <c r="S166" i="52"/>
  <c r="S10" i="52" s="1"/>
  <c r="J770" i="79"/>
  <c r="L770" i="79"/>
  <c r="U166" i="52"/>
  <c r="U10" i="52" s="1"/>
  <c r="I770" i="79"/>
  <c r="R166" i="52"/>
  <c r="R10" i="52" s="1"/>
  <c r="I778" i="79"/>
  <c r="I764" i="79" s="1"/>
  <c r="J166" i="52" s="1"/>
  <c r="L778" i="79"/>
  <c r="L764" i="79" s="1"/>
  <c r="M166" i="52" s="1"/>
  <c r="K770" i="79"/>
  <c r="T166" i="52"/>
  <c r="T10" i="52" s="1"/>
  <c r="J778" i="79"/>
  <c r="J764" i="79" s="1"/>
  <c r="K166" i="52" s="1"/>
  <c r="K778" i="79"/>
  <c r="K764" i="79" s="1"/>
  <c r="L166" i="52" s="1"/>
  <c r="G845" i="79"/>
  <c r="L845" i="79"/>
  <c r="M845" i="79"/>
  <c r="M820" i="79" s="1"/>
  <c r="V161" i="52" s="1"/>
  <c r="V31" i="52" s="1"/>
  <c r="Q390" i="54" s="1"/>
  <c r="R390" i="54" s="1"/>
  <c r="S390" i="54" s="1"/>
  <c r="T390" i="54" s="1"/>
  <c r="U390" i="54" s="1"/>
  <c r="V390" i="54" s="1"/>
  <c r="H845" i="79"/>
  <c r="J845" i="79"/>
  <c r="I845" i="79"/>
  <c r="I818" i="79" s="1"/>
  <c r="BF161" i="52" s="1"/>
  <c r="K845" i="79"/>
  <c r="BO107" i="9" l="1"/>
  <c r="D18" i="91"/>
  <c r="BR107" i="9"/>
  <c r="G18" i="91"/>
  <c r="BP107" i="9"/>
  <c r="E18" i="91"/>
  <c r="Y679" i="59"/>
  <c r="Y699" i="59"/>
  <c r="I819" i="79"/>
  <c r="BF31" i="52"/>
  <c r="T626" i="59"/>
  <c r="L10" i="52"/>
  <c r="I10" i="52"/>
  <c r="Q124" i="54"/>
  <c r="R72" i="54"/>
  <c r="H10" i="52"/>
  <c r="S626" i="59"/>
  <c r="P124" i="54"/>
  <c r="P15" i="54" s="1"/>
  <c r="X485" i="59" s="1"/>
  <c r="Y605" i="59"/>
  <c r="Y584" i="59"/>
  <c r="BA107" i="9" s="1"/>
  <c r="Z542" i="59"/>
  <c r="M10" i="52"/>
  <c r="K10" i="52"/>
  <c r="L124" i="54"/>
  <c r="L15" i="54" s="1"/>
  <c r="T485" i="59" s="1"/>
  <c r="O124" i="54"/>
  <c r="O15" i="54" s="1"/>
  <c r="W485" i="59" s="1"/>
  <c r="T51" i="54"/>
  <c r="N124" i="54"/>
  <c r="N15" i="54" s="1"/>
  <c r="V485" i="59" s="1"/>
  <c r="J10" i="52"/>
  <c r="N10" i="52"/>
  <c r="V626" i="59"/>
  <c r="M124" i="54"/>
  <c r="M15" i="54" s="1"/>
  <c r="U485" i="59" s="1"/>
  <c r="K124" i="54"/>
  <c r="K15" i="54" s="1"/>
  <c r="S485" i="59" s="1"/>
  <c r="N370" i="54"/>
  <c r="V679" i="59" s="1"/>
  <c r="M209" i="9"/>
  <c r="M370" i="54"/>
  <c r="U679" i="59" s="1"/>
  <c r="N136" i="9"/>
  <c r="N219" i="9" s="1"/>
  <c r="N106" i="9"/>
  <c r="N123" i="9"/>
  <c r="M214" i="9"/>
  <c r="G209" i="9"/>
  <c r="P370" i="54"/>
  <c r="X679" i="59" s="1"/>
  <c r="G219" i="9"/>
  <c r="G272" i="9"/>
  <c r="G267" i="9"/>
  <c r="G214" i="9"/>
  <c r="O370" i="54"/>
  <c r="W679" i="59" s="1"/>
  <c r="AB735" i="59"/>
  <c r="AB777" i="59" s="1"/>
  <c r="AA678" i="59"/>
  <c r="Z679" i="59"/>
  <c r="I820" i="79"/>
  <c r="R161" i="52" s="1"/>
  <c r="R31" i="52" s="1"/>
  <c r="M390" i="54" s="1"/>
  <c r="H820" i="79"/>
  <c r="Q161" i="52" s="1"/>
  <c r="Q31" i="52" s="1"/>
  <c r="L390" i="54" s="1"/>
  <c r="H818" i="79"/>
  <c r="BE161" i="52" s="1"/>
  <c r="K820" i="79"/>
  <c r="T161" i="52" s="1"/>
  <c r="T31" i="52" s="1"/>
  <c r="O390" i="54" s="1"/>
  <c r="K818" i="79"/>
  <c r="BH161" i="52" s="1"/>
  <c r="J820" i="79"/>
  <c r="S161" i="52" s="1"/>
  <c r="S31" i="52" s="1"/>
  <c r="N390" i="54" s="1"/>
  <c r="J818" i="79"/>
  <c r="BG161" i="52" s="1"/>
  <c r="L820" i="79"/>
  <c r="U161" i="52" s="1"/>
  <c r="U31" i="52" s="1"/>
  <c r="P390" i="54" s="1"/>
  <c r="L818" i="79"/>
  <c r="BI161" i="52" s="1"/>
  <c r="M821" i="79"/>
  <c r="M758" i="79"/>
  <c r="G820" i="79"/>
  <c r="P161" i="52" s="1"/>
  <c r="P31" i="52" s="1"/>
  <c r="K390" i="54" s="1"/>
  <c r="G818" i="79"/>
  <c r="BD161" i="52" s="1"/>
  <c r="M818" i="79"/>
  <c r="BJ161" i="52" s="1"/>
  <c r="BU107" i="9" l="1"/>
  <c r="J18" i="91"/>
  <c r="BF167" i="52"/>
  <c r="BF32" i="52" s="1"/>
  <c r="Y626" i="59"/>
  <c r="Q125" i="54"/>
  <c r="N125" i="54"/>
  <c r="N16" i="54" s="1"/>
  <c r="V486" i="59" s="1"/>
  <c r="Q15" i="54"/>
  <c r="Y485" i="59" s="1"/>
  <c r="Z485" i="59" s="1"/>
  <c r="AA485" i="59" s="1"/>
  <c r="AB485" i="59" s="1"/>
  <c r="AC485" i="59" s="1"/>
  <c r="AD485" i="59" s="1"/>
  <c r="R124" i="54"/>
  <c r="M125" i="54"/>
  <c r="M16" i="54" s="1"/>
  <c r="U486" i="59" s="1"/>
  <c r="P125" i="54"/>
  <c r="P16" i="54" s="1"/>
  <c r="X486" i="59" s="1"/>
  <c r="K125" i="54"/>
  <c r="K16" i="54" s="1"/>
  <c r="S486" i="59" s="1"/>
  <c r="L125" i="54"/>
  <c r="L16" i="54" s="1"/>
  <c r="T486" i="59" s="1"/>
  <c r="AA542" i="59"/>
  <c r="Z605" i="59"/>
  <c r="S72" i="54"/>
  <c r="U51" i="54"/>
  <c r="V51" i="54"/>
  <c r="Z584" i="59"/>
  <c r="BB107" i="9" s="1"/>
  <c r="O125" i="54"/>
  <c r="O16" i="54" s="1"/>
  <c r="W486" i="59" s="1"/>
  <c r="G215" i="9" a="1"/>
  <c r="G215" i="9" s="1"/>
  <c r="G217" i="9" a="1"/>
  <c r="G217" i="9" s="1"/>
  <c r="H217" i="9" s="1" a="1"/>
  <c r="H217" i="9" s="1"/>
  <c r="I217" i="9" s="1" a="1"/>
  <c r="I217" i="9" s="1"/>
  <c r="J217" i="9" s="1" a="1"/>
  <c r="J217" i="9" s="1"/>
  <c r="K217" i="9" s="1" a="1"/>
  <c r="K217" i="9" s="1"/>
  <c r="L217" i="9" s="1" a="1"/>
  <c r="L217" i="9" s="1"/>
  <c r="M217" i="9" s="1" a="1"/>
  <c r="M217" i="9" s="1"/>
  <c r="G216" i="9" a="1"/>
  <c r="G216" i="9" s="1"/>
  <c r="H216" i="9" s="1" a="1"/>
  <c r="H216" i="9" s="1"/>
  <c r="I216" i="9" s="1" a="1"/>
  <c r="I216" i="9" s="1"/>
  <c r="J216" i="9" s="1" a="1"/>
  <c r="J216" i="9" s="1"/>
  <c r="K216" i="9" s="1" a="1"/>
  <c r="K216" i="9" s="1"/>
  <c r="L216" i="9" s="1" a="1"/>
  <c r="L216" i="9" s="1"/>
  <c r="M216" i="9" s="1" a="1"/>
  <c r="M216" i="9" s="1"/>
  <c r="N209" i="9"/>
  <c r="U699" i="59"/>
  <c r="T699" i="59"/>
  <c r="G211" i="9" a="1"/>
  <c r="G211" i="9" s="1"/>
  <c r="G210" i="9" a="1"/>
  <c r="G210" i="9" s="1"/>
  <c r="G212" i="9" a="1"/>
  <c r="G212" i="9" s="1"/>
  <c r="O136" i="9"/>
  <c r="O219" i="9" s="1"/>
  <c r="O106" i="9"/>
  <c r="O123" i="9"/>
  <c r="X699" i="59"/>
  <c r="G221" i="9" a="1"/>
  <c r="G221" i="9" s="1"/>
  <c r="H221" i="9" s="1" a="1"/>
  <c r="H221" i="9" s="1"/>
  <c r="I221" i="9" s="1" a="1"/>
  <c r="I221" i="9" s="1"/>
  <c r="J221" i="9" s="1" a="1"/>
  <c r="J221" i="9" s="1"/>
  <c r="K221" i="9" s="1" a="1"/>
  <c r="K221" i="9" s="1"/>
  <c r="L221" i="9" s="1" a="1"/>
  <c r="L221" i="9" s="1"/>
  <c r="M221" i="9" s="1" a="1"/>
  <c r="M221" i="9" s="1"/>
  <c r="G222" i="9" a="1"/>
  <c r="G222" i="9" s="1"/>
  <c r="H222" i="9" s="1" a="1"/>
  <c r="H222" i="9" s="1"/>
  <c r="I222" i="9" s="1" a="1"/>
  <c r="I222" i="9" s="1"/>
  <c r="J222" i="9" s="1" a="1"/>
  <c r="J222" i="9" s="1"/>
  <c r="K222" i="9" s="1" a="1"/>
  <c r="K222" i="9" s="1"/>
  <c r="L222" i="9" s="1" a="1"/>
  <c r="L222" i="9" s="1"/>
  <c r="M222" i="9" s="1" a="1"/>
  <c r="M222" i="9" s="1"/>
  <c r="G220" i="9" a="1"/>
  <c r="G220" i="9" s="1"/>
  <c r="S699" i="59"/>
  <c r="W699" i="59"/>
  <c r="V699" i="59"/>
  <c r="N214" i="9"/>
  <c r="AD735" i="59"/>
  <c r="AD777" i="59" s="1"/>
  <c r="AC735" i="59"/>
  <c r="AC777" i="59" s="1"/>
  <c r="AA679" i="59"/>
  <c r="Z699" i="59"/>
  <c r="AB678" i="59"/>
  <c r="M771" i="79"/>
  <c r="V167" i="52"/>
  <c r="V32" i="52" s="1"/>
  <c r="Q391" i="54" s="1"/>
  <c r="R391" i="54" s="1"/>
  <c r="S391" i="54" s="1"/>
  <c r="T391" i="54" s="1"/>
  <c r="U391" i="54" s="1"/>
  <c r="V391" i="54" s="1"/>
  <c r="J758" i="79"/>
  <c r="J821" i="79"/>
  <c r="K821" i="79"/>
  <c r="K758" i="79"/>
  <c r="H814" i="79"/>
  <c r="H752" i="79" s="1"/>
  <c r="I161" i="52" s="1"/>
  <c r="BE31" i="52"/>
  <c r="H819" i="79"/>
  <c r="BE167" i="52" s="1"/>
  <c r="K814" i="79"/>
  <c r="K752" i="79" s="1"/>
  <c r="L161" i="52" s="1"/>
  <c r="BH31" i="52"/>
  <c r="K819" i="79"/>
  <c r="BH167" i="52" s="1"/>
  <c r="H821" i="79"/>
  <c r="H758" i="79"/>
  <c r="L819" i="79"/>
  <c r="BI167" i="52" s="1"/>
  <c r="L814" i="79"/>
  <c r="L752" i="79" s="1"/>
  <c r="M161" i="52" s="1"/>
  <c r="BI31" i="52"/>
  <c r="I758" i="79"/>
  <c r="I821" i="79"/>
  <c r="R167" i="52" s="1"/>
  <c r="R32" i="52" s="1"/>
  <c r="M391" i="54" s="1"/>
  <c r="G821" i="79"/>
  <c r="G758" i="79"/>
  <c r="M819" i="79"/>
  <c r="BJ167" i="52" s="1"/>
  <c r="BJ31" i="52"/>
  <c r="M814" i="79"/>
  <c r="M752" i="79" s="1"/>
  <c r="N161" i="52" s="1"/>
  <c r="L758" i="79"/>
  <c r="L821" i="79"/>
  <c r="BD31" i="52"/>
  <c r="G814" i="79"/>
  <c r="G752" i="79" s="1"/>
  <c r="H161" i="52" s="1"/>
  <c r="G819" i="79"/>
  <c r="BD167" i="52" s="1"/>
  <c r="J814" i="79"/>
  <c r="J752" i="79" s="1"/>
  <c r="K161" i="52" s="1"/>
  <c r="J819" i="79"/>
  <c r="BG167" i="52" s="1"/>
  <c r="BG31" i="52"/>
  <c r="I814" i="79"/>
  <c r="I752" i="79" s="1"/>
  <c r="J161" i="52" s="1"/>
  <c r="N27" i="91" l="1"/>
  <c r="N29" i="91" s="1"/>
  <c r="N22" i="91"/>
  <c r="N23" i="91" s="1"/>
  <c r="BV107" i="9"/>
  <c r="Y700" i="59"/>
  <c r="Z626" i="59"/>
  <c r="AA605" i="59"/>
  <c r="AB542" i="59"/>
  <c r="K31" i="52"/>
  <c r="N145" i="54" s="1"/>
  <c r="R15" i="54"/>
  <c r="S124" i="54"/>
  <c r="H31" i="52"/>
  <c r="K145" i="54" s="1"/>
  <c r="AA584" i="59"/>
  <c r="BC107" i="9" s="1"/>
  <c r="N31" i="52"/>
  <c r="Q145" i="54" s="1"/>
  <c r="R145" i="54" s="1"/>
  <c r="S145" i="54" s="1"/>
  <c r="T145" i="54" s="1"/>
  <c r="U145" i="54" s="1"/>
  <c r="V145" i="54" s="1"/>
  <c r="M31" i="52"/>
  <c r="P145" i="54" s="1"/>
  <c r="I31" i="52"/>
  <c r="L145" i="54" s="1"/>
  <c r="L31" i="52"/>
  <c r="O145" i="54" s="1"/>
  <c r="T72" i="54"/>
  <c r="J31" i="52"/>
  <c r="M145" i="54" s="1"/>
  <c r="Q16" i="54"/>
  <c r="Y486" i="59" s="1"/>
  <c r="Z486" i="59" s="1"/>
  <c r="AA486" i="59" s="1"/>
  <c r="AB486" i="59" s="1"/>
  <c r="AC486" i="59" s="1"/>
  <c r="AD486" i="59" s="1"/>
  <c r="R125" i="54"/>
  <c r="H212" i="9" a="1"/>
  <c r="H212" i="9" s="1"/>
  <c r="G100" i="9"/>
  <c r="F22" i="8" s="1"/>
  <c r="G120" i="9"/>
  <c r="H210" i="9" a="1"/>
  <c r="H210" i="9" s="1"/>
  <c r="G169" i="9"/>
  <c r="F44" i="8" s="1"/>
  <c r="H211" i="9" a="1"/>
  <c r="H211" i="9" s="1"/>
  <c r="N217" i="9" a="1"/>
  <c r="N217" i="9" s="1"/>
  <c r="N222" i="9" a="1"/>
  <c r="N222" i="9" s="1"/>
  <c r="N216" i="9" a="1"/>
  <c r="N216" i="9" s="1"/>
  <c r="N221" i="9" a="1"/>
  <c r="N221" i="9" s="1"/>
  <c r="U700" i="59"/>
  <c r="O214" i="9"/>
  <c r="O209" i="9"/>
  <c r="G142" i="9"/>
  <c r="G137" i="9" s="1"/>
  <c r="H220" i="9" a="1"/>
  <c r="H220" i="9" s="1"/>
  <c r="P106" i="9"/>
  <c r="P123" i="9"/>
  <c r="P136" i="9"/>
  <c r="P219" i="9" s="1"/>
  <c r="G133" i="9"/>
  <c r="H215" i="9" a="1"/>
  <c r="H215" i="9" s="1"/>
  <c r="AD678" i="59"/>
  <c r="AC678" i="59"/>
  <c r="AA699" i="59"/>
  <c r="AB679" i="59"/>
  <c r="H771" i="79"/>
  <c r="Q167" i="52"/>
  <c r="Q32" i="52" s="1"/>
  <c r="L391" i="54" s="1"/>
  <c r="K771" i="79"/>
  <c r="T167" i="52"/>
  <c r="T32" i="52" s="1"/>
  <c r="O391" i="54" s="1"/>
  <c r="G771" i="79"/>
  <c r="P167" i="52"/>
  <c r="P32" i="52" s="1"/>
  <c r="K391" i="54" s="1"/>
  <c r="J771" i="79"/>
  <c r="S167" i="52"/>
  <c r="S32" i="52" s="1"/>
  <c r="N391" i="54" s="1"/>
  <c r="L771" i="79"/>
  <c r="U167" i="52"/>
  <c r="U32" i="52" s="1"/>
  <c r="P391" i="54" s="1"/>
  <c r="H815" i="79"/>
  <c r="H765" i="79" s="1"/>
  <c r="I167" i="52" s="1"/>
  <c r="BE32" i="52"/>
  <c r="L815" i="79"/>
  <c r="L765" i="79" s="1"/>
  <c r="M167" i="52" s="1"/>
  <c r="BI32" i="52"/>
  <c r="M815" i="79"/>
  <c r="M765" i="79" s="1"/>
  <c r="N167" i="52" s="1"/>
  <c r="BJ32" i="52"/>
  <c r="G815" i="79"/>
  <c r="G765" i="79" s="1"/>
  <c r="H167" i="52" s="1"/>
  <c r="BD32" i="52"/>
  <c r="BG32" i="52"/>
  <c r="J815" i="79"/>
  <c r="J765" i="79" s="1"/>
  <c r="K167" i="52" s="1"/>
  <c r="BH32" i="52"/>
  <c r="K815" i="79"/>
  <c r="K765" i="79" s="1"/>
  <c r="L167" i="52" s="1"/>
  <c r="I771" i="79"/>
  <c r="I815" i="79"/>
  <c r="I765" i="79" s="1"/>
  <c r="J167" i="52" s="1"/>
  <c r="L882" i="79"/>
  <c r="L855" i="79" s="1"/>
  <c r="BI162" i="52" s="1"/>
  <c r="G882" i="79"/>
  <c r="G857" i="79" s="1"/>
  <c r="P162" i="52" s="1"/>
  <c r="P53" i="52" s="1"/>
  <c r="K411" i="54" s="1"/>
  <c r="H882" i="79"/>
  <c r="H857" i="79" s="1"/>
  <c r="Q162" i="52" s="1"/>
  <c r="Q53" i="52" s="1"/>
  <c r="L411" i="54" s="1"/>
  <c r="M882" i="79"/>
  <c r="M857" i="79" s="1"/>
  <c r="V162" i="52" s="1"/>
  <c r="V53" i="52" s="1"/>
  <c r="Q411" i="54" s="1"/>
  <c r="R411" i="54" s="1"/>
  <c r="S411" i="54" s="1"/>
  <c r="T411" i="54" s="1"/>
  <c r="U411" i="54" s="1"/>
  <c r="V411" i="54" s="1"/>
  <c r="I882" i="79"/>
  <c r="K882" i="79"/>
  <c r="K857" i="79" s="1"/>
  <c r="T162" i="52" s="1"/>
  <c r="T53" i="52" s="1"/>
  <c r="O411" i="54" s="1"/>
  <c r="J882" i="79"/>
  <c r="BW107" i="9" l="1"/>
  <c r="M36" i="54"/>
  <c r="U506" i="59" s="1"/>
  <c r="P36" i="54"/>
  <c r="X506" i="59" s="1"/>
  <c r="K36" i="54"/>
  <c r="S506" i="59" s="1"/>
  <c r="N32" i="52"/>
  <c r="Q146" i="54" s="1"/>
  <c r="R146" i="54" s="1"/>
  <c r="S146" i="54" s="1"/>
  <c r="T146" i="54" s="1"/>
  <c r="U146" i="54" s="1"/>
  <c r="V146" i="54" s="1"/>
  <c r="U72" i="54"/>
  <c r="V72" i="54"/>
  <c r="I32" i="52"/>
  <c r="L146" i="54" s="1"/>
  <c r="M32" i="52"/>
  <c r="P146" i="54" s="1"/>
  <c r="O36" i="54"/>
  <c r="W506" i="59" s="1"/>
  <c r="AB584" i="59"/>
  <c r="BD107" i="9" s="1"/>
  <c r="N36" i="54"/>
  <c r="V506" i="59" s="1"/>
  <c r="S15" i="54"/>
  <c r="T124" i="54"/>
  <c r="H32" i="52"/>
  <c r="K146" i="54" s="1"/>
  <c r="R16" i="54"/>
  <c r="S125" i="54"/>
  <c r="AB605" i="59"/>
  <c r="AC542" i="59"/>
  <c r="L32" i="52"/>
  <c r="O146" i="54" s="1"/>
  <c r="K32" i="52"/>
  <c r="N146" i="54" s="1"/>
  <c r="J32" i="52"/>
  <c r="M146" i="54" s="1"/>
  <c r="L36" i="54"/>
  <c r="T506" i="59" s="1"/>
  <c r="AA626" i="59"/>
  <c r="O216" i="9" a="1"/>
  <c r="O216" i="9" s="1"/>
  <c r="H142" i="9"/>
  <c r="H137" i="9" s="1"/>
  <c r="I220" i="9" a="1"/>
  <c r="I220" i="9" s="1"/>
  <c r="I212" i="9" a="1"/>
  <c r="I212" i="9" s="1"/>
  <c r="H100" i="9"/>
  <c r="G22" i="8" s="1"/>
  <c r="W720" i="59"/>
  <c r="S700" i="59"/>
  <c r="G135" i="9"/>
  <c r="G228" i="9"/>
  <c r="G233" i="9"/>
  <c r="F29" i="8"/>
  <c r="G181" i="9"/>
  <c r="O221" i="9" a="1"/>
  <c r="O221" i="9" s="1"/>
  <c r="W700" i="59"/>
  <c r="I211" i="9" a="1"/>
  <c r="I211" i="9" s="1"/>
  <c r="H169" i="9"/>
  <c r="G44" i="8" s="1"/>
  <c r="O222" i="9" a="1"/>
  <c r="O222" i="9" s="1"/>
  <c r="S720" i="59"/>
  <c r="T700" i="59"/>
  <c r="H133" i="9"/>
  <c r="I215" i="9" a="1"/>
  <c r="I215" i="9" s="1"/>
  <c r="P214" i="9"/>
  <c r="O217" i="9" a="1"/>
  <c r="O217" i="9" s="1"/>
  <c r="T720" i="59"/>
  <c r="G124" i="9"/>
  <c r="P209" i="9"/>
  <c r="H120" i="9"/>
  <c r="I210" i="9" a="1"/>
  <c r="I210" i="9" s="1"/>
  <c r="X700" i="59"/>
  <c r="V700" i="59"/>
  <c r="Q136" i="9"/>
  <c r="Q219" i="9" s="1"/>
  <c r="Q123" i="9"/>
  <c r="Q106" i="9"/>
  <c r="G114" i="9"/>
  <c r="G110" i="9"/>
  <c r="AD679" i="59"/>
  <c r="AC679" i="59"/>
  <c r="Y720" i="59"/>
  <c r="AB699" i="59"/>
  <c r="Z700" i="59"/>
  <c r="M855" i="79"/>
  <c r="BJ162" i="52" s="1"/>
  <c r="L857" i="79"/>
  <c r="K858" i="79"/>
  <c r="K759" i="79"/>
  <c r="I857" i="79"/>
  <c r="R162" i="52" s="1"/>
  <c r="R53" i="52" s="1"/>
  <c r="M411" i="54" s="1"/>
  <c r="I855" i="79"/>
  <c r="BF162" i="52" s="1"/>
  <c r="G855" i="79"/>
  <c r="BD162" i="52" s="1"/>
  <c r="M858" i="79"/>
  <c r="M759" i="79"/>
  <c r="BI53" i="52"/>
  <c r="L856" i="79"/>
  <c r="BI168" i="52" s="1"/>
  <c r="K855" i="79"/>
  <c r="BH162" i="52" s="1"/>
  <c r="G858" i="79"/>
  <c r="G759" i="79"/>
  <c r="J855" i="79"/>
  <c r="BG162" i="52" s="1"/>
  <c r="J857" i="79"/>
  <c r="S162" i="52" s="1"/>
  <c r="S53" i="52" s="1"/>
  <c r="N411" i="54" s="1"/>
  <c r="H759" i="79"/>
  <c r="H858" i="79"/>
  <c r="H855" i="79"/>
  <c r="BE162" i="52" s="1"/>
  <c r="BX107" i="9" l="1"/>
  <c r="M851" i="79"/>
  <c r="M753" i="79" s="1"/>
  <c r="N162" i="52" s="1"/>
  <c r="N53" i="52" s="1"/>
  <c r="Q166" i="54" s="1"/>
  <c r="R166" i="54" s="1"/>
  <c r="S166" i="54" s="1"/>
  <c r="T166" i="54" s="1"/>
  <c r="U166" i="54" s="1"/>
  <c r="V166" i="54" s="1"/>
  <c r="BJ53" i="52"/>
  <c r="AB626" i="59"/>
  <c r="S16" i="54"/>
  <c r="T125" i="54"/>
  <c r="AD542" i="59"/>
  <c r="AD605" i="59" s="1"/>
  <c r="AC605" i="59"/>
  <c r="M37" i="54"/>
  <c r="U507" i="59" s="1"/>
  <c r="L37" i="54"/>
  <c r="T507" i="59" s="1"/>
  <c r="N37" i="54"/>
  <c r="V507" i="59" s="1"/>
  <c r="K37" i="54"/>
  <c r="S507" i="59" s="1"/>
  <c r="AC584" i="59"/>
  <c r="BE107" i="9" s="1"/>
  <c r="P37" i="54"/>
  <c r="X507" i="59" s="1"/>
  <c r="T15" i="54"/>
  <c r="U124" i="54"/>
  <c r="O37" i="54"/>
  <c r="W507" i="59" s="1"/>
  <c r="Q36" i="54"/>
  <c r="Y506" i="59" s="1"/>
  <c r="Z506" i="59" s="1"/>
  <c r="AA506" i="59" s="1"/>
  <c r="AB506" i="59" s="1"/>
  <c r="AC506" i="59" s="1"/>
  <c r="AD506" i="59" s="1"/>
  <c r="G108" i="9"/>
  <c r="F26" i="8"/>
  <c r="G238" i="9"/>
  <c r="G147" i="9"/>
  <c r="G145" i="9" s="1"/>
  <c r="G178" i="9"/>
  <c r="G225" i="9"/>
  <c r="G230" i="9"/>
  <c r="G74" i="9" s="1"/>
  <c r="G70" i="9" s="1"/>
  <c r="G105" i="9"/>
  <c r="R136" i="9"/>
  <c r="R219" i="9" s="1"/>
  <c r="R106" i="9"/>
  <c r="R123" i="9"/>
  <c r="I120" i="9"/>
  <c r="J210" i="9" a="1"/>
  <c r="J210" i="9" s="1"/>
  <c r="J211" i="9" a="1"/>
  <c r="J211" i="9" s="1"/>
  <c r="I169" i="9"/>
  <c r="H44" i="8" s="1"/>
  <c r="V720" i="59"/>
  <c r="U720" i="59"/>
  <c r="H110" i="9"/>
  <c r="H114" i="9"/>
  <c r="G227" i="9"/>
  <c r="G232" i="9"/>
  <c r="G94" i="9" s="1"/>
  <c r="G90" i="9" s="1"/>
  <c r="G86" i="9" s="1"/>
  <c r="G60" i="9" s="1"/>
  <c r="G151" i="9"/>
  <c r="G149" i="9" s="1"/>
  <c r="F36" i="8" s="1"/>
  <c r="F28" i="8"/>
  <c r="G180" i="9"/>
  <c r="G122" i="9"/>
  <c r="G231" i="9"/>
  <c r="G85" i="9" s="1"/>
  <c r="G81" i="9" s="1"/>
  <c r="G226" i="9"/>
  <c r="F27" i="8"/>
  <c r="G179" i="9"/>
  <c r="G174" i="9" s="1"/>
  <c r="P221" i="9" a="1"/>
  <c r="P221" i="9" s="1"/>
  <c r="P222" i="9" a="1"/>
  <c r="P222" i="9" s="1"/>
  <c r="P217" i="9" a="1"/>
  <c r="P217" i="9" s="1"/>
  <c r="P216" i="9" a="1"/>
  <c r="P216" i="9" s="1"/>
  <c r="Q209" i="9"/>
  <c r="I133" i="9"/>
  <c r="J215" i="9" a="1"/>
  <c r="J215" i="9" s="1"/>
  <c r="G176" i="9"/>
  <c r="F42" i="8"/>
  <c r="F53" i="8"/>
  <c r="Q214" i="9"/>
  <c r="H124" i="9"/>
  <c r="I142" i="9"/>
  <c r="I137" i="9" s="1"/>
  <c r="J220" i="9" a="1"/>
  <c r="J220" i="9" s="1"/>
  <c r="J212" i="9" a="1"/>
  <c r="J212" i="9" s="1"/>
  <c r="I100" i="9"/>
  <c r="H22" i="8" s="1"/>
  <c r="H135" i="9"/>
  <c r="H228" i="9"/>
  <c r="H233" i="9"/>
  <c r="G29" i="8"/>
  <c r="H181" i="9"/>
  <c r="AA700" i="59"/>
  <c r="AD699" i="59"/>
  <c r="AC699" i="59"/>
  <c r="Z720" i="59"/>
  <c r="H772" i="79"/>
  <c r="Q168" i="52"/>
  <c r="Q54" i="52" s="1"/>
  <c r="L412" i="54" s="1"/>
  <c r="M772" i="79"/>
  <c r="V168" i="52"/>
  <c r="V54" i="52" s="1"/>
  <c r="Q412" i="54" s="1"/>
  <c r="R412" i="54" s="1"/>
  <c r="S412" i="54" s="1"/>
  <c r="T412" i="54" s="1"/>
  <c r="U412" i="54" s="1"/>
  <c r="V412" i="54" s="1"/>
  <c r="G772" i="79"/>
  <c r="P168" i="52"/>
  <c r="P54" i="52" s="1"/>
  <c r="K412" i="54" s="1"/>
  <c r="K772" i="79"/>
  <c r="T168" i="52"/>
  <c r="T54" i="52" s="1"/>
  <c r="O412" i="54" s="1"/>
  <c r="L851" i="79"/>
  <c r="L753" i="79" s="1"/>
  <c r="M162" i="52" s="1"/>
  <c r="U162" i="52"/>
  <c r="U53" i="52" s="1"/>
  <c r="P411" i="54" s="1"/>
  <c r="L858" i="79"/>
  <c r="L852" i="79" s="1"/>
  <c r="L766" i="79" s="1"/>
  <c r="M168" i="52" s="1"/>
  <c r="L759" i="79"/>
  <c r="M856" i="79"/>
  <c r="BJ168" i="52" s="1"/>
  <c r="BG53" i="52"/>
  <c r="J856" i="79"/>
  <c r="BG168" i="52" s="1"/>
  <c r="J851" i="79"/>
  <c r="J753" i="79" s="1"/>
  <c r="K162" i="52" s="1"/>
  <c r="G851" i="79"/>
  <c r="G753" i="79" s="1"/>
  <c r="H162" i="52" s="1"/>
  <c r="BD53" i="52"/>
  <c r="G856" i="79"/>
  <c r="BD168" i="52" s="1"/>
  <c r="I856" i="79"/>
  <c r="BF168" i="52" s="1"/>
  <c r="I851" i="79"/>
  <c r="I753" i="79" s="1"/>
  <c r="J162" i="52" s="1"/>
  <c r="BF53" i="52"/>
  <c r="J858" i="79"/>
  <c r="J759" i="79"/>
  <c r="K856" i="79"/>
  <c r="BH168" i="52" s="1"/>
  <c r="BH53" i="52"/>
  <c r="K851" i="79"/>
  <c r="K753" i="79" s="1"/>
  <c r="L162" i="52" s="1"/>
  <c r="I858" i="79"/>
  <c r="I759" i="79"/>
  <c r="H856" i="79"/>
  <c r="BE168" i="52" s="1"/>
  <c r="BE53" i="52"/>
  <c r="H851" i="79"/>
  <c r="H753" i="79" s="1"/>
  <c r="I162" i="52" s="1"/>
  <c r="BI54" i="52"/>
  <c r="BY107" i="9" l="1"/>
  <c r="BJ54" i="52"/>
  <c r="Y721" i="59"/>
  <c r="AC626" i="59"/>
  <c r="U15" i="54"/>
  <c r="V124" i="54"/>
  <c r="V15" i="54" s="1"/>
  <c r="M54" i="52"/>
  <c r="P167" i="54" s="1"/>
  <c r="K53" i="52"/>
  <c r="N166" i="54" s="1"/>
  <c r="H53" i="52"/>
  <c r="K166" i="54" s="1"/>
  <c r="I53" i="52"/>
  <c r="L166" i="54" s="1"/>
  <c r="M53" i="52"/>
  <c r="P166" i="54" s="1"/>
  <c r="R36" i="54"/>
  <c r="J53" i="52"/>
  <c r="M166" i="54" s="1"/>
  <c r="AD584" i="59"/>
  <c r="BF107" i="9" s="1"/>
  <c r="T16" i="54"/>
  <c r="U125" i="54"/>
  <c r="L53" i="52"/>
  <c r="O166" i="54" s="1"/>
  <c r="Q37" i="54"/>
  <c r="Y507" i="59" s="1"/>
  <c r="Z507" i="59" s="1"/>
  <c r="AA507" i="59" s="1"/>
  <c r="AB507" i="59" s="1"/>
  <c r="AC507" i="59" s="1"/>
  <c r="AD507" i="59" s="1"/>
  <c r="G239" i="9"/>
  <c r="F46" i="8" s="1"/>
  <c r="F25" i="8"/>
  <c r="G187" i="9"/>
  <c r="F56" i="8" s="1"/>
  <c r="X720" i="59"/>
  <c r="T721" i="59"/>
  <c r="J142" i="9"/>
  <c r="J137" i="9" s="1"/>
  <c r="K220" i="9" a="1"/>
  <c r="K220" i="9" s="1"/>
  <c r="G104" i="9"/>
  <c r="I135" i="9"/>
  <c r="I233" i="9"/>
  <c r="I228" i="9"/>
  <c r="H29" i="8"/>
  <c r="I181" i="9"/>
  <c r="F41" i="8"/>
  <c r="G175" i="9"/>
  <c r="F52" i="8"/>
  <c r="W721" i="59"/>
  <c r="G182" i="9"/>
  <c r="J133" i="9"/>
  <c r="K215" i="9" a="1"/>
  <c r="K215" i="9" s="1"/>
  <c r="J120" i="9"/>
  <c r="K210" i="9" a="1"/>
  <c r="K210" i="9" s="1"/>
  <c r="F40" i="8"/>
  <c r="G177" i="9"/>
  <c r="F51" i="8"/>
  <c r="G173" i="9"/>
  <c r="S721" i="59"/>
  <c r="G28" i="8"/>
  <c r="H232" i="9"/>
  <c r="H94" i="9" s="1"/>
  <c r="H90" i="9" s="1"/>
  <c r="H86" i="9" s="1"/>
  <c r="H60" i="9" s="1"/>
  <c r="H227" i="9"/>
  <c r="H151" i="9"/>
  <c r="H149" i="9" s="1"/>
  <c r="G36" i="8" s="1"/>
  <c r="H180" i="9"/>
  <c r="H122" i="9"/>
  <c r="I124" i="9"/>
  <c r="F19" i="8"/>
  <c r="G48" i="9"/>
  <c r="I114" i="9"/>
  <c r="I110" i="9"/>
  <c r="G144" i="9"/>
  <c r="F35" i="8" s="1"/>
  <c r="F33" i="8" s="1"/>
  <c r="J100" i="9"/>
  <c r="I22" i="8" s="1"/>
  <c r="K212" i="9" a="1"/>
  <c r="K212" i="9" s="1"/>
  <c r="J169" i="9"/>
  <c r="I44" i="8" s="1"/>
  <c r="K211" i="9" a="1"/>
  <c r="K211" i="9" s="1"/>
  <c r="R214" i="9"/>
  <c r="G236" i="9"/>
  <c r="H231" i="9"/>
  <c r="H85" i="9" s="1"/>
  <c r="H81" i="9" s="1"/>
  <c r="H179" i="9"/>
  <c r="H174" i="9" s="1"/>
  <c r="G27" i="8"/>
  <c r="H226" i="9"/>
  <c r="R209" i="9"/>
  <c r="G53" i="8"/>
  <c r="G42" i="8"/>
  <c r="H176" i="9"/>
  <c r="Q217" i="9" a="1"/>
  <c r="Q217" i="9" s="1"/>
  <c r="Q216" i="9" a="1"/>
  <c r="Q216" i="9" s="1"/>
  <c r="Q221" i="9" a="1"/>
  <c r="Q221" i="9" s="1"/>
  <c r="Q222" i="9" a="1"/>
  <c r="Q222" i="9" s="1"/>
  <c r="H238" i="9"/>
  <c r="H230" i="9"/>
  <c r="H178" i="9"/>
  <c r="H108" i="9"/>
  <c r="H225" i="9"/>
  <c r="G26" i="8"/>
  <c r="H147" i="9"/>
  <c r="H145" i="9" s="1"/>
  <c r="H105" i="9"/>
  <c r="AA720" i="59"/>
  <c r="AB700" i="59"/>
  <c r="M852" i="79"/>
  <c r="M766" i="79" s="1"/>
  <c r="N168" i="52" s="1"/>
  <c r="I772" i="79"/>
  <c r="R168" i="52"/>
  <c r="R54" i="52" s="1"/>
  <c r="M412" i="54" s="1"/>
  <c r="J772" i="79"/>
  <c r="S168" i="52"/>
  <c r="S54" i="52" s="1"/>
  <c r="N412" i="54" s="1"/>
  <c r="L772" i="79"/>
  <c r="U168" i="52"/>
  <c r="U54" i="52" s="1"/>
  <c r="P412" i="54" s="1"/>
  <c r="BF54" i="52"/>
  <c r="I852" i="79"/>
  <c r="I766" i="79" s="1"/>
  <c r="J168" i="52" s="1"/>
  <c r="G852" i="79"/>
  <c r="G766" i="79" s="1"/>
  <c r="H168" i="52" s="1"/>
  <c r="BD54" i="52"/>
  <c r="K852" i="79"/>
  <c r="K766" i="79" s="1"/>
  <c r="L168" i="52" s="1"/>
  <c r="BH54" i="52"/>
  <c r="BE54" i="52"/>
  <c r="H852" i="79"/>
  <c r="H766" i="79" s="1"/>
  <c r="I168" i="52" s="1"/>
  <c r="J852" i="79"/>
  <c r="J766" i="79" s="1"/>
  <c r="K168" i="52" s="1"/>
  <c r="BG54" i="52"/>
  <c r="M919" i="79"/>
  <c r="K919" i="79"/>
  <c r="K894" i="79" s="1"/>
  <c r="T163" i="52" s="1"/>
  <c r="T75" i="52" s="1"/>
  <c r="O432" i="54" s="1"/>
  <c r="L919" i="79"/>
  <c r="J919" i="79"/>
  <c r="G919" i="79"/>
  <c r="I919" i="79"/>
  <c r="H919" i="79"/>
  <c r="H894" i="79" s="1"/>
  <c r="Q163" i="52" s="1"/>
  <c r="Q75" i="52" s="1"/>
  <c r="L432" i="54" s="1"/>
  <c r="BZ107" i="9" l="1"/>
  <c r="K57" i="54"/>
  <c r="S527" i="59" s="1"/>
  <c r="H54" i="52"/>
  <c r="K167" i="54" s="1"/>
  <c r="J54" i="52"/>
  <c r="M167" i="54" s="1"/>
  <c r="P57" i="54"/>
  <c r="X527" i="59" s="1"/>
  <c r="N57" i="54"/>
  <c r="V527" i="59" s="1"/>
  <c r="L54" i="52"/>
  <c r="O167" i="54" s="1"/>
  <c r="U16" i="54"/>
  <c r="V125" i="54"/>
  <c r="V16" i="54" s="1"/>
  <c r="N54" i="52"/>
  <c r="Q167" i="54" s="1"/>
  <c r="R167" i="54" s="1"/>
  <c r="S167" i="54" s="1"/>
  <c r="T167" i="54" s="1"/>
  <c r="U167" i="54" s="1"/>
  <c r="V167" i="54" s="1"/>
  <c r="K54" i="52"/>
  <c r="N167" i="54" s="1"/>
  <c r="R37" i="54"/>
  <c r="AD626" i="59"/>
  <c r="S36" i="54"/>
  <c r="L57" i="54"/>
  <c r="T527" i="59" s="1"/>
  <c r="P58" i="54"/>
  <c r="X528" i="59" s="1"/>
  <c r="I54" i="52"/>
  <c r="L167" i="54" s="1"/>
  <c r="O57" i="54"/>
  <c r="W527" i="59" s="1"/>
  <c r="M57" i="54"/>
  <c r="U527" i="59" s="1"/>
  <c r="Q57" i="54"/>
  <c r="Y527" i="59" s="1"/>
  <c r="Z527" i="59" s="1"/>
  <c r="AA527" i="59" s="1"/>
  <c r="AB527" i="59" s="1"/>
  <c r="AC527" i="59" s="1"/>
  <c r="AD527" i="59" s="1"/>
  <c r="H104" i="9"/>
  <c r="F39" i="8"/>
  <c r="F23" i="8" s="1"/>
  <c r="G25" i="8"/>
  <c r="H144" i="9"/>
  <c r="G35" i="8" s="1"/>
  <c r="G33" i="8" s="1"/>
  <c r="G171" i="9"/>
  <c r="V721" i="59"/>
  <c r="K100" i="9"/>
  <c r="J22" i="8" s="1"/>
  <c r="L212" i="9" a="1"/>
  <c r="L212" i="9" s="1"/>
  <c r="H187" i="9"/>
  <c r="G56" i="8" s="1"/>
  <c r="H182" i="9"/>
  <c r="R221" i="9" a="1"/>
  <c r="R221" i="9" s="1"/>
  <c r="R216" i="9" a="1"/>
  <c r="R216" i="9" s="1"/>
  <c r="R217" i="9" a="1"/>
  <c r="R217" i="9" s="1"/>
  <c r="R222" i="9" a="1"/>
  <c r="R222" i="9" s="1"/>
  <c r="I151" i="9"/>
  <c r="I149" i="9" s="1"/>
  <c r="H36" i="8" s="1"/>
  <c r="I180" i="9"/>
  <c r="I227" i="9"/>
  <c r="I232" i="9"/>
  <c r="I94" i="9" s="1"/>
  <c r="I90" i="9" s="1"/>
  <c r="I86" i="9" s="1"/>
  <c r="I60" i="9" s="1"/>
  <c r="H28" i="8"/>
  <c r="I122" i="9"/>
  <c r="U721" i="59"/>
  <c r="K142" i="9"/>
  <c r="K137" i="9" s="1"/>
  <c r="L220" i="9" a="1"/>
  <c r="L220" i="9" s="1"/>
  <c r="W741" i="59"/>
  <c r="G40" i="8"/>
  <c r="H173" i="9"/>
  <c r="G51" i="8"/>
  <c r="H177" i="9"/>
  <c r="H26" i="8"/>
  <c r="I230" i="9"/>
  <c r="I178" i="9"/>
  <c r="I225" i="9"/>
  <c r="I147" i="9"/>
  <c r="I145" i="9" s="1"/>
  <c r="I108" i="9"/>
  <c r="I238" i="9"/>
  <c r="I105" i="9"/>
  <c r="H175" i="9"/>
  <c r="G52" i="8"/>
  <c r="G41" i="8"/>
  <c r="J135" i="9"/>
  <c r="I29" i="8"/>
  <c r="J233" i="9"/>
  <c r="J228" i="9"/>
  <c r="J181" i="9"/>
  <c r="H74" i="9"/>
  <c r="H70" i="9" s="1"/>
  <c r="H239" i="9"/>
  <c r="G46" i="8" s="1"/>
  <c r="I179" i="9"/>
  <c r="I174" i="9" s="1"/>
  <c r="I226" i="9"/>
  <c r="I231" i="9"/>
  <c r="I85" i="9" s="1"/>
  <c r="I81" i="9" s="1"/>
  <c r="H27" i="8"/>
  <c r="G243" i="9"/>
  <c r="F50" i="8"/>
  <c r="K133" i="9"/>
  <c r="L215" i="9" a="1"/>
  <c r="L215" i="9" s="1"/>
  <c r="T741" i="59"/>
  <c r="H236" i="9"/>
  <c r="F21" i="8"/>
  <c r="F14" i="8" s="1"/>
  <c r="G47" i="9"/>
  <c r="J124" i="9"/>
  <c r="K169" i="9"/>
  <c r="J44" i="8" s="1"/>
  <c r="L211" i="9" a="1"/>
  <c r="L211" i="9" s="1"/>
  <c r="G19" i="8"/>
  <c r="H48" i="9"/>
  <c r="K120" i="9"/>
  <c r="L210" i="9" a="1"/>
  <c r="L210" i="9" s="1"/>
  <c r="F55" i="8"/>
  <c r="F54" i="8" s="1"/>
  <c r="G253" i="9"/>
  <c r="H42" i="8"/>
  <c r="I176" i="9"/>
  <c r="H53" i="8"/>
  <c r="X721" i="59"/>
  <c r="J114" i="9"/>
  <c r="J110" i="9"/>
  <c r="AD700" i="59"/>
  <c r="AC700" i="59"/>
  <c r="Z721" i="59"/>
  <c r="AB720" i="59"/>
  <c r="H892" i="79"/>
  <c r="BE163" i="52" s="1"/>
  <c r="K892" i="79"/>
  <c r="BH163" i="52" s="1"/>
  <c r="L892" i="79"/>
  <c r="BI163" i="52" s="1"/>
  <c r="L894" i="79"/>
  <c r="U163" i="52" s="1"/>
  <c r="U75" i="52" s="1"/>
  <c r="P432" i="54" s="1"/>
  <c r="G894" i="79"/>
  <c r="P163" i="52" s="1"/>
  <c r="P75" i="52" s="1"/>
  <c r="K432" i="54" s="1"/>
  <c r="G892" i="79"/>
  <c r="BD163" i="52" s="1"/>
  <c r="K895" i="79"/>
  <c r="K760" i="79"/>
  <c r="I894" i="79"/>
  <c r="R163" i="52" s="1"/>
  <c r="R75" i="52" s="1"/>
  <c r="M432" i="54" s="1"/>
  <c r="I892" i="79"/>
  <c r="BF163" i="52" s="1"/>
  <c r="J892" i="79"/>
  <c r="BG163" i="52" s="1"/>
  <c r="J894" i="79"/>
  <c r="S163" i="52" s="1"/>
  <c r="S75" i="52" s="1"/>
  <c r="N432" i="54" s="1"/>
  <c r="H895" i="79"/>
  <c r="H760" i="79"/>
  <c r="M894" i="79"/>
  <c r="V163" i="52" s="1"/>
  <c r="V75" i="52" s="1"/>
  <c r="Q432" i="54" s="1"/>
  <c r="R432" i="54" s="1"/>
  <c r="S432" i="54" s="1"/>
  <c r="T432" i="54" s="1"/>
  <c r="U432" i="54" s="1"/>
  <c r="V432" i="54" s="1"/>
  <c r="M892" i="79"/>
  <c r="BJ163" i="52" s="1"/>
  <c r="G103" i="9" l="1"/>
  <c r="G43" i="9" s="1"/>
  <c r="F24" i="8"/>
  <c r="H893" i="79"/>
  <c r="BE75" i="52"/>
  <c r="K893" i="79"/>
  <c r="L58" i="54"/>
  <c r="T528" i="59" s="1"/>
  <c r="R57" i="54"/>
  <c r="M58" i="54"/>
  <c r="U528" i="59" s="1"/>
  <c r="S37" i="54"/>
  <c r="T36" i="54"/>
  <c r="O58" i="54"/>
  <c r="W528" i="59" s="1"/>
  <c r="K58" i="54"/>
  <c r="S528" i="59" s="1"/>
  <c r="N58" i="54"/>
  <c r="V528" i="59" s="1"/>
  <c r="I104" i="9"/>
  <c r="I144" i="9"/>
  <c r="H35" i="8" s="1"/>
  <c r="H33" i="8" s="1"/>
  <c r="G39" i="8"/>
  <c r="G23" i="8" s="1"/>
  <c r="H25" i="8"/>
  <c r="S741" i="59"/>
  <c r="G21" i="8"/>
  <c r="G14" i="8" s="1"/>
  <c r="H47" i="9"/>
  <c r="L133" i="9"/>
  <c r="M215" i="9" a="1"/>
  <c r="M215" i="9" s="1"/>
  <c r="I187" i="9"/>
  <c r="H56" i="8" s="1"/>
  <c r="I182" i="9"/>
  <c r="H253" i="9"/>
  <c r="G55" i="8"/>
  <c r="G54" i="8" s="1"/>
  <c r="V741" i="59"/>
  <c r="M211" i="9" a="1"/>
  <c r="M211" i="9" s="1"/>
  <c r="L169" i="9"/>
  <c r="K44" i="8" s="1"/>
  <c r="G42" i="9"/>
  <c r="G36" i="9"/>
  <c r="G31" i="9"/>
  <c r="K124" i="9"/>
  <c r="I173" i="9"/>
  <c r="H51" i="8"/>
  <c r="I177" i="9"/>
  <c r="H40" i="8"/>
  <c r="X741" i="59"/>
  <c r="I26" i="8"/>
  <c r="J147" i="9"/>
  <c r="J145" i="9" s="1"/>
  <c r="J238" i="9"/>
  <c r="J225" i="9"/>
  <c r="J108" i="9"/>
  <c r="J178" i="9"/>
  <c r="J230" i="9"/>
  <c r="J105" i="9"/>
  <c r="I53" i="8"/>
  <c r="I42" i="8"/>
  <c r="J176" i="9"/>
  <c r="I239" i="9"/>
  <c r="H46" i="8" s="1"/>
  <c r="I74" i="9"/>
  <c r="I70" i="9" s="1"/>
  <c r="L142" i="9"/>
  <c r="L137" i="9" s="1"/>
  <c r="M220" i="9" a="1"/>
  <c r="M220" i="9" s="1"/>
  <c r="J179" i="9"/>
  <c r="J174" i="9" s="1"/>
  <c r="J231" i="9"/>
  <c r="J85" i="9" s="1"/>
  <c r="J81" i="9" s="1"/>
  <c r="I27" i="8"/>
  <c r="J226" i="9"/>
  <c r="G39" i="9"/>
  <c r="G37" i="9" s="1"/>
  <c r="F13" i="8" s="1"/>
  <c r="G34" i="9"/>
  <c r="G251" i="9"/>
  <c r="F58" i="8"/>
  <c r="K135" i="9"/>
  <c r="K228" i="9"/>
  <c r="K233" i="9"/>
  <c r="J29" i="8"/>
  <c r="K181" i="9"/>
  <c r="H19" i="8"/>
  <c r="I48" i="9"/>
  <c r="M212" i="9" a="1"/>
  <c r="M212" i="9" s="1"/>
  <c r="L100" i="9"/>
  <c r="K22" i="8" s="1"/>
  <c r="U741" i="59"/>
  <c r="H243" i="9"/>
  <c r="G50" i="8"/>
  <c r="L120" i="9"/>
  <c r="M210" i="9" a="1"/>
  <c r="M210" i="9" s="1"/>
  <c r="I236" i="9"/>
  <c r="H41" i="8"/>
  <c r="I175" i="9"/>
  <c r="H52" i="8"/>
  <c r="K110" i="9"/>
  <c r="K114" i="9"/>
  <c r="J227" i="9"/>
  <c r="I28" i="8"/>
  <c r="J151" i="9"/>
  <c r="J149" i="9" s="1"/>
  <c r="I36" i="8" s="1"/>
  <c r="J232" i="9"/>
  <c r="J94" i="9" s="1"/>
  <c r="J90" i="9" s="1"/>
  <c r="J86" i="9" s="1"/>
  <c r="J60" i="9" s="1"/>
  <c r="J180" i="9"/>
  <c r="J122" i="9"/>
  <c r="H171" i="9"/>
  <c r="H103" i="9" s="1"/>
  <c r="H43" i="9" s="1"/>
  <c r="BH75" i="52"/>
  <c r="Y741" i="59"/>
  <c r="AD720" i="59"/>
  <c r="AC720" i="59"/>
  <c r="AA721" i="59"/>
  <c r="K888" i="79"/>
  <c r="K754" i="79" s="1"/>
  <c r="L163" i="52" s="1"/>
  <c r="H888" i="79"/>
  <c r="H754" i="79" s="1"/>
  <c r="I163" i="52" s="1"/>
  <c r="H773" i="79"/>
  <c r="Q169" i="52"/>
  <c r="Q76" i="52" s="1"/>
  <c r="L433" i="54" s="1"/>
  <c r="K773" i="79"/>
  <c r="T169" i="52"/>
  <c r="T76" i="52" s="1"/>
  <c r="O433" i="54" s="1"/>
  <c r="J888" i="79"/>
  <c r="J754" i="79" s="1"/>
  <c r="K163" i="52" s="1"/>
  <c r="J893" i="79"/>
  <c r="BG169" i="52" s="1"/>
  <c r="BG75" i="52"/>
  <c r="M895" i="79"/>
  <c r="M760" i="79"/>
  <c r="G895" i="79"/>
  <c r="G760" i="79"/>
  <c r="J760" i="79"/>
  <c r="J895" i="79"/>
  <c r="BF75" i="52"/>
  <c r="I893" i="79"/>
  <c r="BF169" i="52" s="1"/>
  <c r="I888" i="79"/>
  <c r="I754" i="79" s="1"/>
  <c r="J163" i="52" s="1"/>
  <c r="I895" i="79"/>
  <c r="I760" i="79"/>
  <c r="BJ75" i="52"/>
  <c r="M893" i="79"/>
  <c r="BJ169" i="52" s="1"/>
  <c r="M888" i="79"/>
  <c r="M754" i="79" s="1"/>
  <c r="N163" i="52" s="1"/>
  <c r="G888" i="79"/>
  <c r="G754" i="79" s="1"/>
  <c r="H163" i="52" s="1"/>
  <c r="BD75" i="52"/>
  <c r="G893" i="79"/>
  <c r="BD169" i="52" s="1"/>
  <c r="L760" i="79"/>
  <c r="L895" i="79"/>
  <c r="BI75" i="52"/>
  <c r="L893" i="79"/>
  <c r="BI169" i="52" s="1"/>
  <c r="L888" i="79"/>
  <c r="L754" i="79" s="1"/>
  <c r="M163" i="52" s="1"/>
  <c r="G24" i="8" l="1"/>
  <c r="BH169" i="52"/>
  <c r="BH76" i="52" s="1"/>
  <c r="BE169" i="52"/>
  <c r="BE76" i="52" s="1"/>
  <c r="H889" i="79"/>
  <c r="H767" i="79" s="1"/>
  <c r="I169" i="52" s="1"/>
  <c r="K889" i="79"/>
  <c r="K767" i="79" s="1"/>
  <c r="L169" i="52" s="1"/>
  <c r="L76" i="52" s="1"/>
  <c r="O188" i="54" s="1"/>
  <c r="K75" i="52"/>
  <c r="N187" i="54" s="1"/>
  <c r="S57" i="54"/>
  <c r="L75" i="52"/>
  <c r="O187" i="54" s="1"/>
  <c r="U36" i="54"/>
  <c r="V36" i="54"/>
  <c r="H75" i="52"/>
  <c r="K187" i="54" s="1"/>
  <c r="J75" i="52"/>
  <c r="M187" i="54" s="1"/>
  <c r="Q58" i="54"/>
  <c r="Y528" i="59" s="1"/>
  <c r="Z528" i="59" s="1"/>
  <c r="AA528" i="59" s="1"/>
  <c r="AB528" i="59" s="1"/>
  <c r="AC528" i="59" s="1"/>
  <c r="AD528" i="59" s="1"/>
  <c r="M75" i="52"/>
  <c r="P187" i="54" s="1"/>
  <c r="N75" i="52"/>
  <c r="Q187" i="54" s="1"/>
  <c r="R187" i="54" s="1"/>
  <c r="S187" i="54" s="1"/>
  <c r="T187" i="54" s="1"/>
  <c r="U187" i="54" s="1"/>
  <c r="V187" i="54" s="1"/>
  <c r="T37" i="54"/>
  <c r="I75" i="52"/>
  <c r="L187" i="54" s="1"/>
  <c r="G29" i="9"/>
  <c r="J104" i="9"/>
  <c r="I25" i="8"/>
  <c r="K227" i="9"/>
  <c r="K180" i="9"/>
  <c r="K232" i="9"/>
  <c r="K94" i="9" s="1"/>
  <c r="K90" i="9" s="1"/>
  <c r="K86" i="9" s="1"/>
  <c r="K60" i="9" s="1"/>
  <c r="J28" i="8"/>
  <c r="K151" i="9"/>
  <c r="K149" i="9" s="1"/>
  <c r="J36" i="8" s="1"/>
  <c r="K122" i="9"/>
  <c r="M169" i="9"/>
  <c r="L44" i="8" s="1"/>
  <c r="M50" i="91" s="1"/>
  <c r="N211" i="9" a="1"/>
  <c r="N211" i="9" s="1"/>
  <c r="L124" i="9"/>
  <c r="W742" i="59"/>
  <c r="M120" i="9"/>
  <c r="N210" i="9" a="1"/>
  <c r="N210" i="9" s="1"/>
  <c r="M100" i="9"/>
  <c r="L22" i="8" s="1"/>
  <c r="M38" i="91" s="1"/>
  <c r="N212" i="9" a="1"/>
  <c r="N212" i="9" s="1"/>
  <c r="M142" i="9"/>
  <c r="M137" i="9" s="1"/>
  <c r="N220" i="9" a="1"/>
  <c r="N220" i="9" s="1"/>
  <c r="J74" i="9"/>
  <c r="J70" i="9" s="1"/>
  <c r="J239" i="9"/>
  <c r="I46" i="8" s="1"/>
  <c r="T742" i="59"/>
  <c r="K226" i="9"/>
  <c r="K179" i="9"/>
  <c r="K174" i="9" s="1"/>
  <c r="K231" i="9"/>
  <c r="K85" i="9" s="1"/>
  <c r="K81" i="9" s="1"/>
  <c r="J27" i="8"/>
  <c r="L114" i="9"/>
  <c r="L110" i="9"/>
  <c r="H21" i="8"/>
  <c r="I47" i="9"/>
  <c r="L135" i="9"/>
  <c r="L181" i="9"/>
  <c r="L228" i="9"/>
  <c r="L233" i="9"/>
  <c r="K29" i="8"/>
  <c r="J173" i="9"/>
  <c r="I40" i="8"/>
  <c r="I51" i="8"/>
  <c r="J177" i="9"/>
  <c r="H39" i="8"/>
  <c r="F10" i="8"/>
  <c r="K178" i="9"/>
  <c r="K108" i="9"/>
  <c r="K225" i="9"/>
  <c r="J26" i="8"/>
  <c r="K147" i="9"/>
  <c r="K145" i="9" s="1"/>
  <c r="K230" i="9"/>
  <c r="K238" i="9"/>
  <c r="K105" i="9"/>
  <c r="H50" i="8"/>
  <c r="I243" i="9"/>
  <c r="G35" i="9"/>
  <c r="F12" i="8" s="1"/>
  <c r="H34" i="9"/>
  <c r="H39" i="9"/>
  <c r="H37" i="9" s="1"/>
  <c r="G13" i="8" s="1"/>
  <c r="H36" i="9"/>
  <c r="H31" i="9"/>
  <c r="H42" i="9"/>
  <c r="H251" i="9"/>
  <c r="G58" i="8"/>
  <c r="K176" i="9"/>
  <c r="J42" i="8"/>
  <c r="J53" i="8"/>
  <c r="J187" i="9"/>
  <c r="I56" i="8" s="1"/>
  <c r="J182" i="9"/>
  <c r="G32" i="9"/>
  <c r="F11" i="8" s="1"/>
  <c r="H55" i="8"/>
  <c r="H54" i="8" s="1"/>
  <c r="I253" i="9"/>
  <c r="J175" i="9"/>
  <c r="I52" i="8"/>
  <c r="I41" i="8"/>
  <c r="J236" i="9"/>
  <c r="I171" i="9"/>
  <c r="I103" i="9" s="1"/>
  <c r="I43" i="9" s="1"/>
  <c r="I19" i="8"/>
  <c r="J48" i="9"/>
  <c r="J144" i="9"/>
  <c r="I35" i="8" s="1"/>
  <c r="I33" i="8" s="1"/>
  <c r="M133" i="9"/>
  <c r="N215" i="9" a="1"/>
  <c r="N215" i="9" s="1"/>
  <c r="AB721" i="59"/>
  <c r="Z741" i="59"/>
  <c r="M773" i="79"/>
  <c r="V169" i="52"/>
  <c r="V76" i="52" s="1"/>
  <c r="Q433" i="54" s="1"/>
  <c r="R433" i="54" s="1"/>
  <c r="S433" i="54" s="1"/>
  <c r="T433" i="54" s="1"/>
  <c r="U433" i="54" s="1"/>
  <c r="V433" i="54" s="1"/>
  <c r="L773" i="79"/>
  <c r="U169" i="52"/>
  <c r="U76" i="52" s="1"/>
  <c r="P433" i="54" s="1"/>
  <c r="I773" i="79"/>
  <c r="R169" i="52"/>
  <c r="R76" i="52" s="1"/>
  <c r="M433" i="54" s="1"/>
  <c r="J773" i="79"/>
  <c r="S169" i="52"/>
  <c r="S76" i="52" s="1"/>
  <c r="N433" i="54" s="1"/>
  <c r="G773" i="79"/>
  <c r="P169" i="52"/>
  <c r="P76" i="52" s="1"/>
  <c r="K433" i="54" s="1"/>
  <c r="G889" i="79"/>
  <c r="G767" i="79" s="1"/>
  <c r="H169" i="52" s="1"/>
  <c r="BD76" i="52"/>
  <c r="BF76" i="52"/>
  <c r="I889" i="79"/>
  <c r="I767" i="79" s="1"/>
  <c r="J169" i="52" s="1"/>
  <c r="BI76" i="52"/>
  <c r="L889" i="79"/>
  <c r="L767" i="79" s="1"/>
  <c r="M169" i="52" s="1"/>
  <c r="M889" i="79"/>
  <c r="M767" i="79" s="1"/>
  <c r="N169" i="52" s="1"/>
  <c r="BJ76" i="52"/>
  <c r="J889" i="79"/>
  <c r="J767" i="79" s="1"/>
  <c r="K169" i="52" s="1"/>
  <c r="BG76" i="52"/>
  <c r="H956" i="79"/>
  <c r="H931" i="79" s="1"/>
  <c r="I956" i="79"/>
  <c r="I931" i="79" s="1"/>
  <c r="J956" i="79"/>
  <c r="J931" i="79" s="1"/>
  <c r="M956" i="79"/>
  <c r="K956" i="79"/>
  <c r="K931" i="79" s="1"/>
  <c r="L956" i="79"/>
  <c r="L929" i="79" s="1"/>
  <c r="BI164" i="52" s="1"/>
  <c r="G956" i="79"/>
  <c r="G929" i="79" s="1"/>
  <c r="BD164" i="52" s="1"/>
  <c r="H24" i="8" l="1"/>
  <c r="H14" i="8"/>
  <c r="H23" i="8"/>
  <c r="I76" i="52"/>
  <c r="L188" i="54" s="1"/>
  <c r="L79" i="54" s="1"/>
  <c r="T549" i="59" s="1"/>
  <c r="BI97" i="52"/>
  <c r="BI119" i="52" s="1"/>
  <c r="M76" i="52"/>
  <c r="P188" i="54" s="1"/>
  <c r="U37" i="54"/>
  <c r="V37" i="54"/>
  <c r="M78" i="54"/>
  <c r="U548" i="59" s="1"/>
  <c r="O78" i="54"/>
  <c r="W548" i="59" s="1"/>
  <c r="J76" i="52"/>
  <c r="M188" i="54" s="1"/>
  <c r="T57" i="54"/>
  <c r="P78" i="54"/>
  <c r="X548" i="59" s="1"/>
  <c r="K78" i="54"/>
  <c r="S548" i="59" s="1"/>
  <c r="N76" i="52"/>
  <c r="Q188" i="54" s="1"/>
  <c r="R188" i="54" s="1"/>
  <c r="S188" i="54" s="1"/>
  <c r="T188" i="54" s="1"/>
  <c r="U188" i="54" s="1"/>
  <c r="V188" i="54" s="1"/>
  <c r="R58" i="54"/>
  <c r="K76" i="52"/>
  <c r="N188" i="54" s="1"/>
  <c r="H76" i="52"/>
  <c r="K188" i="54" s="1"/>
  <c r="L78" i="54"/>
  <c r="T548" i="59" s="1"/>
  <c r="O79" i="54"/>
  <c r="W549" i="59" s="1"/>
  <c r="N78" i="54"/>
  <c r="V548" i="59" s="1"/>
  <c r="K104" i="9"/>
  <c r="H29" i="9"/>
  <c r="K144" i="9"/>
  <c r="J35" i="8" s="1"/>
  <c r="J33" i="8" s="1"/>
  <c r="J25" i="8"/>
  <c r="J171" i="9"/>
  <c r="J103" i="9" s="1"/>
  <c r="J43" i="9" s="1"/>
  <c r="S742" i="59"/>
  <c r="I55" i="8"/>
  <c r="I54" i="8" s="1"/>
  <c r="J253" i="9"/>
  <c r="K177" i="9"/>
  <c r="J40" i="8"/>
  <c r="J51" i="8"/>
  <c r="K173" i="9"/>
  <c r="K27" i="8"/>
  <c r="L179" i="9"/>
  <c r="L174" i="9" s="1"/>
  <c r="L231" i="9"/>
  <c r="L85" i="9" s="1"/>
  <c r="L81" i="9" s="1"/>
  <c r="L226" i="9"/>
  <c r="M110" i="9"/>
  <c r="M114" i="9"/>
  <c r="V742" i="59"/>
  <c r="H32" i="9"/>
  <c r="G11" i="8" s="1"/>
  <c r="F9" i="8"/>
  <c r="F8" i="8" s="1"/>
  <c r="N133" i="9"/>
  <c r="O215" i="9" a="1"/>
  <c r="O215" i="9" s="1"/>
  <c r="G10" i="8"/>
  <c r="K236" i="9"/>
  <c r="G30" i="9"/>
  <c r="G28" i="9" s="1"/>
  <c r="U742" i="59"/>
  <c r="M124" i="9"/>
  <c r="H35" i="9"/>
  <c r="G12" i="8" s="1"/>
  <c r="K239" i="9"/>
  <c r="J46" i="8" s="1"/>
  <c r="K74" i="9"/>
  <c r="K70" i="9" s="1"/>
  <c r="K53" i="8"/>
  <c r="K42" i="8"/>
  <c r="L176" i="9"/>
  <c r="N142" i="9"/>
  <c r="N137" i="9" s="1"/>
  <c r="O220" i="9" a="1"/>
  <c r="O220" i="9" s="1"/>
  <c r="I50" i="8"/>
  <c r="J243" i="9"/>
  <c r="M135" i="9"/>
  <c r="M181" i="9"/>
  <c r="M233" i="9"/>
  <c r="M228" i="9"/>
  <c r="L29" i="8"/>
  <c r="J19" i="8"/>
  <c r="X742" i="59"/>
  <c r="I21" i="8"/>
  <c r="I14" i="8" s="1"/>
  <c r="J47" i="9"/>
  <c r="I39" i="9"/>
  <c r="I37" i="9" s="1"/>
  <c r="H13" i="8" s="1"/>
  <c r="I34" i="9"/>
  <c r="I32" i="9" s="1"/>
  <c r="H11" i="8" s="1"/>
  <c r="I42" i="9"/>
  <c r="I31" i="9"/>
  <c r="I36" i="9"/>
  <c r="O212" i="9" a="1"/>
  <c r="O212" i="9" s="1"/>
  <c r="N100" i="9"/>
  <c r="K175" i="9"/>
  <c r="J41" i="8"/>
  <c r="J52" i="8"/>
  <c r="K182" i="9"/>
  <c r="K187" i="9"/>
  <c r="J56" i="8" s="1"/>
  <c r="I39" i="8"/>
  <c r="I23" i="8" s="1"/>
  <c r="K28" i="8"/>
  <c r="L180" i="9"/>
  <c r="L232" i="9"/>
  <c r="L94" i="9" s="1"/>
  <c r="L90" i="9" s="1"/>
  <c r="L86" i="9" s="1"/>
  <c r="L60" i="9" s="1"/>
  <c r="L227" i="9"/>
  <c r="L151" i="9"/>
  <c r="L149" i="9" s="1"/>
  <c r="K36" i="8" s="1"/>
  <c r="L122" i="9"/>
  <c r="I251" i="9"/>
  <c r="H58" i="8"/>
  <c r="L108" i="9"/>
  <c r="L225" i="9"/>
  <c r="K26" i="8"/>
  <c r="L147" i="9"/>
  <c r="L145" i="9" s="1"/>
  <c r="L238" i="9"/>
  <c r="L230" i="9"/>
  <c r="L178" i="9"/>
  <c r="L105" i="9"/>
  <c r="N120" i="9"/>
  <c r="O210" i="9" a="1"/>
  <c r="O210" i="9" s="1"/>
  <c r="O211" i="9" a="1"/>
  <c r="O211" i="9" s="1"/>
  <c r="N169" i="9"/>
  <c r="Y742" i="59"/>
  <c r="AA741" i="59"/>
  <c r="AD721" i="59"/>
  <c r="AC721" i="59"/>
  <c r="I929" i="79"/>
  <c r="BF164" i="52" s="1"/>
  <c r="G931" i="79"/>
  <c r="G761" i="79" s="1"/>
  <c r="H929" i="79"/>
  <c r="BE164" i="52" s="1"/>
  <c r="J929" i="79"/>
  <c r="BG164" i="52" s="1"/>
  <c r="M931" i="79"/>
  <c r="M929" i="79"/>
  <c r="BJ164" i="52" s="1"/>
  <c r="L931" i="79"/>
  <c r="L925" i="79" s="1"/>
  <c r="L755" i="79" s="1"/>
  <c r="M164" i="52" s="1"/>
  <c r="H932" i="79"/>
  <c r="Q170" i="52" s="1"/>
  <c r="H761" i="79"/>
  <c r="BD97" i="52"/>
  <c r="BD119" i="52" s="1"/>
  <c r="G930" i="79"/>
  <c r="BD170" i="52" s="1"/>
  <c r="K761" i="79"/>
  <c r="K932" i="79"/>
  <c r="T170" i="52" s="1"/>
  <c r="I932" i="79"/>
  <c r="R170" i="52" s="1"/>
  <c r="I761" i="79"/>
  <c r="L930" i="79"/>
  <c r="BI170" i="52" s="1"/>
  <c r="J932" i="79"/>
  <c r="S170" i="52" s="1"/>
  <c r="J761" i="79"/>
  <c r="K929" i="79"/>
  <c r="BH164" i="52" s="1"/>
  <c r="I24" i="8" l="1"/>
  <c r="F48" i="8"/>
  <c r="J925" i="79"/>
  <c r="J755" i="79" s="1"/>
  <c r="K164" i="52" s="1"/>
  <c r="K97" i="52" s="1"/>
  <c r="N208" i="54" s="1"/>
  <c r="H925" i="79"/>
  <c r="H755" i="79" s="1"/>
  <c r="I164" i="52" s="1"/>
  <c r="I97" i="52" s="1"/>
  <c r="L208" i="54" s="1"/>
  <c r="BF97" i="52"/>
  <c r="BF119" i="52" s="1"/>
  <c r="S98" i="52"/>
  <c r="Q98" i="52"/>
  <c r="R98" i="52"/>
  <c r="T98" i="52"/>
  <c r="S58" i="54"/>
  <c r="U57" i="54"/>
  <c r="V57" i="54"/>
  <c r="Q78" i="54"/>
  <c r="Y548" i="59" s="1"/>
  <c r="Z548" i="59" s="1"/>
  <c r="AA548" i="59" s="1"/>
  <c r="M79" i="54"/>
  <c r="U549" i="59" s="1"/>
  <c r="M97" i="52"/>
  <c r="P208" i="54" s="1"/>
  <c r="K79" i="54"/>
  <c r="S549" i="59" s="1"/>
  <c r="N79" i="54"/>
  <c r="V549" i="59" s="1"/>
  <c r="P79" i="54"/>
  <c r="X549" i="59" s="1"/>
  <c r="L104" i="9"/>
  <c r="H30" i="9"/>
  <c r="H28" i="9" s="1"/>
  <c r="G9" i="8"/>
  <c r="G8" i="8" s="1"/>
  <c r="K51" i="8"/>
  <c r="L177" i="9"/>
  <c r="L173" i="9"/>
  <c r="K40" i="8"/>
  <c r="N124" i="9"/>
  <c r="M179" i="9"/>
  <c r="M174" i="9" s="1"/>
  <c r="M226" i="9"/>
  <c r="L27" i="8"/>
  <c r="M231" i="9"/>
  <c r="M85" i="9" s="1"/>
  <c r="M81" i="9" s="1"/>
  <c r="K171" i="9"/>
  <c r="L239" i="9"/>
  <c r="K46" i="8" s="1"/>
  <c r="L74" i="9"/>
  <c r="L70" i="9" s="1"/>
  <c r="K253" i="9"/>
  <c r="J55" i="8"/>
  <c r="J54" i="8" s="1"/>
  <c r="I30" i="9"/>
  <c r="H10" i="8"/>
  <c r="I58" i="8"/>
  <c r="J251" i="9"/>
  <c r="M230" i="9"/>
  <c r="M108" i="9"/>
  <c r="M225" i="9"/>
  <c r="M178" i="9"/>
  <c r="L26" i="8"/>
  <c r="M238" i="9"/>
  <c r="M147" i="9"/>
  <c r="M145" i="9" s="1"/>
  <c r="M105" i="9"/>
  <c r="L236" i="9"/>
  <c r="J39" i="8"/>
  <c r="L144" i="9"/>
  <c r="K35" i="8" s="1"/>
  <c r="K33" i="8" s="1"/>
  <c r="K243" i="9"/>
  <c r="J50" i="8"/>
  <c r="O169" i="9"/>
  <c r="P211" i="9" a="1"/>
  <c r="P211" i="9" s="1"/>
  <c r="K25" i="8"/>
  <c r="K19" i="8"/>
  <c r="L48" i="9"/>
  <c r="I29" i="9"/>
  <c r="J39" i="9"/>
  <c r="J37" i="9" s="1"/>
  <c r="I13" i="8" s="1"/>
  <c r="J34" i="9"/>
  <c r="O120" i="9"/>
  <c r="P210" i="9" a="1"/>
  <c r="P210" i="9" s="1"/>
  <c r="L182" i="9"/>
  <c r="L187" i="9"/>
  <c r="K56" i="8" s="1"/>
  <c r="L175" i="9"/>
  <c r="K41" i="8"/>
  <c r="K52" i="8"/>
  <c r="O142" i="9"/>
  <c r="O137" i="9" s="1"/>
  <c r="P220" i="9" a="1"/>
  <c r="P220" i="9" s="1"/>
  <c r="N110" i="9"/>
  <c r="N114" i="9"/>
  <c r="O100" i="9"/>
  <c r="P212" i="9" a="1"/>
  <c r="P212" i="9" s="1"/>
  <c r="J36" i="9"/>
  <c r="J31" i="9"/>
  <c r="J42" i="9"/>
  <c r="N135" i="9"/>
  <c r="N181" i="9"/>
  <c r="N176" i="9" s="1"/>
  <c r="N233" i="9"/>
  <c r="N228" i="9"/>
  <c r="M227" i="9"/>
  <c r="M151" i="9"/>
  <c r="M149" i="9" s="1"/>
  <c r="L36" i="8" s="1"/>
  <c r="M232" i="9"/>
  <c r="M94" i="9" s="1"/>
  <c r="M90" i="9" s="1"/>
  <c r="M86" i="9" s="1"/>
  <c r="M60" i="9" s="1"/>
  <c r="L28" i="8"/>
  <c r="M180" i="9"/>
  <c r="M122" i="9"/>
  <c r="I35" i="9"/>
  <c r="H12" i="8" s="1"/>
  <c r="L42" i="8"/>
  <c r="L53" i="8"/>
  <c r="M176" i="9"/>
  <c r="O133" i="9"/>
  <c r="P215" i="9" a="1"/>
  <c r="P215" i="9" s="1"/>
  <c r="BG97" i="52"/>
  <c r="BG119" i="52" s="1"/>
  <c r="G925" i="79"/>
  <c r="G755" i="79" s="1"/>
  <c r="H164" i="52" s="1"/>
  <c r="AB741" i="59"/>
  <c r="Z742" i="59"/>
  <c r="G932" i="79"/>
  <c r="P170" i="52" s="1"/>
  <c r="I925" i="79"/>
  <c r="I755" i="79" s="1"/>
  <c r="J164" i="52" s="1"/>
  <c r="K774" i="79"/>
  <c r="T164" i="52"/>
  <c r="P164" i="52"/>
  <c r="J774" i="79"/>
  <c r="S164" i="52"/>
  <c r="H774" i="79"/>
  <c r="Q164" i="52"/>
  <c r="I774" i="79"/>
  <c r="R164" i="52"/>
  <c r="J930" i="79"/>
  <c r="BG170" i="52" s="1"/>
  <c r="BE97" i="52"/>
  <c r="BE119" i="52" s="1"/>
  <c r="H930" i="79"/>
  <c r="BE170" i="52" s="1"/>
  <c r="I930" i="79"/>
  <c r="BF170" i="52" s="1"/>
  <c r="L761" i="79"/>
  <c r="L932" i="79"/>
  <c r="K925" i="79"/>
  <c r="K755" i="79" s="1"/>
  <c r="L164" i="52" s="1"/>
  <c r="K930" i="79"/>
  <c r="BH170" i="52" s="1"/>
  <c r="BH97" i="52"/>
  <c r="BH119" i="52" s="1"/>
  <c r="BD98" i="52"/>
  <c r="BD120" i="52" s="1"/>
  <c r="M925" i="79"/>
  <c r="M755" i="79" s="1"/>
  <c r="N164" i="52" s="1"/>
  <c r="M930" i="79"/>
  <c r="BJ170" i="52" s="1"/>
  <c r="BJ97" i="52"/>
  <c r="BJ119" i="52" s="1"/>
  <c r="M761" i="79"/>
  <c r="M932" i="79"/>
  <c r="V170" i="52" s="1"/>
  <c r="BI98" i="52"/>
  <c r="BI120" i="52" s="1"/>
  <c r="K103" i="9" l="1"/>
  <c r="K43" i="9" s="1"/>
  <c r="J23" i="8"/>
  <c r="D7" i="91"/>
  <c r="J24" i="8"/>
  <c r="G48" i="8"/>
  <c r="T120" i="52"/>
  <c r="O454" i="54"/>
  <c r="W763" i="59" s="1"/>
  <c r="W784" i="59" s="1"/>
  <c r="R120" i="52"/>
  <c r="O21" i="91" s="1"/>
  <c r="M454" i="54"/>
  <c r="U763" i="59" s="1"/>
  <c r="U784" i="59" s="1"/>
  <c r="Q120" i="52"/>
  <c r="L454" i="54"/>
  <c r="T763" i="59" s="1"/>
  <c r="T784" i="59" s="1"/>
  <c r="S120" i="52"/>
  <c r="N454" i="54"/>
  <c r="V763" i="59" s="1"/>
  <c r="V784" i="59" s="1"/>
  <c r="J926" i="79"/>
  <c r="J768" i="79" s="1"/>
  <c r="K170" i="52" s="1"/>
  <c r="K98" i="52" s="1"/>
  <c r="N209" i="54" s="1"/>
  <c r="BG98" i="52"/>
  <c r="BG120" i="52" s="1"/>
  <c r="K119" i="52"/>
  <c r="M119" i="52"/>
  <c r="I119" i="52"/>
  <c r="I926" i="79"/>
  <c r="I768" i="79" s="1"/>
  <c r="J170" i="52" s="1"/>
  <c r="J98" i="52" s="1"/>
  <c r="M209" i="54" s="1"/>
  <c r="BF98" i="52"/>
  <c r="BF120" i="52" s="1"/>
  <c r="S97" i="52"/>
  <c r="P97" i="52"/>
  <c r="T97" i="52"/>
  <c r="R97" i="52"/>
  <c r="V98" i="52"/>
  <c r="Q454" i="54" s="1"/>
  <c r="R454" i="54" s="1"/>
  <c r="S454" i="54" s="1"/>
  <c r="T454" i="54" s="1"/>
  <c r="U454" i="54" s="1"/>
  <c r="V454" i="54" s="1"/>
  <c r="Q97" i="52"/>
  <c r="P98" i="52"/>
  <c r="R78" i="54"/>
  <c r="N99" i="54"/>
  <c r="V569" i="59" s="1"/>
  <c r="V611" i="59" s="1"/>
  <c r="H97" i="52"/>
  <c r="K208" i="54" s="1"/>
  <c r="Q79" i="54"/>
  <c r="Y549" i="59" s="1"/>
  <c r="Z549" i="59" s="1"/>
  <c r="AA549" i="59" s="1"/>
  <c r="N97" i="52"/>
  <c r="Q208" i="54" s="1"/>
  <c r="R208" i="54" s="1"/>
  <c r="S208" i="54" s="1"/>
  <c r="T208" i="54" s="1"/>
  <c r="U208" i="54" s="1"/>
  <c r="V208" i="54" s="1"/>
  <c r="P99" i="54"/>
  <c r="X569" i="59" s="1"/>
  <c r="X611" i="59" s="1"/>
  <c r="T58" i="54"/>
  <c r="L97" i="52"/>
  <c r="O208" i="54" s="1"/>
  <c r="J97" i="52"/>
  <c r="M208" i="54" s="1"/>
  <c r="L99" i="54"/>
  <c r="T569" i="59" s="1"/>
  <c r="T590" i="59" s="1"/>
  <c r="J29" i="9"/>
  <c r="J32" i="9"/>
  <c r="I11" i="8" s="1"/>
  <c r="P133" i="9"/>
  <c r="Q215" i="9" a="1"/>
  <c r="Q215" i="9" s="1"/>
  <c r="O135" i="9"/>
  <c r="O233" i="9"/>
  <c r="O228" i="9"/>
  <c r="O181" i="9"/>
  <c r="O124" i="9"/>
  <c r="P100" i="9"/>
  <c r="Q212" i="9" a="1"/>
  <c r="Q212" i="9" s="1"/>
  <c r="J58" i="8"/>
  <c r="K251" i="9"/>
  <c r="M239" i="9"/>
  <c r="L46" i="8" s="1"/>
  <c r="M74" i="9"/>
  <c r="M70" i="9" s="1"/>
  <c r="M104" i="9"/>
  <c r="N180" i="9"/>
  <c r="N175" i="9" s="1"/>
  <c r="N227" i="9"/>
  <c r="N232" i="9"/>
  <c r="N94" i="9" s="1"/>
  <c r="N90" i="9" s="1"/>
  <c r="N86" i="9" s="1"/>
  <c r="N60" i="9" s="1"/>
  <c r="N48" i="9" s="1"/>
  <c r="N47" i="9" s="1"/>
  <c r="N151" i="9"/>
  <c r="N149" i="9" s="1"/>
  <c r="N122" i="9"/>
  <c r="M175" i="9"/>
  <c r="L41" i="8"/>
  <c r="L52" i="8"/>
  <c r="N226" i="9"/>
  <c r="N179" i="9"/>
  <c r="N174" i="9" s="1"/>
  <c r="N231" i="9"/>
  <c r="N85" i="9" s="1"/>
  <c r="N81" i="9" s="1"/>
  <c r="K21" i="8"/>
  <c r="K14" i="8" s="1"/>
  <c r="L47" i="9"/>
  <c r="M144" i="9"/>
  <c r="L35" i="8" s="1"/>
  <c r="L33" i="8" s="1"/>
  <c r="M47" i="91" s="1"/>
  <c r="N225" i="9"/>
  <c r="N178" i="9"/>
  <c r="N238" i="9"/>
  <c r="N236" i="9" s="1"/>
  <c r="N147" i="9"/>
  <c r="N145" i="9" s="1"/>
  <c r="N230" i="9"/>
  <c r="N108" i="9"/>
  <c r="N105" i="9"/>
  <c r="M236" i="9"/>
  <c r="H9" i="8"/>
  <c r="K39" i="8"/>
  <c r="K23" i="8" s="1"/>
  <c r="L19" i="8"/>
  <c r="M37" i="91" s="1"/>
  <c r="M48" i="9"/>
  <c r="K55" i="8"/>
  <c r="K54" i="8" s="1"/>
  <c r="L253" i="9"/>
  <c r="L25" i="8"/>
  <c r="I28" i="9"/>
  <c r="L171" i="9"/>
  <c r="L103" i="9" s="1"/>
  <c r="L43" i="9" s="1"/>
  <c r="I10" i="8"/>
  <c r="P120" i="9"/>
  <c r="Q210" i="9" a="1"/>
  <c r="Q210" i="9" s="1"/>
  <c r="P169" i="9"/>
  <c r="Q211" i="9" a="1"/>
  <c r="Q211" i="9" s="1"/>
  <c r="M173" i="9"/>
  <c r="L40" i="8"/>
  <c r="M177" i="9"/>
  <c r="L51" i="8"/>
  <c r="L243" i="9"/>
  <c r="K50" i="8"/>
  <c r="J35" i="9"/>
  <c r="I12" i="8" s="1"/>
  <c r="P142" i="9"/>
  <c r="P137" i="9" s="1"/>
  <c r="Q220" i="9" a="1"/>
  <c r="Q220" i="9" s="1"/>
  <c r="O110" i="9"/>
  <c r="O114" i="9"/>
  <c r="M182" i="9"/>
  <c r="M187" i="9"/>
  <c r="L56" i="8" s="1"/>
  <c r="K39" i="9"/>
  <c r="K34" i="9"/>
  <c r="AB548" i="59"/>
  <c r="G926" i="79"/>
  <c r="G768" i="79" s="1"/>
  <c r="H170" i="52" s="1"/>
  <c r="AA742" i="59"/>
  <c r="AD741" i="59"/>
  <c r="AC741" i="59"/>
  <c r="G774" i="79"/>
  <c r="L926" i="79"/>
  <c r="L768" i="79" s="1"/>
  <c r="M170" i="52" s="1"/>
  <c r="U170" i="52"/>
  <c r="L774" i="79"/>
  <c r="U164" i="52"/>
  <c r="M774" i="79"/>
  <c r="V164" i="52"/>
  <c r="H926" i="79"/>
  <c r="H768" i="79" s="1"/>
  <c r="I170" i="52" s="1"/>
  <c r="BE98" i="52"/>
  <c r="BE120" i="52" s="1"/>
  <c r="BH98" i="52"/>
  <c r="BH120" i="52" s="1"/>
  <c r="K926" i="79"/>
  <c r="K768" i="79" s="1"/>
  <c r="L170" i="52" s="1"/>
  <c r="M926" i="79"/>
  <c r="M768" i="79" s="1"/>
  <c r="N170" i="52" s="1"/>
  <c r="BJ98" i="52"/>
  <c r="BJ120" i="52" s="1"/>
  <c r="P18" i="91" s="1"/>
  <c r="M9" i="91" l="1"/>
  <c r="M45" i="91"/>
  <c r="O18" i="91"/>
  <c r="H8" i="8"/>
  <c r="E7" i="91"/>
  <c r="K24" i="8"/>
  <c r="O176" i="9"/>
  <c r="H48" i="8"/>
  <c r="R119" i="52"/>
  <c r="M453" i="54"/>
  <c r="U762" i="59" s="1"/>
  <c r="U783" i="59" s="1"/>
  <c r="T119" i="52"/>
  <c r="O453" i="54"/>
  <c r="W762" i="59" s="1"/>
  <c r="W783" i="59" s="1"/>
  <c r="P119" i="52"/>
  <c r="K453" i="54"/>
  <c r="S762" i="59" s="1"/>
  <c r="S783" i="59" s="1"/>
  <c r="S119" i="52"/>
  <c r="N453" i="54"/>
  <c r="V762" i="59" s="1"/>
  <c r="V783" i="59" s="1"/>
  <c r="P120" i="52"/>
  <c r="K454" i="54"/>
  <c r="S763" i="59" s="1"/>
  <c r="S784" i="59" s="1"/>
  <c r="Q119" i="52"/>
  <c r="L453" i="54"/>
  <c r="T762" i="59" s="1"/>
  <c r="T783" i="59" s="1"/>
  <c r="J120" i="52"/>
  <c r="L119" i="52"/>
  <c r="H119" i="52"/>
  <c r="Y763" i="59"/>
  <c r="Y784" i="59" s="1"/>
  <c r="V120" i="52"/>
  <c r="P21" i="91" s="1"/>
  <c r="P23" i="91" s="1"/>
  <c r="K120" i="52"/>
  <c r="J119" i="52"/>
  <c r="N119" i="52"/>
  <c r="V590" i="59"/>
  <c r="V97" i="52"/>
  <c r="U98" i="52"/>
  <c r="L98" i="52"/>
  <c r="O209" i="54" s="1"/>
  <c r="T611" i="59"/>
  <c r="T632" i="59" s="1"/>
  <c r="M99" i="54"/>
  <c r="U569" i="59" s="1"/>
  <c r="U590" i="59" s="1"/>
  <c r="X590" i="59"/>
  <c r="N100" i="54"/>
  <c r="V570" i="59" s="1"/>
  <c r="V612" i="59" s="1"/>
  <c r="K99" i="54"/>
  <c r="S569" i="59" s="1"/>
  <c r="S611" i="59" s="1"/>
  <c r="O99" i="54"/>
  <c r="W569" i="59" s="1"/>
  <c r="W590" i="59" s="1"/>
  <c r="I98" i="52"/>
  <c r="L209" i="54" s="1"/>
  <c r="U58" i="54"/>
  <c r="V58" i="54"/>
  <c r="U97" i="52"/>
  <c r="R79" i="54"/>
  <c r="H98" i="52"/>
  <c r="K209" i="54" s="1"/>
  <c r="S78" i="54"/>
  <c r="N98" i="52"/>
  <c r="Q209" i="54" s="1"/>
  <c r="R209" i="54" s="1"/>
  <c r="S209" i="54" s="1"/>
  <c r="T209" i="54" s="1"/>
  <c r="U209" i="54" s="1"/>
  <c r="V209" i="54" s="1"/>
  <c r="M98" i="52"/>
  <c r="P209" i="54" s="1"/>
  <c r="M100" i="54"/>
  <c r="U570" i="59" s="1"/>
  <c r="U612" i="59" s="1"/>
  <c r="M171" i="9"/>
  <c r="M103" i="9" s="1"/>
  <c r="M43" i="9" s="1"/>
  <c r="J30" i="9"/>
  <c r="J28" i="9" s="1"/>
  <c r="N104" i="9"/>
  <c r="N144" i="9"/>
  <c r="L39" i="8"/>
  <c r="Q169" i="9"/>
  <c r="R211" i="9" a="1"/>
  <c r="R211" i="9" s="1"/>
  <c r="R169" i="9" s="1"/>
  <c r="L21" i="8"/>
  <c r="M47" i="9"/>
  <c r="N173" i="9"/>
  <c r="N171" i="9" s="1"/>
  <c r="N177" i="9"/>
  <c r="N243" i="9" s="1"/>
  <c r="N251" i="9" s="1"/>
  <c r="N182" i="9"/>
  <c r="N187" i="9"/>
  <c r="L55" i="8"/>
  <c r="M253" i="9"/>
  <c r="Q120" i="9"/>
  <c r="R210" i="9" a="1"/>
  <c r="R210" i="9" s="1"/>
  <c r="R120" i="9" s="1"/>
  <c r="O179" i="9"/>
  <c r="O174" i="9" s="1"/>
  <c r="O226" i="9"/>
  <c r="O231" i="9"/>
  <c r="O85" i="9" s="1"/>
  <c r="O81" i="9" s="1"/>
  <c r="K58" i="8"/>
  <c r="L251" i="9"/>
  <c r="P114" i="9"/>
  <c r="P110" i="9"/>
  <c r="N36" i="9"/>
  <c r="N31" i="9"/>
  <c r="N42" i="9"/>
  <c r="Q100" i="9"/>
  <c r="R212" i="9" a="1"/>
  <c r="R212" i="9" s="1"/>
  <c r="R100" i="9" s="1"/>
  <c r="O238" i="9"/>
  <c r="O236" i="9" s="1"/>
  <c r="O108" i="9"/>
  <c r="O225" i="9"/>
  <c r="O230" i="9"/>
  <c r="O147" i="9"/>
  <c r="O145" i="9" s="1"/>
  <c r="O178" i="9"/>
  <c r="O105" i="9"/>
  <c r="I9" i="8"/>
  <c r="I8" i="8" s="1"/>
  <c r="Q142" i="9"/>
  <c r="Q137" i="9" s="1"/>
  <c r="R220" i="9" a="1"/>
  <c r="R220" i="9" s="1"/>
  <c r="R142" i="9" s="1"/>
  <c r="R137" i="9" s="1"/>
  <c r="L50" i="8"/>
  <c r="M243" i="9"/>
  <c r="N239" i="9"/>
  <c r="N74" i="9"/>
  <c r="N70" i="9" s="1"/>
  <c r="L31" i="9"/>
  <c r="L42" i="9"/>
  <c r="L36" i="9"/>
  <c r="P135" i="9"/>
  <c r="P181" i="9"/>
  <c r="P233" i="9"/>
  <c r="P228" i="9"/>
  <c r="L39" i="9"/>
  <c r="L37" i="9" s="1"/>
  <c r="K13" i="8" s="1"/>
  <c r="L34" i="9"/>
  <c r="Q133" i="9"/>
  <c r="R215" i="9" a="1"/>
  <c r="R215" i="9" s="1"/>
  <c r="R133" i="9" s="1"/>
  <c r="K29" i="9"/>
  <c r="O151" i="9"/>
  <c r="O149" i="9" s="1"/>
  <c r="O180" i="9"/>
  <c r="O227" i="9"/>
  <c r="O232" i="9"/>
  <c r="O94" i="9" s="1"/>
  <c r="O90" i="9" s="1"/>
  <c r="O86" i="9" s="1"/>
  <c r="O60" i="9" s="1"/>
  <c r="O122" i="9"/>
  <c r="P124" i="9"/>
  <c r="AC548" i="59"/>
  <c r="AB549" i="59"/>
  <c r="AB742" i="59"/>
  <c r="Z763" i="59"/>
  <c r="Z784" i="59" s="1"/>
  <c r="L23" i="8" l="1"/>
  <c r="M48" i="91"/>
  <c r="M51" i="91" s="1"/>
  <c r="F7" i="91"/>
  <c r="L24" i="8"/>
  <c r="M8" i="91" s="1"/>
  <c r="P176" i="9"/>
  <c r="O175" i="9"/>
  <c r="O48" i="9"/>
  <c r="I48" i="8"/>
  <c r="P453" i="54"/>
  <c r="X762" i="59" s="1"/>
  <c r="X783" i="59" s="1"/>
  <c r="U120" i="52"/>
  <c r="P454" i="54"/>
  <c r="X763" i="59" s="1"/>
  <c r="X784" i="59" s="1"/>
  <c r="Q453" i="54"/>
  <c r="R453" i="54" s="1"/>
  <c r="S453" i="54" s="1"/>
  <c r="T453" i="54" s="1"/>
  <c r="U453" i="54" s="1"/>
  <c r="V453" i="54" s="1"/>
  <c r="U611" i="59"/>
  <c r="U632" i="59" s="1"/>
  <c r="N120" i="52"/>
  <c r="U119" i="52"/>
  <c r="V632" i="59"/>
  <c r="H120" i="52"/>
  <c r="V119" i="52"/>
  <c r="I120" i="52"/>
  <c r="M120" i="52"/>
  <c r="L120" i="52"/>
  <c r="S590" i="59"/>
  <c r="W611" i="59"/>
  <c r="W632" i="59" s="1"/>
  <c r="X632" i="59"/>
  <c r="P100" i="54"/>
  <c r="X570" i="59" s="1"/>
  <c r="X591" i="59" s="1"/>
  <c r="L100" i="54"/>
  <c r="T570" i="59" s="1"/>
  <c r="T591" i="59" s="1"/>
  <c r="V591" i="59"/>
  <c r="S79" i="54"/>
  <c r="T78" i="54"/>
  <c r="U591" i="59"/>
  <c r="K100" i="54"/>
  <c r="S570" i="59" s="1"/>
  <c r="S612" i="59" s="1"/>
  <c r="Q99" i="54"/>
  <c r="Y569" i="59" s="1"/>
  <c r="O100" i="54"/>
  <c r="W570" i="59" s="1"/>
  <c r="W591" i="59" s="1"/>
  <c r="L14" i="8"/>
  <c r="N103" i="9"/>
  <c r="N43" i="9" s="1"/>
  <c r="N253" i="9"/>
  <c r="N39" i="9" s="1"/>
  <c r="N37" i="9" s="1"/>
  <c r="N35" i="9" s="1"/>
  <c r="L29" i="9"/>
  <c r="K10" i="8"/>
  <c r="R135" i="9"/>
  <c r="R228" i="9"/>
  <c r="R233" i="9"/>
  <c r="R181" i="9"/>
  <c r="O74" i="9"/>
  <c r="O70" i="9" s="1"/>
  <c r="O239" i="9"/>
  <c r="L54" i="8"/>
  <c r="R124" i="9"/>
  <c r="Q135" i="9"/>
  <c r="Q181" i="9"/>
  <c r="Q233" i="9"/>
  <c r="Q228" i="9"/>
  <c r="O182" i="9"/>
  <c r="O187" i="9"/>
  <c r="M31" i="9"/>
  <c r="M36" i="9"/>
  <c r="M42" i="9"/>
  <c r="Q124" i="9"/>
  <c r="P108" i="9"/>
  <c r="P178" i="9"/>
  <c r="P147" i="9"/>
  <c r="P145" i="9" s="1"/>
  <c r="P230" i="9"/>
  <c r="P225" i="9"/>
  <c r="P238" i="9"/>
  <c r="P236" i="9" s="1"/>
  <c r="P105" i="9"/>
  <c r="L35" i="9"/>
  <c r="K12" i="8" s="1"/>
  <c r="O104" i="9"/>
  <c r="P179" i="9"/>
  <c r="P174" i="9" s="1"/>
  <c r="P231" i="9"/>
  <c r="P85" i="9" s="1"/>
  <c r="P81" i="9" s="1"/>
  <c r="P226" i="9"/>
  <c r="R114" i="9"/>
  <c r="R110" i="9"/>
  <c r="L58" i="8"/>
  <c r="M251" i="9"/>
  <c r="O173" i="9"/>
  <c r="O177" i="9"/>
  <c r="O243" i="9" s="1"/>
  <c r="O251" i="9" s="1"/>
  <c r="Q110" i="9"/>
  <c r="Q114" i="9"/>
  <c r="P151" i="9"/>
  <c r="P149" i="9" s="1"/>
  <c r="P180" i="9"/>
  <c r="P227" i="9"/>
  <c r="P232" i="9"/>
  <c r="P94" i="9" s="1"/>
  <c r="P90" i="9" s="1"/>
  <c r="P86" i="9" s="1"/>
  <c r="P60" i="9" s="1"/>
  <c r="P122" i="9"/>
  <c r="L32" i="9"/>
  <c r="K11" i="8" s="1"/>
  <c r="O144" i="9"/>
  <c r="M34" i="9"/>
  <c r="M39" i="9"/>
  <c r="M37" i="9" s="1"/>
  <c r="L13" i="8" s="1"/>
  <c r="AD548" i="59"/>
  <c r="AC549" i="59"/>
  <c r="AA763" i="59"/>
  <c r="AA784" i="59" s="1"/>
  <c r="AD742" i="59"/>
  <c r="AC742" i="59"/>
  <c r="I19" i="91" l="1"/>
  <c r="I20" i="91"/>
  <c r="BT106" i="9"/>
  <c r="BT136" i="9"/>
  <c r="BT123" i="9"/>
  <c r="E19" i="91"/>
  <c r="BP136" i="9"/>
  <c r="BP123" i="9"/>
  <c r="BP106" i="9"/>
  <c r="H19" i="91"/>
  <c r="BS123" i="9"/>
  <c r="H20" i="91"/>
  <c r="BS136" i="9"/>
  <c r="BS106" i="9"/>
  <c r="F19" i="91"/>
  <c r="F20" i="91"/>
  <c r="BQ136" i="9"/>
  <c r="BQ106" i="9"/>
  <c r="BQ123" i="9"/>
  <c r="G19" i="91"/>
  <c r="BR123" i="9"/>
  <c r="BR106" i="9"/>
  <c r="BR136" i="9"/>
  <c r="G20" i="91"/>
  <c r="O171" i="9"/>
  <c r="O103" i="9" s="1"/>
  <c r="O43" i="9" s="1"/>
  <c r="G7" i="91"/>
  <c r="P175" i="9"/>
  <c r="R176" i="9"/>
  <c r="O47" i="9"/>
  <c r="Q176" i="9"/>
  <c r="P48" i="9"/>
  <c r="AY136" i="9"/>
  <c r="AY219" i="9" s="1"/>
  <c r="AY123" i="9"/>
  <c r="AY106" i="9"/>
  <c r="AZ106" i="9"/>
  <c r="AZ136" i="9"/>
  <c r="AZ219" i="9" s="1"/>
  <c r="AZ123" i="9"/>
  <c r="Z762" i="59"/>
  <c r="Z783" i="59" s="1"/>
  <c r="AX106" i="9"/>
  <c r="AX123" i="9"/>
  <c r="AX136" i="9"/>
  <c r="AX219" i="9" s="1"/>
  <c r="AV123" i="9"/>
  <c r="AV106" i="9"/>
  <c r="AV136" i="9"/>
  <c r="AV219" i="9" s="1"/>
  <c r="AW136" i="9"/>
  <c r="AW219" i="9" s="1"/>
  <c r="AW106" i="9"/>
  <c r="AW123" i="9"/>
  <c r="AC106" i="9"/>
  <c r="AC209" i="9" s="1"/>
  <c r="S632" i="59"/>
  <c r="Y762" i="59"/>
  <c r="Y783" i="59" s="1"/>
  <c r="X612" i="59"/>
  <c r="X633" i="59" s="1"/>
  <c r="T612" i="59"/>
  <c r="T633" i="59" s="1"/>
  <c r="AC136" i="9"/>
  <c r="AC219" i="9" s="1"/>
  <c r="W612" i="59"/>
  <c r="W633" i="59" s="1"/>
  <c r="AD123" i="9"/>
  <c r="AD214" i="9" s="1"/>
  <c r="V633" i="59"/>
  <c r="AD106" i="9"/>
  <c r="AD209" i="9" s="1"/>
  <c r="AD136" i="9"/>
  <c r="AD219" i="9" s="1"/>
  <c r="AC123" i="9"/>
  <c r="AC214" i="9" s="1"/>
  <c r="S591" i="59"/>
  <c r="Q100" i="54"/>
  <c r="Y570" i="59" s="1"/>
  <c r="R99" i="54"/>
  <c r="U78" i="54"/>
  <c r="V78" i="54"/>
  <c r="U633" i="59"/>
  <c r="Z569" i="59"/>
  <c r="Y590" i="59"/>
  <c r="Y611" i="59"/>
  <c r="T79" i="54"/>
  <c r="AF123" i="9"/>
  <c r="AF214" i="9" s="1"/>
  <c r="AB123" i="9"/>
  <c r="AB214" i="9" s="1"/>
  <c r="AB136" i="9"/>
  <c r="AB219" i="9" s="1"/>
  <c r="AB106" i="9"/>
  <c r="AB209" i="9" s="1"/>
  <c r="AF136" i="9"/>
  <c r="AF219" i="9" s="1"/>
  <c r="AF106" i="9"/>
  <c r="AF209" i="9" s="1"/>
  <c r="AE123" i="9"/>
  <c r="AE214" i="9" s="1"/>
  <c r="AE106" i="9"/>
  <c r="AE209" i="9" s="1"/>
  <c r="AE136" i="9"/>
  <c r="AE219" i="9" s="1"/>
  <c r="N34" i="9"/>
  <c r="N29" i="9" s="1"/>
  <c r="M29" i="9"/>
  <c r="Q225" i="9"/>
  <c r="Q108" i="9"/>
  <c r="Q230" i="9"/>
  <c r="Q238" i="9"/>
  <c r="Q236" i="9" s="1"/>
  <c r="Q147" i="9"/>
  <c r="Q145" i="9" s="1"/>
  <c r="Q178" i="9"/>
  <c r="Q105" i="9"/>
  <c r="R230" i="9"/>
  <c r="R225" i="9"/>
  <c r="R108" i="9"/>
  <c r="R178" i="9"/>
  <c r="R147" i="9"/>
  <c r="R145" i="9" s="1"/>
  <c r="R238" i="9"/>
  <c r="R236" i="9" s="1"/>
  <c r="R105" i="9"/>
  <c r="P144" i="9"/>
  <c r="Q180" i="9"/>
  <c r="Q227" i="9"/>
  <c r="Q232" i="9"/>
  <c r="Q94" i="9" s="1"/>
  <c r="Q90" i="9" s="1"/>
  <c r="Q86" i="9" s="1"/>
  <c r="Q60" i="9" s="1"/>
  <c r="Q151" i="9"/>
  <c r="Q149" i="9" s="1"/>
  <c r="Q122" i="9"/>
  <c r="M32" i="9"/>
  <c r="L11" i="8" s="1"/>
  <c r="R179" i="9"/>
  <c r="R174" i="9" s="1"/>
  <c r="R226" i="9"/>
  <c r="R231" i="9"/>
  <c r="R85" i="9" s="1"/>
  <c r="R81" i="9" s="1"/>
  <c r="P177" i="9"/>
  <c r="P243" i="9" s="1"/>
  <c r="P251" i="9" s="1"/>
  <c r="P173" i="9"/>
  <c r="L10" i="8"/>
  <c r="P104" i="9"/>
  <c r="R151" i="9"/>
  <c r="R149" i="9" s="1"/>
  <c r="R227" i="9"/>
  <c r="R180" i="9"/>
  <c r="R232" i="9"/>
  <c r="R94" i="9" s="1"/>
  <c r="R90" i="9" s="1"/>
  <c r="R86" i="9" s="1"/>
  <c r="R60" i="9" s="1"/>
  <c r="R122" i="9"/>
  <c r="O253" i="9"/>
  <c r="K9" i="8"/>
  <c r="K8" i="8" s="1"/>
  <c r="P187" i="9"/>
  <c r="P182" i="9"/>
  <c r="L30" i="9"/>
  <c r="L28" i="9" s="1"/>
  <c r="Q226" i="9"/>
  <c r="Q231" i="9"/>
  <c r="Q85" i="9" s="1"/>
  <c r="Q81" i="9" s="1"/>
  <c r="Q179" i="9"/>
  <c r="Q174" i="9" s="1"/>
  <c r="P74" i="9"/>
  <c r="P70" i="9" s="1"/>
  <c r="P239" i="9"/>
  <c r="M35" i="9"/>
  <c r="L12" i="8" s="1"/>
  <c r="AD549" i="59"/>
  <c r="AA762" i="59"/>
  <c r="AA783" i="59" s="1"/>
  <c r="AB763" i="59"/>
  <c r="AB784" i="59" s="1"/>
  <c r="CI271" i="9" l="1"/>
  <c r="BO271" i="9"/>
  <c r="AU271" i="9"/>
  <c r="AA271" i="9"/>
  <c r="G271" i="9"/>
  <c r="BS209" i="9"/>
  <c r="BS219" i="9"/>
  <c r="BS214" i="9"/>
  <c r="BP209" i="9"/>
  <c r="BP214" i="9"/>
  <c r="BR219" i="9"/>
  <c r="BR209" i="9"/>
  <c r="BP219" i="9"/>
  <c r="BR214" i="9"/>
  <c r="BT214" i="9"/>
  <c r="BQ214" i="9"/>
  <c r="BT219" i="9"/>
  <c r="BQ209" i="9"/>
  <c r="BT209" i="9"/>
  <c r="BQ219" i="9"/>
  <c r="P171" i="9"/>
  <c r="P103" i="9" s="1"/>
  <c r="P43" i="9" s="1"/>
  <c r="Q48" i="9"/>
  <c r="P47" i="9"/>
  <c r="O31" i="9"/>
  <c r="O36" i="9"/>
  <c r="O42" i="9"/>
  <c r="R48" i="9"/>
  <c r="Q175" i="9"/>
  <c r="R175" i="9"/>
  <c r="K48" i="8"/>
  <c r="AW214" i="9"/>
  <c r="AW209" i="9"/>
  <c r="AX214" i="9"/>
  <c r="AX209" i="9"/>
  <c r="AY209" i="9"/>
  <c r="AV209" i="9"/>
  <c r="AZ214" i="9"/>
  <c r="AV214" i="9"/>
  <c r="AZ209" i="9"/>
  <c r="AY214" i="9"/>
  <c r="AA136" i="9"/>
  <c r="AA272" i="9" s="1"/>
  <c r="AA123" i="9"/>
  <c r="AA267" i="9" s="1"/>
  <c r="S633" i="59"/>
  <c r="AA106" i="9"/>
  <c r="AA260" i="9" s="1"/>
  <c r="U79" i="54"/>
  <c r="V79" i="54"/>
  <c r="Y632" i="59"/>
  <c r="S99" i="54"/>
  <c r="Z590" i="59"/>
  <c r="AA590" i="59" s="1"/>
  <c r="AB590" i="59" s="1"/>
  <c r="AC590" i="59" s="1"/>
  <c r="AD590" i="59" s="1"/>
  <c r="AA569" i="59"/>
  <c r="Z611" i="59"/>
  <c r="R100" i="54"/>
  <c r="Y612" i="59"/>
  <c r="Z570" i="59"/>
  <c r="Y591" i="59"/>
  <c r="N32" i="9"/>
  <c r="N30" i="9" s="1"/>
  <c r="N28" i="9" s="1"/>
  <c r="P253" i="9"/>
  <c r="P34" i="9" s="1"/>
  <c r="R74" i="9"/>
  <c r="R70" i="9" s="1"/>
  <c r="R239" i="9"/>
  <c r="Q104" i="9"/>
  <c r="R104" i="9"/>
  <c r="Q177" i="9"/>
  <c r="Q243" i="9" s="1"/>
  <c r="Q251" i="9" s="1"/>
  <c r="Q173" i="9"/>
  <c r="L9" i="8"/>
  <c r="L8" i="8" s="1"/>
  <c r="Q144" i="9"/>
  <c r="M30" i="9"/>
  <c r="M28" i="9" s="1"/>
  <c r="R144" i="9"/>
  <c r="R173" i="9"/>
  <c r="R177" i="9"/>
  <c r="R243" i="9" s="1"/>
  <c r="R251" i="9" s="1"/>
  <c r="Q74" i="9"/>
  <c r="Q70" i="9" s="1"/>
  <c r="Q239" i="9"/>
  <c r="O39" i="9"/>
  <c r="O37" i="9" s="1"/>
  <c r="O34" i="9"/>
  <c r="R182" i="9"/>
  <c r="R187" i="9"/>
  <c r="Q182" i="9"/>
  <c r="Q187" i="9"/>
  <c r="AD763" i="59"/>
  <c r="AD784" i="59" s="1"/>
  <c r="AC763" i="59"/>
  <c r="AC784" i="59" s="1"/>
  <c r="AB762" i="59"/>
  <c r="AB783" i="59" s="1"/>
  <c r="CI266" i="9" l="1"/>
  <c r="AU266" i="9"/>
  <c r="BO266" i="9"/>
  <c r="G266" i="9"/>
  <c r="G265" i="9" s="1"/>
  <c r="G431" i="9" s="1"/>
  <c r="CK26" i="10" s="1"/>
  <c r="AA266" i="9"/>
  <c r="AA265" i="9" s="1"/>
  <c r="AA431" i="9" s="1"/>
  <c r="G270" i="9"/>
  <c r="AA270" i="9"/>
  <c r="G259" i="9"/>
  <c r="J19" i="91"/>
  <c r="O22" i="91" s="1"/>
  <c r="O23" i="91" s="1"/>
  <c r="BU106" i="9"/>
  <c r="J20" i="91"/>
  <c r="P27" i="91" s="1"/>
  <c r="P29" i="91" s="1"/>
  <c r="BU123" i="9"/>
  <c r="BU136" i="9"/>
  <c r="I7" i="91"/>
  <c r="Q171" i="9"/>
  <c r="Q103" i="9" s="1"/>
  <c r="Q43" i="9" s="1"/>
  <c r="P42" i="9"/>
  <c r="P36" i="9"/>
  <c r="P31" i="9"/>
  <c r="O35" i="9"/>
  <c r="R171" i="9"/>
  <c r="R47" i="9"/>
  <c r="Q47" i="9"/>
  <c r="BA106" i="9"/>
  <c r="BA123" i="9"/>
  <c r="BA136" i="9"/>
  <c r="BA219" i="9" s="1"/>
  <c r="AA209" i="9"/>
  <c r="AA211" i="9" s="1" a="1"/>
  <c r="AA211" i="9" s="1"/>
  <c r="AA214" i="9"/>
  <c r="AA216" i="9" s="1" a="1"/>
  <c r="AA216" i="9" s="1"/>
  <c r="AB216" i="9" s="1" a="1"/>
  <c r="AB216" i="9" s="1"/>
  <c r="AC216" i="9" s="1" a="1"/>
  <c r="AC216" i="9" s="1"/>
  <c r="AD216" i="9" s="1" a="1"/>
  <c r="AD216" i="9" s="1"/>
  <c r="AE216" i="9" s="1" a="1"/>
  <c r="AE216" i="9" s="1"/>
  <c r="AF216" i="9" s="1" a="1"/>
  <c r="AF216" i="9" s="1"/>
  <c r="AA219" i="9"/>
  <c r="AA221" i="9" s="1" a="1"/>
  <c r="AA221" i="9" s="1"/>
  <c r="AB221" i="9" s="1" a="1"/>
  <c r="AB221" i="9" s="1"/>
  <c r="AC221" i="9" s="1" a="1"/>
  <c r="AC221" i="9" s="1"/>
  <c r="AD221" i="9" s="1" a="1"/>
  <c r="AD221" i="9" s="1"/>
  <c r="AE221" i="9" s="1" a="1"/>
  <c r="AE221" i="9" s="1"/>
  <c r="AF221" i="9" s="1" a="1"/>
  <c r="AF221" i="9" s="1"/>
  <c r="AG123" i="9"/>
  <c r="AG214" i="9" s="1"/>
  <c r="AG106" i="9"/>
  <c r="AG209" i="9" s="1"/>
  <c r="AG136" i="9"/>
  <c r="AG219" i="9" s="1"/>
  <c r="Z591" i="59"/>
  <c r="AA570" i="59"/>
  <c r="Z612" i="59"/>
  <c r="T99" i="54"/>
  <c r="AB569" i="59"/>
  <c r="AA611" i="59"/>
  <c r="AA632" i="59" s="1"/>
  <c r="Y633" i="59"/>
  <c r="S100" i="54"/>
  <c r="Z632" i="59"/>
  <c r="P39" i="9"/>
  <c r="P37" i="9" s="1"/>
  <c r="O29" i="9"/>
  <c r="O32" i="9"/>
  <c r="L48" i="8"/>
  <c r="Q253" i="9"/>
  <c r="R253" i="9"/>
  <c r="P32" i="9"/>
  <c r="AD762" i="59"/>
  <c r="AD783" i="59" s="1"/>
  <c r="AC762" i="59"/>
  <c r="AC783" i="59" s="1"/>
  <c r="G440" i="9" l="1"/>
  <c r="G439" i="9"/>
  <c r="G441" i="9"/>
  <c r="AU440" i="9"/>
  <c r="CM35" i="10" s="1"/>
  <c r="AU439" i="9"/>
  <c r="CM34" i="10" s="1"/>
  <c r="AU441" i="9"/>
  <c r="CM36" i="10" s="1"/>
  <c r="BO441" i="9"/>
  <c r="CN36" i="10" s="1"/>
  <c r="BO440" i="9"/>
  <c r="CN35" i="10" s="1"/>
  <c r="BO439" i="9"/>
  <c r="AA440" i="9"/>
  <c r="CL35" i="10" s="1"/>
  <c r="AA439" i="9"/>
  <c r="CL34" i="10" s="1"/>
  <c r="AA441" i="9"/>
  <c r="CL36" i="10" s="1"/>
  <c r="DD36" i="10" s="1"/>
  <c r="DC26" i="10"/>
  <c r="CQ26" i="10"/>
  <c r="CW26" i="10"/>
  <c r="AA430" i="9"/>
  <c r="CL25" i="10" s="1"/>
  <c r="AA432" i="9"/>
  <c r="CL27" i="10" s="1"/>
  <c r="AA438" i="9"/>
  <c r="CL33" i="10" s="1"/>
  <c r="AA435" i="9"/>
  <c r="CL30" i="10" s="1"/>
  <c r="DD30" i="10" s="1"/>
  <c r="AA433" i="9"/>
  <c r="CL28" i="10" s="1"/>
  <c r="AA434" i="9"/>
  <c r="CL29" i="10" s="1"/>
  <c r="AA429" i="9"/>
  <c r="CL24" i="10" s="1"/>
  <c r="G429" i="9"/>
  <c r="CK24" i="10" s="1"/>
  <c r="CW24" i="10" s="1"/>
  <c r="G433" i="9"/>
  <c r="CK28" i="10" s="1"/>
  <c r="G438" i="9"/>
  <c r="CK33" i="10" s="1"/>
  <c r="G434" i="9"/>
  <c r="CK29" i="10" s="1"/>
  <c r="G432" i="9"/>
  <c r="CK27" i="10" s="1"/>
  <c r="G430" i="9"/>
  <c r="CK25" i="10" s="1"/>
  <c r="G435" i="9"/>
  <c r="CK30" i="10" s="1"/>
  <c r="G258" i="9"/>
  <c r="CN34" i="10"/>
  <c r="R103" i="9"/>
  <c r="R43" i="9" s="1"/>
  <c r="O27" i="91"/>
  <c r="O29" i="91" s="1"/>
  <c r="BU219" i="9"/>
  <c r="BU214" i="9"/>
  <c r="BU209" i="9"/>
  <c r="BV123" i="9"/>
  <c r="BV106" i="9"/>
  <c r="BV136" i="9"/>
  <c r="J7" i="91"/>
  <c r="AA210" i="9" a="1"/>
  <c r="AA210" i="9" s="1"/>
  <c r="AA120" i="9" s="1"/>
  <c r="AA212" i="9" a="1"/>
  <c r="AA212" i="9" s="1"/>
  <c r="AB212" i="9" s="1" a="1"/>
  <c r="AB212" i="9" s="1"/>
  <c r="R36" i="9"/>
  <c r="R31" i="9"/>
  <c r="R42" i="9"/>
  <c r="Q31" i="9"/>
  <c r="Q42" i="9"/>
  <c r="Q36" i="9"/>
  <c r="O30" i="9"/>
  <c r="O28" i="9" s="1"/>
  <c r="P30" i="9"/>
  <c r="P35" i="9"/>
  <c r="CL26" i="10"/>
  <c r="AA215" i="9" a="1"/>
  <c r="AA215" i="9" s="1"/>
  <c r="AA133" i="9" s="1"/>
  <c r="AA217" i="9" a="1"/>
  <c r="AA217" i="9" s="1"/>
  <c r="AB217" i="9" s="1" a="1"/>
  <c r="AB217" i="9" s="1"/>
  <c r="AC217" i="9" s="1" a="1"/>
  <c r="AC217" i="9" s="1"/>
  <c r="AD217" i="9" s="1" a="1"/>
  <c r="AD217" i="9" s="1"/>
  <c r="AE217" i="9" s="1" a="1"/>
  <c r="AE217" i="9" s="1"/>
  <c r="AF217" i="9" s="1" a="1"/>
  <c r="AF217" i="9" s="1"/>
  <c r="AG217" i="9" s="1" a="1"/>
  <c r="AG217" i="9" s="1"/>
  <c r="BA214" i="9"/>
  <c r="BB106" i="9"/>
  <c r="BB136" i="9"/>
  <c r="BB219" i="9" s="1"/>
  <c r="BB123" i="9"/>
  <c r="BA209" i="9"/>
  <c r="AA220" i="9" a="1"/>
  <c r="AA220" i="9" s="1"/>
  <c r="AA142" i="9" s="1"/>
  <c r="AA137" i="9" s="1"/>
  <c r="N29" i="8" s="1"/>
  <c r="AA222" i="9" a="1"/>
  <c r="AA222" i="9" s="1"/>
  <c r="AB222" i="9" s="1" a="1"/>
  <c r="AB222" i="9" s="1"/>
  <c r="AC222" i="9" s="1" a="1"/>
  <c r="AC222" i="9" s="1"/>
  <c r="AD222" i="9" s="1" a="1"/>
  <c r="AD222" i="9" s="1"/>
  <c r="AE222" i="9" s="1" a="1"/>
  <c r="AE222" i="9" s="1"/>
  <c r="AF222" i="9" s="1" a="1"/>
  <c r="AF222" i="9" s="1"/>
  <c r="AG222" i="9" s="1" a="1"/>
  <c r="AG222" i="9" s="1"/>
  <c r="AG216" i="9" a="1"/>
  <c r="AG216" i="9" s="1"/>
  <c r="AG221" i="9" a="1"/>
  <c r="AG221" i="9" s="1"/>
  <c r="Z633" i="59"/>
  <c r="AA612" i="59"/>
  <c r="AB570" i="59"/>
  <c r="AH136" i="9"/>
  <c r="AH219" i="9" s="1"/>
  <c r="AA591" i="59"/>
  <c r="AH106" i="9"/>
  <c r="AH209" i="9" s="1"/>
  <c r="AH123" i="9"/>
  <c r="AH214" i="9" s="1"/>
  <c r="AB611" i="59"/>
  <c r="AB632" i="59" s="1"/>
  <c r="AC569" i="59"/>
  <c r="U99" i="54"/>
  <c r="V99" i="54"/>
  <c r="T100" i="54"/>
  <c r="P29" i="9"/>
  <c r="Q34" i="9"/>
  <c r="Q39" i="9"/>
  <c r="Q37" i="9" s="1"/>
  <c r="R39" i="9"/>
  <c r="R37" i="9" s="1"/>
  <c r="R34" i="9"/>
  <c r="AB211" i="9" a="1"/>
  <c r="AB211" i="9" s="1"/>
  <c r="AA169" i="9"/>
  <c r="N44" i="8" s="1"/>
  <c r="CQ24" i="10" l="1"/>
  <c r="DC24" i="10"/>
  <c r="DC30" i="10"/>
  <c r="CQ30" i="10"/>
  <c r="CW30" i="10"/>
  <c r="DC25" i="10"/>
  <c r="CQ25" i="10"/>
  <c r="CW25" i="10"/>
  <c r="DC27" i="10"/>
  <c r="CW27" i="10"/>
  <c r="CQ27" i="10"/>
  <c r="DC29" i="10"/>
  <c r="CQ29" i="10"/>
  <c r="CW29" i="10"/>
  <c r="DC33" i="10"/>
  <c r="CQ33" i="10"/>
  <c r="CW33" i="10"/>
  <c r="DC28" i="10"/>
  <c r="CQ28" i="10"/>
  <c r="CW28" i="10"/>
  <c r="G414" i="9"/>
  <c r="CK9" i="10" s="1"/>
  <c r="DC9" i="10" s="1"/>
  <c r="G409" i="9"/>
  <c r="CK4" i="10" s="1"/>
  <c r="CK34" i="10"/>
  <c r="CK36" i="10"/>
  <c r="G427" i="9"/>
  <c r="CK22" i="10" s="1"/>
  <c r="CK35" i="10"/>
  <c r="DF36" i="10"/>
  <c r="CT36" i="10"/>
  <c r="CZ36" i="10"/>
  <c r="DF34" i="10"/>
  <c r="CT34" i="10"/>
  <c r="CZ34" i="10"/>
  <c r="DF35" i="10"/>
  <c r="CT35" i="10"/>
  <c r="CZ35" i="10"/>
  <c r="G428" i="9"/>
  <c r="CK23" i="10" s="1"/>
  <c r="G417" i="9"/>
  <c r="CK12" i="10" s="1"/>
  <c r="G423" i="9"/>
  <c r="CK18" i="10" s="1"/>
  <c r="G418" i="9"/>
  <c r="CK13" i="10" s="1"/>
  <c r="G421" i="9"/>
  <c r="CK16" i="10" s="1"/>
  <c r="G413" i="9"/>
  <c r="CK8" i="10" s="1"/>
  <c r="G424" i="9"/>
  <c r="CK19" i="10" s="1"/>
  <c r="G412" i="9"/>
  <c r="CK7" i="10" s="1"/>
  <c r="G426" i="9"/>
  <c r="CK21" i="10" s="1"/>
  <c r="G411" i="9"/>
  <c r="CK6" i="10" s="1"/>
  <c r="G419" i="9"/>
  <c r="CK14" i="10" s="1"/>
  <c r="G425" i="9"/>
  <c r="CK20" i="10" s="1"/>
  <c r="G420" i="9"/>
  <c r="CK15" i="10" s="1"/>
  <c r="G410" i="9"/>
  <c r="CK5" i="10" s="1"/>
  <c r="G415" i="9"/>
  <c r="CK10" i="10" s="1"/>
  <c r="G422" i="9"/>
  <c r="CK17" i="10" s="1"/>
  <c r="BV219" i="9"/>
  <c r="BV209" i="9"/>
  <c r="BV214" i="9"/>
  <c r="BW136" i="9"/>
  <c r="BW123" i="9"/>
  <c r="BW106" i="9"/>
  <c r="DE34" i="10"/>
  <c r="CS34" i="10"/>
  <c r="CY34" i="10"/>
  <c r="DE36" i="10"/>
  <c r="CS36" i="10"/>
  <c r="CY36" i="10"/>
  <c r="DE35" i="10"/>
  <c r="CS35" i="10"/>
  <c r="CY35" i="10"/>
  <c r="AB215" i="9" a="1"/>
  <c r="AB215" i="9" s="1"/>
  <c r="AB133" i="9" s="1"/>
  <c r="CR36" i="10"/>
  <c r="CX36" i="10"/>
  <c r="CR30" i="10"/>
  <c r="CX30" i="10"/>
  <c r="DD33" i="10"/>
  <c r="DD28" i="10"/>
  <c r="DD27" i="10"/>
  <c r="DD29" i="10"/>
  <c r="DD26" i="10"/>
  <c r="DD35" i="10"/>
  <c r="DD24" i="10"/>
  <c r="DD25" i="10"/>
  <c r="DD34" i="10"/>
  <c r="AB210" i="9" a="1"/>
  <c r="AB210" i="9" s="1"/>
  <c r="AB120" i="9" s="1"/>
  <c r="P28" i="9"/>
  <c r="R35" i="9"/>
  <c r="Q35" i="9"/>
  <c r="AA100" i="9"/>
  <c r="N22" i="8" s="1"/>
  <c r="BC106" i="9"/>
  <c r="BC136" i="9"/>
  <c r="BC219" i="9" s="1"/>
  <c r="BC123" i="9"/>
  <c r="BB209" i="9"/>
  <c r="BB214" i="9"/>
  <c r="AB220" i="9" a="1"/>
  <c r="AB220" i="9" s="1"/>
  <c r="AB142" i="9" s="1"/>
  <c r="AB137" i="9" s="1"/>
  <c r="O29" i="8" s="1"/>
  <c r="AH217" i="9" a="1"/>
  <c r="AH217" i="9" s="1"/>
  <c r="AH221" i="9" a="1"/>
  <c r="AH221" i="9" s="1"/>
  <c r="U100" i="54"/>
  <c r="V100" i="54"/>
  <c r="AB591" i="59"/>
  <c r="AI136" i="9"/>
  <c r="AI219" i="9" s="1"/>
  <c r="AI106" i="9"/>
  <c r="AI209" i="9" s="1"/>
  <c r="AI123" i="9"/>
  <c r="AI214" i="9" s="1"/>
  <c r="AH222" i="9" a="1"/>
  <c r="AH222" i="9" s="1"/>
  <c r="AC611" i="59"/>
  <c r="AC632" i="59" s="1"/>
  <c r="AD569" i="59"/>
  <c r="AD611" i="59" s="1"/>
  <c r="AD632" i="59" s="1"/>
  <c r="AH216" i="9" a="1"/>
  <c r="AH216" i="9" s="1"/>
  <c r="AC570" i="59"/>
  <c r="AB612" i="59"/>
  <c r="AA633" i="59"/>
  <c r="Q29" i="9"/>
  <c r="Q32" i="9"/>
  <c r="R29" i="9"/>
  <c r="R32" i="9"/>
  <c r="AA124" i="9"/>
  <c r="N28" i="8" s="1"/>
  <c r="AC211" i="9" a="1"/>
  <c r="AC211" i="9" s="1"/>
  <c r="AB169" i="9"/>
  <c r="O44" i="8" s="1"/>
  <c r="AA110" i="9"/>
  <c r="N26" i="8" s="1"/>
  <c r="AA114" i="9"/>
  <c r="N27" i="8" s="1"/>
  <c r="AC212" i="9" a="1"/>
  <c r="AC212" i="9" s="1"/>
  <c r="AB100" i="9"/>
  <c r="O22" i="8" s="1"/>
  <c r="AA135" i="9"/>
  <c r="AA233" i="9"/>
  <c r="AA228" i="9"/>
  <c r="AA181" i="9"/>
  <c r="N42" i="8" s="1"/>
  <c r="CW9" i="10" l="1"/>
  <c r="CQ9" i="10"/>
  <c r="DC35" i="10"/>
  <c r="CQ35" i="10"/>
  <c r="CW35" i="10"/>
  <c r="DC22" i="10"/>
  <c r="CQ22" i="10"/>
  <c r="CW22" i="10"/>
  <c r="DC36" i="10"/>
  <c r="CQ36" i="10"/>
  <c r="CW36" i="10"/>
  <c r="DC34" i="10"/>
  <c r="CW34" i="10"/>
  <c r="CQ34" i="10"/>
  <c r="DC4" i="10"/>
  <c r="CQ4" i="10"/>
  <c r="CW4" i="10"/>
  <c r="DC7" i="10"/>
  <c r="CQ7" i="10"/>
  <c r="CW7" i="10"/>
  <c r="DC10" i="10"/>
  <c r="CQ10" i="10"/>
  <c r="CW10" i="10"/>
  <c r="DC19" i="10"/>
  <c r="CQ19" i="10"/>
  <c r="CW19" i="10"/>
  <c r="DC5" i="10"/>
  <c r="CQ5" i="10"/>
  <c r="CW5" i="10"/>
  <c r="DC8" i="10"/>
  <c r="CQ8" i="10"/>
  <c r="CW8" i="10"/>
  <c r="DC15" i="10"/>
  <c r="CQ15" i="10"/>
  <c r="CW15" i="10"/>
  <c r="DC16" i="10"/>
  <c r="CQ16" i="10"/>
  <c r="CW16" i="10"/>
  <c r="DC20" i="10"/>
  <c r="CW20" i="10"/>
  <c r="CQ20" i="10"/>
  <c r="DC13" i="10"/>
  <c r="CW13" i="10"/>
  <c r="CQ13" i="10"/>
  <c r="DC14" i="10"/>
  <c r="CQ14" i="10"/>
  <c r="CW14" i="10"/>
  <c r="DC18" i="10"/>
  <c r="CQ18" i="10"/>
  <c r="CW18" i="10"/>
  <c r="DC6" i="10"/>
  <c r="CQ6" i="10"/>
  <c r="CW6" i="10"/>
  <c r="DC12" i="10"/>
  <c r="CQ12" i="10"/>
  <c r="CW12" i="10"/>
  <c r="DC17" i="10"/>
  <c r="CQ17" i="10"/>
  <c r="CW17" i="10"/>
  <c r="DC21" i="10"/>
  <c r="CQ21" i="10"/>
  <c r="CW21" i="10"/>
  <c r="DC23" i="10"/>
  <c r="CW23" i="10"/>
  <c r="CQ23" i="10"/>
  <c r="BW219" i="9"/>
  <c r="BW214" i="9"/>
  <c r="BX136" i="9"/>
  <c r="BX106" i="9"/>
  <c r="BX123" i="9"/>
  <c r="BW209" i="9"/>
  <c r="AC215" i="9" a="1"/>
  <c r="AC215" i="9" s="1"/>
  <c r="AC133" i="9" s="1"/>
  <c r="AC210" i="9" a="1"/>
  <c r="AC210" i="9" s="1"/>
  <c r="AC120" i="9" s="1"/>
  <c r="CR25" i="10"/>
  <c r="CX25" i="10"/>
  <c r="CR27" i="10"/>
  <c r="CX27" i="10"/>
  <c r="CR24" i="10"/>
  <c r="CX24" i="10"/>
  <c r="CR26" i="10"/>
  <c r="CX26" i="10"/>
  <c r="CR29" i="10"/>
  <c r="CX29" i="10"/>
  <c r="CR28" i="10"/>
  <c r="CX28" i="10"/>
  <c r="CR34" i="10"/>
  <c r="CX34" i="10"/>
  <c r="CR35" i="10"/>
  <c r="CX35" i="10"/>
  <c r="CR33" i="10"/>
  <c r="CX33" i="10"/>
  <c r="N25" i="8"/>
  <c r="R30" i="9"/>
  <c r="R28" i="9" s="1"/>
  <c r="Q30" i="9"/>
  <c r="Q28" i="9" s="1"/>
  <c r="BD136" i="9"/>
  <c r="BD219" i="9" s="1"/>
  <c r="BD123" i="9"/>
  <c r="BD106" i="9"/>
  <c r="BC214" i="9"/>
  <c r="BC209" i="9"/>
  <c r="AC220" i="9" a="1"/>
  <c r="AC220" i="9" s="1"/>
  <c r="AC142" i="9" s="1"/>
  <c r="AC137" i="9" s="1"/>
  <c r="P29" i="8" s="1"/>
  <c r="AI221" i="9" a="1"/>
  <c r="AI221" i="9" s="1"/>
  <c r="AI222" i="9" a="1"/>
  <c r="AI222" i="9" s="1"/>
  <c r="AB633" i="59"/>
  <c r="AI216" i="9" a="1"/>
  <c r="AI216" i="9" s="1"/>
  <c r="AI217" i="9" a="1"/>
  <c r="AI217" i="9" s="1"/>
  <c r="AD570" i="59"/>
  <c r="AD612" i="59" s="1"/>
  <c r="AC612" i="59"/>
  <c r="AC591" i="59"/>
  <c r="AJ123" i="9"/>
  <c r="AJ214" i="9" s="1"/>
  <c r="AJ106" i="9"/>
  <c r="AJ209" i="9" s="1"/>
  <c r="AJ136" i="9"/>
  <c r="AJ219" i="9" s="1"/>
  <c r="AA176" i="9"/>
  <c r="N53" i="8"/>
  <c r="AB135" i="9"/>
  <c r="AB228" i="9"/>
  <c r="AB181" i="9"/>
  <c r="O42" i="8" s="1"/>
  <c r="AB233" i="9"/>
  <c r="AC169" i="9"/>
  <c r="P44" i="8" s="1"/>
  <c r="AD211" i="9" a="1"/>
  <c r="AD211" i="9" s="1"/>
  <c r="AB110" i="9"/>
  <c r="O26" i="8" s="1"/>
  <c r="AB114" i="9"/>
  <c r="O27" i="8" s="1"/>
  <c r="AC100" i="9"/>
  <c r="P22" i="8" s="1"/>
  <c r="AD212" i="9" a="1"/>
  <c r="AD212" i="9" s="1"/>
  <c r="AA179" i="9"/>
  <c r="AA174" i="9" s="1"/>
  <c r="AA226" i="9"/>
  <c r="AA231" i="9"/>
  <c r="AA85" i="9" s="1"/>
  <c r="AA81" i="9" s="1"/>
  <c r="AA180" i="9"/>
  <c r="N41" i="8" s="1"/>
  <c r="AA151" i="9"/>
  <c r="AA149" i="9" s="1"/>
  <c r="N36" i="8" s="1"/>
  <c r="AA227" i="9"/>
  <c r="AA232" i="9"/>
  <c r="AA94" i="9" s="1"/>
  <c r="AA90" i="9" s="1"/>
  <c r="AA86" i="9" s="1"/>
  <c r="AA60" i="9" s="1"/>
  <c r="N19" i="8" s="1"/>
  <c r="AA122" i="9"/>
  <c r="AA147" i="9"/>
  <c r="AA145" i="9" s="1"/>
  <c r="AA178" i="9"/>
  <c r="AA230" i="9"/>
  <c r="AA74" i="9" s="1"/>
  <c r="AA70" i="9" s="1"/>
  <c r="AA225" i="9"/>
  <c r="AA108" i="9"/>
  <c r="AA238" i="9"/>
  <c r="AA105" i="9"/>
  <c r="AB124" i="9"/>
  <c r="O28" i="8" s="1"/>
  <c r="L1055" i="79"/>
  <c r="L1030" i="79" s="1"/>
  <c r="K1055" i="79"/>
  <c r="K1030" i="79" s="1"/>
  <c r="T172" i="52" s="1"/>
  <c r="T11" i="52" s="1"/>
  <c r="I1055" i="79"/>
  <c r="M1055" i="79"/>
  <c r="M1030" i="79" s="1"/>
  <c r="G1055" i="79"/>
  <c r="J1055" i="79"/>
  <c r="J1028" i="79" s="1"/>
  <c r="BG172" i="52" s="1"/>
  <c r="H1055" i="79"/>
  <c r="H1030" i="79" s="1"/>
  <c r="BY106" i="9" l="1"/>
  <c r="BY136" i="9"/>
  <c r="BY123" i="9"/>
  <c r="BX214" i="9"/>
  <c r="BX209" i="9"/>
  <c r="BX219" i="9"/>
  <c r="AD215" i="9" a="1"/>
  <c r="AD215" i="9" s="1"/>
  <c r="AE215" i="9" s="1" a="1"/>
  <c r="AE215" i="9" s="1"/>
  <c r="AD210" i="9" a="1"/>
  <c r="AD210" i="9" s="1"/>
  <c r="AE210" i="9" s="1" a="1"/>
  <c r="AE210" i="9" s="1"/>
  <c r="N40" i="8"/>
  <c r="N39" i="8" s="1"/>
  <c r="O25" i="8"/>
  <c r="AD220" i="9" a="1"/>
  <c r="AD220" i="9" s="1"/>
  <c r="AD142" i="9" s="1"/>
  <c r="AD137" i="9" s="1"/>
  <c r="Q29" i="8" s="1"/>
  <c r="BD214" i="9"/>
  <c r="BD209" i="9"/>
  <c r="BE136" i="9"/>
  <c r="BE219" i="9" s="1"/>
  <c r="BE123" i="9"/>
  <c r="BE106" i="9"/>
  <c r="BG11" i="52"/>
  <c r="AJ222" i="9" a="1"/>
  <c r="AJ222" i="9" s="1"/>
  <c r="AK106" i="9"/>
  <c r="AK209" i="9" s="1"/>
  <c r="AD591" i="59"/>
  <c r="AK123" i="9"/>
  <c r="AK214" i="9" s="1"/>
  <c r="AK136" i="9"/>
  <c r="AK219" i="9" s="1"/>
  <c r="AC633" i="59"/>
  <c r="AJ221" i="9" a="1"/>
  <c r="AJ221" i="9" s="1"/>
  <c r="AJ217" i="9" a="1"/>
  <c r="AJ217" i="9" s="1"/>
  <c r="AJ216" i="9" a="1"/>
  <c r="AJ216" i="9" s="1"/>
  <c r="AA104" i="9"/>
  <c r="O373" i="54"/>
  <c r="W682" i="59" s="1"/>
  <c r="AA144" i="9"/>
  <c r="N35" i="8" s="1"/>
  <c r="N33" i="8" s="1"/>
  <c r="AC114" i="9"/>
  <c r="P27" i="8" s="1"/>
  <c r="AC110" i="9"/>
  <c r="P26" i="8" s="1"/>
  <c r="AA48" i="9"/>
  <c r="N21" i="8" s="1"/>
  <c r="N14" i="8" s="1"/>
  <c r="AA187" i="9"/>
  <c r="N56" i="8" s="1"/>
  <c r="AA182" i="9"/>
  <c r="AC135" i="9"/>
  <c r="AC228" i="9"/>
  <c r="AC181" i="9"/>
  <c r="P42" i="8" s="1"/>
  <c r="AC233" i="9"/>
  <c r="O53" i="8"/>
  <c r="AB176" i="9"/>
  <c r="AB180" i="9"/>
  <c r="O41" i="8" s="1"/>
  <c r="AB232" i="9"/>
  <c r="AB94" i="9" s="1"/>
  <c r="AB90" i="9" s="1"/>
  <c r="AB86" i="9" s="1"/>
  <c r="AB60" i="9" s="1"/>
  <c r="O19" i="8" s="1"/>
  <c r="AB151" i="9"/>
  <c r="AB149" i="9" s="1"/>
  <c r="O36" i="8" s="1"/>
  <c r="AB227" i="9"/>
  <c r="AB122" i="9"/>
  <c r="AA239" i="9"/>
  <c r="N46" i="8" s="1"/>
  <c r="AD169" i="9"/>
  <c r="Q44" i="8" s="1"/>
  <c r="AE211" i="9" a="1"/>
  <c r="AE211" i="9" s="1"/>
  <c r="AA173" i="9"/>
  <c r="N51" i="8"/>
  <c r="AA177" i="9"/>
  <c r="N52" i="8"/>
  <c r="AA175" i="9"/>
  <c r="AD100" i="9"/>
  <c r="Q22" i="8" s="1"/>
  <c r="AE212" i="9" a="1"/>
  <c r="AE212" i="9" s="1"/>
  <c r="AB178" i="9"/>
  <c r="AB230" i="9"/>
  <c r="AB74" i="9" s="1"/>
  <c r="AB70" i="9" s="1"/>
  <c r="AB225" i="9"/>
  <c r="AB147" i="9"/>
  <c r="AB145" i="9" s="1"/>
  <c r="AB108" i="9"/>
  <c r="AB238" i="9"/>
  <c r="AB105" i="9"/>
  <c r="AA236" i="9"/>
  <c r="AC124" i="9"/>
  <c r="P28" i="8" s="1"/>
  <c r="AB231" i="9"/>
  <c r="AB85" i="9" s="1"/>
  <c r="AB81" i="9" s="1"/>
  <c r="AB179" i="9"/>
  <c r="AB174" i="9" s="1"/>
  <c r="AB226" i="9"/>
  <c r="J1029" i="79"/>
  <c r="BG178" i="52" s="1"/>
  <c r="H1028" i="79"/>
  <c r="BE172" i="52" s="1"/>
  <c r="M1028" i="79"/>
  <c r="BJ172" i="52" s="1"/>
  <c r="Q172" i="52"/>
  <c r="Q11" i="52" s="1"/>
  <c r="H1031" i="79"/>
  <c r="Q178" i="52" s="1"/>
  <c r="Q12" i="52" s="1"/>
  <c r="M1031" i="79"/>
  <c r="V178" i="52" s="1"/>
  <c r="V12" i="52" s="1"/>
  <c r="V172" i="52"/>
  <c r="V11" i="52" s="1"/>
  <c r="J1030" i="79"/>
  <c r="J1024" i="79" s="1"/>
  <c r="J998" i="79" s="1"/>
  <c r="K172" i="52" s="1"/>
  <c r="K1028" i="79"/>
  <c r="BH172" i="52" s="1"/>
  <c r="L1028" i="79"/>
  <c r="BI172" i="52" s="1"/>
  <c r="I1030" i="79"/>
  <c r="I1028" i="79"/>
  <c r="BF172" i="52" s="1"/>
  <c r="K1031" i="79"/>
  <c r="T178" i="52" s="1"/>
  <c r="T12" i="52" s="1"/>
  <c r="G1028" i="79"/>
  <c r="BD172" i="52" s="1"/>
  <c r="G1030" i="79"/>
  <c r="U172" i="52"/>
  <c r="U11" i="52" s="1"/>
  <c r="L1031" i="79"/>
  <c r="U178" i="52" s="1"/>
  <c r="U12" i="52" s="1"/>
  <c r="AD133" i="9" l="1"/>
  <c r="AD124" i="9" s="1"/>
  <c r="Q28" i="8" s="1"/>
  <c r="BY214" i="9"/>
  <c r="BZ123" i="9"/>
  <c r="BZ106" i="9"/>
  <c r="BZ136" i="9"/>
  <c r="BY219" i="9"/>
  <c r="BY209" i="9"/>
  <c r="AD120" i="9"/>
  <c r="AD110" i="9" s="1"/>
  <c r="Q26" i="8" s="1"/>
  <c r="N24" i="8"/>
  <c r="N23" i="8"/>
  <c r="O40" i="8"/>
  <c r="O39" i="8" s="1"/>
  <c r="AE220" i="9" a="1"/>
  <c r="AE220" i="9" s="1"/>
  <c r="AF220" i="9" s="1" a="1"/>
  <c r="AF220" i="9" s="1"/>
  <c r="P25" i="8"/>
  <c r="BF136" i="9"/>
  <c r="BF219" i="9" s="1"/>
  <c r="BF123" i="9"/>
  <c r="BF106" i="9"/>
  <c r="BE214" i="9"/>
  <c r="BE209" i="9"/>
  <c r="AK222" i="9" a="1"/>
  <c r="AK222" i="9" s="1"/>
  <c r="Q373" i="54"/>
  <c r="R373" i="54" s="1"/>
  <c r="S373" i="54" s="1"/>
  <c r="T373" i="54" s="1"/>
  <c r="U373" i="54" s="1"/>
  <c r="V373" i="54" s="1"/>
  <c r="BD11" i="52"/>
  <c r="Q374" i="54"/>
  <c r="AK217" i="9" a="1"/>
  <c r="AK217" i="9" s="1"/>
  <c r="BH11" i="52"/>
  <c r="BG12" i="52"/>
  <c r="BJ11" i="52"/>
  <c r="AK221" i="9" a="1"/>
  <c r="AK221" i="9" s="1"/>
  <c r="BF11" i="52"/>
  <c r="BI11" i="52"/>
  <c r="BE11" i="52"/>
  <c r="AK216" i="9" a="1"/>
  <c r="AK216" i="9" s="1"/>
  <c r="K11" i="52"/>
  <c r="AD633" i="59"/>
  <c r="AL136" i="9"/>
  <c r="AL219" i="9" s="1"/>
  <c r="AL123" i="9"/>
  <c r="AL214" i="9" s="1"/>
  <c r="AL106" i="9"/>
  <c r="AL209" i="9" s="1"/>
  <c r="AA171" i="9"/>
  <c r="AA103" i="9" s="1"/>
  <c r="AA43" i="9" s="1"/>
  <c r="P374" i="54"/>
  <c r="X683" i="59" s="1"/>
  <c r="O374" i="54"/>
  <c r="W683" i="59" s="1"/>
  <c r="L374" i="54"/>
  <c r="T683" i="59" s="1"/>
  <c r="P373" i="54"/>
  <c r="X682" i="59" s="1"/>
  <c r="L373" i="54"/>
  <c r="T682" i="59" s="1"/>
  <c r="AB104" i="9"/>
  <c r="AB144" i="9"/>
  <c r="O35" i="8" s="1"/>
  <c r="O33" i="8" s="1"/>
  <c r="AE169" i="9"/>
  <c r="R44" i="8" s="1"/>
  <c r="AF211" i="9" a="1"/>
  <c r="AF211" i="9" s="1"/>
  <c r="AB48" i="9"/>
  <c r="O21" i="8" s="1"/>
  <c r="O14" i="8" s="1"/>
  <c r="P53" i="8"/>
  <c r="AC176" i="9"/>
  <c r="AE120" i="9"/>
  <c r="AF210" i="9" a="1"/>
  <c r="AF210" i="9" s="1"/>
  <c r="AB187" i="9"/>
  <c r="O56" i="8" s="1"/>
  <c r="AB182" i="9"/>
  <c r="AB175" i="9"/>
  <c r="O52" i="8"/>
  <c r="AD135" i="9"/>
  <c r="AD181" i="9"/>
  <c r="Q42" i="8" s="1"/>
  <c r="AD233" i="9"/>
  <c r="AD228" i="9"/>
  <c r="AB239" i="9"/>
  <c r="O46" i="8" s="1"/>
  <c r="N55" i="8"/>
  <c r="N54" i="8" s="1"/>
  <c r="AA253" i="9"/>
  <c r="AC178" i="9"/>
  <c r="AC230" i="9"/>
  <c r="AC74" i="9" s="1"/>
  <c r="AC70" i="9" s="1"/>
  <c r="AC225" i="9"/>
  <c r="AC108" i="9"/>
  <c r="AC147" i="9"/>
  <c r="AC145" i="9" s="1"/>
  <c r="AC238" i="9"/>
  <c r="AC105" i="9"/>
  <c r="AB173" i="9"/>
  <c r="O51" i="8"/>
  <c r="AB177" i="9"/>
  <c r="AA243" i="9"/>
  <c r="N50" i="8"/>
  <c r="AC179" i="9"/>
  <c r="AC174" i="9" s="1"/>
  <c r="AC226" i="9"/>
  <c r="AC231" i="9"/>
  <c r="AC85" i="9" s="1"/>
  <c r="AC81" i="9" s="1"/>
  <c r="AC180" i="9"/>
  <c r="P41" i="8" s="1"/>
  <c r="AC227" i="9"/>
  <c r="AC151" i="9"/>
  <c r="AC149" i="9" s="1"/>
  <c r="P36" i="8" s="1"/>
  <c r="AC232" i="9"/>
  <c r="AC94" i="9" s="1"/>
  <c r="AC90" i="9" s="1"/>
  <c r="AC86" i="9" s="1"/>
  <c r="AC60" i="9" s="1"/>
  <c r="P19" i="8" s="1"/>
  <c r="AC122" i="9"/>
  <c r="AE100" i="9"/>
  <c r="R22" i="8" s="1"/>
  <c r="AF212" i="9" a="1"/>
  <c r="AF212" i="9" s="1"/>
  <c r="AA47" i="9"/>
  <c r="AE133" i="9"/>
  <c r="AF215" i="9" a="1"/>
  <c r="AF215" i="9" s="1"/>
  <c r="AB236" i="9"/>
  <c r="G1029" i="79"/>
  <c r="BD178" i="52" s="1"/>
  <c r="G1024" i="79"/>
  <c r="G998" i="79" s="1"/>
  <c r="H172" i="52" s="1"/>
  <c r="M1029" i="79"/>
  <c r="BJ178" i="52" s="1"/>
  <c r="M1024" i="79"/>
  <c r="M998" i="79" s="1"/>
  <c r="N172" i="52" s="1"/>
  <c r="I1029" i="79"/>
  <c r="BF178" i="52" s="1"/>
  <c r="I1024" i="79"/>
  <c r="I998" i="79" s="1"/>
  <c r="J172" i="52" s="1"/>
  <c r="L1029" i="79"/>
  <c r="BI178" i="52" s="1"/>
  <c r="L1024" i="79"/>
  <c r="L998" i="79" s="1"/>
  <c r="M172" i="52" s="1"/>
  <c r="H1029" i="79"/>
  <c r="BE178" i="52" s="1"/>
  <c r="H1024" i="79"/>
  <c r="H998" i="79" s="1"/>
  <c r="I172" i="52" s="1"/>
  <c r="K1029" i="79"/>
  <c r="BH178" i="52" s="1"/>
  <c r="K1024" i="79"/>
  <c r="K998" i="79" s="1"/>
  <c r="L172" i="52" s="1"/>
  <c r="S172" i="52"/>
  <c r="S11" i="52" s="1"/>
  <c r="J1031" i="79"/>
  <c r="S178" i="52" s="1"/>
  <c r="S12" i="52" s="1"/>
  <c r="P172" i="52"/>
  <c r="P11" i="52" s="1"/>
  <c r="G1031" i="79"/>
  <c r="P178" i="52" s="1"/>
  <c r="P12" i="52" s="1"/>
  <c r="I1031" i="79"/>
  <c r="R178" i="52" s="1"/>
  <c r="R12" i="52" s="1"/>
  <c r="R172" i="52"/>
  <c r="R11" i="52" s="1"/>
  <c r="BZ219" i="9" l="1"/>
  <c r="BZ209" i="9"/>
  <c r="BZ214" i="9"/>
  <c r="AD114" i="9"/>
  <c r="Q27" i="8" s="1"/>
  <c r="Q25" i="8" s="1"/>
  <c r="O24" i="8"/>
  <c r="Y682" i="59"/>
  <c r="AE142" i="9"/>
  <c r="AE137" i="9" s="1"/>
  <c r="R29" i="8" s="1"/>
  <c r="O23" i="8"/>
  <c r="P40" i="8"/>
  <c r="P39" i="8" s="1"/>
  <c r="BF209" i="9"/>
  <c r="BF214" i="9"/>
  <c r="Y683" i="59"/>
  <c r="R374" i="54"/>
  <c r="S374" i="54" s="1"/>
  <c r="T374" i="54" s="1"/>
  <c r="U374" i="54" s="1"/>
  <c r="V374" i="54" s="1"/>
  <c r="BD12" i="52"/>
  <c r="BF12" i="52"/>
  <c r="AL216" i="9" a="1"/>
  <c r="AL216" i="9" s="1"/>
  <c r="AL222" i="9" a="1"/>
  <c r="AL222" i="9" s="1"/>
  <c r="AL221" i="9" a="1"/>
  <c r="AL221" i="9" s="1"/>
  <c r="AL217" i="9" a="1"/>
  <c r="AL217" i="9" s="1"/>
  <c r="M11" i="52"/>
  <c r="L11" i="52"/>
  <c r="N11" i="52"/>
  <c r="J11" i="52"/>
  <c r="I11" i="52"/>
  <c r="H11" i="52"/>
  <c r="N128" i="54"/>
  <c r="N19" i="54" s="1"/>
  <c r="V489" i="59" s="1"/>
  <c r="M373" i="54"/>
  <c r="U682" i="59" s="1"/>
  <c r="K374" i="54"/>
  <c r="S683" i="59" s="1"/>
  <c r="K373" i="54"/>
  <c r="S682" i="59" s="1"/>
  <c r="M374" i="54"/>
  <c r="U683" i="59" s="1"/>
  <c r="N374" i="54"/>
  <c r="V683" i="59" s="1"/>
  <c r="N373" i="54"/>
  <c r="V682" i="59" s="1"/>
  <c r="AB171" i="9"/>
  <c r="AB103" i="9" s="1"/>
  <c r="AB43" i="9" s="1"/>
  <c r="AC104" i="9"/>
  <c r="AA31" i="9"/>
  <c r="N10" i="8" s="1"/>
  <c r="AA36" i="9"/>
  <c r="AA42" i="9"/>
  <c r="AC236" i="9"/>
  <c r="AD176" i="9"/>
  <c r="Q53" i="8"/>
  <c r="AF120" i="9"/>
  <c r="AG210" i="9" a="1"/>
  <c r="AG210" i="9" s="1"/>
  <c r="AC175" i="9"/>
  <c r="P52" i="8"/>
  <c r="N58" i="8"/>
  <c r="AA251" i="9"/>
  <c r="AC144" i="9"/>
  <c r="P35" i="8" s="1"/>
  <c r="P33" i="8" s="1"/>
  <c r="AE110" i="9"/>
  <c r="R26" i="8" s="1"/>
  <c r="AE114" i="9"/>
  <c r="R27" i="8" s="1"/>
  <c r="AF100" i="9"/>
  <c r="S22" i="8" s="1"/>
  <c r="AG212" i="9" a="1"/>
  <c r="AG212" i="9" s="1"/>
  <c r="AB243" i="9"/>
  <c r="O50" i="8"/>
  <c r="AF142" i="9"/>
  <c r="AF137" i="9" s="1"/>
  <c r="S29" i="8" s="1"/>
  <c r="AG220" i="9" a="1"/>
  <c r="AG220" i="9" s="1"/>
  <c r="AB47" i="9"/>
  <c r="AF133" i="9"/>
  <c r="AG215" i="9" a="1"/>
  <c r="AG215" i="9" s="1"/>
  <c r="AD232" i="9"/>
  <c r="AD94" i="9" s="1"/>
  <c r="AD90" i="9" s="1"/>
  <c r="AD86" i="9" s="1"/>
  <c r="AD151" i="9"/>
  <c r="AD149" i="9" s="1"/>
  <c r="Q36" i="8" s="1"/>
  <c r="AD227" i="9"/>
  <c r="AD180" i="9"/>
  <c r="Q41" i="8" s="1"/>
  <c r="AD122" i="9"/>
  <c r="AE124" i="9"/>
  <c r="R28" i="8" s="1"/>
  <c r="AC187" i="9"/>
  <c r="P56" i="8" s="1"/>
  <c r="AC182" i="9"/>
  <c r="AF169" i="9"/>
  <c r="S44" i="8" s="1"/>
  <c r="AG211" i="9" a="1"/>
  <c r="AG211" i="9" s="1"/>
  <c r="AC48" i="9"/>
  <c r="P21" i="8" s="1"/>
  <c r="AC239" i="9"/>
  <c r="P46" i="8" s="1"/>
  <c r="AD225" i="9"/>
  <c r="AD230" i="9"/>
  <c r="AD74" i="9" s="1"/>
  <c r="AD70" i="9" s="1"/>
  <c r="AD178" i="9"/>
  <c r="Z682" i="59"/>
  <c r="AC173" i="9"/>
  <c r="P51" i="8"/>
  <c r="AC177" i="9"/>
  <c r="O55" i="8"/>
  <c r="O54" i="8" s="1"/>
  <c r="AB253" i="9"/>
  <c r="AA39" i="9"/>
  <c r="AA37" i="9" s="1"/>
  <c r="N13" i="8" s="1"/>
  <c r="AA34" i="9"/>
  <c r="L1025" i="79"/>
  <c r="L1011" i="79" s="1"/>
  <c r="M178" i="52" s="1"/>
  <c r="BI12" i="52"/>
  <c r="K1025" i="79"/>
  <c r="K1011" i="79" s="1"/>
  <c r="L178" i="52" s="1"/>
  <c r="BH12" i="52"/>
  <c r="M1025" i="79"/>
  <c r="M1011" i="79" s="1"/>
  <c r="N178" i="52" s="1"/>
  <c r="BJ12" i="52"/>
  <c r="H1025" i="79"/>
  <c r="H1011" i="79" s="1"/>
  <c r="I178" i="52" s="1"/>
  <c r="BE12" i="52"/>
  <c r="J1025" i="79"/>
  <c r="J1011" i="79" s="1"/>
  <c r="K178" i="52" s="1"/>
  <c r="I1025" i="79"/>
  <c r="I1011" i="79" s="1"/>
  <c r="J178" i="52" s="1"/>
  <c r="G1025" i="79"/>
  <c r="G1011" i="79" s="1"/>
  <c r="H178" i="52" s="1"/>
  <c r="L1092" i="79"/>
  <c r="L1067" i="79" s="1"/>
  <c r="I1092" i="79"/>
  <c r="I1067" i="79" s="1"/>
  <c r="K1092" i="79"/>
  <c r="M1092" i="79"/>
  <c r="J1092" i="79"/>
  <c r="J1067" i="79" s="1"/>
  <c r="G1092" i="79"/>
  <c r="H1092" i="79"/>
  <c r="AD105" i="9" l="1"/>
  <c r="AD104" i="9" s="1"/>
  <c r="AD147" i="9"/>
  <c r="AD145" i="9" s="1"/>
  <c r="AD144" i="9" s="1"/>
  <c r="Q35" i="8" s="1"/>
  <c r="Q33" i="8" s="1"/>
  <c r="AD179" i="9"/>
  <c r="AD174" i="9" s="1"/>
  <c r="AD226" i="9"/>
  <c r="AD182" i="9" s="1"/>
  <c r="AD238" i="9"/>
  <c r="AD236" i="9" s="1"/>
  <c r="AD108" i="9"/>
  <c r="AD231" i="9"/>
  <c r="AD85" i="9" s="1"/>
  <c r="AD81" i="9" s="1"/>
  <c r="AE135" i="9"/>
  <c r="AE228" i="9"/>
  <c r="AE233" i="9"/>
  <c r="AE181" i="9"/>
  <c r="R42" i="8" s="1"/>
  <c r="Z683" i="59"/>
  <c r="P14" i="8"/>
  <c r="P23" i="8"/>
  <c r="P24" i="8"/>
  <c r="R25" i="8"/>
  <c r="H12" i="52"/>
  <c r="L12" i="52"/>
  <c r="Q128" i="54"/>
  <c r="N12" i="52"/>
  <c r="J12" i="52"/>
  <c r="K128" i="54"/>
  <c r="K19" i="54" s="1"/>
  <c r="S489" i="59" s="1"/>
  <c r="M12" i="52"/>
  <c r="O128" i="54"/>
  <c r="O19" i="54" s="1"/>
  <c r="W489" i="59" s="1"/>
  <c r="M128" i="54"/>
  <c r="M19" i="54" s="1"/>
  <c r="U489" i="59" s="1"/>
  <c r="K12" i="52"/>
  <c r="L128" i="54"/>
  <c r="L19" i="54" s="1"/>
  <c r="T489" i="59" s="1"/>
  <c r="I12" i="52"/>
  <c r="P128" i="54"/>
  <c r="P19" i="54" s="1"/>
  <c r="X489" i="59" s="1"/>
  <c r="AC171" i="9"/>
  <c r="AC103" i="9" s="1"/>
  <c r="AC43" i="9" s="1"/>
  <c r="AA29" i="9"/>
  <c r="AD60" i="9"/>
  <c r="Q19" i="8" s="1"/>
  <c r="AD173" i="9"/>
  <c r="AG142" i="9"/>
  <c r="AG137" i="9" s="1"/>
  <c r="T29" i="8" s="1"/>
  <c r="AH220" i="9" a="1"/>
  <c r="AH220" i="9" s="1"/>
  <c r="AE147" i="9"/>
  <c r="AE145" i="9" s="1"/>
  <c r="AE225" i="9"/>
  <c r="AE108" i="9"/>
  <c r="AE230" i="9"/>
  <c r="AE178" i="9"/>
  <c r="AE238" i="9"/>
  <c r="AE105" i="9"/>
  <c r="P50" i="8"/>
  <c r="AC243" i="9"/>
  <c r="AD175" i="9"/>
  <c r="Q52" i="8"/>
  <c r="AF135" i="9"/>
  <c r="AF228" i="9"/>
  <c r="AF181" i="9"/>
  <c r="S42" i="8" s="1"/>
  <c r="AF233" i="9"/>
  <c r="P55" i="8"/>
  <c r="P54" i="8" s="1"/>
  <c r="AC253" i="9"/>
  <c r="AG120" i="9"/>
  <c r="AH210" i="9" a="1"/>
  <c r="AH210" i="9" s="1"/>
  <c r="AG169" i="9"/>
  <c r="T44" i="8" s="1"/>
  <c r="N50" i="91" s="1"/>
  <c r="AH211" i="9" a="1"/>
  <c r="AH211" i="9" s="1"/>
  <c r="AG133" i="9"/>
  <c r="AH215" i="9" a="1"/>
  <c r="AH215" i="9" s="1"/>
  <c r="AB251" i="9"/>
  <c r="O58" i="8"/>
  <c r="AF110" i="9"/>
  <c r="S26" i="8" s="1"/>
  <c r="AF114" i="9"/>
  <c r="S27" i="8" s="1"/>
  <c r="AA32" i="9"/>
  <c r="N11" i="8" s="1"/>
  <c r="AF124" i="9"/>
  <c r="S28" i="8" s="1"/>
  <c r="AG100" i="9"/>
  <c r="AH212" i="9" a="1"/>
  <c r="AH212" i="9" s="1"/>
  <c r="AA35" i="9"/>
  <c r="N12" i="8" s="1"/>
  <c r="AA683" i="59"/>
  <c r="AA682" i="59"/>
  <c r="AB34" i="9"/>
  <c r="AB39" i="9"/>
  <c r="AB37" i="9" s="1"/>
  <c r="O13" i="8" s="1"/>
  <c r="AC47" i="9"/>
  <c r="AE227" i="9"/>
  <c r="AE151" i="9"/>
  <c r="AE149" i="9" s="1"/>
  <c r="R36" i="8" s="1"/>
  <c r="AE180" i="9"/>
  <c r="R41" i="8" s="1"/>
  <c r="AE232" i="9"/>
  <c r="AE94" i="9" s="1"/>
  <c r="AE90" i="9" s="1"/>
  <c r="AE86" i="9" s="1"/>
  <c r="AE60" i="9" s="1"/>
  <c r="R19" i="8" s="1"/>
  <c r="AE122" i="9"/>
  <c r="AB31" i="9"/>
  <c r="O10" i="8" s="1"/>
  <c r="AB36" i="9"/>
  <c r="AB42" i="9"/>
  <c r="AE179" i="9"/>
  <c r="AE174" i="9" s="1"/>
  <c r="AE231" i="9"/>
  <c r="AE85" i="9" s="1"/>
  <c r="AE81" i="9" s="1"/>
  <c r="AE226" i="9"/>
  <c r="J1068" i="79"/>
  <c r="S179" i="52" s="1"/>
  <c r="S34" i="52" s="1"/>
  <c r="N395" i="54" s="1"/>
  <c r="S173" i="52"/>
  <c r="S33" i="52" s="1"/>
  <c r="N394" i="54" s="1"/>
  <c r="I1068" i="79"/>
  <c r="R179" i="52" s="1"/>
  <c r="R34" i="52" s="1"/>
  <c r="M395" i="54" s="1"/>
  <c r="R173" i="52"/>
  <c r="R33" i="52" s="1"/>
  <c r="M394" i="54" s="1"/>
  <c r="L1068" i="79"/>
  <c r="U179" i="52" s="1"/>
  <c r="U34" i="52" s="1"/>
  <c r="P395" i="54" s="1"/>
  <c r="U173" i="52"/>
  <c r="U33" i="52" s="1"/>
  <c r="P394" i="54" s="1"/>
  <c r="I1065" i="79"/>
  <c r="BF173" i="52" s="1"/>
  <c r="J1065" i="79"/>
  <c r="BG173" i="52" s="1"/>
  <c r="M1067" i="79"/>
  <c r="M1065" i="79"/>
  <c r="BJ173" i="52" s="1"/>
  <c r="G1065" i="79"/>
  <c r="BD173" i="52" s="1"/>
  <c r="G1067" i="79"/>
  <c r="H1067" i="79"/>
  <c r="H1065" i="79"/>
  <c r="BE173" i="52" s="1"/>
  <c r="K1065" i="79"/>
  <c r="BH173" i="52" s="1"/>
  <c r="K1067" i="79"/>
  <c r="L1065" i="79"/>
  <c r="BI173" i="52" s="1"/>
  <c r="AD187" i="9" l="1"/>
  <c r="Q56" i="8" s="1"/>
  <c r="Q51" i="8"/>
  <c r="AD177" i="9"/>
  <c r="Q50" i="8" s="1"/>
  <c r="AD239" i="9"/>
  <c r="Q46" i="8" s="1"/>
  <c r="Q40" i="8"/>
  <c r="Q39" i="8" s="1"/>
  <c r="Q24" i="8" s="1"/>
  <c r="R53" i="8"/>
  <c r="AE176" i="9"/>
  <c r="AE74" i="9"/>
  <c r="AE70" i="9" s="1"/>
  <c r="S25" i="8"/>
  <c r="N9" i="8"/>
  <c r="N8" i="8" s="1"/>
  <c r="T22" i="8"/>
  <c r="N38" i="91" s="1"/>
  <c r="R40" i="8"/>
  <c r="R39" i="8" s="1"/>
  <c r="BF33" i="52"/>
  <c r="J1066" i="79"/>
  <c r="BG179" i="52" s="1"/>
  <c r="P129" i="54"/>
  <c r="P20" i="54" s="1"/>
  <c r="X490" i="59" s="1"/>
  <c r="Q19" i="54"/>
  <c r="Y489" i="59" s="1"/>
  <c r="Z489" i="59" s="1"/>
  <c r="AA489" i="59" s="1"/>
  <c r="AB489" i="59" s="1"/>
  <c r="AC489" i="59" s="1"/>
  <c r="AD489" i="59" s="1"/>
  <c r="R128" i="54"/>
  <c r="L129" i="54"/>
  <c r="L20" i="54" s="1"/>
  <c r="T490" i="59" s="1"/>
  <c r="Q129" i="54"/>
  <c r="N129" i="54"/>
  <c r="N20" i="54" s="1"/>
  <c r="V490" i="59" s="1"/>
  <c r="O129" i="54"/>
  <c r="O20" i="54" s="1"/>
  <c r="W490" i="59" s="1"/>
  <c r="M129" i="54"/>
  <c r="M20" i="54" s="1"/>
  <c r="U490" i="59" s="1"/>
  <c r="K129" i="54"/>
  <c r="K20" i="54" s="1"/>
  <c r="S490" i="59" s="1"/>
  <c r="X703" i="59"/>
  <c r="V704" i="59"/>
  <c r="X704" i="59"/>
  <c r="U703" i="59"/>
  <c r="U704" i="59"/>
  <c r="V703" i="59"/>
  <c r="AD48" i="9"/>
  <c r="AD171" i="9"/>
  <c r="AD103" i="9" s="1"/>
  <c r="AD43" i="9" s="1"/>
  <c r="AB29" i="9"/>
  <c r="AE104" i="9"/>
  <c r="AA30" i="9"/>
  <c r="AA28" i="9" s="1"/>
  <c r="AE175" i="9"/>
  <c r="R52" i="8"/>
  <c r="AH100" i="9"/>
  <c r="AI212" i="9" a="1"/>
  <c r="AI212" i="9" s="1"/>
  <c r="AF231" i="9"/>
  <c r="AF85" i="9" s="1"/>
  <c r="AF81" i="9" s="1"/>
  <c r="AF226" i="9"/>
  <c r="AF179" i="9"/>
  <c r="AF174" i="9" s="1"/>
  <c r="AE236" i="9"/>
  <c r="AG135" i="9"/>
  <c r="AG181" i="9"/>
  <c r="T42" i="8" s="1"/>
  <c r="AG233" i="9"/>
  <c r="AG228" i="9"/>
  <c r="AE48" i="9"/>
  <c r="R21" i="8" s="1"/>
  <c r="AF178" i="9"/>
  <c r="AF225" i="9"/>
  <c r="AF147" i="9"/>
  <c r="AF145" i="9" s="1"/>
  <c r="AF108" i="9"/>
  <c r="AF230" i="9"/>
  <c r="AF74" i="9" s="1"/>
  <c r="AF70" i="9" s="1"/>
  <c r="AF238" i="9"/>
  <c r="AF105" i="9"/>
  <c r="Q55" i="8"/>
  <c r="AF176" i="9"/>
  <c r="S53" i="8"/>
  <c r="R51" i="8"/>
  <c r="AE173" i="9"/>
  <c r="AE177" i="9"/>
  <c r="AH142" i="9"/>
  <c r="AH137" i="9" s="1"/>
  <c r="AI220" i="9" a="1"/>
  <c r="AI220" i="9" s="1"/>
  <c r="AB35" i="9"/>
  <c r="O12" i="8" s="1"/>
  <c r="AH120" i="9"/>
  <c r="AI210" i="9" a="1"/>
  <c r="AI210" i="9" s="1"/>
  <c r="AE239" i="9"/>
  <c r="R46" i="8" s="1"/>
  <c r="AB682" i="59"/>
  <c r="AG110" i="9"/>
  <c r="T26" i="8" s="1"/>
  <c r="AG114" i="9"/>
  <c r="T27" i="8" s="1"/>
  <c r="AC31" i="9"/>
  <c r="P10" i="8" s="1"/>
  <c r="AC36" i="9"/>
  <c r="AC42" i="9"/>
  <c r="AF232" i="9"/>
  <c r="AF94" i="9" s="1"/>
  <c r="AF90" i="9" s="1"/>
  <c r="AF86" i="9" s="1"/>
  <c r="AF60" i="9" s="1"/>
  <c r="S19" i="8" s="1"/>
  <c r="AF227" i="9"/>
  <c r="AF151" i="9"/>
  <c r="AF149" i="9" s="1"/>
  <c r="S36" i="8" s="1"/>
  <c r="AF180" i="9"/>
  <c r="S41" i="8" s="1"/>
  <c r="AF122" i="9"/>
  <c r="AH133" i="9"/>
  <c r="AI215" i="9" a="1"/>
  <c r="AI215" i="9" s="1"/>
  <c r="AE182" i="9"/>
  <c r="AE187" i="9"/>
  <c r="R56" i="8" s="1"/>
  <c r="AB32" i="9"/>
  <c r="O11" i="8" s="1"/>
  <c r="AB683" i="59"/>
  <c r="AG124" i="9"/>
  <c r="T28" i="8" s="1"/>
  <c r="AC39" i="9"/>
  <c r="AC37" i="9" s="1"/>
  <c r="P13" i="8" s="1"/>
  <c r="AC34" i="9"/>
  <c r="AC32" i="9" s="1"/>
  <c r="P11" i="8" s="1"/>
  <c r="P58" i="8"/>
  <c r="AC251" i="9"/>
  <c r="AE144" i="9"/>
  <c r="R35" i="8" s="1"/>
  <c r="R33" i="8" s="1"/>
  <c r="AH169" i="9"/>
  <c r="AI211" i="9" a="1"/>
  <c r="AI211" i="9" s="1"/>
  <c r="BG33" i="52"/>
  <c r="J1061" i="79"/>
  <c r="J999" i="79" s="1"/>
  <c r="K173" i="52" s="1"/>
  <c r="I1066" i="79"/>
  <c r="BF179" i="52" s="1"/>
  <c r="I1061" i="79"/>
  <c r="I999" i="79" s="1"/>
  <c r="J173" i="52" s="1"/>
  <c r="H1068" i="79"/>
  <c r="Q179" i="52" s="1"/>
  <c r="Q34" i="52" s="1"/>
  <c r="L395" i="54" s="1"/>
  <c r="Q173" i="52"/>
  <c r="Q33" i="52" s="1"/>
  <c r="L394" i="54" s="1"/>
  <c r="G1068" i="79"/>
  <c r="P179" i="52" s="1"/>
  <c r="P34" i="52" s="1"/>
  <c r="K395" i="54" s="1"/>
  <c r="P173" i="52"/>
  <c r="P33" i="52" s="1"/>
  <c r="K394" i="54" s="1"/>
  <c r="K1068" i="79"/>
  <c r="T179" i="52" s="1"/>
  <c r="T34" i="52" s="1"/>
  <c r="O395" i="54" s="1"/>
  <c r="T173" i="52"/>
  <c r="T33" i="52" s="1"/>
  <c r="O394" i="54" s="1"/>
  <c r="M1068" i="79"/>
  <c r="V179" i="52" s="1"/>
  <c r="V34" i="52" s="1"/>
  <c r="Q395" i="54" s="1"/>
  <c r="R395" i="54" s="1"/>
  <c r="S395" i="54" s="1"/>
  <c r="T395" i="54" s="1"/>
  <c r="U395" i="54" s="1"/>
  <c r="V395" i="54" s="1"/>
  <c r="V173" i="52"/>
  <c r="V33" i="52" s="1"/>
  <c r="Q394" i="54" s="1"/>
  <c r="R394" i="54" s="1"/>
  <c r="S394" i="54" s="1"/>
  <c r="T394" i="54" s="1"/>
  <c r="U394" i="54" s="1"/>
  <c r="V394" i="54" s="1"/>
  <c r="H1061" i="79"/>
  <c r="H999" i="79" s="1"/>
  <c r="I173" i="52" s="1"/>
  <c r="BE33" i="52"/>
  <c r="H1066" i="79"/>
  <c r="BE179" i="52" s="1"/>
  <c r="G1061" i="79"/>
  <c r="G999" i="79" s="1"/>
  <c r="H173" i="52" s="1"/>
  <c r="G1066" i="79"/>
  <c r="BD179" i="52" s="1"/>
  <c r="BD33" i="52"/>
  <c r="L1061" i="79"/>
  <c r="L999" i="79" s="1"/>
  <c r="M173" i="52" s="1"/>
  <c r="L1066" i="79"/>
  <c r="BI179" i="52" s="1"/>
  <c r="BI33" i="52"/>
  <c r="K1061" i="79"/>
  <c r="K999" i="79" s="1"/>
  <c r="L173" i="52" s="1"/>
  <c r="K1066" i="79"/>
  <c r="BH179" i="52" s="1"/>
  <c r="BH33" i="52"/>
  <c r="M1061" i="79"/>
  <c r="M999" i="79" s="1"/>
  <c r="N173" i="52" s="1"/>
  <c r="BJ33" i="52"/>
  <c r="M1066" i="79"/>
  <c r="BJ179" i="52" s="1"/>
  <c r="AD253" i="9" l="1"/>
  <c r="Q54" i="8"/>
  <c r="AD243" i="9"/>
  <c r="AD251" i="9" s="1"/>
  <c r="Q23" i="8"/>
  <c r="R14" i="8"/>
  <c r="R23" i="8"/>
  <c r="R24" i="8"/>
  <c r="O9" i="8"/>
  <c r="O8" i="8" s="1"/>
  <c r="S40" i="8"/>
  <c r="S39" i="8" s="1"/>
  <c r="AD47" i="9"/>
  <c r="AD42" i="9" s="1"/>
  <c r="Q21" i="8"/>
  <c r="Q14" i="8" s="1"/>
  <c r="T25" i="8"/>
  <c r="N48" i="8"/>
  <c r="J1062" i="79"/>
  <c r="J1012" i="79" s="1"/>
  <c r="K179" i="52" s="1"/>
  <c r="K34" i="52" s="1"/>
  <c r="N150" i="54" s="1"/>
  <c r="I1062" i="79"/>
  <c r="I1012" i="79" s="1"/>
  <c r="J179" i="52" s="1"/>
  <c r="J34" i="52" s="1"/>
  <c r="M150" i="54" s="1"/>
  <c r="BF34" i="52"/>
  <c r="BG34" i="52"/>
  <c r="Q20" i="54"/>
  <c r="Y490" i="59" s="1"/>
  <c r="Z490" i="59" s="1"/>
  <c r="AA490" i="59" s="1"/>
  <c r="AB490" i="59" s="1"/>
  <c r="AC490" i="59" s="1"/>
  <c r="AD490" i="59" s="1"/>
  <c r="R129" i="54"/>
  <c r="H33" i="52"/>
  <c r="K149" i="54" s="1"/>
  <c r="L33" i="52"/>
  <c r="O149" i="54" s="1"/>
  <c r="R19" i="54"/>
  <c r="S128" i="54"/>
  <c r="N33" i="52"/>
  <c r="Q149" i="54" s="1"/>
  <c r="R149" i="54" s="1"/>
  <c r="S149" i="54" s="1"/>
  <c r="T149" i="54" s="1"/>
  <c r="U149" i="54" s="1"/>
  <c r="V149" i="54" s="1"/>
  <c r="I33" i="52"/>
  <c r="L149" i="54" s="1"/>
  <c r="K33" i="52"/>
  <c r="N149" i="54" s="1"/>
  <c r="J33" i="52"/>
  <c r="M149" i="54" s="1"/>
  <c r="M33" i="52"/>
  <c r="P149" i="54" s="1"/>
  <c r="T703" i="59"/>
  <c r="S704" i="59"/>
  <c r="T704" i="59"/>
  <c r="S703" i="59"/>
  <c r="W703" i="59"/>
  <c r="W704" i="59"/>
  <c r="AE171" i="9"/>
  <c r="AE103" i="9" s="1"/>
  <c r="AE43" i="9" s="1"/>
  <c r="AF104" i="9"/>
  <c r="AF144" i="9"/>
  <c r="S35" i="8" s="1"/>
  <c r="S33" i="8" s="1"/>
  <c r="AB30" i="9"/>
  <c r="AB28" i="9" s="1"/>
  <c r="AH124" i="9"/>
  <c r="AG179" i="9"/>
  <c r="AG174" i="9" s="1"/>
  <c r="AG231" i="9"/>
  <c r="AG85" i="9" s="1"/>
  <c r="AG81" i="9" s="1"/>
  <c r="AG226" i="9"/>
  <c r="AF187" i="9"/>
  <c r="S56" i="8" s="1"/>
  <c r="AF182" i="9"/>
  <c r="T53" i="8"/>
  <c r="AG176" i="9"/>
  <c r="AI100" i="9"/>
  <c r="AJ212" i="9" a="1"/>
  <c r="AJ212" i="9" s="1"/>
  <c r="AG232" i="9"/>
  <c r="AG94" i="9" s="1"/>
  <c r="AG90" i="9" s="1"/>
  <c r="AG86" i="9" s="1"/>
  <c r="AG60" i="9" s="1"/>
  <c r="T19" i="8" s="1"/>
  <c r="N37" i="91" s="1"/>
  <c r="AG180" i="9"/>
  <c r="T41" i="8" s="1"/>
  <c r="AG151" i="9"/>
  <c r="AG149" i="9" s="1"/>
  <c r="T36" i="8" s="1"/>
  <c r="AG227" i="9"/>
  <c r="AG122" i="9"/>
  <c r="AG147" i="9"/>
  <c r="AG145" i="9" s="1"/>
  <c r="AG108" i="9"/>
  <c r="AG225" i="9"/>
  <c r="AG230" i="9"/>
  <c r="AG74" i="9" s="1"/>
  <c r="AG70" i="9" s="1"/>
  <c r="AG178" i="9"/>
  <c r="AG238" i="9"/>
  <c r="AG105" i="9"/>
  <c r="AE243" i="9"/>
  <c r="R50" i="8"/>
  <c r="AD39" i="9"/>
  <c r="AD34" i="9"/>
  <c r="S51" i="8"/>
  <c r="AF173" i="9"/>
  <c r="AF177" i="9"/>
  <c r="Y703" i="59"/>
  <c r="AD683" i="59"/>
  <c r="AC683" i="59"/>
  <c r="AF175" i="9"/>
  <c r="S52" i="8"/>
  <c r="AI120" i="9"/>
  <c r="AJ210" i="9" a="1"/>
  <c r="AJ210" i="9" s="1"/>
  <c r="AI133" i="9"/>
  <c r="AJ215" i="9" a="1"/>
  <c r="AJ215" i="9" s="1"/>
  <c r="Y704" i="59"/>
  <c r="AI169" i="9"/>
  <c r="AJ211" i="9" a="1"/>
  <c r="AJ211" i="9" s="1"/>
  <c r="R55" i="8"/>
  <c r="R54" i="8" s="1"/>
  <c r="AE253" i="9"/>
  <c r="AC35" i="9"/>
  <c r="P12" i="8" s="1"/>
  <c r="P9" i="8" s="1"/>
  <c r="AD682" i="59"/>
  <c r="AC682" i="59"/>
  <c r="AH114" i="9"/>
  <c r="AH110" i="9"/>
  <c r="AF236" i="9"/>
  <c r="AE47" i="9"/>
  <c r="AH135" i="9"/>
  <c r="AH228" i="9"/>
  <c r="AH181" i="9"/>
  <c r="AH176" i="9" s="1"/>
  <c r="AH233" i="9"/>
  <c r="AC30" i="9"/>
  <c r="AC29" i="9"/>
  <c r="AF239" i="9"/>
  <c r="S46" i="8" s="1"/>
  <c r="AF48" i="9"/>
  <c r="S21" i="8" s="1"/>
  <c r="S14" i="8" s="1"/>
  <c r="AI142" i="9"/>
  <c r="AI137" i="9" s="1"/>
  <c r="AJ220" i="9" a="1"/>
  <c r="AJ220" i="9" s="1"/>
  <c r="L1062" i="79"/>
  <c r="L1012" i="79" s="1"/>
  <c r="M179" i="52" s="1"/>
  <c r="BI34" i="52"/>
  <c r="M1062" i="79"/>
  <c r="M1012" i="79" s="1"/>
  <c r="N179" i="52" s="1"/>
  <c r="BJ34" i="52"/>
  <c r="G1062" i="79"/>
  <c r="G1012" i="79" s="1"/>
  <c r="H179" i="52" s="1"/>
  <c r="BD34" i="52"/>
  <c r="K1062" i="79"/>
  <c r="K1012" i="79" s="1"/>
  <c r="L179" i="52" s="1"/>
  <c r="BH34" i="52"/>
  <c r="H1062" i="79"/>
  <c r="H1012" i="79" s="1"/>
  <c r="I179" i="52" s="1"/>
  <c r="BE34" i="52"/>
  <c r="L1129" i="79"/>
  <c r="L1104" i="79" s="1"/>
  <c r="I1129" i="79"/>
  <c r="I1104" i="79" s="1"/>
  <c r="K1129" i="79"/>
  <c r="K1104" i="79" s="1"/>
  <c r="J1129" i="79"/>
  <c r="M1129" i="79"/>
  <c r="M1104" i="79" s="1"/>
  <c r="H1129" i="79"/>
  <c r="H1102" i="79" s="1"/>
  <c r="BE174" i="52" s="1"/>
  <c r="G1129" i="79"/>
  <c r="Q58" i="8" l="1"/>
  <c r="N45" i="91"/>
  <c r="N9" i="91"/>
  <c r="P8" i="8"/>
  <c r="D8" i="91"/>
  <c r="AD37" i="9"/>
  <c r="Q13" i="8" s="1"/>
  <c r="AD31" i="9"/>
  <c r="Q10" i="8" s="1"/>
  <c r="AD36" i="9"/>
  <c r="S23" i="8"/>
  <c r="S24" i="8"/>
  <c r="T40" i="8"/>
  <c r="T39" i="8" s="1"/>
  <c r="N48" i="91" s="1"/>
  <c r="O48" i="8"/>
  <c r="L34" i="52"/>
  <c r="O150" i="54" s="1"/>
  <c r="H34" i="52"/>
  <c r="K150" i="54" s="1"/>
  <c r="M41" i="54"/>
  <c r="U511" i="59" s="1"/>
  <c r="N40" i="54"/>
  <c r="V510" i="59" s="1"/>
  <c r="O40" i="54"/>
  <c r="W510" i="59" s="1"/>
  <c r="N34" i="52"/>
  <c r="Q150" i="54" s="1"/>
  <c r="R150" i="54" s="1"/>
  <c r="S150" i="54" s="1"/>
  <c r="T150" i="54" s="1"/>
  <c r="U150" i="54" s="1"/>
  <c r="V150" i="54" s="1"/>
  <c r="S19" i="54"/>
  <c r="T128" i="54"/>
  <c r="P40" i="54"/>
  <c r="X510" i="59" s="1"/>
  <c r="L40" i="54"/>
  <c r="T510" i="59" s="1"/>
  <c r="K40" i="54"/>
  <c r="S510" i="59" s="1"/>
  <c r="N41" i="54"/>
  <c r="V511" i="59" s="1"/>
  <c r="I34" i="52"/>
  <c r="L150" i="54" s="1"/>
  <c r="M34" i="52"/>
  <c r="P150" i="54" s="1"/>
  <c r="R20" i="54"/>
  <c r="S129" i="54"/>
  <c r="M40" i="54"/>
  <c r="U510" i="59" s="1"/>
  <c r="AG104" i="9"/>
  <c r="AC28" i="9"/>
  <c r="AF171" i="9"/>
  <c r="AF103" i="9" s="1"/>
  <c r="AF43" i="9" s="1"/>
  <c r="AD29" i="9"/>
  <c r="AF243" i="9"/>
  <c r="S50" i="8"/>
  <c r="AK211" i="9" a="1"/>
  <c r="AK211" i="9" s="1"/>
  <c r="AJ169" i="9"/>
  <c r="AJ120" i="9"/>
  <c r="AK210" i="9" a="1"/>
  <c r="AK210" i="9" s="1"/>
  <c r="AG236" i="9"/>
  <c r="AG175" i="9"/>
  <c r="T52" i="8"/>
  <c r="AH225" i="9"/>
  <c r="AH230" i="9"/>
  <c r="AH74" i="9" s="1"/>
  <c r="AH70" i="9" s="1"/>
  <c r="AH178" i="9"/>
  <c r="AH108" i="9"/>
  <c r="AH147" i="9"/>
  <c r="AH145" i="9" s="1"/>
  <c r="AH238" i="9"/>
  <c r="AH236" i="9" s="1"/>
  <c r="AH105" i="9"/>
  <c r="AH179" i="9"/>
  <c r="AH174" i="9" s="1"/>
  <c r="AH231" i="9"/>
  <c r="AH85" i="9" s="1"/>
  <c r="AH81" i="9" s="1"/>
  <c r="AH226" i="9"/>
  <c r="AI114" i="9"/>
  <c r="AI110" i="9"/>
  <c r="AG48" i="9"/>
  <c r="T21" i="8" s="1"/>
  <c r="AI135" i="9"/>
  <c r="AI181" i="9"/>
  <c r="AI176" i="9" s="1"/>
  <c r="AI233" i="9"/>
  <c r="AI228" i="9"/>
  <c r="AF47" i="9"/>
  <c r="AG173" i="9"/>
  <c r="T51" i="8"/>
  <c r="AG177" i="9"/>
  <c r="S55" i="8"/>
  <c r="S54" i="8" s="1"/>
  <c r="AF253" i="9"/>
  <c r="AH180" i="9"/>
  <c r="AH175" i="9" s="1"/>
  <c r="AH227" i="9"/>
  <c r="AH232" i="9"/>
  <c r="AH94" i="9" s="1"/>
  <c r="AH90" i="9" s="1"/>
  <c r="AH86" i="9" s="1"/>
  <c r="AH60" i="9" s="1"/>
  <c r="AH48" i="9" s="1"/>
  <c r="AH47" i="9" s="1"/>
  <c r="AH151" i="9"/>
  <c r="AH149" i="9" s="1"/>
  <c r="AH122" i="9"/>
  <c r="AI124" i="9"/>
  <c r="AG239" i="9"/>
  <c r="T46" i="8" s="1"/>
  <c r="AD32" i="9"/>
  <c r="Q11" i="8" s="1"/>
  <c r="Z704" i="59"/>
  <c r="Z703" i="59"/>
  <c r="AG187" i="9"/>
  <c r="T56" i="8" s="1"/>
  <c r="AG182" i="9"/>
  <c r="AE31" i="9"/>
  <c r="R10" i="8" s="1"/>
  <c r="AE36" i="9"/>
  <c r="AE42" i="9"/>
  <c r="AE34" i="9"/>
  <c r="AE32" i="9" s="1"/>
  <c r="R11" i="8" s="1"/>
  <c r="AE39" i="9"/>
  <c r="AE37" i="9" s="1"/>
  <c r="R13" i="8" s="1"/>
  <c r="AK212" i="9" a="1"/>
  <c r="AK212" i="9" s="1"/>
  <c r="AJ100" i="9"/>
  <c r="AJ142" i="9"/>
  <c r="AJ137" i="9" s="1"/>
  <c r="AK220" i="9" a="1"/>
  <c r="AK220" i="9" s="1"/>
  <c r="AJ133" i="9"/>
  <c r="AK215" i="9" a="1"/>
  <c r="AK215" i="9" s="1"/>
  <c r="R58" i="8"/>
  <c r="AE251" i="9"/>
  <c r="AG144" i="9"/>
  <c r="T35" i="8" s="1"/>
  <c r="T33" i="8" s="1"/>
  <c r="N47" i="91" s="1"/>
  <c r="M1105" i="79"/>
  <c r="V180" i="52" s="1"/>
  <c r="V56" i="52" s="1"/>
  <c r="Q416" i="54" s="1"/>
  <c r="R416" i="54" s="1"/>
  <c r="S416" i="54" s="1"/>
  <c r="T416" i="54" s="1"/>
  <c r="U416" i="54" s="1"/>
  <c r="V416" i="54" s="1"/>
  <c r="V174" i="52"/>
  <c r="V55" i="52" s="1"/>
  <c r="Q415" i="54" s="1"/>
  <c r="R415" i="54" s="1"/>
  <c r="S415" i="54" s="1"/>
  <c r="T415" i="54" s="1"/>
  <c r="U415" i="54" s="1"/>
  <c r="V415" i="54" s="1"/>
  <c r="I1105" i="79"/>
  <c r="R180" i="52" s="1"/>
  <c r="R56" i="52" s="1"/>
  <c r="M416" i="54" s="1"/>
  <c r="R174" i="52"/>
  <c r="R55" i="52" s="1"/>
  <c r="M415" i="54" s="1"/>
  <c r="K1105" i="79"/>
  <c r="T180" i="52" s="1"/>
  <c r="T56" i="52" s="1"/>
  <c r="O416" i="54" s="1"/>
  <c r="T174" i="52"/>
  <c r="T55" i="52" s="1"/>
  <c r="O415" i="54" s="1"/>
  <c r="L1105" i="79"/>
  <c r="U180" i="52" s="1"/>
  <c r="U56" i="52" s="1"/>
  <c r="P416" i="54" s="1"/>
  <c r="U174" i="52"/>
  <c r="U55" i="52" s="1"/>
  <c r="P415" i="54" s="1"/>
  <c r="K1102" i="79"/>
  <c r="BH174" i="52" s="1"/>
  <c r="L1102" i="79"/>
  <c r="BI174" i="52" s="1"/>
  <c r="J1102" i="79"/>
  <c r="BG174" i="52" s="1"/>
  <c r="J1104" i="79"/>
  <c r="H1103" i="79"/>
  <c r="BE180" i="52" s="1"/>
  <c r="BE55" i="52"/>
  <c r="M1102" i="79"/>
  <c r="BJ174" i="52" s="1"/>
  <c r="H1104" i="79"/>
  <c r="I1102" i="79"/>
  <c r="BF174" i="52" s="1"/>
  <c r="G1102" i="79"/>
  <c r="BD174" i="52" s="1"/>
  <c r="G1104" i="79"/>
  <c r="T14" i="8" l="1"/>
  <c r="N39" i="91"/>
  <c r="N40" i="91" s="1"/>
  <c r="N51" i="91"/>
  <c r="AD35" i="9"/>
  <c r="Q12" i="8" s="1"/>
  <c r="Q9" i="8" s="1"/>
  <c r="Q8" i="8" s="1"/>
  <c r="E8" i="91"/>
  <c r="T23" i="8"/>
  <c r="T24" i="8"/>
  <c r="N8" i="91" s="1"/>
  <c r="P48" i="8"/>
  <c r="L1103" i="79"/>
  <c r="BI180" i="52" s="1"/>
  <c r="Y725" i="59"/>
  <c r="K1103" i="79"/>
  <c r="BH55" i="52"/>
  <c r="T19" i="54"/>
  <c r="U128" i="54"/>
  <c r="S20" i="54"/>
  <c r="T129" i="54"/>
  <c r="Q40" i="54"/>
  <c r="Y510" i="59" s="1"/>
  <c r="Z510" i="59" s="1"/>
  <c r="AA510" i="59" s="1"/>
  <c r="AB510" i="59" s="1"/>
  <c r="AC510" i="59" s="1"/>
  <c r="AD510" i="59" s="1"/>
  <c r="L41" i="54"/>
  <c r="T511" i="59" s="1"/>
  <c r="K41" i="54"/>
  <c r="S511" i="59" s="1"/>
  <c r="P41" i="54"/>
  <c r="X511" i="59" s="1"/>
  <c r="O41" i="54"/>
  <c r="W511" i="59" s="1"/>
  <c r="BI55" i="52"/>
  <c r="X724" i="59"/>
  <c r="W724" i="59"/>
  <c r="W725" i="59"/>
  <c r="X725" i="59"/>
  <c r="U724" i="59"/>
  <c r="U725" i="59"/>
  <c r="AG171" i="9"/>
  <c r="AG103" i="9" s="1"/>
  <c r="AG43" i="9" s="1"/>
  <c r="AH144" i="9"/>
  <c r="AH104" i="9"/>
  <c r="AG243" i="9"/>
  <c r="T50" i="8"/>
  <c r="AI230" i="9"/>
  <c r="AI74" i="9" s="1"/>
  <c r="AI70" i="9" s="1"/>
  <c r="AI225" i="9"/>
  <c r="AI178" i="9"/>
  <c r="AI108" i="9"/>
  <c r="AI147" i="9"/>
  <c r="AI145" i="9" s="1"/>
  <c r="AI238" i="9"/>
  <c r="AI236" i="9" s="1"/>
  <c r="AI105" i="9"/>
  <c r="AJ135" i="9"/>
  <c r="AJ233" i="9"/>
  <c r="AJ228" i="9"/>
  <c r="AJ181" i="9"/>
  <c r="AJ176" i="9" s="1"/>
  <c r="AE29" i="9"/>
  <c r="AI231" i="9"/>
  <c r="AI85" i="9" s="1"/>
  <c r="AI81" i="9" s="1"/>
  <c r="AI226" i="9"/>
  <c r="AI179" i="9"/>
  <c r="AI174" i="9" s="1"/>
  <c r="AG253" i="9"/>
  <c r="T55" i="8"/>
  <c r="AH31" i="9"/>
  <c r="AH42" i="9"/>
  <c r="AH36" i="9"/>
  <c r="AH173" i="9"/>
  <c r="AH171" i="9" s="1"/>
  <c r="AH177" i="9"/>
  <c r="AH243" i="9" s="1"/>
  <c r="AH251" i="9" s="1"/>
  <c r="AK169" i="9"/>
  <c r="AL211" i="9" a="1"/>
  <c r="AL211" i="9" s="1"/>
  <c r="AL169" i="9" s="1"/>
  <c r="AE35" i="9"/>
  <c r="R12" i="8" s="1"/>
  <c r="R9" i="8" s="1"/>
  <c r="R8" i="8" s="1"/>
  <c r="AH239" i="9"/>
  <c r="AD30" i="9"/>
  <c r="AK133" i="9"/>
  <c r="AL215" i="9" a="1"/>
  <c r="AL215" i="9" s="1"/>
  <c r="AL133" i="9" s="1"/>
  <c r="AK100" i="9"/>
  <c r="AL212" i="9" a="1"/>
  <c r="AL212" i="9" s="1"/>
  <c r="AL100" i="9" s="1"/>
  <c r="AA703" i="59"/>
  <c r="AH187" i="9"/>
  <c r="AH182" i="9"/>
  <c r="AF39" i="9"/>
  <c r="AF37" i="9" s="1"/>
  <c r="S13" i="8" s="1"/>
  <c r="AF34" i="9"/>
  <c r="AK120" i="9"/>
  <c r="AL210" i="9" a="1"/>
  <c r="AL210" i="9" s="1"/>
  <c r="AL120" i="9" s="1"/>
  <c r="AF251" i="9"/>
  <c r="S58" i="8"/>
  <c r="Y724" i="59"/>
  <c r="AE30" i="9"/>
  <c r="AA704" i="59"/>
  <c r="AG47" i="9"/>
  <c r="AJ110" i="9"/>
  <c r="AJ114" i="9"/>
  <c r="AK142" i="9"/>
  <c r="AK137" i="9" s="1"/>
  <c r="AL220" i="9" a="1"/>
  <c r="AL220" i="9" s="1"/>
  <c r="AL142" i="9" s="1"/>
  <c r="AL137" i="9" s="1"/>
  <c r="AJ124" i="9"/>
  <c r="AI180" i="9"/>
  <c r="AI175" i="9" s="1"/>
  <c r="AI227" i="9"/>
  <c r="AI232" i="9"/>
  <c r="AI94" i="9" s="1"/>
  <c r="AI90" i="9" s="1"/>
  <c r="AI86" i="9" s="1"/>
  <c r="AI60" i="9" s="1"/>
  <c r="AI48" i="9" s="1"/>
  <c r="AI47" i="9" s="1"/>
  <c r="AI151" i="9"/>
  <c r="AI149" i="9" s="1"/>
  <c r="AI122" i="9"/>
  <c r="AF42" i="9"/>
  <c r="AF36" i="9"/>
  <c r="AF31" i="9"/>
  <c r="S10" i="8" s="1"/>
  <c r="K1098" i="79"/>
  <c r="K1000" i="79" s="1"/>
  <c r="L174" i="52" s="1"/>
  <c r="L1098" i="79"/>
  <c r="L1000" i="79" s="1"/>
  <c r="M174" i="52" s="1"/>
  <c r="H1105" i="79"/>
  <c r="Q180" i="52" s="1"/>
  <c r="Q56" i="52" s="1"/>
  <c r="L416" i="54" s="1"/>
  <c r="Q174" i="52"/>
  <c r="Q55" i="52" s="1"/>
  <c r="L415" i="54" s="1"/>
  <c r="J1105" i="79"/>
  <c r="S180" i="52" s="1"/>
  <c r="S56" i="52" s="1"/>
  <c r="N416" i="54" s="1"/>
  <c r="S174" i="52"/>
  <c r="S55" i="52" s="1"/>
  <c r="N415" i="54" s="1"/>
  <c r="G1105" i="79"/>
  <c r="P180" i="52" s="1"/>
  <c r="P56" i="52" s="1"/>
  <c r="K416" i="54" s="1"/>
  <c r="P174" i="52"/>
  <c r="P55" i="52" s="1"/>
  <c r="K415" i="54" s="1"/>
  <c r="G1098" i="79"/>
  <c r="G1000" i="79" s="1"/>
  <c r="H174" i="52" s="1"/>
  <c r="G1103" i="79"/>
  <c r="BD180" i="52" s="1"/>
  <c r="BD55" i="52"/>
  <c r="I1098" i="79"/>
  <c r="I1000" i="79" s="1"/>
  <c r="J174" i="52" s="1"/>
  <c r="I1103" i="79"/>
  <c r="BF180" i="52" s="1"/>
  <c r="BF55" i="52"/>
  <c r="BE56" i="52"/>
  <c r="M1098" i="79"/>
  <c r="M1000" i="79" s="1"/>
  <c r="N174" i="52" s="1"/>
  <c r="BJ55" i="52"/>
  <c r="M1103" i="79"/>
  <c r="BJ180" i="52" s="1"/>
  <c r="H1098" i="79"/>
  <c r="H1000" i="79" s="1"/>
  <c r="I174" i="52" s="1"/>
  <c r="J1098" i="79"/>
  <c r="J1000" i="79" s="1"/>
  <c r="K174" i="52" s="1"/>
  <c r="J1103" i="79"/>
  <c r="BG180" i="52" s="1"/>
  <c r="BG55" i="52"/>
  <c r="AD28" i="9" l="1"/>
  <c r="L1099" i="79"/>
  <c r="L1013" i="79" s="1"/>
  <c r="M180" i="52" s="1"/>
  <c r="M56" i="52" s="1"/>
  <c r="P171" i="54" s="1"/>
  <c r="F8" i="91"/>
  <c r="Q48" i="8"/>
  <c r="BH180" i="52"/>
  <c r="BH56" i="52" s="1"/>
  <c r="K1099" i="79"/>
  <c r="K1013" i="79" s="1"/>
  <c r="L180" i="52" s="1"/>
  <c r="L56" i="52" s="1"/>
  <c r="O171" i="54" s="1"/>
  <c r="J55" i="52"/>
  <c r="M170" i="54" s="1"/>
  <c r="R40" i="54"/>
  <c r="T20" i="54"/>
  <c r="U129" i="54"/>
  <c r="K55" i="52"/>
  <c r="N170" i="54" s="1"/>
  <c r="H55" i="52"/>
  <c r="K170" i="54" s="1"/>
  <c r="M55" i="52"/>
  <c r="P170" i="54" s="1"/>
  <c r="L55" i="52"/>
  <c r="O170" i="54" s="1"/>
  <c r="U19" i="54"/>
  <c r="V128" i="54"/>
  <c r="V19" i="54" s="1"/>
  <c r="I55" i="52"/>
  <c r="L170" i="54" s="1"/>
  <c r="N55" i="52"/>
  <c r="Q170" i="54" s="1"/>
  <c r="R170" i="54" s="1"/>
  <c r="S170" i="54" s="1"/>
  <c r="T170" i="54" s="1"/>
  <c r="U170" i="54" s="1"/>
  <c r="V170" i="54" s="1"/>
  <c r="Q41" i="54"/>
  <c r="Y511" i="59" s="1"/>
  <c r="Z511" i="59" s="1"/>
  <c r="AA511" i="59" s="1"/>
  <c r="AB511" i="59" s="1"/>
  <c r="AC511" i="59" s="1"/>
  <c r="AD511" i="59" s="1"/>
  <c r="H1099" i="79"/>
  <c r="H1013" i="79" s="1"/>
  <c r="I180" i="52" s="1"/>
  <c r="S725" i="59"/>
  <c r="V724" i="59"/>
  <c r="S724" i="59"/>
  <c r="V725" i="59"/>
  <c r="T724" i="59"/>
  <c r="T725" i="59"/>
  <c r="AH103" i="9"/>
  <c r="AH43" i="9" s="1"/>
  <c r="AI104" i="9"/>
  <c r="AE28" i="9"/>
  <c r="AF29" i="9"/>
  <c r="AF32" i="9"/>
  <c r="S11" i="8" s="1"/>
  <c r="AJ180" i="9"/>
  <c r="AJ175" i="9" s="1"/>
  <c r="AJ151" i="9"/>
  <c r="AJ149" i="9" s="1"/>
  <c r="AJ232" i="9"/>
  <c r="AJ94" i="9" s="1"/>
  <c r="AJ90" i="9" s="1"/>
  <c r="AJ86" i="9" s="1"/>
  <c r="AJ60" i="9" s="1"/>
  <c r="AJ48" i="9" s="1"/>
  <c r="AJ47" i="9" s="1"/>
  <c r="AJ227" i="9"/>
  <c r="AJ122" i="9"/>
  <c r="AI42" i="9"/>
  <c r="AI36" i="9"/>
  <c r="AI31" i="9"/>
  <c r="AG42" i="9"/>
  <c r="AG36" i="9"/>
  <c r="AG31" i="9"/>
  <c r="T10" i="8" s="1"/>
  <c r="T54" i="8"/>
  <c r="AI144" i="9"/>
  <c r="AB703" i="59"/>
  <c r="AG39" i="9"/>
  <c r="AG37" i="9" s="1"/>
  <c r="T13" i="8" s="1"/>
  <c r="AG34" i="9"/>
  <c r="AF35" i="9"/>
  <c r="S12" i="8" s="1"/>
  <c r="AL110" i="9"/>
  <c r="AL114" i="9"/>
  <c r="AI173" i="9"/>
  <c r="AI171" i="9" s="1"/>
  <c r="AI177" i="9"/>
  <c r="AI243" i="9" s="1"/>
  <c r="AI251" i="9" s="1"/>
  <c r="AL135" i="9"/>
  <c r="AL181" i="9"/>
  <c r="AL176" i="9" s="1"/>
  <c r="AL233" i="9"/>
  <c r="AL228" i="9"/>
  <c r="AK110" i="9"/>
  <c r="AK114" i="9"/>
  <c r="AI187" i="9"/>
  <c r="AI182" i="9"/>
  <c r="AK135" i="9"/>
  <c r="AK181" i="9"/>
  <c r="AK176" i="9" s="1"/>
  <c r="AK228" i="9"/>
  <c r="AK233" i="9"/>
  <c r="Z724" i="59"/>
  <c r="AI239" i="9"/>
  <c r="AJ226" i="9"/>
  <c r="AJ179" i="9"/>
  <c r="AJ174" i="9" s="1"/>
  <c r="AJ231" i="9"/>
  <c r="AJ85" i="9" s="1"/>
  <c r="AJ81" i="9" s="1"/>
  <c r="AB704" i="59"/>
  <c r="AL124" i="9"/>
  <c r="Z725" i="59"/>
  <c r="AJ225" i="9"/>
  <c r="AJ108" i="9"/>
  <c r="AJ147" i="9"/>
  <c r="AJ145" i="9" s="1"/>
  <c r="AJ230" i="9"/>
  <c r="AJ74" i="9" s="1"/>
  <c r="AJ70" i="9" s="1"/>
  <c r="AJ178" i="9"/>
  <c r="AJ238" i="9"/>
  <c r="AJ236" i="9" s="1"/>
  <c r="AJ105" i="9"/>
  <c r="AH253" i="9"/>
  <c r="AK124" i="9"/>
  <c r="AG251" i="9"/>
  <c r="T58" i="8"/>
  <c r="M1099" i="79"/>
  <c r="M1013" i="79" s="1"/>
  <c r="N180" i="52" s="1"/>
  <c r="BJ56" i="52"/>
  <c r="I1099" i="79"/>
  <c r="I1013" i="79" s="1"/>
  <c r="J180" i="52" s="1"/>
  <c r="BF56" i="52"/>
  <c r="J1099" i="79"/>
  <c r="J1013" i="79" s="1"/>
  <c r="K180" i="52" s="1"/>
  <c r="BG56" i="52"/>
  <c r="G1099" i="79"/>
  <c r="G1013" i="79" s="1"/>
  <c r="H180" i="52" s="1"/>
  <c r="BD56" i="52"/>
  <c r="I1166" i="79"/>
  <c r="J1166" i="79"/>
  <c r="J1141" i="79" s="1"/>
  <c r="L1166" i="79"/>
  <c r="L1141" i="79" s="1"/>
  <c r="G1166" i="79"/>
  <c r="G1141" i="79" s="1"/>
  <c r="K1166" i="79"/>
  <c r="M1166" i="79"/>
  <c r="M1141" i="79" s="1"/>
  <c r="H1166" i="79"/>
  <c r="G8" i="91" l="1"/>
  <c r="S9" i="8"/>
  <c r="S8" i="8" s="1"/>
  <c r="R48" i="8"/>
  <c r="BI56" i="52"/>
  <c r="U20" i="54"/>
  <c r="V129" i="54"/>
  <c r="V20" i="54" s="1"/>
  <c r="O62" i="54"/>
  <c r="W532" i="59" s="1"/>
  <c r="H56" i="52"/>
  <c r="K171" i="54" s="1"/>
  <c r="P61" i="54"/>
  <c r="X531" i="59" s="1"/>
  <c r="I56" i="52"/>
  <c r="L171" i="54" s="1"/>
  <c r="S40" i="54"/>
  <c r="K56" i="52"/>
  <c r="N171" i="54" s="1"/>
  <c r="L61" i="54"/>
  <c r="T531" i="59" s="1"/>
  <c r="P62" i="54"/>
  <c r="X532" i="59" s="1"/>
  <c r="N61" i="54"/>
  <c r="V531" i="59" s="1"/>
  <c r="R41" i="54"/>
  <c r="N56" i="52"/>
  <c r="Q171" i="54" s="1"/>
  <c r="R171" i="54" s="1"/>
  <c r="S171" i="54" s="1"/>
  <c r="T171" i="54" s="1"/>
  <c r="U171" i="54" s="1"/>
  <c r="V171" i="54" s="1"/>
  <c r="O61" i="54"/>
  <c r="W531" i="59" s="1"/>
  <c r="J56" i="52"/>
  <c r="M171" i="54" s="1"/>
  <c r="K61" i="54"/>
  <c r="S531" i="59" s="1"/>
  <c r="M61" i="54"/>
  <c r="U531" i="59" s="1"/>
  <c r="AF30" i="9"/>
  <c r="AF28" i="9" s="1"/>
  <c r="AJ144" i="9"/>
  <c r="AJ104" i="9"/>
  <c r="AG29" i="9"/>
  <c r="AA725" i="59"/>
  <c r="AI253" i="9"/>
  <c r="AG35" i="9"/>
  <c r="T12" i="8" s="1"/>
  <c r="AC704" i="59"/>
  <c r="AD704" i="59"/>
  <c r="AL179" i="9"/>
  <c r="AL174" i="9" s="1"/>
  <c r="AL226" i="9"/>
  <c r="AL231" i="9"/>
  <c r="AL85" i="9" s="1"/>
  <c r="AL81" i="9" s="1"/>
  <c r="AG32" i="9"/>
  <c r="T11" i="8" s="1"/>
  <c r="AJ173" i="9"/>
  <c r="AJ171" i="9" s="1"/>
  <c r="AJ177" i="9"/>
  <c r="AJ243" i="9" s="1"/>
  <c r="AJ251" i="9" s="1"/>
  <c r="AL225" i="9"/>
  <c r="AL147" i="9"/>
  <c r="AL145" i="9" s="1"/>
  <c r="AL230" i="9"/>
  <c r="AL74" i="9" s="1"/>
  <c r="AL70" i="9" s="1"/>
  <c r="AL108" i="9"/>
  <c r="AL178" i="9"/>
  <c r="AL238" i="9"/>
  <c r="AL236" i="9" s="1"/>
  <c r="AL105" i="9"/>
  <c r="AJ239" i="9"/>
  <c r="AC703" i="59"/>
  <c r="AD703" i="59"/>
  <c r="AI103" i="9"/>
  <c r="AI43" i="9" s="1"/>
  <c r="AA724" i="59"/>
  <c r="AK179" i="9"/>
  <c r="AK174" i="9" s="1"/>
  <c r="AK226" i="9"/>
  <c r="AK231" i="9"/>
  <c r="AK85" i="9" s="1"/>
  <c r="AK81" i="9" s="1"/>
  <c r="AJ36" i="9"/>
  <c r="AJ42" i="9"/>
  <c r="AJ31" i="9"/>
  <c r="AK180" i="9"/>
  <c r="AK175" i="9" s="1"/>
  <c r="AK227" i="9"/>
  <c r="AK232" i="9"/>
  <c r="AK94" i="9" s="1"/>
  <c r="AK90" i="9" s="1"/>
  <c r="AK86" i="9" s="1"/>
  <c r="AK60" i="9" s="1"/>
  <c r="AK48" i="9" s="1"/>
  <c r="AK47" i="9" s="1"/>
  <c r="AK151" i="9"/>
  <c r="AK149" i="9" s="1"/>
  <c r="AK122" i="9"/>
  <c r="AH39" i="9"/>
  <c r="AH37" i="9" s="1"/>
  <c r="AH35" i="9" s="1"/>
  <c r="AH34" i="9"/>
  <c r="AK225" i="9"/>
  <c r="AK147" i="9"/>
  <c r="AK145" i="9" s="1"/>
  <c r="AK108" i="9"/>
  <c r="AK230" i="9"/>
  <c r="AK74" i="9" s="1"/>
  <c r="AK70" i="9" s="1"/>
  <c r="AK178" i="9"/>
  <c r="AK238" i="9"/>
  <c r="AK236" i="9" s="1"/>
  <c r="AK105" i="9"/>
  <c r="AJ187" i="9"/>
  <c r="AJ182" i="9"/>
  <c r="AL180" i="9"/>
  <c r="AL175" i="9" s="1"/>
  <c r="AL151" i="9"/>
  <c r="AL149" i="9" s="1"/>
  <c r="AL227" i="9"/>
  <c r="AL232" i="9"/>
  <c r="AL94" i="9" s="1"/>
  <c r="AL90" i="9" s="1"/>
  <c r="AL86" i="9" s="1"/>
  <c r="AL60" i="9" s="1"/>
  <c r="AL48" i="9" s="1"/>
  <c r="AL47" i="9" s="1"/>
  <c r="AL122" i="9"/>
  <c r="M1142" i="79"/>
  <c r="V181" i="52" s="1"/>
  <c r="V78" i="52" s="1"/>
  <c r="Q437" i="54" s="1"/>
  <c r="R437" i="54" s="1"/>
  <c r="S437" i="54" s="1"/>
  <c r="T437" i="54" s="1"/>
  <c r="U437" i="54" s="1"/>
  <c r="V437" i="54" s="1"/>
  <c r="V175" i="52"/>
  <c r="V77" i="52" s="1"/>
  <c r="Q436" i="54" s="1"/>
  <c r="R436" i="54" s="1"/>
  <c r="S436" i="54" s="1"/>
  <c r="T436" i="54" s="1"/>
  <c r="U436" i="54" s="1"/>
  <c r="V436" i="54" s="1"/>
  <c r="G1142" i="79"/>
  <c r="P181" i="52" s="1"/>
  <c r="P78" i="52" s="1"/>
  <c r="K437" i="54" s="1"/>
  <c r="P175" i="52"/>
  <c r="P77" i="52" s="1"/>
  <c r="K436" i="54" s="1"/>
  <c r="L1142" i="79"/>
  <c r="U181" i="52" s="1"/>
  <c r="U78" i="52" s="1"/>
  <c r="P437" i="54" s="1"/>
  <c r="U175" i="52"/>
  <c r="U77" i="52" s="1"/>
  <c r="P436" i="54" s="1"/>
  <c r="J1142" i="79"/>
  <c r="S181" i="52" s="1"/>
  <c r="S78" i="52" s="1"/>
  <c r="N437" i="54" s="1"/>
  <c r="S175" i="52"/>
  <c r="S77" i="52" s="1"/>
  <c r="N436" i="54" s="1"/>
  <c r="M1139" i="79"/>
  <c r="BJ175" i="52" s="1"/>
  <c r="G1139" i="79"/>
  <c r="BD175" i="52" s="1"/>
  <c r="L1139" i="79"/>
  <c r="BI175" i="52" s="1"/>
  <c r="J1139" i="79"/>
  <c r="BG175" i="52" s="1"/>
  <c r="K1141" i="79"/>
  <c r="K1139" i="79"/>
  <c r="BH175" i="52" s="1"/>
  <c r="H1141" i="79"/>
  <c r="H1139" i="79"/>
  <c r="BE175" i="52" s="1"/>
  <c r="I1139" i="79"/>
  <c r="BF175" i="52" s="1"/>
  <c r="I1141" i="79"/>
  <c r="AA259" i="9" l="1"/>
  <c r="AA258" i="9" s="1"/>
  <c r="H8" i="91"/>
  <c r="T9" i="8"/>
  <c r="T8" i="8" s="1"/>
  <c r="N7" i="91" s="1"/>
  <c r="N10" i="91" s="1"/>
  <c r="S48" i="8"/>
  <c r="Y746" i="59"/>
  <c r="J1140" i="79"/>
  <c r="BG77" i="52"/>
  <c r="M1140" i="79"/>
  <c r="BJ181" i="52" s="1"/>
  <c r="BJ77" i="52"/>
  <c r="L1140" i="79"/>
  <c r="BI181" i="52" s="1"/>
  <c r="BI77" i="52"/>
  <c r="BD77" i="52"/>
  <c r="Y745" i="59"/>
  <c r="Q61" i="54"/>
  <c r="Y531" i="59" s="1"/>
  <c r="Z531" i="59" s="1"/>
  <c r="AA531" i="59" s="1"/>
  <c r="AB531" i="59" s="1"/>
  <c r="AC531" i="59" s="1"/>
  <c r="AD531" i="59" s="1"/>
  <c r="T40" i="54"/>
  <c r="M62" i="54"/>
  <c r="U532" i="59" s="1"/>
  <c r="K62" i="54"/>
  <c r="S532" i="59" s="1"/>
  <c r="N62" i="54"/>
  <c r="V532" i="59" s="1"/>
  <c r="S41" i="54"/>
  <c r="L62" i="54"/>
  <c r="T532" i="59" s="1"/>
  <c r="X745" i="59"/>
  <c r="X746" i="59"/>
  <c r="S745" i="59"/>
  <c r="S746" i="59"/>
  <c r="V745" i="59"/>
  <c r="V746" i="59"/>
  <c r="AJ103" i="9"/>
  <c r="AJ43" i="9" s="1"/>
  <c r="AJ253" i="9"/>
  <c r="AJ34" i="9" s="1"/>
  <c r="AL104" i="9"/>
  <c r="AK104" i="9"/>
  <c r="AK144" i="9"/>
  <c r="AG30" i="9"/>
  <c r="AG28" i="9" s="1"/>
  <c r="AL239" i="9"/>
  <c r="AH29" i="9"/>
  <c r="AH32" i="9"/>
  <c r="AH30" i="9" s="1"/>
  <c r="AH28" i="9" s="1"/>
  <c r="AL144" i="9"/>
  <c r="AI39" i="9"/>
  <c r="AI37" i="9" s="1"/>
  <c r="AI35" i="9" s="1"/>
  <c r="AI34" i="9"/>
  <c r="AK173" i="9"/>
  <c r="AK171" i="9" s="1"/>
  <c r="AK177" i="9"/>
  <c r="AK243" i="9" s="1"/>
  <c r="AK251" i="9" s="1"/>
  <c r="AL187" i="9"/>
  <c r="AL182" i="9"/>
  <c r="AL36" i="9"/>
  <c r="AL31" i="9"/>
  <c r="AL42" i="9"/>
  <c r="AK239" i="9"/>
  <c r="AB724" i="59"/>
  <c r="AB725" i="59"/>
  <c r="AK31" i="9"/>
  <c r="AK42" i="9"/>
  <c r="AK36" i="9"/>
  <c r="AK182" i="9"/>
  <c r="AK187" i="9"/>
  <c r="AL173" i="9"/>
  <c r="AL171" i="9" s="1"/>
  <c r="AL177" i="9"/>
  <c r="AL243" i="9" s="1"/>
  <c r="AL251" i="9" s="1"/>
  <c r="G1140" i="79"/>
  <c r="G1135" i="79"/>
  <c r="G1001" i="79" s="1"/>
  <c r="H175" i="52" s="1"/>
  <c r="M1135" i="79"/>
  <c r="M1001" i="79" s="1"/>
  <c r="N175" i="52" s="1"/>
  <c r="J1135" i="79"/>
  <c r="J1001" i="79" s="1"/>
  <c r="K175" i="52" s="1"/>
  <c r="L1135" i="79"/>
  <c r="L1001" i="79" s="1"/>
  <c r="M175" i="52" s="1"/>
  <c r="H1142" i="79"/>
  <c r="Q181" i="52" s="1"/>
  <c r="Q78" i="52" s="1"/>
  <c r="L437" i="54" s="1"/>
  <c r="Q175" i="52"/>
  <c r="Q77" i="52" s="1"/>
  <c r="L436" i="54" s="1"/>
  <c r="K1142" i="79"/>
  <c r="T181" i="52" s="1"/>
  <c r="T78" i="52" s="1"/>
  <c r="O437" i="54" s="1"/>
  <c r="T175" i="52"/>
  <c r="T77" i="52" s="1"/>
  <c r="O436" i="54" s="1"/>
  <c r="I1142" i="79"/>
  <c r="R181" i="52" s="1"/>
  <c r="R78" i="52" s="1"/>
  <c r="M437" i="54" s="1"/>
  <c r="R175" i="52"/>
  <c r="R77" i="52" s="1"/>
  <c r="M436" i="54" s="1"/>
  <c r="I1135" i="79"/>
  <c r="I1001" i="79" s="1"/>
  <c r="J175" i="52" s="1"/>
  <c r="I1140" i="79"/>
  <c r="BF181" i="52" s="1"/>
  <c r="BF77" i="52"/>
  <c r="H1135" i="79"/>
  <c r="H1001" i="79" s="1"/>
  <c r="I175" i="52" s="1"/>
  <c r="H1140" i="79"/>
  <c r="BE181" i="52" s="1"/>
  <c r="BE77" i="52"/>
  <c r="K1135" i="79"/>
  <c r="K1001" i="79" s="1"/>
  <c r="L175" i="52" s="1"/>
  <c r="BH77" i="52"/>
  <c r="K1140" i="79"/>
  <c r="BH181" i="52" s="1"/>
  <c r="AA428" i="9" l="1"/>
  <c r="CL23" i="10" s="1"/>
  <c r="CR23" i="10" s="1"/>
  <c r="AA427" i="9"/>
  <c r="CL22" i="10" s="1"/>
  <c r="AA424" i="9"/>
  <c r="CL19" i="10" s="1"/>
  <c r="DD19" i="10" s="1"/>
  <c r="AA415" i="9"/>
  <c r="CL10" i="10" s="1"/>
  <c r="DD10" i="10" s="1"/>
  <c r="AA414" i="9"/>
  <c r="CL9" i="10" s="1"/>
  <c r="CX9" i="10" s="1"/>
  <c r="AA410" i="9"/>
  <c r="CL5" i="10" s="1"/>
  <c r="CX5" i="10" s="1"/>
  <c r="AA417" i="9"/>
  <c r="CL12" i="10" s="1"/>
  <c r="CX12" i="10" s="1"/>
  <c r="AA423" i="9"/>
  <c r="CL18" i="10" s="1"/>
  <c r="DD18" i="10" s="1"/>
  <c r="AA409" i="9"/>
  <c r="CL4" i="10" s="1"/>
  <c r="DD4" i="10" s="1"/>
  <c r="AA418" i="9"/>
  <c r="CL13" i="10" s="1"/>
  <c r="CX13" i="10" s="1"/>
  <c r="AA422" i="9"/>
  <c r="CL17" i="10" s="1"/>
  <c r="DD17" i="10" s="1"/>
  <c r="AA413" i="9"/>
  <c r="CL8" i="10" s="1"/>
  <c r="CX8" i="10" s="1"/>
  <c r="AA411" i="9"/>
  <c r="CL6" i="10" s="1"/>
  <c r="CR6" i="10" s="1"/>
  <c r="AA420" i="9"/>
  <c r="CL15" i="10" s="1"/>
  <c r="DD15" i="10" s="1"/>
  <c r="AA426" i="9"/>
  <c r="CL21" i="10" s="1"/>
  <c r="CR21" i="10" s="1"/>
  <c r="AA412" i="9"/>
  <c r="CL7" i="10" s="1"/>
  <c r="DD7" i="10" s="1"/>
  <c r="AA421" i="9"/>
  <c r="CL16" i="10" s="1"/>
  <c r="CR16" i="10" s="1"/>
  <c r="AA419" i="9"/>
  <c r="CL14" i="10" s="1"/>
  <c r="CR14" i="10" s="1"/>
  <c r="AA425" i="9"/>
  <c r="CL20" i="10" s="1"/>
  <c r="DD20" i="10" s="1"/>
  <c r="I8" i="91"/>
  <c r="G1136" i="79"/>
  <c r="G1014" i="79" s="1"/>
  <c r="H181" i="52" s="1"/>
  <c r="H78" i="52" s="1"/>
  <c r="K192" i="54" s="1"/>
  <c r="BD181" i="52"/>
  <c r="BD78" i="52" s="1"/>
  <c r="J1136" i="79"/>
  <c r="J1014" i="79" s="1"/>
  <c r="K181" i="52" s="1"/>
  <c r="K78" i="52" s="1"/>
  <c r="N192" i="54" s="1"/>
  <c r="BG181" i="52"/>
  <c r="BG78" i="52" s="1"/>
  <c r="M1136" i="79"/>
  <c r="M1014" i="79" s="1"/>
  <c r="N181" i="52" s="1"/>
  <c r="BJ78" i="52"/>
  <c r="BI78" i="52"/>
  <c r="L1136" i="79"/>
  <c r="L1014" i="79" s="1"/>
  <c r="M181" i="52" s="1"/>
  <c r="M78" i="52" s="1"/>
  <c r="P192" i="54" s="1"/>
  <c r="H77" i="52"/>
  <c r="K191" i="54" s="1"/>
  <c r="T41" i="54"/>
  <c r="U40" i="54"/>
  <c r="V40" i="54"/>
  <c r="N77" i="52"/>
  <c r="Q191" i="54" s="1"/>
  <c r="R191" i="54" s="1"/>
  <c r="S191" i="54" s="1"/>
  <c r="T191" i="54" s="1"/>
  <c r="U191" i="54" s="1"/>
  <c r="V191" i="54" s="1"/>
  <c r="J77" i="52"/>
  <c r="M191" i="54" s="1"/>
  <c r="M77" i="52"/>
  <c r="P191" i="54" s="1"/>
  <c r="I77" i="52"/>
  <c r="L191" i="54" s="1"/>
  <c r="L77" i="52"/>
  <c r="O191" i="54" s="1"/>
  <c r="R61" i="54"/>
  <c r="K77" i="52"/>
  <c r="N191" i="54" s="1"/>
  <c r="Q62" i="54"/>
  <c r="Y532" i="59" s="1"/>
  <c r="Z532" i="59" s="1"/>
  <c r="AA532" i="59" s="1"/>
  <c r="AB532" i="59" s="1"/>
  <c r="AC532" i="59" s="1"/>
  <c r="AD532" i="59" s="1"/>
  <c r="AJ39" i="9"/>
  <c r="AJ37" i="9" s="1"/>
  <c r="AJ35" i="9" s="1"/>
  <c r="T745" i="59"/>
  <c r="W746" i="59"/>
  <c r="T746" i="59"/>
  <c r="U745" i="59"/>
  <c r="U746" i="59"/>
  <c r="W745" i="59"/>
  <c r="AK103" i="9"/>
  <c r="AK43" i="9" s="1"/>
  <c r="AK253" i="9"/>
  <c r="AK39" i="9" s="1"/>
  <c r="AK37" i="9" s="1"/>
  <c r="AK35" i="9" s="1"/>
  <c r="AC724" i="59"/>
  <c r="AD724" i="59"/>
  <c r="AI29" i="9"/>
  <c r="AI32" i="9"/>
  <c r="AI30" i="9" s="1"/>
  <c r="AI28" i="9" s="1"/>
  <c r="Z746" i="59"/>
  <c r="AL103" i="9"/>
  <c r="AL43" i="9" s="1"/>
  <c r="T48" i="8"/>
  <c r="AL253" i="9"/>
  <c r="AD725" i="59"/>
  <c r="AC725" i="59"/>
  <c r="AJ32" i="9"/>
  <c r="AJ30" i="9" s="1"/>
  <c r="Z745" i="59"/>
  <c r="H1136" i="79"/>
  <c r="H1014" i="79" s="1"/>
  <c r="I181" i="52" s="1"/>
  <c r="BE78" i="52"/>
  <c r="I1136" i="79"/>
  <c r="I1014" i="79" s="1"/>
  <c r="J181" i="52" s="1"/>
  <c r="BF78" i="52"/>
  <c r="K1136" i="79"/>
  <c r="K1014" i="79" s="1"/>
  <c r="L181" i="52" s="1"/>
  <c r="BH78" i="52"/>
  <c r="M1203" i="79"/>
  <c r="H1203" i="79"/>
  <c r="I1203" i="79"/>
  <c r="L1203" i="79"/>
  <c r="L1178" i="79" s="1"/>
  <c r="G1203" i="79"/>
  <c r="G1176" i="79" s="1"/>
  <c r="BD176" i="52" s="1"/>
  <c r="K1203" i="79"/>
  <c r="K1176" i="79" s="1"/>
  <c r="BH176" i="52" s="1"/>
  <c r="J1203" i="79"/>
  <c r="J1176" i="79" s="1"/>
  <c r="BG176" i="52" s="1"/>
  <c r="CX23" i="10" l="1"/>
  <c r="DD23" i="10"/>
  <c r="BO427" i="9"/>
  <c r="CN22" i="10" s="1"/>
  <c r="DD22" i="10"/>
  <c r="CR22" i="10"/>
  <c r="CX22" i="10"/>
  <c r="CX19" i="10"/>
  <c r="CR19" i="10"/>
  <c r="CX10" i="10"/>
  <c r="CX17" i="10"/>
  <c r="CR17" i="10"/>
  <c r="DD8" i="10"/>
  <c r="CR8" i="10"/>
  <c r="CR10" i="10"/>
  <c r="DD5" i="10"/>
  <c r="CX18" i="10"/>
  <c r="CR18" i="10"/>
  <c r="DD12" i="10"/>
  <c r="CR5" i="10"/>
  <c r="CR12" i="10"/>
  <c r="CX4" i="10"/>
  <c r="CR4" i="10"/>
  <c r="DD6" i="10"/>
  <c r="CR9" i="10"/>
  <c r="DD9" i="10"/>
  <c r="CX6" i="10"/>
  <c r="DD13" i="10"/>
  <c r="CR13" i="10"/>
  <c r="DD14" i="10"/>
  <c r="CX15" i="10"/>
  <c r="CR15" i="10"/>
  <c r="CX14" i="10"/>
  <c r="CX7" i="10"/>
  <c r="CR7" i="10"/>
  <c r="CX16" i="10"/>
  <c r="DD16" i="10"/>
  <c r="CX21" i="10"/>
  <c r="DD21" i="10"/>
  <c r="CR20" i="10"/>
  <c r="CX20" i="10"/>
  <c r="J8" i="91"/>
  <c r="N78" i="52"/>
  <c r="Q192" i="54" s="1"/>
  <c r="R192" i="54" s="1"/>
  <c r="S192" i="54" s="1"/>
  <c r="T192" i="54" s="1"/>
  <c r="U192" i="54" s="1"/>
  <c r="V192" i="54" s="1"/>
  <c r="R62" i="54"/>
  <c r="S61" i="54"/>
  <c r="U41" i="54"/>
  <c r="V41" i="54"/>
  <c r="P83" i="54"/>
  <c r="X553" i="59" s="1"/>
  <c r="M82" i="54"/>
  <c r="U552" i="59" s="1"/>
  <c r="N83" i="54"/>
  <c r="V553" i="59" s="1"/>
  <c r="P82" i="54"/>
  <c r="X552" i="59" s="1"/>
  <c r="L78" i="52"/>
  <c r="O192" i="54" s="1"/>
  <c r="N82" i="54"/>
  <c r="V552" i="59" s="1"/>
  <c r="O82" i="54"/>
  <c r="W552" i="59" s="1"/>
  <c r="I78" i="52"/>
  <c r="L192" i="54" s="1"/>
  <c r="J78" i="52"/>
  <c r="M192" i="54" s="1"/>
  <c r="K83" i="54"/>
  <c r="S553" i="59" s="1"/>
  <c r="L82" i="54"/>
  <c r="T552" i="59" s="1"/>
  <c r="K82" i="54"/>
  <c r="S552" i="59" s="1"/>
  <c r="AJ28" i="9"/>
  <c r="AJ29" i="9"/>
  <c r="AK34" i="9"/>
  <c r="AK29" i="9" s="1"/>
  <c r="AL34" i="9"/>
  <c r="AL32" i="9" s="1"/>
  <c r="AL30" i="9" s="1"/>
  <c r="AL39" i="9"/>
  <c r="AA746" i="59"/>
  <c r="AA745" i="59"/>
  <c r="L1179" i="79"/>
  <c r="U182" i="52" s="1"/>
  <c r="U176" i="52"/>
  <c r="J1178" i="79"/>
  <c r="J1172" i="79" s="1"/>
  <c r="J1002" i="79" s="1"/>
  <c r="K176" i="52" s="1"/>
  <c r="H1178" i="79"/>
  <c r="H1176" i="79"/>
  <c r="BE176" i="52" s="1"/>
  <c r="M1176" i="79"/>
  <c r="BJ176" i="52" s="1"/>
  <c r="M1178" i="79"/>
  <c r="BH99" i="52"/>
  <c r="BH121" i="52" s="1"/>
  <c r="K1177" i="79"/>
  <c r="BH182" i="52" s="1"/>
  <c r="L1176" i="79"/>
  <c r="BI176" i="52" s="1"/>
  <c r="BG99" i="52"/>
  <c r="BG121" i="52" s="1"/>
  <c r="G1178" i="79"/>
  <c r="G1172" i="79" s="1"/>
  <c r="G1002" i="79" s="1"/>
  <c r="H176" i="52" s="1"/>
  <c r="G1177" i="79"/>
  <c r="BD182" i="52" s="1"/>
  <c r="BD99" i="52"/>
  <c r="BD121" i="52" s="1"/>
  <c r="K1178" i="79"/>
  <c r="I1176" i="79"/>
  <c r="BF176" i="52" s="1"/>
  <c r="I1178" i="79"/>
  <c r="J1177" i="79"/>
  <c r="BG182" i="52" s="1"/>
  <c r="CZ22" i="10" l="1"/>
  <c r="DF22" i="10"/>
  <c r="CT22" i="10"/>
  <c r="U99" i="52"/>
  <c r="P457" i="54" s="1"/>
  <c r="U100" i="52"/>
  <c r="P458" i="54" s="1"/>
  <c r="O83" i="54"/>
  <c r="W553" i="59" s="1"/>
  <c r="Q82" i="54"/>
  <c r="Y552" i="59" s="1"/>
  <c r="Z552" i="59" s="1"/>
  <c r="AA552" i="59" s="1"/>
  <c r="T61" i="54"/>
  <c r="H99" i="52"/>
  <c r="K212" i="54" s="1"/>
  <c r="M83" i="54"/>
  <c r="U553" i="59" s="1"/>
  <c r="K99" i="52"/>
  <c r="N212" i="54" s="1"/>
  <c r="S62" i="54"/>
  <c r="L83" i="54"/>
  <c r="T553" i="59" s="1"/>
  <c r="AK32" i="9"/>
  <c r="AK30" i="9" s="1"/>
  <c r="AK28" i="9" s="1"/>
  <c r="AB745" i="59"/>
  <c r="AB746" i="59"/>
  <c r="AL29" i="9"/>
  <c r="AL37" i="9"/>
  <c r="AL35" i="9" s="1"/>
  <c r="AL28" i="9" s="1"/>
  <c r="I1179" i="79"/>
  <c r="R182" i="52" s="1"/>
  <c r="R176" i="52"/>
  <c r="K1179" i="79"/>
  <c r="T182" i="52" s="1"/>
  <c r="T176" i="52"/>
  <c r="M1179" i="79"/>
  <c r="V182" i="52" s="1"/>
  <c r="V176" i="52"/>
  <c r="G1179" i="79"/>
  <c r="P182" i="52" s="1"/>
  <c r="P176" i="52"/>
  <c r="H1179" i="79"/>
  <c r="Q182" i="52" s="1"/>
  <c r="Q176" i="52"/>
  <c r="J1179" i="79"/>
  <c r="S182" i="52" s="1"/>
  <c r="S176" i="52"/>
  <c r="BG100" i="52"/>
  <c r="BG122" i="52" s="1"/>
  <c r="L1172" i="79"/>
  <c r="L1002" i="79" s="1"/>
  <c r="M176" i="52" s="1"/>
  <c r="BI99" i="52"/>
  <c r="BI121" i="52" s="1"/>
  <c r="L1177" i="79"/>
  <c r="BI182" i="52" s="1"/>
  <c r="I1172" i="79"/>
  <c r="I1002" i="79" s="1"/>
  <c r="J176" i="52" s="1"/>
  <c r="BF99" i="52"/>
  <c r="BF121" i="52" s="1"/>
  <c r="I1177" i="79"/>
  <c r="BF182" i="52" s="1"/>
  <c r="BH100" i="52"/>
  <c r="BH122" i="52" s="1"/>
  <c r="K1172" i="79"/>
  <c r="K1002" i="79" s="1"/>
  <c r="L176" i="52" s="1"/>
  <c r="BD100" i="52"/>
  <c r="BD122" i="52" s="1"/>
  <c r="M1172" i="79"/>
  <c r="M1002" i="79" s="1"/>
  <c r="N176" i="52" s="1"/>
  <c r="M1177" i="79"/>
  <c r="BJ182" i="52" s="1"/>
  <c r="BJ99" i="52"/>
  <c r="BJ121" i="52" s="1"/>
  <c r="H1172" i="79"/>
  <c r="H1002" i="79" s="1"/>
  <c r="I176" i="52" s="1"/>
  <c r="H1177" i="79"/>
  <c r="BE182" i="52" s="1"/>
  <c r="BE99" i="52"/>
  <c r="BE121" i="52" s="1"/>
  <c r="Q83" i="54" l="1"/>
  <c r="Y553" i="59" s="1"/>
  <c r="Z553" i="59" s="1"/>
  <c r="AA553" i="59" s="1"/>
  <c r="AB553" i="59" s="1"/>
  <c r="AC553" i="59" s="1"/>
  <c r="K121" i="52"/>
  <c r="H121" i="52"/>
  <c r="X767" i="59"/>
  <c r="X788" i="59" s="1"/>
  <c r="U122" i="52"/>
  <c r="X766" i="59"/>
  <c r="X787" i="59" s="1"/>
  <c r="U121" i="52"/>
  <c r="P99" i="52"/>
  <c r="V100" i="52"/>
  <c r="Q458" i="54" s="1"/>
  <c r="R458" i="54" s="1"/>
  <c r="Q100" i="52"/>
  <c r="L458" i="54" s="1"/>
  <c r="V99" i="52"/>
  <c r="Q457" i="54" s="1"/>
  <c r="R457" i="54" s="1"/>
  <c r="S99" i="52"/>
  <c r="T99" i="52"/>
  <c r="O457" i="54" s="1"/>
  <c r="S100" i="52"/>
  <c r="N458" i="54" s="1"/>
  <c r="T100" i="52"/>
  <c r="O458" i="54" s="1"/>
  <c r="P100" i="52"/>
  <c r="K458" i="54" s="1"/>
  <c r="Q99" i="52"/>
  <c r="L457" i="54" s="1"/>
  <c r="R99" i="52"/>
  <c r="M457" i="54" s="1"/>
  <c r="R100" i="52"/>
  <c r="M458" i="54" s="1"/>
  <c r="U61" i="54"/>
  <c r="V61" i="54"/>
  <c r="N103" i="54"/>
  <c r="V573" i="59" s="1"/>
  <c r="V615" i="59" s="1"/>
  <c r="R82" i="54"/>
  <c r="M99" i="52"/>
  <c r="P212" i="54" s="1"/>
  <c r="I99" i="52"/>
  <c r="L212" i="54" s="1"/>
  <c r="J99" i="52"/>
  <c r="M212" i="54" s="1"/>
  <c r="T62" i="54"/>
  <c r="L99" i="52"/>
  <c r="O212" i="54" s="1"/>
  <c r="N99" i="52"/>
  <c r="Q212" i="54" s="1"/>
  <c r="R212" i="54" s="1"/>
  <c r="S212" i="54" s="1"/>
  <c r="T212" i="54" s="1"/>
  <c r="U212" i="54" s="1"/>
  <c r="V212" i="54" s="1"/>
  <c r="K103" i="54"/>
  <c r="S573" i="59" s="1"/>
  <c r="S615" i="59" s="1"/>
  <c r="G1173" i="79"/>
  <c r="G1015" i="79" s="1"/>
  <c r="H182" i="52" s="1"/>
  <c r="K1173" i="79"/>
  <c r="K1015" i="79" s="1"/>
  <c r="L182" i="52" s="1"/>
  <c r="AD746" i="59"/>
  <c r="AC746" i="59"/>
  <c r="AC745" i="59"/>
  <c r="AD745" i="59"/>
  <c r="AB552" i="59"/>
  <c r="J1173" i="79"/>
  <c r="J1015" i="79" s="1"/>
  <c r="K182" i="52" s="1"/>
  <c r="I1173" i="79"/>
  <c r="I1015" i="79" s="1"/>
  <c r="J182" i="52" s="1"/>
  <c r="BF100" i="52"/>
  <c r="BF122" i="52" s="1"/>
  <c r="M1173" i="79"/>
  <c r="M1015" i="79" s="1"/>
  <c r="N182" i="52" s="1"/>
  <c r="BJ100" i="52"/>
  <c r="BJ122" i="52" s="1"/>
  <c r="L1173" i="79"/>
  <c r="L1015" i="79" s="1"/>
  <c r="M182" i="52" s="1"/>
  <c r="BI100" i="52"/>
  <c r="BI122" i="52" s="1"/>
  <c r="H1173" i="79"/>
  <c r="H1015" i="79" s="1"/>
  <c r="I182" i="52" s="1"/>
  <c r="BE100" i="52"/>
  <c r="BE122" i="52" s="1"/>
  <c r="N457" i="54" l="1"/>
  <c r="V766" i="59" s="1"/>
  <c r="V787" i="59" s="1"/>
  <c r="S457" i="54"/>
  <c r="Z766" i="59"/>
  <c r="Z787" i="59" s="1"/>
  <c r="S458" i="54"/>
  <c r="Z767" i="59"/>
  <c r="Z788" i="59" s="1"/>
  <c r="K457" i="54"/>
  <c r="S766" i="59" s="1"/>
  <c r="S787" i="59" s="1"/>
  <c r="I121" i="52"/>
  <c r="S767" i="59"/>
  <c r="S788" i="59" s="1"/>
  <c r="P122" i="52"/>
  <c r="Y766" i="59"/>
  <c r="Y787" i="59" s="1"/>
  <c r="V121" i="52"/>
  <c r="L121" i="52"/>
  <c r="W767" i="59"/>
  <c r="W788" i="59" s="1"/>
  <c r="T122" i="52"/>
  <c r="T767" i="59"/>
  <c r="T788" i="59" s="1"/>
  <c r="Q122" i="52"/>
  <c r="V767" i="59"/>
  <c r="V788" i="59" s="1"/>
  <c r="S122" i="52"/>
  <c r="Y767" i="59"/>
  <c r="Y788" i="59" s="1"/>
  <c r="V122" i="52"/>
  <c r="U767" i="59"/>
  <c r="U788" i="59" s="1"/>
  <c r="R122" i="52"/>
  <c r="M121" i="52"/>
  <c r="W766" i="59"/>
  <c r="W787" i="59" s="1"/>
  <c r="T121" i="52"/>
  <c r="P121" i="52"/>
  <c r="U766" i="59"/>
  <c r="U787" i="59" s="1"/>
  <c r="R121" i="52"/>
  <c r="J121" i="52"/>
  <c r="S121" i="52"/>
  <c r="R83" i="54"/>
  <c r="N121" i="52"/>
  <c r="T766" i="59"/>
  <c r="T787" i="59" s="1"/>
  <c r="Q121" i="52"/>
  <c r="P103" i="54"/>
  <c r="X573" i="59" s="1"/>
  <c r="X615" i="59" s="1"/>
  <c r="M103" i="54"/>
  <c r="U573" i="59" s="1"/>
  <c r="U594" i="59" s="1"/>
  <c r="I100" i="52"/>
  <c r="L213" i="54" s="1"/>
  <c r="L100" i="52"/>
  <c r="O213" i="54" s="1"/>
  <c r="S82" i="54"/>
  <c r="M100" i="52"/>
  <c r="P213" i="54" s="1"/>
  <c r="K100" i="52"/>
  <c r="N213" i="54" s="1"/>
  <c r="L103" i="54"/>
  <c r="T573" i="59" s="1"/>
  <c r="T594" i="59" s="1"/>
  <c r="N100" i="52"/>
  <c r="Q213" i="54" s="1"/>
  <c r="R213" i="54" s="1"/>
  <c r="S213" i="54" s="1"/>
  <c r="T213" i="54" s="1"/>
  <c r="U213" i="54" s="1"/>
  <c r="V213" i="54" s="1"/>
  <c r="S594" i="59"/>
  <c r="O103" i="54"/>
  <c r="W573" i="59" s="1"/>
  <c r="W615" i="59" s="1"/>
  <c r="V594" i="59"/>
  <c r="U62" i="54"/>
  <c r="V62" i="54"/>
  <c r="J100" i="52"/>
  <c r="M213" i="54" s="1"/>
  <c r="H100" i="52"/>
  <c r="K213" i="54" s="1"/>
  <c r="AC552" i="59"/>
  <c r="AD553" i="59"/>
  <c r="T457" i="54" l="1"/>
  <c r="AA766" i="59"/>
  <c r="AA787" i="59" s="1"/>
  <c r="T458" i="54"/>
  <c r="AA767" i="59"/>
  <c r="AA788" i="59" s="1"/>
  <c r="I122" i="52"/>
  <c r="H122" i="52"/>
  <c r="M122" i="52"/>
  <c r="J122" i="52"/>
  <c r="N122" i="52"/>
  <c r="S83" i="54"/>
  <c r="K122" i="52"/>
  <c r="L122" i="52"/>
  <c r="U615" i="59"/>
  <c r="U636" i="59" s="1"/>
  <c r="V636" i="59"/>
  <c r="S636" i="59"/>
  <c r="T615" i="59"/>
  <c r="T636" i="59" s="1"/>
  <c r="X594" i="59"/>
  <c r="K104" i="54"/>
  <c r="S574" i="59" s="1"/>
  <c r="Q103" i="54"/>
  <c r="Y573" i="59" s="1"/>
  <c r="L104" i="54"/>
  <c r="T574" i="59" s="1"/>
  <c r="T595" i="59" s="1"/>
  <c r="N104" i="54"/>
  <c r="V574" i="59" s="1"/>
  <c r="V616" i="59" s="1"/>
  <c r="M104" i="54"/>
  <c r="U574" i="59" s="1"/>
  <c r="U616" i="59" s="1"/>
  <c r="O104" i="54"/>
  <c r="W574" i="59" s="1"/>
  <c r="W616" i="59" s="1"/>
  <c r="P104" i="54"/>
  <c r="X574" i="59" s="1"/>
  <c r="X616" i="59" s="1"/>
  <c r="T82" i="54"/>
  <c r="W594" i="59"/>
  <c r="AD552" i="59"/>
  <c r="U458" i="54" l="1"/>
  <c r="AB767" i="59"/>
  <c r="AB788" i="59" s="1"/>
  <c r="U457" i="54"/>
  <c r="AB766" i="59"/>
  <c r="AB787" i="59" s="1"/>
  <c r="T83" i="54"/>
  <c r="X636" i="59"/>
  <c r="W595" i="59"/>
  <c r="W636" i="59"/>
  <c r="V595" i="59"/>
  <c r="Q104" i="54"/>
  <c r="Y574" i="59" s="1"/>
  <c r="U595" i="59"/>
  <c r="R103" i="54"/>
  <c r="X595" i="59"/>
  <c r="Y615" i="59"/>
  <c r="Y594" i="59"/>
  <c r="Z573" i="59"/>
  <c r="T616" i="59"/>
  <c r="T637" i="59" s="1"/>
  <c r="U82" i="54"/>
  <c r="V82" i="54"/>
  <c r="S616" i="59"/>
  <c r="S595" i="59"/>
  <c r="W637" i="59" l="1"/>
  <c r="V457" i="54"/>
  <c r="AD766" i="59" s="1"/>
  <c r="AD787" i="59" s="1"/>
  <c r="AC766" i="59"/>
  <c r="AC787" i="59" s="1"/>
  <c r="V458" i="54"/>
  <c r="AD767" i="59" s="1"/>
  <c r="AD788" i="59" s="1"/>
  <c r="AC767" i="59"/>
  <c r="AC788" i="59" s="1"/>
  <c r="U83" i="54"/>
  <c r="V83" i="54"/>
  <c r="V637" i="59"/>
  <c r="X637" i="59"/>
  <c r="S637" i="59"/>
  <c r="U637" i="59"/>
  <c r="S103" i="54"/>
  <c r="R104" i="54"/>
  <c r="AA573" i="59"/>
  <c r="Z615" i="59"/>
  <c r="Z574" i="59"/>
  <c r="Y595" i="59"/>
  <c r="Y616" i="59"/>
  <c r="Z594" i="59"/>
  <c r="Y636" i="59"/>
  <c r="AA594" i="59" l="1"/>
  <c r="Z636" i="59"/>
  <c r="AA574" i="59"/>
  <c r="Z616" i="59"/>
  <c r="AB573" i="59"/>
  <c r="AA615" i="59"/>
  <c r="S104" i="54"/>
  <c r="T103" i="54"/>
  <c r="Z595" i="59"/>
  <c r="AA595" i="59" s="1"/>
  <c r="AB595" i="59" s="1"/>
  <c r="AC595" i="59" s="1"/>
  <c r="AD595" i="59" s="1"/>
  <c r="Y637" i="59"/>
  <c r="AB594" i="59" l="1"/>
  <c r="AA636" i="59"/>
  <c r="T104" i="54"/>
  <c r="U103" i="54"/>
  <c r="V103" i="54"/>
  <c r="AC573" i="59"/>
  <c r="AB615" i="59"/>
  <c r="Z637" i="59"/>
  <c r="AB574" i="59"/>
  <c r="AA616" i="59"/>
  <c r="AA637" i="59" s="1"/>
  <c r="AB636" i="59" l="1"/>
  <c r="AC594" i="59"/>
  <c r="AC574" i="59"/>
  <c r="AB616" i="59"/>
  <c r="AB637" i="59" s="1"/>
  <c r="AD573" i="59"/>
  <c r="AD615" i="59" s="1"/>
  <c r="AC615" i="59"/>
  <c r="U104" i="54"/>
  <c r="V104" i="54"/>
  <c r="AC636" i="59" l="1"/>
  <c r="AD594" i="59"/>
  <c r="AD636" i="59" s="1"/>
  <c r="AD574" i="59"/>
  <c r="AD616" i="59" s="1"/>
  <c r="AD637" i="59" s="1"/>
  <c r="AC616" i="59"/>
  <c r="AC637" i="59" s="1"/>
  <c r="I1310" i="79"/>
  <c r="K1310" i="79"/>
  <c r="J1310" i="79"/>
  <c r="M1310" i="79"/>
  <c r="G1310" i="79"/>
  <c r="L1310" i="79"/>
  <c r="H1310" i="79"/>
  <c r="J1277" i="79" l="1"/>
  <c r="J1278" i="79" s="1"/>
  <c r="J1275" i="79"/>
  <c r="BG184" i="52" s="1"/>
  <c r="K1277" i="79"/>
  <c r="K1278" i="79" s="1"/>
  <c r="K1275" i="79"/>
  <c r="BH184" i="52" s="1"/>
  <c r="BH13" i="52" s="1"/>
  <c r="I1275" i="79"/>
  <c r="BF184" i="52" s="1"/>
  <c r="I1277" i="79"/>
  <c r="I1278" i="79" s="1"/>
  <c r="M1275" i="79"/>
  <c r="BJ184" i="52" s="1"/>
  <c r="M1277" i="79"/>
  <c r="M1278" i="79" s="1"/>
  <c r="H1275" i="79"/>
  <c r="H1277" i="79"/>
  <c r="H1278" i="79" s="1"/>
  <c r="L1275" i="79"/>
  <c r="BI184" i="52" s="1"/>
  <c r="L1277" i="79"/>
  <c r="L1278" i="79" s="1"/>
  <c r="G1275" i="79"/>
  <c r="BD184" i="52" s="1"/>
  <c r="G1277" i="79"/>
  <c r="G1278" i="79" s="1"/>
  <c r="R184" i="52"/>
  <c r="R13" i="52" s="1"/>
  <c r="I1251" i="79" l="1"/>
  <c r="G1276" i="79"/>
  <c r="G1272" i="79" s="1"/>
  <c r="G1271" i="79"/>
  <c r="G1245" i="79" s="1"/>
  <c r="H184" i="52" s="1"/>
  <c r="I1276" i="79"/>
  <c r="I1272" i="79" s="1"/>
  <c r="I1271" i="79"/>
  <c r="I1245" i="79" s="1"/>
  <c r="J184" i="52" s="1"/>
  <c r="L1276" i="79"/>
  <c r="L1272" i="79" s="1"/>
  <c r="L1271" i="79"/>
  <c r="L1245" i="79" s="1"/>
  <c r="M184" i="52" s="1"/>
  <c r="K1276" i="79"/>
  <c r="K1271" i="79"/>
  <c r="K1245" i="79" s="1"/>
  <c r="L184" i="52" s="1"/>
  <c r="L13" i="52" s="1"/>
  <c r="H1276" i="79"/>
  <c r="H1271" i="79"/>
  <c r="H1245" i="79" s="1"/>
  <c r="I184" i="52" s="1"/>
  <c r="BE184" i="52"/>
  <c r="BE13" i="52" s="1"/>
  <c r="J1276" i="79"/>
  <c r="J1272" i="79" s="1"/>
  <c r="J1271" i="79"/>
  <c r="J1245" i="79" s="1"/>
  <c r="K184" i="52" s="1"/>
  <c r="M1276" i="79"/>
  <c r="M1272" i="79" s="1"/>
  <c r="M1271" i="79"/>
  <c r="M1245" i="79" s="1"/>
  <c r="N184" i="52" s="1"/>
  <c r="BI13" i="52"/>
  <c r="BD13" i="52"/>
  <c r="BG13" i="52"/>
  <c r="BF13" i="52"/>
  <c r="BJ13" i="52"/>
  <c r="M366" i="54"/>
  <c r="U675" i="59" s="1"/>
  <c r="P184" i="52"/>
  <c r="P13" i="52" s="1"/>
  <c r="G1251" i="79"/>
  <c r="L1251" i="79"/>
  <c r="U184" i="52"/>
  <c r="U13" i="52" s="1"/>
  <c r="S184" i="52"/>
  <c r="S13" i="52" s="1"/>
  <c r="J1251" i="79"/>
  <c r="Q184" i="52"/>
  <c r="Q13" i="52" s="1"/>
  <c r="H1251" i="79"/>
  <c r="T184" i="52"/>
  <c r="T13" i="52" s="1"/>
  <c r="K1251" i="79"/>
  <c r="V184" i="52"/>
  <c r="V13" i="52" s="1"/>
  <c r="M1251" i="79"/>
  <c r="R190" i="52"/>
  <c r="R14" i="52" s="1"/>
  <c r="I1264" i="79"/>
  <c r="BF190" i="52" l="1"/>
  <c r="BD190" i="52"/>
  <c r="BD14" i="52" s="1"/>
  <c r="BG190" i="52"/>
  <c r="BG14" i="52" s="1"/>
  <c r="BI190" i="52"/>
  <c r="BI14" i="52" s="1"/>
  <c r="K1272" i="79"/>
  <c r="K1258" i="79" s="1"/>
  <c r="L190" i="52" s="1"/>
  <c r="L14" i="52" s="1"/>
  <c r="BH190" i="52"/>
  <c r="BH14" i="52" s="1"/>
  <c r="BJ190" i="52"/>
  <c r="BJ14" i="52" s="1"/>
  <c r="H1272" i="79"/>
  <c r="H1258" i="79" s="1"/>
  <c r="I190" i="52" s="1"/>
  <c r="I14" i="52" s="1"/>
  <c r="BE190" i="52"/>
  <c r="BE14" i="52" s="1"/>
  <c r="Q366" i="54"/>
  <c r="J13" i="52"/>
  <c r="N13" i="52"/>
  <c r="K13" i="52"/>
  <c r="M13" i="52"/>
  <c r="I13" i="52"/>
  <c r="H13" i="52"/>
  <c r="O121" i="54"/>
  <c r="O12" i="54" s="1"/>
  <c r="W482" i="59" s="1"/>
  <c r="O366" i="54"/>
  <c r="W675" i="59" s="1"/>
  <c r="N366" i="54"/>
  <c r="V675" i="59" s="1"/>
  <c r="K366" i="54"/>
  <c r="S675" i="59" s="1"/>
  <c r="P366" i="54"/>
  <c r="X675" i="59" s="1"/>
  <c r="M367" i="54"/>
  <c r="U676" i="59" s="1"/>
  <c r="L366" i="54"/>
  <c r="T675" i="59" s="1"/>
  <c r="I1258" i="79"/>
  <c r="J190" i="52" s="1"/>
  <c r="BF14" i="52"/>
  <c r="M1258" i="79"/>
  <c r="N190" i="52" s="1"/>
  <c r="J1258" i="79"/>
  <c r="K190" i="52" s="1"/>
  <c r="G1258" i="79"/>
  <c r="H190" i="52" s="1"/>
  <c r="L1258" i="79"/>
  <c r="M190" i="52" s="1"/>
  <c r="V190" i="52"/>
  <c r="V14" i="52" s="1"/>
  <c r="M1264" i="79"/>
  <c r="U190" i="52"/>
  <c r="U14" i="52" s="1"/>
  <c r="L1264" i="79"/>
  <c r="K1264" i="79"/>
  <c r="T190" i="52"/>
  <c r="T14" i="52" s="1"/>
  <c r="H1264" i="79"/>
  <c r="Q190" i="52"/>
  <c r="Q14" i="52" s="1"/>
  <c r="S190" i="52"/>
  <c r="S14" i="52" s="1"/>
  <c r="J1264" i="79"/>
  <c r="P190" i="52"/>
  <c r="P14" i="52" s="1"/>
  <c r="G1264" i="79"/>
  <c r="G1355" i="79"/>
  <c r="I1355" i="79"/>
  <c r="J1355" i="79"/>
  <c r="K1355" i="79"/>
  <c r="L1355" i="79"/>
  <c r="H1355" i="79"/>
  <c r="M1355" i="79"/>
  <c r="I1320" i="79" l="1"/>
  <c r="I1322" i="79"/>
  <c r="I1323" i="79" s="1"/>
  <c r="H1320" i="79"/>
  <c r="BE185" i="52" s="1"/>
  <c r="H1322" i="79"/>
  <c r="H1323" i="79" s="1"/>
  <c r="M1320" i="79"/>
  <c r="BJ185" i="52" s="1"/>
  <c r="BJ35" i="52" s="1"/>
  <c r="M1322" i="79"/>
  <c r="M1323" i="79" s="1"/>
  <c r="L1320" i="79"/>
  <c r="BI185" i="52" s="1"/>
  <c r="L1322" i="79"/>
  <c r="L1323" i="79" s="1"/>
  <c r="G1320" i="79"/>
  <c r="G1322" i="79"/>
  <c r="G1323" i="79" s="1"/>
  <c r="K1322" i="79"/>
  <c r="K1323" i="79" s="1"/>
  <c r="K1320" i="79"/>
  <c r="J1322" i="79"/>
  <c r="J1323" i="79" s="1"/>
  <c r="J1320" i="79"/>
  <c r="BG185" i="52" s="1"/>
  <c r="BG35" i="52" s="1"/>
  <c r="Y675" i="59"/>
  <c r="R366" i="54"/>
  <c r="S366" i="54" s="1"/>
  <c r="T366" i="54" s="1"/>
  <c r="U366" i="54" s="1"/>
  <c r="V366" i="54" s="1"/>
  <c r="Q367" i="54"/>
  <c r="R367" i="54" s="1"/>
  <c r="S367" i="54" s="1"/>
  <c r="T367" i="54" s="1"/>
  <c r="U367" i="54" s="1"/>
  <c r="V367" i="54" s="1"/>
  <c r="N14" i="52"/>
  <c r="J14" i="52"/>
  <c r="P121" i="54"/>
  <c r="P12" i="54" s="1"/>
  <c r="X482" i="59" s="1"/>
  <c r="K121" i="54"/>
  <c r="K12" i="54" s="1"/>
  <c r="S482" i="59" s="1"/>
  <c r="N121" i="54"/>
  <c r="N12" i="54" s="1"/>
  <c r="V482" i="59" s="1"/>
  <c r="O122" i="54"/>
  <c r="O13" i="54" s="1"/>
  <c r="W483" i="59" s="1"/>
  <c r="M14" i="52"/>
  <c r="L121" i="54"/>
  <c r="L12" i="54" s="1"/>
  <c r="T482" i="59" s="1"/>
  <c r="Q121" i="54"/>
  <c r="H14" i="52"/>
  <c r="K14" i="52"/>
  <c r="L122" i="54"/>
  <c r="L13" i="54" s="1"/>
  <c r="T483" i="59" s="1"/>
  <c r="M121" i="54"/>
  <c r="M12" i="54" s="1"/>
  <c r="U482" i="59" s="1"/>
  <c r="L367" i="54"/>
  <c r="T676" i="59" s="1"/>
  <c r="O367" i="54"/>
  <c r="W676" i="59" s="1"/>
  <c r="K367" i="54"/>
  <c r="S676" i="59" s="1"/>
  <c r="P367" i="54"/>
  <c r="X676" i="59" s="1"/>
  <c r="N367" i="54"/>
  <c r="V676" i="59" s="1"/>
  <c r="Q185" i="52"/>
  <c r="Q35" i="52" s="1"/>
  <c r="L387" i="54" s="1"/>
  <c r="P185" i="52"/>
  <c r="P35" i="52" s="1"/>
  <c r="K387" i="54" s="1"/>
  <c r="BD185" i="52"/>
  <c r="I1252" i="79"/>
  <c r="BF185" i="52"/>
  <c r="K1252" i="79" l="1"/>
  <c r="R185" i="52"/>
  <c r="R35" i="52" s="1"/>
  <c r="M387" i="54" s="1"/>
  <c r="U696" i="59" s="1"/>
  <c r="U185" i="52"/>
  <c r="U35" i="52" s="1"/>
  <c r="P387" i="54" s="1"/>
  <c r="X696" i="59" s="1"/>
  <c r="S185" i="52"/>
  <c r="S35" i="52" s="1"/>
  <c r="N387" i="54" s="1"/>
  <c r="V696" i="59" s="1"/>
  <c r="M1321" i="79"/>
  <c r="M1316" i="79"/>
  <c r="T185" i="52"/>
  <c r="T35" i="52" s="1"/>
  <c r="O387" i="54" s="1"/>
  <c r="W696" i="59" s="1"/>
  <c r="K1321" i="79"/>
  <c r="K1317" i="79" s="1"/>
  <c r="K1316" i="79"/>
  <c r="K1246" i="79" s="1"/>
  <c r="L185" i="52" s="1"/>
  <c r="H1321" i="79"/>
  <c r="H1317" i="79" s="1"/>
  <c r="H1316" i="79"/>
  <c r="H1246" i="79" s="1"/>
  <c r="I185" i="52" s="1"/>
  <c r="BH185" i="52"/>
  <c r="BH35" i="52" s="1"/>
  <c r="G1321" i="79"/>
  <c r="G1317" i="79" s="1"/>
  <c r="G1316" i="79"/>
  <c r="G1246" i="79" s="1"/>
  <c r="H185" i="52" s="1"/>
  <c r="V185" i="52"/>
  <c r="V35" i="52" s="1"/>
  <c r="Q387" i="54" s="1"/>
  <c r="R387" i="54" s="1"/>
  <c r="S387" i="54" s="1"/>
  <c r="T387" i="54" s="1"/>
  <c r="U387" i="54" s="1"/>
  <c r="V387" i="54" s="1"/>
  <c r="J1321" i="79"/>
  <c r="J1316" i="79"/>
  <c r="J1246" i="79" s="1"/>
  <c r="K185" i="52" s="1"/>
  <c r="I1321" i="79"/>
  <c r="I1317" i="79" s="1"/>
  <c r="I1316" i="79"/>
  <c r="I1246" i="79" s="1"/>
  <c r="J185" i="52" s="1"/>
  <c r="L1321" i="79"/>
  <c r="L1317" i="79" s="1"/>
  <c r="L1316" i="79"/>
  <c r="L1246" i="79" s="1"/>
  <c r="M185" i="52" s="1"/>
  <c r="Z675" i="59"/>
  <c r="Y676" i="59"/>
  <c r="BH191" i="52"/>
  <c r="N122" i="54"/>
  <c r="N13" i="54" s="1"/>
  <c r="V483" i="59" s="1"/>
  <c r="P122" i="54"/>
  <c r="P13" i="54" s="1"/>
  <c r="X483" i="59" s="1"/>
  <c r="K122" i="54"/>
  <c r="K13" i="54" s="1"/>
  <c r="S483" i="59" s="1"/>
  <c r="M122" i="54"/>
  <c r="M13" i="54" s="1"/>
  <c r="U483" i="59" s="1"/>
  <c r="Q12" i="54"/>
  <c r="Y482" i="59" s="1"/>
  <c r="Z482" i="59" s="1"/>
  <c r="AA482" i="59" s="1"/>
  <c r="AB482" i="59" s="1"/>
  <c r="AC482" i="59" s="1"/>
  <c r="AD482" i="59" s="1"/>
  <c r="R121" i="54"/>
  <c r="Q122" i="54"/>
  <c r="S696" i="59"/>
  <c r="T696" i="59"/>
  <c r="Z676" i="59"/>
  <c r="AA675" i="59"/>
  <c r="M1252" i="79"/>
  <c r="M1265" i="79"/>
  <c r="M1246" i="79"/>
  <c r="N185" i="52" s="1"/>
  <c r="K1265" i="79"/>
  <c r="T191" i="52"/>
  <c r="T36" i="52" s="1"/>
  <c r="O388" i="54" s="1"/>
  <c r="I1265" i="79"/>
  <c r="R191" i="52"/>
  <c r="R36" i="52" s="1"/>
  <c r="M388" i="54" s="1"/>
  <c r="J1252" i="79"/>
  <c r="G1252" i="79"/>
  <c r="BD35" i="52"/>
  <c r="BE35" i="52"/>
  <c r="H1252" i="79"/>
  <c r="BF35" i="52"/>
  <c r="L1252" i="79"/>
  <c r="BI35" i="52"/>
  <c r="BD191" i="52" l="1"/>
  <c r="BE191" i="52"/>
  <c r="BF191" i="52"/>
  <c r="BF36" i="52" s="1"/>
  <c r="Y696" i="59"/>
  <c r="BI191" i="52"/>
  <c r="BI36" i="52" s="1"/>
  <c r="J1317" i="79"/>
  <c r="J1259" i="79" s="1"/>
  <c r="K191" i="52" s="1"/>
  <c r="BG191" i="52"/>
  <c r="BG36" i="52" s="1"/>
  <c r="M1317" i="79"/>
  <c r="M1259" i="79" s="1"/>
  <c r="N191" i="52" s="1"/>
  <c r="BJ191" i="52"/>
  <c r="BJ36" i="52" s="1"/>
  <c r="K1259" i="79"/>
  <c r="L191" i="52" s="1"/>
  <c r="L36" i="52" s="1"/>
  <c r="O143" i="54" s="1"/>
  <c r="BH36" i="52"/>
  <c r="L35" i="52"/>
  <c r="O142" i="54" s="1"/>
  <c r="H35" i="52"/>
  <c r="K142" i="54" s="1"/>
  <c r="N35" i="52"/>
  <c r="Q142" i="54" s="1"/>
  <c r="R142" i="54" s="1"/>
  <c r="S142" i="54" s="1"/>
  <c r="T142" i="54" s="1"/>
  <c r="U142" i="54" s="1"/>
  <c r="V142" i="54" s="1"/>
  <c r="K35" i="52"/>
  <c r="N142" i="54" s="1"/>
  <c r="I35" i="52"/>
  <c r="L142" i="54" s="1"/>
  <c r="Q13" i="54"/>
  <c r="Y483" i="59" s="1"/>
  <c r="Z483" i="59" s="1"/>
  <c r="AA483" i="59" s="1"/>
  <c r="AB483" i="59" s="1"/>
  <c r="AC483" i="59" s="1"/>
  <c r="AD483" i="59" s="1"/>
  <c r="R122" i="54"/>
  <c r="J35" i="52"/>
  <c r="M142" i="54" s="1"/>
  <c r="R12" i="54"/>
  <c r="S121" i="54"/>
  <c r="M35" i="52"/>
  <c r="P142" i="54" s="1"/>
  <c r="V191" i="52"/>
  <c r="V36" i="52" s="1"/>
  <c r="Q388" i="54" s="1"/>
  <c r="R388" i="54" s="1"/>
  <c r="S388" i="54" s="1"/>
  <c r="T388" i="54" s="1"/>
  <c r="U388" i="54" s="1"/>
  <c r="V388" i="54" s="1"/>
  <c r="U697" i="59"/>
  <c r="W697" i="59"/>
  <c r="AB675" i="59"/>
  <c r="AA676" i="59"/>
  <c r="Z696" i="59"/>
  <c r="J1265" i="79"/>
  <c r="S191" i="52"/>
  <c r="S36" i="52" s="1"/>
  <c r="N388" i="54" s="1"/>
  <c r="H1265" i="79"/>
  <c r="Q191" i="52"/>
  <c r="Q36" i="52" s="1"/>
  <c r="L388" i="54" s="1"/>
  <c r="L1265" i="79"/>
  <c r="U191" i="52"/>
  <c r="U36" i="52" s="1"/>
  <c r="P388" i="54" s="1"/>
  <c r="G1265" i="79"/>
  <c r="P191" i="52"/>
  <c r="P36" i="52" s="1"/>
  <c r="K388" i="54" s="1"/>
  <c r="L1259" i="79"/>
  <c r="M191" i="52" s="1"/>
  <c r="BE36" i="52"/>
  <c r="H1259" i="79"/>
  <c r="I191" i="52" s="1"/>
  <c r="I1259" i="79"/>
  <c r="J191" i="52" s="1"/>
  <c r="G1259" i="79"/>
  <c r="H191" i="52" s="1"/>
  <c r="BD36" i="52"/>
  <c r="L1400" i="79"/>
  <c r="H1400" i="79"/>
  <c r="M1400" i="79"/>
  <c r="J1400" i="79"/>
  <c r="K1400" i="79"/>
  <c r="G1400" i="79"/>
  <c r="I1400" i="79"/>
  <c r="H1365" i="79" l="1"/>
  <c r="BE186" i="52" s="1"/>
  <c r="H1367" i="79"/>
  <c r="H1368" i="79" s="1"/>
  <c r="M1365" i="79"/>
  <c r="BJ186" i="52" s="1"/>
  <c r="BJ57" i="52" s="1"/>
  <c r="M1367" i="79"/>
  <c r="M1368" i="79" s="1"/>
  <c r="I1367" i="79"/>
  <c r="I1368" i="79" s="1"/>
  <c r="I1365" i="79"/>
  <c r="BF186" i="52" s="1"/>
  <c r="G1365" i="79"/>
  <c r="BD186" i="52" s="1"/>
  <c r="BD57" i="52" s="1"/>
  <c r="G1367" i="79"/>
  <c r="G1368" i="79" s="1"/>
  <c r="L1365" i="79"/>
  <c r="BI186" i="52" s="1"/>
  <c r="L1367" i="79"/>
  <c r="L1368" i="79" s="1"/>
  <c r="K1365" i="79"/>
  <c r="BH186" i="52" s="1"/>
  <c r="K1367" i="79"/>
  <c r="K1368" i="79" s="1"/>
  <c r="J1367" i="79"/>
  <c r="J1368" i="79" s="1"/>
  <c r="J1365" i="79"/>
  <c r="Y697" i="59"/>
  <c r="J36" i="52"/>
  <c r="M143" i="54" s="1"/>
  <c r="R13" i="54"/>
  <c r="S122" i="54"/>
  <c r="H36" i="52"/>
  <c r="K143" i="54" s="1"/>
  <c r="M33" i="54"/>
  <c r="U503" i="59" s="1"/>
  <c r="K33" i="54"/>
  <c r="S503" i="59" s="1"/>
  <c r="K36" i="52"/>
  <c r="N143" i="54" s="1"/>
  <c r="N36" i="52"/>
  <c r="Q143" i="54" s="1"/>
  <c r="R143" i="54" s="1"/>
  <c r="S143" i="54" s="1"/>
  <c r="T143" i="54" s="1"/>
  <c r="U143" i="54" s="1"/>
  <c r="V143" i="54" s="1"/>
  <c r="P33" i="54"/>
  <c r="X503" i="59" s="1"/>
  <c r="L33" i="54"/>
  <c r="T503" i="59" s="1"/>
  <c r="O33" i="54"/>
  <c r="W503" i="59" s="1"/>
  <c r="I36" i="52"/>
  <c r="L143" i="54" s="1"/>
  <c r="M36" i="52"/>
  <c r="P143" i="54" s="1"/>
  <c r="S12" i="54"/>
  <c r="T121" i="54"/>
  <c r="N33" i="54"/>
  <c r="V503" i="59" s="1"/>
  <c r="O34" i="54"/>
  <c r="W504" i="59" s="1"/>
  <c r="T697" i="59"/>
  <c r="V697" i="59"/>
  <c r="S697" i="59"/>
  <c r="X697" i="59"/>
  <c r="Z697" i="59"/>
  <c r="AD675" i="59"/>
  <c r="AC675" i="59"/>
  <c r="AA696" i="59"/>
  <c r="AB676" i="59"/>
  <c r="U186" i="52"/>
  <c r="U57" i="52" s="1"/>
  <c r="P408" i="54" s="1"/>
  <c r="V186" i="52"/>
  <c r="V57" i="52" s="1"/>
  <c r="Q408" i="54" s="1"/>
  <c r="R408" i="54" s="1"/>
  <c r="S408" i="54" s="1"/>
  <c r="T408" i="54" s="1"/>
  <c r="U408" i="54" s="1"/>
  <c r="V408" i="54" s="1"/>
  <c r="L1253" i="79" l="1"/>
  <c r="H1253" i="79"/>
  <c r="P186" i="52"/>
  <c r="P57" i="52" s="1"/>
  <c r="K408" i="54" s="1"/>
  <c r="S717" i="59" s="1"/>
  <c r="Q186" i="52"/>
  <c r="Q57" i="52" s="1"/>
  <c r="L408" i="54" s="1"/>
  <c r="T717" i="59" s="1"/>
  <c r="R186" i="52"/>
  <c r="R57" i="52" s="1"/>
  <c r="M408" i="54" s="1"/>
  <c r="U717" i="59" s="1"/>
  <c r="T186" i="52"/>
  <c r="T57" i="52" s="1"/>
  <c r="O408" i="54" s="1"/>
  <c r="W717" i="59" s="1"/>
  <c r="K1253" i="79"/>
  <c r="I1253" i="79"/>
  <c r="K1366" i="79"/>
  <c r="K1362" i="79" s="1"/>
  <c r="K1361" i="79"/>
  <c r="K1247" i="79" s="1"/>
  <c r="L186" i="52" s="1"/>
  <c r="L1366" i="79"/>
  <c r="L1362" i="79" s="1"/>
  <c r="L1361" i="79"/>
  <c r="L1247" i="79" s="1"/>
  <c r="M186" i="52" s="1"/>
  <c r="M1366" i="79"/>
  <c r="M1361" i="79"/>
  <c r="M1247" i="79" s="1"/>
  <c r="N186" i="52" s="1"/>
  <c r="J1366" i="79"/>
  <c r="J1361" i="79"/>
  <c r="J1247" i="79" s="1"/>
  <c r="K186" i="52" s="1"/>
  <c r="G1366" i="79"/>
  <c r="G1362" i="79" s="1"/>
  <c r="G1361" i="79"/>
  <c r="G1247" i="79" s="1"/>
  <c r="H186" i="52" s="1"/>
  <c r="BG186" i="52"/>
  <c r="BG57" i="52" s="1"/>
  <c r="H1366" i="79"/>
  <c r="H1362" i="79" s="1"/>
  <c r="H1361" i="79"/>
  <c r="H1247" i="79" s="1"/>
  <c r="I186" i="52" s="1"/>
  <c r="I1366" i="79"/>
  <c r="I1362" i="79" s="1"/>
  <c r="I1361" i="79"/>
  <c r="I1247" i="79" s="1"/>
  <c r="J186" i="52" s="1"/>
  <c r="J57" i="52" s="1"/>
  <c r="M163" i="54" s="1"/>
  <c r="BF57" i="52"/>
  <c r="N34" i="54"/>
  <c r="V504" i="59" s="1"/>
  <c r="K34" i="54"/>
  <c r="S504" i="59" s="1"/>
  <c r="T12" i="54"/>
  <c r="U121" i="54"/>
  <c r="S13" i="54"/>
  <c r="T122" i="54"/>
  <c r="Q33" i="54"/>
  <c r="Y503" i="59" s="1"/>
  <c r="Z503" i="59" s="1"/>
  <c r="AA503" i="59" s="1"/>
  <c r="AB503" i="59" s="1"/>
  <c r="AC503" i="59" s="1"/>
  <c r="AD503" i="59" s="1"/>
  <c r="L34" i="54"/>
  <c r="T504" i="59" s="1"/>
  <c r="P34" i="54"/>
  <c r="X504" i="59" s="1"/>
  <c r="M34" i="54"/>
  <c r="U504" i="59" s="1"/>
  <c r="X717" i="59"/>
  <c r="AA697" i="59"/>
  <c r="AC676" i="59"/>
  <c r="AD676" i="59"/>
  <c r="Y717" i="59"/>
  <c r="AB696" i="59"/>
  <c r="S186" i="52"/>
  <c r="S57" i="52" s="1"/>
  <c r="N408" i="54" s="1"/>
  <c r="L1266" i="79"/>
  <c r="U192" i="52"/>
  <c r="U58" i="52" s="1"/>
  <c r="P409" i="54" s="1"/>
  <c r="I1266" i="79"/>
  <c r="R192" i="52"/>
  <c r="R58" i="52" s="1"/>
  <c r="M409" i="54" s="1"/>
  <c r="H1266" i="79"/>
  <c r="Q192" i="52"/>
  <c r="Q58" i="52" s="1"/>
  <c r="L409" i="54" s="1"/>
  <c r="K1266" i="79"/>
  <c r="T192" i="52"/>
  <c r="T58" i="52" s="1"/>
  <c r="O409" i="54" s="1"/>
  <c r="G1253" i="79"/>
  <c r="P192" i="52"/>
  <c r="P58" i="52" s="1"/>
  <c r="K409" i="54" s="1"/>
  <c r="M1253" i="79"/>
  <c r="BI57" i="52"/>
  <c r="BH57" i="52"/>
  <c r="J1253" i="79"/>
  <c r="BE57" i="52"/>
  <c r="BD192" i="52" l="1"/>
  <c r="BD58" i="52" s="1"/>
  <c r="BH192" i="52"/>
  <c r="BI192" i="52"/>
  <c r="BI58" i="52" s="1"/>
  <c r="BE192" i="52"/>
  <c r="BE58" i="52" s="1"/>
  <c r="J1362" i="79"/>
  <c r="J1260" i="79" s="1"/>
  <c r="K192" i="52" s="1"/>
  <c r="BG192" i="52"/>
  <c r="BG58" i="52" s="1"/>
  <c r="M1362" i="79"/>
  <c r="M1260" i="79" s="1"/>
  <c r="N192" i="52" s="1"/>
  <c r="BJ192" i="52"/>
  <c r="BJ58" i="52" s="1"/>
  <c r="BF192" i="52"/>
  <c r="BF58" i="52" s="1"/>
  <c r="I1260" i="79"/>
  <c r="J192" i="52" s="1"/>
  <c r="J58" i="52" s="1"/>
  <c r="M164" i="54" s="1"/>
  <c r="R33" i="54"/>
  <c r="N57" i="52"/>
  <c r="Q163" i="54" s="1"/>
  <c r="R163" i="54" s="1"/>
  <c r="S163" i="54" s="1"/>
  <c r="T163" i="54" s="1"/>
  <c r="U163" i="54" s="1"/>
  <c r="V163" i="54" s="1"/>
  <c r="M57" i="52"/>
  <c r="P163" i="54" s="1"/>
  <c r="K57" i="52"/>
  <c r="N163" i="54" s="1"/>
  <c r="T13" i="54"/>
  <c r="U122" i="54"/>
  <c r="M54" i="54"/>
  <c r="U524" i="59" s="1"/>
  <c r="I57" i="52"/>
  <c r="L163" i="54" s="1"/>
  <c r="L57" i="52"/>
  <c r="O163" i="54" s="1"/>
  <c r="H57" i="52"/>
  <c r="K163" i="54" s="1"/>
  <c r="U12" i="54"/>
  <c r="V121" i="54"/>
  <c r="V12" i="54" s="1"/>
  <c r="Q34" i="54"/>
  <c r="Y504" i="59" s="1"/>
  <c r="Z504" i="59" s="1"/>
  <c r="AA504" i="59" s="1"/>
  <c r="AB504" i="59" s="1"/>
  <c r="AC504" i="59" s="1"/>
  <c r="AD504" i="59" s="1"/>
  <c r="S718" i="59"/>
  <c r="U718" i="59"/>
  <c r="X718" i="59"/>
  <c r="W718" i="59"/>
  <c r="V717" i="59"/>
  <c r="T718" i="59"/>
  <c r="Z717" i="59"/>
  <c r="AC696" i="59"/>
  <c r="AD696" i="59"/>
  <c r="AB697" i="59"/>
  <c r="M1266" i="79"/>
  <c r="V192" i="52"/>
  <c r="V58" i="52" s="1"/>
  <c r="Q409" i="54" s="1"/>
  <c r="R409" i="54" s="1"/>
  <c r="S409" i="54" s="1"/>
  <c r="T409" i="54" s="1"/>
  <c r="U409" i="54" s="1"/>
  <c r="V409" i="54" s="1"/>
  <c r="J1266" i="79"/>
  <c r="S192" i="52"/>
  <c r="S58" i="52" s="1"/>
  <c r="N409" i="54" s="1"/>
  <c r="G1266" i="79"/>
  <c r="G1260" i="79"/>
  <c r="H192" i="52" s="1"/>
  <c r="H1260" i="79"/>
  <c r="I192" i="52" s="1"/>
  <c r="BH58" i="52"/>
  <c r="K1260" i="79"/>
  <c r="L192" i="52" s="1"/>
  <c r="L1260" i="79"/>
  <c r="M192" i="52" s="1"/>
  <c r="L1445" i="79"/>
  <c r="J1445" i="79"/>
  <c r="G1445" i="79"/>
  <c r="K1445" i="79"/>
  <c r="H1445" i="79"/>
  <c r="M1445" i="79"/>
  <c r="I1445" i="79"/>
  <c r="L1412" i="79" l="1"/>
  <c r="L1413" i="79" s="1"/>
  <c r="L1410" i="79"/>
  <c r="BI187" i="52" s="1"/>
  <c r="BI79" i="52" s="1"/>
  <c r="I1412" i="79"/>
  <c r="I1413" i="79" s="1"/>
  <c r="I1410" i="79"/>
  <c r="H1410" i="79"/>
  <c r="BE187" i="52" s="1"/>
  <c r="BE79" i="52" s="1"/>
  <c r="H1412" i="79"/>
  <c r="H1413" i="79" s="1"/>
  <c r="M1412" i="79"/>
  <c r="M1413" i="79" s="1"/>
  <c r="M1410" i="79"/>
  <c r="BJ187" i="52" s="1"/>
  <c r="K1410" i="79"/>
  <c r="K1412" i="79"/>
  <c r="K1413" i="79" s="1"/>
  <c r="G1410" i="79"/>
  <c r="BD187" i="52" s="1"/>
  <c r="BD79" i="52" s="1"/>
  <c r="G1412" i="79"/>
  <c r="G1413" i="79" s="1"/>
  <c r="J1412" i="79"/>
  <c r="J1413" i="79" s="1"/>
  <c r="J1410" i="79"/>
  <c r="BG187" i="52" s="1"/>
  <c r="R34" i="54"/>
  <c r="N58" i="52"/>
  <c r="Q164" i="54" s="1"/>
  <c r="R164" i="54" s="1"/>
  <c r="S164" i="54" s="1"/>
  <c r="T164" i="54" s="1"/>
  <c r="U164" i="54" s="1"/>
  <c r="V164" i="54" s="1"/>
  <c r="P54" i="54"/>
  <c r="X524" i="59" s="1"/>
  <c r="M55" i="54"/>
  <c r="U525" i="59" s="1"/>
  <c r="H58" i="52"/>
  <c r="K164" i="54" s="1"/>
  <c r="U13" i="54"/>
  <c r="V122" i="54"/>
  <c r="V13" i="54" s="1"/>
  <c r="K54" i="54"/>
  <c r="S524" i="59" s="1"/>
  <c r="I58" i="52"/>
  <c r="L164" i="54" s="1"/>
  <c r="L54" i="54"/>
  <c r="T524" i="59" s="1"/>
  <c r="M58" i="52"/>
  <c r="P164" i="54" s="1"/>
  <c r="K58" i="52"/>
  <c r="N164" i="54" s="1"/>
  <c r="L58" i="52"/>
  <c r="O164" i="54" s="1"/>
  <c r="S33" i="54"/>
  <c r="O54" i="54"/>
  <c r="W524" i="59" s="1"/>
  <c r="N54" i="54"/>
  <c r="V524" i="59" s="1"/>
  <c r="V718" i="59"/>
  <c r="Y718" i="59"/>
  <c r="AA717" i="59"/>
  <c r="AC697" i="59"/>
  <c r="AD697" i="59"/>
  <c r="U187" i="52"/>
  <c r="U79" i="52" s="1"/>
  <c r="P429" i="54" s="1"/>
  <c r="I1254" i="79" l="1"/>
  <c r="K1254" i="79"/>
  <c r="V187" i="52"/>
  <c r="V79" i="52" s="1"/>
  <c r="Q429" i="54" s="1"/>
  <c r="R429" i="54" s="1"/>
  <c r="S429" i="54" s="1"/>
  <c r="T429" i="54" s="1"/>
  <c r="U429" i="54" s="1"/>
  <c r="V429" i="54" s="1"/>
  <c r="M1254" i="79"/>
  <c r="S187" i="52"/>
  <c r="S79" i="52" s="1"/>
  <c r="N429" i="54" s="1"/>
  <c r="V738" i="59" s="1"/>
  <c r="K1411" i="79"/>
  <c r="K1407" i="79" s="1"/>
  <c r="K1406" i="79"/>
  <c r="K1248" i="79" s="1"/>
  <c r="L187" i="52" s="1"/>
  <c r="I1411" i="79"/>
  <c r="I1407" i="79" s="1"/>
  <c r="I1406" i="79"/>
  <c r="I1248" i="79" s="1"/>
  <c r="J187" i="52" s="1"/>
  <c r="J79" i="52" s="1"/>
  <c r="M184" i="54" s="1"/>
  <c r="BF187" i="52"/>
  <c r="BF79" i="52" s="1"/>
  <c r="T187" i="52"/>
  <c r="T79" i="52" s="1"/>
  <c r="O429" i="54" s="1"/>
  <c r="W738" i="59" s="1"/>
  <c r="BH187" i="52"/>
  <c r="BH79" i="52" s="1"/>
  <c r="J1411" i="79"/>
  <c r="J1407" i="79" s="1"/>
  <c r="J1406" i="79"/>
  <c r="J1248" i="79" s="1"/>
  <c r="K187" i="52" s="1"/>
  <c r="M1411" i="79"/>
  <c r="M1407" i="79" s="1"/>
  <c r="M1406" i="79"/>
  <c r="M1248" i="79" s="1"/>
  <c r="N187" i="52" s="1"/>
  <c r="R187" i="52"/>
  <c r="R79" i="52" s="1"/>
  <c r="M429" i="54" s="1"/>
  <c r="U738" i="59" s="1"/>
  <c r="L1411" i="79"/>
  <c r="L1406" i="79"/>
  <c r="L1248" i="79" s="1"/>
  <c r="M187" i="52" s="1"/>
  <c r="H1411" i="79"/>
  <c r="H1406" i="79"/>
  <c r="H1248" i="79" s="1"/>
  <c r="I187" i="52" s="1"/>
  <c r="G1411" i="79"/>
  <c r="G1406" i="79"/>
  <c r="G1248" i="79" s="1"/>
  <c r="H187" i="52" s="1"/>
  <c r="Q54" i="54"/>
  <c r="Y524" i="59" s="1"/>
  <c r="Z524" i="59" s="1"/>
  <c r="AA524" i="59" s="1"/>
  <c r="AB524" i="59" s="1"/>
  <c r="AC524" i="59" s="1"/>
  <c r="AD524" i="59" s="1"/>
  <c r="P55" i="54"/>
  <c r="X525" i="59" s="1"/>
  <c r="T33" i="54"/>
  <c r="S34" i="54"/>
  <c r="N55" i="54"/>
  <c r="V525" i="59" s="1"/>
  <c r="O55" i="54"/>
  <c r="W525" i="59" s="1"/>
  <c r="L55" i="54"/>
  <c r="T525" i="59" s="1"/>
  <c r="K55" i="54"/>
  <c r="S525" i="59" s="1"/>
  <c r="X738" i="59"/>
  <c r="AB717" i="59"/>
  <c r="Z718" i="59"/>
  <c r="P187" i="52"/>
  <c r="P79" i="52" s="1"/>
  <c r="K429" i="54" s="1"/>
  <c r="K1267" i="79"/>
  <c r="T193" i="52"/>
  <c r="T80" i="52" s="1"/>
  <c r="O430" i="54" s="1"/>
  <c r="I1267" i="79"/>
  <c r="R193" i="52"/>
  <c r="R80" i="52" s="1"/>
  <c r="M430" i="54" s="1"/>
  <c r="M1267" i="79"/>
  <c r="V193" i="52"/>
  <c r="V80" i="52" s="1"/>
  <c r="Q430" i="54" s="1"/>
  <c r="R430" i="54" s="1"/>
  <c r="S430" i="54" s="1"/>
  <c r="T430" i="54" s="1"/>
  <c r="U430" i="54" s="1"/>
  <c r="V430" i="54" s="1"/>
  <c r="Q187" i="52"/>
  <c r="Q79" i="52" s="1"/>
  <c r="L429" i="54" s="1"/>
  <c r="BG79" i="52"/>
  <c r="J1254" i="79"/>
  <c r="L1254" i="79"/>
  <c r="H1254" i="79"/>
  <c r="G1254" i="79"/>
  <c r="BJ79" i="52"/>
  <c r="BG193" i="52" l="1"/>
  <c r="BG80" i="52" s="1"/>
  <c r="Z738" i="59"/>
  <c r="Y738" i="59"/>
  <c r="BH193" i="52"/>
  <c r="BH80" i="52" s="1"/>
  <c r="BJ193" i="52"/>
  <c r="BJ80" i="52" s="1"/>
  <c r="BF193" i="52"/>
  <c r="BF80" i="52" s="1"/>
  <c r="H1407" i="79"/>
  <c r="H1261" i="79" s="1"/>
  <c r="I193" i="52" s="1"/>
  <c r="BE193" i="52"/>
  <c r="BE80" i="52" s="1"/>
  <c r="L1407" i="79"/>
  <c r="L1261" i="79" s="1"/>
  <c r="M193" i="52" s="1"/>
  <c r="BI193" i="52"/>
  <c r="BI80" i="52" s="1"/>
  <c r="G1407" i="79"/>
  <c r="G1261" i="79" s="1"/>
  <c r="H193" i="52" s="1"/>
  <c r="BD193" i="52"/>
  <c r="BD80" i="52" s="1"/>
  <c r="I1261" i="79"/>
  <c r="J193" i="52" s="1"/>
  <c r="J80" i="52" s="1"/>
  <c r="M185" i="54" s="1"/>
  <c r="Y739" i="59"/>
  <c r="N79" i="52"/>
  <c r="Q184" i="54" s="1"/>
  <c r="R184" i="54" s="1"/>
  <c r="S184" i="54" s="1"/>
  <c r="T184" i="54" s="1"/>
  <c r="U184" i="54" s="1"/>
  <c r="V184" i="54" s="1"/>
  <c r="M79" i="52"/>
  <c r="P184" i="54" s="1"/>
  <c r="L79" i="52"/>
  <c r="O184" i="54" s="1"/>
  <c r="K79" i="52"/>
  <c r="N184" i="54" s="1"/>
  <c r="T34" i="54"/>
  <c r="U33" i="54"/>
  <c r="V33" i="54"/>
  <c r="M75" i="54"/>
  <c r="U545" i="59" s="1"/>
  <c r="I79" i="52"/>
  <c r="L184" i="54" s="1"/>
  <c r="H79" i="52"/>
  <c r="K184" i="54" s="1"/>
  <c r="R54" i="54"/>
  <c r="Q55" i="54"/>
  <c r="Y525" i="59" s="1"/>
  <c r="Z525" i="59" s="1"/>
  <c r="AA525" i="59" s="1"/>
  <c r="AB525" i="59" s="1"/>
  <c r="AC525" i="59" s="1"/>
  <c r="AD525" i="59" s="1"/>
  <c r="U739" i="59"/>
  <c r="W739" i="59"/>
  <c r="T738" i="59"/>
  <c r="S738" i="59"/>
  <c r="AC717" i="59"/>
  <c r="AD717" i="59"/>
  <c r="AA718" i="59"/>
  <c r="AA738" i="59"/>
  <c r="G1267" i="79"/>
  <c r="P193" i="52"/>
  <c r="P80" i="52" s="1"/>
  <c r="K430" i="54" s="1"/>
  <c r="H1267" i="79"/>
  <c r="Q193" i="52"/>
  <c r="Q80" i="52" s="1"/>
  <c r="L430" i="54" s="1"/>
  <c r="L1267" i="79"/>
  <c r="U193" i="52"/>
  <c r="U80" i="52" s="1"/>
  <c r="P430" i="54" s="1"/>
  <c r="J1267" i="79"/>
  <c r="S193" i="52"/>
  <c r="S80" i="52" s="1"/>
  <c r="N430" i="54" s="1"/>
  <c r="M1261" i="79"/>
  <c r="N193" i="52" s="1"/>
  <c r="K1261" i="79"/>
  <c r="L193" i="52" s="1"/>
  <c r="J1261" i="79"/>
  <c r="K193" i="52" s="1"/>
  <c r="G1490" i="79"/>
  <c r="G1455" i="79" s="1"/>
  <c r="BD188" i="52" s="1"/>
  <c r="M1490" i="79"/>
  <c r="M1455" i="79" s="1"/>
  <c r="BJ188" i="52" s="1"/>
  <c r="I1490" i="79"/>
  <c r="I1457" i="79" s="1"/>
  <c r="R188" i="52" s="1"/>
  <c r="J1490" i="79"/>
  <c r="J1457" i="79" s="1"/>
  <c r="K1490" i="79"/>
  <c r="K1455" i="79" s="1"/>
  <c r="BH188" i="52" s="1"/>
  <c r="H1490" i="79"/>
  <c r="H1455" i="79" s="1"/>
  <c r="BE188" i="52" s="1"/>
  <c r="L1490" i="79"/>
  <c r="L1457" i="79" s="1"/>
  <c r="U188" i="52" s="1"/>
  <c r="BE101" i="52" l="1"/>
  <c r="BE123" i="52" s="1"/>
  <c r="U101" i="52"/>
  <c r="P450" i="54" s="1"/>
  <c r="R101" i="52"/>
  <c r="M450" i="54" s="1"/>
  <c r="S54" i="54"/>
  <c r="O75" i="54"/>
  <c r="W545" i="59" s="1"/>
  <c r="N80" i="52"/>
  <c r="Q185" i="54" s="1"/>
  <c r="R185" i="54" s="1"/>
  <c r="S185" i="54" s="1"/>
  <c r="T185" i="54" s="1"/>
  <c r="U185" i="54" s="1"/>
  <c r="V185" i="54" s="1"/>
  <c r="H80" i="52"/>
  <c r="K185" i="54" s="1"/>
  <c r="R55" i="54"/>
  <c r="N75" i="54"/>
  <c r="V545" i="59" s="1"/>
  <c r="I80" i="52"/>
  <c r="L185" i="54" s="1"/>
  <c r="M80" i="52"/>
  <c r="P185" i="54" s="1"/>
  <c r="K75" i="54"/>
  <c r="S545" i="59" s="1"/>
  <c r="P75" i="54"/>
  <c r="X545" i="59" s="1"/>
  <c r="L80" i="52"/>
  <c r="O185" i="54" s="1"/>
  <c r="U34" i="54"/>
  <c r="V34" i="54"/>
  <c r="K80" i="52"/>
  <c r="N185" i="54" s="1"/>
  <c r="M76" i="54"/>
  <c r="U546" i="59" s="1"/>
  <c r="L75" i="54"/>
  <c r="T545" i="59" s="1"/>
  <c r="V739" i="59"/>
  <c r="X739" i="59"/>
  <c r="T739" i="59"/>
  <c r="S739" i="59"/>
  <c r="AB718" i="59"/>
  <c r="AB738" i="59"/>
  <c r="Z739" i="59"/>
  <c r="J1458" i="79"/>
  <c r="S188" i="52"/>
  <c r="I1455" i="79"/>
  <c r="BF188" i="52" s="1"/>
  <c r="K1456" i="79"/>
  <c r="BH194" i="52" s="1"/>
  <c r="BH101" i="52"/>
  <c r="BH123" i="52" s="1"/>
  <c r="J1455" i="79"/>
  <c r="BG188" i="52" s="1"/>
  <c r="H1457" i="79"/>
  <c r="Q188" i="52" s="1"/>
  <c r="K1457" i="79"/>
  <c r="I1255" i="79"/>
  <c r="I1458" i="79"/>
  <c r="L1458" i="79"/>
  <c r="L1255" i="79"/>
  <c r="G1456" i="79"/>
  <c r="BD194" i="52" s="1"/>
  <c r="BD101" i="52"/>
  <c r="BD123" i="52" s="1"/>
  <c r="G1457" i="79"/>
  <c r="P188" i="52" s="1"/>
  <c r="L1455" i="79"/>
  <c r="BI188" i="52" s="1"/>
  <c r="H1456" i="79"/>
  <c r="BE194" i="52" s="1"/>
  <c r="M1457" i="79"/>
  <c r="V188" i="52" s="1"/>
  <c r="J1255" i="79"/>
  <c r="BJ101" i="52"/>
  <c r="BJ123" i="52" s="1"/>
  <c r="M1456" i="79"/>
  <c r="BJ194" i="52" s="1"/>
  <c r="X759" i="59" l="1"/>
  <c r="X780" i="59" s="1"/>
  <c r="U123" i="52"/>
  <c r="J1451" i="79"/>
  <c r="J1249" i="79" s="1"/>
  <c r="K188" i="52" s="1"/>
  <c r="K101" i="52" s="1"/>
  <c r="N205" i="54" s="1"/>
  <c r="BH102" i="52"/>
  <c r="BH124" i="52" s="1"/>
  <c r="I1451" i="79"/>
  <c r="I1249" i="79" s="1"/>
  <c r="J188" i="52" s="1"/>
  <c r="BF101" i="52"/>
  <c r="BF123" i="52" s="1"/>
  <c r="U759" i="59"/>
  <c r="U780" i="59" s="1"/>
  <c r="R123" i="52"/>
  <c r="V101" i="52"/>
  <c r="Q450" i="54" s="1"/>
  <c r="R450" i="54" s="1"/>
  <c r="S101" i="52"/>
  <c r="N450" i="54" s="1"/>
  <c r="P101" i="52"/>
  <c r="K450" i="54" s="1"/>
  <c r="Q101" i="52"/>
  <c r="L450" i="54" s="1"/>
  <c r="P76" i="54"/>
  <c r="X546" i="59" s="1"/>
  <c r="O76" i="54"/>
  <c r="W546" i="59" s="1"/>
  <c r="L76" i="54"/>
  <c r="T546" i="59" s="1"/>
  <c r="Q75" i="54"/>
  <c r="Y545" i="59" s="1"/>
  <c r="Z545" i="59" s="1"/>
  <c r="AA545" i="59" s="1"/>
  <c r="K76" i="54"/>
  <c r="S546" i="59" s="1"/>
  <c r="S55" i="54"/>
  <c r="T54" i="54"/>
  <c r="N76" i="54"/>
  <c r="V546" i="59" s="1"/>
  <c r="AA739" i="59"/>
  <c r="AC718" i="59"/>
  <c r="AD718" i="59"/>
  <c r="AD738" i="59"/>
  <c r="AC738" i="59"/>
  <c r="BG101" i="52"/>
  <c r="BG123" i="52" s="1"/>
  <c r="I1456" i="79"/>
  <c r="I1268" i="79"/>
  <c r="R194" i="52"/>
  <c r="J1456" i="79"/>
  <c r="BG194" i="52" s="1"/>
  <c r="K1255" i="79"/>
  <c r="T188" i="52"/>
  <c r="L1268" i="79"/>
  <c r="U194" i="52"/>
  <c r="M1451" i="79"/>
  <c r="M1249" i="79" s="1"/>
  <c r="N188" i="52" s="1"/>
  <c r="H1451" i="79"/>
  <c r="H1249" i="79" s="1"/>
  <c r="I188" i="52" s="1"/>
  <c r="J1268" i="79"/>
  <c r="S194" i="52"/>
  <c r="K1458" i="79"/>
  <c r="K1452" i="79" s="1"/>
  <c r="K1262" i="79" s="1"/>
  <c r="L194" i="52" s="1"/>
  <c r="H1458" i="79"/>
  <c r="H1452" i="79" s="1"/>
  <c r="H1262" i="79" s="1"/>
  <c r="I194" i="52" s="1"/>
  <c r="H1255" i="79"/>
  <c r="K1451" i="79"/>
  <c r="K1249" i="79" s="1"/>
  <c r="L188" i="52" s="1"/>
  <c r="L1451" i="79"/>
  <c r="L1249" i="79" s="1"/>
  <c r="M188" i="52" s="1"/>
  <c r="BI101" i="52"/>
  <c r="BI123" i="52" s="1"/>
  <c r="L1456" i="79"/>
  <c r="BI194" i="52" s="1"/>
  <c r="G1458" i="79"/>
  <c r="G1255" i="79"/>
  <c r="G1451" i="79"/>
  <c r="G1249" i="79" s="1"/>
  <c r="H188" i="52" s="1"/>
  <c r="BD102" i="52"/>
  <c r="BD124" i="52" s="1"/>
  <c r="BJ102" i="52"/>
  <c r="BJ124" i="52" s="1"/>
  <c r="Q18" i="91" s="1"/>
  <c r="M1458" i="79"/>
  <c r="M1255" i="79"/>
  <c r="BE102" i="52"/>
  <c r="BE124" i="52" s="1"/>
  <c r="BF194" i="52" l="1"/>
  <c r="BF102" i="52" s="1"/>
  <c r="BF124" i="52" s="1"/>
  <c r="S450" i="54"/>
  <c r="Z759" i="59"/>
  <c r="Z780" i="59" s="1"/>
  <c r="I1452" i="79"/>
  <c r="I1262" i="79" s="1"/>
  <c r="J194" i="52" s="1"/>
  <c r="J102" i="52" s="1"/>
  <c r="M206" i="54" s="1"/>
  <c r="V759" i="59"/>
  <c r="V780" i="59" s="1"/>
  <c r="S123" i="52"/>
  <c r="K123" i="52"/>
  <c r="J1452" i="79"/>
  <c r="J1262" i="79" s="1"/>
  <c r="K194" i="52" s="1"/>
  <c r="K102" i="52" s="1"/>
  <c r="N206" i="54" s="1"/>
  <c r="BG102" i="52"/>
  <c r="BG124" i="52" s="1"/>
  <c r="J101" i="52"/>
  <c r="M205" i="54" s="1"/>
  <c r="Y759" i="59"/>
  <c r="Y780" i="59" s="1"/>
  <c r="V123" i="52"/>
  <c r="T759" i="59"/>
  <c r="T780" i="59" s="1"/>
  <c r="Q123" i="52"/>
  <c r="S759" i="59"/>
  <c r="S780" i="59" s="1"/>
  <c r="P123" i="52"/>
  <c r="R102" i="52"/>
  <c r="M451" i="54" s="1"/>
  <c r="S102" i="52"/>
  <c r="N451" i="54" s="1"/>
  <c r="U102" i="52"/>
  <c r="P451" i="54" s="1"/>
  <c r="T101" i="52"/>
  <c r="O450" i="54" s="1"/>
  <c r="I101" i="52"/>
  <c r="L205" i="54" s="1"/>
  <c r="M101" i="52"/>
  <c r="P205" i="54" s="1"/>
  <c r="U54" i="54"/>
  <c r="V54" i="54"/>
  <c r="R75" i="54"/>
  <c r="N101" i="52"/>
  <c r="Q205" i="54" s="1"/>
  <c r="R205" i="54" s="1"/>
  <c r="S205" i="54" s="1"/>
  <c r="T205" i="54" s="1"/>
  <c r="U205" i="54" s="1"/>
  <c r="V205" i="54" s="1"/>
  <c r="L101" i="52"/>
  <c r="O205" i="54" s="1"/>
  <c r="N96" i="54"/>
  <c r="V566" i="59" s="1"/>
  <c r="V608" i="59" s="1"/>
  <c r="T55" i="54"/>
  <c r="H101" i="52"/>
  <c r="K205" i="54" s="1"/>
  <c r="I102" i="52"/>
  <c r="L206" i="54" s="1"/>
  <c r="L102" i="52"/>
  <c r="O206" i="54" s="1"/>
  <c r="Q76" i="54"/>
  <c r="Y546" i="59" s="1"/>
  <c r="Z546" i="59" s="1"/>
  <c r="AA546" i="59" s="1"/>
  <c r="AB545" i="59"/>
  <c r="AB739" i="59"/>
  <c r="H1268" i="79"/>
  <c r="Q194" i="52"/>
  <c r="M1268" i="79"/>
  <c r="V194" i="52"/>
  <c r="K1268" i="79"/>
  <c r="T194" i="52"/>
  <c r="G1268" i="79"/>
  <c r="P194" i="52"/>
  <c r="G1452" i="79"/>
  <c r="G1262" i="79" s="1"/>
  <c r="H194" i="52" s="1"/>
  <c r="M1452" i="79"/>
  <c r="M1262" i="79" s="1"/>
  <c r="N194" i="52" s="1"/>
  <c r="BI102" i="52"/>
  <c r="BI124" i="52" s="1"/>
  <c r="L1452" i="79"/>
  <c r="L1262" i="79" s="1"/>
  <c r="M194" i="52" s="1"/>
  <c r="T450" i="54" l="1"/>
  <c r="AA759" i="59"/>
  <c r="AA780" i="59" s="1"/>
  <c r="W759" i="59"/>
  <c r="W780" i="59" s="1"/>
  <c r="T123" i="52"/>
  <c r="H123" i="52"/>
  <c r="J124" i="52"/>
  <c r="X760" i="59"/>
  <c r="X781" i="59" s="1"/>
  <c r="U124" i="52"/>
  <c r="N123" i="52"/>
  <c r="I123" i="52"/>
  <c r="K124" i="52"/>
  <c r="V760" i="59"/>
  <c r="V781" i="59" s="1"/>
  <c r="S124" i="52"/>
  <c r="J123" i="52"/>
  <c r="L124" i="52"/>
  <c r="L123" i="52"/>
  <c r="U760" i="59"/>
  <c r="U781" i="59" s="1"/>
  <c r="R124" i="52"/>
  <c r="M123" i="52"/>
  <c r="M96" i="54"/>
  <c r="U566" i="59" s="1"/>
  <c r="U587" i="59" s="1"/>
  <c r="I124" i="52"/>
  <c r="P102" i="52"/>
  <c r="K451" i="54" s="1"/>
  <c r="T102" i="52"/>
  <c r="O451" i="54" s="1"/>
  <c r="V102" i="52"/>
  <c r="Q451" i="54" s="1"/>
  <c r="R451" i="54" s="1"/>
  <c r="Q102" i="52"/>
  <c r="L451" i="54" s="1"/>
  <c r="R76" i="54"/>
  <c r="U55" i="54"/>
  <c r="V55" i="54"/>
  <c r="K96" i="54"/>
  <c r="S566" i="59" s="1"/>
  <c r="S587" i="59" s="1"/>
  <c r="M102" i="52"/>
  <c r="P206" i="54" s="1"/>
  <c r="M97" i="54"/>
  <c r="U567" i="59" s="1"/>
  <c r="U588" i="59" s="1"/>
  <c r="P96" i="54"/>
  <c r="X566" i="59" s="1"/>
  <c r="X587" i="59" s="1"/>
  <c r="S75" i="54"/>
  <c r="H102" i="52"/>
  <c r="K206" i="54" s="1"/>
  <c r="O97" i="54"/>
  <c r="W567" i="59" s="1"/>
  <c r="W609" i="59" s="1"/>
  <c r="L96" i="54"/>
  <c r="T566" i="59" s="1"/>
  <c r="T608" i="59" s="1"/>
  <c r="N102" i="52"/>
  <c r="Q206" i="54" s="1"/>
  <c r="R206" i="54" s="1"/>
  <c r="S206" i="54" s="1"/>
  <c r="T206" i="54" s="1"/>
  <c r="U206" i="54" s="1"/>
  <c r="V206" i="54" s="1"/>
  <c r="V587" i="59"/>
  <c r="L97" i="54"/>
  <c r="T567" i="59" s="1"/>
  <c r="T588" i="59" s="1"/>
  <c r="O96" i="54"/>
  <c r="W566" i="59" s="1"/>
  <c r="W608" i="59" s="1"/>
  <c r="N97" i="54"/>
  <c r="V567" i="59" s="1"/>
  <c r="V609" i="59" s="1"/>
  <c r="AC545" i="59"/>
  <c r="AB546" i="59"/>
  <c r="AD739" i="59"/>
  <c r="AC739" i="59"/>
  <c r="CJ123" i="9" l="1"/>
  <c r="CJ106" i="9"/>
  <c r="CJ136" i="9"/>
  <c r="E21" i="91"/>
  <c r="CK123" i="9"/>
  <c r="CK106" i="9"/>
  <c r="F21" i="91"/>
  <c r="CK136" i="9"/>
  <c r="S451" i="54"/>
  <c r="Z760" i="59"/>
  <c r="Z781" i="59" s="1"/>
  <c r="U450" i="54"/>
  <c r="AB759" i="59"/>
  <c r="AB780" i="59" s="1"/>
  <c r="U608" i="59"/>
  <c r="U629" i="59" s="1"/>
  <c r="T760" i="59"/>
  <c r="T781" i="59" s="1"/>
  <c r="Q124" i="52"/>
  <c r="H124" i="52"/>
  <c r="N124" i="52"/>
  <c r="Y760" i="59"/>
  <c r="Y781" i="59" s="1"/>
  <c r="V124" i="52"/>
  <c r="Q21" i="91" s="1"/>
  <c r="W760" i="59"/>
  <c r="W781" i="59" s="1"/>
  <c r="T124" i="52"/>
  <c r="M124" i="52"/>
  <c r="S760" i="59"/>
  <c r="S781" i="59" s="1"/>
  <c r="P124" i="52"/>
  <c r="U609" i="59"/>
  <c r="U630" i="59" s="1"/>
  <c r="W588" i="59"/>
  <c r="T587" i="59"/>
  <c r="S608" i="59"/>
  <c r="S629" i="59" s="1"/>
  <c r="T609" i="59"/>
  <c r="T630" i="59" s="1"/>
  <c r="W587" i="59"/>
  <c r="X608" i="59"/>
  <c r="X629" i="59" s="1"/>
  <c r="T75" i="54"/>
  <c r="V629" i="59"/>
  <c r="K97" i="54"/>
  <c r="S567" i="59" s="1"/>
  <c r="S609" i="59" s="1"/>
  <c r="V588" i="59"/>
  <c r="Q96" i="54"/>
  <c r="Y566" i="59" s="1"/>
  <c r="S76" i="54"/>
  <c r="P97" i="54"/>
  <c r="X567" i="59" s="1"/>
  <c r="X609" i="59" s="1"/>
  <c r="AD545" i="59"/>
  <c r="AC546" i="59"/>
  <c r="CK219" i="9" l="1"/>
  <c r="CK209" i="9"/>
  <c r="CK214" i="9"/>
  <c r="CJ219" i="9"/>
  <c r="H21" i="91"/>
  <c r="Q22" i="91" s="1"/>
  <c r="Q23" i="91" s="1"/>
  <c r="CM106" i="9"/>
  <c r="CM209" i="9" s="1"/>
  <c r="CM123" i="9"/>
  <c r="CM136" i="9"/>
  <c r="CJ209" i="9"/>
  <c r="CL123" i="9"/>
  <c r="CL106" i="9"/>
  <c r="CL136" i="9"/>
  <c r="G21" i="91"/>
  <c r="CJ214" i="9"/>
  <c r="V450" i="54"/>
  <c r="AD759" i="59" s="1"/>
  <c r="AD780" i="59" s="1"/>
  <c r="AC759" i="59"/>
  <c r="AC780" i="59" s="1"/>
  <c r="T451" i="54"/>
  <c r="AA760" i="59"/>
  <c r="AA781" i="59" s="1"/>
  <c r="T629" i="59"/>
  <c r="W630" i="59"/>
  <c r="W629" i="59"/>
  <c r="S588" i="59"/>
  <c r="V630" i="59"/>
  <c r="R96" i="54"/>
  <c r="U75" i="54"/>
  <c r="V75" i="54"/>
  <c r="T76" i="54"/>
  <c r="Y587" i="59"/>
  <c r="Y608" i="59"/>
  <c r="Z566" i="59"/>
  <c r="Q97" i="54"/>
  <c r="Y567" i="59" s="1"/>
  <c r="X588" i="59"/>
  <c r="AD546" i="59"/>
  <c r="CL214" i="9" l="1"/>
  <c r="I21" i="91"/>
  <c r="CN136" i="9"/>
  <c r="CN123" i="9"/>
  <c r="CN106" i="9"/>
  <c r="CL209" i="9"/>
  <c r="CM219" i="9"/>
  <c r="CI106" i="9"/>
  <c r="CI260" i="9" s="1"/>
  <c r="D21" i="91"/>
  <c r="CI123" i="9"/>
  <c r="CI267" i="9" s="1"/>
  <c r="CI265" i="9" s="1"/>
  <c r="CI431" i="9" s="1"/>
  <c r="CI136" i="9"/>
  <c r="CI272" i="9" s="1"/>
  <c r="CI270" i="9" s="1"/>
  <c r="CM214" i="9"/>
  <c r="CL219" i="9"/>
  <c r="U451" i="54"/>
  <c r="AB760" i="59"/>
  <c r="AB781" i="59" s="1"/>
  <c r="S630" i="59"/>
  <c r="X630" i="59"/>
  <c r="U76" i="54"/>
  <c r="V76" i="54"/>
  <c r="Z608" i="59"/>
  <c r="AA566" i="59"/>
  <c r="Y629" i="59"/>
  <c r="S96" i="54"/>
  <c r="R97" i="54"/>
  <c r="Z587" i="59"/>
  <c r="AA587" i="59" s="1"/>
  <c r="AB587" i="59" s="1"/>
  <c r="AC587" i="59" s="1"/>
  <c r="AD587" i="59" s="1"/>
  <c r="Z567" i="59"/>
  <c r="Y588" i="59"/>
  <c r="Y609" i="59"/>
  <c r="CI439" i="9" l="1"/>
  <c r="CI440" i="9"/>
  <c r="CI441" i="9"/>
  <c r="CI432" i="9"/>
  <c r="CI430" i="9"/>
  <c r="CI438" i="9"/>
  <c r="CI429" i="9"/>
  <c r="CI434" i="9"/>
  <c r="CI433" i="9"/>
  <c r="CI435" i="9"/>
  <c r="CN209" i="9"/>
  <c r="CN214" i="9"/>
  <c r="CN219" i="9"/>
  <c r="CI209" i="9"/>
  <c r="CO106" i="9"/>
  <c r="CO123" i="9"/>
  <c r="J21" i="91"/>
  <c r="Q27" i="91" s="1"/>
  <c r="Q29" i="91" s="1"/>
  <c r="CO136" i="9"/>
  <c r="CI214" i="9"/>
  <c r="CI219" i="9"/>
  <c r="V451" i="54"/>
  <c r="AD760" i="59" s="1"/>
  <c r="AD781" i="59" s="1"/>
  <c r="AC760" i="59"/>
  <c r="AC781" i="59" s="1"/>
  <c r="S97" i="54"/>
  <c r="AA608" i="59"/>
  <c r="AA629" i="59" s="1"/>
  <c r="AB566" i="59"/>
  <c r="Y630" i="59"/>
  <c r="Z629" i="59"/>
  <c r="Z588" i="59"/>
  <c r="AA567" i="59"/>
  <c r="Z609" i="59"/>
  <c r="T96" i="54"/>
  <c r="CO26" i="10" l="1"/>
  <c r="DG26" i="10" s="1"/>
  <c r="CO35" i="10"/>
  <c r="CO36" i="10"/>
  <c r="CO34" i="10"/>
  <c r="CO24" i="10"/>
  <c r="CO33" i="10"/>
  <c r="CO25" i="10"/>
  <c r="CO29" i="10"/>
  <c r="CO28" i="10"/>
  <c r="CO30" i="10"/>
  <c r="CO27" i="10"/>
  <c r="AA588" i="59"/>
  <c r="CP123" i="9"/>
  <c r="CP136" i="9"/>
  <c r="CP106" i="9"/>
  <c r="CP209" i="9" s="1"/>
  <c r="CO219" i="9"/>
  <c r="CO214" i="9"/>
  <c r="CI216" i="9" a="1"/>
  <c r="CI216" i="9" s="1"/>
  <c r="CJ216" i="9" s="1" a="1"/>
  <c r="CJ216" i="9" s="1"/>
  <c r="CK216" i="9" s="1" a="1"/>
  <c r="CK216" i="9" s="1"/>
  <c r="CL216" i="9" s="1" a="1"/>
  <c r="CL216" i="9" s="1"/>
  <c r="CM216" i="9" s="1" a="1"/>
  <c r="CM216" i="9" s="1"/>
  <c r="CN216" i="9" s="1" a="1"/>
  <c r="CN216" i="9" s="1"/>
  <c r="CI215" i="9" a="1"/>
  <c r="CI215" i="9" s="1"/>
  <c r="CI217" i="9" a="1"/>
  <c r="CI217" i="9" s="1"/>
  <c r="CJ217" i="9" s="1" a="1"/>
  <c r="CJ217" i="9" s="1"/>
  <c r="CK217" i="9" s="1" a="1"/>
  <c r="CK217" i="9" s="1"/>
  <c r="CL217" i="9" s="1" a="1"/>
  <c r="CL217" i="9" s="1"/>
  <c r="CM217" i="9" s="1" a="1"/>
  <c r="CM217" i="9" s="1"/>
  <c r="CN217" i="9" s="1" a="1"/>
  <c r="CN217" i="9" s="1"/>
  <c r="CO209" i="9"/>
  <c r="CI210" i="9" a="1"/>
  <c r="CI210" i="9" s="1"/>
  <c r="CI211" i="9" a="1"/>
  <c r="CI211" i="9" s="1"/>
  <c r="CI212" i="9" a="1"/>
  <c r="CI212" i="9" s="1"/>
  <c r="CI220" i="9" a="1"/>
  <c r="CI220" i="9" s="1"/>
  <c r="CI222" i="9" a="1"/>
  <c r="CI222" i="9" s="1"/>
  <c r="CJ222" i="9" s="1" a="1"/>
  <c r="CJ222" i="9" s="1"/>
  <c r="CK222" i="9" s="1" a="1"/>
  <c r="CK222" i="9" s="1"/>
  <c r="CL222" i="9" s="1" a="1"/>
  <c r="CL222" i="9" s="1"/>
  <c r="CM222" i="9" s="1" a="1"/>
  <c r="CM222" i="9" s="1"/>
  <c r="CN222" i="9" s="1" a="1"/>
  <c r="CN222" i="9" s="1"/>
  <c r="CI221" i="9" a="1"/>
  <c r="CI221" i="9" s="1"/>
  <c r="CJ221" i="9" s="1" a="1"/>
  <c r="CJ221" i="9" s="1"/>
  <c r="CK221" i="9" s="1" a="1"/>
  <c r="CK221" i="9" s="1"/>
  <c r="CL221" i="9" s="1" a="1"/>
  <c r="CL221" i="9" s="1"/>
  <c r="CM221" i="9" s="1" a="1"/>
  <c r="CM221" i="9" s="1"/>
  <c r="CN221" i="9" s="1" a="1"/>
  <c r="CN221" i="9" s="1"/>
  <c r="U96" i="54"/>
  <c r="V96" i="54"/>
  <c r="AC566" i="59"/>
  <c r="AB608" i="59"/>
  <c r="AB629" i="59" s="1"/>
  <c r="Z630" i="59"/>
  <c r="T97" i="54"/>
  <c r="AB567" i="59"/>
  <c r="AA609" i="59"/>
  <c r="AA630" i="59" l="1"/>
  <c r="CU26" i="10"/>
  <c r="DA26" i="10"/>
  <c r="DG34" i="10"/>
  <c r="CU34" i="10"/>
  <c r="DA34" i="10"/>
  <c r="DG36" i="10"/>
  <c r="CU36" i="10"/>
  <c r="DA36" i="10"/>
  <c r="DG35" i="10"/>
  <c r="CU35" i="10"/>
  <c r="DA35" i="10"/>
  <c r="DG27" i="10"/>
  <c r="CU27" i="10"/>
  <c r="DA27" i="10"/>
  <c r="CI100" i="9"/>
  <c r="AL22" i="8" s="1"/>
  <c r="CJ212" i="9" a="1"/>
  <c r="CJ212" i="9" s="1"/>
  <c r="CO221" i="9" a="1"/>
  <c r="CO221" i="9" s="1"/>
  <c r="CO216" i="9" a="1"/>
  <c r="CO216" i="9" s="1"/>
  <c r="CO217" i="9" a="1"/>
  <c r="CO217" i="9" s="1"/>
  <c r="CO222" i="9" a="1"/>
  <c r="CO222" i="9" s="1"/>
  <c r="DG30" i="10"/>
  <c r="CU30" i="10"/>
  <c r="DA30" i="10"/>
  <c r="AB588" i="59"/>
  <c r="CQ123" i="9"/>
  <c r="CQ136" i="9"/>
  <c r="CQ106" i="9"/>
  <c r="CI169" i="9"/>
  <c r="AL44" i="8" s="1"/>
  <c r="CJ211" i="9" a="1"/>
  <c r="CJ211" i="9" s="1"/>
  <c r="DG28" i="10"/>
  <c r="CU28" i="10"/>
  <c r="DA28" i="10"/>
  <c r="DA29" i="10"/>
  <c r="CU29" i="10"/>
  <c r="DG29" i="10"/>
  <c r="CI133" i="9"/>
  <c r="CI124" i="9" s="1"/>
  <c r="CJ215" i="9" a="1"/>
  <c r="CJ215" i="9" s="1"/>
  <c r="CI142" i="9"/>
  <c r="CI137" i="9" s="1"/>
  <c r="CJ220" i="9" a="1"/>
  <c r="CJ220" i="9" s="1"/>
  <c r="CI120" i="9"/>
  <c r="CJ210" i="9" a="1"/>
  <c r="CJ210" i="9" s="1"/>
  <c r="DA25" i="10"/>
  <c r="DG25" i="10"/>
  <c r="CU25" i="10"/>
  <c r="CP219" i="9"/>
  <c r="DG33" i="10"/>
  <c r="CU33" i="10"/>
  <c r="DA33" i="10"/>
  <c r="CP214" i="9"/>
  <c r="DG24" i="10"/>
  <c r="DA24" i="10"/>
  <c r="CU24" i="10"/>
  <c r="AD566" i="59"/>
  <c r="AD608" i="59" s="1"/>
  <c r="AD629" i="59" s="1"/>
  <c r="AC608" i="59"/>
  <c r="AC629" i="59" s="1"/>
  <c r="AB609" i="59"/>
  <c r="AC567" i="59"/>
  <c r="U97" i="54"/>
  <c r="V97" i="54"/>
  <c r="AB630" i="59" l="1"/>
  <c r="CJ120" i="9"/>
  <c r="CK210" i="9" a="1"/>
  <c r="CK210" i="9" s="1"/>
  <c r="CI110" i="9"/>
  <c r="CI114" i="9"/>
  <c r="CJ169" i="9"/>
  <c r="AM44" i="8" s="1"/>
  <c r="CK211" i="9" a="1"/>
  <c r="CK211" i="9" s="1"/>
  <c r="AC588" i="59"/>
  <c r="CR106" i="9"/>
  <c r="CR136" i="9"/>
  <c r="CR123" i="9"/>
  <c r="CJ100" i="9"/>
  <c r="AM22" i="8" s="1"/>
  <c r="CK212" i="9" a="1"/>
  <c r="CK212" i="9" s="1"/>
  <c r="CQ214" i="9"/>
  <c r="CJ133" i="9"/>
  <c r="CJ124" i="9" s="1"/>
  <c r="CK215" i="9" a="1"/>
  <c r="CK215" i="9" s="1"/>
  <c r="CQ219" i="9"/>
  <c r="CJ142" i="9"/>
  <c r="CJ137" i="9" s="1"/>
  <c r="CK220" i="9" a="1"/>
  <c r="CK220" i="9" s="1"/>
  <c r="CI233" i="9"/>
  <c r="CI228" i="9"/>
  <c r="AL29" i="8"/>
  <c r="CI181" i="9"/>
  <c r="CI135" i="9"/>
  <c r="CP222" i="9" a="1"/>
  <c r="CP222" i="9" s="1"/>
  <c r="CP221" i="9" a="1"/>
  <c r="CP221" i="9" s="1"/>
  <c r="CP217" i="9" a="1"/>
  <c r="CP217" i="9" s="1"/>
  <c r="CP216" i="9" a="1"/>
  <c r="CP216" i="9" s="1"/>
  <c r="AL28" i="8"/>
  <c r="CI232" i="9"/>
  <c r="CI94" i="9" s="1"/>
  <c r="CI90" i="9" s="1"/>
  <c r="CI86" i="9" s="1"/>
  <c r="CI60" i="9" s="1"/>
  <c r="AL19" i="8" s="1"/>
  <c r="CI180" i="9"/>
  <c r="CI151" i="9"/>
  <c r="CI149" i="9" s="1"/>
  <c r="AL36" i="8" s="1"/>
  <c r="CI227" i="9"/>
  <c r="CI122" i="9"/>
  <c r="CQ209" i="9"/>
  <c r="AD567" i="59"/>
  <c r="AD609" i="59" s="1"/>
  <c r="AC609" i="59"/>
  <c r="AC630" i="59" l="1"/>
  <c r="AD588" i="59"/>
  <c r="AD630" i="59" s="1"/>
  <c r="CS123" i="9"/>
  <c r="CS136" i="9"/>
  <c r="CS106" i="9"/>
  <c r="AL52" i="8"/>
  <c r="AL41" i="8"/>
  <c r="CI175" i="9"/>
  <c r="CQ221" i="9" a="1"/>
  <c r="CQ221" i="9" s="1"/>
  <c r="CQ217" i="9" a="1"/>
  <c r="CQ217" i="9" s="1"/>
  <c r="CQ222" i="9" a="1"/>
  <c r="CQ222" i="9" s="1"/>
  <c r="CQ216" i="9" a="1"/>
  <c r="CQ216" i="9" s="1"/>
  <c r="CK169" i="9"/>
  <c r="AN44" i="8" s="1"/>
  <c r="CL211" i="9" a="1"/>
  <c r="CL211" i="9" s="1"/>
  <c r="CK142" i="9"/>
  <c r="CK137" i="9" s="1"/>
  <c r="CL220" i="9" a="1"/>
  <c r="CL220" i="9" s="1"/>
  <c r="CK100" i="9"/>
  <c r="AN22" i="8" s="1"/>
  <c r="CL212" i="9" a="1"/>
  <c r="CL212" i="9" s="1"/>
  <c r="CR209" i="9"/>
  <c r="AM29" i="8"/>
  <c r="CJ233" i="9"/>
  <c r="CJ181" i="9"/>
  <c r="CJ228" i="9"/>
  <c r="CJ135" i="9"/>
  <c r="AL27" i="8"/>
  <c r="CI231" i="9"/>
  <c r="CI85" i="9" s="1"/>
  <c r="CI81" i="9" s="1"/>
  <c r="CI179" i="9"/>
  <c r="CI174" i="9" s="1"/>
  <c r="CI226" i="9"/>
  <c r="AL26" i="8"/>
  <c r="CI225" i="9"/>
  <c r="CI230" i="9"/>
  <c r="CI147" i="9"/>
  <c r="CI145" i="9" s="1"/>
  <c r="CI144" i="9" s="1"/>
  <c r="AL35" i="8" s="1"/>
  <c r="AL33" i="8" s="1"/>
  <c r="CI108" i="9"/>
  <c r="CI178" i="9"/>
  <c r="CI238" i="9"/>
  <c r="CI236" i="9" s="1"/>
  <c r="CI105" i="9"/>
  <c r="CI104" i="9" s="1"/>
  <c r="CR214" i="9"/>
  <c r="CK120" i="9"/>
  <c r="CL210" i="9" a="1"/>
  <c r="CL210" i="9" s="1"/>
  <c r="CJ180" i="9"/>
  <c r="CJ227" i="9"/>
  <c r="AM28" i="8"/>
  <c r="CJ151" i="9"/>
  <c r="CJ149" i="9" s="1"/>
  <c r="AM36" i="8" s="1"/>
  <c r="CJ232" i="9"/>
  <c r="CJ94" i="9" s="1"/>
  <c r="CJ90" i="9" s="1"/>
  <c r="CJ86" i="9" s="1"/>
  <c r="CJ60" i="9" s="1"/>
  <c r="AM19" i="8" s="1"/>
  <c r="CJ122" i="9"/>
  <c r="AL53" i="8"/>
  <c r="CI176" i="9"/>
  <c r="AL42" i="8"/>
  <c r="CK133" i="9"/>
  <c r="CK124" i="9" s="1"/>
  <c r="CL215" i="9" a="1"/>
  <c r="CL215" i="9" s="1"/>
  <c r="CR219" i="9"/>
  <c r="CJ110" i="9"/>
  <c r="CJ114" i="9"/>
  <c r="K54" i="9"/>
  <c r="K51" i="9" s="1"/>
  <c r="K50" i="9" s="1"/>
  <c r="AM52" i="8" l="1"/>
  <c r="CJ175" i="9"/>
  <c r="AM41" i="8"/>
  <c r="CK110" i="9"/>
  <c r="CK114" i="9"/>
  <c r="CL100" i="9"/>
  <c r="AO22" i="8" s="1"/>
  <c r="CM212" i="9" a="1"/>
  <c r="CM212" i="9" s="1"/>
  <c r="CJ231" i="9"/>
  <c r="CJ85" i="9" s="1"/>
  <c r="CJ81" i="9" s="1"/>
  <c r="CJ226" i="9"/>
  <c r="CJ179" i="9"/>
  <c r="CJ174" i="9" s="1"/>
  <c r="AM27" i="8"/>
  <c r="CI74" i="9"/>
  <c r="CI70" i="9" s="1"/>
  <c r="CI239" i="9"/>
  <c r="AL46" i="8" s="1"/>
  <c r="CJ230" i="9"/>
  <c r="CJ178" i="9"/>
  <c r="CJ238" i="9"/>
  <c r="CJ236" i="9" s="1"/>
  <c r="CJ108" i="9"/>
  <c r="CJ225" i="9"/>
  <c r="AM26" i="8"/>
  <c r="CJ147" i="9"/>
  <c r="CJ145" i="9" s="1"/>
  <c r="CJ144" i="9" s="1"/>
  <c r="AM35" i="8" s="1"/>
  <c r="AM33" i="8" s="1"/>
  <c r="CJ105" i="9"/>
  <c r="CJ104" i="9" s="1"/>
  <c r="CI182" i="9"/>
  <c r="CI187" i="9"/>
  <c r="AL56" i="8" s="1"/>
  <c r="CL142" i="9"/>
  <c r="CL137" i="9" s="1"/>
  <c r="CM220" i="9" a="1"/>
  <c r="CM220" i="9" s="1"/>
  <c r="CS209" i="9"/>
  <c r="CL120" i="9"/>
  <c r="CM210" i="9" a="1"/>
  <c r="CM210" i="9" s="1"/>
  <c r="AL25" i="8"/>
  <c r="CK228" i="9"/>
  <c r="CK233" i="9"/>
  <c r="CK181" i="9"/>
  <c r="AN29" i="8"/>
  <c r="CK135" i="9"/>
  <c r="CS219" i="9"/>
  <c r="CR221" i="9" a="1"/>
  <c r="CR221" i="9" s="1"/>
  <c r="CR222" i="9" a="1"/>
  <c r="CR222" i="9" s="1"/>
  <c r="CR217" i="9" a="1"/>
  <c r="CR217" i="9" s="1"/>
  <c r="CR216" i="9" a="1"/>
  <c r="CR216" i="9" s="1"/>
  <c r="AM53" i="8"/>
  <c r="AM42" i="8"/>
  <c r="CJ176" i="9"/>
  <c r="CS214" i="9"/>
  <c r="CL133" i="9"/>
  <c r="CL124" i="9" s="1"/>
  <c r="CM215" i="9" a="1"/>
  <c r="CM215" i="9" s="1"/>
  <c r="CL169" i="9"/>
  <c r="AO44" i="8" s="1"/>
  <c r="CM211" i="9" a="1"/>
  <c r="CM211" i="9" s="1"/>
  <c r="AN28" i="8"/>
  <c r="CK180" i="9"/>
  <c r="CK232" i="9"/>
  <c r="CK94" i="9" s="1"/>
  <c r="CK90" i="9" s="1"/>
  <c r="CK86" i="9" s="1"/>
  <c r="CK60" i="9" s="1"/>
  <c r="AN19" i="8" s="1"/>
  <c r="CK227" i="9"/>
  <c r="CK151" i="9"/>
  <c r="CK149" i="9" s="1"/>
  <c r="AN36" i="8" s="1"/>
  <c r="CK122" i="9"/>
  <c r="AL40" i="8"/>
  <c r="AL39" i="8" s="1"/>
  <c r="AL24" i="8" s="1"/>
  <c r="AL51" i="8"/>
  <c r="CI177" i="9"/>
  <c r="CI173" i="9"/>
  <c r="CI171" i="9" s="1"/>
  <c r="CI103" i="9" s="1"/>
  <c r="CI43" i="9" s="1"/>
  <c r="CT123" i="9"/>
  <c r="CT106" i="9"/>
  <c r="CT136" i="9"/>
  <c r="K48" i="9"/>
  <c r="J18" i="8"/>
  <c r="AM25" i="8" l="1"/>
  <c r="CM100" i="9"/>
  <c r="AP22" i="8" s="1"/>
  <c r="CN212" i="9" a="1"/>
  <c r="CN212" i="9" s="1"/>
  <c r="AL23" i="8"/>
  <c r="CJ74" i="9"/>
  <c r="CJ70" i="9" s="1"/>
  <c r="CJ239" i="9"/>
  <c r="AM46" i="8" s="1"/>
  <c r="CK179" i="9"/>
  <c r="CK174" i="9" s="1"/>
  <c r="CK231" i="9"/>
  <c r="CK85" i="9" s="1"/>
  <c r="CK81" i="9" s="1"/>
  <c r="CK226" i="9"/>
  <c r="AN27" i="8"/>
  <c r="CL180" i="9"/>
  <c r="CL227" i="9"/>
  <c r="CL151" i="9"/>
  <c r="CL149" i="9" s="1"/>
  <c r="AO36" i="8" s="1"/>
  <c r="CL232" i="9"/>
  <c r="CL94" i="9" s="1"/>
  <c r="CL90" i="9" s="1"/>
  <c r="CL86" i="9" s="1"/>
  <c r="CL60" i="9" s="1"/>
  <c r="AO19" i="8" s="1"/>
  <c r="AO28" i="8"/>
  <c r="CL122" i="9"/>
  <c r="CL114" i="9"/>
  <c r="CL110" i="9"/>
  <c r="AN26" i="8"/>
  <c r="CK178" i="9"/>
  <c r="CK225" i="9"/>
  <c r="CK230" i="9"/>
  <c r="CK108" i="9"/>
  <c r="CK147" i="9"/>
  <c r="CK145" i="9" s="1"/>
  <c r="CK144" i="9" s="1"/>
  <c r="AN35" i="8" s="1"/>
  <c r="AN33" i="8" s="1"/>
  <c r="CK238" i="9"/>
  <c r="CK236" i="9" s="1"/>
  <c r="CK105" i="9"/>
  <c r="CK104" i="9" s="1"/>
  <c r="CT219" i="9"/>
  <c r="CM169" i="9"/>
  <c r="AP44" i="8" s="1"/>
  <c r="CN211" i="9" a="1"/>
  <c r="CN211" i="9" s="1"/>
  <c r="CI253" i="9"/>
  <c r="AL55" i="8"/>
  <c r="AL54" i="8" s="1"/>
  <c r="CM120" i="9"/>
  <c r="CN210" i="9" a="1"/>
  <c r="CN210" i="9" s="1"/>
  <c r="CS222" i="9" a="1"/>
  <c r="CS222" i="9" s="1"/>
  <c r="CS217" i="9" a="1"/>
  <c r="CS217" i="9" s="1"/>
  <c r="CS221" i="9" a="1"/>
  <c r="CS221" i="9" s="1"/>
  <c r="CS216" i="9" a="1"/>
  <c r="CS216" i="9" s="1"/>
  <c r="CJ187" i="9"/>
  <c r="AM56" i="8" s="1"/>
  <c r="CJ182" i="9"/>
  <c r="CT214" i="9"/>
  <c r="AN52" i="8"/>
  <c r="AN41" i="8"/>
  <c r="CK175" i="9"/>
  <c r="CK176" i="9"/>
  <c r="AN53" i="8"/>
  <c r="AN42" i="8"/>
  <c r="CM142" i="9"/>
  <c r="CM137" i="9" s="1"/>
  <c r="CN220" i="9" a="1"/>
  <c r="CN220" i="9" s="1"/>
  <c r="AM40" i="8"/>
  <c r="AM39" i="8" s="1"/>
  <c r="AM24" i="8" s="1"/>
  <c r="CJ177" i="9"/>
  <c r="CJ173" i="9"/>
  <c r="CJ171" i="9" s="1"/>
  <c r="CJ103" i="9" s="1"/>
  <c r="CJ43" i="9" s="1"/>
  <c r="AM51" i="8"/>
  <c r="CM133" i="9"/>
  <c r="CM124" i="9" s="1"/>
  <c r="CN215" i="9" a="1"/>
  <c r="CN215" i="9" s="1"/>
  <c r="CT209" i="9"/>
  <c r="AL50" i="8"/>
  <c r="CI243" i="9"/>
  <c r="AO29" i="8"/>
  <c r="CL181" i="9"/>
  <c r="CL228" i="9"/>
  <c r="CL233" i="9"/>
  <c r="CL135" i="9"/>
  <c r="J16" i="8"/>
  <c r="M35" i="91" s="1"/>
  <c r="M36" i="91"/>
  <c r="K47" i="9"/>
  <c r="J21" i="8"/>
  <c r="AN25" i="8" l="1"/>
  <c r="AM23" i="8"/>
  <c r="AM55" i="8"/>
  <c r="AM54" i="8" s="1"/>
  <c r="CJ253" i="9"/>
  <c r="AN51" i="8"/>
  <c r="CK173" i="9"/>
  <c r="CK171" i="9" s="1"/>
  <c r="CK103" i="9" s="1"/>
  <c r="CK43" i="9" s="1"/>
  <c r="AN40" i="8"/>
  <c r="AN39" i="8" s="1"/>
  <c r="CK177" i="9"/>
  <c r="AO42" i="8"/>
  <c r="CL176" i="9"/>
  <c r="AO53" i="8"/>
  <c r="CN169" i="9"/>
  <c r="AQ44" i="8" s="1"/>
  <c r="CO211" i="9" a="1"/>
  <c r="CO211" i="9" s="1"/>
  <c r="CM110" i="9"/>
  <c r="CM114" i="9"/>
  <c r="AO52" i="8"/>
  <c r="CL175" i="9"/>
  <c r="AO41" i="8"/>
  <c r="CK74" i="9"/>
  <c r="CK70" i="9" s="1"/>
  <c r="CK239" i="9"/>
  <c r="AN46" i="8" s="1"/>
  <c r="CK187" i="9"/>
  <c r="AN56" i="8" s="1"/>
  <c r="CK182" i="9"/>
  <c r="CI251" i="9"/>
  <c r="AL58" i="8"/>
  <c r="CL225" i="9"/>
  <c r="CL147" i="9"/>
  <c r="CL145" i="9" s="1"/>
  <c r="CL144" i="9" s="1"/>
  <c r="AO35" i="8" s="1"/>
  <c r="AO33" i="8" s="1"/>
  <c r="CL230" i="9"/>
  <c r="CL178" i="9"/>
  <c r="CL108" i="9"/>
  <c r="AO26" i="8"/>
  <c r="CL238" i="9"/>
  <c r="CL236" i="9" s="1"/>
  <c r="CL105" i="9"/>
  <c r="CL104" i="9" s="1"/>
  <c r="CN100" i="9"/>
  <c r="AQ22" i="8" s="1"/>
  <c r="CO212" i="9" a="1"/>
  <c r="CO212" i="9" s="1"/>
  <c r="CN133" i="9"/>
  <c r="CN124" i="9" s="1"/>
  <c r="CO215" i="9" a="1"/>
  <c r="CO215" i="9" s="1"/>
  <c r="CM151" i="9"/>
  <c r="CM149" i="9" s="1"/>
  <c r="AP36" i="8" s="1"/>
  <c r="CM227" i="9"/>
  <c r="AP28" i="8"/>
  <c r="CM232" i="9"/>
  <c r="CM94" i="9" s="1"/>
  <c r="CM90" i="9" s="1"/>
  <c r="CM86" i="9" s="1"/>
  <c r="CM60" i="9" s="1"/>
  <c r="AP19" i="8" s="1"/>
  <c r="CM180" i="9"/>
  <c r="CM122" i="9"/>
  <c r="CJ243" i="9"/>
  <c r="AM50" i="8"/>
  <c r="CN120" i="9"/>
  <c r="CO210" i="9" a="1"/>
  <c r="CO210" i="9" s="1"/>
  <c r="CN142" i="9"/>
  <c r="CN137" i="9" s="1"/>
  <c r="CO220" i="9" a="1"/>
  <c r="CO220" i="9" s="1"/>
  <c r="AP29" i="8"/>
  <c r="CM181" i="9"/>
  <c r="CM228" i="9"/>
  <c r="CM233" i="9"/>
  <c r="CM135" i="9"/>
  <c r="CT217" i="9" a="1"/>
  <c r="CT217" i="9" s="1"/>
  <c r="CT222" i="9" a="1"/>
  <c r="CT222" i="9" s="1"/>
  <c r="CT221" i="9" a="1"/>
  <c r="CT221" i="9" s="1"/>
  <c r="CT216" i="9" a="1"/>
  <c r="CT216" i="9" s="1"/>
  <c r="CI39" i="9"/>
  <c r="CI34" i="9"/>
  <c r="CL179" i="9"/>
  <c r="CL174" i="9" s="1"/>
  <c r="AO27" i="8"/>
  <c r="CL231" i="9"/>
  <c r="CL85" i="9" s="1"/>
  <c r="CL81" i="9" s="1"/>
  <c r="CL226" i="9"/>
  <c r="J14" i="8"/>
  <c r="M39" i="91"/>
  <c r="M40" i="91" s="1"/>
  <c r="K31" i="9"/>
  <c r="K32" i="9"/>
  <c r="J11" i="8" s="1"/>
  <c r="K42" i="9"/>
  <c r="K36" i="9"/>
  <c r="K37" i="9"/>
  <c r="J13" i="8" s="1"/>
  <c r="AO25" i="8" l="1"/>
  <c r="CI29" i="9"/>
  <c r="AN24" i="8"/>
  <c r="AN23" i="8"/>
  <c r="CL74" i="9"/>
  <c r="CL70" i="9" s="1"/>
  <c r="CL239" i="9"/>
  <c r="AO46" i="8" s="1"/>
  <c r="CM175" i="9"/>
  <c r="AP52" i="8"/>
  <c r="AP41" i="8"/>
  <c r="CO100" i="9"/>
  <c r="AR22" i="8" s="1"/>
  <c r="Q38" i="91" s="1"/>
  <c r="CP212" i="9" a="1"/>
  <c r="CP212" i="9" s="1"/>
  <c r="CO169" i="9"/>
  <c r="AR44" i="8" s="1"/>
  <c r="CP211" i="9" a="1"/>
  <c r="CP211" i="9" s="1"/>
  <c r="CO142" i="9"/>
  <c r="CO137" i="9" s="1"/>
  <c r="CP220" i="9" a="1"/>
  <c r="CP220" i="9" s="1"/>
  <c r="CL182" i="9"/>
  <c r="CL187" i="9"/>
  <c r="AO56" i="8" s="1"/>
  <c r="AM58" i="8"/>
  <c r="CJ251" i="9"/>
  <c r="CL173" i="9"/>
  <c r="CL171" i="9" s="1"/>
  <c r="CL103" i="9" s="1"/>
  <c r="CL43" i="9" s="1"/>
  <c r="AO40" i="8"/>
  <c r="AO39" i="8" s="1"/>
  <c r="AO51" i="8"/>
  <c r="CL177" i="9"/>
  <c r="CN227" i="9"/>
  <c r="CN180" i="9"/>
  <c r="AQ28" i="8"/>
  <c r="CN151" i="9"/>
  <c r="CN149" i="9" s="1"/>
  <c r="AQ36" i="8" s="1"/>
  <c r="CN232" i="9"/>
  <c r="CN94" i="9" s="1"/>
  <c r="CN90" i="9" s="1"/>
  <c r="CN86" i="9" s="1"/>
  <c r="CN60" i="9" s="1"/>
  <c r="AQ19" i="8" s="1"/>
  <c r="CN122" i="9"/>
  <c r="CN228" i="9"/>
  <c r="AQ29" i="8"/>
  <c r="CN233" i="9"/>
  <c r="CN181" i="9"/>
  <c r="CN135" i="9"/>
  <c r="CJ39" i="9"/>
  <c r="CJ34" i="9"/>
  <c r="CO133" i="9"/>
  <c r="CO124" i="9" s="1"/>
  <c r="CP215" i="9" a="1"/>
  <c r="CP215" i="9" s="1"/>
  <c r="AP42" i="8"/>
  <c r="AP53" i="8"/>
  <c r="CM176" i="9"/>
  <c r="CO120" i="9"/>
  <c r="CP210" i="9" a="1"/>
  <c r="CP210" i="9" s="1"/>
  <c r="CM105" i="9"/>
  <c r="CM104" i="9" s="1"/>
  <c r="CM226" i="9"/>
  <c r="CM231" i="9"/>
  <c r="CM85" i="9" s="1"/>
  <c r="CM81" i="9" s="1"/>
  <c r="CM179" i="9"/>
  <c r="CM174" i="9" s="1"/>
  <c r="AP27" i="8"/>
  <c r="CN110" i="9"/>
  <c r="CN114" i="9"/>
  <c r="AN55" i="8"/>
  <c r="AN54" i="8" s="1"/>
  <c r="CK253" i="9"/>
  <c r="CM230" i="9"/>
  <c r="CM178" i="9"/>
  <c r="CM225" i="9"/>
  <c r="AP26" i="8"/>
  <c r="CM147" i="9"/>
  <c r="CM145" i="9" s="1"/>
  <c r="CM144" i="9" s="1"/>
  <c r="AP35" i="8" s="1"/>
  <c r="AP33" i="8" s="1"/>
  <c r="CM108" i="9"/>
  <c r="CM238" i="9"/>
  <c r="CM236" i="9" s="1"/>
  <c r="CK243" i="9"/>
  <c r="AN50" i="8"/>
  <c r="J10" i="8"/>
  <c r="K30" i="9"/>
  <c r="K35" i="9"/>
  <c r="J12" i="8" s="1"/>
  <c r="AO23" i="8" l="1"/>
  <c r="CM239" i="9"/>
  <c r="AP46" i="8" s="1"/>
  <c r="AP25" i="8"/>
  <c r="CM74" i="9"/>
  <c r="CM70" i="9" s="1"/>
  <c r="CN179" i="9"/>
  <c r="CN174" i="9" s="1"/>
  <c r="AQ27" i="8"/>
  <c r="CN231" i="9"/>
  <c r="CN85" i="9" s="1"/>
  <c r="CN81" i="9" s="1"/>
  <c r="CN226" i="9"/>
  <c r="CP169" i="9"/>
  <c r="CQ211" i="9" a="1"/>
  <c r="CQ211" i="9" s="1"/>
  <c r="CO110" i="9"/>
  <c r="CO114" i="9"/>
  <c r="CN176" i="9"/>
  <c r="AQ42" i="8"/>
  <c r="AQ53" i="8"/>
  <c r="AQ41" i="8"/>
  <c r="AQ52" i="8"/>
  <c r="CN175" i="9"/>
  <c r="CM173" i="9"/>
  <c r="CM171" i="9" s="1"/>
  <c r="CM103" i="9" s="1"/>
  <c r="CM43" i="9" s="1"/>
  <c r="AP51" i="8"/>
  <c r="AP40" i="8"/>
  <c r="AP39" i="8" s="1"/>
  <c r="CM177" i="9"/>
  <c r="CP133" i="9"/>
  <c r="CP124" i="9" s="1"/>
  <c r="CQ215" i="9" a="1"/>
  <c r="CQ215" i="9" s="1"/>
  <c r="AO50" i="8"/>
  <c r="CL243" i="9"/>
  <c r="CL253" i="9"/>
  <c r="AO55" i="8"/>
  <c r="AO54" i="8" s="1"/>
  <c r="CP120" i="9"/>
  <c r="CQ210" i="9" a="1"/>
  <c r="CQ210" i="9" s="1"/>
  <c r="AQ26" i="8"/>
  <c r="CN225" i="9"/>
  <c r="CN108" i="9"/>
  <c r="CN230" i="9"/>
  <c r="CN74" i="9" s="1"/>
  <c r="CN70" i="9" s="1"/>
  <c r="CN178" i="9"/>
  <c r="CN147" i="9"/>
  <c r="CN145" i="9" s="1"/>
  <c r="CN144" i="9" s="1"/>
  <c r="AQ35" i="8" s="1"/>
  <c r="AQ33" i="8" s="1"/>
  <c r="CN238" i="9"/>
  <c r="CN236" i="9" s="1"/>
  <c r="CN105" i="9"/>
  <c r="CN104" i="9" s="1"/>
  <c r="Q50" i="91"/>
  <c r="CM182" i="9"/>
  <c r="CM187" i="9"/>
  <c r="AP56" i="8" s="1"/>
  <c r="AO24" i="8"/>
  <c r="CP100" i="9"/>
  <c r="CQ212" i="9" a="1"/>
  <c r="CQ212" i="9" s="1"/>
  <c r="AN58" i="8"/>
  <c r="CK251" i="9"/>
  <c r="CK39" i="9"/>
  <c r="CK34" i="9"/>
  <c r="CO180" i="9"/>
  <c r="CO227" i="9"/>
  <c r="CO151" i="9"/>
  <c r="CO149" i="9" s="1"/>
  <c r="AR36" i="8" s="1"/>
  <c r="CO232" i="9"/>
  <c r="CO94" i="9" s="1"/>
  <c r="CO90" i="9" s="1"/>
  <c r="CO86" i="9" s="1"/>
  <c r="CO60" i="9" s="1"/>
  <c r="AR19" i="8" s="1"/>
  <c r="Q37" i="91" s="1"/>
  <c r="AR28" i="8"/>
  <c r="CO122" i="9"/>
  <c r="CP142" i="9"/>
  <c r="CP137" i="9" s="1"/>
  <c r="CQ220" i="9" a="1"/>
  <c r="CQ220" i="9" s="1"/>
  <c r="CJ29" i="9"/>
  <c r="CO233" i="9"/>
  <c r="CO228" i="9"/>
  <c r="CO181" i="9"/>
  <c r="AR29" i="8"/>
  <c r="CO135" i="9"/>
  <c r="K28" i="9"/>
  <c r="J9" i="8"/>
  <c r="J8" i="8" s="1"/>
  <c r="M7" i="91" s="1"/>
  <c r="M10" i="91" s="1"/>
  <c r="H46" i="10"/>
  <c r="I46" i="10" s="1"/>
  <c r="J46" i="10" s="1"/>
  <c r="AQ25" i="8" l="1"/>
  <c r="CN239" i="9"/>
  <c r="AQ46" i="8" s="1"/>
  <c r="AP23" i="8"/>
  <c r="AP24" i="8"/>
  <c r="CQ133" i="9"/>
  <c r="CQ124" i="9" s="1"/>
  <c r="CR215" i="9" a="1"/>
  <c r="CR215" i="9" s="1"/>
  <c r="CP180" i="9"/>
  <c r="CP175" i="9" s="1"/>
  <c r="CP232" i="9"/>
  <c r="CP94" i="9" s="1"/>
  <c r="CP90" i="9" s="1"/>
  <c r="CP86" i="9" s="1"/>
  <c r="CP60" i="9" s="1"/>
  <c r="CP151" i="9"/>
  <c r="CP149" i="9" s="1"/>
  <c r="CP227" i="9"/>
  <c r="CP122" i="9"/>
  <c r="CQ169" i="9"/>
  <c r="CR211" i="9" a="1"/>
  <c r="CR211" i="9" s="1"/>
  <c r="AP50" i="8"/>
  <c r="CM243" i="9"/>
  <c r="CP110" i="9"/>
  <c r="CP114" i="9"/>
  <c r="AR41" i="8"/>
  <c r="AR52" i="8"/>
  <c r="CO175" i="9"/>
  <c r="AQ51" i="8"/>
  <c r="CN173" i="9"/>
  <c r="CN171" i="9" s="1"/>
  <c r="CN103" i="9" s="1"/>
  <c r="CN43" i="9" s="1"/>
  <c r="AQ40" i="8"/>
  <c r="AQ39" i="8" s="1"/>
  <c r="CN177" i="9"/>
  <c r="CQ100" i="9"/>
  <c r="CR212" i="9" a="1"/>
  <c r="CR212" i="9" s="1"/>
  <c r="CQ120" i="9"/>
  <c r="CR210" i="9" a="1"/>
  <c r="CR210" i="9" s="1"/>
  <c r="CQ142" i="9"/>
  <c r="CQ137" i="9" s="1"/>
  <c r="CR220" i="9" a="1"/>
  <c r="CR220" i="9" s="1"/>
  <c r="CK29" i="9"/>
  <c r="AP55" i="8"/>
  <c r="AP54" i="8" s="1"/>
  <c r="CM253" i="9"/>
  <c r="CL39" i="9"/>
  <c r="CL34" i="9"/>
  <c r="CP181" i="9"/>
  <c r="CP176" i="9" s="1"/>
  <c r="CP233" i="9"/>
  <c r="CP228" i="9"/>
  <c r="CP135" i="9"/>
  <c r="AO58" i="8"/>
  <c r="CL251" i="9"/>
  <c r="AR27" i="8"/>
  <c r="CO179" i="9"/>
  <c r="CO174" i="9" s="1"/>
  <c r="CO226" i="9"/>
  <c r="CO231" i="9"/>
  <c r="CO85" i="9" s="1"/>
  <c r="CO81" i="9" s="1"/>
  <c r="AR53" i="8"/>
  <c r="CO176" i="9"/>
  <c r="AR42" i="8"/>
  <c r="CN187" i="9"/>
  <c r="AQ56" i="8" s="1"/>
  <c r="CN182" i="9"/>
  <c r="CO178" i="9"/>
  <c r="AR26" i="8"/>
  <c r="CO225" i="9"/>
  <c r="CO108" i="9"/>
  <c r="CO147" i="9"/>
  <c r="CO145" i="9" s="1"/>
  <c r="CO144" i="9" s="1"/>
  <c r="AR35" i="8" s="1"/>
  <c r="AR33" i="8" s="1"/>
  <c r="CO230" i="9"/>
  <c r="CO74" i="9" s="1"/>
  <c r="CO70" i="9" s="1"/>
  <c r="CO238" i="9"/>
  <c r="CO236" i="9" s="1"/>
  <c r="CO105" i="9"/>
  <c r="CO104" i="9" s="1"/>
  <c r="J48" i="8"/>
  <c r="H49" i="10"/>
  <c r="K46" i="10"/>
  <c r="J49" i="10"/>
  <c r="I49" i="10"/>
  <c r="AR25" i="8" l="1"/>
  <c r="CL29" i="9"/>
  <c r="AQ24" i="8"/>
  <c r="AQ23" i="8"/>
  <c r="Q45" i="91"/>
  <c r="Q9" i="91"/>
  <c r="CR120" i="9"/>
  <c r="CS210" i="9" a="1"/>
  <c r="CS210" i="9" s="1"/>
  <c r="CR169" i="9"/>
  <c r="CS211" i="9" a="1"/>
  <c r="CS211" i="9" s="1"/>
  <c r="CR142" i="9"/>
  <c r="CR137" i="9" s="1"/>
  <c r="CS220" i="9" a="1"/>
  <c r="CS220" i="9" s="1"/>
  <c r="CM251" i="9"/>
  <c r="AP58" i="8"/>
  <c r="AR51" i="8"/>
  <c r="CO173" i="9"/>
  <c r="CO171" i="9" s="1"/>
  <c r="CO103" i="9" s="1"/>
  <c r="CO43" i="9" s="1"/>
  <c r="AR40" i="8"/>
  <c r="AR39" i="8" s="1"/>
  <c r="Q48" i="91" s="1"/>
  <c r="CO177" i="9"/>
  <c r="CN253" i="9"/>
  <c r="AQ55" i="8"/>
  <c r="AQ54" i="8" s="1"/>
  <c r="CO239" i="9"/>
  <c r="AR46" i="8" s="1"/>
  <c r="CR133" i="9"/>
  <c r="CR124" i="9" s="1"/>
  <c r="CS215" i="9" a="1"/>
  <c r="CS215" i="9" s="1"/>
  <c r="CR100" i="9"/>
  <c r="CS212" i="9" a="1"/>
  <c r="CS212" i="9" s="1"/>
  <c r="CP105" i="9"/>
  <c r="CP104" i="9" s="1"/>
  <c r="CP226" i="9"/>
  <c r="CP231" i="9"/>
  <c r="CP85" i="9" s="1"/>
  <c r="CP81" i="9" s="1"/>
  <c r="CP179" i="9"/>
  <c r="CP174" i="9" s="1"/>
  <c r="CQ227" i="9"/>
  <c r="CQ180" i="9"/>
  <c r="CQ175" i="9" s="1"/>
  <c r="CQ151" i="9"/>
  <c r="CQ149" i="9" s="1"/>
  <c r="CQ232" i="9"/>
  <c r="CQ94" i="9" s="1"/>
  <c r="CQ90" i="9" s="1"/>
  <c r="CQ86" i="9" s="1"/>
  <c r="CQ60" i="9" s="1"/>
  <c r="CQ122" i="9"/>
  <c r="CQ181" i="9"/>
  <c r="CQ176" i="9" s="1"/>
  <c r="CQ233" i="9"/>
  <c r="CQ228" i="9"/>
  <c r="CQ135" i="9"/>
  <c r="CQ114" i="9"/>
  <c r="CQ110" i="9"/>
  <c r="Q47" i="91"/>
  <c r="CM39" i="9"/>
  <c r="CM34" i="9"/>
  <c r="CO182" i="9"/>
  <c r="CO187" i="9"/>
  <c r="AR56" i="8" s="1"/>
  <c r="AQ50" i="8"/>
  <c r="CN243" i="9"/>
  <c r="CP230" i="9"/>
  <c r="CP178" i="9"/>
  <c r="CP225" i="9"/>
  <c r="CP147" i="9"/>
  <c r="CP145" i="9" s="1"/>
  <c r="CP144" i="9" s="1"/>
  <c r="CP108" i="9"/>
  <c r="CP238" i="9"/>
  <c r="CP236" i="9" s="1"/>
  <c r="H7" i="91"/>
  <c r="L46" i="10"/>
  <c r="K49" i="10"/>
  <c r="CP239" i="9" l="1"/>
  <c r="AR24" i="8"/>
  <c r="Q8" i="91" s="1"/>
  <c r="AR23" i="8"/>
  <c r="Q51" i="91"/>
  <c r="CS120" i="9"/>
  <c r="CT210" i="9" a="1"/>
  <c r="CT210" i="9" s="1"/>
  <c r="CT120" i="9" s="1"/>
  <c r="CR232" i="9"/>
  <c r="CR94" i="9" s="1"/>
  <c r="CR90" i="9" s="1"/>
  <c r="CR86" i="9" s="1"/>
  <c r="CR60" i="9" s="1"/>
  <c r="CR227" i="9"/>
  <c r="CR180" i="9"/>
  <c r="CR175" i="9" s="1"/>
  <c r="CR151" i="9"/>
  <c r="CR149" i="9" s="1"/>
  <c r="CR122" i="9"/>
  <c r="CR114" i="9"/>
  <c r="CR110" i="9"/>
  <c r="CS142" i="9"/>
  <c r="CS137" i="9" s="1"/>
  <c r="CT220" i="9" a="1"/>
  <c r="CT220" i="9" s="1"/>
  <c r="CT142" i="9" s="1"/>
  <c r="CT137" i="9" s="1"/>
  <c r="CS133" i="9"/>
  <c r="CS124" i="9" s="1"/>
  <c r="CT215" i="9" a="1"/>
  <c r="CT215" i="9" s="1"/>
  <c r="CT133" i="9" s="1"/>
  <c r="CT124" i="9" s="1"/>
  <c r="AR50" i="8"/>
  <c r="O46" i="91" s="1"/>
  <c r="CO243" i="9"/>
  <c r="CS169" i="9"/>
  <c r="CT211" i="9" a="1"/>
  <c r="CT211" i="9" s="1"/>
  <c r="CT169" i="9" s="1"/>
  <c r="CN251" i="9"/>
  <c r="AQ58" i="8"/>
  <c r="CQ108" i="9"/>
  <c r="CQ230" i="9"/>
  <c r="CQ74" i="9" s="1"/>
  <c r="CQ70" i="9" s="1"/>
  <c r="CQ147" i="9"/>
  <c r="CQ145" i="9" s="1"/>
  <c r="CQ144" i="9" s="1"/>
  <c r="CQ225" i="9"/>
  <c r="CQ178" i="9"/>
  <c r="CQ238" i="9"/>
  <c r="CQ236" i="9" s="1"/>
  <c r="CQ105" i="9"/>
  <c r="CQ104" i="9" s="1"/>
  <c r="CP74" i="9"/>
  <c r="CP70" i="9" s="1"/>
  <c r="CR228" i="9"/>
  <c r="CR181" i="9"/>
  <c r="CR176" i="9" s="1"/>
  <c r="CR233" i="9"/>
  <c r="CR135" i="9"/>
  <c r="CS100" i="9"/>
  <c r="CT212" i="9" a="1"/>
  <c r="CT212" i="9" s="1"/>
  <c r="CT100" i="9" s="1"/>
  <c r="CP173" i="9"/>
  <c r="CP171" i="9" s="1"/>
  <c r="CP103" i="9" s="1"/>
  <c r="CP43" i="9" s="1"/>
  <c r="CP177" i="9"/>
  <c r="CP243" i="9" s="1"/>
  <c r="CP251" i="9" s="1"/>
  <c r="CQ231" i="9"/>
  <c r="CQ85" i="9" s="1"/>
  <c r="CQ81" i="9" s="1"/>
  <c r="CQ226" i="9"/>
  <c r="CQ179" i="9"/>
  <c r="CQ174" i="9" s="1"/>
  <c r="CN34" i="9"/>
  <c r="CN39" i="9"/>
  <c r="AR55" i="8"/>
  <c r="AR54" i="8" s="1"/>
  <c r="CO253" i="9"/>
  <c r="CP182" i="9"/>
  <c r="CP187" i="9"/>
  <c r="CM29" i="9"/>
  <c r="M46" i="10"/>
  <c r="M49" i="10" s="1"/>
  <c r="L49" i="10"/>
  <c r="H47" i="10"/>
  <c r="I47" i="10" s="1"/>
  <c r="J47" i="10" s="1"/>
  <c r="K47" i="10" s="1"/>
  <c r="L47" i="10" s="1"/>
  <c r="M47" i="10" s="1"/>
  <c r="S56" i="59" a="1"/>
  <c r="S56" i="59" s="1"/>
  <c r="CR179" i="9" l="1"/>
  <c r="CR174" i="9" s="1"/>
  <c r="CR231" i="9"/>
  <c r="CR85" i="9" s="1"/>
  <c r="CR81" i="9" s="1"/>
  <c r="CR226" i="9"/>
  <c r="CT227" i="9"/>
  <c r="CT180" i="9"/>
  <c r="CT175" i="9" s="1"/>
  <c r="CT232" i="9"/>
  <c r="CT94" i="9" s="1"/>
  <c r="CT90" i="9" s="1"/>
  <c r="CT86" i="9" s="1"/>
  <c r="CT60" i="9" s="1"/>
  <c r="CT151" i="9"/>
  <c r="CT149" i="9" s="1"/>
  <c r="CT122" i="9"/>
  <c r="CQ173" i="9"/>
  <c r="CQ171" i="9" s="1"/>
  <c r="CQ103" i="9" s="1"/>
  <c r="CQ43" i="9" s="1"/>
  <c r="CQ177" i="9"/>
  <c r="CQ243" i="9" s="1"/>
  <c r="CQ251" i="9" s="1"/>
  <c r="CQ239" i="9"/>
  <c r="CO34" i="9"/>
  <c r="CO39" i="9"/>
  <c r="CS232" i="9"/>
  <c r="CS94" i="9" s="1"/>
  <c r="CS90" i="9" s="1"/>
  <c r="CS86" i="9" s="1"/>
  <c r="CS60" i="9" s="1"/>
  <c r="CS180" i="9"/>
  <c r="CS175" i="9" s="1"/>
  <c r="CS151" i="9"/>
  <c r="CS149" i="9" s="1"/>
  <c r="CS227" i="9"/>
  <c r="CS122" i="9"/>
  <c r="CQ182" i="9"/>
  <c r="CQ187" i="9"/>
  <c r="CT233" i="9"/>
  <c r="CT181" i="9"/>
  <c r="CT176" i="9" s="1"/>
  <c r="CT228" i="9"/>
  <c r="CT135" i="9"/>
  <c r="CP253" i="9"/>
  <c r="CS228" i="9"/>
  <c r="CS233" i="9"/>
  <c r="CS181" i="9"/>
  <c r="CS176" i="9" s="1"/>
  <c r="CS135" i="9"/>
  <c r="CT114" i="9"/>
  <c r="CT110" i="9"/>
  <c r="CO251" i="9"/>
  <c r="AR58" i="8"/>
  <c r="CN29" i="9"/>
  <c r="CR178" i="9"/>
  <c r="CR108" i="9"/>
  <c r="CR225" i="9"/>
  <c r="CR230" i="9"/>
  <c r="CR147" i="9"/>
  <c r="CR145" i="9" s="1"/>
  <c r="CR144" i="9" s="1"/>
  <c r="CR238" i="9"/>
  <c r="CR236" i="9" s="1"/>
  <c r="CR105" i="9"/>
  <c r="CR104" i="9" s="1"/>
  <c r="CS110" i="9"/>
  <c r="CS114" i="9"/>
  <c r="G49" i="10"/>
  <c r="O49" i="10" s="1"/>
  <c r="T56" i="59"/>
  <c r="CR239" i="9" l="1"/>
  <c r="CT226" i="9"/>
  <c r="CT231" i="9"/>
  <c r="CT85" i="9" s="1"/>
  <c r="CT81" i="9" s="1"/>
  <c r="CT179" i="9"/>
  <c r="CT174" i="9" s="1"/>
  <c r="CR173" i="9"/>
  <c r="CR171" i="9" s="1"/>
  <c r="CR103" i="9" s="1"/>
  <c r="CR43" i="9" s="1"/>
  <c r="CR177" i="9"/>
  <c r="CR243" i="9" s="1"/>
  <c r="CR251" i="9" s="1"/>
  <c r="CS108" i="9"/>
  <c r="CS225" i="9"/>
  <c r="CS178" i="9"/>
  <c r="CS230" i="9"/>
  <c r="CS74" i="9" s="1"/>
  <c r="CS70" i="9" s="1"/>
  <c r="CS147" i="9"/>
  <c r="CS145" i="9" s="1"/>
  <c r="CS144" i="9" s="1"/>
  <c r="CS238" i="9"/>
  <c r="CS236" i="9" s="1"/>
  <c r="CS105" i="9"/>
  <c r="CS104" i="9" s="1"/>
  <c r="CO29" i="9"/>
  <c r="CS231" i="9"/>
  <c r="CS85" i="9" s="1"/>
  <c r="CS81" i="9" s="1"/>
  <c r="CS226" i="9"/>
  <c r="CS179" i="9"/>
  <c r="CS174" i="9" s="1"/>
  <c r="CP34" i="9"/>
  <c r="CP39" i="9"/>
  <c r="CR74" i="9"/>
  <c r="CR70" i="9" s="1"/>
  <c r="CQ253" i="9"/>
  <c r="CR187" i="9"/>
  <c r="CR182" i="9"/>
  <c r="CT178" i="9"/>
  <c r="CT147" i="9"/>
  <c r="CT145" i="9" s="1"/>
  <c r="CT144" i="9" s="1"/>
  <c r="CT225" i="9"/>
  <c r="CT230" i="9"/>
  <c r="CT108" i="9"/>
  <c r="CT238" i="9"/>
  <c r="CT236" i="9" s="1"/>
  <c r="CT105" i="9"/>
  <c r="CT104" i="9" s="1"/>
  <c r="U56" i="59"/>
  <c r="CT239" i="9" l="1"/>
  <c r="CI259" i="9"/>
  <c r="CI258" i="9" s="1"/>
  <c r="CI427" i="9" s="1"/>
  <c r="CO22" i="10" s="1"/>
  <c r="CR253" i="9"/>
  <c r="CR39" i="9" s="1"/>
  <c r="CP29" i="9"/>
  <c r="CT74" i="9"/>
  <c r="CT70" i="9" s="1"/>
  <c r="CS187" i="9"/>
  <c r="CS182" i="9"/>
  <c r="CT173" i="9"/>
  <c r="CT171" i="9" s="1"/>
  <c r="CT103" i="9" s="1"/>
  <c r="CT43" i="9" s="1"/>
  <c r="CT177" i="9"/>
  <c r="CT243" i="9" s="1"/>
  <c r="CT251" i="9" s="1"/>
  <c r="CQ39" i="9"/>
  <c r="CQ34" i="9"/>
  <c r="CS239" i="9"/>
  <c r="CT182" i="9"/>
  <c r="CT187" i="9"/>
  <c r="CS173" i="9"/>
  <c r="CS171" i="9" s="1"/>
  <c r="CS103" i="9" s="1"/>
  <c r="CS43" i="9" s="1"/>
  <c r="CS177" i="9"/>
  <c r="CS243" i="9" s="1"/>
  <c r="CS251" i="9" s="1"/>
  <c r="V56" i="59"/>
  <c r="DG22" i="10" l="1"/>
  <c r="CU22" i="10"/>
  <c r="DA22" i="10"/>
  <c r="CI417" i="9"/>
  <c r="CO12" i="10" s="1"/>
  <c r="CI423" i="9"/>
  <c r="CO18" i="10" s="1"/>
  <c r="CI409" i="9"/>
  <c r="CO4" i="10" s="1"/>
  <c r="CI414" i="9"/>
  <c r="CO9" i="10" s="1"/>
  <c r="CI413" i="9"/>
  <c r="CO8" i="10" s="1"/>
  <c r="CI424" i="9"/>
  <c r="CO19" i="10" s="1"/>
  <c r="CI410" i="9"/>
  <c r="CO5" i="10" s="1"/>
  <c r="CI425" i="9"/>
  <c r="CO20" i="10" s="1"/>
  <c r="CI420" i="9"/>
  <c r="CO15" i="10" s="1"/>
  <c r="CI419" i="9"/>
  <c r="CO14" i="10" s="1"/>
  <c r="CI415" i="9"/>
  <c r="CO10" i="10" s="1"/>
  <c r="CI426" i="9"/>
  <c r="CO21" i="10" s="1"/>
  <c r="CI412" i="9"/>
  <c r="CO7" i="10" s="1"/>
  <c r="CI411" i="9"/>
  <c r="CO6" i="10" s="1"/>
  <c r="CI422" i="9"/>
  <c r="CO17" i="10" s="1"/>
  <c r="CI428" i="9"/>
  <c r="CO23" i="10" s="1"/>
  <c r="CI421" i="9"/>
  <c r="CO16" i="10" s="1"/>
  <c r="CI418" i="9"/>
  <c r="CO13" i="10" s="1"/>
  <c r="CR34" i="9"/>
  <c r="CR29" i="9" s="1"/>
  <c r="CQ29" i="9"/>
  <c r="CS253" i="9"/>
  <c r="CS39" i="9" s="1"/>
  <c r="CT253" i="9"/>
  <c r="W56" i="59"/>
  <c r="S57" i="59" s="1"/>
  <c r="DG14" i="10" l="1"/>
  <c r="CU14" i="10"/>
  <c r="DA14" i="10"/>
  <c r="DA10" i="10"/>
  <c r="CU10" i="10"/>
  <c r="DG10" i="10"/>
  <c r="DA21" i="10"/>
  <c r="DG21" i="10"/>
  <c r="CU21" i="10"/>
  <c r="DA13" i="10"/>
  <c r="CU13" i="10"/>
  <c r="DG13" i="10"/>
  <c r="DA18" i="10"/>
  <c r="CU18" i="10"/>
  <c r="DG18" i="10"/>
  <c r="DA17" i="10"/>
  <c r="DG17" i="10"/>
  <c r="CU17" i="10"/>
  <c r="DG6" i="10"/>
  <c r="CU6" i="10"/>
  <c r="DA6" i="10"/>
  <c r="CU16" i="10"/>
  <c r="DG16" i="10"/>
  <c r="DA16" i="10"/>
  <c r="CU20" i="10"/>
  <c r="DG20" i="10"/>
  <c r="DA20" i="10"/>
  <c r="CU23" i="10"/>
  <c r="DG23" i="10"/>
  <c r="DA23" i="10"/>
  <c r="DA19" i="10"/>
  <c r="CU19" i="10"/>
  <c r="DG19" i="10"/>
  <c r="CU7" i="10"/>
  <c r="DA7" i="10"/>
  <c r="DG7" i="10"/>
  <c r="DA4" i="10"/>
  <c r="DG4" i="10"/>
  <c r="CU4" i="10"/>
  <c r="DG12" i="10"/>
  <c r="DA12" i="10"/>
  <c r="CU12" i="10"/>
  <c r="CU8" i="10"/>
  <c r="DA8" i="10"/>
  <c r="DG8" i="10"/>
  <c r="DG15" i="10"/>
  <c r="DA15" i="10"/>
  <c r="CU15" i="10"/>
  <c r="DA5" i="10"/>
  <c r="DG5" i="10"/>
  <c r="CU5" i="10"/>
  <c r="DA9" i="10"/>
  <c r="CU9" i="10"/>
  <c r="DG9" i="10"/>
  <c r="CS34" i="9"/>
  <c r="CS29" i="9" s="1"/>
  <c r="CT39" i="9"/>
  <c r="CT34" i="9"/>
  <c r="AU54" i="9"/>
  <c r="CI54" i="9"/>
  <c r="X56" i="59"/>
  <c r="CT29" i="9" l="1"/>
  <c r="T57" i="59"/>
  <c r="AL18" i="8"/>
  <c r="CI51" i="9"/>
  <c r="CI50" i="9" s="1"/>
  <c r="V18" i="8"/>
  <c r="AU51" i="9"/>
  <c r="AU50" i="9" s="1"/>
  <c r="BO54" i="9"/>
  <c r="AD18" i="8" s="1"/>
  <c r="S74" i="59"/>
  <c r="Y56" i="59"/>
  <c r="V16" i="8" l="1"/>
  <c r="AL16" i="8"/>
  <c r="CI48" i="9"/>
  <c r="U57" i="59"/>
  <c r="U74" i="59" s="1"/>
  <c r="AV54" i="9"/>
  <c r="CJ54" i="9"/>
  <c r="BO58" i="9"/>
  <c r="BO57" i="9" s="1"/>
  <c r="BO56" i="9" s="1"/>
  <c r="AD17" i="8" s="1"/>
  <c r="AU58" i="9"/>
  <c r="AU57" i="9" s="1"/>
  <c r="AU56" i="9" s="1"/>
  <c r="BO51" i="9"/>
  <c r="BO50" i="9" s="1"/>
  <c r="AD16" i="8" s="1"/>
  <c r="BP54" i="9"/>
  <c r="AE18" i="8" s="1"/>
  <c r="T74" i="59"/>
  <c r="BQ54" i="9"/>
  <c r="BQ51" i="9" s="1"/>
  <c r="BQ50" i="9" s="1"/>
  <c r="Z56" i="59"/>
  <c r="AM18" i="8" l="1"/>
  <c r="CJ51" i="9"/>
  <c r="CJ50" i="9" s="1"/>
  <c r="AV51" i="9"/>
  <c r="AV50" i="9" s="1"/>
  <c r="W18" i="8"/>
  <c r="V57" i="59"/>
  <c r="AW54" i="9"/>
  <c r="CK54" i="9"/>
  <c r="CI47" i="9"/>
  <c r="AL21" i="8"/>
  <c r="AL14" i="8" s="1"/>
  <c r="BQ58" i="9"/>
  <c r="BQ57" i="9" s="1"/>
  <c r="BQ56" i="9" s="1"/>
  <c r="AF17" i="8" s="1"/>
  <c r="AW58" i="9"/>
  <c r="AW57" i="9" s="1"/>
  <c r="AW56" i="9" s="1"/>
  <c r="BP58" i="9"/>
  <c r="BP57" i="9" s="1"/>
  <c r="BP56" i="9" s="1"/>
  <c r="AE17" i="8" s="1"/>
  <c r="AV58" i="9"/>
  <c r="AV57" i="9" s="1"/>
  <c r="AV56" i="9" s="1"/>
  <c r="V17" i="8"/>
  <c r="BP51" i="9"/>
  <c r="BP50" i="9" s="1"/>
  <c r="AE16" i="8" s="1"/>
  <c r="AF18" i="8"/>
  <c r="AA56" i="59"/>
  <c r="W16" i="8" l="1"/>
  <c r="AX54" i="9"/>
  <c r="CL54" i="9"/>
  <c r="AM16" i="8"/>
  <c r="CJ48" i="9"/>
  <c r="CI42" i="9"/>
  <c r="CI36" i="9"/>
  <c r="CI31" i="9"/>
  <c r="CI37" i="9"/>
  <c r="AL13" i="8" s="1"/>
  <c r="CI32" i="9"/>
  <c r="AL11" i="8" s="1"/>
  <c r="AN18" i="8"/>
  <c r="CK51" i="9"/>
  <c r="CK50" i="9" s="1"/>
  <c r="W57" i="59"/>
  <c r="X18" i="8"/>
  <c r="AW51" i="9"/>
  <c r="AW50" i="9" s="1"/>
  <c r="W17" i="8"/>
  <c r="X17" i="8"/>
  <c r="BR54" i="9"/>
  <c r="AG18" i="8" s="1"/>
  <c r="V74" i="59"/>
  <c r="AF16" i="8"/>
  <c r="BS54" i="9"/>
  <c r="AH18" i="8" s="1"/>
  <c r="AB56" i="59"/>
  <c r="X16" i="8" l="1"/>
  <c r="CI35" i="9"/>
  <c r="AL12" i="8" s="1"/>
  <c r="AY54" i="9"/>
  <c r="CM54" i="9"/>
  <c r="CI30" i="9"/>
  <c r="AL10" i="8"/>
  <c r="W74" i="59"/>
  <c r="AY58" i="9" s="1"/>
  <c r="AY57" i="9" s="1"/>
  <c r="AY56" i="9" s="1"/>
  <c r="AN16" i="8"/>
  <c r="CK48" i="9"/>
  <c r="X57" i="59"/>
  <c r="AM21" i="8"/>
  <c r="AM14" i="8" s="1"/>
  <c r="CJ47" i="9"/>
  <c r="CL51" i="9"/>
  <c r="CL50" i="9" s="1"/>
  <c r="AO18" i="8"/>
  <c r="Y18" i="8"/>
  <c r="AX51" i="9"/>
  <c r="AX50" i="9" s="1"/>
  <c r="BS58" i="9"/>
  <c r="BS57" i="9" s="1"/>
  <c r="BS56" i="9" s="1"/>
  <c r="AH17" i="8" s="1"/>
  <c r="BR58" i="9"/>
  <c r="BR57" i="9" s="1"/>
  <c r="BR56" i="9" s="1"/>
  <c r="AG17" i="8" s="1"/>
  <c r="AX58" i="9"/>
  <c r="AX57" i="9" s="1"/>
  <c r="AX56" i="9" s="1"/>
  <c r="BR51" i="9"/>
  <c r="BR50" i="9" s="1"/>
  <c r="BS51" i="9"/>
  <c r="BS50" i="9" s="1"/>
  <c r="AC56" i="59"/>
  <c r="CI28" i="9" l="1"/>
  <c r="AL9" i="8"/>
  <c r="AL8" i="8" s="1"/>
  <c r="AO16" i="8"/>
  <c r="CL48" i="9"/>
  <c r="Y57" i="59"/>
  <c r="CJ37" i="9"/>
  <c r="AM13" i="8" s="1"/>
  <c r="CJ42" i="9"/>
  <c r="CJ31" i="9"/>
  <c r="CJ36" i="9"/>
  <c r="CJ32" i="9"/>
  <c r="AM11" i="8" s="1"/>
  <c r="Y16" i="8"/>
  <c r="AZ54" i="9"/>
  <c r="CN54" i="9"/>
  <c r="AP18" i="8"/>
  <c r="CM51" i="9"/>
  <c r="CM50" i="9" s="1"/>
  <c r="AN21" i="8"/>
  <c r="AN14" i="8" s="1"/>
  <c r="CK47" i="9"/>
  <c r="Z18" i="8"/>
  <c r="AY51" i="9"/>
  <c r="AY50" i="9" s="1"/>
  <c r="Y17" i="8"/>
  <c r="Z17" i="8"/>
  <c r="AG16" i="8"/>
  <c r="BT54" i="9"/>
  <c r="BT51" i="9" s="1"/>
  <c r="BT50" i="9" s="1"/>
  <c r="X74" i="59"/>
  <c r="BU54" i="9"/>
  <c r="BU51" i="9" s="1"/>
  <c r="BU50" i="9" s="1"/>
  <c r="AH16" i="8"/>
  <c r="AD56" i="59"/>
  <c r="AD57" i="59" s="1"/>
  <c r="AL48" i="8" l="1"/>
  <c r="D11" i="91" s="1"/>
  <c r="Z16" i="8"/>
  <c r="AA18" i="8"/>
  <c r="AZ51" i="9"/>
  <c r="AZ50" i="9" s="1"/>
  <c r="Z57" i="59"/>
  <c r="BA54" i="9"/>
  <c r="CO54" i="9"/>
  <c r="CK36" i="9"/>
  <c r="CK31" i="9"/>
  <c r="CK42" i="9"/>
  <c r="CK32" i="9"/>
  <c r="AN11" i="8" s="1"/>
  <c r="CK37" i="9"/>
  <c r="AN13" i="8" s="1"/>
  <c r="Y74" i="59"/>
  <c r="BA58" i="9" s="1"/>
  <c r="BA57" i="9" s="1"/>
  <c r="BA56" i="9" s="1"/>
  <c r="AA57" i="59"/>
  <c r="AC57" i="59"/>
  <c r="AP16" i="8"/>
  <c r="CM48" i="9"/>
  <c r="CJ35" i="9"/>
  <c r="AM12" i="8" s="1"/>
  <c r="AO21" i="8"/>
  <c r="AO14" i="8" s="1"/>
  <c r="CL47" i="9"/>
  <c r="AM10" i="8"/>
  <c r="CJ30" i="9"/>
  <c r="BF54" i="9"/>
  <c r="BF51" i="9" s="1"/>
  <c r="BF50" i="9" s="1"/>
  <c r="CT54" i="9"/>
  <c r="CT51" i="9" s="1"/>
  <c r="CT50" i="9" s="1"/>
  <c r="CT48" i="9" s="1"/>
  <c r="CT47" i="9" s="1"/>
  <c r="AQ18" i="8"/>
  <c r="CN51" i="9"/>
  <c r="CN50" i="9" s="1"/>
  <c r="AB57" i="59"/>
  <c r="BT58" i="9"/>
  <c r="BT57" i="9" s="1"/>
  <c r="BT56" i="9" s="1"/>
  <c r="AI17" i="8" s="1"/>
  <c r="AZ58" i="9"/>
  <c r="AZ57" i="9" s="1"/>
  <c r="AZ56" i="9" s="1"/>
  <c r="BU58" i="9"/>
  <c r="BU57" i="9" s="1"/>
  <c r="BU56" i="9" s="1"/>
  <c r="AJ17" i="8" s="1"/>
  <c r="AI18" i="8"/>
  <c r="AI16" i="8" s="1"/>
  <c r="AJ18" i="8"/>
  <c r="BZ54" i="9"/>
  <c r="BZ51" i="9" s="1"/>
  <c r="BZ50" i="9" s="1"/>
  <c r="AD74" i="59"/>
  <c r="BF58" i="9" s="1"/>
  <c r="BF57" i="9" s="1"/>
  <c r="BF56" i="9" s="1"/>
  <c r="BZ58" i="9"/>
  <c r="BZ57" i="9" s="1"/>
  <c r="BZ56" i="9" s="1"/>
  <c r="AM9" i="8" l="1"/>
  <c r="AM48" i="8" s="1"/>
  <c r="E11" i="91" s="1"/>
  <c r="CJ28" i="9"/>
  <c r="CK35" i="9"/>
  <c r="AN12" i="8" s="1"/>
  <c r="AA16" i="8"/>
  <c r="CT42" i="9"/>
  <c r="CT36" i="9"/>
  <c r="CT31" i="9"/>
  <c r="CT37" i="9"/>
  <c r="CT32" i="9"/>
  <c r="CK30" i="9"/>
  <c r="AN10" i="8"/>
  <c r="CM47" i="9"/>
  <c r="AP21" i="8"/>
  <c r="AP14" i="8" s="1"/>
  <c r="BE54" i="9"/>
  <c r="BE51" i="9" s="1"/>
  <c r="BE50" i="9" s="1"/>
  <c r="CS54" i="9"/>
  <c r="CS51" i="9" s="1"/>
  <c r="CS50" i="9" s="1"/>
  <c r="CS48" i="9" s="1"/>
  <c r="CS47" i="9" s="1"/>
  <c r="AR18" i="8"/>
  <c r="Q36" i="91" s="1"/>
  <c r="CO51" i="9"/>
  <c r="CO50" i="9" s="1"/>
  <c r="BC54" i="9"/>
  <c r="BC51" i="9" s="1"/>
  <c r="BC50" i="9" s="1"/>
  <c r="CQ54" i="9"/>
  <c r="CQ51" i="9" s="1"/>
  <c r="CQ50" i="9" s="1"/>
  <c r="CQ48" i="9" s="1"/>
  <c r="CQ47" i="9" s="1"/>
  <c r="AB18" i="8"/>
  <c r="O36" i="91" s="1"/>
  <c r="BA51" i="9"/>
  <c r="BA50" i="9" s="1"/>
  <c r="CL42" i="9"/>
  <c r="CL31" i="9"/>
  <c r="CL36" i="9"/>
  <c r="CL37" i="9"/>
  <c r="AO13" i="8" s="1"/>
  <c r="CL32" i="9"/>
  <c r="AO11" i="8" s="1"/>
  <c r="BB54" i="9"/>
  <c r="BB51" i="9" s="1"/>
  <c r="BB50" i="9" s="1"/>
  <c r="CP54" i="9"/>
  <c r="CP51" i="9" s="1"/>
  <c r="CP50" i="9" s="1"/>
  <c r="CP48" i="9" s="1"/>
  <c r="CP47" i="9" s="1"/>
  <c r="BD54" i="9"/>
  <c r="BD51" i="9" s="1"/>
  <c r="BD50" i="9" s="1"/>
  <c r="CR54" i="9"/>
  <c r="CR51" i="9" s="1"/>
  <c r="CR50" i="9" s="1"/>
  <c r="CR48" i="9" s="1"/>
  <c r="CR47" i="9" s="1"/>
  <c r="AQ16" i="8"/>
  <c r="CN48" i="9"/>
  <c r="AJ16" i="8"/>
  <c r="P35" i="91" s="1"/>
  <c r="P36" i="91"/>
  <c r="AA17" i="8"/>
  <c r="AB17" i="8"/>
  <c r="BY54" i="9"/>
  <c r="BY51" i="9" s="1"/>
  <c r="BY50" i="9" s="1"/>
  <c r="AC74" i="59"/>
  <c r="BV54" i="9"/>
  <c r="BV51" i="9" s="1"/>
  <c r="BV50" i="9" s="1"/>
  <c r="Z74" i="59"/>
  <c r="BX54" i="9"/>
  <c r="BX51" i="9" s="1"/>
  <c r="BX50" i="9" s="1"/>
  <c r="AB74" i="59"/>
  <c r="BW54" i="9"/>
  <c r="BW51" i="9" s="1"/>
  <c r="BW50" i="9" s="1"/>
  <c r="AA74" i="59"/>
  <c r="AM8" i="8" l="1"/>
  <c r="AN9" i="8"/>
  <c r="AN48" i="8" s="1"/>
  <c r="F11" i="91" s="1"/>
  <c r="CT30" i="9"/>
  <c r="CT35" i="9"/>
  <c r="AB16" i="8"/>
  <c r="O35" i="91" s="1"/>
  <c r="CK28" i="9"/>
  <c r="CN47" i="9"/>
  <c r="AQ21" i="8"/>
  <c r="AQ14" i="8" s="1"/>
  <c r="CL35" i="9"/>
  <c r="AO12" i="8" s="1"/>
  <c r="AO10" i="8"/>
  <c r="CL30" i="9"/>
  <c r="AR16" i="8"/>
  <c r="CO48" i="9"/>
  <c r="CR31" i="9"/>
  <c r="CR42" i="9"/>
  <c r="CR36" i="9"/>
  <c r="CR37" i="9"/>
  <c r="CR32" i="9"/>
  <c r="CS42" i="9"/>
  <c r="CS31" i="9"/>
  <c r="CS36" i="9"/>
  <c r="CS32" i="9"/>
  <c r="CS37" i="9"/>
  <c r="CP31" i="9"/>
  <c r="CP36" i="9"/>
  <c r="CP42" i="9"/>
  <c r="CP32" i="9"/>
  <c r="CP37" i="9"/>
  <c r="CQ31" i="9"/>
  <c r="CQ36" i="9"/>
  <c r="CQ42" i="9"/>
  <c r="CQ32" i="9"/>
  <c r="CQ37" i="9"/>
  <c r="CM36" i="9"/>
  <c r="CM42" i="9"/>
  <c r="CM31" i="9"/>
  <c r="CM32" i="9"/>
  <c r="AP11" i="8" s="1"/>
  <c r="CM37" i="9"/>
  <c r="AP13" i="8" s="1"/>
  <c r="BW58" i="9"/>
  <c r="BW57" i="9" s="1"/>
  <c r="BW56" i="9" s="1"/>
  <c r="BC58" i="9"/>
  <c r="BC57" i="9" s="1"/>
  <c r="BC56" i="9" s="1"/>
  <c r="BX58" i="9"/>
  <c r="BX57" i="9" s="1"/>
  <c r="BX56" i="9" s="1"/>
  <c r="BD58" i="9"/>
  <c r="BD57" i="9" s="1"/>
  <c r="BD56" i="9" s="1"/>
  <c r="BV58" i="9"/>
  <c r="BV57" i="9" s="1"/>
  <c r="BV56" i="9" s="1"/>
  <c r="BB58" i="9"/>
  <c r="BB57" i="9" s="1"/>
  <c r="BB56" i="9" s="1"/>
  <c r="BY58" i="9"/>
  <c r="BY57" i="9" s="1"/>
  <c r="BY56" i="9" s="1"/>
  <c r="BE58" i="9"/>
  <c r="BE57" i="9" s="1"/>
  <c r="BE56" i="9" s="1"/>
  <c r="CT28" i="9" l="1"/>
  <c r="AN8" i="8"/>
  <c r="CQ30" i="9"/>
  <c r="CS35" i="9"/>
  <c r="CP35" i="9"/>
  <c r="CP30" i="9"/>
  <c r="CL28" i="9"/>
  <c r="CM35" i="9"/>
  <c r="AP12" i="8" s="1"/>
  <c r="CR30" i="9"/>
  <c r="AO9" i="8"/>
  <c r="AO8" i="8" s="1"/>
  <c r="CQ35" i="9"/>
  <c r="CR35" i="9"/>
  <c r="CS30" i="9"/>
  <c r="AR21" i="8"/>
  <c r="Q39" i="91" s="1"/>
  <c r="CO47" i="9"/>
  <c r="CN36" i="9"/>
  <c r="CN31" i="9"/>
  <c r="CN42" i="9"/>
  <c r="CN32" i="9"/>
  <c r="AQ11" i="8" s="1"/>
  <c r="CN37" i="9"/>
  <c r="AQ13" i="8" s="1"/>
  <c r="AP10" i="8"/>
  <c r="CM30" i="9"/>
  <c r="Q35" i="91"/>
  <c r="CQ28" i="9" l="1"/>
  <c r="CM28" i="9"/>
  <c r="CS28" i="9"/>
  <c r="AO48" i="8"/>
  <c r="G11" i="91" s="1"/>
  <c r="CP28" i="9"/>
  <c r="Q40" i="91"/>
  <c r="AP9" i="8"/>
  <c r="AP8" i="8" s="1"/>
  <c r="CR28" i="9"/>
  <c r="AQ10" i="8"/>
  <c r="CN30" i="9"/>
  <c r="AR14" i="8"/>
  <c r="CN35" i="9"/>
  <c r="AQ12" i="8" s="1"/>
  <c r="CO36" i="9"/>
  <c r="CO31" i="9"/>
  <c r="CO42" i="9"/>
  <c r="CO37" i="9"/>
  <c r="AR13" i="8" s="1"/>
  <c r="CO32" i="9"/>
  <c r="AR11" i="8" s="1"/>
  <c r="AP48" i="8" l="1"/>
  <c r="H11" i="91" s="1"/>
  <c r="AR10" i="8"/>
  <c r="CO30" i="9"/>
  <c r="CO35" i="9"/>
  <c r="AR12" i="8" s="1"/>
  <c r="CN28" i="9"/>
  <c r="AQ9" i="8"/>
  <c r="AQ8" i="8" l="1"/>
  <c r="AQ48" i="8"/>
  <c r="I11" i="91" s="1"/>
  <c r="CO28" i="9"/>
  <c r="AR9" i="8"/>
  <c r="AR8" i="8" l="1"/>
  <c r="Q7" i="91" s="1"/>
  <c r="Q10" i="91" s="1"/>
  <c r="AR48" i="8"/>
  <c r="J11" i="91" s="1"/>
  <c r="H246" i="80"/>
  <c r="G2351" i="79" l="1"/>
  <c r="G2353" i="79" s="1"/>
  <c r="G2487" i="79"/>
  <c r="G2385" i="79"/>
  <c r="G2419" i="79"/>
  <c r="G2453" i="79"/>
  <c r="G2349" i="79" l="1"/>
  <c r="G2344" i="79" s="1"/>
  <c r="AV196" i="52" s="1"/>
  <c r="AV15" i="52" s="1"/>
  <c r="G2455" i="79"/>
  <c r="G2451" i="79"/>
  <c r="G2446" i="79" s="1"/>
  <c r="G2417" i="79"/>
  <c r="G2421" i="79"/>
  <c r="G2387" i="79"/>
  <c r="G2383" i="79"/>
  <c r="G2378" i="79" s="1"/>
  <c r="G2489" i="79"/>
  <c r="G2485" i="79"/>
  <c r="BD196" i="52"/>
  <c r="BD15" i="52" s="1"/>
  <c r="G2345" i="79"/>
  <c r="BD197" i="52" l="1"/>
  <c r="BD37" i="52" s="1"/>
  <c r="G2379" i="79"/>
  <c r="G2377" i="79" s="1"/>
  <c r="G2337" i="79" s="1"/>
  <c r="BD198" i="52"/>
  <c r="BD59" i="52" s="1"/>
  <c r="G2413" i="79"/>
  <c r="AV198" i="52"/>
  <c r="AV59" i="52" s="1"/>
  <c r="G2412" i="79"/>
  <c r="G2411" i="79" s="1"/>
  <c r="G2447" i="79"/>
  <c r="G2445" i="79" s="1"/>
  <c r="G2339" i="79" s="1"/>
  <c r="AV200" i="52"/>
  <c r="AV103" i="52" s="1"/>
  <c r="G2480" i="79"/>
  <c r="G2481" i="79"/>
  <c r="BD200" i="52" s="1"/>
  <c r="BD103" i="52" s="1"/>
  <c r="G2343" i="79"/>
  <c r="G2336" i="79" s="1"/>
  <c r="AV197" i="52"/>
  <c r="AV37" i="52" s="1"/>
  <c r="H196" i="52"/>
  <c r="H15" i="52" s="1"/>
  <c r="AV199" i="52"/>
  <c r="AV81" i="52" s="1"/>
  <c r="G2338" i="79"/>
  <c r="BD199" i="52" l="1"/>
  <c r="BD81" i="52" s="1"/>
  <c r="BD125" i="52" s="1"/>
  <c r="G2479" i="79"/>
  <c r="G2340" i="79" s="1"/>
  <c r="AV125" i="52"/>
  <c r="H198" i="52"/>
  <c r="H59" i="52" s="1"/>
  <c r="K161" i="54" s="1"/>
  <c r="K52" i="54" s="1"/>
  <c r="S522" i="59" s="1"/>
  <c r="K119" i="54"/>
  <c r="K10" i="54" s="1"/>
  <c r="S480" i="59" s="1"/>
  <c r="H199" i="52"/>
  <c r="H81" i="52" s="1"/>
  <c r="K182" i="54" s="1"/>
  <c r="K73" i="54" s="1"/>
  <c r="S543" i="59" s="1"/>
  <c r="H200" i="52"/>
  <c r="H103" i="52" s="1"/>
  <c r="K203" i="54" s="1"/>
  <c r="K94" i="54" s="1"/>
  <c r="S564" i="59" s="1"/>
  <c r="H197" i="52"/>
  <c r="H37" i="52" s="1"/>
  <c r="K140" i="54" s="1"/>
  <c r="K31" i="54" s="1"/>
  <c r="S501" i="59" s="1"/>
  <c r="S606" i="59" l="1"/>
  <c r="S585" i="59"/>
  <c r="H125" i="52"/>
  <c r="BO136" i="9" l="1"/>
  <c r="BO123" i="9"/>
  <c r="BO106" i="9"/>
  <c r="D20" i="91"/>
  <c r="D19" i="91"/>
  <c r="AU136" i="9"/>
  <c r="AU123" i="9"/>
  <c r="AU106" i="9"/>
  <c r="S627" i="59"/>
  <c r="BO260" i="9" l="1"/>
  <c r="BO209" i="9"/>
  <c r="BO267" i="9"/>
  <c r="BO265" i="9" s="1"/>
  <c r="BO214" i="9"/>
  <c r="BO272" i="9"/>
  <c r="BO270" i="9" s="1"/>
  <c r="BO219" i="9"/>
  <c r="AU260" i="9"/>
  <c r="AU209" i="9"/>
  <c r="AU267" i="9"/>
  <c r="AU265" i="9" s="1"/>
  <c r="AU214" i="9"/>
  <c r="AU272" i="9"/>
  <c r="AU270" i="9" s="1"/>
  <c r="AU219" i="9"/>
  <c r="BO220" i="9" l="1" a="1"/>
  <c r="BO220" i="9" s="1"/>
  <c r="BO221" i="9" a="1"/>
  <c r="BO221" i="9" s="1"/>
  <c r="BP221" i="9" s="1" a="1"/>
  <c r="BP221" i="9" s="1"/>
  <c r="BQ221" i="9" s="1" a="1"/>
  <c r="BQ221" i="9" s="1"/>
  <c r="BR221" i="9" s="1" a="1"/>
  <c r="BR221" i="9" s="1"/>
  <c r="BS221" i="9" s="1" a="1"/>
  <c r="BS221" i="9" s="1"/>
  <c r="BT221" i="9" s="1" a="1"/>
  <c r="BT221" i="9" s="1"/>
  <c r="BU221" i="9" s="1" a="1"/>
  <c r="BU221" i="9" s="1"/>
  <c r="BV221" i="9" s="1" a="1"/>
  <c r="BV221" i="9" s="1"/>
  <c r="BW221" i="9" s="1" a="1"/>
  <c r="BW221" i="9" s="1"/>
  <c r="BX221" i="9" s="1" a="1"/>
  <c r="BX221" i="9" s="1"/>
  <c r="BY221" i="9" s="1" a="1"/>
  <c r="BY221" i="9" s="1"/>
  <c r="BZ221" i="9" s="1" a="1"/>
  <c r="BZ221" i="9" s="1"/>
  <c r="BO222" i="9" a="1"/>
  <c r="BO222" i="9" s="1"/>
  <c r="BP222" i="9" s="1" a="1"/>
  <c r="BP222" i="9" s="1"/>
  <c r="BQ222" i="9" s="1" a="1"/>
  <c r="BQ222" i="9" s="1"/>
  <c r="BR222" i="9" s="1" a="1"/>
  <c r="BR222" i="9" s="1"/>
  <c r="BS222" i="9" s="1" a="1"/>
  <c r="BS222" i="9" s="1"/>
  <c r="BT222" i="9" s="1" a="1"/>
  <c r="BT222" i="9" s="1"/>
  <c r="BU222" i="9" s="1" a="1"/>
  <c r="BU222" i="9" s="1"/>
  <c r="BV222" i="9" s="1" a="1"/>
  <c r="BV222" i="9" s="1"/>
  <c r="BW222" i="9" s="1" a="1"/>
  <c r="BW222" i="9" s="1"/>
  <c r="BX222" i="9" s="1" a="1"/>
  <c r="BX222" i="9" s="1"/>
  <c r="BY222" i="9" s="1" a="1"/>
  <c r="BY222" i="9" s="1"/>
  <c r="BZ222" i="9" s="1" a="1"/>
  <c r="BZ222" i="9" s="1"/>
  <c r="BO215" i="9" a="1"/>
  <c r="BO215" i="9" s="1"/>
  <c r="BO217" i="9" a="1"/>
  <c r="BO217" i="9" s="1"/>
  <c r="BP217" i="9" s="1" a="1"/>
  <c r="BP217" i="9" s="1"/>
  <c r="BQ217" i="9" s="1" a="1"/>
  <c r="BQ217" i="9" s="1"/>
  <c r="BR217" i="9" s="1" a="1"/>
  <c r="BR217" i="9" s="1"/>
  <c r="BS217" i="9" s="1" a="1"/>
  <c r="BS217" i="9" s="1"/>
  <c r="BT217" i="9" s="1" a="1"/>
  <c r="BT217" i="9" s="1"/>
  <c r="BU217" i="9" s="1" a="1"/>
  <c r="BU217" i="9" s="1"/>
  <c r="BV217" i="9" s="1" a="1"/>
  <c r="BV217" i="9" s="1"/>
  <c r="BW217" i="9" s="1" a="1"/>
  <c r="BW217" i="9" s="1"/>
  <c r="BX217" i="9" s="1" a="1"/>
  <c r="BX217" i="9" s="1"/>
  <c r="BY217" i="9" s="1" a="1"/>
  <c r="BY217" i="9" s="1"/>
  <c r="BZ217" i="9" s="1" a="1"/>
  <c r="BZ217" i="9" s="1"/>
  <c r="BO216" i="9" a="1"/>
  <c r="BO216" i="9" s="1"/>
  <c r="BP216" i="9" s="1" a="1"/>
  <c r="BP216" i="9" s="1"/>
  <c r="BQ216" i="9" s="1" a="1"/>
  <c r="BQ216" i="9" s="1"/>
  <c r="BR216" i="9" s="1" a="1"/>
  <c r="BR216" i="9" s="1"/>
  <c r="BS216" i="9" s="1" a="1"/>
  <c r="BS216" i="9" s="1"/>
  <c r="BT216" i="9" s="1" a="1"/>
  <c r="BT216" i="9" s="1"/>
  <c r="BU216" i="9" s="1" a="1"/>
  <c r="BU216" i="9" s="1"/>
  <c r="BV216" i="9" s="1" a="1"/>
  <c r="BV216" i="9" s="1"/>
  <c r="BW216" i="9" s="1" a="1"/>
  <c r="BW216" i="9" s="1"/>
  <c r="BX216" i="9" s="1" a="1"/>
  <c r="BX216" i="9" s="1"/>
  <c r="BY216" i="9" s="1" a="1"/>
  <c r="BY216" i="9" s="1"/>
  <c r="BZ216" i="9" s="1" a="1"/>
  <c r="BZ216" i="9" s="1"/>
  <c r="BO210" i="9" a="1"/>
  <c r="BO210" i="9" s="1"/>
  <c r="BO211" i="9" a="1"/>
  <c r="BO211" i="9" s="1"/>
  <c r="BO212" i="9" a="1"/>
  <c r="BO212" i="9" s="1"/>
  <c r="BO431" i="9"/>
  <c r="CN26" i="10" s="1"/>
  <c r="BO429" i="9"/>
  <c r="CN24" i="10" s="1"/>
  <c r="BO430" i="9"/>
  <c r="CN25" i="10" s="1"/>
  <c r="BO435" i="9"/>
  <c r="CN30" i="10" s="1"/>
  <c r="BO434" i="9"/>
  <c r="CN29" i="10" s="1"/>
  <c r="BO433" i="9"/>
  <c r="CN28" i="10" s="1"/>
  <c r="BO432" i="9"/>
  <c r="CN27" i="10" s="1"/>
  <c r="BO438" i="9"/>
  <c r="CN33" i="10" s="1"/>
  <c r="AU216" i="9" a="1"/>
  <c r="AU216" i="9" s="1"/>
  <c r="AV216" i="9" s="1" a="1"/>
  <c r="AV216" i="9" s="1"/>
  <c r="AW216" i="9" s="1" a="1"/>
  <c r="AW216" i="9" s="1"/>
  <c r="AX216" i="9" s="1" a="1"/>
  <c r="AX216" i="9" s="1"/>
  <c r="AY216" i="9" s="1" a="1"/>
  <c r="AY216" i="9" s="1"/>
  <c r="AZ216" i="9" s="1" a="1"/>
  <c r="AZ216" i="9" s="1"/>
  <c r="BA216" i="9" s="1" a="1"/>
  <c r="BA216" i="9" s="1"/>
  <c r="BB216" i="9" s="1" a="1"/>
  <c r="BB216" i="9" s="1"/>
  <c r="BC216" i="9" s="1" a="1"/>
  <c r="BC216" i="9" s="1"/>
  <c r="BD216" i="9" s="1" a="1"/>
  <c r="BD216" i="9" s="1"/>
  <c r="BE216" i="9" s="1" a="1"/>
  <c r="BE216" i="9" s="1"/>
  <c r="BF216" i="9" s="1" a="1"/>
  <c r="BF216" i="9" s="1"/>
  <c r="AU217" i="9" a="1"/>
  <c r="AU217" i="9" s="1"/>
  <c r="AV217" i="9" s="1" a="1"/>
  <c r="AV217" i="9" s="1"/>
  <c r="AW217" i="9" s="1" a="1"/>
  <c r="AW217" i="9" s="1"/>
  <c r="AX217" i="9" s="1" a="1"/>
  <c r="AX217" i="9" s="1"/>
  <c r="AY217" i="9" s="1" a="1"/>
  <c r="AY217" i="9" s="1"/>
  <c r="AZ217" i="9" s="1" a="1"/>
  <c r="AZ217" i="9" s="1"/>
  <c r="BA217" i="9" s="1" a="1"/>
  <c r="BA217" i="9" s="1"/>
  <c r="BB217" i="9" s="1" a="1"/>
  <c r="BB217" i="9" s="1"/>
  <c r="BC217" i="9" s="1" a="1"/>
  <c r="BC217" i="9" s="1"/>
  <c r="BD217" i="9" s="1" a="1"/>
  <c r="BD217" i="9" s="1"/>
  <c r="BE217" i="9" s="1" a="1"/>
  <c r="BE217" i="9" s="1"/>
  <c r="BF217" i="9" s="1" a="1"/>
  <c r="BF217" i="9" s="1"/>
  <c r="AU215" i="9" a="1"/>
  <c r="AU215" i="9" s="1"/>
  <c r="AU212" i="9" a="1"/>
  <c r="AU212" i="9" s="1"/>
  <c r="AU210" i="9" a="1"/>
  <c r="AU210" i="9" s="1"/>
  <c r="AU211" i="9" a="1"/>
  <c r="AU211" i="9" s="1"/>
  <c r="AU222" i="9" a="1"/>
  <c r="AU222" i="9" s="1"/>
  <c r="AV222" i="9" s="1" a="1"/>
  <c r="AV222" i="9" s="1"/>
  <c r="AW222" i="9" s="1" a="1"/>
  <c r="AW222" i="9" s="1"/>
  <c r="AX222" i="9" s="1" a="1"/>
  <c r="AX222" i="9" s="1"/>
  <c r="AY222" i="9" s="1" a="1"/>
  <c r="AY222" i="9" s="1"/>
  <c r="AZ222" i="9" s="1" a="1"/>
  <c r="AZ222" i="9" s="1"/>
  <c r="BA222" i="9" s="1" a="1"/>
  <c r="BA222" i="9" s="1"/>
  <c r="BB222" i="9" s="1" a="1"/>
  <c r="BB222" i="9" s="1"/>
  <c r="BC222" i="9" s="1" a="1"/>
  <c r="BC222" i="9" s="1"/>
  <c r="BD222" i="9" s="1" a="1"/>
  <c r="BD222" i="9" s="1"/>
  <c r="BE222" i="9" s="1" a="1"/>
  <c r="BE222" i="9" s="1"/>
  <c r="BF222" i="9" s="1" a="1"/>
  <c r="BF222" i="9" s="1"/>
  <c r="AU220" i="9" a="1"/>
  <c r="AU220" i="9" s="1"/>
  <c r="AU221" i="9" a="1"/>
  <c r="AU221" i="9" s="1"/>
  <c r="AV221" i="9" s="1" a="1"/>
  <c r="AV221" i="9" s="1"/>
  <c r="AW221" i="9" s="1" a="1"/>
  <c r="AW221" i="9" s="1"/>
  <c r="AX221" i="9" s="1" a="1"/>
  <c r="AX221" i="9" s="1"/>
  <c r="AY221" i="9" s="1" a="1"/>
  <c r="AY221" i="9" s="1"/>
  <c r="AZ221" i="9" s="1" a="1"/>
  <c r="AZ221" i="9" s="1"/>
  <c r="BA221" i="9" s="1" a="1"/>
  <c r="BA221" i="9" s="1"/>
  <c r="BB221" i="9" s="1" a="1"/>
  <c r="BB221" i="9" s="1"/>
  <c r="BC221" i="9" s="1" a="1"/>
  <c r="BC221" i="9" s="1"/>
  <c r="BD221" i="9" s="1" a="1"/>
  <c r="BD221" i="9" s="1"/>
  <c r="BE221" i="9" s="1" a="1"/>
  <c r="BE221" i="9" s="1"/>
  <c r="BF221" i="9" s="1" a="1"/>
  <c r="BF221" i="9" s="1"/>
  <c r="AU431" i="9"/>
  <c r="CM26" i="10" s="1"/>
  <c r="AU430" i="9"/>
  <c r="CM25" i="10" s="1"/>
  <c r="AU434" i="9"/>
  <c r="CM29" i="10" s="1"/>
  <c r="AU433" i="9"/>
  <c r="CM28" i="10" s="1"/>
  <c r="AU429" i="9"/>
  <c r="CM24" i="10" s="1"/>
  <c r="AU435" i="9"/>
  <c r="CM30" i="10" s="1"/>
  <c r="AU438" i="9"/>
  <c r="CM33" i="10" s="1"/>
  <c r="AU432" i="9"/>
  <c r="CM27" i="10" s="1"/>
  <c r="BO120" i="9" l="1"/>
  <c r="BP210" i="9" a="1"/>
  <c r="BP210" i="9" s="1"/>
  <c r="DF27" i="10"/>
  <c r="CT27" i="10"/>
  <c r="CZ27" i="10"/>
  <c r="BO169" i="9"/>
  <c r="AD44" i="8" s="1"/>
  <c r="BP211" i="9" a="1"/>
  <c r="BP211" i="9" s="1"/>
  <c r="CZ28" i="10"/>
  <c r="DF28" i="10"/>
  <c r="CT28" i="10"/>
  <c r="CT29" i="10"/>
  <c r="CZ29" i="10"/>
  <c r="DF29" i="10"/>
  <c r="DF30" i="10"/>
  <c r="CT30" i="10"/>
  <c r="CZ30" i="10"/>
  <c r="DF25" i="10"/>
  <c r="CT25" i="10"/>
  <c r="CZ25" i="10"/>
  <c r="BO133" i="9"/>
  <c r="BO124" i="9" s="1"/>
  <c r="BP215" i="9" a="1"/>
  <c r="BP215" i="9" s="1"/>
  <c r="DF24" i="10"/>
  <c r="CZ24" i="10"/>
  <c r="CT24" i="10"/>
  <c r="DF26" i="10"/>
  <c r="CT26" i="10"/>
  <c r="CZ26" i="10"/>
  <c r="DF33" i="10"/>
  <c r="CZ33" i="10"/>
  <c r="CT33" i="10"/>
  <c r="BP212" i="9" a="1"/>
  <c r="BP212" i="9" s="1"/>
  <c r="BO100" i="9"/>
  <c r="AD22" i="8" s="1"/>
  <c r="BO142" i="9"/>
  <c r="BO137" i="9" s="1"/>
  <c r="BP220" i="9" a="1"/>
  <c r="BP220" i="9" s="1"/>
  <c r="DE27" i="10"/>
  <c r="CS27" i="10"/>
  <c r="CY27" i="10"/>
  <c r="AU142" i="9"/>
  <c r="AU137" i="9" s="1"/>
  <c r="AV220" i="9" a="1"/>
  <c r="AV220" i="9" s="1"/>
  <c r="DE24" i="10"/>
  <c r="CS24" i="10"/>
  <c r="CY24" i="10"/>
  <c r="AV211" i="9" a="1"/>
  <c r="AV211" i="9" s="1"/>
  <c r="AU169" i="9"/>
  <c r="V44" i="8" s="1"/>
  <c r="DE26" i="10"/>
  <c r="CY26" i="10"/>
  <c r="CS26" i="10"/>
  <c r="DE30" i="10"/>
  <c r="CY30" i="10"/>
  <c r="CS30" i="10"/>
  <c r="DE28" i="10"/>
  <c r="CS28" i="10"/>
  <c r="CY28" i="10"/>
  <c r="AU120" i="9"/>
  <c r="AV210" i="9" a="1"/>
  <c r="AV210" i="9" s="1"/>
  <c r="DE33" i="10"/>
  <c r="CS33" i="10"/>
  <c r="CY33" i="10"/>
  <c r="DE29" i="10"/>
  <c r="CY29" i="10"/>
  <c r="CS29" i="10"/>
  <c r="AV212" i="9" a="1"/>
  <c r="AV212" i="9" s="1"/>
  <c r="AU100" i="9"/>
  <c r="V22" i="8" s="1"/>
  <c r="DE25" i="10"/>
  <c r="CS25" i="10"/>
  <c r="CY25" i="10"/>
  <c r="AU133" i="9"/>
  <c r="AU124" i="9" s="1"/>
  <c r="AV215" i="9" a="1"/>
  <c r="AV215" i="9" s="1"/>
  <c r="BQ211" i="9" l="1" a="1"/>
  <c r="BQ211" i="9" s="1"/>
  <c r="BP169" i="9"/>
  <c r="AE44" i="8" s="1"/>
  <c r="BQ215" i="9" a="1"/>
  <c r="BQ215" i="9" s="1"/>
  <c r="BP133" i="9"/>
  <c r="BP124" i="9" s="1"/>
  <c r="BO180" i="9"/>
  <c r="BO151" i="9"/>
  <c r="BO149" i="9" s="1"/>
  <c r="AD36" i="8" s="1"/>
  <c r="AD28" i="8"/>
  <c r="BO227" i="9"/>
  <c r="BO232" i="9"/>
  <c r="BO94" i="9" s="1"/>
  <c r="BO90" i="9" s="1"/>
  <c r="BO86" i="9" s="1"/>
  <c r="BO60" i="9" s="1"/>
  <c r="BO122" i="9"/>
  <c r="BQ212" i="9" a="1"/>
  <c r="BQ212" i="9" s="1"/>
  <c r="BP100" i="9"/>
  <c r="AE22" i="8" s="1"/>
  <c r="BP120" i="9"/>
  <c r="BQ210" i="9" a="1"/>
  <c r="BQ210" i="9" s="1"/>
  <c r="BP142" i="9"/>
  <c r="BP137" i="9" s="1"/>
  <c r="BQ220" i="9" a="1"/>
  <c r="BQ220" i="9" s="1"/>
  <c r="AD29" i="8"/>
  <c r="BO233" i="9"/>
  <c r="BO228" i="9"/>
  <c r="BO181" i="9"/>
  <c r="BO135" i="9"/>
  <c r="BO110" i="9"/>
  <c r="BO114" i="9"/>
  <c r="V28" i="8"/>
  <c r="AU151" i="9"/>
  <c r="AU149" i="9" s="1"/>
  <c r="V36" i="8" s="1"/>
  <c r="AU227" i="9"/>
  <c r="AU232" i="9"/>
  <c r="AU94" i="9" s="1"/>
  <c r="AU90" i="9" s="1"/>
  <c r="AU86" i="9" s="1"/>
  <c r="AU60" i="9" s="1"/>
  <c r="AU180" i="9"/>
  <c r="AU122" i="9"/>
  <c r="AW220" i="9" a="1"/>
  <c r="AW220" i="9" s="1"/>
  <c r="AV142" i="9"/>
  <c r="AV137" i="9" s="1"/>
  <c r="AV120" i="9"/>
  <c r="AW210" i="9" a="1"/>
  <c r="AW210" i="9" s="1"/>
  <c r="V29" i="8"/>
  <c r="AU233" i="9"/>
  <c r="AU181" i="9"/>
  <c r="AU228" i="9"/>
  <c r="AU135" i="9"/>
  <c r="AW212" i="9" a="1"/>
  <c r="AW212" i="9" s="1"/>
  <c r="AV100" i="9"/>
  <c r="W22" i="8" s="1"/>
  <c r="AU114" i="9"/>
  <c r="AU110" i="9"/>
  <c r="AV133" i="9"/>
  <c r="AV124" i="9" s="1"/>
  <c r="AW215" i="9" a="1"/>
  <c r="AW215" i="9" s="1"/>
  <c r="AW211" i="9" a="1"/>
  <c r="AW211" i="9" s="1"/>
  <c r="AV169" i="9"/>
  <c r="W44" i="8" s="1"/>
  <c r="BR210" i="9" l="1" a="1"/>
  <c r="BR210" i="9" s="1"/>
  <c r="BQ120" i="9"/>
  <c r="BP110" i="9"/>
  <c r="BP114" i="9"/>
  <c r="AD41" i="8"/>
  <c r="BO175" i="9"/>
  <c r="AD52" i="8"/>
  <c r="BP233" i="9"/>
  <c r="AE29" i="8"/>
  <c r="BP181" i="9"/>
  <c r="BP228" i="9"/>
  <c r="BP135" i="9"/>
  <c r="BO230" i="9"/>
  <c r="BO178" i="9"/>
  <c r="BO147" i="9"/>
  <c r="BO145" i="9" s="1"/>
  <c r="BO144" i="9" s="1"/>
  <c r="AD35" i="8" s="1"/>
  <c r="AD33" i="8" s="1"/>
  <c r="BO108" i="9"/>
  <c r="BO238" i="9"/>
  <c r="BO236" i="9" s="1"/>
  <c r="AD26" i="8"/>
  <c r="BO225" i="9"/>
  <c r="BO105" i="9"/>
  <c r="BO104" i="9" s="1"/>
  <c r="BO176" i="9"/>
  <c r="AD42" i="8"/>
  <c r="AD53" i="8"/>
  <c r="BP232" i="9"/>
  <c r="BP94" i="9" s="1"/>
  <c r="BP90" i="9" s="1"/>
  <c r="BP86" i="9" s="1"/>
  <c r="BP60" i="9" s="1"/>
  <c r="BP151" i="9"/>
  <c r="BP149" i="9" s="1"/>
  <c r="AE36" i="8" s="1"/>
  <c r="BP227" i="9"/>
  <c r="BP180" i="9"/>
  <c r="AE28" i="8"/>
  <c r="BP122" i="9"/>
  <c r="BO179" i="9"/>
  <c r="BO174" i="9" s="1"/>
  <c r="BO231" i="9"/>
  <c r="BO85" i="9" s="1"/>
  <c r="BO81" i="9" s="1"/>
  <c r="BO226" i="9"/>
  <c r="AD27" i="8"/>
  <c r="BQ100" i="9"/>
  <c r="AF22" i="8" s="1"/>
  <c r="BR212" i="9" a="1"/>
  <c r="BR212" i="9" s="1"/>
  <c r="BQ133" i="9"/>
  <c r="BQ124" i="9" s="1"/>
  <c r="BR215" i="9" a="1"/>
  <c r="BR215" i="9" s="1"/>
  <c r="AD19" i="8"/>
  <c r="BO48" i="9"/>
  <c r="BQ142" i="9"/>
  <c r="BQ137" i="9" s="1"/>
  <c r="BR220" i="9" a="1"/>
  <c r="BR220" i="9" s="1"/>
  <c r="BR211" i="9" a="1"/>
  <c r="BR211" i="9" s="1"/>
  <c r="BQ169" i="9"/>
  <c r="AF44" i="8" s="1"/>
  <c r="AX220" i="9" a="1"/>
  <c r="AX220" i="9" s="1"/>
  <c r="AW142" i="9"/>
  <c r="AW137" i="9" s="1"/>
  <c r="AX211" i="9" a="1"/>
  <c r="AX211" i="9" s="1"/>
  <c r="AW169" i="9"/>
  <c r="X44" i="8" s="1"/>
  <c r="W29" i="8"/>
  <c r="AV135" i="9"/>
  <c r="AV228" i="9"/>
  <c r="AV181" i="9"/>
  <c r="AV233" i="9"/>
  <c r="V42" i="8"/>
  <c r="AU176" i="9"/>
  <c r="V53" i="8"/>
  <c r="V41" i="8"/>
  <c r="AU175" i="9"/>
  <c r="V52" i="8"/>
  <c r="V19" i="8"/>
  <c r="AU48" i="9"/>
  <c r="AW100" i="9"/>
  <c r="X22" i="8" s="1"/>
  <c r="AX212" i="9" a="1"/>
  <c r="AX212" i="9" s="1"/>
  <c r="W28" i="8"/>
  <c r="AV151" i="9"/>
  <c r="AV149" i="9" s="1"/>
  <c r="W36" i="8" s="1"/>
  <c r="AV227" i="9"/>
  <c r="AV180" i="9"/>
  <c r="AV232" i="9"/>
  <c r="AV94" i="9" s="1"/>
  <c r="AV90" i="9" s="1"/>
  <c r="AV86" i="9" s="1"/>
  <c r="AV60" i="9" s="1"/>
  <c r="AV122" i="9"/>
  <c r="V26" i="8"/>
  <c r="AU147" i="9"/>
  <c r="AU145" i="9" s="1"/>
  <c r="AU144" i="9" s="1"/>
  <c r="V35" i="8" s="1"/>
  <c r="V33" i="8" s="1"/>
  <c r="AU225" i="9"/>
  <c r="AU230" i="9"/>
  <c r="AU238" i="9"/>
  <c r="AU236" i="9" s="1"/>
  <c r="AU178" i="9"/>
  <c r="AU108" i="9"/>
  <c r="AU105" i="9"/>
  <c r="AU104" i="9" s="1"/>
  <c r="AX210" i="9" a="1"/>
  <c r="AX210" i="9" s="1"/>
  <c r="AW120" i="9"/>
  <c r="AW133" i="9"/>
  <c r="AW124" i="9" s="1"/>
  <c r="AX215" i="9" a="1"/>
  <c r="AX215" i="9" s="1"/>
  <c r="V27" i="8"/>
  <c r="AU179" i="9"/>
  <c r="AU174" i="9" s="1"/>
  <c r="AU226" i="9"/>
  <c r="AU231" i="9"/>
  <c r="AU85" i="9" s="1"/>
  <c r="AU81" i="9" s="1"/>
  <c r="AV110" i="9"/>
  <c r="AV114" i="9"/>
  <c r="AE19" i="8" l="1"/>
  <c r="BP48" i="9"/>
  <c r="BR133" i="9"/>
  <c r="BR124" i="9" s="1"/>
  <c r="BS215" i="9" a="1"/>
  <c r="BS215" i="9" s="1"/>
  <c r="BO239" i="9"/>
  <c r="AD46" i="8" s="1"/>
  <c r="BO74" i="9"/>
  <c r="BO70" i="9" s="1"/>
  <c r="AD21" i="8"/>
  <c r="AD14" i="8" s="1"/>
  <c r="BO47" i="9"/>
  <c r="BO177" i="9"/>
  <c r="BO173" i="9"/>
  <c r="BO171" i="9" s="1"/>
  <c r="BO103" i="9" s="1"/>
  <c r="BO43" i="9" s="1"/>
  <c r="AD51" i="8"/>
  <c r="AD40" i="8"/>
  <c r="AD39" i="8" s="1"/>
  <c r="AD24" i="8" s="1"/>
  <c r="BQ232" i="9"/>
  <c r="BQ94" i="9" s="1"/>
  <c r="BQ90" i="9" s="1"/>
  <c r="BQ86" i="9" s="1"/>
  <c r="BQ60" i="9" s="1"/>
  <c r="BQ122" i="9"/>
  <c r="BQ151" i="9"/>
  <c r="BQ149" i="9" s="1"/>
  <c r="AF36" i="8" s="1"/>
  <c r="BQ227" i="9"/>
  <c r="AF28" i="8"/>
  <c r="BQ180" i="9"/>
  <c r="BP226" i="9"/>
  <c r="AE27" i="8"/>
  <c r="BP231" i="9"/>
  <c r="BP85" i="9" s="1"/>
  <c r="BP81" i="9" s="1"/>
  <c r="BP179" i="9"/>
  <c r="BP174" i="9" s="1"/>
  <c r="BR169" i="9"/>
  <c r="AG44" i="8" s="1"/>
  <c r="BS211" i="9" a="1"/>
  <c r="BS211" i="9" s="1"/>
  <c r="BR100" i="9"/>
  <c r="AG22" i="8" s="1"/>
  <c r="BS212" i="9" a="1"/>
  <c r="BS212" i="9" s="1"/>
  <c r="AE41" i="8"/>
  <c r="AE52" i="8"/>
  <c r="BP175" i="9"/>
  <c r="BO187" i="9"/>
  <c r="AD56" i="8" s="1"/>
  <c r="BO182" i="9"/>
  <c r="BP147" i="9"/>
  <c r="BP145" i="9" s="1"/>
  <c r="BP144" i="9" s="1"/>
  <c r="AE35" i="8" s="1"/>
  <c r="AE33" i="8" s="1"/>
  <c r="BP230" i="9"/>
  <c r="BP178" i="9"/>
  <c r="BP225" i="9"/>
  <c r="BP108" i="9"/>
  <c r="BP238" i="9"/>
  <c r="BP236" i="9" s="1"/>
  <c r="AE26" i="8"/>
  <c r="BP105" i="9"/>
  <c r="BP104" i="9" s="1"/>
  <c r="BR142" i="9"/>
  <c r="BR137" i="9" s="1"/>
  <c r="BS220" i="9" a="1"/>
  <c r="BS220" i="9" s="1"/>
  <c r="AD25" i="8"/>
  <c r="AE53" i="8"/>
  <c r="BP176" i="9"/>
  <c r="AE42" i="8"/>
  <c r="BQ114" i="9"/>
  <c r="BQ110" i="9"/>
  <c r="AF29" i="8"/>
  <c r="BQ228" i="9"/>
  <c r="BQ181" i="9"/>
  <c r="BQ233" i="9"/>
  <c r="BQ135" i="9"/>
  <c r="BS210" i="9" a="1"/>
  <c r="BS210" i="9" s="1"/>
  <c r="BR120" i="9"/>
  <c r="W19" i="8"/>
  <c r="AV48" i="9"/>
  <c r="W42" i="8"/>
  <c r="W53" i="8"/>
  <c r="AV176" i="9"/>
  <c r="AU173" i="9"/>
  <c r="AU171" i="9" s="1"/>
  <c r="AU103" i="9" s="1"/>
  <c r="AU43" i="9" s="1"/>
  <c r="AU177" i="9"/>
  <c r="V40" i="8"/>
  <c r="V39" i="8" s="1"/>
  <c r="V24" i="8" s="1"/>
  <c r="V51" i="8"/>
  <c r="W41" i="8"/>
  <c r="W52" i="8"/>
  <c r="AV175" i="9"/>
  <c r="AW110" i="9"/>
  <c r="AW114" i="9"/>
  <c r="AX133" i="9"/>
  <c r="AX124" i="9" s="1"/>
  <c r="AY215" i="9" a="1"/>
  <c r="AY215" i="9" s="1"/>
  <c r="AU239" i="9"/>
  <c r="V46" i="8" s="1"/>
  <c r="AU74" i="9"/>
  <c r="AU70" i="9" s="1"/>
  <c r="X28" i="8"/>
  <c r="AW122" i="9"/>
  <c r="AW232" i="9"/>
  <c r="AW94" i="9" s="1"/>
  <c r="AW90" i="9" s="1"/>
  <c r="AW86" i="9" s="1"/>
  <c r="AW60" i="9" s="1"/>
  <c r="AW151" i="9"/>
  <c r="AW149" i="9" s="1"/>
  <c r="X36" i="8" s="1"/>
  <c r="AW180" i="9"/>
  <c r="AW227" i="9"/>
  <c r="AU187" i="9"/>
  <c r="V56" i="8" s="1"/>
  <c r="AU182" i="9"/>
  <c r="AX100" i="9"/>
  <c r="Y22" i="8" s="1"/>
  <c r="AY212" i="9" a="1"/>
  <c r="AY212" i="9" s="1"/>
  <c r="AY211" i="9" a="1"/>
  <c r="AY211" i="9" s="1"/>
  <c r="AX169" i="9"/>
  <c r="Y44" i="8" s="1"/>
  <c r="AX120" i="9"/>
  <c r="AY210" i="9" a="1"/>
  <c r="AY210" i="9" s="1"/>
  <c r="V25" i="8"/>
  <c r="X29" i="8"/>
  <c r="AW135" i="9"/>
  <c r="AW233" i="9"/>
  <c r="AW181" i="9"/>
  <c r="AW228" i="9"/>
  <c r="W27" i="8"/>
  <c r="AV231" i="9"/>
  <c r="AV85" i="9" s="1"/>
  <c r="AV81" i="9" s="1"/>
  <c r="AV226" i="9"/>
  <c r="AV179" i="9"/>
  <c r="AV174" i="9" s="1"/>
  <c r="W26" i="8"/>
  <c r="AV225" i="9"/>
  <c r="AV105" i="9"/>
  <c r="AV104" i="9" s="1"/>
  <c r="AV147" i="9"/>
  <c r="AV145" i="9" s="1"/>
  <c r="AV144" i="9" s="1"/>
  <c r="W35" i="8" s="1"/>
  <c r="W33" i="8" s="1"/>
  <c r="AV238" i="9"/>
  <c r="AV236" i="9" s="1"/>
  <c r="AV108" i="9"/>
  <c r="AV230" i="9"/>
  <c r="AV178" i="9"/>
  <c r="V21" i="8"/>
  <c r="V14" i="8" s="1"/>
  <c r="AU47" i="9"/>
  <c r="AX142" i="9"/>
  <c r="AX137" i="9" s="1"/>
  <c r="AY220" i="9" a="1"/>
  <c r="AY220" i="9" s="1"/>
  <c r="AE25" i="8" l="1"/>
  <c r="AD23" i="8"/>
  <c r="BS120" i="9"/>
  <c r="BT210" i="9" a="1"/>
  <c r="BT210" i="9" s="1"/>
  <c r="AF19" i="8"/>
  <c r="BQ48" i="9"/>
  <c r="AF27" i="8"/>
  <c r="BQ231" i="9"/>
  <c r="BQ85" i="9" s="1"/>
  <c r="BQ81" i="9" s="1"/>
  <c r="BQ179" i="9"/>
  <c r="BQ174" i="9" s="1"/>
  <c r="BQ226" i="9"/>
  <c r="BR114" i="9"/>
  <c r="BR110" i="9"/>
  <c r="BO42" i="9"/>
  <c r="BO36" i="9"/>
  <c r="BO31" i="9"/>
  <c r="AF53" i="8"/>
  <c r="AF42" i="8"/>
  <c r="BQ176" i="9"/>
  <c r="BP187" i="9"/>
  <c r="AE56" i="8" s="1"/>
  <c r="BP182" i="9"/>
  <c r="BT215" i="9" a="1"/>
  <c r="BT215" i="9" s="1"/>
  <c r="BS133" i="9"/>
  <c r="BS124" i="9" s="1"/>
  <c r="AD55" i="8"/>
  <c r="AD54" i="8" s="1"/>
  <c r="BO253" i="9"/>
  <c r="BS142" i="9"/>
  <c r="BS137" i="9" s="1"/>
  <c r="BT220" i="9" a="1"/>
  <c r="BT220" i="9" s="1"/>
  <c r="BP177" i="9"/>
  <c r="BP173" i="9"/>
  <c r="BP171" i="9" s="1"/>
  <c r="BP103" i="9" s="1"/>
  <c r="BP43" i="9" s="1"/>
  <c r="AE51" i="8"/>
  <c r="AE40" i="8"/>
  <c r="AE39" i="8" s="1"/>
  <c r="AE24" i="8" s="1"/>
  <c r="BS100" i="9"/>
  <c r="AH22" i="8" s="1"/>
  <c r="BT212" i="9" a="1"/>
  <c r="BT212" i="9" s="1"/>
  <c r="BQ175" i="9"/>
  <c r="AF41" i="8"/>
  <c r="AF52" i="8"/>
  <c r="BR180" i="9"/>
  <c r="BR151" i="9"/>
  <c r="BR149" i="9" s="1"/>
  <c r="AG36" i="8" s="1"/>
  <c r="AG28" i="8"/>
  <c r="BR232" i="9"/>
  <c r="BR94" i="9" s="1"/>
  <c r="BR90" i="9" s="1"/>
  <c r="BR86" i="9" s="1"/>
  <c r="BR60" i="9" s="1"/>
  <c r="BR122" i="9"/>
  <c r="BR227" i="9"/>
  <c r="BR228" i="9"/>
  <c r="AG29" i="8"/>
  <c r="BR233" i="9"/>
  <c r="BR181" i="9"/>
  <c r="BR135" i="9"/>
  <c r="BP239" i="9"/>
  <c r="AE46" i="8" s="1"/>
  <c r="BP74" i="9"/>
  <c r="BP70" i="9" s="1"/>
  <c r="AE21" i="8"/>
  <c r="AE14" i="8" s="1"/>
  <c r="BP47" i="9"/>
  <c r="P50" i="91"/>
  <c r="BQ178" i="9"/>
  <c r="BQ230" i="9"/>
  <c r="BQ108" i="9"/>
  <c r="BQ238" i="9"/>
  <c r="BQ236" i="9" s="1"/>
  <c r="BQ147" i="9"/>
  <c r="BQ145" i="9" s="1"/>
  <c r="BQ144" i="9" s="1"/>
  <c r="AF35" i="8" s="1"/>
  <c r="AF33" i="8" s="1"/>
  <c r="BQ225" i="9"/>
  <c r="BQ105" i="9"/>
  <c r="BQ104" i="9" s="1"/>
  <c r="AF26" i="8"/>
  <c r="BT211" i="9" a="1"/>
  <c r="BT211" i="9" s="1"/>
  <c r="BS169" i="9"/>
  <c r="AH44" i="8" s="1"/>
  <c r="BO243" i="9"/>
  <c r="AD50" i="8"/>
  <c r="W25" i="8"/>
  <c r="AZ212" i="9" a="1"/>
  <c r="AZ212" i="9" s="1"/>
  <c r="AY100" i="9"/>
  <c r="Z22" i="8" s="1"/>
  <c r="X19" i="8"/>
  <c r="AW48" i="9"/>
  <c r="X27" i="8"/>
  <c r="AW231" i="9"/>
  <c r="AW85" i="9" s="1"/>
  <c r="AW81" i="9" s="1"/>
  <c r="AW179" i="9"/>
  <c r="AW174" i="9" s="1"/>
  <c r="AW226" i="9"/>
  <c r="AZ211" i="9" a="1"/>
  <c r="AZ211" i="9" s="1"/>
  <c r="AY169" i="9"/>
  <c r="Z44" i="8" s="1"/>
  <c r="X26" i="8"/>
  <c r="AW147" i="9"/>
  <c r="AW145" i="9" s="1"/>
  <c r="AW144" i="9" s="1"/>
  <c r="X35" i="8" s="1"/>
  <c r="X33" i="8" s="1"/>
  <c r="AW178" i="9"/>
  <c r="AW225" i="9"/>
  <c r="AW105" i="9"/>
  <c r="AW104" i="9" s="1"/>
  <c r="AW108" i="9"/>
  <c r="AW238" i="9"/>
  <c r="AW236" i="9" s="1"/>
  <c r="AW230" i="9"/>
  <c r="X42" i="8"/>
  <c r="X53" i="8"/>
  <c r="AW176" i="9"/>
  <c r="AU243" i="9"/>
  <c r="V50" i="8"/>
  <c r="Y29" i="8"/>
  <c r="AX135" i="9"/>
  <c r="AX233" i="9"/>
  <c r="AX228" i="9"/>
  <c r="AX181" i="9"/>
  <c r="AU36" i="9"/>
  <c r="AU31" i="9"/>
  <c r="AU42" i="9"/>
  <c r="AV187" i="9"/>
  <c r="W56" i="8" s="1"/>
  <c r="AV182" i="9"/>
  <c r="AV74" i="9"/>
  <c r="AV70" i="9" s="1"/>
  <c r="AV239" i="9"/>
  <c r="W46" i="8" s="1"/>
  <c r="AU253" i="9"/>
  <c r="V55" i="8"/>
  <c r="V54" i="8" s="1"/>
  <c r="AY142" i="9"/>
  <c r="AY137" i="9" s="1"/>
  <c r="AZ220" i="9" a="1"/>
  <c r="AZ220" i="9" s="1"/>
  <c r="Y28" i="8"/>
  <c r="AX122" i="9"/>
  <c r="AX227" i="9"/>
  <c r="AX232" i="9"/>
  <c r="AX94" i="9" s="1"/>
  <c r="AX90" i="9" s="1"/>
  <c r="AX86" i="9" s="1"/>
  <c r="AX60" i="9" s="1"/>
  <c r="AX180" i="9"/>
  <c r="AX151" i="9"/>
  <c r="AX149" i="9" s="1"/>
  <c r="Y36" i="8" s="1"/>
  <c r="AV177" i="9"/>
  <c r="AV173" i="9"/>
  <c r="AV171" i="9" s="1"/>
  <c r="AV103" i="9" s="1"/>
  <c r="AV43" i="9" s="1"/>
  <c r="W51" i="8"/>
  <c r="W40" i="8"/>
  <c r="W39" i="8" s="1"/>
  <c r="AY120" i="9"/>
  <c r="AZ210" i="9" a="1"/>
  <c r="AZ210" i="9" s="1"/>
  <c r="AX114" i="9"/>
  <c r="AX110" i="9"/>
  <c r="W21" i="8"/>
  <c r="W14" i="8" s="1"/>
  <c r="AV47" i="9"/>
  <c r="X41" i="8"/>
  <c r="AW175" i="9"/>
  <c r="X52" i="8"/>
  <c r="AY133" i="9"/>
  <c r="AY124" i="9" s="1"/>
  <c r="AZ215" i="9" a="1"/>
  <c r="AZ215" i="9" s="1"/>
  <c r="V23" i="8"/>
  <c r="AF25" i="8" l="1"/>
  <c r="W23" i="8"/>
  <c r="BT169" i="9"/>
  <c r="AI44" i="8" s="1"/>
  <c r="BU211" i="9" a="1"/>
  <c r="BU211" i="9" s="1"/>
  <c r="BQ173" i="9"/>
  <c r="BQ171" i="9" s="1"/>
  <c r="BQ103" i="9" s="1"/>
  <c r="BQ43" i="9" s="1"/>
  <c r="BQ177" i="9"/>
  <c r="AF51" i="8"/>
  <c r="AF40" i="8"/>
  <c r="AF39" i="8" s="1"/>
  <c r="AF24" i="8" s="1"/>
  <c r="AG53" i="8"/>
  <c r="BR176" i="9"/>
  <c r="AG42" i="8"/>
  <c r="BT133" i="9"/>
  <c r="BT124" i="9" s="1"/>
  <c r="BU215" i="9" a="1"/>
  <c r="BU215" i="9" s="1"/>
  <c r="AH28" i="8"/>
  <c r="BS180" i="9"/>
  <c r="BS227" i="9"/>
  <c r="BS151" i="9"/>
  <c r="BS149" i="9" s="1"/>
  <c r="AH36" i="8" s="1"/>
  <c r="BS232" i="9"/>
  <c r="BS94" i="9" s="1"/>
  <c r="BS90" i="9" s="1"/>
  <c r="BS86" i="9" s="1"/>
  <c r="BS60" i="9" s="1"/>
  <c r="BS122" i="9"/>
  <c r="AG41" i="8"/>
  <c r="BR175" i="9"/>
  <c r="AG52" i="8"/>
  <c r="AE55" i="8"/>
  <c r="AE54" i="8" s="1"/>
  <c r="BP253" i="9"/>
  <c r="BQ47" i="9"/>
  <c r="AF21" i="8"/>
  <c r="AF14" i="8" s="1"/>
  <c r="AE50" i="8"/>
  <c r="BP243" i="9"/>
  <c r="BP42" i="9"/>
  <c r="BP36" i="9"/>
  <c r="BP31" i="9"/>
  <c r="BT142" i="9"/>
  <c r="BT137" i="9" s="1"/>
  <c r="BU220" i="9" a="1"/>
  <c r="BU220" i="9" s="1"/>
  <c r="BR105" i="9"/>
  <c r="BR104" i="9" s="1"/>
  <c r="BR230" i="9"/>
  <c r="AG26" i="8"/>
  <c r="BR225" i="9"/>
  <c r="BR178" i="9"/>
  <c r="BR147" i="9"/>
  <c r="BR145" i="9" s="1"/>
  <c r="BR144" i="9" s="1"/>
  <c r="AG35" i="8" s="1"/>
  <c r="AG33" i="8" s="1"/>
  <c r="P47" i="91" s="1"/>
  <c r="BR238" i="9"/>
  <c r="BR236" i="9" s="1"/>
  <c r="BR108" i="9"/>
  <c r="AE23" i="8"/>
  <c r="BQ182" i="9"/>
  <c r="BQ187" i="9"/>
  <c r="AF56" i="8" s="1"/>
  <c r="BS181" i="9"/>
  <c r="BS135" i="9"/>
  <c r="AH29" i="8"/>
  <c r="BS228" i="9"/>
  <c r="BS233" i="9"/>
  <c r="AG27" i="8"/>
  <c r="BR231" i="9"/>
  <c r="BR85" i="9" s="1"/>
  <c r="BR81" i="9" s="1"/>
  <c r="BR226" i="9"/>
  <c r="BR179" i="9"/>
  <c r="BR174" i="9" s="1"/>
  <c r="BT120" i="9"/>
  <c r="BU210" i="9" a="1"/>
  <c r="BU210" i="9" s="1"/>
  <c r="BQ74" i="9"/>
  <c r="BQ70" i="9" s="1"/>
  <c r="BQ239" i="9"/>
  <c r="AF46" i="8" s="1"/>
  <c r="BT100" i="9"/>
  <c r="AI22" i="8" s="1"/>
  <c r="BU212" i="9" a="1"/>
  <c r="BU212" i="9" s="1"/>
  <c r="BO34" i="9"/>
  <c r="BO39" i="9"/>
  <c r="BO37" i="9" s="1"/>
  <c r="AD13" i="8" s="1"/>
  <c r="BS110" i="9"/>
  <c r="BS114" i="9"/>
  <c r="AD58" i="8"/>
  <c r="BO251" i="9"/>
  <c r="AG19" i="8"/>
  <c r="BR48" i="9"/>
  <c r="AD10" i="8"/>
  <c r="V10" i="8"/>
  <c r="Z28" i="8"/>
  <c r="AY122" i="9"/>
  <c r="AY232" i="9"/>
  <c r="AY94" i="9" s="1"/>
  <c r="AY90" i="9" s="1"/>
  <c r="AY86" i="9" s="1"/>
  <c r="AY60" i="9" s="1"/>
  <c r="AY151" i="9"/>
  <c r="AY149" i="9" s="1"/>
  <c r="Z36" i="8" s="1"/>
  <c r="AY180" i="9"/>
  <c r="AY227" i="9"/>
  <c r="Y27" i="8"/>
  <c r="AX226" i="9"/>
  <c r="AX179" i="9"/>
  <c r="AX174" i="9" s="1"/>
  <c r="AX231" i="9"/>
  <c r="AX85" i="9" s="1"/>
  <c r="AX81" i="9" s="1"/>
  <c r="Y41" i="8"/>
  <c r="Y52" i="8"/>
  <c r="AX175" i="9"/>
  <c r="AU34" i="9"/>
  <c r="AU39" i="9"/>
  <c r="AU37" i="9" s="1"/>
  <c r="V13" i="8" s="1"/>
  <c r="V58" i="8"/>
  <c r="AU251" i="9"/>
  <c r="AW187" i="9"/>
  <c r="X56" i="8" s="1"/>
  <c r="AW182" i="9"/>
  <c r="BA210" i="9" a="1"/>
  <c r="BA210" i="9" s="1"/>
  <c r="AZ120" i="9"/>
  <c r="X51" i="8"/>
  <c r="AW173" i="9"/>
  <c r="AW171" i="9" s="1"/>
  <c r="AW103" i="9" s="1"/>
  <c r="AW43" i="9" s="1"/>
  <c r="X40" i="8"/>
  <c r="X39" i="8" s="1"/>
  <c r="X24" i="8" s="1"/>
  <c r="AW177" i="9"/>
  <c r="Y26" i="8"/>
  <c r="AX105" i="9"/>
  <c r="AX104" i="9" s="1"/>
  <c r="AX178" i="9"/>
  <c r="AX147" i="9"/>
  <c r="AX145" i="9" s="1"/>
  <c r="AX144" i="9" s="1"/>
  <c r="Y35" i="8" s="1"/>
  <c r="Y33" i="8" s="1"/>
  <c r="AX230" i="9"/>
  <c r="AX238" i="9"/>
  <c r="AX236" i="9" s="1"/>
  <c r="AX225" i="9"/>
  <c r="AX108" i="9"/>
  <c r="AY114" i="9"/>
  <c r="AY110" i="9"/>
  <c r="Y42" i="8"/>
  <c r="Y53" i="8"/>
  <c r="AX176" i="9"/>
  <c r="X21" i="8"/>
  <c r="X14" i="8" s="1"/>
  <c r="AW47" i="9"/>
  <c r="AZ133" i="9"/>
  <c r="AZ124" i="9" s="1"/>
  <c r="BA215" i="9" a="1"/>
  <c r="BA215" i="9" s="1"/>
  <c r="AV253" i="9"/>
  <c r="W55" i="8"/>
  <c r="W54" i="8" s="1"/>
  <c r="X25" i="8"/>
  <c r="Y19" i="8"/>
  <c r="AX48" i="9"/>
  <c r="W24" i="8"/>
  <c r="AW74" i="9"/>
  <c r="AW70" i="9" s="1"/>
  <c r="AW239" i="9"/>
  <c r="X46" i="8" s="1"/>
  <c r="AV31" i="9"/>
  <c r="AV42" i="9"/>
  <c r="AV36" i="9"/>
  <c r="AZ169" i="9"/>
  <c r="AA44" i="8" s="1"/>
  <c r="BA211" i="9" a="1"/>
  <c r="BA211" i="9" s="1"/>
  <c r="BA212" i="9" a="1"/>
  <c r="BA212" i="9" s="1"/>
  <c r="AZ100" i="9"/>
  <c r="AA22" i="8" s="1"/>
  <c r="AZ142" i="9"/>
  <c r="AZ137" i="9" s="1"/>
  <c r="BA220" i="9" a="1"/>
  <c r="BA220" i="9" s="1"/>
  <c r="W50" i="8"/>
  <c r="AV243" i="9"/>
  <c r="Z29" i="8"/>
  <c r="AY181" i="9"/>
  <c r="AY228" i="9"/>
  <c r="AY233" i="9"/>
  <c r="AY135" i="9"/>
  <c r="AF23" i="8" l="1"/>
  <c r="BS176" i="9"/>
  <c r="AH42" i="8"/>
  <c r="AH53" i="8"/>
  <c r="BR182" i="9"/>
  <c r="BR187" i="9"/>
  <c r="AG56" i="8" s="1"/>
  <c r="BP39" i="9"/>
  <c r="BP37" i="9" s="1"/>
  <c r="AE13" i="8" s="1"/>
  <c r="BP34" i="9"/>
  <c r="BR47" i="9"/>
  <c r="AG21" i="8"/>
  <c r="BO29" i="9"/>
  <c r="BO32" i="9"/>
  <c r="AG25" i="8"/>
  <c r="BV212" i="9" a="1"/>
  <c r="BV212" i="9" s="1"/>
  <c r="BU100" i="9"/>
  <c r="AJ22" i="8" s="1"/>
  <c r="P38" i="91" s="1"/>
  <c r="AF55" i="8"/>
  <c r="AF54" i="8" s="1"/>
  <c r="BQ253" i="9"/>
  <c r="BR74" i="9"/>
  <c r="BR70" i="9" s="1"/>
  <c r="BR239" i="9"/>
  <c r="AG46" i="8" s="1"/>
  <c r="AH52" i="8"/>
  <c r="AH41" i="8"/>
  <c r="BS175" i="9"/>
  <c r="BP251" i="9"/>
  <c r="AE58" i="8"/>
  <c r="BQ243" i="9"/>
  <c r="AF50" i="8"/>
  <c r="BU142" i="9"/>
  <c r="BU137" i="9" s="1"/>
  <c r="BV220" i="9" a="1"/>
  <c r="BV220" i="9" s="1"/>
  <c r="BU133" i="9"/>
  <c r="BU124" i="9" s="1"/>
  <c r="BV215" i="9" a="1"/>
  <c r="BV215" i="9" s="1"/>
  <c r="AI29" i="8"/>
  <c r="BT233" i="9"/>
  <c r="BT228" i="9"/>
  <c r="BT181" i="9"/>
  <c r="BT135" i="9"/>
  <c r="BO35" i="9"/>
  <c r="AD12" i="8" s="1"/>
  <c r="BT232" i="9"/>
  <c r="BT94" i="9" s="1"/>
  <c r="BT90" i="9" s="1"/>
  <c r="BT86" i="9" s="1"/>
  <c r="BT60" i="9" s="1"/>
  <c r="BT227" i="9"/>
  <c r="BT151" i="9"/>
  <c r="BT149" i="9" s="1"/>
  <c r="AI36" i="8" s="1"/>
  <c r="AI28" i="8"/>
  <c r="BT180" i="9"/>
  <c r="BT122" i="9"/>
  <c r="BU169" i="9"/>
  <c r="AJ44" i="8" s="1"/>
  <c r="BV211" i="9" a="1"/>
  <c r="BV211" i="9" s="1"/>
  <c r="BS231" i="9"/>
  <c r="BS85" i="9" s="1"/>
  <c r="BS81" i="9" s="1"/>
  <c r="AH27" i="8"/>
  <c r="BS179" i="9"/>
  <c r="BS174" i="9" s="1"/>
  <c r="BS226" i="9"/>
  <c r="BU120" i="9"/>
  <c r="BV210" i="9" a="1"/>
  <c r="BV210" i="9" s="1"/>
  <c r="AE10" i="8"/>
  <c r="AH26" i="8"/>
  <c r="BS147" i="9"/>
  <c r="BS145" i="9" s="1"/>
  <c r="BS144" i="9" s="1"/>
  <c r="AH35" i="8" s="1"/>
  <c r="AH33" i="8" s="1"/>
  <c r="BS105" i="9"/>
  <c r="BS104" i="9" s="1"/>
  <c r="BS108" i="9"/>
  <c r="BS230" i="9"/>
  <c r="BS225" i="9"/>
  <c r="BS178" i="9"/>
  <c r="BS238" i="9"/>
  <c r="BS236" i="9" s="1"/>
  <c r="BT110" i="9"/>
  <c r="BT114" i="9"/>
  <c r="BR173" i="9"/>
  <c r="BR171" i="9" s="1"/>
  <c r="BR103" i="9" s="1"/>
  <c r="BR43" i="9" s="1"/>
  <c r="AG51" i="8"/>
  <c r="BR177" i="9"/>
  <c r="AG40" i="8"/>
  <c r="AG39" i="8" s="1"/>
  <c r="AG24" i="8" s="1"/>
  <c r="P8" i="91" s="1"/>
  <c r="BQ31" i="9"/>
  <c r="BQ42" i="9"/>
  <c r="BQ36" i="9"/>
  <c r="AH19" i="8"/>
  <c r="BS48" i="9"/>
  <c r="Y25" i="8"/>
  <c r="O9" i="91" s="1"/>
  <c r="AU35" i="9"/>
  <c r="V12" i="8" s="1"/>
  <c r="BA133" i="9"/>
  <c r="BA124" i="9" s="1"/>
  <c r="BB215" i="9" a="1"/>
  <c r="BB215" i="9" s="1"/>
  <c r="BA120" i="9"/>
  <c r="BB210" i="9" a="1"/>
  <c r="BB210" i="9" s="1"/>
  <c r="AZ110" i="9"/>
  <c r="AZ114" i="9"/>
  <c r="Z27" i="8"/>
  <c r="AY231" i="9"/>
  <c r="AY85" i="9" s="1"/>
  <c r="AY81" i="9" s="1"/>
  <c r="AY179" i="9"/>
  <c r="AY174" i="9" s="1"/>
  <c r="AY226" i="9"/>
  <c r="X55" i="8"/>
  <c r="X54" i="8" s="1"/>
  <c r="AW253" i="9"/>
  <c r="Z19" i="8"/>
  <c r="AY48" i="9"/>
  <c r="BA169" i="9"/>
  <c r="AB44" i="8" s="1"/>
  <c r="BB211" i="9" a="1"/>
  <c r="BB211" i="9" s="1"/>
  <c r="AV39" i="9"/>
  <c r="AV37" i="9" s="1"/>
  <c r="W13" i="8" s="1"/>
  <c r="AV34" i="9"/>
  <c r="Z26" i="8"/>
  <c r="AY238" i="9"/>
  <c r="AY236" i="9" s="1"/>
  <c r="AY225" i="9"/>
  <c r="AY230" i="9"/>
  <c r="AY178" i="9"/>
  <c r="AY105" i="9"/>
  <c r="AY104" i="9" s="1"/>
  <c r="AY108" i="9"/>
  <c r="AY147" i="9"/>
  <c r="AY145" i="9" s="1"/>
  <c r="AY144" i="9" s="1"/>
  <c r="Z35" i="8" s="1"/>
  <c r="Z33" i="8" s="1"/>
  <c r="W58" i="8"/>
  <c r="AV251" i="9"/>
  <c r="AW42" i="9"/>
  <c r="AW36" i="9"/>
  <c r="AW31" i="9"/>
  <c r="AW243" i="9"/>
  <c r="X50" i="8"/>
  <c r="Z41" i="8"/>
  <c r="Z52" i="8"/>
  <c r="AY175" i="9"/>
  <c r="AA28" i="8"/>
  <c r="AZ232" i="9"/>
  <c r="AZ94" i="9" s="1"/>
  <c r="AZ90" i="9" s="1"/>
  <c r="AZ86" i="9" s="1"/>
  <c r="AZ60" i="9" s="1"/>
  <c r="AZ227" i="9"/>
  <c r="AZ151" i="9"/>
  <c r="AZ149" i="9" s="1"/>
  <c r="AA36" i="8" s="1"/>
  <c r="AZ180" i="9"/>
  <c r="AZ122" i="9"/>
  <c r="AX173" i="9"/>
  <c r="AX171" i="9" s="1"/>
  <c r="AX103" i="9" s="1"/>
  <c r="AX43" i="9" s="1"/>
  <c r="AX177" i="9"/>
  <c r="Y51" i="8"/>
  <c r="Y40" i="8"/>
  <c r="Y39" i="8" s="1"/>
  <c r="Y24" i="8" s="1"/>
  <c r="O45" i="91"/>
  <c r="Y21" i="8"/>
  <c r="AX47" i="9"/>
  <c r="AX187" i="9"/>
  <c r="Y56" i="8" s="1"/>
  <c r="AX182" i="9"/>
  <c r="AA29" i="8"/>
  <c r="AZ181" i="9"/>
  <c r="AZ233" i="9"/>
  <c r="AZ135" i="9"/>
  <c r="AZ228" i="9"/>
  <c r="Z42" i="8"/>
  <c r="AY176" i="9"/>
  <c r="Z53" i="8"/>
  <c r="BB220" i="9" a="1"/>
  <c r="BB220" i="9" s="1"/>
  <c r="BA142" i="9"/>
  <c r="BA137" i="9" s="1"/>
  <c r="W10" i="8"/>
  <c r="X23" i="8"/>
  <c r="AX74" i="9"/>
  <c r="AX70" i="9" s="1"/>
  <c r="AX239" i="9"/>
  <c r="Y46" i="8" s="1"/>
  <c r="BB212" i="9" a="1"/>
  <c r="BB212" i="9" s="1"/>
  <c r="BA100" i="9"/>
  <c r="AB22" i="8" s="1"/>
  <c r="O38" i="91" s="1"/>
  <c r="AU29" i="9"/>
  <c r="AU32" i="9"/>
  <c r="Z25" i="8" l="1"/>
  <c r="BP35" i="9"/>
  <c r="AE12" i="8" s="1"/>
  <c r="AH25" i="8"/>
  <c r="BT179" i="9"/>
  <c r="BT174" i="9" s="1"/>
  <c r="AI27" i="8"/>
  <c r="BT231" i="9"/>
  <c r="BT85" i="9" s="1"/>
  <c r="BT81" i="9" s="1"/>
  <c r="BT226" i="9"/>
  <c r="BT108" i="9"/>
  <c r="BT147" i="9"/>
  <c r="BT145" i="9" s="1"/>
  <c r="BT144" i="9" s="1"/>
  <c r="AI35" i="8" s="1"/>
  <c r="AI33" i="8" s="1"/>
  <c r="BT105" i="9"/>
  <c r="BT104" i="9" s="1"/>
  <c r="BT238" i="9"/>
  <c r="BT236" i="9" s="1"/>
  <c r="AI26" i="8"/>
  <c r="BT230" i="9"/>
  <c r="BT178" i="9"/>
  <c r="BT225" i="9"/>
  <c r="BW215" i="9" a="1"/>
  <c r="BW215" i="9" s="1"/>
  <c r="BV133" i="9"/>
  <c r="BV124" i="9" s="1"/>
  <c r="BV100" i="9"/>
  <c r="BW212" i="9" a="1"/>
  <c r="BW212" i="9" s="1"/>
  <c r="AF10" i="8"/>
  <c r="AI19" i="8"/>
  <c r="BT48" i="9"/>
  <c r="BU227" i="9"/>
  <c r="AJ28" i="8"/>
  <c r="BU151" i="9"/>
  <c r="BU149" i="9" s="1"/>
  <c r="AJ36" i="8" s="1"/>
  <c r="BU232" i="9"/>
  <c r="BU94" i="9" s="1"/>
  <c r="BU90" i="9" s="1"/>
  <c r="BU86" i="9" s="1"/>
  <c r="BU60" i="9" s="1"/>
  <c r="BU180" i="9"/>
  <c r="BU122" i="9"/>
  <c r="P45" i="91"/>
  <c r="P9" i="91"/>
  <c r="AG23" i="8"/>
  <c r="BR253" i="9"/>
  <c r="AG55" i="8"/>
  <c r="AG54" i="8" s="1"/>
  <c r="BV169" i="9"/>
  <c r="BW211" i="9" a="1"/>
  <c r="BW211" i="9" s="1"/>
  <c r="BV142" i="9"/>
  <c r="BV137" i="9" s="1"/>
  <c r="BW220" i="9" a="1"/>
  <c r="BW220" i="9" s="1"/>
  <c r="AD11" i="8"/>
  <c r="AD9" i="8" s="1"/>
  <c r="BO30" i="9"/>
  <c r="BO28" i="9" s="1"/>
  <c r="BS173" i="9"/>
  <c r="BS171" i="9" s="1"/>
  <c r="BS103" i="9" s="1"/>
  <c r="BS43" i="9" s="1"/>
  <c r="AH40" i="8"/>
  <c r="AH39" i="8" s="1"/>
  <c r="AH24" i="8" s="1"/>
  <c r="BS177" i="9"/>
  <c r="AH51" i="8"/>
  <c r="AH21" i="8"/>
  <c r="AH14" i="8" s="1"/>
  <c r="BS47" i="9"/>
  <c r="BS187" i="9"/>
  <c r="AH56" i="8" s="1"/>
  <c r="BS182" i="9"/>
  <c r="BU135" i="9"/>
  <c r="BU228" i="9"/>
  <c r="BU233" i="9"/>
  <c r="BU181" i="9"/>
  <c r="AJ29" i="8"/>
  <c r="BP29" i="9"/>
  <c r="BP32" i="9"/>
  <c r="BR243" i="9"/>
  <c r="AG50" i="8"/>
  <c r="BS74" i="9"/>
  <c r="BS70" i="9" s="1"/>
  <c r="BS239" i="9"/>
  <c r="AH46" i="8" s="1"/>
  <c r="BW210" i="9" a="1"/>
  <c r="BW210" i="9" s="1"/>
  <c r="BV120" i="9"/>
  <c r="AI53" i="8"/>
  <c r="AI42" i="8"/>
  <c r="BT176" i="9"/>
  <c r="AG14" i="8"/>
  <c r="P39" i="91"/>
  <c r="BU110" i="9"/>
  <c r="BU114" i="9"/>
  <c r="BT175" i="9"/>
  <c r="AI52" i="8"/>
  <c r="AI41" i="8"/>
  <c r="BQ251" i="9"/>
  <c r="AF58" i="8"/>
  <c r="BQ34" i="9"/>
  <c r="BQ39" i="9"/>
  <c r="BQ37" i="9" s="1"/>
  <c r="AF13" i="8" s="1"/>
  <c r="BR36" i="9"/>
  <c r="BR31" i="9"/>
  <c r="BR42" i="9"/>
  <c r="AV35" i="9"/>
  <c r="W12" i="8" s="1"/>
  <c r="BC211" i="9" a="1"/>
  <c r="BC211" i="9" s="1"/>
  <c r="BB169" i="9"/>
  <c r="Y50" i="8"/>
  <c r="AX243" i="9"/>
  <c r="AY74" i="9"/>
  <c r="AY70" i="9" s="1"/>
  <c r="AY239" i="9"/>
  <c r="Z46" i="8" s="1"/>
  <c r="O50" i="91"/>
  <c r="AY173" i="9"/>
  <c r="AY171" i="9" s="1"/>
  <c r="AY103" i="9" s="1"/>
  <c r="AY43" i="9" s="1"/>
  <c r="Z40" i="8"/>
  <c r="Z39" i="8" s="1"/>
  <c r="Z24" i="8" s="1"/>
  <c r="Z51" i="8"/>
  <c r="AY177" i="9"/>
  <c r="AY187" i="9"/>
  <c r="Z56" i="8" s="1"/>
  <c r="AY182" i="9"/>
  <c r="Z21" i="8"/>
  <c r="Z14" i="8" s="1"/>
  <c r="AY47" i="9"/>
  <c r="AA27" i="8"/>
  <c r="AZ179" i="9"/>
  <c r="AZ174" i="9" s="1"/>
  <c r="AZ231" i="9"/>
  <c r="AZ85" i="9" s="1"/>
  <c r="AZ81" i="9" s="1"/>
  <c r="AZ226" i="9"/>
  <c r="V11" i="8"/>
  <c r="V9" i="8" s="1"/>
  <c r="AU30" i="9"/>
  <c r="AU28" i="9" s="1"/>
  <c r="AX36" i="9"/>
  <c r="AX42" i="9"/>
  <c r="AX31" i="9"/>
  <c r="AA26" i="8"/>
  <c r="AZ147" i="9"/>
  <c r="AZ145" i="9" s="1"/>
  <c r="AZ144" i="9" s="1"/>
  <c r="AA35" i="8" s="1"/>
  <c r="AA33" i="8" s="1"/>
  <c r="AZ238" i="9"/>
  <c r="AZ236" i="9" s="1"/>
  <c r="AZ178" i="9"/>
  <c r="AZ108" i="9"/>
  <c r="AZ105" i="9"/>
  <c r="AZ104" i="9" s="1"/>
  <c r="AZ225" i="9"/>
  <c r="AZ230" i="9"/>
  <c r="AW39" i="9"/>
  <c r="AW37" i="9" s="1"/>
  <c r="X13" i="8" s="1"/>
  <c r="AW34" i="9"/>
  <c r="BB120" i="9"/>
  <c r="BC210" i="9" a="1"/>
  <c r="BC210" i="9" s="1"/>
  <c r="AX253" i="9"/>
  <c r="Y55" i="8"/>
  <c r="Y54" i="8" s="1"/>
  <c r="Y14" i="8"/>
  <c r="O39" i="91"/>
  <c r="AA41" i="8"/>
  <c r="AZ175" i="9"/>
  <c r="AA52" i="8"/>
  <c r="AB29" i="8"/>
  <c r="BA233" i="9"/>
  <c r="BA181" i="9"/>
  <c r="BA228" i="9"/>
  <c r="BA135" i="9"/>
  <c r="X58" i="8"/>
  <c r="AW251" i="9"/>
  <c r="BA114" i="9"/>
  <c r="BA110" i="9"/>
  <c r="BB142" i="9"/>
  <c r="BB137" i="9" s="1"/>
  <c r="BC220" i="9" a="1"/>
  <c r="BC220" i="9" s="1"/>
  <c r="AA42" i="8"/>
  <c r="AA53" i="8"/>
  <c r="AZ176" i="9"/>
  <c r="AV29" i="9"/>
  <c r="AV32" i="9"/>
  <c r="BC215" i="9" a="1"/>
  <c r="BC215" i="9" s="1"/>
  <c r="BB133" i="9"/>
  <c r="BB124" i="9" s="1"/>
  <c r="BB100" i="9"/>
  <c r="BC212" i="9" a="1"/>
  <c r="BC212" i="9" s="1"/>
  <c r="Y23" i="8"/>
  <c r="O48" i="91"/>
  <c r="AA19" i="8"/>
  <c r="AZ48" i="9"/>
  <c r="X10" i="8"/>
  <c r="AB28" i="8"/>
  <c r="BA122" i="9"/>
  <c r="BA232" i="9"/>
  <c r="BA94" i="9" s="1"/>
  <c r="BA90" i="9" s="1"/>
  <c r="BA86" i="9" s="1"/>
  <c r="BA60" i="9" s="1"/>
  <c r="BA151" i="9"/>
  <c r="BA149" i="9" s="1"/>
  <c r="AB36" i="8" s="1"/>
  <c r="BA227" i="9"/>
  <c r="BA180" i="9"/>
  <c r="AH55" i="8" l="1"/>
  <c r="AH54" i="8" s="1"/>
  <c r="BS253" i="9"/>
  <c r="AG10" i="8"/>
  <c r="BV114" i="9"/>
  <c r="BV110" i="9"/>
  <c r="AD8" i="8"/>
  <c r="AD48" i="8"/>
  <c r="D10" i="91" s="1"/>
  <c r="BX215" i="9" a="1"/>
  <c r="BX215" i="9" s="1"/>
  <c r="BW133" i="9"/>
  <c r="BW124" i="9" s="1"/>
  <c r="BV227" i="9"/>
  <c r="BV122" i="9"/>
  <c r="BV180" i="9"/>
  <c r="BV175" i="9" s="1"/>
  <c r="BV232" i="9"/>
  <c r="BV94" i="9" s="1"/>
  <c r="BV90" i="9" s="1"/>
  <c r="BV86" i="9" s="1"/>
  <c r="BV60" i="9" s="1"/>
  <c r="BV48" i="9" s="1"/>
  <c r="BV47" i="9" s="1"/>
  <c r="BV151" i="9"/>
  <c r="BV149" i="9" s="1"/>
  <c r="BU179" i="9"/>
  <c r="BU174" i="9" s="1"/>
  <c r="AJ27" i="8"/>
  <c r="BU226" i="9"/>
  <c r="BU231" i="9"/>
  <c r="BU85" i="9" s="1"/>
  <c r="BU81" i="9" s="1"/>
  <c r="BW120" i="9"/>
  <c r="BX210" i="9" a="1"/>
  <c r="BX210" i="9" s="1"/>
  <c r="BS36" i="9"/>
  <c r="BS31" i="9"/>
  <c r="BS42" i="9"/>
  <c r="BW142" i="9"/>
  <c r="BW137" i="9" s="1"/>
  <c r="BX220" i="9" a="1"/>
  <c r="BX220" i="9" s="1"/>
  <c r="AI21" i="8"/>
  <c r="AI14" i="8" s="1"/>
  <c r="BT47" i="9"/>
  <c r="AH23" i="8"/>
  <c r="BU230" i="9"/>
  <c r="BU178" i="9"/>
  <c r="AJ26" i="8"/>
  <c r="BU108" i="9"/>
  <c r="BU147" i="9"/>
  <c r="BU145" i="9" s="1"/>
  <c r="BU144" i="9" s="1"/>
  <c r="AJ35" i="8" s="1"/>
  <c r="AJ33" i="8" s="1"/>
  <c r="BU238" i="9"/>
  <c r="BU236" i="9" s="1"/>
  <c r="BU105" i="9"/>
  <c r="BU104" i="9" s="1"/>
  <c r="BU225" i="9"/>
  <c r="AJ53" i="8"/>
  <c r="BU176" i="9"/>
  <c r="AJ42" i="8"/>
  <c r="BV233" i="9"/>
  <c r="BV135" i="9"/>
  <c r="BV181" i="9"/>
  <c r="BV176" i="9" s="1"/>
  <c r="BV228" i="9"/>
  <c r="BT182" i="9"/>
  <c r="BT187" i="9"/>
  <c r="AI56" i="8" s="1"/>
  <c r="BQ29" i="9"/>
  <c r="BQ32" i="9"/>
  <c r="BW169" i="9"/>
  <c r="BX211" i="9" a="1"/>
  <c r="BX211" i="9" s="1"/>
  <c r="BT173" i="9"/>
  <c r="BT171" i="9" s="1"/>
  <c r="BT103" i="9" s="1"/>
  <c r="BT43" i="9" s="1"/>
  <c r="BT177" i="9"/>
  <c r="AI40" i="8"/>
  <c r="AI39" i="8" s="1"/>
  <c r="AI24" i="8" s="1"/>
  <c r="AI51" i="8"/>
  <c r="BR34" i="9"/>
  <c r="BR39" i="9"/>
  <c r="BR37" i="9" s="1"/>
  <c r="AG13" i="8" s="1"/>
  <c r="BS243" i="9"/>
  <c r="AH50" i="8"/>
  <c r="AJ52" i="8"/>
  <c r="AJ41" i="8"/>
  <c r="BU175" i="9"/>
  <c r="BT74" i="9"/>
  <c r="BT70" i="9" s="1"/>
  <c r="BT239" i="9"/>
  <c r="AI46" i="8" s="1"/>
  <c r="AE11" i="8"/>
  <c r="AE9" i="8" s="1"/>
  <c r="BP30" i="9"/>
  <c r="BP28" i="9" s="1"/>
  <c r="AJ19" i="8"/>
  <c r="BU48" i="9"/>
  <c r="BW100" i="9"/>
  <c r="BX212" i="9" a="1"/>
  <c r="BX212" i="9" s="1"/>
  <c r="AI25" i="8"/>
  <c r="Z23" i="8"/>
  <c r="AG58" i="8"/>
  <c r="BR251" i="9"/>
  <c r="BQ35" i="9"/>
  <c r="AF12" i="8" s="1"/>
  <c r="BD212" i="9" a="1"/>
  <c r="BD212" i="9" s="1"/>
  <c r="BC100" i="9"/>
  <c r="BB151" i="9"/>
  <c r="BB149" i="9" s="1"/>
  <c r="BB232" i="9"/>
  <c r="BB94" i="9" s="1"/>
  <c r="BB90" i="9" s="1"/>
  <c r="BB86" i="9" s="1"/>
  <c r="BB60" i="9" s="1"/>
  <c r="BB48" i="9" s="1"/>
  <c r="BB47" i="9" s="1"/>
  <c r="BB227" i="9"/>
  <c r="BB180" i="9"/>
  <c r="BB175" i="9" s="1"/>
  <c r="BB122" i="9"/>
  <c r="AA25" i="8"/>
  <c r="V8" i="8"/>
  <c r="V48" i="8"/>
  <c r="D9" i="91" s="1"/>
  <c r="Z55" i="8"/>
  <c r="Z54" i="8" s="1"/>
  <c r="AY253" i="9"/>
  <c r="AW29" i="9"/>
  <c r="AW32" i="9"/>
  <c r="AY36" i="9"/>
  <c r="AY42" i="9"/>
  <c r="AY31" i="9"/>
  <c r="BB228" i="9"/>
  <c r="BB181" i="9"/>
  <c r="BB176" i="9" s="1"/>
  <c r="BB233" i="9"/>
  <c r="BB135" i="9"/>
  <c r="AB42" i="8"/>
  <c r="AB53" i="8"/>
  <c r="BA176" i="9"/>
  <c r="AZ74" i="9"/>
  <c r="AZ70" i="9" s="1"/>
  <c r="AZ239" i="9"/>
  <c r="AA46" i="8" s="1"/>
  <c r="AW35" i="9"/>
  <c r="X12" i="8" s="1"/>
  <c r="BC142" i="9"/>
  <c r="BC137" i="9" s="1"/>
  <c r="BD220" i="9" a="1"/>
  <c r="BD220" i="9" s="1"/>
  <c r="AA21" i="8"/>
  <c r="AA14" i="8" s="1"/>
  <c r="AZ47" i="9"/>
  <c r="AB26" i="8"/>
  <c r="BA230" i="9"/>
  <c r="BA108" i="9"/>
  <c r="BA225" i="9"/>
  <c r="BA178" i="9"/>
  <c r="BA238" i="9"/>
  <c r="BA236" i="9" s="1"/>
  <c r="BA147" i="9"/>
  <c r="BA145" i="9" s="1"/>
  <c r="BA144" i="9" s="1"/>
  <c r="AB35" i="8" s="1"/>
  <c r="AB33" i="8" s="1"/>
  <c r="BA105" i="9"/>
  <c r="BA104" i="9" s="1"/>
  <c r="AZ182" i="9"/>
  <c r="AZ187" i="9"/>
  <c r="AA56" i="8" s="1"/>
  <c r="AY243" i="9"/>
  <c r="Z50" i="8"/>
  <c r="Y58" i="8"/>
  <c r="AX251" i="9"/>
  <c r="BD215" i="9" a="1"/>
  <c r="BD215" i="9" s="1"/>
  <c r="BC133" i="9"/>
  <c r="BC124" i="9" s="1"/>
  <c r="AB41" i="8"/>
  <c r="BA175" i="9"/>
  <c r="AB52" i="8"/>
  <c r="W11" i="8"/>
  <c r="W9" i="8" s="1"/>
  <c r="AV30" i="9"/>
  <c r="AV28" i="9" s="1"/>
  <c r="AB27" i="8"/>
  <c r="BA231" i="9"/>
  <c r="BA85" i="9" s="1"/>
  <c r="BA81" i="9" s="1"/>
  <c r="BA226" i="9"/>
  <c r="BA179" i="9"/>
  <c r="BA174" i="9" s="1"/>
  <c r="AX34" i="9"/>
  <c r="AX39" i="9"/>
  <c r="AX37" i="9" s="1"/>
  <c r="Y13" i="8" s="1"/>
  <c r="BC120" i="9"/>
  <c r="BD210" i="9" a="1"/>
  <c r="BD210" i="9" s="1"/>
  <c r="Y10" i="8"/>
  <c r="AB19" i="8"/>
  <c r="BA48" i="9"/>
  <c r="BB110" i="9"/>
  <c r="BB114" i="9"/>
  <c r="AZ177" i="9"/>
  <c r="AA51" i="8"/>
  <c r="AA40" i="8"/>
  <c r="AA39" i="8" s="1"/>
  <c r="AA24" i="8" s="1"/>
  <c r="AZ173" i="9"/>
  <c r="AZ171" i="9" s="1"/>
  <c r="AZ103" i="9" s="1"/>
  <c r="AZ43" i="9" s="1"/>
  <c r="BC169" i="9"/>
  <c r="BD211" i="9" a="1"/>
  <c r="BD211" i="9" s="1"/>
  <c r="AJ25" i="8" l="1"/>
  <c r="BR35" i="9"/>
  <c r="AG12" i="8" s="1"/>
  <c r="AI23" i="8"/>
  <c r="BY211" i="9" a="1"/>
  <c r="BY211" i="9" s="1"/>
  <c r="BX169" i="9"/>
  <c r="BT31" i="9"/>
  <c r="BT36" i="9"/>
  <c r="BT42" i="9"/>
  <c r="AH58" i="8"/>
  <c r="BS251" i="9"/>
  <c r="AE8" i="8"/>
  <c r="AE48" i="8"/>
  <c r="E10" i="91" s="1"/>
  <c r="BX120" i="9"/>
  <c r="BY210" i="9" a="1"/>
  <c r="BY210" i="9" s="1"/>
  <c r="BV36" i="9"/>
  <c r="BV31" i="9"/>
  <c r="BV42" i="9"/>
  <c r="BV230" i="9"/>
  <c r="BV238" i="9"/>
  <c r="BV236" i="9" s="1"/>
  <c r="BV225" i="9"/>
  <c r="BV108" i="9"/>
  <c r="BV105" i="9"/>
  <c r="BV104" i="9" s="1"/>
  <c r="BV178" i="9"/>
  <c r="BV147" i="9"/>
  <c r="BV145" i="9" s="1"/>
  <c r="BV144" i="9" s="1"/>
  <c r="BR29" i="9"/>
  <c r="BR32" i="9"/>
  <c r="BY220" i="9" a="1"/>
  <c r="BY220" i="9" s="1"/>
  <c r="BX142" i="9"/>
  <c r="BX137" i="9" s="1"/>
  <c r="BW110" i="9"/>
  <c r="BW114" i="9"/>
  <c r="BV231" i="9"/>
  <c r="BV85" i="9" s="1"/>
  <c r="BV81" i="9" s="1"/>
  <c r="BV179" i="9"/>
  <c r="BV174" i="9" s="1"/>
  <c r="BV226" i="9"/>
  <c r="BU182" i="9"/>
  <c r="BU187" i="9"/>
  <c r="AJ56" i="8" s="1"/>
  <c r="AF11" i="8"/>
  <c r="AF9" i="8" s="1"/>
  <c r="BQ30" i="9"/>
  <c r="BQ28" i="9" s="1"/>
  <c r="BW181" i="9"/>
  <c r="BW176" i="9" s="1"/>
  <c r="BW233" i="9"/>
  <c r="BW228" i="9"/>
  <c r="BW135" i="9"/>
  <c r="BY212" i="9" a="1"/>
  <c r="BY212" i="9" s="1"/>
  <c r="BX100" i="9"/>
  <c r="P37" i="91"/>
  <c r="P40" i="91" s="1"/>
  <c r="AI50" i="8"/>
  <c r="BT243" i="9"/>
  <c r="BU177" i="9"/>
  <c r="BU173" i="9"/>
  <c r="BU171" i="9" s="1"/>
  <c r="BU103" i="9" s="1"/>
  <c r="BU43" i="9" s="1"/>
  <c r="AJ51" i="8"/>
  <c r="AJ40" i="8"/>
  <c r="AJ39" i="8" s="1"/>
  <c r="P48" i="91" s="1"/>
  <c r="P51" i="91" s="1"/>
  <c r="BW151" i="9"/>
  <c r="BW149" i="9" s="1"/>
  <c r="BW180" i="9"/>
  <c r="BW175" i="9" s="1"/>
  <c r="BW227" i="9"/>
  <c r="BW232" i="9"/>
  <c r="BW94" i="9" s="1"/>
  <c r="BW90" i="9" s="1"/>
  <c r="BW86" i="9" s="1"/>
  <c r="BW60" i="9" s="1"/>
  <c r="BW48" i="9" s="1"/>
  <c r="BW47" i="9" s="1"/>
  <c r="BW122" i="9"/>
  <c r="BS39" i="9"/>
  <c r="BS37" i="9" s="1"/>
  <c r="AH13" i="8" s="1"/>
  <c r="BS34" i="9"/>
  <c r="BU47" i="9"/>
  <c r="AJ21" i="8"/>
  <c r="AJ14" i="8" s="1"/>
  <c r="AI55" i="8"/>
  <c r="AI54" i="8" s="1"/>
  <c r="BT253" i="9"/>
  <c r="BU74" i="9"/>
  <c r="BU70" i="9" s="1"/>
  <c r="BU239" i="9"/>
  <c r="AJ46" i="8" s="1"/>
  <c r="AH10" i="8"/>
  <c r="BX133" i="9"/>
  <c r="BX124" i="9" s="1"/>
  <c r="BY215" i="9" a="1"/>
  <c r="BY215" i="9" s="1"/>
  <c r="AA50" i="8"/>
  <c r="AZ243" i="9"/>
  <c r="W8" i="8"/>
  <c r="W48" i="8"/>
  <c r="E9" i="91" s="1"/>
  <c r="BA187" i="9"/>
  <c r="AB56" i="8" s="1"/>
  <c r="BA182" i="9"/>
  <c r="X11" i="8"/>
  <c r="X9" i="8" s="1"/>
  <c r="AW30" i="9"/>
  <c r="AW28" i="9" s="1"/>
  <c r="BB179" i="9"/>
  <c r="BB174" i="9" s="1"/>
  <c r="BB231" i="9"/>
  <c r="BB85" i="9" s="1"/>
  <c r="BB81" i="9" s="1"/>
  <c r="BB226" i="9"/>
  <c r="Z58" i="8"/>
  <c r="AY251" i="9"/>
  <c r="BC114" i="9"/>
  <c r="BC110" i="9"/>
  <c r="AX29" i="9"/>
  <c r="AX32" i="9"/>
  <c r="BA239" i="9"/>
  <c r="AB46" i="8" s="1"/>
  <c r="BA74" i="9"/>
  <c r="BA70" i="9" s="1"/>
  <c r="AY39" i="9"/>
  <c r="AY37" i="9" s="1"/>
  <c r="Z13" i="8" s="1"/>
  <c r="AY34" i="9"/>
  <c r="BB31" i="9"/>
  <c r="BB42" i="9"/>
  <c r="BB36" i="9"/>
  <c r="BD169" i="9"/>
  <c r="BE211" i="9" a="1"/>
  <c r="BE211" i="9" s="1"/>
  <c r="AB21" i="8"/>
  <c r="AB14" i="8" s="1"/>
  <c r="BA47" i="9"/>
  <c r="AA55" i="8"/>
  <c r="AA54" i="8" s="1"/>
  <c r="AZ253" i="9"/>
  <c r="AB25" i="8"/>
  <c r="Z10" i="8"/>
  <c r="BB230" i="9"/>
  <c r="BB238" i="9"/>
  <c r="BB236" i="9" s="1"/>
  <c r="BB105" i="9"/>
  <c r="BB104" i="9" s="1"/>
  <c r="BB225" i="9"/>
  <c r="BB108" i="9"/>
  <c r="BB178" i="9"/>
  <c r="BB147" i="9"/>
  <c r="BB145" i="9" s="1"/>
  <c r="BB144" i="9" s="1"/>
  <c r="O37" i="91"/>
  <c r="O40" i="91" s="1"/>
  <c r="BC151" i="9"/>
  <c r="BC149" i="9" s="1"/>
  <c r="BC180" i="9"/>
  <c r="BC175" i="9" s="1"/>
  <c r="BC232" i="9"/>
  <c r="BC94" i="9" s="1"/>
  <c r="BC90" i="9" s="1"/>
  <c r="BC86" i="9" s="1"/>
  <c r="BC60" i="9" s="1"/>
  <c r="BC48" i="9" s="1"/>
  <c r="BC47" i="9" s="1"/>
  <c r="BC122" i="9"/>
  <c r="BC227" i="9"/>
  <c r="AZ42" i="9"/>
  <c r="AZ31" i="9"/>
  <c r="AZ36" i="9"/>
  <c r="AX35" i="9"/>
  <c r="Y12" i="8" s="1"/>
  <c r="BD133" i="9"/>
  <c r="BD124" i="9" s="1"/>
  <c r="BE215" i="9" a="1"/>
  <c r="BE215" i="9" s="1"/>
  <c r="O47" i="91"/>
  <c r="O51" i="91" s="1"/>
  <c r="BD142" i="9"/>
  <c r="BD137" i="9" s="1"/>
  <c r="BE220" i="9" a="1"/>
  <c r="BE220" i="9" s="1"/>
  <c r="AA23" i="8"/>
  <c r="BD120" i="9"/>
  <c r="BE210" i="9" a="1"/>
  <c r="BE210" i="9" s="1"/>
  <c r="BA173" i="9"/>
  <c r="BA171" i="9" s="1"/>
  <c r="BA103" i="9" s="1"/>
  <c r="BA43" i="9" s="1"/>
  <c r="AB40" i="8"/>
  <c r="AB39" i="8" s="1"/>
  <c r="AB24" i="8" s="1"/>
  <c r="O8" i="91" s="1"/>
  <c r="AB51" i="8"/>
  <c r="BA177" i="9"/>
  <c r="BC233" i="9"/>
  <c r="BC228" i="9"/>
  <c r="BC135" i="9"/>
  <c r="BC181" i="9"/>
  <c r="BC176" i="9" s="1"/>
  <c r="BD100" i="9"/>
  <c r="BE212" i="9" a="1"/>
  <c r="BE212" i="9" s="1"/>
  <c r="BS35" i="9" l="1"/>
  <c r="AH12" i="8" s="1"/>
  <c r="BS29" i="9"/>
  <c r="BS32" i="9"/>
  <c r="AJ23" i="8"/>
  <c r="AF48" i="8"/>
  <c r="F10" i="91" s="1"/>
  <c r="AF8" i="8"/>
  <c r="BX233" i="9"/>
  <c r="BX181" i="9"/>
  <c r="BX176" i="9" s="1"/>
  <c r="BX228" i="9"/>
  <c r="BX135" i="9"/>
  <c r="BZ220" i="9" a="1"/>
  <c r="BZ220" i="9" s="1"/>
  <c r="BZ142" i="9" s="1"/>
  <c r="BZ137" i="9" s="1"/>
  <c r="BY142" i="9"/>
  <c r="BY137" i="9" s="1"/>
  <c r="BV187" i="9"/>
  <c r="BV182" i="9"/>
  <c r="BY120" i="9"/>
  <c r="BZ210" i="9" a="1"/>
  <c r="BZ210" i="9" s="1"/>
  <c r="BZ120" i="9" s="1"/>
  <c r="BW225" i="9"/>
  <c r="BW147" i="9"/>
  <c r="BW145" i="9" s="1"/>
  <c r="BW144" i="9" s="1"/>
  <c r="BW238" i="9"/>
  <c r="BW236" i="9" s="1"/>
  <c r="BW108" i="9"/>
  <c r="BW105" i="9"/>
  <c r="BW104" i="9" s="1"/>
  <c r="BW178" i="9"/>
  <c r="BW230" i="9"/>
  <c r="AJ50" i="8"/>
  <c r="BU243" i="9"/>
  <c r="BY100" i="9"/>
  <c r="BZ212" i="9" a="1"/>
  <c r="BZ212" i="9" s="1"/>
  <c r="BZ100" i="9" s="1"/>
  <c r="AJ55" i="8"/>
  <c r="AJ54" i="8" s="1"/>
  <c r="BU253" i="9"/>
  <c r="AJ24" i="8"/>
  <c r="BX110" i="9"/>
  <c r="BX114" i="9"/>
  <c r="BU36" i="9"/>
  <c r="BU31" i="9"/>
  <c r="BU42" i="9"/>
  <c r="BW31" i="9"/>
  <c r="BW42" i="9"/>
  <c r="BW36" i="9"/>
  <c r="AI58" i="8"/>
  <c r="BT251" i="9"/>
  <c r="AG11" i="8"/>
  <c r="AG9" i="8" s="1"/>
  <c r="BR30" i="9"/>
  <c r="BR28" i="9" s="1"/>
  <c r="BV74" i="9"/>
  <c r="BV70" i="9" s="1"/>
  <c r="BV239" i="9"/>
  <c r="AI10" i="8"/>
  <c r="BX151" i="9"/>
  <c r="BX149" i="9" s="1"/>
  <c r="BX122" i="9"/>
  <c r="BX232" i="9"/>
  <c r="BX94" i="9" s="1"/>
  <c r="BX90" i="9" s="1"/>
  <c r="BX86" i="9" s="1"/>
  <c r="BX60" i="9" s="1"/>
  <c r="BX48" i="9" s="1"/>
  <c r="BX47" i="9" s="1"/>
  <c r="BX227" i="9"/>
  <c r="BX180" i="9"/>
  <c r="BX175" i="9" s="1"/>
  <c r="BT39" i="9"/>
  <c r="BT37" i="9" s="1"/>
  <c r="AI13" i="8" s="1"/>
  <c r="BT34" i="9"/>
  <c r="BY133" i="9"/>
  <c r="BY124" i="9" s="1"/>
  <c r="BZ215" i="9" a="1"/>
  <c r="BZ215" i="9" s="1"/>
  <c r="BZ133" i="9" s="1"/>
  <c r="BZ124" i="9" s="1"/>
  <c r="BW231" i="9"/>
  <c r="BW85" i="9" s="1"/>
  <c r="BW81" i="9" s="1"/>
  <c r="BW179" i="9"/>
  <c r="BW174" i="9" s="1"/>
  <c r="BW226" i="9"/>
  <c r="BV173" i="9"/>
  <c r="BV171" i="9" s="1"/>
  <c r="BV103" i="9" s="1"/>
  <c r="BV43" i="9" s="1"/>
  <c r="BV177" i="9"/>
  <c r="BV243" i="9" s="1"/>
  <c r="BV251" i="9" s="1"/>
  <c r="BY169" i="9"/>
  <c r="BZ211" i="9" a="1"/>
  <c r="BZ211" i="9" s="1"/>
  <c r="BZ169" i="9" s="1"/>
  <c r="AY35" i="9"/>
  <c r="Z12" i="8" s="1"/>
  <c r="BD232" i="9"/>
  <c r="BD94" i="9" s="1"/>
  <c r="BD90" i="9" s="1"/>
  <c r="BD86" i="9" s="1"/>
  <c r="BD60" i="9" s="1"/>
  <c r="BD48" i="9" s="1"/>
  <c r="BD47" i="9" s="1"/>
  <c r="BD151" i="9"/>
  <c r="BD149" i="9" s="1"/>
  <c r="BD122" i="9"/>
  <c r="BD227" i="9"/>
  <c r="BD180" i="9"/>
  <c r="BD175" i="9" s="1"/>
  <c r="AZ39" i="9"/>
  <c r="AZ37" i="9" s="1"/>
  <c r="AA13" i="8" s="1"/>
  <c r="AZ34" i="9"/>
  <c r="BC42" i="9"/>
  <c r="BC36" i="9"/>
  <c r="BC31" i="9"/>
  <c r="BB187" i="9"/>
  <c r="BB182" i="9"/>
  <c r="BC230" i="9"/>
  <c r="BC238" i="9"/>
  <c r="BC236" i="9" s="1"/>
  <c r="BC147" i="9"/>
  <c r="BC145" i="9" s="1"/>
  <c r="BC144" i="9" s="1"/>
  <c r="BC105" i="9"/>
  <c r="BC104" i="9" s="1"/>
  <c r="BC178" i="9"/>
  <c r="BC108" i="9"/>
  <c r="BC225" i="9"/>
  <c r="X48" i="8"/>
  <c r="F9" i="91" s="1"/>
  <c r="X8" i="8"/>
  <c r="BD114" i="9"/>
  <c r="BD110" i="9"/>
  <c r="BA31" i="9"/>
  <c r="BA42" i="9"/>
  <c r="BA36" i="9"/>
  <c r="BC179" i="9"/>
  <c r="BC174" i="9" s="1"/>
  <c r="BC231" i="9"/>
  <c r="BC85" i="9" s="1"/>
  <c r="BC81" i="9" s="1"/>
  <c r="BC226" i="9"/>
  <c r="AB55" i="8"/>
  <c r="AB54" i="8" s="1"/>
  <c r="BA253" i="9"/>
  <c r="BE142" i="9"/>
  <c r="BE137" i="9" s="1"/>
  <c r="BF220" i="9" a="1"/>
  <c r="BF220" i="9" s="1"/>
  <c r="BF142" i="9" s="1"/>
  <c r="BF137" i="9" s="1"/>
  <c r="BA243" i="9"/>
  <c r="AB50" i="8"/>
  <c r="BD135" i="9"/>
  <c r="BD228" i="9"/>
  <c r="BD181" i="9"/>
  <c r="BD176" i="9" s="1"/>
  <c r="BD233" i="9"/>
  <c r="AA10" i="8"/>
  <c r="AY29" i="9"/>
  <c r="AY32" i="9"/>
  <c r="BE169" i="9"/>
  <c r="BF211" i="9" a="1"/>
  <c r="BF211" i="9" s="1"/>
  <c r="BF169" i="9" s="1"/>
  <c r="BE100" i="9"/>
  <c r="BF212" i="9" a="1"/>
  <c r="BF212" i="9" s="1"/>
  <c r="BF100" i="9" s="1"/>
  <c r="BB74" i="9"/>
  <c r="BB70" i="9" s="1"/>
  <c r="BB239" i="9"/>
  <c r="AA58" i="8"/>
  <c r="AZ251" i="9"/>
  <c r="BE120" i="9"/>
  <c r="BF210" i="9" a="1"/>
  <c r="BF210" i="9" s="1"/>
  <c r="BF120" i="9" s="1"/>
  <c r="BE133" i="9"/>
  <c r="BE124" i="9" s="1"/>
  <c r="BF215" i="9" a="1"/>
  <c r="BF215" i="9" s="1"/>
  <c r="BF133" i="9" s="1"/>
  <c r="BF124" i="9" s="1"/>
  <c r="BB177" i="9"/>
  <c r="BB243" i="9" s="1"/>
  <c r="BB251" i="9" s="1"/>
  <c r="BB173" i="9"/>
  <c r="BB171" i="9" s="1"/>
  <c r="BB103" i="9" s="1"/>
  <c r="BB43" i="9" s="1"/>
  <c r="AB23" i="8"/>
  <c r="Y11" i="8"/>
  <c r="Y9" i="8" s="1"/>
  <c r="AX30" i="9"/>
  <c r="AX28" i="9" s="1"/>
  <c r="BV253" i="9" l="1"/>
  <c r="BV34" i="9" s="1"/>
  <c r="BV32" i="9" s="1"/>
  <c r="BV30" i="9" s="1"/>
  <c r="BX178" i="9"/>
  <c r="BX225" i="9"/>
  <c r="BX230" i="9"/>
  <c r="BX108" i="9"/>
  <c r="BX238" i="9"/>
  <c r="BX236" i="9" s="1"/>
  <c r="BX105" i="9"/>
  <c r="BX104" i="9" s="1"/>
  <c r="BX147" i="9"/>
  <c r="BX145" i="9" s="1"/>
  <c r="BX144" i="9" s="1"/>
  <c r="BW74" i="9"/>
  <c r="BW70" i="9" s="1"/>
  <c r="BW239" i="9"/>
  <c r="BZ114" i="9"/>
  <c r="BZ110" i="9"/>
  <c r="BW173" i="9"/>
  <c r="BW171" i="9" s="1"/>
  <c r="BW103" i="9" s="1"/>
  <c r="BW43" i="9" s="1"/>
  <c r="BW177" i="9"/>
  <c r="BW243" i="9" s="1"/>
  <c r="BW251" i="9" s="1"/>
  <c r="BY110" i="9"/>
  <c r="BY114" i="9"/>
  <c r="BX31" i="9"/>
  <c r="BX36" i="9"/>
  <c r="BX42" i="9"/>
  <c r="AG8" i="8"/>
  <c r="AG48" i="8"/>
  <c r="G10" i="91" s="1"/>
  <c r="BU34" i="9"/>
  <c r="BU39" i="9"/>
  <c r="BU37" i="9" s="1"/>
  <c r="AJ13" i="8" s="1"/>
  <c r="BZ227" i="9"/>
  <c r="BZ180" i="9"/>
  <c r="BZ175" i="9" s="1"/>
  <c r="BZ151" i="9"/>
  <c r="BZ149" i="9" s="1"/>
  <c r="BZ232" i="9"/>
  <c r="BZ94" i="9" s="1"/>
  <c r="BZ90" i="9" s="1"/>
  <c r="BZ86" i="9" s="1"/>
  <c r="BZ60" i="9" s="1"/>
  <c r="BZ48" i="9" s="1"/>
  <c r="BZ47" i="9" s="1"/>
  <c r="BZ122" i="9"/>
  <c r="BY151" i="9"/>
  <c r="BY149" i="9" s="1"/>
  <c r="BY227" i="9"/>
  <c r="BY232" i="9"/>
  <c r="BY94" i="9" s="1"/>
  <c r="BY90" i="9" s="1"/>
  <c r="BY86" i="9" s="1"/>
  <c r="BY60" i="9" s="1"/>
  <c r="BY48" i="9" s="1"/>
  <c r="BY47" i="9" s="1"/>
  <c r="BY180" i="9"/>
  <c r="BY175" i="9" s="1"/>
  <c r="BY122" i="9"/>
  <c r="BY228" i="9"/>
  <c r="BY233" i="9"/>
  <c r="BY181" i="9"/>
  <c r="BY176" i="9" s="1"/>
  <c r="BY135" i="9"/>
  <c r="AJ10" i="8"/>
  <c r="BZ181" i="9"/>
  <c r="BZ176" i="9" s="1"/>
  <c r="BZ135" i="9"/>
  <c r="BZ228" i="9"/>
  <c r="BZ233" i="9"/>
  <c r="BT29" i="9"/>
  <c r="BT32" i="9"/>
  <c r="AJ58" i="8"/>
  <c r="BU251" i="9"/>
  <c r="BW187" i="9"/>
  <c r="BW182" i="9"/>
  <c r="AH11" i="8"/>
  <c r="AH9" i="8" s="1"/>
  <c r="BS30" i="9"/>
  <c r="BS28" i="9" s="1"/>
  <c r="BX231" i="9"/>
  <c r="BX85" i="9" s="1"/>
  <c r="BX81" i="9" s="1"/>
  <c r="BX226" i="9"/>
  <c r="BX179" i="9"/>
  <c r="BX174" i="9" s="1"/>
  <c r="BT35" i="9"/>
  <c r="AI12" i="8" s="1"/>
  <c r="BB253" i="9"/>
  <c r="BB39" i="9" s="1"/>
  <c r="BB37" i="9" s="1"/>
  <c r="BB35" i="9" s="1"/>
  <c r="BF181" i="9"/>
  <c r="BF176" i="9" s="1"/>
  <c r="BF233" i="9"/>
  <c r="BF228" i="9"/>
  <c r="BF135" i="9"/>
  <c r="AZ29" i="9"/>
  <c r="AZ32" i="9"/>
  <c r="BF122" i="9"/>
  <c r="BF232" i="9"/>
  <c r="BF94" i="9" s="1"/>
  <c r="BF90" i="9" s="1"/>
  <c r="BF86" i="9" s="1"/>
  <c r="BF60" i="9" s="1"/>
  <c r="BF48" i="9" s="1"/>
  <c r="BF47" i="9" s="1"/>
  <c r="BF180" i="9"/>
  <c r="BF175" i="9" s="1"/>
  <c r="BF151" i="9"/>
  <c r="BF149" i="9" s="1"/>
  <c r="BF227" i="9"/>
  <c r="BC182" i="9"/>
  <c r="BC187" i="9"/>
  <c r="BA34" i="9"/>
  <c r="BA39" i="9"/>
  <c r="BA37" i="9" s="1"/>
  <c r="AB13" i="8" s="1"/>
  <c r="BE233" i="9"/>
  <c r="BE135" i="9"/>
  <c r="BE228" i="9"/>
  <c r="BE181" i="9"/>
  <c r="BE176" i="9" s="1"/>
  <c r="AB10" i="8"/>
  <c r="BC173" i="9"/>
  <c r="BC171" i="9" s="1"/>
  <c r="BC103" i="9" s="1"/>
  <c r="BC43" i="9" s="1"/>
  <c r="BC177" i="9"/>
  <c r="BC243" i="9" s="1"/>
  <c r="BC251" i="9" s="1"/>
  <c r="BC74" i="9"/>
  <c r="BC70" i="9" s="1"/>
  <c r="BC239" i="9"/>
  <c r="AZ35" i="9"/>
  <c r="AA12" i="8" s="1"/>
  <c r="BF110" i="9"/>
  <c r="BF114" i="9"/>
  <c r="BE114" i="9"/>
  <c r="BE110" i="9"/>
  <c r="Y8" i="8"/>
  <c r="Y48" i="8"/>
  <c r="G9" i="91" s="1"/>
  <c r="BD225" i="9"/>
  <c r="BD230" i="9"/>
  <c r="BD147" i="9"/>
  <c r="BD145" i="9" s="1"/>
  <c r="BD144" i="9" s="1"/>
  <c r="BD178" i="9"/>
  <c r="BD238" i="9"/>
  <c r="BD236" i="9" s="1"/>
  <c r="BD105" i="9"/>
  <c r="BD104" i="9" s="1"/>
  <c r="BD108" i="9"/>
  <c r="BA251" i="9"/>
  <c r="AB58" i="8"/>
  <c r="BE227" i="9"/>
  <c r="BE232" i="9"/>
  <c r="BE94" i="9" s="1"/>
  <c r="BE90" i="9" s="1"/>
  <c r="BE86" i="9" s="1"/>
  <c r="BE60" i="9" s="1"/>
  <c r="BE48" i="9" s="1"/>
  <c r="BE47" i="9" s="1"/>
  <c r="BE122" i="9"/>
  <c r="BE180" i="9"/>
  <c r="BE175" i="9" s="1"/>
  <c r="BE151" i="9"/>
  <c r="BE149" i="9" s="1"/>
  <c r="Z11" i="8"/>
  <c r="Z9" i="8" s="1"/>
  <c r="AY30" i="9"/>
  <c r="AY28" i="9" s="1"/>
  <c r="BD179" i="9"/>
  <c r="BD174" i="9" s="1"/>
  <c r="BD231" i="9"/>
  <c r="BD85" i="9" s="1"/>
  <c r="BD81" i="9" s="1"/>
  <c r="BD226" i="9"/>
  <c r="BD36" i="9"/>
  <c r="BD31" i="9"/>
  <c r="BD42" i="9"/>
  <c r="BV39" i="9" l="1"/>
  <c r="BV29" i="9" s="1"/>
  <c r="BW253" i="9"/>
  <c r="BW34" i="9" s="1"/>
  <c r="AH8" i="8"/>
  <c r="AH48" i="8"/>
  <c r="H10" i="91" s="1"/>
  <c r="BU29" i="9"/>
  <c r="BU32" i="9"/>
  <c r="BY231" i="9"/>
  <c r="BY85" i="9" s="1"/>
  <c r="BY81" i="9" s="1"/>
  <c r="BY226" i="9"/>
  <c r="BY179" i="9"/>
  <c r="BY174" i="9" s="1"/>
  <c r="BZ36" i="9"/>
  <c r="BZ31" i="9"/>
  <c r="BZ42" i="9"/>
  <c r="BY147" i="9"/>
  <c r="BY145" i="9" s="1"/>
  <c r="BY144" i="9" s="1"/>
  <c r="BY238" i="9"/>
  <c r="BY236" i="9" s="1"/>
  <c r="BY225" i="9"/>
  <c r="BY105" i="9"/>
  <c r="BY104" i="9" s="1"/>
  <c r="BY178" i="9"/>
  <c r="BY108" i="9"/>
  <c r="BY230" i="9"/>
  <c r="BW39" i="9"/>
  <c r="BW37" i="9" s="1"/>
  <c r="BW35" i="9" s="1"/>
  <c r="BZ178" i="9"/>
  <c r="BZ225" i="9"/>
  <c r="BZ105" i="9"/>
  <c r="BZ104" i="9" s="1"/>
  <c r="BZ230" i="9"/>
  <c r="BZ238" i="9"/>
  <c r="BZ236" i="9" s="1"/>
  <c r="BZ147" i="9"/>
  <c r="BZ145" i="9" s="1"/>
  <c r="BZ144" i="9" s="1"/>
  <c r="BZ108" i="9"/>
  <c r="BX74" i="9"/>
  <c r="BX70" i="9" s="1"/>
  <c r="BX239" i="9"/>
  <c r="BU35" i="9"/>
  <c r="AJ12" i="8" s="1"/>
  <c r="BY36" i="9"/>
  <c r="BY31" i="9"/>
  <c r="BY42" i="9"/>
  <c r="BV37" i="9"/>
  <c r="BV35" i="9" s="1"/>
  <c r="BV28" i="9" s="1"/>
  <c r="BZ179" i="9"/>
  <c r="BZ174" i="9" s="1"/>
  <c r="BZ231" i="9"/>
  <c r="BZ85" i="9" s="1"/>
  <c r="BZ81" i="9" s="1"/>
  <c r="BZ226" i="9"/>
  <c r="BX187" i="9"/>
  <c r="BX182" i="9"/>
  <c r="AI11" i="8"/>
  <c r="AI9" i="8" s="1"/>
  <c r="BT30" i="9"/>
  <c r="BT28" i="9" s="1"/>
  <c r="BX173" i="9"/>
  <c r="BX171" i="9" s="1"/>
  <c r="BX103" i="9" s="1"/>
  <c r="BX43" i="9" s="1"/>
  <c r="BX177" i="9"/>
  <c r="BX243" i="9" s="1"/>
  <c r="BX251" i="9" s="1"/>
  <c r="BB34" i="9"/>
  <c r="BB29" i="9" s="1"/>
  <c r="BF31" i="9"/>
  <c r="BF36" i="9"/>
  <c r="BF42" i="9"/>
  <c r="BD239" i="9"/>
  <c r="BD74" i="9"/>
  <c r="BD70" i="9" s="1"/>
  <c r="BD187" i="9"/>
  <c r="BD182" i="9"/>
  <c r="AA11" i="8"/>
  <c r="AA9" i="8" s="1"/>
  <c r="AZ30" i="9"/>
  <c r="AZ28" i="9" s="1"/>
  <c r="BC253" i="9"/>
  <c r="Z8" i="8"/>
  <c r="Z48" i="8"/>
  <c r="H9" i="91" s="1"/>
  <c r="BE230" i="9"/>
  <c r="BE105" i="9"/>
  <c r="BE104" i="9" s="1"/>
  <c r="BE108" i="9"/>
  <c r="BE238" i="9"/>
  <c r="BE236" i="9" s="1"/>
  <c r="BE225" i="9"/>
  <c r="BE147" i="9"/>
  <c r="BE145" i="9" s="1"/>
  <c r="BE144" i="9" s="1"/>
  <c r="BE178" i="9"/>
  <c r="BA35" i="9"/>
  <c r="AB12" i="8" s="1"/>
  <c r="BE36" i="9"/>
  <c r="BE42" i="9"/>
  <c r="BE31" i="9"/>
  <c r="BF238" i="9"/>
  <c r="BF236" i="9" s="1"/>
  <c r="BF105" i="9"/>
  <c r="BF104" i="9" s="1"/>
  <c r="BF178" i="9"/>
  <c r="BF108" i="9"/>
  <c r="BF230" i="9"/>
  <c r="BF147" i="9"/>
  <c r="BF145" i="9" s="1"/>
  <c r="BF144" i="9" s="1"/>
  <c r="BF225" i="9"/>
  <c r="BE231" i="9"/>
  <c r="BE85" i="9" s="1"/>
  <c r="BE81" i="9" s="1"/>
  <c r="BE179" i="9"/>
  <c r="BE174" i="9" s="1"/>
  <c r="BE226" i="9"/>
  <c r="BD173" i="9"/>
  <c r="BD171" i="9" s="1"/>
  <c r="BD103" i="9" s="1"/>
  <c r="BD43" i="9" s="1"/>
  <c r="BD177" i="9"/>
  <c r="BD243" i="9" s="1"/>
  <c r="BD251" i="9" s="1"/>
  <c r="BF179" i="9"/>
  <c r="BF174" i="9" s="1"/>
  <c r="BF226" i="9"/>
  <c r="BF231" i="9"/>
  <c r="BF85" i="9" s="1"/>
  <c r="BF81" i="9" s="1"/>
  <c r="BA29" i="9"/>
  <c r="BA32" i="9"/>
  <c r="BO259" i="9" l="1"/>
  <c r="BO258" i="9" s="1"/>
  <c r="BO419" i="9" s="1"/>
  <c r="CN14" i="10" s="1"/>
  <c r="AI8" i="8"/>
  <c r="AI48" i="8"/>
  <c r="I10" i="91" s="1"/>
  <c r="BZ173" i="9"/>
  <c r="BZ171" i="9" s="1"/>
  <c r="BZ103" i="9" s="1"/>
  <c r="BZ43" i="9" s="1"/>
  <c r="BZ177" i="9"/>
  <c r="BZ243" i="9" s="1"/>
  <c r="BZ251" i="9" s="1"/>
  <c r="BX253" i="9"/>
  <c r="BY187" i="9"/>
  <c r="BY182" i="9"/>
  <c r="BW29" i="9"/>
  <c r="BW32" i="9"/>
  <c r="BW30" i="9" s="1"/>
  <c r="BW28" i="9" s="1"/>
  <c r="BB32" i="9"/>
  <c r="BB30" i="9" s="1"/>
  <c r="BB28" i="9" s="1"/>
  <c r="BZ239" i="9"/>
  <c r="BZ74" i="9"/>
  <c r="BZ70" i="9" s="1"/>
  <c r="BY74" i="9"/>
  <c r="BY70" i="9" s="1"/>
  <c r="BY239" i="9"/>
  <c r="AJ11" i="8"/>
  <c r="AJ9" i="8" s="1"/>
  <c r="BU30" i="9"/>
  <c r="BU28" i="9" s="1"/>
  <c r="BZ182" i="9"/>
  <c r="BZ187" i="9"/>
  <c r="BY177" i="9"/>
  <c r="BY243" i="9" s="1"/>
  <c r="BY251" i="9" s="1"/>
  <c r="BY173" i="9"/>
  <c r="BY171" i="9" s="1"/>
  <c r="BY103" i="9" s="1"/>
  <c r="BY43" i="9" s="1"/>
  <c r="BD253" i="9"/>
  <c r="BD34" i="9" s="1"/>
  <c r="AB11" i="8"/>
  <c r="AB9" i="8" s="1"/>
  <c r="BA30" i="9"/>
  <c r="BA28" i="9" s="1"/>
  <c r="BF187" i="9"/>
  <c r="BF182" i="9"/>
  <c r="BE187" i="9"/>
  <c r="BE182" i="9"/>
  <c r="BC34" i="9"/>
  <c r="BC39" i="9"/>
  <c r="BC37" i="9" s="1"/>
  <c r="BC35" i="9" s="1"/>
  <c r="BF239" i="9"/>
  <c r="BF74" i="9"/>
  <c r="BF70" i="9" s="1"/>
  <c r="AA8" i="8"/>
  <c r="AA48" i="8"/>
  <c r="I9" i="91" s="1"/>
  <c r="BF177" i="9"/>
  <c r="BF243" i="9" s="1"/>
  <c r="BF251" i="9" s="1"/>
  <c r="BF173" i="9"/>
  <c r="BF171" i="9" s="1"/>
  <c r="BF103" i="9" s="1"/>
  <c r="BF43" i="9" s="1"/>
  <c r="BE74" i="9"/>
  <c r="BE70" i="9" s="1"/>
  <c r="BE239" i="9"/>
  <c r="BE173" i="9"/>
  <c r="BE171" i="9" s="1"/>
  <c r="BE103" i="9" s="1"/>
  <c r="BE43" i="9" s="1"/>
  <c r="BE177" i="9"/>
  <c r="BE243" i="9" s="1"/>
  <c r="BE251" i="9" s="1"/>
  <c r="AU259" i="9"/>
  <c r="AU258" i="9" s="1"/>
  <c r="BO418" i="9" l="1"/>
  <c r="CN13" i="10" s="1"/>
  <c r="CT13" i="10" s="1"/>
  <c r="BO426" i="9"/>
  <c r="CN21" i="10" s="1"/>
  <c r="CT21" i="10" s="1"/>
  <c r="BO424" i="9"/>
  <c r="CN19" i="10" s="1"/>
  <c r="CT19" i="10" s="1"/>
  <c r="BO409" i="9"/>
  <c r="CN4" i="10" s="1"/>
  <c r="DF4" i="10" s="1"/>
  <c r="BO417" i="9"/>
  <c r="CN12" i="10" s="1"/>
  <c r="CT12" i="10" s="1"/>
  <c r="BO425" i="9"/>
  <c r="CN20" i="10" s="1"/>
  <c r="DF20" i="10" s="1"/>
  <c r="BO412" i="9"/>
  <c r="CN7" i="10" s="1"/>
  <c r="CT7" i="10" s="1"/>
  <c r="BO428" i="9"/>
  <c r="CN23" i="10" s="1"/>
  <c r="CZ23" i="10" s="1"/>
  <c r="BO411" i="9"/>
  <c r="CN6" i="10" s="1"/>
  <c r="CT6" i="10" s="1"/>
  <c r="BO420" i="9"/>
  <c r="CN15" i="10" s="1"/>
  <c r="DF15" i="10" s="1"/>
  <c r="BO422" i="9"/>
  <c r="CN17" i="10" s="1"/>
  <c r="CZ17" i="10" s="1"/>
  <c r="BO413" i="9"/>
  <c r="CN8" i="10" s="1"/>
  <c r="CZ8" i="10" s="1"/>
  <c r="BO415" i="9"/>
  <c r="CN10" i="10" s="1"/>
  <c r="DF10" i="10" s="1"/>
  <c r="BD39" i="9"/>
  <c r="BD37" i="9" s="1"/>
  <c r="BD35" i="9" s="1"/>
  <c r="BO414" i="9"/>
  <c r="CN9" i="10" s="1"/>
  <c r="CT9" i="10" s="1"/>
  <c r="BO410" i="9"/>
  <c r="CN5" i="10" s="1"/>
  <c r="DF5" i="10" s="1"/>
  <c r="BO421" i="9"/>
  <c r="CN16" i="10" s="1"/>
  <c r="DF16" i="10" s="1"/>
  <c r="BO423" i="9"/>
  <c r="CN18" i="10" s="1"/>
  <c r="CZ18" i="10" s="1"/>
  <c r="BY253" i="9"/>
  <c r="BY34" i="9" s="1"/>
  <c r="BY32" i="9" s="1"/>
  <c r="BY30" i="9" s="1"/>
  <c r="BZ253" i="9"/>
  <c r="BX34" i="9"/>
  <c r="BX32" i="9" s="1"/>
  <c r="BX30" i="9" s="1"/>
  <c r="BX39" i="9"/>
  <c r="AJ8" i="8"/>
  <c r="P7" i="91" s="1"/>
  <c r="P10" i="91" s="1"/>
  <c r="AJ48" i="8"/>
  <c r="J10" i="91" s="1"/>
  <c r="DF14" i="10"/>
  <c r="CT14" i="10"/>
  <c r="CZ14" i="10"/>
  <c r="BF253" i="9"/>
  <c r="BF39" i="9" s="1"/>
  <c r="BF37" i="9" s="1"/>
  <c r="BF35" i="9" s="1"/>
  <c r="BE253" i="9"/>
  <c r="BC29" i="9"/>
  <c r="BC32" i="9"/>
  <c r="BC30" i="9" s="1"/>
  <c r="BC28" i="9" s="1"/>
  <c r="BD32" i="9"/>
  <c r="BD30" i="9" s="1"/>
  <c r="AB8" i="8"/>
  <c r="O7" i="91" s="1"/>
  <c r="O10" i="91" s="1"/>
  <c r="AB48" i="8"/>
  <c r="J9" i="91" s="1"/>
  <c r="AU427" i="9"/>
  <c r="CM22" i="10" s="1"/>
  <c r="AU413" i="9"/>
  <c r="CM8" i="10" s="1"/>
  <c r="AU411" i="9"/>
  <c r="CM6" i="10" s="1"/>
  <c r="AU418" i="9"/>
  <c r="CM13" i="10" s="1"/>
  <c r="AU417" i="9"/>
  <c r="CM12" i="10" s="1"/>
  <c r="AU425" i="9"/>
  <c r="CM20" i="10" s="1"/>
  <c r="AU428" i="9"/>
  <c r="CM23" i="10" s="1"/>
  <c r="AU420" i="9"/>
  <c r="CM15" i="10" s="1"/>
  <c r="AU409" i="9"/>
  <c r="CM4" i="10" s="1"/>
  <c r="AU419" i="9"/>
  <c r="CM14" i="10" s="1"/>
  <c r="AU412" i="9"/>
  <c r="CM7" i="10" s="1"/>
  <c r="AU423" i="9"/>
  <c r="CM18" i="10" s="1"/>
  <c r="AU426" i="9"/>
  <c r="CM21" i="10" s="1"/>
  <c r="AU414" i="9"/>
  <c r="CM9" i="10" s="1"/>
  <c r="AU410" i="9"/>
  <c r="CM5" i="10" s="1"/>
  <c r="AU421" i="9"/>
  <c r="CM16" i="10" s="1"/>
  <c r="AU424" i="9"/>
  <c r="CM19" i="10" s="1"/>
  <c r="AU415" i="9"/>
  <c r="CM10" i="10" s="1"/>
  <c r="AU422" i="9"/>
  <c r="CM17" i="10" s="1"/>
  <c r="DF13" i="10" l="1"/>
  <c r="CZ13" i="10"/>
  <c r="DF21" i="10"/>
  <c r="CZ6" i="10"/>
  <c r="DF6" i="10"/>
  <c r="CZ21" i="10"/>
  <c r="CZ7" i="10"/>
  <c r="BD28" i="9"/>
  <c r="BD29" i="9"/>
  <c r="CZ20" i="10"/>
  <c r="CZ12" i="10"/>
  <c r="CT20" i="10"/>
  <c r="DF7" i="10"/>
  <c r="DF12" i="10"/>
  <c r="CZ19" i="10"/>
  <c r="DF19" i="10"/>
  <c r="CT4" i="10"/>
  <c r="CZ4" i="10"/>
  <c r="CT17" i="10"/>
  <c r="DF23" i="10"/>
  <c r="CT23" i="10"/>
  <c r="CT15" i="10"/>
  <c r="CZ15" i="10"/>
  <c r="CT8" i="10"/>
  <c r="DF8" i="10"/>
  <c r="CZ9" i="10"/>
  <c r="DF17" i="10"/>
  <c r="CZ16" i="10"/>
  <c r="CT16" i="10"/>
  <c r="CZ5" i="10"/>
  <c r="CT5" i="10"/>
  <c r="DF18" i="10"/>
  <c r="CT18" i="10"/>
  <c r="CT10" i="10"/>
  <c r="BY39" i="9"/>
  <c r="BY29" i="9" s="1"/>
  <c r="DF9" i="10"/>
  <c r="CZ10" i="10"/>
  <c r="BX29" i="9"/>
  <c r="BX37" i="9"/>
  <c r="BX35" i="9" s="1"/>
  <c r="BX28" i="9" s="1"/>
  <c r="BZ39" i="9"/>
  <c r="BZ37" i="9" s="1"/>
  <c r="BZ35" i="9" s="1"/>
  <c r="BZ34" i="9"/>
  <c r="BF34" i="9"/>
  <c r="BF29" i="9" s="1"/>
  <c r="DE23" i="10"/>
  <c r="CS23" i="10"/>
  <c r="CY23" i="10"/>
  <c r="DE9" i="10"/>
  <c r="CS9" i="10"/>
  <c r="CY9" i="10"/>
  <c r="DE20" i="10"/>
  <c r="CS20" i="10"/>
  <c r="CY20" i="10"/>
  <c r="CS5" i="10"/>
  <c r="DE5" i="10"/>
  <c r="CY5" i="10"/>
  <c r="CY21" i="10"/>
  <c r="CS21" i="10"/>
  <c r="DE21" i="10"/>
  <c r="DE12" i="10"/>
  <c r="CS12" i="10"/>
  <c r="CY12" i="10"/>
  <c r="CS18" i="10"/>
  <c r="CY18" i="10"/>
  <c r="DE18" i="10"/>
  <c r="DE13" i="10"/>
  <c r="CS13" i="10"/>
  <c r="CY13" i="10"/>
  <c r="CY7" i="10"/>
  <c r="DE7" i="10"/>
  <c r="CS7" i="10"/>
  <c r="CS6" i="10"/>
  <c r="CY6" i="10"/>
  <c r="DE6" i="10"/>
  <c r="CY10" i="10"/>
  <c r="CS10" i="10"/>
  <c r="DE10" i="10"/>
  <c r="DE14" i="10"/>
  <c r="CS14" i="10"/>
  <c r="CY14" i="10"/>
  <c r="DE8" i="10"/>
  <c r="CS8" i="10"/>
  <c r="CY8" i="10"/>
  <c r="DE19" i="10"/>
  <c r="CS19" i="10"/>
  <c r="CY19" i="10"/>
  <c r="CY4" i="10"/>
  <c r="DE4" i="10"/>
  <c r="CS4" i="10"/>
  <c r="DE22" i="10"/>
  <c r="CS22" i="10"/>
  <c r="CY22" i="10"/>
  <c r="DE17" i="10"/>
  <c r="CS17" i="10"/>
  <c r="CY17" i="10"/>
  <c r="DE16" i="10"/>
  <c r="CS16" i="10"/>
  <c r="CY16" i="10"/>
  <c r="DE15" i="10"/>
  <c r="CS15" i="10"/>
  <c r="CY15" i="10"/>
  <c r="BE34" i="9"/>
  <c r="BE39" i="9"/>
  <c r="BE37" i="9" s="1"/>
  <c r="BE35" i="9" s="1"/>
  <c r="BF32" i="9" l="1"/>
  <c r="BF30" i="9" s="1"/>
  <c r="BF28" i="9" s="1"/>
  <c r="BY37" i="9"/>
  <c r="BY35" i="9" s="1"/>
  <c r="BY28" i="9" s="1"/>
  <c r="BZ29" i="9"/>
  <c r="BZ32" i="9"/>
  <c r="BZ30" i="9" s="1"/>
  <c r="BZ28" i="9" s="1"/>
  <c r="BE29" i="9"/>
  <c r="BE32" i="9"/>
  <c r="BE30" i="9" s="1"/>
  <c r="BE2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Mathias Hintze</author>
  </authors>
  <commentList>
    <comment ref="B14" authorId="0" shapeId="0" xr:uid="{ED55768D-7BB1-4ECC-B152-0224D5A74B52}">
      <text>
        <r>
          <rPr>
            <b/>
            <sz val="9"/>
            <color indexed="81"/>
            <rFont val="Tahoma"/>
            <family val="2"/>
          </rPr>
          <t>Mathias Hintze:</t>
        </r>
        <r>
          <rPr>
            <sz val="9"/>
            <color indexed="81"/>
            <rFont val="Tahoma"/>
            <family val="2"/>
          </rPr>
          <t xml:space="preserve">
Only medium sized vessels included for now</t>
        </r>
      </text>
    </comment>
    <comment ref="B19" authorId="0" shapeId="0" xr:uid="{38D91033-EB96-41F8-A4EC-06CBFA7F65DF}">
      <text>
        <r>
          <rPr>
            <b/>
            <sz val="9"/>
            <color indexed="81"/>
            <rFont val="Tahoma"/>
            <family val="2"/>
          </rPr>
          <t>Mathias Hintze:</t>
        </r>
        <r>
          <rPr>
            <sz val="9"/>
            <color indexed="81"/>
            <rFont val="Tahoma"/>
            <family val="2"/>
          </rPr>
          <t xml:space="preserve">
Used for dual fuel / pilot fuel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Mathias Hintze</author>
  </authors>
  <commentList>
    <comment ref="B4" authorId="0" shapeId="0" xr:uid="{F0BCF508-F8F0-435C-8889-371423FFAB6B}">
      <text>
        <r>
          <rPr>
            <b/>
            <sz val="9"/>
            <color indexed="81"/>
            <rFont val="Tahoma"/>
            <family val="2"/>
          </rPr>
          <t>Mathias Hintze:</t>
        </r>
        <r>
          <rPr>
            <sz val="9"/>
            <color indexed="81"/>
            <rFont val="Tahoma"/>
            <family val="2"/>
          </rPr>
          <t xml:space="preserve">
This value is always used - remember to reset to default after changing!</t>
        </r>
      </text>
    </comment>
    <comment ref="B11" authorId="0" shapeId="0" xr:uid="{1E10C690-CCF9-4730-8FF9-1255AD2C9DCE}">
      <text>
        <r>
          <rPr>
            <b/>
            <sz val="9"/>
            <color indexed="81"/>
            <rFont val="Tahoma"/>
            <family val="2"/>
          </rPr>
          <t>Mathias Hintze:</t>
        </r>
        <r>
          <rPr>
            <sz val="9"/>
            <color indexed="81"/>
            <rFont val="Tahoma"/>
            <family val="2"/>
          </rPr>
          <t xml:space="preserve">
This value is always used - remember to reset to default after changing!</t>
        </r>
      </text>
    </comment>
    <comment ref="B20" authorId="0" shapeId="0" xr:uid="{6B804FB9-135F-4CE0-965E-FAF42751AF8C}">
      <text>
        <r>
          <rPr>
            <b/>
            <sz val="9"/>
            <color indexed="81"/>
            <rFont val="Tahoma"/>
            <family val="2"/>
          </rPr>
          <t>Mathias Hintze:</t>
        </r>
        <r>
          <rPr>
            <sz val="9"/>
            <color indexed="81"/>
            <rFont val="Tahoma"/>
            <family val="2"/>
          </rPr>
          <t xml:space="preserve">
To use the manual assumptions for this, change the toggle "Fuel cell advancements" to "Manual"</t>
        </r>
      </text>
    </comment>
    <comment ref="B25" authorId="0" shapeId="0" xr:uid="{A232AB4B-6615-4D6C-BF62-1C2E2625B0C7}">
      <text>
        <r>
          <rPr>
            <b/>
            <sz val="9"/>
            <color indexed="81"/>
            <rFont val="Tahoma"/>
            <family val="2"/>
          </rPr>
          <t>Mathias Hintze:</t>
        </r>
        <r>
          <rPr>
            <sz val="9"/>
            <color indexed="81"/>
            <rFont val="Tahoma"/>
            <family val="2"/>
          </rPr>
          <t xml:space="preserve">
To use the manual assumptions for this, change the toggle "Electricity cost" to "Manual"</t>
        </r>
      </text>
    </comment>
    <comment ref="B32" authorId="0" shapeId="0" xr:uid="{E331C736-AA3D-448E-9FC1-B7A637763110}">
      <text>
        <r>
          <rPr>
            <b/>
            <sz val="9"/>
            <color indexed="81"/>
            <rFont val="Tahoma"/>
            <family val="2"/>
          </rPr>
          <t>Mathias Hintze:</t>
        </r>
        <r>
          <rPr>
            <sz val="9"/>
            <color indexed="81"/>
            <rFont val="Tahoma"/>
            <family val="2"/>
          </rPr>
          <t xml:space="preserve">
To use the manual assumptions for this, change the toggle "Oil price scenario" to "Manual"</t>
        </r>
      </text>
    </comment>
    <comment ref="B35" authorId="0" shapeId="0" xr:uid="{2566D995-87E5-4DE9-9C27-C42C47312061}">
      <text>
        <r>
          <rPr>
            <b/>
            <sz val="9"/>
            <color indexed="81"/>
            <rFont val="Tahoma"/>
            <family val="2"/>
          </rPr>
          <t>Mathias Hintze:</t>
        </r>
        <r>
          <rPr>
            <sz val="9"/>
            <color indexed="81"/>
            <rFont val="Tahoma"/>
            <family val="2"/>
          </rPr>
          <t xml:space="preserve">
This value is always used - remember to reset to default!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Mathias Hintze</author>
  </authors>
  <commentList>
    <comment ref="C26" authorId="0" shapeId="0" xr:uid="{3A172686-6585-4FA1-A4B4-C77DBC6516A8}">
      <text>
        <r>
          <rPr>
            <b/>
            <sz val="9"/>
            <color indexed="81"/>
            <rFont val="Tahoma"/>
            <family val="2"/>
          </rPr>
          <t>Mathias Hintze:</t>
        </r>
        <r>
          <rPr>
            <sz val="9"/>
            <color indexed="81"/>
            <rFont val="Tahoma"/>
            <family val="2"/>
          </rPr>
          <t xml:space="preserve">
Main fuel</t>
        </r>
      </text>
    </comment>
    <comment ref="C27" authorId="0" shapeId="0" xr:uid="{71E39394-2127-46C0-BC57-BEF4F4BCAA22}">
      <text>
        <r>
          <rPr>
            <b/>
            <sz val="9"/>
            <color indexed="81"/>
            <rFont val="Tahoma"/>
            <family val="2"/>
          </rPr>
          <t>Mathias Hintze:</t>
        </r>
        <r>
          <rPr>
            <sz val="9"/>
            <color indexed="81"/>
            <rFont val="Tahoma"/>
            <family val="2"/>
          </rPr>
          <t xml:space="preserve">
Pilot fuel</t>
        </r>
      </text>
    </comment>
    <comment ref="C34" authorId="0" shapeId="0" xr:uid="{83CF7942-4044-4A70-8A09-5AB32A5F9BCE}">
      <text>
        <r>
          <rPr>
            <b/>
            <sz val="9"/>
            <color indexed="81"/>
            <rFont val="Tahoma"/>
            <family val="2"/>
          </rPr>
          <t>Mathias Hintze:</t>
        </r>
        <r>
          <rPr>
            <sz val="9"/>
            <color indexed="81"/>
            <rFont val="Tahoma"/>
            <family val="2"/>
          </rPr>
          <t xml:space="preserve">
All other OPEX incl. e.g. crew cost.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Mathias Hintze</author>
  </authors>
  <commentList>
    <comment ref="D31" authorId="0" shapeId="0" xr:uid="{9F3D68BB-4151-474A-90E8-6752DA79CB79}">
      <text>
        <r>
          <rPr>
            <b/>
            <sz val="9"/>
            <color indexed="81"/>
            <rFont val="Tahoma"/>
            <family val="2"/>
          </rPr>
          <t>Mathias Hintze:</t>
        </r>
        <r>
          <rPr>
            <sz val="9"/>
            <color indexed="81"/>
            <rFont val="Tahoma"/>
            <family val="2"/>
          </rPr>
          <t xml:space="preserve">
Assuming average cost of debt applies to 1/2 of the total CAPEX due to average over lifetime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Mathias Hintze</author>
  </authors>
  <commentList>
    <comment ref="R58" authorId="0" shapeId="0" xr:uid="{4EA0CAD9-F044-4E25-AD9C-794C9F5AD688}">
      <text>
        <r>
          <rPr>
            <b/>
            <sz val="9"/>
            <color indexed="81"/>
            <rFont val="Tahoma"/>
            <family val="2"/>
          </rPr>
          <t>Mathias Hintze:</t>
        </r>
        <r>
          <rPr>
            <sz val="9"/>
            <color indexed="81"/>
            <rFont val="Tahoma"/>
            <family val="2"/>
          </rPr>
          <t xml:space="preserve">
Determined in Configrator Specs - by critical lever setting</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Mathias Hintze</author>
  </authors>
  <commentList>
    <comment ref="L6" authorId="0" shapeId="0" xr:uid="{1DB123A5-50D4-4425-B6A0-E9C7814BEB73}">
      <text>
        <r>
          <rPr>
            <b/>
            <sz val="9"/>
            <color indexed="81"/>
            <rFont val="Tahoma"/>
            <family val="2"/>
          </rPr>
          <t>Mathias Hintze:</t>
        </r>
        <r>
          <rPr>
            <sz val="9"/>
            <color indexed="81"/>
            <rFont val="Tahoma"/>
            <family val="2"/>
          </rPr>
          <t xml:space="preserve">
Assuming 40% of time in port</t>
        </r>
      </text>
    </comment>
    <comment ref="H77" authorId="0" shapeId="0" xr:uid="{790DEAF1-88AE-489E-8350-08EFC881C263}">
      <text>
        <r>
          <rPr>
            <b/>
            <sz val="9"/>
            <color indexed="81"/>
            <rFont val="Tahoma"/>
            <family val="2"/>
          </rPr>
          <t>Mathias Hintze:</t>
        </r>
        <r>
          <rPr>
            <sz val="9"/>
            <color indexed="81"/>
            <rFont val="Tahoma"/>
            <family val="2"/>
          </rPr>
          <t xml:space="preserve">
Average from total</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Mathias Hintze</author>
  </authors>
  <commentList>
    <comment ref="G533" authorId="0" shapeId="0" xr:uid="{30D42FBA-FE10-43E1-9C36-658FE98E6C10}">
      <text>
        <r>
          <rPr>
            <b/>
            <sz val="9"/>
            <color indexed="81"/>
            <rFont val="Tahoma"/>
            <family val="2"/>
          </rPr>
          <t>Mathias Hintze:</t>
        </r>
        <r>
          <rPr>
            <sz val="9"/>
            <color indexed="81"/>
            <rFont val="Tahoma"/>
            <family val="2"/>
          </rPr>
          <t xml:space="preserve">
The reason for the difference is based on what is stated in literature. For some processes, the HHV efficiency of the process is stated and vice versa. </t>
        </r>
      </text>
    </comment>
    <comment ref="H533" authorId="0" shapeId="0" xr:uid="{C31F99FE-9D23-4366-BC35-C4926E66DCC0}">
      <text>
        <r>
          <rPr>
            <b/>
            <sz val="9"/>
            <color indexed="81"/>
            <rFont val="Tahoma"/>
            <family val="2"/>
          </rPr>
          <t>Mathias Hintze:</t>
        </r>
        <r>
          <rPr>
            <sz val="9"/>
            <color indexed="81"/>
            <rFont val="Tahoma"/>
            <family val="2"/>
          </rPr>
          <t xml:space="preserve">
The reason for the difference is based on what is stated in literature. For some processes, the HHV efficiency of the process is stated and vice versa. </t>
        </r>
      </text>
    </comment>
    <comment ref="I533" authorId="0" shapeId="0" xr:uid="{A0A20813-8B4B-47E5-BC55-18AF9E583868}">
      <text>
        <r>
          <rPr>
            <b/>
            <sz val="9"/>
            <color indexed="81"/>
            <rFont val="Tahoma"/>
            <family val="2"/>
          </rPr>
          <t>Mathias Hintze:</t>
        </r>
        <r>
          <rPr>
            <sz val="9"/>
            <color indexed="81"/>
            <rFont val="Tahoma"/>
            <family val="2"/>
          </rPr>
          <t xml:space="preserve">
The reason for the difference is based on what is stated in literature. For some processes, the HHV efficiency of the process is stated and vice versa. </t>
        </r>
      </text>
    </comment>
    <comment ref="J533" authorId="0" shapeId="0" xr:uid="{2D1D1D86-6A99-4233-BD31-4B19D46F1B91}">
      <text>
        <r>
          <rPr>
            <b/>
            <sz val="9"/>
            <color indexed="81"/>
            <rFont val="Tahoma"/>
            <family val="2"/>
          </rPr>
          <t>Mathias Hintze:</t>
        </r>
        <r>
          <rPr>
            <sz val="9"/>
            <color indexed="81"/>
            <rFont val="Tahoma"/>
            <family val="2"/>
          </rPr>
          <t xml:space="preserve">
The reason for the difference is based on what is stated in literature. For some processes, the HHV efficiency of the process is stated and vice versa. </t>
        </r>
      </text>
    </comment>
    <comment ref="K533" authorId="0" shapeId="0" xr:uid="{49DEA4A7-9352-4721-A2F3-79CDD38B40F6}">
      <text>
        <r>
          <rPr>
            <b/>
            <sz val="9"/>
            <color indexed="81"/>
            <rFont val="Tahoma"/>
            <family val="2"/>
          </rPr>
          <t>Mathias Hintze:</t>
        </r>
        <r>
          <rPr>
            <sz val="9"/>
            <color indexed="81"/>
            <rFont val="Tahoma"/>
            <family val="2"/>
          </rPr>
          <t xml:space="preserve">
The reason for the difference is based on what is stated in literature. For some processes, the HHV efficiency of the process is stated and vice versa. </t>
        </r>
      </text>
    </comment>
    <comment ref="L533" authorId="0" shapeId="0" xr:uid="{93C7C9D4-9F3E-46C3-8F53-49CE3DA95BD7}">
      <text>
        <r>
          <rPr>
            <b/>
            <sz val="9"/>
            <color indexed="81"/>
            <rFont val="Tahoma"/>
            <family val="2"/>
          </rPr>
          <t>Mathias Hintze:</t>
        </r>
        <r>
          <rPr>
            <sz val="9"/>
            <color indexed="81"/>
            <rFont val="Tahoma"/>
            <family val="2"/>
          </rPr>
          <t xml:space="preserve">
The reason for the difference is based on what is stated in literature. For some processes, the HHV efficiency of the process is stated and vice versa. </t>
        </r>
      </text>
    </comment>
    <comment ref="M533" authorId="0" shapeId="0" xr:uid="{9E2BBFBA-0349-4989-B3F8-94805036FB6D}">
      <text>
        <r>
          <rPr>
            <b/>
            <sz val="9"/>
            <color indexed="81"/>
            <rFont val="Tahoma"/>
            <family val="2"/>
          </rPr>
          <t>Mathias Hintze:</t>
        </r>
        <r>
          <rPr>
            <sz val="9"/>
            <color indexed="81"/>
            <rFont val="Tahoma"/>
            <family val="2"/>
          </rPr>
          <t xml:space="preserve">
The reason for the difference is based on what is stated in literature. For some processes, the HHV efficiency of the process is stated and vice versa. </t>
        </r>
      </text>
    </comment>
    <comment ref="G1831" authorId="0" shapeId="0" xr:uid="{A20658AF-1DFA-4171-B925-AB37C5D5357A}">
      <text>
        <r>
          <rPr>
            <b/>
            <sz val="9"/>
            <color indexed="81"/>
            <rFont val="Tahoma"/>
            <family val="2"/>
          </rPr>
          <t>Mathias Hintze:</t>
        </r>
        <r>
          <rPr>
            <sz val="9"/>
            <color indexed="81"/>
            <rFont val="Tahoma"/>
            <family val="2"/>
          </rPr>
          <t xml:space="preserve">
Including electricity for compression</t>
        </r>
      </text>
    </comment>
    <comment ref="E2051" authorId="0" shapeId="0" xr:uid="{8E5B4843-AF02-4AE7-B019-6AD05FD651A5}">
      <text>
        <r>
          <rPr>
            <b/>
            <sz val="9"/>
            <color indexed="81"/>
            <rFont val="Tahoma"/>
            <family val="2"/>
          </rPr>
          <t>Mathias Hintze:</t>
        </r>
        <r>
          <rPr>
            <sz val="9"/>
            <color indexed="81"/>
            <rFont val="Tahoma"/>
            <family val="2"/>
          </rPr>
          <t xml:space="preserve">
Incl. electricity for liquefaction</t>
        </r>
      </text>
    </comment>
    <comment ref="E2082" authorId="0" shapeId="0" xr:uid="{4C62F356-8844-4B72-955B-A443F9CFB7F3}">
      <text>
        <r>
          <rPr>
            <b/>
            <sz val="9"/>
            <color indexed="81"/>
            <rFont val="Tahoma"/>
            <family val="2"/>
          </rPr>
          <t>Mathias Hintze:</t>
        </r>
        <r>
          <rPr>
            <sz val="9"/>
            <color indexed="81"/>
            <rFont val="Tahoma"/>
            <family val="2"/>
          </rPr>
          <t xml:space="preserve">
Incl. electricity for compression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Mathias Hintze</author>
  </authors>
  <commentList>
    <comment ref="F10" authorId="0" shapeId="0" xr:uid="{04B98DFE-0825-46A4-BC25-52622A2DC5CC}">
      <text>
        <r>
          <rPr>
            <b/>
            <sz val="9"/>
            <color indexed="81"/>
            <rFont val="Tahoma"/>
            <family val="2"/>
          </rPr>
          <t>Mathias Hintze:</t>
        </r>
        <r>
          <rPr>
            <sz val="9"/>
            <color indexed="81"/>
            <rFont val="Tahoma"/>
            <family val="2"/>
          </rPr>
          <t xml:space="preserve">
WACC</t>
        </r>
      </text>
    </comment>
    <comment ref="H10" authorId="0" shapeId="0" xr:uid="{C90F81E1-72B2-40F8-91B7-49E694D5D9F9}">
      <text>
        <r>
          <rPr>
            <b/>
            <sz val="9"/>
            <color indexed="81"/>
            <rFont val="Tahoma"/>
            <family val="2"/>
          </rPr>
          <t>Mathias Hintze:</t>
        </r>
        <r>
          <rPr>
            <sz val="9"/>
            <color indexed="81"/>
            <rFont val="Tahoma"/>
            <family val="2"/>
          </rPr>
          <t xml:space="preserve">
60% debt, 5% cost of debt, 10%cost of equity.</t>
        </r>
      </text>
    </comment>
    <comment ref="H11" authorId="0" shapeId="0" xr:uid="{D2CEC79F-6F69-44DA-B615-71333FA426DF}">
      <text>
        <r>
          <rPr>
            <b/>
            <sz val="9"/>
            <color indexed="81"/>
            <rFont val="Tahoma"/>
            <family val="2"/>
          </rPr>
          <t>Mathias Hintze:</t>
        </r>
        <r>
          <rPr>
            <sz val="9"/>
            <color indexed="81"/>
            <rFont val="Tahoma"/>
            <family val="2"/>
          </rPr>
          <t xml:space="preserve">
60% debt, 5% cost of debt, 10%cost of equity - half annual impact of debt</t>
        </r>
      </text>
    </comment>
    <comment ref="H69" authorId="0" shapeId="0" xr:uid="{25EBB7BF-72F5-45CE-9833-D81AAAFAF9F6}">
      <text>
        <r>
          <rPr>
            <b/>
            <sz val="9"/>
            <color indexed="81"/>
            <rFont val="Tahoma"/>
            <family val="2"/>
          </rPr>
          <t>Mathias Hintze:</t>
        </r>
        <r>
          <rPr>
            <sz val="9"/>
            <color indexed="81"/>
            <rFont val="Tahoma"/>
            <family val="2"/>
          </rPr>
          <t xml:space="preserve">
50/50 split between solar and wind</t>
        </r>
      </text>
    </comment>
    <comment ref="H132" authorId="0" shapeId="0" xr:uid="{74CB76D5-8BE6-43C3-8F9F-B6ADC17A8CBB}">
      <text>
        <r>
          <rPr>
            <b/>
            <sz val="9"/>
            <color indexed="81"/>
            <rFont val="Tahoma"/>
            <family val="2"/>
          </rPr>
          <t>Mathias Hintze:</t>
        </r>
        <r>
          <rPr>
            <sz val="9"/>
            <color indexed="81"/>
            <rFont val="Tahoma"/>
            <family val="2"/>
          </rPr>
          <t xml:space="preserve">
Calculated from LHV into kWh</t>
        </r>
      </text>
    </comment>
    <comment ref="B302" authorId="0" shapeId="0" xr:uid="{4557F52D-2B75-480B-A7B0-4AF24560EBAF}">
      <text>
        <r>
          <rPr>
            <b/>
            <sz val="9"/>
            <color indexed="81"/>
            <rFont val="Tahoma"/>
            <family val="2"/>
          </rPr>
          <t>Mathias Hintze:</t>
        </r>
        <r>
          <rPr>
            <sz val="9"/>
            <color indexed="81"/>
            <rFont val="Tahoma"/>
            <family val="2"/>
          </rPr>
          <t xml:space="preserve">
Kept in the document to align with structure in results tab</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Mathias Hintze</author>
  </authors>
  <commentList>
    <comment ref="H9" authorId="0" shapeId="0" xr:uid="{E7D0175B-0FB3-48CB-842A-24674AD6EF98}">
      <text>
        <r>
          <rPr>
            <b/>
            <sz val="9"/>
            <color indexed="81"/>
            <rFont val="Tahoma"/>
            <family val="2"/>
          </rPr>
          <t>Mathias Hintze:</t>
        </r>
        <r>
          <rPr>
            <sz val="9"/>
            <color indexed="81"/>
            <rFont val="Tahoma"/>
            <family val="2"/>
          </rPr>
          <t xml:space="preserve">
June 1, 2022</t>
        </r>
      </text>
    </comment>
    <comment ref="I9" authorId="0" shapeId="0" xr:uid="{1E3627E6-CDAA-4082-B8D3-CA3E380A9A85}">
      <text>
        <r>
          <rPr>
            <b/>
            <sz val="9"/>
            <color indexed="81"/>
            <rFont val="Tahoma"/>
            <family val="2"/>
          </rPr>
          <t>Mathias Hintze:</t>
        </r>
        <r>
          <rPr>
            <sz val="9"/>
            <color indexed="81"/>
            <rFont val="Tahoma"/>
            <family val="2"/>
          </rPr>
          <t xml:space="preserve">
June 1, 2022
Brent futures, 2025 average</t>
        </r>
      </text>
    </comment>
    <comment ref="J9" authorId="0" shapeId="0" xr:uid="{A2848BAC-6028-4244-8497-6A3B6CE52B4D}">
      <text>
        <r>
          <rPr>
            <b/>
            <sz val="9"/>
            <color indexed="81"/>
            <rFont val="Tahoma"/>
            <family val="2"/>
          </rPr>
          <t>Mathias Hintze:</t>
        </r>
        <r>
          <rPr>
            <sz val="9"/>
            <color indexed="81"/>
            <rFont val="Tahoma"/>
            <family val="2"/>
          </rPr>
          <t xml:space="preserve">
June 1, 2022
Brent futures, 2030 value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<sst xmlns="http://schemas.openxmlformats.org/spreadsheetml/2006/main" count="20829" uniqueCount="1742">
  <si>
    <t xml:space="preserve"> Mærsk Mc-Kinney Møller Center for Zero Carbon Shipping - zerocarbonshipping.com</t>
  </si>
  <si>
    <t>Sheets</t>
  </si>
  <si>
    <t>Description</t>
  </si>
  <si>
    <t>Dashboard - Graphs</t>
  </si>
  <si>
    <t>Key indicative graphs for the selected configurations and scenarios</t>
  </si>
  <si>
    <t>Dashboard - Tables</t>
  </si>
  <si>
    <t>Key indicative tables for the selected configurations and scenarios</t>
  </si>
  <si>
    <t>Vessel Configurator</t>
  </si>
  <si>
    <t>Allows to configure 5 vessels with different fuels, energy efficiency levers and for different scenarios</t>
  </si>
  <si>
    <t>Main Assumptions</t>
  </si>
  <si>
    <t>A range of key assumptions easily accesible for changing</t>
  </si>
  <si>
    <t>Calcuation - Summarized</t>
  </si>
  <si>
    <t>Summary of key calculated values for the 5 selected vessels - TCO analysis</t>
  </si>
  <si>
    <t>To see the below sheets, they have to be unhidden. To do so, right-click on the row of sheets below and press "unhide".</t>
  </si>
  <si>
    <t>Backup sheets</t>
  </si>
  <si>
    <t>Calcuation - Detailed</t>
  </si>
  <si>
    <t>All, detailed calculations for the 5 selected vessels - TCO analysis. Locked for access.</t>
  </si>
  <si>
    <t>TCO - Input</t>
  </si>
  <si>
    <t>Summary of main input data for vessels used for TCO analysis. To adjust key parameteres related to vessels, look here.</t>
  </si>
  <si>
    <t>EE - Input</t>
  </si>
  <si>
    <t>Energy efficiency levers input data. To adjust impact, cost and other parameters for EE levers, look here.</t>
  </si>
  <si>
    <t>Vessel Profiles - Input</t>
  </si>
  <si>
    <t>Profiles of vessels per segment. To see and adjust profiles of vessels, look here.</t>
  </si>
  <si>
    <t>Fuel Selector</t>
  </si>
  <si>
    <t>Combining external and modelled fuel in one sheet</t>
  </si>
  <si>
    <t>Fuel Logistics</t>
  </si>
  <si>
    <t>Calculates logistics cost and emissions (from fuel production to port)</t>
  </si>
  <si>
    <t>Fuel Cost - External</t>
  </si>
  <si>
    <t>Includes externally modelled fuels (such as LSFO etc)</t>
  </si>
  <si>
    <t>Fuel Model - Summary</t>
  </si>
  <si>
    <t>A summary of all modelled fuels including production cost and emissions</t>
  </si>
  <si>
    <t>Fuel Model - Calculation</t>
  </si>
  <si>
    <t>Detailed calculations of fuel production cost and emissions per region. Locked for access.</t>
  </si>
  <si>
    <t>Fuel Model - Input</t>
  </si>
  <si>
    <t>All key input for the fuel model. To adjust and see all assumptions related to the fuel model, look here.</t>
  </si>
  <si>
    <t>Fuel Cost - Oil Deep-dive</t>
  </si>
  <si>
    <t>Separate sheet for estimation of oil (and oil-derivatives) cost</t>
  </si>
  <si>
    <t>Configurator Specs.</t>
  </si>
  <si>
    <t>All mapping and specs. for model - backup</t>
  </si>
  <si>
    <t>Development over time graphs</t>
  </si>
  <si>
    <t>Snapshot graphs</t>
  </si>
  <si>
    <t>Index</t>
  </si>
  <si>
    <t>Vessel</t>
  </si>
  <si>
    <t>Category</t>
  </si>
  <si>
    <t>CAPEX and Finance</t>
  </si>
  <si>
    <t>OPEX excl. fuel</t>
  </si>
  <si>
    <t>Total fuel</t>
  </si>
  <si>
    <t>Total</t>
  </si>
  <si>
    <t>Fuel cost in USD/GJ for selected fuels</t>
  </si>
  <si>
    <t>Fuel</t>
  </si>
  <si>
    <t>CAPEX</t>
  </si>
  <si>
    <t>OPEX excl. feedstock</t>
  </si>
  <si>
    <t>Other feedstock</t>
  </si>
  <si>
    <t>CO2 (feedstock or CCS)</t>
  </si>
  <si>
    <t>Electricity</t>
  </si>
  <si>
    <t>Not modelled</t>
  </si>
  <si>
    <t>Well-to-wake emission factors (kgCO2/GJ)</t>
  </si>
  <si>
    <t>Fuel cost</t>
  </si>
  <si>
    <t>Carbon price impact</t>
  </si>
  <si>
    <t>Base</t>
  </si>
  <si>
    <t>Engines</t>
  </si>
  <si>
    <t>ME</t>
  </si>
  <si>
    <t>Fuel cell</t>
  </si>
  <si>
    <t>AU</t>
  </si>
  <si>
    <t>Tank &amp; fuel system</t>
  </si>
  <si>
    <t>EE levers</t>
  </si>
  <si>
    <t>Tank</t>
  </si>
  <si>
    <t>Yard install.</t>
  </si>
  <si>
    <t>Fuel supply system</t>
  </si>
  <si>
    <t>Yard installation</t>
  </si>
  <si>
    <t>Efficiency levers</t>
  </si>
  <si>
    <t>Plotted category</t>
  </si>
  <si>
    <t>Port &amp; Canal fees</t>
  </si>
  <si>
    <t>Other OPEX (incl. maintenance)</t>
  </si>
  <si>
    <t>Total Fuel</t>
  </si>
  <si>
    <t>Total CO2</t>
  </si>
  <si>
    <t>Voyage cost</t>
  </si>
  <si>
    <t>Cargo capacity loss</t>
  </si>
  <si>
    <t>Opex (incl maintenance)</t>
  </si>
  <si>
    <t>Energy efficency related</t>
  </si>
  <si>
    <t>Cargo Capacity Loss</t>
  </si>
  <si>
    <t>Non-fuel OPEX related to efficiency</t>
  </si>
  <si>
    <t>Critical levers</t>
  </si>
  <si>
    <t>Show year:</t>
  </si>
  <si>
    <t>Scenario</t>
  </si>
  <si>
    <t>Level</t>
  </si>
  <si>
    <t>Unit</t>
  </si>
  <si>
    <t>Comment</t>
  </si>
  <si>
    <r>
      <t>CO</t>
    </r>
    <r>
      <rPr>
        <b/>
        <vertAlign val="subscript"/>
        <sz val="11"/>
        <color theme="1"/>
        <rFont val="Arial"/>
        <family val="2"/>
      </rPr>
      <t>2</t>
    </r>
    <r>
      <rPr>
        <b/>
        <sz val="11"/>
        <color theme="1"/>
        <rFont val="Arial"/>
        <family val="2"/>
      </rPr>
      <t xml:space="preserve"> pricing</t>
    </r>
  </si>
  <si>
    <t>No tax</t>
  </si>
  <si>
    <r>
      <t>USD/tCO</t>
    </r>
    <r>
      <rPr>
        <vertAlign val="subscript"/>
        <sz val="11"/>
        <color theme="1"/>
        <rFont val="Arial"/>
        <family val="2"/>
      </rPr>
      <t>2</t>
    </r>
  </si>
  <si>
    <r>
      <t>Added cost of CO</t>
    </r>
    <r>
      <rPr>
        <vertAlign val="subscript"/>
        <sz val="11"/>
        <color theme="1"/>
        <rFont val="Arial"/>
        <family val="2"/>
      </rPr>
      <t>2</t>
    </r>
    <r>
      <rPr>
        <sz val="11"/>
        <color theme="1"/>
        <rFont val="Arial"/>
        <family val="2"/>
      </rPr>
      <t xml:space="preserve"> emissions</t>
    </r>
  </si>
  <si>
    <t>Green financing</t>
  </si>
  <si>
    <t>Penalty on interest rates (financing)</t>
  </si>
  <si>
    <t>Electricity cost</t>
  </si>
  <si>
    <t>Path we are on</t>
  </si>
  <si>
    <t>Fuel cell advancements</t>
  </si>
  <si>
    <t>Oil price scenario</t>
  </si>
  <si>
    <t>Vessel configurations</t>
  </si>
  <si>
    <t>Vessel 1</t>
  </si>
  <si>
    <t>Vessel 2</t>
  </si>
  <si>
    <t>Vessel 3</t>
  </si>
  <si>
    <t>Vessel 4</t>
  </si>
  <si>
    <t>Vessel 5</t>
  </si>
  <si>
    <t>Vessel type</t>
  </si>
  <si>
    <t>Container</t>
  </si>
  <si>
    <t>Size</t>
  </si>
  <si>
    <t>Medium</t>
  </si>
  <si>
    <t>Region of bunkering</t>
  </si>
  <si>
    <t>Global</t>
  </si>
  <si>
    <t>Annual Canal Transits</t>
  </si>
  <si>
    <t>Main engine</t>
  </si>
  <si>
    <t>ICE HFO</t>
  </si>
  <si>
    <t>ICE LNG</t>
  </si>
  <si>
    <t>ICE Methanol</t>
  </si>
  <si>
    <t>ICE Ammonia</t>
  </si>
  <si>
    <t>Fuel type 1 ME</t>
  </si>
  <si>
    <t>LSFO</t>
  </si>
  <si>
    <t>Biomethane</t>
  </si>
  <si>
    <t>e-Methanol (PS)</t>
  </si>
  <si>
    <t>Blue ammonia</t>
  </si>
  <si>
    <t>e-Ammonia</t>
  </si>
  <si>
    <t>Fuel type 2 ME</t>
  </si>
  <si>
    <t>Biodiesel (Pyr)</t>
  </si>
  <si>
    <t>Fuel type 1 ME, %</t>
  </si>
  <si>
    <t>Auxiliary engine</t>
  </si>
  <si>
    <t>Fuel type AU</t>
  </si>
  <si>
    <t>Fuel Type Boiler</t>
  </si>
  <si>
    <r>
      <t>CO</t>
    </r>
    <r>
      <rPr>
        <b/>
        <vertAlign val="subscript"/>
        <sz val="11"/>
        <color theme="1"/>
        <rFont val="Arial"/>
        <family val="2"/>
      </rPr>
      <t>2</t>
    </r>
    <r>
      <rPr>
        <b/>
        <sz val="11"/>
        <color theme="1"/>
        <rFont val="Arial"/>
        <family val="2"/>
      </rPr>
      <t xml:space="preserve"> emissions</t>
    </r>
  </si>
  <si>
    <t>WTW</t>
  </si>
  <si>
    <t>Energy Efficiency Levers</t>
  </si>
  <si>
    <t>Option/Vessel</t>
  </si>
  <si>
    <t>Calculation option</t>
  </si>
  <si>
    <t>Manual</t>
  </si>
  <si>
    <t>Speed management</t>
  </si>
  <si>
    <t>Yes</t>
  </si>
  <si>
    <t>Weather routing</t>
  </si>
  <si>
    <t xml:space="preserve">ME Hybridization </t>
  </si>
  <si>
    <t>No</t>
  </si>
  <si>
    <t>Engine de-rating</t>
  </si>
  <si>
    <t>Engine tuning</t>
  </si>
  <si>
    <t>Shaft motor (Driven by WHR)</t>
  </si>
  <si>
    <t>Hull shape optimisation</t>
  </si>
  <si>
    <t>Lightweight hull</t>
  </si>
  <si>
    <t>Hull paint/coating</t>
  </si>
  <si>
    <t>Hull cleaning</t>
  </si>
  <si>
    <t>Air cavity lubrication</t>
  </si>
  <si>
    <t>Trim and draft optimization</t>
  </si>
  <si>
    <t>Hull retrofit</t>
  </si>
  <si>
    <t>Propeller cleaning</t>
  </si>
  <si>
    <t>Propeller re-fitting</t>
  </si>
  <si>
    <t>Propeller improvement devices</t>
  </si>
  <si>
    <t>Rudder autopilot</t>
  </si>
  <si>
    <t>Flettner rotors</t>
  </si>
  <si>
    <t>Sails</t>
  </si>
  <si>
    <t>Kites</t>
  </si>
  <si>
    <t>Waste heat recovery system</t>
  </si>
  <si>
    <t>Shaft generator</t>
  </si>
  <si>
    <t>Solar power</t>
  </si>
  <si>
    <t>Shore power</t>
  </si>
  <si>
    <t>Variable frequency drive</t>
  </si>
  <si>
    <t>Lighting systems</t>
  </si>
  <si>
    <t>A/C and heating systems</t>
  </si>
  <si>
    <r>
      <rPr>
        <sz val="11"/>
        <rFont val="Arial"/>
        <family val="2"/>
      </rPr>
      <t>Maneuvering</t>
    </r>
    <r>
      <rPr>
        <sz val="11"/>
        <color rgb="FF0070C0"/>
        <rFont val="Arial"/>
        <family val="2"/>
      </rPr>
      <t xml:space="preserve"> </t>
    </r>
    <r>
      <rPr>
        <sz val="11"/>
        <color theme="1"/>
        <rFont val="Arial"/>
        <family val="2"/>
      </rPr>
      <t>equipment (e.g. Thrusters)</t>
    </r>
  </si>
  <si>
    <t>AE Hybridization</t>
  </si>
  <si>
    <t>Load optimization</t>
  </si>
  <si>
    <t>Steam system efficiency</t>
  </si>
  <si>
    <t>Cargo systems (e.g. Cargo pumps)</t>
  </si>
  <si>
    <t>Exhaust gas boiler on AE</t>
  </si>
  <si>
    <t>Description of chosen vessel setup</t>
  </si>
  <si>
    <t>Expand for full description of vessel configurations</t>
  </si>
  <si>
    <t>Plot name</t>
  </si>
  <si>
    <t>Configuration type</t>
  </si>
  <si>
    <t>General</t>
  </si>
  <si>
    <t>Default assumptions</t>
  </si>
  <si>
    <t>Plant lifetime</t>
  </si>
  <si>
    <t>years</t>
  </si>
  <si>
    <t>Cost of equity</t>
  </si>
  <si>
    <t>%</t>
  </si>
  <si>
    <t>Cost of debt</t>
  </si>
  <si>
    <t>Share of debt</t>
  </si>
  <si>
    <t>Vessel related</t>
  </si>
  <si>
    <t>Main engine efficiency</t>
  </si>
  <si>
    <t>ICE - LSFO</t>
  </si>
  <si>
    <t>kWh_out / kWh_in</t>
  </si>
  <si>
    <t>ICE - Ammonia</t>
  </si>
  <si>
    <t>ICE - Methanol</t>
  </si>
  <si>
    <t>ICE - LNG</t>
  </si>
  <si>
    <t>ICE - LPG</t>
  </si>
  <si>
    <t>Battery</t>
  </si>
  <si>
    <t>Fuel cell CAPEX</t>
  </si>
  <si>
    <t>USD/KW</t>
  </si>
  <si>
    <t>Fuel cell CAPEX ann. reduction</t>
  </si>
  <si>
    <t>Fuel related</t>
  </si>
  <si>
    <t>Electricty cost (manual setting)</t>
  </si>
  <si>
    <t>Europe</t>
  </si>
  <si>
    <t>USD/MWh</t>
  </si>
  <si>
    <t>Middle East</t>
  </si>
  <si>
    <t>Asia</t>
  </si>
  <si>
    <t>Americas</t>
  </si>
  <si>
    <t>Africa</t>
  </si>
  <si>
    <t>Crude oil (manual setting)</t>
  </si>
  <si>
    <t>Crude</t>
  </si>
  <si>
    <t>USD/bbl</t>
  </si>
  <si>
    <t>Natural gas</t>
  </si>
  <si>
    <t>USD/ton</t>
  </si>
  <si>
    <t>TCO Output</t>
  </si>
  <si>
    <t>TCO component</t>
  </si>
  <si>
    <t>Item</t>
  </si>
  <si>
    <t>CAPEX AND FINANCE</t>
  </si>
  <si>
    <t>Capex and Finance</t>
  </si>
  <si>
    <t>USD/year</t>
  </si>
  <si>
    <t>COST OF CAPITAL</t>
  </si>
  <si>
    <t>Annual cost of capital</t>
  </si>
  <si>
    <t>Cost of capital</t>
  </si>
  <si>
    <t>Cost of debt - CO2 penalty</t>
  </si>
  <si>
    <t>Cost of equity - CO2 penalty</t>
  </si>
  <si>
    <t>Total CAPEX</t>
  </si>
  <si>
    <t>Capex</t>
  </si>
  <si>
    <t>Opex</t>
  </si>
  <si>
    <t>Total OPEX</t>
  </si>
  <si>
    <t>Opex excl. fuel</t>
  </si>
  <si>
    <t>Fuel ME(1)</t>
  </si>
  <si>
    <t>Fuel ME(2)</t>
  </si>
  <si>
    <t>Fuel AU</t>
  </si>
  <si>
    <t>Fuel Boiler</t>
  </si>
  <si>
    <t>Port charges</t>
  </si>
  <si>
    <t>Port Charges</t>
  </si>
  <si>
    <t>Canal fees</t>
  </si>
  <si>
    <t>Canal Fees</t>
  </si>
  <si>
    <t>Ancilliary Opex</t>
  </si>
  <si>
    <t>Maintenance</t>
  </si>
  <si>
    <t>Maintenance ME</t>
  </si>
  <si>
    <t>Maintenance AU</t>
  </si>
  <si>
    <t>Maintenance Tank</t>
  </si>
  <si>
    <t>Maintenance Supply</t>
  </si>
  <si>
    <t>Cost of CO2 emissions</t>
  </si>
  <si>
    <t>CO2 ME</t>
  </si>
  <si>
    <t>CO2 AU</t>
  </si>
  <si>
    <t>CO2 Boiler</t>
  </si>
  <si>
    <t>Opportunity cost</t>
  </si>
  <si>
    <t>Efficiency OPEX</t>
  </si>
  <si>
    <t>EE Fuel Saving</t>
  </si>
  <si>
    <t>Fuel Saving</t>
  </si>
  <si>
    <t>% relative to Reference new vessel</t>
  </si>
  <si>
    <t>Total TCO</t>
  </si>
  <si>
    <t>CO2 emissions selected</t>
  </si>
  <si>
    <t>ton/year</t>
  </si>
  <si>
    <t>CO2 emissions ME</t>
  </si>
  <si>
    <t>CO2 emissions AU</t>
  </si>
  <si>
    <t>CO2 emissions boiler</t>
  </si>
  <si>
    <t>CO2 emissions total</t>
  </si>
  <si>
    <t>WTT emissions</t>
  </si>
  <si>
    <t>TTP emissions</t>
  </si>
  <si>
    <t>EEDI</t>
  </si>
  <si>
    <t>EEDI calculated</t>
  </si>
  <si>
    <t>gCO2/ton-mile</t>
  </si>
  <si>
    <t>TCO Calculation</t>
  </si>
  <si>
    <t>Typical Speed (knots)</t>
  </si>
  <si>
    <t>Tank size buffer</t>
  </si>
  <si>
    <t>CO2 emissions</t>
  </si>
  <si>
    <t>Fuel type 1</t>
  </si>
  <si>
    <t>Fuel type 2</t>
  </si>
  <si>
    <t>Cost of Capital</t>
  </si>
  <si>
    <t>Annual interest</t>
  </si>
  <si>
    <t>Base interest</t>
  </si>
  <si>
    <t>Carbon penalty</t>
  </si>
  <si>
    <t>% per tCO2/TJ (normalized to HFO)</t>
  </si>
  <si>
    <t>Relative carbon intensity</t>
  </si>
  <si>
    <t>Annual cost of equity</t>
  </si>
  <si>
    <t>Base cost of equity</t>
  </si>
  <si>
    <t>TCO</t>
  </si>
  <si>
    <t>Yard installation CAPEX</t>
  </si>
  <si>
    <t>Base CAPEX</t>
  </si>
  <si>
    <t>ME capex</t>
  </si>
  <si>
    <t>USD/vessel</t>
  </si>
  <si>
    <t>ME - Engine power max</t>
  </si>
  <si>
    <t>MW</t>
  </si>
  <si>
    <t>ME cost</t>
  </si>
  <si>
    <t>USD/MW</t>
  </si>
  <si>
    <t>Fuel cell cost</t>
  </si>
  <si>
    <t>Electric propulsion system cost</t>
  </si>
  <si>
    <t>AU capex</t>
  </si>
  <si>
    <t>AE cost</t>
  </si>
  <si>
    <t>AE - Engine power max</t>
  </si>
  <si>
    <t>Total tank capex</t>
  </si>
  <si>
    <t>Battery CAPEX</t>
  </si>
  <si>
    <t>USD/ year</t>
  </si>
  <si>
    <t>Battery cost (incl replacements)</t>
  </si>
  <si>
    <t>USD/ MWh</t>
  </si>
  <si>
    <t>ME Battery MWh</t>
  </si>
  <si>
    <t>MWh</t>
  </si>
  <si>
    <t>Tank capex ME 1</t>
  </si>
  <si>
    <t>Tank system cost</t>
  </si>
  <si>
    <t>USD/m3</t>
  </si>
  <si>
    <t>Fuel tank size - contribution from ME 1</t>
  </si>
  <si>
    <t>m3</t>
  </si>
  <si>
    <t>Power contribution ME 1</t>
  </si>
  <si>
    <t>Fuel tank size</t>
  </si>
  <si>
    <t>density - volumetric</t>
  </si>
  <si>
    <t>ton/m3</t>
  </si>
  <si>
    <t>Required fuel capacity</t>
  </si>
  <si>
    <t>ton</t>
  </si>
  <si>
    <t>Buffer</t>
  </si>
  <si>
    <t>Days required tank range</t>
  </si>
  <si>
    <t>days</t>
  </si>
  <si>
    <t>Fuel Tank - sailing day range</t>
  </si>
  <si>
    <t>Days at sea</t>
  </si>
  <si>
    <t># of sailing days</t>
  </si>
  <si>
    <t>Fuel used at sea</t>
  </si>
  <si>
    <t>tons/year</t>
  </si>
  <si>
    <t>Includes boiler + ME1</t>
  </si>
  <si>
    <t>Tank capex ME 2</t>
  </si>
  <si>
    <t>Power contribution ME 2</t>
  </si>
  <si>
    <t>Tank capex AU</t>
  </si>
  <si>
    <t>Total supply system capex</t>
  </si>
  <si>
    <t>Supply system cost fixed</t>
  </si>
  <si>
    <t>Supply system cost variable</t>
  </si>
  <si>
    <t>Total efficiency CAPEX</t>
  </si>
  <si>
    <t>OPEX</t>
  </si>
  <si>
    <t>Total Fuel cost</t>
  </si>
  <si>
    <t>Fuel cost ME</t>
  </si>
  <si>
    <t>Convert to GJ</t>
  </si>
  <si>
    <t>Fuel cost total</t>
  </si>
  <si>
    <t>USD/GJ</t>
  </si>
  <si>
    <t>Fuel consumption ME</t>
  </si>
  <si>
    <t>GJ/year</t>
  </si>
  <si>
    <t>ME efficiency - relative</t>
  </si>
  <si>
    <t>Fuel consumption ME 1</t>
  </si>
  <si>
    <t>After additional efficiency improvements</t>
  </si>
  <si>
    <t>ME efficiency</t>
  </si>
  <si>
    <t>kWh_out/kWh_in</t>
  </si>
  <si>
    <t>LHV - kWh</t>
  </si>
  <si>
    <t>kwh/ton</t>
  </si>
  <si>
    <t>Fuel consumption ME 2</t>
  </si>
  <si>
    <t>ME total output per year</t>
  </si>
  <si>
    <t>MWh/year</t>
  </si>
  <si>
    <t>Design and EE affecting ME</t>
  </si>
  <si>
    <t>Combined EE effect</t>
  </si>
  <si>
    <t>Fuel cost AU</t>
  </si>
  <si>
    <t>Fuel consumption AU</t>
  </si>
  <si>
    <t>AE - operational hours - sea</t>
  </si>
  <si>
    <t>hrs/year</t>
  </si>
  <si>
    <t>AE - operational hours - port</t>
  </si>
  <si>
    <t>AE - MCR - Sea</t>
  </si>
  <si>
    <t>AE - MCR - Port</t>
  </si>
  <si>
    <t>AE efficiency</t>
  </si>
  <si>
    <t>AE efficiency - relative</t>
  </si>
  <si>
    <t>Energy efficiency levers affecting AE</t>
  </si>
  <si>
    <t>Ship EE lever impact A/E</t>
  </si>
  <si>
    <t>Fuel cost BOILER</t>
  </si>
  <si>
    <t>Fuel consumption boiler</t>
  </si>
  <si>
    <t>Boiler total output per year</t>
  </si>
  <si>
    <t>Boiler efficiency</t>
  </si>
  <si>
    <t>Energy efficiency improvement boiler</t>
  </si>
  <si>
    <t>Maintenance total</t>
  </si>
  <si>
    <t>ME Maintenance</t>
  </si>
  <si>
    <t>ME consumption</t>
  </si>
  <si>
    <t>Electric motor maintenance</t>
  </si>
  <si>
    <t>AE Maintenance</t>
  </si>
  <si>
    <t>AE consumption</t>
  </si>
  <si>
    <t>Total Maintenance Tank</t>
  </si>
  <si>
    <t>Tank maintenance</t>
  </si>
  <si>
    <t>Main Fuel</t>
  </si>
  <si>
    <t>Tank maintenance (secondary)</t>
  </si>
  <si>
    <t>Second fuel</t>
  </si>
  <si>
    <t>Total Maintenance Supply</t>
  </si>
  <si>
    <t>Supply system maintenance</t>
  </si>
  <si>
    <t>Supply system maintenance (secondary)</t>
  </si>
  <si>
    <t>Ancillary OPEX</t>
  </si>
  <si>
    <t>Total voyage cost</t>
  </si>
  <si>
    <t>Port call cost</t>
  </si>
  <si>
    <t>Annual port calls</t>
  </si>
  <si>
    <t># Calls</t>
  </si>
  <si>
    <t>Cost per port call</t>
  </si>
  <si>
    <t>USD/ call</t>
  </si>
  <si>
    <t>Canal crossings</t>
  </si>
  <si>
    <t># Canal crossings</t>
  </si>
  <si>
    <t>Canal crossing cost</t>
  </si>
  <si>
    <t>USD/ crossing</t>
  </si>
  <si>
    <t>Efficiency measures</t>
  </si>
  <si>
    <t>CO2</t>
  </si>
  <si>
    <t>USD/ton CO2</t>
  </si>
  <si>
    <t>CO2 ME 1</t>
  </si>
  <si>
    <t>CO2 ME 2</t>
  </si>
  <si>
    <t>CO2 TOTAL</t>
  </si>
  <si>
    <t>Total CO2 yr</t>
  </si>
  <si>
    <t>WTT emissivity</t>
  </si>
  <si>
    <t>kg/GJ</t>
  </si>
  <si>
    <t>TTP emissivity</t>
  </si>
  <si>
    <t>Excess space requirement</t>
  </si>
  <si>
    <t>Required tank size</t>
  </si>
  <si>
    <t>Tank space opportunity factor</t>
  </si>
  <si>
    <t>Spherical tank waste</t>
  </si>
  <si>
    <t>Tank space opportunity factor (0=use void spaces)</t>
  </si>
  <si>
    <t>Tank size m3</t>
  </si>
  <si>
    <t>Fuel efficiency</t>
  </si>
  <si>
    <t>ME effficiency</t>
  </si>
  <si>
    <t>Efficiency weighted fuel cost</t>
  </si>
  <si>
    <t>Savings</t>
  </si>
  <si>
    <t>USD / year</t>
  </si>
  <si>
    <t>USD</t>
  </si>
  <si>
    <t>AE</t>
  </si>
  <si>
    <t>boiler</t>
  </si>
  <si>
    <t>Fuel consumption (tpy)</t>
  </si>
  <si>
    <t>Fuel consumption</t>
  </si>
  <si>
    <t>Fuel consumption ME 1 GJ/year</t>
  </si>
  <si>
    <t>includes efficiency gains</t>
  </si>
  <si>
    <t>Fuel consumption ME 1 tpy</t>
  </si>
  <si>
    <t>Fuel consumption ME 2 GJ/year</t>
  </si>
  <si>
    <t>Fuel consumption ME 2 tpy</t>
  </si>
  <si>
    <t>Fuel consumption AU GJ/year</t>
  </si>
  <si>
    <t>Fuel consumption AU tpy</t>
  </si>
  <si>
    <t>Boiler Fuel Consumption GJ/year</t>
  </si>
  <si>
    <t>Boiler Fuel Consumption tpy</t>
  </si>
  <si>
    <t>GJ/MTM</t>
  </si>
  <si>
    <t>Ton-miles</t>
  </si>
  <si>
    <t>MTM/year</t>
  </si>
  <si>
    <t>Total weighted efficiency improvement</t>
  </si>
  <si>
    <t>EIV calculated</t>
  </si>
  <si>
    <t>Mtm/year</t>
  </si>
  <si>
    <t>Average DWT</t>
  </si>
  <si>
    <t>DWT</t>
  </si>
  <si>
    <t>Load factor</t>
  </si>
  <si>
    <t>Load factor EEDI</t>
  </si>
  <si>
    <t>Operational speed</t>
  </si>
  <si>
    <t>knots</t>
  </si>
  <si>
    <t>EEDI esitmated</t>
  </si>
  <si>
    <t>Carbon efficiency</t>
  </si>
  <si>
    <t>tonCO2/GJ</t>
  </si>
  <si>
    <t>Energy efficiency levers</t>
  </si>
  <si>
    <t>Energy efficiency levers - Consumption and emission pre-EE</t>
  </si>
  <si>
    <t>Consumptions pre-EE improvements</t>
  </si>
  <si>
    <t>Fuel Cost ME pre-EE</t>
  </si>
  <si>
    <t>Fuel consumption ME pre-EE</t>
  </si>
  <si>
    <t>Fuel consumption ME 1 pre-EE</t>
  </si>
  <si>
    <t>Fuel consumption ME 2 pre-EE</t>
  </si>
  <si>
    <t>Fuel Cost AE pre-EE</t>
  </si>
  <si>
    <t>Fuel consumption AU pre-EE</t>
  </si>
  <si>
    <t>Fuel Cost Boiler pre-EE</t>
  </si>
  <si>
    <t>Fuel consumption Boiler pre-EE</t>
  </si>
  <si>
    <t>Emissions pre-EE improvements</t>
  </si>
  <si>
    <t>Emissions ME pre-EE</t>
  </si>
  <si>
    <t>Emissions ME 1 pre-EE</t>
  </si>
  <si>
    <t>Emissions ME 2 pre-EE</t>
  </si>
  <si>
    <t>Emissions AE pre-EE</t>
  </si>
  <si>
    <t>Emissions Boiler pre-EE</t>
  </si>
  <si>
    <t>EE CAPEX</t>
  </si>
  <si>
    <t>EE CAPEX BASE</t>
  </si>
  <si>
    <t>EE Total CAPEX</t>
  </si>
  <si>
    <t>Lifetime (years)</t>
  </si>
  <si>
    <t>EE ME system</t>
  </si>
  <si>
    <t>Installation cost</t>
  </si>
  <si>
    <t>EE AE system</t>
  </si>
  <si>
    <r>
      <rPr>
        <sz val="10"/>
        <rFont val="Arial"/>
        <family val="2"/>
      </rPr>
      <t>Maneuvering</t>
    </r>
    <r>
      <rPr>
        <sz val="10"/>
        <color rgb="FF0070C0"/>
        <rFont val="Arial"/>
        <family val="2"/>
      </rPr>
      <t xml:space="preserve"> </t>
    </r>
    <r>
      <rPr>
        <sz val="10"/>
        <color theme="1"/>
        <rFont val="Arial"/>
        <family val="2"/>
      </rPr>
      <t>equipment (e.g. Thrusters)</t>
    </r>
  </si>
  <si>
    <t>EE Boiler system</t>
  </si>
  <si>
    <t>EE Saving</t>
  </si>
  <si>
    <t>%-saving</t>
  </si>
  <si>
    <t>Saving</t>
  </si>
  <si>
    <t>1- %saving</t>
  </si>
  <si>
    <t>EE OPEX</t>
  </si>
  <si>
    <t>EE Total OPEX</t>
  </si>
  <si>
    <t>EE Payback</t>
  </si>
  <si>
    <t xml:space="preserve">EE Payback </t>
  </si>
  <si>
    <t>Years</t>
  </si>
  <si>
    <t>Payback</t>
  </si>
  <si>
    <t>INPUT SHEET TCO MODELLING</t>
  </si>
  <si>
    <t>Identifier</t>
  </si>
  <si>
    <t>Identifier 2</t>
  </si>
  <si>
    <t>Powertrain</t>
  </si>
  <si>
    <t>Fuel type</t>
  </si>
  <si>
    <t>Fuel  production route</t>
  </si>
  <si>
    <t>Fuel scenario</t>
  </si>
  <si>
    <t>Segment</t>
  </si>
  <si>
    <t>Weight</t>
  </si>
  <si>
    <t>Geography</t>
  </si>
  <si>
    <t xml:space="preserve">Scenario </t>
  </si>
  <si>
    <t>Cost Element</t>
  </si>
  <si>
    <t>Source</t>
  </si>
  <si>
    <t>Explanation</t>
  </si>
  <si>
    <t>Units</t>
  </si>
  <si>
    <t>Constant</t>
  </si>
  <si>
    <t>GENERAL INPUTS</t>
  </si>
  <si>
    <t>Net present value</t>
  </si>
  <si>
    <t>Normalization</t>
  </si>
  <si>
    <t>Discount rate</t>
  </si>
  <si>
    <t>Discount rate trajectory 5y ahead</t>
  </si>
  <si>
    <t>% discount 5y later</t>
  </si>
  <si>
    <t>Discount rate trajectory 5y interval</t>
  </si>
  <si>
    <t>% discount, average over 5y interval</t>
  </si>
  <si>
    <t>Discount rate average cumulative</t>
  </si>
  <si>
    <t>% discount, average cumulative</t>
  </si>
  <si>
    <t>Interest rate</t>
  </si>
  <si>
    <t>Percent</t>
  </si>
  <si>
    <t>Debt finance</t>
  </si>
  <si>
    <t>WACC</t>
  </si>
  <si>
    <t>Incentives/ penalties</t>
  </si>
  <si>
    <t>USD/ton CO2 emitted</t>
  </si>
  <si>
    <t>Africa&amp;Other</t>
  </si>
  <si>
    <t>Conversions</t>
  </si>
  <si>
    <t>kWh per MJ</t>
  </si>
  <si>
    <t>kwh/MJ</t>
  </si>
  <si>
    <t>MJ per MWh</t>
  </si>
  <si>
    <t>MJ/MWh</t>
  </si>
  <si>
    <t>GJ per MWh</t>
  </si>
  <si>
    <t>GJ/MWh</t>
  </si>
  <si>
    <t>km/h per knot</t>
  </si>
  <si>
    <t>(km/h)/knot</t>
  </si>
  <si>
    <t>Vessel lifetime</t>
  </si>
  <si>
    <t>Use same for all vessels</t>
  </si>
  <si>
    <t>CAPEX input</t>
  </si>
  <si>
    <t>Aggregated partner data input</t>
  </si>
  <si>
    <t>All other than HFO - 20% premium - Aggregated partner data input</t>
  </si>
  <si>
    <t>ICE LPG</t>
  </si>
  <si>
    <t>ME cost reduction</t>
  </si>
  <si>
    <t>Fuel Cell cost</t>
  </si>
  <si>
    <t>Fuel cell cost input</t>
  </si>
  <si>
    <t>FC system includes FC stack and BoP. HDT cost data</t>
  </si>
  <si>
    <t>Fuel cell cost improvements</t>
  </si>
  <si>
    <t>Stack percemtage of total</t>
  </si>
  <si>
    <t>Lifetime</t>
  </si>
  <si>
    <t/>
  </si>
  <si>
    <t>Battery cost</t>
  </si>
  <si>
    <t>Assuming $500 per kW</t>
  </si>
  <si>
    <t>Battery cost improvements</t>
  </si>
  <si>
    <t>Cost reduction</t>
  </si>
  <si>
    <t>Tank system</t>
  </si>
  <si>
    <t>HFO</t>
  </si>
  <si>
    <t>LNG</t>
  </si>
  <si>
    <t>Ammonia</t>
  </si>
  <si>
    <t>Methanol</t>
  </si>
  <si>
    <t>Liquid hydrogen</t>
  </si>
  <si>
    <t>Compressed hydrogen</t>
  </si>
  <si>
    <t>Diesel</t>
  </si>
  <si>
    <t>LPG</t>
  </si>
  <si>
    <t>Other</t>
  </si>
  <si>
    <t>Tank system cost - reduction</t>
  </si>
  <si>
    <t>Hydrogen (Liquid)</t>
  </si>
  <si>
    <t>Hydrogen (Compressed)</t>
  </si>
  <si>
    <t>Supply system</t>
  </si>
  <si>
    <t>USD/ vessel</t>
  </si>
  <si>
    <t>Bulk carrier</t>
  </si>
  <si>
    <t>Very Large</t>
  </si>
  <si>
    <t>Estimation</t>
  </si>
  <si>
    <t>million USD</t>
  </si>
  <si>
    <t>Large</t>
  </si>
  <si>
    <t>Small</t>
  </si>
  <si>
    <t>Tanker</t>
  </si>
  <si>
    <t>Gas Carrier</t>
  </si>
  <si>
    <t>Gen Cargo</t>
  </si>
  <si>
    <t>Offshore</t>
  </si>
  <si>
    <t>Ferry</t>
  </si>
  <si>
    <t>Tug</t>
  </si>
  <si>
    <t>RoRo/ car carrier</t>
  </si>
  <si>
    <t>Fast Ferry</t>
  </si>
  <si>
    <t>Cruise</t>
  </si>
  <si>
    <t>Propulsion efficiency</t>
  </si>
  <si>
    <t>ME efficiency momentum</t>
  </si>
  <si>
    <t>Additional efficiency improvements until 2050</t>
  </si>
  <si>
    <t>p.p. improvement</t>
  </si>
  <si>
    <t>% relative to 2020 HFO</t>
  </si>
  <si>
    <t>ME maintenance</t>
  </si>
  <si>
    <t>Maintenance &amp; consumables related to engine running (mWh) - triangulated with Drewry</t>
  </si>
  <si>
    <t>Industry input</t>
  </si>
  <si>
    <t>USD/MWh per year</t>
  </si>
  <si>
    <t>Assumed = HFO</t>
  </si>
  <si>
    <t>Electric Motor maintenance</t>
  </si>
  <si>
    <t>Assumed x% above HFO</t>
  </si>
  <si>
    <t>AE maintenance</t>
  </si>
  <si>
    <t>Maintenance is 2% of CAPEX</t>
  </si>
  <si>
    <t>Maintenance is 0.08% of ICE engine CAPEX</t>
  </si>
  <si>
    <t>Maintenance is 1% of CAPEX</t>
  </si>
  <si>
    <t>Tank maintenance -share</t>
  </si>
  <si>
    <t>% of CAPEX</t>
  </si>
  <si>
    <t>USD/m3 per year</t>
  </si>
  <si>
    <t>No tank system in place</t>
  </si>
  <si>
    <t>Aggregated partner input</t>
  </si>
  <si>
    <t>Rough estimate</t>
  </si>
  <si>
    <t>Center knowledge</t>
  </si>
  <si>
    <t>Fuel specifications</t>
  </si>
  <si>
    <t>Energy density - gravimetric</t>
  </si>
  <si>
    <t>GlobalLHV</t>
  </si>
  <si>
    <t>LHV</t>
  </si>
  <si>
    <t>MJ/ ton</t>
  </si>
  <si>
    <t>e-Hydrogen (compressed)</t>
  </si>
  <si>
    <t>e-Hydrogen (liquid)</t>
  </si>
  <si>
    <t>Biomethanol</t>
  </si>
  <si>
    <t>e-Methanol (DAC)</t>
  </si>
  <si>
    <t>e-Diesel (DAC)</t>
  </si>
  <si>
    <t>e-Diesel (PS)</t>
  </si>
  <si>
    <t>e-Methane (DAC)</t>
  </si>
  <si>
    <t>e-Methane (PS)</t>
  </si>
  <si>
    <t>Blue hydrogen (compressed)</t>
  </si>
  <si>
    <t>Blue hydrogen (liquid)</t>
  </si>
  <si>
    <t>Biodiesel (HtL)</t>
  </si>
  <si>
    <t>Biodiesel (HtL blend)</t>
  </si>
  <si>
    <t>Biodiesel (Pyr blend)</t>
  </si>
  <si>
    <t>kWh/ton</t>
  </si>
  <si>
    <t>Partner input</t>
  </si>
  <si>
    <t>Methane</t>
  </si>
  <si>
    <t>GHG emissions</t>
  </si>
  <si>
    <t>TTP CO2 emissions</t>
  </si>
  <si>
    <t>kgCO2/GJ</t>
  </si>
  <si>
    <t>WTT CO2 emissions</t>
  </si>
  <si>
    <t>WTT Logistics</t>
  </si>
  <si>
    <t>WTW CO2 emissions</t>
  </si>
  <si>
    <t>Fuel Cost (selected)</t>
  </si>
  <si>
    <t>From tab A.1 Fuel selector</t>
  </si>
  <si>
    <t>From tab 3.1 Fuel selector</t>
  </si>
  <si>
    <t>Old</t>
  </si>
  <si>
    <t>Use average of all fuels</t>
  </si>
  <si>
    <t>Diff</t>
  </si>
  <si>
    <t>Fuel primary energy efficiency (selected)</t>
  </si>
  <si>
    <t>Share of electricity</t>
  </si>
  <si>
    <t>Bulk Carrier</t>
  </si>
  <si>
    <t>RoRo/ Car carrier</t>
  </si>
  <si>
    <t>Data source(s)</t>
  </si>
  <si>
    <t>Comments</t>
  </si>
  <si>
    <t>ID</t>
  </si>
  <si>
    <t>Ref</t>
  </si>
  <si>
    <t>-</t>
  </si>
  <si>
    <t>Applicable Newbuild</t>
  </si>
  <si>
    <t>1=Yes</t>
  </si>
  <si>
    <t xml:space="preserve"> </t>
  </si>
  <si>
    <t>DNV/IMO EEDI Tool</t>
  </si>
  <si>
    <t>GloMEEP</t>
  </si>
  <si>
    <t>Only most viable wind option counted 1 to avoid overlap</t>
  </si>
  <si>
    <t>Industry/Center knowledge</t>
  </si>
  <si>
    <t>Partner feedback</t>
  </si>
  <si>
    <t>Applicable Retrofit</t>
  </si>
  <si>
    <t>$/year</t>
  </si>
  <si>
    <t>CharterShareOfFleet</t>
  </si>
  <si>
    <t>Charter</t>
  </si>
  <si>
    <t>Not in use for now, but could be relevant for penetration share modelling</t>
  </si>
  <si>
    <t>Extra retrofit cost</t>
  </si>
  <si>
    <t>$</t>
  </si>
  <si>
    <t>DNV/IMO EEDI Tool, Industry knowledge</t>
  </si>
  <si>
    <t>DNV/IMO EEDI Tool. Partner feedback VFD on SW pump and ER fans</t>
  </si>
  <si>
    <t>PenetrationShare</t>
  </si>
  <si>
    <t>PentA</t>
  </si>
  <si>
    <t>Assumption</t>
  </si>
  <si>
    <t>PentB</t>
  </si>
  <si>
    <t>PentC</t>
  </si>
  <si>
    <t>PentOps</t>
  </si>
  <si>
    <t>Retro_EquipmentCostShare_Install</t>
  </si>
  <si>
    <t>Rough assesment</t>
  </si>
  <si>
    <t>Retro_ExtraCost</t>
  </si>
  <si>
    <t>Retro_WorkCostShare_Install</t>
  </si>
  <si>
    <t>Retro_WorkCostVsNB</t>
  </si>
  <si>
    <t>Ratio</t>
  </si>
  <si>
    <t>UptakeFleetAvg2020</t>
  </si>
  <si>
    <t>IMO 4th GHG</t>
  </si>
  <si>
    <t>UptakeNewbuild2020</t>
  </si>
  <si>
    <t>Current</t>
  </si>
  <si>
    <t>Scenario 1</t>
  </si>
  <si>
    <t>Scenario 2</t>
  </si>
  <si>
    <t>VESSEL TYPES</t>
  </si>
  <si>
    <t>Assumptions</t>
  </si>
  <si>
    <t>Size category</t>
  </si>
  <si>
    <t>Metric</t>
  </si>
  <si>
    <t>Operational metrics</t>
  </si>
  <si>
    <t>IMO 4GHG, Industry input</t>
  </si>
  <si>
    <t>days/year</t>
  </si>
  <si>
    <t>Aggregated partner data</t>
  </si>
  <si>
    <t>Distance per year</t>
  </si>
  <si>
    <t>nm/year</t>
  </si>
  <si>
    <t>Time at sea</t>
  </si>
  <si>
    <t>Time in ports</t>
  </si>
  <si>
    <t>Number</t>
  </si>
  <si>
    <t>Fuel Tank - sailing range</t>
  </si>
  <si>
    <t>nm</t>
  </si>
  <si>
    <t>Average Speed selected - LADEN</t>
  </si>
  <si>
    <t>nm/hr</t>
  </si>
  <si>
    <t>Time at laden condition</t>
  </si>
  <si>
    <t>Average Speed selected - BALLAST/NORMAL</t>
  </si>
  <si>
    <t>Average combined speed</t>
  </si>
  <si>
    <t>Power - average</t>
  </si>
  <si>
    <t>Power Requirement Average</t>
  </si>
  <si>
    <t>ME - SFOC</t>
  </si>
  <si>
    <t>SFOC</t>
  </si>
  <si>
    <t>g/kwh</t>
  </si>
  <si>
    <t>AE - SFOC</t>
  </si>
  <si>
    <t>Boiler - SFOC</t>
  </si>
  <si>
    <t>ME - MCR - average - BALLAST/NORMAL</t>
  </si>
  <si>
    <t>ME - operational hours - BALLAST/NORMAL</t>
  </si>
  <si>
    <t>ME - Power Requirement Average - BALLAST/NORMAL</t>
  </si>
  <si>
    <t>ME - MCR - average</t>
  </si>
  <si>
    <t>ME - MCR - average - LADEN FOR BULK/TANKER</t>
  </si>
  <si>
    <t>ME - operational hours</t>
  </si>
  <si>
    <t>ME - Operational hours - LADEN FOR BULK/TANKER</t>
  </si>
  <si>
    <t>ME - Power Requirement Average - LADEN FOR BULK/TANKER</t>
  </si>
  <si>
    <t>Auxilary engine</t>
  </si>
  <si>
    <t>AE - Power Requirement Average</t>
  </si>
  <si>
    <t>Boiler</t>
  </si>
  <si>
    <t>Boiler - Engine power max</t>
  </si>
  <si>
    <t>Boiler - MCR (proxy) - Sea</t>
  </si>
  <si>
    <t>Boiler - MCR (proxy) - Port</t>
  </si>
  <si>
    <t>Boiler consumption - Sea</t>
  </si>
  <si>
    <t>ton/day</t>
  </si>
  <si>
    <t>Boiler consumption - Port</t>
  </si>
  <si>
    <t>Boiler - operational hours - sea</t>
  </si>
  <si>
    <t>Boiler - operational hours - port</t>
  </si>
  <si>
    <t>Boiler - Power Requirement Average</t>
  </si>
  <si>
    <t>Size definition</t>
  </si>
  <si>
    <t>8000 TEU (Post Panamax)</t>
  </si>
  <si>
    <t>100k dwt</t>
  </si>
  <si>
    <t>70-100k dwt</t>
  </si>
  <si>
    <t>10.000 &lt; GT &lt; 25.000</t>
  </si>
  <si>
    <t>100.000 GT</t>
  </si>
  <si>
    <t>IMO 4GHG</t>
  </si>
  <si>
    <t>Boiler Fuel Consumption</t>
  </si>
  <si>
    <t>4th IMO GHG study, Table 35</t>
  </si>
  <si>
    <t>Annual vessel cargo value</t>
  </si>
  <si>
    <t>Standard tank size</t>
  </si>
  <si>
    <t>m^3</t>
  </si>
  <si>
    <t>Available free space for tanks</t>
  </si>
  <si>
    <t>ME - Power Requirement Average</t>
  </si>
  <si>
    <t>Ton-mileage</t>
  </si>
  <si>
    <t>million ton-miles/year</t>
  </si>
  <si>
    <t>IMO MEPC 73</t>
  </si>
  <si>
    <t>tpy</t>
  </si>
  <si>
    <t>Total Fuel cost selected</t>
  </si>
  <si>
    <t>Region</t>
  </si>
  <si>
    <t>Fuel production cost selected</t>
  </si>
  <si>
    <t>source</t>
  </si>
  <si>
    <t>Fuel logistics cost</t>
  </si>
  <si>
    <t>Primary energy efficiency</t>
  </si>
  <si>
    <t>Share in RES cost</t>
  </si>
  <si>
    <t>Emissions</t>
  </si>
  <si>
    <t>Logistic costs</t>
  </si>
  <si>
    <t>Annual development</t>
  </si>
  <si>
    <t>Cost item</t>
  </si>
  <si>
    <t>Logistics total</t>
  </si>
  <si>
    <t>LNG / Methane</t>
  </si>
  <si>
    <t>Liquid Methane</t>
  </si>
  <si>
    <t>Transportation</t>
  </si>
  <si>
    <t>Tanker TCO/day (liquid fuel)</t>
  </si>
  <si>
    <t>USD/m3/year</t>
  </si>
  <si>
    <t>Additional TCO for Methane Gas carrier Factor</t>
  </si>
  <si>
    <t>Tanker Speed</t>
  </si>
  <si>
    <t>Knots</t>
  </si>
  <si>
    <t>Tanker CO2 emission</t>
  </si>
  <si>
    <t>ton/m3/year</t>
  </si>
  <si>
    <t>LNG &amp; e-Methane</t>
  </si>
  <si>
    <t>Sailing Days</t>
  </si>
  <si>
    <t>Days</t>
  </si>
  <si>
    <t>Bio-methane</t>
  </si>
  <si>
    <t>Distance travelled</t>
  </si>
  <si>
    <t>km</t>
  </si>
  <si>
    <t>Liq Methane</t>
  </si>
  <si>
    <t>Efficiency (50% max = return empty, add load/unload)</t>
  </si>
  <si>
    <t>Delivery</t>
  </si>
  <si>
    <t>Biomethane delivery</t>
  </si>
  <si>
    <t>Density</t>
  </si>
  <si>
    <t>kg/m3</t>
  </si>
  <si>
    <t>Boil off/day</t>
  </si>
  <si>
    <t xml:space="preserve">CAPEX </t>
  </si>
  <si>
    <t>%of Capex</t>
  </si>
  <si>
    <t>Days stored average</t>
  </si>
  <si>
    <t>Storage capacity factor</t>
  </si>
  <si>
    <t>Vaporisation energy</t>
  </si>
  <si>
    <t>kJ/mole</t>
  </si>
  <si>
    <t>Cooling Reliq efficiency</t>
  </si>
  <si>
    <t>Cooling energy/day</t>
  </si>
  <si>
    <t>Annualisation factor</t>
  </si>
  <si>
    <t>Storage</t>
  </si>
  <si>
    <t>Logistics CO2</t>
  </si>
  <si>
    <t xml:space="preserve">WTT Logistics ton CO2eq/ton </t>
  </si>
  <si>
    <t xml:space="preserve">WTT Logisitcs ton CO2/ton </t>
  </si>
  <si>
    <t>Slip factor - Methane</t>
  </si>
  <si>
    <t>WTT Logistics - kgCO2/GJ</t>
  </si>
  <si>
    <t>Additional TCO for Ammonia carrier Factor</t>
  </si>
  <si>
    <t>delivery</t>
  </si>
  <si>
    <t>Ammonia delivery</t>
  </si>
  <si>
    <t xml:space="preserve">Ammonia </t>
  </si>
  <si>
    <t>storage</t>
  </si>
  <si>
    <t>Density (refr)</t>
  </si>
  <si>
    <t>Feedstock</t>
  </si>
  <si>
    <t>Ammonia storage</t>
  </si>
  <si>
    <t>Tanker TCO/day</t>
  </si>
  <si>
    <t>Grey and e-Methanol</t>
  </si>
  <si>
    <t>Bio Methanol</t>
  </si>
  <si>
    <t>USD/ton/day</t>
  </si>
  <si>
    <t>j</t>
  </si>
  <si>
    <t>Additional TCO for Liq. Hydrogen carrier Factor</t>
  </si>
  <si>
    <t>Hydrogen delivery</t>
  </si>
  <si>
    <t>Plant capex</t>
  </si>
  <si>
    <t>#</t>
  </si>
  <si>
    <t xml:space="preserve">Liquid Hydrogen production </t>
  </si>
  <si>
    <t>Production cost</t>
  </si>
  <si>
    <t>Liquid Hydrogen storage</t>
  </si>
  <si>
    <t>Hydrogen storage</t>
  </si>
  <si>
    <t>Liquid Hydrogen</t>
  </si>
  <si>
    <t>Electricity delivery</t>
  </si>
  <si>
    <t>USD/kWh</t>
  </si>
  <si>
    <t>Powerplug cost</t>
  </si>
  <si>
    <t>Required cost recovery</t>
  </si>
  <si>
    <t>Charges</t>
  </si>
  <si>
    <t>Charges / year</t>
  </si>
  <si>
    <t>Charging throughput</t>
  </si>
  <si>
    <t>kwh / year</t>
  </si>
  <si>
    <t>USD / kWh</t>
  </si>
  <si>
    <t>USD/MJ</t>
  </si>
  <si>
    <t>Biooils and synthetic diesels</t>
  </si>
  <si>
    <t>Heavy-oils</t>
  </si>
  <si>
    <t>e-Diesel</t>
  </si>
  <si>
    <t>Bio-oils</t>
  </si>
  <si>
    <t>Heavy -oils</t>
  </si>
  <si>
    <t>Fuel price forecasts</t>
  </si>
  <si>
    <t>Crude oil</t>
  </si>
  <si>
    <t>High (Brent at 95 USD)</t>
  </si>
  <si>
    <t>Low (Brent at 20)</t>
  </si>
  <si>
    <t>Reference</t>
  </si>
  <si>
    <t>Crude correction</t>
  </si>
  <si>
    <t>GJ/ton</t>
  </si>
  <si>
    <t>NG</t>
  </si>
  <si>
    <t>Fuel production cost per GJ</t>
  </si>
  <si>
    <t>RNE production cost per GJ</t>
  </si>
  <si>
    <t>WTT emissions, gCO2eq/ MJ</t>
  </si>
  <si>
    <t>TTW emissions, gCO2eq/ MJ</t>
  </si>
  <si>
    <t>WTW emissions, gCO2eq/MJ</t>
  </si>
  <si>
    <t>Total CAPEX, USD/GJ</t>
  </si>
  <si>
    <t>Total Opex, USD/GJ</t>
  </si>
  <si>
    <t>Total CO2, USD/GJ</t>
  </si>
  <si>
    <t xml:space="preserve">Total Raw Material, USD/GJ </t>
  </si>
  <si>
    <t>Mapped to TCO ID</t>
  </si>
  <si>
    <t>Mapped to TCO fuel+Region</t>
  </si>
  <si>
    <t>MJ/ kg</t>
  </si>
  <si>
    <t>USD/ GJ</t>
  </si>
  <si>
    <t>Fuel production cost per ton, export to TCO module</t>
  </si>
  <si>
    <t xml:space="preserve">Total CAPEX </t>
  </si>
  <si>
    <t xml:space="preserve">Total Opex </t>
  </si>
  <si>
    <t xml:space="preserve">Total CO2 </t>
  </si>
  <si>
    <t xml:space="preserve">Total Raw Material </t>
  </si>
  <si>
    <t>Fuel (same as worksheet)</t>
  </si>
  <si>
    <t>USD/ ton</t>
  </si>
  <si>
    <t>Prim. energy efficiency</t>
  </si>
  <si>
    <t>Liqiud H2</t>
  </si>
  <si>
    <t>Results</t>
  </si>
  <si>
    <t>Cost of e-Hydrogen (liquid)</t>
  </si>
  <si>
    <t>Total RNE e-Hydrogen (liquid)</t>
  </si>
  <si>
    <t>Share of RNE e-Hydrogen (liquid)</t>
  </si>
  <si>
    <t>Capex and Opex</t>
  </si>
  <si>
    <t>Total Capex e-Hydrogen (liquid)</t>
  </si>
  <si>
    <t>Total Opex e-Hydrogen (liquid)</t>
  </si>
  <si>
    <t>Compressed H2</t>
  </si>
  <si>
    <t>Cost of e-Hydrogen (compressed)</t>
  </si>
  <si>
    <t>Total RNE e-Hydrogen (compressed)</t>
  </si>
  <si>
    <t>Share of RNE e-Hydrogen (compressed)</t>
  </si>
  <si>
    <t>Total Capex e-Hydrogen (compressed)</t>
  </si>
  <si>
    <t>Share of Capex e-Hydrogen (compressed)</t>
  </si>
  <si>
    <t>Total Opex e-Hydrogen (compressed)</t>
  </si>
  <si>
    <t>Green H2</t>
  </si>
  <si>
    <t>Cost of e-Hydrogen</t>
  </si>
  <si>
    <t>Cost of RNE e-Hydrogen</t>
  </si>
  <si>
    <t>(Weighted average based on market shares for different processes)</t>
  </si>
  <si>
    <t>Total Capex e-Hydrogen</t>
  </si>
  <si>
    <t>Total Opex e-Hydrogen</t>
  </si>
  <si>
    <t>Total electricity (Alk)</t>
  </si>
  <si>
    <t>USD/ ton H2</t>
  </si>
  <si>
    <t>Total electricity (PEM)</t>
  </si>
  <si>
    <t>Total electricity (SO)</t>
  </si>
  <si>
    <t>Split in Alkaline, PEM and SO</t>
  </si>
  <si>
    <t>Cost of e-Hydrogen (Alk)</t>
  </si>
  <si>
    <t>Cost of e-Hydrogen (PEM)</t>
  </si>
  <si>
    <t>Cost of e-Hydrogen (SO)</t>
  </si>
  <si>
    <t>Electrolysis Alkaline</t>
  </si>
  <si>
    <t>Marketshare</t>
  </si>
  <si>
    <t>Electrolysis PEM</t>
  </si>
  <si>
    <t>Electrolysis Solid Oxide</t>
  </si>
  <si>
    <t>Liquifaction</t>
  </si>
  <si>
    <t>H2 Liquifaction cost</t>
  </si>
  <si>
    <t>Share of total cost</t>
  </si>
  <si>
    <t>H2 Liquifaction Capex share</t>
  </si>
  <si>
    <t>H2 Liquifaction Opex share</t>
  </si>
  <si>
    <t>H2 Liquifaction Electricity share</t>
  </si>
  <si>
    <t>Process - Opex</t>
  </si>
  <si>
    <t>H2 Liquifaction</t>
  </si>
  <si>
    <t>mWh/ ton H2</t>
  </si>
  <si>
    <t>Process - Capex</t>
  </si>
  <si>
    <t>USD/ ton H2 output</t>
  </si>
  <si>
    <t>USD/ton H2</t>
  </si>
  <si>
    <t>Plant - Hydrogen liquifaction - opex</t>
  </si>
  <si>
    <t>Percent of Capex</t>
  </si>
  <si>
    <t>Compression (350 bar)</t>
  </si>
  <si>
    <t>H2 Compression cost</t>
  </si>
  <si>
    <t>H2 Compression</t>
  </si>
  <si>
    <t>Alkaline</t>
  </si>
  <si>
    <t>Capex (Alk)</t>
  </si>
  <si>
    <t>Opex (Alk)</t>
  </si>
  <si>
    <t>Cost per ton H2 (Alk)</t>
  </si>
  <si>
    <t>Electrolyser unit cost (Alk)</t>
  </si>
  <si>
    <t>USD/ ton H2 cap</t>
  </si>
  <si>
    <t>Capacity factor</t>
  </si>
  <si>
    <t>Total Electricity (Alk)</t>
  </si>
  <si>
    <t>System efficiency (Alk)</t>
  </si>
  <si>
    <t>kWh/kg H2</t>
  </si>
  <si>
    <t>Cost of H2O in H2</t>
  </si>
  <si>
    <t>Conversion H2O:H2 (actual)</t>
  </si>
  <si>
    <t>ton H2O/ton H2</t>
  </si>
  <si>
    <t>Demineralized water cost</t>
  </si>
  <si>
    <t>USD/ton demin H2O</t>
  </si>
  <si>
    <t>Plant</t>
  </si>
  <si>
    <t>Plant - Electrolysis - opex (Alk)</t>
  </si>
  <si>
    <t>Proton Exchange Membrane (PEM)</t>
  </si>
  <si>
    <t>Capex (PEM)</t>
  </si>
  <si>
    <t>Opex (PEM)</t>
  </si>
  <si>
    <t>Cost per ton H2 (PEM)</t>
  </si>
  <si>
    <t>Electrolyser unit cost (PEM)</t>
  </si>
  <si>
    <t>Total Electricity (PEM)</t>
  </si>
  <si>
    <t>System efficiency (PEM)</t>
  </si>
  <si>
    <t>Plant - Electrolysis - opex (PEM)</t>
  </si>
  <si>
    <t>Solide Oxide (SO)</t>
  </si>
  <si>
    <t>Capex (SO)</t>
  </si>
  <si>
    <t>Opex (SO)</t>
  </si>
  <si>
    <t>Cost per ton H2 (SO)</t>
  </si>
  <si>
    <t>Electrolyser unit cost (SO)</t>
  </si>
  <si>
    <t>Total Electricity (SO)</t>
  </si>
  <si>
    <t>System efficiency (SO)</t>
  </si>
  <si>
    <t>Plant - Electrolysis - opex (SO)</t>
  </si>
  <si>
    <t>Cost per ton H2</t>
  </si>
  <si>
    <t>Primary Energy efficiency Liquid H2</t>
  </si>
  <si>
    <t>Average Primary EE of e-Hydrogen (liquid)</t>
  </si>
  <si>
    <t>Primary EE of Liq H2 (Alk)</t>
  </si>
  <si>
    <t>Primary EE of Liq H2 (PEM)</t>
  </si>
  <si>
    <t>Primary EE of Liq H2 (SO)</t>
  </si>
  <si>
    <t>CO2eq intensity ton/ton Liquid H2</t>
  </si>
  <si>
    <t>CO2intensity</t>
  </si>
  <si>
    <t>WTT emission - e-Hydrogen (liquid)</t>
  </si>
  <si>
    <t>tonCO2eq/tonH2</t>
  </si>
  <si>
    <t>Hydrogen (Alk)</t>
  </si>
  <si>
    <t>Hydrogen (PEM)</t>
  </si>
  <si>
    <t>Hydrogen (SO)</t>
  </si>
  <si>
    <t>Water CO2 impact on H2 production</t>
  </si>
  <si>
    <t>Demineralized water</t>
  </si>
  <si>
    <t>tonCO2eq/tonH2O</t>
  </si>
  <si>
    <t>GlobalCO2intensityElectricitytonCO2eq/MWH</t>
  </si>
  <si>
    <t>tonCO2eq/MWH</t>
  </si>
  <si>
    <t>GlobalCO2intensityElectrolyser process (Alk)tonCO2eq/tonH2</t>
  </si>
  <si>
    <t>Electrolyser process (Alk)</t>
  </si>
  <si>
    <t>GlobalCO2intensityElectrolyser process (PEM)tonCO2eq/tonH2</t>
  </si>
  <si>
    <t>Electrolyser process (PEM)</t>
  </si>
  <si>
    <t>GlobalCO2intensityElectrolyser process (SO)tonCO2eq/tonH2</t>
  </si>
  <si>
    <t>Electrolyser process (SO)</t>
  </si>
  <si>
    <t>Primary Energy efficiency Compressed H2</t>
  </si>
  <si>
    <t>Average Primary EE of e-Hydrogen (compressed)</t>
  </si>
  <si>
    <t>Primary EE of Compressed H2 (Alk)</t>
  </si>
  <si>
    <t>Primary EE of Compressed H2 (PEM)</t>
  </si>
  <si>
    <t>Primary EE of Compressed H2 (SO)</t>
  </si>
  <si>
    <t>CO2eq intensity ton/ton compressed H2</t>
  </si>
  <si>
    <t>WTT emission - e-Hydrogen (compressed)</t>
  </si>
  <si>
    <t>Cost of e-Ammonia</t>
  </si>
  <si>
    <t>Cost of RNE e-Ammonia</t>
  </si>
  <si>
    <t>Total Capex e-Ammonia</t>
  </si>
  <si>
    <t>Total Opex e-Ammonia</t>
  </si>
  <si>
    <t>Total RNE e-Ammonia</t>
  </si>
  <si>
    <t>Capex per year</t>
  </si>
  <si>
    <t>USD m/year</t>
  </si>
  <si>
    <t>Ammonia plant unit cost</t>
  </si>
  <si>
    <t>USD/ ton NH3</t>
  </si>
  <si>
    <t>USD/ton NH3</t>
  </si>
  <si>
    <t>Plant - Ammonia synthesis - opex</t>
  </si>
  <si>
    <t>Synthesis</t>
  </si>
  <si>
    <t>Electricity demand</t>
  </si>
  <si>
    <t>mWh/ton NH3</t>
  </si>
  <si>
    <t>Feedstock N2</t>
  </si>
  <si>
    <t>Conversion N2 : Ammonia (actual)</t>
  </si>
  <si>
    <t>kg N2/kg NH3</t>
  </si>
  <si>
    <t>Cost of N2</t>
  </si>
  <si>
    <t>USD/kg N2</t>
  </si>
  <si>
    <t>Feedstock H2</t>
  </si>
  <si>
    <t>Conversion H2 : Ammonia (actual)</t>
  </si>
  <si>
    <t>kg H2/kg NH3</t>
  </si>
  <si>
    <t>KEY PROCESS INDICATORS</t>
  </si>
  <si>
    <t>Primary energy efficiency - green Ammonia</t>
  </si>
  <si>
    <t>Average Primary EE of e-Ammonia</t>
  </si>
  <si>
    <t>CO2eq intensity ton/ton green Ammonia</t>
  </si>
  <si>
    <t>WTT Emission - e-Ammonia</t>
  </si>
  <si>
    <t>tonCO2eq/tonNH3</t>
  </si>
  <si>
    <t xml:space="preserve">Ammonia synthesis process </t>
  </si>
  <si>
    <t>tonCO2eq/ton NH3</t>
  </si>
  <si>
    <t>N2</t>
  </si>
  <si>
    <t>tonCO2eq/ton N2</t>
  </si>
  <si>
    <t>e-Methanol</t>
  </si>
  <si>
    <t>e Methanol DAC</t>
  </si>
  <si>
    <t>Cost of e-Methanol (DAC)</t>
  </si>
  <si>
    <t>Cost of e-Methanol (DAC) RNE</t>
  </si>
  <si>
    <t>e Methanol PS</t>
  </si>
  <si>
    <t>Cost of e-Methanol (PS)</t>
  </si>
  <si>
    <t>Cost of e-Methanol (PS) RNE</t>
  </si>
  <si>
    <t>Total cost of e-Methanol (DAC)</t>
  </si>
  <si>
    <t>Total cost of e-Methanol (PS)</t>
  </si>
  <si>
    <t>Total Capex e-Methanol (DAC)</t>
  </si>
  <si>
    <t>Total Capex e-Methanol (PS)</t>
  </si>
  <si>
    <t>Total Opex e-Methanol (DAC)</t>
  </si>
  <si>
    <t>Total Opex e-Methanol (PS)</t>
  </si>
  <si>
    <t>Total RNE e-Methanol (DAC)</t>
  </si>
  <si>
    <t>Total RNE e-Methanol (PS)</t>
  </si>
  <si>
    <t>Total CO2 e-Methanol (DAC)</t>
  </si>
  <si>
    <t>Total CO2 e-Methanol (PS)</t>
  </si>
  <si>
    <t>USD m/ton</t>
  </si>
  <si>
    <t>Methanol plant unit cost</t>
  </si>
  <si>
    <t>USD/ ton MeOH</t>
  </si>
  <si>
    <t>USD/ton MeOH</t>
  </si>
  <si>
    <t>Plant - Methanol synthesis - opex</t>
  </si>
  <si>
    <t>Methanol Synthesis</t>
  </si>
  <si>
    <t>mWh/ton MeOH</t>
  </si>
  <si>
    <t>Feedstock CO2</t>
  </si>
  <si>
    <t>Conversion CO2 : MeOH (actual)</t>
  </si>
  <si>
    <t>kg CO2/kg MeOH</t>
  </si>
  <si>
    <t>Cost of CO2 DAC</t>
  </si>
  <si>
    <t>Cost of CO2 PS</t>
  </si>
  <si>
    <t>Conversion H2 : MeOH (actual)</t>
  </si>
  <si>
    <t>tons H2/ton MeOH</t>
  </si>
  <si>
    <t>CO2eq intensity ton/ton e Methanol PS</t>
  </si>
  <si>
    <t>WTT Emission - e-Methanol (PS)</t>
  </si>
  <si>
    <t xml:space="preserve">tonCO2eq/ ton </t>
  </si>
  <si>
    <t xml:space="preserve">Methanol synthesis process </t>
  </si>
  <si>
    <t>tonCO2eq/ton Methanol</t>
  </si>
  <si>
    <t>CO2 intensity</t>
  </si>
  <si>
    <t>WTT  PS</t>
  </si>
  <si>
    <t>tonCO2/tonCO2</t>
  </si>
  <si>
    <t>Stoechiometry</t>
  </si>
  <si>
    <t>CO2/methanol</t>
  </si>
  <si>
    <t>tonCO2/tonMEOH</t>
  </si>
  <si>
    <t>Primary energy efficiency - e Methanol PS</t>
  </si>
  <si>
    <t>Average Primary EE of e-Methanol (PS)</t>
  </si>
  <si>
    <t>CO2eq intensity ton/ton e Methanol DAC</t>
  </si>
  <si>
    <t>WTT Emission - e-Methanol (DAC)</t>
  </si>
  <si>
    <t>WTT  DAC</t>
  </si>
  <si>
    <t>Primary energy efficiency - e Methanol DAC</t>
  </si>
  <si>
    <t>Average Primary EE of e-Methanol (DAC)</t>
  </si>
  <si>
    <t>Average Primary EE of e-Methanol (DAC) (excl. CO2el)</t>
  </si>
  <si>
    <t>GlobalCO2 DACElectricity demandmWh/ton CO2</t>
  </si>
  <si>
    <t>CO2 DAC</t>
  </si>
  <si>
    <t>mWh/ton CO2</t>
  </si>
  <si>
    <t>e Diesel DAC</t>
  </si>
  <si>
    <t>Cost of e-Diesel (DAC)</t>
  </si>
  <si>
    <t>Cost of e-Diesel (DAC) RNE</t>
  </si>
  <si>
    <t>e Diesel PS</t>
  </si>
  <si>
    <t>Cost of e-Diesel (PS)</t>
  </si>
  <si>
    <t>Cost of e-Diesel (PS) RNE</t>
  </si>
  <si>
    <t>Total cost of e-Diesel (DAC)</t>
  </si>
  <si>
    <t>Total cost of e-Diesel (PS)</t>
  </si>
  <si>
    <t>Total Capex e-Diesel (DAC)</t>
  </si>
  <si>
    <t>Total Capex e-Diesel (PS)</t>
  </si>
  <si>
    <t>Total Opex e-Diesel (DAC)</t>
  </si>
  <si>
    <t>Total Opex e-Diesel (PS)</t>
  </si>
  <si>
    <t>Total RNE e-Diesel (DAC)</t>
  </si>
  <si>
    <t>Total RNE e-Diesel (PS)</t>
  </si>
  <si>
    <t>Total CO2 e-Diesel (DAC)</t>
  </si>
  <si>
    <t>Total CO2 e-Diesel (PS)</t>
  </si>
  <si>
    <t>Capex per ton e Diesel</t>
  </si>
  <si>
    <t>USD/ Ton</t>
  </si>
  <si>
    <t>E Diesel plant capex unit cost</t>
  </si>
  <si>
    <t>Capex/ ton e diesel</t>
  </si>
  <si>
    <t>USD/ton e Diesel</t>
  </si>
  <si>
    <t>Opex - e Diesel plant</t>
  </si>
  <si>
    <t>Percent of capex</t>
  </si>
  <si>
    <t>mWh/ton e Diesel</t>
  </si>
  <si>
    <t>Conversion CO2 : e Diesel (actual)</t>
  </si>
  <si>
    <t>kg CO2/kg e Diesel</t>
  </si>
  <si>
    <t>Conversion H2 : e Diesel (actual)</t>
  </si>
  <si>
    <t>tons H2/ton e Diesel</t>
  </si>
  <si>
    <t>CO2eq intensity ton/ton e Diesel DAC</t>
  </si>
  <si>
    <t>WTT Emission - e-Diesel (DAC)</t>
  </si>
  <si>
    <t xml:space="preserve">eDiesel synthesis process </t>
  </si>
  <si>
    <t>tonCO2eq/ton e diesel</t>
  </si>
  <si>
    <t>Stoechiometric CO2</t>
  </si>
  <si>
    <t>ton CO2/ton e Diesel</t>
  </si>
  <si>
    <t>Primary energy efficiency - e Diesel DAC</t>
  </si>
  <si>
    <t>Average Primary EE of e-Diesel (DAC)</t>
  </si>
  <si>
    <t>Average Primary EE of e-Diesel (DAC) (excl. Co2el)</t>
  </si>
  <si>
    <t>CO2eq intensity ton/ton e Diesel PS</t>
  </si>
  <si>
    <t>WTT Emission - e-Diesel (PS)</t>
  </si>
  <si>
    <t>Primary energy efficiency - e Diesel PS</t>
  </si>
  <si>
    <t>Average Primary EE of e-Diesel (PS)</t>
  </si>
  <si>
    <t>e-Methane</t>
  </si>
  <si>
    <t>e Methane DAC</t>
  </si>
  <si>
    <t>Cost of e-Methane (DAC)</t>
  </si>
  <si>
    <t>Cost of e-Methane (DAC) RNE</t>
  </si>
  <si>
    <t>e Methane PS</t>
  </si>
  <si>
    <t>Cost of e-Methane (PS)</t>
  </si>
  <si>
    <t>Cost of e-Methane (PS) RNE</t>
  </si>
  <si>
    <t>Total cost of e-Methane (DAC)</t>
  </si>
  <si>
    <t>Total cost of e-Methane (PS)</t>
  </si>
  <si>
    <t>Total Capex e-Methane (DAC)</t>
  </si>
  <si>
    <t>Total Capex e-Methane (PS)</t>
  </si>
  <si>
    <t>Total Opex e-Methane (DAC)</t>
  </si>
  <si>
    <t>Total Opex e-Methane (PS)</t>
  </si>
  <si>
    <t>Total RNE e-Methane (DAC)</t>
  </si>
  <si>
    <t>Total RNE e-Methane (PS)</t>
  </si>
  <si>
    <t>Total CO2 e-Methane (DAC)</t>
  </si>
  <si>
    <t>Total CO2 e-Methane (PS)</t>
  </si>
  <si>
    <t>CH4 Liquifaction cost</t>
  </si>
  <si>
    <t>Liq cost of 3-5 USD/ mmbt = 150-250/ton of LNG</t>
  </si>
  <si>
    <t>CH4 Liquifaction opex</t>
  </si>
  <si>
    <t>CH4 Liquifaction</t>
  </si>
  <si>
    <t>mWh/ ton e CH4</t>
  </si>
  <si>
    <t>USD/ ton CH4 output</t>
  </si>
  <si>
    <t>USD/ ton CH4 capacity</t>
  </si>
  <si>
    <t>Capex per ton e Methane</t>
  </si>
  <si>
    <t>E Methane plant capex unit cost</t>
  </si>
  <si>
    <t>Capex/ ton e methane</t>
  </si>
  <si>
    <t>Opex e Methane synthesis plant</t>
  </si>
  <si>
    <t>USD/ton e Methane</t>
  </si>
  <si>
    <t>Other opex e Methane synthesis</t>
  </si>
  <si>
    <t>mWh/ton e Methane</t>
  </si>
  <si>
    <t>Conversion CO2 : e Methane (actual)</t>
  </si>
  <si>
    <t>kg CO2/kg e Methane</t>
  </si>
  <si>
    <t>Conversion H2 : e  Methane (actual)</t>
  </si>
  <si>
    <t>tons H2/ton e Methane</t>
  </si>
  <si>
    <t>CO2eq intensity ton/ton e Methane DAC</t>
  </si>
  <si>
    <t>WTT Emission - e-Methane (DAC)</t>
  </si>
  <si>
    <t xml:space="preserve">Methane synthesis process </t>
  </si>
  <si>
    <t>tonCO2eq/ton Methane</t>
  </si>
  <si>
    <t>ton CO2/ton Methane</t>
  </si>
  <si>
    <t>Primary energy efficiency - e Methane DAC</t>
  </si>
  <si>
    <t>Average Primary EE of e-Methane (DAC)</t>
  </si>
  <si>
    <t>Average Primary EE of e-Methane (DAC) (excl CO2el)</t>
  </si>
  <si>
    <t>CO2eq intensity ton/ton e Methane PS</t>
  </si>
  <si>
    <t>WTT Emission - e-Methane (PS)</t>
  </si>
  <si>
    <t>Primary energy efficiency - e Methane PS</t>
  </si>
  <si>
    <t>Average Primary EE of e-Methane (PS)</t>
  </si>
  <si>
    <t>e-DME (DAC)</t>
  </si>
  <si>
    <r>
      <t>CO</t>
    </r>
    <r>
      <rPr>
        <b/>
        <vertAlign val="subscript"/>
        <sz val="11"/>
        <color theme="0"/>
        <rFont val="Arial"/>
        <family val="2"/>
      </rPr>
      <t>2</t>
    </r>
    <r>
      <rPr>
        <b/>
        <sz val="11"/>
        <color theme="0"/>
        <rFont val="Arial"/>
        <family val="2"/>
      </rPr>
      <t xml:space="preserve"> Capture (DAC &amp; PS)</t>
    </r>
  </si>
  <si>
    <t>Total cost of CO2 DAC</t>
  </si>
  <si>
    <t>Total Capex</t>
  </si>
  <si>
    <t>Total Opex</t>
  </si>
  <si>
    <t>DAC plant unit capex</t>
  </si>
  <si>
    <t>USD/ ton CO2</t>
  </si>
  <si>
    <t>Operations</t>
  </si>
  <si>
    <t>Annual capture</t>
  </si>
  <si>
    <t>tons CO2 / year</t>
  </si>
  <si>
    <t>Opex - DAC facility</t>
  </si>
  <si>
    <t>Cost of LSFO</t>
  </si>
  <si>
    <t>CO2eq intensity ton/ton LSFO</t>
  </si>
  <si>
    <t>WTT Emission - LSFO</t>
  </si>
  <si>
    <t>tonCO2eq/ ton</t>
  </si>
  <si>
    <t>TTW Emission - LSFO</t>
  </si>
  <si>
    <t>Cost of LNG</t>
  </si>
  <si>
    <t>Total Capex LNG</t>
  </si>
  <si>
    <t>Total Opex LNG</t>
  </si>
  <si>
    <t>Total Raw Material LNG</t>
  </si>
  <si>
    <t>Cost of NG</t>
  </si>
  <si>
    <t>CO2eq intensity ton/ton LNG</t>
  </si>
  <si>
    <t>WTT Emission - LNG</t>
  </si>
  <si>
    <t>TTW Emission - LNG</t>
  </si>
  <si>
    <t>Cost of LPG</t>
  </si>
  <si>
    <t>CO2eq intensity ton/ton LPG</t>
  </si>
  <si>
    <t>WTT Emission - LPG</t>
  </si>
  <si>
    <t>TTW Emission - LPG</t>
  </si>
  <si>
    <t>Grey hydrogen</t>
  </si>
  <si>
    <t>Grey hydrogen (liquid)</t>
  </si>
  <si>
    <t>Capex, Opex &amp; NG</t>
  </si>
  <si>
    <t>Grey hydrogen (compressed)</t>
  </si>
  <si>
    <t>Capex, Opex, Raw Material &amp; Shares</t>
  </si>
  <si>
    <t>Share of Capex Grey hydrogen (compressed)</t>
  </si>
  <si>
    <t>Share of Opex Grey hydrogen (compressed)</t>
  </si>
  <si>
    <t>Share of Raw Material Grey hydrogen (compressed)</t>
  </si>
  <si>
    <t>Grey Hydrogen</t>
  </si>
  <si>
    <t>Cost of Grey Hydrogen</t>
  </si>
  <si>
    <t>Total Capex Grey Hydrogen</t>
  </si>
  <si>
    <t>Total Opex Grey Hydrogen</t>
  </si>
  <si>
    <t>Total Raw Material Grey Hydrogen</t>
  </si>
  <si>
    <t>Total cost of Grey hydrogen</t>
  </si>
  <si>
    <t>Share of total cost Raw Material Grey Hydrogen</t>
  </si>
  <si>
    <t>Plant - SMR</t>
  </si>
  <si>
    <t xml:space="preserve">Capex Grey Hydrogen </t>
  </si>
  <si>
    <t>SMR - Plant</t>
  </si>
  <si>
    <t>USD/ton H2 Cap</t>
  </si>
  <si>
    <t>Cost of NG in H2</t>
  </si>
  <si>
    <t>Conversion NG : H2 (actual)</t>
  </si>
  <si>
    <t>kg NG/kg H2</t>
  </si>
  <si>
    <t>SMR</t>
  </si>
  <si>
    <t>Plant - SMR - opex</t>
  </si>
  <si>
    <t>CO2eq intensity ton/ton Grey Hydrogen</t>
  </si>
  <si>
    <t>WTT Emission - Grey hydrogen (compressed)</t>
  </si>
  <si>
    <t>CO2 Capture</t>
  </si>
  <si>
    <t>Conversion CO2 : H2 (actual)</t>
  </si>
  <si>
    <t>kg CO2/kg H2</t>
  </si>
  <si>
    <t xml:space="preserve">Steam reforming process </t>
  </si>
  <si>
    <t>WTT Emission - Grey hydrogen (liquid)</t>
  </si>
  <si>
    <t>Blue hydrogen</t>
  </si>
  <si>
    <t>Blue Hydrogen Liq</t>
  </si>
  <si>
    <t>Cost of Blue hydrogen (liquid)</t>
  </si>
  <si>
    <t>Total Capex Blue hydrogen (liquid)</t>
  </si>
  <si>
    <t>Total Opex Blue hydrogen (liquid)</t>
  </si>
  <si>
    <t>Total Raw Material Blue hydrogen (liquid)</t>
  </si>
  <si>
    <t>Total CO2 Blue hydrogen (liquid)</t>
  </si>
  <si>
    <t>Blue Hydrogen Comp</t>
  </si>
  <si>
    <t>Cost of Blue hydrogen (compressed)</t>
  </si>
  <si>
    <t>Total Capex Blue hydrogen (compressed)</t>
  </si>
  <si>
    <t>Total Opex Blue hydrogen (compressed)</t>
  </si>
  <si>
    <t>Total Raw Material Blue hydrogen (compressed)</t>
  </si>
  <si>
    <t>Total CO2 Blue hydrogen (compressed)</t>
  </si>
  <si>
    <t>Share of Capex Blue Hydrogen Comp</t>
  </si>
  <si>
    <t>Share of Raw Material Blue Hydrogen Comp</t>
  </si>
  <si>
    <t>Share of CO2 Blue Hydrogen Comp</t>
  </si>
  <si>
    <t>Blue Hydrogen</t>
  </si>
  <si>
    <t>Cost of Blue Hydrogen</t>
  </si>
  <si>
    <t>Total Capex Blue Hydrogen</t>
  </si>
  <si>
    <t>Total Opex Blue Hydrogen</t>
  </si>
  <si>
    <t>Total Raw Material Blue Hydrogen</t>
  </si>
  <si>
    <t>Total CO2 Blue Hydrogen</t>
  </si>
  <si>
    <t>Total cost of Blue hydrogen</t>
  </si>
  <si>
    <t>CO2 Storage</t>
  </si>
  <si>
    <t>CO2 Storage Capture Blue Hydrogen</t>
  </si>
  <si>
    <t>Cost of CO2 storage</t>
  </si>
  <si>
    <t>Cost of blue CO2 PS</t>
  </si>
  <si>
    <t>CO2eq intensity ton/ton Blue Hydrogen</t>
  </si>
  <si>
    <t>WTT Emission - Blue Hydrogen (compressed)</t>
  </si>
  <si>
    <t>Carboncaptureeff</t>
  </si>
  <si>
    <t>WTTemissionsShareBeforeSMR</t>
  </si>
  <si>
    <t>WTT Emission - Blue Hydrogen (liquid)</t>
  </si>
  <si>
    <t>Cost of Blue Ammonia</t>
  </si>
  <si>
    <t>Total cost of Blue Ammonia</t>
  </si>
  <si>
    <t>Total Capex Blue Ammonia</t>
  </si>
  <si>
    <t>Total Opex Blue Ammonia</t>
  </si>
  <si>
    <t>Total Raw Material Blue Ammonia</t>
  </si>
  <si>
    <t>Total CO2 Blue Ammonia</t>
  </si>
  <si>
    <t>CO2eq intensity ton/ton blue Ammonia</t>
  </si>
  <si>
    <t>WTT Emission - Blue Ammonia</t>
  </si>
  <si>
    <t>Cost of Biomethanol</t>
  </si>
  <si>
    <t>Total cost of Biomethanol</t>
  </si>
  <si>
    <t>Total Capex Biomethanol</t>
  </si>
  <si>
    <t>Total Opex Biomethanol</t>
  </si>
  <si>
    <t>Total Raw Material Biomethanol</t>
  </si>
  <si>
    <t xml:space="preserve">Biomethanol plant </t>
  </si>
  <si>
    <t>USD/ton Methanol</t>
  </si>
  <si>
    <t>BioMethanol plant</t>
  </si>
  <si>
    <t>USD/ton BioMethanol capacity</t>
  </si>
  <si>
    <t>BioMethanol plant OPEX</t>
  </si>
  <si>
    <t>USD/ton BioMethanol</t>
  </si>
  <si>
    <t>Cost of electricity for CH4</t>
  </si>
  <si>
    <t>BioMethanol plant Electricity demand</t>
  </si>
  <si>
    <t>MwH/ton fuel</t>
  </si>
  <si>
    <t>Biomass cost</t>
  </si>
  <si>
    <t>Dry wood biomass market share Biomethanol</t>
  </si>
  <si>
    <t>Organic wet wate market share Biomethanol</t>
  </si>
  <si>
    <t>Conversion Organic wet waste : BioMethanol</t>
  </si>
  <si>
    <t>Ton feedstock / ton fuel</t>
  </si>
  <si>
    <t>Cost of Organic wet waste</t>
  </si>
  <si>
    <t>Conversion Dry Wood biomass : BioMethanol</t>
  </si>
  <si>
    <t>Cost of Wood biomass</t>
  </si>
  <si>
    <t>USD/ton Wood</t>
  </si>
  <si>
    <t>CO2eq intensity ton/ton Bio-methanol</t>
  </si>
  <si>
    <t>WTT emission - Biomethanol</t>
  </si>
  <si>
    <t>TTW CO2_</t>
  </si>
  <si>
    <t>Biomethanol process</t>
  </si>
  <si>
    <t>tonCO2eq/ ton Biomethanol</t>
  </si>
  <si>
    <t>WTT Organic wet waste</t>
  </si>
  <si>
    <t>tonCO2eq/ton</t>
  </si>
  <si>
    <t>WTT Wood biomass</t>
  </si>
  <si>
    <t>Primary energy efficiency - bio Methanol</t>
  </si>
  <si>
    <t>Average Primary EE of Biomethanol</t>
  </si>
  <si>
    <t>LHV dry wood Biomass</t>
  </si>
  <si>
    <t>Cost of biomethane</t>
  </si>
  <si>
    <t>Total cost of biomethane</t>
  </si>
  <si>
    <t>Total Capex biomethane</t>
  </si>
  <si>
    <t>Total Opex biomethane</t>
  </si>
  <si>
    <t>Total Raw Material biomethane</t>
  </si>
  <si>
    <t>Cost of NG for CH4</t>
  </si>
  <si>
    <t>USD/ton CH4</t>
  </si>
  <si>
    <t>LBM plant Electricity demand</t>
  </si>
  <si>
    <t>MwH/ton LBM</t>
  </si>
  <si>
    <t>LBM plant opex</t>
  </si>
  <si>
    <t>USD/ton LBM</t>
  </si>
  <si>
    <t>Annual capex (AD)</t>
  </si>
  <si>
    <t>USD/ton Biomethane</t>
  </si>
  <si>
    <t>LBM plant</t>
  </si>
  <si>
    <t>USD/ton LBM capacity</t>
  </si>
  <si>
    <t>Municipal waste cost</t>
  </si>
  <si>
    <t>USD/ton Biogas</t>
  </si>
  <si>
    <t>Conversion Organic wet waste : LBM</t>
  </si>
  <si>
    <t>CO2eq intensity ton/ton Bio-gas(liq)</t>
  </si>
  <si>
    <t>WTT emission - Biomethane</t>
  </si>
  <si>
    <t>LBM process</t>
  </si>
  <si>
    <t>tonCO2eq/ton LBM</t>
  </si>
  <si>
    <t>Primary energy efficiency - Bio-gas (liq)</t>
  </si>
  <si>
    <t>Average Primary EE of Biomethane</t>
  </si>
  <si>
    <t>LHV dry organic MCW</t>
  </si>
  <si>
    <t>Cost of Biodiesel (HtL)</t>
  </si>
  <si>
    <t>Total cost of Biodiesel (HtL)</t>
  </si>
  <si>
    <t>Total Capex Biodiesel (HtL)</t>
  </si>
  <si>
    <t>Total Opex Biodiesel (HtL)</t>
  </si>
  <si>
    <t>Total RNE Biodiesel (HtL)</t>
  </si>
  <si>
    <t>Total Raw Material Biodiesel (HtL)</t>
  </si>
  <si>
    <t>HTL Plant</t>
  </si>
  <si>
    <t>Annual capex (HTL)</t>
  </si>
  <si>
    <t>USD/ton HTL Oil</t>
  </si>
  <si>
    <t>HTL plant</t>
  </si>
  <si>
    <t>USD/ton HTL oil capacity</t>
  </si>
  <si>
    <t>Plant opex</t>
  </si>
  <si>
    <t>USD/ton HTL oil</t>
  </si>
  <si>
    <t>Total electricity</t>
  </si>
  <si>
    <t>USD/ ton HTL oil</t>
  </si>
  <si>
    <t>HTL plant electricity demand</t>
  </si>
  <si>
    <t>MWh/ton fuel</t>
  </si>
  <si>
    <t>Total hydrogen</t>
  </si>
  <si>
    <t>Conversion Hydrogen : HTL oil</t>
  </si>
  <si>
    <t>Weighted hydrogen cost</t>
  </si>
  <si>
    <t>HTL hydrogen fraction - Grey</t>
  </si>
  <si>
    <t>HTL hydrogen fraction - Blue</t>
  </si>
  <si>
    <t>HTL hydrogen fraction - Green</t>
  </si>
  <si>
    <t>Dry wood biomass market share HTL</t>
  </si>
  <si>
    <t>Organic wet waste market share HTL</t>
  </si>
  <si>
    <t>Conversion Organic wet waste : HTL oil</t>
  </si>
  <si>
    <t>Conversion Dry Wood biomass : HTL oil</t>
  </si>
  <si>
    <t>CO2eq intensity ton/ton HTL oil</t>
  </si>
  <si>
    <t>WTT emission - Biodiesel (HtL)</t>
  </si>
  <si>
    <t>tonCO2eq/ton HTL Oil</t>
  </si>
  <si>
    <t>Hydrogen used</t>
  </si>
  <si>
    <t>WTT Emission - e-Hydrogen (compressed)</t>
  </si>
  <si>
    <t>HTL process</t>
  </si>
  <si>
    <t>tonCO2eq/ton HTL oil</t>
  </si>
  <si>
    <t>Primary energy efficiency - HTL oil</t>
  </si>
  <si>
    <t>Average Primary EE of Biodiesel (HtL)</t>
  </si>
  <si>
    <t>Cost of Biodiesel (HtL blend)</t>
  </si>
  <si>
    <t>Total cost of Biodiesel (HtL blend)</t>
  </si>
  <si>
    <t>Total Capex Biodiesel (HtL blend)</t>
  </si>
  <si>
    <t>Total Opex Biodiesel (HtL blend)</t>
  </si>
  <si>
    <t>Total RNE Biodiesel (HtL blend)</t>
  </si>
  <si>
    <t>Total Raw Material Biodiesel (HtL blend)</t>
  </si>
  <si>
    <t>Total cost of HTL Oil blend (60% LSFO)</t>
  </si>
  <si>
    <t>Conversion HTL blend grade : HTL VLSFO blend</t>
  </si>
  <si>
    <t>Conversion VLSFO : HTL VLSFO blend</t>
  </si>
  <si>
    <t>Subtotal</t>
  </si>
  <si>
    <t>Subtotal - cost of HTL blend oil feedstock</t>
  </si>
  <si>
    <t>USD/ton HTL blend oil feedstock</t>
  </si>
  <si>
    <t>Annual capex (HTL blend)</t>
  </si>
  <si>
    <t>USD/ton HTL blend oil</t>
  </si>
  <si>
    <t>HTL blend grade plant</t>
  </si>
  <si>
    <t>USD/ton HTL blend oil capacity</t>
  </si>
  <si>
    <t>HTL blend grade plant electricity demand</t>
  </si>
  <si>
    <t>Dry wood biomass market share HTL blend</t>
  </si>
  <si>
    <t>Organic wet waste market share HTL blend</t>
  </si>
  <si>
    <t>Conversion Organic wet waste : HTL blend grade</t>
  </si>
  <si>
    <t>Conversion Dry Wood biomass : HTL blend grade</t>
  </si>
  <si>
    <t>WTT emission - Biodiesel (HtL blend)</t>
  </si>
  <si>
    <t>WTT emission - HTL oil for blend</t>
  </si>
  <si>
    <t>Average Primary EE of Biodiesel (HtL blend)</t>
  </si>
  <si>
    <t>LHV HTL Oil</t>
  </si>
  <si>
    <t>Cost of Biodiesel (Pyr)</t>
  </si>
  <si>
    <t>Total cost of Biodiesel (Pyr)</t>
  </si>
  <si>
    <t>Total Capex Biodiesel (Pyr)</t>
  </si>
  <si>
    <t>Total Opex Biodiesel (Pyr)</t>
  </si>
  <si>
    <t>Total Raw Material Biodiesel (Pyr)</t>
  </si>
  <si>
    <t>Annual capex (Pyr)</t>
  </si>
  <si>
    <t>USD/ton oil</t>
  </si>
  <si>
    <t>FP plant</t>
  </si>
  <si>
    <t>USD/ton FP oil capacity</t>
  </si>
  <si>
    <t>FP plant opex</t>
  </si>
  <si>
    <t>Total (Pyr)</t>
  </si>
  <si>
    <t>USD/ ton oil</t>
  </si>
  <si>
    <t>FP plant electricity demand</t>
  </si>
  <si>
    <t>Conversion Hydrogen : FP oil</t>
  </si>
  <si>
    <t>FP hydrogen fraction - Grey</t>
  </si>
  <si>
    <t>FP hydrogen fraction - Blue</t>
  </si>
  <si>
    <t>FP hydrogen fraction - Green</t>
  </si>
  <si>
    <t>Wood biomass to pyrolysis oil</t>
  </si>
  <si>
    <t>Conversion Dry Wood biomass : FP oil</t>
  </si>
  <si>
    <t>Manglede H2 til raw material</t>
  </si>
  <si>
    <t>CO2eq intensity ton/ton Pyrolysis oil</t>
  </si>
  <si>
    <t>WTT emission - Biodiesel (Pyr)</t>
  </si>
  <si>
    <t>tonCO2eq/ton Pyr Oil</t>
  </si>
  <si>
    <t>WTT Emission - Grey Hydrogen (compressed)</t>
  </si>
  <si>
    <t>FP blend grade plant electricity demand</t>
  </si>
  <si>
    <t>FP process</t>
  </si>
  <si>
    <t>tonCO2eq/ton FP oil</t>
  </si>
  <si>
    <t>Primary energy efficiency - Pyrolysis oil</t>
  </si>
  <si>
    <t>Average Primary EE of Biodiesel (Pyr)</t>
  </si>
  <si>
    <t>Cost of Biodiesel (Pyr blend)</t>
  </si>
  <si>
    <t>Total cost of Biodiesel (Pyr blend)</t>
  </si>
  <si>
    <t>Total Capex Biodiesel (Pyr blend)</t>
  </si>
  <si>
    <t>Total Opex Biodiesel (Pyr blend)</t>
  </si>
  <si>
    <t>Total Raw Material Biodiesel (Pyr blend)</t>
  </si>
  <si>
    <t>Total cost of Pyrolysis oil blend (70% LSFO)</t>
  </si>
  <si>
    <t>Conversion FP blend grade : FP VLSFO blend</t>
  </si>
  <si>
    <t>Conversion VLSFO : FP VLSFO blend</t>
  </si>
  <si>
    <t>Subtotal - cost of Pyrolisis oil blend feedstock</t>
  </si>
  <si>
    <t>USD/ton FP blend oil feedstock</t>
  </si>
  <si>
    <t>Annual capex (Pyr blend)</t>
  </si>
  <si>
    <t>FP blend grade plant</t>
  </si>
  <si>
    <t>USD/ton FP VLSFO blend capacity</t>
  </si>
  <si>
    <t>FP blend grade plant opex</t>
  </si>
  <si>
    <t>USD/ton FP VLSFO blend</t>
  </si>
  <si>
    <t>Total (Pyr blend)</t>
  </si>
  <si>
    <t>Conversion Dry Wood biomass : FP VLSFO blend</t>
  </si>
  <si>
    <t>WTT emission - Biodiesel (Pyr blend)</t>
  </si>
  <si>
    <t>WTT emission - Pyrolysis oil for blend</t>
  </si>
  <si>
    <t>Average Primary EE of Biodiesel (Pyr blend)</t>
  </si>
  <si>
    <t>Combo</t>
  </si>
  <si>
    <t>Cost of capital (non-adjusted)</t>
  </si>
  <si>
    <t>Lower Heating Values</t>
  </si>
  <si>
    <t>e-DME (PS)</t>
  </si>
  <si>
    <t>Grey ammonia</t>
  </si>
  <si>
    <t>Grey methanol</t>
  </si>
  <si>
    <t>Biodiesel (FAME)</t>
  </si>
  <si>
    <t>Biodiesel (HVO)</t>
  </si>
  <si>
    <t>LEO</t>
  </si>
  <si>
    <t>TTW CO2</t>
  </si>
  <si>
    <t>H2</t>
  </si>
  <si>
    <t>tonCO2eq/ton H2</t>
  </si>
  <si>
    <t>NH3</t>
  </si>
  <si>
    <t>tonCO2eq/ton Diesel</t>
  </si>
  <si>
    <t>tonCO2eq/ton LEO</t>
  </si>
  <si>
    <t>Renewable energy - Biomass and electricity</t>
  </si>
  <si>
    <t>Electricity scenarios</t>
  </si>
  <si>
    <t>Electricity baseline</t>
  </si>
  <si>
    <t>Electricity swing</t>
  </si>
  <si>
    <t>Feedstock - Municipal waste</t>
  </si>
  <si>
    <t>Feedstock - Wood biomass</t>
  </si>
  <si>
    <t>Feedstock - Lignin</t>
  </si>
  <si>
    <t>Cost of Lignin</t>
  </si>
  <si>
    <t>USD/ton Lignin</t>
  </si>
  <si>
    <t>WTT Lignin</t>
  </si>
  <si>
    <t>Blue and e-Hydrogen</t>
  </si>
  <si>
    <t>Capacity factors - assumes balancing via e.g. batteries</t>
  </si>
  <si>
    <t>Conversion heating values</t>
  </si>
  <si>
    <t>HHV</t>
  </si>
  <si>
    <t>Alkaline electrolysis (Alk)</t>
  </si>
  <si>
    <t>Efficiency</t>
  </si>
  <si>
    <t>LVH efficiency (Alk)</t>
  </si>
  <si>
    <t>HHV efficiency (Alk)</t>
  </si>
  <si>
    <t>Polymer electrolyte membrane electrolysis (PEM)</t>
  </si>
  <si>
    <t>LHV efficiency (PEM)</t>
  </si>
  <si>
    <t>HHV efficiency (PEM)</t>
  </si>
  <si>
    <t>Solid oxide electrolysis (SO)</t>
  </si>
  <si>
    <t>LHV efficiency (SO)</t>
  </si>
  <si>
    <t>ton CO2/ton MeOH</t>
  </si>
  <si>
    <t>Conversion H2O : MeOH (actual)</t>
  </si>
  <si>
    <t>m3 H2O / ton MeOH</t>
  </si>
  <si>
    <t>CO2 Direct Air Capture (DAC)</t>
  </si>
  <si>
    <t>CO2 Point Source (PS)</t>
  </si>
  <si>
    <t>Storage cost</t>
  </si>
  <si>
    <t>WTW Emission - LSFO</t>
  </si>
  <si>
    <t>WTW Emission - LNG</t>
  </si>
  <si>
    <t>WTW Emission - LPG</t>
  </si>
  <si>
    <t>HTL oil carbon%</t>
  </si>
  <si>
    <t>HTL blend oil carbon%</t>
  </si>
  <si>
    <t>HTL blend grade process</t>
  </si>
  <si>
    <t>tonCO2eq/ton Blend oil</t>
  </si>
  <si>
    <t>FP oil carbon%</t>
  </si>
  <si>
    <t>FP blend oil carbon%</t>
  </si>
  <si>
    <t>mWh/ton LEO</t>
  </si>
  <si>
    <t>LHV Lignin</t>
  </si>
  <si>
    <t>LHV LEO</t>
  </si>
  <si>
    <t>Lignin process</t>
  </si>
  <si>
    <t>tonCO2eq/ ton LEO</t>
  </si>
  <si>
    <t>Plant - LEO - opex</t>
  </si>
  <si>
    <t>Plant - LEO - unit cost</t>
  </si>
  <si>
    <t>USD/ ton LEO cap</t>
  </si>
  <si>
    <t>Conversion bioMethanol : LEO</t>
  </si>
  <si>
    <t>Ton biomethanol/ ton LEO</t>
  </si>
  <si>
    <t>Process Lignin Yield</t>
  </si>
  <si>
    <t>Conversion Lignin : LEO</t>
  </si>
  <si>
    <t>Ton lignin/ ton LEO</t>
  </si>
  <si>
    <t>Lignin Carbon content</t>
  </si>
  <si>
    <t>wt %</t>
  </si>
  <si>
    <t>Source / Comment</t>
  </si>
  <si>
    <t>Oil products</t>
  </si>
  <si>
    <t>Crude oil projection</t>
  </si>
  <si>
    <t>Crude at baseline</t>
  </si>
  <si>
    <t>Assumed flat after 2030</t>
  </si>
  <si>
    <t>Crude/LSFO</t>
  </si>
  <si>
    <t>Conv (from avg for last year conv factor between crude and LSFO)</t>
  </si>
  <si>
    <t>bbl/tFuel on price</t>
  </si>
  <si>
    <t>Crude/LPG</t>
  </si>
  <si>
    <t>Conv (from avg for last year conv factor between crude and LPG)</t>
  </si>
  <si>
    <t>Crude manual</t>
  </si>
  <si>
    <t>Crude low</t>
  </si>
  <si>
    <t>Crude high (EIA+fw)</t>
  </si>
  <si>
    <t>EIA</t>
  </si>
  <si>
    <t>https://www.eia.gov/outlooks/aeo/assumptions/pdf/international.pdf</t>
  </si>
  <si>
    <t>LSFO conv</t>
  </si>
  <si>
    <t>LPG conv</t>
  </si>
  <si>
    <t>Fuel mapping</t>
  </si>
  <si>
    <t>Upper bound (Unit)</t>
  </si>
  <si>
    <t>Upper bound (DWT)</t>
  </si>
  <si>
    <t>CO2 tax development</t>
  </si>
  <si>
    <t>Vessel Type</t>
  </si>
  <si>
    <t>Fuel type ME</t>
  </si>
  <si>
    <t>Fuel type ME, %</t>
  </si>
  <si>
    <t>Fuel tank buffer %</t>
  </si>
  <si>
    <t>Fuel type AE</t>
  </si>
  <si>
    <t>Speed (kn)</t>
  </si>
  <si>
    <t>Region 1</t>
  </si>
  <si>
    <t>Region 2</t>
  </si>
  <si>
    <t>Tank size</t>
  </si>
  <si>
    <t>Scenarios</t>
  </si>
  <si>
    <t>Fuel sources</t>
  </si>
  <si>
    <t>Sensitivity</t>
  </si>
  <si>
    <t>Selection</t>
  </si>
  <si>
    <t>Year</t>
  </si>
  <si>
    <t>Key delimiter</t>
  </si>
  <si>
    <t>Include</t>
  </si>
  <si>
    <t>Fuel model</t>
  </si>
  <si>
    <t>TCO model (new)</t>
  </si>
  <si>
    <t>TCO model (proposed)</t>
  </si>
  <si>
    <t>Fuel logistics type</t>
  </si>
  <si>
    <t>Production route</t>
  </si>
  <si>
    <t>Modeled</t>
  </si>
  <si>
    <t>External</t>
  </si>
  <si>
    <t>Type</t>
  </si>
  <si>
    <t>S</t>
  </si>
  <si>
    <t>M</t>
  </si>
  <si>
    <t>L</t>
  </si>
  <si>
    <t>Conversion</t>
  </si>
  <si>
    <t>IMO category</t>
  </si>
  <si>
    <t>Size category definition</t>
  </si>
  <si>
    <t>Model category</t>
  </si>
  <si>
    <t>Case</t>
  </si>
  <si>
    <t>Main lever</t>
  </si>
  <si>
    <t>#1</t>
  </si>
  <si>
    <t>Sub lever</t>
  </si>
  <si>
    <t>#2</t>
  </si>
  <si>
    <t>Subsub lever</t>
  </si>
  <si>
    <t>Short</t>
  </si>
  <si>
    <t>#3</t>
  </si>
  <si>
    <t>No.Ref</t>
  </si>
  <si>
    <t>Fuel selector</t>
  </si>
  <si>
    <t>Applicable</t>
  </si>
  <si>
    <t>Grey</t>
  </si>
  <si>
    <t>Blue</t>
  </si>
  <si>
    <t xml:space="preserve">Tanker </t>
  </si>
  <si>
    <t>Bulker</t>
  </si>
  <si>
    <t>No tax (momentum)</t>
  </si>
  <si>
    <t>ME system</t>
  </si>
  <si>
    <t>Voy_Plan</t>
  </si>
  <si>
    <t>Speed</t>
  </si>
  <si>
    <t>Planning speed to arrive at port/canals etc. Just-in-time</t>
  </si>
  <si>
    <t>TTP</t>
  </si>
  <si>
    <t>Green</t>
  </si>
  <si>
    <t>Product</t>
  </si>
  <si>
    <t>dwt</t>
  </si>
  <si>
    <t>Cont</t>
  </si>
  <si>
    <t>Flat</t>
  </si>
  <si>
    <t>WRouting</t>
  </si>
  <si>
    <t>Planning speed and route according to weather</t>
  </si>
  <si>
    <t>ME_Opt</t>
  </si>
  <si>
    <t>Hybrid</t>
  </si>
  <si>
    <t xml:space="preserve">Electricity from batteries to increase engine performance. Recharge during excess energy production and de-charge at peak loads to optimize engine performance. </t>
  </si>
  <si>
    <t>Green Ammonia</t>
  </si>
  <si>
    <t>Ammonia (green)</t>
  </si>
  <si>
    <t>Hydrogen (compressed)</t>
  </si>
  <si>
    <t>Bio (FAME)</t>
  </si>
  <si>
    <t>Chemical</t>
  </si>
  <si>
    <t>Ferry-pax only</t>
  </si>
  <si>
    <t>Pax</t>
  </si>
  <si>
    <t>DeRate</t>
  </si>
  <si>
    <t>De-rating an engine for reduction of the vessel's maximum speed to increase its efficiency by limiting the potential power output</t>
  </si>
  <si>
    <t>Green H2 Comp</t>
  </si>
  <si>
    <t>Compressed hydrogen (green)</t>
  </si>
  <si>
    <t>Hydrogen (liquid)</t>
  </si>
  <si>
    <t>Bio (HVO)</t>
  </si>
  <si>
    <t>Ferry-RoPax</t>
  </si>
  <si>
    <t>Ro Pax</t>
  </si>
  <si>
    <t>Tuning</t>
  </si>
  <si>
    <t>Tuning and testing of engine to balance cylinders and match actual operational profile, electric fuel injection (common-rail)</t>
  </si>
  <si>
    <t>Green H2 Liq</t>
  </si>
  <si>
    <t>Liquid hydrogen (green)</t>
  </si>
  <si>
    <t>Synthetic (DAC)</t>
  </si>
  <si>
    <t>Liq Gas Tanker</t>
  </si>
  <si>
    <t>Level adjustment factors for CO2 tax</t>
  </si>
  <si>
    <t>ShaftWHR</t>
  </si>
  <si>
    <t>Excess WHR energy to drive shaft motor. Requires WHRS.</t>
  </si>
  <si>
    <t>Bio Methanol (cellulose)</t>
  </si>
  <si>
    <t>Bio</t>
  </si>
  <si>
    <t>Synthetic (PS)</t>
  </si>
  <si>
    <t>Addid this one</t>
  </si>
  <si>
    <t>Gas carrier</t>
  </si>
  <si>
    <t>Hull</t>
  </si>
  <si>
    <t>ShapeOpt</t>
  </si>
  <si>
    <t>Improved hydrodynamics via shape optimisation</t>
  </si>
  <si>
    <t>Bio (cellulosis)</t>
  </si>
  <si>
    <t>Fishing</t>
  </si>
  <si>
    <t>Lightweight</t>
  </si>
  <si>
    <t>Reduced weight load due to lightweight materials</t>
  </si>
  <si>
    <t xml:space="preserve">Bulker </t>
  </si>
  <si>
    <t>Other service</t>
  </si>
  <si>
    <t>Paint</t>
  </si>
  <si>
    <t>Improved hydrodynamics via reduced friction</t>
  </si>
  <si>
    <t>Clean</t>
  </si>
  <si>
    <t>Synthetic</t>
  </si>
  <si>
    <t>Reefer</t>
  </si>
  <si>
    <t>Other cargo</t>
  </si>
  <si>
    <t>General cargo</t>
  </si>
  <si>
    <t>AirLub</t>
  </si>
  <si>
    <t>Refrigerated bulk</t>
  </si>
  <si>
    <t>TrimDraft</t>
  </si>
  <si>
    <t>Improved hydrodynamics via trim and draft</t>
  </si>
  <si>
    <t>TEU</t>
  </si>
  <si>
    <t>Yacht</t>
  </si>
  <si>
    <t>ShapeRetro</t>
  </si>
  <si>
    <t>Improved hydrodynamics via retrofit e.g. bulbous bow, thruster tunnel optimisation or bilge keel optimisation</t>
  </si>
  <si>
    <t>Ro-Ro</t>
  </si>
  <si>
    <t>Propell_Rudder</t>
  </si>
  <si>
    <t>Improved efficiency of propeller via fouling removal</t>
  </si>
  <si>
    <t>e-Methane liquid (DAC)</t>
  </si>
  <si>
    <t>RoRo</t>
  </si>
  <si>
    <t>Vehicle</t>
  </si>
  <si>
    <t>reFit</t>
  </si>
  <si>
    <t>Retrofitting propeller to actual operational profile and sea condition</t>
  </si>
  <si>
    <t>e-Methane liquid (PS)</t>
  </si>
  <si>
    <t>GT</t>
  </si>
  <si>
    <t>Chem Tanker</t>
  </si>
  <si>
    <t>PID</t>
  </si>
  <si>
    <t>Improved efficiency of propeller via devices</t>
  </si>
  <si>
    <t>PCC</t>
  </si>
  <si>
    <t>Oil Tanker</t>
  </si>
  <si>
    <t>RudderPilot</t>
  </si>
  <si>
    <t>Rudder autopiloting to reduce resistance</t>
  </si>
  <si>
    <t>Other liquids tankers</t>
  </si>
  <si>
    <t>Wind_Propul</t>
  </si>
  <si>
    <t>Rotor</t>
  </si>
  <si>
    <t>Wind propulsion to reduce propulsion by engine</t>
  </si>
  <si>
    <t>Blue Ammonia</t>
  </si>
  <si>
    <t>Ammonia (blue)</t>
  </si>
  <si>
    <t>Sail</t>
  </si>
  <si>
    <t>Compressed hydrogen (blue)</t>
  </si>
  <si>
    <t>Kite</t>
  </si>
  <si>
    <t>Liquid hydrogen (blue)</t>
  </si>
  <si>
    <t>AE system</t>
  </si>
  <si>
    <t>Add_Pow</t>
  </si>
  <si>
    <t>WHRS</t>
  </si>
  <si>
    <t>Heat from ME to electricity for 1) auxiliary system and if excess energy for 2) ME shaft motor</t>
  </si>
  <si>
    <t>ShaftGen</t>
  </si>
  <si>
    <t>Kinetic energy from ME shaft to electricity for AUX</t>
  </si>
  <si>
    <t>SolarPow</t>
  </si>
  <si>
    <t>Solar on deck to electricity</t>
  </si>
  <si>
    <t>Swing factors</t>
  </si>
  <si>
    <t>ShorePow</t>
  </si>
  <si>
    <t>Shore power (Cold ironing) to electricity while in port</t>
  </si>
  <si>
    <t>Fuel cost transparency</t>
  </si>
  <si>
    <t>Forward looking</t>
  </si>
  <si>
    <t>CO2 tax</t>
  </si>
  <si>
    <t>Pow_Dem</t>
  </si>
  <si>
    <t>VFD</t>
  </si>
  <si>
    <t>Reduce electricity consumption by adapting frequency to motor load instead of full load on ventilation and pumps</t>
  </si>
  <si>
    <t>Momentum case has no carbon tax</t>
  </si>
  <si>
    <t>Light</t>
  </si>
  <si>
    <t>Reduce electricity consumption for ligthing</t>
  </si>
  <si>
    <t>HVAC</t>
  </si>
  <si>
    <t>Reduce electricity consumption of A/C and heating systems</t>
  </si>
  <si>
    <t>Biomethane Liq</t>
  </si>
  <si>
    <t>Liquid Biomethane</t>
  </si>
  <si>
    <r>
      <rPr>
        <sz val="11"/>
        <rFont val="Arial"/>
        <family val="2"/>
      </rPr>
      <t>Maneuvering</t>
    </r>
    <r>
      <rPr>
        <sz val="11"/>
        <color rgb="FF0070C0"/>
        <rFont val="Arial"/>
        <family val="2"/>
      </rPr>
      <t xml:space="preserve"> </t>
    </r>
    <r>
      <rPr>
        <sz val="10"/>
        <color theme="1"/>
        <rFont val="Arial"/>
        <family val="2"/>
      </rPr>
      <t>equipment (e.g. Thrusters)</t>
    </r>
  </si>
  <si>
    <t>Man</t>
  </si>
  <si>
    <t>Reduce electricity consumption of maneuvring equipment</t>
  </si>
  <si>
    <t>HTL Oil</t>
  </si>
  <si>
    <t>AE_Opt</t>
  </si>
  <si>
    <t>Hydrogen breakthrough</t>
  </si>
  <si>
    <t>Pyrolysis oil</t>
  </si>
  <si>
    <t>Pyrolisis</t>
  </si>
  <si>
    <t>LoadOpt</t>
  </si>
  <si>
    <t>Balancing load between AE's to have the ones running at optimal load</t>
  </si>
  <si>
    <t>Path we are on - reducing electricity cost</t>
  </si>
  <si>
    <t>HTL Oil blend (60% LSFO)</t>
  </si>
  <si>
    <t>HtL</t>
  </si>
  <si>
    <t>Boiler system</t>
  </si>
  <si>
    <t>Steam_Opt</t>
  </si>
  <si>
    <t>SystEff</t>
  </si>
  <si>
    <t>Improving steam system efficiency via updated procedures and equipment</t>
  </si>
  <si>
    <t>Swing</t>
  </si>
  <si>
    <t>Critical lever on - reducing electricity cost further</t>
  </si>
  <si>
    <t>Pyrolysis oil blend (70% LSFO)</t>
  </si>
  <si>
    <t>CargoSys</t>
  </si>
  <si>
    <t>Reduce electricity consumption for cargo handling systems. E.g. pumps</t>
  </si>
  <si>
    <t>Manual input selected in "Main assumptions" sheet</t>
  </si>
  <si>
    <t>ExhGas</t>
  </si>
  <si>
    <t>Exhaust gas boilers recover the heat from the exhaust gas of auxiliary diesel engines to generate steam and/or hot water, or useful heat for process heating</t>
  </si>
  <si>
    <t>Fuel cell efficiency</t>
  </si>
  <si>
    <t>Eff. grows from 50-60% in 2050, CAPEX reduces -1% p.a.</t>
  </si>
  <si>
    <t>Referencing aid</t>
  </si>
  <si>
    <t>Eff. grows from 50-65% in 2050, CAPEX reduces -1.5% p.a.</t>
  </si>
  <si>
    <t>Prop</t>
  </si>
  <si>
    <t>Aux</t>
  </si>
  <si>
    <t>Boil</t>
  </si>
  <si>
    <t>Cost Down</t>
  </si>
  <si>
    <t>Fuel cell - Fuel cell cost input</t>
  </si>
  <si>
    <t>Reference cost</t>
  </si>
  <si>
    <t>AE_opt</t>
  </si>
  <si>
    <t>Ships with EE levers</t>
  </si>
  <si>
    <t>Steam_opt</t>
  </si>
  <si>
    <t>Oil scenarios</t>
  </si>
  <si>
    <t>Forward curve on oil price from June 2021</t>
  </si>
  <si>
    <t>Increasing linearly to 95 USD/bbl</t>
  </si>
  <si>
    <t>Decreasing linearly to 20 USD/bbl</t>
  </si>
  <si>
    <t>Defualt critical lever values (path we are on)</t>
  </si>
  <si>
    <t>Average CO2 levy cost ME</t>
  </si>
  <si>
    <t>Fuel Cost and CO2 cost ME</t>
  </si>
  <si>
    <t>Fuel Cost and CO2 cost boiler</t>
  </si>
  <si>
    <t>Average CO2 levy cost boiler</t>
  </si>
  <si>
    <t>Average CO2 levy cost AE</t>
  </si>
  <si>
    <t>Fuel Cost and CO2 cost AE</t>
  </si>
  <si>
    <t>USD/ ton CO2 / year</t>
  </si>
  <si>
    <t>PS plant unit capex</t>
  </si>
  <si>
    <t>Opex - PS facility</t>
  </si>
  <si>
    <t>CO2 PS</t>
  </si>
  <si>
    <t>Blue/Grey - Hydrogen</t>
  </si>
  <si>
    <t>Conversion NG : NH3</t>
  </si>
  <si>
    <t>Conversion N2 : NH3</t>
  </si>
  <si>
    <t>kg NG/kg NH3</t>
  </si>
  <si>
    <t>Blue ammonia plant unit cost (ATR incl CCS)</t>
  </si>
  <si>
    <t>mWh/ton blue NH3</t>
  </si>
  <si>
    <t>Plant - ATR - opex</t>
  </si>
  <si>
    <t>Conversion CO2 : NG (actual)</t>
  </si>
  <si>
    <t>kg CO2/kg NG</t>
  </si>
  <si>
    <t>Nitrogen</t>
  </si>
  <si>
    <t>CO2 captured per ton NH3</t>
  </si>
  <si>
    <t>CCS</t>
  </si>
  <si>
    <t>CO2 produced per ton NH3</t>
  </si>
  <si>
    <t>Ton CO2/ton NH3</t>
  </si>
  <si>
    <t>Share</t>
  </si>
  <si>
    <t>Nitrogen ASU capex</t>
  </si>
  <si>
    <t>Opex - ASU facility</t>
  </si>
  <si>
    <t>USD/ ton N2</t>
  </si>
  <si>
    <t>mWh/ton N2</t>
  </si>
  <si>
    <t>Nitrogen ASU</t>
  </si>
  <si>
    <t>tonCO2eq/tonN2</t>
  </si>
  <si>
    <t>N2 ASU</t>
  </si>
  <si>
    <t>CO2 not captured per ton NH3</t>
  </si>
  <si>
    <t>WTT Emission - NG</t>
  </si>
  <si>
    <t>High level estimate</t>
  </si>
  <si>
    <t>Feedstock NG</t>
  </si>
  <si>
    <t>USD/ ton N2 / year</t>
  </si>
  <si>
    <t>Direct Air Capture</t>
  </si>
  <si>
    <t>Point Source</t>
  </si>
  <si>
    <t>Total Cost of Ownership (TCO) Model</t>
  </si>
  <si>
    <t>Terms &amp; Conditions</t>
  </si>
  <si>
    <r>
      <t>Model Developed by:</t>
    </r>
    <r>
      <rPr>
        <sz val="10"/>
        <color theme="1"/>
        <rFont val="Aptos Narrow"/>
        <family val="2"/>
      </rPr>
      <t xml:space="preserve"> 
Mærsk Mc-Kinney Møller Center for Zero Carbon Shipping</t>
    </r>
  </si>
  <si>
    <r>
      <t xml:space="preserve">Contact Information:
</t>
    </r>
    <r>
      <rPr>
        <sz val="10"/>
        <color theme="1"/>
        <rFont val="Aptos Narrow"/>
        <family val="2"/>
      </rPr>
      <t>Mathias Hintze, Analyst
mathias.hintze@zerocarbonshipping.com</t>
    </r>
  </si>
  <si>
    <r>
      <t xml:space="preserve">Model Version:
</t>
    </r>
    <r>
      <rPr>
        <sz val="10"/>
        <color theme="1"/>
        <rFont val="Aptos Narrow"/>
        <family val="2"/>
      </rPr>
      <t>1.5</t>
    </r>
  </si>
  <si>
    <r>
      <t xml:space="preserve">Release Date:
</t>
    </r>
    <r>
      <rPr>
        <sz val="10"/>
        <color theme="1"/>
        <rFont val="Aptos Narrow"/>
        <family val="2"/>
      </rPr>
      <t>01-06-2024</t>
    </r>
    <r>
      <rPr>
        <sz val="11"/>
        <color theme="1"/>
        <rFont val="Aptos Narrow"/>
        <family val="2"/>
      </rPr>
      <t xml:space="preserve"> (Original release date: 01-11-2021)</t>
    </r>
  </si>
  <si>
    <r>
      <t>Model:</t>
    </r>
    <r>
      <rPr>
        <sz val="10"/>
        <color theme="1"/>
        <rFont val="Aptos Narrow"/>
        <family val="2"/>
      </rPr>
      <t xml:space="preserve">
Total Cost of Ownership (TCO) model</t>
    </r>
  </si>
  <si>
    <t>By downloading the TCO Model (as defined herein), you (the “User”) hereby automatically accept to be bound by the following terms and conditions (“Terms”):
Fonden Mærsk Mc-Kinney Møller Center for Zero Carbon Shipping, CVR-no. 41805056, Marmorvej 8, 2100 Copenhagen, Denmark (“Center”), has developed a total cost of ownership model which the Center, free of charge, has made publicly available subject to these Terms.</t>
  </si>
  <si>
    <r>
      <rPr>
        <b/>
        <sz val="11"/>
        <color theme="1"/>
        <rFont val="Aptos Narrow"/>
        <family val="2"/>
      </rPr>
      <t>3    MODIFICATIONS AND UPDATES</t>
    </r>
    <r>
      <rPr>
        <sz val="11"/>
        <color theme="1"/>
        <rFont val="Aptos Narrow"/>
        <family val="2"/>
      </rPr>
      <t xml:space="preserve">
3.1    The Center may, in its sole discretion, change, improve, and/or correct the TCO Model, and may decide to discontinue the TCO Model without notice</t>
    </r>
  </si>
  <si>
    <r>
      <rPr>
        <b/>
        <sz val="11"/>
        <color theme="1"/>
        <rFont val="Aptos Narrow"/>
        <family val="2"/>
      </rPr>
      <t xml:space="preserve">2    OWNERSHIP AND LICENSE </t>
    </r>
    <r>
      <rPr>
        <sz val="11"/>
        <color theme="1"/>
        <rFont val="Aptos Narrow"/>
        <family val="2"/>
      </rPr>
      <t xml:space="preserve">
2.1    </t>
    </r>
    <r>
      <rPr>
        <u/>
        <sz val="11"/>
        <color theme="1"/>
        <rFont val="Aptos Narrow"/>
        <family val="2"/>
      </rPr>
      <t>Ownership.</t>
    </r>
    <r>
      <rPr>
        <sz val="11"/>
        <color theme="1"/>
        <rFont val="Aptos Narrow"/>
        <family val="2"/>
      </rPr>
      <t xml:space="preserve"> The Center owns the TCO Model and all IPR in and to the TCO Model, including but not limited to any future corrections, updates, improvements, bug fixes, or other modifications. 
2.2    </t>
    </r>
    <r>
      <rPr>
        <u/>
        <sz val="11"/>
        <color theme="1"/>
        <rFont val="Aptos Narrow"/>
        <family val="2"/>
      </rPr>
      <t>License grant.</t>
    </r>
    <r>
      <rPr>
        <sz val="11"/>
        <color theme="1"/>
        <rFont val="Aptos Narrow"/>
        <family val="2"/>
      </rPr>
      <t xml:space="preserve"> The Center grants the User a royalty free, non-exclusive, non-sublicensable, revocable, non-transferable license to use the TCO Model for the purpose of assessing fuel costs and total cost of ownership of vessels based on the provided data within the TCO Model. This license includes a right to utilize, publish, disclose, and commercialize Output, with the understanding that the User assumes full liability and responsibility towards any third-party recipients of Output. 
2.3    </t>
    </r>
    <r>
      <rPr>
        <u/>
        <sz val="11"/>
        <color theme="1"/>
        <rFont val="Aptos Narrow"/>
        <family val="2"/>
      </rPr>
      <t>Restrictions.</t>
    </r>
    <r>
      <rPr>
        <sz val="11"/>
        <color theme="1"/>
        <rFont val="Aptos Narrow"/>
        <family val="2"/>
      </rPr>
      <t xml:space="preserve"> The User shall not publish, disclose, distribute, sub-license, sell or otherwise make available the TCO Model (or parts or copies thereof). The User shall not reverse engineer, decompile and/or disassemble the TCO Model.  </t>
    </r>
  </si>
  <si>
    <r>
      <rPr>
        <b/>
        <sz val="11"/>
        <color theme="1"/>
        <rFont val="Aptos Narrow"/>
        <family val="2"/>
      </rPr>
      <t>4    TERM AND TERMINATION</t>
    </r>
    <r>
      <rPr>
        <sz val="11"/>
        <color theme="1"/>
        <rFont val="Aptos Narrow"/>
        <family val="2"/>
      </rPr>
      <t xml:space="preserve">
4.1    </t>
    </r>
    <r>
      <rPr>
        <u/>
        <sz val="11"/>
        <color theme="1"/>
        <rFont val="Aptos Narrow"/>
        <family val="2"/>
      </rPr>
      <t>Term and Termination.</t>
    </r>
    <r>
      <rPr>
        <sz val="11"/>
        <color theme="1"/>
        <rFont val="Aptos Narrow"/>
        <family val="2"/>
      </rPr>
      <t xml:space="preserve"> These Terms will stay in force and effect for as long as the User is granted a license to the TCO Model. Either Party may terminate these Terms for convenience with immediate effect by providing a written notice to the other Party. Upon termination of these Terms, any license rights granted under these Terms by the Center to the User will cease immediately. </t>
    </r>
  </si>
  <si>
    <r>
      <rPr>
        <b/>
        <sz val="11"/>
        <color theme="1"/>
        <rFont val="Aptos Narrow"/>
        <family val="2"/>
      </rPr>
      <t>5    NO LIABILITY AND WARRANTY</t>
    </r>
    <r>
      <rPr>
        <sz val="11"/>
        <color theme="1"/>
        <rFont val="Aptos Narrow"/>
        <family val="2"/>
      </rPr>
      <t xml:space="preserve">
5.1    </t>
    </r>
    <r>
      <rPr>
        <u/>
        <sz val="11"/>
        <color theme="1"/>
        <rFont val="Aptos Narrow"/>
        <family val="2"/>
      </rPr>
      <t xml:space="preserve">No warranties or representations. </t>
    </r>
    <r>
      <rPr>
        <sz val="11"/>
        <color theme="1"/>
        <rFont val="Aptos Narrow"/>
        <family val="2"/>
      </rPr>
      <t xml:space="preserve">The TCO Model is provided “as is” without warranty or representation of any kind, express or implied, including but not limited to warranties of merchantability, fitness for a particular purpose, error-free and non-infringement. 
5.2    </t>
    </r>
    <r>
      <rPr>
        <u/>
        <sz val="11"/>
        <color theme="1"/>
        <rFont val="Aptos Narrow"/>
        <family val="2"/>
      </rPr>
      <t>No liability.</t>
    </r>
    <r>
      <rPr>
        <sz val="11"/>
        <color theme="1"/>
        <rFont val="Aptos Narrow"/>
        <family val="2"/>
      </rPr>
      <t xml:space="preserve"> In no event shall the Center or other authors be liable whatsoever for any direct or indirect damages, claims (including third-party claims), or other liability, whether in an action of contract, tort or otherwise, including but not limited to loss of profits, business, revenue or goodwill, arising from, out of or in connection with the TCO Model or the use of or other dealing in the TCO Model, or in any other way arising out of these Terms, including the User’s disclosure of Output to third-parties. </t>
    </r>
  </si>
  <si>
    <r>
      <rPr>
        <b/>
        <sz val="11"/>
        <color theme="1"/>
        <rFont val="Aptos Narrow"/>
        <family val="2"/>
      </rPr>
      <t>1  DEFINITIONS</t>
    </r>
    <r>
      <rPr>
        <sz val="11"/>
        <color theme="1"/>
        <rFont val="Aptos Narrow"/>
        <family val="2"/>
      </rPr>
      <t xml:space="preserve">
1.1  For the purpose of these Terms, the following definitions apply:
</t>
    </r>
    <r>
      <rPr>
        <b/>
        <sz val="11"/>
        <color theme="1"/>
        <rFont val="Aptos Narrow"/>
        <family val="2"/>
      </rPr>
      <t>“IPR”</t>
    </r>
    <r>
      <rPr>
        <sz val="11"/>
        <color theme="1"/>
        <rFont val="Aptos Narrow"/>
        <family val="2"/>
      </rPr>
      <t xml:space="preserve"> means all intellectual property rights, including but not limited to patents, rights to inventions, trademarks, copyrights and related rights, database rights, design rights, rights to use and protect confidential information, rights to software and code, in each case whether registered or unregistered.
</t>
    </r>
    <r>
      <rPr>
        <b/>
        <sz val="11"/>
        <color theme="1"/>
        <rFont val="Aptos Narrow"/>
        <family val="2"/>
      </rPr>
      <t>“TCO Model”</t>
    </r>
    <r>
      <rPr>
        <sz val="11"/>
        <color theme="1"/>
        <rFont val="Aptos Narrow"/>
        <family val="2"/>
      </rPr>
      <t xml:space="preserve"> or </t>
    </r>
    <r>
      <rPr>
        <b/>
        <sz val="11"/>
        <color theme="1"/>
        <rFont val="Aptos Narrow"/>
        <family val="2"/>
      </rPr>
      <t>“Total Cost of Ownership Model”</t>
    </r>
    <r>
      <rPr>
        <sz val="11"/>
        <color theme="1"/>
        <rFont val="Aptos Narrow"/>
        <family val="2"/>
      </rPr>
      <t xml:space="preserve"> means the Excel-based techno-economic model used for calculating fuel costs and total cost of ownership of vessels.  
</t>
    </r>
    <r>
      <rPr>
        <b/>
        <sz val="11"/>
        <color theme="1"/>
        <rFont val="Aptos Narrow"/>
        <family val="2"/>
      </rPr>
      <t>“Output”</t>
    </r>
    <r>
      <rPr>
        <sz val="11"/>
        <color theme="1"/>
        <rFont val="Aptos Narrow"/>
        <family val="2"/>
      </rPr>
      <t xml:space="preserve"> means any output derived directly from the use of the TCO Model.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</si>
</sst>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3">
    <numFmt numFmtId="43" formatCode="_-* #,##0.00_-;\-* #,##0.00_-;_-* &quot;-&quot;??_-;_-@_-"/>
    <numFmt numFmtId="164" formatCode="_(&quot;$&quot;* #,##0.00_);_(&quot;$&quot;* \(#,##0.00\);_(&quot;$&quot;* &quot;-&quot;??_);_(@_)"/>
    <numFmt numFmtId="165" formatCode="_(* #,##0.00_);_(* \(#,##0.00\);_(* &quot;-&quot;??_);_(@_)"/>
    <numFmt numFmtId="166" formatCode="_(* #,##0_);_(* \(#,##0\);_(* &quot;-&quot;??_);_(@_)"/>
    <numFmt numFmtId="167" formatCode="_(* #,##0.0_);_(* \(#,##0.0\);_(* &quot;-&quot;??_);_(@_)"/>
    <numFmt numFmtId="168" formatCode="0.0%"/>
    <numFmt numFmtId="169" formatCode="_(&quot;$&quot;* #,##0_);_(&quot;$&quot;* \(#,##0\);_(&quot;$&quot;* &quot;-&quot;??_);_(@_)"/>
    <numFmt numFmtId="170" formatCode="0.000"/>
    <numFmt numFmtId="171" formatCode="#,##0.0"/>
    <numFmt numFmtId="172" formatCode="0.0"/>
    <numFmt numFmtId="173" formatCode="#,##0.0000"/>
    <numFmt numFmtId="174" formatCode="_(* #,##0.00000_);_(* \(#,##0.00000\);_(* &quot;-&quot;??_);_(@_)"/>
    <numFmt numFmtId="175" formatCode="_-* #,##0_-;\-* #,##0_-;_-* &quot;-&quot;??_-;_-@_-"/>
    <numFmt numFmtId="176" formatCode="_-* #,##0.00\ _k_r_._-;\-* #,##0.00\ _k_r_._-;_-* &quot;-&quot;??\ _k_r_._-;_-@_-"/>
    <numFmt numFmtId="177" formatCode="#,##0.000"/>
    <numFmt numFmtId="178" formatCode="_(* #,##0%_);_(* \(#,##0%\);_(* &quot;-&quot;??_);_(@_)"/>
    <numFmt numFmtId="179" formatCode="_(* #,##0.0000_);_(* \(#,##0.0000\);_(* &quot;-&quot;??_);_(@_)"/>
    <numFmt numFmtId="180" formatCode="_(* #,##0.00_);_(* \(#,##0.00\);_(* &quot;-&quot;?????_);_(@_)"/>
    <numFmt numFmtId="181" formatCode="_(* #,##0.0_);_(* \(#,##0.0\);_(* &quot;-&quot;?????_);_(@_)"/>
    <numFmt numFmtId="182" formatCode="0.0000"/>
    <numFmt numFmtId="183" formatCode="_-* #,##0.0_-;\-* #,##0.0_-;_-* &quot;-&quot;??_-;_-@_-"/>
    <numFmt numFmtId="184" formatCode="dd\-mm\-yyyy"/>
    <numFmt numFmtId="185" formatCode="_-* #,##0.000_-;\-* #,##0.000_-;_-* &quot;-&quot;??_-;_-@_-"/>
  </numFmts>
  <fonts count="113" x14ac:knownFonts="1">
    <font>
      <sz val="10"/>
      <color theme="1"/>
      <name val="Arial"/>
      <family val="2"/>
    </font>
    <font>
      <sz val="11"/>
      <color theme="1"/>
      <name val="Aptos Display"/>
      <family val="2"/>
      <scheme val="minor"/>
    </font>
    <font>
      <sz val="11"/>
      <color theme="1"/>
      <name val="Aptos Display"/>
      <family val="2"/>
      <scheme val="minor"/>
    </font>
    <font>
      <b/>
      <sz val="11"/>
      <color theme="0"/>
      <name val="Aptos Display"/>
      <family val="2"/>
      <scheme val="minor"/>
    </font>
    <font>
      <b/>
      <sz val="11"/>
      <color theme="1"/>
      <name val="Aptos Display"/>
      <family val="2"/>
      <scheme val="minor"/>
    </font>
    <font>
      <i/>
      <sz val="11"/>
      <color theme="1"/>
      <name val="Aptos Display"/>
      <family val="2"/>
      <scheme val="minor"/>
    </font>
    <font>
      <sz val="8"/>
      <name val="Aptos Display"/>
      <family val="2"/>
      <scheme val="minor"/>
    </font>
    <font>
      <sz val="11"/>
      <color rgb="FFFF0000"/>
      <name val="Aptos Display"/>
      <family val="2"/>
      <scheme val="minor"/>
    </font>
    <font>
      <u/>
      <sz val="11"/>
      <color theme="10"/>
      <name val="Aptos Display"/>
      <family val="2"/>
      <scheme val="minor"/>
    </font>
    <font>
      <sz val="11"/>
      <name val="Aptos Display"/>
      <family val="2"/>
      <scheme val="minor"/>
    </font>
    <font>
      <b/>
      <sz val="11"/>
      <name val="Aptos Display"/>
      <family val="2"/>
      <scheme val="minor"/>
    </font>
    <font>
      <b/>
      <sz val="10"/>
      <name val="Arial"/>
      <family val="2"/>
    </font>
    <font>
      <sz val="10"/>
      <name val="Arial"/>
      <family val="2"/>
    </font>
    <font>
      <sz val="11"/>
      <color rgb="FF000000"/>
      <name val="Aptos Display"/>
      <family val="2"/>
      <scheme val="minor"/>
    </font>
    <font>
      <b/>
      <sz val="11"/>
      <color rgb="FF000000"/>
      <name val="Aptos Display"/>
      <family val="2"/>
      <scheme val="minor"/>
    </font>
    <font>
      <sz val="10"/>
      <name val="Arial"/>
      <family val="2"/>
      <charset val="238"/>
    </font>
    <font>
      <i/>
      <sz val="10"/>
      <name val="Arial"/>
      <family val="2"/>
    </font>
    <font>
      <sz val="11"/>
      <color theme="3"/>
      <name val="Aptos Display"/>
      <family val="2"/>
      <scheme val="minor"/>
    </font>
    <font>
      <b/>
      <sz val="13"/>
      <name val="Aptos Display"/>
      <family val="2"/>
      <scheme val="minor"/>
    </font>
    <font>
      <sz val="11"/>
      <color rgb="FFC00000"/>
      <name val="Aptos Display"/>
      <family val="2"/>
      <scheme val="minor"/>
    </font>
    <font>
      <u/>
      <sz val="11"/>
      <color theme="6"/>
      <name val="Aptos Display"/>
      <family val="2"/>
      <scheme val="minor"/>
    </font>
    <font>
      <b/>
      <sz val="22"/>
      <name val="Aptos Display"/>
      <family val="2"/>
      <scheme val="major"/>
    </font>
    <font>
      <sz val="11"/>
      <color rgb="FF0000FF"/>
      <name val="Aptos Display"/>
      <family val="2"/>
      <scheme val="minor"/>
    </font>
    <font>
      <sz val="11"/>
      <color theme="1" tint="0.34998626667073579"/>
      <name val="Aptos Display"/>
      <family val="2"/>
      <scheme val="minor"/>
    </font>
    <font>
      <sz val="11"/>
      <color rgb="FF000000"/>
      <name val="Calibri"/>
      <family val="2"/>
    </font>
    <font>
      <b/>
      <sz val="9"/>
      <color indexed="81"/>
      <name val="Tahoma"/>
      <family val="2"/>
    </font>
    <font>
      <sz val="9"/>
      <color indexed="81"/>
      <name val="Tahoma"/>
      <family val="2"/>
    </font>
    <font>
      <b/>
      <i/>
      <sz val="11"/>
      <color theme="0"/>
      <name val="Aptos Display"/>
      <family val="2"/>
      <scheme val="minor"/>
    </font>
    <font>
      <sz val="11"/>
      <color rgb="FF006100"/>
      <name val="Aptos Display"/>
      <family val="2"/>
      <scheme val="minor"/>
    </font>
    <font>
      <b/>
      <sz val="12"/>
      <color rgb="FF000000"/>
      <name val="Arial"/>
      <family val="2"/>
    </font>
    <font>
      <sz val="11"/>
      <color theme="1"/>
      <name val="Arial"/>
      <family val="2"/>
    </font>
    <font>
      <b/>
      <sz val="11"/>
      <color theme="1"/>
      <name val="Arial"/>
      <family val="2"/>
    </font>
    <font>
      <b/>
      <sz val="11"/>
      <color theme="0"/>
      <name val="Arial"/>
      <family val="2"/>
    </font>
    <font>
      <sz val="11"/>
      <color theme="0"/>
      <name val="Arial"/>
      <family val="2"/>
    </font>
    <font>
      <b/>
      <sz val="10"/>
      <color theme="0"/>
      <name val="Arial"/>
      <family val="2"/>
    </font>
    <font>
      <i/>
      <sz val="11"/>
      <color theme="0" tint="-0.249977111117893"/>
      <name val="Arial"/>
      <family val="2"/>
    </font>
    <font>
      <b/>
      <i/>
      <sz val="10"/>
      <color theme="0" tint="-0.249977111117893"/>
      <name val="Arial"/>
      <family val="2"/>
    </font>
    <font>
      <sz val="11"/>
      <color rgb="FF000000"/>
      <name val="Calibri"/>
      <family val="2"/>
    </font>
    <font>
      <i/>
      <sz val="11"/>
      <color theme="5"/>
      <name val="Aptos Display"/>
      <family val="2"/>
      <scheme val="minor"/>
    </font>
    <font>
      <i/>
      <sz val="11"/>
      <color theme="6"/>
      <name val="Arial"/>
      <family val="2"/>
    </font>
    <font>
      <u/>
      <sz val="11"/>
      <color theme="10"/>
      <name val="Calibri"/>
      <family val="2"/>
    </font>
    <font>
      <b/>
      <i/>
      <sz val="11"/>
      <color theme="1"/>
      <name val="Arial"/>
      <family val="2"/>
    </font>
    <font>
      <i/>
      <sz val="11"/>
      <color theme="1"/>
      <name val="Arial"/>
      <family val="2"/>
    </font>
    <font>
      <b/>
      <sz val="14"/>
      <color theme="0"/>
      <name val="Arial"/>
      <family val="2"/>
    </font>
    <font>
      <sz val="11"/>
      <color theme="1" tint="0.499984740745262"/>
      <name val="Arial"/>
      <family val="2"/>
    </font>
    <font>
      <sz val="11"/>
      <color theme="1" tint="0.14999847407452621"/>
      <name val="Arial"/>
      <family val="2"/>
    </font>
    <font>
      <sz val="11"/>
      <name val="Arial"/>
      <family val="2"/>
    </font>
    <font>
      <sz val="11"/>
      <color rgb="FF0070C0"/>
      <name val="Arial"/>
      <family val="2"/>
    </font>
    <font>
      <i/>
      <sz val="11"/>
      <name val="Arial"/>
      <family val="2"/>
    </font>
    <font>
      <b/>
      <sz val="11"/>
      <name val="Arial"/>
      <family val="2"/>
    </font>
    <font>
      <sz val="11"/>
      <color rgb="FF3F3F76"/>
      <name val="Arial"/>
      <family val="2"/>
    </font>
    <font>
      <vertAlign val="subscript"/>
      <sz val="11"/>
      <color theme="1"/>
      <name val="Arial"/>
      <family val="2"/>
    </font>
    <font>
      <i/>
      <sz val="11"/>
      <color theme="0" tint="-4.9989318521683403E-2"/>
      <name val="Arial"/>
      <family val="2"/>
    </font>
    <font>
      <b/>
      <i/>
      <sz val="10"/>
      <color theme="0"/>
      <name val="Arial"/>
      <family val="2"/>
    </font>
    <font>
      <i/>
      <sz val="10"/>
      <color theme="1"/>
      <name val="Arial"/>
      <family val="2"/>
    </font>
    <font>
      <u/>
      <sz val="11"/>
      <color theme="10"/>
      <name val="Arial"/>
      <family val="2"/>
    </font>
    <font>
      <b/>
      <i/>
      <sz val="10"/>
      <color theme="1"/>
      <name val="Arial"/>
      <family val="2"/>
    </font>
    <font>
      <b/>
      <sz val="10"/>
      <color theme="1"/>
      <name val="Arial"/>
      <family val="2"/>
    </font>
    <font>
      <sz val="11"/>
      <color rgb="FFFF0000"/>
      <name val="Arial"/>
      <family val="2"/>
    </font>
    <font>
      <b/>
      <sz val="10"/>
      <color rgb="FF000000"/>
      <name val="Arial"/>
      <family val="2"/>
    </font>
    <font>
      <sz val="10"/>
      <color theme="0"/>
      <name val="Arial"/>
      <family val="2"/>
    </font>
    <font>
      <i/>
      <sz val="10"/>
      <color theme="0"/>
      <name val="Arial"/>
      <family val="2"/>
    </font>
    <font>
      <sz val="10"/>
      <color rgb="FFFF0000"/>
      <name val="Arial"/>
      <family val="2"/>
    </font>
    <font>
      <b/>
      <sz val="10"/>
      <color rgb="FFFF0000"/>
      <name val="Arial"/>
      <family val="2"/>
    </font>
    <font>
      <sz val="10"/>
      <color rgb="FF0070C0"/>
      <name val="Arial"/>
      <family val="2"/>
    </font>
    <font>
      <i/>
      <sz val="10"/>
      <color theme="0" tint="-0.249977111117893"/>
      <name val="Arial"/>
      <family val="2"/>
    </font>
    <font>
      <i/>
      <sz val="10"/>
      <color theme="1" tint="0.499984740745262"/>
      <name val="Arial"/>
      <family val="2"/>
    </font>
    <font>
      <sz val="11"/>
      <color theme="9" tint="-0.499984740745262"/>
      <name val="Arial"/>
      <family val="2"/>
    </font>
    <font>
      <b/>
      <sz val="10"/>
      <color theme="9" tint="-0.499984740745262"/>
      <name val="Arial"/>
      <family val="2"/>
    </font>
    <font>
      <i/>
      <sz val="10"/>
      <color rgb="FFFF0000"/>
      <name val="Arial"/>
      <family val="2"/>
    </font>
    <font>
      <sz val="10"/>
      <color theme="9" tint="-0.499984740745262"/>
      <name val="Arial"/>
      <family val="2"/>
    </font>
    <font>
      <u/>
      <sz val="10"/>
      <color theme="10"/>
      <name val="Arial"/>
      <family val="2"/>
    </font>
    <font>
      <sz val="10"/>
      <color theme="10"/>
      <name val="Arial"/>
      <family val="2"/>
    </font>
    <font>
      <sz val="11"/>
      <color theme="0" tint="-0.14999847407452621"/>
      <name val="Arial"/>
      <family val="2"/>
    </font>
    <font>
      <sz val="10"/>
      <color rgb="FF00B0F0"/>
      <name val="Arial"/>
      <family val="2"/>
    </font>
    <font>
      <b/>
      <i/>
      <sz val="11"/>
      <color theme="0"/>
      <name val="Arial"/>
      <family val="2"/>
    </font>
    <font>
      <b/>
      <sz val="11"/>
      <color rgb="FF002060"/>
      <name val="Arial"/>
      <family val="2"/>
    </font>
    <font>
      <sz val="11"/>
      <color rgb="FF002060"/>
      <name val="Arial"/>
      <family val="2"/>
    </font>
    <font>
      <b/>
      <sz val="11"/>
      <color rgb="FF7030A0"/>
      <name val="Arial"/>
      <family val="2"/>
    </font>
    <font>
      <i/>
      <sz val="11"/>
      <color rgb="FF7030A0"/>
      <name val="Arial"/>
      <family val="2"/>
    </font>
    <font>
      <b/>
      <i/>
      <sz val="11"/>
      <name val="Arial"/>
      <family val="2"/>
    </font>
    <font>
      <sz val="11"/>
      <color rgb="FF00B0F0"/>
      <name val="Arial"/>
      <family val="2"/>
    </font>
    <font>
      <sz val="11"/>
      <color theme="4"/>
      <name val="Arial"/>
      <family val="2"/>
    </font>
    <font>
      <b/>
      <sz val="11"/>
      <color rgb="FF00B050"/>
      <name val="Arial"/>
      <family val="2"/>
    </font>
    <font>
      <sz val="11"/>
      <color rgb="FF00B050"/>
      <name val="Arial"/>
      <family val="2"/>
    </font>
    <font>
      <i/>
      <sz val="11"/>
      <color rgb="FF00B050"/>
      <name val="Arial"/>
      <family val="2"/>
    </font>
    <font>
      <b/>
      <sz val="11"/>
      <color rgb="FF00B0F0"/>
      <name val="Arial"/>
      <family val="2"/>
    </font>
    <font>
      <b/>
      <i/>
      <sz val="11"/>
      <color rgb="FF00B0F0"/>
      <name val="Arial"/>
      <family val="2"/>
    </font>
    <font>
      <i/>
      <sz val="11"/>
      <color rgb="FF969696"/>
      <name val="Arial"/>
      <family val="2"/>
    </font>
    <font>
      <i/>
      <sz val="11"/>
      <color rgb="FF002060"/>
      <name val="Arial"/>
      <family val="2"/>
    </font>
    <font>
      <b/>
      <vertAlign val="subscript"/>
      <sz val="11"/>
      <color theme="0"/>
      <name val="Arial"/>
      <family val="2"/>
    </font>
    <font>
      <b/>
      <sz val="11"/>
      <color theme="4"/>
      <name val="Arial"/>
      <family val="2"/>
    </font>
    <font>
      <sz val="10"/>
      <color rgb="FF7030A0"/>
      <name val="Arial"/>
      <family val="2"/>
    </font>
    <font>
      <i/>
      <sz val="10"/>
      <color rgb="FF969696"/>
      <name val="Arial"/>
      <family val="2"/>
    </font>
    <font>
      <sz val="10"/>
      <color theme="9"/>
      <name val="Arial"/>
      <family val="2"/>
    </font>
    <font>
      <b/>
      <u/>
      <sz val="11"/>
      <color theme="0"/>
      <name val="Arial"/>
      <family val="2"/>
    </font>
    <font>
      <sz val="11"/>
      <color rgb="FF000000"/>
      <name val="Arial"/>
      <family val="2"/>
    </font>
    <font>
      <b/>
      <sz val="11"/>
      <color theme="1" tint="0.499984740745262"/>
      <name val="Arial"/>
      <family val="2"/>
    </font>
    <font>
      <b/>
      <vertAlign val="subscript"/>
      <sz val="11"/>
      <color theme="1"/>
      <name val="Arial"/>
      <family val="2"/>
    </font>
    <font>
      <b/>
      <sz val="12"/>
      <color theme="0"/>
      <name val="Arial"/>
      <family val="2"/>
    </font>
    <font>
      <sz val="12"/>
      <color theme="0"/>
      <name val="Arial"/>
      <family val="2"/>
    </font>
    <font>
      <b/>
      <sz val="12"/>
      <name val="Arial"/>
      <family val="2"/>
    </font>
    <font>
      <sz val="12"/>
      <name val="Arial"/>
      <family val="2"/>
    </font>
    <font>
      <sz val="11"/>
      <color theme="0" tint="-0.249977111117893"/>
      <name val="Arial"/>
      <family val="2"/>
    </font>
    <font>
      <sz val="10"/>
      <color theme="1"/>
      <name val="Arial"/>
      <family val="2"/>
    </font>
    <font>
      <sz val="11"/>
      <color theme="1"/>
      <name val="Aptos Narrow"/>
      <family val="2"/>
    </font>
    <font>
      <b/>
      <sz val="11"/>
      <color theme="1"/>
      <name val="Aptos Narrow"/>
      <family val="2"/>
    </font>
    <font>
      <sz val="10"/>
      <color theme="1"/>
      <name val="Aptos Narrow"/>
      <family val="2"/>
    </font>
    <font>
      <b/>
      <sz val="12"/>
      <color theme="1"/>
      <name val="Aptos Narrow"/>
      <family val="2"/>
    </font>
    <font>
      <i/>
      <sz val="10"/>
      <color theme="1"/>
      <name val="Aptos Narrow"/>
      <family val="2"/>
    </font>
    <font>
      <b/>
      <sz val="10"/>
      <color theme="0"/>
      <name val="Aptos Narrow"/>
      <family val="2"/>
    </font>
    <font>
      <b/>
      <sz val="10"/>
      <color theme="1"/>
      <name val="Aptos Narrow"/>
      <family val="2"/>
    </font>
    <font>
      <u/>
      <sz val="11"/>
      <color theme="1"/>
      <name val="Aptos Narrow"/>
      <family val="2"/>
    </font>
  </fonts>
  <fills count="44">
    <fill>
      <patternFill patternType="none"/>
    </fill>
    <fill>
      <patternFill patternType="gray125"/>
    </fill>
    <fill>
      <patternFill patternType="solid">
        <fgColor rgb="FF002060"/>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9" tint="0.79998168889431442"/>
        <bgColor indexed="64"/>
      </patternFill>
    </fill>
    <fill>
      <patternFill patternType="solid">
        <fgColor theme="6"/>
        <bgColor indexed="64"/>
      </patternFill>
    </fill>
    <fill>
      <patternFill patternType="solid">
        <fgColor theme="1"/>
        <bgColor indexed="64"/>
      </patternFill>
    </fill>
    <fill>
      <patternFill patternType="solid">
        <fgColor rgb="FFF0F8FF"/>
        <bgColor indexed="64"/>
      </patternFill>
    </fill>
    <fill>
      <patternFill patternType="solid">
        <fgColor theme="0" tint="-0.14999847407452621"/>
        <bgColor indexed="64"/>
      </patternFill>
    </fill>
    <fill>
      <patternFill patternType="solid">
        <fgColor rgb="FFFFFFFF"/>
        <bgColor indexed="64"/>
      </patternFill>
    </fill>
    <fill>
      <patternFill patternType="solid">
        <fgColor rgb="FFFFA07A"/>
        <bgColor indexed="64"/>
      </patternFill>
    </fill>
    <fill>
      <patternFill patternType="solid">
        <fgColor rgb="FFFF0000"/>
        <bgColor indexed="64"/>
      </patternFill>
    </fill>
    <fill>
      <patternFill patternType="solid">
        <fgColor rgb="FFFFFF00"/>
        <bgColor indexed="64"/>
      </patternFill>
    </fill>
    <fill>
      <patternFill patternType="solid">
        <fgColor rgb="FFFFC7CE"/>
      </patternFill>
    </fill>
    <fill>
      <patternFill patternType="solid">
        <fgColor theme="7"/>
      </patternFill>
    </fill>
    <fill>
      <patternFill patternType="solid">
        <fgColor theme="9"/>
      </patternFill>
    </fill>
    <fill>
      <patternFill patternType="solid">
        <fgColor theme="4"/>
        <bgColor indexed="64"/>
      </patternFill>
    </fill>
    <fill>
      <patternFill patternType="solid">
        <fgColor rgb="FFE6E6E6"/>
        <bgColor indexed="64"/>
      </patternFill>
    </fill>
    <fill>
      <patternFill patternType="solid">
        <fgColor theme="7"/>
        <bgColor indexed="64"/>
      </patternFill>
    </fill>
    <fill>
      <patternFill patternType="solid">
        <fgColor theme="2"/>
        <bgColor indexed="64"/>
      </patternFill>
    </fill>
    <fill>
      <patternFill patternType="solid">
        <fgColor rgb="FFC6EFCE"/>
      </patternFill>
    </fill>
    <fill>
      <patternFill patternType="solid">
        <fgColor theme="6" tint="0.79998168889431442"/>
        <bgColor indexed="64"/>
      </patternFill>
    </fill>
    <fill>
      <patternFill patternType="solid">
        <fgColor theme="0" tint="-0.14999847407452621"/>
        <bgColor theme="0" tint="-0.14999847407452621"/>
      </patternFill>
    </fill>
    <fill>
      <patternFill patternType="solid">
        <fgColor theme="1"/>
        <bgColor theme="1"/>
      </patternFill>
    </fill>
    <fill>
      <patternFill patternType="solid">
        <fgColor theme="3" tint="0.79998168889431442"/>
        <bgColor indexed="64"/>
      </patternFill>
    </fill>
    <fill>
      <patternFill patternType="solid">
        <fgColor rgb="FFF9F9F9"/>
        <bgColor indexed="64"/>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3"/>
        <bgColor indexed="64"/>
      </patternFill>
    </fill>
    <fill>
      <patternFill patternType="solid">
        <fgColor rgb="FF44546A"/>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5"/>
        <bgColor indexed="64"/>
      </patternFill>
    </fill>
    <fill>
      <patternFill patternType="solid">
        <fgColor theme="9"/>
        <bgColor indexed="64"/>
      </patternFill>
    </fill>
    <fill>
      <patternFill patternType="solid">
        <fgColor theme="7" tint="-0.499984740745262"/>
        <bgColor indexed="64"/>
      </patternFill>
    </fill>
    <fill>
      <patternFill patternType="solid">
        <fgColor theme="4" tint="0.89999084444715716"/>
        <bgColor indexed="64"/>
      </patternFill>
    </fill>
    <fill>
      <patternFill patternType="solid">
        <fgColor theme="8" tint="0.749992370372631"/>
        <bgColor indexed="64"/>
      </patternFill>
    </fill>
    <fill>
      <patternFill patternType="solid">
        <fgColor theme="3" tint="0.59999389629810485"/>
        <bgColor indexed="64"/>
      </patternFill>
    </fill>
    <fill>
      <patternFill patternType="solid">
        <fgColor theme="1" tint="0.249977111117893"/>
        <bgColor indexed="64"/>
      </patternFill>
    </fill>
    <fill>
      <patternFill patternType="solid">
        <fgColor rgb="FFCFEBE4"/>
        <bgColor rgb="FF000000"/>
      </patternFill>
    </fill>
  </fills>
  <borders count="85">
    <border>
      <left/>
      <right/>
      <top/>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top style="medium">
        <color indexed="64"/>
      </top>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diagonal/>
    </border>
    <border>
      <left/>
      <right/>
      <top/>
      <bottom style="thick">
        <color rgb="FF7F7F7F"/>
      </bottom>
      <diagonal/>
    </border>
    <border>
      <left/>
      <right/>
      <top style="thick">
        <color rgb="FF4D4D4D"/>
      </top>
      <bottom style="thick">
        <color rgb="FF4D4D4D"/>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dotted">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bottom style="thin">
        <color indexed="64"/>
      </bottom>
      <diagonal/>
    </border>
    <border>
      <left style="thin">
        <color theme="1"/>
      </left>
      <right style="thin">
        <color indexed="64"/>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indexed="64"/>
      </left>
      <right style="thin">
        <color theme="1"/>
      </right>
      <top style="thin">
        <color indexed="64"/>
      </top>
      <bottom style="thin">
        <color theme="1"/>
      </bottom>
      <diagonal/>
    </border>
    <border>
      <left/>
      <right style="medium">
        <color indexed="64"/>
      </right>
      <top/>
      <bottom style="medium">
        <color indexed="64"/>
      </bottom>
      <diagonal/>
    </border>
    <border>
      <left/>
      <right/>
      <top/>
      <bottom style="medium">
        <color indexed="64"/>
      </bottom>
      <diagonal/>
    </border>
    <border>
      <left/>
      <right style="medium">
        <color indexed="64"/>
      </right>
      <top style="medium">
        <color indexed="64"/>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rgb="FF7F7F7F"/>
      </left>
      <right style="thin">
        <color rgb="FF7F7F7F"/>
      </right>
      <top/>
      <bottom/>
      <diagonal/>
    </border>
    <border>
      <left style="medium">
        <color indexed="64"/>
      </left>
      <right style="medium">
        <color indexed="64"/>
      </right>
      <top/>
      <bottom style="medium">
        <color indexed="64"/>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right style="hair">
        <color auto="1"/>
      </right>
      <top style="thin">
        <color indexed="64"/>
      </top>
      <bottom style="hair">
        <color indexed="64"/>
      </bottom>
      <diagonal/>
    </border>
    <border>
      <left/>
      <right style="hair">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style="hair">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right style="hair">
        <color auto="1"/>
      </right>
      <top style="hair">
        <color auto="1"/>
      </top>
      <bottom style="hair">
        <color auto="1"/>
      </bottom>
      <diagonal/>
    </border>
    <border>
      <left style="thin">
        <color indexed="64"/>
      </left>
      <right style="thin">
        <color indexed="64"/>
      </right>
      <top/>
      <bottom style="hair">
        <color indexed="64"/>
      </bottom>
      <diagonal/>
    </border>
    <border>
      <left style="hair">
        <color indexed="64"/>
      </left>
      <right/>
      <top style="medium">
        <color indexed="64"/>
      </top>
      <bottom style="thin">
        <color indexed="64"/>
      </bottom>
      <diagonal/>
    </border>
    <border>
      <left style="hair">
        <color indexed="64"/>
      </left>
      <right/>
      <top/>
      <bottom style="thin">
        <color indexed="64"/>
      </bottom>
      <diagonal/>
    </border>
    <border>
      <left/>
      <right style="thin">
        <color indexed="64"/>
      </right>
      <top style="medium">
        <color indexed="64"/>
      </top>
      <bottom style="thin">
        <color indexed="64"/>
      </bottom>
      <diagonal/>
    </border>
    <border>
      <left style="medium">
        <color theme="3"/>
      </left>
      <right style="medium">
        <color theme="3"/>
      </right>
      <top style="medium">
        <color theme="3"/>
      </top>
      <bottom/>
      <diagonal/>
    </border>
    <border>
      <left style="medium">
        <color theme="3"/>
      </left>
      <right style="medium">
        <color theme="3"/>
      </right>
      <top/>
      <bottom/>
      <diagonal/>
    </border>
    <border>
      <left style="medium">
        <color theme="3"/>
      </left>
      <right style="medium">
        <color theme="3"/>
      </right>
      <top/>
      <bottom style="medium">
        <color theme="3"/>
      </bottom>
      <diagonal/>
    </border>
    <border>
      <left style="medium">
        <color theme="9"/>
      </left>
      <right style="medium">
        <color theme="9"/>
      </right>
      <top style="medium">
        <color theme="9"/>
      </top>
      <bottom/>
      <diagonal/>
    </border>
    <border>
      <left style="medium">
        <color theme="9"/>
      </left>
      <right style="medium">
        <color theme="9"/>
      </right>
      <top/>
      <bottom/>
      <diagonal/>
    </border>
    <border>
      <left style="medium">
        <color theme="3" tint="0.59999389629810485"/>
      </left>
      <right/>
      <top style="medium">
        <color theme="3" tint="0.59999389629810485"/>
      </top>
      <bottom/>
      <diagonal/>
    </border>
    <border>
      <left style="medium">
        <color theme="3" tint="0.59999389629810485"/>
      </left>
      <right/>
      <top/>
      <bottom/>
      <diagonal/>
    </border>
    <border>
      <left style="medium">
        <color theme="2"/>
      </left>
      <right/>
      <top style="medium">
        <color theme="2"/>
      </top>
      <bottom/>
      <diagonal/>
    </border>
    <border>
      <left/>
      <right style="medium">
        <color theme="2"/>
      </right>
      <top style="medium">
        <color theme="2"/>
      </top>
      <bottom/>
      <diagonal/>
    </border>
    <border>
      <left style="medium">
        <color theme="2"/>
      </left>
      <right/>
      <top/>
      <bottom/>
      <diagonal/>
    </border>
    <border>
      <left style="medium">
        <color theme="2"/>
      </left>
      <right/>
      <top/>
      <bottom style="medium">
        <color theme="2"/>
      </bottom>
      <diagonal/>
    </border>
    <border>
      <left style="medium">
        <color theme="3" tint="0.59999389629810485"/>
      </left>
      <right style="medium">
        <color theme="3" tint="0.59999389629810485"/>
      </right>
      <top style="medium">
        <color theme="3" tint="0.59999389629810485"/>
      </top>
      <bottom/>
      <diagonal/>
    </border>
    <border>
      <left style="medium">
        <color theme="9"/>
      </left>
      <right style="medium">
        <color theme="9"/>
      </right>
      <top style="dotted">
        <color theme="9"/>
      </top>
      <bottom style="medium">
        <color theme="9"/>
      </bottom>
      <diagonal/>
    </border>
    <border>
      <left style="medium">
        <color theme="3" tint="0.59999389629810485"/>
      </left>
      <right style="medium">
        <color theme="3" tint="0.59999389629810485"/>
      </right>
      <top style="dotted">
        <color theme="3" tint="0.59999389629810485"/>
      </top>
      <bottom style="medium">
        <color theme="3" tint="0.59999389629810485"/>
      </bottom>
      <diagonal/>
    </border>
    <border>
      <left/>
      <right style="medium">
        <color theme="2"/>
      </right>
      <top style="dotted">
        <color theme="2"/>
      </top>
      <bottom/>
      <diagonal/>
    </border>
    <border>
      <left/>
      <right style="medium">
        <color theme="2"/>
      </right>
      <top style="dotted">
        <color theme="2"/>
      </top>
      <bottom style="medium">
        <color theme="2"/>
      </bottom>
      <diagonal/>
    </border>
    <border>
      <left style="medium">
        <color theme="3"/>
      </left>
      <right style="medium">
        <color theme="3"/>
      </right>
      <top style="dotted">
        <color theme="3"/>
      </top>
      <bottom style="medium">
        <color theme="3"/>
      </bottom>
      <diagonal/>
    </border>
    <border>
      <left style="medium">
        <color theme="3"/>
      </left>
      <right style="medium">
        <color theme="3"/>
      </right>
      <top style="dotted">
        <color theme="3"/>
      </top>
      <bottom/>
      <diagonal/>
    </border>
    <border>
      <left style="medium">
        <color theme="1" tint="0.249977111117893"/>
      </left>
      <right/>
      <top style="medium">
        <color theme="1" tint="0.249977111117893"/>
      </top>
      <bottom style="medium">
        <color theme="1" tint="0.249977111117893"/>
      </bottom>
      <diagonal/>
    </border>
    <border>
      <left/>
      <right style="medium">
        <color theme="1" tint="0.249977111117893"/>
      </right>
      <top style="medium">
        <color theme="1" tint="0.249977111117893"/>
      </top>
      <bottom style="medium">
        <color theme="1" tint="0.249977111117893"/>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thin">
        <color indexed="64"/>
      </bottom>
      <diagonal/>
    </border>
    <border>
      <left style="medium">
        <color theme="8" tint="0.749992370372631"/>
      </left>
      <right style="medium">
        <color theme="8" tint="0.749992370372631"/>
      </right>
      <top style="medium">
        <color theme="8" tint="0.749992370372631"/>
      </top>
      <bottom style="medium">
        <color theme="8" tint="0.749992370372631"/>
      </bottom>
      <diagonal/>
    </border>
  </borders>
  <cellStyleXfs count="51">
    <xf numFmtId="0" fontId="0" fillId="0" borderId="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8" fillId="0" borderId="0" applyNumberFormat="0" applyFill="0" applyBorder="0" applyAlignment="0" applyProtection="0"/>
    <xf numFmtId="164" fontId="2" fillId="0" borderId="0" applyFont="0" applyFill="0" applyBorder="0" applyAlignment="0" applyProtection="0"/>
    <xf numFmtId="39" fontId="14" fillId="9" borderId="0">
      <protection locked="0"/>
    </xf>
    <xf numFmtId="0" fontId="15" fillId="0" borderId="0" applyNumberFormat="0" applyFont="0" applyFill="0" applyBorder="0" applyAlignment="0" applyProtection="0"/>
    <xf numFmtId="0" fontId="15" fillId="0" borderId="0" applyNumberFormat="0" applyFont="0" applyFill="0" applyBorder="0" applyAlignment="0" applyProtection="0"/>
    <xf numFmtId="0" fontId="2" fillId="0" borderId="0"/>
    <xf numFmtId="0" fontId="2" fillId="0" borderId="0"/>
    <xf numFmtId="0" fontId="15" fillId="0" borderId="0"/>
    <xf numFmtId="0" fontId="15" fillId="0" borderId="0" applyNumberFormat="0" applyFont="0" applyFill="0" applyBorder="0" applyAlignment="0" applyProtection="0"/>
    <xf numFmtId="0" fontId="2" fillId="0" borderId="0"/>
    <xf numFmtId="0" fontId="12" fillId="0" borderId="0"/>
    <xf numFmtId="43" fontId="2" fillId="0" borderId="0" applyFont="0" applyFill="0" applyBorder="0" applyAlignment="0" applyProtection="0"/>
    <xf numFmtId="39" fontId="13" fillId="11" borderId="0">
      <protection locked="0"/>
    </xf>
    <xf numFmtId="170" fontId="2" fillId="0" borderId="0">
      <protection locked="0"/>
    </xf>
    <xf numFmtId="39" fontId="14" fillId="12" borderId="0">
      <protection locked="0"/>
    </xf>
    <xf numFmtId="0" fontId="12" fillId="0" borderId="0" applyNumberFormat="0" applyFont="0" applyFill="0" applyBorder="0" applyAlignment="0" applyProtection="0"/>
    <xf numFmtId="0" fontId="17" fillId="7" borderId="0" applyNumberFormat="0" applyAlignment="0" applyProtection="0">
      <alignment vertical="center"/>
    </xf>
    <xf numFmtId="0" fontId="18" fillId="0" borderId="0" applyNumberFormat="0" applyAlignment="0" applyProtection="0"/>
    <xf numFmtId="0" fontId="10" fillId="0" borderId="14" applyNumberFormat="0" applyAlignment="0" applyProtection="0"/>
    <xf numFmtId="0" fontId="3" fillId="18" borderId="0" applyNumberFormat="0" applyAlignment="0" applyProtection="0">
      <alignment vertical="center"/>
    </xf>
    <xf numFmtId="0" fontId="22" fillId="0" borderId="0" applyNumberFormat="0" applyAlignment="0" applyProtection="0">
      <alignment vertical="center"/>
    </xf>
    <xf numFmtId="0" fontId="2" fillId="20" borderId="0" applyNumberFormat="0" applyAlignment="0" applyProtection="0">
      <alignment vertical="center"/>
    </xf>
    <xf numFmtId="0" fontId="19" fillId="15" borderId="0" applyNumberFormat="0" applyBorder="0" applyAlignment="0" applyProtection="0"/>
    <xf numFmtId="0" fontId="21" fillId="0" borderId="0" applyNumberFormat="0" applyAlignment="0" applyProtection="0"/>
    <xf numFmtId="0" fontId="10" fillId="19" borderId="0" applyNumberFormat="0" applyAlignment="0" applyProtection="0">
      <alignment vertical="center"/>
    </xf>
    <xf numFmtId="0" fontId="10" fillId="0" borderId="15" applyNumberFormat="0" applyAlignment="0" applyProtection="0"/>
    <xf numFmtId="0" fontId="9" fillId="0" borderId="0" applyNumberFormat="0" applyAlignment="0" applyProtection="0">
      <alignment vertical="center"/>
    </xf>
    <xf numFmtId="0" fontId="20" fillId="0" borderId="0" applyNumberFormat="0" applyAlignment="0" applyProtection="0">
      <alignment vertical="center"/>
    </xf>
    <xf numFmtId="0" fontId="7" fillId="0" borderId="0" applyNumberFormat="0" applyAlignment="0" applyProtection="0">
      <alignment vertical="center"/>
    </xf>
    <xf numFmtId="0" fontId="23" fillId="0" borderId="0" applyNumberFormat="0" applyAlignment="0" applyProtection="0">
      <alignment vertical="center"/>
    </xf>
    <xf numFmtId="0" fontId="9" fillId="16" borderId="0" applyNumberFormat="0" applyBorder="0" applyAlignment="0" applyProtection="0"/>
    <xf numFmtId="0" fontId="9" fillId="17" borderId="0" applyNumberFormat="0" applyBorder="0" applyAlignment="0" applyProtection="0"/>
    <xf numFmtId="0" fontId="24" fillId="0" borderId="0"/>
    <xf numFmtId="0" fontId="24" fillId="0" borderId="0"/>
    <xf numFmtId="0" fontId="24" fillId="0" borderId="0"/>
    <xf numFmtId="0" fontId="12" fillId="26" borderId="16" applyNumberFormat="0" applyAlignment="0" applyProtection="0"/>
    <xf numFmtId="0" fontId="28" fillId="22" borderId="0" applyNumberFormat="0" applyBorder="0" applyAlignment="0" applyProtection="0"/>
    <xf numFmtId="0" fontId="37" fillId="0" borderId="0"/>
    <xf numFmtId="165" fontId="24" fillId="0" borderId="0" applyFont="0" applyFill="0" applyBorder="0" applyAlignment="0" applyProtection="0"/>
    <xf numFmtId="9" fontId="24" fillId="0" borderId="0" applyFont="0" applyFill="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9" fontId="2" fillId="0" borderId="0" applyFont="0" applyFill="0" applyBorder="0" applyAlignment="0" applyProtection="0"/>
    <xf numFmtId="0" fontId="40" fillId="0" borderId="0" applyNumberFormat="0" applyFill="0" applyBorder="0" applyAlignment="0" applyProtection="0"/>
    <xf numFmtId="0" fontId="1" fillId="0" borderId="0"/>
  </cellStyleXfs>
  <cellXfs count="805">
    <xf numFmtId="0" fontId="0" fillId="0" borderId="0" xfId="0"/>
    <xf numFmtId="0" fontId="5" fillId="0" borderId="0" xfId="0" applyFont="1"/>
    <xf numFmtId="165" fontId="0" fillId="0" borderId="0" xfId="1" applyFont="1"/>
    <xf numFmtId="0" fontId="0" fillId="0" borderId="0" xfId="0" applyAlignment="1">
      <alignment horizontal="left" indent="1"/>
    </xf>
    <xf numFmtId="0" fontId="0" fillId="4" borderId="0" xfId="0" applyFill="1"/>
    <xf numFmtId="9" fontId="0" fillId="0" borderId="0" xfId="2" applyFont="1" applyFill="1"/>
    <xf numFmtId="165" fontId="0" fillId="0" borderId="0" xfId="1" applyFont="1" applyBorder="1"/>
    <xf numFmtId="0" fontId="4" fillId="0" borderId="0" xfId="0" applyFont="1"/>
    <xf numFmtId="166" fontId="0" fillId="0" borderId="0" xfId="1" applyNumberFormat="1" applyFont="1"/>
    <xf numFmtId="9" fontId="0" fillId="0" borderId="0" xfId="2" applyFont="1"/>
    <xf numFmtId="166" fontId="4" fillId="0" borderId="0" xfId="0" applyNumberFormat="1" applyFont="1"/>
    <xf numFmtId="166" fontId="4" fillId="0" borderId="0" xfId="1" applyNumberFormat="1" applyFont="1" applyFill="1" applyBorder="1"/>
    <xf numFmtId="0" fontId="0" fillId="0" borderId="0" xfId="0" applyAlignment="1">
      <alignment horizontal="left" indent="2"/>
    </xf>
    <xf numFmtId="166" fontId="2" fillId="0" borderId="0" xfId="1" applyNumberFormat="1" applyFont="1" applyFill="1" applyBorder="1"/>
    <xf numFmtId="166" fontId="0" fillId="0" borderId="0" xfId="1" applyNumberFormat="1" applyFont="1" applyFill="1"/>
    <xf numFmtId="0" fontId="12" fillId="0" borderId="0" xfId="0" applyFont="1"/>
    <xf numFmtId="0" fontId="0" fillId="0" borderId="0" xfId="0" applyAlignment="1">
      <alignment horizontal="left" indent="3"/>
    </xf>
    <xf numFmtId="10" fontId="0" fillId="0" borderId="0" xfId="2" applyNumberFormat="1" applyFont="1" applyFill="1"/>
    <xf numFmtId="166" fontId="0" fillId="0" borderId="0" xfId="0" applyNumberFormat="1"/>
    <xf numFmtId="0" fontId="0" fillId="0" borderId="0" xfId="0" applyAlignment="1">
      <alignment horizontal="right"/>
    </xf>
    <xf numFmtId="166" fontId="4" fillId="0" borderId="0" xfId="1" applyNumberFormat="1" applyFont="1" applyFill="1"/>
    <xf numFmtId="166" fontId="0" fillId="0" borderId="0" xfId="1" applyNumberFormat="1" applyFont="1" applyBorder="1"/>
    <xf numFmtId="166" fontId="0" fillId="0" borderId="0" xfId="1" applyNumberFormat="1" applyFont="1" applyFill="1" applyBorder="1"/>
    <xf numFmtId="9" fontId="0" fillId="0" borderId="0" xfId="2" applyFont="1" applyFill="1" applyBorder="1"/>
    <xf numFmtId="165" fontId="0" fillId="0" borderId="0" xfId="0" applyNumberFormat="1"/>
    <xf numFmtId="167" fontId="0" fillId="0" borderId="0" xfId="1" applyNumberFormat="1" applyFont="1" applyBorder="1"/>
    <xf numFmtId="168" fontId="0" fillId="0" borderId="0" xfId="2" applyNumberFormat="1" applyFont="1"/>
    <xf numFmtId="2" fontId="0" fillId="0" borderId="0" xfId="2" applyNumberFormat="1" applyFont="1"/>
    <xf numFmtId="0" fontId="29" fillId="5" borderId="1" xfId="0" applyFont="1" applyFill="1" applyBorder="1" applyAlignment="1">
      <alignment vertical="center"/>
    </xf>
    <xf numFmtId="0" fontId="30" fillId="0" borderId="0" xfId="0" applyFont="1"/>
    <xf numFmtId="0" fontId="31" fillId="0" borderId="0" xfId="0" applyFont="1"/>
    <xf numFmtId="0" fontId="11" fillId="0" borderId="0" xfId="0" applyFont="1"/>
    <xf numFmtId="0" fontId="30" fillId="4" borderId="0" xfId="0" applyFont="1" applyFill="1"/>
    <xf numFmtId="9" fontId="0" fillId="4" borderId="0" xfId="2" applyFont="1" applyFill="1" applyBorder="1"/>
    <xf numFmtId="0" fontId="4" fillId="4" borderId="0" xfId="0" applyFont="1" applyFill="1"/>
    <xf numFmtId="0" fontId="4" fillId="4" borderId="0" xfId="0" applyFont="1" applyFill="1" applyAlignment="1">
      <alignment horizontal="left" indent="1"/>
    </xf>
    <xf numFmtId="0" fontId="3" fillId="8" borderId="0" xfId="0" applyFont="1" applyFill="1"/>
    <xf numFmtId="166" fontId="4" fillId="6" borderId="0" xfId="1" applyNumberFormat="1" applyFont="1" applyFill="1"/>
    <xf numFmtId="166" fontId="2" fillId="6" borderId="0" xfId="1" applyNumberFormat="1" applyFont="1" applyFill="1"/>
    <xf numFmtId="166" fontId="0" fillId="6" borderId="0" xfId="1" applyNumberFormat="1" applyFont="1" applyFill="1"/>
    <xf numFmtId="0" fontId="0" fillId="4" borderId="0" xfId="0" applyFill="1" applyAlignment="1">
      <alignment horizontal="left" indent="1"/>
    </xf>
    <xf numFmtId="0" fontId="4" fillId="4" borderId="0" xfId="0" applyFont="1" applyFill="1" applyAlignment="1">
      <alignment horizontal="left"/>
    </xf>
    <xf numFmtId="0" fontId="0" fillId="4" borderId="0" xfId="0" applyFill="1" applyAlignment="1">
      <alignment horizontal="left" indent="3"/>
    </xf>
    <xf numFmtId="0" fontId="0" fillId="4" borderId="0" xfId="0" applyFill="1" applyAlignment="1">
      <alignment horizontal="left" indent="2"/>
    </xf>
    <xf numFmtId="0" fontId="4" fillId="4" borderId="0" xfId="0" applyFont="1" applyFill="1" applyAlignment="1">
      <alignment horizontal="left" indent="2"/>
    </xf>
    <xf numFmtId="0" fontId="3" fillId="0" borderId="0" xfId="0" applyFont="1"/>
    <xf numFmtId="9" fontId="30" fillId="0" borderId="0" xfId="2" applyFont="1"/>
    <xf numFmtId="0" fontId="12" fillId="0" borderId="0" xfId="0" applyFont="1" applyAlignment="1">
      <alignment horizontal="left"/>
    </xf>
    <xf numFmtId="0" fontId="0" fillId="0" borderId="0" xfId="0" applyAlignment="1">
      <alignment horizontal="left"/>
    </xf>
    <xf numFmtId="0" fontId="0" fillId="10" borderId="0" xfId="0" applyFill="1" applyAlignment="1">
      <alignment horizontal="left"/>
    </xf>
    <xf numFmtId="0" fontId="34" fillId="8" borderId="0" xfId="0" applyFont="1" applyFill="1"/>
    <xf numFmtId="0" fontId="34" fillId="8" borderId="0" xfId="0" applyFont="1" applyFill="1" applyAlignment="1">
      <alignment horizontal="left"/>
    </xf>
    <xf numFmtId="165" fontId="0" fillId="0" borderId="0" xfId="1" applyFont="1" applyFill="1" applyBorder="1"/>
    <xf numFmtId="9" fontId="0" fillId="6" borderId="0" xfId="2" applyFont="1" applyFill="1"/>
    <xf numFmtId="0" fontId="36" fillId="8" borderId="0" xfId="0" applyFont="1" applyFill="1" applyAlignment="1">
      <alignment horizontal="left"/>
    </xf>
    <xf numFmtId="0" fontId="16" fillId="0" borderId="0" xfId="0" applyFont="1"/>
    <xf numFmtId="0" fontId="33" fillId="8" borderId="0" xfId="0" applyFont="1" applyFill="1"/>
    <xf numFmtId="174" fontId="30" fillId="0" borderId="0" xfId="1" applyNumberFormat="1" applyFont="1"/>
    <xf numFmtId="0" fontId="0" fillId="0" borderId="0" xfId="0" applyAlignment="1">
      <alignment horizontal="left" indent="4"/>
    </xf>
    <xf numFmtId="0" fontId="0" fillId="0" borderId="0" xfId="0" applyAlignment="1">
      <alignment horizontal="left" indent="5"/>
    </xf>
    <xf numFmtId="165" fontId="0" fillId="0" borderId="0" xfId="0" applyNumberFormat="1" applyAlignment="1">
      <alignment horizontal="left" indent="1"/>
    </xf>
    <xf numFmtId="0" fontId="4" fillId="0" borderId="0" xfId="0" applyFont="1" applyAlignment="1">
      <alignment horizontal="left"/>
    </xf>
    <xf numFmtId="166" fontId="0" fillId="4" borderId="0" xfId="0" applyNumberFormat="1" applyFill="1"/>
    <xf numFmtId="0" fontId="4" fillId="0" borderId="0" xfId="0" applyFont="1" applyAlignment="1">
      <alignment horizontal="left" indent="2"/>
    </xf>
    <xf numFmtId="166" fontId="38" fillId="0" borderId="0" xfId="0" applyNumberFormat="1" applyFont="1"/>
    <xf numFmtId="9" fontId="0" fillId="0" borderId="0" xfId="2" applyFont="1" applyBorder="1"/>
    <xf numFmtId="9" fontId="0" fillId="0" borderId="0" xfId="2" applyFont="1" applyBorder="1" applyAlignment="1">
      <alignment horizontal="left" indent="2"/>
    </xf>
    <xf numFmtId="0" fontId="32" fillId="8" borderId="0" xfId="0" applyFont="1" applyFill="1"/>
    <xf numFmtId="165" fontId="30" fillId="0" borderId="0" xfId="0" applyNumberFormat="1" applyFont="1"/>
    <xf numFmtId="0" fontId="27" fillId="8" borderId="0" xfId="0" applyFont="1" applyFill="1"/>
    <xf numFmtId="9" fontId="30" fillId="0" borderId="0" xfId="0" applyNumberFormat="1" applyFont="1"/>
    <xf numFmtId="168" fontId="0" fillId="0" borderId="0" xfId="2" applyNumberFormat="1" applyFont="1" applyBorder="1"/>
    <xf numFmtId="0" fontId="29" fillId="8" borderId="1" xfId="0" applyFont="1" applyFill="1" applyBorder="1" applyAlignment="1">
      <alignment vertical="center"/>
    </xf>
    <xf numFmtId="169" fontId="0" fillId="4" borderId="0" xfId="5" applyNumberFormat="1" applyFont="1" applyFill="1"/>
    <xf numFmtId="167" fontId="0" fillId="0" borderId="0" xfId="1" applyNumberFormat="1" applyFont="1"/>
    <xf numFmtId="168" fontId="0" fillId="0" borderId="18" xfId="2" applyNumberFormat="1" applyFont="1" applyBorder="1"/>
    <xf numFmtId="165" fontId="0" fillId="0" borderId="0" xfId="1" applyFont="1" applyFill="1"/>
    <xf numFmtId="167" fontId="0" fillId="0" borderId="0" xfId="1" applyNumberFormat="1" applyFont="1" applyFill="1"/>
    <xf numFmtId="0" fontId="0" fillId="0" borderId="0" xfId="40" applyFont="1" applyFill="1"/>
    <xf numFmtId="0" fontId="0" fillId="0" borderId="0" xfId="40" applyFont="1" applyFill="1" applyAlignment="1">
      <alignment horizontal="left" indent="1"/>
    </xf>
    <xf numFmtId="0" fontId="0" fillId="0" borderId="0" xfId="40" applyFont="1" applyFill="1" applyAlignment="1">
      <alignment horizontal="left"/>
    </xf>
    <xf numFmtId="0" fontId="0" fillId="0" borderId="0" xfId="40" applyFont="1" applyFill="1" applyBorder="1" applyAlignment="1">
      <alignment horizontal="left"/>
    </xf>
    <xf numFmtId="0" fontId="0" fillId="0" borderId="0" xfId="40" applyFont="1" applyFill="1" applyBorder="1"/>
    <xf numFmtId="168" fontId="30" fillId="0" borderId="0" xfId="2" applyNumberFormat="1" applyFont="1"/>
    <xf numFmtId="0" fontId="0" fillId="6" borderId="10" xfId="0" applyFill="1" applyBorder="1"/>
    <xf numFmtId="9" fontId="0" fillId="6" borderId="10" xfId="43" applyFont="1" applyFill="1" applyBorder="1"/>
    <xf numFmtId="9" fontId="0" fillId="0" borderId="0" xfId="0" applyNumberFormat="1"/>
    <xf numFmtId="166" fontId="0" fillId="37" borderId="0" xfId="1" applyNumberFormat="1" applyFont="1" applyFill="1"/>
    <xf numFmtId="166" fontId="0" fillId="0" borderId="0" xfId="2" applyNumberFormat="1" applyFont="1"/>
    <xf numFmtId="2" fontId="30" fillId="0" borderId="0" xfId="0" applyNumberFormat="1" applyFont="1"/>
    <xf numFmtId="9" fontId="0" fillId="0" borderId="0" xfId="2" applyFont="1" applyFill="1" applyAlignment="1"/>
    <xf numFmtId="9" fontId="0" fillId="0" borderId="0" xfId="2" applyFont="1" applyFill="1" applyAlignment="1">
      <alignment horizontal="right"/>
    </xf>
    <xf numFmtId="0" fontId="29" fillId="0" borderId="0" xfId="0" applyFont="1" applyAlignment="1">
      <alignment vertical="center"/>
    </xf>
    <xf numFmtId="171" fontId="0" fillId="0" borderId="0" xfId="0" applyNumberFormat="1"/>
    <xf numFmtId="173" fontId="0" fillId="0" borderId="0" xfId="0" applyNumberFormat="1"/>
    <xf numFmtId="4" fontId="0" fillId="0" borderId="0" xfId="0" applyNumberFormat="1"/>
    <xf numFmtId="167" fontId="0" fillId="4" borderId="0" xfId="0" applyNumberFormat="1" applyFill="1"/>
    <xf numFmtId="176" fontId="0" fillId="0" borderId="0" xfId="0" applyNumberFormat="1" applyAlignment="1">
      <alignment horizontal="left" indent="1"/>
    </xf>
    <xf numFmtId="167" fontId="0" fillId="0" borderId="0" xfId="1" applyNumberFormat="1" applyFont="1" applyFill="1" applyBorder="1"/>
    <xf numFmtId="169" fontId="0" fillId="0" borderId="0" xfId="5" applyNumberFormat="1" applyFont="1" applyBorder="1"/>
    <xf numFmtId="165" fontId="0" fillId="4" borderId="0" xfId="1" applyFont="1" applyFill="1" applyBorder="1"/>
    <xf numFmtId="166" fontId="0" fillId="0" borderId="0" xfId="42" applyNumberFormat="1" applyFont="1" applyFill="1"/>
    <xf numFmtId="9" fontId="0" fillId="0" borderId="0" xfId="43" applyFont="1" applyFill="1"/>
    <xf numFmtId="168" fontId="0" fillId="0" borderId="0" xfId="43" applyNumberFormat="1" applyFont="1" applyFill="1"/>
    <xf numFmtId="9" fontId="0" fillId="0" borderId="13" xfId="2" applyFont="1" applyBorder="1" applyAlignment="1">
      <alignment horizontal="center"/>
    </xf>
    <xf numFmtId="9" fontId="0" fillId="0" borderId="5" xfId="2" applyFont="1" applyBorder="1" applyAlignment="1">
      <alignment horizontal="center"/>
    </xf>
    <xf numFmtId="9" fontId="0" fillId="0" borderId="6" xfId="2" applyFont="1" applyBorder="1" applyAlignment="1">
      <alignment horizontal="center"/>
    </xf>
    <xf numFmtId="165" fontId="0" fillId="4" borderId="18" xfId="1" applyFont="1" applyFill="1" applyBorder="1"/>
    <xf numFmtId="9" fontId="0" fillId="4" borderId="18" xfId="2" applyFont="1" applyFill="1" applyBorder="1"/>
    <xf numFmtId="167" fontId="4" fillId="6" borderId="0" xfId="1" applyNumberFormat="1" applyFont="1" applyFill="1" applyBorder="1"/>
    <xf numFmtId="166" fontId="4" fillId="6" borderId="0" xfId="1" applyNumberFormat="1" applyFont="1" applyFill="1" applyBorder="1"/>
    <xf numFmtId="168" fontId="4" fillId="6" borderId="0" xfId="2" quotePrefix="1" applyNumberFormat="1" applyFont="1" applyFill="1"/>
    <xf numFmtId="165" fontId="30" fillId="0" borderId="0" xfId="1" applyFont="1"/>
    <xf numFmtId="180" fontId="30" fillId="0" borderId="0" xfId="0" applyNumberFormat="1" applyFont="1"/>
    <xf numFmtId="181" fontId="30" fillId="0" borderId="0" xfId="0" applyNumberFormat="1" applyFont="1"/>
    <xf numFmtId="180" fontId="30" fillId="4" borderId="0" xfId="0" applyNumberFormat="1" applyFont="1" applyFill="1"/>
    <xf numFmtId="168" fontId="0" fillId="0" borderId="0" xfId="2" applyNumberFormat="1" applyFont="1" applyFill="1" applyBorder="1"/>
    <xf numFmtId="9" fontId="0" fillId="23" borderId="0" xfId="2" applyFont="1" applyFill="1"/>
    <xf numFmtId="3" fontId="0" fillId="0" borderId="0" xfId="0" applyNumberFormat="1"/>
    <xf numFmtId="177" fontId="0" fillId="0" borderId="0" xfId="0" applyNumberFormat="1"/>
    <xf numFmtId="10" fontId="0" fillId="0" borderId="0" xfId="0" applyNumberFormat="1"/>
    <xf numFmtId="172" fontId="0" fillId="0" borderId="0" xfId="0" applyNumberFormat="1"/>
    <xf numFmtId="3" fontId="0" fillId="0" borderId="0" xfId="0" applyNumberFormat="1" applyAlignment="1">
      <alignment horizontal="right"/>
    </xf>
    <xf numFmtId="9" fontId="0" fillId="0" borderId="0" xfId="0" applyNumberFormat="1" applyAlignment="1">
      <alignment horizontal="right"/>
    </xf>
    <xf numFmtId="182" fontId="0" fillId="0" borderId="0" xfId="0" applyNumberFormat="1"/>
    <xf numFmtId="9" fontId="0" fillId="10" borderId="0" xfId="2" applyFont="1" applyFill="1"/>
    <xf numFmtId="0" fontId="29" fillId="0" borderId="1" xfId="0" applyFont="1" applyBorder="1" applyAlignment="1">
      <alignment vertical="center"/>
    </xf>
    <xf numFmtId="0" fontId="41" fillId="0" borderId="0" xfId="0" applyFont="1"/>
    <xf numFmtId="0" fontId="42" fillId="0" borderId="0" xfId="0" applyFont="1"/>
    <xf numFmtId="0" fontId="30" fillId="0" borderId="21" xfId="0" applyFont="1" applyBorder="1"/>
    <xf numFmtId="0" fontId="30" fillId="0" borderId="21" xfId="0" applyFont="1" applyBorder="1" applyAlignment="1">
      <alignment horizontal="left"/>
    </xf>
    <xf numFmtId="0" fontId="30" fillId="0" borderId="0" xfId="0" quotePrefix="1" applyFont="1"/>
    <xf numFmtId="0" fontId="31" fillId="0" borderId="0" xfId="0" applyFont="1" applyAlignment="1">
      <alignment horizontal="centerContinuous" vertical="center" wrapText="1"/>
    </xf>
    <xf numFmtId="0" fontId="30" fillId="0" borderId="0" xfId="0" applyFont="1" applyAlignment="1">
      <alignment horizontal="centerContinuous"/>
    </xf>
    <xf numFmtId="3" fontId="30" fillId="0" borderId="0" xfId="0" applyNumberFormat="1" applyFont="1"/>
    <xf numFmtId="9" fontId="45" fillId="0" borderId="8" xfId="39" applyNumberFormat="1" applyFont="1" applyFill="1" applyBorder="1" applyAlignment="1">
      <alignment horizontal="center" vertical="center"/>
    </xf>
    <xf numFmtId="0" fontId="32" fillId="8" borderId="13" xfId="0" applyFont="1" applyFill="1" applyBorder="1" applyAlignment="1">
      <alignment horizontal="left"/>
    </xf>
    <xf numFmtId="0" fontId="32" fillId="8" borderId="13" xfId="0" applyFont="1" applyFill="1" applyBorder="1" applyAlignment="1">
      <alignment horizontal="center"/>
    </xf>
    <xf numFmtId="0" fontId="48" fillId="4" borderId="3" xfId="0" applyFont="1" applyFill="1" applyBorder="1" applyAlignment="1">
      <alignment horizontal="left"/>
    </xf>
    <xf numFmtId="0" fontId="49" fillId="4" borderId="10" xfId="0" applyFont="1" applyFill="1" applyBorder="1" applyAlignment="1">
      <alignment horizontal="center"/>
    </xf>
    <xf numFmtId="0" fontId="49" fillId="4" borderId="4" xfId="0" applyFont="1" applyFill="1" applyBorder="1" applyAlignment="1">
      <alignment horizontal="center"/>
    </xf>
    <xf numFmtId="0" fontId="46" fillId="4" borderId="6" xfId="0" applyFont="1" applyFill="1" applyBorder="1" applyAlignment="1">
      <alignment horizontal="left" wrapText="1"/>
    </xf>
    <xf numFmtId="0" fontId="46" fillId="6" borderId="18" xfId="0" applyFont="1" applyFill="1" applyBorder="1" applyAlignment="1">
      <alignment horizontal="left" wrapText="1"/>
    </xf>
    <xf numFmtId="0" fontId="33" fillId="8" borderId="8" xfId="0" applyFont="1" applyFill="1" applyBorder="1" applyAlignment="1">
      <alignment horizontal="center"/>
    </xf>
    <xf numFmtId="0" fontId="34" fillId="8" borderId="0" xfId="0" applyFont="1" applyFill="1" applyAlignment="1">
      <alignment horizontal="left" vertical="top"/>
    </xf>
    <xf numFmtId="0" fontId="30" fillId="4" borderId="13" xfId="0" applyFont="1" applyFill="1" applyBorder="1" applyAlignment="1">
      <alignment horizontal="center"/>
    </xf>
    <xf numFmtId="0" fontId="50" fillId="26" borderId="16" xfId="39" applyFont="1"/>
    <xf numFmtId="0" fontId="30" fillId="4" borderId="5" xfId="0" applyFont="1" applyFill="1" applyBorder="1" applyAlignment="1">
      <alignment horizontal="center"/>
    </xf>
    <xf numFmtId="0" fontId="30" fillId="4" borderId="6" xfId="0" applyFont="1" applyFill="1" applyBorder="1" applyAlignment="1">
      <alignment horizontal="center"/>
    </xf>
    <xf numFmtId="0" fontId="31" fillId="4" borderId="0" xfId="0" applyFont="1" applyFill="1"/>
    <xf numFmtId="0" fontId="50" fillId="26" borderId="16" xfId="39" applyFont="1" applyAlignment="1">
      <alignment horizontal="center"/>
    </xf>
    <xf numFmtId="1" fontId="46" fillId="0" borderId="0" xfId="39" applyNumberFormat="1" applyFont="1" applyFill="1" applyBorder="1" applyAlignment="1">
      <alignment horizontal="left"/>
    </xf>
    <xf numFmtId="168" fontId="46" fillId="0" borderId="0" xfId="2" applyNumberFormat="1" applyFont="1" applyFill="1" applyBorder="1" applyAlignment="1">
      <alignment horizontal="left"/>
    </xf>
    <xf numFmtId="3" fontId="46" fillId="0" borderId="0" xfId="2" applyNumberFormat="1" applyFont="1" applyFill="1" applyBorder="1" applyAlignment="1">
      <alignment horizontal="left"/>
    </xf>
    <xf numFmtId="1" fontId="46" fillId="0" borderId="1" xfId="39" applyNumberFormat="1" applyFont="1" applyFill="1" applyBorder="1" applyAlignment="1">
      <alignment horizontal="left"/>
    </xf>
    <xf numFmtId="168" fontId="46" fillId="0" borderId="1" xfId="2" applyNumberFormat="1" applyFont="1" applyFill="1" applyBorder="1" applyAlignment="1">
      <alignment horizontal="left"/>
    </xf>
    <xf numFmtId="3" fontId="46" fillId="0" borderId="1" xfId="2" applyNumberFormat="1" applyFont="1" applyFill="1" applyBorder="1" applyAlignment="1">
      <alignment horizontal="left"/>
    </xf>
    <xf numFmtId="0" fontId="46" fillId="0" borderId="0" xfId="0" applyFont="1"/>
    <xf numFmtId="0" fontId="32" fillId="38" borderId="27" xfId="0" applyFont="1" applyFill="1" applyBorder="1" applyAlignment="1">
      <alignment horizontal="centerContinuous"/>
    </xf>
    <xf numFmtId="0" fontId="31" fillId="23" borderId="7" xfId="0" applyFont="1" applyFill="1" applyBorder="1" applyAlignment="1">
      <alignment horizontal="center" vertical="center"/>
    </xf>
    <xf numFmtId="0" fontId="31" fillId="23" borderId="45" xfId="0" applyFont="1" applyFill="1" applyBorder="1" applyAlignment="1">
      <alignment horizontal="center" vertical="center"/>
    </xf>
    <xf numFmtId="0" fontId="31" fillId="23" borderId="35" xfId="0" applyFont="1" applyFill="1" applyBorder="1" applyAlignment="1">
      <alignment horizontal="center" vertical="center"/>
    </xf>
    <xf numFmtId="0" fontId="31" fillId="23" borderId="49" xfId="0" applyFont="1" applyFill="1" applyBorder="1" applyAlignment="1">
      <alignment horizontal="left" vertical="center" indent="1"/>
    </xf>
    <xf numFmtId="0" fontId="30" fillId="26" borderId="47" xfId="0" applyFont="1" applyFill="1" applyBorder="1" applyAlignment="1">
      <alignment horizontal="center" vertical="center"/>
    </xf>
    <xf numFmtId="0" fontId="30" fillId="26" borderId="30" xfId="0" applyFont="1" applyFill="1" applyBorder="1" applyAlignment="1">
      <alignment horizontal="center" vertical="center"/>
    </xf>
    <xf numFmtId="0" fontId="30" fillId="0" borderId="30" xfId="0" applyFont="1" applyBorder="1" applyAlignment="1">
      <alignment horizontal="center" vertical="center"/>
    </xf>
    <xf numFmtId="0" fontId="30" fillId="0" borderId="51" xfId="0" applyFont="1" applyBorder="1" applyAlignment="1">
      <alignment horizontal="left" vertical="center"/>
    </xf>
    <xf numFmtId="0" fontId="30" fillId="0" borderId="52" xfId="0" applyFont="1" applyBorder="1" applyAlignment="1">
      <alignment horizontal="left" vertical="center"/>
    </xf>
    <xf numFmtId="0" fontId="52" fillId="0" borderId="0" xfId="0" applyFont="1" applyAlignment="1">
      <alignment horizontal="center" vertical="center"/>
    </xf>
    <xf numFmtId="0" fontId="31" fillId="23" borderId="50" xfId="0" applyFont="1" applyFill="1" applyBorder="1" applyAlignment="1">
      <alignment horizontal="left" vertical="center" indent="1"/>
    </xf>
    <xf numFmtId="9" fontId="30" fillId="26" borderId="48" xfId="0" applyNumberFormat="1" applyFont="1" applyFill="1" applyBorder="1" applyAlignment="1">
      <alignment horizontal="center" vertical="center"/>
    </xf>
    <xf numFmtId="0" fontId="30" fillId="0" borderId="31" xfId="0" applyFont="1" applyBorder="1" applyAlignment="1">
      <alignment horizontal="center" vertical="center"/>
    </xf>
    <xf numFmtId="0" fontId="30" fillId="0" borderId="53" xfId="0" applyFont="1" applyBorder="1" applyAlignment="1">
      <alignment horizontal="left" vertical="center"/>
    </xf>
    <xf numFmtId="0" fontId="30" fillId="0" borderId="54" xfId="0" applyFont="1" applyBorder="1" applyAlignment="1">
      <alignment horizontal="left" vertical="center"/>
    </xf>
    <xf numFmtId="9" fontId="30" fillId="0" borderId="30" xfId="0" applyNumberFormat="1" applyFont="1" applyBorder="1" applyAlignment="1">
      <alignment horizontal="center" vertical="center"/>
    </xf>
    <xf numFmtId="0" fontId="30" fillId="26" borderId="48" xfId="0" applyFont="1" applyFill="1" applyBorder="1" applyAlignment="1">
      <alignment horizontal="center" vertical="center"/>
    </xf>
    <xf numFmtId="0" fontId="31" fillId="23" borderId="7" xfId="0" applyFont="1" applyFill="1" applyBorder="1" applyAlignment="1">
      <alignment horizontal="left" vertical="center" indent="1"/>
    </xf>
    <xf numFmtId="0" fontId="30" fillId="26" borderId="45" xfId="0" applyFont="1" applyFill="1" applyBorder="1" applyAlignment="1">
      <alignment horizontal="center" vertical="center"/>
    </xf>
    <xf numFmtId="0" fontId="30" fillId="0" borderId="35" xfId="0" applyFont="1" applyBorder="1" applyAlignment="1">
      <alignment horizontal="center" vertical="center"/>
    </xf>
    <xf numFmtId="0" fontId="30" fillId="0" borderId="60" xfId="0" applyFont="1" applyBorder="1" applyAlignment="1">
      <alignment horizontal="left" vertical="center"/>
    </xf>
    <xf numFmtId="0" fontId="30" fillId="0" borderId="25" xfId="0" applyFont="1" applyBorder="1" applyAlignment="1">
      <alignment horizontal="left" vertical="center"/>
    </xf>
    <xf numFmtId="0" fontId="31" fillId="39" borderId="7" xfId="0" applyFont="1" applyFill="1" applyBorder="1" applyAlignment="1">
      <alignment horizontal="center" vertical="center"/>
    </xf>
    <xf numFmtId="0" fontId="31" fillId="39" borderId="45" xfId="0" applyFont="1" applyFill="1" applyBorder="1" applyAlignment="1">
      <alignment horizontal="center" vertical="center"/>
    </xf>
    <xf numFmtId="0" fontId="31" fillId="39" borderId="35" xfId="0" applyFont="1" applyFill="1" applyBorder="1" applyAlignment="1">
      <alignment horizontal="center" vertical="center"/>
    </xf>
    <xf numFmtId="0" fontId="31" fillId="39" borderId="46" xfId="0" applyFont="1" applyFill="1" applyBorder="1" applyAlignment="1">
      <alignment horizontal="center" vertical="center"/>
    </xf>
    <xf numFmtId="0" fontId="31" fillId="39" borderId="49" xfId="0" applyFont="1" applyFill="1" applyBorder="1" applyAlignment="1">
      <alignment horizontal="left" vertical="center" indent="1"/>
    </xf>
    <xf numFmtId="0" fontId="42" fillId="0" borderId="30" xfId="0" applyFont="1" applyBorder="1" applyAlignment="1">
      <alignment horizontal="center" vertical="center"/>
    </xf>
    <xf numFmtId="0" fontId="42" fillId="0" borderId="34" xfId="0" applyFont="1" applyBorder="1" applyAlignment="1">
      <alignment horizontal="center" vertical="center"/>
    </xf>
    <xf numFmtId="0" fontId="31" fillId="39" borderId="56" xfId="0" applyFont="1" applyFill="1" applyBorder="1" applyAlignment="1">
      <alignment horizontal="left" vertical="center" indent="1"/>
    </xf>
    <xf numFmtId="0" fontId="30" fillId="26" borderId="57" xfId="0" applyFont="1" applyFill="1" applyBorder="1" applyAlignment="1">
      <alignment horizontal="center" vertical="center"/>
    </xf>
    <xf numFmtId="0" fontId="42" fillId="0" borderId="12" xfId="0" applyFont="1" applyBorder="1" applyAlignment="1">
      <alignment horizontal="center" vertical="center"/>
    </xf>
    <xf numFmtId="0" fontId="42" fillId="0" borderId="32" xfId="0" applyFont="1" applyBorder="1" applyAlignment="1">
      <alignment horizontal="center" vertical="center"/>
    </xf>
    <xf numFmtId="0" fontId="31" fillId="39" borderId="50" xfId="0" applyFont="1" applyFill="1" applyBorder="1" applyAlignment="1">
      <alignment horizontal="left" vertical="center" indent="1"/>
    </xf>
    <xf numFmtId="0" fontId="42" fillId="0" borderId="31" xfId="0" applyFont="1" applyBorder="1" applyAlignment="1">
      <alignment horizontal="center" vertical="center"/>
    </xf>
    <xf numFmtId="0" fontId="42" fillId="0" borderId="33" xfId="0" applyFont="1" applyBorder="1" applyAlignment="1">
      <alignment horizontal="center" vertical="center"/>
    </xf>
    <xf numFmtId="0" fontId="30" fillId="26" borderId="34" xfId="0" applyFont="1" applyFill="1" applyBorder="1" applyAlignment="1">
      <alignment horizontal="center" vertical="center"/>
    </xf>
    <xf numFmtId="0" fontId="31" fillId="39" borderId="56" xfId="0" applyFont="1" applyFill="1" applyBorder="1" applyAlignment="1">
      <alignment horizontal="left" vertical="center" indent="3"/>
    </xf>
    <xf numFmtId="0" fontId="30" fillId="26" borderId="32" xfId="0" applyFont="1" applyFill="1" applyBorder="1" applyAlignment="1">
      <alignment horizontal="center" vertical="center"/>
    </xf>
    <xf numFmtId="0" fontId="31" fillId="39" borderId="50" xfId="0" applyFont="1" applyFill="1" applyBorder="1" applyAlignment="1">
      <alignment horizontal="left" vertical="center" indent="3"/>
    </xf>
    <xf numFmtId="9" fontId="30" fillId="26" borderId="33" xfId="0" applyNumberFormat="1" applyFont="1" applyFill="1" applyBorder="1" applyAlignment="1">
      <alignment horizontal="center" vertical="center"/>
    </xf>
    <xf numFmtId="0" fontId="30" fillId="26" borderId="33" xfId="0" applyFont="1" applyFill="1" applyBorder="1" applyAlignment="1">
      <alignment horizontal="center" vertical="center"/>
    </xf>
    <xf numFmtId="0" fontId="31" fillId="39" borderId="7" xfId="0" applyFont="1" applyFill="1" applyBorder="1" applyAlignment="1">
      <alignment horizontal="left" vertical="center" indent="1"/>
    </xf>
    <xf numFmtId="0" fontId="42" fillId="0" borderId="35" xfId="0" applyFont="1" applyBorder="1" applyAlignment="1">
      <alignment horizontal="center" vertical="center"/>
    </xf>
    <xf numFmtId="0" fontId="42" fillId="0" borderId="46" xfId="0" applyFont="1" applyBorder="1" applyAlignment="1">
      <alignment horizontal="center" vertical="center"/>
    </xf>
    <xf numFmtId="0" fontId="31" fillId="23" borderId="18" xfId="0" applyFont="1" applyFill="1" applyBorder="1" applyAlignment="1">
      <alignment horizontal="center" vertical="center"/>
    </xf>
    <xf numFmtId="0" fontId="30" fillId="23" borderId="49" xfId="0" applyFont="1" applyFill="1" applyBorder="1" applyAlignment="1">
      <alignment horizontal="left" vertical="center" indent="1"/>
    </xf>
    <xf numFmtId="0" fontId="30" fillId="23" borderId="56" xfId="0" applyFont="1" applyFill="1" applyBorder="1" applyAlignment="1">
      <alignment horizontal="left" vertical="center" indent="1"/>
    </xf>
    <xf numFmtId="0" fontId="30" fillId="23" borderId="50" xfId="0" applyFont="1" applyFill="1" applyBorder="1" applyAlignment="1">
      <alignment horizontal="left" vertical="center" indent="1"/>
    </xf>
    <xf numFmtId="0" fontId="30" fillId="23" borderId="58" xfId="0" applyFont="1" applyFill="1" applyBorder="1" applyAlignment="1">
      <alignment horizontal="left" vertical="center" indent="1"/>
    </xf>
    <xf numFmtId="0" fontId="32" fillId="8" borderId="0" xfId="0" applyFont="1" applyFill="1" applyAlignment="1">
      <alignment horizontal="left" vertical="top"/>
    </xf>
    <xf numFmtId="0" fontId="32" fillId="32" borderId="0" xfId="0" applyFont="1" applyFill="1"/>
    <xf numFmtId="1" fontId="46" fillId="26" borderId="16" xfId="39" applyNumberFormat="1" applyFont="1"/>
    <xf numFmtId="1" fontId="46" fillId="0" borderId="16" xfId="39" applyNumberFormat="1" applyFont="1" applyFill="1"/>
    <xf numFmtId="9" fontId="46" fillId="26" borderId="16" xfId="39" applyNumberFormat="1" applyFont="1"/>
    <xf numFmtId="9" fontId="46" fillId="0" borderId="16" xfId="39" applyNumberFormat="1" applyFont="1" applyFill="1"/>
    <xf numFmtId="3" fontId="46" fillId="26" borderId="16" xfId="39" applyNumberFormat="1" applyFont="1"/>
    <xf numFmtId="3" fontId="46" fillId="0" borderId="16" xfId="39" applyNumberFormat="1" applyFont="1" applyFill="1"/>
    <xf numFmtId="168" fontId="46" fillId="26" borderId="16" xfId="39" applyNumberFormat="1" applyFont="1"/>
    <xf numFmtId="168" fontId="46" fillId="0" borderId="16" xfId="2" applyNumberFormat="1" applyFont="1" applyFill="1" applyBorder="1"/>
    <xf numFmtId="168" fontId="46" fillId="0" borderId="0" xfId="2" applyNumberFormat="1" applyFont="1" applyFill="1" applyBorder="1"/>
    <xf numFmtId="166" fontId="46" fillId="26" borderId="16" xfId="39" applyNumberFormat="1" applyFont="1"/>
    <xf numFmtId="166" fontId="46" fillId="0" borderId="16" xfId="39" applyNumberFormat="1" applyFont="1" applyFill="1"/>
    <xf numFmtId="0" fontId="34" fillId="8" borderId="1" xfId="0" applyFont="1" applyFill="1" applyBorder="1"/>
    <xf numFmtId="0" fontId="53" fillId="8" borderId="1" xfId="0" applyFont="1" applyFill="1" applyBorder="1"/>
    <xf numFmtId="0" fontId="54" fillId="0" borderId="0" xfId="0" applyFont="1"/>
    <xf numFmtId="0" fontId="34" fillId="8" borderId="1" xfId="0" applyFont="1" applyFill="1" applyBorder="1" applyAlignment="1">
      <alignment horizontal="left"/>
    </xf>
    <xf numFmtId="0" fontId="55" fillId="0" borderId="0" xfId="4" applyFont="1"/>
    <xf numFmtId="167" fontId="57" fillId="0" borderId="0" xfId="1" applyNumberFormat="1" applyFont="1" applyFill="1" applyBorder="1"/>
    <xf numFmtId="0" fontId="31" fillId="0" borderId="0" xfId="0" applyFont="1" applyAlignment="1">
      <alignment horizontal="left" indent="1"/>
    </xf>
    <xf numFmtId="0" fontId="31" fillId="0" borderId="0" xfId="0" applyFont="1" applyAlignment="1">
      <alignment horizontal="right" indent="1"/>
    </xf>
    <xf numFmtId="0" fontId="32" fillId="8" borderId="0" xfId="0" applyFont="1" applyFill="1" applyAlignment="1">
      <alignment horizontal="right"/>
    </xf>
    <xf numFmtId="0" fontId="32" fillId="8" borderId="17" xfId="0" applyFont="1" applyFill="1" applyBorder="1"/>
    <xf numFmtId="0" fontId="0" fillId="0" borderId="13" xfId="0" applyBorder="1" applyAlignment="1">
      <alignment horizontal="right"/>
    </xf>
    <xf numFmtId="0" fontId="0" fillId="0" borderId="17" xfId="0" applyBorder="1" applyAlignment="1">
      <alignment horizontal="right"/>
    </xf>
    <xf numFmtId="2" fontId="46" fillId="26" borderId="17" xfId="39" applyNumberFormat="1" applyFont="1" applyBorder="1" applyAlignment="1">
      <alignment horizontal="right"/>
    </xf>
    <xf numFmtId="2" fontId="46" fillId="26" borderId="24" xfId="39" applyNumberFormat="1" applyFont="1" applyBorder="1" applyAlignment="1">
      <alignment horizontal="right"/>
    </xf>
    <xf numFmtId="0" fontId="0" fillId="0" borderId="13" xfId="0" applyBorder="1" applyAlignment="1">
      <alignment horizontal="center"/>
    </xf>
    <xf numFmtId="0" fontId="0" fillId="0" borderId="17" xfId="0" applyBorder="1" applyAlignment="1">
      <alignment horizontal="center"/>
    </xf>
    <xf numFmtId="0" fontId="0" fillId="0" borderId="24" xfId="0" applyBorder="1" applyAlignment="1">
      <alignment horizontal="center"/>
    </xf>
    <xf numFmtId="0" fontId="0" fillId="0" borderId="0" xfId="0" applyAlignment="1">
      <alignment horizontal="center"/>
    </xf>
    <xf numFmtId="3" fontId="0" fillId="0" borderId="24" xfId="0" applyNumberFormat="1" applyBorder="1" applyAlignment="1">
      <alignment horizontal="right"/>
    </xf>
    <xf numFmtId="0" fontId="0" fillId="0" borderId="5" xfId="0" applyBorder="1" applyAlignment="1">
      <alignment horizontal="right"/>
    </xf>
    <xf numFmtId="2" fontId="46" fillId="26" borderId="0" xfId="39" applyNumberFormat="1" applyFont="1" applyBorder="1" applyAlignment="1">
      <alignment horizontal="right"/>
    </xf>
    <xf numFmtId="2" fontId="46" fillId="26" borderId="2" xfId="39" applyNumberFormat="1" applyFont="1" applyBorder="1" applyAlignment="1">
      <alignment horizontal="right"/>
    </xf>
    <xf numFmtId="0" fontId="0" fillId="0" borderId="5" xfId="0" applyBorder="1" applyAlignment="1">
      <alignment horizontal="center"/>
    </xf>
    <xf numFmtId="0" fontId="0" fillId="0" borderId="2" xfId="0" applyBorder="1" applyAlignment="1">
      <alignment horizontal="center"/>
    </xf>
    <xf numFmtId="3" fontId="0" fillId="0" borderId="2" xfId="0" applyNumberFormat="1" applyBorder="1" applyAlignment="1">
      <alignment horizontal="right"/>
    </xf>
    <xf numFmtId="0" fontId="0" fillId="0" borderId="0" xfId="0" quotePrefix="1" applyAlignment="1">
      <alignment horizontal="center"/>
    </xf>
    <xf numFmtId="0" fontId="0" fillId="0" borderId="6" xfId="0" applyBorder="1" applyAlignment="1">
      <alignment horizontal="right"/>
    </xf>
    <xf numFmtId="0" fontId="0" fillId="0" borderId="1" xfId="0" applyBorder="1" applyAlignment="1">
      <alignment horizontal="right"/>
    </xf>
    <xf numFmtId="2" fontId="46" fillId="26" borderId="1" xfId="39" applyNumberFormat="1" applyFont="1" applyBorder="1" applyAlignment="1">
      <alignment horizontal="right"/>
    </xf>
    <xf numFmtId="2" fontId="46" fillId="26" borderId="25" xfId="39" applyNumberFormat="1" applyFont="1" applyBorder="1" applyAlignment="1">
      <alignment horizontal="right"/>
    </xf>
    <xf numFmtId="0" fontId="0" fillId="0" borderId="6" xfId="0" applyBorder="1" applyAlignment="1">
      <alignment horizontal="center"/>
    </xf>
    <xf numFmtId="0" fontId="0" fillId="0" borderId="1" xfId="0" applyBorder="1" applyAlignment="1">
      <alignment horizontal="center"/>
    </xf>
    <xf numFmtId="0" fontId="0" fillId="0" borderId="25" xfId="0" applyBorder="1" applyAlignment="1">
      <alignment horizontal="center"/>
    </xf>
    <xf numFmtId="3" fontId="0" fillId="0" borderId="25" xfId="0" applyNumberFormat="1" applyBorder="1" applyAlignment="1">
      <alignment horizontal="right"/>
    </xf>
    <xf numFmtId="2" fontId="0" fillId="0" borderId="0" xfId="0" applyNumberFormat="1"/>
    <xf numFmtId="0" fontId="31" fillId="0" borderId="10" xfId="0" applyFont="1" applyBorder="1"/>
    <xf numFmtId="166" fontId="30" fillId="0" borderId="0" xfId="1" applyNumberFormat="1" applyFont="1" applyBorder="1"/>
    <xf numFmtId="167" fontId="30" fillId="0" borderId="0" xfId="1" applyNumberFormat="1" applyFont="1" applyFill="1" applyBorder="1"/>
    <xf numFmtId="166" fontId="30" fillId="0" borderId="0" xfId="1" applyNumberFormat="1" applyFont="1" applyFill="1" applyBorder="1"/>
    <xf numFmtId="166" fontId="49" fillId="0" borderId="0" xfId="1" applyNumberFormat="1" applyFont="1" applyFill="1" applyBorder="1"/>
    <xf numFmtId="165" fontId="30" fillId="0" borderId="0" xfId="1" applyFont="1" applyFill="1" applyBorder="1"/>
    <xf numFmtId="0" fontId="58" fillId="0" borderId="0" xfId="0" applyFont="1"/>
    <xf numFmtId="0" fontId="0" fillId="27" borderId="0" xfId="0" applyFill="1"/>
    <xf numFmtId="0" fontId="59" fillId="5" borderId="1" xfId="0" applyFont="1" applyFill="1" applyBorder="1" applyAlignment="1">
      <alignment vertical="center"/>
    </xf>
    <xf numFmtId="0" fontId="57" fillId="0" borderId="0" xfId="0" applyFont="1"/>
    <xf numFmtId="9" fontId="57" fillId="0" borderId="0" xfId="0" applyNumberFormat="1" applyFont="1"/>
    <xf numFmtId="0" fontId="57" fillId="6" borderId="0" xfId="0" applyFont="1" applyFill="1"/>
    <xf numFmtId="0" fontId="60" fillId="8" borderId="0" xfId="0" applyFont="1" applyFill="1"/>
    <xf numFmtId="0" fontId="61" fillId="8" borderId="0" xfId="0" applyFont="1" applyFill="1"/>
    <xf numFmtId="0" fontId="60" fillId="8" borderId="0" xfId="1" applyNumberFormat="1" applyFont="1" applyFill="1" applyBorder="1"/>
    <xf numFmtId="165" fontId="60" fillId="8" borderId="0" xfId="1" applyFont="1" applyFill="1" applyBorder="1"/>
    <xf numFmtId="0" fontId="57" fillId="5" borderId="0" xfId="0" applyFont="1" applyFill="1"/>
    <xf numFmtId="0" fontId="57" fillId="4" borderId="8" xfId="0" applyFont="1" applyFill="1" applyBorder="1"/>
    <xf numFmtId="0" fontId="57" fillId="4" borderId="9" xfId="0" applyFont="1" applyFill="1" applyBorder="1"/>
    <xf numFmtId="0" fontId="57" fillId="4" borderId="26" xfId="0" applyFont="1" applyFill="1" applyBorder="1"/>
    <xf numFmtId="0" fontId="57" fillId="4" borderId="9" xfId="0" applyFont="1" applyFill="1" applyBorder="1" applyAlignment="1">
      <alignment horizontal="left" indent="1"/>
    </xf>
    <xf numFmtId="0" fontId="57" fillId="4" borderId="26" xfId="0" applyFont="1" applyFill="1" applyBorder="1" applyAlignment="1">
      <alignment horizontal="left" indent="1"/>
    </xf>
    <xf numFmtId="0" fontId="57" fillId="4" borderId="7" xfId="0" applyFont="1" applyFill="1" applyBorder="1"/>
    <xf numFmtId="0" fontId="57" fillId="4" borderId="0" xfId="0" applyFont="1" applyFill="1"/>
    <xf numFmtId="0" fontId="54" fillId="4" borderId="0" xfId="0" applyFont="1" applyFill="1"/>
    <xf numFmtId="0" fontId="56" fillId="0" borderId="0" xfId="0" applyFont="1"/>
    <xf numFmtId="166" fontId="57" fillId="0" borderId="0" xfId="0" applyNumberFormat="1" applyFont="1"/>
    <xf numFmtId="0" fontId="54" fillId="0" borderId="0" xfId="0" applyFont="1" applyAlignment="1">
      <alignment horizontal="right"/>
    </xf>
    <xf numFmtId="0" fontId="57" fillId="0" borderId="0" xfId="0" applyFont="1" applyAlignment="1">
      <alignment horizontal="left" indent="1"/>
    </xf>
    <xf numFmtId="166" fontId="57" fillId="0" borderId="0" xfId="1" applyNumberFormat="1" applyFont="1" applyBorder="1"/>
    <xf numFmtId="165" fontId="57" fillId="0" borderId="0" xfId="1" applyFont="1" applyFill="1" applyBorder="1"/>
    <xf numFmtId="0" fontId="57" fillId="0" borderId="0" xfId="0" applyFont="1" applyAlignment="1">
      <alignment horizontal="left" indent="2"/>
    </xf>
    <xf numFmtId="166" fontId="57" fillId="0" borderId="0" xfId="1" applyNumberFormat="1" applyFont="1" applyFill="1" applyBorder="1"/>
    <xf numFmtId="9" fontId="54" fillId="0" borderId="0" xfId="2" applyFont="1" applyFill="1" applyBorder="1"/>
    <xf numFmtId="9" fontId="54" fillId="0" borderId="0" xfId="0" applyNumberFormat="1" applyFont="1"/>
    <xf numFmtId="9" fontId="0" fillId="0" borderId="0" xfId="1" applyNumberFormat="1" applyFont="1" applyFill="1" applyBorder="1"/>
    <xf numFmtId="166" fontId="11" fillId="0" borderId="0" xfId="1" applyNumberFormat="1" applyFont="1" applyFill="1" applyBorder="1"/>
    <xf numFmtId="0" fontId="57" fillId="4" borderId="0" xfId="0" applyFont="1" applyFill="1" applyAlignment="1">
      <alignment horizontal="left"/>
    </xf>
    <xf numFmtId="0" fontId="56" fillId="4" borderId="0" xfId="0" applyFont="1" applyFill="1"/>
    <xf numFmtId="165" fontId="57" fillId="4" borderId="0" xfId="1" applyFont="1" applyFill="1" applyBorder="1"/>
    <xf numFmtId="0" fontId="57" fillId="4" borderId="0" xfId="0" applyFont="1" applyFill="1" applyAlignment="1">
      <alignment horizontal="left" indent="1"/>
    </xf>
    <xf numFmtId="165" fontId="54" fillId="0" borderId="0" xfId="0" applyNumberFormat="1" applyFont="1"/>
    <xf numFmtId="176" fontId="54" fillId="0" borderId="0" xfId="0" applyNumberFormat="1" applyFont="1"/>
    <xf numFmtId="176" fontId="57" fillId="0" borderId="0" xfId="0" applyNumberFormat="1" applyFont="1" applyAlignment="1">
      <alignment horizontal="left" indent="1"/>
    </xf>
    <xf numFmtId="0" fontId="57" fillId="5" borderId="0" xfId="0" applyFont="1" applyFill="1" applyAlignment="1">
      <alignment horizontal="left" indent="1"/>
    </xf>
    <xf numFmtId="176" fontId="56" fillId="0" borderId="0" xfId="0" applyNumberFormat="1" applyFont="1"/>
    <xf numFmtId="0" fontId="57" fillId="3" borderId="0" xfId="0" applyFont="1" applyFill="1"/>
    <xf numFmtId="0" fontId="54" fillId="0" borderId="0" xfId="0" applyFont="1" applyAlignment="1">
      <alignment horizontal="left" indent="2"/>
    </xf>
    <xf numFmtId="0" fontId="54" fillId="0" borderId="0" xfId="0" applyFont="1" applyAlignment="1">
      <alignment horizontal="left" indent="1"/>
    </xf>
    <xf numFmtId="0" fontId="62" fillId="0" borderId="0" xfId="0" applyFont="1"/>
    <xf numFmtId="0" fontId="62" fillId="0" borderId="0" xfId="0" applyFont="1" applyAlignment="1">
      <alignment horizontal="left" indent="1"/>
    </xf>
    <xf numFmtId="0" fontId="12" fillId="0" borderId="0" xfId="0" applyFont="1" applyAlignment="1">
      <alignment horizontal="left" indent="3"/>
    </xf>
    <xf numFmtId="168" fontId="12" fillId="0" borderId="0" xfId="2" applyNumberFormat="1" applyFont="1" applyFill="1" applyBorder="1"/>
    <xf numFmtId="168" fontId="0" fillId="0" borderId="0" xfId="1" applyNumberFormat="1" applyFont="1" applyFill="1" applyBorder="1"/>
    <xf numFmtId="166" fontId="57" fillId="4" borderId="0" xfId="1" applyNumberFormat="1" applyFont="1" applyFill="1" applyBorder="1"/>
    <xf numFmtId="0" fontId="57" fillId="4" borderId="0" xfId="0" applyFont="1" applyFill="1" applyAlignment="1">
      <alignment horizontal="left" indent="2"/>
    </xf>
    <xf numFmtId="0" fontId="63" fillId="0" borderId="0" xfId="0" applyFont="1"/>
    <xf numFmtId="166" fontId="57" fillId="4" borderId="0" xfId="0" applyNumberFormat="1" applyFont="1" applyFill="1"/>
    <xf numFmtId="169" fontId="0" fillId="0" borderId="0" xfId="5" applyNumberFormat="1" applyFont="1" applyFill="1" applyBorder="1"/>
    <xf numFmtId="0" fontId="57" fillId="0" borderId="0" xfId="0" applyFont="1" applyAlignment="1">
      <alignment horizontal="left"/>
    </xf>
    <xf numFmtId="165" fontId="57" fillId="0" borderId="0" xfId="0" applyNumberFormat="1" applyFont="1"/>
    <xf numFmtId="9" fontId="54" fillId="0" borderId="0" xfId="2" applyFont="1" applyBorder="1"/>
    <xf numFmtId="165" fontId="57" fillId="0" borderId="0" xfId="1" applyFont="1" applyBorder="1"/>
    <xf numFmtId="165" fontId="56" fillId="0" borderId="0" xfId="0" applyNumberFormat="1" applyFont="1"/>
    <xf numFmtId="0" fontId="54" fillId="27" borderId="0" xfId="0" applyFont="1" applyFill="1"/>
    <xf numFmtId="0" fontId="57" fillId="27" borderId="0" xfId="0" applyFont="1" applyFill="1"/>
    <xf numFmtId="3" fontId="57" fillId="27" borderId="0" xfId="0" applyNumberFormat="1" applyFont="1" applyFill="1"/>
    <xf numFmtId="3" fontId="57" fillId="0" borderId="0" xfId="0" applyNumberFormat="1" applyFont="1"/>
    <xf numFmtId="168" fontId="57" fillId="0" borderId="0" xfId="2" applyNumberFormat="1" applyFont="1" applyBorder="1"/>
    <xf numFmtId="9" fontId="57" fillId="0" borderId="0" xfId="2" applyFont="1" applyBorder="1"/>
    <xf numFmtId="0" fontId="60" fillId="8" borderId="0" xfId="0" applyFont="1" applyFill="1" applyAlignment="1">
      <alignment horizontal="left"/>
    </xf>
    <xf numFmtId="0" fontId="65" fillId="8" borderId="0" xfId="0" applyFont="1" applyFill="1" applyAlignment="1">
      <alignment horizontal="left"/>
    </xf>
    <xf numFmtId="0" fontId="0" fillId="21" borderId="0" xfId="0" applyFill="1" applyAlignment="1">
      <alignment horizontal="left"/>
    </xf>
    <xf numFmtId="0" fontId="0" fillId="21" borderId="0" xfId="0" applyFill="1"/>
    <xf numFmtId="0" fontId="0" fillId="10" borderId="0" xfId="0" applyFill="1"/>
    <xf numFmtId="0" fontId="66" fillId="0" borderId="0" xfId="0" applyFont="1" applyAlignment="1">
      <alignment horizontal="left"/>
    </xf>
    <xf numFmtId="0" fontId="46" fillId="26" borderId="16" xfId="39" applyFont="1"/>
    <xf numFmtId="0" fontId="35" fillId="0" borderId="0" xfId="0" applyFont="1" applyAlignment="1">
      <alignment horizontal="left"/>
    </xf>
    <xf numFmtId="166" fontId="31" fillId="0" borderId="0" xfId="1" applyNumberFormat="1" applyFont="1" applyFill="1"/>
    <xf numFmtId="168" fontId="0" fillId="0" borderId="0" xfId="0" applyNumberFormat="1"/>
    <xf numFmtId="166" fontId="46" fillId="0" borderId="0" xfId="1" applyNumberFormat="1" applyFont="1" applyFill="1" applyBorder="1"/>
    <xf numFmtId="0" fontId="0" fillId="0" borderId="0" xfId="0" quotePrefix="1"/>
    <xf numFmtId="165" fontId="31" fillId="0" borderId="0" xfId="1" applyFont="1" applyFill="1" applyBorder="1"/>
    <xf numFmtId="165" fontId="46" fillId="0" borderId="0" xfId="1" applyFont="1" applyFill="1" applyBorder="1"/>
    <xf numFmtId="167" fontId="46" fillId="0" borderId="0" xfId="1" applyNumberFormat="1" applyFont="1" applyFill="1" applyBorder="1"/>
    <xf numFmtId="166" fontId="30" fillId="0" borderId="0" xfId="1" applyNumberFormat="1" applyFont="1" applyFill="1"/>
    <xf numFmtId="178" fontId="0" fillId="0" borderId="0" xfId="0" applyNumberFormat="1"/>
    <xf numFmtId="166" fontId="0" fillId="10" borderId="0" xfId="0" applyNumberFormat="1" applyFill="1"/>
    <xf numFmtId="176" fontId="0" fillId="0" borderId="0" xfId="0" applyNumberFormat="1"/>
    <xf numFmtId="166" fontId="0" fillId="6" borderId="0" xfId="0" applyNumberFormat="1" applyFill="1"/>
    <xf numFmtId="0" fontId="65" fillId="0" borderId="0" xfId="0" applyFont="1" applyAlignment="1">
      <alignment horizontal="left"/>
    </xf>
    <xf numFmtId="0" fontId="12" fillId="21" borderId="0" xfId="0" applyFont="1" applyFill="1" applyAlignment="1">
      <alignment horizontal="left"/>
    </xf>
    <xf numFmtId="0" fontId="54" fillId="21" borderId="0" xfId="0" applyFont="1" applyFill="1"/>
    <xf numFmtId="0" fontId="65" fillId="10" borderId="0" xfId="0" applyFont="1" applyFill="1" applyAlignment="1">
      <alignment horizontal="left"/>
    </xf>
    <xf numFmtId="1" fontId="12" fillId="26" borderId="16" xfId="39" applyNumberFormat="1"/>
    <xf numFmtId="9" fontId="12" fillId="26" borderId="16" xfId="39" applyNumberFormat="1"/>
    <xf numFmtId="0" fontId="65" fillId="0" borderId="0" xfId="0" applyFont="1"/>
    <xf numFmtId="166" fontId="12" fillId="0" borderId="0" xfId="1" applyNumberFormat="1" applyFont="1" applyFill="1"/>
    <xf numFmtId="170" fontId="12" fillId="26" borderId="16" xfId="39" applyNumberFormat="1"/>
    <xf numFmtId="0" fontId="12" fillId="26" borderId="16" xfId="39"/>
    <xf numFmtId="166" fontId="12" fillId="26" borderId="16" xfId="39" applyNumberFormat="1"/>
    <xf numFmtId="166" fontId="68" fillId="0" borderId="0" xfId="1" applyNumberFormat="1" applyFont="1" applyFill="1"/>
    <xf numFmtId="168" fontId="12" fillId="26" borderId="16" xfId="39" applyNumberFormat="1"/>
    <xf numFmtId="166" fontId="12" fillId="0" borderId="0" xfId="1" applyNumberFormat="1" applyFont="1" applyFill="1" applyBorder="1"/>
    <xf numFmtId="165" fontId="68" fillId="0" borderId="0" xfId="1" applyFont="1" applyFill="1" applyBorder="1"/>
    <xf numFmtId="0" fontId="60" fillId="0" borderId="0" xfId="0" applyFont="1"/>
    <xf numFmtId="0" fontId="54" fillId="0" borderId="0" xfId="0" applyFont="1" applyAlignment="1">
      <alignment horizontal="left"/>
    </xf>
    <xf numFmtId="171" fontId="12" fillId="26" borderId="16" xfId="39" applyNumberFormat="1"/>
    <xf numFmtId="9" fontId="12" fillId="0" borderId="0" xfId="0" applyNumberFormat="1" applyFont="1"/>
    <xf numFmtId="9" fontId="12" fillId="26" borderId="16" xfId="39" applyNumberFormat="1" applyAlignment="1">
      <alignment horizontal="left"/>
    </xf>
    <xf numFmtId="168" fontId="12" fillId="0" borderId="0" xfId="2" applyNumberFormat="1" applyFont="1"/>
    <xf numFmtId="168" fontId="12" fillId="3" borderId="0" xfId="2" applyNumberFormat="1" applyFont="1" applyFill="1"/>
    <xf numFmtId="9" fontId="12" fillId="0" borderId="0" xfId="2" applyFont="1" applyFill="1"/>
    <xf numFmtId="9" fontId="12" fillId="0" borderId="0" xfId="2" applyFont="1"/>
    <xf numFmtId="9" fontId="12" fillId="3" borderId="0" xfId="2" applyFont="1" applyFill="1"/>
    <xf numFmtId="3" fontId="12" fillId="0" borderId="0" xfId="0" applyNumberFormat="1" applyFont="1"/>
    <xf numFmtId="9" fontId="62" fillId="0" borderId="0" xfId="0" applyNumberFormat="1" applyFont="1"/>
    <xf numFmtId="165" fontId="12" fillId="26" borderId="16" xfId="39" applyNumberFormat="1"/>
    <xf numFmtId="165" fontId="12" fillId="0" borderId="0" xfId="1" applyFont="1" applyFill="1" applyBorder="1"/>
    <xf numFmtId="165" fontId="63" fillId="0" borderId="0" xfId="1" applyFont="1" applyFill="1" applyBorder="1"/>
    <xf numFmtId="0" fontId="69" fillId="0" borderId="0" xfId="0" applyFont="1"/>
    <xf numFmtId="0" fontId="62" fillId="0" borderId="0" xfId="0" applyFont="1" applyAlignment="1">
      <alignment horizontal="left"/>
    </xf>
    <xf numFmtId="165" fontId="11" fillId="0" borderId="0" xfId="1" applyFont="1" applyFill="1" applyBorder="1"/>
    <xf numFmtId="165" fontId="62" fillId="0" borderId="0" xfId="1" applyFont="1" applyFill="1" applyBorder="1"/>
    <xf numFmtId="165" fontId="70" fillId="0" borderId="0" xfId="1" applyFont="1" applyFill="1" applyBorder="1"/>
    <xf numFmtId="167" fontId="12" fillId="0" borderId="0" xfId="1" applyNumberFormat="1" applyFont="1" applyFill="1" applyBorder="1"/>
    <xf numFmtId="0" fontId="71" fillId="0" borderId="0" xfId="4" applyFont="1"/>
    <xf numFmtId="0" fontId="0" fillId="5" borderId="0" xfId="0" applyFill="1"/>
    <xf numFmtId="0" fontId="72" fillId="0" borderId="0" xfId="4" applyFont="1"/>
    <xf numFmtId="9" fontId="62" fillId="0" borderId="0" xfId="1" applyNumberFormat="1" applyFont="1" applyFill="1"/>
    <xf numFmtId="166" fontId="62" fillId="0" borderId="0" xfId="1" applyNumberFormat="1" applyFont="1" applyFill="1"/>
    <xf numFmtId="9" fontId="62" fillId="5" borderId="0" xfId="1" applyNumberFormat="1" applyFont="1" applyFill="1"/>
    <xf numFmtId="3" fontId="0" fillId="0" borderId="0" xfId="1" applyNumberFormat="1" applyFont="1" applyFill="1"/>
    <xf numFmtId="0" fontId="43" fillId="8" borderId="0" xfId="0" applyFont="1" applyFill="1"/>
    <xf numFmtId="0" fontId="0" fillId="8" borderId="0" xfId="0" applyFill="1"/>
    <xf numFmtId="0" fontId="0" fillId="0" borderId="18" xfId="0" applyBorder="1"/>
    <xf numFmtId="0" fontId="31" fillId="0" borderId="18" xfId="0" applyFont="1" applyBorder="1"/>
    <xf numFmtId="16" fontId="0" fillId="0" borderId="18" xfId="0" quotePrefix="1" applyNumberFormat="1" applyBorder="1"/>
    <xf numFmtId="0" fontId="0" fillId="24" borderId="18" xfId="0" applyFill="1" applyBorder="1"/>
    <xf numFmtId="0" fontId="0" fillId="0" borderId="37" xfId="0" applyBorder="1"/>
    <xf numFmtId="0" fontId="0" fillId="24" borderId="37" xfId="0" applyFill="1" applyBorder="1"/>
    <xf numFmtId="0" fontId="0" fillId="24" borderId="38" xfId="0" applyFill="1" applyBorder="1"/>
    <xf numFmtId="0" fontId="0" fillId="24" borderId="36" xfId="0" applyFill="1" applyBorder="1"/>
    <xf numFmtId="0" fontId="0" fillId="0" borderId="36" xfId="0" applyBorder="1"/>
    <xf numFmtId="0" fontId="0" fillId="0" borderId="38" xfId="0" applyBorder="1"/>
    <xf numFmtId="0" fontId="0" fillId="4" borderId="18" xfId="0" applyFill="1" applyBorder="1"/>
    <xf numFmtId="0" fontId="31" fillId="4" borderId="37" xfId="0" applyFont="1" applyFill="1" applyBorder="1"/>
    <xf numFmtId="0" fontId="31" fillId="4" borderId="18" xfId="0" applyFont="1" applyFill="1" applyBorder="1"/>
    <xf numFmtId="0" fontId="31" fillId="0" borderId="0" xfId="0" applyFont="1" applyAlignment="1">
      <alignment horizontal="left"/>
    </xf>
    <xf numFmtId="0" fontId="32" fillId="25" borderId="0" xfId="0" applyFont="1" applyFill="1"/>
    <xf numFmtId="168" fontId="0" fillId="0" borderId="18" xfId="0" applyNumberFormat="1" applyBorder="1"/>
    <xf numFmtId="0" fontId="53" fillId="8" borderId="0" xfId="0" applyFont="1" applyFill="1" applyAlignment="1">
      <alignment horizontal="left" vertical="top"/>
    </xf>
    <xf numFmtId="9" fontId="42" fillId="0" borderId="0" xfId="2" applyFont="1"/>
    <xf numFmtId="0" fontId="34" fillId="8" borderId="0" xfId="0" applyFont="1" applyFill="1" applyAlignment="1">
      <alignment horizontal="right" vertical="top"/>
    </xf>
    <xf numFmtId="0" fontId="73" fillId="0" borderId="0" xfId="0" applyFont="1"/>
    <xf numFmtId="0" fontId="42" fillId="0" borderId="0" xfId="0" applyFont="1" applyAlignment="1">
      <alignment horizontal="left"/>
    </xf>
    <xf numFmtId="0" fontId="59" fillId="0" borderId="0" xfId="0" applyFont="1" applyAlignment="1">
      <alignment vertical="center"/>
    </xf>
    <xf numFmtId="0" fontId="59" fillId="0" borderId="1" xfId="0" applyFont="1" applyBorder="1" applyAlignment="1">
      <alignment vertical="center"/>
    </xf>
    <xf numFmtId="0" fontId="53" fillId="0" borderId="0" xfId="0" applyFont="1"/>
    <xf numFmtId="0" fontId="60" fillId="8" borderId="1" xfId="0" applyFont="1" applyFill="1" applyBorder="1"/>
    <xf numFmtId="0" fontId="34" fillId="8" borderId="7" xfId="0" applyFont="1" applyFill="1" applyBorder="1"/>
    <xf numFmtId="0" fontId="11" fillId="7" borderId="1" xfId="0" applyFont="1" applyFill="1" applyBorder="1"/>
    <xf numFmtId="0" fontId="12" fillId="7" borderId="1" xfId="0" applyFont="1" applyFill="1" applyBorder="1"/>
    <xf numFmtId="0" fontId="16" fillId="7" borderId="1" xfId="0" applyFont="1" applyFill="1" applyBorder="1"/>
    <xf numFmtId="0" fontId="66" fillId="0" borderId="0" xfId="0" applyFont="1"/>
    <xf numFmtId="4" fontId="46" fillId="26" borderId="16" xfId="39" applyNumberFormat="1" applyFont="1" applyAlignment="1"/>
    <xf numFmtId="4" fontId="57" fillId="0" borderId="0" xfId="0" applyNumberFormat="1" applyFont="1"/>
    <xf numFmtId="0" fontId="12" fillId="26" borderId="16" xfId="39" applyAlignment="1"/>
    <xf numFmtId="0" fontId="54" fillId="0" borderId="0" xfId="0" quotePrefix="1" applyFont="1"/>
    <xf numFmtId="3" fontId="12" fillId="26" borderId="16" xfId="39" applyNumberFormat="1" applyAlignment="1"/>
    <xf numFmtId="9" fontId="12" fillId="26" borderId="16" xfId="39" applyNumberFormat="1" applyAlignment="1"/>
    <xf numFmtId="10" fontId="12" fillId="26" borderId="16" xfId="39" applyNumberFormat="1" applyAlignment="1"/>
    <xf numFmtId="172" fontId="12" fillId="26" borderId="16" xfId="39" applyNumberFormat="1" applyAlignment="1"/>
    <xf numFmtId="171" fontId="57" fillId="0" borderId="0" xfId="0" applyNumberFormat="1" applyFont="1"/>
    <xf numFmtId="9" fontId="12" fillId="0" borderId="16" xfId="39" applyNumberFormat="1" applyFill="1"/>
    <xf numFmtId="171" fontId="12" fillId="26" borderId="16" xfId="39" applyNumberFormat="1" applyAlignment="1"/>
    <xf numFmtId="171" fontId="74" fillId="0" borderId="0" xfId="0" applyNumberFormat="1" applyFont="1"/>
    <xf numFmtId="4" fontId="74" fillId="0" borderId="0" xfId="0" applyNumberFormat="1" applyFont="1"/>
    <xf numFmtId="3" fontId="74" fillId="0" borderId="0" xfId="0" applyNumberFormat="1" applyFont="1"/>
    <xf numFmtId="171" fontId="12" fillId="0" borderId="0" xfId="0" applyNumberFormat="1" applyFont="1"/>
    <xf numFmtId="3" fontId="46" fillId="26" borderId="16" xfId="39" applyNumberFormat="1" applyFont="1" applyAlignment="1">
      <alignment horizontal="left"/>
    </xf>
    <xf numFmtId="3" fontId="46" fillId="26" borderId="16" xfId="39" applyNumberFormat="1" applyFont="1" applyAlignment="1">
      <alignment horizontal="right"/>
    </xf>
    <xf numFmtId="9" fontId="46" fillId="26" borderId="16" xfId="39" applyNumberFormat="1" applyFont="1" applyAlignment="1">
      <alignment horizontal="right"/>
    </xf>
    <xf numFmtId="0" fontId="75" fillId="8" borderId="1" xfId="0" applyFont="1" applyFill="1" applyBorder="1"/>
    <xf numFmtId="0" fontId="32" fillId="8" borderId="1" xfId="0" applyFont="1" applyFill="1" applyBorder="1"/>
    <xf numFmtId="0" fontId="33" fillId="0" borderId="0" xfId="0" applyFont="1"/>
    <xf numFmtId="0" fontId="49" fillId="10" borderId="0" xfId="0" applyFont="1" applyFill="1"/>
    <xf numFmtId="0" fontId="49" fillId="10" borderId="0" xfId="0" applyFont="1" applyFill="1" applyAlignment="1">
      <alignment horizontal="right"/>
    </xf>
    <xf numFmtId="165" fontId="0" fillId="4" borderId="0" xfId="0" applyNumberFormat="1" applyFill="1"/>
    <xf numFmtId="166" fontId="30" fillId="4" borderId="0" xfId="1" applyNumberFormat="1" applyFont="1" applyFill="1" applyBorder="1"/>
    <xf numFmtId="9" fontId="31" fillId="0" borderId="0" xfId="2" applyFont="1" applyFill="1"/>
    <xf numFmtId="165" fontId="30" fillId="4" borderId="0" xfId="1" applyFont="1" applyFill="1" applyBorder="1"/>
    <xf numFmtId="165" fontId="46" fillId="0" borderId="0" xfId="1" applyFont="1" applyBorder="1"/>
    <xf numFmtId="0" fontId="48" fillId="0" borderId="0" xfId="0" applyFont="1"/>
    <xf numFmtId="0" fontId="32" fillId="32" borderId="0" xfId="0" applyFont="1" applyFill="1" applyAlignment="1">
      <alignment horizontal="centerContinuous"/>
    </xf>
    <xf numFmtId="165" fontId="39" fillId="0" borderId="0" xfId="1" applyFont="1" applyFill="1"/>
    <xf numFmtId="0" fontId="39" fillId="0" borderId="0" xfId="0" applyFont="1"/>
    <xf numFmtId="167" fontId="0" fillId="0" borderId="0" xfId="0" applyNumberFormat="1"/>
    <xf numFmtId="167" fontId="30" fillId="0" borderId="0" xfId="0" applyNumberFormat="1" applyFont="1"/>
    <xf numFmtId="167" fontId="55" fillId="0" borderId="0" xfId="1" applyNumberFormat="1" applyFont="1"/>
    <xf numFmtId="167" fontId="31" fillId="0" borderId="0" xfId="1" applyNumberFormat="1" applyFont="1"/>
    <xf numFmtId="167" fontId="31" fillId="0" borderId="0" xfId="1" applyNumberFormat="1" applyFont="1" applyFill="1"/>
    <xf numFmtId="167" fontId="73" fillId="0" borderId="0" xfId="1" applyNumberFormat="1" applyFont="1"/>
    <xf numFmtId="0" fontId="46" fillId="0" borderId="0" xfId="40" applyFont="1" applyFill="1"/>
    <xf numFmtId="167" fontId="30" fillId="0" borderId="0" xfId="42" applyNumberFormat="1" applyFont="1" applyFill="1" applyBorder="1"/>
    <xf numFmtId="0" fontId="32" fillId="18" borderId="0" xfId="0" applyFont="1" applyFill="1"/>
    <xf numFmtId="0" fontId="32" fillId="32" borderId="10" xfId="47" applyFont="1" applyFill="1" applyBorder="1"/>
    <xf numFmtId="0" fontId="32" fillId="32" borderId="22" xfId="47" applyFont="1" applyFill="1" applyBorder="1"/>
    <xf numFmtId="0" fontId="33" fillId="32" borderId="29" xfId="47" applyFont="1" applyFill="1" applyBorder="1"/>
    <xf numFmtId="0" fontId="76" fillId="0" borderId="0" xfId="0" applyFont="1"/>
    <xf numFmtId="9" fontId="47" fillId="0" borderId="0" xfId="2" applyFont="1" applyFill="1" applyBorder="1"/>
    <xf numFmtId="0" fontId="47" fillId="0" borderId="0" xfId="0" applyFont="1"/>
    <xf numFmtId="3" fontId="47" fillId="0" borderId="0" xfId="0" applyNumberFormat="1" applyFont="1"/>
    <xf numFmtId="9" fontId="47" fillId="0" borderId="0" xfId="2" applyFont="1"/>
    <xf numFmtId="3" fontId="77" fillId="0" borderId="0" xfId="0" applyNumberFormat="1" applyFont="1"/>
    <xf numFmtId="0" fontId="0" fillId="0" borderId="17" xfId="0" applyBorder="1"/>
    <xf numFmtId="0" fontId="31" fillId="0" borderId="17" xfId="0" applyFont="1" applyBorder="1"/>
    <xf numFmtId="0" fontId="48" fillId="0" borderId="17" xfId="0" applyFont="1" applyBorder="1"/>
    <xf numFmtId="9" fontId="47" fillId="0" borderId="17" xfId="2" applyFont="1" applyFill="1" applyBorder="1"/>
    <xf numFmtId="0" fontId="0" fillId="0" borderId="1" xfId="0" applyBorder="1"/>
    <xf numFmtId="0" fontId="31" fillId="0" borderId="1" xfId="0" applyFont="1" applyBorder="1"/>
    <xf numFmtId="0" fontId="48" fillId="0" borderId="1" xfId="0" applyFont="1" applyBorder="1"/>
    <xf numFmtId="9" fontId="47" fillId="0" borderId="1" xfId="2" applyFont="1" applyFill="1" applyBorder="1"/>
    <xf numFmtId="0" fontId="31" fillId="0" borderId="0" xfId="0" applyFont="1" applyAlignment="1">
      <alignment horizontal="left" indent="2"/>
    </xf>
    <xf numFmtId="175" fontId="47" fillId="0" borderId="0" xfId="15" applyNumberFormat="1" applyFont="1" applyFill="1" applyBorder="1"/>
    <xf numFmtId="165" fontId="47" fillId="0" borderId="0" xfId="1" applyFont="1" applyFill="1" applyBorder="1"/>
    <xf numFmtId="0" fontId="78" fillId="0" borderId="10" xfId="0" applyFont="1" applyBorder="1" applyAlignment="1">
      <alignment horizontal="left"/>
    </xf>
    <xf numFmtId="0" fontId="78" fillId="0" borderId="10" xfId="0" applyFont="1" applyBorder="1"/>
    <xf numFmtId="0" fontId="79" fillId="0" borderId="10" xfId="0" applyFont="1" applyBorder="1"/>
    <xf numFmtId="3" fontId="78" fillId="0" borderId="10" xfId="0" applyNumberFormat="1" applyFont="1" applyBorder="1"/>
    <xf numFmtId="0" fontId="78" fillId="0" borderId="0" xfId="0" applyFont="1"/>
    <xf numFmtId="3" fontId="31" fillId="0" borderId="0" xfId="0" applyNumberFormat="1" applyFont="1"/>
    <xf numFmtId="0" fontId="80" fillId="0" borderId="0" xfId="0" applyFont="1"/>
    <xf numFmtId="166" fontId="31" fillId="0" borderId="0" xfId="1" applyNumberFormat="1" applyFont="1"/>
    <xf numFmtId="166" fontId="47" fillId="0" borderId="0" xfId="1" applyNumberFormat="1" applyFont="1" applyFill="1" applyBorder="1"/>
    <xf numFmtId="166" fontId="31" fillId="0" borderId="0" xfId="0" applyNumberFormat="1" applyFont="1"/>
    <xf numFmtId="171" fontId="46" fillId="0" borderId="0" xfId="0" applyNumberFormat="1" applyFont="1"/>
    <xf numFmtId="49" fontId="0" fillId="0" borderId="0" xfId="0" applyNumberFormat="1"/>
    <xf numFmtId="167" fontId="81" fillId="0" borderId="0" xfId="1" applyNumberFormat="1" applyFont="1" applyFill="1" applyBorder="1"/>
    <xf numFmtId="0" fontId="46" fillId="0" borderId="0" xfId="0" applyFont="1" applyAlignment="1">
      <alignment horizontal="left" indent="1"/>
    </xf>
    <xf numFmtId="0" fontId="46" fillId="0" borderId="0" xfId="0" applyFont="1" applyAlignment="1">
      <alignment horizontal="left" indent="2"/>
    </xf>
    <xf numFmtId="0" fontId="46" fillId="0" borderId="0" xfId="0" applyFont="1" applyAlignment="1">
      <alignment horizontal="left"/>
    </xf>
    <xf numFmtId="167" fontId="82" fillId="0" borderId="0" xfId="1" applyNumberFormat="1" applyFont="1" applyFill="1" applyBorder="1"/>
    <xf numFmtId="0" fontId="83" fillId="0" borderId="0" xfId="0" applyFont="1" applyAlignment="1">
      <alignment horizontal="left"/>
    </xf>
    <xf numFmtId="0" fontId="84" fillId="0" borderId="0" xfId="0" applyFont="1"/>
    <xf numFmtId="0" fontId="85" fillId="0" borderId="0" xfId="0" applyFont="1"/>
    <xf numFmtId="3" fontId="83" fillId="0" borderId="0" xfId="0" applyNumberFormat="1" applyFont="1"/>
    <xf numFmtId="4" fontId="84" fillId="0" borderId="0" xfId="0" applyNumberFormat="1" applyFont="1"/>
    <xf numFmtId="0" fontId="86" fillId="0" borderId="0" xfId="0" applyFont="1" applyAlignment="1">
      <alignment horizontal="left"/>
    </xf>
    <xf numFmtId="0" fontId="86" fillId="0" borderId="0" xfId="0" applyFont="1"/>
    <xf numFmtId="0" fontId="87" fillId="0" borderId="0" xfId="0" applyFont="1"/>
    <xf numFmtId="3" fontId="86" fillId="0" borderId="0" xfId="0" applyNumberFormat="1" applyFont="1"/>
    <xf numFmtId="0" fontId="0" fillId="0" borderId="10" xfId="0" applyBorder="1"/>
    <xf numFmtId="0" fontId="78" fillId="0" borderId="10" xfId="0" applyFont="1" applyBorder="1" applyAlignment="1">
      <alignment horizontal="left" indent="1"/>
    </xf>
    <xf numFmtId="0" fontId="83" fillId="0" borderId="0" xfId="0" applyFont="1"/>
    <xf numFmtId="0" fontId="80" fillId="0" borderId="10" xfId="0" applyFont="1" applyBorder="1"/>
    <xf numFmtId="9" fontId="31" fillId="0" borderId="10" xfId="0" applyNumberFormat="1" applyFont="1" applyBorder="1"/>
    <xf numFmtId="167" fontId="47" fillId="0" borderId="0" xfId="1" applyNumberFormat="1" applyFont="1" applyFill="1" applyBorder="1"/>
    <xf numFmtId="0" fontId="49" fillId="0" borderId="0" xfId="0" applyFont="1"/>
    <xf numFmtId="0" fontId="49" fillId="0" borderId="10" xfId="0" applyFont="1" applyBorder="1"/>
    <xf numFmtId="170" fontId="49" fillId="0" borderId="10" xfId="0" applyNumberFormat="1" applyFont="1" applyBorder="1"/>
    <xf numFmtId="170" fontId="46" fillId="0" borderId="0" xfId="0" applyNumberFormat="1" applyFont="1"/>
    <xf numFmtId="170" fontId="58" fillId="0" borderId="0" xfId="0" applyNumberFormat="1" applyFont="1"/>
    <xf numFmtId="165" fontId="82" fillId="0" borderId="0" xfId="1" applyFont="1" applyFill="1" applyBorder="1"/>
    <xf numFmtId="165" fontId="81" fillId="0" borderId="0" xfId="1" applyFont="1" applyFill="1" applyBorder="1"/>
    <xf numFmtId="0" fontId="88" fillId="0" borderId="0" xfId="0" applyFont="1"/>
    <xf numFmtId="166" fontId="30" fillId="0" borderId="0" xfId="1" applyNumberFormat="1" applyFont="1"/>
    <xf numFmtId="166" fontId="82" fillId="0" borderId="0" xfId="1" applyNumberFormat="1" applyFont="1" applyFill="1" applyBorder="1"/>
    <xf numFmtId="9" fontId="47" fillId="0" borderId="0" xfId="2" applyFont="1" applyFill="1"/>
    <xf numFmtId="1" fontId="0" fillId="0" borderId="0" xfId="0" applyNumberFormat="1"/>
    <xf numFmtId="0" fontId="49" fillId="0" borderId="10" xfId="0" applyFont="1" applyBorder="1" applyAlignment="1">
      <alignment horizontal="left"/>
    </xf>
    <xf numFmtId="168" fontId="49" fillId="0" borderId="10" xfId="0" applyNumberFormat="1" applyFont="1" applyBorder="1"/>
    <xf numFmtId="9" fontId="49" fillId="0" borderId="10" xfId="0" applyNumberFormat="1" applyFont="1" applyBorder="1"/>
    <xf numFmtId="9" fontId="46" fillId="0" borderId="0" xfId="0" applyNumberFormat="1" applyFont="1"/>
    <xf numFmtId="9" fontId="81" fillId="0" borderId="0" xfId="2" applyFont="1" applyFill="1" applyBorder="1"/>
    <xf numFmtId="166" fontId="81" fillId="0" borderId="0" xfId="1" applyNumberFormat="1" applyFont="1" applyFill="1" applyBorder="1"/>
    <xf numFmtId="165" fontId="49" fillId="0" borderId="10" xfId="1" applyFont="1" applyBorder="1"/>
    <xf numFmtId="0" fontId="89" fillId="0" borderId="0" xfId="0" applyFont="1"/>
    <xf numFmtId="0" fontId="49" fillId="0" borderId="0" xfId="0" applyFont="1" applyAlignment="1">
      <alignment horizontal="left"/>
    </xf>
    <xf numFmtId="0" fontId="49" fillId="0" borderId="0" xfId="0" applyFont="1" applyAlignment="1">
      <alignment horizontal="left" indent="1"/>
    </xf>
    <xf numFmtId="9" fontId="81" fillId="0" borderId="0" xfId="2" applyFont="1" applyFill="1"/>
    <xf numFmtId="2" fontId="81" fillId="0" borderId="0" xfId="2" applyNumberFormat="1" applyFont="1" applyFill="1"/>
    <xf numFmtId="0" fontId="41" fillId="0" borderId="10" xfId="0" applyFont="1" applyBorder="1"/>
    <xf numFmtId="165" fontId="31" fillId="0" borderId="10" xfId="1" applyFont="1" applyBorder="1"/>
    <xf numFmtId="0" fontId="49" fillId="0" borderId="10" xfId="0" applyFont="1" applyBorder="1" applyAlignment="1">
      <alignment horizontal="left" indent="1"/>
    </xf>
    <xf numFmtId="43" fontId="81" fillId="0" borderId="0" xfId="15" applyFont="1" applyFill="1" applyBorder="1"/>
    <xf numFmtId="175" fontId="81" fillId="0" borderId="0" xfId="15" applyNumberFormat="1" applyFont="1" applyFill="1" applyBorder="1"/>
    <xf numFmtId="9" fontId="82" fillId="0" borderId="0" xfId="2" applyFont="1" applyFill="1" applyBorder="1"/>
    <xf numFmtId="0" fontId="31" fillId="28" borderId="10" xfId="44" applyFont="1" applyBorder="1"/>
    <xf numFmtId="0" fontId="31" fillId="28" borderId="22" xfId="44" applyFont="1" applyBorder="1"/>
    <xf numFmtId="0" fontId="30" fillId="28" borderId="29" xfId="44" applyFont="1" applyBorder="1"/>
    <xf numFmtId="165" fontId="91" fillId="0" borderId="10" xfId="1" applyFont="1" applyBorder="1"/>
    <xf numFmtId="175" fontId="82" fillId="0" borderId="0" xfId="15" applyNumberFormat="1" applyFont="1" applyFill="1" applyBorder="1"/>
    <xf numFmtId="166" fontId="0" fillId="37" borderId="0" xfId="0" applyNumberFormat="1" applyFill="1"/>
    <xf numFmtId="3" fontId="81" fillId="0" borderId="0" xfId="0" applyNumberFormat="1" applyFont="1"/>
    <xf numFmtId="9" fontId="81" fillId="0" borderId="0" xfId="2" applyFont="1"/>
    <xf numFmtId="9" fontId="31" fillId="0" borderId="0" xfId="2" applyFont="1"/>
    <xf numFmtId="0" fontId="46" fillId="0" borderId="17" xfId="0" applyFont="1" applyBorder="1" applyAlignment="1">
      <alignment horizontal="left"/>
    </xf>
    <xf numFmtId="0" fontId="46" fillId="0" borderId="17" xfId="0" applyFont="1" applyBorder="1"/>
    <xf numFmtId="165" fontId="46" fillId="0" borderId="17" xfId="1" applyFont="1" applyBorder="1"/>
    <xf numFmtId="0" fontId="31" fillId="30" borderId="10" xfId="46" applyFont="1" applyBorder="1"/>
    <xf numFmtId="0" fontId="31" fillId="30" borderId="22" xfId="46" applyFont="1" applyBorder="1"/>
    <xf numFmtId="0" fontId="30" fillId="30" borderId="29" xfId="46" applyFont="1" applyBorder="1"/>
    <xf numFmtId="2" fontId="81" fillId="0" borderId="0" xfId="2" applyNumberFormat="1" applyFont="1" applyFill="1" applyBorder="1"/>
    <xf numFmtId="0" fontId="31" fillId="35" borderId="10" xfId="45" applyFont="1" applyFill="1" applyBorder="1"/>
    <xf numFmtId="0" fontId="31" fillId="35" borderId="22" xfId="45" applyFont="1" applyFill="1" applyBorder="1"/>
    <xf numFmtId="0" fontId="30" fillId="35" borderId="29" xfId="45" applyFont="1" applyFill="1" applyBorder="1"/>
    <xf numFmtId="165" fontId="31" fillId="0" borderId="0" xfId="0" applyNumberFormat="1" applyFont="1"/>
    <xf numFmtId="166" fontId="81" fillId="0" borderId="0" xfId="1" applyNumberFormat="1" applyFont="1"/>
    <xf numFmtId="165" fontId="31" fillId="0" borderId="10" xfId="1" applyFont="1" applyFill="1" applyBorder="1"/>
    <xf numFmtId="2" fontId="82" fillId="0" borderId="0" xfId="2" applyNumberFormat="1" applyFont="1" applyFill="1" applyBorder="1"/>
    <xf numFmtId="2" fontId="91" fillId="0" borderId="0" xfId="2" applyNumberFormat="1" applyFont="1" applyFill="1" applyBorder="1"/>
    <xf numFmtId="9" fontId="49" fillId="14" borderId="10" xfId="0" applyNumberFormat="1" applyFont="1" applyFill="1" applyBorder="1"/>
    <xf numFmtId="165" fontId="31" fillId="14" borderId="10" xfId="1" applyFont="1" applyFill="1" applyBorder="1"/>
    <xf numFmtId="0" fontId="71" fillId="0" borderId="0" xfId="4" applyFont="1" applyFill="1" applyBorder="1"/>
    <xf numFmtId="0" fontId="60" fillId="36" borderId="41" xfId="0" applyFont="1" applyFill="1" applyBorder="1"/>
    <xf numFmtId="0" fontId="34" fillId="36" borderId="19" xfId="0" applyFont="1" applyFill="1" applyBorder="1"/>
    <xf numFmtId="0" fontId="34" fillId="36" borderId="11" xfId="0" applyFont="1" applyFill="1" applyBorder="1"/>
    <xf numFmtId="0" fontId="34" fillId="36" borderId="41" xfId="0" applyFont="1" applyFill="1" applyBorder="1"/>
    <xf numFmtId="0" fontId="34" fillId="36" borderId="39" xfId="0" applyFont="1" applyFill="1" applyBorder="1"/>
    <xf numFmtId="0" fontId="34" fillId="0" borderId="0" xfId="0" applyFont="1"/>
    <xf numFmtId="0" fontId="34" fillId="36" borderId="20" xfId="0" applyFont="1" applyFill="1" applyBorder="1"/>
    <xf numFmtId="0" fontId="34" fillId="36" borderId="40" xfId="0" applyFont="1" applyFill="1" applyBorder="1"/>
    <xf numFmtId="0" fontId="34" fillId="33" borderId="27" xfId="0" applyFont="1" applyFill="1" applyBorder="1"/>
    <xf numFmtId="0" fontId="34" fillId="33" borderId="22" xfId="0" applyFont="1" applyFill="1" applyBorder="1"/>
    <xf numFmtId="0" fontId="60" fillId="33" borderId="29" xfId="0" applyFont="1" applyFill="1" applyBorder="1"/>
    <xf numFmtId="0" fontId="34" fillId="33" borderId="29" xfId="0" applyFont="1" applyFill="1" applyBorder="1"/>
    <xf numFmtId="0" fontId="34" fillId="33" borderId="23" xfId="0" applyFont="1" applyFill="1" applyBorder="1"/>
    <xf numFmtId="3" fontId="12" fillId="26" borderId="16" xfId="39" applyNumberFormat="1"/>
    <xf numFmtId="176" fontId="12" fillId="0" borderId="0" xfId="0" applyNumberFormat="1" applyFont="1"/>
    <xf numFmtId="167" fontId="12" fillId="26" borderId="16" xfId="39" applyNumberFormat="1"/>
    <xf numFmtId="179" fontId="12" fillId="26" borderId="16" xfId="39" applyNumberFormat="1"/>
    <xf numFmtId="0" fontId="34" fillId="32" borderId="22" xfId="46" applyFont="1" applyFill="1" applyBorder="1"/>
    <xf numFmtId="0" fontId="0" fillId="32" borderId="29" xfId="47" applyFont="1" applyFill="1" applyBorder="1"/>
    <xf numFmtId="0" fontId="0" fillId="32" borderId="29" xfId="46" applyFont="1" applyFill="1" applyBorder="1"/>
    <xf numFmtId="0" fontId="34" fillId="32" borderId="29" xfId="46" applyFont="1" applyFill="1" applyBorder="1"/>
    <xf numFmtId="0" fontId="34" fillId="32" borderId="29" xfId="47" applyFont="1" applyFill="1" applyBorder="1"/>
    <xf numFmtId="0" fontId="34" fillId="32" borderId="23" xfId="46" applyFont="1" applyFill="1" applyBorder="1"/>
    <xf numFmtId="175" fontId="12" fillId="26" borderId="16" xfId="39" applyNumberFormat="1"/>
    <xf numFmtId="172" fontId="12" fillId="26" borderId="16" xfId="39" applyNumberFormat="1"/>
    <xf numFmtId="9" fontId="16" fillId="0" borderId="0" xfId="0" applyNumberFormat="1" applyFont="1"/>
    <xf numFmtId="0" fontId="34" fillId="32" borderId="27" xfId="46" applyFont="1" applyFill="1" applyBorder="1"/>
    <xf numFmtId="0" fontId="92" fillId="0" borderId="0" xfId="0" applyFont="1"/>
    <xf numFmtId="165" fontId="12" fillId="0" borderId="0" xfId="1" applyFont="1"/>
    <xf numFmtId="165" fontId="92" fillId="0" borderId="0" xfId="1" applyFont="1"/>
    <xf numFmtId="0" fontId="57" fillId="0" borderId="0" xfId="40" applyFont="1" applyFill="1"/>
    <xf numFmtId="165" fontId="12" fillId="26" borderId="43" xfId="39" applyNumberFormat="1" applyBorder="1"/>
    <xf numFmtId="165" fontId="12" fillId="26" borderId="42" xfId="39" applyNumberFormat="1" applyBorder="1"/>
    <xf numFmtId="0" fontId="11" fillId="40" borderId="27" xfId="0" applyFont="1" applyFill="1" applyBorder="1"/>
    <xf numFmtId="0" fontId="57" fillId="40" borderId="22" xfId="46" applyFont="1" applyFill="1" applyBorder="1"/>
    <xf numFmtId="0" fontId="0" fillId="40" borderId="29" xfId="47" applyFont="1" applyFill="1" applyBorder="1"/>
    <xf numFmtId="0" fontId="0" fillId="40" borderId="29" xfId="46" applyFont="1" applyFill="1" applyBorder="1"/>
    <xf numFmtId="166" fontId="12" fillId="26" borderId="42" xfId="39" applyNumberFormat="1" applyBorder="1"/>
    <xf numFmtId="0" fontId="11" fillId="34" borderId="27" xfId="0" applyFont="1" applyFill="1" applyBorder="1"/>
    <xf numFmtId="0" fontId="11" fillId="34" borderId="22" xfId="0" applyFont="1" applyFill="1" applyBorder="1"/>
    <xf numFmtId="0" fontId="12" fillId="34" borderId="29" xfId="0" applyFont="1" applyFill="1" applyBorder="1"/>
    <xf numFmtId="0" fontId="11" fillId="34" borderId="29" xfId="0" applyFont="1" applyFill="1" applyBorder="1"/>
    <xf numFmtId="0" fontId="11" fillId="34" borderId="23" xfId="0" applyFont="1" applyFill="1" applyBorder="1"/>
    <xf numFmtId="0" fontId="93" fillId="0" borderId="0" xfId="0" applyFont="1"/>
    <xf numFmtId="166" fontId="74" fillId="0" borderId="0" xfId="1" applyNumberFormat="1" applyFont="1"/>
    <xf numFmtId="2" fontId="12" fillId="0" borderId="0" xfId="0" applyNumberFormat="1" applyFont="1"/>
    <xf numFmtId="0" fontId="11" fillId="35" borderId="27" xfId="0" applyFont="1" applyFill="1" applyBorder="1"/>
    <xf numFmtId="0" fontId="11" fillId="35" borderId="22" xfId="0" applyFont="1" applyFill="1" applyBorder="1"/>
    <xf numFmtId="0" fontId="12" fillId="35" borderId="29" xfId="0" applyFont="1" applyFill="1" applyBorder="1"/>
    <xf numFmtId="0" fontId="11" fillId="35" borderId="29" xfId="0" applyFont="1" applyFill="1" applyBorder="1"/>
    <xf numFmtId="0" fontId="11" fillId="35" borderId="23" xfId="0" applyFont="1" applyFill="1" applyBorder="1"/>
    <xf numFmtId="4" fontId="12" fillId="26" borderId="16" xfId="39" applyNumberFormat="1"/>
    <xf numFmtId="2" fontId="12" fillId="26" borderId="16" xfId="39" applyNumberFormat="1"/>
    <xf numFmtId="0" fontId="0" fillId="4" borderId="0" xfId="0" applyFill="1" applyAlignment="1">
      <alignment horizontal="left"/>
    </xf>
    <xf numFmtId="171" fontId="0" fillId="4" borderId="1" xfId="0" applyNumberFormat="1" applyFill="1" applyBorder="1"/>
    <xf numFmtId="0" fontId="0" fillId="4" borderId="1" xfId="0" applyFill="1" applyBorder="1"/>
    <xf numFmtId="0" fontId="0" fillId="4" borderId="1" xfId="0" applyFill="1" applyBorder="1" applyAlignment="1">
      <alignment horizontal="left"/>
    </xf>
    <xf numFmtId="171" fontId="0" fillId="4" borderId="0" xfId="0" applyNumberFormat="1" applyFill="1"/>
    <xf numFmtId="171" fontId="0" fillId="4" borderId="0" xfId="0" applyNumberFormat="1" applyFill="1" applyAlignment="1">
      <alignment horizontal="left"/>
    </xf>
    <xf numFmtId="171" fontId="42" fillId="4" borderId="0" xfId="0" applyNumberFormat="1" applyFont="1" applyFill="1"/>
    <xf numFmtId="0" fontId="11" fillId="0" borderId="0" xfId="0" applyFont="1" applyAlignment="1">
      <alignment horizontal="left"/>
    </xf>
    <xf numFmtId="0" fontId="57" fillId="0" borderId="10" xfId="0" applyFont="1" applyBorder="1"/>
    <xf numFmtId="0" fontId="53" fillId="0" borderId="10" xfId="0" applyFont="1" applyBorder="1"/>
    <xf numFmtId="0" fontId="34" fillId="0" borderId="10" xfId="0" applyFont="1" applyBorder="1" applyAlignment="1">
      <alignment horizontal="left"/>
    </xf>
    <xf numFmtId="0" fontId="34" fillId="0" borderId="10" xfId="0" applyFont="1" applyBorder="1"/>
    <xf numFmtId="0" fontId="60" fillId="0" borderId="1" xfId="0" applyFont="1" applyBorder="1"/>
    <xf numFmtId="0" fontId="53" fillId="0" borderId="1" xfId="0" applyFont="1" applyBorder="1"/>
    <xf numFmtId="166" fontId="12" fillId="4" borderId="0" xfId="1" applyNumberFormat="1" applyFont="1" applyFill="1"/>
    <xf numFmtId="0" fontId="12" fillId="4" borderId="0" xfId="0" applyFont="1" applyFill="1"/>
    <xf numFmtId="0" fontId="12" fillId="4" borderId="0" xfId="0" applyFont="1" applyFill="1" applyAlignment="1">
      <alignment horizontal="left"/>
    </xf>
    <xf numFmtId="0" fontId="16" fillId="4" borderId="0" xfId="0" applyFont="1" applyFill="1"/>
    <xf numFmtId="0" fontId="57" fillId="0" borderId="1" xfId="0" applyFont="1" applyBorder="1"/>
    <xf numFmtId="166" fontId="94" fillId="0" borderId="1" xfId="1" applyNumberFormat="1" applyFont="1" applyFill="1" applyBorder="1"/>
    <xf numFmtId="9" fontId="12" fillId="0" borderId="0" xfId="1" applyNumberFormat="1" applyFont="1" applyFill="1"/>
    <xf numFmtId="9" fontId="12" fillId="4" borderId="0" xfId="1" applyNumberFormat="1" applyFont="1" applyFill="1"/>
    <xf numFmtId="171" fontId="12" fillId="0" borderId="0" xfId="1" applyNumberFormat="1" applyFont="1" applyFill="1"/>
    <xf numFmtId="171" fontId="54" fillId="4" borderId="0" xfId="0" applyNumberFormat="1" applyFont="1" applyFill="1"/>
    <xf numFmtId="171" fontId="12" fillId="10" borderId="0" xfId="1" applyNumberFormat="1" applyFont="1" applyFill="1"/>
    <xf numFmtId="166" fontId="94" fillId="0" borderId="0" xfId="1" applyNumberFormat="1" applyFont="1" applyFill="1"/>
    <xf numFmtId="166" fontId="12" fillId="10" borderId="0" xfId="1" applyNumberFormat="1" applyFont="1" applyFill="1"/>
    <xf numFmtId="9" fontId="12" fillId="10" borderId="0" xfId="2" applyFont="1" applyFill="1"/>
    <xf numFmtId="167" fontId="12" fillId="10" borderId="0" xfId="1" applyNumberFormat="1" applyFont="1" applyFill="1"/>
    <xf numFmtId="0" fontId="31" fillId="0" borderId="0" xfId="0" applyFont="1" applyProtection="1">
      <protection locked="0"/>
    </xf>
    <xf numFmtId="0" fontId="0" fillId="0" borderId="0" xfId="0" applyProtection="1">
      <protection locked="0"/>
    </xf>
    <xf numFmtId="0" fontId="95" fillId="8" borderId="0" xfId="0" applyFont="1" applyFill="1"/>
    <xf numFmtId="0" fontId="46" fillId="10" borderId="0" xfId="0" applyFont="1" applyFill="1" applyProtection="1">
      <protection locked="0"/>
    </xf>
    <xf numFmtId="0" fontId="46" fillId="10" borderId="0" xfId="0" applyFont="1" applyFill="1"/>
    <xf numFmtId="2" fontId="46" fillId="10" borderId="0" xfId="0" applyNumberFormat="1" applyFont="1" applyFill="1"/>
    <xf numFmtId="0" fontId="32" fillId="2" borderId="0" xfId="0" applyFont="1" applyFill="1"/>
    <xf numFmtId="0" fontId="46" fillId="0" borderId="0" xfId="4" applyFont="1"/>
    <xf numFmtId="172" fontId="42" fillId="0" borderId="0" xfId="0" applyNumberFormat="1" applyFont="1"/>
    <xf numFmtId="172" fontId="42" fillId="4" borderId="0" xfId="0" applyNumberFormat="1" applyFont="1" applyFill="1"/>
    <xf numFmtId="4" fontId="0" fillId="4" borderId="0" xfId="0" applyNumberFormat="1" applyFill="1"/>
    <xf numFmtId="171" fontId="42" fillId="0" borderId="0" xfId="0" applyNumberFormat="1" applyFont="1"/>
    <xf numFmtId="0" fontId="0" fillId="6" borderId="0" xfId="0" applyFill="1"/>
    <xf numFmtId="0" fontId="46" fillId="0" borderId="0" xfId="0" applyFont="1" applyProtection="1">
      <protection locked="0"/>
    </xf>
    <xf numFmtId="0" fontId="31" fillId="0" borderId="5" xfId="0" applyFont="1" applyBorder="1"/>
    <xf numFmtId="0" fontId="30" fillId="0" borderId="2" xfId="0" applyFont="1" applyBorder="1"/>
    <xf numFmtId="0" fontId="30" fillId="0" borderId="9" xfId="0" applyFont="1" applyBorder="1"/>
    <xf numFmtId="0" fontId="31" fillId="0" borderId="7" xfId="0" applyFont="1" applyBorder="1"/>
    <xf numFmtId="0" fontId="31" fillId="0" borderId="25" xfId="0" applyFont="1" applyBorder="1"/>
    <xf numFmtId="0" fontId="31" fillId="0" borderId="6" xfId="0" applyFont="1" applyBorder="1"/>
    <xf numFmtId="166" fontId="67" fillId="0" borderId="0" xfId="1" applyNumberFormat="1" applyFont="1" applyBorder="1"/>
    <xf numFmtId="166" fontId="30" fillId="0" borderId="5" xfId="1" applyNumberFormat="1" applyFont="1" applyBorder="1"/>
    <xf numFmtId="0" fontId="96" fillId="0" borderId="0" xfId="0" applyFont="1"/>
    <xf numFmtId="0" fontId="0" fillId="0" borderId="4" xfId="0" applyBorder="1"/>
    <xf numFmtId="0" fontId="0" fillId="0" borderId="3" xfId="0" applyBorder="1"/>
    <xf numFmtId="0" fontId="46" fillId="0" borderId="3" xfId="0" applyFont="1" applyBorder="1"/>
    <xf numFmtId="0" fontId="0" fillId="0" borderId="6" xfId="0" applyBorder="1"/>
    <xf numFmtId="0" fontId="0" fillId="0" borderId="7" xfId="0" applyBorder="1"/>
    <xf numFmtId="166" fontId="58" fillId="0" borderId="5" xfId="1" applyNumberFormat="1" applyFont="1" applyBorder="1"/>
    <xf numFmtId="166" fontId="58" fillId="0" borderId="0" xfId="1" applyNumberFormat="1" applyFont="1" applyBorder="1"/>
    <xf numFmtId="0" fontId="58" fillId="0" borderId="2" xfId="0" applyFont="1" applyBorder="1"/>
    <xf numFmtId="0" fontId="58" fillId="0" borderId="9" xfId="0" applyFont="1" applyBorder="1"/>
    <xf numFmtId="166" fontId="58" fillId="0" borderId="0" xfId="1" applyNumberFormat="1" applyFont="1"/>
    <xf numFmtId="168" fontId="30" fillId="0" borderId="0" xfId="0" applyNumberFormat="1" applyFont="1"/>
    <xf numFmtId="0" fontId="30" fillId="13" borderId="0" xfId="0" applyFont="1" applyFill="1"/>
    <xf numFmtId="0" fontId="0" fillId="0" borderId="24" xfId="0" applyBorder="1"/>
    <xf numFmtId="0" fontId="0" fillId="0" borderId="8" xfId="0" applyBorder="1"/>
    <xf numFmtId="0" fontId="46" fillId="0" borderId="13" xfId="0" applyFont="1" applyBorder="1"/>
    <xf numFmtId="0" fontId="0" fillId="0" borderId="13" xfId="0" applyBorder="1"/>
    <xf numFmtId="165" fontId="30" fillId="0" borderId="0" xfId="42" applyFont="1"/>
    <xf numFmtId="166" fontId="67" fillId="0" borderId="0" xfId="1" applyNumberFormat="1" applyFont="1" applyFill="1" applyBorder="1"/>
    <xf numFmtId="0" fontId="30" fillId="0" borderId="5" xfId="0" applyFont="1" applyBorder="1"/>
    <xf numFmtId="166" fontId="30" fillId="13" borderId="0" xfId="1" applyNumberFormat="1" applyFont="1" applyFill="1"/>
    <xf numFmtId="165" fontId="58" fillId="0" borderId="0" xfId="1" applyFont="1" applyFill="1"/>
    <xf numFmtId="166" fontId="30" fillId="0" borderId="5" xfId="0" applyNumberFormat="1" applyFont="1" applyBorder="1"/>
    <xf numFmtId="166" fontId="30" fillId="0" borderId="0" xfId="0" applyNumberFormat="1" applyFont="1"/>
    <xf numFmtId="0" fontId="32" fillId="8" borderId="0" xfId="0" quotePrefix="1" applyFont="1" applyFill="1"/>
    <xf numFmtId="9" fontId="30" fillId="0" borderId="0" xfId="2" applyFont="1" applyFill="1"/>
    <xf numFmtId="0" fontId="30" fillId="6" borderId="10" xfId="0" applyFont="1" applyFill="1" applyBorder="1"/>
    <xf numFmtId="3" fontId="30" fillId="6" borderId="10" xfId="0" applyNumberFormat="1" applyFont="1" applyFill="1" applyBorder="1"/>
    <xf numFmtId="9" fontId="12" fillId="0" borderId="0" xfId="12" applyNumberFormat="1" applyFont="1" applyAlignment="1">
      <alignment horizontal="left"/>
    </xf>
    <xf numFmtId="0" fontId="44" fillId="0" borderId="0" xfId="0" applyFont="1"/>
    <xf numFmtId="0" fontId="97" fillId="0" borderId="0" xfId="0" applyFont="1"/>
    <xf numFmtId="0" fontId="57" fillId="23" borderId="49" xfId="0" applyFont="1" applyFill="1" applyBorder="1" applyAlignment="1">
      <alignment horizontal="left" vertical="center" indent="1"/>
    </xf>
    <xf numFmtId="0" fontId="57" fillId="23" borderId="50" xfId="0" applyFont="1" applyFill="1" applyBorder="1" applyAlignment="1">
      <alignment horizontal="left" vertical="center" indent="1"/>
    </xf>
    <xf numFmtId="0" fontId="57" fillId="23" borderId="7" xfId="0" applyFont="1" applyFill="1" applyBorder="1" applyAlignment="1">
      <alignment horizontal="left" vertical="center" indent="1"/>
    </xf>
    <xf numFmtId="165" fontId="81" fillId="0" borderId="0" xfId="1" applyFont="1" applyBorder="1"/>
    <xf numFmtId="0" fontId="57" fillId="0" borderId="28" xfId="0" applyFont="1" applyBorder="1"/>
    <xf numFmtId="172" fontId="57" fillId="0" borderId="44" xfId="0" applyNumberFormat="1" applyFont="1" applyBorder="1"/>
    <xf numFmtId="0" fontId="12" fillId="0" borderId="0" xfId="4" applyFont="1"/>
    <xf numFmtId="0" fontId="32" fillId="38" borderId="55" xfId="0" applyFont="1" applyFill="1" applyBorder="1" applyAlignment="1">
      <alignment horizontal="centerContinuous" vertical="center"/>
    </xf>
    <xf numFmtId="0" fontId="32" fillId="38" borderId="27" xfId="0" applyFont="1" applyFill="1" applyBorder="1" applyAlignment="1">
      <alignment horizontal="centerContinuous" vertical="center"/>
    </xf>
    <xf numFmtId="0" fontId="49" fillId="23" borderId="18" xfId="0" applyFont="1" applyFill="1" applyBorder="1" applyAlignment="1">
      <alignment horizontal="center" vertical="center"/>
    </xf>
    <xf numFmtId="0" fontId="31" fillId="23" borderId="59" xfId="0" applyFont="1" applyFill="1" applyBorder="1" applyAlignment="1">
      <alignment horizontal="centerContinuous" vertical="center"/>
    </xf>
    <xf numFmtId="0" fontId="31" fillId="23" borderId="61" xfId="0" applyFont="1" applyFill="1" applyBorder="1" applyAlignment="1">
      <alignment horizontal="centerContinuous" vertical="center"/>
    </xf>
    <xf numFmtId="9" fontId="45" fillId="0" borderId="82" xfId="39" applyNumberFormat="1" applyFont="1" applyFill="1" applyBorder="1" applyAlignment="1">
      <alignment horizontal="center" vertical="center"/>
    </xf>
    <xf numFmtId="9" fontId="45" fillId="0" borderId="50" xfId="39" applyNumberFormat="1" applyFont="1" applyFill="1" applyBorder="1" applyAlignment="1">
      <alignment horizontal="center" vertical="center"/>
    </xf>
    <xf numFmtId="9" fontId="45" fillId="0" borderId="49" xfId="39" applyNumberFormat="1" applyFont="1" applyFill="1" applyBorder="1" applyAlignment="1">
      <alignment horizontal="center" vertical="center"/>
    </xf>
    <xf numFmtId="0" fontId="31" fillId="39" borderId="83" xfId="0" applyFont="1" applyFill="1" applyBorder="1" applyAlignment="1">
      <alignment horizontal="center" vertical="center"/>
    </xf>
    <xf numFmtId="0" fontId="31" fillId="26" borderId="18" xfId="0" applyFont="1" applyFill="1" applyBorder="1" applyAlignment="1">
      <alignment horizontal="center" vertical="center"/>
    </xf>
    <xf numFmtId="0" fontId="31" fillId="39" borderId="61" xfId="0" applyFont="1" applyFill="1" applyBorder="1" applyAlignment="1">
      <alignment horizontal="center" vertical="center"/>
    </xf>
    <xf numFmtId="0" fontId="31" fillId="26" borderId="4" xfId="0" applyFont="1" applyFill="1" applyBorder="1" applyAlignment="1">
      <alignment horizontal="center" vertical="center"/>
    </xf>
    <xf numFmtId="9" fontId="44" fillId="0" borderId="0" xfId="39" applyNumberFormat="1" applyFont="1" applyFill="1" applyBorder="1" applyAlignment="1">
      <alignment horizontal="left"/>
    </xf>
    <xf numFmtId="0" fontId="44" fillId="0" borderId="0" xfId="39" applyFont="1" applyFill="1" applyBorder="1" applyAlignment="1">
      <alignment horizontal="left"/>
    </xf>
    <xf numFmtId="0" fontId="49" fillId="21" borderId="0" xfId="0" applyFont="1" applyFill="1"/>
    <xf numFmtId="0" fontId="34" fillId="32" borderId="0" xfId="0" applyFont="1" applyFill="1"/>
    <xf numFmtId="0" fontId="99" fillId="32" borderId="0" xfId="0" applyFont="1" applyFill="1" applyAlignment="1">
      <alignment horizontal="centerContinuous"/>
    </xf>
    <xf numFmtId="0" fontId="100" fillId="32" borderId="0" xfId="0" applyFont="1" applyFill="1" applyAlignment="1">
      <alignment horizontal="centerContinuous"/>
    </xf>
    <xf numFmtId="0" fontId="101" fillId="37" borderId="0" xfId="0" applyFont="1" applyFill="1" applyAlignment="1">
      <alignment horizontal="centerContinuous"/>
    </xf>
    <xf numFmtId="0" fontId="102" fillId="37" borderId="0" xfId="0" applyFont="1" applyFill="1" applyAlignment="1">
      <alignment horizontal="centerContinuous"/>
    </xf>
    <xf numFmtId="0" fontId="12" fillId="24" borderId="37" xfId="0" applyFont="1" applyFill="1" applyBorder="1"/>
    <xf numFmtId="0" fontId="12" fillId="0" borderId="37" xfId="0" applyFont="1" applyBorder="1"/>
    <xf numFmtId="0" fontId="12" fillId="24" borderId="18" xfId="0" applyFont="1" applyFill="1" applyBorder="1"/>
    <xf numFmtId="16" fontId="12" fillId="26" borderId="16" xfId="39" quotePrefix="1" applyNumberFormat="1"/>
    <xf numFmtId="0" fontId="32" fillId="32" borderId="29" xfId="47" applyFont="1" applyFill="1" applyBorder="1"/>
    <xf numFmtId="0" fontId="32" fillId="32" borderId="23" xfId="47" applyFont="1" applyFill="1" applyBorder="1"/>
    <xf numFmtId="0" fontId="31" fillId="28" borderId="29" xfId="44" applyFont="1" applyBorder="1"/>
    <xf numFmtId="0" fontId="31" fillId="28" borderId="23" xfId="44" applyFont="1" applyBorder="1"/>
    <xf numFmtId="0" fontId="31" fillId="30" borderId="29" xfId="46" applyFont="1" applyBorder="1"/>
    <xf numFmtId="0" fontId="31" fillId="30" borderId="23" xfId="46" applyFont="1" applyBorder="1"/>
    <xf numFmtId="0" fontId="31" fillId="35" borderId="29" xfId="45" applyFont="1" applyFill="1" applyBorder="1"/>
    <xf numFmtId="0" fontId="31" fillId="35" borderId="23" xfId="45" applyFont="1" applyFill="1" applyBorder="1"/>
    <xf numFmtId="0" fontId="57" fillId="40" borderId="29" xfId="46" applyFont="1" applyFill="1" applyBorder="1"/>
    <xf numFmtId="0" fontId="57" fillId="40" borderId="29" xfId="47" applyFont="1" applyFill="1" applyBorder="1"/>
    <xf numFmtId="0" fontId="57" fillId="40" borderId="23" xfId="46" applyFont="1" applyFill="1" applyBorder="1"/>
    <xf numFmtId="165" fontId="46" fillId="0" borderId="0" xfId="1" applyFont="1" applyFill="1"/>
    <xf numFmtId="0" fontId="11" fillId="37" borderId="0" xfId="0" applyFont="1" applyFill="1" applyAlignment="1">
      <alignment wrapText="1"/>
    </xf>
    <xf numFmtId="167" fontId="57" fillId="0" borderId="10" xfId="0" applyNumberFormat="1" applyFont="1" applyBorder="1"/>
    <xf numFmtId="2" fontId="57" fillId="0" borderId="10" xfId="0" applyNumberFormat="1" applyFont="1" applyBorder="1"/>
    <xf numFmtId="2" fontId="57" fillId="0" borderId="0" xfId="0" applyNumberFormat="1" applyFont="1"/>
    <xf numFmtId="0" fontId="57" fillId="0" borderId="10" xfId="0" applyFont="1" applyBorder="1" applyAlignment="1">
      <alignment horizontal="left"/>
    </xf>
    <xf numFmtId="0" fontId="103" fillId="0" borderId="0" xfId="0" applyFont="1" applyAlignment="1">
      <alignment horizontal="left"/>
    </xf>
    <xf numFmtId="0" fontId="29" fillId="5" borderId="0" xfId="0" applyFont="1" applyFill="1" applyAlignment="1">
      <alignment vertical="center"/>
    </xf>
    <xf numFmtId="183" fontId="82" fillId="0" borderId="0" xfId="15" applyNumberFormat="1" applyFont="1" applyFill="1" applyBorder="1"/>
    <xf numFmtId="184" fontId="0" fillId="0" borderId="0" xfId="0" applyNumberFormat="1"/>
    <xf numFmtId="0" fontId="54" fillId="0" borderId="1" xfId="0" applyFont="1" applyBorder="1"/>
    <xf numFmtId="4" fontId="0" fillId="0" borderId="1" xfId="0" applyNumberFormat="1" applyBorder="1"/>
    <xf numFmtId="166" fontId="104" fillId="0" borderId="0" xfId="1" applyNumberFormat="1" applyFont="1" applyFill="1" applyBorder="1"/>
    <xf numFmtId="165" fontId="12" fillId="43" borderId="16" xfId="39" applyNumberFormat="1" applyFill="1"/>
    <xf numFmtId="43" fontId="0" fillId="0" borderId="0" xfId="0" applyNumberFormat="1"/>
    <xf numFmtId="0" fontId="8" fillId="0" borderId="0" xfId="4"/>
    <xf numFmtId="185" fontId="0" fillId="0" borderId="0" xfId="0" applyNumberFormat="1"/>
    <xf numFmtId="165" fontId="104" fillId="0" borderId="0" xfId="1" applyFont="1"/>
    <xf numFmtId="9" fontId="12" fillId="26" borderId="16" xfId="2" applyFont="1" applyFill="1" applyBorder="1"/>
    <xf numFmtId="10" fontId="0" fillId="0" borderId="0" xfId="2" applyNumberFormat="1" applyFont="1"/>
    <xf numFmtId="0" fontId="12" fillId="24" borderId="38" xfId="0" applyFont="1" applyFill="1" applyBorder="1"/>
    <xf numFmtId="0" fontId="105" fillId="0" borderId="0" xfId="50" applyFont="1"/>
    <xf numFmtId="0" fontId="106" fillId="0" borderId="0" xfId="50" applyFont="1" applyAlignment="1">
      <alignment wrapText="1"/>
    </xf>
    <xf numFmtId="0" fontId="105" fillId="0" borderId="0" xfId="50" applyFont="1" applyAlignment="1">
      <alignment wrapText="1"/>
    </xf>
    <xf numFmtId="164" fontId="107" fillId="0" borderId="0" xfId="0" applyNumberFormat="1" applyFont="1"/>
    <xf numFmtId="0" fontId="107" fillId="0" borderId="0" xfId="0" applyFont="1"/>
    <xf numFmtId="164" fontId="108" fillId="0" borderId="0" xfId="0" applyNumberFormat="1" applyFont="1"/>
    <xf numFmtId="164" fontId="109" fillId="0" borderId="0" xfId="0" applyNumberFormat="1" applyFont="1"/>
    <xf numFmtId="164" fontId="107" fillId="0" borderId="0" xfId="0" applyNumberFormat="1" applyFont="1" applyAlignment="1">
      <alignment vertical="center"/>
    </xf>
    <xf numFmtId="0" fontId="107" fillId="0" borderId="0" xfId="0" applyFont="1" applyAlignment="1">
      <alignment vertical="center"/>
    </xf>
    <xf numFmtId="164" fontId="110" fillId="42" borderId="80" xfId="0" applyNumberFormat="1" applyFont="1" applyFill="1" applyBorder="1" applyAlignment="1">
      <alignment vertical="center"/>
    </xf>
    <xf numFmtId="164" fontId="110" fillId="42" borderId="81" xfId="0" applyNumberFormat="1" applyFont="1" applyFill="1" applyBorder="1" applyAlignment="1">
      <alignment horizontal="left" vertical="center"/>
    </xf>
    <xf numFmtId="164" fontId="107" fillId="0" borderId="0" xfId="0" applyNumberFormat="1" applyFont="1" applyAlignment="1">
      <alignment horizontal="left" vertical="center"/>
    </xf>
    <xf numFmtId="164" fontId="110" fillId="32" borderId="62" xfId="0" applyNumberFormat="1" applyFont="1" applyFill="1" applyBorder="1" applyAlignment="1">
      <alignment vertical="center"/>
    </xf>
    <xf numFmtId="164" fontId="107" fillId="0" borderId="62" xfId="0" applyNumberFormat="1" applyFont="1" applyBorder="1" applyAlignment="1">
      <alignment horizontal="left" vertical="center"/>
    </xf>
    <xf numFmtId="164" fontId="110" fillId="32" borderId="63" xfId="0" applyNumberFormat="1" applyFont="1" applyFill="1" applyBorder="1" applyAlignment="1">
      <alignment vertical="center"/>
    </xf>
    <xf numFmtId="164" fontId="107" fillId="0" borderId="79" xfId="0" applyNumberFormat="1" applyFont="1" applyBorder="1" applyAlignment="1">
      <alignment horizontal="left" vertical="center"/>
    </xf>
    <xf numFmtId="164" fontId="110" fillId="32" borderId="64" xfId="0" applyNumberFormat="1" applyFont="1" applyFill="1" applyBorder="1" applyAlignment="1">
      <alignment vertical="center"/>
    </xf>
    <xf numFmtId="164" fontId="107" fillId="0" borderId="78" xfId="0" applyNumberFormat="1" applyFont="1" applyBorder="1" applyAlignment="1">
      <alignment horizontal="left" vertical="center"/>
    </xf>
    <xf numFmtId="164" fontId="111" fillId="37" borderId="65" xfId="0" applyNumberFormat="1" applyFont="1" applyFill="1" applyBorder="1" applyAlignment="1">
      <alignment vertical="center"/>
    </xf>
    <xf numFmtId="164" fontId="107" fillId="0" borderId="65" xfId="0" applyNumberFormat="1" applyFont="1" applyBorder="1" applyAlignment="1">
      <alignment horizontal="left" vertical="center"/>
    </xf>
    <xf numFmtId="164" fontId="111" fillId="37" borderId="66" xfId="0" applyNumberFormat="1" applyFont="1" applyFill="1" applyBorder="1" applyAlignment="1">
      <alignment vertical="center"/>
    </xf>
    <xf numFmtId="164" fontId="107" fillId="0" borderId="74" xfId="0" applyNumberFormat="1" applyFont="1" applyBorder="1" applyAlignment="1">
      <alignment horizontal="left" vertical="center"/>
    </xf>
    <xf numFmtId="164" fontId="111" fillId="41" borderId="67" xfId="0" applyNumberFormat="1" applyFont="1" applyFill="1" applyBorder="1" applyAlignment="1">
      <alignment vertical="center"/>
    </xf>
    <xf numFmtId="164" fontId="107" fillId="0" borderId="73" xfId="0" applyNumberFormat="1" applyFont="1" applyBorder="1" applyAlignment="1">
      <alignment horizontal="left" vertical="center"/>
    </xf>
    <xf numFmtId="164" fontId="111" fillId="41" borderId="68" xfId="0" applyNumberFormat="1" applyFont="1" applyFill="1" applyBorder="1" applyAlignment="1">
      <alignment vertical="center"/>
    </xf>
    <xf numFmtId="164" fontId="107" fillId="0" borderId="75" xfId="0" applyNumberFormat="1" applyFont="1" applyBorder="1" applyAlignment="1">
      <alignment horizontal="left" vertical="center"/>
    </xf>
    <xf numFmtId="164" fontId="111" fillId="21" borderId="69" xfId="0" applyNumberFormat="1" applyFont="1" applyFill="1" applyBorder="1" applyAlignment="1">
      <alignment vertical="center"/>
    </xf>
    <xf numFmtId="164" fontId="107" fillId="0" borderId="70" xfId="0" applyNumberFormat="1" applyFont="1" applyBorder="1" applyAlignment="1">
      <alignment horizontal="left" vertical="center"/>
    </xf>
    <xf numFmtId="164" fontId="111" fillId="21" borderId="71" xfId="0" applyNumberFormat="1" applyFont="1" applyFill="1" applyBorder="1" applyAlignment="1">
      <alignment vertical="center"/>
    </xf>
    <xf numFmtId="164" fontId="107" fillId="0" borderId="76" xfId="0" applyNumberFormat="1" applyFont="1" applyBorder="1" applyAlignment="1">
      <alignment horizontal="left" vertical="center"/>
    </xf>
    <xf numFmtId="164" fontId="111" fillId="21" borderId="72" xfId="0" applyNumberFormat="1" applyFont="1" applyFill="1" applyBorder="1" applyAlignment="1">
      <alignment vertical="center"/>
    </xf>
    <xf numFmtId="164" fontId="107" fillId="0" borderId="77" xfId="0" applyNumberFormat="1" applyFont="1" applyBorder="1" applyAlignment="1">
      <alignment horizontal="left" vertical="center"/>
    </xf>
    <xf numFmtId="164" fontId="111" fillId="40" borderId="84" xfId="0" applyNumberFormat="1" applyFont="1" applyFill="1" applyBorder="1" applyAlignment="1">
      <alignment vertical="center"/>
    </xf>
    <xf numFmtId="164" fontId="107" fillId="0" borderId="84" xfId="0" applyNumberFormat="1" applyFont="1" applyBorder="1" applyAlignment="1">
      <alignment horizontal="left" vertical="center"/>
    </xf>
    <xf numFmtId="0" fontId="108" fillId="0" borderId="0" xfId="50" applyFont="1"/>
  </cellXfs>
  <cellStyles count="51">
    <cellStyle name="60% - Accent3" xfId="44" builtinId="40"/>
    <cellStyle name="60% - Accent4" xfId="45" builtinId="44"/>
    <cellStyle name="60% - Accent5" xfId="46" builtinId="48"/>
    <cellStyle name="60% - Accent6" xfId="47" builtinId="52"/>
    <cellStyle name="Accent4 2" xfId="34" xr:uid="{A6EAF9BB-055B-4BA2-B362-6ECB58D052DE}"/>
    <cellStyle name="Accent6 2" xfId="35" xr:uid="{1379BB24-B3E1-4807-8E0F-3FD7E691E37D}"/>
    <cellStyle name="Bad 2" xfId="26" xr:uid="{9F69D69D-B741-4C19-A92A-809D8E5194F0}"/>
    <cellStyle name="Calculation 2" xfId="30" xr:uid="{A0144DAC-11DA-474A-89A0-05BD7E9A4FB5}"/>
    <cellStyle name="Comma" xfId="1" builtinId="3"/>
    <cellStyle name="Comma 2" xfId="3" xr:uid="{1D59DFBB-6D8F-4AC9-8576-6EC25F4DBD4F}"/>
    <cellStyle name="Comma 2 2" xfId="15" xr:uid="{5D1DC1D0-259E-4A01-8A13-E11ACBF11B9F}"/>
    <cellStyle name="Comma 3" xfId="42" xr:uid="{E884A139-EC9D-4DE1-8F36-BC91DAF72AB4}"/>
    <cellStyle name="Currency" xfId="5" builtinId="4"/>
    <cellStyle name="EIBad" xfId="18" xr:uid="{8D6CB57D-D687-46F7-9CEC-353DFC79907B}"/>
    <cellStyle name="EIGood" xfId="6" xr:uid="{162D4260-2853-4424-8309-5EEE3A20328F}"/>
    <cellStyle name="EINumber" xfId="16" xr:uid="{1AC96C1B-C0BD-4845-BFCA-9F5774C7A2C7}"/>
    <cellStyle name="Good" xfId="40" builtinId="26"/>
    <cellStyle name="Heading 1 2" xfId="21" xr:uid="{362E19D7-A60D-4C0F-BE98-7B53EB4B3C6B}"/>
    <cellStyle name="Heading 2 2" xfId="22" xr:uid="{4C1E55A4-B9A5-4360-894B-A5F4D79456E8}"/>
    <cellStyle name="Heading 3 2" xfId="23" xr:uid="{BF8054AD-18C9-4421-B3DF-417E120C4E86}"/>
    <cellStyle name="Heading 4 2" xfId="28" xr:uid="{4CC0F5F0-DD90-444F-BF63-AAEA7331680B}"/>
    <cellStyle name="Hyperlink" xfId="4" builtinId="8"/>
    <cellStyle name="Hyperlink 2" xfId="49" xr:uid="{5053E5AD-169B-4F93-B6F6-42AA6507806D}"/>
    <cellStyle name="Input" xfId="39" builtinId="20" customBuiltin="1"/>
    <cellStyle name="Link" xfId="31" xr:uid="{9A475920-8EFA-491B-A3D7-536DEA5E66D9}"/>
    <cellStyle name="Normal" xfId="0" builtinId="0" customBuiltin="1"/>
    <cellStyle name="Normal 10" xfId="50" xr:uid="{CDB93BE6-9DBB-4DEC-B799-680E3566C231}"/>
    <cellStyle name="Normal 14 2 2" xfId="13" xr:uid="{F36085C7-444B-4CE6-8659-615567D4E4BB}"/>
    <cellStyle name="Normal 2" xfId="8" xr:uid="{5F495D9A-5687-4817-A660-6426E3D01CEE}"/>
    <cellStyle name="Normal 2 2" xfId="9" xr:uid="{A7C2243B-5753-441E-8282-A9E4C7040130}"/>
    <cellStyle name="Normal 2 2 2" xfId="37" xr:uid="{FC28F490-67A6-4FF7-9148-91E279A263F7}"/>
    <cellStyle name="Normal 2 3" xfId="36" xr:uid="{3E5C25A8-2397-4423-8C53-70F2EF5AD339}"/>
    <cellStyle name="Normal 3" xfId="10" xr:uid="{53722F73-C726-4688-B0C3-1E0B67D0BDC8}"/>
    <cellStyle name="Normal 3 2" xfId="38" xr:uid="{68909992-39C0-45D3-AB5C-5DFFF346FC50}"/>
    <cellStyle name="Normal 4" xfId="11" xr:uid="{ECE83A8F-A0FC-4479-8347-E2151AB11971}"/>
    <cellStyle name="Normal 5" xfId="12" xr:uid="{7B0D1B18-6A1D-4C7C-B9EC-E5EC93038377}"/>
    <cellStyle name="Normal 6" xfId="7" xr:uid="{8700B18F-B861-4E92-8DEE-C310D4AEA891}"/>
    <cellStyle name="Normal 7" xfId="14" xr:uid="{2C44FC4D-8C68-4D0A-B91C-1DABA04ECBDE}"/>
    <cellStyle name="Normal 8" xfId="19" xr:uid="{7029EC1E-3FB1-4721-8F9C-79D0A2E84EA4}"/>
    <cellStyle name="Normal 9" xfId="41" xr:uid="{2F83968A-0E78-4D16-B039-540B0D1E0B09}"/>
    <cellStyle name="Notes" xfId="33" xr:uid="{77770A9C-EACE-4205-9253-991E27EC7ECA}"/>
    <cellStyle name="Number" xfId="17" xr:uid="{4B08FCB2-4906-47F7-959B-58292F2DB1BB}"/>
    <cellStyle name="Output 2" xfId="20" xr:uid="{62C1C4EE-FC9D-4A92-BD4A-65E704362567}"/>
    <cellStyle name="Percent" xfId="2" builtinId="5"/>
    <cellStyle name="Percent 2" xfId="43" xr:uid="{006AFC84-A168-471E-8082-E648DD33E607}"/>
    <cellStyle name="Percent 4" xfId="48" xr:uid="{0F3A0156-B5B0-4D5D-988B-09EC2AFD1732}"/>
    <cellStyle name="Raw Data" xfId="24" xr:uid="{AFE68478-287E-4C47-82CA-AE60E120AF8B}"/>
    <cellStyle name="Title 2" xfId="27" xr:uid="{4F0605CB-068F-4934-A267-53E644D90042}"/>
    <cellStyle name="Total 2" xfId="29" xr:uid="{78D1F6D2-8837-4CF6-9F78-7E2A8EB93339}"/>
    <cellStyle name="Variables" xfId="25" xr:uid="{64E997DB-3F9D-4673-BA8D-E2C12E364D79}"/>
    <cellStyle name="Warning" xfId="32" xr:uid="{09A6094A-3739-43EA-BD2B-754B276745FF}"/>
  </cellStyles>
  <dxfs count="185">
    <dxf>
      <font>
        <color theme="7"/>
      </font>
      <fill>
        <patternFill>
          <bgColor theme="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theme="8" tint="0.749961851863155"/>
        </patternFill>
      </fill>
    </dxf>
    <dxf>
      <fill>
        <patternFill>
          <bgColor rgb="FFC4EBEE"/>
        </patternFill>
      </fill>
    </dxf>
    <dxf>
      <fill>
        <patternFill>
          <bgColor theme="8" tint="0.89996032593768116"/>
        </patternFill>
      </fill>
    </dxf>
    <dxf>
      <font>
        <color theme="6" tint="0.79998168889431442"/>
      </font>
      <fill>
        <patternFill>
          <bgColor theme="6" tint="0.79998168889431442"/>
        </patternFill>
      </fill>
    </dxf>
    <dxf>
      <fill>
        <patternFill>
          <bgColor theme="6" tint="0.79998168889431442"/>
        </patternFill>
      </fill>
    </dxf>
    <dxf>
      <font>
        <strike val="0"/>
        <outline val="0"/>
        <shadow val="0"/>
        <u val="none"/>
        <vertAlign val="baseline"/>
        <name val="Arial"/>
        <family val="2"/>
        <scheme val="none"/>
      </font>
    </dxf>
    <dxf>
      <font>
        <strike val="0"/>
        <outline val="0"/>
        <shadow val="0"/>
        <u val="none"/>
        <vertAlign val="baseline"/>
        <name val="Arial"/>
        <family val="2"/>
        <scheme val="none"/>
      </font>
      <numFmt numFmtId="0" formatCode="Genera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numFmt numFmtId="0" formatCode="Genera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border diagonalUp="0" diagonalDown="0" outline="0">
        <left style="thin">
          <color indexed="64"/>
        </left>
        <right style="thin">
          <color indexed="64"/>
        </right>
        <top style="thin">
          <color indexed="64"/>
        </top>
        <bottom/>
      </border>
    </dxf>
    <dxf>
      <font>
        <strike val="0"/>
        <outline val="0"/>
        <shadow val="0"/>
        <u val="none"/>
        <vertAlign val="baseline"/>
        <name val="Arial"/>
        <family val="2"/>
        <scheme val="none"/>
      </font>
      <border diagonalUp="0" diagonalDown="0" outline="0">
        <left style="thin">
          <color indexed="64"/>
        </left>
        <right/>
        <top style="thin">
          <color indexed="64"/>
        </top>
        <bottom/>
      </border>
    </dxf>
    <dxf>
      <font>
        <strike val="0"/>
        <outline val="0"/>
        <shadow val="0"/>
        <u val="none"/>
        <vertAlign val="baseline"/>
        <name val="Arial"/>
        <family val="2"/>
        <scheme val="none"/>
      </font>
      <border diagonalUp="0" diagonalDown="0" outline="0">
        <left style="thin">
          <color indexed="64"/>
        </left>
        <right/>
        <top style="thin">
          <color indexed="64"/>
        </top>
        <bottom/>
      </border>
    </dxf>
    <dxf>
      <font>
        <strike val="0"/>
        <outline val="0"/>
        <shadow val="0"/>
        <u val="none"/>
        <vertAlign val="baseline"/>
        <name val="Arial"/>
        <family val="2"/>
        <scheme val="none"/>
      </font>
      <numFmt numFmtId="0" formatCode="General"/>
      <border diagonalUp="0" diagonalDown="0" outline="0">
        <left style="thin">
          <color indexed="64"/>
        </left>
        <right style="thin">
          <color indexed="64"/>
        </right>
        <top style="thin">
          <color indexed="64"/>
        </top>
        <bottom/>
      </border>
    </dxf>
    <dxf>
      <font>
        <strike val="0"/>
        <outline val="0"/>
        <shadow val="0"/>
        <u val="none"/>
        <vertAlign val="baseline"/>
        <name val="Arial"/>
        <family val="2"/>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numFmt numFmtId="0" formatCode="General"/>
      <border diagonalUp="0" diagonalDown="0" outline="0">
        <left/>
        <right style="thin">
          <color indexed="64"/>
        </right>
        <top style="thin">
          <color indexed="64"/>
        </top>
        <bottom/>
      </border>
    </dxf>
    <dxf>
      <font>
        <strike val="0"/>
        <outline val="0"/>
        <shadow val="0"/>
        <u val="none"/>
        <vertAlign val="baseline"/>
        <name val="Arial"/>
        <family val="2"/>
        <scheme val="none"/>
      </font>
      <border diagonalUp="0" diagonalDown="0" outline="0">
        <left style="thin">
          <color indexed="64"/>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border>
        <bottom style="thin">
          <color indexed="64"/>
        </bottom>
      </border>
    </dxf>
    <dxf>
      <font>
        <b/>
        <i val="0"/>
        <strike val="0"/>
        <condense val="0"/>
        <extend val="0"/>
        <outline val="0"/>
        <shadow val="0"/>
        <u val="none"/>
        <vertAlign val="baseline"/>
        <sz val="11"/>
        <color theme="1"/>
        <name val="Arial"/>
        <family val="2"/>
        <scheme val="none"/>
      </font>
      <border diagonalUp="0" diagonalDown="0" outline="0">
        <left style="thin">
          <color indexed="64"/>
        </left>
        <right style="thin">
          <color indexed="64"/>
        </right>
        <top/>
        <bottom/>
      </border>
    </dxf>
    <dxf>
      <fill>
        <patternFill>
          <bgColor rgb="FFD8EBF8"/>
        </patternFill>
      </fill>
    </dxf>
    <dxf>
      <font>
        <b/>
        <i val="0"/>
      </font>
    </dxf>
    <dxf>
      <font>
        <b/>
        <i val="0"/>
        <strike val="0"/>
        <color theme="0"/>
      </font>
      <fill>
        <patternFill patternType="solid">
          <fgColor indexed="64"/>
          <bgColor rgb="FF7FBEE9"/>
        </patternFill>
      </fill>
      <border>
        <left/>
        <right/>
        <top style="thin">
          <color rgb="FF3B9BDD"/>
        </top>
        <bottom style="thin">
          <color rgb="FF3B9BDD"/>
        </bottom>
        <vertical/>
        <horizontal/>
      </border>
    </dxf>
    <dxf>
      <fill>
        <patternFill>
          <bgColor theme="0"/>
        </patternFill>
      </fill>
      <border>
        <left style="thin">
          <color rgb="FF3B9BDD"/>
        </left>
        <right style="thin">
          <color rgb="FF3B9BDD"/>
        </right>
        <top style="thin">
          <color rgb="FF3B9BDD"/>
        </top>
        <bottom style="thin">
          <color rgb="FF3B9BDD"/>
        </bottom>
      </border>
    </dxf>
    <dxf>
      <fill>
        <patternFill>
          <bgColor rgb="FFEBF5F5"/>
        </patternFill>
      </fill>
    </dxf>
    <dxf>
      <fill>
        <patternFill>
          <bgColor rgb="FFEBF5F5"/>
        </patternFill>
      </fill>
    </dxf>
    <dxf>
      <font>
        <b/>
        <i val="0"/>
      </font>
      <fill>
        <patternFill>
          <bgColor theme="0"/>
        </patternFill>
      </fill>
      <border diagonalUp="0" diagonalDown="0">
        <left/>
        <right/>
        <top/>
        <bottom/>
        <vertical/>
        <horizontal/>
      </border>
    </dxf>
    <dxf>
      <fill>
        <patternFill>
          <bgColor rgb="FF4E9392"/>
        </patternFill>
      </fill>
    </dxf>
    <dxf>
      <border>
        <left style="thin">
          <color rgb="FF4E9392"/>
        </left>
        <right style="thin">
          <color rgb="FF4E9392"/>
        </right>
        <top/>
        <bottom/>
        <horizontal/>
      </border>
    </dxf>
    <dxf>
      <fill>
        <patternFill>
          <bgColor rgb="FFE5F2FB"/>
        </patternFill>
      </fill>
    </dxf>
    <dxf>
      <font>
        <b/>
        <i val="0"/>
      </font>
    </dxf>
    <dxf>
      <font>
        <b/>
        <i val="0"/>
        <color theme="0"/>
      </font>
      <fill>
        <patternFill patternType="none">
          <bgColor auto="1"/>
        </patternFill>
      </fill>
      <border diagonalUp="0" diagonalDown="0">
        <left/>
        <right/>
        <top style="thin">
          <color rgb="FF7FBEE9"/>
        </top>
        <bottom style="thin">
          <color rgb="FF7FBEE9"/>
        </bottom>
        <vertical/>
        <horizontal/>
      </border>
    </dxf>
    <dxf>
      <border>
        <left style="thin">
          <color rgb="FF7FBEE9"/>
        </left>
        <right style="thin">
          <color rgb="FF7FBEE9"/>
        </right>
        <top style="thin">
          <color rgb="FF7FBEE9"/>
        </top>
        <bottom style="thin">
          <color rgb="FF7FBEE9"/>
        </bottom>
        <vertical/>
        <horizontal style="thin">
          <color rgb="FF7FBEE9"/>
        </horizontal>
      </border>
    </dxf>
    <dxf>
      <fill>
        <patternFill>
          <bgColor rgb="FFE5F2FB"/>
        </patternFill>
      </fill>
    </dxf>
    <dxf>
      <font>
        <b/>
        <i val="0"/>
      </font>
    </dxf>
    <dxf>
      <font>
        <b/>
        <i val="0"/>
        <color theme="0"/>
      </font>
      <fill>
        <patternFill>
          <bgColor rgb="FF7FBEE9"/>
        </patternFill>
      </fill>
    </dxf>
    <dxf>
      <border>
        <left style="thin">
          <color rgb="FF7FBEE9"/>
        </left>
        <right style="thin">
          <color rgb="FF7FBEE9"/>
        </right>
        <top style="thin">
          <color rgb="FF7FBEE9"/>
        </top>
        <bottom style="thin">
          <color rgb="FF7FBEE9"/>
        </bottom>
        <vertical/>
        <horizontal style="thin">
          <color rgb="FF7FBEE9"/>
        </horizontal>
      </border>
    </dxf>
    <dxf>
      <fill>
        <patternFill>
          <bgColor rgb="FFEBF5F5"/>
        </patternFill>
      </fill>
    </dxf>
    <dxf>
      <fill>
        <patternFill>
          <bgColor rgb="FFEBF5F5"/>
        </patternFill>
      </fill>
    </dxf>
    <dxf>
      <font>
        <b/>
        <i val="0"/>
      </font>
    </dxf>
    <dxf>
      <fill>
        <patternFill>
          <bgColor rgb="FF4E9392"/>
        </patternFill>
      </fill>
    </dxf>
    <dxf>
      <border>
        <left style="thin">
          <color rgb="FF4E9392"/>
        </left>
        <right style="thin">
          <color rgb="FF4E9392"/>
        </right>
        <top style="thin">
          <color rgb="FF4E9392"/>
        </top>
        <bottom style="thin">
          <color rgb="FF4E9392"/>
        </bottom>
        <horizontal style="thin">
          <color rgb="FF4E9392"/>
        </horizontal>
      </border>
    </dxf>
    <dxf>
      <border>
        <left/>
        <right/>
        <top/>
        <bottom style="thick">
          <color theme="4"/>
        </bottom>
        <vertical/>
        <horizontal/>
      </border>
    </dxf>
    <dxf>
      <border>
        <left/>
        <right/>
        <top/>
        <bottom/>
        <vertical/>
        <horizontal style="dotted">
          <color theme="0" tint="-0.24994659260841701"/>
        </horizontal>
      </border>
    </dxf>
    <dxf>
      <fill>
        <patternFill>
          <bgColor theme="4" tint="0.79998168889431442"/>
        </patternFill>
      </fill>
    </dxf>
    <dxf>
      <fill>
        <patternFill>
          <bgColor theme="0"/>
        </patternFill>
      </fill>
    </dxf>
    <dxf>
      <border>
        <vertical style="thin">
          <color theme="4" tint="0.39994506668294322"/>
        </vertical>
        <horizontal style="thin">
          <color theme="4" tint="0.39994506668294322"/>
        </horizontal>
      </border>
    </dxf>
    <dxf>
      <fill>
        <patternFill>
          <bgColor rgb="FFE6E6E6"/>
        </patternFill>
      </fill>
    </dxf>
    <dxf>
      <font>
        <b/>
        <i val="0"/>
      </font>
    </dxf>
    <dxf>
      <font>
        <b/>
        <i val="0"/>
        <color theme="0"/>
      </font>
      <fill>
        <patternFill>
          <bgColor theme="4"/>
        </patternFill>
      </fill>
      <border diagonalUp="0" diagonalDown="0">
        <left/>
        <right/>
        <top/>
        <bottom style="thick">
          <color auto="1"/>
        </bottom>
        <vertical/>
        <horizontal/>
      </border>
    </dxf>
    <dxf>
      <font>
        <b/>
        <i val="0"/>
      </font>
    </dxf>
    <dxf>
      <font>
        <b/>
        <i val="0"/>
        <color auto="1"/>
      </font>
      <fill>
        <patternFill>
          <bgColor rgb="FFE6E6E6"/>
        </patternFill>
      </fill>
      <border diagonalUp="0" diagonalDown="0">
        <left/>
        <right/>
        <top/>
        <bottom/>
        <vertical/>
        <horizontal/>
      </border>
    </dxf>
    <dxf>
      <border diagonalUp="0" diagonalDown="0">
        <left/>
        <right/>
        <top/>
        <bottom/>
        <vertical/>
        <horizontal style="thin">
          <color rgb="FF7F7F7F"/>
        </horizontal>
      </border>
    </dxf>
    <dxf>
      <font>
        <b/>
        <i val="0"/>
      </font>
    </dxf>
    <dxf>
      <font>
        <b/>
        <i val="0"/>
        <color auto="1"/>
      </font>
      <fill>
        <patternFill>
          <bgColor rgb="FFE6E6E6"/>
        </patternFill>
      </fill>
      <border diagonalUp="0" diagonalDown="0">
        <left/>
        <right/>
        <top/>
        <bottom/>
        <vertical/>
        <horizontal/>
      </border>
    </dxf>
    <dxf>
      <font>
        <b/>
        <i val="0"/>
      </font>
    </dxf>
    <dxf>
      <font>
        <b/>
        <i val="0"/>
        <color theme="0"/>
      </font>
      <fill>
        <patternFill>
          <bgColor theme="4"/>
        </patternFill>
      </fill>
      <border diagonalUp="0" diagonalDown="0">
        <left/>
        <right/>
        <top/>
        <bottom/>
        <vertical/>
        <horizontal/>
      </border>
    </dxf>
    <dxf>
      <border diagonalUp="0" diagonalDown="0">
        <left/>
        <right/>
        <top/>
        <bottom/>
        <vertical/>
        <horizontal style="thin">
          <color rgb="FF7F7F7F"/>
        </horizontal>
      </border>
    </dxf>
    <dxf>
      <font>
        <b/>
        <i val="0"/>
      </font>
    </dxf>
    <dxf>
      <font>
        <b/>
        <i val="0"/>
        <color theme="0"/>
      </font>
      <fill>
        <patternFill>
          <bgColor theme="4"/>
        </patternFill>
      </fill>
      <border diagonalUp="0" diagonalDown="0">
        <left/>
        <right/>
        <top/>
        <bottom/>
        <vertical/>
        <horizontal/>
      </border>
    </dxf>
    <dxf>
      <font>
        <b/>
        <i val="0"/>
      </font>
    </dxf>
    <dxf>
      <font>
        <b/>
        <i val="0"/>
      </font>
      <border diagonalUp="0" diagonalDown="0">
        <left/>
        <right/>
        <top/>
        <bottom style="thick">
          <color rgb="FF7F7F7F"/>
        </bottom>
        <vertical/>
        <horizontal/>
      </border>
    </dxf>
    <dxf>
      <font>
        <b/>
        <i val="0"/>
      </font>
    </dxf>
    <dxf>
      <font>
        <b/>
        <i val="0"/>
      </font>
      <border diagonalUp="0" diagonalDown="0">
        <left/>
        <right/>
        <top/>
        <bottom style="thick">
          <color rgb="FF7F7F7F"/>
        </bottom>
        <vertical/>
        <horizontal/>
      </border>
    </dxf>
    <dxf>
      <border diagonalUp="0" diagonalDown="0">
        <left/>
        <right/>
        <top/>
        <bottom/>
        <vertical/>
        <horizontal style="thin">
          <color rgb="FF7F7F7F"/>
        </horizontal>
      </border>
    </dxf>
  </dxfs>
  <tableStyles count="15" defaultTableStyle="TableStyleMedium2" defaultPivotStyle="PivotStyleLight16">
    <tableStyle name="Firm Table 1" pivot="0" count="3" xr9:uid="{EFC745AA-1F08-446C-B9A1-B2E5ABB5F205}">
      <tableStyleElement type="wholeTable" dxfId="184"/>
      <tableStyleElement type="headerRow" dxfId="183"/>
      <tableStyleElement type="firstColumn" dxfId="182"/>
    </tableStyle>
    <tableStyle name="Firm Table 2" pivot="0" count="2" xr9:uid="{B568BAFD-43C3-4061-ADA6-5DBCAAF1B645}">
      <tableStyleElement type="headerRow" dxfId="181"/>
      <tableStyleElement type="firstColumn" dxfId="180"/>
    </tableStyle>
    <tableStyle name="Firm Table 3" pivot="0" count="2" xr9:uid="{70B1818E-B29F-44CE-8A46-A59F5C14AB41}">
      <tableStyleElement type="headerRow" dxfId="179"/>
      <tableStyleElement type="firstColumn" dxfId="178"/>
    </tableStyle>
    <tableStyle name="Firm Table 4" pivot="0" count="3" xr9:uid="{65F3C215-E1F6-48CC-9FF9-76C6CD3F9E35}">
      <tableStyleElement type="wholeTable" dxfId="177"/>
      <tableStyleElement type="headerRow" dxfId="176"/>
      <tableStyleElement type="firstColumn" dxfId="175"/>
    </tableStyle>
    <tableStyle name="Firm Table 5" pivot="0" count="2" xr9:uid="{AB7A3DB5-4A6E-4711-A9CB-703EC3775FD0}">
      <tableStyleElement type="headerRow" dxfId="174"/>
      <tableStyleElement type="firstColumn" dxfId="173"/>
    </tableStyle>
    <tableStyle name="Firm Table 6" pivot="0" count="3" xr9:uid="{3223B3A3-7B46-4767-B324-B27DAAF7E4D2}">
      <tableStyleElement type="wholeTable" dxfId="172"/>
      <tableStyleElement type="headerRow" dxfId="171"/>
      <tableStyleElement type="firstColumn" dxfId="170"/>
    </tableStyle>
    <tableStyle name="Firm Table 7" pivot="0" count="3" xr9:uid="{9F30643E-7896-44D7-B9DA-6A0ABD371D1C}">
      <tableStyleElement type="headerRow" dxfId="169"/>
      <tableStyleElement type="firstColumn" dxfId="168"/>
      <tableStyleElement type="secondRowStripe" dxfId="167"/>
    </tableStyle>
    <tableStyle name="PivotTable Style 1" table="0" count="0" xr9:uid="{3A69A7CE-E137-4BE7-9654-C243FAC5EDE4}"/>
    <tableStyle name="Table Style 3" pivot="0" count="3" xr9:uid="{C37E237D-DC31-4947-B830-3984367E682D}">
      <tableStyleElement type="wholeTable" dxfId="166"/>
      <tableStyleElement type="firstRowStripe" dxfId="165"/>
      <tableStyleElement type="secondRowStripe" dxfId="164"/>
    </tableStyle>
    <tableStyle name="Table Style 1" pivot="0" count="2" xr9:uid="{D75077A3-520C-4DF4-9D2E-4CBB746FD777}">
      <tableStyleElement type="wholeTable" dxfId="163"/>
      <tableStyleElement type="headerRow" dxfId="162"/>
    </tableStyle>
    <tableStyle name="Teal" pivot="0" count="5" xr9:uid="{C216D878-586A-45CE-B0B5-B0606A42AEBA}">
      <tableStyleElement type="wholeTable" dxfId="161"/>
      <tableStyleElement type="headerRow" dxfId="160"/>
      <tableStyleElement type="firstColumn" dxfId="159"/>
      <tableStyleElement type="firstRowStripe" dxfId="158"/>
      <tableStyleElement type="firstColumnStripe" dxfId="157"/>
    </tableStyle>
    <tableStyle name="Blue" pivot="0" count="4" xr9:uid="{875B404E-93F2-488E-B529-494ACE6C12AB}">
      <tableStyleElement type="wholeTable" dxfId="156"/>
      <tableStyleElement type="headerRow" dxfId="155"/>
      <tableStyleElement type="firstColumn" dxfId="154"/>
      <tableStyleElement type="firstColumnStripe" dxfId="153"/>
    </tableStyle>
    <tableStyle name="Blue Calibration" pivot="0" count="4" xr9:uid="{0EC66319-59F7-45F5-92D8-57E7E0EE3DE1}">
      <tableStyleElement type="wholeTable" dxfId="152"/>
      <tableStyleElement type="headerRow" dxfId="151"/>
      <tableStyleElement type="firstColumn" dxfId="150"/>
      <tableStyleElement type="firstColumnStripe" dxfId="149"/>
    </tableStyle>
    <tableStyle name="Teal-FirstColumnHidden" pivot="0" count="5" xr9:uid="{7E078F05-8DFD-4A07-88B6-59B5F52EE3BA}">
      <tableStyleElement type="wholeTable" dxfId="148"/>
      <tableStyleElement type="headerRow" dxfId="147"/>
      <tableStyleElement type="firstColumn" dxfId="146"/>
      <tableStyleElement type="firstRowStripe" dxfId="145"/>
      <tableStyleElement type="firstColumnStripe" dxfId="144"/>
    </tableStyle>
    <tableStyle name="Energy Insights Blue" pivot="0" count="4" xr9:uid="{E231D9F7-6FE2-49D0-BACE-CF6C142B8A54}">
      <tableStyleElement type="wholeTable" dxfId="143"/>
      <tableStyleElement type="headerRow" dxfId="142"/>
      <tableStyleElement type="firstColumn" dxfId="141"/>
      <tableStyleElement type="firstRowStripe" dxfId="140"/>
    </tableStyle>
  </tableStyles>
  <colors>
    <mruColors>
      <color rgb="FFC4EBEE"/>
      <color rgb="FFDBDEE1"/>
      <color rgb="FFFFCC99"/>
      <color rgb="FFF9F9F9"/>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'Dashboard - Tables'!$B$5</c:f>
          <c:strCache>
            <c:ptCount val="1"/>
            <c:pt idx="0">
              <c:v>New vessel TCO over time - Container - USDm/year</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a-DK"/>
        </a:p>
      </c:txPr>
    </c:title>
    <c:autoTitleDeleted val="0"/>
    <c:plotArea>
      <c:layout>
        <c:manualLayout>
          <c:layoutTarget val="inner"/>
          <c:xMode val="edge"/>
          <c:yMode val="edge"/>
          <c:x val="6.9581385626556122E-2"/>
          <c:y val="0.10590349195923529"/>
          <c:w val="0.66904556068085896"/>
          <c:h val="0.75139450498261817"/>
        </c:manualLayout>
      </c:layout>
      <c:scatterChart>
        <c:scatterStyle val="smoothMarker"/>
        <c:varyColors val="0"/>
        <c:ser>
          <c:idx val="0"/>
          <c:order val="0"/>
          <c:tx>
            <c:strRef>
              <c:f>'Dashboard - Tables'!$C$7</c:f>
              <c:strCache>
                <c:ptCount val="1"/>
                <c:pt idx="0">
                  <c:v>Vessel 1 - ICE - LSFO</c:v>
                </c:pt>
              </c:strCache>
            </c:strRef>
          </c:tx>
          <c:spPr>
            <a:ln w="76200" cap="rnd">
              <a:solidFill>
                <a:srgbClr val="2D2D37"/>
              </a:solidFill>
              <a:round/>
            </a:ln>
            <a:effectLst/>
          </c:spPr>
          <c:marker>
            <c:symbol val="none"/>
          </c:marker>
          <c:xVal>
            <c:numRef>
              <c:f>'Dashboard - Tables'!$D$6:$J$6</c:f>
              <c:numCache>
                <c:formatCode>General</c:formatCode>
                <c:ptCount val="7"/>
                <c:pt idx="0">
                  <c:v>2020</c:v>
                </c:pt>
                <c:pt idx="1">
                  <c:v>2025</c:v>
                </c:pt>
                <c:pt idx="2">
                  <c:v>2030</c:v>
                </c:pt>
                <c:pt idx="3">
                  <c:v>2035</c:v>
                </c:pt>
                <c:pt idx="4">
                  <c:v>2040</c:v>
                </c:pt>
                <c:pt idx="5">
                  <c:v>2045</c:v>
                </c:pt>
                <c:pt idx="6">
                  <c:v>2050</c:v>
                </c:pt>
              </c:numCache>
            </c:numRef>
          </c:xVal>
          <c:yVal>
            <c:numRef>
              <c:f>'Dashboard - Tables'!$D$7:$J$7</c:f>
              <c:numCache>
                <c:formatCode>_(* #,##0.0_);_(* \(#,##0.0\);_(* "-"??_);_(@_)</c:formatCode>
                <c:ptCount val="7"/>
                <c:pt idx="0">
                  <c:v>33.275406035527354</c:v>
                </c:pt>
                <c:pt idx="1">
                  <c:v>31.682473888508298</c:v>
                </c:pt>
                <c:pt idx="2">
                  <c:v>31.293502085166431</c:v>
                </c:pt>
                <c:pt idx="3">
                  <c:v>31.293502085166431</c:v>
                </c:pt>
                <c:pt idx="4">
                  <c:v>31.293502085166431</c:v>
                </c:pt>
                <c:pt idx="5">
                  <c:v>31.293502085166431</c:v>
                </c:pt>
                <c:pt idx="6">
                  <c:v>31.293502085166431</c:v>
                </c:pt>
              </c:numCache>
            </c:numRef>
          </c:yVal>
          <c:smooth val="1"/>
          <c:extLst>
            <c:ext xmlns:c16="http://schemas.microsoft.com/office/drawing/2014/chart" uri="{C3380CC4-5D6E-409C-BE32-E72D297353CC}">
              <c16:uniqueId val="{00000000-5628-408A-9F71-03759D7DDC15}"/>
            </c:ext>
          </c:extLst>
        </c:ser>
        <c:ser>
          <c:idx val="1"/>
          <c:order val="1"/>
          <c:tx>
            <c:strRef>
              <c:f>'Dashboard - Tables'!$C$8</c:f>
              <c:strCache>
                <c:ptCount val="1"/>
                <c:pt idx="0">
                  <c:v>Vessel 2 - ICE - LNG</c:v>
                </c:pt>
              </c:strCache>
            </c:strRef>
          </c:tx>
          <c:spPr>
            <a:ln w="76200" cap="rnd">
              <a:solidFill>
                <a:srgbClr val="D2D2D4"/>
              </a:solidFill>
              <a:round/>
            </a:ln>
            <a:effectLst/>
          </c:spPr>
          <c:marker>
            <c:symbol val="none"/>
          </c:marker>
          <c:xVal>
            <c:numRef>
              <c:f>'Dashboard - Tables'!$D$6:$J$6</c:f>
              <c:numCache>
                <c:formatCode>General</c:formatCode>
                <c:ptCount val="7"/>
                <c:pt idx="0">
                  <c:v>2020</c:v>
                </c:pt>
                <c:pt idx="1">
                  <c:v>2025</c:v>
                </c:pt>
                <c:pt idx="2">
                  <c:v>2030</c:v>
                </c:pt>
                <c:pt idx="3">
                  <c:v>2035</c:v>
                </c:pt>
                <c:pt idx="4">
                  <c:v>2040</c:v>
                </c:pt>
                <c:pt idx="5">
                  <c:v>2045</c:v>
                </c:pt>
                <c:pt idx="6">
                  <c:v>2050</c:v>
                </c:pt>
              </c:numCache>
            </c:numRef>
          </c:xVal>
          <c:yVal>
            <c:numRef>
              <c:f>'Dashboard - Tables'!$D$8:$J$8</c:f>
              <c:numCache>
                <c:formatCode>_(* #,##0.0_);_(* \(#,##0.0\);_(* "-"??_);_(@_)</c:formatCode>
                <c:ptCount val="7"/>
                <c:pt idx="0">
                  <c:v>35.901578218349698</c:v>
                </c:pt>
                <c:pt idx="1">
                  <c:v>32.420950152666776</c:v>
                </c:pt>
                <c:pt idx="2">
                  <c:v>31.469770488737598</c:v>
                </c:pt>
                <c:pt idx="3">
                  <c:v>31.41092325924706</c:v>
                </c:pt>
                <c:pt idx="4">
                  <c:v>31.343791183974783</c:v>
                </c:pt>
                <c:pt idx="5">
                  <c:v>31.300575188412381</c:v>
                </c:pt>
                <c:pt idx="6">
                  <c:v>31.280423138326622</c:v>
                </c:pt>
              </c:numCache>
            </c:numRef>
          </c:yVal>
          <c:smooth val="1"/>
          <c:extLst>
            <c:ext xmlns:c16="http://schemas.microsoft.com/office/drawing/2014/chart" uri="{C3380CC4-5D6E-409C-BE32-E72D297353CC}">
              <c16:uniqueId val="{00000001-5628-408A-9F71-03759D7DDC15}"/>
            </c:ext>
          </c:extLst>
        </c:ser>
        <c:ser>
          <c:idx val="2"/>
          <c:order val="2"/>
          <c:tx>
            <c:strRef>
              <c:f>'Dashboard - Tables'!$C$9</c:f>
              <c:strCache>
                <c:ptCount val="1"/>
                <c:pt idx="0">
                  <c:v>Vessel 3 - ICE - e-Ammonia</c:v>
                </c:pt>
              </c:strCache>
            </c:strRef>
          </c:tx>
          <c:spPr>
            <a:ln w="76200" cap="rnd">
              <a:solidFill>
                <a:srgbClr val="327869"/>
              </a:solidFill>
              <a:round/>
            </a:ln>
            <a:effectLst/>
          </c:spPr>
          <c:marker>
            <c:symbol val="none"/>
          </c:marker>
          <c:xVal>
            <c:numRef>
              <c:f>'Dashboard - Tables'!$D$6:$J$6</c:f>
              <c:numCache>
                <c:formatCode>General</c:formatCode>
                <c:ptCount val="7"/>
                <c:pt idx="0">
                  <c:v>2020</c:v>
                </c:pt>
                <c:pt idx="1">
                  <c:v>2025</c:v>
                </c:pt>
                <c:pt idx="2">
                  <c:v>2030</c:v>
                </c:pt>
                <c:pt idx="3">
                  <c:v>2035</c:v>
                </c:pt>
                <c:pt idx="4">
                  <c:v>2040</c:v>
                </c:pt>
                <c:pt idx="5">
                  <c:v>2045</c:v>
                </c:pt>
                <c:pt idx="6">
                  <c:v>2050</c:v>
                </c:pt>
              </c:numCache>
            </c:numRef>
          </c:xVal>
          <c:yVal>
            <c:numRef>
              <c:f>'Dashboard - Tables'!$D$9:$J$9</c:f>
              <c:numCache>
                <c:formatCode>_(* #,##0.0_);_(* \(#,##0.0\);_(* "-"??_);_(@_)</c:formatCode>
                <c:ptCount val="7"/>
                <c:pt idx="0">
                  <c:v>62.014638441486703</c:v>
                </c:pt>
                <c:pt idx="1">
                  <c:v>53.309642607958097</c:v>
                </c:pt>
                <c:pt idx="2">
                  <c:v>47.350836763906045</c:v>
                </c:pt>
                <c:pt idx="3">
                  <c:v>44.340268028900169</c:v>
                </c:pt>
                <c:pt idx="4">
                  <c:v>41.932070576176471</c:v>
                </c:pt>
                <c:pt idx="5">
                  <c:v>40.249798605063049</c:v>
                </c:pt>
                <c:pt idx="6">
                  <c:v>39.448011537327645</c:v>
                </c:pt>
              </c:numCache>
            </c:numRef>
          </c:yVal>
          <c:smooth val="1"/>
          <c:extLst>
            <c:ext xmlns:c16="http://schemas.microsoft.com/office/drawing/2014/chart" uri="{C3380CC4-5D6E-409C-BE32-E72D297353CC}">
              <c16:uniqueId val="{00000002-5628-408A-9F71-03759D7DDC15}"/>
            </c:ext>
          </c:extLst>
        </c:ser>
        <c:ser>
          <c:idx val="3"/>
          <c:order val="3"/>
          <c:tx>
            <c:strRef>
              <c:f>'Dashboard - Tables'!$C$10</c:f>
              <c:strCache>
                <c:ptCount val="1"/>
                <c:pt idx="0">
                  <c:v>Vessel 4 - ICE - Blue ammonia</c:v>
                </c:pt>
              </c:strCache>
            </c:strRef>
          </c:tx>
          <c:spPr>
            <a:ln w="76200" cap="rnd">
              <a:solidFill>
                <a:schemeClr val="accent5">
                  <a:lumMod val="50000"/>
                  <a:lumOff val="50000"/>
                </a:schemeClr>
              </a:solidFill>
              <a:round/>
            </a:ln>
            <a:effectLst/>
          </c:spPr>
          <c:marker>
            <c:symbol val="none"/>
          </c:marker>
          <c:xVal>
            <c:numRef>
              <c:f>'Dashboard - Tables'!$D$6:$J$6</c:f>
              <c:numCache>
                <c:formatCode>General</c:formatCode>
                <c:ptCount val="7"/>
                <c:pt idx="0">
                  <c:v>2020</c:v>
                </c:pt>
                <c:pt idx="1">
                  <c:v>2025</c:v>
                </c:pt>
                <c:pt idx="2">
                  <c:v>2030</c:v>
                </c:pt>
                <c:pt idx="3">
                  <c:v>2035</c:v>
                </c:pt>
                <c:pt idx="4">
                  <c:v>2040</c:v>
                </c:pt>
                <c:pt idx="5">
                  <c:v>2045</c:v>
                </c:pt>
                <c:pt idx="6">
                  <c:v>2050</c:v>
                </c:pt>
              </c:numCache>
            </c:numRef>
          </c:xVal>
          <c:yVal>
            <c:numRef>
              <c:f>'Dashboard - Tables'!$D$10:$J$10</c:f>
              <c:numCache>
                <c:formatCode>_(* #,##0.0_);_(* \(#,##0.0\);_(* "-"??_);_(@_)</c:formatCode>
                <c:ptCount val="7"/>
                <c:pt idx="0">
                  <c:v>53.285100702383552</c:v>
                </c:pt>
                <c:pt idx="1">
                  <c:v>46.927335862383636</c:v>
                </c:pt>
                <c:pt idx="2">
                  <c:v>44.885575236793372</c:v>
                </c:pt>
                <c:pt idx="3">
                  <c:v>44.614015017006146</c:v>
                </c:pt>
                <c:pt idx="4">
                  <c:v>44.363497049593569</c:v>
                </c:pt>
                <c:pt idx="5">
                  <c:v>44.193510760158752</c:v>
                </c:pt>
                <c:pt idx="6">
                  <c:v>44.106018426478776</c:v>
                </c:pt>
              </c:numCache>
            </c:numRef>
          </c:yVal>
          <c:smooth val="1"/>
          <c:extLst>
            <c:ext xmlns:c16="http://schemas.microsoft.com/office/drawing/2014/chart" uri="{C3380CC4-5D6E-409C-BE32-E72D297353CC}">
              <c16:uniqueId val="{00000003-5628-408A-9F71-03759D7DDC15}"/>
            </c:ext>
          </c:extLst>
        </c:ser>
        <c:ser>
          <c:idx val="4"/>
          <c:order val="4"/>
          <c:tx>
            <c:strRef>
              <c:f>'Dashboard - Tables'!$C$11</c:f>
              <c:strCache>
                <c:ptCount val="1"/>
                <c:pt idx="0">
                  <c:v>Vessel 5 - ICE - Biomethanol</c:v>
                </c:pt>
              </c:strCache>
            </c:strRef>
          </c:tx>
          <c:spPr>
            <a:ln w="76200" cap="rnd">
              <a:solidFill>
                <a:srgbClr val="E1AAAA"/>
              </a:solidFill>
              <a:round/>
            </a:ln>
            <a:effectLst/>
          </c:spPr>
          <c:marker>
            <c:symbol val="none"/>
          </c:marker>
          <c:xVal>
            <c:numRef>
              <c:f>'Dashboard - Tables'!$D$6:$J$6</c:f>
              <c:numCache>
                <c:formatCode>General</c:formatCode>
                <c:ptCount val="7"/>
                <c:pt idx="0">
                  <c:v>2020</c:v>
                </c:pt>
                <c:pt idx="1">
                  <c:v>2025</c:v>
                </c:pt>
                <c:pt idx="2">
                  <c:v>2030</c:v>
                </c:pt>
                <c:pt idx="3">
                  <c:v>2035</c:v>
                </c:pt>
                <c:pt idx="4">
                  <c:v>2040</c:v>
                </c:pt>
                <c:pt idx="5">
                  <c:v>2045</c:v>
                </c:pt>
                <c:pt idx="6">
                  <c:v>2050</c:v>
                </c:pt>
              </c:numCache>
            </c:numRef>
          </c:xVal>
          <c:yVal>
            <c:numRef>
              <c:f>'Dashboard - Tables'!$D$11:$J$11</c:f>
              <c:numCache>
                <c:formatCode>_(* #,##0.0_);_(* \(#,##0.0\);_(* "-"??_);_(@_)</c:formatCode>
                <c:ptCount val="7"/>
                <c:pt idx="0">
                  <c:v>53.376918056772212</c:v>
                </c:pt>
                <c:pt idx="1">
                  <c:v>48.06395051215231</c:v>
                </c:pt>
                <c:pt idx="2">
                  <c:v>45.539866522004019</c:v>
                </c:pt>
                <c:pt idx="3">
                  <c:v>44.198613537742553</c:v>
                </c:pt>
                <c:pt idx="4">
                  <c:v>43.284358897862241</c:v>
                </c:pt>
                <c:pt idx="5">
                  <c:v>42.791782575886721</c:v>
                </c:pt>
                <c:pt idx="6">
                  <c:v>42.545655733642235</c:v>
                </c:pt>
              </c:numCache>
            </c:numRef>
          </c:yVal>
          <c:smooth val="1"/>
          <c:extLst>
            <c:ext xmlns:c16="http://schemas.microsoft.com/office/drawing/2014/chart" uri="{C3380CC4-5D6E-409C-BE32-E72D297353CC}">
              <c16:uniqueId val="{00000004-5628-408A-9F71-03759D7DDC15}"/>
            </c:ext>
          </c:extLst>
        </c:ser>
        <c:dLbls>
          <c:showLegendKey val="0"/>
          <c:showVal val="0"/>
          <c:showCatName val="0"/>
          <c:showSerName val="0"/>
          <c:showPercent val="0"/>
          <c:showBubbleSize val="0"/>
        </c:dLbls>
        <c:axId val="553634080"/>
        <c:axId val="692014960"/>
      </c:scatterChart>
      <c:valAx>
        <c:axId val="553634080"/>
        <c:scaling>
          <c:orientation val="minMax"/>
          <c:max val="2050.5"/>
          <c:min val="2019.5"/>
        </c:scaling>
        <c:delete val="0"/>
        <c:axPos val="b"/>
        <c:numFmt formatCode="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a-DK"/>
          </a:p>
        </c:txPr>
        <c:crossAx val="692014960"/>
        <c:crosses val="autoZero"/>
        <c:crossBetween val="midCat"/>
      </c:valAx>
      <c:valAx>
        <c:axId val="6920149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a-DK"/>
          </a:p>
        </c:txPr>
        <c:crossAx val="553634080"/>
        <c:crosses val="autoZero"/>
        <c:crossBetween val="midCat"/>
      </c:valAx>
      <c:spPr>
        <a:noFill/>
        <a:ln>
          <a:noFill/>
        </a:ln>
        <a:effectLst/>
      </c:spPr>
    </c:plotArea>
    <c:legend>
      <c:legendPos val="r"/>
      <c:layout>
        <c:manualLayout>
          <c:xMode val="edge"/>
          <c:yMode val="edge"/>
          <c:x val="0.77891334265129419"/>
          <c:y val="0.262729080043277"/>
          <c:w val="0.2131344216903594"/>
          <c:h val="0.62934032783196325"/>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da-DK"/>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'Dashboard - Tables'!$B$5</c:f>
          <c:strCache>
            <c:ptCount val="1"/>
            <c:pt idx="0">
              <c:v>New vessel TCO over time - Container - USDm/year</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a-DK"/>
        </a:p>
      </c:txPr>
    </c:title>
    <c:autoTitleDeleted val="0"/>
    <c:plotArea>
      <c:layout>
        <c:manualLayout>
          <c:layoutTarget val="inner"/>
          <c:xMode val="edge"/>
          <c:yMode val="edge"/>
          <c:x val="6.9581385626556122E-2"/>
          <c:y val="0.10590349195923529"/>
          <c:w val="0.66904556068085896"/>
          <c:h val="0.75139450498261817"/>
        </c:manualLayout>
      </c:layout>
      <c:scatterChart>
        <c:scatterStyle val="smoothMarker"/>
        <c:varyColors val="0"/>
        <c:ser>
          <c:idx val="0"/>
          <c:order val="0"/>
          <c:tx>
            <c:strRef>
              <c:f>'Dashboard - Tables'!$C$7</c:f>
              <c:strCache>
                <c:ptCount val="1"/>
                <c:pt idx="0">
                  <c:v>Vessel 1 - ICE - LSFO</c:v>
                </c:pt>
              </c:strCache>
            </c:strRef>
          </c:tx>
          <c:spPr>
            <a:ln w="76200" cap="rnd">
              <a:solidFill>
                <a:srgbClr val="2D2D37"/>
              </a:solidFill>
              <a:round/>
            </a:ln>
            <a:effectLst/>
          </c:spPr>
          <c:marker>
            <c:symbol val="none"/>
          </c:marker>
          <c:xVal>
            <c:numRef>
              <c:f>'Dashboard - Tables'!$D$6:$J$6</c:f>
              <c:numCache>
                <c:formatCode>General</c:formatCode>
                <c:ptCount val="7"/>
                <c:pt idx="0">
                  <c:v>2020</c:v>
                </c:pt>
                <c:pt idx="1">
                  <c:v>2025</c:v>
                </c:pt>
                <c:pt idx="2">
                  <c:v>2030</c:v>
                </c:pt>
                <c:pt idx="3">
                  <c:v>2035</c:v>
                </c:pt>
                <c:pt idx="4">
                  <c:v>2040</c:v>
                </c:pt>
                <c:pt idx="5">
                  <c:v>2045</c:v>
                </c:pt>
                <c:pt idx="6">
                  <c:v>2050</c:v>
                </c:pt>
              </c:numCache>
            </c:numRef>
          </c:xVal>
          <c:yVal>
            <c:numRef>
              <c:f>'Dashboard - Tables'!$D$7:$J$7</c:f>
              <c:numCache>
                <c:formatCode>_(* #,##0.0_);_(* \(#,##0.0\);_(* "-"??_);_(@_)</c:formatCode>
                <c:ptCount val="7"/>
                <c:pt idx="0">
                  <c:v>33.275406035527354</c:v>
                </c:pt>
                <c:pt idx="1">
                  <c:v>31.682473888508298</c:v>
                </c:pt>
                <c:pt idx="2">
                  <c:v>31.293502085166431</c:v>
                </c:pt>
                <c:pt idx="3">
                  <c:v>31.293502085166431</c:v>
                </c:pt>
                <c:pt idx="4">
                  <c:v>31.293502085166431</c:v>
                </c:pt>
                <c:pt idx="5">
                  <c:v>31.293502085166431</c:v>
                </c:pt>
                <c:pt idx="6">
                  <c:v>31.293502085166431</c:v>
                </c:pt>
              </c:numCache>
            </c:numRef>
          </c:yVal>
          <c:smooth val="1"/>
          <c:extLst>
            <c:ext xmlns:c16="http://schemas.microsoft.com/office/drawing/2014/chart" uri="{C3380CC4-5D6E-409C-BE32-E72D297353CC}">
              <c16:uniqueId val="{00000000-0C35-4080-9DA1-16AD7902C2C1}"/>
            </c:ext>
          </c:extLst>
        </c:ser>
        <c:ser>
          <c:idx val="1"/>
          <c:order val="1"/>
          <c:tx>
            <c:strRef>
              <c:f>'Dashboard - Tables'!$C$8</c:f>
              <c:strCache>
                <c:ptCount val="1"/>
                <c:pt idx="0">
                  <c:v>Vessel 2 - ICE - LNG</c:v>
                </c:pt>
              </c:strCache>
            </c:strRef>
          </c:tx>
          <c:spPr>
            <a:ln w="76200" cap="rnd">
              <a:solidFill>
                <a:srgbClr val="D2D2D4"/>
              </a:solidFill>
              <a:round/>
            </a:ln>
            <a:effectLst/>
          </c:spPr>
          <c:marker>
            <c:symbol val="none"/>
          </c:marker>
          <c:xVal>
            <c:numRef>
              <c:f>'Dashboard - Tables'!$D$6:$J$6</c:f>
              <c:numCache>
                <c:formatCode>General</c:formatCode>
                <c:ptCount val="7"/>
                <c:pt idx="0">
                  <c:v>2020</c:v>
                </c:pt>
                <c:pt idx="1">
                  <c:v>2025</c:v>
                </c:pt>
                <c:pt idx="2">
                  <c:v>2030</c:v>
                </c:pt>
                <c:pt idx="3">
                  <c:v>2035</c:v>
                </c:pt>
                <c:pt idx="4">
                  <c:v>2040</c:v>
                </c:pt>
                <c:pt idx="5">
                  <c:v>2045</c:v>
                </c:pt>
                <c:pt idx="6">
                  <c:v>2050</c:v>
                </c:pt>
              </c:numCache>
            </c:numRef>
          </c:xVal>
          <c:yVal>
            <c:numRef>
              <c:f>'Dashboard - Tables'!$D$8:$J$8</c:f>
              <c:numCache>
                <c:formatCode>_(* #,##0.0_);_(* \(#,##0.0\);_(* "-"??_);_(@_)</c:formatCode>
                <c:ptCount val="7"/>
                <c:pt idx="0">
                  <c:v>35.901578218349698</c:v>
                </c:pt>
                <c:pt idx="1">
                  <c:v>32.420950152666776</c:v>
                </c:pt>
                <c:pt idx="2">
                  <c:v>31.469770488737598</c:v>
                </c:pt>
                <c:pt idx="3">
                  <c:v>31.41092325924706</c:v>
                </c:pt>
                <c:pt idx="4">
                  <c:v>31.343791183974783</c:v>
                </c:pt>
                <c:pt idx="5">
                  <c:v>31.300575188412381</c:v>
                </c:pt>
                <c:pt idx="6">
                  <c:v>31.280423138326622</c:v>
                </c:pt>
              </c:numCache>
            </c:numRef>
          </c:yVal>
          <c:smooth val="1"/>
          <c:extLst>
            <c:ext xmlns:c16="http://schemas.microsoft.com/office/drawing/2014/chart" uri="{C3380CC4-5D6E-409C-BE32-E72D297353CC}">
              <c16:uniqueId val="{00000001-0C35-4080-9DA1-16AD7902C2C1}"/>
            </c:ext>
          </c:extLst>
        </c:ser>
        <c:ser>
          <c:idx val="2"/>
          <c:order val="2"/>
          <c:tx>
            <c:strRef>
              <c:f>'Dashboard - Tables'!$C$9</c:f>
              <c:strCache>
                <c:ptCount val="1"/>
                <c:pt idx="0">
                  <c:v>Vessel 3 - ICE - e-Ammonia</c:v>
                </c:pt>
              </c:strCache>
            </c:strRef>
          </c:tx>
          <c:spPr>
            <a:ln w="76200" cap="rnd">
              <a:solidFill>
                <a:srgbClr val="327869"/>
              </a:solidFill>
              <a:round/>
            </a:ln>
            <a:effectLst/>
          </c:spPr>
          <c:marker>
            <c:symbol val="none"/>
          </c:marker>
          <c:xVal>
            <c:numRef>
              <c:f>'Dashboard - Tables'!$D$6:$J$6</c:f>
              <c:numCache>
                <c:formatCode>General</c:formatCode>
                <c:ptCount val="7"/>
                <c:pt idx="0">
                  <c:v>2020</c:v>
                </c:pt>
                <c:pt idx="1">
                  <c:v>2025</c:v>
                </c:pt>
                <c:pt idx="2">
                  <c:v>2030</c:v>
                </c:pt>
                <c:pt idx="3">
                  <c:v>2035</c:v>
                </c:pt>
                <c:pt idx="4">
                  <c:v>2040</c:v>
                </c:pt>
                <c:pt idx="5">
                  <c:v>2045</c:v>
                </c:pt>
                <c:pt idx="6">
                  <c:v>2050</c:v>
                </c:pt>
              </c:numCache>
            </c:numRef>
          </c:xVal>
          <c:yVal>
            <c:numRef>
              <c:f>'Dashboard - Tables'!$D$9:$J$9</c:f>
              <c:numCache>
                <c:formatCode>_(* #,##0.0_);_(* \(#,##0.0\);_(* "-"??_);_(@_)</c:formatCode>
                <c:ptCount val="7"/>
                <c:pt idx="0">
                  <c:v>62.014638441486703</c:v>
                </c:pt>
                <c:pt idx="1">
                  <c:v>53.309642607958097</c:v>
                </c:pt>
                <c:pt idx="2">
                  <c:v>47.350836763906045</c:v>
                </c:pt>
                <c:pt idx="3">
                  <c:v>44.340268028900169</c:v>
                </c:pt>
                <c:pt idx="4">
                  <c:v>41.932070576176471</c:v>
                </c:pt>
                <c:pt idx="5">
                  <c:v>40.249798605063049</c:v>
                </c:pt>
                <c:pt idx="6">
                  <c:v>39.448011537327645</c:v>
                </c:pt>
              </c:numCache>
            </c:numRef>
          </c:yVal>
          <c:smooth val="1"/>
          <c:extLst>
            <c:ext xmlns:c16="http://schemas.microsoft.com/office/drawing/2014/chart" uri="{C3380CC4-5D6E-409C-BE32-E72D297353CC}">
              <c16:uniqueId val="{00000002-0C35-4080-9DA1-16AD7902C2C1}"/>
            </c:ext>
          </c:extLst>
        </c:ser>
        <c:ser>
          <c:idx val="3"/>
          <c:order val="3"/>
          <c:tx>
            <c:strRef>
              <c:f>'Dashboard - Tables'!$C$10</c:f>
              <c:strCache>
                <c:ptCount val="1"/>
                <c:pt idx="0">
                  <c:v>Vessel 4 - ICE - Blue ammonia</c:v>
                </c:pt>
              </c:strCache>
            </c:strRef>
          </c:tx>
          <c:spPr>
            <a:ln w="76200" cap="rnd">
              <a:solidFill>
                <a:schemeClr val="accent5">
                  <a:lumMod val="50000"/>
                  <a:lumOff val="50000"/>
                </a:schemeClr>
              </a:solidFill>
              <a:round/>
            </a:ln>
            <a:effectLst/>
          </c:spPr>
          <c:marker>
            <c:symbol val="none"/>
          </c:marker>
          <c:xVal>
            <c:numRef>
              <c:f>'Dashboard - Tables'!$D$6:$J$6</c:f>
              <c:numCache>
                <c:formatCode>General</c:formatCode>
                <c:ptCount val="7"/>
                <c:pt idx="0">
                  <c:v>2020</c:v>
                </c:pt>
                <c:pt idx="1">
                  <c:v>2025</c:v>
                </c:pt>
                <c:pt idx="2">
                  <c:v>2030</c:v>
                </c:pt>
                <c:pt idx="3">
                  <c:v>2035</c:v>
                </c:pt>
                <c:pt idx="4">
                  <c:v>2040</c:v>
                </c:pt>
                <c:pt idx="5">
                  <c:v>2045</c:v>
                </c:pt>
                <c:pt idx="6">
                  <c:v>2050</c:v>
                </c:pt>
              </c:numCache>
            </c:numRef>
          </c:xVal>
          <c:yVal>
            <c:numRef>
              <c:f>'Dashboard - Tables'!$D$10:$J$10</c:f>
              <c:numCache>
                <c:formatCode>_(* #,##0.0_);_(* \(#,##0.0\);_(* "-"??_);_(@_)</c:formatCode>
                <c:ptCount val="7"/>
                <c:pt idx="0">
                  <c:v>53.285100702383552</c:v>
                </c:pt>
                <c:pt idx="1">
                  <c:v>46.927335862383636</c:v>
                </c:pt>
                <c:pt idx="2">
                  <c:v>44.885575236793372</c:v>
                </c:pt>
                <c:pt idx="3">
                  <c:v>44.614015017006146</c:v>
                </c:pt>
                <c:pt idx="4">
                  <c:v>44.363497049593569</c:v>
                </c:pt>
                <c:pt idx="5">
                  <c:v>44.193510760158752</c:v>
                </c:pt>
                <c:pt idx="6">
                  <c:v>44.106018426478776</c:v>
                </c:pt>
              </c:numCache>
            </c:numRef>
          </c:yVal>
          <c:smooth val="1"/>
          <c:extLst>
            <c:ext xmlns:c16="http://schemas.microsoft.com/office/drawing/2014/chart" uri="{C3380CC4-5D6E-409C-BE32-E72D297353CC}">
              <c16:uniqueId val="{00000003-0C35-4080-9DA1-16AD7902C2C1}"/>
            </c:ext>
          </c:extLst>
        </c:ser>
        <c:ser>
          <c:idx val="4"/>
          <c:order val="4"/>
          <c:tx>
            <c:strRef>
              <c:f>'Dashboard - Tables'!$C$11</c:f>
              <c:strCache>
                <c:ptCount val="1"/>
                <c:pt idx="0">
                  <c:v>Vessel 5 - ICE - Biomethanol</c:v>
                </c:pt>
              </c:strCache>
            </c:strRef>
          </c:tx>
          <c:spPr>
            <a:ln w="76200" cap="rnd">
              <a:solidFill>
                <a:srgbClr val="E1AAAA"/>
              </a:solidFill>
              <a:round/>
            </a:ln>
            <a:effectLst/>
          </c:spPr>
          <c:marker>
            <c:symbol val="none"/>
          </c:marker>
          <c:xVal>
            <c:numRef>
              <c:f>'Dashboard - Tables'!$D$6:$J$6</c:f>
              <c:numCache>
                <c:formatCode>General</c:formatCode>
                <c:ptCount val="7"/>
                <c:pt idx="0">
                  <c:v>2020</c:v>
                </c:pt>
                <c:pt idx="1">
                  <c:v>2025</c:v>
                </c:pt>
                <c:pt idx="2">
                  <c:v>2030</c:v>
                </c:pt>
                <c:pt idx="3">
                  <c:v>2035</c:v>
                </c:pt>
                <c:pt idx="4">
                  <c:v>2040</c:v>
                </c:pt>
                <c:pt idx="5">
                  <c:v>2045</c:v>
                </c:pt>
                <c:pt idx="6">
                  <c:v>2050</c:v>
                </c:pt>
              </c:numCache>
            </c:numRef>
          </c:xVal>
          <c:yVal>
            <c:numRef>
              <c:f>'Dashboard - Tables'!$D$11:$J$11</c:f>
              <c:numCache>
                <c:formatCode>_(* #,##0.0_);_(* \(#,##0.0\);_(* "-"??_);_(@_)</c:formatCode>
                <c:ptCount val="7"/>
                <c:pt idx="0">
                  <c:v>53.376918056772212</c:v>
                </c:pt>
                <c:pt idx="1">
                  <c:v>48.06395051215231</c:v>
                </c:pt>
                <c:pt idx="2">
                  <c:v>45.539866522004019</c:v>
                </c:pt>
                <c:pt idx="3">
                  <c:v>44.198613537742553</c:v>
                </c:pt>
                <c:pt idx="4">
                  <c:v>43.284358897862241</c:v>
                </c:pt>
                <c:pt idx="5">
                  <c:v>42.791782575886721</c:v>
                </c:pt>
                <c:pt idx="6">
                  <c:v>42.545655733642235</c:v>
                </c:pt>
              </c:numCache>
            </c:numRef>
          </c:yVal>
          <c:smooth val="1"/>
          <c:extLst>
            <c:ext xmlns:c16="http://schemas.microsoft.com/office/drawing/2014/chart" uri="{C3380CC4-5D6E-409C-BE32-E72D297353CC}">
              <c16:uniqueId val="{00000004-0C35-4080-9DA1-16AD7902C2C1}"/>
            </c:ext>
          </c:extLst>
        </c:ser>
        <c:dLbls>
          <c:showLegendKey val="0"/>
          <c:showVal val="0"/>
          <c:showCatName val="0"/>
          <c:showSerName val="0"/>
          <c:showPercent val="0"/>
          <c:showBubbleSize val="0"/>
        </c:dLbls>
        <c:axId val="553634080"/>
        <c:axId val="692014960"/>
      </c:scatterChart>
      <c:valAx>
        <c:axId val="553634080"/>
        <c:scaling>
          <c:orientation val="minMax"/>
          <c:max val="2050.5"/>
          <c:min val="2019.5"/>
        </c:scaling>
        <c:delete val="0"/>
        <c:axPos val="b"/>
        <c:numFmt formatCode="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a-DK"/>
          </a:p>
        </c:txPr>
        <c:crossAx val="692014960"/>
        <c:crosses val="autoZero"/>
        <c:crossBetween val="midCat"/>
      </c:valAx>
      <c:valAx>
        <c:axId val="6920149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a-DK"/>
          </a:p>
        </c:txPr>
        <c:crossAx val="553634080"/>
        <c:crosses val="autoZero"/>
        <c:crossBetween val="midCat"/>
      </c:valAx>
      <c:spPr>
        <a:noFill/>
        <a:ln>
          <a:noFill/>
        </a:ln>
        <a:effectLst/>
      </c:spPr>
    </c:plotArea>
    <c:legend>
      <c:legendPos val="r"/>
      <c:layout>
        <c:manualLayout>
          <c:xMode val="edge"/>
          <c:yMode val="edge"/>
          <c:x val="0.77891334265129419"/>
          <c:y val="0.262729080043277"/>
          <c:w val="0.2131344216903594"/>
          <c:h val="0.62934032783196325"/>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da-DK"/>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'Dashboard - Tables'!$L$15</c:f>
          <c:strCache>
            <c:ptCount val="1"/>
            <c:pt idx="0">
              <c:v>Fuel cost breakdown graph for 2035 - Global - USD/GJ</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a-DK"/>
        </a:p>
      </c:txPr>
    </c:title>
    <c:autoTitleDeleted val="0"/>
    <c:plotArea>
      <c:layout/>
      <c:barChart>
        <c:barDir val="col"/>
        <c:grouping val="stacked"/>
        <c:varyColors val="0"/>
        <c:ser>
          <c:idx val="0"/>
          <c:order val="0"/>
          <c:tx>
            <c:strRef>
              <c:f>'Dashboard - Tables'!$L$17</c:f>
              <c:strCache>
                <c:ptCount val="1"/>
                <c:pt idx="0">
                  <c:v>CAPEX</c:v>
                </c:pt>
              </c:strCache>
            </c:strRef>
          </c:tx>
          <c:spPr>
            <a:solidFill>
              <a:srgbClr val="969BA0"/>
            </a:solidFill>
            <a:ln>
              <a:noFill/>
            </a:ln>
            <a:effectLst/>
          </c:spPr>
          <c:invertIfNegative val="0"/>
          <c:cat>
            <c:strRef>
              <c:f>'Dashboard - Tables'!$M$16:$Q$16</c:f>
              <c:strCache>
                <c:ptCount val="5"/>
                <c:pt idx="0">
                  <c:v>LSFO</c:v>
                </c:pt>
                <c:pt idx="1">
                  <c:v>LNG</c:v>
                </c:pt>
                <c:pt idx="2">
                  <c:v>e-Ammonia</c:v>
                </c:pt>
                <c:pt idx="3">
                  <c:v>Blue ammonia</c:v>
                </c:pt>
                <c:pt idx="4">
                  <c:v>Biomethanol</c:v>
                </c:pt>
              </c:strCache>
            </c:strRef>
          </c:cat>
          <c:val>
            <c:numRef>
              <c:f>'Dashboard - Tables'!$M$17:$Q$17</c:f>
              <c:numCache>
                <c:formatCode>0.00</c:formatCode>
                <c:ptCount val="5"/>
                <c:pt idx="0">
                  <c:v>0</c:v>
                </c:pt>
                <c:pt idx="1">
                  <c:v>3.9500709009676336</c:v>
                </c:pt>
                <c:pt idx="2">
                  <c:v>9.0496750820364902</c:v>
                </c:pt>
                <c:pt idx="3">
                  <c:v>5.0744680851063846</c:v>
                </c:pt>
                <c:pt idx="4">
                  <c:v>10.320351758793972</c:v>
                </c:pt>
              </c:numCache>
            </c:numRef>
          </c:val>
          <c:extLst>
            <c:ext xmlns:c16="http://schemas.microsoft.com/office/drawing/2014/chart" uri="{C3380CC4-5D6E-409C-BE32-E72D297353CC}">
              <c16:uniqueId val="{00000000-678B-47D9-975C-2D6309D905C0}"/>
            </c:ext>
          </c:extLst>
        </c:ser>
        <c:ser>
          <c:idx val="1"/>
          <c:order val="1"/>
          <c:tx>
            <c:strRef>
              <c:f>'Dashboard - Tables'!$L$18</c:f>
              <c:strCache>
                <c:ptCount val="1"/>
                <c:pt idx="0">
                  <c:v>OPEX excl. feedstock</c:v>
                </c:pt>
              </c:strCache>
            </c:strRef>
          </c:tx>
          <c:spPr>
            <a:solidFill>
              <a:schemeClr val="accent6"/>
            </a:solidFill>
            <a:ln>
              <a:noFill/>
            </a:ln>
            <a:effectLst/>
          </c:spPr>
          <c:invertIfNegative val="0"/>
          <c:cat>
            <c:strRef>
              <c:f>'Dashboard - Tables'!$M$16:$Q$16</c:f>
              <c:strCache>
                <c:ptCount val="5"/>
                <c:pt idx="0">
                  <c:v>LSFO</c:v>
                </c:pt>
                <c:pt idx="1">
                  <c:v>LNG</c:v>
                </c:pt>
                <c:pt idx="2">
                  <c:v>e-Ammonia</c:v>
                </c:pt>
                <c:pt idx="3">
                  <c:v>Blue ammonia</c:v>
                </c:pt>
                <c:pt idx="4">
                  <c:v>Biomethanol</c:v>
                </c:pt>
              </c:strCache>
            </c:strRef>
          </c:cat>
          <c:val>
            <c:numRef>
              <c:f>'Dashboard - Tables'!$M$18:$Q$18</c:f>
              <c:numCache>
                <c:formatCode>0.00</c:formatCode>
                <c:ptCount val="5"/>
                <c:pt idx="0">
                  <c:v>0</c:v>
                </c:pt>
                <c:pt idx="1">
                  <c:v>0.34185123116465843</c:v>
                </c:pt>
                <c:pt idx="2">
                  <c:v>7.8545876139082926</c:v>
                </c:pt>
                <c:pt idx="3">
                  <c:v>2.2978723404255321</c:v>
                </c:pt>
                <c:pt idx="4">
                  <c:v>7.728673466435712</c:v>
                </c:pt>
              </c:numCache>
            </c:numRef>
          </c:val>
          <c:extLst>
            <c:ext xmlns:c16="http://schemas.microsoft.com/office/drawing/2014/chart" uri="{C3380CC4-5D6E-409C-BE32-E72D297353CC}">
              <c16:uniqueId val="{00000001-678B-47D9-975C-2D6309D905C0}"/>
            </c:ext>
          </c:extLst>
        </c:ser>
        <c:ser>
          <c:idx val="2"/>
          <c:order val="2"/>
          <c:tx>
            <c:strRef>
              <c:f>'Dashboard - Tables'!$L$19</c:f>
              <c:strCache>
                <c:ptCount val="1"/>
                <c:pt idx="0">
                  <c:v>Other feedstock</c:v>
                </c:pt>
              </c:strCache>
            </c:strRef>
          </c:tx>
          <c:spPr>
            <a:solidFill>
              <a:srgbClr val="CDF0D7"/>
            </a:solidFill>
            <a:ln>
              <a:noFill/>
            </a:ln>
            <a:effectLst/>
          </c:spPr>
          <c:invertIfNegative val="0"/>
          <c:cat>
            <c:strRef>
              <c:f>'Dashboard - Tables'!$M$16:$Q$16</c:f>
              <c:strCache>
                <c:ptCount val="5"/>
                <c:pt idx="0">
                  <c:v>LSFO</c:v>
                </c:pt>
                <c:pt idx="1">
                  <c:v>LNG</c:v>
                </c:pt>
                <c:pt idx="2">
                  <c:v>e-Ammonia</c:v>
                </c:pt>
                <c:pt idx="3">
                  <c:v>Blue ammonia</c:v>
                </c:pt>
                <c:pt idx="4">
                  <c:v>Biomethanol</c:v>
                </c:pt>
              </c:strCache>
            </c:strRef>
          </c:cat>
          <c:val>
            <c:numRef>
              <c:f>'Dashboard - Tables'!$M$19:$Q$19</c:f>
              <c:numCache>
                <c:formatCode>0.00</c:formatCode>
                <c:ptCount val="5"/>
                <c:pt idx="0">
                  <c:v>0</c:v>
                </c:pt>
                <c:pt idx="1">
                  <c:v>5.4791666666666679</c:v>
                </c:pt>
                <c:pt idx="2">
                  <c:v>0</c:v>
                </c:pt>
                <c:pt idx="3">
                  <c:v>9.7674868293764678</c:v>
                </c:pt>
                <c:pt idx="4">
                  <c:v>9.0410638885402985</c:v>
                </c:pt>
              </c:numCache>
            </c:numRef>
          </c:val>
          <c:extLst>
            <c:ext xmlns:c16="http://schemas.microsoft.com/office/drawing/2014/chart" uri="{C3380CC4-5D6E-409C-BE32-E72D297353CC}">
              <c16:uniqueId val="{00000002-678B-47D9-975C-2D6309D905C0}"/>
            </c:ext>
          </c:extLst>
        </c:ser>
        <c:ser>
          <c:idx val="3"/>
          <c:order val="3"/>
          <c:tx>
            <c:strRef>
              <c:f>'Dashboard - Tables'!$L$20</c:f>
              <c:strCache>
                <c:ptCount val="1"/>
                <c:pt idx="0">
                  <c:v>CO2 (feedstock or CCS)</c:v>
                </c:pt>
              </c:strCache>
            </c:strRef>
          </c:tx>
          <c:spPr>
            <a:solidFill>
              <a:schemeClr val="accent5">
                <a:lumMod val="25000"/>
                <a:lumOff val="75000"/>
              </a:schemeClr>
            </a:solidFill>
            <a:ln>
              <a:noFill/>
            </a:ln>
            <a:effectLst/>
          </c:spPr>
          <c:invertIfNegative val="0"/>
          <c:cat>
            <c:strRef>
              <c:f>'Dashboard - Tables'!$M$16:$Q$16</c:f>
              <c:strCache>
                <c:ptCount val="5"/>
                <c:pt idx="0">
                  <c:v>LSFO</c:v>
                </c:pt>
                <c:pt idx="1">
                  <c:v>LNG</c:v>
                </c:pt>
                <c:pt idx="2">
                  <c:v>e-Ammonia</c:v>
                </c:pt>
                <c:pt idx="3">
                  <c:v>Blue ammonia</c:v>
                </c:pt>
                <c:pt idx="4">
                  <c:v>Biomethanol</c:v>
                </c:pt>
              </c:strCache>
            </c:strRef>
          </c:cat>
          <c:val>
            <c:numRef>
              <c:f>'Dashboard - Tables'!$M$20:$Q$20</c:f>
              <c:numCache>
                <c:formatCode>0.00</c:formatCode>
                <c:ptCount val="5"/>
                <c:pt idx="0">
                  <c:v>0</c:v>
                </c:pt>
                <c:pt idx="1">
                  <c:v>0</c:v>
                </c:pt>
                <c:pt idx="2">
                  <c:v>0</c:v>
                </c:pt>
                <c:pt idx="3">
                  <c:v>7.1302127659574479</c:v>
                </c:pt>
                <c:pt idx="4">
                  <c:v>0</c:v>
                </c:pt>
              </c:numCache>
            </c:numRef>
          </c:val>
          <c:extLst>
            <c:ext xmlns:c16="http://schemas.microsoft.com/office/drawing/2014/chart" uri="{C3380CC4-5D6E-409C-BE32-E72D297353CC}">
              <c16:uniqueId val="{00000003-678B-47D9-975C-2D6309D905C0}"/>
            </c:ext>
          </c:extLst>
        </c:ser>
        <c:ser>
          <c:idx val="4"/>
          <c:order val="4"/>
          <c:tx>
            <c:strRef>
              <c:f>'Dashboard - Tables'!$L$21</c:f>
              <c:strCache>
                <c:ptCount val="1"/>
                <c:pt idx="0">
                  <c:v>Electricity</c:v>
                </c:pt>
              </c:strCache>
            </c:strRef>
          </c:tx>
          <c:spPr>
            <a:solidFill>
              <a:srgbClr val="327869"/>
            </a:solidFill>
            <a:ln>
              <a:noFill/>
            </a:ln>
            <a:effectLst/>
          </c:spPr>
          <c:invertIfNegative val="0"/>
          <c:cat>
            <c:strRef>
              <c:f>'Dashboard - Tables'!$M$16:$Q$16</c:f>
              <c:strCache>
                <c:ptCount val="5"/>
                <c:pt idx="0">
                  <c:v>LSFO</c:v>
                </c:pt>
                <c:pt idx="1">
                  <c:v>LNG</c:v>
                </c:pt>
                <c:pt idx="2">
                  <c:v>e-Ammonia</c:v>
                </c:pt>
                <c:pt idx="3">
                  <c:v>Blue ammonia</c:v>
                </c:pt>
                <c:pt idx="4">
                  <c:v>Biomethanol</c:v>
                </c:pt>
              </c:strCache>
            </c:strRef>
          </c:cat>
          <c:val>
            <c:numRef>
              <c:f>'Dashboard - Tables'!$M$21:$Q$21</c:f>
              <c:numCache>
                <c:formatCode>0.00</c:formatCode>
                <c:ptCount val="5"/>
                <c:pt idx="0">
                  <c:v>0</c:v>
                </c:pt>
                <c:pt idx="1">
                  <c:v>0</c:v>
                </c:pt>
                <c:pt idx="2">
                  <c:v>13.816930018869165</c:v>
                </c:pt>
                <c:pt idx="3">
                  <c:v>0</c:v>
                </c:pt>
                <c:pt idx="4">
                  <c:v>0</c:v>
                </c:pt>
              </c:numCache>
            </c:numRef>
          </c:val>
          <c:extLst>
            <c:ext xmlns:c16="http://schemas.microsoft.com/office/drawing/2014/chart" uri="{C3380CC4-5D6E-409C-BE32-E72D297353CC}">
              <c16:uniqueId val="{00000004-678B-47D9-975C-2D6309D905C0}"/>
            </c:ext>
          </c:extLst>
        </c:ser>
        <c:ser>
          <c:idx val="6"/>
          <c:order val="5"/>
          <c:tx>
            <c:strRef>
              <c:f>'Dashboard - Tables'!$L$22</c:f>
              <c:strCache>
                <c:ptCount val="1"/>
                <c:pt idx="0">
                  <c:v>Not modelled</c:v>
                </c:pt>
              </c:strCache>
            </c:strRef>
          </c:tx>
          <c:spPr>
            <a:solidFill>
              <a:schemeClr val="accent1">
                <a:lumMod val="60000"/>
              </a:schemeClr>
            </a:solidFill>
            <a:ln>
              <a:noFill/>
            </a:ln>
            <a:effectLst/>
          </c:spPr>
          <c:invertIfNegative val="0"/>
          <c:cat>
            <c:strRef>
              <c:f>'Dashboard - Tables'!$M$16:$Q$16</c:f>
              <c:strCache>
                <c:ptCount val="5"/>
                <c:pt idx="0">
                  <c:v>LSFO</c:v>
                </c:pt>
                <c:pt idx="1">
                  <c:v>LNG</c:v>
                </c:pt>
                <c:pt idx="2">
                  <c:v>e-Ammonia</c:v>
                </c:pt>
                <c:pt idx="3">
                  <c:v>Blue ammonia</c:v>
                </c:pt>
                <c:pt idx="4">
                  <c:v>Biomethanol</c:v>
                </c:pt>
              </c:strCache>
            </c:strRef>
          </c:cat>
          <c:val>
            <c:numRef>
              <c:f>'Dashboard - Tables'!$M$22:$Q$22</c:f>
              <c:numCache>
                <c:formatCode>0.00</c:formatCode>
                <c:ptCount val="5"/>
                <c:pt idx="0">
                  <c:v>13.444354593464393</c:v>
                </c:pt>
                <c:pt idx="1">
                  <c:v>0</c:v>
                </c:pt>
                <c:pt idx="2">
                  <c:v>0</c:v>
                </c:pt>
                <c:pt idx="3">
                  <c:v>0</c:v>
                </c:pt>
                <c:pt idx="4">
                  <c:v>0</c:v>
                </c:pt>
              </c:numCache>
            </c:numRef>
          </c:val>
          <c:extLst>
            <c:ext xmlns:c16="http://schemas.microsoft.com/office/drawing/2014/chart" uri="{C3380CC4-5D6E-409C-BE32-E72D297353CC}">
              <c16:uniqueId val="{00000005-678B-47D9-975C-2D6309D905C0}"/>
            </c:ext>
          </c:extLst>
        </c:ser>
        <c:dLbls>
          <c:showLegendKey val="0"/>
          <c:showVal val="0"/>
          <c:showCatName val="0"/>
          <c:showSerName val="0"/>
          <c:showPercent val="0"/>
          <c:showBubbleSize val="0"/>
        </c:dLbls>
        <c:gapWidth val="75"/>
        <c:overlap val="100"/>
        <c:axId val="227392176"/>
        <c:axId val="227393008"/>
      </c:barChart>
      <c:lineChart>
        <c:grouping val="standard"/>
        <c:varyColors val="0"/>
        <c:ser>
          <c:idx val="5"/>
          <c:order val="6"/>
          <c:tx>
            <c:strRef>
              <c:f>'Dashboard - Tables'!$L$23</c:f>
              <c:strCache>
                <c:ptCount val="1"/>
                <c:pt idx="0">
                  <c:v>Total</c:v>
                </c:pt>
              </c:strCache>
            </c:strRef>
          </c:tx>
          <c:spPr>
            <a:ln w="28575"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a-DK"/>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'[1]Data for dashboard'!#REF!</c:f>
              <c:strCache>
                <c:ptCount val="1"/>
                <c:pt idx="0">
                  <c:v>#REF!</c:v>
                </c:pt>
              </c:strCache>
            </c:strRef>
          </c:cat>
          <c:val>
            <c:numRef>
              <c:f>'Dashboard - Tables'!$M$23:$Q$23</c:f>
              <c:numCache>
                <c:formatCode>0.00</c:formatCode>
                <c:ptCount val="5"/>
                <c:pt idx="0">
                  <c:v>13.444354593464393</c:v>
                </c:pt>
                <c:pt idx="1">
                  <c:v>9.7710887987989601</c:v>
                </c:pt>
                <c:pt idx="2">
                  <c:v>30.721192714813949</c:v>
                </c:pt>
                <c:pt idx="3">
                  <c:v>24.270040020865832</c:v>
                </c:pt>
                <c:pt idx="4">
                  <c:v>27.090089113769984</c:v>
                </c:pt>
              </c:numCache>
            </c:numRef>
          </c:val>
          <c:smooth val="0"/>
          <c:extLst>
            <c:ext xmlns:c16="http://schemas.microsoft.com/office/drawing/2014/chart" uri="{C3380CC4-5D6E-409C-BE32-E72D297353CC}">
              <c16:uniqueId val="{00000006-678B-47D9-975C-2D6309D905C0}"/>
            </c:ext>
          </c:extLst>
        </c:ser>
        <c:dLbls>
          <c:showLegendKey val="0"/>
          <c:showVal val="0"/>
          <c:showCatName val="0"/>
          <c:showSerName val="0"/>
          <c:showPercent val="0"/>
          <c:showBubbleSize val="0"/>
        </c:dLbls>
        <c:marker val="1"/>
        <c:smooth val="0"/>
        <c:axId val="227392176"/>
        <c:axId val="227393008"/>
      </c:lineChart>
      <c:catAx>
        <c:axId val="227392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a-DK"/>
          </a:p>
        </c:txPr>
        <c:crossAx val="227393008"/>
        <c:crosses val="autoZero"/>
        <c:auto val="1"/>
        <c:lblAlgn val="ctr"/>
        <c:lblOffset val="100"/>
        <c:noMultiLvlLbl val="0"/>
      </c:catAx>
      <c:valAx>
        <c:axId val="22739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a-DK"/>
          </a:p>
        </c:txPr>
        <c:crossAx val="227392176"/>
        <c:crosses val="autoZero"/>
        <c:crossBetween val="between"/>
      </c:valAx>
      <c:spPr>
        <a:noFill/>
        <a:ln>
          <a:noFill/>
        </a:ln>
        <a:effectLst/>
      </c:spPr>
    </c:plotArea>
    <c:legend>
      <c:legendPos val="b"/>
      <c:legendEntry>
        <c:idx val="6"/>
        <c:delete val="1"/>
      </c:legendEntry>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da-D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'Dashboard - Tables'!$L$32</c:f>
          <c:strCache>
            <c:ptCount val="1"/>
            <c:pt idx="0">
              <c:v>CAPEX per fuel option in USDm, Container (2035)</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a-DK"/>
        </a:p>
      </c:txPr>
    </c:title>
    <c:autoTitleDeleted val="0"/>
    <c:plotArea>
      <c:layout/>
      <c:barChart>
        <c:barDir val="col"/>
        <c:grouping val="stacked"/>
        <c:varyColors val="0"/>
        <c:ser>
          <c:idx val="3"/>
          <c:order val="0"/>
          <c:tx>
            <c:strRef>
              <c:f>'Dashboard - Tables'!$L$34</c:f>
              <c:strCache>
                <c:ptCount val="1"/>
                <c:pt idx="0">
                  <c:v>Base</c:v>
                </c:pt>
              </c:strCache>
            </c:strRef>
          </c:tx>
          <c:spPr>
            <a:solidFill>
              <a:srgbClr val="2D2D37"/>
            </a:solidFill>
            <a:ln>
              <a:noFill/>
            </a:ln>
            <a:effectLst/>
          </c:spPr>
          <c:invertIfNegative val="0"/>
          <c:cat>
            <c:strRef>
              <c:f>'Dashboard - Tables'!$M$33:$Q$33</c:f>
              <c:strCache>
                <c:ptCount val="5"/>
                <c:pt idx="0">
                  <c:v>Vessel 1 - ICE - LSFO</c:v>
                </c:pt>
                <c:pt idx="1">
                  <c:v>Vessel 2 - ICE - LNG</c:v>
                </c:pt>
                <c:pt idx="2">
                  <c:v>Vessel 3 - ICE - e-Ammonia</c:v>
                </c:pt>
                <c:pt idx="3">
                  <c:v>Vessel 4 - ICE - Blue ammonia</c:v>
                </c:pt>
                <c:pt idx="4">
                  <c:v>Vessel 5 - ICE - Biomethanol</c:v>
                </c:pt>
              </c:strCache>
            </c:strRef>
          </c:cat>
          <c:val>
            <c:numRef>
              <c:f>'Dashboard - Tables'!$M$34:$Q$34</c:f>
              <c:numCache>
                <c:formatCode>_(* #,##0.0_);_(* \(#,##0.0\);_(* "-"??_);_(@_)</c:formatCode>
                <c:ptCount val="5"/>
                <c:pt idx="0">
                  <c:v>85</c:v>
                </c:pt>
                <c:pt idx="1">
                  <c:v>85</c:v>
                </c:pt>
                <c:pt idx="2">
                  <c:v>85</c:v>
                </c:pt>
                <c:pt idx="3">
                  <c:v>85</c:v>
                </c:pt>
                <c:pt idx="4">
                  <c:v>85</c:v>
                </c:pt>
              </c:numCache>
            </c:numRef>
          </c:val>
          <c:extLst>
            <c:ext xmlns:c16="http://schemas.microsoft.com/office/drawing/2014/chart" uri="{C3380CC4-5D6E-409C-BE32-E72D297353CC}">
              <c16:uniqueId val="{00000000-A1A3-4EBC-997C-11B481968179}"/>
            </c:ext>
          </c:extLst>
        </c:ser>
        <c:ser>
          <c:idx val="1"/>
          <c:order val="1"/>
          <c:tx>
            <c:strRef>
              <c:f>'Dashboard - Tables'!$L$35</c:f>
              <c:strCache>
                <c:ptCount val="1"/>
                <c:pt idx="0">
                  <c:v>Engines</c:v>
                </c:pt>
              </c:strCache>
            </c:strRef>
          </c:tx>
          <c:spPr>
            <a:solidFill>
              <a:srgbClr val="969BA0"/>
            </a:solidFill>
            <a:ln>
              <a:noFill/>
            </a:ln>
            <a:effectLst/>
          </c:spPr>
          <c:invertIfNegative val="0"/>
          <c:cat>
            <c:strRef>
              <c:f>'Dashboard - Tables'!$M$33:$Q$33</c:f>
              <c:strCache>
                <c:ptCount val="5"/>
                <c:pt idx="0">
                  <c:v>Vessel 1 - ICE - LSFO</c:v>
                </c:pt>
                <c:pt idx="1">
                  <c:v>Vessel 2 - ICE - LNG</c:v>
                </c:pt>
                <c:pt idx="2">
                  <c:v>Vessel 3 - ICE - e-Ammonia</c:v>
                </c:pt>
                <c:pt idx="3">
                  <c:v>Vessel 4 - ICE - Blue ammonia</c:v>
                </c:pt>
                <c:pt idx="4">
                  <c:v>Vessel 5 - ICE - Biomethanol</c:v>
                </c:pt>
              </c:strCache>
            </c:strRef>
          </c:cat>
          <c:val>
            <c:numRef>
              <c:f>'Dashboard - Tables'!$M$35:$Q$35</c:f>
              <c:numCache>
                <c:formatCode>_(* #,##0.0_);_(* \(#,##0.0\);_(* "-"??_);_(@_)</c:formatCode>
                <c:ptCount val="5"/>
                <c:pt idx="0">
                  <c:v>17.46</c:v>
                </c:pt>
                <c:pt idx="1">
                  <c:v>20.951999999999998</c:v>
                </c:pt>
                <c:pt idx="2">
                  <c:v>20.951999999999998</c:v>
                </c:pt>
                <c:pt idx="3">
                  <c:v>20.951999999999998</c:v>
                </c:pt>
                <c:pt idx="4">
                  <c:v>20.951999999999998</c:v>
                </c:pt>
              </c:numCache>
            </c:numRef>
          </c:val>
          <c:extLst>
            <c:ext xmlns:c16="http://schemas.microsoft.com/office/drawing/2014/chart" uri="{C3380CC4-5D6E-409C-BE32-E72D297353CC}">
              <c16:uniqueId val="{00000001-A1A3-4EBC-997C-11B481968179}"/>
            </c:ext>
          </c:extLst>
        </c:ser>
        <c:ser>
          <c:idx val="2"/>
          <c:order val="2"/>
          <c:tx>
            <c:strRef>
              <c:f>'Dashboard - Tables'!$L$36</c:f>
              <c:strCache>
                <c:ptCount val="1"/>
                <c:pt idx="0">
                  <c:v>Fuel cell</c:v>
                </c:pt>
              </c:strCache>
            </c:strRef>
          </c:tx>
          <c:spPr>
            <a:solidFill>
              <a:srgbClr val="CDF0D7"/>
            </a:solidFill>
            <a:ln>
              <a:noFill/>
            </a:ln>
            <a:effectLst/>
          </c:spPr>
          <c:invertIfNegative val="0"/>
          <c:cat>
            <c:strRef>
              <c:f>'Dashboard - Tables'!$M$33:$Q$33</c:f>
              <c:strCache>
                <c:ptCount val="5"/>
                <c:pt idx="0">
                  <c:v>Vessel 1 - ICE - LSFO</c:v>
                </c:pt>
                <c:pt idx="1">
                  <c:v>Vessel 2 - ICE - LNG</c:v>
                </c:pt>
                <c:pt idx="2">
                  <c:v>Vessel 3 - ICE - e-Ammonia</c:v>
                </c:pt>
                <c:pt idx="3">
                  <c:v>Vessel 4 - ICE - Blue ammonia</c:v>
                </c:pt>
                <c:pt idx="4">
                  <c:v>Vessel 5 - ICE - Biomethanol</c:v>
                </c:pt>
              </c:strCache>
            </c:strRef>
          </c:cat>
          <c:val>
            <c:numRef>
              <c:f>'Dashboard - Tables'!$M$36:$Q$36</c:f>
              <c:numCache>
                <c:formatCode>_(* #,##0.0_);_(* \(#,##0.0\);_(* "-"??_);_(@_)</c:formatCode>
                <c:ptCount val="5"/>
                <c:pt idx="0">
                  <c:v>0</c:v>
                </c:pt>
                <c:pt idx="1">
                  <c:v>0</c:v>
                </c:pt>
                <c:pt idx="2">
                  <c:v>0</c:v>
                </c:pt>
                <c:pt idx="3">
                  <c:v>0</c:v>
                </c:pt>
                <c:pt idx="4">
                  <c:v>0</c:v>
                </c:pt>
              </c:numCache>
            </c:numRef>
          </c:val>
          <c:extLst>
            <c:ext xmlns:c16="http://schemas.microsoft.com/office/drawing/2014/chart" uri="{C3380CC4-5D6E-409C-BE32-E72D297353CC}">
              <c16:uniqueId val="{00000002-A1A3-4EBC-997C-11B481968179}"/>
            </c:ext>
          </c:extLst>
        </c:ser>
        <c:ser>
          <c:idx val="0"/>
          <c:order val="3"/>
          <c:tx>
            <c:strRef>
              <c:f>'Dashboard - Tables'!$L$37</c:f>
              <c:strCache>
                <c:ptCount val="1"/>
                <c:pt idx="0">
                  <c:v>Tank &amp; fuel system</c:v>
                </c:pt>
              </c:strCache>
            </c:strRef>
          </c:tx>
          <c:spPr>
            <a:solidFill>
              <a:schemeClr val="accent5">
                <a:lumMod val="25000"/>
                <a:lumOff val="75000"/>
              </a:schemeClr>
            </a:solidFill>
            <a:ln>
              <a:noFill/>
            </a:ln>
            <a:effectLst/>
          </c:spPr>
          <c:invertIfNegative val="0"/>
          <c:cat>
            <c:strRef>
              <c:f>'Dashboard - Tables'!$M$33:$Q$33</c:f>
              <c:strCache>
                <c:ptCount val="5"/>
                <c:pt idx="0">
                  <c:v>Vessel 1 - ICE - LSFO</c:v>
                </c:pt>
                <c:pt idx="1">
                  <c:v>Vessel 2 - ICE - LNG</c:v>
                </c:pt>
                <c:pt idx="2">
                  <c:v>Vessel 3 - ICE - e-Ammonia</c:v>
                </c:pt>
                <c:pt idx="3">
                  <c:v>Vessel 4 - ICE - Blue ammonia</c:v>
                </c:pt>
                <c:pt idx="4">
                  <c:v>Vessel 5 - ICE - Biomethanol</c:v>
                </c:pt>
              </c:strCache>
            </c:strRef>
          </c:cat>
          <c:val>
            <c:numRef>
              <c:f>'Dashboard - Tables'!$M$37:$Q$37</c:f>
              <c:numCache>
                <c:formatCode>_(* #,##0.0_);_(* \(#,##0.0\);_(* "-"??_);_(@_)</c:formatCode>
                <c:ptCount val="5"/>
                <c:pt idx="0">
                  <c:v>1.9750000000000001</c:v>
                </c:pt>
                <c:pt idx="1">
                  <c:v>23.998750000000001</c:v>
                </c:pt>
                <c:pt idx="2">
                  <c:v>16.868749999999999</c:v>
                </c:pt>
                <c:pt idx="3">
                  <c:v>16.868749999999999</c:v>
                </c:pt>
                <c:pt idx="4">
                  <c:v>12.678749999999999</c:v>
                </c:pt>
              </c:numCache>
            </c:numRef>
          </c:val>
          <c:extLst>
            <c:ext xmlns:c16="http://schemas.microsoft.com/office/drawing/2014/chart" uri="{C3380CC4-5D6E-409C-BE32-E72D297353CC}">
              <c16:uniqueId val="{00000003-A1A3-4EBC-997C-11B481968179}"/>
            </c:ext>
          </c:extLst>
        </c:ser>
        <c:ser>
          <c:idx val="5"/>
          <c:order val="4"/>
          <c:tx>
            <c:strRef>
              <c:f>'Dashboard - Tables'!$L$38</c:f>
              <c:strCache>
                <c:ptCount val="1"/>
                <c:pt idx="0">
                  <c:v>EE levers</c:v>
                </c:pt>
              </c:strCache>
            </c:strRef>
          </c:tx>
          <c:spPr>
            <a:solidFill>
              <a:srgbClr val="327869"/>
            </a:solidFill>
            <a:ln>
              <a:noFill/>
            </a:ln>
            <a:effectLst/>
          </c:spPr>
          <c:invertIfNegative val="0"/>
          <c:cat>
            <c:strRef>
              <c:f>'Dashboard - Tables'!$M$33:$Q$33</c:f>
              <c:strCache>
                <c:ptCount val="5"/>
                <c:pt idx="0">
                  <c:v>Vessel 1 - ICE - LSFO</c:v>
                </c:pt>
                <c:pt idx="1">
                  <c:v>Vessel 2 - ICE - LNG</c:v>
                </c:pt>
                <c:pt idx="2">
                  <c:v>Vessel 3 - ICE - e-Ammonia</c:v>
                </c:pt>
                <c:pt idx="3">
                  <c:v>Vessel 4 - ICE - Blue ammonia</c:v>
                </c:pt>
                <c:pt idx="4">
                  <c:v>Vessel 5 - ICE - Biomethanol</c:v>
                </c:pt>
              </c:strCache>
            </c:strRef>
          </c:cat>
          <c:val>
            <c:numRef>
              <c:f>'Dashboard - Tables'!$M$38:$Q$38</c:f>
              <c:numCache>
                <c:formatCode>_(* #,##0.0_);_(* \(#,##0.0\);_(* "-"??_);_(@_)</c:formatCode>
                <c:ptCount val="5"/>
                <c:pt idx="0">
                  <c:v>0</c:v>
                </c:pt>
                <c:pt idx="1">
                  <c:v>0</c:v>
                </c:pt>
                <c:pt idx="2">
                  <c:v>0</c:v>
                </c:pt>
                <c:pt idx="3">
                  <c:v>0</c:v>
                </c:pt>
                <c:pt idx="4">
                  <c:v>0</c:v>
                </c:pt>
              </c:numCache>
            </c:numRef>
          </c:val>
          <c:extLst>
            <c:ext xmlns:c16="http://schemas.microsoft.com/office/drawing/2014/chart" uri="{C3380CC4-5D6E-409C-BE32-E72D297353CC}">
              <c16:uniqueId val="{00000004-A1A3-4EBC-997C-11B481968179}"/>
            </c:ext>
          </c:extLst>
        </c:ser>
        <c:ser>
          <c:idx val="4"/>
          <c:order val="5"/>
          <c:tx>
            <c:strRef>
              <c:f>'Dashboard - Tables'!$L$39</c:f>
              <c:strCache>
                <c:ptCount val="1"/>
                <c:pt idx="0">
                  <c:v>Yard install.</c:v>
                </c:pt>
              </c:strCache>
            </c:strRef>
          </c:tx>
          <c:spPr>
            <a:solidFill>
              <a:schemeClr val="accent6"/>
            </a:solidFill>
            <a:ln>
              <a:noFill/>
            </a:ln>
            <a:effectLst/>
          </c:spPr>
          <c:invertIfNegative val="0"/>
          <c:cat>
            <c:strRef>
              <c:f>'Dashboard - Tables'!$M$33:$Q$33</c:f>
              <c:strCache>
                <c:ptCount val="5"/>
                <c:pt idx="0">
                  <c:v>Vessel 1 - ICE - LSFO</c:v>
                </c:pt>
                <c:pt idx="1">
                  <c:v>Vessel 2 - ICE - LNG</c:v>
                </c:pt>
                <c:pt idx="2">
                  <c:v>Vessel 3 - ICE - e-Ammonia</c:v>
                </c:pt>
                <c:pt idx="3">
                  <c:v>Vessel 4 - ICE - Blue ammonia</c:v>
                </c:pt>
                <c:pt idx="4">
                  <c:v>Vessel 5 - ICE - Biomethanol</c:v>
                </c:pt>
              </c:strCache>
            </c:strRef>
          </c:cat>
          <c:val>
            <c:numRef>
              <c:f>'Dashboard - Tables'!$M$39:$Q$39</c:f>
              <c:numCache>
                <c:formatCode>_(* #,##0.0_);_(* \(#,##0.0\);_(* "-"??_);_(@_)</c:formatCode>
                <c:ptCount val="5"/>
                <c:pt idx="0">
                  <c:v>1.9435</c:v>
                </c:pt>
                <c:pt idx="1">
                  <c:v>4.4950749999999999</c:v>
                </c:pt>
                <c:pt idx="2">
                  <c:v>3.7820749999999999</c:v>
                </c:pt>
                <c:pt idx="3">
                  <c:v>3.7820749999999999</c:v>
                </c:pt>
                <c:pt idx="4">
                  <c:v>3.3630750000000003</c:v>
                </c:pt>
              </c:numCache>
            </c:numRef>
          </c:val>
          <c:extLst>
            <c:ext xmlns:c16="http://schemas.microsoft.com/office/drawing/2014/chart" uri="{C3380CC4-5D6E-409C-BE32-E72D297353CC}">
              <c16:uniqueId val="{00000005-A1A3-4EBC-997C-11B481968179}"/>
            </c:ext>
          </c:extLst>
        </c:ser>
        <c:dLbls>
          <c:showLegendKey val="0"/>
          <c:showVal val="0"/>
          <c:showCatName val="0"/>
          <c:showSerName val="0"/>
          <c:showPercent val="0"/>
          <c:showBubbleSize val="0"/>
        </c:dLbls>
        <c:gapWidth val="75"/>
        <c:overlap val="100"/>
        <c:axId val="553634080"/>
        <c:axId val="692014960"/>
      </c:barChart>
      <c:lineChart>
        <c:grouping val="standard"/>
        <c:varyColors val="0"/>
        <c:ser>
          <c:idx val="6"/>
          <c:order val="6"/>
          <c:tx>
            <c:strRef>
              <c:f>'Dashboard - Tables'!$L$40</c:f>
              <c:strCache>
                <c:ptCount val="1"/>
                <c:pt idx="0">
                  <c:v>Total</c:v>
                </c:pt>
              </c:strCache>
            </c:strRef>
          </c:tx>
          <c:spPr>
            <a:ln w="28575"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a-DK"/>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 - Tables'!$M$33:$Q$33</c:f>
              <c:strCache>
                <c:ptCount val="5"/>
                <c:pt idx="0">
                  <c:v>Vessel 1 - ICE - LSFO</c:v>
                </c:pt>
                <c:pt idx="1">
                  <c:v>Vessel 2 - ICE - LNG</c:v>
                </c:pt>
                <c:pt idx="2">
                  <c:v>Vessel 3 - ICE - e-Ammonia</c:v>
                </c:pt>
                <c:pt idx="3">
                  <c:v>Vessel 4 - ICE - Blue ammonia</c:v>
                </c:pt>
                <c:pt idx="4">
                  <c:v>Vessel 5 - ICE - Biomethanol</c:v>
                </c:pt>
              </c:strCache>
            </c:strRef>
          </c:cat>
          <c:val>
            <c:numRef>
              <c:f>'Dashboard - Tables'!$M$40:$Q$40</c:f>
              <c:numCache>
                <c:formatCode>_(* #,##0.0_);_(* \(#,##0.0\);_(* "-"??_);_(@_)</c:formatCode>
                <c:ptCount val="5"/>
                <c:pt idx="0">
                  <c:v>106.3785</c:v>
                </c:pt>
                <c:pt idx="1">
                  <c:v>134.44582500000001</c:v>
                </c:pt>
                <c:pt idx="2">
                  <c:v>126.60282500000001</c:v>
                </c:pt>
                <c:pt idx="3">
                  <c:v>126.60282500000001</c:v>
                </c:pt>
                <c:pt idx="4">
                  <c:v>121.99382499999999</c:v>
                </c:pt>
              </c:numCache>
            </c:numRef>
          </c:val>
          <c:smooth val="0"/>
          <c:extLst>
            <c:ext xmlns:c16="http://schemas.microsoft.com/office/drawing/2014/chart" uri="{C3380CC4-5D6E-409C-BE32-E72D297353CC}">
              <c16:uniqueId val="{00000006-A1A3-4EBC-997C-11B481968179}"/>
            </c:ext>
          </c:extLst>
        </c:ser>
        <c:dLbls>
          <c:showLegendKey val="0"/>
          <c:showVal val="0"/>
          <c:showCatName val="0"/>
          <c:showSerName val="0"/>
          <c:showPercent val="0"/>
          <c:showBubbleSize val="0"/>
        </c:dLbls>
        <c:marker val="1"/>
        <c:smooth val="0"/>
        <c:axId val="553634080"/>
        <c:axId val="692014960"/>
      </c:lineChart>
      <c:catAx>
        <c:axId val="553634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a-DK"/>
          </a:p>
        </c:txPr>
        <c:crossAx val="692014960"/>
        <c:crosses val="autoZero"/>
        <c:auto val="1"/>
        <c:lblAlgn val="ctr"/>
        <c:lblOffset val="100"/>
        <c:noMultiLvlLbl val="0"/>
      </c:catAx>
      <c:valAx>
        <c:axId val="692014960"/>
        <c:scaling>
          <c:orientation val="minMax"/>
        </c:scaling>
        <c:delete val="0"/>
        <c:axPos val="l"/>
        <c:majorGridlines>
          <c:spPr>
            <a:ln w="9525" cap="flat" cmpd="sng" algn="ctr">
              <a:solidFill>
                <a:schemeClr val="tx1">
                  <a:lumMod val="15000"/>
                  <a:lumOff val="85000"/>
                </a:schemeClr>
              </a:solidFill>
              <a:round/>
            </a:ln>
            <a:effectLst/>
          </c:spPr>
        </c:majorGridlines>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a-DK"/>
          </a:p>
        </c:txPr>
        <c:crossAx val="553634080"/>
        <c:crosses val="autoZero"/>
        <c:crossBetween val="between"/>
      </c:valAx>
      <c:spPr>
        <a:noFill/>
        <a:ln>
          <a:noFill/>
        </a:ln>
        <a:effectLst/>
      </c:spPr>
    </c:plotArea>
    <c:legend>
      <c:legendPos val="b"/>
      <c:legendEntry>
        <c:idx val="6"/>
        <c:delete val="1"/>
      </c:legendEntry>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da-DK"/>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'Dashboard - Tables'!$L$43</c:f>
          <c:strCache>
            <c:ptCount val="1"/>
            <c:pt idx="0">
              <c:v>OPEX per fuel option in USDm, Container (2035)</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a-DK"/>
        </a:p>
      </c:txPr>
    </c:title>
    <c:autoTitleDeleted val="0"/>
    <c:plotArea>
      <c:layout>
        <c:manualLayout>
          <c:layoutTarget val="inner"/>
          <c:xMode val="edge"/>
          <c:yMode val="edge"/>
          <c:x val="9.0084233008243225E-2"/>
          <c:y val="0.10429027330990745"/>
          <c:w val="0.89141800506205759"/>
          <c:h val="0.59977017248441256"/>
        </c:manualLayout>
      </c:layout>
      <c:barChart>
        <c:barDir val="col"/>
        <c:grouping val="stacked"/>
        <c:varyColors val="0"/>
        <c:ser>
          <c:idx val="2"/>
          <c:order val="0"/>
          <c:tx>
            <c:strRef>
              <c:f>'Dashboard - Tables'!$L$47</c:f>
              <c:strCache>
                <c:ptCount val="1"/>
                <c:pt idx="0">
                  <c:v>Other OPEX (incl. maintenance)</c:v>
                </c:pt>
              </c:strCache>
            </c:strRef>
          </c:tx>
          <c:spPr>
            <a:solidFill>
              <a:srgbClr val="969BA0"/>
            </a:solidFill>
            <a:ln>
              <a:noFill/>
            </a:ln>
            <a:effectLst/>
          </c:spPr>
          <c:invertIfNegative val="0"/>
          <c:cat>
            <c:strRef>
              <c:f>'Dashboard - Tables'!$M$44:$Q$44</c:f>
              <c:strCache>
                <c:ptCount val="5"/>
                <c:pt idx="0">
                  <c:v>Vessel 1 - ICE - LSFO</c:v>
                </c:pt>
                <c:pt idx="1">
                  <c:v>Vessel 2 - ICE - LNG</c:v>
                </c:pt>
                <c:pt idx="2">
                  <c:v>Vessel 3 - ICE - e-Ammonia</c:v>
                </c:pt>
                <c:pt idx="3">
                  <c:v>Vessel 4 - ICE - Blue ammonia</c:v>
                </c:pt>
                <c:pt idx="4">
                  <c:v>Vessel 5 - ICE - Biomethanol</c:v>
                </c:pt>
              </c:strCache>
            </c:strRef>
          </c:cat>
          <c:val>
            <c:numRef>
              <c:f>'Dashboard - Tables'!$M$47:$Q$47</c:f>
              <c:numCache>
                <c:formatCode>_(* #,##0.0_);_(* \(#,##0.0\);_(* "-"??_);_(@_)</c:formatCode>
                <c:ptCount val="5"/>
                <c:pt idx="0">
                  <c:v>4.3513684705882349</c:v>
                </c:pt>
                <c:pt idx="1">
                  <c:v>4.5116684705882353</c:v>
                </c:pt>
                <c:pt idx="2">
                  <c:v>4.7621452705882348</c:v>
                </c:pt>
                <c:pt idx="3">
                  <c:v>4.7621452705882348</c:v>
                </c:pt>
                <c:pt idx="4">
                  <c:v>4.3788684705882348</c:v>
                </c:pt>
              </c:numCache>
            </c:numRef>
          </c:val>
          <c:extLst>
            <c:ext xmlns:c16="http://schemas.microsoft.com/office/drawing/2014/chart" uri="{C3380CC4-5D6E-409C-BE32-E72D297353CC}">
              <c16:uniqueId val="{00000002-B7D2-435C-A5A0-E757BCC2F2D2}"/>
            </c:ext>
          </c:extLst>
        </c:ser>
        <c:ser>
          <c:idx val="1"/>
          <c:order val="1"/>
          <c:tx>
            <c:strRef>
              <c:f>'Dashboard - Tables'!$L$46</c:f>
              <c:strCache>
                <c:ptCount val="1"/>
                <c:pt idx="0">
                  <c:v>Port &amp; Canal fees</c:v>
                </c:pt>
              </c:strCache>
            </c:strRef>
          </c:tx>
          <c:spPr>
            <a:solidFill>
              <a:schemeClr val="accent5">
                <a:lumMod val="25000"/>
                <a:lumOff val="75000"/>
              </a:schemeClr>
            </a:solidFill>
            <a:ln>
              <a:noFill/>
            </a:ln>
            <a:effectLst/>
          </c:spPr>
          <c:invertIfNegative val="0"/>
          <c:cat>
            <c:strRef>
              <c:f>'Dashboard - Tables'!$M$44:$Q$44</c:f>
              <c:strCache>
                <c:ptCount val="5"/>
                <c:pt idx="0">
                  <c:v>Vessel 1 - ICE - LSFO</c:v>
                </c:pt>
                <c:pt idx="1">
                  <c:v>Vessel 2 - ICE - LNG</c:v>
                </c:pt>
                <c:pt idx="2">
                  <c:v>Vessel 3 - ICE - e-Ammonia</c:v>
                </c:pt>
                <c:pt idx="3">
                  <c:v>Vessel 4 - ICE - Blue ammonia</c:v>
                </c:pt>
                <c:pt idx="4">
                  <c:v>Vessel 5 - ICE - Biomethanol</c:v>
                </c:pt>
              </c:strCache>
            </c:strRef>
          </c:cat>
          <c:val>
            <c:numRef>
              <c:f>'Dashboard - Tables'!$M$46:$Q$46</c:f>
              <c:numCache>
                <c:formatCode>_(* #,##0.0_);_(* \(#,##0.0\);_(* "-"??_);_(@_)</c:formatCode>
                <c:ptCount val="5"/>
                <c:pt idx="0">
                  <c:v>3.5</c:v>
                </c:pt>
                <c:pt idx="1">
                  <c:v>3.5</c:v>
                </c:pt>
                <c:pt idx="2">
                  <c:v>3.5</c:v>
                </c:pt>
                <c:pt idx="3">
                  <c:v>3.5</c:v>
                </c:pt>
                <c:pt idx="4">
                  <c:v>3.5</c:v>
                </c:pt>
              </c:numCache>
            </c:numRef>
          </c:val>
          <c:extLst>
            <c:ext xmlns:c16="http://schemas.microsoft.com/office/drawing/2014/chart" uri="{C3380CC4-5D6E-409C-BE32-E72D297353CC}">
              <c16:uniqueId val="{00000001-B7D2-435C-A5A0-E757BCC2F2D2}"/>
            </c:ext>
          </c:extLst>
        </c:ser>
        <c:ser>
          <c:idx val="3"/>
          <c:order val="2"/>
          <c:tx>
            <c:strRef>
              <c:f>'Dashboard - Tables'!$L$45</c:f>
              <c:strCache>
                <c:ptCount val="1"/>
                <c:pt idx="0">
                  <c:v>Fuel</c:v>
                </c:pt>
              </c:strCache>
            </c:strRef>
          </c:tx>
          <c:spPr>
            <a:solidFill>
              <a:schemeClr val="tx2"/>
            </a:solidFill>
            <a:ln>
              <a:noFill/>
            </a:ln>
            <a:effectLst/>
          </c:spPr>
          <c:invertIfNegative val="0"/>
          <c:cat>
            <c:strRef>
              <c:f>'Dashboard - Tables'!$M$44:$Q$44</c:f>
              <c:strCache>
                <c:ptCount val="5"/>
                <c:pt idx="0">
                  <c:v>Vessel 1 - ICE - LSFO</c:v>
                </c:pt>
                <c:pt idx="1">
                  <c:v>Vessel 2 - ICE - LNG</c:v>
                </c:pt>
                <c:pt idx="2">
                  <c:v>Vessel 3 - ICE - e-Ammonia</c:v>
                </c:pt>
                <c:pt idx="3">
                  <c:v>Vessel 4 - ICE - Blue ammonia</c:v>
                </c:pt>
                <c:pt idx="4">
                  <c:v>Vessel 5 - ICE - Biomethanol</c:v>
                </c:pt>
              </c:strCache>
            </c:strRef>
          </c:cat>
          <c:val>
            <c:numRef>
              <c:f>'Dashboard - Tables'!$M$45:$Q$45</c:f>
              <c:numCache>
                <c:formatCode>_(* #,##0.0_);_(* \(#,##0.0\);_(* "-"??_);_(@_)</c:formatCode>
                <c:ptCount val="5"/>
                <c:pt idx="0">
                  <c:v>13.336176114578192</c:v>
                </c:pt>
                <c:pt idx="1">
                  <c:v>10.356901413658825</c:v>
                </c:pt>
                <c:pt idx="2">
                  <c:v>24.050854383311936</c:v>
                </c:pt>
                <c:pt idx="3">
                  <c:v>24.324601371417913</c:v>
                </c:pt>
                <c:pt idx="4">
                  <c:v>24.730331692154323</c:v>
                </c:pt>
              </c:numCache>
            </c:numRef>
          </c:val>
          <c:extLst>
            <c:ext xmlns:c16="http://schemas.microsoft.com/office/drawing/2014/chart" uri="{C3380CC4-5D6E-409C-BE32-E72D297353CC}">
              <c16:uniqueId val="{00000000-B7D2-435C-A5A0-E757BCC2F2D2}"/>
            </c:ext>
          </c:extLst>
        </c:ser>
        <c:ser>
          <c:idx val="0"/>
          <c:order val="3"/>
          <c:tx>
            <c:strRef>
              <c:f>'Dashboard - Tables'!$L$48</c:f>
              <c:strCache>
                <c:ptCount val="1"/>
                <c:pt idx="0">
                  <c:v>Total CO2</c:v>
                </c:pt>
              </c:strCache>
            </c:strRef>
          </c:tx>
          <c:spPr>
            <a:solidFill>
              <a:schemeClr val="accent1"/>
            </a:solidFill>
            <a:ln>
              <a:noFill/>
            </a:ln>
            <a:effectLst/>
          </c:spPr>
          <c:invertIfNegative val="0"/>
          <c:cat>
            <c:strRef>
              <c:f>'Dashboard - Tables'!$M$44:$Q$44</c:f>
              <c:strCache>
                <c:ptCount val="5"/>
                <c:pt idx="0">
                  <c:v>Vessel 1 - ICE - LSFO</c:v>
                </c:pt>
                <c:pt idx="1">
                  <c:v>Vessel 2 - ICE - LNG</c:v>
                </c:pt>
                <c:pt idx="2">
                  <c:v>Vessel 3 - ICE - e-Ammonia</c:v>
                </c:pt>
                <c:pt idx="3">
                  <c:v>Vessel 4 - ICE - Blue ammonia</c:v>
                </c:pt>
                <c:pt idx="4">
                  <c:v>Vessel 5 - ICE - Biomethanol</c:v>
                </c:pt>
              </c:strCache>
            </c:strRef>
          </c:cat>
          <c:val>
            <c:numRef>
              <c:f>'Dashboard - Tables'!$M$48:$Q$48</c:f>
              <c:numCache>
                <c:formatCode>_(* #,##0.0_);_(* \(#,##0.0\);_(* "-"??_);_(@_)</c:formatCode>
                <c:ptCount val="5"/>
                <c:pt idx="0">
                  <c:v>0</c:v>
                </c:pt>
                <c:pt idx="1">
                  <c:v>0</c:v>
                </c:pt>
                <c:pt idx="2">
                  <c:v>0</c:v>
                </c:pt>
                <c:pt idx="3">
                  <c:v>0</c:v>
                </c:pt>
                <c:pt idx="4">
                  <c:v>0</c:v>
                </c:pt>
              </c:numCache>
            </c:numRef>
          </c:val>
          <c:extLst>
            <c:ext xmlns:c16="http://schemas.microsoft.com/office/drawing/2014/chart" uri="{C3380CC4-5D6E-409C-BE32-E72D297353CC}">
              <c16:uniqueId val="{00000003-B7D2-435C-A5A0-E757BCC2F2D2}"/>
            </c:ext>
          </c:extLst>
        </c:ser>
        <c:ser>
          <c:idx val="5"/>
          <c:order val="4"/>
          <c:tx>
            <c:strRef>
              <c:f>'Dashboard - Tables'!$L$49</c:f>
              <c:strCache>
                <c:ptCount val="1"/>
                <c:pt idx="0">
                  <c:v>Cargo capacity loss</c:v>
                </c:pt>
              </c:strCache>
            </c:strRef>
          </c:tx>
          <c:spPr>
            <a:solidFill>
              <a:srgbClr val="CDF0D7"/>
            </a:solidFill>
            <a:ln>
              <a:noFill/>
            </a:ln>
            <a:effectLst/>
          </c:spPr>
          <c:invertIfNegative val="0"/>
          <c:cat>
            <c:strRef>
              <c:f>'Dashboard - Tables'!$M$44:$Q$44</c:f>
              <c:strCache>
                <c:ptCount val="5"/>
                <c:pt idx="0">
                  <c:v>Vessel 1 - ICE - LSFO</c:v>
                </c:pt>
                <c:pt idx="1">
                  <c:v>Vessel 2 - ICE - LNG</c:v>
                </c:pt>
                <c:pt idx="2">
                  <c:v>Vessel 3 - ICE - e-Ammonia</c:v>
                </c:pt>
                <c:pt idx="3">
                  <c:v>Vessel 4 - ICE - Blue ammonia</c:v>
                </c:pt>
                <c:pt idx="4">
                  <c:v>Vessel 5 - ICE - Biomethanol</c:v>
                </c:pt>
              </c:strCache>
            </c:strRef>
          </c:cat>
          <c:val>
            <c:numRef>
              <c:f>'Dashboard - Tables'!$M$49:$Q$49</c:f>
              <c:numCache>
                <c:formatCode>_(* #,##0.0_);_(* \(#,##0.0\);_(* "-"??_);_(@_)</c:formatCode>
                <c:ptCount val="5"/>
                <c:pt idx="0">
                  <c:v>0</c:v>
                </c:pt>
                <c:pt idx="1">
                  <c:v>0.27000000000000013</c:v>
                </c:pt>
                <c:pt idx="2">
                  <c:v>0</c:v>
                </c:pt>
                <c:pt idx="3">
                  <c:v>0</c:v>
                </c:pt>
                <c:pt idx="4">
                  <c:v>0</c:v>
                </c:pt>
              </c:numCache>
            </c:numRef>
          </c:val>
          <c:extLst>
            <c:ext xmlns:c16="http://schemas.microsoft.com/office/drawing/2014/chart" uri="{C3380CC4-5D6E-409C-BE32-E72D297353CC}">
              <c16:uniqueId val="{00000004-B7D2-435C-A5A0-E757BCC2F2D2}"/>
            </c:ext>
          </c:extLst>
        </c:ser>
        <c:ser>
          <c:idx val="4"/>
          <c:order val="5"/>
          <c:tx>
            <c:strRef>
              <c:f>'Dashboard - Tables'!$L$50</c:f>
              <c:strCache>
                <c:ptCount val="1"/>
                <c:pt idx="0">
                  <c:v>Energy efficency related</c:v>
                </c:pt>
              </c:strCache>
            </c:strRef>
          </c:tx>
          <c:spPr>
            <a:solidFill>
              <a:schemeClr val="accent6"/>
            </a:solidFill>
            <a:ln w="25400">
              <a:noFill/>
            </a:ln>
            <a:effectLst/>
          </c:spPr>
          <c:invertIfNegative val="0"/>
          <c:cat>
            <c:strRef>
              <c:f>'Dashboard - Tables'!$M$44:$Q$44</c:f>
              <c:strCache>
                <c:ptCount val="5"/>
                <c:pt idx="0">
                  <c:v>Vessel 1 - ICE - LSFO</c:v>
                </c:pt>
                <c:pt idx="1">
                  <c:v>Vessel 2 - ICE - LNG</c:v>
                </c:pt>
                <c:pt idx="2">
                  <c:v>Vessel 3 - ICE - e-Ammonia</c:v>
                </c:pt>
                <c:pt idx="3">
                  <c:v>Vessel 4 - ICE - Blue ammonia</c:v>
                </c:pt>
                <c:pt idx="4">
                  <c:v>Vessel 5 - ICE - Biomethanol</c:v>
                </c:pt>
              </c:strCache>
            </c:strRef>
          </c:cat>
          <c:val>
            <c:numRef>
              <c:f>'Dashboard - Tables'!$M$50:$Q$50</c:f>
              <c:numCache>
                <c:formatCode>_(* #,##0.0_);_(* \(#,##0.0\);_(* "-"??_);_(@_)</c:formatCode>
                <c:ptCount val="5"/>
                <c:pt idx="0">
                  <c:v>0</c:v>
                </c:pt>
                <c:pt idx="1">
                  <c:v>0</c:v>
                </c:pt>
                <c:pt idx="2">
                  <c:v>0</c:v>
                </c:pt>
                <c:pt idx="3">
                  <c:v>0</c:v>
                </c:pt>
                <c:pt idx="4">
                  <c:v>0</c:v>
                </c:pt>
              </c:numCache>
            </c:numRef>
          </c:val>
          <c:extLst>
            <c:ext xmlns:c16="http://schemas.microsoft.com/office/drawing/2014/chart" uri="{C3380CC4-5D6E-409C-BE32-E72D297353CC}">
              <c16:uniqueId val="{00000005-B7D2-435C-A5A0-E757BCC2F2D2}"/>
            </c:ext>
          </c:extLst>
        </c:ser>
        <c:dLbls>
          <c:showLegendKey val="0"/>
          <c:showVal val="0"/>
          <c:showCatName val="0"/>
          <c:showSerName val="0"/>
          <c:showPercent val="0"/>
          <c:showBubbleSize val="0"/>
        </c:dLbls>
        <c:gapWidth val="75"/>
        <c:overlap val="100"/>
        <c:axId val="553634080"/>
        <c:axId val="692014960"/>
      </c:barChart>
      <c:lineChart>
        <c:grouping val="standard"/>
        <c:varyColors val="0"/>
        <c:ser>
          <c:idx val="6"/>
          <c:order val="6"/>
          <c:tx>
            <c:strRef>
              <c:f>'Dashboard - Tables'!$L$51</c:f>
              <c:strCache>
                <c:ptCount val="1"/>
                <c:pt idx="0">
                  <c:v>Total</c:v>
                </c:pt>
              </c:strCache>
            </c:strRef>
          </c:tx>
          <c:spPr>
            <a:ln w="25400"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a-DK"/>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 - Tables'!$M$44:$Q$44</c:f>
              <c:strCache>
                <c:ptCount val="5"/>
                <c:pt idx="0">
                  <c:v>Vessel 1 - ICE - LSFO</c:v>
                </c:pt>
                <c:pt idx="1">
                  <c:v>Vessel 2 - ICE - LNG</c:v>
                </c:pt>
                <c:pt idx="2">
                  <c:v>Vessel 3 - ICE - e-Ammonia</c:v>
                </c:pt>
                <c:pt idx="3">
                  <c:v>Vessel 4 - ICE - Blue ammonia</c:v>
                </c:pt>
                <c:pt idx="4">
                  <c:v>Vessel 5 - ICE - Biomethanol</c:v>
                </c:pt>
              </c:strCache>
            </c:strRef>
          </c:cat>
          <c:val>
            <c:numRef>
              <c:f>'Dashboard - Tables'!$M$51:$Q$51</c:f>
              <c:numCache>
                <c:formatCode>_(* #,##0.0_);_(* \(#,##0.0\);_(* "-"??_);_(@_)</c:formatCode>
                <c:ptCount val="5"/>
                <c:pt idx="0">
                  <c:v>21.187544585166428</c:v>
                </c:pt>
                <c:pt idx="1">
                  <c:v>18.638569884247058</c:v>
                </c:pt>
                <c:pt idx="2">
                  <c:v>32.312999653900171</c:v>
                </c:pt>
                <c:pt idx="3">
                  <c:v>32.586746642006148</c:v>
                </c:pt>
                <c:pt idx="4">
                  <c:v>32.60920016274256</c:v>
                </c:pt>
              </c:numCache>
            </c:numRef>
          </c:val>
          <c:smooth val="0"/>
          <c:extLst>
            <c:ext xmlns:c16="http://schemas.microsoft.com/office/drawing/2014/chart" uri="{C3380CC4-5D6E-409C-BE32-E72D297353CC}">
              <c16:uniqueId val="{00000001-63E0-40B3-AEA0-BFC1FBCC4237}"/>
            </c:ext>
          </c:extLst>
        </c:ser>
        <c:dLbls>
          <c:showLegendKey val="0"/>
          <c:showVal val="0"/>
          <c:showCatName val="0"/>
          <c:showSerName val="0"/>
          <c:showPercent val="0"/>
          <c:showBubbleSize val="0"/>
        </c:dLbls>
        <c:marker val="1"/>
        <c:smooth val="0"/>
        <c:axId val="553634080"/>
        <c:axId val="692014960"/>
      </c:lineChart>
      <c:catAx>
        <c:axId val="553634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a-DK"/>
          </a:p>
        </c:txPr>
        <c:crossAx val="692014960"/>
        <c:crosses val="autoZero"/>
        <c:auto val="1"/>
        <c:lblAlgn val="ctr"/>
        <c:lblOffset val="100"/>
        <c:noMultiLvlLbl val="0"/>
      </c:catAx>
      <c:valAx>
        <c:axId val="692014960"/>
        <c:scaling>
          <c:orientation val="minMax"/>
        </c:scaling>
        <c:delete val="0"/>
        <c:axPos val="l"/>
        <c:majorGridlines>
          <c:spPr>
            <a:ln w="9525" cap="flat" cmpd="sng" algn="ctr">
              <a:solidFill>
                <a:schemeClr val="tx1">
                  <a:lumMod val="15000"/>
                  <a:lumOff val="85000"/>
                </a:schemeClr>
              </a:solidFill>
              <a:round/>
            </a:ln>
            <a:effectLst/>
          </c:spPr>
        </c:majorGridlines>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a-DK"/>
          </a:p>
        </c:txPr>
        <c:crossAx val="553634080"/>
        <c:crosses val="autoZero"/>
        <c:crossBetween val="between"/>
      </c:valAx>
      <c:spPr>
        <a:noFill/>
        <a:ln>
          <a:noFill/>
        </a:ln>
        <a:effectLst/>
      </c:spPr>
    </c:plotArea>
    <c:legend>
      <c:legendPos val="b"/>
      <c:legendEntry>
        <c:idx val="6"/>
        <c:delete val="1"/>
      </c:legendEntry>
      <c:layout>
        <c:manualLayout>
          <c:xMode val="edge"/>
          <c:yMode val="edge"/>
          <c:x val="0"/>
          <c:y val="0.85562903755086983"/>
          <c:w val="1"/>
          <c:h val="0.1240908898560514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da-DK"/>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t>Fuel cost in USD/GJ for selected fuels</a:t>
            </a:r>
          </a:p>
        </c:rich>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a-DK"/>
        </a:p>
      </c:txPr>
    </c:title>
    <c:autoTitleDeleted val="0"/>
    <c:plotArea>
      <c:layout>
        <c:manualLayout>
          <c:layoutTarget val="inner"/>
          <c:xMode val="edge"/>
          <c:yMode val="edge"/>
          <c:x val="5.7026424841277741E-2"/>
          <c:y val="0.10497333364140202"/>
          <c:w val="0.92458606381953756"/>
          <c:h val="0.75194851770407123"/>
        </c:manualLayout>
      </c:layout>
      <c:lineChart>
        <c:grouping val="standard"/>
        <c:varyColors val="0"/>
        <c:ser>
          <c:idx val="1"/>
          <c:order val="0"/>
          <c:tx>
            <c:strRef>
              <c:f>'Dashboard - Tables'!$C$17</c:f>
              <c:strCache>
                <c:ptCount val="1"/>
                <c:pt idx="0">
                  <c:v>LSFO</c:v>
                </c:pt>
              </c:strCache>
            </c:strRef>
          </c:tx>
          <c:spPr>
            <a:ln w="76200" cap="rnd">
              <a:solidFill>
                <a:srgbClr val="2D2D37"/>
              </a:solidFill>
              <a:round/>
            </a:ln>
            <a:effectLst/>
          </c:spPr>
          <c:marker>
            <c:symbol val="none"/>
          </c:marker>
          <c:cat>
            <c:numRef>
              <c:f>'Dashboard - Tables'!$D$16:$J$16</c:f>
              <c:numCache>
                <c:formatCode>General</c:formatCode>
                <c:ptCount val="7"/>
                <c:pt idx="0">
                  <c:v>2020</c:v>
                </c:pt>
                <c:pt idx="1">
                  <c:v>2025</c:v>
                </c:pt>
                <c:pt idx="2">
                  <c:v>2030</c:v>
                </c:pt>
                <c:pt idx="3">
                  <c:v>2035</c:v>
                </c:pt>
                <c:pt idx="4">
                  <c:v>2040</c:v>
                </c:pt>
                <c:pt idx="5">
                  <c:v>2045</c:v>
                </c:pt>
                <c:pt idx="6">
                  <c:v>2050</c:v>
                </c:pt>
              </c:numCache>
            </c:numRef>
          </c:cat>
          <c:val>
            <c:numRef>
              <c:f>'Dashboard - Tables'!$D$17:$J$17</c:f>
              <c:numCache>
                <c:formatCode>0.0</c:formatCode>
                <c:ptCount val="7"/>
                <c:pt idx="0">
                  <c:v>21.473621920116738</c:v>
                </c:pt>
                <c:pt idx="1">
                  <c:v>15.404989638344619</c:v>
                </c:pt>
                <c:pt idx="2">
                  <c:v>13.444354593464393</c:v>
                </c:pt>
                <c:pt idx="3">
                  <c:v>13.444354593464393</c:v>
                </c:pt>
                <c:pt idx="4">
                  <c:v>13.444354593464393</c:v>
                </c:pt>
                <c:pt idx="5">
                  <c:v>13.444354593464393</c:v>
                </c:pt>
                <c:pt idx="6">
                  <c:v>13.444354593464393</c:v>
                </c:pt>
              </c:numCache>
            </c:numRef>
          </c:val>
          <c:smooth val="0"/>
          <c:extLst>
            <c:ext xmlns:c16="http://schemas.microsoft.com/office/drawing/2014/chart" uri="{C3380CC4-5D6E-409C-BE32-E72D297353CC}">
              <c16:uniqueId val="{00000001-8E13-4812-A921-0A24B624F9CA}"/>
            </c:ext>
          </c:extLst>
        </c:ser>
        <c:ser>
          <c:idx val="2"/>
          <c:order val="1"/>
          <c:tx>
            <c:strRef>
              <c:f>'Dashboard - Tables'!$C$18</c:f>
              <c:strCache>
                <c:ptCount val="1"/>
                <c:pt idx="0">
                  <c:v>LNG</c:v>
                </c:pt>
              </c:strCache>
            </c:strRef>
          </c:tx>
          <c:spPr>
            <a:ln w="76200" cap="rnd">
              <a:solidFill>
                <a:srgbClr val="D2D2D4"/>
              </a:solidFill>
              <a:round/>
            </a:ln>
            <a:effectLst/>
          </c:spPr>
          <c:marker>
            <c:symbol val="none"/>
          </c:marker>
          <c:cat>
            <c:numRef>
              <c:f>'Dashboard - Tables'!$D$16:$J$16</c:f>
              <c:numCache>
                <c:formatCode>General</c:formatCode>
                <c:ptCount val="7"/>
                <c:pt idx="0">
                  <c:v>2020</c:v>
                </c:pt>
                <c:pt idx="1">
                  <c:v>2025</c:v>
                </c:pt>
                <c:pt idx="2">
                  <c:v>2030</c:v>
                </c:pt>
                <c:pt idx="3">
                  <c:v>2035</c:v>
                </c:pt>
                <c:pt idx="4">
                  <c:v>2040</c:v>
                </c:pt>
                <c:pt idx="5">
                  <c:v>2045</c:v>
                </c:pt>
                <c:pt idx="6">
                  <c:v>2050</c:v>
                </c:pt>
              </c:numCache>
            </c:numRef>
          </c:cat>
          <c:val>
            <c:numRef>
              <c:f>'Dashboard - Tables'!$D$18:$J$18</c:f>
              <c:numCache>
                <c:formatCode>0.0</c:formatCode>
                <c:ptCount val="7"/>
                <c:pt idx="0">
                  <c:v>28.010164967271816</c:v>
                </c:pt>
                <c:pt idx="1">
                  <c:v>15.101278898435231</c:v>
                </c:pt>
                <c:pt idx="2">
                  <c:v>10.581925187075147</c:v>
                </c:pt>
                <c:pt idx="3">
                  <c:v>10.624039306140117</c:v>
                </c:pt>
                <c:pt idx="4">
                  <c:v>10.502467383740608</c:v>
                </c:pt>
                <c:pt idx="5">
                  <c:v>10.385227090861148</c:v>
                </c:pt>
                <c:pt idx="6">
                  <c:v>10.282788752348448</c:v>
                </c:pt>
              </c:numCache>
            </c:numRef>
          </c:val>
          <c:smooth val="0"/>
          <c:extLst>
            <c:ext xmlns:c16="http://schemas.microsoft.com/office/drawing/2014/chart" uri="{C3380CC4-5D6E-409C-BE32-E72D297353CC}">
              <c16:uniqueId val="{00000002-8E13-4812-A921-0A24B624F9CA}"/>
            </c:ext>
          </c:extLst>
        </c:ser>
        <c:ser>
          <c:idx val="3"/>
          <c:order val="2"/>
          <c:tx>
            <c:strRef>
              <c:f>'Dashboard - Tables'!$C$19</c:f>
              <c:strCache>
                <c:ptCount val="1"/>
                <c:pt idx="0">
                  <c:v>e-Ammonia</c:v>
                </c:pt>
              </c:strCache>
            </c:strRef>
          </c:tx>
          <c:spPr>
            <a:ln w="76200" cap="rnd">
              <a:solidFill>
                <a:schemeClr val="tx2"/>
              </a:solidFill>
              <a:round/>
            </a:ln>
            <a:effectLst/>
          </c:spPr>
          <c:marker>
            <c:symbol val="none"/>
          </c:marker>
          <c:cat>
            <c:numRef>
              <c:f>'Dashboard - Tables'!$D$16:$J$16</c:f>
              <c:numCache>
                <c:formatCode>General</c:formatCode>
                <c:ptCount val="7"/>
                <c:pt idx="0">
                  <c:v>2020</c:v>
                </c:pt>
                <c:pt idx="1">
                  <c:v>2025</c:v>
                </c:pt>
                <c:pt idx="2">
                  <c:v>2030</c:v>
                </c:pt>
                <c:pt idx="3">
                  <c:v>2035</c:v>
                </c:pt>
                <c:pt idx="4">
                  <c:v>2040</c:v>
                </c:pt>
                <c:pt idx="5">
                  <c:v>2045</c:v>
                </c:pt>
                <c:pt idx="6">
                  <c:v>2050</c:v>
                </c:pt>
              </c:numCache>
            </c:numRef>
          </c:cat>
          <c:val>
            <c:numRef>
              <c:f>'Dashboard - Tables'!$D$19:$J$19</c:f>
              <c:numCache>
                <c:formatCode>0.0</c:formatCode>
                <c:ptCount val="7"/>
                <c:pt idx="0">
                  <c:v>67.654563699368978</c:v>
                </c:pt>
                <c:pt idx="1">
                  <c:v>49.86622112839148</c:v>
                </c:pt>
                <c:pt idx="2">
                  <c:v>35.036527617873539</c:v>
                </c:pt>
                <c:pt idx="3">
                  <c:v>31.843366273798324</c:v>
                </c:pt>
                <c:pt idx="4">
                  <c:v>28.023353054868181</c:v>
                </c:pt>
                <c:pt idx="5">
                  <c:v>23.402115576701302</c:v>
                </c:pt>
                <c:pt idx="6">
                  <c:v>19.231023079153672</c:v>
                </c:pt>
              </c:numCache>
            </c:numRef>
          </c:val>
          <c:smooth val="0"/>
          <c:extLst>
            <c:ext xmlns:c16="http://schemas.microsoft.com/office/drawing/2014/chart" uri="{C3380CC4-5D6E-409C-BE32-E72D297353CC}">
              <c16:uniqueId val="{00000003-8E13-4812-A921-0A24B624F9CA}"/>
            </c:ext>
          </c:extLst>
        </c:ser>
        <c:ser>
          <c:idx val="4"/>
          <c:order val="3"/>
          <c:tx>
            <c:strRef>
              <c:f>'Dashboard - Tables'!$C$20</c:f>
              <c:strCache>
                <c:ptCount val="1"/>
                <c:pt idx="0">
                  <c:v>Blue ammonia</c:v>
                </c:pt>
              </c:strCache>
            </c:strRef>
          </c:tx>
          <c:spPr>
            <a:ln w="76200" cap="rnd">
              <a:solidFill>
                <a:schemeClr val="accent5">
                  <a:lumMod val="50000"/>
                  <a:lumOff val="50000"/>
                </a:schemeClr>
              </a:solidFill>
              <a:round/>
            </a:ln>
            <a:effectLst/>
          </c:spPr>
          <c:marker>
            <c:symbol val="none"/>
          </c:marker>
          <c:cat>
            <c:numRef>
              <c:f>'Dashboard - Tables'!$D$16:$J$16</c:f>
              <c:numCache>
                <c:formatCode>General</c:formatCode>
                <c:ptCount val="7"/>
                <c:pt idx="0">
                  <c:v>2020</c:v>
                </c:pt>
                <c:pt idx="1">
                  <c:v>2025</c:v>
                </c:pt>
                <c:pt idx="2">
                  <c:v>2030</c:v>
                </c:pt>
                <c:pt idx="3">
                  <c:v>2035</c:v>
                </c:pt>
                <c:pt idx="4">
                  <c:v>2040</c:v>
                </c:pt>
                <c:pt idx="5">
                  <c:v>2045</c:v>
                </c:pt>
                <c:pt idx="6">
                  <c:v>2050</c:v>
                </c:pt>
              </c:numCache>
            </c:numRef>
          </c:cat>
          <c:val>
            <c:numRef>
              <c:f>'Dashboard - Tables'!$D$20:$J$20</c:f>
              <c:numCache>
                <c:formatCode>0.0</c:formatCode>
                <c:ptCount val="7"/>
                <c:pt idx="0">
                  <c:v>56.44771878224406</c:v>
                </c:pt>
                <c:pt idx="1">
                  <c:v>34.15796081641848</c:v>
                </c:pt>
                <c:pt idx="2">
                  <c:v>25.526644558807334</c:v>
                </c:pt>
                <c:pt idx="3">
                  <c:v>25.392213579850207</c:v>
                </c:pt>
                <c:pt idx="4">
                  <c:v>24.968014990964868</c:v>
                </c:pt>
                <c:pt idx="5">
                  <c:v>24.545499780241947</c:v>
                </c:pt>
                <c:pt idx="6">
                  <c:v>24.132752179123678</c:v>
                </c:pt>
              </c:numCache>
            </c:numRef>
          </c:val>
          <c:smooth val="0"/>
          <c:extLst>
            <c:ext xmlns:c16="http://schemas.microsoft.com/office/drawing/2014/chart" uri="{C3380CC4-5D6E-409C-BE32-E72D297353CC}">
              <c16:uniqueId val="{00000004-8E13-4812-A921-0A24B624F9CA}"/>
            </c:ext>
          </c:extLst>
        </c:ser>
        <c:ser>
          <c:idx val="5"/>
          <c:order val="4"/>
          <c:tx>
            <c:strRef>
              <c:f>'Dashboard - Tables'!$C$21</c:f>
              <c:strCache>
                <c:ptCount val="1"/>
                <c:pt idx="0">
                  <c:v>Biomethanol</c:v>
                </c:pt>
              </c:strCache>
            </c:strRef>
          </c:tx>
          <c:spPr>
            <a:ln w="76200" cap="rnd">
              <a:solidFill>
                <a:schemeClr val="accent6"/>
              </a:solidFill>
              <a:round/>
            </a:ln>
            <a:effectLst/>
          </c:spPr>
          <c:marker>
            <c:symbol val="none"/>
          </c:marker>
          <c:cat>
            <c:numRef>
              <c:f>'Dashboard - Tables'!$D$16:$J$16</c:f>
              <c:numCache>
                <c:formatCode>General</c:formatCode>
                <c:ptCount val="7"/>
                <c:pt idx="0">
                  <c:v>2020</c:v>
                </c:pt>
                <c:pt idx="1">
                  <c:v>2025</c:v>
                </c:pt>
                <c:pt idx="2">
                  <c:v>2030</c:v>
                </c:pt>
                <c:pt idx="3">
                  <c:v>2035</c:v>
                </c:pt>
                <c:pt idx="4">
                  <c:v>2040</c:v>
                </c:pt>
                <c:pt idx="5">
                  <c:v>2045</c:v>
                </c:pt>
                <c:pt idx="6">
                  <c:v>2050</c:v>
                </c:pt>
              </c:numCache>
            </c:numRef>
          </c:cat>
          <c:val>
            <c:numRef>
              <c:f>'Dashboard - Tables'!$D$21:$J$21</c:f>
              <c:numCache>
                <c:formatCode>0.0</c:formatCode>
                <c:ptCount val="7"/>
                <c:pt idx="0">
                  <c:v>51.007160238790995</c:v>
                </c:pt>
                <c:pt idx="1">
                  <c:v>35.917851468003114</c:v>
                </c:pt>
                <c:pt idx="2">
                  <c:v>30.377047685488289</c:v>
                </c:pt>
                <c:pt idx="3">
                  <c:v>28.106631469870184</c:v>
                </c:pt>
                <c:pt idx="4">
                  <c:v>25.887450121103139</c:v>
                </c:pt>
                <c:pt idx="5">
                  <c:v>24.602263834424107</c:v>
                </c:pt>
                <c:pt idx="6">
                  <c:v>23.3548422993738</c:v>
                </c:pt>
              </c:numCache>
            </c:numRef>
          </c:val>
          <c:smooth val="0"/>
          <c:extLst>
            <c:ext xmlns:c16="http://schemas.microsoft.com/office/drawing/2014/chart" uri="{C3380CC4-5D6E-409C-BE32-E72D297353CC}">
              <c16:uniqueId val="{00000002-6DA8-4BF5-9A49-722A13A0EE0E}"/>
            </c:ext>
          </c:extLst>
        </c:ser>
        <c:dLbls>
          <c:showLegendKey val="0"/>
          <c:showVal val="0"/>
          <c:showCatName val="0"/>
          <c:showSerName val="0"/>
          <c:showPercent val="0"/>
          <c:showBubbleSize val="0"/>
        </c:dLbls>
        <c:smooth val="0"/>
        <c:axId val="227439600"/>
        <c:axId val="227442512"/>
      </c:lineChart>
      <c:catAx>
        <c:axId val="227439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a-DK"/>
          </a:p>
        </c:txPr>
        <c:crossAx val="227442512"/>
        <c:crosses val="autoZero"/>
        <c:auto val="1"/>
        <c:lblAlgn val="ctr"/>
        <c:lblOffset val="100"/>
        <c:noMultiLvlLbl val="0"/>
      </c:catAx>
      <c:valAx>
        <c:axId val="227442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a-DK"/>
          </a:p>
        </c:txPr>
        <c:crossAx val="227439600"/>
        <c:crosses val="autoZero"/>
        <c:crossBetween val="between"/>
      </c:valAx>
      <c:spPr>
        <a:noFill/>
        <a:ln>
          <a:noFill/>
        </a:ln>
        <a:effectLst/>
      </c:spPr>
    </c:plotArea>
    <c:legend>
      <c:legendPos val="b"/>
      <c:layout>
        <c:manualLayout>
          <c:xMode val="edge"/>
          <c:yMode val="edge"/>
          <c:x val="7.696905404553897E-2"/>
          <c:y val="0.92964561720389494"/>
          <c:w val="0.89999988451575708"/>
          <c:h val="5.2321184209718888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a-DK"/>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da-DK"/>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'Dashboard - Tables'!$L$5</c:f>
          <c:strCache>
            <c:ptCount val="1"/>
            <c:pt idx="0">
              <c:v>TCO comparison per fuel option in USDm/year, Container (2035)</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a-DK"/>
        </a:p>
      </c:txPr>
    </c:title>
    <c:autoTitleDeleted val="0"/>
    <c:plotArea>
      <c:layout/>
      <c:barChart>
        <c:barDir val="col"/>
        <c:grouping val="stacked"/>
        <c:varyColors val="0"/>
        <c:ser>
          <c:idx val="0"/>
          <c:order val="0"/>
          <c:tx>
            <c:strRef>
              <c:f>'Dashboard - Tables'!$L$7</c:f>
              <c:strCache>
                <c:ptCount val="1"/>
                <c:pt idx="0">
                  <c:v>CAPEX and Finance</c:v>
                </c:pt>
              </c:strCache>
            </c:strRef>
          </c:tx>
          <c:spPr>
            <a:solidFill>
              <a:srgbClr val="969BA0"/>
            </a:solidFill>
            <a:ln>
              <a:noFill/>
            </a:ln>
            <a:effectLst/>
          </c:spPr>
          <c:invertIfNegative val="0"/>
          <c:cat>
            <c:strRef>
              <c:f>'Dashboard - Tables'!$M$6:$Q$6</c:f>
              <c:strCache>
                <c:ptCount val="5"/>
                <c:pt idx="0">
                  <c:v>Vessel 1 - ICE - LSFO</c:v>
                </c:pt>
                <c:pt idx="1">
                  <c:v>Vessel 2 - ICE - LNG</c:v>
                </c:pt>
                <c:pt idx="2">
                  <c:v>Vessel 3 - ICE - e-Ammonia</c:v>
                </c:pt>
                <c:pt idx="3">
                  <c:v>Vessel 4 - ICE - Blue ammonia</c:v>
                </c:pt>
                <c:pt idx="4">
                  <c:v>Vessel 5 - ICE - Biomethanol</c:v>
                </c:pt>
              </c:strCache>
            </c:strRef>
          </c:cat>
          <c:val>
            <c:numRef>
              <c:f>'Dashboard - Tables'!$M$7:$Q$7</c:f>
              <c:numCache>
                <c:formatCode>_(* #,##0.0_);_(* \(#,##0.0\);_(* "-"??_);_(@_)</c:formatCode>
                <c:ptCount val="5"/>
                <c:pt idx="0">
                  <c:v>10.105957500000001</c:v>
                </c:pt>
                <c:pt idx="1">
                  <c:v>12.772353375</c:v>
                </c:pt>
                <c:pt idx="2">
                  <c:v>12.027268375</c:v>
                </c:pt>
                <c:pt idx="3">
                  <c:v>12.027268375</c:v>
                </c:pt>
                <c:pt idx="4">
                  <c:v>11.589413374999999</c:v>
                </c:pt>
              </c:numCache>
            </c:numRef>
          </c:val>
          <c:extLst>
            <c:ext xmlns:c16="http://schemas.microsoft.com/office/drawing/2014/chart" uri="{C3380CC4-5D6E-409C-BE32-E72D297353CC}">
              <c16:uniqueId val="{00000002-6CE8-4DB7-A661-1E35B6C34251}"/>
            </c:ext>
          </c:extLst>
        </c:ser>
        <c:ser>
          <c:idx val="1"/>
          <c:order val="1"/>
          <c:tx>
            <c:strRef>
              <c:f>'Dashboard - Tables'!$L$8</c:f>
              <c:strCache>
                <c:ptCount val="1"/>
                <c:pt idx="0">
                  <c:v>OPEX excl. fuel</c:v>
                </c:pt>
              </c:strCache>
            </c:strRef>
          </c:tx>
          <c:spPr>
            <a:solidFill>
              <a:schemeClr val="accent6"/>
            </a:solidFill>
            <a:ln>
              <a:noFill/>
            </a:ln>
            <a:effectLst/>
          </c:spPr>
          <c:invertIfNegative val="0"/>
          <c:cat>
            <c:strRef>
              <c:f>'Dashboard - Tables'!$M$6:$Q$6</c:f>
              <c:strCache>
                <c:ptCount val="5"/>
                <c:pt idx="0">
                  <c:v>Vessel 1 - ICE - LSFO</c:v>
                </c:pt>
                <c:pt idx="1">
                  <c:v>Vessel 2 - ICE - LNG</c:v>
                </c:pt>
                <c:pt idx="2">
                  <c:v>Vessel 3 - ICE - e-Ammonia</c:v>
                </c:pt>
                <c:pt idx="3">
                  <c:v>Vessel 4 - ICE - Blue ammonia</c:v>
                </c:pt>
                <c:pt idx="4">
                  <c:v>Vessel 5 - ICE - Biomethanol</c:v>
                </c:pt>
              </c:strCache>
            </c:strRef>
          </c:cat>
          <c:val>
            <c:numRef>
              <c:f>'Dashboard - Tables'!$M$8:$Q$8</c:f>
              <c:numCache>
                <c:formatCode>_(* #,##0.0_);_(* \(#,##0.0\);_(* "-"??_);_(@_)</c:formatCode>
                <c:ptCount val="5"/>
                <c:pt idx="0">
                  <c:v>7.8513684705882349</c:v>
                </c:pt>
                <c:pt idx="1">
                  <c:v>8.2816684705882349</c:v>
                </c:pt>
                <c:pt idx="2">
                  <c:v>8.2621452705882348</c:v>
                </c:pt>
                <c:pt idx="3">
                  <c:v>8.2621452705882348</c:v>
                </c:pt>
                <c:pt idx="4">
                  <c:v>7.8788684705882348</c:v>
                </c:pt>
              </c:numCache>
            </c:numRef>
          </c:val>
          <c:extLst>
            <c:ext xmlns:c16="http://schemas.microsoft.com/office/drawing/2014/chart" uri="{C3380CC4-5D6E-409C-BE32-E72D297353CC}">
              <c16:uniqueId val="{00000001-6CE8-4DB7-A661-1E35B6C34251}"/>
            </c:ext>
          </c:extLst>
        </c:ser>
        <c:ser>
          <c:idx val="3"/>
          <c:order val="2"/>
          <c:tx>
            <c:strRef>
              <c:f>'Dashboard - Tables'!$L$9</c:f>
              <c:strCache>
                <c:ptCount val="1"/>
                <c:pt idx="0">
                  <c:v>Total fuel</c:v>
                </c:pt>
              </c:strCache>
            </c:strRef>
          </c:tx>
          <c:spPr>
            <a:solidFill>
              <a:schemeClr val="tx2"/>
            </a:solidFill>
            <a:ln>
              <a:noFill/>
            </a:ln>
            <a:effectLst/>
          </c:spPr>
          <c:invertIfNegative val="0"/>
          <c:cat>
            <c:strRef>
              <c:f>'Dashboard - Tables'!$M$6:$Q$6</c:f>
              <c:strCache>
                <c:ptCount val="5"/>
                <c:pt idx="0">
                  <c:v>Vessel 1 - ICE - LSFO</c:v>
                </c:pt>
                <c:pt idx="1">
                  <c:v>Vessel 2 - ICE - LNG</c:v>
                </c:pt>
                <c:pt idx="2">
                  <c:v>Vessel 3 - ICE - e-Ammonia</c:v>
                </c:pt>
                <c:pt idx="3">
                  <c:v>Vessel 4 - ICE - Blue ammonia</c:v>
                </c:pt>
                <c:pt idx="4">
                  <c:v>Vessel 5 - ICE - Biomethanol</c:v>
                </c:pt>
              </c:strCache>
            </c:strRef>
          </c:cat>
          <c:val>
            <c:numRef>
              <c:f>'Dashboard - Tables'!$M$9:$Q$9</c:f>
              <c:numCache>
                <c:formatCode>_(* #,##0.0_);_(* \(#,##0.0\);_(* "-"??_);_(@_)</c:formatCode>
                <c:ptCount val="5"/>
                <c:pt idx="0">
                  <c:v>13.336176114578192</c:v>
                </c:pt>
                <c:pt idx="1">
                  <c:v>10.356901413658825</c:v>
                </c:pt>
                <c:pt idx="2">
                  <c:v>24.050854383311936</c:v>
                </c:pt>
                <c:pt idx="3">
                  <c:v>24.324601371417913</c:v>
                </c:pt>
                <c:pt idx="4">
                  <c:v>24.730331692154323</c:v>
                </c:pt>
              </c:numCache>
            </c:numRef>
          </c:val>
          <c:extLst>
            <c:ext xmlns:c16="http://schemas.microsoft.com/office/drawing/2014/chart" uri="{C3380CC4-5D6E-409C-BE32-E72D297353CC}">
              <c16:uniqueId val="{00000000-6CE8-4DB7-A661-1E35B6C34251}"/>
            </c:ext>
          </c:extLst>
        </c:ser>
        <c:dLbls>
          <c:showLegendKey val="0"/>
          <c:showVal val="0"/>
          <c:showCatName val="0"/>
          <c:showSerName val="0"/>
          <c:showPercent val="0"/>
          <c:showBubbleSize val="0"/>
        </c:dLbls>
        <c:gapWidth val="75"/>
        <c:overlap val="100"/>
        <c:axId val="553634080"/>
        <c:axId val="692014960"/>
      </c:barChart>
      <c:lineChart>
        <c:grouping val="standard"/>
        <c:varyColors val="0"/>
        <c:ser>
          <c:idx val="2"/>
          <c:order val="3"/>
          <c:tx>
            <c:strRef>
              <c:f>'Dashboard - Tables'!$L$10</c:f>
              <c:strCache>
                <c:ptCount val="1"/>
                <c:pt idx="0">
                  <c:v>Total</c:v>
                </c:pt>
              </c:strCache>
            </c:strRef>
          </c:tx>
          <c:spPr>
            <a:ln w="25400"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a-DK"/>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 - Tables'!$M$6:$Q$6</c:f>
              <c:strCache>
                <c:ptCount val="5"/>
                <c:pt idx="0">
                  <c:v>Vessel 1 - ICE - LSFO</c:v>
                </c:pt>
                <c:pt idx="1">
                  <c:v>Vessel 2 - ICE - LNG</c:v>
                </c:pt>
                <c:pt idx="2">
                  <c:v>Vessel 3 - ICE - e-Ammonia</c:v>
                </c:pt>
                <c:pt idx="3">
                  <c:v>Vessel 4 - ICE - Blue ammonia</c:v>
                </c:pt>
                <c:pt idx="4">
                  <c:v>Vessel 5 - ICE - Biomethanol</c:v>
                </c:pt>
              </c:strCache>
            </c:strRef>
          </c:cat>
          <c:val>
            <c:numRef>
              <c:f>'Dashboard - Tables'!$M$10:$Q$10</c:f>
              <c:numCache>
                <c:formatCode>_(* #,##0.0_);_(* \(#,##0.0\);_(* "-"??_);_(@_)</c:formatCode>
                <c:ptCount val="5"/>
                <c:pt idx="0">
                  <c:v>31.293502085166431</c:v>
                </c:pt>
                <c:pt idx="1">
                  <c:v>31.41092325924706</c:v>
                </c:pt>
                <c:pt idx="2">
                  <c:v>44.340268028900169</c:v>
                </c:pt>
                <c:pt idx="3">
                  <c:v>44.614015017006146</c:v>
                </c:pt>
                <c:pt idx="4">
                  <c:v>44.19861353774256</c:v>
                </c:pt>
              </c:numCache>
            </c:numRef>
          </c:val>
          <c:smooth val="0"/>
          <c:extLst>
            <c:ext xmlns:c16="http://schemas.microsoft.com/office/drawing/2014/chart" uri="{C3380CC4-5D6E-409C-BE32-E72D297353CC}">
              <c16:uniqueId val="{00000009-6CE8-4DB7-A661-1E35B6C34251}"/>
            </c:ext>
          </c:extLst>
        </c:ser>
        <c:dLbls>
          <c:showLegendKey val="0"/>
          <c:showVal val="0"/>
          <c:showCatName val="0"/>
          <c:showSerName val="0"/>
          <c:showPercent val="0"/>
          <c:showBubbleSize val="0"/>
        </c:dLbls>
        <c:marker val="1"/>
        <c:smooth val="0"/>
        <c:axId val="553634080"/>
        <c:axId val="692014960"/>
      </c:lineChart>
      <c:catAx>
        <c:axId val="553634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a-DK"/>
          </a:p>
        </c:txPr>
        <c:crossAx val="692014960"/>
        <c:crosses val="autoZero"/>
        <c:auto val="1"/>
        <c:lblAlgn val="ctr"/>
        <c:lblOffset val="100"/>
        <c:noMultiLvlLbl val="0"/>
      </c:catAx>
      <c:valAx>
        <c:axId val="692014960"/>
        <c:scaling>
          <c:orientation val="minMax"/>
        </c:scaling>
        <c:delete val="0"/>
        <c:axPos val="l"/>
        <c:majorGridlines>
          <c:spPr>
            <a:ln w="9525" cap="flat" cmpd="sng" algn="ctr">
              <a:solidFill>
                <a:schemeClr val="tx1">
                  <a:lumMod val="15000"/>
                  <a:lumOff val="85000"/>
                </a:schemeClr>
              </a:solidFill>
              <a:round/>
            </a:ln>
            <a:effectLst/>
          </c:spPr>
        </c:majorGridlines>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a-DK"/>
          </a:p>
        </c:txPr>
        <c:crossAx val="553634080"/>
        <c:crosses val="autoZero"/>
        <c:crossBetween val="between"/>
      </c:valAx>
      <c:spPr>
        <a:noFill/>
        <a:ln>
          <a:noFill/>
        </a:ln>
        <a:effectLst/>
      </c:spPr>
    </c:plotArea>
    <c:legend>
      <c:legendPos val="b"/>
      <c:legendEntry>
        <c:idx val="3"/>
        <c:delete val="1"/>
      </c:legendEntry>
      <c:layout>
        <c:manualLayout>
          <c:xMode val="edge"/>
          <c:yMode val="edge"/>
          <c:x val="0.15212801809994414"/>
          <c:y val="0.91204290727099024"/>
          <c:w val="0.69801164364386381"/>
          <c:h val="8.7957092729009728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da-DK"/>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'Dashboard - Tables'!$L$25</c:f>
          <c:strCache>
            <c:ptCount val="1"/>
            <c:pt idx="0">
              <c:v>Carbon price impact on fuel cost (USD/GJ) - at 0 USD/ton CO2, (2035)</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a-DK"/>
        </a:p>
      </c:txPr>
    </c:title>
    <c:autoTitleDeleted val="0"/>
    <c:plotArea>
      <c:layout/>
      <c:barChart>
        <c:barDir val="col"/>
        <c:grouping val="stacked"/>
        <c:varyColors val="0"/>
        <c:ser>
          <c:idx val="0"/>
          <c:order val="0"/>
          <c:tx>
            <c:strRef>
              <c:f>'Dashboard - Tables'!$L$27</c:f>
              <c:strCache>
                <c:ptCount val="1"/>
                <c:pt idx="0">
                  <c:v>Fuel cost</c:v>
                </c:pt>
              </c:strCache>
            </c:strRef>
          </c:tx>
          <c:spPr>
            <a:solidFill>
              <a:schemeClr val="tx2"/>
            </a:solidFill>
            <a:ln>
              <a:noFill/>
            </a:ln>
            <a:effectLst/>
          </c:spPr>
          <c:invertIfNegative val="0"/>
          <c:cat>
            <c:strRef>
              <c:f>'Dashboard - Tables'!$M$26:$Q$26</c:f>
              <c:strCache>
                <c:ptCount val="5"/>
                <c:pt idx="0">
                  <c:v>LSFO</c:v>
                </c:pt>
                <c:pt idx="1">
                  <c:v>LNG</c:v>
                </c:pt>
                <c:pt idx="2">
                  <c:v>e-Ammonia</c:v>
                </c:pt>
                <c:pt idx="3">
                  <c:v>Blue ammonia</c:v>
                </c:pt>
                <c:pt idx="4">
                  <c:v>Biomethanol</c:v>
                </c:pt>
              </c:strCache>
            </c:strRef>
          </c:cat>
          <c:val>
            <c:numRef>
              <c:f>'Dashboard - Tables'!$M$27:$Q$27</c:f>
              <c:numCache>
                <c:formatCode>0.00</c:formatCode>
                <c:ptCount val="5"/>
                <c:pt idx="0">
                  <c:v>13.444354593464393</c:v>
                </c:pt>
                <c:pt idx="1">
                  <c:v>10.624039306140117</c:v>
                </c:pt>
                <c:pt idx="2">
                  <c:v>31.843366273798324</c:v>
                </c:pt>
                <c:pt idx="3">
                  <c:v>25.392213579850207</c:v>
                </c:pt>
                <c:pt idx="4">
                  <c:v>28.106631469870184</c:v>
                </c:pt>
              </c:numCache>
            </c:numRef>
          </c:val>
          <c:extLst>
            <c:ext xmlns:c16="http://schemas.microsoft.com/office/drawing/2014/chart" uri="{C3380CC4-5D6E-409C-BE32-E72D297353CC}">
              <c16:uniqueId val="{00000000-C8B1-47FC-BBA2-B6B4637F1EBF}"/>
            </c:ext>
          </c:extLst>
        </c:ser>
        <c:ser>
          <c:idx val="1"/>
          <c:order val="1"/>
          <c:tx>
            <c:strRef>
              <c:f>'Dashboard - Tables'!$L$28</c:f>
              <c:strCache>
                <c:ptCount val="1"/>
                <c:pt idx="0">
                  <c:v>Carbon price impact</c:v>
                </c:pt>
              </c:strCache>
            </c:strRef>
          </c:tx>
          <c:spPr>
            <a:solidFill>
              <a:srgbClr val="505A64"/>
            </a:solidFill>
            <a:ln>
              <a:noFill/>
            </a:ln>
            <a:effectLst/>
          </c:spPr>
          <c:invertIfNegative val="0"/>
          <c:cat>
            <c:strRef>
              <c:f>'Dashboard - Tables'!$M$26:$Q$26</c:f>
              <c:strCache>
                <c:ptCount val="5"/>
                <c:pt idx="0">
                  <c:v>LSFO</c:v>
                </c:pt>
                <c:pt idx="1">
                  <c:v>LNG</c:v>
                </c:pt>
                <c:pt idx="2">
                  <c:v>e-Ammonia</c:v>
                </c:pt>
                <c:pt idx="3">
                  <c:v>Blue ammonia</c:v>
                </c:pt>
                <c:pt idx="4">
                  <c:v>Biomethanol</c:v>
                </c:pt>
              </c:strCache>
            </c:strRef>
          </c:cat>
          <c:val>
            <c:numRef>
              <c:f>'Dashboard - Tables'!$M$28:$Q$28</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1-C8B1-47FC-BBA2-B6B4637F1EBF}"/>
            </c:ext>
          </c:extLst>
        </c:ser>
        <c:dLbls>
          <c:showLegendKey val="0"/>
          <c:showVal val="0"/>
          <c:showCatName val="0"/>
          <c:showSerName val="0"/>
          <c:showPercent val="0"/>
          <c:showBubbleSize val="0"/>
        </c:dLbls>
        <c:gapWidth val="75"/>
        <c:overlap val="100"/>
        <c:axId val="227392176"/>
        <c:axId val="227393008"/>
      </c:barChart>
      <c:lineChart>
        <c:grouping val="standard"/>
        <c:varyColors val="0"/>
        <c:ser>
          <c:idx val="2"/>
          <c:order val="2"/>
          <c:tx>
            <c:strRef>
              <c:f>'Dashboard - Tables'!$L$29</c:f>
              <c:strCache>
                <c:ptCount val="1"/>
                <c:pt idx="0">
                  <c:v>Total</c:v>
                </c:pt>
              </c:strCache>
            </c:strRef>
          </c:tx>
          <c:spPr>
            <a:ln w="28575"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a-DK"/>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 - Tables'!$M$26:$Q$26</c:f>
              <c:strCache>
                <c:ptCount val="5"/>
                <c:pt idx="0">
                  <c:v>LSFO</c:v>
                </c:pt>
                <c:pt idx="1">
                  <c:v>LNG</c:v>
                </c:pt>
                <c:pt idx="2">
                  <c:v>e-Ammonia</c:v>
                </c:pt>
                <c:pt idx="3">
                  <c:v>Blue ammonia</c:v>
                </c:pt>
                <c:pt idx="4">
                  <c:v>Biomethanol</c:v>
                </c:pt>
              </c:strCache>
            </c:strRef>
          </c:cat>
          <c:val>
            <c:numRef>
              <c:f>'Dashboard - Tables'!$M$29:$Q$29</c:f>
              <c:numCache>
                <c:formatCode>0.00</c:formatCode>
                <c:ptCount val="5"/>
                <c:pt idx="0">
                  <c:v>13.444354593464393</c:v>
                </c:pt>
                <c:pt idx="1">
                  <c:v>10.624039306140117</c:v>
                </c:pt>
                <c:pt idx="2">
                  <c:v>31.843366273798324</c:v>
                </c:pt>
                <c:pt idx="3">
                  <c:v>25.392213579850207</c:v>
                </c:pt>
                <c:pt idx="4">
                  <c:v>28.106631469870184</c:v>
                </c:pt>
              </c:numCache>
            </c:numRef>
          </c:val>
          <c:smooth val="0"/>
          <c:extLst>
            <c:ext xmlns:c16="http://schemas.microsoft.com/office/drawing/2014/chart" uri="{C3380CC4-5D6E-409C-BE32-E72D297353CC}">
              <c16:uniqueId val="{00000002-C8B1-47FC-BBA2-B6B4637F1EBF}"/>
            </c:ext>
          </c:extLst>
        </c:ser>
        <c:dLbls>
          <c:showLegendKey val="0"/>
          <c:showVal val="0"/>
          <c:showCatName val="0"/>
          <c:showSerName val="0"/>
          <c:showPercent val="0"/>
          <c:showBubbleSize val="0"/>
        </c:dLbls>
        <c:marker val="1"/>
        <c:smooth val="0"/>
        <c:axId val="227392176"/>
        <c:axId val="227393008"/>
      </c:lineChart>
      <c:catAx>
        <c:axId val="227392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a-DK"/>
          </a:p>
        </c:txPr>
        <c:crossAx val="227393008"/>
        <c:crosses val="autoZero"/>
        <c:auto val="1"/>
        <c:lblAlgn val="ctr"/>
        <c:lblOffset val="100"/>
        <c:noMultiLvlLbl val="0"/>
      </c:catAx>
      <c:valAx>
        <c:axId val="22739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a-DK"/>
          </a:p>
        </c:txPr>
        <c:crossAx val="227392176"/>
        <c:crosses val="autoZero"/>
        <c:crossBetween val="between"/>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da-DK"/>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'Dashboard - Tables'!$L$15</c:f>
          <c:strCache>
            <c:ptCount val="1"/>
            <c:pt idx="0">
              <c:v>Fuel cost breakdown graph for 2035 - Global - USD/GJ</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a-DK"/>
        </a:p>
      </c:txPr>
    </c:title>
    <c:autoTitleDeleted val="0"/>
    <c:plotArea>
      <c:layout/>
      <c:barChart>
        <c:barDir val="col"/>
        <c:grouping val="stacked"/>
        <c:varyColors val="0"/>
        <c:ser>
          <c:idx val="0"/>
          <c:order val="0"/>
          <c:tx>
            <c:strRef>
              <c:f>'Dashboard - Tables'!$L$17</c:f>
              <c:strCache>
                <c:ptCount val="1"/>
                <c:pt idx="0">
                  <c:v>CAPEX</c:v>
                </c:pt>
              </c:strCache>
            </c:strRef>
          </c:tx>
          <c:spPr>
            <a:solidFill>
              <a:srgbClr val="969BA0"/>
            </a:solidFill>
            <a:ln>
              <a:noFill/>
            </a:ln>
            <a:effectLst/>
          </c:spPr>
          <c:invertIfNegative val="0"/>
          <c:cat>
            <c:strRef>
              <c:f>'Dashboard - Tables'!$M$16:$Q$16</c:f>
              <c:strCache>
                <c:ptCount val="5"/>
                <c:pt idx="0">
                  <c:v>LSFO</c:v>
                </c:pt>
                <c:pt idx="1">
                  <c:v>LNG</c:v>
                </c:pt>
                <c:pt idx="2">
                  <c:v>e-Ammonia</c:v>
                </c:pt>
                <c:pt idx="3">
                  <c:v>Blue ammonia</c:v>
                </c:pt>
                <c:pt idx="4">
                  <c:v>Biomethanol</c:v>
                </c:pt>
              </c:strCache>
            </c:strRef>
          </c:cat>
          <c:val>
            <c:numRef>
              <c:f>'Dashboard - Tables'!$M$17:$Q$17</c:f>
              <c:numCache>
                <c:formatCode>0.00</c:formatCode>
                <c:ptCount val="5"/>
                <c:pt idx="0">
                  <c:v>0</c:v>
                </c:pt>
                <c:pt idx="1">
                  <c:v>3.9500709009676336</c:v>
                </c:pt>
                <c:pt idx="2">
                  <c:v>9.0496750820364902</c:v>
                </c:pt>
                <c:pt idx="3">
                  <c:v>5.0744680851063846</c:v>
                </c:pt>
                <c:pt idx="4">
                  <c:v>10.320351758793972</c:v>
                </c:pt>
              </c:numCache>
            </c:numRef>
          </c:val>
          <c:extLst>
            <c:ext xmlns:c16="http://schemas.microsoft.com/office/drawing/2014/chart" uri="{C3380CC4-5D6E-409C-BE32-E72D297353CC}">
              <c16:uniqueId val="{00000000-484B-4741-AC16-08A5EDB628B9}"/>
            </c:ext>
          </c:extLst>
        </c:ser>
        <c:ser>
          <c:idx val="1"/>
          <c:order val="1"/>
          <c:tx>
            <c:strRef>
              <c:f>'Dashboard - Tables'!$L$18</c:f>
              <c:strCache>
                <c:ptCount val="1"/>
                <c:pt idx="0">
                  <c:v>OPEX excl. feedstock</c:v>
                </c:pt>
              </c:strCache>
            </c:strRef>
          </c:tx>
          <c:spPr>
            <a:solidFill>
              <a:schemeClr val="accent6"/>
            </a:solidFill>
            <a:ln>
              <a:noFill/>
            </a:ln>
            <a:effectLst/>
          </c:spPr>
          <c:invertIfNegative val="0"/>
          <c:cat>
            <c:strRef>
              <c:f>'Dashboard - Tables'!$M$16:$Q$16</c:f>
              <c:strCache>
                <c:ptCount val="5"/>
                <c:pt idx="0">
                  <c:v>LSFO</c:v>
                </c:pt>
                <c:pt idx="1">
                  <c:v>LNG</c:v>
                </c:pt>
                <c:pt idx="2">
                  <c:v>e-Ammonia</c:v>
                </c:pt>
                <c:pt idx="3">
                  <c:v>Blue ammonia</c:v>
                </c:pt>
                <c:pt idx="4">
                  <c:v>Biomethanol</c:v>
                </c:pt>
              </c:strCache>
            </c:strRef>
          </c:cat>
          <c:val>
            <c:numRef>
              <c:f>'Dashboard - Tables'!$M$18:$Q$18</c:f>
              <c:numCache>
                <c:formatCode>0.00</c:formatCode>
                <c:ptCount val="5"/>
                <c:pt idx="0">
                  <c:v>0</c:v>
                </c:pt>
                <c:pt idx="1">
                  <c:v>0.34185123116465843</c:v>
                </c:pt>
                <c:pt idx="2">
                  <c:v>7.8545876139082926</c:v>
                </c:pt>
                <c:pt idx="3">
                  <c:v>2.2978723404255321</c:v>
                </c:pt>
                <c:pt idx="4">
                  <c:v>7.728673466435712</c:v>
                </c:pt>
              </c:numCache>
            </c:numRef>
          </c:val>
          <c:extLst>
            <c:ext xmlns:c16="http://schemas.microsoft.com/office/drawing/2014/chart" uri="{C3380CC4-5D6E-409C-BE32-E72D297353CC}">
              <c16:uniqueId val="{00000001-484B-4741-AC16-08A5EDB628B9}"/>
            </c:ext>
          </c:extLst>
        </c:ser>
        <c:ser>
          <c:idx val="2"/>
          <c:order val="2"/>
          <c:tx>
            <c:strRef>
              <c:f>'Dashboard - Tables'!$L$19</c:f>
              <c:strCache>
                <c:ptCount val="1"/>
                <c:pt idx="0">
                  <c:v>Other feedstock</c:v>
                </c:pt>
              </c:strCache>
            </c:strRef>
          </c:tx>
          <c:spPr>
            <a:solidFill>
              <a:srgbClr val="CDF0D7"/>
            </a:solidFill>
            <a:ln>
              <a:noFill/>
            </a:ln>
            <a:effectLst/>
          </c:spPr>
          <c:invertIfNegative val="0"/>
          <c:cat>
            <c:strRef>
              <c:f>'Dashboard - Tables'!$M$16:$Q$16</c:f>
              <c:strCache>
                <c:ptCount val="5"/>
                <c:pt idx="0">
                  <c:v>LSFO</c:v>
                </c:pt>
                <c:pt idx="1">
                  <c:v>LNG</c:v>
                </c:pt>
                <c:pt idx="2">
                  <c:v>e-Ammonia</c:v>
                </c:pt>
                <c:pt idx="3">
                  <c:v>Blue ammonia</c:v>
                </c:pt>
                <c:pt idx="4">
                  <c:v>Biomethanol</c:v>
                </c:pt>
              </c:strCache>
            </c:strRef>
          </c:cat>
          <c:val>
            <c:numRef>
              <c:f>'Dashboard - Tables'!$M$19:$Q$19</c:f>
              <c:numCache>
                <c:formatCode>0.00</c:formatCode>
                <c:ptCount val="5"/>
                <c:pt idx="0">
                  <c:v>0</c:v>
                </c:pt>
                <c:pt idx="1">
                  <c:v>5.4791666666666679</c:v>
                </c:pt>
                <c:pt idx="2">
                  <c:v>0</c:v>
                </c:pt>
                <c:pt idx="3">
                  <c:v>9.7674868293764678</c:v>
                </c:pt>
                <c:pt idx="4">
                  <c:v>9.0410638885402985</c:v>
                </c:pt>
              </c:numCache>
            </c:numRef>
          </c:val>
          <c:extLst>
            <c:ext xmlns:c16="http://schemas.microsoft.com/office/drawing/2014/chart" uri="{C3380CC4-5D6E-409C-BE32-E72D297353CC}">
              <c16:uniqueId val="{00000002-484B-4741-AC16-08A5EDB628B9}"/>
            </c:ext>
          </c:extLst>
        </c:ser>
        <c:ser>
          <c:idx val="3"/>
          <c:order val="3"/>
          <c:tx>
            <c:strRef>
              <c:f>'Dashboard - Tables'!$L$20</c:f>
              <c:strCache>
                <c:ptCount val="1"/>
                <c:pt idx="0">
                  <c:v>CO2 (feedstock or CCS)</c:v>
                </c:pt>
              </c:strCache>
            </c:strRef>
          </c:tx>
          <c:spPr>
            <a:solidFill>
              <a:schemeClr val="accent5">
                <a:lumMod val="25000"/>
                <a:lumOff val="75000"/>
              </a:schemeClr>
            </a:solidFill>
            <a:ln>
              <a:noFill/>
            </a:ln>
            <a:effectLst/>
          </c:spPr>
          <c:invertIfNegative val="0"/>
          <c:cat>
            <c:strRef>
              <c:f>'Dashboard - Tables'!$M$16:$Q$16</c:f>
              <c:strCache>
                <c:ptCount val="5"/>
                <c:pt idx="0">
                  <c:v>LSFO</c:v>
                </c:pt>
                <c:pt idx="1">
                  <c:v>LNG</c:v>
                </c:pt>
                <c:pt idx="2">
                  <c:v>e-Ammonia</c:v>
                </c:pt>
                <c:pt idx="3">
                  <c:v>Blue ammonia</c:v>
                </c:pt>
                <c:pt idx="4">
                  <c:v>Biomethanol</c:v>
                </c:pt>
              </c:strCache>
            </c:strRef>
          </c:cat>
          <c:val>
            <c:numRef>
              <c:f>'Dashboard - Tables'!$M$20:$Q$20</c:f>
              <c:numCache>
                <c:formatCode>0.00</c:formatCode>
                <c:ptCount val="5"/>
                <c:pt idx="0">
                  <c:v>0</c:v>
                </c:pt>
                <c:pt idx="1">
                  <c:v>0</c:v>
                </c:pt>
                <c:pt idx="2">
                  <c:v>0</c:v>
                </c:pt>
                <c:pt idx="3">
                  <c:v>7.1302127659574479</c:v>
                </c:pt>
                <c:pt idx="4">
                  <c:v>0</c:v>
                </c:pt>
              </c:numCache>
            </c:numRef>
          </c:val>
          <c:extLst>
            <c:ext xmlns:c16="http://schemas.microsoft.com/office/drawing/2014/chart" uri="{C3380CC4-5D6E-409C-BE32-E72D297353CC}">
              <c16:uniqueId val="{00000003-484B-4741-AC16-08A5EDB628B9}"/>
            </c:ext>
          </c:extLst>
        </c:ser>
        <c:ser>
          <c:idx val="4"/>
          <c:order val="4"/>
          <c:tx>
            <c:strRef>
              <c:f>'Dashboard - Tables'!$L$21</c:f>
              <c:strCache>
                <c:ptCount val="1"/>
                <c:pt idx="0">
                  <c:v>Electricity</c:v>
                </c:pt>
              </c:strCache>
            </c:strRef>
          </c:tx>
          <c:spPr>
            <a:solidFill>
              <a:srgbClr val="327869"/>
            </a:solidFill>
            <a:ln>
              <a:noFill/>
            </a:ln>
            <a:effectLst/>
          </c:spPr>
          <c:invertIfNegative val="0"/>
          <c:cat>
            <c:strRef>
              <c:f>'Dashboard - Tables'!$M$16:$Q$16</c:f>
              <c:strCache>
                <c:ptCount val="5"/>
                <c:pt idx="0">
                  <c:v>LSFO</c:v>
                </c:pt>
                <c:pt idx="1">
                  <c:v>LNG</c:v>
                </c:pt>
                <c:pt idx="2">
                  <c:v>e-Ammonia</c:v>
                </c:pt>
                <c:pt idx="3">
                  <c:v>Blue ammonia</c:v>
                </c:pt>
                <c:pt idx="4">
                  <c:v>Biomethanol</c:v>
                </c:pt>
              </c:strCache>
            </c:strRef>
          </c:cat>
          <c:val>
            <c:numRef>
              <c:f>'Dashboard - Tables'!$M$21:$Q$21</c:f>
              <c:numCache>
                <c:formatCode>0.00</c:formatCode>
                <c:ptCount val="5"/>
                <c:pt idx="0">
                  <c:v>0</c:v>
                </c:pt>
                <c:pt idx="1">
                  <c:v>0</c:v>
                </c:pt>
                <c:pt idx="2">
                  <c:v>13.816930018869165</c:v>
                </c:pt>
                <c:pt idx="3">
                  <c:v>0</c:v>
                </c:pt>
                <c:pt idx="4">
                  <c:v>0</c:v>
                </c:pt>
              </c:numCache>
            </c:numRef>
          </c:val>
          <c:extLst>
            <c:ext xmlns:c16="http://schemas.microsoft.com/office/drawing/2014/chart" uri="{C3380CC4-5D6E-409C-BE32-E72D297353CC}">
              <c16:uniqueId val="{00000004-484B-4741-AC16-08A5EDB628B9}"/>
            </c:ext>
          </c:extLst>
        </c:ser>
        <c:ser>
          <c:idx val="6"/>
          <c:order val="5"/>
          <c:tx>
            <c:strRef>
              <c:f>'Dashboard - Tables'!$L$22</c:f>
              <c:strCache>
                <c:ptCount val="1"/>
                <c:pt idx="0">
                  <c:v>Not modelled</c:v>
                </c:pt>
              </c:strCache>
            </c:strRef>
          </c:tx>
          <c:spPr>
            <a:solidFill>
              <a:schemeClr val="accent1">
                <a:lumMod val="60000"/>
              </a:schemeClr>
            </a:solidFill>
            <a:ln>
              <a:noFill/>
            </a:ln>
            <a:effectLst/>
          </c:spPr>
          <c:invertIfNegative val="0"/>
          <c:cat>
            <c:strRef>
              <c:f>'Dashboard - Tables'!$M$16:$Q$16</c:f>
              <c:strCache>
                <c:ptCount val="5"/>
                <c:pt idx="0">
                  <c:v>LSFO</c:v>
                </c:pt>
                <c:pt idx="1">
                  <c:v>LNG</c:v>
                </c:pt>
                <c:pt idx="2">
                  <c:v>e-Ammonia</c:v>
                </c:pt>
                <c:pt idx="3">
                  <c:v>Blue ammonia</c:v>
                </c:pt>
                <c:pt idx="4">
                  <c:v>Biomethanol</c:v>
                </c:pt>
              </c:strCache>
            </c:strRef>
          </c:cat>
          <c:val>
            <c:numRef>
              <c:f>'Dashboard - Tables'!$M$22:$Q$22</c:f>
              <c:numCache>
                <c:formatCode>0.00</c:formatCode>
                <c:ptCount val="5"/>
                <c:pt idx="0">
                  <c:v>13.444354593464393</c:v>
                </c:pt>
                <c:pt idx="1">
                  <c:v>0</c:v>
                </c:pt>
                <c:pt idx="2">
                  <c:v>0</c:v>
                </c:pt>
                <c:pt idx="3">
                  <c:v>0</c:v>
                </c:pt>
                <c:pt idx="4">
                  <c:v>0</c:v>
                </c:pt>
              </c:numCache>
            </c:numRef>
          </c:val>
          <c:extLst>
            <c:ext xmlns:c16="http://schemas.microsoft.com/office/drawing/2014/chart" uri="{C3380CC4-5D6E-409C-BE32-E72D297353CC}">
              <c16:uniqueId val="{00000005-484B-4741-AC16-08A5EDB628B9}"/>
            </c:ext>
          </c:extLst>
        </c:ser>
        <c:dLbls>
          <c:showLegendKey val="0"/>
          <c:showVal val="0"/>
          <c:showCatName val="0"/>
          <c:showSerName val="0"/>
          <c:showPercent val="0"/>
          <c:showBubbleSize val="0"/>
        </c:dLbls>
        <c:gapWidth val="75"/>
        <c:overlap val="100"/>
        <c:axId val="227392176"/>
        <c:axId val="227393008"/>
      </c:barChart>
      <c:lineChart>
        <c:grouping val="standard"/>
        <c:varyColors val="0"/>
        <c:ser>
          <c:idx val="5"/>
          <c:order val="6"/>
          <c:tx>
            <c:strRef>
              <c:f>'Dashboard - Tables'!$L$23</c:f>
              <c:strCache>
                <c:ptCount val="1"/>
                <c:pt idx="0">
                  <c:v>Total</c:v>
                </c:pt>
              </c:strCache>
            </c:strRef>
          </c:tx>
          <c:spPr>
            <a:ln w="28575"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a-DK"/>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'[1]Data for dashboard'!#REF!</c:f>
              <c:strCache>
                <c:ptCount val="1"/>
                <c:pt idx="0">
                  <c:v>#REF!</c:v>
                </c:pt>
              </c:strCache>
            </c:strRef>
          </c:cat>
          <c:val>
            <c:numRef>
              <c:f>'Dashboard - Tables'!$M$23:$Q$23</c:f>
              <c:numCache>
                <c:formatCode>0.00</c:formatCode>
                <c:ptCount val="5"/>
                <c:pt idx="0">
                  <c:v>13.444354593464393</c:v>
                </c:pt>
                <c:pt idx="1">
                  <c:v>9.7710887987989601</c:v>
                </c:pt>
                <c:pt idx="2">
                  <c:v>30.721192714813949</c:v>
                </c:pt>
                <c:pt idx="3">
                  <c:v>24.270040020865832</c:v>
                </c:pt>
                <c:pt idx="4">
                  <c:v>27.090089113769984</c:v>
                </c:pt>
              </c:numCache>
            </c:numRef>
          </c:val>
          <c:smooth val="0"/>
          <c:extLst>
            <c:ext xmlns:c16="http://schemas.microsoft.com/office/drawing/2014/chart" uri="{C3380CC4-5D6E-409C-BE32-E72D297353CC}">
              <c16:uniqueId val="{00000006-484B-4741-AC16-08A5EDB628B9}"/>
            </c:ext>
          </c:extLst>
        </c:ser>
        <c:dLbls>
          <c:showLegendKey val="0"/>
          <c:showVal val="0"/>
          <c:showCatName val="0"/>
          <c:showSerName val="0"/>
          <c:showPercent val="0"/>
          <c:showBubbleSize val="0"/>
        </c:dLbls>
        <c:marker val="1"/>
        <c:smooth val="0"/>
        <c:axId val="227392176"/>
        <c:axId val="227393008"/>
      </c:lineChart>
      <c:catAx>
        <c:axId val="227392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a-DK"/>
          </a:p>
        </c:txPr>
        <c:crossAx val="227393008"/>
        <c:crosses val="autoZero"/>
        <c:auto val="1"/>
        <c:lblAlgn val="ctr"/>
        <c:lblOffset val="100"/>
        <c:noMultiLvlLbl val="0"/>
      </c:catAx>
      <c:valAx>
        <c:axId val="22739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a-DK"/>
          </a:p>
        </c:txPr>
        <c:crossAx val="227392176"/>
        <c:crosses val="autoZero"/>
        <c:crossBetween val="between"/>
      </c:valAx>
      <c:spPr>
        <a:noFill/>
        <a:ln>
          <a:noFill/>
        </a:ln>
        <a:effectLst/>
      </c:spPr>
    </c:plotArea>
    <c:legend>
      <c:legendPos val="b"/>
      <c:legendEntry>
        <c:idx val="6"/>
        <c:delete val="1"/>
      </c:legendEntry>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da-DK"/>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'Dashboard - Tables'!$B$25</c:f>
          <c:strCache>
            <c:ptCount val="1"/>
            <c:pt idx="0">
              <c:v>Well-to-wake emission factors (kgCO2/GJ)</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a-DK"/>
        </a:p>
      </c:txPr>
    </c:title>
    <c:autoTitleDeleted val="0"/>
    <c:plotArea>
      <c:layout/>
      <c:lineChart>
        <c:grouping val="standard"/>
        <c:varyColors val="0"/>
        <c:ser>
          <c:idx val="1"/>
          <c:order val="0"/>
          <c:tx>
            <c:strRef>
              <c:f>'Dashboard - Tables'!$C$27</c:f>
              <c:strCache>
                <c:ptCount val="1"/>
                <c:pt idx="0">
                  <c:v>LSFO</c:v>
                </c:pt>
              </c:strCache>
            </c:strRef>
          </c:tx>
          <c:spPr>
            <a:ln w="76200" cap="rnd">
              <a:solidFill>
                <a:srgbClr val="2D2D37"/>
              </a:solidFill>
              <a:round/>
            </a:ln>
            <a:effectLst/>
          </c:spPr>
          <c:marker>
            <c:symbol val="none"/>
          </c:marker>
          <c:cat>
            <c:numRef>
              <c:f>'Dashboard - Tables'!$D$26:$J$26</c:f>
              <c:numCache>
                <c:formatCode>General</c:formatCode>
                <c:ptCount val="7"/>
                <c:pt idx="0">
                  <c:v>2020</c:v>
                </c:pt>
                <c:pt idx="1">
                  <c:v>2025</c:v>
                </c:pt>
                <c:pt idx="2">
                  <c:v>2030</c:v>
                </c:pt>
                <c:pt idx="3">
                  <c:v>2035</c:v>
                </c:pt>
                <c:pt idx="4">
                  <c:v>2040</c:v>
                </c:pt>
                <c:pt idx="5">
                  <c:v>2045</c:v>
                </c:pt>
                <c:pt idx="6">
                  <c:v>2050</c:v>
                </c:pt>
              </c:numCache>
            </c:numRef>
          </c:cat>
          <c:val>
            <c:numRef>
              <c:f>'Dashboard - Tables'!$D$27:$J$27</c:f>
              <c:numCache>
                <c:formatCode>0.0</c:formatCode>
                <c:ptCount val="7"/>
                <c:pt idx="0">
                  <c:v>92.679854368932027</c:v>
                </c:pt>
                <c:pt idx="1">
                  <c:v>92.679854368932027</c:v>
                </c:pt>
                <c:pt idx="2">
                  <c:v>92.679854368932027</c:v>
                </c:pt>
                <c:pt idx="3">
                  <c:v>92.679854368932027</c:v>
                </c:pt>
                <c:pt idx="4">
                  <c:v>92.679854368932027</c:v>
                </c:pt>
                <c:pt idx="5">
                  <c:v>92.679854368932027</c:v>
                </c:pt>
                <c:pt idx="6">
                  <c:v>92.679854368932027</c:v>
                </c:pt>
              </c:numCache>
            </c:numRef>
          </c:val>
          <c:smooth val="0"/>
          <c:extLst>
            <c:ext xmlns:c16="http://schemas.microsoft.com/office/drawing/2014/chart" uri="{C3380CC4-5D6E-409C-BE32-E72D297353CC}">
              <c16:uniqueId val="{00000001-C8F0-4B16-A7D1-D950F95B072F}"/>
            </c:ext>
          </c:extLst>
        </c:ser>
        <c:ser>
          <c:idx val="2"/>
          <c:order val="1"/>
          <c:tx>
            <c:strRef>
              <c:f>'Dashboard - Tables'!$C$28</c:f>
              <c:strCache>
                <c:ptCount val="1"/>
                <c:pt idx="0">
                  <c:v>LNG</c:v>
                </c:pt>
              </c:strCache>
            </c:strRef>
          </c:tx>
          <c:spPr>
            <a:ln w="76200" cap="rnd">
              <a:solidFill>
                <a:srgbClr val="D2D2D4"/>
              </a:solidFill>
              <a:round/>
            </a:ln>
            <a:effectLst/>
          </c:spPr>
          <c:marker>
            <c:symbol val="none"/>
          </c:marker>
          <c:cat>
            <c:numRef>
              <c:f>'Dashboard - Tables'!$D$26:$J$26</c:f>
              <c:numCache>
                <c:formatCode>General</c:formatCode>
                <c:ptCount val="7"/>
                <c:pt idx="0">
                  <c:v>2020</c:v>
                </c:pt>
                <c:pt idx="1">
                  <c:v>2025</c:v>
                </c:pt>
                <c:pt idx="2">
                  <c:v>2030</c:v>
                </c:pt>
                <c:pt idx="3">
                  <c:v>2035</c:v>
                </c:pt>
                <c:pt idx="4">
                  <c:v>2040</c:v>
                </c:pt>
                <c:pt idx="5">
                  <c:v>2045</c:v>
                </c:pt>
                <c:pt idx="6">
                  <c:v>2050</c:v>
                </c:pt>
              </c:numCache>
            </c:numRef>
          </c:cat>
          <c:val>
            <c:numRef>
              <c:f>'Dashboard - Tables'!$D$28:$J$28</c:f>
              <c:numCache>
                <c:formatCode>0.0</c:formatCode>
                <c:ptCount val="7"/>
                <c:pt idx="0">
                  <c:v>96.507077555104573</c:v>
                </c:pt>
                <c:pt idx="1">
                  <c:v>96.23903148544521</c:v>
                </c:pt>
                <c:pt idx="2">
                  <c:v>96.052554952346611</c:v>
                </c:pt>
                <c:pt idx="3">
                  <c:v>95.922825397122523</c:v>
                </c:pt>
                <c:pt idx="4">
                  <c:v>95.832574054398677</c:v>
                </c:pt>
                <c:pt idx="5">
                  <c:v>95.769787244951985</c:v>
                </c:pt>
                <c:pt idx="6">
                  <c:v>95.726107191874462</c:v>
                </c:pt>
              </c:numCache>
            </c:numRef>
          </c:val>
          <c:smooth val="0"/>
          <c:extLst>
            <c:ext xmlns:c16="http://schemas.microsoft.com/office/drawing/2014/chart" uri="{C3380CC4-5D6E-409C-BE32-E72D297353CC}">
              <c16:uniqueId val="{00000002-C8F0-4B16-A7D1-D950F95B072F}"/>
            </c:ext>
          </c:extLst>
        </c:ser>
        <c:ser>
          <c:idx val="3"/>
          <c:order val="2"/>
          <c:tx>
            <c:strRef>
              <c:f>'Dashboard - Tables'!$C$29</c:f>
              <c:strCache>
                <c:ptCount val="1"/>
                <c:pt idx="0">
                  <c:v>e-Ammonia</c:v>
                </c:pt>
              </c:strCache>
            </c:strRef>
          </c:tx>
          <c:spPr>
            <a:ln w="76200" cap="rnd">
              <a:solidFill>
                <a:schemeClr val="tx2"/>
              </a:solidFill>
              <a:round/>
            </a:ln>
            <a:effectLst/>
          </c:spPr>
          <c:marker>
            <c:symbol val="none"/>
          </c:marker>
          <c:cat>
            <c:numRef>
              <c:f>'Dashboard - Tables'!$D$26:$J$26</c:f>
              <c:numCache>
                <c:formatCode>General</c:formatCode>
                <c:ptCount val="7"/>
                <c:pt idx="0">
                  <c:v>2020</c:v>
                </c:pt>
                <c:pt idx="1">
                  <c:v>2025</c:v>
                </c:pt>
                <c:pt idx="2">
                  <c:v>2030</c:v>
                </c:pt>
                <c:pt idx="3">
                  <c:v>2035</c:v>
                </c:pt>
                <c:pt idx="4">
                  <c:v>2040</c:v>
                </c:pt>
                <c:pt idx="5">
                  <c:v>2045</c:v>
                </c:pt>
                <c:pt idx="6">
                  <c:v>2050</c:v>
                </c:pt>
              </c:numCache>
            </c:numRef>
          </c:cat>
          <c:val>
            <c:numRef>
              <c:f>'Dashboard - Tables'!$D$29:$J$29</c:f>
              <c:numCache>
                <c:formatCode>0.0</c:formatCode>
                <c:ptCount val="7"/>
                <c:pt idx="0">
                  <c:v>4.2782878391777741</c:v>
                </c:pt>
                <c:pt idx="1">
                  <c:v>3.8338523377262113</c:v>
                </c:pt>
                <c:pt idx="2">
                  <c:v>3.4969302851354476</c:v>
                </c:pt>
                <c:pt idx="3">
                  <c:v>3.1902808810798975</c:v>
                </c:pt>
                <c:pt idx="4">
                  <c:v>2.9274882644873275</c:v>
                </c:pt>
                <c:pt idx="5">
                  <c:v>2.669936659106797</c:v>
                </c:pt>
                <c:pt idx="6">
                  <c:v>2.4763518144036567</c:v>
                </c:pt>
              </c:numCache>
            </c:numRef>
          </c:val>
          <c:smooth val="0"/>
          <c:extLst>
            <c:ext xmlns:c16="http://schemas.microsoft.com/office/drawing/2014/chart" uri="{C3380CC4-5D6E-409C-BE32-E72D297353CC}">
              <c16:uniqueId val="{00000003-C8F0-4B16-A7D1-D950F95B072F}"/>
            </c:ext>
          </c:extLst>
        </c:ser>
        <c:ser>
          <c:idx val="4"/>
          <c:order val="3"/>
          <c:tx>
            <c:strRef>
              <c:f>'Dashboard - Tables'!$C$30</c:f>
              <c:strCache>
                <c:ptCount val="1"/>
                <c:pt idx="0">
                  <c:v>Blue ammonia</c:v>
                </c:pt>
              </c:strCache>
            </c:strRef>
          </c:tx>
          <c:spPr>
            <a:ln w="76200" cap="rnd">
              <a:solidFill>
                <a:schemeClr val="accent5">
                  <a:lumMod val="50000"/>
                  <a:lumOff val="50000"/>
                </a:schemeClr>
              </a:solidFill>
              <a:round/>
            </a:ln>
            <a:effectLst/>
          </c:spPr>
          <c:marker>
            <c:symbol val="none"/>
          </c:marker>
          <c:cat>
            <c:numRef>
              <c:f>'Dashboard - Tables'!$D$26:$J$26</c:f>
              <c:numCache>
                <c:formatCode>General</c:formatCode>
                <c:ptCount val="7"/>
                <c:pt idx="0">
                  <c:v>2020</c:v>
                </c:pt>
                <c:pt idx="1">
                  <c:v>2025</c:v>
                </c:pt>
                <c:pt idx="2">
                  <c:v>2030</c:v>
                </c:pt>
                <c:pt idx="3">
                  <c:v>2035</c:v>
                </c:pt>
                <c:pt idx="4">
                  <c:v>2040</c:v>
                </c:pt>
                <c:pt idx="5">
                  <c:v>2045</c:v>
                </c:pt>
                <c:pt idx="6">
                  <c:v>2050</c:v>
                </c:pt>
              </c:numCache>
            </c:numRef>
          </c:cat>
          <c:val>
            <c:numRef>
              <c:f>'Dashboard - Tables'!$D$30:$J$30</c:f>
              <c:numCache>
                <c:formatCode>0.0</c:formatCode>
                <c:ptCount val="7"/>
                <c:pt idx="0">
                  <c:v>23.501345970568721</c:v>
                </c:pt>
                <c:pt idx="1">
                  <c:v>22.068628933470897</c:v>
                </c:pt>
                <c:pt idx="2">
                  <c:v>20.767167011016767</c:v>
                </c:pt>
                <c:pt idx="3">
                  <c:v>19.557017745231413</c:v>
                </c:pt>
                <c:pt idx="4">
                  <c:v>18.410393632660419</c:v>
                </c:pt>
                <c:pt idx="5">
                  <c:v>17.307963230338629</c:v>
                </c:pt>
                <c:pt idx="6">
                  <c:v>16.236277878233448</c:v>
                </c:pt>
              </c:numCache>
            </c:numRef>
          </c:val>
          <c:smooth val="0"/>
          <c:extLst>
            <c:ext xmlns:c16="http://schemas.microsoft.com/office/drawing/2014/chart" uri="{C3380CC4-5D6E-409C-BE32-E72D297353CC}">
              <c16:uniqueId val="{00000004-C8F0-4B16-A7D1-D950F95B072F}"/>
            </c:ext>
          </c:extLst>
        </c:ser>
        <c:ser>
          <c:idx val="5"/>
          <c:order val="4"/>
          <c:tx>
            <c:strRef>
              <c:f>'Dashboard - Tables'!$C$31</c:f>
              <c:strCache>
                <c:ptCount val="1"/>
                <c:pt idx="0">
                  <c:v>Biomethanol</c:v>
                </c:pt>
              </c:strCache>
            </c:strRef>
          </c:tx>
          <c:spPr>
            <a:ln w="76200" cap="rnd">
              <a:solidFill>
                <a:schemeClr val="accent6"/>
              </a:solidFill>
              <a:round/>
            </a:ln>
            <a:effectLst/>
          </c:spPr>
          <c:marker>
            <c:symbol val="none"/>
          </c:marker>
          <c:cat>
            <c:numRef>
              <c:f>'Dashboard - Tables'!$D$26:$J$26</c:f>
              <c:numCache>
                <c:formatCode>General</c:formatCode>
                <c:ptCount val="7"/>
                <c:pt idx="0">
                  <c:v>2020</c:v>
                </c:pt>
                <c:pt idx="1">
                  <c:v>2025</c:v>
                </c:pt>
                <c:pt idx="2">
                  <c:v>2030</c:v>
                </c:pt>
                <c:pt idx="3">
                  <c:v>2035</c:v>
                </c:pt>
                <c:pt idx="4">
                  <c:v>2040</c:v>
                </c:pt>
                <c:pt idx="5">
                  <c:v>2045</c:v>
                </c:pt>
                <c:pt idx="6">
                  <c:v>2050</c:v>
                </c:pt>
              </c:numCache>
            </c:numRef>
          </c:cat>
          <c:val>
            <c:numRef>
              <c:f>'Dashboard - Tables'!$D$31:$J$31</c:f>
              <c:numCache>
                <c:formatCode>0.0</c:formatCode>
                <c:ptCount val="7"/>
                <c:pt idx="0">
                  <c:v>12.707638016433009</c:v>
                </c:pt>
                <c:pt idx="1">
                  <c:v>10.572570706594405</c:v>
                </c:pt>
                <c:pt idx="2">
                  <c:v>8.5872245680108463</c:v>
                </c:pt>
                <c:pt idx="3">
                  <c:v>6.7063444568781136</c:v>
                </c:pt>
                <c:pt idx="4">
                  <c:v>4.8981401460298883</c:v>
                </c:pt>
                <c:pt idx="5">
                  <c:v>3.1404955441691698</c:v>
                </c:pt>
                <c:pt idx="6">
                  <c:v>1.4180247438062281</c:v>
                </c:pt>
              </c:numCache>
            </c:numRef>
          </c:val>
          <c:smooth val="0"/>
          <c:extLst>
            <c:ext xmlns:c16="http://schemas.microsoft.com/office/drawing/2014/chart" uri="{C3380CC4-5D6E-409C-BE32-E72D297353CC}">
              <c16:uniqueId val="{00000001-4A44-4FBE-B7B5-52FD1A02350A}"/>
            </c:ext>
          </c:extLst>
        </c:ser>
        <c:dLbls>
          <c:showLegendKey val="0"/>
          <c:showVal val="0"/>
          <c:showCatName val="0"/>
          <c:showSerName val="0"/>
          <c:showPercent val="0"/>
          <c:showBubbleSize val="0"/>
        </c:dLbls>
        <c:smooth val="0"/>
        <c:axId val="227439600"/>
        <c:axId val="227442512"/>
      </c:lineChart>
      <c:catAx>
        <c:axId val="227439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a-DK"/>
          </a:p>
        </c:txPr>
        <c:crossAx val="227442512"/>
        <c:crosses val="autoZero"/>
        <c:auto val="1"/>
        <c:lblAlgn val="ctr"/>
        <c:lblOffset val="100"/>
        <c:noMultiLvlLbl val="0"/>
      </c:catAx>
      <c:valAx>
        <c:axId val="227442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a-DK"/>
          </a:p>
        </c:txPr>
        <c:crossAx val="227439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a-DK"/>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da-DK"/>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'Dashboard - Tables'!$L$5</c:f>
          <c:strCache>
            <c:ptCount val="1"/>
            <c:pt idx="0">
              <c:v>TCO comparison per fuel option in USDm/year, Container (2035)</c:v>
            </c:pt>
          </c:strCache>
        </c:strRef>
      </c:tx>
      <c:overlay val="0"/>
      <c:spPr>
        <a:noFill/>
        <a:ln>
          <a:noFill/>
        </a:ln>
        <a:effectLst/>
      </c:spPr>
      <c:txPr>
        <a:bodyPr rot="0" spcFirstLastPara="1" vertOverflow="ellipsis" vert="horz" wrap="square" anchor="ctr" anchorCtr="1"/>
        <a:lstStyle/>
        <a:p>
          <a:pPr>
            <a:defRPr sz="168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a-DK"/>
        </a:p>
      </c:txPr>
    </c:title>
    <c:autoTitleDeleted val="0"/>
    <c:plotArea>
      <c:layout/>
      <c:barChart>
        <c:barDir val="col"/>
        <c:grouping val="stacked"/>
        <c:varyColors val="0"/>
        <c:ser>
          <c:idx val="0"/>
          <c:order val="0"/>
          <c:tx>
            <c:strRef>
              <c:f>'Dashboard - Tables'!$L$7</c:f>
              <c:strCache>
                <c:ptCount val="1"/>
                <c:pt idx="0">
                  <c:v>CAPEX and Finance</c:v>
                </c:pt>
              </c:strCache>
            </c:strRef>
          </c:tx>
          <c:spPr>
            <a:solidFill>
              <a:srgbClr val="969B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 - Tables'!$M$6:$Q$6</c:f>
              <c:strCache>
                <c:ptCount val="5"/>
                <c:pt idx="0">
                  <c:v>Vessel 1 - ICE - LSFO</c:v>
                </c:pt>
                <c:pt idx="1">
                  <c:v>Vessel 2 - ICE - LNG</c:v>
                </c:pt>
                <c:pt idx="2">
                  <c:v>Vessel 3 - ICE - e-Ammonia</c:v>
                </c:pt>
                <c:pt idx="3">
                  <c:v>Vessel 4 - ICE - Blue ammonia</c:v>
                </c:pt>
                <c:pt idx="4">
                  <c:v>Vessel 5 - ICE - Biomethanol</c:v>
                </c:pt>
              </c:strCache>
            </c:strRef>
          </c:cat>
          <c:val>
            <c:numRef>
              <c:f>'Dashboard - Tables'!$M$7:$Q$7</c:f>
              <c:numCache>
                <c:formatCode>_(* #,##0.0_);_(* \(#,##0.0\);_(* "-"??_);_(@_)</c:formatCode>
                <c:ptCount val="5"/>
                <c:pt idx="0">
                  <c:v>10.105957500000001</c:v>
                </c:pt>
                <c:pt idx="1">
                  <c:v>12.772353375</c:v>
                </c:pt>
                <c:pt idx="2">
                  <c:v>12.027268375</c:v>
                </c:pt>
                <c:pt idx="3">
                  <c:v>12.027268375</c:v>
                </c:pt>
                <c:pt idx="4">
                  <c:v>11.589413374999999</c:v>
                </c:pt>
              </c:numCache>
            </c:numRef>
          </c:val>
          <c:extLst>
            <c:ext xmlns:c16="http://schemas.microsoft.com/office/drawing/2014/chart" uri="{C3380CC4-5D6E-409C-BE32-E72D297353CC}">
              <c16:uniqueId val="{00000000-818A-4BCE-812C-4FD8B02FE23B}"/>
            </c:ext>
          </c:extLst>
        </c:ser>
        <c:ser>
          <c:idx val="1"/>
          <c:order val="1"/>
          <c:tx>
            <c:strRef>
              <c:f>'Dashboard - Tables'!$L$8</c:f>
              <c:strCache>
                <c:ptCount val="1"/>
                <c:pt idx="0">
                  <c:v>OPEX excl. fuel</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 - Tables'!$M$6:$Q$6</c:f>
              <c:strCache>
                <c:ptCount val="5"/>
                <c:pt idx="0">
                  <c:v>Vessel 1 - ICE - LSFO</c:v>
                </c:pt>
                <c:pt idx="1">
                  <c:v>Vessel 2 - ICE - LNG</c:v>
                </c:pt>
                <c:pt idx="2">
                  <c:v>Vessel 3 - ICE - e-Ammonia</c:v>
                </c:pt>
                <c:pt idx="3">
                  <c:v>Vessel 4 - ICE - Blue ammonia</c:v>
                </c:pt>
                <c:pt idx="4">
                  <c:v>Vessel 5 - ICE - Biomethanol</c:v>
                </c:pt>
              </c:strCache>
            </c:strRef>
          </c:cat>
          <c:val>
            <c:numRef>
              <c:f>'Dashboard - Tables'!$M$8:$Q$8</c:f>
              <c:numCache>
                <c:formatCode>_(* #,##0.0_);_(* \(#,##0.0\);_(* "-"??_);_(@_)</c:formatCode>
                <c:ptCount val="5"/>
                <c:pt idx="0">
                  <c:v>7.8513684705882349</c:v>
                </c:pt>
                <c:pt idx="1">
                  <c:v>8.2816684705882349</c:v>
                </c:pt>
                <c:pt idx="2">
                  <c:v>8.2621452705882348</c:v>
                </c:pt>
                <c:pt idx="3">
                  <c:v>8.2621452705882348</c:v>
                </c:pt>
                <c:pt idx="4">
                  <c:v>7.8788684705882348</c:v>
                </c:pt>
              </c:numCache>
            </c:numRef>
          </c:val>
          <c:extLst>
            <c:ext xmlns:c16="http://schemas.microsoft.com/office/drawing/2014/chart" uri="{C3380CC4-5D6E-409C-BE32-E72D297353CC}">
              <c16:uniqueId val="{00000001-818A-4BCE-812C-4FD8B02FE23B}"/>
            </c:ext>
          </c:extLst>
        </c:ser>
        <c:ser>
          <c:idx val="3"/>
          <c:order val="2"/>
          <c:tx>
            <c:strRef>
              <c:f>'Dashboard - Tables'!$L$9</c:f>
              <c:strCache>
                <c:ptCount val="1"/>
                <c:pt idx="0">
                  <c:v>Total fuel</c:v>
                </c:pt>
              </c:strCache>
            </c:strRef>
          </c:tx>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 - Tables'!$M$6:$Q$6</c:f>
              <c:strCache>
                <c:ptCount val="5"/>
                <c:pt idx="0">
                  <c:v>Vessel 1 - ICE - LSFO</c:v>
                </c:pt>
                <c:pt idx="1">
                  <c:v>Vessel 2 - ICE - LNG</c:v>
                </c:pt>
                <c:pt idx="2">
                  <c:v>Vessel 3 - ICE - e-Ammonia</c:v>
                </c:pt>
                <c:pt idx="3">
                  <c:v>Vessel 4 - ICE - Blue ammonia</c:v>
                </c:pt>
                <c:pt idx="4">
                  <c:v>Vessel 5 - ICE - Biomethanol</c:v>
                </c:pt>
              </c:strCache>
            </c:strRef>
          </c:cat>
          <c:val>
            <c:numRef>
              <c:f>'Dashboard - Tables'!$M$9:$Q$9</c:f>
              <c:numCache>
                <c:formatCode>_(* #,##0.0_);_(* \(#,##0.0\);_(* "-"??_);_(@_)</c:formatCode>
                <c:ptCount val="5"/>
                <c:pt idx="0">
                  <c:v>13.336176114578192</c:v>
                </c:pt>
                <c:pt idx="1">
                  <c:v>10.356901413658825</c:v>
                </c:pt>
                <c:pt idx="2">
                  <c:v>24.050854383311936</c:v>
                </c:pt>
                <c:pt idx="3">
                  <c:v>24.324601371417913</c:v>
                </c:pt>
                <c:pt idx="4">
                  <c:v>24.730331692154323</c:v>
                </c:pt>
              </c:numCache>
            </c:numRef>
          </c:val>
          <c:extLst>
            <c:ext xmlns:c16="http://schemas.microsoft.com/office/drawing/2014/chart" uri="{C3380CC4-5D6E-409C-BE32-E72D297353CC}">
              <c16:uniqueId val="{00000002-818A-4BCE-812C-4FD8B02FE23B}"/>
            </c:ext>
          </c:extLst>
        </c:ser>
        <c:dLbls>
          <c:showLegendKey val="0"/>
          <c:showVal val="0"/>
          <c:showCatName val="0"/>
          <c:showSerName val="0"/>
          <c:showPercent val="0"/>
          <c:showBubbleSize val="0"/>
        </c:dLbls>
        <c:gapWidth val="75"/>
        <c:overlap val="100"/>
        <c:axId val="553634080"/>
        <c:axId val="692014960"/>
      </c:barChart>
      <c:lineChart>
        <c:grouping val="standard"/>
        <c:varyColors val="0"/>
        <c:ser>
          <c:idx val="2"/>
          <c:order val="3"/>
          <c:tx>
            <c:strRef>
              <c:f>'Dashboard - Tables'!$L$10</c:f>
              <c:strCache>
                <c:ptCount val="1"/>
                <c:pt idx="0">
                  <c:v>Total</c:v>
                </c:pt>
              </c:strCache>
            </c:strRef>
          </c:tx>
          <c:spPr>
            <a:ln w="25400"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a-DK"/>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 - Tables'!$M$6:$Q$6</c:f>
              <c:strCache>
                <c:ptCount val="5"/>
                <c:pt idx="0">
                  <c:v>Vessel 1 - ICE - LSFO</c:v>
                </c:pt>
                <c:pt idx="1">
                  <c:v>Vessel 2 - ICE - LNG</c:v>
                </c:pt>
                <c:pt idx="2">
                  <c:v>Vessel 3 - ICE - e-Ammonia</c:v>
                </c:pt>
                <c:pt idx="3">
                  <c:v>Vessel 4 - ICE - Blue ammonia</c:v>
                </c:pt>
                <c:pt idx="4">
                  <c:v>Vessel 5 - ICE - Biomethanol</c:v>
                </c:pt>
              </c:strCache>
            </c:strRef>
          </c:cat>
          <c:val>
            <c:numRef>
              <c:f>'Dashboard - Tables'!$M$10:$Q$10</c:f>
              <c:numCache>
                <c:formatCode>_(* #,##0.0_);_(* \(#,##0.0\);_(* "-"??_);_(@_)</c:formatCode>
                <c:ptCount val="5"/>
                <c:pt idx="0">
                  <c:v>31.293502085166431</c:v>
                </c:pt>
                <c:pt idx="1">
                  <c:v>31.41092325924706</c:v>
                </c:pt>
                <c:pt idx="2">
                  <c:v>44.340268028900169</c:v>
                </c:pt>
                <c:pt idx="3">
                  <c:v>44.614015017006146</c:v>
                </c:pt>
                <c:pt idx="4">
                  <c:v>44.19861353774256</c:v>
                </c:pt>
              </c:numCache>
            </c:numRef>
          </c:val>
          <c:smooth val="0"/>
          <c:extLst>
            <c:ext xmlns:c16="http://schemas.microsoft.com/office/drawing/2014/chart" uri="{C3380CC4-5D6E-409C-BE32-E72D297353CC}">
              <c16:uniqueId val="{00000003-818A-4BCE-812C-4FD8B02FE23B}"/>
            </c:ext>
          </c:extLst>
        </c:ser>
        <c:dLbls>
          <c:showLegendKey val="0"/>
          <c:showVal val="0"/>
          <c:showCatName val="0"/>
          <c:showSerName val="0"/>
          <c:showPercent val="0"/>
          <c:showBubbleSize val="0"/>
        </c:dLbls>
        <c:marker val="1"/>
        <c:smooth val="0"/>
        <c:axId val="553634080"/>
        <c:axId val="692014960"/>
      </c:lineChart>
      <c:catAx>
        <c:axId val="553634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a-DK"/>
          </a:p>
        </c:txPr>
        <c:crossAx val="692014960"/>
        <c:crosses val="autoZero"/>
        <c:auto val="1"/>
        <c:lblAlgn val="ctr"/>
        <c:lblOffset val="100"/>
        <c:noMultiLvlLbl val="0"/>
      </c:catAx>
      <c:valAx>
        <c:axId val="692014960"/>
        <c:scaling>
          <c:orientation val="minMax"/>
        </c:scaling>
        <c:delete val="0"/>
        <c:axPos val="l"/>
        <c:majorGridlines>
          <c:spPr>
            <a:ln w="9525" cap="flat" cmpd="sng" algn="ctr">
              <a:solidFill>
                <a:schemeClr val="tx1">
                  <a:lumMod val="15000"/>
                  <a:lumOff val="85000"/>
                </a:schemeClr>
              </a:solidFill>
              <a:round/>
            </a:ln>
            <a:effectLst/>
          </c:spPr>
        </c:majorGridlines>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a-DK"/>
          </a:p>
        </c:txPr>
        <c:crossAx val="553634080"/>
        <c:crosses val="autoZero"/>
        <c:crossBetween val="between"/>
      </c:valAx>
      <c:spPr>
        <a:noFill/>
        <a:ln>
          <a:noFill/>
        </a:ln>
        <a:effectLst/>
      </c:spPr>
    </c:plotArea>
    <c:legend>
      <c:legendPos val="b"/>
      <c:legendEntry>
        <c:idx val="3"/>
        <c:delete val="1"/>
      </c:legendEntry>
      <c:layout>
        <c:manualLayout>
          <c:xMode val="edge"/>
          <c:yMode val="edge"/>
          <c:x val="0.15212801809994414"/>
          <c:y val="0.91204290727099024"/>
          <c:w val="0.69801164364386381"/>
          <c:h val="8.7957092729009728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latin typeface="Arial" panose="020B0604020202020204" pitchFamily="34" charset="0"/>
          <a:cs typeface="Arial" panose="020B0604020202020204" pitchFamily="34" charset="0"/>
        </a:defRPr>
      </a:pPr>
      <a:endParaRPr lang="da-DK"/>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52994</xdr:colOff>
      <xdr:row>1</xdr:row>
      <xdr:rowOff>23669</xdr:rowOff>
    </xdr:from>
    <xdr:to>
      <xdr:col>13</xdr:col>
      <xdr:colOff>491205</xdr:colOff>
      <xdr:row>33</xdr:row>
      <xdr:rowOff>13278</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39</xdr:col>
      <xdr:colOff>315688</xdr:colOff>
      <xdr:row>1</xdr:row>
      <xdr:rowOff>23669</xdr:rowOff>
    </xdr:from>
    <xdr:to>
      <xdr:col>52</xdr:col>
      <xdr:colOff>1424</xdr:colOff>
      <xdr:row>33</xdr:row>
      <xdr:rowOff>13278</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39</xdr:col>
      <xdr:colOff>315688</xdr:colOff>
      <xdr:row>33</xdr:row>
      <xdr:rowOff>131619</xdr:rowOff>
    </xdr:from>
    <xdr:to>
      <xdr:col>52</xdr:col>
      <xdr:colOff>1424</xdr:colOff>
      <xdr:row>65</xdr:row>
      <xdr:rowOff>121228</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586552</xdr:colOff>
      <xdr:row>1</xdr:row>
      <xdr:rowOff>23669</xdr:rowOff>
    </xdr:from>
    <xdr:to>
      <xdr:col>26</xdr:col>
      <xdr:colOff>419645</xdr:colOff>
      <xdr:row>33</xdr:row>
      <xdr:rowOff>13278</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52994</xdr:colOff>
      <xdr:row>33</xdr:row>
      <xdr:rowOff>131619</xdr:rowOff>
    </xdr:from>
    <xdr:to>
      <xdr:col>13</xdr:col>
      <xdr:colOff>491205</xdr:colOff>
      <xdr:row>65</xdr:row>
      <xdr:rowOff>121228</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490494</xdr:colOff>
      <xdr:row>33</xdr:row>
      <xdr:rowOff>131619</xdr:rowOff>
    </xdr:from>
    <xdr:to>
      <xdr:col>39</xdr:col>
      <xdr:colOff>166705</xdr:colOff>
      <xdr:row>65</xdr:row>
      <xdr:rowOff>121228</xdr:rowOff>
    </xdr:to>
    <xdr:graphicFrame macro="">
      <xdr:nvGraphicFramePr>
        <xdr:cNvPr id="18" name="Chart 17">
          <a:extLst>
            <a:ext uri="{FF2B5EF4-FFF2-40B4-BE49-F238E27FC236}">
              <a16:creationId xmlns:a16="http://schemas.microsoft.com/office/drawing/2014/main"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586552</xdr:colOff>
      <xdr:row>33</xdr:row>
      <xdr:rowOff>131619</xdr:rowOff>
    </xdr:from>
    <xdr:to>
      <xdr:col>26</xdr:col>
      <xdr:colOff>419645</xdr:colOff>
      <xdr:row>65</xdr:row>
      <xdr:rowOff>121228</xdr:rowOff>
    </xdr:to>
    <xdr:graphicFrame macro="">
      <xdr:nvGraphicFramePr>
        <xdr:cNvPr id="11" name="Chart 10">
          <a:extLst>
            <a:ext uri="{FF2B5EF4-FFF2-40B4-BE49-F238E27FC236}">
              <a16:creationId xmlns:a16="http://schemas.microsoft.com/office/drawing/2014/main"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490494</xdr:colOff>
      <xdr:row>1</xdr:row>
      <xdr:rowOff>23669</xdr:rowOff>
    </xdr:from>
    <xdr:to>
      <xdr:col>39</xdr:col>
      <xdr:colOff>204805</xdr:colOff>
      <xdr:row>33</xdr:row>
      <xdr:rowOff>13278</xdr:rowOff>
    </xdr:to>
    <xdr:graphicFrame macro="">
      <xdr:nvGraphicFramePr>
        <xdr:cNvPr id="16" name="Chart 15">
          <a:extLst>
            <a:ext uri="{FF2B5EF4-FFF2-40B4-BE49-F238E27FC236}">
              <a16:creationId xmlns:a16="http://schemas.microsoft.com/office/drawing/2014/main" id="{00000000-0008-0000-0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95252</xdr:colOff>
      <xdr:row>28</xdr:row>
      <xdr:rowOff>331732</xdr:rowOff>
    </xdr:from>
    <xdr:to>
      <xdr:col>8</xdr:col>
      <xdr:colOff>1251313</xdr:colOff>
      <xdr:row>30</xdr:row>
      <xdr:rowOff>290424</xdr:rowOff>
    </xdr:to>
    <xdr:sp macro="[0]!EE_selector_under2yearPB" textlink="">
      <xdr:nvSpPr>
        <xdr:cNvPr id="27" name="Rectangle: Rounded Corners 26">
          <a:extLst>
            <a:ext uri="{FF2B5EF4-FFF2-40B4-BE49-F238E27FC236}">
              <a16:creationId xmlns:a16="http://schemas.microsoft.com/office/drawing/2014/main" id="{00000000-0008-0000-0300-00001B000000}"/>
            </a:ext>
          </a:extLst>
        </xdr:cNvPr>
        <xdr:cNvSpPr/>
      </xdr:nvSpPr>
      <xdr:spPr>
        <a:xfrm>
          <a:off x="13239752" y="10509875"/>
          <a:ext cx="1414597" cy="666263"/>
        </a:xfrm>
        <a:prstGeom prst="roundRect">
          <a:avLst>
            <a:gd name="adj" fmla="val 50000"/>
          </a:avLst>
        </a:prstGeom>
        <a:solidFill>
          <a:schemeClr val="accent5">
            <a:lumMod val="10000"/>
            <a:lumOff val="90000"/>
          </a:schemeClr>
        </a:solidFill>
        <a:ln w="3175">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lIns="72000" tIns="36000" rIns="72000" bIns="36000" rtlCol="0" anchor="ctr"/>
        <a:lstStyle/>
        <a:p>
          <a:pPr algn="ctr"/>
          <a:r>
            <a:rPr lang="en-US" sz="1400" noProof="0" dirty="0" err="1">
              <a:solidFill>
                <a:sysClr val="windowText" lastClr="000000"/>
              </a:solidFill>
            </a:rPr>
            <a:t>PAYBACK</a:t>
          </a:r>
        </a:p>
        <a:p>
          <a:pPr algn="ctr"/>
          <a:r>
            <a:rPr lang="en-US" sz="1400" noProof="0" dirty="0" err="1">
              <a:solidFill>
                <a:sysClr val="windowText" lastClr="000000"/>
              </a:solidFill>
            </a:rPr>
            <a:t>&lt;2 YEARS</a:t>
          </a:r>
        </a:p>
      </xdr:txBody>
    </xdr:sp>
    <xdr:clientData/>
  </xdr:twoCellAnchor>
  <xdr:twoCellAnchor>
    <xdr:from>
      <xdr:col>7</xdr:col>
      <xdr:colOff>95252</xdr:colOff>
      <xdr:row>31</xdr:row>
      <xdr:rowOff>253281</xdr:rowOff>
    </xdr:from>
    <xdr:to>
      <xdr:col>8</xdr:col>
      <xdr:colOff>1251313</xdr:colOff>
      <xdr:row>33</xdr:row>
      <xdr:rowOff>211973</xdr:rowOff>
    </xdr:to>
    <xdr:sp macro="[0]!EE_selector_under5yearPB" textlink="">
      <xdr:nvSpPr>
        <xdr:cNvPr id="20" name="Rectangle: Rounded Corners 19">
          <a:extLst>
            <a:ext uri="{FF2B5EF4-FFF2-40B4-BE49-F238E27FC236}">
              <a16:creationId xmlns:a16="http://schemas.microsoft.com/office/drawing/2014/main" id="{00000000-0008-0000-0300-000014000000}"/>
            </a:ext>
          </a:extLst>
        </xdr:cNvPr>
        <xdr:cNvSpPr/>
      </xdr:nvSpPr>
      <xdr:spPr>
        <a:xfrm>
          <a:off x="13239752" y="11492781"/>
          <a:ext cx="1414597" cy="666263"/>
        </a:xfrm>
        <a:prstGeom prst="roundRect">
          <a:avLst>
            <a:gd name="adj" fmla="val 50000"/>
          </a:avLst>
        </a:prstGeom>
        <a:solidFill>
          <a:srgbClr val="C4EBEE"/>
        </a:solidFill>
        <a:ln w="3175">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lIns="72000" tIns="36000" rIns="72000" bIns="36000" rtlCol="0" anchor="ctr"/>
        <a:lstStyle/>
        <a:p>
          <a:pPr algn="ctr"/>
          <a:r>
            <a:rPr lang="en-US" sz="1400" noProof="0" dirty="0" err="1">
              <a:solidFill>
                <a:sysClr val="windowText" lastClr="000000"/>
              </a:solidFill>
            </a:rPr>
            <a:t>PAYBACK</a:t>
          </a:r>
        </a:p>
        <a:p>
          <a:pPr algn="ctr"/>
          <a:r>
            <a:rPr lang="en-US" sz="1400" noProof="0" dirty="0" err="1">
              <a:solidFill>
                <a:sysClr val="windowText" lastClr="000000"/>
              </a:solidFill>
            </a:rPr>
            <a:t>&lt;5 YEARS</a:t>
          </a:r>
        </a:p>
      </xdr:txBody>
    </xdr:sp>
    <xdr:clientData/>
  </xdr:twoCellAnchor>
  <xdr:twoCellAnchor>
    <xdr:from>
      <xdr:col>7</xdr:col>
      <xdr:colOff>95252</xdr:colOff>
      <xdr:row>34</xdr:row>
      <xdr:rowOff>174830</xdr:rowOff>
    </xdr:from>
    <xdr:to>
      <xdr:col>8</xdr:col>
      <xdr:colOff>1251313</xdr:colOff>
      <xdr:row>36</xdr:row>
      <xdr:rowOff>133522</xdr:rowOff>
    </xdr:to>
    <xdr:sp macro="[0]!EE_selector_under10yearPB" textlink="">
      <xdr:nvSpPr>
        <xdr:cNvPr id="21" name="Rectangle: Rounded Corners 20">
          <a:extLst>
            <a:ext uri="{FF2B5EF4-FFF2-40B4-BE49-F238E27FC236}">
              <a16:creationId xmlns:a16="http://schemas.microsoft.com/office/drawing/2014/main" id="{00000000-0008-0000-0300-000015000000}"/>
            </a:ext>
          </a:extLst>
        </xdr:cNvPr>
        <xdr:cNvSpPr/>
      </xdr:nvSpPr>
      <xdr:spPr>
        <a:xfrm>
          <a:off x="13239752" y="12475687"/>
          <a:ext cx="1414597" cy="666264"/>
        </a:xfrm>
        <a:prstGeom prst="roundRect">
          <a:avLst>
            <a:gd name="adj" fmla="val 50000"/>
          </a:avLst>
        </a:prstGeom>
        <a:solidFill>
          <a:schemeClr val="accent5">
            <a:lumMod val="25000"/>
            <a:lumOff val="75000"/>
          </a:schemeClr>
        </a:solidFill>
        <a:ln w="3175">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lIns="72000" tIns="36000" rIns="72000" bIns="36000" rtlCol="0" anchor="ctr"/>
        <a:lstStyle/>
        <a:p>
          <a:pPr algn="ctr"/>
          <a:r>
            <a:rPr lang="en-US" sz="1400" noProof="0" dirty="0" err="1">
              <a:solidFill>
                <a:sysClr val="windowText" lastClr="000000"/>
              </a:solidFill>
            </a:rPr>
            <a:t>PAYBACK &lt;10 YEARS</a:t>
          </a:r>
        </a:p>
      </xdr:txBody>
    </xdr:sp>
    <xdr:clientData/>
  </xdr:twoCellAnchor>
  <xdr:twoCellAnchor>
    <xdr:from>
      <xdr:col>7</xdr:col>
      <xdr:colOff>95252</xdr:colOff>
      <xdr:row>37</xdr:row>
      <xdr:rowOff>96379</xdr:rowOff>
    </xdr:from>
    <xdr:to>
      <xdr:col>9</xdr:col>
      <xdr:colOff>3538</xdr:colOff>
      <xdr:row>39</xdr:row>
      <xdr:rowOff>55071</xdr:rowOff>
    </xdr:to>
    <xdr:sp macro="[0]!EE_selector_None" textlink="">
      <xdr:nvSpPr>
        <xdr:cNvPr id="33" name="Rectangle: Rounded Corners 32">
          <a:extLst>
            <a:ext uri="{FF2B5EF4-FFF2-40B4-BE49-F238E27FC236}">
              <a16:creationId xmlns:a16="http://schemas.microsoft.com/office/drawing/2014/main" id="{00000000-0008-0000-0300-000021000000}"/>
            </a:ext>
          </a:extLst>
        </xdr:cNvPr>
        <xdr:cNvSpPr/>
      </xdr:nvSpPr>
      <xdr:spPr>
        <a:xfrm>
          <a:off x="11906252" y="12974179"/>
          <a:ext cx="1194161" cy="663542"/>
        </a:xfrm>
        <a:prstGeom prst="roundRect">
          <a:avLst>
            <a:gd name="adj" fmla="val 50000"/>
          </a:avLst>
        </a:prstGeom>
        <a:solidFill>
          <a:schemeClr val="accent3">
            <a:lumMod val="20000"/>
            <a:lumOff val="80000"/>
          </a:schemeClr>
        </a:solidFill>
        <a:ln w="3175">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lIns="72000" tIns="36000" rIns="72000" bIns="36000" rtlCol="0" anchor="ctr"/>
        <a:lstStyle/>
        <a:p>
          <a:pPr algn="ctr"/>
          <a:r>
            <a:rPr lang="en-US" sz="1400" noProof="0" dirty="0" err="1">
              <a:solidFill>
                <a:sysClr val="windowText" lastClr="000000"/>
              </a:solidFill>
            </a:rPr>
            <a:t>SELECT NONE</a:t>
          </a:r>
        </a:p>
      </xdr:txBody>
    </xdr:sp>
    <xdr:clientData/>
  </xdr:twoCellAnchor>
  <xdr:twoCellAnchor>
    <xdr:from>
      <xdr:col>7</xdr:col>
      <xdr:colOff>95252</xdr:colOff>
      <xdr:row>3</xdr:row>
      <xdr:rowOff>205953</xdr:rowOff>
    </xdr:from>
    <xdr:to>
      <xdr:col>8</xdr:col>
      <xdr:colOff>1251313</xdr:colOff>
      <xdr:row>5</xdr:row>
      <xdr:rowOff>170707</xdr:rowOff>
    </xdr:to>
    <xdr:sp macro="[0]!TCO_Momentum" textlink="">
      <xdr:nvSpPr>
        <xdr:cNvPr id="23" name="Rectangle: Rounded Corners 22">
          <a:extLst>
            <a:ext uri="{FF2B5EF4-FFF2-40B4-BE49-F238E27FC236}">
              <a16:creationId xmlns:a16="http://schemas.microsoft.com/office/drawing/2014/main" id="{00000000-0008-0000-0300-000017000000}"/>
            </a:ext>
          </a:extLst>
        </xdr:cNvPr>
        <xdr:cNvSpPr/>
      </xdr:nvSpPr>
      <xdr:spPr>
        <a:xfrm>
          <a:off x="13230227" y="1187028"/>
          <a:ext cx="1413236" cy="669604"/>
        </a:xfrm>
        <a:prstGeom prst="roundRect">
          <a:avLst>
            <a:gd name="adj" fmla="val 50000"/>
          </a:avLst>
        </a:prstGeom>
        <a:solidFill>
          <a:schemeClr val="accent3">
            <a:lumMod val="20000"/>
            <a:lumOff val="80000"/>
          </a:schemeClr>
        </a:solidFill>
        <a:ln w="3175">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lIns="72000" tIns="36000" rIns="72000" bIns="36000" rtlCol="0" anchor="ctr"/>
        <a:lstStyle/>
        <a:p>
          <a:pPr algn="ctr"/>
          <a:r>
            <a:rPr lang="en-US" sz="1400" noProof="0" dirty="0" err="1">
              <a:solidFill>
                <a:sysClr val="windowText" lastClr="000000"/>
              </a:solidFill>
            </a:rPr>
            <a:t>RESET</a:t>
          </a:r>
          <a:r>
            <a:rPr lang="en-US" sz="1400" baseline="0" noProof="0" dirty="0" err="1">
              <a:solidFill>
                <a:sysClr val="windowText" lastClr="000000"/>
              </a:solidFill>
            </a:rPr>
            <a:t> ALL</a:t>
          </a:r>
          <a:endParaRPr lang="en-US" sz="1400" noProof="0" dirty="0" err="1">
            <a:solidFill>
              <a:sysClr val="windowText" lastClr="000000"/>
            </a:solidFill>
          </a:endParaRPr>
        </a:p>
      </xdr:txBody>
    </xdr:sp>
    <xdr:clientData/>
  </xdr:twoCellAnchor>
  <xdr:twoCellAnchor>
    <xdr:from>
      <xdr:col>9</xdr:col>
      <xdr:colOff>138547</xdr:colOff>
      <xdr:row>20</xdr:row>
      <xdr:rowOff>203427</xdr:rowOff>
    </xdr:from>
    <xdr:to>
      <xdr:col>13</xdr:col>
      <xdr:colOff>1058611</xdr:colOff>
      <xdr:row>36</xdr:row>
      <xdr:rowOff>170502</xdr:rowOff>
    </xdr:to>
    <xdr:graphicFrame macro="">
      <xdr:nvGraphicFramePr>
        <xdr:cNvPr id="10" name="Chart 9">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138547</xdr:colOff>
      <xdr:row>4</xdr:row>
      <xdr:rowOff>0</xdr:rowOff>
    </xdr:from>
    <xdr:to>
      <xdr:col>13</xdr:col>
      <xdr:colOff>1058611</xdr:colOff>
      <xdr:row>19</xdr:row>
      <xdr:rowOff>319500</xdr:rowOff>
    </xdr:to>
    <xdr:graphicFrame macro="">
      <xdr:nvGraphicFramePr>
        <xdr:cNvPr id="11" name="Chart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138547</xdr:colOff>
      <xdr:row>37</xdr:row>
      <xdr:rowOff>54429</xdr:rowOff>
    </xdr:from>
    <xdr:to>
      <xdr:col>13</xdr:col>
      <xdr:colOff>1058611</xdr:colOff>
      <xdr:row>53</xdr:row>
      <xdr:rowOff>20143</xdr:rowOff>
    </xdr:to>
    <xdr:graphicFrame macro="">
      <xdr:nvGraphicFramePr>
        <xdr:cNvPr id="13" name="Chart 12">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zerocarbonshipping.sharepoint.com/sites/TMA/Delte%20dokumenter/General/1.%20Products/3.%20Fuel%20cost%20calculator/1.%20Model/fuel_cost_calculator_v1.0.xlsx" TargetMode="External"/><Relationship Id="rId1" Type="http://schemas.openxmlformats.org/officeDocument/2006/relationships/externalLinkPath" Target="/sites/TMA/Delte%20dokumenter/General/1.%20Products/3.%20Fuel%20cost%20calculator/1.%20Model/fuel_cost_calculator_v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TableOfContents"/>
      <sheetName val="Dashboard"/>
      <sheetName val="DashboardCalc"/>
      <sheetName val="CostCalculation_Detailed"/>
      <sheetName val="CostCalculation"/>
      <sheetName val="EmissionsCalculation"/>
      <sheetName val="Assumptions"/>
      <sheetName val="Index"/>
    </sheetNames>
    <sheetDataSet>
      <sheetData sheetId="0"/>
      <sheetData sheetId="1"/>
      <sheetData sheetId="2">
        <row r="3">
          <cell r="B3" t="str">
            <v>Europe</v>
          </cell>
          <cell r="C3" t="str">
            <v>Low</v>
          </cell>
          <cell r="D3">
            <v>0</v>
          </cell>
          <cell r="E3" t="str">
            <v>WTW</v>
          </cell>
          <cell r="F3" t="str">
            <v>USD/Ton LSFO eq</v>
          </cell>
          <cell r="G3">
            <v>2030</v>
          </cell>
        </row>
      </sheetData>
      <sheetData sheetId="3">
        <row r="3">
          <cell r="E3" t="str">
            <v>GWP100</v>
          </cell>
        </row>
      </sheetData>
      <sheetData sheetId="4">
        <row r="6">
          <cell r="G6">
            <v>2023</v>
          </cell>
          <cell r="H6">
            <v>2024</v>
          </cell>
          <cell r="I6">
            <v>2025</v>
          </cell>
          <cell r="J6">
            <v>2026</v>
          </cell>
          <cell r="K6">
            <v>2027</v>
          </cell>
          <cell r="L6">
            <v>2028</v>
          </cell>
          <cell r="M6">
            <v>2029</v>
          </cell>
          <cell r="N6">
            <v>2030</v>
          </cell>
          <cell r="O6">
            <v>2031</v>
          </cell>
          <cell r="P6">
            <v>2032</v>
          </cell>
          <cell r="Q6">
            <v>2033</v>
          </cell>
          <cell r="R6">
            <v>2034</v>
          </cell>
          <cell r="S6">
            <v>2035</v>
          </cell>
          <cell r="T6">
            <v>2036</v>
          </cell>
          <cell r="U6">
            <v>2037</v>
          </cell>
          <cell r="V6">
            <v>2038</v>
          </cell>
          <cell r="W6">
            <v>2039</v>
          </cell>
          <cell r="X6">
            <v>2040</v>
          </cell>
          <cell r="Y6">
            <v>2041</v>
          </cell>
          <cell r="Z6">
            <v>2042</v>
          </cell>
          <cell r="AA6">
            <v>2043</v>
          </cell>
          <cell r="AB6">
            <v>2044</v>
          </cell>
          <cell r="AC6">
            <v>2045</v>
          </cell>
          <cell r="AD6">
            <v>2046</v>
          </cell>
          <cell r="AE6">
            <v>2047</v>
          </cell>
          <cell r="AF6">
            <v>2048</v>
          </cell>
          <cell r="AG6">
            <v>2049</v>
          </cell>
          <cell r="AH6">
            <v>2050</v>
          </cell>
        </row>
        <row r="43">
          <cell r="B43" t="str">
            <v/>
          </cell>
        </row>
        <row r="44">
          <cell r="B44" t="str">
            <v>e-hydrogen (PEM) - Item - Region - Unit</v>
          </cell>
          <cell r="G44">
            <v>2023</v>
          </cell>
          <cell r="H44">
            <v>2024</v>
          </cell>
          <cell r="I44">
            <v>2025</v>
          </cell>
          <cell r="J44">
            <v>2026</v>
          </cell>
          <cell r="K44">
            <v>2027</v>
          </cell>
          <cell r="L44">
            <v>2028</v>
          </cell>
          <cell r="M44">
            <v>2029</v>
          </cell>
          <cell r="N44">
            <v>2030</v>
          </cell>
          <cell r="O44">
            <v>2031</v>
          </cell>
          <cell r="P44">
            <v>2032</v>
          </cell>
          <cell r="Q44">
            <v>2033</v>
          </cell>
          <cell r="R44">
            <v>2034</v>
          </cell>
          <cell r="S44">
            <v>2035</v>
          </cell>
          <cell r="T44">
            <v>2036</v>
          </cell>
          <cell r="U44">
            <v>2037</v>
          </cell>
          <cell r="V44">
            <v>2038</v>
          </cell>
          <cell r="W44">
            <v>2039</v>
          </cell>
          <cell r="X44">
            <v>2040</v>
          </cell>
          <cell r="Y44">
            <v>2041</v>
          </cell>
          <cell r="Z44">
            <v>2042</v>
          </cell>
          <cell r="AA44">
            <v>2043</v>
          </cell>
          <cell r="AB44">
            <v>2044</v>
          </cell>
          <cell r="AC44">
            <v>2045</v>
          </cell>
          <cell r="AD44">
            <v>2046</v>
          </cell>
          <cell r="AE44">
            <v>2047</v>
          </cell>
          <cell r="AF44">
            <v>2048</v>
          </cell>
          <cell r="AG44">
            <v>2049</v>
          </cell>
          <cell r="AH44">
            <v>2050</v>
          </cell>
        </row>
        <row r="45">
          <cell r="B45" t="str">
            <v>e-hydrogen (PEM) - Total cost - Africa - USD/ton fuel</v>
          </cell>
          <cell r="G45">
            <v>5441.9495600428263</v>
          </cell>
          <cell r="H45">
            <v>4876.9534882843791</v>
          </cell>
          <cell r="I45">
            <v>4318.0347506045728</v>
          </cell>
          <cell r="J45">
            <v>4085.827866475981</v>
          </cell>
          <cell r="K45">
            <v>3855.2575716558199</v>
          </cell>
          <cell r="L45">
            <v>3626.3238661441083</v>
          </cell>
          <cell r="M45">
            <v>3399.0267499408283</v>
          </cell>
          <cell r="N45">
            <v>3173.3662230460027</v>
          </cell>
          <cell r="O45">
            <v>3064.8196611105536</v>
          </cell>
          <cell r="P45">
            <v>2957.1556050398012</v>
          </cell>
          <cell r="Q45">
            <v>2850.3740548337159</v>
          </cell>
          <cell r="R45">
            <v>2744.4750104923332</v>
          </cell>
          <cell r="S45">
            <v>2639.4584720156513</v>
          </cell>
          <cell r="T45">
            <v>2571.4404649564121</v>
          </cell>
          <cell r="U45">
            <v>2503.8237251337127</v>
          </cell>
          <cell r="V45">
            <v>2436.6082525475422</v>
          </cell>
          <cell r="W45">
            <v>2369.7940471979068</v>
          </cell>
          <cell r="X45">
            <v>2303.3811090848149</v>
          </cell>
          <cell r="Y45">
            <v>2239.4264447338105</v>
          </cell>
          <cell r="Z45">
            <v>2175.870372234484</v>
          </cell>
          <cell r="AA45">
            <v>2112.712891586822</v>
          </cell>
          <cell r="AB45">
            <v>2049.9540027908511</v>
          </cell>
          <cell r="AC45">
            <v>1987.5937058465549</v>
          </cell>
          <cell r="AD45">
            <v>1942.5503511755187</v>
          </cell>
          <cell r="AE45">
            <v>1897.6959886397819</v>
          </cell>
          <cell r="AF45">
            <v>1853.0306182393319</v>
          </cell>
          <cell r="AG45">
            <v>1808.5542399741735</v>
          </cell>
          <cell r="AH45">
            <v>1764.2668538443118</v>
          </cell>
        </row>
        <row r="46">
          <cell r="B46" t="str">
            <v>e-hydrogen (PEM) - Total cost - Americas - USD/ton fuel</v>
          </cell>
          <cell r="G46">
            <v>4055.4480216905413</v>
          </cell>
          <cell r="H46">
            <v>3886.8686079601657</v>
          </cell>
          <cell r="I46">
            <v>3718.9625974171845</v>
          </cell>
          <cell r="J46">
            <v>3530.065661107612</v>
          </cell>
          <cell r="K46">
            <v>3342.2683630386318</v>
          </cell>
          <cell r="L46">
            <v>3155.5707032102619</v>
          </cell>
          <cell r="M46">
            <v>2969.9726816225407</v>
          </cell>
          <cell r="N46">
            <v>2785.4742982753796</v>
          </cell>
          <cell r="O46">
            <v>2706.6982697459357</v>
          </cell>
          <cell r="P46">
            <v>2628.4334333768734</v>
          </cell>
          <cell r="Q46">
            <v>2550.6797891681913</v>
          </cell>
          <cell r="R46">
            <v>2473.4373371198694</v>
          </cell>
          <cell r="S46">
            <v>2396.7060772319192</v>
          </cell>
          <cell r="T46">
            <v>2330.4080300536207</v>
          </cell>
          <cell r="U46">
            <v>2264.5102878865137</v>
          </cell>
          <cell r="V46">
            <v>2199.0128507305953</v>
          </cell>
          <cell r="W46">
            <v>2133.9157185858785</v>
          </cell>
          <cell r="X46">
            <v>2069.2188914523476</v>
          </cell>
          <cell r="Y46">
            <v>2024.5987471904855</v>
          </cell>
          <cell r="Z46">
            <v>1980.1343934565748</v>
          </cell>
          <cell r="AA46">
            <v>1935.8258302506183</v>
          </cell>
          <cell r="AB46">
            <v>1891.6730575726103</v>
          </cell>
          <cell r="AC46">
            <v>1847.6760754225568</v>
          </cell>
          <cell r="AD46">
            <v>1809.0974198645622</v>
          </cell>
          <cell r="AE46">
            <v>1770.6323037114794</v>
          </cell>
          <cell r="AF46">
            <v>1732.2807269633058</v>
          </cell>
          <cell r="AG46">
            <v>1694.0426896200397</v>
          </cell>
          <cell r="AH46">
            <v>1655.9181916816804</v>
          </cell>
        </row>
        <row r="47">
          <cell r="B47" t="str">
            <v>e-hydrogen (PEM) - Total cost - Asia - USD/ton fuel</v>
          </cell>
          <cell r="G47">
            <v>5860.5199271798938</v>
          </cell>
          <cell r="H47">
            <v>5365.5682235634968</v>
          </cell>
          <cell r="I47">
            <v>4875.6747034574983</v>
          </cell>
          <cell r="J47">
            <v>4631.1946452879683</v>
          </cell>
          <cell r="K47">
            <v>4388.4672684804609</v>
          </cell>
          <cell r="L47">
            <v>4147.4925730348823</v>
          </cell>
          <cell r="M47">
            <v>3908.2705589512975</v>
          </cell>
          <cell r="N47">
            <v>3670.8012262297289</v>
          </cell>
          <cell r="O47">
            <v>3539.2680101191204</v>
          </cell>
          <cell r="P47">
            <v>3408.8855953573316</v>
          </cell>
          <cell r="Q47">
            <v>3279.6539819443606</v>
          </cell>
          <cell r="R47">
            <v>3151.5731698801314</v>
          </cell>
          <cell r="S47">
            <v>3024.6431591646929</v>
          </cell>
          <cell r="T47">
            <v>2942.0267493710294</v>
          </cell>
          <cell r="U47">
            <v>2859.9755545578937</v>
          </cell>
          <cell r="V47">
            <v>2778.4895747253022</v>
          </cell>
          <cell r="W47">
            <v>2697.5688098732262</v>
          </cell>
          <cell r="X47">
            <v>2617.2132600017021</v>
          </cell>
          <cell r="Y47">
            <v>2538.4885055675009</v>
          </cell>
          <cell r="Z47">
            <v>2460.3352753197237</v>
          </cell>
          <cell r="AA47">
            <v>2382.7535692583456</v>
          </cell>
          <cell r="AB47">
            <v>2305.743387383392</v>
          </cell>
          <cell r="AC47">
            <v>2229.3047296948407</v>
          </cell>
          <cell r="AD47">
            <v>2177.92754913511</v>
          </cell>
          <cell r="AE47">
            <v>2126.8035566091357</v>
          </cell>
          <cell r="AF47">
            <v>2075.9327521169307</v>
          </cell>
          <cell r="AG47">
            <v>2025.3151356584863</v>
          </cell>
          <cell r="AH47">
            <v>1974.9507072337965</v>
          </cell>
        </row>
        <row r="48">
          <cell r="B48" t="str">
            <v>e-hydrogen (PEM) - Total cost - Europe - USD/ton fuel</v>
          </cell>
          <cell r="G48">
            <v>4800.2556978190951</v>
          </cell>
          <cell r="H48">
            <v>4542.5151861647146</v>
          </cell>
          <cell r="I48">
            <v>4286.62155627628</v>
          </cell>
          <cell r="J48">
            <v>4068.8783968172761</v>
          </cell>
          <cell r="K48">
            <v>3852.5768240566917</v>
          </cell>
          <cell r="L48">
            <v>3637.7168379946015</v>
          </cell>
          <cell r="M48">
            <v>3424.2984386309599</v>
          </cell>
          <cell r="N48">
            <v>3212.3216259657893</v>
          </cell>
          <cell r="O48">
            <v>3125.7169753697913</v>
          </cell>
          <cell r="P48">
            <v>3039.690951703747</v>
          </cell>
          <cell r="Q48">
            <v>2954.2435549675997</v>
          </cell>
          <cell r="R48">
            <v>2869.3747851613434</v>
          </cell>
          <cell r="S48">
            <v>2785.0846422850109</v>
          </cell>
          <cell r="T48">
            <v>2721.0123573862052</v>
          </cell>
          <cell r="U48">
            <v>2657.2738038417247</v>
          </cell>
          <cell r="V48">
            <v>2593.8689816515657</v>
          </cell>
          <cell r="W48">
            <v>2530.7978908157265</v>
          </cell>
          <cell r="X48">
            <v>2468.0605313341916</v>
          </cell>
          <cell r="Y48">
            <v>2406.9103478756715</v>
          </cell>
          <cell r="Z48">
            <v>2346.1050655084978</v>
          </cell>
          <cell r="AA48">
            <v>2285.6446842326823</v>
          </cell>
          <cell r="AB48">
            <v>2225.5292040482132</v>
          </cell>
          <cell r="AC48">
            <v>2165.7586249551059</v>
          </cell>
          <cell r="AD48">
            <v>2115.5507380530253</v>
          </cell>
          <cell r="AE48">
            <v>2065.5859476567648</v>
          </cell>
          <cell r="AF48">
            <v>2015.8642537663368</v>
          </cell>
          <cell r="AG48">
            <v>1966.3856563817321</v>
          </cell>
          <cell r="AH48">
            <v>1917.1501555029452</v>
          </cell>
        </row>
        <row r="49">
          <cell r="B49" t="str">
            <v>e-hydrogen (PEM) - Total cost - Middle East - USD/ton fuel</v>
          </cell>
          <cell r="G49">
            <v>4076.7306209595749</v>
          </cell>
          <cell r="H49">
            <v>3852.5622635131067</v>
          </cell>
          <cell r="I49">
            <v>3629.8418753193096</v>
          </cell>
          <cell r="J49">
            <v>3454.2312318560625</v>
          </cell>
          <cell r="K49">
            <v>3279.5467024995</v>
          </cell>
          <cell r="L49">
            <v>3105.7882872496402</v>
          </cell>
          <cell r="M49">
            <v>2932.9559861064936</v>
          </cell>
          <cell r="N49">
            <v>2761.0497990700278</v>
          </cell>
          <cell r="O49">
            <v>2673.6970170251575</v>
          </cell>
          <cell r="P49">
            <v>2586.9750639980571</v>
          </cell>
          <cell r="Q49">
            <v>2500.8839399886974</v>
          </cell>
          <cell r="R49">
            <v>2415.4236449970867</v>
          </cell>
          <cell r="S49">
            <v>2330.5941790232291</v>
          </cell>
          <cell r="T49">
            <v>2271.6702645801843</v>
          </cell>
          <cell r="U49">
            <v>2213.0518942696626</v>
          </cell>
          <cell r="V49">
            <v>2154.7390680916742</v>
          </cell>
          <cell r="W49">
            <v>2096.7317860462044</v>
          </cell>
          <cell r="X49">
            <v>2039.0300481332556</v>
          </cell>
          <cell r="Y49">
            <v>1977.713437550377</v>
          </cell>
          <cell r="Z49">
            <v>1916.7839017566221</v>
          </cell>
          <cell r="AA49">
            <v>1856.2414407519777</v>
          </cell>
          <cell r="AB49">
            <v>1796.0860545364574</v>
          </cell>
          <cell r="AC49">
            <v>1736.3177431100485</v>
          </cell>
          <cell r="AD49">
            <v>1694.0039053433582</v>
          </cell>
          <cell r="AE49">
            <v>1651.8650751782163</v>
          </cell>
          <cell r="AF49">
            <v>1609.9012526146171</v>
          </cell>
          <cell r="AG49">
            <v>1568.1124376525613</v>
          </cell>
          <cell r="AH49">
            <v>1526.4986302920522</v>
          </cell>
        </row>
        <row r="50">
          <cell r="B50" t="str">
            <v/>
          </cell>
        </row>
        <row r="51">
          <cell r="B51" t="str">
            <v>e-hydrogen (PEM) - CAPEX including feedstock CAPEX - Global - USD/ton fuel</v>
          </cell>
          <cell r="G51">
            <v>297.18760822752569</v>
          </cell>
          <cell r="H51">
            <v>280.44311918225526</v>
          </cell>
          <cell r="I51">
            <v>263.69863013698489</v>
          </cell>
          <cell r="J51">
            <v>248.0118067464015</v>
          </cell>
          <cell r="K51">
            <v>232.32498335581815</v>
          </cell>
          <cell r="L51">
            <v>216.63815996523482</v>
          </cell>
          <cell r="M51">
            <v>200.95133657465146</v>
          </cell>
          <cell r="N51">
            <v>185.26451318406811</v>
          </cell>
          <cell r="O51">
            <v>180.64985324929003</v>
          </cell>
          <cell r="P51">
            <v>176.03519331451389</v>
          </cell>
          <cell r="Q51">
            <v>171.42053337973775</v>
          </cell>
          <cell r="R51">
            <v>166.80587344495967</v>
          </cell>
          <cell r="S51">
            <v>162.1912135101816</v>
          </cell>
          <cell r="T51">
            <v>157.84736896262621</v>
          </cell>
          <cell r="U51">
            <v>153.50352441507081</v>
          </cell>
          <cell r="V51">
            <v>149.15967986751542</v>
          </cell>
          <cell r="W51">
            <v>144.81583531996196</v>
          </cell>
          <cell r="X51">
            <v>140.47199077240657</v>
          </cell>
          <cell r="Y51">
            <v>136.38588575102622</v>
          </cell>
          <cell r="Z51">
            <v>132.29978072964587</v>
          </cell>
          <cell r="AA51">
            <v>128.2136757082655</v>
          </cell>
          <cell r="AB51">
            <v>124.12757068688515</v>
          </cell>
          <cell r="AC51">
            <v>120.0414656655048</v>
          </cell>
          <cell r="AD51">
            <v>116.20060023407763</v>
          </cell>
          <cell r="AE51">
            <v>112.35973480265142</v>
          </cell>
          <cell r="AF51">
            <v>108.51886937122423</v>
          </cell>
          <cell r="AG51">
            <v>104.67800393979705</v>
          </cell>
          <cell r="AH51">
            <v>100.83713850837084</v>
          </cell>
        </row>
        <row r="52">
          <cell r="B52" t="str">
            <v>e-hydrogen (PEM) - CAPEX - Global - USD/ton fuel</v>
          </cell>
          <cell r="G52">
            <v>297.18760822752569</v>
          </cell>
          <cell r="H52">
            <v>280.44311918225526</v>
          </cell>
          <cell r="I52">
            <v>263.69863013698489</v>
          </cell>
          <cell r="J52">
            <v>248.0118067464015</v>
          </cell>
          <cell r="K52">
            <v>232.32498335581815</v>
          </cell>
          <cell r="L52">
            <v>216.63815996523482</v>
          </cell>
          <cell r="M52">
            <v>200.95133657465146</v>
          </cell>
          <cell r="N52">
            <v>185.26451318406811</v>
          </cell>
          <cell r="O52">
            <v>180.64985324929003</v>
          </cell>
          <cell r="P52">
            <v>176.03519331451389</v>
          </cell>
          <cell r="Q52">
            <v>171.42053337973775</v>
          </cell>
          <cell r="R52">
            <v>166.80587344495967</v>
          </cell>
          <cell r="S52">
            <v>162.1912135101816</v>
          </cell>
          <cell r="T52">
            <v>157.84736896262621</v>
          </cell>
          <cell r="U52">
            <v>153.50352441507081</v>
          </cell>
          <cell r="V52">
            <v>149.15967986751542</v>
          </cell>
          <cell r="W52">
            <v>144.81583531996196</v>
          </cell>
          <cell r="X52">
            <v>140.47199077240657</v>
          </cell>
          <cell r="Y52">
            <v>136.38588575102622</v>
          </cell>
          <cell r="Z52">
            <v>132.29978072964587</v>
          </cell>
          <cell r="AA52">
            <v>128.2136757082655</v>
          </cell>
          <cell r="AB52">
            <v>124.12757068688515</v>
          </cell>
          <cell r="AC52">
            <v>120.0414656655048</v>
          </cell>
          <cell r="AD52">
            <v>116.20060023407763</v>
          </cell>
          <cell r="AE52">
            <v>112.35973480265142</v>
          </cell>
          <cell r="AF52">
            <v>108.51886937122423</v>
          </cell>
          <cell r="AG52">
            <v>104.67800393979705</v>
          </cell>
          <cell r="AH52">
            <v>100.83713850837084</v>
          </cell>
        </row>
        <row r="53">
          <cell r="B53" t="str">
            <v/>
          </cell>
        </row>
        <row r="54">
          <cell r="B54" t="str">
            <v>e-hydrogen (PEM) - OPEX including feedstock OPEX - Global - USD/ton fuel</v>
          </cell>
          <cell r="G54">
            <v>910.59019561100286</v>
          </cell>
          <cell r="H54">
            <v>850.84304301098746</v>
          </cell>
          <cell r="I54">
            <v>791.09589041095751</v>
          </cell>
          <cell r="J54">
            <v>739.18362051235454</v>
          </cell>
          <cell r="K54">
            <v>687.27135061373701</v>
          </cell>
          <cell r="L54">
            <v>635.35908071511949</v>
          </cell>
          <cell r="M54">
            <v>583.44681081651652</v>
          </cell>
          <cell r="N54">
            <v>531.53454091789899</v>
          </cell>
          <cell r="O54">
            <v>514.23266631403385</v>
          </cell>
          <cell r="P54">
            <v>496.93079171016871</v>
          </cell>
          <cell r="Q54">
            <v>479.62891710631084</v>
          </cell>
          <cell r="R54">
            <v>462.32704250244569</v>
          </cell>
          <cell r="S54">
            <v>445.02516789858055</v>
          </cell>
          <cell r="T54">
            <v>429.74177295655682</v>
          </cell>
          <cell r="U54">
            <v>414.45837801453308</v>
          </cell>
          <cell r="V54">
            <v>399.17498307250935</v>
          </cell>
          <cell r="W54">
            <v>383.89158813048562</v>
          </cell>
          <cell r="X54">
            <v>368.60819318846188</v>
          </cell>
          <cell r="Y54">
            <v>355.13620468719091</v>
          </cell>
          <cell r="Z54">
            <v>341.66421618591994</v>
          </cell>
          <cell r="AA54">
            <v>328.19222768464897</v>
          </cell>
          <cell r="AB54">
            <v>314.720239183378</v>
          </cell>
          <cell r="AC54">
            <v>301.24825068211067</v>
          </cell>
          <cell r="AD54">
            <v>289.40042702970823</v>
          </cell>
          <cell r="AE54">
            <v>277.55260337730215</v>
          </cell>
          <cell r="AF54">
            <v>265.70477972489971</v>
          </cell>
          <cell r="AG54">
            <v>253.85695607249727</v>
          </cell>
          <cell r="AH54">
            <v>242.00913242009119</v>
          </cell>
        </row>
        <row r="55">
          <cell r="B55" t="str">
            <v>e-hydrogen (PEM) - OPEX - Global - USD/ton fuel</v>
          </cell>
          <cell r="G55">
            <v>910.59019561100286</v>
          </cell>
          <cell r="H55">
            <v>850.84304301098746</v>
          </cell>
          <cell r="I55">
            <v>791.09589041095751</v>
          </cell>
          <cell r="J55">
            <v>739.18362051235454</v>
          </cell>
          <cell r="K55">
            <v>687.27135061373701</v>
          </cell>
          <cell r="L55">
            <v>635.35908071511949</v>
          </cell>
          <cell r="M55">
            <v>583.44681081651652</v>
          </cell>
          <cell r="N55">
            <v>531.53454091789899</v>
          </cell>
          <cell r="O55">
            <v>514.23266631403385</v>
          </cell>
          <cell r="P55">
            <v>496.93079171016871</v>
          </cell>
          <cell r="Q55">
            <v>479.62891710631084</v>
          </cell>
          <cell r="R55">
            <v>462.32704250244569</v>
          </cell>
          <cell r="S55">
            <v>445.02516789858055</v>
          </cell>
          <cell r="T55">
            <v>429.74177295655682</v>
          </cell>
          <cell r="U55">
            <v>414.45837801453308</v>
          </cell>
          <cell r="V55">
            <v>399.17498307250935</v>
          </cell>
          <cell r="W55">
            <v>383.89158813048562</v>
          </cell>
          <cell r="X55">
            <v>368.60819318846188</v>
          </cell>
          <cell r="Y55">
            <v>355.13620468719091</v>
          </cell>
          <cell r="Z55">
            <v>341.66421618591994</v>
          </cell>
          <cell r="AA55">
            <v>328.19222768464897</v>
          </cell>
          <cell r="AB55">
            <v>314.720239183378</v>
          </cell>
          <cell r="AC55">
            <v>301.24825068211067</v>
          </cell>
          <cell r="AD55">
            <v>289.40042702970823</v>
          </cell>
          <cell r="AE55">
            <v>277.55260337730215</v>
          </cell>
          <cell r="AF55">
            <v>265.70477972489971</v>
          </cell>
          <cell r="AG55">
            <v>253.85695607249727</v>
          </cell>
          <cell r="AH55">
            <v>242.00913242009119</v>
          </cell>
        </row>
        <row r="56">
          <cell r="B56" t="str">
            <v/>
          </cell>
        </row>
        <row r="57">
          <cell r="B57" t="str">
            <v>e-hydrogen (PEM) - Finance cost including feedstock finance cost - Africa - USD/ton fuel</v>
          </cell>
          <cell r="G57">
            <v>490.35955357541746</v>
          </cell>
          <cell r="H57">
            <v>462.73114665072126</v>
          </cell>
          <cell r="I57">
            <v>435.10273972602511</v>
          </cell>
          <cell r="J57">
            <v>409.21948113156253</v>
          </cell>
          <cell r="K57">
            <v>383.33622253710001</v>
          </cell>
          <cell r="L57">
            <v>357.4529639426375</v>
          </cell>
          <cell r="M57">
            <v>331.56970534817492</v>
          </cell>
          <cell r="N57">
            <v>305.6864467537124</v>
          </cell>
          <cell r="O57">
            <v>298.07225786132858</v>
          </cell>
          <cell r="P57">
            <v>290.45806896894794</v>
          </cell>
          <cell r="Q57">
            <v>282.8438800765673</v>
          </cell>
          <cell r="R57">
            <v>275.22969118418348</v>
          </cell>
          <cell r="S57">
            <v>267.61550229179966</v>
          </cell>
          <cell r="T57">
            <v>260.44815878833327</v>
          </cell>
          <cell r="U57">
            <v>253.28081528486686</v>
          </cell>
          <cell r="V57">
            <v>246.11347178140048</v>
          </cell>
          <cell r="W57">
            <v>238.94612827793728</v>
          </cell>
          <cell r="X57">
            <v>231.77878477447086</v>
          </cell>
          <cell r="Y57">
            <v>225.03671148919329</v>
          </cell>
          <cell r="Z57">
            <v>218.2946382039157</v>
          </cell>
          <cell r="AA57">
            <v>211.55256491863813</v>
          </cell>
          <cell r="AB57">
            <v>204.81049163336053</v>
          </cell>
          <cell r="AC57">
            <v>198.06841834808296</v>
          </cell>
          <cell r="AD57">
            <v>191.73099038622811</v>
          </cell>
          <cell r="AE57">
            <v>185.39356242437486</v>
          </cell>
          <cell r="AF57">
            <v>179.05613446252002</v>
          </cell>
          <cell r="AG57">
            <v>172.71870650066515</v>
          </cell>
          <cell r="AH57">
            <v>166.38127853881193</v>
          </cell>
        </row>
        <row r="58">
          <cell r="B58" t="str">
            <v>e-hydrogen (PEM) - Finance cost including feedstock finance cost - Americas - USD/ton fuel</v>
          </cell>
          <cell r="G58">
            <v>490.35955357541746</v>
          </cell>
          <cell r="H58">
            <v>462.73114665072126</v>
          </cell>
          <cell r="I58">
            <v>435.10273972602511</v>
          </cell>
          <cell r="J58">
            <v>409.21948113156253</v>
          </cell>
          <cell r="K58">
            <v>383.33622253710001</v>
          </cell>
          <cell r="L58">
            <v>357.4529639426375</v>
          </cell>
          <cell r="M58">
            <v>331.56970534817492</v>
          </cell>
          <cell r="N58">
            <v>305.6864467537124</v>
          </cell>
          <cell r="O58">
            <v>298.07225786132858</v>
          </cell>
          <cell r="P58">
            <v>290.45806896894794</v>
          </cell>
          <cell r="Q58">
            <v>282.8438800765673</v>
          </cell>
          <cell r="R58">
            <v>275.22969118418348</v>
          </cell>
          <cell r="S58">
            <v>267.61550229179966</v>
          </cell>
          <cell r="T58">
            <v>260.44815878833327</v>
          </cell>
          <cell r="U58">
            <v>253.28081528486686</v>
          </cell>
          <cell r="V58">
            <v>246.11347178140048</v>
          </cell>
          <cell r="W58">
            <v>238.94612827793728</v>
          </cell>
          <cell r="X58">
            <v>231.77878477447086</v>
          </cell>
          <cell r="Y58">
            <v>225.03671148919329</v>
          </cell>
          <cell r="Z58">
            <v>218.2946382039157</v>
          </cell>
          <cell r="AA58">
            <v>211.55256491863813</v>
          </cell>
          <cell r="AB58">
            <v>204.81049163336053</v>
          </cell>
          <cell r="AC58">
            <v>198.06841834808296</v>
          </cell>
          <cell r="AD58">
            <v>191.73099038622811</v>
          </cell>
          <cell r="AE58">
            <v>185.39356242437486</v>
          </cell>
          <cell r="AF58">
            <v>179.05613446252002</v>
          </cell>
          <cell r="AG58">
            <v>172.71870650066515</v>
          </cell>
          <cell r="AH58">
            <v>166.38127853881193</v>
          </cell>
        </row>
        <row r="59">
          <cell r="B59" t="str">
            <v>e-hydrogen (PEM) - Finance cost including feedstock finance cost - Asia - USD/ton fuel</v>
          </cell>
          <cell r="G59">
            <v>490.35955357541746</v>
          </cell>
          <cell r="H59">
            <v>462.73114665072126</v>
          </cell>
          <cell r="I59">
            <v>435.10273972602511</v>
          </cell>
          <cell r="J59">
            <v>409.21948113156253</v>
          </cell>
          <cell r="K59">
            <v>383.33622253710001</v>
          </cell>
          <cell r="L59">
            <v>357.4529639426375</v>
          </cell>
          <cell r="M59">
            <v>331.56970534817492</v>
          </cell>
          <cell r="N59">
            <v>305.6864467537124</v>
          </cell>
          <cell r="O59">
            <v>298.07225786132858</v>
          </cell>
          <cell r="P59">
            <v>290.45806896894794</v>
          </cell>
          <cell r="Q59">
            <v>282.8438800765673</v>
          </cell>
          <cell r="R59">
            <v>275.22969118418348</v>
          </cell>
          <cell r="S59">
            <v>267.61550229179966</v>
          </cell>
          <cell r="T59">
            <v>260.44815878833327</v>
          </cell>
          <cell r="U59">
            <v>253.28081528486686</v>
          </cell>
          <cell r="V59">
            <v>246.11347178140048</v>
          </cell>
          <cell r="W59">
            <v>238.94612827793728</v>
          </cell>
          <cell r="X59">
            <v>231.77878477447086</v>
          </cell>
          <cell r="Y59">
            <v>225.03671148919329</v>
          </cell>
          <cell r="Z59">
            <v>218.2946382039157</v>
          </cell>
          <cell r="AA59">
            <v>211.55256491863813</v>
          </cell>
          <cell r="AB59">
            <v>204.81049163336053</v>
          </cell>
          <cell r="AC59">
            <v>198.06841834808296</v>
          </cell>
          <cell r="AD59">
            <v>191.73099038622811</v>
          </cell>
          <cell r="AE59">
            <v>185.39356242437486</v>
          </cell>
          <cell r="AF59">
            <v>179.05613446252002</v>
          </cell>
          <cell r="AG59">
            <v>172.71870650066515</v>
          </cell>
          <cell r="AH59">
            <v>166.38127853881193</v>
          </cell>
        </row>
        <row r="60">
          <cell r="B60" t="str">
            <v>e-hydrogen (PEM) - Finance cost including feedstock finance cost - Europe - USD/ton fuel</v>
          </cell>
          <cell r="G60">
            <v>490.35955357541746</v>
          </cell>
          <cell r="H60">
            <v>462.73114665072126</v>
          </cell>
          <cell r="I60">
            <v>435.10273972602511</v>
          </cell>
          <cell r="J60">
            <v>409.21948113156253</v>
          </cell>
          <cell r="K60">
            <v>383.33622253710001</v>
          </cell>
          <cell r="L60">
            <v>357.4529639426375</v>
          </cell>
          <cell r="M60">
            <v>331.56970534817492</v>
          </cell>
          <cell r="N60">
            <v>305.6864467537124</v>
          </cell>
          <cell r="O60">
            <v>298.07225786132858</v>
          </cell>
          <cell r="P60">
            <v>290.45806896894794</v>
          </cell>
          <cell r="Q60">
            <v>282.8438800765673</v>
          </cell>
          <cell r="R60">
            <v>275.22969118418348</v>
          </cell>
          <cell r="S60">
            <v>267.61550229179966</v>
          </cell>
          <cell r="T60">
            <v>260.44815878833327</v>
          </cell>
          <cell r="U60">
            <v>253.28081528486686</v>
          </cell>
          <cell r="V60">
            <v>246.11347178140048</v>
          </cell>
          <cell r="W60">
            <v>238.94612827793728</v>
          </cell>
          <cell r="X60">
            <v>231.77878477447086</v>
          </cell>
          <cell r="Y60">
            <v>225.03671148919329</v>
          </cell>
          <cell r="Z60">
            <v>218.2946382039157</v>
          </cell>
          <cell r="AA60">
            <v>211.55256491863813</v>
          </cell>
          <cell r="AB60">
            <v>204.81049163336053</v>
          </cell>
          <cell r="AC60">
            <v>198.06841834808296</v>
          </cell>
          <cell r="AD60">
            <v>191.73099038622811</v>
          </cell>
          <cell r="AE60">
            <v>185.39356242437486</v>
          </cell>
          <cell r="AF60">
            <v>179.05613446252002</v>
          </cell>
          <cell r="AG60">
            <v>172.71870650066515</v>
          </cell>
          <cell r="AH60">
            <v>166.38127853881193</v>
          </cell>
        </row>
        <row r="61">
          <cell r="B61" t="str">
            <v>e-hydrogen (PEM) - Finance cost including feedstock finance cost - Middle East - USD/ton fuel</v>
          </cell>
          <cell r="G61">
            <v>490.35955357541746</v>
          </cell>
          <cell r="H61">
            <v>462.73114665072126</v>
          </cell>
          <cell r="I61">
            <v>435.10273972602511</v>
          </cell>
          <cell r="J61">
            <v>409.21948113156253</v>
          </cell>
          <cell r="K61">
            <v>383.33622253710001</v>
          </cell>
          <cell r="L61">
            <v>357.4529639426375</v>
          </cell>
          <cell r="M61">
            <v>331.56970534817492</v>
          </cell>
          <cell r="N61">
            <v>305.6864467537124</v>
          </cell>
          <cell r="O61">
            <v>298.07225786132858</v>
          </cell>
          <cell r="P61">
            <v>290.45806896894794</v>
          </cell>
          <cell r="Q61">
            <v>282.8438800765673</v>
          </cell>
          <cell r="R61">
            <v>275.22969118418348</v>
          </cell>
          <cell r="S61">
            <v>267.61550229179966</v>
          </cell>
          <cell r="T61">
            <v>260.44815878833327</v>
          </cell>
          <cell r="U61">
            <v>253.28081528486686</v>
          </cell>
          <cell r="V61">
            <v>246.11347178140048</v>
          </cell>
          <cell r="W61">
            <v>238.94612827793728</v>
          </cell>
          <cell r="X61">
            <v>231.77878477447086</v>
          </cell>
          <cell r="Y61">
            <v>225.03671148919329</v>
          </cell>
          <cell r="Z61">
            <v>218.2946382039157</v>
          </cell>
          <cell r="AA61">
            <v>211.55256491863813</v>
          </cell>
          <cell r="AB61">
            <v>204.81049163336053</v>
          </cell>
          <cell r="AC61">
            <v>198.06841834808296</v>
          </cell>
          <cell r="AD61">
            <v>191.73099038622811</v>
          </cell>
          <cell r="AE61">
            <v>185.39356242437486</v>
          </cell>
          <cell r="AF61">
            <v>179.05613446252002</v>
          </cell>
          <cell r="AG61">
            <v>172.71870650066515</v>
          </cell>
          <cell r="AH61">
            <v>166.38127853881193</v>
          </cell>
        </row>
        <row r="62">
          <cell r="B62" t="str">
            <v>e-hydrogen (PEM) - Finance cost - Africa - USD/ton fuel</v>
          </cell>
          <cell r="G62">
            <v>490.35955357541746</v>
          </cell>
          <cell r="H62">
            <v>462.73114665072126</v>
          </cell>
          <cell r="I62">
            <v>435.10273972602511</v>
          </cell>
          <cell r="J62">
            <v>409.21948113156253</v>
          </cell>
          <cell r="K62">
            <v>383.33622253710001</v>
          </cell>
          <cell r="L62">
            <v>357.4529639426375</v>
          </cell>
          <cell r="M62">
            <v>331.56970534817492</v>
          </cell>
          <cell r="N62">
            <v>305.6864467537124</v>
          </cell>
          <cell r="O62">
            <v>298.07225786132858</v>
          </cell>
          <cell r="P62">
            <v>290.45806896894794</v>
          </cell>
          <cell r="Q62">
            <v>282.8438800765673</v>
          </cell>
          <cell r="R62">
            <v>275.22969118418348</v>
          </cell>
          <cell r="S62">
            <v>267.61550229179966</v>
          </cell>
          <cell r="T62">
            <v>260.44815878833327</v>
          </cell>
          <cell r="U62">
            <v>253.28081528486686</v>
          </cell>
          <cell r="V62">
            <v>246.11347178140048</v>
          </cell>
          <cell r="W62">
            <v>238.94612827793728</v>
          </cell>
          <cell r="X62">
            <v>231.77878477447086</v>
          </cell>
          <cell r="Y62">
            <v>225.03671148919329</v>
          </cell>
          <cell r="Z62">
            <v>218.2946382039157</v>
          </cell>
          <cell r="AA62">
            <v>211.55256491863813</v>
          </cell>
          <cell r="AB62">
            <v>204.81049163336053</v>
          </cell>
          <cell r="AC62">
            <v>198.06841834808296</v>
          </cell>
          <cell r="AD62">
            <v>191.73099038622811</v>
          </cell>
          <cell r="AE62">
            <v>185.39356242437486</v>
          </cell>
          <cell r="AF62">
            <v>179.05613446252002</v>
          </cell>
          <cell r="AG62">
            <v>172.71870650066515</v>
          </cell>
          <cell r="AH62">
            <v>166.38127853881193</v>
          </cell>
        </row>
        <row r="63">
          <cell r="B63" t="str">
            <v>e-hydrogen (PEM) - Finance cost - Americas - USD/ton fuel</v>
          </cell>
          <cell r="G63">
            <v>490.35955357541746</v>
          </cell>
          <cell r="H63">
            <v>462.73114665072126</v>
          </cell>
          <cell r="I63">
            <v>435.10273972602511</v>
          </cell>
          <cell r="J63">
            <v>409.21948113156253</v>
          </cell>
          <cell r="K63">
            <v>383.33622253710001</v>
          </cell>
          <cell r="L63">
            <v>357.4529639426375</v>
          </cell>
          <cell r="M63">
            <v>331.56970534817492</v>
          </cell>
          <cell r="N63">
            <v>305.6864467537124</v>
          </cell>
          <cell r="O63">
            <v>298.07225786132858</v>
          </cell>
          <cell r="P63">
            <v>290.45806896894794</v>
          </cell>
          <cell r="Q63">
            <v>282.8438800765673</v>
          </cell>
          <cell r="R63">
            <v>275.22969118418348</v>
          </cell>
          <cell r="S63">
            <v>267.61550229179966</v>
          </cell>
          <cell r="T63">
            <v>260.44815878833327</v>
          </cell>
          <cell r="U63">
            <v>253.28081528486686</v>
          </cell>
          <cell r="V63">
            <v>246.11347178140048</v>
          </cell>
          <cell r="W63">
            <v>238.94612827793728</v>
          </cell>
          <cell r="X63">
            <v>231.77878477447086</v>
          </cell>
          <cell r="Y63">
            <v>225.03671148919329</v>
          </cell>
          <cell r="Z63">
            <v>218.2946382039157</v>
          </cell>
          <cell r="AA63">
            <v>211.55256491863813</v>
          </cell>
          <cell r="AB63">
            <v>204.81049163336053</v>
          </cell>
          <cell r="AC63">
            <v>198.06841834808296</v>
          </cell>
          <cell r="AD63">
            <v>191.73099038622811</v>
          </cell>
          <cell r="AE63">
            <v>185.39356242437486</v>
          </cell>
          <cell r="AF63">
            <v>179.05613446252002</v>
          </cell>
          <cell r="AG63">
            <v>172.71870650066515</v>
          </cell>
          <cell r="AH63">
            <v>166.38127853881193</v>
          </cell>
        </row>
        <row r="64">
          <cell r="B64" t="str">
            <v>e-hydrogen (PEM) - Finance cost - Asia - USD/ton fuel</v>
          </cell>
          <cell r="G64">
            <v>490.35955357541746</v>
          </cell>
          <cell r="H64">
            <v>462.73114665072126</v>
          </cell>
          <cell r="I64">
            <v>435.10273972602511</v>
          </cell>
          <cell r="J64">
            <v>409.21948113156253</v>
          </cell>
          <cell r="K64">
            <v>383.33622253710001</v>
          </cell>
          <cell r="L64">
            <v>357.4529639426375</v>
          </cell>
          <cell r="M64">
            <v>331.56970534817492</v>
          </cell>
          <cell r="N64">
            <v>305.6864467537124</v>
          </cell>
          <cell r="O64">
            <v>298.07225786132858</v>
          </cell>
          <cell r="P64">
            <v>290.45806896894794</v>
          </cell>
          <cell r="Q64">
            <v>282.8438800765673</v>
          </cell>
          <cell r="R64">
            <v>275.22969118418348</v>
          </cell>
          <cell r="S64">
            <v>267.61550229179966</v>
          </cell>
          <cell r="T64">
            <v>260.44815878833327</v>
          </cell>
          <cell r="U64">
            <v>253.28081528486686</v>
          </cell>
          <cell r="V64">
            <v>246.11347178140048</v>
          </cell>
          <cell r="W64">
            <v>238.94612827793728</v>
          </cell>
          <cell r="X64">
            <v>231.77878477447086</v>
          </cell>
          <cell r="Y64">
            <v>225.03671148919329</v>
          </cell>
          <cell r="Z64">
            <v>218.2946382039157</v>
          </cell>
          <cell r="AA64">
            <v>211.55256491863813</v>
          </cell>
          <cell r="AB64">
            <v>204.81049163336053</v>
          </cell>
          <cell r="AC64">
            <v>198.06841834808296</v>
          </cell>
          <cell r="AD64">
            <v>191.73099038622811</v>
          </cell>
          <cell r="AE64">
            <v>185.39356242437486</v>
          </cell>
          <cell r="AF64">
            <v>179.05613446252002</v>
          </cell>
          <cell r="AG64">
            <v>172.71870650066515</v>
          </cell>
          <cell r="AH64">
            <v>166.38127853881193</v>
          </cell>
        </row>
        <row r="65">
          <cell r="B65" t="str">
            <v>e-hydrogen (PEM) - Finance cost - Europe - USD/ton fuel</v>
          </cell>
          <cell r="G65">
            <v>490.35955357541746</v>
          </cell>
          <cell r="H65">
            <v>462.73114665072126</v>
          </cell>
          <cell r="I65">
            <v>435.10273972602511</v>
          </cell>
          <cell r="J65">
            <v>409.21948113156253</v>
          </cell>
          <cell r="K65">
            <v>383.33622253710001</v>
          </cell>
          <cell r="L65">
            <v>357.4529639426375</v>
          </cell>
          <cell r="M65">
            <v>331.56970534817492</v>
          </cell>
          <cell r="N65">
            <v>305.6864467537124</v>
          </cell>
          <cell r="O65">
            <v>298.07225786132858</v>
          </cell>
          <cell r="P65">
            <v>290.45806896894794</v>
          </cell>
          <cell r="Q65">
            <v>282.8438800765673</v>
          </cell>
          <cell r="R65">
            <v>275.22969118418348</v>
          </cell>
          <cell r="S65">
            <v>267.61550229179966</v>
          </cell>
          <cell r="T65">
            <v>260.44815878833327</v>
          </cell>
          <cell r="U65">
            <v>253.28081528486686</v>
          </cell>
          <cell r="V65">
            <v>246.11347178140048</v>
          </cell>
          <cell r="W65">
            <v>238.94612827793728</v>
          </cell>
          <cell r="X65">
            <v>231.77878477447086</v>
          </cell>
          <cell r="Y65">
            <v>225.03671148919329</v>
          </cell>
          <cell r="Z65">
            <v>218.2946382039157</v>
          </cell>
          <cell r="AA65">
            <v>211.55256491863813</v>
          </cell>
          <cell r="AB65">
            <v>204.81049163336053</v>
          </cell>
          <cell r="AC65">
            <v>198.06841834808296</v>
          </cell>
          <cell r="AD65">
            <v>191.73099038622811</v>
          </cell>
          <cell r="AE65">
            <v>185.39356242437486</v>
          </cell>
          <cell r="AF65">
            <v>179.05613446252002</v>
          </cell>
          <cell r="AG65">
            <v>172.71870650066515</v>
          </cell>
          <cell r="AH65">
            <v>166.38127853881193</v>
          </cell>
        </row>
        <row r="66">
          <cell r="B66" t="str">
            <v>e-hydrogen (PEM) - Finance cost - Middle East - USD/ton fuel</v>
          </cell>
          <cell r="G66">
            <v>490.35955357541746</v>
          </cell>
          <cell r="H66">
            <v>462.73114665072126</v>
          </cell>
          <cell r="I66">
            <v>435.10273972602511</v>
          </cell>
          <cell r="J66">
            <v>409.21948113156253</v>
          </cell>
          <cell r="K66">
            <v>383.33622253710001</v>
          </cell>
          <cell r="L66">
            <v>357.4529639426375</v>
          </cell>
          <cell r="M66">
            <v>331.56970534817492</v>
          </cell>
          <cell r="N66">
            <v>305.6864467537124</v>
          </cell>
          <cell r="O66">
            <v>298.07225786132858</v>
          </cell>
          <cell r="P66">
            <v>290.45806896894794</v>
          </cell>
          <cell r="Q66">
            <v>282.8438800765673</v>
          </cell>
          <cell r="R66">
            <v>275.22969118418348</v>
          </cell>
          <cell r="S66">
            <v>267.61550229179966</v>
          </cell>
          <cell r="T66">
            <v>260.44815878833327</v>
          </cell>
          <cell r="U66">
            <v>253.28081528486686</v>
          </cell>
          <cell r="V66">
            <v>246.11347178140048</v>
          </cell>
          <cell r="W66">
            <v>238.94612827793728</v>
          </cell>
          <cell r="X66">
            <v>231.77878477447086</v>
          </cell>
          <cell r="Y66">
            <v>225.03671148919329</v>
          </cell>
          <cell r="Z66">
            <v>218.2946382039157</v>
          </cell>
          <cell r="AA66">
            <v>211.55256491863813</v>
          </cell>
          <cell r="AB66">
            <v>204.81049163336053</v>
          </cell>
          <cell r="AC66">
            <v>198.06841834808296</v>
          </cell>
          <cell r="AD66">
            <v>191.73099038622811</v>
          </cell>
          <cell r="AE66">
            <v>185.39356242437486</v>
          </cell>
          <cell r="AF66">
            <v>179.05613446252002</v>
          </cell>
          <cell r="AG66">
            <v>172.71870650066515</v>
          </cell>
          <cell r="AH66">
            <v>166.38127853881193</v>
          </cell>
        </row>
        <row r="67">
          <cell r="B67" t="str">
            <v/>
          </cell>
        </row>
        <row r="68">
          <cell r="B68" t="str">
            <v>e-hydrogen (PEM) - Energy cost including feedstock energy cost - Africa - USD/ton fuel</v>
          </cell>
          <cell r="G68">
            <v>3730.3122026288802</v>
          </cell>
          <cell r="H68">
            <v>3269.4361794404149</v>
          </cell>
          <cell r="I68">
            <v>2814.6374903306055</v>
          </cell>
          <cell r="J68">
            <v>2675.9129580856625</v>
          </cell>
          <cell r="K68">
            <v>2538.8250151491648</v>
          </cell>
          <cell r="L68">
            <v>2403.3736615211164</v>
          </cell>
          <cell r="M68">
            <v>2269.5588972014853</v>
          </cell>
          <cell r="N68">
            <v>2137.380722190323</v>
          </cell>
          <cell r="O68">
            <v>2058.3648836859011</v>
          </cell>
          <cell r="P68">
            <v>1980.2315510461706</v>
          </cell>
          <cell r="Q68">
            <v>1902.9807242711001</v>
          </cell>
          <cell r="R68">
            <v>1826.6124033607446</v>
          </cell>
          <cell r="S68">
            <v>1751.1265883150895</v>
          </cell>
          <cell r="T68">
            <v>1709.9031642488958</v>
          </cell>
          <cell r="U68">
            <v>1669.0810074192418</v>
          </cell>
          <cell r="V68">
            <v>1628.6601178261169</v>
          </cell>
          <cell r="W68">
            <v>1588.640495469522</v>
          </cell>
          <cell r="X68">
            <v>1549.0221403494756</v>
          </cell>
          <cell r="Y68">
            <v>1509.3676428064002</v>
          </cell>
          <cell r="Z68">
            <v>1470.1117371150024</v>
          </cell>
          <cell r="AA68">
            <v>1431.2544232752696</v>
          </cell>
          <cell r="AB68">
            <v>1392.7957012872273</v>
          </cell>
          <cell r="AC68">
            <v>1354.7355711508565</v>
          </cell>
          <cell r="AD68">
            <v>1331.7183335255047</v>
          </cell>
          <cell r="AE68">
            <v>1308.8900880354536</v>
          </cell>
          <cell r="AF68">
            <v>1286.2508346806881</v>
          </cell>
          <cell r="AG68">
            <v>1263.8005734612141</v>
          </cell>
          <cell r="AH68">
            <v>1241.5393043770378</v>
          </cell>
        </row>
        <row r="69">
          <cell r="B69" t="str">
            <v>e-hydrogen (PEM) - Energy cost including feedstock energy cost - Americas - USD/ton fuel</v>
          </cell>
          <cell r="G69">
            <v>2343.8106642765952</v>
          </cell>
          <cell r="H69">
            <v>2279.3512991162015</v>
          </cell>
          <cell r="I69">
            <v>2215.5653371432172</v>
          </cell>
          <cell r="J69">
            <v>2120.1507527172935</v>
          </cell>
          <cell r="K69">
            <v>2025.8358065319769</v>
          </cell>
          <cell r="L69">
            <v>1932.62049858727</v>
          </cell>
          <cell r="M69">
            <v>1840.5048288831977</v>
          </cell>
          <cell r="N69">
            <v>1749.4887974196999</v>
          </cell>
          <cell r="O69">
            <v>1700.2434923212834</v>
          </cell>
          <cell r="P69">
            <v>1651.509379383243</v>
          </cell>
          <cell r="Q69">
            <v>1603.2864586055753</v>
          </cell>
          <cell r="R69">
            <v>1555.5747299882805</v>
          </cell>
          <cell r="S69">
            <v>1508.3741935313576</v>
          </cell>
          <cell r="T69">
            <v>1468.8707293461041</v>
          </cell>
          <cell r="U69">
            <v>1429.7675701720427</v>
          </cell>
          <cell r="V69">
            <v>1391.0647160091701</v>
          </cell>
          <cell r="W69">
            <v>1352.7621668574934</v>
          </cell>
          <cell r="X69">
            <v>1314.8599227170084</v>
          </cell>
          <cell r="Y69">
            <v>1294.5399452630752</v>
          </cell>
          <cell r="Z69">
            <v>1274.3757583370934</v>
          </cell>
          <cell r="AA69">
            <v>1254.3673619390659</v>
          </cell>
          <cell r="AB69">
            <v>1234.5147560689866</v>
          </cell>
          <cell r="AC69">
            <v>1214.8179407268583</v>
          </cell>
          <cell r="AD69">
            <v>1198.2654022145482</v>
          </cell>
          <cell r="AE69">
            <v>1181.826403107151</v>
          </cell>
          <cell r="AF69">
            <v>1165.5009434046617</v>
          </cell>
          <cell r="AG69">
            <v>1149.2890231070803</v>
          </cell>
          <cell r="AH69">
            <v>1133.1906422144064</v>
          </cell>
        </row>
        <row r="70">
          <cell r="B70" t="str">
            <v>e-hydrogen (PEM) - Energy cost including feedstock energy cost - Asia - USD/ton fuel</v>
          </cell>
          <cell r="G70">
            <v>4148.8825697659477</v>
          </cell>
          <cell r="H70">
            <v>3758.0509147195326</v>
          </cell>
          <cell r="I70">
            <v>3372.277443183531</v>
          </cell>
          <cell r="J70">
            <v>3221.2797368976499</v>
          </cell>
          <cell r="K70">
            <v>3072.0347119738053</v>
          </cell>
          <cell r="L70">
            <v>2924.54236841189</v>
          </cell>
          <cell r="M70">
            <v>2778.8027062119545</v>
          </cell>
          <cell r="N70">
            <v>2634.8157253740492</v>
          </cell>
          <cell r="O70">
            <v>2532.8132326944678</v>
          </cell>
          <cell r="P70">
            <v>2431.9615413637011</v>
          </cell>
          <cell r="Q70">
            <v>2332.2606513817445</v>
          </cell>
          <cell r="R70">
            <v>2233.7105627485425</v>
          </cell>
          <cell r="S70">
            <v>2136.3112754641311</v>
          </cell>
          <cell r="T70">
            <v>2080.489448663513</v>
          </cell>
          <cell r="U70">
            <v>2025.2328368434228</v>
          </cell>
          <cell r="V70">
            <v>1970.5414400038767</v>
          </cell>
          <cell r="W70">
            <v>1916.4152581448413</v>
          </cell>
          <cell r="X70">
            <v>1862.8542912663629</v>
          </cell>
          <cell r="Y70">
            <v>1808.4297036400903</v>
          </cell>
          <cell r="Z70">
            <v>1754.5766402002421</v>
          </cell>
          <cell r="AA70">
            <v>1701.2951009467931</v>
          </cell>
          <cell r="AB70">
            <v>1648.5850858797683</v>
          </cell>
          <cell r="AC70">
            <v>1596.4465949991425</v>
          </cell>
          <cell r="AD70">
            <v>1567.0955314850958</v>
          </cell>
          <cell r="AE70">
            <v>1537.9976560048074</v>
          </cell>
          <cell r="AF70">
            <v>1509.1529685582866</v>
          </cell>
          <cell r="AG70">
            <v>1480.5614691455269</v>
          </cell>
          <cell r="AH70">
            <v>1452.2231577665225</v>
          </cell>
        </row>
        <row r="71">
          <cell r="B71" t="str">
            <v>e-hydrogen (PEM) - Energy cost including feedstock energy cost - Europe - USD/ton fuel</v>
          </cell>
          <cell r="G71">
            <v>3088.6183404051494</v>
          </cell>
          <cell r="H71">
            <v>2934.9978773207504</v>
          </cell>
          <cell r="I71">
            <v>2783.2242960023127</v>
          </cell>
          <cell r="J71">
            <v>2658.9634884269576</v>
          </cell>
          <cell r="K71">
            <v>2536.1442675500366</v>
          </cell>
          <cell r="L71">
            <v>2414.7666333716097</v>
          </cell>
          <cell r="M71">
            <v>2294.8305858916169</v>
          </cell>
          <cell r="N71">
            <v>2176.3361251101096</v>
          </cell>
          <cell r="O71">
            <v>2119.2621979451387</v>
          </cell>
          <cell r="P71">
            <v>2062.7668977101166</v>
          </cell>
          <cell r="Q71">
            <v>2006.8502244049839</v>
          </cell>
          <cell r="R71">
            <v>1951.5121780297545</v>
          </cell>
          <cell r="S71">
            <v>1896.7527585844489</v>
          </cell>
          <cell r="T71">
            <v>1859.4750566786888</v>
          </cell>
          <cell r="U71">
            <v>1822.5310861272537</v>
          </cell>
          <cell r="V71">
            <v>1785.9208469301404</v>
          </cell>
          <cell r="W71">
            <v>1749.6443390873419</v>
          </cell>
          <cell r="X71">
            <v>1713.7015625988522</v>
          </cell>
          <cell r="Y71">
            <v>1676.8515459482612</v>
          </cell>
          <cell r="Z71">
            <v>1640.3464303890162</v>
          </cell>
          <cell r="AA71">
            <v>1604.1862159211298</v>
          </cell>
          <cell r="AB71">
            <v>1568.3709025445894</v>
          </cell>
          <cell r="AC71">
            <v>1532.9004902594074</v>
          </cell>
          <cell r="AD71">
            <v>1504.7187204030115</v>
          </cell>
          <cell r="AE71">
            <v>1476.7800470524367</v>
          </cell>
          <cell r="AF71">
            <v>1449.0844702076927</v>
          </cell>
          <cell r="AG71">
            <v>1421.6319898687727</v>
          </cell>
          <cell r="AH71">
            <v>1394.4226060356712</v>
          </cell>
        </row>
        <row r="72">
          <cell r="B72" t="str">
            <v>e-hydrogen (PEM) - Energy cost including feedstock energy cost - Middle East - USD/ton fuel</v>
          </cell>
          <cell r="G72">
            <v>2365.0932635456288</v>
          </cell>
          <cell r="H72">
            <v>2245.0449546691425</v>
          </cell>
          <cell r="I72">
            <v>2126.4446150453423</v>
          </cell>
          <cell r="J72">
            <v>2044.3163234657441</v>
          </cell>
          <cell r="K72">
            <v>1963.1141459928449</v>
          </cell>
          <cell r="L72">
            <v>1882.8380826266482</v>
          </cell>
          <cell r="M72">
            <v>1803.4881333671503</v>
          </cell>
          <cell r="N72">
            <v>1725.0642982143481</v>
          </cell>
          <cell r="O72">
            <v>1667.2422396005049</v>
          </cell>
          <cell r="P72">
            <v>1610.0510100044264</v>
          </cell>
          <cell r="Q72">
            <v>1553.4906094260816</v>
          </cell>
          <cell r="R72">
            <v>1497.5610378654981</v>
          </cell>
          <cell r="S72">
            <v>1442.2622953226673</v>
          </cell>
          <cell r="T72">
            <v>1410.1329638726679</v>
          </cell>
          <cell r="U72">
            <v>1378.3091765551919</v>
          </cell>
          <cell r="V72">
            <v>1346.7909333702487</v>
          </cell>
          <cell r="W72">
            <v>1315.5782343178196</v>
          </cell>
          <cell r="X72">
            <v>1284.6710793979164</v>
          </cell>
          <cell r="Y72">
            <v>1247.6546356229667</v>
          </cell>
          <cell r="Z72">
            <v>1211.0252666371405</v>
          </cell>
          <cell r="AA72">
            <v>1174.7829724404253</v>
          </cell>
          <cell r="AB72">
            <v>1138.9277530328336</v>
          </cell>
          <cell r="AC72">
            <v>1103.45960841435</v>
          </cell>
          <cell r="AD72">
            <v>1083.1718876933442</v>
          </cell>
          <cell r="AE72">
            <v>1063.059174573888</v>
          </cell>
          <cell r="AF72">
            <v>1043.121469055973</v>
          </cell>
          <cell r="AG72">
            <v>1023.3587711396019</v>
          </cell>
          <cell r="AH72">
            <v>1003.7710808247782</v>
          </cell>
        </row>
        <row r="73">
          <cell r="B73" t="str">
            <v>e-hydrogen (PEM) - Energy cost - Africa - USD/ton fuel</v>
          </cell>
          <cell r="G73">
            <v>3730.3122026288802</v>
          </cell>
          <cell r="H73">
            <v>3269.4361794404149</v>
          </cell>
          <cell r="I73">
            <v>2814.6374903306055</v>
          </cell>
          <cell r="J73">
            <v>2675.9129580856625</v>
          </cell>
          <cell r="K73">
            <v>2538.8250151491648</v>
          </cell>
          <cell r="L73">
            <v>2403.3736615211164</v>
          </cell>
          <cell r="M73">
            <v>2269.5588972014853</v>
          </cell>
          <cell r="N73">
            <v>2137.380722190323</v>
          </cell>
          <cell r="O73">
            <v>2058.3648836859011</v>
          </cell>
          <cell r="P73">
            <v>1980.2315510461706</v>
          </cell>
          <cell r="Q73">
            <v>1902.9807242711001</v>
          </cell>
          <cell r="R73">
            <v>1826.6124033607446</v>
          </cell>
          <cell r="S73">
            <v>1751.1265883150895</v>
          </cell>
          <cell r="T73">
            <v>1709.9031642488958</v>
          </cell>
          <cell r="U73">
            <v>1669.0810074192418</v>
          </cell>
          <cell r="V73">
            <v>1628.6601178261169</v>
          </cell>
          <cell r="W73">
            <v>1588.640495469522</v>
          </cell>
          <cell r="X73">
            <v>1549.0221403494756</v>
          </cell>
          <cell r="Y73">
            <v>1509.3676428064002</v>
          </cell>
          <cell r="Z73">
            <v>1470.1117371150024</v>
          </cell>
          <cell r="AA73">
            <v>1431.2544232752696</v>
          </cell>
          <cell r="AB73">
            <v>1392.7957012872273</v>
          </cell>
          <cell r="AC73">
            <v>1354.7355711508565</v>
          </cell>
          <cell r="AD73">
            <v>1331.7183335255047</v>
          </cell>
          <cell r="AE73">
            <v>1308.8900880354536</v>
          </cell>
          <cell r="AF73">
            <v>1286.2508346806881</v>
          </cell>
          <cell r="AG73">
            <v>1263.8005734612141</v>
          </cell>
          <cell r="AH73">
            <v>1241.5393043770378</v>
          </cell>
        </row>
        <row r="74">
          <cell r="B74" t="str">
            <v>e-hydrogen (PEM) - Energy cost - Americas - USD/ton fuel</v>
          </cell>
          <cell r="G74">
            <v>2343.8106642765952</v>
          </cell>
          <cell r="H74">
            <v>2279.3512991162015</v>
          </cell>
          <cell r="I74">
            <v>2215.5653371432172</v>
          </cell>
          <cell r="J74">
            <v>2120.1507527172935</v>
          </cell>
          <cell r="K74">
            <v>2025.8358065319769</v>
          </cell>
          <cell r="L74">
            <v>1932.62049858727</v>
          </cell>
          <cell r="M74">
            <v>1840.5048288831977</v>
          </cell>
          <cell r="N74">
            <v>1749.4887974196999</v>
          </cell>
          <cell r="O74">
            <v>1700.2434923212834</v>
          </cell>
          <cell r="P74">
            <v>1651.509379383243</v>
          </cell>
          <cell r="Q74">
            <v>1603.2864586055753</v>
          </cell>
          <cell r="R74">
            <v>1555.5747299882805</v>
          </cell>
          <cell r="S74">
            <v>1508.3741935313576</v>
          </cell>
          <cell r="T74">
            <v>1468.8707293461041</v>
          </cell>
          <cell r="U74">
            <v>1429.7675701720427</v>
          </cell>
          <cell r="V74">
            <v>1391.0647160091701</v>
          </cell>
          <cell r="W74">
            <v>1352.7621668574934</v>
          </cell>
          <cell r="X74">
            <v>1314.8599227170084</v>
          </cell>
          <cell r="Y74">
            <v>1294.5399452630752</v>
          </cell>
          <cell r="Z74">
            <v>1274.3757583370934</v>
          </cell>
          <cell r="AA74">
            <v>1254.3673619390659</v>
          </cell>
          <cell r="AB74">
            <v>1234.5147560689866</v>
          </cell>
          <cell r="AC74">
            <v>1214.8179407268583</v>
          </cell>
          <cell r="AD74">
            <v>1198.2654022145482</v>
          </cell>
          <cell r="AE74">
            <v>1181.826403107151</v>
          </cell>
          <cell r="AF74">
            <v>1165.5009434046617</v>
          </cell>
          <cell r="AG74">
            <v>1149.2890231070803</v>
          </cell>
          <cell r="AH74">
            <v>1133.1906422144064</v>
          </cell>
        </row>
        <row r="75">
          <cell r="B75" t="str">
            <v>e-hydrogen (PEM) - Energy cost - Asia - USD/ton fuel</v>
          </cell>
          <cell r="G75">
            <v>4148.8825697659477</v>
          </cell>
          <cell r="H75">
            <v>3758.0509147195326</v>
          </cell>
          <cell r="I75">
            <v>3372.277443183531</v>
          </cell>
          <cell r="J75">
            <v>3221.2797368976499</v>
          </cell>
          <cell r="K75">
            <v>3072.0347119738053</v>
          </cell>
          <cell r="L75">
            <v>2924.54236841189</v>
          </cell>
          <cell r="M75">
            <v>2778.8027062119545</v>
          </cell>
          <cell r="N75">
            <v>2634.8157253740492</v>
          </cell>
          <cell r="O75">
            <v>2532.8132326944678</v>
          </cell>
          <cell r="P75">
            <v>2431.9615413637011</v>
          </cell>
          <cell r="Q75">
            <v>2332.2606513817445</v>
          </cell>
          <cell r="R75">
            <v>2233.7105627485425</v>
          </cell>
          <cell r="S75">
            <v>2136.3112754641311</v>
          </cell>
          <cell r="T75">
            <v>2080.489448663513</v>
          </cell>
          <cell r="U75">
            <v>2025.2328368434228</v>
          </cell>
          <cell r="V75">
            <v>1970.5414400038767</v>
          </cell>
          <cell r="W75">
            <v>1916.4152581448413</v>
          </cell>
          <cell r="X75">
            <v>1862.8542912663629</v>
          </cell>
          <cell r="Y75">
            <v>1808.4297036400903</v>
          </cell>
          <cell r="Z75">
            <v>1754.5766402002421</v>
          </cell>
          <cell r="AA75">
            <v>1701.2951009467931</v>
          </cell>
          <cell r="AB75">
            <v>1648.5850858797683</v>
          </cell>
          <cell r="AC75">
            <v>1596.4465949991425</v>
          </cell>
          <cell r="AD75">
            <v>1567.0955314850958</v>
          </cell>
          <cell r="AE75">
            <v>1537.9976560048074</v>
          </cell>
          <cell r="AF75">
            <v>1509.1529685582866</v>
          </cell>
          <cell r="AG75">
            <v>1480.5614691455269</v>
          </cell>
          <cell r="AH75">
            <v>1452.2231577665225</v>
          </cell>
        </row>
        <row r="76">
          <cell r="B76" t="str">
            <v>e-hydrogen (PEM) - Energy cost - Europe - USD/ton fuel</v>
          </cell>
          <cell r="G76">
            <v>3088.6183404051494</v>
          </cell>
          <cell r="H76">
            <v>2934.9978773207504</v>
          </cell>
          <cell r="I76">
            <v>2783.2242960023127</v>
          </cell>
          <cell r="J76">
            <v>2658.9634884269576</v>
          </cell>
          <cell r="K76">
            <v>2536.1442675500366</v>
          </cell>
          <cell r="L76">
            <v>2414.7666333716097</v>
          </cell>
          <cell r="M76">
            <v>2294.8305858916169</v>
          </cell>
          <cell r="N76">
            <v>2176.3361251101096</v>
          </cell>
          <cell r="O76">
            <v>2119.2621979451387</v>
          </cell>
          <cell r="P76">
            <v>2062.7668977101166</v>
          </cell>
          <cell r="Q76">
            <v>2006.8502244049839</v>
          </cell>
          <cell r="R76">
            <v>1951.5121780297545</v>
          </cell>
          <cell r="S76">
            <v>1896.7527585844489</v>
          </cell>
          <cell r="T76">
            <v>1859.4750566786888</v>
          </cell>
          <cell r="U76">
            <v>1822.5310861272537</v>
          </cell>
          <cell r="V76">
            <v>1785.9208469301404</v>
          </cell>
          <cell r="W76">
            <v>1749.6443390873419</v>
          </cell>
          <cell r="X76">
            <v>1713.7015625988522</v>
          </cell>
          <cell r="Y76">
            <v>1676.8515459482612</v>
          </cell>
          <cell r="Z76">
            <v>1640.3464303890162</v>
          </cell>
          <cell r="AA76">
            <v>1604.1862159211298</v>
          </cell>
          <cell r="AB76">
            <v>1568.3709025445894</v>
          </cell>
          <cell r="AC76">
            <v>1532.9004902594074</v>
          </cell>
          <cell r="AD76">
            <v>1504.7187204030115</v>
          </cell>
          <cell r="AE76">
            <v>1476.7800470524367</v>
          </cell>
          <cell r="AF76">
            <v>1449.0844702076927</v>
          </cell>
          <cell r="AG76">
            <v>1421.6319898687727</v>
          </cell>
          <cell r="AH76">
            <v>1394.4226060356712</v>
          </cell>
        </row>
        <row r="77">
          <cell r="B77" t="str">
            <v>e-hydrogen (PEM) - Energy cost - Middle East - USD/ton fuel</v>
          </cell>
          <cell r="G77">
            <v>2365.0932635456288</v>
          </cell>
          <cell r="H77">
            <v>2245.0449546691425</v>
          </cell>
          <cell r="I77">
            <v>2126.4446150453423</v>
          </cell>
          <cell r="J77">
            <v>2044.3163234657441</v>
          </cell>
          <cell r="K77">
            <v>1963.1141459928449</v>
          </cell>
          <cell r="L77">
            <v>1882.8380826266482</v>
          </cell>
          <cell r="M77">
            <v>1803.4881333671503</v>
          </cell>
          <cell r="N77">
            <v>1725.0642982143481</v>
          </cell>
          <cell r="O77">
            <v>1667.2422396005049</v>
          </cell>
          <cell r="P77">
            <v>1610.0510100044264</v>
          </cell>
          <cell r="Q77">
            <v>1553.4906094260816</v>
          </cell>
          <cell r="R77">
            <v>1497.5610378654981</v>
          </cell>
          <cell r="S77">
            <v>1442.2622953226673</v>
          </cell>
          <cell r="T77">
            <v>1410.1329638726679</v>
          </cell>
          <cell r="U77">
            <v>1378.3091765551919</v>
          </cell>
          <cell r="V77">
            <v>1346.7909333702487</v>
          </cell>
          <cell r="W77">
            <v>1315.5782343178196</v>
          </cell>
          <cell r="X77">
            <v>1284.6710793979164</v>
          </cell>
          <cell r="Y77">
            <v>1247.6546356229667</v>
          </cell>
          <cell r="Z77">
            <v>1211.0252666371405</v>
          </cell>
          <cell r="AA77">
            <v>1174.7829724404253</v>
          </cell>
          <cell r="AB77">
            <v>1138.9277530328336</v>
          </cell>
          <cell r="AC77">
            <v>1103.45960841435</v>
          </cell>
          <cell r="AD77">
            <v>1083.1718876933442</v>
          </cell>
          <cell r="AE77">
            <v>1063.059174573888</v>
          </cell>
          <cell r="AF77">
            <v>1043.121469055973</v>
          </cell>
          <cell r="AG77">
            <v>1023.3587711396019</v>
          </cell>
          <cell r="AH77">
            <v>1003.7710808247782</v>
          </cell>
        </row>
        <row r="78">
          <cell r="B78" t="str">
            <v/>
          </cell>
        </row>
        <row r="79">
          <cell r="B79" t="str">
            <v>e-hydrogen (PEM) - Feedstock cost including feedstock feedstock cost - Global - USD/ton fuel</v>
          </cell>
          <cell r="G79">
            <v>13.5</v>
          </cell>
          <cell r="H79">
            <v>13.500000000000048</v>
          </cell>
          <cell r="I79">
            <v>13.500000000000048</v>
          </cell>
          <cell r="J79">
            <v>13.500000000000048</v>
          </cell>
          <cell r="K79">
            <v>13.500000000000096</v>
          </cell>
          <cell r="L79">
            <v>13.5</v>
          </cell>
          <cell r="M79">
            <v>13.500000000000096</v>
          </cell>
          <cell r="N79">
            <v>13.5</v>
          </cell>
          <cell r="O79">
            <v>13.499999999999904</v>
          </cell>
          <cell r="P79">
            <v>13.500000000000048</v>
          </cell>
          <cell r="Q79">
            <v>13.500000000000192</v>
          </cell>
          <cell r="R79">
            <v>13.500000000000096</v>
          </cell>
          <cell r="S79">
            <v>13.500000000000192</v>
          </cell>
          <cell r="T79">
            <v>13.50000000000024</v>
          </cell>
          <cell r="U79">
            <v>13.500000000000121</v>
          </cell>
          <cell r="V79">
            <v>13.500000000000359</v>
          </cell>
          <cell r="W79">
            <v>13.50000000000024</v>
          </cell>
          <cell r="X79">
            <v>13.499999999999904</v>
          </cell>
          <cell r="Y79">
            <v>13.5</v>
          </cell>
          <cell r="Z79">
            <v>13.499999999999952</v>
          </cell>
          <cell r="AA79">
            <v>13.500000000000048</v>
          </cell>
          <cell r="AB79">
            <v>13.5</v>
          </cell>
          <cell r="AC79">
            <v>13.5</v>
          </cell>
          <cell r="AD79">
            <v>13.5</v>
          </cell>
          <cell r="AE79">
            <v>13.5</v>
          </cell>
          <cell r="AF79">
            <v>13.5</v>
          </cell>
          <cell r="AG79">
            <v>13.5</v>
          </cell>
          <cell r="AH79">
            <v>13.5</v>
          </cell>
        </row>
        <row r="80">
          <cell r="B80" t="str">
            <v>e-hydrogen - Feedstock cost - Global - USD/ton fuel</v>
          </cell>
          <cell r="G80">
            <v>13.5</v>
          </cell>
          <cell r="H80">
            <v>13.500000000000048</v>
          </cell>
          <cell r="I80">
            <v>13.500000000000048</v>
          </cell>
          <cell r="J80">
            <v>13.500000000000048</v>
          </cell>
          <cell r="K80">
            <v>13.500000000000096</v>
          </cell>
          <cell r="L80">
            <v>13.5</v>
          </cell>
          <cell r="M80">
            <v>13.500000000000096</v>
          </cell>
          <cell r="N80">
            <v>13.5</v>
          </cell>
          <cell r="O80">
            <v>13.499999999999904</v>
          </cell>
          <cell r="P80">
            <v>13.500000000000048</v>
          </cell>
          <cell r="Q80">
            <v>13.500000000000192</v>
          </cell>
          <cell r="R80">
            <v>13.500000000000096</v>
          </cell>
          <cell r="S80">
            <v>13.500000000000192</v>
          </cell>
          <cell r="T80">
            <v>13.50000000000024</v>
          </cell>
          <cell r="U80">
            <v>13.500000000000121</v>
          </cell>
          <cell r="V80">
            <v>13.500000000000359</v>
          </cell>
          <cell r="W80">
            <v>13.50000000000024</v>
          </cell>
          <cell r="X80">
            <v>13.499999999999904</v>
          </cell>
          <cell r="Y80">
            <v>13.5</v>
          </cell>
          <cell r="Z80">
            <v>13.499999999999952</v>
          </cell>
          <cell r="AA80">
            <v>13.500000000000048</v>
          </cell>
          <cell r="AB80">
            <v>13.5</v>
          </cell>
          <cell r="AC80">
            <v>13.5</v>
          </cell>
          <cell r="AD80">
            <v>13.5</v>
          </cell>
          <cell r="AE80">
            <v>13.5</v>
          </cell>
          <cell r="AF80">
            <v>13.5</v>
          </cell>
          <cell r="AG80">
            <v>13.5</v>
          </cell>
          <cell r="AH80">
            <v>13.5</v>
          </cell>
        </row>
        <row r="81">
          <cell r="B81" t="str">
            <v/>
          </cell>
        </row>
        <row r="82">
          <cell r="B82" t="str">
            <v>e-hydrogen (Solid oxide) - Item - Region - Unit</v>
          </cell>
          <cell r="G82">
            <v>2023</v>
          </cell>
          <cell r="H82">
            <v>2024</v>
          </cell>
          <cell r="I82">
            <v>2025</v>
          </cell>
          <cell r="J82">
            <v>2026</v>
          </cell>
          <cell r="K82">
            <v>2027</v>
          </cell>
          <cell r="L82">
            <v>2028</v>
          </cell>
          <cell r="M82">
            <v>2029</v>
          </cell>
          <cell r="N82">
            <v>2030</v>
          </cell>
          <cell r="O82">
            <v>2031</v>
          </cell>
          <cell r="P82">
            <v>2032</v>
          </cell>
          <cell r="Q82">
            <v>2033</v>
          </cell>
          <cell r="R82">
            <v>2034</v>
          </cell>
          <cell r="S82">
            <v>2035</v>
          </cell>
          <cell r="T82">
            <v>2036</v>
          </cell>
          <cell r="U82">
            <v>2037</v>
          </cell>
          <cell r="V82">
            <v>2038</v>
          </cell>
          <cell r="W82">
            <v>2039</v>
          </cell>
          <cell r="X82">
            <v>2040</v>
          </cell>
          <cell r="Y82">
            <v>2041</v>
          </cell>
          <cell r="Z82">
            <v>2042</v>
          </cell>
          <cell r="AA82">
            <v>2043</v>
          </cell>
          <cell r="AB82">
            <v>2044</v>
          </cell>
          <cell r="AC82">
            <v>2045</v>
          </cell>
          <cell r="AD82">
            <v>2046</v>
          </cell>
          <cell r="AE82">
            <v>2047</v>
          </cell>
          <cell r="AF82">
            <v>2048</v>
          </cell>
          <cell r="AG82">
            <v>2049</v>
          </cell>
          <cell r="AH82">
            <v>2050</v>
          </cell>
        </row>
        <row r="83">
          <cell r="B83" t="str">
            <v>e-hydrogen (Solid oxide) - Total cost - Africa - USD/ton fuel</v>
          </cell>
          <cell r="G83">
            <v>5799.1603343309234</v>
          </cell>
          <cell r="H83">
            <v>5307.0080374213212</v>
          </cell>
          <cell r="I83">
            <v>4817.1781080543278</v>
          </cell>
          <cell r="J83">
            <v>4581.1863314139391</v>
          </cell>
          <cell r="K83">
            <v>4345.829727659906</v>
          </cell>
          <cell r="L83">
            <v>4111.1082967922512</v>
          </cell>
          <cell r="M83">
            <v>3877.0220388109883</v>
          </cell>
          <cell r="N83">
            <v>3643.5709537160983</v>
          </cell>
          <cell r="O83">
            <v>3481.6771233712097</v>
          </cell>
          <cell r="P83">
            <v>3320.1311528243759</v>
          </cell>
          <cell r="Q83">
            <v>3158.9330420756269</v>
          </cell>
          <cell r="R83">
            <v>2998.0827911249789</v>
          </cell>
          <cell r="S83">
            <v>2837.5803999723694</v>
          </cell>
          <cell r="T83">
            <v>2720.8039133667908</v>
          </cell>
          <cell r="U83">
            <v>2604.1880671476874</v>
          </cell>
          <cell r="V83">
            <v>2487.7328613150785</v>
          </cell>
          <cell r="W83">
            <v>2371.4382958689457</v>
          </cell>
          <cell r="X83">
            <v>2255.3043708093101</v>
          </cell>
          <cell r="Y83">
            <v>2153.9460873842813</v>
          </cell>
          <cell r="Z83">
            <v>2052.7498669519464</v>
          </cell>
          <cell r="AA83">
            <v>1951.7157095123466</v>
          </cell>
          <cell r="AB83">
            <v>1850.843615065462</v>
          </cell>
          <cell r="AC83">
            <v>1750.1335836112899</v>
          </cell>
          <cell r="AD83">
            <v>1672.0925139995716</v>
          </cell>
          <cell r="AE83">
            <v>1594.1294873184102</v>
          </cell>
          <cell r="AF83">
            <v>1516.2445035677965</v>
          </cell>
          <cell r="AG83">
            <v>1438.437562747735</v>
          </cell>
          <cell r="AH83">
            <v>1360.7086648582303</v>
          </cell>
        </row>
        <row r="84">
          <cell r="B84" t="str">
            <v>e-hydrogen (Solid oxide) - Total cost - Americas - USD/ton fuel</v>
          </cell>
          <cell r="G84">
            <v>4836.8940576789191</v>
          </cell>
          <cell r="H84">
            <v>4617.7076175735292</v>
          </cell>
          <cell r="I84">
            <v>4398.7785090028192</v>
          </cell>
          <cell r="J84">
            <v>4191.8549943806065</v>
          </cell>
          <cell r="K84">
            <v>3985.3582578093155</v>
          </cell>
          <cell r="L84">
            <v>3779.2882992889708</v>
          </cell>
          <cell r="M84">
            <v>3573.6451188196243</v>
          </cell>
          <cell r="N84">
            <v>3368.4287164011785</v>
          </cell>
          <cell r="O84">
            <v>3226.8797104691148</v>
          </cell>
          <cell r="P84">
            <v>3085.5322025766482</v>
          </cell>
          <cell r="Q84">
            <v>2944.3861927238286</v>
          </cell>
          <cell r="R84">
            <v>2803.4416809106324</v>
          </cell>
          <cell r="S84">
            <v>2662.6986671370087</v>
          </cell>
          <cell r="T84">
            <v>2546.6333976123074</v>
          </cell>
          <cell r="U84">
            <v>2430.7283832638318</v>
          </cell>
          <cell r="V84">
            <v>2314.9836240916047</v>
          </cell>
          <cell r="W84">
            <v>2199.3991200956143</v>
          </cell>
          <cell r="X84">
            <v>2083.9748712758633</v>
          </cell>
          <cell r="Y84">
            <v>1996.2852522746821</v>
          </cell>
          <cell r="Z84">
            <v>1908.6589759612166</v>
          </cell>
          <cell r="AA84">
            <v>1821.09604233552</v>
          </cell>
          <cell r="AB84">
            <v>1733.5964513975482</v>
          </cell>
          <cell r="AC84">
            <v>1646.1602031473153</v>
          </cell>
          <cell r="AD84">
            <v>1572.6216098997188</v>
          </cell>
          <cell r="AE84">
            <v>1499.1299019253056</v>
          </cell>
          <cell r="AF84">
            <v>1425.685079224073</v>
          </cell>
          <cell r="AG84">
            <v>1352.2871417960212</v>
          </cell>
          <cell r="AH84">
            <v>1278.9360896411499</v>
          </cell>
        </row>
        <row r="85">
          <cell r="B85" t="str">
            <v>e-hydrogen (Solid oxide) - Total cost - Asia - USD/ton fuel</v>
          </cell>
          <cell r="G85">
            <v>6089.6584964754147</v>
          </cell>
          <cell r="H85">
            <v>5647.1832576119614</v>
          </cell>
          <cell r="I85">
            <v>5206.6409322690688</v>
          </cell>
          <cell r="J85">
            <v>4963.235299691115</v>
          </cell>
          <cell r="K85">
            <v>4720.5098962175998</v>
          </cell>
          <cell r="L85">
            <v>4478.4647218484679</v>
          </cell>
          <cell r="M85">
            <v>4237.0997765837901</v>
          </cell>
          <cell r="N85">
            <v>3996.415060423551</v>
          </cell>
          <cell r="O85">
            <v>3819.2392316340256</v>
          </cell>
          <cell r="P85">
            <v>3642.5170174218401</v>
          </cell>
          <cell r="Q85">
            <v>3466.2484177870456</v>
          </cell>
          <cell r="R85">
            <v>3290.4334327295787</v>
          </cell>
          <cell r="S85">
            <v>3115.0720622494123</v>
          </cell>
          <cell r="T85">
            <v>2988.5902978592458</v>
          </cell>
          <cell r="U85">
            <v>2862.3348074945816</v>
          </cell>
          <cell r="V85">
            <v>2736.3055911554593</v>
          </cell>
          <cell r="W85">
            <v>2610.5026488418362</v>
          </cell>
          <cell r="X85">
            <v>2484.9259805537522</v>
          </cell>
          <cell r="Y85">
            <v>2373.4260464390409</v>
          </cell>
          <cell r="Z85">
            <v>2262.1584876718571</v>
          </cell>
          <cell r="AA85">
            <v>2151.1233042522326</v>
          </cell>
          <cell r="AB85">
            <v>2040.3204961801468</v>
          </cell>
          <cell r="AC85">
            <v>1929.7500634555925</v>
          </cell>
          <cell r="AD85">
            <v>1847.5340157750238</v>
          </cell>
          <cell r="AE85">
            <v>1765.422520255338</v>
          </cell>
          <cell r="AF85">
            <v>1683.4155768965443</v>
          </cell>
          <cell r="AG85">
            <v>1601.5131856986382</v>
          </cell>
          <cell r="AH85">
            <v>1519.7153466616151</v>
          </cell>
        </row>
        <row r="86">
          <cell r="B86" t="str">
            <v>e-hydrogen (Solid oxide) - Total cost - Europe - USD/ton fuel</v>
          </cell>
          <cell r="G86">
            <v>5353.8089614891123</v>
          </cell>
          <cell r="H86">
            <v>5074.1709679482683</v>
          </cell>
          <cell r="I86">
            <v>4795.2387342377424</v>
          </cell>
          <cell r="J86">
            <v>4569.3126206425213</v>
          </cell>
          <cell r="K86">
            <v>4343.9459979222738</v>
          </cell>
          <cell r="L86">
            <v>4119.1388660770654</v>
          </cell>
          <cell r="M86">
            <v>3894.8912251068868</v>
          </cell>
          <cell r="N86">
            <v>3671.2030750117206</v>
          </cell>
          <cell r="O86">
            <v>3525.004549490086</v>
          </cell>
          <cell r="P86">
            <v>3379.0341029592655</v>
          </cell>
          <cell r="Q86">
            <v>3233.2917354192696</v>
          </cell>
          <cell r="R86">
            <v>3087.7774468700854</v>
          </cell>
          <cell r="S86">
            <v>2942.491237311674</v>
          </cell>
          <cell r="T86">
            <v>2828.8848596401731</v>
          </cell>
          <cell r="U86">
            <v>2715.4120855347123</v>
          </cell>
          <cell r="V86">
            <v>2602.0729149953163</v>
          </cell>
          <cell r="W86">
            <v>2488.8673480219622</v>
          </cell>
          <cell r="X86">
            <v>2375.7953846146511</v>
          </cell>
          <cell r="Y86">
            <v>2276.8615789094638</v>
          </cell>
          <cell r="Z86">
            <v>2178.0680061337989</v>
          </cell>
          <cell r="AA86">
            <v>2079.4146662877174</v>
          </cell>
          <cell r="AB86">
            <v>1980.9015593711702</v>
          </cell>
          <cell r="AC86">
            <v>1882.5286853841781</v>
          </cell>
          <cell r="AD86">
            <v>1801.0406361823102</v>
          </cell>
          <cell r="AE86">
            <v>1719.6529719181087</v>
          </cell>
          <cell r="AF86">
            <v>1638.3656925915825</v>
          </cell>
          <cell r="AG86">
            <v>1557.1787982027274</v>
          </cell>
          <cell r="AH86">
            <v>1476.0922887515385</v>
          </cell>
        </row>
        <row r="87">
          <cell r="B87" t="str">
            <v>e-hydrogen (Solid oxide) - Total cost - Middle East - USD/ton fuel</v>
          </cell>
          <cell r="G87">
            <v>4851.6647066754049</v>
          </cell>
          <cell r="H87">
            <v>4593.8234253181581</v>
          </cell>
          <cell r="I87">
            <v>4336.5354649979545</v>
          </cell>
          <cell r="J87">
            <v>4138.7302596496866</v>
          </cell>
          <cell r="K87">
            <v>3941.2844863025884</v>
          </cell>
          <cell r="L87">
            <v>3744.1981449566842</v>
          </cell>
          <cell r="M87">
            <v>3547.4712356120053</v>
          </cell>
          <cell r="N87">
            <v>3351.1037582684949</v>
          </cell>
          <cell r="O87">
            <v>3203.3998681068879</v>
          </cell>
          <cell r="P87">
            <v>3055.9446335786374</v>
          </cell>
          <cell r="Q87">
            <v>2908.7380546837726</v>
          </cell>
          <cell r="R87">
            <v>2761.7801314222916</v>
          </cell>
          <cell r="S87">
            <v>2615.0708637941366</v>
          </cell>
          <cell r="T87">
            <v>2504.1893717246703</v>
          </cell>
          <cell r="U87">
            <v>2393.4301989553178</v>
          </cell>
          <cell r="V87">
            <v>2282.7933454861122</v>
          </cell>
          <cell r="W87">
            <v>2172.2788113170213</v>
          </cell>
          <cell r="X87">
            <v>2061.8865964480606</v>
          </cell>
          <cell r="Y87">
            <v>1961.8763880697261</v>
          </cell>
          <cell r="Z87">
            <v>1862.0235599751536</v>
          </cell>
          <cell r="AA87">
            <v>1762.3281121643845</v>
          </cell>
          <cell r="AB87">
            <v>1662.7900446373897</v>
          </cell>
          <cell r="AC87">
            <v>1563.4093573941677</v>
          </cell>
          <cell r="AD87">
            <v>1486.8351394715962</v>
          </cell>
          <cell r="AE87">
            <v>1410.3331896678687</v>
          </cell>
          <cell r="AF87">
            <v>1333.9035079829807</v>
          </cell>
          <cell r="AG87">
            <v>1257.5460944169345</v>
          </cell>
          <cell r="AH87">
            <v>1181.2609489697325</v>
          </cell>
        </row>
        <row r="88">
          <cell r="B88" t="str">
            <v/>
          </cell>
        </row>
        <row r="89">
          <cell r="B89" t="str">
            <v>e-hydrogen (Solid oxide) - CAPEX including feedstock CAPEX - Global - USD/ton fuel</v>
          </cell>
          <cell r="G89">
            <v>540.27962097364173</v>
          </cell>
          <cell r="H89">
            <v>521.28136299823723</v>
          </cell>
          <cell r="I89">
            <v>502.28310502283273</v>
          </cell>
          <cell r="J89">
            <v>483.95969142305353</v>
          </cell>
          <cell r="K89">
            <v>465.63627782327433</v>
          </cell>
          <cell r="L89">
            <v>447.31286422349513</v>
          </cell>
          <cell r="M89">
            <v>428.98945062371592</v>
          </cell>
          <cell r="N89">
            <v>410.66603702393672</v>
          </cell>
          <cell r="O89">
            <v>394.61040491563421</v>
          </cell>
          <cell r="P89">
            <v>378.55477280733561</v>
          </cell>
          <cell r="Q89">
            <v>362.49914069903701</v>
          </cell>
          <cell r="R89">
            <v>346.44350859074234</v>
          </cell>
          <cell r="S89">
            <v>330.38787648244374</v>
          </cell>
          <cell r="T89">
            <v>314.90927193805885</v>
          </cell>
          <cell r="U89">
            <v>299.43066739367009</v>
          </cell>
          <cell r="V89">
            <v>283.95206284928133</v>
          </cell>
          <cell r="W89">
            <v>268.4734583048965</v>
          </cell>
          <cell r="X89">
            <v>252.99485376050774</v>
          </cell>
          <cell r="Y89">
            <v>238.07721049593141</v>
          </cell>
          <cell r="Z89">
            <v>223.15956723135119</v>
          </cell>
          <cell r="AA89">
            <v>208.24192396677486</v>
          </cell>
          <cell r="AB89">
            <v>193.32428070219854</v>
          </cell>
          <cell r="AC89">
            <v>178.40663743761834</v>
          </cell>
          <cell r="AD89">
            <v>164.03429016318404</v>
          </cell>
          <cell r="AE89">
            <v>149.66194288874976</v>
          </cell>
          <cell r="AF89">
            <v>135.28959561431549</v>
          </cell>
          <cell r="AG89">
            <v>120.91724833988118</v>
          </cell>
          <cell r="AH89">
            <v>106.54490106544691</v>
          </cell>
        </row>
        <row r="90">
          <cell r="B90" t="str">
            <v>e-hydrogen (Solid oxide) - CAPEX - Global - USD/ton fuel</v>
          </cell>
          <cell r="G90">
            <v>540.27962097364173</v>
          </cell>
          <cell r="H90">
            <v>521.28136299823723</v>
          </cell>
          <cell r="I90">
            <v>502.28310502283273</v>
          </cell>
          <cell r="J90">
            <v>483.95969142305353</v>
          </cell>
          <cell r="K90">
            <v>465.63627782327433</v>
          </cell>
          <cell r="L90">
            <v>447.31286422349513</v>
          </cell>
          <cell r="M90">
            <v>428.98945062371592</v>
          </cell>
          <cell r="N90">
            <v>410.66603702393672</v>
          </cell>
          <cell r="O90">
            <v>394.61040491563421</v>
          </cell>
          <cell r="P90">
            <v>378.55477280733561</v>
          </cell>
          <cell r="Q90">
            <v>362.49914069903701</v>
          </cell>
          <cell r="R90">
            <v>346.44350859074234</v>
          </cell>
          <cell r="S90">
            <v>330.38787648244374</v>
          </cell>
          <cell r="T90">
            <v>314.90927193805885</v>
          </cell>
          <cell r="U90">
            <v>299.43066739367009</v>
          </cell>
          <cell r="V90">
            <v>283.95206284928133</v>
          </cell>
          <cell r="W90">
            <v>268.4734583048965</v>
          </cell>
          <cell r="X90">
            <v>252.99485376050774</v>
          </cell>
          <cell r="Y90">
            <v>238.07721049593141</v>
          </cell>
          <cell r="Z90">
            <v>223.15956723135119</v>
          </cell>
          <cell r="AA90">
            <v>208.24192396677486</v>
          </cell>
          <cell r="AB90">
            <v>193.32428070219854</v>
          </cell>
          <cell r="AC90">
            <v>178.40663743761834</v>
          </cell>
          <cell r="AD90">
            <v>164.03429016318404</v>
          </cell>
          <cell r="AE90">
            <v>149.66194288874976</v>
          </cell>
          <cell r="AF90">
            <v>135.28959561431549</v>
          </cell>
          <cell r="AG90">
            <v>120.91724833988118</v>
          </cell>
          <cell r="AH90">
            <v>106.54490106544691</v>
          </cell>
        </row>
        <row r="91">
          <cell r="B91" t="str">
            <v/>
          </cell>
        </row>
        <row r="92">
          <cell r="B92" t="str">
            <v>e-hydrogen (Solid oxide) - OPEX including feedstock OPEX - Global - USD/ton fuel</v>
          </cell>
          <cell r="G92">
            <v>1764.9906324479671</v>
          </cell>
          <cell r="H92">
            <v>1635.919973758253</v>
          </cell>
          <cell r="I92">
            <v>1506.8493150684808</v>
          </cell>
          <cell r="J92">
            <v>1410.6202478319756</v>
          </cell>
          <cell r="K92">
            <v>1314.3911805954413</v>
          </cell>
          <cell r="L92">
            <v>1218.1621133589069</v>
          </cell>
          <cell r="M92">
            <v>1121.9330461224017</v>
          </cell>
          <cell r="N92">
            <v>1025.7039788858674</v>
          </cell>
          <cell r="O92">
            <v>957.9671748035762</v>
          </cell>
          <cell r="P92">
            <v>890.23037072125589</v>
          </cell>
          <cell r="Q92">
            <v>822.49356663896469</v>
          </cell>
          <cell r="R92">
            <v>754.75676255667349</v>
          </cell>
          <cell r="S92">
            <v>687.01995847435319</v>
          </cell>
          <cell r="T92">
            <v>637.21492319114623</v>
          </cell>
          <cell r="U92">
            <v>587.40988790793926</v>
          </cell>
          <cell r="V92">
            <v>537.60485262474685</v>
          </cell>
          <cell r="W92">
            <v>487.79981734153989</v>
          </cell>
          <cell r="X92">
            <v>437.99478205834748</v>
          </cell>
          <cell r="Y92">
            <v>401.8250827852753</v>
          </cell>
          <cell r="Z92">
            <v>365.65538351218856</v>
          </cell>
          <cell r="AA92">
            <v>329.48568423911638</v>
          </cell>
          <cell r="AB92">
            <v>293.31598496602965</v>
          </cell>
          <cell r="AC92">
            <v>257.14628569295019</v>
          </cell>
          <cell r="AD92">
            <v>231.28780481006834</v>
          </cell>
          <cell r="AE92">
            <v>205.42932392718649</v>
          </cell>
          <cell r="AF92">
            <v>179.57084304430464</v>
          </cell>
          <cell r="AG92">
            <v>153.71236216142279</v>
          </cell>
          <cell r="AH92">
            <v>127.85388127854094</v>
          </cell>
        </row>
        <row r="93">
          <cell r="B93" t="str">
            <v>e-hydrogen (Solid oxide) - OPEX - Global - USD/ton fuel</v>
          </cell>
          <cell r="G93">
            <v>1764.9906324479671</v>
          </cell>
          <cell r="H93">
            <v>1635.919973758253</v>
          </cell>
          <cell r="I93">
            <v>1506.8493150684808</v>
          </cell>
          <cell r="J93">
            <v>1410.6202478319756</v>
          </cell>
          <cell r="K93">
            <v>1314.3911805954413</v>
          </cell>
          <cell r="L93">
            <v>1218.1621133589069</v>
          </cell>
          <cell r="M93">
            <v>1121.9330461224017</v>
          </cell>
          <cell r="N93">
            <v>1025.7039788858674</v>
          </cell>
          <cell r="O93">
            <v>957.9671748035762</v>
          </cell>
          <cell r="P93">
            <v>890.23037072125589</v>
          </cell>
          <cell r="Q93">
            <v>822.49356663896469</v>
          </cell>
          <cell r="R93">
            <v>754.75676255667349</v>
          </cell>
          <cell r="S93">
            <v>687.01995847435319</v>
          </cell>
          <cell r="T93">
            <v>637.21492319114623</v>
          </cell>
          <cell r="U93">
            <v>587.40988790793926</v>
          </cell>
          <cell r="V93">
            <v>537.60485262474685</v>
          </cell>
          <cell r="W93">
            <v>487.79981734153989</v>
          </cell>
          <cell r="X93">
            <v>437.99478205834748</v>
          </cell>
          <cell r="Y93">
            <v>401.8250827852753</v>
          </cell>
          <cell r="Z93">
            <v>365.65538351218856</v>
          </cell>
          <cell r="AA93">
            <v>329.48568423911638</v>
          </cell>
          <cell r="AB93">
            <v>293.31598496602965</v>
          </cell>
          <cell r="AC93">
            <v>257.14628569295019</v>
          </cell>
          <cell r="AD93">
            <v>231.28780481006834</v>
          </cell>
          <cell r="AE93">
            <v>205.42932392718649</v>
          </cell>
          <cell r="AF93">
            <v>179.57084304430464</v>
          </cell>
          <cell r="AG93">
            <v>153.71236216142279</v>
          </cell>
          <cell r="AH93">
            <v>127.85388127854094</v>
          </cell>
        </row>
        <row r="94">
          <cell r="B94" t="str">
            <v/>
          </cell>
        </row>
        <row r="95">
          <cell r="B95" t="str">
            <v>e-hydrogen (Solid oxide) - Finance cost including feedstock finance cost - Africa - USD/ton fuel</v>
          </cell>
          <cell r="G95">
            <v>891.46137460650891</v>
          </cell>
          <cell r="H95">
            <v>860.11424894709148</v>
          </cell>
          <cell r="I95">
            <v>828.76712328767417</v>
          </cell>
          <cell r="J95">
            <v>798.53349084803847</v>
          </cell>
          <cell r="K95">
            <v>768.29985840840277</v>
          </cell>
          <cell r="L95">
            <v>738.06622596876707</v>
          </cell>
          <cell r="M95">
            <v>707.83259352913137</v>
          </cell>
          <cell r="N95">
            <v>677.59896108949567</v>
          </cell>
          <cell r="O95">
            <v>651.10716811079658</v>
          </cell>
          <cell r="P95">
            <v>624.61537513210385</v>
          </cell>
          <cell r="Q95">
            <v>598.12358215341123</v>
          </cell>
          <cell r="R95">
            <v>571.63178917472487</v>
          </cell>
          <cell r="S95">
            <v>545.13999619603226</v>
          </cell>
          <cell r="T95">
            <v>519.60029869779714</v>
          </cell>
          <cell r="U95">
            <v>494.06060119955572</v>
          </cell>
          <cell r="V95">
            <v>468.5209037013143</v>
          </cell>
          <cell r="W95">
            <v>442.98120620307924</v>
          </cell>
          <cell r="X95">
            <v>417.44150870483782</v>
          </cell>
          <cell r="Y95">
            <v>392.8273973182869</v>
          </cell>
          <cell r="Z95">
            <v>368.2132859317295</v>
          </cell>
          <cell r="AA95">
            <v>343.59917454517858</v>
          </cell>
          <cell r="AB95">
            <v>318.98506315862767</v>
          </cell>
          <cell r="AC95">
            <v>294.37095177207027</v>
          </cell>
          <cell r="AD95">
            <v>270.65657876925371</v>
          </cell>
          <cell r="AE95">
            <v>246.94220576643716</v>
          </cell>
          <cell r="AF95">
            <v>223.22783276362057</v>
          </cell>
          <cell r="AG95">
            <v>199.51345976080398</v>
          </cell>
          <cell r="AH95">
            <v>175.79908675798742</v>
          </cell>
        </row>
        <row r="96">
          <cell r="B96" t="str">
            <v>e-hydrogen (Solid oxide) - Finance cost including feedstock finance cost - Americas - USD/ton fuel</v>
          </cell>
          <cell r="G96">
            <v>891.46137460650891</v>
          </cell>
          <cell r="H96">
            <v>860.11424894709148</v>
          </cell>
          <cell r="I96">
            <v>828.76712328767417</v>
          </cell>
          <cell r="J96">
            <v>798.53349084803847</v>
          </cell>
          <cell r="K96">
            <v>768.29985840840277</v>
          </cell>
          <cell r="L96">
            <v>738.06622596876707</v>
          </cell>
          <cell r="M96">
            <v>707.83259352913137</v>
          </cell>
          <cell r="N96">
            <v>677.59896108949567</v>
          </cell>
          <cell r="O96">
            <v>651.10716811079658</v>
          </cell>
          <cell r="P96">
            <v>624.61537513210385</v>
          </cell>
          <cell r="Q96">
            <v>598.12358215341123</v>
          </cell>
          <cell r="R96">
            <v>571.63178917472487</v>
          </cell>
          <cell r="S96">
            <v>545.13999619603226</v>
          </cell>
          <cell r="T96">
            <v>519.60029869779714</v>
          </cell>
          <cell r="U96">
            <v>494.06060119955572</v>
          </cell>
          <cell r="V96">
            <v>468.5209037013143</v>
          </cell>
          <cell r="W96">
            <v>442.98120620307924</v>
          </cell>
          <cell r="X96">
            <v>417.44150870483782</v>
          </cell>
          <cell r="Y96">
            <v>392.8273973182869</v>
          </cell>
          <cell r="Z96">
            <v>368.2132859317295</v>
          </cell>
          <cell r="AA96">
            <v>343.59917454517858</v>
          </cell>
          <cell r="AB96">
            <v>318.98506315862767</v>
          </cell>
          <cell r="AC96">
            <v>294.37095177207027</v>
          </cell>
          <cell r="AD96">
            <v>270.65657876925371</v>
          </cell>
          <cell r="AE96">
            <v>246.94220576643716</v>
          </cell>
          <cell r="AF96">
            <v>223.22783276362057</v>
          </cell>
          <cell r="AG96">
            <v>199.51345976080398</v>
          </cell>
          <cell r="AH96">
            <v>175.79908675798742</v>
          </cell>
        </row>
        <row r="97">
          <cell r="B97" t="str">
            <v>e-hydrogen (Solid oxide) - Finance cost including feedstock finance cost - Asia - USD/ton fuel</v>
          </cell>
          <cell r="G97">
            <v>891.46137460650891</v>
          </cell>
          <cell r="H97">
            <v>860.11424894709148</v>
          </cell>
          <cell r="I97">
            <v>828.76712328767417</v>
          </cell>
          <cell r="J97">
            <v>798.53349084803847</v>
          </cell>
          <cell r="K97">
            <v>768.29985840840277</v>
          </cell>
          <cell r="L97">
            <v>738.06622596876707</v>
          </cell>
          <cell r="M97">
            <v>707.83259352913137</v>
          </cell>
          <cell r="N97">
            <v>677.59896108949567</v>
          </cell>
          <cell r="O97">
            <v>651.10716811079658</v>
          </cell>
          <cell r="P97">
            <v>624.61537513210385</v>
          </cell>
          <cell r="Q97">
            <v>598.12358215341123</v>
          </cell>
          <cell r="R97">
            <v>571.63178917472487</v>
          </cell>
          <cell r="S97">
            <v>545.13999619603226</v>
          </cell>
          <cell r="T97">
            <v>519.60029869779714</v>
          </cell>
          <cell r="U97">
            <v>494.06060119955572</v>
          </cell>
          <cell r="V97">
            <v>468.5209037013143</v>
          </cell>
          <cell r="W97">
            <v>442.98120620307924</v>
          </cell>
          <cell r="X97">
            <v>417.44150870483782</v>
          </cell>
          <cell r="Y97">
            <v>392.8273973182869</v>
          </cell>
          <cell r="Z97">
            <v>368.2132859317295</v>
          </cell>
          <cell r="AA97">
            <v>343.59917454517858</v>
          </cell>
          <cell r="AB97">
            <v>318.98506315862767</v>
          </cell>
          <cell r="AC97">
            <v>294.37095177207027</v>
          </cell>
          <cell r="AD97">
            <v>270.65657876925371</v>
          </cell>
          <cell r="AE97">
            <v>246.94220576643716</v>
          </cell>
          <cell r="AF97">
            <v>223.22783276362057</v>
          </cell>
          <cell r="AG97">
            <v>199.51345976080398</v>
          </cell>
          <cell r="AH97">
            <v>175.79908675798742</v>
          </cell>
        </row>
        <row r="98">
          <cell r="B98" t="str">
            <v>e-hydrogen (Solid oxide) - Finance cost including feedstock finance cost - Europe - USD/ton fuel</v>
          </cell>
          <cell r="G98">
            <v>891.46137460650891</v>
          </cell>
          <cell r="H98">
            <v>860.11424894709148</v>
          </cell>
          <cell r="I98">
            <v>828.76712328767417</v>
          </cell>
          <cell r="J98">
            <v>798.53349084803847</v>
          </cell>
          <cell r="K98">
            <v>768.29985840840277</v>
          </cell>
          <cell r="L98">
            <v>738.06622596876707</v>
          </cell>
          <cell r="M98">
            <v>707.83259352913137</v>
          </cell>
          <cell r="N98">
            <v>677.59896108949567</v>
          </cell>
          <cell r="O98">
            <v>651.10716811079658</v>
          </cell>
          <cell r="P98">
            <v>624.61537513210385</v>
          </cell>
          <cell r="Q98">
            <v>598.12358215341123</v>
          </cell>
          <cell r="R98">
            <v>571.63178917472487</v>
          </cell>
          <cell r="S98">
            <v>545.13999619603226</v>
          </cell>
          <cell r="T98">
            <v>519.60029869779714</v>
          </cell>
          <cell r="U98">
            <v>494.06060119955572</v>
          </cell>
          <cell r="V98">
            <v>468.5209037013143</v>
          </cell>
          <cell r="W98">
            <v>442.98120620307924</v>
          </cell>
          <cell r="X98">
            <v>417.44150870483782</v>
          </cell>
          <cell r="Y98">
            <v>392.8273973182869</v>
          </cell>
          <cell r="Z98">
            <v>368.2132859317295</v>
          </cell>
          <cell r="AA98">
            <v>343.59917454517858</v>
          </cell>
          <cell r="AB98">
            <v>318.98506315862767</v>
          </cell>
          <cell r="AC98">
            <v>294.37095177207027</v>
          </cell>
          <cell r="AD98">
            <v>270.65657876925371</v>
          </cell>
          <cell r="AE98">
            <v>246.94220576643716</v>
          </cell>
          <cell r="AF98">
            <v>223.22783276362057</v>
          </cell>
          <cell r="AG98">
            <v>199.51345976080398</v>
          </cell>
          <cell r="AH98">
            <v>175.79908675798742</v>
          </cell>
        </row>
        <row r="99">
          <cell r="B99" t="str">
            <v>e-hydrogen (Solid oxide) - Finance cost including feedstock finance cost - Middle East - USD/ton fuel</v>
          </cell>
          <cell r="G99">
            <v>891.46137460650891</v>
          </cell>
          <cell r="H99">
            <v>860.11424894709148</v>
          </cell>
          <cell r="I99">
            <v>828.76712328767417</v>
          </cell>
          <cell r="J99">
            <v>798.53349084803847</v>
          </cell>
          <cell r="K99">
            <v>768.29985840840277</v>
          </cell>
          <cell r="L99">
            <v>738.06622596876707</v>
          </cell>
          <cell r="M99">
            <v>707.83259352913137</v>
          </cell>
          <cell r="N99">
            <v>677.59896108949567</v>
          </cell>
          <cell r="O99">
            <v>651.10716811079658</v>
          </cell>
          <cell r="P99">
            <v>624.61537513210385</v>
          </cell>
          <cell r="Q99">
            <v>598.12358215341123</v>
          </cell>
          <cell r="R99">
            <v>571.63178917472487</v>
          </cell>
          <cell r="S99">
            <v>545.13999619603226</v>
          </cell>
          <cell r="T99">
            <v>519.60029869779714</v>
          </cell>
          <cell r="U99">
            <v>494.06060119955572</v>
          </cell>
          <cell r="V99">
            <v>468.5209037013143</v>
          </cell>
          <cell r="W99">
            <v>442.98120620307924</v>
          </cell>
          <cell r="X99">
            <v>417.44150870483782</v>
          </cell>
          <cell r="Y99">
            <v>392.8273973182869</v>
          </cell>
          <cell r="Z99">
            <v>368.2132859317295</v>
          </cell>
          <cell r="AA99">
            <v>343.59917454517858</v>
          </cell>
          <cell r="AB99">
            <v>318.98506315862767</v>
          </cell>
          <cell r="AC99">
            <v>294.37095177207027</v>
          </cell>
          <cell r="AD99">
            <v>270.65657876925371</v>
          </cell>
          <cell r="AE99">
            <v>246.94220576643716</v>
          </cell>
          <cell r="AF99">
            <v>223.22783276362057</v>
          </cell>
          <cell r="AG99">
            <v>199.51345976080398</v>
          </cell>
          <cell r="AH99">
            <v>175.79908675798742</v>
          </cell>
        </row>
        <row r="100">
          <cell r="B100" t="str">
            <v>e-hydrogen (Solid oxide) - Finance cost - Africa - USD/ton fuel</v>
          </cell>
          <cell r="G100">
            <v>891.46137460650891</v>
          </cell>
          <cell r="H100">
            <v>860.11424894709148</v>
          </cell>
          <cell r="I100">
            <v>828.76712328767417</v>
          </cell>
          <cell r="J100">
            <v>798.53349084803847</v>
          </cell>
          <cell r="K100">
            <v>768.29985840840277</v>
          </cell>
          <cell r="L100">
            <v>738.06622596876707</v>
          </cell>
          <cell r="M100">
            <v>707.83259352913137</v>
          </cell>
          <cell r="N100">
            <v>677.59896108949567</v>
          </cell>
          <cell r="O100">
            <v>651.10716811079658</v>
          </cell>
          <cell r="P100">
            <v>624.61537513210385</v>
          </cell>
          <cell r="Q100">
            <v>598.12358215341123</v>
          </cell>
          <cell r="R100">
            <v>571.63178917472487</v>
          </cell>
          <cell r="S100">
            <v>545.13999619603226</v>
          </cell>
          <cell r="T100">
            <v>519.60029869779714</v>
          </cell>
          <cell r="U100">
            <v>494.06060119955572</v>
          </cell>
          <cell r="V100">
            <v>468.5209037013143</v>
          </cell>
          <cell r="W100">
            <v>442.98120620307924</v>
          </cell>
          <cell r="X100">
            <v>417.44150870483782</v>
          </cell>
          <cell r="Y100">
            <v>392.8273973182869</v>
          </cell>
          <cell r="Z100">
            <v>368.2132859317295</v>
          </cell>
          <cell r="AA100">
            <v>343.59917454517858</v>
          </cell>
          <cell r="AB100">
            <v>318.98506315862767</v>
          </cell>
          <cell r="AC100">
            <v>294.37095177207027</v>
          </cell>
          <cell r="AD100">
            <v>270.65657876925371</v>
          </cell>
          <cell r="AE100">
            <v>246.94220576643716</v>
          </cell>
          <cell r="AF100">
            <v>223.22783276362057</v>
          </cell>
          <cell r="AG100">
            <v>199.51345976080398</v>
          </cell>
          <cell r="AH100">
            <v>175.79908675798742</v>
          </cell>
        </row>
        <row r="101">
          <cell r="B101" t="str">
            <v>e-hydrogen (Solid oxide) - Finance cost - Americas - USD/ton fuel</v>
          </cell>
          <cell r="G101">
            <v>891.46137460650891</v>
          </cell>
          <cell r="H101">
            <v>860.11424894709148</v>
          </cell>
          <cell r="I101">
            <v>828.76712328767417</v>
          </cell>
          <cell r="J101">
            <v>798.53349084803847</v>
          </cell>
          <cell r="K101">
            <v>768.29985840840277</v>
          </cell>
          <cell r="L101">
            <v>738.06622596876707</v>
          </cell>
          <cell r="M101">
            <v>707.83259352913137</v>
          </cell>
          <cell r="N101">
            <v>677.59896108949567</v>
          </cell>
          <cell r="O101">
            <v>651.10716811079658</v>
          </cell>
          <cell r="P101">
            <v>624.61537513210385</v>
          </cell>
          <cell r="Q101">
            <v>598.12358215341123</v>
          </cell>
          <cell r="R101">
            <v>571.63178917472487</v>
          </cell>
          <cell r="S101">
            <v>545.13999619603226</v>
          </cell>
          <cell r="T101">
            <v>519.60029869779714</v>
          </cell>
          <cell r="U101">
            <v>494.06060119955572</v>
          </cell>
          <cell r="V101">
            <v>468.5209037013143</v>
          </cell>
          <cell r="W101">
            <v>442.98120620307924</v>
          </cell>
          <cell r="X101">
            <v>417.44150870483782</v>
          </cell>
          <cell r="Y101">
            <v>392.8273973182869</v>
          </cell>
          <cell r="Z101">
            <v>368.2132859317295</v>
          </cell>
          <cell r="AA101">
            <v>343.59917454517858</v>
          </cell>
          <cell r="AB101">
            <v>318.98506315862767</v>
          </cell>
          <cell r="AC101">
            <v>294.37095177207027</v>
          </cell>
          <cell r="AD101">
            <v>270.65657876925371</v>
          </cell>
          <cell r="AE101">
            <v>246.94220576643716</v>
          </cell>
          <cell r="AF101">
            <v>223.22783276362057</v>
          </cell>
          <cell r="AG101">
            <v>199.51345976080398</v>
          </cell>
          <cell r="AH101">
            <v>175.79908675798742</v>
          </cell>
        </row>
        <row r="102">
          <cell r="B102" t="str">
            <v>e-hydrogen (Solid oxide) - Finance cost - Asia - USD/ton fuel</v>
          </cell>
          <cell r="G102">
            <v>891.46137460650891</v>
          </cell>
          <cell r="H102">
            <v>860.11424894709148</v>
          </cell>
          <cell r="I102">
            <v>828.76712328767417</v>
          </cell>
          <cell r="J102">
            <v>798.53349084803847</v>
          </cell>
          <cell r="K102">
            <v>768.29985840840277</v>
          </cell>
          <cell r="L102">
            <v>738.06622596876707</v>
          </cell>
          <cell r="M102">
            <v>707.83259352913137</v>
          </cell>
          <cell r="N102">
            <v>677.59896108949567</v>
          </cell>
          <cell r="O102">
            <v>651.10716811079658</v>
          </cell>
          <cell r="P102">
            <v>624.61537513210385</v>
          </cell>
          <cell r="Q102">
            <v>598.12358215341123</v>
          </cell>
          <cell r="R102">
            <v>571.63178917472487</v>
          </cell>
          <cell r="S102">
            <v>545.13999619603226</v>
          </cell>
          <cell r="T102">
            <v>519.60029869779714</v>
          </cell>
          <cell r="U102">
            <v>494.06060119955572</v>
          </cell>
          <cell r="V102">
            <v>468.5209037013143</v>
          </cell>
          <cell r="W102">
            <v>442.98120620307924</v>
          </cell>
          <cell r="X102">
            <v>417.44150870483782</v>
          </cell>
          <cell r="Y102">
            <v>392.8273973182869</v>
          </cell>
          <cell r="Z102">
            <v>368.2132859317295</v>
          </cell>
          <cell r="AA102">
            <v>343.59917454517858</v>
          </cell>
          <cell r="AB102">
            <v>318.98506315862767</v>
          </cell>
          <cell r="AC102">
            <v>294.37095177207027</v>
          </cell>
          <cell r="AD102">
            <v>270.65657876925371</v>
          </cell>
          <cell r="AE102">
            <v>246.94220576643716</v>
          </cell>
          <cell r="AF102">
            <v>223.22783276362057</v>
          </cell>
          <cell r="AG102">
            <v>199.51345976080398</v>
          </cell>
          <cell r="AH102">
            <v>175.79908675798742</v>
          </cell>
        </row>
        <row r="103">
          <cell r="B103" t="str">
            <v>e-hydrogen (Solid oxide) - Finance cost - Europe - USD/ton fuel</v>
          </cell>
          <cell r="G103">
            <v>891.46137460650891</v>
          </cell>
          <cell r="H103">
            <v>860.11424894709148</v>
          </cell>
          <cell r="I103">
            <v>828.76712328767417</v>
          </cell>
          <cell r="J103">
            <v>798.53349084803847</v>
          </cell>
          <cell r="K103">
            <v>768.29985840840277</v>
          </cell>
          <cell r="L103">
            <v>738.06622596876707</v>
          </cell>
          <cell r="M103">
            <v>707.83259352913137</v>
          </cell>
          <cell r="N103">
            <v>677.59896108949567</v>
          </cell>
          <cell r="O103">
            <v>651.10716811079658</v>
          </cell>
          <cell r="P103">
            <v>624.61537513210385</v>
          </cell>
          <cell r="Q103">
            <v>598.12358215341123</v>
          </cell>
          <cell r="R103">
            <v>571.63178917472487</v>
          </cell>
          <cell r="S103">
            <v>545.13999619603226</v>
          </cell>
          <cell r="T103">
            <v>519.60029869779714</v>
          </cell>
          <cell r="U103">
            <v>494.06060119955572</v>
          </cell>
          <cell r="V103">
            <v>468.5209037013143</v>
          </cell>
          <cell r="W103">
            <v>442.98120620307924</v>
          </cell>
          <cell r="X103">
            <v>417.44150870483782</v>
          </cell>
          <cell r="Y103">
            <v>392.8273973182869</v>
          </cell>
          <cell r="Z103">
            <v>368.2132859317295</v>
          </cell>
          <cell r="AA103">
            <v>343.59917454517858</v>
          </cell>
          <cell r="AB103">
            <v>318.98506315862767</v>
          </cell>
          <cell r="AC103">
            <v>294.37095177207027</v>
          </cell>
          <cell r="AD103">
            <v>270.65657876925371</v>
          </cell>
          <cell r="AE103">
            <v>246.94220576643716</v>
          </cell>
          <cell r="AF103">
            <v>223.22783276362057</v>
          </cell>
          <cell r="AG103">
            <v>199.51345976080398</v>
          </cell>
          <cell r="AH103">
            <v>175.79908675798742</v>
          </cell>
        </row>
        <row r="104">
          <cell r="B104" t="str">
            <v>e-hydrogen (Solid oxide) - Finance cost - Middle East - USD/ton fuel</v>
          </cell>
          <cell r="G104">
            <v>891.46137460650891</v>
          </cell>
          <cell r="H104">
            <v>860.11424894709148</v>
          </cell>
          <cell r="I104">
            <v>828.76712328767417</v>
          </cell>
          <cell r="J104">
            <v>798.53349084803847</v>
          </cell>
          <cell r="K104">
            <v>768.29985840840277</v>
          </cell>
          <cell r="L104">
            <v>738.06622596876707</v>
          </cell>
          <cell r="M104">
            <v>707.83259352913137</v>
          </cell>
          <cell r="N104">
            <v>677.59896108949567</v>
          </cell>
          <cell r="O104">
            <v>651.10716811079658</v>
          </cell>
          <cell r="P104">
            <v>624.61537513210385</v>
          </cell>
          <cell r="Q104">
            <v>598.12358215341123</v>
          </cell>
          <cell r="R104">
            <v>571.63178917472487</v>
          </cell>
          <cell r="S104">
            <v>545.13999619603226</v>
          </cell>
          <cell r="T104">
            <v>519.60029869779714</v>
          </cell>
          <cell r="U104">
            <v>494.06060119955572</v>
          </cell>
          <cell r="V104">
            <v>468.5209037013143</v>
          </cell>
          <cell r="W104">
            <v>442.98120620307924</v>
          </cell>
          <cell r="X104">
            <v>417.44150870483782</v>
          </cell>
          <cell r="Y104">
            <v>392.8273973182869</v>
          </cell>
          <cell r="Z104">
            <v>368.2132859317295</v>
          </cell>
          <cell r="AA104">
            <v>343.59917454517858</v>
          </cell>
          <cell r="AB104">
            <v>318.98506315862767</v>
          </cell>
          <cell r="AC104">
            <v>294.37095177207027</v>
          </cell>
          <cell r="AD104">
            <v>270.65657876925371</v>
          </cell>
          <cell r="AE104">
            <v>246.94220576643716</v>
          </cell>
          <cell r="AF104">
            <v>223.22783276362057</v>
          </cell>
          <cell r="AG104">
            <v>199.51345976080398</v>
          </cell>
          <cell r="AH104">
            <v>175.79908675798742</v>
          </cell>
        </row>
        <row r="105">
          <cell r="B105" t="str">
            <v/>
          </cell>
        </row>
        <row r="106">
          <cell r="B106" t="str">
            <v>e-hydrogen (Solid oxide) - Energy cost including feedstock energy cost - Africa - USD/ton fuel</v>
          </cell>
          <cell r="G106">
            <v>2588.9287063028064</v>
          </cell>
          <cell r="H106">
            <v>2276.192451717739</v>
          </cell>
          <cell r="I106">
            <v>1965.77856467534</v>
          </cell>
          <cell r="J106">
            <v>1874.5729013108719</v>
          </cell>
          <cell r="K106">
            <v>1784.0024108327877</v>
          </cell>
          <cell r="L106">
            <v>1694.0670932410824</v>
          </cell>
          <cell r="M106">
            <v>1604.7669485357389</v>
          </cell>
          <cell r="N106">
            <v>1516.1019767167986</v>
          </cell>
          <cell r="O106">
            <v>1464.492375541203</v>
          </cell>
          <cell r="P106">
            <v>1413.2306341636806</v>
          </cell>
          <cell r="Q106">
            <v>1362.3167525842139</v>
          </cell>
          <cell r="R106">
            <v>1311.750730802838</v>
          </cell>
          <cell r="S106">
            <v>1261.5325688195401</v>
          </cell>
          <cell r="T106">
            <v>1235.5794195397884</v>
          </cell>
          <cell r="U106">
            <v>1209.7869106465225</v>
          </cell>
          <cell r="V106">
            <v>1184.155042139736</v>
          </cell>
          <cell r="W106">
            <v>1158.6838140194304</v>
          </cell>
          <cell r="X106">
            <v>1133.373226285617</v>
          </cell>
          <cell r="Y106">
            <v>1107.7163967847878</v>
          </cell>
          <cell r="Z106">
            <v>1082.2216302766769</v>
          </cell>
          <cell r="AA106">
            <v>1056.8889267612767</v>
          </cell>
          <cell r="AB106">
            <v>1031.7182862386062</v>
          </cell>
          <cell r="AC106">
            <v>1006.709708708651</v>
          </cell>
          <cell r="AD106">
            <v>992.61384025706548</v>
          </cell>
          <cell r="AE106">
            <v>978.59601473603675</v>
          </cell>
          <cell r="AF106">
            <v>964.6562321455558</v>
          </cell>
          <cell r="AG106">
            <v>950.79449248562696</v>
          </cell>
          <cell r="AH106">
            <v>937.01079575625499</v>
          </cell>
        </row>
        <row r="107">
          <cell r="B107" t="str">
            <v>e-hydrogen (Solid oxide) - Energy cost including feedstock energy cost - Americas - USD/ton fuel</v>
          </cell>
          <cell r="G107">
            <v>1626.6624296508014</v>
          </cell>
          <cell r="H107">
            <v>1586.8920318699479</v>
          </cell>
          <cell r="I107">
            <v>1547.3789656238314</v>
          </cell>
          <cell r="J107">
            <v>1485.2415642775391</v>
          </cell>
          <cell r="K107">
            <v>1423.5309409821973</v>
          </cell>
          <cell r="L107">
            <v>1362.2470957378021</v>
          </cell>
          <cell r="M107">
            <v>1301.3900285443751</v>
          </cell>
          <cell r="N107">
            <v>1240.9597394018786</v>
          </cell>
          <cell r="O107">
            <v>1209.6949626391079</v>
          </cell>
          <cell r="P107">
            <v>1178.6316839159529</v>
          </cell>
          <cell r="Q107">
            <v>1147.7699032324153</v>
          </cell>
          <cell r="R107">
            <v>1117.1096205884919</v>
          </cell>
          <cell r="S107">
            <v>1086.6508359841794</v>
          </cell>
          <cell r="T107">
            <v>1061.408903785305</v>
          </cell>
          <cell r="U107">
            <v>1036.3272267626667</v>
          </cell>
          <cell r="V107">
            <v>1011.4058049162624</v>
          </cell>
          <cell r="W107">
            <v>986.64463824609879</v>
          </cell>
          <cell r="X107">
            <v>962.0437267521703</v>
          </cell>
          <cell r="Y107">
            <v>950.05556167518864</v>
          </cell>
          <cell r="Z107">
            <v>938.13073928594736</v>
          </cell>
          <cell r="AA107">
            <v>926.2692595844502</v>
          </cell>
          <cell r="AB107">
            <v>914.4711225706925</v>
          </cell>
          <cell r="AC107">
            <v>902.73632824467643</v>
          </cell>
          <cell r="AD107">
            <v>893.14293615721283</v>
          </cell>
          <cell r="AE107">
            <v>883.5964293429322</v>
          </cell>
          <cell r="AF107">
            <v>874.09680780183226</v>
          </cell>
          <cell r="AG107">
            <v>864.64407153391312</v>
          </cell>
          <cell r="AH107">
            <v>855.23822053917456</v>
          </cell>
        </row>
        <row r="108">
          <cell r="B108" t="str">
            <v>e-hydrogen (Solid oxide) - Energy cost including feedstock energy cost - Asia - USD/ton fuel</v>
          </cell>
          <cell r="G108">
            <v>2879.4268684472977</v>
          </cell>
          <cell r="H108">
            <v>2616.3676719083792</v>
          </cell>
          <cell r="I108">
            <v>2355.241388890081</v>
          </cell>
          <cell r="J108">
            <v>2256.6218695880475</v>
          </cell>
          <cell r="K108">
            <v>2158.6825793904818</v>
          </cell>
          <cell r="L108">
            <v>2061.4235182972989</v>
          </cell>
          <cell r="M108">
            <v>1964.8446863085412</v>
          </cell>
          <cell r="N108">
            <v>1868.9460834242511</v>
          </cell>
          <cell r="O108">
            <v>1802.0544838040184</v>
          </cell>
          <cell r="P108">
            <v>1735.6164987611448</v>
          </cell>
          <cell r="Q108">
            <v>1669.6321282956326</v>
          </cell>
          <cell r="R108">
            <v>1604.101372407438</v>
          </cell>
          <cell r="S108">
            <v>1539.0242310965832</v>
          </cell>
          <cell r="T108">
            <v>1503.3658040322432</v>
          </cell>
          <cell r="U108">
            <v>1467.9336509934164</v>
          </cell>
          <cell r="V108">
            <v>1432.7277719801166</v>
          </cell>
          <cell r="W108">
            <v>1397.7481669923204</v>
          </cell>
          <cell r="X108">
            <v>1362.9948360300589</v>
          </cell>
          <cell r="Y108">
            <v>1327.1963558395476</v>
          </cell>
          <cell r="Z108">
            <v>1291.6302509965878</v>
          </cell>
          <cell r="AA108">
            <v>1256.2965215011627</v>
          </cell>
          <cell r="AB108">
            <v>1221.195167353291</v>
          </cell>
          <cell r="AC108">
            <v>1186.3261885529537</v>
          </cell>
          <cell r="AD108">
            <v>1168.0553420325177</v>
          </cell>
          <cell r="AE108">
            <v>1149.8890476729646</v>
          </cell>
          <cell r="AF108">
            <v>1131.8273054743036</v>
          </cell>
          <cell r="AG108">
            <v>1113.8701154365301</v>
          </cell>
          <cell r="AH108">
            <v>1096.0174775596397</v>
          </cell>
        </row>
        <row r="109">
          <cell r="B109" t="str">
            <v>e-hydrogen (Solid oxide) - Energy cost including feedstock energy cost - Europe - USD/ton fuel</v>
          </cell>
          <cell r="G109">
            <v>2143.5773334609944</v>
          </cell>
          <cell r="H109">
            <v>2043.355382244687</v>
          </cell>
          <cell r="I109">
            <v>1943.8391908587546</v>
          </cell>
          <cell r="J109">
            <v>1862.6991905394541</v>
          </cell>
          <cell r="K109">
            <v>1782.1186810951563</v>
          </cell>
          <cell r="L109">
            <v>1702.0976625258966</v>
          </cell>
          <cell r="M109">
            <v>1622.6361348316375</v>
          </cell>
          <cell r="N109">
            <v>1543.7340980124209</v>
          </cell>
          <cell r="O109">
            <v>1507.8198016600793</v>
          </cell>
          <cell r="P109">
            <v>1472.1335842985702</v>
          </cell>
          <cell r="Q109">
            <v>1436.6754459278568</v>
          </cell>
          <cell r="R109">
            <v>1401.4453865479445</v>
          </cell>
          <cell r="S109">
            <v>1366.4434061588452</v>
          </cell>
          <cell r="T109">
            <v>1343.6603658131708</v>
          </cell>
          <cell r="U109">
            <v>1321.0109290335472</v>
          </cell>
          <cell r="V109">
            <v>1298.4950958199738</v>
          </cell>
          <cell r="W109">
            <v>1276.1128661724465</v>
          </cell>
          <cell r="X109">
            <v>1253.864240090958</v>
          </cell>
          <cell r="Y109">
            <v>1230.6318883099702</v>
          </cell>
          <cell r="Z109">
            <v>1207.5397694585297</v>
          </cell>
          <cell r="AA109">
            <v>1184.5878835366475</v>
          </cell>
          <cell r="AB109">
            <v>1161.7762305443143</v>
          </cell>
          <cell r="AC109">
            <v>1139.1048104815393</v>
          </cell>
          <cell r="AD109">
            <v>1121.5619624398041</v>
          </cell>
          <cell r="AE109">
            <v>1104.1194993357353</v>
          </cell>
          <cell r="AF109">
            <v>1086.7774211693418</v>
          </cell>
          <cell r="AG109">
            <v>1069.5357279406194</v>
          </cell>
          <cell r="AH109">
            <v>1052.3944196495631</v>
          </cell>
        </row>
        <row r="110">
          <cell r="B110" t="str">
            <v>e-hydrogen (Solid oxide) - Energy cost including feedstock energy cost - Middle East - USD/ton fuel</v>
          </cell>
          <cell r="G110">
            <v>1641.4330786472874</v>
          </cell>
          <cell r="H110">
            <v>1563.0078396145759</v>
          </cell>
          <cell r="I110">
            <v>1485.1359216189667</v>
          </cell>
          <cell r="J110">
            <v>1432.1168295466196</v>
          </cell>
          <cell r="K110">
            <v>1379.4571694754702</v>
          </cell>
          <cell r="L110">
            <v>1327.1569414055152</v>
          </cell>
          <cell r="M110">
            <v>1275.2161453367562</v>
          </cell>
          <cell r="N110">
            <v>1223.6347812691949</v>
          </cell>
          <cell r="O110">
            <v>1186.215120276881</v>
          </cell>
          <cell r="P110">
            <v>1149.0441149179419</v>
          </cell>
          <cell r="Q110">
            <v>1112.1217651923596</v>
          </cell>
          <cell r="R110">
            <v>1075.4480711001511</v>
          </cell>
          <cell r="S110">
            <v>1039.0230326413075</v>
          </cell>
          <cell r="T110">
            <v>1018.9648778976681</v>
          </cell>
          <cell r="U110">
            <v>999.02904245415289</v>
          </cell>
          <cell r="V110">
            <v>979.21552631076952</v>
          </cell>
          <cell r="W110">
            <v>959.52432946750571</v>
          </cell>
          <cell r="X110">
            <v>939.95545192436759</v>
          </cell>
          <cell r="Y110">
            <v>915.64669747023243</v>
          </cell>
          <cell r="Z110">
            <v>891.49532329988426</v>
          </cell>
          <cell r="AA110">
            <v>867.50132941331481</v>
          </cell>
          <cell r="AB110">
            <v>843.66471581053372</v>
          </cell>
          <cell r="AC110">
            <v>819.98548249152907</v>
          </cell>
          <cell r="AD110">
            <v>807.35646572909013</v>
          </cell>
          <cell r="AE110">
            <v>794.79971708549533</v>
          </cell>
          <cell r="AF110">
            <v>782.31523656074</v>
          </cell>
          <cell r="AG110">
            <v>769.90302415482654</v>
          </cell>
          <cell r="AH110">
            <v>757.5630798677571</v>
          </cell>
        </row>
        <row r="111">
          <cell r="B111" t="str">
            <v>e-hydrogen (Solid oxide) - Energy cost - Africa - USD/ton fuel</v>
          </cell>
          <cell r="G111">
            <v>2588.9287063028064</v>
          </cell>
          <cell r="H111">
            <v>2276.192451717739</v>
          </cell>
          <cell r="I111">
            <v>1965.77856467534</v>
          </cell>
          <cell r="J111">
            <v>1874.5729013108719</v>
          </cell>
          <cell r="K111">
            <v>1784.0024108327877</v>
          </cell>
          <cell r="L111">
            <v>1694.0670932410824</v>
          </cell>
          <cell r="M111">
            <v>1604.7669485357389</v>
          </cell>
          <cell r="N111">
            <v>1516.1019767167986</v>
          </cell>
          <cell r="O111">
            <v>1464.492375541203</v>
          </cell>
          <cell r="P111">
            <v>1413.2306341636806</v>
          </cell>
          <cell r="Q111">
            <v>1362.3167525842139</v>
          </cell>
          <cell r="R111">
            <v>1311.750730802838</v>
          </cell>
          <cell r="S111">
            <v>1261.5325688195401</v>
          </cell>
          <cell r="T111">
            <v>1235.5794195397884</v>
          </cell>
          <cell r="U111">
            <v>1209.7869106465225</v>
          </cell>
          <cell r="V111">
            <v>1184.155042139736</v>
          </cell>
          <cell r="W111">
            <v>1158.6838140194304</v>
          </cell>
          <cell r="X111">
            <v>1133.373226285617</v>
          </cell>
          <cell r="Y111">
            <v>1107.7163967847878</v>
          </cell>
          <cell r="Z111">
            <v>1082.2216302766769</v>
          </cell>
          <cell r="AA111">
            <v>1056.8889267612767</v>
          </cell>
          <cell r="AB111">
            <v>1031.7182862386062</v>
          </cell>
          <cell r="AC111">
            <v>1006.709708708651</v>
          </cell>
          <cell r="AD111">
            <v>992.61384025706548</v>
          </cell>
          <cell r="AE111">
            <v>978.59601473603675</v>
          </cell>
          <cell r="AF111">
            <v>964.6562321455558</v>
          </cell>
          <cell r="AG111">
            <v>950.79449248562696</v>
          </cell>
          <cell r="AH111">
            <v>937.01079575625499</v>
          </cell>
        </row>
        <row r="112">
          <cell r="B112" t="str">
            <v>e-hydrogen (Solid oxide) - Energy cost - Americas - USD/ton fuel</v>
          </cell>
          <cell r="G112">
            <v>1626.6624296508014</v>
          </cell>
          <cell r="H112">
            <v>1586.8920318699479</v>
          </cell>
          <cell r="I112">
            <v>1547.3789656238314</v>
          </cell>
          <cell r="J112">
            <v>1485.2415642775391</v>
          </cell>
          <cell r="K112">
            <v>1423.5309409821973</v>
          </cell>
          <cell r="L112">
            <v>1362.2470957378021</v>
          </cell>
          <cell r="M112">
            <v>1301.3900285443751</v>
          </cell>
          <cell r="N112">
            <v>1240.9597394018786</v>
          </cell>
          <cell r="O112">
            <v>1209.6949626391079</v>
          </cell>
          <cell r="P112">
            <v>1178.6316839159529</v>
          </cell>
          <cell r="Q112">
            <v>1147.7699032324153</v>
          </cell>
          <cell r="R112">
            <v>1117.1096205884919</v>
          </cell>
          <cell r="S112">
            <v>1086.6508359841794</v>
          </cell>
          <cell r="T112">
            <v>1061.408903785305</v>
          </cell>
          <cell r="U112">
            <v>1036.3272267626667</v>
          </cell>
          <cell r="V112">
            <v>1011.4058049162624</v>
          </cell>
          <cell r="W112">
            <v>986.64463824609879</v>
          </cell>
          <cell r="X112">
            <v>962.0437267521703</v>
          </cell>
          <cell r="Y112">
            <v>950.05556167518864</v>
          </cell>
          <cell r="Z112">
            <v>938.13073928594736</v>
          </cell>
          <cell r="AA112">
            <v>926.2692595844502</v>
          </cell>
          <cell r="AB112">
            <v>914.4711225706925</v>
          </cell>
          <cell r="AC112">
            <v>902.73632824467643</v>
          </cell>
          <cell r="AD112">
            <v>893.14293615721283</v>
          </cell>
          <cell r="AE112">
            <v>883.5964293429322</v>
          </cell>
          <cell r="AF112">
            <v>874.09680780183226</v>
          </cell>
          <cell r="AG112">
            <v>864.64407153391312</v>
          </cell>
          <cell r="AH112">
            <v>855.23822053917456</v>
          </cell>
        </row>
        <row r="113">
          <cell r="B113" t="str">
            <v>e-hydrogen (Solid oxide) - Energy cost - Asia - USD/ton fuel</v>
          </cell>
          <cell r="G113">
            <v>2879.4268684472977</v>
          </cell>
          <cell r="H113">
            <v>2616.3676719083792</v>
          </cell>
          <cell r="I113">
            <v>2355.241388890081</v>
          </cell>
          <cell r="J113">
            <v>2256.6218695880475</v>
          </cell>
          <cell r="K113">
            <v>2158.6825793904818</v>
          </cell>
          <cell r="L113">
            <v>2061.4235182972989</v>
          </cell>
          <cell r="M113">
            <v>1964.8446863085412</v>
          </cell>
          <cell r="N113">
            <v>1868.9460834242511</v>
          </cell>
          <cell r="O113">
            <v>1802.0544838040184</v>
          </cell>
          <cell r="P113">
            <v>1735.6164987611448</v>
          </cell>
          <cell r="Q113">
            <v>1669.6321282956326</v>
          </cell>
          <cell r="R113">
            <v>1604.101372407438</v>
          </cell>
          <cell r="S113">
            <v>1539.0242310965832</v>
          </cell>
          <cell r="T113">
            <v>1503.3658040322432</v>
          </cell>
          <cell r="U113">
            <v>1467.9336509934164</v>
          </cell>
          <cell r="V113">
            <v>1432.7277719801166</v>
          </cell>
          <cell r="W113">
            <v>1397.7481669923204</v>
          </cell>
          <cell r="X113">
            <v>1362.9948360300589</v>
          </cell>
          <cell r="Y113">
            <v>1327.1963558395476</v>
          </cell>
          <cell r="Z113">
            <v>1291.6302509965878</v>
          </cell>
          <cell r="AA113">
            <v>1256.2965215011627</v>
          </cell>
          <cell r="AB113">
            <v>1221.195167353291</v>
          </cell>
          <cell r="AC113">
            <v>1186.3261885529537</v>
          </cell>
          <cell r="AD113">
            <v>1168.0553420325177</v>
          </cell>
          <cell r="AE113">
            <v>1149.8890476729646</v>
          </cell>
          <cell r="AF113">
            <v>1131.8273054743036</v>
          </cell>
          <cell r="AG113">
            <v>1113.8701154365301</v>
          </cell>
          <cell r="AH113">
            <v>1096.0174775596397</v>
          </cell>
        </row>
        <row r="114">
          <cell r="B114" t="str">
            <v>e-hydrogen (Solid oxide) - Energy cost - Europe - USD/ton fuel</v>
          </cell>
          <cell r="G114">
            <v>2143.5773334609944</v>
          </cell>
          <cell r="H114">
            <v>2043.355382244687</v>
          </cell>
          <cell r="I114">
            <v>1943.8391908587546</v>
          </cell>
          <cell r="J114">
            <v>1862.6991905394541</v>
          </cell>
          <cell r="K114">
            <v>1782.1186810951563</v>
          </cell>
          <cell r="L114">
            <v>1702.0976625258966</v>
          </cell>
          <cell r="M114">
            <v>1622.6361348316375</v>
          </cell>
          <cell r="N114">
            <v>1543.7340980124209</v>
          </cell>
          <cell r="O114">
            <v>1507.8198016600793</v>
          </cell>
          <cell r="P114">
            <v>1472.1335842985702</v>
          </cell>
          <cell r="Q114">
            <v>1436.6754459278568</v>
          </cell>
          <cell r="R114">
            <v>1401.4453865479445</v>
          </cell>
          <cell r="S114">
            <v>1366.4434061588452</v>
          </cell>
          <cell r="T114">
            <v>1343.6603658131708</v>
          </cell>
          <cell r="U114">
            <v>1321.0109290335472</v>
          </cell>
          <cell r="V114">
            <v>1298.4950958199738</v>
          </cell>
          <cell r="W114">
            <v>1276.1128661724465</v>
          </cell>
          <cell r="X114">
            <v>1253.864240090958</v>
          </cell>
          <cell r="Y114">
            <v>1230.6318883099702</v>
          </cell>
          <cell r="Z114">
            <v>1207.5397694585297</v>
          </cell>
          <cell r="AA114">
            <v>1184.5878835366475</v>
          </cell>
          <cell r="AB114">
            <v>1161.7762305443143</v>
          </cell>
          <cell r="AC114">
            <v>1139.1048104815393</v>
          </cell>
          <cell r="AD114">
            <v>1121.5619624398041</v>
          </cell>
          <cell r="AE114">
            <v>1104.1194993357353</v>
          </cell>
          <cell r="AF114">
            <v>1086.7774211693418</v>
          </cell>
          <cell r="AG114">
            <v>1069.5357279406194</v>
          </cell>
          <cell r="AH114">
            <v>1052.3944196495631</v>
          </cell>
        </row>
        <row r="115">
          <cell r="B115" t="str">
            <v>e-hydrogen (Solid oxide) - Energy cost - Middle East - USD/ton fuel</v>
          </cell>
          <cell r="G115">
            <v>1641.4330786472874</v>
          </cell>
          <cell r="H115">
            <v>1563.0078396145759</v>
          </cell>
          <cell r="I115">
            <v>1485.1359216189667</v>
          </cell>
          <cell r="J115">
            <v>1432.1168295466196</v>
          </cell>
          <cell r="K115">
            <v>1379.4571694754702</v>
          </cell>
          <cell r="L115">
            <v>1327.1569414055152</v>
          </cell>
          <cell r="M115">
            <v>1275.2161453367562</v>
          </cell>
          <cell r="N115">
            <v>1223.6347812691949</v>
          </cell>
          <cell r="O115">
            <v>1186.215120276881</v>
          </cell>
          <cell r="P115">
            <v>1149.0441149179419</v>
          </cell>
          <cell r="Q115">
            <v>1112.1217651923596</v>
          </cell>
          <cell r="R115">
            <v>1075.4480711001511</v>
          </cell>
          <cell r="S115">
            <v>1039.0230326413075</v>
          </cell>
          <cell r="T115">
            <v>1018.9648778976681</v>
          </cell>
          <cell r="U115">
            <v>999.02904245415289</v>
          </cell>
          <cell r="V115">
            <v>979.21552631076952</v>
          </cell>
          <cell r="W115">
            <v>959.52432946750571</v>
          </cell>
          <cell r="X115">
            <v>939.95545192436759</v>
          </cell>
          <cell r="Y115">
            <v>915.64669747023243</v>
          </cell>
          <cell r="Z115">
            <v>891.49532329988426</v>
          </cell>
          <cell r="AA115">
            <v>867.50132941331481</v>
          </cell>
          <cell r="AB115">
            <v>843.66471581053372</v>
          </cell>
          <cell r="AC115">
            <v>819.98548249152907</v>
          </cell>
          <cell r="AD115">
            <v>807.35646572909013</v>
          </cell>
          <cell r="AE115">
            <v>794.79971708549533</v>
          </cell>
          <cell r="AF115">
            <v>782.31523656074</v>
          </cell>
          <cell r="AG115">
            <v>769.90302415482654</v>
          </cell>
          <cell r="AH115">
            <v>757.5630798677571</v>
          </cell>
        </row>
        <row r="116">
          <cell r="B116" t="str">
            <v/>
          </cell>
        </row>
        <row r="117">
          <cell r="B117" t="str">
            <v>e-hydrogen (Solid oxide) - Feedstock cost including feedstock feedstock cost - Global - USD/ton fuel</v>
          </cell>
          <cell r="G117">
            <v>13.5</v>
          </cell>
          <cell r="H117">
            <v>13.500000000000048</v>
          </cell>
          <cell r="I117">
            <v>13.500000000000048</v>
          </cell>
          <cell r="J117">
            <v>13.500000000000048</v>
          </cell>
          <cell r="K117">
            <v>13.500000000000096</v>
          </cell>
          <cell r="L117">
            <v>13.5</v>
          </cell>
          <cell r="M117">
            <v>13.500000000000096</v>
          </cell>
          <cell r="N117">
            <v>13.5</v>
          </cell>
          <cell r="O117">
            <v>13.499999999999904</v>
          </cell>
          <cell r="P117">
            <v>13.500000000000048</v>
          </cell>
          <cell r="Q117">
            <v>13.500000000000192</v>
          </cell>
          <cell r="R117">
            <v>13.500000000000096</v>
          </cell>
          <cell r="S117">
            <v>13.500000000000192</v>
          </cell>
          <cell r="T117">
            <v>13.50000000000024</v>
          </cell>
          <cell r="U117">
            <v>13.500000000000121</v>
          </cell>
          <cell r="V117">
            <v>13.500000000000359</v>
          </cell>
          <cell r="W117">
            <v>13.50000000000024</v>
          </cell>
          <cell r="X117">
            <v>13.499999999999904</v>
          </cell>
          <cell r="Y117">
            <v>13.5</v>
          </cell>
          <cell r="Z117">
            <v>13.499999999999952</v>
          </cell>
          <cell r="AA117">
            <v>13.500000000000048</v>
          </cell>
          <cell r="AB117">
            <v>13.5</v>
          </cell>
          <cell r="AC117">
            <v>13.5</v>
          </cell>
          <cell r="AD117">
            <v>13.5</v>
          </cell>
          <cell r="AE117">
            <v>13.5</v>
          </cell>
          <cell r="AF117">
            <v>13.5</v>
          </cell>
          <cell r="AG117">
            <v>13.5</v>
          </cell>
          <cell r="AH117">
            <v>13.5</v>
          </cell>
        </row>
        <row r="118">
          <cell r="B118" t="str">
            <v>e-hydrogen - Feedstock cost - Global - USD/ton fuel</v>
          </cell>
          <cell r="G118">
            <v>13.5</v>
          </cell>
          <cell r="H118">
            <v>13.500000000000048</v>
          </cell>
          <cell r="I118">
            <v>13.500000000000048</v>
          </cell>
          <cell r="J118">
            <v>13.500000000000048</v>
          </cell>
          <cell r="K118">
            <v>13.500000000000096</v>
          </cell>
          <cell r="L118">
            <v>13.5</v>
          </cell>
          <cell r="M118">
            <v>13.500000000000096</v>
          </cell>
          <cell r="N118">
            <v>13.5</v>
          </cell>
          <cell r="O118">
            <v>13.499999999999904</v>
          </cell>
          <cell r="P118">
            <v>13.500000000000048</v>
          </cell>
          <cell r="Q118">
            <v>13.500000000000192</v>
          </cell>
          <cell r="R118">
            <v>13.500000000000096</v>
          </cell>
          <cell r="S118">
            <v>13.500000000000192</v>
          </cell>
          <cell r="T118">
            <v>13.50000000000024</v>
          </cell>
          <cell r="U118">
            <v>13.500000000000121</v>
          </cell>
          <cell r="V118">
            <v>13.500000000000359</v>
          </cell>
          <cell r="W118">
            <v>13.50000000000024</v>
          </cell>
          <cell r="X118">
            <v>13.499999999999904</v>
          </cell>
          <cell r="Y118">
            <v>13.5</v>
          </cell>
          <cell r="Z118">
            <v>13.499999999999952</v>
          </cell>
          <cell r="AA118">
            <v>13.500000000000048</v>
          </cell>
          <cell r="AB118">
            <v>13.5</v>
          </cell>
          <cell r="AC118">
            <v>13.5</v>
          </cell>
          <cell r="AD118">
            <v>13.5</v>
          </cell>
          <cell r="AE118">
            <v>13.5</v>
          </cell>
          <cell r="AF118">
            <v>13.5</v>
          </cell>
          <cell r="AG118">
            <v>13.5</v>
          </cell>
          <cell r="AH118">
            <v>13.5</v>
          </cell>
        </row>
        <row r="119">
          <cell r="B119" t="str">
            <v/>
          </cell>
        </row>
        <row r="120">
          <cell r="B120" t="str">
            <v>e-hydrogen - Item - Region - Unit</v>
          </cell>
          <cell r="G120">
            <v>2023</v>
          </cell>
          <cell r="H120">
            <v>2024</v>
          </cell>
          <cell r="I120">
            <v>2025</v>
          </cell>
          <cell r="J120">
            <v>2026</v>
          </cell>
          <cell r="K120">
            <v>2027</v>
          </cell>
          <cell r="L120">
            <v>2028</v>
          </cell>
          <cell r="M120">
            <v>2029</v>
          </cell>
          <cell r="N120">
            <v>2030</v>
          </cell>
          <cell r="O120">
            <v>2031</v>
          </cell>
          <cell r="P120">
            <v>2032</v>
          </cell>
          <cell r="Q120">
            <v>2033</v>
          </cell>
          <cell r="R120">
            <v>2034</v>
          </cell>
          <cell r="S120">
            <v>2035</v>
          </cell>
          <cell r="T120">
            <v>2036</v>
          </cell>
          <cell r="U120">
            <v>2037</v>
          </cell>
          <cell r="V120">
            <v>2038</v>
          </cell>
          <cell r="W120">
            <v>2039</v>
          </cell>
          <cell r="X120">
            <v>2040</v>
          </cell>
          <cell r="Y120">
            <v>2041</v>
          </cell>
          <cell r="Z120">
            <v>2042</v>
          </cell>
          <cell r="AA120">
            <v>2043</v>
          </cell>
          <cell r="AB120">
            <v>2044</v>
          </cell>
          <cell r="AC120">
            <v>2045</v>
          </cell>
          <cell r="AD120">
            <v>2046</v>
          </cell>
          <cell r="AE120">
            <v>2047</v>
          </cell>
          <cell r="AF120">
            <v>2048</v>
          </cell>
          <cell r="AG120">
            <v>2049</v>
          </cell>
          <cell r="AH120">
            <v>2050</v>
          </cell>
        </row>
        <row r="121">
          <cell r="B121" t="str">
            <v>e-hydrogen - Total cost - Africa - USD/ton fuel</v>
          </cell>
          <cell r="G121">
            <v>4571.8140450320188</v>
          </cell>
          <cell r="H121">
            <v>4147.8556835639229</v>
          </cell>
          <cell r="I121">
            <v>3721.2257878341748</v>
          </cell>
          <cell r="J121">
            <v>3582.7603655139337</v>
          </cell>
          <cell r="K121">
            <v>3439.1451833385127</v>
          </cell>
          <cell r="L121">
            <v>3290.483028149778</v>
          </cell>
          <cell r="M121">
            <v>3136.8766867896793</v>
          </cell>
          <cell r="N121">
            <v>2978.4289461000349</v>
          </cell>
          <cell r="O121">
            <v>2921.7563256389899</v>
          </cell>
          <cell r="P121">
            <v>2857.5071262788529</v>
          </cell>
          <cell r="Q121">
            <v>2785.7367116560763</v>
          </cell>
          <cell r="R121">
            <v>2706.500445407155</v>
          </cell>
          <cell r="S121">
            <v>2619.853691168667</v>
          </cell>
          <cell r="T121">
            <v>2559.134112764737</v>
          </cell>
          <cell r="U121">
            <v>2493.203364311601</v>
          </cell>
          <cell r="V121">
            <v>2422.0795111742987</v>
          </cell>
          <cell r="W121">
            <v>2345.7806187176438</v>
          </cell>
          <cell r="X121">
            <v>2264.3247523066229</v>
          </cell>
          <cell r="Y121">
            <v>2180.5948397844923</v>
          </cell>
          <cell r="Z121">
            <v>2094.4451344593949</v>
          </cell>
          <cell r="AA121">
            <v>2005.8650721929257</v>
          </cell>
          <cell r="AB121">
            <v>1914.844088846567</v>
          </cell>
          <cell r="AC121">
            <v>1821.3716202818705</v>
          </cell>
          <cell r="AD121">
            <v>1747.8207084088369</v>
          </cell>
          <cell r="AE121">
            <v>1673.0567776619685</v>
          </cell>
          <cell r="AF121">
            <v>1597.0731710889659</v>
          </cell>
          <cell r="AG121">
            <v>1519.8632317375509</v>
          </cell>
          <cell r="AH121">
            <v>1441.4203026554478</v>
          </cell>
        </row>
        <row r="122">
          <cell r="B122" t="str">
            <v>e-hydrogen - Total cost - Americas - USD/ton fuel</v>
          </cell>
          <cell r="G122">
            <v>3419.7532318615094</v>
          </cell>
          <cell r="H122">
            <v>3320.3976978064575</v>
          </cell>
          <cell r="I122">
            <v>3217.7199067028678</v>
          </cell>
          <cell r="J122">
            <v>3113.4145570196761</v>
          </cell>
          <cell r="K122">
            <v>3003.972559512416</v>
          </cell>
          <cell r="L122">
            <v>2889.4629775321455</v>
          </cell>
          <cell r="M122">
            <v>2769.9548744300391</v>
          </cell>
          <cell r="N122">
            <v>2645.5173135570167</v>
          </cell>
          <cell r="O122">
            <v>2614.3438016320752</v>
          </cell>
          <cell r="P122">
            <v>2575.3775779225925</v>
          </cell>
          <cell r="Q122">
            <v>2528.6507118550317</v>
          </cell>
          <cell r="R122">
            <v>2474.1952728558208</v>
          </cell>
          <cell r="S122">
            <v>2412.0433303515238</v>
          </cell>
          <cell r="T122">
            <v>2353.173138927395</v>
          </cell>
          <cell r="U122">
            <v>2289.140217035545</v>
          </cell>
          <cell r="V122">
            <v>2219.9625867208738</v>
          </cell>
          <cell r="W122">
            <v>2145.6582700280737</v>
          </cell>
          <cell r="X122">
            <v>2066.2452890019722</v>
          </cell>
          <cell r="Y122">
            <v>1999.9979428473175</v>
          </cell>
          <cell r="Z122">
            <v>1930.9153663702016</v>
          </cell>
          <cell r="AA122">
            <v>1858.9934305532511</v>
          </cell>
          <cell r="AB122">
            <v>1784.2280063789497</v>
          </cell>
          <cell r="AC122">
            <v>1706.6149648298883</v>
          </cell>
          <cell r="AD122">
            <v>1638.8348366898754</v>
          </cell>
          <cell r="AE122">
            <v>1569.7205263897122</v>
          </cell>
          <cell r="AF122">
            <v>1499.2680346814896</v>
          </cell>
          <cell r="AG122">
            <v>1427.4733623173049</v>
          </cell>
          <cell r="AH122">
            <v>1354.3325100492571</v>
          </cell>
        </row>
        <row r="123">
          <cell r="B123" t="str">
            <v>e-hydrogen - Total cost - Asia - USD/ton fuel</v>
          </cell>
          <cell r="G123">
            <v>4919.6092000998424</v>
          </cell>
          <cell r="H123">
            <v>4556.2127574878086</v>
          </cell>
          <cell r="I123">
            <v>4189.9088910653254</v>
          </cell>
          <cell r="J123">
            <v>4043.3271497517403</v>
          </cell>
          <cell r="K123">
            <v>3891.471000176216</v>
          </cell>
          <cell r="L123">
            <v>3734.4505204022607</v>
          </cell>
          <cell r="M123">
            <v>3572.3757884936485</v>
          </cell>
          <cell r="N123">
            <v>3405.3568825139291</v>
          </cell>
          <cell r="O123">
            <v>3329.0242744310799</v>
          </cell>
          <cell r="P123">
            <v>3245.2095361970569</v>
          </cell>
          <cell r="Q123">
            <v>3153.9848628533696</v>
          </cell>
          <cell r="R123">
            <v>3055.4224494414507</v>
          </cell>
          <cell r="S123">
            <v>2949.5944910029716</v>
          </cell>
          <cell r="T123">
            <v>2875.7981835549567</v>
          </cell>
          <cell r="U123">
            <v>2796.8948914419857</v>
          </cell>
          <cell r="V123">
            <v>2712.9100610848413</v>
          </cell>
          <cell r="W123">
            <v>2623.869138904005</v>
          </cell>
          <cell r="X123">
            <v>2529.7975713201986</v>
          </cell>
          <cell r="Y123">
            <v>2432.0041356799093</v>
          </cell>
          <cell r="Z123">
            <v>2332.104454536804</v>
          </cell>
          <cell r="AA123">
            <v>2230.0833804145991</v>
          </cell>
          <cell r="AB123">
            <v>2125.9257658368952</v>
          </cell>
          <cell r="AC123">
            <v>2019.6164633273684</v>
          </cell>
          <cell r="AD123">
            <v>1940.0442051158482</v>
          </cell>
          <cell r="AE123">
            <v>1859.3815897073273</v>
          </cell>
          <cell r="AF123">
            <v>1777.6196989494379</v>
          </cell>
          <cell r="AG123">
            <v>1694.7496146898043</v>
          </cell>
          <cell r="AH123">
            <v>1610.7624187760525</v>
          </cell>
        </row>
        <row r="124">
          <cell r="B124" t="str">
            <v>e-hydrogen - Total cost - Europe - USD/ton fuel</v>
          </cell>
          <cell r="G124">
            <v>4038.6228928616847</v>
          </cell>
          <cell r="H124">
            <v>3868.3507145137291</v>
          </cell>
          <cell r="I124">
            <v>3694.8237459344427</v>
          </cell>
          <cell r="J124">
            <v>3568.4463973029419</v>
          </cell>
          <cell r="K124">
            <v>3436.871084883941</v>
          </cell>
          <cell r="L124">
            <v>3300.1883482791136</v>
          </cell>
          <cell r="M124">
            <v>3158.4887270901409</v>
          </cell>
          <cell r="N124">
            <v>3011.8627609185983</v>
          </cell>
          <cell r="O124">
            <v>2974.0307709334747</v>
          </cell>
          <cell r="P124">
            <v>2928.3440277264485</v>
          </cell>
          <cell r="Q124">
            <v>2874.8388312160041</v>
          </cell>
          <cell r="R124">
            <v>2813.5514813206551</v>
          </cell>
          <cell r="S124">
            <v>2744.5182779590677</v>
          </cell>
          <cell r="T124">
            <v>2686.9425242590582</v>
          </cell>
          <cell r="U124">
            <v>2624.050617901336</v>
          </cell>
          <cell r="V124">
            <v>2555.857583732693</v>
          </cell>
          <cell r="W124">
            <v>2482.3784465996719</v>
          </cell>
          <cell r="X124">
            <v>2403.6282313489819</v>
          </cell>
          <cell r="Y124">
            <v>2321.3917367406975</v>
          </cell>
          <cell r="Z124">
            <v>2236.6695741645817</v>
          </cell>
          <cell r="AA124">
            <v>2149.4526024833108</v>
          </cell>
          <cell r="AB124">
            <v>2059.73168055939</v>
          </cell>
          <cell r="AC124">
            <v>1967.4976672554576</v>
          </cell>
          <cell r="AD124">
            <v>1889.1034647061108</v>
          </cell>
          <cell r="AE124">
            <v>1809.5955456101613</v>
          </cell>
          <cell r="AF124">
            <v>1728.965347273524</v>
          </cell>
          <cell r="AG124">
            <v>1647.204307002108</v>
          </cell>
          <cell r="AH124">
            <v>1564.3038621018211</v>
          </cell>
        </row>
        <row r="125">
          <cell r="B125" t="str">
            <v>e-hydrogen - Total cost - Middle East - USD/ton fuel</v>
          </cell>
          <cell r="G125">
            <v>3437.4371997057879</v>
          </cell>
          <cell r="H125">
            <v>3291.726359379827</v>
          </cell>
          <cell r="I125">
            <v>3142.8160617015587</v>
          </cell>
          <cell r="J125">
            <v>3049.3717502851341</v>
          </cell>
          <cell r="K125">
            <v>2950.7653007064864</v>
          </cell>
          <cell r="L125">
            <v>2847.05487804328</v>
          </cell>
          <cell r="M125">
            <v>2738.2986473732735</v>
          </cell>
          <cell r="N125">
            <v>2624.5547737740408</v>
          </cell>
          <cell r="O125">
            <v>2586.0154229344857</v>
          </cell>
          <cell r="P125">
            <v>2539.7954601443425</v>
          </cell>
          <cell r="Q125">
            <v>2485.9344601982857</v>
          </cell>
          <cell r="R125">
            <v>2424.4719978910048</v>
          </cell>
          <cell r="S125">
            <v>2355.4476480172916</v>
          </cell>
          <cell r="T125">
            <v>2302.9820209443847</v>
          </cell>
          <cell r="U125">
            <v>2245.2615202268162</v>
          </cell>
          <cell r="V125">
            <v>2182.2999017005955</v>
          </cell>
          <cell r="W125">
            <v>2114.1109212014953</v>
          </cell>
          <cell r="X125">
            <v>2040.7083345654555</v>
          </cell>
          <cell r="Y125">
            <v>1960.5833723344319</v>
          </cell>
          <cell r="Z125">
            <v>1877.9885039675351</v>
          </cell>
          <cell r="AA125">
            <v>1792.9134705705346</v>
          </cell>
          <cell r="AB125">
            <v>1705.3480132490897</v>
          </cell>
          <cell r="AC125">
            <v>1615.2818731089328</v>
          </cell>
          <cell r="AD125">
            <v>1544.8423939156899</v>
          </cell>
          <cell r="AE125">
            <v>1473.1314799005604</v>
          </cell>
          <cell r="AF125">
            <v>1400.1429666945739</v>
          </cell>
          <cell r="AG125">
            <v>1325.870689928772</v>
          </cell>
          <cell r="AH125">
            <v>1250.3084852341972</v>
          </cell>
        </row>
        <row r="126">
          <cell r="B126" t="str">
            <v/>
          </cell>
        </row>
        <row r="127">
          <cell r="B127" t="str">
            <v>e-hydrogen - CAPEX including feedstock CAPEX - Global - USD/ton fuel</v>
          </cell>
          <cell r="G127">
            <v>256.64635353013858</v>
          </cell>
          <cell r="H127">
            <v>247.21700590830653</v>
          </cell>
          <cell r="I127">
            <v>237.53805175037812</v>
          </cell>
          <cell r="J127">
            <v>232.53269690653616</v>
          </cell>
          <cell r="K127">
            <v>227.06362881665248</v>
          </cell>
          <cell r="L127">
            <v>221.13084748073197</v>
          </cell>
          <cell r="M127">
            <v>214.73435289877628</v>
          </cell>
          <cell r="N127">
            <v>207.87414507077864</v>
          </cell>
          <cell r="O127">
            <v>212.24697175898439</v>
          </cell>
          <cell r="P127">
            <v>215.53837151594018</v>
          </cell>
          <cell r="Q127">
            <v>217.74834434164336</v>
          </cell>
          <cell r="R127">
            <v>218.87689023608903</v>
          </cell>
          <cell r="S127">
            <v>218.92400919928582</v>
          </cell>
          <cell r="T127">
            <v>217.21328869368136</v>
          </cell>
          <cell r="U127">
            <v>214.61001500027928</v>
          </cell>
          <cell r="V127">
            <v>211.1141881190886</v>
          </cell>
          <cell r="W127">
            <v>206.72580805010043</v>
          </cell>
          <cell r="X127">
            <v>201.44487479331141</v>
          </cell>
          <cell r="Y127">
            <v>194.68227936129369</v>
          </cell>
          <cell r="Z127">
            <v>187.24620275654928</v>
          </cell>
          <cell r="AA127">
            <v>179.13664497908553</v>
          </cell>
          <cell r="AB127">
            <v>170.35360602889762</v>
          </cell>
          <cell r="AC127">
            <v>160.89708590598403</v>
          </cell>
          <cell r="AD127">
            <v>150.64085698303418</v>
          </cell>
          <cell r="AE127">
            <v>139.96336878636401</v>
          </cell>
          <cell r="AF127">
            <v>128.86462131597352</v>
          </cell>
          <cell r="AG127">
            <v>117.34461457186269</v>
          </cell>
          <cell r="AH127">
            <v>105.40334855403168</v>
          </cell>
        </row>
        <row r="128">
          <cell r="B128" t="str">
            <v>e-hydrogen - CAPEX - Global - USD/ton fuel</v>
          </cell>
          <cell r="G128">
            <v>256.64635353013858</v>
          </cell>
          <cell r="H128">
            <v>247.21700590830653</v>
          </cell>
          <cell r="I128">
            <v>237.53805175037812</v>
          </cell>
          <cell r="J128">
            <v>232.53269690653616</v>
          </cell>
          <cell r="K128">
            <v>227.06362881665248</v>
          </cell>
          <cell r="L128">
            <v>221.13084748073197</v>
          </cell>
          <cell r="M128">
            <v>214.73435289877628</v>
          </cell>
          <cell r="N128">
            <v>207.87414507077864</v>
          </cell>
          <cell r="O128">
            <v>212.24697175898439</v>
          </cell>
          <cell r="P128">
            <v>215.53837151594018</v>
          </cell>
          <cell r="Q128">
            <v>217.74834434164336</v>
          </cell>
          <cell r="R128">
            <v>218.87689023608903</v>
          </cell>
          <cell r="S128">
            <v>218.92400919928582</v>
          </cell>
          <cell r="T128">
            <v>217.21328869368136</v>
          </cell>
          <cell r="U128">
            <v>214.61001500027928</v>
          </cell>
          <cell r="V128">
            <v>211.1141881190886</v>
          </cell>
          <cell r="W128">
            <v>206.72580805010043</v>
          </cell>
          <cell r="X128">
            <v>201.44487479331141</v>
          </cell>
          <cell r="Y128">
            <v>194.68227936129369</v>
          </cell>
          <cell r="Z128">
            <v>187.24620275654928</v>
          </cell>
          <cell r="AA128">
            <v>179.13664497908553</v>
          </cell>
          <cell r="AB128">
            <v>170.35360602889762</v>
          </cell>
          <cell r="AC128">
            <v>160.89708590598403</v>
          </cell>
          <cell r="AD128">
            <v>150.64085698303418</v>
          </cell>
          <cell r="AE128">
            <v>139.96336878636401</v>
          </cell>
          <cell r="AF128">
            <v>128.86462131597352</v>
          </cell>
          <cell r="AG128">
            <v>117.34461457186269</v>
          </cell>
          <cell r="AH128">
            <v>105.40334855403168</v>
          </cell>
        </row>
        <row r="129">
          <cell r="B129" t="str">
            <v/>
          </cell>
        </row>
        <row r="130">
          <cell r="B130" t="str">
            <v>e-hydrogen - OPEX including feedstock OPEX - Global - USD/ton fuel</v>
          </cell>
          <cell r="G130">
            <v>778.63990898977545</v>
          </cell>
          <cell r="H130">
            <v>746.81733762687418</v>
          </cell>
          <cell r="I130">
            <v>712.61415525113227</v>
          </cell>
          <cell r="J130">
            <v>693.21795180920219</v>
          </cell>
          <cell r="K130">
            <v>670.22211331548374</v>
          </cell>
          <cell r="L130">
            <v>643.6266397699726</v>
          </cell>
          <cell r="M130">
            <v>613.43153117270822</v>
          </cell>
          <cell r="N130">
            <v>579.63678752365013</v>
          </cell>
          <cell r="O130">
            <v>578.89498738880036</v>
          </cell>
          <cell r="P130">
            <v>573.27415594361116</v>
          </cell>
          <cell r="Q130">
            <v>562.77429318809038</v>
          </cell>
          <cell r="R130">
            <v>547.39539912221437</v>
          </cell>
          <cell r="S130">
            <v>527.13747374599984</v>
          </cell>
          <cell r="T130">
            <v>508.91545321169565</v>
          </cell>
          <cell r="U130">
            <v>487.75740898550708</v>
          </cell>
          <cell r="V130">
            <v>463.66334106745865</v>
          </cell>
          <cell r="W130">
            <v>436.63324945751151</v>
          </cell>
          <cell r="X130">
            <v>406.66713415568563</v>
          </cell>
          <cell r="Y130">
            <v>382.32288786138321</v>
          </cell>
          <cell r="Z130">
            <v>356.52173881762411</v>
          </cell>
          <cell r="AA130">
            <v>329.2636870244329</v>
          </cell>
          <cell r="AB130">
            <v>300.54873248178433</v>
          </cell>
          <cell r="AC130">
            <v>270.37687518969852</v>
          </cell>
          <cell r="AD130">
            <v>247.55933903156756</v>
          </cell>
          <cell r="AE130">
            <v>224.18137658421693</v>
          </cell>
          <cell r="AF130">
            <v>200.24298784764761</v>
          </cell>
          <cell r="AG130">
            <v>175.74417282185905</v>
          </cell>
          <cell r="AH130">
            <v>150.68493150685131</v>
          </cell>
        </row>
        <row r="131">
          <cell r="B131" t="str">
            <v>e-hydrogen - OPEX - Global - USD/ton fuel</v>
          </cell>
          <cell r="G131">
            <v>778.63990898977545</v>
          </cell>
          <cell r="H131">
            <v>746.81733762687418</v>
          </cell>
          <cell r="I131">
            <v>712.61415525113227</v>
          </cell>
          <cell r="J131">
            <v>693.21795180920219</v>
          </cell>
          <cell r="K131">
            <v>670.22211331548374</v>
          </cell>
          <cell r="L131">
            <v>643.6266397699726</v>
          </cell>
          <cell r="M131">
            <v>613.43153117270822</v>
          </cell>
          <cell r="N131">
            <v>579.63678752365013</v>
          </cell>
          <cell r="O131">
            <v>578.89498738880036</v>
          </cell>
          <cell r="P131">
            <v>573.27415594361116</v>
          </cell>
          <cell r="Q131">
            <v>562.77429318809038</v>
          </cell>
          <cell r="R131">
            <v>547.39539912221437</v>
          </cell>
          <cell r="S131">
            <v>527.13747374599984</v>
          </cell>
          <cell r="T131">
            <v>508.91545321169565</v>
          </cell>
          <cell r="U131">
            <v>487.75740898550708</v>
          </cell>
          <cell r="V131">
            <v>463.66334106745865</v>
          </cell>
          <cell r="W131">
            <v>436.63324945751151</v>
          </cell>
          <cell r="X131">
            <v>406.66713415568563</v>
          </cell>
          <cell r="Y131">
            <v>382.32288786138321</v>
          </cell>
          <cell r="Z131">
            <v>356.52173881762411</v>
          </cell>
          <cell r="AA131">
            <v>329.2636870244329</v>
          </cell>
          <cell r="AB131">
            <v>300.54873248178433</v>
          </cell>
          <cell r="AC131">
            <v>270.37687518969852</v>
          </cell>
          <cell r="AD131">
            <v>247.55933903156756</v>
          </cell>
          <cell r="AE131">
            <v>224.18137658421693</v>
          </cell>
          <cell r="AF131">
            <v>200.24298784764761</v>
          </cell>
          <cell r="AG131">
            <v>175.74417282185905</v>
          </cell>
          <cell r="AH131">
            <v>150.68493150685131</v>
          </cell>
        </row>
        <row r="132">
          <cell r="B132" t="str">
            <v/>
          </cell>
        </row>
        <row r="133">
          <cell r="B133" t="str">
            <v>e-hydrogen - Finance cost including feedstock finance cost - Africa - USD/ton fuel</v>
          </cell>
          <cell r="G133">
            <v>423.4664833247287</v>
          </cell>
          <cell r="H133">
            <v>407.9080597487058</v>
          </cell>
          <cell r="I133">
            <v>391.93778538812398</v>
          </cell>
          <cell r="J133">
            <v>383.67894989578463</v>
          </cell>
          <cell r="K133">
            <v>374.65498754747659</v>
          </cell>
          <cell r="L133">
            <v>364.86589834320779</v>
          </cell>
          <cell r="M133">
            <v>354.31168228298088</v>
          </cell>
          <cell r="N133">
            <v>342.99233936678479</v>
          </cell>
          <cell r="O133">
            <v>350.20750340232428</v>
          </cell>
          <cell r="P133">
            <v>355.6383130013013</v>
          </cell>
          <cell r="Q133">
            <v>359.28476816371159</v>
          </cell>
          <cell r="R133">
            <v>361.14686888954691</v>
          </cell>
          <cell r="S133">
            <v>361.22461517882164</v>
          </cell>
          <cell r="T133">
            <v>358.40192634457429</v>
          </cell>
          <cell r="U133">
            <v>354.10652475046084</v>
          </cell>
          <cell r="V133">
            <v>348.33841039649622</v>
          </cell>
          <cell r="W133">
            <v>341.09758328266571</v>
          </cell>
          <cell r="X133">
            <v>332.38404340896386</v>
          </cell>
          <cell r="Y133">
            <v>321.22576094613464</v>
          </cell>
          <cell r="Z133">
            <v>308.95623454830633</v>
          </cell>
          <cell r="AA133">
            <v>295.57546421549114</v>
          </cell>
          <cell r="AB133">
            <v>281.08344994768112</v>
          </cell>
          <cell r="AC133">
            <v>265.48019174487365</v>
          </cell>
          <cell r="AD133">
            <v>248.55741402200647</v>
          </cell>
          <cell r="AE133">
            <v>230.93955849750063</v>
          </cell>
          <cell r="AF133">
            <v>212.62662517135635</v>
          </cell>
          <cell r="AG133">
            <v>193.61861404357347</v>
          </cell>
          <cell r="AH133">
            <v>173.9155251141523</v>
          </cell>
        </row>
        <row r="134">
          <cell r="B134" t="str">
            <v>e-hydrogen - Finance cost including feedstock finance cost - Americas - USD/ton fuel</v>
          </cell>
          <cell r="G134">
            <v>423.4664833247287</v>
          </cell>
          <cell r="H134">
            <v>407.9080597487058</v>
          </cell>
          <cell r="I134">
            <v>391.93778538812398</v>
          </cell>
          <cell r="J134">
            <v>383.67894989578463</v>
          </cell>
          <cell r="K134">
            <v>374.65498754747659</v>
          </cell>
          <cell r="L134">
            <v>364.86589834320779</v>
          </cell>
          <cell r="M134">
            <v>354.31168228298088</v>
          </cell>
          <cell r="N134">
            <v>342.99233936678479</v>
          </cell>
          <cell r="O134">
            <v>350.20750340232428</v>
          </cell>
          <cell r="P134">
            <v>355.6383130013013</v>
          </cell>
          <cell r="Q134">
            <v>359.28476816371159</v>
          </cell>
          <cell r="R134">
            <v>361.14686888954691</v>
          </cell>
          <cell r="S134">
            <v>361.22461517882164</v>
          </cell>
          <cell r="T134">
            <v>358.40192634457429</v>
          </cell>
          <cell r="U134">
            <v>354.10652475046084</v>
          </cell>
          <cell r="V134">
            <v>348.33841039649622</v>
          </cell>
          <cell r="W134">
            <v>341.09758328266571</v>
          </cell>
          <cell r="X134">
            <v>332.38404340896386</v>
          </cell>
          <cell r="Y134">
            <v>321.22576094613464</v>
          </cell>
          <cell r="Z134">
            <v>308.95623454830633</v>
          </cell>
          <cell r="AA134">
            <v>295.57546421549114</v>
          </cell>
          <cell r="AB134">
            <v>281.08344994768112</v>
          </cell>
          <cell r="AC134">
            <v>265.48019174487365</v>
          </cell>
          <cell r="AD134">
            <v>248.55741402200647</v>
          </cell>
          <cell r="AE134">
            <v>230.93955849750063</v>
          </cell>
          <cell r="AF134">
            <v>212.62662517135635</v>
          </cell>
          <cell r="AG134">
            <v>193.61861404357347</v>
          </cell>
          <cell r="AH134">
            <v>173.9155251141523</v>
          </cell>
        </row>
        <row r="135">
          <cell r="B135" t="str">
            <v>e-hydrogen - Finance cost including feedstock finance cost - Asia - USD/ton fuel</v>
          </cell>
          <cell r="G135">
            <v>423.4664833247287</v>
          </cell>
          <cell r="H135">
            <v>407.9080597487058</v>
          </cell>
          <cell r="I135">
            <v>391.93778538812398</v>
          </cell>
          <cell r="J135">
            <v>383.67894989578463</v>
          </cell>
          <cell r="K135">
            <v>374.65498754747659</v>
          </cell>
          <cell r="L135">
            <v>364.86589834320779</v>
          </cell>
          <cell r="M135">
            <v>354.31168228298088</v>
          </cell>
          <cell r="N135">
            <v>342.99233936678479</v>
          </cell>
          <cell r="O135">
            <v>350.20750340232428</v>
          </cell>
          <cell r="P135">
            <v>355.6383130013013</v>
          </cell>
          <cell r="Q135">
            <v>359.28476816371159</v>
          </cell>
          <cell r="R135">
            <v>361.14686888954691</v>
          </cell>
          <cell r="S135">
            <v>361.22461517882164</v>
          </cell>
          <cell r="T135">
            <v>358.40192634457429</v>
          </cell>
          <cell r="U135">
            <v>354.10652475046084</v>
          </cell>
          <cell r="V135">
            <v>348.33841039649622</v>
          </cell>
          <cell r="W135">
            <v>341.09758328266571</v>
          </cell>
          <cell r="X135">
            <v>332.38404340896386</v>
          </cell>
          <cell r="Y135">
            <v>321.22576094613464</v>
          </cell>
          <cell r="Z135">
            <v>308.95623454830633</v>
          </cell>
          <cell r="AA135">
            <v>295.57546421549114</v>
          </cell>
          <cell r="AB135">
            <v>281.08344994768112</v>
          </cell>
          <cell r="AC135">
            <v>265.48019174487365</v>
          </cell>
          <cell r="AD135">
            <v>248.55741402200647</v>
          </cell>
          <cell r="AE135">
            <v>230.93955849750063</v>
          </cell>
          <cell r="AF135">
            <v>212.62662517135635</v>
          </cell>
          <cell r="AG135">
            <v>193.61861404357347</v>
          </cell>
          <cell r="AH135">
            <v>173.9155251141523</v>
          </cell>
        </row>
        <row r="136">
          <cell r="B136" t="str">
            <v>e-hydrogen - Finance cost including feedstock finance cost - Europe - USD/ton fuel</v>
          </cell>
          <cell r="G136">
            <v>423.4664833247287</v>
          </cell>
          <cell r="H136">
            <v>407.9080597487058</v>
          </cell>
          <cell r="I136">
            <v>391.93778538812398</v>
          </cell>
          <cell r="J136">
            <v>383.67894989578463</v>
          </cell>
          <cell r="K136">
            <v>374.65498754747659</v>
          </cell>
          <cell r="L136">
            <v>364.86589834320779</v>
          </cell>
          <cell r="M136">
            <v>354.31168228298088</v>
          </cell>
          <cell r="N136">
            <v>342.99233936678479</v>
          </cell>
          <cell r="O136">
            <v>350.20750340232428</v>
          </cell>
          <cell r="P136">
            <v>355.6383130013013</v>
          </cell>
          <cell r="Q136">
            <v>359.28476816371159</v>
          </cell>
          <cell r="R136">
            <v>361.14686888954691</v>
          </cell>
          <cell r="S136">
            <v>361.22461517882164</v>
          </cell>
          <cell r="T136">
            <v>358.40192634457429</v>
          </cell>
          <cell r="U136">
            <v>354.10652475046084</v>
          </cell>
          <cell r="V136">
            <v>348.33841039649622</v>
          </cell>
          <cell r="W136">
            <v>341.09758328266571</v>
          </cell>
          <cell r="X136">
            <v>332.38404340896386</v>
          </cell>
          <cell r="Y136">
            <v>321.22576094613464</v>
          </cell>
          <cell r="Z136">
            <v>308.95623454830633</v>
          </cell>
          <cell r="AA136">
            <v>295.57546421549114</v>
          </cell>
          <cell r="AB136">
            <v>281.08344994768112</v>
          </cell>
          <cell r="AC136">
            <v>265.48019174487365</v>
          </cell>
          <cell r="AD136">
            <v>248.55741402200647</v>
          </cell>
          <cell r="AE136">
            <v>230.93955849750063</v>
          </cell>
          <cell r="AF136">
            <v>212.62662517135635</v>
          </cell>
          <cell r="AG136">
            <v>193.61861404357347</v>
          </cell>
          <cell r="AH136">
            <v>173.9155251141523</v>
          </cell>
        </row>
        <row r="137">
          <cell r="B137" t="str">
            <v>e-hydrogen - Finance cost including feedstock finance cost - Middle East - USD/ton fuel</v>
          </cell>
          <cell r="G137">
            <v>423.4664833247287</v>
          </cell>
          <cell r="H137">
            <v>407.9080597487058</v>
          </cell>
          <cell r="I137">
            <v>391.93778538812398</v>
          </cell>
          <cell r="J137">
            <v>383.67894989578463</v>
          </cell>
          <cell r="K137">
            <v>374.65498754747659</v>
          </cell>
          <cell r="L137">
            <v>364.86589834320779</v>
          </cell>
          <cell r="M137">
            <v>354.31168228298088</v>
          </cell>
          <cell r="N137">
            <v>342.99233936678479</v>
          </cell>
          <cell r="O137">
            <v>350.20750340232428</v>
          </cell>
          <cell r="P137">
            <v>355.6383130013013</v>
          </cell>
          <cell r="Q137">
            <v>359.28476816371159</v>
          </cell>
          <cell r="R137">
            <v>361.14686888954691</v>
          </cell>
          <cell r="S137">
            <v>361.22461517882164</v>
          </cell>
          <cell r="T137">
            <v>358.40192634457429</v>
          </cell>
          <cell r="U137">
            <v>354.10652475046084</v>
          </cell>
          <cell r="V137">
            <v>348.33841039649622</v>
          </cell>
          <cell r="W137">
            <v>341.09758328266571</v>
          </cell>
          <cell r="X137">
            <v>332.38404340896386</v>
          </cell>
          <cell r="Y137">
            <v>321.22576094613464</v>
          </cell>
          <cell r="Z137">
            <v>308.95623454830633</v>
          </cell>
          <cell r="AA137">
            <v>295.57546421549114</v>
          </cell>
          <cell r="AB137">
            <v>281.08344994768112</v>
          </cell>
          <cell r="AC137">
            <v>265.48019174487365</v>
          </cell>
          <cell r="AD137">
            <v>248.55741402200647</v>
          </cell>
          <cell r="AE137">
            <v>230.93955849750063</v>
          </cell>
          <cell r="AF137">
            <v>212.62662517135635</v>
          </cell>
          <cell r="AG137">
            <v>193.61861404357347</v>
          </cell>
          <cell r="AH137">
            <v>173.9155251141523</v>
          </cell>
        </row>
        <row r="138">
          <cell r="B138" t="str">
            <v>e-hydrogen - Finance cost - Africa - USD/ton fuel</v>
          </cell>
          <cell r="G138">
            <v>423.4664833247287</v>
          </cell>
          <cell r="H138">
            <v>407.9080597487058</v>
          </cell>
          <cell r="I138">
            <v>391.93778538812398</v>
          </cell>
          <cell r="J138">
            <v>383.67894989578463</v>
          </cell>
          <cell r="K138">
            <v>374.65498754747659</v>
          </cell>
          <cell r="L138">
            <v>364.86589834320779</v>
          </cell>
          <cell r="M138">
            <v>354.31168228298088</v>
          </cell>
          <cell r="N138">
            <v>342.99233936678479</v>
          </cell>
          <cell r="O138">
            <v>350.20750340232428</v>
          </cell>
          <cell r="P138">
            <v>355.6383130013013</v>
          </cell>
          <cell r="Q138">
            <v>359.28476816371159</v>
          </cell>
          <cell r="R138">
            <v>361.14686888954691</v>
          </cell>
          <cell r="S138">
            <v>361.22461517882164</v>
          </cell>
          <cell r="T138">
            <v>358.40192634457429</v>
          </cell>
          <cell r="U138">
            <v>354.10652475046084</v>
          </cell>
          <cell r="V138">
            <v>348.33841039649622</v>
          </cell>
          <cell r="W138">
            <v>341.09758328266571</v>
          </cell>
          <cell r="X138">
            <v>332.38404340896386</v>
          </cell>
          <cell r="Y138">
            <v>321.22576094613464</v>
          </cell>
          <cell r="Z138">
            <v>308.95623454830633</v>
          </cell>
          <cell r="AA138">
            <v>295.57546421549114</v>
          </cell>
          <cell r="AB138">
            <v>281.08344994768112</v>
          </cell>
          <cell r="AC138">
            <v>265.48019174487365</v>
          </cell>
          <cell r="AD138">
            <v>248.55741402200647</v>
          </cell>
          <cell r="AE138">
            <v>230.93955849750063</v>
          </cell>
          <cell r="AF138">
            <v>212.62662517135635</v>
          </cell>
          <cell r="AG138">
            <v>193.61861404357347</v>
          </cell>
          <cell r="AH138">
            <v>173.9155251141523</v>
          </cell>
        </row>
        <row r="139">
          <cell r="B139" t="str">
            <v>e-hydrogen - Finance cost - Americas - USD/ton fuel</v>
          </cell>
          <cell r="G139">
            <v>423.4664833247287</v>
          </cell>
          <cell r="H139">
            <v>407.9080597487058</v>
          </cell>
          <cell r="I139">
            <v>391.93778538812398</v>
          </cell>
          <cell r="J139">
            <v>383.67894989578463</v>
          </cell>
          <cell r="K139">
            <v>374.65498754747659</v>
          </cell>
          <cell r="L139">
            <v>364.86589834320779</v>
          </cell>
          <cell r="M139">
            <v>354.31168228298088</v>
          </cell>
          <cell r="N139">
            <v>342.99233936678479</v>
          </cell>
          <cell r="O139">
            <v>350.20750340232428</v>
          </cell>
          <cell r="P139">
            <v>355.6383130013013</v>
          </cell>
          <cell r="Q139">
            <v>359.28476816371159</v>
          </cell>
          <cell r="R139">
            <v>361.14686888954691</v>
          </cell>
          <cell r="S139">
            <v>361.22461517882164</v>
          </cell>
          <cell r="T139">
            <v>358.40192634457429</v>
          </cell>
          <cell r="U139">
            <v>354.10652475046084</v>
          </cell>
          <cell r="V139">
            <v>348.33841039649622</v>
          </cell>
          <cell r="W139">
            <v>341.09758328266571</v>
          </cell>
          <cell r="X139">
            <v>332.38404340896386</v>
          </cell>
          <cell r="Y139">
            <v>321.22576094613464</v>
          </cell>
          <cell r="Z139">
            <v>308.95623454830633</v>
          </cell>
          <cell r="AA139">
            <v>295.57546421549114</v>
          </cell>
          <cell r="AB139">
            <v>281.08344994768112</v>
          </cell>
          <cell r="AC139">
            <v>265.48019174487365</v>
          </cell>
          <cell r="AD139">
            <v>248.55741402200647</v>
          </cell>
          <cell r="AE139">
            <v>230.93955849750063</v>
          </cell>
          <cell r="AF139">
            <v>212.62662517135635</v>
          </cell>
          <cell r="AG139">
            <v>193.61861404357347</v>
          </cell>
          <cell r="AH139">
            <v>173.9155251141523</v>
          </cell>
        </row>
        <row r="140">
          <cell r="B140" t="str">
            <v>e-hydrogen - Finance cost - Asia - USD/ton fuel</v>
          </cell>
          <cell r="G140">
            <v>423.4664833247287</v>
          </cell>
          <cell r="H140">
            <v>407.9080597487058</v>
          </cell>
          <cell r="I140">
            <v>391.93778538812398</v>
          </cell>
          <cell r="J140">
            <v>383.67894989578463</v>
          </cell>
          <cell r="K140">
            <v>374.65498754747659</v>
          </cell>
          <cell r="L140">
            <v>364.86589834320779</v>
          </cell>
          <cell r="M140">
            <v>354.31168228298088</v>
          </cell>
          <cell r="N140">
            <v>342.99233936678479</v>
          </cell>
          <cell r="O140">
            <v>350.20750340232428</v>
          </cell>
          <cell r="P140">
            <v>355.6383130013013</v>
          </cell>
          <cell r="Q140">
            <v>359.28476816371159</v>
          </cell>
          <cell r="R140">
            <v>361.14686888954691</v>
          </cell>
          <cell r="S140">
            <v>361.22461517882164</v>
          </cell>
          <cell r="T140">
            <v>358.40192634457429</v>
          </cell>
          <cell r="U140">
            <v>354.10652475046084</v>
          </cell>
          <cell r="V140">
            <v>348.33841039649622</v>
          </cell>
          <cell r="W140">
            <v>341.09758328266571</v>
          </cell>
          <cell r="X140">
            <v>332.38404340896386</v>
          </cell>
          <cell r="Y140">
            <v>321.22576094613464</v>
          </cell>
          <cell r="Z140">
            <v>308.95623454830633</v>
          </cell>
          <cell r="AA140">
            <v>295.57546421549114</v>
          </cell>
          <cell r="AB140">
            <v>281.08344994768112</v>
          </cell>
          <cell r="AC140">
            <v>265.48019174487365</v>
          </cell>
          <cell r="AD140">
            <v>248.55741402200647</v>
          </cell>
          <cell r="AE140">
            <v>230.93955849750063</v>
          </cell>
          <cell r="AF140">
            <v>212.62662517135635</v>
          </cell>
          <cell r="AG140">
            <v>193.61861404357347</v>
          </cell>
          <cell r="AH140">
            <v>173.9155251141523</v>
          </cell>
        </row>
        <row r="141">
          <cell r="B141" t="str">
            <v>e-hydrogen - Finance cost - Europe - USD/ton fuel</v>
          </cell>
          <cell r="G141">
            <v>423.4664833247287</v>
          </cell>
          <cell r="H141">
            <v>407.9080597487058</v>
          </cell>
          <cell r="I141">
            <v>391.93778538812398</v>
          </cell>
          <cell r="J141">
            <v>383.67894989578463</v>
          </cell>
          <cell r="K141">
            <v>374.65498754747659</v>
          </cell>
          <cell r="L141">
            <v>364.86589834320779</v>
          </cell>
          <cell r="M141">
            <v>354.31168228298088</v>
          </cell>
          <cell r="N141">
            <v>342.99233936678479</v>
          </cell>
          <cell r="O141">
            <v>350.20750340232428</v>
          </cell>
          <cell r="P141">
            <v>355.6383130013013</v>
          </cell>
          <cell r="Q141">
            <v>359.28476816371159</v>
          </cell>
          <cell r="R141">
            <v>361.14686888954691</v>
          </cell>
          <cell r="S141">
            <v>361.22461517882164</v>
          </cell>
          <cell r="T141">
            <v>358.40192634457429</v>
          </cell>
          <cell r="U141">
            <v>354.10652475046084</v>
          </cell>
          <cell r="V141">
            <v>348.33841039649622</v>
          </cell>
          <cell r="W141">
            <v>341.09758328266571</v>
          </cell>
          <cell r="X141">
            <v>332.38404340896386</v>
          </cell>
          <cell r="Y141">
            <v>321.22576094613464</v>
          </cell>
          <cell r="Z141">
            <v>308.95623454830633</v>
          </cell>
          <cell r="AA141">
            <v>295.57546421549114</v>
          </cell>
          <cell r="AB141">
            <v>281.08344994768112</v>
          </cell>
          <cell r="AC141">
            <v>265.48019174487365</v>
          </cell>
          <cell r="AD141">
            <v>248.55741402200647</v>
          </cell>
          <cell r="AE141">
            <v>230.93955849750063</v>
          </cell>
          <cell r="AF141">
            <v>212.62662517135635</v>
          </cell>
          <cell r="AG141">
            <v>193.61861404357347</v>
          </cell>
          <cell r="AH141">
            <v>173.9155251141523</v>
          </cell>
        </row>
        <row r="142">
          <cell r="B142" t="str">
            <v>e-hydrogen - Finance cost - Middle East - USD/ton fuel</v>
          </cell>
          <cell r="G142">
            <v>423.4664833247287</v>
          </cell>
          <cell r="H142">
            <v>407.9080597487058</v>
          </cell>
          <cell r="I142">
            <v>391.93778538812398</v>
          </cell>
          <cell r="J142">
            <v>383.67894989578463</v>
          </cell>
          <cell r="K142">
            <v>374.65498754747659</v>
          </cell>
          <cell r="L142">
            <v>364.86589834320779</v>
          </cell>
          <cell r="M142">
            <v>354.31168228298088</v>
          </cell>
          <cell r="N142">
            <v>342.99233936678479</v>
          </cell>
          <cell r="O142">
            <v>350.20750340232428</v>
          </cell>
          <cell r="P142">
            <v>355.6383130013013</v>
          </cell>
          <cell r="Q142">
            <v>359.28476816371159</v>
          </cell>
          <cell r="R142">
            <v>361.14686888954691</v>
          </cell>
          <cell r="S142">
            <v>361.22461517882164</v>
          </cell>
          <cell r="T142">
            <v>358.40192634457429</v>
          </cell>
          <cell r="U142">
            <v>354.10652475046084</v>
          </cell>
          <cell r="V142">
            <v>348.33841039649622</v>
          </cell>
          <cell r="W142">
            <v>341.09758328266571</v>
          </cell>
          <cell r="X142">
            <v>332.38404340896386</v>
          </cell>
          <cell r="Y142">
            <v>321.22576094613464</v>
          </cell>
          <cell r="Z142">
            <v>308.95623454830633</v>
          </cell>
          <cell r="AA142">
            <v>295.57546421549114</v>
          </cell>
          <cell r="AB142">
            <v>281.08344994768112</v>
          </cell>
          <cell r="AC142">
            <v>265.48019174487365</v>
          </cell>
          <cell r="AD142">
            <v>248.55741402200647</v>
          </cell>
          <cell r="AE142">
            <v>230.93955849750063</v>
          </cell>
          <cell r="AF142">
            <v>212.62662517135635</v>
          </cell>
          <cell r="AG142">
            <v>193.61861404357347</v>
          </cell>
          <cell r="AH142">
            <v>173.9155251141523</v>
          </cell>
        </row>
        <row r="143">
          <cell r="B143" t="str">
            <v/>
          </cell>
        </row>
        <row r="144">
          <cell r="B144" t="str">
            <v>e-hydrogen - Energy cost including feedstock energy cost - Africa - USD/ton fuel</v>
          </cell>
          <cell r="G144">
            <v>3099.5612991873763</v>
          </cell>
          <cell r="H144">
            <v>2732.4132802800364</v>
          </cell>
          <cell r="I144">
            <v>2365.6357954445402</v>
          </cell>
          <cell r="J144">
            <v>2259.8307669024107</v>
          </cell>
          <cell r="K144">
            <v>2153.7044536588996</v>
          </cell>
          <cell r="L144">
            <v>2047.3596425558658</v>
          </cell>
          <cell r="M144">
            <v>1940.8991204352139</v>
          </cell>
          <cell r="N144">
            <v>1834.4256741388213</v>
          </cell>
          <cell r="O144">
            <v>1766.906863088881</v>
          </cell>
          <cell r="P144">
            <v>1699.5562858180001</v>
          </cell>
          <cell r="Q144">
            <v>1632.4293059626311</v>
          </cell>
          <cell r="R144">
            <v>1565.5812871593046</v>
          </cell>
          <cell r="S144">
            <v>1499.0675930445595</v>
          </cell>
          <cell r="T144">
            <v>1461.103444514785</v>
          </cell>
          <cell r="U144">
            <v>1423.2294155753539</v>
          </cell>
          <cell r="V144">
            <v>1385.4635715912545</v>
          </cell>
          <cell r="W144">
            <v>1347.8239779273658</v>
          </cell>
          <cell r="X144">
            <v>1310.3286999486622</v>
          </cell>
          <cell r="Y144">
            <v>1268.8639116156805</v>
          </cell>
          <cell r="Z144">
            <v>1228.2209583369151</v>
          </cell>
          <cell r="AA144">
            <v>1188.389275973916</v>
          </cell>
          <cell r="AB144">
            <v>1149.358300388204</v>
          </cell>
          <cell r="AC144">
            <v>1111.1174674413141</v>
          </cell>
          <cell r="AD144">
            <v>1087.5630983722288</v>
          </cell>
          <cell r="AE144">
            <v>1064.4724737938868</v>
          </cell>
          <cell r="AF144">
            <v>1041.8389367539883</v>
          </cell>
          <cell r="AG144">
            <v>1019.6558303002557</v>
          </cell>
          <cell r="AH144">
            <v>997.91649748041243</v>
          </cell>
        </row>
        <row r="145">
          <cell r="B145" t="str">
            <v>e-hydrogen - Energy cost including feedstock energy cost - Americas - USD/ton fuel</v>
          </cell>
          <cell r="G145">
            <v>1947.5004860168665</v>
          </cell>
          <cell r="H145">
            <v>1904.9552945225707</v>
          </cell>
          <cell r="I145">
            <v>1862.1299143132335</v>
          </cell>
          <cell r="J145">
            <v>1790.4849584081528</v>
          </cell>
          <cell r="K145">
            <v>1718.5318298328032</v>
          </cell>
          <cell r="L145">
            <v>1646.3395919382333</v>
          </cell>
          <cell r="M145">
            <v>1573.977308075574</v>
          </cell>
          <cell r="N145">
            <v>1501.5140415958033</v>
          </cell>
          <cell r="O145">
            <v>1459.4943390819662</v>
          </cell>
          <cell r="P145">
            <v>1417.42673746174</v>
          </cell>
          <cell r="Q145">
            <v>1375.343306161586</v>
          </cell>
          <cell r="R145">
            <v>1333.2761146079704</v>
          </cell>
          <cell r="S145">
            <v>1291.2572322274164</v>
          </cell>
          <cell r="T145">
            <v>1255.142470677443</v>
          </cell>
          <cell r="U145">
            <v>1219.1662682992981</v>
          </cell>
          <cell r="V145">
            <v>1183.3466471378301</v>
          </cell>
          <cell r="W145">
            <v>1147.7016292377957</v>
          </cell>
          <cell r="X145">
            <v>1112.249236644011</v>
          </cell>
          <cell r="Y145">
            <v>1088.267014678506</v>
          </cell>
          <cell r="Z145">
            <v>1064.6911902477218</v>
          </cell>
          <cell r="AA145">
            <v>1041.5176343342414</v>
          </cell>
          <cell r="AB145">
            <v>1018.7422179205867</v>
          </cell>
          <cell r="AC145">
            <v>996.36081198933221</v>
          </cell>
          <cell r="AD145">
            <v>978.57722665326708</v>
          </cell>
          <cell r="AE145">
            <v>961.13622252163054</v>
          </cell>
          <cell r="AF145">
            <v>944.03380034651195</v>
          </cell>
          <cell r="AG145">
            <v>927.26596088000963</v>
          </cell>
          <cell r="AH145">
            <v>910.82870487422178</v>
          </cell>
        </row>
        <row r="146">
          <cell r="B146" t="str">
            <v>e-hydrogen - Energy cost including feedstock energy cost - Asia - USD/ton fuel</v>
          </cell>
          <cell r="G146">
            <v>3447.3564542551999</v>
          </cell>
          <cell r="H146">
            <v>3140.7703542039226</v>
          </cell>
          <cell r="I146">
            <v>2834.3188986756909</v>
          </cell>
          <cell r="J146">
            <v>2720.3975511402173</v>
          </cell>
          <cell r="K146">
            <v>2606.030270496603</v>
          </cell>
          <cell r="L146">
            <v>2491.3271348083481</v>
          </cell>
          <cell r="M146">
            <v>2376.398222139183</v>
          </cell>
          <cell r="N146">
            <v>2261.3536105527155</v>
          </cell>
          <cell r="O146">
            <v>2174.174811880971</v>
          </cell>
          <cell r="P146">
            <v>2087.2586957362041</v>
          </cell>
          <cell r="Q146">
            <v>2000.6774571599242</v>
          </cell>
          <cell r="R146">
            <v>1914.5032911936005</v>
          </cell>
          <cell r="S146">
            <v>1828.8083928788642</v>
          </cell>
          <cell r="T146">
            <v>1777.7675153050047</v>
          </cell>
          <cell r="U146">
            <v>1726.9209427057385</v>
          </cell>
          <cell r="V146">
            <v>1676.2941215017977</v>
          </cell>
          <cell r="W146">
            <v>1625.912498113727</v>
          </cell>
          <cell r="X146">
            <v>1575.8015189622374</v>
          </cell>
          <cell r="Y146">
            <v>1520.2732075110976</v>
          </cell>
          <cell r="Z146">
            <v>1465.8802784143245</v>
          </cell>
          <cell r="AA146">
            <v>1412.6075841955894</v>
          </cell>
          <cell r="AB146">
            <v>1360.4399773785319</v>
          </cell>
          <cell r="AC146">
            <v>1309.362310486812</v>
          </cell>
          <cell r="AD146">
            <v>1279.78659507924</v>
          </cell>
          <cell r="AE146">
            <v>1250.7972858392457</v>
          </cell>
          <cell r="AF146">
            <v>1222.3854646144603</v>
          </cell>
          <cell r="AG146">
            <v>1194.5422132525091</v>
          </cell>
          <cell r="AH146">
            <v>1167.2586136010173</v>
          </cell>
        </row>
        <row r="147">
          <cell r="B147" t="str">
            <v>e-hydrogen - Energy cost including feedstock energy cost - Europe - USD/ton fuel</v>
          </cell>
          <cell r="G147">
            <v>2566.3701470170417</v>
          </cell>
          <cell r="H147">
            <v>2452.9083112298426</v>
          </cell>
          <cell r="I147">
            <v>2339.2337535448082</v>
          </cell>
          <cell r="J147">
            <v>2245.5167986914189</v>
          </cell>
          <cell r="K147">
            <v>2151.4303552043284</v>
          </cell>
          <cell r="L147">
            <v>2057.064962685201</v>
          </cell>
          <cell r="M147">
            <v>1962.5111607356753</v>
          </cell>
          <cell r="N147">
            <v>1867.8594889573847</v>
          </cell>
          <cell r="O147">
            <v>1819.1813083833658</v>
          </cell>
          <cell r="P147">
            <v>1770.3931872655958</v>
          </cell>
          <cell r="Q147">
            <v>1721.5314255225589</v>
          </cell>
          <cell r="R147">
            <v>1672.6323230728049</v>
          </cell>
          <cell r="S147">
            <v>1623.7321798349606</v>
          </cell>
          <cell r="T147">
            <v>1588.9118560091065</v>
          </cell>
          <cell r="U147">
            <v>1554.0766691650888</v>
          </cell>
          <cell r="V147">
            <v>1519.2416441496489</v>
          </cell>
          <cell r="W147">
            <v>1484.4218058093938</v>
          </cell>
          <cell r="X147">
            <v>1449.6321789910207</v>
          </cell>
          <cell r="Y147">
            <v>1409.6608085718863</v>
          </cell>
          <cell r="Z147">
            <v>1370.4453980421019</v>
          </cell>
          <cell r="AA147">
            <v>1331.9768062643011</v>
          </cell>
          <cell r="AB147">
            <v>1294.245892101027</v>
          </cell>
          <cell r="AC147">
            <v>1257.2435144149015</v>
          </cell>
          <cell r="AD147">
            <v>1228.8458546695026</v>
          </cell>
          <cell r="AE147">
            <v>1201.0112417420796</v>
          </cell>
          <cell r="AF147">
            <v>1173.7311129385466</v>
          </cell>
          <cell r="AG147">
            <v>1146.9969055648128</v>
          </cell>
          <cell r="AH147">
            <v>1120.8000569267858</v>
          </cell>
        </row>
        <row r="148">
          <cell r="B148" t="str">
            <v>e-hydrogen - Energy cost including feedstock energy cost - Middle East - USD/ton fuel</v>
          </cell>
          <cell r="G148">
            <v>1965.1844538611451</v>
          </cell>
          <cell r="H148">
            <v>1876.2839560959403</v>
          </cell>
          <cell r="I148">
            <v>1787.2260693119242</v>
          </cell>
          <cell r="J148">
            <v>1726.4421516736113</v>
          </cell>
          <cell r="K148">
            <v>1665.3245710268734</v>
          </cell>
          <cell r="L148">
            <v>1603.9314924493679</v>
          </cell>
          <cell r="M148">
            <v>1542.3210810188079</v>
          </cell>
          <cell r="N148">
            <v>1480.5515018128272</v>
          </cell>
          <cell r="O148">
            <v>1431.1659603843768</v>
          </cell>
          <cell r="P148">
            <v>1381.8446196834898</v>
          </cell>
          <cell r="Q148">
            <v>1332.6270545048401</v>
          </cell>
          <cell r="R148">
            <v>1283.5528396431546</v>
          </cell>
          <cell r="S148">
            <v>1234.6615498931842</v>
          </cell>
          <cell r="T148">
            <v>1204.9513526944327</v>
          </cell>
          <cell r="U148">
            <v>1175.287571490569</v>
          </cell>
          <cell r="V148">
            <v>1145.6839621175516</v>
          </cell>
          <cell r="W148">
            <v>1116.1542804112171</v>
          </cell>
          <cell r="X148">
            <v>1086.7122822074946</v>
          </cell>
          <cell r="Y148">
            <v>1048.8524441656205</v>
          </cell>
          <cell r="Z148">
            <v>1011.7643278450553</v>
          </cell>
          <cell r="AA148">
            <v>975.43767435152495</v>
          </cell>
          <cell r="AB148">
            <v>939.86222479072671</v>
          </cell>
          <cell r="AC148">
            <v>905.02772026837658</v>
          </cell>
          <cell r="AD148">
            <v>884.58478387908167</v>
          </cell>
          <cell r="AE148">
            <v>864.54717603247877</v>
          </cell>
          <cell r="AF148">
            <v>844.90873235959646</v>
          </cell>
          <cell r="AG148">
            <v>825.66328849147681</v>
          </cell>
          <cell r="AH148">
            <v>806.80468005916202</v>
          </cell>
        </row>
        <row r="149">
          <cell r="B149" t="str">
            <v>e-hydrogen - Energy cost - Africa - USD/ton fuel</v>
          </cell>
          <cell r="G149">
            <v>3099.5612991873763</v>
          </cell>
          <cell r="H149">
            <v>2732.4132802800364</v>
          </cell>
          <cell r="I149">
            <v>2365.6357954445402</v>
          </cell>
          <cell r="J149">
            <v>2259.8307669024107</v>
          </cell>
          <cell r="K149">
            <v>2153.7044536588996</v>
          </cell>
          <cell r="L149">
            <v>2047.3596425558658</v>
          </cell>
          <cell r="M149">
            <v>1940.8991204352139</v>
          </cell>
          <cell r="N149">
            <v>1834.4256741388213</v>
          </cell>
          <cell r="O149">
            <v>1766.906863088881</v>
          </cell>
          <cell r="P149">
            <v>1699.5562858180001</v>
          </cell>
          <cell r="Q149">
            <v>1632.4293059626311</v>
          </cell>
          <cell r="R149">
            <v>1565.5812871593046</v>
          </cell>
          <cell r="S149">
            <v>1499.0675930445595</v>
          </cell>
          <cell r="T149">
            <v>1461.103444514785</v>
          </cell>
          <cell r="U149">
            <v>1423.2294155753539</v>
          </cell>
          <cell r="V149">
            <v>1385.4635715912545</v>
          </cell>
          <cell r="W149">
            <v>1347.8239779273658</v>
          </cell>
          <cell r="X149">
            <v>1310.3286999486622</v>
          </cell>
          <cell r="Y149">
            <v>1268.8639116156805</v>
          </cell>
          <cell r="Z149">
            <v>1228.2209583369151</v>
          </cell>
          <cell r="AA149">
            <v>1188.389275973916</v>
          </cell>
          <cell r="AB149">
            <v>1149.358300388204</v>
          </cell>
          <cell r="AC149">
            <v>1111.1174674413141</v>
          </cell>
          <cell r="AD149">
            <v>1087.5630983722288</v>
          </cell>
          <cell r="AE149">
            <v>1064.4724737938868</v>
          </cell>
          <cell r="AF149">
            <v>1041.8389367539883</v>
          </cell>
          <cell r="AG149">
            <v>1019.6558303002557</v>
          </cell>
          <cell r="AH149">
            <v>997.91649748041243</v>
          </cell>
        </row>
        <row r="150">
          <cell r="B150" t="str">
            <v>e-hydrogen - Energy cost - Americas - USD/ton fuel</v>
          </cell>
          <cell r="G150">
            <v>1947.5004860168665</v>
          </cell>
          <cell r="H150">
            <v>1904.9552945225707</v>
          </cell>
          <cell r="I150">
            <v>1862.1299143132335</v>
          </cell>
          <cell r="J150">
            <v>1790.4849584081528</v>
          </cell>
          <cell r="K150">
            <v>1718.5318298328032</v>
          </cell>
          <cell r="L150">
            <v>1646.3395919382333</v>
          </cell>
          <cell r="M150">
            <v>1573.977308075574</v>
          </cell>
          <cell r="N150">
            <v>1501.5140415958033</v>
          </cell>
          <cell r="O150">
            <v>1459.4943390819662</v>
          </cell>
          <cell r="P150">
            <v>1417.42673746174</v>
          </cell>
          <cell r="Q150">
            <v>1375.343306161586</v>
          </cell>
          <cell r="R150">
            <v>1333.2761146079704</v>
          </cell>
          <cell r="S150">
            <v>1291.2572322274164</v>
          </cell>
          <cell r="T150">
            <v>1255.142470677443</v>
          </cell>
          <cell r="U150">
            <v>1219.1662682992981</v>
          </cell>
          <cell r="V150">
            <v>1183.3466471378301</v>
          </cell>
          <cell r="W150">
            <v>1147.7016292377957</v>
          </cell>
          <cell r="X150">
            <v>1112.249236644011</v>
          </cell>
          <cell r="Y150">
            <v>1088.267014678506</v>
          </cell>
          <cell r="Z150">
            <v>1064.6911902477218</v>
          </cell>
          <cell r="AA150">
            <v>1041.5176343342414</v>
          </cell>
          <cell r="AB150">
            <v>1018.7422179205867</v>
          </cell>
          <cell r="AC150">
            <v>996.36081198933221</v>
          </cell>
          <cell r="AD150">
            <v>978.57722665326708</v>
          </cell>
          <cell r="AE150">
            <v>961.13622252163054</v>
          </cell>
          <cell r="AF150">
            <v>944.03380034651195</v>
          </cell>
          <cell r="AG150">
            <v>927.26596088000963</v>
          </cell>
          <cell r="AH150">
            <v>910.82870487422178</v>
          </cell>
        </row>
        <row r="151">
          <cell r="B151" t="str">
            <v>e-hydrogen - Energy cost - Asia - USD/ton fuel</v>
          </cell>
          <cell r="G151">
            <v>3447.3564542551999</v>
          </cell>
          <cell r="H151">
            <v>3140.7703542039226</v>
          </cell>
          <cell r="I151">
            <v>2834.3188986756909</v>
          </cell>
          <cell r="J151">
            <v>2720.3975511402173</v>
          </cell>
          <cell r="K151">
            <v>2606.030270496603</v>
          </cell>
          <cell r="L151">
            <v>2491.3271348083481</v>
          </cell>
          <cell r="M151">
            <v>2376.398222139183</v>
          </cell>
          <cell r="N151">
            <v>2261.3536105527155</v>
          </cell>
          <cell r="O151">
            <v>2174.174811880971</v>
          </cell>
          <cell r="P151">
            <v>2087.2586957362041</v>
          </cell>
          <cell r="Q151">
            <v>2000.6774571599242</v>
          </cell>
          <cell r="R151">
            <v>1914.5032911936005</v>
          </cell>
          <cell r="S151">
            <v>1828.8083928788642</v>
          </cell>
          <cell r="T151">
            <v>1777.7675153050047</v>
          </cell>
          <cell r="U151">
            <v>1726.9209427057385</v>
          </cell>
          <cell r="V151">
            <v>1676.2941215017977</v>
          </cell>
          <cell r="W151">
            <v>1625.912498113727</v>
          </cell>
          <cell r="X151">
            <v>1575.8015189622374</v>
          </cell>
          <cell r="Y151">
            <v>1520.2732075110976</v>
          </cell>
          <cell r="Z151">
            <v>1465.8802784143245</v>
          </cell>
          <cell r="AA151">
            <v>1412.6075841955894</v>
          </cell>
          <cell r="AB151">
            <v>1360.4399773785319</v>
          </cell>
          <cell r="AC151">
            <v>1309.362310486812</v>
          </cell>
          <cell r="AD151">
            <v>1279.78659507924</v>
          </cell>
          <cell r="AE151">
            <v>1250.7972858392457</v>
          </cell>
          <cell r="AF151">
            <v>1222.3854646144603</v>
          </cell>
          <cell r="AG151">
            <v>1194.5422132525091</v>
          </cell>
          <cell r="AH151">
            <v>1167.2586136010173</v>
          </cell>
        </row>
        <row r="152">
          <cell r="B152" t="str">
            <v>e-hydrogen - Energy cost - Europe - USD/ton fuel</v>
          </cell>
          <cell r="G152">
            <v>2566.3701470170417</v>
          </cell>
          <cell r="H152">
            <v>2452.9083112298426</v>
          </cell>
          <cell r="I152">
            <v>2339.2337535448082</v>
          </cell>
          <cell r="J152">
            <v>2245.5167986914189</v>
          </cell>
          <cell r="K152">
            <v>2151.4303552043284</v>
          </cell>
          <cell r="L152">
            <v>2057.064962685201</v>
          </cell>
          <cell r="M152">
            <v>1962.5111607356753</v>
          </cell>
          <cell r="N152">
            <v>1867.8594889573847</v>
          </cell>
          <cell r="O152">
            <v>1819.1813083833658</v>
          </cell>
          <cell r="P152">
            <v>1770.3931872655958</v>
          </cell>
          <cell r="Q152">
            <v>1721.5314255225589</v>
          </cell>
          <cell r="R152">
            <v>1672.6323230728049</v>
          </cell>
          <cell r="S152">
            <v>1623.7321798349606</v>
          </cell>
          <cell r="T152">
            <v>1588.9118560091065</v>
          </cell>
          <cell r="U152">
            <v>1554.0766691650888</v>
          </cell>
          <cell r="V152">
            <v>1519.2416441496489</v>
          </cell>
          <cell r="W152">
            <v>1484.4218058093938</v>
          </cell>
          <cell r="X152">
            <v>1449.6321789910207</v>
          </cell>
          <cell r="Y152">
            <v>1409.6608085718863</v>
          </cell>
          <cell r="Z152">
            <v>1370.4453980421019</v>
          </cell>
          <cell r="AA152">
            <v>1331.9768062643011</v>
          </cell>
          <cell r="AB152">
            <v>1294.245892101027</v>
          </cell>
          <cell r="AC152">
            <v>1257.2435144149015</v>
          </cell>
          <cell r="AD152">
            <v>1228.8458546695026</v>
          </cell>
          <cell r="AE152">
            <v>1201.0112417420796</v>
          </cell>
          <cell r="AF152">
            <v>1173.7311129385466</v>
          </cell>
          <cell r="AG152">
            <v>1146.9969055648128</v>
          </cell>
          <cell r="AH152">
            <v>1120.8000569267858</v>
          </cell>
        </row>
        <row r="153">
          <cell r="B153" t="str">
            <v>e-hydrogen - Energy cost - Middle East - USD/ton fuel</v>
          </cell>
          <cell r="G153">
            <v>1965.1844538611451</v>
          </cell>
          <cell r="H153">
            <v>1876.2839560959403</v>
          </cell>
          <cell r="I153">
            <v>1787.2260693119242</v>
          </cell>
          <cell r="J153">
            <v>1726.4421516736113</v>
          </cell>
          <cell r="K153">
            <v>1665.3245710268734</v>
          </cell>
          <cell r="L153">
            <v>1603.9314924493679</v>
          </cell>
          <cell r="M153">
            <v>1542.3210810188079</v>
          </cell>
          <cell r="N153">
            <v>1480.5515018128272</v>
          </cell>
          <cell r="O153">
            <v>1431.1659603843768</v>
          </cell>
          <cell r="P153">
            <v>1381.8446196834898</v>
          </cell>
          <cell r="Q153">
            <v>1332.6270545048401</v>
          </cell>
          <cell r="R153">
            <v>1283.5528396431546</v>
          </cell>
          <cell r="S153">
            <v>1234.6615498931842</v>
          </cell>
          <cell r="T153">
            <v>1204.9513526944327</v>
          </cell>
          <cell r="U153">
            <v>1175.287571490569</v>
          </cell>
          <cell r="V153">
            <v>1145.6839621175516</v>
          </cell>
          <cell r="W153">
            <v>1116.1542804112171</v>
          </cell>
          <cell r="X153">
            <v>1086.7122822074946</v>
          </cell>
          <cell r="Y153">
            <v>1048.8524441656205</v>
          </cell>
          <cell r="Z153">
            <v>1011.7643278450553</v>
          </cell>
          <cell r="AA153">
            <v>975.43767435152495</v>
          </cell>
          <cell r="AB153">
            <v>939.86222479072671</v>
          </cell>
          <cell r="AC153">
            <v>905.02772026837658</v>
          </cell>
          <cell r="AD153">
            <v>884.58478387908167</v>
          </cell>
          <cell r="AE153">
            <v>864.54717603247877</v>
          </cell>
          <cell r="AF153">
            <v>844.90873235959646</v>
          </cell>
          <cell r="AG153">
            <v>825.66328849147681</v>
          </cell>
          <cell r="AH153">
            <v>806.80468005916202</v>
          </cell>
        </row>
        <row r="154">
          <cell r="B154" t="str">
            <v/>
          </cell>
        </row>
        <row r="155">
          <cell r="B155" t="str">
            <v>e-hydrogen - Feedstock cost including feedstock feedstock cost - Global - USD/ton fuel</v>
          </cell>
          <cell r="G155">
            <v>13.5</v>
          </cell>
          <cell r="H155">
            <v>13.500000000000048</v>
          </cell>
          <cell r="I155">
            <v>13.500000000000048</v>
          </cell>
          <cell r="J155">
            <v>13.500000000000048</v>
          </cell>
          <cell r="K155">
            <v>13.500000000000096</v>
          </cell>
          <cell r="L155">
            <v>13.5</v>
          </cell>
          <cell r="M155">
            <v>13.500000000000096</v>
          </cell>
          <cell r="N155">
            <v>13.5</v>
          </cell>
          <cell r="O155">
            <v>13.499999999999904</v>
          </cell>
          <cell r="P155">
            <v>13.500000000000048</v>
          </cell>
          <cell r="Q155">
            <v>13.500000000000192</v>
          </cell>
          <cell r="R155">
            <v>13.500000000000096</v>
          </cell>
          <cell r="S155">
            <v>13.500000000000192</v>
          </cell>
          <cell r="T155">
            <v>13.50000000000024</v>
          </cell>
          <cell r="U155">
            <v>13.500000000000121</v>
          </cell>
          <cell r="V155">
            <v>13.500000000000359</v>
          </cell>
          <cell r="W155">
            <v>13.50000000000024</v>
          </cell>
          <cell r="X155">
            <v>13.499999999999904</v>
          </cell>
          <cell r="Y155">
            <v>13.5</v>
          </cell>
          <cell r="Z155">
            <v>13.499999999999952</v>
          </cell>
          <cell r="AA155">
            <v>13.500000000000048</v>
          </cell>
          <cell r="AB155">
            <v>13.5</v>
          </cell>
          <cell r="AC155">
            <v>13.5</v>
          </cell>
          <cell r="AD155">
            <v>13.5</v>
          </cell>
          <cell r="AE155">
            <v>13.5</v>
          </cell>
          <cell r="AF155">
            <v>13.5</v>
          </cell>
          <cell r="AG155">
            <v>13.5</v>
          </cell>
          <cell r="AH155">
            <v>13.5</v>
          </cell>
        </row>
        <row r="156">
          <cell r="B156" t="str">
            <v>e-hydrogen - Feedstock cost - Global - USD/ton fuel</v>
          </cell>
          <cell r="G156">
            <v>13.5</v>
          </cell>
          <cell r="H156">
            <v>13.500000000000048</v>
          </cell>
          <cell r="I156">
            <v>13.500000000000048</v>
          </cell>
          <cell r="J156">
            <v>13.500000000000048</v>
          </cell>
          <cell r="K156">
            <v>13.500000000000096</v>
          </cell>
          <cell r="L156">
            <v>13.5</v>
          </cell>
          <cell r="M156">
            <v>13.500000000000096</v>
          </cell>
          <cell r="N156">
            <v>13.5</v>
          </cell>
          <cell r="O156">
            <v>13.499999999999904</v>
          </cell>
          <cell r="P156">
            <v>13.500000000000048</v>
          </cell>
          <cell r="Q156">
            <v>13.500000000000192</v>
          </cell>
          <cell r="R156">
            <v>13.500000000000096</v>
          </cell>
          <cell r="S156">
            <v>13.500000000000192</v>
          </cell>
          <cell r="T156">
            <v>13.50000000000024</v>
          </cell>
          <cell r="U156">
            <v>13.500000000000121</v>
          </cell>
          <cell r="V156">
            <v>13.500000000000359</v>
          </cell>
          <cell r="W156">
            <v>13.50000000000024</v>
          </cell>
          <cell r="X156">
            <v>13.499999999999904</v>
          </cell>
          <cell r="Y156">
            <v>13.5</v>
          </cell>
          <cell r="Z156">
            <v>13.499999999999952</v>
          </cell>
          <cell r="AA156">
            <v>13.500000000000048</v>
          </cell>
          <cell r="AB156">
            <v>13.5</v>
          </cell>
          <cell r="AC156">
            <v>13.5</v>
          </cell>
          <cell r="AD156">
            <v>13.5</v>
          </cell>
          <cell r="AE156">
            <v>13.5</v>
          </cell>
          <cell r="AF156">
            <v>13.5</v>
          </cell>
          <cell r="AG156">
            <v>13.5</v>
          </cell>
          <cell r="AH156">
            <v>13.5</v>
          </cell>
        </row>
        <row r="157">
          <cell r="B157" t="str">
            <v/>
          </cell>
        </row>
        <row r="158">
          <cell r="B158" t="str">
            <v>e-hydrogen (liquefied) - Item - Region - Unit</v>
          </cell>
          <cell r="G158">
            <v>2023</v>
          </cell>
          <cell r="H158">
            <v>2024</v>
          </cell>
          <cell r="I158">
            <v>2025</v>
          </cell>
          <cell r="J158">
            <v>2026</v>
          </cell>
          <cell r="K158">
            <v>2027</v>
          </cell>
          <cell r="L158">
            <v>2028</v>
          </cell>
          <cell r="M158">
            <v>2029</v>
          </cell>
          <cell r="N158">
            <v>2030</v>
          </cell>
          <cell r="O158">
            <v>2031</v>
          </cell>
          <cell r="P158">
            <v>2032</v>
          </cell>
          <cell r="Q158">
            <v>2033</v>
          </cell>
          <cell r="R158">
            <v>2034</v>
          </cell>
          <cell r="S158">
            <v>2035</v>
          </cell>
          <cell r="T158">
            <v>2036</v>
          </cell>
          <cell r="U158">
            <v>2037</v>
          </cell>
          <cell r="V158">
            <v>2038</v>
          </cell>
          <cell r="W158">
            <v>2039</v>
          </cell>
          <cell r="X158">
            <v>2040</v>
          </cell>
          <cell r="Y158">
            <v>2041</v>
          </cell>
          <cell r="Z158">
            <v>2042</v>
          </cell>
          <cell r="AA158">
            <v>2043</v>
          </cell>
          <cell r="AB158">
            <v>2044</v>
          </cell>
          <cell r="AC158">
            <v>2045</v>
          </cell>
          <cell r="AD158">
            <v>2046</v>
          </cell>
          <cell r="AE158">
            <v>2047</v>
          </cell>
          <cell r="AF158">
            <v>2048</v>
          </cell>
          <cell r="AG158">
            <v>2049</v>
          </cell>
          <cell r="AH158">
            <v>2050</v>
          </cell>
        </row>
        <row r="159">
          <cell r="B159" t="str">
            <v>e-hydrogen (liquefied) - Total cost - Africa - USD/ton fuel</v>
          </cell>
          <cell r="G159">
            <v>5344.0454476704936</v>
          </cell>
          <cell r="H159">
            <v>4851.5219793538517</v>
          </cell>
          <cell r="I159">
            <v>4356.3269767755401</v>
          </cell>
          <cell r="J159">
            <v>4198.7479456976553</v>
          </cell>
          <cell r="K159">
            <v>4036.0191547645913</v>
          </cell>
          <cell r="L159">
            <v>3868.2433908182134</v>
          </cell>
          <cell r="M159">
            <v>3695.5234407004668</v>
          </cell>
          <cell r="N159">
            <v>3517.9620912531791</v>
          </cell>
          <cell r="O159">
            <v>3450.620229956593</v>
          </cell>
          <cell r="P159">
            <v>3375.7017897609148</v>
          </cell>
          <cell r="Q159">
            <v>3293.2621343025926</v>
          </cell>
          <cell r="R159">
            <v>3203.3566272181301</v>
          </cell>
          <cell r="S159">
            <v>3106.0406321441019</v>
          </cell>
          <cell r="T159">
            <v>3040.2992173971006</v>
          </cell>
          <cell r="U159">
            <v>2969.3466326008947</v>
          </cell>
          <cell r="V159">
            <v>2893.2009431205211</v>
          </cell>
          <cell r="W159">
            <v>2811.8802143207949</v>
          </cell>
          <cell r="X159">
            <v>2725.402511566705</v>
          </cell>
          <cell r="Y159">
            <v>2636.5087896112882</v>
          </cell>
          <cell r="Z159">
            <v>2545.1952748529047</v>
          </cell>
          <cell r="AA159">
            <v>2451.4514031531471</v>
          </cell>
          <cell r="AB159">
            <v>2355.2666103735023</v>
          </cell>
          <cell r="AC159">
            <v>2256.6303323755183</v>
          </cell>
          <cell r="AD159">
            <v>2180.5448845382343</v>
          </cell>
          <cell r="AE159">
            <v>2103.2464178271161</v>
          </cell>
          <cell r="AF159">
            <v>2024.7282752898632</v>
          </cell>
          <cell r="AG159">
            <v>1944.9837999741976</v>
          </cell>
          <cell r="AH159">
            <v>1864.0063349278448</v>
          </cell>
        </row>
        <row r="160">
          <cell r="B160" t="str">
            <v>e-hydrogen (liquefied) - Total cost - Americas - USD/ton fuel</v>
          </cell>
          <cell r="G160">
            <v>3974.9584105925132</v>
          </cell>
          <cell r="H160">
            <v>3868.0054726595172</v>
          </cell>
          <cell r="I160">
            <v>3757.7302776779811</v>
          </cell>
          <cell r="J160">
            <v>3640.5823321172297</v>
          </cell>
          <cell r="K160">
            <v>3518.2977387324099</v>
          </cell>
          <cell r="L160">
            <v>3390.9455608745798</v>
          </cell>
          <cell r="M160">
            <v>3258.5948618949183</v>
          </cell>
          <cell r="N160">
            <v>3121.3147051443361</v>
          </cell>
          <cell r="O160">
            <v>3083.961027749117</v>
          </cell>
          <cell r="P160">
            <v>3038.8146385693567</v>
          </cell>
          <cell r="Q160">
            <v>2985.9076070315182</v>
          </cell>
          <cell r="R160">
            <v>2925.2720025620297</v>
          </cell>
          <cell r="S160">
            <v>2856.9398945874536</v>
          </cell>
          <cell r="T160">
            <v>2793.0599090149444</v>
          </cell>
          <cell r="U160">
            <v>2724.0171929747135</v>
          </cell>
          <cell r="V160">
            <v>2649.8297685116604</v>
          </cell>
          <cell r="W160">
            <v>2570.5156576704799</v>
          </cell>
          <cell r="X160">
            <v>2486.0928824959969</v>
          </cell>
          <cell r="Y160">
            <v>2417.8272497294474</v>
          </cell>
          <cell r="Z160">
            <v>2346.7263866404364</v>
          </cell>
          <cell r="AA160">
            <v>2272.7861642115913</v>
          </cell>
          <cell r="AB160">
            <v>2196.0024534253953</v>
          </cell>
          <cell r="AC160">
            <v>2116.3711252644389</v>
          </cell>
          <cell r="AD160">
            <v>2047.0683427311408</v>
          </cell>
          <cell r="AE160">
            <v>1976.4313780376929</v>
          </cell>
          <cell r="AF160">
            <v>1904.4562319361858</v>
          </cell>
          <cell r="AG160">
            <v>1831.1389051787164</v>
          </cell>
          <cell r="AH160">
            <v>1756.4753985173841</v>
          </cell>
        </row>
        <row r="161">
          <cell r="B161" t="str">
            <v>e-hydrogen (liquefied) - Total cost - Asia - USD/ton fuel</v>
          </cell>
          <cell r="G161">
            <v>5757.358558331267</v>
          </cell>
          <cell r="H161">
            <v>5336.8951701895012</v>
          </cell>
          <cell r="I161">
            <v>4913.5243582373132</v>
          </cell>
          <cell r="J161">
            <v>4746.4731774273096</v>
          </cell>
          <cell r="K161">
            <v>4574.1475883553749</v>
          </cell>
          <cell r="L161">
            <v>4396.6576690850006</v>
          </cell>
          <cell r="M161">
            <v>4214.1134976799694</v>
          </cell>
          <cell r="N161">
            <v>4026.6251522038406</v>
          </cell>
          <cell r="O161">
            <v>3936.3796884275303</v>
          </cell>
          <cell r="P161">
            <v>3838.6520945000507</v>
          </cell>
          <cell r="Q161">
            <v>3733.5145654629114</v>
          </cell>
          <cell r="R161">
            <v>3621.0392963575359</v>
          </cell>
          <cell r="S161">
            <v>3501.2984822256003</v>
          </cell>
          <cell r="T161">
            <v>3420.4285418655472</v>
          </cell>
          <cell r="U161">
            <v>3334.451616840538</v>
          </cell>
          <cell r="V161">
            <v>3243.3931535713577</v>
          </cell>
          <cell r="W161">
            <v>3147.2785984784832</v>
          </cell>
          <cell r="X161">
            <v>3046.1333979826431</v>
          </cell>
          <cell r="Y161">
            <v>2940.9357919542181</v>
          </cell>
          <cell r="Z161">
            <v>2833.6319404229794</v>
          </cell>
          <cell r="AA161">
            <v>2724.2066959126387</v>
          </cell>
          <cell r="AB161">
            <v>2612.6449109468012</v>
          </cell>
          <cell r="AC161">
            <v>2498.9314380491387</v>
          </cell>
          <cell r="AD161">
            <v>2415.9637254379136</v>
          </cell>
          <cell r="AE161">
            <v>2331.9056556296864</v>
          </cell>
          <cell r="AF161">
            <v>2246.7483104720923</v>
          </cell>
          <cell r="AG161">
            <v>2160.4827718127535</v>
          </cell>
          <cell r="AH161">
            <v>2073.1001214992957</v>
          </cell>
        </row>
        <row r="162">
          <cell r="B162" t="str">
            <v>e-hydrogen (liquefied) - Total cost - Europe - USD/ton fuel</v>
          </cell>
          <cell r="G162">
            <v>4710.4112797725902</v>
          </cell>
          <cell r="H162">
            <v>4519.3023917788887</v>
          </cell>
          <cell r="I162">
            <v>4324.9387135538564</v>
          </cell>
          <cell r="J162">
            <v>4181.7251776135199</v>
          </cell>
          <cell r="K162">
            <v>4033.3136778856783</v>
          </cell>
          <cell r="L162">
            <v>3879.7947539720149</v>
          </cell>
          <cell r="M162">
            <v>3721.2589454742015</v>
          </cell>
          <cell r="N162">
            <v>3557.7967919938228</v>
          </cell>
          <cell r="O162">
            <v>3512.9693696653026</v>
          </cell>
          <cell r="P162">
            <v>3460.2871941148865</v>
          </cell>
          <cell r="Q162">
            <v>3399.7865652610499</v>
          </cell>
          <cell r="R162">
            <v>3331.5037830223087</v>
          </cell>
          <cell r="S162">
            <v>3255.4751473173314</v>
          </cell>
          <cell r="T162">
            <v>3193.722764948559</v>
          </cell>
          <cell r="U162">
            <v>3126.6542299220746</v>
          </cell>
          <cell r="V162">
            <v>3054.28456708467</v>
          </cell>
          <cell r="W162">
            <v>2976.6288012828868</v>
          </cell>
          <cell r="X162">
            <v>2893.7019573634329</v>
          </cell>
          <cell r="Y162">
            <v>2806.9972241256355</v>
          </cell>
          <cell r="Z162">
            <v>2717.8068229200053</v>
          </cell>
          <cell r="AA162">
            <v>2626.1216126092213</v>
          </cell>
          <cell r="AB162">
            <v>2531.9324520557866</v>
          </cell>
          <cell r="AC162">
            <v>2435.2302001223411</v>
          </cell>
          <cell r="AD162">
            <v>2353.5758786487627</v>
          </cell>
          <cell r="AE162">
            <v>2270.8078406285808</v>
          </cell>
          <cell r="AF162">
            <v>2186.917523367712</v>
          </cell>
          <cell r="AG162">
            <v>2101.8963641720648</v>
          </cell>
          <cell r="AH162">
            <v>2015.7358003475451</v>
          </cell>
        </row>
        <row r="163">
          <cell r="B163" t="str">
            <v>e-hydrogen (liquefied) - Total cost - Middle East - USD/ton fuel</v>
          </cell>
          <cell r="G163">
            <v>3995.973699770761</v>
          </cell>
          <cell r="H163">
            <v>3833.9267217175016</v>
          </cell>
          <cell r="I163">
            <v>3668.6802863119301</v>
          </cell>
          <cell r="J163">
            <v>3564.4199548903421</v>
          </cell>
          <cell r="K163">
            <v>3454.997485306531</v>
          </cell>
          <cell r="L163">
            <v>3340.4710426381612</v>
          </cell>
          <cell r="M163">
            <v>3220.8987919629913</v>
          </cell>
          <cell r="N163">
            <v>3096.3388983585951</v>
          </cell>
          <cell r="O163">
            <v>3050.1730070214521</v>
          </cell>
          <cell r="P163">
            <v>2996.3265037337233</v>
          </cell>
          <cell r="Q163">
            <v>2934.8389632900785</v>
          </cell>
          <cell r="R163">
            <v>2865.7499604852119</v>
          </cell>
          <cell r="S163">
            <v>2789.0990701139131</v>
          </cell>
          <cell r="T163">
            <v>2732.80957582878</v>
          </cell>
          <cell r="U163">
            <v>2671.2652078989859</v>
          </cell>
          <cell r="V163">
            <v>2604.4797221605404</v>
          </cell>
          <cell r="W163">
            <v>2532.4668744492142</v>
          </cell>
          <cell r="X163">
            <v>2455.2404206009487</v>
          </cell>
          <cell r="Y163">
            <v>2370.1008539844661</v>
          </cell>
          <cell r="Z163">
            <v>2282.4913812321111</v>
          </cell>
          <cell r="AA163">
            <v>2192.4017434496518</v>
          </cell>
          <cell r="AB163">
            <v>2099.8216817427488</v>
          </cell>
          <cell r="AC163">
            <v>2004.7409372171323</v>
          </cell>
          <cell r="AD163">
            <v>1931.9544658623038</v>
          </cell>
          <cell r="AE163">
            <v>1857.8965596855892</v>
          </cell>
          <cell r="AF163">
            <v>1782.5610543180173</v>
          </cell>
          <cell r="AG163">
            <v>1705.9417853906298</v>
          </cell>
          <cell r="AH163">
            <v>1628.0325885344698</v>
          </cell>
        </row>
        <row r="164">
          <cell r="B164" t="str">
            <v/>
          </cell>
        </row>
        <row r="165">
          <cell r="B165" t="str">
            <v>e-hydrogen (liquefied) - CAPEX including feedstock CAPEX - Global - USD/ton fuel</v>
          </cell>
          <cell r="G165">
            <v>289.9796868634719</v>
          </cell>
          <cell r="H165">
            <v>280.55033924163985</v>
          </cell>
          <cell r="I165">
            <v>270.87138508371146</v>
          </cell>
          <cell r="J165">
            <v>265.86603023986947</v>
          </cell>
          <cell r="K165">
            <v>260.39696214998582</v>
          </cell>
          <cell r="L165">
            <v>254.46418081406532</v>
          </cell>
          <cell r="M165">
            <v>248.06768623210962</v>
          </cell>
          <cell r="N165">
            <v>241.20747840411198</v>
          </cell>
          <cell r="O165">
            <v>245.58030509231773</v>
          </cell>
          <cell r="P165">
            <v>248.87170484927353</v>
          </cell>
          <cell r="Q165">
            <v>251.0816776749767</v>
          </cell>
          <cell r="R165">
            <v>252.21022356942237</v>
          </cell>
          <cell r="S165">
            <v>252.25734253261916</v>
          </cell>
          <cell r="T165">
            <v>250.54662202701471</v>
          </cell>
          <cell r="U165">
            <v>247.94334833361262</v>
          </cell>
          <cell r="V165">
            <v>244.44752145242194</v>
          </cell>
          <cell r="W165">
            <v>240.05914138343377</v>
          </cell>
          <cell r="X165">
            <v>234.77820812664476</v>
          </cell>
          <cell r="Y165">
            <v>228.01561269462704</v>
          </cell>
          <cell r="Z165">
            <v>220.57953608988262</v>
          </cell>
          <cell r="AA165">
            <v>212.46997831241887</v>
          </cell>
          <cell r="AB165">
            <v>203.68693936223096</v>
          </cell>
          <cell r="AC165">
            <v>194.23041923931737</v>
          </cell>
          <cell r="AD165">
            <v>183.97419031636753</v>
          </cell>
          <cell r="AE165">
            <v>173.29670211969736</v>
          </cell>
          <cell r="AF165">
            <v>162.19795464930687</v>
          </cell>
          <cell r="AG165">
            <v>150.67794790519602</v>
          </cell>
          <cell r="AH165">
            <v>138.73668188736502</v>
          </cell>
        </row>
        <row r="166">
          <cell r="B166" t="str">
            <v>e-hydrogen (liquefied) - CAPEX - Global - USD/ton fuel</v>
          </cell>
          <cell r="G166">
            <v>33.333333333333336</v>
          </cell>
          <cell r="H166">
            <v>33.333333333333336</v>
          </cell>
          <cell r="I166">
            <v>33.333333333333336</v>
          </cell>
          <cell r="J166">
            <v>33.333333333333336</v>
          </cell>
          <cell r="K166">
            <v>33.333333333333336</v>
          </cell>
          <cell r="L166">
            <v>33.333333333333336</v>
          </cell>
          <cell r="M166">
            <v>33.333333333333336</v>
          </cell>
          <cell r="N166">
            <v>33.333333333333336</v>
          </cell>
          <cell r="O166">
            <v>33.333333333333336</v>
          </cell>
          <cell r="P166">
            <v>33.333333333333336</v>
          </cell>
          <cell r="Q166">
            <v>33.333333333333336</v>
          </cell>
          <cell r="R166">
            <v>33.333333333333336</v>
          </cell>
          <cell r="S166">
            <v>33.333333333333336</v>
          </cell>
          <cell r="T166">
            <v>33.333333333333336</v>
          </cell>
          <cell r="U166">
            <v>33.333333333333336</v>
          </cell>
          <cell r="V166">
            <v>33.333333333333336</v>
          </cell>
          <cell r="W166">
            <v>33.333333333333336</v>
          </cell>
          <cell r="X166">
            <v>33.333333333333336</v>
          </cell>
          <cell r="Y166">
            <v>33.333333333333336</v>
          </cell>
          <cell r="Z166">
            <v>33.333333333333336</v>
          </cell>
          <cell r="AA166">
            <v>33.333333333333336</v>
          </cell>
          <cell r="AB166">
            <v>33.333333333333336</v>
          </cell>
          <cell r="AC166">
            <v>33.333333333333336</v>
          </cell>
          <cell r="AD166">
            <v>33.333333333333336</v>
          </cell>
          <cell r="AE166">
            <v>33.333333333333336</v>
          </cell>
          <cell r="AF166">
            <v>33.333333333333336</v>
          </cell>
          <cell r="AG166">
            <v>33.333333333333336</v>
          </cell>
          <cell r="AH166">
            <v>33.333333333333336</v>
          </cell>
        </row>
        <row r="167">
          <cell r="B167" t="str">
            <v>e-hydrogen - CAPEX - Global - USD/ton fuel</v>
          </cell>
          <cell r="G167">
            <v>256.64635353013858</v>
          </cell>
          <cell r="H167">
            <v>247.21700590830653</v>
          </cell>
          <cell r="I167">
            <v>237.53805175037812</v>
          </cell>
          <cell r="J167">
            <v>232.53269690653616</v>
          </cell>
          <cell r="K167">
            <v>227.06362881665248</v>
          </cell>
          <cell r="L167">
            <v>221.13084748073197</v>
          </cell>
          <cell r="M167">
            <v>214.73435289877628</v>
          </cell>
          <cell r="N167">
            <v>207.87414507077864</v>
          </cell>
          <cell r="O167">
            <v>212.24697175898439</v>
          </cell>
          <cell r="P167">
            <v>215.53837151594018</v>
          </cell>
          <cell r="Q167">
            <v>217.74834434164336</v>
          </cell>
          <cell r="R167">
            <v>218.87689023608903</v>
          </cell>
          <cell r="S167">
            <v>218.92400919928582</v>
          </cell>
          <cell r="T167">
            <v>217.21328869368136</v>
          </cell>
          <cell r="U167">
            <v>214.61001500027928</v>
          </cell>
          <cell r="V167">
            <v>211.1141881190886</v>
          </cell>
          <cell r="W167">
            <v>206.72580805010043</v>
          </cell>
          <cell r="X167">
            <v>201.44487479331141</v>
          </cell>
          <cell r="Y167">
            <v>194.68227936129369</v>
          </cell>
          <cell r="Z167">
            <v>187.24620275654928</v>
          </cell>
          <cell r="AA167">
            <v>179.13664497908553</v>
          </cell>
          <cell r="AB167">
            <v>170.35360602889762</v>
          </cell>
          <cell r="AC167">
            <v>160.89708590598403</v>
          </cell>
          <cell r="AD167">
            <v>150.64085698303418</v>
          </cell>
          <cell r="AE167">
            <v>139.96336878636401</v>
          </cell>
          <cell r="AF167">
            <v>128.86462131597352</v>
          </cell>
          <cell r="AG167">
            <v>117.34461457186269</v>
          </cell>
          <cell r="AH167">
            <v>105.40334855403168</v>
          </cell>
        </row>
        <row r="168">
          <cell r="B168" t="str">
            <v/>
          </cell>
        </row>
        <row r="169">
          <cell r="B169" t="str">
            <v>e-hydrogen (liquefied) - OPEX including feedstock OPEX - Global - USD/ton fuel</v>
          </cell>
          <cell r="G169">
            <v>878.63990898977545</v>
          </cell>
          <cell r="H169">
            <v>846.81733762687418</v>
          </cell>
          <cell r="I169">
            <v>812.61415525113227</v>
          </cell>
          <cell r="J169">
            <v>793.21795180920219</v>
          </cell>
          <cell r="K169">
            <v>770.22211331548374</v>
          </cell>
          <cell r="L169">
            <v>743.6266397699726</v>
          </cell>
          <cell r="M169">
            <v>713.43153117270822</v>
          </cell>
          <cell r="N169">
            <v>679.63678752365013</v>
          </cell>
          <cell r="O169">
            <v>678.89498738880036</v>
          </cell>
          <cell r="P169">
            <v>673.27415594361116</v>
          </cell>
          <cell r="Q169">
            <v>662.77429318809038</v>
          </cell>
          <cell r="R169">
            <v>647.39539912221437</v>
          </cell>
          <cell r="S169">
            <v>627.13747374599984</v>
          </cell>
          <cell r="T169">
            <v>608.91545321169565</v>
          </cell>
          <cell r="U169">
            <v>587.75740898550703</v>
          </cell>
          <cell r="V169">
            <v>563.66334106745865</v>
          </cell>
          <cell r="W169">
            <v>536.63324945751151</v>
          </cell>
          <cell r="X169">
            <v>506.66713415568563</v>
          </cell>
          <cell r="Y169">
            <v>482.32288786138321</v>
          </cell>
          <cell r="Z169">
            <v>456.52173881762411</v>
          </cell>
          <cell r="AA169">
            <v>429.2636870244329</v>
          </cell>
          <cell r="AB169">
            <v>400.54873248178433</v>
          </cell>
          <cell r="AC169">
            <v>370.37687518969852</v>
          </cell>
          <cell r="AD169">
            <v>347.55933903156756</v>
          </cell>
          <cell r="AE169">
            <v>324.18137658421693</v>
          </cell>
          <cell r="AF169">
            <v>300.24298784764761</v>
          </cell>
          <cell r="AG169">
            <v>275.74417282185902</v>
          </cell>
          <cell r="AH169">
            <v>250.68493150685131</v>
          </cell>
        </row>
        <row r="170">
          <cell r="B170" t="str">
            <v>e-hydrogen (liquefied) - OPEX - Global - USD/ton fuel</v>
          </cell>
          <cell r="G170">
            <v>100</v>
          </cell>
          <cell r="H170">
            <v>100</v>
          </cell>
          <cell r="I170">
            <v>100</v>
          </cell>
          <cell r="J170">
            <v>100</v>
          </cell>
          <cell r="K170">
            <v>100</v>
          </cell>
          <cell r="L170">
            <v>100</v>
          </cell>
          <cell r="M170">
            <v>100</v>
          </cell>
          <cell r="N170">
            <v>100</v>
          </cell>
          <cell r="O170">
            <v>100</v>
          </cell>
          <cell r="P170">
            <v>100</v>
          </cell>
          <cell r="Q170">
            <v>100</v>
          </cell>
          <cell r="R170">
            <v>100</v>
          </cell>
          <cell r="S170">
            <v>100</v>
          </cell>
          <cell r="T170">
            <v>100</v>
          </cell>
          <cell r="U170">
            <v>100</v>
          </cell>
          <cell r="V170">
            <v>100</v>
          </cell>
          <cell r="W170">
            <v>100</v>
          </cell>
          <cell r="X170">
            <v>100</v>
          </cell>
          <cell r="Y170">
            <v>100</v>
          </cell>
          <cell r="Z170">
            <v>100</v>
          </cell>
          <cell r="AA170">
            <v>100</v>
          </cell>
          <cell r="AB170">
            <v>100</v>
          </cell>
          <cell r="AC170">
            <v>100</v>
          </cell>
          <cell r="AD170">
            <v>100</v>
          </cell>
          <cell r="AE170">
            <v>100</v>
          </cell>
          <cell r="AF170">
            <v>100</v>
          </cell>
          <cell r="AG170">
            <v>100</v>
          </cell>
          <cell r="AH170">
            <v>100</v>
          </cell>
        </row>
        <row r="171">
          <cell r="B171" t="str">
            <v>e-hydrogen - OPEX - Global - USD/ton fuel</v>
          </cell>
          <cell r="G171">
            <v>778.63990898977545</v>
          </cell>
          <cell r="H171">
            <v>746.81733762687418</v>
          </cell>
          <cell r="I171">
            <v>712.61415525113227</v>
          </cell>
          <cell r="J171">
            <v>693.21795180920219</v>
          </cell>
          <cell r="K171">
            <v>670.22211331548374</v>
          </cell>
          <cell r="L171">
            <v>643.6266397699726</v>
          </cell>
          <cell r="M171">
            <v>613.43153117270822</v>
          </cell>
          <cell r="N171">
            <v>579.63678752365013</v>
          </cell>
          <cell r="O171">
            <v>578.89498738880036</v>
          </cell>
          <cell r="P171">
            <v>573.27415594361116</v>
          </cell>
          <cell r="Q171">
            <v>562.77429318809038</v>
          </cell>
          <cell r="R171">
            <v>547.39539912221437</v>
          </cell>
          <cell r="S171">
            <v>527.13747374599984</v>
          </cell>
          <cell r="T171">
            <v>508.91545321169565</v>
          </cell>
          <cell r="U171">
            <v>487.75740898550708</v>
          </cell>
          <cell r="V171">
            <v>463.66334106745865</v>
          </cell>
          <cell r="W171">
            <v>436.63324945751151</v>
          </cell>
          <cell r="X171">
            <v>406.66713415568563</v>
          </cell>
          <cell r="Y171">
            <v>382.32288786138321</v>
          </cell>
          <cell r="Z171">
            <v>356.52173881762411</v>
          </cell>
          <cell r="AA171">
            <v>329.2636870244329</v>
          </cell>
          <cell r="AB171">
            <v>300.54873248178433</v>
          </cell>
          <cell r="AC171">
            <v>270.37687518969852</v>
          </cell>
          <cell r="AD171">
            <v>247.55933903156756</v>
          </cell>
          <cell r="AE171">
            <v>224.18137658421693</v>
          </cell>
          <cell r="AF171">
            <v>200.24298784764761</v>
          </cell>
          <cell r="AG171">
            <v>175.74417282185905</v>
          </cell>
          <cell r="AH171">
            <v>150.68493150685131</v>
          </cell>
        </row>
        <row r="172">
          <cell r="B172" t="str">
            <v/>
          </cell>
        </row>
        <row r="173">
          <cell r="B173" t="str">
            <v>e-hydrogen (liquefied) - Finance cost including feedstock finance cost - Africa - USD/ton fuel</v>
          </cell>
          <cell r="G173">
            <v>478.4664833247287</v>
          </cell>
          <cell r="H173">
            <v>462.9080597487058</v>
          </cell>
          <cell r="I173">
            <v>446.93778538812398</v>
          </cell>
          <cell r="J173">
            <v>438.67894989578463</v>
          </cell>
          <cell r="K173">
            <v>429.65498754747659</v>
          </cell>
          <cell r="L173">
            <v>419.86589834320779</v>
          </cell>
          <cell r="M173">
            <v>409.31168228298088</v>
          </cell>
          <cell r="N173">
            <v>397.99233936678479</v>
          </cell>
          <cell r="O173">
            <v>405.20750340232428</v>
          </cell>
          <cell r="P173">
            <v>410.6383130013013</v>
          </cell>
          <cell r="Q173">
            <v>414.28476816371159</v>
          </cell>
          <cell r="R173">
            <v>416.14686888954691</v>
          </cell>
          <cell r="S173">
            <v>416.22461517882164</v>
          </cell>
          <cell r="T173">
            <v>413.40192634457429</v>
          </cell>
          <cell r="U173">
            <v>409.10652475046084</v>
          </cell>
          <cell r="V173">
            <v>403.33841039649622</v>
          </cell>
          <cell r="W173">
            <v>396.09758328266571</v>
          </cell>
          <cell r="X173">
            <v>387.38404340896386</v>
          </cell>
          <cell r="Y173">
            <v>376.22576094613464</v>
          </cell>
          <cell r="Z173">
            <v>363.95623454830633</v>
          </cell>
          <cell r="AA173">
            <v>350.57546421549114</v>
          </cell>
          <cell r="AB173">
            <v>336.08344994768112</v>
          </cell>
          <cell r="AC173">
            <v>320.48019174487365</v>
          </cell>
          <cell r="AD173">
            <v>303.55741402200647</v>
          </cell>
          <cell r="AE173">
            <v>285.93955849750063</v>
          </cell>
          <cell r="AF173">
            <v>267.62662517135635</v>
          </cell>
          <cell r="AG173">
            <v>248.61861404357347</v>
          </cell>
          <cell r="AH173">
            <v>228.9155251141523</v>
          </cell>
        </row>
        <row r="174">
          <cell r="B174" t="str">
            <v>e-hydrogen (liquefied) - Finance cost including feedstock finance cost - Americas - USD/ton fuel</v>
          </cell>
          <cell r="G174">
            <v>478.4664833247287</v>
          </cell>
          <cell r="H174">
            <v>462.9080597487058</v>
          </cell>
          <cell r="I174">
            <v>446.93778538812398</v>
          </cell>
          <cell r="J174">
            <v>438.67894989578463</v>
          </cell>
          <cell r="K174">
            <v>429.65498754747659</v>
          </cell>
          <cell r="L174">
            <v>419.86589834320779</v>
          </cell>
          <cell r="M174">
            <v>409.31168228298088</v>
          </cell>
          <cell r="N174">
            <v>397.99233936678479</v>
          </cell>
          <cell r="O174">
            <v>405.20750340232428</v>
          </cell>
          <cell r="P174">
            <v>410.6383130013013</v>
          </cell>
          <cell r="Q174">
            <v>414.28476816371159</v>
          </cell>
          <cell r="R174">
            <v>416.14686888954691</v>
          </cell>
          <cell r="S174">
            <v>416.22461517882164</v>
          </cell>
          <cell r="T174">
            <v>413.40192634457429</v>
          </cell>
          <cell r="U174">
            <v>409.10652475046084</v>
          </cell>
          <cell r="V174">
            <v>403.33841039649622</v>
          </cell>
          <cell r="W174">
            <v>396.09758328266571</v>
          </cell>
          <cell r="X174">
            <v>387.38404340896386</v>
          </cell>
          <cell r="Y174">
            <v>376.22576094613464</v>
          </cell>
          <cell r="Z174">
            <v>363.95623454830633</v>
          </cell>
          <cell r="AA174">
            <v>350.57546421549114</v>
          </cell>
          <cell r="AB174">
            <v>336.08344994768112</v>
          </cell>
          <cell r="AC174">
            <v>320.48019174487365</v>
          </cell>
          <cell r="AD174">
            <v>303.55741402200647</v>
          </cell>
          <cell r="AE174">
            <v>285.93955849750063</v>
          </cell>
          <cell r="AF174">
            <v>267.62662517135635</v>
          </cell>
          <cell r="AG174">
            <v>248.61861404357347</v>
          </cell>
          <cell r="AH174">
            <v>228.9155251141523</v>
          </cell>
        </row>
        <row r="175">
          <cell r="B175" t="str">
            <v>e-hydrogen (liquefied) - Finance cost including feedstock finance cost - Asia - USD/ton fuel</v>
          </cell>
          <cell r="G175">
            <v>478.4664833247287</v>
          </cell>
          <cell r="H175">
            <v>462.9080597487058</v>
          </cell>
          <cell r="I175">
            <v>446.93778538812398</v>
          </cell>
          <cell r="J175">
            <v>438.67894989578463</v>
          </cell>
          <cell r="K175">
            <v>429.65498754747659</v>
          </cell>
          <cell r="L175">
            <v>419.86589834320779</v>
          </cell>
          <cell r="M175">
            <v>409.31168228298088</v>
          </cell>
          <cell r="N175">
            <v>397.99233936678479</v>
          </cell>
          <cell r="O175">
            <v>405.20750340232428</v>
          </cell>
          <cell r="P175">
            <v>410.6383130013013</v>
          </cell>
          <cell r="Q175">
            <v>414.28476816371159</v>
          </cell>
          <cell r="R175">
            <v>416.14686888954691</v>
          </cell>
          <cell r="S175">
            <v>416.22461517882164</v>
          </cell>
          <cell r="T175">
            <v>413.40192634457429</v>
          </cell>
          <cell r="U175">
            <v>409.10652475046084</v>
          </cell>
          <cell r="V175">
            <v>403.33841039649622</v>
          </cell>
          <cell r="W175">
            <v>396.09758328266571</v>
          </cell>
          <cell r="X175">
            <v>387.38404340896386</v>
          </cell>
          <cell r="Y175">
            <v>376.22576094613464</v>
          </cell>
          <cell r="Z175">
            <v>363.95623454830633</v>
          </cell>
          <cell r="AA175">
            <v>350.57546421549114</v>
          </cell>
          <cell r="AB175">
            <v>336.08344994768112</v>
          </cell>
          <cell r="AC175">
            <v>320.48019174487365</v>
          </cell>
          <cell r="AD175">
            <v>303.55741402200647</v>
          </cell>
          <cell r="AE175">
            <v>285.93955849750063</v>
          </cell>
          <cell r="AF175">
            <v>267.62662517135635</v>
          </cell>
          <cell r="AG175">
            <v>248.61861404357347</v>
          </cell>
          <cell r="AH175">
            <v>228.9155251141523</v>
          </cell>
        </row>
        <row r="176">
          <cell r="B176" t="str">
            <v>e-hydrogen (liquefied) - Finance cost including feedstock finance cost - Europe - USD/ton fuel</v>
          </cell>
          <cell r="G176">
            <v>478.4664833247287</v>
          </cell>
          <cell r="H176">
            <v>462.9080597487058</v>
          </cell>
          <cell r="I176">
            <v>446.93778538812398</v>
          </cell>
          <cell r="J176">
            <v>438.67894989578463</v>
          </cell>
          <cell r="K176">
            <v>429.65498754747659</v>
          </cell>
          <cell r="L176">
            <v>419.86589834320779</v>
          </cell>
          <cell r="M176">
            <v>409.31168228298088</v>
          </cell>
          <cell r="N176">
            <v>397.99233936678479</v>
          </cell>
          <cell r="O176">
            <v>405.20750340232428</v>
          </cell>
          <cell r="P176">
            <v>410.6383130013013</v>
          </cell>
          <cell r="Q176">
            <v>414.28476816371159</v>
          </cell>
          <cell r="R176">
            <v>416.14686888954691</v>
          </cell>
          <cell r="S176">
            <v>416.22461517882164</v>
          </cell>
          <cell r="T176">
            <v>413.40192634457429</v>
          </cell>
          <cell r="U176">
            <v>409.10652475046084</v>
          </cell>
          <cell r="V176">
            <v>403.33841039649622</v>
          </cell>
          <cell r="W176">
            <v>396.09758328266571</v>
          </cell>
          <cell r="X176">
            <v>387.38404340896386</v>
          </cell>
          <cell r="Y176">
            <v>376.22576094613464</v>
          </cell>
          <cell r="Z176">
            <v>363.95623454830633</v>
          </cell>
          <cell r="AA176">
            <v>350.57546421549114</v>
          </cell>
          <cell r="AB176">
            <v>336.08344994768112</v>
          </cell>
          <cell r="AC176">
            <v>320.48019174487365</v>
          </cell>
          <cell r="AD176">
            <v>303.55741402200647</v>
          </cell>
          <cell r="AE176">
            <v>285.93955849750063</v>
          </cell>
          <cell r="AF176">
            <v>267.62662517135635</v>
          </cell>
          <cell r="AG176">
            <v>248.61861404357347</v>
          </cell>
          <cell r="AH176">
            <v>228.9155251141523</v>
          </cell>
        </row>
        <row r="177">
          <cell r="B177" t="str">
            <v>e-hydrogen (liquefied) - Finance cost including feedstock finance cost - Middle East - USD/ton fuel</v>
          </cell>
          <cell r="G177">
            <v>478.4664833247287</v>
          </cell>
          <cell r="H177">
            <v>462.9080597487058</v>
          </cell>
          <cell r="I177">
            <v>446.93778538812398</v>
          </cell>
          <cell r="J177">
            <v>438.67894989578463</v>
          </cell>
          <cell r="K177">
            <v>429.65498754747659</v>
          </cell>
          <cell r="L177">
            <v>419.86589834320779</v>
          </cell>
          <cell r="M177">
            <v>409.31168228298088</v>
          </cell>
          <cell r="N177">
            <v>397.99233936678479</v>
          </cell>
          <cell r="O177">
            <v>405.20750340232428</v>
          </cell>
          <cell r="P177">
            <v>410.6383130013013</v>
          </cell>
          <cell r="Q177">
            <v>414.28476816371159</v>
          </cell>
          <cell r="R177">
            <v>416.14686888954691</v>
          </cell>
          <cell r="S177">
            <v>416.22461517882164</v>
          </cell>
          <cell r="T177">
            <v>413.40192634457429</v>
          </cell>
          <cell r="U177">
            <v>409.10652475046084</v>
          </cell>
          <cell r="V177">
            <v>403.33841039649622</v>
          </cell>
          <cell r="W177">
            <v>396.09758328266571</v>
          </cell>
          <cell r="X177">
            <v>387.38404340896386</v>
          </cell>
          <cell r="Y177">
            <v>376.22576094613464</v>
          </cell>
          <cell r="Z177">
            <v>363.95623454830633</v>
          </cell>
          <cell r="AA177">
            <v>350.57546421549114</v>
          </cell>
          <cell r="AB177">
            <v>336.08344994768112</v>
          </cell>
          <cell r="AC177">
            <v>320.48019174487365</v>
          </cell>
          <cell r="AD177">
            <v>303.55741402200647</v>
          </cell>
          <cell r="AE177">
            <v>285.93955849750063</v>
          </cell>
          <cell r="AF177">
            <v>267.62662517135635</v>
          </cell>
          <cell r="AG177">
            <v>248.61861404357347</v>
          </cell>
          <cell r="AH177">
            <v>228.9155251141523</v>
          </cell>
        </row>
        <row r="178">
          <cell r="B178" t="str">
            <v>e-hydrogen (liquefied) - Finance cost - Africa - USD/ton fuel</v>
          </cell>
          <cell r="G178">
            <v>55.000000000000007</v>
          </cell>
          <cell r="H178">
            <v>55.000000000000007</v>
          </cell>
          <cell r="I178">
            <v>55.000000000000007</v>
          </cell>
          <cell r="J178">
            <v>55.000000000000007</v>
          </cell>
          <cell r="K178">
            <v>55.000000000000007</v>
          </cell>
          <cell r="L178">
            <v>55.000000000000007</v>
          </cell>
          <cell r="M178">
            <v>55.000000000000007</v>
          </cell>
          <cell r="N178">
            <v>55.000000000000007</v>
          </cell>
          <cell r="O178">
            <v>55.000000000000007</v>
          </cell>
          <cell r="P178">
            <v>55.000000000000007</v>
          </cell>
          <cell r="Q178">
            <v>55.000000000000007</v>
          </cell>
          <cell r="R178">
            <v>55.000000000000007</v>
          </cell>
          <cell r="S178">
            <v>55.000000000000007</v>
          </cell>
          <cell r="T178">
            <v>55.000000000000007</v>
          </cell>
          <cell r="U178">
            <v>55.000000000000007</v>
          </cell>
          <cell r="V178">
            <v>55.000000000000007</v>
          </cell>
          <cell r="W178">
            <v>55.000000000000007</v>
          </cell>
          <cell r="X178">
            <v>55.000000000000007</v>
          </cell>
          <cell r="Y178">
            <v>55.000000000000007</v>
          </cell>
          <cell r="Z178">
            <v>55.000000000000007</v>
          </cell>
          <cell r="AA178">
            <v>55.000000000000007</v>
          </cell>
          <cell r="AB178">
            <v>55.000000000000007</v>
          </cell>
          <cell r="AC178">
            <v>55.000000000000007</v>
          </cell>
          <cell r="AD178">
            <v>55.000000000000007</v>
          </cell>
          <cell r="AE178">
            <v>55.000000000000007</v>
          </cell>
          <cell r="AF178">
            <v>55.000000000000007</v>
          </cell>
          <cell r="AG178">
            <v>55.000000000000007</v>
          </cell>
          <cell r="AH178">
            <v>55.000000000000007</v>
          </cell>
        </row>
        <row r="179">
          <cell r="B179" t="str">
            <v>e-hydrogen (liquefied) - Finance cost - Americas - USD/ton fuel</v>
          </cell>
          <cell r="G179">
            <v>55.000000000000007</v>
          </cell>
          <cell r="H179">
            <v>55.000000000000007</v>
          </cell>
          <cell r="I179">
            <v>55.000000000000007</v>
          </cell>
          <cell r="J179">
            <v>55.000000000000007</v>
          </cell>
          <cell r="K179">
            <v>55.000000000000007</v>
          </cell>
          <cell r="L179">
            <v>55.000000000000007</v>
          </cell>
          <cell r="M179">
            <v>55.000000000000007</v>
          </cell>
          <cell r="N179">
            <v>55.000000000000007</v>
          </cell>
          <cell r="O179">
            <v>55.000000000000007</v>
          </cell>
          <cell r="P179">
            <v>55.000000000000007</v>
          </cell>
          <cell r="Q179">
            <v>55.000000000000007</v>
          </cell>
          <cell r="R179">
            <v>55.000000000000007</v>
          </cell>
          <cell r="S179">
            <v>55.000000000000007</v>
          </cell>
          <cell r="T179">
            <v>55.000000000000007</v>
          </cell>
          <cell r="U179">
            <v>55.000000000000007</v>
          </cell>
          <cell r="V179">
            <v>55.000000000000007</v>
          </cell>
          <cell r="W179">
            <v>55.000000000000007</v>
          </cell>
          <cell r="X179">
            <v>55.000000000000007</v>
          </cell>
          <cell r="Y179">
            <v>55.000000000000007</v>
          </cell>
          <cell r="Z179">
            <v>55.000000000000007</v>
          </cell>
          <cell r="AA179">
            <v>55.000000000000007</v>
          </cell>
          <cell r="AB179">
            <v>55.000000000000007</v>
          </cell>
          <cell r="AC179">
            <v>55.000000000000007</v>
          </cell>
          <cell r="AD179">
            <v>55.000000000000007</v>
          </cell>
          <cell r="AE179">
            <v>55.000000000000007</v>
          </cell>
          <cell r="AF179">
            <v>55.000000000000007</v>
          </cell>
          <cell r="AG179">
            <v>55.000000000000007</v>
          </cell>
          <cell r="AH179">
            <v>55.000000000000007</v>
          </cell>
        </row>
        <row r="180">
          <cell r="B180" t="str">
            <v>e-hydrogen (liquefied) - Finance cost - Asia - USD/ton fuel</v>
          </cell>
          <cell r="G180">
            <v>55.000000000000007</v>
          </cell>
          <cell r="H180">
            <v>55.000000000000007</v>
          </cell>
          <cell r="I180">
            <v>55.000000000000007</v>
          </cell>
          <cell r="J180">
            <v>55.000000000000007</v>
          </cell>
          <cell r="K180">
            <v>55.000000000000007</v>
          </cell>
          <cell r="L180">
            <v>55.000000000000007</v>
          </cell>
          <cell r="M180">
            <v>55.000000000000007</v>
          </cell>
          <cell r="N180">
            <v>55.000000000000007</v>
          </cell>
          <cell r="O180">
            <v>55.000000000000007</v>
          </cell>
          <cell r="P180">
            <v>55.000000000000007</v>
          </cell>
          <cell r="Q180">
            <v>55.000000000000007</v>
          </cell>
          <cell r="R180">
            <v>55.000000000000007</v>
          </cell>
          <cell r="S180">
            <v>55.000000000000007</v>
          </cell>
          <cell r="T180">
            <v>55.000000000000007</v>
          </cell>
          <cell r="U180">
            <v>55.000000000000007</v>
          </cell>
          <cell r="V180">
            <v>55.000000000000007</v>
          </cell>
          <cell r="W180">
            <v>55.000000000000007</v>
          </cell>
          <cell r="X180">
            <v>55.000000000000007</v>
          </cell>
          <cell r="Y180">
            <v>55.000000000000007</v>
          </cell>
          <cell r="Z180">
            <v>55.000000000000007</v>
          </cell>
          <cell r="AA180">
            <v>55.000000000000007</v>
          </cell>
          <cell r="AB180">
            <v>55.000000000000007</v>
          </cell>
          <cell r="AC180">
            <v>55.000000000000007</v>
          </cell>
          <cell r="AD180">
            <v>55.000000000000007</v>
          </cell>
          <cell r="AE180">
            <v>55.000000000000007</v>
          </cell>
          <cell r="AF180">
            <v>55.000000000000007</v>
          </cell>
          <cell r="AG180">
            <v>55.000000000000007</v>
          </cell>
          <cell r="AH180">
            <v>55.000000000000007</v>
          </cell>
        </row>
        <row r="181">
          <cell r="B181" t="str">
            <v>e-hydrogen (liquefied) - Finance cost - Europe - USD/ton fuel</v>
          </cell>
          <cell r="G181">
            <v>55.000000000000007</v>
          </cell>
          <cell r="H181">
            <v>55.000000000000007</v>
          </cell>
          <cell r="I181">
            <v>55.000000000000007</v>
          </cell>
          <cell r="J181">
            <v>55.000000000000007</v>
          </cell>
          <cell r="K181">
            <v>55.000000000000007</v>
          </cell>
          <cell r="L181">
            <v>55.000000000000007</v>
          </cell>
          <cell r="M181">
            <v>55.000000000000007</v>
          </cell>
          <cell r="N181">
            <v>55.000000000000007</v>
          </cell>
          <cell r="O181">
            <v>55.000000000000007</v>
          </cell>
          <cell r="P181">
            <v>55.000000000000007</v>
          </cell>
          <cell r="Q181">
            <v>55.000000000000007</v>
          </cell>
          <cell r="R181">
            <v>55.000000000000007</v>
          </cell>
          <cell r="S181">
            <v>55.000000000000007</v>
          </cell>
          <cell r="T181">
            <v>55.000000000000007</v>
          </cell>
          <cell r="U181">
            <v>55.000000000000007</v>
          </cell>
          <cell r="V181">
            <v>55.000000000000007</v>
          </cell>
          <cell r="W181">
            <v>55.000000000000007</v>
          </cell>
          <cell r="X181">
            <v>55.000000000000007</v>
          </cell>
          <cell r="Y181">
            <v>55.000000000000007</v>
          </cell>
          <cell r="Z181">
            <v>55.000000000000007</v>
          </cell>
          <cell r="AA181">
            <v>55.000000000000007</v>
          </cell>
          <cell r="AB181">
            <v>55.000000000000007</v>
          </cell>
          <cell r="AC181">
            <v>55.000000000000007</v>
          </cell>
          <cell r="AD181">
            <v>55.000000000000007</v>
          </cell>
          <cell r="AE181">
            <v>55.000000000000007</v>
          </cell>
          <cell r="AF181">
            <v>55.000000000000007</v>
          </cell>
          <cell r="AG181">
            <v>55.000000000000007</v>
          </cell>
          <cell r="AH181">
            <v>55.000000000000007</v>
          </cell>
        </row>
        <row r="182">
          <cell r="B182" t="str">
            <v>e-hydrogen (liquefied) - Finance cost - Middle East - USD/ton fuel</v>
          </cell>
          <cell r="G182">
            <v>55.000000000000007</v>
          </cell>
          <cell r="H182">
            <v>55.000000000000007</v>
          </cell>
          <cell r="I182">
            <v>55.000000000000007</v>
          </cell>
          <cell r="J182">
            <v>55.000000000000007</v>
          </cell>
          <cell r="K182">
            <v>55.000000000000007</v>
          </cell>
          <cell r="L182">
            <v>55.000000000000007</v>
          </cell>
          <cell r="M182">
            <v>55.000000000000007</v>
          </cell>
          <cell r="N182">
            <v>55.000000000000007</v>
          </cell>
          <cell r="O182">
            <v>55.000000000000007</v>
          </cell>
          <cell r="P182">
            <v>55.000000000000007</v>
          </cell>
          <cell r="Q182">
            <v>55.000000000000007</v>
          </cell>
          <cell r="R182">
            <v>55.000000000000007</v>
          </cell>
          <cell r="S182">
            <v>55.000000000000007</v>
          </cell>
          <cell r="T182">
            <v>55.000000000000007</v>
          </cell>
          <cell r="U182">
            <v>55.000000000000007</v>
          </cell>
          <cell r="V182">
            <v>55.000000000000007</v>
          </cell>
          <cell r="W182">
            <v>55.000000000000007</v>
          </cell>
          <cell r="X182">
            <v>55.000000000000007</v>
          </cell>
          <cell r="Y182">
            <v>55.000000000000007</v>
          </cell>
          <cell r="Z182">
            <v>55.000000000000007</v>
          </cell>
          <cell r="AA182">
            <v>55.000000000000007</v>
          </cell>
          <cell r="AB182">
            <v>55.000000000000007</v>
          </cell>
          <cell r="AC182">
            <v>55.000000000000007</v>
          </cell>
          <cell r="AD182">
            <v>55.000000000000007</v>
          </cell>
          <cell r="AE182">
            <v>55.000000000000007</v>
          </cell>
          <cell r="AF182">
            <v>55.000000000000007</v>
          </cell>
          <cell r="AG182">
            <v>55.000000000000007</v>
          </cell>
          <cell r="AH182">
            <v>55.000000000000007</v>
          </cell>
        </row>
        <row r="183">
          <cell r="B183" t="str">
            <v>e-hydrogen - Finance cost - Africa - USD/ton fuel</v>
          </cell>
          <cell r="G183">
            <v>423.4664833247287</v>
          </cell>
          <cell r="H183">
            <v>407.9080597487058</v>
          </cell>
          <cell r="I183">
            <v>391.93778538812398</v>
          </cell>
          <cell r="J183">
            <v>383.67894989578463</v>
          </cell>
          <cell r="K183">
            <v>374.65498754747659</v>
          </cell>
          <cell r="L183">
            <v>364.86589834320779</v>
          </cell>
          <cell r="M183">
            <v>354.31168228298088</v>
          </cell>
          <cell r="N183">
            <v>342.99233936678479</v>
          </cell>
          <cell r="O183">
            <v>350.20750340232428</v>
          </cell>
          <cell r="P183">
            <v>355.6383130013013</v>
          </cell>
          <cell r="Q183">
            <v>359.28476816371159</v>
          </cell>
          <cell r="R183">
            <v>361.14686888954691</v>
          </cell>
          <cell r="S183">
            <v>361.22461517882164</v>
          </cell>
          <cell r="T183">
            <v>358.40192634457429</v>
          </cell>
          <cell r="U183">
            <v>354.10652475046084</v>
          </cell>
          <cell r="V183">
            <v>348.33841039649622</v>
          </cell>
          <cell r="W183">
            <v>341.09758328266571</v>
          </cell>
          <cell r="X183">
            <v>332.38404340896386</v>
          </cell>
          <cell r="Y183">
            <v>321.22576094613464</v>
          </cell>
          <cell r="Z183">
            <v>308.95623454830633</v>
          </cell>
          <cell r="AA183">
            <v>295.57546421549114</v>
          </cell>
          <cell r="AB183">
            <v>281.08344994768112</v>
          </cell>
          <cell r="AC183">
            <v>265.48019174487365</v>
          </cell>
          <cell r="AD183">
            <v>248.55741402200647</v>
          </cell>
          <cell r="AE183">
            <v>230.93955849750063</v>
          </cell>
          <cell r="AF183">
            <v>212.62662517135635</v>
          </cell>
          <cell r="AG183">
            <v>193.61861404357347</v>
          </cell>
          <cell r="AH183">
            <v>173.9155251141523</v>
          </cell>
        </row>
        <row r="184">
          <cell r="B184" t="str">
            <v>e-hydrogen - Finance cost - Americas - USD/ton fuel</v>
          </cell>
          <cell r="G184">
            <v>423.4664833247287</v>
          </cell>
          <cell r="H184">
            <v>407.9080597487058</v>
          </cell>
          <cell r="I184">
            <v>391.93778538812398</v>
          </cell>
          <cell r="J184">
            <v>383.67894989578463</v>
          </cell>
          <cell r="K184">
            <v>374.65498754747659</v>
          </cell>
          <cell r="L184">
            <v>364.86589834320779</v>
          </cell>
          <cell r="M184">
            <v>354.31168228298088</v>
          </cell>
          <cell r="N184">
            <v>342.99233936678479</v>
          </cell>
          <cell r="O184">
            <v>350.20750340232428</v>
          </cell>
          <cell r="P184">
            <v>355.6383130013013</v>
          </cell>
          <cell r="Q184">
            <v>359.28476816371159</v>
          </cell>
          <cell r="R184">
            <v>361.14686888954691</v>
          </cell>
          <cell r="S184">
            <v>361.22461517882164</v>
          </cell>
          <cell r="T184">
            <v>358.40192634457429</v>
          </cell>
          <cell r="U184">
            <v>354.10652475046084</v>
          </cell>
          <cell r="V184">
            <v>348.33841039649622</v>
          </cell>
          <cell r="W184">
            <v>341.09758328266571</v>
          </cell>
          <cell r="X184">
            <v>332.38404340896386</v>
          </cell>
          <cell r="Y184">
            <v>321.22576094613464</v>
          </cell>
          <cell r="Z184">
            <v>308.95623454830633</v>
          </cell>
          <cell r="AA184">
            <v>295.57546421549114</v>
          </cell>
          <cell r="AB184">
            <v>281.08344994768112</v>
          </cell>
          <cell r="AC184">
            <v>265.48019174487365</v>
          </cell>
          <cell r="AD184">
            <v>248.55741402200647</v>
          </cell>
          <cell r="AE184">
            <v>230.93955849750063</v>
          </cell>
          <cell r="AF184">
            <v>212.62662517135635</v>
          </cell>
          <cell r="AG184">
            <v>193.61861404357347</v>
          </cell>
          <cell r="AH184">
            <v>173.9155251141523</v>
          </cell>
        </row>
        <row r="185">
          <cell r="B185" t="str">
            <v>e-hydrogen - Finance cost - Asia - USD/ton fuel</v>
          </cell>
          <cell r="G185">
            <v>423.4664833247287</v>
          </cell>
          <cell r="H185">
            <v>407.9080597487058</v>
          </cell>
          <cell r="I185">
            <v>391.93778538812398</v>
          </cell>
          <cell r="J185">
            <v>383.67894989578463</v>
          </cell>
          <cell r="K185">
            <v>374.65498754747659</v>
          </cell>
          <cell r="L185">
            <v>364.86589834320779</v>
          </cell>
          <cell r="M185">
            <v>354.31168228298088</v>
          </cell>
          <cell r="N185">
            <v>342.99233936678479</v>
          </cell>
          <cell r="O185">
            <v>350.20750340232428</v>
          </cell>
          <cell r="P185">
            <v>355.6383130013013</v>
          </cell>
          <cell r="Q185">
            <v>359.28476816371159</v>
          </cell>
          <cell r="R185">
            <v>361.14686888954691</v>
          </cell>
          <cell r="S185">
            <v>361.22461517882164</v>
          </cell>
          <cell r="T185">
            <v>358.40192634457429</v>
          </cell>
          <cell r="U185">
            <v>354.10652475046084</v>
          </cell>
          <cell r="V185">
            <v>348.33841039649622</v>
          </cell>
          <cell r="W185">
            <v>341.09758328266571</v>
          </cell>
          <cell r="X185">
            <v>332.38404340896386</v>
          </cell>
          <cell r="Y185">
            <v>321.22576094613464</v>
          </cell>
          <cell r="Z185">
            <v>308.95623454830633</v>
          </cell>
          <cell r="AA185">
            <v>295.57546421549114</v>
          </cell>
          <cell r="AB185">
            <v>281.08344994768112</v>
          </cell>
          <cell r="AC185">
            <v>265.48019174487365</v>
          </cell>
          <cell r="AD185">
            <v>248.55741402200647</v>
          </cell>
          <cell r="AE185">
            <v>230.93955849750063</v>
          </cell>
          <cell r="AF185">
            <v>212.62662517135635</v>
          </cell>
          <cell r="AG185">
            <v>193.61861404357347</v>
          </cell>
          <cell r="AH185">
            <v>173.9155251141523</v>
          </cell>
        </row>
        <row r="186">
          <cell r="B186" t="str">
            <v>e-hydrogen - Finance cost - Europe - USD/ton fuel</v>
          </cell>
          <cell r="G186">
            <v>423.4664833247287</v>
          </cell>
          <cell r="H186">
            <v>407.9080597487058</v>
          </cell>
          <cell r="I186">
            <v>391.93778538812398</v>
          </cell>
          <cell r="J186">
            <v>383.67894989578463</v>
          </cell>
          <cell r="K186">
            <v>374.65498754747659</v>
          </cell>
          <cell r="L186">
            <v>364.86589834320779</v>
          </cell>
          <cell r="M186">
            <v>354.31168228298088</v>
          </cell>
          <cell r="N186">
            <v>342.99233936678479</v>
          </cell>
          <cell r="O186">
            <v>350.20750340232428</v>
          </cell>
          <cell r="P186">
            <v>355.6383130013013</v>
          </cell>
          <cell r="Q186">
            <v>359.28476816371159</v>
          </cell>
          <cell r="R186">
            <v>361.14686888954691</v>
          </cell>
          <cell r="S186">
            <v>361.22461517882164</v>
          </cell>
          <cell r="T186">
            <v>358.40192634457429</v>
          </cell>
          <cell r="U186">
            <v>354.10652475046084</v>
          </cell>
          <cell r="V186">
            <v>348.33841039649622</v>
          </cell>
          <cell r="W186">
            <v>341.09758328266571</v>
          </cell>
          <cell r="X186">
            <v>332.38404340896386</v>
          </cell>
          <cell r="Y186">
            <v>321.22576094613464</v>
          </cell>
          <cell r="Z186">
            <v>308.95623454830633</v>
          </cell>
          <cell r="AA186">
            <v>295.57546421549114</v>
          </cell>
          <cell r="AB186">
            <v>281.08344994768112</v>
          </cell>
          <cell r="AC186">
            <v>265.48019174487365</v>
          </cell>
          <cell r="AD186">
            <v>248.55741402200647</v>
          </cell>
          <cell r="AE186">
            <v>230.93955849750063</v>
          </cell>
          <cell r="AF186">
            <v>212.62662517135635</v>
          </cell>
          <cell r="AG186">
            <v>193.61861404357347</v>
          </cell>
          <cell r="AH186">
            <v>173.9155251141523</v>
          </cell>
        </row>
        <row r="187">
          <cell r="B187" t="str">
            <v>e-hydrogen - Finance cost - Middle East - USD/ton fuel</v>
          </cell>
          <cell r="G187">
            <v>423.4664833247287</v>
          </cell>
          <cell r="H187">
            <v>407.9080597487058</v>
          </cell>
          <cell r="I187">
            <v>391.93778538812398</v>
          </cell>
          <cell r="J187">
            <v>383.67894989578463</v>
          </cell>
          <cell r="K187">
            <v>374.65498754747659</v>
          </cell>
          <cell r="L187">
            <v>364.86589834320779</v>
          </cell>
          <cell r="M187">
            <v>354.31168228298088</v>
          </cell>
          <cell r="N187">
            <v>342.99233936678479</v>
          </cell>
          <cell r="O187">
            <v>350.20750340232428</v>
          </cell>
          <cell r="P187">
            <v>355.6383130013013</v>
          </cell>
          <cell r="Q187">
            <v>359.28476816371159</v>
          </cell>
          <cell r="R187">
            <v>361.14686888954691</v>
          </cell>
          <cell r="S187">
            <v>361.22461517882164</v>
          </cell>
          <cell r="T187">
            <v>358.40192634457429</v>
          </cell>
          <cell r="U187">
            <v>354.10652475046084</v>
          </cell>
          <cell r="V187">
            <v>348.33841039649622</v>
          </cell>
          <cell r="W187">
            <v>341.09758328266571</v>
          </cell>
          <cell r="X187">
            <v>332.38404340896386</v>
          </cell>
          <cell r="Y187">
            <v>321.22576094613464</v>
          </cell>
          <cell r="Z187">
            <v>308.95623454830633</v>
          </cell>
          <cell r="AA187">
            <v>295.57546421549114</v>
          </cell>
          <cell r="AB187">
            <v>281.08344994768112</v>
          </cell>
          <cell r="AC187">
            <v>265.48019174487365</v>
          </cell>
          <cell r="AD187">
            <v>248.55741402200647</v>
          </cell>
          <cell r="AE187">
            <v>230.93955849750063</v>
          </cell>
          <cell r="AF187">
            <v>212.62662517135635</v>
          </cell>
          <cell r="AG187">
            <v>193.61861404357347</v>
          </cell>
          <cell r="AH187">
            <v>173.9155251141523</v>
          </cell>
        </row>
        <row r="188">
          <cell r="B188" t="str">
            <v/>
          </cell>
        </row>
        <row r="189">
          <cell r="B189" t="str">
            <v>e-hydrogen (liquefied) - Energy cost including feedstock energy cost - Africa - USD/ton fuel</v>
          </cell>
          <cell r="G189">
            <v>3683.459368492518</v>
          </cell>
          <cell r="H189">
            <v>3247.7462427366322</v>
          </cell>
          <cell r="I189">
            <v>2812.4036510525721</v>
          </cell>
          <cell r="J189">
            <v>2687.4850137527992</v>
          </cell>
          <cell r="K189">
            <v>2562.2450917516448</v>
          </cell>
          <cell r="L189">
            <v>2436.7866718909677</v>
          </cell>
          <cell r="M189">
            <v>2311.2125410126682</v>
          </cell>
          <cell r="N189">
            <v>2185.625485958632</v>
          </cell>
          <cell r="O189">
            <v>2107.4374340731506</v>
          </cell>
          <cell r="P189">
            <v>2029.4176159667286</v>
          </cell>
          <cell r="Q189">
            <v>1951.6213952758139</v>
          </cell>
          <cell r="R189">
            <v>1874.1041356369462</v>
          </cell>
          <cell r="S189">
            <v>1796.9212006866612</v>
          </cell>
          <cell r="T189">
            <v>1753.9352158138154</v>
          </cell>
          <cell r="U189">
            <v>1711.0393505313141</v>
          </cell>
          <cell r="V189">
            <v>1668.2516702041435</v>
          </cell>
          <cell r="W189">
            <v>1625.5902401971834</v>
          </cell>
          <cell r="X189">
            <v>1583.0731258754108</v>
          </cell>
          <cell r="Y189">
            <v>1536.444528109143</v>
          </cell>
          <cell r="Z189">
            <v>1490.6377653970915</v>
          </cell>
          <cell r="AA189">
            <v>1445.6422736008039</v>
          </cell>
          <cell r="AB189">
            <v>1401.4474885818058</v>
          </cell>
          <cell r="AC189">
            <v>1358.0428462016287</v>
          </cell>
          <cell r="AD189">
            <v>1331.9539411682927</v>
          </cell>
          <cell r="AE189">
            <v>1306.3287806257013</v>
          </cell>
          <cell r="AF189">
            <v>1281.1607076215521</v>
          </cell>
          <cell r="AG189">
            <v>1256.4430652035689</v>
          </cell>
          <cell r="AH189">
            <v>1232.1691964194761</v>
          </cell>
        </row>
        <row r="190">
          <cell r="B190" t="str">
            <v>e-hydrogen (liquefied) - Energy cost including feedstock energy cost - Americas - USD/ton fuel</v>
          </cell>
          <cell r="G190">
            <v>2314.3723314145368</v>
          </cell>
          <cell r="H190">
            <v>2264.2297360422972</v>
          </cell>
          <cell r="I190">
            <v>2213.8069519550136</v>
          </cell>
          <cell r="J190">
            <v>2129.3194001723732</v>
          </cell>
          <cell r="K190">
            <v>2044.5236757194637</v>
          </cell>
          <cell r="L190">
            <v>1959.4888419473341</v>
          </cell>
          <cell r="M190">
            <v>1874.2839622071197</v>
          </cell>
          <cell r="N190">
            <v>1788.9780998497893</v>
          </cell>
          <cell r="O190">
            <v>1740.7782318656746</v>
          </cell>
          <cell r="P190">
            <v>1692.5304647751707</v>
          </cell>
          <cell r="Q190">
            <v>1644.2668680047391</v>
          </cell>
          <cell r="R190">
            <v>1596.0195109808458</v>
          </cell>
          <cell r="S190">
            <v>1547.820463130013</v>
          </cell>
          <cell r="T190">
            <v>1506.695907431659</v>
          </cell>
          <cell r="U190">
            <v>1465.7099109051333</v>
          </cell>
          <cell r="V190">
            <v>1424.8804955952835</v>
          </cell>
          <cell r="W190">
            <v>1384.2256835468684</v>
          </cell>
          <cell r="X190">
            <v>1343.7634968047023</v>
          </cell>
          <cell r="Y190">
            <v>1317.7629882273025</v>
          </cell>
          <cell r="Z190">
            <v>1292.1688771846234</v>
          </cell>
          <cell r="AA190">
            <v>1266.9770346592486</v>
          </cell>
          <cell r="AB190">
            <v>1242.1833316336988</v>
          </cell>
          <cell r="AC190">
            <v>1217.7836390905495</v>
          </cell>
          <cell r="AD190">
            <v>1198.4773993611991</v>
          </cell>
          <cell r="AE190">
            <v>1179.513740836278</v>
          </cell>
          <cell r="AF190">
            <v>1160.8886642678749</v>
          </cell>
          <cell r="AG190">
            <v>1142.5981704080878</v>
          </cell>
          <cell r="AH190">
            <v>1124.6382600090155</v>
          </cell>
        </row>
        <row r="191">
          <cell r="B191" t="str">
            <v>e-hydrogen (liquefied) - Energy cost including feedstock energy cost - Asia - USD/ton fuel</v>
          </cell>
          <cell r="G191">
            <v>4096.772479153291</v>
          </cell>
          <cell r="H191">
            <v>3733.1194335722821</v>
          </cell>
          <cell r="I191">
            <v>3369.6010325143457</v>
          </cell>
          <cell r="J191">
            <v>3235.210245482453</v>
          </cell>
          <cell r="K191">
            <v>3100.3735253424288</v>
          </cell>
          <cell r="L191">
            <v>2965.200950157755</v>
          </cell>
          <cell r="M191">
            <v>2829.8025979921708</v>
          </cell>
          <cell r="N191">
            <v>2694.2885469092935</v>
          </cell>
          <cell r="O191">
            <v>2593.1968925440879</v>
          </cell>
          <cell r="P191">
            <v>2492.3679207058644</v>
          </cell>
          <cell r="Q191">
            <v>2391.8738264361327</v>
          </cell>
          <cell r="R191">
            <v>2291.7868047763523</v>
          </cell>
          <cell r="S191">
            <v>2192.1790507681594</v>
          </cell>
          <cell r="T191">
            <v>2134.064540282262</v>
          </cell>
          <cell r="U191">
            <v>2076.1443347709574</v>
          </cell>
          <cell r="V191">
            <v>2018.4438806549806</v>
          </cell>
          <cell r="W191">
            <v>1960.9886243548717</v>
          </cell>
          <cell r="X191">
            <v>1903.8040122913485</v>
          </cell>
          <cell r="Y191">
            <v>1840.8715304520729</v>
          </cell>
          <cell r="Z191">
            <v>1779.0744309671663</v>
          </cell>
          <cell r="AA191">
            <v>1718.3975663602955</v>
          </cell>
          <cell r="AB191">
            <v>1658.8257891551045</v>
          </cell>
          <cell r="AC191">
            <v>1600.3439518752489</v>
          </cell>
          <cell r="AD191">
            <v>1567.3727820679719</v>
          </cell>
          <cell r="AE191">
            <v>1534.9880184282715</v>
          </cell>
          <cell r="AF191">
            <v>1503.1807428037812</v>
          </cell>
          <cell r="AG191">
            <v>1471.9420370421251</v>
          </cell>
          <cell r="AH191">
            <v>1441.2629829909272</v>
          </cell>
        </row>
        <row r="192">
          <cell r="B192" t="str">
            <v>e-hydrogen (liquefied) - Energy cost including feedstock energy cost - Europe - USD/ton fuel</v>
          </cell>
          <cell r="G192">
            <v>3049.8252005946142</v>
          </cell>
          <cell r="H192">
            <v>2915.5266551616692</v>
          </cell>
          <cell r="I192">
            <v>2781.0153878308888</v>
          </cell>
          <cell r="J192">
            <v>2670.4622456686634</v>
          </cell>
          <cell r="K192">
            <v>2559.5396148727323</v>
          </cell>
          <cell r="L192">
            <v>2448.3380350447687</v>
          </cell>
          <cell r="M192">
            <v>2336.9480457864024</v>
          </cell>
          <cell r="N192">
            <v>2225.4601866992757</v>
          </cell>
          <cell r="O192">
            <v>2169.7865737818602</v>
          </cell>
          <cell r="P192">
            <v>2114.0030203207002</v>
          </cell>
          <cell r="Q192">
            <v>2058.1458262342712</v>
          </cell>
          <cell r="R192">
            <v>2002.251291441125</v>
          </cell>
          <cell r="S192">
            <v>1946.3557158598908</v>
          </cell>
          <cell r="T192">
            <v>1907.3587633652737</v>
          </cell>
          <cell r="U192">
            <v>1868.3469478524942</v>
          </cell>
          <cell r="V192">
            <v>1829.3352941682924</v>
          </cell>
          <cell r="W192">
            <v>1790.3388271592755</v>
          </cell>
          <cell r="X192">
            <v>1751.3725716721383</v>
          </cell>
          <cell r="Y192">
            <v>1706.9329626234908</v>
          </cell>
          <cell r="Z192">
            <v>1663.2493134641923</v>
          </cell>
          <cell r="AA192">
            <v>1620.3124830568784</v>
          </cell>
          <cell r="AB192">
            <v>1578.1133302640901</v>
          </cell>
          <cell r="AC192">
            <v>1536.6427139484515</v>
          </cell>
          <cell r="AD192">
            <v>1504.9849352788212</v>
          </cell>
          <cell r="AE192">
            <v>1473.8902034271657</v>
          </cell>
          <cell r="AF192">
            <v>1443.3499556994013</v>
          </cell>
          <cell r="AG192">
            <v>1413.3556294014361</v>
          </cell>
          <cell r="AH192">
            <v>1383.8986618391766</v>
          </cell>
        </row>
        <row r="193">
          <cell r="B193" t="str">
            <v>e-hydrogen (liquefied) - Energy cost including feedstock energy cost - Middle East - USD/ton fuel</v>
          </cell>
          <cell r="G193">
            <v>2335.3876205927845</v>
          </cell>
          <cell r="H193">
            <v>2230.1509851002811</v>
          </cell>
          <cell r="I193">
            <v>2124.7569605889621</v>
          </cell>
          <cell r="J193">
            <v>2053.1570229454856</v>
          </cell>
          <cell r="K193">
            <v>1981.2234222935845</v>
          </cell>
          <cell r="L193">
            <v>1909.0143237109155</v>
          </cell>
          <cell r="M193">
            <v>1836.5878922751922</v>
          </cell>
          <cell r="N193">
            <v>1764.002293064048</v>
          </cell>
          <cell r="O193">
            <v>1706.9902111380097</v>
          </cell>
          <cell r="P193">
            <v>1650.042329939537</v>
          </cell>
          <cell r="Q193">
            <v>1593.1982242632994</v>
          </cell>
          <cell r="R193">
            <v>1536.4974689040282</v>
          </cell>
          <cell r="S193">
            <v>1479.9796386564722</v>
          </cell>
          <cell r="T193">
            <v>1446.4455742454948</v>
          </cell>
          <cell r="U193">
            <v>1412.9579258294052</v>
          </cell>
          <cell r="V193">
            <v>1379.530449244163</v>
          </cell>
          <cell r="W193">
            <v>1346.1769003256027</v>
          </cell>
          <cell r="X193">
            <v>1312.9110349096543</v>
          </cell>
          <cell r="Y193">
            <v>1270.0365924823211</v>
          </cell>
          <cell r="Z193">
            <v>1227.933871776298</v>
          </cell>
          <cell r="AA193">
            <v>1186.5926138973086</v>
          </cell>
          <cell r="AB193">
            <v>1146.0025599510525</v>
          </cell>
          <cell r="AC193">
            <v>1106.1534510432427</v>
          </cell>
          <cell r="AD193">
            <v>1083.3635224923623</v>
          </cell>
          <cell r="AE193">
            <v>1060.9789224841743</v>
          </cell>
          <cell r="AF193">
            <v>1038.9934866497065</v>
          </cell>
          <cell r="AG193">
            <v>1017.4010506200011</v>
          </cell>
          <cell r="AH193">
            <v>996.1954500261013</v>
          </cell>
        </row>
        <row r="194">
          <cell r="B194" t="str">
            <v>e-hydrogen (liquefied) - Energy cost - Africa - USD/ton fuel</v>
          </cell>
          <cell r="G194">
            <v>583.89806930514169</v>
          </cell>
          <cell r="H194">
            <v>515.33296245659585</v>
          </cell>
          <cell r="I194">
            <v>446.76785560803182</v>
          </cell>
          <cell r="J194">
            <v>427.65424685038852</v>
          </cell>
          <cell r="K194">
            <v>408.54063809274521</v>
          </cell>
          <cell r="L194">
            <v>389.42702933510191</v>
          </cell>
          <cell r="M194">
            <v>370.31342057745405</v>
          </cell>
          <cell r="N194">
            <v>351.19981181981075</v>
          </cell>
          <cell r="O194">
            <v>340.53057098426962</v>
          </cell>
          <cell r="P194">
            <v>329.86133014872848</v>
          </cell>
          <cell r="Q194">
            <v>319.19208931318281</v>
          </cell>
          <cell r="R194">
            <v>308.52284847764167</v>
          </cell>
          <cell r="S194">
            <v>297.85360764210168</v>
          </cell>
          <cell r="T194">
            <v>292.83177129903038</v>
          </cell>
          <cell r="U194">
            <v>287.80993495596022</v>
          </cell>
          <cell r="V194">
            <v>282.78809861288892</v>
          </cell>
          <cell r="W194">
            <v>277.76626226981762</v>
          </cell>
          <cell r="X194">
            <v>272.74442592674859</v>
          </cell>
          <cell r="Y194">
            <v>267.58061649346246</v>
          </cell>
          <cell r="Z194">
            <v>262.41680706017632</v>
          </cell>
          <cell r="AA194">
            <v>257.25299762688792</v>
          </cell>
          <cell r="AB194">
            <v>252.08918819360179</v>
          </cell>
          <cell r="AC194">
            <v>246.92537876031452</v>
          </cell>
          <cell r="AD194">
            <v>244.39084279606391</v>
          </cell>
          <cell r="AE194">
            <v>241.85630683181444</v>
          </cell>
          <cell r="AF194">
            <v>239.32177086756383</v>
          </cell>
          <cell r="AG194">
            <v>236.78723490331322</v>
          </cell>
          <cell r="AH194">
            <v>234.25269893906375</v>
          </cell>
        </row>
        <row r="195">
          <cell r="B195" t="str">
            <v>e-hydrogen (liquefied) - Energy cost - Americas - USD/ton fuel</v>
          </cell>
          <cell r="G195">
            <v>366.87184539767031</v>
          </cell>
          <cell r="H195">
            <v>359.27444151972622</v>
          </cell>
          <cell r="I195">
            <v>351.67703764177986</v>
          </cell>
          <cell r="J195">
            <v>338.83444176422017</v>
          </cell>
          <cell r="K195">
            <v>325.99184588666049</v>
          </cell>
          <cell r="L195">
            <v>313.1492500091008</v>
          </cell>
          <cell r="M195">
            <v>300.30665413154566</v>
          </cell>
          <cell r="N195">
            <v>287.46405825398597</v>
          </cell>
          <cell r="O195">
            <v>281.28389278370832</v>
          </cell>
          <cell r="P195">
            <v>275.10372731343068</v>
          </cell>
          <cell r="Q195">
            <v>268.92356184315304</v>
          </cell>
          <cell r="R195">
            <v>262.7433963728754</v>
          </cell>
          <cell r="S195">
            <v>256.56323090259662</v>
          </cell>
          <cell r="T195">
            <v>251.55343675421591</v>
          </cell>
          <cell r="U195">
            <v>246.5436426058352</v>
          </cell>
          <cell r="V195">
            <v>241.53384845745336</v>
          </cell>
          <cell r="W195">
            <v>236.52405430907265</v>
          </cell>
          <cell r="X195">
            <v>231.51426016069138</v>
          </cell>
          <cell r="Y195">
            <v>229.49597354879643</v>
          </cell>
          <cell r="Z195">
            <v>227.47768693690148</v>
          </cell>
          <cell r="AA195">
            <v>225.4594003250071</v>
          </cell>
          <cell r="AB195">
            <v>223.44111371311214</v>
          </cell>
          <cell r="AC195">
            <v>221.42282710121719</v>
          </cell>
          <cell r="AD195">
            <v>219.90017270793203</v>
          </cell>
          <cell r="AE195">
            <v>218.37751831464743</v>
          </cell>
          <cell r="AF195">
            <v>216.85486392136283</v>
          </cell>
          <cell r="AG195">
            <v>215.33220952807824</v>
          </cell>
          <cell r="AH195">
            <v>213.80955513479364</v>
          </cell>
        </row>
        <row r="196">
          <cell r="B196" t="str">
            <v>e-hydrogen (liquefied) - Energy cost - Asia - USD/ton fuel</v>
          </cell>
          <cell r="G196">
            <v>649.41602489809156</v>
          </cell>
          <cell r="H196">
            <v>592.34907936835953</v>
          </cell>
          <cell r="I196">
            <v>535.28213383865477</v>
          </cell>
          <cell r="J196">
            <v>514.81269434223577</v>
          </cell>
          <cell r="K196">
            <v>494.34325484582587</v>
          </cell>
          <cell r="L196">
            <v>473.87381534940687</v>
          </cell>
          <cell r="M196">
            <v>453.40437585298787</v>
          </cell>
          <cell r="N196">
            <v>432.93493635657796</v>
          </cell>
          <cell r="O196">
            <v>419.02208066311687</v>
          </cell>
          <cell r="P196">
            <v>405.10922496966032</v>
          </cell>
          <cell r="Q196">
            <v>391.19636927620832</v>
          </cell>
          <cell r="R196">
            <v>377.28351358275177</v>
          </cell>
          <cell r="S196">
            <v>363.37065788929522</v>
          </cell>
          <cell r="T196">
            <v>356.29702497725702</v>
          </cell>
          <cell r="U196">
            <v>349.22339206521883</v>
          </cell>
          <cell r="V196">
            <v>342.14975915318291</v>
          </cell>
          <cell r="W196">
            <v>335.07612624114472</v>
          </cell>
          <cell r="X196">
            <v>328.00249332911108</v>
          </cell>
          <cell r="Y196">
            <v>320.59832294097532</v>
          </cell>
          <cell r="Z196">
            <v>313.19415255284184</v>
          </cell>
          <cell r="AA196">
            <v>305.78998216470609</v>
          </cell>
          <cell r="AB196">
            <v>298.38581177657261</v>
          </cell>
          <cell r="AC196">
            <v>290.98164138843686</v>
          </cell>
          <cell r="AD196">
            <v>287.58618698873192</v>
          </cell>
          <cell r="AE196">
            <v>284.19073258902586</v>
          </cell>
          <cell r="AF196">
            <v>280.79527818932092</v>
          </cell>
          <cell r="AG196">
            <v>277.39982378961599</v>
          </cell>
          <cell r="AH196">
            <v>274.00436938990993</v>
          </cell>
        </row>
        <row r="197">
          <cell r="B197" t="str">
            <v>e-hydrogen (liquefied) - Energy cost - Europe - USD/ton fuel</v>
          </cell>
          <cell r="G197">
            <v>483.45505357757247</v>
          </cell>
          <cell r="H197">
            <v>462.61834393182653</v>
          </cell>
          <cell r="I197">
            <v>441.78163428608059</v>
          </cell>
          <cell r="J197">
            <v>424.9454469772445</v>
          </cell>
          <cell r="K197">
            <v>408.10925966840387</v>
          </cell>
          <cell r="L197">
            <v>391.27307235956778</v>
          </cell>
          <cell r="M197">
            <v>374.43688505072714</v>
          </cell>
          <cell r="N197">
            <v>357.60069774189105</v>
          </cell>
          <cell r="O197">
            <v>350.60526539849434</v>
          </cell>
          <cell r="P197">
            <v>343.60983305510445</v>
          </cell>
          <cell r="Q197">
            <v>336.61440071171228</v>
          </cell>
          <cell r="R197">
            <v>329.61896836832011</v>
          </cell>
          <cell r="S197">
            <v>322.62353602493022</v>
          </cell>
          <cell r="T197">
            <v>318.44690735616723</v>
          </cell>
          <cell r="U197">
            <v>314.27027868740538</v>
          </cell>
          <cell r="V197">
            <v>310.09365001864353</v>
          </cell>
          <cell r="W197">
            <v>305.91702134988168</v>
          </cell>
          <cell r="X197">
            <v>301.74039268111756</v>
          </cell>
          <cell r="Y197">
            <v>297.2721540516045</v>
          </cell>
          <cell r="Z197">
            <v>292.80391542209031</v>
          </cell>
          <cell r="AA197">
            <v>288.33567679257726</v>
          </cell>
          <cell r="AB197">
            <v>283.86743816306307</v>
          </cell>
          <cell r="AC197">
            <v>279.39919953355002</v>
          </cell>
          <cell r="AD197">
            <v>276.13908060931863</v>
          </cell>
          <cell r="AE197">
            <v>272.8789616850861</v>
          </cell>
          <cell r="AF197">
            <v>269.6188427608547</v>
          </cell>
          <cell r="AG197">
            <v>266.35872383662331</v>
          </cell>
          <cell r="AH197">
            <v>263.09860491239078</v>
          </cell>
        </row>
        <row r="198">
          <cell r="B198" t="str">
            <v>e-hydrogen (liquefied) - Energy cost - Middle East - USD/ton fuel</v>
          </cell>
          <cell r="G198">
            <v>370.20316673163961</v>
          </cell>
          <cell r="H198">
            <v>353.86702900434102</v>
          </cell>
          <cell r="I198">
            <v>337.53089127703788</v>
          </cell>
          <cell r="J198">
            <v>326.71487127187447</v>
          </cell>
          <cell r="K198">
            <v>315.89885126671106</v>
          </cell>
          <cell r="L198">
            <v>305.08283126154765</v>
          </cell>
          <cell r="M198">
            <v>294.26681125638424</v>
          </cell>
          <cell r="N198">
            <v>283.45079125122083</v>
          </cell>
          <cell r="O198">
            <v>275.8242507536329</v>
          </cell>
          <cell r="P198">
            <v>268.19771025604723</v>
          </cell>
          <cell r="Q198">
            <v>260.57116975845929</v>
          </cell>
          <cell r="R198">
            <v>252.94462926087363</v>
          </cell>
          <cell r="S198">
            <v>245.31808876328796</v>
          </cell>
          <cell r="T198">
            <v>241.49422155106208</v>
          </cell>
          <cell r="U198">
            <v>237.6703543388362</v>
          </cell>
          <cell r="V198">
            <v>233.84648712661146</v>
          </cell>
          <cell r="W198">
            <v>230.02261991438559</v>
          </cell>
          <cell r="X198">
            <v>226.19875270215971</v>
          </cell>
          <cell r="Y198">
            <v>221.18414831670066</v>
          </cell>
          <cell r="Z198">
            <v>216.16954393124274</v>
          </cell>
          <cell r="AA198">
            <v>211.15493954578369</v>
          </cell>
          <cell r="AB198">
            <v>206.14033516032578</v>
          </cell>
          <cell r="AC198">
            <v>201.12573077486616</v>
          </cell>
          <cell r="AD198">
            <v>198.77873861328055</v>
          </cell>
          <cell r="AE198">
            <v>196.43174645169552</v>
          </cell>
          <cell r="AF198">
            <v>194.08475429010991</v>
          </cell>
          <cell r="AG198">
            <v>191.73776212852431</v>
          </cell>
          <cell r="AH198">
            <v>189.39076996693927</v>
          </cell>
        </row>
        <row r="199">
          <cell r="B199" t="str">
            <v>e-hydrogen - Energy cost - Africa - USD/ton fuel</v>
          </cell>
          <cell r="G199">
            <v>3099.5612991873763</v>
          </cell>
          <cell r="H199">
            <v>2732.4132802800364</v>
          </cell>
          <cell r="I199">
            <v>2365.6357954445402</v>
          </cell>
          <cell r="J199">
            <v>2259.8307669024107</v>
          </cell>
          <cell r="K199">
            <v>2153.7044536588996</v>
          </cell>
          <cell r="L199">
            <v>2047.3596425558658</v>
          </cell>
          <cell r="M199">
            <v>1940.8991204352139</v>
          </cell>
          <cell r="N199">
            <v>1834.4256741388213</v>
          </cell>
          <cell r="O199">
            <v>1766.906863088881</v>
          </cell>
          <cell r="P199">
            <v>1699.5562858180001</v>
          </cell>
          <cell r="Q199">
            <v>1632.4293059626311</v>
          </cell>
          <cell r="R199">
            <v>1565.5812871593046</v>
          </cell>
          <cell r="S199">
            <v>1499.0675930445595</v>
          </cell>
          <cell r="T199">
            <v>1461.103444514785</v>
          </cell>
          <cell r="U199">
            <v>1423.2294155753539</v>
          </cell>
          <cell r="V199">
            <v>1385.4635715912545</v>
          </cell>
          <cell r="W199">
            <v>1347.8239779273658</v>
          </cell>
          <cell r="X199">
            <v>1310.3286999486622</v>
          </cell>
          <cell r="Y199">
            <v>1268.8639116156805</v>
          </cell>
          <cell r="Z199">
            <v>1228.2209583369151</v>
          </cell>
          <cell r="AA199">
            <v>1188.389275973916</v>
          </cell>
          <cell r="AB199">
            <v>1149.358300388204</v>
          </cell>
          <cell r="AC199">
            <v>1111.1174674413141</v>
          </cell>
          <cell r="AD199">
            <v>1087.5630983722288</v>
          </cell>
          <cell r="AE199">
            <v>1064.4724737938868</v>
          </cell>
          <cell r="AF199">
            <v>1041.8389367539883</v>
          </cell>
          <cell r="AG199">
            <v>1019.6558303002557</v>
          </cell>
          <cell r="AH199">
            <v>997.91649748041243</v>
          </cell>
        </row>
        <row r="200">
          <cell r="B200" t="str">
            <v>e-hydrogen - Energy cost - Americas - USD/ton fuel</v>
          </cell>
          <cell r="G200">
            <v>1947.5004860168665</v>
          </cell>
          <cell r="H200">
            <v>1904.9552945225707</v>
          </cell>
          <cell r="I200">
            <v>1862.1299143132335</v>
          </cell>
          <cell r="J200">
            <v>1790.4849584081528</v>
          </cell>
          <cell r="K200">
            <v>1718.5318298328032</v>
          </cell>
          <cell r="L200">
            <v>1646.3395919382333</v>
          </cell>
          <cell r="M200">
            <v>1573.977308075574</v>
          </cell>
          <cell r="N200">
            <v>1501.5140415958033</v>
          </cell>
          <cell r="O200">
            <v>1459.4943390819662</v>
          </cell>
          <cell r="P200">
            <v>1417.42673746174</v>
          </cell>
          <cell r="Q200">
            <v>1375.343306161586</v>
          </cell>
          <cell r="R200">
            <v>1333.2761146079704</v>
          </cell>
          <cell r="S200">
            <v>1291.2572322274164</v>
          </cell>
          <cell r="T200">
            <v>1255.142470677443</v>
          </cell>
          <cell r="U200">
            <v>1219.1662682992981</v>
          </cell>
          <cell r="V200">
            <v>1183.3466471378301</v>
          </cell>
          <cell r="W200">
            <v>1147.7016292377957</v>
          </cell>
          <cell r="X200">
            <v>1112.249236644011</v>
          </cell>
          <cell r="Y200">
            <v>1088.267014678506</v>
          </cell>
          <cell r="Z200">
            <v>1064.6911902477218</v>
          </cell>
          <cell r="AA200">
            <v>1041.5176343342414</v>
          </cell>
          <cell r="AB200">
            <v>1018.7422179205867</v>
          </cell>
          <cell r="AC200">
            <v>996.36081198933221</v>
          </cell>
          <cell r="AD200">
            <v>978.57722665326708</v>
          </cell>
          <cell r="AE200">
            <v>961.13622252163054</v>
          </cell>
          <cell r="AF200">
            <v>944.03380034651195</v>
          </cell>
          <cell r="AG200">
            <v>927.26596088000963</v>
          </cell>
          <cell r="AH200">
            <v>910.82870487422178</v>
          </cell>
        </row>
        <row r="201">
          <cell r="B201" t="str">
            <v>e-hydrogen - Energy cost - Asia - USD/ton fuel</v>
          </cell>
          <cell r="G201">
            <v>3447.3564542551999</v>
          </cell>
          <cell r="H201">
            <v>3140.7703542039226</v>
          </cell>
          <cell r="I201">
            <v>2834.3188986756909</v>
          </cell>
          <cell r="J201">
            <v>2720.3975511402173</v>
          </cell>
          <cell r="K201">
            <v>2606.030270496603</v>
          </cell>
          <cell r="L201">
            <v>2491.3271348083481</v>
          </cell>
          <cell r="M201">
            <v>2376.398222139183</v>
          </cell>
          <cell r="N201">
            <v>2261.3536105527155</v>
          </cell>
          <cell r="O201">
            <v>2174.174811880971</v>
          </cell>
          <cell r="P201">
            <v>2087.2586957362041</v>
          </cell>
          <cell r="Q201">
            <v>2000.6774571599242</v>
          </cell>
          <cell r="R201">
            <v>1914.5032911936005</v>
          </cell>
          <cell r="S201">
            <v>1828.8083928788642</v>
          </cell>
          <cell r="T201">
            <v>1777.7675153050047</v>
          </cell>
          <cell r="U201">
            <v>1726.9209427057385</v>
          </cell>
          <cell r="V201">
            <v>1676.2941215017977</v>
          </cell>
          <cell r="W201">
            <v>1625.912498113727</v>
          </cell>
          <cell r="X201">
            <v>1575.8015189622374</v>
          </cell>
          <cell r="Y201">
            <v>1520.2732075110976</v>
          </cell>
          <cell r="Z201">
            <v>1465.8802784143245</v>
          </cell>
          <cell r="AA201">
            <v>1412.6075841955894</v>
          </cell>
          <cell r="AB201">
            <v>1360.4399773785319</v>
          </cell>
          <cell r="AC201">
            <v>1309.362310486812</v>
          </cell>
          <cell r="AD201">
            <v>1279.78659507924</v>
          </cell>
          <cell r="AE201">
            <v>1250.7972858392457</v>
          </cell>
          <cell r="AF201">
            <v>1222.3854646144603</v>
          </cell>
          <cell r="AG201">
            <v>1194.5422132525091</v>
          </cell>
          <cell r="AH201">
            <v>1167.2586136010173</v>
          </cell>
        </row>
        <row r="202">
          <cell r="B202" t="str">
            <v>e-hydrogen - Energy cost - Europe - USD/ton fuel</v>
          </cell>
          <cell r="G202">
            <v>2566.3701470170417</v>
          </cell>
          <cell r="H202">
            <v>2452.9083112298426</v>
          </cell>
          <cell r="I202">
            <v>2339.2337535448082</v>
          </cell>
          <cell r="J202">
            <v>2245.5167986914189</v>
          </cell>
          <cell r="K202">
            <v>2151.4303552043284</v>
          </cell>
          <cell r="L202">
            <v>2057.064962685201</v>
          </cell>
          <cell r="M202">
            <v>1962.5111607356753</v>
          </cell>
          <cell r="N202">
            <v>1867.8594889573847</v>
          </cell>
          <cell r="O202">
            <v>1819.1813083833658</v>
          </cell>
          <cell r="P202">
            <v>1770.3931872655958</v>
          </cell>
          <cell r="Q202">
            <v>1721.5314255225589</v>
          </cell>
          <cell r="R202">
            <v>1672.6323230728049</v>
          </cell>
          <cell r="S202">
            <v>1623.7321798349606</v>
          </cell>
          <cell r="T202">
            <v>1588.9118560091065</v>
          </cell>
          <cell r="U202">
            <v>1554.0766691650888</v>
          </cell>
          <cell r="V202">
            <v>1519.2416441496489</v>
          </cell>
          <cell r="W202">
            <v>1484.4218058093938</v>
          </cell>
          <cell r="X202">
            <v>1449.6321789910207</v>
          </cell>
          <cell r="Y202">
            <v>1409.6608085718863</v>
          </cell>
          <cell r="Z202">
            <v>1370.4453980421019</v>
          </cell>
          <cell r="AA202">
            <v>1331.9768062643011</v>
          </cell>
          <cell r="AB202">
            <v>1294.245892101027</v>
          </cell>
          <cell r="AC202">
            <v>1257.2435144149015</v>
          </cell>
          <cell r="AD202">
            <v>1228.8458546695026</v>
          </cell>
          <cell r="AE202">
            <v>1201.0112417420796</v>
          </cell>
          <cell r="AF202">
            <v>1173.7311129385466</v>
          </cell>
          <cell r="AG202">
            <v>1146.9969055648128</v>
          </cell>
          <cell r="AH202">
            <v>1120.8000569267858</v>
          </cell>
        </row>
        <row r="203">
          <cell r="B203" t="str">
            <v>e-hydrogen - Energy cost - Middle East - USD/ton fuel</v>
          </cell>
          <cell r="G203">
            <v>1965.1844538611451</v>
          </cell>
          <cell r="H203">
            <v>1876.2839560959403</v>
          </cell>
          <cell r="I203">
            <v>1787.2260693119242</v>
          </cell>
          <cell r="J203">
            <v>1726.4421516736113</v>
          </cell>
          <cell r="K203">
            <v>1665.3245710268734</v>
          </cell>
          <cell r="L203">
            <v>1603.9314924493679</v>
          </cell>
          <cell r="M203">
            <v>1542.3210810188079</v>
          </cell>
          <cell r="N203">
            <v>1480.5515018128272</v>
          </cell>
          <cell r="O203">
            <v>1431.1659603843768</v>
          </cell>
          <cell r="P203">
            <v>1381.8446196834898</v>
          </cell>
          <cell r="Q203">
            <v>1332.6270545048401</v>
          </cell>
          <cell r="R203">
            <v>1283.5528396431546</v>
          </cell>
          <cell r="S203">
            <v>1234.6615498931842</v>
          </cell>
          <cell r="T203">
            <v>1204.9513526944327</v>
          </cell>
          <cell r="U203">
            <v>1175.287571490569</v>
          </cell>
          <cell r="V203">
            <v>1145.6839621175516</v>
          </cell>
          <cell r="W203">
            <v>1116.1542804112171</v>
          </cell>
          <cell r="X203">
            <v>1086.7122822074946</v>
          </cell>
          <cell r="Y203">
            <v>1048.8524441656205</v>
          </cell>
          <cell r="Z203">
            <v>1011.7643278450553</v>
          </cell>
          <cell r="AA203">
            <v>975.43767435152495</v>
          </cell>
          <cell r="AB203">
            <v>939.86222479072671</v>
          </cell>
          <cell r="AC203">
            <v>905.02772026837658</v>
          </cell>
          <cell r="AD203">
            <v>884.58478387908167</v>
          </cell>
          <cell r="AE203">
            <v>864.54717603247877</v>
          </cell>
          <cell r="AF203">
            <v>844.90873235959646</v>
          </cell>
          <cell r="AG203">
            <v>825.66328849147681</v>
          </cell>
          <cell r="AH203">
            <v>806.80468005916202</v>
          </cell>
        </row>
        <row r="204">
          <cell r="B204" t="str">
            <v/>
          </cell>
        </row>
        <row r="205">
          <cell r="B205" t="str">
            <v>e-hydrogen (liquefied) - Feedstock cost including feedstock feedstock cost - Global - USD/ton fuel</v>
          </cell>
          <cell r="G205">
            <v>13.5</v>
          </cell>
          <cell r="H205">
            <v>13.500000000000048</v>
          </cell>
          <cell r="I205">
            <v>13.500000000000048</v>
          </cell>
          <cell r="J205">
            <v>13.500000000000048</v>
          </cell>
          <cell r="K205">
            <v>13.500000000000096</v>
          </cell>
          <cell r="L205">
            <v>13.5</v>
          </cell>
          <cell r="M205">
            <v>13.500000000000096</v>
          </cell>
          <cell r="N205">
            <v>13.5</v>
          </cell>
          <cell r="O205">
            <v>13.499999999999904</v>
          </cell>
          <cell r="P205">
            <v>13.500000000000048</v>
          </cell>
          <cell r="Q205">
            <v>13.500000000000192</v>
          </cell>
          <cell r="R205">
            <v>13.500000000000096</v>
          </cell>
          <cell r="S205">
            <v>13.500000000000192</v>
          </cell>
          <cell r="T205">
            <v>13.50000000000024</v>
          </cell>
          <cell r="U205">
            <v>13.500000000000121</v>
          </cell>
          <cell r="V205">
            <v>13.500000000000359</v>
          </cell>
          <cell r="W205">
            <v>13.50000000000024</v>
          </cell>
          <cell r="X205">
            <v>13.499999999999904</v>
          </cell>
          <cell r="Y205">
            <v>13.5</v>
          </cell>
          <cell r="Z205">
            <v>13.499999999999952</v>
          </cell>
          <cell r="AA205">
            <v>13.500000000000048</v>
          </cell>
          <cell r="AB205">
            <v>13.5</v>
          </cell>
          <cell r="AC205">
            <v>13.5</v>
          </cell>
          <cell r="AD205">
            <v>13.5</v>
          </cell>
          <cell r="AE205">
            <v>13.5</v>
          </cell>
          <cell r="AF205">
            <v>13.5</v>
          </cell>
          <cell r="AG205">
            <v>13.5</v>
          </cell>
          <cell r="AH205">
            <v>13.5</v>
          </cell>
        </row>
        <row r="206">
          <cell r="B206" t="str">
            <v>e-hydrogen - Feedstock cost - Global - USD/ton fuel</v>
          </cell>
          <cell r="G206">
            <v>13.5</v>
          </cell>
          <cell r="H206">
            <v>13.500000000000048</v>
          </cell>
          <cell r="I206">
            <v>13.500000000000048</v>
          </cell>
          <cell r="J206">
            <v>13.500000000000048</v>
          </cell>
          <cell r="K206">
            <v>13.500000000000096</v>
          </cell>
          <cell r="L206">
            <v>13.5</v>
          </cell>
          <cell r="M206">
            <v>13.500000000000096</v>
          </cell>
          <cell r="N206">
            <v>13.5</v>
          </cell>
          <cell r="O206">
            <v>13.499999999999904</v>
          </cell>
          <cell r="P206">
            <v>13.500000000000048</v>
          </cell>
          <cell r="Q206">
            <v>13.500000000000192</v>
          </cell>
          <cell r="R206">
            <v>13.500000000000096</v>
          </cell>
          <cell r="S206">
            <v>13.500000000000192</v>
          </cell>
          <cell r="T206">
            <v>13.50000000000024</v>
          </cell>
          <cell r="U206">
            <v>13.500000000000121</v>
          </cell>
          <cell r="V206">
            <v>13.500000000000359</v>
          </cell>
          <cell r="W206">
            <v>13.50000000000024</v>
          </cell>
          <cell r="X206">
            <v>13.499999999999904</v>
          </cell>
          <cell r="Y206">
            <v>13.5</v>
          </cell>
          <cell r="Z206">
            <v>13.499999999999952</v>
          </cell>
          <cell r="AA206">
            <v>13.500000000000048</v>
          </cell>
          <cell r="AB206">
            <v>13.5</v>
          </cell>
          <cell r="AC206">
            <v>13.5</v>
          </cell>
          <cell r="AD206">
            <v>13.5</v>
          </cell>
          <cell r="AE206">
            <v>13.5</v>
          </cell>
          <cell r="AF206">
            <v>13.5</v>
          </cell>
          <cell r="AG206">
            <v>13.5</v>
          </cell>
          <cell r="AH206">
            <v>13.5</v>
          </cell>
        </row>
        <row r="207">
          <cell r="B207" t="str">
            <v/>
          </cell>
        </row>
        <row r="208">
          <cell r="B208" t="str">
            <v>e-hydrogen (compressed) - Item - Region - Unit</v>
          </cell>
          <cell r="G208">
            <v>2023</v>
          </cell>
          <cell r="H208">
            <v>2024</v>
          </cell>
          <cell r="I208">
            <v>2025</v>
          </cell>
          <cell r="J208">
            <v>2026</v>
          </cell>
          <cell r="K208">
            <v>2027</v>
          </cell>
          <cell r="L208">
            <v>2028</v>
          </cell>
          <cell r="M208">
            <v>2029</v>
          </cell>
          <cell r="N208">
            <v>2030</v>
          </cell>
          <cell r="O208">
            <v>2031</v>
          </cell>
          <cell r="P208">
            <v>2032</v>
          </cell>
          <cell r="Q208">
            <v>2033</v>
          </cell>
          <cell r="R208">
            <v>2034</v>
          </cell>
          <cell r="S208">
            <v>2035</v>
          </cell>
          <cell r="T208">
            <v>2036</v>
          </cell>
          <cell r="U208">
            <v>2037</v>
          </cell>
          <cell r="V208">
            <v>2038</v>
          </cell>
          <cell r="W208">
            <v>2039</v>
          </cell>
          <cell r="X208">
            <v>2040</v>
          </cell>
          <cell r="Y208">
            <v>2041</v>
          </cell>
          <cell r="Z208">
            <v>2042</v>
          </cell>
          <cell r="AA208">
            <v>2043</v>
          </cell>
          <cell r="AB208">
            <v>2044</v>
          </cell>
          <cell r="AC208">
            <v>2045</v>
          </cell>
          <cell r="AD208">
            <v>2046</v>
          </cell>
          <cell r="AE208">
            <v>2047</v>
          </cell>
          <cell r="AF208">
            <v>2048</v>
          </cell>
          <cell r="AG208">
            <v>2049</v>
          </cell>
          <cell r="AH208">
            <v>2050</v>
          </cell>
        </row>
        <row r="209">
          <cell r="B209" t="str">
            <v>e-hydrogen (compressed) - Total cost - Africa - USD/ton fuel</v>
          </cell>
          <cell r="G209">
            <v>4633.1233423090589</v>
          </cell>
          <cell r="H209">
            <v>4201.9656446218651</v>
          </cell>
          <cell r="I209">
            <v>3768.1364126730182</v>
          </cell>
          <cell r="J209">
            <v>3627.6640614332246</v>
          </cell>
          <cell r="K209">
            <v>3482.0419503382509</v>
          </cell>
          <cell r="L209">
            <v>3331.3728662299636</v>
          </cell>
          <cell r="M209">
            <v>3175.7595959503119</v>
          </cell>
          <cell r="N209">
            <v>3015.3049263411149</v>
          </cell>
          <cell r="O209">
            <v>2957.5120355923382</v>
          </cell>
          <cell r="P209">
            <v>2892.1425659444694</v>
          </cell>
          <cell r="Q209">
            <v>2819.2518810339607</v>
          </cell>
          <cell r="R209">
            <v>2738.8953444973072</v>
          </cell>
          <cell r="S209">
            <v>2651.1283199710874</v>
          </cell>
          <cell r="T209">
            <v>2589.8814487511354</v>
          </cell>
          <cell r="U209">
            <v>2523.4234074819769</v>
          </cell>
          <cell r="V209">
            <v>2451.7722615286521</v>
          </cell>
          <cell r="W209">
            <v>2374.9460762559747</v>
          </cell>
          <cell r="X209">
            <v>2292.9629170289318</v>
          </cell>
          <cell r="Y209">
            <v>2208.6908045163059</v>
          </cell>
          <cell r="Z209">
            <v>2121.9988992007134</v>
          </cell>
          <cell r="AA209">
            <v>2032.876636943749</v>
          </cell>
          <cell r="AB209">
            <v>1941.3134536068953</v>
          </cell>
          <cell r="AC209">
            <v>1847.2987850517036</v>
          </cell>
          <cell r="AD209">
            <v>1773.4817469024235</v>
          </cell>
          <cell r="AE209">
            <v>1698.451689879309</v>
          </cell>
          <cell r="AF209">
            <v>1622.2019570300602</v>
          </cell>
          <cell r="AG209">
            <v>1544.7258914023987</v>
          </cell>
          <cell r="AH209">
            <v>1466.0168360440496</v>
          </cell>
        </row>
        <row r="210">
          <cell r="B210" t="str">
            <v>e-hydrogen (compressed) - Total cost - Americas - USD/ton fuel</v>
          </cell>
          <cell r="G210">
            <v>3458.2747756282647</v>
          </cell>
          <cell r="H210">
            <v>3358.1215141660286</v>
          </cell>
          <cell r="I210">
            <v>3254.6459956552549</v>
          </cell>
          <cell r="J210">
            <v>3148.9921734049194</v>
          </cell>
          <cell r="K210">
            <v>3038.2017033305151</v>
          </cell>
          <cell r="L210">
            <v>2922.3436487831009</v>
          </cell>
          <cell r="M210">
            <v>2801.4870731138512</v>
          </cell>
          <cell r="N210">
            <v>2675.701039673685</v>
          </cell>
          <cell r="O210">
            <v>2643.8786103743646</v>
          </cell>
          <cell r="P210">
            <v>2604.2634692905026</v>
          </cell>
          <cell r="Q210">
            <v>2556.8876858485628</v>
          </cell>
          <cell r="R210">
            <v>2501.7833294749726</v>
          </cell>
          <cell r="S210">
            <v>2438.9824695962966</v>
          </cell>
          <cell r="T210">
            <v>2379.5862497865878</v>
          </cell>
          <cell r="U210">
            <v>2315.0272995091577</v>
          </cell>
          <cell r="V210">
            <v>2245.3236408089065</v>
          </cell>
          <cell r="W210">
            <v>2170.4932957305264</v>
          </cell>
          <cell r="X210">
            <v>2090.5542863188448</v>
          </cell>
          <cell r="Y210">
            <v>2024.0950200699413</v>
          </cell>
          <cell r="Z210">
            <v>1954.8005234985762</v>
          </cell>
          <cell r="AA210">
            <v>1882.6666675873769</v>
          </cell>
          <cell r="AB210">
            <v>1807.6893233188264</v>
          </cell>
          <cell r="AC210">
            <v>1729.8643616755162</v>
          </cell>
          <cell r="AD210">
            <v>1661.9243548242082</v>
          </cell>
          <cell r="AE210">
            <v>1592.6501658127502</v>
          </cell>
          <cell r="AF210">
            <v>1522.0377953932327</v>
          </cell>
          <cell r="AG210">
            <v>1450.083244317753</v>
          </cell>
          <cell r="AH210">
            <v>1376.7825133384104</v>
          </cell>
        </row>
        <row r="211">
          <cell r="B211" t="str">
            <v>e-hydrogen (compressed) - Total cost - Asia - USD/ton fuel</v>
          </cell>
          <cell r="G211">
            <v>4987.7978827141424</v>
          </cell>
          <cell r="H211">
            <v>4618.4094108214867</v>
          </cell>
          <cell r="I211">
            <v>4246.1135151183844</v>
          </cell>
          <cell r="J211">
            <v>4097.3824826576747</v>
          </cell>
          <cell r="K211">
            <v>3943.3770419350276</v>
          </cell>
          <cell r="L211">
            <v>3784.2072710139482</v>
          </cell>
          <cell r="M211">
            <v>3619.9832479582124</v>
          </cell>
          <cell r="N211">
            <v>3450.8150508313697</v>
          </cell>
          <cell r="O211">
            <v>3373.0215929007072</v>
          </cell>
          <cell r="P211">
            <v>3287.7460048188714</v>
          </cell>
          <cell r="Q211">
            <v>3195.0604816273712</v>
          </cell>
          <cell r="R211">
            <v>3095.0372183676395</v>
          </cell>
          <cell r="S211">
            <v>2987.7484100813476</v>
          </cell>
          <cell r="T211">
            <v>2913.2093711775688</v>
          </cell>
          <cell r="U211">
            <v>2833.5633476088337</v>
          </cell>
          <cell r="V211">
            <v>2748.8357857959254</v>
          </cell>
          <cell r="W211">
            <v>2659.0521321593251</v>
          </cell>
          <cell r="X211">
            <v>2564.2378331197551</v>
          </cell>
          <cell r="Y211">
            <v>2465.6669595887115</v>
          </cell>
          <cell r="Z211">
            <v>2364.9898405548524</v>
          </cell>
          <cell r="AA211">
            <v>2262.1913285418932</v>
          </cell>
          <cell r="AB211">
            <v>2157.2562760734354</v>
          </cell>
          <cell r="AC211">
            <v>2050.1695356731543</v>
          </cell>
          <cell r="AD211">
            <v>1970.240754749665</v>
          </cell>
          <cell r="AE211">
            <v>1889.2216166291751</v>
          </cell>
          <cell r="AF211">
            <v>1807.1032031593165</v>
          </cell>
          <cell r="AG211">
            <v>1723.8765961877139</v>
          </cell>
          <cell r="AH211">
            <v>1639.532877561993</v>
          </cell>
        </row>
        <row r="212">
          <cell r="B212" t="str">
            <v>e-hydrogen (compressed) - Total cost - Europe - USD/ton fuel</v>
          </cell>
          <cell r="G212">
            <v>4089.3856734873298</v>
          </cell>
          <cell r="H212">
            <v>3916.9256406265708</v>
          </cell>
          <cell r="I212">
            <v>3741.2108175344811</v>
          </cell>
          <cell r="J212">
            <v>3613.0656692355524</v>
          </cell>
          <cell r="K212">
            <v>3479.7225571491235</v>
          </cell>
          <cell r="L212">
            <v>3341.2720208768683</v>
          </cell>
          <cell r="M212">
            <v>3197.8046000204672</v>
          </cell>
          <cell r="N212">
            <v>3049.4108341814967</v>
          </cell>
          <cell r="O212">
            <v>3010.8443238003165</v>
          </cell>
          <cell r="P212">
            <v>2964.4230601972345</v>
          </cell>
          <cell r="Q212">
            <v>2910.1833432907338</v>
          </cell>
          <cell r="R212">
            <v>2848.1614729993285</v>
          </cell>
          <cell r="S212">
            <v>2778.3937492416853</v>
          </cell>
          <cell r="T212">
            <v>2720.379449531456</v>
          </cell>
          <cell r="U212">
            <v>2657.0489971635134</v>
          </cell>
          <cell r="V212">
            <v>2588.4174169846506</v>
          </cell>
          <cell r="W212">
            <v>2514.4997338414096</v>
          </cell>
          <cell r="X212">
            <v>2435.3109725804993</v>
          </cell>
          <cell r="Y212">
            <v>2352.605312916116</v>
          </cell>
          <cell r="Z212">
            <v>2267.4139852839012</v>
          </cell>
          <cell r="AA212">
            <v>2179.7278485465313</v>
          </cell>
          <cell r="AB212">
            <v>2089.5377615665116</v>
          </cell>
          <cell r="AC212">
            <v>1996.8345832064804</v>
          </cell>
          <cell r="AD212">
            <v>1918.0980681700892</v>
          </cell>
          <cell r="AE212">
            <v>1838.2478365870952</v>
          </cell>
          <cell r="AF212">
            <v>1757.2753257634138</v>
          </cell>
          <cell r="AG212">
            <v>1675.1719730049533</v>
          </cell>
          <cell r="AH212">
            <v>1591.929215617622</v>
          </cell>
        </row>
        <row r="213">
          <cell r="B213" t="str">
            <v>e-hydrogen (compressed) - Total cost - Middle East - USD/ton fuel</v>
          </cell>
          <cell r="G213">
            <v>3476.3085322126099</v>
          </cell>
          <cell r="H213">
            <v>3328.8823974252828</v>
          </cell>
          <cell r="I213">
            <v>3178.2568052856477</v>
          </cell>
          <cell r="J213">
            <v>3083.6768117686811</v>
          </cell>
          <cell r="K213">
            <v>2983.9346800894909</v>
          </cell>
          <cell r="L213">
            <v>2879.0885753257426</v>
          </cell>
          <cell r="M213">
            <v>2769.1966625551941</v>
          </cell>
          <cell r="N213">
            <v>2654.3171068554188</v>
          </cell>
          <cell r="O213">
            <v>2614.9769692636173</v>
          </cell>
          <cell r="P213">
            <v>2567.9562197212276</v>
          </cell>
          <cell r="Q213">
            <v>2513.2944330229238</v>
          </cell>
          <cell r="R213">
            <v>2451.0311839633964</v>
          </cell>
          <cell r="S213">
            <v>2381.2060473374368</v>
          </cell>
          <cell r="T213">
            <v>2328.338914207246</v>
          </cell>
          <cell r="U213">
            <v>2270.2169074323938</v>
          </cell>
          <cell r="V213">
            <v>2206.8537828488898</v>
          </cell>
          <cell r="W213">
            <v>2138.2632962925059</v>
          </cell>
          <cell r="X213">
            <v>2064.4592035991823</v>
          </cell>
          <cell r="Y213">
            <v>1983.8077079076854</v>
          </cell>
          <cell r="Z213">
            <v>1900.6863060803155</v>
          </cell>
          <cell r="AA213">
            <v>1815.084739222842</v>
          </cell>
          <cell r="AB213">
            <v>1726.9927484409238</v>
          </cell>
          <cell r="AC213">
            <v>1636.4000748402937</v>
          </cell>
          <cell r="AD213">
            <v>1565.7141614700843</v>
          </cell>
          <cell r="AE213">
            <v>1493.7568132779884</v>
          </cell>
          <cell r="AF213">
            <v>1420.5218658950355</v>
          </cell>
          <cell r="AG213">
            <v>1346.0031549522671</v>
          </cell>
          <cell r="AH213">
            <v>1270.1945160807259</v>
          </cell>
        </row>
        <row r="214">
          <cell r="B214" t="str">
            <v/>
          </cell>
        </row>
        <row r="215">
          <cell r="B215" t="str">
            <v>e-hydrogen (compressed) - CAPEX including feedstock CAPEX - Global - USD/ton fuel</v>
          </cell>
          <cell r="G215">
            <v>256.64635353013858</v>
          </cell>
          <cell r="H215">
            <v>247.21700590830653</v>
          </cell>
          <cell r="I215">
            <v>237.53805175037812</v>
          </cell>
          <cell r="J215">
            <v>232.53269690653616</v>
          </cell>
          <cell r="K215">
            <v>227.06362881665248</v>
          </cell>
          <cell r="L215">
            <v>221.13084748073197</v>
          </cell>
          <cell r="M215">
            <v>214.73435289877628</v>
          </cell>
          <cell r="N215">
            <v>207.87414507077864</v>
          </cell>
          <cell r="O215">
            <v>212.24697175898439</v>
          </cell>
          <cell r="P215">
            <v>215.53837151594018</v>
          </cell>
          <cell r="Q215">
            <v>217.74834434164336</v>
          </cell>
          <cell r="R215">
            <v>218.87689023608903</v>
          </cell>
          <cell r="S215">
            <v>218.92400919928582</v>
          </cell>
          <cell r="T215">
            <v>217.21328869368136</v>
          </cell>
          <cell r="U215">
            <v>214.61001500027928</v>
          </cell>
          <cell r="V215">
            <v>211.1141881190886</v>
          </cell>
          <cell r="W215">
            <v>206.72580805010043</v>
          </cell>
          <cell r="X215">
            <v>201.44487479331141</v>
          </cell>
          <cell r="Y215">
            <v>194.68227936129369</v>
          </cell>
          <cell r="Z215">
            <v>187.24620275654928</v>
          </cell>
          <cell r="AA215">
            <v>179.13664497908553</v>
          </cell>
          <cell r="AB215">
            <v>170.35360602889762</v>
          </cell>
          <cell r="AC215">
            <v>160.89708590598403</v>
          </cell>
          <cell r="AD215">
            <v>150.64085698303418</v>
          </cell>
          <cell r="AE215">
            <v>139.96336878636401</v>
          </cell>
          <cell r="AF215">
            <v>128.86462131597352</v>
          </cell>
          <cell r="AG215">
            <v>117.34461457186269</v>
          </cell>
          <cell r="AH215">
            <v>105.40334855403168</v>
          </cell>
        </row>
        <row r="216">
          <cell r="B216" t="str">
            <v>e-hydrogen (compressed) - CAPEX - Global - USD/ton fuel</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row>
        <row r="217">
          <cell r="B217" t="str">
            <v>e-hydrogen - CAPEX - Global - USD/ton fuel</v>
          </cell>
          <cell r="G217">
            <v>256.64635353013858</v>
          </cell>
          <cell r="H217">
            <v>247.21700590830653</v>
          </cell>
          <cell r="I217">
            <v>237.53805175037812</v>
          </cell>
          <cell r="J217">
            <v>232.53269690653616</v>
          </cell>
          <cell r="K217">
            <v>227.06362881665248</v>
          </cell>
          <cell r="L217">
            <v>221.13084748073197</v>
          </cell>
          <cell r="M217">
            <v>214.73435289877628</v>
          </cell>
          <cell r="N217">
            <v>207.87414507077864</v>
          </cell>
          <cell r="O217">
            <v>212.24697175898439</v>
          </cell>
          <cell r="P217">
            <v>215.53837151594018</v>
          </cell>
          <cell r="Q217">
            <v>217.74834434164336</v>
          </cell>
          <cell r="R217">
            <v>218.87689023608903</v>
          </cell>
          <cell r="S217">
            <v>218.92400919928582</v>
          </cell>
          <cell r="T217">
            <v>217.21328869368136</v>
          </cell>
          <cell r="U217">
            <v>214.61001500027928</v>
          </cell>
          <cell r="V217">
            <v>211.1141881190886</v>
          </cell>
          <cell r="W217">
            <v>206.72580805010043</v>
          </cell>
          <cell r="X217">
            <v>201.44487479331141</v>
          </cell>
          <cell r="Y217">
            <v>194.68227936129369</v>
          </cell>
          <cell r="Z217">
            <v>187.24620275654928</v>
          </cell>
          <cell r="AA217">
            <v>179.13664497908553</v>
          </cell>
          <cell r="AB217">
            <v>170.35360602889762</v>
          </cell>
          <cell r="AC217">
            <v>160.89708590598403</v>
          </cell>
          <cell r="AD217">
            <v>150.64085698303418</v>
          </cell>
          <cell r="AE217">
            <v>139.96336878636401</v>
          </cell>
          <cell r="AF217">
            <v>128.86462131597352</v>
          </cell>
          <cell r="AG217">
            <v>117.34461457186269</v>
          </cell>
          <cell r="AH217">
            <v>105.40334855403168</v>
          </cell>
        </row>
        <row r="218">
          <cell r="B218" t="str">
            <v/>
          </cell>
        </row>
        <row r="219">
          <cell r="B219" t="str">
            <v>e-hydrogen (compressed) - OPEX including feedstock OPEX - Global - USD/ton fuel</v>
          </cell>
          <cell r="G219">
            <v>778.63990898977545</v>
          </cell>
          <cell r="H219">
            <v>746.81733762687418</v>
          </cell>
          <cell r="I219">
            <v>712.61415525113227</v>
          </cell>
          <cell r="J219">
            <v>693.21795180920219</v>
          </cell>
          <cell r="K219">
            <v>670.22211331548374</v>
          </cell>
          <cell r="L219">
            <v>643.6266397699726</v>
          </cell>
          <cell r="M219">
            <v>613.43153117270822</v>
          </cell>
          <cell r="N219">
            <v>579.63678752365013</v>
          </cell>
          <cell r="O219">
            <v>578.89498738880036</v>
          </cell>
          <cell r="P219">
            <v>573.27415594361116</v>
          </cell>
          <cell r="Q219">
            <v>562.77429318809038</v>
          </cell>
          <cell r="R219">
            <v>547.39539912221437</v>
          </cell>
          <cell r="S219">
            <v>527.13747374599984</v>
          </cell>
          <cell r="T219">
            <v>508.91545321169565</v>
          </cell>
          <cell r="U219">
            <v>487.75740898550708</v>
          </cell>
          <cell r="V219">
            <v>463.66334106745865</v>
          </cell>
          <cell r="W219">
            <v>436.63324945751151</v>
          </cell>
          <cell r="X219">
            <v>406.66713415568563</v>
          </cell>
          <cell r="Y219">
            <v>382.32288786138321</v>
          </cell>
          <cell r="Z219">
            <v>356.52173881762411</v>
          </cell>
          <cell r="AA219">
            <v>329.2636870244329</v>
          </cell>
          <cell r="AB219">
            <v>300.54873248178433</v>
          </cell>
          <cell r="AC219">
            <v>270.37687518969852</v>
          </cell>
          <cell r="AD219">
            <v>247.55933903156756</v>
          </cell>
          <cell r="AE219">
            <v>224.18137658421693</v>
          </cell>
          <cell r="AF219">
            <v>200.24298784764761</v>
          </cell>
          <cell r="AG219">
            <v>175.74417282185905</v>
          </cell>
          <cell r="AH219">
            <v>150.68493150685131</v>
          </cell>
        </row>
        <row r="220">
          <cell r="B220" t="str">
            <v>e-hydrogen (compressed) - OPEX - Global - USD/ton fuel</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row>
        <row r="221">
          <cell r="B221" t="str">
            <v>e-hydrogen - OPEX - Global - USD/ton fuel</v>
          </cell>
          <cell r="G221">
            <v>778.63990898977545</v>
          </cell>
          <cell r="H221">
            <v>746.81733762687418</v>
          </cell>
          <cell r="I221">
            <v>712.61415525113227</v>
          </cell>
          <cell r="J221">
            <v>693.21795180920219</v>
          </cell>
          <cell r="K221">
            <v>670.22211331548374</v>
          </cell>
          <cell r="L221">
            <v>643.6266397699726</v>
          </cell>
          <cell r="M221">
            <v>613.43153117270822</v>
          </cell>
          <cell r="N221">
            <v>579.63678752365013</v>
          </cell>
          <cell r="O221">
            <v>578.89498738880036</v>
          </cell>
          <cell r="P221">
            <v>573.27415594361116</v>
          </cell>
          <cell r="Q221">
            <v>562.77429318809038</v>
          </cell>
          <cell r="R221">
            <v>547.39539912221437</v>
          </cell>
          <cell r="S221">
            <v>527.13747374599984</v>
          </cell>
          <cell r="T221">
            <v>508.91545321169565</v>
          </cell>
          <cell r="U221">
            <v>487.75740898550708</v>
          </cell>
          <cell r="V221">
            <v>463.66334106745865</v>
          </cell>
          <cell r="W221">
            <v>436.63324945751151</v>
          </cell>
          <cell r="X221">
            <v>406.66713415568563</v>
          </cell>
          <cell r="Y221">
            <v>382.32288786138321</v>
          </cell>
          <cell r="Z221">
            <v>356.52173881762411</v>
          </cell>
          <cell r="AA221">
            <v>329.2636870244329</v>
          </cell>
          <cell r="AB221">
            <v>300.54873248178433</v>
          </cell>
          <cell r="AC221">
            <v>270.37687518969852</v>
          </cell>
          <cell r="AD221">
            <v>247.55933903156756</v>
          </cell>
          <cell r="AE221">
            <v>224.18137658421693</v>
          </cell>
          <cell r="AF221">
            <v>200.24298784764761</v>
          </cell>
          <cell r="AG221">
            <v>175.74417282185905</v>
          </cell>
          <cell r="AH221">
            <v>150.68493150685131</v>
          </cell>
        </row>
        <row r="222">
          <cell r="B222" t="str">
            <v/>
          </cell>
        </row>
        <row r="223">
          <cell r="B223" t="str">
            <v>e-hydrogen (compressed) - Finance cost including feedstock finance cost - Africa - USD/ton fuel</v>
          </cell>
          <cell r="G223">
            <v>423.4664833247287</v>
          </cell>
          <cell r="H223">
            <v>407.9080597487058</v>
          </cell>
          <cell r="I223">
            <v>391.93778538812398</v>
          </cell>
          <cell r="J223">
            <v>383.67894989578463</v>
          </cell>
          <cell r="K223">
            <v>374.65498754747659</v>
          </cell>
          <cell r="L223">
            <v>364.86589834320779</v>
          </cell>
          <cell r="M223">
            <v>354.31168228298088</v>
          </cell>
          <cell r="N223">
            <v>342.99233936678479</v>
          </cell>
          <cell r="O223">
            <v>350.20750340232428</v>
          </cell>
          <cell r="P223">
            <v>355.6383130013013</v>
          </cell>
          <cell r="Q223">
            <v>359.28476816371159</v>
          </cell>
          <cell r="R223">
            <v>361.14686888954691</v>
          </cell>
          <cell r="S223">
            <v>361.22461517882164</v>
          </cell>
          <cell r="T223">
            <v>358.40192634457429</v>
          </cell>
          <cell r="U223">
            <v>354.10652475046084</v>
          </cell>
          <cell r="V223">
            <v>348.33841039649622</v>
          </cell>
          <cell r="W223">
            <v>341.09758328266571</v>
          </cell>
          <cell r="X223">
            <v>332.38404340896386</v>
          </cell>
          <cell r="Y223">
            <v>321.22576094613464</v>
          </cell>
          <cell r="Z223">
            <v>308.95623454830633</v>
          </cell>
          <cell r="AA223">
            <v>295.57546421549114</v>
          </cell>
          <cell r="AB223">
            <v>281.08344994768112</v>
          </cell>
          <cell r="AC223">
            <v>265.48019174487365</v>
          </cell>
          <cell r="AD223">
            <v>248.55741402200647</v>
          </cell>
          <cell r="AE223">
            <v>230.93955849750063</v>
          </cell>
          <cell r="AF223">
            <v>212.62662517135635</v>
          </cell>
          <cell r="AG223">
            <v>193.61861404357347</v>
          </cell>
          <cell r="AH223">
            <v>173.9155251141523</v>
          </cell>
        </row>
        <row r="224">
          <cell r="B224" t="str">
            <v>e-hydrogen (compressed) - Finance cost including feedstock finance cost - Americas - USD/ton fuel</v>
          </cell>
          <cell r="G224">
            <v>423.4664833247287</v>
          </cell>
          <cell r="H224">
            <v>407.9080597487058</v>
          </cell>
          <cell r="I224">
            <v>391.93778538812398</v>
          </cell>
          <cell r="J224">
            <v>383.67894989578463</v>
          </cell>
          <cell r="K224">
            <v>374.65498754747659</v>
          </cell>
          <cell r="L224">
            <v>364.86589834320779</v>
          </cell>
          <cell r="M224">
            <v>354.31168228298088</v>
          </cell>
          <cell r="N224">
            <v>342.99233936678479</v>
          </cell>
          <cell r="O224">
            <v>350.20750340232428</v>
          </cell>
          <cell r="P224">
            <v>355.6383130013013</v>
          </cell>
          <cell r="Q224">
            <v>359.28476816371159</v>
          </cell>
          <cell r="R224">
            <v>361.14686888954691</v>
          </cell>
          <cell r="S224">
            <v>361.22461517882164</v>
          </cell>
          <cell r="T224">
            <v>358.40192634457429</v>
          </cell>
          <cell r="U224">
            <v>354.10652475046084</v>
          </cell>
          <cell r="V224">
            <v>348.33841039649622</v>
          </cell>
          <cell r="W224">
            <v>341.09758328266571</v>
          </cell>
          <cell r="X224">
            <v>332.38404340896386</v>
          </cell>
          <cell r="Y224">
            <v>321.22576094613464</v>
          </cell>
          <cell r="Z224">
            <v>308.95623454830633</v>
          </cell>
          <cell r="AA224">
            <v>295.57546421549114</v>
          </cell>
          <cell r="AB224">
            <v>281.08344994768112</v>
          </cell>
          <cell r="AC224">
            <v>265.48019174487365</v>
          </cell>
          <cell r="AD224">
            <v>248.55741402200647</v>
          </cell>
          <cell r="AE224">
            <v>230.93955849750063</v>
          </cell>
          <cell r="AF224">
            <v>212.62662517135635</v>
          </cell>
          <cell r="AG224">
            <v>193.61861404357347</v>
          </cell>
          <cell r="AH224">
            <v>173.9155251141523</v>
          </cell>
        </row>
        <row r="225">
          <cell r="B225" t="str">
            <v>e-hydrogen (compressed) - Finance cost including feedstock finance cost - Asia - USD/ton fuel</v>
          </cell>
          <cell r="G225">
            <v>423.4664833247287</v>
          </cell>
          <cell r="H225">
            <v>407.9080597487058</v>
          </cell>
          <cell r="I225">
            <v>391.93778538812398</v>
          </cell>
          <cell r="J225">
            <v>383.67894989578463</v>
          </cell>
          <cell r="K225">
            <v>374.65498754747659</v>
          </cell>
          <cell r="L225">
            <v>364.86589834320779</v>
          </cell>
          <cell r="M225">
            <v>354.31168228298088</v>
          </cell>
          <cell r="N225">
            <v>342.99233936678479</v>
          </cell>
          <cell r="O225">
            <v>350.20750340232428</v>
          </cell>
          <cell r="P225">
            <v>355.6383130013013</v>
          </cell>
          <cell r="Q225">
            <v>359.28476816371159</v>
          </cell>
          <cell r="R225">
            <v>361.14686888954691</v>
          </cell>
          <cell r="S225">
            <v>361.22461517882164</v>
          </cell>
          <cell r="T225">
            <v>358.40192634457429</v>
          </cell>
          <cell r="U225">
            <v>354.10652475046084</v>
          </cell>
          <cell r="V225">
            <v>348.33841039649622</v>
          </cell>
          <cell r="W225">
            <v>341.09758328266571</v>
          </cell>
          <cell r="X225">
            <v>332.38404340896386</v>
          </cell>
          <cell r="Y225">
            <v>321.22576094613464</v>
          </cell>
          <cell r="Z225">
            <v>308.95623454830633</v>
          </cell>
          <cell r="AA225">
            <v>295.57546421549114</v>
          </cell>
          <cell r="AB225">
            <v>281.08344994768112</v>
          </cell>
          <cell r="AC225">
            <v>265.48019174487365</v>
          </cell>
          <cell r="AD225">
            <v>248.55741402200647</v>
          </cell>
          <cell r="AE225">
            <v>230.93955849750063</v>
          </cell>
          <cell r="AF225">
            <v>212.62662517135635</v>
          </cell>
          <cell r="AG225">
            <v>193.61861404357347</v>
          </cell>
          <cell r="AH225">
            <v>173.9155251141523</v>
          </cell>
        </row>
        <row r="226">
          <cell r="B226" t="str">
            <v>e-hydrogen (compressed) - Finance cost including feedstock finance cost - Europe - USD/ton fuel</v>
          </cell>
          <cell r="G226">
            <v>423.4664833247287</v>
          </cell>
          <cell r="H226">
            <v>407.9080597487058</v>
          </cell>
          <cell r="I226">
            <v>391.93778538812398</v>
          </cell>
          <cell r="J226">
            <v>383.67894989578463</v>
          </cell>
          <cell r="K226">
            <v>374.65498754747659</v>
          </cell>
          <cell r="L226">
            <v>364.86589834320779</v>
          </cell>
          <cell r="M226">
            <v>354.31168228298088</v>
          </cell>
          <cell r="N226">
            <v>342.99233936678479</v>
          </cell>
          <cell r="O226">
            <v>350.20750340232428</v>
          </cell>
          <cell r="P226">
            <v>355.6383130013013</v>
          </cell>
          <cell r="Q226">
            <v>359.28476816371159</v>
          </cell>
          <cell r="R226">
            <v>361.14686888954691</v>
          </cell>
          <cell r="S226">
            <v>361.22461517882164</v>
          </cell>
          <cell r="T226">
            <v>358.40192634457429</v>
          </cell>
          <cell r="U226">
            <v>354.10652475046084</v>
          </cell>
          <cell r="V226">
            <v>348.33841039649622</v>
          </cell>
          <cell r="W226">
            <v>341.09758328266571</v>
          </cell>
          <cell r="X226">
            <v>332.38404340896386</v>
          </cell>
          <cell r="Y226">
            <v>321.22576094613464</v>
          </cell>
          <cell r="Z226">
            <v>308.95623454830633</v>
          </cell>
          <cell r="AA226">
            <v>295.57546421549114</v>
          </cell>
          <cell r="AB226">
            <v>281.08344994768112</v>
          </cell>
          <cell r="AC226">
            <v>265.48019174487365</v>
          </cell>
          <cell r="AD226">
            <v>248.55741402200647</v>
          </cell>
          <cell r="AE226">
            <v>230.93955849750063</v>
          </cell>
          <cell r="AF226">
            <v>212.62662517135635</v>
          </cell>
          <cell r="AG226">
            <v>193.61861404357347</v>
          </cell>
          <cell r="AH226">
            <v>173.9155251141523</v>
          </cell>
        </row>
        <row r="227">
          <cell r="B227" t="str">
            <v>e-hydrogen (compressed) - Finance cost including feedstock finance cost - Middle East - USD/ton fuel</v>
          </cell>
          <cell r="G227">
            <v>423.4664833247287</v>
          </cell>
          <cell r="H227">
            <v>407.9080597487058</v>
          </cell>
          <cell r="I227">
            <v>391.93778538812398</v>
          </cell>
          <cell r="J227">
            <v>383.67894989578463</v>
          </cell>
          <cell r="K227">
            <v>374.65498754747659</v>
          </cell>
          <cell r="L227">
            <v>364.86589834320779</v>
          </cell>
          <cell r="M227">
            <v>354.31168228298088</v>
          </cell>
          <cell r="N227">
            <v>342.99233936678479</v>
          </cell>
          <cell r="O227">
            <v>350.20750340232428</v>
          </cell>
          <cell r="P227">
            <v>355.6383130013013</v>
          </cell>
          <cell r="Q227">
            <v>359.28476816371159</v>
          </cell>
          <cell r="R227">
            <v>361.14686888954691</v>
          </cell>
          <cell r="S227">
            <v>361.22461517882164</v>
          </cell>
          <cell r="T227">
            <v>358.40192634457429</v>
          </cell>
          <cell r="U227">
            <v>354.10652475046084</v>
          </cell>
          <cell r="V227">
            <v>348.33841039649622</v>
          </cell>
          <cell r="W227">
            <v>341.09758328266571</v>
          </cell>
          <cell r="X227">
            <v>332.38404340896386</v>
          </cell>
          <cell r="Y227">
            <v>321.22576094613464</v>
          </cell>
          <cell r="Z227">
            <v>308.95623454830633</v>
          </cell>
          <cell r="AA227">
            <v>295.57546421549114</v>
          </cell>
          <cell r="AB227">
            <v>281.08344994768112</v>
          </cell>
          <cell r="AC227">
            <v>265.48019174487365</v>
          </cell>
          <cell r="AD227">
            <v>248.55741402200647</v>
          </cell>
          <cell r="AE227">
            <v>230.93955849750063</v>
          </cell>
          <cell r="AF227">
            <v>212.62662517135635</v>
          </cell>
          <cell r="AG227">
            <v>193.61861404357347</v>
          </cell>
          <cell r="AH227">
            <v>173.9155251141523</v>
          </cell>
        </row>
        <row r="228">
          <cell r="B228" t="str">
            <v>e-hydrogen (compressed) - Finance cost - Africa - USD/ton fuel</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row>
        <row r="229">
          <cell r="B229" t="str">
            <v>e-hydrogen (compressed) - Finance cost - Americas - USD/ton fuel</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row>
        <row r="230">
          <cell r="B230" t="str">
            <v>e-hydrogen (compressed) - Finance cost - Asia - USD/ton fuel</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row>
        <row r="231">
          <cell r="B231" t="str">
            <v>e-hydrogen (compressed) - Finance cost - Europe - USD/ton fuel</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row>
        <row r="232">
          <cell r="B232" t="str">
            <v>e-hydrogen (compressed) - Finance cost - Middle East - USD/ton fuel</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row>
        <row r="233">
          <cell r="B233" t="str">
            <v>e-hydrogen - Finance cost - Africa - USD/ton fuel</v>
          </cell>
          <cell r="G233">
            <v>423.4664833247287</v>
          </cell>
          <cell r="H233">
            <v>407.9080597487058</v>
          </cell>
          <cell r="I233">
            <v>391.93778538812398</v>
          </cell>
          <cell r="J233">
            <v>383.67894989578463</v>
          </cell>
          <cell r="K233">
            <v>374.65498754747659</v>
          </cell>
          <cell r="L233">
            <v>364.86589834320779</v>
          </cell>
          <cell r="M233">
            <v>354.31168228298088</v>
          </cell>
          <cell r="N233">
            <v>342.99233936678479</v>
          </cell>
          <cell r="O233">
            <v>350.20750340232428</v>
          </cell>
          <cell r="P233">
            <v>355.6383130013013</v>
          </cell>
          <cell r="Q233">
            <v>359.28476816371159</v>
          </cell>
          <cell r="R233">
            <v>361.14686888954691</v>
          </cell>
          <cell r="S233">
            <v>361.22461517882164</v>
          </cell>
          <cell r="T233">
            <v>358.40192634457429</v>
          </cell>
          <cell r="U233">
            <v>354.10652475046084</v>
          </cell>
          <cell r="V233">
            <v>348.33841039649622</v>
          </cell>
          <cell r="W233">
            <v>341.09758328266571</v>
          </cell>
          <cell r="X233">
            <v>332.38404340896386</v>
          </cell>
          <cell r="Y233">
            <v>321.22576094613464</v>
          </cell>
          <cell r="Z233">
            <v>308.95623454830633</v>
          </cell>
          <cell r="AA233">
            <v>295.57546421549114</v>
          </cell>
          <cell r="AB233">
            <v>281.08344994768112</v>
          </cell>
          <cell r="AC233">
            <v>265.48019174487365</v>
          </cell>
          <cell r="AD233">
            <v>248.55741402200647</v>
          </cell>
          <cell r="AE233">
            <v>230.93955849750063</v>
          </cell>
          <cell r="AF233">
            <v>212.62662517135635</v>
          </cell>
          <cell r="AG233">
            <v>193.61861404357347</v>
          </cell>
          <cell r="AH233">
            <v>173.9155251141523</v>
          </cell>
        </row>
        <row r="234">
          <cell r="B234" t="str">
            <v>e-hydrogen - Finance cost - Americas - USD/ton fuel</v>
          </cell>
          <cell r="G234">
            <v>423.4664833247287</v>
          </cell>
          <cell r="H234">
            <v>407.9080597487058</v>
          </cell>
          <cell r="I234">
            <v>391.93778538812398</v>
          </cell>
          <cell r="J234">
            <v>383.67894989578463</v>
          </cell>
          <cell r="K234">
            <v>374.65498754747659</v>
          </cell>
          <cell r="L234">
            <v>364.86589834320779</v>
          </cell>
          <cell r="M234">
            <v>354.31168228298088</v>
          </cell>
          <cell r="N234">
            <v>342.99233936678479</v>
          </cell>
          <cell r="O234">
            <v>350.20750340232428</v>
          </cell>
          <cell r="P234">
            <v>355.6383130013013</v>
          </cell>
          <cell r="Q234">
            <v>359.28476816371159</v>
          </cell>
          <cell r="R234">
            <v>361.14686888954691</v>
          </cell>
          <cell r="S234">
            <v>361.22461517882164</v>
          </cell>
          <cell r="T234">
            <v>358.40192634457429</v>
          </cell>
          <cell r="U234">
            <v>354.10652475046084</v>
          </cell>
          <cell r="V234">
            <v>348.33841039649622</v>
          </cell>
          <cell r="W234">
            <v>341.09758328266571</v>
          </cell>
          <cell r="X234">
            <v>332.38404340896386</v>
          </cell>
          <cell r="Y234">
            <v>321.22576094613464</v>
          </cell>
          <cell r="Z234">
            <v>308.95623454830633</v>
          </cell>
          <cell r="AA234">
            <v>295.57546421549114</v>
          </cell>
          <cell r="AB234">
            <v>281.08344994768112</v>
          </cell>
          <cell r="AC234">
            <v>265.48019174487365</v>
          </cell>
          <cell r="AD234">
            <v>248.55741402200647</v>
          </cell>
          <cell r="AE234">
            <v>230.93955849750063</v>
          </cell>
          <cell r="AF234">
            <v>212.62662517135635</v>
          </cell>
          <cell r="AG234">
            <v>193.61861404357347</v>
          </cell>
          <cell r="AH234">
            <v>173.9155251141523</v>
          </cell>
        </row>
        <row r="235">
          <cell r="B235" t="str">
            <v>e-hydrogen - Finance cost - Asia - USD/ton fuel</v>
          </cell>
          <cell r="G235">
            <v>423.4664833247287</v>
          </cell>
          <cell r="H235">
            <v>407.9080597487058</v>
          </cell>
          <cell r="I235">
            <v>391.93778538812398</v>
          </cell>
          <cell r="J235">
            <v>383.67894989578463</v>
          </cell>
          <cell r="K235">
            <v>374.65498754747659</v>
          </cell>
          <cell r="L235">
            <v>364.86589834320779</v>
          </cell>
          <cell r="M235">
            <v>354.31168228298088</v>
          </cell>
          <cell r="N235">
            <v>342.99233936678479</v>
          </cell>
          <cell r="O235">
            <v>350.20750340232428</v>
          </cell>
          <cell r="P235">
            <v>355.6383130013013</v>
          </cell>
          <cell r="Q235">
            <v>359.28476816371159</v>
          </cell>
          <cell r="R235">
            <v>361.14686888954691</v>
          </cell>
          <cell r="S235">
            <v>361.22461517882164</v>
          </cell>
          <cell r="T235">
            <v>358.40192634457429</v>
          </cell>
          <cell r="U235">
            <v>354.10652475046084</v>
          </cell>
          <cell r="V235">
            <v>348.33841039649622</v>
          </cell>
          <cell r="W235">
            <v>341.09758328266571</v>
          </cell>
          <cell r="X235">
            <v>332.38404340896386</v>
          </cell>
          <cell r="Y235">
            <v>321.22576094613464</v>
          </cell>
          <cell r="Z235">
            <v>308.95623454830633</v>
          </cell>
          <cell r="AA235">
            <v>295.57546421549114</v>
          </cell>
          <cell r="AB235">
            <v>281.08344994768112</v>
          </cell>
          <cell r="AC235">
            <v>265.48019174487365</v>
          </cell>
          <cell r="AD235">
            <v>248.55741402200647</v>
          </cell>
          <cell r="AE235">
            <v>230.93955849750063</v>
          </cell>
          <cell r="AF235">
            <v>212.62662517135635</v>
          </cell>
          <cell r="AG235">
            <v>193.61861404357347</v>
          </cell>
          <cell r="AH235">
            <v>173.9155251141523</v>
          </cell>
        </row>
        <row r="236">
          <cell r="B236" t="str">
            <v>e-hydrogen - Finance cost - Europe - USD/ton fuel</v>
          </cell>
          <cell r="G236">
            <v>423.4664833247287</v>
          </cell>
          <cell r="H236">
            <v>407.9080597487058</v>
          </cell>
          <cell r="I236">
            <v>391.93778538812398</v>
          </cell>
          <cell r="J236">
            <v>383.67894989578463</v>
          </cell>
          <cell r="K236">
            <v>374.65498754747659</v>
          </cell>
          <cell r="L236">
            <v>364.86589834320779</v>
          </cell>
          <cell r="M236">
            <v>354.31168228298088</v>
          </cell>
          <cell r="N236">
            <v>342.99233936678479</v>
          </cell>
          <cell r="O236">
            <v>350.20750340232428</v>
          </cell>
          <cell r="P236">
            <v>355.6383130013013</v>
          </cell>
          <cell r="Q236">
            <v>359.28476816371159</v>
          </cell>
          <cell r="R236">
            <v>361.14686888954691</v>
          </cell>
          <cell r="S236">
            <v>361.22461517882164</v>
          </cell>
          <cell r="T236">
            <v>358.40192634457429</v>
          </cell>
          <cell r="U236">
            <v>354.10652475046084</v>
          </cell>
          <cell r="V236">
            <v>348.33841039649622</v>
          </cell>
          <cell r="W236">
            <v>341.09758328266571</v>
          </cell>
          <cell r="X236">
            <v>332.38404340896386</v>
          </cell>
          <cell r="Y236">
            <v>321.22576094613464</v>
          </cell>
          <cell r="Z236">
            <v>308.95623454830633</v>
          </cell>
          <cell r="AA236">
            <v>295.57546421549114</v>
          </cell>
          <cell r="AB236">
            <v>281.08344994768112</v>
          </cell>
          <cell r="AC236">
            <v>265.48019174487365</v>
          </cell>
          <cell r="AD236">
            <v>248.55741402200647</v>
          </cell>
          <cell r="AE236">
            <v>230.93955849750063</v>
          </cell>
          <cell r="AF236">
            <v>212.62662517135635</v>
          </cell>
          <cell r="AG236">
            <v>193.61861404357347</v>
          </cell>
          <cell r="AH236">
            <v>173.9155251141523</v>
          </cell>
        </row>
        <row r="237">
          <cell r="B237" t="str">
            <v>e-hydrogen - Finance cost - Middle East - USD/ton fuel</v>
          </cell>
          <cell r="G237">
            <v>423.4664833247287</v>
          </cell>
          <cell r="H237">
            <v>407.9080597487058</v>
          </cell>
          <cell r="I237">
            <v>391.93778538812398</v>
          </cell>
          <cell r="J237">
            <v>383.67894989578463</v>
          </cell>
          <cell r="K237">
            <v>374.65498754747659</v>
          </cell>
          <cell r="L237">
            <v>364.86589834320779</v>
          </cell>
          <cell r="M237">
            <v>354.31168228298088</v>
          </cell>
          <cell r="N237">
            <v>342.99233936678479</v>
          </cell>
          <cell r="O237">
            <v>350.20750340232428</v>
          </cell>
          <cell r="P237">
            <v>355.6383130013013</v>
          </cell>
          <cell r="Q237">
            <v>359.28476816371159</v>
          </cell>
          <cell r="R237">
            <v>361.14686888954691</v>
          </cell>
          <cell r="S237">
            <v>361.22461517882164</v>
          </cell>
          <cell r="T237">
            <v>358.40192634457429</v>
          </cell>
          <cell r="U237">
            <v>354.10652475046084</v>
          </cell>
          <cell r="V237">
            <v>348.33841039649622</v>
          </cell>
          <cell r="W237">
            <v>341.09758328266571</v>
          </cell>
          <cell r="X237">
            <v>332.38404340896386</v>
          </cell>
          <cell r="Y237">
            <v>321.22576094613464</v>
          </cell>
          <cell r="Z237">
            <v>308.95623454830633</v>
          </cell>
          <cell r="AA237">
            <v>295.57546421549114</v>
          </cell>
          <cell r="AB237">
            <v>281.08344994768112</v>
          </cell>
          <cell r="AC237">
            <v>265.48019174487365</v>
          </cell>
          <cell r="AD237">
            <v>248.55741402200647</v>
          </cell>
          <cell r="AE237">
            <v>230.93955849750063</v>
          </cell>
          <cell r="AF237">
            <v>212.62662517135635</v>
          </cell>
          <cell r="AG237">
            <v>193.61861404357347</v>
          </cell>
          <cell r="AH237">
            <v>173.9155251141523</v>
          </cell>
        </row>
        <row r="238">
          <cell r="B238" t="str">
            <v/>
          </cell>
        </row>
        <row r="239">
          <cell r="B239" t="str">
            <v>e-hydrogen (compressed) - Energy cost including feedstock energy cost - Africa - USD/ton fuel</v>
          </cell>
          <cell r="G239">
            <v>3160.8705964644164</v>
          </cell>
          <cell r="H239">
            <v>2786.523241337979</v>
          </cell>
          <cell r="I239">
            <v>2412.5464202833837</v>
          </cell>
          <cell r="J239">
            <v>2304.7344628217015</v>
          </cell>
          <cell r="K239">
            <v>2196.6012206586379</v>
          </cell>
          <cell r="L239">
            <v>2088.2494806360514</v>
          </cell>
          <cell r="M239">
            <v>1979.7820295958466</v>
          </cell>
          <cell r="N239">
            <v>1871.3016543799013</v>
          </cell>
          <cell r="O239">
            <v>1802.6625730422293</v>
          </cell>
          <cell r="P239">
            <v>1734.1917254836167</v>
          </cell>
          <cell r="Q239">
            <v>1665.9444753405153</v>
          </cell>
          <cell r="R239">
            <v>1597.976186249457</v>
          </cell>
          <cell r="S239">
            <v>1530.3422218469802</v>
          </cell>
          <cell r="T239">
            <v>1491.8507805011832</v>
          </cell>
          <cell r="U239">
            <v>1453.4494587457298</v>
          </cell>
          <cell r="V239">
            <v>1415.1563219456079</v>
          </cell>
          <cell r="W239">
            <v>1376.9894354656967</v>
          </cell>
          <cell r="X239">
            <v>1338.9668646709708</v>
          </cell>
          <cell r="Y239">
            <v>1296.9598763474942</v>
          </cell>
          <cell r="Z239">
            <v>1255.7747230782336</v>
          </cell>
          <cell r="AA239">
            <v>1215.4008407247393</v>
          </cell>
          <cell r="AB239">
            <v>1175.8276651485323</v>
          </cell>
          <cell r="AC239">
            <v>1137.0446322111472</v>
          </cell>
          <cell r="AD239">
            <v>1113.2241368658154</v>
          </cell>
          <cell r="AE239">
            <v>1089.8673860112274</v>
          </cell>
          <cell r="AF239">
            <v>1066.9677226950826</v>
          </cell>
          <cell r="AG239">
            <v>1044.5184899651035</v>
          </cell>
          <cell r="AH239">
            <v>1022.5130308690141</v>
          </cell>
        </row>
        <row r="240">
          <cell r="B240" t="str">
            <v>e-hydrogen (compressed) - Energy cost including feedstock energy cost - Americas - USD/ton fuel</v>
          </cell>
          <cell r="G240">
            <v>1986.022029783622</v>
          </cell>
          <cell r="H240">
            <v>1942.6791108821419</v>
          </cell>
          <cell r="I240">
            <v>1899.0560032656203</v>
          </cell>
          <cell r="J240">
            <v>1826.0625747933959</v>
          </cell>
          <cell r="K240">
            <v>1752.7609736509025</v>
          </cell>
          <cell r="L240">
            <v>1679.2202631891889</v>
          </cell>
          <cell r="M240">
            <v>1605.5095067593863</v>
          </cell>
          <cell r="N240">
            <v>1531.6977677124719</v>
          </cell>
          <cell r="O240">
            <v>1489.0291478242557</v>
          </cell>
          <cell r="P240">
            <v>1446.3126288296503</v>
          </cell>
          <cell r="Q240">
            <v>1403.5802801551172</v>
          </cell>
          <cell r="R240">
            <v>1360.8641712271224</v>
          </cell>
          <cell r="S240">
            <v>1318.196371472189</v>
          </cell>
          <cell r="T240">
            <v>1281.5555815366356</v>
          </cell>
          <cell r="U240">
            <v>1245.0533507729108</v>
          </cell>
          <cell r="V240">
            <v>1208.7077012258628</v>
          </cell>
          <cell r="W240">
            <v>1172.5366549402484</v>
          </cell>
          <cell r="X240">
            <v>1136.5582339608836</v>
          </cell>
          <cell r="Y240">
            <v>1112.3640919011295</v>
          </cell>
          <cell r="Z240">
            <v>1088.5763473760965</v>
          </cell>
          <cell r="AA240">
            <v>1065.1908713683672</v>
          </cell>
          <cell r="AB240">
            <v>1042.2035348604634</v>
          </cell>
          <cell r="AC240">
            <v>1019.61020883496</v>
          </cell>
          <cell r="AD240">
            <v>1001.6667447875999</v>
          </cell>
          <cell r="AE240">
            <v>984.06586194466854</v>
          </cell>
          <cell r="AF240">
            <v>966.80356105825501</v>
          </cell>
          <cell r="AG240">
            <v>949.87584288045787</v>
          </cell>
          <cell r="AH240">
            <v>933.27870816337509</v>
          </cell>
        </row>
        <row r="241">
          <cell r="B241" t="str">
            <v>e-hydrogen (compressed) - Energy cost including feedstock energy cost - Asia - USD/ton fuel</v>
          </cell>
          <cell r="G241">
            <v>3515.5451368694994</v>
          </cell>
          <cell r="H241">
            <v>3202.9670075376002</v>
          </cell>
          <cell r="I241">
            <v>2890.5235227287494</v>
          </cell>
          <cell r="J241">
            <v>2774.4528840461521</v>
          </cell>
          <cell r="K241">
            <v>2657.9363122554146</v>
          </cell>
          <cell r="L241">
            <v>2541.0838854200356</v>
          </cell>
          <cell r="M241">
            <v>2424.0056816037468</v>
          </cell>
          <cell r="N241">
            <v>2306.8117788701561</v>
          </cell>
          <cell r="O241">
            <v>2218.1721303505983</v>
          </cell>
          <cell r="P241">
            <v>2129.7951643580186</v>
          </cell>
          <cell r="Q241">
            <v>2041.7530759339261</v>
          </cell>
          <cell r="R241">
            <v>1954.1180601197893</v>
          </cell>
          <cell r="S241">
            <v>1866.9623119572402</v>
          </cell>
          <cell r="T241">
            <v>1815.1787029276168</v>
          </cell>
          <cell r="U241">
            <v>1763.5893988725866</v>
          </cell>
          <cell r="V241">
            <v>1712.219846212882</v>
          </cell>
          <cell r="W241">
            <v>1661.0954913690473</v>
          </cell>
          <cell r="X241">
            <v>1610.2417807617942</v>
          </cell>
          <cell r="Y241">
            <v>1553.9360314199</v>
          </cell>
          <cell r="Z241">
            <v>1498.7656644323729</v>
          </cell>
          <cell r="AA241">
            <v>1444.7155323228835</v>
          </cell>
          <cell r="AB241">
            <v>1391.7704876150719</v>
          </cell>
          <cell r="AC241">
            <v>1339.915382832598</v>
          </cell>
          <cell r="AD241">
            <v>1309.9831447130568</v>
          </cell>
          <cell r="AE241">
            <v>1280.6373127610934</v>
          </cell>
          <cell r="AF241">
            <v>1251.8689688243389</v>
          </cell>
          <cell r="AG241">
            <v>1223.6691947504187</v>
          </cell>
          <cell r="AH241">
            <v>1196.0290723869578</v>
          </cell>
        </row>
        <row r="242">
          <cell r="B242" t="str">
            <v>e-hydrogen (compressed) - Energy cost including feedstock energy cost - Europe - USD/ton fuel</v>
          </cell>
          <cell r="G242">
            <v>2617.1329276426868</v>
          </cell>
          <cell r="H242">
            <v>2501.4832373426843</v>
          </cell>
          <cell r="I242">
            <v>2385.6208251448465</v>
          </cell>
          <cell r="J242">
            <v>2290.1360706240293</v>
          </cell>
          <cell r="K242">
            <v>2194.281827469511</v>
          </cell>
          <cell r="L242">
            <v>2098.1486352829556</v>
          </cell>
          <cell r="M242">
            <v>2001.8270336660016</v>
          </cell>
          <cell r="N242">
            <v>1905.4075622202831</v>
          </cell>
          <cell r="O242">
            <v>1855.9948612502078</v>
          </cell>
          <cell r="P242">
            <v>1806.4722197363817</v>
          </cell>
          <cell r="Q242">
            <v>1756.8759375972888</v>
          </cell>
          <cell r="R242">
            <v>1707.2423147514785</v>
          </cell>
          <cell r="S242">
            <v>1657.6076511175781</v>
          </cell>
          <cell r="T242">
            <v>1622.348781281504</v>
          </cell>
          <cell r="U242">
            <v>1587.0750484272664</v>
          </cell>
          <cell r="V242">
            <v>1551.8014774016065</v>
          </cell>
          <cell r="W242">
            <v>1516.5430930511313</v>
          </cell>
          <cell r="X242">
            <v>1481.3149202225381</v>
          </cell>
          <cell r="Y242">
            <v>1440.8743847473047</v>
          </cell>
          <cell r="Z242">
            <v>1401.1898091614214</v>
          </cell>
          <cell r="AA242">
            <v>1362.2520523275218</v>
          </cell>
          <cell r="AB242">
            <v>1324.0519731081486</v>
          </cell>
          <cell r="AC242">
            <v>1286.5804303659243</v>
          </cell>
          <cell r="AD242">
            <v>1257.840458133481</v>
          </cell>
          <cell r="AE242">
            <v>1229.6635327190136</v>
          </cell>
          <cell r="AF242">
            <v>1202.0410914284364</v>
          </cell>
          <cell r="AG242">
            <v>1174.9645715676581</v>
          </cell>
          <cell r="AH242">
            <v>1148.4254104425868</v>
          </cell>
        </row>
        <row r="243">
          <cell r="B243" t="str">
            <v>e-hydrogen (compressed) - Energy cost including feedstock energy cost - Middle East - USD/ton fuel</v>
          </cell>
          <cell r="G243">
            <v>2004.0557863679674</v>
          </cell>
          <cell r="H243">
            <v>1913.439994141396</v>
          </cell>
          <cell r="I243">
            <v>1822.6668128960132</v>
          </cell>
          <cell r="J243">
            <v>1760.7472131571581</v>
          </cell>
          <cell r="K243">
            <v>1698.4939504098782</v>
          </cell>
          <cell r="L243">
            <v>1635.9651897318304</v>
          </cell>
          <cell r="M243">
            <v>1573.2190962007282</v>
          </cell>
          <cell r="N243">
            <v>1510.3138348942052</v>
          </cell>
          <cell r="O243">
            <v>1460.1275067135082</v>
          </cell>
          <cell r="P243">
            <v>1410.0053792603746</v>
          </cell>
          <cell r="Q243">
            <v>1359.9870273294782</v>
          </cell>
          <cell r="R243">
            <v>1310.1120257155462</v>
          </cell>
          <cell r="S243">
            <v>1260.4199492133293</v>
          </cell>
          <cell r="T243">
            <v>1230.3082459572943</v>
          </cell>
          <cell r="U243">
            <v>1200.2429586961468</v>
          </cell>
          <cell r="V243">
            <v>1170.2378432658459</v>
          </cell>
          <cell r="W243">
            <v>1140.3066555022276</v>
          </cell>
          <cell r="X243">
            <v>1110.4631512412213</v>
          </cell>
          <cell r="Y243">
            <v>1072.0767797388739</v>
          </cell>
          <cell r="Z243">
            <v>1034.4621299578357</v>
          </cell>
          <cell r="AA243">
            <v>997.60894300383222</v>
          </cell>
          <cell r="AB243">
            <v>961.50695998256094</v>
          </cell>
          <cell r="AC243">
            <v>926.14592199973754</v>
          </cell>
          <cell r="AD243">
            <v>905.45655143347608</v>
          </cell>
          <cell r="AE243">
            <v>885.17250940990675</v>
          </cell>
          <cell r="AF243">
            <v>865.287631560058</v>
          </cell>
          <cell r="AG243">
            <v>845.79575351497181</v>
          </cell>
          <cell r="AH243">
            <v>826.69071090569059</v>
          </cell>
        </row>
        <row r="244">
          <cell r="B244" t="str">
            <v>e-hydrogen (compressed) - Energy cost - Africa - USD/ton fuel</v>
          </cell>
          <cell r="G244">
            <v>61.309297277039882</v>
          </cell>
          <cell r="H244">
            <v>54.10996105794257</v>
          </cell>
          <cell r="I244">
            <v>46.91062483884334</v>
          </cell>
          <cell r="J244">
            <v>44.903695919290797</v>
          </cell>
          <cell r="K244">
            <v>42.896766999738247</v>
          </cell>
          <cell r="L244">
            <v>40.889838080185704</v>
          </cell>
          <cell r="M244">
            <v>38.882909160632678</v>
          </cell>
          <cell r="N244">
            <v>36.875980241080129</v>
          </cell>
          <cell r="O244">
            <v>35.755709953348308</v>
          </cell>
          <cell r="P244">
            <v>34.635439665616495</v>
          </cell>
          <cell r="Q244">
            <v>33.515169377884199</v>
          </cell>
          <cell r="R244">
            <v>32.394899090152379</v>
          </cell>
          <cell r="S244">
            <v>31.274628802420679</v>
          </cell>
          <cell r="T244">
            <v>30.747335986398191</v>
          </cell>
          <cell r="U244">
            <v>30.220043170375824</v>
          </cell>
          <cell r="V244">
            <v>29.692750354353336</v>
          </cell>
          <cell r="W244">
            <v>29.165457538330852</v>
          </cell>
          <cell r="X244">
            <v>28.638164722308602</v>
          </cell>
          <cell r="Y244">
            <v>28.095964731813559</v>
          </cell>
          <cell r="Z244">
            <v>27.553764741318517</v>
          </cell>
          <cell r="AA244">
            <v>27.011564750823233</v>
          </cell>
          <cell r="AB244">
            <v>26.46936476032819</v>
          </cell>
          <cell r="AC244">
            <v>25.927164769833027</v>
          </cell>
          <cell r="AD244">
            <v>25.661038493586712</v>
          </cell>
          <cell r="AE244">
            <v>25.394912217340519</v>
          </cell>
          <cell r="AF244">
            <v>25.128785941094204</v>
          </cell>
          <cell r="AG244">
            <v>24.862659664847889</v>
          </cell>
          <cell r="AH244">
            <v>24.596533388601696</v>
          </cell>
        </row>
        <row r="245">
          <cell r="B245" t="str">
            <v>e-hydrogen (compressed) - Energy cost - Americas - USD/ton fuel</v>
          </cell>
          <cell r="G245">
            <v>38.521543766755386</v>
          </cell>
          <cell r="H245">
            <v>37.723816359571252</v>
          </cell>
          <cell r="I245">
            <v>36.926088952386884</v>
          </cell>
          <cell r="J245">
            <v>35.577616385243118</v>
          </cell>
          <cell r="K245">
            <v>34.229143818099352</v>
          </cell>
          <cell r="L245">
            <v>32.880671250955587</v>
          </cell>
          <cell r="M245">
            <v>31.532198683812297</v>
          </cell>
          <cell r="N245">
            <v>30.183726116668527</v>
          </cell>
          <cell r="O245">
            <v>29.534808742289375</v>
          </cell>
          <cell r="P245">
            <v>28.885891367910222</v>
          </cell>
          <cell r="Q245">
            <v>28.23697399353107</v>
          </cell>
          <cell r="R245">
            <v>27.588056619151917</v>
          </cell>
          <cell r="S245">
            <v>26.939139244772647</v>
          </cell>
          <cell r="T245">
            <v>26.41311085919267</v>
          </cell>
          <cell r="U245">
            <v>25.887082473612697</v>
          </cell>
          <cell r="V245">
            <v>25.361054088032603</v>
          </cell>
          <cell r="W245">
            <v>24.835025702452629</v>
          </cell>
          <cell r="X245">
            <v>24.308997316872595</v>
          </cell>
          <cell r="Y245">
            <v>24.097077222623625</v>
          </cell>
          <cell r="Z245">
            <v>23.885157128374654</v>
          </cell>
          <cell r="AA245">
            <v>23.673237034125744</v>
          </cell>
          <cell r="AB245">
            <v>23.461316939876777</v>
          </cell>
          <cell r="AC245">
            <v>23.249396845627807</v>
          </cell>
          <cell r="AD245">
            <v>23.089518134332863</v>
          </cell>
          <cell r="AE245">
            <v>22.92963942303798</v>
          </cell>
          <cell r="AF245">
            <v>22.7697607117431</v>
          </cell>
          <cell r="AG245">
            <v>22.609882000448216</v>
          </cell>
          <cell r="AH245">
            <v>22.450003289153333</v>
          </cell>
        </row>
        <row r="246">
          <cell r="B246" t="str">
            <v>e-hydrogen (compressed) - Energy cost - Asia - USD/ton fuel</v>
          </cell>
          <cell r="G246">
            <v>68.188682614299623</v>
          </cell>
          <cell r="H246">
            <v>62.196653333677752</v>
          </cell>
          <cell r="I246">
            <v>56.204624053058751</v>
          </cell>
          <cell r="J246">
            <v>54.055332905934762</v>
          </cell>
          <cell r="K246">
            <v>51.906041758811718</v>
          </cell>
          <cell r="L246">
            <v>49.756750611687721</v>
          </cell>
          <cell r="M246">
            <v>47.607459464563725</v>
          </cell>
          <cell r="N246">
            <v>45.458168317440688</v>
          </cell>
          <cell r="O246">
            <v>43.997318469627274</v>
          </cell>
          <cell r="P246">
            <v>42.536468621814336</v>
          </cell>
          <cell r="Q246">
            <v>41.075618774001875</v>
          </cell>
          <cell r="R246">
            <v>39.614768926188937</v>
          </cell>
          <cell r="S246">
            <v>38.153919078375999</v>
          </cell>
          <cell r="T246">
            <v>37.41118762261199</v>
          </cell>
          <cell r="U246">
            <v>36.668456166847982</v>
          </cell>
          <cell r="V246">
            <v>35.925724711084207</v>
          </cell>
          <cell r="W246">
            <v>35.182993255320199</v>
          </cell>
          <cell r="X246">
            <v>34.440261799556666</v>
          </cell>
          <cell r="Y246">
            <v>33.662823908802409</v>
          </cell>
          <cell r="Z246">
            <v>32.885386018048393</v>
          </cell>
          <cell r="AA246">
            <v>32.107948127294144</v>
          </cell>
          <cell r="AB246">
            <v>31.330510236540125</v>
          </cell>
          <cell r="AC246">
            <v>30.553072345785871</v>
          </cell>
          <cell r="AD246">
            <v>30.196549633816854</v>
          </cell>
          <cell r="AE246">
            <v>29.840026921847716</v>
          </cell>
          <cell r="AF246">
            <v>29.483504209878699</v>
          </cell>
          <cell r="AG246">
            <v>29.126981497909682</v>
          </cell>
          <cell r="AH246">
            <v>28.770458785940544</v>
          </cell>
        </row>
        <row r="247">
          <cell r="B247" t="str">
            <v>e-hydrogen (compressed) - Energy cost - Europe - USD/ton fuel</v>
          </cell>
          <cell r="G247">
            <v>50.762780625645114</v>
          </cell>
          <cell r="H247">
            <v>48.574926112841787</v>
          </cell>
          <cell r="I247">
            <v>46.38707160003846</v>
          </cell>
          <cell r="J247">
            <v>44.619271932610673</v>
          </cell>
          <cell r="K247">
            <v>42.851472265182409</v>
          </cell>
          <cell r="L247">
            <v>41.083672597754621</v>
          </cell>
          <cell r="M247">
            <v>39.31587293032635</v>
          </cell>
          <cell r="N247">
            <v>37.548073262898562</v>
          </cell>
          <cell r="O247">
            <v>36.81355286684191</v>
          </cell>
          <cell r="P247">
            <v>36.079032470785968</v>
          </cell>
          <cell r="Q247">
            <v>35.344512074729792</v>
          </cell>
          <cell r="R247">
            <v>34.609991678673616</v>
          </cell>
          <cell r="S247">
            <v>33.875471282617674</v>
          </cell>
          <cell r="T247">
            <v>33.436925272397559</v>
          </cell>
          <cell r="U247">
            <v>32.998379262177565</v>
          </cell>
          <cell r="V247">
            <v>32.559833251957571</v>
          </cell>
          <cell r="W247">
            <v>32.121287241737576</v>
          </cell>
          <cell r="X247">
            <v>31.682741231517344</v>
          </cell>
          <cell r="Y247">
            <v>31.213576175418474</v>
          </cell>
          <cell r="Z247">
            <v>30.744411119319484</v>
          </cell>
          <cell r="AA247">
            <v>30.275246063220614</v>
          </cell>
          <cell r="AB247">
            <v>29.806081007121623</v>
          </cell>
          <cell r="AC247">
            <v>29.336915951022753</v>
          </cell>
          <cell r="AD247">
            <v>28.994603463978457</v>
          </cell>
          <cell r="AE247">
            <v>28.65229097693404</v>
          </cell>
          <cell r="AF247">
            <v>28.309978489889744</v>
          </cell>
          <cell r="AG247">
            <v>27.967666002845448</v>
          </cell>
          <cell r="AH247">
            <v>27.625353515801034</v>
          </cell>
        </row>
        <row r="248">
          <cell r="B248" t="str">
            <v>e-hydrogen (compressed) - Energy cost - Middle East - USD/ton fuel</v>
          </cell>
          <cell r="G248">
            <v>38.871332506822164</v>
          </cell>
          <cell r="H248">
            <v>37.156038045455809</v>
          </cell>
          <cell r="I248">
            <v>35.440743584088978</v>
          </cell>
          <cell r="J248">
            <v>34.305061483546822</v>
          </cell>
          <cell r="K248">
            <v>33.16937938300466</v>
          </cell>
          <cell r="L248">
            <v>32.033697282462505</v>
          </cell>
          <cell r="M248">
            <v>30.898015181920346</v>
          </cell>
          <cell r="N248">
            <v>29.762333081378188</v>
          </cell>
          <cell r="O248">
            <v>28.961546329131455</v>
          </cell>
          <cell r="P248">
            <v>28.16075957688496</v>
          </cell>
          <cell r="Q248">
            <v>27.359972824638227</v>
          </cell>
          <cell r="R248">
            <v>26.559186072391732</v>
          </cell>
          <cell r="S248">
            <v>25.758399320145237</v>
          </cell>
          <cell r="T248">
            <v>25.356893262861519</v>
          </cell>
          <cell r="U248">
            <v>24.955387205577804</v>
          </cell>
          <cell r="V248">
            <v>24.553881148294206</v>
          </cell>
          <cell r="W248">
            <v>24.152375091010487</v>
          </cell>
          <cell r="X248">
            <v>23.750869033726769</v>
          </cell>
          <cell r="Y248">
            <v>23.224335573253569</v>
          </cell>
          <cell r="Z248">
            <v>22.69780211278049</v>
          </cell>
          <cell r="AA248">
            <v>22.171268652307287</v>
          </cell>
          <cell r="AB248">
            <v>21.644735191834208</v>
          </cell>
          <cell r="AC248">
            <v>21.118201731360948</v>
          </cell>
          <cell r="AD248">
            <v>20.871767554394459</v>
          </cell>
          <cell r="AE248">
            <v>20.625333377428031</v>
          </cell>
          <cell r="AF248">
            <v>20.378899200461543</v>
          </cell>
          <cell r="AG248">
            <v>20.132465023495055</v>
          </cell>
          <cell r="AH248">
            <v>19.886030846528623</v>
          </cell>
        </row>
        <row r="249">
          <cell r="B249" t="str">
            <v>e-hydrogen - Energy cost - Africa - USD/ton fuel</v>
          </cell>
          <cell r="G249">
            <v>3099.5612991873763</v>
          </cell>
          <cell r="H249">
            <v>2732.4132802800364</v>
          </cell>
          <cell r="I249">
            <v>2365.6357954445402</v>
          </cell>
          <cell r="J249">
            <v>2259.8307669024107</v>
          </cell>
          <cell r="K249">
            <v>2153.7044536588996</v>
          </cell>
          <cell r="L249">
            <v>2047.3596425558658</v>
          </cell>
          <cell r="M249">
            <v>1940.8991204352139</v>
          </cell>
          <cell r="N249">
            <v>1834.4256741388213</v>
          </cell>
          <cell r="O249">
            <v>1766.906863088881</v>
          </cell>
          <cell r="P249">
            <v>1699.5562858180001</v>
          </cell>
          <cell r="Q249">
            <v>1632.4293059626311</v>
          </cell>
          <cell r="R249">
            <v>1565.5812871593046</v>
          </cell>
          <cell r="S249">
            <v>1499.0675930445595</v>
          </cell>
          <cell r="T249">
            <v>1461.103444514785</v>
          </cell>
          <cell r="U249">
            <v>1423.2294155753539</v>
          </cell>
          <cell r="V249">
            <v>1385.4635715912545</v>
          </cell>
          <cell r="W249">
            <v>1347.8239779273658</v>
          </cell>
          <cell r="X249">
            <v>1310.3286999486622</v>
          </cell>
          <cell r="Y249">
            <v>1268.8639116156805</v>
          </cell>
          <cell r="Z249">
            <v>1228.2209583369151</v>
          </cell>
          <cell r="AA249">
            <v>1188.389275973916</v>
          </cell>
          <cell r="AB249">
            <v>1149.358300388204</v>
          </cell>
          <cell r="AC249">
            <v>1111.1174674413141</v>
          </cell>
          <cell r="AD249">
            <v>1087.5630983722288</v>
          </cell>
          <cell r="AE249">
            <v>1064.4724737938868</v>
          </cell>
          <cell r="AF249">
            <v>1041.8389367539883</v>
          </cell>
          <cell r="AG249">
            <v>1019.6558303002557</v>
          </cell>
          <cell r="AH249">
            <v>997.91649748041243</v>
          </cell>
        </row>
        <row r="250">
          <cell r="B250" t="str">
            <v>e-hydrogen - Energy cost - Americas - USD/ton fuel</v>
          </cell>
          <cell r="G250">
            <v>1947.5004860168665</v>
          </cell>
          <cell r="H250">
            <v>1904.9552945225707</v>
          </cell>
          <cell r="I250">
            <v>1862.1299143132335</v>
          </cell>
          <cell r="J250">
            <v>1790.4849584081528</v>
          </cell>
          <cell r="K250">
            <v>1718.5318298328032</v>
          </cell>
          <cell r="L250">
            <v>1646.3395919382333</v>
          </cell>
          <cell r="M250">
            <v>1573.977308075574</v>
          </cell>
          <cell r="N250">
            <v>1501.5140415958033</v>
          </cell>
          <cell r="O250">
            <v>1459.4943390819662</v>
          </cell>
          <cell r="P250">
            <v>1417.42673746174</v>
          </cell>
          <cell r="Q250">
            <v>1375.343306161586</v>
          </cell>
          <cell r="R250">
            <v>1333.2761146079704</v>
          </cell>
          <cell r="S250">
            <v>1291.2572322274164</v>
          </cell>
          <cell r="T250">
            <v>1255.142470677443</v>
          </cell>
          <cell r="U250">
            <v>1219.1662682992981</v>
          </cell>
          <cell r="V250">
            <v>1183.3466471378301</v>
          </cell>
          <cell r="W250">
            <v>1147.7016292377957</v>
          </cell>
          <cell r="X250">
            <v>1112.249236644011</v>
          </cell>
          <cell r="Y250">
            <v>1088.267014678506</v>
          </cell>
          <cell r="Z250">
            <v>1064.6911902477218</v>
          </cell>
          <cell r="AA250">
            <v>1041.5176343342414</v>
          </cell>
          <cell r="AB250">
            <v>1018.7422179205867</v>
          </cell>
          <cell r="AC250">
            <v>996.36081198933221</v>
          </cell>
          <cell r="AD250">
            <v>978.57722665326708</v>
          </cell>
          <cell r="AE250">
            <v>961.13622252163054</v>
          </cell>
          <cell r="AF250">
            <v>944.03380034651195</v>
          </cell>
          <cell r="AG250">
            <v>927.26596088000963</v>
          </cell>
          <cell r="AH250">
            <v>910.82870487422178</v>
          </cell>
        </row>
        <row r="251">
          <cell r="B251" t="str">
            <v>e-hydrogen - Energy cost - Asia - USD/ton fuel</v>
          </cell>
          <cell r="G251">
            <v>3447.3564542551999</v>
          </cell>
          <cell r="H251">
            <v>3140.7703542039226</v>
          </cell>
          <cell r="I251">
            <v>2834.3188986756909</v>
          </cell>
          <cell r="J251">
            <v>2720.3975511402173</v>
          </cell>
          <cell r="K251">
            <v>2606.030270496603</v>
          </cell>
          <cell r="L251">
            <v>2491.3271348083481</v>
          </cell>
          <cell r="M251">
            <v>2376.398222139183</v>
          </cell>
          <cell r="N251">
            <v>2261.3536105527155</v>
          </cell>
          <cell r="O251">
            <v>2174.174811880971</v>
          </cell>
          <cell r="P251">
            <v>2087.2586957362041</v>
          </cell>
          <cell r="Q251">
            <v>2000.6774571599242</v>
          </cell>
          <cell r="R251">
            <v>1914.5032911936005</v>
          </cell>
          <cell r="S251">
            <v>1828.8083928788642</v>
          </cell>
          <cell r="T251">
            <v>1777.7675153050047</v>
          </cell>
          <cell r="U251">
            <v>1726.9209427057385</v>
          </cell>
          <cell r="V251">
            <v>1676.2941215017977</v>
          </cell>
          <cell r="W251">
            <v>1625.912498113727</v>
          </cell>
          <cell r="X251">
            <v>1575.8015189622374</v>
          </cell>
          <cell r="Y251">
            <v>1520.2732075110976</v>
          </cell>
          <cell r="Z251">
            <v>1465.8802784143245</v>
          </cell>
          <cell r="AA251">
            <v>1412.6075841955894</v>
          </cell>
          <cell r="AB251">
            <v>1360.4399773785319</v>
          </cell>
          <cell r="AC251">
            <v>1309.362310486812</v>
          </cell>
          <cell r="AD251">
            <v>1279.78659507924</v>
          </cell>
          <cell r="AE251">
            <v>1250.7972858392457</v>
          </cell>
          <cell r="AF251">
            <v>1222.3854646144603</v>
          </cell>
          <cell r="AG251">
            <v>1194.5422132525091</v>
          </cell>
          <cell r="AH251">
            <v>1167.2586136010173</v>
          </cell>
        </row>
        <row r="252">
          <cell r="B252" t="str">
            <v>e-hydrogen - Energy cost - Europe - USD/ton fuel</v>
          </cell>
          <cell r="G252">
            <v>2566.3701470170417</v>
          </cell>
          <cell r="H252">
            <v>2452.9083112298426</v>
          </cell>
          <cell r="I252">
            <v>2339.2337535448082</v>
          </cell>
          <cell r="J252">
            <v>2245.5167986914189</v>
          </cell>
          <cell r="K252">
            <v>2151.4303552043284</v>
          </cell>
          <cell r="L252">
            <v>2057.064962685201</v>
          </cell>
          <cell r="M252">
            <v>1962.5111607356753</v>
          </cell>
          <cell r="N252">
            <v>1867.8594889573847</v>
          </cell>
          <cell r="O252">
            <v>1819.1813083833658</v>
          </cell>
          <cell r="P252">
            <v>1770.3931872655958</v>
          </cell>
          <cell r="Q252">
            <v>1721.5314255225589</v>
          </cell>
          <cell r="R252">
            <v>1672.6323230728049</v>
          </cell>
          <cell r="S252">
            <v>1623.7321798349606</v>
          </cell>
          <cell r="T252">
            <v>1588.9118560091065</v>
          </cell>
          <cell r="U252">
            <v>1554.0766691650888</v>
          </cell>
          <cell r="V252">
            <v>1519.2416441496489</v>
          </cell>
          <cell r="W252">
            <v>1484.4218058093938</v>
          </cell>
          <cell r="X252">
            <v>1449.6321789910207</v>
          </cell>
          <cell r="Y252">
            <v>1409.6608085718863</v>
          </cell>
          <cell r="Z252">
            <v>1370.4453980421019</v>
          </cell>
          <cell r="AA252">
            <v>1331.9768062643011</v>
          </cell>
          <cell r="AB252">
            <v>1294.245892101027</v>
          </cell>
          <cell r="AC252">
            <v>1257.2435144149015</v>
          </cell>
          <cell r="AD252">
            <v>1228.8458546695026</v>
          </cell>
          <cell r="AE252">
            <v>1201.0112417420796</v>
          </cell>
          <cell r="AF252">
            <v>1173.7311129385466</v>
          </cell>
          <cell r="AG252">
            <v>1146.9969055648128</v>
          </cell>
          <cell r="AH252">
            <v>1120.8000569267858</v>
          </cell>
        </row>
        <row r="253">
          <cell r="B253" t="str">
            <v>e-hydrogen - Energy cost - Middle East - USD/ton fuel</v>
          </cell>
          <cell r="G253">
            <v>1965.1844538611451</v>
          </cell>
          <cell r="H253">
            <v>1876.2839560959403</v>
          </cell>
          <cell r="I253">
            <v>1787.2260693119242</v>
          </cell>
          <cell r="J253">
            <v>1726.4421516736113</v>
          </cell>
          <cell r="K253">
            <v>1665.3245710268734</v>
          </cell>
          <cell r="L253">
            <v>1603.9314924493679</v>
          </cell>
          <cell r="M253">
            <v>1542.3210810188079</v>
          </cell>
          <cell r="N253">
            <v>1480.5515018128272</v>
          </cell>
          <cell r="O253">
            <v>1431.1659603843768</v>
          </cell>
          <cell r="P253">
            <v>1381.8446196834898</v>
          </cell>
          <cell r="Q253">
            <v>1332.6270545048401</v>
          </cell>
          <cell r="R253">
            <v>1283.5528396431546</v>
          </cell>
          <cell r="S253">
            <v>1234.6615498931842</v>
          </cell>
          <cell r="T253">
            <v>1204.9513526944327</v>
          </cell>
          <cell r="U253">
            <v>1175.287571490569</v>
          </cell>
          <cell r="V253">
            <v>1145.6839621175516</v>
          </cell>
          <cell r="W253">
            <v>1116.1542804112171</v>
          </cell>
          <cell r="X253">
            <v>1086.7122822074946</v>
          </cell>
          <cell r="Y253">
            <v>1048.8524441656205</v>
          </cell>
          <cell r="Z253">
            <v>1011.7643278450553</v>
          </cell>
          <cell r="AA253">
            <v>975.43767435152495</v>
          </cell>
          <cell r="AB253">
            <v>939.86222479072671</v>
          </cell>
          <cell r="AC253">
            <v>905.02772026837658</v>
          </cell>
          <cell r="AD253">
            <v>884.58478387908167</v>
          </cell>
          <cell r="AE253">
            <v>864.54717603247877</v>
          </cell>
          <cell r="AF253">
            <v>844.90873235959646</v>
          </cell>
          <cell r="AG253">
            <v>825.66328849147681</v>
          </cell>
          <cell r="AH253">
            <v>806.80468005916202</v>
          </cell>
        </row>
        <row r="254">
          <cell r="B254" t="str">
            <v/>
          </cell>
        </row>
        <row r="255">
          <cell r="B255" t="str">
            <v>e-hydrogen (compressed) - Feedstock cost including feedstock feedstock cost - Global - USD/ton fuel</v>
          </cell>
          <cell r="G255">
            <v>13.5</v>
          </cell>
          <cell r="H255">
            <v>13.500000000000048</v>
          </cell>
          <cell r="I255">
            <v>13.500000000000048</v>
          </cell>
          <cell r="J255">
            <v>13.500000000000048</v>
          </cell>
          <cell r="K255">
            <v>13.500000000000096</v>
          </cell>
          <cell r="L255">
            <v>13.5</v>
          </cell>
          <cell r="M255">
            <v>13.500000000000096</v>
          </cell>
          <cell r="N255">
            <v>13.5</v>
          </cell>
          <cell r="O255">
            <v>13.499999999999904</v>
          </cell>
          <cell r="P255">
            <v>13.500000000000048</v>
          </cell>
          <cell r="Q255">
            <v>13.500000000000192</v>
          </cell>
          <cell r="R255">
            <v>13.500000000000096</v>
          </cell>
          <cell r="S255">
            <v>13.500000000000192</v>
          </cell>
          <cell r="T255">
            <v>13.50000000000024</v>
          </cell>
          <cell r="U255">
            <v>13.500000000000121</v>
          </cell>
          <cell r="V255">
            <v>13.500000000000359</v>
          </cell>
          <cell r="W255">
            <v>13.50000000000024</v>
          </cell>
          <cell r="X255">
            <v>13.499999999999904</v>
          </cell>
          <cell r="Y255">
            <v>13.5</v>
          </cell>
          <cell r="Z255">
            <v>13.499999999999952</v>
          </cell>
          <cell r="AA255">
            <v>13.500000000000048</v>
          </cell>
          <cell r="AB255">
            <v>13.5</v>
          </cell>
          <cell r="AC255">
            <v>13.5</v>
          </cell>
          <cell r="AD255">
            <v>13.5</v>
          </cell>
          <cell r="AE255">
            <v>13.5</v>
          </cell>
          <cell r="AF255">
            <v>13.5</v>
          </cell>
          <cell r="AG255">
            <v>13.5</v>
          </cell>
          <cell r="AH255">
            <v>13.5</v>
          </cell>
        </row>
        <row r="256">
          <cell r="B256" t="str">
            <v>e-hydrogen - Feedstock cost - Global - USD/ton fuel</v>
          </cell>
          <cell r="G256">
            <v>13.5</v>
          </cell>
          <cell r="H256">
            <v>13.500000000000048</v>
          </cell>
          <cell r="I256">
            <v>13.500000000000048</v>
          </cell>
          <cell r="J256">
            <v>13.500000000000048</v>
          </cell>
          <cell r="K256">
            <v>13.500000000000096</v>
          </cell>
          <cell r="L256">
            <v>13.5</v>
          </cell>
          <cell r="M256">
            <v>13.500000000000096</v>
          </cell>
          <cell r="N256">
            <v>13.5</v>
          </cell>
          <cell r="O256">
            <v>13.499999999999904</v>
          </cell>
          <cell r="P256">
            <v>13.500000000000048</v>
          </cell>
          <cell r="Q256">
            <v>13.500000000000192</v>
          </cell>
          <cell r="R256">
            <v>13.500000000000096</v>
          </cell>
          <cell r="S256">
            <v>13.500000000000192</v>
          </cell>
          <cell r="T256">
            <v>13.50000000000024</v>
          </cell>
          <cell r="U256">
            <v>13.500000000000121</v>
          </cell>
          <cell r="V256">
            <v>13.500000000000359</v>
          </cell>
          <cell r="W256">
            <v>13.50000000000024</v>
          </cell>
          <cell r="X256">
            <v>13.499999999999904</v>
          </cell>
          <cell r="Y256">
            <v>13.5</v>
          </cell>
          <cell r="Z256">
            <v>13.499999999999952</v>
          </cell>
          <cell r="AA256">
            <v>13.500000000000048</v>
          </cell>
          <cell r="AB256">
            <v>13.5</v>
          </cell>
          <cell r="AC256">
            <v>13.5</v>
          </cell>
          <cell r="AD256">
            <v>13.5</v>
          </cell>
          <cell r="AE256">
            <v>13.5</v>
          </cell>
          <cell r="AF256">
            <v>13.5</v>
          </cell>
          <cell r="AG256">
            <v>13.5</v>
          </cell>
          <cell r="AH256">
            <v>13.5</v>
          </cell>
        </row>
        <row r="257">
          <cell r="B257" t="str">
            <v/>
          </cell>
        </row>
        <row r="258">
          <cell r="B258" t="str">
            <v>e-ammonia - Item - Region - Unit</v>
          </cell>
          <cell r="G258">
            <v>2023</v>
          </cell>
          <cell r="H258">
            <v>2024</v>
          </cell>
          <cell r="I258">
            <v>2025</v>
          </cell>
          <cell r="J258">
            <v>2026</v>
          </cell>
          <cell r="K258">
            <v>2027</v>
          </cell>
          <cell r="L258">
            <v>2028</v>
          </cell>
          <cell r="M258">
            <v>2029</v>
          </cell>
          <cell r="N258">
            <v>2030</v>
          </cell>
          <cell r="O258">
            <v>2031</v>
          </cell>
          <cell r="P258">
            <v>2032</v>
          </cell>
          <cell r="Q258">
            <v>2033</v>
          </cell>
          <cell r="R258">
            <v>2034</v>
          </cell>
          <cell r="S258">
            <v>2035</v>
          </cell>
          <cell r="T258">
            <v>2036</v>
          </cell>
          <cell r="U258">
            <v>2037</v>
          </cell>
          <cell r="V258">
            <v>2038</v>
          </cell>
          <cell r="W258">
            <v>2039</v>
          </cell>
          <cell r="X258">
            <v>2040</v>
          </cell>
          <cell r="Y258">
            <v>2041</v>
          </cell>
          <cell r="Z258">
            <v>2042</v>
          </cell>
          <cell r="AA258">
            <v>2043</v>
          </cell>
          <cell r="AB258">
            <v>2044</v>
          </cell>
          <cell r="AC258">
            <v>2045</v>
          </cell>
          <cell r="AD258">
            <v>2046</v>
          </cell>
          <cell r="AE258">
            <v>2047</v>
          </cell>
          <cell r="AF258">
            <v>2048</v>
          </cell>
          <cell r="AG258">
            <v>2049</v>
          </cell>
          <cell r="AH258">
            <v>2050</v>
          </cell>
        </row>
        <row r="259">
          <cell r="B259" t="str">
            <v>e-ammonia - Total cost - Africa - USD/ton fuel</v>
          </cell>
          <cell r="G259">
            <v>1180.8880060335732</v>
          </cell>
          <cell r="H259">
            <v>1068.0836080530823</v>
          </cell>
          <cell r="I259">
            <v>954.798333905493</v>
          </cell>
          <cell r="J259">
            <v>896.09627391291804</v>
          </cell>
          <cell r="K259">
            <v>836.47982625552982</v>
          </cell>
          <cell r="L259">
            <v>775.96749256486407</v>
          </cell>
          <cell r="M259">
            <v>714.57777447247167</v>
          </cell>
          <cell r="N259">
            <v>652.3291736098804</v>
          </cell>
          <cell r="O259">
            <v>640.36358493487569</v>
          </cell>
          <cell r="P259">
            <v>627.03421205803454</v>
          </cell>
          <cell r="Q259">
            <v>612.35102043391794</v>
          </cell>
          <cell r="R259">
            <v>596.32397551709539</v>
          </cell>
          <cell r="S259">
            <v>578.96304276215108</v>
          </cell>
          <cell r="T259">
            <v>566.60976604450286</v>
          </cell>
          <cell r="U259">
            <v>553.31847871799755</v>
          </cell>
          <cell r="V259">
            <v>539.09243254834212</v>
          </cell>
          <cell r="W259">
            <v>523.93487930120341</v>
          </cell>
          <cell r="X259">
            <v>507.8490707422788</v>
          </cell>
          <cell r="Y259">
            <v>491.34536722709083</v>
          </cell>
          <cell r="Z259">
            <v>474.40610100736876</v>
          </cell>
          <cell r="AA259">
            <v>457.02937053819971</v>
          </cell>
          <cell r="AB259">
            <v>439.21327427465064</v>
          </cell>
          <cell r="AC259">
            <v>420.95591067180072</v>
          </cell>
          <cell r="AD259">
            <v>406.44307763457181</v>
          </cell>
          <cell r="AE259">
            <v>391.71190120005269</v>
          </cell>
          <cell r="AF259">
            <v>376.76118311682933</v>
          </cell>
          <cell r="AG259">
            <v>361.58972513349175</v>
          </cell>
          <cell r="AH259">
            <v>346.19632899863041</v>
          </cell>
        </row>
        <row r="260">
          <cell r="B260" t="str">
            <v>e-ammonia - Total cost - Americas - USD/ton fuel</v>
          </cell>
          <cell r="G260">
            <v>960.06490620020099</v>
          </cell>
          <cell r="H260">
            <v>909.46803925498773</v>
          </cell>
          <cell r="I260">
            <v>858.27316604103771</v>
          </cell>
          <cell r="J260">
            <v>806.13782553740305</v>
          </cell>
          <cell r="K260">
            <v>753.08633371648523</v>
          </cell>
          <cell r="L260">
            <v>699.13112198147462</v>
          </cell>
          <cell r="M260">
            <v>644.28462173558285</v>
          </cell>
          <cell r="N260">
            <v>588.55926438197514</v>
          </cell>
          <cell r="O260">
            <v>581.45438605100912</v>
          </cell>
          <cell r="P260">
            <v>572.94681959882564</v>
          </cell>
          <cell r="Q260">
            <v>563.04233752218818</v>
          </cell>
          <cell r="R260">
            <v>551.74671231785373</v>
          </cell>
          <cell r="S260">
            <v>539.06571648260365</v>
          </cell>
          <cell r="T260">
            <v>527.04605604734718</v>
          </cell>
          <cell r="U260">
            <v>514.09710412790082</v>
          </cell>
          <cell r="V260">
            <v>500.2221046923467</v>
          </cell>
          <cell r="W260">
            <v>485.42430170872939</v>
          </cell>
          <cell r="X260">
            <v>469.70693914511781</v>
          </cell>
          <cell r="Y260">
            <v>456.53989842311819</v>
          </cell>
          <cell r="Z260">
            <v>442.86251624307562</v>
          </cell>
          <cell r="AA260">
            <v>428.6740493818628</v>
          </cell>
          <cell r="AB260">
            <v>413.9737546163268</v>
          </cell>
          <cell r="AC260">
            <v>398.76088872333401</v>
          </cell>
          <cell r="AD260">
            <v>385.34785369204081</v>
          </cell>
          <cell r="AE260">
            <v>371.69466587192062</v>
          </cell>
          <cell r="AF260">
            <v>357.80060539834983</v>
          </cell>
          <cell r="AG260">
            <v>343.66495240670577</v>
          </cell>
          <cell r="AH260">
            <v>329.28698703236637</v>
          </cell>
        </row>
        <row r="261">
          <cell r="B261" t="str">
            <v>e-ammonia - Total cost - Asia - USD/ton fuel</v>
          </cell>
          <cell r="G261">
            <v>1247.552198905255</v>
          </cell>
          <cell r="H261">
            <v>1146.3616483500407</v>
          </cell>
          <cell r="I261">
            <v>1044.647761508947</v>
          </cell>
          <cell r="J261">
            <v>984.37206658752257</v>
          </cell>
          <cell r="K261">
            <v>923.16043888236254</v>
          </cell>
          <cell r="L261">
            <v>861.03269244489718</v>
          </cell>
          <cell r="M261">
            <v>798.00864132660649</v>
          </cell>
          <cell r="N261">
            <v>734.1080995789298</v>
          </cell>
          <cell r="O261">
            <v>718.40799341147351</v>
          </cell>
          <cell r="P261">
            <v>701.36110381680624</v>
          </cell>
          <cell r="Q261">
            <v>682.98042590239959</v>
          </cell>
          <cell r="R261">
            <v>663.27895477571087</v>
          </cell>
          <cell r="S261">
            <v>642.26968554424161</v>
          </cell>
          <cell r="T261">
            <v>627.43879219368648</v>
          </cell>
          <cell r="U261">
            <v>611.68864160343935</v>
          </cell>
          <cell r="V261">
            <v>595.02381412924115</v>
          </cell>
          <cell r="W261">
            <v>577.44889012677822</v>
          </cell>
          <cell r="X261">
            <v>558.96844995178094</v>
          </cell>
          <cell r="Y261">
            <v>539.79812889530876</v>
          </cell>
          <cell r="Z261">
            <v>520.24868364832992</v>
          </cell>
          <cell r="AA261">
            <v>500.31738766511285</v>
          </cell>
          <cell r="AB261">
            <v>480.00151439990617</v>
          </cell>
          <cell r="AC261">
            <v>459.29833730697129</v>
          </cell>
          <cell r="AD261">
            <v>443.64971411041938</v>
          </cell>
          <cell r="AE261">
            <v>427.80482661840745</v>
          </cell>
          <cell r="AF261">
            <v>411.76206956350904</v>
          </cell>
          <cell r="AG261">
            <v>395.51983767829688</v>
          </cell>
          <cell r="AH261">
            <v>379.07652569534326</v>
          </cell>
        </row>
        <row r="262">
          <cell r="B262" t="str">
            <v>e-ammonia - Total cost - Europe - USD/ton fuel</v>
          </cell>
          <cell r="G262">
            <v>1078.6877387560555</v>
          </cell>
          <cell r="H262">
            <v>1014.5052507094081</v>
          </cell>
          <cell r="I262">
            <v>949.73690042112139</v>
          </cell>
          <cell r="J262">
            <v>893.35274803700088</v>
          </cell>
          <cell r="K262">
            <v>836.04403364790448</v>
          </cell>
          <cell r="L262">
            <v>777.82705438213372</v>
          </cell>
          <cell r="M262">
            <v>718.7181073679908</v>
          </cell>
          <cell r="N262">
            <v>658.73348973376005</v>
          </cell>
          <cell r="O262">
            <v>650.38089214883723</v>
          </cell>
          <cell r="P262">
            <v>640.61443898397238</v>
          </cell>
          <cell r="Q262">
            <v>629.44066422449202</v>
          </cell>
          <cell r="R262">
            <v>616.86610185572897</v>
          </cell>
          <cell r="S262">
            <v>602.89728586304318</v>
          </cell>
          <cell r="T262">
            <v>591.16089742316831</v>
          </cell>
          <cell r="U262">
            <v>578.46760150490513</v>
          </cell>
          <cell r="V262">
            <v>564.82010258067635</v>
          </cell>
          <cell r="W262">
            <v>550.2211051228594</v>
          </cell>
          <cell r="X262">
            <v>534.67331360386208</v>
          </cell>
          <cell r="Y262">
            <v>518.48039605546603</v>
          </cell>
          <cell r="Z262">
            <v>501.84005827286035</v>
          </cell>
          <cell r="AA262">
            <v>484.75065485132671</v>
          </cell>
          <cell r="AB262">
            <v>467.21054038611607</v>
          </cell>
          <cell r="AC262">
            <v>449.21806947250349</v>
          </cell>
          <cell r="AD262">
            <v>433.78966243773289</v>
          </cell>
          <cell r="AE262">
            <v>418.16078642457376</v>
          </cell>
          <cell r="AF262">
            <v>402.32990014809093</v>
          </cell>
          <cell r="AG262">
            <v>386.29546232334798</v>
          </cell>
          <cell r="AH262">
            <v>370.05593166540814</v>
          </cell>
        </row>
        <row r="263">
          <cell r="B263" t="str">
            <v>e-ammonia - Total cost - Middle East - USD/ton fuel</v>
          </cell>
          <cell r="G263">
            <v>963.4545090337358</v>
          </cell>
          <cell r="H263">
            <v>903.97202528084063</v>
          </cell>
          <cell r="I263">
            <v>843.91363920452977</v>
          </cell>
          <cell r="J263">
            <v>793.86288578256585</v>
          </cell>
          <cell r="K263">
            <v>742.89006010615708</v>
          </cell>
          <cell r="L263">
            <v>691.00563188928311</v>
          </cell>
          <cell r="M263">
            <v>638.22007084594054</v>
          </cell>
          <cell r="N263">
            <v>584.54384669009255</v>
          </cell>
          <cell r="O263">
            <v>576.02584308534836</v>
          </cell>
          <cell r="P263">
            <v>566.12532932949819</v>
          </cell>
          <cell r="Q263">
            <v>554.84942888558351</v>
          </cell>
          <cell r="R263">
            <v>542.20526521664863</v>
          </cell>
          <cell r="S263">
            <v>528.19996178575593</v>
          </cell>
          <cell r="T263">
            <v>517.40468176504692</v>
          </cell>
          <cell r="U263">
            <v>505.66352448829889</v>
          </cell>
          <cell r="V263">
            <v>492.97896600599358</v>
          </cell>
          <cell r="W263">
            <v>479.35348236856987</v>
          </cell>
          <cell r="X263">
            <v>464.78954962649698</v>
          </cell>
          <cell r="Y263">
            <v>448.94374019629407</v>
          </cell>
          <cell r="Z263">
            <v>432.65334766163414</v>
          </cell>
          <cell r="AA263">
            <v>415.91652542155543</v>
          </cell>
          <cell r="AB263">
            <v>398.73142687507681</v>
          </cell>
          <cell r="AC263">
            <v>381.09620542122997</v>
          </cell>
          <cell r="AD263">
            <v>367.15474665941622</v>
          </cell>
          <cell r="AE263">
            <v>352.98442962966283</v>
          </cell>
          <cell r="AF263">
            <v>338.58414474555519</v>
          </cell>
          <cell r="AG263">
            <v>323.95278242068076</v>
          </cell>
          <cell r="AH263">
            <v>309.08923306862732</v>
          </cell>
        </row>
        <row r="264">
          <cell r="B264" t="str">
            <v/>
          </cell>
        </row>
        <row r="265">
          <cell r="B265" t="str">
            <v>e-ammonia - CAPEX including feedstock CAPEX - Global - USD/ton fuel</v>
          </cell>
          <cell r="G265">
            <v>129.77274363542494</v>
          </cell>
          <cell r="H265">
            <v>119.70092773016185</v>
          </cell>
          <cell r="I265">
            <v>109.58418264840139</v>
          </cell>
          <cell r="J265">
            <v>100.2538854431765</v>
          </cell>
          <cell r="K265">
            <v>90.840119853664106</v>
          </cell>
          <cell r="L265">
            <v>81.342885879865094</v>
          </cell>
          <cell r="M265">
            <v>71.762183521779733</v>
          </cell>
          <cell r="N265">
            <v>62.098012779406822</v>
          </cell>
          <cell r="O265">
            <v>62.594021583283855</v>
          </cell>
          <cell r="P265">
            <v>62.895373539535903</v>
          </cell>
          <cell r="Q265">
            <v>63.002068648162471</v>
          </cell>
          <cell r="R265">
            <v>62.91410690916269</v>
          </cell>
          <cell r="S265">
            <v>62.631488322538111</v>
          </cell>
          <cell r="T265">
            <v>62.032458631529316</v>
          </cell>
          <cell r="U265">
            <v>61.272769366716936</v>
          </cell>
          <cell r="V265">
            <v>60.35242052810262</v>
          </cell>
          <cell r="W265">
            <v>59.271412115684747</v>
          </cell>
          <cell r="X265">
            <v>58.029744129462721</v>
          </cell>
          <cell r="Y265">
            <v>56.52137695169953</v>
          </cell>
          <cell r="Z265">
            <v>54.891783162845535</v>
          </cell>
          <cell r="AA265">
            <v>53.14096276290207</v>
          </cell>
          <cell r="AB265">
            <v>51.268915751868242</v>
          </cell>
          <cell r="AC265">
            <v>49.275642129743794</v>
          </cell>
          <cell r="AD265">
            <v>47.13842092361282</v>
          </cell>
          <cell r="AE265">
            <v>44.925373048212187</v>
          </cell>
          <cell r="AF265">
            <v>42.636498503541901</v>
          </cell>
          <cell r="AG265">
            <v>40.271797289601956</v>
          </cell>
          <cell r="AH265">
            <v>37.831269406392373</v>
          </cell>
        </row>
        <row r="266">
          <cell r="B266" t="str">
            <v>e-ammonia - CAPEX - Global - USD/ton fuel</v>
          </cell>
          <cell r="G266">
            <v>73</v>
          </cell>
          <cell r="H266">
            <v>65.666666666666671</v>
          </cell>
          <cell r="I266">
            <v>58.333333333333336</v>
          </cell>
          <cell r="J266">
            <v>51</v>
          </cell>
          <cell r="K266">
            <v>43.666666666666664</v>
          </cell>
          <cell r="L266">
            <v>36.333333333333336</v>
          </cell>
          <cell r="M266">
            <v>29</v>
          </cell>
          <cell r="N266">
            <v>21.666666666666668</v>
          </cell>
          <cell r="O266">
            <v>21.416666666666668</v>
          </cell>
          <cell r="P266">
            <v>21.166666666666668</v>
          </cell>
          <cell r="Q266">
            <v>20.916666666666668</v>
          </cell>
          <cell r="R266">
            <v>20.666666666666668</v>
          </cell>
          <cell r="S266">
            <v>20.416666666666668</v>
          </cell>
          <cell r="T266">
            <v>20.166666666666668</v>
          </cell>
          <cell r="U266">
            <v>19.916666666666668</v>
          </cell>
          <cell r="V266">
            <v>19.666666666666668</v>
          </cell>
          <cell r="W266">
            <v>19.416666666666668</v>
          </cell>
          <cell r="X266">
            <v>19.166666666666668</v>
          </cell>
          <cell r="Y266">
            <v>18.916666666666668</v>
          </cell>
          <cell r="Z266">
            <v>18.666666666666668</v>
          </cell>
          <cell r="AA266">
            <v>18.416666666666668</v>
          </cell>
          <cell r="AB266">
            <v>18.166666666666668</v>
          </cell>
          <cell r="AC266">
            <v>17.916666666666668</v>
          </cell>
          <cell r="AD266">
            <v>17.666666666666668</v>
          </cell>
          <cell r="AE266">
            <v>17.416666666666668</v>
          </cell>
          <cell r="AF266">
            <v>17.166666666666668</v>
          </cell>
          <cell r="AG266">
            <v>16.916666666666668</v>
          </cell>
          <cell r="AH266">
            <v>16.666666666666668</v>
          </cell>
        </row>
        <row r="267">
          <cell r="B267" t="str">
            <v>e-hydrogen (compressed) - CAPEX including feedstock CAPEX - Global - USD/ton fuel</v>
          </cell>
          <cell r="G267">
            <v>256.64635353013858</v>
          </cell>
          <cell r="H267">
            <v>247.21700590830653</v>
          </cell>
          <cell r="I267">
            <v>237.53805175037812</v>
          </cell>
          <cell r="J267">
            <v>232.53269690653616</v>
          </cell>
          <cell r="K267">
            <v>227.06362881665248</v>
          </cell>
          <cell r="L267">
            <v>221.13084748073197</v>
          </cell>
          <cell r="M267">
            <v>214.73435289877628</v>
          </cell>
          <cell r="N267">
            <v>207.87414507077864</v>
          </cell>
          <cell r="O267">
            <v>212.24697175898439</v>
          </cell>
          <cell r="P267">
            <v>215.53837151594018</v>
          </cell>
          <cell r="Q267">
            <v>217.74834434164336</v>
          </cell>
          <cell r="R267">
            <v>218.87689023608903</v>
          </cell>
          <cell r="S267">
            <v>218.92400919928582</v>
          </cell>
          <cell r="T267">
            <v>217.21328869368136</v>
          </cell>
          <cell r="U267">
            <v>214.61001500027928</v>
          </cell>
          <cell r="V267">
            <v>211.1141881190886</v>
          </cell>
          <cell r="W267">
            <v>206.72580805010043</v>
          </cell>
          <cell r="X267">
            <v>201.44487479331141</v>
          </cell>
          <cell r="Y267">
            <v>194.68227936129369</v>
          </cell>
          <cell r="Z267">
            <v>187.24620275654928</v>
          </cell>
          <cell r="AA267">
            <v>179.13664497908553</v>
          </cell>
          <cell r="AB267">
            <v>170.35360602889762</v>
          </cell>
          <cell r="AC267">
            <v>160.89708590598403</v>
          </cell>
          <cell r="AD267">
            <v>150.64085698303418</v>
          </cell>
          <cell r="AE267">
            <v>139.96336878636401</v>
          </cell>
          <cell r="AF267">
            <v>128.86462131597352</v>
          </cell>
          <cell r="AG267">
            <v>117.34461457186269</v>
          </cell>
          <cell r="AH267">
            <v>105.40334855403168</v>
          </cell>
        </row>
        <row r="268">
          <cell r="B268" t="str">
            <v>Nitrogen - CAPEX - Global - USD/ton fuel</v>
          </cell>
          <cell r="G268">
            <v>12.866666666666667</v>
          </cell>
          <cell r="H268">
            <v>11.6</v>
          </cell>
          <cell r="I268">
            <v>10.333333333333334</v>
          </cell>
          <cell r="J268">
            <v>9</v>
          </cell>
          <cell r="K268">
            <v>7.666666666666667</v>
          </cell>
          <cell r="L268">
            <v>6.333333333333333</v>
          </cell>
          <cell r="M268">
            <v>5</v>
          </cell>
          <cell r="N268">
            <v>3.6666666666666665</v>
          </cell>
          <cell r="O268">
            <v>3.6166666666666667</v>
          </cell>
          <cell r="P268">
            <v>3.5666666666666669</v>
          </cell>
          <cell r="Q268">
            <v>3.5166666666666666</v>
          </cell>
          <cell r="R268">
            <v>3.4666666666666668</v>
          </cell>
          <cell r="S268">
            <v>3.4166666666666665</v>
          </cell>
          <cell r="T268">
            <v>3.3666666666666667</v>
          </cell>
          <cell r="U268">
            <v>3.3166666666666669</v>
          </cell>
          <cell r="V268">
            <v>3.2666666666666666</v>
          </cell>
          <cell r="W268">
            <v>3.2166666666666668</v>
          </cell>
          <cell r="X268">
            <v>3.1666666666666665</v>
          </cell>
          <cell r="Y268">
            <v>3.1166666666666667</v>
          </cell>
          <cell r="Z268">
            <v>3.0666666666666669</v>
          </cell>
          <cell r="AA268">
            <v>3.0166666666666666</v>
          </cell>
          <cell r="AB268">
            <v>2.9666666666666668</v>
          </cell>
          <cell r="AC268">
            <v>2.9166666666666665</v>
          </cell>
          <cell r="AD268">
            <v>2.8666666666666667</v>
          </cell>
          <cell r="AE268">
            <v>2.8166666666666669</v>
          </cell>
          <cell r="AF268">
            <v>2.7666666666666666</v>
          </cell>
          <cell r="AG268">
            <v>2.7166666666666668</v>
          </cell>
          <cell r="AH268">
            <v>2.6666666666666665</v>
          </cell>
        </row>
        <row r="269">
          <cell r="B269" t="str">
            <v>e-ammonia - Conversion H2 -&gt; NH3 - Global - ton H2/ton NH3</v>
          </cell>
          <cell r="G269">
            <v>0.18</v>
          </cell>
          <cell r="H269">
            <v>0.18</v>
          </cell>
          <cell r="I269">
            <v>0.18</v>
          </cell>
          <cell r="J269">
            <v>0.18</v>
          </cell>
          <cell r="K269">
            <v>0.18</v>
          </cell>
          <cell r="L269">
            <v>0.18</v>
          </cell>
          <cell r="M269">
            <v>0.18</v>
          </cell>
          <cell r="N269">
            <v>0.18</v>
          </cell>
          <cell r="O269">
            <v>0.18</v>
          </cell>
          <cell r="P269">
            <v>0.18</v>
          </cell>
          <cell r="Q269">
            <v>0.18</v>
          </cell>
          <cell r="R269">
            <v>0.18</v>
          </cell>
          <cell r="S269">
            <v>0.18</v>
          </cell>
          <cell r="T269">
            <v>0.18</v>
          </cell>
          <cell r="U269">
            <v>0.18</v>
          </cell>
          <cell r="V269">
            <v>0.18</v>
          </cell>
          <cell r="W269">
            <v>0.18</v>
          </cell>
          <cell r="X269">
            <v>0.18</v>
          </cell>
          <cell r="Y269">
            <v>0.18</v>
          </cell>
          <cell r="Z269">
            <v>0.18</v>
          </cell>
          <cell r="AA269">
            <v>0.18</v>
          </cell>
          <cell r="AB269">
            <v>0.18</v>
          </cell>
          <cell r="AC269">
            <v>0.18</v>
          </cell>
          <cell r="AD269">
            <v>0.18</v>
          </cell>
          <cell r="AE269">
            <v>0.18</v>
          </cell>
          <cell r="AF269">
            <v>0.18</v>
          </cell>
          <cell r="AG269">
            <v>0.18</v>
          </cell>
          <cell r="AH269">
            <v>0.18</v>
          </cell>
        </row>
        <row r="270">
          <cell r="B270" t="str">
            <v>e-ammonia - Conversion N2 -&gt; NH3 - Global - ton N2/ton NH3</v>
          </cell>
          <cell r="G270">
            <v>0.82199999999999995</v>
          </cell>
          <cell r="H270">
            <v>0.82199999999999995</v>
          </cell>
          <cell r="I270">
            <v>0.82199999999999995</v>
          </cell>
          <cell r="J270">
            <v>0.82199999999999995</v>
          </cell>
          <cell r="K270">
            <v>0.82199999999999995</v>
          </cell>
          <cell r="L270">
            <v>0.82199999999999995</v>
          </cell>
          <cell r="M270">
            <v>0.82199999999999995</v>
          </cell>
          <cell r="N270">
            <v>0.82199999999999995</v>
          </cell>
          <cell r="O270">
            <v>0.82199999999999995</v>
          </cell>
          <cell r="P270">
            <v>0.82199999999999995</v>
          </cell>
          <cell r="Q270">
            <v>0.82199999999999995</v>
          </cell>
          <cell r="R270">
            <v>0.82199999999999995</v>
          </cell>
          <cell r="S270">
            <v>0.82199999999999995</v>
          </cell>
          <cell r="T270">
            <v>0.82199999999999995</v>
          </cell>
          <cell r="U270">
            <v>0.82199999999999995</v>
          </cell>
          <cell r="V270">
            <v>0.82199999999999995</v>
          </cell>
          <cell r="W270">
            <v>0.82199999999999995</v>
          </cell>
          <cell r="X270">
            <v>0.82199999999999995</v>
          </cell>
          <cell r="Y270">
            <v>0.82199999999999995</v>
          </cell>
          <cell r="Z270">
            <v>0.82199999999999995</v>
          </cell>
          <cell r="AA270">
            <v>0.82199999999999995</v>
          </cell>
          <cell r="AB270">
            <v>0.82199999999999995</v>
          </cell>
          <cell r="AC270">
            <v>0.82199999999999995</v>
          </cell>
          <cell r="AD270">
            <v>0.82199999999999995</v>
          </cell>
          <cell r="AE270">
            <v>0.82199999999999995</v>
          </cell>
          <cell r="AF270">
            <v>0.82199999999999995</v>
          </cell>
          <cell r="AG270">
            <v>0.82199999999999995</v>
          </cell>
          <cell r="AH270">
            <v>0.82199999999999995</v>
          </cell>
        </row>
        <row r="271">
          <cell r="B271" t="str">
            <v/>
          </cell>
        </row>
        <row r="272">
          <cell r="B272" t="str">
            <v>e-ammonia - OPEX including feedstock OPEX - Global - USD/ton fuel</v>
          </cell>
          <cell r="G272">
            <v>240.4468636181596</v>
          </cell>
          <cell r="H272">
            <v>224.66936077283734</v>
          </cell>
          <cell r="I272">
            <v>208.46334794520382</v>
          </cell>
          <cell r="J272">
            <v>194.85683132565637</v>
          </cell>
          <cell r="K272">
            <v>180.60238039678705</v>
          </cell>
          <cell r="L272">
            <v>165.69999515859504</v>
          </cell>
          <cell r="M272">
            <v>150.14967561108747</v>
          </cell>
          <cell r="N272">
            <v>133.95142175425701</v>
          </cell>
          <cell r="O272">
            <v>133.46857772998405</v>
          </cell>
          <cell r="P272">
            <v>132.10750806984998</v>
          </cell>
          <cell r="Q272">
            <v>129.86821277385627</v>
          </cell>
          <cell r="R272">
            <v>126.75069184199859</v>
          </cell>
          <cell r="S272">
            <v>122.75494527427996</v>
          </cell>
          <cell r="T272">
            <v>119.12566157810522</v>
          </cell>
          <cell r="U272">
            <v>114.96789361739127</v>
          </cell>
          <cell r="V272">
            <v>110.28164139214255</v>
          </cell>
          <cell r="W272">
            <v>105.06690490235206</v>
          </cell>
          <cell r="X272">
            <v>99.323684148023403</v>
          </cell>
          <cell r="Y272">
            <v>94.592399815048978</v>
          </cell>
          <cell r="Z272">
            <v>89.598872987172342</v>
          </cell>
          <cell r="AA272">
            <v>84.343103664397916</v>
          </cell>
          <cell r="AB272">
            <v>78.825091846721179</v>
          </cell>
          <cell r="AC272">
            <v>73.044837534145728</v>
          </cell>
          <cell r="AD272">
            <v>68.588361025682161</v>
          </cell>
          <cell r="AE272">
            <v>64.031007785159062</v>
          </cell>
          <cell r="AF272">
            <v>59.372777812576565</v>
          </cell>
          <cell r="AG272">
            <v>54.613671107934636</v>
          </cell>
          <cell r="AH272">
            <v>49.753687671233237</v>
          </cell>
        </row>
        <row r="273">
          <cell r="B273" t="str">
            <v>e-ammonia - OPEX - Global - USD/ton fuel</v>
          </cell>
          <cell r="G273">
            <v>87.600000000000009</v>
          </cell>
          <cell r="H273">
            <v>78.8</v>
          </cell>
          <cell r="I273">
            <v>70</v>
          </cell>
          <cell r="J273">
            <v>61.2</v>
          </cell>
          <cell r="K273">
            <v>52.4</v>
          </cell>
          <cell r="L273">
            <v>43.6</v>
          </cell>
          <cell r="M273">
            <v>34.800000000000004</v>
          </cell>
          <cell r="N273">
            <v>26</v>
          </cell>
          <cell r="O273">
            <v>25.7</v>
          </cell>
          <cell r="P273">
            <v>25.400000000000002</v>
          </cell>
          <cell r="Q273">
            <v>25.1</v>
          </cell>
          <cell r="R273">
            <v>24.8</v>
          </cell>
          <cell r="S273">
            <v>24.5</v>
          </cell>
          <cell r="T273">
            <v>24.2</v>
          </cell>
          <cell r="U273">
            <v>23.900000000000002</v>
          </cell>
          <cell r="V273">
            <v>23.6</v>
          </cell>
          <cell r="W273">
            <v>23.3</v>
          </cell>
          <cell r="X273">
            <v>23</v>
          </cell>
          <cell r="Y273">
            <v>22.7</v>
          </cell>
          <cell r="Z273">
            <v>22.400000000000002</v>
          </cell>
          <cell r="AA273">
            <v>22.1</v>
          </cell>
          <cell r="AB273">
            <v>21.8</v>
          </cell>
          <cell r="AC273">
            <v>21.5</v>
          </cell>
          <cell r="AD273">
            <v>21.2</v>
          </cell>
          <cell r="AE273">
            <v>20.900000000000002</v>
          </cell>
          <cell r="AF273">
            <v>20.6</v>
          </cell>
          <cell r="AG273">
            <v>20.3</v>
          </cell>
          <cell r="AH273">
            <v>20</v>
          </cell>
        </row>
        <row r="274">
          <cell r="B274" t="str">
            <v>e-hydrogen (compressed) - OPEX including feedstock OPEX - Global - USD/ton fuel</v>
          </cell>
          <cell r="G274">
            <v>778.63990898977545</v>
          </cell>
          <cell r="H274">
            <v>746.81733762687418</v>
          </cell>
          <cell r="I274">
            <v>712.61415525113227</v>
          </cell>
          <cell r="J274">
            <v>693.21795180920219</v>
          </cell>
          <cell r="K274">
            <v>670.22211331548374</v>
          </cell>
          <cell r="L274">
            <v>643.6266397699726</v>
          </cell>
          <cell r="M274">
            <v>613.43153117270822</v>
          </cell>
          <cell r="N274">
            <v>579.63678752365013</v>
          </cell>
          <cell r="O274">
            <v>578.89498738880036</v>
          </cell>
          <cell r="P274">
            <v>573.27415594361116</v>
          </cell>
          <cell r="Q274">
            <v>562.77429318809038</v>
          </cell>
          <cell r="R274">
            <v>547.39539912221437</v>
          </cell>
          <cell r="S274">
            <v>527.13747374599984</v>
          </cell>
          <cell r="T274">
            <v>508.91545321169565</v>
          </cell>
          <cell r="U274">
            <v>487.75740898550708</v>
          </cell>
          <cell r="V274">
            <v>463.66334106745865</v>
          </cell>
          <cell r="W274">
            <v>436.63324945751151</v>
          </cell>
          <cell r="X274">
            <v>406.66713415568563</v>
          </cell>
          <cell r="Y274">
            <v>382.32288786138321</v>
          </cell>
          <cell r="Z274">
            <v>356.52173881762411</v>
          </cell>
          <cell r="AA274">
            <v>329.2636870244329</v>
          </cell>
          <cell r="AB274">
            <v>300.54873248178433</v>
          </cell>
          <cell r="AC274">
            <v>270.37687518969852</v>
          </cell>
          <cell r="AD274">
            <v>247.55933903156756</v>
          </cell>
          <cell r="AE274">
            <v>224.18137658421693</v>
          </cell>
          <cell r="AF274">
            <v>200.24298784764761</v>
          </cell>
          <cell r="AG274">
            <v>175.74417282185905</v>
          </cell>
          <cell r="AH274">
            <v>150.68493150685131</v>
          </cell>
        </row>
        <row r="275">
          <cell r="B275" t="str">
            <v>Nitrogen - OPEX - Global - USD/ton fuel</v>
          </cell>
          <cell r="G275">
            <v>15.44</v>
          </cell>
          <cell r="H275">
            <v>13.92</v>
          </cell>
          <cell r="I275">
            <v>12.4</v>
          </cell>
          <cell r="J275">
            <v>10.8</v>
          </cell>
          <cell r="K275">
            <v>9.2000000000000011</v>
          </cell>
          <cell r="L275">
            <v>7.6000000000000005</v>
          </cell>
          <cell r="M275">
            <v>6</v>
          </cell>
          <cell r="N275">
            <v>4.4000000000000004</v>
          </cell>
          <cell r="O275">
            <v>4.34</v>
          </cell>
          <cell r="P275">
            <v>4.28</v>
          </cell>
          <cell r="Q275">
            <v>4.22</v>
          </cell>
          <cell r="R275">
            <v>4.16</v>
          </cell>
          <cell r="S275">
            <v>4.0999999999999996</v>
          </cell>
          <cell r="T275">
            <v>4.04</v>
          </cell>
          <cell r="U275">
            <v>3.98</v>
          </cell>
          <cell r="V275">
            <v>3.92</v>
          </cell>
          <cell r="W275">
            <v>3.86</v>
          </cell>
          <cell r="X275">
            <v>3.8000000000000003</v>
          </cell>
          <cell r="Y275">
            <v>3.74</v>
          </cell>
          <cell r="Z275">
            <v>3.68</v>
          </cell>
          <cell r="AA275">
            <v>3.62</v>
          </cell>
          <cell r="AB275">
            <v>3.56</v>
          </cell>
          <cell r="AC275">
            <v>3.5</v>
          </cell>
          <cell r="AD275">
            <v>3.44</v>
          </cell>
          <cell r="AE275">
            <v>3.38</v>
          </cell>
          <cell r="AF275">
            <v>3.3200000000000003</v>
          </cell>
          <cell r="AG275">
            <v>3.2600000000000002</v>
          </cell>
          <cell r="AH275">
            <v>3.2</v>
          </cell>
        </row>
        <row r="276">
          <cell r="B276" t="str">
            <v>e-ammonia - Conversion H2 -&gt; NH3 - Global - ton H2/ton NH3</v>
          </cell>
          <cell r="G276">
            <v>0.18</v>
          </cell>
          <cell r="H276">
            <v>0.18</v>
          </cell>
          <cell r="I276">
            <v>0.18</v>
          </cell>
          <cell r="J276">
            <v>0.18</v>
          </cell>
          <cell r="K276">
            <v>0.18</v>
          </cell>
          <cell r="L276">
            <v>0.18</v>
          </cell>
          <cell r="M276">
            <v>0.18</v>
          </cell>
          <cell r="N276">
            <v>0.18</v>
          </cell>
          <cell r="O276">
            <v>0.18</v>
          </cell>
          <cell r="P276">
            <v>0.18</v>
          </cell>
          <cell r="Q276">
            <v>0.18</v>
          </cell>
          <cell r="R276">
            <v>0.18</v>
          </cell>
          <cell r="S276">
            <v>0.18</v>
          </cell>
          <cell r="T276">
            <v>0.18</v>
          </cell>
          <cell r="U276">
            <v>0.18</v>
          </cell>
          <cell r="V276">
            <v>0.18</v>
          </cell>
          <cell r="W276">
            <v>0.18</v>
          </cell>
          <cell r="X276">
            <v>0.18</v>
          </cell>
          <cell r="Y276">
            <v>0.18</v>
          </cell>
          <cell r="Z276">
            <v>0.18</v>
          </cell>
          <cell r="AA276">
            <v>0.18</v>
          </cell>
          <cell r="AB276">
            <v>0.18</v>
          </cell>
          <cell r="AC276">
            <v>0.18</v>
          </cell>
          <cell r="AD276">
            <v>0.18</v>
          </cell>
          <cell r="AE276">
            <v>0.18</v>
          </cell>
          <cell r="AF276">
            <v>0.18</v>
          </cell>
          <cell r="AG276">
            <v>0.18</v>
          </cell>
          <cell r="AH276">
            <v>0.18</v>
          </cell>
        </row>
        <row r="277">
          <cell r="B277" t="str">
            <v>e-ammonia - Conversion N2 -&gt; NH3 - Global - ton N2/ton NH3</v>
          </cell>
          <cell r="G277">
            <v>0.82199999999999995</v>
          </cell>
          <cell r="H277">
            <v>0.82199999999999995</v>
          </cell>
          <cell r="I277">
            <v>0.82199999999999995</v>
          </cell>
          <cell r="J277">
            <v>0.82199999999999995</v>
          </cell>
          <cell r="K277">
            <v>0.82199999999999995</v>
          </cell>
          <cell r="L277">
            <v>0.82199999999999995</v>
          </cell>
          <cell r="M277">
            <v>0.82199999999999995</v>
          </cell>
          <cell r="N277">
            <v>0.82199999999999995</v>
          </cell>
          <cell r="O277">
            <v>0.82199999999999995</v>
          </cell>
          <cell r="P277">
            <v>0.82199999999999995</v>
          </cell>
          <cell r="Q277">
            <v>0.82199999999999995</v>
          </cell>
          <cell r="R277">
            <v>0.82199999999999995</v>
          </cell>
          <cell r="S277">
            <v>0.82199999999999995</v>
          </cell>
          <cell r="T277">
            <v>0.82199999999999995</v>
          </cell>
          <cell r="U277">
            <v>0.82199999999999995</v>
          </cell>
          <cell r="V277">
            <v>0.82199999999999995</v>
          </cell>
          <cell r="W277">
            <v>0.82199999999999995</v>
          </cell>
          <cell r="X277">
            <v>0.82199999999999995</v>
          </cell>
          <cell r="Y277">
            <v>0.82199999999999995</v>
          </cell>
          <cell r="Z277">
            <v>0.82199999999999995</v>
          </cell>
          <cell r="AA277">
            <v>0.82199999999999995</v>
          </cell>
          <cell r="AB277">
            <v>0.82199999999999995</v>
          </cell>
          <cell r="AC277">
            <v>0.82199999999999995</v>
          </cell>
          <cell r="AD277">
            <v>0.82199999999999995</v>
          </cell>
          <cell r="AE277">
            <v>0.82199999999999995</v>
          </cell>
          <cell r="AF277">
            <v>0.82199999999999995</v>
          </cell>
          <cell r="AG277">
            <v>0.82199999999999995</v>
          </cell>
          <cell r="AH277">
            <v>0.82199999999999995</v>
          </cell>
        </row>
        <row r="278">
          <cell r="B278" t="str">
            <v/>
          </cell>
        </row>
        <row r="279">
          <cell r="B279" t="str">
            <v>e-ammonia - Finance cost including feedstock finance cost - Africa - USD/ton fuel</v>
          </cell>
          <cell r="G279">
            <v>214.1250269984512</v>
          </cell>
          <cell r="H279">
            <v>197.50653075476706</v>
          </cell>
          <cell r="I279">
            <v>180.81390136986232</v>
          </cell>
          <cell r="J279">
            <v>165.41891098124125</v>
          </cell>
          <cell r="K279">
            <v>149.88619775854579</v>
          </cell>
          <cell r="L279">
            <v>134.21576170177741</v>
          </cell>
          <cell r="M279">
            <v>118.40760281093657</v>
          </cell>
          <cell r="N279">
            <v>102.46172108602127</v>
          </cell>
          <cell r="O279">
            <v>103.28013561241838</v>
          </cell>
          <cell r="P279">
            <v>103.77736634023424</v>
          </cell>
          <cell r="Q279">
            <v>103.95341326946809</v>
          </cell>
          <cell r="R279">
            <v>103.80827640011844</v>
          </cell>
          <cell r="S279">
            <v>103.34195573218788</v>
          </cell>
          <cell r="T279">
            <v>102.35355674202337</v>
          </cell>
          <cell r="U279">
            <v>101.10006945508296</v>
          </cell>
          <cell r="V279">
            <v>99.581493871369318</v>
          </cell>
          <cell r="W279">
            <v>97.797829990879819</v>
          </cell>
          <cell r="X279">
            <v>95.749077813613496</v>
          </cell>
          <cell r="Y279">
            <v>93.260271970304245</v>
          </cell>
          <cell r="Z279">
            <v>90.57144221869514</v>
          </cell>
          <cell r="AA279">
            <v>87.682588558788396</v>
          </cell>
          <cell r="AB279">
            <v>84.593710990582608</v>
          </cell>
          <cell r="AC279">
            <v>81.304809514077263</v>
          </cell>
          <cell r="AD279">
            <v>77.778394523961154</v>
          </cell>
          <cell r="AE279">
            <v>74.126865529550116</v>
          </cell>
          <cell r="AF279">
            <v>70.35022253084415</v>
          </cell>
          <cell r="AG279">
            <v>66.448465527843226</v>
          </cell>
          <cell r="AH279">
            <v>62.421594520547416</v>
          </cell>
        </row>
        <row r="280">
          <cell r="B280" t="str">
            <v>e-ammonia - Finance cost including feedstock finance cost - Americas - USD/ton fuel</v>
          </cell>
          <cell r="G280">
            <v>214.1250269984512</v>
          </cell>
          <cell r="H280">
            <v>197.50653075476706</v>
          </cell>
          <cell r="I280">
            <v>180.81390136986232</v>
          </cell>
          <cell r="J280">
            <v>165.41891098124125</v>
          </cell>
          <cell r="K280">
            <v>149.88619775854579</v>
          </cell>
          <cell r="L280">
            <v>134.21576170177741</v>
          </cell>
          <cell r="M280">
            <v>118.40760281093657</v>
          </cell>
          <cell r="N280">
            <v>102.46172108602127</v>
          </cell>
          <cell r="O280">
            <v>103.28013561241838</v>
          </cell>
          <cell r="P280">
            <v>103.77736634023424</v>
          </cell>
          <cell r="Q280">
            <v>103.95341326946809</v>
          </cell>
          <cell r="R280">
            <v>103.80827640011844</v>
          </cell>
          <cell r="S280">
            <v>103.34195573218788</v>
          </cell>
          <cell r="T280">
            <v>102.35355674202337</v>
          </cell>
          <cell r="U280">
            <v>101.10006945508296</v>
          </cell>
          <cell r="V280">
            <v>99.581493871369318</v>
          </cell>
          <cell r="W280">
            <v>97.797829990879819</v>
          </cell>
          <cell r="X280">
            <v>95.749077813613496</v>
          </cell>
          <cell r="Y280">
            <v>93.260271970304245</v>
          </cell>
          <cell r="Z280">
            <v>90.57144221869514</v>
          </cell>
          <cell r="AA280">
            <v>87.682588558788396</v>
          </cell>
          <cell r="AB280">
            <v>84.593710990582608</v>
          </cell>
          <cell r="AC280">
            <v>81.304809514077263</v>
          </cell>
          <cell r="AD280">
            <v>77.778394523961154</v>
          </cell>
          <cell r="AE280">
            <v>74.126865529550116</v>
          </cell>
          <cell r="AF280">
            <v>70.35022253084415</v>
          </cell>
          <cell r="AG280">
            <v>66.448465527843226</v>
          </cell>
          <cell r="AH280">
            <v>62.421594520547416</v>
          </cell>
        </row>
        <row r="281">
          <cell r="B281" t="str">
            <v>e-ammonia - Finance cost including feedstock finance cost - Asia - USD/ton fuel</v>
          </cell>
          <cell r="G281">
            <v>214.1250269984512</v>
          </cell>
          <cell r="H281">
            <v>197.50653075476706</v>
          </cell>
          <cell r="I281">
            <v>180.81390136986232</v>
          </cell>
          <cell r="J281">
            <v>165.41891098124125</v>
          </cell>
          <cell r="K281">
            <v>149.88619775854579</v>
          </cell>
          <cell r="L281">
            <v>134.21576170177741</v>
          </cell>
          <cell r="M281">
            <v>118.40760281093657</v>
          </cell>
          <cell r="N281">
            <v>102.46172108602127</v>
          </cell>
          <cell r="O281">
            <v>103.28013561241838</v>
          </cell>
          <cell r="P281">
            <v>103.77736634023424</v>
          </cell>
          <cell r="Q281">
            <v>103.95341326946809</v>
          </cell>
          <cell r="R281">
            <v>103.80827640011844</v>
          </cell>
          <cell r="S281">
            <v>103.34195573218788</v>
          </cell>
          <cell r="T281">
            <v>102.35355674202337</v>
          </cell>
          <cell r="U281">
            <v>101.10006945508296</v>
          </cell>
          <cell r="V281">
            <v>99.581493871369318</v>
          </cell>
          <cell r="W281">
            <v>97.797829990879819</v>
          </cell>
          <cell r="X281">
            <v>95.749077813613496</v>
          </cell>
          <cell r="Y281">
            <v>93.260271970304245</v>
          </cell>
          <cell r="Z281">
            <v>90.57144221869514</v>
          </cell>
          <cell r="AA281">
            <v>87.682588558788396</v>
          </cell>
          <cell r="AB281">
            <v>84.593710990582608</v>
          </cell>
          <cell r="AC281">
            <v>81.304809514077263</v>
          </cell>
          <cell r="AD281">
            <v>77.778394523961154</v>
          </cell>
          <cell r="AE281">
            <v>74.126865529550116</v>
          </cell>
          <cell r="AF281">
            <v>70.35022253084415</v>
          </cell>
          <cell r="AG281">
            <v>66.448465527843226</v>
          </cell>
          <cell r="AH281">
            <v>62.421594520547416</v>
          </cell>
        </row>
        <row r="282">
          <cell r="B282" t="str">
            <v>e-ammonia - Finance cost including feedstock finance cost - Europe - USD/ton fuel</v>
          </cell>
          <cell r="G282">
            <v>214.1250269984512</v>
          </cell>
          <cell r="H282">
            <v>197.50653075476706</v>
          </cell>
          <cell r="I282">
            <v>180.81390136986232</v>
          </cell>
          <cell r="J282">
            <v>165.41891098124125</v>
          </cell>
          <cell r="K282">
            <v>149.88619775854579</v>
          </cell>
          <cell r="L282">
            <v>134.21576170177741</v>
          </cell>
          <cell r="M282">
            <v>118.40760281093657</v>
          </cell>
          <cell r="N282">
            <v>102.46172108602127</v>
          </cell>
          <cell r="O282">
            <v>103.28013561241838</v>
          </cell>
          <cell r="P282">
            <v>103.77736634023424</v>
          </cell>
          <cell r="Q282">
            <v>103.95341326946809</v>
          </cell>
          <cell r="R282">
            <v>103.80827640011844</v>
          </cell>
          <cell r="S282">
            <v>103.34195573218788</v>
          </cell>
          <cell r="T282">
            <v>102.35355674202337</v>
          </cell>
          <cell r="U282">
            <v>101.10006945508296</v>
          </cell>
          <cell r="V282">
            <v>99.581493871369318</v>
          </cell>
          <cell r="W282">
            <v>97.797829990879819</v>
          </cell>
          <cell r="X282">
            <v>95.749077813613496</v>
          </cell>
          <cell r="Y282">
            <v>93.260271970304245</v>
          </cell>
          <cell r="Z282">
            <v>90.57144221869514</v>
          </cell>
          <cell r="AA282">
            <v>87.682588558788396</v>
          </cell>
          <cell r="AB282">
            <v>84.593710990582608</v>
          </cell>
          <cell r="AC282">
            <v>81.304809514077263</v>
          </cell>
          <cell r="AD282">
            <v>77.778394523961154</v>
          </cell>
          <cell r="AE282">
            <v>74.126865529550116</v>
          </cell>
          <cell r="AF282">
            <v>70.35022253084415</v>
          </cell>
          <cell r="AG282">
            <v>66.448465527843226</v>
          </cell>
          <cell r="AH282">
            <v>62.421594520547416</v>
          </cell>
        </row>
        <row r="283">
          <cell r="B283" t="str">
            <v>e-ammonia - Finance cost including feedstock finance cost - Middle East - USD/ton fuel</v>
          </cell>
          <cell r="G283">
            <v>214.1250269984512</v>
          </cell>
          <cell r="H283">
            <v>197.50653075476706</v>
          </cell>
          <cell r="I283">
            <v>180.81390136986232</v>
          </cell>
          <cell r="J283">
            <v>165.41891098124125</v>
          </cell>
          <cell r="K283">
            <v>149.88619775854579</v>
          </cell>
          <cell r="L283">
            <v>134.21576170177741</v>
          </cell>
          <cell r="M283">
            <v>118.40760281093657</v>
          </cell>
          <cell r="N283">
            <v>102.46172108602127</v>
          </cell>
          <cell r="O283">
            <v>103.28013561241838</v>
          </cell>
          <cell r="P283">
            <v>103.77736634023424</v>
          </cell>
          <cell r="Q283">
            <v>103.95341326946809</v>
          </cell>
          <cell r="R283">
            <v>103.80827640011844</v>
          </cell>
          <cell r="S283">
            <v>103.34195573218788</v>
          </cell>
          <cell r="T283">
            <v>102.35355674202337</v>
          </cell>
          <cell r="U283">
            <v>101.10006945508296</v>
          </cell>
          <cell r="V283">
            <v>99.581493871369318</v>
          </cell>
          <cell r="W283">
            <v>97.797829990879819</v>
          </cell>
          <cell r="X283">
            <v>95.749077813613496</v>
          </cell>
          <cell r="Y283">
            <v>93.260271970304245</v>
          </cell>
          <cell r="Z283">
            <v>90.57144221869514</v>
          </cell>
          <cell r="AA283">
            <v>87.682588558788396</v>
          </cell>
          <cell r="AB283">
            <v>84.593710990582608</v>
          </cell>
          <cell r="AC283">
            <v>81.304809514077263</v>
          </cell>
          <cell r="AD283">
            <v>77.778394523961154</v>
          </cell>
          <cell r="AE283">
            <v>74.126865529550116</v>
          </cell>
          <cell r="AF283">
            <v>70.35022253084415</v>
          </cell>
          <cell r="AG283">
            <v>66.448465527843226</v>
          </cell>
          <cell r="AH283">
            <v>62.421594520547416</v>
          </cell>
        </row>
        <row r="284">
          <cell r="B284" t="str">
            <v>e-ammonia - Finance cost - Africa - USD/ton fuel</v>
          </cell>
          <cell r="G284">
            <v>120.45000000000002</v>
          </cell>
          <cell r="H284">
            <v>108.35000000000001</v>
          </cell>
          <cell r="I284">
            <v>96.250000000000014</v>
          </cell>
          <cell r="J284">
            <v>84.15</v>
          </cell>
          <cell r="K284">
            <v>72.050000000000011</v>
          </cell>
          <cell r="L284">
            <v>59.95000000000001</v>
          </cell>
          <cell r="M284">
            <v>47.850000000000009</v>
          </cell>
          <cell r="N284">
            <v>35.750000000000007</v>
          </cell>
          <cell r="O284">
            <v>35.337500000000006</v>
          </cell>
          <cell r="P284">
            <v>34.925000000000004</v>
          </cell>
          <cell r="Q284">
            <v>34.512500000000003</v>
          </cell>
          <cell r="R284">
            <v>34.1</v>
          </cell>
          <cell r="S284">
            <v>33.687500000000007</v>
          </cell>
          <cell r="T284">
            <v>33.275000000000006</v>
          </cell>
          <cell r="U284">
            <v>32.862500000000004</v>
          </cell>
          <cell r="V284">
            <v>32.450000000000003</v>
          </cell>
          <cell r="W284">
            <v>32.037500000000001</v>
          </cell>
          <cell r="X284">
            <v>31.625000000000004</v>
          </cell>
          <cell r="Y284">
            <v>31.212500000000006</v>
          </cell>
          <cell r="Z284">
            <v>30.800000000000004</v>
          </cell>
          <cell r="AA284">
            <v>30.387500000000003</v>
          </cell>
          <cell r="AB284">
            <v>29.975000000000005</v>
          </cell>
          <cell r="AC284">
            <v>29.562500000000004</v>
          </cell>
          <cell r="AD284">
            <v>29.150000000000002</v>
          </cell>
          <cell r="AE284">
            <v>28.737500000000004</v>
          </cell>
          <cell r="AF284">
            <v>28.325000000000003</v>
          </cell>
          <cell r="AG284">
            <v>27.912500000000005</v>
          </cell>
          <cell r="AH284">
            <v>27.500000000000004</v>
          </cell>
        </row>
        <row r="285">
          <cell r="B285" t="str">
            <v>e-ammonia - Finance cost - Americas - USD/ton fuel</v>
          </cell>
          <cell r="G285">
            <v>120.45000000000002</v>
          </cell>
          <cell r="H285">
            <v>108.35000000000001</v>
          </cell>
          <cell r="I285">
            <v>96.250000000000014</v>
          </cell>
          <cell r="J285">
            <v>84.15</v>
          </cell>
          <cell r="K285">
            <v>72.050000000000011</v>
          </cell>
          <cell r="L285">
            <v>59.95000000000001</v>
          </cell>
          <cell r="M285">
            <v>47.850000000000009</v>
          </cell>
          <cell r="N285">
            <v>35.750000000000007</v>
          </cell>
          <cell r="O285">
            <v>35.337500000000006</v>
          </cell>
          <cell r="P285">
            <v>34.925000000000004</v>
          </cell>
          <cell r="Q285">
            <v>34.512500000000003</v>
          </cell>
          <cell r="R285">
            <v>34.1</v>
          </cell>
          <cell r="S285">
            <v>33.687500000000007</v>
          </cell>
          <cell r="T285">
            <v>33.275000000000006</v>
          </cell>
          <cell r="U285">
            <v>32.862500000000004</v>
          </cell>
          <cell r="V285">
            <v>32.450000000000003</v>
          </cell>
          <cell r="W285">
            <v>32.037500000000001</v>
          </cell>
          <cell r="X285">
            <v>31.625000000000004</v>
          </cell>
          <cell r="Y285">
            <v>31.212500000000006</v>
          </cell>
          <cell r="Z285">
            <v>30.800000000000004</v>
          </cell>
          <cell r="AA285">
            <v>30.387500000000003</v>
          </cell>
          <cell r="AB285">
            <v>29.975000000000005</v>
          </cell>
          <cell r="AC285">
            <v>29.562500000000004</v>
          </cell>
          <cell r="AD285">
            <v>29.150000000000002</v>
          </cell>
          <cell r="AE285">
            <v>28.737500000000004</v>
          </cell>
          <cell r="AF285">
            <v>28.325000000000003</v>
          </cell>
          <cell r="AG285">
            <v>27.912500000000005</v>
          </cell>
          <cell r="AH285">
            <v>27.500000000000004</v>
          </cell>
        </row>
        <row r="286">
          <cell r="B286" t="str">
            <v>e-ammonia - Finance cost - Asia - USD/ton fuel</v>
          </cell>
          <cell r="G286">
            <v>120.45000000000002</v>
          </cell>
          <cell r="H286">
            <v>108.35000000000001</v>
          </cell>
          <cell r="I286">
            <v>96.250000000000014</v>
          </cell>
          <cell r="J286">
            <v>84.15</v>
          </cell>
          <cell r="K286">
            <v>72.050000000000011</v>
          </cell>
          <cell r="L286">
            <v>59.95000000000001</v>
          </cell>
          <cell r="M286">
            <v>47.850000000000009</v>
          </cell>
          <cell r="N286">
            <v>35.750000000000007</v>
          </cell>
          <cell r="O286">
            <v>35.337500000000006</v>
          </cell>
          <cell r="P286">
            <v>34.925000000000004</v>
          </cell>
          <cell r="Q286">
            <v>34.512500000000003</v>
          </cell>
          <cell r="R286">
            <v>34.1</v>
          </cell>
          <cell r="S286">
            <v>33.687500000000007</v>
          </cell>
          <cell r="T286">
            <v>33.275000000000006</v>
          </cell>
          <cell r="U286">
            <v>32.862500000000004</v>
          </cell>
          <cell r="V286">
            <v>32.450000000000003</v>
          </cell>
          <cell r="W286">
            <v>32.037500000000001</v>
          </cell>
          <cell r="X286">
            <v>31.625000000000004</v>
          </cell>
          <cell r="Y286">
            <v>31.212500000000006</v>
          </cell>
          <cell r="Z286">
            <v>30.800000000000004</v>
          </cell>
          <cell r="AA286">
            <v>30.387500000000003</v>
          </cell>
          <cell r="AB286">
            <v>29.975000000000005</v>
          </cell>
          <cell r="AC286">
            <v>29.562500000000004</v>
          </cell>
          <cell r="AD286">
            <v>29.150000000000002</v>
          </cell>
          <cell r="AE286">
            <v>28.737500000000004</v>
          </cell>
          <cell r="AF286">
            <v>28.325000000000003</v>
          </cell>
          <cell r="AG286">
            <v>27.912500000000005</v>
          </cell>
          <cell r="AH286">
            <v>27.500000000000004</v>
          </cell>
        </row>
        <row r="287">
          <cell r="B287" t="str">
            <v>e-ammonia - Finance cost - Europe - USD/ton fuel</v>
          </cell>
          <cell r="G287">
            <v>120.45000000000002</v>
          </cell>
          <cell r="H287">
            <v>108.35000000000001</v>
          </cell>
          <cell r="I287">
            <v>96.250000000000014</v>
          </cell>
          <cell r="J287">
            <v>84.15</v>
          </cell>
          <cell r="K287">
            <v>72.050000000000011</v>
          </cell>
          <cell r="L287">
            <v>59.95000000000001</v>
          </cell>
          <cell r="M287">
            <v>47.850000000000009</v>
          </cell>
          <cell r="N287">
            <v>35.750000000000007</v>
          </cell>
          <cell r="O287">
            <v>35.337500000000006</v>
          </cell>
          <cell r="P287">
            <v>34.925000000000004</v>
          </cell>
          <cell r="Q287">
            <v>34.512500000000003</v>
          </cell>
          <cell r="R287">
            <v>34.1</v>
          </cell>
          <cell r="S287">
            <v>33.687500000000007</v>
          </cell>
          <cell r="T287">
            <v>33.275000000000006</v>
          </cell>
          <cell r="U287">
            <v>32.862500000000004</v>
          </cell>
          <cell r="V287">
            <v>32.450000000000003</v>
          </cell>
          <cell r="W287">
            <v>32.037500000000001</v>
          </cell>
          <cell r="X287">
            <v>31.625000000000004</v>
          </cell>
          <cell r="Y287">
            <v>31.212500000000006</v>
          </cell>
          <cell r="Z287">
            <v>30.800000000000004</v>
          </cell>
          <cell r="AA287">
            <v>30.387500000000003</v>
          </cell>
          <cell r="AB287">
            <v>29.975000000000005</v>
          </cell>
          <cell r="AC287">
            <v>29.562500000000004</v>
          </cell>
          <cell r="AD287">
            <v>29.150000000000002</v>
          </cell>
          <cell r="AE287">
            <v>28.737500000000004</v>
          </cell>
          <cell r="AF287">
            <v>28.325000000000003</v>
          </cell>
          <cell r="AG287">
            <v>27.912500000000005</v>
          </cell>
          <cell r="AH287">
            <v>27.500000000000004</v>
          </cell>
        </row>
        <row r="288">
          <cell r="B288" t="str">
            <v>e-ammonia - Finance cost - Middle East - USD/ton fuel</v>
          </cell>
          <cell r="G288">
            <v>120.45000000000002</v>
          </cell>
          <cell r="H288">
            <v>108.35000000000001</v>
          </cell>
          <cell r="I288">
            <v>96.250000000000014</v>
          </cell>
          <cell r="J288">
            <v>84.15</v>
          </cell>
          <cell r="K288">
            <v>72.050000000000011</v>
          </cell>
          <cell r="L288">
            <v>59.95000000000001</v>
          </cell>
          <cell r="M288">
            <v>47.850000000000009</v>
          </cell>
          <cell r="N288">
            <v>35.750000000000007</v>
          </cell>
          <cell r="O288">
            <v>35.337500000000006</v>
          </cell>
          <cell r="P288">
            <v>34.925000000000004</v>
          </cell>
          <cell r="Q288">
            <v>34.512500000000003</v>
          </cell>
          <cell r="R288">
            <v>34.1</v>
          </cell>
          <cell r="S288">
            <v>33.687500000000007</v>
          </cell>
          <cell r="T288">
            <v>33.275000000000006</v>
          </cell>
          <cell r="U288">
            <v>32.862500000000004</v>
          </cell>
          <cell r="V288">
            <v>32.450000000000003</v>
          </cell>
          <cell r="W288">
            <v>32.037500000000001</v>
          </cell>
          <cell r="X288">
            <v>31.625000000000004</v>
          </cell>
          <cell r="Y288">
            <v>31.212500000000006</v>
          </cell>
          <cell r="Z288">
            <v>30.800000000000004</v>
          </cell>
          <cell r="AA288">
            <v>30.387500000000003</v>
          </cell>
          <cell r="AB288">
            <v>29.975000000000005</v>
          </cell>
          <cell r="AC288">
            <v>29.562500000000004</v>
          </cell>
          <cell r="AD288">
            <v>29.150000000000002</v>
          </cell>
          <cell r="AE288">
            <v>28.737500000000004</v>
          </cell>
          <cell r="AF288">
            <v>28.325000000000003</v>
          </cell>
          <cell r="AG288">
            <v>27.912500000000005</v>
          </cell>
          <cell r="AH288">
            <v>27.500000000000004</v>
          </cell>
        </row>
        <row r="289">
          <cell r="B289" t="str">
            <v>e-hydrogen (compressed) - Finance cost including feedstock finance cost - Africa - USD/ton fuel</v>
          </cell>
          <cell r="G289">
            <v>423.4664833247287</v>
          </cell>
          <cell r="H289">
            <v>407.9080597487058</v>
          </cell>
          <cell r="I289">
            <v>391.93778538812398</v>
          </cell>
          <cell r="J289">
            <v>383.67894989578463</v>
          </cell>
          <cell r="K289">
            <v>374.65498754747659</v>
          </cell>
          <cell r="L289">
            <v>364.86589834320779</v>
          </cell>
          <cell r="M289">
            <v>354.31168228298088</v>
          </cell>
          <cell r="N289">
            <v>342.99233936678479</v>
          </cell>
          <cell r="O289">
            <v>350.20750340232428</v>
          </cell>
          <cell r="P289">
            <v>355.6383130013013</v>
          </cell>
          <cell r="Q289">
            <v>359.28476816371159</v>
          </cell>
          <cell r="R289">
            <v>361.14686888954691</v>
          </cell>
          <cell r="S289">
            <v>361.22461517882164</v>
          </cell>
          <cell r="T289">
            <v>358.40192634457429</v>
          </cell>
          <cell r="U289">
            <v>354.10652475046084</v>
          </cell>
          <cell r="V289">
            <v>348.33841039649622</v>
          </cell>
          <cell r="W289">
            <v>341.09758328266571</v>
          </cell>
          <cell r="X289">
            <v>332.38404340896386</v>
          </cell>
          <cell r="Y289">
            <v>321.22576094613464</v>
          </cell>
          <cell r="Z289">
            <v>308.95623454830633</v>
          </cell>
          <cell r="AA289">
            <v>295.57546421549114</v>
          </cell>
          <cell r="AB289">
            <v>281.08344994768112</v>
          </cell>
          <cell r="AC289">
            <v>265.48019174487365</v>
          </cell>
          <cell r="AD289">
            <v>248.55741402200647</v>
          </cell>
          <cell r="AE289">
            <v>230.93955849750063</v>
          </cell>
          <cell r="AF289">
            <v>212.62662517135635</v>
          </cell>
          <cell r="AG289">
            <v>193.61861404357347</v>
          </cell>
          <cell r="AH289">
            <v>173.9155251141523</v>
          </cell>
        </row>
        <row r="290">
          <cell r="B290" t="str">
            <v>e-hydrogen (compressed) - Finance cost including feedstock finance cost - Americas - USD/ton fuel</v>
          </cell>
          <cell r="G290">
            <v>423.4664833247287</v>
          </cell>
          <cell r="H290">
            <v>407.9080597487058</v>
          </cell>
          <cell r="I290">
            <v>391.93778538812398</v>
          </cell>
          <cell r="J290">
            <v>383.67894989578463</v>
          </cell>
          <cell r="K290">
            <v>374.65498754747659</v>
          </cell>
          <cell r="L290">
            <v>364.86589834320779</v>
          </cell>
          <cell r="M290">
            <v>354.31168228298088</v>
          </cell>
          <cell r="N290">
            <v>342.99233936678479</v>
          </cell>
          <cell r="O290">
            <v>350.20750340232428</v>
          </cell>
          <cell r="P290">
            <v>355.6383130013013</v>
          </cell>
          <cell r="Q290">
            <v>359.28476816371159</v>
          </cell>
          <cell r="R290">
            <v>361.14686888954691</v>
          </cell>
          <cell r="S290">
            <v>361.22461517882164</v>
          </cell>
          <cell r="T290">
            <v>358.40192634457429</v>
          </cell>
          <cell r="U290">
            <v>354.10652475046084</v>
          </cell>
          <cell r="V290">
            <v>348.33841039649622</v>
          </cell>
          <cell r="W290">
            <v>341.09758328266571</v>
          </cell>
          <cell r="X290">
            <v>332.38404340896386</v>
          </cell>
          <cell r="Y290">
            <v>321.22576094613464</v>
          </cell>
          <cell r="Z290">
            <v>308.95623454830633</v>
          </cell>
          <cell r="AA290">
            <v>295.57546421549114</v>
          </cell>
          <cell r="AB290">
            <v>281.08344994768112</v>
          </cell>
          <cell r="AC290">
            <v>265.48019174487365</v>
          </cell>
          <cell r="AD290">
            <v>248.55741402200647</v>
          </cell>
          <cell r="AE290">
            <v>230.93955849750063</v>
          </cell>
          <cell r="AF290">
            <v>212.62662517135635</v>
          </cell>
          <cell r="AG290">
            <v>193.61861404357347</v>
          </cell>
          <cell r="AH290">
            <v>173.9155251141523</v>
          </cell>
        </row>
        <row r="291">
          <cell r="B291" t="str">
            <v>e-hydrogen (compressed) - Finance cost including feedstock finance cost - Asia - USD/ton fuel</v>
          </cell>
          <cell r="G291">
            <v>423.4664833247287</v>
          </cell>
          <cell r="H291">
            <v>407.9080597487058</v>
          </cell>
          <cell r="I291">
            <v>391.93778538812398</v>
          </cell>
          <cell r="J291">
            <v>383.67894989578463</v>
          </cell>
          <cell r="K291">
            <v>374.65498754747659</v>
          </cell>
          <cell r="L291">
            <v>364.86589834320779</v>
          </cell>
          <cell r="M291">
            <v>354.31168228298088</v>
          </cell>
          <cell r="N291">
            <v>342.99233936678479</v>
          </cell>
          <cell r="O291">
            <v>350.20750340232428</v>
          </cell>
          <cell r="P291">
            <v>355.6383130013013</v>
          </cell>
          <cell r="Q291">
            <v>359.28476816371159</v>
          </cell>
          <cell r="R291">
            <v>361.14686888954691</v>
          </cell>
          <cell r="S291">
            <v>361.22461517882164</v>
          </cell>
          <cell r="T291">
            <v>358.40192634457429</v>
          </cell>
          <cell r="U291">
            <v>354.10652475046084</v>
          </cell>
          <cell r="V291">
            <v>348.33841039649622</v>
          </cell>
          <cell r="W291">
            <v>341.09758328266571</v>
          </cell>
          <cell r="X291">
            <v>332.38404340896386</v>
          </cell>
          <cell r="Y291">
            <v>321.22576094613464</v>
          </cell>
          <cell r="Z291">
            <v>308.95623454830633</v>
          </cell>
          <cell r="AA291">
            <v>295.57546421549114</v>
          </cell>
          <cell r="AB291">
            <v>281.08344994768112</v>
          </cell>
          <cell r="AC291">
            <v>265.48019174487365</v>
          </cell>
          <cell r="AD291">
            <v>248.55741402200647</v>
          </cell>
          <cell r="AE291">
            <v>230.93955849750063</v>
          </cell>
          <cell r="AF291">
            <v>212.62662517135635</v>
          </cell>
          <cell r="AG291">
            <v>193.61861404357347</v>
          </cell>
          <cell r="AH291">
            <v>173.9155251141523</v>
          </cell>
        </row>
        <row r="292">
          <cell r="B292" t="str">
            <v>e-hydrogen (compressed) - Finance cost including feedstock finance cost - Europe - USD/ton fuel</v>
          </cell>
          <cell r="G292">
            <v>423.4664833247287</v>
          </cell>
          <cell r="H292">
            <v>407.9080597487058</v>
          </cell>
          <cell r="I292">
            <v>391.93778538812398</v>
          </cell>
          <cell r="J292">
            <v>383.67894989578463</v>
          </cell>
          <cell r="K292">
            <v>374.65498754747659</v>
          </cell>
          <cell r="L292">
            <v>364.86589834320779</v>
          </cell>
          <cell r="M292">
            <v>354.31168228298088</v>
          </cell>
          <cell r="N292">
            <v>342.99233936678479</v>
          </cell>
          <cell r="O292">
            <v>350.20750340232428</v>
          </cell>
          <cell r="P292">
            <v>355.6383130013013</v>
          </cell>
          <cell r="Q292">
            <v>359.28476816371159</v>
          </cell>
          <cell r="R292">
            <v>361.14686888954691</v>
          </cell>
          <cell r="S292">
            <v>361.22461517882164</v>
          </cell>
          <cell r="T292">
            <v>358.40192634457429</v>
          </cell>
          <cell r="U292">
            <v>354.10652475046084</v>
          </cell>
          <cell r="V292">
            <v>348.33841039649622</v>
          </cell>
          <cell r="W292">
            <v>341.09758328266571</v>
          </cell>
          <cell r="X292">
            <v>332.38404340896386</v>
          </cell>
          <cell r="Y292">
            <v>321.22576094613464</v>
          </cell>
          <cell r="Z292">
            <v>308.95623454830633</v>
          </cell>
          <cell r="AA292">
            <v>295.57546421549114</v>
          </cell>
          <cell r="AB292">
            <v>281.08344994768112</v>
          </cell>
          <cell r="AC292">
            <v>265.48019174487365</v>
          </cell>
          <cell r="AD292">
            <v>248.55741402200647</v>
          </cell>
          <cell r="AE292">
            <v>230.93955849750063</v>
          </cell>
          <cell r="AF292">
            <v>212.62662517135635</v>
          </cell>
          <cell r="AG292">
            <v>193.61861404357347</v>
          </cell>
          <cell r="AH292">
            <v>173.9155251141523</v>
          </cell>
        </row>
        <row r="293">
          <cell r="B293" t="str">
            <v>e-hydrogen (compressed) - Finance cost including feedstock finance cost - Middle East - USD/ton fuel</v>
          </cell>
          <cell r="G293">
            <v>423.4664833247287</v>
          </cell>
          <cell r="H293">
            <v>407.9080597487058</v>
          </cell>
          <cell r="I293">
            <v>391.93778538812398</v>
          </cell>
          <cell r="J293">
            <v>383.67894989578463</v>
          </cell>
          <cell r="K293">
            <v>374.65498754747659</v>
          </cell>
          <cell r="L293">
            <v>364.86589834320779</v>
          </cell>
          <cell r="M293">
            <v>354.31168228298088</v>
          </cell>
          <cell r="N293">
            <v>342.99233936678479</v>
          </cell>
          <cell r="O293">
            <v>350.20750340232428</v>
          </cell>
          <cell r="P293">
            <v>355.6383130013013</v>
          </cell>
          <cell r="Q293">
            <v>359.28476816371159</v>
          </cell>
          <cell r="R293">
            <v>361.14686888954691</v>
          </cell>
          <cell r="S293">
            <v>361.22461517882164</v>
          </cell>
          <cell r="T293">
            <v>358.40192634457429</v>
          </cell>
          <cell r="U293">
            <v>354.10652475046084</v>
          </cell>
          <cell r="V293">
            <v>348.33841039649622</v>
          </cell>
          <cell r="W293">
            <v>341.09758328266571</v>
          </cell>
          <cell r="X293">
            <v>332.38404340896386</v>
          </cell>
          <cell r="Y293">
            <v>321.22576094613464</v>
          </cell>
          <cell r="Z293">
            <v>308.95623454830633</v>
          </cell>
          <cell r="AA293">
            <v>295.57546421549114</v>
          </cell>
          <cell r="AB293">
            <v>281.08344994768112</v>
          </cell>
          <cell r="AC293">
            <v>265.48019174487365</v>
          </cell>
          <cell r="AD293">
            <v>248.55741402200647</v>
          </cell>
          <cell r="AE293">
            <v>230.93955849750063</v>
          </cell>
          <cell r="AF293">
            <v>212.62662517135635</v>
          </cell>
          <cell r="AG293">
            <v>193.61861404357347</v>
          </cell>
          <cell r="AH293">
            <v>173.9155251141523</v>
          </cell>
        </row>
        <row r="294">
          <cell r="B294" t="str">
            <v>Nitrogen - Finance cost - Africa - USD/ton fuel</v>
          </cell>
          <cell r="G294">
            <v>21.230000000000004</v>
          </cell>
          <cell r="H294">
            <v>19.140000000000004</v>
          </cell>
          <cell r="I294">
            <v>17.05</v>
          </cell>
          <cell r="J294">
            <v>14.850000000000001</v>
          </cell>
          <cell r="K294">
            <v>12.650000000000002</v>
          </cell>
          <cell r="L294">
            <v>10.450000000000001</v>
          </cell>
          <cell r="M294">
            <v>8.2500000000000018</v>
          </cell>
          <cell r="N294">
            <v>6.0500000000000007</v>
          </cell>
          <cell r="O294">
            <v>5.9675000000000011</v>
          </cell>
          <cell r="P294">
            <v>5.8850000000000007</v>
          </cell>
          <cell r="Q294">
            <v>5.8025000000000011</v>
          </cell>
          <cell r="R294">
            <v>5.7200000000000006</v>
          </cell>
          <cell r="S294">
            <v>5.6375000000000011</v>
          </cell>
          <cell r="T294">
            <v>5.5550000000000006</v>
          </cell>
          <cell r="U294">
            <v>5.472500000000001</v>
          </cell>
          <cell r="V294">
            <v>5.3900000000000006</v>
          </cell>
          <cell r="W294">
            <v>5.307500000000001</v>
          </cell>
          <cell r="X294">
            <v>5.2250000000000005</v>
          </cell>
          <cell r="Y294">
            <v>5.142500000000001</v>
          </cell>
          <cell r="Z294">
            <v>5.0600000000000005</v>
          </cell>
          <cell r="AA294">
            <v>4.9775000000000009</v>
          </cell>
          <cell r="AB294">
            <v>4.8950000000000005</v>
          </cell>
          <cell r="AC294">
            <v>4.8125000000000009</v>
          </cell>
          <cell r="AD294">
            <v>4.7300000000000004</v>
          </cell>
          <cell r="AE294">
            <v>4.6475000000000009</v>
          </cell>
          <cell r="AF294">
            <v>4.5650000000000004</v>
          </cell>
          <cell r="AG294">
            <v>4.4825000000000008</v>
          </cell>
          <cell r="AH294">
            <v>4.4000000000000004</v>
          </cell>
        </row>
        <row r="295">
          <cell r="B295" t="str">
            <v>Nitrogen - Finance cost - Americas - USD/ton fuel</v>
          </cell>
          <cell r="G295">
            <v>21.230000000000004</v>
          </cell>
          <cell r="H295">
            <v>19.140000000000004</v>
          </cell>
          <cell r="I295">
            <v>17.05</v>
          </cell>
          <cell r="J295">
            <v>14.850000000000001</v>
          </cell>
          <cell r="K295">
            <v>12.650000000000002</v>
          </cell>
          <cell r="L295">
            <v>10.450000000000001</v>
          </cell>
          <cell r="M295">
            <v>8.2500000000000018</v>
          </cell>
          <cell r="N295">
            <v>6.0500000000000007</v>
          </cell>
          <cell r="O295">
            <v>5.9675000000000011</v>
          </cell>
          <cell r="P295">
            <v>5.8850000000000007</v>
          </cell>
          <cell r="Q295">
            <v>5.8025000000000011</v>
          </cell>
          <cell r="R295">
            <v>5.7200000000000006</v>
          </cell>
          <cell r="S295">
            <v>5.6375000000000011</v>
          </cell>
          <cell r="T295">
            <v>5.5550000000000006</v>
          </cell>
          <cell r="U295">
            <v>5.472500000000001</v>
          </cell>
          <cell r="V295">
            <v>5.3900000000000006</v>
          </cell>
          <cell r="W295">
            <v>5.307500000000001</v>
          </cell>
          <cell r="X295">
            <v>5.2250000000000005</v>
          </cell>
          <cell r="Y295">
            <v>5.142500000000001</v>
          </cell>
          <cell r="Z295">
            <v>5.0600000000000005</v>
          </cell>
          <cell r="AA295">
            <v>4.9775000000000009</v>
          </cell>
          <cell r="AB295">
            <v>4.8950000000000005</v>
          </cell>
          <cell r="AC295">
            <v>4.8125000000000009</v>
          </cell>
          <cell r="AD295">
            <v>4.7300000000000004</v>
          </cell>
          <cell r="AE295">
            <v>4.6475000000000009</v>
          </cell>
          <cell r="AF295">
            <v>4.5650000000000004</v>
          </cell>
          <cell r="AG295">
            <v>4.4825000000000008</v>
          </cell>
          <cell r="AH295">
            <v>4.4000000000000004</v>
          </cell>
        </row>
        <row r="296">
          <cell r="B296" t="str">
            <v>Nitrogen - Finance cost - Asia - USD/ton fuel</v>
          </cell>
          <cell r="G296">
            <v>21.230000000000004</v>
          </cell>
          <cell r="H296">
            <v>19.140000000000004</v>
          </cell>
          <cell r="I296">
            <v>17.05</v>
          </cell>
          <cell r="J296">
            <v>14.850000000000001</v>
          </cell>
          <cell r="K296">
            <v>12.650000000000002</v>
          </cell>
          <cell r="L296">
            <v>10.450000000000001</v>
          </cell>
          <cell r="M296">
            <v>8.2500000000000018</v>
          </cell>
          <cell r="N296">
            <v>6.0500000000000007</v>
          </cell>
          <cell r="O296">
            <v>5.9675000000000011</v>
          </cell>
          <cell r="P296">
            <v>5.8850000000000007</v>
          </cell>
          <cell r="Q296">
            <v>5.8025000000000011</v>
          </cell>
          <cell r="R296">
            <v>5.7200000000000006</v>
          </cell>
          <cell r="S296">
            <v>5.6375000000000011</v>
          </cell>
          <cell r="T296">
            <v>5.5550000000000006</v>
          </cell>
          <cell r="U296">
            <v>5.472500000000001</v>
          </cell>
          <cell r="V296">
            <v>5.3900000000000006</v>
          </cell>
          <cell r="W296">
            <v>5.307500000000001</v>
          </cell>
          <cell r="X296">
            <v>5.2250000000000005</v>
          </cell>
          <cell r="Y296">
            <v>5.142500000000001</v>
          </cell>
          <cell r="Z296">
            <v>5.0600000000000005</v>
          </cell>
          <cell r="AA296">
            <v>4.9775000000000009</v>
          </cell>
          <cell r="AB296">
            <v>4.8950000000000005</v>
          </cell>
          <cell r="AC296">
            <v>4.8125000000000009</v>
          </cell>
          <cell r="AD296">
            <v>4.7300000000000004</v>
          </cell>
          <cell r="AE296">
            <v>4.6475000000000009</v>
          </cell>
          <cell r="AF296">
            <v>4.5650000000000004</v>
          </cell>
          <cell r="AG296">
            <v>4.4825000000000008</v>
          </cell>
          <cell r="AH296">
            <v>4.4000000000000004</v>
          </cell>
        </row>
        <row r="297">
          <cell r="B297" t="str">
            <v>Nitrogen - Finance cost - Europe - USD/ton fuel</v>
          </cell>
          <cell r="G297">
            <v>21.230000000000004</v>
          </cell>
          <cell r="H297">
            <v>19.140000000000004</v>
          </cell>
          <cell r="I297">
            <v>17.05</v>
          </cell>
          <cell r="J297">
            <v>14.850000000000001</v>
          </cell>
          <cell r="K297">
            <v>12.650000000000002</v>
          </cell>
          <cell r="L297">
            <v>10.450000000000001</v>
          </cell>
          <cell r="M297">
            <v>8.2500000000000018</v>
          </cell>
          <cell r="N297">
            <v>6.0500000000000007</v>
          </cell>
          <cell r="O297">
            <v>5.9675000000000011</v>
          </cell>
          <cell r="P297">
            <v>5.8850000000000007</v>
          </cell>
          <cell r="Q297">
            <v>5.8025000000000011</v>
          </cell>
          <cell r="R297">
            <v>5.7200000000000006</v>
          </cell>
          <cell r="S297">
            <v>5.6375000000000011</v>
          </cell>
          <cell r="T297">
            <v>5.5550000000000006</v>
          </cell>
          <cell r="U297">
            <v>5.472500000000001</v>
          </cell>
          <cell r="V297">
            <v>5.3900000000000006</v>
          </cell>
          <cell r="W297">
            <v>5.307500000000001</v>
          </cell>
          <cell r="X297">
            <v>5.2250000000000005</v>
          </cell>
          <cell r="Y297">
            <v>5.142500000000001</v>
          </cell>
          <cell r="Z297">
            <v>5.0600000000000005</v>
          </cell>
          <cell r="AA297">
            <v>4.9775000000000009</v>
          </cell>
          <cell r="AB297">
            <v>4.8950000000000005</v>
          </cell>
          <cell r="AC297">
            <v>4.8125000000000009</v>
          </cell>
          <cell r="AD297">
            <v>4.7300000000000004</v>
          </cell>
          <cell r="AE297">
            <v>4.6475000000000009</v>
          </cell>
          <cell r="AF297">
            <v>4.5650000000000004</v>
          </cell>
          <cell r="AG297">
            <v>4.4825000000000008</v>
          </cell>
          <cell r="AH297">
            <v>4.4000000000000004</v>
          </cell>
        </row>
        <row r="298">
          <cell r="B298" t="str">
            <v>Nitrogen - Finance cost - Middle East - USD/ton fuel</v>
          </cell>
          <cell r="G298">
            <v>21.230000000000004</v>
          </cell>
          <cell r="H298">
            <v>19.140000000000004</v>
          </cell>
          <cell r="I298">
            <v>17.05</v>
          </cell>
          <cell r="J298">
            <v>14.850000000000001</v>
          </cell>
          <cell r="K298">
            <v>12.650000000000002</v>
          </cell>
          <cell r="L298">
            <v>10.450000000000001</v>
          </cell>
          <cell r="M298">
            <v>8.2500000000000018</v>
          </cell>
          <cell r="N298">
            <v>6.0500000000000007</v>
          </cell>
          <cell r="O298">
            <v>5.9675000000000011</v>
          </cell>
          <cell r="P298">
            <v>5.8850000000000007</v>
          </cell>
          <cell r="Q298">
            <v>5.8025000000000011</v>
          </cell>
          <cell r="R298">
            <v>5.7200000000000006</v>
          </cell>
          <cell r="S298">
            <v>5.6375000000000011</v>
          </cell>
          <cell r="T298">
            <v>5.5550000000000006</v>
          </cell>
          <cell r="U298">
            <v>5.472500000000001</v>
          </cell>
          <cell r="V298">
            <v>5.3900000000000006</v>
          </cell>
          <cell r="W298">
            <v>5.307500000000001</v>
          </cell>
          <cell r="X298">
            <v>5.2250000000000005</v>
          </cell>
          <cell r="Y298">
            <v>5.142500000000001</v>
          </cell>
          <cell r="Z298">
            <v>5.0600000000000005</v>
          </cell>
          <cell r="AA298">
            <v>4.9775000000000009</v>
          </cell>
          <cell r="AB298">
            <v>4.8950000000000005</v>
          </cell>
          <cell r="AC298">
            <v>4.8125000000000009</v>
          </cell>
          <cell r="AD298">
            <v>4.7300000000000004</v>
          </cell>
          <cell r="AE298">
            <v>4.6475000000000009</v>
          </cell>
          <cell r="AF298">
            <v>4.5650000000000004</v>
          </cell>
          <cell r="AG298">
            <v>4.4825000000000008</v>
          </cell>
          <cell r="AH298">
            <v>4.4000000000000004</v>
          </cell>
        </row>
        <row r="299">
          <cell r="B299" t="str">
            <v>e-ammonia - Conversion H2 -&gt; NH3 - Global - ton H2/ton NH3</v>
          </cell>
          <cell r="G299">
            <v>0.18</v>
          </cell>
          <cell r="H299">
            <v>0.18</v>
          </cell>
          <cell r="I299">
            <v>0.18</v>
          </cell>
          <cell r="J299">
            <v>0.18</v>
          </cell>
          <cell r="K299">
            <v>0.18</v>
          </cell>
          <cell r="L299">
            <v>0.18</v>
          </cell>
          <cell r="M299">
            <v>0.18</v>
          </cell>
          <cell r="N299">
            <v>0.18</v>
          </cell>
          <cell r="O299">
            <v>0.18</v>
          </cell>
          <cell r="P299">
            <v>0.18</v>
          </cell>
          <cell r="Q299">
            <v>0.18</v>
          </cell>
          <cell r="R299">
            <v>0.18</v>
          </cell>
          <cell r="S299">
            <v>0.18</v>
          </cell>
          <cell r="T299">
            <v>0.18</v>
          </cell>
          <cell r="U299">
            <v>0.18</v>
          </cell>
          <cell r="V299">
            <v>0.18</v>
          </cell>
          <cell r="W299">
            <v>0.18</v>
          </cell>
          <cell r="X299">
            <v>0.18</v>
          </cell>
          <cell r="Y299">
            <v>0.18</v>
          </cell>
          <cell r="Z299">
            <v>0.18</v>
          </cell>
          <cell r="AA299">
            <v>0.18</v>
          </cell>
          <cell r="AB299">
            <v>0.18</v>
          </cell>
          <cell r="AC299">
            <v>0.18</v>
          </cell>
          <cell r="AD299">
            <v>0.18</v>
          </cell>
          <cell r="AE299">
            <v>0.18</v>
          </cell>
          <cell r="AF299">
            <v>0.18</v>
          </cell>
          <cell r="AG299">
            <v>0.18</v>
          </cell>
          <cell r="AH299">
            <v>0.18</v>
          </cell>
        </row>
        <row r="300">
          <cell r="B300" t="str">
            <v>e-ammonia - Conversion N2 -&gt; NH3 - Global - ton N2/ton NH3</v>
          </cell>
          <cell r="G300">
            <v>0.82199999999999995</v>
          </cell>
          <cell r="H300">
            <v>0.82199999999999995</v>
          </cell>
          <cell r="I300">
            <v>0.82199999999999995</v>
          </cell>
          <cell r="J300">
            <v>0.82199999999999995</v>
          </cell>
          <cell r="K300">
            <v>0.82199999999999995</v>
          </cell>
          <cell r="L300">
            <v>0.82199999999999995</v>
          </cell>
          <cell r="M300">
            <v>0.82199999999999995</v>
          </cell>
          <cell r="N300">
            <v>0.82199999999999995</v>
          </cell>
          <cell r="O300">
            <v>0.82199999999999995</v>
          </cell>
          <cell r="P300">
            <v>0.82199999999999995</v>
          </cell>
          <cell r="Q300">
            <v>0.82199999999999995</v>
          </cell>
          <cell r="R300">
            <v>0.82199999999999995</v>
          </cell>
          <cell r="S300">
            <v>0.82199999999999995</v>
          </cell>
          <cell r="T300">
            <v>0.82199999999999995</v>
          </cell>
          <cell r="U300">
            <v>0.82199999999999995</v>
          </cell>
          <cell r="V300">
            <v>0.82199999999999995</v>
          </cell>
          <cell r="W300">
            <v>0.82199999999999995</v>
          </cell>
          <cell r="X300">
            <v>0.82199999999999995</v>
          </cell>
          <cell r="Y300">
            <v>0.82199999999999995</v>
          </cell>
          <cell r="Z300">
            <v>0.82199999999999995</v>
          </cell>
          <cell r="AA300">
            <v>0.82199999999999995</v>
          </cell>
          <cell r="AB300">
            <v>0.82199999999999995</v>
          </cell>
          <cell r="AC300">
            <v>0.82199999999999995</v>
          </cell>
          <cell r="AD300">
            <v>0.82199999999999995</v>
          </cell>
          <cell r="AE300">
            <v>0.82199999999999995</v>
          </cell>
          <cell r="AF300">
            <v>0.82199999999999995</v>
          </cell>
          <cell r="AG300">
            <v>0.82199999999999995</v>
          </cell>
          <cell r="AH300">
            <v>0.82199999999999995</v>
          </cell>
        </row>
        <row r="301">
          <cell r="B301" t="str">
            <v/>
          </cell>
        </row>
        <row r="302">
          <cell r="B302" t="str">
            <v>e-ammonia - Energy cost including feedstock energy cost - Africa - USD/ton fuel</v>
          </cell>
          <cell r="G302">
            <v>594.11337178153758</v>
          </cell>
          <cell r="H302">
            <v>523.77678879531607</v>
          </cell>
          <cell r="I302">
            <v>453.50690194202548</v>
          </cell>
          <cell r="J302">
            <v>433.13664616284399</v>
          </cell>
          <cell r="K302">
            <v>412.72112824653283</v>
          </cell>
          <cell r="L302">
            <v>392.2788498246266</v>
          </cell>
          <cell r="M302">
            <v>371.82831252866794</v>
          </cell>
          <cell r="N302">
            <v>351.38801799019518</v>
          </cell>
          <cell r="O302">
            <v>338.59085000918941</v>
          </cell>
          <cell r="P302">
            <v>325.82396410841432</v>
          </cell>
          <cell r="Q302">
            <v>313.097325742431</v>
          </cell>
          <cell r="R302">
            <v>300.42090036581573</v>
          </cell>
          <cell r="S302">
            <v>287.80465343314512</v>
          </cell>
          <cell r="T302">
            <v>280.66808909284475</v>
          </cell>
          <cell r="U302">
            <v>273.54774627880636</v>
          </cell>
          <cell r="V302">
            <v>266.44687675672753</v>
          </cell>
          <cell r="W302">
            <v>259.36873229228661</v>
          </cell>
          <cell r="X302">
            <v>252.31656465117922</v>
          </cell>
          <cell r="Y302">
            <v>244.54131849003801</v>
          </cell>
          <cell r="Z302">
            <v>236.91400263865575</v>
          </cell>
          <cell r="AA302">
            <v>229.43271555211129</v>
          </cell>
          <cell r="AB302">
            <v>222.09555568547867</v>
          </cell>
          <cell r="AC302">
            <v>214.90062149383391</v>
          </cell>
          <cell r="AD302">
            <v>210.50790116131566</v>
          </cell>
          <cell r="AE302">
            <v>206.1986548371313</v>
          </cell>
          <cell r="AF302">
            <v>201.97168426986667</v>
          </cell>
          <cell r="AG302">
            <v>197.82579120811192</v>
          </cell>
          <cell r="AH302">
            <v>193.75977740045732</v>
          </cell>
        </row>
        <row r="303">
          <cell r="B303" t="str">
            <v>e-ammonia - Energy cost including feedstock energy cost - Americas - USD/ton fuel</v>
          </cell>
          <cell r="G303">
            <v>373.29027194816518</v>
          </cell>
          <cell r="H303">
            <v>365.16121999722145</v>
          </cell>
          <cell r="I303">
            <v>356.98173407757014</v>
          </cell>
          <cell r="J303">
            <v>343.17819778732883</v>
          </cell>
          <cell r="K303">
            <v>329.32763570748824</v>
          </cell>
          <cell r="L303">
            <v>315.44247924123715</v>
          </cell>
          <cell r="M303">
            <v>301.53515979177922</v>
          </cell>
          <cell r="N303">
            <v>287.61810876229009</v>
          </cell>
          <cell r="O303">
            <v>279.68165112532284</v>
          </cell>
          <cell r="P303">
            <v>271.73657164920559</v>
          </cell>
          <cell r="Q303">
            <v>263.78864283070135</v>
          </cell>
          <cell r="R303">
            <v>255.84363716657398</v>
          </cell>
          <cell r="S303">
            <v>247.90732715359761</v>
          </cell>
          <cell r="T303">
            <v>241.1043790956891</v>
          </cell>
          <cell r="U303">
            <v>234.32637168870977</v>
          </cell>
          <cell r="V303">
            <v>227.57654890073215</v>
          </cell>
          <cell r="W303">
            <v>220.85815469981267</v>
          </cell>
          <cell r="X303">
            <v>214.17443305401807</v>
          </cell>
          <cell r="Y303">
            <v>209.73584968606545</v>
          </cell>
          <cell r="Z303">
            <v>205.37041787436254</v>
          </cell>
          <cell r="AA303">
            <v>201.07739439577438</v>
          </cell>
          <cell r="AB303">
            <v>196.85603602715477</v>
          </cell>
          <cell r="AC303">
            <v>192.70559954536722</v>
          </cell>
          <cell r="AD303">
            <v>189.41267721878469</v>
          </cell>
          <cell r="AE303">
            <v>186.18141950899934</v>
          </cell>
          <cell r="AF303">
            <v>183.01110655138717</v>
          </cell>
          <cell r="AG303">
            <v>179.90101848132596</v>
          </cell>
          <cell r="AH303">
            <v>176.85043543419334</v>
          </cell>
        </row>
        <row r="304">
          <cell r="B304" t="str">
            <v>e-ammonia - Energy cost including feedstock energy cost - Asia - USD/ton fuel</v>
          </cell>
          <cell r="G304">
            <v>660.77756465321932</v>
          </cell>
          <cell r="H304">
            <v>602.05482909227442</v>
          </cell>
          <cell r="I304">
            <v>543.35632954547953</v>
          </cell>
          <cell r="J304">
            <v>521.41243883744858</v>
          </cell>
          <cell r="K304">
            <v>499.4017408733655</v>
          </cell>
          <cell r="L304">
            <v>477.3440497046596</v>
          </cell>
          <cell r="M304">
            <v>455.2591793828027</v>
          </cell>
          <cell r="N304">
            <v>433.16694395924463</v>
          </cell>
          <cell r="O304">
            <v>416.63525848578723</v>
          </cell>
          <cell r="P304">
            <v>400.15085586718607</v>
          </cell>
          <cell r="Q304">
            <v>383.72673121091276</v>
          </cell>
          <cell r="R304">
            <v>367.37587962443132</v>
          </cell>
          <cell r="S304">
            <v>351.1112962152356</v>
          </cell>
          <cell r="T304">
            <v>341.49711524202854</v>
          </cell>
          <cell r="U304">
            <v>331.91790916424821</v>
          </cell>
          <cell r="V304">
            <v>322.37825833762668</v>
          </cell>
          <cell r="W304">
            <v>312.88274311786154</v>
          </cell>
          <cell r="X304">
            <v>303.43594386068133</v>
          </cell>
          <cell r="Y304">
            <v>292.994080158256</v>
          </cell>
          <cell r="Z304">
            <v>282.75658527961684</v>
          </cell>
          <cell r="AA304">
            <v>272.72073267902442</v>
          </cell>
          <cell r="AB304">
            <v>262.88379581073406</v>
          </cell>
          <cell r="AC304">
            <v>253.24304812900445</v>
          </cell>
          <cell r="AD304">
            <v>247.71453763716326</v>
          </cell>
          <cell r="AE304">
            <v>242.29158025548602</v>
          </cell>
          <cell r="AF304">
            <v>236.97257071654647</v>
          </cell>
          <cell r="AG304">
            <v>231.75590375291705</v>
          </cell>
          <cell r="AH304">
            <v>226.63997409717024</v>
          </cell>
        </row>
        <row r="305">
          <cell r="B305" t="str">
            <v>e-ammonia - Energy cost including feedstock energy cost - Europe - USD/ton fuel</v>
          </cell>
          <cell r="G305">
            <v>491.91310450401971</v>
          </cell>
          <cell r="H305">
            <v>470.19843145164197</v>
          </cell>
          <cell r="I305">
            <v>448.44546845765387</v>
          </cell>
          <cell r="J305">
            <v>430.39312028692677</v>
          </cell>
          <cell r="K305">
            <v>412.2853356389075</v>
          </cell>
          <cell r="L305">
            <v>394.13841164189614</v>
          </cell>
          <cell r="M305">
            <v>375.96864542418712</v>
          </cell>
          <cell r="N305">
            <v>357.79233411407489</v>
          </cell>
          <cell r="O305">
            <v>348.60815722315101</v>
          </cell>
          <cell r="P305">
            <v>339.40419103435221</v>
          </cell>
          <cell r="Q305">
            <v>330.18696953300537</v>
          </cell>
          <cell r="R305">
            <v>320.96302670444931</v>
          </cell>
          <cell r="S305">
            <v>311.73889653403717</v>
          </cell>
          <cell r="T305">
            <v>305.21922047151025</v>
          </cell>
          <cell r="U305">
            <v>298.69686906571405</v>
          </cell>
          <cell r="V305">
            <v>292.17454678906176</v>
          </cell>
          <cell r="W305">
            <v>285.65495811394277</v>
          </cell>
          <cell r="X305">
            <v>279.14080751276236</v>
          </cell>
          <cell r="Y305">
            <v>271.67634731841332</v>
          </cell>
          <cell r="Z305">
            <v>264.34795990414727</v>
          </cell>
          <cell r="AA305">
            <v>257.15399986523835</v>
          </cell>
          <cell r="AB305">
            <v>250.09282179694407</v>
          </cell>
          <cell r="AC305">
            <v>243.16278029453667</v>
          </cell>
          <cell r="AD305">
            <v>237.85448596447671</v>
          </cell>
          <cell r="AE305">
            <v>232.64754006165242</v>
          </cell>
          <cell r="AF305">
            <v>227.54040130112836</v>
          </cell>
          <cell r="AG305">
            <v>222.53152839796815</v>
          </cell>
          <cell r="AH305">
            <v>217.61938006723508</v>
          </cell>
        </row>
        <row r="306">
          <cell r="B306" t="str">
            <v>e-ammonia - Energy cost including feedstock energy cost - Middle East - USD/ton fuel</v>
          </cell>
          <cell r="G306">
            <v>376.67987478170011</v>
          </cell>
          <cell r="H306">
            <v>359.66520602307429</v>
          </cell>
          <cell r="I306">
            <v>342.62220724106231</v>
          </cell>
          <cell r="J306">
            <v>330.90325803249164</v>
          </cell>
          <cell r="K306">
            <v>319.13136209716004</v>
          </cell>
          <cell r="L306">
            <v>307.31698914904558</v>
          </cell>
          <cell r="M306">
            <v>295.4706089021368</v>
          </cell>
          <cell r="N306">
            <v>283.6026910704075</v>
          </cell>
          <cell r="O306">
            <v>274.25310815966202</v>
          </cell>
          <cell r="P306">
            <v>264.91508137987802</v>
          </cell>
          <cell r="Q306">
            <v>255.59573419409662</v>
          </cell>
          <cell r="R306">
            <v>246.30219006536893</v>
          </cell>
          <cell r="S306">
            <v>237.04157245674992</v>
          </cell>
          <cell r="T306">
            <v>231.46300481338898</v>
          </cell>
          <cell r="U306">
            <v>225.89279204910778</v>
          </cell>
          <cell r="V306">
            <v>220.33341021437903</v>
          </cell>
          <cell r="W306">
            <v>214.7873353596531</v>
          </cell>
          <cell r="X306">
            <v>209.25704353539734</v>
          </cell>
          <cell r="Y306">
            <v>202.13969145924139</v>
          </cell>
          <cell r="Z306">
            <v>195.1612492929211</v>
          </cell>
          <cell r="AA306">
            <v>188.31987043546707</v>
          </cell>
          <cell r="AB306">
            <v>181.61370828590486</v>
          </cell>
          <cell r="AC306">
            <v>175.04091624326321</v>
          </cell>
          <cell r="AD306">
            <v>171.21957018616007</v>
          </cell>
          <cell r="AE306">
            <v>167.47118326674149</v>
          </cell>
          <cell r="AF306">
            <v>163.79464589859259</v>
          </cell>
          <cell r="AG306">
            <v>160.18884849530099</v>
          </cell>
          <cell r="AH306">
            <v>156.65268147045424</v>
          </cell>
        </row>
        <row r="307">
          <cell r="B307" t="str">
            <v>e-ammonia - Energy cost - Africa - USD/ton fuel</v>
          </cell>
          <cell r="G307">
            <v>14.597451732628542</v>
          </cell>
          <cell r="H307">
            <v>12.883324061414896</v>
          </cell>
          <cell r="I307">
            <v>11.169196390200796</v>
          </cell>
          <cell r="J307">
            <v>10.691356171259713</v>
          </cell>
          <cell r="K307">
            <v>10.21351595231863</v>
          </cell>
          <cell r="L307">
            <v>9.7356757333775477</v>
          </cell>
          <cell r="M307">
            <v>9.2578355144363513</v>
          </cell>
          <cell r="N307">
            <v>8.7799952954952687</v>
          </cell>
          <cell r="O307">
            <v>8.5132642746067404</v>
          </cell>
          <cell r="P307">
            <v>8.2465332537182121</v>
          </cell>
          <cell r="Q307">
            <v>7.9798022328295701</v>
          </cell>
          <cell r="R307">
            <v>7.7130712119410418</v>
          </cell>
          <cell r="S307">
            <v>7.446340191052542</v>
          </cell>
          <cell r="T307">
            <v>7.3207942824757595</v>
          </cell>
          <cell r="U307">
            <v>7.1952483738990054</v>
          </cell>
          <cell r="V307">
            <v>7.0697024653222229</v>
          </cell>
          <cell r="W307">
            <v>6.9441565567454404</v>
          </cell>
          <cell r="X307">
            <v>6.8186106481687148</v>
          </cell>
          <cell r="Y307">
            <v>6.6895154123365614</v>
          </cell>
          <cell r="Z307">
            <v>6.5604201765044081</v>
          </cell>
          <cell r="AA307">
            <v>6.431324940672198</v>
          </cell>
          <cell r="AB307">
            <v>6.3022297048400446</v>
          </cell>
          <cell r="AC307">
            <v>6.1731344690078629</v>
          </cell>
          <cell r="AD307">
            <v>6.1097710699015977</v>
          </cell>
          <cell r="AE307">
            <v>6.0464076707953609</v>
          </cell>
          <cell r="AF307">
            <v>5.9830442716890957</v>
          </cell>
          <cell r="AG307">
            <v>5.9196808725828305</v>
          </cell>
          <cell r="AH307">
            <v>5.8563174734765937</v>
          </cell>
        </row>
        <row r="308">
          <cell r="B308" t="str">
            <v>e-ammonia - Energy cost - Americas - USD/ton fuel</v>
          </cell>
          <cell r="G308">
            <v>9.1717961349417578</v>
          </cell>
          <cell r="H308">
            <v>8.9818610379931556</v>
          </cell>
          <cell r="I308">
            <v>8.7919259410444965</v>
          </cell>
          <cell r="J308">
            <v>8.4708610441055043</v>
          </cell>
          <cell r="K308">
            <v>8.1497961471665121</v>
          </cell>
          <cell r="L308">
            <v>7.8287312502275199</v>
          </cell>
          <cell r="M308">
            <v>7.5076663532886414</v>
          </cell>
          <cell r="N308">
            <v>7.1866014563496492</v>
          </cell>
          <cell r="O308">
            <v>7.0320973195927081</v>
          </cell>
          <cell r="P308">
            <v>6.877593182835767</v>
          </cell>
          <cell r="Q308">
            <v>6.723089046078826</v>
          </cell>
          <cell r="R308">
            <v>6.5685849093218849</v>
          </cell>
          <cell r="S308">
            <v>6.4140807725649154</v>
          </cell>
          <cell r="T308">
            <v>6.2888359188553977</v>
          </cell>
          <cell r="U308">
            <v>6.1635910651458801</v>
          </cell>
          <cell r="V308">
            <v>6.038346211436334</v>
          </cell>
          <cell r="W308">
            <v>5.9131013577268163</v>
          </cell>
          <cell r="X308">
            <v>5.7878565040172845</v>
          </cell>
          <cell r="Y308">
            <v>5.7373993387199107</v>
          </cell>
          <cell r="Z308">
            <v>5.6869421734225369</v>
          </cell>
          <cell r="AA308">
            <v>5.6364850081251774</v>
          </cell>
          <cell r="AB308">
            <v>5.5860278428278036</v>
          </cell>
          <cell r="AC308">
            <v>5.5355706775304299</v>
          </cell>
          <cell r="AD308">
            <v>5.4975043176983007</v>
          </cell>
          <cell r="AE308">
            <v>5.4594379578661858</v>
          </cell>
          <cell r="AF308">
            <v>5.4213715980340709</v>
          </cell>
          <cell r="AG308">
            <v>5.3833052382019559</v>
          </cell>
          <cell r="AH308">
            <v>5.345238878369841</v>
          </cell>
        </row>
        <row r="309">
          <cell r="B309" t="str">
            <v>e-ammonia - Energy cost - Asia - USD/ton fuel</v>
          </cell>
          <cell r="G309">
            <v>16.235400622452289</v>
          </cell>
          <cell r="H309">
            <v>14.808726984208988</v>
          </cell>
          <cell r="I309">
            <v>13.382053345966369</v>
          </cell>
          <cell r="J309">
            <v>12.870317358555894</v>
          </cell>
          <cell r="K309">
            <v>12.358581371145647</v>
          </cell>
          <cell r="L309">
            <v>11.846845383735172</v>
          </cell>
          <cell r="M309">
            <v>11.335109396324697</v>
          </cell>
          <cell r="N309">
            <v>10.823373408914449</v>
          </cell>
          <cell r="O309">
            <v>10.475552016577922</v>
          </cell>
          <cell r="P309">
            <v>10.127730624241508</v>
          </cell>
          <cell r="Q309">
            <v>9.7799092319052079</v>
          </cell>
          <cell r="R309">
            <v>9.4320878395687942</v>
          </cell>
          <cell r="S309">
            <v>9.0842664472323804</v>
          </cell>
          <cell r="T309">
            <v>8.9074256244314256</v>
          </cell>
          <cell r="U309">
            <v>8.7305848016304708</v>
          </cell>
          <cell r="V309">
            <v>8.5537439788295728</v>
          </cell>
          <cell r="W309">
            <v>8.376903156028618</v>
          </cell>
          <cell r="X309">
            <v>8.2000623332277769</v>
          </cell>
          <cell r="Y309">
            <v>8.0149580735243831</v>
          </cell>
          <cell r="Z309">
            <v>7.8298538138210461</v>
          </cell>
          <cell r="AA309">
            <v>7.6447495541176522</v>
          </cell>
          <cell r="AB309">
            <v>7.4596452944143152</v>
          </cell>
          <cell r="AC309">
            <v>7.2745410347109214</v>
          </cell>
          <cell r="AD309">
            <v>7.1896546747182981</v>
          </cell>
          <cell r="AE309">
            <v>7.1047683147256464</v>
          </cell>
          <cell r="AF309">
            <v>7.0198819547330231</v>
          </cell>
          <cell r="AG309">
            <v>6.9349955947403998</v>
          </cell>
          <cell r="AH309">
            <v>6.8501092347477481</v>
          </cell>
        </row>
        <row r="310">
          <cell r="B310" t="str">
            <v>e-ammonia - Energy cost - Europe - USD/ton fuel</v>
          </cell>
          <cell r="G310">
            <v>12.086376339439312</v>
          </cell>
          <cell r="H310">
            <v>11.565458598295663</v>
          </cell>
          <cell r="I310">
            <v>11.044540857152015</v>
          </cell>
          <cell r="J310">
            <v>10.623636174431113</v>
          </cell>
          <cell r="K310">
            <v>10.202731491710097</v>
          </cell>
          <cell r="L310">
            <v>9.7818268089891944</v>
          </cell>
          <cell r="M310">
            <v>9.3609221262681785</v>
          </cell>
          <cell r="N310">
            <v>8.9400174435472763</v>
          </cell>
          <cell r="O310">
            <v>8.7651316349623585</v>
          </cell>
          <cell r="P310">
            <v>8.5902458263776111</v>
          </cell>
          <cell r="Q310">
            <v>8.415360017792807</v>
          </cell>
          <cell r="R310">
            <v>8.2404742092080028</v>
          </cell>
          <cell r="S310">
            <v>8.0655884006232554</v>
          </cell>
          <cell r="T310">
            <v>7.9611726839041808</v>
          </cell>
          <cell r="U310">
            <v>7.8567569671851345</v>
          </cell>
          <cell r="V310">
            <v>7.7523412504660882</v>
          </cell>
          <cell r="W310">
            <v>7.647925533747042</v>
          </cell>
          <cell r="X310">
            <v>7.5435098170279389</v>
          </cell>
          <cell r="Y310">
            <v>7.4318038512901126</v>
          </cell>
          <cell r="Z310">
            <v>7.3200978855522578</v>
          </cell>
          <cell r="AA310">
            <v>7.2083919198144315</v>
          </cell>
          <cell r="AB310">
            <v>7.0966859540765768</v>
          </cell>
          <cell r="AC310">
            <v>6.9849799883387504</v>
          </cell>
          <cell r="AD310">
            <v>6.9034770152329656</v>
          </cell>
          <cell r="AE310">
            <v>6.8219740421271524</v>
          </cell>
          <cell r="AF310">
            <v>6.7404710690213676</v>
          </cell>
          <cell r="AG310">
            <v>6.6589680959155828</v>
          </cell>
          <cell r="AH310">
            <v>6.5774651228097696</v>
          </cell>
        </row>
        <row r="311">
          <cell r="B311" t="str">
            <v>e-ammonia - Energy cost - Middle East - USD/ton fuel</v>
          </cell>
          <cell r="G311">
            <v>9.2550791682909903</v>
          </cell>
          <cell r="H311">
            <v>8.8466757251085255</v>
          </cell>
          <cell r="I311">
            <v>8.438272281925947</v>
          </cell>
          <cell r="J311">
            <v>8.1678717817968618</v>
          </cell>
          <cell r="K311">
            <v>7.8974712816677766</v>
          </cell>
          <cell r="L311">
            <v>7.6270707815386913</v>
          </cell>
          <cell r="M311">
            <v>7.3566702814096061</v>
          </cell>
          <cell r="N311">
            <v>7.0862697812805209</v>
          </cell>
          <cell r="O311">
            <v>6.8956062688408224</v>
          </cell>
          <cell r="P311">
            <v>6.7049427564011808</v>
          </cell>
          <cell r="Q311">
            <v>6.5142792439614823</v>
          </cell>
          <cell r="R311">
            <v>6.3236157315218406</v>
          </cell>
          <cell r="S311">
            <v>6.132952219082199</v>
          </cell>
          <cell r="T311">
            <v>6.0373555387765521</v>
          </cell>
          <cell r="U311">
            <v>5.9417588584709051</v>
          </cell>
          <cell r="V311">
            <v>5.8461621781652866</v>
          </cell>
          <cell r="W311">
            <v>5.7505654978596397</v>
          </cell>
          <cell r="X311">
            <v>5.6549688175539927</v>
          </cell>
          <cell r="Y311">
            <v>5.5296037079175164</v>
          </cell>
          <cell r="Z311">
            <v>5.4042385982810686</v>
          </cell>
          <cell r="AA311">
            <v>5.2788734886445923</v>
          </cell>
          <cell r="AB311">
            <v>5.1535083790081444</v>
          </cell>
          <cell r="AC311">
            <v>5.0281432693716539</v>
          </cell>
          <cell r="AD311">
            <v>4.9694684653320138</v>
          </cell>
          <cell r="AE311">
            <v>4.9107936612923879</v>
          </cell>
          <cell r="AF311">
            <v>4.8521188572527478</v>
          </cell>
          <cell r="AG311">
            <v>4.7934440532131077</v>
          </cell>
          <cell r="AH311">
            <v>4.7347692491734819</v>
          </cell>
        </row>
        <row r="312">
          <cell r="B312" t="str">
            <v>e-hydrogen (compressed) - Energy cost including feedstock energy cost - Africa - USD/ton fuel</v>
          </cell>
          <cell r="G312">
            <v>3160.8705964644164</v>
          </cell>
          <cell r="H312">
            <v>2786.523241337979</v>
          </cell>
          <cell r="I312">
            <v>2412.5464202833837</v>
          </cell>
          <cell r="J312">
            <v>2304.7344628217015</v>
          </cell>
          <cell r="K312">
            <v>2196.6012206586379</v>
          </cell>
          <cell r="L312">
            <v>2088.2494806360514</v>
          </cell>
          <cell r="M312">
            <v>1979.7820295958466</v>
          </cell>
          <cell r="N312">
            <v>1871.3016543799013</v>
          </cell>
          <cell r="O312">
            <v>1802.6625730422293</v>
          </cell>
          <cell r="P312">
            <v>1734.1917254836167</v>
          </cell>
          <cell r="Q312">
            <v>1665.9444753405153</v>
          </cell>
          <cell r="R312">
            <v>1597.976186249457</v>
          </cell>
          <cell r="S312">
            <v>1530.3422218469802</v>
          </cell>
          <cell r="T312">
            <v>1491.8507805011832</v>
          </cell>
          <cell r="U312">
            <v>1453.4494587457298</v>
          </cell>
          <cell r="V312">
            <v>1415.1563219456079</v>
          </cell>
          <cell r="W312">
            <v>1376.9894354656967</v>
          </cell>
          <cell r="X312">
            <v>1338.9668646709708</v>
          </cell>
          <cell r="Y312">
            <v>1296.9598763474942</v>
          </cell>
          <cell r="Z312">
            <v>1255.7747230782336</v>
          </cell>
          <cell r="AA312">
            <v>1215.4008407247393</v>
          </cell>
          <cell r="AB312">
            <v>1175.8276651485323</v>
          </cell>
          <cell r="AC312">
            <v>1137.0446322111472</v>
          </cell>
          <cell r="AD312">
            <v>1113.2241368658154</v>
          </cell>
          <cell r="AE312">
            <v>1089.8673860112274</v>
          </cell>
          <cell r="AF312">
            <v>1066.9677226950826</v>
          </cell>
          <cell r="AG312">
            <v>1044.5184899651035</v>
          </cell>
          <cell r="AH312">
            <v>1022.5130308690141</v>
          </cell>
        </row>
        <row r="313">
          <cell r="B313" t="str">
            <v>e-hydrogen (compressed) - Energy cost including feedstock energy cost - Americas - USD/ton fuel</v>
          </cell>
          <cell r="G313">
            <v>1986.022029783622</v>
          </cell>
          <cell r="H313">
            <v>1942.6791108821419</v>
          </cell>
          <cell r="I313">
            <v>1899.0560032656203</v>
          </cell>
          <cell r="J313">
            <v>1826.0625747933959</v>
          </cell>
          <cell r="K313">
            <v>1752.7609736509025</v>
          </cell>
          <cell r="L313">
            <v>1679.2202631891889</v>
          </cell>
          <cell r="M313">
            <v>1605.5095067593863</v>
          </cell>
          <cell r="N313">
            <v>1531.6977677124719</v>
          </cell>
          <cell r="O313">
            <v>1489.0291478242557</v>
          </cell>
          <cell r="P313">
            <v>1446.3126288296503</v>
          </cell>
          <cell r="Q313">
            <v>1403.5802801551172</v>
          </cell>
          <cell r="R313">
            <v>1360.8641712271224</v>
          </cell>
          <cell r="S313">
            <v>1318.196371472189</v>
          </cell>
          <cell r="T313">
            <v>1281.5555815366356</v>
          </cell>
          <cell r="U313">
            <v>1245.0533507729108</v>
          </cell>
          <cell r="V313">
            <v>1208.7077012258628</v>
          </cell>
          <cell r="W313">
            <v>1172.5366549402484</v>
          </cell>
          <cell r="X313">
            <v>1136.5582339608836</v>
          </cell>
          <cell r="Y313">
            <v>1112.3640919011295</v>
          </cell>
          <cell r="Z313">
            <v>1088.5763473760965</v>
          </cell>
          <cell r="AA313">
            <v>1065.1908713683672</v>
          </cell>
          <cell r="AB313">
            <v>1042.2035348604634</v>
          </cell>
          <cell r="AC313">
            <v>1019.61020883496</v>
          </cell>
          <cell r="AD313">
            <v>1001.6667447875999</v>
          </cell>
          <cell r="AE313">
            <v>984.06586194466854</v>
          </cell>
          <cell r="AF313">
            <v>966.80356105825501</v>
          </cell>
          <cell r="AG313">
            <v>949.87584288045787</v>
          </cell>
          <cell r="AH313">
            <v>933.27870816337509</v>
          </cell>
        </row>
        <row r="314">
          <cell r="B314" t="str">
            <v>e-hydrogen (compressed) - Energy cost including feedstock energy cost - Asia - USD/ton fuel</v>
          </cell>
          <cell r="G314">
            <v>3515.5451368694994</v>
          </cell>
          <cell r="H314">
            <v>3202.9670075376002</v>
          </cell>
          <cell r="I314">
            <v>2890.5235227287494</v>
          </cell>
          <cell r="J314">
            <v>2774.4528840461521</v>
          </cell>
          <cell r="K314">
            <v>2657.9363122554146</v>
          </cell>
          <cell r="L314">
            <v>2541.0838854200356</v>
          </cell>
          <cell r="M314">
            <v>2424.0056816037468</v>
          </cell>
          <cell r="N314">
            <v>2306.8117788701561</v>
          </cell>
          <cell r="O314">
            <v>2218.1721303505983</v>
          </cell>
          <cell r="P314">
            <v>2129.7951643580186</v>
          </cell>
          <cell r="Q314">
            <v>2041.7530759339261</v>
          </cell>
          <cell r="R314">
            <v>1954.1180601197893</v>
          </cell>
          <cell r="S314">
            <v>1866.9623119572402</v>
          </cell>
          <cell r="T314">
            <v>1815.1787029276168</v>
          </cell>
          <cell r="U314">
            <v>1763.5893988725866</v>
          </cell>
          <cell r="V314">
            <v>1712.219846212882</v>
          </cell>
          <cell r="W314">
            <v>1661.0954913690473</v>
          </cell>
          <cell r="X314">
            <v>1610.2417807617942</v>
          </cell>
          <cell r="Y314">
            <v>1553.9360314199</v>
          </cell>
          <cell r="Z314">
            <v>1498.7656644323729</v>
          </cell>
          <cell r="AA314">
            <v>1444.7155323228835</v>
          </cell>
          <cell r="AB314">
            <v>1391.7704876150719</v>
          </cell>
          <cell r="AC314">
            <v>1339.915382832598</v>
          </cell>
          <cell r="AD314">
            <v>1309.9831447130568</v>
          </cell>
          <cell r="AE314">
            <v>1280.6373127610934</v>
          </cell>
          <cell r="AF314">
            <v>1251.8689688243389</v>
          </cell>
          <cell r="AG314">
            <v>1223.6691947504187</v>
          </cell>
          <cell r="AH314">
            <v>1196.0290723869578</v>
          </cell>
        </row>
        <row r="315">
          <cell r="B315" t="str">
            <v>e-hydrogen (compressed) - Energy cost including feedstock energy cost - Europe - USD/ton fuel</v>
          </cell>
          <cell r="G315">
            <v>2617.1329276426868</v>
          </cell>
          <cell r="H315">
            <v>2501.4832373426843</v>
          </cell>
          <cell r="I315">
            <v>2385.6208251448465</v>
          </cell>
          <cell r="J315">
            <v>2290.1360706240293</v>
          </cell>
          <cell r="K315">
            <v>2194.281827469511</v>
          </cell>
          <cell r="L315">
            <v>2098.1486352829556</v>
          </cell>
          <cell r="M315">
            <v>2001.8270336660016</v>
          </cell>
          <cell r="N315">
            <v>1905.4075622202831</v>
          </cell>
          <cell r="O315">
            <v>1855.9948612502078</v>
          </cell>
          <cell r="P315">
            <v>1806.4722197363817</v>
          </cell>
          <cell r="Q315">
            <v>1756.8759375972888</v>
          </cell>
          <cell r="R315">
            <v>1707.2423147514785</v>
          </cell>
          <cell r="S315">
            <v>1657.6076511175781</v>
          </cell>
          <cell r="T315">
            <v>1622.348781281504</v>
          </cell>
          <cell r="U315">
            <v>1587.0750484272664</v>
          </cell>
          <cell r="V315">
            <v>1551.8014774016065</v>
          </cell>
          <cell r="W315">
            <v>1516.5430930511313</v>
          </cell>
          <cell r="X315">
            <v>1481.3149202225381</v>
          </cell>
          <cell r="Y315">
            <v>1440.8743847473047</v>
          </cell>
          <cell r="Z315">
            <v>1401.1898091614214</v>
          </cell>
          <cell r="AA315">
            <v>1362.2520523275218</v>
          </cell>
          <cell r="AB315">
            <v>1324.0519731081486</v>
          </cell>
          <cell r="AC315">
            <v>1286.5804303659243</v>
          </cell>
          <cell r="AD315">
            <v>1257.840458133481</v>
          </cell>
          <cell r="AE315">
            <v>1229.6635327190136</v>
          </cell>
          <cell r="AF315">
            <v>1202.0410914284364</v>
          </cell>
          <cell r="AG315">
            <v>1174.9645715676581</v>
          </cell>
          <cell r="AH315">
            <v>1148.4254104425868</v>
          </cell>
        </row>
        <row r="316">
          <cell r="B316" t="str">
            <v>e-hydrogen (compressed) - Energy cost including feedstock energy cost - Middle East - USD/ton fuel</v>
          </cell>
          <cell r="G316">
            <v>2004.0557863679674</v>
          </cell>
          <cell r="H316">
            <v>1913.439994141396</v>
          </cell>
          <cell r="I316">
            <v>1822.6668128960132</v>
          </cell>
          <cell r="J316">
            <v>1760.7472131571581</v>
          </cell>
          <cell r="K316">
            <v>1698.4939504098782</v>
          </cell>
          <cell r="L316">
            <v>1635.9651897318304</v>
          </cell>
          <cell r="M316">
            <v>1573.2190962007282</v>
          </cell>
          <cell r="N316">
            <v>1510.3138348942052</v>
          </cell>
          <cell r="O316">
            <v>1460.1275067135082</v>
          </cell>
          <cell r="P316">
            <v>1410.0053792603746</v>
          </cell>
          <cell r="Q316">
            <v>1359.9870273294782</v>
          </cell>
          <cell r="R316">
            <v>1310.1120257155462</v>
          </cell>
          <cell r="S316">
            <v>1260.4199492133293</v>
          </cell>
          <cell r="T316">
            <v>1230.3082459572943</v>
          </cell>
          <cell r="U316">
            <v>1200.2429586961468</v>
          </cell>
          <cell r="V316">
            <v>1170.2378432658459</v>
          </cell>
          <cell r="W316">
            <v>1140.3066555022276</v>
          </cell>
          <cell r="X316">
            <v>1110.4631512412213</v>
          </cell>
          <cell r="Y316">
            <v>1072.0767797388739</v>
          </cell>
          <cell r="Z316">
            <v>1034.4621299578357</v>
          </cell>
          <cell r="AA316">
            <v>997.60894300383222</v>
          </cell>
          <cell r="AB316">
            <v>961.50695998256094</v>
          </cell>
          <cell r="AC316">
            <v>926.14592199973754</v>
          </cell>
          <cell r="AD316">
            <v>905.45655143347608</v>
          </cell>
          <cell r="AE316">
            <v>885.17250940990675</v>
          </cell>
          <cell r="AF316">
            <v>865.287631560058</v>
          </cell>
          <cell r="AG316">
            <v>845.79575351497181</v>
          </cell>
          <cell r="AH316">
            <v>826.69071090569059</v>
          </cell>
        </row>
        <row r="317">
          <cell r="B317" t="str">
            <v>Nitrogen - Energy cost - Africa - USD/ton fuel</v>
          </cell>
          <cell r="G317">
            <v>12.845757524713116</v>
          </cell>
          <cell r="H317">
            <v>11.337325174045109</v>
          </cell>
          <cell r="I317">
            <v>9.8288928233767283</v>
          </cell>
          <cell r="J317">
            <v>9.2373317319683625</v>
          </cell>
          <cell r="K317">
            <v>8.6610615275661882</v>
          </cell>
          <cell r="L317">
            <v>8.1000822101701271</v>
          </cell>
          <cell r="M317">
            <v>7.554393779780086</v>
          </cell>
          <cell r="N317">
            <v>7.0239962363961901</v>
          </cell>
          <cell r="O317">
            <v>6.8106114196853929</v>
          </cell>
          <cell r="P317">
            <v>6.5972266029745699</v>
          </cell>
          <cell r="Q317">
            <v>6.3838417862636563</v>
          </cell>
          <cell r="R317">
            <v>6.1704569695528342</v>
          </cell>
          <cell r="S317">
            <v>5.9570721528420343</v>
          </cell>
          <cell r="T317">
            <v>5.8566354259806079</v>
          </cell>
          <cell r="U317">
            <v>5.7561986991192047</v>
          </cell>
          <cell r="V317">
            <v>5.6557619722577783</v>
          </cell>
          <cell r="W317">
            <v>5.5553252453963529</v>
          </cell>
          <cell r="X317">
            <v>5.4548885185349718</v>
          </cell>
          <cell r="Y317">
            <v>5.3516123298692495</v>
          </cell>
          <cell r="Z317">
            <v>5.2483361412035272</v>
          </cell>
          <cell r="AA317">
            <v>5.1450599525377587</v>
          </cell>
          <cell r="AB317">
            <v>5.0417837638720364</v>
          </cell>
          <cell r="AC317">
            <v>4.938507575206291</v>
          </cell>
          <cell r="AD317">
            <v>4.8878168559212787</v>
          </cell>
          <cell r="AE317">
            <v>4.8371261366362894</v>
          </cell>
          <cell r="AF317">
            <v>4.7864354173512771</v>
          </cell>
          <cell r="AG317">
            <v>4.7357446980662647</v>
          </cell>
          <cell r="AH317">
            <v>4.6850539787812755</v>
          </cell>
        </row>
        <row r="318">
          <cell r="B318" t="str">
            <v>Nitrogen - Energy cost - Americas - USD/ton fuel</v>
          </cell>
          <cell r="G318">
            <v>8.0711805987487466</v>
          </cell>
          <cell r="H318">
            <v>7.9040377134339765</v>
          </cell>
          <cell r="I318">
            <v>7.7368948281191798</v>
          </cell>
          <cell r="J318">
            <v>7.3188239421071319</v>
          </cell>
          <cell r="K318">
            <v>6.9110271327971944</v>
          </cell>
          <cell r="L318">
            <v>6.5135044001893023</v>
          </cell>
          <cell r="M318">
            <v>6.1262557442835499</v>
          </cell>
          <cell r="N318">
            <v>5.7492811650796991</v>
          </cell>
          <cell r="O318">
            <v>5.6256778556741667</v>
          </cell>
          <cell r="P318">
            <v>5.5020745462686138</v>
          </cell>
          <cell r="Q318">
            <v>5.3784712368630609</v>
          </cell>
          <cell r="R318">
            <v>5.2548679274575081</v>
          </cell>
          <cell r="S318">
            <v>5.131264618051933</v>
          </cell>
          <cell r="T318">
            <v>5.0310687350843182</v>
          </cell>
          <cell r="U318">
            <v>4.9308728521167042</v>
          </cell>
          <cell r="V318">
            <v>4.8306769691490672</v>
          </cell>
          <cell r="W318">
            <v>4.7304810861814532</v>
          </cell>
          <cell r="X318">
            <v>4.6302852032138277</v>
          </cell>
          <cell r="Y318">
            <v>4.5899194709759286</v>
          </cell>
          <cell r="Z318">
            <v>4.5495537387380294</v>
          </cell>
          <cell r="AA318">
            <v>4.5091880065001417</v>
          </cell>
          <cell r="AB318">
            <v>4.4688222742622434</v>
          </cell>
          <cell r="AC318">
            <v>4.4284565420243442</v>
          </cell>
          <cell r="AD318">
            <v>4.3980034541586406</v>
          </cell>
          <cell r="AE318">
            <v>4.3675503662929485</v>
          </cell>
          <cell r="AF318">
            <v>4.3370972784272572</v>
          </cell>
          <cell r="AG318">
            <v>4.3066441905615651</v>
          </cell>
          <cell r="AH318">
            <v>4.276191102695873</v>
          </cell>
        </row>
        <row r="319">
          <cell r="B319" t="str">
            <v>Nitrogen - Energy cost - Asia - USD/ton fuel</v>
          </cell>
          <cell r="G319">
            <v>14.287152547758014</v>
          </cell>
          <cell r="H319">
            <v>13.03167974610391</v>
          </cell>
          <cell r="I319">
            <v>11.77620694445044</v>
          </cell>
          <cell r="J319">
            <v>11.119954197792257</v>
          </cell>
          <cell r="K319">
            <v>10.480077002731496</v>
          </cell>
          <cell r="L319">
            <v>9.856575359267671</v>
          </cell>
          <cell r="M319">
            <v>9.2494492674009816</v>
          </cell>
          <cell r="N319">
            <v>8.6586987271315277</v>
          </cell>
          <cell r="O319">
            <v>8.3804416132623381</v>
          </cell>
          <cell r="P319">
            <v>8.1021844993932071</v>
          </cell>
          <cell r="Q319">
            <v>7.8239273855241667</v>
          </cell>
          <cell r="R319">
            <v>7.5456702716550357</v>
          </cell>
          <cell r="S319">
            <v>7.2674131577859047</v>
          </cell>
          <cell r="T319">
            <v>7.1259404995451412</v>
          </cell>
          <cell r="U319">
            <v>6.9844678413043768</v>
          </cell>
          <cell r="V319">
            <v>6.8429951830636586</v>
          </cell>
          <cell r="W319">
            <v>6.7015225248228951</v>
          </cell>
          <cell r="X319">
            <v>6.5600498665822222</v>
          </cell>
          <cell r="Y319">
            <v>6.4119664588195064</v>
          </cell>
          <cell r="Z319">
            <v>6.2638830510568368</v>
          </cell>
          <cell r="AA319">
            <v>6.115799643294122</v>
          </cell>
          <cell r="AB319">
            <v>5.9677162355314524</v>
          </cell>
          <cell r="AC319">
            <v>5.8196328277687375</v>
          </cell>
          <cell r="AD319">
            <v>5.751723739774639</v>
          </cell>
          <cell r="AE319">
            <v>5.6838146517805175</v>
          </cell>
          <cell r="AF319">
            <v>5.615905563786419</v>
          </cell>
          <cell r="AG319">
            <v>5.5479964757923206</v>
          </cell>
          <cell r="AH319">
            <v>5.480087387798199</v>
          </cell>
        </row>
        <row r="320">
          <cell r="B320" t="str">
            <v>Nitrogen - Energy cost - Europe - USD/ton fuel</v>
          </cell>
          <cell r="G320">
            <v>10.636011178706594</v>
          </cell>
          <cell r="H320">
            <v>10.177603566500183</v>
          </cell>
          <cell r="I320">
            <v>9.7191959542938005</v>
          </cell>
          <cell r="J320">
            <v>9.178821654708452</v>
          </cell>
          <cell r="K320">
            <v>8.6519163049701522</v>
          </cell>
          <cell r="L320">
            <v>8.1384799050790164</v>
          </cell>
          <cell r="M320">
            <v>7.6385124550348573</v>
          </cell>
          <cell r="N320">
            <v>7.1520139548377957</v>
          </cell>
          <cell r="O320">
            <v>7.012105307969887</v>
          </cell>
          <cell r="P320">
            <v>6.8721966611020893</v>
          </cell>
          <cell r="Q320">
            <v>6.7322880142342463</v>
          </cell>
          <cell r="R320">
            <v>6.5923793673664024</v>
          </cell>
          <cell r="S320">
            <v>6.4524707204986047</v>
          </cell>
          <cell r="T320">
            <v>6.3689381471233446</v>
          </cell>
          <cell r="U320">
            <v>6.2854055737481076</v>
          </cell>
          <cell r="V320">
            <v>6.2018730003728706</v>
          </cell>
          <cell r="W320">
            <v>6.1183404269976336</v>
          </cell>
          <cell r="X320">
            <v>6.0348078536223513</v>
          </cell>
          <cell r="Y320">
            <v>5.9454430810320904</v>
          </cell>
          <cell r="Z320">
            <v>5.8560783084418064</v>
          </cell>
          <cell r="AA320">
            <v>5.7667135358515456</v>
          </cell>
          <cell r="AB320">
            <v>5.6773487632612616</v>
          </cell>
          <cell r="AC320">
            <v>5.5879839906710007</v>
          </cell>
          <cell r="AD320">
            <v>5.5227816121863729</v>
          </cell>
          <cell r="AE320">
            <v>5.4575792337017219</v>
          </cell>
          <cell r="AF320">
            <v>5.3923768552170941</v>
          </cell>
          <cell r="AG320">
            <v>5.3271744767324662</v>
          </cell>
          <cell r="AH320">
            <v>5.2619720982478162</v>
          </cell>
        </row>
        <row r="321">
          <cell r="B321" t="str">
            <v>Nitrogen - Energy cost - Middle East - USD/ton fuel</v>
          </cell>
          <cell r="G321">
            <v>8.1444696680960718</v>
          </cell>
          <cell r="H321">
            <v>7.7850746380955025</v>
          </cell>
          <cell r="I321">
            <v>7.4256796080948551</v>
          </cell>
          <cell r="J321">
            <v>7.0570412194724659</v>
          </cell>
          <cell r="K321">
            <v>6.6970556468542668</v>
          </cell>
          <cell r="L321">
            <v>6.3457228902401965</v>
          </cell>
          <cell r="M321">
            <v>6.0030429496302569</v>
          </cell>
          <cell r="N321">
            <v>5.6690158250243963</v>
          </cell>
          <cell r="O321">
            <v>5.5164850150726581</v>
          </cell>
          <cell r="P321">
            <v>5.3639542051209448</v>
          </cell>
          <cell r="Q321">
            <v>5.2114233951691862</v>
          </cell>
          <cell r="R321">
            <v>5.0588925852174729</v>
          </cell>
          <cell r="S321">
            <v>4.9063617752657596</v>
          </cell>
          <cell r="T321">
            <v>4.8298844310212417</v>
          </cell>
          <cell r="U321">
            <v>4.7534070867767246</v>
          </cell>
          <cell r="V321">
            <v>4.6769297425322298</v>
          </cell>
          <cell r="W321">
            <v>4.6004523982877119</v>
          </cell>
          <cell r="X321">
            <v>4.523975054043194</v>
          </cell>
          <cell r="Y321">
            <v>4.4236829663340131</v>
          </cell>
          <cell r="Z321">
            <v>4.3233908786248554</v>
          </cell>
          <cell r="AA321">
            <v>4.2230987909156736</v>
          </cell>
          <cell r="AB321">
            <v>4.1228067032065159</v>
          </cell>
          <cell r="AC321">
            <v>4.0225146154973235</v>
          </cell>
          <cell r="AD321">
            <v>3.9755747722656114</v>
          </cell>
          <cell r="AE321">
            <v>3.9286349290339104</v>
          </cell>
          <cell r="AF321">
            <v>3.8816950858021984</v>
          </cell>
          <cell r="AG321">
            <v>3.8347552425704863</v>
          </cell>
          <cell r="AH321">
            <v>3.7878153993387857</v>
          </cell>
        </row>
        <row r="322">
          <cell r="B322" t="str">
            <v>e-ammonia - Conversion H2 -&gt; NH3 - Global - ton H2/ton NH3</v>
          </cell>
          <cell r="G322">
            <v>0.18</v>
          </cell>
          <cell r="H322">
            <v>0.18</v>
          </cell>
          <cell r="I322">
            <v>0.18</v>
          </cell>
          <cell r="J322">
            <v>0.18</v>
          </cell>
          <cell r="K322">
            <v>0.18</v>
          </cell>
          <cell r="L322">
            <v>0.18</v>
          </cell>
          <cell r="M322">
            <v>0.18</v>
          </cell>
          <cell r="N322">
            <v>0.18</v>
          </cell>
          <cell r="O322">
            <v>0.18</v>
          </cell>
          <cell r="P322">
            <v>0.18</v>
          </cell>
          <cell r="Q322">
            <v>0.18</v>
          </cell>
          <cell r="R322">
            <v>0.18</v>
          </cell>
          <cell r="S322">
            <v>0.18</v>
          </cell>
          <cell r="T322">
            <v>0.18</v>
          </cell>
          <cell r="U322">
            <v>0.18</v>
          </cell>
          <cell r="V322">
            <v>0.18</v>
          </cell>
          <cell r="W322">
            <v>0.18</v>
          </cell>
          <cell r="X322">
            <v>0.18</v>
          </cell>
          <cell r="Y322">
            <v>0.18</v>
          </cell>
          <cell r="Z322">
            <v>0.18</v>
          </cell>
          <cell r="AA322">
            <v>0.18</v>
          </cell>
          <cell r="AB322">
            <v>0.18</v>
          </cell>
          <cell r="AC322">
            <v>0.18</v>
          </cell>
          <cell r="AD322">
            <v>0.18</v>
          </cell>
          <cell r="AE322">
            <v>0.18</v>
          </cell>
          <cell r="AF322">
            <v>0.18</v>
          </cell>
          <cell r="AG322">
            <v>0.18</v>
          </cell>
          <cell r="AH322">
            <v>0.18</v>
          </cell>
        </row>
        <row r="323">
          <cell r="B323" t="str">
            <v>e-ammonia - Conversion N2 -&gt; NH3 - Global - ton N2/ton NH3</v>
          </cell>
          <cell r="G323">
            <v>0.82199999999999995</v>
          </cell>
          <cell r="H323">
            <v>0.82199999999999995</v>
          </cell>
          <cell r="I323">
            <v>0.82199999999999995</v>
          </cell>
          <cell r="J323">
            <v>0.82199999999999995</v>
          </cell>
          <cell r="K323">
            <v>0.82199999999999995</v>
          </cell>
          <cell r="L323">
            <v>0.82199999999999995</v>
          </cell>
          <cell r="M323">
            <v>0.82199999999999995</v>
          </cell>
          <cell r="N323">
            <v>0.82199999999999995</v>
          </cell>
          <cell r="O323">
            <v>0.82199999999999995</v>
          </cell>
          <cell r="P323">
            <v>0.82199999999999995</v>
          </cell>
          <cell r="Q323">
            <v>0.82199999999999995</v>
          </cell>
          <cell r="R323">
            <v>0.82199999999999995</v>
          </cell>
          <cell r="S323">
            <v>0.82199999999999995</v>
          </cell>
          <cell r="T323">
            <v>0.82199999999999995</v>
          </cell>
          <cell r="U323">
            <v>0.82199999999999995</v>
          </cell>
          <cell r="V323">
            <v>0.82199999999999995</v>
          </cell>
          <cell r="W323">
            <v>0.82199999999999995</v>
          </cell>
          <cell r="X323">
            <v>0.82199999999999995</v>
          </cell>
          <cell r="Y323">
            <v>0.82199999999999995</v>
          </cell>
          <cell r="Z323">
            <v>0.82199999999999995</v>
          </cell>
          <cell r="AA323">
            <v>0.82199999999999995</v>
          </cell>
          <cell r="AB323">
            <v>0.82199999999999995</v>
          </cell>
          <cell r="AC323">
            <v>0.82199999999999995</v>
          </cell>
          <cell r="AD323">
            <v>0.82199999999999995</v>
          </cell>
          <cell r="AE323">
            <v>0.82199999999999995</v>
          </cell>
          <cell r="AF323">
            <v>0.82199999999999995</v>
          </cell>
          <cell r="AG323">
            <v>0.82199999999999995</v>
          </cell>
          <cell r="AH323">
            <v>0.82199999999999995</v>
          </cell>
        </row>
        <row r="324">
          <cell r="B324" t="str">
            <v/>
          </cell>
        </row>
        <row r="325">
          <cell r="B325" t="str">
            <v>e-ammonia - Feedstock cost including feedstock feedstock cost - Global - USD/ton fuel</v>
          </cell>
          <cell r="G325">
            <v>2.4299999999999997</v>
          </cell>
          <cell r="H325">
            <v>2.4300000000000086</v>
          </cell>
          <cell r="I325">
            <v>2.4300000000000086</v>
          </cell>
          <cell r="J325">
            <v>2.4300000000000086</v>
          </cell>
          <cell r="K325">
            <v>2.430000000000017</v>
          </cell>
          <cell r="L325">
            <v>2.4299999999999997</v>
          </cell>
          <cell r="M325">
            <v>2.430000000000017</v>
          </cell>
          <cell r="N325">
            <v>2.4299999999999997</v>
          </cell>
          <cell r="O325">
            <v>2.4299999999999828</v>
          </cell>
          <cell r="P325">
            <v>2.4300000000000086</v>
          </cell>
          <cell r="Q325">
            <v>2.4300000000000344</v>
          </cell>
          <cell r="R325">
            <v>2.430000000000017</v>
          </cell>
          <cell r="S325">
            <v>2.4300000000000344</v>
          </cell>
          <cell r="T325">
            <v>2.4300000000000432</v>
          </cell>
          <cell r="U325">
            <v>2.4300000000000215</v>
          </cell>
          <cell r="V325">
            <v>2.4300000000000646</v>
          </cell>
          <cell r="W325">
            <v>2.4300000000000432</v>
          </cell>
          <cell r="X325">
            <v>2.4299999999999828</v>
          </cell>
          <cell r="Y325">
            <v>2.4299999999999997</v>
          </cell>
          <cell r="Z325">
            <v>2.4299999999999913</v>
          </cell>
          <cell r="AA325">
            <v>2.4300000000000086</v>
          </cell>
          <cell r="AB325">
            <v>2.4299999999999997</v>
          </cell>
          <cell r="AC325">
            <v>2.4299999999999997</v>
          </cell>
          <cell r="AD325">
            <v>2.4299999999999997</v>
          </cell>
          <cell r="AE325">
            <v>2.4299999999999997</v>
          </cell>
          <cell r="AF325">
            <v>2.4299999999999997</v>
          </cell>
          <cell r="AG325">
            <v>2.4299999999999997</v>
          </cell>
          <cell r="AH325">
            <v>2.4299999999999997</v>
          </cell>
        </row>
        <row r="326">
          <cell r="B326" t="str">
            <v>e-hydrogen - Feedstock cost - Global - USD/ton fuel</v>
          </cell>
          <cell r="G326">
            <v>13.5</v>
          </cell>
          <cell r="H326">
            <v>13.500000000000048</v>
          </cell>
          <cell r="I326">
            <v>13.500000000000048</v>
          </cell>
          <cell r="J326">
            <v>13.500000000000048</v>
          </cell>
          <cell r="K326">
            <v>13.500000000000096</v>
          </cell>
          <cell r="L326">
            <v>13.5</v>
          </cell>
          <cell r="M326">
            <v>13.500000000000096</v>
          </cell>
          <cell r="N326">
            <v>13.5</v>
          </cell>
          <cell r="O326">
            <v>13.499999999999904</v>
          </cell>
          <cell r="P326">
            <v>13.500000000000048</v>
          </cell>
          <cell r="Q326">
            <v>13.500000000000192</v>
          </cell>
          <cell r="R326">
            <v>13.500000000000096</v>
          </cell>
          <cell r="S326">
            <v>13.500000000000192</v>
          </cell>
          <cell r="T326">
            <v>13.50000000000024</v>
          </cell>
          <cell r="U326">
            <v>13.500000000000121</v>
          </cell>
          <cell r="V326">
            <v>13.500000000000359</v>
          </cell>
          <cell r="W326">
            <v>13.50000000000024</v>
          </cell>
          <cell r="X326">
            <v>13.499999999999904</v>
          </cell>
          <cell r="Y326">
            <v>13.5</v>
          </cell>
          <cell r="Z326">
            <v>13.499999999999952</v>
          </cell>
          <cell r="AA326">
            <v>13.500000000000048</v>
          </cell>
          <cell r="AB326">
            <v>13.5</v>
          </cell>
          <cell r="AC326">
            <v>13.5</v>
          </cell>
          <cell r="AD326">
            <v>13.5</v>
          </cell>
          <cell r="AE326">
            <v>13.5</v>
          </cell>
          <cell r="AF326">
            <v>13.5</v>
          </cell>
          <cell r="AG326">
            <v>13.5</v>
          </cell>
          <cell r="AH326">
            <v>13.5</v>
          </cell>
        </row>
        <row r="327">
          <cell r="B327" t="str">
            <v>e-ammonia - Conversion H2 -&gt; NH3 - Global - ton H2/ton NH3</v>
          </cell>
          <cell r="G327">
            <v>0.18</v>
          </cell>
          <cell r="H327">
            <v>0.18</v>
          </cell>
          <cell r="I327">
            <v>0.18</v>
          </cell>
          <cell r="J327">
            <v>0.18</v>
          </cell>
          <cell r="K327">
            <v>0.18</v>
          </cell>
          <cell r="L327">
            <v>0.18</v>
          </cell>
          <cell r="M327">
            <v>0.18</v>
          </cell>
          <cell r="N327">
            <v>0.18</v>
          </cell>
          <cell r="O327">
            <v>0.18</v>
          </cell>
          <cell r="P327">
            <v>0.18</v>
          </cell>
          <cell r="Q327">
            <v>0.18</v>
          </cell>
          <cell r="R327">
            <v>0.18</v>
          </cell>
          <cell r="S327">
            <v>0.18</v>
          </cell>
          <cell r="T327">
            <v>0.18</v>
          </cell>
          <cell r="U327">
            <v>0.18</v>
          </cell>
          <cell r="V327">
            <v>0.18</v>
          </cell>
          <cell r="W327">
            <v>0.18</v>
          </cell>
          <cell r="X327">
            <v>0.18</v>
          </cell>
          <cell r="Y327">
            <v>0.18</v>
          </cell>
          <cell r="Z327">
            <v>0.18</v>
          </cell>
          <cell r="AA327">
            <v>0.18</v>
          </cell>
          <cell r="AB327">
            <v>0.18</v>
          </cell>
          <cell r="AC327">
            <v>0.18</v>
          </cell>
          <cell r="AD327">
            <v>0.18</v>
          </cell>
          <cell r="AE327">
            <v>0.18</v>
          </cell>
          <cell r="AF327">
            <v>0.18</v>
          </cell>
          <cell r="AG327">
            <v>0.18</v>
          </cell>
          <cell r="AH327">
            <v>0.18</v>
          </cell>
        </row>
        <row r="329">
          <cell r="B329" t="str">
            <v>Carbon dioxide (DAC) - Item - Region - Unit</v>
          </cell>
          <cell r="G329">
            <v>2023</v>
          </cell>
          <cell r="H329">
            <v>2024</v>
          </cell>
          <cell r="I329">
            <v>2025</v>
          </cell>
          <cell r="J329">
            <v>2026</v>
          </cell>
          <cell r="K329">
            <v>2027</v>
          </cell>
          <cell r="L329">
            <v>2028</v>
          </cell>
          <cell r="M329">
            <v>2029</v>
          </cell>
          <cell r="N329">
            <v>2030</v>
          </cell>
          <cell r="O329">
            <v>2031</v>
          </cell>
          <cell r="P329">
            <v>2032</v>
          </cell>
          <cell r="Q329">
            <v>2033</v>
          </cell>
          <cell r="R329">
            <v>2034</v>
          </cell>
          <cell r="S329">
            <v>2035</v>
          </cell>
          <cell r="T329">
            <v>2036</v>
          </cell>
          <cell r="U329">
            <v>2037</v>
          </cell>
          <cell r="V329">
            <v>2038</v>
          </cell>
          <cell r="W329">
            <v>2039</v>
          </cell>
          <cell r="X329">
            <v>2040</v>
          </cell>
          <cell r="Y329">
            <v>2041</v>
          </cell>
          <cell r="Z329">
            <v>2042</v>
          </cell>
          <cell r="AA329">
            <v>2043</v>
          </cell>
          <cell r="AB329">
            <v>2044</v>
          </cell>
          <cell r="AC329">
            <v>2045</v>
          </cell>
          <cell r="AD329">
            <v>2046</v>
          </cell>
          <cell r="AE329">
            <v>2047</v>
          </cell>
          <cell r="AF329">
            <v>2048</v>
          </cell>
          <cell r="AG329">
            <v>2049</v>
          </cell>
          <cell r="AH329">
            <v>2050</v>
          </cell>
        </row>
        <row r="330">
          <cell r="B330" t="str">
            <v>Carbon dioxide (DAC) - Total cost - Africa - USD/ton fuel</v>
          </cell>
          <cell r="G330">
            <v>296.62097893228963</v>
          </cell>
          <cell r="H330">
            <v>269.95608923406257</v>
          </cell>
          <cell r="I330">
            <v>243.88653979208223</v>
          </cell>
          <cell r="J330">
            <v>232.80947300688581</v>
          </cell>
          <cell r="K330">
            <v>221.91885106693803</v>
          </cell>
          <cell r="L330">
            <v>211.21467397223984</v>
          </cell>
          <cell r="M330">
            <v>200.69694172279128</v>
          </cell>
          <cell r="N330">
            <v>190.36565431859265</v>
          </cell>
          <cell r="O330">
            <v>183.00309152249926</v>
          </cell>
          <cell r="P330">
            <v>175.74977399689323</v>
          </cell>
          <cell r="Q330">
            <v>168.60570174177207</v>
          </cell>
          <cell r="R330">
            <v>161.57087475713939</v>
          </cell>
          <cell r="S330">
            <v>154.64529304299276</v>
          </cell>
          <cell r="T330">
            <v>149.68657367102458</v>
          </cell>
          <cell r="U330">
            <v>144.78817859510252</v>
          </cell>
          <cell r="V330">
            <v>139.95010781522603</v>
          </cell>
          <cell r="W330">
            <v>135.17236133139443</v>
          </cell>
          <cell r="X330">
            <v>130.45493914360796</v>
          </cell>
          <cell r="Y330">
            <v>126.17618237922781</v>
          </cell>
          <cell r="Z330">
            <v>121.95014865552533</v>
          </cell>
          <cell r="AA330">
            <v>117.7768379725002</v>
          </cell>
          <cell r="AB330">
            <v>113.65625033015385</v>
          </cell>
          <cell r="AC330">
            <v>109.58838572848549</v>
          </cell>
          <cell r="AD330">
            <v>106.44467413105096</v>
          </cell>
          <cell r="AE330">
            <v>103.33236707160029</v>
          </cell>
          <cell r="AF330">
            <v>100.25146455013206</v>
          </cell>
          <cell r="AG330">
            <v>97.201966566647087</v>
          </cell>
          <cell r="AH330">
            <v>94.183873121146092</v>
          </cell>
        </row>
        <row r="331">
          <cell r="B331" t="str">
            <v>Carbon dioxide (DAC) - Total cost - Americas - USD/ton fuel</v>
          </cell>
          <cell r="G331">
            <v>234.16162121549769</v>
          </cell>
          <cell r="H331">
            <v>225.65135900419827</v>
          </cell>
          <cell r="I331">
            <v>217.2611107615316</v>
          </cell>
          <cell r="J331">
            <v>208.26363020202524</v>
          </cell>
          <cell r="K331">
            <v>199.40688523873763</v>
          </cell>
          <cell r="L331">
            <v>190.69087587166962</v>
          </cell>
          <cell r="M331">
            <v>182.11560210082365</v>
          </cell>
          <cell r="N331">
            <v>173.68106392619524</v>
          </cell>
          <cell r="O331">
            <v>167.69551175040382</v>
          </cell>
          <cell r="P331">
            <v>161.78861356271622</v>
          </cell>
          <cell r="Q331">
            <v>155.96036936313124</v>
          </cell>
          <cell r="R331">
            <v>150.21077915165029</v>
          </cell>
          <cell r="S331">
            <v>144.53984292827138</v>
          </cell>
          <cell r="T331">
            <v>139.71556520359152</v>
          </cell>
          <cell r="U331">
            <v>134.95153505279714</v>
          </cell>
          <cell r="V331">
            <v>130.24775247588798</v>
          </cell>
          <cell r="W331">
            <v>125.60421747286347</v>
          </cell>
          <cell r="X331">
            <v>121.02093004372313</v>
          </cell>
          <cell r="Y331">
            <v>117.57533582239029</v>
          </cell>
          <cell r="Z331">
            <v>114.16372840295915</v>
          </cell>
          <cell r="AA331">
            <v>110.78610778543006</v>
          </cell>
          <cell r="AB331">
            <v>107.44247396980312</v>
          </cell>
          <cell r="AC331">
            <v>104.13282695607847</v>
          </cell>
          <cell r="AD331">
            <v>101.27377135396961</v>
          </cell>
          <cell r="AE331">
            <v>98.440485293336934</v>
          </cell>
          <cell r="AF331">
            <v>95.632968774179432</v>
          </cell>
          <cell r="AG331">
            <v>92.85122179649764</v>
          </cell>
          <cell r="AH331">
            <v>90.095244360292071</v>
          </cell>
        </row>
        <row r="332">
          <cell r="B332" t="str">
            <v>Carbon dioxide (DAC) - Total cost - Asia - USD/ton fuel</v>
          </cell>
          <cell r="G332">
            <v>315.4768082029388</v>
          </cell>
          <cell r="H332">
            <v>291.82082473612274</v>
          </cell>
          <cell r="I332">
            <v>268.67053769665677</v>
          </cell>
          <cell r="J332">
            <v>256.89619048138445</v>
          </cell>
          <cell r="K332">
            <v>245.31817072619225</v>
          </cell>
          <cell r="L332">
            <v>233.93647843107601</v>
          </cell>
          <cell r="M332">
            <v>222.75111359603954</v>
          </cell>
          <cell r="N332">
            <v>211.76207622108313</v>
          </cell>
          <cell r="O332">
            <v>203.28296344669053</v>
          </cell>
          <cell r="P332">
            <v>194.93519990183995</v>
          </cell>
          <cell r="Q332">
            <v>186.71878558652995</v>
          </cell>
          <cell r="R332">
            <v>178.63372050075947</v>
          </cell>
          <cell r="S332">
            <v>170.68000464452814</v>
          </cell>
          <cell r="T332">
            <v>165.01695433660979</v>
          </cell>
          <cell r="U332">
            <v>159.42730054865518</v>
          </cell>
          <cell r="V332">
            <v>153.91104328066464</v>
          </cell>
          <cell r="W332">
            <v>148.46818253263623</v>
          </cell>
          <cell r="X332">
            <v>143.09871830457126</v>
          </cell>
          <cell r="Y332">
            <v>138.149437809587</v>
          </cell>
          <cell r="Z332">
            <v>133.26622501694061</v>
          </cell>
          <cell r="AA332">
            <v>128.44907992663133</v>
          </cell>
          <cell r="AB332">
            <v>123.69800253866052</v>
          </cell>
          <cell r="AC332">
            <v>119.01299285302716</v>
          </cell>
          <cell r="AD332">
            <v>115.56483803179665</v>
          </cell>
          <cell r="AE332">
            <v>112.15288205701032</v>
          </cell>
          <cell r="AF332">
            <v>108.7771249286678</v>
          </cell>
          <cell r="AG332">
            <v>105.43756664676937</v>
          </cell>
          <cell r="AH332">
            <v>102.13420721131533</v>
          </cell>
        </row>
        <row r="333">
          <cell r="B333" t="str">
            <v>Carbon dioxide (DAC) - Total cost - Europe - USD/ton fuel</v>
          </cell>
          <cell r="G333">
            <v>267.71384440942967</v>
          </cell>
          <cell r="H333">
            <v>254.99050492063122</v>
          </cell>
          <cell r="I333">
            <v>242.49039782193589</v>
          </cell>
          <cell r="J333">
            <v>232.06088122815453</v>
          </cell>
          <cell r="K333">
            <v>221.80120941418619</v>
          </cell>
          <cell r="L333">
            <v>211.71138238003414</v>
          </cell>
          <cell r="M333">
            <v>201.79140012569729</v>
          </cell>
          <cell r="N333">
            <v>192.04126265117594</v>
          </cell>
          <cell r="O333">
            <v>185.60609295834632</v>
          </cell>
          <cell r="P333">
            <v>179.25513297659518</v>
          </cell>
          <cell r="Q333">
            <v>172.98838270591881</v>
          </cell>
          <cell r="R333">
            <v>166.80584214631915</v>
          </cell>
          <cell r="S333">
            <v>160.70751129779512</v>
          </cell>
          <cell r="T333">
            <v>155.8740504996469</v>
          </cell>
          <cell r="U333">
            <v>151.09552908554008</v>
          </cell>
          <cell r="V333">
            <v>146.37194705547432</v>
          </cell>
          <cell r="W333">
            <v>141.70330440944861</v>
          </cell>
          <cell r="X333">
            <v>137.08960114746228</v>
          </cell>
          <cell r="Y333">
            <v>132.88157171280233</v>
          </cell>
          <cell r="Z333">
            <v>128.72212216634401</v>
          </cell>
          <cell r="AA333">
            <v>124.61125250808806</v>
          </cell>
          <cell r="AB333">
            <v>120.54896273803433</v>
          </cell>
          <cell r="AC333">
            <v>116.53525285618329</v>
          </cell>
          <cell r="AD333">
            <v>113.14792277574824</v>
          </cell>
          <cell r="AE333">
            <v>109.79603788149367</v>
          </cell>
          <cell r="AF333">
            <v>106.47959817341915</v>
          </cell>
          <cell r="AG333">
            <v>103.198603651525</v>
          </cell>
          <cell r="AH333">
            <v>99.953054315811499</v>
          </cell>
        </row>
        <row r="334">
          <cell r="B334" t="str">
            <v>Carbon dioxide (DAC) - Total cost - Middle East - USD/ton fuel</v>
          </cell>
          <cell r="G334">
            <v>235.12036337633754</v>
          </cell>
          <cell r="H334">
            <v>224.11620442694419</v>
          </cell>
          <cell r="I334">
            <v>213.30018977940381</v>
          </cell>
          <cell r="J334">
            <v>204.91432008049392</v>
          </cell>
          <cell r="K334">
            <v>196.65441431922051</v>
          </cell>
          <cell r="L334">
            <v>188.52047249558439</v>
          </cell>
          <cell r="M334">
            <v>180.51249460958695</v>
          </cell>
          <cell r="N334">
            <v>172.63048066122599</v>
          </cell>
          <cell r="O334">
            <v>166.28490260841022</v>
          </cell>
          <cell r="P334">
            <v>160.02783502043238</v>
          </cell>
          <cell r="Q334">
            <v>153.8592778972901</v>
          </cell>
          <cell r="R334">
            <v>147.77923123898591</v>
          </cell>
          <cell r="S334">
            <v>141.78769504551758</v>
          </cell>
          <cell r="T334">
            <v>137.28570651204271</v>
          </cell>
          <cell r="U334">
            <v>132.83640988017365</v>
          </cell>
          <cell r="V334">
            <v>128.43980514991077</v>
          </cell>
          <cell r="W334">
            <v>124.09589232125236</v>
          </cell>
          <cell r="X334">
            <v>119.80467139419869</v>
          </cell>
          <cell r="Y334">
            <v>115.69823450540083</v>
          </cell>
          <cell r="Z334">
            <v>111.64363192063473</v>
          </cell>
          <cell r="AA334">
            <v>107.64086363990009</v>
          </cell>
          <cell r="AB334">
            <v>103.68992966319777</v>
          </cell>
          <cell r="AC334">
            <v>99.790829990527229</v>
          </cell>
          <cell r="AD334">
            <v>96.814241180930338</v>
          </cell>
          <cell r="AE334">
            <v>93.868012509751736</v>
          </cell>
          <cell r="AF334">
            <v>90.952143976990243</v>
          </cell>
          <cell r="AG334">
            <v>88.066635582646512</v>
          </cell>
          <cell r="AH334">
            <v>85.211487326721198</v>
          </cell>
        </row>
        <row r="335">
          <cell r="B335" t="str">
            <v/>
          </cell>
        </row>
        <row r="336">
          <cell r="B336" t="str">
            <v>Carbon dioxide (DAC) - CAPEX including feedstock CAPEX - Global - USD/ton fuel</v>
          </cell>
          <cell r="G336">
            <v>30.508013847333252</v>
          </cell>
          <cell r="H336">
            <v>29.566240685333227</v>
          </cell>
          <cell r="I336">
            <v>28.624467523333198</v>
          </cell>
          <cell r="J336">
            <v>27.81573486463288</v>
          </cell>
          <cell r="K336">
            <v>27.00700220593232</v>
          </cell>
          <cell r="L336">
            <v>26.198269547231757</v>
          </cell>
          <cell r="M336">
            <v>25.389536888531438</v>
          </cell>
          <cell r="N336">
            <v>24.580804229830878</v>
          </cell>
          <cell r="O336">
            <v>23.886317978110068</v>
          </cell>
          <cell r="P336">
            <v>23.191831726389257</v>
          </cell>
          <cell r="Q336">
            <v>22.497345474668204</v>
          </cell>
          <cell r="R336">
            <v>21.802859222947397</v>
          </cell>
          <cell r="S336">
            <v>21.108372971226345</v>
          </cell>
          <cell r="T336">
            <v>20.511993996492674</v>
          </cell>
          <cell r="U336">
            <v>19.915615021759002</v>
          </cell>
          <cell r="V336">
            <v>19.319236047025576</v>
          </cell>
          <cell r="W336">
            <v>18.722857072291905</v>
          </cell>
          <cell r="X336">
            <v>18.126478097558113</v>
          </cell>
          <cell r="Y336">
            <v>17.614347179742374</v>
          </cell>
          <cell r="Z336">
            <v>17.102216261926515</v>
          </cell>
          <cell r="AA336">
            <v>16.590085344110655</v>
          </cell>
          <cell r="AB336">
            <v>16.077954426294795</v>
          </cell>
          <cell r="AC336">
            <v>15.565823508479054</v>
          </cell>
          <cell r="AD336">
            <v>15.119325473449862</v>
          </cell>
          <cell r="AE336">
            <v>14.672827438420791</v>
          </cell>
          <cell r="AF336">
            <v>14.226329403391597</v>
          </cell>
          <cell r="AG336">
            <v>13.779831368362405</v>
          </cell>
          <cell r="AH336">
            <v>13.333333333333334</v>
          </cell>
        </row>
        <row r="337">
          <cell r="B337" t="str">
            <v>Carbon dioxide (DAC) - CAPEX - Global - USD/ton fuel</v>
          </cell>
          <cell r="G337">
            <v>30.508013847333252</v>
          </cell>
          <cell r="H337">
            <v>29.566240685333227</v>
          </cell>
          <cell r="I337">
            <v>28.624467523333198</v>
          </cell>
          <cell r="J337">
            <v>27.81573486463288</v>
          </cell>
          <cell r="K337">
            <v>27.00700220593232</v>
          </cell>
          <cell r="L337">
            <v>26.198269547231757</v>
          </cell>
          <cell r="M337">
            <v>25.389536888531438</v>
          </cell>
          <cell r="N337">
            <v>24.580804229830878</v>
          </cell>
          <cell r="O337">
            <v>23.886317978110068</v>
          </cell>
          <cell r="P337">
            <v>23.191831726389257</v>
          </cell>
          <cell r="Q337">
            <v>22.497345474668204</v>
          </cell>
          <cell r="R337">
            <v>21.802859222947397</v>
          </cell>
          <cell r="S337">
            <v>21.108372971226345</v>
          </cell>
          <cell r="T337">
            <v>20.511993996492674</v>
          </cell>
          <cell r="U337">
            <v>19.915615021759002</v>
          </cell>
          <cell r="V337">
            <v>19.319236047025576</v>
          </cell>
          <cell r="W337">
            <v>18.722857072291905</v>
          </cell>
          <cell r="X337">
            <v>18.126478097558113</v>
          </cell>
          <cell r="Y337">
            <v>17.614347179742374</v>
          </cell>
          <cell r="Z337">
            <v>17.102216261926515</v>
          </cell>
          <cell r="AA337">
            <v>16.590085344110655</v>
          </cell>
          <cell r="AB337">
            <v>16.077954426294795</v>
          </cell>
          <cell r="AC337">
            <v>15.565823508479054</v>
          </cell>
          <cell r="AD337">
            <v>15.119325473449862</v>
          </cell>
          <cell r="AE337">
            <v>14.672827438420791</v>
          </cell>
          <cell r="AF337">
            <v>14.226329403391597</v>
          </cell>
          <cell r="AG337">
            <v>13.779831368362405</v>
          </cell>
          <cell r="AH337">
            <v>13.333333333333334</v>
          </cell>
        </row>
        <row r="338">
          <cell r="B338" t="str">
            <v/>
          </cell>
        </row>
        <row r="339">
          <cell r="B339" t="str">
            <v>Carbon dioxide (DAC) - OPEX including feedstock OPEX - Global - USD/ton fuel</v>
          </cell>
          <cell r="G339">
            <v>47.7310020645956</v>
          </cell>
          <cell r="H339">
            <v>45.303460746236098</v>
          </cell>
          <cell r="I339">
            <v>42.936701284999835</v>
          </cell>
          <cell r="J339">
            <v>40.913166813136101</v>
          </cell>
          <cell r="K339">
            <v>38.936758591699629</v>
          </cell>
          <cell r="L339">
            <v>37.007476620690611</v>
          </cell>
          <cell r="M339">
            <v>35.125320900109735</v>
          </cell>
          <cell r="N339">
            <v>33.290291429956135</v>
          </cell>
          <cell r="O339">
            <v>31.721376020274985</v>
          </cell>
          <cell r="P339">
            <v>30.18899920260916</v>
          </cell>
          <cell r="Q339">
            <v>28.693160976958509</v>
          </cell>
          <cell r="R339">
            <v>27.23386134332349</v>
          </cell>
          <cell r="S339">
            <v>25.811100301703355</v>
          </cell>
          <cell r="T339">
            <v>24.594666582900402</v>
          </cell>
          <cell r="U339">
            <v>23.406562482820661</v>
          </cell>
          <cell r="V339">
            <v>22.246788001464278</v>
          </cell>
          <cell r="W339">
            <v>21.115343138830685</v>
          </cell>
          <cell r="X339">
            <v>20.012227894920034</v>
          </cell>
          <cell r="Y339">
            <v>19.069085273520873</v>
          </cell>
          <cell r="Z339">
            <v>18.147907573393375</v>
          </cell>
          <cell r="AA339">
            <v>17.248694794537446</v>
          </cell>
          <cell r="AB339">
            <v>16.371446936953305</v>
          </cell>
          <cell r="AC339">
            <v>15.516164000640968</v>
          </cell>
          <cell r="AD339">
            <v>14.778350924667834</v>
          </cell>
          <cell r="AE339">
            <v>14.057827986617346</v>
          </cell>
          <cell r="AF339">
            <v>13.354595186489069</v>
          </cell>
          <cell r="AG339">
            <v>12.668652524283226</v>
          </cell>
          <cell r="AH339">
            <v>12.000000000000011</v>
          </cell>
        </row>
        <row r="340">
          <cell r="B340" t="str">
            <v>Carbon dioxide (DAC) - OPEX - Global - USD/ton fuel</v>
          </cell>
          <cell r="G340">
            <v>47.7310020645956</v>
          </cell>
          <cell r="H340">
            <v>45.303460746236098</v>
          </cell>
          <cell r="I340">
            <v>42.936701284999835</v>
          </cell>
          <cell r="J340">
            <v>40.913166813136101</v>
          </cell>
          <cell r="K340">
            <v>38.936758591699629</v>
          </cell>
          <cell r="L340">
            <v>37.007476620690611</v>
          </cell>
          <cell r="M340">
            <v>35.125320900109735</v>
          </cell>
          <cell r="N340">
            <v>33.290291429956135</v>
          </cell>
          <cell r="O340">
            <v>31.721376020274985</v>
          </cell>
          <cell r="P340">
            <v>30.18899920260916</v>
          </cell>
          <cell r="Q340">
            <v>28.693160976958509</v>
          </cell>
          <cell r="R340">
            <v>27.23386134332349</v>
          </cell>
          <cell r="S340">
            <v>25.811100301703355</v>
          </cell>
          <cell r="T340">
            <v>24.594666582900402</v>
          </cell>
          <cell r="U340">
            <v>23.406562482820661</v>
          </cell>
          <cell r="V340">
            <v>22.246788001464278</v>
          </cell>
          <cell r="W340">
            <v>21.115343138830685</v>
          </cell>
          <cell r="X340">
            <v>20.012227894920034</v>
          </cell>
          <cell r="Y340">
            <v>19.069085273520873</v>
          </cell>
          <cell r="Z340">
            <v>18.147907573393375</v>
          </cell>
          <cell r="AA340">
            <v>17.248694794537446</v>
          </cell>
          <cell r="AB340">
            <v>16.371446936953305</v>
          </cell>
          <cell r="AC340">
            <v>15.516164000640968</v>
          </cell>
          <cell r="AD340">
            <v>14.778350924667834</v>
          </cell>
          <cell r="AE340">
            <v>14.057827986617346</v>
          </cell>
          <cell r="AF340">
            <v>13.354595186489069</v>
          </cell>
          <cell r="AG340">
            <v>12.668652524283226</v>
          </cell>
          <cell r="AH340">
            <v>12.000000000000011</v>
          </cell>
        </row>
        <row r="341">
          <cell r="B341" t="str">
            <v/>
          </cell>
        </row>
        <row r="342">
          <cell r="B342" t="str">
            <v>Carbon dioxide (DAC) - Finance cost including feedstock finance cost - Africa - USD/ton fuel</v>
          </cell>
          <cell r="G342">
            <v>50.338222848099875</v>
          </cell>
          <cell r="H342">
            <v>48.784297130799828</v>
          </cell>
          <cell r="I342">
            <v>47.230371413499782</v>
          </cell>
          <cell r="J342">
            <v>45.895962526644261</v>
          </cell>
          <cell r="K342">
            <v>44.561553639788329</v>
          </cell>
          <cell r="L342">
            <v>43.227144752932404</v>
          </cell>
          <cell r="M342">
            <v>41.892735866076876</v>
          </cell>
          <cell r="N342">
            <v>40.558326979220951</v>
          </cell>
          <cell r="O342">
            <v>39.412424663881616</v>
          </cell>
          <cell r="P342">
            <v>38.266522348542281</v>
          </cell>
          <cell r="Q342">
            <v>37.120620033202542</v>
          </cell>
          <cell r="R342">
            <v>35.974717717863207</v>
          </cell>
          <cell r="S342">
            <v>34.828815402523475</v>
          </cell>
          <cell r="T342">
            <v>33.844790094212918</v>
          </cell>
          <cell r="U342">
            <v>32.860764785902361</v>
          </cell>
          <cell r="V342">
            <v>31.876739477592203</v>
          </cell>
          <cell r="W342">
            <v>30.89271416928165</v>
          </cell>
          <cell r="X342">
            <v>29.908688860970891</v>
          </cell>
          <cell r="Y342">
            <v>29.063672846574921</v>
          </cell>
          <cell r="Z342">
            <v>28.218656832178752</v>
          </cell>
          <cell r="AA342">
            <v>27.373640817782583</v>
          </cell>
          <cell r="AB342">
            <v>26.528624803386414</v>
          </cell>
          <cell r="AC342">
            <v>25.683608788990444</v>
          </cell>
          <cell r="AD342">
            <v>24.946887031192276</v>
          </cell>
          <cell r="AE342">
            <v>24.210165273394306</v>
          </cell>
          <cell r="AF342">
            <v>23.473443515596138</v>
          </cell>
          <cell r="AG342">
            <v>22.736721757797969</v>
          </cell>
          <cell r="AH342">
            <v>22.000000000000004</v>
          </cell>
        </row>
        <row r="343">
          <cell r="B343" t="str">
            <v>Carbon dioxide (DAC) - Finance cost including feedstock finance cost - Americas - USD/ton fuel</v>
          </cell>
          <cell r="G343">
            <v>50.338222848099875</v>
          </cell>
          <cell r="H343">
            <v>48.784297130799828</v>
          </cell>
          <cell r="I343">
            <v>47.230371413499782</v>
          </cell>
          <cell r="J343">
            <v>45.895962526644261</v>
          </cell>
          <cell r="K343">
            <v>44.561553639788329</v>
          </cell>
          <cell r="L343">
            <v>43.227144752932404</v>
          </cell>
          <cell r="M343">
            <v>41.892735866076876</v>
          </cell>
          <cell r="N343">
            <v>40.558326979220951</v>
          </cell>
          <cell r="O343">
            <v>39.412424663881616</v>
          </cell>
          <cell r="P343">
            <v>38.266522348542281</v>
          </cell>
          <cell r="Q343">
            <v>37.120620033202542</v>
          </cell>
          <cell r="R343">
            <v>35.974717717863207</v>
          </cell>
          <cell r="S343">
            <v>34.828815402523475</v>
          </cell>
          <cell r="T343">
            <v>33.844790094212918</v>
          </cell>
          <cell r="U343">
            <v>32.860764785902361</v>
          </cell>
          <cell r="V343">
            <v>31.876739477592203</v>
          </cell>
          <cell r="W343">
            <v>30.89271416928165</v>
          </cell>
          <cell r="X343">
            <v>29.908688860970891</v>
          </cell>
          <cell r="Y343">
            <v>29.063672846574921</v>
          </cell>
          <cell r="Z343">
            <v>28.218656832178752</v>
          </cell>
          <cell r="AA343">
            <v>27.373640817782583</v>
          </cell>
          <cell r="AB343">
            <v>26.528624803386414</v>
          </cell>
          <cell r="AC343">
            <v>25.683608788990444</v>
          </cell>
          <cell r="AD343">
            <v>24.946887031192276</v>
          </cell>
          <cell r="AE343">
            <v>24.210165273394306</v>
          </cell>
          <cell r="AF343">
            <v>23.473443515596138</v>
          </cell>
          <cell r="AG343">
            <v>22.736721757797969</v>
          </cell>
          <cell r="AH343">
            <v>22.000000000000004</v>
          </cell>
        </row>
        <row r="344">
          <cell r="B344" t="str">
            <v>Carbon dioxide (DAC) - Finance cost including feedstock finance cost - Asia - USD/ton fuel</v>
          </cell>
          <cell r="G344">
            <v>50.338222848099875</v>
          </cell>
          <cell r="H344">
            <v>48.784297130799828</v>
          </cell>
          <cell r="I344">
            <v>47.230371413499782</v>
          </cell>
          <cell r="J344">
            <v>45.895962526644261</v>
          </cell>
          <cell r="K344">
            <v>44.561553639788329</v>
          </cell>
          <cell r="L344">
            <v>43.227144752932404</v>
          </cell>
          <cell r="M344">
            <v>41.892735866076876</v>
          </cell>
          <cell r="N344">
            <v>40.558326979220951</v>
          </cell>
          <cell r="O344">
            <v>39.412424663881616</v>
          </cell>
          <cell r="P344">
            <v>38.266522348542281</v>
          </cell>
          <cell r="Q344">
            <v>37.120620033202542</v>
          </cell>
          <cell r="R344">
            <v>35.974717717863207</v>
          </cell>
          <cell r="S344">
            <v>34.828815402523475</v>
          </cell>
          <cell r="T344">
            <v>33.844790094212918</v>
          </cell>
          <cell r="U344">
            <v>32.860764785902361</v>
          </cell>
          <cell r="V344">
            <v>31.876739477592203</v>
          </cell>
          <cell r="W344">
            <v>30.89271416928165</v>
          </cell>
          <cell r="X344">
            <v>29.908688860970891</v>
          </cell>
          <cell r="Y344">
            <v>29.063672846574921</v>
          </cell>
          <cell r="Z344">
            <v>28.218656832178752</v>
          </cell>
          <cell r="AA344">
            <v>27.373640817782583</v>
          </cell>
          <cell r="AB344">
            <v>26.528624803386414</v>
          </cell>
          <cell r="AC344">
            <v>25.683608788990444</v>
          </cell>
          <cell r="AD344">
            <v>24.946887031192276</v>
          </cell>
          <cell r="AE344">
            <v>24.210165273394306</v>
          </cell>
          <cell r="AF344">
            <v>23.473443515596138</v>
          </cell>
          <cell r="AG344">
            <v>22.736721757797969</v>
          </cell>
          <cell r="AH344">
            <v>22.000000000000004</v>
          </cell>
        </row>
        <row r="345">
          <cell r="B345" t="str">
            <v>Carbon dioxide (DAC) - Finance cost including feedstock finance cost - Europe - USD/ton fuel</v>
          </cell>
          <cell r="G345">
            <v>50.338222848099875</v>
          </cell>
          <cell r="H345">
            <v>48.784297130799828</v>
          </cell>
          <cell r="I345">
            <v>47.230371413499782</v>
          </cell>
          <cell r="J345">
            <v>45.895962526644261</v>
          </cell>
          <cell r="K345">
            <v>44.561553639788329</v>
          </cell>
          <cell r="L345">
            <v>43.227144752932404</v>
          </cell>
          <cell r="M345">
            <v>41.892735866076876</v>
          </cell>
          <cell r="N345">
            <v>40.558326979220951</v>
          </cell>
          <cell r="O345">
            <v>39.412424663881616</v>
          </cell>
          <cell r="P345">
            <v>38.266522348542281</v>
          </cell>
          <cell r="Q345">
            <v>37.120620033202542</v>
          </cell>
          <cell r="R345">
            <v>35.974717717863207</v>
          </cell>
          <cell r="S345">
            <v>34.828815402523475</v>
          </cell>
          <cell r="T345">
            <v>33.844790094212918</v>
          </cell>
          <cell r="U345">
            <v>32.860764785902361</v>
          </cell>
          <cell r="V345">
            <v>31.876739477592203</v>
          </cell>
          <cell r="W345">
            <v>30.89271416928165</v>
          </cell>
          <cell r="X345">
            <v>29.908688860970891</v>
          </cell>
          <cell r="Y345">
            <v>29.063672846574921</v>
          </cell>
          <cell r="Z345">
            <v>28.218656832178752</v>
          </cell>
          <cell r="AA345">
            <v>27.373640817782583</v>
          </cell>
          <cell r="AB345">
            <v>26.528624803386414</v>
          </cell>
          <cell r="AC345">
            <v>25.683608788990444</v>
          </cell>
          <cell r="AD345">
            <v>24.946887031192276</v>
          </cell>
          <cell r="AE345">
            <v>24.210165273394306</v>
          </cell>
          <cell r="AF345">
            <v>23.473443515596138</v>
          </cell>
          <cell r="AG345">
            <v>22.736721757797969</v>
          </cell>
          <cell r="AH345">
            <v>22.000000000000004</v>
          </cell>
        </row>
        <row r="346">
          <cell r="B346" t="str">
            <v>Carbon dioxide (DAC) - Finance cost including feedstock finance cost - Middle East - USD/ton fuel</v>
          </cell>
          <cell r="G346">
            <v>50.338222848099875</v>
          </cell>
          <cell r="H346">
            <v>48.784297130799828</v>
          </cell>
          <cell r="I346">
            <v>47.230371413499782</v>
          </cell>
          <cell r="J346">
            <v>45.895962526644261</v>
          </cell>
          <cell r="K346">
            <v>44.561553639788329</v>
          </cell>
          <cell r="L346">
            <v>43.227144752932404</v>
          </cell>
          <cell r="M346">
            <v>41.892735866076876</v>
          </cell>
          <cell r="N346">
            <v>40.558326979220951</v>
          </cell>
          <cell r="O346">
            <v>39.412424663881616</v>
          </cell>
          <cell r="P346">
            <v>38.266522348542281</v>
          </cell>
          <cell r="Q346">
            <v>37.120620033202542</v>
          </cell>
          <cell r="R346">
            <v>35.974717717863207</v>
          </cell>
          <cell r="S346">
            <v>34.828815402523475</v>
          </cell>
          <cell r="T346">
            <v>33.844790094212918</v>
          </cell>
          <cell r="U346">
            <v>32.860764785902361</v>
          </cell>
          <cell r="V346">
            <v>31.876739477592203</v>
          </cell>
          <cell r="W346">
            <v>30.89271416928165</v>
          </cell>
          <cell r="X346">
            <v>29.908688860970891</v>
          </cell>
          <cell r="Y346">
            <v>29.063672846574921</v>
          </cell>
          <cell r="Z346">
            <v>28.218656832178752</v>
          </cell>
          <cell r="AA346">
            <v>27.373640817782583</v>
          </cell>
          <cell r="AB346">
            <v>26.528624803386414</v>
          </cell>
          <cell r="AC346">
            <v>25.683608788990444</v>
          </cell>
          <cell r="AD346">
            <v>24.946887031192276</v>
          </cell>
          <cell r="AE346">
            <v>24.210165273394306</v>
          </cell>
          <cell r="AF346">
            <v>23.473443515596138</v>
          </cell>
          <cell r="AG346">
            <v>22.736721757797969</v>
          </cell>
          <cell r="AH346">
            <v>22.000000000000004</v>
          </cell>
        </row>
        <row r="347">
          <cell r="B347" t="str">
            <v>Carbon dioxide (DAC) - Finance cost - Africa - USD/ton fuel</v>
          </cell>
          <cell r="G347">
            <v>50.338222848099875</v>
          </cell>
          <cell r="H347">
            <v>48.784297130799828</v>
          </cell>
          <cell r="I347">
            <v>47.230371413499782</v>
          </cell>
          <cell r="J347">
            <v>45.895962526644261</v>
          </cell>
          <cell r="K347">
            <v>44.561553639788329</v>
          </cell>
          <cell r="L347">
            <v>43.227144752932404</v>
          </cell>
          <cell r="M347">
            <v>41.892735866076876</v>
          </cell>
          <cell r="N347">
            <v>40.558326979220951</v>
          </cell>
          <cell r="O347">
            <v>39.412424663881616</v>
          </cell>
          <cell r="P347">
            <v>38.266522348542281</v>
          </cell>
          <cell r="Q347">
            <v>37.120620033202542</v>
          </cell>
          <cell r="R347">
            <v>35.974717717863207</v>
          </cell>
          <cell r="S347">
            <v>34.828815402523475</v>
          </cell>
          <cell r="T347">
            <v>33.844790094212918</v>
          </cell>
          <cell r="U347">
            <v>32.860764785902361</v>
          </cell>
          <cell r="V347">
            <v>31.876739477592203</v>
          </cell>
          <cell r="W347">
            <v>30.89271416928165</v>
          </cell>
          <cell r="X347">
            <v>29.908688860970891</v>
          </cell>
          <cell r="Y347">
            <v>29.063672846574921</v>
          </cell>
          <cell r="Z347">
            <v>28.218656832178752</v>
          </cell>
          <cell r="AA347">
            <v>27.373640817782583</v>
          </cell>
          <cell r="AB347">
            <v>26.528624803386414</v>
          </cell>
          <cell r="AC347">
            <v>25.683608788990444</v>
          </cell>
          <cell r="AD347">
            <v>24.946887031192276</v>
          </cell>
          <cell r="AE347">
            <v>24.210165273394306</v>
          </cell>
          <cell r="AF347">
            <v>23.473443515596138</v>
          </cell>
          <cell r="AG347">
            <v>22.736721757797969</v>
          </cell>
          <cell r="AH347">
            <v>22.000000000000004</v>
          </cell>
        </row>
        <row r="348">
          <cell r="B348" t="str">
            <v>Carbon dioxide (DAC) - Finance cost - Americas - USD/ton fuel</v>
          </cell>
          <cell r="G348">
            <v>50.338222848099875</v>
          </cell>
          <cell r="H348">
            <v>48.784297130799828</v>
          </cell>
          <cell r="I348">
            <v>47.230371413499782</v>
          </cell>
          <cell r="J348">
            <v>45.895962526644261</v>
          </cell>
          <cell r="K348">
            <v>44.561553639788329</v>
          </cell>
          <cell r="L348">
            <v>43.227144752932404</v>
          </cell>
          <cell r="M348">
            <v>41.892735866076876</v>
          </cell>
          <cell r="N348">
            <v>40.558326979220951</v>
          </cell>
          <cell r="O348">
            <v>39.412424663881616</v>
          </cell>
          <cell r="P348">
            <v>38.266522348542281</v>
          </cell>
          <cell r="Q348">
            <v>37.120620033202542</v>
          </cell>
          <cell r="R348">
            <v>35.974717717863207</v>
          </cell>
          <cell r="S348">
            <v>34.828815402523475</v>
          </cell>
          <cell r="T348">
            <v>33.844790094212918</v>
          </cell>
          <cell r="U348">
            <v>32.860764785902361</v>
          </cell>
          <cell r="V348">
            <v>31.876739477592203</v>
          </cell>
          <cell r="W348">
            <v>30.89271416928165</v>
          </cell>
          <cell r="X348">
            <v>29.908688860970891</v>
          </cell>
          <cell r="Y348">
            <v>29.063672846574921</v>
          </cell>
          <cell r="Z348">
            <v>28.218656832178752</v>
          </cell>
          <cell r="AA348">
            <v>27.373640817782583</v>
          </cell>
          <cell r="AB348">
            <v>26.528624803386414</v>
          </cell>
          <cell r="AC348">
            <v>25.683608788990444</v>
          </cell>
          <cell r="AD348">
            <v>24.946887031192276</v>
          </cell>
          <cell r="AE348">
            <v>24.210165273394306</v>
          </cell>
          <cell r="AF348">
            <v>23.473443515596138</v>
          </cell>
          <cell r="AG348">
            <v>22.736721757797969</v>
          </cell>
          <cell r="AH348">
            <v>22.000000000000004</v>
          </cell>
        </row>
        <row r="349">
          <cell r="B349" t="str">
            <v>Carbon dioxide (DAC) - Finance cost - Asia - USD/ton fuel</v>
          </cell>
          <cell r="G349">
            <v>50.338222848099875</v>
          </cell>
          <cell r="H349">
            <v>48.784297130799828</v>
          </cell>
          <cell r="I349">
            <v>47.230371413499782</v>
          </cell>
          <cell r="J349">
            <v>45.895962526644261</v>
          </cell>
          <cell r="K349">
            <v>44.561553639788329</v>
          </cell>
          <cell r="L349">
            <v>43.227144752932404</v>
          </cell>
          <cell r="M349">
            <v>41.892735866076876</v>
          </cell>
          <cell r="N349">
            <v>40.558326979220951</v>
          </cell>
          <cell r="O349">
            <v>39.412424663881616</v>
          </cell>
          <cell r="P349">
            <v>38.266522348542281</v>
          </cell>
          <cell r="Q349">
            <v>37.120620033202542</v>
          </cell>
          <cell r="R349">
            <v>35.974717717863207</v>
          </cell>
          <cell r="S349">
            <v>34.828815402523475</v>
          </cell>
          <cell r="T349">
            <v>33.844790094212918</v>
          </cell>
          <cell r="U349">
            <v>32.860764785902361</v>
          </cell>
          <cell r="V349">
            <v>31.876739477592203</v>
          </cell>
          <cell r="W349">
            <v>30.89271416928165</v>
          </cell>
          <cell r="X349">
            <v>29.908688860970891</v>
          </cell>
          <cell r="Y349">
            <v>29.063672846574921</v>
          </cell>
          <cell r="Z349">
            <v>28.218656832178752</v>
          </cell>
          <cell r="AA349">
            <v>27.373640817782583</v>
          </cell>
          <cell r="AB349">
            <v>26.528624803386414</v>
          </cell>
          <cell r="AC349">
            <v>25.683608788990444</v>
          </cell>
          <cell r="AD349">
            <v>24.946887031192276</v>
          </cell>
          <cell r="AE349">
            <v>24.210165273394306</v>
          </cell>
          <cell r="AF349">
            <v>23.473443515596138</v>
          </cell>
          <cell r="AG349">
            <v>22.736721757797969</v>
          </cell>
          <cell r="AH349">
            <v>22.000000000000004</v>
          </cell>
        </row>
        <row r="350">
          <cell r="B350" t="str">
            <v>Carbon dioxide (DAC) - Finance cost - Europe - USD/ton fuel</v>
          </cell>
          <cell r="G350">
            <v>50.338222848099875</v>
          </cell>
          <cell r="H350">
            <v>48.784297130799828</v>
          </cell>
          <cell r="I350">
            <v>47.230371413499782</v>
          </cell>
          <cell r="J350">
            <v>45.895962526644261</v>
          </cell>
          <cell r="K350">
            <v>44.561553639788329</v>
          </cell>
          <cell r="L350">
            <v>43.227144752932404</v>
          </cell>
          <cell r="M350">
            <v>41.892735866076876</v>
          </cell>
          <cell r="N350">
            <v>40.558326979220951</v>
          </cell>
          <cell r="O350">
            <v>39.412424663881616</v>
          </cell>
          <cell r="P350">
            <v>38.266522348542281</v>
          </cell>
          <cell r="Q350">
            <v>37.120620033202542</v>
          </cell>
          <cell r="R350">
            <v>35.974717717863207</v>
          </cell>
          <cell r="S350">
            <v>34.828815402523475</v>
          </cell>
          <cell r="T350">
            <v>33.844790094212918</v>
          </cell>
          <cell r="U350">
            <v>32.860764785902361</v>
          </cell>
          <cell r="V350">
            <v>31.876739477592203</v>
          </cell>
          <cell r="W350">
            <v>30.89271416928165</v>
          </cell>
          <cell r="X350">
            <v>29.908688860970891</v>
          </cell>
          <cell r="Y350">
            <v>29.063672846574921</v>
          </cell>
          <cell r="Z350">
            <v>28.218656832178752</v>
          </cell>
          <cell r="AA350">
            <v>27.373640817782583</v>
          </cell>
          <cell r="AB350">
            <v>26.528624803386414</v>
          </cell>
          <cell r="AC350">
            <v>25.683608788990444</v>
          </cell>
          <cell r="AD350">
            <v>24.946887031192276</v>
          </cell>
          <cell r="AE350">
            <v>24.210165273394306</v>
          </cell>
          <cell r="AF350">
            <v>23.473443515596138</v>
          </cell>
          <cell r="AG350">
            <v>22.736721757797969</v>
          </cell>
          <cell r="AH350">
            <v>22.000000000000004</v>
          </cell>
        </row>
        <row r="351">
          <cell r="B351" t="str">
            <v>Carbon dioxide (DAC) - Finance cost - Middle East - USD/ton fuel</v>
          </cell>
          <cell r="G351">
            <v>50.338222848099875</v>
          </cell>
          <cell r="H351">
            <v>48.784297130799828</v>
          </cell>
          <cell r="I351">
            <v>47.230371413499782</v>
          </cell>
          <cell r="J351">
            <v>45.895962526644261</v>
          </cell>
          <cell r="K351">
            <v>44.561553639788329</v>
          </cell>
          <cell r="L351">
            <v>43.227144752932404</v>
          </cell>
          <cell r="M351">
            <v>41.892735866076876</v>
          </cell>
          <cell r="N351">
            <v>40.558326979220951</v>
          </cell>
          <cell r="O351">
            <v>39.412424663881616</v>
          </cell>
          <cell r="P351">
            <v>38.266522348542281</v>
          </cell>
          <cell r="Q351">
            <v>37.120620033202542</v>
          </cell>
          <cell r="R351">
            <v>35.974717717863207</v>
          </cell>
          <cell r="S351">
            <v>34.828815402523475</v>
          </cell>
          <cell r="T351">
            <v>33.844790094212918</v>
          </cell>
          <cell r="U351">
            <v>32.860764785902361</v>
          </cell>
          <cell r="V351">
            <v>31.876739477592203</v>
          </cell>
          <cell r="W351">
            <v>30.89271416928165</v>
          </cell>
          <cell r="X351">
            <v>29.908688860970891</v>
          </cell>
          <cell r="Y351">
            <v>29.063672846574921</v>
          </cell>
          <cell r="Z351">
            <v>28.218656832178752</v>
          </cell>
          <cell r="AA351">
            <v>27.373640817782583</v>
          </cell>
          <cell r="AB351">
            <v>26.528624803386414</v>
          </cell>
          <cell r="AC351">
            <v>25.683608788990444</v>
          </cell>
          <cell r="AD351">
            <v>24.946887031192276</v>
          </cell>
          <cell r="AE351">
            <v>24.210165273394306</v>
          </cell>
          <cell r="AF351">
            <v>23.473443515596138</v>
          </cell>
          <cell r="AG351">
            <v>22.736721757797969</v>
          </cell>
          <cell r="AH351">
            <v>22.000000000000004</v>
          </cell>
        </row>
        <row r="352">
          <cell r="B352" t="str">
            <v/>
          </cell>
        </row>
        <row r="353">
          <cell r="B353" t="str">
            <v>Carbon dioxide (DAC) - Energy cost including feedstock energy cost - Africa - USD/ton fuel</v>
          </cell>
          <cell r="G353">
            <v>168.04374017226095</v>
          </cell>
          <cell r="H353">
            <v>146.30209067169341</v>
          </cell>
          <cell r="I353">
            <v>125.09499957024941</v>
          </cell>
          <cell r="J353">
            <v>118.18460880247255</v>
          </cell>
          <cell r="K353">
            <v>111.41353662951776</v>
          </cell>
          <cell r="L353">
            <v>104.78178305138506</v>
          </cell>
          <cell r="M353">
            <v>98.28934806807321</v>
          </cell>
          <cell r="N353">
            <v>91.936231679584665</v>
          </cell>
          <cell r="O353">
            <v>87.982972860232593</v>
          </cell>
          <cell r="P353">
            <v>84.102420719352523</v>
          </cell>
          <cell r="Q353">
            <v>80.294575256942807</v>
          </cell>
          <cell r="R353">
            <v>76.559436473005292</v>
          </cell>
          <cell r="S353">
            <v>72.89700436753958</v>
          </cell>
          <cell r="T353">
            <v>70.735122997418571</v>
          </cell>
          <cell r="U353">
            <v>68.605236304620504</v>
          </cell>
          <cell r="V353">
            <v>66.507344289144001</v>
          </cell>
          <cell r="W353">
            <v>64.441446950990169</v>
          </cell>
          <cell r="X353">
            <v>62.40754429015891</v>
          </cell>
          <cell r="Y353">
            <v>60.429077079389643</v>
          </cell>
          <cell r="Z353">
            <v>58.481367988026683</v>
          </cell>
          <cell r="AA353">
            <v>56.564417016069513</v>
          </cell>
          <cell r="AB353">
            <v>54.678224163519339</v>
          </cell>
          <cell r="AC353">
            <v>52.822789430375032</v>
          </cell>
          <cell r="AD353">
            <v>51.600110701740995</v>
          </cell>
          <cell r="AE353">
            <v>50.391546373167834</v>
          </cell>
          <cell r="AF353">
            <v>49.197096444655244</v>
          </cell>
          <cell r="AG353">
            <v>48.016760916203474</v>
          </cell>
          <cell r="AH353">
            <v>46.85053978781275</v>
          </cell>
        </row>
        <row r="354">
          <cell r="B354" t="str">
            <v>Carbon dioxide (DAC) - Energy cost including feedstock energy cost - Americas - USD/ton fuel</v>
          </cell>
          <cell r="G354">
            <v>105.58438245546897</v>
          </cell>
          <cell r="H354">
            <v>101.99736044182912</v>
          </cell>
          <cell r="I354">
            <v>98.469570539698765</v>
          </cell>
          <cell r="J354">
            <v>93.638765997611998</v>
          </cell>
          <cell r="K354">
            <v>88.901570801317362</v>
          </cell>
          <cell r="L354">
            <v>84.25798495081483</v>
          </cell>
          <cell r="M354">
            <v>79.708008446105609</v>
          </cell>
          <cell r="N354">
            <v>75.251641287187283</v>
          </cell>
          <cell r="O354">
            <v>72.675393088137156</v>
          </cell>
          <cell r="P354">
            <v>70.14126028517552</v>
          </cell>
          <cell r="Q354">
            <v>67.64924287830199</v>
          </cell>
          <cell r="R354">
            <v>65.19934086751617</v>
          </cell>
          <cell r="S354">
            <v>62.791554252818194</v>
          </cell>
          <cell r="T354">
            <v>60.764114529985541</v>
          </cell>
          <cell r="U354">
            <v>58.768592762315109</v>
          </cell>
          <cell r="V354">
            <v>56.804988949805931</v>
          </cell>
          <cell r="W354">
            <v>54.873303092459224</v>
          </cell>
          <cell r="X354">
            <v>52.973535190274085</v>
          </cell>
          <cell r="Y354">
            <v>51.828230522552126</v>
          </cell>
          <cell r="Z354">
            <v>50.694947735460516</v>
          </cell>
          <cell r="AA354">
            <v>49.573686828999371</v>
          </cell>
          <cell r="AB354">
            <v>48.464447803168603</v>
          </cell>
          <cell r="AC354">
            <v>47.367230657968015</v>
          </cell>
          <cell r="AD354">
            <v>46.429207924659629</v>
          </cell>
          <cell r="AE354">
            <v>45.499664594904488</v>
          </cell>
          <cell r="AF354">
            <v>44.57860066870262</v>
          </cell>
          <cell r="AG354">
            <v>43.666016146054034</v>
          </cell>
          <cell r="AH354">
            <v>42.761911026958728</v>
          </cell>
        </row>
        <row r="355">
          <cell r="B355" t="str">
            <v>Carbon dioxide (DAC) - Energy cost including feedstock energy cost - Asia - USD/ton fuel</v>
          </cell>
          <cell r="G355">
            <v>186.89956944291009</v>
          </cell>
          <cell r="H355">
            <v>168.16682617375361</v>
          </cell>
          <cell r="I355">
            <v>149.87899747482393</v>
          </cell>
          <cell r="J355">
            <v>142.27132627697122</v>
          </cell>
          <cell r="K355">
            <v>134.81285628877197</v>
          </cell>
          <cell r="L355">
            <v>127.50358751022122</v>
          </cell>
          <cell r="M355">
            <v>120.34351994132149</v>
          </cell>
          <cell r="N355">
            <v>113.33265358207515</v>
          </cell>
          <cell r="O355">
            <v>108.26284478442385</v>
          </cell>
          <cell r="P355">
            <v>103.28784662429925</v>
          </cell>
          <cell r="Q355">
            <v>98.407659101700688</v>
          </cell>
          <cell r="R355">
            <v>93.622282216625351</v>
          </cell>
          <cell r="S355">
            <v>88.931715969074972</v>
          </cell>
          <cell r="T355">
            <v>86.065503663003796</v>
          </cell>
          <cell r="U355">
            <v>83.244358258173165</v>
          </cell>
          <cell r="V355">
            <v>80.468279754582596</v>
          </cell>
          <cell r="W355">
            <v>77.737268152231991</v>
          </cell>
          <cell r="X355">
            <v>75.051323451122215</v>
          </cell>
          <cell r="Y355">
            <v>72.402332509748831</v>
          </cell>
          <cell r="Z355">
            <v>69.797444349441975</v>
          </cell>
          <cell r="AA355">
            <v>67.236658970200637</v>
          </cell>
          <cell r="AB355">
            <v>64.719976372026011</v>
          </cell>
          <cell r="AC355">
            <v>62.247396554916683</v>
          </cell>
          <cell r="AD355">
            <v>60.720274602486676</v>
          </cell>
          <cell r="AE355">
            <v>59.212061358577877</v>
          </cell>
          <cell r="AF355">
            <v>57.722756823190991</v>
          </cell>
          <cell r="AG355">
            <v>56.25236099632577</v>
          </cell>
          <cell r="AH355">
            <v>54.800873877981985</v>
          </cell>
        </row>
        <row r="356">
          <cell r="B356" t="str">
            <v>Carbon dioxide (DAC) - Energy cost including feedstock energy cost - Europe - USD/ton fuel</v>
          </cell>
          <cell r="G356">
            <v>139.13660564940096</v>
          </cell>
          <cell r="H356">
            <v>131.33650635826208</v>
          </cell>
          <cell r="I356">
            <v>123.69885760010307</v>
          </cell>
          <cell r="J356">
            <v>117.43601702374129</v>
          </cell>
          <cell r="K356">
            <v>111.29589497676589</v>
          </cell>
          <cell r="L356">
            <v>105.27849145917936</v>
          </cell>
          <cell r="M356">
            <v>99.383806470979252</v>
          </cell>
          <cell r="N356">
            <v>93.611840012167974</v>
          </cell>
          <cell r="O356">
            <v>90.585974296079655</v>
          </cell>
          <cell r="P356">
            <v>87.607779699054461</v>
          </cell>
          <cell r="Q356">
            <v>84.67725622108955</v>
          </cell>
          <cell r="R356">
            <v>81.794403862185035</v>
          </cell>
          <cell r="S356">
            <v>78.959222622341954</v>
          </cell>
          <cell r="T356">
            <v>76.922599826040909</v>
          </cell>
          <cell r="U356">
            <v>74.912586795058061</v>
          </cell>
          <cell r="V356">
            <v>72.929183529392262</v>
          </cell>
          <cell r="W356">
            <v>70.972390029044362</v>
          </cell>
          <cell r="X356">
            <v>69.042206294013226</v>
          </cell>
          <cell r="Y356">
            <v>67.134466412964173</v>
          </cell>
          <cell r="Z356">
            <v>65.253341498845373</v>
          </cell>
          <cell r="AA356">
            <v>63.398831551657359</v>
          </cell>
          <cell r="AB356">
            <v>61.570936571399812</v>
          </cell>
          <cell r="AC356">
            <v>59.769656558072832</v>
          </cell>
          <cell r="AD356">
            <v>58.303359346438278</v>
          </cell>
          <cell r="AE356">
            <v>56.855217183061221</v>
          </cell>
          <cell r="AF356">
            <v>55.425230067942344</v>
          </cell>
          <cell r="AG356">
            <v>54.013398001081399</v>
          </cell>
          <cell r="AH356">
            <v>52.619720982478157</v>
          </cell>
        </row>
        <row r="357">
          <cell r="B357" t="str">
            <v>Carbon dioxide (DAC) - Energy cost including feedstock energy cost - Middle East - USD/ton fuel</v>
          </cell>
          <cell r="G357">
            <v>106.54312461630884</v>
          </cell>
          <cell r="H357">
            <v>100.46220586457505</v>
          </cell>
          <cell r="I357">
            <v>94.50864955757099</v>
          </cell>
          <cell r="J357">
            <v>90.289455876080666</v>
          </cell>
          <cell r="K357">
            <v>86.149099881800211</v>
          </cell>
          <cell r="L357">
            <v>82.087581574729612</v>
          </cell>
          <cell r="M357">
            <v>78.104900954868882</v>
          </cell>
          <cell r="N357">
            <v>74.201058022218021</v>
          </cell>
          <cell r="O357">
            <v>71.264783946143552</v>
          </cell>
          <cell r="P357">
            <v>68.380481742891675</v>
          </cell>
          <cell r="Q357">
            <v>65.548151412460825</v>
          </cell>
          <cell r="R357">
            <v>62.767792954851807</v>
          </cell>
          <cell r="S357">
            <v>60.039406370064405</v>
          </cell>
          <cell r="T357">
            <v>58.334255838436711</v>
          </cell>
          <cell r="U357">
            <v>56.653467589691616</v>
          </cell>
          <cell r="V357">
            <v>54.997041623828714</v>
          </cell>
          <cell r="W357">
            <v>53.364977940848128</v>
          </cell>
          <cell r="X357">
            <v>51.757276540749643</v>
          </cell>
          <cell r="Y357">
            <v>49.951129205562665</v>
          </cell>
          <cell r="Z357">
            <v>48.17485125313609</v>
          </cell>
          <cell r="AA357">
            <v>46.428442683469406</v>
          </cell>
          <cell r="AB357">
            <v>44.711903496563266</v>
          </cell>
          <cell r="AC357">
            <v>43.025233692416762</v>
          </cell>
          <cell r="AD357">
            <v>41.969677751620367</v>
          </cell>
          <cell r="AE357">
            <v>40.927191811319283</v>
          </cell>
          <cell r="AF357">
            <v>39.897775871513431</v>
          </cell>
          <cell r="AG357">
            <v>38.881429932202913</v>
          </cell>
          <cell r="AH357">
            <v>37.878153993387855</v>
          </cell>
        </row>
        <row r="358">
          <cell r="B358" t="str">
            <v>Carbon dioxide (DAC) - Energy cost - Africa - USD/ton fuel</v>
          </cell>
          <cell r="G358">
            <v>168.04374017226095</v>
          </cell>
          <cell r="H358">
            <v>146.30209067169341</v>
          </cell>
          <cell r="I358">
            <v>125.09499957024941</v>
          </cell>
          <cell r="J358">
            <v>118.18460880247255</v>
          </cell>
          <cell r="K358">
            <v>111.41353662951776</v>
          </cell>
          <cell r="L358">
            <v>104.78178305138506</v>
          </cell>
          <cell r="M358">
            <v>98.28934806807321</v>
          </cell>
          <cell r="N358">
            <v>91.936231679584665</v>
          </cell>
          <cell r="O358">
            <v>87.982972860232593</v>
          </cell>
          <cell r="P358">
            <v>84.102420719352523</v>
          </cell>
          <cell r="Q358">
            <v>80.294575256942807</v>
          </cell>
          <cell r="R358">
            <v>76.559436473005292</v>
          </cell>
          <cell r="S358">
            <v>72.89700436753958</v>
          </cell>
          <cell r="T358">
            <v>70.735122997418571</v>
          </cell>
          <cell r="U358">
            <v>68.605236304620504</v>
          </cell>
          <cell r="V358">
            <v>66.507344289144001</v>
          </cell>
          <cell r="W358">
            <v>64.441446950990169</v>
          </cell>
          <cell r="X358">
            <v>62.40754429015891</v>
          </cell>
          <cell r="Y358">
            <v>60.429077079389643</v>
          </cell>
          <cell r="Z358">
            <v>58.481367988026683</v>
          </cell>
          <cell r="AA358">
            <v>56.564417016069513</v>
          </cell>
          <cell r="AB358">
            <v>54.678224163519339</v>
          </cell>
          <cell r="AC358">
            <v>52.822789430375032</v>
          </cell>
          <cell r="AD358">
            <v>51.600110701740995</v>
          </cell>
          <cell r="AE358">
            <v>50.391546373167834</v>
          </cell>
          <cell r="AF358">
            <v>49.197096444655244</v>
          </cell>
          <cell r="AG358">
            <v>48.016760916203474</v>
          </cell>
          <cell r="AH358">
            <v>46.85053978781275</v>
          </cell>
        </row>
        <row r="359">
          <cell r="B359" t="str">
            <v>Carbon dioxide (DAC) - Energy cost - Americas - USD/ton fuel</v>
          </cell>
          <cell r="G359">
            <v>105.58438245546897</v>
          </cell>
          <cell r="H359">
            <v>101.99736044182912</v>
          </cell>
          <cell r="I359">
            <v>98.469570539698765</v>
          </cell>
          <cell r="J359">
            <v>93.638765997611998</v>
          </cell>
          <cell r="K359">
            <v>88.901570801317362</v>
          </cell>
          <cell r="L359">
            <v>84.25798495081483</v>
          </cell>
          <cell r="M359">
            <v>79.708008446105609</v>
          </cell>
          <cell r="N359">
            <v>75.251641287187283</v>
          </cell>
          <cell r="O359">
            <v>72.675393088137156</v>
          </cell>
          <cell r="P359">
            <v>70.14126028517552</v>
          </cell>
          <cell r="Q359">
            <v>67.64924287830199</v>
          </cell>
          <cell r="R359">
            <v>65.19934086751617</v>
          </cell>
          <cell r="S359">
            <v>62.791554252818194</v>
          </cell>
          <cell r="T359">
            <v>60.764114529985541</v>
          </cell>
          <cell r="U359">
            <v>58.768592762315109</v>
          </cell>
          <cell r="V359">
            <v>56.804988949805931</v>
          </cell>
          <cell r="W359">
            <v>54.873303092459224</v>
          </cell>
          <cell r="X359">
            <v>52.973535190274085</v>
          </cell>
          <cell r="Y359">
            <v>51.828230522552126</v>
          </cell>
          <cell r="Z359">
            <v>50.694947735460516</v>
          </cell>
          <cell r="AA359">
            <v>49.573686828999371</v>
          </cell>
          <cell r="AB359">
            <v>48.464447803168603</v>
          </cell>
          <cell r="AC359">
            <v>47.367230657968015</v>
          </cell>
          <cell r="AD359">
            <v>46.429207924659629</v>
          </cell>
          <cell r="AE359">
            <v>45.499664594904488</v>
          </cell>
          <cell r="AF359">
            <v>44.57860066870262</v>
          </cell>
          <cell r="AG359">
            <v>43.666016146054034</v>
          </cell>
          <cell r="AH359">
            <v>42.761911026958728</v>
          </cell>
        </row>
        <row r="360">
          <cell r="B360" t="str">
            <v>Carbon dioxide (DAC) - Energy cost - Asia - USD/ton fuel</v>
          </cell>
          <cell r="G360">
            <v>186.89956944291009</v>
          </cell>
          <cell r="H360">
            <v>168.16682617375361</v>
          </cell>
          <cell r="I360">
            <v>149.87899747482393</v>
          </cell>
          <cell r="J360">
            <v>142.27132627697122</v>
          </cell>
          <cell r="K360">
            <v>134.81285628877197</v>
          </cell>
          <cell r="L360">
            <v>127.50358751022122</v>
          </cell>
          <cell r="M360">
            <v>120.34351994132149</v>
          </cell>
          <cell r="N360">
            <v>113.33265358207515</v>
          </cell>
          <cell r="O360">
            <v>108.26284478442385</v>
          </cell>
          <cell r="P360">
            <v>103.28784662429925</v>
          </cell>
          <cell r="Q360">
            <v>98.407659101700688</v>
          </cell>
          <cell r="R360">
            <v>93.622282216625351</v>
          </cell>
          <cell r="S360">
            <v>88.931715969074972</v>
          </cell>
          <cell r="T360">
            <v>86.065503663003796</v>
          </cell>
          <cell r="U360">
            <v>83.244358258173165</v>
          </cell>
          <cell r="V360">
            <v>80.468279754582596</v>
          </cell>
          <cell r="W360">
            <v>77.737268152231991</v>
          </cell>
          <cell r="X360">
            <v>75.051323451122215</v>
          </cell>
          <cell r="Y360">
            <v>72.402332509748831</v>
          </cell>
          <cell r="Z360">
            <v>69.797444349441975</v>
          </cell>
          <cell r="AA360">
            <v>67.236658970200637</v>
          </cell>
          <cell r="AB360">
            <v>64.719976372026011</v>
          </cell>
          <cell r="AC360">
            <v>62.247396554916683</v>
          </cell>
          <cell r="AD360">
            <v>60.720274602486676</v>
          </cell>
          <cell r="AE360">
            <v>59.212061358577877</v>
          </cell>
          <cell r="AF360">
            <v>57.722756823190991</v>
          </cell>
          <cell r="AG360">
            <v>56.25236099632577</v>
          </cell>
          <cell r="AH360">
            <v>54.800873877981985</v>
          </cell>
        </row>
        <row r="361">
          <cell r="B361" t="str">
            <v>Carbon dioxide (DAC) - Energy cost - Europe - USD/ton fuel</v>
          </cell>
          <cell r="G361">
            <v>139.13660564940096</v>
          </cell>
          <cell r="H361">
            <v>131.33650635826208</v>
          </cell>
          <cell r="I361">
            <v>123.69885760010307</v>
          </cell>
          <cell r="J361">
            <v>117.43601702374129</v>
          </cell>
          <cell r="K361">
            <v>111.29589497676589</v>
          </cell>
          <cell r="L361">
            <v>105.27849145917936</v>
          </cell>
          <cell r="M361">
            <v>99.383806470979252</v>
          </cell>
          <cell r="N361">
            <v>93.611840012167974</v>
          </cell>
          <cell r="O361">
            <v>90.585974296079655</v>
          </cell>
          <cell r="P361">
            <v>87.607779699054461</v>
          </cell>
          <cell r="Q361">
            <v>84.67725622108955</v>
          </cell>
          <cell r="R361">
            <v>81.794403862185035</v>
          </cell>
          <cell r="S361">
            <v>78.959222622341954</v>
          </cell>
          <cell r="T361">
            <v>76.922599826040909</v>
          </cell>
          <cell r="U361">
            <v>74.912586795058061</v>
          </cell>
          <cell r="V361">
            <v>72.929183529392262</v>
          </cell>
          <cell r="W361">
            <v>70.972390029044362</v>
          </cell>
          <cell r="X361">
            <v>69.042206294013226</v>
          </cell>
          <cell r="Y361">
            <v>67.134466412964173</v>
          </cell>
          <cell r="Z361">
            <v>65.253341498845373</v>
          </cell>
          <cell r="AA361">
            <v>63.398831551657359</v>
          </cell>
          <cell r="AB361">
            <v>61.570936571399812</v>
          </cell>
          <cell r="AC361">
            <v>59.769656558072832</v>
          </cell>
          <cell r="AD361">
            <v>58.303359346438278</v>
          </cell>
          <cell r="AE361">
            <v>56.855217183061221</v>
          </cell>
          <cell r="AF361">
            <v>55.425230067942344</v>
          </cell>
          <cell r="AG361">
            <v>54.013398001081399</v>
          </cell>
          <cell r="AH361">
            <v>52.619720982478157</v>
          </cell>
        </row>
        <row r="362">
          <cell r="B362" t="str">
            <v>Carbon dioxide (DAC) - Energy cost - Middle East - USD/ton fuel</v>
          </cell>
          <cell r="G362">
            <v>106.54312461630884</v>
          </cell>
          <cell r="H362">
            <v>100.46220586457505</v>
          </cell>
          <cell r="I362">
            <v>94.50864955757099</v>
          </cell>
          <cell r="J362">
            <v>90.289455876080666</v>
          </cell>
          <cell r="K362">
            <v>86.149099881800211</v>
          </cell>
          <cell r="L362">
            <v>82.087581574729612</v>
          </cell>
          <cell r="M362">
            <v>78.104900954868882</v>
          </cell>
          <cell r="N362">
            <v>74.201058022218021</v>
          </cell>
          <cell r="O362">
            <v>71.264783946143552</v>
          </cell>
          <cell r="P362">
            <v>68.380481742891675</v>
          </cell>
          <cell r="Q362">
            <v>65.548151412460825</v>
          </cell>
          <cell r="R362">
            <v>62.767792954851807</v>
          </cell>
          <cell r="S362">
            <v>60.039406370064405</v>
          </cell>
          <cell r="T362">
            <v>58.334255838436711</v>
          </cell>
          <cell r="U362">
            <v>56.653467589691616</v>
          </cell>
          <cell r="V362">
            <v>54.997041623828714</v>
          </cell>
          <cell r="W362">
            <v>53.364977940848128</v>
          </cell>
          <cell r="X362">
            <v>51.757276540749643</v>
          </cell>
          <cell r="Y362">
            <v>49.951129205562665</v>
          </cell>
          <cell r="Z362">
            <v>48.17485125313609</v>
          </cell>
          <cell r="AA362">
            <v>46.428442683469406</v>
          </cell>
          <cell r="AB362">
            <v>44.711903496563266</v>
          </cell>
          <cell r="AC362">
            <v>43.025233692416762</v>
          </cell>
          <cell r="AD362">
            <v>41.969677751620367</v>
          </cell>
          <cell r="AE362">
            <v>40.927191811319283</v>
          </cell>
          <cell r="AF362">
            <v>39.897775871513431</v>
          </cell>
          <cell r="AG362">
            <v>38.881429932202913</v>
          </cell>
          <cell r="AH362">
            <v>37.878153993387855</v>
          </cell>
        </row>
        <row r="363">
          <cell r="B363" t="str">
            <v/>
          </cell>
        </row>
        <row r="364">
          <cell r="B364" t="str">
            <v>Carbon dioxide (DAC) - Feedstock cost including feedstock feedstock cost - Global - USD/ton fuel</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row>
        <row r="366">
          <cell r="B366" t="str">
            <v>Carbon dioxide (PS) - Item - Region - Unit</v>
          </cell>
          <cell r="G366">
            <v>2023</v>
          </cell>
          <cell r="H366">
            <v>2024</v>
          </cell>
          <cell r="I366">
            <v>2025</v>
          </cell>
          <cell r="J366">
            <v>2026</v>
          </cell>
          <cell r="K366">
            <v>2027</v>
          </cell>
          <cell r="L366">
            <v>2028</v>
          </cell>
          <cell r="M366">
            <v>2029</v>
          </cell>
          <cell r="N366">
            <v>2030</v>
          </cell>
          <cell r="O366">
            <v>2031</v>
          </cell>
          <cell r="P366">
            <v>2032</v>
          </cell>
          <cell r="Q366">
            <v>2033</v>
          </cell>
          <cell r="R366">
            <v>2034</v>
          </cell>
          <cell r="S366">
            <v>2035</v>
          </cell>
          <cell r="T366">
            <v>2036</v>
          </cell>
          <cell r="U366">
            <v>2037</v>
          </cell>
          <cell r="V366">
            <v>2038</v>
          </cell>
          <cell r="W366">
            <v>2039</v>
          </cell>
          <cell r="X366">
            <v>2040</v>
          </cell>
          <cell r="Y366">
            <v>2041</v>
          </cell>
          <cell r="Z366">
            <v>2042</v>
          </cell>
          <cell r="AA366">
            <v>2043</v>
          </cell>
          <cell r="AB366">
            <v>2044</v>
          </cell>
          <cell r="AC366">
            <v>2045</v>
          </cell>
          <cell r="AD366">
            <v>2046</v>
          </cell>
          <cell r="AE366">
            <v>2047</v>
          </cell>
          <cell r="AF366">
            <v>2048</v>
          </cell>
          <cell r="AG366">
            <v>2049</v>
          </cell>
          <cell r="AH366">
            <v>2050</v>
          </cell>
        </row>
        <row r="367">
          <cell r="B367" t="str">
            <v>Carbon dioxide (PS) - Total cost - Africa - USD/ton fuel</v>
          </cell>
          <cell r="G367">
            <v>168.75874645206471</v>
          </cell>
          <cell r="H367">
            <v>160.13998331054682</v>
          </cell>
          <cell r="I367">
            <v>151.52122016902811</v>
          </cell>
          <cell r="J367">
            <v>145.12777444160082</v>
          </cell>
          <cell r="K367">
            <v>138.73432871417356</v>
          </cell>
          <cell r="L367">
            <v>132.34088298674627</v>
          </cell>
          <cell r="M367">
            <v>125.94743725931876</v>
          </cell>
          <cell r="N367">
            <v>119.55399153189148</v>
          </cell>
          <cell r="O367">
            <v>116.92970902762548</v>
          </cell>
          <cell r="P367">
            <v>114.30542652335946</v>
          </cell>
          <cell r="Q367">
            <v>111.68114401909322</v>
          </cell>
          <cell r="R367">
            <v>109.0568615148272</v>
          </cell>
          <cell r="S367">
            <v>106.43257901056124</v>
          </cell>
          <cell r="T367">
            <v>104.06242970845638</v>
          </cell>
          <cell r="U367">
            <v>101.69228040635156</v>
          </cell>
          <cell r="V367">
            <v>99.322131104246679</v>
          </cell>
          <cell r="W367">
            <v>96.951981802141802</v>
          </cell>
          <cell r="X367">
            <v>94.581832500037024</v>
          </cell>
          <cell r="Y367">
            <v>92.20529440887249</v>
          </cell>
          <cell r="Z367">
            <v>89.828756317707942</v>
          </cell>
          <cell r="AA367">
            <v>87.452218226543295</v>
          </cell>
          <cell r="AB367">
            <v>85.075680135378761</v>
          </cell>
          <cell r="AC367">
            <v>82.699142044214156</v>
          </cell>
          <cell r="AD367">
            <v>80.440921259156212</v>
          </cell>
          <cell r="AE367">
            <v>78.182700474098326</v>
          </cell>
          <cell r="AF367">
            <v>75.924479689040368</v>
          </cell>
          <cell r="AG367">
            <v>73.666258903982438</v>
          </cell>
          <cell r="AH367">
            <v>71.408038118924537</v>
          </cell>
        </row>
        <row r="368">
          <cell r="B368" t="str">
            <v>Carbon dioxide (PS) - Total cost - Americas - USD/ton fuel</v>
          </cell>
          <cell r="G368">
            <v>158.99256637622852</v>
          </cell>
          <cell r="H368">
            <v>153.11734986838769</v>
          </cell>
          <cell r="I368">
            <v>147.24213336054677</v>
          </cell>
          <cell r="J368">
            <v>141.13088321272323</v>
          </cell>
          <cell r="K368">
            <v>135.01963306489972</v>
          </cell>
          <cell r="L368">
            <v>128.90838291707621</v>
          </cell>
          <cell r="M368">
            <v>122.79713276925288</v>
          </cell>
          <cell r="N368">
            <v>116.68588262142937</v>
          </cell>
          <cell r="O368">
            <v>114.26360850860023</v>
          </cell>
          <cell r="P368">
            <v>111.84133439577106</v>
          </cell>
          <cell r="Q368">
            <v>109.41906028294189</v>
          </cell>
          <cell r="R368">
            <v>106.99678617011273</v>
          </cell>
          <cell r="S368">
            <v>104.57451205728351</v>
          </cell>
          <cell r="T368">
            <v>102.20490465393972</v>
          </cell>
          <cell r="U368">
            <v>99.835297250595929</v>
          </cell>
          <cell r="V368">
            <v>97.465689847252079</v>
          </cell>
          <cell r="W368">
            <v>95.096082443908287</v>
          </cell>
          <cell r="X368">
            <v>92.726475040564452</v>
          </cell>
          <cell r="Y368">
            <v>90.491485476362513</v>
          </cell>
          <cell r="Z368">
            <v>88.256495912160574</v>
          </cell>
          <cell r="AA368">
            <v>86.021506347958649</v>
          </cell>
          <cell r="AB368">
            <v>83.786516783756724</v>
          </cell>
          <cell r="AC368">
            <v>81.551527219554785</v>
          </cell>
          <cell r="AD368">
            <v>79.338841105190284</v>
          </cell>
          <cell r="AE368">
            <v>77.12615499082581</v>
          </cell>
          <cell r="AF368">
            <v>74.913468876461323</v>
          </cell>
          <cell r="AG368">
            <v>72.700782762096864</v>
          </cell>
          <cell r="AH368">
            <v>70.488096647732377</v>
          </cell>
        </row>
        <row r="369">
          <cell r="B369" t="str">
            <v>Carbon dioxide (PS) - Total cost - Asia - USD/ton fuel</v>
          </cell>
          <cell r="G369">
            <v>171.70705445374747</v>
          </cell>
          <cell r="H369">
            <v>163.6057085715762</v>
          </cell>
          <cell r="I369">
            <v>155.50436268940615</v>
          </cell>
          <cell r="J369">
            <v>149.04990457873393</v>
          </cell>
          <cell r="K369">
            <v>142.59544646806216</v>
          </cell>
          <cell r="L369">
            <v>136.14098835738997</v>
          </cell>
          <cell r="M369">
            <v>129.68653024671778</v>
          </cell>
          <cell r="N369">
            <v>123.23207213604601</v>
          </cell>
          <cell r="O369">
            <v>120.46182696317361</v>
          </cell>
          <cell r="P369">
            <v>117.69158179030138</v>
          </cell>
          <cell r="Q369">
            <v>114.92133661742938</v>
          </cell>
          <cell r="R369">
            <v>112.15109144455717</v>
          </cell>
          <cell r="S369">
            <v>109.38084627168496</v>
          </cell>
          <cell r="T369">
            <v>106.91836612397657</v>
          </cell>
          <cell r="U369">
            <v>104.45588597626819</v>
          </cell>
          <cell r="V369">
            <v>101.99340582855991</v>
          </cell>
          <cell r="W369">
            <v>99.530925680851524</v>
          </cell>
          <cell r="X369">
            <v>97.068445533143333</v>
          </cell>
          <cell r="Y369">
            <v>94.591091199010563</v>
          </cell>
          <cell r="Z369">
            <v>92.113736864877893</v>
          </cell>
          <cell r="AA369">
            <v>89.636382530745109</v>
          </cell>
          <cell r="AB369">
            <v>87.159028196612454</v>
          </cell>
          <cell r="AC369">
            <v>84.68167386247967</v>
          </cell>
          <cell r="AD369">
            <v>82.384711747826273</v>
          </cell>
          <cell r="AE369">
            <v>80.087749633172848</v>
          </cell>
          <cell r="AF369">
            <v>77.790787518519437</v>
          </cell>
          <cell r="AG369">
            <v>75.493825403866055</v>
          </cell>
          <cell r="AH369">
            <v>73.196863289212615</v>
          </cell>
        </row>
        <row r="370">
          <cell r="B370" t="str">
            <v>Carbon dioxide (PS) - Total cost - Europe - USD/ton fuel</v>
          </cell>
          <cell r="G370">
            <v>164.2388107443241</v>
          </cell>
          <cell r="H370">
            <v>157.76782547693222</v>
          </cell>
          <cell r="I370">
            <v>151.29684020954031</v>
          </cell>
          <cell r="J370">
            <v>145.00587844730933</v>
          </cell>
          <cell r="K370">
            <v>138.71491668507818</v>
          </cell>
          <cell r="L370">
            <v>132.42395492284723</v>
          </cell>
          <cell r="M370">
            <v>126.13299316061605</v>
          </cell>
          <cell r="N370">
            <v>119.8420313983851</v>
          </cell>
          <cell r="O370">
            <v>117.3830702762656</v>
          </cell>
          <cell r="P370">
            <v>114.92410915414638</v>
          </cell>
          <cell r="Q370">
            <v>112.46514803202705</v>
          </cell>
          <cell r="R370">
            <v>110.00618690990774</v>
          </cell>
          <cell r="S370">
            <v>107.54722578778853</v>
          </cell>
          <cell r="T370">
            <v>105.21511083102753</v>
          </cell>
          <cell r="U370">
            <v>102.88299587426658</v>
          </cell>
          <cell r="V370">
            <v>100.55088091750564</v>
          </cell>
          <cell r="W370">
            <v>98.21876596074469</v>
          </cell>
          <cell r="X370">
            <v>95.88665100398363</v>
          </cell>
          <cell r="Y370">
            <v>93.541413598988882</v>
          </cell>
          <cell r="Z370">
            <v>91.196176193994077</v>
          </cell>
          <cell r="AA370">
            <v>88.850938788999315</v>
          </cell>
          <cell r="AB370">
            <v>86.505701384004524</v>
          </cell>
          <cell r="AC370">
            <v>84.160463979009762</v>
          </cell>
          <cell r="AD370">
            <v>81.869591960752686</v>
          </cell>
          <cell r="AE370">
            <v>79.578719942495553</v>
          </cell>
          <cell r="AF370">
            <v>77.287847924238463</v>
          </cell>
          <cell r="AG370">
            <v>74.996975905981387</v>
          </cell>
          <cell r="AH370">
            <v>72.706103887724254</v>
          </cell>
        </row>
        <row r="371">
          <cell r="B371" t="str">
            <v>Carbon dioxide (PS) - Total cost - Middle East - USD/ton fuel</v>
          </cell>
          <cell r="G371">
            <v>159.14247583625712</v>
          </cell>
          <cell r="H371">
            <v>152.87401630519537</v>
          </cell>
          <cell r="I371">
            <v>146.60555677413339</v>
          </cell>
          <cell r="J371">
            <v>140.58550254056769</v>
          </cell>
          <cell r="K371">
            <v>134.56544830700201</v>
          </cell>
          <cell r="L371">
            <v>128.54539407343631</v>
          </cell>
          <cell r="M371">
            <v>122.52533983987063</v>
          </cell>
          <cell r="N371">
            <v>116.50528560630494</v>
          </cell>
          <cell r="O371">
            <v>114.01792461724683</v>
          </cell>
          <cell r="P371">
            <v>111.5305636281888</v>
          </cell>
          <cell r="Q371">
            <v>109.04320263913067</v>
          </cell>
          <cell r="R371">
            <v>106.55584165007265</v>
          </cell>
          <cell r="S371">
            <v>104.06848066101463</v>
          </cell>
          <cell r="T371">
            <v>101.7522399697978</v>
          </cell>
          <cell r="U371">
            <v>99.435999278580965</v>
          </cell>
          <cell r="V371">
            <v>97.119758587364188</v>
          </cell>
          <cell r="W371">
            <v>94.803517896147369</v>
          </cell>
          <cell r="X371">
            <v>92.487277204930521</v>
          </cell>
          <cell r="Y371">
            <v>90.117453340918203</v>
          </cell>
          <cell r="Z371">
            <v>87.747629476905928</v>
          </cell>
          <cell r="AA371">
            <v>85.377805612893596</v>
          </cell>
          <cell r="AB371">
            <v>83.007981748881349</v>
          </cell>
          <cell r="AC371">
            <v>80.638157884868988</v>
          </cell>
          <cell r="AD371">
            <v>78.388376570930973</v>
          </cell>
          <cell r="AE371">
            <v>76.138595256992971</v>
          </cell>
          <cell r="AF371">
            <v>73.888813943054942</v>
          </cell>
          <cell r="AG371">
            <v>71.639032629116926</v>
          </cell>
          <cell r="AH371">
            <v>69.389251315178939</v>
          </cell>
        </row>
        <row r="372">
          <cell r="B372" t="str">
            <v/>
          </cell>
        </row>
        <row r="373">
          <cell r="B373" t="str">
            <v>Carbon dioxide (PS) - CAPEX including feedstock CAPEX - Global - USD/ton fuel</v>
          </cell>
          <cell r="G373">
            <v>34.333333333333336</v>
          </cell>
          <cell r="H373">
            <v>33</v>
          </cell>
          <cell r="I373">
            <v>31.666666666666668</v>
          </cell>
          <cell r="J373">
            <v>30.333333333333332</v>
          </cell>
          <cell r="K373">
            <v>29</v>
          </cell>
          <cell r="L373">
            <v>27.666666666666668</v>
          </cell>
          <cell r="M373">
            <v>26.333333333333332</v>
          </cell>
          <cell r="N373">
            <v>25</v>
          </cell>
          <cell r="O373">
            <v>24.483333333333334</v>
          </cell>
          <cell r="P373">
            <v>23.966666666666665</v>
          </cell>
          <cell r="Q373">
            <v>23.45</v>
          </cell>
          <cell r="R373">
            <v>22.933333333333334</v>
          </cell>
          <cell r="S373">
            <v>22.416666666666668</v>
          </cell>
          <cell r="T373">
            <v>21.9</v>
          </cell>
          <cell r="U373">
            <v>21.383333333333333</v>
          </cell>
          <cell r="V373">
            <v>20.866666666666667</v>
          </cell>
          <cell r="W373">
            <v>20.350000000000001</v>
          </cell>
          <cell r="X373">
            <v>19.833333333333332</v>
          </cell>
          <cell r="Y373">
            <v>19.316666666666666</v>
          </cell>
          <cell r="Z373">
            <v>18.8</v>
          </cell>
          <cell r="AA373">
            <v>18.283333333333335</v>
          </cell>
          <cell r="AB373">
            <v>17.766666666666666</v>
          </cell>
          <cell r="AC373">
            <v>17.25</v>
          </cell>
          <cell r="AD373">
            <v>16.733333333333334</v>
          </cell>
          <cell r="AE373">
            <v>16.216666666666665</v>
          </cell>
          <cell r="AF373">
            <v>15.7</v>
          </cell>
          <cell r="AG373">
            <v>15.183333333333334</v>
          </cell>
          <cell r="AH373">
            <v>14.666666666666666</v>
          </cell>
        </row>
        <row r="374">
          <cell r="B374" t="str">
            <v>Carbon dioxide (PS) - CAPEX - Global - USD/ton fuel</v>
          </cell>
          <cell r="G374">
            <v>34.333333333333336</v>
          </cell>
          <cell r="H374">
            <v>33</v>
          </cell>
          <cell r="I374">
            <v>31.666666666666668</v>
          </cell>
          <cell r="J374">
            <v>30.333333333333332</v>
          </cell>
          <cell r="K374">
            <v>29</v>
          </cell>
          <cell r="L374">
            <v>27.666666666666668</v>
          </cell>
          <cell r="M374">
            <v>26.333333333333332</v>
          </cell>
          <cell r="N374">
            <v>25</v>
          </cell>
          <cell r="O374">
            <v>24.483333333333334</v>
          </cell>
          <cell r="P374">
            <v>23.966666666666665</v>
          </cell>
          <cell r="Q374">
            <v>23.45</v>
          </cell>
          <cell r="R374">
            <v>22.933333333333334</v>
          </cell>
          <cell r="S374">
            <v>22.416666666666668</v>
          </cell>
          <cell r="T374">
            <v>21.9</v>
          </cell>
          <cell r="U374">
            <v>21.383333333333333</v>
          </cell>
          <cell r="V374">
            <v>20.866666666666667</v>
          </cell>
          <cell r="W374">
            <v>20.350000000000001</v>
          </cell>
          <cell r="X374">
            <v>19.833333333333332</v>
          </cell>
          <cell r="Y374">
            <v>19.316666666666666</v>
          </cell>
          <cell r="Z374">
            <v>18.8</v>
          </cell>
          <cell r="AA374">
            <v>18.283333333333335</v>
          </cell>
          <cell r="AB374">
            <v>17.766666666666666</v>
          </cell>
          <cell r="AC374">
            <v>17.25</v>
          </cell>
          <cell r="AD374">
            <v>16.733333333333334</v>
          </cell>
          <cell r="AE374">
            <v>16.216666666666665</v>
          </cell>
          <cell r="AF374">
            <v>15.7</v>
          </cell>
          <cell r="AG374">
            <v>15.183333333333334</v>
          </cell>
          <cell r="AH374">
            <v>14.666666666666666</v>
          </cell>
        </row>
        <row r="375">
          <cell r="B375" t="str">
            <v/>
          </cell>
        </row>
        <row r="376">
          <cell r="B376" t="str">
            <v>Carbon dioxide (PS) - OPEX including feedstock OPEX - Global - USD/ton fuel</v>
          </cell>
          <cell r="G376">
            <v>51.5</v>
          </cell>
          <cell r="H376">
            <v>49.5</v>
          </cell>
          <cell r="I376">
            <v>47.5</v>
          </cell>
          <cell r="J376">
            <v>45.5</v>
          </cell>
          <cell r="K376">
            <v>43.5</v>
          </cell>
          <cell r="L376">
            <v>41.5</v>
          </cell>
          <cell r="M376">
            <v>39.5</v>
          </cell>
          <cell r="N376">
            <v>37.5</v>
          </cell>
          <cell r="O376">
            <v>36.725000000000001</v>
          </cell>
          <cell r="P376">
            <v>35.950000000000003</v>
          </cell>
          <cell r="Q376">
            <v>35.175000000000004</v>
          </cell>
          <cell r="R376">
            <v>34.4</v>
          </cell>
          <cell r="S376">
            <v>33.625</v>
          </cell>
          <cell r="T376">
            <v>32.85</v>
          </cell>
          <cell r="U376">
            <v>32.075000000000003</v>
          </cell>
          <cell r="V376">
            <v>31.3</v>
          </cell>
          <cell r="W376">
            <v>30.525000000000002</v>
          </cell>
          <cell r="X376">
            <v>29.75</v>
          </cell>
          <cell r="Y376">
            <v>28.975000000000001</v>
          </cell>
          <cell r="Z376">
            <v>28.200000000000003</v>
          </cell>
          <cell r="AA376">
            <v>27.425000000000001</v>
          </cell>
          <cell r="AB376">
            <v>26.650000000000002</v>
          </cell>
          <cell r="AC376">
            <v>25.875</v>
          </cell>
          <cell r="AD376">
            <v>25.1</v>
          </cell>
          <cell r="AE376">
            <v>24.325000000000003</v>
          </cell>
          <cell r="AF376">
            <v>23.55</v>
          </cell>
          <cell r="AG376">
            <v>22.775000000000002</v>
          </cell>
          <cell r="AH376">
            <v>22</v>
          </cell>
        </row>
        <row r="377">
          <cell r="B377" t="str">
            <v>Carbon dioxide (PS) - OPEX - Global - USD/ton fuel</v>
          </cell>
          <cell r="G377">
            <v>51.5</v>
          </cell>
          <cell r="H377">
            <v>49.5</v>
          </cell>
          <cell r="I377">
            <v>47.5</v>
          </cell>
          <cell r="J377">
            <v>45.5</v>
          </cell>
          <cell r="K377">
            <v>43.5</v>
          </cell>
          <cell r="L377">
            <v>41.5</v>
          </cell>
          <cell r="M377">
            <v>39.5</v>
          </cell>
          <cell r="N377">
            <v>37.5</v>
          </cell>
          <cell r="O377">
            <v>36.725000000000001</v>
          </cell>
          <cell r="P377">
            <v>35.950000000000003</v>
          </cell>
          <cell r="Q377">
            <v>35.175000000000004</v>
          </cell>
          <cell r="R377">
            <v>34.4</v>
          </cell>
          <cell r="S377">
            <v>33.625</v>
          </cell>
          <cell r="T377">
            <v>32.85</v>
          </cell>
          <cell r="U377">
            <v>32.075000000000003</v>
          </cell>
          <cell r="V377">
            <v>31.3</v>
          </cell>
          <cell r="W377">
            <v>30.525000000000002</v>
          </cell>
          <cell r="X377">
            <v>29.75</v>
          </cell>
          <cell r="Y377">
            <v>28.975000000000001</v>
          </cell>
          <cell r="Z377">
            <v>28.200000000000003</v>
          </cell>
          <cell r="AA377">
            <v>27.425000000000001</v>
          </cell>
          <cell r="AB377">
            <v>26.650000000000002</v>
          </cell>
          <cell r="AC377">
            <v>25.875</v>
          </cell>
          <cell r="AD377">
            <v>25.1</v>
          </cell>
          <cell r="AE377">
            <v>24.325000000000003</v>
          </cell>
          <cell r="AF377">
            <v>23.55</v>
          </cell>
          <cell r="AG377">
            <v>22.775000000000002</v>
          </cell>
          <cell r="AH377">
            <v>22</v>
          </cell>
        </row>
        <row r="378">
          <cell r="B378" t="str">
            <v/>
          </cell>
        </row>
        <row r="379">
          <cell r="B379" t="str">
            <v>Carbon dioxide (PS) - Finance cost including feedstock finance cost - Africa - USD/ton fuel</v>
          </cell>
          <cell r="G379">
            <v>56.650000000000006</v>
          </cell>
          <cell r="H379">
            <v>54.45000000000001</v>
          </cell>
          <cell r="I379">
            <v>52.250000000000007</v>
          </cell>
          <cell r="J379">
            <v>50.050000000000004</v>
          </cell>
          <cell r="K379">
            <v>47.850000000000009</v>
          </cell>
          <cell r="L379">
            <v>45.650000000000006</v>
          </cell>
          <cell r="M379">
            <v>43.45</v>
          </cell>
          <cell r="N379">
            <v>41.250000000000007</v>
          </cell>
          <cell r="O379">
            <v>40.397500000000008</v>
          </cell>
          <cell r="P379">
            <v>39.545000000000002</v>
          </cell>
          <cell r="Q379">
            <v>38.692500000000003</v>
          </cell>
          <cell r="R379">
            <v>37.840000000000003</v>
          </cell>
          <cell r="S379">
            <v>36.987500000000004</v>
          </cell>
          <cell r="T379">
            <v>36.135000000000005</v>
          </cell>
          <cell r="U379">
            <v>35.282500000000006</v>
          </cell>
          <cell r="V379">
            <v>34.430000000000007</v>
          </cell>
          <cell r="W379">
            <v>33.577500000000008</v>
          </cell>
          <cell r="X379">
            <v>32.725000000000001</v>
          </cell>
          <cell r="Y379">
            <v>31.872500000000006</v>
          </cell>
          <cell r="Z379">
            <v>31.020000000000003</v>
          </cell>
          <cell r="AA379">
            <v>30.167500000000004</v>
          </cell>
          <cell r="AB379">
            <v>29.315000000000005</v>
          </cell>
          <cell r="AC379">
            <v>28.462500000000002</v>
          </cell>
          <cell r="AD379">
            <v>27.610000000000003</v>
          </cell>
          <cell r="AE379">
            <v>26.757500000000004</v>
          </cell>
          <cell r="AF379">
            <v>25.905000000000005</v>
          </cell>
          <cell r="AG379">
            <v>25.052500000000002</v>
          </cell>
          <cell r="AH379">
            <v>24.200000000000003</v>
          </cell>
        </row>
        <row r="380">
          <cell r="B380" t="str">
            <v>Carbon dioxide (PS) - Finance cost including feedstock finance cost - Americas - USD/ton fuel</v>
          </cell>
          <cell r="G380">
            <v>56.650000000000006</v>
          </cell>
          <cell r="H380">
            <v>54.45000000000001</v>
          </cell>
          <cell r="I380">
            <v>52.250000000000007</v>
          </cell>
          <cell r="J380">
            <v>50.050000000000004</v>
          </cell>
          <cell r="K380">
            <v>47.850000000000009</v>
          </cell>
          <cell r="L380">
            <v>45.650000000000006</v>
          </cell>
          <cell r="M380">
            <v>43.45</v>
          </cell>
          <cell r="N380">
            <v>41.250000000000007</v>
          </cell>
          <cell r="O380">
            <v>40.397500000000008</v>
          </cell>
          <cell r="P380">
            <v>39.545000000000002</v>
          </cell>
          <cell r="Q380">
            <v>38.692500000000003</v>
          </cell>
          <cell r="R380">
            <v>37.840000000000003</v>
          </cell>
          <cell r="S380">
            <v>36.987500000000004</v>
          </cell>
          <cell r="T380">
            <v>36.135000000000005</v>
          </cell>
          <cell r="U380">
            <v>35.282500000000006</v>
          </cell>
          <cell r="V380">
            <v>34.430000000000007</v>
          </cell>
          <cell r="W380">
            <v>33.577500000000008</v>
          </cell>
          <cell r="X380">
            <v>32.725000000000001</v>
          </cell>
          <cell r="Y380">
            <v>31.872500000000006</v>
          </cell>
          <cell r="Z380">
            <v>31.020000000000003</v>
          </cell>
          <cell r="AA380">
            <v>30.167500000000004</v>
          </cell>
          <cell r="AB380">
            <v>29.315000000000005</v>
          </cell>
          <cell r="AC380">
            <v>28.462500000000002</v>
          </cell>
          <cell r="AD380">
            <v>27.610000000000003</v>
          </cell>
          <cell r="AE380">
            <v>26.757500000000004</v>
          </cell>
          <cell r="AF380">
            <v>25.905000000000005</v>
          </cell>
          <cell r="AG380">
            <v>25.052500000000002</v>
          </cell>
          <cell r="AH380">
            <v>24.200000000000003</v>
          </cell>
        </row>
        <row r="381">
          <cell r="B381" t="str">
            <v>Carbon dioxide (PS) - Finance cost including feedstock finance cost - Asia - USD/ton fuel</v>
          </cell>
          <cell r="G381">
            <v>56.650000000000006</v>
          </cell>
          <cell r="H381">
            <v>54.45000000000001</v>
          </cell>
          <cell r="I381">
            <v>52.250000000000007</v>
          </cell>
          <cell r="J381">
            <v>50.050000000000004</v>
          </cell>
          <cell r="K381">
            <v>47.850000000000009</v>
          </cell>
          <cell r="L381">
            <v>45.650000000000006</v>
          </cell>
          <cell r="M381">
            <v>43.45</v>
          </cell>
          <cell r="N381">
            <v>41.250000000000007</v>
          </cell>
          <cell r="O381">
            <v>40.397500000000008</v>
          </cell>
          <cell r="P381">
            <v>39.545000000000002</v>
          </cell>
          <cell r="Q381">
            <v>38.692500000000003</v>
          </cell>
          <cell r="R381">
            <v>37.840000000000003</v>
          </cell>
          <cell r="S381">
            <v>36.987500000000004</v>
          </cell>
          <cell r="T381">
            <v>36.135000000000005</v>
          </cell>
          <cell r="U381">
            <v>35.282500000000006</v>
          </cell>
          <cell r="V381">
            <v>34.430000000000007</v>
          </cell>
          <cell r="W381">
            <v>33.577500000000008</v>
          </cell>
          <cell r="X381">
            <v>32.725000000000001</v>
          </cell>
          <cell r="Y381">
            <v>31.872500000000006</v>
          </cell>
          <cell r="Z381">
            <v>31.020000000000003</v>
          </cell>
          <cell r="AA381">
            <v>30.167500000000004</v>
          </cell>
          <cell r="AB381">
            <v>29.315000000000005</v>
          </cell>
          <cell r="AC381">
            <v>28.462500000000002</v>
          </cell>
          <cell r="AD381">
            <v>27.610000000000003</v>
          </cell>
          <cell r="AE381">
            <v>26.757500000000004</v>
          </cell>
          <cell r="AF381">
            <v>25.905000000000005</v>
          </cell>
          <cell r="AG381">
            <v>25.052500000000002</v>
          </cell>
          <cell r="AH381">
            <v>24.200000000000003</v>
          </cell>
        </row>
        <row r="382">
          <cell r="B382" t="str">
            <v>Carbon dioxide (PS) - Finance cost including feedstock finance cost - Europe - USD/ton fuel</v>
          </cell>
          <cell r="G382">
            <v>56.650000000000006</v>
          </cell>
          <cell r="H382">
            <v>54.45000000000001</v>
          </cell>
          <cell r="I382">
            <v>52.250000000000007</v>
          </cell>
          <cell r="J382">
            <v>50.050000000000004</v>
          </cell>
          <cell r="K382">
            <v>47.850000000000009</v>
          </cell>
          <cell r="L382">
            <v>45.650000000000006</v>
          </cell>
          <cell r="M382">
            <v>43.45</v>
          </cell>
          <cell r="N382">
            <v>41.250000000000007</v>
          </cell>
          <cell r="O382">
            <v>40.397500000000008</v>
          </cell>
          <cell r="P382">
            <v>39.545000000000002</v>
          </cell>
          <cell r="Q382">
            <v>38.692500000000003</v>
          </cell>
          <cell r="R382">
            <v>37.840000000000003</v>
          </cell>
          <cell r="S382">
            <v>36.987500000000004</v>
          </cell>
          <cell r="T382">
            <v>36.135000000000005</v>
          </cell>
          <cell r="U382">
            <v>35.282500000000006</v>
          </cell>
          <cell r="V382">
            <v>34.430000000000007</v>
          </cell>
          <cell r="W382">
            <v>33.577500000000008</v>
          </cell>
          <cell r="X382">
            <v>32.725000000000001</v>
          </cell>
          <cell r="Y382">
            <v>31.872500000000006</v>
          </cell>
          <cell r="Z382">
            <v>31.020000000000003</v>
          </cell>
          <cell r="AA382">
            <v>30.167500000000004</v>
          </cell>
          <cell r="AB382">
            <v>29.315000000000005</v>
          </cell>
          <cell r="AC382">
            <v>28.462500000000002</v>
          </cell>
          <cell r="AD382">
            <v>27.610000000000003</v>
          </cell>
          <cell r="AE382">
            <v>26.757500000000004</v>
          </cell>
          <cell r="AF382">
            <v>25.905000000000005</v>
          </cell>
          <cell r="AG382">
            <v>25.052500000000002</v>
          </cell>
          <cell r="AH382">
            <v>24.200000000000003</v>
          </cell>
        </row>
        <row r="383">
          <cell r="B383" t="str">
            <v>Carbon dioxide (PS) - Finance cost including feedstock finance cost - Middle East - USD/ton fuel</v>
          </cell>
          <cell r="G383">
            <v>56.650000000000006</v>
          </cell>
          <cell r="H383">
            <v>54.45000000000001</v>
          </cell>
          <cell r="I383">
            <v>52.250000000000007</v>
          </cell>
          <cell r="J383">
            <v>50.050000000000004</v>
          </cell>
          <cell r="K383">
            <v>47.850000000000009</v>
          </cell>
          <cell r="L383">
            <v>45.650000000000006</v>
          </cell>
          <cell r="M383">
            <v>43.45</v>
          </cell>
          <cell r="N383">
            <v>41.250000000000007</v>
          </cell>
          <cell r="O383">
            <v>40.397500000000008</v>
          </cell>
          <cell r="P383">
            <v>39.545000000000002</v>
          </cell>
          <cell r="Q383">
            <v>38.692500000000003</v>
          </cell>
          <cell r="R383">
            <v>37.840000000000003</v>
          </cell>
          <cell r="S383">
            <v>36.987500000000004</v>
          </cell>
          <cell r="T383">
            <v>36.135000000000005</v>
          </cell>
          <cell r="U383">
            <v>35.282500000000006</v>
          </cell>
          <cell r="V383">
            <v>34.430000000000007</v>
          </cell>
          <cell r="W383">
            <v>33.577500000000008</v>
          </cell>
          <cell r="X383">
            <v>32.725000000000001</v>
          </cell>
          <cell r="Y383">
            <v>31.872500000000006</v>
          </cell>
          <cell r="Z383">
            <v>31.020000000000003</v>
          </cell>
          <cell r="AA383">
            <v>30.167500000000004</v>
          </cell>
          <cell r="AB383">
            <v>29.315000000000005</v>
          </cell>
          <cell r="AC383">
            <v>28.462500000000002</v>
          </cell>
          <cell r="AD383">
            <v>27.610000000000003</v>
          </cell>
          <cell r="AE383">
            <v>26.757500000000004</v>
          </cell>
          <cell r="AF383">
            <v>25.905000000000005</v>
          </cell>
          <cell r="AG383">
            <v>25.052500000000002</v>
          </cell>
          <cell r="AH383">
            <v>24.200000000000003</v>
          </cell>
        </row>
        <row r="384">
          <cell r="B384" t="str">
            <v>Carbon dioxide (PS) - Finance cost - Africa - USD/ton fuel</v>
          </cell>
          <cell r="G384">
            <v>56.650000000000006</v>
          </cell>
          <cell r="H384">
            <v>54.45000000000001</v>
          </cell>
          <cell r="I384">
            <v>52.250000000000007</v>
          </cell>
          <cell r="J384">
            <v>50.050000000000004</v>
          </cell>
          <cell r="K384">
            <v>47.850000000000009</v>
          </cell>
          <cell r="L384">
            <v>45.650000000000006</v>
          </cell>
          <cell r="M384">
            <v>43.45</v>
          </cell>
          <cell r="N384">
            <v>41.250000000000007</v>
          </cell>
          <cell r="O384">
            <v>40.397500000000008</v>
          </cell>
          <cell r="P384">
            <v>39.545000000000002</v>
          </cell>
          <cell r="Q384">
            <v>38.692500000000003</v>
          </cell>
          <cell r="R384">
            <v>37.840000000000003</v>
          </cell>
          <cell r="S384">
            <v>36.987500000000004</v>
          </cell>
          <cell r="T384">
            <v>36.135000000000005</v>
          </cell>
          <cell r="U384">
            <v>35.282500000000006</v>
          </cell>
          <cell r="V384">
            <v>34.430000000000007</v>
          </cell>
          <cell r="W384">
            <v>33.577500000000008</v>
          </cell>
          <cell r="X384">
            <v>32.725000000000001</v>
          </cell>
          <cell r="Y384">
            <v>31.872500000000006</v>
          </cell>
          <cell r="Z384">
            <v>31.020000000000003</v>
          </cell>
          <cell r="AA384">
            <v>30.167500000000004</v>
          </cell>
          <cell r="AB384">
            <v>29.315000000000005</v>
          </cell>
          <cell r="AC384">
            <v>28.462500000000002</v>
          </cell>
          <cell r="AD384">
            <v>27.610000000000003</v>
          </cell>
          <cell r="AE384">
            <v>26.757500000000004</v>
          </cell>
          <cell r="AF384">
            <v>25.905000000000005</v>
          </cell>
          <cell r="AG384">
            <v>25.052500000000002</v>
          </cell>
          <cell r="AH384">
            <v>24.200000000000003</v>
          </cell>
        </row>
        <row r="385">
          <cell r="B385" t="str">
            <v>Carbon dioxide (PS) - Finance cost - Americas - USD/ton fuel</v>
          </cell>
          <cell r="G385">
            <v>56.650000000000006</v>
          </cell>
          <cell r="H385">
            <v>54.45000000000001</v>
          </cell>
          <cell r="I385">
            <v>52.250000000000007</v>
          </cell>
          <cell r="J385">
            <v>50.050000000000004</v>
          </cell>
          <cell r="K385">
            <v>47.850000000000009</v>
          </cell>
          <cell r="L385">
            <v>45.650000000000006</v>
          </cell>
          <cell r="M385">
            <v>43.45</v>
          </cell>
          <cell r="N385">
            <v>41.250000000000007</v>
          </cell>
          <cell r="O385">
            <v>40.397500000000008</v>
          </cell>
          <cell r="P385">
            <v>39.545000000000002</v>
          </cell>
          <cell r="Q385">
            <v>38.692500000000003</v>
          </cell>
          <cell r="R385">
            <v>37.840000000000003</v>
          </cell>
          <cell r="S385">
            <v>36.987500000000004</v>
          </cell>
          <cell r="T385">
            <v>36.135000000000005</v>
          </cell>
          <cell r="U385">
            <v>35.282500000000006</v>
          </cell>
          <cell r="V385">
            <v>34.430000000000007</v>
          </cell>
          <cell r="W385">
            <v>33.577500000000008</v>
          </cell>
          <cell r="X385">
            <v>32.725000000000001</v>
          </cell>
          <cell r="Y385">
            <v>31.872500000000006</v>
          </cell>
          <cell r="Z385">
            <v>31.020000000000003</v>
          </cell>
          <cell r="AA385">
            <v>30.167500000000004</v>
          </cell>
          <cell r="AB385">
            <v>29.315000000000005</v>
          </cell>
          <cell r="AC385">
            <v>28.462500000000002</v>
          </cell>
          <cell r="AD385">
            <v>27.610000000000003</v>
          </cell>
          <cell r="AE385">
            <v>26.757500000000004</v>
          </cell>
          <cell r="AF385">
            <v>25.905000000000005</v>
          </cell>
          <cell r="AG385">
            <v>25.052500000000002</v>
          </cell>
          <cell r="AH385">
            <v>24.200000000000003</v>
          </cell>
        </row>
        <row r="386">
          <cell r="B386" t="str">
            <v>Carbon dioxide (PS) - Finance cost - Asia - USD/ton fuel</v>
          </cell>
          <cell r="G386">
            <v>56.650000000000006</v>
          </cell>
          <cell r="H386">
            <v>54.45000000000001</v>
          </cell>
          <cell r="I386">
            <v>52.250000000000007</v>
          </cell>
          <cell r="J386">
            <v>50.050000000000004</v>
          </cell>
          <cell r="K386">
            <v>47.850000000000009</v>
          </cell>
          <cell r="L386">
            <v>45.650000000000006</v>
          </cell>
          <cell r="M386">
            <v>43.45</v>
          </cell>
          <cell r="N386">
            <v>41.250000000000007</v>
          </cell>
          <cell r="O386">
            <v>40.397500000000008</v>
          </cell>
          <cell r="P386">
            <v>39.545000000000002</v>
          </cell>
          <cell r="Q386">
            <v>38.692500000000003</v>
          </cell>
          <cell r="R386">
            <v>37.840000000000003</v>
          </cell>
          <cell r="S386">
            <v>36.987500000000004</v>
          </cell>
          <cell r="T386">
            <v>36.135000000000005</v>
          </cell>
          <cell r="U386">
            <v>35.282500000000006</v>
          </cell>
          <cell r="V386">
            <v>34.430000000000007</v>
          </cell>
          <cell r="W386">
            <v>33.577500000000008</v>
          </cell>
          <cell r="X386">
            <v>32.725000000000001</v>
          </cell>
          <cell r="Y386">
            <v>31.872500000000006</v>
          </cell>
          <cell r="Z386">
            <v>31.020000000000003</v>
          </cell>
          <cell r="AA386">
            <v>30.167500000000004</v>
          </cell>
          <cell r="AB386">
            <v>29.315000000000005</v>
          </cell>
          <cell r="AC386">
            <v>28.462500000000002</v>
          </cell>
          <cell r="AD386">
            <v>27.610000000000003</v>
          </cell>
          <cell r="AE386">
            <v>26.757500000000004</v>
          </cell>
          <cell r="AF386">
            <v>25.905000000000005</v>
          </cell>
          <cell r="AG386">
            <v>25.052500000000002</v>
          </cell>
          <cell r="AH386">
            <v>24.200000000000003</v>
          </cell>
        </row>
        <row r="387">
          <cell r="B387" t="str">
            <v>Carbon dioxide (PS) - Finance cost - Europe - USD/ton fuel</v>
          </cell>
          <cell r="G387">
            <v>56.650000000000006</v>
          </cell>
          <cell r="H387">
            <v>54.45000000000001</v>
          </cell>
          <cell r="I387">
            <v>52.250000000000007</v>
          </cell>
          <cell r="J387">
            <v>50.050000000000004</v>
          </cell>
          <cell r="K387">
            <v>47.850000000000009</v>
          </cell>
          <cell r="L387">
            <v>45.650000000000006</v>
          </cell>
          <cell r="M387">
            <v>43.45</v>
          </cell>
          <cell r="N387">
            <v>41.250000000000007</v>
          </cell>
          <cell r="O387">
            <v>40.397500000000008</v>
          </cell>
          <cell r="P387">
            <v>39.545000000000002</v>
          </cell>
          <cell r="Q387">
            <v>38.692500000000003</v>
          </cell>
          <cell r="R387">
            <v>37.840000000000003</v>
          </cell>
          <cell r="S387">
            <v>36.987500000000004</v>
          </cell>
          <cell r="T387">
            <v>36.135000000000005</v>
          </cell>
          <cell r="U387">
            <v>35.282500000000006</v>
          </cell>
          <cell r="V387">
            <v>34.430000000000007</v>
          </cell>
          <cell r="W387">
            <v>33.577500000000008</v>
          </cell>
          <cell r="X387">
            <v>32.725000000000001</v>
          </cell>
          <cell r="Y387">
            <v>31.872500000000006</v>
          </cell>
          <cell r="Z387">
            <v>31.020000000000003</v>
          </cell>
          <cell r="AA387">
            <v>30.167500000000004</v>
          </cell>
          <cell r="AB387">
            <v>29.315000000000005</v>
          </cell>
          <cell r="AC387">
            <v>28.462500000000002</v>
          </cell>
          <cell r="AD387">
            <v>27.610000000000003</v>
          </cell>
          <cell r="AE387">
            <v>26.757500000000004</v>
          </cell>
          <cell r="AF387">
            <v>25.905000000000005</v>
          </cell>
          <cell r="AG387">
            <v>25.052500000000002</v>
          </cell>
          <cell r="AH387">
            <v>24.200000000000003</v>
          </cell>
        </row>
        <row r="388">
          <cell r="B388" t="str">
            <v>Carbon dioxide (PS) - Finance cost - Middle East - USD/ton fuel</v>
          </cell>
          <cell r="G388">
            <v>56.650000000000006</v>
          </cell>
          <cell r="H388">
            <v>54.45000000000001</v>
          </cell>
          <cell r="I388">
            <v>52.250000000000007</v>
          </cell>
          <cell r="J388">
            <v>50.050000000000004</v>
          </cell>
          <cell r="K388">
            <v>47.850000000000009</v>
          </cell>
          <cell r="L388">
            <v>45.650000000000006</v>
          </cell>
          <cell r="M388">
            <v>43.45</v>
          </cell>
          <cell r="N388">
            <v>41.250000000000007</v>
          </cell>
          <cell r="O388">
            <v>40.397500000000008</v>
          </cell>
          <cell r="P388">
            <v>39.545000000000002</v>
          </cell>
          <cell r="Q388">
            <v>38.692500000000003</v>
          </cell>
          <cell r="R388">
            <v>37.840000000000003</v>
          </cell>
          <cell r="S388">
            <v>36.987500000000004</v>
          </cell>
          <cell r="T388">
            <v>36.135000000000005</v>
          </cell>
          <cell r="U388">
            <v>35.282500000000006</v>
          </cell>
          <cell r="V388">
            <v>34.430000000000007</v>
          </cell>
          <cell r="W388">
            <v>33.577500000000008</v>
          </cell>
          <cell r="X388">
            <v>32.725000000000001</v>
          </cell>
          <cell r="Y388">
            <v>31.872500000000006</v>
          </cell>
          <cell r="Z388">
            <v>31.020000000000003</v>
          </cell>
          <cell r="AA388">
            <v>30.167500000000004</v>
          </cell>
          <cell r="AB388">
            <v>29.315000000000005</v>
          </cell>
          <cell r="AC388">
            <v>28.462500000000002</v>
          </cell>
          <cell r="AD388">
            <v>27.610000000000003</v>
          </cell>
          <cell r="AE388">
            <v>26.757500000000004</v>
          </cell>
          <cell r="AF388">
            <v>25.905000000000005</v>
          </cell>
          <cell r="AG388">
            <v>25.052500000000002</v>
          </cell>
          <cell r="AH388">
            <v>24.200000000000003</v>
          </cell>
        </row>
        <row r="389">
          <cell r="B389" t="str">
            <v/>
          </cell>
        </row>
        <row r="390">
          <cell r="B390" t="str">
            <v>Carbon dioxide (PS) - Energy cost including feedstock energy cost - Africa - USD/ton fuel</v>
          </cell>
          <cell r="G390">
            <v>26.275413118731375</v>
          </cell>
          <cell r="H390">
            <v>23.189983310546815</v>
          </cell>
          <cell r="I390">
            <v>20.104553502361433</v>
          </cell>
          <cell r="J390">
            <v>19.244441108267484</v>
          </cell>
          <cell r="K390">
            <v>18.384328714173535</v>
          </cell>
          <cell r="L390">
            <v>17.524216320079585</v>
          </cell>
          <cell r="M390">
            <v>16.664103925985433</v>
          </cell>
          <cell r="N390">
            <v>15.803991531891484</v>
          </cell>
          <cell r="O390">
            <v>15.323875694292132</v>
          </cell>
          <cell r="P390">
            <v>14.843759856692783</v>
          </cell>
          <cell r="Q390">
            <v>14.363644019093227</v>
          </cell>
          <cell r="R390">
            <v>13.883528181493876</v>
          </cell>
          <cell r="S390">
            <v>13.403412343894576</v>
          </cell>
          <cell r="T390">
            <v>13.177429708456367</v>
          </cell>
          <cell r="U390">
            <v>12.95144707301821</v>
          </cell>
          <cell r="V390">
            <v>12.725464437580001</v>
          </cell>
          <cell r="W390">
            <v>12.499481802141792</v>
          </cell>
          <cell r="X390">
            <v>12.273499166703687</v>
          </cell>
          <cell r="Y390">
            <v>12.041127742205811</v>
          </cell>
          <cell r="Z390">
            <v>11.808756317707935</v>
          </cell>
          <cell r="AA390">
            <v>11.576384893209957</v>
          </cell>
          <cell r="AB390">
            <v>11.344013468712081</v>
          </cell>
          <cell r="AC390">
            <v>11.111642044214154</v>
          </cell>
          <cell r="AD390">
            <v>10.997587925822875</v>
          </cell>
          <cell r="AE390">
            <v>10.88353380743165</v>
          </cell>
          <cell r="AF390">
            <v>10.769479689040372</v>
          </cell>
          <cell r="AG390">
            <v>10.655425570649095</v>
          </cell>
          <cell r="AH390">
            <v>10.541371452257868</v>
          </cell>
        </row>
        <row r="391">
          <cell r="B391" t="str">
            <v>Carbon dioxide (PS) - Energy cost including feedstock energy cost - Americas - USD/ton fuel</v>
          </cell>
          <cell r="G391">
            <v>16.509233042895165</v>
          </cell>
          <cell r="H391">
            <v>16.167349868387682</v>
          </cell>
          <cell r="I391">
            <v>15.825466693880093</v>
          </cell>
          <cell r="J391">
            <v>15.247549879389908</v>
          </cell>
          <cell r="K391">
            <v>14.669633064899722</v>
          </cell>
          <cell r="L391">
            <v>14.091716250409537</v>
          </cell>
          <cell r="M391">
            <v>13.513799435919555</v>
          </cell>
          <cell r="N391">
            <v>12.93588262142937</v>
          </cell>
          <cell r="O391">
            <v>12.657775175266876</v>
          </cell>
          <cell r="P391">
            <v>12.379667729104382</v>
          </cell>
          <cell r="Q391">
            <v>12.101560282941888</v>
          </cell>
          <cell r="R391">
            <v>11.823452836779394</v>
          </cell>
          <cell r="S391">
            <v>11.545345390616848</v>
          </cell>
          <cell r="T391">
            <v>11.319904653939716</v>
          </cell>
          <cell r="U391">
            <v>11.094463917262585</v>
          </cell>
          <cell r="V391">
            <v>10.869023180585401</v>
          </cell>
          <cell r="W391">
            <v>10.64358244390827</v>
          </cell>
          <cell r="X391">
            <v>10.418141707231113</v>
          </cell>
          <cell r="Y391">
            <v>10.327318809695839</v>
          </cell>
          <cell r="Z391">
            <v>10.236495912160567</v>
          </cell>
          <cell r="AA391">
            <v>10.14567301462532</v>
          </cell>
          <cell r="AB391">
            <v>10.054850117090046</v>
          </cell>
          <cell r="AC391">
            <v>9.9640272195547741</v>
          </cell>
          <cell r="AD391">
            <v>9.8955077718569413</v>
          </cell>
          <cell r="AE391">
            <v>9.8269883241591351</v>
          </cell>
          <cell r="AF391">
            <v>9.7584688764613272</v>
          </cell>
          <cell r="AG391">
            <v>9.6899494287635211</v>
          </cell>
          <cell r="AH391">
            <v>9.6214299810657149</v>
          </cell>
        </row>
        <row r="392">
          <cell r="B392" t="str">
            <v>Carbon dioxide (PS) - Energy cost including feedstock energy cost - Asia - USD/ton fuel</v>
          </cell>
          <cell r="G392">
            <v>29.223721120414123</v>
          </cell>
          <cell r="H392">
            <v>26.655708571576181</v>
          </cell>
          <cell r="I392">
            <v>24.087696022739465</v>
          </cell>
          <cell r="J392">
            <v>23.166571245400611</v>
          </cell>
          <cell r="K392">
            <v>22.245446468062166</v>
          </cell>
          <cell r="L392">
            <v>21.324321690723309</v>
          </cell>
          <cell r="M392">
            <v>20.403196913384456</v>
          </cell>
          <cell r="N392">
            <v>19.482072136046011</v>
          </cell>
          <cell r="O392">
            <v>18.85599362984026</v>
          </cell>
          <cell r="P392">
            <v>18.229915123634715</v>
          </cell>
          <cell r="Q392">
            <v>17.603836617429376</v>
          </cell>
          <cell r="R392">
            <v>16.977758111223832</v>
          </cell>
          <cell r="S392">
            <v>16.351679605018287</v>
          </cell>
          <cell r="T392">
            <v>16.033366123976567</v>
          </cell>
          <cell r="U392">
            <v>15.715052642934848</v>
          </cell>
          <cell r="V392">
            <v>15.396739161893231</v>
          </cell>
          <cell r="W392">
            <v>15.078425680851513</v>
          </cell>
          <cell r="X392">
            <v>14.760112199809999</v>
          </cell>
          <cell r="Y392">
            <v>14.426924532343889</v>
          </cell>
          <cell r="Z392">
            <v>14.093736864877883</v>
          </cell>
          <cell r="AA392">
            <v>13.760549197411775</v>
          </cell>
          <cell r="AB392">
            <v>13.427361529945768</v>
          </cell>
          <cell r="AC392">
            <v>13.094173862479659</v>
          </cell>
          <cell r="AD392">
            <v>12.941378414492936</v>
          </cell>
          <cell r="AE392">
            <v>12.788582966506164</v>
          </cell>
          <cell r="AF392">
            <v>12.635787518519441</v>
          </cell>
          <cell r="AG392">
            <v>12.48299207053272</v>
          </cell>
          <cell r="AH392">
            <v>12.330196622545946</v>
          </cell>
        </row>
        <row r="393">
          <cell r="B393" t="str">
            <v>Carbon dioxide (PS) - Energy cost including feedstock energy cost - Europe - USD/ton fuel</v>
          </cell>
          <cell r="G393">
            <v>21.75547741099076</v>
          </cell>
          <cell r="H393">
            <v>20.817825476932196</v>
          </cell>
          <cell r="I393">
            <v>19.880173542873628</v>
          </cell>
          <cell r="J393">
            <v>19.122545113976003</v>
          </cell>
          <cell r="K393">
            <v>18.364916685078175</v>
          </cell>
          <cell r="L393">
            <v>17.607288256180549</v>
          </cell>
          <cell r="M393">
            <v>16.849659827282721</v>
          </cell>
          <cell r="N393">
            <v>16.0920313983851</v>
          </cell>
          <cell r="O393">
            <v>15.777236942932246</v>
          </cell>
          <cell r="P393">
            <v>15.4624424874797</v>
          </cell>
          <cell r="Q393">
            <v>15.147648032027053</v>
          </cell>
          <cell r="R393">
            <v>14.832853576574406</v>
          </cell>
          <cell r="S393">
            <v>14.51805912112186</v>
          </cell>
          <cell r="T393">
            <v>14.330110831027525</v>
          </cell>
          <cell r="U393">
            <v>14.142162540933242</v>
          </cell>
          <cell r="V393">
            <v>13.954214250838959</v>
          </cell>
          <cell r="W393">
            <v>13.766265960744676</v>
          </cell>
          <cell r="X393">
            <v>13.578317670650291</v>
          </cell>
          <cell r="Y393">
            <v>13.377246932322203</v>
          </cell>
          <cell r="Z393">
            <v>13.176176193994065</v>
          </cell>
          <cell r="AA393">
            <v>12.975105455665977</v>
          </cell>
          <cell r="AB393">
            <v>12.774034717337839</v>
          </cell>
          <cell r="AC393">
            <v>12.572963979009751</v>
          </cell>
          <cell r="AD393">
            <v>12.426258627419339</v>
          </cell>
          <cell r="AE393">
            <v>12.279553275828874</v>
          </cell>
          <cell r="AF393">
            <v>12.132847924238462</v>
          </cell>
          <cell r="AG393">
            <v>11.986142572648049</v>
          </cell>
          <cell r="AH393">
            <v>11.839437221057585</v>
          </cell>
        </row>
        <row r="394">
          <cell r="B394" t="str">
            <v>Carbon dioxide (PS) - Energy cost including feedstock energy cost - Middle East - USD/ton fuel</v>
          </cell>
          <cell r="G394">
            <v>16.659142502923782</v>
          </cell>
          <cell r="H394">
            <v>15.924016305195346</v>
          </cell>
          <cell r="I394">
            <v>15.188890107466705</v>
          </cell>
          <cell r="J394">
            <v>14.702169207234352</v>
          </cell>
          <cell r="K394">
            <v>14.215448307001997</v>
          </cell>
          <cell r="L394">
            <v>13.728727406769645</v>
          </cell>
          <cell r="M394">
            <v>13.242006506537292</v>
          </cell>
          <cell r="N394">
            <v>12.755285606304938</v>
          </cell>
          <cell r="O394">
            <v>12.412091283913481</v>
          </cell>
          <cell r="P394">
            <v>12.068896961522126</v>
          </cell>
          <cell r="Q394">
            <v>11.725702639130668</v>
          </cell>
          <cell r="R394">
            <v>11.382508316739314</v>
          </cell>
          <cell r="S394">
            <v>11.039313994347959</v>
          </cell>
          <cell r="T394">
            <v>10.867239969797794</v>
          </cell>
          <cell r="U394">
            <v>10.695165945247629</v>
          </cell>
          <cell r="V394">
            <v>10.523091920697516</v>
          </cell>
          <cell r="W394">
            <v>10.351017896147352</v>
          </cell>
          <cell r="X394">
            <v>10.178943871597188</v>
          </cell>
          <cell r="Y394">
            <v>9.9532866742515296</v>
          </cell>
          <cell r="Z394">
            <v>9.7276294769059231</v>
          </cell>
          <cell r="AA394">
            <v>9.5019722795602668</v>
          </cell>
          <cell r="AB394">
            <v>9.2763150822146603</v>
          </cell>
          <cell r="AC394">
            <v>9.0506578848689774</v>
          </cell>
          <cell r="AD394">
            <v>8.9450432375976252</v>
          </cell>
          <cell r="AE394">
            <v>8.8394285903262979</v>
          </cell>
          <cell r="AF394">
            <v>8.7338139430549457</v>
          </cell>
          <cell r="AG394">
            <v>8.6281992957835936</v>
          </cell>
          <cell r="AH394">
            <v>8.522584648512268</v>
          </cell>
        </row>
        <row r="395">
          <cell r="B395" t="str">
            <v>Carbon dioxide (PS) - Energy cost - Africa - USD/ton fuel</v>
          </cell>
          <cell r="G395">
            <v>26.275413118731375</v>
          </cell>
          <cell r="H395">
            <v>23.189983310546815</v>
          </cell>
          <cell r="I395">
            <v>20.104553502361433</v>
          </cell>
          <cell r="J395">
            <v>19.244441108267484</v>
          </cell>
          <cell r="K395">
            <v>18.384328714173535</v>
          </cell>
          <cell r="L395">
            <v>17.524216320079585</v>
          </cell>
          <cell r="M395">
            <v>16.664103925985433</v>
          </cell>
          <cell r="N395">
            <v>15.803991531891484</v>
          </cell>
          <cell r="O395">
            <v>15.323875694292132</v>
          </cell>
          <cell r="P395">
            <v>14.843759856692783</v>
          </cell>
          <cell r="Q395">
            <v>14.363644019093227</v>
          </cell>
          <cell r="R395">
            <v>13.883528181493876</v>
          </cell>
          <cell r="S395">
            <v>13.403412343894576</v>
          </cell>
          <cell r="T395">
            <v>13.177429708456367</v>
          </cell>
          <cell r="U395">
            <v>12.95144707301821</v>
          </cell>
          <cell r="V395">
            <v>12.725464437580001</v>
          </cell>
          <cell r="W395">
            <v>12.499481802141792</v>
          </cell>
          <cell r="X395">
            <v>12.273499166703687</v>
          </cell>
          <cell r="Y395">
            <v>12.041127742205811</v>
          </cell>
          <cell r="Z395">
            <v>11.808756317707935</v>
          </cell>
          <cell r="AA395">
            <v>11.576384893209957</v>
          </cell>
          <cell r="AB395">
            <v>11.344013468712081</v>
          </cell>
          <cell r="AC395">
            <v>11.111642044214154</v>
          </cell>
          <cell r="AD395">
            <v>10.997587925822875</v>
          </cell>
          <cell r="AE395">
            <v>10.88353380743165</v>
          </cell>
          <cell r="AF395">
            <v>10.769479689040372</v>
          </cell>
          <cell r="AG395">
            <v>10.655425570649095</v>
          </cell>
          <cell r="AH395">
            <v>10.541371452257868</v>
          </cell>
        </row>
        <row r="396">
          <cell r="B396" t="str">
            <v>Carbon dioxide (PS) - Energy cost - Americas - USD/ton fuel</v>
          </cell>
          <cell r="G396">
            <v>16.509233042895165</v>
          </cell>
          <cell r="H396">
            <v>16.167349868387682</v>
          </cell>
          <cell r="I396">
            <v>15.825466693880093</v>
          </cell>
          <cell r="J396">
            <v>15.247549879389908</v>
          </cell>
          <cell r="K396">
            <v>14.669633064899722</v>
          </cell>
          <cell r="L396">
            <v>14.091716250409537</v>
          </cell>
          <cell r="M396">
            <v>13.513799435919555</v>
          </cell>
          <cell r="N396">
            <v>12.93588262142937</v>
          </cell>
          <cell r="O396">
            <v>12.657775175266876</v>
          </cell>
          <cell r="P396">
            <v>12.379667729104382</v>
          </cell>
          <cell r="Q396">
            <v>12.101560282941888</v>
          </cell>
          <cell r="R396">
            <v>11.823452836779394</v>
          </cell>
          <cell r="S396">
            <v>11.545345390616848</v>
          </cell>
          <cell r="T396">
            <v>11.319904653939716</v>
          </cell>
          <cell r="U396">
            <v>11.094463917262585</v>
          </cell>
          <cell r="V396">
            <v>10.869023180585401</v>
          </cell>
          <cell r="W396">
            <v>10.64358244390827</v>
          </cell>
          <cell r="X396">
            <v>10.418141707231113</v>
          </cell>
          <cell r="Y396">
            <v>10.327318809695839</v>
          </cell>
          <cell r="Z396">
            <v>10.236495912160567</v>
          </cell>
          <cell r="AA396">
            <v>10.14567301462532</v>
          </cell>
          <cell r="AB396">
            <v>10.054850117090046</v>
          </cell>
          <cell r="AC396">
            <v>9.9640272195547741</v>
          </cell>
          <cell r="AD396">
            <v>9.8955077718569413</v>
          </cell>
          <cell r="AE396">
            <v>9.8269883241591351</v>
          </cell>
          <cell r="AF396">
            <v>9.7584688764613272</v>
          </cell>
          <cell r="AG396">
            <v>9.6899494287635211</v>
          </cell>
          <cell r="AH396">
            <v>9.6214299810657149</v>
          </cell>
        </row>
        <row r="397">
          <cell r="B397" t="str">
            <v>Carbon dioxide (PS) - Energy cost - Asia - USD/ton fuel</v>
          </cell>
          <cell r="G397">
            <v>29.223721120414123</v>
          </cell>
          <cell r="H397">
            <v>26.655708571576181</v>
          </cell>
          <cell r="I397">
            <v>24.087696022739465</v>
          </cell>
          <cell r="J397">
            <v>23.166571245400611</v>
          </cell>
          <cell r="K397">
            <v>22.245446468062166</v>
          </cell>
          <cell r="L397">
            <v>21.324321690723309</v>
          </cell>
          <cell r="M397">
            <v>20.403196913384456</v>
          </cell>
          <cell r="N397">
            <v>19.482072136046011</v>
          </cell>
          <cell r="O397">
            <v>18.85599362984026</v>
          </cell>
          <cell r="P397">
            <v>18.229915123634715</v>
          </cell>
          <cell r="Q397">
            <v>17.603836617429376</v>
          </cell>
          <cell r="R397">
            <v>16.977758111223832</v>
          </cell>
          <cell r="S397">
            <v>16.351679605018287</v>
          </cell>
          <cell r="T397">
            <v>16.033366123976567</v>
          </cell>
          <cell r="U397">
            <v>15.715052642934848</v>
          </cell>
          <cell r="V397">
            <v>15.396739161893231</v>
          </cell>
          <cell r="W397">
            <v>15.078425680851513</v>
          </cell>
          <cell r="X397">
            <v>14.760112199809999</v>
          </cell>
          <cell r="Y397">
            <v>14.426924532343889</v>
          </cell>
          <cell r="Z397">
            <v>14.093736864877883</v>
          </cell>
          <cell r="AA397">
            <v>13.760549197411775</v>
          </cell>
          <cell r="AB397">
            <v>13.427361529945768</v>
          </cell>
          <cell r="AC397">
            <v>13.094173862479659</v>
          </cell>
          <cell r="AD397">
            <v>12.941378414492936</v>
          </cell>
          <cell r="AE397">
            <v>12.788582966506164</v>
          </cell>
          <cell r="AF397">
            <v>12.635787518519441</v>
          </cell>
          <cell r="AG397">
            <v>12.48299207053272</v>
          </cell>
          <cell r="AH397">
            <v>12.330196622545946</v>
          </cell>
        </row>
        <row r="398">
          <cell r="B398" t="str">
            <v>Carbon dioxide (PS) - Energy cost - Europe - USD/ton fuel</v>
          </cell>
          <cell r="G398">
            <v>21.75547741099076</v>
          </cell>
          <cell r="H398">
            <v>20.817825476932196</v>
          </cell>
          <cell r="I398">
            <v>19.880173542873628</v>
          </cell>
          <cell r="J398">
            <v>19.122545113976003</v>
          </cell>
          <cell r="K398">
            <v>18.364916685078175</v>
          </cell>
          <cell r="L398">
            <v>17.607288256180549</v>
          </cell>
          <cell r="M398">
            <v>16.849659827282721</v>
          </cell>
          <cell r="N398">
            <v>16.0920313983851</v>
          </cell>
          <cell r="O398">
            <v>15.777236942932246</v>
          </cell>
          <cell r="P398">
            <v>15.4624424874797</v>
          </cell>
          <cell r="Q398">
            <v>15.147648032027053</v>
          </cell>
          <cell r="R398">
            <v>14.832853576574406</v>
          </cell>
          <cell r="S398">
            <v>14.51805912112186</v>
          </cell>
          <cell r="T398">
            <v>14.330110831027525</v>
          </cell>
          <cell r="U398">
            <v>14.142162540933242</v>
          </cell>
          <cell r="V398">
            <v>13.954214250838959</v>
          </cell>
          <cell r="W398">
            <v>13.766265960744676</v>
          </cell>
          <cell r="X398">
            <v>13.578317670650291</v>
          </cell>
          <cell r="Y398">
            <v>13.377246932322203</v>
          </cell>
          <cell r="Z398">
            <v>13.176176193994065</v>
          </cell>
          <cell r="AA398">
            <v>12.975105455665977</v>
          </cell>
          <cell r="AB398">
            <v>12.774034717337839</v>
          </cell>
          <cell r="AC398">
            <v>12.572963979009751</v>
          </cell>
          <cell r="AD398">
            <v>12.426258627419339</v>
          </cell>
          <cell r="AE398">
            <v>12.279553275828874</v>
          </cell>
          <cell r="AF398">
            <v>12.132847924238462</v>
          </cell>
          <cell r="AG398">
            <v>11.986142572648049</v>
          </cell>
          <cell r="AH398">
            <v>11.839437221057585</v>
          </cell>
        </row>
        <row r="399">
          <cell r="B399" t="str">
            <v>Carbon dioxide (PS) - Energy cost - Middle East - USD/ton fuel</v>
          </cell>
          <cell r="G399">
            <v>16.659142502923782</v>
          </cell>
          <cell r="H399">
            <v>15.924016305195346</v>
          </cell>
          <cell r="I399">
            <v>15.188890107466705</v>
          </cell>
          <cell r="J399">
            <v>14.702169207234352</v>
          </cell>
          <cell r="K399">
            <v>14.215448307001997</v>
          </cell>
          <cell r="L399">
            <v>13.728727406769645</v>
          </cell>
          <cell r="M399">
            <v>13.242006506537292</v>
          </cell>
          <cell r="N399">
            <v>12.755285606304938</v>
          </cell>
          <cell r="O399">
            <v>12.412091283913481</v>
          </cell>
          <cell r="P399">
            <v>12.068896961522126</v>
          </cell>
          <cell r="Q399">
            <v>11.725702639130668</v>
          </cell>
          <cell r="R399">
            <v>11.382508316739314</v>
          </cell>
          <cell r="S399">
            <v>11.039313994347959</v>
          </cell>
          <cell r="T399">
            <v>10.867239969797794</v>
          </cell>
          <cell r="U399">
            <v>10.695165945247629</v>
          </cell>
          <cell r="V399">
            <v>10.523091920697516</v>
          </cell>
          <cell r="W399">
            <v>10.351017896147352</v>
          </cell>
          <cell r="X399">
            <v>10.178943871597188</v>
          </cell>
          <cell r="Y399">
            <v>9.9532866742515296</v>
          </cell>
          <cell r="Z399">
            <v>9.7276294769059231</v>
          </cell>
          <cell r="AA399">
            <v>9.5019722795602668</v>
          </cell>
          <cell r="AB399">
            <v>9.2763150822146603</v>
          </cell>
          <cell r="AC399">
            <v>9.0506578848689774</v>
          </cell>
          <cell r="AD399">
            <v>8.9450432375976252</v>
          </cell>
          <cell r="AE399">
            <v>8.8394285903262979</v>
          </cell>
          <cell r="AF399">
            <v>8.7338139430549457</v>
          </cell>
          <cell r="AG399">
            <v>8.6281992957835936</v>
          </cell>
          <cell r="AH399">
            <v>8.522584648512268</v>
          </cell>
        </row>
        <row r="400">
          <cell r="B400" t="str">
            <v/>
          </cell>
        </row>
        <row r="401">
          <cell r="B401" t="str">
            <v>Carbon dioxide (PS) - Feedstock cost including feedstock feedstock cost - Global - USD/ton fuel</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row>
        <row r="403">
          <cell r="B403" t="str">
            <v>e-methanol (DAC) - Item - Region - Unit</v>
          </cell>
          <cell r="G403">
            <v>2023</v>
          </cell>
          <cell r="H403">
            <v>2024</v>
          </cell>
          <cell r="I403">
            <v>2025</v>
          </cell>
          <cell r="J403">
            <v>2026</v>
          </cell>
          <cell r="K403">
            <v>2027</v>
          </cell>
          <cell r="L403">
            <v>2028</v>
          </cell>
          <cell r="M403">
            <v>2029</v>
          </cell>
          <cell r="N403">
            <v>2030</v>
          </cell>
          <cell r="O403">
            <v>2031</v>
          </cell>
          <cell r="P403">
            <v>2032</v>
          </cell>
          <cell r="Q403">
            <v>2033</v>
          </cell>
          <cell r="R403">
            <v>2034</v>
          </cell>
          <cell r="S403">
            <v>2035</v>
          </cell>
          <cell r="T403">
            <v>2036</v>
          </cell>
          <cell r="U403">
            <v>2037</v>
          </cell>
          <cell r="V403">
            <v>2038</v>
          </cell>
          <cell r="W403">
            <v>2039</v>
          </cell>
          <cell r="X403">
            <v>2040</v>
          </cell>
          <cell r="Y403">
            <v>2041</v>
          </cell>
          <cell r="Z403">
            <v>2042</v>
          </cell>
          <cell r="AA403">
            <v>2043</v>
          </cell>
          <cell r="AB403">
            <v>2044</v>
          </cell>
          <cell r="AC403">
            <v>2045</v>
          </cell>
          <cell r="AD403">
            <v>2046</v>
          </cell>
          <cell r="AE403">
            <v>2047</v>
          </cell>
          <cell r="AF403">
            <v>2048</v>
          </cell>
          <cell r="AG403">
            <v>2049</v>
          </cell>
          <cell r="AH403">
            <v>2050</v>
          </cell>
        </row>
        <row r="404">
          <cell r="B404" t="str">
            <v>e-methanol (DAC) - Total cost - Africa - USD/ton fuel</v>
          </cell>
          <cell r="G404">
            <v>1763.6203312214197</v>
          </cell>
          <cell r="H404">
            <v>1615.9911189162126</v>
          </cell>
          <cell r="I404">
            <v>1468.6753541318485</v>
          </cell>
          <cell r="J404">
            <v>1405.7304404043591</v>
          </cell>
          <cell r="K404">
            <v>1342.069581668296</v>
          </cell>
          <cell r="L404">
            <v>1277.7121791726327</v>
          </cell>
          <cell r="M404">
            <v>1212.6776341663588</v>
          </cell>
          <cell r="N404">
            <v>1146.9853478984403</v>
          </cell>
          <cell r="O404">
            <v>1118.3754861410723</v>
          </cell>
          <cell r="P404">
            <v>1088.4855774194839</v>
          </cell>
          <cell r="Q404">
            <v>1057.3260717453195</v>
          </cell>
          <cell r="R404">
            <v>1024.9074191302432</v>
          </cell>
          <cell r="S404">
            <v>991.24006958592395</v>
          </cell>
          <cell r="T404">
            <v>966.24002238798425</v>
          </cell>
          <cell r="U404">
            <v>940.33921106206856</v>
          </cell>
          <cell r="V404">
            <v>913.54104548670273</v>
          </cell>
          <cell r="W404">
            <v>885.84893554037035</v>
          </cell>
          <cell r="X404">
            <v>857.26629110158933</v>
          </cell>
          <cell r="Y404">
            <v>826.90497736982604</v>
          </cell>
          <cell r="Z404">
            <v>796.15933788273787</v>
          </cell>
          <cell r="AA404">
            <v>765.02737863529705</v>
          </cell>
          <cell r="AB404">
            <v>733.50710562245808</v>
          </cell>
          <cell r="AC404">
            <v>701.59652483918421</v>
          </cell>
          <cell r="AD404">
            <v>675.21460216387538</v>
          </cell>
          <cell r="AE404">
            <v>648.64685387118061</v>
          </cell>
          <cell r="AF404">
            <v>621.89202344628893</v>
          </cell>
          <cell r="AG404">
            <v>594.94885437439643</v>
          </cell>
          <cell r="AH404">
            <v>567.81609014070023</v>
          </cell>
        </row>
        <row r="405">
          <cell r="B405" t="str">
            <v>e-methanol (DAC) - Total cost - Americas - USD/ton fuel</v>
          </cell>
          <cell r="G405">
            <v>1419.1820099650438</v>
          </cell>
          <cell r="H405">
            <v>1369.3307016467138</v>
          </cell>
          <cell r="I405">
            <v>1319.0171501516143</v>
          </cell>
          <cell r="J405">
            <v>1266.5667167381032</v>
          </cell>
          <cell r="K405">
            <v>1213.3400311415078</v>
          </cell>
          <cell r="L405">
            <v>1159.3501292256085</v>
          </cell>
          <cell r="M405">
            <v>1104.6100468542099</v>
          </cell>
          <cell r="N405">
            <v>1049.1328198910569</v>
          </cell>
          <cell r="O405">
            <v>1028.0794218447854</v>
          </cell>
          <cell r="P405">
            <v>1005.6631638379474</v>
          </cell>
          <cell r="Q405">
            <v>981.89009904734917</v>
          </cell>
          <cell r="R405">
            <v>956.76628064979218</v>
          </cell>
          <cell r="S405">
            <v>930.29776182210003</v>
          </cell>
          <cell r="T405">
            <v>905.83373335416127</v>
          </cell>
          <cell r="U405">
            <v>880.47797846021683</v>
          </cell>
          <cell r="V405">
            <v>854.23389884201856</v>
          </cell>
          <cell r="W405">
            <v>827.10489620127953</v>
          </cell>
          <cell r="X405">
            <v>799.09437223973748</v>
          </cell>
          <cell r="Y405">
            <v>773.77436931578313</v>
          </cell>
          <cell r="Z405">
            <v>747.96589145772509</v>
          </cell>
          <cell r="AA405">
            <v>721.66815930419216</v>
          </cell>
          <cell r="AB405">
            <v>694.88039349378539</v>
          </cell>
          <cell r="AC405">
            <v>667.60181466512677</v>
          </cell>
          <cell r="AD405">
            <v>642.89219260229174</v>
          </cell>
          <cell r="AE405">
            <v>617.96613535487961</v>
          </cell>
          <cell r="AF405">
            <v>592.82288805579719</v>
          </cell>
          <cell r="AG405">
            <v>567.46169583795449</v>
          </cell>
          <cell r="AH405">
            <v>541.88180383426231</v>
          </cell>
        </row>
        <row r="406">
          <cell r="B406" t="str">
            <v>e-methanol (DAC) - Total cost - Asia - USD/ton fuel</v>
          </cell>
          <cell r="G406">
            <v>1867.602671374962</v>
          </cell>
          <cell r="H406">
            <v>1737.7199897262658</v>
          </cell>
          <cell r="I406">
            <v>1607.98310423768</v>
          </cell>
          <cell r="J406">
            <v>1542.2911330355587</v>
          </cell>
          <cell r="K406">
            <v>1475.873263024062</v>
          </cell>
          <cell r="L406">
            <v>1408.7502716867357</v>
          </cell>
          <cell r="M406">
            <v>1340.9429365071931</v>
          </cell>
          <cell r="N406">
            <v>1272.4720349689999</v>
          </cell>
          <cell r="O406">
            <v>1238.0020140736829</v>
          </cell>
          <cell r="P406">
            <v>1202.3001336327034</v>
          </cell>
          <cell r="Q406">
            <v>1165.380020623496</v>
          </cell>
          <cell r="R406">
            <v>1127.2553020234814</v>
          </cell>
          <cell r="S406">
            <v>1087.9396048101273</v>
          </cell>
          <cell r="T406">
            <v>1059.1144200488134</v>
          </cell>
          <cell r="U406">
            <v>1029.4260912137822</v>
          </cell>
          <cell r="V406">
            <v>998.87942137453376</v>
          </cell>
          <cell r="W406">
            <v>967.47921360050691</v>
          </cell>
          <cell r="X406">
            <v>935.23027096119245</v>
          </cell>
          <cell r="Y406">
            <v>900.86820147776314</v>
          </cell>
          <cell r="Z406">
            <v>866.19931802450913</v>
          </cell>
          <cell r="AA406">
            <v>831.22076148100632</v>
          </cell>
          <cell r="AB406">
            <v>795.92967272681358</v>
          </cell>
          <cell r="AC406">
            <v>760.32319264149885</v>
          </cell>
          <cell r="AD406">
            <v>732.223152812948</v>
          </cell>
          <cell r="AE406">
            <v>703.96702506555744</v>
          </cell>
          <cell r="AF406">
            <v>675.55312607788915</v>
          </cell>
          <cell r="AG406">
            <v>646.97977252850364</v>
          </cell>
          <cell r="AH406">
            <v>618.24528109596179</v>
          </cell>
        </row>
        <row r="407">
          <cell r="B407" t="str">
            <v>e-methanol (DAC) - Total cost - Europe - USD/ton fuel</v>
          </cell>
          <cell r="G407">
            <v>1604.2090716222949</v>
          </cell>
          <cell r="H407">
            <v>1532.6723118208797</v>
          </cell>
          <cell r="I407">
            <v>1460.8278148672684</v>
          </cell>
          <cell r="J407">
            <v>1401.4862667468321</v>
          </cell>
          <cell r="K407">
            <v>1341.3968746644941</v>
          </cell>
          <cell r="L407">
            <v>1280.5767281749359</v>
          </cell>
          <cell r="M407">
            <v>1219.0429168328319</v>
          </cell>
          <cell r="N407">
            <v>1156.8125301928419</v>
          </cell>
          <cell r="O407">
            <v>1133.7300221626997</v>
          </cell>
          <cell r="P407">
            <v>1109.2805745500887</v>
          </cell>
          <cell r="Q407">
            <v>1083.4710390467503</v>
          </cell>
          <cell r="R407">
            <v>1056.3082673444412</v>
          </cell>
          <cell r="S407">
            <v>1027.7991111349431</v>
          </cell>
          <cell r="T407">
            <v>1003.724948303012</v>
          </cell>
          <cell r="U407">
            <v>978.72280940896917</v>
          </cell>
          <cell r="V407">
            <v>952.79553042664247</v>
          </cell>
          <cell r="W407">
            <v>925.94594732981102</v>
          </cell>
          <cell r="X407">
            <v>898.17689609228603</v>
          </cell>
          <cell r="Y407">
            <v>868.32664559487819</v>
          </cell>
          <cell r="Z407">
            <v>838.07394459532645</v>
          </cell>
          <cell r="AA407">
            <v>807.41706768327902</v>
          </cell>
          <cell r="AB407">
            <v>776.35428944835007</v>
          </cell>
          <cell r="AC407">
            <v>744.8838844801802</v>
          </cell>
          <cell r="AD407">
            <v>717.11543794198099</v>
          </cell>
          <cell r="AE407">
            <v>689.18545919511644</v>
          </cell>
          <cell r="AF407">
            <v>661.09233201170332</v>
          </cell>
          <cell r="AG407">
            <v>632.83444016385783</v>
          </cell>
          <cell r="AH407">
            <v>604.41016742369561</v>
          </cell>
        </row>
        <row r="408">
          <cell r="B408" t="str">
            <v>e-methanol (DAC) - Total cost - Middle East - USD/ton fuel</v>
          </cell>
          <cell r="G408">
            <v>1424.4690886746062</v>
          </cell>
          <cell r="H408">
            <v>1360.7839422683342</v>
          </cell>
          <cell r="I408">
            <v>1296.7533090840134</v>
          </cell>
          <cell r="J408">
            <v>1247.5776572899963</v>
          </cell>
          <cell r="K408">
            <v>1197.6006529365341</v>
          </cell>
          <cell r="L408">
            <v>1146.833274813644</v>
          </cell>
          <cell r="M408">
            <v>1095.2865017113631</v>
          </cell>
          <cell r="N408">
            <v>1042.9713124196878</v>
          </cell>
          <cell r="O408">
            <v>1019.7585471096052</v>
          </cell>
          <cell r="P408">
            <v>995.21761890333528</v>
          </cell>
          <cell r="Q408">
            <v>969.35599763291327</v>
          </cell>
          <cell r="R408">
            <v>942.18115313038516</v>
          </cell>
          <cell r="S408">
            <v>913.70055522780831</v>
          </cell>
          <cell r="T408">
            <v>891.11318157522658</v>
          </cell>
          <cell r="U408">
            <v>867.60631147382003</v>
          </cell>
          <cell r="V408">
            <v>843.18254136876112</v>
          </cell>
          <cell r="W408">
            <v>817.84446770517343</v>
          </cell>
          <cell r="X408">
            <v>791.59468692821645</v>
          </cell>
          <cell r="Y408">
            <v>762.17882070418636</v>
          </cell>
          <cell r="Z408">
            <v>732.36794903139139</v>
          </cell>
          <cell r="AA408">
            <v>702.1601355203328</v>
          </cell>
          <cell r="AB408">
            <v>671.55344378149277</v>
          </cell>
          <cell r="AC408">
            <v>640.54593742536474</v>
          </cell>
          <cell r="AD408">
            <v>615.01644886483643</v>
          </cell>
          <cell r="AE408">
            <v>589.2886740515471</v>
          </cell>
          <cell r="AF408">
            <v>563.36144944690329</v>
          </cell>
          <cell r="AG408">
            <v>537.23361151231779</v>
          </cell>
          <cell r="AH408">
            <v>510.90399670920277</v>
          </cell>
        </row>
        <row r="409">
          <cell r="B409" t="str">
            <v/>
          </cell>
        </row>
        <row r="410">
          <cell r="B410" t="str">
            <v>e-methanol (DAC) - CAPEX including feedstock CAPEX - Global - USD/ton fuel</v>
          </cell>
          <cell r="G410">
            <v>189.67896829904754</v>
          </cell>
          <cell r="H410">
            <v>181.93895629574578</v>
          </cell>
          <cell r="I410">
            <v>174.15183049398229</v>
          </cell>
          <cell r="J410">
            <v>167.42958956837558</v>
          </cell>
          <cell r="K410">
            <v>160.61982171835496</v>
          </cell>
          <cell r="L410">
            <v>153.72252694392162</v>
          </cell>
          <cell r="M410">
            <v>146.73770524507626</v>
          </cell>
          <cell r="N410">
            <v>139.66535662181698</v>
          </cell>
          <cell r="O410">
            <v>138.03685390263701</v>
          </cell>
          <cell r="P410">
            <v>136.20422940328726</v>
          </cell>
          <cell r="Q410">
            <v>134.16748312376691</v>
          </cell>
          <cell r="R410">
            <v>131.92661506407572</v>
          </cell>
          <cell r="S410">
            <v>129.48162522421464</v>
          </cell>
          <cell r="T410">
            <v>126.83959051052869</v>
          </cell>
          <cell r="U410">
            <v>124.0290843631058</v>
          </cell>
          <cell r="V410">
            <v>121.05010678194797</v>
          </cell>
          <cell r="W410">
            <v>117.90265776705284</v>
          </cell>
          <cell r="X410">
            <v>114.58673731841998</v>
          </cell>
          <cell r="Y410">
            <v>110.60686531087009</v>
          </cell>
          <cell r="Z410">
            <v>106.49987220811215</v>
          </cell>
          <cell r="AA410">
            <v>102.26575801014769</v>
          </cell>
          <cell r="AB410">
            <v>97.904522716975833</v>
          </cell>
          <cell r="AC410">
            <v>93.416166328596461</v>
          </cell>
          <cell r="AD410">
            <v>88.867010500382378</v>
          </cell>
          <cell r="AE410">
            <v>84.238341031089249</v>
          </cell>
          <cell r="AF410">
            <v>79.530157920716718</v>
          </cell>
          <cell r="AG410">
            <v>74.742461169264971</v>
          </cell>
          <cell r="AH410">
            <v>69.875250776734191</v>
          </cell>
        </row>
        <row r="411">
          <cell r="B411" t="str">
            <v>e-methanol (DAC) - CAPEX - Global - USD/ton fuel</v>
          </cell>
          <cell r="G411">
            <v>99.333333333333329</v>
          </cell>
          <cell r="H411">
            <v>94.666666666666671</v>
          </cell>
          <cell r="I411">
            <v>90</v>
          </cell>
          <cell r="J411">
            <v>85.333333333333329</v>
          </cell>
          <cell r="K411">
            <v>80.666666666666671</v>
          </cell>
          <cell r="L411">
            <v>76</v>
          </cell>
          <cell r="M411">
            <v>71.333333333333329</v>
          </cell>
          <cell r="N411">
            <v>66.666666666666671</v>
          </cell>
          <cell r="O411">
            <v>65.166666666666671</v>
          </cell>
          <cell r="P411">
            <v>63.666666666666664</v>
          </cell>
          <cell r="Q411">
            <v>62.166666666666664</v>
          </cell>
          <cell r="R411">
            <v>60.666666666666664</v>
          </cell>
          <cell r="S411">
            <v>59.166666666666664</v>
          </cell>
          <cell r="T411">
            <v>57.666666666666664</v>
          </cell>
          <cell r="U411">
            <v>56.166666666666664</v>
          </cell>
          <cell r="V411">
            <v>54.666666666666664</v>
          </cell>
          <cell r="W411">
            <v>53.166666666666664</v>
          </cell>
          <cell r="X411">
            <v>51.666666666666664</v>
          </cell>
          <cell r="Y411">
            <v>49.666666666666664</v>
          </cell>
          <cell r="Z411">
            <v>47.666666666666664</v>
          </cell>
          <cell r="AA411">
            <v>45.666666666666664</v>
          </cell>
          <cell r="AB411">
            <v>43.666666666666664</v>
          </cell>
          <cell r="AC411">
            <v>41.666666666666664</v>
          </cell>
          <cell r="AD411">
            <v>39.666666666666664</v>
          </cell>
          <cell r="AE411">
            <v>37.666666666666664</v>
          </cell>
          <cell r="AF411">
            <v>35.666666666666664</v>
          </cell>
          <cell r="AG411">
            <v>33.666666666666664</v>
          </cell>
          <cell r="AH411">
            <v>31.666666666666668</v>
          </cell>
        </row>
        <row r="412">
          <cell r="B412" t="str">
            <v>e-hydrogen (compressed) - CAPEX including feedstock CAPEX - Global - USD/ton fuel</v>
          </cell>
          <cell r="G412">
            <v>256.64635353013858</v>
          </cell>
          <cell r="H412">
            <v>247.21700590830653</v>
          </cell>
          <cell r="I412">
            <v>237.53805175037812</v>
          </cell>
          <cell r="J412">
            <v>232.53269690653616</v>
          </cell>
          <cell r="K412">
            <v>227.06362881665248</v>
          </cell>
          <cell r="L412">
            <v>221.13084748073197</v>
          </cell>
          <cell r="M412">
            <v>214.73435289877628</v>
          </cell>
          <cell r="N412">
            <v>207.87414507077864</v>
          </cell>
          <cell r="O412">
            <v>212.24697175898439</v>
          </cell>
          <cell r="P412">
            <v>215.53837151594018</v>
          </cell>
          <cell r="Q412">
            <v>217.74834434164336</v>
          </cell>
          <cell r="R412">
            <v>218.87689023608903</v>
          </cell>
          <cell r="S412">
            <v>218.92400919928582</v>
          </cell>
          <cell r="T412">
            <v>217.21328869368136</v>
          </cell>
          <cell r="U412">
            <v>214.61001500027928</v>
          </cell>
          <cell r="V412">
            <v>211.1141881190886</v>
          </cell>
          <cell r="W412">
            <v>206.72580805010043</v>
          </cell>
          <cell r="X412">
            <v>201.44487479331141</v>
          </cell>
          <cell r="Y412">
            <v>194.68227936129369</v>
          </cell>
          <cell r="Z412">
            <v>187.24620275654928</v>
          </cell>
          <cell r="AA412">
            <v>179.13664497908553</v>
          </cell>
          <cell r="AB412">
            <v>170.35360602889762</v>
          </cell>
          <cell r="AC412">
            <v>160.89708590598403</v>
          </cell>
          <cell r="AD412">
            <v>150.64085698303418</v>
          </cell>
          <cell r="AE412">
            <v>139.96336878636401</v>
          </cell>
          <cell r="AF412">
            <v>128.86462131597352</v>
          </cell>
          <cell r="AG412">
            <v>117.34461457186269</v>
          </cell>
          <cell r="AH412">
            <v>105.40334855403168</v>
          </cell>
        </row>
        <row r="413">
          <cell r="B413" t="str">
            <v>Carbon dioxide (DAC) - CAPEX - Global - USD/ton fuel</v>
          </cell>
          <cell r="G413">
            <v>30.508013847333252</v>
          </cell>
          <cell r="H413">
            <v>29.566240685333227</v>
          </cell>
          <cell r="I413">
            <v>28.624467523333198</v>
          </cell>
          <cell r="J413">
            <v>27.81573486463288</v>
          </cell>
          <cell r="K413">
            <v>27.00700220593232</v>
          </cell>
          <cell r="L413">
            <v>26.198269547231757</v>
          </cell>
          <cell r="M413">
            <v>25.389536888531438</v>
          </cell>
          <cell r="N413">
            <v>24.580804229830878</v>
          </cell>
          <cell r="O413">
            <v>23.886317978110068</v>
          </cell>
          <cell r="P413">
            <v>23.191831726389257</v>
          </cell>
          <cell r="Q413">
            <v>22.497345474668204</v>
          </cell>
          <cell r="R413">
            <v>21.802859222947397</v>
          </cell>
          <cell r="S413">
            <v>21.108372971226345</v>
          </cell>
          <cell r="T413">
            <v>20.511993996492674</v>
          </cell>
          <cell r="U413">
            <v>19.915615021759002</v>
          </cell>
          <cell r="V413">
            <v>19.319236047025576</v>
          </cell>
          <cell r="W413">
            <v>18.722857072291905</v>
          </cell>
          <cell r="X413">
            <v>18.126478097558113</v>
          </cell>
          <cell r="Y413">
            <v>17.614347179742374</v>
          </cell>
          <cell r="Z413">
            <v>17.102216261926515</v>
          </cell>
          <cell r="AA413">
            <v>16.590085344110655</v>
          </cell>
          <cell r="AB413">
            <v>16.077954426294795</v>
          </cell>
          <cell r="AC413">
            <v>15.565823508479054</v>
          </cell>
          <cell r="AD413">
            <v>15.119325473449862</v>
          </cell>
          <cell r="AE413">
            <v>14.672827438420791</v>
          </cell>
          <cell r="AF413">
            <v>14.226329403391597</v>
          </cell>
          <cell r="AG413">
            <v>13.779831368362405</v>
          </cell>
          <cell r="AH413">
            <v>13.333333333333334</v>
          </cell>
        </row>
        <row r="414">
          <cell r="B414" t="str">
            <v>e-methanol - Conversion H2 -&gt; MeOH - Global - ton H2/ton MeOH</v>
          </cell>
          <cell r="G414">
            <v>0.18875226265526496</v>
          </cell>
          <cell r="H414">
            <v>0.18875226265526496</v>
          </cell>
          <cell r="I414">
            <v>0.18875226265526496</v>
          </cell>
          <cell r="J414">
            <v>0.18875226265526496</v>
          </cell>
          <cell r="K414">
            <v>0.18875226265526496</v>
          </cell>
          <cell r="L414">
            <v>0.18875226265526496</v>
          </cell>
          <cell r="M414">
            <v>0.18875226265526496</v>
          </cell>
          <cell r="N414">
            <v>0.18875226265526496</v>
          </cell>
          <cell r="O414">
            <v>0.18875226265526496</v>
          </cell>
          <cell r="P414">
            <v>0.18875226265526496</v>
          </cell>
          <cell r="Q414">
            <v>0.18875226265526496</v>
          </cell>
          <cell r="R414">
            <v>0.18875226265526496</v>
          </cell>
          <cell r="S414">
            <v>0.18875226265526496</v>
          </cell>
          <cell r="T414">
            <v>0.18875226265526496</v>
          </cell>
          <cell r="U414">
            <v>0.18875226265526496</v>
          </cell>
          <cell r="V414">
            <v>0.18875226265526496</v>
          </cell>
          <cell r="W414">
            <v>0.18875226265526496</v>
          </cell>
          <cell r="X414">
            <v>0.18875226265526496</v>
          </cell>
          <cell r="Y414">
            <v>0.18875226265526496</v>
          </cell>
          <cell r="Z414">
            <v>0.18875226265526496</v>
          </cell>
          <cell r="AA414">
            <v>0.18875226265526496</v>
          </cell>
          <cell r="AB414">
            <v>0.18875226265526496</v>
          </cell>
          <cell r="AC414">
            <v>0.18875226265526496</v>
          </cell>
          <cell r="AD414">
            <v>0.18875226265526496</v>
          </cell>
          <cell r="AE414">
            <v>0.18875226265526496</v>
          </cell>
          <cell r="AF414">
            <v>0.18875226265526496</v>
          </cell>
          <cell r="AG414">
            <v>0.18875226265526496</v>
          </cell>
          <cell r="AH414">
            <v>0.18875226265526496</v>
          </cell>
        </row>
        <row r="415">
          <cell r="B415" t="str">
            <v>e-methanol - Conversion CO2 -&gt; MeOH - Global - ton CO2/ton MeOH</v>
          </cell>
          <cell r="G415">
            <v>1.3735097684289368</v>
          </cell>
          <cell r="H415">
            <v>1.3735097684289368</v>
          </cell>
          <cell r="I415">
            <v>1.3735097684289368</v>
          </cell>
          <cell r="J415">
            <v>1.3735097684289368</v>
          </cell>
          <cell r="K415">
            <v>1.3735097684289368</v>
          </cell>
          <cell r="L415">
            <v>1.3735097684289368</v>
          </cell>
          <cell r="M415">
            <v>1.3735097684289368</v>
          </cell>
          <cell r="N415">
            <v>1.3735097684289368</v>
          </cell>
          <cell r="O415">
            <v>1.3735097684289368</v>
          </cell>
          <cell r="P415">
            <v>1.3735097684289368</v>
          </cell>
          <cell r="Q415">
            <v>1.3735097684289368</v>
          </cell>
          <cell r="R415">
            <v>1.3735097684289368</v>
          </cell>
          <cell r="S415">
            <v>1.3735097684289368</v>
          </cell>
          <cell r="T415">
            <v>1.3735097684289368</v>
          </cell>
          <cell r="U415">
            <v>1.3735097684289368</v>
          </cell>
          <cell r="V415">
            <v>1.3735097684289368</v>
          </cell>
          <cell r="W415">
            <v>1.3735097684289368</v>
          </cell>
          <cell r="X415">
            <v>1.3735097684289368</v>
          </cell>
          <cell r="Y415">
            <v>1.3735097684289368</v>
          </cell>
          <cell r="Z415">
            <v>1.3735097684289368</v>
          </cell>
          <cell r="AA415">
            <v>1.3735097684289368</v>
          </cell>
          <cell r="AB415">
            <v>1.3735097684289368</v>
          </cell>
          <cell r="AC415">
            <v>1.3735097684289368</v>
          </cell>
          <cell r="AD415">
            <v>1.3735097684289368</v>
          </cell>
          <cell r="AE415">
            <v>1.3735097684289368</v>
          </cell>
          <cell r="AF415">
            <v>1.3735097684289368</v>
          </cell>
          <cell r="AG415">
            <v>1.3735097684289368</v>
          </cell>
          <cell r="AH415">
            <v>1.3735097684289368</v>
          </cell>
        </row>
        <row r="416">
          <cell r="B416" t="str">
            <v/>
          </cell>
        </row>
        <row r="417">
          <cell r="B417" t="str">
            <v>e-methanol (DAC) - OPEX including feedstock OPEX - Global - USD/ton fuel</v>
          </cell>
          <cell r="G417">
            <v>331.72904220813354</v>
          </cell>
          <cell r="H417">
            <v>316.7882081458456</v>
          </cell>
          <cell r="I417">
            <v>301.48151284288406</v>
          </cell>
          <cell r="J417">
            <v>289.44109119244035</v>
          </cell>
          <cell r="K417">
            <v>276.78595864654972</v>
          </cell>
          <cell r="L417">
            <v>263.51611520521152</v>
          </cell>
          <cell r="M417">
            <v>249.63156086843421</v>
          </cell>
          <cell r="N417">
            <v>235.13229563620891</v>
          </cell>
          <cell r="O417">
            <v>231.03735854128223</v>
          </cell>
          <cell r="P417">
            <v>226.07167936002088</v>
          </cell>
          <cell r="Q417">
            <v>220.23525809242602</v>
          </cell>
          <cell r="R417">
            <v>213.52809473849382</v>
          </cell>
          <cell r="S417">
            <v>205.95018929822646</v>
          </cell>
          <cell r="T417">
            <v>199.03995809680364</v>
          </cell>
          <cell r="U417">
            <v>191.61445678838038</v>
          </cell>
          <cell r="V417">
            <v>183.6736853729615</v>
          </cell>
          <cell r="W417">
            <v>175.21764385053891</v>
          </cell>
          <cell r="X417">
            <v>166.24633222111657</v>
          </cell>
          <cell r="Y417">
            <v>157.95588504691653</v>
          </cell>
          <cell r="Z417">
            <v>149.42061321621725</v>
          </cell>
          <cell r="AA417">
            <v>140.64051672902326</v>
          </cell>
          <cell r="AB417">
            <v>131.61559558533006</v>
          </cell>
          <cell r="AC417">
            <v>122.34584978514155</v>
          </cell>
          <cell r="AD417">
            <v>114.62559473995232</v>
          </cell>
          <cell r="AE417">
            <v>106.8233061379556</v>
          </cell>
          <cell r="AF417">
            <v>98.938983979151018</v>
          </cell>
          <cell r="AG417">
            <v>90.972628263538724</v>
          </cell>
          <cell r="AH417">
            <v>82.924238991119068</v>
          </cell>
        </row>
        <row r="418">
          <cell r="B418" t="str">
            <v>e-methanol (DAC) - OPEX - Global - USD/ton fuel</v>
          </cell>
          <cell r="G418">
            <v>119.2</v>
          </cell>
          <cell r="H418">
            <v>113.60000000000001</v>
          </cell>
          <cell r="I418">
            <v>108</v>
          </cell>
          <cell r="J418">
            <v>102.4</v>
          </cell>
          <cell r="K418">
            <v>96.8</v>
          </cell>
          <cell r="L418">
            <v>91.2</v>
          </cell>
          <cell r="M418">
            <v>85.600000000000009</v>
          </cell>
          <cell r="N418">
            <v>80</v>
          </cell>
          <cell r="O418">
            <v>78.2</v>
          </cell>
          <cell r="P418">
            <v>76.400000000000006</v>
          </cell>
          <cell r="Q418">
            <v>74.600000000000009</v>
          </cell>
          <cell r="R418">
            <v>72.8</v>
          </cell>
          <cell r="S418">
            <v>71</v>
          </cell>
          <cell r="T418">
            <v>69.2</v>
          </cell>
          <cell r="U418">
            <v>67.400000000000006</v>
          </cell>
          <cell r="V418">
            <v>65.599999999999994</v>
          </cell>
          <cell r="W418">
            <v>63.800000000000004</v>
          </cell>
          <cell r="X418">
            <v>62</v>
          </cell>
          <cell r="Y418">
            <v>59.6</v>
          </cell>
          <cell r="Z418">
            <v>57.2</v>
          </cell>
          <cell r="AA418">
            <v>54.800000000000004</v>
          </cell>
          <cell r="AB418">
            <v>52.4</v>
          </cell>
          <cell r="AC418">
            <v>50</v>
          </cell>
          <cell r="AD418">
            <v>47.6</v>
          </cell>
          <cell r="AE418">
            <v>45.2</v>
          </cell>
          <cell r="AF418">
            <v>42.800000000000004</v>
          </cell>
          <cell r="AG418">
            <v>40.4</v>
          </cell>
          <cell r="AH418">
            <v>38</v>
          </cell>
        </row>
        <row r="419">
          <cell r="B419" t="str">
            <v>e-hydrogen (compressed) - OPEX including feedstock OPEX - Global - USD/ton fuel</v>
          </cell>
          <cell r="G419">
            <v>778.63990898977545</v>
          </cell>
          <cell r="H419">
            <v>746.81733762687418</v>
          </cell>
          <cell r="I419">
            <v>712.61415525113227</v>
          </cell>
          <cell r="J419">
            <v>693.21795180920219</v>
          </cell>
          <cell r="K419">
            <v>670.22211331548374</v>
          </cell>
          <cell r="L419">
            <v>643.6266397699726</v>
          </cell>
          <cell r="M419">
            <v>613.43153117270822</v>
          </cell>
          <cell r="N419">
            <v>579.63678752365013</v>
          </cell>
          <cell r="O419">
            <v>578.89498738880036</v>
          </cell>
          <cell r="P419">
            <v>573.27415594361116</v>
          </cell>
          <cell r="Q419">
            <v>562.77429318809038</v>
          </cell>
          <cell r="R419">
            <v>547.39539912221437</v>
          </cell>
          <cell r="S419">
            <v>527.13747374599984</v>
          </cell>
          <cell r="T419">
            <v>508.91545321169565</v>
          </cell>
          <cell r="U419">
            <v>487.75740898550708</v>
          </cell>
          <cell r="V419">
            <v>463.66334106745865</v>
          </cell>
          <cell r="W419">
            <v>436.63324945751151</v>
          </cell>
          <cell r="X419">
            <v>406.66713415568563</v>
          </cell>
          <cell r="Y419">
            <v>382.32288786138321</v>
          </cell>
          <cell r="Z419">
            <v>356.52173881762411</v>
          </cell>
          <cell r="AA419">
            <v>329.2636870244329</v>
          </cell>
          <cell r="AB419">
            <v>300.54873248178433</v>
          </cell>
          <cell r="AC419">
            <v>270.37687518969852</v>
          </cell>
          <cell r="AD419">
            <v>247.55933903156756</v>
          </cell>
          <cell r="AE419">
            <v>224.18137658421693</v>
          </cell>
          <cell r="AF419">
            <v>200.24298784764761</v>
          </cell>
          <cell r="AG419">
            <v>175.74417282185905</v>
          </cell>
          <cell r="AH419">
            <v>150.68493150685131</v>
          </cell>
        </row>
        <row r="420">
          <cell r="B420" t="str">
            <v>Carbon dioxide (DAC) - OPEX - Global - USD/ton fuel</v>
          </cell>
          <cell r="G420">
            <v>47.7310020645956</v>
          </cell>
          <cell r="H420">
            <v>45.303460746236098</v>
          </cell>
          <cell r="I420">
            <v>42.936701284999835</v>
          </cell>
          <cell r="J420">
            <v>40.913166813136101</v>
          </cell>
          <cell r="K420">
            <v>38.936758591699629</v>
          </cell>
          <cell r="L420">
            <v>37.007476620690611</v>
          </cell>
          <cell r="M420">
            <v>35.125320900109735</v>
          </cell>
          <cell r="N420">
            <v>33.290291429956135</v>
          </cell>
          <cell r="O420">
            <v>31.721376020274985</v>
          </cell>
          <cell r="P420">
            <v>30.18899920260916</v>
          </cell>
          <cell r="Q420">
            <v>28.693160976958509</v>
          </cell>
          <cell r="R420">
            <v>27.23386134332349</v>
          </cell>
          <cell r="S420">
            <v>25.811100301703355</v>
          </cell>
          <cell r="T420">
            <v>24.594666582900402</v>
          </cell>
          <cell r="U420">
            <v>23.406562482820661</v>
          </cell>
          <cell r="V420">
            <v>22.246788001464278</v>
          </cell>
          <cell r="W420">
            <v>21.115343138830685</v>
          </cell>
          <cell r="X420">
            <v>20.012227894920034</v>
          </cell>
          <cell r="Y420">
            <v>19.069085273520873</v>
          </cell>
          <cell r="Z420">
            <v>18.147907573393375</v>
          </cell>
          <cell r="AA420">
            <v>17.248694794537446</v>
          </cell>
          <cell r="AB420">
            <v>16.371446936953305</v>
          </cell>
          <cell r="AC420">
            <v>15.516164000640968</v>
          </cell>
          <cell r="AD420">
            <v>14.778350924667834</v>
          </cell>
          <cell r="AE420">
            <v>14.057827986617346</v>
          </cell>
          <cell r="AF420">
            <v>13.354595186489069</v>
          </cell>
          <cell r="AG420">
            <v>12.668652524283226</v>
          </cell>
          <cell r="AH420">
            <v>12.000000000000011</v>
          </cell>
        </row>
        <row r="421">
          <cell r="B421" t="str">
            <v>e-methanol - Conversion H2 -&gt; MeOH - Global - ton H2/ton MeOH</v>
          </cell>
          <cell r="G421">
            <v>0.18875226265526496</v>
          </cell>
          <cell r="H421">
            <v>0.18875226265526496</v>
          </cell>
          <cell r="I421">
            <v>0.18875226265526496</v>
          </cell>
          <cell r="J421">
            <v>0.18875226265526496</v>
          </cell>
          <cell r="K421">
            <v>0.18875226265526496</v>
          </cell>
          <cell r="L421">
            <v>0.18875226265526496</v>
          </cell>
          <cell r="M421">
            <v>0.18875226265526496</v>
          </cell>
          <cell r="N421">
            <v>0.18875226265526496</v>
          </cell>
          <cell r="O421">
            <v>0.18875226265526496</v>
          </cell>
          <cell r="P421">
            <v>0.18875226265526496</v>
          </cell>
          <cell r="Q421">
            <v>0.18875226265526496</v>
          </cell>
          <cell r="R421">
            <v>0.18875226265526496</v>
          </cell>
          <cell r="S421">
            <v>0.18875226265526496</v>
          </cell>
          <cell r="T421">
            <v>0.18875226265526496</v>
          </cell>
          <cell r="U421">
            <v>0.18875226265526496</v>
          </cell>
          <cell r="V421">
            <v>0.18875226265526496</v>
          </cell>
          <cell r="W421">
            <v>0.18875226265526496</v>
          </cell>
          <cell r="X421">
            <v>0.18875226265526496</v>
          </cell>
          <cell r="Y421">
            <v>0.18875226265526496</v>
          </cell>
          <cell r="Z421">
            <v>0.18875226265526496</v>
          </cell>
          <cell r="AA421">
            <v>0.18875226265526496</v>
          </cell>
          <cell r="AB421">
            <v>0.18875226265526496</v>
          </cell>
          <cell r="AC421">
            <v>0.18875226265526496</v>
          </cell>
          <cell r="AD421">
            <v>0.18875226265526496</v>
          </cell>
          <cell r="AE421">
            <v>0.18875226265526496</v>
          </cell>
          <cell r="AF421">
            <v>0.18875226265526496</v>
          </cell>
          <cell r="AG421">
            <v>0.18875226265526496</v>
          </cell>
          <cell r="AH421">
            <v>0.18875226265526496</v>
          </cell>
        </row>
        <row r="422">
          <cell r="B422" t="str">
            <v>e-methanol - Conversion CO2 -&gt; MeOH - Global - ton CO2/ton MeOH</v>
          </cell>
          <cell r="G422">
            <v>1.3735097684289368</v>
          </cell>
          <cell r="H422">
            <v>1.3735097684289368</v>
          </cell>
          <cell r="I422">
            <v>1.3735097684289368</v>
          </cell>
          <cell r="J422">
            <v>1.3735097684289368</v>
          </cell>
          <cell r="K422">
            <v>1.3735097684289368</v>
          </cell>
          <cell r="L422">
            <v>1.3735097684289368</v>
          </cell>
          <cell r="M422">
            <v>1.3735097684289368</v>
          </cell>
          <cell r="N422">
            <v>1.3735097684289368</v>
          </cell>
          <cell r="O422">
            <v>1.3735097684289368</v>
          </cell>
          <cell r="P422">
            <v>1.3735097684289368</v>
          </cell>
          <cell r="Q422">
            <v>1.3735097684289368</v>
          </cell>
          <cell r="R422">
            <v>1.3735097684289368</v>
          </cell>
          <cell r="S422">
            <v>1.3735097684289368</v>
          </cell>
          <cell r="T422">
            <v>1.3735097684289368</v>
          </cell>
          <cell r="U422">
            <v>1.3735097684289368</v>
          </cell>
          <cell r="V422">
            <v>1.3735097684289368</v>
          </cell>
          <cell r="W422">
            <v>1.3735097684289368</v>
          </cell>
          <cell r="X422">
            <v>1.3735097684289368</v>
          </cell>
          <cell r="Y422">
            <v>1.3735097684289368</v>
          </cell>
          <cell r="Z422">
            <v>1.3735097684289368</v>
          </cell>
          <cell r="AA422">
            <v>1.3735097684289368</v>
          </cell>
          <cell r="AB422">
            <v>1.3735097684289368</v>
          </cell>
          <cell r="AC422">
            <v>1.3735097684289368</v>
          </cell>
          <cell r="AD422">
            <v>1.3735097684289368</v>
          </cell>
          <cell r="AE422">
            <v>1.3735097684289368</v>
          </cell>
          <cell r="AF422">
            <v>1.3735097684289368</v>
          </cell>
          <cell r="AG422">
            <v>1.3735097684289368</v>
          </cell>
          <cell r="AH422">
            <v>1.3735097684289368</v>
          </cell>
        </row>
        <row r="423">
          <cell r="B423" t="str">
            <v/>
          </cell>
        </row>
        <row r="424">
          <cell r="B424" t="str">
            <v>e-methanol (DAC) - Finance cost including feedstock finance cost - Africa - USD/ton fuel</v>
          </cell>
          <cell r="G424">
            <v>312.97029769342851</v>
          </cell>
          <cell r="H424">
            <v>300.19927788798054</v>
          </cell>
          <cell r="I424">
            <v>287.35052031507087</v>
          </cell>
          <cell r="J424">
            <v>276.25882278781972</v>
          </cell>
          <cell r="K424">
            <v>265.02270583528565</v>
          </cell>
          <cell r="L424">
            <v>253.64216945747069</v>
          </cell>
          <cell r="M424">
            <v>242.11721365437586</v>
          </cell>
          <cell r="N424">
            <v>230.44783842599804</v>
          </cell>
          <cell r="O424">
            <v>227.76080893935108</v>
          </cell>
          <cell r="P424">
            <v>224.736978515424</v>
          </cell>
          <cell r="Q424">
            <v>221.37634715421547</v>
          </cell>
          <cell r="R424">
            <v>217.67891485572494</v>
          </cell>
          <cell r="S424">
            <v>213.64468161995418</v>
          </cell>
          <cell r="T424">
            <v>209.28532434237238</v>
          </cell>
          <cell r="U424">
            <v>204.64798919912459</v>
          </cell>
          <cell r="V424">
            <v>199.73267619021416</v>
          </cell>
          <cell r="W424">
            <v>194.53938531563722</v>
          </cell>
          <cell r="X424">
            <v>189.06811657539299</v>
          </cell>
          <cell r="Y424">
            <v>182.50132776293566</v>
          </cell>
          <cell r="Z424">
            <v>175.72478914338501</v>
          </cell>
          <cell r="AA424">
            <v>168.73850071674372</v>
          </cell>
          <cell r="AB424">
            <v>161.54246248301015</v>
          </cell>
          <cell r="AC424">
            <v>154.13667444218419</v>
          </cell>
          <cell r="AD424">
            <v>146.63056732563095</v>
          </cell>
          <cell r="AE424">
            <v>138.99326270129728</v>
          </cell>
          <cell r="AF424">
            <v>131.22476056918262</v>
          </cell>
          <cell r="AG424">
            <v>123.3250609292872</v>
          </cell>
          <cell r="AH424">
            <v>115.29416378161142</v>
          </cell>
        </row>
        <row r="425">
          <cell r="B425" t="str">
            <v>e-methanol (DAC) - Finance cost including feedstock finance cost - Americas - USD/ton fuel</v>
          </cell>
          <cell r="G425">
            <v>312.97029769342851</v>
          </cell>
          <cell r="H425">
            <v>300.19927788798054</v>
          </cell>
          <cell r="I425">
            <v>287.35052031507087</v>
          </cell>
          <cell r="J425">
            <v>276.25882278781972</v>
          </cell>
          <cell r="K425">
            <v>265.02270583528565</v>
          </cell>
          <cell r="L425">
            <v>253.64216945747069</v>
          </cell>
          <cell r="M425">
            <v>242.11721365437586</v>
          </cell>
          <cell r="N425">
            <v>230.44783842599804</v>
          </cell>
          <cell r="O425">
            <v>227.76080893935108</v>
          </cell>
          <cell r="P425">
            <v>224.736978515424</v>
          </cell>
          <cell r="Q425">
            <v>221.37634715421547</v>
          </cell>
          <cell r="R425">
            <v>217.67891485572494</v>
          </cell>
          <cell r="S425">
            <v>213.64468161995418</v>
          </cell>
          <cell r="T425">
            <v>209.28532434237238</v>
          </cell>
          <cell r="U425">
            <v>204.64798919912459</v>
          </cell>
          <cell r="V425">
            <v>199.73267619021416</v>
          </cell>
          <cell r="W425">
            <v>194.53938531563722</v>
          </cell>
          <cell r="X425">
            <v>189.06811657539299</v>
          </cell>
          <cell r="Y425">
            <v>182.50132776293566</v>
          </cell>
          <cell r="Z425">
            <v>175.72478914338501</v>
          </cell>
          <cell r="AA425">
            <v>168.73850071674372</v>
          </cell>
          <cell r="AB425">
            <v>161.54246248301015</v>
          </cell>
          <cell r="AC425">
            <v>154.13667444218419</v>
          </cell>
          <cell r="AD425">
            <v>146.63056732563095</v>
          </cell>
          <cell r="AE425">
            <v>138.99326270129728</v>
          </cell>
          <cell r="AF425">
            <v>131.22476056918262</v>
          </cell>
          <cell r="AG425">
            <v>123.3250609292872</v>
          </cell>
          <cell r="AH425">
            <v>115.29416378161142</v>
          </cell>
        </row>
        <row r="426">
          <cell r="B426" t="str">
            <v>e-methanol (DAC) - Finance cost including feedstock finance cost - Asia - USD/ton fuel</v>
          </cell>
          <cell r="G426">
            <v>312.97029769342851</v>
          </cell>
          <cell r="H426">
            <v>300.19927788798054</v>
          </cell>
          <cell r="I426">
            <v>287.35052031507087</v>
          </cell>
          <cell r="J426">
            <v>276.25882278781972</v>
          </cell>
          <cell r="K426">
            <v>265.02270583528565</v>
          </cell>
          <cell r="L426">
            <v>253.64216945747069</v>
          </cell>
          <cell r="M426">
            <v>242.11721365437586</v>
          </cell>
          <cell r="N426">
            <v>230.44783842599804</v>
          </cell>
          <cell r="O426">
            <v>227.76080893935108</v>
          </cell>
          <cell r="P426">
            <v>224.736978515424</v>
          </cell>
          <cell r="Q426">
            <v>221.37634715421547</v>
          </cell>
          <cell r="R426">
            <v>217.67891485572494</v>
          </cell>
          <cell r="S426">
            <v>213.64468161995418</v>
          </cell>
          <cell r="T426">
            <v>209.28532434237238</v>
          </cell>
          <cell r="U426">
            <v>204.64798919912459</v>
          </cell>
          <cell r="V426">
            <v>199.73267619021416</v>
          </cell>
          <cell r="W426">
            <v>194.53938531563722</v>
          </cell>
          <cell r="X426">
            <v>189.06811657539299</v>
          </cell>
          <cell r="Y426">
            <v>182.50132776293566</v>
          </cell>
          <cell r="Z426">
            <v>175.72478914338501</v>
          </cell>
          <cell r="AA426">
            <v>168.73850071674372</v>
          </cell>
          <cell r="AB426">
            <v>161.54246248301015</v>
          </cell>
          <cell r="AC426">
            <v>154.13667444218419</v>
          </cell>
          <cell r="AD426">
            <v>146.63056732563095</v>
          </cell>
          <cell r="AE426">
            <v>138.99326270129728</v>
          </cell>
          <cell r="AF426">
            <v>131.22476056918262</v>
          </cell>
          <cell r="AG426">
            <v>123.3250609292872</v>
          </cell>
          <cell r="AH426">
            <v>115.29416378161142</v>
          </cell>
        </row>
        <row r="427">
          <cell r="B427" t="str">
            <v>e-methanol (DAC) - Finance cost including feedstock finance cost - Europe - USD/ton fuel</v>
          </cell>
          <cell r="G427">
            <v>312.97029769342851</v>
          </cell>
          <cell r="H427">
            <v>300.19927788798054</v>
          </cell>
          <cell r="I427">
            <v>287.35052031507087</v>
          </cell>
          <cell r="J427">
            <v>276.25882278781972</v>
          </cell>
          <cell r="K427">
            <v>265.02270583528565</v>
          </cell>
          <cell r="L427">
            <v>253.64216945747069</v>
          </cell>
          <cell r="M427">
            <v>242.11721365437586</v>
          </cell>
          <cell r="N427">
            <v>230.44783842599804</v>
          </cell>
          <cell r="O427">
            <v>227.76080893935108</v>
          </cell>
          <cell r="P427">
            <v>224.736978515424</v>
          </cell>
          <cell r="Q427">
            <v>221.37634715421547</v>
          </cell>
          <cell r="R427">
            <v>217.67891485572494</v>
          </cell>
          <cell r="S427">
            <v>213.64468161995418</v>
          </cell>
          <cell r="T427">
            <v>209.28532434237238</v>
          </cell>
          <cell r="U427">
            <v>204.64798919912459</v>
          </cell>
          <cell r="V427">
            <v>199.73267619021416</v>
          </cell>
          <cell r="W427">
            <v>194.53938531563722</v>
          </cell>
          <cell r="X427">
            <v>189.06811657539299</v>
          </cell>
          <cell r="Y427">
            <v>182.50132776293566</v>
          </cell>
          <cell r="Z427">
            <v>175.72478914338501</v>
          </cell>
          <cell r="AA427">
            <v>168.73850071674372</v>
          </cell>
          <cell r="AB427">
            <v>161.54246248301015</v>
          </cell>
          <cell r="AC427">
            <v>154.13667444218419</v>
          </cell>
          <cell r="AD427">
            <v>146.63056732563095</v>
          </cell>
          <cell r="AE427">
            <v>138.99326270129728</v>
          </cell>
          <cell r="AF427">
            <v>131.22476056918262</v>
          </cell>
          <cell r="AG427">
            <v>123.3250609292872</v>
          </cell>
          <cell r="AH427">
            <v>115.29416378161142</v>
          </cell>
        </row>
        <row r="428">
          <cell r="B428" t="str">
            <v>e-methanol (DAC) - Finance cost including feedstock finance cost - Middle East - USD/ton fuel</v>
          </cell>
          <cell r="G428">
            <v>312.97029769342851</v>
          </cell>
          <cell r="H428">
            <v>300.19927788798054</v>
          </cell>
          <cell r="I428">
            <v>287.35052031507087</v>
          </cell>
          <cell r="J428">
            <v>276.25882278781972</v>
          </cell>
          <cell r="K428">
            <v>265.02270583528565</v>
          </cell>
          <cell r="L428">
            <v>253.64216945747069</v>
          </cell>
          <cell r="M428">
            <v>242.11721365437586</v>
          </cell>
          <cell r="N428">
            <v>230.44783842599804</v>
          </cell>
          <cell r="O428">
            <v>227.76080893935108</v>
          </cell>
          <cell r="P428">
            <v>224.736978515424</v>
          </cell>
          <cell r="Q428">
            <v>221.37634715421547</v>
          </cell>
          <cell r="R428">
            <v>217.67891485572494</v>
          </cell>
          <cell r="S428">
            <v>213.64468161995418</v>
          </cell>
          <cell r="T428">
            <v>209.28532434237238</v>
          </cell>
          <cell r="U428">
            <v>204.64798919912459</v>
          </cell>
          <cell r="V428">
            <v>199.73267619021416</v>
          </cell>
          <cell r="W428">
            <v>194.53938531563722</v>
          </cell>
          <cell r="X428">
            <v>189.06811657539299</v>
          </cell>
          <cell r="Y428">
            <v>182.50132776293566</v>
          </cell>
          <cell r="Z428">
            <v>175.72478914338501</v>
          </cell>
          <cell r="AA428">
            <v>168.73850071674372</v>
          </cell>
          <cell r="AB428">
            <v>161.54246248301015</v>
          </cell>
          <cell r="AC428">
            <v>154.13667444218419</v>
          </cell>
          <cell r="AD428">
            <v>146.63056732563095</v>
          </cell>
          <cell r="AE428">
            <v>138.99326270129728</v>
          </cell>
          <cell r="AF428">
            <v>131.22476056918262</v>
          </cell>
          <cell r="AG428">
            <v>123.3250609292872</v>
          </cell>
          <cell r="AH428">
            <v>115.29416378161142</v>
          </cell>
        </row>
        <row r="429">
          <cell r="B429" t="str">
            <v>e-methanol (DAC) - Finance cost - Africa - USD/ton fuel</v>
          </cell>
          <cell r="G429">
            <v>163.90000000000003</v>
          </cell>
          <cell r="H429">
            <v>156.20000000000002</v>
          </cell>
          <cell r="I429">
            <v>148.50000000000003</v>
          </cell>
          <cell r="J429">
            <v>140.80000000000001</v>
          </cell>
          <cell r="K429">
            <v>133.10000000000002</v>
          </cell>
          <cell r="L429">
            <v>125.40000000000002</v>
          </cell>
          <cell r="M429">
            <v>117.70000000000002</v>
          </cell>
          <cell r="N429">
            <v>110.00000000000001</v>
          </cell>
          <cell r="O429">
            <v>107.52500000000002</v>
          </cell>
          <cell r="P429">
            <v>105.05000000000001</v>
          </cell>
          <cell r="Q429">
            <v>102.57500000000002</v>
          </cell>
          <cell r="R429">
            <v>100.10000000000001</v>
          </cell>
          <cell r="S429">
            <v>97.625000000000014</v>
          </cell>
          <cell r="T429">
            <v>95.15</v>
          </cell>
          <cell r="U429">
            <v>92.675000000000011</v>
          </cell>
          <cell r="V429">
            <v>90.200000000000017</v>
          </cell>
          <cell r="W429">
            <v>87.725000000000009</v>
          </cell>
          <cell r="X429">
            <v>85.250000000000014</v>
          </cell>
          <cell r="Y429">
            <v>81.950000000000017</v>
          </cell>
          <cell r="Z429">
            <v>78.650000000000006</v>
          </cell>
          <cell r="AA429">
            <v>75.350000000000009</v>
          </cell>
          <cell r="AB429">
            <v>72.050000000000011</v>
          </cell>
          <cell r="AC429">
            <v>68.750000000000014</v>
          </cell>
          <cell r="AD429">
            <v>65.45</v>
          </cell>
          <cell r="AE429">
            <v>62.150000000000006</v>
          </cell>
          <cell r="AF429">
            <v>58.850000000000009</v>
          </cell>
          <cell r="AG429">
            <v>55.550000000000004</v>
          </cell>
          <cell r="AH429">
            <v>52.250000000000007</v>
          </cell>
        </row>
        <row r="430">
          <cell r="B430" t="str">
            <v>e-methanol (DAC) - Finance cost - Americas - USD/ton fuel</v>
          </cell>
          <cell r="G430">
            <v>163.90000000000003</v>
          </cell>
          <cell r="H430">
            <v>156.20000000000002</v>
          </cell>
          <cell r="I430">
            <v>148.50000000000003</v>
          </cell>
          <cell r="J430">
            <v>140.80000000000001</v>
          </cell>
          <cell r="K430">
            <v>133.10000000000002</v>
          </cell>
          <cell r="L430">
            <v>125.40000000000002</v>
          </cell>
          <cell r="M430">
            <v>117.70000000000002</v>
          </cell>
          <cell r="N430">
            <v>110.00000000000001</v>
          </cell>
          <cell r="O430">
            <v>107.52500000000002</v>
          </cell>
          <cell r="P430">
            <v>105.05000000000001</v>
          </cell>
          <cell r="Q430">
            <v>102.57500000000002</v>
          </cell>
          <cell r="R430">
            <v>100.10000000000001</v>
          </cell>
          <cell r="S430">
            <v>97.625000000000014</v>
          </cell>
          <cell r="T430">
            <v>95.15</v>
          </cell>
          <cell r="U430">
            <v>92.675000000000011</v>
          </cell>
          <cell r="V430">
            <v>90.200000000000017</v>
          </cell>
          <cell r="W430">
            <v>87.725000000000009</v>
          </cell>
          <cell r="X430">
            <v>85.250000000000014</v>
          </cell>
          <cell r="Y430">
            <v>81.950000000000017</v>
          </cell>
          <cell r="Z430">
            <v>78.650000000000006</v>
          </cell>
          <cell r="AA430">
            <v>75.350000000000009</v>
          </cell>
          <cell r="AB430">
            <v>72.050000000000011</v>
          </cell>
          <cell r="AC430">
            <v>68.750000000000014</v>
          </cell>
          <cell r="AD430">
            <v>65.45</v>
          </cell>
          <cell r="AE430">
            <v>62.150000000000006</v>
          </cell>
          <cell r="AF430">
            <v>58.850000000000009</v>
          </cell>
          <cell r="AG430">
            <v>55.550000000000004</v>
          </cell>
          <cell r="AH430">
            <v>52.250000000000007</v>
          </cell>
        </row>
        <row r="431">
          <cell r="B431" t="str">
            <v>e-methanol (DAC) - Finance cost - Asia - USD/ton fuel</v>
          </cell>
          <cell r="G431">
            <v>163.90000000000003</v>
          </cell>
          <cell r="H431">
            <v>156.20000000000002</v>
          </cell>
          <cell r="I431">
            <v>148.50000000000003</v>
          </cell>
          <cell r="J431">
            <v>140.80000000000001</v>
          </cell>
          <cell r="K431">
            <v>133.10000000000002</v>
          </cell>
          <cell r="L431">
            <v>125.40000000000002</v>
          </cell>
          <cell r="M431">
            <v>117.70000000000002</v>
          </cell>
          <cell r="N431">
            <v>110.00000000000001</v>
          </cell>
          <cell r="O431">
            <v>107.52500000000002</v>
          </cell>
          <cell r="P431">
            <v>105.05000000000001</v>
          </cell>
          <cell r="Q431">
            <v>102.57500000000002</v>
          </cell>
          <cell r="R431">
            <v>100.10000000000001</v>
          </cell>
          <cell r="S431">
            <v>97.625000000000014</v>
          </cell>
          <cell r="T431">
            <v>95.15</v>
          </cell>
          <cell r="U431">
            <v>92.675000000000011</v>
          </cell>
          <cell r="V431">
            <v>90.200000000000017</v>
          </cell>
          <cell r="W431">
            <v>87.725000000000009</v>
          </cell>
          <cell r="X431">
            <v>85.250000000000014</v>
          </cell>
          <cell r="Y431">
            <v>81.950000000000017</v>
          </cell>
          <cell r="Z431">
            <v>78.650000000000006</v>
          </cell>
          <cell r="AA431">
            <v>75.350000000000009</v>
          </cell>
          <cell r="AB431">
            <v>72.050000000000011</v>
          </cell>
          <cell r="AC431">
            <v>68.750000000000014</v>
          </cell>
          <cell r="AD431">
            <v>65.45</v>
          </cell>
          <cell r="AE431">
            <v>62.150000000000006</v>
          </cell>
          <cell r="AF431">
            <v>58.850000000000009</v>
          </cell>
          <cell r="AG431">
            <v>55.550000000000004</v>
          </cell>
          <cell r="AH431">
            <v>52.250000000000007</v>
          </cell>
        </row>
        <row r="432">
          <cell r="B432" t="str">
            <v>e-methanol (DAC) - Finance cost - Europe - USD/ton fuel</v>
          </cell>
          <cell r="G432">
            <v>163.90000000000003</v>
          </cell>
          <cell r="H432">
            <v>156.20000000000002</v>
          </cell>
          <cell r="I432">
            <v>148.50000000000003</v>
          </cell>
          <cell r="J432">
            <v>140.80000000000001</v>
          </cell>
          <cell r="K432">
            <v>133.10000000000002</v>
          </cell>
          <cell r="L432">
            <v>125.40000000000002</v>
          </cell>
          <cell r="M432">
            <v>117.70000000000002</v>
          </cell>
          <cell r="N432">
            <v>110.00000000000001</v>
          </cell>
          <cell r="O432">
            <v>107.52500000000002</v>
          </cell>
          <cell r="P432">
            <v>105.05000000000001</v>
          </cell>
          <cell r="Q432">
            <v>102.57500000000002</v>
          </cell>
          <cell r="R432">
            <v>100.10000000000001</v>
          </cell>
          <cell r="S432">
            <v>97.625000000000014</v>
          </cell>
          <cell r="T432">
            <v>95.15</v>
          </cell>
          <cell r="U432">
            <v>92.675000000000011</v>
          </cell>
          <cell r="V432">
            <v>90.200000000000017</v>
          </cell>
          <cell r="W432">
            <v>87.725000000000009</v>
          </cell>
          <cell r="X432">
            <v>85.250000000000014</v>
          </cell>
          <cell r="Y432">
            <v>81.950000000000017</v>
          </cell>
          <cell r="Z432">
            <v>78.650000000000006</v>
          </cell>
          <cell r="AA432">
            <v>75.350000000000009</v>
          </cell>
          <cell r="AB432">
            <v>72.050000000000011</v>
          </cell>
          <cell r="AC432">
            <v>68.750000000000014</v>
          </cell>
          <cell r="AD432">
            <v>65.45</v>
          </cell>
          <cell r="AE432">
            <v>62.150000000000006</v>
          </cell>
          <cell r="AF432">
            <v>58.850000000000009</v>
          </cell>
          <cell r="AG432">
            <v>55.550000000000004</v>
          </cell>
          <cell r="AH432">
            <v>52.250000000000007</v>
          </cell>
        </row>
        <row r="433">
          <cell r="B433" t="str">
            <v>e-methanol (DAC) - Finance cost - Middle East - USD/ton fuel</v>
          </cell>
          <cell r="G433">
            <v>163.90000000000003</v>
          </cell>
          <cell r="H433">
            <v>156.20000000000002</v>
          </cell>
          <cell r="I433">
            <v>148.50000000000003</v>
          </cell>
          <cell r="J433">
            <v>140.80000000000001</v>
          </cell>
          <cell r="K433">
            <v>133.10000000000002</v>
          </cell>
          <cell r="L433">
            <v>125.40000000000002</v>
          </cell>
          <cell r="M433">
            <v>117.70000000000002</v>
          </cell>
          <cell r="N433">
            <v>110.00000000000001</v>
          </cell>
          <cell r="O433">
            <v>107.52500000000002</v>
          </cell>
          <cell r="P433">
            <v>105.05000000000001</v>
          </cell>
          <cell r="Q433">
            <v>102.57500000000002</v>
          </cell>
          <cell r="R433">
            <v>100.10000000000001</v>
          </cell>
          <cell r="S433">
            <v>97.625000000000014</v>
          </cell>
          <cell r="T433">
            <v>95.15</v>
          </cell>
          <cell r="U433">
            <v>92.675000000000011</v>
          </cell>
          <cell r="V433">
            <v>90.200000000000017</v>
          </cell>
          <cell r="W433">
            <v>87.725000000000009</v>
          </cell>
          <cell r="X433">
            <v>85.250000000000014</v>
          </cell>
          <cell r="Y433">
            <v>81.950000000000017</v>
          </cell>
          <cell r="Z433">
            <v>78.650000000000006</v>
          </cell>
          <cell r="AA433">
            <v>75.350000000000009</v>
          </cell>
          <cell r="AB433">
            <v>72.050000000000011</v>
          </cell>
          <cell r="AC433">
            <v>68.750000000000014</v>
          </cell>
          <cell r="AD433">
            <v>65.45</v>
          </cell>
          <cell r="AE433">
            <v>62.150000000000006</v>
          </cell>
          <cell r="AF433">
            <v>58.850000000000009</v>
          </cell>
          <cell r="AG433">
            <v>55.550000000000004</v>
          </cell>
          <cell r="AH433">
            <v>52.250000000000007</v>
          </cell>
        </row>
        <row r="434">
          <cell r="B434" t="str">
            <v>e-hydrogen (compressed) - Finance cost including feedstock finance cost - Africa - USD/ton fuel</v>
          </cell>
          <cell r="G434">
            <v>423.4664833247287</v>
          </cell>
          <cell r="H434">
            <v>407.9080597487058</v>
          </cell>
          <cell r="I434">
            <v>391.93778538812398</v>
          </cell>
          <cell r="J434">
            <v>383.67894989578463</v>
          </cell>
          <cell r="K434">
            <v>374.65498754747659</v>
          </cell>
          <cell r="L434">
            <v>364.86589834320779</v>
          </cell>
          <cell r="M434">
            <v>354.31168228298088</v>
          </cell>
          <cell r="N434">
            <v>342.99233936678479</v>
          </cell>
          <cell r="O434">
            <v>350.20750340232428</v>
          </cell>
          <cell r="P434">
            <v>355.6383130013013</v>
          </cell>
          <cell r="Q434">
            <v>359.28476816371159</v>
          </cell>
          <cell r="R434">
            <v>361.14686888954691</v>
          </cell>
          <cell r="S434">
            <v>361.22461517882164</v>
          </cell>
          <cell r="T434">
            <v>358.40192634457429</v>
          </cell>
          <cell r="U434">
            <v>354.10652475046084</v>
          </cell>
          <cell r="V434">
            <v>348.33841039649622</v>
          </cell>
          <cell r="W434">
            <v>341.09758328266571</v>
          </cell>
          <cell r="X434">
            <v>332.38404340896386</v>
          </cell>
          <cell r="Y434">
            <v>321.22576094613464</v>
          </cell>
          <cell r="Z434">
            <v>308.95623454830633</v>
          </cell>
          <cell r="AA434">
            <v>295.57546421549114</v>
          </cell>
          <cell r="AB434">
            <v>281.08344994768112</v>
          </cell>
          <cell r="AC434">
            <v>265.48019174487365</v>
          </cell>
          <cell r="AD434">
            <v>248.55741402200647</v>
          </cell>
          <cell r="AE434">
            <v>230.93955849750063</v>
          </cell>
          <cell r="AF434">
            <v>212.62662517135635</v>
          </cell>
          <cell r="AG434">
            <v>193.61861404357347</v>
          </cell>
          <cell r="AH434">
            <v>173.9155251141523</v>
          </cell>
        </row>
        <row r="435">
          <cell r="B435" t="str">
            <v>e-hydrogen (compressed) - Finance cost including feedstock finance cost - Americas - USD/ton fuel</v>
          </cell>
          <cell r="G435">
            <v>423.4664833247287</v>
          </cell>
          <cell r="H435">
            <v>407.9080597487058</v>
          </cell>
          <cell r="I435">
            <v>391.93778538812398</v>
          </cell>
          <cell r="J435">
            <v>383.67894989578463</v>
          </cell>
          <cell r="K435">
            <v>374.65498754747659</v>
          </cell>
          <cell r="L435">
            <v>364.86589834320779</v>
          </cell>
          <cell r="M435">
            <v>354.31168228298088</v>
          </cell>
          <cell r="N435">
            <v>342.99233936678479</v>
          </cell>
          <cell r="O435">
            <v>350.20750340232428</v>
          </cell>
          <cell r="P435">
            <v>355.6383130013013</v>
          </cell>
          <cell r="Q435">
            <v>359.28476816371159</v>
          </cell>
          <cell r="R435">
            <v>361.14686888954691</v>
          </cell>
          <cell r="S435">
            <v>361.22461517882164</v>
          </cell>
          <cell r="T435">
            <v>358.40192634457429</v>
          </cell>
          <cell r="U435">
            <v>354.10652475046084</v>
          </cell>
          <cell r="V435">
            <v>348.33841039649622</v>
          </cell>
          <cell r="W435">
            <v>341.09758328266571</v>
          </cell>
          <cell r="X435">
            <v>332.38404340896386</v>
          </cell>
          <cell r="Y435">
            <v>321.22576094613464</v>
          </cell>
          <cell r="Z435">
            <v>308.95623454830633</v>
          </cell>
          <cell r="AA435">
            <v>295.57546421549114</v>
          </cell>
          <cell r="AB435">
            <v>281.08344994768112</v>
          </cell>
          <cell r="AC435">
            <v>265.48019174487365</v>
          </cell>
          <cell r="AD435">
            <v>248.55741402200647</v>
          </cell>
          <cell r="AE435">
            <v>230.93955849750063</v>
          </cell>
          <cell r="AF435">
            <v>212.62662517135635</v>
          </cell>
          <cell r="AG435">
            <v>193.61861404357347</v>
          </cell>
          <cell r="AH435">
            <v>173.9155251141523</v>
          </cell>
        </row>
        <row r="436">
          <cell r="B436" t="str">
            <v>e-hydrogen (compressed) - Finance cost including feedstock finance cost - Asia - USD/ton fuel</v>
          </cell>
          <cell r="G436">
            <v>423.4664833247287</v>
          </cell>
          <cell r="H436">
            <v>407.9080597487058</v>
          </cell>
          <cell r="I436">
            <v>391.93778538812398</v>
          </cell>
          <cell r="J436">
            <v>383.67894989578463</v>
          </cell>
          <cell r="K436">
            <v>374.65498754747659</v>
          </cell>
          <cell r="L436">
            <v>364.86589834320779</v>
          </cell>
          <cell r="M436">
            <v>354.31168228298088</v>
          </cell>
          <cell r="N436">
            <v>342.99233936678479</v>
          </cell>
          <cell r="O436">
            <v>350.20750340232428</v>
          </cell>
          <cell r="P436">
            <v>355.6383130013013</v>
          </cell>
          <cell r="Q436">
            <v>359.28476816371159</v>
          </cell>
          <cell r="R436">
            <v>361.14686888954691</v>
          </cell>
          <cell r="S436">
            <v>361.22461517882164</v>
          </cell>
          <cell r="T436">
            <v>358.40192634457429</v>
          </cell>
          <cell r="U436">
            <v>354.10652475046084</v>
          </cell>
          <cell r="V436">
            <v>348.33841039649622</v>
          </cell>
          <cell r="W436">
            <v>341.09758328266571</v>
          </cell>
          <cell r="X436">
            <v>332.38404340896386</v>
          </cell>
          <cell r="Y436">
            <v>321.22576094613464</v>
          </cell>
          <cell r="Z436">
            <v>308.95623454830633</v>
          </cell>
          <cell r="AA436">
            <v>295.57546421549114</v>
          </cell>
          <cell r="AB436">
            <v>281.08344994768112</v>
          </cell>
          <cell r="AC436">
            <v>265.48019174487365</v>
          </cell>
          <cell r="AD436">
            <v>248.55741402200647</v>
          </cell>
          <cell r="AE436">
            <v>230.93955849750063</v>
          </cell>
          <cell r="AF436">
            <v>212.62662517135635</v>
          </cell>
          <cell r="AG436">
            <v>193.61861404357347</v>
          </cell>
          <cell r="AH436">
            <v>173.9155251141523</v>
          </cell>
        </row>
        <row r="437">
          <cell r="B437" t="str">
            <v>e-hydrogen (compressed) - Finance cost including feedstock finance cost - Europe - USD/ton fuel</v>
          </cell>
          <cell r="G437">
            <v>423.4664833247287</v>
          </cell>
          <cell r="H437">
            <v>407.9080597487058</v>
          </cell>
          <cell r="I437">
            <v>391.93778538812398</v>
          </cell>
          <cell r="J437">
            <v>383.67894989578463</v>
          </cell>
          <cell r="K437">
            <v>374.65498754747659</v>
          </cell>
          <cell r="L437">
            <v>364.86589834320779</v>
          </cell>
          <cell r="M437">
            <v>354.31168228298088</v>
          </cell>
          <cell r="N437">
            <v>342.99233936678479</v>
          </cell>
          <cell r="O437">
            <v>350.20750340232428</v>
          </cell>
          <cell r="P437">
            <v>355.6383130013013</v>
          </cell>
          <cell r="Q437">
            <v>359.28476816371159</v>
          </cell>
          <cell r="R437">
            <v>361.14686888954691</v>
          </cell>
          <cell r="S437">
            <v>361.22461517882164</v>
          </cell>
          <cell r="T437">
            <v>358.40192634457429</v>
          </cell>
          <cell r="U437">
            <v>354.10652475046084</v>
          </cell>
          <cell r="V437">
            <v>348.33841039649622</v>
          </cell>
          <cell r="W437">
            <v>341.09758328266571</v>
          </cell>
          <cell r="X437">
            <v>332.38404340896386</v>
          </cell>
          <cell r="Y437">
            <v>321.22576094613464</v>
          </cell>
          <cell r="Z437">
            <v>308.95623454830633</v>
          </cell>
          <cell r="AA437">
            <v>295.57546421549114</v>
          </cell>
          <cell r="AB437">
            <v>281.08344994768112</v>
          </cell>
          <cell r="AC437">
            <v>265.48019174487365</v>
          </cell>
          <cell r="AD437">
            <v>248.55741402200647</v>
          </cell>
          <cell r="AE437">
            <v>230.93955849750063</v>
          </cell>
          <cell r="AF437">
            <v>212.62662517135635</v>
          </cell>
          <cell r="AG437">
            <v>193.61861404357347</v>
          </cell>
          <cell r="AH437">
            <v>173.9155251141523</v>
          </cell>
        </row>
        <row r="438">
          <cell r="B438" t="str">
            <v>e-hydrogen (compressed) - Finance cost including feedstock finance cost - Middle East - USD/ton fuel</v>
          </cell>
          <cell r="G438">
            <v>423.4664833247287</v>
          </cell>
          <cell r="H438">
            <v>407.9080597487058</v>
          </cell>
          <cell r="I438">
            <v>391.93778538812398</v>
          </cell>
          <cell r="J438">
            <v>383.67894989578463</v>
          </cell>
          <cell r="K438">
            <v>374.65498754747659</v>
          </cell>
          <cell r="L438">
            <v>364.86589834320779</v>
          </cell>
          <cell r="M438">
            <v>354.31168228298088</v>
          </cell>
          <cell r="N438">
            <v>342.99233936678479</v>
          </cell>
          <cell r="O438">
            <v>350.20750340232428</v>
          </cell>
          <cell r="P438">
            <v>355.6383130013013</v>
          </cell>
          <cell r="Q438">
            <v>359.28476816371159</v>
          </cell>
          <cell r="R438">
            <v>361.14686888954691</v>
          </cell>
          <cell r="S438">
            <v>361.22461517882164</v>
          </cell>
          <cell r="T438">
            <v>358.40192634457429</v>
          </cell>
          <cell r="U438">
            <v>354.10652475046084</v>
          </cell>
          <cell r="V438">
            <v>348.33841039649622</v>
          </cell>
          <cell r="W438">
            <v>341.09758328266571</v>
          </cell>
          <cell r="X438">
            <v>332.38404340896386</v>
          </cell>
          <cell r="Y438">
            <v>321.22576094613464</v>
          </cell>
          <cell r="Z438">
            <v>308.95623454830633</v>
          </cell>
          <cell r="AA438">
            <v>295.57546421549114</v>
          </cell>
          <cell r="AB438">
            <v>281.08344994768112</v>
          </cell>
          <cell r="AC438">
            <v>265.48019174487365</v>
          </cell>
          <cell r="AD438">
            <v>248.55741402200647</v>
          </cell>
          <cell r="AE438">
            <v>230.93955849750063</v>
          </cell>
          <cell r="AF438">
            <v>212.62662517135635</v>
          </cell>
          <cell r="AG438">
            <v>193.61861404357347</v>
          </cell>
          <cell r="AH438">
            <v>173.9155251141523</v>
          </cell>
        </row>
        <row r="439">
          <cell r="B439" t="str">
            <v>Carbon dioxide (DAC) - Finance cost - Africa - USD/ton fuel</v>
          </cell>
          <cell r="G439">
            <v>50.338222848099875</v>
          </cell>
          <cell r="H439">
            <v>48.784297130799828</v>
          </cell>
          <cell r="I439">
            <v>47.230371413499782</v>
          </cell>
          <cell r="J439">
            <v>45.895962526644261</v>
          </cell>
          <cell r="K439">
            <v>44.561553639788329</v>
          </cell>
          <cell r="L439">
            <v>43.227144752932404</v>
          </cell>
          <cell r="M439">
            <v>41.892735866076876</v>
          </cell>
          <cell r="N439">
            <v>40.558326979220951</v>
          </cell>
          <cell r="O439">
            <v>39.412424663881616</v>
          </cell>
          <cell r="P439">
            <v>38.266522348542281</v>
          </cell>
          <cell r="Q439">
            <v>37.120620033202542</v>
          </cell>
          <cell r="R439">
            <v>35.974717717863207</v>
          </cell>
          <cell r="S439">
            <v>34.828815402523475</v>
          </cell>
          <cell r="T439">
            <v>33.844790094212918</v>
          </cell>
          <cell r="U439">
            <v>32.860764785902361</v>
          </cell>
          <cell r="V439">
            <v>31.876739477592203</v>
          </cell>
          <cell r="W439">
            <v>30.89271416928165</v>
          </cell>
          <cell r="X439">
            <v>29.908688860970891</v>
          </cell>
          <cell r="Y439">
            <v>29.063672846574921</v>
          </cell>
          <cell r="Z439">
            <v>28.218656832178752</v>
          </cell>
          <cell r="AA439">
            <v>27.373640817782583</v>
          </cell>
          <cell r="AB439">
            <v>26.528624803386414</v>
          </cell>
          <cell r="AC439">
            <v>25.683608788990444</v>
          </cell>
          <cell r="AD439">
            <v>24.946887031192276</v>
          </cell>
          <cell r="AE439">
            <v>24.210165273394306</v>
          </cell>
          <cell r="AF439">
            <v>23.473443515596138</v>
          </cell>
          <cell r="AG439">
            <v>22.736721757797969</v>
          </cell>
          <cell r="AH439">
            <v>22.000000000000004</v>
          </cell>
        </row>
        <row r="440">
          <cell r="B440" t="str">
            <v>Carbon dioxide (DAC) - Finance cost - Americas - USD/ton fuel</v>
          </cell>
          <cell r="G440">
            <v>50.338222848099875</v>
          </cell>
          <cell r="H440">
            <v>48.784297130799828</v>
          </cell>
          <cell r="I440">
            <v>47.230371413499782</v>
          </cell>
          <cell r="J440">
            <v>45.895962526644261</v>
          </cell>
          <cell r="K440">
            <v>44.561553639788329</v>
          </cell>
          <cell r="L440">
            <v>43.227144752932404</v>
          </cell>
          <cell r="M440">
            <v>41.892735866076876</v>
          </cell>
          <cell r="N440">
            <v>40.558326979220951</v>
          </cell>
          <cell r="O440">
            <v>39.412424663881616</v>
          </cell>
          <cell r="P440">
            <v>38.266522348542281</v>
          </cell>
          <cell r="Q440">
            <v>37.120620033202542</v>
          </cell>
          <cell r="R440">
            <v>35.974717717863207</v>
          </cell>
          <cell r="S440">
            <v>34.828815402523475</v>
          </cell>
          <cell r="T440">
            <v>33.844790094212918</v>
          </cell>
          <cell r="U440">
            <v>32.860764785902361</v>
          </cell>
          <cell r="V440">
            <v>31.876739477592203</v>
          </cell>
          <cell r="W440">
            <v>30.89271416928165</v>
          </cell>
          <cell r="X440">
            <v>29.908688860970891</v>
          </cell>
          <cell r="Y440">
            <v>29.063672846574921</v>
          </cell>
          <cell r="Z440">
            <v>28.218656832178752</v>
          </cell>
          <cell r="AA440">
            <v>27.373640817782583</v>
          </cell>
          <cell r="AB440">
            <v>26.528624803386414</v>
          </cell>
          <cell r="AC440">
            <v>25.683608788990444</v>
          </cell>
          <cell r="AD440">
            <v>24.946887031192276</v>
          </cell>
          <cell r="AE440">
            <v>24.210165273394306</v>
          </cell>
          <cell r="AF440">
            <v>23.473443515596138</v>
          </cell>
          <cell r="AG440">
            <v>22.736721757797969</v>
          </cell>
          <cell r="AH440">
            <v>22.000000000000004</v>
          </cell>
        </row>
        <row r="441">
          <cell r="B441" t="str">
            <v>Carbon dioxide (DAC) - Finance cost - Asia - USD/ton fuel</v>
          </cell>
          <cell r="G441">
            <v>50.338222848099875</v>
          </cell>
          <cell r="H441">
            <v>48.784297130799828</v>
          </cell>
          <cell r="I441">
            <v>47.230371413499782</v>
          </cell>
          <cell r="J441">
            <v>45.895962526644261</v>
          </cell>
          <cell r="K441">
            <v>44.561553639788329</v>
          </cell>
          <cell r="L441">
            <v>43.227144752932404</v>
          </cell>
          <cell r="M441">
            <v>41.892735866076876</v>
          </cell>
          <cell r="N441">
            <v>40.558326979220951</v>
          </cell>
          <cell r="O441">
            <v>39.412424663881616</v>
          </cell>
          <cell r="P441">
            <v>38.266522348542281</v>
          </cell>
          <cell r="Q441">
            <v>37.120620033202542</v>
          </cell>
          <cell r="R441">
            <v>35.974717717863207</v>
          </cell>
          <cell r="S441">
            <v>34.828815402523475</v>
          </cell>
          <cell r="T441">
            <v>33.844790094212918</v>
          </cell>
          <cell r="U441">
            <v>32.860764785902361</v>
          </cell>
          <cell r="V441">
            <v>31.876739477592203</v>
          </cell>
          <cell r="W441">
            <v>30.89271416928165</v>
          </cell>
          <cell r="X441">
            <v>29.908688860970891</v>
          </cell>
          <cell r="Y441">
            <v>29.063672846574921</v>
          </cell>
          <cell r="Z441">
            <v>28.218656832178752</v>
          </cell>
          <cell r="AA441">
            <v>27.373640817782583</v>
          </cell>
          <cell r="AB441">
            <v>26.528624803386414</v>
          </cell>
          <cell r="AC441">
            <v>25.683608788990444</v>
          </cell>
          <cell r="AD441">
            <v>24.946887031192276</v>
          </cell>
          <cell r="AE441">
            <v>24.210165273394306</v>
          </cell>
          <cell r="AF441">
            <v>23.473443515596138</v>
          </cell>
          <cell r="AG441">
            <v>22.736721757797969</v>
          </cell>
          <cell r="AH441">
            <v>22.000000000000004</v>
          </cell>
        </row>
        <row r="442">
          <cell r="B442" t="str">
            <v>Carbon dioxide (DAC) - Finance cost - Europe - USD/ton fuel</v>
          </cell>
          <cell r="G442">
            <v>50.338222848099875</v>
          </cell>
          <cell r="H442">
            <v>48.784297130799828</v>
          </cell>
          <cell r="I442">
            <v>47.230371413499782</v>
          </cell>
          <cell r="J442">
            <v>45.895962526644261</v>
          </cell>
          <cell r="K442">
            <v>44.561553639788329</v>
          </cell>
          <cell r="L442">
            <v>43.227144752932404</v>
          </cell>
          <cell r="M442">
            <v>41.892735866076876</v>
          </cell>
          <cell r="N442">
            <v>40.558326979220951</v>
          </cell>
          <cell r="O442">
            <v>39.412424663881616</v>
          </cell>
          <cell r="P442">
            <v>38.266522348542281</v>
          </cell>
          <cell r="Q442">
            <v>37.120620033202542</v>
          </cell>
          <cell r="R442">
            <v>35.974717717863207</v>
          </cell>
          <cell r="S442">
            <v>34.828815402523475</v>
          </cell>
          <cell r="T442">
            <v>33.844790094212918</v>
          </cell>
          <cell r="U442">
            <v>32.860764785902361</v>
          </cell>
          <cell r="V442">
            <v>31.876739477592203</v>
          </cell>
          <cell r="W442">
            <v>30.89271416928165</v>
          </cell>
          <cell r="X442">
            <v>29.908688860970891</v>
          </cell>
          <cell r="Y442">
            <v>29.063672846574921</v>
          </cell>
          <cell r="Z442">
            <v>28.218656832178752</v>
          </cell>
          <cell r="AA442">
            <v>27.373640817782583</v>
          </cell>
          <cell r="AB442">
            <v>26.528624803386414</v>
          </cell>
          <cell r="AC442">
            <v>25.683608788990444</v>
          </cell>
          <cell r="AD442">
            <v>24.946887031192276</v>
          </cell>
          <cell r="AE442">
            <v>24.210165273394306</v>
          </cell>
          <cell r="AF442">
            <v>23.473443515596138</v>
          </cell>
          <cell r="AG442">
            <v>22.736721757797969</v>
          </cell>
          <cell r="AH442">
            <v>22.000000000000004</v>
          </cell>
        </row>
        <row r="443">
          <cell r="B443" t="str">
            <v>Carbon dioxide (DAC) - Finance cost - Middle East - USD/ton fuel</v>
          </cell>
          <cell r="G443">
            <v>50.338222848099875</v>
          </cell>
          <cell r="H443">
            <v>48.784297130799828</v>
          </cell>
          <cell r="I443">
            <v>47.230371413499782</v>
          </cell>
          <cell r="J443">
            <v>45.895962526644261</v>
          </cell>
          <cell r="K443">
            <v>44.561553639788329</v>
          </cell>
          <cell r="L443">
            <v>43.227144752932404</v>
          </cell>
          <cell r="M443">
            <v>41.892735866076876</v>
          </cell>
          <cell r="N443">
            <v>40.558326979220951</v>
          </cell>
          <cell r="O443">
            <v>39.412424663881616</v>
          </cell>
          <cell r="P443">
            <v>38.266522348542281</v>
          </cell>
          <cell r="Q443">
            <v>37.120620033202542</v>
          </cell>
          <cell r="R443">
            <v>35.974717717863207</v>
          </cell>
          <cell r="S443">
            <v>34.828815402523475</v>
          </cell>
          <cell r="T443">
            <v>33.844790094212918</v>
          </cell>
          <cell r="U443">
            <v>32.860764785902361</v>
          </cell>
          <cell r="V443">
            <v>31.876739477592203</v>
          </cell>
          <cell r="W443">
            <v>30.89271416928165</v>
          </cell>
          <cell r="X443">
            <v>29.908688860970891</v>
          </cell>
          <cell r="Y443">
            <v>29.063672846574921</v>
          </cell>
          <cell r="Z443">
            <v>28.218656832178752</v>
          </cell>
          <cell r="AA443">
            <v>27.373640817782583</v>
          </cell>
          <cell r="AB443">
            <v>26.528624803386414</v>
          </cell>
          <cell r="AC443">
            <v>25.683608788990444</v>
          </cell>
          <cell r="AD443">
            <v>24.946887031192276</v>
          </cell>
          <cell r="AE443">
            <v>24.210165273394306</v>
          </cell>
          <cell r="AF443">
            <v>23.473443515596138</v>
          </cell>
          <cell r="AG443">
            <v>22.736721757797969</v>
          </cell>
          <cell r="AH443">
            <v>22.000000000000004</v>
          </cell>
        </row>
        <row r="444">
          <cell r="B444" t="str">
            <v>e-methanol - Conversion H2 -&gt; MeOH - Global - ton H2/ton MeOH</v>
          </cell>
          <cell r="G444">
            <v>0.18875226265526496</v>
          </cell>
          <cell r="H444">
            <v>0.18875226265526496</v>
          </cell>
          <cell r="I444">
            <v>0.18875226265526496</v>
          </cell>
          <cell r="J444">
            <v>0.18875226265526496</v>
          </cell>
          <cell r="K444">
            <v>0.18875226265526496</v>
          </cell>
          <cell r="L444">
            <v>0.18875226265526496</v>
          </cell>
          <cell r="M444">
            <v>0.18875226265526496</v>
          </cell>
          <cell r="N444">
            <v>0.18875226265526496</v>
          </cell>
          <cell r="O444">
            <v>0.18875226265526496</v>
          </cell>
          <cell r="P444">
            <v>0.18875226265526496</v>
          </cell>
          <cell r="Q444">
            <v>0.18875226265526496</v>
          </cell>
          <cell r="R444">
            <v>0.18875226265526496</v>
          </cell>
          <cell r="S444">
            <v>0.18875226265526496</v>
          </cell>
          <cell r="T444">
            <v>0.18875226265526496</v>
          </cell>
          <cell r="U444">
            <v>0.18875226265526496</v>
          </cell>
          <cell r="V444">
            <v>0.18875226265526496</v>
          </cell>
          <cell r="W444">
            <v>0.18875226265526496</v>
          </cell>
          <cell r="X444">
            <v>0.18875226265526496</v>
          </cell>
          <cell r="Y444">
            <v>0.18875226265526496</v>
          </cell>
          <cell r="Z444">
            <v>0.18875226265526496</v>
          </cell>
          <cell r="AA444">
            <v>0.18875226265526496</v>
          </cell>
          <cell r="AB444">
            <v>0.18875226265526496</v>
          </cell>
          <cell r="AC444">
            <v>0.18875226265526496</v>
          </cell>
          <cell r="AD444">
            <v>0.18875226265526496</v>
          </cell>
          <cell r="AE444">
            <v>0.18875226265526496</v>
          </cell>
          <cell r="AF444">
            <v>0.18875226265526496</v>
          </cell>
          <cell r="AG444">
            <v>0.18875226265526496</v>
          </cell>
          <cell r="AH444">
            <v>0.18875226265526496</v>
          </cell>
        </row>
        <row r="445">
          <cell r="B445" t="str">
            <v>e-methanol - Conversion CO2 -&gt; MeOH - Global - ton CO2/ton MeOH</v>
          </cell>
          <cell r="G445">
            <v>1.3735097684289368</v>
          </cell>
          <cell r="H445">
            <v>1.3735097684289368</v>
          </cell>
          <cell r="I445">
            <v>1.3735097684289368</v>
          </cell>
          <cell r="J445">
            <v>1.3735097684289368</v>
          </cell>
          <cell r="K445">
            <v>1.3735097684289368</v>
          </cell>
          <cell r="L445">
            <v>1.3735097684289368</v>
          </cell>
          <cell r="M445">
            <v>1.3735097684289368</v>
          </cell>
          <cell r="N445">
            <v>1.3735097684289368</v>
          </cell>
          <cell r="O445">
            <v>1.3735097684289368</v>
          </cell>
          <cell r="P445">
            <v>1.3735097684289368</v>
          </cell>
          <cell r="Q445">
            <v>1.3735097684289368</v>
          </cell>
          <cell r="R445">
            <v>1.3735097684289368</v>
          </cell>
          <cell r="S445">
            <v>1.3735097684289368</v>
          </cell>
          <cell r="T445">
            <v>1.3735097684289368</v>
          </cell>
          <cell r="U445">
            <v>1.3735097684289368</v>
          </cell>
          <cell r="V445">
            <v>1.3735097684289368</v>
          </cell>
          <cell r="W445">
            <v>1.3735097684289368</v>
          </cell>
          <cell r="X445">
            <v>1.3735097684289368</v>
          </cell>
          <cell r="Y445">
            <v>1.3735097684289368</v>
          </cell>
          <cell r="Z445">
            <v>1.3735097684289368</v>
          </cell>
          <cell r="AA445">
            <v>1.3735097684289368</v>
          </cell>
          <cell r="AB445">
            <v>1.3735097684289368</v>
          </cell>
          <cell r="AC445">
            <v>1.3735097684289368</v>
          </cell>
          <cell r="AD445">
            <v>1.3735097684289368</v>
          </cell>
          <cell r="AE445">
            <v>1.3735097684289368</v>
          </cell>
          <cell r="AF445">
            <v>1.3735097684289368</v>
          </cell>
          <cell r="AG445">
            <v>1.3735097684289368</v>
          </cell>
          <cell r="AH445">
            <v>1.3735097684289368</v>
          </cell>
        </row>
        <row r="446">
          <cell r="B446" t="str">
            <v/>
          </cell>
        </row>
        <row r="447">
          <cell r="B447" t="str">
            <v>e-methanol (DAC) - Energy cost including feedstock energy cost - Africa - USD/ton fuel</v>
          </cell>
          <cell r="G447">
            <v>926.69386747496424</v>
          </cell>
          <cell r="H447">
            <v>814.51652104079471</v>
          </cell>
          <cell r="I447">
            <v>703.14333493406514</v>
          </cell>
          <cell r="J447">
            <v>670.05278130987745</v>
          </cell>
          <cell r="K447">
            <v>637.09293992225935</v>
          </cell>
          <cell r="L447">
            <v>604.28321202018287</v>
          </cell>
          <cell r="M447">
            <v>571.64299885262631</v>
          </cell>
          <cell r="N447">
            <v>539.1917016685702</v>
          </cell>
          <cell r="O447">
            <v>518.99230921195601</v>
          </cell>
          <cell r="P447">
            <v>498.92453459490548</v>
          </cell>
          <cell r="Q447">
            <v>478.99882782906491</v>
          </cell>
          <cell r="R447">
            <v>459.22563892610259</v>
          </cell>
          <cell r="S447">
            <v>439.61541789768279</v>
          </cell>
          <cell r="T447">
            <v>428.52699389243321</v>
          </cell>
          <cell r="U447">
            <v>417.49952516561166</v>
          </cell>
          <cell r="V447">
            <v>406.53642159573292</v>
          </cell>
          <cell r="W447">
            <v>395.64109306129535</v>
          </cell>
          <cell r="X447">
            <v>384.81694944081374</v>
          </cell>
          <cell r="Y447">
            <v>373.29274370325766</v>
          </cell>
          <cell r="Z447">
            <v>361.96590776917731</v>
          </cell>
          <cell r="AA447">
            <v>350.83444763353623</v>
          </cell>
          <cell r="AB447">
            <v>339.89636929129597</v>
          </cell>
          <cell r="AC447">
            <v>329.14967873741597</v>
          </cell>
          <cell r="AD447">
            <v>322.54327405206362</v>
          </cell>
          <cell r="AE447">
            <v>316.04378845499247</v>
          </cell>
          <cell r="AF447">
            <v>309.6499654313925</v>
          </cell>
          <cell r="AG447">
            <v>303.36054846645948</v>
          </cell>
          <cell r="AH447">
            <v>297.17428104538942</v>
          </cell>
        </row>
        <row r="448">
          <cell r="B448" t="str">
            <v>e-methanol (DAC) - Energy cost including feedstock energy cost - Americas - USD/ton fuel</v>
          </cell>
          <cell r="G448">
            <v>582.25554621858805</v>
          </cell>
          <cell r="H448">
            <v>567.85610377129558</v>
          </cell>
          <cell r="I448">
            <v>553.48513095383123</v>
          </cell>
          <cell r="J448">
            <v>530.88905764362141</v>
          </cell>
          <cell r="K448">
            <v>508.36338939547147</v>
          </cell>
          <cell r="L448">
            <v>485.9211620731586</v>
          </cell>
          <cell r="M448">
            <v>463.5754115404776</v>
          </cell>
          <cell r="N448">
            <v>441.33917366118715</v>
          </cell>
          <cell r="O448">
            <v>428.69624491566884</v>
          </cell>
          <cell r="P448">
            <v>416.1021210133693</v>
          </cell>
          <cell r="Q448">
            <v>403.56285513109452</v>
          </cell>
          <cell r="R448">
            <v>391.08450044565154</v>
          </cell>
          <cell r="S448">
            <v>378.67311013385859</v>
          </cell>
          <cell r="T448">
            <v>368.1207048586104</v>
          </cell>
          <cell r="U448">
            <v>357.6382925637601</v>
          </cell>
          <cell r="V448">
            <v>347.22927495104886</v>
          </cell>
          <cell r="W448">
            <v>336.89705372220442</v>
          </cell>
          <cell r="X448">
            <v>326.64503057896178</v>
          </cell>
          <cell r="Y448">
            <v>320.1621356492148</v>
          </cell>
          <cell r="Z448">
            <v>313.77246134416458</v>
          </cell>
          <cell r="AA448">
            <v>307.47522830243133</v>
          </cell>
          <cell r="AB448">
            <v>301.26965716262328</v>
          </cell>
          <cell r="AC448">
            <v>295.15496856335852</v>
          </cell>
          <cell r="AD448">
            <v>290.22086449047993</v>
          </cell>
          <cell r="AE448">
            <v>285.36306993869141</v>
          </cell>
          <cell r="AF448">
            <v>280.58083004090071</v>
          </cell>
          <cell r="AG448">
            <v>275.87338993001754</v>
          </cell>
          <cell r="AH448">
            <v>271.23999473895157</v>
          </cell>
        </row>
        <row r="449">
          <cell r="B449" t="str">
            <v>e-methanol (DAC) - Energy cost including feedstock energy cost - Asia - USD/ton fuel</v>
          </cell>
          <cell r="G449">
            <v>1030.6762076285063</v>
          </cell>
          <cell r="H449">
            <v>936.24539185084791</v>
          </cell>
          <cell r="I449">
            <v>842.45108503989661</v>
          </cell>
          <cell r="J449">
            <v>806.61347394107725</v>
          </cell>
          <cell r="K449">
            <v>770.89662127802546</v>
          </cell>
          <cell r="L449">
            <v>735.32130453428567</v>
          </cell>
          <cell r="M449">
            <v>699.90830119346049</v>
          </cell>
          <cell r="N449">
            <v>664.6783887391299</v>
          </cell>
          <cell r="O449">
            <v>638.61883714456656</v>
          </cell>
          <cell r="P449">
            <v>612.73909080812496</v>
          </cell>
          <cell r="Q449">
            <v>587.05277670724161</v>
          </cell>
          <cell r="R449">
            <v>561.57352181934073</v>
          </cell>
          <cell r="S449">
            <v>536.31495312188599</v>
          </cell>
          <cell r="T449">
            <v>521.40139155326256</v>
          </cell>
          <cell r="U449">
            <v>506.58640531732539</v>
          </cell>
          <cell r="V449">
            <v>491.87479748356401</v>
          </cell>
          <cell r="W449">
            <v>477.27137112143174</v>
          </cell>
          <cell r="X449">
            <v>462.7809293004168</v>
          </cell>
          <cell r="Y449">
            <v>447.25596781119486</v>
          </cell>
          <cell r="Z449">
            <v>432.00588791094867</v>
          </cell>
          <cell r="AA449">
            <v>417.02783047924555</v>
          </cell>
          <cell r="AB449">
            <v>402.31893639565129</v>
          </cell>
          <cell r="AC449">
            <v>387.87634653973049</v>
          </cell>
          <cell r="AD449">
            <v>379.55182470113624</v>
          </cell>
          <cell r="AE449">
            <v>371.36395964936929</v>
          </cell>
          <cell r="AF449">
            <v>363.31106806299277</v>
          </cell>
          <cell r="AG449">
            <v>355.39146662056669</v>
          </cell>
          <cell r="AH449">
            <v>347.6034720006511</v>
          </cell>
        </row>
        <row r="450">
          <cell r="B450" t="str">
            <v>e-methanol (DAC) - Energy cost including feedstock energy cost - Europe - USD/ton fuel</v>
          </cell>
          <cell r="G450">
            <v>767.28260787583929</v>
          </cell>
          <cell r="H450">
            <v>731.1977139454616</v>
          </cell>
          <cell r="I450">
            <v>695.29579566948519</v>
          </cell>
          <cell r="J450">
            <v>665.80860765235036</v>
          </cell>
          <cell r="K450">
            <v>636.4202329184576</v>
          </cell>
          <cell r="L450">
            <v>607.14776102248595</v>
          </cell>
          <cell r="M450">
            <v>578.00828151909968</v>
          </cell>
          <cell r="N450">
            <v>549.01888396297193</v>
          </cell>
          <cell r="O450">
            <v>534.34684523358328</v>
          </cell>
          <cell r="P450">
            <v>519.71953172551036</v>
          </cell>
          <cell r="Q450">
            <v>505.1437951304959</v>
          </cell>
          <cell r="R450">
            <v>490.6264871403007</v>
          </cell>
          <cell r="S450">
            <v>476.1744594467018</v>
          </cell>
          <cell r="T450">
            <v>466.01191980746114</v>
          </cell>
          <cell r="U450">
            <v>455.8831235125125</v>
          </cell>
          <cell r="V450">
            <v>445.7909065356726</v>
          </cell>
          <cell r="W450">
            <v>435.73810485073585</v>
          </cell>
          <cell r="X450">
            <v>425.72755443151038</v>
          </cell>
          <cell r="Y450">
            <v>414.71441192830997</v>
          </cell>
          <cell r="Z450">
            <v>403.880514481766</v>
          </cell>
          <cell r="AA450">
            <v>393.2241366815183</v>
          </cell>
          <cell r="AB450">
            <v>382.7435531171879</v>
          </cell>
          <cell r="AC450">
            <v>372.43703837841196</v>
          </cell>
          <cell r="AD450">
            <v>364.44410983016928</v>
          </cell>
          <cell r="AE450">
            <v>356.58239377892818</v>
          </cell>
          <cell r="AF450">
            <v>348.85027399680689</v>
          </cell>
          <cell r="AG450">
            <v>341.24613425592077</v>
          </cell>
          <cell r="AH450">
            <v>333.76835832838486</v>
          </cell>
        </row>
        <row r="451">
          <cell r="B451" t="str">
            <v>e-methanol (DAC) - Energy cost including feedstock energy cost - Middle East - USD/ton fuel</v>
          </cell>
          <cell r="G451">
            <v>587.54262492815053</v>
          </cell>
          <cell r="H451">
            <v>559.30934439291605</v>
          </cell>
          <cell r="I451">
            <v>531.22128988623024</v>
          </cell>
          <cell r="J451">
            <v>511.89999819551463</v>
          </cell>
          <cell r="K451">
            <v>492.62401119049753</v>
          </cell>
          <cell r="L451">
            <v>473.40430766119425</v>
          </cell>
          <cell r="M451">
            <v>454.25186639763069</v>
          </cell>
          <cell r="N451">
            <v>435.17766618981784</v>
          </cell>
          <cell r="O451">
            <v>420.37537018048869</v>
          </cell>
          <cell r="P451">
            <v>405.65657607875698</v>
          </cell>
          <cell r="Q451">
            <v>391.02875371665868</v>
          </cell>
          <cell r="R451">
            <v>376.49937292624452</v>
          </cell>
          <cell r="S451">
            <v>362.07590353956704</v>
          </cell>
          <cell r="T451">
            <v>353.40015307967565</v>
          </cell>
          <cell r="U451">
            <v>344.76662557736324</v>
          </cell>
          <cell r="V451">
            <v>336.17791747779125</v>
          </cell>
          <cell r="W451">
            <v>327.63662522609837</v>
          </cell>
          <cell r="X451">
            <v>319.14534526744086</v>
          </cell>
          <cell r="Y451">
            <v>308.56658703761798</v>
          </cell>
          <cell r="Z451">
            <v>298.17451891783094</v>
          </cell>
          <cell r="AA451">
            <v>287.96720451857203</v>
          </cell>
          <cell r="AB451">
            <v>277.94270745033066</v>
          </cell>
          <cell r="AC451">
            <v>268.0990913235965</v>
          </cell>
          <cell r="AD451">
            <v>262.34512075302479</v>
          </cell>
          <cell r="AE451">
            <v>256.68560863535873</v>
          </cell>
          <cell r="AF451">
            <v>251.11939143200692</v>
          </cell>
          <cell r="AG451">
            <v>245.64530560438078</v>
          </cell>
          <cell r="AH451">
            <v>240.26218761389205</v>
          </cell>
        </row>
        <row r="452">
          <cell r="B452" t="str">
            <v>e-methanol (DAC) - Energy cost - Africa - USD/ton fuel</v>
          </cell>
          <cell r="G452">
            <v>99.26267178187409</v>
          </cell>
          <cell r="H452">
            <v>87.606603617621289</v>
          </cell>
          <cell r="I452">
            <v>75.950535453365404</v>
          </cell>
          <cell r="J452">
            <v>72.701221964566045</v>
          </cell>
          <cell r="K452">
            <v>69.451908475766686</v>
          </cell>
          <cell r="L452">
            <v>66.202594986967327</v>
          </cell>
          <cell r="M452">
            <v>62.953281498167186</v>
          </cell>
          <cell r="N452">
            <v>59.703968009367827</v>
          </cell>
          <cell r="O452">
            <v>57.890197067325836</v>
          </cell>
          <cell r="P452">
            <v>56.076426125283838</v>
          </cell>
          <cell r="Q452">
            <v>54.262655183241073</v>
          </cell>
          <cell r="R452">
            <v>52.448884241199082</v>
          </cell>
          <cell r="S452">
            <v>50.635113299157283</v>
          </cell>
          <cell r="T452">
            <v>49.781401120835163</v>
          </cell>
          <cell r="U452">
            <v>48.927688942513235</v>
          </cell>
          <cell r="V452">
            <v>48.073976764191116</v>
          </cell>
          <cell r="W452">
            <v>47.220264585868996</v>
          </cell>
          <cell r="X452">
            <v>46.36655240754726</v>
          </cell>
          <cell r="Y452">
            <v>45.488704803888616</v>
          </cell>
          <cell r="Z452">
            <v>44.610857200229972</v>
          </cell>
          <cell r="AA452">
            <v>43.733009596570945</v>
          </cell>
          <cell r="AB452">
            <v>42.855161992912301</v>
          </cell>
          <cell r="AC452">
            <v>41.977314389253465</v>
          </cell>
          <cell r="AD452">
            <v>41.546443275330866</v>
          </cell>
          <cell r="AE452">
            <v>41.115572161408451</v>
          </cell>
          <cell r="AF452">
            <v>40.684701047485852</v>
          </cell>
          <cell r="AG452">
            <v>40.253829933563246</v>
          </cell>
          <cell r="AH452">
            <v>39.822958819640839</v>
          </cell>
        </row>
        <row r="453">
          <cell r="B453" t="str">
            <v>e-methanol (DAC) - Energy cost - Americas - USD/ton fuel</v>
          </cell>
          <cell r="G453">
            <v>62.36821371760395</v>
          </cell>
          <cell r="H453">
            <v>61.07665505835346</v>
          </cell>
          <cell r="I453">
            <v>59.785096399102578</v>
          </cell>
          <cell r="J453">
            <v>57.601855099917429</v>
          </cell>
          <cell r="K453">
            <v>55.418613800732281</v>
          </cell>
          <cell r="L453">
            <v>53.235372501547133</v>
          </cell>
          <cell r="M453">
            <v>51.052131202362759</v>
          </cell>
          <cell r="N453">
            <v>48.86888990317761</v>
          </cell>
          <cell r="O453">
            <v>47.818261773230411</v>
          </cell>
          <cell r="P453">
            <v>46.767633643283212</v>
          </cell>
          <cell r="Q453">
            <v>45.717005513336012</v>
          </cell>
          <cell r="R453">
            <v>44.666377383388813</v>
          </cell>
          <cell r="S453">
            <v>43.615749253441422</v>
          </cell>
          <cell r="T453">
            <v>42.764084248216705</v>
          </cell>
          <cell r="U453">
            <v>41.91241924299198</v>
          </cell>
          <cell r="V453">
            <v>41.060754237767071</v>
          </cell>
          <cell r="W453">
            <v>40.209089232542347</v>
          </cell>
          <cell r="X453">
            <v>39.35742422731753</v>
          </cell>
          <cell r="Y453">
            <v>39.014315503295393</v>
          </cell>
          <cell r="Z453">
            <v>38.671206779273248</v>
          </cell>
          <cell r="AA453">
            <v>38.328098055251203</v>
          </cell>
          <cell r="AB453">
            <v>37.984989331229066</v>
          </cell>
          <cell r="AC453">
            <v>37.641880607206922</v>
          </cell>
          <cell r="AD453">
            <v>37.383029360348445</v>
          </cell>
          <cell r="AE453">
            <v>37.124178113490061</v>
          </cell>
          <cell r="AF453">
            <v>36.865326866631683</v>
          </cell>
          <cell r="AG453">
            <v>36.606475619773299</v>
          </cell>
          <cell r="AH453">
            <v>36.347624372914915</v>
          </cell>
        </row>
        <row r="454">
          <cell r="B454" t="str">
            <v>e-methanol (DAC) - Energy cost - Asia - USD/ton fuel</v>
          </cell>
          <cell r="G454">
            <v>110.40072423267556</v>
          </cell>
          <cell r="H454">
            <v>100.69934349262111</v>
          </cell>
          <cell r="I454">
            <v>90.997962752571311</v>
          </cell>
          <cell r="J454">
            <v>87.518158038180076</v>
          </cell>
          <cell r="K454">
            <v>84.038353323790389</v>
          </cell>
          <cell r="L454">
            <v>80.558548609399168</v>
          </cell>
          <cell r="M454">
            <v>77.078743895007932</v>
          </cell>
          <cell r="N454">
            <v>73.598939180618245</v>
          </cell>
          <cell r="O454">
            <v>71.233753712729865</v>
          </cell>
          <cell r="P454">
            <v>68.868568244842251</v>
          </cell>
          <cell r="Q454">
            <v>66.503382776955405</v>
          </cell>
          <cell r="R454">
            <v>64.138197309067792</v>
          </cell>
          <cell r="S454">
            <v>61.773011841180185</v>
          </cell>
          <cell r="T454">
            <v>60.570494246133691</v>
          </cell>
          <cell r="U454">
            <v>59.367976651087197</v>
          </cell>
          <cell r="V454">
            <v>58.165459056041094</v>
          </cell>
          <cell r="W454">
            <v>56.9629414609946</v>
          </cell>
          <cell r="X454">
            <v>55.76042386594888</v>
          </cell>
          <cell r="Y454">
            <v>54.501714899965805</v>
          </cell>
          <cell r="Z454">
            <v>53.243005933983113</v>
          </cell>
          <cell r="AA454">
            <v>51.984296968000031</v>
          </cell>
          <cell r="AB454">
            <v>50.725588002017339</v>
          </cell>
          <cell r="AC454">
            <v>49.466879036034264</v>
          </cell>
          <cell r="AD454">
            <v>48.889651788084429</v>
          </cell>
          <cell r="AE454">
            <v>48.312424540134394</v>
          </cell>
          <cell r="AF454">
            <v>47.735197292184559</v>
          </cell>
          <cell r="AG454">
            <v>47.157970044234716</v>
          </cell>
          <cell r="AH454">
            <v>46.580742796284689</v>
          </cell>
        </row>
        <row r="455">
          <cell r="B455" t="str">
            <v>e-methanol (DAC) - Energy cost - Europe - USD/ton fuel</v>
          </cell>
          <cell r="G455">
            <v>82.187359108187323</v>
          </cell>
          <cell r="H455">
            <v>78.645118468410502</v>
          </cell>
          <cell r="I455">
            <v>75.102877828633694</v>
          </cell>
          <cell r="J455">
            <v>72.240725986131565</v>
          </cell>
          <cell r="K455">
            <v>69.378574143628654</v>
          </cell>
          <cell r="L455">
            <v>66.516422301126525</v>
          </cell>
          <cell r="M455">
            <v>63.654270458623614</v>
          </cell>
          <cell r="N455">
            <v>60.792118616121478</v>
          </cell>
          <cell r="O455">
            <v>59.602895117744033</v>
          </cell>
          <cell r="P455">
            <v>58.413671619367754</v>
          </cell>
          <cell r="Q455">
            <v>57.224448120991084</v>
          </cell>
          <cell r="R455">
            <v>56.035224622614415</v>
          </cell>
          <cell r="S455">
            <v>54.846001124238136</v>
          </cell>
          <cell r="T455">
            <v>54.135974250548429</v>
          </cell>
          <cell r="U455">
            <v>53.425947376858915</v>
          </cell>
          <cell r="V455">
            <v>52.7159205031694</v>
          </cell>
          <cell r="W455">
            <v>52.005893629479885</v>
          </cell>
          <cell r="X455">
            <v>51.29586675578998</v>
          </cell>
          <cell r="Y455">
            <v>50.536266188772764</v>
          </cell>
          <cell r="Z455">
            <v>49.776665621755349</v>
          </cell>
          <cell r="AA455">
            <v>49.017065054738133</v>
          </cell>
          <cell r="AB455">
            <v>48.257464487720718</v>
          </cell>
          <cell r="AC455">
            <v>47.497863920703502</v>
          </cell>
          <cell r="AD455">
            <v>46.943643703584165</v>
          </cell>
          <cell r="AE455">
            <v>46.389423486464636</v>
          </cell>
          <cell r="AF455">
            <v>45.8352032693453</v>
          </cell>
          <cell r="AG455">
            <v>45.280983052225963</v>
          </cell>
          <cell r="AH455">
            <v>44.726762835106435</v>
          </cell>
        </row>
        <row r="456">
          <cell r="B456" t="str">
            <v>e-methanol (DAC) - Energy cost - Middle East - USD/ton fuel</v>
          </cell>
          <cell r="G456">
            <v>62.93453834437873</v>
          </cell>
          <cell r="H456">
            <v>60.157394930737972</v>
          </cell>
          <cell r="I456">
            <v>57.38025151709644</v>
          </cell>
          <cell r="J456">
            <v>55.541528116218657</v>
          </cell>
          <cell r="K456">
            <v>53.702804715340882</v>
          </cell>
          <cell r="L456">
            <v>51.8640813144631</v>
          </cell>
          <cell r="M456">
            <v>50.025357913585317</v>
          </cell>
          <cell r="N456">
            <v>48.186634512707542</v>
          </cell>
          <cell r="O456">
            <v>46.890122628117588</v>
          </cell>
          <cell r="P456">
            <v>45.593610743528025</v>
          </cell>
          <cell r="Q456">
            <v>44.297098858938078</v>
          </cell>
          <cell r="R456">
            <v>43.000586974348515</v>
          </cell>
          <cell r="S456">
            <v>41.704075089758952</v>
          </cell>
          <cell r="T456">
            <v>41.054017663680554</v>
          </cell>
          <cell r="U456">
            <v>40.403960237602156</v>
          </cell>
          <cell r="V456">
            <v>39.75390281152395</v>
          </cell>
          <cell r="W456">
            <v>39.103845385445545</v>
          </cell>
          <cell r="X456">
            <v>38.453787959367148</v>
          </cell>
          <cell r="Y456">
            <v>37.601305213839112</v>
          </cell>
          <cell r="Z456">
            <v>36.748822468311268</v>
          </cell>
          <cell r="AA456">
            <v>35.896339722783225</v>
          </cell>
          <cell r="AB456">
            <v>35.043856977255381</v>
          </cell>
          <cell r="AC456">
            <v>34.191374231727245</v>
          </cell>
          <cell r="AD456">
            <v>33.792385564257692</v>
          </cell>
          <cell r="AE456">
            <v>33.393396896788239</v>
          </cell>
          <cell r="AF456">
            <v>32.994408229318687</v>
          </cell>
          <cell r="AG456">
            <v>32.595419561849134</v>
          </cell>
          <cell r="AH456">
            <v>32.196430894379674</v>
          </cell>
        </row>
        <row r="457">
          <cell r="B457" t="str">
            <v>e-hydrogen (compressed) - Energy cost including feedstock energy cost - Africa - USD/ton fuel</v>
          </cell>
          <cell r="G457">
            <v>3160.8705964644164</v>
          </cell>
          <cell r="H457">
            <v>2786.523241337979</v>
          </cell>
          <cell r="I457">
            <v>2412.5464202833837</v>
          </cell>
          <cell r="J457">
            <v>2304.7344628217015</v>
          </cell>
          <cell r="K457">
            <v>2196.6012206586379</v>
          </cell>
          <cell r="L457">
            <v>2088.2494806360514</v>
          </cell>
          <cell r="M457">
            <v>1979.7820295958466</v>
          </cell>
          <cell r="N457">
            <v>1871.3016543799013</v>
          </cell>
          <cell r="O457">
            <v>1802.6625730422293</v>
          </cell>
          <cell r="P457">
            <v>1734.1917254836167</v>
          </cell>
          <cell r="Q457">
            <v>1665.9444753405153</v>
          </cell>
          <cell r="R457">
            <v>1597.976186249457</v>
          </cell>
          <cell r="S457">
            <v>1530.3422218469802</v>
          </cell>
          <cell r="T457">
            <v>1491.8507805011832</v>
          </cell>
          <cell r="U457">
            <v>1453.4494587457298</v>
          </cell>
          <cell r="V457">
            <v>1415.1563219456079</v>
          </cell>
          <cell r="W457">
            <v>1376.9894354656967</v>
          </cell>
          <cell r="X457">
            <v>1338.9668646709708</v>
          </cell>
          <cell r="Y457">
            <v>1296.9598763474942</v>
          </cell>
          <cell r="Z457">
            <v>1255.7747230782336</v>
          </cell>
          <cell r="AA457">
            <v>1215.4008407247393</v>
          </cell>
          <cell r="AB457">
            <v>1175.8276651485323</v>
          </cell>
          <cell r="AC457">
            <v>1137.0446322111472</v>
          </cell>
          <cell r="AD457">
            <v>1113.2241368658154</v>
          </cell>
          <cell r="AE457">
            <v>1089.8673860112274</v>
          </cell>
          <cell r="AF457">
            <v>1066.9677226950826</v>
          </cell>
          <cell r="AG457">
            <v>1044.5184899651035</v>
          </cell>
          <cell r="AH457">
            <v>1022.5130308690141</v>
          </cell>
        </row>
        <row r="458">
          <cell r="B458" t="str">
            <v>e-hydrogen (compressed) - Energy cost including feedstock energy cost - Americas - USD/ton fuel</v>
          </cell>
          <cell r="G458">
            <v>1986.022029783622</v>
          </cell>
          <cell r="H458">
            <v>1942.6791108821419</v>
          </cell>
          <cell r="I458">
            <v>1899.0560032656203</v>
          </cell>
          <cell r="J458">
            <v>1826.0625747933959</v>
          </cell>
          <cell r="K458">
            <v>1752.7609736509025</v>
          </cell>
          <cell r="L458">
            <v>1679.2202631891889</v>
          </cell>
          <cell r="M458">
            <v>1605.5095067593863</v>
          </cell>
          <cell r="N458">
            <v>1531.6977677124719</v>
          </cell>
          <cell r="O458">
            <v>1489.0291478242557</v>
          </cell>
          <cell r="P458">
            <v>1446.3126288296503</v>
          </cell>
          <cell r="Q458">
            <v>1403.5802801551172</v>
          </cell>
          <cell r="R458">
            <v>1360.8641712271224</v>
          </cell>
          <cell r="S458">
            <v>1318.196371472189</v>
          </cell>
          <cell r="T458">
            <v>1281.5555815366356</v>
          </cell>
          <cell r="U458">
            <v>1245.0533507729108</v>
          </cell>
          <cell r="V458">
            <v>1208.7077012258628</v>
          </cell>
          <cell r="W458">
            <v>1172.5366549402484</v>
          </cell>
          <cell r="X458">
            <v>1136.5582339608836</v>
          </cell>
          <cell r="Y458">
            <v>1112.3640919011295</v>
          </cell>
          <cell r="Z458">
            <v>1088.5763473760965</v>
          </cell>
          <cell r="AA458">
            <v>1065.1908713683672</v>
          </cell>
          <cell r="AB458">
            <v>1042.2035348604634</v>
          </cell>
          <cell r="AC458">
            <v>1019.61020883496</v>
          </cell>
          <cell r="AD458">
            <v>1001.6667447875999</v>
          </cell>
          <cell r="AE458">
            <v>984.06586194466854</v>
          </cell>
          <cell r="AF458">
            <v>966.80356105825501</v>
          </cell>
          <cell r="AG458">
            <v>949.87584288045787</v>
          </cell>
          <cell r="AH458">
            <v>933.27870816337509</v>
          </cell>
        </row>
        <row r="459">
          <cell r="B459" t="str">
            <v>e-hydrogen (compressed) - Energy cost including feedstock energy cost - Asia - USD/ton fuel</v>
          </cell>
          <cell r="G459">
            <v>3515.5451368694994</v>
          </cell>
          <cell r="H459">
            <v>3202.9670075376002</v>
          </cell>
          <cell r="I459">
            <v>2890.5235227287494</v>
          </cell>
          <cell r="J459">
            <v>2774.4528840461521</v>
          </cell>
          <cell r="K459">
            <v>2657.9363122554146</v>
          </cell>
          <cell r="L459">
            <v>2541.0838854200356</v>
          </cell>
          <cell r="M459">
            <v>2424.0056816037468</v>
          </cell>
          <cell r="N459">
            <v>2306.8117788701561</v>
          </cell>
          <cell r="O459">
            <v>2218.1721303505983</v>
          </cell>
          <cell r="P459">
            <v>2129.7951643580186</v>
          </cell>
          <cell r="Q459">
            <v>2041.7530759339261</v>
          </cell>
          <cell r="R459">
            <v>1954.1180601197893</v>
          </cell>
          <cell r="S459">
            <v>1866.9623119572402</v>
          </cell>
          <cell r="T459">
            <v>1815.1787029276168</v>
          </cell>
          <cell r="U459">
            <v>1763.5893988725866</v>
          </cell>
          <cell r="V459">
            <v>1712.219846212882</v>
          </cell>
          <cell r="W459">
            <v>1661.0954913690473</v>
          </cell>
          <cell r="X459">
            <v>1610.2417807617942</v>
          </cell>
          <cell r="Y459">
            <v>1553.9360314199</v>
          </cell>
          <cell r="Z459">
            <v>1498.7656644323729</v>
          </cell>
          <cell r="AA459">
            <v>1444.7155323228835</v>
          </cell>
          <cell r="AB459">
            <v>1391.7704876150719</v>
          </cell>
          <cell r="AC459">
            <v>1339.915382832598</v>
          </cell>
          <cell r="AD459">
            <v>1309.9831447130568</v>
          </cell>
          <cell r="AE459">
            <v>1280.6373127610934</v>
          </cell>
          <cell r="AF459">
            <v>1251.8689688243389</v>
          </cell>
          <cell r="AG459">
            <v>1223.6691947504187</v>
          </cell>
          <cell r="AH459">
            <v>1196.0290723869578</v>
          </cell>
        </row>
        <row r="460">
          <cell r="B460" t="str">
            <v>e-hydrogen (compressed) - Energy cost including feedstock energy cost - Europe - USD/ton fuel</v>
          </cell>
          <cell r="G460">
            <v>2617.1329276426868</v>
          </cell>
          <cell r="H460">
            <v>2501.4832373426843</v>
          </cell>
          <cell r="I460">
            <v>2385.6208251448465</v>
          </cell>
          <cell r="J460">
            <v>2290.1360706240293</v>
          </cell>
          <cell r="K460">
            <v>2194.281827469511</v>
          </cell>
          <cell r="L460">
            <v>2098.1486352829556</v>
          </cell>
          <cell r="M460">
            <v>2001.8270336660016</v>
          </cell>
          <cell r="N460">
            <v>1905.4075622202831</v>
          </cell>
          <cell r="O460">
            <v>1855.9948612502078</v>
          </cell>
          <cell r="P460">
            <v>1806.4722197363817</v>
          </cell>
          <cell r="Q460">
            <v>1756.8759375972888</v>
          </cell>
          <cell r="R460">
            <v>1707.2423147514785</v>
          </cell>
          <cell r="S460">
            <v>1657.6076511175781</v>
          </cell>
          <cell r="T460">
            <v>1622.348781281504</v>
          </cell>
          <cell r="U460">
            <v>1587.0750484272664</v>
          </cell>
          <cell r="V460">
            <v>1551.8014774016065</v>
          </cell>
          <cell r="W460">
            <v>1516.5430930511313</v>
          </cell>
          <cell r="X460">
            <v>1481.3149202225381</v>
          </cell>
          <cell r="Y460">
            <v>1440.8743847473047</v>
          </cell>
          <cell r="Z460">
            <v>1401.1898091614214</v>
          </cell>
          <cell r="AA460">
            <v>1362.2520523275218</v>
          </cell>
          <cell r="AB460">
            <v>1324.0519731081486</v>
          </cell>
          <cell r="AC460">
            <v>1286.5804303659243</v>
          </cell>
          <cell r="AD460">
            <v>1257.840458133481</v>
          </cell>
          <cell r="AE460">
            <v>1229.6635327190136</v>
          </cell>
          <cell r="AF460">
            <v>1202.0410914284364</v>
          </cell>
          <cell r="AG460">
            <v>1174.9645715676581</v>
          </cell>
          <cell r="AH460">
            <v>1148.4254104425868</v>
          </cell>
        </row>
        <row r="461">
          <cell r="B461" t="str">
            <v>e-hydrogen (compressed) - Energy cost including feedstock energy cost - Middle East - USD/ton fuel</v>
          </cell>
          <cell r="G461">
            <v>2004.0557863679674</v>
          </cell>
          <cell r="H461">
            <v>1913.439994141396</v>
          </cell>
          <cell r="I461">
            <v>1822.6668128960132</v>
          </cell>
          <cell r="J461">
            <v>1760.7472131571581</v>
          </cell>
          <cell r="K461">
            <v>1698.4939504098782</v>
          </cell>
          <cell r="L461">
            <v>1635.9651897318304</v>
          </cell>
          <cell r="M461">
            <v>1573.2190962007282</v>
          </cell>
          <cell r="N461">
            <v>1510.3138348942052</v>
          </cell>
          <cell r="O461">
            <v>1460.1275067135082</v>
          </cell>
          <cell r="P461">
            <v>1410.0053792603746</v>
          </cell>
          <cell r="Q461">
            <v>1359.9870273294782</v>
          </cell>
          <cell r="R461">
            <v>1310.1120257155462</v>
          </cell>
          <cell r="S461">
            <v>1260.4199492133293</v>
          </cell>
          <cell r="T461">
            <v>1230.3082459572943</v>
          </cell>
          <cell r="U461">
            <v>1200.2429586961468</v>
          </cell>
          <cell r="V461">
            <v>1170.2378432658459</v>
          </cell>
          <cell r="W461">
            <v>1140.3066555022276</v>
          </cell>
          <cell r="X461">
            <v>1110.4631512412213</v>
          </cell>
          <cell r="Y461">
            <v>1072.0767797388739</v>
          </cell>
          <cell r="Z461">
            <v>1034.4621299578357</v>
          </cell>
          <cell r="AA461">
            <v>997.60894300383222</v>
          </cell>
          <cell r="AB461">
            <v>961.50695998256094</v>
          </cell>
          <cell r="AC461">
            <v>926.14592199973754</v>
          </cell>
          <cell r="AD461">
            <v>905.45655143347608</v>
          </cell>
          <cell r="AE461">
            <v>885.17250940990675</v>
          </cell>
          <cell r="AF461">
            <v>865.287631560058</v>
          </cell>
          <cell r="AG461">
            <v>845.79575351497181</v>
          </cell>
          <cell r="AH461">
            <v>826.69071090569059</v>
          </cell>
        </row>
        <row r="462">
          <cell r="B462" t="str">
            <v>Carbon dioxide (DAC) - Energy cost - Africa - USD/ton fuel</v>
          </cell>
          <cell r="G462">
            <v>168.04374017226095</v>
          </cell>
          <cell r="H462">
            <v>146.30209067169341</v>
          </cell>
          <cell r="I462">
            <v>125.09499957024941</v>
          </cell>
          <cell r="J462">
            <v>118.18460880247255</v>
          </cell>
          <cell r="K462">
            <v>111.41353662951776</v>
          </cell>
          <cell r="L462">
            <v>104.78178305138506</v>
          </cell>
          <cell r="M462">
            <v>98.28934806807321</v>
          </cell>
          <cell r="N462">
            <v>91.936231679584665</v>
          </cell>
          <cell r="O462">
            <v>87.982972860232593</v>
          </cell>
          <cell r="P462">
            <v>84.102420719352523</v>
          </cell>
          <cell r="Q462">
            <v>80.294575256942807</v>
          </cell>
          <cell r="R462">
            <v>76.559436473005292</v>
          </cell>
          <cell r="S462">
            <v>72.89700436753958</v>
          </cell>
          <cell r="T462">
            <v>70.735122997418571</v>
          </cell>
          <cell r="U462">
            <v>68.605236304620504</v>
          </cell>
          <cell r="V462">
            <v>66.507344289144001</v>
          </cell>
          <cell r="W462">
            <v>64.441446950990169</v>
          </cell>
          <cell r="X462">
            <v>62.40754429015891</v>
          </cell>
          <cell r="Y462">
            <v>60.429077079389643</v>
          </cell>
          <cell r="Z462">
            <v>58.481367988026683</v>
          </cell>
          <cell r="AA462">
            <v>56.564417016069513</v>
          </cell>
          <cell r="AB462">
            <v>54.678224163519339</v>
          </cell>
          <cell r="AC462">
            <v>52.822789430375032</v>
          </cell>
          <cell r="AD462">
            <v>51.600110701740995</v>
          </cell>
          <cell r="AE462">
            <v>50.391546373167834</v>
          </cell>
          <cell r="AF462">
            <v>49.197096444655244</v>
          </cell>
          <cell r="AG462">
            <v>48.016760916203474</v>
          </cell>
          <cell r="AH462">
            <v>46.85053978781275</v>
          </cell>
        </row>
        <row r="463">
          <cell r="B463" t="str">
            <v>Carbon dioxide (DAC) - Energy cost - Americas - USD/ton fuel</v>
          </cell>
          <cell r="G463">
            <v>105.58438245546897</v>
          </cell>
          <cell r="H463">
            <v>101.99736044182912</v>
          </cell>
          <cell r="I463">
            <v>98.469570539698765</v>
          </cell>
          <cell r="J463">
            <v>93.638765997611998</v>
          </cell>
          <cell r="K463">
            <v>88.901570801317362</v>
          </cell>
          <cell r="L463">
            <v>84.25798495081483</v>
          </cell>
          <cell r="M463">
            <v>79.708008446105609</v>
          </cell>
          <cell r="N463">
            <v>75.251641287187283</v>
          </cell>
          <cell r="O463">
            <v>72.675393088137156</v>
          </cell>
          <cell r="P463">
            <v>70.14126028517552</v>
          </cell>
          <cell r="Q463">
            <v>67.64924287830199</v>
          </cell>
          <cell r="R463">
            <v>65.19934086751617</v>
          </cell>
          <cell r="S463">
            <v>62.791554252818194</v>
          </cell>
          <cell r="T463">
            <v>60.764114529985541</v>
          </cell>
          <cell r="U463">
            <v>58.768592762315109</v>
          </cell>
          <cell r="V463">
            <v>56.804988949805931</v>
          </cell>
          <cell r="W463">
            <v>54.873303092459224</v>
          </cell>
          <cell r="X463">
            <v>52.973535190274085</v>
          </cell>
          <cell r="Y463">
            <v>51.828230522552126</v>
          </cell>
          <cell r="Z463">
            <v>50.694947735460516</v>
          </cell>
          <cell r="AA463">
            <v>49.573686828999371</v>
          </cell>
          <cell r="AB463">
            <v>48.464447803168603</v>
          </cell>
          <cell r="AC463">
            <v>47.367230657968015</v>
          </cell>
          <cell r="AD463">
            <v>46.429207924659629</v>
          </cell>
          <cell r="AE463">
            <v>45.499664594904488</v>
          </cell>
          <cell r="AF463">
            <v>44.57860066870262</v>
          </cell>
          <cell r="AG463">
            <v>43.666016146054034</v>
          </cell>
          <cell r="AH463">
            <v>42.761911026958728</v>
          </cell>
        </row>
        <row r="464">
          <cell r="B464" t="str">
            <v>Carbon dioxide (DAC) - Energy cost - Asia - USD/ton fuel</v>
          </cell>
          <cell r="G464">
            <v>186.89956944291009</v>
          </cell>
          <cell r="H464">
            <v>168.16682617375361</v>
          </cell>
          <cell r="I464">
            <v>149.87899747482393</v>
          </cell>
          <cell r="J464">
            <v>142.27132627697122</v>
          </cell>
          <cell r="K464">
            <v>134.81285628877197</v>
          </cell>
          <cell r="L464">
            <v>127.50358751022122</v>
          </cell>
          <cell r="M464">
            <v>120.34351994132149</v>
          </cell>
          <cell r="N464">
            <v>113.33265358207515</v>
          </cell>
          <cell r="O464">
            <v>108.26284478442385</v>
          </cell>
          <cell r="P464">
            <v>103.28784662429925</v>
          </cell>
          <cell r="Q464">
            <v>98.407659101700688</v>
          </cell>
          <cell r="R464">
            <v>93.622282216625351</v>
          </cell>
          <cell r="S464">
            <v>88.931715969074972</v>
          </cell>
          <cell r="T464">
            <v>86.065503663003796</v>
          </cell>
          <cell r="U464">
            <v>83.244358258173165</v>
          </cell>
          <cell r="V464">
            <v>80.468279754582596</v>
          </cell>
          <cell r="W464">
            <v>77.737268152231991</v>
          </cell>
          <cell r="X464">
            <v>75.051323451122215</v>
          </cell>
          <cell r="Y464">
            <v>72.402332509748831</v>
          </cell>
          <cell r="Z464">
            <v>69.797444349441975</v>
          </cell>
          <cell r="AA464">
            <v>67.236658970200637</v>
          </cell>
          <cell r="AB464">
            <v>64.719976372026011</v>
          </cell>
          <cell r="AC464">
            <v>62.247396554916683</v>
          </cell>
          <cell r="AD464">
            <v>60.720274602486676</v>
          </cell>
          <cell r="AE464">
            <v>59.212061358577877</v>
          </cell>
          <cell r="AF464">
            <v>57.722756823190991</v>
          </cell>
          <cell r="AG464">
            <v>56.25236099632577</v>
          </cell>
          <cell r="AH464">
            <v>54.800873877981985</v>
          </cell>
        </row>
        <row r="465">
          <cell r="B465" t="str">
            <v>Carbon dioxide (DAC) - Energy cost - Europe - USD/ton fuel</v>
          </cell>
          <cell r="G465">
            <v>139.13660564940096</v>
          </cell>
          <cell r="H465">
            <v>131.33650635826208</v>
          </cell>
          <cell r="I465">
            <v>123.69885760010307</v>
          </cell>
          <cell r="J465">
            <v>117.43601702374129</v>
          </cell>
          <cell r="K465">
            <v>111.29589497676589</v>
          </cell>
          <cell r="L465">
            <v>105.27849145917936</v>
          </cell>
          <cell r="M465">
            <v>99.383806470979252</v>
          </cell>
          <cell r="N465">
            <v>93.611840012167974</v>
          </cell>
          <cell r="O465">
            <v>90.585974296079655</v>
          </cell>
          <cell r="P465">
            <v>87.607779699054461</v>
          </cell>
          <cell r="Q465">
            <v>84.67725622108955</v>
          </cell>
          <cell r="R465">
            <v>81.794403862185035</v>
          </cell>
          <cell r="S465">
            <v>78.959222622341954</v>
          </cell>
          <cell r="T465">
            <v>76.922599826040909</v>
          </cell>
          <cell r="U465">
            <v>74.912586795058061</v>
          </cell>
          <cell r="V465">
            <v>72.929183529392262</v>
          </cell>
          <cell r="W465">
            <v>70.972390029044362</v>
          </cell>
          <cell r="X465">
            <v>69.042206294013226</v>
          </cell>
          <cell r="Y465">
            <v>67.134466412964173</v>
          </cell>
          <cell r="Z465">
            <v>65.253341498845373</v>
          </cell>
          <cell r="AA465">
            <v>63.398831551657359</v>
          </cell>
          <cell r="AB465">
            <v>61.570936571399812</v>
          </cell>
          <cell r="AC465">
            <v>59.769656558072832</v>
          </cell>
          <cell r="AD465">
            <v>58.303359346438278</v>
          </cell>
          <cell r="AE465">
            <v>56.855217183061221</v>
          </cell>
          <cell r="AF465">
            <v>55.425230067942344</v>
          </cell>
          <cell r="AG465">
            <v>54.013398001081399</v>
          </cell>
          <cell r="AH465">
            <v>52.619720982478157</v>
          </cell>
        </row>
        <row r="466">
          <cell r="B466" t="str">
            <v>Carbon dioxide (DAC) - Energy cost - Middle East - USD/ton fuel</v>
          </cell>
          <cell r="G466">
            <v>106.54312461630884</v>
          </cell>
          <cell r="H466">
            <v>100.46220586457505</v>
          </cell>
          <cell r="I466">
            <v>94.50864955757099</v>
          </cell>
          <cell r="J466">
            <v>90.289455876080666</v>
          </cell>
          <cell r="K466">
            <v>86.149099881800211</v>
          </cell>
          <cell r="L466">
            <v>82.087581574729612</v>
          </cell>
          <cell r="M466">
            <v>78.104900954868882</v>
          </cell>
          <cell r="N466">
            <v>74.201058022218021</v>
          </cell>
          <cell r="O466">
            <v>71.264783946143552</v>
          </cell>
          <cell r="P466">
            <v>68.380481742891675</v>
          </cell>
          <cell r="Q466">
            <v>65.548151412460825</v>
          </cell>
          <cell r="R466">
            <v>62.767792954851807</v>
          </cell>
          <cell r="S466">
            <v>60.039406370064405</v>
          </cell>
          <cell r="T466">
            <v>58.334255838436711</v>
          </cell>
          <cell r="U466">
            <v>56.653467589691616</v>
          </cell>
          <cell r="V466">
            <v>54.997041623828714</v>
          </cell>
          <cell r="W466">
            <v>53.364977940848128</v>
          </cell>
          <cell r="X466">
            <v>51.757276540749643</v>
          </cell>
          <cell r="Y466">
            <v>49.951129205562665</v>
          </cell>
          <cell r="Z466">
            <v>48.17485125313609</v>
          </cell>
          <cell r="AA466">
            <v>46.428442683469406</v>
          </cell>
          <cell r="AB466">
            <v>44.711903496563266</v>
          </cell>
          <cell r="AC466">
            <v>43.025233692416762</v>
          </cell>
          <cell r="AD466">
            <v>41.969677751620367</v>
          </cell>
          <cell r="AE466">
            <v>40.927191811319283</v>
          </cell>
          <cell r="AF466">
            <v>39.897775871513431</v>
          </cell>
          <cell r="AG466">
            <v>38.881429932202913</v>
          </cell>
          <cell r="AH466">
            <v>37.878153993387855</v>
          </cell>
        </row>
        <row r="467">
          <cell r="B467" t="str">
            <v>e-methanol - Conversion H2 -&gt; MeOH - Global - ton H2/ton MeOH</v>
          </cell>
          <cell r="G467">
            <v>0.18875226265526496</v>
          </cell>
          <cell r="H467">
            <v>0.18875226265526496</v>
          </cell>
          <cell r="I467">
            <v>0.18875226265526496</v>
          </cell>
          <cell r="J467">
            <v>0.18875226265526496</v>
          </cell>
          <cell r="K467">
            <v>0.18875226265526496</v>
          </cell>
          <cell r="L467">
            <v>0.18875226265526496</v>
          </cell>
          <cell r="M467">
            <v>0.18875226265526496</v>
          </cell>
          <cell r="N467">
            <v>0.18875226265526496</v>
          </cell>
          <cell r="O467">
            <v>0.18875226265526496</v>
          </cell>
          <cell r="P467">
            <v>0.18875226265526496</v>
          </cell>
          <cell r="Q467">
            <v>0.18875226265526496</v>
          </cell>
          <cell r="R467">
            <v>0.18875226265526496</v>
          </cell>
          <cell r="S467">
            <v>0.18875226265526496</v>
          </cell>
          <cell r="T467">
            <v>0.18875226265526496</v>
          </cell>
          <cell r="U467">
            <v>0.18875226265526496</v>
          </cell>
          <cell r="V467">
            <v>0.18875226265526496</v>
          </cell>
          <cell r="W467">
            <v>0.18875226265526496</v>
          </cell>
          <cell r="X467">
            <v>0.18875226265526496</v>
          </cell>
          <cell r="Y467">
            <v>0.18875226265526496</v>
          </cell>
          <cell r="Z467">
            <v>0.18875226265526496</v>
          </cell>
          <cell r="AA467">
            <v>0.18875226265526496</v>
          </cell>
          <cell r="AB467">
            <v>0.18875226265526496</v>
          </cell>
          <cell r="AC467">
            <v>0.18875226265526496</v>
          </cell>
          <cell r="AD467">
            <v>0.18875226265526496</v>
          </cell>
          <cell r="AE467">
            <v>0.18875226265526496</v>
          </cell>
          <cell r="AF467">
            <v>0.18875226265526496</v>
          </cell>
          <cell r="AG467">
            <v>0.18875226265526496</v>
          </cell>
          <cell r="AH467">
            <v>0.18875226265526496</v>
          </cell>
        </row>
        <row r="468">
          <cell r="B468" t="str">
            <v>e-methanol - Conversion CO2 -&gt; MeOH - Global - ton CO2/ton MeOH</v>
          </cell>
          <cell r="G468">
            <v>1.3735097684289368</v>
          </cell>
          <cell r="H468">
            <v>1.3735097684289368</v>
          </cell>
          <cell r="I468">
            <v>1.3735097684289368</v>
          </cell>
          <cell r="J468">
            <v>1.3735097684289368</v>
          </cell>
          <cell r="K468">
            <v>1.3735097684289368</v>
          </cell>
          <cell r="L468">
            <v>1.3735097684289368</v>
          </cell>
          <cell r="M468">
            <v>1.3735097684289368</v>
          </cell>
          <cell r="N468">
            <v>1.3735097684289368</v>
          </cell>
          <cell r="O468">
            <v>1.3735097684289368</v>
          </cell>
          <cell r="P468">
            <v>1.3735097684289368</v>
          </cell>
          <cell r="Q468">
            <v>1.3735097684289368</v>
          </cell>
          <cell r="R468">
            <v>1.3735097684289368</v>
          </cell>
          <cell r="S468">
            <v>1.3735097684289368</v>
          </cell>
          <cell r="T468">
            <v>1.3735097684289368</v>
          </cell>
          <cell r="U468">
            <v>1.3735097684289368</v>
          </cell>
          <cell r="V468">
            <v>1.3735097684289368</v>
          </cell>
          <cell r="W468">
            <v>1.3735097684289368</v>
          </cell>
          <cell r="X468">
            <v>1.3735097684289368</v>
          </cell>
          <cell r="Y468">
            <v>1.3735097684289368</v>
          </cell>
          <cell r="Z468">
            <v>1.3735097684289368</v>
          </cell>
          <cell r="AA468">
            <v>1.3735097684289368</v>
          </cell>
          <cell r="AB468">
            <v>1.3735097684289368</v>
          </cell>
          <cell r="AC468">
            <v>1.3735097684289368</v>
          </cell>
          <cell r="AD468">
            <v>1.3735097684289368</v>
          </cell>
          <cell r="AE468">
            <v>1.3735097684289368</v>
          </cell>
          <cell r="AF468">
            <v>1.3735097684289368</v>
          </cell>
          <cell r="AG468">
            <v>1.3735097684289368</v>
          </cell>
          <cell r="AH468">
            <v>1.3735097684289368</v>
          </cell>
        </row>
        <row r="469">
          <cell r="B469" t="str">
            <v/>
          </cell>
        </row>
        <row r="470">
          <cell r="B470" t="str">
            <v>e-methanol (DAC) - Feedstock cost including feedstock feedstock cost - Global - USD/ton fuel</v>
          </cell>
          <cell r="G470">
            <v>2.5481555458460767</v>
          </cell>
          <cell r="H470">
            <v>2.5481555458460861</v>
          </cell>
          <cell r="I470">
            <v>2.5481555458460861</v>
          </cell>
          <cell r="J470">
            <v>2.5481555458460861</v>
          </cell>
          <cell r="K470">
            <v>2.5481555458460949</v>
          </cell>
          <cell r="L470">
            <v>2.5481555458460767</v>
          </cell>
          <cell r="M470">
            <v>2.5481555458460949</v>
          </cell>
          <cell r="N470">
            <v>2.5481555458460767</v>
          </cell>
          <cell r="O470">
            <v>2.548155545846059</v>
          </cell>
          <cell r="P470">
            <v>2.5481555458460861</v>
          </cell>
          <cell r="Q470">
            <v>2.5481555458461131</v>
          </cell>
          <cell r="R470">
            <v>2.5481555458460949</v>
          </cell>
          <cell r="S470">
            <v>2.5481555458461131</v>
          </cell>
          <cell r="T470">
            <v>2.548155545846122</v>
          </cell>
          <cell r="U470">
            <v>2.5481555458460998</v>
          </cell>
          <cell r="V470">
            <v>2.5481555458461447</v>
          </cell>
          <cell r="W470">
            <v>2.548155545846122</v>
          </cell>
          <cell r="X470">
            <v>2.548155545846059</v>
          </cell>
          <cell r="Y470">
            <v>2.5481555458460767</v>
          </cell>
          <cell r="Z470">
            <v>2.5481555458460678</v>
          </cell>
          <cell r="AA470">
            <v>2.5481555458460861</v>
          </cell>
          <cell r="AB470">
            <v>2.5481555458460767</v>
          </cell>
          <cell r="AC470">
            <v>2.5481555458460767</v>
          </cell>
          <cell r="AD470">
            <v>2.5481555458460767</v>
          </cell>
          <cell r="AE470">
            <v>2.5481555458460767</v>
          </cell>
          <cell r="AF470">
            <v>2.5481555458460767</v>
          </cell>
          <cell r="AG470">
            <v>2.5481555458460767</v>
          </cell>
          <cell r="AH470">
            <v>2.5481555458460767</v>
          </cell>
        </row>
        <row r="471">
          <cell r="B471" t="str">
            <v>e-hydrogen - Feedstock cost - Global - USD/ton fuel</v>
          </cell>
          <cell r="G471">
            <v>13.5</v>
          </cell>
          <cell r="H471">
            <v>13.500000000000048</v>
          </cell>
          <cell r="I471">
            <v>13.500000000000048</v>
          </cell>
          <cell r="J471">
            <v>13.500000000000048</v>
          </cell>
          <cell r="K471">
            <v>13.500000000000096</v>
          </cell>
          <cell r="L471">
            <v>13.5</v>
          </cell>
          <cell r="M471">
            <v>13.500000000000096</v>
          </cell>
          <cell r="N471">
            <v>13.5</v>
          </cell>
          <cell r="O471">
            <v>13.499999999999904</v>
          </cell>
          <cell r="P471">
            <v>13.500000000000048</v>
          </cell>
          <cell r="Q471">
            <v>13.500000000000192</v>
          </cell>
          <cell r="R471">
            <v>13.500000000000096</v>
          </cell>
          <cell r="S471">
            <v>13.500000000000192</v>
          </cell>
          <cell r="T471">
            <v>13.50000000000024</v>
          </cell>
          <cell r="U471">
            <v>13.500000000000121</v>
          </cell>
          <cell r="V471">
            <v>13.500000000000359</v>
          </cell>
          <cell r="W471">
            <v>13.50000000000024</v>
          </cell>
          <cell r="X471">
            <v>13.499999999999904</v>
          </cell>
          <cell r="Y471">
            <v>13.5</v>
          </cell>
          <cell r="Z471">
            <v>13.499999999999952</v>
          </cell>
          <cell r="AA471">
            <v>13.500000000000048</v>
          </cell>
          <cell r="AB471">
            <v>13.5</v>
          </cell>
          <cell r="AC471">
            <v>13.5</v>
          </cell>
          <cell r="AD471">
            <v>13.5</v>
          </cell>
          <cell r="AE471">
            <v>13.5</v>
          </cell>
          <cell r="AF471">
            <v>13.5</v>
          </cell>
          <cell r="AG471">
            <v>13.5</v>
          </cell>
          <cell r="AH471">
            <v>13.5</v>
          </cell>
        </row>
        <row r="472">
          <cell r="B472" t="str">
            <v>e-methanol - Conversion H2 -&gt; MeOH - Global - ton H2/ton MeOH</v>
          </cell>
          <cell r="G472">
            <v>0.18875226265526496</v>
          </cell>
          <cell r="H472">
            <v>0.18875226265526496</v>
          </cell>
          <cell r="I472">
            <v>0.18875226265526496</v>
          </cell>
          <cell r="J472">
            <v>0.18875226265526496</v>
          </cell>
          <cell r="K472">
            <v>0.18875226265526496</v>
          </cell>
          <cell r="L472">
            <v>0.18875226265526496</v>
          </cell>
          <cell r="M472">
            <v>0.18875226265526496</v>
          </cell>
          <cell r="N472">
            <v>0.18875226265526496</v>
          </cell>
          <cell r="O472">
            <v>0.18875226265526496</v>
          </cell>
          <cell r="P472">
            <v>0.18875226265526496</v>
          </cell>
          <cell r="Q472">
            <v>0.18875226265526496</v>
          </cell>
          <cell r="R472">
            <v>0.18875226265526496</v>
          </cell>
          <cell r="S472">
            <v>0.18875226265526496</v>
          </cell>
          <cell r="T472">
            <v>0.18875226265526496</v>
          </cell>
          <cell r="U472">
            <v>0.18875226265526496</v>
          </cell>
          <cell r="V472">
            <v>0.18875226265526496</v>
          </cell>
          <cell r="W472">
            <v>0.18875226265526496</v>
          </cell>
          <cell r="X472">
            <v>0.18875226265526496</v>
          </cell>
          <cell r="Y472">
            <v>0.18875226265526496</v>
          </cell>
          <cell r="Z472">
            <v>0.18875226265526496</v>
          </cell>
          <cell r="AA472">
            <v>0.18875226265526496</v>
          </cell>
          <cell r="AB472">
            <v>0.18875226265526496</v>
          </cell>
          <cell r="AC472">
            <v>0.18875226265526496</v>
          </cell>
          <cell r="AD472">
            <v>0.18875226265526496</v>
          </cell>
          <cell r="AE472">
            <v>0.18875226265526496</v>
          </cell>
          <cell r="AF472">
            <v>0.18875226265526496</v>
          </cell>
          <cell r="AG472">
            <v>0.18875226265526496</v>
          </cell>
          <cell r="AH472">
            <v>0.18875226265526496</v>
          </cell>
        </row>
        <row r="474">
          <cell r="B474" t="str">
            <v>e-methanol (PS) - Item - Region - Unit</v>
          </cell>
          <cell r="G474">
            <v>2023</v>
          </cell>
          <cell r="H474">
            <v>2024</v>
          </cell>
          <cell r="I474">
            <v>2025</v>
          </cell>
          <cell r="J474">
            <v>2026</v>
          </cell>
          <cell r="K474">
            <v>2027</v>
          </cell>
          <cell r="L474">
            <v>2028</v>
          </cell>
          <cell r="M474">
            <v>2029</v>
          </cell>
          <cell r="N474">
            <v>2030</v>
          </cell>
          <cell r="O474">
            <v>2031</v>
          </cell>
          <cell r="P474">
            <v>2032</v>
          </cell>
          <cell r="Q474">
            <v>2033</v>
          </cell>
          <cell r="R474">
            <v>2034</v>
          </cell>
          <cell r="S474">
            <v>2035</v>
          </cell>
          <cell r="T474">
            <v>2036</v>
          </cell>
          <cell r="U474">
            <v>2037</v>
          </cell>
          <cell r="V474">
            <v>2038</v>
          </cell>
          <cell r="W474">
            <v>2039</v>
          </cell>
          <cell r="X474">
            <v>2040</v>
          </cell>
          <cell r="Y474">
            <v>2041</v>
          </cell>
          <cell r="Z474">
            <v>2042</v>
          </cell>
          <cell r="AA474">
            <v>2043</v>
          </cell>
          <cell r="AB474">
            <v>2044</v>
          </cell>
          <cell r="AC474">
            <v>2045</v>
          </cell>
          <cell r="AD474">
            <v>2046</v>
          </cell>
          <cell r="AE474">
            <v>2047</v>
          </cell>
          <cell r="AF474">
            <v>2048</v>
          </cell>
          <cell r="AG474">
            <v>2049</v>
          </cell>
          <cell r="AH474">
            <v>2050</v>
          </cell>
        </row>
        <row r="475">
          <cell r="B475" t="str">
            <v>e-methanol (PS) - Total cost - Africa - USD/ton fuel</v>
          </cell>
          <cell r="G475">
            <v>1588.000305896699</v>
          </cell>
          <cell r="H475">
            <v>1465.1576246994368</v>
          </cell>
          <cell r="I475">
            <v>1341.8106853655227</v>
          </cell>
          <cell r="J475">
            <v>1285.2987709124986</v>
          </cell>
          <cell r="K475">
            <v>1227.8148276346785</v>
          </cell>
          <cell r="L475">
            <v>1169.3782567810351</v>
          </cell>
          <cell r="M475">
            <v>1110.0084596005568</v>
          </cell>
          <cell r="N475">
            <v>1049.7248373422103</v>
          </cell>
          <cell r="O475">
            <v>1027.6230498512218</v>
          </cell>
          <cell r="P475">
            <v>1004.0911659498433</v>
          </cell>
          <cell r="Q475">
            <v>979.13963564972323</v>
          </cell>
          <cell r="R475">
            <v>952.77890896252086</v>
          </cell>
          <cell r="S475">
            <v>925.01943589990856</v>
          </cell>
          <cell r="T475">
            <v>903.57481497918866</v>
          </cell>
          <cell r="U475">
            <v>881.14657392060019</v>
          </cell>
          <cell r="V475">
            <v>857.73812260266925</v>
          </cell>
          <cell r="W475">
            <v>833.35287090388056</v>
          </cell>
          <cell r="X475">
            <v>807.9942287027518</v>
          </cell>
          <cell r="Y475">
            <v>780.24563090033791</v>
          </cell>
          <cell r="Z475">
            <v>752.04029173120716</v>
          </cell>
          <cell r="AA475">
            <v>723.37621719033211</v>
          </cell>
          <cell r="AB475">
            <v>694.25141327266556</v>
          </cell>
          <cell r="AC475">
            <v>664.66388597317155</v>
          </cell>
          <cell r="AD475">
            <v>639.49819357851584</v>
          </cell>
          <cell r="AE475">
            <v>614.10354112678078</v>
          </cell>
          <cell r="AF475">
            <v>588.47867210315667</v>
          </cell>
          <cell r="AG475">
            <v>562.62232999283879</v>
          </cell>
          <cell r="AH475">
            <v>536.53325828102322</v>
          </cell>
        </row>
        <row r="476">
          <cell r="B476" t="str">
            <v>e-methanol (PS) - Total cost - Americas - USD/ton fuel</v>
          </cell>
          <cell r="G476">
            <v>1315.936578859737</v>
          </cell>
          <cell r="H476">
            <v>1269.7045315553642</v>
          </cell>
          <cell r="I476">
            <v>1222.8454007159567</v>
          </cell>
          <cell r="J476">
            <v>1174.3592329668286</v>
          </cell>
          <cell r="K476">
            <v>1124.9035113184441</v>
          </cell>
          <cell r="L476">
            <v>1074.4912716345825</v>
          </cell>
          <cell r="M476">
            <v>1023.135549779045</v>
          </cell>
          <cell r="N476">
            <v>970.84938161558273</v>
          </cell>
          <cell r="O476">
            <v>954.6901807964183</v>
          </cell>
          <cell r="P476">
            <v>937.06008799570122</v>
          </cell>
          <cell r="Q476">
            <v>917.96515639023869</v>
          </cell>
          <cell r="R476">
            <v>897.41143915683074</v>
          </cell>
          <cell r="S476">
            <v>875.40498947230367</v>
          </cell>
          <cell r="T476">
            <v>854.31247466899265</v>
          </cell>
          <cell r="U476">
            <v>832.24548280841998</v>
          </cell>
          <cell r="V476">
            <v>809.20741559233807</v>
          </cell>
          <cell r="W476">
            <v>785.20167472246055</v>
          </cell>
          <cell r="X476">
            <v>760.23166190052598</v>
          </cell>
          <cell r="Y476">
            <v>736.57443629884665</v>
          </cell>
          <cell r="Z476">
            <v>712.38205455865364</v>
          </cell>
          <cell r="AA476">
            <v>687.65373731857585</v>
          </cell>
          <cell r="AB476">
            <v>662.3887052172139</v>
          </cell>
          <cell r="AC476">
            <v>636.58617889318975</v>
          </cell>
          <cell r="AD476">
            <v>612.76435163578594</v>
          </cell>
          <cell r="AE476">
            <v>588.69069447685968</v>
          </cell>
          <cell r="AF476">
            <v>564.36445254931903</v>
          </cell>
          <cell r="AG476">
            <v>539.78487098607332</v>
          </cell>
          <cell r="AH476">
            <v>514.95119492003244</v>
          </cell>
        </row>
        <row r="477">
          <cell r="B477" t="str">
            <v>e-methanol (PS) - Total cost - Asia - USD/ton fuel</v>
          </cell>
          <cell r="G477">
            <v>1670.1335101958248</v>
          </cell>
          <cell r="H477">
            <v>1561.6152752140101</v>
          </cell>
          <cell r="I477">
            <v>1452.5482574094826</v>
          </cell>
          <cell r="J477">
            <v>1394.1632058594882</v>
          </cell>
          <cell r="K477">
            <v>1334.782597815888</v>
          </cell>
          <cell r="L477">
            <v>1274.4272107622328</v>
          </cell>
          <cell r="M477">
            <v>1213.1178221821306</v>
          </cell>
          <cell r="N477">
            <v>1150.8752095591478</v>
          </cell>
          <cell r="O477">
            <v>1124.2463740811863</v>
          </cell>
          <cell r="P477">
            <v>1096.2052696077108</v>
          </cell>
          <cell r="Q477">
            <v>1066.7655231161584</v>
          </cell>
          <cell r="R477">
            <v>1035.94076158395</v>
          </cell>
          <cell r="S477">
            <v>1003.7446119885549</v>
          </cell>
          <cell r="T477">
            <v>979.31544160683143</v>
          </cell>
          <cell r="U477">
            <v>953.9223163142517</v>
          </cell>
          <cell r="V477">
            <v>927.57003918031592</v>
          </cell>
          <cell r="W477">
            <v>900.2634132744646</v>
          </cell>
          <cell r="X477">
            <v>872.00724166618761</v>
          </cell>
          <cell r="Y477">
            <v>841.040386911523</v>
          </cell>
          <cell r="Z477">
            <v>809.67597355249495</v>
          </cell>
          <cell r="AA477">
            <v>777.91114246868017</v>
          </cell>
          <cell r="AB477">
            <v>745.74303453963626</v>
          </cell>
          <cell r="AC477">
            <v>713.16879064493196</v>
          </cell>
          <cell r="AD477">
            <v>686.64992524420893</v>
          </cell>
          <cell r="AE477">
            <v>659.92525245544925</v>
          </cell>
          <cell r="AF477">
            <v>632.99308895721538</v>
          </cell>
          <cell r="AG477">
            <v>605.85175142806759</v>
          </cell>
          <cell r="AH477">
            <v>578.49955654656605</v>
          </cell>
        </row>
        <row r="478">
          <cell r="B478" t="str">
            <v>e-methanol (PS) - Total cost - Europe - USD/ton fuel</v>
          </cell>
          <cell r="G478">
            <v>1462.0851020947593</v>
          </cell>
          <cell r="H478">
            <v>1399.1360118921239</v>
          </cell>
          <cell r="I478">
            <v>1335.5725726688561</v>
          </cell>
          <cell r="J478">
            <v>1281.9153700367328</v>
          </cell>
          <cell r="K478">
            <v>1227.2770399785179</v>
          </cell>
          <cell r="L478">
            <v>1171.6746720488891</v>
          </cell>
          <cell r="M478">
            <v>1115.125355802521</v>
          </cell>
          <cell r="N478">
            <v>1057.6461807940739</v>
          </cell>
          <cell r="O478">
            <v>1040.0250340771129</v>
          </cell>
          <cell r="P478">
            <v>1020.9212849169206</v>
          </cell>
          <cell r="Q478">
            <v>1000.3417850052431</v>
          </cell>
          <cell r="R478">
            <v>978.29338603383428</v>
          </cell>
          <cell r="S478">
            <v>954.78293969447782</v>
          </cell>
          <cell r="T478">
            <v>934.14439980991108</v>
          </cell>
          <cell r="U478">
            <v>912.50242408258055</v>
          </cell>
          <cell r="V478">
            <v>889.85984848631415</v>
          </cell>
          <cell r="W478">
            <v>866.21950899489252</v>
          </cell>
          <cell r="X478">
            <v>841.58424158212767</v>
          </cell>
          <cell r="Y478">
            <v>814.29255413401654</v>
          </cell>
          <cell r="Z478">
            <v>786.53169123276734</v>
          </cell>
          <cell r="AA478">
            <v>758.29992746802736</v>
          </cell>
          <cell r="AB478">
            <v>729.5955374294108</v>
          </cell>
          <cell r="AC478">
            <v>700.41679570655788</v>
          </cell>
          <cell r="AD478">
            <v>674.15434502743278</v>
          </cell>
          <cell r="AE478">
            <v>647.68167783017964</v>
          </cell>
          <cell r="AF478">
            <v>620.99717788691578</v>
          </cell>
          <cell r="AG478">
            <v>594.09922896975706</v>
          </cell>
          <cell r="AH478">
            <v>566.98621485081878</v>
          </cell>
        </row>
        <row r="479">
          <cell r="B479" t="str">
            <v>e-methanol (PS) - Total cost - Middle East - USD/ton fuel</v>
          </cell>
          <cell r="G479">
            <v>1320.1127179537104</v>
          </cell>
          <cell r="H479">
            <v>1262.9321009588602</v>
          </cell>
          <cell r="I479">
            <v>1205.1475791494915</v>
          </cell>
          <cell r="J479">
            <v>1159.2213980074248</v>
          </cell>
          <cell r="K479">
            <v>1112.3208516070997</v>
          </cell>
          <cell r="L479">
            <v>1064.4569187385323</v>
          </cell>
          <cell r="M479">
            <v>1015.6405781917572</v>
          </cell>
          <cell r="N479">
            <v>965.88280875677424</v>
          </cell>
          <cell r="O479">
            <v>947.96934227248198</v>
          </cell>
          <cell r="P479">
            <v>928.6061429039396</v>
          </cell>
          <cell r="Q479">
            <v>907.80068048318492</v>
          </cell>
          <cell r="R479">
            <v>885.560424842261</v>
          </cell>
          <cell r="S479">
            <v>861.89284581322818</v>
          </cell>
          <cell r="T479">
            <v>842.3076181733104</v>
          </cell>
          <cell r="U479">
            <v>821.730521242995</v>
          </cell>
          <cell r="V479">
            <v>800.16415146745408</v>
          </cell>
          <cell r="W479">
            <v>777.61110529181383</v>
          </cell>
          <cell r="X479">
            <v>754.07397916123284</v>
          </cell>
          <cell r="Y479">
            <v>727.04336789072659</v>
          </cell>
          <cell r="Z479">
            <v>699.54655624852819</v>
          </cell>
          <cell r="AA479">
            <v>671.58160784513916</v>
          </cell>
          <cell r="AB479">
            <v>643.14658629104065</v>
          </cell>
          <cell r="AC479">
            <v>614.23955519672677</v>
          </cell>
          <cell r="AD479">
            <v>589.70834383125327</v>
          </cell>
          <cell r="AE479">
            <v>564.93714626633027</v>
          </cell>
          <cell r="AF479">
            <v>539.92479896336636</v>
          </cell>
          <cell r="AG479">
            <v>514.67013838377284</v>
          </cell>
          <cell r="AH479">
            <v>489.17200098896143</v>
          </cell>
        </row>
        <row r="480">
          <cell r="B480" t="str">
            <v/>
          </cell>
        </row>
        <row r="481">
          <cell r="B481" t="str">
            <v>e-methanol (PS) - CAPEX including feedstock CAPEX - Global - USD/ton fuel</v>
          </cell>
          <cell r="G481">
            <v>194.93308198043022</v>
          </cell>
          <cell r="H481">
            <v>186.65525825687445</v>
          </cell>
          <cell r="I481">
            <v>178.33032073485697</v>
          </cell>
          <cell r="J481">
            <v>170.88753565811737</v>
          </cell>
          <cell r="K481">
            <v>163.35722365696421</v>
          </cell>
          <cell r="L481">
            <v>155.73938473139839</v>
          </cell>
          <cell r="M481">
            <v>148.03401888142017</v>
          </cell>
          <cell r="N481">
            <v>140.24112610702835</v>
          </cell>
          <cell r="O481">
            <v>138.85686032493822</v>
          </cell>
          <cell r="P481">
            <v>137.26847276267833</v>
          </cell>
          <cell r="Q481">
            <v>135.47596342024818</v>
          </cell>
          <cell r="R481">
            <v>133.47933229764681</v>
          </cell>
          <cell r="S481">
            <v>131.27857939487592</v>
          </cell>
          <cell r="T481">
            <v>128.74603031498401</v>
          </cell>
          <cell r="U481">
            <v>126.04500980135518</v>
          </cell>
          <cell r="V481">
            <v>123.17551785399105</v>
          </cell>
          <cell r="W481">
            <v>120.13755447288997</v>
          </cell>
          <cell r="X481">
            <v>116.93111965805132</v>
          </cell>
          <cell r="Y481">
            <v>112.94501775514753</v>
          </cell>
          <cell r="Z481">
            <v>108.83179475703588</v>
          </cell>
          <cell r="AA481">
            <v>104.59145066371771</v>
          </cell>
          <cell r="AB481">
            <v>100.22398547519212</v>
          </cell>
          <cell r="AC481">
            <v>95.729399191458853</v>
          </cell>
          <cell r="AD481">
            <v>91.083866062253406</v>
          </cell>
          <cell r="AE481">
            <v>86.358819291968743</v>
          </cell>
          <cell r="AF481">
            <v>81.554258880604863</v>
          </cell>
          <cell r="AG481">
            <v>76.670184828161752</v>
          </cell>
          <cell r="AH481">
            <v>71.706597134639438</v>
          </cell>
        </row>
        <row r="482">
          <cell r="B482" t="str">
            <v>e-methanol (PS) - CAPEX - Global - USD/ton fuel</v>
          </cell>
          <cell r="G482">
            <v>99.333333333333329</v>
          </cell>
          <cell r="H482">
            <v>94.666666666666671</v>
          </cell>
          <cell r="I482">
            <v>90</v>
          </cell>
          <cell r="J482">
            <v>85.333333333333329</v>
          </cell>
          <cell r="K482">
            <v>80.666666666666671</v>
          </cell>
          <cell r="L482">
            <v>76</v>
          </cell>
          <cell r="M482">
            <v>71.333333333333329</v>
          </cell>
          <cell r="N482">
            <v>66.666666666666671</v>
          </cell>
          <cell r="O482">
            <v>65.166666666666671</v>
          </cell>
          <cell r="P482">
            <v>63.666666666666664</v>
          </cell>
          <cell r="Q482">
            <v>62.166666666666664</v>
          </cell>
          <cell r="R482">
            <v>60.666666666666664</v>
          </cell>
          <cell r="S482">
            <v>59.166666666666664</v>
          </cell>
          <cell r="T482">
            <v>57.666666666666664</v>
          </cell>
          <cell r="U482">
            <v>56.166666666666664</v>
          </cell>
          <cell r="V482">
            <v>54.666666666666664</v>
          </cell>
          <cell r="W482">
            <v>53.166666666666664</v>
          </cell>
          <cell r="X482">
            <v>51.666666666666664</v>
          </cell>
          <cell r="Y482">
            <v>49.666666666666664</v>
          </cell>
          <cell r="Z482">
            <v>47.666666666666664</v>
          </cell>
          <cell r="AA482">
            <v>45.666666666666664</v>
          </cell>
          <cell r="AB482">
            <v>43.666666666666664</v>
          </cell>
          <cell r="AC482">
            <v>41.666666666666664</v>
          </cell>
          <cell r="AD482">
            <v>39.666666666666664</v>
          </cell>
          <cell r="AE482">
            <v>37.666666666666664</v>
          </cell>
          <cell r="AF482">
            <v>35.666666666666664</v>
          </cell>
          <cell r="AG482">
            <v>33.666666666666664</v>
          </cell>
          <cell r="AH482">
            <v>31.666666666666668</v>
          </cell>
        </row>
        <row r="483">
          <cell r="B483" t="str">
            <v>e-hydrogen (compressed) - CAPEX including feedstock CAPEX - Global - USD/ton fuel</v>
          </cell>
          <cell r="G483">
            <v>256.64635353013858</v>
          </cell>
          <cell r="H483">
            <v>247.21700590830653</v>
          </cell>
          <cell r="I483">
            <v>237.53805175037812</v>
          </cell>
          <cell r="J483">
            <v>232.53269690653616</v>
          </cell>
          <cell r="K483">
            <v>227.06362881665248</v>
          </cell>
          <cell r="L483">
            <v>221.13084748073197</v>
          </cell>
          <cell r="M483">
            <v>214.73435289877628</v>
          </cell>
          <cell r="N483">
            <v>207.87414507077864</v>
          </cell>
          <cell r="O483">
            <v>212.24697175898439</v>
          </cell>
          <cell r="P483">
            <v>215.53837151594018</v>
          </cell>
          <cell r="Q483">
            <v>217.74834434164336</v>
          </cell>
          <cell r="R483">
            <v>218.87689023608903</v>
          </cell>
          <cell r="S483">
            <v>218.92400919928582</v>
          </cell>
          <cell r="T483">
            <v>217.21328869368136</v>
          </cell>
          <cell r="U483">
            <v>214.61001500027928</v>
          </cell>
          <cell r="V483">
            <v>211.1141881190886</v>
          </cell>
          <cell r="W483">
            <v>206.72580805010043</v>
          </cell>
          <cell r="X483">
            <v>201.44487479331141</v>
          </cell>
          <cell r="Y483">
            <v>194.68227936129369</v>
          </cell>
          <cell r="Z483">
            <v>187.24620275654928</v>
          </cell>
          <cell r="AA483">
            <v>179.13664497908553</v>
          </cell>
          <cell r="AB483">
            <v>170.35360602889762</v>
          </cell>
          <cell r="AC483">
            <v>160.89708590598403</v>
          </cell>
          <cell r="AD483">
            <v>150.64085698303418</v>
          </cell>
          <cell r="AE483">
            <v>139.96336878636401</v>
          </cell>
          <cell r="AF483">
            <v>128.86462131597352</v>
          </cell>
          <cell r="AG483">
            <v>117.34461457186269</v>
          </cell>
          <cell r="AH483">
            <v>105.40334855403168</v>
          </cell>
        </row>
        <row r="484">
          <cell r="B484" t="str">
            <v>Carbon dioxide (PS) - CAPEX - Global - USD/ton fuel</v>
          </cell>
          <cell r="G484">
            <v>34.333333333333336</v>
          </cell>
          <cell r="H484">
            <v>33</v>
          </cell>
          <cell r="I484">
            <v>31.666666666666668</v>
          </cell>
          <cell r="J484">
            <v>30.333333333333332</v>
          </cell>
          <cell r="K484">
            <v>29</v>
          </cell>
          <cell r="L484">
            <v>27.666666666666668</v>
          </cell>
          <cell r="M484">
            <v>26.333333333333332</v>
          </cell>
          <cell r="N484">
            <v>25</v>
          </cell>
          <cell r="O484">
            <v>24.483333333333334</v>
          </cell>
          <cell r="P484">
            <v>23.966666666666665</v>
          </cell>
          <cell r="Q484">
            <v>23.45</v>
          </cell>
          <cell r="R484">
            <v>22.933333333333334</v>
          </cell>
          <cell r="S484">
            <v>22.416666666666668</v>
          </cell>
          <cell r="T484">
            <v>21.9</v>
          </cell>
          <cell r="U484">
            <v>21.383333333333333</v>
          </cell>
          <cell r="V484">
            <v>20.866666666666667</v>
          </cell>
          <cell r="W484">
            <v>20.350000000000001</v>
          </cell>
          <cell r="X484">
            <v>19.833333333333332</v>
          </cell>
          <cell r="Y484">
            <v>19.316666666666666</v>
          </cell>
          <cell r="Z484">
            <v>18.8</v>
          </cell>
          <cell r="AA484">
            <v>18.283333333333335</v>
          </cell>
          <cell r="AB484">
            <v>17.766666666666666</v>
          </cell>
          <cell r="AC484">
            <v>17.25</v>
          </cell>
          <cell r="AD484">
            <v>16.733333333333334</v>
          </cell>
          <cell r="AE484">
            <v>16.216666666666665</v>
          </cell>
          <cell r="AF484">
            <v>15.7</v>
          </cell>
          <cell r="AG484">
            <v>15.183333333333334</v>
          </cell>
          <cell r="AH484">
            <v>14.666666666666666</v>
          </cell>
        </row>
        <row r="485">
          <cell r="B485" t="str">
            <v>e-methanol - Conversion H2 -&gt; MeOH - Global - ton H2/ton MeOH</v>
          </cell>
          <cell r="G485">
            <v>0.18875226265526496</v>
          </cell>
          <cell r="H485">
            <v>0.18875226265526496</v>
          </cell>
          <cell r="I485">
            <v>0.18875226265526496</v>
          </cell>
          <cell r="J485">
            <v>0.18875226265526496</v>
          </cell>
          <cell r="K485">
            <v>0.18875226265526496</v>
          </cell>
          <cell r="L485">
            <v>0.18875226265526496</v>
          </cell>
          <cell r="M485">
            <v>0.18875226265526496</v>
          </cell>
          <cell r="N485">
            <v>0.18875226265526496</v>
          </cell>
          <cell r="O485">
            <v>0.18875226265526496</v>
          </cell>
          <cell r="P485">
            <v>0.18875226265526496</v>
          </cell>
          <cell r="Q485">
            <v>0.18875226265526496</v>
          </cell>
          <cell r="R485">
            <v>0.18875226265526496</v>
          </cell>
          <cell r="S485">
            <v>0.18875226265526496</v>
          </cell>
          <cell r="T485">
            <v>0.18875226265526496</v>
          </cell>
          <cell r="U485">
            <v>0.18875226265526496</v>
          </cell>
          <cell r="V485">
            <v>0.18875226265526496</v>
          </cell>
          <cell r="W485">
            <v>0.18875226265526496</v>
          </cell>
          <cell r="X485">
            <v>0.18875226265526496</v>
          </cell>
          <cell r="Y485">
            <v>0.18875226265526496</v>
          </cell>
          <cell r="Z485">
            <v>0.18875226265526496</v>
          </cell>
          <cell r="AA485">
            <v>0.18875226265526496</v>
          </cell>
          <cell r="AB485">
            <v>0.18875226265526496</v>
          </cell>
          <cell r="AC485">
            <v>0.18875226265526496</v>
          </cell>
          <cell r="AD485">
            <v>0.18875226265526496</v>
          </cell>
          <cell r="AE485">
            <v>0.18875226265526496</v>
          </cell>
          <cell r="AF485">
            <v>0.18875226265526496</v>
          </cell>
          <cell r="AG485">
            <v>0.18875226265526496</v>
          </cell>
          <cell r="AH485">
            <v>0.18875226265526496</v>
          </cell>
        </row>
        <row r="486">
          <cell r="B486" t="str">
            <v>e-methanol - Conversion CO2 -&gt; MeOH - Global - ton CO2/ton MeOH</v>
          </cell>
          <cell r="G486">
            <v>1.3735097684289368</v>
          </cell>
          <cell r="H486">
            <v>1.3735097684289368</v>
          </cell>
          <cell r="I486">
            <v>1.3735097684289368</v>
          </cell>
          <cell r="J486">
            <v>1.3735097684289368</v>
          </cell>
          <cell r="K486">
            <v>1.3735097684289368</v>
          </cell>
          <cell r="L486">
            <v>1.3735097684289368</v>
          </cell>
          <cell r="M486">
            <v>1.3735097684289368</v>
          </cell>
          <cell r="N486">
            <v>1.3735097684289368</v>
          </cell>
          <cell r="O486">
            <v>1.3735097684289368</v>
          </cell>
          <cell r="P486">
            <v>1.3735097684289368</v>
          </cell>
          <cell r="Q486">
            <v>1.3735097684289368</v>
          </cell>
          <cell r="R486">
            <v>1.3735097684289368</v>
          </cell>
          <cell r="S486">
            <v>1.3735097684289368</v>
          </cell>
          <cell r="T486">
            <v>1.3735097684289368</v>
          </cell>
          <cell r="U486">
            <v>1.3735097684289368</v>
          </cell>
          <cell r="V486">
            <v>1.3735097684289368</v>
          </cell>
          <cell r="W486">
            <v>1.3735097684289368</v>
          </cell>
          <cell r="X486">
            <v>1.3735097684289368</v>
          </cell>
          <cell r="Y486">
            <v>1.3735097684289368</v>
          </cell>
          <cell r="Z486">
            <v>1.3735097684289368</v>
          </cell>
          <cell r="AA486">
            <v>1.3735097684289368</v>
          </cell>
          <cell r="AB486">
            <v>1.3735097684289368</v>
          </cell>
          <cell r="AC486">
            <v>1.3735097684289368</v>
          </cell>
          <cell r="AD486">
            <v>1.3735097684289368</v>
          </cell>
          <cell r="AE486">
            <v>1.3735097684289368</v>
          </cell>
          <cell r="AF486">
            <v>1.3735097684289368</v>
          </cell>
          <cell r="AG486">
            <v>1.3735097684289368</v>
          </cell>
          <cell r="AH486">
            <v>1.3735097684289368</v>
          </cell>
        </row>
        <row r="487">
          <cell r="B487" t="str">
            <v/>
          </cell>
        </row>
        <row r="488">
          <cell r="B488" t="str">
            <v>e-methanol (PS) - OPEX including feedstock OPEX - Global - USD/ton fuel</v>
          </cell>
          <cell r="G488">
            <v>336.90579768959992</v>
          </cell>
          <cell r="H488">
            <v>322.55219580448579</v>
          </cell>
          <cell r="I488">
            <v>307.74924820419596</v>
          </cell>
          <cell r="J488">
            <v>295.74115138075194</v>
          </cell>
          <cell r="K488">
            <v>283.05361529654971</v>
          </cell>
          <cell r="L488">
            <v>269.68663995158835</v>
          </cell>
          <cell r="M488">
            <v>255.64022534587539</v>
          </cell>
          <cell r="N488">
            <v>240.91437147940314</v>
          </cell>
          <cell r="O488">
            <v>237.90988495497982</v>
          </cell>
          <cell r="P488">
            <v>233.9844702311641</v>
          </cell>
          <cell r="Q488">
            <v>229.1381273079574</v>
          </cell>
          <cell r="R488">
            <v>223.37085618535522</v>
          </cell>
          <cell r="S488">
            <v>216.68265686336082</v>
          </cell>
          <cell r="T488">
            <v>210.37873918682777</v>
          </cell>
          <cell r="U488">
            <v>203.52064039524208</v>
          </cell>
          <cell r="V488">
            <v>196.10836048860835</v>
          </cell>
          <cell r="W488">
            <v>188.14189946691931</v>
          </cell>
          <cell r="X488">
            <v>179.62125733017871</v>
          </cell>
          <cell r="Y488">
            <v>171.56175568895966</v>
          </cell>
          <cell r="Z488">
            <v>163.22726035731199</v>
          </cell>
          <cell r="AA488">
            <v>154.61777133524032</v>
          </cell>
          <cell r="AB488">
            <v>145.73328862273988</v>
          </cell>
          <cell r="AC488">
            <v>136.5738122198145</v>
          </cell>
          <cell r="AD488">
            <v>128.80248057121656</v>
          </cell>
          <cell r="AE488">
            <v>120.92536719247687</v>
          </cell>
          <cell r="AF488">
            <v>112.94247208359569</v>
          </cell>
          <cell r="AG488">
            <v>104.85379524457285</v>
          </cell>
          <cell r="AH488">
            <v>96.659336675408412</v>
          </cell>
        </row>
        <row r="489">
          <cell r="B489" t="str">
            <v>e-methanol (PS) - OPEX - Global - USD/ton fuel</v>
          </cell>
          <cell r="G489">
            <v>119.2</v>
          </cell>
          <cell r="H489">
            <v>113.60000000000001</v>
          </cell>
          <cell r="I489">
            <v>108</v>
          </cell>
          <cell r="J489">
            <v>102.4</v>
          </cell>
          <cell r="K489">
            <v>96.8</v>
          </cell>
          <cell r="L489">
            <v>91.2</v>
          </cell>
          <cell r="M489">
            <v>85.600000000000009</v>
          </cell>
          <cell r="N489">
            <v>80</v>
          </cell>
          <cell r="O489">
            <v>78.2</v>
          </cell>
          <cell r="P489">
            <v>76.400000000000006</v>
          </cell>
          <cell r="Q489">
            <v>74.600000000000009</v>
          </cell>
          <cell r="R489">
            <v>72.8</v>
          </cell>
          <cell r="S489">
            <v>71</v>
          </cell>
          <cell r="T489">
            <v>69.2</v>
          </cell>
          <cell r="U489">
            <v>67.400000000000006</v>
          </cell>
          <cell r="V489">
            <v>65.599999999999994</v>
          </cell>
          <cell r="W489">
            <v>63.800000000000004</v>
          </cell>
          <cell r="X489">
            <v>62</v>
          </cell>
          <cell r="Y489">
            <v>59.6</v>
          </cell>
          <cell r="Z489">
            <v>57.2</v>
          </cell>
          <cell r="AA489">
            <v>54.800000000000004</v>
          </cell>
          <cell r="AB489">
            <v>52.4</v>
          </cell>
          <cell r="AC489">
            <v>50</v>
          </cell>
          <cell r="AD489">
            <v>47.6</v>
          </cell>
          <cell r="AE489">
            <v>45.2</v>
          </cell>
          <cell r="AF489">
            <v>42.800000000000004</v>
          </cell>
          <cell r="AG489">
            <v>40.4</v>
          </cell>
          <cell r="AH489">
            <v>38</v>
          </cell>
        </row>
        <row r="490">
          <cell r="B490" t="str">
            <v>e-hydrogen (compressed) - OPEX including feedstock OPEX - Global - USD/ton fuel</v>
          </cell>
          <cell r="G490">
            <v>778.63990898977545</v>
          </cell>
          <cell r="H490">
            <v>746.81733762687418</v>
          </cell>
          <cell r="I490">
            <v>712.61415525113227</v>
          </cell>
          <cell r="J490">
            <v>693.21795180920219</v>
          </cell>
          <cell r="K490">
            <v>670.22211331548374</v>
          </cell>
          <cell r="L490">
            <v>643.6266397699726</v>
          </cell>
          <cell r="M490">
            <v>613.43153117270822</v>
          </cell>
          <cell r="N490">
            <v>579.63678752365013</v>
          </cell>
          <cell r="O490">
            <v>578.89498738880036</v>
          </cell>
          <cell r="P490">
            <v>573.27415594361116</v>
          </cell>
          <cell r="Q490">
            <v>562.77429318809038</v>
          </cell>
          <cell r="R490">
            <v>547.39539912221437</v>
          </cell>
          <cell r="S490">
            <v>527.13747374599984</v>
          </cell>
          <cell r="T490">
            <v>508.91545321169565</v>
          </cell>
          <cell r="U490">
            <v>487.75740898550708</v>
          </cell>
          <cell r="V490">
            <v>463.66334106745865</v>
          </cell>
          <cell r="W490">
            <v>436.63324945751151</v>
          </cell>
          <cell r="X490">
            <v>406.66713415568563</v>
          </cell>
          <cell r="Y490">
            <v>382.32288786138321</v>
          </cell>
          <cell r="Z490">
            <v>356.52173881762411</v>
          </cell>
          <cell r="AA490">
            <v>329.2636870244329</v>
          </cell>
          <cell r="AB490">
            <v>300.54873248178433</v>
          </cell>
          <cell r="AC490">
            <v>270.37687518969852</v>
          </cell>
          <cell r="AD490">
            <v>247.55933903156756</v>
          </cell>
          <cell r="AE490">
            <v>224.18137658421693</v>
          </cell>
          <cell r="AF490">
            <v>200.24298784764761</v>
          </cell>
          <cell r="AG490">
            <v>175.74417282185905</v>
          </cell>
          <cell r="AH490">
            <v>150.68493150685131</v>
          </cell>
        </row>
        <row r="491">
          <cell r="B491" t="str">
            <v>Carbon dioxide (PS) - OPEX - Global - USD/ton fuel</v>
          </cell>
          <cell r="G491">
            <v>51.5</v>
          </cell>
          <cell r="H491">
            <v>49.5</v>
          </cell>
          <cell r="I491">
            <v>47.5</v>
          </cell>
          <cell r="J491">
            <v>45.5</v>
          </cell>
          <cell r="K491">
            <v>43.5</v>
          </cell>
          <cell r="L491">
            <v>41.5</v>
          </cell>
          <cell r="M491">
            <v>39.5</v>
          </cell>
          <cell r="N491">
            <v>37.5</v>
          </cell>
          <cell r="O491">
            <v>36.725000000000001</v>
          </cell>
          <cell r="P491">
            <v>35.950000000000003</v>
          </cell>
          <cell r="Q491">
            <v>35.175000000000004</v>
          </cell>
          <cell r="R491">
            <v>34.4</v>
          </cell>
          <cell r="S491">
            <v>33.625</v>
          </cell>
          <cell r="T491">
            <v>32.85</v>
          </cell>
          <cell r="U491">
            <v>32.075000000000003</v>
          </cell>
          <cell r="V491">
            <v>31.3</v>
          </cell>
          <cell r="W491">
            <v>30.525000000000002</v>
          </cell>
          <cell r="X491">
            <v>29.75</v>
          </cell>
          <cell r="Y491">
            <v>28.975000000000001</v>
          </cell>
          <cell r="Z491">
            <v>28.200000000000003</v>
          </cell>
          <cell r="AA491">
            <v>27.425000000000001</v>
          </cell>
          <cell r="AB491">
            <v>26.650000000000002</v>
          </cell>
          <cell r="AC491">
            <v>25.875</v>
          </cell>
          <cell r="AD491">
            <v>25.1</v>
          </cell>
          <cell r="AE491">
            <v>24.325000000000003</v>
          </cell>
          <cell r="AF491">
            <v>23.55</v>
          </cell>
          <cell r="AG491">
            <v>22.775000000000002</v>
          </cell>
          <cell r="AH491">
            <v>22</v>
          </cell>
        </row>
        <row r="492">
          <cell r="B492" t="str">
            <v>e-methanol - Conversion H2 -&gt; MeOH - Global - ton H2/ton MeOH</v>
          </cell>
          <cell r="G492">
            <v>0.18875226265526496</v>
          </cell>
          <cell r="H492">
            <v>0.18875226265526496</v>
          </cell>
          <cell r="I492">
            <v>0.18875226265526496</v>
          </cell>
          <cell r="J492">
            <v>0.18875226265526496</v>
          </cell>
          <cell r="K492">
            <v>0.18875226265526496</v>
          </cell>
          <cell r="L492">
            <v>0.18875226265526496</v>
          </cell>
          <cell r="M492">
            <v>0.18875226265526496</v>
          </cell>
          <cell r="N492">
            <v>0.18875226265526496</v>
          </cell>
          <cell r="O492">
            <v>0.18875226265526496</v>
          </cell>
          <cell r="P492">
            <v>0.18875226265526496</v>
          </cell>
          <cell r="Q492">
            <v>0.18875226265526496</v>
          </cell>
          <cell r="R492">
            <v>0.18875226265526496</v>
          </cell>
          <cell r="S492">
            <v>0.18875226265526496</v>
          </cell>
          <cell r="T492">
            <v>0.18875226265526496</v>
          </cell>
          <cell r="U492">
            <v>0.18875226265526496</v>
          </cell>
          <cell r="V492">
            <v>0.18875226265526496</v>
          </cell>
          <cell r="W492">
            <v>0.18875226265526496</v>
          </cell>
          <cell r="X492">
            <v>0.18875226265526496</v>
          </cell>
          <cell r="Y492">
            <v>0.18875226265526496</v>
          </cell>
          <cell r="Z492">
            <v>0.18875226265526496</v>
          </cell>
          <cell r="AA492">
            <v>0.18875226265526496</v>
          </cell>
          <cell r="AB492">
            <v>0.18875226265526496</v>
          </cell>
          <cell r="AC492">
            <v>0.18875226265526496</v>
          </cell>
          <cell r="AD492">
            <v>0.18875226265526496</v>
          </cell>
          <cell r="AE492">
            <v>0.18875226265526496</v>
          </cell>
          <cell r="AF492">
            <v>0.18875226265526496</v>
          </cell>
          <cell r="AG492">
            <v>0.18875226265526496</v>
          </cell>
          <cell r="AH492">
            <v>0.18875226265526496</v>
          </cell>
        </row>
        <row r="493">
          <cell r="B493" t="str">
            <v>e-methanol - Conversion CO2 -&gt; MeOH - Global - ton CO2/ton MeOH</v>
          </cell>
          <cell r="G493">
            <v>1.3735097684289368</v>
          </cell>
          <cell r="H493">
            <v>1.3735097684289368</v>
          </cell>
          <cell r="I493">
            <v>1.3735097684289368</v>
          </cell>
          <cell r="J493">
            <v>1.3735097684289368</v>
          </cell>
          <cell r="K493">
            <v>1.3735097684289368</v>
          </cell>
          <cell r="L493">
            <v>1.3735097684289368</v>
          </cell>
          <cell r="M493">
            <v>1.3735097684289368</v>
          </cell>
          <cell r="N493">
            <v>1.3735097684289368</v>
          </cell>
          <cell r="O493">
            <v>1.3735097684289368</v>
          </cell>
          <cell r="P493">
            <v>1.3735097684289368</v>
          </cell>
          <cell r="Q493">
            <v>1.3735097684289368</v>
          </cell>
          <cell r="R493">
            <v>1.3735097684289368</v>
          </cell>
          <cell r="S493">
            <v>1.3735097684289368</v>
          </cell>
          <cell r="T493">
            <v>1.3735097684289368</v>
          </cell>
          <cell r="U493">
            <v>1.3735097684289368</v>
          </cell>
          <cell r="V493">
            <v>1.3735097684289368</v>
          </cell>
          <cell r="W493">
            <v>1.3735097684289368</v>
          </cell>
          <cell r="X493">
            <v>1.3735097684289368</v>
          </cell>
          <cell r="Y493">
            <v>1.3735097684289368</v>
          </cell>
          <cell r="Z493">
            <v>1.3735097684289368</v>
          </cell>
          <cell r="AA493">
            <v>1.3735097684289368</v>
          </cell>
          <cell r="AB493">
            <v>1.3735097684289368</v>
          </cell>
          <cell r="AC493">
            <v>1.3735097684289368</v>
          </cell>
          <cell r="AD493">
            <v>1.3735097684289368</v>
          </cell>
          <cell r="AE493">
            <v>1.3735097684289368</v>
          </cell>
          <cell r="AF493">
            <v>1.3735097684289368</v>
          </cell>
          <cell r="AG493">
            <v>1.3735097684289368</v>
          </cell>
          <cell r="AH493">
            <v>1.3735097684289368</v>
          </cell>
        </row>
        <row r="494">
          <cell r="B494" t="str">
            <v/>
          </cell>
        </row>
        <row r="495">
          <cell r="B495" t="str">
            <v>e-methanol (PS) - Finance cost including feedstock finance cost - Africa - USD/ton fuel</v>
          </cell>
          <cell r="G495">
            <v>321.63958526770989</v>
          </cell>
          <cell r="H495">
            <v>307.98117612384283</v>
          </cell>
          <cell r="I495">
            <v>294.24502921251405</v>
          </cell>
          <cell r="J495">
            <v>281.96443383589371</v>
          </cell>
          <cell r="K495">
            <v>269.53941903399095</v>
          </cell>
          <cell r="L495">
            <v>256.96998480680736</v>
          </cell>
          <cell r="M495">
            <v>244.25613115434331</v>
          </cell>
          <cell r="N495">
            <v>231.3978580765968</v>
          </cell>
          <cell r="O495">
            <v>229.11381953614813</v>
          </cell>
          <cell r="P495">
            <v>226.49298005841925</v>
          </cell>
          <cell r="Q495">
            <v>223.53533964340951</v>
          </cell>
          <cell r="R495">
            <v>220.24089829111728</v>
          </cell>
          <cell r="S495">
            <v>216.60965600154526</v>
          </cell>
          <cell r="T495">
            <v>212.43095001972367</v>
          </cell>
          <cell r="U495">
            <v>207.97426617223607</v>
          </cell>
          <cell r="V495">
            <v>203.23960445908526</v>
          </cell>
          <cell r="W495">
            <v>198.2269648802685</v>
          </cell>
          <cell r="X495">
            <v>192.93634743578471</v>
          </cell>
          <cell r="Y495">
            <v>186.35927929599347</v>
          </cell>
          <cell r="Z495">
            <v>179.57246134910918</v>
          </cell>
          <cell r="AA495">
            <v>172.57589359513423</v>
          </cell>
          <cell r="AB495">
            <v>165.36957603406702</v>
          </cell>
          <cell r="AC495">
            <v>157.95350866590712</v>
          </cell>
          <cell r="AD495">
            <v>150.28837900271816</v>
          </cell>
          <cell r="AE495">
            <v>142.49205183174846</v>
          </cell>
          <cell r="AF495">
            <v>134.56452715299804</v>
          </cell>
          <cell r="AG495">
            <v>126.50580496646688</v>
          </cell>
          <cell r="AH495">
            <v>118.31588527215509</v>
          </cell>
        </row>
        <row r="496">
          <cell r="B496" t="str">
            <v>e-methanol (PS) - Finance cost including feedstock finance cost - Americas - USD/ton fuel</v>
          </cell>
          <cell r="G496">
            <v>321.63958526770989</v>
          </cell>
          <cell r="H496">
            <v>307.98117612384283</v>
          </cell>
          <cell r="I496">
            <v>294.24502921251405</v>
          </cell>
          <cell r="J496">
            <v>281.96443383589371</v>
          </cell>
          <cell r="K496">
            <v>269.53941903399095</v>
          </cell>
          <cell r="L496">
            <v>256.96998480680736</v>
          </cell>
          <cell r="M496">
            <v>244.25613115434331</v>
          </cell>
          <cell r="N496">
            <v>231.3978580765968</v>
          </cell>
          <cell r="O496">
            <v>229.11381953614813</v>
          </cell>
          <cell r="P496">
            <v>226.49298005841925</v>
          </cell>
          <cell r="Q496">
            <v>223.53533964340951</v>
          </cell>
          <cell r="R496">
            <v>220.24089829111728</v>
          </cell>
          <cell r="S496">
            <v>216.60965600154526</v>
          </cell>
          <cell r="T496">
            <v>212.43095001972367</v>
          </cell>
          <cell r="U496">
            <v>207.97426617223607</v>
          </cell>
          <cell r="V496">
            <v>203.23960445908526</v>
          </cell>
          <cell r="W496">
            <v>198.2269648802685</v>
          </cell>
          <cell r="X496">
            <v>192.93634743578471</v>
          </cell>
          <cell r="Y496">
            <v>186.35927929599347</v>
          </cell>
          <cell r="Z496">
            <v>179.57246134910918</v>
          </cell>
          <cell r="AA496">
            <v>172.57589359513423</v>
          </cell>
          <cell r="AB496">
            <v>165.36957603406702</v>
          </cell>
          <cell r="AC496">
            <v>157.95350866590712</v>
          </cell>
          <cell r="AD496">
            <v>150.28837900271816</v>
          </cell>
          <cell r="AE496">
            <v>142.49205183174846</v>
          </cell>
          <cell r="AF496">
            <v>134.56452715299804</v>
          </cell>
          <cell r="AG496">
            <v>126.50580496646688</v>
          </cell>
          <cell r="AH496">
            <v>118.31588527215509</v>
          </cell>
        </row>
        <row r="497">
          <cell r="B497" t="str">
            <v>e-methanol (PS) - Finance cost including feedstock finance cost - Asia - USD/ton fuel</v>
          </cell>
          <cell r="G497">
            <v>321.63958526770989</v>
          </cell>
          <cell r="H497">
            <v>307.98117612384283</v>
          </cell>
          <cell r="I497">
            <v>294.24502921251405</v>
          </cell>
          <cell r="J497">
            <v>281.96443383589371</v>
          </cell>
          <cell r="K497">
            <v>269.53941903399095</v>
          </cell>
          <cell r="L497">
            <v>256.96998480680736</v>
          </cell>
          <cell r="M497">
            <v>244.25613115434331</v>
          </cell>
          <cell r="N497">
            <v>231.3978580765968</v>
          </cell>
          <cell r="O497">
            <v>229.11381953614813</v>
          </cell>
          <cell r="P497">
            <v>226.49298005841925</v>
          </cell>
          <cell r="Q497">
            <v>223.53533964340951</v>
          </cell>
          <cell r="R497">
            <v>220.24089829111728</v>
          </cell>
          <cell r="S497">
            <v>216.60965600154526</v>
          </cell>
          <cell r="T497">
            <v>212.43095001972367</v>
          </cell>
          <cell r="U497">
            <v>207.97426617223607</v>
          </cell>
          <cell r="V497">
            <v>203.23960445908526</v>
          </cell>
          <cell r="W497">
            <v>198.2269648802685</v>
          </cell>
          <cell r="X497">
            <v>192.93634743578471</v>
          </cell>
          <cell r="Y497">
            <v>186.35927929599347</v>
          </cell>
          <cell r="Z497">
            <v>179.57246134910918</v>
          </cell>
          <cell r="AA497">
            <v>172.57589359513423</v>
          </cell>
          <cell r="AB497">
            <v>165.36957603406702</v>
          </cell>
          <cell r="AC497">
            <v>157.95350866590712</v>
          </cell>
          <cell r="AD497">
            <v>150.28837900271816</v>
          </cell>
          <cell r="AE497">
            <v>142.49205183174846</v>
          </cell>
          <cell r="AF497">
            <v>134.56452715299804</v>
          </cell>
          <cell r="AG497">
            <v>126.50580496646688</v>
          </cell>
          <cell r="AH497">
            <v>118.31588527215509</v>
          </cell>
        </row>
        <row r="498">
          <cell r="B498" t="str">
            <v>e-methanol (PS) - Finance cost including feedstock finance cost - Europe - USD/ton fuel</v>
          </cell>
          <cell r="G498">
            <v>321.63958526770989</v>
          </cell>
          <cell r="H498">
            <v>307.98117612384283</v>
          </cell>
          <cell r="I498">
            <v>294.24502921251405</v>
          </cell>
          <cell r="J498">
            <v>281.96443383589371</v>
          </cell>
          <cell r="K498">
            <v>269.53941903399095</v>
          </cell>
          <cell r="L498">
            <v>256.96998480680736</v>
          </cell>
          <cell r="M498">
            <v>244.25613115434331</v>
          </cell>
          <cell r="N498">
            <v>231.3978580765968</v>
          </cell>
          <cell r="O498">
            <v>229.11381953614813</v>
          </cell>
          <cell r="P498">
            <v>226.49298005841925</v>
          </cell>
          <cell r="Q498">
            <v>223.53533964340951</v>
          </cell>
          <cell r="R498">
            <v>220.24089829111728</v>
          </cell>
          <cell r="S498">
            <v>216.60965600154526</v>
          </cell>
          <cell r="T498">
            <v>212.43095001972367</v>
          </cell>
          <cell r="U498">
            <v>207.97426617223607</v>
          </cell>
          <cell r="V498">
            <v>203.23960445908526</v>
          </cell>
          <cell r="W498">
            <v>198.2269648802685</v>
          </cell>
          <cell r="X498">
            <v>192.93634743578471</v>
          </cell>
          <cell r="Y498">
            <v>186.35927929599347</v>
          </cell>
          <cell r="Z498">
            <v>179.57246134910918</v>
          </cell>
          <cell r="AA498">
            <v>172.57589359513423</v>
          </cell>
          <cell r="AB498">
            <v>165.36957603406702</v>
          </cell>
          <cell r="AC498">
            <v>157.95350866590712</v>
          </cell>
          <cell r="AD498">
            <v>150.28837900271816</v>
          </cell>
          <cell r="AE498">
            <v>142.49205183174846</v>
          </cell>
          <cell r="AF498">
            <v>134.56452715299804</v>
          </cell>
          <cell r="AG498">
            <v>126.50580496646688</v>
          </cell>
          <cell r="AH498">
            <v>118.31588527215509</v>
          </cell>
        </row>
        <row r="499">
          <cell r="B499" t="str">
            <v>e-methanol (PS) - Finance cost including feedstock finance cost - Middle East - USD/ton fuel</v>
          </cell>
          <cell r="G499">
            <v>321.63958526770989</v>
          </cell>
          <cell r="H499">
            <v>307.98117612384283</v>
          </cell>
          <cell r="I499">
            <v>294.24502921251405</v>
          </cell>
          <cell r="J499">
            <v>281.96443383589371</v>
          </cell>
          <cell r="K499">
            <v>269.53941903399095</v>
          </cell>
          <cell r="L499">
            <v>256.96998480680736</v>
          </cell>
          <cell r="M499">
            <v>244.25613115434331</v>
          </cell>
          <cell r="N499">
            <v>231.3978580765968</v>
          </cell>
          <cell r="O499">
            <v>229.11381953614813</v>
          </cell>
          <cell r="P499">
            <v>226.49298005841925</v>
          </cell>
          <cell r="Q499">
            <v>223.53533964340951</v>
          </cell>
          <cell r="R499">
            <v>220.24089829111728</v>
          </cell>
          <cell r="S499">
            <v>216.60965600154526</v>
          </cell>
          <cell r="T499">
            <v>212.43095001972367</v>
          </cell>
          <cell r="U499">
            <v>207.97426617223607</v>
          </cell>
          <cell r="V499">
            <v>203.23960445908526</v>
          </cell>
          <cell r="W499">
            <v>198.2269648802685</v>
          </cell>
          <cell r="X499">
            <v>192.93634743578471</v>
          </cell>
          <cell r="Y499">
            <v>186.35927929599347</v>
          </cell>
          <cell r="Z499">
            <v>179.57246134910918</v>
          </cell>
          <cell r="AA499">
            <v>172.57589359513423</v>
          </cell>
          <cell r="AB499">
            <v>165.36957603406702</v>
          </cell>
          <cell r="AC499">
            <v>157.95350866590712</v>
          </cell>
          <cell r="AD499">
            <v>150.28837900271816</v>
          </cell>
          <cell r="AE499">
            <v>142.49205183174846</v>
          </cell>
          <cell r="AF499">
            <v>134.56452715299804</v>
          </cell>
          <cell r="AG499">
            <v>126.50580496646688</v>
          </cell>
          <cell r="AH499">
            <v>118.31588527215509</v>
          </cell>
        </row>
        <row r="500">
          <cell r="B500" t="str">
            <v>e-methanol (PS) - Finance cost - Africa - USD/ton fuel</v>
          </cell>
          <cell r="G500">
            <v>163.90000000000003</v>
          </cell>
          <cell r="H500">
            <v>156.20000000000002</v>
          </cell>
          <cell r="I500">
            <v>148.50000000000003</v>
          </cell>
          <cell r="J500">
            <v>140.80000000000001</v>
          </cell>
          <cell r="K500">
            <v>133.10000000000002</v>
          </cell>
          <cell r="L500">
            <v>125.40000000000002</v>
          </cell>
          <cell r="M500">
            <v>117.70000000000002</v>
          </cell>
          <cell r="N500">
            <v>110.00000000000001</v>
          </cell>
          <cell r="O500">
            <v>107.52500000000002</v>
          </cell>
          <cell r="P500">
            <v>105.05000000000001</v>
          </cell>
          <cell r="Q500">
            <v>102.57500000000002</v>
          </cell>
          <cell r="R500">
            <v>100.10000000000001</v>
          </cell>
          <cell r="S500">
            <v>97.625000000000014</v>
          </cell>
          <cell r="T500">
            <v>95.15</v>
          </cell>
          <cell r="U500">
            <v>92.675000000000011</v>
          </cell>
          <cell r="V500">
            <v>90.200000000000017</v>
          </cell>
          <cell r="W500">
            <v>87.725000000000009</v>
          </cell>
          <cell r="X500">
            <v>85.250000000000014</v>
          </cell>
          <cell r="Y500">
            <v>81.950000000000017</v>
          </cell>
          <cell r="Z500">
            <v>78.650000000000006</v>
          </cell>
          <cell r="AA500">
            <v>75.350000000000009</v>
          </cell>
          <cell r="AB500">
            <v>72.050000000000011</v>
          </cell>
          <cell r="AC500">
            <v>68.750000000000014</v>
          </cell>
          <cell r="AD500">
            <v>65.45</v>
          </cell>
          <cell r="AE500">
            <v>62.150000000000006</v>
          </cell>
          <cell r="AF500">
            <v>58.850000000000009</v>
          </cell>
          <cell r="AG500">
            <v>55.550000000000004</v>
          </cell>
          <cell r="AH500">
            <v>52.250000000000007</v>
          </cell>
        </row>
        <row r="501">
          <cell r="B501" t="str">
            <v>e-methanol (PS) - Finance cost - Americas - USD/ton fuel</v>
          </cell>
          <cell r="G501">
            <v>163.90000000000003</v>
          </cell>
          <cell r="H501">
            <v>156.20000000000002</v>
          </cell>
          <cell r="I501">
            <v>148.50000000000003</v>
          </cell>
          <cell r="J501">
            <v>140.80000000000001</v>
          </cell>
          <cell r="K501">
            <v>133.10000000000002</v>
          </cell>
          <cell r="L501">
            <v>125.40000000000002</v>
          </cell>
          <cell r="M501">
            <v>117.70000000000002</v>
          </cell>
          <cell r="N501">
            <v>110.00000000000001</v>
          </cell>
          <cell r="O501">
            <v>107.52500000000002</v>
          </cell>
          <cell r="P501">
            <v>105.05000000000001</v>
          </cell>
          <cell r="Q501">
            <v>102.57500000000002</v>
          </cell>
          <cell r="R501">
            <v>100.10000000000001</v>
          </cell>
          <cell r="S501">
            <v>97.625000000000014</v>
          </cell>
          <cell r="T501">
            <v>95.15</v>
          </cell>
          <cell r="U501">
            <v>92.675000000000011</v>
          </cell>
          <cell r="V501">
            <v>90.200000000000017</v>
          </cell>
          <cell r="W501">
            <v>87.725000000000009</v>
          </cell>
          <cell r="X501">
            <v>85.250000000000014</v>
          </cell>
          <cell r="Y501">
            <v>81.950000000000017</v>
          </cell>
          <cell r="Z501">
            <v>78.650000000000006</v>
          </cell>
          <cell r="AA501">
            <v>75.350000000000009</v>
          </cell>
          <cell r="AB501">
            <v>72.050000000000011</v>
          </cell>
          <cell r="AC501">
            <v>68.750000000000014</v>
          </cell>
          <cell r="AD501">
            <v>65.45</v>
          </cell>
          <cell r="AE501">
            <v>62.150000000000006</v>
          </cell>
          <cell r="AF501">
            <v>58.850000000000009</v>
          </cell>
          <cell r="AG501">
            <v>55.550000000000004</v>
          </cell>
          <cell r="AH501">
            <v>52.250000000000007</v>
          </cell>
        </row>
        <row r="502">
          <cell r="B502" t="str">
            <v>e-methanol (PS) - Finance cost - Asia - USD/ton fuel</v>
          </cell>
          <cell r="G502">
            <v>163.90000000000003</v>
          </cell>
          <cell r="H502">
            <v>156.20000000000002</v>
          </cell>
          <cell r="I502">
            <v>148.50000000000003</v>
          </cell>
          <cell r="J502">
            <v>140.80000000000001</v>
          </cell>
          <cell r="K502">
            <v>133.10000000000002</v>
          </cell>
          <cell r="L502">
            <v>125.40000000000002</v>
          </cell>
          <cell r="M502">
            <v>117.70000000000002</v>
          </cell>
          <cell r="N502">
            <v>110.00000000000001</v>
          </cell>
          <cell r="O502">
            <v>107.52500000000002</v>
          </cell>
          <cell r="P502">
            <v>105.05000000000001</v>
          </cell>
          <cell r="Q502">
            <v>102.57500000000002</v>
          </cell>
          <cell r="R502">
            <v>100.10000000000001</v>
          </cell>
          <cell r="S502">
            <v>97.625000000000014</v>
          </cell>
          <cell r="T502">
            <v>95.15</v>
          </cell>
          <cell r="U502">
            <v>92.675000000000011</v>
          </cell>
          <cell r="V502">
            <v>90.200000000000017</v>
          </cell>
          <cell r="W502">
            <v>87.725000000000009</v>
          </cell>
          <cell r="X502">
            <v>85.250000000000014</v>
          </cell>
          <cell r="Y502">
            <v>81.950000000000017</v>
          </cell>
          <cell r="Z502">
            <v>78.650000000000006</v>
          </cell>
          <cell r="AA502">
            <v>75.350000000000009</v>
          </cell>
          <cell r="AB502">
            <v>72.050000000000011</v>
          </cell>
          <cell r="AC502">
            <v>68.750000000000014</v>
          </cell>
          <cell r="AD502">
            <v>65.45</v>
          </cell>
          <cell r="AE502">
            <v>62.150000000000006</v>
          </cell>
          <cell r="AF502">
            <v>58.850000000000009</v>
          </cell>
          <cell r="AG502">
            <v>55.550000000000004</v>
          </cell>
          <cell r="AH502">
            <v>52.250000000000007</v>
          </cell>
        </row>
        <row r="503">
          <cell r="B503" t="str">
            <v>e-methanol (PS) - Finance cost - Europe - USD/ton fuel</v>
          </cell>
          <cell r="G503">
            <v>163.90000000000003</v>
          </cell>
          <cell r="H503">
            <v>156.20000000000002</v>
          </cell>
          <cell r="I503">
            <v>148.50000000000003</v>
          </cell>
          <cell r="J503">
            <v>140.80000000000001</v>
          </cell>
          <cell r="K503">
            <v>133.10000000000002</v>
          </cell>
          <cell r="L503">
            <v>125.40000000000002</v>
          </cell>
          <cell r="M503">
            <v>117.70000000000002</v>
          </cell>
          <cell r="N503">
            <v>110.00000000000001</v>
          </cell>
          <cell r="O503">
            <v>107.52500000000002</v>
          </cell>
          <cell r="P503">
            <v>105.05000000000001</v>
          </cell>
          <cell r="Q503">
            <v>102.57500000000002</v>
          </cell>
          <cell r="R503">
            <v>100.10000000000001</v>
          </cell>
          <cell r="S503">
            <v>97.625000000000014</v>
          </cell>
          <cell r="T503">
            <v>95.15</v>
          </cell>
          <cell r="U503">
            <v>92.675000000000011</v>
          </cell>
          <cell r="V503">
            <v>90.200000000000017</v>
          </cell>
          <cell r="W503">
            <v>87.725000000000009</v>
          </cell>
          <cell r="X503">
            <v>85.250000000000014</v>
          </cell>
          <cell r="Y503">
            <v>81.950000000000017</v>
          </cell>
          <cell r="Z503">
            <v>78.650000000000006</v>
          </cell>
          <cell r="AA503">
            <v>75.350000000000009</v>
          </cell>
          <cell r="AB503">
            <v>72.050000000000011</v>
          </cell>
          <cell r="AC503">
            <v>68.750000000000014</v>
          </cell>
          <cell r="AD503">
            <v>65.45</v>
          </cell>
          <cell r="AE503">
            <v>62.150000000000006</v>
          </cell>
          <cell r="AF503">
            <v>58.850000000000009</v>
          </cell>
          <cell r="AG503">
            <v>55.550000000000004</v>
          </cell>
          <cell r="AH503">
            <v>52.250000000000007</v>
          </cell>
        </row>
        <row r="504">
          <cell r="B504" t="str">
            <v>e-methanol (PS) - Finance cost - Middle East - USD/ton fuel</v>
          </cell>
          <cell r="G504">
            <v>163.90000000000003</v>
          </cell>
          <cell r="H504">
            <v>156.20000000000002</v>
          </cell>
          <cell r="I504">
            <v>148.50000000000003</v>
          </cell>
          <cell r="J504">
            <v>140.80000000000001</v>
          </cell>
          <cell r="K504">
            <v>133.10000000000002</v>
          </cell>
          <cell r="L504">
            <v>125.40000000000002</v>
          </cell>
          <cell r="M504">
            <v>117.70000000000002</v>
          </cell>
          <cell r="N504">
            <v>110.00000000000001</v>
          </cell>
          <cell r="O504">
            <v>107.52500000000002</v>
          </cell>
          <cell r="P504">
            <v>105.05000000000001</v>
          </cell>
          <cell r="Q504">
            <v>102.57500000000002</v>
          </cell>
          <cell r="R504">
            <v>100.10000000000001</v>
          </cell>
          <cell r="S504">
            <v>97.625000000000014</v>
          </cell>
          <cell r="T504">
            <v>95.15</v>
          </cell>
          <cell r="U504">
            <v>92.675000000000011</v>
          </cell>
          <cell r="V504">
            <v>90.200000000000017</v>
          </cell>
          <cell r="W504">
            <v>87.725000000000009</v>
          </cell>
          <cell r="X504">
            <v>85.250000000000014</v>
          </cell>
          <cell r="Y504">
            <v>81.950000000000017</v>
          </cell>
          <cell r="Z504">
            <v>78.650000000000006</v>
          </cell>
          <cell r="AA504">
            <v>75.350000000000009</v>
          </cell>
          <cell r="AB504">
            <v>72.050000000000011</v>
          </cell>
          <cell r="AC504">
            <v>68.750000000000014</v>
          </cell>
          <cell r="AD504">
            <v>65.45</v>
          </cell>
          <cell r="AE504">
            <v>62.150000000000006</v>
          </cell>
          <cell r="AF504">
            <v>58.850000000000009</v>
          </cell>
          <cell r="AG504">
            <v>55.550000000000004</v>
          </cell>
          <cell r="AH504">
            <v>52.250000000000007</v>
          </cell>
        </row>
        <row r="505">
          <cell r="B505" t="str">
            <v>e-hydrogen (compressed) - Finance cost including feedstock finance cost - Africa - USD/ton fuel</v>
          </cell>
          <cell r="G505">
            <v>423.4664833247287</v>
          </cell>
          <cell r="H505">
            <v>407.9080597487058</v>
          </cell>
          <cell r="I505">
            <v>391.93778538812398</v>
          </cell>
          <cell r="J505">
            <v>383.67894989578463</v>
          </cell>
          <cell r="K505">
            <v>374.65498754747659</v>
          </cell>
          <cell r="L505">
            <v>364.86589834320779</v>
          </cell>
          <cell r="M505">
            <v>354.31168228298088</v>
          </cell>
          <cell r="N505">
            <v>342.99233936678479</v>
          </cell>
          <cell r="O505">
            <v>350.20750340232428</v>
          </cell>
          <cell r="P505">
            <v>355.6383130013013</v>
          </cell>
          <cell r="Q505">
            <v>359.28476816371159</v>
          </cell>
          <cell r="R505">
            <v>361.14686888954691</v>
          </cell>
          <cell r="S505">
            <v>361.22461517882164</v>
          </cell>
          <cell r="T505">
            <v>358.40192634457429</v>
          </cell>
          <cell r="U505">
            <v>354.10652475046084</v>
          </cell>
          <cell r="V505">
            <v>348.33841039649622</v>
          </cell>
          <cell r="W505">
            <v>341.09758328266571</v>
          </cell>
          <cell r="X505">
            <v>332.38404340896386</v>
          </cell>
          <cell r="Y505">
            <v>321.22576094613464</v>
          </cell>
          <cell r="Z505">
            <v>308.95623454830633</v>
          </cell>
          <cell r="AA505">
            <v>295.57546421549114</v>
          </cell>
          <cell r="AB505">
            <v>281.08344994768112</v>
          </cell>
          <cell r="AC505">
            <v>265.48019174487365</v>
          </cell>
          <cell r="AD505">
            <v>248.55741402200647</v>
          </cell>
          <cell r="AE505">
            <v>230.93955849750063</v>
          </cell>
          <cell r="AF505">
            <v>212.62662517135635</v>
          </cell>
          <cell r="AG505">
            <v>193.61861404357347</v>
          </cell>
          <cell r="AH505">
            <v>173.9155251141523</v>
          </cell>
        </row>
        <row r="506">
          <cell r="B506" t="str">
            <v>e-hydrogen (compressed) - Finance cost including feedstock finance cost - Americas - USD/ton fuel</v>
          </cell>
          <cell r="G506">
            <v>423.4664833247287</v>
          </cell>
          <cell r="H506">
            <v>407.9080597487058</v>
          </cell>
          <cell r="I506">
            <v>391.93778538812398</v>
          </cell>
          <cell r="J506">
            <v>383.67894989578463</v>
          </cell>
          <cell r="K506">
            <v>374.65498754747659</v>
          </cell>
          <cell r="L506">
            <v>364.86589834320779</v>
          </cell>
          <cell r="M506">
            <v>354.31168228298088</v>
          </cell>
          <cell r="N506">
            <v>342.99233936678479</v>
          </cell>
          <cell r="O506">
            <v>350.20750340232428</v>
          </cell>
          <cell r="P506">
            <v>355.6383130013013</v>
          </cell>
          <cell r="Q506">
            <v>359.28476816371159</v>
          </cell>
          <cell r="R506">
            <v>361.14686888954691</v>
          </cell>
          <cell r="S506">
            <v>361.22461517882164</v>
          </cell>
          <cell r="T506">
            <v>358.40192634457429</v>
          </cell>
          <cell r="U506">
            <v>354.10652475046084</v>
          </cell>
          <cell r="V506">
            <v>348.33841039649622</v>
          </cell>
          <cell r="W506">
            <v>341.09758328266571</v>
          </cell>
          <cell r="X506">
            <v>332.38404340896386</v>
          </cell>
          <cell r="Y506">
            <v>321.22576094613464</v>
          </cell>
          <cell r="Z506">
            <v>308.95623454830633</v>
          </cell>
          <cell r="AA506">
            <v>295.57546421549114</v>
          </cell>
          <cell r="AB506">
            <v>281.08344994768112</v>
          </cell>
          <cell r="AC506">
            <v>265.48019174487365</v>
          </cell>
          <cell r="AD506">
            <v>248.55741402200647</v>
          </cell>
          <cell r="AE506">
            <v>230.93955849750063</v>
          </cell>
          <cell r="AF506">
            <v>212.62662517135635</v>
          </cell>
          <cell r="AG506">
            <v>193.61861404357347</v>
          </cell>
          <cell r="AH506">
            <v>173.9155251141523</v>
          </cell>
        </row>
        <row r="507">
          <cell r="B507" t="str">
            <v>e-hydrogen (compressed) - Finance cost including feedstock finance cost - Asia - USD/ton fuel</v>
          </cell>
          <cell r="G507">
            <v>423.4664833247287</v>
          </cell>
          <cell r="H507">
            <v>407.9080597487058</v>
          </cell>
          <cell r="I507">
            <v>391.93778538812398</v>
          </cell>
          <cell r="J507">
            <v>383.67894989578463</v>
          </cell>
          <cell r="K507">
            <v>374.65498754747659</v>
          </cell>
          <cell r="L507">
            <v>364.86589834320779</v>
          </cell>
          <cell r="M507">
            <v>354.31168228298088</v>
          </cell>
          <cell r="N507">
            <v>342.99233936678479</v>
          </cell>
          <cell r="O507">
            <v>350.20750340232428</v>
          </cell>
          <cell r="P507">
            <v>355.6383130013013</v>
          </cell>
          <cell r="Q507">
            <v>359.28476816371159</v>
          </cell>
          <cell r="R507">
            <v>361.14686888954691</v>
          </cell>
          <cell r="S507">
            <v>361.22461517882164</v>
          </cell>
          <cell r="T507">
            <v>358.40192634457429</v>
          </cell>
          <cell r="U507">
            <v>354.10652475046084</v>
          </cell>
          <cell r="V507">
            <v>348.33841039649622</v>
          </cell>
          <cell r="W507">
            <v>341.09758328266571</v>
          </cell>
          <cell r="X507">
            <v>332.38404340896386</v>
          </cell>
          <cell r="Y507">
            <v>321.22576094613464</v>
          </cell>
          <cell r="Z507">
            <v>308.95623454830633</v>
          </cell>
          <cell r="AA507">
            <v>295.57546421549114</v>
          </cell>
          <cell r="AB507">
            <v>281.08344994768112</v>
          </cell>
          <cell r="AC507">
            <v>265.48019174487365</v>
          </cell>
          <cell r="AD507">
            <v>248.55741402200647</v>
          </cell>
          <cell r="AE507">
            <v>230.93955849750063</v>
          </cell>
          <cell r="AF507">
            <v>212.62662517135635</v>
          </cell>
          <cell r="AG507">
            <v>193.61861404357347</v>
          </cell>
          <cell r="AH507">
            <v>173.9155251141523</v>
          </cell>
        </row>
        <row r="508">
          <cell r="B508" t="str">
            <v>e-hydrogen (compressed) - Finance cost including feedstock finance cost - Europe - USD/ton fuel</v>
          </cell>
          <cell r="G508">
            <v>423.4664833247287</v>
          </cell>
          <cell r="H508">
            <v>407.9080597487058</v>
          </cell>
          <cell r="I508">
            <v>391.93778538812398</v>
          </cell>
          <cell r="J508">
            <v>383.67894989578463</v>
          </cell>
          <cell r="K508">
            <v>374.65498754747659</v>
          </cell>
          <cell r="L508">
            <v>364.86589834320779</v>
          </cell>
          <cell r="M508">
            <v>354.31168228298088</v>
          </cell>
          <cell r="N508">
            <v>342.99233936678479</v>
          </cell>
          <cell r="O508">
            <v>350.20750340232428</v>
          </cell>
          <cell r="P508">
            <v>355.6383130013013</v>
          </cell>
          <cell r="Q508">
            <v>359.28476816371159</v>
          </cell>
          <cell r="R508">
            <v>361.14686888954691</v>
          </cell>
          <cell r="S508">
            <v>361.22461517882164</v>
          </cell>
          <cell r="T508">
            <v>358.40192634457429</v>
          </cell>
          <cell r="U508">
            <v>354.10652475046084</v>
          </cell>
          <cell r="V508">
            <v>348.33841039649622</v>
          </cell>
          <cell r="W508">
            <v>341.09758328266571</v>
          </cell>
          <cell r="X508">
            <v>332.38404340896386</v>
          </cell>
          <cell r="Y508">
            <v>321.22576094613464</v>
          </cell>
          <cell r="Z508">
            <v>308.95623454830633</v>
          </cell>
          <cell r="AA508">
            <v>295.57546421549114</v>
          </cell>
          <cell r="AB508">
            <v>281.08344994768112</v>
          </cell>
          <cell r="AC508">
            <v>265.48019174487365</v>
          </cell>
          <cell r="AD508">
            <v>248.55741402200647</v>
          </cell>
          <cell r="AE508">
            <v>230.93955849750063</v>
          </cell>
          <cell r="AF508">
            <v>212.62662517135635</v>
          </cell>
          <cell r="AG508">
            <v>193.61861404357347</v>
          </cell>
          <cell r="AH508">
            <v>173.9155251141523</v>
          </cell>
        </row>
        <row r="509">
          <cell r="B509" t="str">
            <v>e-hydrogen (compressed) - Finance cost including feedstock finance cost - Middle East - USD/ton fuel</v>
          </cell>
          <cell r="G509">
            <v>423.4664833247287</v>
          </cell>
          <cell r="H509">
            <v>407.9080597487058</v>
          </cell>
          <cell r="I509">
            <v>391.93778538812398</v>
          </cell>
          <cell r="J509">
            <v>383.67894989578463</v>
          </cell>
          <cell r="K509">
            <v>374.65498754747659</v>
          </cell>
          <cell r="L509">
            <v>364.86589834320779</v>
          </cell>
          <cell r="M509">
            <v>354.31168228298088</v>
          </cell>
          <cell r="N509">
            <v>342.99233936678479</v>
          </cell>
          <cell r="O509">
            <v>350.20750340232428</v>
          </cell>
          <cell r="P509">
            <v>355.6383130013013</v>
          </cell>
          <cell r="Q509">
            <v>359.28476816371159</v>
          </cell>
          <cell r="R509">
            <v>361.14686888954691</v>
          </cell>
          <cell r="S509">
            <v>361.22461517882164</v>
          </cell>
          <cell r="T509">
            <v>358.40192634457429</v>
          </cell>
          <cell r="U509">
            <v>354.10652475046084</v>
          </cell>
          <cell r="V509">
            <v>348.33841039649622</v>
          </cell>
          <cell r="W509">
            <v>341.09758328266571</v>
          </cell>
          <cell r="X509">
            <v>332.38404340896386</v>
          </cell>
          <cell r="Y509">
            <v>321.22576094613464</v>
          </cell>
          <cell r="Z509">
            <v>308.95623454830633</v>
          </cell>
          <cell r="AA509">
            <v>295.57546421549114</v>
          </cell>
          <cell r="AB509">
            <v>281.08344994768112</v>
          </cell>
          <cell r="AC509">
            <v>265.48019174487365</v>
          </cell>
          <cell r="AD509">
            <v>248.55741402200647</v>
          </cell>
          <cell r="AE509">
            <v>230.93955849750063</v>
          </cell>
          <cell r="AF509">
            <v>212.62662517135635</v>
          </cell>
          <cell r="AG509">
            <v>193.61861404357347</v>
          </cell>
          <cell r="AH509">
            <v>173.9155251141523</v>
          </cell>
        </row>
        <row r="510">
          <cell r="B510" t="str">
            <v>Carbon dioxide (PS) - Finance cost - Africa - USD/ton fuel</v>
          </cell>
          <cell r="G510">
            <v>56.650000000000006</v>
          </cell>
          <cell r="H510">
            <v>54.45000000000001</v>
          </cell>
          <cell r="I510">
            <v>52.250000000000007</v>
          </cell>
          <cell r="J510">
            <v>50.050000000000004</v>
          </cell>
          <cell r="K510">
            <v>47.850000000000009</v>
          </cell>
          <cell r="L510">
            <v>45.650000000000006</v>
          </cell>
          <cell r="M510">
            <v>43.45</v>
          </cell>
          <cell r="N510">
            <v>41.250000000000007</v>
          </cell>
          <cell r="O510">
            <v>40.397500000000008</v>
          </cell>
          <cell r="P510">
            <v>39.545000000000002</v>
          </cell>
          <cell r="Q510">
            <v>38.692500000000003</v>
          </cell>
          <cell r="R510">
            <v>37.840000000000003</v>
          </cell>
          <cell r="S510">
            <v>36.987500000000004</v>
          </cell>
          <cell r="T510">
            <v>36.135000000000005</v>
          </cell>
          <cell r="U510">
            <v>35.282500000000006</v>
          </cell>
          <cell r="V510">
            <v>34.430000000000007</v>
          </cell>
          <cell r="W510">
            <v>33.577500000000008</v>
          </cell>
          <cell r="X510">
            <v>32.725000000000001</v>
          </cell>
          <cell r="Y510">
            <v>31.872500000000006</v>
          </cell>
          <cell r="Z510">
            <v>31.020000000000003</v>
          </cell>
          <cell r="AA510">
            <v>30.167500000000004</v>
          </cell>
          <cell r="AB510">
            <v>29.315000000000005</v>
          </cell>
          <cell r="AC510">
            <v>28.462500000000002</v>
          </cell>
          <cell r="AD510">
            <v>27.610000000000003</v>
          </cell>
          <cell r="AE510">
            <v>26.757500000000004</v>
          </cell>
          <cell r="AF510">
            <v>25.905000000000005</v>
          </cell>
          <cell r="AG510">
            <v>25.052500000000002</v>
          </cell>
          <cell r="AH510">
            <v>24.200000000000003</v>
          </cell>
        </row>
        <row r="511">
          <cell r="B511" t="str">
            <v>Carbon dioxide (PS) - Finance cost - Americas - USD/ton fuel</v>
          </cell>
          <cell r="G511">
            <v>56.650000000000006</v>
          </cell>
          <cell r="H511">
            <v>54.45000000000001</v>
          </cell>
          <cell r="I511">
            <v>52.250000000000007</v>
          </cell>
          <cell r="J511">
            <v>50.050000000000004</v>
          </cell>
          <cell r="K511">
            <v>47.850000000000009</v>
          </cell>
          <cell r="L511">
            <v>45.650000000000006</v>
          </cell>
          <cell r="M511">
            <v>43.45</v>
          </cell>
          <cell r="N511">
            <v>41.250000000000007</v>
          </cell>
          <cell r="O511">
            <v>40.397500000000008</v>
          </cell>
          <cell r="P511">
            <v>39.545000000000002</v>
          </cell>
          <cell r="Q511">
            <v>38.692500000000003</v>
          </cell>
          <cell r="R511">
            <v>37.840000000000003</v>
          </cell>
          <cell r="S511">
            <v>36.987500000000004</v>
          </cell>
          <cell r="T511">
            <v>36.135000000000005</v>
          </cell>
          <cell r="U511">
            <v>35.282500000000006</v>
          </cell>
          <cell r="V511">
            <v>34.430000000000007</v>
          </cell>
          <cell r="W511">
            <v>33.577500000000008</v>
          </cell>
          <cell r="X511">
            <v>32.725000000000001</v>
          </cell>
          <cell r="Y511">
            <v>31.872500000000006</v>
          </cell>
          <cell r="Z511">
            <v>31.020000000000003</v>
          </cell>
          <cell r="AA511">
            <v>30.167500000000004</v>
          </cell>
          <cell r="AB511">
            <v>29.315000000000005</v>
          </cell>
          <cell r="AC511">
            <v>28.462500000000002</v>
          </cell>
          <cell r="AD511">
            <v>27.610000000000003</v>
          </cell>
          <cell r="AE511">
            <v>26.757500000000004</v>
          </cell>
          <cell r="AF511">
            <v>25.905000000000005</v>
          </cell>
          <cell r="AG511">
            <v>25.052500000000002</v>
          </cell>
          <cell r="AH511">
            <v>24.200000000000003</v>
          </cell>
        </row>
        <row r="512">
          <cell r="B512" t="str">
            <v>Carbon dioxide (PS) - Finance cost - Asia - USD/ton fuel</v>
          </cell>
          <cell r="G512">
            <v>56.650000000000006</v>
          </cell>
          <cell r="H512">
            <v>54.45000000000001</v>
          </cell>
          <cell r="I512">
            <v>52.250000000000007</v>
          </cell>
          <cell r="J512">
            <v>50.050000000000004</v>
          </cell>
          <cell r="K512">
            <v>47.850000000000009</v>
          </cell>
          <cell r="L512">
            <v>45.650000000000006</v>
          </cell>
          <cell r="M512">
            <v>43.45</v>
          </cell>
          <cell r="N512">
            <v>41.250000000000007</v>
          </cell>
          <cell r="O512">
            <v>40.397500000000008</v>
          </cell>
          <cell r="P512">
            <v>39.545000000000002</v>
          </cell>
          <cell r="Q512">
            <v>38.692500000000003</v>
          </cell>
          <cell r="R512">
            <v>37.840000000000003</v>
          </cell>
          <cell r="S512">
            <v>36.987500000000004</v>
          </cell>
          <cell r="T512">
            <v>36.135000000000005</v>
          </cell>
          <cell r="U512">
            <v>35.282500000000006</v>
          </cell>
          <cell r="V512">
            <v>34.430000000000007</v>
          </cell>
          <cell r="W512">
            <v>33.577500000000008</v>
          </cell>
          <cell r="X512">
            <v>32.725000000000001</v>
          </cell>
          <cell r="Y512">
            <v>31.872500000000006</v>
          </cell>
          <cell r="Z512">
            <v>31.020000000000003</v>
          </cell>
          <cell r="AA512">
            <v>30.167500000000004</v>
          </cell>
          <cell r="AB512">
            <v>29.315000000000005</v>
          </cell>
          <cell r="AC512">
            <v>28.462500000000002</v>
          </cell>
          <cell r="AD512">
            <v>27.610000000000003</v>
          </cell>
          <cell r="AE512">
            <v>26.757500000000004</v>
          </cell>
          <cell r="AF512">
            <v>25.905000000000005</v>
          </cell>
          <cell r="AG512">
            <v>25.052500000000002</v>
          </cell>
          <cell r="AH512">
            <v>24.200000000000003</v>
          </cell>
        </row>
        <row r="513">
          <cell r="B513" t="str">
            <v>Carbon dioxide (PS) - Finance cost - Europe - USD/ton fuel</v>
          </cell>
          <cell r="G513">
            <v>56.650000000000006</v>
          </cell>
          <cell r="H513">
            <v>54.45000000000001</v>
          </cell>
          <cell r="I513">
            <v>52.250000000000007</v>
          </cell>
          <cell r="J513">
            <v>50.050000000000004</v>
          </cell>
          <cell r="K513">
            <v>47.850000000000009</v>
          </cell>
          <cell r="L513">
            <v>45.650000000000006</v>
          </cell>
          <cell r="M513">
            <v>43.45</v>
          </cell>
          <cell r="N513">
            <v>41.250000000000007</v>
          </cell>
          <cell r="O513">
            <v>40.397500000000008</v>
          </cell>
          <cell r="P513">
            <v>39.545000000000002</v>
          </cell>
          <cell r="Q513">
            <v>38.692500000000003</v>
          </cell>
          <cell r="R513">
            <v>37.840000000000003</v>
          </cell>
          <cell r="S513">
            <v>36.987500000000004</v>
          </cell>
          <cell r="T513">
            <v>36.135000000000005</v>
          </cell>
          <cell r="U513">
            <v>35.282500000000006</v>
          </cell>
          <cell r="V513">
            <v>34.430000000000007</v>
          </cell>
          <cell r="W513">
            <v>33.577500000000008</v>
          </cell>
          <cell r="X513">
            <v>32.725000000000001</v>
          </cell>
          <cell r="Y513">
            <v>31.872500000000006</v>
          </cell>
          <cell r="Z513">
            <v>31.020000000000003</v>
          </cell>
          <cell r="AA513">
            <v>30.167500000000004</v>
          </cell>
          <cell r="AB513">
            <v>29.315000000000005</v>
          </cell>
          <cell r="AC513">
            <v>28.462500000000002</v>
          </cell>
          <cell r="AD513">
            <v>27.610000000000003</v>
          </cell>
          <cell r="AE513">
            <v>26.757500000000004</v>
          </cell>
          <cell r="AF513">
            <v>25.905000000000005</v>
          </cell>
          <cell r="AG513">
            <v>25.052500000000002</v>
          </cell>
          <cell r="AH513">
            <v>24.200000000000003</v>
          </cell>
        </row>
        <row r="514">
          <cell r="B514" t="str">
            <v>Carbon dioxide (PS) - Finance cost - Middle East - USD/ton fuel</v>
          </cell>
          <cell r="G514">
            <v>56.650000000000006</v>
          </cell>
          <cell r="H514">
            <v>54.45000000000001</v>
          </cell>
          <cell r="I514">
            <v>52.250000000000007</v>
          </cell>
          <cell r="J514">
            <v>50.050000000000004</v>
          </cell>
          <cell r="K514">
            <v>47.850000000000009</v>
          </cell>
          <cell r="L514">
            <v>45.650000000000006</v>
          </cell>
          <cell r="M514">
            <v>43.45</v>
          </cell>
          <cell r="N514">
            <v>41.250000000000007</v>
          </cell>
          <cell r="O514">
            <v>40.397500000000008</v>
          </cell>
          <cell r="P514">
            <v>39.545000000000002</v>
          </cell>
          <cell r="Q514">
            <v>38.692500000000003</v>
          </cell>
          <cell r="R514">
            <v>37.840000000000003</v>
          </cell>
          <cell r="S514">
            <v>36.987500000000004</v>
          </cell>
          <cell r="T514">
            <v>36.135000000000005</v>
          </cell>
          <cell r="U514">
            <v>35.282500000000006</v>
          </cell>
          <cell r="V514">
            <v>34.430000000000007</v>
          </cell>
          <cell r="W514">
            <v>33.577500000000008</v>
          </cell>
          <cell r="X514">
            <v>32.725000000000001</v>
          </cell>
          <cell r="Y514">
            <v>31.872500000000006</v>
          </cell>
          <cell r="Z514">
            <v>31.020000000000003</v>
          </cell>
          <cell r="AA514">
            <v>30.167500000000004</v>
          </cell>
          <cell r="AB514">
            <v>29.315000000000005</v>
          </cell>
          <cell r="AC514">
            <v>28.462500000000002</v>
          </cell>
          <cell r="AD514">
            <v>27.610000000000003</v>
          </cell>
          <cell r="AE514">
            <v>26.757500000000004</v>
          </cell>
          <cell r="AF514">
            <v>25.905000000000005</v>
          </cell>
          <cell r="AG514">
            <v>25.052500000000002</v>
          </cell>
          <cell r="AH514">
            <v>24.200000000000003</v>
          </cell>
        </row>
        <row r="515">
          <cell r="B515" t="str">
            <v>e-methanol - Conversion H2 -&gt; MeOH - Global - ton H2/ton MeOH</v>
          </cell>
          <cell r="G515">
            <v>0.18875226265526496</v>
          </cell>
          <cell r="H515">
            <v>0.18875226265526496</v>
          </cell>
          <cell r="I515">
            <v>0.18875226265526496</v>
          </cell>
          <cell r="J515">
            <v>0.18875226265526496</v>
          </cell>
          <cell r="K515">
            <v>0.18875226265526496</v>
          </cell>
          <cell r="L515">
            <v>0.18875226265526496</v>
          </cell>
          <cell r="M515">
            <v>0.18875226265526496</v>
          </cell>
          <cell r="N515">
            <v>0.18875226265526496</v>
          </cell>
          <cell r="O515">
            <v>0.18875226265526496</v>
          </cell>
          <cell r="P515">
            <v>0.18875226265526496</v>
          </cell>
          <cell r="Q515">
            <v>0.18875226265526496</v>
          </cell>
          <cell r="R515">
            <v>0.18875226265526496</v>
          </cell>
          <cell r="S515">
            <v>0.18875226265526496</v>
          </cell>
          <cell r="T515">
            <v>0.18875226265526496</v>
          </cell>
          <cell r="U515">
            <v>0.18875226265526496</v>
          </cell>
          <cell r="V515">
            <v>0.18875226265526496</v>
          </cell>
          <cell r="W515">
            <v>0.18875226265526496</v>
          </cell>
          <cell r="X515">
            <v>0.18875226265526496</v>
          </cell>
          <cell r="Y515">
            <v>0.18875226265526496</v>
          </cell>
          <cell r="Z515">
            <v>0.18875226265526496</v>
          </cell>
          <cell r="AA515">
            <v>0.18875226265526496</v>
          </cell>
          <cell r="AB515">
            <v>0.18875226265526496</v>
          </cell>
          <cell r="AC515">
            <v>0.18875226265526496</v>
          </cell>
          <cell r="AD515">
            <v>0.18875226265526496</v>
          </cell>
          <cell r="AE515">
            <v>0.18875226265526496</v>
          </cell>
          <cell r="AF515">
            <v>0.18875226265526496</v>
          </cell>
          <cell r="AG515">
            <v>0.18875226265526496</v>
          </cell>
          <cell r="AH515">
            <v>0.18875226265526496</v>
          </cell>
        </row>
        <row r="516">
          <cell r="B516" t="str">
            <v>e-methanol - Conversion CO2 -&gt; MeOH - Global - ton CO2/ton MeOH</v>
          </cell>
          <cell r="G516">
            <v>1.3735097684289368</v>
          </cell>
          <cell r="H516">
            <v>1.3735097684289368</v>
          </cell>
          <cell r="I516">
            <v>1.3735097684289368</v>
          </cell>
          <cell r="J516">
            <v>1.3735097684289368</v>
          </cell>
          <cell r="K516">
            <v>1.3735097684289368</v>
          </cell>
          <cell r="L516">
            <v>1.3735097684289368</v>
          </cell>
          <cell r="M516">
            <v>1.3735097684289368</v>
          </cell>
          <cell r="N516">
            <v>1.3735097684289368</v>
          </cell>
          <cell r="O516">
            <v>1.3735097684289368</v>
          </cell>
          <cell r="P516">
            <v>1.3735097684289368</v>
          </cell>
          <cell r="Q516">
            <v>1.3735097684289368</v>
          </cell>
          <cell r="R516">
            <v>1.3735097684289368</v>
          </cell>
          <cell r="S516">
            <v>1.3735097684289368</v>
          </cell>
          <cell r="T516">
            <v>1.3735097684289368</v>
          </cell>
          <cell r="U516">
            <v>1.3735097684289368</v>
          </cell>
          <cell r="V516">
            <v>1.3735097684289368</v>
          </cell>
          <cell r="W516">
            <v>1.3735097684289368</v>
          </cell>
          <cell r="X516">
            <v>1.3735097684289368</v>
          </cell>
          <cell r="Y516">
            <v>1.3735097684289368</v>
          </cell>
          <cell r="Z516">
            <v>1.3735097684289368</v>
          </cell>
          <cell r="AA516">
            <v>1.3735097684289368</v>
          </cell>
          <cell r="AB516">
            <v>1.3735097684289368</v>
          </cell>
          <cell r="AC516">
            <v>1.3735097684289368</v>
          </cell>
          <cell r="AD516">
            <v>1.3735097684289368</v>
          </cell>
          <cell r="AE516">
            <v>1.3735097684289368</v>
          </cell>
          <cell r="AF516">
            <v>1.3735097684289368</v>
          </cell>
          <cell r="AG516">
            <v>1.3735097684289368</v>
          </cell>
          <cell r="AH516">
            <v>1.3735097684289368</v>
          </cell>
        </row>
        <row r="517">
          <cell r="B517" t="str">
            <v/>
          </cell>
        </row>
        <row r="518">
          <cell r="B518" t="str">
            <v>e-methanol (PS) - Energy cost including feedstock energy cost - Africa - USD/ton fuel</v>
          </cell>
          <cell r="G518">
            <v>731.97368541311312</v>
          </cell>
          <cell r="H518">
            <v>645.4208389683879</v>
          </cell>
          <cell r="I518">
            <v>558.93793166810951</v>
          </cell>
          <cell r="J518">
            <v>534.15749449188968</v>
          </cell>
          <cell r="K518">
            <v>509.31641410132744</v>
          </cell>
          <cell r="L518">
            <v>484.43409174539505</v>
          </cell>
          <cell r="M518">
            <v>459.52992867307194</v>
          </cell>
          <cell r="N518">
            <v>434.62332613333592</v>
          </cell>
          <cell r="O518">
            <v>419.19432948930944</v>
          </cell>
          <cell r="P518">
            <v>403.79708735173546</v>
          </cell>
          <cell r="Q518">
            <v>388.44204973226198</v>
          </cell>
          <cell r="R518">
            <v>373.13966664255548</v>
          </cell>
          <cell r="S518">
            <v>357.90038809428046</v>
          </cell>
          <cell r="T518">
            <v>349.47093991180697</v>
          </cell>
          <cell r="U518">
            <v>341.05850200592073</v>
          </cell>
          <cell r="V518">
            <v>332.66648425513836</v>
          </cell>
          <cell r="W518">
            <v>324.29829653795673</v>
          </cell>
          <cell r="X518">
            <v>315.95734873289086</v>
          </cell>
          <cell r="Y518">
            <v>306.83142261439116</v>
          </cell>
          <cell r="Z518">
            <v>297.86061972190413</v>
          </cell>
          <cell r="AA518">
            <v>289.04294605039382</v>
          </cell>
          <cell r="AB518">
            <v>280.37640759482048</v>
          </cell>
          <cell r="AC518">
            <v>271.8590103501449</v>
          </cell>
          <cell r="AD518">
            <v>266.7753123964817</v>
          </cell>
          <cell r="AE518">
            <v>261.77914726474063</v>
          </cell>
          <cell r="AF518">
            <v>256.86925844011199</v>
          </cell>
          <cell r="AG518">
            <v>252.04438940779121</v>
          </cell>
          <cell r="AH518">
            <v>247.30328365297413</v>
          </cell>
        </row>
        <row r="519">
          <cell r="B519" t="str">
            <v>e-methanol (PS) - Energy cost including feedstock energy cost - Americas - USD/ton fuel</v>
          </cell>
          <cell r="G519">
            <v>459.90995837615088</v>
          </cell>
          <cell r="H519">
            <v>449.96774582431487</v>
          </cell>
          <cell r="I519">
            <v>439.97264701854374</v>
          </cell>
          <cell r="J519">
            <v>423.21795654621945</v>
          </cell>
          <cell r="K519">
            <v>406.40509778509323</v>
          </cell>
          <cell r="L519">
            <v>389.54710659894238</v>
          </cell>
          <cell r="M519">
            <v>372.65701885156028</v>
          </cell>
          <cell r="N519">
            <v>355.7478704067085</v>
          </cell>
          <cell r="O519">
            <v>346.26146043450598</v>
          </cell>
          <cell r="P519">
            <v>336.76600939759345</v>
          </cell>
          <cell r="Q519">
            <v>327.26757047277738</v>
          </cell>
          <cell r="R519">
            <v>317.77219683686542</v>
          </cell>
          <cell r="S519">
            <v>308.28594166667546</v>
          </cell>
          <cell r="T519">
            <v>300.20859960161096</v>
          </cell>
          <cell r="U519">
            <v>292.15741089374075</v>
          </cell>
          <cell r="V519">
            <v>284.13577724480723</v>
          </cell>
          <cell r="W519">
            <v>276.14710035653661</v>
          </cell>
          <cell r="X519">
            <v>268.19478193066516</v>
          </cell>
          <cell r="Y519">
            <v>263.16022801289984</v>
          </cell>
          <cell r="Z519">
            <v>258.2023825493506</v>
          </cell>
          <cell r="AA519">
            <v>253.32046617863753</v>
          </cell>
          <cell r="AB519">
            <v>248.51369953936884</v>
          </cell>
          <cell r="AC519">
            <v>243.78130327016314</v>
          </cell>
          <cell r="AD519">
            <v>240.04147045375171</v>
          </cell>
          <cell r="AE519">
            <v>236.36630061481952</v>
          </cell>
          <cell r="AF519">
            <v>232.75503888627432</v>
          </cell>
          <cell r="AG519">
            <v>229.20693040102577</v>
          </cell>
          <cell r="AH519">
            <v>225.72122029198346</v>
          </cell>
        </row>
        <row r="520">
          <cell r="B520" t="str">
            <v>e-methanol (PS) - Energy cost including feedstock energy cost - Asia - USD/ton fuel</v>
          </cell>
          <cell r="G520">
            <v>814.10688971223851</v>
          </cell>
          <cell r="H520">
            <v>741.87848948296107</v>
          </cell>
          <cell r="I520">
            <v>669.67550371206949</v>
          </cell>
          <cell r="J520">
            <v>643.0219294388794</v>
          </cell>
          <cell r="K520">
            <v>616.28418428253713</v>
          </cell>
          <cell r="L520">
            <v>589.48304572659254</v>
          </cell>
          <cell r="M520">
            <v>562.63929125464551</v>
          </cell>
          <cell r="N520">
            <v>535.77369835027332</v>
          </cell>
          <cell r="O520">
            <v>515.81765371927406</v>
          </cell>
          <cell r="P520">
            <v>495.91119100960293</v>
          </cell>
          <cell r="Q520">
            <v>476.06793719869722</v>
          </cell>
          <cell r="R520">
            <v>456.30151926398463</v>
          </cell>
          <cell r="S520">
            <v>436.62556418292672</v>
          </cell>
          <cell r="T520">
            <v>425.21156653944979</v>
          </cell>
          <cell r="U520">
            <v>413.83424439957247</v>
          </cell>
          <cell r="V520">
            <v>402.49840083278508</v>
          </cell>
          <cell r="W520">
            <v>391.20883890854071</v>
          </cell>
          <cell r="X520">
            <v>379.97036169632679</v>
          </cell>
          <cell r="Y520">
            <v>367.62617862557624</v>
          </cell>
          <cell r="Z520">
            <v>355.49630154319186</v>
          </cell>
          <cell r="AA520">
            <v>343.57787132874194</v>
          </cell>
          <cell r="AB520">
            <v>331.868028861791</v>
          </cell>
          <cell r="AC520">
            <v>320.36391502190537</v>
          </cell>
          <cell r="AD520">
            <v>313.92704406217473</v>
          </cell>
          <cell r="AE520">
            <v>307.6008585934091</v>
          </cell>
          <cell r="AF520">
            <v>301.38367529417076</v>
          </cell>
          <cell r="AG520">
            <v>295.27381084301999</v>
          </cell>
          <cell r="AH520">
            <v>289.26958191851702</v>
          </cell>
        </row>
        <row r="521">
          <cell r="B521" t="str">
            <v>e-methanol (PS) - Energy cost including feedstock energy cost - Europe - USD/ton fuel</v>
          </cell>
          <cell r="G521">
            <v>606.05848161117319</v>
          </cell>
          <cell r="H521">
            <v>579.39922616107458</v>
          </cell>
          <cell r="I521">
            <v>552.69981897144305</v>
          </cell>
          <cell r="J521">
            <v>530.77409361612388</v>
          </cell>
          <cell r="K521">
            <v>508.77862644516705</v>
          </cell>
          <cell r="L521">
            <v>486.73050701324877</v>
          </cell>
          <cell r="M521">
            <v>464.64682487503615</v>
          </cell>
          <cell r="N521">
            <v>442.54466958519953</v>
          </cell>
          <cell r="O521">
            <v>431.59631371520067</v>
          </cell>
          <cell r="P521">
            <v>420.62720631881274</v>
          </cell>
          <cell r="Q521">
            <v>409.644199087782</v>
          </cell>
          <cell r="R521">
            <v>398.65414371386902</v>
          </cell>
          <cell r="S521">
            <v>387.66389188884972</v>
          </cell>
          <cell r="T521">
            <v>380.0405247425295</v>
          </cell>
          <cell r="U521">
            <v>372.41435216790131</v>
          </cell>
          <cell r="V521">
            <v>364.7882101387832</v>
          </cell>
          <cell r="W521">
            <v>357.16493462896852</v>
          </cell>
          <cell r="X521">
            <v>349.5473616122668</v>
          </cell>
          <cell r="Y521">
            <v>340.8783458480699</v>
          </cell>
          <cell r="Z521">
            <v>332.3520192234642</v>
          </cell>
          <cell r="AA521">
            <v>323.96665632808907</v>
          </cell>
          <cell r="AB521">
            <v>315.72053175156572</v>
          </cell>
          <cell r="AC521">
            <v>307.61192008353129</v>
          </cell>
          <cell r="AD521">
            <v>301.43146384539858</v>
          </cell>
          <cell r="AE521">
            <v>295.35728396813937</v>
          </cell>
          <cell r="AF521">
            <v>289.38776422387116</v>
          </cell>
          <cell r="AG521">
            <v>283.52128838470946</v>
          </cell>
          <cell r="AH521">
            <v>277.75624022276975</v>
          </cell>
        </row>
        <row r="522">
          <cell r="B522" t="str">
            <v>e-methanol (PS) - Energy cost including feedstock energy cost - Middle East - USD/ton fuel</v>
          </cell>
          <cell r="G522">
            <v>464.08609747012434</v>
          </cell>
          <cell r="H522">
            <v>443.19531522781085</v>
          </cell>
          <cell r="I522">
            <v>422.27482545207857</v>
          </cell>
          <cell r="J522">
            <v>408.08012158681589</v>
          </cell>
          <cell r="K522">
            <v>393.82243807374863</v>
          </cell>
          <cell r="L522">
            <v>379.5127537028921</v>
          </cell>
          <cell r="M522">
            <v>365.16204726427225</v>
          </cell>
          <cell r="N522">
            <v>350.7812975478999</v>
          </cell>
          <cell r="O522">
            <v>339.54062191056971</v>
          </cell>
          <cell r="P522">
            <v>328.31206430583165</v>
          </cell>
          <cell r="Q522">
            <v>317.10309456572367</v>
          </cell>
          <cell r="R522">
            <v>305.92118252229557</v>
          </cell>
          <cell r="S522">
            <v>294.77379800760019</v>
          </cell>
          <cell r="T522">
            <v>288.20374310592871</v>
          </cell>
          <cell r="U522">
            <v>281.64244932831571</v>
          </cell>
          <cell r="V522">
            <v>275.09251311992335</v>
          </cell>
          <cell r="W522">
            <v>268.55653092588989</v>
          </cell>
          <cell r="X522">
            <v>262.03709919137196</v>
          </cell>
          <cell r="Y522">
            <v>253.62915960477972</v>
          </cell>
          <cell r="Z522">
            <v>245.36688423922507</v>
          </cell>
          <cell r="AA522">
            <v>237.24833670520081</v>
          </cell>
          <cell r="AB522">
            <v>229.27158061319557</v>
          </cell>
          <cell r="AC522">
            <v>221.43467957370015</v>
          </cell>
          <cell r="AD522">
            <v>216.98546264921913</v>
          </cell>
          <cell r="AE522">
            <v>212.61275240429012</v>
          </cell>
          <cell r="AF522">
            <v>208.31538530032171</v>
          </cell>
          <cell r="AG522">
            <v>204.09219779872527</v>
          </cell>
          <cell r="AH522">
            <v>199.94202636091239</v>
          </cell>
        </row>
        <row r="523">
          <cell r="B523" t="str">
            <v>e-methanol (PS) - Energy cost - Africa - USD/ton fuel</v>
          </cell>
          <cell r="G523">
            <v>99.26267178187409</v>
          </cell>
          <cell r="H523">
            <v>87.606603617621289</v>
          </cell>
          <cell r="I523">
            <v>75.950535453365404</v>
          </cell>
          <cell r="J523">
            <v>72.701221964566045</v>
          </cell>
          <cell r="K523">
            <v>69.451908475766686</v>
          </cell>
          <cell r="L523">
            <v>66.202594986967327</v>
          </cell>
          <cell r="M523">
            <v>62.953281498167186</v>
          </cell>
          <cell r="N523">
            <v>59.703968009367827</v>
          </cell>
          <cell r="O523">
            <v>57.890197067325836</v>
          </cell>
          <cell r="P523">
            <v>56.076426125283838</v>
          </cell>
          <cell r="Q523">
            <v>54.262655183241073</v>
          </cell>
          <cell r="R523">
            <v>52.448884241199082</v>
          </cell>
          <cell r="S523">
            <v>50.635113299157283</v>
          </cell>
          <cell r="T523">
            <v>49.781401120835163</v>
          </cell>
          <cell r="U523">
            <v>48.927688942513235</v>
          </cell>
          <cell r="V523">
            <v>48.073976764191116</v>
          </cell>
          <cell r="W523">
            <v>47.220264585868996</v>
          </cell>
          <cell r="X523">
            <v>46.36655240754726</v>
          </cell>
          <cell r="Y523">
            <v>45.488704803888616</v>
          </cell>
          <cell r="Z523">
            <v>44.610857200229972</v>
          </cell>
          <cell r="AA523">
            <v>43.733009596570945</v>
          </cell>
          <cell r="AB523">
            <v>42.855161992912301</v>
          </cell>
          <cell r="AC523">
            <v>41.977314389253465</v>
          </cell>
          <cell r="AD523">
            <v>41.546443275330866</v>
          </cell>
          <cell r="AE523">
            <v>41.115572161408451</v>
          </cell>
          <cell r="AF523">
            <v>40.684701047485852</v>
          </cell>
          <cell r="AG523">
            <v>40.253829933563246</v>
          </cell>
          <cell r="AH523">
            <v>39.822958819640839</v>
          </cell>
        </row>
        <row r="524">
          <cell r="B524" t="str">
            <v>e-methanol (PS) - Energy cost - Americas - USD/ton fuel</v>
          </cell>
          <cell r="G524">
            <v>62.36821371760395</v>
          </cell>
          <cell r="H524">
            <v>61.07665505835346</v>
          </cell>
          <cell r="I524">
            <v>59.785096399102578</v>
          </cell>
          <cell r="J524">
            <v>57.601855099917429</v>
          </cell>
          <cell r="K524">
            <v>55.418613800732281</v>
          </cell>
          <cell r="L524">
            <v>53.235372501547133</v>
          </cell>
          <cell r="M524">
            <v>51.052131202362759</v>
          </cell>
          <cell r="N524">
            <v>48.86888990317761</v>
          </cell>
          <cell r="O524">
            <v>47.818261773230411</v>
          </cell>
          <cell r="P524">
            <v>46.767633643283212</v>
          </cell>
          <cell r="Q524">
            <v>45.717005513336012</v>
          </cell>
          <cell r="R524">
            <v>44.666377383388813</v>
          </cell>
          <cell r="S524">
            <v>43.615749253441422</v>
          </cell>
          <cell r="T524">
            <v>42.764084248216705</v>
          </cell>
          <cell r="U524">
            <v>41.91241924299198</v>
          </cell>
          <cell r="V524">
            <v>41.060754237767071</v>
          </cell>
          <cell r="W524">
            <v>40.209089232542347</v>
          </cell>
          <cell r="X524">
            <v>39.35742422731753</v>
          </cell>
          <cell r="Y524">
            <v>39.014315503295393</v>
          </cell>
          <cell r="Z524">
            <v>38.671206779273248</v>
          </cell>
          <cell r="AA524">
            <v>38.328098055251203</v>
          </cell>
          <cell r="AB524">
            <v>37.984989331229066</v>
          </cell>
          <cell r="AC524">
            <v>37.641880607206922</v>
          </cell>
          <cell r="AD524">
            <v>37.383029360348445</v>
          </cell>
          <cell r="AE524">
            <v>37.124178113490061</v>
          </cell>
          <cell r="AF524">
            <v>36.865326866631683</v>
          </cell>
          <cell r="AG524">
            <v>36.606475619773299</v>
          </cell>
          <cell r="AH524">
            <v>36.347624372914915</v>
          </cell>
        </row>
        <row r="525">
          <cell r="B525" t="str">
            <v>e-methanol (PS) - Energy cost - Asia - USD/ton fuel</v>
          </cell>
          <cell r="G525">
            <v>110.40072423267556</v>
          </cell>
          <cell r="H525">
            <v>100.69934349262111</v>
          </cell>
          <cell r="I525">
            <v>90.997962752571311</v>
          </cell>
          <cell r="J525">
            <v>87.518158038180076</v>
          </cell>
          <cell r="K525">
            <v>84.038353323790389</v>
          </cell>
          <cell r="L525">
            <v>80.558548609399168</v>
          </cell>
          <cell r="M525">
            <v>77.078743895007932</v>
          </cell>
          <cell r="N525">
            <v>73.598939180618245</v>
          </cell>
          <cell r="O525">
            <v>71.233753712729865</v>
          </cell>
          <cell r="P525">
            <v>68.868568244842251</v>
          </cell>
          <cell r="Q525">
            <v>66.503382776955405</v>
          </cell>
          <cell r="R525">
            <v>64.138197309067792</v>
          </cell>
          <cell r="S525">
            <v>61.773011841180185</v>
          </cell>
          <cell r="T525">
            <v>60.570494246133691</v>
          </cell>
          <cell r="U525">
            <v>59.367976651087197</v>
          </cell>
          <cell r="V525">
            <v>58.165459056041094</v>
          </cell>
          <cell r="W525">
            <v>56.9629414609946</v>
          </cell>
          <cell r="X525">
            <v>55.76042386594888</v>
          </cell>
          <cell r="Y525">
            <v>54.501714899965805</v>
          </cell>
          <cell r="Z525">
            <v>53.243005933983113</v>
          </cell>
          <cell r="AA525">
            <v>51.984296968000031</v>
          </cell>
          <cell r="AB525">
            <v>50.725588002017339</v>
          </cell>
          <cell r="AC525">
            <v>49.466879036034264</v>
          </cell>
          <cell r="AD525">
            <v>48.889651788084429</v>
          </cell>
          <cell r="AE525">
            <v>48.312424540134394</v>
          </cell>
          <cell r="AF525">
            <v>47.735197292184559</v>
          </cell>
          <cell r="AG525">
            <v>47.157970044234716</v>
          </cell>
          <cell r="AH525">
            <v>46.580742796284689</v>
          </cell>
        </row>
        <row r="526">
          <cell r="B526" t="str">
            <v>e-methanol (PS) - Energy cost - Europe - USD/ton fuel</v>
          </cell>
          <cell r="G526">
            <v>82.187359108187323</v>
          </cell>
          <cell r="H526">
            <v>78.645118468410502</v>
          </cell>
          <cell r="I526">
            <v>75.102877828633694</v>
          </cell>
          <cell r="J526">
            <v>72.240725986131565</v>
          </cell>
          <cell r="K526">
            <v>69.378574143628654</v>
          </cell>
          <cell r="L526">
            <v>66.516422301126525</v>
          </cell>
          <cell r="M526">
            <v>63.654270458623614</v>
          </cell>
          <cell r="N526">
            <v>60.792118616121478</v>
          </cell>
          <cell r="O526">
            <v>59.602895117744033</v>
          </cell>
          <cell r="P526">
            <v>58.413671619367754</v>
          </cell>
          <cell r="Q526">
            <v>57.224448120991084</v>
          </cell>
          <cell r="R526">
            <v>56.035224622614415</v>
          </cell>
          <cell r="S526">
            <v>54.846001124238136</v>
          </cell>
          <cell r="T526">
            <v>54.135974250548429</v>
          </cell>
          <cell r="U526">
            <v>53.425947376858915</v>
          </cell>
          <cell r="V526">
            <v>52.7159205031694</v>
          </cell>
          <cell r="W526">
            <v>52.005893629479885</v>
          </cell>
          <cell r="X526">
            <v>51.29586675578998</v>
          </cell>
          <cell r="Y526">
            <v>50.536266188772764</v>
          </cell>
          <cell r="Z526">
            <v>49.776665621755349</v>
          </cell>
          <cell r="AA526">
            <v>49.017065054738133</v>
          </cell>
          <cell r="AB526">
            <v>48.257464487720718</v>
          </cell>
          <cell r="AC526">
            <v>47.497863920703502</v>
          </cell>
          <cell r="AD526">
            <v>46.943643703584165</v>
          </cell>
          <cell r="AE526">
            <v>46.389423486464636</v>
          </cell>
          <cell r="AF526">
            <v>45.8352032693453</v>
          </cell>
          <cell r="AG526">
            <v>45.280983052225963</v>
          </cell>
          <cell r="AH526">
            <v>44.726762835106435</v>
          </cell>
        </row>
        <row r="527">
          <cell r="B527" t="str">
            <v>e-methanol (PS) - Energy cost - Middle East - USD/ton fuel</v>
          </cell>
          <cell r="G527">
            <v>62.93453834437873</v>
          </cell>
          <cell r="H527">
            <v>60.157394930737972</v>
          </cell>
          <cell r="I527">
            <v>57.38025151709644</v>
          </cell>
          <cell r="J527">
            <v>55.541528116218657</v>
          </cell>
          <cell r="K527">
            <v>53.702804715340882</v>
          </cell>
          <cell r="L527">
            <v>51.8640813144631</v>
          </cell>
          <cell r="M527">
            <v>50.025357913585317</v>
          </cell>
          <cell r="N527">
            <v>48.186634512707542</v>
          </cell>
          <cell r="O527">
            <v>46.890122628117588</v>
          </cell>
          <cell r="P527">
            <v>45.593610743528025</v>
          </cell>
          <cell r="Q527">
            <v>44.297098858938078</v>
          </cell>
          <cell r="R527">
            <v>43.000586974348515</v>
          </cell>
          <cell r="S527">
            <v>41.704075089758952</v>
          </cell>
          <cell r="T527">
            <v>41.054017663680554</v>
          </cell>
          <cell r="U527">
            <v>40.403960237602156</v>
          </cell>
          <cell r="V527">
            <v>39.75390281152395</v>
          </cell>
          <cell r="W527">
            <v>39.103845385445545</v>
          </cell>
          <cell r="X527">
            <v>38.453787959367148</v>
          </cell>
          <cell r="Y527">
            <v>37.601305213839112</v>
          </cell>
          <cell r="Z527">
            <v>36.748822468311268</v>
          </cell>
          <cell r="AA527">
            <v>35.896339722783225</v>
          </cell>
          <cell r="AB527">
            <v>35.043856977255381</v>
          </cell>
          <cell r="AC527">
            <v>34.191374231727245</v>
          </cell>
          <cell r="AD527">
            <v>33.792385564257692</v>
          </cell>
          <cell r="AE527">
            <v>33.393396896788239</v>
          </cell>
          <cell r="AF527">
            <v>32.994408229318687</v>
          </cell>
          <cell r="AG527">
            <v>32.595419561849134</v>
          </cell>
          <cell r="AH527">
            <v>32.196430894379674</v>
          </cell>
        </row>
        <row r="528">
          <cell r="B528" t="str">
            <v>e-hydrogen (compressed) - Energy cost including feedstock energy cost - Africa - USD/ton fuel</v>
          </cell>
          <cell r="G528">
            <v>3160.8705964644164</v>
          </cell>
          <cell r="H528">
            <v>2786.523241337979</v>
          </cell>
          <cell r="I528">
            <v>2412.5464202833837</v>
          </cell>
          <cell r="J528">
            <v>2304.7344628217015</v>
          </cell>
          <cell r="K528">
            <v>2196.6012206586379</v>
          </cell>
          <cell r="L528">
            <v>2088.2494806360514</v>
          </cell>
          <cell r="M528">
            <v>1979.7820295958466</v>
          </cell>
          <cell r="N528">
            <v>1871.3016543799013</v>
          </cell>
          <cell r="O528">
            <v>1802.6625730422293</v>
          </cell>
          <cell r="P528">
            <v>1734.1917254836167</v>
          </cell>
          <cell r="Q528">
            <v>1665.9444753405153</v>
          </cell>
          <cell r="R528">
            <v>1597.976186249457</v>
          </cell>
          <cell r="S528">
            <v>1530.3422218469802</v>
          </cell>
          <cell r="T528">
            <v>1491.8507805011832</v>
          </cell>
          <cell r="U528">
            <v>1453.4494587457298</v>
          </cell>
          <cell r="V528">
            <v>1415.1563219456079</v>
          </cell>
          <cell r="W528">
            <v>1376.9894354656967</v>
          </cell>
          <cell r="X528">
            <v>1338.9668646709708</v>
          </cell>
          <cell r="Y528">
            <v>1296.9598763474942</v>
          </cell>
          <cell r="Z528">
            <v>1255.7747230782336</v>
          </cell>
          <cell r="AA528">
            <v>1215.4008407247393</v>
          </cell>
          <cell r="AB528">
            <v>1175.8276651485323</v>
          </cell>
          <cell r="AC528">
            <v>1137.0446322111472</v>
          </cell>
          <cell r="AD528">
            <v>1113.2241368658154</v>
          </cell>
          <cell r="AE528">
            <v>1089.8673860112274</v>
          </cell>
          <cell r="AF528">
            <v>1066.9677226950826</v>
          </cell>
          <cell r="AG528">
            <v>1044.5184899651035</v>
          </cell>
          <cell r="AH528">
            <v>1022.5130308690141</v>
          </cell>
        </row>
        <row r="529">
          <cell r="B529" t="str">
            <v>e-hydrogen (compressed) - Energy cost including feedstock energy cost - Americas - USD/ton fuel</v>
          </cell>
          <cell r="G529">
            <v>1986.022029783622</v>
          </cell>
          <cell r="H529">
            <v>1942.6791108821419</v>
          </cell>
          <cell r="I529">
            <v>1899.0560032656203</v>
          </cell>
          <cell r="J529">
            <v>1826.0625747933959</v>
          </cell>
          <cell r="K529">
            <v>1752.7609736509025</v>
          </cell>
          <cell r="L529">
            <v>1679.2202631891889</v>
          </cell>
          <cell r="M529">
            <v>1605.5095067593863</v>
          </cell>
          <cell r="N529">
            <v>1531.6977677124719</v>
          </cell>
          <cell r="O529">
            <v>1489.0291478242557</v>
          </cell>
          <cell r="P529">
            <v>1446.3126288296503</v>
          </cell>
          <cell r="Q529">
            <v>1403.5802801551172</v>
          </cell>
          <cell r="R529">
            <v>1360.8641712271224</v>
          </cell>
          <cell r="S529">
            <v>1318.196371472189</v>
          </cell>
          <cell r="T529">
            <v>1281.5555815366356</v>
          </cell>
          <cell r="U529">
            <v>1245.0533507729108</v>
          </cell>
          <cell r="V529">
            <v>1208.7077012258628</v>
          </cell>
          <cell r="W529">
            <v>1172.5366549402484</v>
          </cell>
          <cell r="X529">
            <v>1136.5582339608836</v>
          </cell>
          <cell r="Y529">
            <v>1112.3640919011295</v>
          </cell>
          <cell r="Z529">
            <v>1088.5763473760965</v>
          </cell>
          <cell r="AA529">
            <v>1065.1908713683672</v>
          </cell>
          <cell r="AB529">
            <v>1042.2035348604634</v>
          </cell>
          <cell r="AC529">
            <v>1019.61020883496</v>
          </cell>
          <cell r="AD529">
            <v>1001.6667447875999</v>
          </cell>
          <cell r="AE529">
            <v>984.06586194466854</v>
          </cell>
          <cell r="AF529">
            <v>966.80356105825501</v>
          </cell>
          <cell r="AG529">
            <v>949.87584288045787</v>
          </cell>
          <cell r="AH529">
            <v>933.27870816337509</v>
          </cell>
        </row>
        <row r="530">
          <cell r="B530" t="str">
            <v>e-hydrogen (compressed) - Energy cost including feedstock energy cost - Asia - USD/ton fuel</v>
          </cell>
          <cell r="G530">
            <v>3515.5451368694994</v>
          </cell>
          <cell r="H530">
            <v>3202.9670075376002</v>
          </cell>
          <cell r="I530">
            <v>2890.5235227287494</v>
          </cell>
          <cell r="J530">
            <v>2774.4528840461521</v>
          </cell>
          <cell r="K530">
            <v>2657.9363122554146</v>
          </cell>
          <cell r="L530">
            <v>2541.0838854200356</v>
          </cell>
          <cell r="M530">
            <v>2424.0056816037468</v>
          </cell>
          <cell r="N530">
            <v>2306.8117788701561</v>
          </cell>
          <cell r="O530">
            <v>2218.1721303505983</v>
          </cell>
          <cell r="P530">
            <v>2129.7951643580186</v>
          </cell>
          <cell r="Q530">
            <v>2041.7530759339261</v>
          </cell>
          <cell r="R530">
            <v>1954.1180601197893</v>
          </cell>
          <cell r="S530">
            <v>1866.9623119572402</v>
          </cell>
          <cell r="T530">
            <v>1815.1787029276168</v>
          </cell>
          <cell r="U530">
            <v>1763.5893988725866</v>
          </cell>
          <cell r="V530">
            <v>1712.219846212882</v>
          </cell>
          <cell r="W530">
            <v>1661.0954913690473</v>
          </cell>
          <cell r="X530">
            <v>1610.2417807617942</v>
          </cell>
          <cell r="Y530">
            <v>1553.9360314199</v>
          </cell>
          <cell r="Z530">
            <v>1498.7656644323729</v>
          </cell>
          <cell r="AA530">
            <v>1444.7155323228835</v>
          </cell>
          <cell r="AB530">
            <v>1391.7704876150719</v>
          </cell>
          <cell r="AC530">
            <v>1339.915382832598</v>
          </cell>
          <cell r="AD530">
            <v>1309.9831447130568</v>
          </cell>
          <cell r="AE530">
            <v>1280.6373127610934</v>
          </cell>
          <cell r="AF530">
            <v>1251.8689688243389</v>
          </cell>
          <cell r="AG530">
            <v>1223.6691947504187</v>
          </cell>
          <cell r="AH530">
            <v>1196.0290723869578</v>
          </cell>
        </row>
        <row r="531">
          <cell r="B531" t="str">
            <v>e-hydrogen (compressed) - Energy cost including feedstock energy cost - Europe - USD/ton fuel</v>
          </cell>
          <cell r="G531">
            <v>2617.1329276426868</v>
          </cell>
          <cell r="H531">
            <v>2501.4832373426843</v>
          </cell>
          <cell r="I531">
            <v>2385.6208251448465</v>
          </cell>
          <cell r="J531">
            <v>2290.1360706240293</v>
          </cell>
          <cell r="K531">
            <v>2194.281827469511</v>
          </cell>
          <cell r="L531">
            <v>2098.1486352829556</v>
          </cell>
          <cell r="M531">
            <v>2001.8270336660016</v>
          </cell>
          <cell r="N531">
            <v>1905.4075622202831</v>
          </cell>
          <cell r="O531">
            <v>1855.9948612502078</v>
          </cell>
          <cell r="P531">
            <v>1806.4722197363817</v>
          </cell>
          <cell r="Q531">
            <v>1756.8759375972888</v>
          </cell>
          <cell r="R531">
            <v>1707.2423147514785</v>
          </cell>
          <cell r="S531">
            <v>1657.6076511175781</v>
          </cell>
          <cell r="T531">
            <v>1622.348781281504</v>
          </cell>
          <cell r="U531">
            <v>1587.0750484272664</v>
          </cell>
          <cell r="V531">
            <v>1551.8014774016065</v>
          </cell>
          <cell r="W531">
            <v>1516.5430930511313</v>
          </cell>
          <cell r="X531">
            <v>1481.3149202225381</v>
          </cell>
          <cell r="Y531">
            <v>1440.8743847473047</v>
          </cell>
          <cell r="Z531">
            <v>1401.1898091614214</v>
          </cell>
          <cell r="AA531">
            <v>1362.2520523275218</v>
          </cell>
          <cell r="AB531">
            <v>1324.0519731081486</v>
          </cell>
          <cell r="AC531">
            <v>1286.5804303659243</v>
          </cell>
          <cell r="AD531">
            <v>1257.840458133481</v>
          </cell>
          <cell r="AE531">
            <v>1229.6635327190136</v>
          </cell>
          <cell r="AF531">
            <v>1202.0410914284364</v>
          </cell>
          <cell r="AG531">
            <v>1174.9645715676581</v>
          </cell>
          <cell r="AH531">
            <v>1148.4254104425868</v>
          </cell>
        </row>
        <row r="532">
          <cell r="B532" t="str">
            <v>e-hydrogen (compressed) - Energy cost including feedstock energy cost - Middle East - USD/ton fuel</v>
          </cell>
          <cell r="G532">
            <v>2004.0557863679674</v>
          </cell>
          <cell r="H532">
            <v>1913.439994141396</v>
          </cell>
          <cell r="I532">
            <v>1822.6668128960132</v>
          </cell>
          <cell r="J532">
            <v>1760.7472131571581</v>
          </cell>
          <cell r="K532">
            <v>1698.4939504098782</v>
          </cell>
          <cell r="L532">
            <v>1635.9651897318304</v>
          </cell>
          <cell r="M532">
            <v>1573.2190962007282</v>
          </cell>
          <cell r="N532">
            <v>1510.3138348942052</v>
          </cell>
          <cell r="O532">
            <v>1460.1275067135082</v>
          </cell>
          <cell r="P532">
            <v>1410.0053792603746</v>
          </cell>
          <cell r="Q532">
            <v>1359.9870273294782</v>
          </cell>
          <cell r="R532">
            <v>1310.1120257155462</v>
          </cell>
          <cell r="S532">
            <v>1260.4199492133293</v>
          </cell>
          <cell r="T532">
            <v>1230.3082459572943</v>
          </cell>
          <cell r="U532">
            <v>1200.2429586961468</v>
          </cell>
          <cell r="V532">
            <v>1170.2378432658459</v>
          </cell>
          <cell r="W532">
            <v>1140.3066555022276</v>
          </cell>
          <cell r="X532">
            <v>1110.4631512412213</v>
          </cell>
          <cell r="Y532">
            <v>1072.0767797388739</v>
          </cell>
          <cell r="Z532">
            <v>1034.4621299578357</v>
          </cell>
          <cell r="AA532">
            <v>997.60894300383222</v>
          </cell>
          <cell r="AB532">
            <v>961.50695998256094</v>
          </cell>
          <cell r="AC532">
            <v>926.14592199973754</v>
          </cell>
          <cell r="AD532">
            <v>905.45655143347608</v>
          </cell>
          <cell r="AE532">
            <v>885.17250940990675</v>
          </cell>
          <cell r="AF532">
            <v>865.287631560058</v>
          </cell>
          <cell r="AG532">
            <v>845.79575351497181</v>
          </cell>
          <cell r="AH532">
            <v>826.69071090569059</v>
          </cell>
        </row>
        <row r="533">
          <cell r="B533" t="str">
            <v>Carbon dioxide (PS) - Energy cost - Africa - USD/ton fuel</v>
          </cell>
          <cell r="G533">
            <v>26.275413118731375</v>
          </cell>
          <cell r="H533">
            <v>23.189983310546815</v>
          </cell>
          <cell r="I533">
            <v>20.104553502361433</v>
          </cell>
          <cell r="J533">
            <v>19.244441108267484</v>
          </cell>
          <cell r="K533">
            <v>18.384328714173535</v>
          </cell>
          <cell r="L533">
            <v>17.524216320079585</v>
          </cell>
          <cell r="M533">
            <v>16.664103925985433</v>
          </cell>
          <cell r="N533">
            <v>15.803991531891484</v>
          </cell>
          <cell r="O533">
            <v>15.323875694292132</v>
          </cell>
          <cell r="P533">
            <v>14.843759856692783</v>
          </cell>
          <cell r="Q533">
            <v>14.363644019093227</v>
          </cell>
          <cell r="R533">
            <v>13.883528181493876</v>
          </cell>
          <cell r="S533">
            <v>13.403412343894576</v>
          </cell>
          <cell r="T533">
            <v>13.177429708456367</v>
          </cell>
          <cell r="U533">
            <v>12.95144707301821</v>
          </cell>
          <cell r="V533">
            <v>12.725464437580001</v>
          </cell>
          <cell r="W533">
            <v>12.499481802141792</v>
          </cell>
          <cell r="X533">
            <v>12.273499166703687</v>
          </cell>
          <cell r="Y533">
            <v>12.041127742205811</v>
          </cell>
          <cell r="Z533">
            <v>11.808756317707935</v>
          </cell>
          <cell r="AA533">
            <v>11.576384893209957</v>
          </cell>
          <cell r="AB533">
            <v>11.344013468712081</v>
          </cell>
          <cell r="AC533">
            <v>11.111642044214154</v>
          </cell>
          <cell r="AD533">
            <v>10.997587925822875</v>
          </cell>
          <cell r="AE533">
            <v>10.88353380743165</v>
          </cell>
          <cell r="AF533">
            <v>10.769479689040372</v>
          </cell>
          <cell r="AG533">
            <v>10.655425570649095</v>
          </cell>
          <cell r="AH533">
            <v>10.541371452257868</v>
          </cell>
        </row>
        <row r="534">
          <cell r="B534" t="str">
            <v>Carbon dioxide (PS) - Energy cost - Americas - USD/ton fuel</v>
          </cell>
          <cell r="G534">
            <v>16.509233042895165</v>
          </cell>
          <cell r="H534">
            <v>16.167349868387682</v>
          </cell>
          <cell r="I534">
            <v>15.825466693880093</v>
          </cell>
          <cell r="J534">
            <v>15.247549879389908</v>
          </cell>
          <cell r="K534">
            <v>14.669633064899722</v>
          </cell>
          <cell r="L534">
            <v>14.091716250409537</v>
          </cell>
          <cell r="M534">
            <v>13.513799435919555</v>
          </cell>
          <cell r="N534">
            <v>12.93588262142937</v>
          </cell>
          <cell r="O534">
            <v>12.657775175266876</v>
          </cell>
          <cell r="P534">
            <v>12.379667729104382</v>
          </cell>
          <cell r="Q534">
            <v>12.101560282941888</v>
          </cell>
          <cell r="R534">
            <v>11.823452836779394</v>
          </cell>
          <cell r="S534">
            <v>11.545345390616848</v>
          </cell>
          <cell r="T534">
            <v>11.319904653939716</v>
          </cell>
          <cell r="U534">
            <v>11.094463917262585</v>
          </cell>
          <cell r="V534">
            <v>10.869023180585401</v>
          </cell>
          <cell r="W534">
            <v>10.64358244390827</v>
          </cell>
          <cell r="X534">
            <v>10.418141707231113</v>
          </cell>
          <cell r="Y534">
            <v>10.327318809695839</v>
          </cell>
          <cell r="Z534">
            <v>10.236495912160567</v>
          </cell>
          <cell r="AA534">
            <v>10.14567301462532</v>
          </cell>
          <cell r="AB534">
            <v>10.054850117090046</v>
          </cell>
          <cell r="AC534">
            <v>9.9640272195547741</v>
          </cell>
          <cell r="AD534">
            <v>9.8955077718569413</v>
          </cell>
          <cell r="AE534">
            <v>9.8269883241591351</v>
          </cell>
          <cell r="AF534">
            <v>9.7584688764613272</v>
          </cell>
          <cell r="AG534">
            <v>9.6899494287635211</v>
          </cell>
          <cell r="AH534">
            <v>9.6214299810657149</v>
          </cell>
        </row>
        <row r="535">
          <cell r="B535" t="str">
            <v>Carbon dioxide (PS) - Energy cost - Asia - USD/ton fuel</v>
          </cell>
          <cell r="G535">
            <v>29.223721120414123</v>
          </cell>
          <cell r="H535">
            <v>26.655708571576181</v>
          </cell>
          <cell r="I535">
            <v>24.087696022739465</v>
          </cell>
          <cell r="J535">
            <v>23.166571245400611</v>
          </cell>
          <cell r="K535">
            <v>22.245446468062166</v>
          </cell>
          <cell r="L535">
            <v>21.324321690723309</v>
          </cell>
          <cell r="M535">
            <v>20.403196913384456</v>
          </cell>
          <cell r="N535">
            <v>19.482072136046011</v>
          </cell>
          <cell r="O535">
            <v>18.85599362984026</v>
          </cell>
          <cell r="P535">
            <v>18.229915123634715</v>
          </cell>
          <cell r="Q535">
            <v>17.603836617429376</v>
          </cell>
          <cell r="R535">
            <v>16.977758111223832</v>
          </cell>
          <cell r="S535">
            <v>16.351679605018287</v>
          </cell>
          <cell r="T535">
            <v>16.033366123976567</v>
          </cell>
          <cell r="U535">
            <v>15.715052642934848</v>
          </cell>
          <cell r="V535">
            <v>15.396739161893231</v>
          </cell>
          <cell r="W535">
            <v>15.078425680851513</v>
          </cell>
          <cell r="X535">
            <v>14.760112199809999</v>
          </cell>
          <cell r="Y535">
            <v>14.426924532343889</v>
          </cell>
          <cell r="Z535">
            <v>14.093736864877883</v>
          </cell>
          <cell r="AA535">
            <v>13.760549197411775</v>
          </cell>
          <cell r="AB535">
            <v>13.427361529945768</v>
          </cell>
          <cell r="AC535">
            <v>13.094173862479659</v>
          </cell>
          <cell r="AD535">
            <v>12.941378414492936</v>
          </cell>
          <cell r="AE535">
            <v>12.788582966506164</v>
          </cell>
          <cell r="AF535">
            <v>12.635787518519441</v>
          </cell>
          <cell r="AG535">
            <v>12.48299207053272</v>
          </cell>
          <cell r="AH535">
            <v>12.330196622545946</v>
          </cell>
        </row>
        <row r="536">
          <cell r="B536" t="str">
            <v>Carbon dioxide (PS) - Energy cost - Europe - USD/ton fuel</v>
          </cell>
          <cell r="G536">
            <v>21.75547741099076</v>
          </cell>
          <cell r="H536">
            <v>20.817825476932196</v>
          </cell>
          <cell r="I536">
            <v>19.880173542873628</v>
          </cell>
          <cell r="J536">
            <v>19.122545113976003</v>
          </cell>
          <cell r="K536">
            <v>18.364916685078175</v>
          </cell>
          <cell r="L536">
            <v>17.607288256180549</v>
          </cell>
          <cell r="M536">
            <v>16.849659827282721</v>
          </cell>
          <cell r="N536">
            <v>16.0920313983851</v>
          </cell>
          <cell r="O536">
            <v>15.777236942932246</v>
          </cell>
          <cell r="P536">
            <v>15.4624424874797</v>
          </cell>
          <cell r="Q536">
            <v>15.147648032027053</v>
          </cell>
          <cell r="R536">
            <v>14.832853576574406</v>
          </cell>
          <cell r="S536">
            <v>14.51805912112186</v>
          </cell>
          <cell r="T536">
            <v>14.330110831027525</v>
          </cell>
          <cell r="U536">
            <v>14.142162540933242</v>
          </cell>
          <cell r="V536">
            <v>13.954214250838959</v>
          </cell>
          <cell r="W536">
            <v>13.766265960744676</v>
          </cell>
          <cell r="X536">
            <v>13.578317670650291</v>
          </cell>
          <cell r="Y536">
            <v>13.377246932322203</v>
          </cell>
          <cell r="Z536">
            <v>13.176176193994065</v>
          </cell>
          <cell r="AA536">
            <v>12.975105455665977</v>
          </cell>
          <cell r="AB536">
            <v>12.774034717337839</v>
          </cell>
          <cell r="AC536">
            <v>12.572963979009751</v>
          </cell>
          <cell r="AD536">
            <v>12.426258627419339</v>
          </cell>
          <cell r="AE536">
            <v>12.279553275828874</v>
          </cell>
          <cell r="AF536">
            <v>12.132847924238462</v>
          </cell>
          <cell r="AG536">
            <v>11.986142572648049</v>
          </cell>
          <cell r="AH536">
            <v>11.839437221057585</v>
          </cell>
        </row>
        <row r="537">
          <cell r="B537" t="str">
            <v>Carbon dioxide (PS) - Energy cost - Middle East - USD/ton fuel</v>
          </cell>
          <cell r="G537">
            <v>16.659142502923782</v>
          </cell>
          <cell r="H537">
            <v>15.924016305195346</v>
          </cell>
          <cell r="I537">
            <v>15.188890107466705</v>
          </cell>
          <cell r="J537">
            <v>14.702169207234352</v>
          </cell>
          <cell r="K537">
            <v>14.215448307001997</v>
          </cell>
          <cell r="L537">
            <v>13.728727406769645</v>
          </cell>
          <cell r="M537">
            <v>13.242006506537292</v>
          </cell>
          <cell r="N537">
            <v>12.755285606304938</v>
          </cell>
          <cell r="O537">
            <v>12.412091283913481</v>
          </cell>
          <cell r="P537">
            <v>12.068896961522126</v>
          </cell>
          <cell r="Q537">
            <v>11.725702639130668</v>
          </cell>
          <cell r="R537">
            <v>11.382508316739314</v>
          </cell>
          <cell r="S537">
            <v>11.039313994347959</v>
          </cell>
          <cell r="T537">
            <v>10.867239969797794</v>
          </cell>
          <cell r="U537">
            <v>10.695165945247629</v>
          </cell>
          <cell r="V537">
            <v>10.523091920697516</v>
          </cell>
          <cell r="W537">
            <v>10.351017896147352</v>
          </cell>
          <cell r="X537">
            <v>10.178943871597188</v>
          </cell>
          <cell r="Y537">
            <v>9.9532866742515296</v>
          </cell>
          <cell r="Z537">
            <v>9.7276294769059231</v>
          </cell>
          <cell r="AA537">
            <v>9.5019722795602668</v>
          </cell>
          <cell r="AB537">
            <v>9.2763150822146603</v>
          </cell>
          <cell r="AC537">
            <v>9.0506578848689774</v>
          </cell>
          <cell r="AD537">
            <v>8.9450432375976252</v>
          </cell>
          <cell r="AE537">
            <v>8.8394285903262979</v>
          </cell>
          <cell r="AF537">
            <v>8.7338139430549457</v>
          </cell>
          <cell r="AG537">
            <v>8.6281992957835936</v>
          </cell>
          <cell r="AH537">
            <v>8.522584648512268</v>
          </cell>
        </row>
        <row r="538">
          <cell r="B538" t="str">
            <v>e-methanol - Conversion H2 -&gt; MeOH - Global - ton H2/ton MeOH</v>
          </cell>
          <cell r="G538">
            <v>0.18875226265526496</v>
          </cell>
          <cell r="H538">
            <v>0.18875226265526496</v>
          </cell>
          <cell r="I538">
            <v>0.18875226265526496</v>
          </cell>
          <cell r="J538">
            <v>0.18875226265526496</v>
          </cell>
          <cell r="K538">
            <v>0.18875226265526496</v>
          </cell>
          <cell r="L538">
            <v>0.18875226265526496</v>
          </cell>
          <cell r="M538">
            <v>0.18875226265526496</v>
          </cell>
          <cell r="N538">
            <v>0.18875226265526496</v>
          </cell>
          <cell r="O538">
            <v>0.18875226265526496</v>
          </cell>
          <cell r="P538">
            <v>0.18875226265526496</v>
          </cell>
          <cell r="Q538">
            <v>0.18875226265526496</v>
          </cell>
          <cell r="R538">
            <v>0.18875226265526496</v>
          </cell>
          <cell r="S538">
            <v>0.18875226265526496</v>
          </cell>
          <cell r="T538">
            <v>0.18875226265526496</v>
          </cell>
          <cell r="U538">
            <v>0.18875226265526496</v>
          </cell>
          <cell r="V538">
            <v>0.18875226265526496</v>
          </cell>
          <cell r="W538">
            <v>0.18875226265526496</v>
          </cell>
          <cell r="X538">
            <v>0.18875226265526496</v>
          </cell>
          <cell r="Y538">
            <v>0.18875226265526496</v>
          </cell>
          <cell r="Z538">
            <v>0.18875226265526496</v>
          </cell>
          <cell r="AA538">
            <v>0.18875226265526496</v>
          </cell>
          <cell r="AB538">
            <v>0.18875226265526496</v>
          </cell>
          <cell r="AC538">
            <v>0.18875226265526496</v>
          </cell>
          <cell r="AD538">
            <v>0.18875226265526496</v>
          </cell>
          <cell r="AE538">
            <v>0.18875226265526496</v>
          </cell>
          <cell r="AF538">
            <v>0.18875226265526496</v>
          </cell>
          <cell r="AG538">
            <v>0.18875226265526496</v>
          </cell>
          <cell r="AH538">
            <v>0.18875226265526496</v>
          </cell>
        </row>
        <row r="539">
          <cell r="B539" t="str">
            <v>e-methanol - Conversion CO2 -&gt; MeOH - Global - ton CO2/ton MeOH</v>
          </cell>
          <cell r="G539">
            <v>1.3735097684289368</v>
          </cell>
          <cell r="H539">
            <v>1.3735097684289368</v>
          </cell>
          <cell r="I539">
            <v>1.3735097684289368</v>
          </cell>
          <cell r="J539">
            <v>1.3735097684289368</v>
          </cell>
          <cell r="K539">
            <v>1.3735097684289368</v>
          </cell>
          <cell r="L539">
            <v>1.3735097684289368</v>
          </cell>
          <cell r="M539">
            <v>1.3735097684289368</v>
          </cell>
          <cell r="N539">
            <v>1.3735097684289368</v>
          </cell>
          <cell r="O539">
            <v>1.3735097684289368</v>
          </cell>
          <cell r="P539">
            <v>1.3735097684289368</v>
          </cell>
          <cell r="Q539">
            <v>1.3735097684289368</v>
          </cell>
          <cell r="R539">
            <v>1.3735097684289368</v>
          </cell>
          <cell r="S539">
            <v>1.3735097684289368</v>
          </cell>
          <cell r="T539">
            <v>1.3735097684289368</v>
          </cell>
          <cell r="U539">
            <v>1.3735097684289368</v>
          </cell>
          <cell r="V539">
            <v>1.3735097684289368</v>
          </cell>
          <cell r="W539">
            <v>1.3735097684289368</v>
          </cell>
          <cell r="X539">
            <v>1.3735097684289368</v>
          </cell>
          <cell r="Y539">
            <v>1.3735097684289368</v>
          </cell>
          <cell r="Z539">
            <v>1.3735097684289368</v>
          </cell>
          <cell r="AA539">
            <v>1.3735097684289368</v>
          </cell>
          <cell r="AB539">
            <v>1.3735097684289368</v>
          </cell>
          <cell r="AC539">
            <v>1.3735097684289368</v>
          </cell>
          <cell r="AD539">
            <v>1.3735097684289368</v>
          </cell>
          <cell r="AE539">
            <v>1.3735097684289368</v>
          </cell>
          <cell r="AF539">
            <v>1.3735097684289368</v>
          </cell>
          <cell r="AG539">
            <v>1.3735097684289368</v>
          </cell>
          <cell r="AH539">
            <v>1.3735097684289368</v>
          </cell>
        </row>
        <row r="540">
          <cell r="B540" t="str">
            <v/>
          </cell>
        </row>
        <row r="541">
          <cell r="B541" t="str">
            <v>e-methanol (PS) - Feedstock cost including feedstock feedstock cost - Global - USD/ton fuel</v>
          </cell>
          <cell r="G541">
            <v>2.5481555458460767</v>
          </cell>
          <cell r="H541">
            <v>2.5481555458460861</v>
          </cell>
          <cell r="I541">
            <v>2.5481555458460861</v>
          </cell>
          <cell r="J541">
            <v>2.5481555458460861</v>
          </cell>
          <cell r="K541">
            <v>2.5481555458460949</v>
          </cell>
          <cell r="L541">
            <v>2.5481555458460767</v>
          </cell>
          <cell r="M541">
            <v>2.5481555458460949</v>
          </cell>
          <cell r="N541">
            <v>2.5481555458460767</v>
          </cell>
          <cell r="O541">
            <v>2.548155545846059</v>
          </cell>
          <cell r="P541">
            <v>2.5481555458460861</v>
          </cell>
          <cell r="Q541">
            <v>2.5481555458461131</v>
          </cell>
          <cell r="R541">
            <v>2.5481555458460949</v>
          </cell>
          <cell r="S541">
            <v>2.5481555458461131</v>
          </cell>
          <cell r="T541">
            <v>2.548155545846122</v>
          </cell>
          <cell r="U541">
            <v>2.5481555458460998</v>
          </cell>
          <cell r="V541">
            <v>2.5481555458461447</v>
          </cell>
          <cell r="W541">
            <v>2.548155545846122</v>
          </cell>
          <cell r="X541">
            <v>2.548155545846059</v>
          </cell>
          <cell r="Y541">
            <v>2.5481555458460767</v>
          </cell>
          <cell r="Z541">
            <v>2.5481555458460678</v>
          </cell>
          <cell r="AA541">
            <v>2.5481555458460861</v>
          </cell>
          <cell r="AB541">
            <v>2.5481555458460767</v>
          </cell>
          <cell r="AC541">
            <v>2.5481555458460767</v>
          </cell>
          <cell r="AD541">
            <v>2.5481555458460767</v>
          </cell>
          <cell r="AE541">
            <v>2.5481555458460767</v>
          </cell>
          <cell r="AF541">
            <v>2.5481555458460767</v>
          </cell>
          <cell r="AG541">
            <v>2.5481555458460767</v>
          </cell>
          <cell r="AH541">
            <v>2.5481555458460767</v>
          </cell>
        </row>
        <row r="542">
          <cell r="B542" t="str">
            <v>e-hydrogen - Feedstock cost - Global - USD/ton fuel</v>
          </cell>
          <cell r="G542">
            <v>13.5</v>
          </cell>
          <cell r="H542">
            <v>13.500000000000048</v>
          </cell>
          <cell r="I542">
            <v>13.500000000000048</v>
          </cell>
          <cell r="J542">
            <v>13.500000000000048</v>
          </cell>
          <cell r="K542">
            <v>13.500000000000096</v>
          </cell>
          <cell r="L542">
            <v>13.5</v>
          </cell>
          <cell r="M542">
            <v>13.500000000000096</v>
          </cell>
          <cell r="N542">
            <v>13.5</v>
          </cell>
          <cell r="O542">
            <v>13.499999999999904</v>
          </cell>
          <cell r="P542">
            <v>13.500000000000048</v>
          </cell>
          <cell r="Q542">
            <v>13.500000000000192</v>
          </cell>
          <cell r="R542">
            <v>13.500000000000096</v>
          </cell>
          <cell r="S542">
            <v>13.500000000000192</v>
          </cell>
          <cell r="T542">
            <v>13.50000000000024</v>
          </cell>
          <cell r="U542">
            <v>13.500000000000121</v>
          </cell>
          <cell r="V542">
            <v>13.500000000000359</v>
          </cell>
          <cell r="W542">
            <v>13.50000000000024</v>
          </cell>
          <cell r="X542">
            <v>13.499999999999904</v>
          </cell>
          <cell r="Y542">
            <v>13.5</v>
          </cell>
          <cell r="Z542">
            <v>13.499999999999952</v>
          </cell>
          <cell r="AA542">
            <v>13.500000000000048</v>
          </cell>
          <cell r="AB542">
            <v>13.5</v>
          </cell>
          <cell r="AC542">
            <v>13.5</v>
          </cell>
          <cell r="AD542">
            <v>13.5</v>
          </cell>
          <cell r="AE542">
            <v>13.5</v>
          </cell>
          <cell r="AF542">
            <v>13.5</v>
          </cell>
          <cell r="AG542">
            <v>13.5</v>
          </cell>
          <cell r="AH542">
            <v>13.5</v>
          </cell>
        </row>
        <row r="543">
          <cell r="B543" t="str">
            <v>e-methanol - Conversion H2 -&gt; MeOH - Global - ton H2/ton MeOH</v>
          </cell>
          <cell r="G543">
            <v>0.18875226265526496</v>
          </cell>
          <cell r="H543">
            <v>0.18875226265526496</v>
          </cell>
          <cell r="I543">
            <v>0.18875226265526496</v>
          </cell>
          <cell r="J543">
            <v>0.18875226265526496</v>
          </cell>
          <cell r="K543">
            <v>0.18875226265526496</v>
          </cell>
          <cell r="L543">
            <v>0.18875226265526496</v>
          </cell>
          <cell r="M543">
            <v>0.18875226265526496</v>
          </cell>
          <cell r="N543">
            <v>0.18875226265526496</v>
          </cell>
          <cell r="O543">
            <v>0.18875226265526496</v>
          </cell>
          <cell r="P543">
            <v>0.18875226265526496</v>
          </cell>
          <cell r="Q543">
            <v>0.18875226265526496</v>
          </cell>
          <cell r="R543">
            <v>0.18875226265526496</v>
          </cell>
          <cell r="S543">
            <v>0.18875226265526496</v>
          </cell>
          <cell r="T543">
            <v>0.18875226265526496</v>
          </cell>
          <cell r="U543">
            <v>0.18875226265526496</v>
          </cell>
          <cell r="V543">
            <v>0.18875226265526496</v>
          </cell>
          <cell r="W543">
            <v>0.18875226265526496</v>
          </cell>
          <cell r="X543">
            <v>0.18875226265526496</v>
          </cell>
          <cell r="Y543">
            <v>0.18875226265526496</v>
          </cell>
          <cell r="Z543">
            <v>0.18875226265526496</v>
          </cell>
          <cell r="AA543">
            <v>0.18875226265526496</v>
          </cell>
          <cell r="AB543">
            <v>0.18875226265526496</v>
          </cell>
          <cell r="AC543">
            <v>0.18875226265526496</v>
          </cell>
          <cell r="AD543">
            <v>0.18875226265526496</v>
          </cell>
          <cell r="AE543">
            <v>0.18875226265526496</v>
          </cell>
          <cell r="AF543">
            <v>0.18875226265526496</v>
          </cell>
          <cell r="AG543">
            <v>0.18875226265526496</v>
          </cell>
          <cell r="AH543">
            <v>0.18875226265526496</v>
          </cell>
        </row>
        <row r="545">
          <cell r="B545" t="str">
            <v>e-methane (DAC) - Item - Region - Unit</v>
          </cell>
          <cell r="G545">
            <v>2023</v>
          </cell>
          <cell r="H545">
            <v>2024</v>
          </cell>
          <cell r="I545">
            <v>2025</v>
          </cell>
          <cell r="J545">
            <v>2026</v>
          </cell>
          <cell r="K545">
            <v>2027</v>
          </cell>
          <cell r="L545">
            <v>2028</v>
          </cell>
          <cell r="M545">
            <v>2029</v>
          </cell>
          <cell r="N545">
            <v>2030</v>
          </cell>
          <cell r="O545">
            <v>2031</v>
          </cell>
          <cell r="P545">
            <v>2032</v>
          </cell>
          <cell r="Q545">
            <v>2033</v>
          </cell>
          <cell r="R545">
            <v>2034</v>
          </cell>
          <cell r="S545">
            <v>2035</v>
          </cell>
          <cell r="T545">
            <v>2036</v>
          </cell>
          <cell r="U545">
            <v>2037</v>
          </cell>
          <cell r="V545">
            <v>2038</v>
          </cell>
          <cell r="W545">
            <v>2039</v>
          </cell>
          <cell r="X545">
            <v>2040</v>
          </cell>
          <cell r="Y545">
            <v>2041</v>
          </cell>
          <cell r="Z545">
            <v>2042</v>
          </cell>
          <cell r="AA545">
            <v>2043</v>
          </cell>
          <cell r="AB545">
            <v>2044</v>
          </cell>
          <cell r="AC545">
            <v>2045</v>
          </cell>
          <cell r="AD545">
            <v>2046</v>
          </cell>
          <cell r="AE545">
            <v>2047</v>
          </cell>
          <cell r="AF545">
            <v>2048</v>
          </cell>
          <cell r="AG545">
            <v>2049</v>
          </cell>
          <cell r="AH545">
            <v>2050</v>
          </cell>
        </row>
        <row r="546">
          <cell r="B546" t="str">
            <v>e-methane (DAC) - Total cost - Africa - USD/ton fuel</v>
          </cell>
          <cell r="G546">
            <v>3415.1952859905314</v>
          </cell>
          <cell r="H546">
            <v>3109.068719536202</v>
          </cell>
          <cell r="I546">
            <v>2803.2435716557229</v>
          </cell>
          <cell r="J546">
            <v>2692.6909180262305</v>
          </cell>
          <cell r="K546">
            <v>2580.0761077935813</v>
          </cell>
          <cell r="L546">
            <v>2465.4505343787123</v>
          </cell>
          <cell r="M546">
            <v>2348.865591202597</v>
          </cell>
          <cell r="N546">
            <v>2230.3726716861461</v>
          </cell>
          <cell r="O546">
            <v>2177.4357423224128</v>
          </cell>
          <cell r="P546">
            <v>2121.0109480029737</v>
          </cell>
          <cell r="Q546">
            <v>2061.1259705460475</v>
          </cell>
          <cell r="R546">
            <v>1997.8084917698925</v>
          </cell>
          <cell r="S546">
            <v>1931.0861934927914</v>
          </cell>
          <cell r="T546">
            <v>1883.2587394895131</v>
          </cell>
          <cell r="U546">
            <v>1832.9915922757589</v>
          </cell>
          <cell r="V546">
            <v>1780.2937845340464</v>
          </cell>
          <cell r="W546">
            <v>1725.1743489467813</v>
          </cell>
          <cell r="X546">
            <v>1667.6423181964578</v>
          </cell>
          <cell r="Y546">
            <v>1607.8097951274349</v>
          </cell>
          <cell r="Z546">
            <v>1546.9123640187918</v>
          </cell>
          <cell r="AA546">
            <v>1484.9447428013257</v>
          </cell>
          <cell r="AB546">
            <v>1421.9016494057817</v>
          </cell>
          <cell r="AC546">
            <v>1357.7778017629328</v>
          </cell>
          <cell r="AD546">
            <v>1306.3993610234443</v>
          </cell>
          <cell r="AE546">
            <v>1254.5007733264945</v>
          </cell>
          <cell r="AF546">
            <v>1202.0787101959293</v>
          </cell>
          <cell r="AG546">
            <v>1149.1298431556113</v>
          </cell>
          <cell r="AH546">
            <v>1095.6508437294058</v>
          </cell>
        </row>
        <row r="547">
          <cell r="B547" t="str">
            <v>e-methane (DAC) - Total cost - Americas - USD/ton fuel</v>
          </cell>
          <cell r="G547">
            <v>2647.3267199726579</v>
          </cell>
          <cell r="H547">
            <v>2559.066305338682</v>
          </cell>
          <cell r="I547">
            <v>2469.4748005941774</v>
          </cell>
          <cell r="J547">
            <v>2382.3011140952644</v>
          </cell>
          <cell r="K547">
            <v>2292.9461265739192</v>
          </cell>
          <cell r="L547">
            <v>2201.4443697056727</v>
          </cell>
          <cell r="M547">
            <v>2107.8303751661192</v>
          </cell>
          <cell r="N547">
            <v>2012.1386746307055</v>
          </cell>
          <cell r="O547">
            <v>1976.1533182121411</v>
          </cell>
          <cell r="P547">
            <v>1936.4879043685914</v>
          </cell>
          <cell r="Q547">
            <v>1893.1584678132851</v>
          </cell>
          <cell r="R547">
            <v>1846.1810432594398</v>
          </cell>
          <cell r="S547">
            <v>1795.5716654203318</v>
          </cell>
          <cell r="T547">
            <v>1749.039733340006</v>
          </cell>
          <cell r="U547">
            <v>1700.0921168540044</v>
          </cell>
          <cell r="V547">
            <v>1648.7378269847768</v>
          </cell>
          <cell r="W547">
            <v>1594.9858747546673</v>
          </cell>
          <cell r="X547">
            <v>1538.8452711860887</v>
          </cell>
          <cell r="Y547">
            <v>1490.3361891551624</v>
          </cell>
          <cell r="Z547">
            <v>1440.5029556682352</v>
          </cell>
          <cell r="AA547">
            <v>1389.3435062166213</v>
          </cell>
          <cell r="AB547">
            <v>1336.855776291563</v>
          </cell>
          <cell r="AC547">
            <v>1283.0377013843558</v>
          </cell>
          <cell r="AD547">
            <v>1235.4210555438378</v>
          </cell>
          <cell r="AE547">
            <v>1187.2081848623043</v>
          </cell>
          <cell r="AF547">
            <v>1138.3970897157976</v>
          </cell>
          <cell r="AG547">
            <v>1088.9857704803683</v>
          </cell>
          <cell r="AH547">
            <v>1038.9722275320669</v>
          </cell>
        </row>
        <row r="548">
          <cell r="B548" t="str">
            <v>e-methane (DAC) - Total cost - Asia - USD/ton fuel</v>
          </cell>
          <cell r="G548">
            <v>3647.0068049110764</v>
          </cell>
          <cell r="H548">
            <v>3380.4992699431486</v>
          </cell>
          <cell r="I548">
            <v>3113.9286882452116</v>
          </cell>
          <cell r="J548">
            <v>2997.2749395930005</v>
          </cell>
          <cell r="K548">
            <v>2878.5238873250423</v>
          </cell>
          <cell r="L548">
            <v>2757.7305704730761</v>
          </cell>
          <cell r="M548">
            <v>2634.9500280690008</v>
          </cell>
          <cell r="N548">
            <v>2510.2372991445932</v>
          </cell>
          <cell r="O548">
            <v>2444.0998291552773</v>
          </cell>
          <cell r="P548">
            <v>2374.5825044716153</v>
          </cell>
          <cell r="Q548">
            <v>2301.7214226143578</v>
          </cell>
          <cell r="R548">
            <v>2225.5526811042187</v>
          </cell>
          <cell r="S548">
            <v>2146.1123774620314</v>
          </cell>
          <cell r="T548">
            <v>2089.619857680218</v>
          </cell>
          <cell r="U548">
            <v>2030.7756859958274</v>
          </cell>
          <cell r="V548">
            <v>1969.5925856192512</v>
          </cell>
          <cell r="W548">
            <v>1906.0832797607247</v>
          </cell>
          <cell r="X548">
            <v>1840.2604916306129</v>
          </cell>
          <cell r="Y548">
            <v>1771.3450333550256</v>
          </cell>
          <cell r="Z548">
            <v>1701.5581385094599</v>
          </cell>
          <cell r="AA548">
            <v>1630.8922333557709</v>
          </cell>
          <cell r="AB548">
            <v>1559.3397441557636</v>
          </cell>
          <cell r="AC548">
            <v>1486.8930971712728</v>
          </cell>
          <cell r="AD548">
            <v>1431.5871294418225</v>
          </cell>
          <cell r="AE548">
            <v>1375.8355299415937</v>
          </cell>
          <cell r="AF548">
            <v>1319.633839594401</v>
          </cell>
          <cell r="AG548">
            <v>1262.9775993240573</v>
          </cell>
          <cell r="AH548">
            <v>1205.8623500543767</v>
          </cell>
        </row>
        <row r="549">
          <cell r="B549" t="str">
            <v>e-methane (DAC) - Total cost - Europe - USD/ton fuel</v>
          </cell>
          <cell r="G549">
            <v>3059.8141110126994</v>
          </cell>
          <cell r="H549">
            <v>2923.2847759356277</v>
          </cell>
          <cell r="I549">
            <v>2785.7419348156741</v>
          </cell>
          <cell r="J549">
            <v>2683.2247425409578</v>
          </cell>
          <cell r="K549">
            <v>2578.5756415169767</v>
          </cell>
          <cell r="L549">
            <v>2471.8399015445775</v>
          </cell>
          <cell r="M549">
            <v>2363.0627924245969</v>
          </cell>
          <cell r="N549">
            <v>2252.2895839578246</v>
          </cell>
          <cell r="O549">
            <v>2211.6631281515502</v>
          </cell>
          <cell r="P549">
            <v>2167.3408724397914</v>
          </cell>
          <cell r="Q549">
            <v>2119.3409667817787</v>
          </cell>
          <cell r="R549">
            <v>2067.6815611367747</v>
          </cell>
          <cell r="S549">
            <v>2012.3808054641099</v>
          </cell>
          <cell r="T549">
            <v>1966.5479066006703</v>
          </cell>
          <cell r="U549">
            <v>1918.2080147144882</v>
          </cell>
          <cell r="V549">
            <v>1867.3686422289588</v>
          </cell>
          <cell r="W549">
            <v>1814.0373015673504</v>
          </cell>
          <cell r="X549">
            <v>1758.2215051530156</v>
          </cell>
          <cell r="Y549">
            <v>1699.3945314969951</v>
          </cell>
          <cell r="Z549">
            <v>1639.4583185496135</v>
          </cell>
          <cell r="AA549">
            <v>1578.4082957422111</v>
          </cell>
          <cell r="AB549">
            <v>1516.2398925060393</v>
          </cell>
          <cell r="AC549">
            <v>1452.9485382724197</v>
          </cell>
          <cell r="AD549">
            <v>1398.4113849427249</v>
          </cell>
          <cell r="AE549">
            <v>1343.4148476017253</v>
          </cell>
          <cell r="AF549">
            <v>1287.9546449023771</v>
          </cell>
          <cell r="AG549">
            <v>1232.0264954976353</v>
          </cell>
          <cell r="AH549">
            <v>1175.6261180404549</v>
          </cell>
        </row>
        <row r="550">
          <cell r="B550" t="str">
            <v>e-methane (DAC) - Total cost - Middle East - USD/ton fuel</v>
          </cell>
          <cell r="G550">
            <v>2659.1133920604984</v>
          </cell>
          <cell r="H550">
            <v>2540.008775380245</v>
          </cell>
          <cell r="I550">
            <v>2419.8218268539326</v>
          </cell>
          <cell r="J550">
            <v>2339.9480476232402</v>
          </cell>
          <cell r="K550">
            <v>2257.8396001399369</v>
          </cell>
          <cell r="L550">
            <v>2173.525566942857</v>
          </cell>
          <cell r="M550">
            <v>2087.035030570883</v>
          </cell>
          <cell r="N550">
            <v>1998.3970735627965</v>
          </cell>
          <cell r="O550">
            <v>1957.6049368350821</v>
          </cell>
          <cell r="P550">
            <v>1913.2158979103781</v>
          </cell>
          <cell r="Q550">
            <v>1865.2497441860148</v>
          </cell>
          <cell r="R550">
            <v>1813.7262630593445</v>
          </cell>
          <cell r="S550">
            <v>1758.6652419277568</v>
          </cell>
          <cell r="T550">
            <v>1716.3315855404496</v>
          </cell>
          <cell r="U550">
            <v>1671.5153950602278</v>
          </cell>
          <cell r="V550">
            <v>1624.2235484050973</v>
          </cell>
          <cell r="W550">
            <v>1574.4629234929389</v>
          </cell>
          <cell r="X550">
            <v>1522.2403982417238</v>
          </cell>
          <cell r="Y550">
            <v>1464.6980314430295</v>
          </cell>
          <cell r="Z550">
            <v>1406.0632559124863</v>
          </cell>
          <cell r="AA550">
            <v>1346.3309422029777</v>
          </cell>
          <cell r="AB550">
            <v>1285.4959608673355</v>
          </cell>
          <cell r="AC550">
            <v>1223.5531824584245</v>
          </cell>
          <cell r="AD550">
            <v>1174.2073935271317</v>
          </cell>
          <cell r="AE550">
            <v>1124.3093775655461</v>
          </cell>
          <cell r="AF550">
            <v>1073.8560523891788</v>
          </cell>
          <cell r="AG550">
            <v>1022.8443358135524</v>
          </cell>
          <cell r="AH550">
            <v>971.27114565419049</v>
          </cell>
        </row>
        <row r="551">
          <cell r="B551" t="str">
            <v/>
          </cell>
        </row>
        <row r="552">
          <cell r="B552" t="str">
            <v>e-methane (DAC) - CAPEX including feedstock CAPEX - Global - USD/ton fuel</v>
          </cell>
          <cell r="G552">
            <v>263.62021484523575</v>
          </cell>
          <cell r="H552">
            <v>253.44899817215298</v>
          </cell>
          <cell r="I552">
            <v>243.15297823102202</v>
          </cell>
          <cell r="J552">
            <v>236.62628599767515</v>
          </cell>
          <cell r="K552">
            <v>229.8677371413068</v>
          </cell>
          <cell r="L552">
            <v>222.87733166191998</v>
          </cell>
          <cell r="M552">
            <v>215.65506955951628</v>
          </cell>
          <cell r="N552">
            <v>208.20095083409089</v>
          </cell>
          <cell r="O552">
            <v>207.81086031929487</v>
          </cell>
          <cell r="P552">
            <v>206.88005633887389</v>
          </cell>
          <cell r="Q552">
            <v>205.4085388928259</v>
          </cell>
          <cell r="R552">
            <v>203.39630798114985</v>
          </cell>
          <cell r="S552">
            <v>200.8433636038487</v>
          </cell>
          <cell r="T552">
            <v>197.6812945038622</v>
          </cell>
          <cell r="U552">
            <v>194.07294880997691</v>
          </cell>
          <cell r="V552">
            <v>190.01832652219795</v>
          </cell>
          <cell r="W552">
            <v>185.51742764051963</v>
          </cell>
          <cell r="X552">
            <v>180.57025216494054</v>
          </cell>
          <cell r="Y552">
            <v>174.64726109160506</v>
          </cell>
          <cell r="Z552">
            <v>168.38752943190588</v>
          </cell>
          <cell r="AA552">
            <v>161.79105718584705</v>
          </cell>
          <cell r="AB552">
            <v>154.85784435342617</v>
          </cell>
          <cell r="AC552">
            <v>147.58789093464276</v>
          </cell>
          <cell r="AD552">
            <v>140.09857354350422</v>
          </cell>
          <cell r="AE552">
            <v>132.39862651550584</v>
          </cell>
          <cell r="AF552">
            <v>124.48804985064699</v>
          </cell>
          <cell r="AG552">
            <v>116.36684354892796</v>
          </cell>
          <cell r="AH552">
            <v>108.03500761034918</v>
          </cell>
        </row>
        <row r="553">
          <cell r="B553" t="str">
            <v>e-methane (DAC) - CAPEX - Global - USD/ton fuel</v>
          </cell>
          <cell r="G553">
            <v>51.4</v>
          </cell>
          <cell r="H553">
            <v>48.533333333333331</v>
          </cell>
          <cell r="I553">
            <v>45.666666666666664</v>
          </cell>
          <cell r="J553">
            <v>43.866666666666667</v>
          </cell>
          <cell r="K553">
            <v>42.06666666666667</v>
          </cell>
          <cell r="L553">
            <v>40.266666666666666</v>
          </cell>
          <cell r="M553">
            <v>38.466666666666669</v>
          </cell>
          <cell r="N553">
            <v>36.666666666666664</v>
          </cell>
          <cell r="O553">
            <v>36</v>
          </cell>
          <cell r="P553">
            <v>35.333333333333336</v>
          </cell>
          <cell r="Q553">
            <v>34.666666666666664</v>
          </cell>
          <cell r="R553">
            <v>34</v>
          </cell>
          <cell r="S553">
            <v>33.333333333333336</v>
          </cell>
          <cell r="T553">
            <v>32.666666666666664</v>
          </cell>
          <cell r="U553">
            <v>32</v>
          </cell>
          <cell r="V553">
            <v>31.333333333333332</v>
          </cell>
          <cell r="W553">
            <v>30.666666666666668</v>
          </cell>
          <cell r="X553">
            <v>30</v>
          </cell>
          <cell r="Y553">
            <v>28.866666666666667</v>
          </cell>
          <cell r="Z553">
            <v>27.733333333333334</v>
          </cell>
          <cell r="AA553">
            <v>26.6</v>
          </cell>
          <cell r="AB553">
            <v>25.466666666666665</v>
          </cell>
          <cell r="AC553">
            <v>24.333333333333332</v>
          </cell>
          <cell r="AD553">
            <v>23.2</v>
          </cell>
          <cell r="AE553">
            <v>22.066666666666666</v>
          </cell>
          <cell r="AF553">
            <v>20.933333333333334</v>
          </cell>
          <cell r="AG553">
            <v>19.8</v>
          </cell>
          <cell r="AH553">
            <v>18.666666666666668</v>
          </cell>
        </row>
        <row r="554">
          <cell r="B554" t="str">
            <v>e-hydrogen (compressed) - CAPEX including feedstock CAPEX - Global - USD/ton fuel</v>
          </cell>
          <cell r="G554">
            <v>256.64635353013858</v>
          </cell>
          <cell r="H554">
            <v>247.21700590830653</v>
          </cell>
          <cell r="I554">
            <v>237.53805175037812</v>
          </cell>
          <cell r="J554">
            <v>232.53269690653616</v>
          </cell>
          <cell r="K554">
            <v>227.06362881665248</v>
          </cell>
          <cell r="L554">
            <v>221.13084748073197</v>
          </cell>
          <cell r="M554">
            <v>214.73435289877628</v>
          </cell>
          <cell r="N554">
            <v>207.87414507077864</v>
          </cell>
          <cell r="O554">
            <v>212.24697175898439</v>
          </cell>
          <cell r="P554">
            <v>215.53837151594018</v>
          </cell>
          <cell r="Q554">
            <v>217.74834434164336</v>
          </cell>
          <cell r="R554">
            <v>218.87689023608903</v>
          </cell>
          <cell r="S554">
            <v>218.92400919928582</v>
          </cell>
          <cell r="T554">
            <v>217.21328869368136</v>
          </cell>
          <cell r="U554">
            <v>214.61001500027928</v>
          </cell>
          <cell r="V554">
            <v>211.1141881190886</v>
          </cell>
          <cell r="W554">
            <v>206.72580805010043</v>
          </cell>
          <cell r="X554">
            <v>201.44487479331141</v>
          </cell>
          <cell r="Y554">
            <v>194.68227936129369</v>
          </cell>
          <cell r="Z554">
            <v>187.24620275654928</v>
          </cell>
          <cell r="AA554">
            <v>179.13664497908553</v>
          </cell>
          <cell r="AB554">
            <v>170.35360602889762</v>
          </cell>
          <cell r="AC554">
            <v>160.89708590598403</v>
          </cell>
          <cell r="AD554">
            <v>150.64085698303418</v>
          </cell>
          <cell r="AE554">
            <v>139.96336878636401</v>
          </cell>
          <cell r="AF554">
            <v>128.86462131597352</v>
          </cell>
          <cell r="AG554">
            <v>117.34461457186269</v>
          </cell>
          <cell r="AH554">
            <v>105.40334855403168</v>
          </cell>
        </row>
        <row r="555">
          <cell r="B555" t="str">
            <v>Carbon dioxide (DAC) - CAPEX - Global - USD/ton fuel</v>
          </cell>
          <cell r="G555">
            <v>30.508013847333252</v>
          </cell>
          <cell r="H555">
            <v>29.566240685333227</v>
          </cell>
          <cell r="I555">
            <v>28.624467523333198</v>
          </cell>
          <cell r="J555">
            <v>27.81573486463288</v>
          </cell>
          <cell r="K555">
            <v>27.00700220593232</v>
          </cell>
          <cell r="L555">
            <v>26.198269547231757</v>
          </cell>
          <cell r="M555">
            <v>25.389536888531438</v>
          </cell>
          <cell r="N555">
            <v>24.580804229830878</v>
          </cell>
          <cell r="O555">
            <v>23.886317978110068</v>
          </cell>
          <cell r="P555">
            <v>23.191831726389257</v>
          </cell>
          <cell r="Q555">
            <v>22.497345474668204</v>
          </cell>
          <cell r="R555">
            <v>21.802859222947397</v>
          </cell>
          <cell r="S555">
            <v>21.108372971226345</v>
          </cell>
          <cell r="T555">
            <v>20.511993996492674</v>
          </cell>
          <cell r="U555">
            <v>19.915615021759002</v>
          </cell>
          <cell r="V555">
            <v>19.319236047025576</v>
          </cell>
          <cell r="W555">
            <v>18.722857072291905</v>
          </cell>
          <cell r="X555">
            <v>18.126478097558113</v>
          </cell>
          <cell r="Y555">
            <v>17.614347179742374</v>
          </cell>
          <cell r="Z555">
            <v>17.102216261926515</v>
          </cell>
          <cell r="AA555">
            <v>16.590085344110655</v>
          </cell>
          <cell r="AB555">
            <v>16.077954426294795</v>
          </cell>
          <cell r="AC555">
            <v>15.565823508479054</v>
          </cell>
          <cell r="AD555">
            <v>15.119325473449862</v>
          </cell>
          <cell r="AE555">
            <v>14.672827438420791</v>
          </cell>
          <cell r="AF555">
            <v>14.226329403391597</v>
          </cell>
          <cell r="AG555">
            <v>13.779831368362405</v>
          </cell>
          <cell r="AH555">
            <v>13.333333333333334</v>
          </cell>
        </row>
        <row r="556">
          <cell r="B556" t="str">
            <v>e-methane - Conversion H2 -&gt; CH4 - Global - ton H2/ton CH4</v>
          </cell>
          <cell r="G556">
            <v>0.5</v>
          </cell>
          <cell r="H556">
            <v>0.5</v>
          </cell>
          <cell r="I556">
            <v>0.5</v>
          </cell>
          <cell r="J556">
            <v>0.5</v>
          </cell>
          <cell r="K556">
            <v>0.5</v>
          </cell>
          <cell r="L556">
            <v>0.5</v>
          </cell>
          <cell r="M556">
            <v>0.5</v>
          </cell>
          <cell r="N556">
            <v>0.5</v>
          </cell>
          <cell r="O556">
            <v>0.5</v>
          </cell>
          <cell r="P556">
            <v>0.5</v>
          </cell>
          <cell r="Q556">
            <v>0.5</v>
          </cell>
          <cell r="R556">
            <v>0.5</v>
          </cell>
          <cell r="S556">
            <v>0.5</v>
          </cell>
          <cell r="T556">
            <v>0.5</v>
          </cell>
          <cell r="U556">
            <v>0.5</v>
          </cell>
          <cell r="V556">
            <v>0.5</v>
          </cell>
          <cell r="W556">
            <v>0.5</v>
          </cell>
          <cell r="X556">
            <v>0.5</v>
          </cell>
          <cell r="Y556">
            <v>0.5</v>
          </cell>
          <cell r="Z556">
            <v>0.5</v>
          </cell>
          <cell r="AA556">
            <v>0.5</v>
          </cell>
          <cell r="AB556">
            <v>0.5</v>
          </cell>
          <cell r="AC556">
            <v>0.5</v>
          </cell>
          <cell r="AD556">
            <v>0.5</v>
          </cell>
          <cell r="AE556">
            <v>0.5</v>
          </cell>
          <cell r="AF556">
            <v>0.5</v>
          </cell>
          <cell r="AG556">
            <v>0.5</v>
          </cell>
          <cell r="AH556">
            <v>0.5</v>
          </cell>
        </row>
        <row r="557">
          <cell r="B557" t="str">
            <v>e-methane - Conversion CO2 -&gt; CH4 - Global - ton CO2/ton CH4</v>
          </cell>
          <cell r="G557">
            <v>2.75</v>
          </cell>
          <cell r="H557">
            <v>2.75</v>
          </cell>
          <cell r="I557">
            <v>2.75</v>
          </cell>
          <cell r="J557">
            <v>2.75</v>
          </cell>
          <cell r="K557">
            <v>2.75</v>
          </cell>
          <cell r="L557">
            <v>2.75</v>
          </cell>
          <cell r="M557">
            <v>2.75</v>
          </cell>
          <cell r="N557">
            <v>2.75</v>
          </cell>
          <cell r="O557">
            <v>2.75</v>
          </cell>
          <cell r="P557">
            <v>2.75</v>
          </cell>
          <cell r="Q557">
            <v>2.75</v>
          </cell>
          <cell r="R557">
            <v>2.75</v>
          </cell>
          <cell r="S557">
            <v>2.75</v>
          </cell>
          <cell r="T557">
            <v>2.75</v>
          </cell>
          <cell r="U557">
            <v>2.75</v>
          </cell>
          <cell r="V557">
            <v>2.75</v>
          </cell>
          <cell r="W557">
            <v>2.75</v>
          </cell>
          <cell r="X557">
            <v>2.75</v>
          </cell>
          <cell r="Y557">
            <v>2.75</v>
          </cell>
          <cell r="Z557">
            <v>2.75</v>
          </cell>
          <cell r="AA557">
            <v>2.75</v>
          </cell>
          <cell r="AB557">
            <v>2.75</v>
          </cell>
          <cell r="AC557">
            <v>2.75</v>
          </cell>
          <cell r="AD557">
            <v>2.75</v>
          </cell>
          <cell r="AE557">
            <v>2.75</v>
          </cell>
          <cell r="AF557">
            <v>2.75</v>
          </cell>
          <cell r="AG557">
            <v>2.75</v>
          </cell>
          <cell r="AH557">
            <v>2.75</v>
          </cell>
        </row>
        <row r="558">
          <cell r="B558" t="str">
            <v/>
          </cell>
        </row>
        <row r="559">
          <cell r="B559" t="str">
            <v>e-methane (DAC) - OPEX including feedstock OPEX - Global - USD/ton fuel</v>
          </cell>
          <cell r="G559">
            <v>643.94021017252567</v>
          </cell>
          <cell r="H559">
            <v>614.4731858655864</v>
          </cell>
          <cell r="I559">
            <v>583.98300615931566</v>
          </cell>
          <cell r="J559">
            <v>564.40018464072546</v>
          </cell>
          <cell r="K559">
            <v>543.1471427849159</v>
          </cell>
          <cell r="L559">
            <v>520.22388059188552</v>
          </cell>
          <cell r="M559">
            <v>495.63039806165585</v>
          </cell>
          <cell r="N559">
            <v>469.36669519420445</v>
          </cell>
          <cell r="O559">
            <v>463.0812777501564</v>
          </cell>
          <cell r="P559">
            <v>454.45682577898077</v>
          </cell>
          <cell r="Q559">
            <v>443.49333928068108</v>
          </cell>
          <cell r="R559">
            <v>430.19081825524682</v>
          </cell>
          <cell r="S559">
            <v>414.54926270268413</v>
          </cell>
          <cell r="T559">
            <v>400.49305970882392</v>
          </cell>
          <cell r="U559">
            <v>385.04675132051034</v>
          </cell>
          <cell r="V559">
            <v>368.21033753775606</v>
          </cell>
          <cell r="W559">
            <v>349.98381836054017</v>
          </cell>
          <cell r="X559">
            <v>330.3671937888729</v>
          </cell>
          <cell r="Y559">
            <v>312.88142843287403</v>
          </cell>
          <cell r="Z559">
            <v>294.72761523564384</v>
          </cell>
          <cell r="AA559">
            <v>275.90575419719443</v>
          </cell>
          <cell r="AB559">
            <v>256.41584531751374</v>
          </cell>
          <cell r="AC559">
            <v>236.25788859661193</v>
          </cell>
          <cell r="AD559">
            <v>220.10013455862031</v>
          </cell>
          <cell r="AE559">
            <v>203.70971525530618</v>
          </cell>
          <cell r="AF559">
            <v>187.08663068666874</v>
          </cell>
          <cell r="AG559">
            <v>170.2308808527084</v>
          </cell>
          <cell r="AH559">
            <v>153.14246575342568</v>
          </cell>
        </row>
        <row r="560">
          <cell r="B560" t="str">
            <v>e-methane (DAC) - OPEX - Global - USD/ton fuel</v>
          </cell>
          <cell r="G560">
            <v>123.36</v>
          </cell>
          <cell r="H560">
            <v>116.48</v>
          </cell>
          <cell r="I560">
            <v>109.60000000000001</v>
          </cell>
          <cell r="J560">
            <v>105.28</v>
          </cell>
          <cell r="K560">
            <v>100.96000000000001</v>
          </cell>
          <cell r="L560">
            <v>96.64</v>
          </cell>
          <cell r="M560">
            <v>92.320000000000007</v>
          </cell>
          <cell r="N560">
            <v>88</v>
          </cell>
          <cell r="O560">
            <v>86.4</v>
          </cell>
          <cell r="P560">
            <v>84.8</v>
          </cell>
          <cell r="Q560">
            <v>83.2</v>
          </cell>
          <cell r="R560">
            <v>81.600000000000009</v>
          </cell>
          <cell r="S560">
            <v>80</v>
          </cell>
          <cell r="T560">
            <v>78.400000000000006</v>
          </cell>
          <cell r="U560">
            <v>76.8</v>
          </cell>
          <cell r="V560">
            <v>75.2</v>
          </cell>
          <cell r="W560">
            <v>73.600000000000009</v>
          </cell>
          <cell r="X560">
            <v>72</v>
          </cell>
          <cell r="Y560">
            <v>69.28</v>
          </cell>
          <cell r="Z560">
            <v>66.56</v>
          </cell>
          <cell r="AA560">
            <v>63.84</v>
          </cell>
          <cell r="AB560">
            <v>61.120000000000005</v>
          </cell>
          <cell r="AC560">
            <v>58.4</v>
          </cell>
          <cell r="AD560">
            <v>55.68</v>
          </cell>
          <cell r="AE560">
            <v>52.96</v>
          </cell>
          <cell r="AF560">
            <v>50.24</v>
          </cell>
          <cell r="AG560">
            <v>47.52</v>
          </cell>
          <cell r="AH560">
            <v>44.800000000000004</v>
          </cell>
        </row>
        <row r="561">
          <cell r="B561" t="str">
            <v>e-hydrogen (compressed) - OPEX including feedstock OPEX - Global - USD/ton fuel</v>
          </cell>
          <cell r="G561">
            <v>778.63990898977545</v>
          </cell>
          <cell r="H561">
            <v>746.81733762687418</v>
          </cell>
          <cell r="I561">
            <v>712.61415525113227</v>
          </cell>
          <cell r="J561">
            <v>693.21795180920219</v>
          </cell>
          <cell r="K561">
            <v>670.22211331548374</v>
          </cell>
          <cell r="L561">
            <v>643.6266397699726</v>
          </cell>
          <cell r="M561">
            <v>613.43153117270822</v>
          </cell>
          <cell r="N561">
            <v>579.63678752365013</v>
          </cell>
          <cell r="O561">
            <v>578.89498738880036</v>
          </cell>
          <cell r="P561">
            <v>573.27415594361116</v>
          </cell>
          <cell r="Q561">
            <v>562.77429318809038</v>
          </cell>
          <cell r="R561">
            <v>547.39539912221437</v>
          </cell>
          <cell r="S561">
            <v>527.13747374599984</v>
          </cell>
          <cell r="T561">
            <v>508.91545321169565</v>
          </cell>
          <cell r="U561">
            <v>487.75740898550708</v>
          </cell>
          <cell r="V561">
            <v>463.66334106745865</v>
          </cell>
          <cell r="W561">
            <v>436.63324945751151</v>
          </cell>
          <cell r="X561">
            <v>406.66713415568563</v>
          </cell>
          <cell r="Y561">
            <v>382.32288786138321</v>
          </cell>
          <cell r="Z561">
            <v>356.52173881762411</v>
          </cell>
          <cell r="AA561">
            <v>329.2636870244329</v>
          </cell>
          <cell r="AB561">
            <v>300.54873248178433</v>
          </cell>
          <cell r="AC561">
            <v>270.37687518969852</v>
          </cell>
          <cell r="AD561">
            <v>247.55933903156756</v>
          </cell>
          <cell r="AE561">
            <v>224.18137658421693</v>
          </cell>
          <cell r="AF561">
            <v>200.24298784764761</v>
          </cell>
          <cell r="AG561">
            <v>175.74417282185905</v>
          </cell>
          <cell r="AH561">
            <v>150.68493150685131</v>
          </cell>
        </row>
        <row r="562">
          <cell r="B562" t="str">
            <v>Carbon dioxide (DAC) - OPEX - Global - USD/ton fuel</v>
          </cell>
          <cell r="G562">
            <v>47.7310020645956</v>
          </cell>
          <cell r="H562">
            <v>45.303460746236098</v>
          </cell>
          <cell r="I562">
            <v>42.936701284999835</v>
          </cell>
          <cell r="J562">
            <v>40.913166813136101</v>
          </cell>
          <cell r="K562">
            <v>38.936758591699629</v>
          </cell>
          <cell r="L562">
            <v>37.007476620690611</v>
          </cell>
          <cell r="M562">
            <v>35.125320900109735</v>
          </cell>
          <cell r="N562">
            <v>33.290291429956135</v>
          </cell>
          <cell r="O562">
            <v>31.721376020274985</v>
          </cell>
          <cell r="P562">
            <v>30.18899920260916</v>
          </cell>
          <cell r="Q562">
            <v>28.693160976958509</v>
          </cell>
          <cell r="R562">
            <v>27.23386134332349</v>
          </cell>
          <cell r="S562">
            <v>25.811100301703355</v>
          </cell>
          <cell r="T562">
            <v>24.594666582900402</v>
          </cell>
          <cell r="U562">
            <v>23.406562482820661</v>
          </cell>
          <cell r="V562">
            <v>22.246788001464278</v>
          </cell>
          <cell r="W562">
            <v>21.115343138830685</v>
          </cell>
          <cell r="X562">
            <v>20.012227894920034</v>
          </cell>
          <cell r="Y562">
            <v>19.069085273520873</v>
          </cell>
          <cell r="Z562">
            <v>18.147907573393375</v>
          </cell>
          <cell r="AA562">
            <v>17.248694794537446</v>
          </cell>
          <cell r="AB562">
            <v>16.371446936953305</v>
          </cell>
          <cell r="AC562">
            <v>15.516164000640968</v>
          </cell>
          <cell r="AD562">
            <v>14.778350924667834</v>
          </cell>
          <cell r="AE562">
            <v>14.057827986617346</v>
          </cell>
          <cell r="AF562">
            <v>13.354595186489069</v>
          </cell>
          <cell r="AG562">
            <v>12.668652524283226</v>
          </cell>
          <cell r="AH562">
            <v>12.000000000000011</v>
          </cell>
        </row>
        <row r="563">
          <cell r="B563" t="str">
            <v>e-methane - Conversion H2 -&gt; CH4 - Global - ton H2/ton CH4</v>
          </cell>
          <cell r="G563">
            <v>0.5</v>
          </cell>
          <cell r="H563">
            <v>0.5</v>
          </cell>
          <cell r="I563">
            <v>0.5</v>
          </cell>
          <cell r="J563">
            <v>0.5</v>
          </cell>
          <cell r="K563">
            <v>0.5</v>
          </cell>
          <cell r="L563">
            <v>0.5</v>
          </cell>
          <cell r="M563">
            <v>0.5</v>
          </cell>
          <cell r="N563">
            <v>0.5</v>
          </cell>
          <cell r="O563">
            <v>0.5</v>
          </cell>
          <cell r="P563">
            <v>0.5</v>
          </cell>
          <cell r="Q563">
            <v>0.5</v>
          </cell>
          <cell r="R563">
            <v>0.5</v>
          </cell>
          <cell r="S563">
            <v>0.5</v>
          </cell>
          <cell r="T563">
            <v>0.5</v>
          </cell>
          <cell r="U563">
            <v>0.5</v>
          </cell>
          <cell r="V563">
            <v>0.5</v>
          </cell>
          <cell r="W563">
            <v>0.5</v>
          </cell>
          <cell r="X563">
            <v>0.5</v>
          </cell>
          <cell r="Y563">
            <v>0.5</v>
          </cell>
          <cell r="Z563">
            <v>0.5</v>
          </cell>
          <cell r="AA563">
            <v>0.5</v>
          </cell>
          <cell r="AB563">
            <v>0.5</v>
          </cell>
          <cell r="AC563">
            <v>0.5</v>
          </cell>
          <cell r="AD563">
            <v>0.5</v>
          </cell>
          <cell r="AE563">
            <v>0.5</v>
          </cell>
          <cell r="AF563">
            <v>0.5</v>
          </cell>
          <cell r="AG563">
            <v>0.5</v>
          </cell>
          <cell r="AH563">
            <v>0.5</v>
          </cell>
        </row>
        <row r="564">
          <cell r="B564" t="str">
            <v>e-methane - Conversion CO2 -&gt; CH4 - Global - ton CO2/ton CH4</v>
          </cell>
          <cell r="G564">
            <v>2.75</v>
          </cell>
          <cell r="H564">
            <v>2.75</v>
          </cell>
          <cell r="I564">
            <v>2.75</v>
          </cell>
          <cell r="J564">
            <v>2.75</v>
          </cell>
          <cell r="K564">
            <v>2.75</v>
          </cell>
          <cell r="L564">
            <v>2.75</v>
          </cell>
          <cell r="M564">
            <v>2.75</v>
          </cell>
          <cell r="N564">
            <v>2.75</v>
          </cell>
          <cell r="O564">
            <v>2.75</v>
          </cell>
          <cell r="P564">
            <v>2.75</v>
          </cell>
          <cell r="Q564">
            <v>2.75</v>
          </cell>
          <cell r="R564">
            <v>2.75</v>
          </cell>
          <cell r="S564">
            <v>2.75</v>
          </cell>
          <cell r="T564">
            <v>2.75</v>
          </cell>
          <cell r="U564">
            <v>2.75</v>
          </cell>
          <cell r="V564">
            <v>2.75</v>
          </cell>
          <cell r="W564">
            <v>2.75</v>
          </cell>
          <cell r="X564">
            <v>2.75</v>
          </cell>
          <cell r="Y564">
            <v>2.75</v>
          </cell>
          <cell r="Z564">
            <v>2.75</v>
          </cell>
          <cell r="AA564">
            <v>2.75</v>
          </cell>
          <cell r="AB564">
            <v>2.75</v>
          </cell>
          <cell r="AC564">
            <v>2.75</v>
          </cell>
          <cell r="AD564">
            <v>2.75</v>
          </cell>
          <cell r="AE564">
            <v>2.75</v>
          </cell>
          <cell r="AF564">
            <v>2.75</v>
          </cell>
          <cell r="AG564">
            <v>2.75</v>
          </cell>
          <cell r="AH564">
            <v>2.75</v>
          </cell>
        </row>
        <row r="565">
          <cell r="B565" t="str">
            <v/>
          </cell>
        </row>
        <row r="566">
          <cell r="B566" t="str">
            <v>e-methane (DAC) - Finance cost including feedstock finance cost - Africa - USD/ton fuel</v>
          </cell>
          <cell r="G566">
            <v>434.97335449463901</v>
          </cell>
          <cell r="H566">
            <v>418.19084698405243</v>
          </cell>
          <cell r="I566">
            <v>401.20241408118642</v>
          </cell>
          <cell r="J566">
            <v>390.43337189616403</v>
          </cell>
          <cell r="K566">
            <v>379.28176628315623</v>
          </cell>
          <cell r="L566">
            <v>367.74759724216801</v>
          </cell>
          <cell r="M566">
            <v>355.83086477320182</v>
          </cell>
          <cell r="N566">
            <v>343.53156887624999</v>
          </cell>
          <cell r="O566">
            <v>342.88791952683658</v>
          </cell>
          <cell r="P566">
            <v>341.35209295914194</v>
          </cell>
          <cell r="Q566">
            <v>338.92408917316277</v>
          </cell>
          <cell r="R566">
            <v>335.60390816889731</v>
          </cell>
          <cell r="S566">
            <v>331.39154994635038</v>
          </cell>
          <cell r="T566">
            <v>326.17413593137269</v>
          </cell>
          <cell r="U566">
            <v>320.22036553646194</v>
          </cell>
          <cell r="V566">
            <v>313.53023876162666</v>
          </cell>
          <cell r="W566">
            <v>306.10375560685742</v>
          </cell>
          <cell r="X566">
            <v>297.94091607215188</v>
          </cell>
          <cell r="Y566">
            <v>288.16798080114836</v>
          </cell>
          <cell r="Z566">
            <v>277.83942356264475</v>
          </cell>
          <cell r="AA566">
            <v>266.95524435664765</v>
          </cell>
          <cell r="AB566">
            <v>255.5154431831532</v>
          </cell>
          <cell r="AC566">
            <v>243.52002004216055</v>
          </cell>
          <cell r="AD566">
            <v>231.162646346782</v>
          </cell>
          <cell r="AE566">
            <v>218.45773375058465</v>
          </cell>
          <cell r="AF566">
            <v>205.40528225356755</v>
          </cell>
          <cell r="AG566">
            <v>192.00529185573114</v>
          </cell>
          <cell r="AH566">
            <v>178.25776255707615</v>
          </cell>
        </row>
        <row r="567">
          <cell r="B567" t="str">
            <v>e-methane (DAC) - Finance cost including feedstock finance cost - Americas - USD/ton fuel</v>
          </cell>
          <cell r="G567">
            <v>434.97335449463901</v>
          </cell>
          <cell r="H567">
            <v>418.19084698405243</v>
          </cell>
          <cell r="I567">
            <v>401.20241408118642</v>
          </cell>
          <cell r="J567">
            <v>390.43337189616403</v>
          </cell>
          <cell r="K567">
            <v>379.28176628315623</v>
          </cell>
          <cell r="L567">
            <v>367.74759724216801</v>
          </cell>
          <cell r="M567">
            <v>355.83086477320182</v>
          </cell>
          <cell r="N567">
            <v>343.53156887624999</v>
          </cell>
          <cell r="O567">
            <v>342.88791952683658</v>
          </cell>
          <cell r="P567">
            <v>341.35209295914194</v>
          </cell>
          <cell r="Q567">
            <v>338.92408917316277</v>
          </cell>
          <cell r="R567">
            <v>335.60390816889731</v>
          </cell>
          <cell r="S567">
            <v>331.39154994635038</v>
          </cell>
          <cell r="T567">
            <v>326.17413593137269</v>
          </cell>
          <cell r="U567">
            <v>320.22036553646194</v>
          </cell>
          <cell r="V567">
            <v>313.53023876162666</v>
          </cell>
          <cell r="W567">
            <v>306.10375560685742</v>
          </cell>
          <cell r="X567">
            <v>297.94091607215188</v>
          </cell>
          <cell r="Y567">
            <v>288.16798080114836</v>
          </cell>
          <cell r="Z567">
            <v>277.83942356264475</v>
          </cell>
          <cell r="AA567">
            <v>266.95524435664765</v>
          </cell>
          <cell r="AB567">
            <v>255.5154431831532</v>
          </cell>
          <cell r="AC567">
            <v>243.52002004216055</v>
          </cell>
          <cell r="AD567">
            <v>231.162646346782</v>
          </cell>
          <cell r="AE567">
            <v>218.45773375058465</v>
          </cell>
          <cell r="AF567">
            <v>205.40528225356755</v>
          </cell>
          <cell r="AG567">
            <v>192.00529185573114</v>
          </cell>
          <cell r="AH567">
            <v>178.25776255707615</v>
          </cell>
        </row>
        <row r="568">
          <cell r="B568" t="str">
            <v>e-methane (DAC) - Finance cost including feedstock finance cost - Asia - USD/ton fuel</v>
          </cell>
          <cell r="G568">
            <v>434.97335449463901</v>
          </cell>
          <cell r="H568">
            <v>418.19084698405243</v>
          </cell>
          <cell r="I568">
            <v>401.20241408118642</v>
          </cell>
          <cell r="J568">
            <v>390.43337189616403</v>
          </cell>
          <cell r="K568">
            <v>379.28176628315623</v>
          </cell>
          <cell r="L568">
            <v>367.74759724216801</v>
          </cell>
          <cell r="M568">
            <v>355.83086477320182</v>
          </cell>
          <cell r="N568">
            <v>343.53156887624999</v>
          </cell>
          <cell r="O568">
            <v>342.88791952683658</v>
          </cell>
          <cell r="P568">
            <v>341.35209295914194</v>
          </cell>
          <cell r="Q568">
            <v>338.92408917316277</v>
          </cell>
          <cell r="R568">
            <v>335.60390816889731</v>
          </cell>
          <cell r="S568">
            <v>331.39154994635038</v>
          </cell>
          <cell r="T568">
            <v>326.17413593137269</v>
          </cell>
          <cell r="U568">
            <v>320.22036553646194</v>
          </cell>
          <cell r="V568">
            <v>313.53023876162666</v>
          </cell>
          <cell r="W568">
            <v>306.10375560685742</v>
          </cell>
          <cell r="X568">
            <v>297.94091607215188</v>
          </cell>
          <cell r="Y568">
            <v>288.16798080114836</v>
          </cell>
          <cell r="Z568">
            <v>277.83942356264475</v>
          </cell>
          <cell r="AA568">
            <v>266.95524435664765</v>
          </cell>
          <cell r="AB568">
            <v>255.5154431831532</v>
          </cell>
          <cell r="AC568">
            <v>243.52002004216055</v>
          </cell>
          <cell r="AD568">
            <v>231.162646346782</v>
          </cell>
          <cell r="AE568">
            <v>218.45773375058465</v>
          </cell>
          <cell r="AF568">
            <v>205.40528225356755</v>
          </cell>
          <cell r="AG568">
            <v>192.00529185573114</v>
          </cell>
          <cell r="AH568">
            <v>178.25776255707615</v>
          </cell>
        </row>
        <row r="569">
          <cell r="B569" t="str">
            <v>e-methane (DAC) - Finance cost including feedstock finance cost - Europe - USD/ton fuel</v>
          </cell>
          <cell r="G569">
            <v>434.97335449463901</v>
          </cell>
          <cell r="H569">
            <v>418.19084698405243</v>
          </cell>
          <cell r="I569">
            <v>401.20241408118642</v>
          </cell>
          <cell r="J569">
            <v>390.43337189616403</v>
          </cell>
          <cell r="K569">
            <v>379.28176628315623</v>
          </cell>
          <cell r="L569">
            <v>367.74759724216801</v>
          </cell>
          <cell r="M569">
            <v>355.83086477320182</v>
          </cell>
          <cell r="N569">
            <v>343.53156887624999</v>
          </cell>
          <cell r="O569">
            <v>342.88791952683658</v>
          </cell>
          <cell r="P569">
            <v>341.35209295914194</v>
          </cell>
          <cell r="Q569">
            <v>338.92408917316277</v>
          </cell>
          <cell r="R569">
            <v>335.60390816889731</v>
          </cell>
          <cell r="S569">
            <v>331.39154994635038</v>
          </cell>
          <cell r="T569">
            <v>326.17413593137269</v>
          </cell>
          <cell r="U569">
            <v>320.22036553646194</v>
          </cell>
          <cell r="V569">
            <v>313.53023876162666</v>
          </cell>
          <cell r="W569">
            <v>306.10375560685742</v>
          </cell>
          <cell r="X569">
            <v>297.94091607215188</v>
          </cell>
          <cell r="Y569">
            <v>288.16798080114836</v>
          </cell>
          <cell r="Z569">
            <v>277.83942356264475</v>
          </cell>
          <cell r="AA569">
            <v>266.95524435664765</v>
          </cell>
          <cell r="AB569">
            <v>255.5154431831532</v>
          </cell>
          <cell r="AC569">
            <v>243.52002004216055</v>
          </cell>
          <cell r="AD569">
            <v>231.162646346782</v>
          </cell>
          <cell r="AE569">
            <v>218.45773375058465</v>
          </cell>
          <cell r="AF569">
            <v>205.40528225356755</v>
          </cell>
          <cell r="AG569">
            <v>192.00529185573114</v>
          </cell>
          <cell r="AH569">
            <v>178.25776255707615</v>
          </cell>
        </row>
        <row r="570">
          <cell r="B570" t="str">
            <v>e-methane (DAC) - Finance cost including feedstock finance cost - Middle East - USD/ton fuel</v>
          </cell>
          <cell r="G570">
            <v>434.97335449463901</v>
          </cell>
          <cell r="H570">
            <v>418.19084698405243</v>
          </cell>
          <cell r="I570">
            <v>401.20241408118642</v>
          </cell>
          <cell r="J570">
            <v>390.43337189616403</v>
          </cell>
          <cell r="K570">
            <v>379.28176628315623</v>
          </cell>
          <cell r="L570">
            <v>367.74759724216801</v>
          </cell>
          <cell r="M570">
            <v>355.83086477320182</v>
          </cell>
          <cell r="N570">
            <v>343.53156887624999</v>
          </cell>
          <cell r="O570">
            <v>342.88791952683658</v>
          </cell>
          <cell r="P570">
            <v>341.35209295914194</v>
          </cell>
          <cell r="Q570">
            <v>338.92408917316277</v>
          </cell>
          <cell r="R570">
            <v>335.60390816889731</v>
          </cell>
          <cell r="S570">
            <v>331.39154994635038</v>
          </cell>
          <cell r="T570">
            <v>326.17413593137269</v>
          </cell>
          <cell r="U570">
            <v>320.22036553646194</v>
          </cell>
          <cell r="V570">
            <v>313.53023876162666</v>
          </cell>
          <cell r="W570">
            <v>306.10375560685742</v>
          </cell>
          <cell r="X570">
            <v>297.94091607215188</v>
          </cell>
          <cell r="Y570">
            <v>288.16798080114836</v>
          </cell>
          <cell r="Z570">
            <v>277.83942356264475</v>
          </cell>
          <cell r="AA570">
            <v>266.95524435664765</v>
          </cell>
          <cell r="AB570">
            <v>255.5154431831532</v>
          </cell>
          <cell r="AC570">
            <v>243.52002004216055</v>
          </cell>
          <cell r="AD570">
            <v>231.162646346782</v>
          </cell>
          <cell r="AE570">
            <v>218.45773375058465</v>
          </cell>
          <cell r="AF570">
            <v>205.40528225356755</v>
          </cell>
          <cell r="AG570">
            <v>192.00529185573114</v>
          </cell>
          <cell r="AH570">
            <v>178.25776255707615</v>
          </cell>
        </row>
        <row r="571">
          <cell r="B571" t="str">
            <v>e-methane (DAC) - Finance cost - Africa - USD/ton fuel</v>
          </cell>
          <cell r="G571">
            <v>84.810000000000016</v>
          </cell>
          <cell r="H571">
            <v>80.080000000000013</v>
          </cell>
          <cell r="I571">
            <v>75.350000000000009</v>
          </cell>
          <cell r="J571">
            <v>72.38000000000001</v>
          </cell>
          <cell r="K571">
            <v>69.410000000000011</v>
          </cell>
          <cell r="L571">
            <v>66.440000000000012</v>
          </cell>
          <cell r="M571">
            <v>63.470000000000006</v>
          </cell>
          <cell r="N571">
            <v>60.500000000000007</v>
          </cell>
          <cell r="O571">
            <v>59.400000000000006</v>
          </cell>
          <cell r="P571">
            <v>58.300000000000004</v>
          </cell>
          <cell r="Q571">
            <v>57.20000000000001</v>
          </cell>
          <cell r="R571">
            <v>56.100000000000009</v>
          </cell>
          <cell r="S571">
            <v>55.000000000000007</v>
          </cell>
          <cell r="T571">
            <v>53.900000000000006</v>
          </cell>
          <cell r="U571">
            <v>52.800000000000004</v>
          </cell>
          <cell r="V571">
            <v>51.70000000000001</v>
          </cell>
          <cell r="W571">
            <v>50.600000000000009</v>
          </cell>
          <cell r="X571">
            <v>49.500000000000007</v>
          </cell>
          <cell r="Y571">
            <v>47.63000000000001</v>
          </cell>
          <cell r="Z571">
            <v>45.760000000000005</v>
          </cell>
          <cell r="AA571">
            <v>43.890000000000008</v>
          </cell>
          <cell r="AB571">
            <v>42.02</v>
          </cell>
          <cell r="AC571">
            <v>40.150000000000006</v>
          </cell>
          <cell r="AD571">
            <v>38.280000000000008</v>
          </cell>
          <cell r="AE571">
            <v>36.410000000000004</v>
          </cell>
          <cell r="AF571">
            <v>34.540000000000006</v>
          </cell>
          <cell r="AG571">
            <v>32.67</v>
          </cell>
          <cell r="AH571">
            <v>30.800000000000004</v>
          </cell>
        </row>
        <row r="572">
          <cell r="B572" t="str">
            <v>e-methane (DAC) - Finance cost - Americas - USD/ton fuel</v>
          </cell>
          <cell r="G572">
            <v>84.810000000000016</v>
          </cell>
          <cell r="H572">
            <v>80.080000000000013</v>
          </cell>
          <cell r="I572">
            <v>75.350000000000009</v>
          </cell>
          <cell r="J572">
            <v>72.38000000000001</v>
          </cell>
          <cell r="K572">
            <v>69.410000000000011</v>
          </cell>
          <cell r="L572">
            <v>66.440000000000012</v>
          </cell>
          <cell r="M572">
            <v>63.470000000000006</v>
          </cell>
          <cell r="N572">
            <v>60.500000000000007</v>
          </cell>
          <cell r="O572">
            <v>59.400000000000006</v>
          </cell>
          <cell r="P572">
            <v>58.300000000000004</v>
          </cell>
          <cell r="Q572">
            <v>57.20000000000001</v>
          </cell>
          <cell r="R572">
            <v>56.100000000000009</v>
          </cell>
          <cell r="S572">
            <v>55.000000000000007</v>
          </cell>
          <cell r="T572">
            <v>53.900000000000006</v>
          </cell>
          <cell r="U572">
            <v>52.800000000000004</v>
          </cell>
          <cell r="V572">
            <v>51.70000000000001</v>
          </cell>
          <cell r="W572">
            <v>50.600000000000009</v>
          </cell>
          <cell r="X572">
            <v>49.500000000000007</v>
          </cell>
          <cell r="Y572">
            <v>47.63000000000001</v>
          </cell>
          <cell r="Z572">
            <v>45.760000000000005</v>
          </cell>
          <cell r="AA572">
            <v>43.890000000000008</v>
          </cell>
          <cell r="AB572">
            <v>42.02</v>
          </cell>
          <cell r="AC572">
            <v>40.150000000000006</v>
          </cell>
          <cell r="AD572">
            <v>38.280000000000008</v>
          </cell>
          <cell r="AE572">
            <v>36.410000000000004</v>
          </cell>
          <cell r="AF572">
            <v>34.540000000000006</v>
          </cell>
          <cell r="AG572">
            <v>32.67</v>
          </cell>
          <cell r="AH572">
            <v>30.800000000000004</v>
          </cell>
        </row>
        <row r="573">
          <cell r="B573" t="str">
            <v>e-methane (DAC) - Finance cost - Asia - USD/ton fuel</v>
          </cell>
          <cell r="G573">
            <v>84.810000000000016</v>
          </cell>
          <cell r="H573">
            <v>80.080000000000013</v>
          </cell>
          <cell r="I573">
            <v>75.350000000000009</v>
          </cell>
          <cell r="J573">
            <v>72.38000000000001</v>
          </cell>
          <cell r="K573">
            <v>69.410000000000011</v>
          </cell>
          <cell r="L573">
            <v>66.440000000000012</v>
          </cell>
          <cell r="M573">
            <v>63.470000000000006</v>
          </cell>
          <cell r="N573">
            <v>60.500000000000007</v>
          </cell>
          <cell r="O573">
            <v>59.400000000000006</v>
          </cell>
          <cell r="P573">
            <v>58.300000000000004</v>
          </cell>
          <cell r="Q573">
            <v>57.20000000000001</v>
          </cell>
          <cell r="R573">
            <v>56.100000000000009</v>
          </cell>
          <cell r="S573">
            <v>55.000000000000007</v>
          </cell>
          <cell r="T573">
            <v>53.900000000000006</v>
          </cell>
          <cell r="U573">
            <v>52.800000000000004</v>
          </cell>
          <cell r="V573">
            <v>51.70000000000001</v>
          </cell>
          <cell r="W573">
            <v>50.600000000000009</v>
          </cell>
          <cell r="X573">
            <v>49.500000000000007</v>
          </cell>
          <cell r="Y573">
            <v>47.63000000000001</v>
          </cell>
          <cell r="Z573">
            <v>45.760000000000005</v>
          </cell>
          <cell r="AA573">
            <v>43.890000000000008</v>
          </cell>
          <cell r="AB573">
            <v>42.02</v>
          </cell>
          <cell r="AC573">
            <v>40.150000000000006</v>
          </cell>
          <cell r="AD573">
            <v>38.280000000000008</v>
          </cell>
          <cell r="AE573">
            <v>36.410000000000004</v>
          </cell>
          <cell r="AF573">
            <v>34.540000000000006</v>
          </cell>
          <cell r="AG573">
            <v>32.67</v>
          </cell>
          <cell r="AH573">
            <v>30.800000000000004</v>
          </cell>
        </row>
        <row r="574">
          <cell r="B574" t="str">
            <v>e-methane (DAC) - Finance cost - Europe - USD/ton fuel</v>
          </cell>
          <cell r="G574">
            <v>84.810000000000016</v>
          </cell>
          <cell r="H574">
            <v>80.080000000000013</v>
          </cell>
          <cell r="I574">
            <v>75.350000000000009</v>
          </cell>
          <cell r="J574">
            <v>72.38000000000001</v>
          </cell>
          <cell r="K574">
            <v>69.410000000000011</v>
          </cell>
          <cell r="L574">
            <v>66.440000000000012</v>
          </cell>
          <cell r="M574">
            <v>63.470000000000006</v>
          </cell>
          <cell r="N574">
            <v>60.500000000000007</v>
          </cell>
          <cell r="O574">
            <v>59.400000000000006</v>
          </cell>
          <cell r="P574">
            <v>58.300000000000004</v>
          </cell>
          <cell r="Q574">
            <v>57.20000000000001</v>
          </cell>
          <cell r="R574">
            <v>56.100000000000009</v>
          </cell>
          <cell r="S574">
            <v>55.000000000000007</v>
          </cell>
          <cell r="T574">
            <v>53.900000000000006</v>
          </cell>
          <cell r="U574">
            <v>52.800000000000004</v>
          </cell>
          <cell r="V574">
            <v>51.70000000000001</v>
          </cell>
          <cell r="W574">
            <v>50.600000000000009</v>
          </cell>
          <cell r="X574">
            <v>49.500000000000007</v>
          </cell>
          <cell r="Y574">
            <v>47.63000000000001</v>
          </cell>
          <cell r="Z574">
            <v>45.760000000000005</v>
          </cell>
          <cell r="AA574">
            <v>43.890000000000008</v>
          </cell>
          <cell r="AB574">
            <v>42.02</v>
          </cell>
          <cell r="AC574">
            <v>40.150000000000006</v>
          </cell>
          <cell r="AD574">
            <v>38.280000000000008</v>
          </cell>
          <cell r="AE574">
            <v>36.410000000000004</v>
          </cell>
          <cell r="AF574">
            <v>34.540000000000006</v>
          </cell>
          <cell r="AG574">
            <v>32.67</v>
          </cell>
          <cell r="AH574">
            <v>30.800000000000004</v>
          </cell>
        </row>
        <row r="575">
          <cell r="B575" t="str">
            <v>e-methane (DAC) - Finance cost - Middle East - USD/ton fuel</v>
          </cell>
          <cell r="G575">
            <v>84.810000000000016</v>
          </cell>
          <cell r="H575">
            <v>80.080000000000013</v>
          </cell>
          <cell r="I575">
            <v>75.350000000000009</v>
          </cell>
          <cell r="J575">
            <v>72.38000000000001</v>
          </cell>
          <cell r="K575">
            <v>69.410000000000011</v>
          </cell>
          <cell r="L575">
            <v>66.440000000000012</v>
          </cell>
          <cell r="M575">
            <v>63.470000000000006</v>
          </cell>
          <cell r="N575">
            <v>60.500000000000007</v>
          </cell>
          <cell r="O575">
            <v>59.400000000000006</v>
          </cell>
          <cell r="P575">
            <v>58.300000000000004</v>
          </cell>
          <cell r="Q575">
            <v>57.20000000000001</v>
          </cell>
          <cell r="R575">
            <v>56.100000000000009</v>
          </cell>
          <cell r="S575">
            <v>55.000000000000007</v>
          </cell>
          <cell r="T575">
            <v>53.900000000000006</v>
          </cell>
          <cell r="U575">
            <v>52.800000000000004</v>
          </cell>
          <cell r="V575">
            <v>51.70000000000001</v>
          </cell>
          <cell r="W575">
            <v>50.600000000000009</v>
          </cell>
          <cell r="X575">
            <v>49.500000000000007</v>
          </cell>
          <cell r="Y575">
            <v>47.63000000000001</v>
          </cell>
          <cell r="Z575">
            <v>45.760000000000005</v>
          </cell>
          <cell r="AA575">
            <v>43.890000000000008</v>
          </cell>
          <cell r="AB575">
            <v>42.02</v>
          </cell>
          <cell r="AC575">
            <v>40.150000000000006</v>
          </cell>
          <cell r="AD575">
            <v>38.280000000000008</v>
          </cell>
          <cell r="AE575">
            <v>36.410000000000004</v>
          </cell>
          <cell r="AF575">
            <v>34.540000000000006</v>
          </cell>
          <cell r="AG575">
            <v>32.67</v>
          </cell>
          <cell r="AH575">
            <v>30.800000000000004</v>
          </cell>
        </row>
        <row r="576">
          <cell r="B576" t="str">
            <v>e-hydrogen (compressed) - Finance cost including feedstock finance cost - Africa - USD/ton fuel</v>
          </cell>
          <cell r="G576">
            <v>423.4664833247287</v>
          </cell>
          <cell r="H576">
            <v>407.9080597487058</v>
          </cell>
          <cell r="I576">
            <v>391.93778538812398</v>
          </cell>
          <cell r="J576">
            <v>383.67894989578463</v>
          </cell>
          <cell r="K576">
            <v>374.65498754747659</v>
          </cell>
          <cell r="L576">
            <v>364.86589834320779</v>
          </cell>
          <cell r="M576">
            <v>354.31168228298088</v>
          </cell>
          <cell r="N576">
            <v>342.99233936678479</v>
          </cell>
          <cell r="O576">
            <v>350.20750340232428</v>
          </cell>
          <cell r="P576">
            <v>355.6383130013013</v>
          </cell>
          <cell r="Q576">
            <v>359.28476816371159</v>
          </cell>
          <cell r="R576">
            <v>361.14686888954691</v>
          </cell>
          <cell r="S576">
            <v>361.22461517882164</v>
          </cell>
          <cell r="T576">
            <v>358.40192634457429</v>
          </cell>
          <cell r="U576">
            <v>354.10652475046084</v>
          </cell>
          <cell r="V576">
            <v>348.33841039649622</v>
          </cell>
          <cell r="W576">
            <v>341.09758328266571</v>
          </cell>
          <cell r="X576">
            <v>332.38404340896386</v>
          </cell>
          <cell r="Y576">
            <v>321.22576094613464</v>
          </cell>
          <cell r="Z576">
            <v>308.95623454830633</v>
          </cell>
          <cell r="AA576">
            <v>295.57546421549114</v>
          </cell>
          <cell r="AB576">
            <v>281.08344994768112</v>
          </cell>
          <cell r="AC576">
            <v>265.48019174487365</v>
          </cell>
          <cell r="AD576">
            <v>248.55741402200647</v>
          </cell>
          <cell r="AE576">
            <v>230.93955849750063</v>
          </cell>
          <cell r="AF576">
            <v>212.62662517135635</v>
          </cell>
          <cell r="AG576">
            <v>193.61861404357347</v>
          </cell>
          <cell r="AH576">
            <v>173.9155251141523</v>
          </cell>
        </row>
        <row r="577">
          <cell r="B577" t="str">
            <v>e-hydrogen (compressed) - Finance cost including feedstock finance cost - Americas - USD/ton fuel</v>
          </cell>
          <cell r="G577">
            <v>423.4664833247287</v>
          </cell>
          <cell r="H577">
            <v>407.9080597487058</v>
          </cell>
          <cell r="I577">
            <v>391.93778538812398</v>
          </cell>
          <cell r="J577">
            <v>383.67894989578463</v>
          </cell>
          <cell r="K577">
            <v>374.65498754747659</v>
          </cell>
          <cell r="L577">
            <v>364.86589834320779</v>
          </cell>
          <cell r="M577">
            <v>354.31168228298088</v>
          </cell>
          <cell r="N577">
            <v>342.99233936678479</v>
          </cell>
          <cell r="O577">
            <v>350.20750340232428</v>
          </cell>
          <cell r="P577">
            <v>355.6383130013013</v>
          </cell>
          <cell r="Q577">
            <v>359.28476816371159</v>
          </cell>
          <cell r="R577">
            <v>361.14686888954691</v>
          </cell>
          <cell r="S577">
            <v>361.22461517882164</v>
          </cell>
          <cell r="T577">
            <v>358.40192634457429</v>
          </cell>
          <cell r="U577">
            <v>354.10652475046084</v>
          </cell>
          <cell r="V577">
            <v>348.33841039649622</v>
          </cell>
          <cell r="W577">
            <v>341.09758328266571</v>
          </cell>
          <cell r="X577">
            <v>332.38404340896386</v>
          </cell>
          <cell r="Y577">
            <v>321.22576094613464</v>
          </cell>
          <cell r="Z577">
            <v>308.95623454830633</v>
          </cell>
          <cell r="AA577">
            <v>295.57546421549114</v>
          </cell>
          <cell r="AB577">
            <v>281.08344994768112</v>
          </cell>
          <cell r="AC577">
            <v>265.48019174487365</v>
          </cell>
          <cell r="AD577">
            <v>248.55741402200647</v>
          </cell>
          <cell r="AE577">
            <v>230.93955849750063</v>
          </cell>
          <cell r="AF577">
            <v>212.62662517135635</v>
          </cell>
          <cell r="AG577">
            <v>193.61861404357347</v>
          </cell>
          <cell r="AH577">
            <v>173.9155251141523</v>
          </cell>
        </row>
        <row r="578">
          <cell r="B578" t="str">
            <v>e-hydrogen (compressed) - Finance cost including feedstock finance cost - Asia - USD/ton fuel</v>
          </cell>
          <cell r="G578">
            <v>423.4664833247287</v>
          </cell>
          <cell r="H578">
            <v>407.9080597487058</v>
          </cell>
          <cell r="I578">
            <v>391.93778538812398</v>
          </cell>
          <cell r="J578">
            <v>383.67894989578463</v>
          </cell>
          <cell r="K578">
            <v>374.65498754747659</v>
          </cell>
          <cell r="L578">
            <v>364.86589834320779</v>
          </cell>
          <cell r="M578">
            <v>354.31168228298088</v>
          </cell>
          <cell r="N578">
            <v>342.99233936678479</v>
          </cell>
          <cell r="O578">
            <v>350.20750340232428</v>
          </cell>
          <cell r="P578">
            <v>355.6383130013013</v>
          </cell>
          <cell r="Q578">
            <v>359.28476816371159</v>
          </cell>
          <cell r="R578">
            <v>361.14686888954691</v>
          </cell>
          <cell r="S578">
            <v>361.22461517882164</v>
          </cell>
          <cell r="T578">
            <v>358.40192634457429</v>
          </cell>
          <cell r="U578">
            <v>354.10652475046084</v>
          </cell>
          <cell r="V578">
            <v>348.33841039649622</v>
          </cell>
          <cell r="W578">
            <v>341.09758328266571</v>
          </cell>
          <cell r="X578">
            <v>332.38404340896386</v>
          </cell>
          <cell r="Y578">
            <v>321.22576094613464</v>
          </cell>
          <cell r="Z578">
            <v>308.95623454830633</v>
          </cell>
          <cell r="AA578">
            <v>295.57546421549114</v>
          </cell>
          <cell r="AB578">
            <v>281.08344994768112</v>
          </cell>
          <cell r="AC578">
            <v>265.48019174487365</v>
          </cell>
          <cell r="AD578">
            <v>248.55741402200647</v>
          </cell>
          <cell r="AE578">
            <v>230.93955849750063</v>
          </cell>
          <cell r="AF578">
            <v>212.62662517135635</v>
          </cell>
          <cell r="AG578">
            <v>193.61861404357347</v>
          </cell>
          <cell r="AH578">
            <v>173.9155251141523</v>
          </cell>
        </row>
        <row r="579">
          <cell r="B579" t="str">
            <v>e-hydrogen (compressed) - Finance cost including feedstock finance cost - Europe - USD/ton fuel</v>
          </cell>
          <cell r="G579">
            <v>423.4664833247287</v>
          </cell>
          <cell r="H579">
            <v>407.9080597487058</v>
          </cell>
          <cell r="I579">
            <v>391.93778538812398</v>
          </cell>
          <cell r="J579">
            <v>383.67894989578463</v>
          </cell>
          <cell r="K579">
            <v>374.65498754747659</v>
          </cell>
          <cell r="L579">
            <v>364.86589834320779</v>
          </cell>
          <cell r="M579">
            <v>354.31168228298088</v>
          </cell>
          <cell r="N579">
            <v>342.99233936678479</v>
          </cell>
          <cell r="O579">
            <v>350.20750340232428</v>
          </cell>
          <cell r="P579">
            <v>355.6383130013013</v>
          </cell>
          <cell r="Q579">
            <v>359.28476816371159</v>
          </cell>
          <cell r="R579">
            <v>361.14686888954691</v>
          </cell>
          <cell r="S579">
            <v>361.22461517882164</v>
          </cell>
          <cell r="T579">
            <v>358.40192634457429</v>
          </cell>
          <cell r="U579">
            <v>354.10652475046084</v>
          </cell>
          <cell r="V579">
            <v>348.33841039649622</v>
          </cell>
          <cell r="W579">
            <v>341.09758328266571</v>
          </cell>
          <cell r="X579">
            <v>332.38404340896386</v>
          </cell>
          <cell r="Y579">
            <v>321.22576094613464</v>
          </cell>
          <cell r="Z579">
            <v>308.95623454830633</v>
          </cell>
          <cell r="AA579">
            <v>295.57546421549114</v>
          </cell>
          <cell r="AB579">
            <v>281.08344994768112</v>
          </cell>
          <cell r="AC579">
            <v>265.48019174487365</v>
          </cell>
          <cell r="AD579">
            <v>248.55741402200647</v>
          </cell>
          <cell r="AE579">
            <v>230.93955849750063</v>
          </cell>
          <cell r="AF579">
            <v>212.62662517135635</v>
          </cell>
          <cell r="AG579">
            <v>193.61861404357347</v>
          </cell>
          <cell r="AH579">
            <v>173.9155251141523</v>
          </cell>
        </row>
        <row r="580">
          <cell r="B580" t="str">
            <v>e-hydrogen (compressed) - Finance cost including feedstock finance cost - Middle East - USD/ton fuel</v>
          </cell>
          <cell r="G580">
            <v>423.4664833247287</v>
          </cell>
          <cell r="H580">
            <v>407.9080597487058</v>
          </cell>
          <cell r="I580">
            <v>391.93778538812398</v>
          </cell>
          <cell r="J580">
            <v>383.67894989578463</v>
          </cell>
          <cell r="K580">
            <v>374.65498754747659</v>
          </cell>
          <cell r="L580">
            <v>364.86589834320779</v>
          </cell>
          <cell r="M580">
            <v>354.31168228298088</v>
          </cell>
          <cell r="N580">
            <v>342.99233936678479</v>
          </cell>
          <cell r="O580">
            <v>350.20750340232428</v>
          </cell>
          <cell r="P580">
            <v>355.6383130013013</v>
          </cell>
          <cell r="Q580">
            <v>359.28476816371159</v>
          </cell>
          <cell r="R580">
            <v>361.14686888954691</v>
          </cell>
          <cell r="S580">
            <v>361.22461517882164</v>
          </cell>
          <cell r="T580">
            <v>358.40192634457429</v>
          </cell>
          <cell r="U580">
            <v>354.10652475046084</v>
          </cell>
          <cell r="V580">
            <v>348.33841039649622</v>
          </cell>
          <cell r="W580">
            <v>341.09758328266571</v>
          </cell>
          <cell r="X580">
            <v>332.38404340896386</v>
          </cell>
          <cell r="Y580">
            <v>321.22576094613464</v>
          </cell>
          <cell r="Z580">
            <v>308.95623454830633</v>
          </cell>
          <cell r="AA580">
            <v>295.57546421549114</v>
          </cell>
          <cell r="AB580">
            <v>281.08344994768112</v>
          </cell>
          <cell r="AC580">
            <v>265.48019174487365</v>
          </cell>
          <cell r="AD580">
            <v>248.55741402200647</v>
          </cell>
          <cell r="AE580">
            <v>230.93955849750063</v>
          </cell>
          <cell r="AF580">
            <v>212.62662517135635</v>
          </cell>
          <cell r="AG580">
            <v>193.61861404357347</v>
          </cell>
          <cell r="AH580">
            <v>173.9155251141523</v>
          </cell>
        </row>
        <row r="581">
          <cell r="B581" t="str">
            <v>Carbon dioxide (DAC) - Finance cost - Africa - USD/ton fuel</v>
          </cell>
          <cell r="G581">
            <v>50.338222848099875</v>
          </cell>
          <cell r="H581">
            <v>48.784297130799828</v>
          </cell>
          <cell r="I581">
            <v>47.230371413499782</v>
          </cell>
          <cell r="J581">
            <v>45.895962526644261</v>
          </cell>
          <cell r="K581">
            <v>44.561553639788329</v>
          </cell>
          <cell r="L581">
            <v>43.227144752932404</v>
          </cell>
          <cell r="M581">
            <v>41.892735866076876</v>
          </cell>
          <cell r="N581">
            <v>40.558326979220951</v>
          </cell>
          <cell r="O581">
            <v>39.412424663881616</v>
          </cell>
          <cell r="P581">
            <v>38.266522348542281</v>
          </cell>
          <cell r="Q581">
            <v>37.120620033202542</v>
          </cell>
          <cell r="R581">
            <v>35.974717717863207</v>
          </cell>
          <cell r="S581">
            <v>34.828815402523475</v>
          </cell>
          <cell r="T581">
            <v>33.844790094212918</v>
          </cell>
          <cell r="U581">
            <v>32.860764785902361</v>
          </cell>
          <cell r="V581">
            <v>31.876739477592203</v>
          </cell>
          <cell r="W581">
            <v>30.89271416928165</v>
          </cell>
          <cell r="X581">
            <v>29.908688860970891</v>
          </cell>
          <cell r="Y581">
            <v>29.063672846574921</v>
          </cell>
          <cell r="Z581">
            <v>28.218656832178752</v>
          </cell>
          <cell r="AA581">
            <v>27.373640817782583</v>
          </cell>
          <cell r="AB581">
            <v>26.528624803386414</v>
          </cell>
          <cell r="AC581">
            <v>25.683608788990444</v>
          </cell>
          <cell r="AD581">
            <v>24.946887031192276</v>
          </cell>
          <cell r="AE581">
            <v>24.210165273394306</v>
          </cell>
          <cell r="AF581">
            <v>23.473443515596138</v>
          </cell>
          <cell r="AG581">
            <v>22.736721757797969</v>
          </cell>
          <cell r="AH581">
            <v>22.000000000000004</v>
          </cell>
        </row>
        <row r="582">
          <cell r="B582" t="str">
            <v>Carbon dioxide (DAC) - Finance cost - Americas - USD/ton fuel</v>
          </cell>
          <cell r="G582">
            <v>50.338222848099875</v>
          </cell>
          <cell r="H582">
            <v>48.784297130799828</v>
          </cell>
          <cell r="I582">
            <v>47.230371413499782</v>
          </cell>
          <cell r="J582">
            <v>45.895962526644261</v>
          </cell>
          <cell r="K582">
            <v>44.561553639788329</v>
          </cell>
          <cell r="L582">
            <v>43.227144752932404</v>
          </cell>
          <cell r="M582">
            <v>41.892735866076876</v>
          </cell>
          <cell r="N582">
            <v>40.558326979220951</v>
          </cell>
          <cell r="O582">
            <v>39.412424663881616</v>
          </cell>
          <cell r="P582">
            <v>38.266522348542281</v>
          </cell>
          <cell r="Q582">
            <v>37.120620033202542</v>
          </cell>
          <cell r="R582">
            <v>35.974717717863207</v>
          </cell>
          <cell r="S582">
            <v>34.828815402523475</v>
          </cell>
          <cell r="T582">
            <v>33.844790094212918</v>
          </cell>
          <cell r="U582">
            <v>32.860764785902361</v>
          </cell>
          <cell r="V582">
            <v>31.876739477592203</v>
          </cell>
          <cell r="W582">
            <v>30.89271416928165</v>
          </cell>
          <cell r="X582">
            <v>29.908688860970891</v>
          </cell>
          <cell r="Y582">
            <v>29.063672846574921</v>
          </cell>
          <cell r="Z582">
            <v>28.218656832178752</v>
          </cell>
          <cell r="AA582">
            <v>27.373640817782583</v>
          </cell>
          <cell r="AB582">
            <v>26.528624803386414</v>
          </cell>
          <cell r="AC582">
            <v>25.683608788990444</v>
          </cell>
          <cell r="AD582">
            <v>24.946887031192276</v>
          </cell>
          <cell r="AE582">
            <v>24.210165273394306</v>
          </cell>
          <cell r="AF582">
            <v>23.473443515596138</v>
          </cell>
          <cell r="AG582">
            <v>22.736721757797969</v>
          </cell>
          <cell r="AH582">
            <v>22.000000000000004</v>
          </cell>
        </row>
        <row r="583">
          <cell r="B583" t="str">
            <v>Carbon dioxide (DAC) - Finance cost - Asia - USD/ton fuel</v>
          </cell>
          <cell r="G583">
            <v>50.338222848099875</v>
          </cell>
          <cell r="H583">
            <v>48.784297130799828</v>
          </cell>
          <cell r="I583">
            <v>47.230371413499782</v>
          </cell>
          <cell r="J583">
            <v>45.895962526644261</v>
          </cell>
          <cell r="K583">
            <v>44.561553639788329</v>
          </cell>
          <cell r="L583">
            <v>43.227144752932404</v>
          </cell>
          <cell r="M583">
            <v>41.892735866076876</v>
          </cell>
          <cell r="N583">
            <v>40.558326979220951</v>
          </cell>
          <cell r="O583">
            <v>39.412424663881616</v>
          </cell>
          <cell r="P583">
            <v>38.266522348542281</v>
          </cell>
          <cell r="Q583">
            <v>37.120620033202542</v>
          </cell>
          <cell r="R583">
            <v>35.974717717863207</v>
          </cell>
          <cell r="S583">
            <v>34.828815402523475</v>
          </cell>
          <cell r="T583">
            <v>33.844790094212918</v>
          </cell>
          <cell r="U583">
            <v>32.860764785902361</v>
          </cell>
          <cell r="V583">
            <v>31.876739477592203</v>
          </cell>
          <cell r="W583">
            <v>30.89271416928165</v>
          </cell>
          <cell r="X583">
            <v>29.908688860970891</v>
          </cell>
          <cell r="Y583">
            <v>29.063672846574921</v>
          </cell>
          <cell r="Z583">
            <v>28.218656832178752</v>
          </cell>
          <cell r="AA583">
            <v>27.373640817782583</v>
          </cell>
          <cell r="AB583">
            <v>26.528624803386414</v>
          </cell>
          <cell r="AC583">
            <v>25.683608788990444</v>
          </cell>
          <cell r="AD583">
            <v>24.946887031192276</v>
          </cell>
          <cell r="AE583">
            <v>24.210165273394306</v>
          </cell>
          <cell r="AF583">
            <v>23.473443515596138</v>
          </cell>
          <cell r="AG583">
            <v>22.736721757797969</v>
          </cell>
          <cell r="AH583">
            <v>22.000000000000004</v>
          </cell>
        </row>
        <row r="584">
          <cell r="B584" t="str">
            <v>Carbon dioxide (DAC) - Finance cost - Europe - USD/ton fuel</v>
          </cell>
          <cell r="G584">
            <v>50.338222848099875</v>
          </cell>
          <cell r="H584">
            <v>48.784297130799828</v>
          </cell>
          <cell r="I584">
            <v>47.230371413499782</v>
          </cell>
          <cell r="J584">
            <v>45.895962526644261</v>
          </cell>
          <cell r="K584">
            <v>44.561553639788329</v>
          </cell>
          <cell r="L584">
            <v>43.227144752932404</v>
          </cell>
          <cell r="M584">
            <v>41.892735866076876</v>
          </cell>
          <cell r="N584">
            <v>40.558326979220951</v>
          </cell>
          <cell r="O584">
            <v>39.412424663881616</v>
          </cell>
          <cell r="P584">
            <v>38.266522348542281</v>
          </cell>
          <cell r="Q584">
            <v>37.120620033202542</v>
          </cell>
          <cell r="R584">
            <v>35.974717717863207</v>
          </cell>
          <cell r="S584">
            <v>34.828815402523475</v>
          </cell>
          <cell r="T584">
            <v>33.844790094212918</v>
          </cell>
          <cell r="U584">
            <v>32.860764785902361</v>
          </cell>
          <cell r="V584">
            <v>31.876739477592203</v>
          </cell>
          <cell r="W584">
            <v>30.89271416928165</v>
          </cell>
          <cell r="X584">
            <v>29.908688860970891</v>
          </cell>
          <cell r="Y584">
            <v>29.063672846574921</v>
          </cell>
          <cell r="Z584">
            <v>28.218656832178752</v>
          </cell>
          <cell r="AA584">
            <v>27.373640817782583</v>
          </cell>
          <cell r="AB584">
            <v>26.528624803386414</v>
          </cell>
          <cell r="AC584">
            <v>25.683608788990444</v>
          </cell>
          <cell r="AD584">
            <v>24.946887031192276</v>
          </cell>
          <cell r="AE584">
            <v>24.210165273394306</v>
          </cell>
          <cell r="AF584">
            <v>23.473443515596138</v>
          </cell>
          <cell r="AG584">
            <v>22.736721757797969</v>
          </cell>
          <cell r="AH584">
            <v>22.000000000000004</v>
          </cell>
        </row>
        <row r="585">
          <cell r="B585" t="str">
            <v>Carbon dioxide (DAC) - Finance cost - Middle East - USD/ton fuel</v>
          </cell>
          <cell r="G585">
            <v>50.338222848099875</v>
          </cell>
          <cell r="H585">
            <v>48.784297130799828</v>
          </cell>
          <cell r="I585">
            <v>47.230371413499782</v>
          </cell>
          <cell r="J585">
            <v>45.895962526644261</v>
          </cell>
          <cell r="K585">
            <v>44.561553639788329</v>
          </cell>
          <cell r="L585">
            <v>43.227144752932404</v>
          </cell>
          <cell r="M585">
            <v>41.892735866076876</v>
          </cell>
          <cell r="N585">
            <v>40.558326979220951</v>
          </cell>
          <cell r="O585">
            <v>39.412424663881616</v>
          </cell>
          <cell r="P585">
            <v>38.266522348542281</v>
          </cell>
          <cell r="Q585">
            <v>37.120620033202542</v>
          </cell>
          <cell r="R585">
            <v>35.974717717863207</v>
          </cell>
          <cell r="S585">
            <v>34.828815402523475</v>
          </cell>
          <cell r="T585">
            <v>33.844790094212918</v>
          </cell>
          <cell r="U585">
            <v>32.860764785902361</v>
          </cell>
          <cell r="V585">
            <v>31.876739477592203</v>
          </cell>
          <cell r="W585">
            <v>30.89271416928165</v>
          </cell>
          <cell r="X585">
            <v>29.908688860970891</v>
          </cell>
          <cell r="Y585">
            <v>29.063672846574921</v>
          </cell>
          <cell r="Z585">
            <v>28.218656832178752</v>
          </cell>
          <cell r="AA585">
            <v>27.373640817782583</v>
          </cell>
          <cell r="AB585">
            <v>26.528624803386414</v>
          </cell>
          <cell r="AC585">
            <v>25.683608788990444</v>
          </cell>
          <cell r="AD585">
            <v>24.946887031192276</v>
          </cell>
          <cell r="AE585">
            <v>24.210165273394306</v>
          </cell>
          <cell r="AF585">
            <v>23.473443515596138</v>
          </cell>
          <cell r="AG585">
            <v>22.736721757797969</v>
          </cell>
          <cell r="AH585">
            <v>22.000000000000004</v>
          </cell>
        </row>
        <row r="586">
          <cell r="B586" t="str">
            <v>e-methane - Conversion H2 -&gt; CH4 - Global - ton H2/ton CH4</v>
          </cell>
          <cell r="G586">
            <v>0.5</v>
          </cell>
          <cell r="H586">
            <v>0.5</v>
          </cell>
          <cell r="I586">
            <v>0.5</v>
          </cell>
          <cell r="J586">
            <v>0.5</v>
          </cell>
          <cell r="K586">
            <v>0.5</v>
          </cell>
          <cell r="L586">
            <v>0.5</v>
          </cell>
          <cell r="M586">
            <v>0.5</v>
          </cell>
          <cell r="N586">
            <v>0.5</v>
          </cell>
          <cell r="O586">
            <v>0.5</v>
          </cell>
          <cell r="P586">
            <v>0.5</v>
          </cell>
          <cell r="Q586">
            <v>0.5</v>
          </cell>
          <cell r="R586">
            <v>0.5</v>
          </cell>
          <cell r="S586">
            <v>0.5</v>
          </cell>
          <cell r="T586">
            <v>0.5</v>
          </cell>
          <cell r="U586">
            <v>0.5</v>
          </cell>
          <cell r="V586">
            <v>0.5</v>
          </cell>
          <cell r="W586">
            <v>0.5</v>
          </cell>
          <cell r="X586">
            <v>0.5</v>
          </cell>
          <cell r="Y586">
            <v>0.5</v>
          </cell>
          <cell r="Z586">
            <v>0.5</v>
          </cell>
          <cell r="AA586">
            <v>0.5</v>
          </cell>
          <cell r="AB586">
            <v>0.5</v>
          </cell>
          <cell r="AC586">
            <v>0.5</v>
          </cell>
          <cell r="AD586">
            <v>0.5</v>
          </cell>
          <cell r="AE586">
            <v>0.5</v>
          </cell>
          <cell r="AF586">
            <v>0.5</v>
          </cell>
          <cell r="AG586">
            <v>0.5</v>
          </cell>
          <cell r="AH586">
            <v>0.5</v>
          </cell>
        </row>
        <row r="587">
          <cell r="B587" t="str">
            <v>e-methane - Conversion CO2 -&gt; CH4 - Global - ton CO2/ton CH4</v>
          </cell>
          <cell r="G587">
            <v>2.75</v>
          </cell>
          <cell r="H587">
            <v>2.75</v>
          </cell>
          <cell r="I587">
            <v>2.75</v>
          </cell>
          <cell r="J587">
            <v>2.75</v>
          </cell>
          <cell r="K587">
            <v>2.75</v>
          </cell>
          <cell r="L587">
            <v>2.75</v>
          </cell>
          <cell r="M587">
            <v>2.75</v>
          </cell>
          <cell r="N587">
            <v>2.75</v>
          </cell>
          <cell r="O587">
            <v>2.75</v>
          </cell>
          <cell r="P587">
            <v>2.75</v>
          </cell>
          <cell r="Q587">
            <v>2.75</v>
          </cell>
          <cell r="R587">
            <v>2.75</v>
          </cell>
          <cell r="S587">
            <v>2.75</v>
          </cell>
          <cell r="T587">
            <v>2.75</v>
          </cell>
          <cell r="U587">
            <v>2.75</v>
          </cell>
          <cell r="V587">
            <v>2.75</v>
          </cell>
          <cell r="W587">
            <v>2.75</v>
          </cell>
          <cell r="X587">
            <v>2.75</v>
          </cell>
          <cell r="Y587">
            <v>2.75</v>
          </cell>
          <cell r="Z587">
            <v>2.75</v>
          </cell>
          <cell r="AA587">
            <v>2.75</v>
          </cell>
          <cell r="AB587">
            <v>2.75</v>
          </cell>
          <cell r="AC587">
            <v>2.75</v>
          </cell>
          <cell r="AD587">
            <v>2.75</v>
          </cell>
          <cell r="AE587">
            <v>2.75</v>
          </cell>
          <cell r="AF587">
            <v>2.75</v>
          </cell>
          <cell r="AG587">
            <v>2.75</v>
          </cell>
          <cell r="AH587">
            <v>2.75</v>
          </cell>
        </row>
        <row r="588">
          <cell r="B588" t="str">
            <v/>
          </cell>
        </row>
        <row r="589">
          <cell r="B589" t="str">
            <v>e-methane (DAC) - Energy cost including feedstock energy cost - Africa - USD/ton fuel</v>
          </cell>
          <cell r="G589">
            <v>2065.9115064781317</v>
          </cell>
          <cell r="H589">
            <v>1816.2056885144102</v>
          </cell>
          <cell r="I589">
            <v>1568.1551731841992</v>
          </cell>
          <cell r="J589">
            <v>1494.4810754916657</v>
          </cell>
          <cell r="K589">
            <v>1421.0294615842026</v>
          </cell>
          <cell r="L589">
            <v>1347.8517248827388</v>
          </cell>
          <cell r="M589">
            <v>1274.9992588082227</v>
          </cell>
          <cell r="N589">
            <v>1202.523456781601</v>
          </cell>
          <cell r="O589">
            <v>1156.9056847261252</v>
          </cell>
          <cell r="P589">
            <v>1111.571972925977</v>
          </cell>
          <cell r="Q589">
            <v>1066.5500031993777</v>
          </cell>
          <cell r="R589">
            <v>1021.8674573645987</v>
          </cell>
          <cell r="S589">
            <v>977.55201723990808</v>
          </cell>
          <cell r="T589">
            <v>952.16024934545385</v>
          </cell>
          <cell r="U589">
            <v>926.9015266088096</v>
          </cell>
          <cell r="V589">
            <v>901.78488171246556</v>
          </cell>
          <cell r="W589">
            <v>876.81934733886408</v>
          </cell>
          <cell r="X589">
            <v>852.01395617049229</v>
          </cell>
          <cell r="Y589">
            <v>825.36312480180709</v>
          </cell>
          <cell r="Z589">
            <v>799.2077957885972</v>
          </cell>
          <cell r="AA589">
            <v>773.54268706163634</v>
          </cell>
          <cell r="AB589">
            <v>748.36251655168849</v>
          </cell>
          <cell r="AC589">
            <v>723.66200218951758</v>
          </cell>
          <cell r="AD589">
            <v>708.28800657453803</v>
          </cell>
          <cell r="AE589">
            <v>693.18469780509781</v>
          </cell>
          <cell r="AF589">
            <v>678.34874740504574</v>
          </cell>
          <cell r="AG589">
            <v>663.77682689824383</v>
          </cell>
          <cell r="AH589">
            <v>649.46560780855475</v>
          </cell>
        </row>
        <row r="590">
          <cell r="B590" t="str">
            <v>e-methane (DAC) - Energy cost including feedstock energy cost - Americas - USD/ton fuel</v>
          </cell>
          <cell r="G590">
            <v>1298.0429404602576</v>
          </cell>
          <cell r="H590">
            <v>1266.2032743168902</v>
          </cell>
          <cell r="I590">
            <v>1234.386402122653</v>
          </cell>
          <cell r="J590">
            <v>1184.0912715606996</v>
          </cell>
          <cell r="K590">
            <v>1133.8994803645403</v>
          </cell>
          <cell r="L590">
            <v>1083.8455602096992</v>
          </cell>
          <cell r="M590">
            <v>1033.9640427717454</v>
          </cell>
          <cell r="N590">
            <v>984.28945972616043</v>
          </cell>
          <cell r="O590">
            <v>955.62326061585327</v>
          </cell>
          <cell r="P590">
            <v>927.04892929159496</v>
          </cell>
          <cell r="Q590">
            <v>898.5825004666151</v>
          </cell>
          <cell r="R590">
            <v>870.24000885414569</v>
          </cell>
          <cell r="S590">
            <v>842.03748916744837</v>
          </cell>
          <cell r="T590">
            <v>817.94124319594664</v>
          </cell>
          <cell r="U590">
            <v>794.00205118705526</v>
          </cell>
          <cell r="V590">
            <v>770.22892416319587</v>
          </cell>
          <cell r="W590">
            <v>746.63087314674999</v>
          </cell>
          <cell r="X590">
            <v>723.21690916012312</v>
          </cell>
          <cell r="Y590">
            <v>707.88951882953495</v>
          </cell>
          <cell r="Z590">
            <v>692.79838743804066</v>
          </cell>
          <cell r="AA590">
            <v>677.94145047693223</v>
          </cell>
          <cell r="AB590">
            <v>663.31664343746991</v>
          </cell>
          <cell r="AC590">
            <v>648.92190181094065</v>
          </cell>
          <cell r="AD590">
            <v>637.30970109493126</v>
          </cell>
          <cell r="AE590">
            <v>625.8921093409075</v>
          </cell>
          <cell r="AF590">
            <v>614.66712692491421</v>
          </cell>
          <cell r="AG590">
            <v>603.63275422300069</v>
          </cell>
          <cell r="AH590">
            <v>592.78699161121574</v>
          </cell>
        </row>
        <row r="591">
          <cell r="B591" t="str">
            <v>e-methane (DAC) - Energy cost including feedstock energy cost - Asia - USD/ton fuel</v>
          </cell>
          <cell r="G591">
            <v>2297.7230253986763</v>
          </cell>
          <cell r="H591">
            <v>2087.6362389213568</v>
          </cell>
          <cell r="I591">
            <v>1878.8402897736867</v>
          </cell>
          <cell r="J591">
            <v>1799.0650970584363</v>
          </cell>
          <cell r="K591">
            <v>1719.4772411156632</v>
          </cell>
          <cell r="L591">
            <v>1640.1317609771024</v>
          </cell>
          <cell r="M591">
            <v>1561.0836956746271</v>
          </cell>
          <cell r="N591">
            <v>1482.3880842400479</v>
          </cell>
          <cell r="O591">
            <v>1423.5697715589893</v>
          </cell>
          <cell r="P591">
            <v>1365.1435293946186</v>
          </cell>
          <cell r="Q591">
            <v>1307.1454552676882</v>
          </cell>
          <cell r="R591">
            <v>1249.6116466989245</v>
          </cell>
          <cell r="S591">
            <v>1192.5782012091481</v>
          </cell>
          <cell r="T591">
            <v>1158.5213675361592</v>
          </cell>
          <cell r="U591">
            <v>1124.6856203288783</v>
          </cell>
          <cell r="V591">
            <v>1091.0836827976705</v>
          </cell>
          <cell r="W591">
            <v>1057.7282781528074</v>
          </cell>
          <cell r="X591">
            <v>1024.6321296046476</v>
          </cell>
          <cell r="Y591">
            <v>988.8983630293983</v>
          </cell>
          <cell r="Z591">
            <v>953.85357027926557</v>
          </cell>
          <cell r="AA591">
            <v>919.49017761608172</v>
          </cell>
          <cell r="AB591">
            <v>885.80061130167041</v>
          </cell>
          <cell r="AC591">
            <v>852.77729759785734</v>
          </cell>
          <cell r="AD591">
            <v>833.47577499291606</v>
          </cell>
          <cell r="AE591">
            <v>814.51945442019689</v>
          </cell>
          <cell r="AF591">
            <v>795.90387680351751</v>
          </cell>
          <cell r="AG591">
            <v>777.62458306668987</v>
          </cell>
          <cell r="AH591">
            <v>759.67711413352572</v>
          </cell>
        </row>
        <row r="592">
          <cell r="B592" t="str">
            <v>e-methane (DAC) - Energy cost including feedstock energy cost - Europe - USD/ton fuel</v>
          </cell>
          <cell r="G592">
            <v>1710.5303315002991</v>
          </cell>
          <cell r="H592">
            <v>1630.4217449138359</v>
          </cell>
          <cell r="I592">
            <v>1550.6535363441499</v>
          </cell>
          <cell r="J592">
            <v>1485.014900006393</v>
          </cell>
          <cell r="K592">
            <v>1419.5289953075978</v>
          </cell>
          <cell r="L592">
            <v>1354.2410920486038</v>
          </cell>
          <cell r="M592">
            <v>1289.1964600302229</v>
          </cell>
          <cell r="N592">
            <v>1224.440369053279</v>
          </cell>
          <cell r="O592">
            <v>1191.1330705552627</v>
          </cell>
          <cell r="P592">
            <v>1157.9018973627947</v>
          </cell>
          <cell r="Q592">
            <v>1124.7649994351091</v>
          </cell>
          <cell r="R592">
            <v>1091.7405267314809</v>
          </cell>
          <cell r="S592">
            <v>1058.8466292112266</v>
          </cell>
          <cell r="T592">
            <v>1035.4494164566113</v>
          </cell>
          <cell r="U592">
            <v>1012.1179490475391</v>
          </cell>
          <cell r="V592">
            <v>988.85973940737767</v>
          </cell>
          <cell r="W592">
            <v>965.68229995943295</v>
          </cell>
          <cell r="X592">
            <v>942.5931431270501</v>
          </cell>
          <cell r="Y592">
            <v>916.947861171368</v>
          </cell>
          <cell r="Z592">
            <v>891.75375031941905</v>
          </cell>
          <cell r="AA592">
            <v>867.00624000252174</v>
          </cell>
          <cell r="AB592">
            <v>842.70075965194633</v>
          </cell>
          <cell r="AC592">
            <v>818.83273869900438</v>
          </cell>
          <cell r="AD592">
            <v>800.30003049381844</v>
          </cell>
          <cell r="AE592">
            <v>782.09877208032856</v>
          </cell>
          <cell r="AF592">
            <v>764.22468211149385</v>
          </cell>
          <cell r="AG592">
            <v>746.67347924026785</v>
          </cell>
          <cell r="AH592">
            <v>729.440882119604</v>
          </cell>
        </row>
        <row r="593">
          <cell r="B593" t="str">
            <v>e-methane (DAC) - Energy cost including feedstock energy cost - Middle East - USD/ton fuel</v>
          </cell>
          <cell r="G593">
            <v>1309.8296125480986</v>
          </cell>
          <cell r="H593">
            <v>1247.1457443584529</v>
          </cell>
          <cell r="I593">
            <v>1184.7334283824084</v>
          </cell>
          <cell r="J593">
            <v>1141.7382050886758</v>
          </cell>
          <cell r="K593">
            <v>1098.7929539305583</v>
          </cell>
          <cell r="L593">
            <v>1055.9267574468836</v>
          </cell>
          <cell r="M593">
            <v>1013.1686981765089</v>
          </cell>
          <cell r="N593">
            <v>970.54785865825102</v>
          </cell>
          <cell r="O593">
            <v>937.07487923879421</v>
          </cell>
          <cell r="P593">
            <v>903.77692283338126</v>
          </cell>
          <cell r="Q593">
            <v>870.67377683934467</v>
          </cell>
          <cell r="R593">
            <v>837.78522865405046</v>
          </cell>
          <cell r="S593">
            <v>805.1310656748733</v>
          </cell>
          <cell r="T593">
            <v>785.23309539639058</v>
          </cell>
          <cell r="U593">
            <v>765.42532939327884</v>
          </cell>
          <cell r="V593">
            <v>745.71464558351636</v>
          </cell>
          <cell r="W593">
            <v>726.1079218850216</v>
          </cell>
          <cell r="X593">
            <v>706.61203621575862</v>
          </cell>
          <cell r="Y593">
            <v>682.25136111740233</v>
          </cell>
          <cell r="Z593">
            <v>658.35868768229193</v>
          </cell>
          <cell r="AA593">
            <v>634.92888646328834</v>
          </cell>
          <cell r="AB593">
            <v>611.95682801324256</v>
          </cell>
          <cell r="AC593">
            <v>589.43738288500958</v>
          </cell>
          <cell r="AD593">
            <v>576.09603907822532</v>
          </cell>
          <cell r="AE593">
            <v>562.99330204414923</v>
          </cell>
          <cell r="AF593">
            <v>550.12608959829527</v>
          </cell>
          <cell r="AG593">
            <v>537.49131955618486</v>
          </cell>
          <cell r="AH593">
            <v>525.08590973333946</v>
          </cell>
        </row>
        <row r="594">
          <cell r="B594" t="str">
            <v>e-methane (DAC) - Energy cost - Africa - USD/ton fuel</v>
          </cell>
          <cell r="G594">
            <v>23.35592277220567</v>
          </cell>
          <cell r="H594">
            <v>20.613318498263837</v>
          </cell>
          <cell r="I594">
            <v>17.870714224321272</v>
          </cell>
          <cell r="J594">
            <v>17.106169874015542</v>
          </cell>
          <cell r="K594">
            <v>16.341625523709808</v>
          </cell>
          <cell r="L594">
            <v>15.577081173404077</v>
          </cell>
          <cell r="M594">
            <v>14.812536823098164</v>
          </cell>
          <cell r="N594">
            <v>14.04799247279243</v>
          </cell>
          <cell r="O594">
            <v>13.621222839370786</v>
          </cell>
          <cell r="P594">
            <v>13.19445320594914</v>
          </cell>
          <cell r="Q594">
            <v>12.767683572527313</v>
          </cell>
          <cell r="R594">
            <v>12.340913939105668</v>
          </cell>
          <cell r="S594">
            <v>11.914144305684069</v>
          </cell>
          <cell r="T594">
            <v>11.713270851961216</v>
          </cell>
          <cell r="U594">
            <v>11.512397398238409</v>
          </cell>
          <cell r="V594">
            <v>11.311523944515557</v>
          </cell>
          <cell r="W594">
            <v>11.110650490792706</v>
          </cell>
          <cell r="X594">
            <v>10.909777037069944</v>
          </cell>
          <cell r="Y594">
            <v>10.703224659738499</v>
          </cell>
          <cell r="Z594">
            <v>10.496672282407054</v>
          </cell>
          <cell r="AA594">
            <v>10.290119905075517</v>
          </cell>
          <cell r="AB594">
            <v>10.083567527744073</v>
          </cell>
          <cell r="AC594">
            <v>9.877015150412582</v>
          </cell>
          <cell r="AD594">
            <v>9.7756337118425574</v>
          </cell>
          <cell r="AE594">
            <v>9.6742522732725789</v>
          </cell>
          <cell r="AF594">
            <v>9.5728708347025542</v>
          </cell>
          <cell r="AG594">
            <v>9.4714893961325295</v>
          </cell>
          <cell r="AH594">
            <v>9.370107957562551</v>
          </cell>
        </row>
        <row r="595">
          <cell r="B595" t="str">
            <v>e-methane (DAC) - Energy cost - Americas - USD/ton fuel</v>
          </cell>
          <cell r="G595">
            <v>14.674873815906814</v>
          </cell>
          <cell r="H595">
            <v>14.37097766078905</v>
          </cell>
          <cell r="I595">
            <v>14.067081505671196</v>
          </cell>
          <cell r="J595">
            <v>13.553377670568807</v>
          </cell>
          <cell r="K595">
            <v>13.03967383546642</v>
          </cell>
          <cell r="L595">
            <v>12.525970000364033</v>
          </cell>
          <cell r="M595">
            <v>12.012266165261828</v>
          </cell>
          <cell r="N595">
            <v>11.498562330159439</v>
          </cell>
          <cell r="O595">
            <v>11.251355711348333</v>
          </cell>
          <cell r="P595">
            <v>11.004149092537228</v>
          </cell>
          <cell r="Q595">
            <v>10.756942473726122</v>
          </cell>
          <cell r="R595">
            <v>10.509735854915016</v>
          </cell>
          <cell r="S595">
            <v>10.262529236103866</v>
          </cell>
          <cell r="T595">
            <v>10.062137470168636</v>
          </cell>
          <cell r="U595">
            <v>9.8617457042334085</v>
          </cell>
          <cell r="V595">
            <v>9.6613539382981344</v>
          </cell>
          <cell r="W595">
            <v>9.4609621723629065</v>
          </cell>
          <cell r="X595">
            <v>9.2605704064276555</v>
          </cell>
          <cell r="Y595">
            <v>9.1798389419518571</v>
          </cell>
          <cell r="Z595">
            <v>9.0991074774760587</v>
          </cell>
          <cell r="AA595">
            <v>9.0183760130002835</v>
          </cell>
          <cell r="AB595">
            <v>8.9376445485244869</v>
          </cell>
          <cell r="AC595">
            <v>8.8569130840486885</v>
          </cell>
          <cell r="AD595">
            <v>8.7960069083172812</v>
          </cell>
          <cell r="AE595">
            <v>8.7351007325858969</v>
          </cell>
          <cell r="AF595">
            <v>8.6741945568545145</v>
          </cell>
          <cell r="AG595">
            <v>8.6132883811231302</v>
          </cell>
          <cell r="AH595">
            <v>8.552382205391746</v>
          </cell>
        </row>
        <row r="596">
          <cell r="B596" t="str">
            <v>e-methane (DAC) - Energy cost - Asia - USD/ton fuel</v>
          </cell>
          <cell r="G596">
            <v>25.976640995923663</v>
          </cell>
          <cell r="H596">
            <v>23.693963174734382</v>
          </cell>
          <cell r="I596">
            <v>21.411285353546191</v>
          </cell>
          <cell r="J596">
            <v>20.592507773689434</v>
          </cell>
          <cell r="K596">
            <v>19.773730193833035</v>
          </cell>
          <cell r="L596">
            <v>18.954952613976275</v>
          </cell>
          <cell r="M596">
            <v>18.136175034119514</v>
          </cell>
          <cell r="N596">
            <v>17.317397454263119</v>
          </cell>
          <cell r="O596">
            <v>16.760883226524676</v>
          </cell>
          <cell r="P596">
            <v>16.204368998786414</v>
          </cell>
          <cell r="Q596">
            <v>15.647854771048333</v>
          </cell>
          <cell r="R596">
            <v>15.091340543310071</v>
          </cell>
          <cell r="S596">
            <v>14.534826315571809</v>
          </cell>
          <cell r="T596">
            <v>14.251880999090282</v>
          </cell>
          <cell r="U596">
            <v>13.968935682608754</v>
          </cell>
          <cell r="V596">
            <v>13.685990366127317</v>
          </cell>
          <cell r="W596">
            <v>13.40304504964579</v>
          </cell>
          <cell r="X596">
            <v>13.120099733164444</v>
          </cell>
          <cell r="Y596">
            <v>12.823932917639013</v>
          </cell>
          <cell r="Z596">
            <v>12.527766102113674</v>
          </cell>
          <cell r="AA596">
            <v>12.231599286588244</v>
          </cell>
          <cell r="AB596">
            <v>11.935432471062905</v>
          </cell>
          <cell r="AC596">
            <v>11.639265655537475</v>
          </cell>
          <cell r="AD596">
            <v>11.503447479549278</v>
          </cell>
          <cell r="AE596">
            <v>11.367629303561035</v>
          </cell>
          <cell r="AF596">
            <v>11.231811127572838</v>
          </cell>
          <cell r="AG596">
            <v>11.095992951584641</v>
          </cell>
          <cell r="AH596">
            <v>10.960174775596398</v>
          </cell>
        </row>
        <row r="597">
          <cell r="B597" t="str">
            <v>e-methane (DAC) - Energy cost - Europe - USD/ton fuel</v>
          </cell>
          <cell r="G597">
            <v>19.338202143102901</v>
          </cell>
          <cell r="H597">
            <v>18.504733757273062</v>
          </cell>
          <cell r="I597">
            <v>17.671265371443223</v>
          </cell>
          <cell r="J597">
            <v>16.99781787908978</v>
          </cell>
          <cell r="K597">
            <v>16.324370386736156</v>
          </cell>
          <cell r="L597">
            <v>15.650922894382711</v>
          </cell>
          <cell r="M597">
            <v>14.977475402029086</v>
          </cell>
          <cell r="N597">
            <v>14.304027909675643</v>
          </cell>
          <cell r="O597">
            <v>14.024210615939774</v>
          </cell>
          <cell r="P597">
            <v>13.744393322204179</v>
          </cell>
          <cell r="Q597">
            <v>13.464576028468493</v>
          </cell>
          <cell r="R597">
            <v>13.184758734732805</v>
          </cell>
          <cell r="S597">
            <v>12.904941440997209</v>
          </cell>
          <cell r="T597">
            <v>12.737876294246689</v>
          </cell>
          <cell r="U597">
            <v>12.570811147496215</v>
          </cell>
          <cell r="V597">
            <v>12.403746000745741</v>
          </cell>
          <cell r="W597">
            <v>12.236680853995267</v>
          </cell>
          <cell r="X597">
            <v>12.069615707244703</v>
          </cell>
          <cell r="Y597">
            <v>11.890886162064181</v>
          </cell>
          <cell r="Z597">
            <v>11.712156616883613</v>
          </cell>
          <cell r="AA597">
            <v>11.533427071703091</v>
          </cell>
          <cell r="AB597">
            <v>11.354697526522523</v>
          </cell>
          <cell r="AC597">
            <v>11.175967981342001</v>
          </cell>
          <cell r="AD597">
            <v>11.045563224372746</v>
          </cell>
          <cell r="AE597">
            <v>10.915158467403444</v>
          </cell>
          <cell r="AF597">
            <v>10.784753710434188</v>
          </cell>
          <cell r="AG597">
            <v>10.654348953464932</v>
          </cell>
          <cell r="AH597">
            <v>10.523944196495632</v>
          </cell>
        </row>
        <row r="598">
          <cell r="B598" t="str">
            <v>e-methane (DAC) - Energy cost - Middle East - USD/ton fuel</v>
          </cell>
          <cell r="G598">
            <v>14.808126669265585</v>
          </cell>
          <cell r="H598">
            <v>14.154681160173642</v>
          </cell>
          <cell r="I598">
            <v>13.501235651081515</v>
          </cell>
          <cell r="J598">
            <v>13.06859485087498</v>
          </cell>
          <cell r="K598">
            <v>12.635954050668444</v>
          </cell>
          <cell r="L598">
            <v>12.203313250461907</v>
          </cell>
          <cell r="M598">
            <v>11.77067245025537</v>
          </cell>
          <cell r="N598">
            <v>11.338031650048833</v>
          </cell>
          <cell r="O598">
            <v>11.032970030145316</v>
          </cell>
          <cell r="P598">
            <v>10.72790841024189</v>
          </cell>
          <cell r="Q598">
            <v>10.422846790338372</v>
          </cell>
          <cell r="R598">
            <v>10.117785170434946</v>
          </cell>
          <cell r="S598">
            <v>9.8127235505315191</v>
          </cell>
          <cell r="T598">
            <v>9.6597688620424833</v>
          </cell>
          <cell r="U598">
            <v>9.5068141735534493</v>
          </cell>
          <cell r="V598">
            <v>9.3538594850644596</v>
          </cell>
          <cell r="W598">
            <v>9.2009047965754238</v>
          </cell>
          <cell r="X598">
            <v>9.047950108086388</v>
          </cell>
          <cell r="Y598">
            <v>8.8473659326680263</v>
          </cell>
          <cell r="Z598">
            <v>8.6467817572497108</v>
          </cell>
          <cell r="AA598">
            <v>8.4461975818313473</v>
          </cell>
          <cell r="AB598">
            <v>8.2456134064130318</v>
          </cell>
          <cell r="AC598">
            <v>8.045029230994647</v>
          </cell>
          <cell r="AD598">
            <v>7.9511495445312228</v>
          </cell>
          <cell r="AE598">
            <v>7.8572698580678209</v>
          </cell>
          <cell r="AF598">
            <v>7.7633901716043967</v>
          </cell>
          <cell r="AG598">
            <v>7.6695104851409726</v>
          </cell>
          <cell r="AH598">
            <v>7.5756307986775715</v>
          </cell>
        </row>
        <row r="599">
          <cell r="B599" t="str">
            <v>e-hydrogen (compressed) - Energy cost including feedstock energy cost - Africa - USD/ton fuel</v>
          </cell>
          <cell r="G599">
            <v>3160.8705964644164</v>
          </cell>
          <cell r="H599">
            <v>2786.523241337979</v>
          </cell>
          <cell r="I599">
            <v>2412.5464202833837</v>
          </cell>
          <cell r="J599">
            <v>2304.7344628217015</v>
          </cell>
          <cell r="K599">
            <v>2196.6012206586379</v>
          </cell>
          <cell r="L599">
            <v>2088.2494806360514</v>
          </cell>
          <cell r="M599">
            <v>1979.7820295958466</v>
          </cell>
          <cell r="N599">
            <v>1871.3016543799013</v>
          </cell>
          <cell r="O599">
            <v>1802.6625730422293</v>
          </cell>
          <cell r="P599">
            <v>1734.1917254836167</v>
          </cell>
          <cell r="Q599">
            <v>1665.9444753405153</v>
          </cell>
          <cell r="R599">
            <v>1597.976186249457</v>
          </cell>
          <cell r="S599">
            <v>1530.3422218469802</v>
          </cell>
          <cell r="T599">
            <v>1491.8507805011832</v>
          </cell>
          <cell r="U599">
            <v>1453.4494587457298</v>
          </cell>
          <cell r="V599">
            <v>1415.1563219456079</v>
          </cell>
          <cell r="W599">
            <v>1376.9894354656967</v>
          </cell>
          <cell r="X599">
            <v>1338.9668646709708</v>
          </cell>
          <cell r="Y599">
            <v>1296.9598763474942</v>
          </cell>
          <cell r="Z599">
            <v>1255.7747230782336</v>
          </cell>
          <cell r="AA599">
            <v>1215.4008407247393</v>
          </cell>
          <cell r="AB599">
            <v>1175.8276651485323</v>
          </cell>
          <cell r="AC599">
            <v>1137.0446322111472</v>
          </cell>
          <cell r="AD599">
            <v>1113.2241368658154</v>
          </cell>
          <cell r="AE599">
            <v>1089.8673860112274</v>
          </cell>
          <cell r="AF599">
            <v>1066.9677226950826</v>
          </cell>
          <cell r="AG599">
            <v>1044.5184899651035</v>
          </cell>
          <cell r="AH599">
            <v>1022.5130308690141</v>
          </cell>
        </row>
        <row r="600">
          <cell r="B600" t="str">
            <v>e-hydrogen (compressed) - Energy cost including feedstock energy cost - Americas - USD/ton fuel</v>
          </cell>
          <cell r="G600">
            <v>1986.022029783622</v>
          </cell>
          <cell r="H600">
            <v>1942.6791108821419</v>
          </cell>
          <cell r="I600">
            <v>1899.0560032656203</v>
          </cell>
          <cell r="J600">
            <v>1826.0625747933959</v>
          </cell>
          <cell r="K600">
            <v>1752.7609736509025</v>
          </cell>
          <cell r="L600">
            <v>1679.2202631891889</v>
          </cell>
          <cell r="M600">
            <v>1605.5095067593863</v>
          </cell>
          <cell r="N600">
            <v>1531.6977677124719</v>
          </cell>
          <cell r="O600">
            <v>1489.0291478242557</v>
          </cell>
          <cell r="P600">
            <v>1446.3126288296503</v>
          </cell>
          <cell r="Q600">
            <v>1403.5802801551172</v>
          </cell>
          <cell r="R600">
            <v>1360.8641712271224</v>
          </cell>
          <cell r="S600">
            <v>1318.196371472189</v>
          </cell>
          <cell r="T600">
            <v>1281.5555815366356</v>
          </cell>
          <cell r="U600">
            <v>1245.0533507729108</v>
          </cell>
          <cell r="V600">
            <v>1208.7077012258628</v>
          </cell>
          <cell r="W600">
            <v>1172.5366549402484</v>
          </cell>
          <cell r="X600">
            <v>1136.5582339608836</v>
          </cell>
          <cell r="Y600">
            <v>1112.3640919011295</v>
          </cell>
          <cell r="Z600">
            <v>1088.5763473760965</v>
          </cell>
          <cell r="AA600">
            <v>1065.1908713683672</v>
          </cell>
          <cell r="AB600">
            <v>1042.2035348604634</v>
          </cell>
          <cell r="AC600">
            <v>1019.61020883496</v>
          </cell>
          <cell r="AD600">
            <v>1001.6667447875999</v>
          </cell>
          <cell r="AE600">
            <v>984.06586194466854</v>
          </cell>
          <cell r="AF600">
            <v>966.80356105825501</v>
          </cell>
          <cell r="AG600">
            <v>949.87584288045787</v>
          </cell>
          <cell r="AH600">
            <v>933.27870816337509</v>
          </cell>
        </row>
        <row r="601">
          <cell r="B601" t="str">
            <v>e-hydrogen (compressed) - Energy cost including feedstock energy cost - Asia - USD/ton fuel</v>
          </cell>
          <cell r="G601">
            <v>3515.5451368694994</v>
          </cell>
          <cell r="H601">
            <v>3202.9670075376002</v>
          </cell>
          <cell r="I601">
            <v>2890.5235227287494</v>
          </cell>
          <cell r="J601">
            <v>2774.4528840461521</v>
          </cell>
          <cell r="K601">
            <v>2657.9363122554146</v>
          </cell>
          <cell r="L601">
            <v>2541.0838854200356</v>
          </cell>
          <cell r="M601">
            <v>2424.0056816037468</v>
          </cell>
          <cell r="N601">
            <v>2306.8117788701561</v>
          </cell>
          <cell r="O601">
            <v>2218.1721303505983</v>
          </cell>
          <cell r="P601">
            <v>2129.7951643580186</v>
          </cell>
          <cell r="Q601">
            <v>2041.7530759339261</v>
          </cell>
          <cell r="R601">
            <v>1954.1180601197893</v>
          </cell>
          <cell r="S601">
            <v>1866.9623119572402</v>
          </cell>
          <cell r="T601">
            <v>1815.1787029276168</v>
          </cell>
          <cell r="U601">
            <v>1763.5893988725866</v>
          </cell>
          <cell r="V601">
            <v>1712.219846212882</v>
          </cell>
          <cell r="W601">
            <v>1661.0954913690473</v>
          </cell>
          <cell r="X601">
            <v>1610.2417807617942</v>
          </cell>
          <cell r="Y601">
            <v>1553.9360314199</v>
          </cell>
          <cell r="Z601">
            <v>1498.7656644323729</v>
          </cell>
          <cell r="AA601">
            <v>1444.7155323228835</v>
          </cell>
          <cell r="AB601">
            <v>1391.7704876150719</v>
          </cell>
          <cell r="AC601">
            <v>1339.915382832598</v>
          </cell>
          <cell r="AD601">
            <v>1309.9831447130568</v>
          </cell>
          <cell r="AE601">
            <v>1280.6373127610934</v>
          </cell>
          <cell r="AF601">
            <v>1251.8689688243389</v>
          </cell>
          <cell r="AG601">
            <v>1223.6691947504187</v>
          </cell>
          <cell r="AH601">
            <v>1196.0290723869578</v>
          </cell>
        </row>
        <row r="602">
          <cell r="B602" t="str">
            <v>e-hydrogen (compressed) - Energy cost including feedstock energy cost - Europe - USD/ton fuel</v>
          </cell>
          <cell r="G602">
            <v>2617.1329276426868</v>
          </cell>
          <cell r="H602">
            <v>2501.4832373426843</v>
          </cell>
          <cell r="I602">
            <v>2385.6208251448465</v>
          </cell>
          <cell r="J602">
            <v>2290.1360706240293</v>
          </cell>
          <cell r="K602">
            <v>2194.281827469511</v>
          </cell>
          <cell r="L602">
            <v>2098.1486352829556</v>
          </cell>
          <cell r="M602">
            <v>2001.8270336660016</v>
          </cell>
          <cell r="N602">
            <v>1905.4075622202831</v>
          </cell>
          <cell r="O602">
            <v>1855.9948612502078</v>
          </cell>
          <cell r="P602">
            <v>1806.4722197363817</v>
          </cell>
          <cell r="Q602">
            <v>1756.8759375972888</v>
          </cell>
          <cell r="R602">
            <v>1707.2423147514785</v>
          </cell>
          <cell r="S602">
            <v>1657.6076511175781</v>
          </cell>
          <cell r="T602">
            <v>1622.348781281504</v>
          </cell>
          <cell r="U602">
            <v>1587.0750484272664</v>
          </cell>
          <cell r="V602">
            <v>1551.8014774016065</v>
          </cell>
          <cell r="W602">
            <v>1516.5430930511313</v>
          </cell>
          <cell r="X602">
            <v>1481.3149202225381</v>
          </cell>
          <cell r="Y602">
            <v>1440.8743847473047</v>
          </cell>
          <cell r="Z602">
            <v>1401.1898091614214</v>
          </cell>
          <cell r="AA602">
            <v>1362.2520523275218</v>
          </cell>
          <cell r="AB602">
            <v>1324.0519731081486</v>
          </cell>
          <cell r="AC602">
            <v>1286.5804303659243</v>
          </cell>
          <cell r="AD602">
            <v>1257.840458133481</v>
          </cell>
          <cell r="AE602">
            <v>1229.6635327190136</v>
          </cell>
          <cell r="AF602">
            <v>1202.0410914284364</v>
          </cell>
          <cell r="AG602">
            <v>1174.9645715676581</v>
          </cell>
          <cell r="AH602">
            <v>1148.4254104425868</v>
          </cell>
        </row>
        <row r="603">
          <cell r="B603" t="str">
            <v>e-hydrogen (compressed) - Energy cost including feedstock energy cost - Middle East - USD/ton fuel</v>
          </cell>
          <cell r="G603">
            <v>2004.0557863679674</v>
          </cell>
          <cell r="H603">
            <v>1913.439994141396</v>
          </cell>
          <cell r="I603">
            <v>1822.6668128960132</v>
          </cell>
          <cell r="J603">
            <v>1760.7472131571581</v>
          </cell>
          <cell r="K603">
            <v>1698.4939504098782</v>
          </cell>
          <cell r="L603">
            <v>1635.9651897318304</v>
          </cell>
          <cell r="M603">
            <v>1573.2190962007282</v>
          </cell>
          <cell r="N603">
            <v>1510.3138348942052</v>
          </cell>
          <cell r="O603">
            <v>1460.1275067135082</v>
          </cell>
          <cell r="P603">
            <v>1410.0053792603746</v>
          </cell>
          <cell r="Q603">
            <v>1359.9870273294782</v>
          </cell>
          <cell r="R603">
            <v>1310.1120257155462</v>
          </cell>
          <cell r="S603">
            <v>1260.4199492133293</v>
          </cell>
          <cell r="T603">
            <v>1230.3082459572943</v>
          </cell>
          <cell r="U603">
            <v>1200.2429586961468</v>
          </cell>
          <cell r="V603">
            <v>1170.2378432658459</v>
          </cell>
          <cell r="W603">
            <v>1140.3066555022276</v>
          </cell>
          <cell r="X603">
            <v>1110.4631512412213</v>
          </cell>
          <cell r="Y603">
            <v>1072.0767797388739</v>
          </cell>
          <cell r="Z603">
            <v>1034.4621299578357</v>
          </cell>
          <cell r="AA603">
            <v>997.60894300383222</v>
          </cell>
          <cell r="AB603">
            <v>961.50695998256094</v>
          </cell>
          <cell r="AC603">
            <v>926.14592199973754</v>
          </cell>
          <cell r="AD603">
            <v>905.45655143347608</v>
          </cell>
          <cell r="AE603">
            <v>885.17250940990675</v>
          </cell>
          <cell r="AF603">
            <v>865.287631560058</v>
          </cell>
          <cell r="AG603">
            <v>845.79575351497181</v>
          </cell>
          <cell r="AH603">
            <v>826.69071090569059</v>
          </cell>
        </row>
        <row r="604">
          <cell r="B604" t="str">
            <v>Carbon dioxide (DAC) - Energy cost - Africa - USD/ton fuel</v>
          </cell>
          <cell r="G604">
            <v>168.04374017226095</v>
          </cell>
          <cell r="H604">
            <v>146.30209067169341</v>
          </cell>
          <cell r="I604">
            <v>125.09499957024941</v>
          </cell>
          <cell r="J604">
            <v>118.18460880247255</v>
          </cell>
          <cell r="K604">
            <v>111.41353662951776</v>
          </cell>
          <cell r="L604">
            <v>104.78178305138506</v>
          </cell>
          <cell r="M604">
            <v>98.28934806807321</v>
          </cell>
          <cell r="N604">
            <v>91.936231679584665</v>
          </cell>
          <cell r="O604">
            <v>87.982972860232593</v>
          </cell>
          <cell r="P604">
            <v>84.102420719352523</v>
          </cell>
          <cell r="Q604">
            <v>80.294575256942807</v>
          </cell>
          <cell r="R604">
            <v>76.559436473005292</v>
          </cell>
          <cell r="S604">
            <v>72.89700436753958</v>
          </cell>
          <cell r="T604">
            <v>70.735122997418571</v>
          </cell>
          <cell r="U604">
            <v>68.605236304620504</v>
          </cell>
          <cell r="V604">
            <v>66.507344289144001</v>
          </cell>
          <cell r="W604">
            <v>64.441446950990169</v>
          </cell>
          <cell r="X604">
            <v>62.40754429015891</v>
          </cell>
          <cell r="Y604">
            <v>60.429077079389643</v>
          </cell>
          <cell r="Z604">
            <v>58.481367988026683</v>
          </cell>
          <cell r="AA604">
            <v>56.564417016069513</v>
          </cell>
          <cell r="AB604">
            <v>54.678224163519339</v>
          </cell>
          <cell r="AC604">
            <v>52.822789430375032</v>
          </cell>
          <cell r="AD604">
            <v>51.600110701740995</v>
          </cell>
          <cell r="AE604">
            <v>50.391546373167834</v>
          </cell>
          <cell r="AF604">
            <v>49.197096444655244</v>
          </cell>
          <cell r="AG604">
            <v>48.016760916203474</v>
          </cell>
          <cell r="AH604">
            <v>46.85053978781275</v>
          </cell>
        </row>
        <row r="605">
          <cell r="B605" t="str">
            <v>Carbon dioxide (DAC) - Energy cost - Americas - USD/ton fuel</v>
          </cell>
          <cell r="G605">
            <v>105.58438245546897</v>
          </cell>
          <cell r="H605">
            <v>101.99736044182912</v>
          </cell>
          <cell r="I605">
            <v>98.469570539698765</v>
          </cell>
          <cell r="J605">
            <v>93.638765997611998</v>
          </cell>
          <cell r="K605">
            <v>88.901570801317362</v>
          </cell>
          <cell r="L605">
            <v>84.25798495081483</v>
          </cell>
          <cell r="M605">
            <v>79.708008446105609</v>
          </cell>
          <cell r="N605">
            <v>75.251641287187283</v>
          </cell>
          <cell r="O605">
            <v>72.675393088137156</v>
          </cell>
          <cell r="P605">
            <v>70.14126028517552</v>
          </cell>
          <cell r="Q605">
            <v>67.64924287830199</v>
          </cell>
          <cell r="R605">
            <v>65.19934086751617</v>
          </cell>
          <cell r="S605">
            <v>62.791554252818194</v>
          </cell>
          <cell r="T605">
            <v>60.764114529985541</v>
          </cell>
          <cell r="U605">
            <v>58.768592762315109</v>
          </cell>
          <cell r="V605">
            <v>56.804988949805931</v>
          </cell>
          <cell r="W605">
            <v>54.873303092459224</v>
          </cell>
          <cell r="X605">
            <v>52.973535190274085</v>
          </cell>
          <cell r="Y605">
            <v>51.828230522552126</v>
          </cell>
          <cell r="Z605">
            <v>50.694947735460516</v>
          </cell>
          <cell r="AA605">
            <v>49.573686828999371</v>
          </cell>
          <cell r="AB605">
            <v>48.464447803168603</v>
          </cell>
          <cell r="AC605">
            <v>47.367230657968015</v>
          </cell>
          <cell r="AD605">
            <v>46.429207924659629</v>
          </cell>
          <cell r="AE605">
            <v>45.499664594904488</v>
          </cell>
          <cell r="AF605">
            <v>44.57860066870262</v>
          </cell>
          <cell r="AG605">
            <v>43.666016146054034</v>
          </cell>
          <cell r="AH605">
            <v>42.761911026958728</v>
          </cell>
        </row>
        <row r="606">
          <cell r="B606" t="str">
            <v>Carbon dioxide (DAC) - Energy cost - Asia - USD/ton fuel</v>
          </cell>
          <cell r="G606">
            <v>186.89956944291009</v>
          </cell>
          <cell r="H606">
            <v>168.16682617375361</v>
          </cell>
          <cell r="I606">
            <v>149.87899747482393</v>
          </cell>
          <cell r="J606">
            <v>142.27132627697122</v>
          </cell>
          <cell r="K606">
            <v>134.81285628877197</v>
          </cell>
          <cell r="L606">
            <v>127.50358751022122</v>
          </cell>
          <cell r="M606">
            <v>120.34351994132149</v>
          </cell>
          <cell r="N606">
            <v>113.33265358207515</v>
          </cell>
          <cell r="O606">
            <v>108.26284478442385</v>
          </cell>
          <cell r="P606">
            <v>103.28784662429925</v>
          </cell>
          <cell r="Q606">
            <v>98.407659101700688</v>
          </cell>
          <cell r="R606">
            <v>93.622282216625351</v>
          </cell>
          <cell r="S606">
            <v>88.931715969074972</v>
          </cell>
          <cell r="T606">
            <v>86.065503663003796</v>
          </cell>
          <cell r="U606">
            <v>83.244358258173165</v>
          </cell>
          <cell r="V606">
            <v>80.468279754582596</v>
          </cell>
          <cell r="W606">
            <v>77.737268152231991</v>
          </cell>
          <cell r="X606">
            <v>75.051323451122215</v>
          </cell>
          <cell r="Y606">
            <v>72.402332509748831</v>
          </cell>
          <cell r="Z606">
            <v>69.797444349441975</v>
          </cell>
          <cell r="AA606">
            <v>67.236658970200637</v>
          </cell>
          <cell r="AB606">
            <v>64.719976372026011</v>
          </cell>
          <cell r="AC606">
            <v>62.247396554916683</v>
          </cell>
          <cell r="AD606">
            <v>60.720274602486676</v>
          </cell>
          <cell r="AE606">
            <v>59.212061358577877</v>
          </cell>
          <cell r="AF606">
            <v>57.722756823190991</v>
          </cell>
          <cell r="AG606">
            <v>56.25236099632577</v>
          </cell>
          <cell r="AH606">
            <v>54.800873877981985</v>
          </cell>
        </row>
        <row r="607">
          <cell r="B607" t="str">
            <v>Carbon dioxide (DAC) - Energy cost - Europe - USD/ton fuel</v>
          </cell>
          <cell r="G607">
            <v>139.13660564940096</v>
          </cell>
          <cell r="H607">
            <v>131.33650635826208</v>
          </cell>
          <cell r="I607">
            <v>123.69885760010307</v>
          </cell>
          <cell r="J607">
            <v>117.43601702374129</v>
          </cell>
          <cell r="K607">
            <v>111.29589497676589</v>
          </cell>
          <cell r="L607">
            <v>105.27849145917936</v>
          </cell>
          <cell r="M607">
            <v>99.383806470979252</v>
          </cell>
          <cell r="N607">
            <v>93.611840012167974</v>
          </cell>
          <cell r="O607">
            <v>90.585974296079655</v>
          </cell>
          <cell r="P607">
            <v>87.607779699054461</v>
          </cell>
          <cell r="Q607">
            <v>84.67725622108955</v>
          </cell>
          <cell r="R607">
            <v>81.794403862185035</v>
          </cell>
          <cell r="S607">
            <v>78.959222622341954</v>
          </cell>
          <cell r="T607">
            <v>76.922599826040909</v>
          </cell>
          <cell r="U607">
            <v>74.912586795058061</v>
          </cell>
          <cell r="V607">
            <v>72.929183529392262</v>
          </cell>
          <cell r="W607">
            <v>70.972390029044362</v>
          </cell>
          <cell r="X607">
            <v>69.042206294013226</v>
          </cell>
          <cell r="Y607">
            <v>67.134466412964173</v>
          </cell>
          <cell r="Z607">
            <v>65.253341498845373</v>
          </cell>
          <cell r="AA607">
            <v>63.398831551657359</v>
          </cell>
          <cell r="AB607">
            <v>61.570936571399812</v>
          </cell>
          <cell r="AC607">
            <v>59.769656558072832</v>
          </cell>
          <cell r="AD607">
            <v>58.303359346438278</v>
          </cell>
          <cell r="AE607">
            <v>56.855217183061221</v>
          </cell>
          <cell r="AF607">
            <v>55.425230067942344</v>
          </cell>
          <cell r="AG607">
            <v>54.013398001081399</v>
          </cell>
          <cell r="AH607">
            <v>52.619720982478157</v>
          </cell>
        </row>
        <row r="608">
          <cell r="B608" t="str">
            <v>Carbon dioxide (DAC) - Energy cost - Middle East - USD/ton fuel</v>
          </cell>
          <cell r="G608">
            <v>106.54312461630884</v>
          </cell>
          <cell r="H608">
            <v>100.46220586457505</v>
          </cell>
          <cell r="I608">
            <v>94.50864955757099</v>
          </cell>
          <cell r="J608">
            <v>90.289455876080666</v>
          </cell>
          <cell r="K608">
            <v>86.149099881800211</v>
          </cell>
          <cell r="L608">
            <v>82.087581574729612</v>
          </cell>
          <cell r="M608">
            <v>78.104900954868882</v>
          </cell>
          <cell r="N608">
            <v>74.201058022218021</v>
          </cell>
          <cell r="O608">
            <v>71.264783946143552</v>
          </cell>
          <cell r="P608">
            <v>68.380481742891675</v>
          </cell>
          <cell r="Q608">
            <v>65.548151412460825</v>
          </cell>
          <cell r="R608">
            <v>62.767792954851807</v>
          </cell>
          <cell r="S608">
            <v>60.039406370064405</v>
          </cell>
          <cell r="T608">
            <v>58.334255838436711</v>
          </cell>
          <cell r="U608">
            <v>56.653467589691616</v>
          </cell>
          <cell r="V608">
            <v>54.997041623828714</v>
          </cell>
          <cell r="W608">
            <v>53.364977940848128</v>
          </cell>
          <cell r="X608">
            <v>51.757276540749643</v>
          </cell>
          <cell r="Y608">
            <v>49.951129205562665</v>
          </cell>
          <cell r="Z608">
            <v>48.17485125313609</v>
          </cell>
          <cell r="AA608">
            <v>46.428442683469406</v>
          </cell>
          <cell r="AB608">
            <v>44.711903496563266</v>
          </cell>
          <cell r="AC608">
            <v>43.025233692416762</v>
          </cell>
          <cell r="AD608">
            <v>41.969677751620367</v>
          </cell>
          <cell r="AE608">
            <v>40.927191811319283</v>
          </cell>
          <cell r="AF608">
            <v>39.897775871513431</v>
          </cell>
          <cell r="AG608">
            <v>38.881429932202913</v>
          </cell>
          <cell r="AH608">
            <v>37.878153993387855</v>
          </cell>
        </row>
        <row r="609">
          <cell r="B609" t="str">
            <v>e-methane - Conversion H2 -&gt; CH4 - Global - ton H2/ton CH4</v>
          </cell>
          <cell r="G609">
            <v>0.5</v>
          </cell>
          <cell r="H609">
            <v>0.5</v>
          </cell>
          <cell r="I609">
            <v>0.5</v>
          </cell>
          <cell r="J609">
            <v>0.5</v>
          </cell>
          <cell r="K609">
            <v>0.5</v>
          </cell>
          <cell r="L609">
            <v>0.5</v>
          </cell>
          <cell r="M609">
            <v>0.5</v>
          </cell>
          <cell r="N609">
            <v>0.5</v>
          </cell>
          <cell r="O609">
            <v>0.5</v>
          </cell>
          <cell r="P609">
            <v>0.5</v>
          </cell>
          <cell r="Q609">
            <v>0.5</v>
          </cell>
          <cell r="R609">
            <v>0.5</v>
          </cell>
          <cell r="S609">
            <v>0.5</v>
          </cell>
          <cell r="T609">
            <v>0.5</v>
          </cell>
          <cell r="U609">
            <v>0.5</v>
          </cell>
          <cell r="V609">
            <v>0.5</v>
          </cell>
          <cell r="W609">
            <v>0.5</v>
          </cell>
          <cell r="X609">
            <v>0.5</v>
          </cell>
          <cell r="Y609">
            <v>0.5</v>
          </cell>
          <cell r="Z609">
            <v>0.5</v>
          </cell>
          <cell r="AA609">
            <v>0.5</v>
          </cell>
          <cell r="AB609">
            <v>0.5</v>
          </cell>
          <cell r="AC609">
            <v>0.5</v>
          </cell>
          <cell r="AD609">
            <v>0.5</v>
          </cell>
          <cell r="AE609">
            <v>0.5</v>
          </cell>
          <cell r="AF609">
            <v>0.5</v>
          </cell>
          <cell r="AG609">
            <v>0.5</v>
          </cell>
          <cell r="AH609">
            <v>0.5</v>
          </cell>
        </row>
        <row r="610">
          <cell r="B610" t="str">
            <v>e-methane - Conversion CO2 -&gt; CH4 - Global - ton CO2/ton CH4</v>
          </cell>
          <cell r="G610">
            <v>2.75</v>
          </cell>
          <cell r="H610">
            <v>2.75</v>
          </cell>
          <cell r="I610">
            <v>2.75</v>
          </cell>
          <cell r="J610">
            <v>2.75</v>
          </cell>
          <cell r="K610">
            <v>2.75</v>
          </cell>
          <cell r="L610">
            <v>2.75</v>
          </cell>
          <cell r="M610">
            <v>2.75</v>
          </cell>
          <cell r="N610">
            <v>2.75</v>
          </cell>
          <cell r="O610">
            <v>2.75</v>
          </cell>
          <cell r="P610">
            <v>2.75</v>
          </cell>
          <cell r="Q610">
            <v>2.75</v>
          </cell>
          <cell r="R610">
            <v>2.75</v>
          </cell>
          <cell r="S610">
            <v>2.75</v>
          </cell>
          <cell r="T610">
            <v>2.75</v>
          </cell>
          <cell r="U610">
            <v>2.75</v>
          </cell>
          <cell r="V610">
            <v>2.75</v>
          </cell>
          <cell r="W610">
            <v>2.75</v>
          </cell>
          <cell r="X610">
            <v>2.75</v>
          </cell>
          <cell r="Y610">
            <v>2.75</v>
          </cell>
          <cell r="Z610">
            <v>2.75</v>
          </cell>
          <cell r="AA610">
            <v>2.75</v>
          </cell>
          <cell r="AB610">
            <v>2.75</v>
          </cell>
          <cell r="AC610">
            <v>2.75</v>
          </cell>
          <cell r="AD610">
            <v>2.75</v>
          </cell>
          <cell r="AE610">
            <v>2.75</v>
          </cell>
          <cell r="AF610">
            <v>2.75</v>
          </cell>
          <cell r="AG610">
            <v>2.75</v>
          </cell>
          <cell r="AH610">
            <v>2.75</v>
          </cell>
        </row>
        <row r="611">
          <cell r="B611" t="str">
            <v/>
          </cell>
        </row>
        <row r="612">
          <cell r="B612" t="str">
            <v>e-methane (DAC) - Feedstock cost including feedstock feedstock cost - Global - USD/ton fuel</v>
          </cell>
          <cell r="G612">
            <v>6.75</v>
          </cell>
          <cell r="H612">
            <v>6.750000000000024</v>
          </cell>
          <cell r="I612">
            <v>6.750000000000024</v>
          </cell>
          <cell r="J612">
            <v>6.750000000000024</v>
          </cell>
          <cell r="K612">
            <v>6.750000000000048</v>
          </cell>
          <cell r="L612">
            <v>6.75</v>
          </cell>
          <cell r="M612">
            <v>6.750000000000048</v>
          </cell>
          <cell r="N612">
            <v>6.75</v>
          </cell>
          <cell r="O612">
            <v>6.749999999999952</v>
          </cell>
          <cell r="P612">
            <v>6.750000000000024</v>
          </cell>
          <cell r="Q612">
            <v>6.7500000000000959</v>
          </cell>
          <cell r="R612">
            <v>6.750000000000048</v>
          </cell>
          <cell r="S612">
            <v>6.7500000000000959</v>
          </cell>
          <cell r="T612">
            <v>6.7500000000001199</v>
          </cell>
          <cell r="U612">
            <v>6.7500000000000604</v>
          </cell>
          <cell r="V612">
            <v>6.7500000000001794</v>
          </cell>
          <cell r="W612">
            <v>6.7500000000001199</v>
          </cell>
          <cell r="X612">
            <v>6.749999999999952</v>
          </cell>
          <cell r="Y612">
            <v>6.75</v>
          </cell>
          <cell r="Z612">
            <v>6.749999999999976</v>
          </cell>
          <cell r="AA612">
            <v>6.750000000000024</v>
          </cell>
          <cell r="AB612">
            <v>6.75</v>
          </cell>
          <cell r="AC612">
            <v>6.75</v>
          </cell>
          <cell r="AD612">
            <v>6.75</v>
          </cell>
          <cell r="AE612">
            <v>6.75</v>
          </cell>
          <cell r="AF612">
            <v>6.75</v>
          </cell>
          <cell r="AG612">
            <v>6.75</v>
          </cell>
          <cell r="AH612">
            <v>6.75</v>
          </cell>
        </row>
        <row r="613">
          <cell r="B613" t="str">
            <v>e-hydrogen - Feedstock cost - Global - USD/ton fuel</v>
          </cell>
          <cell r="G613">
            <v>13.5</v>
          </cell>
          <cell r="H613">
            <v>13.500000000000048</v>
          </cell>
          <cell r="I613">
            <v>13.500000000000048</v>
          </cell>
          <cell r="J613">
            <v>13.500000000000048</v>
          </cell>
          <cell r="K613">
            <v>13.500000000000096</v>
          </cell>
          <cell r="L613">
            <v>13.5</v>
          </cell>
          <cell r="M613">
            <v>13.500000000000096</v>
          </cell>
          <cell r="N613">
            <v>13.5</v>
          </cell>
          <cell r="O613">
            <v>13.499999999999904</v>
          </cell>
          <cell r="P613">
            <v>13.500000000000048</v>
          </cell>
          <cell r="Q613">
            <v>13.500000000000192</v>
          </cell>
          <cell r="R613">
            <v>13.500000000000096</v>
          </cell>
          <cell r="S613">
            <v>13.500000000000192</v>
          </cell>
          <cell r="T613">
            <v>13.50000000000024</v>
          </cell>
          <cell r="U613">
            <v>13.500000000000121</v>
          </cell>
          <cell r="V613">
            <v>13.500000000000359</v>
          </cell>
          <cell r="W613">
            <v>13.50000000000024</v>
          </cell>
          <cell r="X613">
            <v>13.499999999999904</v>
          </cell>
          <cell r="Y613">
            <v>13.5</v>
          </cell>
          <cell r="Z613">
            <v>13.499999999999952</v>
          </cell>
          <cell r="AA613">
            <v>13.500000000000048</v>
          </cell>
          <cell r="AB613">
            <v>13.5</v>
          </cell>
          <cell r="AC613">
            <v>13.5</v>
          </cell>
          <cell r="AD613">
            <v>13.5</v>
          </cell>
          <cell r="AE613">
            <v>13.5</v>
          </cell>
          <cell r="AF613">
            <v>13.5</v>
          </cell>
          <cell r="AG613">
            <v>13.5</v>
          </cell>
          <cell r="AH613">
            <v>13.5</v>
          </cell>
        </row>
        <row r="614">
          <cell r="B614" t="str">
            <v>e-methane - Conversion H2 -&gt; CH4 - Global - ton H2/ton CH4</v>
          </cell>
          <cell r="G614">
            <v>0.5</v>
          </cell>
          <cell r="H614">
            <v>0.5</v>
          </cell>
          <cell r="I614">
            <v>0.5</v>
          </cell>
          <cell r="J614">
            <v>0.5</v>
          </cell>
          <cell r="K614">
            <v>0.5</v>
          </cell>
          <cell r="L614">
            <v>0.5</v>
          </cell>
          <cell r="M614">
            <v>0.5</v>
          </cell>
          <cell r="N614">
            <v>0.5</v>
          </cell>
          <cell r="O614">
            <v>0.5</v>
          </cell>
          <cell r="P614">
            <v>0.5</v>
          </cell>
          <cell r="Q614">
            <v>0.5</v>
          </cell>
          <cell r="R614">
            <v>0.5</v>
          </cell>
          <cell r="S614">
            <v>0.5</v>
          </cell>
          <cell r="T614">
            <v>0.5</v>
          </cell>
          <cell r="U614">
            <v>0.5</v>
          </cell>
          <cell r="V614">
            <v>0.5</v>
          </cell>
          <cell r="W614">
            <v>0.5</v>
          </cell>
          <cell r="X614">
            <v>0.5</v>
          </cell>
          <cell r="Y614">
            <v>0.5</v>
          </cell>
          <cell r="Z614">
            <v>0.5</v>
          </cell>
          <cell r="AA614">
            <v>0.5</v>
          </cell>
          <cell r="AB614">
            <v>0.5</v>
          </cell>
          <cell r="AC614">
            <v>0.5</v>
          </cell>
          <cell r="AD614">
            <v>0.5</v>
          </cell>
          <cell r="AE614">
            <v>0.5</v>
          </cell>
          <cell r="AF614">
            <v>0.5</v>
          </cell>
          <cell r="AG614">
            <v>0.5</v>
          </cell>
          <cell r="AH614">
            <v>0.5</v>
          </cell>
        </row>
        <row r="616">
          <cell r="B616" t="str">
            <v>e-methane (PS) - Item - Region - Unit</v>
          </cell>
          <cell r="G616">
            <v>2023</v>
          </cell>
          <cell r="H616">
            <v>2024</v>
          </cell>
          <cell r="I616">
            <v>2025</v>
          </cell>
          <cell r="J616">
            <v>2026</v>
          </cell>
          <cell r="K616">
            <v>2027</v>
          </cell>
          <cell r="L616">
            <v>2028</v>
          </cell>
          <cell r="M616">
            <v>2029</v>
          </cell>
          <cell r="N616">
            <v>2030</v>
          </cell>
          <cell r="O616">
            <v>2031</v>
          </cell>
          <cell r="P616">
            <v>2032</v>
          </cell>
          <cell r="Q616">
            <v>2033</v>
          </cell>
          <cell r="R616">
            <v>2034</v>
          </cell>
          <cell r="S616">
            <v>2035</v>
          </cell>
          <cell r="T616">
            <v>2036</v>
          </cell>
          <cell r="U616">
            <v>2037</v>
          </cell>
          <cell r="V616">
            <v>2038</v>
          </cell>
          <cell r="W616">
            <v>2039</v>
          </cell>
          <cell r="X616">
            <v>2040</v>
          </cell>
          <cell r="Y616">
            <v>2041</v>
          </cell>
          <cell r="Z616">
            <v>2042</v>
          </cell>
          <cell r="AA616">
            <v>2043</v>
          </cell>
          <cell r="AB616">
            <v>2044</v>
          </cell>
          <cell r="AC616">
            <v>2045</v>
          </cell>
          <cell r="AD616">
            <v>2046</v>
          </cell>
          <cell r="AE616">
            <v>2047</v>
          </cell>
          <cell r="AF616">
            <v>2048</v>
          </cell>
          <cell r="AG616">
            <v>2049</v>
          </cell>
          <cell r="AH616">
            <v>2050</v>
          </cell>
        </row>
        <row r="617">
          <cell r="B617" t="str">
            <v>e-methane (PS) - Total cost - Africa - USD/ton fuel</v>
          </cell>
          <cell r="G617">
            <v>3063.5741466699128</v>
          </cell>
          <cell r="H617">
            <v>2807.0744282465334</v>
          </cell>
          <cell r="I617">
            <v>2549.2389426923241</v>
          </cell>
          <cell r="J617">
            <v>2451.5662469716967</v>
          </cell>
          <cell r="K617">
            <v>2351.3186713234791</v>
          </cell>
          <cell r="L617">
            <v>2248.547609168605</v>
          </cell>
          <cell r="M617">
            <v>2143.3044539280472</v>
          </cell>
          <cell r="N617">
            <v>2035.6405990227183</v>
          </cell>
          <cell r="O617">
            <v>1995.73394046151</v>
          </cell>
          <cell r="P617">
            <v>1952.0389924507556</v>
          </cell>
          <cell r="Q617">
            <v>1904.5834368086807</v>
          </cell>
          <cell r="R617">
            <v>1853.394955353534</v>
          </cell>
          <cell r="S617">
            <v>1798.5012299036046</v>
          </cell>
          <cell r="T617">
            <v>1757.7923435924506</v>
          </cell>
          <cell r="U617">
            <v>1714.4778722566937</v>
          </cell>
          <cell r="V617">
            <v>1668.5668485788533</v>
          </cell>
          <cell r="W617">
            <v>1620.0683052413367</v>
          </cell>
          <cell r="X617">
            <v>1568.9912749266377</v>
          </cell>
          <cell r="Y617">
            <v>1514.3898532089574</v>
          </cell>
          <cell r="Z617">
            <v>1458.5785350897941</v>
          </cell>
          <cell r="AA617">
            <v>1401.552038499944</v>
          </cell>
          <cell r="AB617">
            <v>1343.30508137015</v>
          </cell>
          <cell r="AC617">
            <v>1283.8323816311868</v>
          </cell>
          <cell r="AD617">
            <v>1234.8890406257337</v>
          </cell>
          <cell r="AE617">
            <v>1185.3391901833641</v>
          </cell>
          <cell r="AF617">
            <v>1135.179501827927</v>
          </cell>
          <cell r="AG617">
            <v>1084.4066470832836</v>
          </cell>
          <cell r="AH617">
            <v>1033.0172974732964</v>
          </cell>
        </row>
        <row r="618">
          <cell r="B618" t="str">
            <v>e-methane (PS) - Total cost - Americas - USD/ton fuel</v>
          </cell>
          <cell r="G618">
            <v>2440.6118191646678</v>
          </cell>
          <cell r="H618">
            <v>2359.5977802152029</v>
          </cell>
          <cell r="I618">
            <v>2276.922612741469</v>
          </cell>
          <cell r="J618">
            <v>2197.6860598746839</v>
          </cell>
          <cell r="K618">
            <v>2115.8811830958648</v>
          </cell>
          <cell r="L618">
            <v>2031.5425140805407</v>
          </cell>
          <cell r="M618">
            <v>1944.7045845042994</v>
          </cell>
          <cell r="N618">
            <v>1855.4019260425994</v>
          </cell>
          <cell r="O618">
            <v>1829.2155842971813</v>
          </cell>
          <cell r="P618">
            <v>1799.1328866594922</v>
          </cell>
          <cell r="Q618">
            <v>1765.1698678427645</v>
          </cell>
          <cell r="R618">
            <v>1727.3425625602113</v>
          </cell>
          <cell r="S618">
            <v>1685.6670055251152</v>
          </cell>
          <cell r="T618">
            <v>1645.8854168284633</v>
          </cell>
          <cell r="U618">
            <v>1603.5224628979511</v>
          </cell>
          <cell r="V618">
            <v>1558.587154756028</v>
          </cell>
          <cell r="W618">
            <v>1511.0885034250405</v>
          </cell>
          <cell r="X618">
            <v>1461.0355199274022</v>
          </cell>
          <cell r="Y618">
            <v>1415.8556007035861</v>
          </cell>
          <cell r="Z618">
            <v>1369.258066318539</v>
          </cell>
          <cell r="AA618">
            <v>1321.2408522635749</v>
          </cell>
          <cell r="AB618">
            <v>1271.8018940299353</v>
          </cell>
          <cell r="AC618">
            <v>1220.9391271089157</v>
          </cell>
          <cell r="AD618">
            <v>1175.0999973596945</v>
          </cell>
          <cell r="AE618">
            <v>1128.5937765303986</v>
          </cell>
          <cell r="AF618">
            <v>1081.4184649970728</v>
          </cell>
          <cell r="AG618">
            <v>1033.572063135766</v>
          </cell>
          <cell r="AH618">
            <v>985.05257132252768</v>
          </cell>
        </row>
        <row r="619">
          <cell r="B619" t="str">
            <v>e-methane (PS) - Total cost - Asia - USD/ton fuel</v>
          </cell>
          <cell r="G619">
            <v>3251.6399821008004</v>
          </cell>
          <cell r="H619">
            <v>3027.9077004906458</v>
          </cell>
          <cell r="I619">
            <v>2802.7217069752719</v>
          </cell>
          <cell r="J619">
            <v>2700.6976533607121</v>
          </cell>
          <cell r="K619">
            <v>2596.0363956151846</v>
          </cell>
          <cell r="L619">
            <v>2488.7929727704395</v>
          </cell>
          <cell r="M619">
            <v>2379.022423858366</v>
          </cell>
          <cell r="N619">
            <v>2266.7797879107411</v>
          </cell>
          <cell r="O619">
            <v>2216.3417038256057</v>
          </cell>
          <cell r="P619">
            <v>2162.1625546648843</v>
          </cell>
          <cell r="Q619">
            <v>2104.2784379493314</v>
          </cell>
          <cell r="R619">
            <v>2042.7254511996621</v>
          </cell>
          <cell r="S619">
            <v>1977.5396919367126</v>
          </cell>
          <cell r="T619">
            <v>1929.8487400954768</v>
          </cell>
          <cell r="U619">
            <v>1879.6042959217632</v>
          </cell>
          <cell r="V619">
            <v>1826.8190826259631</v>
          </cell>
          <cell r="W619">
            <v>1771.5058234183166</v>
          </cell>
          <cell r="X619">
            <v>1713.6772415091862</v>
          </cell>
          <cell r="Y619">
            <v>1651.5595801759405</v>
          </cell>
          <cell r="Z619">
            <v>1588.3887960912873</v>
          </cell>
          <cell r="AA619">
            <v>1524.1573155170838</v>
          </cell>
          <cell r="AB619">
            <v>1458.8575647151315</v>
          </cell>
          <cell r="AC619">
            <v>1392.4819699472671</v>
          </cell>
          <cell r="AD619">
            <v>1340.3417821609039</v>
          </cell>
          <cell r="AE619">
            <v>1287.6564157760406</v>
          </cell>
          <cell r="AF619">
            <v>1234.4214117164929</v>
          </cell>
          <cell r="AG619">
            <v>1180.6323109060731</v>
          </cell>
          <cell r="AH619">
            <v>1126.2846542685943</v>
          </cell>
        </row>
        <row r="620">
          <cell r="B620" t="str">
            <v>e-methane (PS) - Total cost - Europe - USD/ton fuel</v>
          </cell>
          <cell r="G620">
            <v>2775.2577684336588</v>
          </cell>
          <cell r="H620">
            <v>2655.9224074654558</v>
          </cell>
          <cell r="I620">
            <v>2534.9596513815864</v>
          </cell>
          <cell r="J620">
            <v>2443.8234848936331</v>
          </cell>
          <cell r="K620">
            <v>2350.0883365119298</v>
          </cell>
          <cell r="L620">
            <v>2253.7994760373135</v>
          </cell>
          <cell r="M620">
            <v>2155.0021732706236</v>
          </cell>
          <cell r="N620">
            <v>2053.7416980126495</v>
          </cell>
          <cell r="O620">
            <v>2024.0498157758284</v>
          </cell>
          <cell r="P620">
            <v>1990.4305569280573</v>
          </cell>
          <cell r="Q620">
            <v>1952.9020714285764</v>
          </cell>
          <cell r="R620">
            <v>1911.4825092366432</v>
          </cell>
          <cell r="S620">
            <v>1866.1900203115918</v>
          </cell>
          <cell r="T620">
            <v>1827.2358225119669</v>
          </cell>
          <cell r="U620">
            <v>1785.623548383486</v>
          </cell>
          <cell r="V620">
            <v>1741.3607103495449</v>
          </cell>
          <cell r="W620">
            <v>1694.4548208334145</v>
          </cell>
          <cell r="X620">
            <v>1644.9133922584494</v>
          </cell>
          <cell r="Y620">
            <v>1591.2090966840083</v>
          </cell>
          <cell r="Z620">
            <v>1536.2619671256514</v>
          </cell>
          <cell r="AA620">
            <v>1480.0674330147169</v>
          </cell>
          <cell r="AB620">
            <v>1422.6209237824573</v>
          </cell>
          <cell r="AC620">
            <v>1363.9178688601924</v>
          </cell>
          <cell r="AD620">
            <v>1312.3959752014873</v>
          </cell>
          <cell r="AE620">
            <v>1260.3172232694806</v>
          </cell>
          <cell r="AF620">
            <v>1207.6773317171303</v>
          </cell>
          <cell r="AG620">
            <v>1154.4720191973904</v>
          </cell>
          <cell r="AH620">
            <v>1100.697004363215</v>
          </cell>
        </row>
        <row r="621">
          <cell r="B621" t="str">
            <v>e-methane (PS) - Total cost - Middle East - USD/ton fuel</v>
          </cell>
          <cell r="G621">
            <v>2450.1742013252774</v>
          </cell>
          <cell r="H621">
            <v>2344.0927580454359</v>
          </cell>
          <cell r="I621">
            <v>2236.411586089439</v>
          </cell>
          <cell r="J621">
            <v>2163.0437993884434</v>
          </cell>
          <cell r="K621">
            <v>2087.0949436063361</v>
          </cell>
          <cell r="L621">
            <v>2008.5941012819499</v>
          </cell>
          <cell r="M621">
            <v>1927.5703549541633</v>
          </cell>
          <cell r="N621">
            <v>1844.0527871617635</v>
          </cell>
          <cell r="O621">
            <v>1813.8707473593829</v>
          </cell>
          <cell r="P621">
            <v>1779.8484015817082</v>
          </cell>
          <cell r="Q621">
            <v>1742.0055372260763</v>
          </cell>
          <cell r="R621">
            <v>1700.361941689833</v>
          </cell>
          <cell r="S621">
            <v>1654.9374023703735</v>
          </cell>
          <cell r="T621">
            <v>1618.6145525492761</v>
          </cell>
          <cell r="U621">
            <v>1579.664265905848</v>
          </cell>
          <cell r="V621">
            <v>1538.0934203580941</v>
          </cell>
          <cell r="W621">
            <v>1493.9088938239001</v>
          </cell>
          <cell r="X621">
            <v>1447.1175642212363</v>
          </cell>
          <cell r="Y621">
            <v>1394.3508832407024</v>
          </cell>
          <cell r="Z621">
            <v>1340.349249192232</v>
          </cell>
          <cell r="AA621">
            <v>1285.1075326287098</v>
          </cell>
          <cell r="AB621">
            <v>1228.6206041029654</v>
          </cell>
          <cell r="AC621">
            <v>1170.8833341678644</v>
          </cell>
          <cell r="AD621">
            <v>1123.5362658496335</v>
          </cell>
          <cell r="AE621">
            <v>1075.5534801204594</v>
          </cell>
          <cell r="AF621">
            <v>1026.9318947958566</v>
          </cell>
          <cell r="AG621">
            <v>977.6684276913461</v>
          </cell>
          <cell r="AH621">
            <v>927.75999662244931</v>
          </cell>
        </row>
        <row r="622">
          <cell r="B622" t="str">
            <v/>
          </cell>
        </row>
        <row r="623">
          <cell r="B623" t="str">
            <v>e-methane (PS) - CAPEX including feedstock CAPEX - Global - USD/ton fuel</v>
          </cell>
          <cell r="G623">
            <v>274.13984343173598</v>
          </cell>
          <cell r="H623">
            <v>262.89183628748663</v>
          </cell>
          <cell r="I623">
            <v>251.51902587518907</v>
          </cell>
          <cell r="J623">
            <v>243.54968178660141</v>
          </cell>
          <cell r="K623">
            <v>235.34848107499292</v>
          </cell>
          <cell r="L623">
            <v>226.91542374036598</v>
          </cell>
          <cell r="M623">
            <v>218.25050978272148</v>
          </cell>
          <cell r="N623">
            <v>209.35373920205598</v>
          </cell>
          <cell r="O623">
            <v>209.45265254615884</v>
          </cell>
          <cell r="P623">
            <v>209.01085242463677</v>
          </cell>
          <cell r="Q623">
            <v>208.02833883748832</v>
          </cell>
          <cell r="R623">
            <v>206.50511178471118</v>
          </cell>
          <cell r="S623">
            <v>204.4411712663096</v>
          </cell>
          <cell r="T623">
            <v>201.49831101350733</v>
          </cell>
          <cell r="U623">
            <v>198.10917416680633</v>
          </cell>
          <cell r="V623">
            <v>194.27376072621095</v>
          </cell>
          <cell r="W623">
            <v>189.99207069171689</v>
          </cell>
          <cell r="X623">
            <v>185.26410406332238</v>
          </cell>
          <cell r="Y623">
            <v>179.32863968064686</v>
          </cell>
          <cell r="Z623">
            <v>173.05643471160798</v>
          </cell>
          <cell r="AA623">
            <v>166.44748915620943</v>
          </cell>
          <cell r="AB623">
            <v>159.5018030144488</v>
          </cell>
          <cell r="AC623">
            <v>152.21937628632534</v>
          </cell>
          <cell r="AD623">
            <v>144.53709515818377</v>
          </cell>
          <cell r="AE623">
            <v>136.644184393182</v>
          </cell>
          <cell r="AF623">
            <v>128.54064399132011</v>
          </cell>
          <cell r="AG623">
            <v>120.22647395259801</v>
          </cell>
          <cell r="AH623">
            <v>111.70167427701584</v>
          </cell>
        </row>
        <row r="624">
          <cell r="B624" t="str">
            <v>e-methane (PS) - CAPEX - Global - USD/ton fuel</v>
          </cell>
          <cell r="G624">
            <v>51.4</v>
          </cell>
          <cell r="H624">
            <v>48.533333333333331</v>
          </cell>
          <cell r="I624">
            <v>45.666666666666664</v>
          </cell>
          <cell r="J624">
            <v>43.866666666666667</v>
          </cell>
          <cell r="K624">
            <v>42.06666666666667</v>
          </cell>
          <cell r="L624">
            <v>40.266666666666666</v>
          </cell>
          <cell r="M624">
            <v>38.466666666666669</v>
          </cell>
          <cell r="N624">
            <v>36.666666666666664</v>
          </cell>
          <cell r="O624">
            <v>36</v>
          </cell>
          <cell r="P624">
            <v>35.333333333333336</v>
          </cell>
          <cell r="Q624">
            <v>34.666666666666664</v>
          </cell>
          <cell r="R624">
            <v>34</v>
          </cell>
          <cell r="S624">
            <v>33.333333333333336</v>
          </cell>
          <cell r="T624">
            <v>32.666666666666664</v>
          </cell>
          <cell r="U624">
            <v>32</v>
          </cell>
          <cell r="V624">
            <v>31.333333333333332</v>
          </cell>
          <cell r="W624">
            <v>30.666666666666668</v>
          </cell>
          <cell r="X624">
            <v>30</v>
          </cell>
          <cell r="Y624">
            <v>28.866666666666667</v>
          </cell>
          <cell r="Z624">
            <v>27.733333333333334</v>
          </cell>
          <cell r="AA624">
            <v>26.6</v>
          </cell>
          <cell r="AB624">
            <v>25.466666666666665</v>
          </cell>
          <cell r="AC624">
            <v>24.333333333333332</v>
          </cell>
          <cell r="AD624">
            <v>23.2</v>
          </cell>
          <cell r="AE624">
            <v>22.066666666666666</v>
          </cell>
          <cell r="AF624">
            <v>20.933333333333334</v>
          </cell>
          <cell r="AG624">
            <v>19.8</v>
          </cell>
          <cell r="AH624">
            <v>18.666666666666668</v>
          </cell>
        </row>
        <row r="625">
          <cell r="B625" t="str">
            <v>e-hydrogen (compressed) - CAPEX including feedstock CAPEX - Global - USD/ton fuel</v>
          </cell>
          <cell r="G625">
            <v>256.64635353013858</v>
          </cell>
          <cell r="H625">
            <v>247.21700590830653</v>
          </cell>
          <cell r="I625">
            <v>237.53805175037812</v>
          </cell>
          <cell r="J625">
            <v>232.53269690653616</v>
          </cell>
          <cell r="K625">
            <v>227.06362881665248</v>
          </cell>
          <cell r="L625">
            <v>221.13084748073197</v>
          </cell>
          <cell r="M625">
            <v>214.73435289877628</v>
          </cell>
          <cell r="N625">
            <v>207.87414507077864</v>
          </cell>
          <cell r="O625">
            <v>212.24697175898439</v>
          </cell>
          <cell r="P625">
            <v>215.53837151594018</v>
          </cell>
          <cell r="Q625">
            <v>217.74834434164336</v>
          </cell>
          <cell r="R625">
            <v>218.87689023608903</v>
          </cell>
          <cell r="S625">
            <v>218.92400919928582</v>
          </cell>
          <cell r="T625">
            <v>217.21328869368136</v>
          </cell>
          <cell r="U625">
            <v>214.61001500027928</v>
          </cell>
          <cell r="V625">
            <v>211.1141881190886</v>
          </cell>
          <cell r="W625">
            <v>206.72580805010043</v>
          </cell>
          <cell r="X625">
            <v>201.44487479331141</v>
          </cell>
          <cell r="Y625">
            <v>194.68227936129369</v>
          </cell>
          <cell r="Z625">
            <v>187.24620275654928</v>
          </cell>
          <cell r="AA625">
            <v>179.13664497908553</v>
          </cell>
          <cell r="AB625">
            <v>170.35360602889762</v>
          </cell>
          <cell r="AC625">
            <v>160.89708590598403</v>
          </cell>
          <cell r="AD625">
            <v>150.64085698303418</v>
          </cell>
          <cell r="AE625">
            <v>139.96336878636401</v>
          </cell>
          <cell r="AF625">
            <v>128.86462131597352</v>
          </cell>
          <cell r="AG625">
            <v>117.34461457186269</v>
          </cell>
          <cell r="AH625">
            <v>105.40334855403168</v>
          </cell>
        </row>
        <row r="626">
          <cell r="B626" t="str">
            <v>Carbon dioxide (PS) - CAPEX - Global - USD/ton fuel</v>
          </cell>
          <cell r="G626">
            <v>34.333333333333336</v>
          </cell>
          <cell r="H626">
            <v>33</v>
          </cell>
          <cell r="I626">
            <v>31.666666666666668</v>
          </cell>
          <cell r="J626">
            <v>30.333333333333332</v>
          </cell>
          <cell r="K626">
            <v>29</v>
          </cell>
          <cell r="L626">
            <v>27.666666666666668</v>
          </cell>
          <cell r="M626">
            <v>26.333333333333332</v>
          </cell>
          <cell r="N626">
            <v>25</v>
          </cell>
          <cell r="O626">
            <v>24.483333333333334</v>
          </cell>
          <cell r="P626">
            <v>23.966666666666665</v>
          </cell>
          <cell r="Q626">
            <v>23.45</v>
          </cell>
          <cell r="R626">
            <v>22.933333333333334</v>
          </cell>
          <cell r="S626">
            <v>22.416666666666668</v>
          </cell>
          <cell r="T626">
            <v>21.9</v>
          </cell>
          <cell r="U626">
            <v>21.383333333333333</v>
          </cell>
          <cell r="V626">
            <v>20.866666666666667</v>
          </cell>
          <cell r="W626">
            <v>20.350000000000001</v>
          </cell>
          <cell r="X626">
            <v>19.833333333333332</v>
          </cell>
          <cell r="Y626">
            <v>19.316666666666666</v>
          </cell>
          <cell r="Z626">
            <v>18.8</v>
          </cell>
          <cell r="AA626">
            <v>18.283333333333335</v>
          </cell>
          <cell r="AB626">
            <v>17.766666666666666</v>
          </cell>
          <cell r="AC626">
            <v>17.25</v>
          </cell>
          <cell r="AD626">
            <v>16.733333333333334</v>
          </cell>
          <cell r="AE626">
            <v>16.216666666666665</v>
          </cell>
          <cell r="AF626">
            <v>15.7</v>
          </cell>
          <cell r="AG626">
            <v>15.183333333333334</v>
          </cell>
          <cell r="AH626">
            <v>14.666666666666666</v>
          </cell>
        </row>
        <row r="627">
          <cell r="B627" t="str">
            <v>e-methane - Conversion H2 -&gt; CH4 - Global - ton H2/ton CH4</v>
          </cell>
          <cell r="G627">
            <v>0.5</v>
          </cell>
          <cell r="H627">
            <v>0.5</v>
          </cell>
          <cell r="I627">
            <v>0.5</v>
          </cell>
          <cell r="J627">
            <v>0.5</v>
          </cell>
          <cell r="K627">
            <v>0.5</v>
          </cell>
          <cell r="L627">
            <v>0.5</v>
          </cell>
          <cell r="M627">
            <v>0.5</v>
          </cell>
          <cell r="N627">
            <v>0.5</v>
          </cell>
          <cell r="O627">
            <v>0.5</v>
          </cell>
          <cell r="P627">
            <v>0.5</v>
          </cell>
          <cell r="Q627">
            <v>0.5</v>
          </cell>
          <cell r="R627">
            <v>0.5</v>
          </cell>
          <cell r="S627">
            <v>0.5</v>
          </cell>
          <cell r="T627">
            <v>0.5</v>
          </cell>
          <cell r="U627">
            <v>0.5</v>
          </cell>
          <cell r="V627">
            <v>0.5</v>
          </cell>
          <cell r="W627">
            <v>0.5</v>
          </cell>
          <cell r="X627">
            <v>0.5</v>
          </cell>
          <cell r="Y627">
            <v>0.5</v>
          </cell>
          <cell r="Z627">
            <v>0.5</v>
          </cell>
          <cell r="AA627">
            <v>0.5</v>
          </cell>
          <cell r="AB627">
            <v>0.5</v>
          </cell>
          <cell r="AC627">
            <v>0.5</v>
          </cell>
          <cell r="AD627">
            <v>0.5</v>
          </cell>
          <cell r="AE627">
            <v>0.5</v>
          </cell>
          <cell r="AF627">
            <v>0.5</v>
          </cell>
          <cell r="AG627">
            <v>0.5</v>
          </cell>
          <cell r="AH627">
            <v>0.5</v>
          </cell>
        </row>
        <row r="628">
          <cell r="B628" t="str">
            <v>e-methane - Conversion CO2 -&gt; CH4 - Global - ton CO2/ton CH4</v>
          </cell>
          <cell r="G628">
            <v>2.75</v>
          </cell>
          <cell r="H628">
            <v>2.75</v>
          </cell>
          <cell r="I628">
            <v>2.75</v>
          </cell>
          <cell r="J628">
            <v>2.75</v>
          </cell>
          <cell r="K628">
            <v>2.75</v>
          </cell>
          <cell r="L628">
            <v>2.75</v>
          </cell>
          <cell r="M628">
            <v>2.75</v>
          </cell>
          <cell r="N628">
            <v>2.75</v>
          </cell>
          <cell r="O628">
            <v>2.75</v>
          </cell>
          <cell r="P628">
            <v>2.75</v>
          </cell>
          <cell r="Q628">
            <v>2.75</v>
          </cell>
          <cell r="R628">
            <v>2.75</v>
          </cell>
          <cell r="S628">
            <v>2.75</v>
          </cell>
          <cell r="T628">
            <v>2.75</v>
          </cell>
          <cell r="U628">
            <v>2.75</v>
          </cell>
          <cell r="V628">
            <v>2.75</v>
          </cell>
          <cell r="W628">
            <v>2.75</v>
          </cell>
          <cell r="X628">
            <v>2.75</v>
          </cell>
          <cell r="Y628">
            <v>2.75</v>
          </cell>
          <cell r="Z628">
            <v>2.75</v>
          </cell>
          <cell r="AA628">
            <v>2.75</v>
          </cell>
          <cell r="AB628">
            <v>2.75</v>
          </cell>
          <cell r="AC628">
            <v>2.75</v>
          </cell>
          <cell r="AD628">
            <v>2.75</v>
          </cell>
          <cell r="AE628">
            <v>2.75</v>
          </cell>
          <cell r="AF628">
            <v>2.75</v>
          </cell>
          <cell r="AG628">
            <v>2.75</v>
          </cell>
          <cell r="AH628">
            <v>2.75</v>
          </cell>
        </row>
        <row r="629">
          <cell r="B629" t="str">
            <v/>
          </cell>
        </row>
        <row r="630">
          <cell r="B630" t="str">
            <v>e-methane (PS) - OPEX including feedstock OPEX - Global - USD/ton fuel</v>
          </cell>
          <cell r="G630">
            <v>654.30495449488774</v>
          </cell>
          <cell r="H630">
            <v>626.01366881343711</v>
          </cell>
          <cell r="I630">
            <v>596.53207762556622</v>
          </cell>
          <cell r="J630">
            <v>577.01397590460112</v>
          </cell>
          <cell r="K630">
            <v>555.69605665774191</v>
          </cell>
          <cell r="L630">
            <v>532.57831988498629</v>
          </cell>
          <cell r="M630">
            <v>507.6607655863541</v>
          </cell>
          <cell r="N630">
            <v>480.94339376182506</v>
          </cell>
          <cell r="O630">
            <v>476.84124369440019</v>
          </cell>
          <cell r="P630">
            <v>470.2995779718056</v>
          </cell>
          <cell r="Q630">
            <v>461.31839659404523</v>
          </cell>
          <cell r="R630">
            <v>449.89769956110717</v>
          </cell>
          <cell r="S630">
            <v>436.03748687299992</v>
          </cell>
          <cell r="T630">
            <v>423.19522660584778</v>
          </cell>
          <cell r="U630">
            <v>408.88495449275354</v>
          </cell>
          <cell r="V630">
            <v>393.1066705337293</v>
          </cell>
          <cell r="W630">
            <v>375.8603747287558</v>
          </cell>
          <cell r="X630">
            <v>357.14606707784282</v>
          </cell>
          <cell r="Y630">
            <v>340.12269393069164</v>
          </cell>
          <cell r="Z630">
            <v>322.37086940881204</v>
          </cell>
          <cell r="AA630">
            <v>303.89059351221647</v>
          </cell>
          <cell r="AB630">
            <v>284.68186624089219</v>
          </cell>
          <cell r="AC630">
            <v>264.74468759484927</v>
          </cell>
          <cell r="AD630">
            <v>248.48466951578379</v>
          </cell>
          <cell r="AE630">
            <v>231.94443829210849</v>
          </cell>
          <cell r="AF630">
            <v>215.12399392382383</v>
          </cell>
          <cell r="AG630">
            <v>198.02333641092952</v>
          </cell>
          <cell r="AH630">
            <v>180.64246575342565</v>
          </cell>
        </row>
        <row r="631">
          <cell r="B631" t="str">
            <v>e-methane (PS) - OPEX - Global - USD/ton fuel</v>
          </cell>
          <cell r="G631">
            <v>123.36</v>
          </cell>
          <cell r="H631">
            <v>116.48</v>
          </cell>
          <cell r="I631">
            <v>109.60000000000001</v>
          </cell>
          <cell r="J631">
            <v>105.28</v>
          </cell>
          <cell r="K631">
            <v>100.96000000000001</v>
          </cell>
          <cell r="L631">
            <v>96.64</v>
          </cell>
          <cell r="M631">
            <v>92.320000000000007</v>
          </cell>
          <cell r="N631">
            <v>88</v>
          </cell>
          <cell r="O631">
            <v>86.4</v>
          </cell>
          <cell r="P631">
            <v>84.8</v>
          </cell>
          <cell r="Q631">
            <v>83.2</v>
          </cell>
          <cell r="R631">
            <v>81.600000000000009</v>
          </cell>
          <cell r="S631">
            <v>80</v>
          </cell>
          <cell r="T631">
            <v>78.400000000000006</v>
          </cell>
          <cell r="U631">
            <v>76.8</v>
          </cell>
          <cell r="V631">
            <v>75.2</v>
          </cell>
          <cell r="W631">
            <v>73.600000000000009</v>
          </cell>
          <cell r="X631">
            <v>72</v>
          </cell>
          <cell r="Y631">
            <v>69.28</v>
          </cell>
          <cell r="Z631">
            <v>66.56</v>
          </cell>
          <cell r="AA631">
            <v>63.84</v>
          </cell>
          <cell r="AB631">
            <v>61.120000000000005</v>
          </cell>
          <cell r="AC631">
            <v>58.4</v>
          </cell>
          <cell r="AD631">
            <v>55.68</v>
          </cell>
          <cell r="AE631">
            <v>52.96</v>
          </cell>
          <cell r="AF631">
            <v>50.24</v>
          </cell>
          <cell r="AG631">
            <v>47.52</v>
          </cell>
          <cell r="AH631">
            <v>44.800000000000004</v>
          </cell>
        </row>
        <row r="632">
          <cell r="B632" t="str">
            <v>e-hydrogen (compressed) - OPEX including feedstock OPEX - Global - USD/ton fuel</v>
          </cell>
          <cell r="G632">
            <v>778.63990898977545</v>
          </cell>
          <cell r="H632">
            <v>746.81733762687418</v>
          </cell>
          <cell r="I632">
            <v>712.61415525113227</v>
          </cell>
          <cell r="J632">
            <v>693.21795180920219</v>
          </cell>
          <cell r="K632">
            <v>670.22211331548374</v>
          </cell>
          <cell r="L632">
            <v>643.6266397699726</v>
          </cell>
          <cell r="M632">
            <v>613.43153117270822</v>
          </cell>
          <cell r="N632">
            <v>579.63678752365013</v>
          </cell>
          <cell r="O632">
            <v>578.89498738880036</v>
          </cell>
          <cell r="P632">
            <v>573.27415594361116</v>
          </cell>
          <cell r="Q632">
            <v>562.77429318809038</v>
          </cell>
          <cell r="R632">
            <v>547.39539912221437</v>
          </cell>
          <cell r="S632">
            <v>527.13747374599984</v>
          </cell>
          <cell r="T632">
            <v>508.91545321169565</v>
          </cell>
          <cell r="U632">
            <v>487.75740898550708</v>
          </cell>
          <cell r="V632">
            <v>463.66334106745865</v>
          </cell>
          <cell r="W632">
            <v>436.63324945751151</v>
          </cell>
          <cell r="X632">
            <v>406.66713415568563</v>
          </cell>
          <cell r="Y632">
            <v>382.32288786138321</v>
          </cell>
          <cell r="Z632">
            <v>356.52173881762411</v>
          </cell>
          <cell r="AA632">
            <v>329.2636870244329</v>
          </cell>
          <cell r="AB632">
            <v>300.54873248178433</v>
          </cell>
          <cell r="AC632">
            <v>270.37687518969852</v>
          </cell>
          <cell r="AD632">
            <v>247.55933903156756</v>
          </cell>
          <cell r="AE632">
            <v>224.18137658421693</v>
          </cell>
          <cell r="AF632">
            <v>200.24298784764761</v>
          </cell>
          <cell r="AG632">
            <v>175.74417282185905</v>
          </cell>
          <cell r="AH632">
            <v>150.68493150685131</v>
          </cell>
        </row>
        <row r="633">
          <cell r="B633" t="str">
            <v>Carbon dioxide (PS) - OPEX - Global - USD/ton fuel</v>
          </cell>
          <cell r="G633">
            <v>51.5</v>
          </cell>
          <cell r="H633">
            <v>49.5</v>
          </cell>
          <cell r="I633">
            <v>47.5</v>
          </cell>
          <cell r="J633">
            <v>45.5</v>
          </cell>
          <cell r="K633">
            <v>43.5</v>
          </cell>
          <cell r="L633">
            <v>41.5</v>
          </cell>
          <cell r="M633">
            <v>39.5</v>
          </cell>
          <cell r="N633">
            <v>37.5</v>
          </cell>
          <cell r="O633">
            <v>36.725000000000001</v>
          </cell>
          <cell r="P633">
            <v>35.950000000000003</v>
          </cell>
          <cell r="Q633">
            <v>35.175000000000004</v>
          </cell>
          <cell r="R633">
            <v>34.4</v>
          </cell>
          <cell r="S633">
            <v>33.625</v>
          </cell>
          <cell r="T633">
            <v>32.85</v>
          </cell>
          <cell r="U633">
            <v>32.075000000000003</v>
          </cell>
          <cell r="V633">
            <v>31.3</v>
          </cell>
          <cell r="W633">
            <v>30.525000000000002</v>
          </cell>
          <cell r="X633">
            <v>29.75</v>
          </cell>
          <cell r="Y633">
            <v>28.975000000000001</v>
          </cell>
          <cell r="Z633">
            <v>28.200000000000003</v>
          </cell>
          <cell r="AA633">
            <v>27.425000000000001</v>
          </cell>
          <cell r="AB633">
            <v>26.650000000000002</v>
          </cell>
          <cell r="AC633">
            <v>25.875</v>
          </cell>
          <cell r="AD633">
            <v>25.1</v>
          </cell>
          <cell r="AE633">
            <v>24.325000000000003</v>
          </cell>
          <cell r="AF633">
            <v>23.55</v>
          </cell>
          <cell r="AG633">
            <v>22.775000000000002</v>
          </cell>
          <cell r="AH633">
            <v>22</v>
          </cell>
        </row>
        <row r="634">
          <cell r="B634" t="str">
            <v>e-methane - Conversion H2 -&gt; CH4 - Global - ton H2/ton CH4</v>
          </cell>
          <cell r="G634">
            <v>0.5</v>
          </cell>
          <cell r="H634">
            <v>0.5</v>
          </cell>
          <cell r="I634">
            <v>0.5</v>
          </cell>
          <cell r="J634">
            <v>0.5</v>
          </cell>
          <cell r="K634">
            <v>0.5</v>
          </cell>
          <cell r="L634">
            <v>0.5</v>
          </cell>
          <cell r="M634">
            <v>0.5</v>
          </cell>
          <cell r="N634">
            <v>0.5</v>
          </cell>
          <cell r="O634">
            <v>0.5</v>
          </cell>
          <cell r="P634">
            <v>0.5</v>
          </cell>
          <cell r="Q634">
            <v>0.5</v>
          </cell>
          <cell r="R634">
            <v>0.5</v>
          </cell>
          <cell r="S634">
            <v>0.5</v>
          </cell>
          <cell r="T634">
            <v>0.5</v>
          </cell>
          <cell r="U634">
            <v>0.5</v>
          </cell>
          <cell r="V634">
            <v>0.5</v>
          </cell>
          <cell r="W634">
            <v>0.5</v>
          </cell>
          <cell r="X634">
            <v>0.5</v>
          </cell>
          <cell r="Y634">
            <v>0.5</v>
          </cell>
          <cell r="Z634">
            <v>0.5</v>
          </cell>
          <cell r="AA634">
            <v>0.5</v>
          </cell>
          <cell r="AB634">
            <v>0.5</v>
          </cell>
          <cell r="AC634">
            <v>0.5</v>
          </cell>
          <cell r="AD634">
            <v>0.5</v>
          </cell>
          <cell r="AE634">
            <v>0.5</v>
          </cell>
          <cell r="AF634">
            <v>0.5</v>
          </cell>
          <cell r="AG634">
            <v>0.5</v>
          </cell>
          <cell r="AH634">
            <v>0.5</v>
          </cell>
        </row>
        <row r="635">
          <cell r="B635" t="str">
            <v>e-methane - Conversion CO2 -&gt; CH4 - Global - ton CO2/ton CH4</v>
          </cell>
          <cell r="G635">
            <v>2.75</v>
          </cell>
          <cell r="H635">
            <v>2.75</v>
          </cell>
          <cell r="I635">
            <v>2.75</v>
          </cell>
          <cell r="J635">
            <v>2.75</v>
          </cell>
          <cell r="K635">
            <v>2.75</v>
          </cell>
          <cell r="L635">
            <v>2.75</v>
          </cell>
          <cell r="M635">
            <v>2.75</v>
          </cell>
          <cell r="N635">
            <v>2.75</v>
          </cell>
          <cell r="O635">
            <v>2.75</v>
          </cell>
          <cell r="P635">
            <v>2.75</v>
          </cell>
          <cell r="Q635">
            <v>2.75</v>
          </cell>
          <cell r="R635">
            <v>2.75</v>
          </cell>
          <cell r="S635">
            <v>2.75</v>
          </cell>
          <cell r="T635">
            <v>2.75</v>
          </cell>
          <cell r="U635">
            <v>2.75</v>
          </cell>
          <cell r="V635">
            <v>2.75</v>
          </cell>
          <cell r="W635">
            <v>2.75</v>
          </cell>
          <cell r="X635">
            <v>2.75</v>
          </cell>
          <cell r="Y635">
            <v>2.75</v>
          </cell>
          <cell r="Z635">
            <v>2.75</v>
          </cell>
          <cell r="AA635">
            <v>2.75</v>
          </cell>
          <cell r="AB635">
            <v>2.75</v>
          </cell>
          <cell r="AC635">
            <v>2.75</v>
          </cell>
          <cell r="AD635">
            <v>2.75</v>
          </cell>
          <cell r="AE635">
            <v>2.75</v>
          </cell>
          <cell r="AF635">
            <v>2.75</v>
          </cell>
          <cell r="AG635">
            <v>2.75</v>
          </cell>
          <cell r="AH635">
            <v>2.75</v>
          </cell>
        </row>
        <row r="636">
          <cell r="B636" t="str">
            <v/>
          </cell>
        </row>
        <row r="637">
          <cell r="B637" t="str">
            <v>e-methane (PS) - Finance cost including feedstock finance cost - Africa - USD/ton fuel</v>
          </cell>
          <cell r="G637">
            <v>452.3307416623644</v>
          </cell>
          <cell r="H637">
            <v>433.77152987435295</v>
          </cell>
          <cell r="I637">
            <v>415.00639269406201</v>
          </cell>
          <cell r="J637">
            <v>401.85697494789235</v>
          </cell>
          <cell r="K637">
            <v>388.32499377373836</v>
          </cell>
          <cell r="L637">
            <v>374.41044917160394</v>
          </cell>
          <cell r="M637">
            <v>360.11334114149042</v>
          </cell>
          <cell r="N637">
            <v>345.4336696833924</v>
          </cell>
          <cell r="O637">
            <v>345.59687670116216</v>
          </cell>
          <cell r="P637">
            <v>344.86790650065063</v>
          </cell>
          <cell r="Q637">
            <v>343.24675908185583</v>
          </cell>
          <cell r="R637">
            <v>340.73343444477348</v>
          </cell>
          <cell r="S637">
            <v>337.32793258941081</v>
          </cell>
          <cell r="T637">
            <v>332.47221317228718</v>
          </cell>
          <cell r="U637">
            <v>326.88013737523045</v>
          </cell>
          <cell r="V637">
            <v>320.55170519824816</v>
          </cell>
          <cell r="W637">
            <v>313.48691664133287</v>
          </cell>
          <cell r="X637">
            <v>305.68577170448191</v>
          </cell>
          <cell r="Y637">
            <v>295.89225547306734</v>
          </cell>
          <cell r="Z637">
            <v>285.54311727415319</v>
          </cell>
          <cell r="AA637">
            <v>274.63835710774561</v>
          </cell>
          <cell r="AB637">
            <v>263.17797497384061</v>
          </cell>
          <cell r="AC637">
            <v>251.16197087243683</v>
          </cell>
          <cell r="AD637">
            <v>238.48620701100324</v>
          </cell>
          <cell r="AE637">
            <v>225.46290424875031</v>
          </cell>
          <cell r="AF637">
            <v>212.09206258567818</v>
          </cell>
          <cell r="AG637">
            <v>198.37368202178675</v>
          </cell>
          <cell r="AH637">
            <v>184.30776255707616</v>
          </cell>
        </row>
        <row r="638">
          <cell r="B638" t="str">
            <v>e-methane (PS) - Finance cost including feedstock finance cost - Americas - USD/ton fuel</v>
          </cell>
          <cell r="G638">
            <v>452.3307416623644</v>
          </cell>
          <cell r="H638">
            <v>433.77152987435295</v>
          </cell>
          <cell r="I638">
            <v>415.00639269406201</v>
          </cell>
          <cell r="J638">
            <v>401.85697494789235</v>
          </cell>
          <cell r="K638">
            <v>388.32499377373836</v>
          </cell>
          <cell r="L638">
            <v>374.41044917160394</v>
          </cell>
          <cell r="M638">
            <v>360.11334114149042</v>
          </cell>
          <cell r="N638">
            <v>345.4336696833924</v>
          </cell>
          <cell r="O638">
            <v>345.59687670116216</v>
          </cell>
          <cell r="P638">
            <v>344.86790650065063</v>
          </cell>
          <cell r="Q638">
            <v>343.24675908185583</v>
          </cell>
          <cell r="R638">
            <v>340.73343444477348</v>
          </cell>
          <cell r="S638">
            <v>337.32793258941081</v>
          </cell>
          <cell r="T638">
            <v>332.47221317228718</v>
          </cell>
          <cell r="U638">
            <v>326.88013737523045</v>
          </cell>
          <cell r="V638">
            <v>320.55170519824816</v>
          </cell>
          <cell r="W638">
            <v>313.48691664133287</v>
          </cell>
          <cell r="X638">
            <v>305.68577170448191</v>
          </cell>
          <cell r="Y638">
            <v>295.89225547306734</v>
          </cell>
          <cell r="Z638">
            <v>285.54311727415319</v>
          </cell>
          <cell r="AA638">
            <v>274.63835710774561</v>
          </cell>
          <cell r="AB638">
            <v>263.17797497384061</v>
          </cell>
          <cell r="AC638">
            <v>251.16197087243683</v>
          </cell>
          <cell r="AD638">
            <v>238.48620701100324</v>
          </cell>
          <cell r="AE638">
            <v>225.46290424875031</v>
          </cell>
          <cell r="AF638">
            <v>212.09206258567818</v>
          </cell>
          <cell r="AG638">
            <v>198.37368202178675</v>
          </cell>
          <cell r="AH638">
            <v>184.30776255707616</v>
          </cell>
        </row>
        <row r="639">
          <cell r="B639" t="str">
            <v>e-methane (PS) - Finance cost including feedstock finance cost - Asia - USD/ton fuel</v>
          </cell>
          <cell r="G639">
            <v>452.3307416623644</v>
          </cell>
          <cell r="H639">
            <v>433.77152987435295</v>
          </cell>
          <cell r="I639">
            <v>415.00639269406201</v>
          </cell>
          <cell r="J639">
            <v>401.85697494789235</v>
          </cell>
          <cell r="K639">
            <v>388.32499377373836</v>
          </cell>
          <cell r="L639">
            <v>374.41044917160394</v>
          </cell>
          <cell r="M639">
            <v>360.11334114149042</v>
          </cell>
          <cell r="N639">
            <v>345.4336696833924</v>
          </cell>
          <cell r="O639">
            <v>345.59687670116216</v>
          </cell>
          <cell r="P639">
            <v>344.86790650065063</v>
          </cell>
          <cell r="Q639">
            <v>343.24675908185583</v>
          </cell>
          <cell r="R639">
            <v>340.73343444477348</v>
          </cell>
          <cell r="S639">
            <v>337.32793258941081</v>
          </cell>
          <cell r="T639">
            <v>332.47221317228718</v>
          </cell>
          <cell r="U639">
            <v>326.88013737523045</v>
          </cell>
          <cell r="V639">
            <v>320.55170519824816</v>
          </cell>
          <cell r="W639">
            <v>313.48691664133287</v>
          </cell>
          <cell r="X639">
            <v>305.68577170448191</v>
          </cell>
          <cell r="Y639">
            <v>295.89225547306734</v>
          </cell>
          <cell r="Z639">
            <v>285.54311727415319</v>
          </cell>
          <cell r="AA639">
            <v>274.63835710774561</v>
          </cell>
          <cell r="AB639">
            <v>263.17797497384061</v>
          </cell>
          <cell r="AC639">
            <v>251.16197087243683</v>
          </cell>
          <cell r="AD639">
            <v>238.48620701100324</v>
          </cell>
          <cell r="AE639">
            <v>225.46290424875031</v>
          </cell>
          <cell r="AF639">
            <v>212.09206258567818</v>
          </cell>
          <cell r="AG639">
            <v>198.37368202178675</v>
          </cell>
          <cell r="AH639">
            <v>184.30776255707616</v>
          </cell>
        </row>
        <row r="640">
          <cell r="B640" t="str">
            <v>e-methane (PS) - Finance cost including feedstock finance cost - Europe - USD/ton fuel</v>
          </cell>
          <cell r="G640">
            <v>452.3307416623644</v>
          </cell>
          <cell r="H640">
            <v>433.77152987435295</v>
          </cell>
          <cell r="I640">
            <v>415.00639269406201</v>
          </cell>
          <cell r="J640">
            <v>401.85697494789235</v>
          </cell>
          <cell r="K640">
            <v>388.32499377373836</v>
          </cell>
          <cell r="L640">
            <v>374.41044917160394</v>
          </cell>
          <cell r="M640">
            <v>360.11334114149042</v>
          </cell>
          <cell r="N640">
            <v>345.4336696833924</v>
          </cell>
          <cell r="O640">
            <v>345.59687670116216</v>
          </cell>
          <cell r="P640">
            <v>344.86790650065063</v>
          </cell>
          <cell r="Q640">
            <v>343.24675908185583</v>
          </cell>
          <cell r="R640">
            <v>340.73343444477348</v>
          </cell>
          <cell r="S640">
            <v>337.32793258941081</v>
          </cell>
          <cell r="T640">
            <v>332.47221317228718</v>
          </cell>
          <cell r="U640">
            <v>326.88013737523045</v>
          </cell>
          <cell r="V640">
            <v>320.55170519824816</v>
          </cell>
          <cell r="W640">
            <v>313.48691664133287</v>
          </cell>
          <cell r="X640">
            <v>305.68577170448191</v>
          </cell>
          <cell r="Y640">
            <v>295.89225547306734</v>
          </cell>
          <cell r="Z640">
            <v>285.54311727415319</v>
          </cell>
          <cell r="AA640">
            <v>274.63835710774561</v>
          </cell>
          <cell r="AB640">
            <v>263.17797497384061</v>
          </cell>
          <cell r="AC640">
            <v>251.16197087243683</v>
          </cell>
          <cell r="AD640">
            <v>238.48620701100324</v>
          </cell>
          <cell r="AE640">
            <v>225.46290424875031</v>
          </cell>
          <cell r="AF640">
            <v>212.09206258567818</v>
          </cell>
          <cell r="AG640">
            <v>198.37368202178675</v>
          </cell>
          <cell r="AH640">
            <v>184.30776255707616</v>
          </cell>
        </row>
        <row r="641">
          <cell r="B641" t="str">
            <v>e-methane (PS) - Finance cost including feedstock finance cost - Middle East - USD/ton fuel</v>
          </cell>
          <cell r="G641">
            <v>452.3307416623644</v>
          </cell>
          <cell r="H641">
            <v>433.77152987435295</v>
          </cell>
          <cell r="I641">
            <v>415.00639269406201</v>
          </cell>
          <cell r="J641">
            <v>401.85697494789235</v>
          </cell>
          <cell r="K641">
            <v>388.32499377373836</v>
          </cell>
          <cell r="L641">
            <v>374.41044917160394</v>
          </cell>
          <cell r="M641">
            <v>360.11334114149042</v>
          </cell>
          <cell r="N641">
            <v>345.4336696833924</v>
          </cell>
          <cell r="O641">
            <v>345.59687670116216</v>
          </cell>
          <cell r="P641">
            <v>344.86790650065063</v>
          </cell>
          <cell r="Q641">
            <v>343.24675908185583</v>
          </cell>
          <cell r="R641">
            <v>340.73343444477348</v>
          </cell>
          <cell r="S641">
            <v>337.32793258941081</v>
          </cell>
          <cell r="T641">
            <v>332.47221317228718</v>
          </cell>
          <cell r="U641">
            <v>326.88013737523045</v>
          </cell>
          <cell r="V641">
            <v>320.55170519824816</v>
          </cell>
          <cell r="W641">
            <v>313.48691664133287</v>
          </cell>
          <cell r="X641">
            <v>305.68577170448191</v>
          </cell>
          <cell r="Y641">
            <v>295.89225547306734</v>
          </cell>
          <cell r="Z641">
            <v>285.54311727415319</v>
          </cell>
          <cell r="AA641">
            <v>274.63835710774561</v>
          </cell>
          <cell r="AB641">
            <v>263.17797497384061</v>
          </cell>
          <cell r="AC641">
            <v>251.16197087243683</v>
          </cell>
          <cell r="AD641">
            <v>238.48620701100324</v>
          </cell>
          <cell r="AE641">
            <v>225.46290424875031</v>
          </cell>
          <cell r="AF641">
            <v>212.09206258567818</v>
          </cell>
          <cell r="AG641">
            <v>198.37368202178675</v>
          </cell>
          <cell r="AH641">
            <v>184.30776255707616</v>
          </cell>
        </row>
        <row r="642">
          <cell r="B642" t="str">
            <v>e-methane (PS) - Finance cost - Africa - USD/ton fuel</v>
          </cell>
          <cell r="G642">
            <v>84.810000000000016</v>
          </cell>
          <cell r="H642">
            <v>80.080000000000013</v>
          </cell>
          <cell r="I642">
            <v>75.350000000000009</v>
          </cell>
          <cell r="J642">
            <v>72.38000000000001</v>
          </cell>
          <cell r="K642">
            <v>69.410000000000011</v>
          </cell>
          <cell r="L642">
            <v>66.440000000000012</v>
          </cell>
          <cell r="M642">
            <v>63.470000000000006</v>
          </cell>
          <cell r="N642">
            <v>60.500000000000007</v>
          </cell>
          <cell r="O642">
            <v>59.400000000000006</v>
          </cell>
          <cell r="P642">
            <v>58.300000000000004</v>
          </cell>
          <cell r="Q642">
            <v>57.20000000000001</v>
          </cell>
          <cell r="R642">
            <v>56.100000000000009</v>
          </cell>
          <cell r="S642">
            <v>55.000000000000007</v>
          </cell>
          <cell r="T642">
            <v>53.900000000000006</v>
          </cell>
          <cell r="U642">
            <v>52.800000000000004</v>
          </cell>
          <cell r="V642">
            <v>51.70000000000001</v>
          </cell>
          <cell r="W642">
            <v>50.600000000000009</v>
          </cell>
          <cell r="X642">
            <v>49.500000000000007</v>
          </cell>
          <cell r="Y642">
            <v>47.63000000000001</v>
          </cell>
          <cell r="Z642">
            <v>45.760000000000005</v>
          </cell>
          <cell r="AA642">
            <v>43.890000000000008</v>
          </cell>
          <cell r="AB642">
            <v>42.02</v>
          </cell>
          <cell r="AC642">
            <v>40.150000000000006</v>
          </cell>
          <cell r="AD642">
            <v>38.280000000000008</v>
          </cell>
          <cell r="AE642">
            <v>36.410000000000004</v>
          </cell>
          <cell r="AF642">
            <v>34.540000000000006</v>
          </cell>
          <cell r="AG642">
            <v>32.67</v>
          </cell>
          <cell r="AH642">
            <v>30.800000000000004</v>
          </cell>
        </row>
        <row r="643">
          <cell r="B643" t="str">
            <v>e-methane (PS) - Finance cost - Americas - USD/ton fuel</v>
          </cell>
          <cell r="G643">
            <v>84.810000000000016</v>
          </cell>
          <cell r="H643">
            <v>80.080000000000013</v>
          </cell>
          <cell r="I643">
            <v>75.350000000000009</v>
          </cell>
          <cell r="J643">
            <v>72.38000000000001</v>
          </cell>
          <cell r="K643">
            <v>69.410000000000011</v>
          </cell>
          <cell r="L643">
            <v>66.440000000000012</v>
          </cell>
          <cell r="M643">
            <v>63.470000000000006</v>
          </cell>
          <cell r="N643">
            <v>60.500000000000007</v>
          </cell>
          <cell r="O643">
            <v>59.400000000000006</v>
          </cell>
          <cell r="P643">
            <v>58.300000000000004</v>
          </cell>
          <cell r="Q643">
            <v>57.20000000000001</v>
          </cell>
          <cell r="R643">
            <v>56.100000000000009</v>
          </cell>
          <cell r="S643">
            <v>55.000000000000007</v>
          </cell>
          <cell r="T643">
            <v>53.900000000000006</v>
          </cell>
          <cell r="U643">
            <v>52.800000000000004</v>
          </cell>
          <cell r="V643">
            <v>51.70000000000001</v>
          </cell>
          <cell r="W643">
            <v>50.600000000000009</v>
          </cell>
          <cell r="X643">
            <v>49.500000000000007</v>
          </cell>
          <cell r="Y643">
            <v>47.63000000000001</v>
          </cell>
          <cell r="Z643">
            <v>45.760000000000005</v>
          </cell>
          <cell r="AA643">
            <v>43.890000000000008</v>
          </cell>
          <cell r="AB643">
            <v>42.02</v>
          </cell>
          <cell r="AC643">
            <v>40.150000000000006</v>
          </cell>
          <cell r="AD643">
            <v>38.280000000000008</v>
          </cell>
          <cell r="AE643">
            <v>36.410000000000004</v>
          </cell>
          <cell r="AF643">
            <v>34.540000000000006</v>
          </cell>
          <cell r="AG643">
            <v>32.67</v>
          </cell>
          <cell r="AH643">
            <v>30.800000000000004</v>
          </cell>
        </row>
        <row r="644">
          <cell r="B644" t="str">
            <v>e-methane (PS) - Finance cost - Asia - USD/ton fuel</v>
          </cell>
          <cell r="G644">
            <v>84.810000000000016</v>
          </cell>
          <cell r="H644">
            <v>80.080000000000013</v>
          </cell>
          <cell r="I644">
            <v>75.350000000000009</v>
          </cell>
          <cell r="J644">
            <v>72.38000000000001</v>
          </cell>
          <cell r="K644">
            <v>69.410000000000011</v>
          </cell>
          <cell r="L644">
            <v>66.440000000000012</v>
          </cell>
          <cell r="M644">
            <v>63.470000000000006</v>
          </cell>
          <cell r="N644">
            <v>60.500000000000007</v>
          </cell>
          <cell r="O644">
            <v>59.400000000000006</v>
          </cell>
          <cell r="P644">
            <v>58.300000000000004</v>
          </cell>
          <cell r="Q644">
            <v>57.20000000000001</v>
          </cell>
          <cell r="R644">
            <v>56.100000000000009</v>
          </cell>
          <cell r="S644">
            <v>55.000000000000007</v>
          </cell>
          <cell r="T644">
            <v>53.900000000000006</v>
          </cell>
          <cell r="U644">
            <v>52.800000000000004</v>
          </cell>
          <cell r="V644">
            <v>51.70000000000001</v>
          </cell>
          <cell r="W644">
            <v>50.600000000000009</v>
          </cell>
          <cell r="X644">
            <v>49.500000000000007</v>
          </cell>
          <cell r="Y644">
            <v>47.63000000000001</v>
          </cell>
          <cell r="Z644">
            <v>45.760000000000005</v>
          </cell>
          <cell r="AA644">
            <v>43.890000000000008</v>
          </cell>
          <cell r="AB644">
            <v>42.02</v>
          </cell>
          <cell r="AC644">
            <v>40.150000000000006</v>
          </cell>
          <cell r="AD644">
            <v>38.280000000000008</v>
          </cell>
          <cell r="AE644">
            <v>36.410000000000004</v>
          </cell>
          <cell r="AF644">
            <v>34.540000000000006</v>
          </cell>
          <cell r="AG644">
            <v>32.67</v>
          </cell>
          <cell r="AH644">
            <v>30.800000000000004</v>
          </cell>
        </row>
        <row r="645">
          <cell r="B645" t="str">
            <v>e-methane (PS) - Finance cost - Europe - USD/ton fuel</v>
          </cell>
          <cell r="G645">
            <v>84.810000000000016</v>
          </cell>
          <cell r="H645">
            <v>80.080000000000013</v>
          </cell>
          <cell r="I645">
            <v>75.350000000000009</v>
          </cell>
          <cell r="J645">
            <v>72.38000000000001</v>
          </cell>
          <cell r="K645">
            <v>69.410000000000011</v>
          </cell>
          <cell r="L645">
            <v>66.440000000000012</v>
          </cell>
          <cell r="M645">
            <v>63.470000000000006</v>
          </cell>
          <cell r="N645">
            <v>60.500000000000007</v>
          </cell>
          <cell r="O645">
            <v>59.400000000000006</v>
          </cell>
          <cell r="P645">
            <v>58.300000000000004</v>
          </cell>
          <cell r="Q645">
            <v>57.20000000000001</v>
          </cell>
          <cell r="R645">
            <v>56.100000000000009</v>
          </cell>
          <cell r="S645">
            <v>55.000000000000007</v>
          </cell>
          <cell r="T645">
            <v>53.900000000000006</v>
          </cell>
          <cell r="U645">
            <v>52.800000000000004</v>
          </cell>
          <cell r="V645">
            <v>51.70000000000001</v>
          </cell>
          <cell r="W645">
            <v>50.600000000000009</v>
          </cell>
          <cell r="X645">
            <v>49.500000000000007</v>
          </cell>
          <cell r="Y645">
            <v>47.63000000000001</v>
          </cell>
          <cell r="Z645">
            <v>45.760000000000005</v>
          </cell>
          <cell r="AA645">
            <v>43.890000000000008</v>
          </cell>
          <cell r="AB645">
            <v>42.02</v>
          </cell>
          <cell r="AC645">
            <v>40.150000000000006</v>
          </cell>
          <cell r="AD645">
            <v>38.280000000000008</v>
          </cell>
          <cell r="AE645">
            <v>36.410000000000004</v>
          </cell>
          <cell r="AF645">
            <v>34.540000000000006</v>
          </cell>
          <cell r="AG645">
            <v>32.67</v>
          </cell>
          <cell r="AH645">
            <v>30.800000000000004</v>
          </cell>
        </row>
        <row r="646">
          <cell r="B646" t="str">
            <v>e-methane (PS) - Finance cost - Middle East - USD/ton fuel</v>
          </cell>
          <cell r="G646">
            <v>84.810000000000016</v>
          </cell>
          <cell r="H646">
            <v>80.080000000000013</v>
          </cell>
          <cell r="I646">
            <v>75.350000000000009</v>
          </cell>
          <cell r="J646">
            <v>72.38000000000001</v>
          </cell>
          <cell r="K646">
            <v>69.410000000000011</v>
          </cell>
          <cell r="L646">
            <v>66.440000000000012</v>
          </cell>
          <cell r="M646">
            <v>63.470000000000006</v>
          </cell>
          <cell r="N646">
            <v>60.500000000000007</v>
          </cell>
          <cell r="O646">
            <v>59.400000000000006</v>
          </cell>
          <cell r="P646">
            <v>58.300000000000004</v>
          </cell>
          <cell r="Q646">
            <v>57.20000000000001</v>
          </cell>
          <cell r="R646">
            <v>56.100000000000009</v>
          </cell>
          <cell r="S646">
            <v>55.000000000000007</v>
          </cell>
          <cell r="T646">
            <v>53.900000000000006</v>
          </cell>
          <cell r="U646">
            <v>52.800000000000004</v>
          </cell>
          <cell r="V646">
            <v>51.70000000000001</v>
          </cell>
          <cell r="W646">
            <v>50.600000000000009</v>
          </cell>
          <cell r="X646">
            <v>49.500000000000007</v>
          </cell>
          <cell r="Y646">
            <v>47.63000000000001</v>
          </cell>
          <cell r="Z646">
            <v>45.760000000000005</v>
          </cell>
          <cell r="AA646">
            <v>43.890000000000008</v>
          </cell>
          <cell r="AB646">
            <v>42.02</v>
          </cell>
          <cell r="AC646">
            <v>40.150000000000006</v>
          </cell>
          <cell r="AD646">
            <v>38.280000000000008</v>
          </cell>
          <cell r="AE646">
            <v>36.410000000000004</v>
          </cell>
          <cell r="AF646">
            <v>34.540000000000006</v>
          </cell>
          <cell r="AG646">
            <v>32.67</v>
          </cell>
          <cell r="AH646">
            <v>30.800000000000004</v>
          </cell>
        </row>
        <row r="647">
          <cell r="B647" t="str">
            <v>e-hydrogen (compressed) - Finance cost including feedstock finance cost - Africa - USD/ton fuel</v>
          </cell>
          <cell r="G647">
            <v>423.4664833247287</v>
          </cell>
          <cell r="H647">
            <v>407.9080597487058</v>
          </cell>
          <cell r="I647">
            <v>391.93778538812398</v>
          </cell>
          <cell r="J647">
            <v>383.67894989578463</v>
          </cell>
          <cell r="K647">
            <v>374.65498754747659</v>
          </cell>
          <cell r="L647">
            <v>364.86589834320779</v>
          </cell>
          <cell r="M647">
            <v>354.31168228298088</v>
          </cell>
          <cell r="N647">
            <v>342.99233936678479</v>
          </cell>
          <cell r="O647">
            <v>350.20750340232428</v>
          </cell>
          <cell r="P647">
            <v>355.6383130013013</v>
          </cell>
          <cell r="Q647">
            <v>359.28476816371159</v>
          </cell>
          <cell r="R647">
            <v>361.14686888954691</v>
          </cell>
          <cell r="S647">
            <v>361.22461517882164</v>
          </cell>
          <cell r="T647">
            <v>358.40192634457429</v>
          </cell>
          <cell r="U647">
            <v>354.10652475046084</v>
          </cell>
          <cell r="V647">
            <v>348.33841039649622</v>
          </cell>
          <cell r="W647">
            <v>341.09758328266571</v>
          </cell>
          <cell r="X647">
            <v>332.38404340896386</v>
          </cell>
          <cell r="Y647">
            <v>321.22576094613464</v>
          </cell>
          <cell r="Z647">
            <v>308.95623454830633</v>
          </cell>
          <cell r="AA647">
            <v>295.57546421549114</v>
          </cell>
          <cell r="AB647">
            <v>281.08344994768112</v>
          </cell>
          <cell r="AC647">
            <v>265.48019174487365</v>
          </cell>
          <cell r="AD647">
            <v>248.55741402200647</v>
          </cell>
          <cell r="AE647">
            <v>230.93955849750063</v>
          </cell>
          <cell r="AF647">
            <v>212.62662517135635</v>
          </cell>
          <cell r="AG647">
            <v>193.61861404357347</v>
          </cell>
          <cell r="AH647">
            <v>173.9155251141523</v>
          </cell>
        </row>
        <row r="648">
          <cell r="B648" t="str">
            <v>e-hydrogen (compressed) - Finance cost including feedstock finance cost - Americas - USD/ton fuel</v>
          </cell>
          <cell r="G648">
            <v>423.4664833247287</v>
          </cell>
          <cell r="H648">
            <v>407.9080597487058</v>
          </cell>
          <cell r="I648">
            <v>391.93778538812398</v>
          </cell>
          <cell r="J648">
            <v>383.67894989578463</v>
          </cell>
          <cell r="K648">
            <v>374.65498754747659</v>
          </cell>
          <cell r="L648">
            <v>364.86589834320779</v>
          </cell>
          <cell r="M648">
            <v>354.31168228298088</v>
          </cell>
          <cell r="N648">
            <v>342.99233936678479</v>
          </cell>
          <cell r="O648">
            <v>350.20750340232428</v>
          </cell>
          <cell r="P648">
            <v>355.6383130013013</v>
          </cell>
          <cell r="Q648">
            <v>359.28476816371159</v>
          </cell>
          <cell r="R648">
            <v>361.14686888954691</v>
          </cell>
          <cell r="S648">
            <v>361.22461517882164</v>
          </cell>
          <cell r="T648">
            <v>358.40192634457429</v>
          </cell>
          <cell r="U648">
            <v>354.10652475046084</v>
          </cell>
          <cell r="V648">
            <v>348.33841039649622</v>
          </cell>
          <cell r="W648">
            <v>341.09758328266571</v>
          </cell>
          <cell r="X648">
            <v>332.38404340896386</v>
          </cell>
          <cell r="Y648">
            <v>321.22576094613464</v>
          </cell>
          <cell r="Z648">
            <v>308.95623454830633</v>
          </cell>
          <cell r="AA648">
            <v>295.57546421549114</v>
          </cell>
          <cell r="AB648">
            <v>281.08344994768112</v>
          </cell>
          <cell r="AC648">
            <v>265.48019174487365</v>
          </cell>
          <cell r="AD648">
            <v>248.55741402200647</v>
          </cell>
          <cell r="AE648">
            <v>230.93955849750063</v>
          </cell>
          <cell r="AF648">
            <v>212.62662517135635</v>
          </cell>
          <cell r="AG648">
            <v>193.61861404357347</v>
          </cell>
          <cell r="AH648">
            <v>173.9155251141523</v>
          </cell>
        </row>
        <row r="649">
          <cell r="B649" t="str">
            <v>e-hydrogen (compressed) - Finance cost including feedstock finance cost - Asia - USD/ton fuel</v>
          </cell>
          <cell r="G649">
            <v>423.4664833247287</v>
          </cell>
          <cell r="H649">
            <v>407.9080597487058</v>
          </cell>
          <cell r="I649">
            <v>391.93778538812398</v>
          </cell>
          <cell r="J649">
            <v>383.67894989578463</v>
          </cell>
          <cell r="K649">
            <v>374.65498754747659</v>
          </cell>
          <cell r="L649">
            <v>364.86589834320779</v>
          </cell>
          <cell r="M649">
            <v>354.31168228298088</v>
          </cell>
          <cell r="N649">
            <v>342.99233936678479</v>
          </cell>
          <cell r="O649">
            <v>350.20750340232428</v>
          </cell>
          <cell r="P649">
            <v>355.6383130013013</v>
          </cell>
          <cell r="Q649">
            <v>359.28476816371159</v>
          </cell>
          <cell r="R649">
            <v>361.14686888954691</v>
          </cell>
          <cell r="S649">
            <v>361.22461517882164</v>
          </cell>
          <cell r="T649">
            <v>358.40192634457429</v>
          </cell>
          <cell r="U649">
            <v>354.10652475046084</v>
          </cell>
          <cell r="V649">
            <v>348.33841039649622</v>
          </cell>
          <cell r="W649">
            <v>341.09758328266571</v>
          </cell>
          <cell r="X649">
            <v>332.38404340896386</v>
          </cell>
          <cell r="Y649">
            <v>321.22576094613464</v>
          </cell>
          <cell r="Z649">
            <v>308.95623454830633</v>
          </cell>
          <cell r="AA649">
            <v>295.57546421549114</v>
          </cell>
          <cell r="AB649">
            <v>281.08344994768112</v>
          </cell>
          <cell r="AC649">
            <v>265.48019174487365</v>
          </cell>
          <cell r="AD649">
            <v>248.55741402200647</v>
          </cell>
          <cell r="AE649">
            <v>230.93955849750063</v>
          </cell>
          <cell r="AF649">
            <v>212.62662517135635</v>
          </cell>
          <cell r="AG649">
            <v>193.61861404357347</v>
          </cell>
          <cell r="AH649">
            <v>173.9155251141523</v>
          </cell>
        </row>
        <row r="650">
          <cell r="B650" t="str">
            <v>e-hydrogen (compressed) - Finance cost including feedstock finance cost - Europe - USD/ton fuel</v>
          </cell>
          <cell r="G650">
            <v>423.4664833247287</v>
          </cell>
          <cell r="H650">
            <v>407.9080597487058</v>
          </cell>
          <cell r="I650">
            <v>391.93778538812398</v>
          </cell>
          <cell r="J650">
            <v>383.67894989578463</v>
          </cell>
          <cell r="K650">
            <v>374.65498754747659</v>
          </cell>
          <cell r="L650">
            <v>364.86589834320779</v>
          </cell>
          <cell r="M650">
            <v>354.31168228298088</v>
          </cell>
          <cell r="N650">
            <v>342.99233936678479</v>
          </cell>
          <cell r="O650">
            <v>350.20750340232428</v>
          </cell>
          <cell r="P650">
            <v>355.6383130013013</v>
          </cell>
          <cell r="Q650">
            <v>359.28476816371159</v>
          </cell>
          <cell r="R650">
            <v>361.14686888954691</v>
          </cell>
          <cell r="S650">
            <v>361.22461517882164</v>
          </cell>
          <cell r="T650">
            <v>358.40192634457429</v>
          </cell>
          <cell r="U650">
            <v>354.10652475046084</v>
          </cell>
          <cell r="V650">
            <v>348.33841039649622</v>
          </cell>
          <cell r="W650">
            <v>341.09758328266571</v>
          </cell>
          <cell r="X650">
            <v>332.38404340896386</v>
          </cell>
          <cell r="Y650">
            <v>321.22576094613464</v>
          </cell>
          <cell r="Z650">
            <v>308.95623454830633</v>
          </cell>
          <cell r="AA650">
            <v>295.57546421549114</v>
          </cell>
          <cell r="AB650">
            <v>281.08344994768112</v>
          </cell>
          <cell r="AC650">
            <v>265.48019174487365</v>
          </cell>
          <cell r="AD650">
            <v>248.55741402200647</v>
          </cell>
          <cell r="AE650">
            <v>230.93955849750063</v>
          </cell>
          <cell r="AF650">
            <v>212.62662517135635</v>
          </cell>
          <cell r="AG650">
            <v>193.61861404357347</v>
          </cell>
          <cell r="AH650">
            <v>173.9155251141523</v>
          </cell>
        </row>
        <row r="651">
          <cell r="B651" t="str">
            <v>e-hydrogen (compressed) - Finance cost including feedstock finance cost - Middle East - USD/ton fuel</v>
          </cell>
          <cell r="G651">
            <v>423.4664833247287</v>
          </cell>
          <cell r="H651">
            <v>407.9080597487058</v>
          </cell>
          <cell r="I651">
            <v>391.93778538812398</v>
          </cell>
          <cell r="J651">
            <v>383.67894989578463</v>
          </cell>
          <cell r="K651">
            <v>374.65498754747659</v>
          </cell>
          <cell r="L651">
            <v>364.86589834320779</v>
          </cell>
          <cell r="M651">
            <v>354.31168228298088</v>
          </cell>
          <cell r="N651">
            <v>342.99233936678479</v>
          </cell>
          <cell r="O651">
            <v>350.20750340232428</v>
          </cell>
          <cell r="P651">
            <v>355.6383130013013</v>
          </cell>
          <cell r="Q651">
            <v>359.28476816371159</v>
          </cell>
          <cell r="R651">
            <v>361.14686888954691</v>
          </cell>
          <cell r="S651">
            <v>361.22461517882164</v>
          </cell>
          <cell r="T651">
            <v>358.40192634457429</v>
          </cell>
          <cell r="U651">
            <v>354.10652475046084</v>
          </cell>
          <cell r="V651">
            <v>348.33841039649622</v>
          </cell>
          <cell r="W651">
            <v>341.09758328266571</v>
          </cell>
          <cell r="X651">
            <v>332.38404340896386</v>
          </cell>
          <cell r="Y651">
            <v>321.22576094613464</v>
          </cell>
          <cell r="Z651">
            <v>308.95623454830633</v>
          </cell>
          <cell r="AA651">
            <v>295.57546421549114</v>
          </cell>
          <cell r="AB651">
            <v>281.08344994768112</v>
          </cell>
          <cell r="AC651">
            <v>265.48019174487365</v>
          </cell>
          <cell r="AD651">
            <v>248.55741402200647</v>
          </cell>
          <cell r="AE651">
            <v>230.93955849750063</v>
          </cell>
          <cell r="AF651">
            <v>212.62662517135635</v>
          </cell>
          <cell r="AG651">
            <v>193.61861404357347</v>
          </cell>
          <cell r="AH651">
            <v>173.9155251141523</v>
          </cell>
        </row>
        <row r="652">
          <cell r="B652" t="str">
            <v>Carbon dioxide (PS) - Finance cost - Africa - USD/ton fuel</v>
          </cell>
          <cell r="G652">
            <v>56.650000000000006</v>
          </cell>
          <cell r="H652">
            <v>54.45000000000001</v>
          </cell>
          <cell r="I652">
            <v>52.250000000000007</v>
          </cell>
          <cell r="J652">
            <v>50.050000000000004</v>
          </cell>
          <cell r="K652">
            <v>47.850000000000009</v>
          </cell>
          <cell r="L652">
            <v>45.650000000000006</v>
          </cell>
          <cell r="M652">
            <v>43.45</v>
          </cell>
          <cell r="N652">
            <v>41.250000000000007</v>
          </cell>
          <cell r="O652">
            <v>40.397500000000008</v>
          </cell>
          <cell r="P652">
            <v>39.545000000000002</v>
          </cell>
          <cell r="Q652">
            <v>38.692500000000003</v>
          </cell>
          <cell r="R652">
            <v>37.840000000000003</v>
          </cell>
          <cell r="S652">
            <v>36.987500000000004</v>
          </cell>
          <cell r="T652">
            <v>36.135000000000005</v>
          </cell>
          <cell r="U652">
            <v>35.282500000000006</v>
          </cell>
          <cell r="V652">
            <v>34.430000000000007</v>
          </cell>
          <cell r="W652">
            <v>33.577500000000008</v>
          </cell>
          <cell r="X652">
            <v>32.725000000000001</v>
          </cell>
          <cell r="Y652">
            <v>31.872500000000006</v>
          </cell>
          <cell r="Z652">
            <v>31.020000000000003</v>
          </cell>
          <cell r="AA652">
            <v>30.167500000000004</v>
          </cell>
          <cell r="AB652">
            <v>29.315000000000005</v>
          </cell>
          <cell r="AC652">
            <v>28.462500000000002</v>
          </cell>
          <cell r="AD652">
            <v>27.610000000000003</v>
          </cell>
          <cell r="AE652">
            <v>26.757500000000004</v>
          </cell>
          <cell r="AF652">
            <v>25.905000000000005</v>
          </cell>
          <cell r="AG652">
            <v>25.052500000000002</v>
          </cell>
          <cell r="AH652">
            <v>24.200000000000003</v>
          </cell>
        </row>
        <row r="653">
          <cell r="B653" t="str">
            <v>Carbon dioxide (PS) - Finance cost - Americas - USD/ton fuel</v>
          </cell>
          <cell r="G653">
            <v>56.650000000000006</v>
          </cell>
          <cell r="H653">
            <v>54.45000000000001</v>
          </cell>
          <cell r="I653">
            <v>52.250000000000007</v>
          </cell>
          <cell r="J653">
            <v>50.050000000000004</v>
          </cell>
          <cell r="K653">
            <v>47.850000000000009</v>
          </cell>
          <cell r="L653">
            <v>45.650000000000006</v>
          </cell>
          <cell r="M653">
            <v>43.45</v>
          </cell>
          <cell r="N653">
            <v>41.250000000000007</v>
          </cell>
          <cell r="O653">
            <v>40.397500000000008</v>
          </cell>
          <cell r="P653">
            <v>39.545000000000002</v>
          </cell>
          <cell r="Q653">
            <v>38.692500000000003</v>
          </cell>
          <cell r="R653">
            <v>37.840000000000003</v>
          </cell>
          <cell r="S653">
            <v>36.987500000000004</v>
          </cell>
          <cell r="T653">
            <v>36.135000000000005</v>
          </cell>
          <cell r="U653">
            <v>35.282500000000006</v>
          </cell>
          <cell r="V653">
            <v>34.430000000000007</v>
          </cell>
          <cell r="W653">
            <v>33.577500000000008</v>
          </cell>
          <cell r="X653">
            <v>32.725000000000001</v>
          </cell>
          <cell r="Y653">
            <v>31.872500000000006</v>
          </cell>
          <cell r="Z653">
            <v>31.020000000000003</v>
          </cell>
          <cell r="AA653">
            <v>30.167500000000004</v>
          </cell>
          <cell r="AB653">
            <v>29.315000000000005</v>
          </cell>
          <cell r="AC653">
            <v>28.462500000000002</v>
          </cell>
          <cell r="AD653">
            <v>27.610000000000003</v>
          </cell>
          <cell r="AE653">
            <v>26.757500000000004</v>
          </cell>
          <cell r="AF653">
            <v>25.905000000000005</v>
          </cell>
          <cell r="AG653">
            <v>25.052500000000002</v>
          </cell>
          <cell r="AH653">
            <v>24.200000000000003</v>
          </cell>
        </row>
        <row r="654">
          <cell r="B654" t="str">
            <v>Carbon dioxide (PS) - Finance cost - Asia - USD/ton fuel</v>
          </cell>
          <cell r="G654">
            <v>56.650000000000006</v>
          </cell>
          <cell r="H654">
            <v>54.45000000000001</v>
          </cell>
          <cell r="I654">
            <v>52.250000000000007</v>
          </cell>
          <cell r="J654">
            <v>50.050000000000004</v>
          </cell>
          <cell r="K654">
            <v>47.850000000000009</v>
          </cell>
          <cell r="L654">
            <v>45.650000000000006</v>
          </cell>
          <cell r="M654">
            <v>43.45</v>
          </cell>
          <cell r="N654">
            <v>41.250000000000007</v>
          </cell>
          <cell r="O654">
            <v>40.397500000000008</v>
          </cell>
          <cell r="P654">
            <v>39.545000000000002</v>
          </cell>
          <cell r="Q654">
            <v>38.692500000000003</v>
          </cell>
          <cell r="R654">
            <v>37.840000000000003</v>
          </cell>
          <cell r="S654">
            <v>36.987500000000004</v>
          </cell>
          <cell r="T654">
            <v>36.135000000000005</v>
          </cell>
          <cell r="U654">
            <v>35.282500000000006</v>
          </cell>
          <cell r="V654">
            <v>34.430000000000007</v>
          </cell>
          <cell r="W654">
            <v>33.577500000000008</v>
          </cell>
          <cell r="X654">
            <v>32.725000000000001</v>
          </cell>
          <cell r="Y654">
            <v>31.872500000000006</v>
          </cell>
          <cell r="Z654">
            <v>31.020000000000003</v>
          </cell>
          <cell r="AA654">
            <v>30.167500000000004</v>
          </cell>
          <cell r="AB654">
            <v>29.315000000000005</v>
          </cell>
          <cell r="AC654">
            <v>28.462500000000002</v>
          </cell>
          <cell r="AD654">
            <v>27.610000000000003</v>
          </cell>
          <cell r="AE654">
            <v>26.757500000000004</v>
          </cell>
          <cell r="AF654">
            <v>25.905000000000005</v>
          </cell>
          <cell r="AG654">
            <v>25.052500000000002</v>
          </cell>
          <cell r="AH654">
            <v>24.200000000000003</v>
          </cell>
        </row>
        <row r="655">
          <cell r="B655" t="str">
            <v>Carbon dioxide (PS) - Finance cost - Europe - USD/ton fuel</v>
          </cell>
          <cell r="G655">
            <v>56.650000000000006</v>
          </cell>
          <cell r="H655">
            <v>54.45000000000001</v>
          </cell>
          <cell r="I655">
            <v>52.250000000000007</v>
          </cell>
          <cell r="J655">
            <v>50.050000000000004</v>
          </cell>
          <cell r="K655">
            <v>47.850000000000009</v>
          </cell>
          <cell r="L655">
            <v>45.650000000000006</v>
          </cell>
          <cell r="M655">
            <v>43.45</v>
          </cell>
          <cell r="N655">
            <v>41.250000000000007</v>
          </cell>
          <cell r="O655">
            <v>40.397500000000008</v>
          </cell>
          <cell r="P655">
            <v>39.545000000000002</v>
          </cell>
          <cell r="Q655">
            <v>38.692500000000003</v>
          </cell>
          <cell r="R655">
            <v>37.840000000000003</v>
          </cell>
          <cell r="S655">
            <v>36.987500000000004</v>
          </cell>
          <cell r="T655">
            <v>36.135000000000005</v>
          </cell>
          <cell r="U655">
            <v>35.282500000000006</v>
          </cell>
          <cell r="V655">
            <v>34.430000000000007</v>
          </cell>
          <cell r="W655">
            <v>33.577500000000008</v>
          </cell>
          <cell r="X655">
            <v>32.725000000000001</v>
          </cell>
          <cell r="Y655">
            <v>31.872500000000006</v>
          </cell>
          <cell r="Z655">
            <v>31.020000000000003</v>
          </cell>
          <cell r="AA655">
            <v>30.167500000000004</v>
          </cell>
          <cell r="AB655">
            <v>29.315000000000005</v>
          </cell>
          <cell r="AC655">
            <v>28.462500000000002</v>
          </cell>
          <cell r="AD655">
            <v>27.610000000000003</v>
          </cell>
          <cell r="AE655">
            <v>26.757500000000004</v>
          </cell>
          <cell r="AF655">
            <v>25.905000000000005</v>
          </cell>
          <cell r="AG655">
            <v>25.052500000000002</v>
          </cell>
          <cell r="AH655">
            <v>24.200000000000003</v>
          </cell>
        </row>
        <row r="656">
          <cell r="B656" t="str">
            <v>Carbon dioxide (PS) - Finance cost - Middle East - USD/ton fuel</v>
          </cell>
          <cell r="G656">
            <v>56.650000000000006</v>
          </cell>
          <cell r="H656">
            <v>54.45000000000001</v>
          </cell>
          <cell r="I656">
            <v>52.250000000000007</v>
          </cell>
          <cell r="J656">
            <v>50.050000000000004</v>
          </cell>
          <cell r="K656">
            <v>47.850000000000009</v>
          </cell>
          <cell r="L656">
            <v>45.650000000000006</v>
          </cell>
          <cell r="M656">
            <v>43.45</v>
          </cell>
          <cell r="N656">
            <v>41.250000000000007</v>
          </cell>
          <cell r="O656">
            <v>40.397500000000008</v>
          </cell>
          <cell r="P656">
            <v>39.545000000000002</v>
          </cell>
          <cell r="Q656">
            <v>38.692500000000003</v>
          </cell>
          <cell r="R656">
            <v>37.840000000000003</v>
          </cell>
          <cell r="S656">
            <v>36.987500000000004</v>
          </cell>
          <cell r="T656">
            <v>36.135000000000005</v>
          </cell>
          <cell r="U656">
            <v>35.282500000000006</v>
          </cell>
          <cell r="V656">
            <v>34.430000000000007</v>
          </cell>
          <cell r="W656">
            <v>33.577500000000008</v>
          </cell>
          <cell r="X656">
            <v>32.725000000000001</v>
          </cell>
          <cell r="Y656">
            <v>31.872500000000006</v>
          </cell>
          <cell r="Z656">
            <v>31.020000000000003</v>
          </cell>
          <cell r="AA656">
            <v>30.167500000000004</v>
          </cell>
          <cell r="AB656">
            <v>29.315000000000005</v>
          </cell>
          <cell r="AC656">
            <v>28.462500000000002</v>
          </cell>
          <cell r="AD656">
            <v>27.610000000000003</v>
          </cell>
          <cell r="AE656">
            <v>26.757500000000004</v>
          </cell>
          <cell r="AF656">
            <v>25.905000000000005</v>
          </cell>
          <cell r="AG656">
            <v>25.052500000000002</v>
          </cell>
          <cell r="AH656">
            <v>24.200000000000003</v>
          </cell>
        </row>
        <row r="657">
          <cell r="B657" t="str">
            <v>e-methane - Conversion H2 -&gt; CH4 - Global - ton H2/ton CH4</v>
          </cell>
          <cell r="G657">
            <v>0.5</v>
          </cell>
          <cell r="H657">
            <v>0.5</v>
          </cell>
          <cell r="I657">
            <v>0.5</v>
          </cell>
          <cell r="J657">
            <v>0.5</v>
          </cell>
          <cell r="K657">
            <v>0.5</v>
          </cell>
          <cell r="L657">
            <v>0.5</v>
          </cell>
          <cell r="M657">
            <v>0.5</v>
          </cell>
          <cell r="N657">
            <v>0.5</v>
          </cell>
          <cell r="O657">
            <v>0.5</v>
          </cell>
          <cell r="P657">
            <v>0.5</v>
          </cell>
          <cell r="Q657">
            <v>0.5</v>
          </cell>
          <cell r="R657">
            <v>0.5</v>
          </cell>
          <cell r="S657">
            <v>0.5</v>
          </cell>
          <cell r="T657">
            <v>0.5</v>
          </cell>
          <cell r="U657">
            <v>0.5</v>
          </cell>
          <cell r="V657">
            <v>0.5</v>
          </cell>
          <cell r="W657">
            <v>0.5</v>
          </cell>
          <cell r="X657">
            <v>0.5</v>
          </cell>
          <cell r="Y657">
            <v>0.5</v>
          </cell>
          <cell r="Z657">
            <v>0.5</v>
          </cell>
          <cell r="AA657">
            <v>0.5</v>
          </cell>
          <cell r="AB657">
            <v>0.5</v>
          </cell>
          <cell r="AC657">
            <v>0.5</v>
          </cell>
          <cell r="AD657">
            <v>0.5</v>
          </cell>
          <cell r="AE657">
            <v>0.5</v>
          </cell>
          <cell r="AF657">
            <v>0.5</v>
          </cell>
          <cell r="AG657">
            <v>0.5</v>
          </cell>
          <cell r="AH657">
            <v>0.5</v>
          </cell>
        </row>
        <row r="658">
          <cell r="B658" t="str">
            <v>e-methane - Conversion CO2 -&gt; CH4 - Global - ton CO2/ton CH4</v>
          </cell>
          <cell r="G658">
            <v>2.75</v>
          </cell>
          <cell r="H658">
            <v>2.75</v>
          </cell>
          <cell r="I658">
            <v>2.75</v>
          </cell>
          <cell r="J658">
            <v>2.75</v>
          </cell>
          <cell r="K658">
            <v>2.75</v>
          </cell>
          <cell r="L658">
            <v>2.75</v>
          </cell>
          <cell r="M658">
            <v>2.75</v>
          </cell>
          <cell r="N658">
            <v>2.75</v>
          </cell>
          <cell r="O658">
            <v>2.75</v>
          </cell>
          <cell r="P658">
            <v>2.75</v>
          </cell>
          <cell r="Q658">
            <v>2.75</v>
          </cell>
          <cell r="R658">
            <v>2.75</v>
          </cell>
          <cell r="S658">
            <v>2.75</v>
          </cell>
          <cell r="T658">
            <v>2.75</v>
          </cell>
          <cell r="U658">
            <v>2.75</v>
          </cell>
          <cell r="V658">
            <v>2.75</v>
          </cell>
          <cell r="W658">
            <v>2.75</v>
          </cell>
          <cell r="X658">
            <v>2.75</v>
          </cell>
          <cell r="Y658">
            <v>2.75</v>
          </cell>
          <cell r="Z658">
            <v>2.75</v>
          </cell>
          <cell r="AA658">
            <v>2.75</v>
          </cell>
          <cell r="AB658">
            <v>2.75</v>
          </cell>
          <cell r="AC658">
            <v>2.75</v>
          </cell>
          <cell r="AD658">
            <v>2.75</v>
          </cell>
          <cell r="AE658">
            <v>2.75</v>
          </cell>
          <cell r="AF658">
            <v>2.75</v>
          </cell>
          <cell r="AG658">
            <v>2.75</v>
          </cell>
          <cell r="AH658">
            <v>2.75</v>
          </cell>
        </row>
        <row r="659">
          <cell r="B659" t="str">
            <v/>
          </cell>
        </row>
        <row r="660">
          <cell r="B660" t="str">
            <v>e-methane (PS) - Energy cost including feedstock energy cost - Africa - USD/ton fuel</v>
          </cell>
          <cell r="G660">
            <v>1676.0486070809252</v>
          </cell>
          <cell r="H660">
            <v>1477.6473932712572</v>
          </cell>
          <cell r="I660">
            <v>1279.4314464975071</v>
          </cell>
          <cell r="J660">
            <v>1222.3956143326018</v>
          </cell>
          <cell r="K660">
            <v>1165.199139817006</v>
          </cell>
          <cell r="L660">
            <v>1107.8934163716488</v>
          </cell>
          <cell r="M660">
            <v>1050.5298374174813</v>
          </cell>
          <cell r="N660">
            <v>993.15979637544467</v>
          </cell>
          <cell r="O660">
            <v>957.09316751978884</v>
          </cell>
          <cell r="P660">
            <v>921.11065555366258</v>
          </cell>
          <cell r="Q660">
            <v>885.23994229529126</v>
          </cell>
          <cell r="R660">
            <v>849.50870956294239</v>
          </cell>
          <cell r="S660">
            <v>813.94463917488429</v>
          </cell>
          <cell r="T660">
            <v>793.87659280080777</v>
          </cell>
          <cell r="U660">
            <v>773.85360622190331</v>
          </cell>
          <cell r="V660">
            <v>753.88471212066452</v>
          </cell>
          <cell r="W660">
            <v>733.97894317953103</v>
          </cell>
          <cell r="X660">
            <v>714.14533208099056</v>
          </cell>
          <cell r="Y660">
            <v>692.2962641245515</v>
          </cell>
          <cell r="Z660">
            <v>670.85811369522071</v>
          </cell>
          <cell r="AA660">
            <v>649.82559872377249</v>
          </cell>
          <cell r="AB660">
            <v>629.19343714096851</v>
          </cell>
          <cell r="AC660">
            <v>608.95634687757513</v>
          </cell>
          <cell r="AD660">
            <v>596.63106894076316</v>
          </cell>
          <cell r="AE660">
            <v>584.53766324932337</v>
          </cell>
          <cell r="AF660">
            <v>572.67280132710493</v>
          </cell>
          <cell r="AG660">
            <v>561.03315469796928</v>
          </cell>
          <cell r="AH660">
            <v>549.61539488577876</v>
          </cell>
        </row>
        <row r="661">
          <cell r="B661" t="str">
            <v>e-methane (PS) - Energy cost including feedstock energy cost - Americas - USD/ton fuel</v>
          </cell>
          <cell r="G661">
            <v>1053.0862795756796</v>
          </cell>
          <cell r="H661">
            <v>1030.1707452399262</v>
          </cell>
          <cell r="I661">
            <v>1007.1151165466516</v>
          </cell>
          <cell r="J661">
            <v>968.51542723558896</v>
          </cell>
          <cell r="K661">
            <v>929.76165158939193</v>
          </cell>
          <cell r="L661">
            <v>890.88832128358479</v>
          </cell>
          <cell r="M661">
            <v>851.92996799373384</v>
          </cell>
          <cell r="N661">
            <v>812.92112339532616</v>
          </cell>
          <cell r="O661">
            <v>790.57481135546004</v>
          </cell>
          <cell r="P661">
            <v>768.20454976239944</v>
          </cell>
          <cell r="Q661">
            <v>745.82637332937486</v>
          </cell>
          <cell r="R661">
            <v>723.45631676961955</v>
          </cell>
          <cell r="S661">
            <v>701.11041479639471</v>
          </cell>
          <cell r="T661">
            <v>681.96966603682063</v>
          </cell>
          <cell r="U661">
            <v>662.89819686316093</v>
          </cell>
          <cell r="V661">
            <v>643.90501829783943</v>
          </cell>
          <cell r="W661">
            <v>624.9991413632348</v>
          </cell>
          <cell r="X661">
            <v>606.18957708175503</v>
          </cell>
          <cell r="Y661">
            <v>593.76201161918016</v>
          </cell>
          <cell r="Z661">
            <v>581.5376449239659</v>
          </cell>
          <cell r="AA661">
            <v>569.51441248740355</v>
          </cell>
          <cell r="AB661">
            <v>557.6902498007538</v>
          </cell>
          <cell r="AC661">
            <v>546.06309235530432</v>
          </cell>
          <cell r="AD661">
            <v>536.8420256747238</v>
          </cell>
          <cell r="AE661">
            <v>527.79224959635781</v>
          </cell>
          <cell r="AF661">
            <v>518.91176449625061</v>
          </cell>
          <cell r="AG661">
            <v>510.19857075045178</v>
          </cell>
          <cell r="AH661">
            <v>501.65066873500996</v>
          </cell>
        </row>
        <row r="662">
          <cell r="B662" t="str">
            <v>e-methane (PS) - Energy cost including feedstock energy cost - Asia - USD/ton fuel</v>
          </cell>
          <cell r="G662">
            <v>1864.1144425118121</v>
          </cell>
          <cell r="H662">
            <v>1698.4806655153689</v>
          </cell>
          <cell r="I662">
            <v>1532.9142107804544</v>
          </cell>
          <cell r="J662">
            <v>1471.5270207216172</v>
          </cell>
          <cell r="K662">
            <v>1409.9168641087113</v>
          </cell>
          <cell r="L662">
            <v>1348.1387799734832</v>
          </cell>
          <cell r="M662">
            <v>1286.2478073478003</v>
          </cell>
          <cell r="N662">
            <v>1224.2989852634676</v>
          </cell>
          <cell r="O662">
            <v>1177.7009308838844</v>
          </cell>
          <cell r="P662">
            <v>1131.2342177677911</v>
          </cell>
          <cell r="Q662">
            <v>1084.9349434359422</v>
          </cell>
          <cell r="R662">
            <v>1038.8392054090702</v>
          </cell>
          <cell r="S662">
            <v>992.98310120799215</v>
          </cell>
          <cell r="T662">
            <v>965.93298930383423</v>
          </cell>
          <cell r="U662">
            <v>938.98002988697283</v>
          </cell>
          <cell r="V662">
            <v>912.13694616777468</v>
          </cell>
          <cell r="W662">
            <v>885.41646135651115</v>
          </cell>
          <cell r="X662">
            <v>858.83129866353909</v>
          </cell>
          <cell r="Y662">
            <v>829.46599109153476</v>
          </cell>
          <cell r="Z662">
            <v>800.6683746967143</v>
          </cell>
          <cell r="AA662">
            <v>772.43087574091237</v>
          </cell>
          <cell r="AB662">
            <v>744.74592048594968</v>
          </cell>
          <cell r="AC662">
            <v>717.60593519365545</v>
          </cell>
          <cell r="AD662">
            <v>702.08381047593332</v>
          </cell>
          <cell r="AE662">
            <v>686.8548888419997</v>
          </cell>
          <cell r="AF662">
            <v>671.91471121567076</v>
          </cell>
          <cell r="AG662">
            <v>657.25881852075895</v>
          </cell>
          <cell r="AH662">
            <v>642.88275168107668</v>
          </cell>
        </row>
        <row r="663">
          <cell r="B663" t="str">
            <v>e-methane (PS) - Energy cost including feedstock energy cost - Europe - USD/ton fuel</v>
          </cell>
          <cell r="G663">
            <v>1387.732228844671</v>
          </cell>
          <cell r="H663">
            <v>1326.4953724901786</v>
          </cell>
          <cell r="I663">
            <v>1265.1521551867691</v>
          </cell>
          <cell r="J663">
            <v>1214.6528522545384</v>
          </cell>
          <cell r="K663">
            <v>1163.9688050054565</v>
          </cell>
          <cell r="L663">
            <v>1113.1452832403572</v>
          </cell>
          <cell r="M663">
            <v>1062.2275567600573</v>
          </cell>
          <cell r="N663">
            <v>1011.2608953653762</v>
          </cell>
          <cell r="O663">
            <v>985.40904283410737</v>
          </cell>
          <cell r="P663">
            <v>959.50222003096417</v>
          </cell>
          <cell r="Q663">
            <v>933.55857691518736</v>
          </cell>
          <cell r="R663">
            <v>907.59626344605169</v>
          </cell>
          <cell r="S663">
            <v>881.63342958287137</v>
          </cell>
          <cell r="T663">
            <v>863.32007172032434</v>
          </cell>
          <cell r="U663">
            <v>844.99928234869583</v>
          </cell>
          <cell r="V663">
            <v>826.67857389135611</v>
          </cell>
          <cell r="W663">
            <v>808.36545877160881</v>
          </cell>
          <cell r="X663">
            <v>790.06744941280203</v>
          </cell>
          <cell r="Y663">
            <v>769.11550759960255</v>
          </cell>
          <cell r="Z663">
            <v>748.54154573107803</v>
          </cell>
          <cell r="AA663">
            <v>728.34099323854537</v>
          </cell>
          <cell r="AB663">
            <v>708.50927955327586</v>
          </cell>
          <cell r="AC663">
            <v>689.04183410658095</v>
          </cell>
          <cell r="AD663">
            <v>674.13800351651639</v>
          </cell>
          <cell r="AE663">
            <v>659.51569633543966</v>
          </cell>
          <cell r="AF663">
            <v>645.17063121630815</v>
          </cell>
          <cell r="AG663">
            <v>631.0985268120761</v>
          </cell>
          <cell r="AH663">
            <v>617.29510177569739</v>
          </cell>
        </row>
        <row r="664">
          <cell r="B664" t="str">
            <v>e-methane (PS) - Energy cost including feedstock energy cost - Middle East - USD/ton fuel</v>
          </cell>
          <cell r="G664">
            <v>1062.6486617362896</v>
          </cell>
          <cell r="H664">
            <v>1014.6657230701588</v>
          </cell>
          <cell r="I664">
            <v>966.60408989462155</v>
          </cell>
          <cell r="J664">
            <v>933.87316674934846</v>
          </cell>
          <cell r="K664">
            <v>900.97541209986309</v>
          </cell>
          <cell r="L664">
            <v>867.93990848499357</v>
          </cell>
          <cell r="M664">
            <v>834.79573844359697</v>
          </cell>
          <cell r="N664">
            <v>801.57198451449005</v>
          </cell>
          <cell r="O664">
            <v>775.22997441766142</v>
          </cell>
          <cell r="P664">
            <v>748.920064684615</v>
          </cell>
          <cell r="Q664">
            <v>722.6620427126868</v>
          </cell>
          <cell r="R664">
            <v>696.47569589924115</v>
          </cell>
          <cell r="S664">
            <v>670.38081164165305</v>
          </cell>
          <cell r="T664">
            <v>654.69880175763353</v>
          </cell>
          <cell r="U664">
            <v>639.03999987105794</v>
          </cell>
          <cell r="V664">
            <v>623.41128389990558</v>
          </cell>
          <cell r="W664">
            <v>607.81953176209447</v>
          </cell>
          <cell r="X664">
            <v>592.27162137558935</v>
          </cell>
          <cell r="Y664">
            <v>572.25729415629667</v>
          </cell>
          <cell r="Z664">
            <v>552.62882779765891</v>
          </cell>
          <cell r="AA664">
            <v>533.38109285253825</v>
          </cell>
          <cell r="AB664">
            <v>514.50895987378385</v>
          </cell>
          <cell r="AC664">
            <v>496.00729941425311</v>
          </cell>
          <cell r="AD664">
            <v>485.27829416466273</v>
          </cell>
          <cell r="AE664">
            <v>474.75195318641852</v>
          </cell>
          <cell r="AF664">
            <v>464.42519429503449</v>
          </cell>
          <cell r="AG664">
            <v>454.29493530603173</v>
          </cell>
          <cell r="AH664">
            <v>444.35809403493164</v>
          </cell>
        </row>
        <row r="665">
          <cell r="B665" t="str">
            <v>e-methane (PS) - Energy cost - Africa - USD/ton fuel</v>
          </cell>
          <cell r="G665">
            <v>23.35592277220567</v>
          </cell>
          <cell r="H665">
            <v>20.613318498263837</v>
          </cell>
          <cell r="I665">
            <v>17.870714224321272</v>
          </cell>
          <cell r="J665">
            <v>17.106169874015542</v>
          </cell>
          <cell r="K665">
            <v>16.341625523709808</v>
          </cell>
          <cell r="L665">
            <v>15.577081173404077</v>
          </cell>
          <cell r="M665">
            <v>14.812536823098164</v>
          </cell>
          <cell r="N665">
            <v>14.04799247279243</v>
          </cell>
          <cell r="O665">
            <v>13.621222839370786</v>
          </cell>
          <cell r="P665">
            <v>13.19445320594914</v>
          </cell>
          <cell r="Q665">
            <v>12.767683572527313</v>
          </cell>
          <cell r="R665">
            <v>12.340913939105668</v>
          </cell>
          <cell r="S665">
            <v>11.914144305684069</v>
          </cell>
          <cell r="T665">
            <v>11.713270851961216</v>
          </cell>
          <cell r="U665">
            <v>11.512397398238409</v>
          </cell>
          <cell r="V665">
            <v>11.311523944515557</v>
          </cell>
          <cell r="W665">
            <v>11.110650490792706</v>
          </cell>
          <cell r="X665">
            <v>10.909777037069944</v>
          </cell>
          <cell r="Y665">
            <v>10.703224659738499</v>
          </cell>
          <cell r="Z665">
            <v>10.496672282407054</v>
          </cell>
          <cell r="AA665">
            <v>10.290119905075517</v>
          </cell>
          <cell r="AB665">
            <v>10.083567527744073</v>
          </cell>
          <cell r="AC665">
            <v>9.877015150412582</v>
          </cell>
          <cell r="AD665">
            <v>9.7756337118425574</v>
          </cell>
          <cell r="AE665">
            <v>9.6742522732725789</v>
          </cell>
          <cell r="AF665">
            <v>9.5728708347025542</v>
          </cell>
          <cell r="AG665">
            <v>9.4714893961325295</v>
          </cell>
          <cell r="AH665">
            <v>9.370107957562551</v>
          </cell>
        </row>
        <row r="666">
          <cell r="B666" t="str">
            <v>e-methane (PS) - Energy cost - Americas - USD/ton fuel</v>
          </cell>
          <cell r="G666">
            <v>14.674873815906814</v>
          </cell>
          <cell r="H666">
            <v>14.37097766078905</v>
          </cell>
          <cell r="I666">
            <v>14.067081505671196</v>
          </cell>
          <cell r="J666">
            <v>13.553377670568807</v>
          </cell>
          <cell r="K666">
            <v>13.03967383546642</v>
          </cell>
          <cell r="L666">
            <v>12.525970000364033</v>
          </cell>
          <cell r="M666">
            <v>12.012266165261828</v>
          </cell>
          <cell r="N666">
            <v>11.498562330159439</v>
          </cell>
          <cell r="O666">
            <v>11.251355711348333</v>
          </cell>
          <cell r="P666">
            <v>11.004149092537228</v>
          </cell>
          <cell r="Q666">
            <v>10.756942473726122</v>
          </cell>
          <cell r="R666">
            <v>10.509735854915016</v>
          </cell>
          <cell r="S666">
            <v>10.262529236103866</v>
          </cell>
          <cell r="T666">
            <v>10.062137470168636</v>
          </cell>
          <cell r="U666">
            <v>9.8617457042334085</v>
          </cell>
          <cell r="V666">
            <v>9.6613539382981344</v>
          </cell>
          <cell r="W666">
            <v>9.4609621723629065</v>
          </cell>
          <cell r="X666">
            <v>9.2605704064276555</v>
          </cell>
          <cell r="Y666">
            <v>9.1798389419518571</v>
          </cell>
          <cell r="Z666">
            <v>9.0991074774760587</v>
          </cell>
          <cell r="AA666">
            <v>9.0183760130002835</v>
          </cell>
          <cell r="AB666">
            <v>8.9376445485244869</v>
          </cell>
          <cell r="AC666">
            <v>8.8569130840486885</v>
          </cell>
          <cell r="AD666">
            <v>8.7960069083172812</v>
          </cell>
          <cell r="AE666">
            <v>8.7351007325858969</v>
          </cell>
          <cell r="AF666">
            <v>8.6741945568545145</v>
          </cell>
          <cell r="AG666">
            <v>8.6132883811231302</v>
          </cell>
          <cell r="AH666">
            <v>8.552382205391746</v>
          </cell>
        </row>
        <row r="667">
          <cell r="B667" t="str">
            <v>e-methane (PS) - Energy cost - Asia - USD/ton fuel</v>
          </cell>
          <cell r="G667">
            <v>25.976640995923663</v>
          </cell>
          <cell r="H667">
            <v>23.693963174734382</v>
          </cell>
          <cell r="I667">
            <v>21.411285353546191</v>
          </cell>
          <cell r="J667">
            <v>20.592507773689434</v>
          </cell>
          <cell r="K667">
            <v>19.773730193833035</v>
          </cell>
          <cell r="L667">
            <v>18.954952613976275</v>
          </cell>
          <cell r="M667">
            <v>18.136175034119514</v>
          </cell>
          <cell r="N667">
            <v>17.317397454263119</v>
          </cell>
          <cell r="O667">
            <v>16.760883226524676</v>
          </cell>
          <cell r="P667">
            <v>16.204368998786414</v>
          </cell>
          <cell r="Q667">
            <v>15.647854771048333</v>
          </cell>
          <cell r="R667">
            <v>15.091340543310071</v>
          </cell>
          <cell r="S667">
            <v>14.534826315571809</v>
          </cell>
          <cell r="T667">
            <v>14.251880999090282</v>
          </cell>
          <cell r="U667">
            <v>13.968935682608754</v>
          </cell>
          <cell r="V667">
            <v>13.685990366127317</v>
          </cell>
          <cell r="W667">
            <v>13.40304504964579</v>
          </cell>
          <cell r="X667">
            <v>13.120099733164444</v>
          </cell>
          <cell r="Y667">
            <v>12.823932917639013</v>
          </cell>
          <cell r="Z667">
            <v>12.527766102113674</v>
          </cell>
          <cell r="AA667">
            <v>12.231599286588244</v>
          </cell>
          <cell r="AB667">
            <v>11.935432471062905</v>
          </cell>
          <cell r="AC667">
            <v>11.639265655537475</v>
          </cell>
          <cell r="AD667">
            <v>11.503447479549278</v>
          </cell>
          <cell r="AE667">
            <v>11.367629303561035</v>
          </cell>
          <cell r="AF667">
            <v>11.231811127572838</v>
          </cell>
          <cell r="AG667">
            <v>11.095992951584641</v>
          </cell>
          <cell r="AH667">
            <v>10.960174775596398</v>
          </cell>
        </row>
        <row r="668">
          <cell r="B668" t="str">
            <v>e-methane (PS) - Energy cost - Europe - USD/ton fuel</v>
          </cell>
          <cell r="G668">
            <v>19.338202143102901</v>
          </cell>
          <cell r="H668">
            <v>18.504733757273062</v>
          </cell>
          <cell r="I668">
            <v>17.671265371443223</v>
          </cell>
          <cell r="J668">
            <v>16.99781787908978</v>
          </cell>
          <cell r="K668">
            <v>16.324370386736156</v>
          </cell>
          <cell r="L668">
            <v>15.650922894382711</v>
          </cell>
          <cell r="M668">
            <v>14.977475402029086</v>
          </cell>
          <cell r="N668">
            <v>14.304027909675643</v>
          </cell>
          <cell r="O668">
            <v>14.024210615939774</v>
          </cell>
          <cell r="P668">
            <v>13.744393322204179</v>
          </cell>
          <cell r="Q668">
            <v>13.464576028468493</v>
          </cell>
          <cell r="R668">
            <v>13.184758734732805</v>
          </cell>
          <cell r="S668">
            <v>12.904941440997209</v>
          </cell>
          <cell r="T668">
            <v>12.737876294246689</v>
          </cell>
          <cell r="U668">
            <v>12.570811147496215</v>
          </cell>
          <cell r="V668">
            <v>12.403746000745741</v>
          </cell>
          <cell r="W668">
            <v>12.236680853995267</v>
          </cell>
          <cell r="X668">
            <v>12.069615707244703</v>
          </cell>
          <cell r="Y668">
            <v>11.890886162064181</v>
          </cell>
          <cell r="Z668">
            <v>11.712156616883613</v>
          </cell>
          <cell r="AA668">
            <v>11.533427071703091</v>
          </cell>
          <cell r="AB668">
            <v>11.354697526522523</v>
          </cell>
          <cell r="AC668">
            <v>11.175967981342001</v>
          </cell>
          <cell r="AD668">
            <v>11.045563224372746</v>
          </cell>
          <cell r="AE668">
            <v>10.915158467403444</v>
          </cell>
          <cell r="AF668">
            <v>10.784753710434188</v>
          </cell>
          <cell r="AG668">
            <v>10.654348953464932</v>
          </cell>
          <cell r="AH668">
            <v>10.523944196495632</v>
          </cell>
        </row>
        <row r="669">
          <cell r="B669" t="str">
            <v>e-methane (PS) - Energy cost - Middle East - USD/ton fuel</v>
          </cell>
          <cell r="G669">
            <v>14.808126669265585</v>
          </cell>
          <cell r="H669">
            <v>14.154681160173642</v>
          </cell>
          <cell r="I669">
            <v>13.501235651081515</v>
          </cell>
          <cell r="J669">
            <v>13.06859485087498</v>
          </cell>
          <cell r="K669">
            <v>12.635954050668444</v>
          </cell>
          <cell r="L669">
            <v>12.203313250461907</v>
          </cell>
          <cell r="M669">
            <v>11.77067245025537</v>
          </cell>
          <cell r="N669">
            <v>11.338031650048833</v>
          </cell>
          <cell r="O669">
            <v>11.032970030145316</v>
          </cell>
          <cell r="P669">
            <v>10.72790841024189</v>
          </cell>
          <cell r="Q669">
            <v>10.422846790338372</v>
          </cell>
          <cell r="R669">
            <v>10.117785170434946</v>
          </cell>
          <cell r="S669">
            <v>9.8127235505315191</v>
          </cell>
          <cell r="T669">
            <v>9.6597688620424833</v>
          </cell>
          <cell r="U669">
            <v>9.5068141735534493</v>
          </cell>
          <cell r="V669">
            <v>9.3538594850644596</v>
          </cell>
          <cell r="W669">
            <v>9.2009047965754238</v>
          </cell>
          <cell r="X669">
            <v>9.047950108086388</v>
          </cell>
          <cell r="Y669">
            <v>8.8473659326680263</v>
          </cell>
          <cell r="Z669">
            <v>8.6467817572497108</v>
          </cell>
          <cell r="AA669">
            <v>8.4461975818313473</v>
          </cell>
          <cell r="AB669">
            <v>8.2456134064130318</v>
          </cell>
          <cell r="AC669">
            <v>8.045029230994647</v>
          </cell>
          <cell r="AD669">
            <v>7.9511495445312228</v>
          </cell>
          <cell r="AE669">
            <v>7.8572698580678209</v>
          </cell>
          <cell r="AF669">
            <v>7.7633901716043967</v>
          </cell>
          <cell r="AG669">
            <v>7.6695104851409726</v>
          </cell>
          <cell r="AH669">
            <v>7.5756307986775715</v>
          </cell>
        </row>
        <row r="670">
          <cell r="B670" t="str">
            <v>e-hydrogen (compressed) - Energy cost including feedstock energy cost - Africa - USD/ton fuel</v>
          </cell>
          <cell r="G670">
            <v>3160.8705964644164</v>
          </cell>
          <cell r="H670">
            <v>2786.523241337979</v>
          </cell>
          <cell r="I670">
            <v>2412.5464202833837</v>
          </cell>
          <cell r="J670">
            <v>2304.7344628217015</v>
          </cell>
          <cell r="K670">
            <v>2196.6012206586379</v>
          </cell>
          <cell r="L670">
            <v>2088.2494806360514</v>
          </cell>
          <cell r="M670">
            <v>1979.7820295958466</v>
          </cell>
          <cell r="N670">
            <v>1871.3016543799013</v>
          </cell>
          <cell r="O670">
            <v>1802.6625730422293</v>
          </cell>
          <cell r="P670">
            <v>1734.1917254836167</v>
          </cell>
          <cell r="Q670">
            <v>1665.9444753405153</v>
          </cell>
          <cell r="R670">
            <v>1597.976186249457</v>
          </cell>
          <cell r="S670">
            <v>1530.3422218469802</v>
          </cell>
          <cell r="T670">
            <v>1491.8507805011832</v>
          </cell>
          <cell r="U670">
            <v>1453.4494587457298</v>
          </cell>
          <cell r="V670">
            <v>1415.1563219456079</v>
          </cell>
          <cell r="W670">
            <v>1376.9894354656967</v>
          </cell>
          <cell r="X670">
            <v>1338.9668646709708</v>
          </cell>
          <cell r="Y670">
            <v>1296.9598763474942</v>
          </cell>
          <cell r="Z670">
            <v>1255.7747230782336</v>
          </cell>
          <cell r="AA670">
            <v>1215.4008407247393</v>
          </cell>
          <cell r="AB670">
            <v>1175.8276651485323</v>
          </cell>
          <cell r="AC670">
            <v>1137.0446322111472</v>
          </cell>
          <cell r="AD670">
            <v>1113.2241368658154</v>
          </cell>
          <cell r="AE670">
            <v>1089.8673860112274</v>
          </cell>
          <cell r="AF670">
            <v>1066.9677226950826</v>
          </cell>
          <cell r="AG670">
            <v>1044.5184899651035</v>
          </cell>
          <cell r="AH670">
            <v>1022.5130308690141</v>
          </cell>
        </row>
        <row r="671">
          <cell r="B671" t="str">
            <v>e-hydrogen (compressed) - Energy cost including feedstock energy cost - Americas - USD/ton fuel</v>
          </cell>
          <cell r="G671">
            <v>1986.022029783622</v>
          </cell>
          <cell r="H671">
            <v>1942.6791108821419</v>
          </cell>
          <cell r="I671">
            <v>1899.0560032656203</v>
          </cell>
          <cell r="J671">
            <v>1826.0625747933959</v>
          </cell>
          <cell r="K671">
            <v>1752.7609736509025</v>
          </cell>
          <cell r="L671">
            <v>1679.2202631891889</v>
          </cell>
          <cell r="M671">
            <v>1605.5095067593863</v>
          </cell>
          <cell r="N671">
            <v>1531.6977677124719</v>
          </cell>
          <cell r="O671">
            <v>1489.0291478242557</v>
          </cell>
          <cell r="P671">
            <v>1446.3126288296503</v>
          </cell>
          <cell r="Q671">
            <v>1403.5802801551172</v>
          </cell>
          <cell r="R671">
            <v>1360.8641712271224</v>
          </cell>
          <cell r="S671">
            <v>1318.196371472189</v>
          </cell>
          <cell r="T671">
            <v>1281.5555815366356</v>
          </cell>
          <cell r="U671">
            <v>1245.0533507729108</v>
          </cell>
          <cell r="V671">
            <v>1208.7077012258628</v>
          </cell>
          <cell r="W671">
            <v>1172.5366549402484</v>
          </cell>
          <cell r="X671">
            <v>1136.5582339608836</v>
          </cell>
          <cell r="Y671">
            <v>1112.3640919011295</v>
          </cell>
          <cell r="Z671">
            <v>1088.5763473760965</v>
          </cell>
          <cell r="AA671">
            <v>1065.1908713683672</v>
          </cell>
          <cell r="AB671">
            <v>1042.2035348604634</v>
          </cell>
          <cell r="AC671">
            <v>1019.61020883496</v>
          </cell>
          <cell r="AD671">
            <v>1001.6667447875999</v>
          </cell>
          <cell r="AE671">
            <v>984.06586194466854</v>
          </cell>
          <cell r="AF671">
            <v>966.80356105825501</v>
          </cell>
          <cell r="AG671">
            <v>949.87584288045787</v>
          </cell>
          <cell r="AH671">
            <v>933.27870816337509</v>
          </cell>
        </row>
        <row r="672">
          <cell r="B672" t="str">
            <v>e-hydrogen (compressed) - Energy cost including feedstock energy cost - Asia - USD/ton fuel</v>
          </cell>
          <cell r="G672">
            <v>3515.5451368694994</v>
          </cell>
          <cell r="H672">
            <v>3202.9670075376002</v>
          </cell>
          <cell r="I672">
            <v>2890.5235227287494</v>
          </cell>
          <cell r="J672">
            <v>2774.4528840461521</v>
          </cell>
          <cell r="K672">
            <v>2657.9363122554146</v>
          </cell>
          <cell r="L672">
            <v>2541.0838854200356</v>
          </cell>
          <cell r="M672">
            <v>2424.0056816037468</v>
          </cell>
          <cell r="N672">
            <v>2306.8117788701561</v>
          </cell>
          <cell r="O672">
            <v>2218.1721303505983</v>
          </cell>
          <cell r="P672">
            <v>2129.7951643580186</v>
          </cell>
          <cell r="Q672">
            <v>2041.7530759339261</v>
          </cell>
          <cell r="R672">
            <v>1954.1180601197893</v>
          </cell>
          <cell r="S672">
            <v>1866.9623119572402</v>
          </cell>
          <cell r="T672">
            <v>1815.1787029276168</v>
          </cell>
          <cell r="U672">
            <v>1763.5893988725866</v>
          </cell>
          <cell r="V672">
            <v>1712.219846212882</v>
          </cell>
          <cell r="W672">
            <v>1661.0954913690473</v>
          </cell>
          <cell r="X672">
            <v>1610.2417807617942</v>
          </cell>
          <cell r="Y672">
            <v>1553.9360314199</v>
          </cell>
          <cell r="Z672">
            <v>1498.7656644323729</v>
          </cell>
          <cell r="AA672">
            <v>1444.7155323228835</v>
          </cell>
          <cell r="AB672">
            <v>1391.7704876150719</v>
          </cell>
          <cell r="AC672">
            <v>1339.915382832598</v>
          </cell>
          <cell r="AD672">
            <v>1309.9831447130568</v>
          </cell>
          <cell r="AE672">
            <v>1280.6373127610934</v>
          </cell>
          <cell r="AF672">
            <v>1251.8689688243389</v>
          </cell>
          <cell r="AG672">
            <v>1223.6691947504187</v>
          </cell>
          <cell r="AH672">
            <v>1196.0290723869578</v>
          </cell>
        </row>
        <row r="673">
          <cell r="B673" t="str">
            <v>e-hydrogen (compressed) - Energy cost including feedstock energy cost - Europe - USD/ton fuel</v>
          </cell>
          <cell r="G673">
            <v>2617.1329276426868</v>
          </cell>
          <cell r="H673">
            <v>2501.4832373426843</v>
          </cell>
          <cell r="I673">
            <v>2385.6208251448465</v>
          </cell>
          <cell r="J673">
            <v>2290.1360706240293</v>
          </cell>
          <cell r="K673">
            <v>2194.281827469511</v>
          </cell>
          <cell r="L673">
            <v>2098.1486352829556</v>
          </cell>
          <cell r="M673">
            <v>2001.8270336660016</v>
          </cell>
          <cell r="N673">
            <v>1905.4075622202831</v>
          </cell>
          <cell r="O673">
            <v>1855.9948612502078</v>
          </cell>
          <cell r="P673">
            <v>1806.4722197363817</v>
          </cell>
          <cell r="Q673">
            <v>1756.8759375972888</v>
          </cell>
          <cell r="R673">
            <v>1707.2423147514785</v>
          </cell>
          <cell r="S673">
            <v>1657.6076511175781</v>
          </cell>
          <cell r="T673">
            <v>1622.348781281504</v>
          </cell>
          <cell r="U673">
            <v>1587.0750484272664</v>
          </cell>
          <cell r="V673">
            <v>1551.8014774016065</v>
          </cell>
          <cell r="W673">
            <v>1516.5430930511313</v>
          </cell>
          <cell r="X673">
            <v>1481.3149202225381</v>
          </cell>
          <cell r="Y673">
            <v>1440.8743847473047</v>
          </cell>
          <cell r="Z673">
            <v>1401.1898091614214</v>
          </cell>
          <cell r="AA673">
            <v>1362.2520523275218</v>
          </cell>
          <cell r="AB673">
            <v>1324.0519731081486</v>
          </cell>
          <cell r="AC673">
            <v>1286.5804303659243</v>
          </cell>
          <cell r="AD673">
            <v>1257.840458133481</v>
          </cell>
          <cell r="AE673">
            <v>1229.6635327190136</v>
          </cell>
          <cell r="AF673">
            <v>1202.0410914284364</v>
          </cell>
          <cell r="AG673">
            <v>1174.9645715676581</v>
          </cell>
          <cell r="AH673">
            <v>1148.4254104425868</v>
          </cell>
        </row>
        <row r="674">
          <cell r="B674" t="str">
            <v>e-hydrogen (compressed) - Energy cost including feedstock energy cost - Middle East - USD/ton fuel</v>
          </cell>
          <cell r="G674">
            <v>2004.0557863679674</v>
          </cell>
          <cell r="H674">
            <v>1913.439994141396</v>
          </cell>
          <cell r="I674">
            <v>1822.6668128960132</v>
          </cell>
          <cell r="J674">
            <v>1760.7472131571581</v>
          </cell>
          <cell r="K674">
            <v>1698.4939504098782</v>
          </cell>
          <cell r="L674">
            <v>1635.9651897318304</v>
          </cell>
          <cell r="M674">
            <v>1573.2190962007282</v>
          </cell>
          <cell r="N674">
            <v>1510.3138348942052</v>
          </cell>
          <cell r="O674">
            <v>1460.1275067135082</v>
          </cell>
          <cell r="P674">
            <v>1410.0053792603746</v>
          </cell>
          <cell r="Q674">
            <v>1359.9870273294782</v>
          </cell>
          <cell r="R674">
            <v>1310.1120257155462</v>
          </cell>
          <cell r="S674">
            <v>1260.4199492133293</v>
          </cell>
          <cell r="T674">
            <v>1230.3082459572943</v>
          </cell>
          <cell r="U674">
            <v>1200.2429586961468</v>
          </cell>
          <cell r="V674">
            <v>1170.2378432658459</v>
          </cell>
          <cell r="W674">
            <v>1140.3066555022276</v>
          </cell>
          <cell r="X674">
            <v>1110.4631512412213</v>
          </cell>
          <cell r="Y674">
            <v>1072.0767797388739</v>
          </cell>
          <cell r="Z674">
            <v>1034.4621299578357</v>
          </cell>
          <cell r="AA674">
            <v>997.60894300383222</v>
          </cell>
          <cell r="AB674">
            <v>961.50695998256094</v>
          </cell>
          <cell r="AC674">
            <v>926.14592199973754</v>
          </cell>
          <cell r="AD674">
            <v>905.45655143347608</v>
          </cell>
          <cell r="AE674">
            <v>885.17250940990675</v>
          </cell>
          <cell r="AF674">
            <v>865.287631560058</v>
          </cell>
          <cell r="AG674">
            <v>845.79575351497181</v>
          </cell>
          <cell r="AH674">
            <v>826.69071090569059</v>
          </cell>
        </row>
        <row r="675">
          <cell r="B675" t="str">
            <v>Carbon dioxide (PS) - Energy cost - Africa - USD/ton fuel</v>
          </cell>
          <cell r="G675">
            <v>26.275413118731375</v>
          </cell>
          <cell r="H675">
            <v>23.189983310546815</v>
          </cell>
          <cell r="I675">
            <v>20.104553502361433</v>
          </cell>
          <cell r="J675">
            <v>19.244441108267484</v>
          </cell>
          <cell r="K675">
            <v>18.384328714173535</v>
          </cell>
          <cell r="L675">
            <v>17.524216320079585</v>
          </cell>
          <cell r="M675">
            <v>16.664103925985433</v>
          </cell>
          <cell r="N675">
            <v>15.803991531891484</v>
          </cell>
          <cell r="O675">
            <v>15.323875694292132</v>
          </cell>
          <cell r="P675">
            <v>14.843759856692783</v>
          </cell>
          <cell r="Q675">
            <v>14.363644019093227</v>
          </cell>
          <cell r="R675">
            <v>13.883528181493876</v>
          </cell>
          <cell r="S675">
            <v>13.403412343894576</v>
          </cell>
          <cell r="T675">
            <v>13.177429708456367</v>
          </cell>
          <cell r="U675">
            <v>12.95144707301821</v>
          </cell>
          <cell r="V675">
            <v>12.725464437580001</v>
          </cell>
          <cell r="W675">
            <v>12.499481802141792</v>
          </cell>
          <cell r="X675">
            <v>12.273499166703687</v>
          </cell>
          <cell r="Y675">
            <v>12.041127742205811</v>
          </cell>
          <cell r="Z675">
            <v>11.808756317707935</v>
          </cell>
          <cell r="AA675">
            <v>11.576384893209957</v>
          </cell>
          <cell r="AB675">
            <v>11.344013468712081</v>
          </cell>
          <cell r="AC675">
            <v>11.111642044214154</v>
          </cell>
          <cell r="AD675">
            <v>10.997587925822875</v>
          </cell>
          <cell r="AE675">
            <v>10.88353380743165</v>
          </cell>
          <cell r="AF675">
            <v>10.769479689040372</v>
          </cell>
          <cell r="AG675">
            <v>10.655425570649095</v>
          </cell>
          <cell r="AH675">
            <v>10.541371452257868</v>
          </cell>
        </row>
        <row r="676">
          <cell r="B676" t="str">
            <v>Carbon dioxide (PS) - Energy cost - Americas - USD/ton fuel</v>
          </cell>
          <cell r="G676">
            <v>16.509233042895165</v>
          </cell>
          <cell r="H676">
            <v>16.167349868387682</v>
          </cell>
          <cell r="I676">
            <v>15.825466693880093</v>
          </cell>
          <cell r="J676">
            <v>15.247549879389908</v>
          </cell>
          <cell r="K676">
            <v>14.669633064899722</v>
          </cell>
          <cell r="L676">
            <v>14.091716250409537</v>
          </cell>
          <cell r="M676">
            <v>13.513799435919555</v>
          </cell>
          <cell r="N676">
            <v>12.93588262142937</v>
          </cell>
          <cell r="O676">
            <v>12.657775175266876</v>
          </cell>
          <cell r="P676">
            <v>12.379667729104382</v>
          </cell>
          <cell r="Q676">
            <v>12.101560282941888</v>
          </cell>
          <cell r="R676">
            <v>11.823452836779394</v>
          </cell>
          <cell r="S676">
            <v>11.545345390616848</v>
          </cell>
          <cell r="T676">
            <v>11.319904653939716</v>
          </cell>
          <cell r="U676">
            <v>11.094463917262585</v>
          </cell>
          <cell r="V676">
            <v>10.869023180585401</v>
          </cell>
          <cell r="W676">
            <v>10.64358244390827</v>
          </cell>
          <cell r="X676">
            <v>10.418141707231113</v>
          </cell>
          <cell r="Y676">
            <v>10.327318809695839</v>
          </cell>
          <cell r="Z676">
            <v>10.236495912160567</v>
          </cell>
          <cell r="AA676">
            <v>10.14567301462532</v>
          </cell>
          <cell r="AB676">
            <v>10.054850117090046</v>
          </cell>
          <cell r="AC676">
            <v>9.9640272195547741</v>
          </cell>
          <cell r="AD676">
            <v>9.8955077718569413</v>
          </cell>
          <cell r="AE676">
            <v>9.8269883241591351</v>
          </cell>
          <cell r="AF676">
            <v>9.7584688764613272</v>
          </cell>
          <cell r="AG676">
            <v>9.6899494287635211</v>
          </cell>
          <cell r="AH676">
            <v>9.6214299810657149</v>
          </cell>
        </row>
        <row r="677">
          <cell r="B677" t="str">
            <v>Carbon dioxide (PS) - Energy cost - Asia - USD/ton fuel</v>
          </cell>
          <cell r="G677">
            <v>29.223721120414123</v>
          </cell>
          <cell r="H677">
            <v>26.655708571576181</v>
          </cell>
          <cell r="I677">
            <v>24.087696022739465</v>
          </cell>
          <cell r="J677">
            <v>23.166571245400611</v>
          </cell>
          <cell r="K677">
            <v>22.245446468062166</v>
          </cell>
          <cell r="L677">
            <v>21.324321690723309</v>
          </cell>
          <cell r="M677">
            <v>20.403196913384456</v>
          </cell>
          <cell r="N677">
            <v>19.482072136046011</v>
          </cell>
          <cell r="O677">
            <v>18.85599362984026</v>
          </cell>
          <cell r="P677">
            <v>18.229915123634715</v>
          </cell>
          <cell r="Q677">
            <v>17.603836617429376</v>
          </cell>
          <cell r="R677">
            <v>16.977758111223832</v>
          </cell>
          <cell r="S677">
            <v>16.351679605018287</v>
          </cell>
          <cell r="T677">
            <v>16.033366123976567</v>
          </cell>
          <cell r="U677">
            <v>15.715052642934848</v>
          </cell>
          <cell r="V677">
            <v>15.396739161893231</v>
          </cell>
          <cell r="W677">
            <v>15.078425680851513</v>
          </cell>
          <cell r="X677">
            <v>14.760112199809999</v>
          </cell>
          <cell r="Y677">
            <v>14.426924532343889</v>
          </cell>
          <cell r="Z677">
            <v>14.093736864877883</v>
          </cell>
          <cell r="AA677">
            <v>13.760549197411775</v>
          </cell>
          <cell r="AB677">
            <v>13.427361529945768</v>
          </cell>
          <cell r="AC677">
            <v>13.094173862479659</v>
          </cell>
          <cell r="AD677">
            <v>12.941378414492936</v>
          </cell>
          <cell r="AE677">
            <v>12.788582966506164</v>
          </cell>
          <cell r="AF677">
            <v>12.635787518519441</v>
          </cell>
          <cell r="AG677">
            <v>12.48299207053272</v>
          </cell>
          <cell r="AH677">
            <v>12.330196622545946</v>
          </cell>
        </row>
        <row r="678">
          <cell r="B678" t="str">
            <v>Carbon dioxide (PS) - Energy cost - Europe - USD/ton fuel</v>
          </cell>
          <cell r="G678">
            <v>21.75547741099076</v>
          </cell>
          <cell r="H678">
            <v>20.817825476932196</v>
          </cell>
          <cell r="I678">
            <v>19.880173542873628</v>
          </cell>
          <cell r="J678">
            <v>19.122545113976003</v>
          </cell>
          <cell r="K678">
            <v>18.364916685078175</v>
          </cell>
          <cell r="L678">
            <v>17.607288256180549</v>
          </cell>
          <cell r="M678">
            <v>16.849659827282721</v>
          </cell>
          <cell r="N678">
            <v>16.0920313983851</v>
          </cell>
          <cell r="O678">
            <v>15.777236942932246</v>
          </cell>
          <cell r="P678">
            <v>15.4624424874797</v>
          </cell>
          <cell r="Q678">
            <v>15.147648032027053</v>
          </cell>
          <cell r="R678">
            <v>14.832853576574406</v>
          </cell>
          <cell r="S678">
            <v>14.51805912112186</v>
          </cell>
          <cell r="T678">
            <v>14.330110831027525</v>
          </cell>
          <cell r="U678">
            <v>14.142162540933242</v>
          </cell>
          <cell r="V678">
            <v>13.954214250838959</v>
          </cell>
          <cell r="W678">
            <v>13.766265960744676</v>
          </cell>
          <cell r="X678">
            <v>13.578317670650291</v>
          </cell>
          <cell r="Y678">
            <v>13.377246932322203</v>
          </cell>
          <cell r="Z678">
            <v>13.176176193994065</v>
          </cell>
          <cell r="AA678">
            <v>12.975105455665977</v>
          </cell>
          <cell r="AB678">
            <v>12.774034717337839</v>
          </cell>
          <cell r="AC678">
            <v>12.572963979009751</v>
          </cell>
          <cell r="AD678">
            <v>12.426258627419339</v>
          </cell>
          <cell r="AE678">
            <v>12.279553275828874</v>
          </cell>
          <cell r="AF678">
            <v>12.132847924238462</v>
          </cell>
          <cell r="AG678">
            <v>11.986142572648049</v>
          </cell>
          <cell r="AH678">
            <v>11.839437221057585</v>
          </cell>
        </row>
        <row r="679">
          <cell r="B679" t="str">
            <v>Carbon dioxide (PS) - Energy cost - Middle East - USD/ton fuel</v>
          </cell>
          <cell r="G679">
            <v>16.659142502923782</v>
          </cell>
          <cell r="H679">
            <v>15.924016305195346</v>
          </cell>
          <cell r="I679">
            <v>15.188890107466705</v>
          </cell>
          <cell r="J679">
            <v>14.702169207234352</v>
          </cell>
          <cell r="K679">
            <v>14.215448307001997</v>
          </cell>
          <cell r="L679">
            <v>13.728727406769645</v>
          </cell>
          <cell r="M679">
            <v>13.242006506537292</v>
          </cell>
          <cell r="N679">
            <v>12.755285606304938</v>
          </cell>
          <cell r="O679">
            <v>12.412091283913481</v>
          </cell>
          <cell r="P679">
            <v>12.068896961522126</v>
          </cell>
          <cell r="Q679">
            <v>11.725702639130668</v>
          </cell>
          <cell r="R679">
            <v>11.382508316739314</v>
          </cell>
          <cell r="S679">
            <v>11.039313994347959</v>
          </cell>
          <cell r="T679">
            <v>10.867239969797794</v>
          </cell>
          <cell r="U679">
            <v>10.695165945247629</v>
          </cell>
          <cell r="V679">
            <v>10.523091920697516</v>
          </cell>
          <cell r="W679">
            <v>10.351017896147352</v>
          </cell>
          <cell r="X679">
            <v>10.178943871597188</v>
          </cell>
          <cell r="Y679">
            <v>9.9532866742515296</v>
          </cell>
          <cell r="Z679">
            <v>9.7276294769059231</v>
          </cell>
          <cell r="AA679">
            <v>9.5019722795602668</v>
          </cell>
          <cell r="AB679">
            <v>9.2763150822146603</v>
          </cell>
          <cell r="AC679">
            <v>9.0506578848689774</v>
          </cell>
          <cell r="AD679">
            <v>8.9450432375976252</v>
          </cell>
          <cell r="AE679">
            <v>8.8394285903262979</v>
          </cell>
          <cell r="AF679">
            <v>8.7338139430549457</v>
          </cell>
          <cell r="AG679">
            <v>8.6281992957835936</v>
          </cell>
          <cell r="AH679">
            <v>8.522584648512268</v>
          </cell>
        </row>
        <row r="680">
          <cell r="B680" t="str">
            <v>e-methane - Conversion H2 -&gt; CH4 - Global - ton H2/ton CH4</v>
          </cell>
          <cell r="G680">
            <v>0.5</v>
          </cell>
          <cell r="H680">
            <v>0.5</v>
          </cell>
          <cell r="I680">
            <v>0.5</v>
          </cell>
          <cell r="J680">
            <v>0.5</v>
          </cell>
          <cell r="K680">
            <v>0.5</v>
          </cell>
          <cell r="L680">
            <v>0.5</v>
          </cell>
          <cell r="M680">
            <v>0.5</v>
          </cell>
          <cell r="N680">
            <v>0.5</v>
          </cell>
          <cell r="O680">
            <v>0.5</v>
          </cell>
          <cell r="P680">
            <v>0.5</v>
          </cell>
          <cell r="Q680">
            <v>0.5</v>
          </cell>
          <cell r="R680">
            <v>0.5</v>
          </cell>
          <cell r="S680">
            <v>0.5</v>
          </cell>
          <cell r="T680">
            <v>0.5</v>
          </cell>
          <cell r="U680">
            <v>0.5</v>
          </cell>
          <cell r="V680">
            <v>0.5</v>
          </cell>
          <cell r="W680">
            <v>0.5</v>
          </cell>
          <cell r="X680">
            <v>0.5</v>
          </cell>
          <cell r="Y680">
            <v>0.5</v>
          </cell>
          <cell r="Z680">
            <v>0.5</v>
          </cell>
          <cell r="AA680">
            <v>0.5</v>
          </cell>
          <cell r="AB680">
            <v>0.5</v>
          </cell>
          <cell r="AC680">
            <v>0.5</v>
          </cell>
          <cell r="AD680">
            <v>0.5</v>
          </cell>
          <cell r="AE680">
            <v>0.5</v>
          </cell>
          <cell r="AF680">
            <v>0.5</v>
          </cell>
          <cell r="AG680">
            <v>0.5</v>
          </cell>
          <cell r="AH680">
            <v>0.5</v>
          </cell>
        </row>
        <row r="681">
          <cell r="B681" t="str">
            <v>e-methane - Conversion CO2 -&gt; CH4 - Global - ton CO2/ton CH4</v>
          </cell>
          <cell r="G681">
            <v>2.75</v>
          </cell>
          <cell r="H681">
            <v>2.75</v>
          </cell>
          <cell r="I681">
            <v>2.75</v>
          </cell>
          <cell r="J681">
            <v>2.75</v>
          </cell>
          <cell r="K681">
            <v>2.75</v>
          </cell>
          <cell r="L681">
            <v>2.75</v>
          </cell>
          <cell r="M681">
            <v>2.75</v>
          </cell>
          <cell r="N681">
            <v>2.75</v>
          </cell>
          <cell r="O681">
            <v>2.75</v>
          </cell>
          <cell r="P681">
            <v>2.75</v>
          </cell>
          <cell r="Q681">
            <v>2.75</v>
          </cell>
          <cell r="R681">
            <v>2.75</v>
          </cell>
          <cell r="S681">
            <v>2.75</v>
          </cell>
          <cell r="T681">
            <v>2.75</v>
          </cell>
          <cell r="U681">
            <v>2.75</v>
          </cell>
          <cell r="V681">
            <v>2.75</v>
          </cell>
          <cell r="W681">
            <v>2.75</v>
          </cell>
          <cell r="X681">
            <v>2.75</v>
          </cell>
          <cell r="Y681">
            <v>2.75</v>
          </cell>
          <cell r="Z681">
            <v>2.75</v>
          </cell>
          <cell r="AA681">
            <v>2.75</v>
          </cell>
          <cell r="AB681">
            <v>2.75</v>
          </cell>
          <cell r="AC681">
            <v>2.75</v>
          </cell>
          <cell r="AD681">
            <v>2.75</v>
          </cell>
          <cell r="AE681">
            <v>2.75</v>
          </cell>
          <cell r="AF681">
            <v>2.75</v>
          </cell>
          <cell r="AG681">
            <v>2.75</v>
          </cell>
          <cell r="AH681">
            <v>2.75</v>
          </cell>
        </row>
        <row r="682">
          <cell r="B682" t="str">
            <v/>
          </cell>
        </row>
        <row r="683">
          <cell r="B683" t="str">
            <v>e-methane (PS) - Feedstock cost including feedstock feedstock cost - Global - USD/ton fuel</v>
          </cell>
          <cell r="G683">
            <v>6.75</v>
          </cell>
          <cell r="H683">
            <v>6.750000000000024</v>
          </cell>
          <cell r="I683">
            <v>6.750000000000024</v>
          </cell>
          <cell r="J683">
            <v>6.750000000000024</v>
          </cell>
          <cell r="K683">
            <v>6.750000000000048</v>
          </cell>
          <cell r="L683">
            <v>6.75</v>
          </cell>
          <cell r="M683">
            <v>6.750000000000048</v>
          </cell>
          <cell r="N683">
            <v>6.75</v>
          </cell>
          <cell r="O683">
            <v>6.749999999999952</v>
          </cell>
          <cell r="P683">
            <v>6.750000000000024</v>
          </cell>
          <cell r="Q683">
            <v>6.7500000000000959</v>
          </cell>
          <cell r="R683">
            <v>6.750000000000048</v>
          </cell>
          <cell r="S683">
            <v>6.7500000000000959</v>
          </cell>
          <cell r="T683">
            <v>6.7500000000001199</v>
          </cell>
          <cell r="U683">
            <v>6.7500000000000604</v>
          </cell>
          <cell r="V683">
            <v>6.7500000000001794</v>
          </cell>
          <cell r="W683">
            <v>6.7500000000001199</v>
          </cell>
          <cell r="X683">
            <v>6.749999999999952</v>
          </cell>
          <cell r="Y683">
            <v>6.75</v>
          </cell>
          <cell r="Z683">
            <v>6.749999999999976</v>
          </cell>
          <cell r="AA683">
            <v>6.750000000000024</v>
          </cell>
          <cell r="AB683">
            <v>6.75</v>
          </cell>
          <cell r="AC683">
            <v>6.75</v>
          </cell>
          <cell r="AD683">
            <v>6.75</v>
          </cell>
          <cell r="AE683">
            <v>6.75</v>
          </cell>
          <cell r="AF683">
            <v>6.75</v>
          </cell>
          <cell r="AG683">
            <v>6.75</v>
          </cell>
          <cell r="AH683">
            <v>6.75</v>
          </cell>
        </row>
        <row r="684">
          <cell r="B684" t="str">
            <v>e-hydrogen - Feedstock cost - Global - USD/ton fuel</v>
          </cell>
          <cell r="G684">
            <v>13.5</v>
          </cell>
          <cell r="H684">
            <v>13.500000000000048</v>
          </cell>
          <cell r="I684">
            <v>13.500000000000048</v>
          </cell>
          <cell r="J684">
            <v>13.500000000000048</v>
          </cell>
          <cell r="K684">
            <v>13.500000000000096</v>
          </cell>
          <cell r="L684">
            <v>13.5</v>
          </cell>
          <cell r="M684">
            <v>13.500000000000096</v>
          </cell>
          <cell r="N684">
            <v>13.5</v>
          </cell>
          <cell r="O684">
            <v>13.499999999999904</v>
          </cell>
          <cell r="P684">
            <v>13.500000000000048</v>
          </cell>
          <cell r="Q684">
            <v>13.500000000000192</v>
          </cell>
          <cell r="R684">
            <v>13.500000000000096</v>
          </cell>
          <cell r="S684">
            <v>13.500000000000192</v>
          </cell>
          <cell r="T684">
            <v>13.50000000000024</v>
          </cell>
          <cell r="U684">
            <v>13.500000000000121</v>
          </cell>
          <cell r="V684">
            <v>13.500000000000359</v>
          </cell>
          <cell r="W684">
            <v>13.50000000000024</v>
          </cell>
          <cell r="X684">
            <v>13.499999999999904</v>
          </cell>
          <cell r="Y684">
            <v>13.5</v>
          </cell>
          <cell r="Z684">
            <v>13.499999999999952</v>
          </cell>
          <cell r="AA684">
            <v>13.500000000000048</v>
          </cell>
          <cell r="AB684">
            <v>13.5</v>
          </cell>
          <cell r="AC684">
            <v>13.5</v>
          </cell>
          <cell r="AD684">
            <v>13.5</v>
          </cell>
          <cell r="AE684">
            <v>13.5</v>
          </cell>
          <cell r="AF684">
            <v>13.5</v>
          </cell>
          <cell r="AG684">
            <v>13.5</v>
          </cell>
          <cell r="AH684">
            <v>13.5</v>
          </cell>
        </row>
        <row r="685">
          <cell r="B685" t="str">
            <v>e-methane - Conversion H2 -&gt; CH4 - Global - ton H2/ton CH4</v>
          </cell>
          <cell r="G685">
            <v>0.5</v>
          </cell>
          <cell r="H685">
            <v>0.5</v>
          </cell>
          <cell r="I685">
            <v>0.5</v>
          </cell>
          <cell r="J685">
            <v>0.5</v>
          </cell>
          <cell r="K685">
            <v>0.5</v>
          </cell>
          <cell r="L685">
            <v>0.5</v>
          </cell>
          <cell r="M685">
            <v>0.5</v>
          </cell>
          <cell r="N685">
            <v>0.5</v>
          </cell>
          <cell r="O685">
            <v>0.5</v>
          </cell>
          <cell r="P685">
            <v>0.5</v>
          </cell>
          <cell r="Q685">
            <v>0.5</v>
          </cell>
          <cell r="R685">
            <v>0.5</v>
          </cell>
          <cell r="S685">
            <v>0.5</v>
          </cell>
          <cell r="T685">
            <v>0.5</v>
          </cell>
          <cell r="U685">
            <v>0.5</v>
          </cell>
          <cell r="V685">
            <v>0.5</v>
          </cell>
          <cell r="W685">
            <v>0.5</v>
          </cell>
          <cell r="X685">
            <v>0.5</v>
          </cell>
          <cell r="Y685">
            <v>0.5</v>
          </cell>
          <cell r="Z685">
            <v>0.5</v>
          </cell>
          <cell r="AA685">
            <v>0.5</v>
          </cell>
          <cell r="AB685">
            <v>0.5</v>
          </cell>
          <cell r="AC685">
            <v>0.5</v>
          </cell>
          <cell r="AD685">
            <v>0.5</v>
          </cell>
          <cell r="AE685">
            <v>0.5</v>
          </cell>
          <cell r="AF685">
            <v>0.5</v>
          </cell>
          <cell r="AG685">
            <v>0.5</v>
          </cell>
          <cell r="AH685">
            <v>0.5</v>
          </cell>
        </row>
        <row r="687">
          <cell r="B687" t="str">
            <v>e-methane liquefied (DAC) - Item - Region - Unit</v>
          </cell>
          <cell r="G687">
            <v>2023</v>
          </cell>
          <cell r="H687">
            <v>2024</v>
          </cell>
          <cell r="I687">
            <v>2025</v>
          </cell>
          <cell r="J687">
            <v>2026</v>
          </cell>
          <cell r="K687">
            <v>2027</v>
          </cell>
          <cell r="L687">
            <v>2028</v>
          </cell>
          <cell r="M687">
            <v>2029</v>
          </cell>
          <cell r="N687">
            <v>2030</v>
          </cell>
          <cell r="O687">
            <v>2031</v>
          </cell>
          <cell r="P687">
            <v>2032</v>
          </cell>
          <cell r="Q687">
            <v>2033</v>
          </cell>
          <cell r="R687">
            <v>2034</v>
          </cell>
          <cell r="S687">
            <v>2035</v>
          </cell>
          <cell r="T687">
            <v>2036</v>
          </cell>
          <cell r="U687">
            <v>2037</v>
          </cell>
          <cell r="V687">
            <v>2038</v>
          </cell>
          <cell r="W687">
            <v>2039</v>
          </cell>
          <cell r="X687">
            <v>2040</v>
          </cell>
          <cell r="Y687">
            <v>2041</v>
          </cell>
          <cell r="Z687">
            <v>2042</v>
          </cell>
          <cell r="AA687">
            <v>2043</v>
          </cell>
          <cell r="AB687">
            <v>2044</v>
          </cell>
          <cell r="AC687">
            <v>2045</v>
          </cell>
          <cell r="AD687">
            <v>2046</v>
          </cell>
          <cell r="AE687">
            <v>2047</v>
          </cell>
          <cell r="AF687">
            <v>2048</v>
          </cell>
          <cell r="AG687">
            <v>2049</v>
          </cell>
          <cell r="AH687">
            <v>2050</v>
          </cell>
        </row>
        <row r="688">
          <cell r="B688" t="str">
            <v>e-methane liquefied (DAC) - Total cost - Africa - USD/ton fuel</v>
          </cell>
          <cell r="G688">
            <v>3650.8741524642387</v>
          </cell>
          <cell r="H688">
            <v>3339.686188441297</v>
          </cell>
          <cell r="I688">
            <v>3028.799642992205</v>
          </cell>
          <cell r="J688">
            <v>2916.1747405207357</v>
          </cell>
          <cell r="K688">
            <v>2801.4876814461095</v>
          </cell>
          <cell r="L688">
            <v>2684.7898591892636</v>
          </cell>
          <cell r="M688">
            <v>2566.1326671711709</v>
          </cell>
          <cell r="N688">
            <v>2445.567498812743</v>
          </cell>
          <cell r="O688">
            <v>2391.086527964685</v>
          </cell>
          <cell r="P688">
            <v>2333.1176921609208</v>
          </cell>
          <cell r="Q688">
            <v>2271.6886732196699</v>
          </cell>
          <cell r="R688">
            <v>2206.8271529591898</v>
          </cell>
          <cell r="S688">
            <v>2138.5608131977638</v>
          </cell>
          <cell r="T688">
            <v>2089.5492056595058</v>
          </cell>
          <cell r="U688">
            <v>2038.0979049107718</v>
          </cell>
          <cell r="V688">
            <v>1984.2159436340794</v>
          </cell>
          <cell r="W688">
            <v>1927.9123545118343</v>
          </cell>
          <cell r="X688">
            <v>1869.1961702265314</v>
          </cell>
          <cell r="Y688">
            <v>1808.1915289923504</v>
          </cell>
          <cell r="Z688">
            <v>1746.1219797185495</v>
          </cell>
          <cell r="AA688">
            <v>1682.9822403359251</v>
          </cell>
          <cell r="AB688">
            <v>1618.767028775223</v>
          </cell>
          <cell r="AC688">
            <v>1553.4710629672159</v>
          </cell>
          <cell r="AD688">
            <v>1501.0983357074729</v>
          </cell>
          <cell r="AE688">
            <v>1448.2054614902686</v>
          </cell>
          <cell r="AF688">
            <v>1394.7891118394489</v>
          </cell>
          <cell r="AG688">
            <v>1340.8459582788762</v>
          </cell>
          <cell r="AH688">
            <v>1286.3726723324162</v>
          </cell>
        </row>
        <row r="689">
          <cell r="B689" t="str">
            <v>e-methane liquefied (DAC) - Total cost - Americas - USD/ton fuel</v>
          </cell>
          <cell r="G689">
            <v>2869.9840130119169</v>
          </cell>
          <cell r="H689">
            <v>2780.320262987565</v>
          </cell>
          <cell r="I689">
            <v>2689.3254228526844</v>
          </cell>
          <cell r="J689">
            <v>2600.4557482845994</v>
          </cell>
          <cell r="K689">
            <v>2509.4047726940821</v>
          </cell>
          <cell r="L689">
            <v>2416.2070277566636</v>
          </cell>
          <cell r="M689">
            <v>2320.8970451479386</v>
          </cell>
          <cell r="N689">
            <v>2223.5093565433531</v>
          </cell>
          <cell r="O689">
            <v>2186.2493031623799</v>
          </cell>
          <cell r="P689">
            <v>2145.3091923564207</v>
          </cell>
          <cell r="Q689">
            <v>2100.7050588387056</v>
          </cell>
          <cell r="R689">
            <v>2052.4529373224509</v>
          </cell>
          <cell r="S689">
            <v>2000.5688625209339</v>
          </cell>
          <cell r="T689">
            <v>1952.8534994373099</v>
          </cell>
          <cell r="U689">
            <v>1902.7224519480098</v>
          </cell>
          <cell r="V689">
            <v>1850.1847310754838</v>
          </cell>
          <cell r="W689">
            <v>1795.2493478420756</v>
          </cell>
          <cell r="X689">
            <v>1737.9253132701988</v>
          </cell>
          <cell r="Y689">
            <v>1688.4328444433979</v>
          </cell>
          <cell r="Z689">
            <v>1637.6162241605964</v>
          </cell>
          <cell r="AA689">
            <v>1585.4733879131079</v>
          </cell>
          <cell r="AB689">
            <v>1532.0022711921749</v>
          </cell>
          <cell r="AC689">
            <v>1477.200809489093</v>
          </cell>
          <cell r="AD689">
            <v>1428.6505900225784</v>
          </cell>
          <cell r="AE689">
            <v>1379.5041457150483</v>
          </cell>
          <cell r="AF689">
            <v>1329.759476942545</v>
          </cell>
          <cell r="AG689">
            <v>1279.4145840811191</v>
          </cell>
          <cell r="AH689">
            <v>1228.4674675068211</v>
          </cell>
        </row>
        <row r="690">
          <cell r="B690" t="str">
            <v>e-methane liquefied (DAC) - Total cost - Asia - USD/ton fuel</v>
          </cell>
          <cell r="G690">
            <v>3886.6167487203606</v>
          </cell>
          <cell r="H690">
            <v>3615.7377058629495</v>
          </cell>
          <cell r="I690">
            <v>3344.7956162755308</v>
          </cell>
          <cell r="J690">
            <v>3225.9882689370161</v>
          </cell>
          <cell r="K690">
            <v>3105.0836179827552</v>
          </cell>
          <cell r="L690">
            <v>2982.1367024444853</v>
          </cell>
          <cell r="M690">
            <v>2857.2025613541068</v>
          </cell>
          <cell r="N690">
            <v>2730.336233743396</v>
          </cell>
          <cell r="O690">
            <v>2662.4601053782803</v>
          </cell>
          <cell r="P690">
            <v>2591.2041223188185</v>
          </cell>
          <cell r="Q690">
            <v>2516.6043820857617</v>
          </cell>
          <cell r="R690">
            <v>2438.6969821998227</v>
          </cell>
          <cell r="S690">
            <v>2357.5180201818353</v>
          </cell>
          <cell r="T690">
            <v>2299.7182390709045</v>
          </cell>
          <cell r="U690">
            <v>2239.5668060573958</v>
          </cell>
          <cell r="V690">
            <v>2177.0764443517019</v>
          </cell>
          <cell r="W690">
            <v>2112.2598771640573</v>
          </cell>
          <cell r="X690">
            <v>2045.1298277048284</v>
          </cell>
          <cell r="Y690">
            <v>1974.9078296067919</v>
          </cell>
          <cell r="Z690">
            <v>1903.8143949387775</v>
          </cell>
          <cell r="AA690">
            <v>1831.8419499626395</v>
          </cell>
          <cell r="AB690">
            <v>1758.9829209401832</v>
          </cell>
          <cell r="AC690">
            <v>1685.2297341332433</v>
          </cell>
          <cell r="AD690">
            <v>1628.8778247774112</v>
          </cell>
          <cell r="AE690">
            <v>1572.0802836508005</v>
          </cell>
          <cell r="AF690">
            <v>1514.8326516772261</v>
          </cell>
          <cell r="AG690">
            <v>1457.1304697805006</v>
          </cell>
          <cell r="AH690">
            <v>1398.9692788844382</v>
          </cell>
        </row>
        <row r="691">
          <cell r="B691" t="str">
            <v>e-methane liquefied (DAC) - Total cost - Europe - USD/ton fuel</v>
          </cell>
          <cell r="G691">
            <v>3289.4663965427526</v>
          </cell>
          <cell r="H691">
            <v>3150.7393677292366</v>
          </cell>
          <cell r="I691">
            <v>3010.9988328728391</v>
          </cell>
          <cell r="J691">
            <v>2906.5460370430742</v>
          </cell>
          <cell r="K691">
            <v>2799.9613324640441</v>
          </cell>
          <cell r="L691">
            <v>2691.2899889365967</v>
          </cell>
          <cell r="M691">
            <v>2580.577276261567</v>
          </cell>
          <cell r="N691">
            <v>2467.8684642397461</v>
          </cell>
          <cell r="O691">
            <v>2425.9183954586761</v>
          </cell>
          <cell r="P691">
            <v>2380.2725267721212</v>
          </cell>
          <cell r="Q691">
            <v>2330.9490081393128</v>
          </cell>
          <cell r="R691">
            <v>2277.9659895195127</v>
          </cell>
          <cell r="S691">
            <v>2221.3416208720519</v>
          </cell>
          <cell r="T691">
            <v>2174.3752809340913</v>
          </cell>
          <cell r="U691">
            <v>2124.9019479733879</v>
          </cell>
          <cell r="V691">
            <v>2072.9291344133371</v>
          </cell>
          <cell r="W691">
            <v>2018.4643526772072</v>
          </cell>
          <cell r="X691">
            <v>1961.5151151883515</v>
          </cell>
          <cell r="Y691">
            <v>1901.5577576153992</v>
          </cell>
          <cell r="Z691">
            <v>1840.491160751086</v>
          </cell>
          <cell r="AA691">
            <v>1778.310754026752</v>
          </cell>
          <cell r="AB691">
            <v>1715.0119668736484</v>
          </cell>
          <cell r="AC691">
            <v>1650.590228723097</v>
          </cell>
          <cell r="AD691">
            <v>1595.0152538955488</v>
          </cell>
          <cell r="AE691">
            <v>1538.9808950566958</v>
          </cell>
          <cell r="AF691">
            <v>1482.4828708594941</v>
          </cell>
          <cell r="AG691">
            <v>1425.5168999568989</v>
          </cell>
          <cell r="AH691">
            <v>1368.0787010018651</v>
          </cell>
        </row>
        <row r="692">
          <cell r="B692" t="str">
            <v>e-methane liquefied (DAC) - Total cost - Middle East - USD/ton fuel</v>
          </cell>
          <cell r="G692">
            <v>2881.9705643797956</v>
          </cell>
          <cell r="H692">
            <v>2760.9382882782047</v>
          </cell>
          <cell r="I692">
            <v>2638.8236803305549</v>
          </cell>
          <cell r="J692">
            <v>2557.3755075830345</v>
          </cell>
          <cell r="K692">
            <v>2473.6926665829028</v>
          </cell>
          <cell r="L692">
            <v>2387.804239868995</v>
          </cell>
          <cell r="M692">
            <v>2299.7393099801925</v>
          </cell>
          <cell r="N692">
            <v>2209.5269594552778</v>
          </cell>
          <cell r="O692">
            <v>2167.3733432635163</v>
          </cell>
          <cell r="P692">
            <v>2121.6228248747643</v>
          </cell>
          <cell r="Q692">
            <v>2072.2951916863535</v>
          </cell>
          <cell r="R692">
            <v>2019.4102310956357</v>
          </cell>
          <cell r="S692">
            <v>1962.9877305000005</v>
          </cell>
          <cell r="T692">
            <v>1919.5417987255641</v>
          </cell>
          <cell r="U692">
            <v>1873.6133328582132</v>
          </cell>
          <cell r="V692">
            <v>1825.2092108159536</v>
          </cell>
          <cell r="W692">
            <v>1774.3363105166661</v>
          </cell>
          <cell r="X692">
            <v>1721.0015098783222</v>
          </cell>
          <cell r="Y692">
            <v>1662.2959772173394</v>
          </cell>
          <cell r="Z692">
            <v>1602.498035824508</v>
          </cell>
          <cell r="AA692">
            <v>1541.6025562527109</v>
          </cell>
          <cell r="AB692">
            <v>1479.6044090547803</v>
          </cell>
          <cell r="AC692">
            <v>1416.4984647835809</v>
          </cell>
          <cell r="AD692">
            <v>1366.1696419601933</v>
          </cell>
          <cell r="AE692">
            <v>1315.2885921065131</v>
          </cell>
          <cell r="AF692">
            <v>1263.8522330380511</v>
          </cell>
          <cell r="AG692">
            <v>1211.8574825703301</v>
          </cell>
          <cell r="AH692">
            <v>1159.3012585188735</v>
          </cell>
        </row>
        <row r="693">
          <cell r="B693" t="str">
            <v/>
          </cell>
        </row>
        <row r="694">
          <cell r="B694" t="str">
            <v>e-methane liquefied (DAC) - CAPEX including feedstock CAPEX - Global - USD/ton fuel</v>
          </cell>
          <cell r="G694">
            <v>339.335302511424</v>
          </cell>
          <cell r="H694">
            <v>328.80654200524702</v>
          </cell>
          <cell r="I694">
            <v>318.15297823102202</v>
          </cell>
          <cell r="J694">
            <v>311.27706625559279</v>
          </cell>
          <cell r="K694">
            <v>304.16929765714201</v>
          </cell>
          <cell r="L694">
            <v>296.82967243567282</v>
          </cell>
          <cell r="M694">
            <v>289.25819059118669</v>
          </cell>
          <cell r="N694">
            <v>281.4548521236789</v>
          </cell>
          <cell r="O694">
            <v>280.72367216201792</v>
          </cell>
          <cell r="P694">
            <v>279.45177873473182</v>
          </cell>
          <cell r="Q694">
            <v>277.63917184181884</v>
          </cell>
          <cell r="R694">
            <v>275.28585148327767</v>
          </cell>
          <cell r="S694">
            <v>272.39181765911144</v>
          </cell>
          <cell r="T694">
            <v>268.89660012350407</v>
          </cell>
          <cell r="U694">
            <v>264.95510599399779</v>
          </cell>
          <cell r="V694">
            <v>260.56733527059782</v>
          </cell>
          <cell r="W694">
            <v>255.73328795329849</v>
          </cell>
          <cell r="X694">
            <v>250.45296404209853</v>
          </cell>
          <cell r="Y694">
            <v>244.20458066719289</v>
          </cell>
          <cell r="Z694">
            <v>237.61945670592365</v>
          </cell>
          <cell r="AA694">
            <v>230.69759215829464</v>
          </cell>
          <cell r="AB694">
            <v>223.4389870243036</v>
          </cell>
          <cell r="AC694">
            <v>215.84364130394999</v>
          </cell>
          <cell r="AD694">
            <v>208.03650717228334</v>
          </cell>
          <cell r="AE694">
            <v>200.01874340375684</v>
          </cell>
          <cell r="AF694">
            <v>191.79034999836989</v>
          </cell>
          <cell r="AG694">
            <v>183.35132695612276</v>
          </cell>
          <cell r="AH694">
            <v>174.70167427701585</v>
          </cell>
        </row>
        <row r="695">
          <cell r="B695" t="str">
            <v>e-methane liquefied (DAC) - CAPEX - Global - USD/ton fuel</v>
          </cell>
          <cell r="G695">
            <v>75.715087666188268</v>
          </cell>
          <cell r="H695">
            <v>75.35754383309407</v>
          </cell>
          <cell r="I695">
            <v>75</v>
          </cell>
          <cell r="J695">
            <v>74.650780257917603</v>
          </cell>
          <cell r="K695">
            <v>74.301560515835206</v>
          </cell>
          <cell r="L695">
            <v>73.952340773752809</v>
          </cell>
          <cell r="M695">
            <v>73.603121031670398</v>
          </cell>
          <cell r="N695">
            <v>73.253901289588001</v>
          </cell>
          <cell r="O695">
            <v>72.912811842723016</v>
          </cell>
          <cell r="P695">
            <v>72.571722395857918</v>
          </cell>
          <cell r="Q695">
            <v>72.230632948992934</v>
          </cell>
          <cell r="R695">
            <v>71.889543502127836</v>
          </cell>
          <cell r="S695">
            <v>71.548454055262724</v>
          </cell>
          <cell r="T695">
            <v>71.215305619641853</v>
          </cell>
          <cell r="U695">
            <v>70.882157184020855</v>
          </cell>
          <cell r="V695">
            <v>70.549008748399871</v>
          </cell>
          <cell r="W695">
            <v>70.215860312778872</v>
          </cell>
          <cell r="X695">
            <v>69.882711877158002</v>
          </cell>
          <cell r="Y695">
            <v>69.557319575587826</v>
          </cell>
          <cell r="Z695">
            <v>69.231927274017778</v>
          </cell>
          <cell r="AA695">
            <v>68.906534972447602</v>
          </cell>
          <cell r="AB695">
            <v>68.581142670877426</v>
          </cell>
          <cell r="AC695">
            <v>68.25575036930725</v>
          </cell>
          <cell r="AD695">
            <v>67.937933628779135</v>
          </cell>
          <cell r="AE695">
            <v>67.620116888251019</v>
          </cell>
          <cell r="AF695">
            <v>67.302300147722903</v>
          </cell>
          <cell r="AG695">
            <v>66.984483407194787</v>
          </cell>
          <cell r="AH695">
            <v>66.666666666666671</v>
          </cell>
        </row>
        <row r="696">
          <cell r="B696" t="str">
            <v>e-methane (DAC) - CAPEX including feedstock CAPEX - Global - USD/ton fuel</v>
          </cell>
          <cell r="G696">
            <v>263.62021484523575</v>
          </cell>
          <cell r="H696">
            <v>253.44899817215298</v>
          </cell>
          <cell r="I696">
            <v>243.15297823102202</v>
          </cell>
          <cell r="J696">
            <v>236.62628599767515</v>
          </cell>
          <cell r="K696">
            <v>229.8677371413068</v>
          </cell>
          <cell r="L696">
            <v>222.87733166191998</v>
          </cell>
          <cell r="M696">
            <v>215.65506955951628</v>
          </cell>
          <cell r="N696">
            <v>208.20095083409089</v>
          </cell>
          <cell r="O696">
            <v>207.81086031929487</v>
          </cell>
          <cell r="P696">
            <v>206.88005633887389</v>
          </cell>
          <cell r="Q696">
            <v>205.4085388928259</v>
          </cell>
          <cell r="R696">
            <v>203.39630798114985</v>
          </cell>
          <cell r="S696">
            <v>200.8433636038487</v>
          </cell>
          <cell r="T696">
            <v>197.6812945038622</v>
          </cell>
          <cell r="U696">
            <v>194.07294880997691</v>
          </cell>
          <cell r="V696">
            <v>190.01832652219795</v>
          </cell>
          <cell r="W696">
            <v>185.51742764051963</v>
          </cell>
          <cell r="X696">
            <v>180.57025216494054</v>
          </cell>
          <cell r="Y696">
            <v>174.64726109160506</v>
          </cell>
          <cell r="Z696">
            <v>168.38752943190588</v>
          </cell>
          <cell r="AA696">
            <v>161.79105718584705</v>
          </cell>
          <cell r="AB696">
            <v>154.85784435342617</v>
          </cell>
          <cell r="AC696">
            <v>147.58789093464276</v>
          </cell>
          <cell r="AD696">
            <v>140.09857354350422</v>
          </cell>
          <cell r="AE696">
            <v>132.39862651550584</v>
          </cell>
          <cell r="AF696">
            <v>124.48804985064699</v>
          </cell>
          <cell r="AG696">
            <v>116.36684354892796</v>
          </cell>
          <cell r="AH696">
            <v>108.03500761034918</v>
          </cell>
        </row>
        <row r="697">
          <cell r="B697" t="str">
            <v/>
          </cell>
        </row>
        <row r="698">
          <cell r="B698" t="str">
            <v>e-methane liquefied (DAC) - OPEX including feedstock OPEX - Global - USD/ton fuel</v>
          </cell>
          <cell r="G698">
            <v>643.94021017252567</v>
          </cell>
          <cell r="H698">
            <v>614.4731858655864</v>
          </cell>
          <cell r="I698">
            <v>583.98300615931566</v>
          </cell>
          <cell r="J698">
            <v>564.40018464072546</v>
          </cell>
          <cell r="K698">
            <v>543.1471427849159</v>
          </cell>
          <cell r="L698">
            <v>520.22388059188552</v>
          </cell>
          <cell r="M698">
            <v>495.63039806165585</v>
          </cell>
          <cell r="N698">
            <v>469.36669519420445</v>
          </cell>
          <cell r="O698">
            <v>463.0812777501564</v>
          </cell>
          <cell r="P698">
            <v>454.45682577898077</v>
          </cell>
          <cell r="Q698">
            <v>443.49333928068108</v>
          </cell>
          <cell r="R698">
            <v>430.19081825524682</v>
          </cell>
          <cell r="S698">
            <v>414.54926270268413</v>
          </cell>
          <cell r="T698">
            <v>400.49305970882392</v>
          </cell>
          <cell r="U698">
            <v>385.04675132051034</v>
          </cell>
          <cell r="V698">
            <v>368.21033753775606</v>
          </cell>
          <cell r="W698">
            <v>349.98381836054017</v>
          </cell>
          <cell r="X698">
            <v>330.3671937888729</v>
          </cell>
          <cell r="Y698">
            <v>312.88142843287403</v>
          </cell>
          <cell r="Z698">
            <v>294.72761523564384</v>
          </cell>
          <cell r="AA698">
            <v>275.90575419719443</v>
          </cell>
          <cell r="AB698">
            <v>256.41584531751374</v>
          </cell>
          <cell r="AC698">
            <v>236.25788859661193</v>
          </cell>
          <cell r="AD698">
            <v>220.10013455862031</v>
          </cell>
          <cell r="AE698">
            <v>203.70971525530618</v>
          </cell>
          <cell r="AF698">
            <v>187.08663068666874</v>
          </cell>
          <cell r="AG698">
            <v>170.2308808527084</v>
          </cell>
          <cell r="AH698">
            <v>153.14246575342568</v>
          </cell>
        </row>
        <row r="699">
          <cell r="B699" t="str">
            <v>e-methane liquefied (DAC) - OPEX - Global - USD/ton fuel</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row>
        <row r="700">
          <cell r="B700" t="str">
            <v>e-methane (DAC) - OPEX including feedstock OPEX - Global - USD/ton fuel</v>
          </cell>
          <cell r="G700">
            <v>643.94021017252567</v>
          </cell>
          <cell r="H700">
            <v>614.4731858655864</v>
          </cell>
          <cell r="I700">
            <v>583.98300615931566</v>
          </cell>
          <cell r="J700">
            <v>564.40018464072546</v>
          </cell>
          <cell r="K700">
            <v>543.1471427849159</v>
          </cell>
          <cell r="L700">
            <v>520.22388059188552</v>
          </cell>
          <cell r="M700">
            <v>495.63039806165585</v>
          </cell>
          <cell r="N700">
            <v>469.36669519420445</v>
          </cell>
          <cell r="O700">
            <v>463.0812777501564</v>
          </cell>
          <cell r="P700">
            <v>454.45682577898077</v>
          </cell>
          <cell r="Q700">
            <v>443.49333928068108</v>
          </cell>
          <cell r="R700">
            <v>430.19081825524682</v>
          </cell>
          <cell r="S700">
            <v>414.54926270268413</v>
          </cell>
          <cell r="T700">
            <v>400.49305970882392</v>
          </cell>
          <cell r="U700">
            <v>385.04675132051034</v>
          </cell>
          <cell r="V700">
            <v>368.21033753775606</v>
          </cell>
          <cell r="W700">
            <v>349.98381836054017</v>
          </cell>
          <cell r="X700">
            <v>330.3671937888729</v>
          </cell>
          <cell r="Y700">
            <v>312.88142843287403</v>
          </cell>
          <cell r="Z700">
            <v>294.72761523564384</v>
          </cell>
          <cell r="AA700">
            <v>275.90575419719443</v>
          </cell>
          <cell r="AB700">
            <v>256.41584531751374</v>
          </cell>
          <cell r="AC700">
            <v>236.25788859661193</v>
          </cell>
          <cell r="AD700">
            <v>220.10013455862031</v>
          </cell>
          <cell r="AE700">
            <v>203.70971525530618</v>
          </cell>
          <cell r="AF700">
            <v>187.08663068666874</v>
          </cell>
          <cell r="AG700">
            <v>170.2308808527084</v>
          </cell>
          <cell r="AH700">
            <v>153.14246575342568</v>
          </cell>
        </row>
        <row r="701">
          <cell r="B701" t="str">
            <v/>
          </cell>
        </row>
        <row r="702">
          <cell r="B702" t="str">
            <v>e-methane liquefied (DAC) - Finance cost including feedstock finance cost - Africa - USD/ton fuel</v>
          </cell>
          <cell r="G702">
            <v>559.90324914384962</v>
          </cell>
          <cell r="H702">
            <v>542.53079430865762</v>
          </cell>
          <cell r="I702">
            <v>524.95241408118648</v>
          </cell>
          <cell r="J702">
            <v>513.60715932172809</v>
          </cell>
          <cell r="K702">
            <v>501.87934113428435</v>
          </cell>
          <cell r="L702">
            <v>489.76895951886013</v>
          </cell>
          <cell r="M702">
            <v>477.276014475458</v>
          </cell>
          <cell r="N702">
            <v>464.40050600407022</v>
          </cell>
          <cell r="O702">
            <v>463.19405906732959</v>
          </cell>
          <cell r="P702">
            <v>461.0954349123075</v>
          </cell>
          <cell r="Q702">
            <v>458.10463353900116</v>
          </cell>
          <cell r="R702">
            <v>454.22165494740824</v>
          </cell>
          <cell r="S702">
            <v>449.44649913753392</v>
          </cell>
          <cell r="T702">
            <v>443.67939020378174</v>
          </cell>
          <cell r="U702">
            <v>437.17592489009638</v>
          </cell>
          <cell r="V702">
            <v>429.93610319648644</v>
          </cell>
          <cell r="W702">
            <v>421.95992512294259</v>
          </cell>
          <cell r="X702">
            <v>413.24739066946256</v>
          </cell>
          <cell r="Y702">
            <v>402.93755810086827</v>
          </cell>
          <cell r="Z702">
            <v>392.07210356477412</v>
          </cell>
          <cell r="AA702">
            <v>380.6510270611862</v>
          </cell>
          <cell r="AB702">
            <v>368.67432859010097</v>
          </cell>
          <cell r="AC702">
            <v>356.14200815151753</v>
          </cell>
          <cell r="AD702">
            <v>343.26023683426757</v>
          </cell>
          <cell r="AE702">
            <v>330.03092661619883</v>
          </cell>
          <cell r="AF702">
            <v>316.45407749731032</v>
          </cell>
          <cell r="AG702">
            <v>302.52968947760257</v>
          </cell>
          <cell r="AH702">
            <v>288.25776255707615</v>
          </cell>
        </row>
        <row r="703">
          <cell r="B703" t="str">
            <v>e-methane liquefied (DAC) - Finance cost including feedstock finance cost - Americas - USD/ton fuel</v>
          </cell>
          <cell r="G703">
            <v>559.90324914384962</v>
          </cell>
          <cell r="H703">
            <v>542.53079430865762</v>
          </cell>
          <cell r="I703">
            <v>524.95241408118648</v>
          </cell>
          <cell r="J703">
            <v>513.60715932172809</v>
          </cell>
          <cell r="K703">
            <v>501.87934113428435</v>
          </cell>
          <cell r="L703">
            <v>489.76895951886013</v>
          </cell>
          <cell r="M703">
            <v>477.276014475458</v>
          </cell>
          <cell r="N703">
            <v>464.40050600407022</v>
          </cell>
          <cell r="O703">
            <v>463.19405906732959</v>
          </cell>
          <cell r="P703">
            <v>461.0954349123075</v>
          </cell>
          <cell r="Q703">
            <v>458.10463353900116</v>
          </cell>
          <cell r="R703">
            <v>454.22165494740824</v>
          </cell>
          <cell r="S703">
            <v>449.44649913753392</v>
          </cell>
          <cell r="T703">
            <v>443.67939020378174</v>
          </cell>
          <cell r="U703">
            <v>437.17592489009638</v>
          </cell>
          <cell r="V703">
            <v>429.93610319648644</v>
          </cell>
          <cell r="W703">
            <v>421.95992512294259</v>
          </cell>
          <cell r="X703">
            <v>413.24739066946256</v>
          </cell>
          <cell r="Y703">
            <v>402.93755810086827</v>
          </cell>
          <cell r="Z703">
            <v>392.07210356477412</v>
          </cell>
          <cell r="AA703">
            <v>380.6510270611862</v>
          </cell>
          <cell r="AB703">
            <v>368.67432859010097</v>
          </cell>
          <cell r="AC703">
            <v>356.14200815151753</v>
          </cell>
          <cell r="AD703">
            <v>343.26023683426757</v>
          </cell>
          <cell r="AE703">
            <v>330.03092661619883</v>
          </cell>
          <cell r="AF703">
            <v>316.45407749731032</v>
          </cell>
          <cell r="AG703">
            <v>302.52968947760257</v>
          </cell>
          <cell r="AH703">
            <v>288.25776255707615</v>
          </cell>
        </row>
        <row r="704">
          <cell r="B704" t="str">
            <v>e-methane liquefied (DAC) - Finance cost including feedstock finance cost - Asia - USD/ton fuel</v>
          </cell>
          <cell r="G704">
            <v>559.90324914384962</v>
          </cell>
          <cell r="H704">
            <v>542.53079430865762</v>
          </cell>
          <cell r="I704">
            <v>524.95241408118648</v>
          </cell>
          <cell r="J704">
            <v>513.60715932172809</v>
          </cell>
          <cell r="K704">
            <v>501.87934113428435</v>
          </cell>
          <cell r="L704">
            <v>489.76895951886013</v>
          </cell>
          <cell r="M704">
            <v>477.276014475458</v>
          </cell>
          <cell r="N704">
            <v>464.40050600407022</v>
          </cell>
          <cell r="O704">
            <v>463.19405906732959</v>
          </cell>
          <cell r="P704">
            <v>461.0954349123075</v>
          </cell>
          <cell r="Q704">
            <v>458.10463353900116</v>
          </cell>
          <cell r="R704">
            <v>454.22165494740824</v>
          </cell>
          <cell r="S704">
            <v>449.44649913753392</v>
          </cell>
          <cell r="T704">
            <v>443.67939020378174</v>
          </cell>
          <cell r="U704">
            <v>437.17592489009638</v>
          </cell>
          <cell r="V704">
            <v>429.93610319648644</v>
          </cell>
          <cell r="W704">
            <v>421.95992512294259</v>
          </cell>
          <cell r="X704">
            <v>413.24739066946256</v>
          </cell>
          <cell r="Y704">
            <v>402.93755810086827</v>
          </cell>
          <cell r="Z704">
            <v>392.07210356477412</v>
          </cell>
          <cell r="AA704">
            <v>380.6510270611862</v>
          </cell>
          <cell r="AB704">
            <v>368.67432859010097</v>
          </cell>
          <cell r="AC704">
            <v>356.14200815151753</v>
          </cell>
          <cell r="AD704">
            <v>343.26023683426757</v>
          </cell>
          <cell r="AE704">
            <v>330.03092661619883</v>
          </cell>
          <cell r="AF704">
            <v>316.45407749731032</v>
          </cell>
          <cell r="AG704">
            <v>302.52968947760257</v>
          </cell>
          <cell r="AH704">
            <v>288.25776255707615</v>
          </cell>
        </row>
        <row r="705">
          <cell r="B705" t="str">
            <v>e-methane liquefied (DAC) - Finance cost including feedstock finance cost - Europe - USD/ton fuel</v>
          </cell>
          <cell r="G705">
            <v>559.90324914384962</v>
          </cell>
          <cell r="H705">
            <v>542.53079430865762</v>
          </cell>
          <cell r="I705">
            <v>524.95241408118648</v>
          </cell>
          <cell r="J705">
            <v>513.60715932172809</v>
          </cell>
          <cell r="K705">
            <v>501.87934113428435</v>
          </cell>
          <cell r="L705">
            <v>489.76895951886013</v>
          </cell>
          <cell r="M705">
            <v>477.276014475458</v>
          </cell>
          <cell r="N705">
            <v>464.40050600407022</v>
          </cell>
          <cell r="O705">
            <v>463.19405906732959</v>
          </cell>
          <cell r="P705">
            <v>461.0954349123075</v>
          </cell>
          <cell r="Q705">
            <v>458.10463353900116</v>
          </cell>
          <cell r="R705">
            <v>454.22165494740824</v>
          </cell>
          <cell r="S705">
            <v>449.44649913753392</v>
          </cell>
          <cell r="T705">
            <v>443.67939020378174</v>
          </cell>
          <cell r="U705">
            <v>437.17592489009638</v>
          </cell>
          <cell r="V705">
            <v>429.93610319648644</v>
          </cell>
          <cell r="W705">
            <v>421.95992512294259</v>
          </cell>
          <cell r="X705">
            <v>413.24739066946256</v>
          </cell>
          <cell r="Y705">
            <v>402.93755810086827</v>
          </cell>
          <cell r="Z705">
            <v>392.07210356477412</v>
          </cell>
          <cell r="AA705">
            <v>380.6510270611862</v>
          </cell>
          <cell r="AB705">
            <v>368.67432859010097</v>
          </cell>
          <cell r="AC705">
            <v>356.14200815151753</v>
          </cell>
          <cell r="AD705">
            <v>343.26023683426757</v>
          </cell>
          <cell r="AE705">
            <v>330.03092661619883</v>
          </cell>
          <cell r="AF705">
            <v>316.45407749731032</v>
          </cell>
          <cell r="AG705">
            <v>302.52968947760257</v>
          </cell>
          <cell r="AH705">
            <v>288.25776255707615</v>
          </cell>
        </row>
        <row r="706">
          <cell r="B706" t="str">
            <v>e-methane liquefied (DAC) - Finance cost including feedstock finance cost - Middle East - USD/ton fuel</v>
          </cell>
          <cell r="G706">
            <v>559.90324914384962</v>
          </cell>
          <cell r="H706">
            <v>542.53079430865762</v>
          </cell>
          <cell r="I706">
            <v>524.95241408118648</v>
          </cell>
          <cell r="J706">
            <v>513.60715932172809</v>
          </cell>
          <cell r="K706">
            <v>501.87934113428435</v>
          </cell>
          <cell r="L706">
            <v>489.76895951886013</v>
          </cell>
          <cell r="M706">
            <v>477.276014475458</v>
          </cell>
          <cell r="N706">
            <v>464.40050600407022</v>
          </cell>
          <cell r="O706">
            <v>463.19405906732959</v>
          </cell>
          <cell r="P706">
            <v>461.0954349123075</v>
          </cell>
          <cell r="Q706">
            <v>458.10463353900116</v>
          </cell>
          <cell r="R706">
            <v>454.22165494740824</v>
          </cell>
          <cell r="S706">
            <v>449.44649913753392</v>
          </cell>
          <cell r="T706">
            <v>443.67939020378174</v>
          </cell>
          <cell r="U706">
            <v>437.17592489009638</v>
          </cell>
          <cell r="V706">
            <v>429.93610319648644</v>
          </cell>
          <cell r="W706">
            <v>421.95992512294259</v>
          </cell>
          <cell r="X706">
            <v>413.24739066946256</v>
          </cell>
          <cell r="Y706">
            <v>402.93755810086827</v>
          </cell>
          <cell r="Z706">
            <v>392.07210356477412</v>
          </cell>
          <cell r="AA706">
            <v>380.6510270611862</v>
          </cell>
          <cell r="AB706">
            <v>368.67432859010097</v>
          </cell>
          <cell r="AC706">
            <v>356.14200815151753</v>
          </cell>
          <cell r="AD706">
            <v>343.26023683426757</v>
          </cell>
          <cell r="AE706">
            <v>330.03092661619883</v>
          </cell>
          <cell r="AF706">
            <v>316.45407749731032</v>
          </cell>
          <cell r="AG706">
            <v>302.52968947760257</v>
          </cell>
          <cell r="AH706">
            <v>288.25776255707615</v>
          </cell>
        </row>
        <row r="707">
          <cell r="B707" t="str">
            <v>e-methane liquefied (DAC) - Finance cost - Africa - USD/ton fuel</v>
          </cell>
          <cell r="G707">
            <v>124.92989464921065</v>
          </cell>
          <cell r="H707">
            <v>124.33994732460523</v>
          </cell>
          <cell r="I707">
            <v>123.75000000000001</v>
          </cell>
          <cell r="J707">
            <v>123.17378742556406</v>
          </cell>
          <cell r="K707">
            <v>122.5975748511281</v>
          </cell>
          <cell r="L707">
            <v>122.02136227669214</v>
          </cell>
          <cell r="M707">
            <v>121.44514970225619</v>
          </cell>
          <cell r="N707">
            <v>120.86893712782023</v>
          </cell>
          <cell r="O707">
            <v>120.30613954049301</v>
          </cell>
          <cell r="P707">
            <v>119.74334195316558</v>
          </cell>
          <cell r="Q707">
            <v>119.18054436583836</v>
          </cell>
          <cell r="R707">
            <v>118.61774677851093</v>
          </cell>
          <cell r="S707">
            <v>118.05494919118351</v>
          </cell>
          <cell r="T707">
            <v>117.50525427240908</v>
          </cell>
          <cell r="U707">
            <v>116.95555935363443</v>
          </cell>
          <cell r="V707">
            <v>116.40586443485979</v>
          </cell>
          <cell r="W707">
            <v>115.85616951608516</v>
          </cell>
          <cell r="X707">
            <v>115.30647459731071</v>
          </cell>
          <cell r="Y707">
            <v>114.76957729971993</v>
          </cell>
          <cell r="Z707">
            <v>114.23268000212934</v>
          </cell>
          <cell r="AA707">
            <v>113.69578270453856</v>
          </cell>
          <cell r="AB707">
            <v>113.15888540694777</v>
          </cell>
          <cell r="AC707">
            <v>112.62198810935699</v>
          </cell>
          <cell r="AD707">
            <v>112.09759048748559</v>
          </cell>
          <cell r="AE707">
            <v>111.5731928656142</v>
          </cell>
          <cell r="AF707">
            <v>111.0487952437428</v>
          </cell>
          <cell r="AG707">
            <v>110.52439762187142</v>
          </cell>
          <cell r="AH707">
            <v>110.00000000000001</v>
          </cell>
        </row>
        <row r="708">
          <cell r="B708" t="str">
            <v>e-methane liquefied (DAC) - Finance cost - Americas - USD/ton fuel</v>
          </cell>
          <cell r="G708">
            <v>124.92989464921065</v>
          </cell>
          <cell r="H708">
            <v>124.33994732460523</v>
          </cell>
          <cell r="I708">
            <v>123.75000000000001</v>
          </cell>
          <cell r="J708">
            <v>123.17378742556406</v>
          </cell>
          <cell r="K708">
            <v>122.5975748511281</v>
          </cell>
          <cell r="L708">
            <v>122.02136227669214</v>
          </cell>
          <cell r="M708">
            <v>121.44514970225619</v>
          </cell>
          <cell r="N708">
            <v>120.86893712782023</v>
          </cell>
          <cell r="O708">
            <v>120.30613954049301</v>
          </cell>
          <cell r="P708">
            <v>119.74334195316558</v>
          </cell>
          <cell r="Q708">
            <v>119.18054436583836</v>
          </cell>
          <cell r="R708">
            <v>118.61774677851093</v>
          </cell>
          <cell r="S708">
            <v>118.05494919118351</v>
          </cell>
          <cell r="T708">
            <v>117.50525427240908</v>
          </cell>
          <cell r="U708">
            <v>116.95555935363443</v>
          </cell>
          <cell r="V708">
            <v>116.40586443485979</v>
          </cell>
          <cell r="W708">
            <v>115.85616951608516</v>
          </cell>
          <cell r="X708">
            <v>115.30647459731071</v>
          </cell>
          <cell r="Y708">
            <v>114.76957729971993</v>
          </cell>
          <cell r="Z708">
            <v>114.23268000212934</v>
          </cell>
          <cell r="AA708">
            <v>113.69578270453856</v>
          </cell>
          <cell r="AB708">
            <v>113.15888540694777</v>
          </cell>
          <cell r="AC708">
            <v>112.62198810935699</v>
          </cell>
          <cell r="AD708">
            <v>112.09759048748559</v>
          </cell>
          <cell r="AE708">
            <v>111.5731928656142</v>
          </cell>
          <cell r="AF708">
            <v>111.0487952437428</v>
          </cell>
          <cell r="AG708">
            <v>110.52439762187142</v>
          </cell>
          <cell r="AH708">
            <v>110.00000000000001</v>
          </cell>
        </row>
        <row r="709">
          <cell r="B709" t="str">
            <v>e-methane liquefied (DAC) - Finance cost - Asia - USD/ton fuel</v>
          </cell>
          <cell r="G709">
            <v>124.92989464921065</v>
          </cell>
          <cell r="H709">
            <v>124.33994732460523</v>
          </cell>
          <cell r="I709">
            <v>123.75000000000001</v>
          </cell>
          <cell r="J709">
            <v>123.17378742556406</v>
          </cell>
          <cell r="K709">
            <v>122.5975748511281</v>
          </cell>
          <cell r="L709">
            <v>122.02136227669214</v>
          </cell>
          <cell r="M709">
            <v>121.44514970225619</v>
          </cell>
          <cell r="N709">
            <v>120.86893712782023</v>
          </cell>
          <cell r="O709">
            <v>120.30613954049301</v>
          </cell>
          <cell r="P709">
            <v>119.74334195316558</v>
          </cell>
          <cell r="Q709">
            <v>119.18054436583836</v>
          </cell>
          <cell r="R709">
            <v>118.61774677851093</v>
          </cell>
          <cell r="S709">
            <v>118.05494919118351</v>
          </cell>
          <cell r="T709">
            <v>117.50525427240908</v>
          </cell>
          <cell r="U709">
            <v>116.95555935363443</v>
          </cell>
          <cell r="V709">
            <v>116.40586443485979</v>
          </cell>
          <cell r="W709">
            <v>115.85616951608516</v>
          </cell>
          <cell r="X709">
            <v>115.30647459731071</v>
          </cell>
          <cell r="Y709">
            <v>114.76957729971993</v>
          </cell>
          <cell r="Z709">
            <v>114.23268000212934</v>
          </cell>
          <cell r="AA709">
            <v>113.69578270453856</v>
          </cell>
          <cell r="AB709">
            <v>113.15888540694777</v>
          </cell>
          <cell r="AC709">
            <v>112.62198810935699</v>
          </cell>
          <cell r="AD709">
            <v>112.09759048748559</v>
          </cell>
          <cell r="AE709">
            <v>111.5731928656142</v>
          </cell>
          <cell r="AF709">
            <v>111.0487952437428</v>
          </cell>
          <cell r="AG709">
            <v>110.52439762187142</v>
          </cell>
          <cell r="AH709">
            <v>110.00000000000001</v>
          </cell>
        </row>
        <row r="710">
          <cell r="B710" t="str">
            <v>e-methane liquefied (DAC) - Finance cost - Europe - USD/ton fuel</v>
          </cell>
          <cell r="G710">
            <v>124.92989464921065</v>
          </cell>
          <cell r="H710">
            <v>124.33994732460523</v>
          </cell>
          <cell r="I710">
            <v>123.75000000000001</v>
          </cell>
          <cell r="J710">
            <v>123.17378742556406</v>
          </cell>
          <cell r="K710">
            <v>122.5975748511281</v>
          </cell>
          <cell r="L710">
            <v>122.02136227669214</v>
          </cell>
          <cell r="M710">
            <v>121.44514970225619</v>
          </cell>
          <cell r="N710">
            <v>120.86893712782023</v>
          </cell>
          <cell r="O710">
            <v>120.30613954049301</v>
          </cell>
          <cell r="P710">
            <v>119.74334195316558</v>
          </cell>
          <cell r="Q710">
            <v>119.18054436583836</v>
          </cell>
          <cell r="R710">
            <v>118.61774677851093</v>
          </cell>
          <cell r="S710">
            <v>118.05494919118351</v>
          </cell>
          <cell r="T710">
            <v>117.50525427240908</v>
          </cell>
          <cell r="U710">
            <v>116.95555935363443</v>
          </cell>
          <cell r="V710">
            <v>116.40586443485979</v>
          </cell>
          <cell r="W710">
            <v>115.85616951608516</v>
          </cell>
          <cell r="X710">
            <v>115.30647459731071</v>
          </cell>
          <cell r="Y710">
            <v>114.76957729971993</v>
          </cell>
          <cell r="Z710">
            <v>114.23268000212934</v>
          </cell>
          <cell r="AA710">
            <v>113.69578270453856</v>
          </cell>
          <cell r="AB710">
            <v>113.15888540694777</v>
          </cell>
          <cell r="AC710">
            <v>112.62198810935699</v>
          </cell>
          <cell r="AD710">
            <v>112.09759048748559</v>
          </cell>
          <cell r="AE710">
            <v>111.5731928656142</v>
          </cell>
          <cell r="AF710">
            <v>111.0487952437428</v>
          </cell>
          <cell r="AG710">
            <v>110.52439762187142</v>
          </cell>
          <cell r="AH710">
            <v>110.00000000000001</v>
          </cell>
        </row>
        <row r="711">
          <cell r="B711" t="str">
            <v>e-methane liquefied (DAC) - Finance cost - Middle East - USD/ton fuel</v>
          </cell>
          <cell r="G711">
            <v>124.92989464921065</v>
          </cell>
          <cell r="H711">
            <v>124.33994732460523</v>
          </cell>
          <cell r="I711">
            <v>123.75000000000001</v>
          </cell>
          <cell r="J711">
            <v>123.17378742556406</v>
          </cell>
          <cell r="K711">
            <v>122.5975748511281</v>
          </cell>
          <cell r="L711">
            <v>122.02136227669214</v>
          </cell>
          <cell r="M711">
            <v>121.44514970225619</v>
          </cell>
          <cell r="N711">
            <v>120.86893712782023</v>
          </cell>
          <cell r="O711">
            <v>120.30613954049301</v>
          </cell>
          <cell r="P711">
            <v>119.74334195316558</v>
          </cell>
          <cell r="Q711">
            <v>119.18054436583836</v>
          </cell>
          <cell r="R711">
            <v>118.61774677851093</v>
          </cell>
          <cell r="S711">
            <v>118.05494919118351</v>
          </cell>
          <cell r="T711">
            <v>117.50525427240908</v>
          </cell>
          <cell r="U711">
            <v>116.95555935363443</v>
          </cell>
          <cell r="V711">
            <v>116.40586443485979</v>
          </cell>
          <cell r="W711">
            <v>115.85616951608516</v>
          </cell>
          <cell r="X711">
            <v>115.30647459731071</v>
          </cell>
          <cell r="Y711">
            <v>114.76957729971993</v>
          </cell>
          <cell r="Z711">
            <v>114.23268000212934</v>
          </cell>
          <cell r="AA711">
            <v>113.69578270453856</v>
          </cell>
          <cell r="AB711">
            <v>113.15888540694777</v>
          </cell>
          <cell r="AC711">
            <v>112.62198810935699</v>
          </cell>
          <cell r="AD711">
            <v>112.09759048748559</v>
          </cell>
          <cell r="AE711">
            <v>111.5731928656142</v>
          </cell>
          <cell r="AF711">
            <v>111.0487952437428</v>
          </cell>
          <cell r="AG711">
            <v>110.52439762187142</v>
          </cell>
          <cell r="AH711">
            <v>110.00000000000001</v>
          </cell>
        </row>
        <row r="712">
          <cell r="B712" t="str">
            <v>e-methane (DAC) - Finance cost including feedstock finance cost - Africa - USD/ton fuel</v>
          </cell>
          <cell r="G712">
            <v>434.97335449463901</v>
          </cell>
          <cell r="H712">
            <v>418.19084698405243</v>
          </cell>
          <cell r="I712">
            <v>401.20241408118642</v>
          </cell>
          <cell r="J712">
            <v>390.43337189616403</v>
          </cell>
          <cell r="K712">
            <v>379.28176628315623</v>
          </cell>
          <cell r="L712">
            <v>367.74759724216801</v>
          </cell>
          <cell r="M712">
            <v>355.83086477320182</v>
          </cell>
          <cell r="N712">
            <v>343.53156887624999</v>
          </cell>
          <cell r="O712">
            <v>342.88791952683658</v>
          </cell>
          <cell r="P712">
            <v>341.35209295914194</v>
          </cell>
          <cell r="Q712">
            <v>338.92408917316277</v>
          </cell>
          <cell r="R712">
            <v>335.60390816889731</v>
          </cell>
          <cell r="S712">
            <v>331.39154994635038</v>
          </cell>
          <cell r="T712">
            <v>326.17413593137269</v>
          </cell>
          <cell r="U712">
            <v>320.22036553646194</v>
          </cell>
          <cell r="V712">
            <v>313.53023876162666</v>
          </cell>
          <cell r="W712">
            <v>306.10375560685742</v>
          </cell>
          <cell r="X712">
            <v>297.94091607215188</v>
          </cell>
          <cell r="Y712">
            <v>288.16798080114836</v>
          </cell>
          <cell r="Z712">
            <v>277.83942356264475</v>
          </cell>
          <cell r="AA712">
            <v>266.95524435664765</v>
          </cell>
          <cell r="AB712">
            <v>255.5154431831532</v>
          </cell>
          <cell r="AC712">
            <v>243.52002004216055</v>
          </cell>
          <cell r="AD712">
            <v>231.162646346782</v>
          </cell>
          <cell r="AE712">
            <v>218.45773375058465</v>
          </cell>
          <cell r="AF712">
            <v>205.40528225356755</v>
          </cell>
          <cell r="AG712">
            <v>192.00529185573114</v>
          </cell>
          <cell r="AH712">
            <v>178.25776255707615</v>
          </cell>
        </row>
        <row r="713">
          <cell r="B713" t="str">
            <v>e-methane (DAC) - Finance cost including feedstock finance cost - Americas - USD/ton fuel</v>
          </cell>
          <cell r="G713">
            <v>434.97335449463901</v>
          </cell>
          <cell r="H713">
            <v>418.19084698405243</v>
          </cell>
          <cell r="I713">
            <v>401.20241408118642</v>
          </cell>
          <cell r="J713">
            <v>390.43337189616403</v>
          </cell>
          <cell r="K713">
            <v>379.28176628315623</v>
          </cell>
          <cell r="L713">
            <v>367.74759724216801</v>
          </cell>
          <cell r="M713">
            <v>355.83086477320182</v>
          </cell>
          <cell r="N713">
            <v>343.53156887624999</v>
          </cell>
          <cell r="O713">
            <v>342.88791952683658</v>
          </cell>
          <cell r="P713">
            <v>341.35209295914194</v>
          </cell>
          <cell r="Q713">
            <v>338.92408917316277</v>
          </cell>
          <cell r="R713">
            <v>335.60390816889731</v>
          </cell>
          <cell r="S713">
            <v>331.39154994635038</v>
          </cell>
          <cell r="T713">
            <v>326.17413593137269</v>
          </cell>
          <cell r="U713">
            <v>320.22036553646194</v>
          </cell>
          <cell r="V713">
            <v>313.53023876162666</v>
          </cell>
          <cell r="W713">
            <v>306.10375560685742</v>
          </cell>
          <cell r="X713">
            <v>297.94091607215188</v>
          </cell>
          <cell r="Y713">
            <v>288.16798080114836</v>
          </cell>
          <cell r="Z713">
            <v>277.83942356264475</v>
          </cell>
          <cell r="AA713">
            <v>266.95524435664765</v>
          </cell>
          <cell r="AB713">
            <v>255.5154431831532</v>
          </cell>
          <cell r="AC713">
            <v>243.52002004216055</v>
          </cell>
          <cell r="AD713">
            <v>231.162646346782</v>
          </cell>
          <cell r="AE713">
            <v>218.45773375058465</v>
          </cell>
          <cell r="AF713">
            <v>205.40528225356755</v>
          </cell>
          <cell r="AG713">
            <v>192.00529185573114</v>
          </cell>
          <cell r="AH713">
            <v>178.25776255707615</v>
          </cell>
        </row>
        <row r="714">
          <cell r="B714" t="str">
            <v>e-methane (DAC) - Finance cost including feedstock finance cost - Asia - USD/ton fuel</v>
          </cell>
          <cell r="G714">
            <v>434.97335449463901</v>
          </cell>
          <cell r="H714">
            <v>418.19084698405243</v>
          </cell>
          <cell r="I714">
            <v>401.20241408118642</v>
          </cell>
          <cell r="J714">
            <v>390.43337189616403</v>
          </cell>
          <cell r="K714">
            <v>379.28176628315623</v>
          </cell>
          <cell r="L714">
            <v>367.74759724216801</v>
          </cell>
          <cell r="M714">
            <v>355.83086477320182</v>
          </cell>
          <cell r="N714">
            <v>343.53156887624999</v>
          </cell>
          <cell r="O714">
            <v>342.88791952683658</v>
          </cell>
          <cell r="P714">
            <v>341.35209295914194</v>
          </cell>
          <cell r="Q714">
            <v>338.92408917316277</v>
          </cell>
          <cell r="R714">
            <v>335.60390816889731</v>
          </cell>
          <cell r="S714">
            <v>331.39154994635038</v>
          </cell>
          <cell r="T714">
            <v>326.17413593137269</v>
          </cell>
          <cell r="U714">
            <v>320.22036553646194</v>
          </cell>
          <cell r="V714">
            <v>313.53023876162666</v>
          </cell>
          <cell r="W714">
            <v>306.10375560685742</v>
          </cell>
          <cell r="X714">
            <v>297.94091607215188</v>
          </cell>
          <cell r="Y714">
            <v>288.16798080114836</v>
          </cell>
          <cell r="Z714">
            <v>277.83942356264475</v>
          </cell>
          <cell r="AA714">
            <v>266.95524435664765</v>
          </cell>
          <cell r="AB714">
            <v>255.5154431831532</v>
          </cell>
          <cell r="AC714">
            <v>243.52002004216055</v>
          </cell>
          <cell r="AD714">
            <v>231.162646346782</v>
          </cell>
          <cell r="AE714">
            <v>218.45773375058465</v>
          </cell>
          <cell r="AF714">
            <v>205.40528225356755</v>
          </cell>
          <cell r="AG714">
            <v>192.00529185573114</v>
          </cell>
          <cell r="AH714">
            <v>178.25776255707615</v>
          </cell>
        </row>
        <row r="715">
          <cell r="B715" t="str">
            <v>e-methane (DAC) - Finance cost including feedstock finance cost - Europe - USD/ton fuel</v>
          </cell>
          <cell r="G715">
            <v>434.97335449463901</v>
          </cell>
          <cell r="H715">
            <v>418.19084698405243</v>
          </cell>
          <cell r="I715">
            <v>401.20241408118642</v>
          </cell>
          <cell r="J715">
            <v>390.43337189616403</v>
          </cell>
          <cell r="K715">
            <v>379.28176628315623</v>
          </cell>
          <cell r="L715">
            <v>367.74759724216801</v>
          </cell>
          <cell r="M715">
            <v>355.83086477320182</v>
          </cell>
          <cell r="N715">
            <v>343.53156887624999</v>
          </cell>
          <cell r="O715">
            <v>342.88791952683658</v>
          </cell>
          <cell r="P715">
            <v>341.35209295914194</v>
          </cell>
          <cell r="Q715">
            <v>338.92408917316277</v>
          </cell>
          <cell r="R715">
            <v>335.60390816889731</v>
          </cell>
          <cell r="S715">
            <v>331.39154994635038</v>
          </cell>
          <cell r="T715">
            <v>326.17413593137269</v>
          </cell>
          <cell r="U715">
            <v>320.22036553646194</v>
          </cell>
          <cell r="V715">
            <v>313.53023876162666</v>
          </cell>
          <cell r="W715">
            <v>306.10375560685742</v>
          </cell>
          <cell r="X715">
            <v>297.94091607215188</v>
          </cell>
          <cell r="Y715">
            <v>288.16798080114836</v>
          </cell>
          <cell r="Z715">
            <v>277.83942356264475</v>
          </cell>
          <cell r="AA715">
            <v>266.95524435664765</v>
          </cell>
          <cell r="AB715">
            <v>255.5154431831532</v>
          </cell>
          <cell r="AC715">
            <v>243.52002004216055</v>
          </cell>
          <cell r="AD715">
            <v>231.162646346782</v>
          </cell>
          <cell r="AE715">
            <v>218.45773375058465</v>
          </cell>
          <cell r="AF715">
            <v>205.40528225356755</v>
          </cell>
          <cell r="AG715">
            <v>192.00529185573114</v>
          </cell>
          <cell r="AH715">
            <v>178.25776255707615</v>
          </cell>
        </row>
        <row r="716">
          <cell r="B716" t="str">
            <v>e-methane (DAC) - Finance cost including feedstock finance cost - Middle East - USD/ton fuel</v>
          </cell>
          <cell r="G716">
            <v>434.97335449463901</v>
          </cell>
          <cell r="H716">
            <v>418.19084698405243</v>
          </cell>
          <cell r="I716">
            <v>401.20241408118642</v>
          </cell>
          <cell r="J716">
            <v>390.43337189616403</v>
          </cell>
          <cell r="K716">
            <v>379.28176628315623</v>
          </cell>
          <cell r="L716">
            <v>367.74759724216801</v>
          </cell>
          <cell r="M716">
            <v>355.83086477320182</v>
          </cell>
          <cell r="N716">
            <v>343.53156887624999</v>
          </cell>
          <cell r="O716">
            <v>342.88791952683658</v>
          </cell>
          <cell r="P716">
            <v>341.35209295914194</v>
          </cell>
          <cell r="Q716">
            <v>338.92408917316277</v>
          </cell>
          <cell r="R716">
            <v>335.60390816889731</v>
          </cell>
          <cell r="S716">
            <v>331.39154994635038</v>
          </cell>
          <cell r="T716">
            <v>326.17413593137269</v>
          </cell>
          <cell r="U716">
            <v>320.22036553646194</v>
          </cell>
          <cell r="V716">
            <v>313.53023876162666</v>
          </cell>
          <cell r="W716">
            <v>306.10375560685742</v>
          </cell>
          <cell r="X716">
            <v>297.94091607215188</v>
          </cell>
          <cell r="Y716">
            <v>288.16798080114836</v>
          </cell>
          <cell r="Z716">
            <v>277.83942356264475</v>
          </cell>
          <cell r="AA716">
            <v>266.95524435664765</v>
          </cell>
          <cell r="AB716">
            <v>255.5154431831532</v>
          </cell>
          <cell r="AC716">
            <v>243.52002004216055</v>
          </cell>
          <cell r="AD716">
            <v>231.162646346782</v>
          </cell>
          <cell r="AE716">
            <v>218.45773375058465</v>
          </cell>
          <cell r="AF716">
            <v>205.40528225356755</v>
          </cell>
          <cell r="AG716">
            <v>192.00529185573114</v>
          </cell>
          <cell r="AH716">
            <v>178.25776255707615</v>
          </cell>
        </row>
        <row r="717">
          <cell r="B717" t="str">
            <v/>
          </cell>
        </row>
        <row r="718">
          <cell r="B718" t="str">
            <v>e-methane liquefied (DAC) - Energy cost including feedstock energy cost - Africa - USD/ton fuel</v>
          </cell>
          <cell r="G718">
            <v>2100.9453906364402</v>
          </cell>
          <cell r="H718">
            <v>1847.1256662618059</v>
          </cell>
          <cell r="I718">
            <v>1594.961244520681</v>
          </cell>
          <cell r="J718">
            <v>1520.1403303026891</v>
          </cell>
          <cell r="K718">
            <v>1445.5418998697673</v>
          </cell>
          <cell r="L718">
            <v>1371.2173466428449</v>
          </cell>
          <cell r="M718">
            <v>1297.2180640428701</v>
          </cell>
          <cell r="N718">
            <v>1223.5954454907896</v>
          </cell>
          <cell r="O718">
            <v>1177.3375189851813</v>
          </cell>
          <cell r="P718">
            <v>1131.3636527349006</v>
          </cell>
          <cell r="Q718">
            <v>1085.7015285581685</v>
          </cell>
          <cell r="R718">
            <v>1040.3788282732573</v>
          </cell>
          <cell r="S718">
            <v>995.42323369843416</v>
          </cell>
          <cell r="T718">
            <v>969.73015562339572</v>
          </cell>
          <cell r="U718">
            <v>944.17012270616726</v>
          </cell>
          <cell r="V718">
            <v>918.7521676292389</v>
          </cell>
          <cell r="W718">
            <v>893.48532307505309</v>
          </cell>
          <cell r="X718">
            <v>868.37862172609721</v>
          </cell>
          <cell r="Y718">
            <v>841.41796179141488</v>
          </cell>
          <cell r="Z718">
            <v>814.95280421220775</v>
          </cell>
          <cell r="AA718">
            <v>788.97786691924966</v>
          </cell>
          <cell r="AB718">
            <v>763.48786784330457</v>
          </cell>
          <cell r="AC718">
            <v>738.47752491513643</v>
          </cell>
          <cell r="AD718">
            <v>722.95145714230182</v>
          </cell>
          <cell r="AE718">
            <v>707.69607621500666</v>
          </cell>
          <cell r="AF718">
            <v>692.70805365709953</v>
          </cell>
          <cell r="AG718">
            <v>677.98406099244266</v>
          </cell>
          <cell r="AH718">
            <v>663.52076974489853</v>
          </cell>
        </row>
        <row r="719">
          <cell r="B719" t="str">
            <v>e-methane liquefied (DAC) - Energy cost including feedstock energy cost - Americas - USD/ton fuel</v>
          </cell>
          <cell r="G719">
            <v>1320.0552511841179</v>
          </cell>
          <cell r="H719">
            <v>1287.7597408080737</v>
          </cell>
          <cell r="I719">
            <v>1255.4870243811597</v>
          </cell>
          <cell r="J719">
            <v>1204.4213380665528</v>
          </cell>
          <cell r="K719">
            <v>1153.45899111774</v>
          </cell>
          <cell r="L719">
            <v>1102.6345152102454</v>
          </cell>
          <cell r="M719">
            <v>1051.9824420196383</v>
          </cell>
          <cell r="N719">
            <v>1001.5373032213996</v>
          </cell>
          <cell r="O719">
            <v>972.50029418287579</v>
          </cell>
          <cell r="P719">
            <v>943.55515293040082</v>
          </cell>
          <cell r="Q719">
            <v>914.71791417720431</v>
          </cell>
          <cell r="R719">
            <v>886.00461263651823</v>
          </cell>
          <cell r="S719">
            <v>857.43128302160414</v>
          </cell>
          <cell r="T719">
            <v>833.03444940119959</v>
          </cell>
          <cell r="U719">
            <v>808.79466974340539</v>
          </cell>
          <cell r="V719">
            <v>784.72095507064307</v>
          </cell>
          <cell r="W719">
            <v>760.82231640529437</v>
          </cell>
          <cell r="X719">
            <v>737.10776476976457</v>
          </cell>
          <cell r="Y719">
            <v>721.65927724246274</v>
          </cell>
          <cell r="Z719">
            <v>706.44704865425479</v>
          </cell>
          <cell r="AA719">
            <v>691.46901449643269</v>
          </cell>
          <cell r="AB719">
            <v>676.72311026025659</v>
          </cell>
          <cell r="AC719">
            <v>662.20727143701367</v>
          </cell>
          <cell r="AD719">
            <v>650.50371145740723</v>
          </cell>
          <cell r="AE719">
            <v>638.99476043978632</v>
          </cell>
          <cell r="AF719">
            <v>627.678418760196</v>
          </cell>
          <cell r="AG719">
            <v>616.55268679468543</v>
          </cell>
          <cell r="AH719">
            <v>605.61556491930332</v>
          </cell>
        </row>
        <row r="720">
          <cell r="B720" t="str">
            <v>e-methane liquefied (DAC) - Energy cost including feedstock energy cost - Asia - USD/ton fuel</v>
          </cell>
          <cell r="G720">
            <v>2336.6879868925616</v>
          </cell>
          <cell r="H720">
            <v>2123.1771836834582</v>
          </cell>
          <cell r="I720">
            <v>1910.9572178040059</v>
          </cell>
          <cell r="J720">
            <v>1829.9538587189704</v>
          </cell>
          <cell r="K720">
            <v>1749.1378364064128</v>
          </cell>
          <cell r="L720">
            <v>1668.5641898980668</v>
          </cell>
          <cell r="M720">
            <v>1588.2879582258063</v>
          </cell>
          <cell r="N720">
            <v>1508.3641804214426</v>
          </cell>
          <cell r="O720">
            <v>1448.7110963987764</v>
          </cell>
          <cell r="P720">
            <v>1389.4500828927983</v>
          </cell>
          <cell r="Q720">
            <v>1330.6172374242608</v>
          </cell>
          <cell r="R720">
            <v>1272.2486575138896</v>
          </cell>
          <cell r="S720">
            <v>1214.3804406825059</v>
          </cell>
          <cell r="T720">
            <v>1179.8991890347947</v>
          </cell>
          <cell r="U720">
            <v>1145.6390238527913</v>
          </cell>
          <cell r="V720">
            <v>1111.6126683468615</v>
          </cell>
          <cell r="W720">
            <v>1077.8328457272762</v>
          </cell>
          <cell r="X720">
            <v>1044.3122792043944</v>
          </cell>
          <cell r="Y720">
            <v>1008.1342624058568</v>
          </cell>
          <cell r="Z720">
            <v>972.64521943243608</v>
          </cell>
          <cell r="AA720">
            <v>937.83757654596411</v>
          </cell>
          <cell r="AB720">
            <v>903.70376000826479</v>
          </cell>
          <cell r="AC720">
            <v>870.2361960811636</v>
          </cell>
          <cell r="AD720">
            <v>850.73094621223993</v>
          </cell>
          <cell r="AE720">
            <v>831.57089837553849</v>
          </cell>
          <cell r="AF720">
            <v>812.75159349487672</v>
          </cell>
          <cell r="AG720">
            <v>794.2685724940668</v>
          </cell>
          <cell r="AH720">
            <v>776.11737629692027</v>
          </cell>
        </row>
        <row r="721">
          <cell r="B721" t="str">
            <v>e-methane liquefied (DAC) - Energy cost including feedstock energy cost - Europe - USD/ton fuel</v>
          </cell>
          <cell r="G721">
            <v>1739.5376347149534</v>
          </cell>
          <cell r="H721">
            <v>1658.1788455497456</v>
          </cell>
          <cell r="I721">
            <v>1577.1604344013147</v>
          </cell>
          <cell r="J721">
            <v>1510.5116268250276</v>
          </cell>
          <cell r="K721">
            <v>1444.0155508877021</v>
          </cell>
          <cell r="L721">
            <v>1377.7174763901778</v>
          </cell>
          <cell r="M721">
            <v>1311.6626731332665</v>
          </cell>
          <cell r="N721">
            <v>1245.8964109177925</v>
          </cell>
          <cell r="O721">
            <v>1212.1693864791723</v>
          </cell>
          <cell r="P721">
            <v>1178.518487346101</v>
          </cell>
          <cell r="Q721">
            <v>1144.9618634778119</v>
          </cell>
          <cell r="R721">
            <v>1111.5176648335801</v>
          </cell>
          <cell r="S721">
            <v>1078.2040413727225</v>
          </cell>
          <cell r="T721">
            <v>1054.5562308979813</v>
          </cell>
          <cell r="U721">
            <v>1030.9741657687835</v>
          </cell>
          <cell r="V721">
            <v>1007.4653584084963</v>
          </cell>
          <cell r="W721">
            <v>984.03732124042585</v>
          </cell>
          <cell r="X721">
            <v>960.69756668791717</v>
          </cell>
          <cell r="Y721">
            <v>934.78419041446432</v>
          </cell>
          <cell r="Z721">
            <v>909.3219852447445</v>
          </cell>
          <cell r="AA721">
            <v>884.30638061007642</v>
          </cell>
          <cell r="AB721">
            <v>859.73280594173013</v>
          </cell>
          <cell r="AC721">
            <v>835.59669067101743</v>
          </cell>
          <cell r="AD721">
            <v>816.8683753303776</v>
          </cell>
          <cell r="AE721">
            <v>798.47150978143372</v>
          </cell>
          <cell r="AF721">
            <v>780.40181267714513</v>
          </cell>
          <cell r="AG721">
            <v>762.65500267046525</v>
          </cell>
          <cell r="AH721">
            <v>745.2267984143474</v>
          </cell>
        </row>
        <row r="722">
          <cell r="B722" t="str">
            <v>e-methane liquefied (DAC) - Energy cost including feedstock energy cost - Middle East - USD/ton fuel</v>
          </cell>
          <cell r="G722">
            <v>1332.0418025519969</v>
          </cell>
          <cell r="H722">
            <v>1268.3777660987134</v>
          </cell>
          <cell r="I722">
            <v>1204.9852818590307</v>
          </cell>
          <cell r="J722">
            <v>1161.3410973649884</v>
          </cell>
          <cell r="K722">
            <v>1117.7468850065609</v>
          </cell>
          <cell r="L722">
            <v>1074.2317273225765</v>
          </cell>
          <cell r="M722">
            <v>1030.824706851892</v>
          </cell>
          <cell r="N722">
            <v>987.55490613332427</v>
          </cell>
          <cell r="O722">
            <v>953.62433428401221</v>
          </cell>
          <cell r="P722">
            <v>919.86878544874412</v>
          </cell>
          <cell r="Q722">
            <v>886.30804702485227</v>
          </cell>
          <cell r="R722">
            <v>852.96190640970292</v>
          </cell>
          <cell r="S722">
            <v>819.85015100067062</v>
          </cell>
          <cell r="T722">
            <v>799.72274868945431</v>
          </cell>
          <cell r="U722">
            <v>779.68555065360897</v>
          </cell>
          <cell r="V722">
            <v>759.745434811113</v>
          </cell>
          <cell r="W722">
            <v>739.90927907988475</v>
          </cell>
          <cell r="X722">
            <v>720.18396137788818</v>
          </cell>
          <cell r="Y722">
            <v>695.52241001640436</v>
          </cell>
          <cell r="Z722">
            <v>671.32886031816645</v>
          </cell>
          <cell r="AA722">
            <v>647.59818283603533</v>
          </cell>
          <cell r="AB722">
            <v>624.32524812286215</v>
          </cell>
          <cell r="AC722">
            <v>601.50492673150154</v>
          </cell>
          <cell r="AD722">
            <v>588.02276339502214</v>
          </cell>
          <cell r="AE722">
            <v>574.77920683125092</v>
          </cell>
          <cell r="AF722">
            <v>561.77117485570182</v>
          </cell>
          <cell r="AG722">
            <v>548.99558528389628</v>
          </cell>
          <cell r="AH722">
            <v>536.44935593135585</v>
          </cell>
        </row>
        <row r="723">
          <cell r="B723" t="str">
            <v>e-methane liquefied (DAC) - Energy cost - Africa - USD/ton fuel</v>
          </cell>
          <cell r="G723">
            <v>35.033884158308503</v>
          </cell>
          <cell r="H723">
            <v>30.919977747395748</v>
          </cell>
          <cell r="I723">
            <v>26.80607133648191</v>
          </cell>
          <cell r="J723">
            <v>25.65925481102331</v>
          </cell>
          <cell r="K723">
            <v>24.512438285564713</v>
          </cell>
          <cell r="L723">
            <v>23.365621760106112</v>
          </cell>
          <cell r="M723">
            <v>22.218805234647242</v>
          </cell>
          <cell r="N723">
            <v>21.071988709188645</v>
          </cell>
          <cell r="O723">
            <v>20.431834259056178</v>
          </cell>
          <cell r="P723">
            <v>19.791679808923707</v>
          </cell>
          <cell r="Q723">
            <v>19.151525358790966</v>
          </cell>
          <cell r="R723">
            <v>18.511370908658499</v>
          </cell>
          <cell r="S723">
            <v>17.871216458526099</v>
          </cell>
          <cell r="T723">
            <v>17.569906277941822</v>
          </cell>
          <cell r="U723">
            <v>17.268596097357612</v>
          </cell>
          <cell r="V723">
            <v>16.967285916773335</v>
          </cell>
          <cell r="W723">
            <v>16.665975736189058</v>
          </cell>
          <cell r="X723">
            <v>16.364665555604915</v>
          </cell>
          <cell r="Y723">
            <v>16.054836989607747</v>
          </cell>
          <cell r="Z723">
            <v>15.745008423610578</v>
          </cell>
          <cell r="AA723">
            <v>15.435179857613274</v>
          </cell>
          <cell r="AB723">
            <v>15.125351291616106</v>
          </cell>
          <cell r="AC723">
            <v>14.81552272561887</v>
          </cell>
          <cell r="AD723">
            <v>14.663450567763833</v>
          </cell>
          <cell r="AE723">
            <v>14.511378409908865</v>
          </cell>
          <cell r="AF723">
            <v>14.359306252053829</v>
          </cell>
          <cell r="AG723">
            <v>14.207234094198792</v>
          </cell>
          <cell r="AH723">
            <v>14.055161936343824</v>
          </cell>
        </row>
        <row r="724">
          <cell r="B724" t="str">
            <v>e-methane liquefied (DAC) - Energy cost - Americas - USD/ton fuel</v>
          </cell>
          <cell r="G724">
            <v>22.012310723860217</v>
          </cell>
          <cell r="H724">
            <v>21.556466491183574</v>
          </cell>
          <cell r="I724">
            <v>21.100622258506792</v>
          </cell>
          <cell r="J724">
            <v>20.33006650585321</v>
          </cell>
          <cell r="K724">
            <v>19.559510753199628</v>
          </cell>
          <cell r="L724">
            <v>18.788955000546046</v>
          </cell>
          <cell r="M724">
            <v>18.018399247892738</v>
          </cell>
          <cell r="N724">
            <v>17.247843495239156</v>
          </cell>
          <cell r="O724">
            <v>16.877033567022497</v>
          </cell>
          <cell r="P724">
            <v>16.506223638805839</v>
          </cell>
          <cell r="Q724">
            <v>16.13541371058918</v>
          </cell>
          <cell r="R724">
            <v>15.764603782372523</v>
          </cell>
          <cell r="S724">
            <v>15.393793854155795</v>
          </cell>
          <cell r="T724">
            <v>15.093206205252955</v>
          </cell>
          <cell r="U724">
            <v>14.792618556350112</v>
          </cell>
          <cell r="V724">
            <v>14.492030907447202</v>
          </cell>
          <cell r="W724">
            <v>14.191443258544359</v>
          </cell>
          <cell r="X724">
            <v>13.890855609641482</v>
          </cell>
          <cell r="Y724">
            <v>13.769758412927786</v>
          </cell>
          <cell r="Z724">
            <v>13.648661216214089</v>
          </cell>
          <cell r="AA724">
            <v>13.527564019500426</v>
          </cell>
          <cell r="AB724">
            <v>13.406466822786728</v>
          </cell>
          <cell r="AC724">
            <v>13.285369626073031</v>
          </cell>
          <cell r="AD724">
            <v>13.194010362475922</v>
          </cell>
          <cell r="AE724">
            <v>13.102651098878846</v>
          </cell>
          <cell r="AF724">
            <v>13.011291835281769</v>
          </cell>
          <cell r="AG724">
            <v>12.919932571684694</v>
          </cell>
          <cell r="AH724">
            <v>12.828573308087618</v>
          </cell>
        </row>
        <row r="725">
          <cell r="B725" t="str">
            <v>e-methane liquefied (DAC) - Energy cost - Asia - USD/ton fuel</v>
          </cell>
          <cell r="G725">
            <v>38.96496149388549</v>
          </cell>
          <cell r="H725">
            <v>35.540944762101567</v>
          </cell>
          <cell r="I725">
            <v>32.116928030319286</v>
          </cell>
          <cell r="J725">
            <v>30.888761660534144</v>
          </cell>
          <cell r="K725">
            <v>29.660595290749551</v>
          </cell>
          <cell r="L725">
            <v>28.432428920964412</v>
          </cell>
          <cell r="M725">
            <v>27.204262551179273</v>
          </cell>
          <cell r="N725">
            <v>25.976096181394677</v>
          </cell>
          <cell r="O725">
            <v>25.141324839787011</v>
          </cell>
          <cell r="P725">
            <v>24.306553498179618</v>
          </cell>
          <cell r="Q725">
            <v>23.471782156572498</v>
          </cell>
          <cell r="R725">
            <v>22.637010814965105</v>
          </cell>
          <cell r="S725">
            <v>21.802239473357712</v>
          </cell>
          <cell r="T725">
            <v>21.37782149863542</v>
          </cell>
          <cell r="U725">
            <v>20.953403523913128</v>
          </cell>
          <cell r="V725">
            <v>20.528985549190974</v>
          </cell>
          <cell r="W725">
            <v>20.104567574468682</v>
          </cell>
          <cell r="X725">
            <v>19.680149599746663</v>
          </cell>
          <cell r="Y725">
            <v>19.235899376458519</v>
          </cell>
          <cell r="Z725">
            <v>18.791649153170511</v>
          </cell>
          <cell r="AA725">
            <v>18.347398929882363</v>
          </cell>
          <cell r="AB725">
            <v>17.903148706594354</v>
          </cell>
          <cell r="AC725">
            <v>17.458898483306211</v>
          </cell>
          <cell r="AD725">
            <v>17.255171219323916</v>
          </cell>
          <cell r="AE725">
            <v>17.051443955341551</v>
          </cell>
          <cell r="AF725">
            <v>16.847716691359256</v>
          </cell>
          <cell r="AG725">
            <v>16.643989427376958</v>
          </cell>
          <cell r="AH725">
            <v>16.440262163394596</v>
          </cell>
        </row>
        <row r="726">
          <cell r="B726" t="str">
            <v>e-methane liquefied (DAC) - Energy cost - Europe - USD/ton fuel</v>
          </cell>
          <cell r="G726">
            <v>29.007303214654346</v>
          </cell>
          <cell r="H726">
            <v>27.757100635909591</v>
          </cell>
          <cell r="I726">
            <v>26.506898057164836</v>
          </cell>
          <cell r="J726">
            <v>25.49672681863467</v>
          </cell>
          <cell r="K726">
            <v>24.486555580104231</v>
          </cell>
          <cell r="L726">
            <v>23.476384341574065</v>
          </cell>
          <cell r="M726">
            <v>22.466213103043629</v>
          </cell>
          <cell r="N726">
            <v>21.456041864513463</v>
          </cell>
          <cell r="O726">
            <v>21.036315923909658</v>
          </cell>
          <cell r="P726">
            <v>20.616589983306266</v>
          </cell>
          <cell r="Q726">
            <v>20.196864042702735</v>
          </cell>
          <cell r="R726">
            <v>19.777138102099205</v>
          </cell>
          <cell r="S726">
            <v>19.357412161495812</v>
          </cell>
          <cell r="T726">
            <v>19.106814441370034</v>
          </cell>
          <cell r="U726">
            <v>18.856216721244323</v>
          </cell>
          <cell r="V726">
            <v>18.605619001118612</v>
          </cell>
          <cell r="W726">
            <v>18.355021280992901</v>
          </cell>
          <cell r="X726">
            <v>18.104423560867051</v>
          </cell>
          <cell r="Y726">
            <v>17.836329243096269</v>
          </cell>
          <cell r="Z726">
            <v>17.568234925325417</v>
          </cell>
          <cell r="AA726">
            <v>17.300140607554635</v>
          </cell>
          <cell r="AB726">
            <v>17.032046289783782</v>
          </cell>
          <cell r="AC726">
            <v>16.763951972013</v>
          </cell>
          <cell r="AD726">
            <v>16.568344836559117</v>
          </cell>
          <cell r="AE726">
            <v>16.372737701105166</v>
          </cell>
          <cell r="AF726">
            <v>16.177130565651282</v>
          </cell>
          <cell r="AG726">
            <v>15.981523430197399</v>
          </cell>
          <cell r="AH726">
            <v>15.785916294743446</v>
          </cell>
        </row>
        <row r="727">
          <cell r="B727" t="str">
            <v>e-methane liquefied (DAC) - Energy cost - Middle East - USD/ton fuel</v>
          </cell>
          <cell r="G727">
            <v>22.212190003898375</v>
          </cell>
          <cell r="H727">
            <v>21.232021740260461</v>
          </cell>
          <cell r="I727">
            <v>20.251853476622273</v>
          </cell>
          <cell r="J727">
            <v>19.602892276312467</v>
          </cell>
          <cell r="K727">
            <v>18.953931076002664</v>
          </cell>
          <cell r="L727">
            <v>18.304969875692858</v>
          </cell>
          <cell r="M727">
            <v>17.656008675383053</v>
          </cell>
          <cell r="N727">
            <v>17.00704747507325</v>
          </cell>
          <cell r="O727">
            <v>16.549455045217972</v>
          </cell>
          <cell r="P727">
            <v>16.091862615362832</v>
          </cell>
          <cell r="Q727">
            <v>15.634270185507557</v>
          </cell>
          <cell r="R727">
            <v>15.176677755652417</v>
          </cell>
          <cell r="S727">
            <v>14.719085325797277</v>
          </cell>
          <cell r="T727">
            <v>14.489653293063725</v>
          </cell>
          <cell r="U727">
            <v>14.260221260330171</v>
          </cell>
          <cell r="V727">
            <v>14.030789227596687</v>
          </cell>
          <cell r="W727">
            <v>13.801357194863135</v>
          </cell>
          <cell r="X727">
            <v>13.571925162129583</v>
          </cell>
          <cell r="Y727">
            <v>13.271048899002039</v>
          </cell>
          <cell r="Z727">
            <v>12.970172635874563</v>
          </cell>
          <cell r="AA727">
            <v>12.669296372747022</v>
          </cell>
          <cell r="AB727">
            <v>12.368420109619546</v>
          </cell>
          <cell r="AC727">
            <v>12.067543846491969</v>
          </cell>
          <cell r="AD727">
            <v>11.926724316796832</v>
          </cell>
          <cell r="AE727">
            <v>11.78590478710173</v>
          </cell>
          <cell r="AF727">
            <v>11.645085257406594</v>
          </cell>
          <cell r="AG727">
            <v>11.504265727711458</v>
          </cell>
          <cell r="AH727">
            <v>11.363446198016357</v>
          </cell>
        </row>
        <row r="728">
          <cell r="B728" t="str">
            <v>e-methane (DAC) - Energy cost including feedstock energy cost - Africa - USD/ton fuel</v>
          </cell>
          <cell r="G728">
            <v>2065.9115064781317</v>
          </cell>
          <cell r="H728">
            <v>1816.2056885144102</v>
          </cell>
          <cell r="I728">
            <v>1568.1551731841992</v>
          </cell>
          <cell r="J728">
            <v>1494.4810754916657</v>
          </cell>
          <cell r="K728">
            <v>1421.0294615842026</v>
          </cell>
          <cell r="L728">
            <v>1347.8517248827388</v>
          </cell>
          <cell r="M728">
            <v>1274.9992588082227</v>
          </cell>
          <cell r="N728">
            <v>1202.523456781601</v>
          </cell>
          <cell r="O728">
            <v>1156.9056847261252</v>
          </cell>
          <cell r="P728">
            <v>1111.571972925977</v>
          </cell>
          <cell r="Q728">
            <v>1066.5500031993777</v>
          </cell>
          <cell r="R728">
            <v>1021.8674573645987</v>
          </cell>
          <cell r="S728">
            <v>977.55201723990808</v>
          </cell>
          <cell r="T728">
            <v>952.16024934545385</v>
          </cell>
          <cell r="U728">
            <v>926.9015266088096</v>
          </cell>
          <cell r="V728">
            <v>901.78488171246556</v>
          </cell>
          <cell r="W728">
            <v>876.81934733886408</v>
          </cell>
          <cell r="X728">
            <v>852.01395617049229</v>
          </cell>
          <cell r="Y728">
            <v>825.36312480180709</v>
          </cell>
          <cell r="Z728">
            <v>799.2077957885972</v>
          </cell>
          <cell r="AA728">
            <v>773.54268706163634</v>
          </cell>
          <cell r="AB728">
            <v>748.36251655168849</v>
          </cell>
          <cell r="AC728">
            <v>723.66200218951758</v>
          </cell>
          <cell r="AD728">
            <v>708.28800657453803</v>
          </cell>
          <cell r="AE728">
            <v>693.18469780509781</v>
          </cell>
          <cell r="AF728">
            <v>678.34874740504574</v>
          </cell>
          <cell r="AG728">
            <v>663.77682689824383</v>
          </cell>
          <cell r="AH728">
            <v>649.46560780855475</v>
          </cell>
        </row>
        <row r="729">
          <cell r="B729" t="str">
            <v>e-methane (DAC) - Energy cost including feedstock energy cost - Americas - USD/ton fuel</v>
          </cell>
          <cell r="G729">
            <v>1298.0429404602576</v>
          </cell>
          <cell r="H729">
            <v>1266.2032743168902</v>
          </cell>
          <cell r="I729">
            <v>1234.386402122653</v>
          </cell>
          <cell r="J729">
            <v>1184.0912715606996</v>
          </cell>
          <cell r="K729">
            <v>1133.8994803645403</v>
          </cell>
          <cell r="L729">
            <v>1083.8455602096992</v>
          </cell>
          <cell r="M729">
            <v>1033.9640427717454</v>
          </cell>
          <cell r="N729">
            <v>984.28945972616043</v>
          </cell>
          <cell r="O729">
            <v>955.62326061585327</v>
          </cell>
          <cell r="P729">
            <v>927.04892929159496</v>
          </cell>
          <cell r="Q729">
            <v>898.5825004666151</v>
          </cell>
          <cell r="R729">
            <v>870.24000885414569</v>
          </cell>
          <cell r="S729">
            <v>842.03748916744837</v>
          </cell>
          <cell r="T729">
            <v>817.94124319594664</v>
          </cell>
          <cell r="U729">
            <v>794.00205118705526</v>
          </cell>
          <cell r="V729">
            <v>770.22892416319587</v>
          </cell>
          <cell r="W729">
            <v>746.63087314674999</v>
          </cell>
          <cell r="X729">
            <v>723.21690916012312</v>
          </cell>
          <cell r="Y729">
            <v>707.88951882953495</v>
          </cell>
          <cell r="Z729">
            <v>692.79838743804066</v>
          </cell>
          <cell r="AA729">
            <v>677.94145047693223</v>
          </cell>
          <cell r="AB729">
            <v>663.31664343746991</v>
          </cell>
          <cell r="AC729">
            <v>648.92190181094065</v>
          </cell>
          <cell r="AD729">
            <v>637.30970109493126</v>
          </cell>
          <cell r="AE729">
            <v>625.8921093409075</v>
          </cell>
          <cell r="AF729">
            <v>614.66712692491421</v>
          </cell>
          <cell r="AG729">
            <v>603.63275422300069</v>
          </cell>
          <cell r="AH729">
            <v>592.78699161121574</v>
          </cell>
        </row>
        <row r="730">
          <cell r="B730" t="str">
            <v>e-methane (DAC) - Energy cost including feedstock energy cost - Asia - USD/ton fuel</v>
          </cell>
          <cell r="G730">
            <v>2297.7230253986763</v>
          </cell>
          <cell r="H730">
            <v>2087.6362389213568</v>
          </cell>
          <cell r="I730">
            <v>1878.8402897736867</v>
          </cell>
          <cell r="J730">
            <v>1799.0650970584363</v>
          </cell>
          <cell r="K730">
            <v>1719.4772411156632</v>
          </cell>
          <cell r="L730">
            <v>1640.1317609771024</v>
          </cell>
          <cell r="M730">
            <v>1561.0836956746271</v>
          </cell>
          <cell r="N730">
            <v>1482.3880842400479</v>
          </cell>
          <cell r="O730">
            <v>1423.5697715589893</v>
          </cell>
          <cell r="P730">
            <v>1365.1435293946186</v>
          </cell>
          <cell r="Q730">
            <v>1307.1454552676882</v>
          </cell>
          <cell r="R730">
            <v>1249.6116466989245</v>
          </cell>
          <cell r="S730">
            <v>1192.5782012091481</v>
          </cell>
          <cell r="T730">
            <v>1158.5213675361592</v>
          </cell>
          <cell r="U730">
            <v>1124.6856203288783</v>
          </cell>
          <cell r="V730">
            <v>1091.0836827976705</v>
          </cell>
          <cell r="W730">
            <v>1057.7282781528074</v>
          </cell>
          <cell r="X730">
            <v>1024.6321296046476</v>
          </cell>
          <cell r="Y730">
            <v>988.8983630293983</v>
          </cell>
          <cell r="Z730">
            <v>953.85357027926557</v>
          </cell>
          <cell r="AA730">
            <v>919.49017761608172</v>
          </cell>
          <cell r="AB730">
            <v>885.80061130167041</v>
          </cell>
          <cell r="AC730">
            <v>852.77729759785734</v>
          </cell>
          <cell r="AD730">
            <v>833.47577499291606</v>
          </cell>
          <cell r="AE730">
            <v>814.51945442019689</v>
          </cell>
          <cell r="AF730">
            <v>795.90387680351751</v>
          </cell>
          <cell r="AG730">
            <v>777.62458306668987</v>
          </cell>
          <cell r="AH730">
            <v>759.67711413352572</v>
          </cell>
        </row>
        <row r="731">
          <cell r="B731" t="str">
            <v>e-methane (DAC) - Energy cost including feedstock energy cost - Europe - USD/ton fuel</v>
          </cell>
          <cell r="G731">
            <v>1710.5303315002991</v>
          </cell>
          <cell r="H731">
            <v>1630.4217449138359</v>
          </cell>
          <cell r="I731">
            <v>1550.6535363441499</v>
          </cell>
          <cell r="J731">
            <v>1485.014900006393</v>
          </cell>
          <cell r="K731">
            <v>1419.5289953075978</v>
          </cell>
          <cell r="L731">
            <v>1354.2410920486038</v>
          </cell>
          <cell r="M731">
            <v>1289.1964600302229</v>
          </cell>
          <cell r="N731">
            <v>1224.440369053279</v>
          </cell>
          <cell r="O731">
            <v>1191.1330705552627</v>
          </cell>
          <cell r="P731">
            <v>1157.9018973627947</v>
          </cell>
          <cell r="Q731">
            <v>1124.7649994351091</v>
          </cell>
          <cell r="R731">
            <v>1091.7405267314809</v>
          </cell>
          <cell r="S731">
            <v>1058.8466292112266</v>
          </cell>
          <cell r="T731">
            <v>1035.4494164566113</v>
          </cell>
          <cell r="U731">
            <v>1012.1179490475391</v>
          </cell>
          <cell r="V731">
            <v>988.85973940737767</v>
          </cell>
          <cell r="W731">
            <v>965.68229995943295</v>
          </cell>
          <cell r="X731">
            <v>942.5931431270501</v>
          </cell>
          <cell r="Y731">
            <v>916.947861171368</v>
          </cell>
          <cell r="Z731">
            <v>891.75375031941905</v>
          </cell>
          <cell r="AA731">
            <v>867.00624000252174</v>
          </cell>
          <cell r="AB731">
            <v>842.70075965194633</v>
          </cell>
          <cell r="AC731">
            <v>818.83273869900438</v>
          </cell>
          <cell r="AD731">
            <v>800.30003049381844</v>
          </cell>
          <cell r="AE731">
            <v>782.09877208032856</v>
          </cell>
          <cell r="AF731">
            <v>764.22468211149385</v>
          </cell>
          <cell r="AG731">
            <v>746.67347924026785</v>
          </cell>
          <cell r="AH731">
            <v>729.440882119604</v>
          </cell>
        </row>
        <row r="732">
          <cell r="B732" t="str">
            <v>e-methane (DAC) - Energy cost including feedstock energy cost - Middle East - USD/ton fuel</v>
          </cell>
          <cell r="G732">
            <v>1309.8296125480986</v>
          </cell>
          <cell r="H732">
            <v>1247.1457443584529</v>
          </cell>
          <cell r="I732">
            <v>1184.7334283824084</v>
          </cell>
          <cell r="J732">
            <v>1141.7382050886758</v>
          </cell>
          <cell r="K732">
            <v>1098.7929539305583</v>
          </cell>
          <cell r="L732">
            <v>1055.9267574468836</v>
          </cell>
          <cell r="M732">
            <v>1013.1686981765089</v>
          </cell>
          <cell r="N732">
            <v>970.54785865825102</v>
          </cell>
          <cell r="O732">
            <v>937.07487923879421</v>
          </cell>
          <cell r="P732">
            <v>903.77692283338126</v>
          </cell>
          <cell r="Q732">
            <v>870.67377683934467</v>
          </cell>
          <cell r="R732">
            <v>837.78522865405046</v>
          </cell>
          <cell r="S732">
            <v>805.1310656748733</v>
          </cell>
          <cell r="T732">
            <v>785.23309539639058</v>
          </cell>
          <cell r="U732">
            <v>765.42532939327884</v>
          </cell>
          <cell r="V732">
            <v>745.71464558351636</v>
          </cell>
          <cell r="W732">
            <v>726.1079218850216</v>
          </cell>
          <cell r="X732">
            <v>706.61203621575862</v>
          </cell>
          <cell r="Y732">
            <v>682.25136111740233</v>
          </cell>
          <cell r="Z732">
            <v>658.35868768229193</v>
          </cell>
          <cell r="AA732">
            <v>634.92888646328834</v>
          </cell>
          <cell r="AB732">
            <v>611.95682801324256</v>
          </cell>
          <cell r="AC732">
            <v>589.43738288500958</v>
          </cell>
          <cell r="AD732">
            <v>576.09603907822532</v>
          </cell>
          <cell r="AE732">
            <v>562.99330204414923</v>
          </cell>
          <cell r="AF732">
            <v>550.12608959829527</v>
          </cell>
          <cell r="AG732">
            <v>537.49131955618486</v>
          </cell>
          <cell r="AH732">
            <v>525.08590973333946</v>
          </cell>
        </row>
        <row r="733">
          <cell r="B733" t="str">
            <v/>
          </cell>
        </row>
        <row r="734">
          <cell r="B734" t="str">
            <v>e-methane liquefied (DAC) - Feedstock cost including feedstock feedstock cost - Global - USD/ton fuel</v>
          </cell>
          <cell r="G734">
            <v>6.75</v>
          </cell>
          <cell r="H734">
            <v>6.750000000000024</v>
          </cell>
          <cell r="I734">
            <v>6.750000000000024</v>
          </cell>
          <cell r="J734">
            <v>6.750000000000024</v>
          </cell>
          <cell r="K734">
            <v>6.750000000000048</v>
          </cell>
          <cell r="L734">
            <v>6.75</v>
          </cell>
          <cell r="M734">
            <v>6.750000000000048</v>
          </cell>
          <cell r="N734">
            <v>6.75</v>
          </cell>
          <cell r="O734">
            <v>6.749999999999952</v>
          </cell>
          <cell r="P734">
            <v>6.750000000000024</v>
          </cell>
          <cell r="Q734">
            <v>6.7500000000000959</v>
          </cell>
          <cell r="R734">
            <v>6.750000000000048</v>
          </cell>
          <cell r="S734">
            <v>6.7500000000000959</v>
          </cell>
          <cell r="T734">
            <v>6.7500000000001199</v>
          </cell>
          <cell r="U734">
            <v>6.7500000000000604</v>
          </cell>
          <cell r="V734">
            <v>6.7500000000001794</v>
          </cell>
          <cell r="W734">
            <v>6.7500000000001199</v>
          </cell>
          <cell r="X734">
            <v>6.749999999999952</v>
          </cell>
          <cell r="Y734">
            <v>6.75</v>
          </cell>
          <cell r="Z734">
            <v>6.749999999999976</v>
          </cell>
          <cell r="AA734">
            <v>6.750000000000024</v>
          </cell>
          <cell r="AB734">
            <v>6.75</v>
          </cell>
          <cell r="AC734">
            <v>6.75</v>
          </cell>
          <cell r="AD734">
            <v>6.75</v>
          </cell>
          <cell r="AE734">
            <v>6.75</v>
          </cell>
          <cell r="AF734">
            <v>6.75</v>
          </cell>
          <cell r="AG734">
            <v>6.75</v>
          </cell>
          <cell r="AH734">
            <v>6.75</v>
          </cell>
        </row>
        <row r="735">
          <cell r="B735" t="str">
            <v>e-methane (DAC) - Feedstock cost - Global - USD/ton fuel</v>
          </cell>
          <cell r="G735">
            <v>6.75</v>
          </cell>
          <cell r="H735">
            <v>6.750000000000024</v>
          </cell>
          <cell r="I735">
            <v>6.750000000000024</v>
          </cell>
          <cell r="J735">
            <v>6.750000000000024</v>
          </cell>
          <cell r="K735">
            <v>6.750000000000048</v>
          </cell>
          <cell r="L735">
            <v>6.75</v>
          </cell>
          <cell r="M735">
            <v>6.750000000000048</v>
          </cell>
          <cell r="N735">
            <v>6.75</v>
          </cell>
          <cell r="O735">
            <v>6.749999999999952</v>
          </cell>
          <cell r="P735">
            <v>6.750000000000024</v>
          </cell>
          <cell r="Q735">
            <v>6.7500000000000959</v>
          </cell>
          <cell r="R735">
            <v>6.750000000000048</v>
          </cell>
          <cell r="S735">
            <v>6.7500000000000959</v>
          </cell>
          <cell r="T735">
            <v>6.7500000000001199</v>
          </cell>
          <cell r="U735">
            <v>6.7500000000000604</v>
          </cell>
          <cell r="V735">
            <v>6.7500000000001794</v>
          </cell>
          <cell r="W735">
            <v>6.7500000000001199</v>
          </cell>
          <cell r="X735">
            <v>6.749999999999952</v>
          </cell>
          <cell r="Y735">
            <v>6.75</v>
          </cell>
          <cell r="Z735">
            <v>6.749999999999976</v>
          </cell>
          <cell r="AA735">
            <v>6.750000000000024</v>
          </cell>
          <cell r="AB735">
            <v>6.75</v>
          </cell>
          <cell r="AC735">
            <v>6.75</v>
          </cell>
          <cell r="AD735">
            <v>6.75</v>
          </cell>
          <cell r="AE735">
            <v>6.75</v>
          </cell>
          <cell r="AF735">
            <v>6.75</v>
          </cell>
          <cell r="AG735">
            <v>6.75</v>
          </cell>
          <cell r="AH735">
            <v>6.75</v>
          </cell>
        </row>
        <row r="737">
          <cell r="B737" t="str">
            <v>e-methane liquefied (PS) - Item - Region - Unit</v>
          </cell>
          <cell r="G737">
            <v>2023</v>
          </cell>
          <cell r="H737">
            <v>2024</v>
          </cell>
          <cell r="I737">
            <v>2025</v>
          </cell>
          <cell r="J737">
            <v>2026</v>
          </cell>
          <cell r="K737">
            <v>2027</v>
          </cell>
          <cell r="L737">
            <v>2028</v>
          </cell>
          <cell r="M737">
            <v>2029</v>
          </cell>
          <cell r="N737">
            <v>2030</v>
          </cell>
          <cell r="O737">
            <v>2031</v>
          </cell>
          <cell r="P737">
            <v>2032</v>
          </cell>
          <cell r="Q737">
            <v>2033</v>
          </cell>
          <cell r="R737">
            <v>2034</v>
          </cell>
          <cell r="S737">
            <v>2035</v>
          </cell>
          <cell r="T737">
            <v>2036</v>
          </cell>
          <cell r="U737">
            <v>2037</v>
          </cell>
          <cell r="V737">
            <v>2038</v>
          </cell>
          <cell r="W737">
            <v>2039</v>
          </cell>
          <cell r="X737">
            <v>2040</v>
          </cell>
          <cell r="Y737">
            <v>2041</v>
          </cell>
          <cell r="Z737">
            <v>2042</v>
          </cell>
          <cell r="AA737">
            <v>2043</v>
          </cell>
          <cell r="AB737">
            <v>2044</v>
          </cell>
          <cell r="AC737">
            <v>2045</v>
          </cell>
          <cell r="AD737">
            <v>2046</v>
          </cell>
          <cell r="AE737">
            <v>2047</v>
          </cell>
          <cell r="AF737">
            <v>2048</v>
          </cell>
          <cell r="AG737">
            <v>2049</v>
          </cell>
          <cell r="AH737">
            <v>2050</v>
          </cell>
        </row>
        <row r="738">
          <cell r="B738" t="str">
            <v>e-methane liquefied (PS) - Total cost - Africa - USD/ton fuel</v>
          </cell>
          <cell r="G738">
            <v>3299.2530131436201</v>
          </cell>
          <cell r="H738">
            <v>3037.6918971516284</v>
          </cell>
          <cell r="I738">
            <v>2774.7950140288062</v>
          </cell>
          <cell r="J738">
            <v>2675.0500694662019</v>
          </cell>
          <cell r="K738">
            <v>2572.7302449760073</v>
          </cell>
          <cell r="L738">
            <v>2467.8869339791563</v>
          </cell>
          <cell r="M738">
            <v>2360.5715298966211</v>
          </cell>
          <cell r="N738">
            <v>2250.835426149315</v>
          </cell>
          <cell r="O738">
            <v>2209.3847261037822</v>
          </cell>
          <cell r="P738">
            <v>2164.1457366087029</v>
          </cell>
          <cell r="Q738">
            <v>2115.1461394823032</v>
          </cell>
          <cell r="R738">
            <v>2062.4136165428313</v>
          </cell>
          <cell r="S738">
            <v>2005.9758496085769</v>
          </cell>
          <cell r="T738">
            <v>1964.0828097624433</v>
          </cell>
          <cell r="U738">
            <v>1919.5841848917066</v>
          </cell>
          <cell r="V738">
            <v>1872.4890076788863</v>
          </cell>
          <cell r="W738">
            <v>1822.8063108063898</v>
          </cell>
          <cell r="X738">
            <v>1770.5451269567113</v>
          </cell>
          <cell r="Y738">
            <v>1714.771587073873</v>
          </cell>
          <cell r="Z738">
            <v>1657.7881507895518</v>
          </cell>
          <cell r="AA738">
            <v>1599.5895360345435</v>
          </cell>
          <cell r="AB738">
            <v>1540.1704607395914</v>
          </cell>
          <cell r="AC738">
            <v>1479.5256428354699</v>
          </cell>
          <cell r="AD738">
            <v>1429.5880153097623</v>
          </cell>
          <cell r="AE738">
            <v>1379.0438783471382</v>
          </cell>
          <cell r="AF738">
            <v>1327.8899034714466</v>
          </cell>
          <cell r="AG738">
            <v>1276.1227622065485</v>
          </cell>
          <cell r="AH738">
            <v>1223.739126076307</v>
          </cell>
        </row>
        <row r="739">
          <cell r="B739" t="str">
            <v>e-methane liquefied (PS) - Total cost - Americas - USD/ton fuel</v>
          </cell>
          <cell r="G739">
            <v>2663.2691122039269</v>
          </cell>
          <cell r="H739">
            <v>2580.8517378640859</v>
          </cell>
          <cell r="I739">
            <v>2496.773234999976</v>
          </cell>
          <cell r="J739">
            <v>2415.8406940640189</v>
          </cell>
          <cell r="K739">
            <v>2332.3398292160277</v>
          </cell>
          <cell r="L739">
            <v>2246.3051721315319</v>
          </cell>
          <cell r="M739">
            <v>2157.7712544861188</v>
          </cell>
          <cell r="N739">
            <v>2066.7726079552467</v>
          </cell>
          <cell r="O739">
            <v>2039.3115692474198</v>
          </cell>
          <cell r="P739">
            <v>2007.9541746473215</v>
          </cell>
          <cell r="Q739">
            <v>1972.7164588681849</v>
          </cell>
          <cell r="R739">
            <v>1933.6144566232226</v>
          </cell>
          <cell r="S739">
            <v>1890.6642026257173</v>
          </cell>
          <cell r="T739">
            <v>1849.6991829257672</v>
          </cell>
          <cell r="U739">
            <v>1806.1527979919565</v>
          </cell>
          <cell r="V739">
            <v>1760.0340588467348</v>
          </cell>
          <cell r="W739">
            <v>1711.3519765124488</v>
          </cell>
          <cell r="X739">
            <v>1660.1155620115123</v>
          </cell>
          <cell r="Y739">
            <v>1613.9522559918216</v>
          </cell>
          <cell r="Z739">
            <v>1566.3713348109002</v>
          </cell>
          <cell r="AA739">
            <v>1517.3707339600614</v>
          </cell>
          <cell r="AB739">
            <v>1466.9483889305473</v>
          </cell>
          <cell r="AC739">
            <v>1415.1022352136529</v>
          </cell>
          <cell r="AD739">
            <v>1368.3295318384351</v>
          </cell>
          <cell r="AE739">
            <v>1320.8897373831426</v>
          </cell>
          <cell r="AF739">
            <v>1272.7808522238201</v>
          </cell>
          <cell r="AG739">
            <v>1224.0008767365168</v>
          </cell>
          <cell r="AH739">
            <v>1174.5478112972819</v>
          </cell>
        </row>
        <row r="740">
          <cell r="B740" t="str">
            <v>e-methane liquefied (PS) - Total cost - Asia - USD/ton fuel</v>
          </cell>
          <cell r="G740">
            <v>3491.2499259100846</v>
          </cell>
          <cell r="H740">
            <v>3263.1461364104466</v>
          </cell>
          <cell r="I740">
            <v>3033.5886350055912</v>
          </cell>
          <cell r="J740">
            <v>2929.4109827047278</v>
          </cell>
          <cell r="K740">
            <v>2822.5961262728974</v>
          </cell>
          <cell r="L740">
            <v>2713.1991047418487</v>
          </cell>
          <cell r="M740">
            <v>2601.274957143472</v>
          </cell>
          <cell r="N740">
            <v>2486.8787225095439</v>
          </cell>
          <cell r="O740">
            <v>2434.7019800486087</v>
          </cell>
          <cell r="P740">
            <v>2378.7841725120875</v>
          </cell>
          <cell r="Q740">
            <v>2319.1613974207353</v>
          </cell>
          <cell r="R740">
            <v>2255.8697522952662</v>
          </cell>
          <cell r="S740">
            <v>2188.9453346565165</v>
          </cell>
          <cell r="T740">
            <v>2139.9471214861633</v>
          </cell>
          <cell r="U740">
            <v>2088.3954159833315</v>
          </cell>
          <cell r="V740">
            <v>2034.3029413584138</v>
          </cell>
          <cell r="W740">
            <v>1977.6824208216494</v>
          </cell>
          <cell r="X740">
            <v>1918.5465775834016</v>
          </cell>
          <cell r="Y740">
            <v>1855.1223764277067</v>
          </cell>
          <cell r="Z740">
            <v>1790.6450525206048</v>
          </cell>
          <cell r="AA740">
            <v>1725.1070321239524</v>
          </cell>
          <cell r="AB740">
            <v>1658.5007414995512</v>
          </cell>
          <cell r="AC740">
            <v>1590.8186069092376</v>
          </cell>
          <cell r="AD740">
            <v>1537.6324774964926</v>
          </cell>
          <cell r="AE740">
            <v>1483.9011694852475</v>
          </cell>
          <cell r="AF740">
            <v>1429.620223799318</v>
          </cell>
          <cell r="AG740">
            <v>1374.7851813625164</v>
          </cell>
          <cell r="AH740">
            <v>1319.3915830986557</v>
          </cell>
        </row>
        <row r="741">
          <cell r="B741" t="str">
            <v>e-methane liquefied (PS) - Total cost - Europe - USD/ton fuel</v>
          </cell>
          <cell r="G741">
            <v>3004.910053963712</v>
          </cell>
          <cell r="H741">
            <v>2883.3769992590646</v>
          </cell>
          <cell r="I741">
            <v>2760.2165494387514</v>
          </cell>
          <cell r="J741">
            <v>2667.1447793957495</v>
          </cell>
          <cell r="K741">
            <v>2571.4740274589972</v>
          </cell>
          <cell r="L741">
            <v>2473.2495634293327</v>
          </cell>
          <cell r="M741">
            <v>2372.5166571075938</v>
          </cell>
          <cell r="N741">
            <v>2269.3205782945711</v>
          </cell>
          <cell r="O741">
            <v>2238.3050830829543</v>
          </cell>
          <cell r="P741">
            <v>2203.3622112603871</v>
          </cell>
          <cell r="Q741">
            <v>2164.5101127861103</v>
          </cell>
          <cell r="R741">
            <v>2121.7669376193812</v>
          </cell>
          <cell r="S741">
            <v>2075.1508357195339</v>
          </cell>
          <cell r="T741">
            <v>2035.0631968453879</v>
          </cell>
          <cell r="U741">
            <v>1992.3174816423857</v>
          </cell>
          <cell r="V741">
            <v>1946.9212025339232</v>
          </cell>
          <cell r="W741">
            <v>1898.8818719432713</v>
          </cell>
          <cell r="X741">
            <v>1848.2070022937853</v>
          </cell>
          <cell r="Y741">
            <v>1793.3723228024123</v>
          </cell>
          <cell r="Z741">
            <v>1737.2948093271239</v>
          </cell>
          <cell r="AA741">
            <v>1679.9698912992576</v>
          </cell>
          <cell r="AB741">
            <v>1621.3929981500664</v>
          </cell>
          <cell r="AC741">
            <v>1561.5595593108696</v>
          </cell>
          <cell r="AD741">
            <v>1508.9998441543112</v>
          </cell>
          <cell r="AE741">
            <v>1455.883270724451</v>
          </cell>
          <cell r="AF741">
            <v>1402.2055576742473</v>
          </cell>
          <cell r="AG741">
            <v>1347.962423656654</v>
          </cell>
          <cell r="AH741">
            <v>1293.1495873246251</v>
          </cell>
        </row>
        <row r="742">
          <cell r="B742" t="str">
            <v>e-methane liquefied (PS) - Total cost - Middle East - USD/ton fuel</v>
          </cell>
          <cell r="G742">
            <v>2673.0313736445746</v>
          </cell>
          <cell r="H742">
            <v>2565.0222709433956</v>
          </cell>
          <cell r="I742">
            <v>2455.4134395660612</v>
          </cell>
          <cell r="J742">
            <v>2380.4712593482377</v>
          </cell>
          <cell r="K742">
            <v>2302.948010049302</v>
          </cell>
          <cell r="L742">
            <v>2222.8727742080878</v>
          </cell>
          <cell r="M742">
            <v>2140.2746343634731</v>
          </cell>
          <cell r="N742">
            <v>2055.1826730542448</v>
          </cell>
          <cell r="O742">
            <v>2023.6391537878169</v>
          </cell>
          <cell r="P742">
            <v>1988.2553285460945</v>
          </cell>
          <cell r="Q742">
            <v>1949.0509847264152</v>
          </cell>
          <cell r="R742">
            <v>1906.0459097261241</v>
          </cell>
          <cell r="S742">
            <v>1859.2598909426169</v>
          </cell>
          <cell r="T742">
            <v>1821.8247657343909</v>
          </cell>
          <cell r="U742">
            <v>1781.7622037038334</v>
          </cell>
          <cell r="V742">
            <v>1739.0790827689505</v>
          </cell>
          <cell r="W742">
            <v>1693.7822808476274</v>
          </cell>
          <cell r="X742">
            <v>1645.8786758578347</v>
          </cell>
          <cell r="Y742">
            <v>1591.9488290150121</v>
          </cell>
          <cell r="Z742">
            <v>1536.7840291042537</v>
          </cell>
          <cell r="AA742">
            <v>1480.379146678443</v>
          </cell>
          <cell r="AB742">
            <v>1422.7290522904102</v>
          </cell>
          <cell r="AC742">
            <v>1363.8286164930205</v>
          </cell>
          <cell r="AD742">
            <v>1315.4985142826952</v>
          </cell>
          <cell r="AE742">
            <v>1266.5326946614264</v>
          </cell>
          <cell r="AF742">
            <v>1216.9280754447288</v>
          </cell>
          <cell r="AG742">
            <v>1166.6815744481237</v>
          </cell>
          <cell r="AH742">
            <v>1115.7901094871324</v>
          </cell>
        </row>
        <row r="743">
          <cell r="B743" t="str">
            <v/>
          </cell>
        </row>
        <row r="744">
          <cell r="B744" t="str">
            <v>e-methane liquefied (PS) - CAPEX including feedstock CAPEX - Global - USD/ton fuel</v>
          </cell>
          <cell r="G744">
            <v>349.85493109792424</v>
          </cell>
          <cell r="H744">
            <v>338.24938012058067</v>
          </cell>
          <cell r="I744">
            <v>326.51902587518907</v>
          </cell>
          <cell r="J744">
            <v>318.20046204451899</v>
          </cell>
          <cell r="K744">
            <v>309.6500415908281</v>
          </cell>
          <cell r="L744">
            <v>300.86776451411879</v>
          </cell>
          <cell r="M744">
            <v>291.85363081439186</v>
          </cell>
          <cell r="N744">
            <v>282.60764049164396</v>
          </cell>
          <cell r="O744">
            <v>282.36546438888183</v>
          </cell>
          <cell r="P744">
            <v>281.5825748204947</v>
          </cell>
          <cell r="Q744">
            <v>280.25897178648125</v>
          </cell>
          <cell r="R744">
            <v>278.394655286839</v>
          </cell>
          <cell r="S744">
            <v>275.9896253215723</v>
          </cell>
          <cell r="T744">
            <v>272.71361663314917</v>
          </cell>
          <cell r="U744">
            <v>268.99133135082718</v>
          </cell>
          <cell r="V744">
            <v>264.82276947461082</v>
          </cell>
          <cell r="W744">
            <v>260.20793100449578</v>
          </cell>
          <cell r="X744">
            <v>255.14681594048039</v>
          </cell>
          <cell r="Y744">
            <v>248.88595925623468</v>
          </cell>
          <cell r="Z744">
            <v>242.28836198562576</v>
          </cell>
          <cell r="AA744">
            <v>235.35402412865704</v>
          </cell>
          <cell r="AB744">
            <v>228.08294568532622</v>
          </cell>
          <cell r="AC744">
            <v>220.47512665563261</v>
          </cell>
          <cell r="AD744">
            <v>212.47502878696292</v>
          </cell>
          <cell r="AE744">
            <v>204.26430128143301</v>
          </cell>
          <cell r="AF744">
            <v>195.84294413904303</v>
          </cell>
          <cell r="AG744">
            <v>187.21095735979281</v>
          </cell>
          <cell r="AH744">
            <v>178.36834094368251</v>
          </cell>
        </row>
        <row r="745">
          <cell r="B745" t="str">
            <v>e-methane liquefied (PS) - CAPEX - Global - USD/ton fuel</v>
          </cell>
          <cell r="G745">
            <v>75.715087666188268</v>
          </cell>
          <cell r="H745">
            <v>75.35754383309407</v>
          </cell>
          <cell r="I745">
            <v>75</v>
          </cell>
          <cell r="J745">
            <v>74.650780257917603</v>
          </cell>
          <cell r="K745">
            <v>74.301560515835206</v>
          </cell>
          <cell r="L745">
            <v>73.952340773752809</v>
          </cell>
          <cell r="M745">
            <v>73.603121031670398</v>
          </cell>
          <cell r="N745">
            <v>73.253901289588001</v>
          </cell>
          <cell r="O745">
            <v>72.912811842723016</v>
          </cell>
          <cell r="P745">
            <v>72.571722395857918</v>
          </cell>
          <cell r="Q745">
            <v>72.230632948992934</v>
          </cell>
          <cell r="R745">
            <v>71.889543502127836</v>
          </cell>
          <cell r="S745">
            <v>71.548454055262724</v>
          </cell>
          <cell r="T745">
            <v>71.215305619641853</v>
          </cell>
          <cell r="U745">
            <v>70.882157184020855</v>
          </cell>
          <cell r="V745">
            <v>70.549008748399871</v>
          </cell>
          <cell r="W745">
            <v>70.215860312778872</v>
          </cell>
          <cell r="X745">
            <v>69.882711877158002</v>
          </cell>
          <cell r="Y745">
            <v>69.557319575587826</v>
          </cell>
          <cell r="Z745">
            <v>69.231927274017778</v>
          </cell>
          <cell r="AA745">
            <v>68.906534972447602</v>
          </cell>
          <cell r="AB745">
            <v>68.581142670877426</v>
          </cell>
          <cell r="AC745">
            <v>68.25575036930725</v>
          </cell>
          <cell r="AD745">
            <v>67.937933628779135</v>
          </cell>
          <cell r="AE745">
            <v>67.620116888251019</v>
          </cell>
          <cell r="AF745">
            <v>67.302300147722903</v>
          </cell>
          <cell r="AG745">
            <v>66.984483407194787</v>
          </cell>
          <cell r="AH745">
            <v>66.666666666666671</v>
          </cell>
        </row>
        <row r="746">
          <cell r="B746" t="str">
            <v>e-methane (PS) - CAPEX including feedstock CAPEX - Global - USD/ton fuel</v>
          </cell>
          <cell r="G746">
            <v>274.13984343173598</v>
          </cell>
          <cell r="H746">
            <v>262.89183628748663</v>
          </cell>
          <cell r="I746">
            <v>251.51902587518907</v>
          </cell>
          <cell r="J746">
            <v>243.54968178660141</v>
          </cell>
          <cell r="K746">
            <v>235.34848107499292</v>
          </cell>
          <cell r="L746">
            <v>226.91542374036598</v>
          </cell>
          <cell r="M746">
            <v>218.25050978272148</v>
          </cell>
          <cell r="N746">
            <v>209.35373920205598</v>
          </cell>
          <cell r="O746">
            <v>209.45265254615884</v>
          </cell>
          <cell r="P746">
            <v>209.01085242463677</v>
          </cell>
          <cell r="Q746">
            <v>208.02833883748832</v>
          </cell>
          <cell r="R746">
            <v>206.50511178471118</v>
          </cell>
          <cell r="S746">
            <v>204.4411712663096</v>
          </cell>
          <cell r="T746">
            <v>201.49831101350733</v>
          </cell>
          <cell r="U746">
            <v>198.10917416680633</v>
          </cell>
          <cell r="V746">
            <v>194.27376072621095</v>
          </cell>
          <cell r="W746">
            <v>189.99207069171689</v>
          </cell>
          <cell r="X746">
            <v>185.26410406332238</v>
          </cell>
          <cell r="Y746">
            <v>179.32863968064686</v>
          </cell>
          <cell r="Z746">
            <v>173.05643471160798</v>
          </cell>
          <cell r="AA746">
            <v>166.44748915620943</v>
          </cell>
          <cell r="AB746">
            <v>159.5018030144488</v>
          </cell>
          <cell r="AC746">
            <v>152.21937628632534</v>
          </cell>
          <cell r="AD746">
            <v>144.53709515818377</v>
          </cell>
          <cell r="AE746">
            <v>136.644184393182</v>
          </cell>
          <cell r="AF746">
            <v>128.54064399132011</v>
          </cell>
          <cell r="AG746">
            <v>120.22647395259801</v>
          </cell>
          <cell r="AH746">
            <v>111.70167427701584</v>
          </cell>
        </row>
        <row r="747">
          <cell r="B747" t="str">
            <v/>
          </cell>
        </row>
        <row r="748">
          <cell r="B748" t="str">
            <v>e-methane liquefied (PS) - OPEX including feedstock OPEX - Global - USD/ton fuel</v>
          </cell>
          <cell r="G748">
            <v>654.30495449488774</v>
          </cell>
          <cell r="H748">
            <v>626.01366881343711</v>
          </cell>
          <cell r="I748">
            <v>596.53207762556622</v>
          </cell>
          <cell r="J748">
            <v>577.01397590460112</v>
          </cell>
          <cell r="K748">
            <v>555.69605665774191</v>
          </cell>
          <cell r="L748">
            <v>532.57831988498629</v>
          </cell>
          <cell r="M748">
            <v>507.6607655863541</v>
          </cell>
          <cell r="N748">
            <v>480.94339376182506</v>
          </cell>
          <cell r="O748">
            <v>476.84124369440019</v>
          </cell>
          <cell r="P748">
            <v>470.2995779718056</v>
          </cell>
          <cell r="Q748">
            <v>461.31839659404523</v>
          </cell>
          <cell r="R748">
            <v>449.89769956110717</v>
          </cell>
          <cell r="S748">
            <v>436.03748687299992</v>
          </cell>
          <cell r="T748">
            <v>423.19522660584778</v>
          </cell>
          <cell r="U748">
            <v>408.88495449275354</v>
          </cell>
          <cell r="V748">
            <v>393.1066705337293</v>
          </cell>
          <cell r="W748">
            <v>375.8603747287558</v>
          </cell>
          <cell r="X748">
            <v>357.14606707784282</v>
          </cell>
          <cell r="Y748">
            <v>340.12269393069164</v>
          </cell>
          <cell r="Z748">
            <v>322.37086940881204</v>
          </cell>
          <cell r="AA748">
            <v>303.89059351221647</v>
          </cell>
          <cell r="AB748">
            <v>284.68186624089219</v>
          </cell>
          <cell r="AC748">
            <v>264.74468759484927</v>
          </cell>
          <cell r="AD748">
            <v>248.48466951578379</v>
          </cell>
          <cell r="AE748">
            <v>231.94443829210849</v>
          </cell>
          <cell r="AF748">
            <v>215.12399392382383</v>
          </cell>
          <cell r="AG748">
            <v>198.02333641092952</v>
          </cell>
          <cell r="AH748">
            <v>180.64246575342565</v>
          </cell>
        </row>
        <row r="749">
          <cell r="B749" t="str">
            <v>e-methane liquefied (PS) - OPEX - Global - USD/ton fuel</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row>
        <row r="750">
          <cell r="B750" t="str">
            <v>e-methane (PS) - OPEX including feedstock OPEX - Global - USD/ton fuel</v>
          </cell>
          <cell r="G750">
            <v>654.30495449488774</v>
          </cell>
          <cell r="H750">
            <v>626.01366881343711</v>
          </cell>
          <cell r="I750">
            <v>596.53207762556622</v>
          </cell>
          <cell r="J750">
            <v>577.01397590460112</v>
          </cell>
          <cell r="K750">
            <v>555.69605665774191</v>
          </cell>
          <cell r="L750">
            <v>532.57831988498629</v>
          </cell>
          <cell r="M750">
            <v>507.6607655863541</v>
          </cell>
          <cell r="N750">
            <v>480.94339376182506</v>
          </cell>
          <cell r="O750">
            <v>476.84124369440019</v>
          </cell>
          <cell r="P750">
            <v>470.2995779718056</v>
          </cell>
          <cell r="Q750">
            <v>461.31839659404523</v>
          </cell>
          <cell r="R750">
            <v>449.89769956110717</v>
          </cell>
          <cell r="S750">
            <v>436.03748687299992</v>
          </cell>
          <cell r="T750">
            <v>423.19522660584778</v>
          </cell>
          <cell r="U750">
            <v>408.88495449275354</v>
          </cell>
          <cell r="V750">
            <v>393.1066705337293</v>
          </cell>
          <cell r="W750">
            <v>375.8603747287558</v>
          </cell>
          <cell r="X750">
            <v>357.14606707784282</v>
          </cell>
          <cell r="Y750">
            <v>340.12269393069164</v>
          </cell>
          <cell r="Z750">
            <v>322.37086940881204</v>
          </cell>
          <cell r="AA750">
            <v>303.89059351221647</v>
          </cell>
          <cell r="AB750">
            <v>284.68186624089219</v>
          </cell>
          <cell r="AC750">
            <v>264.74468759484927</v>
          </cell>
          <cell r="AD750">
            <v>248.48466951578379</v>
          </cell>
          <cell r="AE750">
            <v>231.94443829210849</v>
          </cell>
          <cell r="AF750">
            <v>215.12399392382383</v>
          </cell>
          <cell r="AG750">
            <v>198.02333641092952</v>
          </cell>
          <cell r="AH750">
            <v>180.64246575342565</v>
          </cell>
        </row>
        <row r="751">
          <cell r="B751" t="str">
            <v/>
          </cell>
        </row>
        <row r="752">
          <cell r="B752" t="str">
            <v>e-methane liquefied (PS) - Finance cost including feedstock finance cost - Africa - USD/ton fuel</v>
          </cell>
          <cell r="G752">
            <v>577.26063631157501</v>
          </cell>
          <cell r="H752">
            <v>558.11147719895814</v>
          </cell>
          <cell r="I752">
            <v>538.75639269406201</v>
          </cell>
          <cell r="J752">
            <v>525.03076237345635</v>
          </cell>
          <cell r="K752">
            <v>510.92256862486647</v>
          </cell>
          <cell r="L752">
            <v>496.43181144829612</v>
          </cell>
          <cell r="M752">
            <v>481.5584908437466</v>
          </cell>
          <cell r="N752">
            <v>466.30260681121263</v>
          </cell>
          <cell r="O752">
            <v>465.90301624165517</v>
          </cell>
          <cell r="P752">
            <v>464.61124845381619</v>
          </cell>
          <cell r="Q752">
            <v>462.42730344769416</v>
          </cell>
          <cell r="R752">
            <v>459.35118122328441</v>
          </cell>
          <cell r="S752">
            <v>455.38288178059429</v>
          </cell>
          <cell r="T752">
            <v>449.97746744469623</v>
          </cell>
          <cell r="U752">
            <v>443.83569672886489</v>
          </cell>
          <cell r="V752">
            <v>436.95756963310794</v>
          </cell>
          <cell r="W752">
            <v>429.34308615741804</v>
          </cell>
          <cell r="X752">
            <v>420.99224630179265</v>
          </cell>
          <cell r="Y752">
            <v>410.66183277278725</v>
          </cell>
          <cell r="Z752">
            <v>399.77579727628256</v>
          </cell>
          <cell r="AA752">
            <v>388.33413981228415</v>
          </cell>
          <cell r="AB752">
            <v>376.33686038078838</v>
          </cell>
          <cell r="AC752">
            <v>363.78395898179383</v>
          </cell>
          <cell r="AD752">
            <v>350.58379749848882</v>
          </cell>
          <cell r="AE752">
            <v>337.03609711436451</v>
          </cell>
          <cell r="AF752">
            <v>323.14085782942095</v>
          </cell>
          <cell r="AG752">
            <v>308.89807964365815</v>
          </cell>
          <cell r="AH752">
            <v>294.30776255707616</v>
          </cell>
        </row>
        <row r="753">
          <cell r="B753" t="str">
            <v>e-methane liquefied (PS) - Finance cost including feedstock finance cost - Americas - USD/ton fuel</v>
          </cell>
          <cell r="G753">
            <v>577.26063631157501</v>
          </cell>
          <cell r="H753">
            <v>558.11147719895814</v>
          </cell>
          <cell r="I753">
            <v>538.75639269406201</v>
          </cell>
          <cell r="J753">
            <v>525.03076237345635</v>
          </cell>
          <cell r="K753">
            <v>510.92256862486647</v>
          </cell>
          <cell r="L753">
            <v>496.43181144829612</v>
          </cell>
          <cell r="M753">
            <v>481.5584908437466</v>
          </cell>
          <cell r="N753">
            <v>466.30260681121263</v>
          </cell>
          <cell r="O753">
            <v>465.90301624165517</v>
          </cell>
          <cell r="P753">
            <v>464.61124845381619</v>
          </cell>
          <cell r="Q753">
            <v>462.42730344769416</v>
          </cell>
          <cell r="R753">
            <v>459.35118122328441</v>
          </cell>
          <cell r="S753">
            <v>455.38288178059429</v>
          </cell>
          <cell r="T753">
            <v>449.97746744469623</v>
          </cell>
          <cell r="U753">
            <v>443.83569672886489</v>
          </cell>
          <cell r="V753">
            <v>436.95756963310794</v>
          </cell>
          <cell r="W753">
            <v>429.34308615741804</v>
          </cell>
          <cell r="X753">
            <v>420.99224630179265</v>
          </cell>
          <cell r="Y753">
            <v>410.66183277278725</v>
          </cell>
          <cell r="Z753">
            <v>399.77579727628256</v>
          </cell>
          <cell r="AA753">
            <v>388.33413981228415</v>
          </cell>
          <cell r="AB753">
            <v>376.33686038078838</v>
          </cell>
          <cell r="AC753">
            <v>363.78395898179383</v>
          </cell>
          <cell r="AD753">
            <v>350.58379749848882</v>
          </cell>
          <cell r="AE753">
            <v>337.03609711436451</v>
          </cell>
          <cell r="AF753">
            <v>323.14085782942095</v>
          </cell>
          <cell r="AG753">
            <v>308.89807964365815</v>
          </cell>
          <cell r="AH753">
            <v>294.30776255707616</v>
          </cell>
        </row>
        <row r="754">
          <cell r="B754" t="str">
            <v>e-methane liquefied (PS) - Finance cost including feedstock finance cost - Asia - USD/ton fuel</v>
          </cell>
          <cell r="G754">
            <v>577.26063631157501</v>
          </cell>
          <cell r="H754">
            <v>558.11147719895814</v>
          </cell>
          <cell r="I754">
            <v>538.75639269406201</v>
          </cell>
          <cell r="J754">
            <v>525.03076237345635</v>
          </cell>
          <cell r="K754">
            <v>510.92256862486647</v>
          </cell>
          <cell r="L754">
            <v>496.43181144829612</v>
          </cell>
          <cell r="M754">
            <v>481.5584908437466</v>
          </cell>
          <cell r="N754">
            <v>466.30260681121263</v>
          </cell>
          <cell r="O754">
            <v>465.90301624165517</v>
          </cell>
          <cell r="P754">
            <v>464.61124845381619</v>
          </cell>
          <cell r="Q754">
            <v>462.42730344769416</v>
          </cell>
          <cell r="R754">
            <v>459.35118122328441</v>
          </cell>
          <cell r="S754">
            <v>455.38288178059429</v>
          </cell>
          <cell r="T754">
            <v>449.97746744469623</v>
          </cell>
          <cell r="U754">
            <v>443.83569672886489</v>
          </cell>
          <cell r="V754">
            <v>436.95756963310794</v>
          </cell>
          <cell r="W754">
            <v>429.34308615741804</v>
          </cell>
          <cell r="X754">
            <v>420.99224630179265</v>
          </cell>
          <cell r="Y754">
            <v>410.66183277278725</v>
          </cell>
          <cell r="Z754">
            <v>399.77579727628256</v>
          </cell>
          <cell r="AA754">
            <v>388.33413981228415</v>
          </cell>
          <cell r="AB754">
            <v>376.33686038078838</v>
          </cell>
          <cell r="AC754">
            <v>363.78395898179383</v>
          </cell>
          <cell r="AD754">
            <v>350.58379749848882</v>
          </cell>
          <cell r="AE754">
            <v>337.03609711436451</v>
          </cell>
          <cell r="AF754">
            <v>323.14085782942095</v>
          </cell>
          <cell r="AG754">
            <v>308.89807964365815</v>
          </cell>
          <cell r="AH754">
            <v>294.30776255707616</v>
          </cell>
        </row>
        <row r="755">
          <cell r="B755" t="str">
            <v>e-methane liquefied (PS) - Finance cost including feedstock finance cost - Europe - USD/ton fuel</v>
          </cell>
          <cell r="G755">
            <v>577.26063631157501</v>
          </cell>
          <cell r="H755">
            <v>558.11147719895814</v>
          </cell>
          <cell r="I755">
            <v>538.75639269406201</v>
          </cell>
          <cell r="J755">
            <v>525.03076237345635</v>
          </cell>
          <cell r="K755">
            <v>510.92256862486647</v>
          </cell>
          <cell r="L755">
            <v>496.43181144829612</v>
          </cell>
          <cell r="M755">
            <v>481.5584908437466</v>
          </cell>
          <cell r="N755">
            <v>466.30260681121263</v>
          </cell>
          <cell r="O755">
            <v>465.90301624165517</v>
          </cell>
          <cell r="P755">
            <v>464.61124845381619</v>
          </cell>
          <cell r="Q755">
            <v>462.42730344769416</v>
          </cell>
          <cell r="R755">
            <v>459.35118122328441</v>
          </cell>
          <cell r="S755">
            <v>455.38288178059429</v>
          </cell>
          <cell r="T755">
            <v>449.97746744469623</v>
          </cell>
          <cell r="U755">
            <v>443.83569672886489</v>
          </cell>
          <cell r="V755">
            <v>436.95756963310794</v>
          </cell>
          <cell r="W755">
            <v>429.34308615741804</v>
          </cell>
          <cell r="X755">
            <v>420.99224630179265</v>
          </cell>
          <cell r="Y755">
            <v>410.66183277278725</v>
          </cell>
          <cell r="Z755">
            <v>399.77579727628256</v>
          </cell>
          <cell r="AA755">
            <v>388.33413981228415</v>
          </cell>
          <cell r="AB755">
            <v>376.33686038078838</v>
          </cell>
          <cell r="AC755">
            <v>363.78395898179383</v>
          </cell>
          <cell r="AD755">
            <v>350.58379749848882</v>
          </cell>
          <cell r="AE755">
            <v>337.03609711436451</v>
          </cell>
          <cell r="AF755">
            <v>323.14085782942095</v>
          </cell>
          <cell r="AG755">
            <v>308.89807964365815</v>
          </cell>
          <cell r="AH755">
            <v>294.30776255707616</v>
          </cell>
        </row>
        <row r="756">
          <cell r="B756" t="str">
            <v>e-methane liquefied (PS) - Finance cost including feedstock finance cost - Middle East - USD/ton fuel</v>
          </cell>
          <cell r="G756">
            <v>577.26063631157501</v>
          </cell>
          <cell r="H756">
            <v>558.11147719895814</v>
          </cell>
          <cell r="I756">
            <v>538.75639269406201</v>
          </cell>
          <cell r="J756">
            <v>525.03076237345635</v>
          </cell>
          <cell r="K756">
            <v>510.92256862486647</v>
          </cell>
          <cell r="L756">
            <v>496.43181144829612</v>
          </cell>
          <cell r="M756">
            <v>481.5584908437466</v>
          </cell>
          <cell r="N756">
            <v>466.30260681121263</v>
          </cell>
          <cell r="O756">
            <v>465.90301624165517</v>
          </cell>
          <cell r="P756">
            <v>464.61124845381619</v>
          </cell>
          <cell r="Q756">
            <v>462.42730344769416</v>
          </cell>
          <cell r="R756">
            <v>459.35118122328441</v>
          </cell>
          <cell r="S756">
            <v>455.38288178059429</v>
          </cell>
          <cell r="T756">
            <v>449.97746744469623</v>
          </cell>
          <cell r="U756">
            <v>443.83569672886489</v>
          </cell>
          <cell r="V756">
            <v>436.95756963310794</v>
          </cell>
          <cell r="W756">
            <v>429.34308615741804</v>
          </cell>
          <cell r="X756">
            <v>420.99224630179265</v>
          </cell>
          <cell r="Y756">
            <v>410.66183277278725</v>
          </cell>
          <cell r="Z756">
            <v>399.77579727628256</v>
          </cell>
          <cell r="AA756">
            <v>388.33413981228415</v>
          </cell>
          <cell r="AB756">
            <v>376.33686038078838</v>
          </cell>
          <cell r="AC756">
            <v>363.78395898179383</v>
          </cell>
          <cell r="AD756">
            <v>350.58379749848882</v>
          </cell>
          <cell r="AE756">
            <v>337.03609711436451</v>
          </cell>
          <cell r="AF756">
            <v>323.14085782942095</v>
          </cell>
          <cell r="AG756">
            <v>308.89807964365815</v>
          </cell>
          <cell r="AH756">
            <v>294.30776255707616</v>
          </cell>
        </row>
        <row r="757">
          <cell r="B757" t="str">
            <v>e-methane liquefied (PS) - Finance cost - Africa - USD/ton fuel</v>
          </cell>
          <cell r="G757">
            <v>124.92989464921065</v>
          </cell>
          <cell r="H757">
            <v>124.33994732460523</v>
          </cell>
          <cell r="I757">
            <v>123.75000000000001</v>
          </cell>
          <cell r="J757">
            <v>123.17378742556406</v>
          </cell>
          <cell r="K757">
            <v>122.5975748511281</v>
          </cell>
          <cell r="L757">
            <v>122.02136227669214</v>
          </cell>
          <cell r="M757">
            <v>121.44514970225619</v>
          </cell>
          <cell r="N757">
            <v>120.86893712782023</v>
          </cell>
          <cell r="O757">
            <v>120.30613954049301</v>
          </cell>
          <cell r="P757">
            <v>119.74334195316558</v>
          </cell>
          <cell r="Q757">
            <v>119.18054436583836</v>
          </cell>
          <cell r="R757">
            <v>118.61774677851093</v>
          </cell>
          <cell r="S757">
            <v>118.05494919118351</v>
          </cell>
          <cell r="T757">
            <v>117.50525427240908</v>
          </cell>
          <cell r="U757">
            <v>116.95555935363443</v>
          </cell>
          <cell r="V757">
            <v>116.40586443485979</v>
          </cell>
          <cell r="W757">
            <v>115.85616951608516</v>
          </cell>
          <cell r="X757">
            <v>115.30647459731071</v>
          </cell>
          <cell r="Y757">
            <v>114.76957729971993</v>
          </cell>
          <cell r="Z757">
            <v>114.23268000212934</v>
          </cell>
          <cell r="AA757">
            <v>113.69578270453856</v>
          </cell>
          <cell r="AB757">
            <v>113.15888540694777</v>
          </cell>
          <cell r="AC757">
            <v>112.62198810935699</v>
          </cell>
          <cell r="AD757">
            <v>112.09759048748559</v>
          </cell>
          <cell r="AE757">
            <v>111.5731928656142</v>
          </cell>
          <cell r="AF757">
            <v>111.0487952437428</v>
          </cell>
          <cell r="AG757">
            <v>110.52439762187142</v>
          </cell>
          <cell r="AH757">
            <v>110.00000000000001</v>
          </cell>
        </row>
        <row r="758">
          <cell r="B758" t="str">
            <v>e-methane liquefied (PS) - Finance cost - Americas - USD/ton fuel</v>
          </cell>
          <cell r="G758">
            <v>124.92989464921065</v>
          </cell>
          <cell r="H758">
            <v>124.33994732460523</v>
          </cell>
          <cell r="I758">
            <v>123.75000000000001</v>
          </cell>
          <cell r="J758">
            <v>123.17378742556406</v>
          </cell>
          <cell r="K758">
            <v>122.5975748511281</v>
          </cell>
          <cell r="L758">
            <v>122.02136227669214</v>
          </cell>
          <cell r="M758">
            <v>121.44514970225619</v>
          </cell>
          <cell r="N758">
            <v>120.86893712782023</v>
          </cell>
          <cell r="O758">
            <v>120.30613954049301</v>
          </cell>
          <cell r="P758">
            <v>119.74334195316558</v>
          </cell>
          <cell r="Q758">
            <v>119.18054436583836</v>
          </cell>
          <cell r="R758">
            <v>118.61774677851093</v>
          </cell>
          <cell r="S758">
            <v>118.05494919118351</v>
          </cell>
          <cell r="T758">
            <v>117.50525427240908</v>
          </cell>
          <cell r="U758">
            <v>116.95555935363443</v>
          </cell>
          <cell r="V758">
            <v>116.40586443485979</v>
          </cell>
          <cell r="W758">
            <v>115.85616951608516</v>
          </cell>
          <cell r="X758">
            <v>115.30647459731071</v>
          </cell>
          <cell r="Y758">
            <v>114.76957729971993</v>
          </cell>
          <cell r="Z758">
            <v>114.23268000212934</v>
          </cell>
          <cell r="AA758">
            <v>113.69578270453856</v>
          </cell>
          <cell r="AB758">
            <v>113.15888540694777</v>
          </cell>
          <cell r="AC758">
            <v>112.62198810935699</v>
          </cell>
          <cell r="AD758">
            <v>112.09759048748559</v>
          </cell>
          <cell r="AE758">
            <v>111.5731928656142</v>
          </cell>
          <cell r="AF758">
            <v>111.0487952437428</v>
          </cell>
          <cell r="AG758">
            <v>110.52439762187142</v>
          </cell>
          <cell r="AH758">
            <v>110.00000000000001</v>
          </cell>
        </row>
        <row r="759">
          <cell r="B759" t="str">
            <v>e-methane liquefied (PS) - Finance cost - Asia - USD/ton fuel</v>
          </cell>
          <cell r="G759">
            <v>124.92989464921065</v>
          </cell>
          <cell r="H759">
            <v>124.33994732460523</v>
          </cell>
          <cell r="I759">
            <v>123.75000000000001</v>
          </cell>
          <cell r="J759">
            <v>123.17378742556406</v>
          </cell>
          <cell r="K759">
            <v>122.5975748511281</v>
          </cell>
          <cell r="L759">
            <v>122.02136227669214</v>
          </cell>
          <cell r="M759">
            <v>121.44514970225619</v>
          </cell>
          <cell r="N759">
            <v>120.86893712782023</v>
          </cell>
          <cell r="O759">
            <v>120.30613954049301</v>
          </cell>
          <cell r="P759">
            <v>119.74334195316558</v>
          </cell>
          <cell r="Q759">
            <v>119.18054436583836</v>
          </cell>
          <cell r="R759">
            <v>118.61774677851093</v>
          </cell>
          <cell r="S759">
            <v>118.05494919118351</v>
          </cell>
          <cell r="T759">
            <v>117.50525427240908</v>
          </cell>
          <cell r="U759">
            <v>116.95555935363443</v>
          </cell>
          <cell r="V759">
            <v>116.40586443485979</v>
          </cell>
          <cell r="W759">
            <v>115.85616951608516</v>
          </cell>
          <cell r="X759">
            <v>115.30647459731071</v>
          </cell>
          <cell r="Y759">
            <v>114.76957729971993</v>
          </cell>
          <cell r="Z759">
            <v>114.23268000212934</v>
          </cell>
          <cell r="AA759">
            <v>113.69578270453856</v>
          </cell>
          <cell r="AB759">
            <v>113.15888540694777</v>
          </cell>
          <cell r="AC759">
            <v>112.62198810935699</v>
          </cell>
          <cell r="AD759">
            <v>112.09759048748559</v>
          </cell>
          <cell r="AE759">
            <v>111.5731928656142</v>
          </cell>
          <cell r="AF759">
            <v>111.0487952437428</v>
          </cell>
          <cell r="AG759">
            <v>110.52439762187142</v>
          </cell>
          <cell r="AH759">
            <v>110.00000000000001</v>
          </cell>
        </row>
        <row r="760">
          <cell r="B760" t="str">
            <v>e-methane liquefied (PS) - Finance cost - Europe - USD/ton fuel</v>
          </cell>
          <cell r="G760">
            <v>124.92989464921065</v>
          </cell>
          <cell r="H760">
            <v>124.33994732460523</v>
          </cell>
          <cell r="I760">
            <v>123.75000000000001</v>
          </cell>
          <cell r="J760">
            <v>123.17378742556406</v>
          </cell>
          <cell r="K760">
            <v>122.5975748511281</v>
          </cell>
          <cell r="L760">
            <v>122.02136227669214</v>
          </cell>
          <cell r="M760">
            <v>121.44514970225619</v>
          </cell>
          <cell r="N760">
            <v>120.86893712782023</v>
          </cell>
          <cell r="O760">
            <v>120.30613954049301</v>
          </cell>
          <cell r="P760">
            <v>119.74334195316558</v>
          </cell>
          <cell r="Q760">
            <v>119.18054436583836</v>
          </cell>
          <cell r="R760">
            <v>118.61774677851093</v>
          </cell>
          <cell r="S760">
            <v>118.05494919118351</v>
          </cell>
          <cell r="T760">
            <v>117.50525427240908</v>
          </cell>
          <cell r="U760">
            <v>116.95555935363443</v>
          </cell>
          <cell r="V760">
            <v>116.40586443485979</v>
          </cell>
          <cell r="W760">
            <v>115.85616951608516</v>
          </cell>
          <cell r="X760">
            <v>115.30647459731071</v>
          </cell>
          <cell r="Y760">
            <v>114.76957729971993</v>
          </cell>
          <cell r="Z760">
            <v>114.23268000212934</v>
          </cell>
          <cell r="AA760">
            <v>113.69578270453856</v>
          </cell>
          <cell r="AB760">
            <v>113.15888540694777</v>
          </cell>
          <cell r="AC760">
            <v>112.62198810935699</v>
          </cell>
          <cell r="AD760">
            <v>112.09759048748559</v>
          </cell>
          <cell r="AE760">
            <v>111.5731928656142</v>
          </cell>
          <cell r="AF760">
            <v>111.0487952437428</v>
          </cell>
          <cell r="AG760">
            <v>110.52439762187142</v>
          </cell>
          <cell r="AH760">
            <v>110.00000000000001</v>
          </cell>
        </row>
        <row r="761">
          <cell r="B761" t="str">
            <v>e-methane liquefied (PS) - Finance cost - Middle East - USD/ton fuel</v>
          </cell>
          <cell r="G761">
            <v>124.92989464921065</v>
          </cell>
          <cell r="H761">
            <v>124.33994732460523</v>
          </cell>
          <cell r="I761">
            <v>123.75000000000001</v>
          </cell>
          <cell r="J761">
            <v>123.17378742556406</v>
          </cell>
          <cell r="K761">
            <v>122.5975748511281</v>
          </cell>
          <cell r="L761">
            <v>122.02136227669214</v>
          </cell>
          <cell r="M761">
            <v>121.44514970225619</v>
          </cell>
          <cell r="N761">
            <v>120.86893712782023</v>
          </cell>
          <cell r="O761">
            <v>120.30613954049301</v>
          </cell>
          <cell r="P761">
            <v>119.74334195316558</v>
          </cell>
          <cell r="Q761">
            <v>119.18054436583836</v>
          </cell>
          <cell r="R761">
            <v>118.61774677851093</v>
          </cell>
          <cell r="S761">
            <v>118.05494919118351</v>
          </cell>
          <cell r="T761">
            <v>117.50525427240908</v>
          </cell>
          <cell r="U761">
            <v>116.95555935363443</v>
          </cell>
          <cell r="V761">
            <v>116.40586443485979</v>
          </cell>
          <cell r="W761">
            <v>115.85616951608516</v>
          </cell>
          <cell r="X761">
            <v>115.30647459731071</v>
          </cell>
          <cell r="Y761">
            <v>114.76957729971993</v>
          </cell>
          <cell r="Z761">
            <v>114.23268000212934</v>
          </cell>
          <cell r="AA761">
            <v>113.69578270453856</v>
          </cell>
          <cell r="AB761">
            <v>113.15888540694777</v>
          </cell>
          <cell r="AC761">
            <v>112.62198810935699</v>
          </cell>
          <cell r="AD761">
            <v>112.09759048748559</v>
          </cell>
          <cell r="AE761">
            <v>111.5731928656142</v>
          </cell>
          <cell r="AF761">
            <v>111.0487952437428</v>
          </cell>
          <cell r="AG761">
            <v>110.52439762187142</v>
          </cell>
          <cell r="AH761">
            <v>110.00000000000001</v>
          </cell>
        </row>
        <row r="762">
          <cell r="B762" t="str">
            <v>e-methane (PS) - Finance cost including feedstock finance cost - Africa - USD/ton fuel</v>
          </cell>
          <cell r="G762">
            <v>452.3307416623644</v>
          </cell>
          <cell r="H762">
            <v>433.77152987435295</v>
          </cell>
          <cell r="I762">
            <v>415.00639269406201</v>
          </cell>
          <cell r="J762">
            <v>401.85697494789235</v>
          </cell>
          <cell r="K762">
            <v>388.32499377373836</v>
          </cell>
          <cell r="L762">
            <v>374.41044917160394</v>
          </cell>
          <cell r="M762">
            <v>360.11334114149042</v>
          </cell>
          <cell r="N762">
            <v>345.4336696833924</v>
          </cell>
          <cell r="O762">
            <v>345.59687670116216</v>
          </cell>
          <cell r="P762">
            <v>344.86790650065063</v>
          </cell>
          <cell r="Q762">
            <v>343.24675908185583</v>
          </cell>
          <cell r="R762">
            <v>340.73343444477348</v>
          </cell>
          <cell r="S762">
            <v>337.32793258941081</v>
          </cell>
          <cell r="T762">
            <v>332.47221317228718</v>
          </cell>
          <cell r="U762">
            <v>326.88013737523045</v>
          </cell>
          <cell r="V762">
            <v>320.55170519824816</v>
          </cell>
          <cell r="W762">
            <v>313.48691664133287</v>
          </cell>
          <cell r="X762">
            <v>305.68577170448191</v>
          </cell>
          <cell r="Y762">
            <v>295.89225547306734</v>
          </cell>
          <cell r="Z762">
            <v>285.54311727415319</v>
          </cell>
          <cell r="AA762">
            <v>274.63835710774561</v>
          </cell>
          <cell r="AB762">
            <v>263.17797497384061</v>
          </cell>
          <cell r="AC762">
            <v>251.16197087243683</v>
          </cell>
          <cell r="AD762">
            <v>238.48620701100324</v>
          </cell>
          <cell r="AE762">
            <v>225.46290424875031</v>
          </cell>
          <cell r="AF762">
            <v>212.09206258567818</v>
          </cell>
          <cell r="AG762">
            <v>198.37368202178675</v>
          </cell>
          <cell r="AH762">
            <v>184.30776255707616</v>
          </cell>
        </row>
        <row r="763">
          <cell r="B763" t="str">
            <v>e-methane (PS) - Finance cost including feedstock finance cost - Americas - USD/ton fuel</v>
          </cell>
          <cell r="G763">
            <v>452.3307416623644</v>
          </cell>
          <cell r="H763">
            <v>433.77152987435295</v>
          </cell>
          <cell r="I763">
            <v>415.00639269406201</v>
          </cell>
          <cell r="J763">
            <v>401.85697494789235</v>
          </cell>
          <cell r="K763">
            <v>388.32499377373836</v>
          </cell>
          <cell r="L763">
            <v>374.41044917160394</v>
          </cell>
          <cell r="M763">
            <v>360.11334114149042</v>
          </cell>
          <cell r="N763">
            <v>345.4336696833924</v>
          </cell>
          <cell r="O763">
            <v>345.59687670116216</v>
          </cell>
          <cell r="P763">
            <v>344.86790650065063</v>
          </cell>
          <cell r="Q763">
            <v>343.24675908185583</v>
          </cell>
          <cell r="R763">
            <v>340.73343444477348</v>
          </cell>
          <cell r="S763">
            <v>337.32793258941081</v>
          </cell>
          <cell r="T763">
            <v>332.47221317228718</v>
          </cell>
          <cell r="U763">
            <v>326.88013737523045</v>
          </cell>
          <cell r="V763">
            <v>320.55170519824816</v>
          </cell>
          <cell r="W763">
            <v>313.48691664133287</v>
          </cell>
          <cell r="X763">
            <v>305.68577170448191</v>
          </cell>
          <cell r="Y763">
            <v>295.89225547306734</v>
          </cell>
          <cell r="Z763">
            <v>285.54311727415319</v>
          </cell>
          <cell r="AA763">
            <v>274.63835710774561</v>
          </cell>
          <cell r="AB763">
            <v>263.17797497384061</v>
          </cell>
          <cell r="AC763">
            <v>251.16197087243683</v>
          </cell>
          <cell r="AD763">
            <v>238.48620701100324</v>
          </cell>
          <cell r="AE763">
            <v>225.46290424875031</v>
          </cell>
          <cell r="AF763">
            <v>212.09206258567818</v>
          </cell>
          <cell r="AG763">
            <v>198.37368202178675</v>
          </cell>
          <cell r="AH763">
            <v>184.30776255707616</v>
          </cell>
        </row>
        <row r="764">
          <cell r="B764" t="str">
            <v>e-methane (PS) - Finance cost including feedstock finance cost - Asia - USD/ton fuel</v>
          </cell>
          <cell r="G764">
            <v>452.3307416623644</v>
          </cell>
          <cell r="H764">
            <v>433.77152987435295</v>
          </cell>
          <cell r="I764">
            <v>415.00639269406201</v>
          </cell>
          <cell r="J764">
            <v>401.85697494789235</v>
          </cell>
          <cell r="K764">
            <v>388.32499377373836</v>
          </cell>
          <cell r="L764">
            <v>374.41044917160394</v>
          </cell>
          <cell r="M764">
            <v>360.11334114149042</v>
          </cell>
          <cell r="N764">
            <v>345.4336696833924</v>
          </cell>
          <cell r="O764">
            <v>345.59687670116216</v>
          </cell>
          <cell r="P764">
            <v>344.86790650065063</v>
          </cell>
          <cell r="Q764">
            <v>343.24675908185583</v>
          </cell>
          <cell r="R764">
            <v>340.73343444477348</v>
          </cell>
          <cell r="S764">
            <v>337.32793258941081</v>
          </cell>
          <cell r="T764">
            <v>332.47221317228718</v>
          </cell>
          <cell r="U764">
            <v>326.88013737523045</v>
          </cell>
          <cell r="V764">
            <v>320.55170519824816</v>
          </cell>
          <cell r="W764">
            <v>313.48691664133287</v>
          </cell>
          <cell r="X764">
            <v>305.68577170448191</v>
          </cell>
          <cell r="Y764">
            <v>295.89225547306734</v>
          </cell>
          <cell r="Z764">
            <v>285.54311727415319</v>
          </cell>
          <cell r="AA764">
            <v>274.63835710774561</v>
          </cell>
          <cell r="AB764">
            <v>263.17797497384061</v>
          </cell>
          <cell r="AC764">
            <v>251.16197087243683</v>
          </cell>
          <cell r="AD764">
            <v>238.48620701100324</v>
          </cell>
          <cell r="AE764">
            <v>225.46290424875031</v>
          </cell>
          <cell r="AF764">
            <v>212.09206258567818</v>
          </cell>
          <cell r="AG764">
            <v>198.37368202178675</v>
          </cell>
          <cell r="AH764">
            <v>184.30776255707616</v>
          </cell>
        </row>
        <row r="765">
          <cell r="B765" t="str">
            <v>e-methane (PS) - Finance cost including feedstock finance cost - Europe - USD/ton fuel</v>
          </cell>
          <cell r="G765">
            <v>452.3307416623644</v>
          </cell>
          <cell r="H765">
            <v>433.77152987435295</v>
          </cell>
          <cell r="I765">
            <v>415.00639269406201</v>
          </cell>
          <cell r="J765">
            <v>401.85697494789235</v>
          </cell>
          <cell r="K765">
            <v>388.32499377373836</v>
          </cell>
          <cell r="L765">
            <v>374.41044917160394</v>
          </cell>
          <cell r="M765">
            <v>360.11334114149042</v>
          </cell>
          <cell r="N765">
            <v>345.4336696833924</v>
          </cell>
          <cell r="O765">
            <v>345.59687670116216</v>
          </cell>
          <cell r="P765">
            <v>344.86790650065063</v>
          </cell>
          <cell r="Q765">
            <v>343.24675908185583</v>
          </cell>
          <cell r="R765">
            <v>340.73343444477348</v>
          </cell>
          <cell r="S765">
            <v>337.32793258941081</v>
          </cell>
          <cell r="T765">
            <v>332.47221317228718</v>
          </cell>
          <cell r="U765">
            <v>326.88013737523045</v>
          </cell>
          <cell r="V765">
            <v>320.55170519824816</v>
          </cell>
          <cell r="W765">
            <v>313.48691664133287</v>
          </cell>
          <cell r="X765">
            <v>305.68577170448191</v>
          </cell>
          <cell r="Y765">
            <v>295.89225547306734</v>
          </cell>
          <cell r="Z765">
            <v>285.54311727415319</v>
          </cell>
          <cell r="AA765">
            <v>274.63835710774561</v>
          </cell>
          <cell r="AB765">
            <v>263.17797497384061</v>
          </cell>
          <cell r="AC765">
            <v>251.16197087243683</v>
          </cell>
          <cell r="AD765">
            <v>238.48620701100324</v>
          </cell>
          <cell r="AE765">
            <v>225.46290424875031</v>
          </cell>
          <cell r="AF765">
            <v>212.09206258567818</v>
          </cell>
          <cell r="AG765">
            <v>198.37368202178675</v>
          </cell>
          <cell r="AH765">
            <v>184.30776255707616</v>
          </cell>
        </row>
        <row r="766">
          <cell r="B766" t="str">
            <v>e-methane (PS) - Finance cost including feedstock finance cost - Middle East - USD/ton fuel</v>
          </cell>
          <cell r="G766">
            <v>452.3307416623644</v>
          </cell>
          <cell r="H766">
            <v>433.77152987435295</v>
          </cell>
          <cell r="I766">
            <v>415.00639269406201</v>
          </cell>
          <cell r="J766">
            <v>401.85697494789235</v>
          </cell>
          <cell r="K766">
            <v>388.32499377373836</v>
          </cell>
          <cell r="L766">
            <v>374.41044917160394</v>
          </cell>
          <cell r="M766">
            <v>360.11334114149042</v>
          </cell>
          <cell r="N766">
            <v>345.4336696833924</v>
          </cell>
          <cell r="O766">
            <v>345.59687670116216</v>
          </cell>
          <cell r="P766">
            <v>344.86790650065063</v>
          </cell>
          <cell r="Q766">
            <v>343.24675908185583</v>
          </cell>
          <cell r="R766">
            <v>340.73343444477348</v>
          </cell>
          <cell r="S766">
            <v>337.32793258941081</v>
          </cell>
          <cell r="T766">
            <v>332.47221317228718</v>
          </cell>
          <cell r="U766">
            <v>326.88013737523045</v>
          </cell>
          <cell r="V766">
            <v>320.55170519824816</v>
          </cell>
          <cell r="W766">
            <v>313.48691664133287</v>
          </cell>
          <cell r="X766">
            <v>305.68577170448191</v>
          </cell>
          <cell r="Y766">
            <v>295.89225547306734</v>
          </cell>
          <cell r="Z766">
            <v>285.54311727415319</v>
          </cell>
          <cell r="AA766">
            <v>274.63835710774561</v>
          </cell>
          <cell r="AB766">
            <v>263.17797497384061</v>
          </cell>
          <cell r="AC766">
            <v>251.16197087243683</v>
          </cell>
          <cell r="AD766">
            <v>238.48620701100324</v>
          </cell>
          <cell r="AE766">
            <v>225.46290424875031</v>
          </cell>
          <cell r="AF766">
            <v>212.09206258567818</v>
          </cell>
          <cell r="AG766">
            <v>198.37368202178675</v>
          </cell>
          <cell r="AH766">
            <v>184.30776255707616</v>
          </cell>
        </row>
        <row r="767">
          <cell r="B767" t="str">
            <v/>
          </cell>
        </row>
        <row r="768">
          <cell r="B768" t="str">
            <v>e-methane liquefied (PS) - Energy cost including feedstock energy cost - Africa - USD/ton fuel</v>
          </cell>
          <cell r="G768">
            <v>1711.0824912392336</v>
          </cell>
          <cell r="H768">
            <v>1508.5673710186529</v>
          </cell>
          <cell r="I768">
            <v>1306.2375178339889</v>
          </cell>
          <cell r="J768">
            <v>1248.0548691436252</v>
          </cell>
          <cell r="K768">
            <v>1189.7115781025707</v>
          </cell>
          <cell r="L768">
            <v>1131.2590381317548</v>
          </cell>
          <cell r="M768">
            <v>1072.7486426521286</v>
          </cell>
          <cell r="N768">
            <v>1014.2317850846333</v>
          </cell>
          <cell r="O768">
            <v>977.52500177884497</v>
          </cell>
          <cell r="P768">
            <v>940.90233536258631</v>
          </cell>
          <cell r="Q768">
            <v>904.39146765408225</v>
          </cell>
          <cell r="R768">
            <v>868.02008047160086</v>
          </cell>
          <cell r="S768">
            <v>831.81585563341037</v>
          </cell>
          <cell r="T768">
            <v>811.44649907874964</v>
          </cell>
          <cell r="U768">
            <v>791.12220231926096</v>
          </cell>
          <cell r="V768">
            <v>770.85199803743785</v>
          </cell>
          <cell r="W768">
            <v>750.64491891572004</v>
          </cell>
          <cell r="X768">
            <v>730.50999763659547</v>
          </cell>
          <cell r="Y768">
            <v>708.35110111415929</v>
          </cell>
          <cell r="Z768">
            <v>686.60312211883127</v>
          </cell>
          <cell r="AA768">
            <v>665.26077858138581</v>
          </cell>
          <cell r="AB768">
            <v>644.3187884325846</v>
          </cell>
          <cell r="AC768">
            <v>623.77186960319398</v>
          </cell>
          <cell r="AD768">
            <v>611.29451950852695</v>
          </cell>
          <cell r="AE768">
            <v>599.04904165923222</v>
          </cell>
          <cell r="AF768">
            <v>587.03210757915872</v>
          </cell>
          <cell r="AG768">
            <v>575.24038879216812</v>
          </cell>
          <cell r="AH768">
            <v>563.67055682212253</v>
          </cell>
        </row>
        <row r="769">
          <cell r="B769" t="str">
            <v>e-methane liquefied (PS) - Energy cost including feedstock energy cost - Americas - USD/ton fuel</v>
          </cell>
          <cell r="G769">
            <v>1075.0985902995399</v>
          </cell>
          <cell r="H769">
            <v>1051.7272117311097</v>
          </cell>
          <cell r="I769">
            <v>1028.2157388051585</v>
          </cell>
          <cell r="J769">
            <v>988.84549374144217</v>
          </cell>
          <cell r="K769">
            <v>949.32116234259161</v>
          </cell>
          <cell r="L769">
            <v>909.67727628413081</v>
          </cell>
          <cell r="M769">
            <v>869.94836724162656</v>
          </cell>
          <cell r="N769">
            <v>830.16896689056534</v>
          </cell>
          <cell r="O769">
            <v>807.45184492248256</v>
          </cell>
          <cell r="P769">
            <v>784.7107734012053</v>
          </cell>
          <cell r="Q769">
            <v>761.96178703996407</v>
          </cell>
          <cell r="R769">
            <v>739.22092055199209</v>
          </cell>
          <cell r="S769">
            <v>716.50420865055048</v>
          </cell>
          <cell r="T769">
            <v>697.06287224207358</v>
          </cell>
          <cell r="U769">
            <v>677.69081541951107</v>
          </cell>
          <cell r="V769">
            <v>658.39704920528663</v>
          </cell>
          <cell r="W769">
            <v>639.19058462177918</v>
          </cell>
          <cell r="X769">
            <v>620.08043269139648</v>
          </cell>
          <cell r="Y769">
            <v>607.53177003210794</v>
          </cell>
          <cell r="Z769">
            <v>595.18630614018002</v>
          </cell>
          <cell r="AA769">
            <v>583.04197650690401</v>
          </cell>
          <cell r="AB769">
            <v>571.09671662354049</v>
          </cell>
          <cell r="AC769">
            <v>559.34846198137734</v>
          </cell>
          <cell r="AD769">
            <v>550.03603603719966</v>
          </cell>
          <cell r="AE769">
            <v>540.89490069523663</v>
          </cell>
          <cell r="AF769">
            <v>531.92305633153239</v>
          </cell>
          <cell r="AG769">
            <v>523.11850332213646</v>
          </cell>
          <cell r="AH769">
            <v>514.47924204309754</v>
          </cell>
        </row>
        <row r="770">
          <cell r="B770" t="str">
            <v>e-methane liquefied (PS) - Energy cost including feedstock energy cost - Asia - USD/ton fuel</v>
          </cell>
          <cell r="G770">
            <v>1903.0794040056976</v>
          </cell>
          <cell r="H770">
            <v>1734.0216102774705</v>
          </cell>
          <cell r="I770">
            <v>1565.0311388107737</v>
          </cell>
          <cell r="J770">
            <v>1502.4157823821513</v>
          </cell>
          <cell r="K770">
            <v>1439.5774593994608</v>
          </cell>
          <cell r="L770">
            <v>1376.5712088944476</v>
          </cell>
          <cell r="M770">
            <v>1313.4520698989795</v>
          </cell>
          <cell r="N770">
            <v>1250.2750814448623</v>
          </cell>
          <cell r="O770">
            <v>1202.8422557236715</v>
          </cell>
          <cell r="P770">
            <v>1155.5407712659708</v>
          </cell>
          <cell r="Q770">
            <v>1108.4067255925147</v>
          </cell>
          <cell r="R770">
            <v>1061.4762162240354</v>
          </cell>
          <cell r="S770">
            <v>1014.7853406813499</v>
          </cell>
          <cell r="T770">
            <v>987.31081080246963</v>
          </cell>
          <cell r="U770">
            <v>959.93343341088598</v>
          </cell>
          <cell r="V770">
            <v>932.6659317169657</v>
          </cell>
          <cell r="W770">
            <v>905.52102893097981</v>
          </cell>
          <cell r="X770">
            <v>878.51144826328573</v>
          </cell>
          <cell r="Y770">
            <v>848.70189046799328</v>
          </cell>
          <cell r="Z770">
            <v>819.46002384988481</v>
          </cell>
          <cell r="AA770">
            <v>790.77827467079476</v>
          </cell>
          <cell r="AB770">
            <v>762.64906919254406</v>
          </cell>
          <cell r="AC770">
            <v>735.06483367696171</v>
          </cell>
          <cell r="AD770">
            <v>719.33898169525719</v>
          </cell>
          <cell r="AE770">
            <v>703.90633279734129</v>
          </cell>
          <cell r="AF770">
            <v>688.76242790702997</v>
          </cell>
          <cell r="AG770">
            <v>673.90280794813589</v>
          </cell>
          <cell r="AH770">
            <v>659.32301384447123</v>
          </cell>
        </row>
        <row r="771">
          <cell r="B771" t="str">
            <v>e-methane liquefied (PS) - Energy cost including feedstock energy cost - Europe - USD/ton fuel</v>
          </cell>
          <cell r="G771">
            <v>1416.7395320593253</v>
          </cell>
          <cell r="H771">
            <v>1354.2524731260883</v>
          </cell>
          <cell r="I771">
            <v>1291.6590532439338</v>
          </cell>
          <cell r="J771">
            <v>1240.1495790731731</v>
          </cell>
          <cell r="K771">
            <v>1188.4553605855608</v>
          </cell>
          <cell r="L771">
            <v>1136.6216675819312</v>
          </cell>
          <cell r="M771">
            <v>1084.6937698631009</v>
          </cell>
          <cell r="N771">
            <v>1032.7169372298897</v>
          </cell>
          <cell r="O771">
            <v>1006.4453587580171</v>
          </cell>
          <cell r="P771">
            <v>980.11881001427048</v>
          </cell>
          <cell r="Q771">
            <v>953.75544095789007</v>
          </cell>
          <cell r="R771">
            <v>927.37340154815092</v>
          </cell>
          <cell r="S771">
            <v>900.99084174436723</v>
          </cell>
          <cell r="T771">
            <v>882.42688616169437</v>
          </cell>
          <cell r="U771">
            <v>863.85549906994015</v>
          </cell>
          <cell r="V771">
            <v>845.28419289247472</v>
          </cell>
          <cell r="W771">
            <v>826.72048005260172</v>
          </cell>
          <cell r="X771">
            <v>808.17187297366911</v>
          </cell>
          <cell r="Y771">
            <v>786.95183684269887</v>
          </cell>
          <cell r="Z771">
            <v>766.10978065640347</v>
          </cell>
          <cell r="AA771">
            <v>745.64113384610005</v>
          </cell>
          <cell r="AB771">
            <v>725.54132584305967</v>
          </cell>
          <cell r="AC771">
            <v>705.805786078594</v>
          </cell>
          <cell r="AD771">
            <v>690.70634835307555</v>
          </cell>
          <cell r="AE771">
            <v>675.88843403654482</v>
          </cell>
          <cell r="AF771">
            <v>661.34776178195943</v>
          </cell>
          <cell r="AG771">
            <v>647.0800502422735</v>
          </cell>
          <cell r="AH771">
            <v>633.08101807044079</v>
          </cell>
        </row>
        <row r="772">
          <cell r="B772" t="str">
            <v>e-methane liquefied (PS) - Energy cost including feedstock energy cost - Middle East - USD/ton fuel</v>
          </cell>
          <cell r="G772">
            <v>1084.8608517401879</v>
          </cell>
          <cell r="H772">
            <v>1035.8977448104192</v>
          </cell>
          <cell r="I772">
            <v>986.85594337124382</v>
          </cell>
          <cell r="J772">
            <v>953.4760590256609</v>
          </cell>
          <cell r="K772">
            <v>919.92934317586571</v>
          </cell>
          <cell r="L772">
            <v>886.24487836068647</v>
          </cell>
          <cell r="M772">
            <v>852.45174711898005</v>
          </cell>
          <cell r="N772">
            <v>818.5790319895633</v>
          </cell>
          <cell r="O772">
            <v>791.77942946287942</v>
          </cell>
          <cell r="P772">
            <v>765.01192729997786</v>
          </cell>
          <cell r="Q772">
            <v>738.2963128981944</v>
          </cell>
          <cell r="R772">
            <v>711.65237365489361</v>
          </cell>
          <cell r="S772">
            <v>685.09989696745038</v>
          </cell>
          <cell r="T772">
            <v>669.18845505069726</v>
          </cell>
          <cell r="U772">
            <v>653.30022113138807</v>
          </cell>
          <cell r="V772">
            <v>637.44207312750223</v>
          </cell>
          <cell r="W772">
            <v>621.62088895695763</v>
          </cell>
          <cell r="X772">
            <v>605.84354653771891</v>
          </cell>
          <cell r="Y772">
            <v>585.52834305529871</v>
          </cell>
          <cell r="Z772">
            <v>565.59900043353343</v>
          </cell>
          <cell r="AA772">
            <v>546.05038922528524</v>
          </cell>
          <cell r="AB772">
            <v>526.87737998340344</v>
          </cell>
          <cell r="AC772">
            <v>508.07484326074507</v>
          </cell>
          <cell r="AD772">
            <v>497.20501848145955</v>
          </cell>
          <cell r="AE772">
            <v>486.53785797352026</v>
          </cell>
          <cell r="AF772">
            <v>476.07027955244109</v>
          </cell>
          <cell r="AG772">
            <v>465.7992010337432</v>
          </cell>
          <cell r="AH772">
            <v>455.72154023294797</v>
          </cell>
        </row>
        <row r="773">
          <cell r="B773" t="str">
            <v>e-methane liquefied (PS) - Energy cost - Africa - USD/ton fuel</v>
          </cell>
          <cell r="G773">
            <v>35.033884158308503</v>
          </cell>
          <cell r="H773">
            <v>30.919977747395748</v>
          </cell>
          <cell r="I773">
            <v>26.80607133648191</v>
          </cell>
          <cell r="J773">
            <v>25.65925481102331</v>
          </cell>
          <cell r="K773">
            <v>24.512438285564713</v>
          </cell>
          <cell r="L773">
            <v>23.365621760106112</v>
          </cell>
          <cell r="M773">
            <v>22.218805234647242</v>
          </cell>
          <cell r="N773">
            <v>21.071988709188645</v>
          </cell>
          <cell r="O773">
            <v>20.431834259056178</v>
          </cell>
          <cell r="P773">
            <v>19.791679808923707</v>
          </cell>
          <cell r="Q773">
            <v>19.151525358790966</v>
          </cell>
          <cell r="R773">
            <v>18.511370908658499</v>
          </cell>
          <cell r="S773">
            <v>17.871216458526099</v>
          </cell>
          <cell r="T773">
            <v>17.569906277941822</v>
          </cell>
          <cell r="U773">
            <v>17.268596097357612</v>
          </cell>
          <cell r="V773">
            <v>16.967285916773335</v>
          </cell>
          <cell r="W773">
            <v>16.665975736189058</v>
          </cell>
          <cell r="X773">
            <v>16.364665555604915</v>
          </cell>
          <cell r="Y773">
            <v>16.054836989607747</v>
          </cell>
          <cell r="Z773">
            <v>15.745008423610578</v>
          </cell>
          <cell r="AA773">
            <v>15.435179857613274</v>
          </cell>
          <cell r="AB773">
            <v>15.125351291616106</v>
          </cell>
          <cell r="AC773">
            <v>14.81552272561887</v>
          </cell>
          <cell r="AD773">
            <v>14.663450567763833</v>
          </cell>
          <cell r="AE773">
            <v>14.511378409908865</v>
          </cell>
          <cell r="AF773">
            <v>14.359306252053829</v>
          </cell>
          <cell r="AG773">
            <v>14.207234094198792</v>
          </cell>
          <cell r="AH773">
            <v>14.055161936343824</v>
          </cell>
        </row>
        <row r="774">
          <cell r="B774" t="str">
            <v>e-methane liquefied (PS) - Energy cost - Americas - USD/ton fuel</v>
          </cell>
          <cell r="G774">
            <v>22.012310723860217</v>
          </cell>
          <cell r="H774">
            <v>21.556466491183574</v>
          </cell>
          <cell r="I774">
            <v>21.100622258506792</v>
          </cell>
          <cell r="J774">
            <v>20.33006650585321</v>
          </cell>
          <cell r="K774">
            <v>19.559510753199628</v>
          </cell>
          <cell r="L774">
            <v>18.788955000546046</v>
          </cell>
          <cell r="M774">
            <v>18.018399247892738</v>
          </cell>
          <cell r="N774">
            <v>17.247843495239156</v>
          </cell>
          <cell r="O774">
            <v>16.877033567022497</v>
          </cell>
          <cell r="P774">
            <v>16.506223638805839</v>
          </cell>
          <cell r="Q774">
            <v>16.13541371058918</v>
          </cell>
          <cell r="R774">
            <v>15.764603782372523</v>
          </cell>
          <cell r="S774">
            <v>15.393793854155795</v>
          </cell>
          <cell r="T774">
            <v>15.093206205252955</v>
          </cell>
          <cell r="U774">
            <v>14.792618556350112</v>
          </cell>
          <cell r="V774">
            <v>14.492030907447202</v>
          </cell>
          <cell r="W774">
            <v>14.191443258544359</v>
          </cell>
          <cell r="X774">
            <v>13.890855609641482</v>
          </cell>
          <cell r="Y774">
            <v>13.769758412927786</v>
          </cell>
          <cell r="Z774">
            <v>13.648661216214089</v>
          </cell>
          <cell r="AA774">
            <v>13.527564019500426</v>
          </cell>
          <cell r="AB774">
            <v>13.406466822786728</v>
          </cell>
          <cell r="AC774">
            <v>13.285369626073031</v>
          </cell>
          <cell r="AD774">
            <v>13.194010362475922</v>
          </cell>
          <cell r="AE774">
            <v>13.102651098878846</v>
          </cell>
          <cell r="AF774">
            <v>13.011291835281769</v>
          </cell>
          <cell r="AG774">
            <v>12.919932571684694</v>
          </cell>
          <cell r="AH774">
            <v>12.828573308087618</v>
          </cell>
        </row>
        <row r="775">
          <cell r="B775" t="str">
            <v>e-methane liquefied (PS) - Energy cost - Asia - USD/ton fuel</v>
          </cell>
          <cell r="G775">
            <v>38.96496149388549</v>
          </cell>
          <cell r="H775">
            <v>35.540944762101567</v>
          </cell>
          <cell r="I775">
            <v>32.116928030319286</v>
          </cell>
          <cell r="J775">
            <v>30.888761660534144</v>
          </cell>
          <cell r="K775">
            <v>29.660595290749551</v>
          </cell>
          <cell r="L775">
            <v>28.432428920964412</v>
          </cell>
          <cell r="M775">
            <v>27.204262551179273</v>
          </cell>
          <cell r="N775">
            <v>25.976096181394677</v>
          </cell>
          <cell r="O775">
            <v>25.141324839787011</v>
          </cell>
          <cell r="P775">
            <v>24.306553498179618</v>
          </cell>
          <cell r="Q775">
            <v>23.471782156572498</v>
          </cell>
          <cell r="R775">
            <v>22.637010814965105</v>
          </cell>
          <cell r="S775">
            <v>21.802239473357712</v>
          </cell>
          <cell r="T775">
            <v>21.37782149863542</v>
          </cell>
          <cell r="U775">
            <v>20.953403523913128</v>
          </cell>
          <cell r="V775">
            <v>20.528985549190974</v>
          </cell>
          <cell r="W775">
            <v>20.104567574468682</v>
          </cell>
          <cell r="X775">
            <v>19.680149599746663</v>
          </cell>
          <cell r="Y775">
            <v>19.235899376458519</v>
          </cell>
          <cell r="Z775">
            <v>18.791649153170511</v>
          </cell>
          <cell r="AA775">
            <v>18.347398929882363</v>
          </cell>
          <cell r="AB775">
            <v>17.903148706594354</v>
          </cell>
          <cell r="AC775">
            <v>17.458898483306211</v>
          </cell>
          <cell r="AD775">
            <v>17.255171219323916</v>
          </cell>
          <cell r="AE775">
            <v>17.051443955341551</v>
          </cell>
          <cell r="AF775">
            <v>16.847716691359256</v>
          </cell>
          <cell r="AG775">
            <v>16.643989427376958</v>
          </cell>
          <cell r="AH775">
            <v>16.440262163394596</v>
          </cell>
        </row>
        <row r="776">
          <cell r="B776" t="str">
            <v>e-methane liquefied (PS) - Energy cost - Europe - USD/ton fuel</v>
          </cell>
          <cell r="G776">
            <v>29.007303214654346</v>
          </cell>
          <cell r="H776">
            <v>27.757100635909591</v>
          </cell>
          <cell r="I776">
            <v>26.506898057164836</v>
          </cell>
          <cell r="J776">
            <v>25.49672681863467</v>
          </cell>
          <cell r="K776">
            <v>24.486555580104231</v>
          </cell>
          <cell r="L776">
            <v>23.476384341574065</v>
          </cell>
          <cell r="M776">
            <v>22.466213103043629</v>
          </cell>
          <cell r="N776">
            <v>21.456041864513463</v>
          </cell>
          <cell r="O776">
            <v>21.036315923909658</v>
          </cell>
          <cell r="P776">
            <v>20.616589983306266</v>
          </cell>
          <cell r="Q776">
            <v>20.196864042702735</v>
          </cell>
          <cell r="R776">
            <v>19.777138102099205</v>
          </cell>
          <cell r="S776">
            <v>19.357412161495812</v>
          </cell>
          <cell r="T776">
            <v>19.106814441370034</v>
          </cell>
          <cell r="U776">
            <v>18.856216721244323</v>
          </cell>
          <cell r="V776">
            <v>18.605619001118612</v>
          </cell>
          <cell r="W776">
            <v>18.355021280992901</v>
          </cell>
          <cell r="X776">
            <v>18.104423560867051</v>
          </cell>
          <cell r="Y776">
            <v>17.836329243096269</v>
          </cell>
          <cell r="Z776">
            <v>17.568234925325417</v>
          </cell>
          <cell r="AA776">
            <v>17.300140607554635</v>
          </cell>
          <cell r="AB776">
            <v>17.032046289783782</v>
          </cell>
          <cell r="AC776">
            <v>16.763951972013</v>
          </cell>
          <cell r="AD776">
            <v>16.568344836559117</v>
          </cell>
          <cell r="AE776">
            <v>16.372737701105166</v>
          </cell>
          <cell r="AF776">
            <v>16.177130565651282</v>
          </cell>
          <cell r="AG776">
            <v>15.981523430197399</v>
          </cell>
          <cell r="AH776">
            <v>15.785916294743446</v>
          </cell>
        </row>
        <row r="777">
          <cell r="B777" t="str">
            <v>e-methane liquefied (PS) - Energy cost - Middle East - USD/ton fuel</v>
          </cell>
          <cell r="G777">
            <v>22.212190003898375</v>
          </cell>
          <cell r="H777">
            <v>21.232021740260461</v>
          </cell>
          <cell r="I777">
            <v>20.251853476622273</v>
          </cell>
          <cell r="J777">
            <v>19.602892276312467</v>
          </cell>
          <cell r="K777">
            <v>18.953931076002664</v>
          </cell>
          <cell r="L777">
            <v>18.304969875692858</v>
          </cell>
          <cell r="M777">
            <v>17.656008675383053</v>
          </cell>
          <cell r="N777">
            <v>17.00704747507325</v>
          </cell>
          <cell r="O777">
            <v>16.549455045217972</v>
          </cell>
          <cell r="P777">
            <v>16.091862615362832</v>
          </cell>
          <cell r="Q777">
            <v>15.634270185507557</v>
          </cell>
          <cell r="R777">
            <v>15.176677755652417</v>
          </cell>
          <cell r="S777">
            <v>14.719085325797277</v>
          </cell>
          <cell r="T777">
            <v>14.489653293063725</v>
          </cell>
          <cell r="U777">
            <v>14.260221260330171</v>
          </cell>
          <cell r="V777">
            <v>14.030789227596687</v>
          </cell>
          <cell r="W777">
            <v>13.801357194863135</v>
          </cell>
          <cell r="X777">
            <v>13.571925162129583</v>
          </cell>
          <cell r="Y777">
            <v>13.271048899002039</v>
          </cell>
          <cell r="Z777">
            <v>12.970172635874563</v>
          </cell>
          <cell r="AA777">
            <v>12.669296372747022</v>
          </cell>
          <cell r="AB777">
            <v>12.368420109619546</v>
          </cell>
          <cell r="AC777">
            <v>12.067543846491969</v>
          </cell>
          <cell r="AD777">
            <v>11.926724316796832</v>
          </cell>
          <cell r="AE777">
            <v>11.78590478710173</v>
          </cell>
          <cell r="AF777">
            <v>11.645085257406594</v>
          </cell>
          <cell r="AG777">
            <v>11.504265727711458</v>
          </cell>
          <cell r="AH777">
            <v>11.363446198016357</v>
          </cell>
        </row>
        <row r="778">
          <cell r="B778" t="str">
            <v>e-methane (PS) - Energy cost including feedstock energy cost - Africa - USD/ton fuel</v>
          </cell>
          <cell r="G778">
            <v>1676.0486070809252</v>
          </cell>
          <cell r="H778">
            <v>1477.6473932712572</v>
          </cell>
          <cell r="I778">
            <v>1279.4314464975071</v>
          </cell>
          <cell r="J778">
            <v>1222.3956143326018</v>
          </cell>
          <cell r="K778">
            <v>1165.199139817006</v>
          </cell>
          <cell r="L778">
            <v>1107.8934163716488</v>
          </cell>
          <cell r="M778">
            <v>1050.5298374174813</v>
          </cell>
          <cell r="N778">
            <v>993.15979637544467</v>
          </cell>
          <cell r="O778">
            <v>957.09316751978884</v>
          </cell>
          <cell r="P778">
            <v>921.11065555366258</v>
          </cell>
          <cell r="Q778">
            <v>885.23994229529126</v>
          </cell>
          <cell r="R778">
            <v>849.50870956294239</v>
          </cell>
          <cell r="S778">
            <v>813.94463917488429</v>
          </cell>
          <cell r="T778">
            <v>793.87659280080777</v>
          </cell>
          <cell r="U778">
            <v>773.85360622190331</v>
          </cell>
          <cell r="V778">
            <v>753.88471212066452</v>
          </cell>
          <cell r="W778">
            <v>733.97894317953103</v>
          </cell>
          <cell r="X778">
            <v>714.14533208099056</v>
          </cell>
          <cell r="Y778">
            <v>692.2962641245515</v>
          </cell>
          <cell r="Z778">
            <v>670.85811369522071</v>
          </cell>
          <cell r="AA778">
            <v>649.82559872377249</v>
          </cell>
          <cell r="AB778">
            <v>629.19343714096851</v>
          </cell>
          <cell r="AC778">
            <v>608.95634687757513</v>
          </cell>
          <cell r="AD778">
            <v>596.63106894076316</v>
          </cell>
          <cell r="AE778">
            <v>584.53766324932337</v>
          </cell>
          <cell r="AF778">
            <v>572.67280132710493</v>
          </cell>
          <cell r="AG778">
            <v>561.03315469796928</v>
          </cell>
          <cell r="AH778">
            <v>549.61539488577876</v>
          </cell>
        </row>
        <row r="779">
          <cell r="B779" t="str">
            <v>e-methane (PS) - Energy cost including feedstock energy cost - Americas - USD/ton fuel</v>
          </cell>
          <cell r="G779">
            <v>1053.0862795756796</v>
          </cell>
          <cell r="H779">
            <v>1030.1707452399262</v>
          </cell>
          <cell r="I779">
            <v>1007.1151165466516</v>
          </cell>
          <cell r="J779">
            <v>968.51542723558896</v>
          </cell>
          <cell r="K779">
            <v>929.76165158939193</v>
          </cell>
          <cell r="L779">
            <v>890.88832128358479</v>
          </cell>
          <cell r="M779">
            <v>851.92996799373384</v>
          </cell>
          <cell r="N779">
            <v>812.92112339532616</v>
          </cell>
          <cell r="O779">
            <v>790.57481135546004</v>
          </cell>
          <cell r="P779">
            <v>768.20454976239944</v>
          </cell>
          <cell r="Q779">
            <v>745.82637332937486</v>
          </cell>
          <cell r="R779">
            <v>723.45631676961955</v>
          </cell>
          <cell r="S779">
            <v>701.11041479639471</v>
          </cell>
          <cell r="T779">
            <v>681.96966603682063</v>
          </cell>
          <cell r="U779">
            <v>662.89819686316093</v>
          </cell>
          <cell r="V779">
            <v>643.90501829783943</v>
          </cell>
          <cell r="W779">
            <v>624.9991413632348</v>
          </cell>
          <cell r="X779">
            <v>606.18957708175503</v>
          </cell>
          <cell r="Y779">
            <v>593.76201161918016</v>
          </cell>
          <cell r="Z779">
            <v>581.5376449239659</v>
          </cell>
          <cell r="AA779">
            <v>569.51441248740355</v>
          </cell>
          <cell r="AB779">
            <v>557.6902498007538</v>
          </cell>
          <cell r="AC779">
            <v>546.06309235530432</v>
          </cell>
          <cell r="AD779">
            <v>536.8420256747238</v>
          </cell>
          <cell r="AE779">
            <v>527.79224959635781</v>
          </cell>
          <cell r="AF779">
            <v>518.91176449625061</v>
          </cell>
          <cell r="AG779">
            <v>510.19857075045178</v>
          </cell>
          <cell r="AH779">
            <v>501.65066873500996</v>
          </cell>
        </row>
        <row r="780">
          <cell r="B780" t="str">
            <v>e-methane (PS) - Energy cost including feedstock energy cost - Asia - USD/ton fuel</v>
          </cell>
          <cell r="G780">
            <v>1864.1144425118121</v>
          </cell>
          <cell r="H780">
            <v>1698.4806655153689</v>
          </cell>
          <cell r="I780">
            <v>1532.9142107804544</v>
          </cell>
          <cell r="J780">
            <v>1471.5270207216172</v>
          </cell>
          <cell r="K780">
            <v>1409.9168641087113</v>
          </cell>
          <cell r="L780">
            <v>1348.1387799734832</v>
          </cell>
          <cell r="M780">
            <v>1286.2478073478003</v>
          </cell>
          <cell r="N780">
            <v>1224.2989852634676</v>
          </cell>
          <cell r="O780">
            <v>1177.7009308838844</v>
          </cell>
          <cell r="P780">
            <v>1131.2342177677911</v>
          </cell>
          <cell r="Q780">
            <v>1084.9349434359422</v>
          </cell>
          <cell r="R780">
            <v>1038.8392054090702</v>
          </cell>
          <cell r="S780">
            <v>992.98310120799215</v>
          </cell>
          <cell r="T780">
            <v>965.93298930383423</v>
          </cell>
          <cell r="U780">
            <v>938.98002988697283</v>
          </cell>
          <cell r="V780">
            <v>912.13694616777468</v>
          </cell>
          <cell r="W780">
            <v>885.41646135651115</v>
          </cell>
          <cell r="X780">
            <v>858.83129866353909</v>
          </cell>
          <cell r="Y780">
            <v>829.46599109153476</v>
          </cell>
          <cell r="Z780">
            <v>800.6683746967143</v>
          </cell>
          <cell r="AA780">
            <v>772.43087574091237</v>
          </cell>
          <cell r="AB780">
            <v>744.74592048594968</v>
          </cell>
          <cell r="AC780">
            <v>717.60593519365545</v>
          </cell>
          <cell r="AD780">
            <v>702.08381047593332</v>
          </cell>
          <cell r="AE780">
            <v>686.8548888419997</v>
          </cell>
          <cell r="AF780">
            <v>671.91471121567076</v>
          </cell>
          <cell r="AG780">
            <v>657.25881852075895</v>
          </cell>
          <cell r="AH780">
            <v>642.88275168107668</v>
          </cell>
        </row>
        <row r="781">
          <cell r="B781" t="str">
            <v>e-methane (PS) - Energy cost including feedstock energy cost - Europe - USD/ton fuel</v>
          </cell>
          <cell r="G781">
            <v>1387.732228844671</v>
          </cell>
          <cell r="H781">
            <v>1326.4953724901786</v>
          </cell>
          <cell r="I781">
            <v>1265.1521551867691</v>
          </cell>
          <cell r="J781">
            <v>1214.6528522545384</v>
          </cell>
          <cell r="K781">
            <v>1163.9688050054565</v>
          </cell>
          <cell r="L781">
            <v>1113.1452832403572</v>
          </cell>
          <cell r="M781">
            <v>1062.2275567600573</v>
          </cell>
          <cell r="N781">
            <v>1011.2608953653762</v>
          </cell>
          <cell r="O781">
            <v>985.40904283410737</v>
          </cell>
          <cell r="P781">
            <v>959.50222003096417</v>
          </cell>
          <cell r="Q781">
            <v>933.55857691518736</v>
          </cell>
          <cell r="R781">
            <v>907.59626344605169</v>
          </cell>
          <cell r="S781">
            <v>881.63342958287137</v>
          </cell>
          <cell r="T781">
            <v>863.32007172032434</v>
          </cell>
          <cell r="U781">
            <v>844.99928234869583</v>
          </cell>
          <cell r="V781">
            <v>826.67857389135611</v>
          </cell>
          <cell r="W781">
            <v>808.36545877160881</v>
          </cell>
          <cell r="X781">
            <v>790.06744941280203</v>
          </cell>
          <cell r="Y781">
            <v>769.11550759960255</v>
          </cell>
          <cell r="Z781">
            <v>748.54154573107803</v>
          </cell>
          <cell r="AA781">
            <v>728.34099323854537</v>
          </cell>
          <cell r="AB781">
            <v>708.50927955327586</v>
          </cell>
          <cell r="AC781">
            <v>689.04183410658095</v>
          </cell>
          <cell r="AD781">
            <v>674.13800351651639</v>
          </cell>
          <cell r="AE781">
            <v>659.51569633543966</v>
          </cell>
          <cell r="AF781">
            <v>645.17063121630815</v>
          </cell>
          <cell r="AG781">
            <v>631.0985268120761</v>
          </cell>
          <cell r="AH781">
            <v>617.29510177569739</v>
          </cell>
        </row>
        <row r="782">
          <cell r="B782" t="str">
            <v>e-methane (PS) - Energy cost including feedstock energy cost - Middle East - USD/ton fuel</v>
          </cell>
          <cell r="G782">
            <v>1062.6486617362896</v>
          </cell>
          <cell r="H782">
            <v>1014.6657230701588</v>
          </cell>
          <cell r="I782">
            <v>966.60408989462155</v>
          </cell>
          <cell r="J782">
            <v>933.87316674934846</v>
          </cell>
          <cell r="K782">
            <v>900.97541209986309</v>
          </cell>
          <cell r="L782">
            <v>867.93990848499357</v>
          </cell>
          <cell r="M782">
            <v>834.79573844359697</v>
          </cell>
          <cell r="N782">
            <v>801.57198451449005</v>
          </cell>
          <cell r="O782">
            <v>775.22997441766142</v>
          </cell>
          <cell r="P782">
            <v>748.920064684615</v>
          </cell>
          <cell r="Q782">
            <v>722.6620427126868</v>
          </cell>
          <cell r="R782">
            <v>696.47569589924115</v>
          </cell>
          <cell r="S782">
            <v>670.38081164165305</v>
          </cell>
          <cell r="T782">
            <v>654.69880175763353</v>
          </cell>
          <cell r="U782">
            <v>639.03999987105794</v>
          </cell>
          <cell r="V782">
            <v>623.41128389990558</v>
          </cell>
          <cell r="W782">
            <v>607.81953176209447</v>
          </cell>
          <cell r="X782">
            <v>592.27162137558935</v>
          </cell>
          <cell r="Y782">
            <v>572.25729415629667</v>
          </cell>
          <cell r="Z782">
            <v>552.62882779765891</v>
          </cell>
          <cell r="AA782">
            <v>533.38109285253825</v>
          </cell>
          <cell r="AB782">
            <v>514.50895987378385</v>
          </cell>
          <cell r="AC782">
            <v>496.00729941425311</v>
          </cell>
          <cell r="AD782">
            <v>485.27829416466273</v>
          </cell>
          <cell r="AE782">
            <v>474.75195318641852</v>
          </cell>
          <cell r="AF782">
            <v>464.42519429503449</v>
          </cell>
          <cell r="AG782">
            <v>454.29493530603173</v>
          </cell>
          <cell r="AH782">
            <v>444.35809403493164</v>
          </cell>
        </row>
        <row r="783">
          <cell r="B783" t="str">
            <v/>
          </cell>
        </row>
        <row r="784">
          <cell r="B784" t="str">
            <v>e-methane liquefied (PS) - Feedstock cost including feedstock feedstock cost - Global - USD/ton fuel</v>
          </cell>
          <cell r="G784">
            <v>6.75</v>
          </cell>
          <cell r="H784">
            <v>6.750000000000024</v>
          </cell>
          <cell r="I784">
            <v>6.750000000000024</v>
          </cell>
          <cell r="J784">
            <v>6.750000000000024</v>
          </cell>
          <cell r="K784">
            <v>6.750000000000048</v>
          </cell>
          <cell r="L784">
            <v>6.75</v>
          </cell>
          <cell r="M784">
            <v>6.750000000000048</v>
          </cell>
          <cell r="N784">
            <v>6.75</v>
          </cell>
          <cell r="O784">
            <v>6.749999999999952</v>
          </cell>
          <cell r="P784">
            <v>6.750000000000024</v>
          </cell>
          <cell r="Q784">
            <v>6.7500000000000959</v>
          </cell>
          <cell r="R784">
            <v>6.750000000000048</v>
          </cell>
          <cell r="S784">
            <v>6.7500000000000959</v>
          </cell>
          <cell r="T784">
            <v>6.7500000000001199</v>
          </cell>
          <cell r="U784">
            <v>6.7500000000000604</v>
          </cell>
          <cell r="V784">
            <v>6.7500000000001794</v>
          </cell>
          <cell r="W784">
            <v>6.7500000000001199</v>
          </cell>
          <cell r="X784">
            <v>6.749999999999952</v>
          </cell>
          <cell r="Y784">
            <v>6.75</v>
          </cell>
          <cell r="Z784">
            <v>6.749999999999976</v>
          </cell>
          <cell r="AA784">
            <v>6.750000000000024</v>
          </cell>
          <cell r="AB784">
            <v>6.75</v>
          </cell>
          <cell r="AC784">
            <v>6.75</v>
          </cell>
          <cell r="AD784">
            <v>6.75</v>
          </cell>
          <cell r="AE784">
            <v>6.75</v>
          </cell>
          <cell r="AF784">
            <v>6.75</v>
          </cell>
          <cell r="AG784">
            <v>6.75</v>
          </cell>
          <cell r="AH784">
            <v>6.75</v>
          </cell>
        </row>
        <row r="785">
          <cell r="B785" t="str">
            <v>e-methane (PS) - Feedstock cost - Global - USD/ton fuel</v>
          </cell>
          <cell r="G785">
            <v>6.75</v>
          </cell>
          <cell r="H785">
            <v>6.750000000000024</v>
          </cell>
          <cell r="I785">
            <v>6.750000000000024</v>
          </cell>
          <cell r="J785">
            <v>6.750000000000024</v>
          </cell>
          <cell r="K785">
            <v>6.750000000000048</v>
          </cell>
          <cell r="L785">
            <v>6.75</v>
          </cell>
          <cell r="M785">
            <v>6.750000000000048</v>
          </cell>
          <cell r="N785">
            <v>6.75</v>
          </cell>
          <cell r="O785">
            <v>6.749999999999952</v>
          </cell>
          <cell r="P785">
            <v>6.750000000000024</v>
          </cell>
          <cell r="Q785">
            <v>6.7500000000000959</v>
          </cell>
          <cell r="R785">
            <v>6.750000000000048</v>
          </cell>
          <cell r="S785">
            <v>6.7500000000000959</v>
          </cell>
          <cell r="T785">
            <v>6.7500000000001199</v>
          </cell>
          <cell r="U785">
            <v>6.7500000000000604</v>
          </cell>
          <cell r="V785">
            <v>6.7500000000001794</v>
          </cell>
          <cell r="W785">
            <v>6.7500000000001199</v>
          </cell>
          <cell r="X785">
            <v>6.749999999999952</v>
          </cell>
          <cell r="Y785">
            <v>6.75</v>
          </cell>
          <cell r="Z785">
            <v>6.749999999999976</v>
          </cell>
          <cell r="AA785">
            <v>6.750000000000024</v>
          </cell>
          <cell r="AB785">
            <v>6.75</v>
          </cell>
          <cell r="AC785">
            <v>6.75</v>
          </cell>
          <cell r="AD785">
            <v>6.75</v>
          </cell>
          <cell r="AE785">
            <v>6.75</v>
          </cell>
          <cell r="AF785">
            <v>6.75</v>
          </cell>
          <cell r="AG785">
            <v>6.75</v>
          </cell>
          <cell r="AH785">
            <v>6.75</v>
          </cell>
        </row>
        <row r="787">
          <cell r="B787" t="str">
            <v>e-diesel (DAC) - Item - Region - Unit</v>
          </cell>
          <cell r="G787">
            <v>2023</v>
          </cell>
          <cell r="H787">
            <v>2024</v>
          </cell>
          <cell r="I787">
            <v>2025</v>
          </cell>
          <cell r="J787">
            <v>2026</v>
          </cell>
          <cell r="K787">
            <v>2027</v>
          </cell>
          <cell r="L787">
            <v>2028</v>
          </cell>
          <cell r="M787">
            <v>2029</v>
          </cell>
          <cell r="N787">
            <v>2030</v>
          </cell>
          <cell r="O787">
            <v>2031</v>
          </cell>
          <cell r="P787">
            <v>2032</v>
          </cell>
          <cell r="Q787">
            <v>2033</v>
          </cell>
          <cell r="R787">
            <v>2034</v>
          </cell>
          <cell r="S787">
            <v>2035</v>
          </cell>
          <cell r="T787">
            <v>2036</v>
          </cell>
          <cell r="U787">
            <v>2037</v>
          </cell>
          <cell r="V787">
            <v>2038</v>
          </cell>
          <cell r="W787">
            <v>2039</v>
          </cell>
          <cell r="X787">
            <v>2040</v>
          </cell>
          <cell r="Y787">
            <v>2041</v>
          </cell>
          <cell r="Z787">
            <v>2042</v>
          </cell>
          <cell r="AA787">
            <v>2043</v>
          </cell>
          <cell r="AB787">
            <v>2044</v>
          </cell>
          <cell r="AC787">
            <v>2045</v>
          </cell>
          <cell r="AD787">
            <v>2046</v>
          </cell>
          <cell r="AE787">
            <v>2047</v>
          </cell>
          <cell r="AF787">
            <v>2048</v>
          </cell>
          <cell r="AG787">
            <v>2049</v>
          </cell>
          <cell r="AH787">
            <v>2050</v>
          </cell>
        </row>
        <row r="788">
          <cell r="B788" t="str">
            <v>e-diesel (DAC) - Total cost - Africa - USD/ton fuel</v>
          </cell>
          <cell r="G788">
            <v>4233.077834254419</v>
          </cell>
          <cell r="H788">
            <v>3889.5738294368539</v>
          </cell>
          <cell r="I788">
            <v>3548.1039542465574</v>
          </cell>
          <cell r="J788">
            <v>3395.9842661599296</v>
          </cell>
          <cell r="K788">
            <v>3243.3479239770163</v>
          </cell>
          <cell r="L788">
            <v>3090.2432375134867</v>
          </cell>
          <cell r="M788">
            <v>2936.7185165850583</v>
          </cell>
          <cell r="N788">
            <v>2782.8220710073783</v>
          </cell>
          <cell r="O788">
            <v>2721.786058335028</v>
          </cell>
          <cell r="P788">
            <v>2657.5526594623793</v>
          </cell>
          <cell r="Q788">
            <v>2590.1478952985631</v>
          </cell>
          <cell r="R788">
            <v>2519.5977867527426</v>
          </cell>
          <cell r="S788">
            <v>2445.9283547341033</v>
          </cell>
          <cell r="T788">
            <v>2391.2513161268125</v>
          </cell>
          <cell r="U788">
            <v>2334.3242515143338</v>
          </cell>
          <cell r="V788">
            <v>2275.155651618235</v>
          </cell>
          <cell r="W788">
            <v>2213.7540071599765</v>
          </cell>
          <cell r="X788">
            <v>2150.1278088611007</v>
          </cell>
          <cell r="Y788">
            <v>2068.0341398898559</v>
          </cell>
          <cell r="Z788">
            <v>1985.5176761284154</v>
          </cell>
          <cell r="AA788">
            <v>1902.5734524317356</v>
          </cell>
          <cell r="AB788">
            <v>1819.1965036547149</v>
          </cell>
          <cell r="AC788">
            <v>1735.3818646522786</v>
          </cell>
          <cell r="AD788">
            <v>1664.6553695928048</v>
          </cell>
          <cell r="AE788">
            <v>1594.00193594862</v>
          </cell>
          <cell r="AF788">
            <v>1523.4184349521358</v>
          </cell>
          <cell r="AG788">
            <v>1452.9017378357842</v>
          </cell>
          <cell r="AH788">
            <v>1382.448715831998</v>
          </cell>
        </row>
        <row r="789">
          <cell r="B789" t="str">
            <v>e-diesel (DAC) - Total cost - Americas - USD/ton fuel</v>
          </cell>
          <cell r="G789">
            <v>3471.4109828354422</v>
          </cell>
          <cell r="H789">
            <v>3344.3942298431348</v>
          </cell>
          <cell r="I789">
            <v>3217.4921983414911</v>
          </cell>
          <cell r="J789">
            <v>3088.7221873790882</v>
          </cell>
          <cell r="K789">
            <v>2959.2866755882742</v>
          </cell>
          <cell r="L789">
            <v>2829.2181227440392</v>
          </cell>
          <cell r="M789">
            <v>2698.5489886214436</v>
          </cell>
          <cell r="N789">
            <v>2567.3117329953957</v>
          </cell>
          <cell r="O789">
            <v>2523.102677874791</v>
          </cell>
          <cell r="P789">
            <v>2475.4910163973159</v>
          </cell>
          <cell r="Q789">
            <v>2424.4918211934109</v>
          </cell>
          <cell r="R789">
            <v>2370.1201648935003</v>
          </cell>
          <cell r="S789">
            <v>2312.3911201280639</v>
          </cell>
          <cell r="T789">
            <v>2259.0387960031303</v>
          </cell>
          <cell r="U789">
            <v>2203.4589528104993</v>
          </cell>
          <cell r="V789">
            <v>2145.6600609112725</v>
          </cell>
          <cell r="W789">
            <v>2085.6505906664543</v>
          </cell>
          <cell r="X789">
            <v>2023.4390124371096</v>
          </cell>
          <cell r="Y789">
            <v>1952.5084183176946</v>
          </cell>
          <cell r="Z789">
            <v>1880.896422147573</v>
          </cell>
          <cell r="AA789">
            <v>1808.6010832885884</v>
          </cell>
          <cell r="AB789">
            <v>1735.6204611025041</v>
          </cell>
          <cell r="AC789">
            <v>1661.9526149511391</v>
          </cell>
          <cell r="AD789">
            <v>1594.9422051678503</v>
          </cell>
          <cell r="AE789">
            <v>1527.9288748375207</v>
          </cell>
          <cell r="AF789">
            <v>1460.9107443136268</v>
          </cell>
          <cell r="AG789">
            <v>1393.8859339496553</v>
          </cell>
          <cell r="AH789">
            <v>1326.8525640990952</v>
          </cell>
        </row>
        <row r="790">
          <cell r="B790" t="str">
            <v>e-diesel (DAC) - Total cost - Asia - USD/ton fuel</v>
          </cell>
          <cell r="G790">
            <v>4463.0171201591793</v>
          </cell>
          <cell r="H790">
            <v>4158.6242826139915</v>
          </cell>
          <cell r="I790">
            <v>3855.850396798789</v>
          </cell>
          <cell r="J790">
            <v>3697.4990660818021</v>
          </cell>
          <cell r="K790">
            <v>3538.6060104799981</v>
          </cell>
          <cell r="L790">
            <v>3379.2229666832</v>
          </cell>
          <cell r="M790">
            <v>3219.4016713813953</v>
          </cell>
          <cell r="N790">
            <v>3059.1938612644444</v>
          </cell>
          <cell r="O790">
            <v>2985.00686588189</v>
          </cell>
          <cell r="P790">
            <v>2907.7417594033059</v>
          </cell>
          <cell r="Q790">
            <v>2827.4324734982042</v>
          </cell>
          <cell r="R790">
            <v>2744.1129398360531</v>
          </cell>
          <cell r="S790">
            <v>2657.8170900864375</v>
          </cell>
          <cell r="T790">
            <v>2594.527471078688</v>
          </cell>
          <cell r="U790">
            <v>2529.0810360795431</v>
          </cell>
          <cell r="V790">
            <v>2461.4897449067712</v>
          </cell>
          <cell r="W790">
            <v>2391.7655573779925</v>
          </cell>
          <cell r="X790">
            <v>2319.9204333109487</v>
          </cell>
          <cell r="Y790">
            <v>2228.857724407871</v>
          </cell>
          <cell r="Z790">
            <v>2137.5647093827602</v>
          </cell>
          <cell r="AA790">
            <v>2046.0342689217675</v>
          </cell>
          <cell r="AB790">
            <v>1954.259283710986</v>
          </cell>
          <cell r="AC790">
            <v>1862.2326344365397</v>
          </cell>
          <cell r="AD790">
            <v>1787.6117493594509</v>
          </cell>
          <cell r="AE790">
            <v>1713.1377720295286</v>
          </cell>
          <cell r="AF790">
            <v>1638.806510915156</v>
          </cell>
          <cell r="AG790">
            <v>1564.6137744847167</v>
          </cell>
          <cell r="AH790">
            <v>1490.5553712065966</v>
          </cell>
        </row>
        <row r="791">
          <cell r="B791" t="str">
            <v>e-diesel (DAC) - Total cost - Europe - USD/ton fuel</v>
          </cell>
          <cell r="G791">
            <v>3880.5669065019192</v>
          </cell>
          <cell r="H791">
            <v>3705.4189723515742</v>
          </cell>
          <cell r="I791">
            <v>3530.7678599543974</v>
          </cell>
          <cell r="J791">
            <v>3386.6134791016143</v>
          </cell>
          <cell r="K791">
            <v>3241.8634940965585</v>
          </cell>
          <cell r="L791">
            <v>3096.5604585520168</v>
          </cell>
          <cell r="M791">
            <v>2950.7469260807752</v>
          </cell>
          <cell r="N791">
            <v>2804.4654502955664</v>
          </cell>
          <cell r="O791">
            <v>2755.5714857060948</v>
          </cell>
          <cell r="P791">
            <v>2703.2645770630907</v>
          </cell>
          <cell r="Q791">
            <v>2647.5617853282347</v>
          </cell>
          <cell r="R791">
            <v>2588.4801714632354</v>
          </cell>
          <cell r="S791">
            <v>2526.0367964298625</v>
          </cell>
          <cell r="T791">
            <v>2473.2953648698222</v>
          </cell>
          <cell r="U791">
            <v>2418.2363402680794</v>
          </cell>
          <cell r="V791">
            <v>2360.8667843026246</v>
          </cell>
          <cell r="W791">
            <v>2301.1937586513295</v>
          </cell>
          <cell r="X791">
            <v>2239.2243249921439</v>
          </cell>
          <cell r="Y791">
            <v>2158.1002672256163</v>
          </cell>
          <cell r="Z791">
            <v>2076.5084443692385</v>
          </cell>
          <cell r="AA791">
            <v>1994.4445600884771</v>
          </cell>
          <cell r="AB791">
            <v>1911.9043180487063</v>
          </cell>
          <cell r="AC791">
            <v>1828.8834219153669</v>
          </cell>
          <cell r="AD791">
            <v>1755.0273404255074</v>
          </cell>
          <cell r="AE791">
            <v>1681.30464189744</v>
          </cell>
          <cell r="AF791">
            <v>1607.7113018649409</v>
          </cell>
          <cell r="AG791">
            <v>1534.2432958617883</v>
          </cell>
          <cell r="AH791">
            <v>1460.8965994217597</v>
          </cell>
        </row>
        <row r="792">
          <cell r="B792" t="str">
            <v>e-diesel (DAC) - Total cost - Middle East - USD/ton fuel</v>
          </cell>
          <cell r="G792">
            <v>3483.1024594958426</v>
          </cell>
          <cell r="H792">
            <v>3325.5038099398962</v>
          </cell>
          <cell r="I792">
            <v>3168.3088766605561</v>
          </cell>
          <cell r="J792">
            <v>3046.7959028100513</v>
          </cell>
          <cell r="K792">
            <v>2924.5553539649845</v>
          </cell>
          <cell r="L792">
            <v>2801.6145677118502</v>
          </cell>
          <cell r="M792">
            <v>2678.0008816371992</v>
          </cell>
          <cell r="N792">
            <v>2553.7416333274759</v>
          </cell>
          <cell r="O792">
            <v>2504.7938010299813</v>
          </cell>
          <cell r="P792">
            <v>2452.5294412479366</v>
          </cell>
          <cell r="Q792">
            <v>2396.9671541348371</v>
          </cell>
          <cell r="R792">
            <v>2338.1255398441958</v>
          </cell>
          <cell r="S792">
            <v>2276.0231985295572</v>
          </cell>
          <cell r="T792">
            <v>2226.8196135399539</v>
          </cell>
          <cell r="U792">
            <v>2175.3196300505629</v>
          </cell>
          <cell r="V792">
            <v>2121.5297133043105</v>
          </cell>
          <cell r="W792">
            <v>2065.4563285440036</v>
          </cell>
          <cell r="X792">
            <v>2007.1059410125333</v>
          </cell>
          <cell r="Y792">
            <v>1927.2953788016171</v>
          </cell>
          <cell r="Z792">
            <v>1847.0354635065855</v>
          </cell>
          <cell r="AA792">
            <v>1766.3213734471562</v>
          </cell>
          <cell r="AB792">
            <v>1685.1482869429888</v>
          </cell>
          <cell r="AC792">
            <v>1603.5113823137749</v>
          </cell>
          <cell r="AD792">
            <v>1534.8196359350538</v>
          </cell>
          <cell r="AE792">
            <v>1466.1699674573188</v>
          </cell>
          <cell r="AF792">
            <v>1397.5594796271464</v>
          </cell>
          <cell r="AG792">
            <v>1328.9852751911285</v>
          </cell>
          <cell r="AH792">
            <v>1260.4444568958568</v>
          </cell>
        </row>
        <row r="793">
          <cell r="B793" t="str">
            <v/>
          </cell>
        </row>
        <row r="794">
          <cell r="B794" t="str">
            <v>e-diesel (DAC) - CAPEX including feedstock CAPEX - Global - USD/ton fuel</v>
          </cell>
          <cell r="G794">
            <v>422.55451060910485</v>
          </cell>
          <cell r="H794">
            <v>409.76629204349035</v>
          </cell>
          <cell r="I794">
            <v>396.86075840591059</v>
          </cell>
          <cell r="J794">
            <v>386.57887646154353</v>
          </cell>
          <cell r="K794">
            <v>376.07904929153608</v>
          </cell>
          <cell r="L794">
            <v>365.36127689589131</v>
          </cell>
          <cell r="M794">
            <v>354.42555927461081</v>
          </cell>
          <cell r="N794">
            <v>343.27189642768974</v>
          </cell>
          <cell r="O794">
            <v>340.93115743645598</v>
          </cell>
          <cell r="P794">
            <v>338.08214778753472</v>
          </cell>
          <cell r="Q794">
            <v>334.72486748092399</v>
          </cell>
          <cell r="R794">
            <v>330.85931651662298</v>
          </cell>
          <cell r="S794">
            <v>326.48549489463426</v>
          </cell>
          <cell r="T794">
            <v>321.60041308143832</v>
          </cell>
          <cell r="U794">
            <v>316.29583126997767</v>
          </cell>
          <cell r="V794">
            <v>310.57174946025708</v>
          </cell>
          <cell r="W794">
            <v>304.42816765227087</v>
          </cell>
          <cell r="X794">
            <v>297.86508584601791</v>
          </cell>
          <cell r="Y794">
            <v>288.54272574678106</v>
          </cell>
          <cell r="Z794">
            <v>278.90382949636228</v>
          </cell>
          <cell r="AA794">
            <v>268.94839709476543</v>
          </cell>
          <cell r="AB794">
            <v>258.67642854198817</v>
          </cell>
          <cell r="AC794">
            <v>248.08792383803024</v>
          </cell>
          <cell r="AD794">
            <v>237.3342375518001</v>
          </cell>
          <cell r="AE794">
            <v>226.38255940692184</v>
          </cell>
          <cell r="AF794">
            <v>215.23288940339455</v>
          </cell>
          <cell r="AG794">
            <v>203.88522754121877</v>
          </cell>
          <cell r="AH794">
            <v>192.33957382039489</v>
          </cell>
        </row>
        <row r="795">
          <cell r="B795" t="str">
            <v>e-diesel (DAC) - CAPEX - Global - USD/ton fuel</v>
          </cell>
          <cell r="G795">
            <v>204</v>
          </cell>
          <cell r="H795">
            <v>198.66666666666666</v>
          </cell>
          <cell r="I795">
            <v>193.33333333333334</v>
          </cell>
          <cell r="J795">
            <v>188</v>
          </cell>
          <cell r="K795">
            <v>182.66666666666666</v>
          </cell>
          <cell r="L795">
            <v>177.33333333333334</v>
          </cell>
          <cell r="M795">
            <v>172</v>
          </cell>
          <cell r="N795">
            <v>166.66666666666666</v>
          </cell>
          <cell r="O795">
            <v>164.5</v>
          </cell>
          <cell r="P795">
            <v>162.33333333333334</v>
          </cell>
          <cell r="Q795">
            <v>160.16666666666666</v>
          </cell>
          <cell r="R795">
            <v>158</v>
          </cell>
          <cell r="S795">
            <v>155.83333333333334</v>
          </cell>
          <cell r="T795">
            <v>153.66666666666666</v>
          </cell>
          <cell r="U795">
            <v>151.5</v>
          </cell>
          <cell r="V795">
            <v>149.33333333333334</v>
          </cell>
          <cell r="W795">
            <v>147.16666666666666</v>
          </cell>
          <cell r="X795">
            <v>145</v>
          </cell>
          <cell r="Y795">
            <v>140.5</v>
          </cell>
          <cell r="Z795">
            <v>136</v>
          </cell>
          <cell r="AA795">
            <v>131.5</v>
          </cell>
          <cell r="AB795">
            <v>127</v>
          </cell>
          <cell r="AC795">
            <v>122.5</v>
          </cell>
          <cell r="AD795">
            <v>118</v>
          </cell>
          <cell r="AE795">
            <v>113.5</v>
          </cell>
          <cell r="AF795">
            <v>109</v>
          </cell>
          <cell r="AG795">
            <v>104.5</v>
          </cell>
          <cell r="AH795">
            <v>100</v>
          </cell>
        </row>
        <row r="796">
          <cell r="B796" t="str">
            <v>e-hydrogen (compressed) - CAPEX including feedstock CAPEX - Global - USD/ton fuel</v>
          </cell>
          <cell r="G796">
            <v>256.64635353013858</v>
          </cell>
          <cell r="H796">
            <v>247.21700590830653</v>
          </cell>
          <cell r="I796">
            <v>237.53805175037812</v>
          </cell>
          <cell r="J796">
            <v>232.53269690653616</v>
          </cell>
          <cell r="K796">
            <v>227.06362881665248</v>
          </cell>
          <cell r="L796">
            <v>221.13084748073197</v>
          </cell>
          <cell r="M796">
            <v>214.73435289877628</v>
          </cell>
          <cell r="N796">
            <v>207.87414507077864</v>
          </cell>
          <cell r="O796">
            <v>212.24697175898439</v>
          </cell>
          <cell r="P796">
            <v>215.53837151594018</v>
          </cell>
          <cell r="Q796">
            <v>217.74834434164336</v>
          </cell>
          <cell r="R796">
            <v>218.87689023608903</v>
          </cell>
          <cell r="S796">
            <v>218.92400919928582</v>
          </cell>
          <cell r="T796">
            <v>217.21328869368136</v>
          </cell>
          <cell r="U796">
            <v>214.61001500027928</v>
          </cell>
          <cell r="V796">
            <v>211.1141881190886</v>
          </cell>
          <cell r="W796">
            <v>206.72580805010043</v>
          </cell>
          <cell r="X796">
            <v>201.44487479331141</v>
          </cell>
          <cell r="Y796">
            <v>194.68227936129369</v>
          </cell>
          <cell r="Z796">
            <v>187.24620275654928</v>
          </cell>
          <cell r="AA796">
            <v>179.13664497908553</v>
          </cell>
          <cell r="AB796">
            <v>170.35360602889762</v>
          </cell>
          <cell r="AC796">
            <v>160.89708590598403</v>
          </cell>
          <cell r="AD796">
            <v>150.64085698303418</v>
          </cell>
          <cell r="AE796">
            <v>139.96336878636401</v>
          </cell>
          <cell r="AF796">
            <v>128.86462131597352</v>
          </cell>
          <cell r="AG796">
            <v>117.34461457186269</v>
          </cell>
          <cell r="AH796">
            <v>105.40334855403168</v>
          </cell>
        </row>
        <row r="797">
          <cell r="B797" t="str">
            <v>Carbon dioxide (DAC) - CAPEX - Global - USD/ton fuel</v>
          </cell>
          <cell r="G797">
            <v>30.508013847333252</v>
          </cell>
          <cell r="H797">
            <v>29.566240685333227</v>
          </cell>
          <cell r="I797">
            <v>28.624467523333198</v>
          </cell>
          <cell r="J797">
            <v>27.81573486463288</v>
          </cell>
          <cell r="K797">
            <v>27.00700220593232</v>
          </cell>
          <cell r="L797">
            <v>26.198269547231757</v>
          </cell>
          <cell r="M797">
            <v>25.389536888531438</v>
          </cell>
          <cell r="N797">
            <v>24.580804229830878</v>
          </cell>
          <cell r="O797">
            <v>23.886317978110068</v>
          </cell>
          <cell r="P797">
            <v>23.191831726389257</v>
          </cell>
          <cell r="Q797">
            <v>22.497345474668204</v>
          </cell>
          <cell r="R797">
            <v>21.802859222947397</v>
          </cell>
          <cell r="S797">
            <v>21.108372971226345</v>
          </cell>
          <cell r="T797">
            <v>20.511993996492674</v>
          </cell>
          <cell r="U797">
            <v>19.915615021759002</v>
          </cell>
          <cell r="V797">
            <v>19.319236047025576</v>
          </cell>
          <cell r="W797">
            <v>18.722857072291905</v>
          </cell>
          <cell r="X797">
            <v>18.126478097558113</v>
          </cell>
          <cell r="Y797">
            <v>17.614347179742374</v>
          </cell>
          <cell r="Z797">
            <v>17.102216261926515</v>
          </cell>
          <cell r="AA797">
            <v>16.590085344110655</v>
          </cell>
          <cell r="AB797">
            <v>16.077954426294795</v>
          </cell>
          <cell r="AC797">
            <v>15.565823508479054</v>
          </cell>
          <cell r="AD797">
            <v>15.119325473449862</v>
          </cell>
          <cell r="AE797">
            <v>14.672827438420791</v>
          </cell>
          <cell r="AF797">
            <v>14.226329403391597</v>
          </cell>
          <cell r="AG797">
            <v>13.779831368362405</v>
          </cell>
          <cell r="AH797">
            <v>13.333333333333334</v>
          </cell>
        </row>
        <row r="798">
          <cell r="B798" t="str">
            <v>e-diesel - Conversion H2 -&gt; diesel - Global - ton H2/ton diesel</v>
          </cell>
          <cell r="G798">
            <v>0.47</v>
          </cell>
          <cell r="H798">
            <v>0.47</v>
          </cell>
          <cell r="I798">
            <v>0.47</v>
          </cell>
          <cell r="J798">
            <v>0.47</v>
          </cell>
          <cell r="K798">
            <v>0.47</v>
          </cell>
          <cell r="L798">
            <v>0.47</v>
          </cell>
          <cell r="M798">
            <v>0.47</v>
          </cell>
          <cell r="N798">
            <v>0.47</v>
          </cell>
          <cell r="O798">
            <v>0.47</v>
          </cell>
          <cell r="P798">
            <v>0.47</v>
          </cell>
          <cell r="Q798">
            <v>0.47</v>
          </cell>
          <cell r="R798">
            <v>0.47</v>
          </cell>
          <cell r="S798">
            <v>0.47</v>
          </cell>
          <cell r="T798">
            <v>0.47</v>
          </cell>
          <cell r="U798">
            <v>0.47</v>
          </cell>
          <cell r="V798">
            <v>0.47</v>
          </cell>
          <cell r="W798">
            <v>0.47</v>
          </cell>
          <cell r="X798">
            <v>0.47</v>
          </cell>
          <cell r="Y798">
            <v>0.47</v>
          </cell>
          <cell r="Z798">
            <v>0.47</v>
          </cell>
          <cell r="AA798">
            <v>0.47</v>
          </cell>
          <cell r="AB798">
            <v>0.47</v>
          </cell>
          <cell r="AC798">
            <v>0.47</v>
          </cell>
          <cell r="AD798">
            <v>0.47</v>
          </cell>
          <cell r="AE798">
            <v>0.47</v>
          </cell>
          <cell r="AF798">
            <v>0.47</v>
          </cell>
          <cell r="AG798">
            <v>0.47</v>
          </cell>
          <cell r="AH798">
            <v>0.47</v>
          </cell>
        </row>
        <row r="799">
          <cell r="B799" t="str">
            <v>e-diesel - Conversion CO2 -&gt; diesel - Global - ton CO2/ton diesel</v>
          </cell>
          <cell r="G799">
            <v>3.21</v>
          </cell>
          <cell r="H799">
            <v>3.21</v>
          </cell>
          <cell r="I799">
            <v>3.21</v>
          </cell>
          <cell r="J799">
            <v>3.21</v>
          </cell>
          <cell r="K799">
            <v>3.21</v>
          </cell>
          <cell r="L799">
            <v>3.21</v>
          </cell>
          <cell r="M799">
            <v>3.21</v>
          </cell>
          <cell r="N799">
            <v>3.21</v>
          </cell>
          <cell r="O799">
            <v>3.21</v>
          </cell>
          <cell r="P799">
            <v>3.21</v>
          </cell>
          <cell r="Q799">
            <v>3.21</v>
          </cell>
          <cell r="R799">
            <v>3.21</v>
          </cell>
          <cell r="S799">
            <v>3.21</v>
          </cell>
          <cell r="T799">
            <v>3.21</v>
          </cell>
          <cell r="U799">
            <v>3.21</v>
          </cell>
          <cell r="V799">
            <v>3.21</v>
          </cell>
          <cell r="W799">
            <v>3.21</v>
          </cell>
          <cell r="X799">
            <v>3.21</v>
          </cell>
          <cell r="Y799">
            <v>3.21</v>
          </cell>
          <cell r="Z799">
            <v>3.21</v>
          </cell>
          <cell r="AA799">
            <v>3.21</v>
          </cell>
          <cell r="AB799">
            <v>3.21</v>
          </cell>
          <cell r="AC799">
            <v>3.21</v>
          </cell>
          <cell r="AD799">
            <v>3.21</v>
          </cell>
          <cell r="AE799">
            <v>3.21</v>
          </cell>
          <cell r="AF799">
            <v>3.21</v>
          </cell>
          <cell r="AG799">
            <v>3.21</v>
          </cell>
          <cell r="AH799">
            <v>3.21</v>
          </cell>
        </row>
        <row r="800">
          <cell r="B800" t="str">
            <v/>
          </cell>
        </row>
        <row r="801">
          <cell r="B801" t="str">
            <v>e-diesel (DAC) - OPEX including feedstock OPEX - Global - USD/ton fuel</v>
          </cell>
          <cell r="G801">
            <v>1057.7372738525414</v>
          </cell>
          <cell r="H801">
            <v>997.06825768004649</v>
          </cell>
          <cell r="I801">
            <v>936.75546409288199</v>
          </cell>
          <cell r="J801">
            <v>885.78370282048479</v>
          </cell>
          <cell r="K801">
            <v>834.55138833762862</v>
          </cell>
          <cell r="L801">
            <v>783.05852064430189</v>
          </cell>
          <cell r="M801">
            <v>731.30509974052541</v>
          </cell>
          <cell r="N801">
            <v>679.29112562626824</v>
          </cell>
          <cell r="O801">
            <v>670.00626109781888</v>
          </cell>
          <cell r="P801">
            <v>658.54554073387271</v>
          </cell>
          <cell r="Q801">
            <v>644.90896453443929</v>
          </cell>
          <cell r="R801">
            <v>629.09653249950907</v>
          </cell>
          <cell r="S801">
            <v>611.10824462908761</v>
          </cell>
          <cell r="T801">
            <v>594.73914274060724</v>
          </cell>
          <cell r="U801">
            <v>577.08104779304267</v>
          </cell>
          <cell r="V801">
            <v>558.13395978640585</v>
          </cell>
          <cell r="W801">
            <v>537.89787872067689</v>
          </cell>
          <cell r="X801">
            <v>516.37280459586384</v>
          </cell>
          <cell r="Y801">
            <v>485.37352102285138</v>
          </cell>
          <cell r="Z801">
            <v>454.30000055487267</v>
          </cell>
          <cell r="AA801">
            <v>423.15224319194624</v>
          </cell>
          <cell r="AB801">
            <v>391.9302489340572</v>
          </cell>
          <cell r="AC801">
            <v>360.63401778121511</v>
          </cell>
          <cell r="AD801">
            <v>333.71139581301748</v>
          </cell>
          <cell r="AE801">
            <v>307.12087483162151</v>
          </cell>
          <cell r="AF801">
            <v>280.86245483702299</v>
          </cell>
          <cell r="AG801">
            <v>254.93613582922234</v>
          </cell>
          <cell r="AH801">
            <v>229.34191780822027</v>
          </cell>
        </row>
        <row r="802">
          <cell r="B802" t="str">
            <v>e-diesel (DAC) - OPEX - Global - USD/ton fuel</v>
          </cell>
          <cell r="G802">
            <v>538.55999999999506</v>
          </cell>
          <cell r="H802">
            <v>500.63999999999783</v>
          </cell>
          <cell r="I802">
            <v>464.0000000000004</v>
          </cell>
          <cell r="J802">
            <v>428.63999999999288</v>
          </cell>
          <cell r="K802">
            <v>394.55999999999551</v>
          </cell>
          <cell r="L802">
            <v>361.75999999999794</v>
          </cell>
          <cell r="M802">
            <v>330.24000000000029</v>
          </cell>
          <cell r="N802">
            <v>299.99999999999363</v>
          </cell>
          <cell r="O802">
            <v>296.09999999999997</v>
          </cell>
          <cell r="P802">
            <v>292.2</v>
          </cell>
          <cell r="Q802">
            <v>288.3</v>
          </cell>
          <cell r="R802">
            <v>284.39999999999998</v>
          </cell>
          <cell r="S802">
            <v>280.5</v>
          </cell>
          <cell r="T802">
            <v>276.59999999999997</v>
          </cell>
          <cell r="U802">
            <v>272.7</v>
          </cell>
          <cell r="V802">
            <v>268.8</v>
          </cell>
          <cell r="W802">
            <v>264.89999999999998</v>
          </cell>
          <cell r="X802">
            <v>260.99999999999829</v>
          </cell>
          <cell r="Y802">
            <v>244.46999999999929</v>
          </cell>
          <cell r="Z802">
            <v>228.47999999999658</v>
          </cell>
          <cell r="AA802">
            <v>213.02999999999756</v>
          </cell>
          <cell r="AB802">
            <v>198.11999999999847</v>
          </cell>
          <cell r="AC802">
            <v>183.74999999999935</v>
          </cell>
          <cell r="AD802">
            <v>169.919999999997</v>
          </cell>
          <cell r="AE802">
            <v>156.62999999999786</v>
          </cell>
          <cell r="AF802">
            <v>143.87999999999869</v>
          </cell>
          <cell r="AG802">
            <v>131.66999999999942</v>
          </cell>
          <cell r="AH802">
            <v>120.00000000000011</v>
          </cell>
        </row>
        <row r="803">
          <cell r="B803" t="str">
            <v>e-hydrogen (compressed) - OPEX including feedstock OPEX - Global - USD/ton fuel</v>
          </cell>
          <cell r="G803">
            <v>778.63990898977545</v>
          </cell>
          <cell r="H803">
            <v>746.81733762687418</v>
          </cell>
          <cell r="I803">
            <v>712.61415525113227</v>
          </cell>
          <cell r="J803">
            <v>693.21795180920219</v>
          </cell>
          <cell r="K803">
            <v>670.22211331548374</v>
          </cell>
          <cell r="L803">
            <v>643.6266397699726</v>
          </cell>
          <cell r="M803">
            <v>613.43153117270822</v>
          </cell>
          <cell r="N803">
            <v>579.63678752365013</v>
          </cell>
          <cell r="O803">
            <v>578.89498738880036</v>
          </cell>
          <cell r="P803">
            <v>573.27415594361116</v>
          </cell>
          <cell r="Q803">
            <v>562.77429318809038</v>
          </cell>
          <cell r="R803">
            <v>547.39539912221437</v>
          </cell>
          <cell r="S803">
            <v>527.13747374599984</v>
          </cell>
          <cell r="T803">
            <v>508.91545321169565</v>
          </cell>
          <cell r="U803">
            <v>487.75740898550708</v>
          </cell>
          <cell r="V803">
            <v>463.66334106745865</v>
          </cell>
          <cell r="W803">
            <v>436.63324945751151</v>
          </cell>
          <cell r="X803">
            <v>406.66713415568563</v>
          </cell>
          <cell r="Y803">
            <v>382.32288786138321</v>
          </cell>
          <cell r="Z803">
            <v>356.52173881762411</v>
          </cell>
          <cell r="AA803">
            <v>329.2636870244329</v>
          </cell>
          <cell r="AB803">
            <v>300.54873248178433</v>
          </cell>
          <cell r="AC803">
            <v>270.37687518969852</v>
          </cell>
          <cell r="AD803">
            <v>247.55933903156756</v>
          </cell>
          <cell r="AE803">
            <v>224.18137658421693</v>
          </cell>
          <cell r="AF803">
            <v>200.24298784764761</v>
          </cell>
          <cell r="AG803">
            <v>175.74417282185905</v>
          </cell>
          <cell r="AH803">
            <v>150.68493150685131</v>
          </cell>
        </row>
        <row r="804">
          <cell r="B804" t="str">
            <v>Carbon dioxide (DAC) - OPEX - Global - USD/ton fuel</v>
          </cell>
          <cell r="G804">
            <v>47.7310020645956</v>
          </cell>
          <cell r="H804">
            <v>45.303460746236098</v>
          </cell>
          <cell r="I804">
            <v>42.936701284999835</v>
          </cell>
          <cell r="J804">
            <v>40.913166813136101</v>
          </cell>
          <cell r="K804">
            <v>38.936758591699629</v>
          </cell>
          <cell r="L804">
            <v>37.007476620690611</v>
          </cell>
          <cell r="M804">
            <v>35.125320900109735</v>
          </cell>
          <cell r="N804">
            <v>33.290291429956135</v>
          </cell>
          <cell r="O804">
            <v>31.721376020274985</v>
          </cell>
          <cell r="P804">
            <v>30.18899920260916</v>
          </cell>
          <cell r="Q804">
            <v>28.693160976958509</v>
          </cell>
          <cell r="R804">
            <v>27.23386134332349</v>
          </cell>
          <cell r="S804">
            <v>25.811100301703355</v>
          </cell>
          <cell r="T804">
            <v>24.594666582900402</v>
          </cell>
          <cell r="U804">
            <v>23.406562482820661</v>
          </cell>
          <cell r="V804">
            <v>22.246788001464278</v>
          </cell>
          <cell r="W804">
            <v>21.115343138830685</v>
          </cell>
          <cell r="X804">
            <v>20.012227894920034</v>
          </cell>
          <cell r="Y804">
            <v>19.069085273520873</v>
          </cell>
          <cell r="Z804">
            <v>18.147907573393375</v>
          </cell>
          <cell r="AA804">
            <v>17.248694794537446</v>
          </cell>
          <cell r="AB804">
            <v>16.371446936953305</v>
          </cell>
          <cell r="AC804">
            <v>15.516164000640968</v>
          </cell>
          <cell r="AD804">
            <v>14.778350924667834</v>
          </cell>
          <cell r="AE804">
            <v>14.057827986617346</v>
          </cell>
          <cell r="AF804">
            <v>13.354595186489069</v>
          </cell>
          <cell r="AG804">
            <v>12.668652524283226</v>
          </cell>
          <cell r="AH804">
            <v>12.000000000000011</v>
          </cell>
        </row>
        <row r="805">
          <cell r="B805" t="str">
            <v>e-diesel - Conversion H2 -&gt; diesel - Global - ton H2/ton diesel</v>
          </cell>
          <cell r="G805">
            <v>0.47</v>
          </cell>
          <cell r="H805">
            <v>0.47</v>
          </cell>
          <cell r="I805">
            <v>0.47</v>
          </cell>
          <cell r="J805">
            <v>0.47</v>
          </cell>
          <cell r="K805">
            <v>0.47</v>
          </cell>
          <cell r="L805">
            <v>0.47</v>
          </cell>
          <cell r="M805">
            <v>0.47</v>
          </cell>
          <cell r="N805">
            <v>0.47</v>
          </cell>
          <cell r="O805">
            <v>0.47</v>
          </cell>
          <cell r="P805">
            <v>0.47</v>
          </cell>
          <cell r="Q805">
            <v>0.47</v>
          </cell>
          <cell r="R805">
            <v>0.47</v>
          </cell>
          <cell r="S805">
            <v>0.47</v>
          </cell>
          <cell r="T805">
            <v>0.47</v>
          </cell>
          <cell r="U805">
            <v>0.47</v>
          </cell>
          <cell r="V805">
            <v>0.47</v>
          </cell>
          <cell r="W805">
            <v>0.47</v>
          </cell>
          <cell r="X805">
            <v>0.47</v>
          </cell>
          <cell r="Y805">
            <v>0.47</v>
          </cell>
          <cell r="Z805">
            <v>0.47</v>
          </cell>
          <cell r="AA805">
            <v>0.47</v>
          </cell>
          <cell r="AB805">
            <v>0.47</v>
          </cell>
          <cell r="AC805">
            <v>0.47</v>
          </cell>
          <cell r="AD805">
            <v>0.47</v>
          </cell>
          <cell r="AE805">
            <v>0.47</v>
          </cell>
          <cell r="AF805">
            <v>0.47</v>
          </cell>
          <cell r="AG805">
            <v>0.47</v>
          </cell>
          <cell r="AH805">
            <v>0.47</v>
          </cell>
        </row>
        <row r="806">
          <cell r="B806" t="str">
            <v>e-diesel - Conversion CO2 -&gt; diesel - Global - ton CO2/ton diesel</v>
          </cell>
          <cell r="G806">
            <v>3.21</v>
          </cell>
          <cell r="H806">
            <v>3.21</v>
          </cell>
          <cell r="I806">
            <v>3.21</v>
          </cell>
          <cell r="J806">
            <v>3.21</v>
          </cell>
          <cell r="K806">
            <v>3.21</v>
          </cell>
          <cell r="L806">
            <v>3.21</v>
          </cell>
          <cell r="M806">
            <v>3.21</v>
          </cell>
          <cell r="N806">
            <v>3.21</v>
          </cell>
          <cell r="O806">
            <v>3.21</v>
          </cell>
          <cell r="P806">
            <v>3.21</v>
          </cell>
          <cell r="Q806">
            <v>3.21</v>
          </cell>
          <cell r="R806">
            <v>3.21</v>
          </cell>
          <cell r="S806">
            <v>3.21</v>
          </cell>
          <cell r="T806">
            <v>3.21</v>
          </cell>
          <cell r="U806">
            <v>3.21</v>
          </cell>
          <cell r="V806">
            <v>3.21</v>
          </cell>
          <cell r="W806">
            <v>3.21</v>
          </cell>
          <cell r="X806">
            <v>3.21</v>
          </cell>
          <cell r="Y806">
            <v>3.21</v>
          </cell>
          <cell r="Z806">
            <v>3.21</v>
          </cell>
          <cell r="AA806">
            <v>3.21</v>
          </cell>
          <cell r="AB806">
            <v>3.21</v>
          </cell>
          <cell r="AC806">
            <v>3.21</v>
          </cell>
          <cell r="AD806">
            <v>3.21</v>
          </cell>
          <cell r="AE806">
            <v>3.21</v>
          </cell>
          <cell r="AF806">
            <v>3.21</v>
          </cell>
          <cell r="AG806">
            <v>3.21</v>
          </cell>
          <cell r="AH806">
            <v>3.21</v>
          </cell>
        </row>
        <row r="807">
          <cell r="B807" t="str">
            <v/>
          </cell>
        </row>
        <row r="808">
          <cell r="B808" t="str">
            <v>e-diesel (DAC) - Finance cost including feedstock finance cost - Africa - USD/ton fuel</v>
          </cell>
          <cell r="G808">
            <v>697.21494250502315</v>
          </cell>
          <cell r="H808">
            <v>676.11438187175918</v>
          </cell>
          <cell r="I808">
            <v>654.82025136975267</v>
          </cell>
          <cell r="J808">
            <v>637.85514616154694</v>
          </cell>
          <cell r="K808">
            <v>620.53043133103461</v>
          </cell>
          <cell r="L808">
            <v>602.84610687822067</v>
          </cell>
          <cell r="M808">
            <v>584.80217280310774</v>
          </cell>
          <cell r="N808">
            <v>566.39862910568809</v>
          </cell>
          <cell r="O808">
            <v>562.53640977015243</v>
          </cell>
          <cell r="P808">
            <v>557.83554384943227</v>
          </cell>
          <cell r="Q808">
            <v>552.29603134352465</v>
          </cell>
          <cell r="R808">
            <v>545.91787225242797</v>
          </cell>
          <cell r="S808">
            <v>538.70106657614656</v>
          </cell>
          <cell r="T808">
            <v>530.6406815843734</v>
          </cell>
          <cell r="U808">
            <v>521.88812159546319</v>
          </cell>
          <cell r="V808">
            <v>512.44338660942424</v>
          </cell>
          <cell r="W808">
            <v>502.30647662624705</v>
          </cell>
          <cell r="X808">
            <v>491.47739164592957</v>
          </cell>
          <cell r="Y808">
            <v>476.09549748218876</v>
          </cell>
          <cell r="Z808">
            <v>460.19131866899784</v>
          </cell>
          <cell r="AA808">
            <v>443.76485520636299</v>
          </cell>
          <cell r="AB808">
            <v>426.81610709428054</v>
          </cell>
          <cell r="AC808">
            <v>409.34507433274996</v>
          </cell>
          <cell r="AD808">
            <v>391.60149196047024</v>
          </cell>
          <cell r="AE808">
            <v>373.53122302142106</v>
          </cell>
          <cell r="AF808">
            <v>355.1342675156011</v>
          </cell>
          <cell r="AG808">
            <v>336.41062544301104</v>
          </cell>
          <cell r="AH808">
            <v>317.36029680365164</v>
          </cell>
        </row>
        <row r="809">
          <cell r="B809" t="str">
            <v>e-diesel (DAC) - Finance cost including feedstock finance cost - Americas - USD/ton fuel</v>
          </cell>
          <cell r="G809">
            <v>697.21494250502315</v>
          </cell>
          <cell r="H809">
            <v>676.11438187175918</v>
          </cell>
          <cell r="I809">
            <v>654.82025136975267</v>
          </cell>
          <cell r="J809">
            <v>637.85514616154694</v>
          </cell>
          <cell r="K809">
            <v>620.53043133103461</v>
          </cell>
          <cell r="L809">
            <v>602.84610687822067</v>
          </cell>
          <cell r="M809">
            <v>584.80217280310774</v>
          </cell>
          <cell r="N809">
            <v>566.39862910568809</v>
          </cell>
          <cell r="O809">
            <v>562.53640977015243</v>
          </cell>
          <cell r="P809">
            <v>557.83554384943227</v>
          </cell>
          <cell r="Q809">
            <v>552.29603134352465</v>
          </cell>
          <cell r="R809">
            <v>545.91787225242797</v>
          </cell>
          <cell r="S809">
            <v>538.70106657614656</v>
          </cell>
          <cell r="T809">
            <v>530.6406815843734</v>
          </cell>
          <cell r="U809">
            <v>521.88812159546319</v>
          </cell>
          <cell r="V809">
            <v>512.44338660942424</v>
          </cell>
          <cell r="W809">
            <v>502.30647662624705</v>
          </cell>
          <cell r="X809">
            <v>491.47739164592957</v>
          </cell>
          <cell r="Y809">
            <v>476.09549748218876</v>
          </cell>
          <cell r="Z809">
            <v>460.19131866899784</v>
          </cell>
          <cell r="AA809">
            <v>443.76485520636299</v>
          </cell>
          <cell r="AB809">
            <v>426.81610709428054</v>
          </cell>
          <cell r="AC809">
            <v>409.34507433274996</v>
          </cell>
          <cell r="AD809">
            <v>391.60149196047024</v>
          </cell>
          <cell r="AE809">
            <v>373.53122302142106</v>
          </cell>
          <cell r="AF809">
            <v>355.1342675156011</v>
          </cell>
          <cell r="AG809">
            <v>336.41062544301104</v>
          </cell>
          <cell r="AH809">
            <v>317.36029680365164</v>
          </cell>
        </row>
        <row r="810">
          <cell r="B810" t="str">
            <v>e-diesel (DAC) - Finance cost including feedstock finance cost - Asia - USD/ton fuel</v>
          </cell>
          <cell r="G810">
            <v>697.21494250502315</v>
          </cell>
          <cell r="H810">
            <v>676.11438187175918</v>
          </cell>
          <cell r="I810">
            <v>654.82025136975267</v>
          </cell>
          <cell r="J810">
            <v>637.85514616154694</v>
          </cell>
          <cell r="K810">
            <v>620.53043133103461</v>
          </cell>
          <cell r="L810">
            <v>602.84610687822067</v>
          </cell>
          <cell r="M810">
            <v>584.80217280310774</v>
          </cell>
          <cell r="N810">
            <v>566.39862910568809</v>
          </cell>
          <cell r="O810">
            <v>562.53640977015243</v>
          </cell>
          <cell r="P810">
            <v>557.83554384943227</v>
          </cell>
          <cell r="Q810">
            <v>552.29603134352465</v>
          </cell>
          <cell r="R810">
            <v>545.91787225242797</v>
          </cell>
          <cell r="S810">
            <v>538.70106657614656</v>
          </cell>
          <cell r="T810">
            <v>530.6406815843734</v>
          </cell>
          <cell r="U810">
            <v>521.88812159546319</v>
          </cell>
          <cell r="V810">
            <v>512.44338660942424</v>
          </cell>
          <cell r="W810">
            <v>502.30647662624705</v>
          </cell>
          <cell r="X810">
            <v>491.47739164592957</v>
          </cell>
          <cell r="Y810">
            <v>476.09549748218876</v>
          </cell>
          <cell r="Z810">
            <v>460.19131866899784</v>
          </cell>
          <cell r="AA810">
            <v>443.76485520636299</v>
          </cell>
          <cell r="AB810">
            <v>426.81610709428054</v>
          </cell>
          <cell r="AC810">
            <v>409.34507433274996</v>
          </cell>
          <cell r="AD810">
            <v>391.60149196047024</v>
          </cell>
          <cell r="AE810">
            <v>373.53122302142106</v>
          </cell>
          <cell r="AF810">
            <v>355.1342675156011</v>
          </cell>
          <cell r="AG810">
            <v>336.41062544301104</v>
          </cell>
          <cell r="AH810">
            <v>317.36029680365164</v>
          </cell>
        </row>
        <row r="811">
          <cell r="B811" t="str">
            <v>e-diesel (DAC) - Finance cost including feedstock finance cost - Europe - USD/ton fuel</v>
          </cell>
          <cell r="G811">
            <v>697.21494250502315</v>
          </cell>
          <cell r="H811">
            <v>676.11438187175918</v>
          </cell>
          <cell r="I811">
            <v>654.82025136975267</v>
          </cell>
          <cell r="J811">
            <v>637.85514616154694</v>
          </cell>
          <cell r="K811">
            <v>620.53043133103461</v>
          </cell>
          <cell r="L811">
            <v>602.84610687822067</v>
          </cell>
          <cell r="M811">
            <v>584.80217280310774</v>
          </cell>
          <cell r="N811">
            <v>566.39862910568809</v>
          </cell>
          <cell r="O811">
            <v>562.53640977015243</v>
          </cell>
          <cell r="P811">
            <v>557.83554384943227</v>
          </cell>
          <cell r="Q811">
            <v>552.29603134352465</v>
          </cell>
          <cell r="R811">
            <v>545.91787225242797</v>
          </cell>
          <cell r="S811">
            <v>538.70106657614656</v>
          </cell>
          <cell r="T811">
            <v>530.6406815843734</v>
          </cell>
          <cell r="U811">
            <v>521.88812159546319</v>
          </cell>
          <cell r="V811">
            <v>512.44338660942424</v>
          </cell>
          <cell r="W811">
            <v>502.30647662624705</v>
          </cell>
          <cell r="X811">
            <v>491.47739164592957</v>
          </cell>
          <cell r="Y811">
            <v>476.09549748218876</v>
          </cell>
          <cell r="Z811">
            <v>460.19131866899784</v>
          </cell>
          <cell r="AA811">
            <v>443.76485520636299</v>
          </cell>
          <cell r="AB811">
            <v>426.81610709428054</v>
          </cell>
          <cell r="AC811">
            <v>409.34507433274996</v>
          </cell>
          <cell r="AD811">
            <v>391.60149196047024</v>
          </cell>
          <cell r="AE811">
            <v>373.53122302142106</v>
          </cell>
          <cell r="AF811">
            <v>355.1342675156011</v>
          </cell>
          <cell r="AG811">
            <v>336.41062544301104</v>
          </cell>
          <cell r="AH811">
            <v>317.36029680365164</v>
          </cell>
        </row>
        <row r="812">
          <cell r="B812" t="str">
            <v>e-diesel (DAC) - Finance cost including feedstock finance cost - Middle East - USD/ton fuel</v>
          </cell>
          <cell r="G812">
            <v>697.21494250502315</v>
          </cell>
          <cell r="H812">
            <v>676.11438187175918</v>
          </cell>
          <cell r="I812">
            <v>654.82025136975267</v>
          </cell>
          <cell r="J812">
            <v>637.85514616154694</v>
          </cell>
          <cell r="K812">
            <v>620.53043133103461</v>
          </cell>
          <cell r="L812">
            <v>602.84610687822067</v>
          </cell>
          <cell r="M812">
            <v>584.80217280310774</v>
          </cell>
          <cell r="N812">
            <v>566.39862910568809</v>
          </cell>
          <cell r="O812">
            <v>562.53640977015243</v>
          </cell>
          <cell r="P812">
            <v>557.83554384943227</v>
          </cell>
          <cell r="Q812">
            <v>552.29603134352465</v>
          </cell>
          <cell r="R812">
            <v>545.91787225242797</v>
          </cell>
          <cell r="S812">
            <v>538.70106657614656</v>
          </cell>
          <cell r="T812">
            <v>530.6406815843734</v>
          </cell>
          <cell r="U812">
            <v>521.88812159546319</v>
          </cell>
          <cell r="V812">
            <v>512.44338660942424</v>
          </cell>
          <cell r="W812">
            <v>502.30647662624705</v>
          </cell>
          <cell r="X812">
            <v>491.47739164592957</v>
          </cell>
          <cell r="Y812">
            <v>476.09549748218876</v>
          </cell>
          <cell r="Z812">
            <v>460.19131866899784</v>
          </cell>
          <cell r="AA812">
            <v>443.76485520636299</v>
          </cell>
          <cell r="AB812">
            <v>426.81610709428054</v>
          </cell>
          <cell r="AC812">
            <v>409.34507433274996</v>
          </cell>
          <cell r="AD812">
            <v>391.60149196047024</v>
          </cell>
          <cell r="AE812">
            <v>373.53122302142106</v>
          </cell>
          <cell r="AF812">
            <v>355.1342675156011</v>
          </cell>
          <cell r="AG812">
            <v>336.41062544301104</v>
          </cell>
          <cell r="AH812">
            <v>317.36029680365164</v>
          </cell>
        </row>
        <row r="813">
          <cell r="B813" t="str">
            <v>e-diesel (DAC) - Finance cost - Africa - USD/ton fuel</v>
          </cell>
          <cell r="G813">
            <v>336.6</v>
          </cell>
          <cell r="H813">
            <v>327.80000000000007</v>
          </cell>
          <cell r="I813">
            <v>319.00000000000006</v>
          </cell>
          <cell r="J813">
            <v>310.20000000000005</v>
          </cell>
          <cell r="K813">
            <v>301.40000000000003</v>
          </cell>
          <cell r="L813">
            <v>292.60000000000002</v>
          </cell>
          <cell r="M813">
            <v>283.8</v>
          </cell>
          <cell r="N813">
            <v>275.00000000000006</v>
          </cell>
          <cell r="O813">
            <v>271.42500000000001</v>
          </cell>
          <cell r="P813">
            <v>267.85000000000002</v>
          </cell>
          <cell r="Q813">
            <v>264.27500000000003</v>
          </cell>
          <cell r="R813">
            <v>260.70000000000005</v>
          </cell>
          <cell r="S813">
            <v>257.12500000000006</v>
          </cell>
          <cell r="T813">
            <v>253.55000000000004</v>
          </cell>
          <cell r="U813">
            <v>249.97500000000002</v>
          </cell>
          <cell r="V813">
            <v>246.40000000000003</v>
          </cell>
          <cell r="W813">
            <v>242.82500000000005</v>
          </cell>
          <cell r="X813">
            <v>239.25000000000003</v>
          </cell>
          <cell r="Y813">
            <v>231.82500000000002</v>
          </cell>
          <cell r="Z813">
            <v>224.40000000000003</v>
          </cell>
          <cell r="AA813">
            <v>216.97500000000002</v>
          </cell>
          <cell r="AB813">
            <v>209.55000000000004</v>
          </cell>
          <cell r="AC813">
            <v>202.12500000000003</v>
          </cell>
          <cell r="AD813">
            <v>194.70000000000002</v>
          </cell>
          <cell r="AE813">
            <v>187.27500000000003</v>
          </cell>
          <cell r="AF813">
            <v>179.85000000000002</v>
          </cell>
          <cell r="AG813">
            <v>172.42500000000001</v>
          </cell>
          <cell r="AH813">
            <v>165.00000000000003</v>
          </cell>
        </row>
        <row r="814">
          <cell r="B814" t="str">
            <v>e-diesel (DAC) - Finance cost - Americas - USD/ton fuel</v>
          </cell>
          <cell r="G814">
            <v>336.6</v>
          </cell>
          <cell r="H814">
            <v>327.80000000000007</v>
          </cell>
          <cell r="I814">
            <v>319.00000000000006</v>
          </cell>
          <cell r="J814">
            <v>310.20000000000005</v>
          </cell>
          <cell r="K814">
            <v>301.40000000000003</v>
          </cell>
          <cell r="L814">
            <v>292.60000000000002</v>
          </cell>
          <cell r="M814">
            <v>283.8</v>
          </cell>
          <cell r="N814">
            <v>275.00000000000006</v>
          </cell>
          <cell r="O814">
            <v>271.42500000000001</v>
          </cell>
          <cell r="P814">
            <v>267.85000000000002</v>
          </cell>
          <cell r="Q814">
            <v>264.27500000000003</v>
          </cell>
          <cell r="R814">
            <v>260.70000000000005</v>
          </cell>
          <cell r="S814">
            <v>257.12500000000006</v>
          </cell>
          <cell r="T814">
            <v>253.55000000000004</v>
          </cell>
          <cell r="U814">
            <v>249.97500000000002</v>
          </cell>
          <cell r="V814">
            <v>246.40000000000003</v>
          </cell>
          <cell r="W814">
            <v>242.82500000000005</v>
          </cell>
          <cell r="X814">
            <v>239.25000000000003</v>
          </cell>
          <cell r="Y814">
            <v>231.82500000000002</v>
          </cell>
          <cell r="Z814">
            <v>224.40000000000003</v>
          </cell>
          <cell r="AA814">
            <v>216.97500000000002</v>
          </cell>
          <cell r="AB814">
            <v>209.55000000000004</v>
          </cell>
          <cell r="AC814">
            <v>202.12500000000003</v>
          </cell>
          <cell r="AD814">
            <v>194.70000000000002</v>
          </cell>
          <cell r="AE814">
            <v>187.27500000000003</v>
          </cell>
          <cell r="AF814">
            <v>179.85000000000002</v>
          </cell>
          <cell r="AG814">
            <v>172.42500000000001</v>
          </cell>
          <cell r="AH814">
            <v>165.00000000000003</v>
          </cell>
        </row>
        <row r="815">
          <cell r="B815" t="str">
            <v>e-diesel (DAC) - Finance cost - Asia - USD/ton fuel</v>
          </cell>
          <cell r="G815">
            <v>336.6</v>
          </cell>
          <cell r="H815">
            <v>327.80000000000007</v>
          </cell>
          <cell r="I815">
            <v>319.00000000000006</v>
          </cell>
          <cell r="J815">
            <v>310.20000000000005</v>
          </cell>
          <cell r="K815">
            <v>301.40000000000003</v>
          </cell>
          <cell r="L815">
            <v>292.60000000000002</v>
          </cell>
          <cell r="M815">
            <v>283.8</v>
          </cell>
          <cell r="N815">
            <v>275.00000000000006</v>
          </cell>
          <cell r="O815">
            <v>271.42500000000001</v>
          </cell>
          <cell r="P815">
            <v>267.85000000000002</v>
          </cell>
          <cell r="Q815">
            <v>264.27500000000003</v>
          </cell>
          <cell r="R815">
            <v>260.70000000000005</v>
          </cell>
          <cell r="S815">
            <v>257.12500000000006</v>
          </cell>
          <cell r="T815">
            <v>253.55000000000004</v>
          </cell>
          <cell r="U815">
            <v>249.97500000000002</v>
          </cell>
          <cell r="V815">
            <v>246.40000000000003</v>
          </cell>
          <cell r="W815">
            <v>242.82500000000005</v>
          </cell>
          <cell r="X815">
            <v>239.25000000000003</v>
          </cell>
          <cell r="Y815">
            <v>231.82500000000002</v>
          </cell>
          <cell r="Z815">
            <v>224.40000000000003</v>
          </cell>
          <cell r="AA815">
            <v>216.97500000000002</v>
          </cell>
          <cell r="AB815">
            <v>209.55000000000004</v>
          </cell>
          <cell r="AC815">
            <v>202.12500000000003</v>
          </cell>
          <cell r="AD815">
            <v>194.70000000000002</v>
          </cell>
          <cell r="AE815">
            <v>187.27500000000003</v>
          </cell>
          <cell r="AF815">
            <v>179.85000000000002</v>
          </cell>
          <cell r="AG815">
            <v>172.42500000000001</v>
          </cell>
          <cell r="AH815">
            <v>165.00000000000003</v>
          </cell>
        </row>
        <row r="816">
          <cell r="B816" t="str">
            <v>e-diesel (DAC) - Finance cost - Europe - USD/ton fuel</v>
          </cell>
          <cell r="G816">
            <v>336.6</v>
          </cell>
          <cell r="H816">
            <v>327.80000000000007</v>
          </cell>
          <cell r="I816">
            <v>319.00000000000006</v>
          </cell>
          <cell r="J816">
            <v>310.20000000000005</v>
          </cell>
          <cell r="K816">
            <v>301.40000000000003</v>
          </cell>
          <cell r="L816">
            <v>292.60000000000002</v>
          </cell>
          <cell r="M816">
            <v>283.8</v>
          </cell>
          <cell r="N816">
            <v>275.00000000000006</v>
          </cell>
          <cell r="O816">
            <v>271.42500000000001</v>
          </cell>
          <cell r="P816">
            <v>267.85000000000002</v>
          </cell>
          <cell r="Q816">
            <v>264.27500000000003</v>
          </cell>
          <cell r="R816">
            <v>260.70000000000005</v>
          </cell>
          <cell r="S816">
            <v>257.12500000000006</v>
          </cell>
          <cell r="T816">
            <v>253.55000000000004</v>
          </cell>
          <cell r="U816">
            <v>249.97500000000002</v>
          </cell>
          <cell r="V816">
            <v>246.40000000000003</v>
          </cell>
          <cell r="W816">
            <v>242.82500000000005</v>
          </cell>
          <cell r="X816">
            <v>239.25000000000003</v>
          </cell>
          <cell r="Y816">
            <v>231.82500000000002</v>
          </cell>
          <cell r="Z816">
            <v>224.40000000000003</v>
          </cell>
          <cell r="AA816">
            <v>216.97500000000002</v>
          </cell>
          <cell r="AB816">
            <v>209.55000000000004</v>
          </cell>
          <cell r="AC816">
            <v>202.12500000000003</v>
          </cell>
          <cell r="AD816">
            <v>194.70000000000002</v>
          </cell>
          <cell r="AE816">
            <v>187.27500000000003</v>
          </cell>
          <cell r="AF816">
            <v>179.85000000000002</v>
          </cell>
          <cell r="AG816">
            <v>172.42500000000001</v>
          </cell>
          <cell r="AH816">
            <v>165.00000000000003</v>
          </cell>
        </row>
        <row r="817">
          <cell r="B817" t="str">
            <v>e-diesel (DAC) - Finance cost - Middle East - USD/ton fuel</v>
          </cell>
          <cell r="G817">
            <v>336.6</v>
          </cell>
          <cell r="H817">
            <v>327.80000000000007</v>
          </cell>
          <cell r="I817">
            <v>319.00000000000006</v>
          </cell>
          <cell r="J817">
            <v>310.20000000000005</v>
          </cell>
          <cell r="K817">
            <v>301.40000000000003</v>
          </cell>
          <cell r="L817">
            <v>292.60000000000002</v>
          </cell>
          <cell r="M817">
            <v>283.8</v>
          </cell>
          <cell r="N817">
            <v>275.00000000000006</v>
          </cell>
          <cell r="O817">
            <v>271.42500000000001</v>
          </cell>
          <cell r="P817">
            <v>267.85000000000002</v>
          </cell>
          <cell r="Q817">
            <v>264.27500000000003</v>
          </cell>
          <cell r="R817">
            <v>260.70000000000005</v>
          </cell>
          <cell r="S817">
            <v>257.12500000000006</v>
          </cell>
          <cell r="T817">
            <v>253.55000000000004</v>
          </cell>
          <cell r="U817">
            <v>249.97500000000002</v>
          </cell>
          <cell r="V817">
            <v>246.40000000000003</v>
          </cell>
          <cell r="W817">
            <v>242.82500000000005</v>
          </cell>
          <cell r="X817">
            <v>239.25000000000003</v>
          </cell>
          <cell r="Y817">
            <v>231.82500000000002</v>
          </cell>
          <cell r="Z817">
            <v>224.40000000000003</v>
          </cell>
          <cell r="AA817">
            <v>216.97500000000002</v>
          </cell>
          <cell r="AB817">
            <v>209.55000000000004</v>
          </cell>
          <cell r="AC817">
            <v>202.12500000000003</v>
          </cell>
          <cell r="AD817">
            <v>194.70000000000002</v>
          </cell>
          <cell r="AE817">
            <v>187.27500000000003</v>
          </cell>
          <cell r="AF817">
            <v>179.85000000000002</v>
          </cell>
          <cell r="AG817">
            <v>172.42500000000001</v>
          </cell>
          <cell r="AH817">
            <v>165.00000000000003</v>
          </cell>
        </row>
        <row r="818">
          <cell r="B818" t="str">
            <v>e-hydrogen (compressed) - Finance cost including feedstock finance cost - Africa - USD/ton fuel</v>
          </cell>
          <cell r="G818">
            <v>423.4664833247287</v>
          </cell>
          <cell r="H818">
            <v>407.9080597487058</v>
          </cell>
          <cell r="I818">
            <v>391.93778538812398</v>
          </cell>
          <cell r="J818">
            <v>383.67894989578463</v>
          </cell>
          <cell r="K818">
            <v>374.65498754747659</v>
          </cell>
          <cell r="L818">
            <v>364.86589834320779</v>
          </cell>
          <cell r="M818">
            <v>354.31168228298088</v>
          </cell>
          <cell r="N818">
            <v>342.99233936678479</v>
          </cell>
          <cell r="O818">
            <v>350.20750340232428</v>
          </cell>
          <cell r="P818">
            <v>355.6383130013013</v>
          </cell>
          <cell r="Q818">
            <v>359.28476816371159</v>
          </cell>
          <cell r="R818">
            <v>361.14686888954691</v>
          </cell>
          <cell r="S818">
            <v>361.22461517882164</v>
          </cell>
          <cell r="T818">
            <v>358.40192634457429</v>
          </cell>
          <cell r="U818">
            <v>354.10652475046084</v>
          </cell>
          <cell r="V818">
            <v>348.33841039649622</v>
          </cell>
          <cell r="W818">
            <v>341.09758328266571</v>
          </cell>
          <cell r="X818">
            <v>332.38404340896386</v>
          </cell>
          <cell r="Y818">
            <v>321.22576094613464</v>
          </cell>
          <cell r="Z818">
            <v>308.95623454830633</v>
          </cell>
          <cell r="AA818">
            <v>295.57546421549114</v>
          </cell>
          <cell r="AB818">
            <v>281.08344994768112</v>
          </cell>
          <cell r="AC818">
            <v>265.48019174487365</v>
          </cell>
          <cell r="AD818">
            <v>248.55741402200647</v>
          </cell>
          <cell r="AE818">
            <v>230.93955849750063</v>
          </cell>
          <cell r="AF818">
            <v>212.62662517135635</v>
          </cell>
          <cell r="AG818">
            <v>193.61861404357347</v>
          </cell>
          <cell r="AH818">
            <v>173.9155251141523</v>
          </cell>
        </row>
        <row r="819">
          <cell r="B819" t="str">
            <v>e-hydrogen (compressed) - Finance cost including feedstock finance cost - Americas - USD/ton fuel</v>
          </cell>
          <cell r="G819">
            <v>423.4664833247287</v>
          </cell>
          <cell r="H819">
            <v>407.9080597487058</v>
          </cell>
          <cell r="I819">
            <v>391.93778538812398</v>
          </cell>
          <cell r="J819">
            <v>383.67894989578463</v>
          </cell>
          <cell r="K819">
            <v>374.65498754747659</v>
          </cell>
          <cell r="L819">
            <v>364.86589834320779</v>
          </cell>
          <cell r="M819">
            <v>354.31168228298088</v>
          </cell>
          <cell r="N819">
            <v>342.99233936678479</v>
          </cell>
          <cell r="O819">
            <v>350.20750340232428</v>
          </cell>
          <cell r="P819">
            <v>355.6383130013013</v>
          </cell>
          <cell r="Q819">
            <v>359.28476816371159</v>
          </cell>
          <cell r="R819">
            <v>361.14686888954691</v>
          </cell>
          <cell r="S819">
            <v>361.22461517882164</v>
          </cell>
          <cell r="T819">
            <v>358.40192634457429</v>
          </cell>
          <cell r="U819">
            <v>354.10652475046084</v>
          </cell>
          <cell r="V819">
            <v>348.33841039649622</v>
          </cell>
          <cell r="W819">
            <v>341.09758328266571</v>
          </cell>
          <cell r="X819">
            <v>332.38404340896386</v>
          </cell>
          <cell r="Y819">
            <v>321.22576094613464</v>
          </cell>
          <cell r="Z819">
            <v>308.95623454830633</v>
          </cell>
          <cell r="AA819">
            <v>295.57546421549114</v>
          </cell>
          <cell r="AB819">
            <v>281.08344994768112</v>
          </cell>
          <cell r="AC819">
            <v>265.48019174487365</v>
          </cell>
          <cell r="AD819">
            <v>248.55741402200647</v>
          </cell>
          <cell r="AE819">
            <v>230.93955849750063</v>
          </cell>
          <cell r="AF819">
            <v>212.62662517135635</v>
          </cell>
          <cell r="AG819">
            <v>193.61861404357347</v>
          </cell>
          <cell r="AH819">
            <v>173.9155251141523</v>
          </cell>
        </row>
        <row r="820">
          <cell r="B820" t="str">
            <v>e-hydrogen (compressed) - Finance cost including feedstock finance cost - Asia - USD/ton fuel</v>
          </cell>
          <cell r="G820">
            <v>423.4664833247287</v>
          </cell>
          <cell r="H820">
            <v>407.9080597487058</v>
          </cell>
          <cell r="I820">
            <v>391.93778538812398</v>
          </cell>
          <cell r="J820">
            <v>383.67894989578463</v>
          </cell>
          <cell r="K820">
            <v>374.65498754747659</v>
          </cell>
          <cell r="L820">
            <v>364.86589834320779</v>
          </cell>
          <cell r="M820">
            <v>354.31168228298088</v>
          </cell>
          <cell r="N820">
            <v>342.99233936678479</v>
          </cell>
          <cell r="O820">
            <v>350.20750340232428</v>
          </cell>
          <cell r="P820">
            <v>355.6383130013013</v>
          </cell>
          <cell r="Q820">
            <v>359.28476816371159</v>
          </cell>
          <cell r="R820">
            <v>361.14686888954691</v>
          </cell>
          <cell r="S820">
            <v>361.22461517882164</v>
          </cell>
          <cell r="T820">
            <v>358.40192634457429</v>
          </cell>
          <cell r="U820">
            <v>354.10652475046084</v>
          </cell>
          <cell r="V820">
            <v>348.33841039649622</v>
          </cell>
          <cell r="W820">
            <v>341.09758328266571</v>
          </cell>
          <cell r="X820">
            <v>332.38404340896386</v>
          </cell>
          <cell r="Y820">
            <v>321.22576094613464</v>
          </cell>
          <cell r="Z820">
            <v>308.95623454830633</v>
          </cell>
          <cell r="AA820">
            <v>295.57546421549114</v>
          </cell>
          <cell r="AB820">
            <v>281.08344994768112</v>
          </cell>
          <cell r="AC820">
            <v>265.48019174487365</v>
          </cell>
          <cell r="AD820">
            <v>248.55741402200647</v>
          </cell>
          <cell r="AE820">
            <v>230.93955849750063</v>
          </cell>
          <cell r="AF820">
            <v>212.62662517135635</v>
          </cell>
          <cell r="AG820">
            <v>193.61861404357347</v>
          </cell>
          <cell r="AH820">
            <v>173.9155251141523</v>
          </cell>
        </row>
        <row r="821">
          <cell r="B821" t="str">
            <v>e-hydrogen (compressed) - Finance cost including feedstock finance cost - Europe - USD/ton fuel</v>
          </cell>
          <cell r="G821">
            <v>423.4664833247287</v>
          </cell>
          <cell r="H821">
            <v>407.9080597487058</v>
          </cell>
          <cell r="I821">
            <v>391.93778538812398</v>
          </cell>
          <cell r="J821">
            <v>383.67894989578463</v>
          </cell>
          <cell r="K821">
            <v>374.65498754747659</v>
          </cell>
          <cell r="L821">
            <v>364.86589834320779</v>
          </cell>
          <cell r="M821">
            <v>354.31168228298088</v>
          </cell>
          <cell r="N821">
            <v>342.99233936678479</v>
          </cell>
          <cell r="O821">
            <v>350.20750340232428</v>
          </cell>
          <cell r="P821">
            <v>355.6383130013013</v>
          </cell>
          <cell r="Q821">
            <v>359.28476816371159</v>
          </cell>
          <cell r="R821">
            <v>361.14686888954691</v>
          </cell>
          <cell r="S821">
            <v>361.22461517882164</v>
          </cell>
          <cell r="T821">
            <v>358.40192634457429</v>
          </cell>
          <cell r="U821">
            <v>354.10652475046084</v>
          </cell>
          <cell r="V821">
            <v>348.33841039649622</v>
          </cell>
          <cell r="W821">
            <v>341.09758328266571</v>
          </cell>
          <cell r="X821">
            <v>332.38404340896386</v>
          </cell>
          <cell r="Y821">
            <v>321.22576094613464</v>
          </cell>
          <cell r="Z821">
            <v>308.95623454830633</v>
          </cell>
          <cell r="AA821">
            <v>295.57546421549114</v>
          </cell>
          <cell r="AB821">
            <v>281.08344994768112</v>
          </cell>
          <cell r="AC821">
            <v>265.48019174487365</v>
          </cell>
          <cell r="AD821">
            <v>248.55741402200647</v>
          </cell>
          <cell r="AE821">
            <v>230.93955849750063</v>
          </cell>
          <cell r="AF821">
            <v>212.62662517135635</v>
          </cell>
          <cell r="AG821">
            <v>193.61861404357347</v>
          </cell>
          <cell r="AH821">
            <v>173.9155251141523</v>
          </cell>
        </row>
        <row r="822">
          <cell r="B822" t="str">
            <v>e-hydrogen (compressed) - Finance cost including feedstock finance cost - Middle East - USD/ton fuel</v>
          </cell>
          <cell r="G822">
            <v>423.4664833247287</v>
          </cell>
          <cell r="H822">
            <v>407.9080597487058</v>
          </cell>
          <cell r="I822">
            <v>391.93778538812398</v>
          </cell>
          <cell r="J822">
            <v>383.67894989578463</v>
          </cell>
          <cell r="K822">
            <v>374.65498754747659</v>
          </cell>
          <cell r="L822">
            <v>364.86589834320779</v>
          </cell>
          <cell r="M822">
            <v>354.31168228298088</v>
          </cell>
          <cell r="N822">
            <v>342.99233936678479</v>
          </cell>
          <cell r="O822">
            <v>350.20750340232428</v>
          </cell>
          <cell r="P822">
            <v>355.6383130013013</v>
          </cell>
          <cell r="Q822">
            <v>359.28476816371159</v>
          </cell>
          <cell r="R822">
            <v>361.14686888954691</v>
          </cell>
          <cell r="S822">
            <v>361.22461517882164</v>
          </cell>
          <cell r="T822">
            <v>358.40192634457429</v>
          </cell>
          <cell r="U822">
            <v>354.10652475046084</v>
          </cell>
          <cell r="V822">
            <v>348.33841039649622</v>
          </cell>
          <cell r="W822">
            <v>341.09758328266571</v>
          </cell>
          <cell r="X822">
            <v>332.38404340896386</v>
          </cell>
          <cell r="Y822">
            <v>321.22576094613464</v>
          </cell>
          <cell r="Z822">
            <v>308.95623454830633</v>
          </cell>
          <cell r="AA822">
            <v>295.57546421549114</v>
          </cell>
          <cell r="AB822">
            <v>281.08344994768112</v>
          </cell>
          <cell r="AC822">
            <v>265.48019174487365</v>
          </cell>
          <cell r="AD822">
            <v>248.55741402200647</v>
          </cell>
          <cell r="AE822">
            <v>230.93955849750063</v>
          </cell>
          <cell r="AF822">
            <v>212.62662517135635</v>
          </cell>
          <cell r="AG822">
            <v>193.61861404357347</v>
          </cell>
          <cell r="AH822">
            <v>173.9155251141523</v>
          </cell>
        </row>
        <row r="823">
          <cell r="B823" t="str">
            <v>Carbon dioxide (DAC) - Finance cost - Africa - USD/ton fuel</v>
          </cell>
          <cell r="G823">
            <v>50.338222848099875</v>
          </cell>
          <cell r="H823">
            <v>48.784297130799828</v>
          </cell>
          <cell r="I823">
            <v>47.230371413499782</v>
          </cell>
          <cell r="J823">
            <v>45.895962526644261</v>
          </cell>
          <cell r="K823">
            <v>44.561553639788329</v>
          </cell>
          <cell r="L823">
            <v>43.227144752932404</v>
          </cell>
          <cell r="M823">
            <v>41.892735866076876</v>
          </cell>
          <cell r="N823">
            <v>40.558326979220951</v>
          </cell>
          <cell r="O823">
            <v>39.412424663881616</v>
          </cell>
          <cell r="P823">
            <v>38.266522348542281</v>
          </cell>
          <cell r="Q823">
            <v>37.120620033202542</v>
          </cell>
          <cell r="R823">
            <v>35.974717717863207</v>
          </cell>
          <cell r="S823">
            <v>34.828815402523475</v>
          </cell>
          <cell r="T823">
            <v>33.844790094212918</v>
          </cell>
          <cell r="U823">
            <v>32.860764785902361</v>
          </cell>
          <cell r="V823">
            <v>31.876739477592203</v>
          </cell>
          <cell r="W823">
            <v>30.89271416928165</v>
          </cell>
          <cell r="X823">
            <v>29.908688860970891</v>
          </cell>
          <cell r="Y823">
            <v>29.063672846574921</v>
          </cell>
          <cell r="Z823">
            <v>28.218656832178752</v>
          </cell>
          <cell r="AA823">
            <v>27.373640817782583</v>
          </cell>
          <cell r="AB823">
            <v>26.528624803386414</v>
          </cell>
          <cell r="AC823">
            <v>25.683608788990444</v>
          </cell>
          <cell r="AD823">
            <v>24.946887031192276</v>
          </cell>
          <cell r="AE823">
            <v>24.210165273394306</v>
          </cell>
          <cell r="AF823">
            <v>23.473443515596138</v>
          </cell>
          <cell r="AG823">
            <v>22.736721757797969</v>
          </cell>
          <cell r="AH823">
            <v>22.000000000000004</v>
          </cell>
        </row>
        <row r="824">
          <cell r="B824" t="str">
            <v>Carbon dioxide (DAC) - Finance cost - Americas - USD/ton fuel</v>
          </cell>
          <cell r="G824">
            <v>50.338222848099875</v>
          </cell>
          <cell r="H824">
            <v>48.784297130799828</v>
          </cell>
          <cell r="I824">
            <v>47.230371413499782</v>
          </cell>
          <cell r="J824">
            <v>45.895962526644261</v>
          </cell>
          <cell r="K824">
            <v>44.561553639788329</v>
          </cell>
          <cell r="L824">
            <v>43.227144752932404</v>
          </cell>
          <cell r="M824">
            <v>41.892735866076876</v>
          </cell>
          <cell r="N824">
            <v>40.558326979220951</v>
          </cell>
          <cell r="O824">
            <v>39.412424663881616</v>
          </cell>
          <cell r="P824">
            <v>38.266522348542281</v>
          </cell>
          <cell r="Q824">
            <v>37.120620033202542</v>
          </cell>
          <cell r="R824">
            <v>35.974717717863207</v>
          </cell>
          <cell r="S824">
            <v>34.828815402523475</v>
          </cell>
          <cell r="T824">
            <v>33.844790094212918</v>
          </cell>
          <cell r="U824">
            <v>32.860764785902361</v>
          </cell>
          <cell r="V824">
            <v>31.876739477592203</v>
          </cell>
          <cell r="W824">
            <v>30.89271416928165</v>
          </cell>
          <cell r="X824">
            <v>29.908688860970891</v>
          </cell>
          <cell r="Y824">
            <v>29.063672846574921</v>
          </cell>
          <cell r="Z824">
            <v>28.218656832178752</v>
          </cell>
          <cell r="AA824">
            <v>27.373640817782583</v>
          </cell>
          <cell r="AB824">
            <v>26.528624803386414</v>
          </cell>
          <cell r="AC824">
            <v>25.683608788990444</v>
          </cell>
          <cell r="AD824">
            <v>24.946887031192276</v>
          </cell>
          <cell r="AE824">
            <v>24.210165273394306</v>
          </cell>
          <cell r="AF824">
            <v>23.473443515596138</v>
          </cell>
          <cell r="AG824">
            <v>22.736721757797969</v>
          </cell>
          <cell r="AH824">
            <v>22.000000000000004</v>
          </cell>
        </row>
        <row r="825">
          <cell r="B825" t="str">
            <v>Carbon dioxide (DAC) - Finance cost - Asia - USD/ton fuel</v>
          </cell>
          <cell r="G825">
            <v>50.338222848099875</v>
          </cell>
          <cell r="H825">
            <v>48.784297130799828</v>
          </cell>
          <cell r="I825">
            <v>47.230371413499782</v>
          </cell>
          <cell r="J825">
            <v>45.895962526644261</v>
          </cell>
          <cell r="K825">
            <v>44.561553639788329</v>
          </cell>
          <cell r="L825">
            <v>43.227144752932404</v>
          </cell>
          <cell r="M825">
            <v>41.892735866076876</v>
          </cell>
          <cell r="N825">
            <v>40.558326979220951</v>
          </cell>
          <cell r="O825">
            <v>39.412424663881616</v>
          </cell>
          <cell r="P825">
            <v>38.266522348542281</v>
          </cell>
          <cell r="Q825">
            <v>37.120620033202542</v>
          </cell>
          <cell r="R825">
            <v>35.974717717863207</v>
          </cell>
          <cell r="S825">
            <v>34.828815402523475</v>
          </cell>
          <cell r="T825">
            <v>33.844790094212918</v>
          </cell>
          <cell r="U825">
            <v>32.860764785902361</v>
          </cell>
          <cell r="V825">
            <v>31.876739477592203</v>
          </cell>
          <cell r="W825">
            <v>30.89271416928165</v>
          </cell>
          <cell r="X825">
            <v>29.908688860970891</v>
          </cell>
          <cell r="Y825">
            <v>29.063672846574921</v>
          </cell>
          <cell r="Z825">
            <v>28.218656832178752</v>
          </cell>
          <cell r="AA825">
            <v>27.373640817782583</v>
          </cell>
          <cell r="AB825">
            <v>26.528624803386414</v>
          </cell>
          <cell r="AC825">
            <v>25.683608788990444</v>
          </cell>
          <cell r="AD825">
            <v>24.946887031192276</v>
          </cell>
          <cell r="AE825">
            <v>24.210165273394306</v>
          </cell>
          <cell r="AF825">
            <v>23.473443515596138</v>
          </cell>
          <cell r="AG825">
            <v>22.736721757797969</v>
          </cell>
          <cell r="AH825">
            <v>22.000000000000004</v>
          </cell>
        </row>
        <row r="826">
          <cell r="B826" t="str">
            <v>Carbon dioxide (DAC) - Finance cost - Europe - USD/ton fuel</v>
          </cell>
          <cell r="G826">
            <v>50.338222848099875</v>
          </cell>
          <cell r="H826">
            <v>48.784297130799828</v>
          </cell>
          <cell r="I826">
            <v>47.230371413499782</v>
          </cell>
          <cell r="J826">
            <v>45.895962526644261</v>
          </cell>
          <cell r="K826">
            <v>44.561553639788329</v>
          </cell>
          <cell r="L826">
            <v>43.227144752932404</v>
          </cell>
          <cell r="M826">
            <v>41.892735866076876</v>
          </cell>
          <cell r="N826">
            <v>40.558326979220951</v>
          </cell>
          <cell r="O826">
            <v>39.412424663881616</v>
          </cell>
          <cell r="P826">
            <v>38.266522348542281</v>
          </cell>
          <cell r="Q826">
            <v>37.120620033202542</v>
          </cell>
          <cell r="R826">
            <v>35.974717717863207</v>
          </cell>
          <cell r="S826">
            <v>34.828815402523475</v>
          </cell>
          <cell r="T826">
            <v>33.844790094212918</v>
          </cell>
          <cell r="U826">
            <v>32.860764785902361</v>
          </cell>
          <cell r="V826">
            <v>31.876739477592203</v>
          </cell>
          <cell r="W826">
            <v>30.89271416928165</v>
          </cell>
          <cell r="X826">
            <v>29.908688860970891</v>
          </cell>
          <cell r="Y826">
            <v>29.063672846574921</v>
          </cell>
          <cell r="Z826">
            <v>28.218656832178752</v>
          </cell>
          <cell r="AA826">
            <v>27.373640817782583</v>
          </cell>
          <cell r="AB826">
            <v>26.528624803386414</v>
          </cell>
          <cell r="AC826">
            <v>25.683608788990444</v>
          </cell>
          <cell r="AD826">
            <v>24.946887031192276</v>
          </cell>
          <cell r="AE826">
            <v>24.210165273394306</v>
          </cell>
          <cell r="AF826">
            <v>23.473443515596138</v>
          </cell>
          <cell r="AG826">
            <v>22.736721757797969</v>
          </cell>
          <cell r="AH826">
            <v>22.000000000000004</v>
          </cell>
        </row>
        <row r="827">
          <cell r="B827" t="str">
            <v>Carbon dioxide (DAC) - Finance cost - Middle East - USD/ton fuel</v>
          </cell>
          <cell r="G827">
            <v>50.338222848099875</v>
          </cell>
          <cell r="H827">
            <v>48.784297130799828</v>
          </cell>
          <cell r="I827">
            <v>47.230371413499782</v>
          </cell>
          <cell r="J827">
            <v>45.895962526644261</v>
          </cell>
          <cell r="K827">
            <v>44.561553639788329</v>
          </cell>
          <cell r="L827">
            <v>43.227144752932404</v>
          </cell>
          <cell r="M827">
            <v>41.892735866076876</v>
          </cell>
          <cell r="N827">
            <v>40.558326979220951</v>
          </cell>
          <cell r="O827">
            <v>39.412424663881616</v>
          </cell>
          <cell r="P827">
            <v>38.266522348542281</v>
          </cell>
          <cell r="Q827">
            <v>37.120620033202542</v>
          </cell>
          <cell r="R827">
            <v>35.974717717863207</v>
          </cell>
          <cell r="S827">
            <v>34.828815402523475</v>
          </cell>
          <cell r="T827">
            <v>33.844790094212918</v>
          </cell>
          <cell r="U827">
            <v>32.860764785902361</v>
          </cell>
          <cell r="V827">
            <v>31.876739477592203</v>
          </cell>
          <cell r="W827">
            <v>30.89271416928165</v>
          </cell>
          <cell r="X827">
            <v>29.908688860970891</v>
          </cell>
          <cell r="Y827">
            <v>29.063672846574921</v>
          </cell>
          <cell r="Z827">
            <v>28.218656832178752</v>
          </cell>
          <cell r="AA827">
            <v>27.373640817782583</v>
          </cell>
          <cell r="AB827">
            <v>26.528624803386414</v>
          </cell>
          <cell r="AC827">
            <v>25.683608788990444</v>
          </cell>
          <cell r="AD827">
            <v>24.946887031192276</v>
          </cell>
          <cell r="AE827">
            <v>24.210165273394306</v>
          </cell>
          <cell r="AF827">
            <v>23.473443515596138</v>
          </cell>
          <cell r="AG827">
            <v>22.736721757797969</v>
          </cell>
          <cell r="AH827">
            <v>22.000000000000004</v>
          </cell>
        </row>
        <row r="828">
          <cell r="B828" t="str">
            <v>e-diesel - Conversion H2 -&gt; diesel - Global - ton H2/ton diesel</v>
          </cell>
          <cell r="G828">
            <v>0.47</v>
          </cell>
          <cell r="H828">
            <v>0.47</v>
          </cell>
          <cell r="I828">
            <v>0.47</v>
          </cell>
          <cell r="J828">
            <v>0.47</v>
          </cell>
          <cell r="K828">
            <v>0.47</v>
          </cell>
          <cell r="L828">
            <v>0.47</v>
          </cell>
          <cell r="M828">
            <v>0.47</v>
          </cell>
          <cell r="N828">
            <v>0.47</v>
          </cell>
          <cell r="O828">
            <v>0.47</v>
          </cell>
          <cell r="P828">
            <v>0.47</v>
          </cell>
          <cell r="Q828">
            <v>0.47</v>
          </cell>
          <cell r="R828">
            <v>0.47</v>
          </cell>
          <cell r="S828">
            <v>0.47</v>
          </cell>
          <cell r="T828">
            <v>0.47</v>
          </cell>
          <cell r="U828">
            <v>0.47</v>
          </cell>
          <cell r="V828">
            <v>0.47</v>
          </cell>
          <cell r="W828">
            <v>0.47</v>
          </cell>
          <cell r="X828">
            <v>0.47</v>
          </cell>
          <cell r="Y828">
            <v>0.47</v>
          </cell>
          <cell r="Z828">
            <v>0.47</v>
          </cell>
          <cell r="AA828">
            <v>0.47</v>
          </cell>
          <cell r="AB828">
            <v>0.47</v>
          </cell>
          <cell r="AC828">
            <v>0.47</v>
          </cell>
          <cell r="AD828">
            <v>0.47</v>
          </cell>
          <cell r="AE828">
            <v>0.47</v>
          </cell>
          <cell r="AF828">
            <v>0.47</v>
          </cell>
          <cell r="AG828">
            <v>0.47</v>
          </cell>
          <cell r="AH828">
            <v>0.47</v>
          </cell>
        </row>
        <row r="829">
          <cell r="B829" t="str">
            <v>e-diesel - Conversion CO2 -&gt; diesel - Global - ton CO2/ton diesel</v>
          </cell>
          <cell r="G829">
            <v>3.21</v>
          </cell>
          <cell r="H829">
            <v>3.21</v>
          </cell>
          <cell r="I829">
            <v>3.21</v>
          </cell>
          <cell r="J829">
            <v>3.21</v>
          </cell>
          <cell r="K829">
            <v>3.21</v>
          </cell>
          <cell r="L829">
            <v>3.21</v>
          </cell>
          <cell r="M829">
            <v>3.21</v>
          </cell>
          <cell r="N829">
            <v>3.21</v>
          </cell>
          <cell r="O829">
            <v>3.21</v>
          </cell>
          <cell r="P829">
            <v>3.21</v>
          </cell>
          <cell r="Q829">
            <v>3.21</v>
          </cell>
          <cell r="R829">
            <v>3.21</v>
          </cell>
          <cell r="S829">
            <v>3.21</v>
          </cell>
          <cell r="T829">
            <v>3.21</v>
          </cell>
          <cell r="U829">
            <v>3.21</v>
          </cell>
          <cell r="V829">
            <v>3.21</v>
          </cell>
          <cell r="W829">
            <v>3.21</v>
          </cell>
          <cell r="X829">
            <v>3.21</v>
          </cell>
          <cell r="Y829">
            <v>3.21</v>
          </cell>
          <cell r="Z829">
            <v>3.21</v>
          </cell>
          <cell r="AA829">
            <v>3.21</v>
          </cell>
          <cell r="AB829">
            <v>3.21</v>
          </cell>
          <cell r="AC829">
            <v>3.21</v>
          </cell>
          <cell r="AD829">
            <v>3.21</v>
          </cell>
          <cell r="AE829">
            <v>3.21</v>
          </cell>
          <cell r="AF829">
            <v>3.21</v>
          </cell>
          <cell r="AG829">
            <v>3.21</v>
          </cell>
          <cell r="AH829">
            <v>3.21</v>
          </cell>
        </row>
        <row r="830">
          <cell r="B830" t="str">
            <v/>
          </cell>
        </row>
        <row r="831">
          <cell r="B831" t="str">
            <v>e-diesel (DAC) - Energy cost including feedstock energy cost - Africa - USD/ton fuel</v>
          </cell>
          <cell r="G831">
            <v>2049.22610728775</v>
          </cell>
          <cell r="H831">
            <v>1800.2798978415581</v>
          </cell>
          <cell r="I831">
            <v>1553.3224803780122</v>
          </cell>
          <cell r="J831">
            <v>1479.4215407163545</v>
          </cell>
          <cell r="K831">
            <v>1405.8420550168166</v>
          </cell>
          <cell r="L831">
            <v>1332.6323330950731</v>
          </cell>
          <cell r="M831">
            <v>1259.8406847668145</v>
          </cell>
          <cell r="N831">
            <v>1187.5154198477317</v>
          </cell>
          <cell r="O831">
            <v>1141.9672300306011</v>
          </cell>
          <cell r="P831">
            <v>1096.7444270915398</v>
          </cell>
          <cell r="Q831">
            <v>1051.8730319396748</v>
          </cell>
          <cell r="R831">
            <v>1007.3790654841828</v>
          </cell>
          <cell r="S831">
            <v>963.28854863423476</v>
          </cell>
          <cell r="T831">
            <v>937.92607872039264</v>
          </cell>
          <cell r="U831">
            <v>912.71425085585031</v>
          </cell>
          <cell r="V831">
            <v>887.66155576214783</v>
          </cell>
          <cell r="W831">
            <v>862.77648416078148</v>
          </cell>
          <cell r="X831">
            <v>838.06752677328961</v>
          </cell>
          <cell r="Y831">
            <v>811.67739563803434</v>
          </cell>
          <cell r="Z831">
            <v>785.77752740818255</v>
          </cell>
          <cell r="AA831">
            <v>760.362956938661</v>
          </cell>
          <cell r="AB831">
            <v>735.42871908438883</v>
          </cell>
          <cell r="AC831">
            <v>710.96984870028348</v>
          </cell>
          <cell r="AD831">
            <v>695.66324426751692</v>
          </cell>
          <cell r="AE831">
            <v>680.6222786886558</v>
          </cell>
          <cell r="AF831">
            <v>665.84382319611723</v>
          </cell>
          <cell r="AG831">
            <v>651.32474902233207</v>
          </cell>
          <cell r="AH831">
            <v>637.06192739973119</v>
          </cell>
        </row>
        <row r="832">
          <cell r="B832" t="str">
            <v>e-diesel (DAC) - Energy cost including feedstock energy cost - Americas - USD/ton fuel</v>
          </cell>
          <cell r="G832">
            <v>1287.5592558687724</v>
          </cell>
          <cell r="H832">
            <v>1255.1002982478385</v>
          </cell>
          <cell r="I832">
            <v>1222.7107244729457</v>
          </cell>
          <cell r="J832">
            <v>1172.1594619355128</v>
          </cell>
          <cell r="K832">
            <v>1121.780806628075</v>
          </cell>
          <cell r="L832">
            <v>1071.6072183256256</v>
          </cell>
          <cell r="M832">
            <v>1021.6711568032001</v>
          </cell>
          <cell r="N832">
            <v>972.00508183574959</v>
          </cell>
          <cell r="O832">
            <v>943.28384957036405</v>
          </cell>
          <cell r="P832">
            <v>914.6827840264765</v>
          </cell>
          <cell r="Q832">
            <v>886.21695783452253</v>
          </cell>
          <cell r="R832">
            <v>857.90144362494016</v>
          </cell>
          <cell r="S832">
            <v>829.75131402819511</v>
          </cell>
          <cell r="T832">
            <v>805.71355859671098</v>
          </cell>
          <cell r="U832">
            <v>781.84895215201595</v>
          </cell>
          <cell r="V832">
            <v>758.16596505518555</v>
          </cell>
          <cell r="W832">
            <v>734.67306766725937</v>
          </cell>
          <cell r="X832">
            <v>711.37873034929805</v>
          </cell>
          <cell r="Y832">
            <v>696.15167406587318</v>
          </cell>
          <cell r="Z832">
            <v>681.15627342734024</v>
          </cell>
          <cell r="AA832">
            <v>666.39058779551374</v>
          </cell>
          <cell r="AB832">
            <v>651.85267653217829</v>
          </cell>
          <cell r="AC832">
            <v>637.54059899914387</v>
          </cell>
          <cell r="AD832">
            <v>625.95007984256233</v>
          </cell>
          <cell r="AE832">
            <v>614.54921757755642</v>
          </cell>
          <cell r="AF832">
            <v>603.33613255760793</v>
          </cell>
          <cell r="AG832">
            <v>592.30894513620319</v>
          </cell>
          <cell r="AH832">
            <v>581.46577566682845</v>
          </cell>
        </row>
        <row r="833">
          <cell r="B833" t="str">
            <v>e-diesel (DAC) - Energy cost including feedstock energy cost - Asia - USD/ton fuel</v>
          </cell>
          <cell r="G833">
            <v>2279.1653931925098</v>
          </cell>
          <cell r="H833">
            <v>2069.3303510186952</v>
          </cell>
          <cell r="I833">
            <v>1861.0689229302432</v>
          </cell>
          <cell r="J833">
            <v>1780.9363406382272</v>
          </cell>
          <cell r="K833">
            <v>1701.1001415197986</v>
          </cell>
          <cell r="L833">
            <v>1621.6120622647859</v>
          </cell>
          <cell r="M833">
            <v>1542.5238395631513</v>
          </cell>
          <cell r="N833">
            <v>1463.8872101047978</v>
          </cell>
          <cell r="O833">
            <v>1405.1880375774629</v>
          </cell>
          <cell r="P833">
            <v>1346.9335270324666</v>
          </cell>
          <cell r="Q833">
            <v>1289.1576101393164</v>
          </cell>
          <cell r="R833">
            <v>1231.8942185674928</v>
          </cell>
          <cell r="S833">
            <v>1175.1772839865689</v>
          </cell>
          <cell r="T833">
            <v>1141.2022336722689</v>
          </cell>
          <cell r="U833">
            <v>1107.4710354210597</v>
          </cell>
          <cell r="V833">
            <v>1073.9956490506841</v>
          </cell>
          <cell r="W833">
            <v>1040.7880343787974</v>
          </cell>
          <cell r="X833">
            <v>1007.8601512231373</v>
          </cell>
          <cell r="Y833">
            <v>972.50098015604976</v>
          </cell>
          <cell r="Z833">
            <v>937.82456066252757</v>
          </cell>
          <cell r="AA833">
            <v>903.82377342869279</v>
          </cell>
          <cell r="AB833">
            <v>870.49149914065981</v>
          </cell>
          <cell r="AC833">
            <v>837.82061848454418</v>
          </cell>
          <cell r="AD833">
            <v>818.61962403416283</v>
          </cell>
          <cell r="AE833">
            <v>799.75811476956414</v>
          </cell>
          <cell r="AF833">
            <v>781.23189915913701</v>
          </cell>
          <cell r="AG833">
            <v>763.03678567126462</v>
          </cell>
          <cell r="AH833">
            <v>745.16858277432993</v>
          </cell>
        </row>
        <row r="834">
          <cell r="B834" t="str">
            <v>e-diesel (DAC) - Energy cost including feedstock energy cost - Europe - USD/ton fuel</v>
          </cell>
          <cell r="G834">
            <v>1696.7151795352499</v>
          </cell>
          <cell r="H834">
            <v>1616.1250407562784</v>
          </cell>
          <cell r="I834">
            <v>1535.986386085852</v>
          </cell>
          <cell r="J834">
            <v>1470.0507536580394</v>
          </cell>
          <cell r="K834">
            <v>1404.3576251363597</v>
          </cell>
          <cell r="L834">
            <v>1338.949554133603</v>
          </cell>
          <cell r="M834">
            <v>1273.8690942625312</v>
          </cell>
          <cell r="N834">
            <v>1209.1587991359204</v>
          </cell>
          <cell r="O834">
            <v>1175.7526574016679</v>
          </cell>
          <cell r="P834">
            <v>1142.4563446922509</v>
          </cell>
          <cell r="Q834">
            <v>1109.2869219693471</v>
          </cell>
          <cell r="R834">
            <v>1076.2614501946753</v>
          </cell>
          <cell r="S834">
            <v>1043.396990329994</v>
          </cell>
          <cell r="T834">
            <v>1019.9701274634029</v>
          </cell>
          <cell r="U834">
            <v>996.6263396095959</v>
          </cell>
          <cell r="V834">
            <v>973.37268844653704</v>
          </cell>
          <cell r="W834">
            <v>950.2162356521344</v>
          </cell>
          <cell r="X834">
            <v>927.1640429043324</v>
          </cell>
          <cell r="Y834">
            <v>901.74352297379528</v>
          </cell>
          <cell r="Z834">
            <v>876.76829564900561</v>
          </cell>
          <cell r="AA834">
            <v>852.23406459540251</v>
          </cell>
          <cell r="AB834">
            <v>828.13653347838033</v>
          </cell>
          <cell r="AC834">
            <v>804.47140596337192</v>
          </cell>
          <cell r="AD834">
            <v>786.03521510021938</v>
          </cell>
          <cell r="AE834">
            <v>767.92498463747552</v>
          </cell>
          <cell r="AF834">
            <v>750.13669010892227</v>
          </cell>
          <cell r="AG834">
            <v>732.66630704833597</v>
          </cell>
          <cell r="AH834">
            <v>715.50981098949285</v>
          </cell>
        </row>
        <row r="835">
          <cell r="B835" t="str">
            <v>e-diesel (DAC) - Energy cost including feedstock energy cost - Middle East - USD/ton fuel</v>
          </cell>
          <cell r="G835">
            <v>1299.2507325291738</v>
          </cell>
          <cell r="H835">
            <v>1236.2098783446002</v>
          </cell>
          <cell r="I835">
            <v>1173.5274027920104</v>
          </cell>
          <cell r="J835">
            <v>1130.233177366476</v>
          </cell>
          <cell r="K835">
            <v>1087.0494850047849</v>
          </cell>
          <cell r="L835">
            <v>1044.0036632934361</v>
          </cell>
          <cell r="M835">
            <v>1001.123049818955</v>
          </cell>
          <cell r="N835">
            <v>958.43498216782928</v>
          </cell>
          <cell r="O835">
            <v>924.97497272555381</v>
          </cell>
          <cell r="P835">
            <v>891.72120887709673</v>
          </cell>
          <cell r="Q835">
            <v>858.692290775949</v>
          </cell>
          <cell r="R835">
            <v>825.90681857563573</v>
          </cell>
          <cell r="S835">
            <v>793.38339242968846</v>
          </cell>
          <cell r="T835">
            <v>773.49437613353462</v>
          </cell>
          <cell r="U835">
            <v>753.70962939207982</v>
          </cell>
          <cell r="V835">
            <v>734.03561744822332</v>
          </cell>
          <cell r="W835">
            <v>714.47880554480867</v>
          </cell>
          <cell r="X835">
            <v>695.04565892472192</v>
          </cell>
          <cell r="Y835">
            <v>670.93863454979589</v>
          </cell>
          <cell r="Z835">
            <v>647.29531478635272</v>
          </cell>
          <cell r="AA835">
            <v>624.11087795408162</v>
          </cell>
          <cell r="AB835">
            <v>601.38050237266282</v>
          </cell>
          <cell r="AC835">
            <v>579.0993663617794</v>
          </cell>
          <cell r="AD835">
            <v>565.82751060976602</v>
          </cell>
          <cell r="AE835">
            <v>552.79031019735453</v>
          </cell>
          <cell r="AF835">
            <v>539.98486787112779</v>
          </cell>
          <cell r="AG835">
            <v>527.40828637767618</v>
          </cell>
          <cell r="AH835">
            <v>515.05766846358995</v>
          </cell>
        </row>
        <row r="836">
          <cell r="B836" t="str">
            <v>e-diesel (DAC) - Energy cost - Africa - USD/ton fuel</v>
          </cell>
          <cell r="G836">
            <v>24.196520996516455</v>
          </cell>
          <cell r="H836">
            <v>20.984263356572239</v>
          </cell>
          <cell r="I836">
            <v>17.87071422432129</v>
          </cell>
          <cell r="J836">
            <v>16.823748934217715</v>
          </cell>
          <cell r="K836">
            <v>15.802028726504963</v>
          </cell>
          <cell r="L836">
            <v>14.805553601183036</v>
          </cell>
          <cell r="M836">
            <v>13.834323558251761</v>
          </cell>
          <cell r="N836">
            <v>12.888338597711485</v>
          </cell>
          <cell r="O836">
            <v>12.290477819406663</v>
          </cell>
          <cell r="P836">
            <v>11.705545605118326</v>
          </cell>
          <cell r="Q836">
            <v>11.133541954846319</v>
          </cell>
          <cell r="R836">
            <v>10.574466868590962</v>
          </cell>
          <cell r="S836">
            <v>10.02832034635213</v>
          </cell>
          <cell r="T836">
            <v>9.6964670631229843</v>
          </cell>
          <cell r="U836">
            <v>9.3701967075256007</v>
          </cell>
          <cell r="V836">
            <v>9.0495092795597998</v>
          </cell>
          <cell r="W836">
            <v>8.7344047792256703</v>
          </cell>
          <cell r="X836">
            <v>8.424883206523333</v>
          </cell>
          <cell r="Y836">
            <v>8.1289163298713785</v>
          </cell>
          <cell r="Z836">
            <v>7.8382163198470858</v>
          </cell>
          <cell r="AA836">
            <v>7.552783176450439</v>
          </cell>
          <cell r="AB836">
            <v>7.2726168996816174</v>
          </cell>
          <cell r="AC836">
            <v>6.997717489540431</v>
          </cell>
          <cell r="AD836">
            <v>6.8115445879951633</v>
          </cell>
          <cell r="AE836">
            <v>6.6277434055101123</v>
          </cell>
          <cell r="AF836">
            <v>6.4463139420851272</v>
          </cell>
          <cell r="AG836">
            <v>6.2672561977202834</v>
          </cell>
          <cell r="AH836">
            <v>6.090570172415652</v>
          </cell>
        </row>
        <row r="837">
          <cell r="B837" t="str">
            <v>e-diesel (DAC) - Energy cost - Americas - USD/ton fuel</v>
          </cell>
          <cell r="G837">
            <v>15.203034188414808</v>
          </cell>
          <cell r="H837">
            <v>14.629589114960471</v>
          </cell>
          <cell r="I837">
            <v>14.067081505671206</v>
          </cell>
          <cell r="J837">
            <v>13.329612930282243</v>
          </cell>
          <cell r="K837">
            <v>12.609106739922293</v>
          </cell>
          <cell r="L837">
            <v>11.905562934591353</v>
          </cell>
          <cell r="M837">
            <v>11.218981514289597</v>
          </cell>
          <cell r="N837">
            <v>10.549362479016679</v>
          </cell>
          <cell r="O837">
            <v>10.15213828004366</v>
          </cell>
          <cell r="P837">
            <v>9.7624029611274885</v>
          </cell>
          <cell r="Q837">
            <v>9.3801565222681607</v>
          </cell>
          <cell r="R837">
            <v>9.0053989634656801</v>
          </cell>
          <cell r="S837">
            <v>8.6381302847200061</v>
          </cell>
          <cell r="T837">
            <v>8.3296276332387222</v>
          </cell>
          <cell r="U837">
            <v>8.0266945217164203</v>
          </cell>
          <cell r="V837">
            <v>7.7293309501529768</v>
          </cell>
          <cell r="W837">
            <v>7.437536918548509</v>
          </cell>
          <cell r="X837">
            <v>7.1513124269030035</v>
          </cell>
          <cell r="Y837">
            <v>6.9719308949500096</v>
          </cell>
          <cell r="Z837">
            <v>6.7946079297467135</v>
          </cell>
          <cell r="AA837">
            <v>6.6193435312931719</v>
          </cell>
          <cell r="AB837">
            <v>6.4461376995893911</v>
          </cell>
          <cell r="AC837">
            <v>6.2749904346353098</v>
          </cell>
          <cell r="AD837">
            <v>6.1289523542329727</v>
          </cell>
          <cell r="AE837">
            <v>5.9843391139187769</v>
          </cell>
          <cell r="AF837">
            <v>5.8411507136926293</v>
          </cell>
          <cell r="AG837">
            <v>5.699387153554567</v>
          </cell>
          <cell r="AH837">
            <v>5.5590484335046302</v>
          </cell>
        </row>
        <row r="838">
          <cell r="B838" t="str">
            <v>e-diesel (DAC) - Energy cost - Asia - USD/ton fuel</v>
          </cell>
          <cell r="G838">
            <v>26.911560952103585</v>
          </cell>
          <cell r="H838">
            <v>24.120345458273867</v>
          </cell>
          <cell r="I838">
            <v>21.411285353546209</v>
          </cell>
          <cell r="J838">
            <v>20.252527787458053</v>
          </cell>
          <cell r="K838">
            <v>19.120806072795972</v>
          </cell>
          <cell r="L838">
            <v>18.016120209559258</v>
          </cell>
          <cell r="M838">
            <v>16.93847019774827</v>
          </cell>
          <cell r="N838">
            <v>15.88785603736334</v>
          </cell>
          <cell r="O838">
            <v>15.123404554681125</v>
          </cell>
          <cell r="P838">
            <v>14.375812120197313</v>
          </cell>
          <cell r="Q838">
            <v>13.645078733911902</v>
          </cell>
          <cell r="R838">
            <v>12.931204395824565</v>
          </cell>
          <cell r="S838">
            <v>12.234189105935469</v>
          </cell>
          <cell r="T838">
            <v>11.797976538046914</v>
          </cell>
          <cell r="U838">
            <v>11.369627942208288</v>
          </cell>
          <cell r="V838">
            <v>10.949143318419541</v>
          </cell>
          <cell r="W838">
            <v>10.53652266668059</v>
          </cell>
          <cell r="X838">
            <v>10.131765986991704</v>
          </cell>
          <cell r="Y838">
            <v>9.7395580324030853</v>
          </cell>
          <cell r="Z838">
            <v>9.3549020176036937</v>
          </cell>
          <cell r="AA838">
            <v>8.9777979425934493</v>
          </cell>
          <cell r="AB838">
            <v>8.6082458073725423</v>
          </cell>
          <cell r="AC838">
            <v>8.2462456119407292</v>
          </cell>
          <cell r="AD838">
            <v>8.0154645450439599</v>
          </cell>
          <cell r="AE838">
            <v>7.7878608108152818</v>
          </cell>
          <cell r="AF838">
            <v>7.5634344092546586</v>
          </cell>
          <cell r="AG838">
            <v>7.3421853403621089</v>
          </cell>
          <cell r="AH838">
            <v>7.1241136041376523</v>
          </cell>
        </row>
        <row r="839">
          <cell r="B839" t="str">
            <v>e-diesel (DAC) - Energy cost - Europe - USD/ton fuel</v>
          </cell>
          <cell r="G839">
            <v>20.03419940861022</v>
          </cell>
          <cell r="H839">
            <v>18.837733795195369</v>
          </cell>
          <cell r="I839">
            <v>17.671265371443241</v>
          </cell>
          <cell r="J839">
            <v>16.717185818536183</v>
          </cell>
          <cell r="K839">
            <v>15.78534335027101</v>
          </cell>
          <cell r="L839">
            <v>14.875737966648074</v>
          </cell>
          <cell r="M839">
            <v>13.988369667667028</v>
          </cell>
          <cell r="N839">
            <v>13.123238453328213</v>
          </cell>
          <cell r="O839">
            <v>12.654095123654653</v>
          </cell>
          <cell r="P839">
            <v>12.193428582186671</v>
          </cell>
          <cell r="Q839">
            <v>11.741238828923938</v>
          </cell>
          <cell r="R839">
            <v>11.297525863866536</v>
          </cell>
          <cell r="S839">
            <v>10.862289687014542</v>
          </cell>
          <cell r="T839">
            <v>10.544654819504814</v>
          </cell>
          <cell r="U839">
            <v>10.231663236644277</v>
          </cell>
          <cell r="V839">
            <v>9.9233149384327817</v>
          </cell>
          <cell r="W839">
            <v>9.6196099248703852</v>
          </cell>
          <cell r="X839">
            <v>9.3205481959570715</v>
          </cell>
          <cell r="Y839">
            <v>9.0309249569471994</v>
          </cell>
          <cell r="Z839">
            <v>8.7458591318438703</v>
          </cell>
          <cell r="AA839">
            <v>8.4653507206472032</v>
          </cell>
          <cell r="AB839">
            <v>8.189399723357182</v>
          </cell>
          <cell r="AC839">
            <v>7.9180061399737713</v>
          </cell>
          <cell r="AD839">
            <v>7.6964162754164303</v>
          </cell>
          <cell r="AE839">
            <v>7.477877101912612</v>
          </cell>
          <cell r="AF839">
            <v>7.262388619462282</v>
          </cell>
          <cell r="AG839">
            <v>7.049950828065457</v>
          </cell>
          <cell r="AH839">
            <v>6.8405637277221549</v>
          </cell>
        </row>
        <row r="840">
          <cell r="B840" t="str">
            <v>e-diesel (DAC) - Energy cost - Middle East - USD/ton fuel</v>
          </cell>
          <cell r="G840">
            <v>15.341082917877907</v>
          </cell>
          <cell r="H840">
            <v>14.409400272858166</v>
          </cell>
          <cell r="I840">
            <v>13.501235651081528</v>
          </cell>
          <cell r="J840">
            <v>12.85283382039278</v>
          </cell>
          <cell r="K840">
            <v>12.218717691563548</v>
          </cell>
          <cell r="L840">
            <v>11.598887264593834</v>
          </cell>
          <cell r="M840">
            <v>10.993342539483638</v>
          </cell>
          <cell r="N840">
            <v>10.402083516232958</v>
          </cell>
          <cell r="O840">
            <v>9.9550881030842415</v>
          </cell>
          <cell r="P840">
            <v>9.5173342300383421</v>
          </cell>
          <cell r="Q840">
            <v>9.0888218970950945</v>
          </cell>
          <cell r="R840">
            <v>8.669551104254662</v>
          </cell>
          <cell r="S840">
            <v>8.2595218515169613</v>
          </cell>
          <cell r="T840">
            <v>7.9965392922245107</v>
          </cell>
          <cell r="U840">
            <v>7.737807841980775</v>
          </cell>
          <cell r="V840">
            <v>7.4833275007857054</v>
          </cell>
          <cell r="W840">
            <v>7.2330982686392709</v>
          </cell>
          <cell r="X840">
            <v>6.9871201455415495</v>
          </cell>
          <cell r="Y840">
            <v>6.719423322668999</v>
          </cell>
          <cell r="Z840">
            <v>6.4568411836030739</v>
          </cell>
          <cell r="AA840">
            <v>6.199373728343744</v>
          </cell>
          <cell r="AB840">
            <v>5.947020956891115</v>
          </cell>
          <cell r="AC840">
            <v>5.6997828692450287</v>
          </cell>
          <cell r="AD840">
            <v>5.540265853330915</v>
          </cell>
          <cell r="AE840">
            <v>5.3829450603634372</v>
          </cell>
          <cell r="AF840">
            <v>5.227820490342495</v>
          </cell>
          <cell r="AG840">
            <v>5.0748921432681389</v>
          </cell>
          <cell r="AH840">
            <v>4.9241600191404169</v>
          </cell>
        </row>
        <row r="841">
          <cell r="B841" t="str">
            <v>e-hydrogen (compressed) - Energy cost including feedstock energy cost - Africa - USD/ton fuel</v>
          </cell>
          <cell r="G841">
            <v>3160.8705964644164</v>
          </cell>
          <cell r="H841">
            <v>2786.523241337979</v>
          </cell>
          <cell r="I841">
            <v>2412.5464202833837</v>
          </cell>
          <cell r="J841">
            <v>2304.7344628217015</v>
          </cell>
          <cell r="K841">
            <v>2196.6012206586379</v>
          </cell>
          <cell r="L841">
            <v>2088.2494806360514</v>
          </cell>
          <cell r="M841">
            <v>1979.7820295958466</v>
          </cell>
          <cell r="N841">
            <v>1871.3016543799013</v>
          </cell>
          <cell r="O841">
            <v>1802.6625730422293</v>
          </cell>
          <cell r="P841">
            <v>1734.1917254836167</v>
          </cell>
          <cell r="Q841">
            <v>1665.9444753405153</v>
          </cell>
          <cell r="R841">
            <v>1597.976186249457</v>
          </cell>
          <cell r="S841">
            <v>1530.3422218469802</v>
          </cell>
          <cell r="T841">
            <v>1491.8507805011832</v>
          </cell>
          <cell r="U841">
            <v>1453.4494587457298</v>
          </cell>
          <cell r="V841">
            <v>1415.1563219456079</v>
          </cell>
          <cell r="W841">
            <v>1376.9894354656967</v>
          </cell>
          <cell r="X841">
            <v>1338.9668646709708</v>
          </cell>
          <cell r="Y841">
            <v>1296.9598763474942</v>
          </cell>
          <cell r="Z841">
            <v>1255.7747230782336</v>
          </cell>
          <cell r="AA841">
            <v>1215.4008407247393</v>
          </cell>
          <cell r="AB841">
            <v>1175.8276651485323</v>
          </cell>
          <cell r="AC841">
            <v>1137.0446322111472</v>
          </cell>
          <cell r="AD841">
            <v>1113.2241368658154</v>
          </cell>
          <cell r="AE841">
            <v>1089.8673860112274</v>
          </cell>
          <cell r="AF841">
            <v>1066.9677226950826</v>
          </cell>
          <cell r="AG841">
            <v>1044.5184899651035</v>
          </cell>
          <cell r="AH841">
            <v>1022.5130308690141</v>
          </cell>
        </row>
        <row r="842">
          <cell r="B842" t="str">
            <v>e-hydrogen (compressed) - Energy cost including feedstock energy cost - Americas - USD/ton fuel</v>
          </cell>
          <cell r="G842">
            <v>1986.022029783622</v>
          </cell>
          <cell r="H842">
            <v>1942.6791108821419</v>
          </cell>
          <cell r="I842">
            <v>1899.0560032656203</v>
          </cell>
          <cell r="J842">
            <v>1826.0625747933959</v>
          </cell>
          <cell r="K842">
            <v>1752.7609736509025</v>
          </cell>
          <cell r="L842">
            <v>1679.2202631891889</v>
          </cell>
          <cell r="M842">
            <v>1605.5095067593863</v>
          </cell>
          <cell r="N842">
            <v>1531.6977677124719</v>
          </cell>
          <cell r="O842">
            <v>1489.0291478242557</v>
          </cell>
          <cell r="P842">
            <v>1446.3126288296503</v>
          </cell>
          <cell r="Q842">
            <v>1403.5802801551172</v>
          </cell>
          <cell r="R842">
            <v>1360.8641712271224</v>
          </cell>
          <cell r="S842">
            <v>1318.196371472189</v>
          </cell>
          <cell r="T842">
            <v>1281.5555815366356</v>
          </cell>
          <cell r="U842">
            <v>1245.0533507729108</v>
          </cell>
          <cell r="V842">
            <v>1208.7077012258628</v>
          </cell>
          <cell r="W842">
            <v>1172.5366549402484</v>
          </cell>
          <cell r="X842">
            <v>1136.5582339608836</v>
          </cell>
          <cell r="Y842">
            <v>1112.3640919011295</v>
          </cell>
          <cell r="Z842">
            <v>1088.5763473760965</v>
          </cell>
          <cell r="AA842">
            <v>1065.1908713683672</v>
          </cell>
          <cell r="AB842">
            <v>1042.2035348604634</v>
          </cell>
          <cell r="AC842">
            <v>1019.61020883496</v>
          </cell>
          <cell r="AD842">
            <v>1001.6667447875999</v>
          </cell>
          <cell r="AE842">
            <v>984.06586194466854</v>
          </cell>
          <cell r="AF842">
            <v>966.80356105825501</v>
          </cell>
          <cell r="AG842">
            <v>949.87584288045787</v>
          </cell>
          <cell r="AH842">
            <v>933.27870816337509</v>
          </cell>
        </row>
        <row r="843">
          <cell r="B843" t="str">
            <v>e-hydrogen (compressed) - Energy cost including feedstock energy cost - Asia - USD/ton fuel</v>
          </cell>
          <cell r="G843">
            <v>3515.5451368694994</v>
          </cell>
          <cell r="H843">
            <v>3202.9670075376002</v>
          </cell>
          <cell r="I843">
            <v>2890.5235227287494</v>
          </cell>
          <cell r="J843">
            <v>2774.4528840461521</v>
          </cell>
          <cell r="K843">
            <v>2657.9363122554146</v>
          </cell>
          <cell r="L843">
            <v>2541.0838854200356</v>
          </cell>
          <cell r="M843">
            <v>2424.0056816037468</v>
          </cell>
          <cell r="N843">
            <v>2306.8117788701561</v>
          </cell>
          <cell r="O843">
            <v>2218.1721303505983</v>
          </cell>
          <cell r="P843">
            <v>2129.7951643580186</v>
          </cell>
          <cell r="Q843">
            <v>2041.7530759339261</v>
          </cell>
          <cell r="R843">
            <v>1954.1180601197893</v>
          </cell>
          <cell r="S843">
            <v>1866.9623119572402</v>
          </cell>
          <cell r="T843">
            <v>1815.1787029276168</v>
          </cell>
          <cell r="U843">
            <v>1763.5893988725866</v>
          </cell>
          <cell r="V843">
            <v>1712.219846212882</v>
          </cell>
          <cell r="W843">
            <v>1661.0954913690473</v>
          </cell>
          <cell r="X843">
            <v>1610.2417807617942</v>
          </cell>
          <cell r="Y843">
            <v>1553.9360314199</v>
          </cell>
          <cell r="Z843">
            <v>1498.7656644323729</v>
          </cell>
          <cell r="AA843">
            <v>1444.7155323228835</v>
          </cell>
          <cell r="AB843">
            <v>1391.7704876150719</v>
          </cell>
          <cell r="AC843">
            <v>1339.915382832598</v>
          </cell>
          <cell r="AD843">
            <v>1309.9831447130568</v>
          </cell>
          <cell r="AE843">
            <v>1280.6373127610934</v>
          </cell>
          <cell r="AF843">
            <v>1251.8689688243389</v>
          </cell>
          <cell r="AG843">
            <v>1223.6691947504187</v>
          </cell>
          <cell r="AH843">
            <v>1196.0290723869578</v>
          </cell>
        </row>
        <row r="844">
          <cell r="B844" t="str">
            <v>e-hydrogen (compressed) - Energy cost including feedstock energy cost - Europe - USD/ton fuel</v>
          </cell>
          <cell r="G844">
            <v>2617.1329276426868</v>
          </cell>
          <cell r="H844">
            <v>2501.4832373426843</v>
          </cell>
          <cell r="I844">
            <v>2385.6208251448465</v>
          </cell>
          <cell r="J844">
            <v>2290.1360706240293</v>
          </cell>
          <cell r="K844">
            <v>2194.281827469511</v>
          </cell>
          <cell r="L844">
            <v>2098.1486352829556</v>
          </cell>
          <cell r="M844">
            <v>2001.8270336660016</v>
          </cell>
          <cell r="N844">
            <v>1905.4075622202831</v>
          </cell>
          <cell r="O844">
            <v>1855.9948612502078</v>
          </cell>
          <cell r="P844">
            <v>1806.4722197363817</v>
          </cell>
          <cell r="Q844">
            <v>1756.8759375972888</v>
          </cell>
          <cell r="R844">
            <v>1707.2423147514785</v>
          </cell>
          <cell r="S844">
            <v>1657.6076511175781</v>
          </cell>
          <cell r="T844">
            <v>1622.348781281504</v>
          </cell>
          <cell r="U844">
            <v>1587.0750484272664</v>
          </cell>
          <cell r="V844">
            <v>1551.8014774016065</v>
          </cell>
          <cell r="W844">
            <v>1516.5430930511313</v>
          </cell>
          <cell r="X844">
            <v>1481.3149202225381</v>
          </cell>
          <cell r="Y844">
            <v>1440.8743847473047</v>
          </cell>
          <cell r="Z844">
            <v>1401.1898091614214</v>
          </cell>
          <cell r="AA844">
            <v>1362.2520523275218</v>
          </cell>
          <cell r="AB844">
            <v>1324.0519731081486</v>
          </cell>
          <cell r="AC844">
            <v>1286.5804303659243</v>
          </cell>
          <cell r="AD844">
            <v>1257.840458133481</v>
          </cell>
          <cell r="AE844">
            <v>1229.6635327190136</v>
          </cell>
          <cell r="AF844">
            <v>1202.0410914284364</v>
          </cell>
          <cell r="AG844">
            <v>1174.9645715676581</v>
          </cell>
          <cell r="AH844">
            <v>1148.4254104425868</v>
          </cell>
        </row>
        <row r="845">
          <cell r="B845" t="str">
            <v>e-hydrogen (compressed) - Energy cost including feedstock energy cost - Middle East - USD/ton fuel</v>
          </cell>
          <cell r="G845">
            <v>2004.0557863679674</v>
          </cell>
          <cell r="H845">
            <v>1913.439994141396</v>
          </cell>
          <cell r="I845">
            <v>1822.6668128960132</v>
          </cell>
          <cell r="J845">
            <v>1760.7472131571581</v>
          </cell>
          <cell r="K845">
            <v>1698.4939504098782</v>
          </cell>
          <cell r="L845">
            <v>1635.9651897318304</v>
          </cell>
          <cell r="M845">
            <v>1573.2190962007282</v>
          </cell>
          <cell r="N845">
            <v>1510.3138348942052</v>
          </cell>
          <cell r="O845">
            <v>1460.1275067135082</v>
          </cell>
          <cell r="P845">
            <v>1410.0053792603746</v>
          </cell>
          <cell r="Q845">
            <v>1359.9870273294782</v>
          </cell>
          <cell r="R845">
            <v>1310.1120257155462</v>
          </cell>
          <cell r="S845">
            <v>1260.4199492133293</v>
          </cell>
          <cell r="T845">
            <v>1230.3082459572943</v>
          </cell>
          <cell r="U845">
            <v>1200.2429586961468</v>
          </cell>
          <cell r="V845">
            <v>1170.2378432658459</v>
          </cell>
          <cell r="W845">
            <v>1140.3066555022276</v>
          </cell>
          <cell r="X845">
            <v>1110.4631512412213</v>
          </cell>
          <cell r="Y845">
            <v>1072.0767797388739</v>
          </cell>
          <cell r="Z845">
            <v>1034.4621299578357</v>
          </cell>
          <cell r="AA845">
            <v>997.60894300383222</v>
          </cell>
          <cell r="AB845">
            <v>961.50695998256094</v>
          </cell>
          <cell r="AC845">
            <v>926.14592199973754</v>
          </cell>
          <cell r="AD845">
            <v>905.45655143347608</v>
          </cell>
          <cell r="AE845">
            <v>885.17250940990675</v>
          </cell>
          <cell r="AF845">
            <v>865.287631560058</v>
          </cell>
          <cell r="AG845">
            <v>845.79575351497181</v>
          </cell>
          <cell r="AH845">
            <v>826.69071090569059</v>
          </cell>
        </row>
        <row r="846">
          <cell r="B846" t="str">
            <v>Carbon dioxide (DAC) - Energy cost - Africa - USD/ton fuel</v>
          </cell>
          <cell r="G846">
            <v>168.04374017226095</v>
          </cell>
          <cell r="H846">
            <v>146.30209067169341</v>
          </cell>
          <cell r="I846">
            <v>125.09499957024941</v>
          </cell>
          <cell r="J846">
            <v>118.18460880247255</v>
          </cell>
          <cell r="K846">
            <v>111.41353662951776</v>
          </cell>
          <cell r="L846">
            <v>104.78178305138506</v>
          </cell>
          <cell r="M846">
            <v>98.28934806807321</v>
          </cell>
          <cell r="N846">
            <v>91.936231679584665</v>
          </cell>
          <cell r="O846">
            <v>87.982972860232593</v>
          </cell>
          <cell r="P846">
            <v>84.102420719352523</v>
          </cell>
          <cell r="Q846">
            <v>80.294575256942807</v>
          </cell>
          <cell r="R846">
            <v>76.559436473005292</v>
          </cell>
          <cell r="S846">
            <v>72.89700436753958</v>
          </cell>
          <cell r="T846">
            <v>70.735122997418571</v>
          </cell>
          <cell r="U846">
            <v>68.605236304620504</v>
          </cell>
          <cell r="V846">
            <v>66.507344289144001</v>
          </cell>
          <cell r="W846">
            <v>64.441446950990169</v>
          </cell>
          <cell r="X846">
            <v>62.40754429015891</v>
          </cell>
          <cell r="Y846">
            <v>60.429077079389643</v>
          </cell>
          <cell r="Z846">
            <v>58.481367988026683</v>
          </cell>
          <cell r="AA846">
            <v>56.564417016069513</v>
          </cell>
          <cell r="AB846">
            <v>54.678224163519339</v>
          </cell>
          <cell r="AC846">
            <v>52.822789430375032</v>
          </cell>
          <cell r="AD846">
            <v>51.600110701740995</v>
          </cell>
          <cell r="AE846">
            <v>50.391546373167834</v>
          </cell>
          <cell r="AF846">
            <v>49.197096444655244</v>
          </cell>
          <cell r="AG846">
            <v>48.016760916203474</v>
          </cell>
          <cell r="AH846">
            <v>46.85053978781275</v>
          </cell>
        </row>
        <row r="847">
          <cell r="B847" t="str">
            <v>Carbon dioxide (DAC) - Energy cost - Americas - USD/ton fuel</v>
          </cell>
          <cell r="G847">
            <v>105.58438245546897</v>
          </cell>
          <cell r="H847">
            <v>101.99736044182912</v>
          </cell>
          <cell r="I847">
            <v>98.469570539698765</v>
          </cell>
          <cell r="J847">
            <v>93.638765997611998</v>
          </cell>
          <cell r="K847">
            <v>88.901570801317362</v>
          </cell>
          <cell r="L847">
            <v>84.25798495081483</v>
          </cell>
          <cell r="M847">
            <v>79.708008446105609</v>
          </cell>
          <cell r="N847">
            <v>75.251641287187283</v>
          </cell>
          <cell r="O847">
            <v>72.675393088137156</v>
          </cell>
          <cell r="P847">
            <v>70.14126028517552</v>
          </cell>
          <cell r="Q847">
            <v>67.64924287830199</v>
          </cell>
          <cell r="R847">
            <v>65.19934086751617</v>
          </cell>
          <cell r="S847">
            <v>62.791554252818194</v>
          </cell>
          <cell r="T847">
            <v>60.764114529985541</v>
          </cell>
          <cell r="U847">
            <v>58.768592762315109</v>
          </cell>
          <cell r="V847">
            <v>56.804988949805931</v>
          </cell>
          <cell r="W847">
            <v>54.873303092459224</v>
          </cell>
          <cell r="X847">
            <v>52.973535190274085</v>
          </cell>
          <cell r="Y847">
            <v>51.828230522552126</v>
          </cell>
          <cell r="Z847">
            <v>50.694947735460516</v>
          </cell>
          <cell r="AA847">
            <v>49.573686828999371</v>
          </cell>
          <cell r="AB847">
            <v>48.464447803168603</v>
          </cell>
          <cell r="AC847">
            <v>47.367230657968015</v>
          </cell>
          <cell r="AD847">
            <v>46.429207924659629</v>
          </cell>
          <cell r="AE847">
            <v>45.499664594904488</v>
          </cell>
          <cell r="AF847">
            <v>44.57860066870262</v>
          </cell>
          <cell r="AG847">
            <v>43.666016146054034</v>
          </cell>
          <cell r="AH847">
            <v>42.761911026958728</v>
          </cell>
        </row>
        <row r="848">
          <cell r="B848" t="str">
            <v>Carbon dioxide (DAC) - Energy cost - Asia - USD/ton fuel</v>
          </cell>
          <cell r="G848">
            <v>186.89956944291009</v>
          </cell>
          <cell r="H848">
            <v>168.16682617375361</v>
          </cell>
          <cell r="I848">
            <v>149.87899747482393</v>
          </cell>
          <cell r="J848">
            <v>142.27132627697122</v>
          </cell>
          <cell r="K848">
            <v>134.81285628877197</v>
          </cell>
          <cell r="L848">
            <v>127.50358751022122</v>
          </cell>
          <cell r="M848">
            <v>120.34351994132149</v>
          </cell>
          <cell r="N848">
            <v>113.33265358207515</v>
          </cell>
          <cell r="O848">
            <v>108.26284478442385</v>
          </cell>
          <cell r="P848">
            <v>103.28784662429925</v>
          </cell>
          <cell r="Q848">
            <v>98.407659101700688</v>
          </cell>
          <cell r="R848">
            <v>93.622282216625351</v>
          </cell>
          <cell r="S848">
            <v>88.931715969074972</v>
          </cell>
          <cell r="T848">
            <v>86.065503663003796</v>
          </cell>
          <cell r="U848">
            <v>83.244358258173165</v>
          </cell>
          <cell r="V848">
            <v>80.468279754582596</v>
          </cell>
          <cell r="W848">
            <v>77.737268152231991</v>
          </cell>
          <cell r="X848">
            <v>75.051323451122215</v>
          </cell>
          <cell r="Y848">
            <v>72.402332509748831</v>
          </cell>
          <cell r="Z848">
            <v>69.797444349441975</v>
          </cell>
          <cell r="AA848">
            <v>67.236658970200637</v>
          </cell>
          <cell r="AB848">
            <v>64.719976372026011</v>
          </cell>
          <cell r="AC848">
            <v>62.247396554916683</v>
          </cell>
          <cell r="AD848">
            <v>60.720274602486676</v>
          </cell>
          <cell r="AE848">
            <v>59.212061358577877</v>
          </cell>
          <cell r="AF848">
            <v>57.722756823190991</v>
          </cell>
          <cell r="AG848">
            <v>56.25236099632577</v>
          </cell>
          <cell r="AH848">
            <v>54.800873877981985</v>
          </cell>
        </row>
        <row r="849">
          <cell r="B849" t="str">
            <v>Carbon dioxide (DAC) - Energy cost - Europe - USD/ton fuel</v>
          </cell>
          <cell r="G849">
            <v>139.13660564940096</v>
          </cell>
          <cell r="H849">
            <v>131.33650635826208</v>
          </cell>
          <cell r="I849">
            <v>123.69885760010307</v>
          </cell>
          <cell r="J849">
            <v>117.43601702374129</v>
          </cell>
          <cell r="K849">
            <v>111.29589497676589</v>
          </cell>
          <cell r="L849">
            <v>105.27849145917936</v>
          </cell>
          <cell r="M849">
            <v>99.383806470979252</v>
          </cell>
          <cell r="N849">
            <v>93.611840012167974</v>
          </cell>
          <cell r="O849">
            <v>90.585974296079655</v>
          </cell>
          <cell r="P849">
            <v>87.607779699054461</v>
          </cell>
          <cell r="Q849">
            <v>84.67725622108955</v>
          </cell>
          <cell r="R849">
            <v>81.794403862185035</v>
          </cell>
          <cell r="S849">
            <v>78.959222622341954</v>
          </cell>
          <cell r="T849">
            <v>76.922599826040909</v>
          </cell>
          <cell r="U849">
            <v>74.912586795058061</v>
          </cell>
          <cell r="V849">
            <v>72.929183529392262</v>
          </cell>
          <cell r="W849">
            <v>70.972390029044362</v>
          </cell>
          <cell r="X849">
            <v>69.042206294013226</v>
          </cell>
          <cell r="Y849">
            <v>67.134466412964173</v>
          </cell>
          <cell r="Z849">
            <v>65.253341498845373</v>
          </cell>
          <cell r="AA849">
            <v>63.398831551657359</v>
          </cell>
          <cell r="AB849">
            <v>61.570936571399812</v>
          </cell>
          <cell r="AC849">
            <v>59.769656558072832</v>
          </cell>
          <cell r="AD849">
            <v>58.303359346438278</v>
          </cell>
          <cell r="AE849">
            <v>56.855217183061221</v>
          </cell>
          <cell r="AF849">
            <v>55.425230067942344</v>
          </cell>
          <cell r="AG849">
            <v>54.013398001081399</v>
          </cell>
          <cell r="AH849">
            <v>52.619720982478157</v>
          </cell>
        </row>
        <row r="850">
          <cell r="B850" t="str">
            <v>Carbon dioxide (DAC) - Energy cost - Middle East - USD/ton fuel</v>
          </cell>
          <cell r="G850">
            <v>106.54312461630884</v>
          </cell>
          <cell r="H850">
            <v>100.46220586457505</v>
          </cell>
          <cell r="I850">
            <v>94.50864955757099</v>
          </cell>
          <cell r="J850">
            <v>90.289455876080666</v>
          </cell>
          <cell r="K850">
            <v>86.149099881800211</v>
          </cell>
          <cell r="L850">
            <v>82.087581574729612</v>
          </cell>
          <cell r="M850">
            <v>78.104900954868882</v>
          </cell>
          <cell r="N850">
            <v>74.201058022218021</v>
          </cell>
          <cell r="O850">
            <v>71.264783946143552</v>
          </cell>
          <cell r="P850">
            <v>68.380481742891675</v>
          </cell>
          <cell r="Q850">
            <v>65.548151412460825</v>
          </cell>
          <cell r="R850">
            <v>62.767792954851807</v>
          </cell>
          <cell r="S850">
            <v>60.039406370064405</v>
          </cell>
          <cell r="T850">
            <v>58.334255838436711</v>
          </cell>
          <cell r="U850">
            <v>56.653467589691616</v>
          </cell>
          <cell r="V850">
            <v>54.997041623828714</v>
          </cell>
          <cell r="W850">
            <v>53.364977940848128</v>
          </cell>
          <cell r="X850">
            <v>51.757276540749643</v>
          </cell>
          <cell r="Y850">
            <v>49.951129205562665</v>
          </cell>
          <cell r="Z850">
            <v>48.17485125313609</v>
          </cell>
          <cell r="AA850">
            <v>46.428442683469406</v>
          </cell>
          <cell r="AB850">
            <v>44.711903496563266</v>
          </cell>
          <cell r="AC850">
            <v>43.025233692416762</v>
          </cell>
          <cell r="AD850">
            <v>41.969677751620367</v>
          </cell>
          <cell r="AE850">
            <v>40.927191811319283</v>
          </cell>
          <cell r="AF850">
            <v>39.897775871513431</v>
          </cell>
          <cell r="AG850">
            <v>38.881429932202913</v>
          </cell>
          <cell r="AH850">
            <v>37.878153993387855</v>
          </cell>
        </row>
        <row r="851">
          <cell r="B851" t="str">
            <v>e-diesel - Conversion H2 -&gt; diesel - Global - ton H2/ton diesel</v>
          </cell>
          <cell r="G851">
            <v>0.47</v>
          </cell>
          <cell r="H851">
            <v>0.47</v>
          </cell>
          <cell r="I851">
            <v>0.47</v>
          </cell>
          <cell r="J851">
            <v>0.47</v>
          </cell>
          <cell r="K851">
            <v>0.47</v>
          </cell>
          <cell r="L851">
            <v>0.47</v>
          </cell>
          <cell r="M851">
            <v>0.47</v>
          </cell>
          <cell r="N851">
            <v>0.47</v>
          </cell>
          <cell r="O851">
            <v>0.47</v>
          </cell>
          <cell r="P851">
            <v>0.47</v>
          </cell>
          <cell r="Q851">
            <v>0.47</v>
          </cell>
          <cell r="R851">
            <v>0.47</v>
          </cell>
          <cell r="S851">
            <v>0.47</v>
          </cell>
          <cell r="T851">
            <v>0.47</v>
          </cell>
          <cell r="U851">
            <v>0.47</v>
          </cell>
          <cell r="V851">
            <v>0.47</v>
          </cell>
          <cell r="W851">
            <v>0.47</v>
          </cell>
          <cell r="X851">
            <v>0.47</v>
          </cell>
          <cell r="Y851">
            <v>0.47</v>
          </cell>
          <cell r="Z851">
            <v>0.47</v>
          </cell>
          <cell r="AA851">
            <v>0.47</v>
          </cell>
          <cell r="AB851">
            <v>0.47</v>
          </cell>
          <cell r="AC851">
            <v>0.47</v>
          </cell>
          <cell r="AD851">
            <v>0.47</v>
          </cell>
          <cell r="AE851">
            <v>0.47</v>
          </cell>
          <cell r="AF851">
            <v>0.47</v>
          </cell>
          <cell r="AG851">
            <v>0.47</v>
          </cell>
          <cell r="AH851">
            <v>0.47</v>
          </cell>
        </row>
        <row r="852">
          <cell r="B852" t="str">
            <v>e-diesel - Conversion CO2 -&gt; diesel - Global - ton CO2/ton diesel</v>
          </cell>
          <cell r="G852">
            <v>3.21</v>
          </cell>
          <cell r="H852">
            <v>3.21</v>
          </cell>
          <cell r="I852">
            <v>3.21</v>
          </cell>
          <cell r="J852">
            <v>3.21</v>
          </cell>
          <cell r="K852">
            <v>3.21</v>
          </cell>
          <cell r="L852">
            <v>3.21</v>
          </cell>
          <cell r="M852">
            <v>3.21</v>
          </cell>
          <cell r="N852">
            <v>3.21</v>
          </cell>
          <cell r="O852">
            <v>3.21</v>
          </cell>
          <cell r="P852">
            <v>3.21</v>
          </cell>
          <cell r="Q852">
            <v>3.21</v>
          </cell>
          <cell r="R852">
            <v>3.21</v>
          </cell>
          <cell r="S852">
            <v>3.21</v>
          </cell>
          <cell r="T852">
            <v>3.21</v>
          </cell>
          <cell r="U852">
            <v>3.21</v>
          </cell>
          <cell r="V852">
            <v>3.21</v>
          </cell>
          <cell r="W852">
            <v>3.21</v>
          </cell>
          <cell r="X852">
            <v>3.21</v>
          </cell>
          <cell r="Y852">
            <v>3.21</v>
          </cell>
          <cell r="Z852">
            <v>3.21</v>
          </cell>
          <cell r="AA852">
            <v>3.21</v>
          </cell>
          <cell r="AB852">
            <v>3.21</v>
          </cell>
          <cell r="AC852">
            <v>3.21</v>
          </cell>
          <cell r="AD852">
            <v>3.21</v>
          </cell>
          <cell r="AE852">
            <v>3.21</v>
          </cell>
          <cell r="AF852">
            <v>3.21</v>
          </cell>
          <cell r="AG852">
            <v>3.21</v>
          </cell>
          <cell r="AH852">
            <v>3.21</v>
          </cell>
        </row>
        <row r="853">
          <cell r="B853" t="str">
            <v/>
          </cell>
        </row>
        <row r="854">
          <cell r="B854" t="str">
            <v>e-diesel (DAC) - Feedstock cost including feedstock feedstock cost - Global - USD/ton fuel</v>
          </cell>
          <cell r="G854">
            <v>6.3449999999999998</v>
          </cell>
          <cell r="H854">
            <v>6.345000000000022</v>
          </cell>
          <cell r="I854">
            <v>6.345000000000022</v>
          </cell>
          <cell r="J854">
            <v>6.345000000000022</v>
          </cell>
          <cell r="K854">
            <v>6.345000000000045</v>
          </cell>
          <cell r="L854">
            <v>6.3449999999999998</v>
          </cell>
          <cell r="M854">
            <v>6.345000000000045</v>
          </cell>
          <cell r="N854">
            <v>6.3449999999999998</v>
          </cell>
          <cell r="O854">
            <v>6.3449999999999545</v>
          </cell>
          <cell r="P854">
            <v>6.345000000000022</v>
          </cell>
          <cell r="Q854">
            <v>6.3450000000000895</v>
          </cell>
          <cell r="R854">
            <v>6.345000000000045</v>
          </cell>
          <cell r="S854">
            <v>6.3450000000000895</v>
          </cell>
          <cell r="T854">
            <v>6.3450000000001125</v>
          </cell>
          <cell r="U854">
            <v>6.3450000000000566</v>
          </cell>
          <cell r="V854">
            <v>6.3450000000001685</v>
          </cell>
          <cell r="W854">
            <v>6.3450000000001125</v>
          </cell>
          <cell r="X854">
            <v>6.3449999999999545</v>
          </cell>
          <cell r="Y854">
            <v>6.3449999999999998</v>
          </cell>
          <cell r="Z854">
            <v>6.3449999999999767</v>
          </cell>
          <cell r="AA854">
            <v>6.345000000000022</v>
          </cell>
          <cell r="AB854">
            <v>6.3449999999999998</v>
          </cell>
          <cell r="AC854">
            <v>6.3449999999999998</v>
          </cell>
          <cell r="AD854">
            <v>6.3449999999999998</v>
          </cell>
          <cell r="AE854">
            <v>6.3449999999999998</v>
          </cell>
          <cell r="AF854">
            <v>6.3449999999999998</v>
          </cell>
          <cell r="AG854">
            <v>6.3449999999999998</v>
          </cell>
          <cell r="AH854">
            <v>6.3449999999999998</v>
          </cell>
        </row>
        <row r="855">
          <cell r="B855" t="str">
            <v>e-hydrogen - Feedstock cost - Global - USD/ton fuel</v>
          </cell>
          <cell r="G855">
            <v>13.5</v>
          </cell>
          <cell r="H855">
            <v>13.500000000000048</v>
          </cell>
          <cell r="I855">
            <v>13.500000000000048</v>
          </cell>
          <cell r="J855">
            <v>13.500000000000048</v>
          </cell>
          <cell r="K855">
            <v>13.500000000000096</v>
          </cell>
          <cell r="L855">
            <v>13.5</v>
          </cell>
          <cell r="M855">
            <v>13.500000000000096</v>
          </cell>
          <cell r="N855">
            <v>13.5</v>
          </cell>
          <cell r="O855">
            <v>13.499999999999904</v>
          </cell>
          <cell r="P855">
            <v>13.500000000000048</v>
          </cell>
          <cell r="Q855">
            <v>13.500000000000192</v>
          </cell>
          <cell r="R855">
            <v>13.500000000000096</v>
          </cell>
          <cell r="S855">
            <v>13.500000000000192</v>
          </cell>
          <cell r="T855">
            <v>13.50000000000024</v>
          </cell>
          <cell r="U855">
            <v>13.500000000000121</v>
          </cell>
          <cell r="V855">
            <v>13.500000000000359</v>
          </cell>
          <cell r="W855">
            <v>13.50000000000024</v>
          </cell>
          <cell r="X855">
            <v>13.499999999999904</v>
          </cell>
          <cell r="Y855">
            <v>13.5</v>
          </cell>
          <cell r="Z855">
            <v>13.499999999999952</v>
          </cell>
          <cell r="AA855">
            <v>13.500000000000048</v>
          </cell>
          <cell r="AB855">
            <v>13.5</v>
          </cell>
          <cell r="AC855">
            <v>13.5</v>
          </cell>
          <cell r="AD855">
            <v>13.5</v>
          </cell>
          <cell r="AE855">
            <v>13.5</v>
          </cell>
          <cell r="AF855">
            <v>13.5</v>
          </cell>
          <cell r="AG855">
            <v>13.5</v>
          </cell>
          <cell r="AH855">
            <v>13.5</v>
          </cell>
        </row>
        <row r="856">
          <cell r="B856" t="str">
            <v>e-diesel - Conversion H2 -&gt; diesel - Global - ton H2/ton diesel</v>
          </cell>
          <cell r="G856">
            <v>0.47</v>
          </cell>
          <cell r="H856">
            <v>0.47</v>
          </cell>
          <cell r="I856">
            <v>0.47</v>
          </cell>
          <cell r="J856">
            <v>0.47</v>
          </cell>
          <cell r="K856">
            <v>0.47</v>
          </cell>
          <cell r="L856">
            <v>0.47</v>
          </cell>
          <cell r="M856">
            <v>0.47</v>
          </cell>
          <cell r="N856">
            <v>0.47</v>
          </cell>
          <cell r="O856">
            <v>0.47</v>
          </cell>
          <cell r="P856">
            <v>0.47</v>
          </cell>
          <cell r="Q856">
            <v>0.47</v>
          </cell>
          <cell r="R856">
            <v>0.47</v>
          </cell>
          <cell r="S856">
            <v>0.47</v>
          </cell>
          <cell r="T856">
            <v>0.47</v>
          </cell>
          <cell r="U856">
            <v>0.47</v>
          </cell>
          <cell r="V856">
            <v>0.47</v>
          </cell>
          <cell r="W856">
            <v>0.47</v>
          </cell>
          <cell r="X856">
            <v>0.47</v>
          </cell>
          <cell r="Y856">
            <v>0.47</v>
          </cell>
          <cell r="Z856">
            <v>0.47</v>
          </cell>
          <cell r="AA856">
            <v>0.47</v>
          </cell>
          <cell r="AB856">
            <v>0.47</v>
          </cell>
          <cell r="AC856">
            <v>0.47</v>
          </cell>
          <cell r="AD856">
            <v>0.47</v>
          </cell>
          <cell r="AE856">
            <v>0.47</v>
          </cell>
          <cell r="AF856">
            <v>0.47</v>
          </cell>
          <cell r="AG856">
            <v>0.47</v>
          </cell>
          <cell r="AH856">
            <v>0.47</v>
          </cell>
        </row>
        <row r="858">
          <cell r="B858" t="str">
            <v>e-diesel (PS) - Item - Region - Unit</v>
          </cell>
          <cell r="G858">
            <v>2023</v>
          </cell>
          <cell r="H858">
            <v>2024</v>
          </cell>
          <cell r="I858">
            <v>2025</v>
          </cell>
          <cell r="J858">
            <v>2026</v>
          </cell>
          <cell r="K858">
            <v>2027</v>
          </cell>
          <cell r="L858">
            <v>2028</v>
          </cell>
          <cell r="M858">
            <v>2029</v>
          </cell>
          <cell r="N858">
            <v>2030</v>
          </cell>
          <cell r="O858">
            <v>2031</v>
          </cell>
          <cell r="P858">
            <v>2032</v>
          </cell>
          <cell r="Q858">
            <v>2033</v>
          </cell>
          <cell r="R858">
            <v>2034</v>
          </cell>
          <cell r="S858">
            <v>2035</v>
          </cell>
          <cell r="T858">
            <v>2036</v>
          </cell>
          <cell r="U858">
            <v>2037</v>
          </cell>
          <cell r="V858">
            <v>2038</v>
          </cell>
          <cell r="W858">
            <v>2039</v>
          </cell>
          <cell r="X858">
            <v>2040</v>
          </cell>
          <cell r="Y858">
            <v>2041</v>
          </cell>
          <cell r="Z858">
            <v>2042</v>
          </cell>
          <cell r="AA858">
            <v>2043</v>
          </cell>
          <cell r="AB858">
            <v>2044</v>
          </cell>
          <cell r="AC858">
            <v>2045</v>
          </cell>
          <cell r="AD858">
            <v>2046</v>
          </cell>
          <cell r="AE858">
            <v>2047</v>
          </cell>
          <cell r="AF858">
            <v>2048</v>
          </cell>
          <cell r="AG858">
            <v>2049</v>
          </cell>
          <cell r="AH858">
            <v>2050</v>
          </cell>
        </row>
        <row r="859">
          <cell r="B859" t="str">
            <v>e-diesel (PS) - Total cost - Africa - USD/ton fuel</v>
          </cell>
          <cell r="G859">
            <v>3822.6400679928965</v>
          </cell>
          <cell r="H859">
            <v>3537.0641294223688</v>
          </cell>
          <cell r="I859">
            <v>3251.6112782565538</v>
          </cell>
          <cell r="J859">
            <v>3114.5260137653645</v>
          </cell>
          <cell r="K859">
            <v>2976.3256072246422</v>
          </cell>
          <cell r="L859">
            <v>2837.0583684500525</v>
          </cell>
          <cell r="M859">
            <v>2696.7726072573118</v>
          </cell>
          <cell r="N859">
            <v>2555.5166334620671</v>
          </cell>
          <cell r="O859">
            <v>2509.6905005264834</v>
          </cell>
          <cell r="P859">
            <v>2460.3163040723357</v>
          </cell>
          <cell r="Q859">
            <v>2407.4200650087641</v>
          </cell>
          <cell r="R859">
            <v>2351.0278042449208</v>
          </cell>
          <cell r="S859">
            <v>2291.1655426899979</v>
          </cell>
          <cell r="T859">
            <v>2244.7978140069686</v>
          </cell>
          <cell r="U859">
            <v>2195.9864183284431</v>
          </cell>
          <cell r="V859">
            <v>2144.739846375991</v>
          </cell>
          <cell r="W859">
            <v>2091.0665888710755</v>
          </cell>
          <cell r="X859">
            <v>2034.9751365352383</v>
          </cell>
          <cell r="Y859">
            <v>1958.987589505015</v>
          </cell>
          <cell r="Z859">
            <v>1882.4080067240216</v>
          </cell>
          <cell r="AA859">
            <v>1805.2314230472139</v>
          </cell>
          <cell r="AB859">
            <v>1727.4528733294865</v>
          </cell>
          <cell r="AC859">
            <v>1649.0673924257676</v>
          </cell>
          <cell r="AD859">
            <v>1581.1833228740227</v>
          </cell>
          <cell r="AE859">
            <v>1513.2715061706388</v>
          </cell>
          <cell r="AF859">
            <v>1445.3288135480316</v>
          </cell>
          <cell r="AG859">
            <v>1377.3521162386305</v>
          </cell>
          <cell r="AH859">
            <v>1309.3382854748668</v>
          </cell>
        </row>
        <row r="860">
          <cell r="B860" t="str">
            <v>e-diesel (PS) - Total cost - Americas - USD/ton fuel</v>
          </cell>
          <cell r="G860">
            <v>3230.1183168013877</v>
          </cell>
          <cell r="H860">
            <v>3111.560060517183</v>
          </cell>
          <cell r="I860">
            <v>2992.7312808843299</v>
          </cell>
          <cell r="J860">
            <v>2873.2260695434284</v>
          </cell>
          <cell r="K860">
            <v>2752.6035961102548</v>
          </cell>
          <cell r="L860">
            <v>2630.8963203597946</v>
          </cell>
          <cell r="M860">
            <v>2508.1367020671014</v>
          </cell>
          <cell r="N860">
            <v>2384.3572010070975</v>
          </cell>
          <cell r="O860">
            <v>2351.5862684686017</v>
          </cell>
          <cell r="P860">
            <v>2315.1602502714222</v>
          </cell>
          <cell r="Q860">
            <v>2275.0942190460028</v>
          </cell>
          <cell r="R860">
            <v>2231.4032474227647</v>
          </cell>
          <cell r="S860">
            <v>2184.1024080321927</v>
          </cell>
          <cell r="T860">
            <v>2138.6295756387481</v>
          </cell>
          <cell r="U860">
            <v>2090.7358294654337</v>
          </cell>
          <cell r="V860">
            <v>2040.4296398733513</v>
          </cell>
          <cell r="W860">
            <v>1987.719477223508</v>
          </cell>
          <cell r="X860">
            <v>1932.6138118769702</v>
          </cell>
          <cell r="Y860">
            <v>1865.5692587069452</v>
          </cell>
          <cell r="Z860">
            <v>1797.7342058521097</v>
          </cell>
          <cell r="AA860">
            <v>1729.1067126743051</v>
          </cell>
          <cell r="AB860">
            <v>1659.6848385352953</v>
          </cell>
          <cell r="AC860">
            <v>1589.466642796898</v>
          </cell>
          <cell r="AD860">
            <v>1524.5310790692688</v>
          </cell>
          <cell r="AE860">
            <v>1459.50987456646</v>
          </cell>
          <cell r="AF860">
            <v>1394.4011496419516</v>
          </cell>
          <cell r="AG860">
            <v>1329.2030246492288</v>
          </cell>
          <cell r="AH860">
            <v>1263.9136199417785</v>
          </cell>
        </row>
        <row r="861">
          <cell r="B861" t="str">
            <v>e-diesel (PS) - Total cost - Asia - USD/ton fuel</v>
          </cell>
          <cell r="G861">
            <v>4001.5162106242751</v>
          </cell>
          <cell r="H861">
            <v>3747.0537597257967</v>
          </cell>
          <cell r="I861">
            <v>3492.5869750255142</v>
          </cell>
          <cell r="J861">
            <v>3351.3124883342939</v>
          </cell>
          <cell r="K861">
            <v>3208.8660656114007</v>
          </cell>
          <cell r="L861">
            <v>3065.299443546668</v>
          </cell>
          <cell r="M861">
            <v>2920.6643588300726</v>
          </cell>
          <cell r="N861">
            <v>2775.0125481514751</v>
          </cell>
          <cell r="O861">
            <v>2719.1510177698005</v>
          </cell>
          <cell r="P861">
            <v>2659.7897452652678</v>
          </cell>
          <cell r="Q861">
            <v>2596.9626623073914</v>
          </cell>
          <cell r="R861">
            <v>2530.7037005656439</v>
          </cell>
          <cell r="S861">
            <v>2461.0467917096112</v>
          </cell>
          <cell r="T861">
            <v>2408.0310029161355</v>
          </cell>
          <cell r="U861">
            <v>2352.6227953021807</v>
          </cell>
          <cell r="V861">
            <v>2294.8341286855148</v>
          </cell>
          <cell r="W861">
            <v>2234.6769628837637</v>
          </cell>
          <cell r="X861">
            <v>2172.1632577146647</v>
          </cell>
          <cell r="Y861">
            <v>2089.035431787921</v>
          </cell>
          <cell r="Z861">
            <v>2005.4652224146389</v>
          </cell>
          <cell r="AA861">
            <v>1921.4455102809727</v>
          </cell>
          <cell r="AB861">
            <v>1836.9691760730116</v>
          </cell>
          <cell r="AC861">
            <v>1752.0291004768824</v>
          </cell>
          <cell r="AD861">
            <v>1681.1035439879058</v>
          </cell>
          <cell r="AE861">
            <v>1610.2086969490101</v>
          </cell>
          <cell r="AF861">
            <v>1539.3403678285797</v>
          </cell>
          <cell r="AG861">
            <v>1468.4943650949972</v>
          </cell>
          <cell r="AH861">
            <v>1397.666497216647</v>
          </cell>
        </row>
        <row r="862">
          <cell r="B862" t="str">
            <v>e-diesel (PS) - Total cost - Europe - USD/ton fuel</v>
          </cell>
          <cell r="G862">
            <v>3548.4120484369305</v>
          </cell>
          <cell r="H862">
            <v>3393.3341713373006</v>
          </cell>
          <cell r="I862">
            <v>3238.0365400186074</v>
          </cell>
          <cell r="J862">
            <v>3107.1669201751015</v>
          </cell>
          <cell r="K862">
            <v>2975.1564944361226</v>
          </cell>
          <cell r="L862">
            <v>2842.047816414447</v>
          </cell>
          <cell r="M862">
            <v>2707.8834397228643</v>
          </cell>
          <cell r="N862">
            <v>2572.7059179741082</v>
          </cell>
          <cell r="O862">
            <v>2536.5755828966157</v>
          </cell>
          <cell r="P862">
            <v>2496.7619905930301</v>
          </cell>
          <cell r="Q862">
            <v>2453.2822020250424</v>
          </cell>
          <cell r="R862">
            <v>2406.1532781543547</v>
          </cell>
          <cell r="S862">
            <v>2355.3922799427414</v>
          </cell>
          <cell r="T862">
            <v>2310.680168533554</v>
          </cell>
          <cell r="U862">
            <v>2263.4741086598915</v>
          </cell>
          <cell r="V862">
            <v>2213.7811619997451</v>
          </cell>
          <cell r="W862">
            <v>2161.6083902309897</v>
          </cell>
          <cell r="X862">
            <v>2106.9628550315774</v>
          </cell>
          <cell r="Y862">
            <v>2031.8183596802751</v>
          </cell>
          <cell r="Z862">
            <v>1956.0501577979949</v>
          </cell>
          <cell r="AA862">
            <v>1879.6539530502023</v>
          </cell>
          <cell r="AB862">
            <v>1802.6254491022705</v>
          </cell>
          <cell r="AC862">
            <v>1724.9603496196401</v>
          </cell>
          <cell r="AD862">
            <v>1654.6238985093717</v>
          </cell>
          <cell r="AE862">
            <v>1584.3070513132559</v>
          </cell>
          <cell r="AF862">
            <v>1514.0057835650709</v>
          </cell>
          <cell r="AG862">
            <v>1443.7160707985931</v>
          </cell>
          <cell r="AH862">
            <v>1373.4338885475995</v>
          </cell>
        </row>
        <row r="863">
          <cell r="B863" t="str">
            <v>e-diesel (PS) - Total cost - Middle East - USD/ton fuel</v>
          </cell>
          <cell r="G863">
            <v>3239.2134404921853</v>
          </cell>
          <cell r="H863">
            <v>3096.8163860690825</v>
          </cell>
          <cell r="I863">
            <v>2954.2191047136375</v>
          </cell>
          <cell r="J863">
            <v>2840.3003985068881</v>
          </cell>
          <cell r="K863">
            <v>2725.2497730657628</v>
          </cell>
          <cell r="L863">
            <v>2609.0945659767549</v>
          </cell>
          <cell r="M863">
            <v>2491.8621148264097</v>
          </cell>
          <cell r="N863">
            <v>2373.5797572011788</v>
          </cell>
          <cell r="O863">
            <v>2337.0168016783464</v>
          </cell>
          <cell r="P863">
            <v>2296.8532000788346</v>
          </cell>
          <cell r="Q863">
            <v>2253.1075525561455</v>
          </cell>
          <cell r="R863">
            <v>2205.798459263784</v>
          </cell>
          <cell r="S863">
            <v>2154.9445203553028</v>
          </cell>
          <cell r="T863">
            <v>2112.7571859393479</v>
          </cell>
          <cell r="U863">
            <v>2068.1043120194504</v>
          </cell>
          <cell r="V863">
            <v>2020.992363838536</v>
          </cell>
          <cell r="W863">
            <v>1971.4278066394168</v>
          </cell>
          <cell r="X863">
            <v>1919.4171056649825</v>
          </cell>
          <cell r="Y863">
            <v>1845.1810712636279</v>
          </cell>
          <cell r="Z863">
            <v>1770.3292956622161</v>
          </cell>
          <cell r="AA863">
            <v>1694.8569571804655</v>
          </cell>
          <cell r="AB863">
            <v>1618.7592341380328</v>
          </cell>
          <cell r="AC863">
            <v>1542.0313048546118</v>
          </cell>
          <cell r="AD863">
            <v>1475.672610536956</v>
          </cell>
          <cell r="AE863">
            <v>1409.2585380759633</v>
          </cell>
          <cell r="AF863">
            <v>1342.7861902182142</v>
          </cell>
          <cell r="AG863">
            <v>1276.2526697102985</v>
          </cell>
          <cell r="AH863">
            <v>1209.6550792988062</v>
          </cell>
        </row>
        <row r="864">
          <cell r="B864" t="str">
            <v/>
          </cell>
        </row>
        <row r="865">
          <cell r="B865" t="str">
            <v>e-diesel (PS) - CAPEX including feedstock CAPEX - Global - USD/ton fuel</v>
          </cell>
          <cell r="G865">
            <v>434.83378615916513</v>
          </cell>
          <cell r="H865">
            <v>420.78865944357074</v>
          </cell>
          <cell r="I865">
            <v>406.62621765601102</v>
          </cell>
          <cell r="J865">
            <v>394.660367546072</v>
          </cell>
          <cell r="K865">
            <v>382.47657221049337</v>
          </cell>
          <cell r="L865">
            <v>370.07483164927737</v>
          </cell>
          <cell r="M865">
            <v>357.45514586242484</v>
          </cell>
          <cell r="N865">
            <v>344.6175148499326</v>
          </cell>
          <cell r="O865">
            <v>342.84757672672265</v>
          </cell>
          <cell r="P865">
            <v>340.56936794582521</v>
          </cell>
          <cell r="Q865">
            <v>337.78288850723902</v>
          </cell>
          <cell r="R865">
            <v>334.48813841096182</v>
          </cell>
          <cell r="S865">
            <v>330.68511765699765</v>
          </cell>
          <cell r="T865">
            <v>326.05591235269685</v>
          </cell>
          <cell r="U865">
            <v>321.00720705013123</v>
          </cell>
          <cell r="V865">
            <v>315.53900174930493</v>
          </cell>
          <cell r="W865">
            <v>309.65129645021386</v>
          </cell>
          <cell r="X865">
            <v>303.34409115285632</v>
          </cell>
          <cell r="Y865">
            <v>294.00717129980802</v>
          </cell>
          <cell r="Z865">
            <v>284.35371529557818</v>
          </cell>
          <cell r="AA865">
            <v>274.38372314017022</v>
          </cell>
          <cell r="AB865">
            <v>264.09719483358185</v>
          </cell>
          <cell r="AC865">
            <v>253.49413037581249</v>
          </cell>
          <cell r="AD865">
            <v>242.51520278202605</v>
          </cell>
          <cell r="AE865">
            <v>231.33828332959109</v>
          </cell>
          <cell r="AF865">
            <v>219.96337201850753</v>
          </cell>
          <cell r="AG865">
            <v>208.39046884877547</v>
          </cell>
          <cell r="AH865">
            <v>196.61957382039486</v>
          </cell>
        </row>
        <row r="866">
          <cell r="B866" t="str">
            <v>e-diesel (PS) - CAPEX - Global - USD/ton fuel</v>
          </cell>
          <cell r="G866">
            <v>204</v>
          </cell>
          <cell r="H866">
            <v>198.66666666666666</v>
          </cell>
          <cell r="I866">
            <v>193.33333333333334</v>
          </cell>
          <cell r="J866">
            <v>188</v>
          </cell>
          <cell r="K866">
            <v>182.66666666666666</v>
          </cell>
          <cell r="L866">
            <v>177.33333333333334</v>
          </cell>
          <cell r="M866">
            <v>172</v>
          </cell>
          <cell r="N866">
            <v>166.66666666666666</v>
          </cell>
          <cell r="O866">
            <v>164.5</v>
          </cell>
          <cell r="P866">
            <v>162.33333333333334</v>
          </cell>
          <cell r="Q866">
            <v>160.16666666666666</v>
          </cell>
          <cell r="R866">
            <v>158</v>
          </cell>
          <cell r="S866">
            <v>155.83333333333334</v>
          </cell>
          <cell r="T866">
            <v>153.66666666666666</v>
          </cell>
          <cell r="U866">
            <v>151.5</v>
          </cell>
          <cell r="V866">
            <v>149.33333333333334</v>
          </cell>
          <cell r="W866">
            <v>147.16666666666666</v>
          </cell>
          <cell r="X866">
            <v>145</v>
          </cell>
          <cell r="Y866">
            <v>140.5</v>
          </cell>
          <cell r="Z866">
            <v>136</v>
          </cell>
          <cell r="AA866">
            <v>131.5</v>
          </cell>
          <cell r="AB866">
            <v>127</v>
          </cell>
          <cell r="AC866">
            <v>122.5</v>
          </cell>
          <cell r="AD866">
            <v>118</v>
          </cell>
          <cell r="AE866">
            <v>113.5</v>
          </cell>
          <cell r="AF866">
            <v>109</v>
          </cell>
          <cell r="AG866">
            <v>104.5</v>
          </cell>
          <cell r="AH866">
            <v>100</v>
          </cell>
        </row>
        <row r="867">
          <cell r="B867" t="str">
            <v>e-hydrogen (compressed) - CAPEX including feedstock CAPEX - Global - USD/ton fuel</v>
          </cell>
          <cell r="G867">
            <v>256.64635353013858</v>
          </cell>
          <cell r="H867">
            <v>247.21700590830653</v>
          </cell>
          <cell r="I867">
            <v>237.53805175037812</v>
          </cell>
          <cell r="J867">
            <v>232.53269690653616</v>
          </cell>
          <cell r="K867">
            <v>227.06362881665248</v>
          </cell>
          <cell r="L867">
            <v>221.13084748073197</v>
          </cell>
          <cell r="M867">
            <v>214.73435289877628</v>
          </cell>
          <cell r="N867">
            <v>207.87414507077864</v>
          </cell>
          <cell r="O867">
            <v>212.24697175898439</v>
          </cell>
          <cell r="P867">
            <v>215.53837151594018</v>
          </cell>
          <cell r="Q867">
            <v>217.74834434164336</v>
          </cell>
          <cell r="R867">
            <v>218.87689023608903</v>
          </cell>
          <cell r="S867">
            <v>218.92400919928582</v>
          </cell>
          <cell r="T867">
            <v>217.21328869368136</v>
          </cell>
          <cell r="U867">
            <v>214.61001500027928</v>
          </cell>
          <cell r="V867">
            <v>211.1141881190886</v>
          </cell>
          <cell r="W867">
            <v>206.72580805010043</v>
          </cell>
          <cell r="X867">
            <v>201.44487479331141</v>
          </cell>
          <cell r="Y867">
            <v>194.68227936129369</v>
          </cell>
          <cell r="Z867">
            <v>187.24620275654928</v>
          </cell>
          <cell r="AA867">
            <v>179.13664497908553</v>
          </cell>
          <cell r="AB867">
            <v>170.35360602889762</v>
          </cell>
          <cell r="AC867">
            <v>160.89708590598403</v>
          </cell>
          <cell r="AD867">
            <v>150.64085698303418</v>
          </cell>
          <cell r="AE867">
            <v>139.96336878636401</v>
          </cell>
          <cell r="AF867">
            <v>128.86462131597352</v>
          </cell>
          <cell r="AG867">
            <v>117.34461457186269</v>
          </cell>
          <cell r="AH867">
            <v>105.40334855403168</v>
          </cell>
        </row>
        <row r="868">
          <cell r="B868" t="str">
            <v>Carbon dioxide (PS) - CAPEX - Global - USD/ton fuel</v>
          </cell>
          <cell r="G868">
            <v>34.333333333333336</v>
          </cell>
          <cell r="H868">
            <v>33</v>
          </cell>
          <cell r="I868">
            <v>31.666666666666668</v>
          </cell>
          <cell r="J868">
            <v>30.333333333333332</v>
          </cell>
          <cell r="K868">
            <v>29</v>
          </cell>
          <cell r="L868">
            <v>27.666666666666668</v>
          </cell>
          <cell r="M868">
            <v>26.333333333333332</v>
          </cell>
          <cell r="N868">
            <v>25</v>
          </cell>
          <cell r="O868">
            <v>24.483333333333334</v>
          </cell>
          <cell r="P868">
            <v>23.966666666666665</v>
          </cell>
          <cell r="Q868">
            <v>23.45</v>
          </cell>
          <cell r="R868">
            <v>22.933333333333334</v>
          </cell>
          <cell r="S868">
            <v>22.416666666666668</v>
          </cell>
          <cell r="T868">
            <v>21.9</v>
          </cell>
          <cell r="U868">
            <v>21.383333333333333</v>
          </cell>
          <cell r="V868">
            <v>20.866666666666667</v>
          </cell>
          <cell r="W868">
            <v>20.350000000000001</v>
          </cell>
          <cell r="X868">
            <v>19.833333333333332</v>
          </cell>
          <cell r="Y868">
            <v>19.316666666666666</v>
          </cell>
          <cell r="Z868">
            <v>18.8</v>
          </cell>
          <cell r="AA868">
            <v>18.283333333333335</v>
          </cell>
          <cell r="AB868">
            <v>17.766666666666666</v>
          </cell>
          <cell r="AC868">
            <v>17.25</v>
          </cell>
          <cell r="AD868">
            <v>16.733333333333334</v>
          </cell>
          <cell r="AE868">
            <v>16.216666666666665</v>
          </cell>
          <cell r="AF868">
            <v>15.7</v>
          </cell>
          <cell r="AG868">
            <v>15.183333333333334</v>
          </cell>
          <cell r="AH868">
            <v>14.666666666666666</v>
          </cell>
        </row>
        <row r="869">
          <cell r="B869" t="str">
            <v>e-diesel - Conversion H2 -&gt; diesel - Global - ton H2/ton diesel</v>
          </cell>
          <cell r="G869">
            <v>0.47</v>
          </cell>
          <cell r="H869">
            <v>0.47</v>
          </cell>
          <cell r="I869">
            <v>0.47</v>
          </cell>
          <cell r="J869">
            <v>0.47</v>
          </cell>
          <cell r="K869">
            <v>0.47</v>
          </cell>
          <cell r="L869">
            <v>0.47</v>
          </cell>
          <cell r="M869">
            <v>0.47</v>
          </cell>
          <cell r="N869">
            <v>0.47</v>
          </cell>
          <cell r="O869">
            <v>0.47</v>
          </cell>
          <cell r="P869">
            <v>0.47</v>
          </cell>
          <cell r="Q869">
            <v>0.47</v>
          </cell>
          <cell r="R869">
            <v>0.47</v>
          </cell>
          <cell r="S869">
            <v>0.47</v>
          </cell>
          <cell r="T869">
            <v>0.47</v>
          </cell>
          <cell r="U869">
            <v>0.47</v>
          </cell>
          <cell r="V869">
            <v>0.47</v>
          </cell>
          <cell r="W869">
            <v>0.47</v>
          </cell>
          <cell r="X869">
            <v>0.47</v>
          </cell>
          <cell r="Y869">
            <v>0.47</v>
          </cell>
          <cell r="Z869">
            <v>0.47</v>
          </cell>
          <cell r="AA869">
            <v>0.47</v>
          </cell>
          <cell r="AB869">
            <v>0.47</v>
          </cell>
          <cell r="AC869">
            <v>0.47</v>
          </cell>
          <cell r="AD869">
            <v>0.47</v>
          </cell>
          <cell r="AE869">
            <v>0.47</v>
          </cell>
          <cell r="AF869">
            <v>0.47</v>
          </cell>
          <cell r="AG869">
            <v>0.47</v>
          </cell>
          <cell r="AH869">
            <v>0.47</v>
          </cell>
        </row>
        <row r="870">
          <cell r="B870" t="str">
            <v>e-diesel - Conversion CO2 -&gt; diesel - Global - ton CO2/ton diesel</v>
          </cell>
          <cell r="G870">
            <v>3.21</v>
          </cell>
          <cell r="H870">
            <v>3.21</v>
          </cell>
          <cell r="I870">
            <v>3.21</v>
          </cell>
          <cell r="J870">
            <v>3.21</v>
          </cell>
          <cell r="K870">
            <v>3.21</v>
          </cell>
          <cell r="L870">
            <v>3.21</v>
          </cell>
          <cell r="M870">
            <v>3.21</v>
          </cell>
          <cell r="N870">
            <v>3.21</v>
          </cell>
          <cell r="O870">
            <v>3.21</v>
          </cell>
          <cell r="P870">
            <v>3.21</v>
          </cell>
          <cell r="Q870">
            <v>3.21</v>
          </cell>
          <cell r="R870">
            <v>3.21</v>
          </cell>
          <cell r="S870">
            <v>3.21</v>
          </cell>
          <cell r="T870">
            <v>3.21</v>
          </cell>
          <cell r="U870">
            <v>3.21</v>
          </cell>
          <cell r="V870">
            <v>3.21</v>
          </cell>
          <cell r="W870">
            <v>3.21</v>
          </cell>
          <cell r="X870">
            <v>3.21</v>
          </cell>
          <cell r="Y870">
            <v>3.21</v>
          </cell>
          <cell r="Z870">
            <v>3.21</v>
          </cell>
          <cell r="AA870">
            <v>3.21</v>
          </cell>
          <cell r="AB870">
            <v>3.21</v>
          </cell>
          <cell r="AC870">
            <v>3.21</v>
          </cell>
          <cell r="AD870">
            <v>3.21</v>
          </cell>
          <cell r="AE870">
            <v>3.21</v>
          </cell>
          <cell r="AF870">
            <v>3.21</v>
          </cell>
          <cell r="AG870">
            <v>3.21</v>
          </cell>
          <cell r="AH870">
            <v>3.21</v>
          </cell>
        </row>
        <row r="871">
          <cell r="B871" t="str">
            <v/>
          </cell>
        </row>
        <row r="872">
          <cell r="B872" t="str">
            <v>e-diesel (PS) - OPEX including feedstock OPEX - Global - USD/ton fuel</v>
          </cell>
          <cell r="G872">
            <v>1069.8357572251896</v>
          </cell>
          <cell r="H872">
            <v>1010.5391486846286</v>
          </cell>
          <cell r="I872">
            <v>951.40365296803259</v>
          </cell>
          <cell r="J872">
            <v>900.50743735031801</v>
          </cell>
          <cell r="K872">
            <v>849.19939325827283</v>
          </cell>
          <cell r="L872">
            <v>797.47952069188511</v>
          </cell>
          <cell r="M872">
            <v>745.34781965117315</v>
          </cell>
          <cell r="N872">
            <v>692.8042901361091</v>
          </cell>
          <cell r="O872">
            <v>686.06789407273618</v>
          </cell>
          <cell r="P872">
            <v>677.03835329349727</v>
          </cell>
          <cell r="Q872">
            <v>665.71566779840248</v>
          </cell>
          <cell r="R872">
            <v>652.09983758744067</v>
          </cell>
          <cell r="S872">
            <v>636.19086266061981</v>
          </cell>
          <cell r="T872">
            <v>621.23876300949689</v>
          </cell>
          <cell r="U872">
            <v>604.90673222318833</v>
          </cell>
          <cell r="V872">
            <v>587.19477030170549</v>
          </cell>
          <cell r="W872">
            <v>568.10287724503041</v>
          </cell>
          <cell r="X872">
            <v>547.63105305317049</v>
          </cell>
          <cell r="Y872">
            <v>517.17150729484933</v>
          </cell>
          <cell r="Z872">
            <v>486.5672172442799</v>
          </cell>
          <cell r="AA872">
            <v>455.81818290148101</v>
          </cell>
          <cell r="AB872">
            <v>424.92440426643714</v>
          </cell>
          <cell r="AC872">
            <v>393.88588133915766</v>
          </cell>
          <cell r="AD872">
            <v>366.84388934483377</v>
          </cell>
          <cell r="AE872">
            <v>340.07849699457984</v>
          </cell>
          <cell r="AF872">
            <v>313.58970428839308</v>
          </cell>
          <cell r="AG872">
            <v>287.37751122627321</v>
          </cell>
          <cell r="AH872">
            <v>261.44191780822024</v>
          </cell>
        </row>
        <row r="873">
          <cell r="B873" t="str">
            <v>e-diesel (PS) - OPEX - Global - USD/ton fuel</v>
          </cell>
          <cell r="G873">
            <v>538.55999999999506</v>
          </cell>
          <cell r="H873">
            <v>500.63999999999783</v>
          </cell>
          <cell r="I873">
            <v>464.0000000000004</v>
          </cell>
          <cell r="J873">
            <v>428.63999999999288</v>
          </cell>
          <cell r="K873">
            <v>394.55999999999551</v>
          </cell>
          <cell r="L873">
            <v>361.75999999999794</v>
          </cell>
          <cell r="M873">
            <v>330.24000000000029</v>
          </cell>
          <cell r="N873">
            <v>299.99999999999363</v>
          </cell>
          <cell r="O873">
            <v>296.09999999999997</v>
          </cell>
          <cell r="P873">
            <v>292.2</v>
          </cell>
          <cell r="Q873">
            <v>288.3</v>
          </cell>
          <cell r="R873">
            <v>284.39999999999998</v>
          </cell>
          <cell r="S873">
            <v>280.5</v>
          </cell>
          <cell r="T873">
            <v>276.59999999999997</v>
          </cell>
          <cell r="U873">
            <v>272.7</v>
          </cell>
          <cell r="V873">
            <v>268.8</v>
          </cell>
          <cell r="W873">
            <v>264.89999999999998</v>
          </cell>
          <cell r="X873">
            <v>260.99999999999829</v>
          </cell>
          <cell r="Y873">
            <v>244.46999999999929</v>
          </cell>
          <cell r="Z873">
            <v>228.47999999999658</v>
          </cell>
          <cell r="AA873">
            <v>213.02999999999756</v>
          </cell>
          <cell r="AB873">
            <v>198.11999999999847</v>
          </cell>
          <cell r="AC873">
            <v>183.74999999999935</v>
          </cell>
          <cell r="AD873">
            <v>169.919999999997</v>
          </cell>
          <cell r="AE873">
            <v>156.62999999999786</v>
          </cell>
          <cell r="AF873">
            <v>143.87999999999869</v>
          </cell>
          <cell r="AG873">
            <v>131.66999999999942</v>
          </cell>
          <cell r="AH873">
            <v>120.00000000000011</v>
          </cell>
        </row>
        <row r="874">
          <cell r="B874" t="str">
            <v>e-hydrogen (compressed) - OPEX including feedstock OPEX - Global - USD/ton fuel</v>
          </cell>
          <cell r="G874">
            <v>778.63990898977545</v>
          </cell>
          <cell r="H874">
            <v>746.81733762687418</v>
          </cell>
          <cell r="I874">
            <v>712.61415525113227</v>
          </cell>
          <cell r="J874">
            <v>693.21795180920219</v>
          </cell>
          <cell r="K874">
            <v>670.22211331548374</v>
          </cell>
          <cell r="L874">
            <v>643.6266397699726</v>
          </cell>
          <cell r="M874">
            <v>613.43153117270822</v>
          </cell>
          <cell r="N874">
            <v>579.63678752365013</v>
          </cell>
          <cell r="O874">
            <v>578.89498738880036</v>
          </cell>
          <cell r="P874">
            <v>573.27415594361116</v>
          </cell>
          <cell r="Q874">
            <v>562.77429318809038</v>
          </cell>
          <cell r="R874">
            <v>547.39539912221437</v>
          </cell>
          <cell r="S874">
            <v>527.13747374599984</v>
          </cell>
          <cell r="T874">
            <v>508.91545321169565</v>
          </cell>
          <cell r="U874">
            <v>487.75740898550708</v>
          </cell>
          <cell r="V874">
            <v>463.66334106745865</v>
          </cell>
          <cell r="W874">
            <v>436.63324945751151</v>
          </cell>
          <cell r="X874">
            <v>406.66713415568563</v>
          </cell>
          <cell r="Y874">
            <v>382.32288786138321</v>
          </cell>
          <cell r="Z874">
            <v>356.52173881762411</v>
          </cell>
          <cell r="AA874">
            <v>329.2636870244329</v>
          </cell>
          <cell r="AB874">
            <v>300.54873248178433</v>
          </cell>
          <cell r="AC874">
            <v>270.37687518969852</v>
          </cell>
          <cell r="AD874">
            <v>247.55933903156756</v>
          </cell>
          <cell r="AE874">
            <v>224.18137658421693</v>
          </cell>
          <cell r="AF874">
            <v>200.24298784764761</v>
          </cell>
          <cell r="AG874">
            <v>175.74417282185905</v>
          </cell>
          <cell r="AH874">
            <v>150.68493150685131</v>
          </cell>
        </row>
        <row r="875">
          <cell r="B875" t="str">
            <v>Carbon dioxide (PS) - OPEX - Global - USD/ton fuel</v>
          </cell>
          <cell r="G875">
            <v>51.5</v>
          </cell>
          <cell r="H875">
            <v>49.5</v>
          </cell>
          <cell r="I875">
            <v>47.5</v>
          </cell>
          <cell r="J875">
            <v>45.5</v>
          </cell>
          <cell r="K875">
            <v>43.5</v>
          </cell>
          <cell r="L875">
            <v>41.5</v>
          </cell>
          <cell r="M875">
            <v>39.5</v>
          </cell>
          <cell r="N875">
            <v>37.5</v>
          </cell>
          <cell r="O875">
            <v>36.725000000000001</v>
          </cell>
          <cell r="P875">
            <v>35.950000000000003</v>
          </cell>
          <cell r="Q875">
            <v>35.175000000000004</v>
          </cell>
          <cell r="R875">
            <v>34.4</v>
          </cell>
          <cell r="S875">
            <v>33.625</v>
          </cell>
          <cell r="T875">
            <v>32.85</v>
          </cell>
          <cell r="U875">
            <v>32.075000000000003</v>
          </cell>
          <cell r="V875">
            <v>31.3</v>
          </cell>
          <cell r="W875">
            <v>30.525000000000002</v>
          </cell>
          <cell r="X875">
            <v>29.75</v>
          </cell>
          <cell r="Y875">
            <v>28.975000000000001</v>
          </cell>
          <cell r="Z875">
            <v>28.200000000000003</v>
          </cell>
          <cell r="AA875">
            <v>27.425000000000001</v>
          </cell>
          <cell r="AB875">
            <v>26.650000000000002</v>
          </cell>
          <cell r="AC875">
            <v>25.875</v>
          </cell>
          <cell r="AD875">
            <v>25.1</v>
          </cell>
          <cell r="AE875">
            <v>24.325000000000003</v>
          </cell>
          <cell r="AF875">
            <v>23.55</v>
          </cell>
          <cell r="AG875">
            <v>22.775000000000002</v>
          </cell>
          <cell r="AH875">
            <v>22</v>
          </cell>
        </row>
        <row r="876">
          <cell r="B876" t="str">
            <v>e-diesel - Conversion H2 -&gt; diesel - Global - ton H2/ton diesel</v>
          </cell>
          <cell r="G876">
            <v>0.47</v>
          </cell>
          <cell r="H876">
            <v>0.47</v>
          </cell>
          <cell r="I876">
            <v>0.47</v>
          </cell>
          <cell r="J876">
            <v>0.47</v>
          </cell>
          <cell r="K876">
            <v>0.47</v>
          </cell>
          <cell r="L876">
            <v>0.47</v>
          </cell>
          <cell r="M876">
            <v>0.47</v>
          </cell>
          <cell r="N876">
            <v>0.47</v>
          </cell>
          <cell r="O876">
            <v>0.47</v>
          </cell>
          <cell r="P876">
            <v>0.47</v>
          </cell>
          <cell r="Q876">
            <v>0.47</v>
          </cell>
          <cell r="R876">
            <v>0.47</v>
          </cell>
          <cell r="S876">
            <v>0.47</v>
          </cell>
          <cell r="T876">
            <v>0.47</v>
          </cell>
          <cell r="U876">
            <v>0.47</v>
          </cell>
          <cell r="V876">
            <v>0.47</v>
          </cell>
          <cell r="W876">
            <v>0.47</v>
          </cell>
          <cell r="X876">
            <v>0.47</v>
          </cell>
          <cell r="Y876">
            <v>0.47</v>
          </cell>
          <cell r="Z876">
            <v>0.47</v>
          </cell>
          <cell r="AA876">
            <v>0.47</v>
          </cell>
          <cell r="AB876">
            <v>0.47</v>
          </cell>
          <cell r="AC876">
            <v>0.47</v>
          </cell>
          <cell r="AD876">
            <v>0.47</v>
          </cell>
          <cell r="AE876">
            <v>0.47</v>
          </cell>
          <cell r="AF876">
            <v>0.47</v>
          </cell>
          <cell r="AG876">
            <v>0.47</v>
          </cell>
          <cell r="AH876">
            <v>0.47</v>
          </cell>
        </row>
        <row r="877">
          <cell r="B877" t="str">
            <v>e-diesel - Conversion CO2 -&gt; diesel - Global - ton CO2/ton diesel</v>
          </cell>
          <cell r="G877">
            <v>3.21</v>
          </cell>
          <cell r="H877">
            <v>3.21</v>
          </cell>
          <cell r="I877">
            <v>3.21</v>
          </cell>
          <cell r="J877">
            <v>3.21</v>
          </cell>
          <cell r="K877">
            <v>3.21</v>
          </cell>
          <cell r="L877">
            <v>3.21</v>
          </cell>
          <cell r="M877">
            <v>3.21</v>
          </cell>
          <cell r="N877">
            <v>3.21</v>
          </cell>
          <cell r="O877">
            <v>3.21</v>
          </cell>
          <cell r="P877">
            <v>3.21</v>
          </cell>
          <cell r="Q877">
            <v>3.21</v>
          </cell>
          <cell r="R877">
            <v>3.21</v>
          </cell>
          <cell r="S877">
            <v>3.21</v>
          </cell>
          <cell r="T877">
            <v>3.21</v>
          </cell>
          <cell r="U877">
            <v>3.21</v>
          </cell>
          <cell r="V877">
            <v>3.21</v>
          </cell>
          <cell r="W877">
            <v>3.21</v>
          </cell>
          <cell r="X877">
            <v>3.21</v>
          </cell>
          <cell r="Y877">
            <v>3.21</v>
          </cell>
          <cell r="Z877">
            <v>3.21</v>
          </cell>
          <cell r="AA877">
            <v>3.21</v>
          </cell>
          <cell r="AB877">
            <v>3.21</v>
          </cell>
          <cell r="AC877">
            <v>3.21</v>
          </cell>
          <cell r="AD877">
            <v>3.21</v>
          </cell>
          <cell r="AE877">
            <v>3.21</v>
          </cell>
          <cell r="AF877">
            <v>3.21</v>
          </cell>
          <cell r="AG877">
            <v>3.21</v>
          </cell>
          <cell r="AH877">
            <v>3.21</v>
          </cell>
        </row>
        <row r="878">
          <cell r="B878" t="str">
            <v/>
          </cell>
        </row>
        <row r="879">
          <cell r="B879" t="str">
            <v>e-diesel (PS) - Finance cost including feedstock finance cost - Africa - USD/ton fuel</v>
          </cell>
          <cell r="G879">
            <v>717.4757471626225</v>
          </cell>
          <cell r="H879">
            <v>694.3012880818917</v>
          </cell>
          <cell r="I879">
            <v>670.93325913241836</v>
          </cell>
          <cell r="J879">
            <v>651.18960645101879</v>
          </cell>
          <cell r="K879">
            <v>631.08634414731409</v>
          </cell>
          <cell r="L879">
            <v>610.62347222130768</v>
          </cell>
          <cell r="M879">
            <v>589.80099067300102</v>
          </cell>
          <cell r="N879">
            <v>568.6188995023889</v>
          </cell>
          <cell r="O879">
            <v>565.69850159909242</v>
          </cell>
          <cell r="P879">
            <v>561.93945711061156</v>
          </cell>
          <cell r="Q879">
            <v>557.34176603694448</v>
          </cell>
          <cell r="R879">
            <v>551.90542837808709</v>
          </cell>
          <cell r="S879">
            <v>545.63044413404623</v>
          </cell>
          <cell r="T879">
            <v>537.99225538194992</v>
          </cell>
          <cell r="U879">
            <v>529.66189163271667</v>
          </cell>
          <cell r="V879">
            <v>520.63935288635321</v>
          </cell>
          <cell r="W879">
            <v>510.92463914285293</v>
          </cell>
          <cell r="X879">
            <v>500.51775040221304</v>
          </cell>
          <cell r="Y879">
            <v>485.11183264468332</v>
          </cell>
          <cell r="Z879">
            <v>469.18363023770405</v>
          </cell>
          <cell r="AA879">
            <v>452.73314318128087</v>
          </cell>
          <cell r="AB879">
            <v>435.76037147541018</v>
          </cell>
          <cell r="AC879">
            <v>418.26531512009063</v>
          </cell>
          <cell r="AD879">
            <v>400.15008459034306</v>
          </cell>
          <cell r="AE879">
            <v>381.70816749382539</v>
          </cell>
          <cell r="AF879">
            <v>362.93956383053751</v>
          </cell>
          <cell r="AG879">
            <v>343.84427360047954</v>
          </cell>
          <cell r="AH879">
            <v>324.42229680365159</v>
          </cell>
        </row>
        <row r="880">
          <cell r="B880" t="str">
            <v>e-diesel (PS) - Finance cost including feedstock finance cost - Americas - USD/ton fuel</v>
          </cell>
          <cell r="G880">
            <v>717.4757471626225</v>
          </cell>
          <cell r="H880">
            <v>694.3012880818917</v>
          </cell>
          <cell r="I880">
            <v>670.93325913241836</v>
          </cell>
          <cell r="J880">
            <v>651.18960645101879</v>
          </cell>
          <cell r="K880">
            <v>631.08634414731409</v>
          </cell>
          <cell r="L880">
            <v>610.62347222130768</v>
          </cell>
          <cell r="M880">
            <v>589.80099067300102</v>
          </cell>
          <cell r="N880">
            <v>568.6188995023889</v>
          </cell>
          <cell r="O880">
            <v>565.69850159909242</v>
          </cell>
          <cell r="P880">
            <v>561.93945711061156</v>
          </cell>
          <cell r="Q880">
            <v>557.34176603694448</v>
          </cell>
          <cell r="R880">
            <v>551.90542837808709</v>
          </cell>
          <cell r="S880">
            <v>545.63044413404623</v>
          </cell>
          <cell r="T880">
            <v>537.99225538194992</v>
          </cell>
          <cell r="U880">
            <v>529.66189163271667</v>
          </cell>
          <cell r="V880">
            <v>520.63935288635321</v>
          </cell>
          <cell r="W880">
            <v>510.92463914285293</v>
          </cell>
          <cell r="X880">
            <v>500.51775040221304</v>
          </cell>
          <cell r="Y880">
            <v>485.11183264468332</v>
          </cell>
          <cell r="Z880">
            <v>469.18363023770405</v>
          </cell>
          <cell r="AA880">
            <v>452.73314318128087</v>
          </cell>
          <cell r="AB880">
            <v>435.76037147541018</v>
          </cell>
          <cell r="AC880">
            <v>418.26531512009063</v>
          </cell>
          <cell r="AD880">
            <v>400.15008459034306</v>
          </cell>
          <cell r="AE880">
            <v>381.70816749382539</v>
          </cell>
          <cell r="AF880">
            <v>362.93956383053751</v>
          </cell>
          <cell r="AG880">
            <v>343.84427360047954</v>
          </cell>
          <cell r="AH880">
            <v>324.42229680365159</v>
          </cell>
        </row>
        <row r="881">
          <cell r="B881" t="str">
            <v>e-diesel (PS) - Finance cost including feedstock finance cost - Asia - USD/ton fuel</v>
          </cell>
          <cell r="G881">
            <v>717.4757471626225</v>
          </cell>
          <cell r="H881">
            <v>694.3012880818917</v>
          </cell>
          <cell r="I881">
            <v>670.93325913241836</v>
          </cell>
          <cell r="J881">
            <v>651.18960645101879</v>
          </cell>
          <cell r="K881">
            <v>631.08634414731409</v>
          </cell>
          <cell r="L881">
            <v>610.62347222130768</v>
          </cell>
          <cell r="M881">
            <v>589.80099067300102</v>
          </cell>
          <cell r="N881">
            <v>568.6188995023889</v>
          </cell>
          <cell r="O881">
            <v>565.69850159909242</v>
          </cell>
          <cell r="P881">
            <v>561.93945711061156</v>
          </cell>
          <cell r="Q881">
            <v>557.34176603694448</v>
          </cell>
          <cell r="R881">
            <v>551.90542837808709</v>
          </cell>
          <cell r="S881">
            <v>545.63044413404623</v>
          </cell>
          <cell r="T881">
            <v>537.99225538194992</v>
          </cell>
          <cell r="U881">
            <v>529.66189163271667</v>
          </cell>
          <cell r="V881">
            <v>520.63935288635321</v>
          </cell>
          <cell r="W881">
            <v>510.92463914285293</v>
          </cell>
          <cell r="X881">
            <v>500.51775040221304</v>
          </cell>
          <cell r="Y881">
            <v>485.11183264468332</v>
          </cell>
          <cell r="Z881">
            <v>469.18363023770405</v>
          </cell>
          <cell r="AA881">
            <v>452.73314318128087</v>
          </cell>
          <cell r="AB881">
            <v>435.76037147541018</v>
          </cell>
          <cell r="AC881">
            <v>418.26531512009063</v>
          </cell>
          <cell r="AD881">
            <v>400.15008459034306</v>
          </cell>
          <cell r="AE881">
            <v>381.70816749382539</v>
          </cell>
          <cell r="AF881">
            <v>362.93956383053751</v>
          </cell>
          <cell r="AG881">
            <v>343.84427360047954</v>
          </cell>
          <cell r="AH881">
            <v>324.42229680365159</v>
          </cell>
        </row>
        <row r="882">
          <cell r="B882" t="str">
            <v>e-diesel (PS) - Finance cost including feedstock finance cost - Europe - USD/ton fuel</v>
          </cell>
          <cell r="G882">
            <v>717.4757471626225</v>
          </cell>
          <cell r="H882">
            <v>694.3012880818917</v>
          </cell>
          <cell r="I882">
            <v>670.93325913241836</v>
          </cell>
          <cell r="J882">
            <v>651.18960645101879</v>
          </cell>
          <cell r="K882">
            <v>631.08634414731409</v>
          </cell>
          <cell r="L882">
            <v>610.62347222130768</v>
          </cell>
          <cell r="M882">
            <v>589.80099067300102</v>
          </cell>
          <cell r="N882">
            <v>568.6188995023889</v>
          </cell>
          <cell r="O882">
            <v>565.69850159909242</v>
          </cell>
          <cell r="P882">
            <v>561.93945711061156</v>
          </cell>
          <cell r="Q882">
            <v>557.34176603694448</v>
          </cell>
          <cell r="R882">
            <v>551.90542837808709</v>
          </cell>
          <cell r="S882">
            <v>545.63044413404623</v>
          </cell>
          <cell r="T882">
            <v>537.99225538194992</v>
          </cell>
          <cell r="U882">
            <v>529.66189163271667</v>
          </cell>
          <cell r="V882">
            <v>520.63935288635321</v>
          </cell>
          <cell r="W882">
            <v>510.92463914285293</v>
          </cell>
          <cell r="X882">
            <v>500.51775040221304</v>
          </cell>
          <cell r="Y882">
            <v>485.11183264468332</v>
          </cell>
          <cell r="Z882">
            <v>469.18363023770405</v>
          </cell>
          <cell r="AA882">
            <v>452.73314318128087</v>
          </cell>
          <cell r="AB882">
            <v>435.76037147541018</v>
          </cell>
          <cell r="AC882">
            <v>418.26531512009063</v>
          </cell>
          <cell r="AD882">
            <v>400.15008459034306</v>
          </cell>
          <cell r="AE882">
            <v>381.70816749382539</v>
          </cell>
          <cell r="AF882">
            <v>362.93956383053751</v>
          </cell>
          <cell r="AG882">
            <v>343.84427360047954</v>
          </cell>
          <cell r="AH882">
            <v>324.42229680365159</v>
          </cell>
        </row>
        <row r="883">
          <cell r="B883" t="str">
            <v>e-diesel (PS) - Finance cost including feedstock finance cost - Middle East - USD/ton fuel</v>
          </cell>
          <cell r="G883">
            <v>717.4757471626225</v>
          </cell>
          <cell r="H883">
            <v>694.3012880818917</v>
          </cell>
          <cell r="I883">
            <v>670.93325913241836</v>
          </cell>
          <cell r="J883">
            <v>651.18960645101879</v>
          </cell>
          <cell r="K883">
            <v>631.08634414731409</v>
          </cell>
          <cell r="L883">
            <v>610.62347222130768</v>
          </cell>
          <cell r="M883">
            <v>589.80099067300102</v>
          </cell>
          <cell r="N883">
            <v>568.6188995023889</v>
          </cell>
          <cell r="O883">
            <v>565.69850159909242</v>
          </cell>
          <cell r="P883">
            <v>561.93945711061156</v>
          </cell>
          <cell r="Q883">
            <v>557.34176603694448</v>
          </cell>
          <cell r="R883">
            <v>551.90542837808709</v>
          </cell>
          <cell r="S883">
            <v>545.63044413404623</v>
          </cell>
          <cell r="T883">
            <v>537.99225538194992</v>
          </cell>
          <cell r="U883">
            <v>529.66189163271667</v>
          </cell>
          <cell r="V883">
            <v>520.63935288635321</v>
          </cell>
          <cell r="W883">
            <v>510.92463914285293</v>
          </cell>
          <cell r="X883">
            <v>500.51775040221304</v>
          </cell>
          <cell r="Y883">
            <v>485.11183264468332</v>
          </cell>
          <cell r="Z883">
            <v>469.18363023770405</v>
          </cell>
          <cell r="AA883">
            <v>452.73314318128087</v>
          </cell>
          <cell r="AB883">
            <v>435.76037147541018</v>
          </cell>
          <cell r="AC883">
            <v>418.26531512009063</v>
          </cell>
          <cell r="AD883">
            <v>400.15008459034306</v>
          </cell>
          <cell r="AE883">
            <v>381.70816749382539</v>
          </cell>
          <cell r="AF883">
            <v>362.93956383053751</v>
          </cell>
          <cell r="AG883">
            <v>343.84427360047954</v>
          </cell>
          <cell r="AH883">
            <v>324.42229680365159</v>
          </cell>
        </row>
        <row r="884">
          <cell r="B884" t="str">
            <v>e-diesel (PS) - Finance cost - Africa - USD/ton fuel</v>
          </cell>
          <cell r="G884">
            <v>336.6</v>
          </cell>
          <cell r="H884">
            <v>327.80000000000007</v>
          </cell>
          <cell r="I884">
            <v>319.00000000000006</v>
          </cell>
          <cell r="J884">
            <v>310.20000000000005</v>
          </cell>
          <cell r="K884">
            <v>301.40000000000003</v>
          </cell>
          <cell r="L884">
            <v>292.60000000000002</v>
          </cell>
          <cell r="M884">
            <v>283.8</v>
          </cell>
          <cell r="N884">
            <v>275.00000000000006</v>
          </cell>
          <cell r="O884">
            <v>271.42500000000001</v>
          </cell>
          <cell r="P884">
            <v>267.85000000000002</v>
          </cell>
          <cell r="Q884">
            <v>264.27500000000003</v>
          </cell>
          <cell r="R884">
            <v>260.70000000000005</v>
          </cell>
          <cell r="S884">
            <v>257.12500000000006</v>
          </cell>
          <cell r="T884">
            <v>253.55000000000004</v>
          </cell>
          <cell r="U884">
            <v>249.97500000000002</v>
          </cell>
          <cell r="V884">
            <v>246.40000000000003</v>
          </cell>
          <cell r="W884">
            <v>242.82500000000005</v>
          </cell>
          <cell r="X884">
            <v>239.25000000000003</v>
          </cell>
          <cell r="Y884">
            <v>231.82500000000002</v>
          </cell>
          <cell r="Z884">
            <v>224.40000000000003</v>
          </cell>
          <cell r="AA884">
            <v>216.97500000000002</v>
          </cell>
          <cell r="AB884">
            <v>209.55000000000004</v>
          </cell>
          <cell r="AC884">
            <v>202.12500000000003</v>
          </cell>
          <cell r="AD884">
            <v>194.70000000000002</v>
          </cell>
          <cell r="AE884">
            <v>187.27500000000003</v>
          </cell>
          <cell r="AF884">
            <v>179.85000000000002</v>
          </cell>
          <cell r="AG884">
            <v>172.42500000000001</v>
          </cell>
          <cell r="AH884">
            <v>165.00000000000003</v>
          </cell>
        </row>
        <row r="885">
          <cell r="B885" t="str">
            <v>e-diesel (PS) - Finance cost - Americas - USD/ton fuel</v>
          </cell>
          <cell r="G885">
            <v>336.6</v>
          </cell>
          <cell r="H885">
            <v>327.80000000000007</v>
          </cell>
          <cell r="I885">
            <v>319.00000000000006</v>
          </cell>
          <cell r="J885">
            <v>310.20000000000005</v>
          </cell>
          <cell r="K885">
            <v>301.40000000000003</v>
          </cell>
          <cell r="L885">
            <v>292.60000000000002</v>
          </cell>
          <cell r="M885">
            <v>283.8</v>
          </cell>
          <cell r="N885">
            <v>275.00000000000006</v>
          </cell>
          <cell r="O885">
            <v>271.42500000000001</v>
          </cell>
          <cell r="P885">
            <v>267.85000000000002</v>
          </cell>
          <cell r="Q885">
            <v>264.27500000000003</v>
          </cell>
          <cell r="R885">
            <v>260.70000000000005</v>
          </cell>
          <cell r="S885">
            <v>257.12500000000006</v>
          </cell>
          <cell r="T885">
            <v>253.55000000000004</v>
          </cell>
          <cell r="U885">
            <v>249.97500000000002</v>
          </cell>
          <cell r="V885">
            <v>246.40000000000003</v>
          </cell>
          <cell r="W885">
            <v>242.82500000000005</v>
          </cell>
          <cell r="X885">
            <v>239.25000000000003</v>
          </cell>
          <cell r="Y885">
            <v>231.82500000000002</v>
          </cell>
          <cell r="Z885">
            <v>224.40000000000003</v>
          </cell>
          <cell r="AA885">
            <v>216.97500000000002</v>
          </cell>
          <cell r="AB885">
            <v>209.55000000000004</v>
          </cell>
          <cell r="AC885">
            <v>202.12500000000003</v>
          </cell>
          <cell r="AD885">
            <v>194.70000000000002</v>
          </cell>
          <cell r="AE885">
            <v>187.27500000000003</v>
          </cell>
          <cell r="AF885">
            <v>179.85000000000002</v>
          </cell>
          <cell r="AG885">
            <v>172.42500000000001</v>
          </cell>
          <cell r="AH885">
            <v>165.00000000000003</v>
          </cell>
        </row>
        <row r="886">
          <cell r="B886" t="str">
            <v>e-diesel (PS) - Finance cost - Asia - USD/ton fuel</v>
          </cell>
          <cell r="G886">
            <v>336.6</v>
          </cell>
          <cell r="H886">
            <v>327.80000000000007</v>
          </cell>
          <cell r="I886">
            <v>319.00000000000006</v>
          </cell>
          <cell r="J886">
            <v>310.20000000000005</v>
          </cell>
          <cell r="K886">
            <v>301.40000000000003</v>
          </cell>
          <cell r="L886">
            <v>292.60000000000002</v>
          </cell>
          <cell r="M886">
            <v>283.8</v>
          </cell>
          <cell r="N886">
            <v>275.00000000000006</v>
          </cell>
          <cell r="O886">
            <v>271.42500000000001</v>
          </cell>
          <cell r="P886">
            <v>267.85000000000002</v>
          </cell>
          <cell r="Q886">
            <v>264.27500000000003</v>
          </cell>
          <cell r="R886">
            <v>260.70000000000005</v>
          </cell>
          <cell r="S886">
            <v>257.12500000000006</v>
          </cell>
          <cell r="T886">
            <v>253.55000000000004</v>
          </cell>
          <cell r="U886">
            <v>249.97500000000002</v>
          </cell>
          <cell r="V886">
            <v>246.40000000000003</v>
          </cell>
          <cell r="W886">
            <v>242.82500000000005</v>
          </cell>
          <cell r="X886">
            <v>239.25000000000003</v>
          </cell>
          <cell r="Y886">
            <v>231.82500000000002</v>
          </cell>
          <cell r="Z886">
            <v>224.40000000000003</v>
          </cell>
          <cell r="AA886">
            <v>216.97500000000002</v>
          </cell>
          <cell r="AB886">
            <v>209.55000000000004</v>
          </cell>
          <cell r="AC886">
            <v>202.12500000000003</v>
          </cell>
          <cell r="AD886">
            <v>194.70000000000002</v>
          </cell>
          <cell r="AE886">
            <v>187.27500000000003</v>
          </cell>
          <cell r="AF886">
            <v>179.85000000000002</v>
          </cell>
          <cell r="AG886">
            <v>172.42500000000001</v>
          </cell>
          <cell r="AH886">
            <v>165.00000000000003</v>
          </cell>
        </row>
        <row r="887">
          <cell r="B887" t="str">
            <v>e-diesel (PS) - Finance cost - Europe - USD/ton fuel</v>
          </cell>
          <cell r="G887">
            <v>336.6</v>
          </cell>
          <cell r="H887">
            <v>327.80000000000007</v>
          </cell>
          <cell r="I887">
            <v>319.00000000000006</v>
          </cell>
          <cell r="J887">
            <v>310.20000000000005</v>
          </cell>
          <cell r="K887">
            <v>301.40000000000003</v>
          </cell>
          <cell r="L887">
            <v>292.60000000000002</v>
          </cell>
          <cell r="M887">
            <v>283.8</v>
          </cell>
          <cell r="N887">
            <v>275.00000000000006</v>
          </cell>
          <cell r="O887">
            <v>271.42500000000001</v>
          </cell>
          <cell r="P887">
            <v>267.85000000000002</v>
          </cell>
          <cell r="Q887">
            <v>264.27500000000003</v>
          </cell>
          <cell r="R887">
            <v>260.70000000000005</v>
          </cell>
          <cell r="S887">
            <v>257.12500000000006</v>
          </cell>
          <cell r="T887">
            <v>253.55000000000004</v>
          </cell>
          <cell r="U887">
            <v>249.97500000000002</v>
          </cell>
          <cell r="V887">
            <v>246.40000000000003</v>
          </cell>
          <cell r="W887">
            <v>242.82500000000005</v>
          </cell>
          <cell r="X887">
            <v>239.25000000000003</v>
          </cell>
          <cell r="Y887">
            <v>231.82500000000002</v>
          </cell>
          <cell r="Z887">
            <v>224.40000000000003</v>
          </cell>
          <cell r="AA887">
            <v>216.97500000000002</v>
          </cell>
          <cell r="AB887">
            <v>209.55000000000004</v>
          </cell>
          <cell r="AC887">
            <v>202.12500000000003</v>
          </cell>
          <cell r="AD887">
            <v>194.70000000000002</v>
          </cell>
          <cell r="AE887">
            <v>187.27500000000003</v>
          </cell>
          <cell r="AF887">
            <v>179.85000000000002</v>
          </cell>
          <cell r="AG887">
            <v>172.42500000000001</v>
          </cell>
          <cell r="AH887">
            <v>165.00000000000003</v>
          </cell>
        </row>
        <row r="888">
          <cell r="B888" t="str">
            <v>e-diesel (PS) - Finance cost - Middle East - USD/ton fuel</v>
          </cell>
          <cell r="G888">
            <v>336.6</v>
          </cell>
          <cell r="H888">
            <v>327.80000000000007</v>
          </cell>
          <cell r="I888">
            <v>319.00000000000006</v>
          </cell>
          <cell r="J888">
            <v>310.20000000000005</v>
          </cell>
          <cell r="K888">
            <v>301.40000000000003</v>
          </cell>
          <cell r="L888">
            <v>292.60000000000002</v>
          </cell>
          <cell r="M888">
            <v>283.8</v>
          </cell>
          <cell r="N888">
            <v>275.00000000000006</v>
          </cell>
          <cell r="O888">
            <v>271.42500000000001</v>
          </cell>
          <cell r="P888">
            <v>267.85000000000002</v>
          </cell>
          <cell r="Q888">
            <v>264.27500000000003</v>
          </cell>
          <cell r="R888">
            <v>260.70000000000005</v>
          </cell>
          <cell r="S888">
            <v>257.12500000000006</v>
          </cell>
          <cell r="T888">
            <v>253.55000000000004</v>
          </cell>
          <cell r="U888">
            <v>249.97500000000002</v>
          </cell>
          <cell r="V888">
            <v>246.40000000000003</v>
          </cell>
          <cell r="W888">
            <v>242.82500000000005</v>
          </cell>
          <cell r="X888">
            <v>239.25000000000003</v>
          </cell>
          <cell r="Y888">
            <v>231.82500000000002</v>
          </cell>
          <cell r="Z888">
            <v>224.40000000000003</v>
          </cell>
          <cell r="AA888">
            <v>216.97500000000002</v>
          </cell>
          <cell r="AB888">
            <v>209.55000000000004</v>
          </cell>
          <cell r="AC888">
            <v>202.12500000000003</v>
          </cell>
          <cell r="AD888">
            <v>194.70000000000002</v>
          </cell>
          <cell r="AE888">
            <v>187.27500000000003</v>
          </cell>
          <cell r="AF888">
            <v>179.85000000000002</v>
          </cell>
          <cell r="AG888">
            <v>172.42500000000001</v>
          </cell>
          <cell r="AH888">
            <v>165.00000000000003</v>
          </cell>
        </row>
        <row r="889">
          <cell r="B889" t="str">
            <v>e-hydrogen (compressed) - Finance cost including feedstock finance cost - Africa - USD/ton fuel</v>
          </cell>
          <cell r="G889">
            <v>423.4664833247287</v>
          </cell>
          <cell r="H889">
            <v>407.9080597487058</v>
          </cell>
          <cell r="I889">
            <v>391.93778538812398</v>
          </cell>
          <cell r="J889">
            <v>383.67894989578463</v>
          </cell>
          <cell r="K889">
            <v>374.65498754747659</v>
          </cell>
          <cell r="L889">
            <v>364.86589834320779</v>
          </cell>
          <cell r="M889">
            <v>354.31168228298088</v>
          </cell>
          <cell r="N889">
            <v>342.99233936678479</v>
          </cell>
          <cell r="O889">
            <v>350.20750340232428</v>
          </cell>
          <cell r="P889">
            <v>355.6383130013013</v>
          </cell>
          <cell r="Q889">
            <v>359.28476816371159</v>
          </cell>
          <cell r="R889">
            <v>361.14686888954691</v>
          </cell>
          <cell r="S889">
            <v>361.22461517882164</v>
          </cell>
          <cell r="T889">
            <v>358.40192634457429</v>
          </cell>
          <cell r="U889">
            <v>354.10652475046084</v>
          </cell>
          <cell r="V889">
            <v>348.33841039649622</v>
          </cell>
          <cell r="W889">
            <v>341.09758328266571</v>
          </cell>
          <cell r="X889">
            <v>332.38404340896386</v>
          </cell>
          <cell r="Y889">
            <v>321.22576094613464</v>
          </cell>
          <cell r="Z889">
            <v>308.95623454830633</v>
          </cell>
          <cell r="AA889">
            <v>295.57546421549114</v>
          </cell>
          <cell r="AB889">
            <v>281.08344994768112</v>
          </cell>
          <cell r="AC889">
            <v>265.48019174487365</v>
          </cell>
          <cell r="AD889">
            <v>248.55741402200647</v>
          </cell>
          <cell r="AE889">
            <v>230.93955849750063</v>
          </cell>
          <cell r="AF889">
            <v>212.62662517135635</v>
          </cell>
          <cell r="AG889">
            <v>193.61861404357347</v>
          </cell>
          <cell r="AH889">
            <v>173.9155251141523</v>
          </cell>
        </row>
        <row r="890">
          <cell r="B890" t="str">
            <v>e-hydrogen (compressed) - Finance cost including feedstock finance cost - Americas - USD/ton fuel</v>
          </cell>
          <cell r="G890">
            <v>423.4664833247287</v>
          </cell>
          <cell r="H890">
            <v>407.9080597487058</v>
          </cell>
          <cell r="I890">
            <v>391.93778538812398</v>
          </cell>
          <cell r="J890">
            <v>383.67894989578463</v>
          </cell>
          <cell r="K890">
            <v>374.65498754747659</v>
          </cell>
          <cell r="L890">
            <v>364.86589834320779</v>
          </cell>
          <cell r="M890">
            <v>354.31168228298088</v>
          </cell>
          <cell r="N890">
            <v>342.99233936678479</v>
          </cell>
          <cell r="O890">
            <v>350.20750340232428</v>
          </cell>
          <cell r="P890">
            <v>355.6383130013013</v>
          </cell>
          <cell r="Q890">
            <v>359.28476816371159</v>
          </cell>
          <cell r="R890">
            <v>361.14686888954691</v>
          </cell>
          <cell r="S890">
            <v>361.22461517882164</v>
          </cell>
          <cell r="T890">
            <v>358.40192634457429</v>
          </cell>
          <cell r="U890">
            <v>354.10652475046084</v>
          </cell>
          <cell r="V890">
            <v>348.33841039649622</v>
          </cell>
          <cell r="W890">
            <v>341.09758328266571</v>
          </cell>
          <cell r="X890">
            <v>332.38404340896386</v>
          </cell>
          <cell r="Y890">
            <v>321.22576094613464</v>
          </cell>
          <cell r="Z890">
            <v>308.95623454830633</v>
          </cell>
          <cell r="AA890">
            <v>295.57546421549114</v>
          </cell>
          <cell r="AB890">
            <v>281.08344994768112</v>
          </cell>
          <cell r="AC890">
            <v>265.48019174487365</v>
          </cell>
          <cell r="AD890">
            <v>248.55741402200647</v>
          </cell>
          <cell r="AE890">
            <v>230.93955849750063</v>
          </cell>
          <cell r="AF890">
            <v>212.62662517135635</v>
          </cell>
          <cell r="AG890">
            <v>193.61861404357347</v>
          </cell>
          <cell r="AH890">
            <v>173.9155251141523</v>
          </cell>
        </row>
        <row r="891">
          <cell r="B891" t="str">
            <v>e-hydrogen (compressed) - Finance cost including feedstock finance cost - Asia - USD/ton fuel</v>
          </cell>
          <cell r="G891">
            <v>423.4664833247287</v>
          </cell>
          <cell r="H891">
            <v>407.9080597487058</v>
          </cell>
          <cell r="I891">
            <v>391.93778538812398</v>
          </cell>
          <cell r="J891">
            <v>383.67894989578463</v>
          </cell>
          <cell r="K891">
            <v>374.65498754747659</v>
          </cell>
          <cell r="L891">
            <v>364.86589834320779</v>
          </cell>
          <cell r="M891">
            <v>354.31168228298088</v>
          </cell>
          <cell r="N891">
            <v>342.99233936678479</v>
          </cell>
          <cell r="O891">
            <v>350.20750340232428</v>
          </cell>
          <cell r="P891">
            <v>355.6383130013013</v>
          </cell>
          <cell r="Q891">
            <v>359.28476816371159</v>
          </cell>
          <cell r="R891">
            <v>361.14686888954691</v>
          </cell>
          <cell r="S891">
            <v>361.22461517882164</v>
          </cell>
          <cell r="T891">
            <v>358.40192634457429</v>
          </cell>
          <cell r="U891">
            <v>354.10652475046084</v>
          </cell>
          <cell r="V891">
            <v>348.33841039649622</v>
          </cell>
          <cell r="W891">
            <v>341.09758328266571</v>
          </cell>
          <cell r="X891">
            <v>332.38404340896386</v>
          </cell>
          <cell r="Y891">
            <v>321.22576094613464</v>
          </cell>
          <cell r="Z891">
            <v>308.95623454830633</v>
          </cell>
          <cell r="AA891">
            <v>295.57546421549114</v>
          </cell>
          <cell r="AB891">
            <v>281.08344994768112</v>
          </cell>
          <cell r="AC891">
            <v>265.48019174487365</v>
          </cell>
          <cell r="AD891">
            <v>248.55741402200647</v>
          </cell>
          <cell r="AE891">
            <v>230.93955849750063</v>
          </cell>
          <cell r="AF891">
            <v>212.62662517135635</v>
          </cell>
          <cell r="AG891">
            <v>193.61861404357347</v>
          </cell>
          <cell r="AH891">
            <v>173.9155251141523</v>
          </cell>
        </row>
        <row r="892">
          <cell r="B892" t="str">
            <v>e-hydrogen (compressed) - Finance cost including feedstock finance cost - Europe - USD/ton fuel</v>
          </cell>
          <cell r="G892">
            <v>423.4664833247287</v>
          </cell>
          <cell r="H892">
            <v>407.9080597487058</v>
          </cell>
          <cell r="I892">
            <v>391.93778538812398</v>
          </cell>
          <cell r="J892">
            <v>383.67894989578463</v>
          </cell>
          <cell r="K892">
            <v>374.65498754747659</v>
          </cell>
          <cell r="L892">
            <v>364.86589834320779</v>
          </cell>
          <cell r="M892">
            <v>354.31168228298088</v>
          </cell>
          <cell r="N892">
            <v>342.99233936678479</v>
          </cell>
          <cell r="O892">
            <v>350.20750340232428</v>
          </cell>
          <cell r="P892">
            <v>355.6383130013013</v>
          </cell>
          <cell r="Q892">
            <v>359.28476816371159</v>
          </cell>
          <cell r="R892">
            <v>361.14686888954691</v>
          </cell>
          <cell r="S892">
            <v>361.22461517882164</v>
          </cell>
          <cell r="T892">
            <v>358.40192634457429</v>
          </cell>
          <cell r="U892">
            <v>354.10652475046084</v>
          </cell>
          <cell r="V892">
            <v>348.33841039649622</v>
          </cell>
          <cell r="W892">
            <v>341.09758328266571</v>
          </cell>
          <cell r="X892">
            <v>332.38404340896386</v>
          </cell>
          <cell r="Y892">
            <v>321.22576094613464</v>
          </cell>
          <cell r="Z892">
            <v>308.95623454830633</v>
          </cell>
          <cell r="AA892">
            <v>295.57546421549114</v>
          </cell>
          <cell r="AB892">
            <v>281.08344994768112</v>
          </cell>
          <cell r="AC892">
            <v>265.48019174487365</v>
          </cell>
          <cell r="AD892">
            <v>248.55741402200647</v>
          </cell>
          <cell r="AE892">
            <v>230.93955849750063</v>
          </cell>
          <cell r="AF892">
            <v>212.62662517135635</v>
          </cell>
          <cell r="AG892">
            <v>193.61861404357347</v>
          </cell>
          <cell r="AH892">
            <v>173.9155251141523</v>
          </cell>
        </row>
        <row r="893">
          <cell r="B893" t="str">
            <v>e-hydrogen (compressed) - Finance cost including feedstock finance cost - Middle East - USD/ton fuel</v>
          </cell>
          <cell r="G893">
            <v>423.4664833247287</v>
          </cell>
          <cell r="H893">
            <v>407.9080597487058</v>
          </cell>
          <cell r="I893">
            <v>391.93778538812398</v>
          </cell>
          <cell r="J893">
            <v>383.67894989578463</v>
          </cell>
          <cell r="K893">
            <v>374.65498754747659</v>
          </cell>
          <cell r="L893">
            <v>364.86589834320779</v>
          </cell>
          <cell r="M893">
            <v>354.31168228298088</v>
          </cell>
          <cell r="N893">
            <v>342.99233936678479</v>
          </cell>
          <cell r="O893">
            <v>350.20750340232428</v>
          </cell>
          <cell r="P893">
            <v>355.6383130013013</v>
          </cell>
          <cell r="Q893">
            <v>359.28476816371159</v>
          </cell>
          <cell r="R893">
            <v>361.14686888954691</v>
          </cell>
          <cell r="S893">
            <v>361.22461517882164</v>
          </cell>
          <cell r="T893">
            <v>358.40192634457429</v>
          </cell>
          <cell r="U893">
            <v>354.10652475046084</v>
          </cell>
          <cell r="V893">
            <v>348.33841039649622</v>
          </cell>
          <cell r="W893">
            <v>341.09758328266571</v>
          </cell>
          <cell r="X893">
            <v>332.38404340896386</v>
          </cell>
          <cell r="Y893">
            <v>321.22576094613464</v>
          </cell>
          <cell r="Z893">
            <v>308.95623454830633</v>
          </cell>
          <cell r="AA893">
            <v>295.57546421549114</v>
          </cell>
          <cell r="AB893">
            <v>281.08344994768112</v>
          </cell>
          <cell r="AC893">
            <v>265.48019174487365</v>
          </cell>
          <cell r="AD893">
            <v>248.55741402200647</v>
          </cell>
          <cell r="AE893">
            <v>230.93955849750063</v>
          </cell>
          <cell r="AF893">
            <v>212.62662517135635</v>
          </cell>
          <cell r="AG893">
            <v>193.61861404357347</v>
          </cell>
          <cell r="AH893">
            <v>173.9155251141523</v>
          </cell>
        </row>
        <row r="894">
          <cell r="B894" t="str">
            <v>Carbon dioxide (PS) - Finance cost - Africa - USD/ton fuel</v>
          </cell>
          <cell r="G894">
            <v>56.650000000000006</v>
          </cell>
          <cell r="H894">
            <v>54.45000000000001</v>
          </cell>
          <cell r="I894">
            <v>52.250000000000007</v>
          </cell>
          <cell r="J894">
            <v>50.050000000000004</v>
          </cell>
          <cell r="K894">
            <v>47.850000000000009</v>
          </cell>
          <cell r="L894">
            <v>45.650000000000006</v>
          </cell>
          <cell r="M894">
            <v>43.45</v>
          </cell>
          <cell r="N894">
            <v>41.250000000000007</v>
          </cell>
          <cell r="O894">
            <v>40.397500000000008</v>
          </cell>
          <cell r="P894">
            <v>39.545000000000002</v>
          </cell>
          <cell r="Q894">
            <v>38.692500000000003</v>
          </cell>
          <cell r="R894">
            <v>37.840000000000003</v>
          </cell>
          <cell r="S894">
            <v>36.987500000000004</v>
          </cell>
          <cell r="T894">
            <v>36.135000000000005</v>
          </cell>
          <cell r="U894">
            <v>35.282500000000006</v>
          </cell>
          <cell r="V894">
            <v>34.430000000000007</v>
          </cell>
          <cell r="W894">
            <v>33.577500000000008</v>
          </cell>
          <cell r="X894">
            <v>32.725000000000001</v>
          </cell>
          <cell r="Y894">
            <v>31.872500000000006</v>
          </cell>
          <cell r="Z894">
            <v>31.020000000000003</v>
          </cell>
          <cell r="AA894">
            <v>30.167500000000004</v>
          </cell>
          <cell r="AB894">
            <v>29.315000000000005</v>
          </cell>
          <cell r="AC894">
            <v>28.462500000000002</v>
          </cell>
          <cell r="AD894">
            <v>27.610000000000003</v>
          </cell>
          <cell r="AE894">
            <v>26.757500000000004</v>
          </cell>
          <cell r="AF894">
            <v>25.905000000000005</v>
          </cell>
          <cell r="AG894">
            <v>25.052500000000002</v>
          </cell>
          <cell r="AH894">
            <v>24.200000000000003</v>
          </cell>
        </row>
        <row r="895">
          <cell r="B895" t="str">
            <v>Carbon dioxide (PS) - Finance cost - Americas - USD/ton fuel</v>
          </cell>
          <cell r="G895">
            <v>56.650000000000006</v>
          </cell>
          <cell r="H895">
            <v>54.45000000000001</v>
          </cell>
          <cell r="I895">
            <v>52.250000000000007</v>
          </cell>
          <cell r="J895">
            <v>50.050000000000004</v>
          </cell>
          <cell r="K895">
            <v>47.850000000000009</v>
          </cell>
          <cell r="L895">
            <v>45.650000000000006</v>
          </cell>
          <cell r="M895">
            <v>43.45</v>
          </cell>
          <cell r="N895">
            <v>41.250000000000007</v>
          </cell>
          <cell r="O895">
            <v>40.397500000000008</v>
          </cell>
          <cell r="P895">
            <v>39.545000000000002</v>
          </cell>
          <cell r="Q895">
            <v>38.692500000000003</v>
          </cell>
          <cell r="R895">
            <v>37.840000000000003</v>
          </cell>
          <cell r="S895">
            <v>36.987500000000004</v>
          </cell>
          <cell r="T895">
            <v>36.135000000000005</v>
          </cell>
          <cell r="U895">
            <v>35.282500000000006</v>
          </cell>
          <cell r="V895">
            <v>34.430000000000007</v>
          </cell>
          <cell r="W895">
            <v>33.577500000000008</v>
          </cell>
          <cell r="X895">
            <v>32.725000000000001</v>
          </cell>
          <cell r="Y895">
            <v>31.872500000000006</v>
          </cell>
          <cell r="Z895">
            <v>31.020000000000003</v>
          </cell>
          <cell r="AA895">
            <v>30.167500000000004</v>
          </cell>
          <cell r="AB895">
            <v>29.315000000000005</v>
          </cell>
          <cell r="AC895">
            <v>28.462500000000002</v>
          </cell>
          <cell r="AD895">
            <v>27.610000000000003</v>
          </cell>
          <cell r="AE895">
            <v>26.757500000000004</v>
          </cell>
          <cell r="AF895">
            <v>25.905000000000005</v>
          </cell>
          <cell r="AG895">
            <v>25.052500000000002</v>
          </cell>
          <cell r="AH895">
            <v>24.200000000000003</v>
          </cell>
        </row>
        <row r="896">
          <cell r="B896" t="str">
            <v>Carbon dioxide (PS) - Finance cost - Asia - USD/ton fuel</v>
          </cell>
          <cell r="G896">
            <v>56.650000000000006</v>
          </cell>
          <cell r="H896">
            <v>54.45000000000001</v>
          </cell>
          <cell r="I896">
            <v>52.250000000000007</v>
          </cell>
          <cell r="J896">
            <v>50.050000000000004</v>
          </cell>
          <cell r="K896">
            <v>47.850000000000009</v>
          </cell>
          <cell r="L896">
            <v>45.650000000000006</v>
          </cell>
          <cell r="M896">
            <v>43.45</v>
          </cell>
          <cell r="N896">
            <v>41.250000000000007</v>
          </cell>
          <cell r="O896">
            <v>40.397500000000008</v>
          </cell>
          <cell r="P896">
            <v>39.545000000000002</v>
          </cell>
          <cell r="Q896">
            <v>38.692500000000003</v>
          </cell>
          <cell r="R896">
            <v>37.840000000000003</v>
          </cell>
          <cell r="S896">
            <v>36.987500000000004</v>
          </cell>
          <cell r="T896">
            <v>36.135000000000005</v>
          </cell>
          <cell r="U896">
            <v>35.282500000000006</v>
          </cell>
          <cell r="V896">
            <v>34.430000000000007</v>
          </cell>
          <cell r="W896">
            <v>33.577500000000008</v>
          </cell>
          <cell r="X896">
            <v>32.725000000000001</v>
          </cell>
          <cell r="Y896">
            <v>31.872500000000006</v>
          </cell>
          <cell r="Z896">
            <v>31.020000000000003</v>
          </cell>
          <cell r="AA896">
            <v>30.167500000000004</v>
          </cell>
          <cell r="AB896">
            <v>29.315000000000005</v>
          </cell>
          <cell r="AC896">
            <v>28.462500000000002</v>
          </cell>
          <cell r="AD896">
            <v>27.610000000000003</v>
          </cell>
          <cell r="AE896">
            <v>26.757500000000004</v>
          </cell>
          <cell r="AF896">
            <v>25.905000000000005</v>
          </cell>
          <cell r="AG896">
            <v>25.052500000000002</v>
          </cell>
          <cell r="AH896">
            <v>24.200000000000003</v>
          </cell>
        </row>
        <row r="897">
          <cell r="B897" t="str">
            <v>Carbon dioxide (PS) - Finance cost - Europe - USD/ton fuel</v>
          </cell>
          <cell r="G897">
            <v>56.650000000000006</v>
          </cell>
          <cell r="H897">
            <v>54.45000000000001</v>
          </cell>
          <cell r="I897">
            <v>52.250000000000007</v>
          </cell>
          <cell r="J897">
            <v>50.050000000000004</v>
          </cell>
          <cell r="K897">
            <v>47.850000000000009</v>
          </cell>
          <cell r="L897">
            <v>45.650000000000006</v>
          </cell>
          <cell r="M897">
            <v>43.45</v>
          </cell>
          <cell r="N897">
            <v>41.250000000000007</v>
          </cell>
          <cell r="O897">
            <v>40.397500000000008</v>
          </cell>
          <cell r="P897">
            <v>39.545000000000002</v>
          </cell>
          <cell r="Q897">
            <v>38.692500000000003</v>
          </cell>
          <cell r="R897">
            <v>37.840000000000003</v>
          </cell>
          <cell r="S897">
            <v>36.987500000000004</v>
          </cell>
          <cell r="T897">
            <v>36.135000000000005</v>
          </cell>
          <cell r="U897">
            <v>35.282500000000006</v>
          </cell>
          <cell r="V897">
            <v>34.430000000000007</v>
          </cell>
          <cell r="W897">
            <v>33.577500000000008</v>
          </cell>
          <cell r="X897">
            <v>32.725000000000001</v>
          </cell>
          <cell r="Y897">
            <v>31.872500000000006</v>
          </cell>
          <cell r="Z897">
            <v>31.020000000000003</v>
          </cell>
          <cell r="AA897">
            <v>30.167500000000004</v>
          </cell>
          <cell r="AB897">
            <v>29.315000000000005</v>
          </cell>
          <cell r="AC897">
            <v>28.462500000000002</v>
          </cell>
          <cell r="AD897">
            <v>27.610000000000003</v>
          </cell>
          <cell r="AE897">
            <v>26.757500000000004</v>
          </cell>
          <cell r="AF897">
            <v>25.905000000000005</v>
          </cell>
          <cell r="AG897">
            <v>25.052500000000002</v>
          </cell>
          <cell r="AH897">
            <v>24.200000000000003</v>
          </cell>
        </row>
        <row r="898">
          <cell r="B898" t="str">
            <v>Carbon dioxide (PS) - Finance cost - Middle East - USD/ton fuel</v>
          </cell>
          <cell r="G898">
            <v>56.650000000000006</v>
          </cell>
          <cell r="H898">
            <v>54.45000000000001</v>
          </cell>
          <cell r="I898">
            <v>52.250000000000007</v>
          </cell>
          <cell r="J898">
            <v>50.050000000000004</v>
          </cell>
          <cell r="K898">
            <v>47.850000000000009</v>
          </cell>
          <cell r="L898">
            <v>45.650000000000006</v>
          </cell>
          <cell r="M898">
            <v>43.45</v>
          </cell>
          <cell r="N898">
            <v>41.250000000000007</v>
          </cell>
          <cell r="O898">
            <v>40.397500000000008</v>
          </cell>
          <cell r="P898">
            <v>39.545000000000002</v>
          </cell>
          <cell r="Q898">
            <v>38.692500000000003</v>
          </cell>
          <cell r="R898">
            <v>37.840000000000003</v>
          </cell>
          <cell r="S898">
            <v>36.987500000000004</v>
          </cell>
          <cell r="T898">
            <v>36.135000000000005</v>
          </cell>
          <cell r="U898">
            <v>35.282500000000006</v>
          </cell>
          <cell r="V898">
            <v>34.430000000000007</v>
          </cell>
          <cell r="W898">
            <v>33.577500000000008</v>
          </cell>
          <cell r="X898">
            <v>32.725000000000001</v>
          </cell>
          <cell r="Y898">
            <v>31.872500000000006</v>
          </cell>
          <cell r="Z898">
            <v>31.020000000000003</v>
          </cell>
          <cell r="AA898">
            <v>30.167500000000004</v>
          </cell>
          <cell r="AB898">
            <v>29.315000000000005</v>
          </cell>
          <cell r="AC898">
            <v>28.462500000000002</v>
          </cell>
          <cell r="AD898">
            <v>27.610000000000003</v>
          </cell>
          <cell r="AE898">
            <v>26.757500000000004</v>
          </cell>
          <cell r="AF898">
            <v>25.905000000000005</v>
          </cell>
          <cell r="AG898">
            <v>25.052500000000002</v>
          </cell>
          <cell r="AH898">
            <v>24.200000000000003</v>
          </cell>
        </row>
        <row r="899">
          <cell r="B899" t="str">
            <v>e-diesel - Conversion H2 -&gt; diesel - Global - ton H2/ton diesel</v>
          </cell>
          <cell r="G899">
            <v>0.47</v>
          </cell>
          <cell r="H899">
            <v>0.47</v>
          </cell>
          <cell r="I899">
            <v>0.47</v>
          </cell>
          <cell r="J899">
            <v>0.47</v>
          </cell>
          <cell r="K899">
            <v>0.47</v>
          </cell>
          <cell r="L899">
            <v>0.47</v>
          </cell>
          <cell r="M899">
            <v>0.47</v>
          </cell>
          <cell r="N899">
            <v>0.47</v>
          </cell>
          <cell r="O899">
            <v>0.47</v>
          </cell>
          <cell r="P899">
            <v>0.47</v>
          </cell>
          <cell r="Q899">
            <v>0.47</v>
          </cell>
          <cell r="R899">
            <v>0.47</v>
          </cell>
          <cell r="S899">
            <v>0.47</v>
          </cell>
          <cell r="T899">
            <v>0.47</v>
          </cell>
          <cell r="U899">
            <v>0.47</v>
          </cell>
          <cell r="V899">
            <v>0.47</v>
          </cell>
          <cell r="W899">
            <v>0.47</v>
          </cell>
          <cell r="X899">
            <v>0.47</v>
          </cell>
          <cell r="Y899">
            <v>0.47</v>
          </cell>
          <cell r="Z899">
            <v>0.47</v>
          </cell>
          <cell r="AA899">
            <v>0.47</v>
          </cell>
          <cell r="AB899">
            <v>0.47</v>
          </cell>
          <cell r="AC899">
            <v>0.47</v>
          </cell>
          <cell r="AD899">
            <v>0.47</v>
          </cell>
          <cell r="AE899">
            <v>0.47</v>
          </cell>
          <cell r="AF899">
            <v>0.47</v>
          </cell>
          <cell r="AG899">
            <v>0.47</v>
          </cell>
          <cell r="AH899">
            <v>0.47</v>
          </cell>
        </row>
        <row r="900">
          <cell r="B900" t="str">
            <v>e-diesel - Conversion CO2 -&gt; diesel - Global - ton CO2/ton diesel</v>
          </cell>
          <cell r="G900">
            <v>3.21</v>
          </cell>
          <cell r="H900">
            <v>3.21</v>
          </cell>
          <cell r="I900">
            <v>3.21</v>
          </cell>
          <cell r="J900">
            <v>3.21</v>
          </cell>
          <cell r="K900">
            <v>3.21</v>
          </cell>
          <cell r="L900">
            <v>3.21</v>
          </cell>
          <cell r="M900">
            <v>3.21</v>
          </cell>
          <cell r="N900">
            <v>3.21</v>
          </cell>
          <cell r="O900">
            <v>3.21</v>
          </cell>
          <cell r="P900">
            <v>3.21</v>
          </cell>
          <cell r="Q900">
            <v>3.21</v>
          </cell>
          <cell r="R900">
            <v>3.21</v>
          </cell>
          <cell r="S900">
            <v>3.21</v>
          </cell>
          <cell r="T900">
            <v>3.21</v>
          </cell>
          <cell r="U900">
            <v>3.21</v>
          </cell>
          <cell r="V900">
            <v>3.21</v>
          </cell>
          <cell r="W900">
            <v>3.21</v>
          </cell>
          <cell r="X900">
            <v>3.21</v>
          </cell>
          <cell r="Y900">
            <v>3.21</v>
          </cell>
          <cell r="Z900">
            <v>3.21</v>
          </cell>
          <cell r="AA900">
            <v>3.21</v>
          </cell>
          <cell r="AB900">
            <v>3.21</v>
          </cell>
          <cell r="AC900">
            <v>3.21</v>
          </cell>
          <cell r="AD900">
            <v>3.21</v>
          </cell>
          <cell r="AE900">
            <v>3.21</v>
          </cell>
          <cell r="AF900">
            <v>3.21</v>
          </cell>
          <cell r="AG900">
            <v>3.21</v>
          </cell>
          <cell r="AH900">
            <v>3.21</v>
          </cell>
        </row>
        <row r="901">
          <cell r="B901" t="str">
            <v/>
          </cell>
        </row>
        <row r="902">
          <cell r="B902" t="str">
            <v>e-diesel (PS) - Energy cost including feedstock energy cost - Africa - USD/ton fuel</v>
          </cell>
          <cell r="G902">
            <v>1594.1497774459199</v>
          </cell>
          <cell r="H902">
            <v>1405.0900332122774</v>
          </cell>
          <cell r="I902">
            <v>1216.3031485000918</v>
          </cell>
          <cell r="J902">
            <v>1161.8236024179562</v>
          </cell>
          <cell r="K902">
            <v>1107.2182976085617</v>
          </cell>
          <cell r="L902">
            <v>1052.5355438875827</v>
          </cell>
          <cell r="M902">
            <v>997.8236510707128</v>
          </cell>
          <cell r="N902">
            <v>943.13092897363663</v>
          </cell>
          <cell r="O902">
            <v>908.73152812793205</v>
          </cell>
          <cell r="P902">
            <v>874.42412572240198</v>
          </cell>
          <cell r="Q902">
            <v>840.23474266617768</v>
          </cell>
          <cell r="R902">
            <v>806.18939986843111</v>
          </cell>
          <cell r="S902">
            <v>772.31411823833434</v>
          </cell>
          <cell r="T902">
            <v>753.16588326282397</v>
          </cell>
          <cell r="U902">
            <v>734.06558742240691</v>
          </cell>
          <cell r="V902">
            <v>715.02172143862742</v>
          </cell>
          <cell r="W902">
            <v>696.04277603297817</v>
          </cell>
          <cell r="X902">
            <v>677.1372419269984</v>
          </cell>
          <cell r="Y902">
            <v>656.35207826567421</v>
          </cell>
          <cell r="Z902">
            <v>635.9584439464594</v>
          </cell>
          <cell r="AA902">
            <v>615.95137382428186</v>
          </cell>
          <cell r="AB902">
            <v>596.32590275405755</v>
          </cell>
          <cell r="AC902">
            <v>577.07706559070698</v>
          </cell>
          <cell r="AD902">
            <v>565.32914615681977</v>
          </cell>
          <cell r="AE902">
            <v>553.80155835264259</v>
          </cell>
          <cell r="AF902">
            <v>542.49117341059343</v>
          </cell>
          <cell r="AG902">
            <v>531.39486256310249</v>
          </cell>
          <cell r="AH902">
            <v>520.50949704259995</v>
          </cell>
        </row>
        <row r="903">
          <cell r="B903" t="str">
            <v>e-diesel (PS) - Energy cost including feedstock energy cost - Americas - USD/ton fuel</v>
          </cell>
          <cell r="G903">
            <v>1001.6280262544105</v>
          </cell>
          <cell r="H903">
            <v>979.58596430709156</v>
          </cell>
          <cell r="I903">
            <v>957.42315112786775</v>
          </cell>
          <cell r="J903">
            <v>920.52365819601994</v>
          </cell>
          <cell r="K903">
            <v>883.49628649417446</v>
          </cell>
          <cell r="L903">
            <v>846.37349579732461</v>
          </cell>
          <cell r="M903">
            <v>809.1877458805028</v>
          </cell>
          <cell r="N903">
            <v>771.97149651866675</v>
          </cell>
          <cell r="O903">
            <v>750.62729607005053</v>
          </cell>
          <cell r="P903">
            <v>729.26807192148817</v>
          </cell>
          <cell r="Q903">
            <v>707.90889670341664</v>
          </cell>
          <cell r="R903">
            <v>686.56484304627509</v>
          </cell>
          <cell r="S903">
            <v>665.2509835805289</v>
          </cell>
          <cell r="T903">
            <v>646.99764489460392</v>
          </cell>
          <cell r="U903">
            <v>628.8149985593974</v>
          </cell>
          <cell r="V903">
            <v>610.71151493598757</v>
          </cell>
          <cell r="W903">
            <v>592.69566438541074</v>
          </cell>
          <cell r="X903">
            <v>574.77591726873015</v>
          </cell>
          <cell r="Y903">
            <v>562.93374746760446</v>
          </cell>
          <cell r="Z903">
            <v>551.28464307454738</v>
          </cell>
          <cell r="AA903">
            <v>539.82666345137295</v>
          </cell>
          <cell r="AB903">
            <v>528.55786795986614</v>
          </cell>
          <cell r="AC903">
            <v>517.47631596183726</v>
          </cell>
          <cell r="AD903">
            <v>508.67690235206567</v>
          </cell>
          <cell r="AE903">
            <v>500.03992674846381</v>
          </cell>
          <cell r="AF903">
            <v>491.56350950451332</v>
          </cell>
          <cell r="AG903">
            <v>483.24577097370059</v>
          </cell>
          <cell r="AH903">
            <v>475.08483150951184</v>
          </cell>
        </row>
        <row r="904">
          <cell r="B904" t="str">
            <v>e-diesel (PS) - Energy cost including feedstock energy cost - Asia - USD/ton fuel</v>
          </cell>
          <cell r="G904">
            <v>1773.0259200772978</v>
          </cell>
          <cell r="H904">
            <v>1615.0796635157055</v>
          </cell>
          <cell r="I904">
            <v>1457.278845269052</v>
          </cell>
          <cell r="J904">
            <v>1398.6100769868854</v>
          </cell>
          <cell r="K904">
            <v>1339.7587559953201</v>
          </cell>
          <cell r="L904">
            <v>1280.7766189841975</v>
          </cell>
          <cell r="M904">
            <v>1221.7154026434735</v>
          </cell>
          <cell r="N904">
            <v>1162.6268436630444</v>
          </cell>
          <cell r="O904">
            <v>1118.1920453712494</v>
          </cell>
          <cell r="P904">
            <v>1073.8975669153335</v>
          </cell>
          <cell r="Q904">
            <v>1029.7773399648054</v>
          </cell>
          <cell r="R904">
            <v>985.86529618915404</v>
          </cell>
          <cell r="S904">
            <v>942.19536725794705</v>
          </cell>
          <cell r="T904">
            <v>916.39907217199152</v>
          </cell>
          <cell r="U904">
            <v>890.70196439614472</v>
          </cell>
          <cell r="V904">
            <v>865.11600374815123</v>
          </cell>
          <cell r="W904">
            <v>839.65315004566617</v>
          </cell>
          <cell r="X904">
            <v>814.32536310642502</v>
          </cell>
          <cell r="Y904">
            <v>786.39992054857998</v>
          </cell>
          <cell r="Z904">
            <v>759.01565963707685</v>
          </cell>
          <cell r="AA904">
            <v>732.16546105804059</v>
          </cell>
          <cell r="AB904">
            <v>705.84220549758231</v>
          </cell>
          <cell r="AC904">
            <v>680.03877364182142</v>
          </cell>
          <cell r="AD904">
            <v>665.24936727070292</v>
          </cell>
          <cell r="AE904">
            <v>650.73874913101395</v>
          </cell>
          <cell r="AF904">
            <v>636.50272769114133</v>
          </cell>
          <cell r="AG904">
            <v>622.53711141946894</v>
          </cell>
          <cell r="AH904">
            <v>608.8377087843802</v>
          </cell>
        </row>
        <row r="905">
          <cell r="B905" t="str">
            <v>e-diesel (PS) - Energy cost including feedstock energy cost - Europe - USD/ton fuel</v>
          </cell>
          <cell r="G905">
            <v>1319.9217578899531</v>
          </cell>
          <cell r="H905">
            <v>1261.3600751272093</v>
          </cell>
          <cell r="I905">
            <v>1202.7284102621454</v>
          </cell>
          <cell r="J905">
            <v>1154.464508827693</v>
          </cell>
          <cell r="K905">
            <v>1106.049184820042</v>
          </cell>
          <cell r="L905">
            <v>1057.5249918519767</v>
          </cell>
          <cell r="M905">
            <v>1008.9344835362652</v>
          </cell>
          <cell r="N905">
            <v>960.32021348567741</v>
          </cell>
          <cell r="O905">
            <v>935.6166104980648</v>
          </cell>
          <cell r="P905">
            <v>910.86981224309591</v>
          </cell>
          <cell r="Q905">
            <v>886.09687968245646</v>
          </cell>
          <cell r="R905">
            <v>861.31487377786527</v>
          </cell>
          <cell r="S905">
            <v>836.54085549107742</v>
          </cell>
          <cell r="T905">
            <v>819.04823778941</v>
          </cell>
          <cell r="U905">
            <v>801.55327775385524</v>
          </cell>
          <cell r="V905">
            <v>784.06303706238089</v>
          </cell>
          <cell r="W905">
            <v>766.58457739289247</v>
          </cell>
          <cell r="X905">
            <v>749.12496042333737</v>
          </cell>
          <cell r="Y905">
            <v>729.18284844093455</v>
          </cell>
          <cell r="Z905">
            <v>709.60059502043293</v>
          </cell>
          <cell r="AA905">
            <v>690.37390382727017</v>
          </cell>
          <cell r="AB905">
            <v>671.49847852684138</v>
          </cell>
          <cell r="AC905">
            <v>652.97002278457944</v>
          </cell>
          <cell r="AD905">
            <v>638.76972179216864</v>
          </cell>
          <cell r="AE905">
            <v>624.83710349525973</v>
          </cell>
          <cell r="AF905">
            <v>611.1681434276328</v>
          </cell>
          <cell r="AG905">
            <v>597.758817123065</v>
          </cell>
          <cell r="AH905">
            <v>584.60510011533279</v>
          </cell>
        </row>
        <row r="906">
          <cell r="B906" t="str">
            <v>e-diesel (PS) - Energy cost including feedstock energy cost - Middle East - USD/ton fuel</v>
          </cell>
          <cell r="G906">
            <v>1010.7231499452078</v>
          </cell>
          <cell r="H906">
            <v>964.84228985899131</v>
          </cell>
          <cell r="I906">
            <v>918.91097495717577</v>
          </cell>
          <cell r="J906">
            <v>887.59798715947932</v>
          </cell>
          <cell r="K906">
            <v>856.14246344968274</v>
          </cell>
          <cell r="L906">
            <v>824.57174141428459</v>
          </cell>
          <cell r="M906">
            <v>792.9131586398106</v>
          </cell>
          <cell r="N906">
            <v>761.19405271274832</v>
          </cell>
          <cell r="O906">
            <v>736.05782927979533</v>
          </cell>
          <cell r="P906">
            <v>710.9610217289005</v>
          </cell>
          <cell r="Q906">
            <v>685.92223021355926</v>
          </cell>
          <cell r="R906">
            <v>660.96005488729463</v>
          </cell>
          <cell r="S906">
            <v>636.09309590363864</v>
          </cell>
          <cell r="T906">
            <v>621.12525519520364</v>
          </cell>
          <cell r="U906">
            <v>606.18348111341459</v>
          </cell>
          <cell r="V906">
            <v>591.27423890117223</v>
          </cell>
          <cell r="W906">
            <v>576.40399380131919</v>
          </cell>
          <cell r="X906">
            <v>561.57921105674245</v>
          </cell>
          <cell r="Y906">
            <v>542.54556002428717</v>
          </cell>
          <cell r="Z906">
            <v>523.87973288465378</v>
          </cell>
          <cell r="AA906">
            <v>505.57690795753331</v>
          </cell>
          <cell r="AB906">
            <v>487.63226356260378</v>
          </cell>
          <cell r="AC906">
            <v>470.04097801955106</v>
          </cell>
          <cell r="AD906">
            <v>459.81843381975301</v>
          </cell>
          <cell r="AE906">
            <v>449.78859025796703</v>
          </cell>
          <cell r="AF906">
            <v>439.9485500807761</v>
          </cell>
          <cell r="AG906">
            <v>430.2954160347702</v>
          </cell>
          <cell r="AH906">
            <v>420.82629086653935</v>
          </cell>
        </row>
        <row r="907">
          <cell r="B907" t="str">
            <v>e-diesel (PS) - Energy cost - Africa - USD/ton fuel</v>
          </cell>
          <cell r="G907">
            <v>24.196520996516455</v>
          </cell>
          <cell r="H907">
            <v>20.984263356572239</v>
          </cell>
          <cell r="I907">
            <v>17.87071422432129</v>
          </cell>
          <cell r="J907">
            <v>16.823748934217715</v>
          </cell>
          <cell r="K907">
            <v>15.802028726504963</v>
          </cell>
          <cell r="L907">
            <v>14.805553601183036</v>
          </cell>
          <cell r="M907">
            <v>13.834323558251761</v>
          </cell>
          <cell r="N907">
            <v>12.888338597711485</v>
          </cell>
          <cell r="O907">
            <v>12.290477819406663</v>
          </cell>
          <cell r="P907">
            <v>11.705545605118326</v>
          </cell>
          <cell r="Q907">
            <v>11.133541954846319</v>
          </cell>
          <cell r="R907">
            <v>10.574466868590962</v>
          </cell>
          <cell r="S907">
            <v>10.02832034635213</v>
          </cell>
          <cell r="T907">
            <v>9.6964670631229843</v>
          </cell>
          <cell r="U907">
            <v>9.3701967075256007</v>
          </cell>
          <cell r="V907">
            <v>9.0495092795597998</v>
          </cell>
          <cell r="W907">
            <v>8.7344047792256703</v>
          </cell>
          <cell r="X907">
            <v>8.424883206523333</v>
          </cell>
          <cell r="Y907">
            <v>8.1289163298713785</v>
          </cell>
          <cell r="Z907">
            <v>7.8382163198470858</v>
          </cell>
          <cell r="AA907">
            <v>7.552783176450439</v>
          </cell>
          <cell r="AB907">
            <v>7.2726168996816174</v>
          </cell>
          <cell r="AC907">
            <v>6.997717489540431</v>
          </cell>
          <cell r="AD907">
            <v>6.8115445879951633</v>
          </cell>
          <cell r="AE907">
            <v>6.6277434055101123</v>
          </cell>
          <cell r="AF907">
            <v>6.4463139420851272</v>
          </cell>
          <cell r="AG907">
            <v>6.2672561977202834</v>
          </cell>
          <cell r="AH907">
            <v>6.090570172415652</v>
          </cell>
        </row>
        <row r="908">
          <cell r="B908" t="str">
            <v>e-diesel (PS) - Energy cost - Americas - USD/ton fuel</v>
          </cell>
          <cell r="G908">
            <v>15.203034188414808</v>
          </cell>
          <cell r="H908">
            <v>14.629589114960471</v>
          </cell>
          <cell r="I908">
            <v>14.067081505671206</v>
          </cell>
          <cell r="J908">
            <v>13.329612930282243</v>
          </cell>
          <cell r="K908">
            <v>12.609106739922293</v>
          </cell>
          <cell r="L908">
            <v>11.905562934591353</v>
          </cell>
          <cell r="M908">
            <v>11.218981514289597</v>
          </cell>
          <cell r="N908">
            <v>10.549362479016679</v>
          </cell>
          <cell r="O908">
            <v>10.15213828004366</v>
          </cell>
          <cell r="P908">
            <v>9.7624029611274885</v>
          </cell>
          <cell r="Q908">
            <v>9.3801565222681607</v>
          </cell>
          <cell r="R908">
            <v>9.0053989634656801</v>
          </cell>
          <cell r="S908">
            <v>8.6381302847200061</v>
          </cell>
          <cell r="T908">
            <v>8.3296276332387222</v>
          </cell>
          <cell r="U908">
            <v>8.0266945217164203</v>
          </cell>
          <cell r="V908">
            <v>7.7293309501529768</v>
          </cell>
          <cell r="W908">
            <v>7.437536918548509</v>
          </cell>
          <cell r="X908">
            <v>7.1513124269030035</v>
          </cell>
          <cell r="Y908">
            <v>6.9719308949500096</v>
          </cell>
          <cell r="Z908">
            <v>6.7946079297467135</v>
          </cell>
          <cell r="AA908">
            <v>6.6193435312931719</v>
          </cell>
          <cell r="AB908">
            <v>6.4461376995893911</v>
          </cell>
          <cell r="AC908">
            <v>6.2749904346353098</v>
          </cell>
          <cell r="AD908">
            <v>6.1289523542329727</v>
          </cell>
          <cell r="AE908">
            <v>5.9843391139187769</v>
          </cell>
          <cell r="AF908">
            <v>5.8411507136926293</v>
          </cell>
          <cell r="AG908">
            <v>5.699387153554567</v>
          </cell>
          <cell r="AH908">
            <v>5.5590484335046302</v>
          </cell>
        </row>
        <row r="909">
          <cell r="B909" t="str">
            <v>e-diesel (PS) - Energy cost - Asia - USD/ton fuel</v>
          </cell>
          <cell r="G909">
            <v>26.911560952103585</v>
          </cell>
          <cell r="H909">
            <v>24.120345458273867</v>
          </cell>
          <cell r="I909">
            <v>21.411285353546209</v>
          </cell>
          <cell r="J909">
            <v>20.252527787458053</v>
          </cell>
          <cell r="K909">
            <v>19.120806072795972</v>
          </cell>
          <cell r="L909">
            <v>18.016120209559258</v>
          </cell>
          <cell r="M909">
            <v>16.93847019774827</v>
          </cell>
          <cell r="N909">
            <v>15.88785603736334</v>
          </cell>
          <cell r="O909">
            <v>15.123404554681125</v>
          </cell>
          <cell r="P909">
            <v>14.375812120197313</v>
          </cell>
          <cell r="Q909">
            <v>13.645078733911902</v>
          </cell>
          <cell r="R909">
            <v>12.931204395824565</v>
          </cell>
          <cell r="S909">
            <v>12.234189105935469</v>
          </cell>
          <cell r="T909">
            <v>11.797976538046914</v>
          </cell>
          <cell r="U909">
            <v>11.369627942208288</v>
          </cell>
          <cell r="V909">
            <v>10.949143318419541</v>
          </cell>
          <cell r="W909">
            <v>10.53652266668059</v>
          </cell>
          <cell r="X909">
            <v>10.131765986991704</v>
          </cell>
          <cell r="Y909">
            <v>9.7395580324030853</v>
          </cell>
          <cell r="Z909">
            <v>9.3549020176036937</v>
          </cell>
          <cell r="AA909">
            <v>8.9777979425934493</v>
          </cell>
          <cell r="AB909">
            <v>8.6082458073725423</v>
          </cell>
          <cell r="AC909">
            <v>8.2462456119407292</v>
          </cell>
          <cell r="AD909">
            <v>8.0154645450439599</v>
          </cell>
          <cell r="AE909">
            <v>7.7878608108152818</v>
          </cell>
          <cell r="AF909">
            <v>7.5634344092546586</v>
          </cell>
          <cell r="AG909">
            <v>7.3421853403621089</v>
          </cell>
          <cell r="AH909">
            <v>7.1241136041376523</v>
          </cell>
        </row>
        <row r="910">
          <cell r="B910" t="str">
            <v>e-diesel (PS) - Energy cost - Europe - USD/ton fuel</v>
          </cell>
          <cell r="G910">
            <v>20.03419940861022</v>
          </cell>
          <cell r="H910">
            <v>18.837733795195369</v>
          </cell>
          <cell r="I910">
            <v>17.671265371443241</v>
          </cell>
          <cell r="J910">
            <v>16.717185818536183</v>
          </cell>
          <cell r="K910">
            <v>15.78534335027101</v>
          </cell>
          <cell r="L910">
            <v>14.875737966648074</v>
          </cell>
          <cell r="M910">
            <v>13.988369667667028</v>
          </cell>
          <cell r="N910">
            <v>13.123238453328213</v>
          </cell>
          <cell r="O910">
            <v>12.654095123654653</v>
          </cell>
          <cell r="P910">
            <v>12.193428582186671</v>
          </cell>
          <cell r="Q910">
            <v>11.741238828923938</v>
          </cell>
          <cell r="R910">
            <v>11.297525863866536</v>
          </cell>
          <cell r="S910">
            <v>10.862289687014542</v>
          </cell>
          <cell r="T910">
            <v>10.544654819504814</v>
          </cell>
          <cell r="U910">
            <v>10.231663236644277</v>
          </cell>
          <cell r="V910">
            <v>9.9233149384327817</v>
          </cell>
          <cell r="W910">
            <v>9.6196099248703852</v>
          </cell>
          <cell r="X910">
            <v>9.3205481959570715</v>
          </cell>
          <cell r="Y910">
            <v>9.0309249569471994</v>
          </cell>
          <cell r="Z910">
            <v>8.7458591318438703</v>
          </cell>
          <cell r="AA910">
            <v>8.4653507206472032</v>
          </cell>
          <cell r="AB910">
            <v>8.189399723357182</v>
          </cell>
          <cell r="AC910">
            <v>7.9180061399737713</v>
          </cell>
          <cell r="AD910">
            <v>7.6964162754164303</v>
          </cell>
          <cell r="AE910">
            <v>7.477877101912612</v>
          </cell>
          <cell r="AF910">
            <v>7.262388619462282</v>
          </cell>
          <cell r="AG910">
            <v>7.049950828065457</v>
          </cell>
          <cell r="AH910">
            <v>6.8405637277221549</v>
          </cell>
        </row>
        <row r="911">
          <cell r="B911" t="str">
            <v>e-diesel (PS) - Energy cost - Middle East - USD/ton fuel</v>
          </cell>
          <cell r="G911">
            <v>15.341082917877907</v>
          </cell>
          <cell r="H911">
            <v>14.409400272858166</v>
          </cell>
          <cell r="I911">
            <v>13.501235651081528</v>
          </cell>
          <cell r="J911">
            <v>12.85283382039278</v>
          </cell>
          <cell r="K911">
            <v>12.218717691563548</v>
          </cell>
          <cell r="L911">
            <v>11.598887264593834</v>
          </cell>
          <cell r="M911">
            <v>10.993342539483638</v>
          </cell>
          <cell r="N911">
            <v>10.402083516232958</v>
          </cell>
          <cell r="O911">
            <v>9.9550881030842415</v>
          </cell>
          <cell r="P911">
            <v>9.5173342300383421</v>
          </cell>
          <cell r="Q911">
            <v>9.0888218970950945</v>
          </cell>
          <cell r="R911">
            <v>8.669551104254662</v>
          </cell>
          <cell r="S911">
            <v>8.2595218515169613</v>
          </cell>
          <cell r="T911">
            <v>7.9965392922245107</v>
          </cell>
          <cell r="U911">
            <v>7.737807841980775</v>
          </cell>
          <cell r="V911">
            <v>7.4833275007857054</v>
          </cell>
          <cell r="W911">
            <v>7.2330982686392709</v>
          </cell>
          <cell r="X911">
            <v>6.9871201455415495</v>
          </cell>
          <cell r="Y911">
            <v>6.719423322668999</v>
          </cell>
          <cell r="Z911">
            <v>6.4568411836030739</v>
          </cell>
          <cell r="AA911">
            <v>6.199373728343744</v>
          </cell>
          <cell r="AB911">
            <v>5.947020956891115</v>
          </cell>
          <cell r="AC911">
            <v>5.6997828692450287</v>
          </cell>
          <cell r="AD911">
            <v>5.540265853330915</v>
          </cell>
          <cell r="AE911">
            <v>5.3829450603634372</v>
          </cell>
          <cell r="AF911">
            <v>5.227820490342495</v>
          </cell>
          <cell r="AG911">
            <v>5.0748921432681389</v>
          </cell>
          <cell r="AH911">
            <v>4.9241600191404169</v>
          </cell>
        </row>
        <row r="912">
          <cell r="B912" t="str">
            <v>e-hydrogen (compressed) - Energy cost including feedstock energy cost - Africa - USD/ton fuel</v>
          </cell>
          <cell r="G912">
            <v>3160.8705964644164</v>
          </cell>
          <cell r="H912">
            <v>2786.523241337979</v>
          </cell>
          <cell r="I912">
            <v>2412.5464202833837</v>
          </cell>
          <cell r="J912">
            <v>2304.7344628217015</v>
          </cell>
          <cell r="K912">
            <v>2196.6012206586379</v>
          </cell>
          <cell r="L912">
            <v>2088.2494806360514</v>
          </cell>
          <cell r="M912">
            <v>1979.7820295958466</v>
          </cell>
          <cell r="N912">
            <v>1871.3016543799013</v>
          </cell>
          <cell r="O912">
            <v>1802.6625730422293</v>
          </cell>
          <cell r="P912">
            <v>1734.1917254836167</v>
          </cell>
          <cell r="Q912">
            <v>1665.9444753405153</v>
          </cell>
          <cell r="R912">
            <v>1597.976186249457</v>
          </cell>
          <cell r="S912">
            <v>1530.3422218469802</v>
          </cell>
          <cell r="T912">
            <v>1491.8507805011832</v>
          </cell>
          <cell r="U912">
            <v>1453.4494587457298</v>
          </cell>
          <cell r="V912">
            <v>1415.1563219456079</v>
          </cell>
          <cell r="W912">
            <v>1376.9894354656967</v>
          </cell>
          <cell r="X912">
            <v>1338.9668646709708</v>
          </cell>
          <cell r="Y912">
            <v>1296.9598763474942</v>
          </cell>
          <cell r="Z912">
            <v>1255.7747230782336</v>
          </cell>
          <cell r="AA912">
            <v>1215.4008407247393</v>
          </cell>
          <cell r="AB912">
            <v>1175.8276651485323</v>
          </cell>
          <cell r="AC912">
            <v>1137.0446322111472</v>
          </cell>
          <cell r="AD912">
            <v>1113.2241368658154</v>
          </cell>
          <cell r="AE912">
            <v>1089.8673860112274</v>
          </cell>
          <cell r="AF912">
            <v>1066.9677226950826</v>
          </cell>
          <cell r="AG912">
            <v>1044.5184899651035</v>
          </cell>
          <cell r="AH912">
            <v>1022.5130308690141</v>
          </cell>
        </row>
        <row r="913">
          <cell r="B913" t="str">
            <v>e-hydrogen (compressed) - Energy cost including feedstock energy cost - Americas - USD/ton fuel</v>
          </cell>
          <cell r="G913">
            <v>1986.022029783622</v>
          </cell>
          <cell r="H913">
            <v>1942.6791108821419</v>
          </cell>
          <cell r="I913">
            <v>1899.0560032656203</v>
          </cell>
          <cell r="J913">
            <v>1826.0625747933959</v>
          </cell>
          <cell r="K913">
            <v>1752.7609736509025</v>
          </cell>
          <cell r="L913">
            <v>1679.2202631891889</v>
          </cell>
          <cell r="M913">
            <v>1605.5095067593863</v>
          </cell>
          <cell r="N913">
            <v>1531.6977677124719</v>
          </cell>
          <cell r="O913">
            <v>1489.0291478242557</v>
          </cell>
          <cell r="P913">
            <v>1446.3126288296503</v>
          </cell>
          <cell r="Q913">
            <v>1403.5802801551172</v>
          </cell>
          <cell r="R913">
            <v>1360.8641712271224</v>
          </cell>
          <cell r="S913">
            <v>1318.196371472189</v>
          </cell>
          <cell r="T913">
            <v>1281.5555815366356</v>
          </cell>
          <cell r="U913">
            <v>1245.0533507729108</v>
          </cell>
          <cell r="V913">
            <v>1208.7077012258628</v>
          </cell>
          <cell r="W913">
            <v>1172.5366549402484</v>
          </cell>
          <cell r="X913">
            <v>1136.5582339608836</v>
          </cell>
          <cell r="Y913">
            <v>1112.3640919011295</v>
          </cell>
          <cell r="Z913">
            <v>1088.5763473760965</v>
          </cell>
          <cell r="AA913">
            <v>1065.1908713683672</v>
          </cell>
          <cell r="AB913">
            <v>1042.2035348604634</v>
          </cell>
          <cell r="AC913">
            <v>1019.61020883496</v>
          </cell>
          <cell r="AD913">
            <v>1001.6667447875999</v>
          </cell>
          <cell r="AE913">
            <v>984.06586194466854</v>
          </cell>
          <cell r="AF913">
            <v>966.80356105825501</v>
          </cell>
          <cell r="AG913">
            <v>949.87584288045787</v>
          </cell>
          <cell r="AH913">
            <v>933.27870816337509</v>
          </cell>
        </row>
        <row r="914">
          <cell r="B914" t="str">
            <v>e-hydrogen (compressed) - Energy cost including feedstock energy cost - Asia - USD/ton fuel</v>
          </cell>
          <cell r="G914">
            <v>3515.5451368694994</v>
          </cell>
          <cell r="H914">
            <v>3202.9670075376002</v>
          </cell>
          <cell r="I914">
            <v>2890.5235227287494</v>
          </cell>
          <cell r="J914">
            <v>2774.4528840461521</v>
          </cell>
          <cell r="K914">
            <v>2657.9363122554146</v>
          </cell>
          <cell r="L914">
            <v>2541.0838854200356</v>
          </cell>
          <cell r="M914">
            <v>2424.0056816037468</v>
          </cell>
          <cell r="N914">
            <v>2306.8117788701561</v>
          </cell>
          <cell r="O914">
            <v>2218.1721303505983</v>
          </cell>
          <cell r="P914">
            <v>2129.7951643580186</v>
          </cell>
          <cell r="Q914">
            <v>2041.7530759339261</v>
          </cell>
          <cell r="R914">
            <v>1954.1180601197893</v>
          </cell>
          <cell r="S914">
            <v>1866.9623119572402</v>
          </cell>
          <cell r="T914">
            <v>1815.1787029276168</v>
          </cell>
          <cell r="U914">
            <v>1763.5893988725866</v>
          </cell>
          <cell r="V914">
            <v>1712.219846212882</v>
          </cell>
          <cell r="W914">
            <v>1661.0954913690473</v>
          </cell>
          <cell r="X914">
            <v>1610.2417807617942</v>
          </cell>
          <cell r="Y914">
            <v>1553.9360314199</v>
          </cell>
          <cell r="Z914">
            <v>1498.7656644323729</v>
          </cell>
          <cell r="AA914">
            <v>1444.7155323228835</v>
          </cell>
          <cell r="AB914">
            <v>1391.7704876150719</v>
          </cell>
          <cell r="AC914">
            <v>1339.915382832598</v>
          </cell>
          <cell r="AD914">
            <v>1309.9831447130568</v>
          </cell>
          <cell r="AE914">
            <v>1280.6373127610934</v>
          </cell>
          <cell r="AF914">
            <v>1251.8689688243389</v>
          </cell>
          <cell r="AG914">
            <v>1223.6691947504187</v>
          </cell>
          <cell r="AH914">
            <v>1196.0290723869578</v>
          </cell>
        </row>
        <row r="915">
          <cell r="B915" t="str">
            <v>e-hydrogen (compressed) - Energy cost including feedstock energy cost - Europe - USD/ton fuel</v>
          </cell>
          <cell r="G915">
            <v>2617.1329276426868</v>
          </cell>
          <cell r="H915">
            <v>2501.4832373426843</v>
          </cell>
          <cell r="I915">
            <v>2385.6208251448465</v>
          </cell>
          <cell r="J915">
            <v>2290.1360706240293</v>
          </cell>
          <cell r="K915">
            <v>2194.281827469511</v>
          </cell>
          <cell r="L915">
            <v>2098.1486352829556</v>
          </cell>
          <cell r="M915">
            <v>2001.8270336660016</v>
          </cell>
          <cell r="N915">
            <v>1905.4075622202831</v>
          </cell>
          <cell r="O915">
            <v>1855.9948612502078</v>
          </cell>
          <cell r="P915">
            <v>1806.4722197363817</v>
          </cell>
          <cell r="Q915">
            <v>1756.8759375972888</v>
          </cell>
          <cell r="R915">
            <v>1707.2423147514785</v>
          </cell>
          <cell r="S915">
            <v>1657.6076511175781</v>
          </cell>
          <cell r="T915">
            <v>1622.348781281504</v>
          </cell>
          <cell r="U915">
            <v>1587.0750484272664</v>
          </cell>
          <cell r="V915">
            <v>1551.8014774016065</v>
          </cell>
          <cell r="W915">
            <v>1516.5430930511313</v>
          </cell>
          <cell r="X915">
            <v>1481.3149202225381</v>
          </cell>
          <cell r="Y915">
            <v>1440.8743847473047</v>
          </cell>
          <cell r="Z915">
            <v>1401.1898091614214</v>
          </cell>
          <cell r="AA915">
            <v>1362.2520523275218</v>
          </cell>
          <cell r="AB915">
            <v>1324.0519731081486</v>
          </cell>
          <cell r="AC915">
            <v>1286.5804303659243</v>
          </cell>
          <cell r="AD915">
            <v>1257.840458133481</v>
          </cell>
          <cell r="AE915">
            <v>1229.6635327190136</v>
          </cell>
          <cell r="AF915">
            <v>1202.0410914284364</v>
          </cell>
          <cell r="AG915">
            <v>1174.9645715676581</v>
          </cell>
          <cell r="AH915">
            <v>1148.4254104425868</v>
          </cell>
        </row>
        <row r="916">
          <cell r="B916" t="str">
            <v>e-hydrogen (compressed) - Energy cost including feedstock energy cost - Middle East - USD/ton fuel</v>
          </cell>
          <cell r="G916">
            <v>2004.0557863679674</v>
          </cell>
          <cell r="H916">
            <v>1913.439994141396</v>
          </cell>
          <cell r="I916">
            <v>1822.6668128960132</v>
          </cell>
          <cell r="J916">
            <v>1760.7472131571581</v>
          </cell>
          <cell r="K916">
            <v>1698.4939504098782</v>
          </cell>
          <cell r="L916">
            <v>1635.9651897318304</v>
          </cell>
          <cell r="M916">
            <v>1573.2190962007282</v>
          </cell>
          <cell r="N916">
            <v>1510.3138348942052</v>
          </cell>
          <cell r="O916">
            <v>1460.1275067135082</v>
          </cell>
          <cell r="P916">
            <v>1410.0053792603746</v>
          </cell>
          <cell r="Q916">
            <v>1359.9870273294782</v>
          </cell>
          <cell r="R916">
            <v>1310.1120257155462</v>
          </cell>
          <cell r="S916">
            <v>1260.4199492133293</v>
          </cell>
          <cell r="T916">
            <v>1230.3082459572943</v>
          </cell>
          <cell r="U916">
            <v>1200.2429586961468</v>
          </cell>
          <cell r="V916">
            <v>1170.2378432658459</v>
          </cell>
          <cell r="W916">
            <v>1140.3066555022276</v>
          </cell>
          <cell r="X916">
            <v>1110.4631512412213</v>
          </cell>
          <cell r="Y916">
            <v>1072.0767797388739</v>
          </cell>
          <cell r="Z916">
            <v>1034.4621299578357</v>
          </cell>
          <cell r="AA916">
            <v>997.60894300383222</v>
          </cell>
          <cell r="AB916">
            <v>961.50695998256094</v>
          </cell>
          <cell r="AC916">
            <v>926.14592199973754</v>
          </cell>
          <cell r="AD916">
            <v>905.45655143347608</v>
          </cell>
          <cell r="AE916">
            <v>885.17250940990675</v>
          </cell>
          <cell r="AF916">
            <v>865.287631560058</v>
          </cell>
          <cell r="AG916">
            <v>845.79575351497181</v>
          </cell>
          <cell r="AH916">
            <v>826.69071090569059</v>
          </cell>
        </row>
        <row r="917">
          <cell r="B917" t="str">
            <v>Carbon dioxide (PS) - Energy cost - Africa - USD/ton fuel</v>
          </cell>
          <cell r="G917">
            <v>26.275413118731375</v>
          </cell>
          <cell r="H917">
            <v>23.189983310546815</v>
          </cell>
          <cell r="I917">
            <v>20.104553502361433</v>
          </cell>
          <cell r="J917">
            <v>19.244441108267484</v>
          </cell>
          <cell r="K917">
            <v>18.384328714173535</v>
          </cell>
          <cell r="L917">
            <v>17.524216320079585</v>
          </cell>
          <cell r="M917">
            <v>16.664103925985433</v>
          </cell>
          <cell r="N917">
            <v>15.803991531891484</v>
          </cell>
          <cell r="O917">
            <v>15.323875694292132</v>
          </cell>
          <cell r="P917">
            <v>14.843759856692783</v>
          </cell>
          <cell r="Q917">
            <v>14.363644019093227</v>
          </cell>
          <cell r="R917">
            <v>13.883528181493876</v>
          </cell>
          <cell r="S917">
            <v>13.403412343894576</v>
          </cell>
          <cell r="T917">
            <v>13.177429708456367</v>
          </cell>
          <cell r="U917">
            <v>12.95144707301821</v>
          </cell>
          <cell r="V917">
            <v>12.725464437580001</v>
          </cell>
          <cell r="W917">
            <v>12.499481802141792</v>
          </cell>
          <cell r="X917">
            <v>12.273499166703687</v>
          </cell>
          <cell r="Y917">
            <v>12.041127742205811</v>
          </cell>
          <cell r="Z917">
            <v>11.808756317707935</v>
          </cell>
          <cell r="AA917">
            <v>11.576384893209957</v>
          </cell>
          <cell r="AB917">
            <v>11.344013468712081</v>
          </cell>
          <cell r="AC917">
            <v>11.111642044214154</v>
          </cell>
          <cell r="AD917">
            <v>10.997587925822875</v>
          </cell>
          <cell r="AE917">
            <v>10.88353380743165</v>
          </cell>
          <cell r="AF917">
            <v>10.769479689040372</v>
          </cell>
          <cell r="AG917">
            <v>10.655425570649095</v>
          </cell>
          <cell r="AH917">
            <v>10.541371452257868</v>
          </cell>
        </row>
        <row r="918">
          <cell r="B918" t="str">
            <v>Carbon dioxide (PS) - Energy cost - Americas - USD/ton fuel</v>
          </cell>
          <cell r="G918">
            <v>16.509233042895165</v>
          </cell>
          <cell r="H918">
            <v>16.167349868387682</v>
          </cell>
          <cell r="I918">
            <v>15.825466693880093</v>
          </cell>
          <cell r="J918">
            <v>15.247549879389908</v>
          </cell>
          <cell r="K918">
            <v>14.669633064899722</v>
          </cell>
          <cell r="L918">
            <v>14.091716250409537</v>
          </cell>
          <cell r="M918">
            <v>13.513799435919555</v>
          </cell>
          <cell r="N918">
            <v>12.93588262142937</v>
          </cell>
          <cell r="O918">
            <v>12.657775175266876</v>
          </cell>
          <cell r="P918">
            <v>12.379667729104382</v>
          </cell>
          <cell r="Q918">
            <v>12.101560282941888</v>
          </cell>
          <cell r="R918">
            <v>11.823452836779394</v>
          </cell>
          <cell r="S918">
            <v>11.545345390616848</v>
          </cell>
          <cell r="T918">
            <v>11.319904653939716</v>
          </cell>
          <cell r="U918">
            <v>11.094463917262585</v>
          </cell>
          <cell r="V918">
            <v>10.869023180585401</v>
          </cell>
          <cell r="W918">
            <v>10.64358244390827</v>
          </cell>
          <cell r="X918">
            <v>10.418141707231113</v>
          </cell>
          <cell r="Y918">
            <v>10.327318809695839</v>
          </cell>
          <cell r="Z918">
            <v>10.236495912160567</v>
          </cell>
          <cell r="AA918">
            <v>10.14567301462532</v>
          </cell>
          <cell r="AB918">
            <v>10.054850117090046</v>
          </cell>
          <cell r="AC918">
            <v>9.9640272195547741</v>
          </cell>
          <cell r="AD918">
            <v>9.8955077718569413</v>
          </cell>
          <cell r="AE918">
            <v>9.8269883241591351</v>
          </cell>
          <cell r="AF918">
            <v>9.7584688764613272</v>
          </cell>
          <cell r="AG918">
            <v>9.6899494287635211</v>
          </cell>
          <cell r="AH918">
            <v>9.6214299810657149</v>
          </cell>
        </row>
        <row r="919">
          <cell r="B919" t="str">
            <v>Carbon dioxide (PS) - Energy cost - Asia - USD/ton fuel</v>
          </cell>
          <cell r="G919">
            <v>29.223721120414123</v>
          </cell>
          <cell r="H919">
            <v>26.655708571576181</v>
          </cell>
          <cell r="I919">
            <v>24.087696022739465</v>
          </cell>
          <cell r="J919">
            <v>23.166571245400611</v>
          </cell>
          <cell r="K919">
            <v>22.245446468062166</v>
          </cell>
          <cell r="L919">
            <v>21.324321690723309</v>
          </cell>
          <cell r="M919">
            <v>20.403196913384456</v>
          </cell>
          <cell r="N919">
            <v>19.482072136046011</v>
          </cell>
          <cell r="O919">
            <v>18.85599362984026</v>
          </cell>
          <cell r="P919">
            <v>18.229915123634715</v>
          </cell>
          <cell r="Q919">
            <v>17.603836617429376</v>
          </cell>
          <cell r="R919">
            <v>16.977758111223832</v>
          </cell>
          <cell r="S919">
            <v>16.351679605018287</v>
          </cell>
          <cell r="T919">
            <v>16.033366123976567</v>
          </cell>
          <cell r="U919">
            <v>15.715052642934848</v>
          </cell>
          <cell r="V919">
            <v>15.396739161893231</v>
          </cell>
          <cell r="W919">
            <v>15.078425680851513</v>
          </cell>
          <cell r="X919">
            <v>14.760112199809999</v>
          </cell>
          <cell r="Y919">
            <v>14.426924532343889</v>
          </cell>
          <cell r="Z919">
            <v>14.093736864877883</v>
          </cell>
          <cell r="AA919">
            <v>13.760549197411775</v>
          </cell>
          <cell r="AB919">
            <v>13.427361529945768</v>
          </cell>
          <cell r="AC919">
            <v>13.094173862479659</v>
          </cell>
          <cell r="AD919">
            <v>12.941378414492936</v>
          </cell>
          <cell r="AE919">
            <v>12.788582966506164</v>
          </cell>
          <cell r="AF919">
            <v>12.635787518519441</v>
          </cell>
          <cell r="AG919">
            <v>12.48299207053272</v>
          </cell>
          <cell r="AH919">
            <v>12.330196622545946</v>
          </cell>
        </row>
        <row r="920">
          <cell r="B920" t="str">
            <v>Carbon dioxide (PS) - Energy cost - Europe - USD/ton fuel</v>
          </cell>
          <cell r="G920">
            <v>21.75547741099076</v>
          </cell>
          <cell r="H920">
            <v>20.817825476932196</v>
          </cell>
          <cell r="I920">
            <v>19.880173542873628</v>
          </cell>
          <cell r="J920">
            <v>19.122545113976003</v>
          </cell>
          <cell r="K920">
            <v>18.364916685078175</v>
          </cell>
          <cell r="L920">
            <v>17.607288256180549</v>
          </cell>
          <cell r="M920">
            <v>16.849659827282721</v>
          </cell>
          <cell r="N920">
            <v>16.0920313983851</v>
          </cell>
          <cell r="O920">
            <v>15.777236942932246</v>
          </cell>
          <cell r="P920">
            <v>15.4624424874797</v>
          </cell>
          <cell r="Q920">
            <v>15.147648032027053</v>
          </cell>
          <cell r="R920">
            <v>14.832853576574406</v>
          </cell>
          <cell r="S920">
            <v>14.51805912112186</v>
          </cell>
          <cell r="T920">
            <v>14.330110831027525</v>
          </cell>
          <cell r="U920">
            <v>14.142162540933242</v>
          </cell>
          <cell r="V920">
            <v>13.954214250838959</v>
          </cell>
          <cell r="W920">
            <v>13.766265960744676</v>
          </cell>
          <cell r="X920">
            <v>13.578317670650291</v>
          </cell>
          <cell r="Y920">
            <v>13.377246932322203</v>
          </cell>
          <cell r="Z920">
            <v>13.176176193994065</v>
          </cell>
          <cell r="AA920">
            <v>12.975105455665977</v>
          </cell>
          <cell r="AB920">
            <v>12.774034717337839</v>
          </cell>
          <cell r="AC920">
            <v>12.572963979009751</v>
          </cell>
          <cell r="AD920">
            <v>12.426258627419339</v>
          </cell>
          <cell r="AE920">
            <v>12.279553275828874</v>
          </cell>
          <cell r="AF920">
            <v>12.132847924238462</v>
          </cell>
          <cell r="AG920">
            <v>11.986142572648049</v>
          </cell>
          <cell r="AH920">
            <v>11.839437221057585</v>
          </cell>
        </row>
        <row r="921">
          <cell r="B921" t="str">
            <v>Carbon dioxide (PS) - Energy cost - Middle East - USD/ton fuel</v>
          </cell>
          <cell r="G921">
            <v>16.659142502923782</v>
          </cell>
          <cell r="H921">
            <v>15.924016305195346</v>
          </cell>
          <cell r="I921">
            <v>15.188890107466705</v>
          </cell>
          <cell r="J921">
            <v>14.702169207234352</v>
          </cell>
          <cell r="K921">
            <v>14.215448307001997</v>
          </cell>
          <cell r="L921">
            <v>13.728727406769645</v>
          </cell>
          <cell r="M921">
            <v>13.242006506537292</v>
          </cell>
          <cell r="N921">
            <v>12.755285606304938</v>
          </cell>
          <cell r="O921">
            <v>12.412091283913481</v>
          </cell>
          <cell r="P921">
            <v>12.068896961522126</v>
          </cell>
          <cell r="Q921">
            <v>11.725702639130668</v>
          </cell>
          <cell r="R921">
            <v>11.382508316739314</v>
          </cell>
          <cell r="S921">
            <v>11.039313994347959</v>
          </cell>
          <cell r="T921">
            <v>10.867239969797794</v>
          </cell>
          <cell r="U921">
            <v>10.695165945247629</v>
          </cell>
          <cell r="V921">
            <v>10.523091920697516</v>
          </cell>
          <cell r="W921">
            <v>10.351017896147352</v>
          </cell>
          <cell r="X921">
            <v>10.178943871597188</v>
          </cell>
          <cell r="Y921">
            <v>9.9532866742515296</v>
          </cell>
          <cell r="Z921">
            <v>9.7276294769059231</v>
          </cell>
          <cell r="AA921">
            <v>9.5019722795602668</v>
          </cell>
          <cell r="AB921">
            <v>9.2763150822146603</v>
          </cell>
          <cell r="AC921">
            <v>9.0506578848689774</v>
          </cell>
          <cell r="AD921">
            <v>8.9450432375976252</v>
          </cell>
          <cell r="AE921">
            <v>8.8394285903262979</v>
          </cell>
          <cell r="AF921">
            <v>8.7338139430549457</v>
          </cell>
          <cell r="AG921">
            <v>8.6281992957835936</v>
          </cell>
          <cell r="AH921">
            <v>8.522584648512268</v>
          </cell>
        </row>
        <row r="922">
          <cell r="B922" t="str">
            <v>e-diesel - Conversion H2 -&gt; diesel - Global - ton H2/ton diesel</v>
          </cell>
          <cell r="G922">
            <v>0.47</v>
          </cell>
          <cell r="H922">
            <v>0.47</v>
          </cell>
          <cell r="I922">
            <v>0.47</v>
          </cell>
          <cell r="J922">
            <v>0.47</v>
          </cell>
          <cell r="K922">
            <v>0.47</v>
          </cell>
          <cell r="L922">
            <v>0.47</v>
          </cell>
          <cell r="M922">
            <v>0.47</v>
          </cell>
          <cell r="N922">
            <v>0.47</v>
          </cell>
          <cell r="O922">
            <v>0.47</v>
          </cell>
          <cell r="P922">
            <v>0.47</v>
          </cell>
          <cell r="Q922">
            <v>0.47</v>
          </cell>
          <cell r="R922">
            <v>0.47</v>
          </cell>
          <cell r="S922">
            <v>0.47</v>
          </cell>
          <cell r="T922">
            <v>0.47</v>
          </cell>
          <cell r="U922">
            <v>0.47</v>
          </cell>
          <cell r="V922">
            <v>0.47</v>
          </cell>
          <cell r="W922">
            <v>0.47</v>
          </cell>
          <cell r="X922">
            <v>0.47</v>
          </cell>
          <cell r="Y922">
            <v>0.47</v>
          </cell>
          <cell r="Z922">
            <v>0.47</v>
          </cell>
          <cell r="AA922">
            <v>0.47</v>
          </cell>
          <cell r="AB922">
            <v>0.47</v>
          </cell>
          <cell r="AC922">
            <v>0.47</v>
          </cell>
          <cell r="AD922">
            <v>0.47</v>
          </cell>
          <cell r="AE922">
            <v>0.47</v>
          </cell>
          <cell r="AF922">
            <v>0.47</v>
          </cell>
          <cell r="AG922">
            <v>0.47</v>
          </cell>
          <cell r="AH922">
            <v>0.47</v>
          </cell>
        </row>
        <row r="923">
          <cell r="B923" t="str">
            <v>e-diesel - Conversion CO2 -&gt; diesel - Global - ton CO2/ton diesel</v>
          </cell>
          <cell r="G923">
            <v>3.21</v>
          </cell>
          <cell r="H923">
            <v>3.21</v>
          </cell>
          <cell r="I923">
            <v>3.21</v>
          </cell>
          <cell r="J923">
            <v>3.21</v>
          </cell>
          <cell r="K923">
            <v>3.21</v>
          </cell>
          <cell r="L923">
            <v>3.21</v>
          </cell>
          <cell r="M923">
            <v>3.21</v>
          </cell>
          <cell r="N923">
            <v>3.21</v>
          </cell>
          <cell r="O923">
            <v>3.21</v>
          </cell>
          <cell r="P923">
            <v>3.21</v>
          </cell>
          <cell r="Q923">
            <v>3.21</v>
          </cell>
          <cell r="R923">
            <v>3.21</v>
          </cell>
          <cell r="S923">
            <v>3.21</v>
          </cell>
          <cell r="T923">
            <v>3.21</v>
          </cell>
          <cell r="U923">
            <v>3.21</v>
          </cell>
          <cell r="V923">
            <v>3.21</v>
          </cell>
          <cell r="W923">
            <v>3.21</v>
          </cell>
          <cell r="X923">
            <v>3.21</v>
          </cell>
          <cell r="Y923">
            <v>3.21</v>
          </cell>
          <cell r="Z923">
            <v>3.21</v>
          </cell>
          <cell r="AA923">
            <v>3.21</v>
          </cell>
          <cell r="AB923">
            <v>3.21</v>
          </cell>
          <cell r="AC923">
            <v>3.21</v>
          </cell>
          <cell r="AD923">
            <v>3.21</v>
          </cell>
          <cell r="AE923">
            <v>3.21</v>
          </cell>
          <cell r="AF923">
            <v>3.21</v>
          </cell>
          <cell r="AG923">
            <v>3.21</v>
          </cell>
          <cell r="AH923">
            <v>3.21</v>
          </cell>
        </row>
        <row r="924">
          <cell r="B924" t="str">
            <v/>
          </cell>
        </row>
        <row r="925">
          <cell r="B925" t="str">
            <v>e-diesel (PS) - Feedstock cost including feedstock feedstock cost - Global - USD/ton fuel</v>
          </cell>
          <cell r="G925">
            <v>6.3449999999999998</v>
          </cell>
          <cell r="H925">
            <v>6.345000000000022</v>
          </cell>
          <cell r="I925">
            <v>6.345000000000022</v>
          </cell>
          <cell r="J925">
            <v>6.345000000000022</v>
          </cell>
          <cell r="K925">
            <v>6.345000000000045</v>
          </cell>
          <cell r="L925">
            <v>6.3449999999999998</v>
          </cell>
          <cell r="M925">
            <v>6.345000000000045</v>
          </cell>
          <cell r="N925">
            <v>6.3449999999999998</v>
          </cell>
          <cell r="O925">
            <v>6.3449999999999545</v>
          </cell>
          <cell r="P925">
            <v>6.345000000000022</v>
          </cell>
          <cell r="Q925">
            <v>6.3450000000000895</v>
          </cell>
          <cell r="R925">
            <v>6.345000000000045</v>
          </cell>
          <cell r="S925">
            <v>6.3450000000000895</v>
          </cell>
          <cell r="T925">
            <v>6.3450000000001125</v>
          </cell>
          <cell r="U925">
            <v>6.3450000000000566</v>
          </cell>
          <cell r="V925">
            <v>6.3450000000001685</v>
          </cell>
          <cell r="W925">
            <v>6.3450000000001125</v>
          </cell>
          <cell r="X925">
            <v>6.3449999999999545</v>
          </cell>
          <cell r="Y925">
            <v>6.3449999999999998</v>
          </cell>
          <cell r="Z925">
            <v>6.3449999999999767</v>
          </cell>
          <cell r="AA925">
            <v>6.345000000000022</v>
          </cell>
          <cell r="AB925">
            <v>6.3449999999999998</v>
          </cell>
          <cell r="AC925">
            <v>6.3449999999999998</v>
          </cell>
          <cell r="AD925">
            <v>6.3449999999999998</v>
          </cell>
          <cell r="AE925">
            <v>6.3449999999999998</v>
          </cell>
          <cell r="AF925">
            <v>6.3449999999999998</v>
          </cell>
          <cell r="AG925">
            <v>6.3449999999999998</v>
          </cell>
          <cell r="AH925">
            <v>6.3449999999999998</v>
          </cell>
        </row>
        <row r="926">
          <cell r="B926" t="str">
            <v>e-hydrogen - Feedstock cost - Global - USD/ton fuel</v>
          </cell>
          <cell r="G926">
            <v>13.5</v>
          </cell>
          <cell r="H926">
            <v>13.500000000000048</v>
          </cell>
          <cell r="I926">
            <v>13.500000000000048</v>
          </cell>
          <cell r="J926">
            <v>13.500000000000048</v>
          </cell>
          <cell r="K926">
            <v>13.500000000000096</v>
          </cell>
          <cell r="L926">
            <v>13.5</v>
          </cell>
          <cell r="M926">
            <v>13.500000000000096</v>
          </cell>
          <cell r="N926">
            <v>13.5</v>
          </cell>
          <cell r="O926">
            <v>13.499999999999904</v>
          </cell>
          <cell r="P926">
            <v>13.500000000000048</v>
          </cell>
          <cell r="Q926">
            <v>13.500000000000192</v>
          </cell>
          <cell r="R926">
            <v>13.500000000000096</v>
          </cell>
          <cell r="S926">
            <v>13.500000000000192</v>
          </cell>
          <cell r="T926">
            <v>13.50000000000024</v>
          </cell>
          <cell r="U926">
            <v>13.500000000000121</v>
          </cell>
          <cell r="V926">
            <v>13.500000000000359</v>
          </cell>
          <cell r="W926">
            <v>13.50000000000024</v>
          </cell>
          <cell r="X926">
            <v>13.499999999999904</v>
          </cell>
          <cell r="Y926">
            <v>13.5</v>
          </cell>
          <cell r="Z926">
            <v>13.499999999999952</v>
          </cell>
          <cell r="AA926">
            <v>13.500000000000048</v>
          </cell>
          <cell r="AB926">
            <v>13.5</v>
          </cell>
          <cell r="AC926">
            <v>13.5</v>
          </cell>
          <cell r="AD926">
            <v>13.5</v>
          </cell>
          <cell r="AE926">
            <v>13.5</v>
          </cell>
          <cell r="AF926">
            <v>13.5</v>
          </cell>
          <cell r="AG926">
            <v>13.5</v>
          </cell>
          <cell r="AH926">
            <v>13.5</v>
          </cell>
        </row>
        <row r="927">
          <cell r="B927" t="str">
            <v>e-diesel - Conversion H2 -&gt; diesel - Global - ton H2/ton diesel</v>
          </cell>
          <cell r="G927">
            <v>0.47</v>
          </cell>
          <cell r="H927">
            <v>0.47</v>
          </cell>
          <cell r="I927">
            <v>0.47</v>
          </cell>
          <cell r="J927">
            <v>0.47</v>
          </cell>
          <cell r="K927">
            <v>0.47</v>
          </cell>
          <cell r="L927">
            <v>0.47</v>
          </cell>
          <cell r="M927">
            <v>0.47</v>
          </cell>
          <cell r="N927">
            <v>0.47</v>
          </cell>
          <cell r="O927">
            <v>0.47</v>
          </cell>
          <cell r="P927">
            <v>0.47</v>
          </cell>
          <cell r="Q927">
            <v>0.47</v>
          </cell>
          <cell r="R927">
            <v>0.47</v>
          </cell>
          <cell r="S927">
            <v>0.47</v>
          </cell>
          <cell r="T927">
            <v>0.47</v>
          </cell>
          <cell r="U927">
            <v>0.47</v>
          </cell>
          <cell r="V927">
            <v>0.47</v>
          </cell>
          <cell r="W927">
            <v>0.47</v>
          </cell>
          <cell r="X927">
            <v>0.47</v>
          </cell>
          <cell r="Y927">
            <v>0.47</v>
          </cell>
          <cell r="Z927">
            <v>0.47</v>
          </cell>
          <cell r="AA927">
            <v>0.47</v>
          </cell>
          <cell r="AB927">
            <v>0.47</v>
          </cell>
          <cell r="AC927">
            <v>0.47</v>
          </cell>
          <cell r="AD927">
            <v>0.47</v>
          </cell>
          <cell r="AE927">
            <v>0.47</v>
          </cell>
          <cell r="AF927">
            <v>0.47</v>
          </cell>
          <cell r="AG927">
            <v>0.47</v>
          </cell>
          <cell r="AH927">
            <v>0.47</v>
          </cell>
        </row>
        <row r="929">
          <cell r="B929" t="str">
            <v>Carbon capture - Item - Region - Unit</v>
          </cell>
          <cell r="G929">
            <v>2023</v>
          </cell>
          <cell r="H929">
            <v>2024</v>
          </cell>
          <cell r="I929">
            <v>2025</v>
          </cell>
          <cell r="J929">
            <v>2026</v>
          </cell>
          <cell r="K929">
            <v>2027</v>
          </cell>
          <cell r="L929">
            <v>2028</v>
          </cell>
          <cell r="M929">
            <v>2029</v>
          </cell>
          <cell r="N929">
            <v>2030</v>
          </cell>
          <cell r="O929">
            <v>2031</v>
          </cell>
          <cell r="P929">
            <v>2032</v>
          </cell>
          <cell r="Q929">
            <v>2033</v>
          </cell>
          <cell r="R929">
            <v>2034</v>
          </cell>
          <cell r="S929">
            <v>2035</v>
          </cell>
          <cell r="T929">
            <v>2036</v>
          </cell>
          <cell r="U929">
            <v>2037</v>
          </cell>
          <cell r="V929">
            <v>2038</v>
          </cell>
          <cell r="W929">
            <v>2039</v>
          </cell>
          <cell r="X929">
            <v>2040</v>
          </cell>
          <cell r="Y929">
            <v>2041</v>
          </cell>
          <cell r="Z929">
            <v>2042</v>
          </cell>
          <cell r="AA929">
            <v>2043</v>
          </cell>
          <cell r="AB929">
            <v>2044</v>
          </cell>
          <cell r="AC929">
            <v>2045</v>
          </cell>
          <cell r="AD929">
            <v>2046</v>
          </cell>
          <cell r="AE929">
            <v>2047</v>
          </cell>
          <cell r="AF929">
            <v>2048</v>
          </cell>
          <cell r="AG929">
            <v>2049</v>
          </cell>
          <cell r="AH929">
            <v>2050</v>
          </cell>
        </row>
        <row r="930">
          <cell r="B930" t="str">
            <v>Carbon capture - Total cost - Africa - USD/ton fuel</v>
          </cell>
          <cell r="G930">
            <v>25</v>
          </cell>
          <cell r="H930">
            <v>25</v>
          </cell>
          <cell r="I930">
            <v>25</v>
          </cell>
          <cell r="J930">
            <v>25</v>
          </cell>
          <cell r="K930">
            <v>25</v>
          </cell>
          <cell r="L930">
            <v>25</v>
          </cell>
          <cell r="M930">
            <v>25</v>
          </cell>
          <cell r="N930">
            <v>25</v>
          </cell>
          <cell r="O930">
            <v>25</v>
          </cell>
          <cell r="P930">
            <v>25</v>
          </cell>
          <cell r="Q930">
            <v>25</v>
          </cell>
          <cell r="R930">
            <v>25</v>
          </cell>
          <cell r="S930">
            <v>25</v>
          </cell>
          <cell r="T930">
            <v>25</v>
          </cell>
          <cell r="U930">
            <v>25</v>
          </cell>
          <cell r="V930">
            <v>25</v>
          </cell>
          <cell r="W930">
            <v>25</v>
          </cell>
          <cell r="X930">
            <v>25</v>
          </cell>
          <cell r="Y930">
            <v>25</v>
          </cell>
          <cell r="Z930">
            <v>25</v>
          </cell>
          <cell r="AA930">
            <v>25</v>
          </cell>
          <cell r="AB930">
            <v>25</v>
          </cell>
          <cell r="AC930">
            <v>25</v>
          </cell>
          <cell r="AD930">
            <v>25</v>
          </cell>
          <cell r="AE930">
            <v>25</v>
          </cell>
          <cell r="AF930">
            <v>25</v>
          </cell>
          <cell r="AG930">
            <v>25</v>
          </cell>
          <cell r="AH930">
            <v>25</v>
          </cell>
        </row>
        <row r="931">
          <cell r="B931" t="str">
            <v>Carbon capture - Total cost - Americas - USD/ton fuel</v>
          </cell>
          <cell r="G931">
            <v>25</v>
          </cell>
          <cell r="H931">
            <v>25</v>
          </cell>
          <cell r="I931">
            <v>25</v>
          </cell>
          <cell r="J931">
            <v>25</v>
          </cell>
          <cell r="K931">
            <v>25</v>
          </cell>
          <cell r="L931">
            <v>25</v>
          </cell>
          <cell r="M931">
            <v>25</v>
          </cell>
          <cell r="N931">
            <v>25</v>
          </cell>
          <cell r="O931">
            <v>25</v>
          </cell>
          <cell r="P931">
            <v>25</v>
          </cell>
          <cell r="Q931">
            <v>25</v>
          </cell>
          <cell r="R931">
            <v>25</v>
          </cell>
          <cell r="S931">
            <v>25</v>
          </cell>
          <cell r="T931">
            <v>25</v>
          </cell>
          <cell r="U931">
            <v>25</v>
          </cell>
          <cell r="V931">
            <v>25</v>
          </cell>
          <cell r="W931">
            <v>25</v>
          </cell>
          <cell r="X931">
            <v>25</v>
          </cell>
          <cell r="Y931">
            <v>25</v>
          </cell>
          <cell r="Z931">
            <v>25</v>
          </cell>
          <cell r="AA931">
            <v>25</v>
          </cell>
          <cell r="AB931">
            <v>25</v>
          </cell>
          <cell r="AC931">
            <v>25</v>
          </cell>
          <cell r="AD931">
            <v>25</v>
          </cell>
          <cell r="AE931">
            <v>25</v>
          </cell>
          <cell r="AF931">
            <v>25</v>
          </cell>
          <cell r="AG931">
            <v>25</v>
          </cell>
          <cell r="AH931">
            <v>25</v>
          </cell>
        </row>
        <row r="932">
          <cell r="B932" t="str">
            <v>Carbon capture - Total cost - Asia - USD/ton fuel</v>
          </cell>
          <cell r="G932">
            <v>25</v>
          </cell>
          <cell r="H932">
            <v>25</v>
          </cell>
          <cell r="I932">
            <v>25</v>
          </cell>
          <cell r="J932">
            <v>25</v>
          </cell>
          <cell r="K932">
            <v>25</v>
          </cell>
          <cell r="L932">
            <v>25</v>
          </cell>
          <cell r="M932">
            <v>25</v>
          </cell>
          <cell r="N932">
            <v>25</v>
          </cell>
          <cell r="O932">
            <v>25</v>
          </cell>
          <cell r="P932">
            <v>25</v>
          </cell>
          <cell r="Q932">
            <v>25</v>
          </cell>
          <cell r="R932">
            <v>25</v>
          </cell>
          <cell r="S932">
            <v>25</v>
          </cell>
          <cell r="T932">
            <v>25</v>
          </cell>
          <cell r="U932">
            <v>25</v>
          </cell>
          <cell r="V932">
            <v>25</v>
          </cell>
          <cell r="W932">
            <v>25</v>
          </cell>
          <cell r="X932">
            <v>25</v>
          </cell>
          <cell r="Y932">
            <v>25</v>
          </cell>
          <cell r="Z932">
            <v>25</v>
          </cell>
          <cell r="AA932">
            <v>25</v>
          </cell>
          <cell r="AB932">
            <v>25</v>
          </cell>
          <cell r="AC932">
            <v>25</v>
          </cell>
          <cell r="AD932">
            <v>25</v>
          </cell>
          <cell r="AE932">
            <v>25</v>
          </cell>
          <cell r="AF932">
            <v>25</v>
          </cell>
          <cell r="AG932">
            <v>25</v>
          </cell>
          <cell r="AH932">
            <v>25</v>
          </cell>
        </row>
        <row r="933">
          <cell r="B933" t="str">
            <v>Carbon capture - Total cost - Europe - USD/ton fuel</v>
          </cell>
          <cell r="G933">
            <v>25</v>
          </cell>
          <cell r="H933">
            <v>25</v>
          </cell>
          <cell r="I933">
            <v>25</v>
          </cell>
          <cell r="J933">
            <v>25</v>
          </cell>
          <cell r="K933">
            <v>25</v>
          </cell>
          <cell r="L933">
            <v>25</v>
          </cell>
          <cell r="M933">
            <v>25</v>
          </cell>
          <cell r="N933">
            <v>25</v>
          </cell>
          <cell r="O933">
            <v>25</v>
          </cell>
          <cell r="P933">
            <v>25</v>
          </cell>
          <cell r="Q933">
            <v>25</v>
          </cell>
          <cell r="R933">
            <v>25</v>
          </cell>
          <cell r="S933">
            <v>25</v>
          </cell>
          <cell r="T933">
            <v>25</v>
          </cell>
          <cell r="U933">
            <v>25</v>
          </cell>
          <cell r="V933">
            <v>25</v>
          </cell>
          <cell r="W933">
            <v>25</v>
          </cell>
          <cell r="X933">
            <v>25</v>
          </cell>
          <cell r="Y933">
            <v>25</v>
          </cell>
          <cell r="Z933">
            <v>25</v>
          </cell>
          <cell r="AA933">
            <v>25</v>
          </cell>
          <cell r="AB933">
            <v>25</v>
          </cell>
          <cell r="AC933">
            <v>25</v>
          </cell>
          <cell r="AD933">
            <v>25</v>
          </cell>
          <cell r="AE933">
            <v>25</v>
          </cell>
          <cell r="AF933">
            <v>25</v>
          </cell>
          <cell r="AG933">
            <v>25</v>
          </cell>
          <cell r="AH933">
            <v>25</v>
          </cell>
        </row>
        <row r="934">
          <cell r="B934" t="str">
            <v>Carbon capture - Total cost - Middle East - USD/ton fuel</v>
          </cell>
          <cell r="G934">
            <v>25</v>
          </cell>
          <cell r="H934">
            <v>25</v>
          </cell>
          <cell r="I934">
            <v>25</v>
          </cell>
          <cell r="J934">
            <v>25</v>
          </cell>
          <cell r="K934">
            <v>25</v>
          </cell>
          <cell r="L934">
            <v>25</v>
          </cell>
          <cell r="M934">
            <v>25</v>
          </cell>
          <cell r="N934">
            <v>25</v>
          </cell>
          <cell r="O934">
            <v>25</v>
          </cell>
          <cell r="P934">
            <v>25</v>
          </cell>
          <cell r="Q934">
            <v>25</v>
          </cell>
          <cell r="R934">
            <v>25</v>
          </cell>
          <cell r="S934">
            <v>25</v>
          </cell>
          <cell r="T934">
            <v>25</v>
          </cell>
          <cell r="U934">
            <v>25</v>
          </cell>
          <cell r="V934">
            <v>25</v>
          </cell>
          <cell r="W934">
            <v>25</v>
          </cell>
          <cell r="X934">
            <v>25</v>
          </cell>
          <cell r="Y934">
            <v>25</v>
          </cell>
          <cell r="Z934">
            <v>25</v>
          </cell>
          <cell r="AA934">
            <v>25</v>
          </cell>
          <cell r="AB934">
            <v>25</v>
          </cell>
          <cell r="AC934">
            <v>25</v>
          </cell>
          <cell r="AD934">
            <v>25</v>
          </cell>
          <cell r="AE934">
            <v>25</v>
          </cell>
          <cell r="AF934">
            <v>25</v>
          </cell>
          <cell r="AG934">
            <v>25</v>
          </cell>
          <cell r="AH934">
            <v>25</v>
          </cell>
        </row>
        <row r="935">
          <cell r="B935" t="str">
            <v/>
          </cell>
        </row>
        <row r="936">
          <cell r="B936" t="str">
            <v>Carbon capture - CAPEX including feedstock CAPEX - Global - USD/ton fuel</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row>
        <row r="937">
          <cell r="B937" t="str">
            <v>Carbon capture - CAPEX - Global - USD/ton fuel</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row>
        <row r="938">
          <cell r="B938" t="str">
            <v/>
          </cell>
        </row>
        <row r="939">
          <cell r="B939" t="str">
            <v>Carbon capture - OPEX including feedstock OPEX - Global - USD/ton fuel</v>
          </cell>
          <cell r="G939">
            <v>25</v>
          </cell>
          <cell r="H939">
            <v>25</v>
          </cell>
          <cell r="I939">
            <v>25</v>
          </cell>
          <cell r="J939">
            <v>25</v>
          </cell>
          <cell r="K939">
            <v>25</v>
          </cell>
          <cell r="L939">
            <v>25</v>
          </cell>
          <cell r="M939">
            <v>25</v>
          </cell>
          <cell r="N939">
            <v>25</v>
          </cell>
          <cell r="O939">
            <v>25</v>
          </cell>
          <cell r="P939">
            <v>25</v>
          </cell>
          <cell r="Q939">
            <v>25</v>
          </cell>
          <cell r="R939">
            <v>25</v>
          </cell>
          <cell r="S939">
            <v>25</v>
          </cell>
          <cell r="T939">
            <v>25</v>
          </cell>
          <cell r="U939">
            <v>25</v>
          </cell>
          <cell r="V939">
            <v>25</v>
          </cell>
          <cell r="W939">
            <v>25</v>
          </cell>
          <cell r="X939">
            <v>25</v>
          </cell>
          <cell r="Y939">
            <v>25</v>
          </cell>
          <cell r="Z939">
            <v>25</v>
          </cell>
          <cell r="AA939">
            <v>25</v>
          </cell>
          <cell r="AB939">
            <v>25</v>
          </cell>
          <cell r="AC939">
            <v>25</v>
          </cell>
          <cell r="AD939">
            <v>25</v>
          </cell>
          <cell r="AE939">
            <v>25</v>
          </cell>
          <cell r="AF939">
            <v>25</v>
          </cell>
          <cell r="AG939">
            <v>25</v>
          </cell>
          <cell r="AH939">
            <v>25</v>
          </cell>
        </row>
        <row r="940">
          <cell r="B940" t="str">
            <v>Carbon capture - OPEX - Global - USD/ton fuel</v>
          </cell>
          <cell r="G940">
            <v>25</v>
          </cell>
          <cell r="H940">
            <v>25</v>
          </cell>
          <cell r="I940">
            <v>25</v>
          </cell>
          <cell r="J940">
            <v>25</v>
          </cell>
          <cell r="K940">
            <v>25</v>
          </cell>
          <cell r="L940">
            <v>25</v>
          </cell>
          <cell r="M940">
            <v>25</v>
          </cell>
          <cell r="N940">
            <v>25</v>
          </cell>
          <cell r="O940">
            <v>25</v>
          </cell>
          <cell r="P940">
            <v>25</v>
          </cell>
          <cell r="Q940">
            <v>25</v>
          </cell>
          <cell r="R940">
            <v>25</v>
          </cell>
          <cell r="S940">
            <v>25</v>
          </cell>
          <cell r="T940">
            <v>25</v>
          </cell>
          <cell r="U940">
            <v>25</v>
          </cell>
          <cell r="V940">
            <v>25</v>
          </cell>
          <cell r="W940">
            <v>25</v>
          </cell>
          <cell r="X940">
            <v>25</v>
          </cell>
          <cell r="Y940">
            <v>25</v>
          </cell>
          <cell r="Z940">
            <v>25</v>
          </cell>
          <cell r="AA940">
            <v>25</v>
          </cell>
          <cell r="AB940">
            <v>25</v>
          </cell>
          <cell r="AC940">
            <v>25</v>
          </cell>
          <cell r="AD940">
            <v>25</v>
          </cell>
          <cell r="AE940">
            <v>25</v>
          </cell>
          <cell r="AF940">
            <v>25</v>
          </cell>
          <cell r="AG940">
            <v>25</v>
          </cell>
          <cell r="AH940">
            <v>25</v>
          </cell>
        </row>
        <row r="941">
          <cell r="B941" t="str">
            <v/>
          </cell>
        </row>
        <row r="942">
          <cell r="B942" t="str">
            <v>Carbon capture - Finance cost including feedstock finance cost - Africa - USD/ton fuel</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row>
        <row r="943">
          <cell r="B943" t="str">
            <v>Carbon capture - Finance cost including feedstock finance cost - Americas - USD/ton fuel</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row>
        <row r="944">
          <cell r="B944" t="str">
            <v>Carbon capture - Finance cost including feedstock finance cost - Asia - USD/ton fuel</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row>
        <row r="945">
          <cell r="B945" t="str">
            <v>Carbon capture - Finance cost including feedstock finance cost - Europe - USD/ton fuel</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row>
        <row r="946">
          <cell r="B946" t="str">
            <v>Carbon capture - Finance cost including feedstock finance cost - Middle East - USD/ton fuel</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row>
        <row r="947">
          <cell r="B947" t="str">
            <v>Carbon capture - Finance cost - Africa - USD/ton fuel</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row>
        <row r="948">
          <cell r="B948" t="str">
            <v>Carbon capture - Finance cost - Americas - USD/ton fuel</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row>
        <row r="949">
          <cell r="B949" t="str">
            <v>Carbon capture - Finance cost - Asia - USD/ton fuel</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row>
        <row r="950">
          <cell r="B950" t="str">
            <v>Carbon capture - Finance cost - Europe - USD/ton fuel</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row>
        <row r="951">
          <cell r="B951" t="str">
            <v>Carbon capture - Finance cost - Middle East - USD/ton fuel</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row>
        <row r="952">
          <cell r="B952" t="str">
            <v/>
          </cell>
        </row>
        <row r="953">
          <cell r="B953" t="str">
            <v>Carbon capture - Energy cost including feedstock energy cost - Africa - USD/ton fuel</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row>
        <row r="954">
          <cell r="B954" t="str">
            <v>Carbon capture - Energy cost including feedstock energy cost - Americas - USD/ton fuel</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row>
        <row r="955">
          <cell r="B955" t="str">
            <v>Carbon capture - Energy cost including feedstock energy cost - Asia - USD/ton fuel</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row>
        <row r="956">
          <cell r="B956" t="str">
            <v>Carbon capture - Energy cost including feedstock energy cost - Europe - USD/ton fuel</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row>
        <row r="957">
          <cell r="B957" t="str">
            <v>Carbon capture - Energy cost including feedstock energy cost - Middle East - USD/ton fuel</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row>
        <row r="958">
          <cell r="B958" t="str">
            <v>Carbon capture - Energy cost - Africa - USD/ton fuel</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row>
        <row r="959">
          <cell r="B959" t="str">
            <v>Carbon capture - Energy cost - Americas - USD/ton fuel</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row>
        <row r="960">
          <cell r="B960" t="str">
            <v>Carbon capture - Energy cost - Asia - USD/ton fuel</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row>
        <row r="961">
          <cell r="B961" t="str">
            <v>Carbon capture - Energy cost - Europe - USD/ton fuel</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row>
        <row r="962">
          <cell r="B962" t="str">
            <v>Carbon capture - Energy cost - Middle East - USD/ton fuel</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row>
        <row r="963">
          <cell r="B963" t="str">
            <v/>
          </cell>
        </row>
        <row r="964">
          <cell r="B964" t="str">
            <v>Carbon capture - Feedstock cost including feedstock feedstock cost - Global - USD/ton fuel</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row>
        <row r="966">
          <cell r="B966" t="str">
            <v>Carbon storage - Item - Region - Unit</v>
          </cell>
          <cell r="G966">
            <v>2023</v>
          </cell>
          <cell r="H966">
            <v>2024</v>
          </cell>
          <cell r="I966">
            <v>2025</v>
          </cell>
          <cell r="J966">
            <v>2026</v>
          </cell>
          <cell r="K966">
            <v>2027</v>
          </cell>
          <cell r="L966">
            <v>2028</v>
          </cell>
          <cell r="M966">
            <v>2029</v>
          </cell>
          <cell r="N966">
            <v>2030</v>
          </cell>
          <cell r="O966">
            <v>2031</v>
          </cell>
          <cell r="P966">
            <v>2032</v>
          </cell>
          <cell r="Q966">
            <v>2033</v>
          </cell>
          <cell r="R966">
            <v>2034</v>
          </cell>
          <cell r="S966">
            <v>2035</v>
          </cell>
          <cell r="T966">
            <v>2036</v>
          </cell>
          <cell r="U966">
            <v>2037</v>
          </cell>
          <cell r="V966">
            <v>2038</v>
          </cell>
          <cell r="W966">
            <v>2039</v>
          </cell>
          <cell r="X966">
            <v>2040</v>
          </cell>
          <cell r="Y966">
            <v>2041</v>
          </cell>
          <cell r="Z966">
            <v>2042</v>
          </cell>
          <cell r="AA966">
            <v>2043</v>
          </cell>
          <cell r="AB966">
            <v>2044</v>
          </cell>
          <cell r="AC966">
            <v>2045</v>
          </cell>
          <cell r="AD966">
            <v>2046</v>
          </cell>
          <cell r="AE966">
            <v>2047</v>
          </cell>
          <cell r="AF966">
            <v>2048</v>
          </cell>
          <cell r="AG966">
            <v>2049</v>
          </cell>
          <cell r="AH966">
            <v>2050</v>
          </cell>
        </row>
        <row r="967">
          <cell r="B967" t="str">
            <v>Carbon storage - Total cost - Africa - USD/ton fuel</v>
          </cell>
          <cell r="G967">
            <v>50</v>
          </cell>
          <cell r="H967">
            <v>50</v>
          </cell>
          <cell r="I967">
            <v>50</v>
          </cell>
          <cell r="J967">
            <v>50</v>
          </cell>
          <cell r="K967">
            <v>50</v>
          </cell>
          <cell r="L967">
            <v>50</v>
          </cell>
          <cell r="M967">
            <v>50</v>
          </cell>
          <cell r="N967">
            <v>50</v>
          </cell>
          <cell r="O967">
            <v>50</v>
          </cell>
          <cell r="P967">
            <v>50</v>
          </cell>
          <cell r="Q967">
            <v>50</v>
          </cell>
          <cell r="R967">
            <v>50</v>
          </cell>
          <cell r="S967">
            <v>50</v>
          </cell>
          <cell r="T967">
            <v>50</v>
          </cell>
          <cell r="U967">
            <v>50</v>
          </cell>
          <cell r="V967">
            <v>50</v>
          </cell>
          <cell r="W967">
            <v>50</v>
          </cell>
          <cell r="X967">
            <v>50</v>
          </cell>
          <cell r="Y967">
            <v>50</v>
          </cell>
          <cell r="Z967">
            <v>50</v>
          </cell>
          <cell r="AA967">
            <v>50</v>
          </cell>
          <cell r="AB967">
            <v>50</v>
          </cell>
          <cell r="AC967">
            <v>50</v>
          </cell>
          <cell r="AD967">
            <v>50</v>
          </cell>
          <cell r="AE967">
            <v>50</v>
          </cell>
          <cell r="AF967">
            <v>50</v>
          </cell>
          <cell r="AG967">
            <v>50</v>
          </cell>
          <cell r="AH967">
            <v>50</v>
          </cell>
        </row>
        <row r="968">
          <cell r="B968" t="str">
            <v>Carbon storage - Total cost - Americas - USD/ton fuel</v>
          </cell>
          <cell r="G968">
            <v>50</v>
          </cell>
          <cell r="H968">
            <v>50</v>
          </cell>
          <cell r="I968">
            <v>50</v>
          </cell>
          <cell r="J968">
            <v>50</v>
          </cell>
          <cell r="K968">
            <v>50</v>
          </cell>
          <cell r="L968">
            <v>50</v>
          </cell>
          <cell r="M968">
            <v>50</v>
          </cell>
          <cell r="N968">
            <v>50</v>
          </cell>
          <cell r="O968">
            <v>50</v>
          </cell>
          <cell r="P968">
            <v>50</v>
          </cell>
          <cell r="Q968">
            <v>50</v>
          </cell>
          <cell r="R968">
            <v>50</v>
          </cell>
          <cell r="S968">
            <v>50</v>
          </cell>
          <cell r="T968">
            <v>50</v>
          </cell>
          <cell r="U968">
            <v>50</v>
          </cell>
          <cell r="V968">
            <v>50</v>
          </cell>
          <cell r="W968">
            <v>50</v>
          </cell>
          <cell r="X968">
            <v>50</v>
          </cell>
          <cell r="Y968">
            <v>50</v>
          </cell>
          <cell r="Z968">
            <v>50</v>
          </cell>
          <cell r="AA968">
            <v>50</v>
          </cell>
          <cell r="AB968">
            <v>50</v>
          </cell>
          <cell r="AC968">
            <v>50</v>
          </cell>
          <cell r="AD968">
            <v>50</v>
          </cell>
          <cell r="AE968">
            <v>50</v>
          </cell>
          <cell r="AF968">
            <v>50</v>
          </cell>
          <cell r="AG968">
            <v>50</v>
          </cell>
          <cell r="AH968">
            <v>50</v>
          </cell>
        </row>
        <row r="969">
          <cell r="B969" t="str">
            <v>Carbon storage - Total cost - Asia - USD/ton fuel</v>
          </cell>
          <cell r="G969">
            <v>50</v>
          </cell>
          <cell r="H969">
            <v>50</v>
          </cell>
          <cell r="I969">
            <v>50</v>
          </cell>
          <cell r="J969">
            <v>50</v>
          </cell>
          <cell r="K969">
            <v>50</v>
          </cell>
          <cell r="L969">
            <v>50</v>
          </cell>
          <cell r="M969">
            <v>50</v>
          </cell>
          <cell r="N969">
            <v>50</v>
          </cell>
          <cell r="O969">
            <v>50</v>
          </cell>
          <cell r="P969">
            <v>50</v>
          </cell>
          <cell r="Q969">
            <v>50</v>
          </cell>
          <cell r="R969">
            <v>50</v>
          </cell>
          <cell r="S969">
            <v>50</v>
          </cell>
          <cell r="T969">
            <v>50</v>
          </cell>
          <cell r="U969">
            <v>50</v>
          </cell>
          <cell r="V969">
            <v>50</v>
          </cell>
          <cell r="W969">
            <v>50</v>
          </cell>
          <cell r="X969">
            <v>50</v>
          </cell>
          <cell r="Y969">
            <v>50</v>
          </cell>
          <cell r="Z969">
            <v>50</v>
          </cell>
          <cell r="AA969">
            <v>50</v>
          </cell>
          <cell r="AB969">
            <v>50</v>
          </cell>
          <cell r="AC969">
            <v>50</v>
          </cell>
          <cell r="AD969">
            <v>50</v>
          </cell>
          <cell r="AE969">
            <v>50</v>
          </cell>
          <cell r="AF969">
            <v>50</v>
          </cell>
          <cell r="AG969">
            <v>50</v>
          </cell>
          <cell r="AH969">
            <v>50</v>
          </cell>
        </row>
        <row r="970">
          <cell r="B970" t="str">
            <v>Carbon storage - Total cost - Europe - USD/ton fuel</v>
          </cell>
          <cell r="G970">
            <v>50</v>
          </cell>
          <cell r="H970">
            <v>50</v>
          </cell>
          <cell r="I970">
            <v>50</v>
          </cell>
          <cell r="J970">
            <v>50</v>
          </cell>
          <cell r="K970">
            <v>50</v>
          </cell>
          <cell r="L970">
            <v>50</v>
          </cell>
          <cell r="M970">
            <v>50</v>
          </cell>
          <cell r="N970">
            <v>50</v>
          </cell>
          <cell r="O970">
            <v>50</v>
          </cell>
          <cell r="P970">
            <v>50</v>
          </cell>
          <cell r="Q970">
            <v>50</v>
          </cell>
          <cell r="R970">
            <v>50</v>
          </cell>
          <cell r="S970">
            <v>50</v>
          </cell>
          <cell r="T970">
            <v>50</v>
          </cell>
          <cell r="U970">
            <v>50</v>
          </cell>
          <cell r="V970">
            <v>50</v>
          </cell>
          <cell r="W970">
            <v>50</v>
          </cell>
          <cell r="X970">
            <v>50</v>
          </cell>
          <cell r="Y970">
            <v>50</v>
          </cell>
          <cell r="Z970">
            <v>50</v>
          </cell>
          <cell r="AA970">
            <v>50</v>
          </cell>
          <cell r="AB970">
            <v>50</v>
          </cell>
          <cell r="AC970">
            <v>50</v>
          </cell>
          <cell r="AD970">
            <v>50</v>
          </cell>
          <cell r="AE970">
            <v>50</v>
          </cell>
          <cell r="AF970">
            <v>50</v>
          </cell>
          <cell r="AG970">
            <v>50</v>
          </cell>
          <cell r="AH970">
            <v>50</v>
          </cell>
        </row>
        <row r="971">
          <cell r="B971" t="str">
            <v>Carbon storage - Total cost - Middle East - USD/ton fuel</v>
          </cell>
          <cell r="G971">
            <v>50</v>
          </cell>
          <cell r="H971">
            <v>50</v>
          </cell>
          <cell r="I971">
            <v>50</v>
          </cell>
          <cell r="J971">
            <v>50</v>
          </cell>
          <cell r="K971">
            <v>50</v>
          </cell>
          <cell r="L971">
            <v>50</v>
          </cell>
          <cell r="M971">
            <v>50</v>
          </cell>
          <cell r="N971">
            <v>50</v>
          </cell>
          <cell r="O971">
            <v>50</v>
          </cell>
          <cell r="P971">
            <v>50</v>
          </cell>
          <cell r="Q971">
            <v>50</v>
          </cell>
          <cell r="R971">
            <v>50</v>
          </cell>
          <cell r="S971">
            <v>50</v>
          </cell>
          <cell r="T971">
            <v>50</v>
          </cell>
          <cell r="U971">
            <v>50</v>
          </cell>
          <cell r="V971">
            <v>50</v>
          </cell>
          <cell r="W971">
            <v>50</v>
          </cell>
          <cell r="X971">
            <v>50</v>
          </cell>
          <cell r="Y971">
            <v>50</v>
          </cell>
          <cell r="Z971">
            <v>50</v>
          </cell>
          <cell r="AA971">
            <v>50</v>
          </cell>
          <cell r="AB971">
            <v>50</v>
          </cell>
          <cell r="AC971">
            <v>50</v>
          </cell>
          <cell r="AD971">
            <v>50</v>
          </cell>
          <cell r="AE971">
            <v>50</v>
          </cell>
          <cell r="AF971">
            <v>50</v>
          </cell>
          <cell r="AG971">
            <v>50</v>
          </cell>
          <cell r="AH971">
            <v>50</v>
          </cell>
        </row>
        <row r="972">
          <cell r="B972" t="str">
            <v/>
          </cell>
        </row>
        <row r="973">
          <cell r="B973" t="str">
            <v>Carbon storage - CAPEX including feedstock CAPEX - Global - USD/ton fuel</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row>
        <row r="974">
          <cell r="B974" t="str">
            <v>Carbon storage - CAPEX - Global - USD/ton fuel</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row>
        <row r="975">
          <cell r="B975" t="str">
            <v/>
          </cell>
        </row>
        <row r="976">
          <cell r="B976" t="str">
            <v>Carbon storage - OPEX including feedstock OPEX - Global - USD/ton fuel</v>
          </cell>
          <cell r="G976">
            <v>50</v>
          </cell>
          <cell r="H976">
            <v>50</v>
          </cell>
          <cell r="I976">
            <v>50</v>
          </cell>
          <cell r="J976">
            <v>50</v>
          </cell>
          <cell r="K976">
            <v>50</v>
          </cell>
          <cell r="L976">
            <v>50</v>
          </cell>
          <cell r="M976">
            <v>50</v>
          </cell>
          <cell r="N976">
            <v>50</v>
          </cell>
          <cell r="O976">
            <v>50</v>
          </cell>
          <cell r="P976">
            <v>50</v>
          </cell>
          <cell r="Q976">
            <v>50</v>
          </cell>
          <cell r="R976">
            <v>50</v>
          </cell>
          <cell r="S976">
            <v>50</v>
          </cell>
          <cell r="T976">
            <v>50</v>
          </cell>
          <cell r="U976">
            <v>50</v>
          </cell>
          <cell r="V976">
            <v>50</v>
          </cell>
          <cell r="W976">
            <v>50</v>
          </cell>
          <cell r="X976">
            <v>50</v>
          </cell>
          <cell r="Y976">
            <v>50</v>
          </cell>
          <cell r="Z976">
            <v>50</v>
          </cell>
          <cell r="AA976">
            <v>50</v>
          </cell>
          <cell r="AB976">
            <v>50</v>
          </cell>
          <cell r="AC976">
            <v>50</v>
          </cell>
          <cell r="AD976">
            <v>50</v>
          </cell>
          <cell r="AE976">
            <v>50</v>
          </cell>
          <cell r="AF976">
            <v>50</v>
          </cell>
          <cell r="AG976">
            <v>50</v>
          </cell>
          <cell r="AH976">
            <v>50</v>
          </cell>
        </row>
        <row r="977">
          <cell r="B977" t="str">
            <v>Carbon storage - OPEX - Global - USD/ton fuel</v>
          </cell>
          <cell r="G977">
            <v>50</v>
          </cell>
          <cell r="H977">
            <v>50</v>
          </cell>
          <cell r="I977">
            <v>50</v>
          </cell>
          <cell r="J977">
            <v>50</v>
          </cell>
          <cell r="K977">
            <v>50</v>
          </cell>
          <cell r="L977">
            <v>50</v>
          </cell>
          <cell r="M977">
            <v>50</v>
          </cell>
          <cell r="N977">
            <v>50</v>
          </cell>
          <cell r="O977">
            <v>50</v>
          </cell>
          <cell r="P977">
            <v>50</v>
          </cell>
          <cell r="Q977">
            <v>50</v>
          </cell>
          <cell r="R977">
            <v>50</v>
          </cell>
          <cell r="S977">
            <v>50</v>
          </cell>
          <cell r="T977">
            <v>50</v>
          </cell>
          <cell r="U977">
            <v>50</v>
          </cell>
          <cell r="V977">
            <v>50</v>
          </cell>
          <cell r="W977">
            <v>50</v>
          </cell>
          <cell r="X977">
            <v>50</v>
          </cell>
          <cell r="Y977">
            <v>50</v>
          </cell>
          <cell r="Z977">
            <v>50</v>
          </cell>
          <cell r="AA977">
            <v>50</v>
          </cell>
          <cell r="AB977">
            <v>50</v>
          </cell>
          <cell r="AC977">
            <v>50</v>
          </cell>
          <cell r="AD977">
            <v>50</v>
          </cell>
          <cell r="AE977">
            <v>50</v>
          </cell>
          <cell r="AF977">
            <v>50</v>
          </cell>
          <cell r="AG977">
            <v>50</v>
          </cell>
          <cell r="AH977">
            <v>50</v>
          </cell>
        </row>
        <row r="978">
          <cell r="B978" t="str">
            <v/>
          </cell>
        </row>
        <row r="979">
          <cell r="B979" t="str">
            <v>Carbon storage - Finance cost including feedstock finance cost - Africa - USD/ton fuel</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row>
        <row r="980">
          <cell r="B980" t="str">
            <v>Carbon storage - Finance cost including feedstock finance cost - Americas - USD/ton fuel</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row>
        <row r="981">
          <cell r="B981" t="str">
            <v>Carbon storage - Finance cost including feedstock finance cost - Asia - USD/ton fuel</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row>
        <row r="982">
          <cell r="B982" t="str">
            <v>Carbon storage - Finance cost including feedstock finance cost - Europe - USD/ton fuel</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row>
        <row r="983">
          <cell r="B983" t="str">
            <v>Carbon storage - Finance cost including feedstock finance cost - Middle East - USD/ton fuel</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row>
        <row r="984">
          <cell r="B984" t="str">
            <v>Carbon storage - Finance cost - Africa - USD/ton fuel</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row>
        <row r="985">
          <cell r="B985" t="str">
            <v>Carbon storage - Finance cost - Americas - USD/ton fuel</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row>
        <row r="986">
          <cell r="B986" t="str">
            <v>Carbon storage - Finance cost - Asia - USD/ton fuel</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row>
        <row r="987">
          <cell r="B987" t="str">
            <v>Carbon storage - Finance cost - Europe - USD/ton fuel</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row>
        <row r="988">
          <cell r="B988" t="str">
            <v>Carbon storage - Finance cost - Middle East - USD/ton fuel</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row>
        <row r="989">
          <cell r="B989" t="str">
            <v/>
          </cell>
        </row>
        <row r="990">
          <cell r="B990" t="str">
            <v>Carbon storage - Energy cost including feedstock energy cost - Africa - USD/ton fuel</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row>
        <row r="991">
          <cell r="B991" t="str">
            <v>Carbon storage - Energy cost including feedstock energy cost - Americas - USD/ton fuel</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row>
        <row r="992">
          <cell r="B992" t="str">
            <v>Carbon storage - Energy cost including feedstock energy cost - Asia - USD/ton fuel</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row>
        <row r="993">
          <cell r="B993" t="str">
            <v>Carbon storage - Energy cost including feedstock energy cost - Europe - USD/ton fuel</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row>
        <row r="994">
          <cell r="B994" t="str">
            <v>Carbon storage - Energy cost including feedstock energy cost - Middle East - USD/ton fuel</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row>
        <row r="995">
          <cell r="B995" t="str">
            <v>Carbon storage - Energy cost - Africa - USD/ton fuel</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row>
        <row r="996">
          <cell r="B996" t="str">
            <v>Carbon storage - Energy cost - Americas - USD/ton fuel</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row>
        <row r="997">
          <cell r="B997" t="str">
            <v>Carbon storage - Energy cost - Asia - USD/ton fuel</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row>
        <row r="998">
          <cell r="B998" t="str">
            <v>Carbon storage - Energy cost - Europe - USD/ton fuel</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row>
        <row r="999">
          <cell r="B999" t="str">
            <v>Carbon storage - Energy cost - Middle East - USD/ton fuel</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row>
        <row r="1000">
          <cell r="B1000" t="str">
            <v/>
          </cell>
        </row>
        <row r="1001">
          <cell r="B1001" t="str">
            <v>Carbon storage - Feedstock cost including feedstock feedstock cost - Global - USD/ton fuel</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row>
        <row r="1003">
          <cell r="B1003" t="str">
            <v>Blue ammonia (CCS) - Item - Region - Unit</v>
          </cell>
          <cell r="G1003">
            <v>2023</v>
          </cell>
          <cell r="H1003">
            <v>2024</v>
          </cell>
          <cell r="I1003">
            <v>2025</v>
          </cell>
          <cell r="J1003">
            <v>2026</v>
          </cell>
          <cell r="K1003">
            <v>2027</v>
          </cell>
          <cell r="L1003">
            <v>2028</v>
          </cell>
          <cell r="M1003">
            <v>2029</v>
          </cell>
          <cell r="N1003">
            <v>2030</v>
          </cell>
          <cell r="O1003">
            <v>2031</v>
          </cell>
          <cell r="P1003">
            <v>2032</v>
          </cell>
          <cell r="Q1003">
            <v>2033</v>
          </cell>
          <cell r="R1003">
            <v>2034</v>
          </cell>
          <cell r="S1003">
            <v>2035</v>
          </cell>
          <cell r="T1003">
            <v>2036</v>
          </cell>
          <cell r="U1003">
            <v>2037</v>
          </cell>
          <cell r="V1003">
            <v>2038</v>
          </cell>
          <cell r="W1003">
            <v>2039</v>
          </cell>
          <cell r="X1003">
            <v>2040</v>
          </cell>
          <cell r="Y1003">
            <v>2041</v>
          </cell>
          <cell r="Z1003">
            <v>2042</v>
          </cell>
          <cell r="AA1003">
            <v>2043</v>
          </cell>
          <cell r="AB1003">
            <v>2044</v>
          </cell>
          <cell r="AC1003">
            <v>2045</v>
          </cell>
          <cell r="AD1003">
            <v>2046</v>
          </cell>
          <cell r="AE1003">
            <v>2047</v>
          </cell>
          <cell r="AF1003">
            <v>2048</v>
          </cell>
          <cell r="AG1003">
            <v>2049</v>
          </cell>
          <cell r="AH1003">
            <v>2050</v>
          </cell>
        </row>
        <row r="1004">
          <cell r="B1004" t="str">
            <v>Blue ammonia (CCS) - Total cost - Africa - USD/ton fuel</v>
          </cell>
          <cell r="G1004">
            <v>985.20803360605169</v>
          </cell>
          <cell r="H1004">
            <v>859.01325653672848</v>
          </cell>
          <cell r="I1004">
            <v>732.79105342466482</v>
          </cell>
          <cell r="J1004">
            <v>701.02699918541009</v>
          </cell>
          <cell r="K1004">
            <v>669.26786861177175</v>
          </cell>
          <cell r="L1004">
            <v>637.51366170374922</v>
          </cell>
          <cell r="M1004">
            <v>605.7643784613424</v>
          </cell>
          <cell r="N1004">
            <v>574.02001888455175</v>
          </cell>
          <cell r="O1004">
            <v>572.06187197267491</v>
          </cell>
          <cell r="P1004">
            <v>570.09945736446389</v>
          </cell>
          <cell r="Q1004">
            <v>568.13277505991846</v>
          </cell>
          <cell r="R1004">
            <v>566.16182505903896</v>
          </cell>
          <cell r="S1004">
            <v>564.18660736182551</v>
          </cell>
          <cell r="T1004">
            <v>562.48745912728384</v>
          </cell>
          <cell r="U1004">
            <v>560.7863021582051</v>
          </cell>
          <cell r="V1004">
            <v>559.08313645458895</v>
          </cell>
          <cell r="W1004">
            <v>557.37796201643562</v>
          </cell>
          <cell r="X1004">
            <v>555.67077884374521</v>
          </cell>
          <cell r="Y1004">
            <v>553.95439741922894</v>
          </cell>
          <cell r="Z1004">
            <v>552.23595047093931</v>
          </cell>
          <cell r="AA1004">
            <v>550.51543799887634</v>
          </cell>
          <cell r="AB1004">
            <v>548.79286000304023</v>
          </cell>
          <cell r="AC1004">
            <v>547.06821648343055</v>
          </cell>
          <cell r="AD1004">
            <v>545.47728312198888</v>
          </cell>
          <cell r="AE1004">
            <v>543.88533594616138</v>
          </cell>
          <cell r="AF1004">
            <v>542.29237495594805</v>
          </cell>
          <cell r="AG1004">
            <v>540.69840015134912</v>
          </cell>
          <cell r="AH1004">
            <v>539.10341153236448</v>
          </cell>
        </row>
        <row r="1005">
          <cell r="B1005" t="str">
            <v>Blue ammonia (CCS) - Total cost - Americas - USD/ton fuel</v>
          </cell>
          <cell r="G1005">
            <v>503.12232892134028</v>
          </cell>
          <cell r="H1005">
            <v>484.02449179925031</v>
          </cell>
          <cell r="I1005">
            <v>464.92361571560912</v>
          </cell>
          <cell r="J1005">
            <v>457.55880786345574</v>
          </cell>
          <cell r="K1005">
            <v>450.19730826400058</v>
          </cell>
          <cell r="L1005">
            <v>442.83911691724325</v>
          </cell>
          <cell r="M1005">
            <v>435.48423382318424</v>
          </cell>
          <cell r="N1005">
            <v>428.13265898182323</v>
          </cell>
          <cell r="O1005">
            <v>429.74011354499953</v>
          </cell>
          <cell r="P1005">
            <v>431.34509604198797</v>
          </cell>
          <cell r="Q1005">
            <v>432.94760647278815</v>
          </cell>
          <cell r="R1005">
            <v>434.5476448374003</v>
          </cell>
          <cell r="S1005">
            <v>436.14521113582441</v>
          </cell>
          <cell r="T1005">
            <v>434.43840260047921</v>
          </cell>
          <cell r="U1005">
            <v>432.72959014747482</v>
          </cell>
          <cell r="V1005">
            <v>431.01877377681103</v>
          </cell>
          <cell r="W1005">
            <v>429.30595348848783</v>
          </cell>
          <cell r="X1005">
            <v>427.59112928250534</v>
          </cell>
          <cell r="Y1005">
            <v>426.02579110051107</v>
          </cell>
          <cell r="Z1005">
            <v>424.4596456038721</v>
          </cell>
          <cell r="AA1005">
            <v>422.89269279258838</v>
          </cell>
          <cell r="AB1005">
            <v>421.32493266665995</v>
          </cell>
          <cell r="AC1005">
            <v>419.75636522608659</v>
          </cell>
          <cell r="AD1005">
            <v>418.21258491863773</v>
          </cell>
          <cell r="AE1005">
            <v>416.6681955494314</v>
          </cell>
          <cell r="AF1005">
            <v>415.12319711846777</v>
          </cell>
          <cell r="AG1005">
            <v>413.57758962574678</v>
          </cell>
          <cell r="AH1005">
            <v>412.0313730712686</v>
          </cell>
        </row>
        <row r="1006">
          <cell r="B1006" t="str">
            <v>Blue ammonia (CCS) - Total cost - Asia - USD/ton fuel</v>
          </cell>
          <cell r="G1006">
            <v>963.19770975613881</v>
          </cell>
          <cell r="H1006">
            <v>857.17811239584307</v>
          </cell>
          <cell r="I1006">
            <v>751.13568825733671</v>
          </cell>
          <cell r="J1006">
            <v>702.49385841406297</v>
          </cell>
          <cell r="K1006">
            <v>653.85730149840435</v>
          </cell>
          <cell r="L1006">
            <v>605.22601751035927</v>
          </cell>
          <cell r="M1006">
            <v>556.60000644992863</v>
          </cell>
          <cell r="N1006">
            <v>507.97926831711283</v>
          </cell>
          <cell r="O1006">
            <v>505.87969900345399</v>
          </cell>
          <cell r="P1006">
            <v>503.7745645475182</v>
          </cell>
          <cell r="Q1006">
            <v>501.66386494930526</v>
          </cell>
          <cell r="R1006">
            <v>499.54760020881463</v>
          </cell>
          <cell r="S1006">
            <v>497.42577032604686</v>
          </cell>
          <cell r="T1006">
            <v>495.63787431987106</v>
          </cell>
          <cell r="U1006">
            <v>493.84714886053052</v>
          </cell>
          <cell r="V1006">
            <v>492.05359394802542</v>
          </cell>
          <cell r="W1006">
            <v>490.25720958235513</v>
          </cell>
          <cell r="X1006">
            <v>488.45799576352044</v>
          </cell>
          <cell r="Y1006">
            <v>486.63921407373107</v>
          </cell>
          <cell r="Z1006">
            <v>484.8174707157865</v>
          </cell>
          <cell r="AA1006">
            <v>482.99276568968662</v>
          </cell>
          <cell r="AB1006">
            <v>481.16509899543166</v>
          </cell>
          <cell r="AC1006">
            <v>479.33447063302123</v>
          </cell>
          <cell r="AD1006">
            <v>477.70789069609827</v>
          </cell>
          <cell r="AE1006">
            <v>476.07995257741516</v>
          </cell>
          <cell r="AF1006">
            <v>474.45065627697238</v>
          </cell>
          <cell r="AG1006">
            <v>472.82000179476961</v>
          </cell>
          <cell r="AH1006">
            <v>471.18798913080684</v>
          </cell>
        </row>
        <row r="1007">
          <cell r="B1007" t="str">
            <v>Blue ammonia (CCS) - Total cost - Europe - USD/ton fuel</v>
          </cell>
          <cell r="G1007">
            <v>980.31806582837066</v>
          </cell>
          <cell r="H1007">
            <v>856.43635512476351</v>
          </cell>
          <cell r="I1007">
            <v>732.5463097372982</v>
          </cell>
          <cell r="J1007">
            <v>700.89438934586042</v>
          </cell>
          <cell r="K1007">
            <v>669.24680595627342</v>
          </cell>
          <cell r="L1007">
            <v>637.60355956853732</v>
          </cell>
          <cell r="M1007">
            <v>605.96465018265189</v>
          </cell>
          <cell r="N1007">
            <v>574.33007779861725</v>
          </cell>
          <cell r="O1007">
            <v>572.55190510898274</v>
          </cell>
          <cell r="P1007">
            <v>570.77093424641134</v>
          </cell>
          <cell r="Q1007">
            <v>568.98716521090228</v>
          </cell>
          <cell r="R1007">
            <v>567.20059800245599</v>
          </cell>
          <cell r="S1007">
            <v>565.4112326210726</v>
          </cell>
          <cell r="T1007">
            <v>563.75899448116013</v>
          </cell>
          <cell r="U1007">
            <v>562.10508568978025</v>
          </cell>
          <cell r="V1007">
            <v>560.44950624693297</v>
          </cell>
          <cell r="W1007">
            <v>558.79225615261805</v>
          </cell>
          <cell r="X1007">
            <v>557.13333540683561</v>
          </cell>
          <cell r="Y1007">
            <v>555.45797688117318</v>
          </cell>
          <cell r="Z1007">
            <v>553.78083106005909</v>
          </cell>
          <cell r="AA1007">
            <v>552.10189794349321</v>
          </cell>
          <cell r="AB1007">
            <v>550.42117753147534</v>
          </cell>
          <cell r="AC1007">
            <v>548.73866982400591</v>
          </cell>
          <cell r="AD1007">
            <v>547.11676212266525</v>
          </cell>
          <cell r="AE1007">
            <v>545.49355037375494</v>
          </cell>
          <cell r="AF1007">
            <v>543.86903457727487</v>
          </cell>
          <cell r="AG1007">
            <v>542.24321473322516</v>
          </cell>
          <cell r="AH1007">
            <v>540.61609084160568</v>
          </cell>
        </row>
        <row r="1008">
          <cell r="B1008" t="str">
            <v>Blue ammonia (CCS) - Total cost - Middle East - USD/ton fuel</v>
          </cell>
          <cell r="G1008">
            <v>837.60451096916336</v>
          </cell>
          <cell r="H1008">
            <v>733.52015584584831</v>
          </cell>
          <cell r="I1008">
            <v>629.42926626744213</v>
          </cell>
          <cell r="J1008">
            <v>580.72549186608887</v>
          </cell>
          <cell r="K1008">
            <v>532.02450367148901</v>
          </cell>
          <cell r="L1008">
            <v>483.32630168364244</v>
          </cell>
          <cell r="M1008">
            <v>434.63088590254915</v>
          </cell>
          <cell r="N1008">
            <v>385.93825632820926</v>
          </cell>
          <cell r="O1008">
            <v>384.11455655665674</v>
          </cell>
          <cell r="P1008">
            <v>382.28780616890538</v>
          </cell>
          <cell r="Q1008">
            <v>380.45800516495478</v>
          </cell>
          <cell r="R1008">
            <v>378.62515354480536</v>
          </cell>
          <cell r="S1008">
            <v>376.78925130845698</v>
          </cell>
          <cell r="T1008">
            <v>375.13906315779468</v>
          </cell>
          <cell r="U1008">
            <v>373.48734546024764</v>
          </cell>
          <cell r="V1008">
            <v>371.83409821581569</v>
          </cell>
          <cell r="W1008">
            <v>370.17932142449877</v>
          </cell>
          <cell r="X1008">
            <v>368.52301508629699</v>
          </cell>
          <cell r="Y1008">
            <v>366.80488027075774</v>
          </cell>
          <cell r="Z1008">
            <v>365.08473961346436</v>
          </cell>
          <cell r="AA1008">
            <v>363.36259311441682</v>
          </cell>
          <cell r="AB1008">
            <v>361.63844077361512</v>
          </cell>
          <cell r="AC1008">
            <v>359.91228259105912</v>
          </cell>
          <cell r="AD1008">
            <v>358.32187406198989</v>
          </cell>
          <cell r="AE1008">
            <v>356.73052673605594</v>
          </cell>
          <cell r="AF1008">
            <v>355.13824061325738</v>
          </cell>
          <cell r="AG1008">
            <v>353.54501569359411</v>
          </cell>
          <cell r="AH1008">
            <v>351.95085197706629</v>
          </cell>
        </row>
        <row r="1009">
          <cell r="B1009" t="str">
            <v/>
          </cell>
        </row>
        <row r="1010">
          <cell r="B1010" t="str">
            <v>Blue ammonia (CCS) - CAPEX including feedstock CAPEX - Global - USD/ton fuel</v>
          </cell>
          <cell r="G1010">
            <v>51.376399999999997</v>
          </cell>
          <cell r="H1010">
            <v>49.935199999999995</v>
          </cell>
          <cell r="I1010">
            <v>48.494</v>
          </cell>
          <cell r="J1010">
            <v>46.998000000000005</v>
          </cell>
          <cell r="K1010">
            <v>45.502000000000002</v>
          </cell>
          <cell r="L1010">
            <v>44.006</v>
          </cell>
          <cell r="M1010">
            <v>42.51</v>
          </cell>
          <cell r="N1010">
            <v>41.014000000000003</v>
          </cell>
          <cell r="O1010">
            <v>40.572900000000004</v>
          </cell>
          <cell r="P1010">
            <v>40.131800000000005</v>
          </cell>
          <cell r="Q1010">
            <v>39.6907</v>
          </cell>
          <cell r="R1010">
            <v>39.249600000000001</v>
          </cell>
          <cell r="S1010">
            <v>38.808500000000002</v>
          </cell>
          <cell r="T1010">
            <v>38.367400000000004</v>
          </cell>
          <cell r="U1010">
            <v>37.926300000000005</v>
          </cell>
          <cell r="V1010">
            <v>37.485199999999999</v>
          </cell>
          <cell r="W1010">
            <v>37.0441</v>
          </cell>
          <cell r="X1010">
            <v>36.603000000000002</v>
          </cell>
          <cell r="Y1010">
            <v>36.161900000000003</v>
          </cell>
          <cell r="Z1010">
            <v>35.720800000000004</v>
          </cell>
          <cell r="AA1010">
            <v>35.279699999999998</v>
          </cell>
          <cell r="AB1010">
            <v>34.8386</v>
          </cell>
          <cell r="AC1010">
            <v>34.397500000000001</v>
          </cell>
          <cell r="AD1010">
            <v>33.956400000000002</v>
          </cell>
          <cell r="AE1010">
            <v>33.515299999999996</v>
          </cell>
          <cell r="AF1010">
            <v>33.074199999999998</v>
          </cell>
          <cell r="AG1010">
            <v>32.633099999999999</v>
          </cell>
          <cell r="AH1010">
            <v>32.192</v>
          </cell>
        </row>
        <row r="1011">
          <cell r="B1011" t="str">
            <v>Blue ammonia (CCS) - CAPEX - Global - USD/ton fuel</v>
          </cell>
          <cell r="G1011">
            <v>40.799999999999997</v>
          </cell>
          <cell r="H1011">
            <v>40.4</v>
          </cell>
          <cell r="I1011">
            <v>40</v>
          </cell>
          <cell r="J1011">
            <v>39.6</v>
          </cell>
          <cell r="K1011">
            <v>39.200000000000003</v>
          </cell>
          <cell r="L1011">
            <v>38.799999999999997</v>
          </cell>
          <cell r="M1011">
            <v>38.4</v>
          </cell>
          <cell r="N1011">
            <v>38</v>
          </cell>
          <cell r="O1011">
            <v>37.6</v>
          </cell>
          <cell r="P1011">
            <v>37.200000000000003</v>
          </cell>
          <cell r="Q1011">
            <v>36.799999999999997</v>
          </cell>
          <cell r="R1011">
            <v>36.4</v>
          </cell>
          <cell r="S1011">
            <v>36</v>
          </cell>
          <cell r="T1011">
            <v>35.6</v>
          </cell>
          <cell r="U1011">
            <v>35.200000000000003</v>
          </cell>
          <cell r="V1011">
            <v>34.799999999999997</v>
          </cell>
          <cell r="W1011">
            <v>34.4</v>
          </cell>
          <cell r="X1011">
            <v>34</v>
          </cell>
          <cell r="Y1011">
            <v>33.6</v>
          </cell>
          <cell r="Z1011">
            <v>33.200000000000003</v>
          </cell>
          <cell r="AA1011">
            <v>32.799999999999997</v>
          </cell>
          <cell r="AB1011">
            <v>32.4</v>
          </cell>
          <cell r="AC1011">
            <v>32</v>
          </cell>
          <cell r="AD1011">
            <v>31.6</v>
          </cell>
          <cell r="AE1011">
            <v>31.2</v>
          </cell>
          <cell r="AF1011">
            <v>30.8</v>
          </cell>
          <cell r="AG1011">
            <v>30.4</v>
          </cell>
          <cell r="AH1011">
            <v>30</v>
          </cell>
        </row>
        <row r="1012">
          <cell r="B1012" t="str">
            <v>Nitrogen - CAPEX - Global - USD/ton fuel</v>
          </cell>
          <cell r="G1012">
            <v>12.866666666666667</v>
          </cell>
          <cell r="H1012">
            <v>11.6</v>
          </cell>
          <cell r="I1012">
            <v>10.333333333333334</v>
          </cell>
          <cell r="J1012">
            <v>9</v>
          </cell>
          <cell r="K1012">
            <v>7.666666666666667</v>
          </cell>
          <cell r="L1012">
            <v>6.333333333333333</v>
          </cell>
          <cell r="M1012">
            <v>5</v>
          </cell>
          <cell r="N1012">
            <v>3.6666666666666665</v>
          </cell>
          <cell r="O1012">
            <v>3.6166666666666667</v>
          </cell>
          <cell r="P1012">
            <v>3.5666666666666669</v>
          </cell>
          <cell r="Q1012">
            <v>3.5166666666666666</v>
          </cell>
          <cell r="R1012">
            <v>3.4666666666666668</v>
          </cell>
          <cell r="S1012">
            <v>3.4166666666666665</v>
          </cell>
          <cell r="T1012">
            <v>3.3666666666666667</v>
          </cell>
          <cell r="U1012">
            <v>3.3166666666666669</v>
          </cell>
          <cell r="V1012">
            <v>3.2666666666666666</v>
          </cell>
          <cell r="W1012">
            <v>3.2166666666666668</v>
          </cell>
          <cell r="X1012">
            <v>3.1666666666666665</v>
          </cell>
          <cell r="Y1012">
            <v>3.1166666666666667</v>
          </cell>
          <cell r="Z1012">
            <v>3.0666666666666669</v>
          </cell>
          <cell r="AA1012">
            <v>3.0166666666666666</v>
          </cell>
          <cell r="AB1012">
            <v>2.9666666666666668</v>
          </cell>
          <cell r="AC1012">
            <v>2.9166666666666665</v>
          </cell>
          <cell r="AD1012">
            <v>2.8666666666666667</v>
          </cell>
          <cell r="AE1012">
            <v>2.8166666666666669</v>
          </cell>
          <cell r="AF1012">
            <v>2.7666666666666666</v>
          </cell>
          <cell r="AG1012">
            <v>2.7166666666666668</v>
          </cell>
          <cell r="AH1012">
            <v>2.6666666666666665</v>
          </cell>
        </row>
        <row r="1013">
          <cell r="B1013" t="str">
            <v>Carbon capture - CAPEX including feedstock CAPEX - Global - USD/ton fuel</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row>
        <row r="1014">
          <cell r="B1014" t="str">
            <v>Carbon storage - CAPEX - Global - USD/ton fuel</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row>
        <row r="1015">
          <cell r="B1015" t="str">
            <v>Blue ammonia (CCS) - Conversion N2 -&gt; NH3 - Global - ton N2/ton NH3</v>
          </cell>
          <cell r="G1015">
            <v>0.82199999999999995</v>
          </cell>
          <cell r="H1015">
            <v>0.82199999999999995</v>
          </cell>
          <cell r="I1015">
            <v>0.82199999999999995</v>
          </cell>
          <cell r="J1015">
            <v>0.82199999999999995</v>
          </cell>
          <cell r="K1015">
            <v>0.82199999999999995</v>
          </cell>
          <cell r="L1015">
            <v>0.82199999999999995</v>
          </cell>
          <cell r="M1015">
            <v>0.82199999999999995</v>
          </cell>
          <cell r="N1015">
            <v>0.82199999999999995</v>
          </cell>
          <cell r="O1015">
            <v>0.82199999999999995</v>
          </cell>
          <cell r="P1015">
            <v>0.82199999999999995</v>
          </cell>
          <cell r="Q1015">
            <v>0.82199999999999995</v>
          </cell>
          <cell r="R1015">
            <v>0.82199999999999995</v>
          </cell>
          <cell r="S1015">
            <v>0.82199999999999995</v>
          </cell>
          <cell r="T1015">
            <v>0.82199999999999995</v>
          </cell>
          <cell r="U1015">
            <v>0.82199999999999995</v>
          </cell>
          <cell r="V1015">
            <v>0.82199999999999995</v>
          </cell>
          <cell r="W1015">
            <v>0.82199999999999995</v>
          </cell>
          <cell r="X1015">
            <v>0.82199999999999995</v>
          </cell>
          <cell r="Y1015">
            <v>0.82199999999999995</v>
          </cell>
          <cell r="Z1015">
            <v>0.82199999999999995</v>
          </cell>
          <cell r="AA1015">
            <v>0.82199999999999995</v>
          </cell>
          <cell r="AB1015">
            <v>0.82199999999999995</v>
          </cell>
          <cell r="AC1015">
            <v>0.82199999999999995</v>
          </cell>
          <cell r="AD1015">
            <v>0.82199999999999995</v>
          </cell>
          <cell r="AE1015">
            <v>0.82199999999999995</v>
          </cell>
          <cell r="AF1015">
            <v>0.82199999999999995</v>
          </cell>
          <cell r="AG1015">
            <v>0.82199999999999995</v>
          </cell>
          <cell r="AH1015">
            <v>0.82199999999999995</v>
          </cell>
        </row>
        <row r="1016">
          <cell r="B1016" t="str">
            <v>Carbon capture &amp; storage (CCS) - Conversion NG -&gt; CO2 -&gt; NH3 - Global - ton CO2/ton NH3</v>
          </cell>
          <cell r="G1016">
            <v>1.8880000000000001</v>
          </cell>
          <cell r="H1016">
            <v>1.8880000000000001</v>
          </cell>
          <cell r="I1016">
            <v>1.8880000000000001</v>
          </cell>
          <cell r="J1016">
            <v>1.8880000000000001</v>
          </cell>
          <cell r="K1016">
            <v>1.8880000000000001</v>
          </cell>
          <cell r="L1016">
            <v>1.8880000000000001</v>
          </cell>
          <cell r="M1016">
            <v>1.8880000000000001</v>
          </cell>
          <cell r="N1016">
            <v>1.8880000000000001</v>
          </cell>
          <cell r="O1016">
            <v>1.8880000000000001</v>
          </cell>
          <cell r="P1016">
            <v>1.8880000000000001</v>
          </cell>
          <cell r="Q1016">
            <v>1.8880000000000001</v>
          </cell>
          <cell r="R1016">
            <v>1.8880000000000001</v>
          </cell>
          <cell r="S1016">
            <v>1.8880000000000001</v>
          </cell>
          <cell r="T1016">
            <v>1.8880000000000001</v>
          </cell>
          <cell r="U1016">
            <v>1.8880000000000001</v>
          </cell>
          <cell r="V1016">
            <v>1.8880000000000001</v>
          </cell>
          <cell r="W1016">
            <v>1.8880000000000001</v>
          </cell>
          <cell r="X1016">
            <v>1.8880000000000001</v>
          </cell>
          <cell r="Y1016">
            <v>1.8880000000000001</v>
          </cell>
          <cell r="Z1016">
            <v>1.8880000000000001</v>
          </cell>
          <cell r="AA1016">
            <v>1.8880000000000001</v>
          </cell>
          <cell r="AB1016">
            <v>1.8880000000000001</v>
          </cell>
          <cell r="AC1016">
            <v>1.8880000000000001</v>
          </cell>
          <cell r="AD1016">
            <v>1.8880000000000001</v>
          </cell>
          <cell r="AE1016">
            <v>1.8880000000000001</v>
          </cell>
          <cell r="AF1016">
            <v>1.8880000000000001</v>
          </cell>
          <cell r="AG1016">
            <v>1.8880000000000001</v>
          </cell>
          <cell r="AH1016">
            <v>1.8880000000000001</v>
          </cell>
        </row>
        <row r="1017">
          <cell r="B1017" t="str">
            <v>Carbon storage - Carbon to store - Global - ton CO2/ton NH3</v>
          </cell>
          <cell r="G1017">
            <v>1.6916480000000007</v>
          </cell>
          <cell r="H1017">
            <v>1.6954240000000003</v>
          </cell>
          <cell r="I1017">
            <v>1.6992000000000007</v>
          </cell>
          <cell r="J1017">
            <v>1.7029760000000003</v>
          </cell>
          <cell r="K1017">
            <v>1.7067520000000016</v>
          </cell>
          <cell r="L1017">
            <v>1.7105280000000012</v>
          </cell>
          <cell r="M1017">
            <v>1.7143040000000007</v>
          </cell>
          <cell r="N1017">
            <v>1.718080000000002</v>
          </cell>
          <cell r="O1017">
            <v>1.7218560000000001</v>
          </cell>
          <cell r="P1017">
            <v>1.7256319999999996</v>
          </cell>
          <cell r="Q1017">
            <v>1.7294079999999992</v>
          </cell>
          <cell r="R1017">
            <v>1.7331839999999987</v>
          </cell>
          <cell r="S1017">
            <v>1.7369600000000001</v>
          </cell>
          <cell r="T1017">
            <v>1.7407359999999996</v>
          </cell>
          <cell r="U1017">
            <v>1.7445120000000007</v>
          </cell>
          <cell r="V1017">
            <v>1.7482880000000005</v>
          </cell>
          <cell r="W1017">
            <v>1.7520640000000001</v>
          </cell>
          <cell r="X1017">
            <v>1.7558400000000005</v>
          </cell>
          <cell r="Y1017">
            <v>1.7596160000000001</v>
          </cell>
          <cell r="Z1017">
            <v>1.7633919999999996</v>
          </cell>
          <cell r="AA1017">
            <v>1.7671680000000007</v>
          </cell>
          <cell r="AB1017">
            <v>1.7709440000000005</v>
          </cell>
          <cell r="AC1017">
            <v>1.7747200000000001</v>
          </cell>
          <cell r="AD1017">
            <v>1.7784960000000012</v>
          </cell>
          <cell r="AE1017">
            <v>1.782272000000001</v>
          </cell>
          <cell r="AF1017">
            <v>1.7860480000000005</v>
          </cell>
          <cell r="AG1017">
            <v>1.7898240000000001</v>
          </cell>
          <cell r="AH1017">
            <v>1.7935999999999996</v>
          </cell>
        </row>
        <row r="1018">
          <cell r="B1018" t="str">
            <v/>
          </cell>
        </row>
        <row r="1019">
          <cell r="B1019" t="str">
            <v>Blue ammonia (CCS) - OPEX including feedstock OPEX - Global - USD/ton fuel</v>
          </cell>
          <cell r="G1019">
            <v>193.43408000000005</v>
          </cell>
          <cell r="H1019">
            <v>191.89344</v>
          </cell>
          <cell r="I1019">
            <v>190.35280000000003</v>
          </cell>
          <cell r="J1019">
            <v>188.74639999999999</v>
          </cell>
          <cell r="K1019">
            <v>187.1400000000001</v>
          </cell>
          <cell r="L1019">
            <v>185.53360000000006</v>
          </cell>
          <cell r="M1019">
            <v>183.92720000000003</v>
          </cell>
          <cell r="N1019">
            <v>182.32080000000008</v>
          </cell>
          <cell r="O1019">
            <v>181.98027999999999</v>
          </cell>
          <cell r="P1019">
            <v>181.63975999999997</v>
          </cell>
          <cell r="Q1019">
            <v>181.29923999999997</v>
          </cell>
          <cell r="R1019">
            <v>180.95871999999994</v>
          </cell>
          <cell r="S1019">
            <v>180.6182</v>
          </cell>
          <cell r="T1019">
            <v>180.27767999999998</v>
          </cell>
          <cell r="U1019">
            <v>179.93716000000006</v>
          </cell>
          <cell r="V1019">
            <v>179.59664000000004</v>
          </cell>
          <cell r="W1019">
            <v>179.25612000000001</v>
          </cell>
          <cell r="X1019">
            <v>178.91560000000004</v>
          </cell>
          <cell r="Y1019">
            <v>178.57508000000001</v>
          </cell>
          <cell r="Z1019">
            <v>178.23455999999999</v>
          </cell>
          <cell r="AA1019">
            <v>177.89404000000002</v>
          </cell>
          <cell r="AB1019">
            <v>177.55352000000005</v>
          </cell>
          <cell r="AC1019">
            <v>177.21300000000002</v>
          </cell>
          <cell r="AD1019">
            <v>176.87248000000005</v>
          </cell>
          <cell r="AE1019">
            <v>176.53196000000005</v>
          </cell>
          <cell r="AF1019">
            <v>176.19144</v>
          </cell>
          <cell r="AG1019">
            <v>175.85092000000003</v>
          </cell>
          <cell r="AH1019">
            <v>175.51039999999998</v>
          </cell>
        </row>
        <row r="1020">
          <cell r="B1020" t="str">
            <v>Blue ammonia (CCS) - OPEX - Global - USD/ton fuel</v>
          </cell>
          <cell r="G1020">
            <v>48.96</v>
          </cell>
          <cell r="H1020">
            <v>48.480000000000004</v>
          </cell>
          <cell r="I1020">
            <v>48</v>
          </cell>
          <cell r="J1020">
            <v>47.52</v>
          </cell>
          <cell r="K1020">
            <v>47.04</v>
          </cell>
          <cell r="L1020">
            <v>46.56</v>
          </cell>
          <cell r="M1020">
            <v>46.08</v>
          </cell>
          <cell r="N1020">
            <v>45.6</v>
          </cell>
          <cell r="O1020">
            <v>45.12</v>
          </cell>
          <cell r="P1020">
            <v>44.64</v>
          </cell>
          <cell r="Q1020">
            <v>44.160000000000004</v>
          </cell>
          <cell r="R1020">
            <v>43.68</v>
          </cell>
          <cell r="S1020">
            <v>43.2</v>
          </cell>
          <cell r="T1020">
            <v>42.72</v>
          </cell>
          <cell r="U1020">
            <v>42.24</v>
          </cell>
          <cell r="V1020">
            <v>41.76</v>
          </cell>
          <cell r="W1020">
            <v>41.28</v>
          </cell>
          <cell r="X1020">
            <v>40.800000000000004</v>
          </cell>
          <cell r="Y1020">
            <v>40.32</v>
          </cell>
          <cell r="Z1020">
            <v>39.840000000000003</v>
          </cell>
          <cell r="AA1020">
            <v>39.36</v>
          </cell>
          <cell r="AB1020">
            <v>38.880000000000003</v>
          </cell>
          <cell r="AC1020">
            <v>38.4</v>
          </cell>
          <cell r="AD1020">
            <v>37.92</v>
          </cell>
          <cell r="AE1020">
            <v>37.44</v>
          </cell>
          <cell r="AF1020">
            <v>36.96</v>
          </cell>
          <cell r="AG1020">
            <v>36.480000000000004</v>
          </cell>
          <cell r="AH1020">
            <v>36</v>
          </cell>
        </row>
        <row r="1021">
          <cell r="B1021" t="str">
            <v>Nitrogen - OPEX - Global - USD/ton fuel</v>
          </cell>
          <cell r="G1021">
            <v>15.44</v>
          </cell>
          <cell r="H1021">
            <v>13.92</v>
          </cell>
          <cell r="I1021">
            <v>12.4</v>
          </cell>
          <cell r="J1021">
            <v>10.8</v>
          </cell>
          <cell r="K1021">
            <v>9.2000000000000011</v>
          </cell>
          <cell r="L1021">
            <v>7.6000000000000005</v>
          </cell>
          <cell r="M1021">
            <v>6</v>
          </cell>
          <cell r="N1021">
            <v>4.4000000000000004</v>
          </cell>
          <cell r="O1021">
            <v>4.34</v>
          </cell>
          <cell r="P1021">
            <v>4.28</v>
          </cell>
          <cell r="Q1021">
            <v>4.22</v>
          </cell>
          <cell r="R1021">
            <v>4.16</v>
          </cell>
          <cell r="S1021">
            <v>4.0999999999999996</v>
          </cell>
          <cell r="T1021">
            <v>4.04</v>
          </cell>
          <cell r="U1021">
            <v>3.98</v>
          </cell>
          <cell r="V1021">
            <v>3.92</v>
          </cell>
          <cell r="W1021">
            <v>3.86</v>
          </cell>
          <cell r="X1021">
            <v>3.8000000000000003</v>
          </cell>
          <cell r="Y1021">
            <v>3.74</v>
          </cell>
          <cell r="Z1021">
            <v>3.68</v>
          </cell>
          <cell r="AA1021">
            <v>3.62</v>
          </cell>
          <cell r="AB1021">
            <v>3.56</v>
          </cell>
          <cell r="AC1021">
            <v>3.5</v>
          </cell>
          <cell r="AD1021">
            <v>3.44</v>
          </cell>
          <cell r="AE1021">
            <v>3.38</v>
          </cell>
          <cell r="AF1021">
            <v>3.3200000000000003</v>
          </cell>
          <cell r="AG1021">
            <v>3.2600000000000002</v>
          </cell>
          <cell r="AH1021">
            <v>3.2</v>
          </cell>
        </row>
        <row r="1022">
          <cell r="B1022" t="str">
            <v>Carbon capture - OPEX including feedstock OPEX - Global - USD/ton fuel</v>
          </cell>
          <cell r="G1022">
            <v>25</v>
          </cell>
          <cell r="H1022">
            <v>25</v>
          </cell>
          <cell r="I1022">
            <v>25</v>
          </cell>
          <cell r="J1022">
            <v>25</v>
          </cell>
          <cell r="K1022">
            <v>25</v>
          </cell>
          <cell r="L1022">
            <v>25</v>
          </cell>
          <cell r="M1022">
            <v>25</v>
          </cell>
          <cell r="N1022">
            <v>25</v>
          </cell>
          <cell r="O1022">
            <v>25</v>
          </cell>
          <cell r="P1022">
            <v>25</v>
          </cell>
          <cell r="Q1022">
            <v>25</v>
          </cell>
          <cell r="R1022">
            <v>25</v>
          </cell>
          <cell r="S1022">
            <v>25</v>
          </cell>
          <cell r="T1022">
            <v>25</v>
          </cell>
          <cell r="U1022">
            <v>25</v>
          </cell>
          <cell r="V1022">
            <v>25</v>
          </cell>
          <cell r="W1022">
            <v>25</v>
          </cell>
          <cell r="X1022">
            <v>25</v>
          </cell>
          <cell r="Y1022">
            <v>25</v>
          </cell>
          <cell r="Z1022">
            <v>25</v>
          </cell>
          <cell r="AA1022">
            <v>25</v>
          </cell>
          <cell r="AB1022">
            <v>25</v>
          </cell>
          <cell r="AC1022">
            <v>25</v>
          </cell>
          <cell r="AD1022">
            <v>25</v>
          </cell>
          <cell r="AE1022">
            <v>25</v>
          </cell>
          <cell r="AF1022">
            <v>25</v>
          </cell>
          <cell r="AG1022">
            <v>25</v>
          </cell>
          <cell r="AH1022">
            <v>25</v>
          </cell>
        </row>
        <row r="1023">
          <cell r="B1023" t="str">
            <v>Carbon storage - OPEX - Global - USD/ton fuel</v>
          </cell>
          <cell r="G1023">
            <v>50</v>
          </cell>
          <cell r="H1023">
            <v>50</v>
          </cell>
          <cell r="I1023">
            <v>50</v>
          </cell>
          <cell r="J1023">
            <v>50</v>
          </cell>
          <cell r="K1023">
            <v>50</v>
          </cell>
          <cell r="L1023">
            <v>50</v>
          </cell>
          <cell r="M1023">
            <v>50</v>
          </cell>
          <cell r="N1023">
            <v>50</v>
          </cell>
          <cell r="O1023">
            <v>50</v>
          </cell>
          <cell r="P1023">
            <v>50</v>
          </cell>
          <cell r="Q1023">
            <v>50</v>
          </cell>
          <cell r="R1023">
            <v>50</v>
          </cell>
          <cell r="S1023">
            <v>50</v>
          </cell>
          <cell r="T1023">
            <v>50</v>
          </cell>
          <cell r="U1023">
            <v>50</v>
          </cell>
          <cell r="V1023">
            <v>50</v>
          </cell>
          <cell r="W1023">
            <v>50</v>
          </cell>
          <cell r="X1023">
            <v>50</v>
          </cell>
          <cell r="Y1023">
            <v>50</v>
          </cell>
          <cell r="Z1023">
            <v>50</v>
          </cell>
          <cell r="AA1023">
            <v>50</v>
          </cell>
          <cell r="AB1023">
            <v>50</v>
          </cell>
          <cell r="AC1023">
            <v>50</v>
          </cell>
          <cell r="AD1023">
            <v>50</v>
          </cell>
          <cell r="AE1023">
            <v>50</v>
          </cell>
          <cell r="AF1023">
            <v>50</v>
          </cell>
          <cell r="AG1023">
            <v>50</v>
          </cell>
          <cell r="AH1023">
            <v>50</v>
          </cell>
        </row>
        <row r="1024">
          <cell r="B1024" t="str">
            <v>Blue ammonia (CCS) - Conversion N2 -&gt; NH3 - Global - ton N2/ton NH3</v>
          </cell>
          <cell r="G1024">
            <v>0.82199999999999995</v>
          </cell>
          <cell r="H1024">
            <v>0.82199999999999995</v>
          </cell>
          <cell r="I1024">
            <v>0.82199999999999995</v>
          </cell>
          <cell r="J1024">
            <v>0.82199999999999995</v>
          </cell>
          <cell r="K1024">
            <v>0.82199999999999995</v>
          </cell>
          <cell r="L1024">
            <v>0.82199999999999995</v>
          </cell>
          <cell r="M1024">
            <v>0.82199999999999995</v>
          </cell>
          <cell r="N1024">
            <v>0.82199999999999995</v>
          </cell>
          <cell r="O1024">
            <v>0.82199999999999995</v>
          </cell>
          <cell r="P1024">
            <v>0.82199999999999995</v>
          </cell>
          <cell r="Q1024">
            <v>0.82199999999999995</v>
          </cell>
          <cell r="R1024">
            <v>0.82199999999999995</v>
          </cell>
          <cell r="S1024">
            <v>0.82199999999999995</v>
          </cell>
          <cell r="T1024">
            <v>0.82199999999999995</v>
          </cell>
          <cell r="U1024">
            <v>0.82199999999999995</v>
          </cell>
          <cell r="V1024">
            <v>0.82199999999999995</v>
          </cell>
          <cell r="W1024">
            <v>0.82199999999999995</v>
          </cell>
          <cell r="X1024">
            <v>0.82199999999999995</v>
          </cell>
          <cell r="Y1024">
            <v>0.82199999999999995</v>
          </cell>
          <cell r="Z1024">
            <v>0.82199999999999995</v>
          </cell>
          <cell r="AA1024">
            <v>0.82199999999999995</v>
          </cell>
          <cell r="AB1024">
            <v>0.82199999999999995</v>
          </cell>
          <cell r="AC1024">
            <v>0.82199999999999995</v>
          </cell>
          <cell r="AD1024">
            <v>0.82199999999999995</v>
          </cell>
          <cell r="AE1024">
            <v>0.82199999999999995</v>
          </cell>
          <cell r="AF1024">
            <v>0.82199999999999995</v>
          </cell>
          <cell r="AG1024">
            <v>0.82199999999999995</v>
          </cell>
          <cell r="AH1024">
            <v>0.82199999999999995</v>
          </cell>
        </row>
        <row r="1025">
          <cell r="B1025" t="str">
            <v>Carbon capture &amp; storage (CCS) - Conversion NG -&gt; CO2 -&gt; NH3 - Global - ton CO2/ton NH3</v>
          </cell>
          <cell r="G1025">
            <v>1.8880000000000001</v>
          </cell>
          <cell r="H1025">
            <v>1.8880000000000001</v>
          </cell>
          <cell r="I1025">
            <v>1.8880000000000001</v>
          </cell>
          <cell r="J1025">
            <v>1.8880000000000001</v>
          </cell>
          <cell r="K1025">
            <v>1.8880000000000001</v>
          </cell>
          <cell r="L1025">
            <v>1.8880000000000001</v>
          </cell>
          <cell r="M1025">
            <v>1.8880000000000001</v>
          </cell>
          <cell r="N1025">
            <v>1.8880000000000001</v>
          </cell>
          <cell r="O1025">
            <v>1.8880000000000001</v>
          </cell>
          <cell r="P1025">
            <v>1.8880000000000001</v>
          </cell>
          <cell r="Q1025">
            <v>1.8880000000000001</v>
          </cell>
          <cell r="R1025">
            <v>1.8880000000000001</v>
          </cell>
          <cell r="S1025">
            <v>1.8880000000000001</v>
          </cell>
          <cell r="T1025">
            <v>1.8880000000000001</v>
          </cell>
          <cell r="U1025">
            <v>1.8880000000000001</v>
          </cell>
          <cell r="V1025">
            <v>1.8880000000000001</v>
          </cell>
          <cell r="W1025">
            <v>1.8880000000000001</v>
          </cell>
          <cell r="X1025">
            <v>1.8880000000000001</v>
          </cell>
          <cell r="Y1025">
            <v>1.8880000000000001</v>
          </cell>
          <cell r="Z1025">
            <v>1.8880000000000001</v>
          </cell>
          <cell r="AA1025">
            <v>1.8880000000000001</v>
          </cell>
          <cell r="AB1025">
            <v>1.8880000000000001</v>
          </cell>
          <cell r="AC1025">
            <v>1.8880000000000001</v>
          </cell>
          <cell r="AD1025">
            <v>1.8880000000000001</v>
          </cell>
          <cell r="AE1025">
            <v>1.8880000000000001</v>
          </cell>
          <cell r="AF1025">
            <v>1.8880000000000001</v>
          </cell>
          <cell r="AG1025">
            <v>1.8880000000000001</v>
          </cell>
          <cell r="AH1025">
            <v>1.8880000000000001</v>
          </cell>
        </row>
        <row r="1026">
          <cell r="B1026" t="str">
            <v>Carbon storage - Carbon to store - Global - ton CO2/ton NH3</v>
          </cell>
          <cell r="G1026">
            <v>1.6916480000000007</v>
          </cell>
          <cell r="H1026">
            <v>1.6954240000000003</v>
          </cell>
          <cell r="I1026">
            <v>1.6992000000000007</v>
          </cell>
          <cell r="J1026">
            <v>1.7029760000000003</v>
          </cell>
          <cell r="K1026">
            <v>1.7067520000000016</v>
          </cell>
          <cell r="L1026">
            <v>1.7105280000000012</v>
          </cell>
          <cell r="M1026">
            <v>1.7143040000000007</v>
          </cell>
          <cell r="N1026">
            <v>1.718080000000002</v>
          </cell>
          <cell r="O1026">
            <v>1.7218560000000001</v>
          </cell>
          <cell r="P1026">
            <v>1.7256319999999996</v>
          </cell>
          <cell r="Q1026">
            <v>1.7294079999999992</v>
          </cell>
          <cell r="R1026">
            <v>1.7331839999999987</v>
          </cell>
          <cell r="S1026">
            <v>1.7369600000000001</v>
          </cell>
          <cell r="T1026">
            <v>1.7407359999999996</v>
          </cell>
          <cell r="U1026">
            <v>1.7445120000000007</v>
          </cell>
          <cell r="V1026">
            <v>1.7482880000000005</v>
          </cell>
          <cell r="W1026">
            <v>1.7520640000000001</v>
          </cell>
          <cell r="X1026">
            <v>1.7558400000000005</v>
          </cell>
          <cell r="Y1026">
            <v>1.7596160000000001</v>
          </cell>
          <cell r="Z1026">
            <v>1.7633919999999996</v>
          </cell>
          <cell r="AA1026">
            <v>1.7671680000000007</v>
          </cell>
          <cell r="AB1026">
            <v>1.7709440000000005</v>
          </cell>
          <cell r="AC1026">
            <v>1.7747200000000001</v>
          </cell>
          <cell r="AD1026">
            <v>1.7784960000000012</v>
          </cell>
          <cell r="AE1026">
            <v>1.782272000000001</v>
          </cell>
          <cell r="AF1026">
            <v>1.7860480000000005</v>
          </cell>
          <cell r="AG1026">
            <v>1.7898240000000001</v>
          </cell>
          <cell r="AH1026">
            <v>1.7935999999999996</v>
          </cell>
        </row>
        <row r="1027">
          <cell r="B1027" t="str">
            <v/>
          </cell>
        </row>
        <row r="1028">
          <cell r="B1028" t="str">
            <v>Blue ammonia (CCS) - Finance cost including feedstock finance cost - Africa - USD/ton fuel</v>
          </cell>
          <cell r="G1028">
            <v>84.771060000000006</v>
          </cell>
          <cell r="H1028">
            <v>82.393080000000012</v>
          </cell>
          <cell r="I1028">
            <v>80.015100000000018</v>
          </cell>
          <cell r="J1028">
            <v>77.546700000000001</v>
          </cell>
          <cell r="K1028">
            <v>75.078300000000013</v>
          </cell>
          <cell r="L1028">
            <v>72.60990000000001</v>
          </cell>
          <cell r="M1028">
            <v>70.141500000000008</v>
          </cell>
          <cell r="N1028">
            <v>67.673100000000005</v>
          </cell>
          <cell r="O1028">
            <v>66.945285000000013</v>
          </cell>
          <cell r="P1028">
            <v>66.217470000000006</v>
          </cell>
          <cell r="Q1028">
            <v>65.489654999999999</v>
          </cell>
          <cell r="R1028">
            <v>64.761840000000007</v>
          </cell>
          <cell r="S1028">
            <v>64.034025</v>
          </cell>
          <cell r="T1028">
            <v>63.306210000000007</v>
          </cell>
          <cell r="U1028">
            <v>62.578395000000008</v>
          </cell>
          <cell r="V1028">
            <v>61.850580000000008</v>
          </cell>
          <cell r="W1028">
            <v>61.122765000000008</v>
          </cell>
          <cell r="X1028">
            <v>60.394950000000009</v>
          </cell>
          <cell r="Y1028">
            <v>59.667135000000002</v>
          </cell>
          <cell r="Z1028">
            <v>58.939320000000009</v>
          </cell>
          <cell r="AA1028">
            <v>58.211505000000002</v>
          </cell>
          <cell r="AB1028">
            <v>57.48369000000001</v>
          </cell>
          <cell r="AC1028">
            <v>56.755875000000003</v>
          </cell>
          <cell r="AD1028">
            <v>56.028060000000011</v>
          </cell>
          <cell r="AE1028">
            <v>55.300245000000004</v>
          </cell>
          <cell r="AF1028">
            <v>54.572430000000004</v>
          </cell>
          <cell r="AG1028">
            <v>53.844615000000005</v>
          </cell>
          <cell r="AH1028">
            <v>53.116800000000005</v>
          </cell>
        </row>
        <row r="1029">
          <cell r="B1029" t="str">
            <v>Blue ammonia (CCS) - Finance cost including feedstock finance cost - Americas - USD/ton fuel</v>
          </cell>
          <cell r="G1029">
            <v>84.771060000000006</v>
          </cell>
          <cell r="H1029">
            <v>82.393080000000012</v>
          </cell>
          <cell r="I1029">
            <v>80.015100000000018</v>
          </cell>
          <cell r="J1029">
            <v>77.546700000000001</v>
          </cell>
          <cell r="K1029">
            <v>75.078300000000013</v>
          </cell>
          <cell r="L1029">
            <v>72.60990000000001</v>
          </cell>
          <cell r="M1029">
            <v>70.141500000000008</v>
          </cell>
          <cell r="N1029">
            <v>67.673100000000005</v>
          </cell>
          <cell r="O1029">
            <v>66.945285000000013</v>
          </cell>
          <cell r="P1029">
            <v>66.217470000000006</v>
          </cell>
          <cell r="Q1029">
            <v>65.489654999999999</v>
          </cell>
          <cell r="R1029">
            <v>64.761840000000007</v>
          </cell>
          <cell r="S1029">
            <v>64.034025</v>
          </cell>
          <cell r="T1029">
            <v>63.306210000000007</v>
          </cell>
          <cell r="U1029">
            <v>62.578395000000008</v>
          </cell>
          <cell r="V1029">
            <v>61.850580000000008</v>
          </cell>
          <cell r="W1029">
            <v>61.122765000000008</v>
          </cell>
          <cell r="X1029">
            <v>60.394950000000009</v>
          </cell>
          <cell r="Y1029">
            <v>59.667135000000002</v>
          </cell>
          <cell r="Z1029">
            <v>58.939320000000009</v>
          </cell>
          <cell r="AA1029">
            <v>58.211505000000002</v>
          </cell>
          <cell r="AB1029">
            <v>57.48369000000001</v>
          </cell>
          <cell r="AC1029">
            <v>56.755875000000003</v>
          </cell>
          <cell r="AD1029">
            <v>56.028060000000011</v>
          </cell>
          <cell r="AE1029">
            <v>55.300245000000004</v>
          </cell>
          <cell r="AF1029">
            <v>54.572430000000004</v>
          </cell>
          <cell r="AG1029">
            <v>53.844615000000005</v>
          </cell>
          <cell r="AH1029">
            <v>53.116800000000005</v>
          </cell>
        </row>
        <row r="1030">
          <cell r="B1030" t="str">
            <v>Blue ammonia (CCS) - Finance cost including feedstock finance cost - Asia - USD/ton fuel</v>
          </cell>
          <cell r="G1030">
            <v>84.771060000000006</v>
          </cell>
          <cell r="H1030">
            <v>82.393080000000012</v>
          </cell>
          <cell r="I1030">
            <v>80.015100000000018</v>
          </cell>
          <cell r="J1030">
            <v>77.546700000000001</v>
          </cell>
          <cell r="K1030">
            <v>75.078300000000013</v>
          </cell>
          <cell r="L1030">
            <v>72.60990000000001</v>
          </cell>
          <cell r="M1030">
            <v>70.141500000000008</v>
          </cell>
          <cell r="N1030">
            <v>67.673100000000005</v>
          </cell>
          <cell r="O1030">
            <v>66.945285000000013</v>
          </cell>
          <cell r="P1030">
            <v>66.217470000000006</v>
          </cell>
          <cell r="Q1030">
            <v>65.489654999999999</v>
          </cell>
          <cell r="R1030">
            <v>64.761840000000007</v>
          </cell>
          <cell r="S1030">
            <v>64.034025</v>
          </cell>
          <cell r="T1030">
            <v>63.306210000000007</v>
          </cell>
          <cell r="U1030">
            <v>62.578395000000008</v>
          </cell>
          <cell r="V1030">
            <v>61.850580000000008</v>
          </cell>
          <cell r="W1030">
            <v>61.122765000000008</v>
          </cell>
          <cell r="X1030">
            <v>60.394950000000009</v>
          </cell>
          <cell r="Y1030">
            <v>59.667135000000002</v>
          </cell>
          <cell r="Z1030">
            <v>58.939320000000009</v>
          </cell>
          <cell r="AA1030">
            <v>58.211505000000002</v>
          </cell>
          <cell r="AB1030">
            <v>57.48369000000001</v>
          </cell>
          <cell r="AC1030">
            <v>56.755875000000003</v>
          </cell>
          <cell r="AD1030">
            <v>56.028060000000011</v>
          </cell>
          <cell r="AE1030">
            <v>55.300245000000004</v>
          </cell>
          <cell r="AF1030">
            <v>54.572430000000004</v>
          </cell>
          <cell r="AG1030">
            <v>53.844615000000005</v>
          </cell>
          <cell r="AH1030">
            <v>53.116800000000005</v>
          </cell>
        </row>
        <row r="1031">
          <cell r="B1031" t="str">
            <v>Blue ammonia (CCS) - Finance cost including feedstock finance cost - Europe - USD/ton fuel</v>
          </cell>
          <cell r="G1031">
            <v>84.771060000000006</v>
          </cell>
          <cell r="H1031">
            <v>82.393080000000012</v>
          </cell>
          <cell r="I1031">
            <v>80.015100000000018</v>
          </cell>
          <cell r="J1031">
            <v>77.546700000000001</v>
          </cell>
          <cell r="K1031">
            <v>75.078300000000013</v>
          </cell>
          <cell r="L1031">
            <v>72.60990000000001</v>
          </cell>
          <cell r="M1031">
            <v>70.141500000000008</v>
          </cell>
          <cell r="N1031">
            <v>67.673100000000005</v>
          </cell>
          <cell r="O1031">
            <v>66.945285000000013</v>
          </cell>
          <cell r="P1031">
            <v>66.217470000000006</v>
          </cell>
          <cell r="Q1031">
            <v>65.489654999999999</v>
          </cell>
          <cell r="R1031">
            <v>64.761840000000007</v>
          </cell>
          <cell r="S1031">
            <v>64.034025</v>
          </cell>
          <cell r="T1031">
            <v>63.306210000000007</v>
          </cell>
          <cell r="U1031">
            <v>62.578395000000008</v>
          </cell>
          <cell r="V1031">
            <v>61.850580000000008</v>
          </cell>
          <cell r="W1031">
            <v>61.122765000000008</v>
          </cell>
          <cell r="X1031">
            <v>60.394950000000009</v>
          </cell>
          <cell r="Y1031">
            <v>59.667135000000002</v>
          </cell>
          <cell r="Z1031">
            <v>58.939320000000009</v>
          </cell>
          <cell r="AA1031">
            <v>58.211505000000002</v>
          </cell>
          <cell r="AB1031">
            <v>57.48369000000001</v>
          </cell>
          <cell r="AC1031">
            <v>56.755875000000003</v>
          </cell>
          <cell r="AD1031">
            <v>56.028060000000011</v>
          </cell>
          <cell r="AE1031">
            <v>55.300245000000004</v>
          </cell>
          <cell r="AF1031">
            <v>54.572430000000004</v>
          </cell>
          <cell r="AG1031">
            <v>53.844615000000005</v>
          </cell>
          <cell r="AH1031">
            <v>53.116800000000005</v>
          </cell>
        </row>
        <row r="1032">
          <cell r="B1032" t="str">
            <v>Blue ammonia (CCS) - Finance cost including feedstock finance cost - Middle East - USD/ton fuel</v>
          </cell>
          <cell r="G1032">
            <v>84.771060000000006</v>
          </cell>
          <cell r="H1032">
            <v>82.393080000000012</v>
          </cell>
          <cell r="I1032">
            <v>80.015100000000018</v>
          </cell>
          <cell r="J1032">
            <v>77.546700000000001</v>
          </cell>
          <cell r="K1032">
            <v>75.078300000000013</v>
          </cell>
          <cell r="L1032">
            <v>72.60990000000001</v>
          </cell>
          <cell r="M1032">
            <v>70.141500000000008</v>
          </cell>
          <cell r="N1032">
            <v>67.673100000000005</v>
          </cell>
          <cell r="O1032">
            <v>66.945285000000013</v>
          </cell>
          <cell r="P1032">
            <v>66.217470000000006</v>
          </cell>
          <cell r="Q1032">
            <v>65.489654999999999</v>
          </cell>
          <cell r="R1032">
            <v>64.761840000000007</v>
          </cell>
          <cell r="S1032">
            <v>64.034025</v>
          </cell>
          <cell r="T1032">
            <v>63.306210000000007</v>
          </cell>
          <cell r="U1032">
            <v>62.578395000000008</v>
          </cell>
          <cell r="V1032">
            <v>61.850580000000008</v>
          </cell>
          <cell r="W1032">
            <v>61.122765000000008</v>
          </cell>
          <cell r="X1032">
            <v>60.394950000000009</v>
          </cell>
          <cell r="Y1032">
            <v>59.667135000000002</v>
          </cell>
          <cell r="Z1032">
            <v>58.939320000000009</v>
          </cell>
          <cell r="AA1032">
            <v>58.211505000000002</v>
          </cell>
          <cell r="AB1032">
            <v>57.48369000000001</v>
          </cell>
          <cell r="AC1032">
            <v>56.755875000000003</v>
          </cell>
          <cell r="AD1032">
            <v>56.028060000000011</v>
          </cell>
          <cell r="AE1032">
            <v>55.300245000000004</v>
          </cell>
          <cell r="AF1032">
            <v>54.572430000000004</v>
          </cell>
          <cell r="AG1032">
            <v>53.844615000000005</v>
          </cell>
          <cell r="AH1032">
            <v>53.116800000000005</v>
          </cell>
        </row>
        <row r="1033">
          <cell r="B1033" t="str">
            <v>Blue ammonia (CCS) - Finance cost - Africa - USD/ton fuel</v>
          </cell>
          <cell r="G1033">
            <v>67.320000000000007</v>
          </cell>
          <cell r="H1033">
            <v>66.660000000000011</v>
          </cell>
          <cell r="I1033">
            <v>66.000000000000014</v>
          </cell>
          <cell r="J1033">
            <v>65.34</v>
          </cell>
          <cell r="K1033">
            <v>64.680000000000007</v>
          </cell>
          <cell r="L1033">
            <v>64.02000000000001</v>
          </cell>
          <cell r="M1033">
            <v>63.360000000000007</v>
          </cell>
          <cell r="N1033">
            <v>62.70000000000001</v>
          </cell>
          <cell r="O1033">
            <v>62.040000000000006</v>
          </cell>
          <cell r="P1033">
            <v>61.38000000000001</v>
          </cell>
          <cell r="Q1033">
            <v>60.720000000000006</v>
          </cell>
          <cell r="R1033">
            <v>60.060000000000009</v>
          </cell>
          <cell r="S1033">
            <v>59.400000000000006</v>
          </cell>
          <cell r="T1033">
            <v>58.740000000000009</v>
          </cell>
          <cell r="U1033">
            <v>58.080000000000005</v>
          </cell>
          <cell r="V1033">
            <v>57.420000000000009</v>
          </cell>
          <cell r="W1033">
            <v>56.760000000000005</v>
          </cell>
          <cell r="X1033">
            <v>56.100000000000009</v>
          </cell>
          <cell r="Y1033">
            <v>55.440000000000005</v>
          </cell>
          <cell r="Z1033">
            <v>54.780000000000008</v>
          </cell>
          <cell r="AA1033">
            <v>54.120000000000005</v>
          </cell>
          <cell r="AB1033">
            <v>53.460000000000008</v>
          </cell>
          <cell r="AC1033">
            <v>52.800000000000004</v>
          </cell>
          <cell r="AD1033">
            <v>52.140000000000008</v>
          </cell>
          <cell r="AE1033">
            <v>51.480000000000004</v>
          </cell>
          <cell r="AF1033">
            <v>50.820000000000007</v>
          </cell>
          <cell r="AG1033">
            <v>50.160000000000004</v>
          </cell>
          <cell r="AH1033">
            <v>49.500000000000007</v>
          </cell>
        </row>
        <row r="1034">
          <cell r="B1034" t="str">
            <v>Blue ammonia (CCS) - Finance cost - Americas - USD/ton fuel</v>
          </cell>
          <cell r="G1034">
            <v>67.320000000000007</v>
          </cell>
          <cell r="H1034">
            <v>66.660000000000011</v>
          </cell>
          <cell r="I1034">
            <v>66.000000000000014</v>
          </cell>
          <cell r="J1034">
            <v>65.34</v>
          </cell>
          <cell r="K1034">
            <v>64.680000000000007</v>
          </cell>
          <cell r="L1034">
            <v>64.02000000000001</v>
          </cell>
          <cell r="M1034">
            <v>63.360000000000007</v>
          </cell>
          <cell r="N1034">
            <v>62.70000000000001</v>
          </cell>
          <cell r="O1034">
            <v>62.040000000000006</v>
          </cell>
          <cell r="P1034">
            <v>61.38000000000001</v>
          </cell>
          <cell r="Q1034">
            <v>60.720000000000006</v>
          </cell>
          <cell r="R1034">
            <v>60.060000000000009</v>
          </cell>
          <cell r="S1034">
            <v>59.400000000000006</v>
          </cell>
          <cell r="T1034">
            <v>58.740000000000009</v>
          </cell>
          <cell r="U1034">
            <v>58.080000000000005</v>
          </cell>
          <cell r="V1034">
            <v>57.420000000000009</v>
          </cell>
          <cell r="W1034">
            <v>56.760000000000005</v>
          </cell>
          <cell r="X1034">
            <v>56.100000000000009</v>
          </cell>
          <cell r="Y1034">
            <v>55.440000000000005</v>
          </cell>
          <cell r="Z1034">
            <v>54.780000000000008</v>
          </cell>
          <cell r="AA1034">
            <v>54.120000000000005</v>
          </cell>
          <cell r="AB1034">
            <v>53.460000000000008</v>
          </cell>
          <cell r="AC1034">
            <v>52.800000000000004</v>
          </cell>
          <cell r="AD1034">
            <v>52.140000000000008</v>
          </cell>
          <cell r="AE1034">
            <v>51.480000000000004</v>
          </cell>
          <cell r="AF1034">
            <v>50.820000000000007</v>
          </cell>
          <cell r="AG1034">
            <v>50.160000000000004</v>
          </cell>
          <cell r="AH1034">
            <v>49.500000000000007</v>
          </cell>
        </row>
        <row r="1035">
          <cell r="B1035" t="str">
            <v>Blue ammonia (CCS) - Finance cost - Asia - USD/ton fuel</v>
          </cell>
          <cell r="G1035">
            <v>67.320000000000007</v>
          </cell>
          <cell r="H1035">
            <v>66.660000000000011</v>
          </cell>
          <cell r="I1035">
            <v>66.000000000000014</v>
          </cell>
          <cell r="J1035">
            <v>65.34</v>
          </cell>
          <cell r="K1035">
            <v>64.680000000000007</v>
          </cell>
          <cell r="L1035">
            <v>64.02000000000001</v>
          </cell>
          <cell r="M1035">
            <v>63.360000000000007</v>
          </cell>
          <cell r="N1035">
            <v>62.70000000000001</v>
          </cell>
          <cell r="O1035">
            <v>62.040000000000006</v>
          </cell>
          <cell r="P1035">
            <v>61.38000000000001</v>
          </cell>
          <cell r="Q1035">
            <v>60.720000000000006</v>
          </cell>
          <cell r="R1035">
            <v>60.060000000000009</v>
          </cell>
          <cell r="S1035">
            <v>59.400000000000006</v>
          </cell>
          <cell r="T1035">
            <v>58.740000000000009</v>
          </cell>
          <cell r="U1035">
            <v>58.080000000000005</v>
          </cell>
          <cell r="V1035">
            <v>57.420000000000009</v>
          </cell>
          <cell r="W1035">
            <v>56.760000000000005</v>
          </cell>
          <cell r="X1035">
            <v>56.100000000000009</v>
          </cell>
          <cell r="Y1035">
            <v>55.440000000000005</v>
          </cell>
          <cell r="Z1035">
            <v>54.780000000000008</v>
          </cell>
          <cell r="AA1035">
            <v>54.120000000000005</v>
          </cell>
          <cell r="AB1035">
            <v>53.460000000000008</v>
          </cell>
          <cell r="AC1035">
            <v>52.800000000000004</v>
          </cell>
          <cell r="AD1035">
            <v>52.140000000000008</v>
          </cell>
          <cell r="AE1035">
            <v>51.480000000000004</v>
          </cell>
          <cell r="AF1035">
            <v>50.820000000000007</v>
          </cell>
          <cell r="AG1035">
            <v>50.160000000000004</v>
          </cell>
          <cell r="AH1035">
            <v>49.500000000000007</v>
          </cell>
        </row>
        <row r="1036">
          <cell r="B1036" t="str">
            <v>Blue ammonia (CCS) - Finance cost - Europe - USD/ton fuel</v>
          </cell>
          <cell r="G1036">
            <v>67.320000000000007</v>
          </cell>
          <cell r="H1036">
            <v>66.660000000000011</v>
          </cell>
          <cell r="I1036">
            <v>66.000000000000014</v>
          </cell>
          <cell r="J1036">
            <v>65.34</v>
          </cell>
          <cell r="K1036">
            <v>64.680000000000007</v>
          </cell>
          <cell r="L1036">
            <v>64.02000000000001</v>
          </cell>
          <cell r="M1036">
            <v>63.360000000000007</v>
          </cell>
          <cell r="N1036">
            <v>62.70000000000001</v>
          </cell>
          <cell r="O1036">
            <v>62.040000000000006</v>
          </cell>
          <cell r="P1036">
            <v>61.38000000000001</v>
          </cell>
          <cell r="Q1036">
            <v>60.720000000000006</v>
          </cell>
          <cell r="R1036">
            <v>60.060000000000009</v>
          </cell>
          <cell r="S1036">
            <v>59.400000000000006</v>
          </cell>
          <cell r="T1036">
            <v>58.740000000000009</v>
          </cell>
          <cell r="U1036">
            <v>58.080000000000005</v>
          </cell>
          <cell r="V1036">
            <v>57.420000000000009</v>
          </cell>
          <cell r="W1036">
            <v>56.760000000000005</v>
          </cell>
          <cell r="X1036">
            <v>56.100000000000009</v>
          </cell>
          <cell r="Y1036">
            <v>55.440000000000005</v>
          </cell>
          <cell r="Z1036">
            <v>54.780000000000008</v>
          </cell>
          <cell r="AA1036">
            <v>54.120000000000005</v>
          </cell>
          <cell r="AB1036">
            <v>53.460000000000008</v>
          </cell>
          <cell r="AC1036">
            <v>52.800000000000004</v>
          </cell>
          <cell r="AD1036">
            <v>52.140000000000008</v>
          </cell>
          <cell r="AE1036">
            <v>51.480000000000004</v>
          </cell>
          <cell r="AF1036">
            <v>50.820000000000007</v>
          </cell>
          <cell r="AG1036">
            <v>50.160000000000004</v>
          </cell>
          <cell r="AH1036">
            <v>49.500000000000007</v>
          </cell>
        </row>
        <row r="1037">
          <cell r="B1037" t="str">
            <v>Blue ammonia (CCS) - Finance cost - Middle East - USD/ton fuel</v>
          </cell>
          <cell r="G1037">
            <v>67.320000000000007</v>
          </cell>
          <cell r="H1037">
            <v>66.660000000000011</v>
          </cell>
          <cell r="I1037">
            <v>66.000000000000014</v>
          </cell>
          <cell r="J1037">
            <v>65.34</v>
          </cell>
          <cell r="K1037">
            <v>64.680000000000007</v>
          </cell>
          <cell r="L1037">
            <v>64.02000000000001</v>
          </cell>
          <cell r="M1037">
            <v>63.360000000000007</v>
          </cell>
          <cell r="N1037">
            <v>62.70000000000001</v>
          </cell>
          <cell r="O1037">
            <v>62.040000000000006</v>
          </cell>
          <cell r="P1037">
            <v>61.38000000000001</v>
          </cell>
          <cell r="Q1037">
            <v>60.720000000000006</v>
          </cell>
          <cell r="R1037">
            <v>60.060000000000009</v>
          </cell>
          <cell r="S1037">
            <v>59.400000000000006</v>
          </cell>
          <cell r="T1037">
            <v>58.740000000000009</v>
          </cell>
          <cell r="U1037">
            <v>58.080000000000005</v>
          </cell>
          <cell r="V1037">
            <v>57.420000000000009</v>
          </cell>
          <cell r="W1037">
            <v>56.760000000000005</v>
          </cell>
          <cell r="X1037">
            <v>56.100000000000009</v>
          </cell>
          <cell r="Y1037">
            <v>55.440000000000005</v>
          </cell>
          <cell r="Z1037">
            <v>54.780000000000008</v>
          </cell>
          <cell r="AA1037">
            <v>54.120000000000005</v>
          </cell>
          <cell r="AB1037">
            <v>53.460000000000008</v>
          </cell>
          <cell r="AC1037">
            <v>52.800000000000004</v>
          </cell>
          <cell r="AD1037">
            <v>52.140000000000008</v>
          </cell>
          <cell r="AE1037">
            <v>51.480000000000004</v>
          </cell>
          <cell r="AF1037">
            <v>50.820000000000007</v>
          </cell>
          <cell r="AG1037">
            <v>50.160000000000004</v>
          </cell>
          <cell r="AH1037">
            <v>49.500000000000007</v>
          </cell>
        </row>
        <row r="1038">
          <cell r="B1038" t="str">
            <v>Nitrogen - Finance cost - Africa - USD/ton fuel</v>
          </cell>
          <cell r="G1038">
            <v>21.230000000000004</v>
          </cell>
          <cell r="H1038">
            <v>19.140000000000004</v>
          </cell>
          <cell r="I1038">
            <v>17.05</v>
          </cell>
          <cell r="J1038">
            <v>14.850000000000001</v>
          </cell>
          <cell r="K1038">
            <v>12.650000000000002</v>
          </cell>
          <cell r="L1038">
            <v>10.450000000000001</v>
          </cell>
          <cell r="M1038">
            <v>8.2500000000000018</v>
          </cell>
          <cell r="N1038">
            <v>6.0500000000000007</v>
          </cell>
          <cell r="O1038">
            <v>5.9675000000000011</v>
          </cell>
          <cell r="P1038">
            <v>5.8850000000000007</v>
          </cell>
          <cell r="Q1038">
            <v>5.8025000000000011</v>
          </cell>
          <cell r="R1038">
            <v>5.7200000000000006</v>
          </cell>
          <cell r="S1038">
            <v>5.6375000000000011</v>
          </cell>
          <cell r="T1038">
            <v>5.5550000000000006</v>
          </cell>
          <cell r="U1038">
            <v>5.472500000000001</v>
          </cell>
          <cell r="V1038">
            <v>5.3900000000000006</v>
          </cell>
          <cell r="W1038">
            <v>5.307500000000001</v>
          </cell>
          <cell r="X1038">
            <v>5.2250000000000005</v>
          </cell>
          <cell r="Y1038">
            <v>5.142500000000001</v>
          </cell>
          <cell r="Z1038">
            <v>5.0600000000000005</v>
          </cell>
          <cell r="AA1038">
            <v>4.9775000000000009</v>
          </cell>
          <cell r="AB1038">
            <v>4.8950000000000005</v>
          </cell>
          <cell r="AC1038">
            <v>4.8125000000000009</v>
          </cell>
          <cell r="AD1038">
            <v>4.7300000000000004</v>
          </cell>
          <cell r="AE1038">
            <v>4.6475000000000009</v>
          </cell>
          <cell r="AF1038">
            <v>4.5650000000000004</v>
          </cell>
          <cell r="AG1038">
            <v>4.4825000000000008</v>
          </cell>
          <cell r="AH1038">
            <v>4.4000000000000004</v>
          </cell>
        </row>
        <row r="1039">
          <cell r="B1039" t="str">
            <v>Nitrogen - Finance cost - Americas - USD/ton fuel</v>
          </cell>
          <cell r="G1039">
            <v>21.230000000000004</v>
          </cell>
          <cell r="H1039">
            <v>19.140000000000004</v>
          </cell>
          <cell r="I1039">
            <v>17.05</v>
          </cell>
          <cell r="J1039">
            <v>14.850000000000001</v>
          </cell>
          <cell r="K1039">
            <v>12.650000000000002</v>
          </cell>
          <cell r="L1039">
            <v>10.450000000000001</v>
          </cell>
          <cell r="M1039">
            <v>8.2500000000000018</v>
          </cell>
          <cell r="N1039">
            <v>6.0500000000000007</v>
          </cell>
          <cell r="O1039">
            <v>5.9675000000000011</v>
          </cell>
          <cell r="P1039">
            <v>5.8850000000000007</v>
          </cell>
          <cell r="Q1039">
            <v>5.8025000000000011</v>
          </cell>
          <cell r="R1039">
            <v>5.7200000000000006</v>
          </cell>
          <cell r="S1039">
            <v>5.6375000000000011</v>
          </cell>
          <cell r="T1039">
            <v>5.5550000000000006</v>
          </cell>
          <cell r="U1039">
            <v>5.472500000000001</v>
          </cell>
          <cell r="V1039">
            <v>5.3900000000000006</v>
          </cell>
          <cell r="W1039">
            <v>5.307500000000001</v>
          </cell>
          <cell r="X1039">
            <v>5.2250000000000005</v>
          </cell>
          <cell r="Y1039">
            <v>5.142500000000001</v>
          </cell>
          <cell r="Z1039">
            <v>5.0600000000000005</v>
          </cell>
          <cell r="AA1039">
            <v>4.9775000000000009</v>
          </cell>
          <cell r="AB1039">
            <v>4.8950000000000005</v>
          </cell>
          <cell r="AC1039">
            <v>4.8125000000000009</v>
          </cell>
          <cell r="AD1039">
            <v>4.7300000000000004</v>
          </cell>
          <cell r="AE1039">
            <v>4.6475000000000009</v>
          </cell>
          <cell r="AF1039">
            <v>4.5650000000000004</v>
          </cell>
          <cell r="AG1039">
            <v>4.4825000000000008</v>
          </cell>
          <cell r="AH1039">
            <v>4.4000000000000004</v>
          </cell>
        </row>
        <row r="1040">
          <cell r="B1040" t="str">
            <v>Nitrogen - Finance cost - Asia - USD/ton fuel</v>
          </cell>
          <cell r="G1040">
            <v>21.230000000000004</v>
          </cell>
          <cell r="H1040">
            <v>19.140000000000004</v>
          </cell>
          <cell r="I1040">
            <v>17.05</v>
          </cell>
          <cell r="J1040">
            <v>14.850000000000001</v>
          </cell>
          <cell r="K1040">
            <v>12.650000000000002</v>
          </cell>
          <cell r="L1040">
            <v>10.450000000000001</v>
          </cell>
          <cell r="M1040">
            <v>8.2500000000000018</v>
          </cell>
          <cell r="N1040">
            <v>6.0500000000000007</v>
          </cell>
          <cell r="O1040">
            <v>5.9675000000000011</v>
          </cell>
          <cell r="P1040">
            <v>5.8850000000000007</v>
          </cell>
          <cell r="Q1040">
            <v>5.8025000000000011</v>
          </cell>
          <cell r="R1040">
            <v>5.7200000000000006</v>
          </cell>
          <cell r="S1040">
            <v>5.6375000000000011</v>
          </cell>
          <cell r="T1040">
            <v>5.5550000000000006</v>
          </cell>
          <cell r="U1040">
            <v>5.472500000000001</v>
          </cell>
          <cell r="V1040">
            <v>5.3900000000000006</v>
          </cell>
          <cell r="W1040">
            <v>5.307500000000001</v>
          </cell>
          <cell r="X1040">
            <v>5.2250000000000005</v>
          </cell>
          <cell r="Y1040">
            <v>5.142500000000001</v>
          </cell>
          <cell r="Z1040">
            <v>5.0600000000000005</v>
          </cell>
          <cell r="AA1040">
            <v>4.9775000000000009</v>
          </cell>
          <cell r="AB1040">
            <v>4.8950000000000005</v>
          </cell>
          <cell r="AC1040">
            <v>4.8125000000000009</v>
          </cell>
          <cell r="AD1040">
            <v>4.7300000000000004</v>
          </cell>
          <cell r="AE1040">
            <v>4.6475000000000009</v>
          </cell>
          <cell r="AF1040">
            <v>4.5650000000000004</v>
          </cell>
          <cell r="AG1040">
            <v>4.4825000000000008</v>
          </cell>
          <cell r="AH1040">
            <v>4.4000000000000004</v>
          </cell>
        </row>
        <row r="1041">
          <cell r="B1041" t="str">
            <v>Nitrogen - Finance cost - Europe - USD/ton fuel</v>
          </cell>
          <cell r="G1041">
            <v>21.230000000000004</v>
          </cell>
          <cell r="H1041">
            <v>19.140000000000004</v>
          </cell>
          <cell r="I1041">
            <v>17.05</v>
          </cell>
          <cell r="J1041">
            <v>14.850000000000001</v>
          </cell>
          <cell r="K1041">
            <v>12.650000000000002</v>
          </cell>
          <cell r="L1041">
            <v>10.450000000000001</v>
          </cell>
          <cell r="M1041">
            <v>8.2500000000000018</v>
          </cell>
          <cell r="N1041">
            <v>6.0500000000000007</v>
          </cell>
          <cell r="O1041">
            <v>5.9675000000000011</v>
          </cell>
          <cell r="P1041">
            <v>5.8850000000000007</v>
          </cell>
          <cell r="Q1041">
            <v>5.8025000000000011</v>
          </cell>
          <cell r="R1041">
            <v>5.7200000000000006</v>
          </cell>
          <cell r="S1041">
            <v>5.6375000000000011</v>
          </cell>
          <cell r="T1041">
            <v>5.5550000000000006</v>
          </cell>
          <cell r="U1041">
            <v>5.472500000000001</v>
          </cell>
          <cell r="V1041">
            <v>5.3900000000000006</v>
          </cell>
          <cell r="W1041">
            <v>5.307500000000001</v>
          </cell>
          <cell r="X1041">
            <v>5.2250000000000005</v>
          </cell>
          <cell r="Y1041">
            <v>5.142500000000001</v>
          </cell>
          <cell r="Z1041">
            <v>5.0600000000000005</v>
          </cell>
          <cell r="AA1041">
            <v>4.9775000000000009</v>
          </cell>
          <cell r="AB1041">
            <v>4.8950000000000005</v>
          </cell>
          <cell r="AC1041">
            <v>4.8125000000000009</v>
          </cell>
          <cell r="AD1041">
            <v>4.7300000000000004</v>
          </cell>
          <cell r="AE1041">
            <v>4.6475000000000009</v>
          </cell>
          <cell r="AF1041">
            <v>4.5650000000000004</v>
          </cell>
          <cell r="AG1041">
            <v>4.4825000000000008</v>
          </cell>
          <cell r="AH1041">
            <v>4.4000000000000004</v>
          </cell>
        </row>
        <row r="1042">
          <cell r="B1042" t="str">
            <v>Nitrogen - Finance cost - Middle East - USD/ton fuel</v>
          </cell>
          <cell r="G1042">
            <v>21.230000000000004</v>
          </cell>
          <cell r="H1042">
            <v>19.140000000000004</v>
          </cell>
          <cell r="I1042">
            <v>17.05</v>
          </cell>
          <cell r="J1042">
            <v>14.850000000000001</v>
          </cell>
          <cell r="K1042">
            <v>12.650000000000002</v>
          </cell>
          <cell r="L1042">
            <v>10.450000000000001</v>
          </cell>
          <cell r="M1042">
            <v>8.2500000000000018</v>
          </cell>
          <cell r="N1042">
            <v>6.0500000000000007</v>
          </cell>
          <cell r="O1042">
            <v>5.9675000000000011</v>
          </cell>
          <cell r="P1042">
            <v>5.8850000000000007</v>
          </cell>
          <cell r="Q1042">
            <v>5.8025000000000011</v>
          </cell>
          <cell r="R1042">
            <v>5.7200000000000006</v>
          </cell>
          <cell r="S1042">
            <v>5.6375000000000011</v>
          </cell>
          <cell r="T1042">
            <v>5.5550000000000006</v>
          </cell>
          <cell r="U1042">
            <v>5.472500000000001</v>
          </cell>
          <cell r="V1042">
            <v>5.3900000000000006</v>
          </cell>
          <cell r="W1042">
            <v>5.307500000000001</v>
          </cell>
          <cell r="X1042">
            <v>5.2250000000000005</v>
          </cell>
          <cell r="Y1042">
            <v>5.142500000000001</v>
          </cell>
          <cell r="Z1042">
            <v>5.0600000000000005</v>
          </cell>
          <cell r="AA1042">
            <v>4.9775000000000009</v>
          </cell>
          <cell r="AB1042">
            <v>4.8950000000000005</v>
          </cell>
          <cell r="AC1042">
            <v>4.8125000000000009</v>
          </cell>
          <cell r="AD1042">
            <v>4.7300000000000004</v>
          </cell>
          <cell r="AE1042">
            <v>4.6475000000000009</v>
          </cell>
          <cell r="AF1042">
            <v>4.5650000000000004</v>
          </cell>
          <cell r="AG1042">
            <v>4.4825000000000008</v>
          </cell>
          <cell r="AH1042">
            <v>4.4000000000000004</v>
          </cell>
        </row>
        <row r="1043">
          <cell r="B1043" t="str">
            <v>Carbon capture - Finance cost - Africa - USD/ton fuel</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row>
        <row r="1044">
          <cell r="B1044" t="str">
            <v>Carbon capture - Finance cost - Americas - USD/ton fuel</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row>
        <row r="1045">
          <cell r="B1045" t="str">
            <v>Carbon capture - Finance cost - Asia - USD/ton fuel</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row>
        <row r="1046">
          <cell r="B1046" t="str">
            <v>Carbon capture - Finance cost - Europe - USD/ton fuel</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row>
        <row r="1047">
          <cell r="B1047" t="str">
            <v>Carbon capture - Finance cost - Middle East - USD/ton fuel</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row>
        <row r="1048">
          <cell r="B1048" t="str">
            <v>Carbon storage - Finance cost - Africa - USD/ton fuel</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row>
        <row r="1049">
          <cell r="B1049" t="str">
            <v>Carbon storage - Finance cost - Americas - USD/ton fuel</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row>
        <row r="1050">
          <cell r="B1050" t="str">
            <v>Carbon storage - Finance cost - Asia - USD/ton fuel</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row>
        <row r="1051">
          <cell r="B1051" t="str">
            <v>Carbon storage - Finance cost - Europe - USD/ton fuel</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row>
        <row r="1052">
          <cell r="B1052" t="str">
            <v>Carbon storage - Finance cost - Middle East - USD/ton fuel</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row>
        <row r="1053">
          <cell r="B1053" t="str">
            <v>Blue ammonia (CCS) - Conversion N2 -&gt; NH3 - Global - ton N2/ton NH3</v>
          </cell>
          <cell r="G1053">
            <v>0.82199999999999995</v>
          </cell>
          <cell r="H1053">
            <v>0.82199999999999995</v>
          </cell>
          <cell r="I1053">
            <v>0.82199999999999995</v>
          </cell>
          <cell r="J1053">
            <v>0.82199999999999995</v>
          </cell>
          <cell r="K1053">
            <v>0.82199999999999995</v>
          </cell>
          <cell r="L1053">
            <v>0.82199999999999995</v>
          </cell>
          <cell r="M1053">
            <v>0.82199999999999995</v>
          </cell>
          <cell r="N1053">
            <v>0.82199999999999995</v>
          </cell>
          <cell r="O1053">
            <v>0.82199999999999995</v>
          </cell>
          <cell r="P1053">
            <v>0.82199999999999995</v>
          </cell>
          <cell r="Q1053">
            <v>0.82199999999999995</v>
          </cell>
          <cell r="R1053">
            <v>0.82199999999999995</v>
          </cell>
          <cell r="S1053">
            <v>0.82199999999999995</v>
          </cell>
          <cell r="T1053">
            <v>0.82199999999999995</v>
          </cell>
          <cell r="U1053">
            <v>0.82199999999999995</v>
          </cell>
          <cell r="V1053">
            <v>0.82199999999999995</v>
          </cell>
          <cell r="W1053">
            <v>0.82199999999999995</v>
          </cell>
          <cell r="X1053">
            <v>0.82199999999999995</v>
          </cell>
          <cell r="Y1053">
            <v>0.82199999999999995</v>
          </cell>
          <cell r="Z1053">
            <v>0.82199999999999995</v>
          </cell>
          <cell r="AA1053">
            <v>0.82199999999999995</v>
          </cell>
          <cell r="AB1053">
            <v>0.82199999999999995</v>
          </cell>
          <cell r="AC1053">
            <v>0.82199999999999995</v>
          </cell>
          <cell r="AD1053">
            <v>0.82199999999999995</v>
          </cell>
          <cell r="AE1053">
            <v>0.82199999999999995</v>
          </cell>
          <cell r="AF1053">
            <v>0.82199999999999995</v>
          </cell>
          <cell r="AG1053">
            <v>0.82199999999999995</v>
          </cell>
          <cell r="AH1053">
            <v>0.82199999999999995</v>
          </cell>
        </row>
        <row r="1054">
          <cell r="B1054" t="str">
            <v>Carbon capture &amp; storage (CCS) - Conversion NG -&gt; CO2 -&gt; NH3 - Global - ton CO2/ton NH3</v>
          </cell>
          <cell r="G1054">
            <v>1.8880000000000001</v>
          </cell>
          <cell r="H1054">
            <v>1.8880000000000001</v>
          </cell>
          <cell r="I1054">
            <v>1.8880000000000001</v>
          </cell>
          <cell r="J1054">
            <v>1.8880000000000001</v>
          </cell>
          <cell r="K1054">
            <v>1.8880000000000001</v>
          </cell>
          <cell r="L1054">
            <v>1.8880000000000001</v>
          </cell>
          <cell r="M1054">
            <v>1.8880000000000001</v>
          </cell>
          <cell r="N1054">
            <v>1.8880000000000001</v>
          </cell>
          <cell r="O1054">
            <v>1.8880000000000001</v>
          </cell>
          <cell r="P1054">
            <v>1.8880000000000001</v>
          </cell>
          <cell r="Q1054">
            <v>1.8880000000000001</v>
          </cell>
          <cell r="R1054">
            <v>1.8880000000000001</v>
          </cell>
          <cell r="S1054">
            <v>1.8880000000000001</v>
          </cell>
          <cell r="T1054">
            <v>1.8880000000000001</v>
          </cell>
          <cell r="U1054">
            <v>1.8880000000000001</v>
          </cell>
          <cell r="V1054">
            <v>1.8880000000000001</v>
          </cell>
          <cell r="W1054">
            <v>1.8880000000000001</v>
          </cell>
          <cell r="X1054">
            <v>1.8880000000000001</v>
          </cell>
          <cell r="Y1054">
            <v>1.8880000000000001</v>
          </cell>
          <cell r="Z1054">
            <v>1.8880000000000001</v>
          </cell>
          <cell r="AA1054">
            <v>1.8880000000000001</v>
          </cell>
          <cell r="AB1054">
            <v>1.8880000000000001</v>
          </cell>
          <cell r="AC1054">
            <v>1.8880000000000001</v>
          </cell>
          <cell r="AD1054">
            <v>1.8880000000000001</v>
          </cell>
          <cell r="AE1054">
            <v>1.8880000000000001</v>
          </cell>
          <cell r="AF1054">
            <v>1.8880000000000001</v>
          </cell>
          <cell r="AG1054">
            <v>1.8880000000000001</v>
          </cell>
          <cell r="AH1054">
            <v>1.8880000000000001</v>
          </cell>
        </row>
        <row r="1055">
          <cell r="B1055" t="str">
            <v>Carbon storage - Carbon to store - Global - ton CO2/ton NH3</v>
          </cell>
          <cell r="G1055">
            <v>1.6916480000000007</v>
          </cell>
          <cell r="H1055">
            <v>1.6954240000000003</v>
          </cell>
          <cell r="I1055">
            <v>1.6992000000000007</v>
          </cell>
          <cell r="J1055">
            <v>1.7029760000000003</v>
          </cell>
          <cell r="K1055">
            <v>1.7067520000000016</v>
          </cell>
          <cell r="L1055">
            <v>1.7105280000000012</v>
          </cell>
          <cell r="M1055">
            <v>1.7143040000000007</v>
          </cell>
          <cell r="N1055">
            <v>1.718080000000002</v>
          </cell>
          <cell r="O1055">
            <v>1.7218560000000001</v>
          </cell>
          <cell r="P1055">
            <v>1.7256319999999996</v>
          </cell>
          <cell r="Q1055">
            <v>1.7294079999999992</v>
          </cell>
          <cell r="R1055">
            <v>1.7331839999999987</v>
          </cell>
          <cell r="S1055">
            <v>1.7369600000000001</v>
          </cell>
          <cell r="T1055">
            <v>1.7407359999999996</v>
          </cell>
          <cell r="U1055">
            <v>1.7445120000000007</v>
          </cell>
          <cell r="V1055">
            <v>1.7482880000000005</v>
          </cell>
          <cell r="W1055">
            <v>1.7520640000000001</v>
          </cell>
          <cell r="X1055">
            <v>1.7558400000000005</v>
          </cell>
          <cell r="Y1055">
            <v>1.7596160000000001</v>
          </cell>
          <cell r="Z1055">
            <v>1.7633919999999996</v>
          </cell>
          <cell r="AA1055">
            <v>1.7671680000000007</v>
          </cell>
          <cell r="AB1055">
            <v>1.7709440000000005</v>
          </cell>
          <cell r="AC1055">
            <v>1.7747200000000001</v>
          </cell>
          <cell r="AD1055">
            <v>1.7784960000000012</v>
          </cell>
          <cell r="AE1055">
            <v>1.782272000000001</v>
          </cell>
          <cell r="AF1055">
            <v>1.7860480000000005</v>
          </cell>
          <cell r="AG1055">
            <v>1.7898240000000001</v>
          </cell>
          <cell r="AH1055">
            <v>1.7935999999999996</v>
          </cell>
        </row>
        <row r="1056">
          <cell r="B1056" t="str">
            <v/>
          </cell>
        </row>
        <row r="1057">
          <cell r="B1057" t="str">
            <v>Blue ammonia (CCS) - Energy cost including feedstock energy cost - Africa - USD/ton fuel</v>
          </cell>
          <cell r="G1057">
            <v>28.426493606051544</v>
          </cell>
          <cell r="H1057">
            <v>25.191536536728243</v>
          </cell>
          <cell r="I1057">
            <v>21.929153424664658</v>
          </cell>
          <cell r="J1057">
            <v>20.935899185410108</v>
          </cell>
          <cell r="K1057">
            <v>19.947568611771626</v>
          </cell>
          <cell r="L1057">
            <v>18.964161703749078</v>
          </cell>
          <cell r="M1057">
            <v>17.985678461342271</v>
          </cell>
          <cell r="N1057">
            <v>17.012118884551636</v>
          </cell>
          <cell r="O1057">
            <v>16.563406972674876</v>
          </cell>
          <cell r="P1057">
            <v>16.110427364463895</v>
          </cell>
          <cell r="Q1057">
            <v>15.653180059918473</v>
          </cell>
          <cell r="R1057">
            <v>15.191665059039059</v>
          </cell>
          <cell r="S1057">
            <v>14.725882361825509</v>
          </cell>
          <cell r="T1057">
            <v>14.536169127283863</v>
          </cell>
          <cell r="U1057">
            <v>14.344447158205046</v>
          </cell>
          <cell r="V1057">
            <v>14.15071645458897</v>
          </cell>
          <cell r="W1057">
            <v>13.95497701643564</v>
          </cell>
          <cell r="X1057">
            <v>13.757228843745194</v>
          </cell>
          <cell r="Y1057">
            <v>13.550282419228928</v>
          </cell>
          <cell r="Z1057">
            <v>13.341270470939349</v>
          </cell>
          <cell r="AA1057">
            <v>13.130192998876362</v>
          </cell>
          <cell r="AB1057">
            <v>12.917050003040153</v>
          </cell>
          <cell r="AC1057">
            <v>12.701841483430581</v>
          </cell>
          <cell r="AD1057">
            <v>12.620343121988759</v>
          </cell>
          <cell r="AE1057">
            <v>12.537830946161273</v>
          </cell>
          <cell r="AF1057">
            <v>12.454304955948029</v>
          </cell>
          <cell r="AG1057">
            <v>12.369765151349085</v>
          </cell>
          <cell r="AH1057">
            <v>12.284211532364502</v>
          </cell>
        </row>
        <row r="1058">
          <cell r="B1058" t="str">
            <v>Blue ammonia (CCS) - Energy cost including feedstock energy cost - Americas - USD/ton fuel</v>
          </cell>
          <cell r="G1058">
            <v>17.860788921340198</v>
          </cell>
          <cell r="H1058">
            <v>17.562771799250307</v>
          </cell>
          <cell r="I1058">
            <v>17.261715715609142</v>
          </cell>
          <cell r="J1058">
            <v>16.587707863455726</v>
          </cell>
          <cell r="K1058">
            <v>15.917008264000451</v>
          </cell>
          <cell r="L1058">
            <v>15.249616917243202</v>
          </cell>
          <cell r="M1058">
            <v>14.585533823184232</v>
          </cell>
          <cell r="N1058">
            <v>13.924758981823086</v>
          </cell>
          <cell r="O1058">
            <v>13.681648544999575</v>
          </cell>
          <cell r="P1058">
            <v>13.436066041987949</v>
          </cell>
          <cell r="Q1058">
            <v>13.188011472788215</v>
          </cell>
          <cell r="R1058">
            <v>12.937484837400369</v>
          </cell>
          <cell r="S1058">
            <v>12.684486135824379</v>
          </cell>
          <cell r="T1058">
            <v>12.487112600479275</v>
          </cell>
          <cell r="U1058">
            <v>12.287735147474816</v>
          </cell>
          <cell r="V1058">
            <v>12.086353776810974</v>
          </cell>
          <cell r="W1058">
            <v>11.882968488487812</v>
          </cell>
          <cell r="X1058">
            <v>11.67757928250527</v>
          </cell>
          <cell r="Y1058">
            <v>11.621676100511042</v>
          </cell>
          <cell r="Z1058">
            <v>11.564965603872057</v>
          </cell>
          <cell r="AA1058">
            <v>11.507447792588364</v>
          </cell>
          <cell r="AB1058">
            <v>11.449122666659864</v>
          </cell>
          <cell r="AC1058">
            <v>11.389990226086613</v>
          </cell>
          <cell r="AD1058">
            <v>11.355644918637626</v>
          </cell>
          <cell r="AE1058">
            <v>11.320690549431335</v>
          </cell>
          <cell r="AF1058">
            <v>11.285127118467729</v>
          </cell>
          <cell r="AG1058">
            <v>11.248954625746808</v>
          </cell>
          <cell r="AH1058">
            <v>11.212173071268575</v>
          </cell>
        </row>
        <row r="1059">
          <cell r="B1059" t="str">
            <v>Blue ammonia (CCS) - Energy cost including feedstock energy cost - Asia - USD/ton fuel</v>
          </cell>
          <cell r="G1059">
            <v>31.616169756138721</v>
          </cell>
          <cell r="H1059">
            <v>28.956392395842904</v>
          </cell>
          <cell r="I1059">
            <v>26.273788257336562</v>
          </cell>
          <cell r="J1059">
            <v>25.202758414062984</v>
          </cell>
          <cell r="K1059">
            <v>24.137001498404246</v>
          </cell>
          <cell r="L1059">
            <v>23.076517510359295</v>
          </cell>
          <cell r="M1059">
            <v>22.021306449928623</v>
          </cell>
          <cell r="N1059">
            <v>20.971368317112642</v>
          </cell>
          <cell r="O1059">
            <v>20.381234003454008</v>
          </cell>
          <cell r="P1059">
            <v>19.785534547518203</v>
          </cell>
          <cell r="Q1059">
            <v>19.184269949305239</v>
          </cell>
          <cell r="R1059">
            <v>18.577440208814675</v>
          </cell>
          <cell r="S1059">
            <v>17.965045326046756</v>
          </cell>
          <cell r="T1059">
            <v>17.686584319871034</v>
          </cell>
          <cell r="U1059">
            <v>17.405293860530492</v>
          </cell>
          <cell r="V1059">
            <v>17.121173948025284</v>
          </cell>
          <cell r="W1059">
            <v>16.834224582355112</v>
          </cell>
          <cell r="X1059">
            <v>16.544445763520358</v>
          </cell>
          <cell r="Y1059">
            <v>16.235099073730979</v>
          </cell>
          <cell r="Z1059">
            <v>15.922790715786462</v>
          </cell>
          <cell r="AA1059">
            <v>15.607520689686602</v>
          </cell>
          <cell r="AB1059">
            <v>15.289288995431576</v>
          </cell>
          <cell r="AC1059">
            <v>14.968095633021195</v>
          </cell>
          <cell r="AD1059">
            <v>14.850950696098138</v>
          </cell>
          <cell r="AE1059">
            <v>14.732447577415115</v>
          </cell>
          <cell r="AF1059">
            <v>14.612586276972269</v>
          </cell>
          <cell r="AG1059">
            <v>14.491366794769544</v>
          </cell>
          <cell r="AH1059">
            <v>14.368789130806872</v>
          </cell>
        </row>
        <row r="1060">
          <cell r="B1060" t="str">
            <v>Blue ammonia (CCS) - Energy cost including feedstock energy cost - Europe - USD/ton fuel</v>
          </cell>
          <cell r="G1060">
            <v>23.536525828370561</v>
          </cell>
          <cell r="H1060">
            <v>22.614635124763417</v>
          </cell>
          <cell r="I1060">
            <v>21.684409737298004</v>
          </cell>
          <cell r="J1060">
            <v>20.803289345860367</v>
          </cell>
          <cell r="K1060">
            <v>19.926505956273367</v>
          </cell>
          <cell r="L1060">
            <v>19.054059568537305</v>
          </cell>
          <cell r="M1060">
            <v>18.18595018265178</v>
          </cell>
          <cell r="N1060">
            <v>17.322177798617208</v>
          </cell>
          <cell r="O1060">
            <v>17.053440108982766</v>
          </cell>
          <cell r="P1060">
            <v>16.781904246411294</v>
          </cell>
          <cell r="Q1060">
            <v>16.507570210902358</v>
          </cell>
          <cell r="R1060">
            <v>16.230438002456061</v>
          </cell>
          <cell r="S1060">
            <v>15.950507621072553</v>
          </cell>
          <cell r="T1060">
            <v>15.807704481160137</v>
          </cell>
          <cell r="U1060">
            <v>15.663230689780271</v>
          </cell>
          <cell r="V1060">
            <v>15.51708624693293</v>
          </cell>
          <cell r="W1060">
            <v>15.369271152618058</v>
          </cell>
          <cell r="X1060">
            <v>15.219785406835564</v>
          </cell>
          <cell r="Y1060">
            <v>15.053861881173241</v>
          </cell>
          <cell r="Z1060">
            <v>14.886151060059053</v>
          </cell>
          <cell r="AA1060">
            <v>14.716652943493145</v>
          </cell>
          <cell r="AB1060">
            <v>14.545367531475346</v>
          </cell>
          <cell r="AC1060">
            <v>14.372294824005817</v>
          </cell>
          <cell r="AD1060">
            <v>14.259822122665234</v>
          </cell>
          <cell r="AE1060">
            <v>14.146045373754877</v>
          </cell>
          <cell r="AF1060">
            <v>14.030964577274888</v>
          </cell>
          <cell r="AG1060">
            <v>13.914579733225203</v>
          </cell>
          <cell r="AH1060">
            <v>13.796890841605769</v>
          </cell>
        </row>
        <row r="1061">
          <cell r="B1061" t="str">
            <v>Blue ammonia (CCS) - Energy cost including feedstock energy cost - Middle East - USD/ton fuel</v>
          </cell>
          <cell r="G1061">
            <v>18.022970969163161</v>
          </cell>
          <cell r="H1061">
            <v>17.298435845848218</v>
          </cell>
          <cell r="I1061">
            <v>16.567366267442146</v>
          </cell>
          <cell r="J1061">
            <v>15.994391866088844</v>
          </cell>
          <cell r="K1061">
            <v>15.42420367148895</v>
          </cell>
          <cell r="L1061">
            <v>14.856801683642356</v>
          </cell>
          <cell r="M1061">
            <v>14.292185902549093</v>
          </cell>
          <cell r="N1061">
            <v>13.73035632820914</v>
          </cell>
          <cell r="O1061">
            <v>13.416091556656706</v>
          </cell>
          <cell r="P1061">
            <v>13.098776168905342</v>
          </cell>
          <cell r="Q1061">
            <v>12.778410164954833</v>
          </cell>
          <cell r="R1061">
            <v>12.454993544805401</v>
          </cell>
          <cell r="S1061">
            <v>12.128526308456959</v>
          </cell>
          <cell r="T1061">
            <v>11.987773157794717</v>
          </cell>
          <cell r="U1061">
            <v>11.845490460247589</v>
          </cell>
          <cell r="V1061">
            <v>11.701678215815646</v>
          </cell>
          <cell r="W1061">
            <v>11.556336424498735</v>
          </cell>
          <cell r="X1061">
            <v>11.409465086296933</v>
          </cell>
          <cell r="Y1061">
            <v>11.200765270757714</v>
          </cell>
          <cell r="Z1061">
            <v>10.990059613464368</v>
          </cell>
          <cell r="AA1061">
            <v>10.777348114416801</v>
          </cell>
          <cell r="AB1061">
            <v>10.562630773615091</v>
          </cell>
          <cell r="AC1061">
            <v>10.345907591059117</v>
          </cell>
          <cell r="AD1061">
            <v>10.264934061989823</v>
          </cell>
          <cell r="AE1061">
            <v>10.183021736055906</v>
          </cell>
          <cell r="AF1061">
            <v>10.100170613257326</v>
          </cell>
          <cell r="AG1061">
            <v>10.016380693594112</v>
          </cell>
          <cell r="AH1061">
            <v>9.9316519770662932</v>
          </cell>
        </row>
        <row r="1062">
          <cell r="B1062" t="str">
            <v>Blue ammonia (CCS) - Energy cost - Africa - USD/ton fuel</v>
          </cell>
          <cell r="G1062">
            <v>17.867280920737365</v>
          </cell>
          <cell r="H1062">
            <v>15.872255243663167</v>
          </cell>
          <cell r="I1062">
            <v>13.849803523848989</v>
          </cell>
          <cell r="J1062">
            <v>13.342812501732114</v>
          </cell>
          <cell r="K1062">
            <v>12.82817603611222</v>
          </cell>
          <cell r="L1062">
            <v>12.305894126989232</v>
          </cell>
          <cell r="M1062">
            <v>11.775966774363042</v>
          </cell>
          <cell r="N1062">
            <v>11.238393978233969</v>
          </cell>
          <cell r="O1062">
            <v>10.965084385693483</v>
          </cell>
          <cell r="P1062">
            <v>10.687507096818798</v>
          </cell>
          <cell r="Q1062">
            <v>10.405662111609747</v>
          </cell>
          <cell r="R1062">
            <v>10.119549430066629</v>
          </cell>
          <cell r="S1062">
            <v>9.8291690521893571</v>
          </cell>
          <cell r="T1062">
            <v>9.7220148071278043</v>
          </cell>
          <cell r="U1062">
            <v>9.6128518275290613</v>
          </cell>
          <cell r="V1062">
            <v>9.5016801133930766</v>
          </cell>
          <cell r="W1062">
            <v>9.3884996647198378</v>
          </cell>
          <cell r="X1062">
            <v>9.2733104815094478</v>
          </cell>
          <cell r="Y1062">
            <v>9.1512570840764056</v>
          </cell>
          <cell r="Z1062">
            <v>9.0271381628700507</v>
          </cell>
          <cell r="AA1062">
            <v>8.9009537178903244</v>
          </cell>
          <cell r="AB1062">
            <v>8.7727037491373387</v>
          </cell>
          <cell r="AC1062">
            <v>8.6423882566110102</v>
          </cell>
          <cell r="AD1062">
            <v>8.6025576664214682</v>
          </cell>
          <cell r="AE1062">
            <v>8.5617132618462435</v>
          </cell>
          <cell r="AF1062">
            <v>8.5198550428852791</v>
          </cell>
          <cell r="AG1062">
            <v>8.4769830095386158</v>
          </cell>
          <cell r="AH1062">
            <v>8.4330971618062929</v>
          </cell>
        </row>
        <row r="1063">
          <cell r="B1063" t="str">
            <v>Blue ammonia (CCS) - Energy cost - Americas - USD/ton fuel</v>
          </cell>
          <cell r="G1063">
            <v>11.226278469168729</v>
          </cell>
          <cell r="H1063">
            <v>11.065652798807578</v>
          </cell>
          <cell r="I1063">
            <v>10.901988166895178</v>
          </cell>
          <cell r="J1063">
            <v>10.571634583043664</v>
          </cell>
          <cell r="K1063">
            <v>10.236143960841156</v>
          </cell>
          <cell r="L1063">
            <v>9.8955163002875945</v>
          </cell>
          <cell r="M1063">
            <v>9.5497516013831536</v>
          </cell>
          <cell r="N1063">
            <v>9.1988498641275722</v>
          </cell>
          <cell r="O1063">
            <v>9.0573413476354094</v>
          </cell>
          <cell r="P1063">
            <v>8.913360764955149</v>
          </cell>
          <cell r="Q1063">
            <v>8.7669081160867783</v>
          </cell>
          <cell r="R1063">
            <v>8.6179834010302976</v>
          </cell>
          <cell r="S1063">
            <v>8.4665866197856907</v>
          </cell>
          <cell r="T1063">
            <v>8.351574100239965</v>
          </cell>
          <cell r="U1063">
            <v>8.2345576630348862</v>
          </cell>
          <cell r="V1063">
            <v>8.1155373081704401</v>
          </cell>
          <cell r="W1063">
            <v>7.9945130356466576</v>
          </cell>
          <cell r="X1063">
            <v>7.8714848454635034</v>
          </cell>
          <cell r="Y1063">
            <v>7.8487622953688296</v>
          </cell>
          <cell r="Z1063">
            <v>7.8252324306293977</v>
          </cell>
          <cell r="AA1063">
            <v>7.8008952512452474</v>
          </cell>
          <cell r="AB1063">
            <v>7.7757507572162998</v>
          </cell>
          <cell r="AC1063">
            <v>7.7497989485426038</v>
          </cell>
          <cell r="AD1063">
            <v>7.7404860793192238</v>
          </cell>
          <cell r="AE1063">
            <v>7.730564148338531</v>
          </cell>
          <cell r="AF1063">
            <v>7.7200331556005235</v>
          </cell>
          <cell r="AG1063">
            <v>7.7088931011052031</v>
          </cell>
          <cell r="AH1063">
            <v>7.697143984852568</v>
          </cell>
        </row>
        <row r="1064">
          <cell r="B1064" t="str">
            <v>Blue ammonia (CCS) - Energy cost - Asia - USD/ton fuel</v>
          </cell>
          <cell r="G1064">
            <v>19.872130361881634</v>
          </cell>
          <cell r="H1064">
            <v>18.244351644545489</v>
          </cell>
          <cell r="I1064">
            <v>16.593746148998299</v>
          </cell>
          <cell r="J1064">
            <v>16.062156063477747</v>
          </cell>
          <cell r="K1064">
            <v>15.522378202158958</v>
          </cell>
          <cell r="L1064">
            <v>14.97441256504127</v>
          </cell>
          <cell r="M1064">
            <v>14.418259152125017</v>
          </cell>
          <cell r="N1064">
            <v>13.853917963410526</v>
          </cell>
          <cell r="O1064">
            <v>13.492510997352365</v>
          </cell>
          <cell r="P1064">
            <v>13.125538889016989</v>
          </cell>
          <cell r="Q1064">
            <v>12.753001638404376</v>
          </cell>
          <cell r="R1064">
            <v>12.374899245514236</v>
          </cell>
          <cell r="S1064">
            <v>11.991231710346744</v>
          </cell>
          <cell r="T1064">
            <v>11.829061229244928</v>
          </cell>
          <cell r="U1064">
            <v>11.664061294978296</v>
          </cell>
          <cell r="V1064">
            <v>11.496231907546957</v>
          </cell>
          <cell r="W1064">
            <v>11.325573066950694</v>
          </cell>
          <cell r="X1064">
            <v>11.152084773189772</v>
          </cell>
          <cell r="Y1064">
            <v>10.964462644581344</v>
          </cell>
          <cell r="Z1064">
            <v>10.773878847817741</v>
          </cell>
          <cell r="AA1064">
            <v>10.580333382898834</v>
          </cell>
          <cell r="AB1064">
            <v>10.383826249824724</v>
          </cell>
          <cell r="AC1064">
            <v>10.184357448595293</v>
          </cell>
          <cell r="AD1064">
            <v>10.123033782003386</v>
          </cell>
          <cell r="AE1064">
            <v>10.06035193365153</v>
          </cell>
          <cell r="AF1064">
            <v>9.9963119035398336</v>
          </cell>
          <cell r="AG1064">
            <v>9.9309136916682554</v>
          </cell>
          <cell r="AH1064">
            <v>9.8641572980367531</v>
          </cell>
        </row>
        <row r="1065">
          <cell r="B1065" t="str">
            <v>Blue ammonia (CCS) - Energy cost - Europe - USD/ton fuel</v>
          </cell>
          <cell r="G1065">
            <v>14.793724639473741</v>
          </cell>
          <cell r="H1065">
            <v>14.248644993100269</v>
          </cell>
          <cell r="I1065">
            <v>13.6952306628685</v>
          </cell>
          <cell r="J1065">
            <v>13.258297945690021</v>
          </cell>
          <cell r="K1065">
            <v>12.814630753587902</v>
          </cell>
          <cell r="L1065">
            <v>12.364229086562352</v>
          </cell>
          <cell r="M1065">
            <v>11.907092944613126</v>
          </cell>
          <cell r="N1065">
            <v>11.443222327740539</v>
          </cell>
          <cell r="O1065">
            <v>11.28948954583152</v>
          </cell>
          <cell r="P1065">
            <v>11.132958590985378</v>
          </cell>
          <cell r="Q1065">
            <v>10.973629463201808</v>
          </cell>
          <cell r="R1065">
            <v>10.811502162480879</v>
          </cell>
          <cell r="S1065">
            <v>10.6465766888227</v>
          </cell>
          <cell r="T1065">
            <v>10.572437324224747</v>
          </cell>
          <cell r="U1065">
            <v>10.496627308159328</v>
          </cell>
          <cell r="V1065">
            <v>10.419146640626431</v>
          </cell>
          <cell r="W1065">
            <v>10.339995321626002</v>
          </cell>
          <cell r="X1065">
            <v>10.259173351157992</v>
          </cell>
          <cell r="Y1065">
            <v>10.166707668564863</v>
          </cell>
          <cell r="Z1065">
            <v>10.072454690519889</v>
          </cell>
          <cell r="AA1065">
            <v>9.9764144170231752</v>
          </cell>
          <cell r="AB1065">
            <v>9.8785868480745904</v>
          </cell>
          <cell r="AC1065">
            <v>9.7789719836742535</v>
          </cell>
          <cell r="AD1065">
            <v>9.7200956374480363</v>
          </cell>
          <cell r="AE1065">
            <v>9.6599152436520619</v>
          </cell>
          <cell r="AF1065">
            <v>9.5984308022864369</v>
          </cell>
          <cell r="AG1065">
            <v>9.5356423133511168</v>
          </cell>
          <cell r="AH1065">
            <v>9.4715497768460644</v>
          </cell>
        </row>
        <row r="1066">
          <cell r="B1066" t="str">
            <v>Blue ammonia (CCS) - Energy cost - Middle East - USD/ton fuel</v>
          </cell>
          <cell r="G1066">
            <v>11.32821690198819</v>
          </cell>
          <cell r="H1066">
            <v>10.899104493333713</v>
          </cell>
          <cell r="I1066">
            <v>10.463457629588175</v>
          </cell>
          <cell r="J1066">
            <v>10.193503983682477</v>
          </cell>
          <cell r="K1066">
            <v>9.9192239297747431</v>
          </cell>
          <cell r="L1066">
            <v>9.6406174678649137</v>
          </cell>
          <cell r="M1066">
            <v>9.3576845979530212</v>
          </cell>
          <cell r="N1066">
            <v>9.070425320039087</v>
          </cell>
          <cell r="O1066">
            <v>8.8815408742669817</v>
          </cell>
          <cell r="P1066">
            <v>8.6896058122959268</v>
          </cell>
          <cell r="Q1066">
            <v>8.4946201341257623</v>
          </cell>
          <cell r="R1066">
            <v>8.2965838397566394</v>
          </cell>
          <cell r="S1066">
            <v>8.0954969291885046</v>
          </cell>
          <cell r="T1066">
            <v>8.0176081554952567</v>
          </cell>
          <cell r="U1066">
            <v>7.9381898349171207</v>
          </cell>
          <cell r="V1066">
            <v>7.8572419674541525</v>
          </cell>
          <cell r="W1066">
            <v>7.7747645531062348</v>
          </cell>
          <cell r="X1066">
            <v>7.6907575918734272</v>
          </cell>
          <cell r="Y1066">
            <v>7.5644978724311542</v>
          </cell>
          <cell r="Z1066">
            <v>7.4362323112347379</v>
          </cell>
          <cell r="AA1066">
            <v>7.3059609082841179</v>
          </cell>
          <cell r="AB1066">
            <v>7.1736836635793342</v>
          </cell>
          <cell r="AC1066">
            <v>7.0394005771203174</v>
          </cell>
          <cell r="AD1066">
            <v>6.9970115991874904</v>
          </cell>
          <cell r="AE1066">
            <v>6.9536838243900316</v>
          </cell>
          <cell r="AF1066">
            <v>6.909417252727919</v>
          </cell>
          <cell r="AG1066">
            <v>6.8642118842011719</v>
          </cell>
          <cell r="AH1066">
            <v>6.8180677188098118</v>
          </cell>
        </row>
        <row r="1067">
          <cell r="B1067" t="str">
            <v>Nitrogen - Energy cost - Africa - USD/ton fuel</v>
          </cell>
          <cell r="G1067">
            <v>12.845757524713116</v>
          </cell>
          <cell r="H1067">
            <v>11.337325174045109</v>
          </cell>
          <cell r="I1067">
            <v>9.8288928233767283</v>
          </cell>
          <cell r="J1067">
            <v>9.2373317319683625</v>
          </cell>
          <cell r="K1067">
            <v>8.6610615275661882</v>
          </cell>
          <cell r="L1067">
            <v>8.1000822101701271</v>
          </cell>
          <cell r="M1067">
            <v>7.554393779780086</v>
          </cell>
          <cell r="N1067">
            <v>7.0239962363961901</v>
          </cell>
          <cell r="O1067">
            <v>6.8106114196853929</v>
          </cell>
          <cell r="P1067">
            <v>6.5972266029745699</v>
          </cell>
          <cell r="Q1067">
            <v>6.3838417862636563</v>
          </cell>
          <cell r="R1067">
            <v>6.1704569695528342</v>
          </cell>
          <cell r="S1067">
            <v>5.9570721528420343</v>
          </cell>
          <cell r="T1067">
            <v>5.8566354259806079</v>
          </cell>
          <cell r="U1067">
            <v>5.7561986991192047</v>
          </cell>
          <cell r="V1067">
            <v>5.6557619722577783</v>
          </cell>
          <cell r="W1067">
            <v>5.5553252453963529</v>
          </cell>
          <cell r="X1067">
            <v>5.4548885185349718</v>
          </cell>
          <cell r="Y1067">
            <v>5.3516123298692495</v>
          </cell>
          <cell r="Z1067">
            <v>5.2483361412035272</v>
          </cell>
          <cell r="AA1067">
            <v>5.1450599525377587</v>
          </cell>
          <cell r="AB1067">
            <v>5.0417837638720364</v>
          </cell>
          <cell r="AC1067">
            <v>4.938507575206291</v>
          </cell>
          <cell r="AD1067">
            <v>4.8878168559212787</v>
          </cell>
          <cell r="AE1067">
            <v>4.8371261366362894</v>
          </cell>
          <cell r="AF1067">
            <v>4.7864354173512771</v>
          </cell>
          <cell r="AG1067">
            <v>4.7357446980662647</v>
          </cell>
          <cell r="AH1067">
            <v>4.6850539787812755</v>
          </cell>
        </row>
        <row r="1068">
          <cell r="B1068" t="str">
            <v>Nitrogen - Energy cost - Americas - USD/ton fuel</v>
          </cell>
          <cell r="G1068">
            <v>8.0711805987487466</v>
          </cell>
          <cell r="H1068">
            <v>7.9040377134339765</v>
          </cell>
          <cell r="I1068">
            <v>7.7368948281191798</v>
          </cell>
          <cell r="J1068">
            <v>7.3188239421071319</v>
          </cell>
          <cell r="K1068">
            <v>6.9110271327971944</v>
          </cell>
          <cell r="L1068">
            <v>6.5135044001893023</v>
          </cell>
          <cell r="M1068">
            <v>6.1262557442835499</v>
          </cell>
          <cell r="N1068">
            <v>5.7492811650796991</v>
          </cell>
          <cell r="O1068">
            <v>5.6256778556741667</v>
          </cell>
          <cell r="P1068">
            <v>5.5020745462686138</v>
          </cell>
          <cell r="Q1068">
            <v>5.3784712368630609</v>
          </cell>
          <cell r="R1068">
            <v>5.2548679274575081</v>
          </cell>
          <cell r="S1068">
            <v>5.131264618051933</v>
          </cell>
          <cell r="T1068">
            <v>5.0310687350843182</v>
          </cell>
          <cell r="U1068">
            <v>4.9308728521167042</v>
          </cell>
          <cell r="V1068">
            <v>4.8306769691490672</v>
          </cell>
          <cell r="W1068">
            <v>4.7304810861814532</v>
          </cell>
          <cell r="X1068">
            <v>4.6302852032138277</v>
          </cell>
          <cell r="Y1068">
            <v>4.5899194709759286</v>
          </cell>
          <cell r="Z1068">
            <v>4.5495537387380294</v>
          </cell>
          <cell r="AA1068">
            <v>4.5091880065001417</v>
          </cell>
          <cell r="AB1068">
            <v>4.4688222742622434</v>
          </cell>
          <cell r="AC1068">
            <v>4.4284565420243442</v>
          </cell>
          <cell r="AD1068">
            <v>4.3980034541586406</v>
          </cell>
          <cell r="AE1068">
            <v>4.3675503662929485</v>
          </cell>
          <cell r="AF1068">
            <v>4.3370972784272572</v>
          </cell>
          <cell r="AG1068">
            <v>4.3066441905615651</v>
          </cell>
          <cell r="AH1068">
            <v>4.276191102695873</v>
          </cell>
        </row>
        <row r="1069">
          <cell r="B1069" t="str">
            <v>Nitrogen - Energy cost - Asia - USD/ton fuel</v>
          </cell>
          <cell r="G1069">
            <v>14.287152547758014</v>
          </cell>
          <cell r="H1069">
            <v>13.03167974610391</v>
          </cell>
          <cell r="I1069">
            <v>11.77620694445044</v>
          </cell>
          <cell r="J1069">
            <v>11.119954197792257</v>
          </cell>
          <cell r="K1069">
            <v>10.480077002731496</v>
          </cell>
          <cell r="L1069">
            <v>9.856575359267671</v>
          </cell>
          <cell r="M1069">
            <v>9.2494492674009816</v>
          </cell>
          <cell r="N1069">
            <v>8.6586987271315277</v>
          </cell>
          <cell r="O1069">
            <v>8.3804416132623381</v>
          </cell>
          <cell r="P1069">
            <v>8.1021844993932071</v>
          </cell>
          <cell r="Q1069">
            <v>7.8239273855241667</v>
          </cell>
          <cell r="R1069">
            <v>7.5456702716550357</v>
          </cell>
          <cell r="S1069">
            <v>7.2674131577859047</v>
          </cell>
          <cell r="T1069">
            <v>7.1259404995451412</v>
          </cell>
          <cell r="U1069">
            <v>6.9844678413043768</v>
          </cell>
          <cell r="V1069">
            <v>6.8429951830636586</v>
          </cell>
          <cell r="W1069">
            <v>6.7015225248228951</v>
          </cell>
          <cell r="X1069">
            <v>6.5600498665822222</v>
          </cell>
          <cell r="Y1069">
            <v>6.4119664588195064</v>
          </cell>
          <cell r="Z1069">
            <v>6.2638830510568368</v>
          </cell>
          <cell r="AA1069">
            <v>6.115799643294122</v>
          </cell>
          <cell r="AB1069">
            <v>5.9677162355314524</v>
          </cell>
          <cell r="AC1069">
            <v>5.8196328277687375</v>
          </cell>
          <cell r="AD1069">
            <v>5.751723739774639</v>
          </cell>
          <cell r="AE1069">
            <v>5.6838146517805175</v>
          </cell>
          <cell r="AF1069">
            <v>5.615905563786419</v>
          </cell>
          <cell r="AG1069">
            <v>5.5479964757923206</v>
          </cell>
          <cell r="AH1069">
            <v>5.480087387798199</v>
          </cell>
        </row>
        <row r="1070">
          <cell r="B1070" t="str">
            <v>Nitrogen - Energy cost - Europe - USD/ton fuel</v>
          </cell>
          <cell r="G1070">
            <v>10.636011178706594</v>
          </cell>
          <cell r="H1070">
            <v>10.177603566500183</v>
          </cell>
          <cell r="I1070">
            <v>9.7191959542938005</v>
          </cell>
          <cell r="J1070">
            <v>9.178821654708452</v>
          </cell>
          <cell r="K1070">
            <v>8.6519163049701522</v>
          </cell>
          <cell r="L1070">
            <v>8.1384799050790164</v>
          </cell>
          <cell r="M1070">
            <v>7.6385124550348573</v>
          </cell>
          <cell r="N1070">
            <v>7.1520139548377957</v>
          </cell>
          <cell r="O1070">
            <v>7.012105307969887</v>
          </cell>
          <cell r="P1070">
            <v>6.8721966611020893</v>
          </cell>
          <cell r="Q1070">
            <v>6.7322880142342463</v>
          </cell>
          <cell r="R1070">
            <v>6.5923793673664024</v>
          </cell>
          <cell r="S1070">
            <v>6.4524707204986047</v>
          </cell>
          <cell r="T1070">
            <v>6.3689381471233446</v>
          </cell>
          <cell r="U1070">
            <v>6.2854055737481076</v>
          </cell>
          <cell r="V1070">
            <v>6.2018730003728706</v>
          </cell>
          <cell r="W1070">
            <v>6.1183404269976336</v>
          </cell>
          <cell r="X1070">
            <v>6.0348078536223513</v>
          </cell>
          <cell r="Y1070">
            <v>5.9454430810320904</v>
          </cell>
          <cell r="Z1070">
            <v>5.8560783084418064</v>
          </cell>
          <cell r="AA1070">
            <v>5.7667135358515456</v>
          </cell>
          <cell r="AB1070">
            <v>5.6773487632612616</v>
          </cell>
          <cell r="AC1070">
            <v>5.5879839906710007</v>
          </cell>
          <cell r="AD1070">
            <v>5.5227816121863729</v>
          </cell>
          <cell r="AE1070">
            <v>5.4575792337017219</v>
          </cell>
          <cell r="AF1070">
            <v>5.3923768552170941</v>
          </cell>
          <cell r="AG1070">
            <v>5.3271744767324662</v>
          </cell>
          <cell r="AH1070">
            <v>5.2619720982478162</v>
          </cell>
        </row>
        <row r="1071">
          <cell r="B1071" t="str">
            <v>Nitrogen - Energy cost - Middle East - USD/ton fuel</v>
          </cell>
          <cell r="G1071">
            <v>8.1444696680960718</v>
          </cell>
          <cell r="H1071">
            <v>7.7850746380955025</v>
          </cell>
          <cell r="I1071">
            <v>7.4256796080948551</v>
          </cell>
          <cell r="J1071">
            <v>7.0570412194724659</v>
          </cell>
          <cell r="K1071">
            <v>6.6970556468542668</v>
          </cell>
          <cell r="L1071">
            <v>6.3457228902401965</v>
          </cell>
          <cell r="M1071">
            <v>6.0030429496302569</v>
          </cell>
          <cell r="N1071">
            <v>5.6690158250243963</v>
          </cell>
          <cell r="O1071">
            <v>5.5164850150726581</v>
          </cell>
          <cell r="P1071">
            <v>5.3639542051209448</v>
          </cell>
          <cell r="Q1071">
            <v>5.2114233951691862</v>
          </cell>
          <cell r="R1071">
            <v>5.0588925852174729</v>
          </cell>
          <cell r="S1071">
            <v>4.9063617752657596</v>
          </cell>
          <cell r="T1071">
            <v>4.8298844310212417</v>
          </cell>
          <cell r="U1071">
            <v>4.7534070867767246</v>
          </cell>
          <cell r="V1071">
            <v>4.6769297425322298</v>
          </cell>
          <cell r="W1071">
            <v>4.6004523982877119</v>
          </cell>
          <cell r="X1071">
            <v>4.523975054043194</v>
          </cell>
          <cell r="Y1071">
            <v>4.4236829663340131</v>
          </cell>
          <cell r="Z1071">
            <v>4.3233908786248554</v>
          </cell>
          <cell r="AA1071">
            <v>4.2230987909156736</v>
          </cell>
          <cell r="AB1071">
            <v>4.1228067032065159</v>
          </cell>
          <cell r="AC1071">
            <v>4.0225146154973235</v>
          </cell>
          <cell r="AD1071">
            <v>3.9755747722656114</v>
          </cell>
          <cell r="AE1071">
            <v>3.9286349290339104</v>
          </cell>
          <cell r="AF1071">
            <v>3.8816950858021984</v>
          </cell>
          <cell r="AG1071">
            <v>3.8347552425704863</v>
          </cell>
          <cell r="AH1071">
            <v>3.7878153993387857</v>
          </cell>
        </row>
        <row r="1072">
          <cell r="B1072" t="str">
            <v>Carbon capture - Energy cost - Africa - USD/ton fuel</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row>
        <row r="1073">
          <cell r="B1073" t="str">
            <v>Carbon capture - Energy cost - Americas - USD/ton fuel</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row>
        <row r="1074">
          <cell r="B1074" t="str">
            <v>Carbon capture - Energy cost - Asia - USD/ton fuel</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row>
        <row r="1075">
          <cell r="B1075" t="str">
            <v>Carbon capture - Energy cost - Europe - USD/ton fuel</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row>
        <row r="1076">
          <cell r="B1076" t="str">
            <v>Carbon capture - Energy cost - Middle East - USD/ton fuel</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row>
        <row r="1077">
          <cell r="B1077" t="str">
            <v>Carbon storage - Energy cost - Africa - USD/ton fuel</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row>
        <row r="1078">
          <cell r="B1078" t="str">
            <v>Carbon storage - Energy cost - Americas - USD/ton fuel</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row>
        <row r="1079">
          <cell r="B1079" t="str">
            <v>Carbon storage - Energy cost - Asia - USD/ton fuel</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row>
        <row r="1080">
          <cell r="B1080" t="str">
            <v>Carbon storage - Energy cost - Europe - USD/ton fuel</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row>
        <row r="1081">
          <cell r="B1081" t="str">
            <v>Carbon storage - Energy cost - Middle East - USD/ton fuel</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row>
        <row r="1082">
          <cell r="B1082" t="str">
            <v>Blue ammonia (CCS) - Conversion N2 -&gt; NH3 - Global - ton N2/ton NH3</v>
          </cell>
          <cell r="G1082">
            <v>0.82199999999999995</v>
          </cell>
          <cell r="H1082">
            <v>0.82199999999999995</v>
          </cell>
          <cell r="I1082">
            <v>0.82199999999999995</v>
          </cell>
          <cell r="J1082">
            <v>0.82199999999999995</v>
          </cell>
          <cell r="K1082">
            <v>0.82199999999999995</v>
          </cell>
          <cell r="L1082">
            <v>0.82199999999999995</v>
          </cell>
          <cell r="M1082">
            <v>0.82199999999999995</v>
          </cell>
          <cell r="N1082">
            <v>0.82199999999999995</v>
          </cell>
          <cell r="O1082">
            <v>0.82199999999999995</v>
          </cell>
          <cell r="P1082">
            <v>0.82199999999999995</v>
          </cell>
          <cell r="Q1082">
            <v>0.82199999999999995</v>
          </cell>
          <cell r="R1082">
            <v>0.82199999999999995</v>
          </cell>
          <cell r="S1082">
            <v>0.82199999999999995</v>
          </cell>
          <cell r="T1082">
            <v>0.82199999999999995</v>
          </cell>
          <cell r="U1082">
            <v>0.82199999999999995</v>
          </cell>
          <cell r="V1082">
            <v>0.82199999999999995</v>
          </cell>
          <cell r="W1082">
            <v>0.82199999999999995</v>
          </cell>
          <cell r="X1082">
            <v>0.82199999999999995</v>
          </cell>
          <cell r="Y1082">
            <v>0.82199999999999995</v>
          </cell>
          <cell r="Z1082">
            <v>0.82199999999999995</v>
          </cell>
          <cell r="AA1082">
            <v>0.82199999999999995</v>
          </cell>
          <cell r="AB1082">
            <v>0.82199999999999995</v>
          </cell>
          <cell r="AC1082">
            <v>0.82199999999999995</v>
          </cell>
          <cell r="AD1082">
            <v>0.82199999999999995</v>
          </cell>
          <cell r="AE1082">
            <v>0.82199999999999995</v>
          </cell>
          <cell r="AF1082">
            <v>0.82199999999999995</v>
          </cell>
          <cell r="AG1082">
            <v>0.82199999999999995</v>
          </cell>
          <cell r="AH1082">
            <v>0.82199999999999995</v>
          </cell>
        </row>
        <row r="1083">
          <cell r="B1083" t="str">
            <v>Carbon capture &amp; storage (CCS) - Conversion NG -&gt; CO2 -&gt; NH3 - Global - ton CO2/ton NH3</v>
          </cell>
          <cell r="G1083">
            <v>1.8880000000000001</v>
          </cell>
          <cell r="H1083">
            <v>1.8880000000000001</v>
          </cell>
          <cell r="I1083">
            <v>1.8880000000000001</v>
          </cell>
          <cell r="J1083">
            <v>1.8880000000000001</v>
          </cell>
          <cell r="K1083">
            <v>1.8880000000000001</v>
          </cell>
          <cell r="L1083">
            <v>1.8880000000000001</v>
          </cell>
          <cell r="M1083">
            <v>1.8880000000000001</v>
          </cell>
          <cell r="N1083">
            <v>1.8880000000000001</v>
          </cell>
          <cell r="O1083">
            <v>1.8880000000000001</v>
          </cell>
          <cell r="P1083">
            <v>1.8880000000000001</v>
          </cell>
          <cell r="Q1083">
            <v>1.8880000000000001</v>
          </cell>
          <cell r="R1083">
            <v>1.8880000000000001</v>
          </cell>
          <cell r="S1083">
            <v>1.8880000000000001</v>
          </cell>
          <cell r="T1083">
            <v>1.8880000000000001</v>
          </cell>
          <cell r="U1083">
            <v>1.8880000000000001</v>
          </cell>
          <cell r="V1083">
            <v>1.8880000000000001</v>
          </cell>
          <cell r="W1083">
            <v>1.8880000000000001</v>
          </cell>
          <cell r="X1083">
            <v>1.8880000000000001</v>
          </cell>
          <cell r="Y1083">
            <v>1.8880000000000001</v>
          </cell>
          <cell r="Z1083">
            <v>1.8880000000000001</v>
          </cell>
          <cell r="AA1083">
            <v>1.8880000000000001</v>
          </cell>
          <cell r="AB1083">
            <v>1.8880000000000001</v>
          </cell>
          <cell r="AC1083">
            <v>1.8880000000000001</v>
          </cell>
          <cell r="AD1083">
            <v>1.8880000000000001</v>
          </cell>
          <cell r="AE1083">
            <v>1.8880000000000001</v>
          </cell>
          <cell r="AF1083">
            <v>1.8880000000000001</v>
          </cell>
          <cell r="AG1083">
            <v>1.8880000000000001</v>
          </cell>
          <cell r="AH1083">
            <v>1.8880000000000001</v>
          </cell>
        </row>
        <row r="1084">
          <cell r="B1084" t="str">
            <v>Carbon storage - Carbon to store - Global - ton CO2/ton NH3</v>
          </cell>
          <cell r="G1084">
            <v>1.6916480000000007</v>
          </cell>
          <cell r="H1084">
            <v>1.6954240000000003</v>
          </cell>
          <cell r="I1084">
            <v>1.6992000000000007</v>
          </cell>
          <cell r="J1084">
            <v>1.7029760000000003</v>
          </cell>
          <cell r="K1084">
            <v>1.7067520000000016</v>
          </cell>
          <cell r="L1084">
            <v>1.7105280000000012</v>
          </cell>
          <cell r="M1084">
            <v>1.7143040000000007</v>
          </cell>
          <cell r="N1084">
            <v>1.718080000000002</v>
          </cell>
          <cell r="O1084">
            <v>1.7218560000000001</v>
          </cell>
          <cell r="P1084">
            <v>1.7256319999999996</v>
          </cell>
          <cell r="Q1084">
            <v>1.7294079999999992</v>
          </cell>
          <cell r="R1084">
            <v>1.7331839999999987</v>
          </cell>
          <cell r="S1084">
            <v>1.7369600000000001</v>
          </cell>
          <cell r="T1084">
            <v>1.7407359999999996</v>
          </cell>
          <cell r="U1084">
            <v>1.7445120000000007</v>
          </cell>
          <cell r="V1084">
            <v>1.7482880000000005</v>
          </cell>
          <cell r="W1084">
            <v>1.7520640000000001</v>
          </cell>
          <cell r="X1084">
            <v>1.7558400000000005</v>
          </cell>
          <cell r="Y1084">
            <v>1.7596160000000001</v>
          </cell>
          <cell r="Z1084">
            <v>1.7633919999999996</v>
          </cell>
          <cell r="AA1084">
            <v>1.7671680000000007</v>
          </cell>
          <cell r="AB1084">
            <v>1.7709440000000005</v>
          </cell>
          <cell r="AC1084">
            <v>1.7747200000000001</v>
          </cell>
          <cell r="AD1084">
            <v>1.7784960000000012</v>
          </cell>
          <cell r="AE1084">
            <v>1.782272000000001</v>
          </cell>
          <cell r="AF1084">
            <v>1.7860480000000005</v>
          </cell>
          <cell r="AG1084">
            <v>1.7898240000000001</v>
          </cell>
          <cell r="AH1084">
            <v>1.7935999999999996</v>
          </cell>
        </row>
        <row r="1085">
          <cell r="B1085" t="str">
            <v/>
          </cell>
        </row>
        <row r="1086">
          <cell r="B1086" t="str">
            <v>Blue ammonia (CCS) - Feedstock cost including feedstock feedstock cost - Africa - USD/ton fuel</v>
          </cell>
          <cell r="G1086">
            <v>627.20000000000005</v>
          </cell>
          <cell r="H1086">
            <v>509.6</v>
          </cell>
          <cell r="I1086">
            <v>392.00000000000006</v>
          </cell>
          <cell r="J1086">
            <v>366.8</v>
          </cell>
          <cell r="K1086">
            <v>341.6</v>
          </cell>
          <cell r="L1086">
            <v>316.40000000000003</v>
          </cell>
          <cell r="M1086">
            <v>291.20000000000005</v>
          </cell>
          <cell r="N1086">
            <v>266</v>
          </cell>
          <cell r="O1086">
            <v>266</v>
          </cell>
          <cell r="P1086">
            <v>266</v>
          </cell>
          <cell r="Q1086">
            <v>266</v>
          </cell>
          <cell r="R1086">
            <v>266</v>
          </cell>
          <cell r="S1086">
            <v>266</v>
          </cell>
          <cell r="T1086">
            <v>266</v>
          </cell>
          <cell r="U1086">
            <v>266</v>
          </cell>
          <cell r="V1086">
            <v>266</v>
          </cell>
          <cell r="W1086">
            <v>266</v>
          </cell>
          <cell r="X1086">
            <v>266</v>
          </cell>
          <cell r="Y1086">
            <v>266</v>
          </cell>
          <cell r="Z1086">
            <v>266</v>
          </cell>
          <cell r="AA1086">
            <v>266</v>
          </cell>
          <cell r="AB1086">
            <v>266</v>
          </cell>
          <cell r="AC1086">
            <v>266</v>
          </cell>
          <cell r="AD1086">
            <v>266</v>
          </cell>
          <cell r="AE1086">
            <v>266</v>
          </cell>
          <cell r="AF1086">
            <v>266</v>
          </cell>
          <cell r="AG1086">
            <v>266</v>
          </cell>
          <cell r="AH1086">
            <v>266</v>
          </cell>
        </row>
        <row r="1087">
          <cell r="B1087" t="str">
            <v>Blue ammonia (CCS) - Feedstock cost including feedstock feedstock cost - Americas - USD/ton fuel</v>
          </cell>
          <cell r="G1087">
            <v>155.68</v>
          </cell>
          <cell r="H1087">
            <v>142.24</v>
          </cell>
          <cell r="I1087">
            <v>128.80000000000001</v>
          </cell>
          <cell r="J1087">
            <v>127.68</v>
          </cell>
          <cell r="K1087">
            <v>126.56000000000002</v>
          </cell>
          <cell r="L1087">
            <v>125.44000000000001</v>
          </cell>
          <cell r="M1087">
            <v>124.32000000000001</v>
          </cell>
          <cell r="N1087">
            <v>123.20000000000002</v>
          </cell>
          <cell r="O1087">
            <v>126.56000000000002</v>
          </cell>
          <cell r="P1087">
            <v>129.92000000000002</v>
          </cell>
          <cell r="Q1087">
            <v>133.28</v>
          </cell>
          <cell r="R1087">
            <v>136.64000000000001</v>
          </cell>
          <cell r="S1087">
            <v>140</v>
          </cell>
          <cell r="T1087">
            <v>140</v>
          </cell>
          <cell r="U1087">
            <v>140</v>
          </cell>
          <cell r="V1087">
            <v>140</v>
          </cell>
          <cell r="W1087">
            <v>140</v>
          </cell>
          <cell r="X1087">
            <v>140</v>
          </cell>
          <cell r="Y1087">
            <v>140</v>
          </cell>
          <cell r="Z1087">
            <v>140</v>
          </cell>
          <cell r="AA1087">
            <v>140</v>
          </cell>
          <cell r="AB1087">
            <v>140</v>
          </cell>
          <cell r="AC1087">
            <v>140</v>
          </cell>
          <cell r="AD1087">
            <v>140</v>
          </cell>
          <cell r="AE1087">
            <v>140</v>
          </cell>
          <cell r="AF1087">
            <v>140</v>
          </cell>
          <cell r="AG1087">
            <v>140</v>
          </cell>
          <cell r="AH1087">
            <v>140</v>
          </cell>
        </row>
        <row r="1088">
          <cell r="B1088" t="str">
            <v>Blue ammonia (CCS) - Feedstock cost including feedstock feedstock cost - Asia - USD/ton fuel</v>
          </cell>
          <cell r="G1088">
            <v>602.00000000000011</v>
          </cell>
          <cell r="H1088">
            <v>504.00000000000006</v>
          </cell>
          <cell r="I1088">
            <v>406.00000000000006</v>
          </cell>
          <cell r="J1088">
            <v>364.00000000000006</v>
          </cell>
          <cell r="K1088">
            <v>322.00000000000006</v>
          </cell>
          <cell r="L1088">
            <v>280</v>
          </cell>
          <cell r="M1088">
            <v>238.00000000000003</v>
          </cell>
          <cell r="N1088">
            <v>196.00000000000003</v>
          </cell>
          <cell r="O1088">
            <v>196.00000000000003</v>
          </cell>
          <cell r="P1088">
            <v>196.00000000000003</v>
          </cell>
          <cell r="Q1088">
            <v>196.00000000000003</v>
          </cell>
          <cell r="R1088">
            <v>196.00000000000003</v>
          </cell>
          <cell r="S1088">
            <v>196.00000000000003</v>
          </cell>
          <cell r="T1088">
            <v>196.00000000000003</v>
          </cell>
          <cell r="U1088">
            <v>196.00000000000003</v>
          </cell>
          <cell r="V1088">
            <v>196.00000000000003</v>
          </cell>
          <cell r="W1088">
            <v>196.00000000000003</v>
          </cell>
          <cell r="X1088">
            <v>196.00000000000003</v>
          </cell>
          <cell r="Y1088">
            <v>196.00000000000003</v>
          </cell>
          <cell r="Z1088">
            <v>196.00000000000003</v>
          </cell>
          <cell r="AA1088">
            <v>196.00000000000003</v>
          </cell>
          <cell r="AB1088">
            <v>196.00000000000003</v>
          </cell>
          <cell r="AC1088">
            <v>196.00000000000003</v>
          </cell>
          <cell r="AD1088">
            <v>196.00000000000003</v>
          </cell>
          <cell r="AE1088">
            <v>196.00000000000003</v>
          </cell>
          <cell r="AF1088">
            <v>196.00000000000003</v>
          </cell>
          <cell r="AG1088">
            <v>196.00000000000003</v>
          </cell>
          <cell r="AH1088">
            <v>196.00000000000003</v>
          </cell>
        </row>
        <row r="1089">
          <cell r="B1089" t="str">
            <v>Blue ammonia (CCS) - Feedstock cost including feedstock feedstock cost - Europe - USD/ton fuel</v>
          </cell>
          <cell r="G1089">
            <v>627.20000000000005</v>
          </cell>
          <cell r="H1089">
            <v>509.6</v>
          </cell>
          <cell r="I1089">
            <v>392.00000000000006</v>
          </cell>
          <cell r="J1089">
            <v>366.8</v>
          </cell>
          <cell r="K1089">
            <v>341.6</v>
          </cell>
          <cell r="L1089">
            <v>316.40000000000003</v>
          </cell>
          <cell r="M1089">
            <v>291.20000000000005</v>
          </cell>
          <cell r="N1089">
            <v>266</v>
          </cell>
          <cell r="O1089">
            <v>266</v>
          </cell>
          <cell r="P1089">
            <v>266</v>
          </cell>
          <cell r="Q1089">
            <v>266</v>
          </cell>
          <cell r="R1089">
            <v>266</v>
          </cell>
          <cell r="S1089">
            <v>266</v>
          </cell>
          <cell r="T1089">
            <v>266</v>
          </cell>
          <cell r="U1089">
            <v>266</v>
          </cell>
          <cell r="V1089">
            <v>266</v>
          </cell>
          <cell r="W1089">
            <v>266</v>
          </cell>
          <cell r="X1089">
            <v>266</v>
          </cell>
          <cell r="Y1089">
            <v>266</v>
          </cell>
          <cell r="Z1089">
            <v>266</v>
          </cell>
          <cell r="AA1089">
            <v>266</v>
          </cell>
          <cell r="AB1089">
            <v>266</v>
          </cell>
          <cell r="AC1089">
            <v>266</v>
          </cell>
          <cell r="AD1089">
            <v>266</v>
          </cell>
          <cell r="AE1089">
            <v>266</v>
          </cell>
          <cell r="AF1089">
            <v>266</v>
          </cell>
          <cell r="AG1089">
            <v>266</v>
          </cell>
          <cell r="AH1089">
            <v>266</v>
          </cell>
        </row>
        <row r="1090">
          <cell r="B1090" t="str">
            <v>Blue ammonia (CCS) - Feedstock cost including feedstock feedstock cost - Middle East - USD/ton fuel</v>
          </cell>
          <cell r="G1090">
            <v>490.00000000000006</v>
          </cell>
          <cell r="H1090">
            <v>392.00000000000006</v>
          </cell>
          <cell r="I1090">
            <v>294</v>
          </cell>
          <cell r="J1090">
            <v>251.44000000000003</v>
          </cell>
          <cell r="K1090">
            <v>208.88000000000002</v>
          </cell>
          <cell r="L1090">
            <v>166.32000000000002</v>
          </cell>
          <cell r="M1090">
            <v>123.76</v>
          </cell>
          <cell r="N1090">
            <v>81.2</v>
          </cell>
          <cell r="O1090">
            <v>81.2</v>
          </cell>
          <cell r="P1090">
            <v>81.2</v>
          </cell>
          <cell r="Q1090">
            <v>81.2</v>
          </cell>
          <cell r="R1090">
            <v>81.2</v>
          </cell>
          <cell r="S1090">
            <v>81.2</v>
          </cell>
          <cell r="T1090">
            <v>81.2</v>
          </cell>
          <cell r="U1090">
            <v>81.2</v>
          </cell>
          <cell r="V1090">
            <v>81.2</v>
          </cell>
          <cell r="W1090">
            <v>81.2</v>
          </cell>
          <cell r="X1090">
            <v>81.2</v>
          </cell>
          <cell r="Y1090">
            <v>81.2</v>
          </cell>
          <cell r="Z1090">
            <v>81.2</v>
          </cell>
          <cell r="AA1090">
            <v>81.2</v>
          </cell>
          <cell r="AB1090">
            <v>81.2</v>
          </cell>
          <cell r="AC1090">
            <v>81.2</v>
          </cell>
          <cell r="AD1090">
            <v>81.2</v>
          </cell>
          <cell r="AE1090">
            <v>81.2</v>
          </cell>
          <cell r="AF1090">
            <v>81.2</v>
          </cell>
          <cell r="AG1090">
            <v>81.2</v>
          </cell>
          <cell r="AH1090">
            <v>81.2</v>
          </cell>
        </row>
        <row r="1091">
          <cell r="B1091" t="str">
            <v>Natural gas - Price - Africa - USD/ton</v>
          </cell>
          <cell r="G1091">
            <v>1120</v>
          </cell>
          <cell r="H1091">
            <v>910</v>
          </cell>
          <cell r="I1091">
            <v>700</v>
          </cell>
          <cell r="J1091">
            <v>655</v>
          </cell>
          <cell r="K1091">
            <v>610</v>
          </cell>
          <cell r="L1091">
            <v>565</v>
          </cell>
          <cell r="M1091">
            <v>520</v>
          </cell>
          <cell r="N1091">
            <v>475</v>
          </cell>
          <cell r="O1091">
            <v>475</v>
          </cell>
          <cell r="P1091">
            <v>475</v>
          </cell>
          <cell r="Q1091">
            <v>475</v>
          </cell>
          <cell r="R1091">
            <v>475</v>
          </cell>
          <cell r="S1091">
            <v>475</v>
          </cell>
          <cell r="T1091">
            <v>475</v>
          </cell>
          <cell r="U1091">
            <v>475</v>
          </cell>
          <cell r="V1091">
            <v>475</v>
          </cell>
          <cell r="W1091">
            <v>475</v>
          </cell>
          <cell r="X1091">
            <v>475</v>
          </cell>
          <cell r="Y1091">
            <v>475</v>
          </cell>
          <cell r="Z1091">
            <v>475</v>
          </cell>
          <cell r="AA1091">
            <v>475</v>
          </cell>
          <cell r="AB1091">
            <v>475</v>
          </cell>
          <cell r="AC1091">
            <v>475</v>
          </cell>
          <cell r="AD1091">
            <v>475</v>
          </cell>
          <cell r="AE1091">
            <v>475</v>
          </cell>
          <cell r="AF1091">
            <v>475</v>
          </cell>
          <cell r="AG1091">
            <v>475</v>
          </cell>
          <cell r="AH1091">
            <v>475</v>
          </cell>
        </row>
        <row r="1092">
          <cell r="B1092" t="str">
            <v>Natural gas - Price - Americas - USD/ton</v>
          </cell>
          <cell r="G1092">
            <v>278</v>
          </cell>
          <cell r="H1092">
            <v>254</v>
          </cell>
          <cell r="I1092">
            <v>230</v>
          </cell>
          <cell r="J1092">
            <v>228</v>
          </cell>
          <cell r="K1092">
            <v>226</v>
          </cell>
          <cell r="L1092">
            <v>224</v>
          </cell>
          <cell r="M1092">
            <v>222</v>
          </cell>
          <cell r="N1092">
            <v>220</v>
          </cell>
          <cell r="O1092">
            <v>226</v>
          </cell>
          <cell r="P1092">
            <v>232</v>
          </cell>
          <cell r="Q1092">
            <v>238</v>
          </cell>
          <cell r="R1092">
            <v>244</v>
          </cell>
          <cell r="S1092">
            <v>250</v>
          </cell>
          <cell r="T1092">
            <v>250</v>
          </cell>
          <cell r="U1092">
            <v>250</v>
          </cell>
          <cell r="V1092">
            <v>250</v>
          </cell>
          <cell r="W1092">
            <v>250</v>
          </cell>
          <cell r="X1092">
            <v>250</v>
          </cell>
          <cell r="Y1092">
            <v>250</v>
          </cell>
          <cell r="Z1092">
            <v>250</v>
          </cell>
          <cell r="AA1092">
            <v>250</v>
          </cell>
          <cell r="AB1092">
            <v>250</v>
          </cell>
          <cell r="AC1092">
            <v>250</v>
          </cell>
          <cell r="AD1092">
            <v>250</v>
          </cell>
          <cell r="AE1092">
            <v>250</v>
          </cell>
          <cell r="AF1092">
            <v>250</v>
          </cell>
          <cell r="AG1092">
            <v>250</v>
          </cell>
          <cell r="AH1092">
            <v>250</v>
          </cell>
        </row>
        <row r="1093">
          <cell r="B1093" t="str">
            <v>Natural gas - Price - Asia - USD/ton</v>
          </cell>
          <cell r="G1093">
            <v>1075</v>
          </cell>
          <cell r="H1093">
            <v>900</v>
          </cell>
          <cell r="I1093">
            <v>725</v>
          </cell>
          <cell r="J1093">
            <v>650</v>
          </cell>
          <cell r="K1093">
            <v>575</v>
          </cell>
          <cell r="L1093">
            <v>500</v>
          </cell>
          <cell r="M1093">
            <v>425</v>
          </cell>
          <cell r="N1093">
            <v>350</v>
          </cell>
          <cell r="O1093">
            <v>350</v>
          </cell>
          <cell r="P1093">
            <v>350</v>
          </cell>
          <cell r="Q1093">
            <v>350</v>
          </cell>
          <cell r="R1093">
            <v>350</v>
          </cell>
          <cell r="S1093">
            <v>350</v>
          </cell>
          <cell r="T1093">
            <v>350</v>
          </cell>
          <cell r="U1093">
            <v>350</v>
          </cell>
          <cell r="V1093">
            <v>350</v>
          </cell>
          <cell r="W1093">
            <v>350</v>
          </cell>
          <cell r="X1093">
            <v>350</v>
          </cell>
          <cell r="Y1093">
            <v>350</v>
          </cell>
          <cell r="Z1093">
            <v>350</v>
          </cell>
          <cell r="AA1093">
            <v>350</v>
          </cell>
          <cell r="AB1093">
            <v>350</v>
          </cell>
          <cell r="AC1093">
            <v>350</v>
          </cell>
          <cell r="AD1093">
            <v>350</v>
          </cell>
          <cell r="AE1093">
            <v>350</v>
          </cell>
          <cell r="AF1093">
            <v>350</v>
          </cell>
          <cell r="AG1093">
            <v>350</v>
          </cell>
          <cell r="AH1093">
            <v>350</v>
          </cell>
        </row>
        <row r="1094">
          <cell r="B1094" t="str">
            <v>Natural gas - Price - Europe - USD/ton</v>
          </cell>
          <cell r="G1094">
            <v>1120</v>
          </cell>
          <cell r="H1094">
            <v>910</v>
          </cell>
          <cell r="I1094">
            <v>700</v>
          </cell>
          <cell r="J1094">
            <v>655</v>
          </cell>
          <cell r="K1094">
            <v>610</v>
          </cell>
          <cell r="L1094">
            <v>565</v>
          </cell>
          <cell r="M1094">
            <v>520</v>
          </cell>
          <cell r="N1094">
            <v>475</v>
          </cell>
          <cell r="O1094">
            <v>475</v>
          </cell>
          <cell r="P1094">
            <v>475</v>
          </cell>
          <cell r="Q1094">
            <v>475</v>
          </cell>
          <cell r="R1094">
            <v>475</v>
          </cell>
          <cell r="S1094">
            <v>475</v>
          </cell>
          <cell r="T1094">
            <v>475</v>
          </cell>
          <cell r="U1094">
            <v>475</v>
          </cell>
          <cell r="V1094">
            <v>475</v>
          </cell>
          <cell r="W1094">
            <v>475</v>
          </cell>
          <cell r="X1094">
            <v>475</v>
          </cell>
          <cell r="Y1094">
            <v>475</v>
          </cell>
          <cell r="Z1094">
            <v>475</v>
          </cell>
          <cell r="AA1094">
            <v>475</v>
          </cell>
          <cell r="AB1094">
            <v>475</v>
          </cell>
          <cell r="AC1094">
            <v>475</v>
          </cell>
          <cell r="AD1094">
            <v>475</v>
          </cell>
          <cell r="AE1094">
            <v>475</v>
          </cell>
          <cell r="AF1094">
            <v>475</v>
          </cell>
          <cell r="AG1094">
            <v>475</v>
          </cell>
          <cell r="AH1094">
            <v>475</v>
          </cell>
        </row>
        <row r="1095">
          <cell r="B1095" t="str">
            <v>Natural gas - Price - Middle East - USD/ton</v>
          </cell>
          <cell r="G1095">
            <v>875</v>
          </cell>
          <cell r="H1095">
            <v>700</v>
          </cell>
          <cell r="I1095">
            <v>525</v>
          </cell>
          <cell r="J1095">
            <v>449</v>
          </cell>
          <cell r="K1095">
            <v>373</v>
          </cell>
          <cell r="L1095">
            <v>297</v>
          </cell>
          <cell r="M1095">
            <v>221</v>
          </cell>
          <cell r="N1095">
            <v>145</v>
          </cell>
          <cell r="O1095">
            <v>145</v>
          </cell>
          <cell r="P1095">
            <v>145</v>
          </cell>
          <cell r="Q1095">
            <v>145</v>
          </cell>
          <cell r="R1095">
            <v>145</v>
          </cell>
          <cell r="S1095">
            <v>145</v>
          </cell>
          <cell r="T1095">
            <v>145</v>
          </cell>
          <cell r="U1095">
            <v>145</v>
          </cell>
          <cell r="V1095">
            <v>145</v>
          </cell>
          <cell r="W1095">
            <v>145</v>
          </cell>
          <cell r="X1095">
            <v>145</v>
          </cell>
          <cell r="Y1095">
            <v>145</v>
          </cell>
          <cell r="Z1095">
            <v>145</v>
          </cell>
          <cell r="AA1095">
            <v>145</v>
          </cell>
          <cell r="AB1095">
            <v>145</v>
          </cell>
          <cell r="AC1095">
            <v>145</v>
          </cell>
          <cell r="AD1095">
            <v>145</v>
          </cell>
          <cell r="AE1095">
            <v>145</v>
          </cell>
          <cell r="AF1095">
            <v>145</v>
          </cell>
          <cell r="AG1095">
            <v>145</v>
          </cell>
          <cell r="AH1095">
            <v>145</v>
          </cell>
        </row>
        <row r="1096">
          <cell r="B1096" t="str">
            <v>Nitrogen - Feedstock cost - Global - USD/ton fuel</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row>
        <row r="1097">
          <cell r="B1097" t="str">
            <v>Carbon capture - Feedstock cost - Global - USD/ton fuel</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row>
        <row r="1098">
          <cell r="B1098" t="str">
            <v>Carbon storage - Feedstock cost - Global - USD/ton fuel</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row>
        <row r="1099">
          <cell r="B1099" t="str">
            <v>Blue ammonia (CCS) - Conversion NG -&gt; NH3 - Global - ton NG/ton NH3</v>
          </cell>
          <cell r="G1099">
            <v>0.56000000000000005</v>
          </cell>
          <cell r="H1099">
            <v>0.56000000000000005</v>
          </cell>
          <cell r="I1099">
            <v>0.56000000000000005</v>
          </cell>
          <cell r="J1099">
            <v>0.56000000000000005</v>
          </cell>
          <cell r="K1099">
            <v>0.56000000000000005</v>
          </cell>
          <cell r="L1099">
            <v>0.56000000000000005</v>
          </cell>
          <cell r="M1099">
            <v>0.56000000000000005</v>
          </cell>
          <cell r="N1099">
            <v>0.56000000000000005</v>
          </cell>
          <cell r="O1099">
            <v>0.56000000000000005</v>
          </cell>
          <cell r="P1099">
            <v>0.56000000000000005</v>
          </cell>
          <cell r="Q1099">
            <v>0.56000000000000005</v>
          </cell>
          <cell r="R1099">
            <v>0.56000000000000005</v>
          </cell>
          <cell r="S1099">
            <v>0.56000000000000005</v>
          </cell>
          <cell r="T1099">
            <v>0.56000000000000005</v>
          </cell>
          <cell r="U1099">
            <v>0.56000000000000005</v>
          </cell>
          <cell r="V1099">
            <v>0.56000000000000005</v>
          </cell>
          <cell r="W1099">
            <v>0.56000000000000005</v>
          </cell>
          <cell r="X1099">
            <v>0.56000000000000005</v>
          </cell>
          <cell r="Y1099">
            <v>0.56000000000000005</v>
          </cell>
          <cell r="Z1099">
            <v>0.56000000000000005</v>
          </cell>
          <cell r="AA1099">
            <v>0.56000000000000005</v>
          </cell>
          <cell r="AB1099">
            <v>0.56000000000000005</v>
          </cell>
          <cell r="AC1099">
            <v>0.56000000000000005</v>
          </cell>
          <cell r="AD1099">
            <v>0.56000000000000005</v>
          </cell>
          <cell r="AE1099">
            <v>0.56000000000000005</v>
          </cell>
          <cell r="AF1099">
            <v>0.56000000000000005</v>
          </cell>
          <cell r="AG1099">
            <v>0.56000000000000005</v>
          </cell>
          <cell r="AH1099">
            <v>0.56000000000000005</v>
          </cell>
        </row>
        <row r="1100">
          <cell r="B1100" t="str">
            <v>Blue ammonia (CCS) - Conversion N2 -&gt; NH3 - Global - ton N2/ton NH3</v>
          </cell>
          <cell r="G1100">
            <v>0.82199999999999995</v>
          </cell>
          <cell r="H1100">
            <v>0.82199999999999995</v>
          </cell>
          <cell r="I1100">
            <v>0.82199999999999995</v>
          </cell>
          <cell r="J1100">
            <v>0.82199999999999995</v>
          </cell>
          <cell r="K1100">
            <v>0.82199999999999995</v>
          </cell>
          <cell r="L1100">
            <v>0.82199999999999995</v>
          </cell>
          <cell r="M1100">
            <v>0.82199999999999995</v>
          </cell>
          <cell r="N1100">
            <v>0.82199999999999995</v>
          </cell>
          <cell r="O1100">
            <v>0.82199999999999995</v>
          </cell>
          <cell r="P1100">
            <v>0.82199999999999995</v>
          </cell>
          <cell r="Q1100">
            <v>0.82199999999999995</v>
          </cell>
          <cell r="R1100">
            <v>0.82199999999999995</v>
          </cell>
          <cell r="S1100">
            <v>0.82199999999999995</v>
          </cell>
          <cell r="T1100">
            <v>0.82199999999999995</v>
          </cell>
          <cell r="U1100">
            <v>0.82199999999999995</v>
          </cell>
          <cell r="V1100">
            <v>0.82199999999999995</v>
          </cell>
          <cell r="W1100">
            <v>0.82199999999999995</v>
          </cell>
          <cell r="X1100">
            <v>0.82199999999999995</v>
          </cell>
          <cell r="Y1100">
            <v>0.82199999999999995</v>
          </cell>
          <cell r="Z1100">
            <v>0.82199999999999995</v>
          </cell>
          <cell r="AA1100">
            <v>0.82199999999999995</v>
          </cell>
          <cell r="AB1100">
            <v>0.82199999999999995</v>
          </cell>
          <cell r="AC1100">
            <v>0.82199999999999995</v>
          </cell>
          <cell r="AD1100">
            <v>0.82199999999999995</v>
          </cell>
          <cell r="AE1100">
            <v>0.82199999999999995</v>
          </cell>
          <cell r="AF1100">
            <v>0.82199999999999995</v>
          </cell>
          <cell r="AG1100">
            <v>0.82199999999999995</v>
          </cell>
          <cell r="AH1100">
            <v>0.82199999999999995</v>
          </cell>
        </row>
        <row r="1101">
          <cell r="B1101" t="str">
            <v>Carbon capture &amp; storage (CCS) - Conversion NG -&gt; CO2 -&gt; NH3 - Global - ton CO2/ton NH3</v>
          </cell>
          <cell r="G1101">
            <v>1.8880000000000001</v>
          </cell>
          <cell r="H1101">
            <v>1.8880000000000001</v>
          </cell>
          <cell r="I1101">
            <v>1.8880000000000001</v>
          </cell>
          <cell r="J1101">
            <v>1.8880000000000001</v>
          </cell>
          <cell r="K1101">
            <v>1.8880000000000001</v>
          </cell>
          <cell r="L1101">
            <v>1.8880000000000001</v>
          </cell>
          <cell r="M1101">
            <v>1.8880000000000001</v>
          </cell>
          <cell r="N1101">
            <v>1.8880000000000001</v>
          </cell>
          <cell r="O1101">
            <v>1.8880000000000001</v>
          </cell>
          <cell r="P1101">
            <v>1.8880000000000001</v>
          </cell>
          <cell r="Q1101">
            <v>1.8880000000000001</v>
          </cell>
          <cell r="R1101">
            <v>1.8880000000000001</v>
          </cell>
          <cell r="S1101">
            <v>1.8880000000000001</v>
          </cell>
          <cell r="T1101">
            <v>1.8880000000000001</v>
          </cell>
          <cell r="U1101">
            <v>1.8880000000000001</v>
          </cell>
          <cell r="V1101">
            <v>1.8880000000000001</v>
          </cell>
          <cell r="W1101">
            <v>1.8880000000000001</v>
          </cell>
          <cell r="X1101">
            <v>1.8880000000000001</v>
          </cell>
          <cell r="Y1101">
            <v>1.8880000000000001</v>
          </cell>
          <cell r="Z1101">
            <v>1.8880000000000001</v>
          </cell>
          <cell r="AA1101">
            <v>1.8880000000000001</v>
          </cell>
          <cell r="AB1101">
            <v>1.8880000000000001</v>
          </cell>
          <cell r="AC1101">
            <v>1.8880000000000001</v>
          </cell>
          <cell r="AD1101">
            <v>1.8880000000000001</v>
          </cell>
          <cell r="AE1101">
            <v>1.8880000000000001</v>
          </cell>
          <cell r="AF1101">
            <v>1.8880000000000001</v>
          </cell>
          <cell r="AG1101">
            <v>1.8880000000000001</v>
          </cell>
          <cell r="AH1101">
            <v>1.8880000000000001</v>
          </cell>
        </row>
        <row r="1102">
          <cell r="B1102" t="str">
            <v>Carbon storage - Carbon to store - Global - ton CO2/ton NH3</v>
          </cell>
          <cell r="G1102">
            <v>1.6916480000000007</v>
          </cell>
          <cell r="H1102">
            <v>1.6954240000000003</v>
          </cell>
          <cell r="I1102">
            <v>1.6992000000000007</v>
          </cell>
          <cell r="J1102">
            <v>1.7029760000000003</v>
          </cell>
          <cell r="K1102">
            <v>1.7067520000000016</v>
          </cell>
          <cell r="L1102">
            <v>1.7105280000000012</v>
          </cell>
          <cell r="M1102">
            <v>1.7143040000000007</v>
          </cell>
          <cell r="N1102">
            <v>1.718080000000002</v>
          </cell>
          <cell r="O1102">
            <v>1.7218560000000001</v>
          </cell>
          <cell r="P1102">
            <v>1.7256319999999996</v>
          </cell>
          <cell r="Q1102">
            <v>1.7294079999999992</v>
          </cell>
          <cell r="R1102">
            <v>1.7331839999999987</v>
          </cell>
          <cell r="S1102">
            <v>1.7369600000000001</v>
          </cell>
          <cell r="T1102">
            <v>1.7407359999999996</v>
          </cell>
          <cell r="U1102">
            <v>1.7445120000000007</v>
          </cell>
          <cell r="V1102">
            <v>1.7482880000000005</v>
          </cell>
          <cell r="W1102">
            <v>1.7520640000000001</v>
          </cell>
          <cell r="X1102">
            <v>1.7558400000000005</v>
          </cell>
          <cell r="Y1102">
            <v>1.7596160000000001</v>
          </cell>
          <cell r="Z1102">
            <v>1.7633919999999996</v>
          </cell>
          <cell r="AA1102">
            <v>1.7671680000000007</v>
          </cell>
          <cell r="AB1102">
            <v>1.7709440000000005</v>
          </cell>
          <cell r="AC1102">
            <v>1.7747200000000001</v>
          </cell>
          <cell r="AD1102">
            <v>1.7784960000000012</v>
          </cell>
          <cell r="AE1102">
            <v>1.782272000000001</v>
          </cell>
          <cell r="AF1102">
            <v>1.7860480000000005</v>
          </cell>
          <cell r="AG1102">
            <v>1.7898240000000001</v>
          </cell>
          <cell r="AH1102">
            <v>1.7935999999999996</v>
          </cell>
        </row>
        <row r="1104">
          <cell r="B1104" t="str">
            <v>Bio-methanol - Item - Region - Unit</v>
          </cell>
          <cell r="G1104">
            <v>2023</v>
          </cell>
          <cell r="H1104">
            <v>2024</v>
          </cell>
          <cell r="I1104">
            <v>2025</v>
          </cell>
          <cell r="J1104">
            <v>2026</v>
          </cell>
          <cell r="K1104">
            <v>2027</v>
          </cell>
          <cell r="L1104">
            <v>2028</v>
          </cell>
          <cell r="M1104">
            <v>2029</v>
          </cell>
          <cell r="N1104">
            <v>2030</v>
          </cell>
          <cell r="O1104">
            <v>2031</v>
          </cell>
          <cell r="P1104">
            <v>2032</v>
          </cell>
          <cell r="Q1104">
            <v>2033</v>
          </cell>
          <cell r="R1104">
            <v>2034</v>
          </cell>
          <cell r="S1104">
            <v>2035</v>
          </cell>
          <cell r="T1104">
            <v>2036</v>
          </cell>
          <cell r="U1104">
            <v>2037</v>
          </cell>
          <cell r="V1104">
            <v>2038</v>
          </cell>
          <cell r="W1104">
            <v>2039</v>
          </cell>
          <cell r="X1104">
            <v>2040</v>
          </cell>
          <cell r="Y1104">
            <v>2041</v>
          </cell>
          <cell r="Z1104">
            <v>2042</v>
          </cell>
          <cell r="AA1104">
            <v>2043</v>
          </cell>
          <cell r="AB1104">
            <v>2044</v>
          </cell>
          <cell r="AC1104">
            <v>2045</v>
          </cell>
          <cell r="AD1104">
            <v>2046</v>
          </cell>
          <cell r="AE1104">
            <v>2047</v>
          </cell>
          <cell r="AF1104">
            <v>2048</v>
          </cell>
          <cell r="AG1104">
            <v>2049</v>
          </cell>
          <cell r="AH1104">
            <v>2050</v>
          </cell>
        </row>
        <row r="1105">
          <cell r="B1105" t="str">
            <v>Bio-methanol - Total cost - Africa - USD/ton fuel</v>
          </cell>
          <cell r="G1105">
            <v>858.21344695589153</v>
          </cell>
          <cell r="H1105">
            <v>796.48236676736951</v>
          </cell>
          <cell r="I1105">
            <v>734.75128657884659</v>
          </cell>
          <cell r="J1105">
            <v>712.69159441187378</v>
          </cell>
          <cell r="K1105">
            <v>690.63315150037511</v>
          </cell>
          <cell r="L1105">
            <v>668.57595784435102</v>
          </cell>
          <cell r="M1105">
            <v>646.52001344380096</v>
          </cell>
          <cell r="N1105">
            <v>624.46531829872549</v>
          </cell>
          <cell r="O1105">
            <v>615.70487426522914</v>
          </cell>
          <cell r="P1105">
            <v>606.94512756773474</v>
          </cell>
          <cell r="Q1105">
            <v>598.18607820624288</v>
          </cell>
          <cell r="R1105">
            <v>589.42772618075355</v>
          </cell>
          <cell r="S1105">
            <v>580.67007149126619</v>
          </cell>
          <cell r="T1105">
            <v>571.96623817144518</v>
          </cell>
          <cell r="U1105">
            <v>563.26273307622091</v>
          </cell>
          <cell r="V1105">
            <v>554.55955620559507</v>
          </cell>
          <cell r="W1105">
            <v>545.85670755956676</v>
          </cell>
          <cell r="X1105">
            <v>537.1541871381354</v>
          </cell>
          <cell r="Y1105">
            <v>532.15293219358728</v>
          </cell>
          <cell r="Z1105">
            <v>527.15201475292292</v>
          </cell>
          <cell r="AA1105">
            <v>522.15143481614382</v>
          </cell>
          <cell r="AB1105">
            <v>517.15119238324928</v>
          </cell>
          <cell r="AC1105">
            <v>512.1512874542384</v>
          </cell>
          <cell r="AD1105">
            <v>507.28826227939737</v>
          </cell>
          <cell r="AE1105">
            <v>502.4254027605009</v>
          </cell>
          <cell r="AF1105">
            <v>497.56270889755064</v>
          </cell>
          <cell r="AG1105">
            <v>492.70018069054578</v>
          </cell>
          <cell r="AH1105">
            <v>487.83781813948548</v>
          </cell>
        </row>
        <row r="1106">
          <cell r="B1106" t="str">
            <v>Bio-methanol - Total cost - Americas - USD/ton fuel</v>
          </cell>
          <cell r="G1106">
            <v>808.55799888990725</v>
          </cell>
          <cell r="H1106">
            <v>749.79290668200815</v>
          </cell>
          <cell r="I1106">
            <v>691.02781447410894</v>
          </cell>
          <cell r="J1106">
            <v>669.30099197910613</v>
          </cell>
          <cell r="K1106">
            <v>647.5750088694549</v>
          </cell>
          <cell r="L1106">
            <v>625.84986514515492</v>
          </cell>
          <cell r="M1106">
            <v>604.12556080620675</v>
          </cell>
          <cell r="N1106">
            <v>582.40209585260982</v>
          </cell>
          <cell r="O1106">
            <v>573.39505986205722</v>
          </cell>
          <cell r="P1106">
            <v>564.38842780388723</v>
          </cell>
          <cell r="Q1106">
            <v>555.38219967810164</v>
          </cell>
          <cell r="R1106">
            <v>546.37637548469979</v>
          </cell>
          <cell r="S1106">
            <v>537.37095522368065</v>
          </cell>
          <cell r="T1106">
            <v>528.42710056778697</v>
          </cell>
          <cell r="U1106">
            <v>519.48357334941829</v>
          </cell>
          <cell r="V1106">
            <v>510.54037356857646</v>
          </cell>
          <cell r="W1106">
            <v>501.59750122526066</v>
          </cell>
          <cell r="X1106">
            <v>492.65495631947005</v>
          </cell>
          <cell r="Y1106">
            <v>487.81891462033531</v>
          </cell>
          <cell r="Z1106">
            <v>482.98300483535741</v>
          </cell>
          <cell r="AA1106">
            <v>478.14722696453805</v>
          </cell>
          <cell r="AB1106">
            <v>473.31158100787633</v>
          </cell>
          <cell r="AC1106">
            <v>468.47606696537127</v>
          </cell>
          <cell r="AD1106">
            <v>463.424423787058</v>
          </cell>
          <cell r="AE1106">
            <v>458.37288012863849</v>
          </cell>
          <cell r="AF1106">
            <v>453.32143599011488</v>
          </cell>
          <cell r="AG1106">
            <v>448.27009137148627</v>
          </cell>
          <cell r="AH1106">
            <v>443.21884627275182</v>
          </cell>
        </row>
        <row r="1107">
          <cell r="B1107" t="str">
            <v>Bio-methanol - Total cost - Asia - USD/ton fuel</v>
          </cell>
          <cell r="G1107">
            <v>803.58085933681252</v>
          </cell>
          <cell r="H1107">
            <v>742.45478739877046</v>
          </cell>
          <cell r="I1107">
            <v>681.32871546072988</v>
          </cell>
          <cell r="J1107">
            <v>658.95283411271248</v>
          </cell>
          <cell r="K1107">
            <v>636.57829063655799</v>
          </cell>
          <cell r="L1107">
            <v>614.20508503226552</v>
          </cell>
          <cell r="M1107">
            <v>591.8332172998355</v>
          </cell>
          <cell r="N1107">
            <v>569.46268743926851</v>
          </cell>
          <cell r="O1107">
            <v>560.2875363642936</v>
          </cell>
          <cell r="P1107">
            <v>551.11329462629135</v>
          </cell>
          <cell r="Q1107">
            <v>541.9399622252638</v>
          </cell>
          <cell r="R1107">
            <v>532.76753916120936</v>
          </cell>
          <cell r="S1107">
            <v>523.59602543412745</v>
          </cell>
          <cell r="T1107">
            <v>514.78282753350845</v>
          </cell>
          <cell r="U1107">
            <v>505.97009196183706</v>
          </cell>
          <cell r="V1107">
            <v>497.15781871911508</v>
          </cell>
          <cell r="W1107">
            <v>488.34600780534157</v>
          </cell>
          <cell r="X1107">
            <v>479.53465922051589</v>
          </cell>
          <cell r="Y1107">
            <v>474.17288696465397</v>
          </cell>
          <cell r="Z1107">
            <v>468.81159864149618</v>
          </cell>
          <cell r="AA1107">
            <v>463.45079425104416</v>
          </cell>
          <cell r="AB1107">
            <v>458.09047379329746</v>
          </cell>
          <cell r="AC1107">
            <v>452.73063726825478</v>
          </cell>
          <cell r="AD1107">
            <v>447.82146351629279</v>
          </cell>
          <cell r="AE1107">
            <v>442.91251168945405</v>
          </cell>
          <cell r="AF1107">
            <v>438.00378178774031</v>
          </cell>
          <cell r="AG1107">
            <v>433.09527381115083</v>
          </cell>
          <cell r="AH1107">
            <v>428.18698775968454</v>
          </cell>
        </row>
        <row r="1108">
          <cell r="B1108" t="str">
            <v>Bio-methanol - Total cost - Europe - USD/ton fuel</v>
          </cell>
          <cell r="G1108">
            <v>827.51835384114952</v>
          </cell>
          <cell r="H1108">
            <v>768.29863814728151</v>
          </cell>
          <cell r="I1108">
            <v>709.07892245341361</v>
          </cell>
          <cell r="J1108">
            <v>687.13915177461377</v>
          </cell>
          <cell r="K1108">
            <v>665.20048150021307</v>
          </cell>
          <cell r="L1108">
            <v>643.26291163021187</v>
          </cell>
          <cell r="M1108">
            <v>621.32644216460972</v>
          </cell>
          <cell r="N1108">
            <v>599.39107310340705</v>
          </cell>
          <cell r="O1108">
            <v>590.58100735166727</v>
          </cell>
          <cell r="P1108">
            <v>581.77139881772734</v>
          </cell>
          <cell r="Q1108">
            <v>572.96224750158831</v>
          </cell>
          <cell r="R1108">
            <v>564.15355340324959</v>
          </cell>
          <cell r="S1108">
            <v>555.34531652271016</v>
          </cell>
          <cell r="T1108">
            <v>546.44284288554036</v>
          </cell>
          <cell r="U1108">
            <v>537.54064223063529</v>
          </cell>
          <cell r="V1108">
            <v>528.6387145579971</v>
          </cell>
          <cell r="W1108">
            <v>519.73705986762479</v>
          </cell>
          <cell r="X1108">
            <v>510.83567815951739</v>
          </cell>
          <cell r="Y1108">
            <v>505.8697113606604</v>
          </cell>
          <cell r="Z1108">
            <v>500.90403660354298</v>
          </cell>
          <cell r="AA1108">
            <v>495.93865388816693</v>
          </cell>
          <cell r="AB1108">
            <v>490.9735632145314</v>
          </cell>
          <cell r="AC1108">
            <v>486.00876458263542</v>
          </cell>
          <cell r="AD1108">
            <v>481.10699752304504</v>
          </cell>
          <cell r="AE1108">
            <v>476.20544354312199</v>
          </cell>
          <cell r="AF1108">
            <v>471.30410264286809</v>
          </cell>
          <cell r="AG1108">
            <v>466.40297482228243</v>
          </cell>
          <cell r="AH1108">
            <v>461.50206008136411</v>
          </cell>
        </row>
        <row r="1109">
          <cell r="B1109" t="str">
            <v>Bio-methanol - Total cost - Middle East - USD/ton fuel</v>
          </cell>
          <cell r="G1109">
            <v>840.19328577588544</v>
          </cell>
          <cell r="H1109">
            <v>780.96838039168699</v>
          </cell>
          <cell r="I1109">
            <v>721.74347500748831</v>
          </cell>
          <cell r="J1109">
            <v>699.88168259331417</v>
          </cell>
          <cell r="K1109">
            <v>678.0205971085519</v>
          </cell>
          <cell r="L1109">
            <v>656.16021855320173</v>
          </cell>
          <cell r="M1109">
            <v>634.30054692726367</v>
          </cell>
          <cell r="N1109">
            <v>612.44158223073759</v>
          </cell>
          <cell r="O1109">
            <v>603.35885588627025</v>
          </cell>
          <cell r="P1109">
            <v>594.27662800850112</v>
          </cell>
          <cell r="Q1109">
            <v>585.1948985974318</v>
          </cell>
          <cell r="R1109">
            <v>576.11366765306184</v>
          </cell>
          <cell r="S1109">
            <v>567.03293517539021</v>
          </cell>
          <cell r="T1109">
            <v>558.3934225912576</v>
          </cell>
          <cell r="U1109">
            <v>549.7541599330857</v>
          </cell>
          <cell r="V1109">
            <v>541.11514720087621</v>
          </cell>
          <cell r="W1109">
            <v>532.47638439462821</v>
          </cell>
          <cell r="X1109">
            <v>523.83787151434103</v>
          </cell>
          <cell r="Y1109">
            <v>518.60391049974453</v>
          </cell>
          <cell r="Z1109">
            <v>513.37027723706763</v>
          </cell>
          <cell r="AA1109">
            <v>508.13697172631197</v>
          </cell>
          <cell r="AB1109">
            <v>502.90399396747716</v>
          </cell>
          <cell r="AC1109">
            <v>497.6713439605619</v>
          </cell>
          <cell r="AD1109">
            <v>492.57755494687012</v>
          </cell>
          <cell r="AE1109">
            <v>487.4839193313577</v>
          </cell>
          <cell r="AF1109">
            <v>482.39043711402655</v>
          </cell>
          <cell r="AG1109">
            <v>477.29710829487601</v>
          </cell>
          <cell r="AH1109">
            <v>472.20393287390516</v>
          </cell>
        </row>
        <row r="1110">
          <cell r="B1110" t="str">
            <v/>
          </cell>
        </row>
        <row r="1111">
          <cell r="B1111" t="str">
            <v>Bio-methanol - CAPEX including feedstock CAPEX - Global - USD/ton fuel</v>
          </cell>
          <cell r="G1111">
            <v>140</v>
          </cell>
          <cell r="H1111">
            <v>126.66666666666667</v>
          </cell>
          <cell r="I1111">
            <v>113.33333333333333</v>
          </cell>
          <cell r="J1111">
            <v>108.33333333333333</v>
          </cell>
          <cell r="K1111">
            <v>103.33333333333333</v>
          </cell>
          <cell r="L1111">
            <v>98.333333333333329</v>
          </cell>
          <cell r="M1111">
            <v>93.333333333333329</v>
          </cell>
          <cell r="N1111">
            <v>88.333333333333329</v>
          </cell>
          <cell r="O1111">
            <v>86.166666666666671</v>
          </cell>
          <cell r="P1111">
            <v>84</v>
          </cell>
          <cell r="Q1111">
            <v>81.833333333333329</v>
          </cell>
          <cell r="R1111">
            <v>79.666666666666671</v>
          </cell>
          <cell r="S1111">
            <v>77.5</v>
          </cell>
          <cell r="T1111">
            <v>75.333333333333329</v>
          </cell>
          <cell r="U1111">
            <v>73.166666666666671</v>
          </cell>
          <cell r="V1111">
            <v>71</v>
          </cell>
          <cell r="W1111">
            <v>68.833333333333329</v>
          </cell>
          <cell r="X1111">
            <v>66.666666666666671</v>
          </cell>
          <cell r="Y1111">
            <v>65.333333333333329</v>
          </cell>
          <cell r="Z1111">
            <v>64</v>
          </cell>
          <cell r="AA1111">
            <v>62.666666666666664</v>
          </cell>
          <cell r="AB1111">
            <v>61.333333333333336</v>
          </cell>
          <cell r="AC1111">
            <v>60</v>
          </cell>
          <cell r="AD1111">
            <v>58.666666666666664</v>
          </cell>
          <cell r="AE1111">
            <v>57.333333333333336</v>
          </cell>
          <cell r="AF1111">
            <v>56</v>
          </cell>
          <cell r="AG1111">
            <v>54.666666666666664</v>
          </cell>
          <cell r="AH1111">
            <v>53.333333333333336</v>
          </cell>
        </row>
        <row r="1112">
          <cell r="B1112" t="str">
            <v>Bio-methanol - CAPEX - Global - USD/ton fuel</v>
          </cell>
          <cell r="G1112">
            <v>140</v>
          </cell>
          <cell r="H1112">
            <v>126.66666666666667</v>
          </cell>
          <cell r="I1112">
            <v>113.33333333333333</v>
          </cell>
          <cell r="J1112">
            <v>108.33333333333333</v>
          </cell>
          <cell r="K1112">
            <v>103.33333333333333</v>
          </cell>
          <cell r="L1112">
            <v>98.333333333333329</v>
          </cell>
          <cell r="M1112">
            <v>93.333333333333329</v>
          </cell>
          <cell r="N1112">
            <v>88.333333333333329</v>
          </cell>
          <cell r="O1112">
            <v>86.166666666666671</v>
          </cell>
          <cell r="P1112">
            <v>84</v>
          </cell>
          <cell r="Q1112">
            <v>81.833333333333329</v>
          </cell>
          <cell r="R1112">
            <v>79.666666666666671</v>
          </cell>
          <cell r="S1112">
            <v>77.5</v>
          </cell>
          <cell r="T1112">
            <v>75.333333333333329</v>
          </cell>
          <cell r="U1112">
            <v>73.166666666666671</v>
          </cell>
          <cell r="V1112">
            <v>71</v>
          </cell>
          <cell r="W1112">
            <v>68.833333333333329</v>
          </cell>
          <cell r="X1112">
            <v>66.666666666666671</v>
          </cell>
          <cell r="Y1112">
            <v>65.333333333333329</v>
          </cell>
          <cell r="Z1112">
            <v>64</v>
          </cell>
          <cell r="AA1112">
            <v>62.666666666666664</v>
          </cell>
          <cell r="AB1112">
            <v>61.333333333333336</v>
          </cell>
          <cell r="AC1112">
            <v>60</v>
          </cell>
          <cell r="AD1112">
            <v>58.666666666666664</v>
          </cell>
          <cell r="AE1112">
            <v>57.333333333333336</v>
          </cell>
          <cell r="AF1112">
            <v>56</v>
          </cell>
          <cell r="AG1112">
            <v>54.666666666666664</v>
          </cell>
          <cell r="AH1112">
            <v>53.333333333333336</v>
          </cell>
        </row>
        <row r="1113">
          <cell r="B1113" t="str">
            <v/>
          </cell>
        </row>
        <row r="1114">
          <cell r="B1114" t="str">
            <v>Bio-methanol - OPEX including feedstock OPEX - Global - USD/ton fuel</v>
          </cell>
          <cell r="G1114">
            <v>252</v>
          </cell>
          <cell r="H1114">
            <v>228</v>
          </cell>
          <cell r="I1114">
            <v>204</v>
          </cell>
          <cell r="J1114">
            <v>195</v>
          </cell>
          <cell r="K1114">
            <v>186</v>
          </cell>
          <cell r="L1114">
            <v>177</v>
          </cell>
          <cell r="M1114">
            <v>168</v>
          </cell>
          <cell r="N1114">
            <v>159</v>
          </cell>
          <cell r="O1114">
            <v>155.10000000000036</v>
          </cell>
          <cell r="P1114">
            <v>151.19999999999982</v>
          </cell>
          <cell r="Q1114">
            <v>147.30000000000018</v>
          </cell>
          <cell r="R1114">
            <v>143.40000000000055</v>
          </cell>
          <cell r="S1114">
            <v>139.5</v>
          </cell>
          <cell r="T1114">
            <v>135.60000000000036</v>
          </cell>
          <cell r="U1114">
            <v>131.69999999999982</v>
          </cell>
          <cell r="V1114">
            <v>127.80000000000018</v>
          </cell>
          <cell r="W1114">
            <v>123.90000000000055</v>
          </cell>
          <cell r="X1114">
            <v>120</v>
          </cell>
          <cell r="Y1114">
            <v>117.60000000000036</v>
          </cell>
          <cell r="Z1114">
            <v>115.19999999999982</v>
          </cell>
          <cell r="AA1114">
            <v>112.80000000000018</v>
          </cell>
          <cell r="AB1114">
            <v>110.40000000000055</v>
          </cell>
          <cell r="AC1114">
            <v>108</v>
          </cell>
          <cell r="AD1114">
            <v>105.60000000000036</v>
          </cell>
          <cell r="AE1114">
            <v>103.19999999999982</v>
          </cell>
          <cell r="AF1114">
            <v>100.80000000000018</v>
          </cell>
          <cell r="AG1114">
            <v>98.400000000000546</v>
          </cell>
          <cell r="AH1114">
            <v>96</v>
          </cell>
        </row>
        <row r="1115">
          <cell r="B1115" t="str">
            <v>Bio-methanol - OPEX - Global - USD/ton fuel</v>
          </cell>
          <cell r="G1115">
            <v>252</v>
          </cell>
          <cell r="H1115">
            <v>228</v>
          </cell>
          <cell r="I1115">
            <v>204</v>
          </cell>
          <cell r="J1115">
            <v>195</v>
          </cell>
          <cell r="K1115">
            <v>186</v>
          </cell>
          <cell r="L1115">
            <v>177</v>
          </cell>
          <cell r="M1115">
            <v>168</v>
          </cell>
          <cell r="N1115">
            <v>159</v>
          </cell>
          <cell r="O1115">
            <v>155.10000000000036</v>
          </cell>
          <cell r="P1115">
            <v>151.19999999999982</v>
          </cell>
          <cell r="Q1115">
            <v>147.30000000000018</v>
          </cell>
          <cell r="R1115">
            <v>143.40000000000055</v>
          </cell>
          <cell r="S1115">
            <v>139.5</v>
          </cell>
          <cell r="T1115">
            <v>135.60000000000036</v>
          </cell>
          <cell r="U1115">
            <v>131.69999999999982</v>
          </cell>
          <cell r="V1115">
            <v>127.80000000000018</v>
          </cell>
          <cell r="W1115">
            <v>123.90000000000055</v>
          </cell>
          <cell r="X1115">
            <v>120</v>
          </cell>
          <cell r="Y1115">
            <v>117.60000000000036</v>
          </cell>
          <cell r="Z1115">
            <v>115.19999999999982</v>
          </cell>
          <cell r="AA1115">
            <v>112.80000000000018</v>
          </cell>
          <cell r="AB1115">
            <v>110.40000000000055</v>
          </cell>
          <cell r="AC1115">
            <v>108</v>
          </cell>
          <cell r="AD1115">
            <v>105.60000000000036</v>
          </cell>
          <cell r="AE1115">
            <v>103.19999999999982</v>
          </cell>
          <cell r="AF1115">
            <v>100.80000000000018</v>
          </cell>
          <cell r="AG1115">
            <v>98.400000000000546</v>
          </cell>
          <cell r="AH1115">
            <v>96</v>
          </cell>
        </row>
        <row r="1116">
          <cell r="B1116" t="str">
            <v/>
          </cell>
        </row>
        <row r="1117">
          <cell r="B1117" t="str">
            <v>Bio-methanol - Finance cost including feedstock finance cost - Africa - USD/ton fuel</v>
          </cell>
          <cell r="G1117">
            <v>231.00000000000003</v>
          </cell>
          <cell r="H1117">
            <v>209.00000000000003</v>
          </cell>
          <cell r="I1117">
            <v>187.00000000000003</v>
          </cell>
          <cell r="J1117">
            <v>178.75000000000003</v>
          </cell>
          <cell r="K1117">
            <v>170.50000000000003</v>
          </cell>
          <cell r="L1117">
            <v>162.25000000000003</v>
          </cell>
          <cell r="M1117">
            <v>154.00000000000003</v>
          </cell>
          <cell r="N1117">
            <v>145.75000000000003</v>
          </cell>
          <cell r="O1117">
            <v>142.17500000000001</v>
          </cell>
          <cell r="P1117">
            <v>138.60000000000002</v>
          </cell>
          <cell r="Q1117">
            <v>135.02500000000001</v>
          </cell>
          <cell r="R1117">
            <v>131.45000000000002</v>
          </cell>
          <cell r="S1117">
            <v>127.87500000000001</v>
          </cell>
          <cell r="T1117">
            <v>124.30000000000001</v>
          </cell>
          <cell r="U1117">
            <v>120.72500000000002</v>
          </cell>
          <cell r="V1117">
            <v>117.15000000000002</v>
          </cell>
          <cell r="W1117">
            <v>113.57500000000002</v>
          </cell>
          <cell r="X1117">
            <v>110.00000000000001</v>
          </cell>
          <cell r="Y1117">
            <v>107.80000000000001</v>
          </cell>
          <cell r="Z1117">
            <v>105.60000000000001</v>
          </cell>
          <cell r="AA1117">
            <v>103.40000000000002</v>
          </cell>
          <cell r="AB1117">
            <v>101.20000000000002</v>
          </cell>
          <cell r="AC1117">
            <v>99.000000000000014</v>
          </cell>
          <cell r="AD1117">
            <v>96.800000000000011</v>
          </cell>
          <cell r="AE1117">
            <v>94.600000000000009</v>
          </cell>
          <cell r="AF1117">
            <v>92.4</v>
          </cell>
          <cell r="AG1117">
            <v>90.200000000000017</v>
          </cell>
          <cell r="AH1117">
            <v>88.000000000000014</v>
          </cell>
        </row>
        <row r="1118">
          <cell r="B1118" t="str">
            <v>Bio-methanol - Finance cost including feedstock finance cost - Americas - USD/ton fuel</v>
          </cell>
          <cell r="G1118">
            <v>231.00000000000003</v>
          </cell>
          <cell r="H1118">
            <v>209.00000000000003</v>
          </cell>
          <cell r="I1118">
            <v>187.00000000000003</v>
          </cell>
          <cell r="J1118">
            <v>178.75000000000003</v>
          </cell>
          <cell r="K1118">
            <v>170.50000000000003</v>
          </cell>
          <cell r="L1118">
            <v>162.25000000000003</v>
          </cell>
          <cell r="M1118">
            <v>154.00000000000003</v>
          </cell>
          <cell r="N1118">
            <v>145.75000000000003</v>
          </cell>
          <cell r="O1118">
            <v>142.17500000000001</v>
          </cell>
          <cell r="P1118">
            <v>138.60000000000002</v>
          </cell>
          <cell r="Q1118">
            <v>135.02500000000001</v>
          </cell>
          <cell r="R1118">
            <v>131.45000000000002</v>
          </cell>
          <cell r="S1118">
            <v>127.87500000000001</v>
          </cell>
          <cell r="T1118">
            <v>124.30000000000001</v>
          </cell>
          <cell r="U1118">
            <v>120.72500000000002</v>
          </cell>
          <cell r="V1118">
            <v>117.15000000000002</v>
          </cell>
          <cell r="W1118">
            <v>113.57500000000002</v>
          </cell>
          <cell r="X1118">
            <v>110.00000000000001</v>
          </cell>
          <cell r="Y1118">
            <v>107.80000000000001</v>
          </cell>
          <cell r="Z1118">
            <v>105.60000000000001</v>
          </cell>
          <cell r="AA1118">
            <v>103.40000000000002</v>
          </cell>
          <cell r="AB1118">
            <v>101.20000000000002</v>
          </cell>
          <cell r="AC1118">
            <v>99.000000000000014</v>
          </cell>
          <cell r="AD1118">
            <v>96.800000000000011</v>
          </cell>
          <cell r="AE1118">
            <v>94.600000000000009</v>
          </cell>
          <cell r="AF1118">
            <v>92.4</v>
          </cell>
          <cell r="AG1118">
            <v>90.200000000000017</v>
          </cell>
          <cell r="AH1118">
            <v>88.000000000000014</v>
          </cell>
        </row>
        <row r="1119">
          <cell r="B1119" t="str">
            <v>Bio-methanol - Finance cost including feedstock finance cost - Asia - USD/ton fuel</v>
          </cell>
          <cell r="G1119">
            <v>231.00000000000003</v>
          </cell>
          <cell r="H1119">
            <v>209.00000000000003</v>
          </cell>
          <cell r="I1119">
            <v>187.00000000000003</v>
          </cell>
          <cell r="J1119">
            <v>178.75000000000003</v>
          </cell>
          <cell r="K1119">
            <v>170.50000000000003</v>
          </cell>
          <cell r="L1119">
            <v>162.25000000000003</v>
          </cell>
          <cell r="M1119">
            <v>154.00000000000003</v>
          </cell>
          <cell r="N1119">
            <v>145.75000000000003</v>
          </cell>
          <cell r="O1119">
            <v>142.17500000000001</v>
          </cell>
          <cell r="P1119">
            <v>138.60000000000002</v>
          </cell>
          <cell r="Q1119">
            <v>135.02500000000001</v>
          </cell>
          <cell r="R1119">
            <v>131.45000000000002</v>
          </cell>
          <cell r="S1119">
            <v>127.87500000000001</v>
          </cell>
          <cell r="T1119">
            <v>124.30000000000001</v>
          </cell>
          <cell r="U1119">
            <v>120.72500000000002</v>
          </cell>
          <cell r="V1119">
            <v>117.15000000000002</v>
          </cell>
          <cell r="W1119">
            <v>113.57500000000002</v>
          </cell>
          <cell r="X1119">
            <v>110.00000000000001</v>
          </cell>
          <cell r="Y1119">
            <v>107.80000000000001</v>
          </cell>
          <cell r="Z1119">
            <v>105.60000000000001</v>
          </cell>
          <cell r="AA1119">
            <v>103.40000000000002</v>
          </cell>
          <cell r="AB1119">
            <v>101.20000000000002</v>
          </cell>
          <cell r="AC1119">
            <v>99.000000000000014</v>
          </cell>
          <cell r="AD1119">
            <v>96.800000000000011</v>
          </cell>
          <cell r="AE1119">
            <v>94.600000000000009</v>
          </cell>
          <cell r="AF1119">
            <v>92.4</v>
          </cell>
          <cell r="AG1119">
            <v>90.200000000000017</v>
          </cell>
          <cell r="AH1119">
            <v>88.000000000000014</v>
          </cell>
        </row>
        <row r="1120">
          <cell r="B1120" t="str">
            <v>Bio-methanol - Finance cost including feedstock finance cost - Europe - USD/ton fuel</v>
          </cell>
          <cell r="G1120">
            <v>231.00000000000003</v>
          </cell>
          <cell r="H1120">
            <v>209.00000000000003</v>
          </cell>
          <cell r="I1120">
            <v>187.00000000000003</v>
          </cell>
          <cell r="J1120">
            <v>178.75000000000003</v>
          </cell>
          <cell r="K1120">
            <v>170.50000000000003</v>
          </cell>
          <cell r="L1120">
            <v>162.25000000000003</v>
          </cell>
          <cell r="M1120">
            <v>154.00000000000003</v>
          </cell>
          <cell r="N1120">
            <v>145.75000000000003</v>
          </cell>
          <cell r="O1120">
            <v>142.17500000000001</v>
          </cell>
          <cell r="P1120">
            <v>138.60000000000002</v>
          </cell>
          <cell r="Q1120">
            <v>135.02500000000001</v>
          </cell>
          <cell r="R1120">
            <v>131.45000000000002</v>
          </cell>
          <cell r="S1120">
            <v>127.87500000000001</v>
          </cell>
          <cell r="T1120">
            <v>124.30000000000001</v>
          </cell>
          <cell r="U1120">
            <v>120.72500000000002</v>
          </cell>
          <cell r="V1120">
            <v>117.15000000000002</v>
          </cell>
          <cell r="W1120">
            <v>113.57500000000002</v>
          </cell>
          <cell r="X1120">
            <v>110.00000000000001</v>
          </cell>
          <cell r="Y1120">
            <v>107.80000000000001</v>
          </cell>
          <cell r="Z1120">
            <v>105.60000000000001</v>
          </cell>
          <cell r="AA1120">
            <v>103.40000000000002</v>
          </cell>
          <cell r="AB1120">
            <v>101.20000000000002</v>
          </cell>
          <cell r="AC1120">
            <v>99.000000000000014</v>
          </cell>
          <cell r="AD1120">
            <v>96.800000000000011</v>
          </cell>
          <cell r="AE1120">
            <v>94.600000000000009</v>
          </cell>
          <cell r="AF1120">
            <v>92.4</v>
          </cell>
          <cell r="AG1120">
            <v>90.200000000000017</v>
          </cell>
          <cell r="AH1120">
            <v>88.000000000000014</v>
          </cell>
        </row>
        <row r="1121">
          <cell r="B1121" t="str">
            <v>Bio-methanol - Finance cost including feedstock finance cost - Middle East - USD/ton fuel</v>
          </cell>
          <cell r="G1121">
            <v>231.00000000000003</v>
          </cell>
          <cell r="H1121">
            <v>209.00000000000003</v>
          </cell>
          <cell r="I1121">
            <v>187.00000000000003</v>
          </cell>
          <cell r="J1121">
            <v>178.75000000000003</v>
          </cell>
          <cell r="K1121">
            <v>170.50000000000003</v>
          </cell>
          <cell r="L1121">
            <v>162.25000000000003</v>
          </cell>
          <cell r="M1121">
            <v>154.00000000000003</v>
          </cell>
          <cell r="N1121">
            <v>145.75000000000003</v>
          </cell>
          <cell r="O1121">
            <v>142.17500000000001</v>
          </cell>
          <cell r="P1121">
            <v>138.60000000000002</v>
          </cell>
          <cell r="Q1121">
            <v>135.02500000000001</v>
          </cell>
          <cell r="R1121">
            <v>131.45000000000002</v>
          </cell>
          <cell r="S1121">
            <v>127.87500000000001</v>
          </cell>
          <cell r="T1121">
            <v>124.30000000000001</v>
          </cell>
          <cell r="U1121">
            <v>120.72500000000002</v>
          </cell>
          <cell r="V1121">
            <v>117.15000000000002</v>
          </cell>
          <cell r="W1121">
            <v>113.57500000000002</v>
          </cell>
          <cell r="X1121">
            <v>110.00000000000001</v>
          </cell>
          <cell r="Y1121">
            <v>107.80000000000001</v>
          </cell>
          <cell r="Z1121">
            <v>105.60000000000001</v>
          </cell>
          <cell r="AA1121">
            <v>103.40000000000002</v>
          </cell>
          <cell r="AB1121">
            <v>101.20000000000002</v>
          </cell>
          <cell r="AC1121">
            <v>99.000000000000014</v>
          </cell>
          <cell r="AD1121">
            <v>96.800000000000011</v>
          </cell>
          <cell r="AE1121">
            <v>94.600000000000009</v>
          </cell>
          <cell r="AF1121">
            <v>92.4</v>
          </cell>
          <cell r="AG1121">
            <v>90.200000000000017</v>
          </cell>
          <cell r="AH1121">
            <v>88.000000000000014</v>
          </cell>
        </row>
        <row r="1122">
          <cell r="B1122" t="str">
            <v>Bio-methanol - Finance cost - Africa - USD/ton fuel</v>
          </cell>
          <cell r="G1122">
            <v>231.00000000000003</v>
          </cell>
          <cell r="H1122">
            <v>209.00000000000003</v>
          </cell>
          <cell r="I1122">
            <v>187.00000000000003</v>
          </cell>
          <cell r="J1122">
            <v>178.75000000000003</v>
          </cell>
          <cell r="K1122">
            <v>170.50000000000003</v>
          </cell>
          <cell r="L1122">
            <v>162.25000000000003</v>
          </cell>
          <cell r="M1122">
            <v>154.00000000000003</v>
          </cell>
          <cell r="N1122">
            <v>145.75000000000003</v>
          </cell>
          <cell r="O1122">
            <v>142.17500000000001</v>
          </cell>
          <cell r="P1122">
            <v>138.60000000000002</v>
          </cell>
          <cell r="Q1122">
            <v>135.02500000000001</v>
          </cell>
          <cell r="R1122">
            <v>131.45000000000002</v>
          </cell>
          <cell r="S1122">
            <v>127.87500000000001</v>
          </cell>
          <cell r="T1122">
            <v>124.30000000000001</v>
          </cell>
          <cell r="U1122">
            <v>120.72500000000002</v>
          </cell>
          <cell r="V1122">
            <v>117.15000000000002</v>
          </cell>
          <cell r="W1122">
            <v>113.57500000000002</v>
          </cell>
          <cell r="X1122">
            <v>110.00000000000001</v>
          </cell>
          <cell r="Y1122">
            <v>107.80000000000001</v>
          </cell>
          <cell r="Z1122">
            <v>105.60000000000001</v>
          </cell>
          <cell r="AA1122">
            <v>103.40000000000002</v>
          </cell>
          <cell r="AB1122">
            <v>101.20000000000002</v>
          </cell>
          <cell r="AC1122">
            <v>99.000000000000014</v>
          </cell>
          <cell r="AD1122">
            <v>96.800000000000011</v>
          </cell>
          <cell r="AE1122">
            <v>94.600000000000009</v>
          </cell>
          <cell r="AF1122">
            <v>92.4</v>
          </cell>
          <cell r="AG1122">
            <v>90.200000000000017</v>
          </cell>
          <cell r="AH1122">
            <v>88.000000000000014</v>
          </cell>
        </row>
        <row r="1123">
          <cell r="B1123" t="str">
            <v>Bio-methanol - Finance cost - Americas - USD/ton fuel</v>
          </cell>
          <cell r="G1123">
            <v>231.00000000000003</v>
          </cell>
          <cell r="H1123">
            <v>209.00000000000003</v>
          </cell>
          <cell r="I1123">
            <v>187.00000000000003</v>
          </cell>
          <cell r="J1123">
            <v>178.75000000000003</v>
          </cell>
          <cell r="K1123">
            <v>170.50000000000003</v>
          </cell>
          <cell r="L1123">
            <v>162.25000000000003</v>
          </cell>
          <cell r="M1123">
            <v>154.00000000000003</v>
          </cell>
          <cell r="N1123">
            <v>145.75000000000003</v>
          </cell>
          <cell r="O1123">
            <v>142.17500000000001</v>
          </cell>
          <cell r="P1123">
            <v>138.60000000000002</v>
          </cell>
          <cell r="Q1123">
            <v>135.02500000000001</v>
          </cell>
          <cell r="R1123">
            <v>131.45000000000002</v>
          </cell>
          <cell r="S1123">
            <v>127.87500000000001</v>
          </cell>
          <cell r="T1123">
            <v>124.30000000000001</v>
          </cell>
          <cell r="U1123">
            <v>120.72500000000002</v>
          </cell>
          <cell r="V1123">
            <v>117.15000000000002</v>
          </cell>
          <cell r="W1123">
            <v>113.57500000000002</v>
          </cell>
          <cell r="X1123">
            <v>110.00000000000001</v>
          </cell>
          <cell r="Y1123">
            <v>107.80000000000001</v>
          </cell>
          <cell r="Z1123">
            <v>105.60000000000001</v>
          </cell>
          <cell r="AA1123">
            <v>103.40000000000002</v>
          </cell>
          <cell r="AB1123">
            <v>101.20000000000002</v>
          </cell>
          <cell r="AC1123">
            <v>99.000000000000014</v>
          </cell>
          <cell r="AD1123">
            <v>96.800000000000011</v>
          </cell>
          <cell r="AE1123">
            <v>94.600000000000009</v>
          </cell>
          <cell r="AF1123">
            <v>92.4</v>
          </cell>
          <cell r="AG1123">
            <v>90.200000000000017</v>
          </cell>
          <cell r="AH1123">
            <v>88.000000000000014</v>
          </cell>
        </row>
        <row r="1124">
          <cell r="B1124" t="str">
            <v>Bio-methanol - Finance cost - Asia - USD/ton fuel</v>
          </cell>
          <cell r="G1124">
            <v>231.00000000000003</v>
          </cell>
          <cell r="H1124">
            <v>209.00000000000003</v>
          </cell>
          <cell r="I1124">
            <v>187.00000000000003</v>
          </cell>
          <cell r="J1124">
            <v>178.75000000000003</v>
          </cell>
          <cell r="K1124">
            <v>170.50000000000003</v>
          </cell>
          <cell r="L1124">
            <v>162.25000000000003</v>
          </cell>
          <cell r="M1124">
            <v>154.00000000000003</v>
          </cell>
          <cell r="N1124">
            <v>145.75000000000003</v>
          </cell>
          <cell r="O1124">
            <v>142.17500000000001</v>
          </cell>
          <cell r="P1124">
            <v>138.60000000000002</v>
          </cell>
          <cell r="Q1124">
            <v>135.02500000000001</v>
          </cell>
          <cell r="R1124">
            <v>131.45000000000002</v>
          </cell>
          <cell r="S1124">
            <v>127.87500000000001</v>
          </cell>
          <cell r="T1124">
            <v>124.30000000000001</v>
          </cell>
          <cell r="U1124">
            <v>120.72500000000002</v>
          </cell>
          <cell r="V1124">
            <v>117.15000000000002</v>
          </cell>
          <cell r="W1124">
            <v>113.57500000000002</v>
          </cell>
          <cell r="X1124">
            <v>110.00000000000001</v>
          </cell>
          <cell r="Y1124">
            <v>107.80000000000001</v>
          </cell>
          <cell r="Z1124">
            <v>105.60000000000001</v>
          </cell>
          <cell r="AA1124">
            <v>103.40000000000002</v>
          </cell>
          <cell r="AB1124">
            <v>101.20000000000002</v>
          </cell>
          <cell r="AC1124">
            <v>99.000000000000014</v>
          </cell>
          <cell r="AD1124">
            <v>96.800000000000011</v>
          </cell>
          <cell r="AE1124">
            <v>94.600000000000009</v>
          </cell>
          <cell r="AF1124">
            <v>92.4</v>
          </cell>
          <cell r="AG1124">
            <v>90.200000000000017</v>
          </cell>
          <cell r="AH1124">
            <v>88.000000000000014</v>
          </cell>
        </row>
        <row r="1125">
          <cell r="B1125" t="str">
            <v>Bio-methanol - Finance cost - Europe - USD/ton fuel</v>
          </cell>
          <cell r="G1125">
            <v>231.00000000000003</v>
          </cell>
          <cell r="H1125">
            <v>209.00000000000003</v>
          </cell>
          <cell r="I1125">
            <v>187.00000000000003</v>
          </cell>
          <cell r="J1125">
            <v>178.75000000000003</v>
          </cell>
          <cell r="K1125">
            <v>170.50000000000003</v>
          </cell>
          <cell r="L1125">
            <v>162.25000000000003</v>
          </cell>
          <cell r="M1125">
            <v>154.00000000000003</v>
          </cell>
          <cell r="N1125">
            <v>145.75000000000003</v>
          </cell>
          <cell r="O1125">
            <v>142.17500000000001</v>
          </cell>
          <cell r="P1125">
            <v>138.60000000000002</v>
          </cell>
          <cell r="Q1125">
            <v>135.02500000000001</v>
          </cell>
          <cell r="R1125">
            <v>131.45000000000002</v>
          </cell>
          <cell r="S1125">
            <v>127.87500000000001</v>
          </cell>
          <cell r="T1125">
            <v>124.30000000000001</v>
          </cell>
          <cell r="U1125">
            <v>120.72500000000002</v>
          </cell>
          <cell r="V1125">
            <v>117.15000000000002</v>
          </cell>
          <cell r="W1125">
            <v>113.57500000000002</v>
          </cell>
          <cell r="X1125">
            <v>110.00000000000001</v>
          </cell>
          <cell r="Y1125">
            <v>107.80000000000001</v>
          </cell>
          <cell r="Z1125">
            <v>105.60000000000001</v>
          </cell>
          <cell r="AA1125">
            <v>103.40000000000002</v>
          </cell>
          <cell r="AB1125">
            <v>101.20000000000002</v>
          </cell>
          <cell r="AC1125">
            <v>99.000000000000014</v>
          </cell>
          <cell r="AD1125">
            <v>96.800000000000011</v>
          </cell>
          <cell r="AE1125">
            <v>94.600000000000009</v>
          </cell>
          <cell r="AF1125">
            <v>92.4</v>
          </cell>
          <cell r="AG1125">
            <v>90.200000000000017</v>
          </cell>
          <cell r="AH1125">
            <v>88.000000000000014</v>
          </cell>
        </row>
        <row r="1126">
          <cell r="B1126" t="str">
            <v>Bio-methanol - Finance cost - Middle East - USD/ton fuel</v>
          </cell>
          <cell r="G1126">
            <v>231.00000000000003</v>
          </cell>
          <cell r="H1126">
            <v>209.00000000000003</v>
          </cell>
          <cell r="I1126">
            <v>187.00000000000003</v>
          </cell>
          <cell r="J1126">
            <v>178.75000000000003</v>
          </cell>
          <cell r="K1126">
            <v>170.50000000000003</v>
          </cell>
          <cell r="L1126">
            <v>162.25000000000003</v>
          </cell>
          <cell r="M1126">
            <v>154.00000000000003</v>
          </cell>
          <cell r="N1126">
            <v>145.75000000000003</v>
          </cell>
          <cell r="O1126">
            <v>142.17500000000001</v>
          </cell>
          <cell r="P1126">
            <v>138.60000000000002</v>
          </cell>
          <cell r="Q1126">
            <v>135.02500000000001</v>
          </cell>
          <cell r="R1126">
            <v>131.45000000000002</v>
          </cell>
          <cell r="S1126">
            <v>127.87500000000001</v>
          </cell>
          <cell r="T1126">
            <v>124.30000000000001</v>
          </cell>
          <cell r="U1126">
            <v>120.72500000000002</v>
          </cell>
          <cell r="V1126">
            <v>117.15000000000002</v>
          </cell>
          <cell r="W1126">
            <v>113.57500000000002</v>
          </cell>
          <cell r="X1126">
            <v>110.00000000000001</v>
          </cell>
          <cell r="Y1126">
            <v>107.80000000000001</v>
          </cell>
          <cell r="Z1126">
            <v>105.60000000000001</v>
          </cell>
          <cell r="AA1126">
            <v>103.40000000000002</v>
          </cell>
          <cell r="AB1126">
            <v>101.20000000000002</v>
          </cell>
          <cell r="AC1126">
            <v>99.000000000000014</v>
          </cell>
          <cell r="AD1126">
            <v>96.800000000000011</v>
          </cell>
          <cell r="AE1126">
            <v>94.600000000000009</v>
          </cell>
          <cell r="AF1126">
            <v>92.4</v>
          </cell>
          <cell r="AG1126">
            <v>90.200000000000017</v>
          </cell>
          <cell r="AH1126">
            <v>88.000000000000014</v>
          </cell>
        </row>
        <row r="1127">
          <cell r="B1127" t="str">
            <v/>
          </cell>
        </row>
        <row r="1128">
          <cell r="B1128" t="str">
            <v>Bio-methanol - Energy cost including feedstock energy cost - Africa - USD/ton fuel</v>
          </cell>
          <cell r="G1128">
            <v>30.723446955891486</v>
          </cell>
          <cell r="H1128">
            <v>27.115700100702867</v>
          </cell>
          <cell r="I1128">
            <v>23.507953245513288</v>
          </cell>
          <cell r="J1128">
            <v>22.488261078540386</v>
          </cell>
          <cell r="K1128">
            <v>21.469818167041836</v>
          </cell>
          <cell r="L1128">
            <v>20.452624511017646</v>
          </cell>
          <cell r="M1128">
            <v>19.43668011046757</v>
          </cell>
          <cell r="N1128">
            <v>18.421984965392092</v>
          </cell>
          <cell r="O1128">
            <v>17.851207598562304</v>
          </cell>
          <cell r="P1128">
            <v>17.281127567734838</v>
          </cell>
          <cell r="Q1128">
            <v>16.711744872909456</v>
          </cell>
          <cell r="R1128">
            <v>16.143059514086637</v>
          </cell>
          <cell r="S1128">
            <v>15.575071491266204</v>
          </cell>
          <cell r="T1128">
            <v>15.302904838111498</v>
          </cell>
          <cell r="U1128">
            <v>15.031066409554443</v>
          </cell>
          <cell r="V1128">
            <v>14.759556205594913</v>
          </cell>
          <cell r="W1128">
            <v>14.48837422623297</v>
          </cell>
          <cell r="X1128">
            <v>14.217520471468733</v>
          </cell>
          <cell r="Y1128">
            <v>13.939598860253643</v>
          </cell>
          <cell r="Z1128">
            <v>13.66201475292308</v>
          </cell>
          <cell r="AA1128">
            <v>13.384768149476928</v>
          </cell>
          <cell r="AB1128">
            <v>13.107859049915422</v>
          </cell>
          <cell r="AC1128">
            <v>12.831287454238387</v>
          </cell>
          <cell r="AD1128">
            <v>12.691595612730355</v>
          </cell>
          <cell r="AE1128">
            <v>12.552069427167757</v>
          </cell>
          <cell r="AF1128">
            <v>12.412708897550477</v>
          </cell>
          <cell r="AG1128">
            <v>12.273514023878572</v>
          </cell>
          <cell r="AH1128">
            <v>12.134484806152102</v>
          </cell>
        </row>
        <row r="1129">
          <cell r="B1129" t="str">
            <v>Bio-methanol - Energy cost including feedstock energy cost - Americas - USD/ton fuel</v>
          </cell>
          <cell r="G1129">
            <v>19.303998889907085</v>
          </cell>
          <cell r="H1129">
            <v>18.904240015341401</v>
          </cell>
          <cell r="I1129">
            <v>18.504481140775592</v>
          </cell>
          <cell r="J1129">
            <v>17.817658645772781</v>
          </cell>
          <cell r="K1129">
            <v>17.131675536121442</v>
          </cell>
          <cell r="L1129">
            <v>16.446531811821576</v>
          </cell>
          <cell r="M1129">
            <v>15.762227472873425</v>
          </cell>
          <cell r="N1129">
            <v>15.078762519276511</v>
          </cell>
          <cell r="O1129">
            <v>14.745393195389994</v>
          </cell>
          <cell r="P1129">
            <v>14.412427803887153</v>
          </cell>
          <cell r="Q1129">
            <v>14.079866344767993</v>
          </cell>
          <cell r="R1129">
            <v>13.74770881803251</v>
          </cell>
          <cell r="S1129">
            <v>13.415955223680649</v>
          </cell>
          <cell r="T1129">
            <v>13.145767234453128</v>
          </cell>
          <cell r="U1129">
            <v>12.875906682751648</v>
          </cell>
          <cell r="V1129">
            <v>12.606373568576146</v>
          </cell>
          <cell r="W1129">
            <v>12.33716789192674</v>
          </cell>
          <cell r="X1129">
            <v>12.068289652803344</v>
          </cell>
          <cell r="Y1129">
            <v>11.955581287001642</v>
          </cell>
          <cell r="Z1129">
            <v>11.843004835357581</v>
          </cell>
          <cell r="AA1129">
            <v>11.730560297871191</v>
          </cell>
          <cell r="AB1129">
            <v>11.61824767454241</v>
          </cell>
          <cell r="AC1129">
            <v>11.50606696537127</v>
          </cell>
          <cell r="AD1129">
            <v>11.41975712039071</v>
          </cell>
          <cell r="AE1129">
            <v>11.333546795305164</v>
          </cell>
          <cell r="AF1129">
            <v>11.247435990114605</v>
          </cell>
          <cell r="AG1129">
            <v>11.16142470481903</v>
          </cell>
          <cell r="AH1129">
            <v>11.075512939418443</v>
          </cell>
        </row>
        <row r="1130">
          <cell r="B1130" t="str">
            <v>Bio-methanol - Energy cost including feedstock energy cost - Asia - USD/ton fuel</v>
          </cell>
          <cell r="G1130">
            <v>34.170859336812548</v>
          </cell>
          <cell r="H1130">
            <v>31.168120732103766</v>
          </cell>
          <cell r="I1130">
            <v>28.165382127396416</v>
          </cell>
          <cell r="J1130">
            <v>27.071500779378947</v>
          </cell>
          <cell r="K1130">
            <v>25.978957303224462</v>
          </cell>
          <cell r="L1130">
            <v>24.887751698932011</v>
          </cell>
          <cell r="M1130">
            <v>23.797883966502074</v>
          </cell>
          <cell r="N1130">
            <v>22.709354105935123</v>
          </cell>
          <cell r="O1130">
            <v>21.965869697626502</v>
          </cell>
          <cell r="P1130">
            <v>21.223294626291548</v>
          </cell>
          <cell r="Q1130">
            <v>20.48162889193026</v>
          </cell>
          <cell r="R1130">
            <v>19.740872494542163</v>
          </cell>
          <cell r="S1130">
            <v>19.001025434127499</v>
          </cell>
          <cell r="T1130">
            <v>18.619494200174767</v>
          </cell>
          <cell r="U1130">
            <v>18.23842529517054</v>
          </cell>
          <cell r="V1130">
            <v>17.857818719114928</v>
          </cell>
          <cell r="W1130">
            <v>17.477674472007699</v>
          </cell>
          <cell r="X1130">
            <v>17.097992553849206</v>
          </cell>
          <cell r="Y1130">
            <v>16.701553631320063</v>
          </cell>
          <cell r="Z1130">
            <v>16.305598641496143</v>
          </cell>
          <cell r="AA1130">
            <v>15.910127584377216</v>
          </cell>
          <cell r="AB1130">
            <v>15.515140459963511</v>
          </cell>
          <cell r="AC1130">
            <v>15.120637268254796</v>
          </cell>
          <cell r="AD1130">
            <v>14.934796849625767</v>
          </cell>
          <cell r="AE1130">
            <v>14.749178356120842</v>
          </cell>
          <cell r="AF1130">
            <v>14.56378178774014</v>
          </cell>
          <cell r="AG1130">
            <v>14.378607144483603</v>
          </cell>
          <cell r="AH1130">
            <v>14.19365442635117</v>
          </cell>
        </row>
        <row r="1131">
          <cell r="B1131" t="str">
            <v>Bio-methanol - Energy cost including feedstock energy cost - Europe - USD/ton fuel</v>
          </cell>
          <cell r="G1131">
            <v>25.438353841149492</v>
          </cell>
          <cell r="H1131">
            <v>24.341971480614855</v>
          </cell>
          <cell r="I1131">
            <v>23.245589120080215</v>
          </cell>
          <cell r="J1131">
            <v>22.345818441280453</v>
          </cell>
          <cell r="K1131">
            <v>21.447148166879721</v>
          </cell>
          <cell r="L1131">
            <v>20.549578296878501</v>
          </cell>
          <cell r="M1131">
            <v>19.65310883127631</v>
          </cell>
          <cell r="N1131">
            <v>18.757739770073631</v>
          </cell>
          <cell r="O1131">
            <v>18.379340685000258</v>
          </cell>
          <cell r="P1131">
            <v>18.001398817727466</v>
          </cell>
          <cell r="Q1131">
            <v>17.623914168254778</v>
          </cell>
          <cell r="R1131">
            <v>17.246886736582312</v>
          </cell>
          <cell r="S1131">
            <v>16.870316522710187</v>
          </cell>
          <cell r="T1131">
            <v>16.641509552206404</v>
          </cell>
          <cell r="U1131">
            <v>16.412975563968619</v>
          </cell>
          <cell r="V1131">
            <v>16.184714557996763</v>
          </cell>
          <cell r="W1131">
            <v>15.956726534290841</v>
          </cell>
          <cell r="X1131">
            <v>15.729011492850731</v>
          </cell>
          <cell r="Y1131">
            <v>15.486378027326708</v>
          </cell>
          <cell r="Z1131">
            <v>15.244036603543117</v>
          </cell>
          <cell r="AA1131">
            <v>15.001987221500077</v>
          </cell>
          <cell r="AB1131">
            <v>14.760229881197468</v>
          </cell>
          <cell r="AC1131">
            <v>14.518764582635409</v>
          </cell>
          <cell r="AD1131">
            <v>14.340330856378007</v>
          </cell>
          <cell r="AE1131">
            <v>14.162110209788796</v>
          </cell>
          <cell r="AF1131">
            <v>13.984102642867894</v>
          </cell>
          <cell r="AG1131">
            <v>13.806308155615245</v>
          </cell>
          <cell r="AH1131">
            <v>13.628726748030784</v>
          </cell>
        </row>
        <row r="1132">
          <cell r="B1132" t="str">
            <v>Bio-methanol - Energy cost including feedstock energy cost - Middle East - USD/ton fuel</v>
          </cell>
          <cell r="G1132">
            <v>19.479285775885376</v>
          </cell>
          <cell r="H1132">
            <v>18.619713725020272</v>
          </cell>
          <cell r="I1132">
            <v>17.760141674154923</v>
          </cell>
          <cell r="J1132">
            <v>17.180349259980584</v>
          </cell>
          <cell r="K1132">
            <v>16.601263775218349</v>
          </cell>
          <cell r="L1132">
            <v>16.022885219868215</v>
          </cell>
          <cell r="M1132">
            <v>15.445213593930184</v>
          </cell>
          <cell r="N1132">
            <v>14.868248897404253</v>
          </cell>
          <cell r="O1132">
            <v>14.459189219603001</v>
          </cell>
          <cell r="P1132">
            <v>14.050628008501056</v>
          </cell>
          <cell r="Q1132">
            <v>13.642565264098181</v>
          </cell>
          <cell r="R1132">
            <v>13.235000986394613</v>
          </cell>
          <cell r="S1132">
            <v>12.827935175390236</v>
          </cell>
          <cell r="T1132">
            <v>12.620089257923889</v>
          </cell>
          <cell r="U1132">
            <v>12.412493266419126</v>
          </cell>
          <cell r="V1132">
            <v>12.205147200876008</v>
          </cell>
          <cell r="W1132">
            <v>11.998051061294412</v>
          </cell>
          <cell r="X1132">
            <v>11.7912048476744</v>
          </cell>
          <cell r="Y1132">
            <v>11.522577166410642</v>
          </cell>
          <cell r="Z1132">
            <v>11.25427723706756</v>
          </cell>
          <cell r="AA1132">
            <v>10.986305059645039</v>
          </cell>
          <cell r="AB1132">
            <v>10.718660634143193</v>
          </cell>
          <cell r="AC1132">
            <v>10.451343960561879</v>
          </cell>
          <cell r="AD1132">
            <v>10.32288828020285</v>
          </cell>
          <cell r="AE1132">
            <v>10.194585998024348</v>
          </cell>
          <cell r="AF1132">
            <v>10.066437114026311</v>
          </cell>
          <cell r="AG1132">
            <v>9.9384416282087713</v>
          </cell>
          <cell r="AH1132">
            <v>9.8105995405717543</v>
          </cell>
        </row>
        <row r="1133">
          <cell r="B1133" t="str">
            <v>Bio-methanol - Energy cost - Africa - USD/ton fuel</v>
          </cell>
          <cell r="G1133">
            <v>30.723446955891486</v>
          </cell>
          <cell r="H1133">
            <v>27.115700100702867</v>
          </cell>
          <cell r="I1133">
            <v>23.507953245513288</v>
          </cell>
          <cell r="J1133">
            <v>22.488261078540386</v>
          </cell>
          <cell r="K1133">
            <v>21.469818167041836</v>
          </cell>
          <cell r="L1133">
            <v>20.452624511017646</v>
          </cell>
          <cell r="M1133">
            <v>19.43668011046757</v>
          </cell>
          <cell r="N1133">
            <v>18.421984965392092</v>
          </cell>
          <cell r="O1133">
            <v>17.851207598562304</v>
          </cell>
          <cell r="P1133">
            <v>17.281127567734838</v>
          </cell>
          <cell r="Q1133">
            <v>16.711744872909456</v>
          </cell>
          <cell r="R1133">
            <v>16.143059514086637</v>
          </cell>
          <cell r="S1133">
            <v>15.575071491266204</v>
          </cell>
          <cell r="T1133">
            <v>15.302904838111498</v>
          </cell>
          <cell r="U1133">
            <v>15.031066409554443</v>
          </cell>
          <cell r="V1133">
            <v>14.759556205594913</v>
          </cell>
          <cell r="W1133">
            <v>14.48837422623297</v>
          </cell>
          <cell r="X1133">
            <v>14.217520471468733</v>
          </cell>
          <cell r="Y1133">
            <v>13.939598860253643</v>
          </cell>
          <cell r="Z1133">
            <v>13.66201475292308</v>
          </cell>
          <cell r="AA1133">
            <v>13.384768149476928</v>
          </cell>
          <cell r="AB1133">
            <v>13.107859049915422</v>
          </cell>
          <cell r="AC1133">
            <v>12.831287454238387</v>
          </cell>
          <cell r="AD1133">
            <v>12.691595612730355</v>
          </cell>
          <cell r="AE1133">
            <v>12.552069427167757</v>
          </cell>
          <cell r="AF1133">
            <v>12.412708897550477</v>
          </cell>
          <cell r="AG1133">
            <v>12.273514023878572</v>
          </cell>
          <cell r="AH1133">
            <v>12.134484806152102</v>
          </cell>
        </row>
        <row r="1134">
          <cell r="B1134" t="str">
            <v>Bio-methanol - Energy cost - Americas - USD/ton fuel</v>
          </cell>
          <cell r="G1134">
            <v>19.303998889907085</v>
          </cell>
          <cell r="H1134">
            <v>18.904240015341401</v>
          </cell>
          <cell r="I1134">
            <v>18.504481140775592</v>
          </cell>
          <cell r="J1134">
            <v>17.817658645772781</v>
          </cell>
          <cell r="K1134">
            <v>17.131675536121442</v>
          </cell>
          <cell r="L1134">
            <v>16.446531811821576</v>
          </cell>
          <cell r="M1134">
            <v>15.762227472873425</v>
          </cell>
          <cell r="N1134">
            <v>15.078762519276511</v>
          </cell>
          <cell r="O1134">
            <v>14.745393195389994</v>
          </cell>
          <cell r="P1134">
            <v>14.412427803887153</v>
          </cell>
          <cell r="Q1134">
            <v>14.079866344767993</v>
          </cell>
          <cell r="R1134">
            <v>13.74770881803251</v>
          </cell>
          <cell r="S1134">
            <v>13.415955223680649</v>
          </cell>
          <cell r="T1134">
            <v>13.145767234453128</v>
          </cell>
          <cell r="U1134">
            <v>12.875906682751648</v>
          </cell>
          <cell r="V1134">
            <v>12.606373568576146</v>
          </cell>
          <cell r="W1134">
            <v>12.33716789192674</v>
          </cell>
          <cell r="X1134">
            <v>12.068289652803344</v>
          </cell>
          <cell r="Y1134">
            <v>11.955581287001642</v>
          </cell>
          <cell r="Z1134">
            <v>11.843004835357581</v>
          </cell>
          <cell r="AA1134">
            <v>11.730560297871191</v>
          </cell>
          <cell r="AB1134">
            <v>11.61824767454241</v>
          </cell>
          <cell r="AC1134">
            <v>11.50606696537127</v>
          </cell>
          <cell r="AD1134">
            <v>11.41975712039071</v>
          </cell>
          <cell r="AE1134">
            <v>11.333546795305164</v>
          </cell>
          <cell r="AF1134">
            <v>11.247435990114605</v>
          </cell>
          <cell r="AG1134">
            <v>11.16142470481903</v>
          </cell>
          <cell r="AH1134">
            <v>11.075512939418443</v>
          </cell>
        </row>
        <row r="1135">
          <cell r="B1135" t="str">
            <v>Bio-methanol - Energy cost - Asia - USD/ton fuel</v>
          </cell>
          <cell r="G1135">
            <v>34.170859336812548</v>
          </cell>
          <cell r="H1135">
            <v>31.168120732103766</v>
          </cell>
          <cell r="I1135">
            <v>28.165382127396416</v>
          </cell>
          <cell r="J1135">
            <v>27.071500779378947</v>
          </cell>
          <cell r="K1135">
            <v>25.978957303224462</v>
          </cell>
          <cell r="L1135">
            <v>24.887751698932011</v>
          </cell>
          <cell r="M1135">
            <v>23.797883966502074</v>
          </cell>
          <cell r="N1135">
            <v>22.709354105935123</v>
          </cell>
          <cell r="O1135">
            <v>21.965869697626502</v>
          </cell>
          <cell r="P1135">
            <v>21.223294626291548</v>
          </cell>
          <cell r="Q1135">
            <v>20.48162889193026</v>
          </cell>
          <cell r="R1135">
            <v>19.740872494542163</v>
          </cell>
          <cell r="S1135">
            <v>19.001025434127499</v>
          </cell>
          <cell r="T1135">
            <v>18.619494200174767</v>
          </cell>
          <cell r="U1135">
            <v>18.23842529517054</v>
          </cell>
          <cell r="V1135">
            <v>17.857818719114928</v>
          </cell>
          <cell r="W1135">
            <v>17.477674472007699</v>
          </cell>
          <cell r="X1135">
            <v>17.097992553849206</v>
          </cell>
          <cell r="Y1135">
            <v>16.701553631320063</v>
          </cell>
          <cell r="Z1135">
            <v>16.305598641496143</v>
          </cell>
          <cell r="AA1135">
            <v>15.910127584377216</v>
          </cell>
          <cell r="AB1135">
            <v>15.515140459963511</v>
          </cell>
          <cell r="AC1135">
            <v>15.120637268254796</v>
          </cell>
          <cell r="AD1135">
            <v>14.934796849625767</v>
          </cell>
          <cell r="AE1135">
            <v>14.749178356120842</v>
          </cell>
          <cell r="AF1135">
            <v>14.56378178774014</v>
          </cell>
          <cell r="AG1135">
            <v>14.378607144483603</v>
          </cell>
          <cell r="AH1135">
            <v>14.19365442635117</v>
          </cell>
        </row>
        <row r="1136">
          <cell r="B1136" t="str">
            <v>Bio-methanol - Energy cost - Europe - USD/ton fuel</v>
          </cell>
          <cell r="G1136">
            <v>25.438353841149492</v>
          </cell>
          <cell r="H1136">
            <v>24.341971480614855</v>
          </cell>
          <cell r="I1136">
            <v>23.245589120080215</v>
          </cell>
          <cell r="J1136">
            <v>22.345818441280453</v>
          </cell>
          <cell r="K1136">
            <v>21.447148166879721</v>
          </cell>
          <cell r="L1136">
            <v>20.549578296878501</v>
          </cell>
          <cell r="M1136">
            <v>19.65310883127631</v>
          </cell>
          <cell r="N1136">
            <v>18.757739770073631</v>
          </cell>
          <cell r="O1136">
            <v>18.379340685000258</v>
          </cell>
          <cell r="P1136">
            <v>18.001398817727466</v>
          </cell>
          <cell r="Q1136">
            <v>17.623914168254778</v>
          </cell>
          <cell r="R1136">
            <v>17.246886736582312</v>
          </cell>
          <cell r="S1136">
            <v>16.870316522710187</v>
          </cell>
          <cell r="T1136">
            <v>16.641509552206404</v>
          </cell>
          <cell r="U1136">
            <v>16.412975563968619</v>
          </cell>
          <cell r="V1136">
            <v>16.184714557996763</v>
          </cell>
          <cell r="W1136">
            <v>15.956726534290841</v>
          </cell>
          <cell r="X1136">
            <v>15.729011492850731</v>
          </cell>
          <cell r="Y1136">
            <v>15.486378027326708</v>
          </cell>
          <cell r="Z1136">
            <v>15.244036603543117</v>
          </cell>
          <cell r="AA1136">
            <v>15.001987221500077</v>
          </cell>
          <cell r="AB1136">
            <v>14.760229881197468</v>
          </cell>
          <cell r="AC1136">
            <v>14.518764582635409</v>
          </cell>
          <cell r="AD1136">
            <v>14.340330856378007</v>
          </cell>
          <cell r="AE1136">
            <v>14.162110209788796</v>
          </cell>
          <cell r="AF1136">
            <v>13.984102642867894</v>
          </cell>
          <cell r="AG1136">
            <v>13.806308155615245</v>
          </cell>
          <cell r="AH1136">
            <v>13.628726748030784</v>
          </cell>
        </row>
        <row r="1137">
          <cell r="B1137" t="str">
            <v>Bio-methanol - Energy cost - Middle East - USD/ton fuel</v>
          </cell>
          <cell r="G1137">
            <v>19.479285775885376</v>
          </cell>
          <cell r="H1137">
            <v>18.619713725020272</v>
          </cell>
          <cell r="I1137">
            <v>17.760141674154923</v>
          </cell>
          <cell r="J1137">
            <v>17.180349259980584</v>
          </cell>
          <cell r="K1137">
            <v>16.601263775218349</v>
          </cell>
          <cell r="L1137">
            <v>16.022885219868215</v>
          </cell>
          <cell r="M1137">
            <v>15.445213593930184</v>
          </cell>
          <cell r="N1137">
            <v>14.868248897404253</v>
          </cell>
          <cell r="O1137">
            <v>14.459189219603001</v>
          </cell>
          <cell r="P1137">
            <v>14.050628008501056</v>
          </cell>
          <cell r="Q1137">
            <v>13.642565264098181</v>
          </cell>
          <cell r="R1137">
            <v>13.235000986394613</v>
          </cell>
          <cell r="S1137">
            <v>12.827935175390236</v>
          </cell>
          <cell r="T1137">
            <v>12.620089257923889</v>
          </cell>
          <cell r="U1137">
            <v>12.412493266419126</v>
          </cell>
          <cell r="V1137">
            <v>12.205147200876008</v>
          </cell>
          <cell r="W1137">
            <v>11.998051061294412</v>
          </cell>
          <cell r="X1137">
            <v>11.7912048476744</v>
          </cell>
          <cell r="Y1137">
            <v>11.522577166410642</v>
          </cell>
          <cell r="Z1137">
            <v>11.25427723706756</v>
          </cell>
          <cell r="AA1137">
            <v>10.986305059645039</v>
          </cell>
          <cell r="AB1137">
            <v>10.718660634143193</v>
          </cell>
          <cell r="AC1137">
            <v>10.451343960561879</v>
          </cell>
          <cell r="AD1137">
            <v>10.32288828020285</v>
          </cell>
          <cell r="AE1137">
            <v>10.194585998024348</v>
          </cell>
          <cell r="AF1137">
            <v>10.066437114026311</v>
          </cell>
          <cell r="AG1137">
            <v>9.9384416282087713</v>
          </cell>
          <cell r="AH1137">
            <v>9.8105995405717543</v>
          </cell>
        </row>
        <row r="1138">
          <cell r="B1138" t="str">
            <v/>
          </cell>
        </row>
        <row r="1139">
          <cell r="B1139" t="str">
            <v>Bio-methanol - Feedstock cost including feedstock feedstock cost - Africa - USD/ton fuel</v>
          </cell>
          <cell r="G1139">
            <v>204.49</v>
          </cell>
          <cell r="H1139">
            <v>205.7</v>
          </cell>
          <cell r="I1139">
            <v>206.91</v>
          </cell>
          <cell r="J1139">
            <v>208.12</v>
          </cell>
          <cell r="K1139">
            <v>209.32999999999998</v>
          </cell>
          <cell r="L1139">
            <v>210.54</v>
          </cell>
          <cell r="M1139">
            <v>211.75</v>
          </cell>
          <cell r="N1139">
            <v>212.96</v>
          </cell>
          <cell r="O1139">
            <v>214.41199999999978</v>
          </cell>
          <cell r="P1139">
            <v>215.86400000000012</v>
          </cell>
          <cell r="Q1139">
            <v>217.31599999999989</v>
          </cell>
          <cell r="R1139">
            <v>218.76799999999966</v>
          </cell>
          <cell r="S1139">
            <v>220.22</v>
          </cell>
          <cell r="T1139">
            <v>221.43</v>
          </cell>
          <cell r="U1139">
            <v>222.64</v>
          </cell>
          <cell r="V1139">
            <v>223.85</v>
          </cell>
          <cell r="W1139">
            <v>225.06</v>
          </cell>
          <cell r="X1139">
            <v>226.26999999999998</v>
          </cell>
          <cell r="Y1139">
            <v>227.48</v>
          </cell>
          <cell r="Z1139">
            <v>228.69</v>
          </cell>
          <cell r="AA1139">
            <v>229.9</v>
          </cell>
          <cell r="AB1139">
            <v>231.10999999999999</v>
          </cell>
          <cell r="AC1139">
            <v>232.32</v>
          </cell>
          <cell r="AD1139">
            <v>233.53</v>
          </cell>
          <cell r="AE1139">
            <v>234.74</v>
          </cell>
          <cell r="AF1139">
            <v>235.95</v>
          </cell>
          <cell r="AG1139">
            <v>237.16</v>
          </cell>
          <cell r="AH1139">
            <v>238.37</v>
          </cell>
        </row>
        <row r="1140">
          <cell r="B1140" t="str">
            <v>Bio-methanol - Feedstock cost including feedstock feedstock cost - Americas - USD/ton fuel</v>
          </cell>
          <cell r="G1140">
            <v>166.2540000000001</v>
          </cell>
          <cell r="H1140">
            <v>167.22200000000004</v>
          </cell>
          <cell r="I1140">
            <v>168.19</v>
          </cell>
          <cell r="J1140">
            <v>169.39999999999998</v>
          </cell>
          <cell r="K1140">
            <v>170.61</v>
          </cell>
          <cell r="L1140">
            <v>171.82</v>
          </cell>
          <cell r="M1140">
            <v>173.03</v>
          </cell>
          <cell r="N1140">
            <v>174.24</v>
          </cell>
          <cell r="O1140">
            <v>175.2080000000002</v>
          </cell>
          <cell r="P1140">
            <v>176.17600000000016</v>
          </cell>
          <cell r="Q1140">
            <v>177.14400000000012</v>
          </cell>
          <cell r="R1140">
            <v>178.11200000000005</v>
          </cell>
          <cell r="S1140">
            <v>179.07999999999998</v>
          </cell>
          <cell r="T1140">
            <v>180.04800000000023</v>
          </cell>
          <cell r="U1140">
            <v>181.01600000000016</v>
          </cell>
          <cell r="V1140">
            <v>181.98400000000009</v>
          </cell>
          <cell r="W1140">
            <v>182.95200000000006</v>
          </cell>
          <cell r="X1140">
            <v>183.92000000000002</v>
          </cell>
          <cell r="Y1140">
            <v>185.13</v>
          </cell>
          <cell r="Z1140">
            <v>186.34</v>
          </cell>
          <cell r="AA1140">
            <v>187.55</v>
          </cell>
          <cell r="AB1140">
            <v>188.76</v>
          </cell>
          <cell r="AC1140">
            <v>189.97</v>
          </cell>
          <cell r="AD1140">
            <v>190.93800000000022</v>
          </cell>
          <cell r="AE1140">
            <v>191.90600000000015</v>
          </cell>
          <cell r="AF1140">
            <v>192.87400000000011</v>
          </cell>
          <cell r="AG1140">
            <v>193.84200000000004</v>
          </cell>
          <cell r="AH1140">
            <v>194.81</v>
          </cell>
        </row>
        <row r="1141">
          <cell r="B1141" t="str">
            <v>Bio-methanol - Feedstock cost including feedstock feedstock cost - Asia - USD/ton fuel</v>
          </cell>
          <cell r="G1141">
            <v>146.41</v>
          </cell>
          <cell r="H1141">
            <v>147.62</v>
          </cell>
          <cell r="I1141">
            <v>148.82999999999998</v>
          </cell>
          <cell r="J1141">
            <v>149.79800000000023</v>
          </cell>
          <cell r="K1141">
            <v>150.76600000000016</v>
          </cell>
          <cell r="L1141">
            <v>151.73400000000009</v>
          </cell>
          <cell r="M1141">
            <v>152.70200000000006</v>
          </cell>
          <cell r="N1141">
            <v>153.67000000000002</v>
          </cell>
          <cell r="O1141">
            <v>154.88</v>
          </cell>
          <cell r="P1141">
            <v>156.09</v>
          </cell>
          <cell r="Q1141">
            <v>157.30000000000001</v>
          </cell>
          <cell r="R1141">
            <v>158.51</v>
          </cell>
          <cell r="S1141">
            <v>159.72</v>
          </cell>
          <cell r="T1141">
            <v>160.93</v>
          </cell>
          <cell r="U1141">
            <v>162.13999999999999</v>
          </cell>
          <cell r="V1141">
            <v>163.35</v>
          </cell>
          <cell r="W1141">
            <v>164.56</v>
          </cell>
          <cell r="X1141">
            <v>165.76999999999998</v>
          </cell>
          <cell r="Y1141">
            <v>166.73800000000023</v>
          </cell>
          <cell r="Z1141">
            <v>167.70600000000016</v>
          </cell>
          <cell r="AA1141">
            <v>168.67400000000009</v>
          </cell>
          <cell r="AB1141">
            <v>169.64200000000005</v>
          </cell>
          <cell r="AC1141">
            <v>170.61</v>
          </cell>
          <cell r="AD1141">
            <v>171.82</v>
          </cell>
          <cell r="AE1141">
            <v>173.03</v>
          </cell>
          <cell r="AF1141">
            <v>174.24</v>
          </cell>
          <cell r="AG1141">
            <v>175.45</v>
          </cell>
          <cell r="AH1141">
            <v>176.66</v>
          </cell>
        </row>
        <row r="1142">
          <cell r="B1142" t="str">
            <v>Bio-methanol - Feedstock cost including feedstock feedstock cost - Europe - USD/ton fuel</v>
          </cell>
          <cell r="G1142">
            <v>179.07999999999998</v>
          </cell>
          <cell r="H1142">
            <v>180.29</v>
          </cell>
          <cell r="I1142">
            <v>181.5</v>
          </cell>
          <cell r="J1142">
            <v>182.70999999999998</v>
          </cell>
          <cell r="K1142">
            <v>183.92000000000002</v>
          </cell>
          <cell r="L1142">
            <v>185.13</v>
          </cell>
          <cell r="M1142">
            <v>186.34</v>
          </cell>
          <cell r="N1142">
            <v>187.55</v>
          </cell>
          <cell r="O1142">
            <v>188.76</v>
          </cell>
          <cell r="P1142">
            <v>189.97</v>
          </cell>
          <cell r="Q1142">
            <v>191.18</v>
          </cell>
          <cell r="R1142">
            <v>192.39</v>
          </cell>
          <cell r="S1142">
            <v>193.6</v>
          </cell>
          <cell r="T1142">
            <v>194.56800000000021</v>
          </cell>
          <cell r="U1142">
            <v>195.53600000000017</v>
          </cell>
          <cell r="V1142">
            <v>196.5040000000001</v>
          </cell>
          <cell r="W1142">
            <v>197.47200000000004</v>
          </cell>
          <cell r="X1142">
            <v>198.44</v>
          </cell>
          <cell r="Y1142">
            <v>199.65</v>
          </cell>
          <cell r="Z1142">
            <v>200.85999999999999</v>
          </cell>
          <cell r="AA1142">
            <v>202.07</v>
          </cell>
          <cell r="AB1142">
            <v>203.28</v>
          </cell>
          <cell r="AC1142">
            <v>204.49</v>
          </cell>
          <cell r="AD1142">
            <v>205.7</v>
          </cell>
          <cell r="AE1142">
            <v>206.91</v>
          </cell>
          <cell r="AF1142">
            <v>208.12</v>
          </cell>
          <cell r="AG1142">
            <v>209.32999999999998</v>
          </cell>
          <cell r="AH1142">
            <v>210.54</v>
          </cell>
        </row>
        <row r="1143">
          <cell r="B1143" t="str">
            <v>Bio-methanol - Feedstock cost including feedstock feedstock cost - Middle East - USD/ton fuel</v>
          </cell>
          <cell r="G1143">
            <v>197.71400000000011</v>
          </cell>
          <cell r="H1143">
            <v>198.68200000000004</v>
          </cell>
          <cell r="I1143">
            <v>199.65</v>
          </cell>
          <cell r="J1143">
            <v>200.61800000000022</v>
          </cell>
          <cell r="K1143">
            <v>201.58600000000015</v>
          </cell>
          <cell r="L1143">
            <v>202.55400000000012</v>
          </cell>
          <cell r="M1143">
            <v>203.52200000000005</v>
          </cell>
          <cell r="N1143">
            <v>204.49</v>
          </cell>
          <cell r="O1143">
            <v>205.45800000000023</v>
          </cell>
          <cell r="P1143">
            <v>206.42600000000016</v>
          </cell>
          <cell r="Q1143">
            <v>207.39400000000012</v>
          </cell>
          <cell r="R1143">
            <v>208.36200000000005</v>
          </cell>
          <cell r="S1143">
            <v>209.32999999999998</v>
          </cell>
          <cell r="T1143">
            <v>210.54</v>
          </cell>
          <cell r="U1143">
            <v>211.75</v>
          </cell>
          <cell r="V1143">
            <v>212.96</v>
          </cell>
          <cell r="W1143">
            <v>214.17</v>
          </cell>
          <cell r="X1143">
            <v>215.38</v>
          </cell>
          <cell r="Y1143">
            <v>216.34800000000021</v>
          </cell>
          <cell r="Z1143">
            <v>217.31600000000017</v>
          </cell>
          <cell r="AA1143">
            <v>218.28400000000011</v>
          </cell>
          <cell r="AB1143">
            <v>219.25200000000004</v>
          </cell>
          <cell r="AC1143">
            <v>220.22</v>
          </cell>
          <cell r="AD1143">
            <v>221.18800000000022</v>
          </cell>
          <cell r="AE1143">
            <v>222.15600000000015</v>
          </cell>
          <cell r="AF1143">
            <v>223.12400000000011</v>
          </cell>
          <cell r="AG1143">
            <v>224.09200000000004</v>
          </cell>
          <cell r="AH1143">
            <v>225.06</v>
          </cell>
        </row>
        <row r="1144">
          <cell r="B1144" t="str">
            <v>Bio-methanol - Feedstock cost - Africa - USD/ton fuel</v>
          </cell>
          <cell r="G1144">
            <v>204.49</v>
          </cell>
          <cell r="H1144">
            <v>205.7</v>
          </cell>
          <cell r="I1144">
            <v>206.91</v>
          </cell>
          <cell r="J1144">
            <v>208.12</v>
          </cell>
          <cell r="K1144">
            <v>209.32999999999998</v>
          </cell>
          <cell r="L1144">
            <v>210.54</v>
          </cell>
          <cell r="M1144">
            <v>211.75</v>
          </cell>
          <cell r="N1144">
            <v>212.96</v>
          </cell>
          <cell r="O1144">
            <v>214.41199999999978</v>
          </cell>
          <cell r="P1144">
            <v>215.86400000000012</v>
          </cell>
          <cell r="Q1144">
            <v>217.31599999999989</v>
          </cell>
          <cell r="R1144">
            <v>218.76799999999966</v>
          </cell>
          <cell r="S1144">
            <v>220.22</v>
          </cell>
          <cell r="T1144">
            <v>221.43</v>
          </cell>
          <cell r="U1144">
            <v>222.64</v>
          </cell>
          <cell r="V1144">
            <v>223.85</v>
          </cell>
          <cell r="W1144">
            <v>225.06</v>
          </cell>
          <cell r="X1144">
            <v>226.26999999999998</v>
          </cell>
          <cell r="Y1144">
            <v>227.48</v>
          </cell>
          <cell r="Z1144">
            <v>228.69</v>
          </cell>
          <cell r="AA1144">
            <v>229.9</v>
          </cell>
          <cell r="AB1144">
            <v>231.10999999999999</v>
          </cell>
          <cell r="AC1144">
            <v>232.32</v>
          </cell>
          <cell r="AD1144">
            <v>233.53</v>
          </cell>
          <cell r="AE1144">
            <v>234.74</v>
          </cell>
          <cell r="AF1144">
            <v>235.95</v>
          </cell>
          <cell r="AG1144">
            <v>237.16</v>
          </cell>
          <cell r="AH1144">
            <v>238.37</v>
          </cell>
        </row>
        <row r="1145">
          <cell r="B1145" t="str">
            <v>Bio-methanol - Feedstock cost - Americas - USD/ton fuel</v>
          </cell>
          <cell r="G1145">
            <v>166.2540000000001</v>
          </cell>
          <cell r="H1145">
            <v>167.22200000000004</v>
          </cell>
          <cell r="I1145">
            <v>168.19</v>
          </cell>
          <cell r="J1145">
            <v>169.39999999999998</v>
          </cell>
          <cell r="K1145">
            <v>170.61</v>
          </cell>
          <cell r="L1145">
            <v>171.82</v>
          </cell>
          <cell r="M1145">
            <v>173.03</v>
          </cell>
          <cell r="N1145">
            <v>174.24</v>
          </cell>
          <cell r="O1145">
            <v>175.2080000000002</v>
          </cell>
          <cell r="P1145">
            <v>176.17600000000016</v>
          </cell>
          <cell r="Q1145">
            <v>177.14400000000012</v>
          </cell>
          <cell r="R1145">
            <v>178.11200000000005</v>
          </cell>
          <cell r="S1145">
            <v>179.07999999999998</v>
          </cell>
          <cell r="T1145">
            <v>180.04800000000023</v>
          </cell>
          <cell r="U1145">
            <v>181.01600000000016</v>
          </cell>
          <cell r="V1145">
            <v>181.98400000000009</v>
          </cell>
          <cell r="W1145">
            <v>182.95200000000006</v>
          </cell>
          <cell r="X1145">
            <v>183.92000000000002</v>
          </cell>
          <cell r="Y1145">
            <v>185.13</v>
          </cell>
          <cell r="Z1145">
            <v>186.34</v>
          </cell>
          <cell r="AA1145">
            <v>187.55</v>
          </cell>
          <cell r="AB1145">
            <v>188.76</v>
          </cell>
          <cell r="AC1145">
            <v>189.97</v>
          </cell>
          <cell r="AD1145">
            <v>190.93800000000022</v>
          </cell>
          <cell r="AE1145">
            <v>191.90600000000015</v>
          </cell>
          <cell r="AF1145">
            <v>192.87400000000011</v>
          </cell>
          <cell r="AG1145">
            <v>193.84200000000004</v>
          </cell>
          <cell r="AH1145">
            <v>194.81</v>
          </cell>
        </row>
        <row r="1146">
          <cell r="B1146" t="str">
            <v>Bio-methanol - Feedstock cost - Asia - USD/ton fuel</v>
          </cell>
          <cell r="G1146">
            <v>146.41</v>
          </cell>
          <cell r="H1146">
            <v>147.62</v>
          </cell>
          <cell r="I1146">
            <v>148.82999999999998</v>
          </cell>
          <cell r="J1146">
            <v>149.79800000000023</v>
          </cell>
          <cell r="K1146">
            <v>150.76600000000016</v>
          </cell>
          <cell r="L1146">
            <v>151.73400000000009</v>
          </cell>
          <cell r="M1146">
            <v>152.70200000000006</v>
          </cell>
          <cell r="N1146">
            <v>153.67000000000002</v>
          </cell>
          <cell r="O1146">
            <v>154.88</v>
          </cell>
          <cell r="P1146">
            <v>156.09</v>
          </cell>
          <cell r="Q1146">
            <v>157.30000000000001</v>
          </cell>
          <cell r="R1146">
            <v>158.51</v>
          </cell>
          <cell r="S1146">
            <v>159.72</v>
          </cell>
          <cell r="T1146">
            <v>160.93</v>
          </cell>
          <cell r="U1146">
            <v>162.13999999999999</v>
          </cell>
          <cell r="V1146">
            <v>163.35</v>
          </cell>
          <cell r="W1146">
            <v>164.56</v>
          </cell>
          <cell r="X1146">
            <v>165.76999999999998</v>
          </cell>
          <cell r="Y1146">
            <v>166.73800000000023</v>
          </cell>
          <cell r="Z1146">
            <v>167.70600000000016</v>
          </cell>
          <cell r="AA1146">
            <v>168.67400000000009</v>
          </cell>
          <cell r="AB1146">
            <v>169.64200000000005</v>
          </cell>
          <cell r="AC1146">
            <v>170.61</v>
          </cell>
          <cell r="AD1146">
            <v>171.82</v>
          </cell>
          <cell r="AE1146">
            <v>173.03</v>
          </cell>
          <cell r="AF1146">
            <v>174.24</v>
          </cell>
          <cell r="AG1146">
            <v>175.45</v>
          </cell>
          <cell r="AH1146">
            <v>176.66</v>
          </cell>
        </row>
        <row r="1147">
          <cell r="B1147" t="str">
            <v>Bio-methanol - Feedstock cost - Europe - USD/ton fuel</v>
          </cell>
          <cell r="G1147">
            <v>179.07999999999998</v>
          </cell>
          <cell r="H1147">
            <v>180.29</v>
          </cell>
          <cell r="I1147">
            <v>181.5</v>
          </cell>
          <cell r="J1147">
            <v>182.70999999999998</v>
          </cell>
          <cell r="K1147">
            <v>183.92000000000002</v>
          </cell>
          <cell r="L1147">
            <v>185.13</v>
          </cell>
          <cell r="M1147">
            <v>186.34</v>
          </cell>
          <cell r="N1147">
            <v>187.55</v>
          </cell>
          <cell r="O1147">
            <v>188.76</v>
          </cell>
          <cell r="P1147">
            <v>189.97</v>
          </cell>
          <cell r="Q1147">
            <v>191.18</v>
          </cell>
          <cell r="R1147">
            <v>192.39</v>
          </cell>
          <cell r="S1147">
            <v>193.6</v>
          </cell>
          <cell r="T1147">
            <v>194.56800000000021</v>
          </cell>
          <cell r="U1147">
            <v>195.53600000000017</v>
          </cell>
          <cell r="V1147">
            <v>196.5040000000001</v>
          </cell>
          <cell r="W1147">
            <v>197.47200000000004</v>
          </cell>
          <cell r="X1147">
            <v>198.44</v>
          </cell>
          <cell r="Y1147">
            <v>199.65</v>
          </cell>
          <cell r="Z1147">
            <v>200.85999999999999</v>
          </cell>
          <cell r="AA1147">
            <v>202.07</v>
          </cell>
          <cell r="AB1147">
            <v>203.28</v>
          </cell>
          <cell r="AC1147">
            <v>204.49</v>
          </cell>
          <cell r="AD1147">
            <v>205.7</v>
          </cell>
          <cell r="AE1147">
            <v>206.91</v>
          </cell>
          <cell r="AF1147">
            <v>208.12</v>
          </cell>
          <cell r="AG1147">
            <v>209.32999999999998</v>
          </cell>
          <cell r="AH1147">
            <v>210.54</v>
          </cell>
        </row>
        <row r="1148">
          <cell r="B1148" t="str">
            <v>Bio-methanol - Feedstock cost - Middle East - USD/ton fuel</v>
          </cell>
          <cell r="G1148">
            <v>197.71400000000011</v>
          </cell>
          <cell r="H1148">
            <v>198.68200000000004</v>
          </cell>
          <cell r="I1148">
            <v>199.65</v>
          </cell>
          <cell r="J1148">
            <v>200.61800000000022</v>
          </cell>
          <cell r="K1148">
            <v>201.58600000000015</v>
          </cell>
          <cell r="L1148">
            <v>202.55400000000012</v>
          </cell>
          <cell r="M1148">
            <v>203.52200000000005</v>
          </cell>
          <cell r="N1148">
            <v>204.49</v>
          </cell>
          <cell r="O1148">
            <v>205.45800000000023</v>
          </cell>
          <cell r="P1148">
            <v>206.42600000000016</v>
          </cell>
          <cell r="Q1148">
            <v>207.39400000000012</v>
          </cell>
          <cell r="R1148">
            <v>208.36200000000005</v>
          </cell>
          <cell r="S1148">
            <v>209.32999999999998</v>
          </cell>
          <cell r="T1148">
            <v>210.54</v>
          </cell>
          <cell r="U1148">
            <v>211.75</v>
          </cell>
          <cell r="V1148">
            <v>212.96</v>
          </cell>
          <cell r="W1148">
            <v>214.17</v>
          </cell>
          <cell r="X1148">
            <v>215.38</v>
          </cell>
          <cell r="Y1148">
            <v>216.34800000000021</v>
          </cell>
          <cell r="Z1148">
            <v>217.31600000000017</v>
          </cell>
          <cell r="AA1148">
            <v>218.28400000000011</v>
          </cell>
          <cell r="AB1148">
            <v>219.25200000000004</v>
          </cell>
          <cell r="AC1148">
            <v>220.22</v>
          </cell>
          <cell r="AD1148">
            <v>221.18800000000022</v>
          </cell>
          <cell r="AE1148">
            <v>222.15600000000015</v>
          </cell>
          <cell r="AF1148">
            <v>223.12400000000011</v>
          </cell>
          <cell r="AG1148">
            <v>224.09200000000004</v>
          </cell>
          <cell r="AH1148">
            <v>225.06</v>
          </cell>
        </row>
        <row r="1150">
          <cell r="B1150" t="str">
            <v>Bio-methane (liquefied) - Item - Region - Unit</v>
          </cell>
          <cell r="G1150">
            <v>2023</v>
          </cell>
          <cell r="H1150">
            <v>2024</v>
          </cell>
          <cell r="I1150">
            <v>2025</v>
          </cell>
          <cell r="J1150">
            <v>2026</v>
          </cell>
          <cell r="K1150">
            <v>2027</v>
          </cell>
          <cell r="L1150">
            <v>2028</v>
          </cell>
          <cell r="M1150">
            <v>2029</v>
          </cell>
          <cell r="N1150">
            <v>2030</v>
          </cell>
          <cell r="O1150">
            <v>2031</v>
          </cell>
          <cell r="P1150">
            <v>2032</v>
          </cell>
          <cell r="Q1150">
            <v>2033</v>
          </cell>
          <cell r="R1150">
            <v>2034</v>
          </cell>
          <cell r="S1150">
            <v>2035</v>
          </cell>
          <cell r="T1150">
            <v>2036</v>
          </cell>
          <cell r="U1150">
            <v>2037</v>
          </cell>
          <cell r="V1150">
            <v>2038</v>
          </cell>
          <cell r="W1150">
            <v>2039</v>
          </cell>
          <cell r="X1150">
            <v>2040</v>
          </cell>
          <cell r="Y1150">
            <v>2041</v>
          </cell>
          <cell r="Z1150">
            <v>2042</v>
          </cell>
          <cell r="AA1150">
            <v>2043</v>
          </cell>
          <cell r="AB1150">
            <v>2044</v>
          </cell>
          <cell r="AC1150">
            <v>2045</v>
          </cell>
          <cell r="AD1150">
            <v>2046</v>
          </cell>
          <cell r="AE1150">
            <v>2047</v>
          </cell>
          <cell r="AF1150">
            <v>2048</v>
          </cell>
          <cell r="AG1150">
            <v>2049</v>
          </cell>
          <cell r="AH1150">
            <v>2050</v>
          </cell>
        </row>
        <row r="1151">
          <cell r="B1151" t="str">
            <v>Bio-methane (liquefied) - Total cost - Africa - USD/ton fuel</v>
          </cell>
          <cell r="G1151">
            <v>1200.2217290434762</v>
          </cell>
          <cell r="H1151">
            <v>1173.2232453023753</v>
          </cell>
          <cell r="I1151">
            <v>1146.6166680786971</v>
          </cell>
          <cell r="J1151">
            <v>1130.3192719326091</v>
          </cell>
          <cell r="K1151">
            <v>1114.1040442836015</v>
          </cell>
          <cell r="L1151">
            <v>1097.9709851316732</v>
          </cell>
          <cell r="M1151">
            <v>1081.9200944768238</v>
          </cell>
          <cell r="N1151">
            <v>1065.9513723190544</v>
          </cell>
          <cell r="O1151">
            <v>1051.9457363592455</v>
          </cell>
          <cell r="P1151">
            <v>1037.9357288444971</v>
          </cell>
          <cell r="Q1151">
            <v>1023.9213497748094</v>
          </cell>
          <cell r="R1151">
            <v>1009.9025991501869</v>
          </cell>
          <cell r="S1151">
            <v>995.8794769706227</v>
          </cell>
          <cell r="T1151">
            <v>982.54387889973668</v>
          </cell>
          <cell r="U1151">
            <v>969.20622320977532</v>
          </cell>
          <cell r="V1151">
            <v>955.86650990073758</v>
          </cell>
          <cell r="W1151">
            <v>942.52473897262439</v>
          </cell>
          <cell r="X1151">
            <v>929.18091042543642</v>
          </cell>
          <cell r="Y1151">
            <v>915.81748489977872</v>
          </cell>
          <cell r="Z1151">
            <v>902.4519435837866</v>
          </cell>
          <cell r="AA1151">
            <v>889.08428647746052</v>
          </cell>
          <cell r="AB1151">
            <v>875.71451358080321</v>
          </cell>
          <cell r="AC1151">
            <v>862.34262489381013</v>
          </cell>
          <cell r="AD1151">
            <v>849.29613419117811</v>
          </cell>
          <cell r="AE1151">
            <v>836.24860500198542</v>
          </cell>
          <cell r="AF1151">
            <v>823.20003732623263</v>
          </cell>
          <cell r="AG1151">
            <v>810.15043116391985</v>
          </cell>
          <cell r="AH1151">
            <v>797.09978651504741</v>
          </cell>
        </row>
        <row r="1152">
          <cell r="B1152" t="str">
            <v>Bio-methane (liquefied) - Total cost - Americas - USD/ton fuel</v>
          </cell>
          <cell r="G1152">
            <v>1151.4766114670608</v>
          </cell>
          <cell r="H1152">
            <v>1137.4312830390195</v>
          </cell>
          <cell r="I1152">
            <v>1123.4308416932929</v>
          </cell>
          <cell r="J1152">
            <v>1109.3714147856035</v>
          </cell>
          <cell r="K1152">
            <v>1095.3107258246628</v>
          </cell>
          <cell r="L1152">
            <v>1081.2487748104695</v>
          </cell>
          <cell r="M1152">
            <v>1067.1855617430244</v>
          </cell>
          <cell r="N1152">
            <v>1053.1210866223271</v>
          </cell>
          <cell r="O1152">
            <v>1040.0167771460774</v>
          </cell>
          <cell r="P1152">
            <v>1026.8979354434671</v>
          </cell>
          <cell r="Q1152">
            <v>1013.764561514497</v>
          </cell>
          <cell r="R1152">
            <v>1000.6166553591706</v>
          </cell>
          <cell r="S1152">
            <v>987.45421697748077</v>
          </cell>
          <cell r="T1152">
            <v>974.33663522063205</v>
          </cell>
          <cell r="U1152">
            <v>961.21700077880928</v>
          </cell>
          <cell r="V1152">
            <v>948.09531365201155</v>
          </cell>
          <cell r="W1152">
            <v>934.97157384023978</v>
          </cell>
          <cell r="X1152">
            <v>921.84578134349442</v>
          </cell>
          <cell r="Y1152">
            <v>909.08750708349351</v>
          </cell>
          <cell r="Z1152">
            <v>896.32840586204861</v>
          </cell>
          <cell r="AA1152">
            <v>883.56847767915986</v>
          </cell>
          <cell r="AB1152">
            <v>870.80772253482974</v>
          </cell>
          <cell r="AC1152">
            <v>858.04614042905416</v>
          </cell>
          <cell r="AD1152">
            <v>845.34546947340425</v>
          </cell>
          <cell r="AE1152">
            <v>832.64417463387667</v>
          </cell>
          <cell r="AF1152">
            <v>819.94225591047245</v>
          </cell>
          <cell r="AG1152">
            <v>807.23971330319159</v>
          </cell>
          <cell r="AH1152">
            <v>794.53654681203409</v>
          </cell>
        </row>
        <row r="1153">
          <cell r="B1153" t="str">
            <v>Bio-methane (liquefied) - Total cost - Asia - USD/ton fuel</v>
          </cell>
          <cell r="G1153">
            <v>1206.8592144049742</v>
          </cell>
          <cell r="H1153">
            <v>1182.2095911697229</v>
          </cell>
          <cell r="I1153">
            <v>1157.8865856440714</v>
          </cell>
          <cell r="J1153">
            <v>1140.6989902827318</v>
          </cell>
          <cell r="K1153">
            <v>1123.6530078879864</v>
          </cell>
          <cell r="L1153">
            <v>1106.7486384598317</v>
          </cell>
          <cell r="M1153">
            <v>1089.9858819982687</v>
          </cell>
          <cell r="N1153">
            <v>1073.3647385032991</v>
          </cell>
          <cell r="O1153">
            <v>1059.1067762252405</v>
          </cell>
          <cell r="P1153">
            <v>1044.8431133716713</v>
          </cell>
          <cell r="Q1153">
            <v>1030.5737499425927</v>
          </cell>
          <cell r="R1153">
            <v>1016.2986859380069</v>
          </cell>
          <cell r="S1153">
            <v>1002.0179213579079</v>
          </cell>
          <cell r="T1153">
            <v>988.56936830710424</v>
          </cell>
          <cell r="U1153">
            <v>975.1179169455994</v>
          </cell>
          <cell r="V1153">
            <v>961.6635672733928</v>
          </cell>
          <cell r="W1153">
            <v>948.20631929048466</v>
          </cell>
          <cell r="X1153">
            <v>934.74617299687623</v>
          </cell>
          <cell r="Y1153">
            <v>921.24229378385553</v>
          </cell>
          <cell r="Z1153">
            <v>907.73538082756045</v>
          </cell>
          <cell r="AA1153">
            <v>894.22543412799098</v>
          </cell>
          <cell r="AB1153">
            <v>880.71245368514997</v>
          </cell>
          <cell r="AC1153">
            <v>867.19643949903252</v>
          </cell>
          <cell r="AD1153">
            <v>854.1767347229918</v>
          </cell>
          <cell r="AE1153">
            <v>841.15563871249594</v>
          </cell>
          <cell r="AF1153">
            <v>828.13315146754599</v>
          </cell>
          <cell r="AG1153">
            <v>815.10927298814158</v>
          </cell>
          <cell r="AH1153">
            <v>802.08400327428308</v>
          </cell>
        </row>
        <row r="1154">
          <cell r="B1154" t="str">
            <v>Bio-methane (liquefied) - Total cost - Europe - USD/ton fuel</v>
          </cell>
          <cell r="G1154">
            <v>1188.1833907966961</v>
          </cell>
          <cell r="H1154">
            <v>1166.8944713432345</v>
          </cell>
          <cell r="I1154">
            <v>1146.0170143731493</v>
          </cell>
          <cell r="J1154">
            <v>1129.9929508868204</v>
          </cell>
          <cell r="K1154">
            <v>1114.0519890354708</v>
          </cell>
          <cell r="L1154">
            <v>1098.1941288191003</v>
          </cell>
          <cell r="M1154">
            <v>1082.4193702377086</v>
          </cell>
          <cell r="N1154">
            <v>1066.7277132912959</v>
          </cell>
          <cell r="O1154">
            <v>1053.1697246347271</v>
          </cell>
          <cell r="P1154">
            <v>1039.6088697089194</v>
          </cell>
          <cell r="Q1154">
            <v>1026.0451485138726</v>
          </cell>
          <cell r="R1154">
            <v>1012.4785610495902</v>
          </cell>
          <cell r="S1154">
            <v>998.90910731606607</v>
          </cell>
          <cell r="T1154">
            <v>985.6821349932261</v>
          </cell>
          <cell r="U1154">
            <v>972.4534513619659</v>
          </cell>
          <cell r="V1154">
            <v>959.22305642228457</v>
          </cell>
          <cell r="W1154">
            <v>945.9909501741829</v>
          </cell>
          <cell r="X1154">
            <v>932.75713261766077</v>
          </cell>
          <cell r="Y1154">
            <v>919.48557825030389</v>
          </cell>
          <cell r="Z1154">
            <v>906.21219309189496</v>
          </cell>
          <cell r="AA1154">
            <v>892.93697714243478</v>
          </cell>
          <cell r="AB1154">
            <v>879.65993040192552</v>
          </cell>
          <cell r="AC1154">
            <v>866.38105287036308</v>
          </cell>
          <cell r="AD1154">
            <v>853.25083320920658</v>
          </cell>
          <cell r="AE1154">
            <v>840.11927776519394</v>
          </cell>
          <cell r="AF1154">
            <v>826.98638653832631</v>
          </cell>
          <cell r="AG1154">
            <v>813.85215952860369</v>
          </cell>
          <cell r="AH1154">
            <v>800.71659673602596</v>
          </cell>
        </row>
        <row r="1155">
          <cell r="B1155" t="str">
            <v>Bio-methane (liquefied) - Total cost - Middle East - USD/ton fuel</v>
          </cell>
          <cell r="G1155">
            <v>1167.9948783821023</v>
          </cell>
          <cell r="H1155">
            <v>1148.3780837756763</v>
          </cell>
          <cell r="I1155">
            <v>1129.1045956917378</v>
          </cell>
          <cell r="J1155">
            <v>1113.2154062568147</v>
          </cell>
          <cell r="K1155">
            <v>1097.4737851264795</v>
          </cell>
          <cell r="L1155">
            <v>1081.8797323007304</v>
          </cell>
          <cell r="M1155">
            <v>1066.4332477795683</v>
          </cell>
          <cell r="N1155">
            <v>1051.1343315629933</v>
          </cell>
          <cell r="O1155">
            <v>1037.8144778380899</v>
          </cell>
          <cell r="P1155">
            <v>1024.4914992572299</v>
          </cell>
          <cell r="Q1155">
            <v>1011.1653958204129</v>
          </cell>
          <cell r="R1155">
            <v>997.83616752764306</v>
          </cell>
          <cell r="S1155">
            <v>984.50381437891326</v>
          </cell>
          <cell r="T1155">
            <v>971.63422351933934</v>
          </cell>
          <cell r="U1155">
            <v>958.7630658898471</v>
          </cell>
          <cell r="V1155">
            <v>945.89034149043596</v>
          </cell>
          <cell r="W1155">
            <v>933.01605032110592</v>
          </cell>
          <cell r="X1155">
            <v>920.14019238185824</v>
          </cell>
          <cell r="Y1155">
            <v>907.11566397020329</v>
          </cell>
          <cell r="Z1155">
            <v>894.08908090265413</v>
          </cell>
          <cell r="AA1155">
            <v>881.06044317921112</v>
          </cell>
          <cell r="AB1155">
            <v>868.02975079987675</v>
          </cell>
          <cell r="AC1155">
            <v>854.99700376464648</v>
          </cell>
          <cell r="AD1155">
            <v>842.29449149079016</v>
          </cell>
          <cell r="AE1155">
            <v>829.59101757351937</v>
          </cell>
          <cell r="AF1155">
            <v>816.88658201283511</v>
          </cell>
          <cell r="AG1155">
            <v>804.18118480873738</v>
          </cell>
          <cell r="AH1155">
            <v>791.47482596122632</v>
          </cell>
        </row>
        <row r="1156">
          <cell r="B1156" t="str">
            <v/>
          </cell>
        </row>
        <row r="1157">
          <cell r="B1157" t="str">
            <v>Bio-methane (liquefied) - CAPEX including feedstock CAPEX - Global - USD/ton fuel</v>
          </cell>
          <cell r="G1157">
            <v>207.65791535428338</v>
          </cell>
          <cell r="H1157">
            <v>204.81163652903632</v>
          </cell>
          <cell r="I1157">
            <v>201.96535770378833</v>
          </cell>
          <cell r="J1157">
            <v>199.11907887854031</v>
          </cell>
          <cell r="K1157">
            <v>196.27280005329231</v>
          </cell>
          <cell r="L1157">
            <v>193.42652122804429</v>
          </cell>
          <cell r="M1157">
            <v>190.58024240279627</v>
          </cell>
          <cell r="N1157">
            <v>187.73396357754828</v>
          </cell>
          <cell r="O1157">
            <v>184.88768475230026</v>
          </cell>
          <cell r="P1157">
            <v>182.04140592705227</v>
          </cell>
          <cell r="Q1157">
            <v>179.19512710180425</v>
          </cell>
          <cell r="R1157">
            <v>176.34884827655722</v>
          </cell>
          <cell r="S1157">
            <v>173.5025694513092</v>
          </cell>
          <cell r="T1157">
            <v>170.65629062606118</v>
          </cell>
          <cell r="U1157">
            <v>167.81001180081319</v>
          </cell>
          <cell r="V1157">
            <v>164.96373297556516</v>
          </cell>
          <cell r="W1157">
            <v>162.11745415031717</v>
          </cell>
          <cell r="X1157">
            <v>159.27117532506915</v>
          </cell>
          <cell r="Y1157">
            <v>156.42489649982113</v>
          </cell>
          <cell r="Z1157">
            <v>153.57861767457314</v>
          </cell>
          <cell r="AA1157">
            <v>150.73233884932512</v>
          </cell>
          <cell r="AB1157">
            <v>147.88606002407809</v>
          </cell>
          <cell r="AC1157">
            <v>145.03978119883007</v>
          </cell>
          <cell r="AD1157">
            <v>142.19350237358205</v>
          </cell>
          <cell r="AE1157">
            <v>139.34722354833406</v>
          </cell>
          <cell r="AF1157">
            <v>136.50094472308604</v>
          </cell>
          <cell r="AG1157">
            <v>133.65466589783804</v>
          </cell>
          <cell r="AH1157">
            <v>130.80838707259002</v>
          </cell>
        </row>
        <row r="1158">
          <cell r="B1158" t="str">
            <v>Bio-methane (liquefied) - CAPEX - Global - USD/ton fuel</v>
          </cell>
          <cell r="G1158">
            <v>207.65791535428338</v>
          </cell>
          <cell r="H1158">
            <v>204.81163652903632</v>
          </cell>
          <cell r="I1158">
            <v>201.96535770378833</v>
          </cell>
          <cell r="J1158">
            <v>199.11907887854031</v>
          </cell>
          <cell r="K1158">
            <v>196.27280005329231</v>
          </cell>
          <cell r="L1158">
            <v>193.42652122804429</v>
          </cell>
          <cell r="M1158">
            <v>190.58024240279627</v>
          </cell>
          <cell r="N1158">
            <v>187.73396357754828</v>
          </cell>
          <cell r="O1158">
            <v>184.88768475230026</v>
          </cell>
          <cell r="P1158">
            <v>182.04140592705227</v>
          </cell>
          <cell r="Q1158">
            <v>179.19512710180425</v>
          </cell>
          <cell r="R1158">
            <v>176.34884827655722</v>
          </cell>
          <cell r="S1158">
            <v>173.5025694513092</v>
          </cell>
          <cell r="T1158">
            <v>170.65629062606118</v>
          </cell>
          <cell r="U1158">
            <v>167.81001180081319</v>
          </cell>
          <cell r="V1158">
            <v>164.96373297556516</v>
          </cell>
          <cell r="W1158">
            <v>162.11745415031717</v>
          </cell>
          <cell r="X1158">
            <v>159.27117532506915</v>
          </cell>
          <cell r="Y1158">
            <v>156.42489649982113</v>
          </cell>
          <cell r="Z1158">
            <v>153.57861767457314</v>
          </cell>
          <cell r="AA1158">
            <v>150.73233884932512</v>
          </cell>
          <cell r="AB1158">
            <v>147.88606002407809</v>
          </cell>
          <cell r="AC1158">
            <v>145.03978119883007</v>
          </cell>
          <cell r="AD1158">
            <v>142.19350237358205</v>
          </cell>
          <cell r="AE1158">
            <v>139.34722354833406</v>
          </cell>
          <cell r="AF1158">
            <v>136.50094472308604</v>
          </cell>
          <cell r="AG1158">
            <v>133.65466589783804</v>
          </cell>
          <cell r="AH1158">
            <v>130.80838707259002</v>
          </cell>
        </row>
        <row r="1159">
          <cell r="B1159" t="str">
            <v/>
          </cell>
        </row>
        <row r="1160">
          <cell r="B1160" t="str">
            <v>Bio-methane (liquefied) - OPEX including feedstock OPEX - Global - USD/ton fuel</v>
          </cell>
          <cell r="G1160">
            <v>330.60377619559495</v>
          </cell>
          <cell r="H1160">
            <v>327.11905046348147</v>
          </cell>
          <cell r="I1160">
            <v>323.63432473136709</v>
          </cell>
          <cell r="J1160">
            <v>320.14959899925361</v>
          </cell>
          <cell r="K1160">
            <v>316.66487326714105</v>
          </cell>
          <cell r="L1160">
            <v>313.18014753502757</v>
          </cell>
          <cell r="M1160">
            <v>309.6954218029141</v>
          </cell>
          <cell r="N1160">
            <v>306.21069607080062</v>
          </cell>
          <cell r="O1160">
            <v>302.72597033868715</v>
          </cell>
          <cell r="P1160">
            <v>299.24124460657367</v>
          </cell>
          <cell r="Q1160">
            <v>295.7565188744602</v>
          </cell>
          <cell r="R1160">
            <v>292.27179314234763</v>
          </cell>
          <cell r="S1160">
            <v>288.78706741023416</v>
          </cell>
          <cell r="T1160">
            <v>285.30234167812068</v>
          </cell>
          <cell r="U1160">
            <v>281.81761594600721</v>
          </cell>
          <cell r="V1160">
            <v>278.33289021389373</v>
          </cell>
          <cell r="W1160">
            <v>274.84816448178026</v>
          </cell>
          <cell r="X1160">
            <v>271.36343874966769</v>
          </cell>
          <cell r="Y1160">
            <v>267.87871301755422</v>
          </cell>
          <cell r="Z1160">
            <v>264.39398728544074</v>
          </cell>
          <cell r="AA1160">
            <v>260.90926155332727</v>
          </cell>
          <cell r="AB1160">
            <v>257.42453582121379</v>
          </cell>
          <cell r="AC1160">
            <v>253.93981008910123</v>
          </cell>
          <cell r="AD1160">
            <v>250.45508435698866</v>
          </cell>
          <cell r="AE1160">
            <v>246.97035862487519</v>
          </cell>
          <cell r="AF1160">
            <v>243.48563289276171</v>
          </cell>
          <cell r="AG1160">
            <v>240.00090716064824</v>
          </cell>
          <cell r="AH1160">
            <v>236.51618142853476</v>
          </cell>
        </row>
        <row r="1161">
          <cell r="B1161" t="str">
            <v>Bio-methane (liquefied) - OPEX - Global - USD/ton fuel</v>
          </cell>
          <cell r="G1161">
            <v>330.60377619559495</v>
          </cell>
          <cell r="H1161">
            <v>327.11905046348147</v>
          </cell>
          <cell r="I1161">
            <v>323.63432473136709</v>
          </cell>
          <cell r="J1161">
            <v>320.14959899925361</v>
          </cell>
          <cell r="K1161">
            <v>316.66487326714105</v>
          </cell>
          <cell r="L1161">
            <v>313.18014753502757</v>
          </cell>
          <cell r="M1161">
            <v>309.6954218029141</v>
          </cell>
          <cell r="N1161">
            <v>306.21069607080062</v>
          </cell>
          <cell r="O1161">
            <v>302.72597033868715</v>
          </cell>
          <cell r="P1161">
            <v>299.24124460657367</v>
          </cell>
          <cell r="Q1161">
            <v>295.7565188744602</v>
          </cell>
          <cell r="R1161">
            <v>292.27179314234763</v>
          </cell>
          <cell r="S1161">
            <v>288.78706741023416</v>
          </cell>
          <cell r="T1161">
            <v>285.30234167812068</v>
          </cell>
          <cell r="U1161">
            <v>281.81761594600721</v>
          </cell>
          <cell r="V1161">
            <v>278.33289021389373</v>
          </cell>
          <cell r="W1161">
            <v>274.84816448178026</v>
          </cell>
          <cell r="X1161">
            <v>271.36343874966769</v>
          </cell>
          <cell r="Y1161">
            <v>267.87871301755422</v>
          </cell>
          <cell r="Z1161">
            <v>264.39398728544074</v>
          </cell>
          <cell r="AA1161">
            <v>260.90926155332727</v>
          </cell>
          <cell r="AB1161">
            <v>257.42453582121379</v>
          </cell>
          <cell r="AC1161">
            <v>253.93981008910123</v>
          </cell>
          <cell r="AD1161">
            <v>250.45508435698866</v>
          </cell>
          <cell r="AE1161">
            <v>246.97035862487519</v>
          </cell>
          <cell r="AF1161">
            <v>243.48563289276171</v>
          </cell>
          <cell r="AG1161">
            <v>240.00090716064824</v>
          </cell>
          <cell r="AH1161">
            <v>236.51618142853476</v>
          </cell>
        </row>
        <row r="1162">
          <cell r="B1162" t="str">
            <v/>
          </cell>
        </row>
        <row r="1163">
          <cell r="B1163" t="str">
            <v>Bio-methane (liquefied) - Finance cost including feedstock finance cost - Africa - USD/ton fuel</v>
          </cell>
          <cell r="G1163">
            <v>342.63556033456763</v>
          </cell>
          <cell r="H1163">
            <v>337.93920027291</v>
          </cell>
          <cell r="I1163">
            <v>333.24284021125078</v>
          </cell>
          <cell r="J1163">
            <v>328.54648014959156</v>
          </cell>
          <cell r="K1163">
            <v>323.85012008793234</v>
          </cell>
          <cell r="L1163">
            <v>319.15376002627312</v>
          </cell>
          <cell r="M1163">
            <v>314.4573999646139</v>
          </cell>
          <cell r="N1163">
            <v>309.76103990295468</v>
          </cell>
          <cell r="O1163">
            <v>305.06467984129546</v>
          </cell>
          <cell r="P1163">
            <v>300.36831977963624</v>
          </cell>
          <cell r="Q1163">
            <v>295.67195971797702</v>
          </cell>
          <cell r="R1163">
            <v>290.97559965631945</v>
          </cell>
          <cell r="S1163">
            <v>286.27923959466023</v>
          </cell>
          <cell r="T1163">
            <v>281.58287953300101</v>
          </cell>
          <cell r="U1163">
            <v>276.88651947134178</v>
          </cell>
          <cell r="V1163">
            <v>272.19015940968256</v>
          </cell>
          <cell r="W1163">
            <v>267.49379934802334</v>
          </cell>
          <cell r="X1163">
            <v>262.79743928636412</v>
          </cell>
          <cell r="Y1163">
            <v>258.1010792247049</v>
          </cell>
          <cell r="Z1163">
            <v>253.40471916304571</v>
          </cell>
          <cell r="AA1163">
            <v>248.70835910138649</v>
          </cell>
          <cell r="AB1163">
            <v>244.01199903972886</v>
          </cell>
          <cell r="AC1163">
            <v>239.31563897806964</v>
          </cell>
          <cell r="AD1163">
            <v>234.61927891641042</v>
          </cell>
          <cell r="AE1163">
            <v>229.92291885475123</v>
          </cell>
          <cell r="AF1163">
            <v>225.22655879309201</v>
          </cell>
          <cell r="AG1163">
            <v>220.53019873143279</v>
          </cell>
          <cell r="AH1163">
            <v>215.83383866977357</v>
          </cell>
        </row>
        <row r="1164">
          <cell r="B1164" t="str">
            <v>Bio-methane (liquefied) - Finance cost including feedstock finance cost - Americas - USD/ton fuel</v>
          </cell>
          <cell r="G1164">
            <v>342.63556033456763</v>
          </cell>
          <cell r="H1164">
            <v>337.93920027291</v>
          </cell>
          <cell r="I1164">
            <v>333.24284021125078</v>
          </cell>
          <cell r="J1164">
            <v>328.54648014959156</v>
          </cell>
          <cell r="K1164">
            <v>323.85012008793234</v>
          </cell>
          <cell r="L1164">
            <v>319.15376002627312</v>
          </cell>
          <cell r="M1164">
            <v>314.4573999646139</v>
          </cell>
          <cell r="N1164">
            <v>309.76103990295468</v>
          </cell>
          <cell r="O1164">
            <v>305.06467984129546</v>
          </cell>
          <cell r="P1164">
            <v>300.36831977963624</v>
          </cell>
          <cell r="Q1164">
            <v>295.67195971797702</v>
          </cell>
          <cell r="R1164">
            <v>290.97559965631945</v>
          </cell>
          <cell r="S1164">
            <v>286.27923959466023</v>
          </cell>
          <cell r="T1164">
            <v>281.58287953300101</v>
          </cell>
          <cell r="U1164">
            <v>276.88651947134178</v>
          </cell>
          <cell r="V1164">
            <v>272.19015940968256</v>
          </cell>
          <cell r="W1164">
            <v>267.49379934802334</v>
          </cell>
          <cell r="X1164">
            <v>262.79743928636412</v>
          </cell>
          <cell r="Y1164">
            <v>258.1010792247049</v>
          </cell>
          <cell r="Z1164">
            <v>253.40471916304571</v>
          </cell>
          <cell r="AA1164">
            <v>248.70835910138649</v>
          </cell>
          <cell r="AB1164">
            <v>244.01199903972886</v>
          </cell>
          <cell r="AC1164">
            <v>239.31563897806964</v>
          </cell>
          <cell r="AD1164">
            <v>234.61927891641042</v>
          </cell>
          <cell r="AE1164">
            <v>229.92291885475123</v>
          </cell>
          <cell r="AF1164">
            <v>225.22655879309201</v>
          </cell>
          <cell r="AG1164">
            <v>220.53019873143279</v>
          </cell>
          <cell r="AH1164">
            <v>215.83383866977357</v>
          </cell>
        </row>
        <row r="1165">
          <cell r="B1165" t="str">
            <v>Bio-methane (liquefied) - Finance cost including feedstock finance cost - Asia - USD/ton fuel</v>
          </cell>
          <cell r="G1165">
            <v>342.63556033456763</v>
          </cell>
          <cell r="H1165">
            <v>337.93920027291</v>
          </cell>
          <cell r="I1165">
            <v>333.24284021125078</v>
          </cell>
          <cell r="J1165">
            <v>328.54648014959156</v>
          </cell>
          <cell r="K1165">
            <v>323.85012008793234</v>
          </cell>
          <cell r="L1165">
            <v>319.15376002627312</v>
          </cell>
          <cell r="M1165">
            <v>314.4573999646139</v>
          </cell>
          <cell r="N1165">
            <v>309.76103990295468</v>
          </cell>
          <cell r="O1165">
            <v>305.06467984129546</v>
          </cell>
          <cell r="P1165">
            <v>300.36831977963624</v>
          </cell>
          <cell r="Q1165">
            <v>295.67195971797702</v>
          </cell>
          <cell r="R1165">
            <v>290.97559965631945</v>
          </cell>
          <cell r="S1165">
            <v>286.27923959466023</v>
          </cell>
          <cell r="T1165">
            <v>281.58287953300101</v>
          </cell>
          <cell r="U1165">
            <v>276.88651947134178</v>
          </cell>
          <cell r="V1165">
            <v>272.19015940968256</v>
          </cell>
          <cell r="W1165">
            <v>267.49379934802334</v>
          </cell>
          <cell r="X1165">
            <v>262.79743928636412</v>
          </cell>
          <cell r="Y1165">
            <v>258.1010792247049</v>
          </cell>
          <cell r="Z1165">
            <v>253.40471916304571</v>
          </cell>
          <cell r="AA1165">
            <v>248.70835910138649</v>
          </cell>
          <cell r="AB1165">
            <v>244.01199903972886</v>
          </cell>
          <cell r="AC1165">
            <v>239.31563897806964</v>
          </cell>
          <cell r="AD1165">
            <v>234.61927891641042</v>
          </cell>
          <cell r="AE1165">
            <v>229.92291885475123</v>
          </cell>
          <cell r="AF1165">
            <v>225.22655879309201</v>
          </cell>
          <cell r="AG1165">
            <v>220.53019873143279</v>
          </cell>
          <cell r="AH1165">
            <v>215.83383866977357</v>
          </cell>
        </row>
        <row r="1166">
          <cell r="B1166" t="str">
            <v>Bio-methane (liquefied) - Finance cost including feedstock finance cost - Europe - USD/ton fuel</v>
          </cell>
          <cell r="G1166">
            <v>342.63556033456763</v>
          </cell>
          <cell r="H1166">
            <v>337.93920027291</v>
          </cell>
          <cell r="I1166">
            <v>333.24284021125078</v>
          </cell>
          <cell r="J1166">
            <v>328.54648014959156</v>
          </cell>
          <cell r="K1166">
            <v>323.85012008793234</v>
          </cell>
          <cell r="L1166">
            <v>319.15376002627312</v>
          </cell>
          <cell r="M1166">
            <v>314.4573999646139</v>
          </cell>
          <cell r="N1166">
            <v>309.76103990295468</v>
          </cell>
          <cell r="O1166">
            <v>305.06467984129546</v>
          </cell>
          <cell r="P1166">
            <v>300.36831977963624</v>
          </cell>
          <cell r="Q1166">
            <v>295.67195971797702</v>
          </cell>
          <cell r="R1166">
            <v>290.97559965631945</v>
          </cell>
          <cell r="S1166">
            <v>286.27923959466023</v>
          </cell>
          <cell r="T1166">
            <v>281.58287953300101</v>
          </cell>
          <cell r="U1166">
            <v>276.88651947134178</v>
          </cell>
          <cell r="V1166">
            <v>272.19015940968256</v>
          </cell>
          <cell r="W1166">
            <v>267.49379934802334</v>
          </cell>
          <cell r="X1166">
            <v>262.79743928636412</v>
          </cell>
          <cell r="Y1166">
            <v>258.1010792247049</v>
          </cell>
          <cell r="Z1166">
            <v>253.40471916304571</v>
          </cell>
          <cell r="AA1166">
            <v>248.70835910138649</v>
          </cell>
          <cell r="AB1166">
            <v>244.01199903972886</v>
          </cell>
          <cell r="AC1166">
            <v>239.31563897806964</v>
          </cell>
          <cell r="AD1166">
            <v>234.61927891641042</v>
          </cell>
          <cell r="AE1166">
            <v>229.92291885475123</v>
          </cell>
          <cell r="AF1166">
            <v>225.22655879309201</v>
          </cell>
          <cell r="AG1166">
            <v>220.53019873143279</v>
          </cell>
          <cell r="AH1166">
            <v>215.83383866977357</v>
          </cell>
        </row>
        <row r="1167">
          <cell r="B1167" t="str">
            <v>Bio-methane (liquefied) - Finance cost including feedstock finance cost - Middle East - USD/ton fuel</v>
          </cell>
          <cell r="G1167">
            <v>342.63556033456763</v>
          </cell>
          <cell r="H1167">
            <v>337.93920027291</v>
          </cell>
          <cell r="I1167">
            <v>333.24284021125078</v>
          </cell>
          <cell r="J1167">
            <v>328.54648014959156</v>
          </cell>
          <cell r="K1167">
            <v>323.85012008793234</v>
          </cell>
          <cell r="L1167">
            <v>319.15376002627312</v>
          </cell>
          <cell r="M1167">
            <v>314.4573999646139</v>
          </cell>
          <cell r="N1167">
            <v>309.76103990295468</v>
          </cell>
          <cell r="O1167">
            <v>305.06467984129546</v>
          </cell>
          <cell r="P1167">
            <v>300.36831977963624</v>
          </cell>
          <cell r="Q1167">
            <v>295.67195971797702</v>
          </cell>
          <cell r="R1167">
            <v>290.97559965631945</v>
          </cell>
          <cell r="S1167">
            <v>286.27923959466023</v>
          </cell>
          <cell r="T1167">
            <v>281.58287953300101</v>
          </cell>
          <cell r="U1167">
            <v>276.88651947134178</v>
          </cell>
          <cell r="V1167">
            <v>272.19015940968256</v>
          </cell>
          <cell r="W1167">
            <v>267.49379934802334</v>
          </cell>
          <cell r="X1167">
            <v>262.79743928636412</v>
          </cell>
          <cell r="Y1167">
            <v>258.1010792247049</v>
          </cell>
          <cell r="Z1167">
            <v>253.40471916304571</v>
          </cell>
          <cell r="AA1167">
            <v>248.70835910138649</v>
          </cell>
          <cell r="AB1167">
            <v>244.01199903972886</v>
          </cell>
          <cell r="AC1167">
            <v>239.31563897806964</v>
          </cell>
          <cell r="AD1167">
            <v>234.61927891641042</v>
          </cell>
          <cell r="AE1167">
            <v>229.92291885475123</v>
          </cell>
          <cell r="AF1167">
            <v>225.22655879309201</v>
          </cell>
          <cell r="AG1167">
            <v>220.53019873143279</v>
          </cell>
          <cell r="AH1167">
            <v>215.83383866977357</v>
          </cell>
        </row>
        <row r="1168">
          <cell r="B1168" t="str">
            <v>Bio-methane (liquefied) - Finance cost - Africa - USD/ton fuel</v>
          </cell>
          <cell r="G1168">
            <v>342.63556033456763</v>
          </cell>
          <cell r="H1168">
            <v>337.93920027291</v>
          </cell>
          <cell r="I1168">
            <v>333.24284021125078</v>
          </cell>
          <cell r="J1168">
            <v>328.54648014959156</v>
          </cell>
          <cell r="K1168">
            <v>323.85012008793234</v>
          </cell>
          <cell r="L1168">
            <v>319.15376002627312</v>
          </cell>
          <cell r="M1168">
            <v>314.4573999646139</v>
          </cell>
          <cell r="N1168">
            <v>309.76103990295468</v>
          </cell>
          <cell r="O1168">
            <v>305.06467984129546</v>
          </cell>
          <cell r="P1168">
            <v>300.36831977963624</v>
          </cell>
          <cell r="Q1168">
            <v>295.67195971797702</v>
          </cell>
          <cell r="R1168">
            <v>290.97559965631945</v>
          </cell>
          <cell r="S1168">
            <v>286.27923959466023</v>
          </cell>
          <cell r="T1168">
            <v>281.58287953300101</v>
          </cell>
          <cell r="U1168">
            <v>276.88651947134178</v>
          </cell>
          <cell r="V1168">
            <v>272.19015940968256</v>
          </cell>
          <cell r="W1168">
            <v>267.49379934802334</v>
          </cell>
          <cell r="X1168">
            <v>262.79743928636412</v>
          </cell>
          <cell r="Y1168">
            <v>258.1010792247049</v>
          </cell>
          <cell r="Z1168">
            <v>253.40471916304571</v>
          </cell>
          <cell r="AA1168">
            <v>248.70835910138649</v>
          </cell>
          <cell r="AB1168">
            <v>244.01199903972886</v>
          </cell>
          <cell r="AC1168">
            <v>239.31563897806964</v>
          </cell>
          <cell r="AD1168">
            <v>234.61927891641042</v>
          </cell>
          <cell r="AE1168">
            <v>229.92291885475123</v>
          </cell>
          <cell r="AF1168">
            <v>225.22655879309201</v>
          </cell>
          <cell r="AG1168">
            <v>220.53019873143279</v>
          </cell>
          <cell r="AH1168">
            <v>215.83383866977357</v>
          </cell>
        </row>
        <row r="1169">
          <cell r="B1169" t="str">
            <v>Bio-methane (liquefied) - Finance cost - Americas - USD/ton fuel</v>
          </cell>
          <cell r="G1169">
            <v>342.63556033456763</v>
          </cell>
          <cell r="H1169">
            <v>337.93920027291</v>
          </cell>
          <cell r="I1169">
            <v>333.24284021125078</v>
          </cell>
          <cell r="J1169">
            <v>328.54648014959156</v>
          </cell>
          <cell r="K1169">
            <v>323.85012008793234</v>
          </cell>
          <cell r="L1169">
            <v>319.15376002627312</v>
          </cell>
          <cell r="M1169">
            <v>314.4573999646139</v>
          </cell>
          <cell r="N1169">
            <v>309.76103990295468</v>
          </cell>
          <cell r="O1169">
            <v>305.06467984129546</v>
          </cell>
          <cell r="P1169">
            <v>300.36831977963624</v>
          </cell>
          <cell r="Q1169">
            <v>295.67195971797702</v>
          </cell>
          <cell r="R1169">
            <v>290.97559965631945</v>
          </cell>
          <cell r="S1169">
            <v>286.27923959466023</v>
          </cell>
          <cell r="T1169">
            <v>281.58287953300101</v>
          </cell>
          <cell r="U1169">
            <v>276.88651947134178</v>
          </cell>
          <cell r="V1169">
            <v>272.19015940968256</v>
          </cell>
          <cell r="W1169">
            <v>267.49379934802334</v>
          </cell>
          <cell r="X1169">
            <v>262.79743928636412</v>
          </cell>
          <cell r="Y1169">
            <v>258.1010792247049</v>
          </cell>
          <cell r="Z1169">
            <v>253.40471916304571</v>
          </cell>
          <cell r="AA1169">
            <v>248.70835910138649</v>
          </cell>
          <cell r="AB1169">
            <v>244.01199903972886</v>
          </cell>
          <cell r="AC1169">
            <v>239.31563897806964</v>
          </cell>
          <cell r="AD1169">
            <v>234.61927891641042</v>
          </cell>
          <cell r="AE1169">
            <v>229.92291885475123</v>
          </cell>
          <cell r="AF1169">
            <v>225.22655879309201</v>
          </cell>
          <cell r="AG1169">
            <v>220.53019873143279</v>
          </cell>
          <cell r="AH1169">
            <v>215.83383866977357</v>
          </cell>
        </row>
        <row r="1170">
          <cell r="B1170" t="str">
            <v>Bio-methane (liquefied) - Finance cost - Asia - USD/ton fuel</v>
          </cell>
          <cell r="G1170">
            <v>342.63556033456763</v>
          </cell>
          <cell r="H1170">
            <v>337.93920027291</v>
          </cell>
          <cell r="I1170">
            <v>333.24284021125078</v>
          </cell>
          <cell r="J1170">
            <v>328.54648014959156</v>
          </cell>
          <cell r="K1170">
            <v>323.85012008793234</v>
          </cell>
          <cell r="L1170">
            <v>319.15376002627312</v>
          </cell>
          <cell r="M1170">
            <v>314.4573999646139</v>
          </cell>
          <cell r="N1170">
            <v>309.76103990295468</v>
          </cell>
          <cell r="O1170">
            <v>305.06467984129546</v>
          </cell>
          <cell r="P1170">
            <v>300.36831977963624</v>
          </cell>
          <cell r="Q1170">
            <v>295.67195971797702</v>
          </cell>
          <cell r="R1170">
            <v>290.97559965631945</v>
          </cell>
          <cell r="S1170">
            <v>286.27923959466023</v>
          </cell>
          <cell r="T1170">
            <v>281.58287953300101</v>
          </cell>
          <cell r="U1170">
            <v>276.88651947134178</v>
          </cell>
          <cell r="V1170">
            <v>272.19015940968256</v>
          </cell>
          <cell r="W1170">
            <v>267.49379934802334</v>
          </cell>
          <cell r="X1170">
            <v>262.79743928636412</v>
          </cell>
          <cell r="Y1170">
            <v>258.1010792247049</v>
          </cell>
          <cell r="Z1170">
            <v>253.40471916304571</v>
          </cell>
          <cell r="AA1170">
            <v>248.70835910138649</v>
          </cell>
          <cell r="AB1170">
            <v>244.01199903972886</v>
          </cell>
          <cell r="AC1170">
            <v>239.31563897806964</v>
          </cell>
          <cell r="AD1170">
            <v>234.61927891641042</v>
          </cell>
          <cell r="AE1170">
            <v>229.92291885475123</v>
          </cell>
          <cell r="AF1170">
            <v>225.22655879309201</v>
          </cell>
          <cell r="AG1170">
            <v>220.53019873143279</v>
          </cell>
          <cell r="AH1170">
            <v>215.83383866977357</v>
          </cell>
        </row>
        <row r="1171">
          <cell r="B1171" t="str">
            <v>Bio-methane (liquefied) - Finance cost - Europe - USD/ton fuel</v>
          </cell>
          <cell r="G1171">
            <v>342.63556033456763</v>
          </cell>
          <cell r="H1171">
            <v>337.93920027291</v>
          </cell>
          <cell r="I1171">
            <v>333.24284021125078</v>
          </cell>
          <cell r="J1171">
            <v>328.54648014959156</v>
          </cell>
          <cell r="K1171">
            <v>323.85012008793234</v>
          </cell>
          <cell r="L1171">
            <v>319.15376002627312</v>
          </cell>
          <cell r="M1171">
            <v>314.4573999646139</v>
          </cell>
          <cell r="N1171">
            <v>309.76103990295468</v>
          </cell>
          <cell r="O1171">
            <v>305.06467984129546</v>
          </cell>
          <cell r="P1171">
            <v>300.36831977963624</v>
          </cell>
          <cell r="Q1171">
            <v>295.67195971797702</v>
          </cell>
          <cell r="R1171">
            <v>290.97559965631945</v>
          </cell>
          <cell r="S1171">
            <v>286.27923959466023</v>
          </cell>
          <cell r="T1171">
            <v>281.58287953300101</v>
          </cell>
          <cell r="U1171">
            <v>276.88651947134178</v>
          </cell>
          <cell r="V1171">
            <v>272.19015940968256</v>
          </cell>
          <cell r="W1171">
            <v>267.49379934802334</v>
          </cell>
          <cell r="X1171">
            <v>262.79743928636412</v>
          </cell>
          <cell r="Y1171">
            <v>258.1010792247049</v>
          </cell>
          <cell r="Z1171">
            <v>253.40471916304571</v>
          </cell>
          <cell r="AA1171">
            <v>248.70835910138649</v>
          </cell>
          <cell r="AB1171">
            <v>244.01199903972886</v>
          </cell>
          <cell r="AC1171">
            <v>239.31563897806964</v>
          </cell>
          <cell r="AD1171">
            <v>234.61927891641042</v>
          </cell>
          <cell r="AE1171">
            <v>229.92291885475123</v>
          </cell>
          <cell r="AF1171">
            <v>225.22655879309201</v>
          </cell>
          <cell r="AG1171">
            <v>220.53019873143279</v>
          </cell>
          <cell r="AH1171">
            <v>215.83383866977357</v>
          </cell>
        </row>
        <row r="1172">
          <cell r="B1172" t="str">
            <v>Bio-methane (liquefied) - Finance cost - Middle East - USD/ton fuel</v>
          </cell>
          <cell r="G1172">
            <v>342.63556033456763</v>
          </cell>
          <cell r="H1172">
            <v>337.93920027291</v>
          </cell>
          <cell r="I1172">
            <v>333.24284021125078</v>
          </cell>
          <cell r="J1172">
            <v>328.54648014959156</v>
          </cell>
          <cell r="K1172">
            <v>323.85012008793234</v>
          </cell>
          <cell r="L1172">
            <v>319.15376002627312</v>
          </cell>
          <cell r="M1172">
            <v>314.4573999646139</v>
          </cell>
          <cell r="N1172">
            <v>309.76103990295468</v>
          </cell>
          <cell r="O1172">
            <v>305.06467984129546</v>
          </cell>
          <cell r="P1172">
            <v>300.36831977963624</v>
          </cell>
          <cell r="Q1172">
            <v>295.67195971797702</v>
          </cell>
          <cell r="R1172">
            <v>290.97559965631945</v>
          </cell>
          <cell r="S1172">
            <v>286.27923959466023</v>
          </cell>
          <cell r="T1172">
            <v>281.58287953300101</v>
          </cell>
          <cell r="U1172">
            <v>276.88651947134178</v>
          </cell>
          <cell r="V1172">
            <v>272.19015940968256</v>
          </cell>
          <cell r="W1172">
            <v>267.49379934802334</v>
          </cell>
          <cell r="X1172">
            <v>262.79743928636412</v>
          </cell>
          <cell r="Y1172">
            <v>258.1010792247049</v>
          </cell>
          <cell r="Z1172">
            <v>253.40471916304571</v>
          </cell>
          <cell r="AA1172">
            <v>248.70835910138649</v>
          </cell>
          <cell r="AB1172">
            <v>244.01199903972886</v>
          </cell>
          <cell r="AC1172">
            <v>239.31563897806964</v>
          </cell>
          <cell r="AD1172">
            <v>234.61927891641042</v>
          </cell>
          <cell r="AE1172">
            <v>229.92291885475123</v>
          </cell>
          <cell r="AF1172">
            <v>225.22655879309201</v>
          </cell>
          <cell r="AG1172">
            <v>220.53019873143279</v>
          </cell>
          <cell r="AH1172">
            <v>215.83383866977357</v>
          </cell>
        </row>
        <row r="1173">
          <cell r="B1173" t="str">
            <v/>
          </cell>
        </row>
        <row r="1174">
          <cell r="B1174" t="str">
            <v>Bio-methane (liquefied) - Energy cost including feedstock energy cost - Africa - USD/ton fuel</v>
          </cell>
          <cell r="G1174">
            <v>69.981595126557124</v>
          </cell>
          <cell r="H1174">
            <v>61.869476140659096</v>
          </cell>
          <cell r="I1174">
            <v>53.7292636721874</v>
          </cell>
          <cell r="J1174">
            <v>51.518232281304975</v>
          </cell>
          <cell r="K1174">
            <v>49.299369387502331</v>
          </cell>
          <cell r="L1174">
            <v>47.072674990779397</v>
          </cell>
          <cell r="M1174">
            <v>44.838149091135655</v>
          </cell>
          <cell r="N1174">
            <v>42.595791688572248</v>
          </cell>
          <cell r="O1174">
            <v>41.371520483968219</v>
          </cell>
          <cell r="P1174">
            <v>40.142877724425517</v>
          </cell>
          <cell r="Q1174">
            <v>38.909863409943561</v>
          </cell>
          <cell r="R1174">
            <v>37.672477540523481</v>
          </cell>
          <cell r="S1174">
            <v>36.430720116164863</v>
          </cell>
          <cell r="T1174">
            <v>35.876486800484471</v>
          </cell>
          <cell r="U1174">
            <v>35.320195865728472</v>
          </cell>
          <cell r="V1174">
            <v>34.761847311896595</v>
          </cell>
          <cell r="W1174">
            <v>34.201441138989011</v>
          </cell>
          <cell r="X1174">
            <v>33.638977347005977</v>
          </cell>
          <cell r="Y1174">
            <v>33.056916576553654</v>
          </cell>
          <cell r="Z1174">
            <v>32.4727400157674</v>
          </cell>
          <cell r="AA1174">
            <v>31.886447664646887</v>
          </cell>
          <cell r="AB1174">
            <v>31.298039523192703</v>
          </cell>
          <cell r="AC1174">
            <v>30.707515591404441</v>
          </cell>
          <cell r="AD1174">
            <v>30.442389643977016</v>
          </cell>
          <cell r="AE1174">
            <v>30.17622520998988</v>
          </cell>
          <cell r="AF1174">
            <v>29.909022289442703</v>
          </cell>
          <cell r="AG1174">
            <v>29.640780882335655</v>
          </cell>
          <cell r="AH1174">
            <v>29.371500988668895</v>
          </cell>
        </row>
        <row r="1175">
          <cell r="B1175" t="str">
            <v>Bio-methane (liquefied) - Energy cost including feedstock energy cost - Americas - USD/ton fuel</v>
          </cell>
          <cell r="G1175">
            <v>43.970477550141368</v>
          </cell>
          <cell r="H1175">
            <v>43.133513877303159</v>
          </cell>
          <cell r="I1175">
            <v>42.29343728678333</v>
          </cell>
          <cell r="J1175">
            <v>40.818375134299309</v>
          </cell>
          <cell r="K1175">
            <v>39.338050928563419</v>
          </cell>
          <cell r="L1175">
            <v>37.852464669575596</v>
          </cell>
          <cell r="M1175">
            <v>36.361616357336416</v>
          </cell>
          <cell r="N1175">
            <v>34.86550599184482</v>
          </cell>
          <cell r="O1175">
            <v>34.173561270800185</v>
          </cell>
          <cell r="P1175">
            <v>33.479084323395696</v>
          </cell>
          <cell r="Q1175">
            <v>32.782075149631332</v>
          </cell>
          <cell r="R1175">
            <v>32.082533749507107</v>
          </cell>
          <cell r="S1175">
            <v>31.380460123022885</v>
          </cell>
          <cell r="T1175">
            <v>30.819243121379898</v>
          </cell>
          <cell r="U1175">
            <v>30.25597343476251</v>
          </cell>
          <cell r="V1175">
            <v>29.690651063170606</v>
          </cell>
          <cell r="W1175">
            <v>29.123276006604488</v>
          </cell>
          <cell r="X1175">
            <v>28.553848265063923</v>
          </cell>
          <cell r="Y1175">
            <v>28.35193876026846</v>
          </cell>
          <cell r="Z1175">
            <v>28.149202294029187</v>
          </cell>
          <cell r="AA1175">
            <v>27.94563886634614</v>
          </cell>
          <cell r="AB1175">
            <v>27.741248477219195</v>
          </cell>
          <cell r="AC1175">
            <v>27.536031126648442</v>
          </cell>
          <cell r="AD1175">
            <v>27.391724926203018</v>
          </cell>
          <cell r="AE1175">
            <v>27.246794841881083</v>
          </cell>
          <cell r="AF1175">
            <v>27.101240873682528</v>
          </cell>
          <cell r="AG1175">
            <v>26.955063021607373</v>
          </cell>
          <cell r="AH1175">
            <v>26.808261285655636</v>
          </cell>
        </row>
        <row r="1176">
          <cell r="B1176" t="str">
            <v>Bio-methane (liquefied) - Energy cost including feedstock energy cost - Asia - USD/ton fuel</v>
          </cell>
          <cell r="G1176">
            <v>77.834080488055108</v>
          </cell>
          <cell r="H1176">
            <v>71.115822008006759</v>
          </cell>
          <cell r="I1176">
            <v>64.374181237561601</v>
          </cell>
          <cell r="J1176">
            <v>62.017950631427631</v>
          </cell>
          <cell r="K1176">
            <v>59.653332991887112</v>
          </cell>
          <cell r="L1176">
            <v>57.280328318937748</v>
          </cell>
          <cell r="M1176">
            <v>54.898936612580677</v>
          </cell>
          <cell r="N1176">
            <v>52.509157872817042</v>
          </cell>
          <cell r="O1176">
            <v>50.90756034996317</v>
          </cell>
          <cell r="P1176">
            <v>49.300262251599818</v>
          </cell>
          <cell r="Q1176">
            <v>47.687263577726945</v>
          </cell>
          <cell r="R1176">
            <v>46.06856432834347</v>
          </cell>
          <cell r="S1176">
            <v>44.444164503449962</v>
          </cell>
          <cell r="T1176">
            <v>43.651976207852059</v>
          </cell>
          <cell r="U1176">
            <v>42.856889601552574</v>
          </cell>
          <cell r="V1176">
            <v>42.058904684551834</v>
          </cell>
          <cell r="W1176">
            <v>41.258021456849292</v>
          </cell>
          <cell r="X1176">
            <v>40.454239918445765</v>
          </cell>
          <cell r="Y1176">
            <v>39.606725460630514</v>
          </cell>
          <cell r="Z1176">
            <v>38.756177259541239</v>
          </cell>
          <cell r="AA1176">
            <v>37.902595315177329</v>
          </cell>
          <cell r="AB1176">
            <v>37.04597962753936</v>
          </cell>
          <cell r="AC1176">
            <v>36.186330196626805</v>
          </cell>
          <cell r="AD1176">
            <v>35.822990175790714</v>
          </cell>
          <cell r="AE1176">
            <v>35.458258920500349</v>
          </cell>
          <cell r="AF1176">
            <v>35.09213643075595</v>
          </cell>
          <cell r="AG1176">
            <v>34.72462270655739</v>
          </cell>
          <cell r="AH1176">
            <v>34.355717747904563</v>
          </cell>
        </row>
        <row r="1177">
          <cell r="B1177" t="str">
            <v>Bio-methane (liquefied) - Energy cost including feedstock energy cost - Europe - USD/ton fuel</v>
          </cell>
          <cell r="G1177">
            <v>57.943256879776996</v>
          </cell>
          <cell r="H1177">
            <v>55.540702181518348</v>
          </cell>
          <cell r="I1177">
            <v>53.129609966639606</v>
          </cell>
          <cell r="J1177">
            <v>51.191911235516265</v>
          </cell>
          <cell r="K1177">
            <v>49.247314139371603</v>
          </cell>
          <cell r="L1177">
            <v>47.295818678206651</v>
          </cell>
          <cell r="M1177">
            <v>45.337424852020348</v>
          </cell>
          <cell r="N1177">
            <v>43.372132660813818</v>
          </cell>
          <cell r="O1177">
            <v>42.595508759449871</v>
          </cell>
          <cell r="P1177">
            <v>41.816018588847896</v>
          </cell>
          <cell r="Q1177">
            <v>41.033662149006759</v>
          </cell>
          <cell r="R1177">
            <v>40.248439439926756</v>
          </cell>
          <cell r="S1177">
            <v>39.460350461608165</v>
          </cell>
          <cell r="T1177">
            <v>39.014742893973903</v>
          </cell>
          <cell r="U1177">
            <v>38.567424017919087</v>
          </cell>
          <cell r="V1177">
            <v>38.118393833443605</v>
          </cell>
          <cell r="W1177">
            <v>37.667652340547491</v>
          </cell>
          <cell r="X1177">
            <v>37.215199539230433</v>
          </cell>
          <cell r="Y1177">
            <v>36.725009927078887</v>
          </cell>
          <cell r="Z1177">
            <v>36.232989523875723</v>
          </cell>
          <cell r="AA1177">
            <v>35.739138329621177</v>
          </cell>
          <cell r="AB1177">
            <v>35.243456344314978</v>
          </cell>
          <cell r="AC1177">
            <v>34.745943567957454</v>
          </cell>
          <cell r="AD1177">
            <v>34.397088662005487</v>
          </cell>
          <cell r="AE1177">
            <v>34.046897973198419</v>
          </cell>
          <cell r="AF1177">
            <v>33.695371501536471</v>
          </cell>
          <cell r="AG1177">
            <v>33.342509247019528</v>
          </cell>
          <cell r="AH1177">
            <v>32.988311209647478</v>
          </cell>
        </row>
        <row r="1178">
          <cell r="B1178" t="str">
            <v>Bio-methane (liquefied) - Energy cost including feedstock energy cost - Middle East - USD/ton fuel</v>
          </cell>
          <cell r="G1178">
            <v>44.369744465183125</v>
          </cell>
          <cell r="H1178">
            <v>42.484314613959889</v>
          </cell>
          <cell r="I1178">
            <v>40.592191285228083</v>
          </cell>
          <cell r="J1178">
            <v>39.358366605510518</v>
          </cell>
          <cell r="K1178">
            <v>38.120110230380043</v>
          </cell>
          <cell r="L1178">
            <v>36.877422159836598</v>
          </cell>
          <cell r="M1178">
            <v>35.630302393880221</v>
          </cell>
          <cell r="N1178">
            <v>34.378750932510926</v>
          </cell>
          <cell r="O1178">
            <v>33.510261962812841</v>
          </cell>
          <cell r="P1178">
            <v>32.638648137158455</v>
          </cell>
          <cell r="Q1178">
            <v>31.763909455547182</v>
          </cell>
          <cell r="R1178">
            <v>30.88604591797959</v>
          </cell>
          <cell r="S1178">
            <v>30.00505752445541</v>
          </cell>
          <cell r="T1178">
            <v>29.586831420087236</v>
          </cell>
          <cell r="U1178">
            <v>29.167038545800349</v>
          </cell>
          <cell r="V1178">
            <v>28.745678901594903</v>
          </cell>
          <cell r="W1178">
            <v>28.322752487470645</v>
          </cell>
          <cell r="X1178">
            <v>27.89825930342769</v>
          </cell>
          <cell r="Y1178">
            <v>27.325095646978163</v>
          </cell>
          <cell r="Z1178">
            <v>26.749877334634842</v>
          </cell>
          <cell r="AA1178">
            <v>26.172604366397408</v>
          </cell>
          <cell r="AB1178">
            <v>25.593276742266163</v>
          </cell>
          <cell r="AC1178">
            <v>25.011894462240768</v>
          </cell>
          <cell r="AD1178">
            <v>24.760746943588863</v>
          </cell>
          <cell r="AE1178">
            <v>24.508637781523692</v>
          </cell>
          <cell r="AF1178">
            <v>24.255566976045078</v>
          </cell>
          <cell r="AG1178">
            <v>24.001534527153105</v>
          </cell>
          <cell r="AH1178">
            <v>23.746540434847862</v>
          </cell>
        </row>
        <row r="1179">
          <cell r="B1179" t="str">
            <v>Bio-methane (liquefied) - Energy cost - Africa - USD/ton fuel</v>
          </cell>
          <cell r="G1179">
            <v>69.981595126557124</v>
          </cell>
          <cell r="H1179">
            <v>61.869476140659096</v>
          </cell>
          <cell r="I1179">
            <v>53.7292636721874</v>
          </cell>
          <cell r="J1179">
            <v>51.518232281304975</v>
          </cell>
          <cell r="K1179">
            <v>49.299369387502331</v>
          </cell>
          <cell r="L1179">
            <v>47.072674990779397</v>
          </cell>
          <cell r="M1179">
            <v>44.838149091135655</v>
          </cell>
          <cell r="N1179">
            <v>42.595791688572248</v>
          </cell>
          <cell r="O1179">
            <v>41.371520483968219</v>
          </cell>
          <cell r="P1179">
            <v>40.142877724425517</v>
          </cell>
          <cell r="Q1179">
            <v>38.909863409943561</v>
          </cell>
          <cell r="R1179">
            <v>37.672477540523481</v>
          </cell>
          <cell r="S1179">
            <v>36.430720116164863</v>
          </cell>
          <cell r="T1179">
            <v>35.876486800484471</v>
          </cell>
          <cell r="U1179">
            <v>35.320195865728472</v>
          </cell>
          <cell r="V1179">
            <v>34.761847311896595</v>
          </cell>
          <cell r="W1179">
            <v>34.201441138989011</v>
          </cell>
          <cell r="X1179">
            <v>33.638977347005977</v>
          </cell>
          <cell r="Y1179">
            <v>33.056916576553654</v>
          </cell>
          <cell r="Z1179">
            <v>32.4727400157674</v>
          </cell>
          <cell r="AA1179">
            <v>31.886447664646887</v>
          </cell>
          <cell r="AB1179">
            <v>31.298039523192703</v>
          </cell>
          <cell r="AC1179">
            <v>30.707515591404441</v>
          </cell>
          <cell r="AD1179">
            <v>30.442389643977016</v>
          </cell>
          <cell r="AE1179">
            <v>30.17622520998988</v>
          </cell>
          <cell r="AF1179">
            <v>29.909022289442703</v>
          </cell>
          <cell r="AG1179">
            <v>29.640780882335655</v>
          </cell>
          <cell r="AH1179">
            <v>29.371500988668895</v>
          </cell>
        </row>
        <row r="1180">
          <cell r="B1180" t="str">
            <v>Bio-methane (liquefied) - Energy cost - Americas - USD/ton fuel</v>
          </cell>
          <cell r="G1180">
            <v>43.970477550141368</v>
          </cell>
          <cell r="H1180">
            <v>43.133513877303159</v>
          </cell>
          <cell r="I1180">
            <v>42.29343728678333</v>
          </cell>
          <cell r="J1180">
            <v>40.818375134299309</v>
          </cell>
          <cell r="K1180">
            <v>39.338050928563419</v>
          </cell>
          <cell r="L1180">
            <v>37.852464669575596</v>
          </cell>
          <cell r="M1180">
            <v>36.361616357336416</v>
          </cell>
          <cell r="N1180">
            <v>34.86550599184482</v>
          </cell>
          <cell r="O1180">
            <v>34.173561270800185</v>
          </cell>
          <cell r="P1180">
            <v>33.479084323395696</v>
          </cell>
          <cell r="Q1180">
            <v>32.782075149631332</v>
          </cell>
          <cell r="R1180">
            <v>32.082533749507107</v>
          </cell>
          <cell r="S1180">
            <v>31.380460123022885</v>
          </cell>
          <cell r="T1180">
            <v>30.819243121379898</v>
          </cell>
          <cell r="U1180">
            <v>30.25597343476251</v>
          </cell>
          <cell r="V1180">
            <v>29.690651063170606</v>
          </cell>
          <cell r="W1180">
            <v>29.123276006604488</v>
          </cell>
          <cell r="X1180">
            <v>28.553848265063923</v>
          </cell>
          <cell r="Y1180">
            <v>28.35193876026846</v>
          </cell>
          <cell r="Z1180">
            <v>28.149202294029187</v>
          </cell>
          <cell r="AA1180">
            <v>27.94563886634614</v>
          </cell>
          <cell r="AB1180">
            <v>27.741248477219195</v>
          </cell>
          <cell r="AC1180">
            <v>27.536031126648442</v>
          </cell>
          <cell r="AD1180">
            <v>27.391724926203018</v>
          </cell>
          <cell r="AE1180">
            <v>27.246794841881083</v>
          </cell>
          <cell r="AF1180">
            <v>27.101240873682528</v>
          </cell>
          <cell r="AG1180">
            <v>26.955063021607373</v>
          </cell>
          <cell r="AH1180">
            <v>26.808261285655636</v>
          </cell>
        </row>
        <row r="1181">
          <cell r="B1181" t="str">
            <v>Bio-methane (liquefied) - Energy cost - Asia - USD/ton fuel</v>
          </cell>
          <cell r="G1181">
            <v>77.834080488055108</v>
          </cell>
          <cell r="H1181">
            <v>71.115822008006759</v>
          </cell>
          <cell r="I1181">
            <v>64.374181237561601</v>
          </cell>
          <cell r="J1181">
            <v>62.017950631427631</v>
          </cell>
          <cell r="K1181">
            <v>59.653332991887112</v>
          </cell>
          <cell r="L1181">
            <v>57.280328318937748</v>
          </cell>
          <cell r="M1181">
            <v>54.898936612580677</v>
          </cell>
          <cell r="N1181">
            <v>52.509157872817042</v>
          </cell>
          <cell r="O1181">
            <v>50.90756034996317</v>
          </cell>
          <cell r="P1181">
            <v>49.300262251599818</v>
          </cell>
          <cell r="Q1181">
            <v>47.687263577726945</v>
          </cell>
          <cell r="R1181">
            <v>46.06856432834347</v>
          </cell>
          <cell r="S1181">
            <v>44.444164503449962</v>
          </cell>
          <cell r="T1181">
            <v>43.651976207852059</v>
          </cell>
          <cell r="U1181">
            <v>42.856889601552574</v>
          </cell>
          <cell r="V1181">
            <v>42.058904684551834</v>
          </cell>
          <cell r="W1181">
            <v>41.258021456849292</v>
          </cell>
          <cell r="X1181">
            <v>40.454239918445765</v>
          </cell>
          <cell r="Y1181">
            <v>39.606725460630514</v>
          </cell>
          <cell r="Z1181">
            <v>38.756177259541239</v>
          </cell>
          <cell r="AA1181">
            <v>37.902595315177329</v>
          </cell>
          <cell r="AB1181">
            <v>37.04597962753936</v>
          </cell>
          <cell r="AC1181">
            <v>36.186330196626805</v>
          </cell>
          <cell r="AD1181">
            <v>35.822990175790714</v>
          </cell>
          <cell r="AE1181">
            <v>35.458258920500349</v>
          </cell>
          <cell r="AF1181">
            <v>35.09213643075595</v>
          </cell>
          <cell r="AG1181">
            <v>34.72462270655739</v>
          </cell>
          <cell r="AH1181">
            <v>34.355717747904563</v>
          </cell>
        </row>
        <row r="1182">
          <cell r="B1182" t="str">
            <v>Bio-methane (liquefied) - Energy cost - Europe - USD/ton fuel</v>
          </cell>
          <cell r="G1182">
            <v>57.943256879776996</v>
          </cell>
          <cell r="H1182">
            <v>55.540702181518348</v>
          </cell>
          <cell r="I1182">
            <v>53.129609966639606</v>
          </cell>
          <cell r="J1182">
            <v>51.191911235516265</v>
          </cell>
          <cell r="K1182">
            <v>49.247314139371603</v>
          </cell>
          <cell r="L1182">
            <v>47.295818678206651</v>
          </cell>
          <cell r="M1182">
            <v>45.337424852020348</v>
          </cell>
          <cell r="N1182">
            <v>43.372132660813818</v>
          </cell>
          <cell r="O1182">
            <v>42.595508759449871</v>
          </cell>
          <cell r="P1182">
            <v>41.816018588847896</v>
          </cell>
          <cell r="Q1182">
            <v>41.033662149006759</v>
          </cell>
          <cell r="R1182">
            <v>40.248439439926756</v>
          </cell>
          <cell r="S1182">
            <v>39.460350461608165</v>
          </cell>
          <cell r="T1182">
            <v>39.014742893973903</v>
          </cell>
          <cell r="U1182">
            <v>38.567424017919087</v>
          </cell>
          <cell r="V1182">
            <v>38.118393833443605</v>
          </cell>
          <cell r="W1182">
            <v>37.667652340547491</v>
          </cell>
          <cell r="X1182">
            <v>37.215199539230433</v>
          </cell>
          <cell r="Y1182">
            <v>36.725009927078887</v>
          </cell>
          <cell r="Z1182">
            <v>36.232989523875723</v>
          </cell>
          <cell r="AA1182">
            <v>35.739138329621177</v>
          </cell>
          <cell r="AB1182">
            <v>35.243456344314978</v>
          </cell>
          <cell r="AC1182">
            <v>34.745943567957454</v>
          </cell>
          <cell r="AD1182">
            <v>34.397088662005487</v>
          </cell>
          <cell r="AE1182">
            <v>34.046897973198419</v>
          </cell>
          <cell r="AF1182">
            <v>33.695371501536471</v>
          </cell>
          <cell r="AG1182">
            <v>33.342509247019528</v>
          </cell>
          <cell r="AH1182">
            <v>32.988311209647478</v>
          </cell>
        </row>
        <row r="1183">
          <cell r="B1183" t="str">
            <v>Bio-methane (liquefied) - Energy cost - Middle East - USD/ton fuel</v>
          </cell>
          <cell r="G1183">
            <v>44.369744465183125</v>
          </cell>
          <cell r="H1183">
            <v>42.484314613959889</v>
          </cell>
          <cell r="I1183">
            <v>40.592191285228083</v>
          </cell>
          <cell r="J1183">
            <v>39.358366605510518</v>
          </cell>
          <cell r="K1183">
            <v>38.120110230380043</v>
          </cell>
          <cell r="L1183">
            <v>36.877422159836598</v>
          </cell>
          <cell r="M1183">
            <v>35.630302393880221</v>
          </cell>
          <cell r="N1183">
            <v>34.378750932510926</v>
          </cell>
          <cell r="O1183">
            <v>33.510261962812841</v>
          </cell>
          <cell r="P1183">
            <v>32.638648137158455</v>
          </cell>
          <cell r="Q1183">
            <v>31.763909455547182</v>
          </cell>
          <cell r="R1183">
            <v>30.88604591797959</v>
          </cell>
          <cell r="S1183">
            <v>30.00505752445541</v>
          </cell>
          <cell r="T1183">
            <v>29.586831420087236</v>
          </cell>
          <cell r="U1183">
            <v>29.167038545800349</v>
          </cell>
          <cell r="V1183">
            <v>28.745678901594903</v>
          </cell>
          <cell r="W1183">
            <v>28.322752487470645</v>
          </cell>
          <cell r="X1183">
            <v>27.89825930342769</v>
          </cell>
          <cell r="Y1183">
            <v>27.325095646978163</v>
          </cell>
          <cell r="Z1183">
            <v>26.749877334634842</v>
          </cell>
          <cell r="AA1183">
            <v>26.172604366397408</v>
          </cell>
          <cell r="AB1183">
            <v>25.593276742266163</v>
          </cell>
          <cell r="AC1183">
            <v>25.011894462240768</v>
          </cell>
          <cell r="AD1183">
            <v>24.760746943588863</v>
          </cell>
          <cell r="AE1183">
            <v>24.508637781523692</v>
          </cell>
          <cell r="AF1183">
            <v>24.255566976045078</v>
          </cell>
          <cell r="AG1183">
            <v>24.001534527153105</v>
          </cell>
          <cell r="AH1183">
            <v>23.746540434847862</v>
          </cell>
        </row>
        <row r="1184">
          <cell r="B1184" t="str">
            <v/>
          </cell>
        </row>
        <row r="1185">
          <cell r="B1185" t="str">
            <v>Bio-methane (liquefied) - Feedstock cost including feedstock feedstock cost - Africa - USD/ton fuel</v>
          </cell>
          <cell r="G1185">
            <v>249.3428820324732</v>
          </cell>
          <cell r="H1185">
            <v>241.48388189628835</v>
          </cell>
          <cell r="I1185">
            <v>234.04488176010346</v>
          </cell>
          <cell r="J1185">
            <v>230.9858816239186</v>
          </cell>
          <cell r="K1185">
            <v>228.01688148773368</v>
          </cell>
          <cell r="L1185">
            <v>225.13788135154877</v>
          </cell>
          <cell r="M1185">
            <v>222.34888121536383</v>
          </cell>
          <cell r="N1185">
            <v>219.64988107917867</v>
          </cell>
          <cell r="O1185">
            <v>217.8958809429943</v>
          </cell>
          <cell r="P1185">
            <v>216.14188080680935</v>
          </cell>
          <cell r="Q1185">
            <v>214.38788067062438</v>
          </cell>
          <cell r="R1185">
            <v>212.63388053443921</v>
          </cell>
          <cell r="S1185">
            <v>210.87988039825427</v>
          </cell>
          <cell r="T1185">
            <v>209.12588026206933</v>
          </cell>
          <cell r="U1185">
            <v>207.3718801258847</v>
          </cell>
          <cell r="V1185">
            <v>205.61787998969956</v>
          </cell>
          <cell r="W1185">
            <v>203.86387985351459</v>
          </cell>
          <cell r="X1185">
            <v>202.10987971732942</v>
          </cell>
          <cell r="Y1185">
            <v>200.35587958114482</v>
          </cell>
          <cell r="Z1185">
            <v>198.60187944495965</v>
          </cell>
          <cell r="AA1185">
            <v>196.84787930877471</v>
          </cell>
          <cell r="AB1185">
            <v>195.09387917258977</v>
          </cell>
          <cell r="AC1185">
            <v>193.3398790364048</v>
          </cell>
          <cell r="AD1185">
            <v>191.58587890022</v>
          </cell>
          <cell r="AE1185">
            <v>189.83187876403505</v>
          </cell>
          <cell r="AF1185">
            <v>188.07787862785011</v>
          </cell>
          <cell r="AG1185">
            <v>186.32387849166514</v>
          </cell>
          <cell r="AH1185">
            <v>184.5698783554802</v>
          </cell>
        </row>
        <row r="1186">
          <cell r="B1186" t="str">
            <v>Bio-methane (liquefied) - Feedstock cost including feedstock feedstock cost - Americas - USD/ton fuel</v>
          </cell>
          <cell r="G1186">
            <v>226.60888203247345</v>
          </cell>
          <cell r="H1186">
            <v>224.42788189628848</v>
          </cell>
          <cell r="I1186">
            <v>222.29488176010349</v>
          </cell>
          <cell r="J1186">
            <v>220.73788162391878</v>
          </cell>
          <cell r="K1186">
            <v>219.1848814877338</v>
          </cell>
          <cell r="L1186">
            <v>217.63588135154885</v>
          </cell>
          <cell r="M1186">
            <v>216.09088121536385</v>
          </cell>
          <cell r="N1186">
            <v>214.54988107917876</v>
          </cell>
          <cell r="O1186">
            <v>213.16488094299427</v>
          </cell>
          <cell r="P1186">
            <v>211.76788080680927</v>
          </cell>
          <cell r="Q1186">
            <v>210.3588806706243</v>
          </cell>
          <cell r="R1186">
            <v>208.93788053443922</v>
          </cell>
          <cell r="S1186">
            <v>207.50488039825424</v>
          </cell>
          <cell r="T1186">
            <v>205.97588026206927</v>
          </cell>
          <cell r="U1186">
            <v>204.44688012588463</v>
          </cell>
          <cell r="V1186">
            <v>202.91787998969954</v>
          </cell>
          <cell r="W1186">
            <v>201.38887985351457</v>
          </cell>
          <cell r="X1186">
            <v>199.85987971732948</v>
          </cell>
          <cell r="Y1186">
            <v>198.33087958114484</v>
          </cell>
          <cell r="Z1186">
            <v>196.80187944495975</v>
          </cell>
          <cell r="AA1186">
            <v>195.27287930877478</v>
          </cell>
          <cell r="AB1186">
            <v>193.7438791725898</v>
          </cell>
          <cell r="AC1186">
            <v>192.21487903640482</v>
          </cell>
          <cell r="AD1186">
            <v>190.6858789002201</v>
          </cell>
          <cell r="AE1186">
            <v>189.15687876403513</v>
          </cell>
          <cell r="AF1186">
            <v>187.62787862785015</v>
          </cell>
          <cell r="AG1186">
            <v>186.09887849166518</v>
          </cell>
          <cell r="AH1186">
            <v>184.5698783554802</v>
          </cell>
        </row>
        <row r="1187">
          <cell r="B1187" t="str">
            <v>Bio-methane (liquefied) - Feedstock cost including feedstock feedstock cost - Asia - USD/ton fuel</v>
          </cell>
          <cell r="G1187">
            <v>248.1278820324732</v>
          </cell>
          <cell r="H1187">
            <v>241.22388189628833</v>
          </cell>
          <cell r="I1187">
            <v>234.66988176010346</v>
          </cell>
          <cell r="J1187">
            <v>230.8658816239186</v>
          </cell>
          <cell r="K1187">
            <v>227.21188148773371</v>
          </cell>
          <cell r="L1187">
            <v>223.70788135154876</v>
          </cell>
          <cell r="M1187">
            <v>220.35388121536383</v>
          </cell>
          <cell r="N1187">
            <v>217.14988107917873</v>
          </cell>
          <cell r="O1187">
            <v>215.52088094299427</v>
          </cell>
          <cell r="P1187">
            <v>213.89188080680933</v>
          </cell>
          <cell r="Q1187">
            <v>212.26288067062436</v>
          </cell>
          <cell r="R1187">
            <v>210.63388053443921</v>
          </cell>
          <cell r="S1187">
            <v>209.00488039825427</v>
          </cell>
          <cell r="T1187">
            <v>207.3758802620693</v>
          </cell>
          <cell r="U1187">
            <v>205.74688012588467</v>
          </cell>
          <cell r="V1187">
            <v>204.11787998969956</v>
          </cell>
          <cell r="W1187">
            <v>202.48887985351459</v>
          </cell>
          <cell r="X1187">
            <v>200.85987971732945</v>
          </cell>
          <cell r="Y1187">
            <v>199.23087958114485</v>
          </cell>
          <cell r="Z1187">
            <v>197.60187944495971</v>
          </cell>
          <cell r="AA1187">
            <v>195.97287930877474</v>
          </cell>
          <cell r="AB1187">
            <v>194.34387917258979</v>
          </cell>
          <cell r="AC1187">
            <v>192.71487903640482</v>
          </cell>
          <cell r="AD1187">
            <v>191.08587890022005</v>
          </cell>
          <cell r="AE1187">
            <v>189.45687876403511</v>
          </cell>
          <cell r="AF1187">
            <v>187.82787862785014</v>
          </cell>
          <cell r="AG1187">
            <v>186.19887849166517</v>
          </cell>
          <cell r="AH1187">
            <v>184.5698783554802</v>
          </cell>
        </row>
        <row r="1188">
          <cell r="B1188" t="str">
            <v>Bio-methane (liquefied) - Feedstock cost including feedstock feedstock cost - Europe - USD/ton fuel</v>
          </cell>
          <cell r="G1188">
            <v>249.3428820324732</v>
          </cell>
          <cell r="H1188">
            <v>241.48388189628835</v>
          </cell>
          <cell r="I1188">
            <v>234.04488176010346</v>
          </cell>
          <cell r="J1188">
            <v>230.9858816239186</v>
          </cell>
          <cell r="K1188">
            <v>228.01688148773368</v>
          </cell>
          <cell r="L1188">
            <v>225.13788135154877</v>
          </cell>
          <cell r="M1188">
            <v>222.34888121536383</v>
          </cell>
          <cell r="N1188">
            <v>219.64988107917867</v>
          </cell>
          <cell r="O1188">
            <v>217.8958809429943</v>
          </cell>
          <cell r="P1188">
            <v>216.14188080680935</v>
          </cell>
          <cell r="Q1188">
            <v>214.38788067062438</v>
          </cell>
          <cell r="R1188">
            <v>212.63388053443921</v>
          </cell>
          <cell r="S1188">
            <v>210.87988039825427</v>
          </cell>
          <cell r="T1188">
            <v>209.12588026206933</v>
          </cell>
          <cell r="U1188">
            <v>207.3718801258847</v>
          </cell>
          <cell r="V1188">
            <v>205.61787998969956</v>
          </cell>
          <cell r="W1188">
            <v>203.86387985351459</v>
          </cell>
          <cell r="X1188">
            <v>202.10987971732942</v>
          </cell>
          <cell r="Y1188">
            <v>200.35587958114482</v>
          </cell>
          <cell r="Z1188">
            <v>198.60187944495965</v>
          </cell>
          <cell r="AA1188">
            <v>196.84787930877471</v>
          </cell>
          <cell r="AB1188">
            <v>195.09387917258977</v>
          </cell>
          <cell r="AC1188">
            <v>193.3398790364048</v>
          </cell>
          <cell r="AD1188">
            <v>191.58587890022</v>
          </cell>
          <cell r="AE1188">
            <v>189.83187876403505</v>
          </cell>
          <cell r="AF1188">
            <v>188.07787862785011</v>
          </cell>
          <cell r="AG1188">
            <v>186.32387849166514</v>
          </cell>
          <cell r="AH1188">
            <v>184.5698783554802</v>
          </cell>
        </row>
        <row r="1189">
          <cell r="B1189" t="str">
            <v>Bio-methane (liquefied) - Feedstock cost including feedstock feedstock cost - Middle East - USD/ton fuel</v>
          </cell>
          <cell r="G1189">
            <v>242.72788203247325</v>
          </cell>
          <cell r="H1189">
            <v>236.0238818962884</v>
          </cell>
          <cell r="I1189">
            <v>229.66988176010346</v>
          </cell>
          <cell r="J1189">
            <v>226.0418816239187</v>
          </cell>
          <cell r="K1189">
            <v>222.56588148773378</v>
          </cell>
          <cell r="L1189">
            <v>219.24188135154881</v>
          </cell>
          <cell r="M1189">
            <v>216.06988121536386</v>
          </cell>
          <cell r="N1189">
            <v>213.04988107917882</v>
          </cell>
          <cell r="O1189">
            <v>211.62588094299426</v>
          </cell>
          <cell r="P1189">
            <v>210.20188080680927</v>
          </cell>
          <cell r="Q1189">
            <v>208.77788067062428</v>
          </cell>
          <cell r="R1189">
            <v>207.35388053443921</v>
          </cell>
          <cell r="S1189">
            <v>205.92988039825423</v>
          </cell>
          <cell r="T1189">
            <v>204.50588026206924</v>
          </cell>
          <cell r="U1189">
            <v>203.0818801258846</v>
          </cell>
          <cell r="V1189">
            <v>201.65787998969955</v>
          </cell>
          <cell r="W1189">
            <v>200.23387985351457</v>
          </cell>
          <cell r="X1189">
            <v>198.80987971732949</v>
          </cell>
          <cell r="Y1189">
            <v>197.38587958114485</v>
          </cell>
          <cell r="Z1189">
            <v>195.96187944495981</v>
          </cell>
          <cell r="AA1189">
            <v>194.53787930877482</v>
          </cell>
          <cell r="AB1189">
            <v>193.11387917258983</v>
          </cell>
          <cell r="AC1189">
            <v>191.68987903640485</v>
          </cell>
          <cell r="AD1189">
            <v>190.26587890022014</v>
          </cell>
          <cell r="AE1189">
            <v>188.84187876403516</v>
          </cell>
          <cell r="AF1189">
            <v>187.41787862785017</v>
          </cell>
          <cell r="AG1189">
            <v>185.99387849166519</v>
          </cell>
          <cell r="AH1189">
            <v>184.5698783554802</v>
          </cell>
        </row>
        <row r="1190">
          <cell r="B1190" t="str">
            <v>Bio-methane (liquefied) - Feedstock cost - Africa - USD/ton fuel</v>
          </cell>
          <cell r="G1190">
            <v>249.3428820324732</v>
          </cell>
          <cell r="H1190">
            <v>241.48388189628835</v>
          </cell>
          <cell r="I1190">
            <v>234.04488176010346</v>
          </cell>
          <cell r="J1190">
            <v>230.9858816239186</v>
          </cell>
          <cell r="K1190">
            <v>228.01688148773368</v>
          </cell>
          <cell r="L1190">
            <v>225.13788135154877</v>
          </cell>
          <cell r="M1190">
            <v>222.34888121536383</v>
          </cell>
          <cell r="N1190">
            <v>219.64988107917867</v>
          </cell>
          <cell r="O1190">
            <v>217.8958809429943</v>
          </cell>
          <cell r="P1190">
            <v>216.14188080680935</v>
          </cell>
          <cell r="Q1190">
            <v>214.38788067062438</v>
          </cell>
          <cell r="R1190">
            <v>212.63388053443921</v>
          </cell>
          <cell r="S1190">
            <v>210.87988039825427</v>
          </cell>
          <cell r="T1190">
            <v>209.12588026206933</v>
          </cell>
          <cell r="U1190">
            <v>207.3718801258847</v>
          </cell>
          <cell r="V1190">
            <v>205.61787998969956</v>
          </cell>
          <cell r="W1190">
            <v>203.86387985351459</v>
          </cell>
          <cell r="X1190">
            <v>202.10987971732942</v>
          </cell>
          <cell r="Y1190">
            <v>200.35587958114482</v>
          </cell>
          <cell r="Z1190">
            <v>198.60187944495965</v>
          </cell>
          <cell r="AA1190">
            <v>196.84787930877471</v>
          </cell>
          <cell r="AB1190">
            <v>195.09387917258977</v>
          </cell>
          <cell r="AC1190">
            <v>193.3398790364048</v>
          </cell>
          <cell r="AD1190">
            <v>191.58587890022</v>
          </cell>
          <cell r="AE1190">
            <v>189.83187876403505</v>
          </cell>
          <cell r="AF1190">
            <v>188.07787862785011</v>
          </cell>
          <cell r="AG1190">
            <v>186.32387849166514</v>
          </cell>
          <cell r="AH1190">
            <v>184.5698783554802</v>
          </cell>
        </row>
        <row r="1191">
          <cell r="B1191" t="str">
            <v>Bio-methane (liquefied) - Feedstock cost - Americas - USD/ton fuel</v>
          </cell>
          <cell r="G1191">
            <v>226.60888203247345</v>
          </cell>
          <cell r="H1191">
            <v>224.42788189628848</v>
          </cell>
          <cell r="I1191">
            <v>222.29488176010349</v>
          </cell>
          <cell r="J1191">
            <v>220.73788162391878</v>
          </cell>
          <cell r="K1191">
            <v>219.1848814877338</v>
          </cell>
          <cell r="L1191">
            <v>217.63588135154885</v>
          </cell>
          <cell r="M1191">
            <v>216.09088121536385</v>
          </cell>
          <cell r="N1191">
            <v>214.54988107917876</v>
          </cell>
          <cell r="O1191">
            <v>213.16488094299427</v>
          </cell>
          <cell r="P1191">
            <v>211.76788080680927</v>
          </cell>
          <cell r="Q1191">
            <v>210.3588806706243</v>
          </cell>
          <cell r="R1191">
            <v>208.93788053443922</v>
          </cell>
          <cell r="S1191">
            <v>207.50488039825424</v>
          </cell>
          <cell r="T1191">
            <v>205.97588026206927</v>
          </cell>
          <cell r="U1191">
            <v>204.44688012588463</v>
          </cell>
          <cell r="V1191">
            <v>202.91787998969954</v>
          </cell>
          <cell r="W1191">
            <v>201.38887985351457</v>
          </cell>
          <cell r="X1191">
            <v>199.85987971732948</v>
          </cell>
          <cell r="Y1191">
            <v>198.33087958114484</v>
          </cell>
          <cell r="Z1191">
            <v>196.80187944495975</v>
          </cell>
          <cell r="AA1191">
            <v>195.27287930877478</v>
          </cell>
          <cell r="AB1191">
            <v>193.7438791725898</v>
          </cell>
          <cell r="AC1191">
            <v>192.21487903640482</v>
          </cell>
          <cell r="AD1191">
            <v>190.6858789002201</v>
          </cell>
          <cell r="AE1191">
            <v>189.15687876403513</v>
          </cell>
          <cell r="AF1191">
            <v>187.62787862785015</v>
          </cell>
          <cell r="AG1191">
            <v>186.09887849166518</v>
          </cell>
          <cell r="AH1191">
            <v>184.5698783554802</v>
          </cell>
        </row>
        <row r="1192">
          <cell r="B1192" t="str">
            <v>Bio-methane (liquefied) - Feedstock cost - Asia - USD/ton fuel</v>
          </cell>
          <cell r="G1192">
            <v>248.1278820324732</v>
          </cell>
          <cell r="H1192">
            <v>241.22388189628833</v>
          </cell>
          <cell r="I1192">
            <v>234.66988176010346</v>
          </cell>
          <cell r="J1192">
            <v>230.8658816239186</v>
          </cell>
          <cell r="K1192">
            <v>227.21188148773371</v>
          </cell>
          <cell r="L1192">
            <v>223.70788135154876</v>
          </cell>
          <cell r="M1192">
            <v>220.35388121536383</v>
          </cell>
          <cell r="N1192">
            <v>217.14988107917873</v>
          </cell>
          <cell r="O1192">
            <v>215.52088094299427</v>
          </cell>
          <cell r="P1192">
            <v>213.89188080680933</v>
          </cell>
          <cell r="Q1192">
            <v>212.26288067062436</v>
          </cell>
          <cell r="R1192">
            <v>210.63388053443921</v>
          </cell>
          <cell r="S1192">
            <v>209.00488039825427</v>
          </cell>
          <cell r="T1192">
            <v>207.3758802620693</v>
          </cell>
          <cell r="U1192">
            <v>205.74688012588467</v>
          </cell>
          <cell r="V1192">
            <v>204.11787998969956</v>
          </cell>
          <cell r="W1192">
            <v>202.48887985351459</v>
          </cell>
          <cell r="X1192">
            <v>200.85987971732945</v>
          </cell>
          <cell r="Y1192">
            <v>199.23087958114485</v>
          </cell>
          <cell r="Z1192">
            <v>197.60187944495971</v>
          </cell>
          <cell r="AA1192">
            <v>195.97287930877474</v>
          </cell>
          <cell r="AB1192">
            <v>194.34387917258979</v>
          </cell>
          <cell r="AC1192">
            <v>192.71487903640482</v>
          </cell>
          <cell r="AD1192">
            <v>191.08587890022005</v>
          </cell>
          <cell r="AE1192">
            <v>189.45687876403511</v>
          </cell>
          <cell r="AF1192">
            <v>187.82787862785014</v>
          </cell>
          <cell r="AG1192">
            <v>186.19887849166517</v>
          </cell>
          <cell r="AH1192">
            <v>184.5698783554802</v>
          </cell>
        </row>
        <row r="1193">
          <cell r="B1193" t="str">
            <v>Bio-methane (liquefied) - Feedstock cost - Europe - USD/ton fuel</v>
          </cell>
          <cell r="G1193">
            <v>249.3428820324732</v>
          </cell>
          <cell r="H1193">
            <v>241.48388189628835</v>
          </cell>
          <cell r="I1193">
            <v>234.04488176010346</v>
          </cell>
          <cell r="J1193">
            <v>230.9858816239186</v>
          </cell>
          <cell r="K1193">
            <v>228.01688148773368</v>
          </cell>
          <cell r="L1193">
            <v>225.13788135154877</v>
          </cell>
          <cell r="M1193">
            <v>222.34888121536383</v>
          </cell>
          <cell r="N1193">
            <v>219.64988107917867</v>
          </cell>
          <cell r="O1193">
            <v>217.8958809429943</v>
          </cell>
          <cell r="P1193">
            <v>216.14188080680935</v>
          </cell>
          <cell r="Q1193">
            <v>214.38788067062438</v>
          </cell>
          <cell r="R1193">
            <v>212.63388053443921</v>
          </cell>
          <cell r="S1193">
            <v>210.87988039825427</v>
          </cell>
          <cell r="T1193">
            <v>209.12588026206933</v>
          </cell>
          <cell r="U1193">
            <v>207.3718801258847</v>
          </cell>
          <cell r="V1193">
            <v>205.61787998969956</v>
          </cell>
          <cell r="W1193">
            <v>203.86387985351459</v>
          </cell>
          <cell r="X1193">
            <v>202.10987971732942</v>
          </cell>
          <cell r="Y1193">
            <v>200.35587958114482</v>
          </cell>
          <cell r="Z1193">
            <v>198.60187944495965</v>
          </cell>
          <cell r="AA1193">
            <v>196.84787930877471</v>
          </cell>
          <cell r="AB1193">
            <v>195.09387917258977</v>
          </cell>
          <cell r="AC1193">
            <v>193.3398790364048</v>
          </cell>
          <cell r="AD1193">
            <v>191.58587890022</v>
          </cell>
          <cell r="AE1193">
            <v>189.83187876403505</v>
          </cell>
          <cell r="AF1193">
            <v>188.07787862785011</v>
          </cell>
          <cell r="AG1193">
            <v>186.32387849166514</v>
          </cell>
          <cell r="AH1193">
            <v>184.5698783554802</v>
          </cell>
        </row>
        <row r="1194">
          <cell r="B1194" t="str">
            <v>Bio-methane (liquefied) - Feedstock cost - Middle East - USD/ton fuel</v>
          </cell>
          <cell r="G1194">
            <v>242.72788203247325</v>
          </cell>
          <cell r="H1194">
            <v>236.0238818962884</v>
          </cell>
          <cell r="I1194">
            <v>229.66988176010346</v>
          </cell>
          <cell r="J1194">
            <v>226.0418816239187</v>
          </cell>
          <cell r="K1194">
            <v>222.56588148773378</v>
          </cell>
          <cell r="L1194">
            <v>219.24188135154881</v>
          </cell>
          <cell r="M1194">
            <v>216.06988121536386</v>
          </cell>
          <cell r="N1194">
            <v>213.04988107917882</v>
          </cell>
          <cell r="O1194">
            <v>211.62588094299426</v>
          </cell>
          <cell r="P1194">
            <v>210.20188080680927</v>
          </cell>
          <cell r="Q1194">
            <v>208.77788067062428</v>
          </cell>
          <cell r="R1194">
            <v>207.35388053443921</v>
          </cell>
          <cell r="S1194">
            <v>205.92988039825423</v>
          </cell>
          <cell r="T1194">
            <v>204.50588026206924</v>
          </cell>
          <cell r="U1194">
            <v>203.0818801258846</v>
          </cell>
          <cell r="V1194">
            <v>201.65787998969955</v>
          </cell>
          <cell r="W1194">
            <v>200.23387985351457</v>
          </cell>
          <cell r="X1194">
            <v>198.80987971732949</v>
          </cell>
          <cell r="Y1194">
            <v>197.38587958114485</v>
          </cell>
          <cell r="Z1194">
            <v>195.96187944495981</v>
          </cell>
          <cell r="AA1194">
            <v>194.53787930877482</v>
          </cell>
          <cell r="AB1194">
            <v>193.11387917258983</v>
          </cell>
          <cell r="AC1194">
            <v>191.68987903640485</v>
          </cell>
          <cell r="AD1194">
            <v>190.26587890022014</v>
          </cell>
          <cell r="AE1194">
            <v>188.84187876403516</v>
          </cell>
          <cell r="AF1194">
            <v>187.41787862785017</v>
          </cell>
          <cell r="AG1194">
            <v>185.99387849166519</v>
          </cell>
          <cell r="AH1194">
            <v>184.5698783554802</v>
          </cell>
        </row>
        <row r="1196">
          <cell r="B1196" t="str">
            <v>Bio-oil (HTL) - Item - Region - Unit</v>
          </cell>
          <cell r="G1196">
            <v>2023</v>
          </cell>
          <cell r="H1196">
            <v>2024</v>
          </cell>
          <cell r="I1196">
            <v>2025</v>
          </cell>
          <cell r="J1196">
            <v>2026</v>
          </cell>
          <cell r="K1196">
            <v>2027</v>
          </cell>
          <cell r="L1196">
            <v>2028</v>
          </cell>
          <cell r="M1196">
            <v>2029</v>
          </cell>
          <cell r="N1196">
            <v>2030</v>
          </cell>
          <cell r="O1196">
            <v>2031</v>
          </cell>
          <cell r="P1196">
            <v>2032</v>
          </cell>
          <cell r="Q1196">
            <v>2033</v>
          </cell>
          <cell r="R1196">
            <v>2034</v>
          </cell>
          <cell r="S1196">
            <v>2035</v>
          </cell>
          <cell r="T1196">
            <v>2036</v>
          </cell>
          <cell r="U1196">
            <v>2037</v>
          </cell>
          <cell r="V1196">
            <v>2038</v>
          </cell>
          <cell r="W1196">
            <v>2039</v>
          </cell>
          <cell r="X1196">
            <v>2040</v>
          </cell>
          <cell r="Y1196">
            <v>2041</v>
          </cell>
          <cell r="Z1196">
            <v>2042</v>
          </cell>
          <cell r="AA1196">
            <v>2043</v>
          </cell>
          <cell r="AB1196">
            <v>2044</v>
          </cell>
          <cell r="AC1196">
            <v>2045</v>
          </cell>
          <cell r="AD1196">
            <v>2046</v>
          </cell>
          <cell r="AE1196">
            <v>2047</v>
          </cell>
          <cell r="AF1196">
            <v>2048</v>
          </cell>
          <cell r="AG1196">
            <v>2049</v>
          </cell>
          <cell r="AH1196">
            <v>2050</v>
          </cell>
        </row>
        <row r="1197">
          <cell r="B1197" t="str">
            <v>Bio-oil (HTL) - Total cost - Africa - USD/ton fuel</v>
          </cell>
          <cell r="G1197">
            <v>0</v>
          </cell>
          <cell r="H1197">
            <v>0</v>
          </cell>
          <cell r="I1197">
            <v>0</v>
          </cell>
          <cell r="J1197">
            <v>0</v>
          </cell>
          <cell r="K1197">
            <v>0</v>
          </cell>
          <cell r="L1197">
            <v>0</v>
          </cell>
          <cell r="M1197">
            <v>0</v>
          </cell>
          <cell r="N1197">
            <v>1093.4070590911426</v>
          </cell>
          <cell r="O1197">
            <v>1083.210451997054</v>
          </cell>
          <cell r="P1197">
            <v>1072.5415584484999</v>
          </cell>
          <cell r="Q1197">
            <v>1061.4038386727352</v>
          </cell>
          <cell r="R1197">
            <v>1049.8007528970429</v>
          </cell>
          <cell r="S1197">
            <v>1037.7357613487077</v>
          </cell>
          <cell r="T1197">
            <v>1031.0676229604751</v>
          </cell>
          <cell r="U1197">
            <v>1024.0743746699904</v>
          </cell>
          <cell r="V1197">
            <v>1016.75714556257</v>
          </cell>
          <cell r="W1197">
            <v>1009.1170647235149</v>
          </cell>
          <cell r="X1197">
            <v>1001.1552612381367</v>
          </cell>
          <cell r="Y1197">
            <v>993.03975525447072</v>
          </cell>
          <cell r="Z1197">
            <v>984.77361707626528</v>
          </cell>
          <cell r="AA1197">
            <v>976.35618644486794</v>
          </cell>
          <cell r="AB1197">
            <v>967.78680310162315</v>
          </cell>
          <cell r="AC1197">
            <v>959.06480678787739</v>
          </cell>
          <cell r="AD1197">
            <v>951.81299267977693</v>
          </cell>
          <cell r="AE1197">
            <v>944.4856617714122</v>
          </cell>
          <cell r="AF1197">
            <v>937.0823980032626</v>
          </cell>
          <cell r="AG1197">
            <v>929.60278531581196</v>
          </cell>
          <cell r="AH1197">
            <v>922.04640764954365</v>
          </cell>
        </row>
        <row r="1198">
          <cell r="B1198" t="str">
            <v>Bio-oil (HTL) - Total cost - Americas - USD/ton fuel</v>
          </cell>
          <cell r="G1198">
            <v>0</v>
          </cell>
          <cell r="H1198">
            <v>0</v>
          </cell>
          <cell r="I1198">
            <v>0</v>
          </cell>
          <cell r="J1198">
            <v>0</v>
          </cell>
          <cell r="K1198">
            <v>0</v>
          </cell>
          <cell r="L1198">
            <v>0</v>
          </cell>
          <cell r="M1198">
            <v>0</v>
          </cell>
          <cell r="N1198">
            <v>1032.4724200402782</v>
          </cell>
          <cell r="O1198">
            <v>1023.8276190138519</v>
          </cell>
          <cell r="P1198">
            <v>1014.6964974060115</v>
          </cell>
          <cell r="Q1198">
            <v>1005.0810595558892</v>
          </cell>
          <cell r="R1198">
            <v>994.98330980263779</v>
          </cell>
          <cell r="S1198">
            <v>984.40525248541542</v>
          </cell>
          <cell r="T1198">
            <v>977.63973948673549</v>
          </cell>
          <cell r="U1198">
            <v>970.55214264910069</v>
          </cell>
          <cell r="V1198">
            <v>963.14358835031828</v>
          </cell>
          <cell r="W1198">
            <v>955.41520296818214</v>
          </cell>
          <cell r="X1198">
            <v>947.3681128804933</v>
          </cell>
          <cell r="Y1198">
            <v>940.6171591207933</v>
          </cell>
          <cell r="Z1198">
            <v>933.68923987513892</v>
          </cell>
          <cell r="AA1198">
            <v>926.58409707994292</v>
          </cell>
          <cell r="AB1198">
            <v>919.30147267161124</v>
          </cell>
          <cell r="AC1198">
            <v>911.84110858655617</v>
          </cell>
          <cell r="AD1198">
            <v>904.8214389752668</v>
          </cell>
          <cell r="AE1198">
            <v>897.71856133297592</v>
          </cell>
          <cell r="AF1198">
            <v>890.532225706688</v>
          </cell>
          <cell r="AG1198">
            <v>883.26218214340963</v>
          </cell>
          <cell r="AH1198">
            <v>875.9081806901479</v>
          </cell>
        </row>
        <row r="1199">
          <cell r="B1199" t="str">
            <v>Bio-oil (HTL) - Total cost - Asia - USD/ton fuel</v>
          </cell>
          <cell r="G1199">
            <v>0</v>
          </cell>
          <cell r="H1199">
            <v>0</v>
          </cell>
          <cell r="I1199">
            <v>0</v>
          </cell>
          <cell r="J1199">
            <v>0</v>
          </cell>
          <cell r="K1199">
            <v>0</v>
          </cell>
          <cell r="L1199">
            <v>0</v>
          </cell>
          <cell r="M1199">
            <v>0</v>
          </cell>
          <cell r="N1199">
            <v>1074.1233568142111</v>
          </cell>
          <cell r="O1199">
            <v>1062.1970184661764</v>
          </cell>
          <cell r="P1199">
            <v>1049.8046766467421</v>
          </cell>
          <cell r="Q1199">
            <v>1036.9508435459798</v>
          </cell>
          <cell r="R1199">
            <v>1023.6400313539801</v>
          </cell>
          <cell r="S1199">
            <v>1009.8767522608453</v>
          </cell>
          <cell r="T1199">
            <v>1002.2111028263073</v>
          </cell>
          <cell r="U1199">
            <v>994.2270954103742</v>
          </cell>
          <cell r="V1199">
            <v>985.92632041434615</v>
          </cell>
          <cell r="W1199">
            <v>977.31036823950308</v>
          </cell>
          <cell r="X1199">
            <v>968.38082928714016</v>
          </cell>
          <cell r="Y1199">
            <v>958.97477025433864</v>
          </cell>
          <cell r="Z1199">
            <v>949.43793815482525</v>
          </cell>
          <cell r="AA1199">
            <v>939.76938627133063</v>
          </cell>
          <cell r="AB1199">
            <v>929.96816788658123</v>
          </cell>
          <cell r="AC1199">
            <v>920.03333628330643</v>
          </cell>
          <cell r="AD1199">
            <v>912.32910497268438</v>
          </cell>
          <cell r="AE1199">
            <v>904.55712405908503</v>
          </cell>
          <cell r="AF1199">
            <v>896.71683615798406</v>
          </cell>
          <cell r="AG1199">
            <v>888.80768388485876</v>
          </cell>
          <cell r="AH1199">
            <v>880.82910985518618</v>
          </cell>
        </row>
        <row r="1200">
          <cell r="B1200" t="str">
            <v>Bio-oil (HTL) - Total cost - Europe - USD/ton fuel</v>
          </cell>
          <cell r="G1200">
            <v>0</v>
          </cell>
          <cell r="H1200">
            <v>0</v>
          </cell>
          <cell r="I1200">
            <v>0</v>
          </cell>
          <cell r="J1200">
            <v>0</v>
          </cell>
          <cell r="K1200">
            <v>0</v>
          </cell>
          <cell r="L1200">
            <v>0</v>
          </cell>
          <cell r="M1200">
            <v>0</v>
          </cell>
          <cell r="N1200">
            <v>1073.3256144107522</v>
          </cell>
          <cell r="O1200">
            <v>1064.4066441185987</v>
          </cell>
          <cell r="P1200">
            <v>1054.9975711503496</v>
          </cell>
          <cell r="Q1200">
            <v>1045.1006642508876</v>
          </cell>
          <cell r="R1200">
            <v>1034.7181921651204</v>
          </cell>
          <cell r="S1200">
            <v>1023.8524236379635</v>
          </cell>
          <cell r="T1200">
            <v>1017.2355653660223</v>
          </cell>
          <cell r="U1200">
            <v>1010.2869367765707</v>
          </cell>
          <cell r="V1200">
            <v>1003.0074769225342</v>
          </cell>
          <cell r="W1200">
            <v>995.39812485682205</v>
          </cell>
          <cell r="X1200">
            <v>987.45981963235317</v>
          </cell>
          <cell r="Y1200">
            <v>979.49554365480037</v>
          </cell>
          <cell r="Z1200">
            <v>971.37643681018392</v>
          </cell>
          <cell r="AA1200">
            <v>963.10192777741986</v>
          </cell>
          <cell r="AB1200">
            <v>954.67144523541538</v>
          </cell>
          <cell r="AC1200">
            <v>946.08441786308549</v>
          </cell>
          <cell r="AD1200">
            <v>938.46604794449604</v>
          </cell>
          <cell r="AE1200">
            <v>930.77845261124594</v>
          </cell>
          <cell r="AF1200">
            <v>923.02109669495417</v>
          </cell>
          <cell r="AG1200">
            <v>915.19344502724027</v>
          </cell>
          <cell r="AH1200">
            <v>907.29496243972437</v>
          </cell>
        </row>
        <row r="1201">
          <cell r="B1201" t="str">
            <v>Bio-oil (HTL) - Total cost - Middle East - USD/ton fuel</v>
          </cell>
          <cell r="G1201">
            <v>0</v>
          </cell>
          <cell r="H1201">
            <v>0</v>
          </cell>
          <cell r="I1201">
            <v>0</v>
          </cell>
          <cell r="J1201">
            <v>0</v>
          </cell>
          <cell r="K1201">
            <v>0</v>
          </cell>
          <cell r="L1201">
            <v>0</v>
          </cell>
          <cell r="M1201">
            <v>0</v>
          </cell>
          <cell r="N1201">
            <v>1057.8676995165365</v>
          </cell>
          <cell r="O1201">
            <v>1048.638010481242</v>
          </cell>
          <cell r="P1201">
            <v>1038.9291765232856</v>
          </cell>
          <cell r="Q1201">
            <v>1028.7436710673119</v>
          </cell>
          <cell r="R1201">
            <v>1018.0839675379905</v>
          </cell>
          <cell r="S1201">
            <v>1006.9525393599938</v>
          </cell>
          <cell r="T1201">
            <v>1000.9063306525518</v>
          </cell>
          <cell r="U1201">
            <v>994.53214024569172</v>
          </cell>
          <cell r="V1201">
            <v>987.83082787916555</v>
          </cell>
          <cell r="W1201">
            <v>980.80325329270931</v>
          </cell>
          <cell r="X1201">
            <v>973.45027622606858</v>
          </cell>
          <cell r="Y1201">
            <v>965.3591733473761</v>
          </cell>
          <cell r="Z1201">
            <v>957.11428871391126</v>
          </cell>
          <cell r="AA1201">
            <v>948.714981144783</v>
          </cell>
          <cell r="AB1201">
            <v>940.16060945909624</v>
          </cell>
          <cell r="AC1201">
            <v>931.45053247595922</v>
          </cell>
          <cell r="AD1201">
            <v>924.19546249376276</v>
          </cell>
          <cell r="AE1201">
            <v>916.86120274686562</v>
          </cell>
          <cell r="AF1201">
            <v>909.44736796220582</v>
          </cell>
          <cell r="AG1201">
            <v>901.95357286672424</v>
          </cell>
          <cell r="AH1201">
            <v>894.379432187362</v>
          </cell>
        </row>
        <row r="1202">
          <cell r="B1202" t="str">
            <v/>
          </cell>
        </row>
        <row r="1203">
          <cell r="B1203" t="str">
            <v>Bio-oil (HTL) - CAPEX including feedstock CAPEX - Global - USD/ton fuel</v>
          </cell>
          <cell r="G1203" t="e">
            <v>#DIV/0!</v>
          </cell>
          <cell r="H1203" t="e">
            <v>#DIV/0!</v>
          </cell>
          <cell r="I1203" t="e">
            <v>#DIV/0!</v>
          </cell>
          <cell r="J1203" t="e">
            <v>#DIV/0!</v>
          </cell>
          <cell r="K1203" t="e">
            <v>#DIV/0!</v>
          </cell>
          <cell r="L1203" t="e">
            <v>#DIV/0!</v>
          </cell>
          <cell r="M1203" t="e">
            <v>#DIV/0!</v>
          </cell>
          <cell r="N1203">
            <v>99.222248599135</v>
          </cell>
          <cell r="O1203">
            <v>98.031581615943281</v>
          </cell>
          <cell r="P1203">
            <v>96.84091463275351</v>
          </cell>
          <cell r="Q1203">
            <v>95.650247649563724</v>
          </cell>
          <cell r="R1203">
            <v>94.459580666374436</v>
          </cell>
          <cell r="S1203">
            <v>93.268913683184891</v>
          </cell>
          <cell r="T1203">
            <v>92.673580191590247</v>
          </cell>
          <cell r="U1203">
            <v>92.078246699995361</v>
          </cell>
          <cell r="V1203">
            <v>91.482913208400475</v>
          </cell>
          <cell r="W1203">
            <v>90.887579716805831</v>
          </cell>
          <cell r="X1203">
            <v>90.292246225211173</v>
          </cell>
          <cell r="Y1203">
            <v>89.696912733616287</v>
          </cell>
          <cell r="Z1203">
            <v>89.101579242021643</v>
          </cell>
          <cell r="AA1203">
            <v>88.506245750426757</v>
          </cell>
          <cell r="AB1203">
            <v>87.910912258831857</v>
          </cell>
          <cell r="AC1203">
            <v>87.315578767237213</v>
          </cell>
          <cell r="AD1203">
            <v>86.720245275642327</v>
          </cell>
          <cell r="AE1203">
            <v>86.124911784047683</v>
          </cell>
          <cell r="AF1203">
            <v>85.529578292452783</v>
          </cell>
          <cell r="AG1203">
            <v>84.934244800857897</v>
          </cell>
          <cell r="AH1203">
            <v>84.338911309263253</v>
          </cell>
        </row>
        <row r="1204">
          <cell r="B1204" t="str">
            <v>Bio-oil (HTL) - CAPEX - Global - USD/ton fuel</v>
          </cell>
          <cell r="G1204" t="e">
            <v>#DIV/0!</v>
          </cell>
          <cell r="H1204" t="e">
            <v>#DIV/0!</v>
          </cell>
          <cell r="I1204" t="e">
            <v>#DIV/0!</v>
          </cell>
          <cell r="J1204" t="e">
            <v>#DIV/0!</v>
          </cell>
          <cell r="K1204" t="e">
            <v>#DIV/0!</v>
          </cell>
          <cell r="L1204" t="e">
            <v>#DIV/0!</v>
          </cell>
          <cell r="M1204" t="e">
            <v>#DIV/0!</v>
          </cell>
          <cell r="N1204">
            <v>99.222248599135</v>
          </cell>
          <cell r="O1204">
            <v>98.031581615943281</v>
          </cell>
          <cell r="P1204">
            <v>96.84091463275351</v>
          </cell>
          <cell r="Q1204">
            <v>95.650247649563724</v>
          </cell>
          <cell r="R1204">
            <v>94.459580666374436</v>
          </cell>
          <cell r="S1204">
            <v>93.268913683184891</v>
          </cell>
          <cell r="T1204">
            <v>92.673580191590247</v>
          </cell>
          <cell r="U1204">
            <v>92.078246699995361</v>
          </cell>
          <cell r="V1204">
            <v>91.482913208400475</v>
          </cell>
          <cell r="W1204">
            <v>90.887579716805831</v>
          </cell>
          <cell r="X1204">
            <v>90.292246225211173</v>
          </cell>
          <cell r="Y1204">
            <v>89.696912733616287</v>
          </cell>
          <cell r="Z1204">
            <v>89.101579242021643</v>
          </cell>
          <cell r="AA1204">
            <v>88.506245750426757</v>
          </cell>
          <cell r="AB1204">
            <v>87.910912258831857</v>
          </cell>
          <cell r="AC1204">
            <v>87.315578767237213</v>
          </cell>
          <cell r="AD1204">
            <v>86.720245275642327</v>
          </cell>
          <cell r="AE1204">
            <v>86.124911784047683</v>
          </cell>
          <cell r="AF1204">
            <v>85.529578292452783</v>
          </cell>
          <cell r="AG1204">
            <v>84.934244800857897</v>
          </cell>
          <cell r="AH1204">
            <v>84.338911309263253</v>
          </cell>
        </row>
        <row r="1205">
          <cell r="B1205" t="str">
            <v/>
          </cell>
        </row>
        <row r="1206">
          <cell r="B1206" t="str">
            <v>Bio-oil (HTL) - OPEX including feedstock OPEX - Global - USD/ton fuel</v>
          </cell>
          <cell r="G1206">
            <v>0</v>
          </cell>
          <cell r="H1206">
            <v>0</v>
          </cell>
          <cell r="I1206">
            <v>0</v>
          </cell>
          <cell r="J1206">
            <v>0</v>
          </cell>
          <cell r="K1206">
            <v>0</v>
          </cell>
          <cell r="L1206">
            <v>0</v>
          </cell>
          <cell r="M1206">
            <v>0</v>
          </cell>
          <cell r="N1206">
            <v>321.41145340894582</v>
          </cell>
          <cell r="O1206">
            <v>317.55451596802141</v>
          </cell>
          <cell r="P1206">
            <v>313.69757852711427</v>
          </cell>
          <cell r="Q1206">
            <v>309.84064108620714</v>
          </cell>
          <cell r="R1206">
            <v>305.98370364530001</v>
          </cell>
          <cell r="S1206">
            <v>302.12676620439288</v>
          </cell>
          <cell r="T1206">
            <v>300.19829748393931</v>
          </cell>
          <cell r="U1206">
            <v>298.26982876348575</v>
          </cell>
          <cell r="V1206">
            <v>296.34136004303218</v>
          </cell>
          <cell r="W1206">
            <v>294.41289132257862</v>
          </cell>
          <cell r="X1206">
            <v>292.48442260212505</v>
          </cell>
          <cell r="Y1206">
            <v>290.55595388167148</v>
          </cell>
          <cell r="Z1206">
            <v>288.62748516121792</v>
          </cell>
          <cell r="AA1206">
            <v>286.69901644076435</v>
          </cell>
          <cell r="AB1206">
            <v>284.77054772031079</v>
          </cell>
          <cell r="AC1206">
            <v>282.84207899985677</v>
          </cell>
          <cell r="AD1206">
            <v>280.9136102794032</v>
          </cell>
          <cell r="AE1206">
            <v>278.98514155894964</v>
          </cell>
          <cell r="AF1206">
            <v>277.05667283849607</v>
          </cell>
          <cell r="AG1206">
            <v>275.1282041180425</v>
          </cell>
          <cell r="AH1206">
            <v>273.19973539758894</v>
          </cell>
        </row>
        <row r="1207">
          <cell r="B1207" t="str">
            <v>Bio-oil (HTL) - OPEX - Global - USD/ton fuel</v>
          </cell>
          <cell r="G1207">
            <v>0</v>
          </cell>
          <cell r="H1207">
            <v>0</v>
          </cell>
          <cell r="I1207">
            <v>0</v>
          </cell>
          <cell r="J1207">
            <v>0</v>
          </cell>
          <cell r="K1207">
            <v>0</v>
          </cell>
          <cell r="L1207">
            <v>0</v>
          </cell>
          <cell r="M1207">
            <v>0</v>
          </cell>
          <cell r="N1207">
            <v>321.41145340894582</v>
          </cell>
          <cell r="O1207">
            <v>317.55451596802141</v>
          </cell>
          <cell r="P1207">
            <v>313.69757852711427</v>
          </cell>
          <cell r="Q1207">
            <v>309.84064108620714</v>
          </cell>
          <cell r="R1207">
            <v>305.98370364530001</v>
          </cell>
          <cell r="S1207">
            <v>302.12676620439288</v>
          </cell>
          <cell r="T1207">
            <v>300.19829748393931</v>
          </cell>
          <cell r="U1207">
            <v>298.26982876348575</v>
          </cell>
          <cell r="V1207">
            <v>296.34136004303218</v>
          </cell>
          <cell r="W1207">
            <v>294.41289132257862</v>
          </cell>
          <cell r="X1207">
            <v>292.48442260212505</v>
          </cell>
          <cell r="Y1207">
            <v>290.55595388167148</v>
          </cell>
          <cell r="Z1207">
            <v>288.62748516121792</v>
          </cell>
          <cell r="AA1207">
            <v>286.69901644076435</v>
          </cell>
          <cell r="AB1207">
            <v>284.77054772031079</v>
          </cell>
          <cell r="AC1207">
            <v>282.84207899985677</v>
          </cell>
          <cell r="AD1207">
            <v>280.9136102794032</v>
          </cell>
          <cell r="AE1207">
            <v>278.98514155894964</v>
          </cell>
          <cell r="AF1207">
            <v>277.05667283849607</v>
          </cell>
          <cell r="AG1207">
            <v>275.1282041180425</v>
          </cell>
          <cell r="AH1207">
            <v>273.19973539758894</v>
          </cell>
        </row>
        <row r="1208">
          <cell r="B1208" t="str">
            <v/>
          </cell>
        </row>
        <row r="1209">
          <cell r="B1209" t="str">
            <v>Bio-oil (HTL) - Finance cost including feedstock finance cost - Africa - USD/ton fuel</v>
          </cell>
          <cell r="G1209">
            <v>0</v>
          </cell>
          <cell r="H1209">
            <v>0</v>
          </cell>
          <cell r="I1209">
            <v>0</v>
          </cell>
          <cell r="J1209">
            <v>0</v>
          </cell>
          <cell r="K1209">
            <v>0</v>
          </cell>
          <cell r="L1209">
            <v>0</v>
          </cell>
          <cell r="M1209">
            <v>0</v>
          </cell>
          <cell r="N1209">
            <v>163.71671018857279</v>
          </cell>
          <cell r="O1209">
            <v>161.75210966630644</v>
          </cell>
          <cell r="P1209">
            <v>159.7875091440433</v>
          </cell>
          <cell r="Q1209">
            <v>157.82290862178019</v>
          </cell>
          <cell r="R1209">
            <v>155.85830809951784</v>
          </cell>
          <cell r="S1209">
            <v>153.8937075772551</v>
          </cell>
          <cell r="T1209">
            <v>152.91140731612393</v>
          </cell>
          <cell r="U1209">
            <v>151.92910705499236</v>
          </cell>
          <cell r="V1209">
            <v>150.94680679386079</v>
          </cell>
          <cell r="W1209">
            <v>149.96450653272964</v>
          </cell>
          <cell r="X1209">
            <v>148.98220627159847</v>
          </cell>
          <cell r="Y1209">
            <v>147.9999060104669</v>
          </cell>
          <cell r="Z1209">
            <v>147.01760574933573</v>
          </cell>
          <cell r="AA1209">
            <v>146.03530548820416</v>
          </cell>
          <cell r="AB1209">
            <v>145.05300522707259</v>
          </cell>
          <cell r="AC1209">
            <v>144.07070496594142</v>
          </cell>
          <cell r="AD1209">
            <v>143.08840470480985</v>
          </cell>
          <cell r="AE1209">
            <v>142.10610444367867</v>
          </cell>
          <cell r="AF1209">
            <v>141.12380418254713</v>
          </cell>
          <cell r="AG1209">
            <v>140.14150392141556</v>
          </cell>
          <cell r="AH1209">
            <v>139.15920366028439</v>
          </cell>
        </row>
        <row r="1210">
          <cell r="B1210" t="str">
            <v>Bio-oil (HTL) - Finance cost including feedstock finance cost - Americas - USD/ton fuel</v>
          </cell>
          <cell r="G1210">
            <v>0</v>
          </cell>
          <cell r="H1210">
            <v>0</v>
          </cell>
          <cell r="I1210">
            <v>0</v>
          </cell>
          <cell r="J1210">
            <v>0</v>
          </cell>
          <cell r="K1210">
            <v>0</v>
          </cell>
          <cell r="L1210">
            <v>0</v>
          </cell>
          <cell r="M1210">
            <v>0</v>
          </cell>
          <cell r="N1210">
            <v>163.71671018857279</v>
          </cell>
          <cell r="O1210">
            <v>161.75210966630644</v>
          </cell>
          <cell r="P1210">
            <v>159.7875091440433</v>
          </cell>
          <cell r="Q1210">
            <v>157.82290862178019</v>
          </cell>
          <cell r="R1210">
            <v>155.85830809951784</v>
          </cell>
          <cell r="S1210">
            <v>153.8937075772551</v>
          </cell>
          <cell r="T1210">
            <v>152.91140731612393</v>
          </cell>
          <cell r="U1210">
            <v>151.92910705499236</v>
          </cell>
          <cell r="V1210">
            <v>150.94680679386079</v>
          </cell>
          <cell r="W1210">
            <v>149.96450653272964</v>
          </cell>
          <cell r="X1210">
            <v>148.98220627159847</v>
          </cell>
          <cell r="Y1210">
            <v>147.9999060104669</v>
          </cell>
          <cell r="Z1210">
            <v>147.01760574933573</v>
          </cell>
          <cell r="AA1210">
            <v>146.03530548820416</v>
          </cell>
          <cell r="AB1210">
            <v>145.05300522707259</v>
          </cell>
          <cell r="AC1210">
            <v>144.07070496594142</v>
          </cell>
          <cell r="AD1210">
            <v>143.08840470480985</v>
          </cell>
          <cell r="AE1210">
            <v>142.10610444367867</v>
          </cell>
          <cell r="AF1210">
            <v>141.12380418254713</v>
          </cell>
          <cell r="AG1210">
            <v>140.14150392141556</v>
          </cell>
          <cell r="AH1210">
            <v>139.15920366028439</v>
          </cell>
        </row>
        <row r="1211">
          <cell r="B1211" t="str">
            <v>Bio-oil (HTL) - Finance cost including feedstock finance cost - Asia - USD/ton fuel</v>
          </cell>
          <cell r="G1211">
            <v>0</v>
          </cell>
          <cell r="H1211">
            <v>0</v>
          </cell>
          <cell r="I1211">
            <v>0</v>
          </cell>
          <cell r="J1211">
            <v>0</v>
          </cell>
          <cell r="K1211">
            <v>0</v>
          </cell>
          <cell r="L1211">
            <v>0</v>
          </cell>
          <cell r="M1211">
            <v>0</v>
          </cell>
          <cell r="N1211">
            <v>163.71671018857279</v>
          </cell>
          <cell r="O1211">
            <v>161.75210966630644</v>
          </cell>
          <cell r="P1211">
            <v>159.7875091440433</v>
          </cell>
          <cell r="Q1211">
            <v>157.82290862178019</v>
          </cell>
          <cell r="R1211">
            <v>155.85830809951784</v>
          </cell>
          <cell r="S1211">
            <v>153.8937075772551</v>
          </cell>
          <cell r="T1211">
            <v>152.91140731612393</v>
          </cell>
          <cell r="U1211">
            <v>151.92910705499236</v>
          </cell>
          <cell r="V1211">
            <v>150.94680679386079</v>
          </cell>
          <cell r="W1211">
            <v>149.96450653272964</v>
          </cell>
          <cell r="X1211">
            <v>148.98220627159847</v>
          </cell>
          <cell r="Y1211">
            <v>147.9999060104669</v>
          </cell>
          <cell r="Z1211">
            <v>147.01760574933573</v>
          </cell>
          <cell r="AA1211">
            <v>146.03530548820416</v>
          </cell>
          <cell r="AB1211">
            <v>145.05300522707259</v>
          </cell>
          <cell r="AC1211">
            <v>144.07070496594142</v>
          </cell>
          <cell r="AD1211">
            <v>143.08840470480985</v>
          </cell>
          <cell r="AE1211">
            <v>142.10610444367867</v>
          </cell>
          <cell r="AF1211">
            <v>141.12380418254713</v>
          </cell>
          <cell r="AG1211">
            <v>140.14150392141556</v>
          </cell>
          <cell r="AH1211">
            <v>139.15920366028439</v>
          </cell>
        </row>
        <row r="1212">
          <cell r="B1212" t="str">
            <v>Bio-oil (HTL) - Finance cost including feedstock finance cost - Europe - USD/ton fuel</v>
          </cell>
          <cell r="G1212">
            <v>0</v>
          </cell>
          <cell r="H1212">
            <v>0</v>
          </cell>
          <cell r="I1212">
            <v>0</v>
          </cell>
          <cell r="J1212">
            <v>0</v>
          </cell>
          <cell r="K1212">
            <v>0</v>
          </cell>
          <cell r="L1212">
            <v>0</v>
          </cell>
          <cell r="M1212">
            <v>0</v>
          </cell>
          <cell r="N1212">
            <v>163.71671018857279</v>
          </cell>
          <cell r="O1212">
            <v>161.75210966630644</v>
          </cell>
          <cell r="P1212">
            <v>159.7875091440433</v>
          </cell>
          <cell r="Q1212">
            <v>157.82290862178019</v>
          </cell>
          <cell r="R1212">
            <v>155.85830809951784</v>
          </cell>
          <cell r="S1212">
            <v>153.8937075772551</v>
          </cell>
          <cell r="T1212">
            <v>152.91140731612393</v>
          </cell>
          <cell r="U1212">
            <v>151.92910705499236</v>
          </cell>
          <cell r="V1212">
            <v>150.94680679386079</v>
          </cell>
          <cell r="W1212">
            <v>149.96450653272964</v>
          </cell>
          <cell r="X1212">
            <v>148.98220627159847</v>
          </cell>
          <cell r="Y1212">
            <v>147.9999060104669</v>
          </cell>
          <cell r="Z1212">
            <v>147.01760574933573</v>
          </cell>
          <cell r="AA1212">
            <v>146.03530548820416</v>
          </cell>
          <cell r="AB1212">
            <v>145.05300522707259</v>
          </cell>
          <cell r="AC1212">
            <v>144.07070496594142</v>
          </cell>
          <cell r="AD1212">
            <v>143.08840470480985</v>
          </cell>
          <cell r="AE1212">
            <v>142.10610444367867</v>
          </cell>
          <cell r="AF1212">
            <v>141.12380418254713</v>
          </cell>
          <cell r="AG1212">
            <v>140.14150392141556</v>
          </cell>
          <cell r="AH1212">
            <v>139.15920366028439</v>
          </cell>
        </row>
        <row r="1213">
          <cell r="B1213" t="str">
            <v>Bio-oil (HTL) - Finance cost including feedstock finance cost - Middle East - USD/ton fuel</v>
          </cell>
          <cell r="G1213">
            <v>0</v>
          </cell>
          <cell r="H1213">
            <v>0</v>
          </cell>
          <cell r="I1213">
            <v>0</v>
          </cell>
          <cell r="J1213">
            <v>0</v>
          </cell>
          <cell r="K1213">
            <v>0</v>
          </cell>
          <cell r="L1213">
            <v>0</v>
          </cell>
          <cell r="M1213">
            <v>0</v>
          </cell>
          <cell r="N1213">
            <v>163.71671018857279</v>
          </cell>
          <cell r="O1213">
            <v>161.75210966630644</v>
          </cell>
          <cell r="P1213">
            <v>159.7875091440433</v>
          </cell>
          <cell r="Q1213">
            <v>157.82290862178019</v>
          </cell>
          <cell r="R1213">
            <v>155.85830809951784</v>
          </cell>
          <cell r="S1213">
            <v>153.8937075772551</v>
          </cell>
          <cell r="T1213">
            <v>152.91140731612393</v>
          </cell>
          <cell r="U1213">
            <v>151.92910705499236</v>
          </cell>
          <cell r="V1213">
            <v>150.94680679386079</v>
          </cell>
          <cell r="W1213">
            <v>149.96450653272964</v>
          </cell>
          <cell r="X1213">
            <v>148.98220627159847</v>
          </cell>
          <cell r="Y1213">
            <v>147.9999060104669</v>
          </cell>
          <cell r="Z1213">
            <v>147.01760574933573</v>
          </cell>
          <cell r="AA1213">
            <v>146.03530548820416</v>
          </cell>
          <cell r="AB1213">
            <v>145.05300522707259</v>
          </cell>
          <cell r="AC1213">
            <v>144.07070496594142</v>
          </cell>
          <cell r="AD1213">
            <v>143.08840470480985</v>
          </cell>
          <cell r="AE1213">
            <v>142.10610444367867</v>
          </cell>
          <cell r="AF1213">
            <v>141.12380418254713</v>
          </cell>
          <cell r="AG1213">
            <v>140.14150392141556</v>
          </cell>
          <cell r="AH1213">
            <v>139.15920366028439</v>
          </cell>
        </row>
        <row r="1214">
          <cell r="B1214" t="str">
            <v>Bio-oil (HTL) - Finance cost - Africa - USD/ton fuel</v>
          </cell>
          <cell r="G1214">
            <v>0</v>
          </cell>
          <cell r="H1214">
            <v>0</v>
          </cell>
          <cell r="I1214">
            <v>0</v>
          </cell>
          <cell r="J1214">
            <v>0</v>
          </cell>
          <cell r="K1214">
            <v>0</v>
          </cell>
          <cell r="L1214">
            <v>0</v>
          </cell>
          <cell r="M1214">
            <v>0</v>
          </cell>
          <cell r="N1214">
            <v>163.71671018857279</v>
          </cell>
          <cell r="O1214">
            <v>161.75210966630644</v>
          </cell>
          <cell r="P1214">
            <v>159.7875091440433</v>
          </cell>
          <cell r="Q1214">
            <v>157.82290862178019</v>
          </cell>
          <cell r="R1214">
            <v>155.85830809951784</v>
          </cell>
          <cell r="S1214">
            <v>153.8937075772551</v>
          </cell>
          <cell r="T1214">
            <v>152.91140731612393</v>
          </cell>
          <cell r="U1214">
            <v>151.92910705499236</v>
          </cell>
          <cell r="V1214">
            <v>150.94680679386079</v>
          </cell>
          <cell r="W1214">
            <v>149.96450653272964</v>
          </cell>
          <cell r="X1214">
            <v>148.98220627159847</v>
          </cell>
          <cell r="Y1214">
            <v>147.9999060104669</v>
          </cell>
          <cell r="Z1214">
            <v>147.01760574933573</v>
          </cell>
          <cell r="AA1214">
            <v>146.03530548820416</v>
          </cell>
          <cell r="AB1214">
            <v>145.05300522707259</v>
          </cell>
          <cell r="AC1214">
            <v>144.07070496594142</v>
          </cell>
          <cell r="AD1214">
            <v>143.08840470480985</v>
          </cell>
          <cell r="AE1214">
            <v>142.10610444367867</v>
          </cell>
          <cell r="AF1214">
            <v>141.12380418254713</v>
          </cell>
          <cell r="AG1214">
            <v>140.14150392141556</v>
          </cell>
          <cell r="AH1214">
            <v>139.15920366028439</v>
          </cell>
        </row>
        <row r="1215">
          <cell r="B1215" t="str">
            <v>Bio-oil (HTL) - Finance cost - Americas - USD/ton fuel</v>
          </cell>
          <cell r="G1215">
            <v>0</v>
          </cell>
          <cell r="H1215">
            <v>0</v>
          </cell>
          <cell r="I1215">
            <v>0</v>
          </cell>
          <cell r="J1215">
            <v>0</v>
          </cell>
          <cell r="K1215">
            <v>0</v>
          </cell>
          <cell r="L1215">
            <v>0</v>
          </cell>
          <cell r="M1215">
            <v>0</v>
          </cell>
          <cell r="N1215">
            <v>163.71671018857279</v>
          </cell>
          <cell r="O1215">
            <v>161.75210966630644</v>
          </cell>
          <cell r="P1215">
            <v>159.7875091440433</v>
          </cell>
          <cell r="Q1215">
            <v>157.82290862178019</v>
          </cell>
          <cell r="R1215">
            <v>155.85830809951784</v>
          </cell>
          <cell r="S1215">
            <v>153.8937075772551</v>
          </cell>
          <cell r="T1215">
            <v>152.91140731612393</v>
          </cell>
          <cell r="U1215">
            <v>151.92910705499236</v>
          </cell>
          <cell r="V1215">
            <v>150.94680679386079</v>
          </cell>
          <cell r="W1215">
            <v>149.96450653272964</v>
          </cell>
          <cell r="X1215">
            <v>148.98220627159847</v>
          </cell>
          <cell r="Y1215">
            <v>147.9999060104669</v>
          </cell>
          <cell r="Z1215">
            <v>147.01760574933573</v>
          </cell>
          <cell r="AA1215">
            <v>146.03530548820416</v>
          </cell>
          <cell r="AB1215">
            <v>145.05300522707259</v>
          </cell>
          <cell r="AC1215">
            <v>144.07070496594142</v>
          </cell>
          <cell r="AD1215">
            <v>143.08840470480985</v>
          </cell>
          <cell r="AE1215">
            <v>142.10610444367867</v>
          </cell>
          <cell r="AF1215">
            <v>141.12380418254713</v>
          </cell>
          <cell r="AG1215">
            <v>140.14150392141556</v>
          </cell>
          <cell r="AH1215">
            <v>139.15920366028439</v>
          </cell>
        </row>
        <row r="1216">
          <cell r="B1216" t="str">
            <v>Bio-oil (HTL) - Finance cost - Asia - USD/ton fuel</v>
          </cell>
          <cell r="G1216">
            <v>0</v>
          </cell>
          <cell r="H1216">
            <v>0</v>
          </cell>
          <cell r="I1216">
            <v>0</v>
          </cell>
          <cell r="J1216">
            <v>0</v>
          </cell>
          <cell r="K1216">
            <v>0</v>
          </cell>
          <cell r="L1216">
            <v>0</v>
          </cell>
          <cell r="M1216">
            <v>0</v>
          </cell>
          <cell r="N1216">
            <v>163.71671018857279</v>
          </cell>
          <cell r="O1216">
            <v>161.75210966630644</v>
          </cell>
          <cell r="P1216">
            <v>159.7875091440433</v>
          </cell>
          <cell r="Q1216">
            <v>157.82290862178019</v>
          </cell>
          <cell r="R1216">
            <v>155.85830809951784</v>
          </cell>
          <cell r="S1216">
            <v>153.8937075772551</v>
          </cell>
          <cell r="T1216">
            <v>152.91140731612393</v>
          </cell>
          <cell r="U1216">
            <v>151.92910705499236</v>
          </cell>
          <cell r="V1216">
            <v>150.94680679386079</v>
          </cell>
          <cell r="W1216">
            <v>149.96450653272964</v>
          </cell>
          <cell r="X1216">
            <v>148.98220627159847</v>
          </cell>
          <cell r="Y1216">
            <v>147.9999060104669</v>
          </cell>
          <cell r="Z1216">
            <v>147.01760574933573</v>
          </cell>
          <cell r="AA1216">
            <v>146.03530548820416</v>
          </cell>
          <cell r="AB1216">
            <v>145.05300522707259</v>
          </cell>
          <cell r="AC1216">
            <v>144.07070496594142</v>
          </cell>
          <cell r="AD1216">
            <v>143.08840470480985</v>
          </cell>
          <cell r="AE1216">
            <v>142.10610444367867</v>
          </cell>
          <cell r="AF1216">
            <v>141.12380418254713</v>
          </cell>
          <cell r="AG1216">
            <v>140.14150392141556</v>
          </cell>
          <cell r="AH1216">
            <v>139.15920366028439</v>
          </cell>
        </row>
        <row r="1217">
          <cell r="B1217" t="str">
            <v>Bio-oil (HTL) - Finance cost - Europe - USD/ton fuel</v>
          </cell>
          <cell r="G1217">
            <v>0</v>
          </cell>
          <cell r="H1217">
            <v>0</v>
          </cell>
          <cell r="I1217">
            <v>0</v>
          </cell>
          <cell r="J1217">
            <v>0</v>
          </cell>
          <cell r="K1217">
            <v>0</v>
          </cell>
          <cell r="L1217">
            <v>0</v>
          </cell>
          <cell r="M1217">
            <v>0</v>
          </cell>
          <cell r="N1217">
            <v>163.71671018857279</v>
          </cell>
          <cell r="O1217">
            <v>161.75210966630644</v>
          </cell>
          <cell r="P1217">
            <v>159.7875091440433</v>
          </cell>
          <cell r="Q1217">
            <v>157.82290862178019</v>
          </cell>
          <cell r="R1217">
            <v>155.85830809951784</v>
          </cell>
          <cell r="S1217">
            <v>153.8937075772551</v>
          </cell>
          <cell r="T1217">
            <v>152.91140731612393</v>
          </cell>
          <cell r="U1217">
            <v>151.92910705499236</v>
          </cell>
          <cell r="V1217">
            <v>150.94680679386079</v>
          </cell>
          <cell r="W1217">
            <v>149.96450653272964</v>
          </cell>
          <cell r="X1217">
            <v>148.98220627159847</v>
          </cell>
          <cell r="Y1217">
            <v>147.9999060104669</v>
          </cell>
          <cell r="Z1217">
            <v>147.01760574933573</v>
          </cell>
          <cell r="AA1217">
            <v>146.03530548820416</v>
          </cell>
          <cell r="AB1217">
            <v>145.05300522707259</v>
          </cell>
          <cell r="AC1217">
            <v>144.07070496594142</v>
          </cell>
          <cell r="AD1217">
            <v>143.08840470480985</v>
          </cell>
          <cell r="AE1217">
            <v>142.10610444367867</v>
          </cell>
          <cell r="AF1217">
            <v>141.12380418254713</v>
          </cell>
          <cell r="AG1217">
            <v>140.14150392141556</v>
          </cell>
          <cell r="AH1217">
            <v>139.15920366028439</v>
          </cell>
        </row>
        <row r="1218">
          <cell r="B1218" t="str">
            <v>Bio-oil (HTL) - Finance cost - Middle East - USD/ton fuel</v>
          </cell>
          <cell r="G1218">
            <v>0</v>
          </cell>
          <cell r="H1218">
            <v>0</v>
          </cell>
          <cell r="I1218">
            <v>0</v>
          </cell>
          <cell r="J1218">
            <v>0</v>
          </cell>
          <cell r="K1218">
            <v>0</v>
          </cell>
          <cell r="L1218">
            <v>0</v>
          </cell>
          <cell r="M1218">
            <v>0</v>
          </cell>
          <cell r="N1218">
            <v>163.71671018857279</v>
          </cell>
          <cell r="O1218">
            <v>161.75210966630644</v>
          </cell>
          <cell r="P1218">
            <v>159.7875091440433</v>
          </cell>
          <cell r="Q1218">
            <v>157.82290862178019</v>
          </cell>
          <cell r="R1218">
            <v>155.85830809951784</v>
          </cell>
          <cell r="S1218">
            <v>153.8937075772551</v>
          </cell>
          <cell r="T1218">
            <v>152.91140731612393</v>
          </cell>
          <cell r="U1218">
            <v>151.92910705499236</v>
          </cell>
          <cell r="V1218">
            <v>150.94680679386079</v>
          </cell>
          <cell r="W1218">
            <v>149.96450653272964</v>
          </cell>
          <cell r="X1218">
            <v>148.98220627159847</v>
          </cell>
          <cell r="Y1218">
            <v>147.9999060104669</v>
          </cell>
          <cell r="Z1218">
            <v>147.01760574933573</v>
          </cell>
          <cell r="AA1218">
            <v>146.03530548820416</v>
          </cell>
          <cell r="AB1218">
            <v>145.05300522707259</v>
          </cell>
          <cell r="AC1218">
            <v>144.07070496594142</v>
          </cell>
          <cell r="AD1218">
            <v>143.08840470480985</v>
          </cell>
          <cell r="AE1218">
            <v>142.10610444367867</v>
          </cell>
          <cell r="AF1218">
            <v>141.12380418254713</v>
          </cell>
          <cell r="AG1218">
            <v>140.14150392141556</v>
          </cell>
          <cell r="AH1218">
            <v>139.15920366028439</v>
          </cell>
        </row>
        <row r="1219">
          <cell r="B1219" t="str">
            <v/>
          </cell>
        </row>
        <row r="1220">
          <cell r="B1220" t="str">
            <v>Bio-oil (HTL) - Energy cost including feedstock energy cost - Africa - USD/ton fuel</v>
          </cell>
          <cell r="G1220">
            <v>0</v>
          </cell>
          <cell r="H1220">
            <v>0</v>
          </cell>
          <cell r="I1220">
            <v>0</v>
          </cell>
          <cell r="J1220">
            <v>0</v>
          </cell>
          <cell r="K1220">
            <v>0</v>
          </cell>
          <cell r="L1220">
            <v>0</v>
          </cell>
          <cell r="M1220">
            <v>0</v>
          </cell>
          <cell r="N1220">
            <v>28.008812897662576</v>
          </cell>
          <cell r="O1220">
            <v>27.137978077940755</v>
          </cell>
          <cell r="P1220">
            <v>26.268392984923963</v>
          </cell>
          <cell r="Q1220">
            <v>25.400057618611843</v>
          </cell>
          <cell r="R1220">
            <v>24.532971979005112</v>
          </cell>
          <cell r="S1220">
            <v>23.667136066103495</v>
          </cell>
          <cell r="T1220">
            <v>23.250955982451714</v>
          </cell>
          <cell r="U1220">
            <v>22.835364124624419</v>
          </cell>
          <cell r="V1220">
            <v>22.420360492621437</v>
          </cell>
          <cell r="W1220">
            <v>22.005945086442861</v>
          </cell>
          <cell r="X1220">
            <v>21.592117906088863</v>
          </cell>
          <cell r="Y1220">
            <v>21.167647807796744</v>
          </cell>
          <cell r="Z1220">
            <v>20.743782565149747</v>
          </cell>
          <cell r="AA1220">
            <v>20.32052217814768</v>
          </cell>
          <cell r="AB1220">
            <v>19.897866646790909</v>
          </cell>
          <cell r="AC1220">
            <v>19.475815971079165</v>
          </cell>
          <cell r="AD1220">
            <v>19.261595600643414</v>
          </cell>
          <cell r="AE1220">
            <v>19.047672109557293</v>
          </cell>
          <cell r="AF1220">
            <v>18.834045497820629</v>
          </cell>
          <cell r="AG1220">
            <v>18.620715765433513</v>
          </cell>
          <cell r="AH1220">
            <v>18.40768291239602</v>
          </cell>
        </row>
        <row r="1221">
          <cell r="B1221" t="str">
            <v>Bio-oil (HTL) - Energy cost including feedstock energy cost - Americas - USD/ton fuel</v>
          </cell>
          <cell r="G1221">
            <v>0</v>
          </cell>
          <cell r="H1221">
            <v>0</v>
          </cell>
          <cell r="I1221">
            <v>0</v>
          </cell>
          <cell r="J1221">
            <v>0</v>
          </cell>
          <cell r="K1221">
            <v>0</v>
          </cell>
          <cell r="L1221">
            <v>0</v>
          </cell>
          <cell r="M1221">
            <v>0</v>
          </cell>
          <cell r="N1221">
            <v>22.925772598561775</v>
          </cell>
          <cell r="O1221">
            <v>22.416419453849073</v>
          </cell>
          <cell r="P1221">
            <v>21.907790214234101</v>
          </cell>
          <cell r="Q1221">
            <v>21.399884879716854</v>
          </cell>
          <cell r="R1221">
            <v>20.892703450297333</v>
          </cell>
          <cell r="S1221">
            <v>20.386245925975444</v>
          </cell>
          <cell r="T1221">
            <v>19.973440242705291</v>
          </cell>
          <cell r="U1221">
            <v>19.561221374713785</v>
          </cell>
          <cell r="V1221">
            <v>19.14958932200085</v>
          </cell>
          <cell r="W1221">
            <v>18.738544084566659</v>
          </cell>
          <cell r="X1221">
            <v>18.328085662411073</v>
          </cell>
          <cell r="Y1221">
            <v>18.154864896602287</v>
          </cell>
          <cell r="Z1221">
            <v>17.981880539992265</v>
          </cell>
          <cell r="AA1221">
            <v>17.809132592581044</v>
          </cell>
          <cell r="AB1221">
            <v>17.636621054368536</v>
          </cell>
          <cell r="AC1221">
            <v>17.464345925354785</v>
          </cell>
          <cell r="AD1221">
            <v>17.331370319575854</v>
          </cell>
          <cell r="AE1221">
            <v>17.198573067804258</v>
          </cell>
          <cell r="AF1221">
            <v>17.065954170039962</v>
          </cell>
          <cell r="AG1221">
            <v>16.933513626282959</v>
          </cell>
          <cell r="AH1221">
            <v>16.801251436533249</v>
          </cell>
        </row>
        <row r="1222">
          <cell r="B1222" t="str">
            <v>Bio-oil (HTL) - Energy cost including feedstock energy cost - Asia - USD/ton fuel</v>
          </cell>
          <cell r="G1222">
            <v>0</v>
          </cell>
          <cell r="H1222">
            <v>0</v>
          </cell>
          <cell r="I1222">
            <v>0</v>
          </cell>
          <cell r="J1222">
            <v>0</v>
          </cell>
          <cell r="K1222">
            <v>0</v>
          </cell>
          <cell r="L1222">
            <v>0</v>
          </cell>
          <cell r="M1222">
            <v>0</v>
          </cell>
          <cell r="N1222">
            <v>34.527335212509463</v>
          </cell>
          <cell r="O1222">
            <v>33.393219311678408</v>
          </cell>
          <cell r="P1222">
            <v>32.260733073873553</v>
          </cell>
          <cell r="Q1222">
            <v>31.129876499094891</v>
          </cell>
          <cell r="R1222">
            <v>30.000649587341687</v>
          </cell>
          <cell r="S1222">
            <v>28.873052338614315</v>
          </cell>
          <cell r="T1222">
            <v>28.29012168889658</v>
          </cell>
          <cell r="U1222">
            <v>27.708019599344272</v>
          </cell>
          <cell r="V1222">
            <v>27.126746069957587</v>
          </cell>
          <cell r="W1222">
            <v>26.546301100736152</v>
          </cell>
          <cell r="X1222">
            <v>25.966684691680509</v>
          </cell>
          <cell r="Y1222">
            <v>25.361748831872703</v>
          </cell>
          <cell r="Z1222">
            <v>24.757680249278636</v>
          </cell>
          <cell r="AA1222">
            <v>24.154478943897953</v>
          </cell>
          <cell r="AB1222">
            <v>23.552144915731006</v>
          </cell>
          <cell r="AC1222">
            <v>22.950678164777436</v>
          </cell>
          <cell r="AD1222">
            <v>22.666024515208182</v>
          </cell>
          <cell r="AE1222">
            <v>22.381768587473442</v>
          </cell>
          <cell r="AF1222">
            <v>22.09791038157341</v>
          </cell>
          <cell r="AG1222">
            <v>21.814449897507988</v>
          </cell>
          <cell r="AH1222">
            <v>21.531387135277079</v>
          </cell>
        </row>
        <row r="1223">
          <cell r="B1223" t="str">
            <v>Bio-oil (HTL) - Energy cost including feedstock energy cost - Europe - USD/ton fuel</v>
          </cell>
          <cell r="G1223">
            <v>0</v>
          </cell>
          <cell r="H1223">
            <v>0</v>
          </cell>
          <cell r="I1223">
            <v>0</v>
          </cell>
          <cell r="J1223">
            <v>0</v>
          </cell>
          <cell r="K1223">
            <v>0</v>
          </cell>
          <cell r="L1223">
            <v>0</v>
          </cell>
          <cell r="M1223">
            <v>0</v>
          </cell>
          <cell r="N1223">
            <v>28.519294993999274</v>
          </cell>
          <cell r="O1223">
            <v>27.940862927206791</v>
          </cell>
          <cell r="P1223">
            <v>27.363250260665311</v>
          </cell>
          <cell r="Q1223">
            <v>26.786456994374099</v>
          </cell>
          <cell r="R1223">
            <v>26.210483128333337</v>
          </cell>
          <cell r="S1223">
            <v>25.635328662543206</v>
          </cell>
          <cell r="T1223">
            <v>25.284807699794289</v>
          </cell>
          <cell r="U1223">
            <v>24.934775960642973</v>
          </cell>
          <cell r="V1223">
            <v>24.585233445089184</v>
          </cell>
          <cell r="W1223">
            <v>24.23618015313291</v>
          </cell>
          <cell r="X1223">
            <v>23.887616084773974</v>
          </cell>
          <cell r="Y1223">
            <v>23.516472689579896</v>
          </cell>
          <cell r="Z1223">
            <v>23.145852675310945</v>
          </cell>
          <cell r="AA1223">
            <v>22.775756041967284</v>
          </cell>
          <cell r="AB1223">
            <v>22.40618278954874</v>
          </cell>
          <cell r="AC1223">
            <v>22.037132918055491</v>
          </cell>
          <cell r="AD1223">
            <v>21.763824042575106</v>
          </cell>
          <cell r="AE1223">
            <v>21.490897036596305</v>
          </cell>
          <cell r="AF1223">
            <v>21.218351900119281</v>
          </cell>
          <cell r="AG1223">
            <v>20.946188633143937</v>
          </cell>
          <cell r="AH1223">
            <v>20.674407235670177</v>
          </cell>
        </row>
        <row r="1224">
          <cell r="B1224" t="str">
            <v>Bio-oil (HTL) - Energy cost including feedstock energy cost - Middle East - USD/ton fuel</v>
          </cell>
          <cell r="G1224">
            <v>0</v>
          </cell>
          <cell r="H1224">
            <v>0</v>
          </cell>
          <cell r="I1224">
            <v>0</v>
          </cell>
          <cell r="J1224">
            <v>0</v>
          </cell>
          <cell r="K1224">
            <v>0</v>
          </cell>
          <cell r="L1224">
            <v>0</v>
          </cell>
          <cell r="M1224">
            <v>0</v>
          </cell>
          <cell r="N1224">
            <v>22.605707379829585</v>
          </cell>
          <cell r="O1224">
            <v>21.981322994528728</v>
          </cell>
          <cell r="P1224">
            <v>21.3578319334555</v>
          </cell>
          <cell r="Q1224">
            <v>20.735234196609536</v>
          </cell>
          <cell r="R1224">
            <v>20.113529783991197</v>
          </cell>
          <cell r="S1224">
            <v>19.492718695600299</v>
          </cell>
          <cell r="T1224">
            <v>19.174734662129126</v>
          </cell>
          <cell r="U1224">
            <v>18.85719853203226</v>
          </cell>
          <cell r="V1224">
            <v>18.540110305309806</v>
          </cell>
          <cell r="W1224">
            <v>18.223469981961575</v>
          </cell>
          <cell r="X1224">
            <v>17.907277561987655</v>
          </cell>
          <cell r="Y1224">
            <v>17.497336741317316</v>
          </cell>
          <cell r="Z1224">
            <v>17.087983299366162</v>
          </cell>
          <cell r="AA1224">
            <v>16.679217236134008</v>
          </cell>
          <cell r="AB1224">
            <v>16.271038551621039</v>
          </cell>
          <cell r="AC1224">
            <v>15.863447245827025</v>
          </cell>
          <cell r="AD1224">
            <v>15.666690426572224</v>
          </cell>
          <cell r="AE1224">
            <v>15.470208518984192</v>
          </cell>
          <cell r="AF1224">
            <v>15.274001523062848</v>
          </cell>
          <cell r="AG1224">
            <v>15.078069438808232</v>
          </cell>
          <cell r="AH1224">
            <v>14.882412266220385</v>
          </cell>
        </row>
        <row r="1225">
          <cell r="B1225" t="str">
            <v>Bio-oil (HTL) - Energy cost - Africa - USD/ton fuel</v>
          </cell>
          <cell r="G1225">
            <v>0</v>
          </cell>
          <cell r="H1225">
            <v>0</v>
          </cell>
          <cell r="I1225">
            <v>0</v>
          </cell>
          <cell r="J1225">
            <v>0</v>
          </cell>
          <cell r="K1225">
            <v>0</v>
          </cell>
          <cell r="L1225">
            <v>0</v>
          </cell>
          <cell r="M1225">
            <v>0</v>
          </cell>
          <cell r="N1225">
            <v>28.008812897662576</v>
          </cell>
          <cell r="O1225">
            <v>27.137978077940755</v>
          </cell>
          <cell r="P1225">
            <v>26.268392984923963</v>
          </cell>
          <cell r="Q1225">
            <v>25.400057618611843</v>
          </cell>
          <cell r="R1225">
            <v>24.532971979005112</v>
          </cell>
          <cell r="S1225">
            <v>23.667136066103495</v>
          </cell>
          <cell r="T1225">
            <v>23.250955982451714</v>
          </cell>
          <cell r="U1225">
            <v>22.835364124624419</v>
          </cell>
          <cell r="V1225">
            <v>22.420360492621437</v>
          </cell>
          <cell r="W1225">
            <v>22.005945086442861</v>
          </cell>
          <cell r="X1225">
            <v>21.592117906088863</v>
          </cell>
          <cell r="Y1225">
            <v>21.167647807796744</v>
          </cell>
          <cell r="Z1225">
            <v>20.743782565149747</v>
          </cell>
          <cell r="AA1225">
            <v>20.32052217814768</v>
          </cell>
          <cell r="AB1225">
            <v>19.897866646790909</v>
          </cell>
          <cell r="AC1225">
            <v>19.475815971079165</v>
          </cell>
          <cell r="AD1225">
            <v>19.261595600643414</v>
          </cell>
          <cell r="AE1225">
            <v>19.047672109557293</v>
          </cell>
          <cell r="AF1225">
            <v>18.834045497820629</v>
          </cell>
          <cell r="AG1225">
            <v>18.620715765433513</v>
          </cell>
          <cell r="AH1225">
            <v>18.40768291239602</v>
          </cell>
        </row>
        <row r="1226">
          <cell r="B1226" t="str">
            <v>Bio-oil (HTL) - Energy cost - Americas - USD/ton fuel</v>
          </cell>
          <cell r="G1226">
            <v>0</v>
          </cell>
          <cell r="H1226">
            <v>0</v>
          </cell>
          <cell r="I1226">
            <v>0</v>
          </cell>
          <cell r="J1226">
            <v>0</v>
          </cell>
          <cell r="K1226">
            <v>0</v>
          </cell>
          <cell r="L1226">
            <v>0</v>
          </cell>
          <cell r="M1226">
            <v>0</v>
          </cell>
          <cell r="N1226">
            <v>22.925772598561775</v>
          </cell>
          <cell r="O1226">
            <v>22.416419453849073</v>
          </cell>
          <cell r="P1226">
            <v>21.907790214234101</v>
          </cell>
          <cell r="Q1226">
            <v>21.399884879716854</v>
          </cell>
          <cell r="R1226">
            <v>20.892703450297333</v>
          </cell>
          <cell r="S1226">
            <v>20.386245925975444</v>
          </cell>
          <cell r="T1226">
            <v>19.973440242705291</v>
          </cell>
          <cell r="U1226">
            <v>19.561221374713785</v>
          </cell>
          <cell r="V1226">
            <v>19.14958932200085</v>
          </cell>
          <cell r="W1226">
            <v>18.738544084566659</v>
          </cell>
          <cell r="X1226">
            <v>18.328085662411073</v>
          </cell>
          <cell r="Y1226">
            <v>18.154864896602287</v>
          </cell>
          <cell r="Z1226">
            <v>17.981880539992265</v>
          </cell>
          <cell r="AA1226">
            <v>17.809132592581044</v>
          </cell>
          <cell r="AB1226">
            <v>17.636621054368536</v>
          </cell>
          <cell r="AC1226">
            <v>17.464345925354785</v>
          </cell>
          <cell r="AD1226">
            <v>17.331370319575854</v>
          </cell>
          <cell r="AE1226">
            <v>17.198573067804258</v>
          </cell>
          <cell r="AF1226">
            <v>17.065954170039962</v>
          </cell>
          <cell r="AG1226">
            <v>16.933513626282959</v>
          </cell>
          <cell r="AH1226">
            <v>16.801251436533249</v>
          </cell>
        </row>
        <row r="1227">
          <cell r="B1227" t="str">
            <v>Bio-oil (HTL) - Energy cost - Asia - USD/ton fuel</v>
          </cell>
          <cell r="G1227">
            <v>0</v>
          </cell>
          <cell r="H1227">
            <v>0</v>
          </cell>
          <cell r="I1227">
            <v>0</v>
          </cell>
          <cell r="J1227">
            <v>0</v>
          </cell>
          <cell r="K1227">
            <v>0</v>
          </cell>
          <cell r="L1227">
            <v>0</v>
          </cell>
          <cell r="M1227">
            <v>0</v>
          </cell>
          <cell r="N1227">
            <v>34.527335212509463</v>
          </cell>
          <cell r="O1227">
            <v>33.393219311678408</v>
          </cell>
          <cell r="P1227">
            <v>32.260733073873553</v>
          </cell>
          <cell r="Q1227">
            <v>31.129876499094891</v>
          </cell>
          <cell r="R1227">
            <v>30.000649587341687</v>
          </cell>
          <cell r="S1227">
            <v>28.873052338614315</v>
          </cell>
          <cell r="T1227">
            <v>28.29012168889658</v>
          </cell>
          <cell r="U1227">
            <v>27.708019599344272</v>
          </cell>
          <cell r="V1227">
            <v>27.126746069957587</v>
          </cell>
          <cell r="W1227">
            <v>26.546301100736152</v>
          </cell>
          <cell r="X1227">
            <v>25.966684691680509</v>
          </cell>
          <cell r="Y1227">
            <v>25.361748831872703</v>
          </cell>
          <cell r="Z1227">
            <v>24.757680249278636</v>
          </cell>
          <cell r="AA1227">
            <v>24.154478943897953</v>
          </cell>
          <cell r="AB1227">
            <v>23.552144915731006</v>
          </cell>
          <cell r="AC1227">
            <v>22.950678164777436</v>
          </cell>
          <cell r="AD1227">
            <v>22.666024515208182</v>
          </cell>
          <cell r="AE1227">
            <v>22.381768587473442</v>
          </cell>
          <cell r="AF1227">
            <v>22.09791038157341</v>
          </cell>
          <cell r="AG1227">
            <v>21.814449897507988</v>
          </cell>
          <cell r="AH1227">
            <v>21.531387135277079</v>
          </cell>
        </row>
        <row r="1228">
          <cell r="B1228" t="str">
            <v>Bio-oil (HTL) - Energy cost - Europe - USD/ton fuel</v>
          </cell>
          <cell r="G1228">
            <v>0</v>
          </cell>
          <cell r="H1228">
            <v>0</v>
          </cell>
          <cell r="I1228">
            <v>0</v>
          </cell>
          <cell r="J1228">
            <v>0</v>
          </cell>
          <cell r="K1228">
            <v>0</v>
          </cell>
          <cell r="L1228">
            <v>0</v>
          </cell>
          <cell r="M1228">
            <v>0</v>
          </cell>
          <cell r="N1228">
            <v>28.519294993999274</v>
          </cell>
          <cell r="O1228">
            <v>27.940862927206791</v>
          </cell>
          <cell r="P1228">
            <v>27.363250260665311</v>
          </cell>
          <cell r="Q1228">
            <v>26.786456994374099</v>
          </cell>
          <cell r="R1228">
            <v>26.210483128333337</v>
          </cell>
          <cell r="S1228">
            <v>25.635328662543206</v>
          </cell>
          <cell r="T1228">
            <v>25.284807699794289</v>
          </cell>
          <cell r="U1228">
            <v>24.934775960642973</v>
          </cell>
          <cell r="V1228">
            <v>24.585233445089184</v>
          </cell>
          <cell r="W1228">
            <v>24.23618015313291</v>
          </cell>
          <cell r="X1228">
            <v>23.887616084773974</v>
          </cell>
          <cell r="Y1228">
            <v>23.516472689579896</v>
          </cell>
          <cell r="Z1228">
            <v>23.145852675310945</v>
          </cell>
          <cell r="AA1228">
            <v>22.775756041967284</v>
          </cell>
          <cell r="AB1228">
            <v>22.40618278954874</v>
          </cell>
          <cell r="AC1228">
            <v>22.037132918055491</v>
          </cell>
          <cell r="AD1228">
            <v>21.763824042575106</v>
          </cell>
          <cell r="AE1228">
            <v>21.490897036596305</v>
          </cell>
          <cell r="AF1228">
            <v>21.218351900119281</v>
          </cell>
          <cell r="AG1228">
            <v>20.946188633143937</v>
          </cell>
          <cell r="AH1228">
            <v>20.674407235670177</v>
          </cell>
        </row>
        <row r="1229">
          <cell r="B1229" t="str">
            <v>Bio-oil (HTL) - Energy cost - Middle East - USD/ton fuel</v>
          </cell>
          <cell r="G1229">
            <v>0</v>
          </cell>
          <cell r="H1229">
            <v>0</v>
          </cell>
          <cell r="I1229">
            <v>0</v>
          </cell>
          <cell r="J1229">
            <v>0</v>
          </cell>
          <cell r="K1229">
            <v>0</v>
          </cell>
          <cell r="L1229">
            <v>0</v>
          </cell>
          <cell r="M1229">
            <v>0</v>
          </cell>
          <cell r="N1229">
            <v>22.605707379829585</v>
          </cell>
          <cell r="O1229">
            <v>21.981322994528728</v>
          </cell>
          <cell r="P1229">
            <v>21.3578319334555</v>
          </cell>
          <cell r="Q1229">
            <v>20.735234196609536</v>
          </cell>
          <cell r="R1229">
            <v>20.113529783991197</v>
          </cell>
          <cell r="S1229">
            <v>19.492718695600299</v>
          </cell>
          <cell r="T1229">
            <v>19.174734662129126</v>
          </cell>
          <cell r="U1229">
            <v>18.85719853203226</v>
          </cell>
          <cell r="V1229">
            <v>18.540110305309806</v>
          </cell>
          <cell r="W1229">
            <v>18.223469981961575</v>
          </cell>
          <cell r="X1229">
            <v>17.907277561987655</v>
          </cell>
          <cell r="Y1229">
            <v>17.497336741317316</v>
          </cell>
          <cell r="Z1229">
            <v>17.087983299366162</v>
          </cell>
          <cell r="AA1229">
            <v>16.679217236134008</v>
          </cell>
          <cell r="AB1229">
            <v>16.271038551621039</v>
          </cell>
          <cell r="AC1229">
            <v>15.863447245827025</v>
          </cell>
          <cell r="AD1229">
            <v>15.666690426572224</v>
          </cell>
          <cell r="AE1229">
            <v>15.470208518984192</v>
          </cell>
          <cell r="AF1229">
            <v>15.274001523062848</v>
          </cell>
          <cell r="AG1229">
            <v>15.078069438808232</v>
          </cell>
          <cell r="AH1229">
            <v>14.882412266220385</v>
          </cell>
        </row>
        <row r="1230">
          <cell r="B1230" t="str">
            <v/>
          </cell>
        </row>
        <row r="1231">
          <cell r="B1231" t="str">
            <v>Bio-oil (HTL) - Feedstock cost including feedstock feedstock cost - Africa - USD/ton fuel</v>
          </cell>
          <cell r="G1231">
            <v>0</v>
          </cell>
          <cell r="H1231">
            <v>0</v>
          </cell>
          <cell r="I1231">
            <v>0</v>
          </cell>
          <cell r="J1231">
            <v>0</v>
          </cell>
          <cell r="K1231">
            <v>0</v>
          </cell>
          <cell r="L1231">
            <v>0</v>
          </cell>
          <cell r="M1231">
            <v>0</v>
          </cell>
          <cell r="N1231">
            <v>481.0478339968264</v>
          </cell>
          <cell r="O1231">
            <v>478.734266668842</v>
          </cell>
          <cell r="P1231">
            <v>475.94716315966485</v>
          </cell>
          <cell r="Q1231">
            <v>472.6899836965722</v>
          </cell>
          <cell r="R1231">
            <v>468.96618850684553</v>
          </cell>
          <cell r="S1231">
            <v>464.77923781777139</v>
          </cell>
          <cell r="T1231">
            <v>462.0333819863697</v>
          </cell>
          <cell r="U1231">
            <v>458.96182802689265</v>
          </cell>
          <cell r="V1231">
            <v>455.56570502465507</v>
          </cell>
          <cell r="W1231">
            <v>451.84614206495809</v>
          </cell>
          <cell r="X1231">
            <v>447.80426823311319</v>
          </cell>
          <cell r="Y1231">
            <v>443.61933482091933</v>
          </cell>
          <cell r="Z1231">
            <v>439.28316435854009</v>
          </cell>
          <cell r="AA1231">
            <v>434.79509658732508</v>
          </cell>
          <cell r="AB1231">
            <v>430.15447124861703</v>
          </cell>
          <cell r="AC1231">
            <v>425.36062808376283</v>
          </cell>
          <cell r="AD1231">
            <v>421.82913681927812</v>
          </cell>
          <cell r="AE1231">
            <v>418.22183187517879</v>
          </cell>
          <cell r="AF1231">
            <v>414.53829719194601</v>
          </cell>
          <cell r="AG1231">
            <v>410.77811671006248</v>
          </cell>
          <cell r="AH1231">
            <v>406.94087437001093</v>
          </cell>
        </row>
        <row r="1232">
          <cell r="B1232" t="str">
            <v>Bio-oil (HTL) - Feedstock cost including feedstock feedstock cost - Americas - USD/ton fuel</v>
          </cell>
          <cell r="G1232">
            <v>0</v>
          </cell>
          <cell r="H1232">
            <v>0</v>
          </cell>
          <cell r="I1232">
            <v>0</v>
          </cell>
          <cell r="J1232">
            <v>0</v>
          </cell>
          <cell r="K1232">
            <v>0</v>
          </cell>
          <cell r="L1232">
            <v>0</v>
          </cell>
          <cell r="M1232">
            <v>0</v>
          </cell>
          <cell r="N1232">
            <v>425.19623524506272</v>
          </cell>
          <cell r="O1232">
            <v>424.0729923097316</v>
          </cell>
          <cell r="P1232">
            <v>422.46270488786644</v>
          </cell>
          <cell r="Q1232">
            <v>420.36737731862132</v>
          </cell>
          <cell r="R1232">
            <v>417.78901394114814</v>
          </cell>
          <cell r="S1232">
            <v>414.72961909460707</v>
          </cell>
          <cell r="T1232">
            <v>411.88301425237671</v>
          </cell>
          <cell r="U1232">
            <v>408.71373875591348</v>
          </cell>
          <cell r="V1232">
            <v>405.22291898302399</v>
          </cell>
          <cell r="W1232">
            <v>401.41168131150141</v>
          </cell>
          <cell r="X1232">
            <v>397.28115211914752</v>
          </cell>
          <cell r="Y1232">
            <v>394.20952159843631</v>
          </cell>
          <cell r="Z1232">
            <v>390.96068918257129</v>
          </cell>
          <cell r="AA1232">
            <v>387.53439680796663</v>
          </cell>
          <cell r="AB1232">
            <v>383.93038641102754</v>
          </cell>
          <cell r="AC1232">
            <v>380.14839992816593</v>
          </cell>
          <cell r="AD1232">
            <v>376.76780839583563</v>
          </cell>
          <cell r="AE1232">
            <v>373.30383047849568</v>
          </cell>
          <cell r="AF1232">
            <v>369.75621622315202</v>
          </cell>
          <cell r="AG1232">
            <v>366.12471567681075</v>
          </cell>
          <cell r="AH1232">
            <v>362.40907888647797</v>
          </cell>
        </row>
        <row r="1233">
          <cell r="B1233" t="str">
            <v>Bio-oil (HTL) - Feedstock cost including feedstock feedstock cost - Asia - USD/ton fuel</v>
          </cell>
          <cell r="G1233">
            <v>0</v>
          </cell>
          <cell r="H1233">
            <v>0</v>
          </cell>
          <cell r="I1233">
            <v>0</v>
          </cell>
          <cell r="J1233">
            <v>0</v>
          </cell>
          <cell r="K1233">
            <v>0</v>
          </cell>
          <cell r="L1233">
            <v>0</v>
          </cell>
          <cell r="M1233">
            <v>0</v>
          </cell>
          <cell r="N1233">
            <v>455.24560940504801</v>
          </cell>
          <cell r="O1233">
            <v>451.46559190422693</v>
          </cell>
          <cell r="P1233">
            <v>447.21794126895747</v>
          </cell>
          <cell r="Q1233">
            <v>442.50716968933398</v>
          </cell>
          <cell r="R1233">
            <v>437.33778935544603</v>
          </cell>
          <cell r="S1233">
            <v>431.71431245739808</v>
          </cell>
          <cell r="T1233">
            <v>428.13769614575722</v>
          </cell>
          <cell r="U1233">
            <v>424.24189329255654</v>
          </cell>
          <cell r="V1233">
            <v>420.02849429909509</v>
          </cell>
          <cell r="W1233">
            <v>415.49908956665286</v>
          </cell>
          <cell r="X1233">
            <v>410.65526949652502</v>
          </cell>
          <cell r="Y1233">
            <v>405.36024879671123</v>
          </cell>
          <cell r="Z1233">
            <v>399.93358775297122</v>
          </cell>
          <cell r="AA1233">
            <v>394.37433964803745</v>
          </cell>
          <cell r="AB1233">
            <v>388.68155776463504</v>
          </cell>
          <cell r="AC1233">
            <v>382.85429538549363</v>
          </cell>
          <cell r="AD1233">
            <v>378.94082019762084</v>
          </cell>
          <cell r="AE1233">
            <v>374.95919768493553</v>
          </cell>
          <cell r="AF1233">
            <v>370.90887046291465</v>
          </cell>
          <cell r="AG1233">
            <v>366.78928114703479</v>
          </cell>
          <cell r="AH1233">
            <v>362.59987235277254</v>
          </cell>
        </row>
        <row r="1234">
          <cell r="B1234" t="str">
            <v>Bio-oil (HTL) - Feedstock cost including feedstock feedstock cost - Europe - USD/ton fuel</v>
          </cell>
          <cell r="G1234">
            <v>0</v>
          </cell>
          <cell r="H1234">
            <v>0</v>
          </cell>
          <cell r="I1234">
            <v>0</v>
          </cell>
          <cell r="J1234">
            <v>0</v>
          </cell>
          <cell r="K1234">
            <v>0</v>
          </cell>
          <cell r="L1234">
            <v>0</v>
          </cell>
          <cell r="M1234">
            <v>0</v>
          </cell>
          <cell r="N1234">
            <v>460.45590722009916</v>
          </cell>
          <cell r="O1234">
            <v>459.12757394112066</v>
          </cell>
          <cell r="P1234">
            <v>457.30831858577329</v>
          </cell>
          <cell r="Q1234">
            <v>455.00040989896235</v>
          </cell>
          <cell r="R1234">
            <v>452.2061166255948</v>
          </cell>
          <cell r="S1234">
            <v>448.92770751058737</v>
          </cell>
          <cell r="T1234">
            <v>446.16747267457447</v>
          </cell>
          <cell r="U1234">
            <v>443.07497829745427</v>
          </cell>
          <cell r="V1234">
            <v>439.65116343215152</v>
          </cell>
          <cell r="W1234">
            <v>435.89696713157514</v>
          </cell>
          <cell r="X1234">
            <v>431.81332844864443</v>
          </cell>
          <cell r="Y1234">
            <v>427.72629833946576</v>
          </cell>
          <cell r="Z1234">
            <v>423.48391398229762</v>
          </cell>
          <cell r="AA1234">
            <v>419.08560405605732</v>
          </cell>
          <cell r="AB1234">
            <v>414.53079723965135</v>
          </cell>
          <cell r="AC1234">
            <v>409.81892221199467</v>
          </cell>
          <cell r="AD1234">
            <v>405.97996364206551</v>
          </cell>
          <cell r="AE1234">
            <v>402.07139778797369</v>
          </cell>
          <cell r="AF1234">
            <v>398.09268948133888</v>
          </cell>
          <cell r="AG1234">
            <v>394.04330355378045</v>
          </cell>
          <cell r="AH1234">
            <v>389.92270483691755</v>
          </cell>
        </row>
        <row r="1235">
          <cell r="B1235" t="str">
            <v>Bio-oil (HTL) - Feedstock cost including feedstock feedstock cost - Middle East - USD/ton fuel</v>
          </cell>
          <cell r="G1235">
            <v>0</v>
          </cell>
          <cell r="H1235">
            <v>0</v>
          </cell>
          <cell r="I1235">
            <v>0</v>
          </cell>
          <cell r="J1235">
            <v>0</v>
          </cell>
          <cell r="K1235">
            <v>0</v>
          </cell>
          <cell r="L1235">
            <v>0</v>
          </cell>
          <cell r="M1235">
            <v>0</v>
          </cell>
          <cell r="N1235">
            <v>450.91157994005334</v>
          </cell>
          <cell r="O1235">
            <v>449.31848023644221</v>
          </cell>
          <cell r="P1235">
            <v>447.24534228591898</v>
          </cell>
          <cell r="Q1235">
            <v>444.69463951315123</v>
          </cell>
          <cell r="R1235">
            <v>441.66884534280695</v>
          </cell>
          <cell r="S1235">
            <v>438.17043319956065</v>
          </cell>
          <cell r="T1235">
            <v>435.94831099876905</v>
          </cell>
          <cell r="U1235">
            <v>433.39775919518604</v>
          </cell>
          <cell r="V1235">
            <v>430.51963752856233</v>
          </cell>
          <cell r="W1235">
            <v>427.31480573863365</v>
          </cell>
          <cell r="X1235">
            <v>423.78412356514622</v>
          </cell>
          <cell r="Y1235">
            <v>419.60906398030409</v>
          </cell>
          <cell r="Z1235">
            <v>415.27963526196964</v>
          </cell>
          <cell r="AA1235">
            <v>410.79519622925375</v>
          </cell>
          <cell r="AB1235">
            <v>406.15510570126003</v>
          </cell>
          <cell r="AC1235">
            <v>401.35872249709678</v>
          </cell>
          <cell r="AD1235">
            <v>397.80651180733514</v>
          </cell>
          <cell r="AE1235">
            <v>394.17483644120534</v>
          </cell>
          <cell r="AF1235">
            <v>390.46331112564695</v>
          </cell>
          <cell r="AG1235">
            <v>386.67155058760017</v>
          </cell>
          <cell r="AH1235">
            <v>382.799169554005</v>
          </cell>
        </row>
        <row r="1236">
          <cell r="B1236" t="str">
            <v>Bio-oil (HTL) - Feedstock cost - Africa - USD/ton fuel</v>
          </cell>
          <cell r="G1236">
            <v>0</v>
          </cell>
          <cell r="H1236">
            <v>0</v>
          </cell>
          <cell r="I1236">
            <v>0</v>
          </cell>
          <cell r="J1236">
            <v>0</v>
          </cell>
          <cell r="K1236">
            <v>0</v>
          </cell>
          <cell r="L1236">
            <v>0</v>
          </cell>
          <cell r="M1236">
            <v>0</v>
          </cell>
          <cell r="N1236">
            <v>481.0478339968264</v>
          </cell>
          <cell r="O1236">
            <v>478.734266668842</v>
          </cell>
          <cell r="P1236">
            <v>475.94716315966485</v>
          </cell>
          <cell r="Q1236">
            <v>472.6899836965722</v>
          </cell>
          <cell r="R1236">
            <v>468.96618850684553</v>
          </cell>
          <cell r="S1236">
            <v>464.77923781777139</v>
          </cell>
          <cell r="T1236">
            <v>462.0333819863697</v>
          </cell>
          <cell r="U1236">
            <v>458.96182802689265</v>
          </cell>
          <cell r="V1236">
            <v>455.56570502465507</v>
          </cell>
          <cell r="W1236">
            <v>451.84614206495809</v>
          </cell>
          <cell r="X1236">
            <v>447.80426823311319</v>
          </cell>
          <cell r="Y1236">
            <v>443.61933482091933</v>
          </cell>
          <cell r="Z1236">
            <v>439.28316435854009</v>
          </cell>
          <cell r="AA1236">
            <v>434.79509658732508</v>
          </cell>
          <cell r="AB1236">
            <v>430.15447124861703</v>
          </cell>
          <cell r="AC1236">
            <v>425.36062808376283</v>
          </cell>
          <cell r="AD1236">
            <v>421.82913681927812</v>
          </cell>
          <cell r="AE1236">
            <v>418.22183187517879</v>
          </cell>
          <cell r="AF1236">
            <v>414.53829719194601</v>
          </cell>
          <cell r="AG1236">
            <v>410.77811671006248</v>
          </cell>
          <cell r="AH1236">
            <v>406.94087437001093</v>
          </cell>
        </row>
        <row r="1237">
          <cell r="B1237" t="str">
            <v>Bio-oil (HTL) - Feedstock cost - Americas - USD/ton fuel</v>
          </cell>
          <cell r="G1237">
            <v>0</v>
          </cell>
          <cell r="H1237">
            <v>0</v>
          </cell>
          <cell r="I1237">
            <v>0</v>
          </cell>
          <cell r="J1237">
            <v>0</v>
          </cell>
          <cell r="K1237">
            <v>0</v>
          </cell>
          <cell r="L1237">
            <v>0</v>
          </cell>
          <cell r="M1237">
            <v>0</v>
          </cell>
          <cell r="N1237">
            <v>425.19623524506272</v>
          </cell>
          <cell r="O1237">
            <v>424.0729923097316</v>
          </cell>
          <cell r="P1237">
            <v>422.46270488786644</v>
          </cell>
          <cell r="Q1237">
            <v>420.36737731862132</v>
          </cell>
          <cell r="R1237">
            <v>417.78901394114814</v>
          </cell>
          <cell r="S1237">
            <v>414.72961909460707</v>
          </cell>
          <cell r="T1237">
            <v>411.88301425237671</v>
          </cell>
          <cell r="U1237">
            <v>408.71373875591348</v>
          </cell>
          <cell r="V1237">
            <v>405.22291898302399</v>
          </cell>
          <cell r="W1237">
            <v>401.41168131150141</v>
          </cell>
          <cell r="X1237">
            <v>397.28115211914752</v>
          </cell>
          <cell r="Y1237">
            <v>394.20952159843631</v>
          </cell>
          <cell r="Z1237">
            <v>390.96068918257129</v>
          </cell>
          <cell r="AA1237">
            <v>387.53439680796663</v>
          </cell>
          <cell r="AB1237">
            <v>383.93038641102754</v>
          </cell>
          <cell r="AC1237">
            <v>380.14839992816593</v>
          </cell>
          <cell r="AD1237">
            <v>376.76780839583563</v>
          </cell>
          <cell r="AE1237">
            <v>373.30383047849568</v>
          </cell>
          <cell r="AF1237">
            <v>369.75621622315202</v>
          </cell>
          <cell r="AG1237">
            <v>366.12471567681075</v>
          </cell>
          <cell r="AH1237">
            <v>362.40907888647797</v>
          </cell>
        </row>
        <row r="1238">
          <cell r="B1238" t="str">
            <v>Bio-oil (HTL) - Feedstock cost - Asia - USD/ton fuel</v>
          </cell>
          <cell r="G1238">
            <v>0</v>
          </cell>
          <cell r="H1238">
            <v>0</v>
          </cell>
          <cell r="I1238">
            <v>0</v>
          </cell>
          <cell r="J1238">
            <v>0</v>
          </cell>
          <cell r="K1238">
            <v>0</v>
          </cell>
          <cell r="L1238">
            <v>0</v>
          </cell>
          <cell r="M1238">
            <v>0</v>
          </cell>
          <cell r="N1238">
            <v>455.24560940504801</v>
          </cell>
          <cell r="O1238">
            <v>451.46559190422693</v>
          </cell>
          <cell r="P1238">
            <v>447.21794126895747</v>
          </cell>
          <cell r="Q1238">
            <v>442.50716968933398</v>
          </cell>
          <cell r="R1238">
            <v>437.33778935544603</v>
          </cell>
          <cell r="S1238">
            <v>431.71431245739808</v>
          </cell>
          <cell r="T1238">
            <v>428.13769614575722</v>
          </cell>
          <cell r="U1238">
            <v>424.24189329255654</v>
          </cell>
          <cell r="V1238">
            <v>420.02849429909509</v>
          </cell>
          <cell r="W1238">
            <v>415.49908956665286</v>
          </cell>
          <cell r="X1238">
            <v>410.65526949652502</v>
          </cell>
          <cell r="Y1238">
            <v>405.36024879671123</v>
          </cell>
          <cell r="Z1238">
            <v>399.93358775297122</v>
          </cell>
          <cell r="AA1238">
            <v>394.37433964803745</v>
          </cell>
          <cell r="AB1238">
            <v>388.68155776463504</v>
          </cell>
          <cell r="AC1238">
            <v>382.85429538549363</v>
          </cell>
          <cell r="AD1238">
            <v>378.94082019762084</v>
          </cell>
          <cell r="AE1238">
            <v>374.95919768493553</v>
          </cell>
          <cell r="AF1238">
            <v>370.90887046291465</v>
          </cell>
          <cell r="AG1238">
            <v>366.78928114703479</v>
          </cell>
          <cell r="AH1238">
            <v>362.59987235277254</v>
          </cell>
        </row>
        <row r="1239">
          <cell r="B1239" t="str">
            <v>Bio-oil (HTL) - Feedstock cost - Europe - USD/ton fuel</v>
          </cell>
          <cell r="G1239">
            <v>0</v>
          </cell>
          <cell r="H1239">
            <v>0</v>
          </cell>
          <cell r="I1239">
            <v>0</v>
          </cell>
          <cell r="J1239">
            <v>0</v>
          </cell>
          <cell r="K1239">
            <v>0</v>
          </cell>
          <cell r="L1239">
            <v>0</v>
          </cell>
          <cell r="M1239">
            <v>0</v>
          </cell>
          <cell r="N1239">
            <v>460.45590722009916</v>
          </cell>
          <cell r="O1239">
            <v>459.12757394112066</v>
          </cell>
          <cell r="P1239">
            <v>457.30831858577329</v>
          </cell>
          <cell r="Q1239">
            <v>455.00040989896235</v>
          </cell>
          <cell r="R1239">
            <v>452.2061166255948</v>
          </cell>
          <cell r="S1239">
            <v>448.92770751058737</v>
          </cell>
          <cell r="T1239">
            <v>446.16747267457447</v>
          </cell>
          <cell r="U1239">
            <v>443.07497829745427</v>
          </cell>
          <cell r="V1239">
            <v>439.65116343215152</v>
          </cell>
          <cell r="W1239">
            <v>435.89696713157514</v>
          </cell>
          <cell r="X1239">
            <v>431.81332844864443</v>
          </cell>
          <cell r="Y1239">
            <v>427.72629833946576</v>
          </cell>
          <cell r="Z1239">
            <v>423.48391398229762</v>
          </cell>
          <cell r="AA1239">
            <v>419.08560405605732</v>
          </cell>
          <cell r="AB1239">
            <v>414.53079723965135</v>
          </cell>
          <cell r="AC1239">
            <v>409.81892221199467</v>
          </cell>
          <cell r="AD1239">
            <v>405.97996364206551</v>
          </cell>
          <cell r="AE1239">
            <v>402.07139778797369</v>
          </cell>
          <cell r="AF1239">
            <v>398.09268948133888</v>
          </cell>
          <cell r="AG1239">
            <v>394.04330355378045</v>
          </cell>
          <cell r="AH1239">
            <v>389.92270483691755</v>
          </cell>
        </row>
        <row r="1240">
          <cell r="B1240" t="str">
            <v>Bio-oil (HTL) - Feedstock cost - Middle East - USD/ton fuel</v>
          </cell>
          <cell r="G1240">
            <v>0</v>
          </cell>
          <cell r="H1240">
            <v>0</v>
          </cell>
          <cell r="I1240">
            <v>0</v>
          </cell>
          <cell r="J1240">
            <v>0</v>
          </cell>
          <cell r="K1240">
            <v>0</v>
          </cell>
          <cell r="L1240">
            <v>0</v>
          </cell>
          <cell r="M1240">
            <v>0</v>
          </cell>
          <cell r="N1240">
            <v>450.91157994005334</v>
          </cell>
          <cell r="O1240">
            <v>449.31848023644221</v>
          </cell>
          <cell r="P1240">
            <v>447.24534228591898</v>
          </cell>
          <cell r="Q1240">
            <v>444.69463951315123</v>
          </cell>
          <cell r="R1240">
            <v>441.66884534280695</v>
          </cell>
          <cell r="S1240">
            <v>438.17043319956065</v>
          </cell>
          <cell r="T1240">
            <v>435.94831099876905</v>
          </cell>
          <cell r="U1240">
            <v>433.39775919518604</v>
          </cell>
          <cell r="V1240">
            <v>430.51963752856233</v>
          </cell>
          <cell r="W1240">
            <v>427.31480573863365</v>
          </cell>
          <cell r="X1240">
            <v>423.78412356514622</v>
          </cell>
          <cell r="Y1240">
            <v>419.60906398030409</v>
          </cell>
          <cell r="Z1240">
            <v>415.27963526196964</v>
          </cell>
          <cell r="AA1240">
            <v>410.79519622925375</v>
          </cell>
          <cell r="AB1240">
            <v>406.15510570126003</v>
          </cell>
          <cell r="AC1240">
            <v>401.35872249709678</v>
          </cell>
          <cell r="AD1240">
            <v>397.80651180733514</v>
          </cell>
          <cell r="AE1240">
            <v>394.17483644120534</v>
          </cell>
          <cell r="AF1240">
            <v>390.46331112564695</v>
          </cell>
          <cell r="AG1240">
            <v>386.67155058760017</v>
          </cell>
          <cell r="AH1240">
            <v>382.799169554005</v>
          </cell>
        </row>
        <row r="1242">
          <cell r="B1242" t="str">
            <v>Bio-oil (Pyrolysis) - Item - Region - Unit</v>
          </cell>
          <cell r="G1242">
            <v>2023</v>
          </cell>
          <cell r="H1242">
            <v>2024</v>
          </cell>
          <cell r="I1242">
            <v>2025</v>
          </cell>
          <cell r="J1242">
            <v>2026</v>
          </cell>
          <cell r="K1242">
            <v>2027</v>
          </cell>
          <cell r="L1242">
            <v>2028</v>
          </cell>
          <cell r="M1242">
            <v>2029</v>
          </cell>
          <cell r="N1242">
            <v>2030</v>
          </cell>
          <cell r="O1242">
            <v>2031</v>
          </cell>
          <cell r="P1242">
            <v>2032</v>
          </cell>
          <cell r="Q1242">
            <v>2033</v>
          </cell>
          <cell r="R1242">
            <v>2034</v>
          </cell>
          <cell r="S1242">
            <v>2035</v>
          </cell>
          <cell r="T1242">
            <v>2036</v>
          </cell>
          <cell r="U1242">
            <v>2037</v>
          </cell>
          <cell r="V1242">
            <v>2038</v>
          </cell>
          <cell r="W1242">
            <v>2039</v>
          </cell>
          <cell r="X1242">
            <v>2040</v>
          </cell>
          <cell r="Y1242">
            <v>2041</v>
          </cell>
          <cell r="Z1242">
            <v>2042</v>
          </cell>
          <cell r="AA1242">
            <v>2043</v>
          </cell>
          <cell r="AB1242">
            <v>2044</v>
          </cell>
          <cell r="AC1242">
            <v>2045</v>
          </cell>
          <cell r="AD1242">
            <v>2046</v>
          </cell>
          <cell r="AE1242">
            <v>2047</v>
          </cell>
          <cell r="AF1242">
            <v>2048</v>
          </cell>
          <cell r="AG1242">
            <v>2049</v>
          </cell>
          <cell r="AH1242">
            <v>2050</v>
          </cell>
        </row>
        <row r="1243">
          <cell r="B1243" t="str">
            <v>Bio-oil (Pyrolysis) - Total cost - Africa - USD/ton fuel</v>
          </cell>
          <cell r="G1243">
            <v>0</v>
          </cell>
          <cell r="H1243">
            <v>0</v>
          </cell>
          <cell r="I1243">
            <v>0</v>
          </cell>
          <cell r="J1243">
            <v>0</v>
          </cell>
          <cell r="K1243">
            <v>0</v>
          </cell>
          <cell r="L1243">
            <v>0</v>
          </cell>
          <cell r="M1243">
            <v>0</v>
          </cell>
          <cell r="N1243">
            <v>1205.8572347903994</v>
          </cell>
          <cell r="O1243">
            <v>1196.5101819418062</v>
          </cell>
          <cell r="P1243">
            <v>1186.1781738363345</v>
          </cell>
          <cell r="Q1243">
            <v>1174.8684077467158</v>
          </cell>
          <cell r="R1243">
            <v>1162.5880809456987</v>
          </cell>
          <cell r="S1243">
            <v>1149.3443907060403</v>
          </cell>
          <cell r="T1243">
            <v>1143.0493417595849</v>
          </cell>
          <cell r="U1243">
            <v>1136.0768407067326</v>
          </cell>
          <cell r="V1243">
            <v>1128.4292360449385</v>
          </cell>
          <cell r="W1243">
            <v>1120.108876271629</v>
          </cell>
          <cell r="X1243">
            <v>1111.1181098842517</v>
          </cell>
          <cell r="Y1243">
            <v>1101.8214945291136</v>
          </cell>
          <cell r="Z1243">
            <v>1092.2103061095904</v>
          </cell>
          <cell r="AA1243">
            <v>1082.2831712876882</v>
          </cell>
          <cell r="AB1243">
            <v>1072.0387167254005</v>
          </cell>
          <cell r="AC1243">
            <v>1061.4755690847292</v>
          </cell>
          <cell r="AD1243">
            <v>1053.6915483717087</v>
          </cell>
          <cell r="AE1243">
            <v>1045.7498352050902</v>
          </cell>
          <cell r="AF1243">
            <v>1037.6495641810736</v>
          </cell>
          <cell r="AG1243">
            <v>1029.3898698958633</v>
          </cell>
          <cell r="AH1243">
            <v>1020.9698869456644</v>
          </cell>
        </row>
        <row r="1244">
          <cell r="B1244" t="str">
            <v>Bio-oil (Pyrolysis) - Total cost - Americas - USD/ton fuel</v>
          </cell>
          <cell r="G1244">
            <v>0</v>
          </cell>
          <cell r="H1244">
            <v>0</v>
          </cell>
          <cell r="I1244">
            <v>0</v>
          </cell>
          <cell r="J1244">
            <v>0</v>
          </cell>
          <cell r="K1244">
            <v>0</v>
          </cell>
          <cell r="L1244">
            <v>0</v>
          </cell>
          <cell r="M1244">
            <v>0</v>
          </cell>
          <cell r="N1244">
            <v>1031.9153760178683</v>
          </cell>
          <cell r="O1244">
            <v>1024.6305249622953</v>
          </cell>
          <cell r="P1244">
            <v>1016.332621374733</v>
          </cell>
          <cell r="Q1244">
            <v>1007.0258342806187</v>
          </cell>
          <cell r="R1244">
            <v>996.71433270538978</v>
          </cell>
          <cell r="S1244">
            <v>985.40228567450015</v>
          </cell>
          <cell r="T1244">
            <v>978.56056187949434</v>
          </cell>
          <cell r="U1244">
            <v>971.04768312368378</v>
          </cell>
          <cell r="V1244">
            <v>962.86599227290606</v>
          </cell>
          <cell r="W1244">
            <v>954.01783219297215</v>
          </cell>
          <cell r="X1244">
            <v>944.50554574970852</v>
          </cell>
          <cell r="Y1244">
            <v>937.70816184541729</v>
          </cell>
          <cell r="Z1244">
            <v>930.54219799920634</v>
          </cell>
          <cell r="AA1244">
            <v>923.00711743881675</v>
          </cell>
          <cell r="AB1244">
            <v>915.1023833919711</v>
          </cell>
          <cell r="AC1244">
            <v>906.82745908640732</v>
          </cell>
          <cell r="AD1244">
            <v>899.07853995226299</v>
          </cell>
          <cell r="AE1244">
            <v>891.15617713729887</v>
          </cell>
          <cell r="AF1244">
            <v>883.0598507392865</v>
          </cell>
          <cell r="AG1244">
            <v>874.78904085599902</v>
          </cell>
          <cell r="AH1244">
            <v>866.34322758520989</v>
          </cell>
        </row>
        <row r="1245">
          <cell r="B1245" t="str">
            <v>Bio-oil (Pyrolysis) - Total cost - Asia - USD/ton fuel</v>
          </cell>
          <cell r="G1245">
            <v>0</v>
          </cell>
          <cell r="H1245">
            <v>0</v>
          </cell>
          <cell r="I1245">
            <v>0</v>
          </cell>
          <cell r="J1245">
            <v>0</v>
          </cell>
          <cell r="K1245">
            <v>0</v>
          </cell>
          <cell r="L1245">
            <v>0</v>
          </cell>
          <cell r="M1245">
            <v>0</v>
          </cell>
          <cell r="N1245">
            <v>1074.1925634144241</v>
          </cell>
          <cell r="O1245">
            <v>1061.2681888247887</v>
          </cell>
          <cell r="P1245">
            <v>1047.3711373155029</v>
          </cell>
          <cell r="Q1245">
            <v>1032.5107942419595</v>
          </cell>
          <cell r="R1245">
            <v>1016.6965449595452</v>
          </cell>
          <cell r="S1245">
            <v>999.93777482367886</v>
          </cell>
          <cell r="T1245">
            <v>991.79500858533493</v>
          </cell>
          <cell r="U1245">
            <v>982.98833434054654</v>
          </cell>
          <cell r="V1245">
            <v>973.52106012401543</v>
          </cell>
          <cell r="W1245">
            <v>963.39649397040489</v>
          </cell>
          <cell r="X1245">
            <v>952.61794391440799</v>
          </cell>
          <cell r="Y1245">
            <v>940.54378792104512</v>
          </cell>
          <cell r="Z1245">
            <v>928.19582001231583</v>
          </cell>
          <cell r="AA1245">
            <v>915.57207101630274</v>
          </cell>
          <cell r="AB1245">
            <v>902.67057176107505</v>
          </cell>
          <cell r="AC1245">
            <v>889.48935307471083</v>
          </cell>
          <cell r="AD1245">
            <v>880.86056568715776</v>
          </cell>
          <cell r="AE1245">
            <v>872.09003186399514</v>
          </cell>
          <cell r="AF1245">
            <v>863.17659224541399</v>
          </cell>
          <cell r="AG1245">
            <v>854.11908747160624</v>
          </cell>
          <cell r="AH1245">
            <v>844.91635818276359</v>
          </cell>
        </row>
        <row r="1246">
          <cell r="B1246" t="str">
            <v>Bio-oil (Pyrolysis) - Total cost - Europe - USD/ton fuel</v>
          </cell>
          <cell r="G1246">
            <v>0</v>
          </cell>
          <cell r="H1246">
            <v>0</v>
          </cell>
          <cell r="I1246">
            <v>0</v>
          </cell>
          <cell r="J1246">
            <v>0</v>
          </cell>
          <cell r="K1246">
            <v>0</v>
          </cell>
          <cell r="L1246">
            <v>0</v>
          </cell>
          <cell r="M1246">
            <v>0</v>
          </cell>
          <cell r="N1246">
            <v>1127.9284970918402</v>
          </cell>
          <cell r="O1246">
            <v>1120.5073017144762</v>
          </cell>
          <cell r="P1246">
            <v>1112.0649884182671</v>
          </cell>
          <cell r="Q1246">
            <v>1102.6062761926114</v>
          </cell>
          <cell r="R1246">
            <v>1092.1358840269183</v>
          </cell>
          <cell r="S1246">
            <v>1080.6585309106149</v>
          </cell>
          <cell r="T1246">
            <v>1074.0450772794061</v>
          </cell>
          <cell r="U1246">
            <v>1066.7405238026934</v>
          </cell>
          <cell r="V1246">
            <v>1058.7468237105609</v>
          </cell>
          <cell r="W1246">
            <v>1050.0659302330598</v>
          </cell>
          <cell r="X1246">
            <v>1040.6997966002609</v>
          </cell>
          <cell r="Y1246">
            <v>1031.6474111341922</v>
          </cell>
          <cell r="Z1246">
            <v>1022.2718888323058</v>
          </cell>
          <cell r="AA1246">
            <v>1012.5720413467486</v>
          </cell>
          <cell r="AB1246">
            <v>1002.546680329647</v>
          </cell>
          <cell r="AC1246">
            <v>992.19461743314446</v>
          </cell>
          <cell r="AD1246">
            <v>983.72872230414555</v>
          </cell>
          <cell r="AE1246">
            <v>975.1180440240887</v>
          </cell>
          <cell r="AF1246">
            <v>966.36146944274219</v>
          </cell>
          <cell r="AG1246">
            <v>957.45788540987428</v>
          </cell>
          <cell r="AH1246">
            <v>948.40617877525358</v>
          </cell>
        </row>
        <row r="1247">
          <cell r="B1247" t="str">
            <v>Bio-oil (Pyrolysis) - Total cost - Middle East - USD/ton fuel</v>
          </cell>
          <cell r="G1247">
            <v>0</v>
          </cell>
          <cell r="H1247">
            <v>0</v>
          </cell>
          <cell r="I1247">
            <v>0</v>
          </cell>
          <cell r="J1247">
            <v>0</v>
          </cell>
          <cell r="K1247">
            <v>0</v>
          </cell>
          <cell r="L1247">
            <v>0</v>
          </cell>
          <cell r="M1247">
            <v>0</v>
          </cell>
          <cell r="N1247">
            <v>1127.396548774869</v>
          </cell>
          <cell r="O1247">
            <v>1119.0499903792877</v>
          </cell>
          <cell r="P1247">
            <v>1109.7049524301312</v>
          </cell>
          <cell r="Q1247">
            <v>1099.3665796507039</v>
          </cell>
          <cell r="R1247">
            <v>1088.0400167643174</v>
          </cell>
          <cell r="S1247">
            <v>1075.7304084942953</v>
          </cell>
          <cell r="T1247">
            <v>1070.5946346838011</v>
          </cell>
          <cell r="U1247">
            <v>1064.7757272995009</v>
          </cell>
          <cell r="V1247">
            <v>1058.2754746000755</v>
          </cell>
          <cell r="W1247">
            <v>1051.0956648441766</v>
          </cell>
          <cell r="X1247">
            <v>1043.2380862904747</v>
          </cell>
          <cell r="Y1247">
            <v>1033.6328959226428</v>
          </cell>
          <cell r="Z1247">
            <v>1023.7066177571471</v>
          </cell>
          <cell r="AA1247">
            <v>1013.4579181377374</v>
          </cell>
          <cell r="AB1247">
            <v>1002.8854634081499</v>
          </cell>
          <cell r="AC1247">
            <v>991.98791991213011</v>
          </cell>
          <cell r="AD1247">
            <v>983.83392753325302</v>
          </cell>
          <cell r="AE1247">
            <v>975.51464862753039</v>
          </cell>
          <cell r="AF1247">
            <v>967.02928182699588</v>
          </cell>
          <cell r="AG1247">
            <v>958.37702576368542</v>
          </cell>
          <cell r="AH1247">
            <v>949.55707906963494</v>
          </cell>
        </row>
        <row r="1248">
          <cell r="B1248" t="str">
            <v/>
          </cell>
        </row>
        <row r="1249">
          <cell r="B1249" t="str">
            <v>Bio-oil (Pyrolysis) - CAPEX including feedstock CAPEX - Global - USD/ton fuel</v>
          </cell>
          <cell r="G1249" t="e">
            <v>#DIV/0!</v>
          </cell>
          <cell r="H1249" t="e">
            <v>#DIV/0!</v>
          </cell>
          <cell r="I1249" t="e">
            <v>#DIV/0!</v>
          </cell>
          <cell r="J1249" t="e">
            <v>#DIV/0!</v>
          </cell>
          <cell r="K1249" t="e">
            <v>#DIV/0!</v>
          </cell>
          <cell r="L1249" t="e">
            <v>#DIV/0!</v>
          </cell>
          <cell r="M1249" t="e">
            <v>#DIV/0!</v>
          </cell>
          <cell r="N1249">
            <v>77.533333333333331</v>
          </cell>
          <cell r="O1249">
            <v>75.982666666666532</v>
          </cell>
          <cell r="P1249">
            <v>74.432000000000215</v>
          </cell>
          <cell r="Q1249">
            <v>72.881333333333416</v>
          </cell>
          <cell r="R1249">
            <v>71.330666666666602</v>
          </cell>
          <cell r="S1249">
            <v>69.77999999999993</v>
          </cell>
          <cell r="T1249">
            <v>69.263111111111115</v>
          </cell>
          <cell r="U1249">
            <v>68.746222222222187</v>
          </cell>
          <cell r="V1249">
            <v>68.229333333333244</v>
          </cell>
          <cell r="W1249">
            <v>67.712444444444429</v>
          </cell>
          <cell r="X1249">
            <v>67.195555555555501</v>
          </cell>
          <cell r="Y1249">
            <v>66.678666666666558</v>
          </cell>
          <cell r="Z1249">
            <v>66.161777777777758</v>
          </cell>
          <cell r="AA1249">
            <v>65.644888888888815</v>
          </cell>
          <cell r="AB1249">
            <v>65.127999999999886</v>
          </cell>
          <cell r="AC1249">
            <v>64.611111111111072</v>
          </cell>
          <cell r="AD1249">
            <v>64.094222222222143</v>
          </cell>
          <cell r="AE1249">
            <v>63.577333333333321</v>
          </cell>
          <cell r="AF1249">
            <v>63.060444444444393</v>
          </cell>
          <cell r="AG1249">
            <v>62.543555555555457</v>
          </cell>
          <cell r="AH1249">
            <v>62.026666666666642</v>
          </cell>
        </row>
        <row r="1250">
          <cell r="B1250" t="str">
            <v>Bio-oil (Pyrolysis) - CAPEX - Global - USD/ton fuel</v>
          </cell>
          <cell r="G1250" t="e">
            <v>#DIV/0!</v>
          </cell>
          <cell r="H1250" t="e">
            <v>#DIV/0!</v>
          </cell>
          <cell r="I1250" t="e">
            <v>#DIV/0!</v>
          </cell>
          <cell r="J1250" t="e">
            <v>#DIV/0!</v>
          </cell>
          <cell r="K1250" t="e">
            <v>#DIV/0!</v>
          </cell>
          <cell r="L1250" t="e">
            <v>#DIV/0!</v>
          </cell>
          <cell r="M1250" t="e">
            <v>#DIV/0!</v>
          </cell>
          <cell r="N1250">
            <v>77.533333333333331</v>
          </cell>
          <cell r="O1250">
            <v>75.982666666666532</v>
          </cell>
          <cell r="P1250">
            <v>74.432000000000215</v>
          </cell>
          <cell r="Q1250">
            <v>72.881333333333416</v>
          </cell>
          <cell r="R1250">
            <v>71.330666666666602</v>
          </cell>
          <cell r="S1250">
            <v>69.77999999999993</v>
          </cell>
          <cell r="T1250">
            <v>69.263111111111115</v>
          </cell>
          <cell r="U1250">
            <v>68.746222222222187</v>
          </cell>
          <cell r="V1250">
            <v>68.229333333333244</v>
          </cell>
          <cell r="W1250">
            <v>67.712444444444429</v>
          </cell>
          <cell r="X1250">
            <v>67.195555555555501</v>
          </cell>
          <cell r="Y1250">
            <v>66.678666666666558</v>
          </cell>
          <cell r="Z1250">
            <v>66.161777777777758</v>
          </cell>
          <cell r="AA1250">
            <v>65.644888888888815</v>
          </cell>
          <cell r="AB1250">
            <v>65.127999999999886</v>
          </cell>
          <cell r="AC1250">
            <v>64.611111111111072</v>
          </cell>
          <cell r="AD1250">
            <v>64.094222222222143</v>
          </cell>
          <cell r="AE1250">
            <v>63.577333333333321</v>
          </cell>
          <cell r="AF1250">
            <v>63.060444444444393</v>
          </cell>
          <cell r="AG1250">
            <v>62.543555555555457</v>
          </cell>
          <cell r="AH1250">
            <v>62.026666666666642</v>
          </cell>
        </row>
        <row r="1251">
          <cell r="B1251" t="str">
            <v/>
          </cell>
        </row>
        <row r="1252">
          <cell r="B1252" t="str">
            <v>Bio-oil (Pyrolysis) - OPEX including feedstock OPEX - Global - USD/ton fuel</v>
          </cell>
          <cell r="G1252">
            <v>0</v>
          </cell>
          <cell r="H1252">
            <v>0</v>
          </cell>
          <cell r="I1252">
            <v>0</v>
          </cell>
          <cell r="J1252">
            <v>0</v>
          </cell>
          <cell r="K1252">
            <v>0</v>
          </cell>
          <cell r="L1252">
            <v>0</v>
          </cell>
          <cell r="M1252">
            <v>0</v>
          </cell>
          <cell r="N1252">
            <v>91.493268053855545</v>
          </cell>
          <cell r="O1252">
            <v>89.663402692778277</v>
          </cell>
          <cell r="P1252">
            <v>87.833537331701578</v>
          </cell>
          <cell r="Q1252">
            <v>86.003671970624296</v>
          </cell>
          <cell r="R1252">
            <v>84.173806609547029</v>
          </cell>
          <cell r="S1252">
            <v>82.343941248469903</v>
          </cell>
          <cell r="T1252">
            <v>81.733986128110956</v>
          </cell>
          <cell r="U1252">
            <v>81.124031007751867</v>
          </cell>
          <cell r="V1252">
            <v>80.514075887392778</v>
          </cell>
          <cell r="W1252">
            <v>79.904120767033831</v>
          </cell>
          <cell r="X1252">
            <v>79.294165646674742</v>
          </cell>
          <cell r="Y1252">
            <v>78.684210526315653</v>
          </cell>
          <cell r="Z1252">
            <v>78.074255405956706</v>
          </cell>
          <cell r="AA1252">
            <v>77.464300285597616</v>
          </cell>
          <cell r="AB1252">
            <v>76.854345165238513</v>
          </cell>
          <cell r="AC1252">
            <v>76.244390044879566</v>
          </cell>
          <cell r="AD1252">
            <v>75.634434924520477</v>
          </cell>
          <cell r="AE1252">
            <v>75.02447980416153</v>
          </cell>
          <cell r="AF1252">
            <v>74.414524683802441</v>
          </cell>
          <cell r="AG1252">
            <v>73.804569563443351</v>
          </cell>
          <cell r="AH1252">
            <v>73.194614443084404</v>
          </cell>
        </row>
        <row r="1253">
          <cell r="B1253" t="str">
            <v>Bio-oil (Pyrolysis) - OPEX - Global - USD/ton fuel</v>
          </cell>
          <cell r="G1253">
            <v>0</v>
          </cell>
          <cell r="H1253">
            <v>0</v>
          </cell>
          <cell r="I1253">
            <v>0</v>
          </cell>
          <cell r="J1253">
            <v>0</v>
          </cell>
          <cell r="K1253">
            <v>0</v>
          </cell>
          <cell r="L1253">
            <v>0</v>
          </cell>
          <cell r="M1253">
            <v>0</v>
          </cell>
          <cell r="N1253">
            <v>91.493268053855545</v>
          </cell>
          <cell r="O1253">
            <v>89.663402692778277</v>
          </cell>
          <cell r="P1253">
            <v>87.833537331701578</v>
          </cell>
          <cell r="Q1253">
            <v>86.003671970624296</v>
          </cell>
          <cell r="R1253">
            <v>84.173806609547029</v>
          </cell>
          <cell r="S1253">
            <v>82.343941248469903</v>
          </cell>
          <cell r="T1253">
            <v>81.733986128110956</v>
          </cell>
          <cell r="U1253">
            <v>81.124031007751867</v>
          </cell>
          <cell r="V1253">
            <v>80.514075887392778</v>
          </cell>
          <cell r="W1253">
            <v>79.904120767033831</v>
          </cell>
          <cell r="X1253">
            <v>79.294165646674742</v>
          </cell>
          <cell r="Y1253">
            <v>78.684210526315653</v>
          </cell>
          <cell r="Z1253">
            <v>78.074255405956706</v>
          </cell>
          <cell r="AA1253">
            <v>77.464300285597616</v>
          </cell>
          <cell r="AB1253">
            <v>76.854345165238513</v>
          </cell>
          <cell r="AC1253">
            <v>76.244390044879566</v>
          </cell>
          <cell r="AD1253">
            <v>75.634434924520477</v>
          </cell>
          <cell r="AE1253">
            <v>75.02447980416153</v>
          </cell>
          <cell r="AF1253">
            <v>74.414524683802441</v>
          </cell>
          <cell r="AG1253">
            <v>73.804569563443351</v>
          </cell>
          <cell r="AH1253">
            <v>73.194614443084404</v>
          </cell>
        </row>
        <row r="1254">
          <cell r="B1254" t="str">
            <v/>
          </cell>
        </row>
        <row r="1255">
          <cell r="B1255" t="str">
            <v>Bio-oil (Pyrolysis) - Finance cost including feedstock finance cost - Africa - USD/ton fuel</v>
          </cell>
          <cell r="G1255">
            <v>0</v>
          </cell>
          <cell r="H1255">
            <v>0</v>
          </cell>
          <cell r="I1255">
            <v>0</v>
          </cell>
          <cell r="J1255">
            <v>0</v>
          </cell>
          <cell r="K1255">
            <v>0</v>
          </cell>
          <cell r="L1255">
            <v>0</v>
          </cell>
          <cell r="M1255">
            <v>0</v>
          </cell>
          <cell r="N1255">
            <v>127.93000000000002</v>
          </cell>
          <cell r="O1255">
            <v>125.3713999999998</v>
          </cell>
          <cell r="P1255">
            <v>122.81280000000037</v>
          </cell>
          <cell r="Q1255">
            <v>120.25420000000014</v>
          </cell>
          <cell r="R1255">
            <v>117.69559999999991</v>
          </cell>
          <cell r="S1255">
            <v>115.1369999999999</v>
          </cell>
          <cell r="T1255">
            <v>114.28413333333336</v>
          </cell>
          <cell r="U1255">
            <v>113.43126666666662</v>
          </cell>
          <cell r="V1255">
            <v>112.57839999999987</v>
          </cell>
          <cell r="W1255">
            <v>111.72553333333333</v>
          </cell>
          <cell r="X1255">
            <v>110.87266666666659</v>
          </cell>
          <cell r="Y1255">
            <v>110.01979999999985</v>
          </cell>
          <cell r="Z1255">
            <v>109.1669333333333</v>
          </cell>
          <cell r="AA1255">
            <v>108.31406666666656</v>
          </cell>
          <cell r="AB1255">
            <v>107.46119999999982</v>
          </cell>
          <cell r="AC1255">
            <v>106.60833333333328</v>
          </cell>
          <cell r="AD1255">
            <v>105.75546666666654</v>
          </cell>
          <cell r="AE1255">
            <v>104.90259999999999</v>
          </cell>
          <cell r="AF1255">
            <v>104.04973333333325</v>
          </cell>
          <cell r="AG1255">
            <v>103.19686666666651</v>
          </cell>
          <cell r="AH1255">
            <v>102.34399999999998</v>
          </cell>
        </row>
        <row r="1256">
          <cell r="B1256" t="str">
            <v>Bio-oil (Pyrolysis) - Finance cost including feedstock finance cost - Americas - USD/ton fuel</v>
          </cell>
          <cell r="G1256">
            <v>0</v>
          </cell>
          <cell r="H1256">
            <v>0</v>
          </cell>
          <cell r="I1256">
            <v>0</v>
          </cell>
          <cell r="J1256">
            <v>0</v>
          </cell>
          <cell r="K1256">
            <v>0</v>
          </cell>
          <cell r="L1256">
            <v>0</v>
          </cell>
          <cell r="M1256">
            <v>0</v>
          </cell>
          <cell r="N1256">
            <v>127.93000000000002</v>
          </cell>
          <cell r="O1256">
            <v>125.3713999999998</v>
          </cell>
          <cell r="P1256">
            <v>122.81280000000037</v>
          </cell>
          <cell r="Q1256">
            <v>120.25420000000014</v>
          </cell>
          <cell r="R1256">
            <v>117.69559999999991</v>
          </cell>
          <cell r="S1256">
            <v>115.1369999999999</v>
          </cell>
          <cell r="T1256">
            <v>114.28413333333336</v>
          </cell>
          <cell r="U1256">
            <v>113.43126666666662</v>
          </cell>
          <cell r="V1256">
            <v>112.57839999999987</v>
          </cell>
          <cell r="W1256">
            <v>111.72553333333333</v>
          </cell>
          <cell r="X1256">
            <v>110.87266666666659</v>
          </cell>
          <cell r="Y1256">
            <v>110.01979999999985</v>
          </cell>
          <cell r="Z1256">
            <v>109.1669333333333</v>
          </cell>
          <cell r="AA1256">
            <v>108.31406666666656</v>
          </cell>
          <cell r="AB1256">
            <v>107.46119999999982</v>
          </cell>
          <cell r="AC1256">
            <v>106.60833333333328</v>
          </cell>
          <cell r="AD1256">
            <v>105.75546666666654</v>
          </cell>
          <cell r="AE1256">
            <v>104.90259999999999</v>
          </cell>
          <cell r="AF1256">
            <v>104.04973333333325</v>
          </cell>
          <cell r="AG1256">
            <v>103.19686666666651</v>
          </cell>
          <cell r="AH1256">
            <v>102.34399999999998</v>
          </cell>
        </row>
        <row r="1257">
          <cell r="B1257" t="str">
            <v>Bio-oil (Pyrolysis) - Finance cost including feedstock finance cost - Asia - USD/ton fuel</v>
          </cell>
          <cell r="G1257">
            <v>0</v>
          </cell>
          <cell r="H1257">
            <v>0</v>
          </cell>
          <cell r="I1257">
            <v>0</v>
          </cell>
          <cell r="J1257">
            <v>0</v>
          </cell>
          <cell r="K1257">
            <v>0</v>
          </cell>
          <cell r="L1257">
            <v>0</v>
          </cell>
          <cell r="M1257">
            <v>0</v>
          </cell>
          <cell r="N1257">
            <v>127.93000000000002</v>
          </cell>
          <cell r="O1257">
            <v>125.3713999999998</v>
          </cell>
          <cell r="P1257">
            <v>122.81280000000037</v>
          </cell>
          <cell r="Q1257">
            <v>120.25420000000014</v>
          </cell>
          <cell r="R1257">
            <v>117.69559999999991</v>
          </cell>
          <cell r="S1257">
            <v>115.1369999999999</v>
          </cell>
          <cell r="T1257">
            <v>114.28413333333336</v>
          </cell>
          <cell r="U1257">
            <v>113.43126666666662</v>
          </cell>
          <cell r="V1257">
            <v>112.57839999999987</v>
          </cell>
          <cell r="W1257">
            <v>111.72553333333333</v>
          </cell>
          <cell r="X1257">
            <v>110.87266666666659</v>
          </cell>
          <cell r="Y1257">
            <v>110.01979999999985</v>
          </cell>
          <cell r="Z1257">
            <v>109.1669333333333</v>
          </cell>
          <cell r="AA1257">
            <v>108.31406666666656</v>
          </cell>
          <cell r="AB1257">
            <v>107.46119999999982</v>
          </cell>
          <cell r="AC1257">
            <v>106.60833333333328</v>
          </cell>
          <cell r="AD1257">
            <v>105.75546666666654</v>
          </cell>
          <cell r="AE1257">
            <v>104.90259999999999</v>
          </cell>
          <cell r="AF1257">
            <v>104.04973333333325</v>
          </cell>
          <cell r="AG1257">
            <v>103.19686666666651</v>
          </cell>
          <cell r="AH1257">
            <v>102.34399999999998</v>
          </cell>
        </row>
        <row r="1258">
          <cell r="B1258" t="str">
            <v>Bio-oil (Pyrolysis) - Finance cost including feedstock finance cost - Europe - USD/ton fuel</v>
          </cell>
          <cell r="G1258">
            <v>0</v>
          </cell>
          <cell r="H1258">
            <v>0</v>
          </cell>
          <cell r="I1258">
            <v>0</v>
          </cell>
          <cell r="J1258">
            <v>0</v>
          </cell>
          <cell r="K1258">
            <v>0</v>
          </cell>
          <cell r="L1258">
            <v>0</v>
          </cell>
          <cell r="M1258">
            <v>0</v>
          </cell>
          <cell r="N1258">
            <v>127.93000000000002</v>
          </cell>
          <cell r="O1258">
            <v>125.3713999999998</v>
          </cell>
          <cell r="P1258">
            <v>122.81280000000037</v>
          </cell>
          <cell r="Q1258">
            <v>120.25420000000014</v>
          </cell>
          <cell r="R1258">
            <v>117.69559999999991</v>
          </cell>
          <cell r="S1258">
            <v>115.1369999999999</v>
          </cell>
          <cell r="T1258">
            <v>114.28413333333336</v>
          </cell>
          <cell r="U1258">
            <v>113.43126666666662</v>
          </cell>
          <cell r="V1258">
            <v>112.57839999999987</v>
          </cell>
          <cell r="W1258">
            <v>111.72553333333333</v>
          </cell>
          <cell r="X1258">
            <v>110.87266666666659</v>
          </cell>
          <cell r="Y1258">
            <v>110.01979999999985</v>
          </cell>
          <cell r="Z1258">
            <v>109.1669333333333</v>
          </cell>
          <cell r="AA1258">
            <v>108.31406666666656</v>
          </cell>
          <cell r="AB1258">
            <v>107.46119999999982</v>
          </cell>
          <cell r="AC1258">
            <v>106.60833333333328</v>
          </cell>
          <cell r="AD1258">
            <v>105.75546666666654</v>
          </cell>
          <cell r="AE1258">
            <v>104.90259999999999</v>
          </cell>
          <cell r="AF1258">
            <v>104.04973333333325</v>
          </cell>
          <cell r="AG1258">
            <v>103.19686666666651</v>
          </cell>
          <cell r="AH1258">
            <v>102.34399999999998</v>
          </cell>
        </row>
        <row r="1259">
          <cell r="B1259" t="str">
            <v>Bio-oil (Pyrolysis) - Finance cost including feedstock finance cost - Middle East - USD/ton fuel</v>
          </cell>
          <cell r="G1259">
            <v>0</v>
          </cell>
          <cell r="H1259">
            <v>0</v>
          </cell>
          <cell r="I1259">
            <v>0</v>
          </cell>
          <cell r="J1259">
            <v>0</v>
          </cell>
          <cell r="K1259">
            <v>0</v>
          </cell>
          <cell r="L1259">
            <v>0</v>
          </cell>
          <cell r="M1259">
            <v>0</v>
          </cell>
          <cell r="N1259">
            <v>127.93000000000002</v>
          </cell>
          <cell r="O1259">
            <v>125.3713999999998</v>
          </cell>
          <cell r="P1259">
            <v>122.81280000000037</v>
          </cell>
          <cell r="Q1259">
            <v>120.25420000000014</v>
          </cell>
          <cell r="R1259">
            <v>117.69559999999991</v>
          </cell>
          <cell r="S1259">
            <v>115.1369999999999</v>
          </cell>
          <cell r="T1259">
            <v>114.28413333333336</v>
          </cell>
          <cell r="U1259">
            <v>113.43126666666662</v>
          </cell>
          <cell r="V1259">
            <v>112.57839999999987</v>
          </cell>
          <cell r="W1259">
            <v>111.72553333333333</v>
          </cell>
          <cell r="X1259">
            <v>110.87266666666659</v>
          </cell>
          <cell r="Y1259">
            <v>110.01979999999985</v>
          </cell>
          <cell r="Z1259">
            <v>109.1669333333333</v>
          </cell>
          <cell r="AA1259">
            <v>108.31406666666656</v>
          </cell>
          <cell r="AB1259">
            <v>107.46119999999982</v>
          </cell>
          <cell r="AC1259">
            <v>106.60833333333328</v>
          </cell>
          <cell r="AD1259">
            <v>105.75546666666654</v>
          </cell>
          <cell r="AE1259">
            <v>104.90259999999999</v>
          </cell>
          <cell r="AF1259">
            <v>104.04973333333325</v>
          </cell>
          <cell r="AG1259">
            <v>103.19686666666651</v>
          </cell>
          <cell r="AH1259">
            <v>102.34399999999998</v>
          </cell>
        </row>
        <row r="1260">
          <cell r="B1260" t="str">
            <v>Bio-oil (Pyrolysis) - Finance cost - Africa - USD/ton fuel</v>
          </cell>
          <cell r="G1260">
            <v>0</v>
          </cell>
          <cell r="H1260">
            <v>0</v>
          </cell>
          <cell r="I1260">
            <v>0</v>
          </cell>
          <cell r="J1260">
            <v>0</v>
          </cell>
          <cell r="K1260">
            <v>0</v>
          </cell>
          <cell r="L1260">
            <v>0</v>
          </cell>
          <cell r="M1260">
            <v>0</v>
          </cell>
          <cell r="N1260">
            <v>127.93000000000002</v>
          </cell>
          <cell r="O1260">
            <v>125.3713999999998</v>
          </cell>
          <cell r="P1260">
            <v>122.81280000000037</v>
          </cell>
          <cell r="Q1260">
            <v>120.25420000000014</v>
          </cell>
          <cell r="R1260">
            <v>117.69559999999991</v>
          </cell>
          <cell r="S1260">
            <v>115.1369999999999</v>
          </cell>
          <cell r="T1260">
            <v>114.28413333333336</v>
          </cell>
          <cell r="U1260">
            <v>113.43126666666662</v>
          </cell>
          <cell r="V1260">
            <v>112.57839999999987</v>
          </cell>
          <cell r="W1260">
            <v>111.72553333333333</v>
          </cell>
          <cell r="X1260">
            <v>110.87266666666659</v>
          </cell>
          <cell r="Y1260">
            <v>110.01979999999985</v>
          </cell>
          <cell r="Z1260">
            <v>109.1669333333333</v>
          </cell>
          <cell r="AA1260">
            <v>108.31406666666656</v>
          </cell>
          <cell r="AB1260">
            <v>107.46119999999982</v>
          </cell>
          <cell r="AC1260">
            <v>106.60833333333328</v>
          </cell>
          <cell r="AD1260">
            <v>105.75546666666654</v>
          </cell>
          <cell r="AE1260">
            <v>104.90259999999999</v>
          </cell>
          <cell r="AF1260">
            <v>104.04973333333325</v>
          </cell>
          <cell r="AG1260">
            <v>103.19686666666651</v>
          </cell>
          <cell r="AH1260">
            <v>102.34399999999998</v>
          </cell>
        </row>
        <row r="1261">
          <cell r="B1261" t="str">
            <v>Bio-oil (Pyrolysis) - Finance cost - Americas - USD/ton fuel</v>
          </cell>
          <cell r="G1261">
            <v>0</v>
          </cell>
          <cell r="H1261">
            <v>0</v>
          </cell>
          <cell r="I1261">
            <v>0</v>
          </cell>
          <cell r="J1261">
            <v>0</v>
          </cell>
          <cell r="K1261">
            <v>0</v>
          </cell>
          <cell r="L1261">
            <v>0</v>
          </cell>
          <cell r="M1261">
            <v>0</v>
          </cell>
          <cell r="N1261">
            <v>127.93000000000002</v>
          </cell>
          <cell r="O1261">
            <v>125.3713999999998</v>
          </cell>
          <cell r="P1261">
            <v>122.81280000000037</v>
          </cell>
          <cell r="Q1261">
            <v>120.25420000000014</v>
          </cell>
          <cell r="R1261">
            <v>117.69559999999991</v>
          </cell>
          <cell r="S1261">
            <v>115.1369999999999</v>
          </cell>
          <cell r="T1261">
            <v>114.28413333333336</v>
          </cell>
          <cell r="U1261">
            <v>113.43126666666662</v>
          </cell>
          <cell r="V1261">
            <v>112.57839999999987</v>
          </cell>
          <cell r="W1261">
            <v>111.72553333333333</v>
          </cell>
          <cell r="X1261">
            <v>110.87266666666659</v>
          </cell>
          <cell r="Y1261">
            <v>110.01979999999985</v>
          </cell>
          <cell r="Z1261">
            <v>109.1669333333333</v>
          </cell>
          <cell r="AA1261">
            <v>108.31406666666656</v>
          </cell>
          <cell r="AB1261">
            <v>107.46119999999982</v>
          </cell>
          <cell r="AC1261">
            <v>106.60833333333328</v>
          </cell>
          <cell r="AD1261">
            <v>105.75546666666654</v>
          </cell>
          <cell r="AE1261">
            <v>104.90259999999999</v>
          </cell>
          <cell r="AF1261">
            <v>104.04973333333325</v>
          </cell>
          <cell r="AG1261">
            <v>103.19686666666651</v>
          </cell>
          <cell r="AH1261">
            <v>102.34399999999998</v>
          </cell>
        </row>
        <row r="1262">
          <cell r="B1262" t="str">
            <v>Bio-oil (Pyrolysis) - Finance cost - Asia - USD/ton fuel</v>
          </cell>
          <cell r="G1262">
            <v>0</v>
          </cell>
          <cell r="H1262">
            <v>0</v>
          </cell>
          <cell r="I1262">
            <v>0</v>
          </cell>
          <cell r="J1262">
            <v>0</v>
          </cell>
          <cell r="K1262">
            <v>0</v>
          </cell>
          <cell r="L1262">
            <v>0</v>
          </cell>
          <cell r="M1262">
            <v>0</v>
          </cell>
          <cell r="N1262">
            <v>127.93000000000002</v>
          </cell>
          <cell r="O1262">
            <v>125.3713999999998</v>
          </cell>
          <cell r="P1262">
            <v>122.81280000000037</v>
          </cell>
          <cell r="Q1262">
            <v>120.25420000000014</v>
          </cell>
          <cell r="R1262">
            <v>117.69559999999991</v>
          </cell>
          <cell r="S1262">
            <v>115.1369999999999</v>
          </cell>
          <cell r="T1262">
            <v>114.28413333333336</v>
          </cell>
          <cell r="U1262">
            <v>113.43126666666662</v>
          </cell>
          <cell r="V1262">
            <v>112.57839999999987</v>
          </cell>
          <cell r="W1262">
            <v>111.72553333333333</v>
          </cell>
          <cell r="X1262">
            <v>110.87266666666659</v>
          </cell>
          <cell r="Y1262">
            <v>110.01979999999985</v>
          </cell>
          <cell r="Z1262">
            <v>109.1669333333333</v>
          </cell>
          <cell r="AA1262">
            <v>108.31406666666656</v>
          </cell>
          <cell r="AB1262">
            <v>107.46119999999982</v>
          </cell>
          <cell r="AC1262">
            <v>106.60833333333328</v>
          </cell>
          <cell r="AD1262">
            <v>105.75546666666654</v>
          </cell>
          <cell r="AE1262">
            <v>104.90259999999999</v>
          </cell>
          <cell r="AF1262">
            <v>104.04973333333325</v>
          </cell>
          <cell r="AG1262">
            <v>103.19686666666651</v>
          </cell>
          <cell r="AH1262">
            <v>102.34399999999998</v>
          </cell>
        </row>
        <row r="1263">
          <cell r="B1263" t="str">
            <v>Bio-oil (Pyrolysis) - Finance cost - Europe - USD/ton fuel</v>
          </cell>
          <cell r="G1263">
            <v>0</v>
          </cell>
          <cell r="H1263">
            <v>0</v>
          </cell>
          <cell r="I1263">
            <v>0</v>
          </cell>
          <cell r="J1263">
            <v>0</v>
          </cell>
          <cell r="K1263">
            <v>0</v>
          </cell>
          <cell r="L1263">
            <v>0</v>
          </cell>
          <cell r="M1263">
            <v>0</v>
          </cell>
          <cell r="N1263">
            <v>127.93000000000002</v>
          </cell>
          <cell r="O1263">
            <v>125.3713999999998</v>
          </cell>
          <cell r="P1263">
            <v>122.81280000000037</v>
          </cell>
          <cell r="Q1263">
            <v>120.25420000000014</v>
          </cell>
          <cell r="R1263">
            <v>117.69559999999991</v>
          </cell>
          <cell r="S1263">
            <v>115.1369999999999</v>
          </cell>
          <cell r="T1263">
            <v>114.28413333333336</v>
          </cell>
          <cell r="U1263">
            <v>113.43126666666662</v>
          </cell>
          <cell r="V1263">
            <v>112.57839999999987</v>
          </cell>
          <cell r="W1263">
            <v>111.72553333333333</v>
          </cell>
          <cell r="X1263">
            <v>110.87266666666659</v>
          </cell>
          <cell r="Y1263">
            <v>110.01979999999985</v>
          </cell>
          <cell r="Z1263">
            <v>109.1669333333333</v>
          </cell>
          <cell r="AA1263">
            <v>108.31406666666656</v>
          </cell>
          <cell r="AB1263">
            <v>107.46119999999982</v>
          </cell>
          <cell r="AC1263">
            <v>106.60833333333328</v>
          </cell>
          <cell r="AD1263">
            <v>105.75546666666654</v>
          </cell>
          <cell r="AE1263">
            <v>104.90259999999999</v>
          </cell>
          <cell r="AF1263">
            <v>104.04973333333325</v>
          </cell>
          <cell r="AG1263">
            <v>103.19686666666651</v>
          </cell>
          <cell r="AH1263">
            <v>102.34399999999998</v>
          </cell>
        </row>
        <row r="1264">
          <cell r="B1264" t="str">
            <v>Bio-oil (Pyrolysis) - Finance cost - Middle East - USD/ton fuel</v>
          </cell>
          <cell r="G1264">
            <v>0</v>
          </cell>
          <cell r="H1264">
            <v>0</v>
          </cell>
          <cell r="I1264">
            <v>0</v>
          </cell>
          <cell r="J1264">
            <v>0</v>
          </cell>
          <cell r="K1264">
            <v>0</v>
          </cell>
          <cell r="L1264">
            <v>0</v>
          </cell>
          <cell r="M1264">
            <v>0</v>
          </cell>
          <cell r="N1264">
            <v>127.93000000000002</v>
          </cell>
          <cell r="O1264">
            <v>125.3713999999998</v>
          </cell>
          <cell r="P1264">
            <v>122.81280000000037</v>
          </cell>
          <cell r="Q1264">
            <v>120.25420000000014</v>
          </cell>
          <cell r="R1264">
            <v>117.69559999999991</v>
          </cell>
          <cell r="S1264">
            <v>115.1369999999999</v>
          </cell>
          <cell r="T1264">
            <v>114.28413333333336</v>
          </cell>
          <cell r="U1264">
            <v>113.43126666666662</v>
          </cell>
          <cell r="V1264">
            <v>112.57839999999987</v>
          </cell>
          <cell r="W1264">
            <v>111.72553333333333</v>
          </cell>
          <cell r="X1264">
            <v>110.87266666666659</v>
          </cell>
          <cell r="Y1264">
            <v>110.01979999999985</v>
          </cell>
          <cell r="Z1264">
            <v>109.1669333333333</v>
          </cell>
          <cell r="AA1264">
            <v>108.31406666666656</v>
          </cell>
          <cell r="AB1264">
            <v>107.46119999999982</v>
          </cell>
          <cell r="AC1264">
            <v>106.60833333333328</v>
          </cell>
          <cell r="AD1264">
            <v>105.75546666666654</v>
          </cell>
          <cell r="AE1264">
            <v>104.90259999999999</v>
          </cell>
          <cell r="AF1264">
            <v>104.04973333333325</v>
          </cell>
          <cell r="AG1264">
            <v>103.19686666666651</v>
          </cell>
          <cell r="AH1264">
            <v>102.34399999999998</v>
          </cell>
        </row>
        <row r="1265">
          <cell r="B1265" t="str">
            <v/>
          </cell>
        </row>
        <row r="1266">
          <cell r="B1266" t="str">
            <v>Bio-oil (Pyrolysis) - Energy cost including feedstock energy cost - Africa - USD/ton fuel</v>
          </cell>
          <cell r="G1266">
            <v>0</v>
          </cell>
          <cell r="H1266">
            <v>0</v>
          </cell>
          <cell r="I1266">
            <v>0</v>
          </cell>
          <cell r="J1266">
            <v>0</v>
          </cell>
          <cell r="K1266">
            <v>0</v>
          </cell>
          <cell r="L1266">
            <v>0</v>
          </cell>
          <cell r="M1266">
            <v>0</v>
          </cell>
          <cell r="N1266">
            <v>20.494762123430423</v>
          </cell>
          <cell r="O1266">
            <v>19.872143472728538</v>
          </cell>
          <cell r="P1266">
            <v>19.249524822026657</v>
          </cell>
          <cell r="Q1266">
            <v>18.62690617132451</v>
          </cell>
          <cell r="R1266">
            <v>18.004287520622629</v>
          </cell>
          <cell r="S1266">
            <v>17.381668869920812</v>
          </cell>
          <cell r="T1266">
            <v>17.088612501978194</v>
          </cell>
          <cell r="U1266">
            <v>16.795556134035646</v>
          </cell>
          <cell r="V1266">
            <v>16.502499766093031</v>
          </cell>
          <cell r="W1266">
            <v>16.209443398150412</v>
          </cell>
          <cell r="X1266">
            <v>15.916387030207929</v>
          </cell>
          <cell r="Y1266">
            <v>15.615045621630456</v>
          </cell>
          <cell r="Z1266">
            <v>15.313704213052983</v>
          </cell>
          <cell r="AA1266">
            <v>15.012362804475377</v>
          </cell>
          <cell r="AB1266">
            <v>14.711021395897903</v>
          </cell>
          <cell r="AC1266">
            <v>14.409679987320365</v>
          </cell>
          <cell r="AD1266">
            <v>14.261773553625442</v>
          </cell>
          <cell r="AE1266">
            <v>14.113867119930589</v>
          </cell>
          <cell r="AF1266">
            <v>13.965960686235666</v>
          </cell>
          <cell r="AG1266">
            <v>13.818054252540746</v>
          </cell>
          <cell r="AH1266">
            <v>13.670147818845892</v>
          </cell>
        </row>
        <row r="1267">
          <cell r="B1267" t="str">
            <v>Bio-oil (Pyrolysis) - Energy cost including feedstock energy cost - Americas - USD/ton fuel</v>
          </cell>
          <cell r="G1267">
            <v>0</v>
          </cell>
          <cell r="H1267">
            <v>0</v>
          </cell>
          <cell r="I1267">
            <v>0</v>
          </cell>
          <cell r="J1267">
            <v>0</v>
          </cell>
          <cell r="K1267">
            <v>0</v>
          </cell>
          <cell r="L1267">
            <v>0</v>
          </cell>
          <cell r="M1267">
            <v>0</v>
          </cell>
          <cell r="N1267">
            <v>16.775372009521831</v>
          </cell>
          <cell r="O1267">
            <v>16.414719705807716</v>
          </cell>
          <cell r="P1267">
            <v>16.054067402093601</v>
          </cell>
          <cell r="Q1267">
            <v>15.693415098379484</v>
          </cell>
          <cell r="R1267">
            <v>15.332762794665367</v>
          </cell>
          <cell r="S1267">
            <v>14.972110490951186</v>
          </cell>
          <cell r="T1267">
            <v>14.679756862324826</v>
          </cell>
          <cell r="U1267">
            <v>14.387403233698466</v>
          </cell>
          <cell r="V1267">
            <v>14.09504960507204</v>
          </cell>
          <cell r="W1267">
            <v>13.802695976445682</v>
          </cell>
          <cell r="X1267">
            <v>13.510342347819289</v>
          </cell>
          <cell r="Y1267">
            <v>13.392562375804628</v>
          </cell>
          <cell r="Z1267">
            <v>13.274782403789969</v>
          </cell>
          <cell r="AA1267">
            <v>13.157002431775341</v>
          </cell>
          <cell r="AB1267">
            <v>13.03922245976068</v>
          </cell>
          <cell r="AC1267">
            <v>12.921442487746019</v>
          </cell>
          <cell r="AD1267">
            <v>12.832585835389422</v>
          </cell>
          <cell r="AE1267">
            <v>12.743729183032855</v>
          </cell>
          <cell r="AF1267">
            <v>12.65487253067629</v>
          </cell>
          <cell r="AG1267">
            <v>12.566015878319725</v>
          </cell>
          <cell r="AH1267">
            <v>12.47715922596316</v>
          </cell>
        </row>
        <row r="1268">
          <cell r="B1268" t="str">
            <v>Bio-oil (Pyrolysis) - Energy cost including feedstock energy cost - Asia - USD/ton fuel</v>
          </cell>
          <cell r="G1268">
            <v>0</v>
          </cell>
          <cell r="H1268">
            <v>0</v>
          </cell>
          <cell r="I1268">
            <v>0</v>
          </cell>
          <cell r="J1268">
            <v>0</v>
          </cell>
          <cell r="K1268">
            <v>0</v>
          </cell>
          <cell r="L1268">
            <v>0</v>
          </cell>
          <cell r="M1268">
            <v>0</v>
          </cell>
          <cell r="N1268">
            <v>25.264531007502224</v>
          </cell>
          <cell r="O1268">
            <v>24.452626620601823</v>
          </cell>
          <cell r="P1268">
            <v>23.640722233701684</v>
          </cell>
          <cell r="Q1268">
            <v>22.828817846801815</v>
          </cell>
          <cell r="R1268">
            <v>22.01691345990168</v>
          </cell>
          <cell r="S1268">
            <v>21.205009073001541</v>
          </cell>
          <cell r="T1268">
            <v>20.792217212067769</v>
          </cell>
          <cell r="U1268">
            <v>20.379425351133992</v>
          </cell>
          <cell r="V1268">
            <v>19.966633490200351</v>
          </cell>
          <cell r="W1268">
            <v>19.553841629266575</v>
          </cell>
          <cell r="X1268">
            <v>19.141049768333065</v>
          </cell>
          <cell r="Y1268">
            <v>18.708968925123372</v>
          </cell>
          <cell r="Z1268">
            <v>18.27688808191381</v>
          </cell>
          <cell r="AA1268">
            <v>17.844807238704117</v>
          </cell>
          <cell r="AB1268">
            <v>17.412726395494555</v>
          </cell>
          <cell r="AC1268">
            <v>16.980645552284862</v>
          </cell>
          <cell r="AD1268">
            <v>16.782499004704672</v>
          </cell>
          <cell r="AE1268">
            <v>16.584352457124414</v>
          </cell>
          <cell r="AF1268">
            <v>16.386205909544227</v>
          </cell>
          <cell r="AG1268">
            <v>16.188059361964036</v>
          </cell>
          <cell r="AH1268">
            <v>15.98991281438378</v>
          </cell>
        </row>
        <row r="1269">
          <cell r="B1269" t="str">
            <v>Bio-oil (Pyrolysis) - Energy cost including feedstock energy cost - Europe - USD/ton fuel</v>
          </cell>
          <cell r="G1269">
            <v>0</v>
          </cell>
          <cell r="H1269">
            <v>0</v>
          </cell>
          <cell r="I1269">
            <v>0</v>
          </cell>
          <cell r="J1269">
            <v>0</v>
          </cell>
          <cell r="K1269">
            <v>0</v>
          </cell>
          <cell r="L1269">
            <v>0</v>
          </cell>
          <cell r="M1269">
            <v>0</v>
          </cell>
          <cell r="N1269">
            <v>20.868294881527561</v>
          </cell>
          <cell r="O1269">
            <v>20.460066525465614</v>
          </cell>
          <cell r="P1269">
            <v>20.051838169404064</v>
          </cell>
          <cell r="Q1269">
            <v>19.64360981334238</v>
          </cell>
          <cell r="R1269">
            <v>19.235381457280695</v>
          </cell>
          <cell r="S1269">
            <v>18.827153101219146</v>
          </cell>
          <cell r="T1269">
            <v>18.583420023457375</v>
          </cell>
          <cell r="U1269">
            <v>18.339686945695668</v>
          </cell>
          <cell r="V1269">
            <v>18.095953867933964</v>
          </cell>
          <cell r="W1269">
            <v>17.852220790172261</v>
          </cell>
          <cell r="X1269">
            <v>17.608487712410422</v>
          </cell>
          <cell r="Y1269">
            <v>17.347737322630667</v>
          </cell>
          <cell r="Z1269">
            <v>17.086986932850841</v>
          </cell>
          <cell r="AA1269">
            <v>16.826236543071087</v>
          </cell>
          <cell r="AB1269">
            <v>16.565486153291264</v>
          </cell>
          <cell r="AC1269">
            <v>16.304735763511509</v>
          </cell>
          <cell r="AD1269">
            <v>16.114486909162757</v>
          </cell>
          <cell r="AE1269">
            <v>15.924238054813937</v>
          </cell>
          <cell r="AF1269">
            <v>15.733989200465185</v>
          </cell>
          <cell r="AG1269">
            <v>15.543740346116433</v>
          </cell>
          <cell r="AH1269">
            <v>15.353491491767615</v>
          </cell>
        </row>
        <row r="1270">
          <cell r="B1270" t="str">
            <v>Bio-oil (Pyrolysis) - Energy cost including feedstock energy cost - Middle East - USD/ton fuel</v>
          </cell>
          <cell r="G1270">
            <v>0</v>
          </cell>
          <cell r="H1270">
            <v>0</v>
          </cell>
          <cell r="I1270">
            <v>0</v>
          </cell>
          <cell r="J1270">
            <v>0</v>
          </cell>
          <cell r="K1270">
            <v>0</v>
          </cell>
          <cell r="L1270">
            <v>0</v>
          </cell>
          <cell r="M1270">
            <v>0</v>
          </cell>
          <cell r="N1270">
            <v>16.54117213300913</v>
          </cell>
          <cell r="O1270">
            <v>16.096114567309272</v>
          </cell>
          <cell r="P1270">
            <v>15.651057001609544</v>
          </cell>
          <cell r="Q1270">
            <v>15.205999435909686</v>
          </cell>
          <cell r="R1270">
            <v>14.76094187020996</v>
          </cell>
          <cell r="S1270">
            <v>14.315884304510233</v>
          </cell>
          <cell r="T1270">
            <v>14.092737120859796</v>
          </cell>
          <cell r="U1270">
            <v>13.869589937209359</v>
          </cell>
          <cell r="V1270">
            <v>13.646442753558988</v>
          </cell>
          <cell r="W1270">
            <v>13.42329556990855</v>
          </cell>
          <cell r="X1270">
            <v>13.200148386258112</v>
          </cell>
          <cell r="Y1270">
            <v>12.907514049438412</v>
          </cell>
          <cell r="Z1270">
            <v>12.614879712618777</v>
          </cell>
          <cell r="AA1270">
            <v>12.322245375799074</v>
          </cell>
          <cell r="AB1270">
            <v>12.029611038979439</v>
          </cell>
          <cell r="AC1270">
            <v>11.736976702159705</v>
          </cell>
          <cell r="AD1270">
            <v>11.600014652527594</v>
          </cell>
          <cell r="AE1270">
            <v>11.463052602895518</v>
          </cell>
          <cell r="AF1270">
            <v>11.326090553263407</v>
          </cell>
          <cell r="AG1270">
            <v>11.189128503631297</v>
          </cell>
          <cell r="AH1270">
            <v>11.05216645399922</v>
          </cell>
        </row>
        <row r="1271">
          <cell r="B1271" t="str">
            <v>Bio-oil (Pyrolysis) - Energy cost - Africa - USD/ton fuel</v>
          </cell>
          <cell r="G1271">
            <v>0</v>
          </cell>
          <cell r="H1271">
            <v>0</v>
          </cell>
          <cell r="I1271">
            <v>0</v>
          </cell>
          <cell r="J1271">
            <v>0</v>
          </cell>
          <cell r="K1271">
            <v>0</v>
          </cell>
          <cell r="L1271">
            <v>0</v>
          </cell>
          <cell r="M1271">
            <v>0</v>
          </cell>
          <cell r="N1271">
            <v>20.494762123430423</v>
          </cell>
          <cell r="O1271">
            <v>19.872143472728538</v>
          </cell>
          <cell r="P1271">
            <v>19.249524822026657</v>
          </cell>
          <cell r="Q1271">
            <v>18.62690617132451</v>
          </cell>
          <cell r="R1271">
            <v>18.004287520622629</v>
          </cell>
          <cell r="S1271">
            <v>17.381668869920812</v>
          </cell>
          <cell r="T1271">
            <v>17.088612501978194</v>
          </cell>
          <cell r="U1271">
            <v>16.795556134035646</v>
          </cell>
          <cell r="V1271">
            <v>16.502499766093031</v>
          </cell>
          <cell r="W1271">
            <v>16.209443398150412</v>
          </cell>
          <cell r="X1271">
            <v>15.916387030207929</v>
          </cell>
          <cell r="Y1271">
            <v>15.615045621630456</v>
          </cell>
          <cell r="Z1271">
            <v>15.313704213052983</v>
          </cell>
          <cell r="AA1271">
            <v>15.012362804475377</v>
          </cell>
          <cell r="AB1271">
            <v>14.711021395897903</v>
          </cell>
          <cell r="AC1271">
            <v>14.409679987320365</v>
          </cell>
          <cell r="AD1271">
            <v>14.261773553625442</v>
          </cell>
          <cell r="AE1271">
            <v>14.113867119930589</v>
          </cell>
          <cell r="AF1271">
            <v>13.965960686235666</v>
          </cell>
          <cell r="AG1271">
            <v>13.818054252540746</v>
          </cell>
          <cell r="AH1271">
            <v>13.670147818845892</v>
          </cell>
        </row>
        <row r="1272">
          <cell r="B1272" t="str">
            <v>Bio-oil (Pyrolysis) - Energy cost - Americas - USD/ton fuel</v>
          </cell>
          <cell r="G1272">
            <v>0</v>
          </cell>
          <cell r="H1272">
            <v>0</v>
          </cell>
          <cell r="I1272">
            <v>0</v>
          </cell>
          <cell r="J1272">
            <v>0</v>
          </cell>
          <cell r="K1272">
            <v>0</v>
          </cell>
          <cell r="L1272">
            <v>0</v>
          </cell>
          <cell r="M1272">
            <v>0</v>
          </cell>
          <cell r="N1272">
            <v>16.775372009521831</v>
          </cell>
          <cell r="O1272">
            <v>16.414719705807716</v>
          </cell>
          <cell r="P1272">
            <v>16.054067402093601</v>
          </cell>
          <cell r="Q1272">
            <v>15.693415098379484</v>
          </cell>
          <cell r="R1272">
            <v>15.332762794665367</v>
          </cell>
          <cell r="S1272">
            <v>14.972110490951186</v>
          </cell>
          <cell r="T1272">
            <v>14.679756862324826</v>
          </cell>
          <cell r="U1272">
            <v>14.387403233698466</v>
          </cell>
          <cell r="V1272">
            <v>14.09504960507204</v>
          </cell>
          <cell r="W1272">
            <v>13.802695976445682</v>
          </cell>
          <cell r="X1272">
            <v>13.510342347819289</v>
          </cell>
          <cell r="Y1272">
            <v>13.392562375804628</v>
          </cell>
          <cell r="Z1272">
            <v>13.274782403789969</v>
          </cell>
          <cell r="AA1272">
            <v>13.157002431775341</v>
          </cell>
          <cell r="AB1272">
            <v>13.03922245976068</v>
          </cell>
          <cell r="AC1272">
            <v>12.921442487746019</v>
          </cell>
          <cell r="AD1272">
            <v>12.832585835389422</v>
          </cell>
          <cell r="AE1272">
            <v>12.743729183032855</v>
          </cell>
          <cell r="AF1272">
            <v>12.65487253067629</v>
          </cell>
          <cell r="AG1272">
            <v>12.566015878319725</v>
          </cell>
          <cell r="AH1272">
            <v>12.47715922596316</v>
          </cell>
        </row>
        <row r="1273">
          <cell r="B1273" t="str">
            <v>Bio-oil (Pyrolysis) - Energy cost - Asia - USD/ton fuel</v>
          </cell>
          <cell r="G1273">
            <v>0</v>
          </cell>
          <cell r="H1273">
            <v>0</v>
          </cell>
          <cell r="I1273">
            <v>0</v>
          </cell>
          <cell r="J1273">
            <v>0</v>
          </cell>
          <cell r="K1273">
            <v>0</v>
          </cell>
          <cell r="L1273">
            <v>0</v>
          </cell>
          <cell r="M1273">
            <v>0</v>
          </cell>
          <cell r="N1273">
            <v>25.264531007502224</v>
          </cell>
          <cell r="O1273">
            <v>24.452626620601823</v>
          </cell>
          <cell r="P1273">
            <v>23.640722233701684</v>
          </cell>
          <cell r="Q1273">
            <v>22.828817846801815</v>
          </cell>
          <cell r="R1273">
            <v>22.01691345990168</v>
          </cell>
          <cell r="S1273">
            <v>21.205009073001541</v>
          </cell>
          <cell r="T1273">
            <v>20.792217212067769</v>
          </cell>
          <cell r="U1273">
            <v>20.379425351133992</v>
          </cell>
          <cell r="V1273">
            <v>19.966633490200351</v>
          </cell>
          <cell r="W1273">
            <v>19.553841629266575</v>
          </cell>
          <cell r="X1273">
            <v>19.141049768333065</v>
          </cell>
          <cell r="Y1273">
            <v>18.708968925123372</v>
          </cell>
          <cell r="Z1273">
            <v>18.27688808191381</v>
          </cell>
          <cell r="AA1273">
            <v>17.844807238704117</v>
          </cell>
          <cell r="AB1273">
            <v>17.412726395494555</v>
          </cell>
          <cell r="AC1273">
            <v>16.980645552284862</v>
          </cell>
          <cell r="AD1273">
            <v>16.782499004704672</v>
          </cell>
          <cell r="AE1273">
            <v>16.584352457124414</v>
          </cell>
          <cell r="AF1273">
            <v>16.386205909544227</v>
          </cell>
          <cell r="AG1273">
            <v>16.188059361964036</v>
          </cell>
          <cell r="AH1273">
            <v>15.98991281438378</v>
          </cell>
        </row>
        <row r="1274">
          <cell r="B1274" t="str">
            <v>Bio-oil (Pyrolysis) - Energy cost - Europe - USD/ton fuel</v>
          </cell>
          <cell r="G1274">
            <v>0</v>
          </cell>
          <cell r="H1274">
            <v>0</v>
          </cell>
          <cell r="I1274">
            <v>0</v>
          </cell>
          <cell r="J1274">
            <v>0</v>
          </cell>
          <cell r="K1274">
            <v>0</v>
          </cell>
          <cell r="L1274">
            <v>0</v>
          </cell>
          <cell r="M1274">
            <v>0</v>
          </cell>
          <cell r="N1274">
            <v>20.868294881527561</v>
          </cell>
          <cell r="O1274">
            <v>20.460066525465614</v>
          </cell>
          <cell r="P1274">
            <v>20.051838169404064</v>
          </cell>
          <cell r="Q1274">
            <v>19.64360981334238</v>
          </cell>
          <cell r="R1274">
            <v>19.235381457280695</v>
          </cell>
          <cell r="S1274">
            <v>18.827153101219146</v>
          </cell>
          <cell r="T1274">
            <v>18.583420023457375</v>
          </cell>
          <cell r="U1274">
            <v>18.339686945695668</v>
          </cell>
          <cell r="V1274">
            <v>18.095953867933964</v>
          </cell>
          <cell r="W1274">
            <v>17.852220790172261</v>
          </cell>
          <cell r="X1274">
            <v>17.608487712410422</v>
          </cell>
          <cell r="Y1274">
            <v>17.347737322630667</v>
          </cell>
          <cell r="Z1274">
            <v>17.086986932850841</v>
          </cell>
          <cell r="AA1274">
            <v>16.826236543071087</v>
          </cell>
          <cell r="AB1274">
            <v>16.565486153291264</v>
          </cell>
          <cell r="AC1274">
            <v>16.304735763511509</v>
          </cell>
          <cell r="AD1274">
            <v>16.114486909162757</v>
          </cell>
          <cell r="AE1274">
            <v>15.924238054813937</v>
          </cell>
          <cell r="AF1274">
            <v>15.733989200465185</v>
          </cell>
          <cell r="AG1274">
            <v>15.543740346116433</v>
          </cell>
          <cell r="AH1274">
            <v>15.353491491767615</v>
          </cell>
        </row>
        <row r="1275">
          <cell r="B1275" t="str">
            <v>Bio-oil (Pyrolysis) - Energy cost - Middle East - USD/ton fuel</v>
          </cell>
          <cell r="G1275">
            <v>0</v>
          </cell>
          <cell r="H1275">
            <v>0</v>
          </cell>
          <cell r="I1275">
            <v>0</v>
          </cell>
          <cell r="J1275">
            <v>0</v>
          </cell>
          <cell r="K1275">
            <v>0</v>
          </cell>
          <cell r="L1275">
            <v>0</v>
          </cell>
          <cell r="M1275">
            <v>0</v>
          </cell>
          <cell r="N1275">
            <v>16.54117213300913</v>
          </cell>
          <cell r="O1275">
            <v>16.096114567309272</v>
          </cell>
          <cell r="P1275">
            <v>15.651057001609544</v>
          </cell>
          <cell r="Q1275">
            <v>15.205999435909686</v>
          </cell>
          <cell r="R1275">
            <v>14.76094187020996</v>
          </cell>
          <cell r="S1275">
            <v>14.315884304510233</v>
          </cell>
          <cell r="T1275">
            <v>14.092737120859796</v>
          </cell>
          <cell r="U1275">
            <v>13.869589937209359</v>
          </cell>
          <cell r="V1275">
            <v>13.646442753558988</v>
          </cell>
          <cell r="W1275">
            <v>13.42329556990855</v>
          </cell>
          <cell r="X1275">
            <v>13.200148386258112</v>
          </cell>
          <cell r="Y1275">
            <v>12.907514049438412</v>
          </cell>
          <cell r="Z1275">
            <v>12.614879712618777</v>
          </cell>
          <cell r="AA1275">
            <v>12.322245375799074</v>
          </cell>
          <cell r="AB1275">
            <v>12.029611038979439</v>
          </cell>
          <cell r="AC1275">
            <v>11.736976702159705</v>
          </cell>
          <cell r="AD1275">
            <v>11.600014652527594</v>
          </cell>
          <cell r="AE1275">
            <v>11.463052602895518</v>
          </cell>
          <cell r="AF1275">
            <v>11.326090553263407</v>
          </cell>
          <cell r="AG1275">
            <v>11.189128503631297</v>
          </cell>
          <cell r="AH1275">
            <v>11.05216645399922</v>
          </cell>
        </row>
        <row r="1276">
          <cell r="B1276" t="str">
            <v/>
          </cell>
        </row>
        <row r="1277">
          <cell r="B1277" t="str">
            <v>Bio-oil (Pyrolysis) - Feedstock cost including feedstock feedstock cost - Africa - USD/ton fuel</v>
          </cell>
          <cell r="G1277">
            <v>0</v>
          </cell>
          <cell r="H1277">
            <v>0</v>
          </cell>
          <cell r="I1277">
            <v>0</v>
          </cell>
          <cell r="J1277">
            <v>0</v>
          </cell>
          <cell r="K1277">
            <v>0</v>
          </cell>
          <cell r="L1277">
            <v>0</v>
          </cell>
          <cell r="M1277">
            <v>0</v>
          </cell>
          <cell r="N1277">
            <v>888.40587127978006</v>
          </cell>
          <cell r="O1277">
            <v>885.62056910963304</v>
          </cell>
          <cell r="P1277">
            <v>881.85031168260571</v>
          </cell>
          <cell r="Q1277">
            <v>877.10229627143349</v>
          </cell>
          <cell r="R1277">
            <v>871.38372014886249</v>
          </cell>
          <cell r="S1277">
            <v>864.70178058764964</v>
          </cell>
          <cell r="T1277">
            <v>860.67949868505139</v>
          </cell>
          <cell r="U1277">
            <v>855.97976467605633</v>
          </cell>
          <cell r="V1277">
            <v>850.60492705811953</v>
          </cell>
          <cell r="W1277">
            <v>844.55733432866714</v>
          </cell>
          <cell r="X1277">
            <v>837.83933498514693</v>
          </cell>
          <cell r="Y1277">
            <v>830.82377171450116</v>
          </cell>
          <cell r="Z1277">
            <v>823.49363537946965</v>
          </cell>
          <cell r="AA1277">
            <v>815.84755264205978</v>
          </cell>
          <cell r="AB1277">
            <v>807.88415016426438</v>
          </cell>
          <cell r="AC1277">
            <v>799.60205460808493</v>
          </cell>
          <cell r="AD1277">
            <v>793.945651004674</v>
          </cell>
          <cell r="AE1277">
            <v>788.13155494766465</v>
          </cell>
          <cell r="AF1277">
            <v>782.15890103325785</v>
          </cell>
          <cell r="AG1277">
            <v>776.02682385765729</v>
          </cell>
          <cell r="AH1277">
            <v>769.73445801706748</v>
          </cell>
        </row>
        <row r="1278">
          <cell r="B1278" t="str">
            <v>Bio-oil (Pyrolysis) - Feedstock cost including feedstock feedstock cost - Americas - USD/ton fuel</v>
          </cell>
          <cell r="G1278">
            <v>0</v>
          </cell>
          <cell r="H1278">
            <v>0</v>
          </cell>
          <cell r="I1278">
            <v>0</v>
          </cell>
          <cell r="J1278">
            <v>0</v>
          </cell>
          <cell r="K1278">
            <v>0</v>
          </cell>
          <cell r="L1278">
            <v>0</v>
          </cell>
          <cell r="M1278">
            <v>0</v>
          </cell>
          <cell r="N1278">
            <v>718.18340262115771</v>
          </cell>
          <cell r="O1278">
            <v>717.19833589704308</v>
          </cell>
          <cell r="P1278">
            <v>715.20021664093724</v>
          </cell>
          <cell r="Q1278">
            <v>712.19321387828131</v>
          </cell>
          <cell r="R1278">
            <v>708.18149663451084</v>
          </cell>
          <cell r="S1278">
            <v>703.16923393507921</v>
          </cell>
          <cell r="T1278">
            <v>698.59957444461418</v>
          </cell>
          <cell r="U1278">
            <v>693.35875999334462</v>
          </cell>
          <cell r="V1278">
            <v>687.44913344710812</v>
          </cell>
          <cell r="W1278">
            <v>680.87303767171488</v>
          </cell>
          <cell r="X1278">
            <v>673.63281553299248</v>
          </cell>
          <cell r="Y1278">
            <v>668.93292227663062</v>
          </cell>
          <cell r="Z1278">
            <v>663.86444907834868</v>
          </cell>
          <cell r="AA1278">
            <v>658.42685916588835</v>
          </cell>
          <cell r="AB1278">
            <v>652.61961576697217</v>
          </cell>
          <cell r="AC1278">
            <v>646.44218210933741</v>
          </cell>
          <cell r="AD1278">
            <v>640.76183030346442</v>
          </cell>
          <cell r="AE1278">
            <v>634.90803481677119</v>
          </cell>
          <cell r="AF1278">
            <v>628.88027574703017</v>
          </cell>
          <cell r="AG1278">
            <v>622.67803319201403</v>
          </cell>
          <cell r="AH1278">
            <v>616.30078724949567</v>
          </cell>
        </row>
        <row r="1279">
          <cell r="B1279" t="str">
            <v>Bio-oil (Pyrolysis) - Feedstock cost including feedstock feedstock cost - Asia - USD/ton fuel</v>
          </cell>
          <cell r="G1279">
            <v>0</v>
          </cell>
          <cell r="H1279">
            <v>0</v>
          </cell>
          <cell r="I1279">
            <v>0</v>
          </cell>
          <cell r="J1279">
            <v>0</v>
          </cell>
          <cell r="K1279">
            <v>0</v>
          </cell>
          <cell r="L1279">
            <v>0</v>
          </cell>
          <cell r="M1279">
            <v>0</v>
          </cell>
          <cell r="N1279">
            <v>751.9714310197329</v>
          </cell>
          <cell r="O1279">
            <v>745.79809284474231</v>
          </cell>
          <cell r="P1279">
            <v>738.65207775009912</v>
          </cell>
          <cell r="Q1279">
            <v>730.54277109119971</v>
          </cell>
          <cell r="R1279">
            <v>721.4795582234301</v>
          </cell>
          <cell r="S1279">
            <v>711.4718245022076</v>
          </cell>
          <cell r="T1279">
            <v>705.72156080071181</v>
          </cell>
          <cell r="U1279">
            <v>699.30738909277181</v>
          </cell>
          <cell r="V1279">
            <v>692.2326174130892</v>
          </cell>
          <cell r="W1279">
            <v>684.50055379632681</v>
          </cell>
          <cell r="X1279">
            <v>676.11450627717818</v>
          </cell>
          <cell r="Y1279">
            <v>666.45214180293965</v>
          </cell>
          <cell r="Z1279">
            <v>656.51596541333424</v>
          </cell>
          <cell r="AA1279">
            <v>646.30400793644571</v>
          </cell>
          <cell r="AB1279">
            <v>635.81430020034236</v>
          </cell>
          <cell r="AC1279">
            <v>625.04487303310214</v>
          </cell>
          <cell r="AD1279">
            <v>618.59394286904399</v>
          </cell>
          <cell r="AE1279">
            <v>612.00126626937583</v>
          </cell>
          <cell r="AF1279">
            <v>605.26568387428972</v>
          </cell>
          <cell r="AG1279">
            <v>598.3860363239769</v>
          </cell>
          <cell r="AH1279">
            <v>591.36116425862872</v>
          </cell>
        </row>
        <row r="1280">
          <cell r="B1280" t="str">
            <v>Bio-oil (Pyrolysis) - Feedstock cost including feedstock feedstock cost - Europe - USD/ton fuel</v>
          </cell>
          <cell r="G1280">
            <v>0</v>
          </cell>
          <cell r="H1280">
            <v>0</v>
          </cell>
          <cell r="I1280">
            <v>0</v>
          </cell>
          <cell r="J1280">
            <v>0</v>
          </cell>
          <cell r="K1280">
            <v>0</v>
          </cell>
          <cell r="L1280">
            <v>0</v>
          </cell>
          <cell r="M1280">
            <v>0</v>
          </cell>
          <cell r="N1280">
            <v>810.10360082312388</v>
          </cell>
          <cell r="O1280">
            <v>809.02976582956603</v>
          </cell>
          <cell r="P1280">
            <v>806.9348129171608</v>
          </cell>
          <cell r="Q1280">
            <v>803.82346107531123</v>
          </cell>
          <cell r="R1280">
            <v>799.70042929342412</v>
          </cell>
          <cell r="S1280">
            <v>794.57043656092594</v>
          </cell>
          <cell r="T1280">
            <v>790.18042668339331</v>
          </cell>
          <cell r="U1280">
            <v>785.09931696035699</v>
          </cell>
          <cell r="V1280">
            <v>779.32906062190114</v>
          </cell>
          <cell r="W1280">
            <v>772.87161089807591</v>
          </cell>
          <cell r="X1280">
            <v>765.72892101895377</v>
          </cell>
          <cell r="Y1280">
            <v>758.91699661857956</v>
          </cell>
          <cell r="Z1280">
            <v>751.78193538238713</v>
          </cell>
          <cell r="AA1280">
            <v>744.32254896252448</v>
          </cell>
          <cell r="AB1280">
            <v>736.53764901111754</v>
          </cell>
          <cell r="AC1280">
            <v>728.42604718030896</v>
          </cell>
          <cell r="AD1280">
            <v>722.1301115815736</v>
          </cell>
          <cell r="AE1280">
            <v>715.68939283177997</v>
          </cell>
          <cell r="AF1280">
            <v>709.1027777806969</v>
          </cell>
          <cell r="AG1280">
            <v>702.36915327809254</v>
          </cell>
          <cell r="AH1280">
            <v>695.48740617373494</v>
          </cell>
        </row>
        <row r="1281">
          <cell r="B1281" t="str">
            <v>Bio-oil (Pyrolysis) - Feedstock cost including feedstock feedstock cost - Middle East - USD/ton fuel</v>
          </cell>
          <cell r="G1281">
            <v>0</v>
          </cell>
          <cell r="H1281">
            <v>0</v>
          </cell>
          <cell r="I1281">
            <v>0</v>
          </cell>
          <cell r="J1281">
            <v>0</v>
          </cell>
          <cell r="K1281">
            <v>0</v>
          </cell>
          <cell r="L1281">
            <v>0</v>
          </cell>
          <cell r="M1281">
            <v>0</v>
          </cell>
          <cell r="N1281">
            <v>813.89877525467091</v>
          </cell>
          <cell r="O1281">
            <v>811.9364064525339</v>
          </cell>
          <cell r="P1281">
            <v>808.97555809681944</v>
          </cell>
          <cell r="Q1281">
            <v>805.02137491083624</v>
          </cell>
          <cell r="R1281">
            <v>800.07900161789394</v>
          </cell>
          <cell r="S1281">
            <v>794.15358294131534</v>
          </cell>
          <cell r="T1281">
            <v>791.22066699038601</v>
          </cell>
          <cell r="U1281">
            <v>787.60461746565079</v>
          </cell>
          <cell r="V1281">
            <v>783.30722262579081</v>
          </cell>
          <cell r="W1281">
            <v>778.3302707294564</v>
          </cell>
          <cell r="X1281">
            <v>772.67555003531993</v>
          </cell>
          <cell r="Y1281">
            <v>765.34270468022237</v>
          </cell>
          <cell r="Z1281">
            <v>757.68877152746052</v>
          </cell>
          <cell r="AA1281">
            <v>749.71241692078524</v>
          </cell>
          <cell r="AB1281">
            <v>741.41230720393219</v>
          </cell>
          <cell r="AC1281">
            <v>732.78710872064642</v>
          </cell>
          <cell r="AD1281">
            <v>726.74978906731621</v>
          </cell>
          <cell r="AE1281">
            <v>720.54718288714002</v>
          </cell>
          <cell r="AF1281">
            <v>714.17848881215241</v>
          </cell>
          <cell r="AG1281">
            <v>707.64290547438884</v>
          </cell>
          <cell r="AH1281">
            <v>700.93963150588468</v>
          </cell>
        </row>
        <row r="1282">
          <cell r="B1282" t="str">
            <v>Bio-oil (Pyrolysis) - Feedstock cost - Africa - USD/ton fuel</v>
          </cell>
          <cell r="G1282">
            <v>0</v>
          </cell>
          <cell r="H1282">
            <v>0</v>
          </cell>
          <cell r="I1282">
            <v>0</v>
          </cell>
          <cell r="J1282">
            <v>0</v>
          </cell>
          <cell r="K1282">
            <v>0</v>
          </cell>
          <cell r="L1282">
            <v>0</v>
          </cell>
          <cell r="M1282">
            <v>0</v>
          </cell>
          <cell r="N1282">
            <v>888.40587127978006</v>
          </cell>
          <cell r="O1282">
            <v>885.62056910963304</v>
          </cell>
          <cell r="P1282">
            <v>881.85031168260571</v>
          </cell>
          <cell r="Q1282">
            <v>877.10229627143349</v>
          </cell>
          <cell r="R1282">
            <v>871.38372014886249</v>
          </cell>
          <cell r="S1282">
            <v>864.70178058764964</v>
          </cell>
          <cell r="T1282">
            <v>860.67949868505139</v>
          </cell>
          <cell r="U1282">
            <v>855.97976467605633</v>
          </cell>
          <cell r="V1282">
            <v>850.60492705811953</v>
          </cell>
          <cell r="W1282">
            <v>844.55733432866714</v>
          </cell>
          <cell r="X1282">
            <v>837.83933498514693</v>
          </cell>
          <cell r="Y1282">
            <v>830.82377171450116</v>
          </cell>
          <cell r="Z1282">
            <v>823.49363537946965</v>
          </cell>
          <cell r="AA1282">
            <v>815.84755264205978</v>
          </cell>
          <cell r="AB1282">
            <v>807.88415016426438</v>
          </cell>
          <cell r="AC1282">
            <v>799.60205460808493</v>
          </cell>
          <cell r="AD1282">
            <v>793.945651004674</v>
          </cell>
          <cell r="AE1282">
            <v>788.13155494766465</v>
          </cell>
          <cell r="AF1282">
            <v>782.15890103325785</v>
          </cell>
          <cell r="AG1282">
            <v>776.02682385765729</v>
          </cell>
          <cell r="AH1282">
            <v>769.73445801706748</v>
          </cell>
        </row>
        <row r="1283">
          <cell r="B1283" t="str">
            <v>Bio-oil (Pyrolysis) - Feedstock cost - Americas - USD/ton fuel</v>
          </cell>
          <cell r="G1283">
            <v>0</v>
          </cell>
          <cell r="H1283">
            <v>0</v>
          </cell>
          <cell r="I1283">
            <v>0</v>
          </cell>
          <cell r="J1283">
            <v>0</v>
          </cell>
          <cell r="K1283">
            <v>0</v>
          </cell>
          <cell r="L1283">
            <v>0</v>
          </cell>
          <cell r="M1283">
            <v>0</v>
          </cell>
          <cell r="N1283">
            <v>718.18340262115771</v>
          </cell>
          <cell r="O1283">
            <v>717.19833589704308</v>
          </cell>
          <cell r="P1283">
            <v>715.20021664093724</v>
          </cell>
          <cell r="Q1283">
            <v>712.19321387828131</v>
          </cell>
          <cell r="R1283">
            <v>708.18149663451084</v>
          </cell>
          <cell r="S1283">
            <v>703.16923393507921</v>
          </cell>
          <cell r="T1283">
            <v>698.59957444461418</v>
          </cell>
          <cell r="U1283">
            <v>693.35875999334462</v>
          </cell>
          <cell r="V1283">
            <v>687.44913344710812</v>
          </cell>
          <cell r="W1283">
            <v>680.87303767171488</v>
          </cell>
          <cell r="X1283">
            <v>673.63281553299248</v>
          </cell>
          <cell r="Y1283">
            <v>668.93292227663062</v>
          </cell>
          <cell r="Z1283">
            <v>663.86444907834868</v>
          </cell>
          <cell r="AA1283">
            <v>658.42685916588835</v>
          </cell>
          <cell r="AB1283">
            <v>652.61961576697217</v>
          </cell>
          <cell r="AC1283">
            <v>646.44218210933741</v>
          </cell>
          <cell r="AD1283">
            <v>640.76183030346442</v>
          </cell>
          <cell r="AE1283">
            <v>634.90803481677119</v>
          </cell>
          <cell r="AF1283">
            <v>628.88027574703017</v>
          </cell>
          <cell r="AG1283">
            <v>622.67803319201403</v>
          </cell>
          <cell r="AH1283">
            <v>616.30078724949567</v>
          </cell>
        </row>
        <row r="1284">
          <cell r="B1284" t="str">
            <v>Bio-oil (Pyrolysis) - Feedstock cost - Asia - USD/ton fuel</v>
          </cell>
          <cell r="G1284">
            <v>0</v>
          </cell>
          <cell r="H1284">
            <v>0</v>
          </cell>
          <cell r="I1284">
            <v>0</v>
          </cell>
          <cell r="J1284">
            <v>0</v>
          </cell>
          <cell r="K1284">
            <v>0</v>
          </cell>
          <cell r="L1284">
            <v>0</v>
          </cell>
          <cell r="M1284">
            <v>0</v>
          </cell>
          <cell r="N1284">
            <v>751.9714310197329</v>
          </cell>
          <cell r="O1284">
            <v>745.79809284474231</v>
          </cell>
          <cell r="P1284">
            <v>738.65207775009912</v>
          </cell>
          <cell r="Q1284">
            <v>730.54277109119971</v>
          </cell>
          <cell r="R1284">
            <v>721.4795582234301</v>
          </cell>
          <cell r="S1284">
            <v>711.4718245022076</v>
          </cell>
          <cell r="T1284">
            <v>705.72156080071181</v>
          </cell>
          <cell r="U1284">
            <v>699.30738909277181</v>
          </cell>
          <cell r="V1284">
            <v>692.2326174130892</v>
          </cell>
          <cell r="W1284">
            <v>684.50055379632681</v>
          </cell>
          <cell r="X1284">
            <v>676.11450627717818</v>
          </cell>
          <cell r="Y1284">
            <v>666.45214180293965</v>
          </cell>
          <cell r="Z1284">
            <v>656.51596541333424</v>
          </cell>
          <cell r="AA1284">
            <v>646.30400793644571</v>
          </cell>
          <cell r="AB1284">
            <v>635.81430020034236</v>
          </cell>
          <cell r="AC1284">
            <v>625.04487303310214</v>
          </cell>
          <cell r="AD1284">
            <v>618.59394286904399</v>
          </cell>
          <cell r="AE1284">
            <v>612.00126626937583</v>
          </cell>
          <cell r="AF1284">
            <v>605.26568387428972</v>
          </cell>
          <cell r="AG1284">
            <v>598.3860363239769</v>
          </cell>
          <cell r="AH1284">
            <v>591.36116425862872</v>
          </cell>
        </row>
        <row r="1285">
          <cell r="B1285" t="str">
            <v>Bio-oil (Pyrolysis) - Feedstock cost - Europe - USD/ton fuel</v>
          </cell>
          <cell r="G1285">
            <v>0</v>
          </cell>
          <cell r="H1285">
            <v>0</v>
          </cell>
          <cell r="I1285">
            <v>0</v>
          </cell>
          <cell r="J1285">
            <v>0</v>
          </cell>
          <cell r="K1285">
            <v>0</v>
          </cell>
          <cell r="L1285">
            <v>0</v>
          </cell>
          <cell r="M1285">
            <v>0</v>
          </cell>
          <cell r="N1285">
            <v>810.10360082312388</v>
          </cell>
          <cell r="O1285">
            <v>809.02976582956603</v>
          </cell>
          <cell r="P1285">
            <v>806.9348129171608</v>
          </cell>
          <cell r="Q1285">
            <v>803.82346107531123</v>
          </cell>
          <cell r="R1285">
            <v>799.70042929342412</v>
          </cell>
          <cell r="S1285">
            <v>794.57043656092594</v>
          </cell>
          <cell r="T1285">
            <v>790.18042668339331</v>
          </cell>
          <cell r="U1285">
            <v>785.09931696035699</v>
          </cell>
          <cell r="V1285">
            <v>779.32906062190114</v>
          </cell>
          <cell r="W1285">
            <v>772.87161089807591</v>
          </cell>
          <cell r="X1285">
            <v>765.72892101895377</v>
          </cell>
          <cell r="Y1285">
            <v>758.91699661857956</v>
          </cell>
          <cell r="Z1285">
            <v>751.78193538238713</v>
          </cell>
          <cell r="AA1285">
            <v>744.32254896252448</v>
          </cell>
          <cell r="AB1285">
            <v>736.53764901111754</v>
          </cell>
          <cell r="AC1285">
            <v>728.42604718030896</v>
          </cell>
          <cell r="AD1285">
            <v>722.1301115815736</v>
          </cell>
          <cell r="AE1285">
            <v>715.68939283177997</v>
          </cell>
          <cell r="AF1285">
            <v>709.1027777806969</v>
          </cell>
          <cell r="AG1285">
            <v>702.36915327809254</v>
          </cell>
          <cell r="AH1285">
            <v>695.48740617373494</v>
          </cell>
        </row>
        <row r="1286">
          <cell r="B1286" t="str">
            <v>Bio-oil (Pyrolysis) - Feedstock cost - Middle East - USD/ton fuel</v>
          </cell>
          <cell r="G1286">
            <v>0</v>
          </cell>
          <cell r="H1286">
            <v>0</v>
          </cell>
          <cell r="I1286">
            <v>0</v>
          </cell>
          <cell r="J1286">
            <v>0</v>
          </cell>
          <cell r="K1286">
            <v>0</v>
          </cell>
          <cell r="L1286">
            <v>0</v>
          </cell>
          <cell r="M1286">
            <v>0</v>
          </cell>
          <cell r="N1286">
            <v>813.89877525467091</v>
          </cell>
          <cell r="O1286">
            <v>811.9364064525339</v>
          </cell>
          <cell r="P1286">
            <v>808.97555809681944</v>
          </cell>
          <cell r="Q1286">
            <v>805.02137491083624</v>
          </cell>
          <cell r="R1286">
            <v>800.07900161789394</v>
          </cell>
          <cell r="S1286">
            <v>794.15358294131534</v>
          </cell>
          <cell r="T1286">
            <v>791.22066699038601</v>
          </cell>
          <cell r="U1286">
            <v>787.60461746565079</v>
          </cell>
          <cell r="V1286">
            <v>783.30722262579081</v>
          </cell>
          <cell r="W1286">
            <v>778.3302707294564</v>
          </cell>
          <cell r="X1286">
            <v>772.67555003531993</v>
          </cell>
          <cell r="Y1286">
            <v>765.34270468022237</v>
          </cell>
          <cell r="Z1286">
            <v>757.68877152746052</v>
          </cell>
          <cell r="AA1286">
            <v>749.71241692078524</v>
          </cell>
          <cell r="AB1286">
            <v>741.41230720393219</v>
          </cell>
          <cell r="AC1286">
            <v>732.78710872064642</v>
          </cell>
          <cell r="AD1286">
            <v>726.74978906731621</v>
          </cell>
          <cell r="AE1286">
            <v>720.54718288714002</v>
          </cell>
          <cell r="AF1286">
            <v>714.17848881215241</v>
          </cell>
          <cell r="AG1286">
            <v>707.64290547438884</v>
          </cell>
          <cell r="AH1286">
            <v>700.93963150588468</v>
          </cell>
        </row>
        <row r="1288">
          <cell r="B1288" t="str">
            <v>Nitrogen - Item - Region - Unit</v>
          </cell>
          <cell r="G1288">
            <v>2023</v>
          </cell>
          <cell r="H1288">
            <v>2024</v>
          </cell>
          <cell r="I1288">
            <v>2025</v>
          </cell>
          <cell r="J1288">
            <v>2026</v>
          </cell>
          <cell r="K1288">
            <v>2027</v>
          </cell>
          <cell r="L1288">
            <v>2028</v>
          </cell>
          <cell r="M1288">
            <v>2029</v>
          </cell>
          <cell r="N1288">
            <v>2030</v>
          </cell>
          <cell r="O1288">
            <v>2031</v>
          </cell>
          <cell r="P1288">
            <v>2032</v>
          </cell>
          <cell r="Q1288">
            <v>2033</v>
          </cell>
          <cell r="R1288">
            <v>2034</v>
          </cell>
          <cell r="S1288">
            <v>2035</v>
          </cell>
          <cell r="T1288">
            <v>2036</v>
          </cell>
          <cell r="U1288">
            <v>2037</v>
          </cell>
          <cell r="V1288">
            <v>2038</v>
          </cell>
          <cell r="W1288">
            <v>2039</v>
          </cell>
          <cell r="X1288">
            <v>2040</v>
          </cell>
          <cell r="Y1288">
            <v>2041</v>
          </cell>
          <cell r="Z1288">
            <v>2042</v>
          </cell>
          <cell r="AA1288">
            <v>2043</v>
          </cell>
          <cell r="AB1288">
            <v>2044</v>
          </cell>
          <cell r="AC1288">
            <v>2045</v>
          </cell>
          <cell r="AD1288">
            <v>2046</v>
          </cell>
          <cell r="AE1288">
            <v>2047</v>
          </cell>
          <cell r="AF1288">
            <v>2048</v>
          </cell>
          <cell r="AG1288">
            <v>2049</v>
          </cell>
          <cell r="AH1288">
            <v>2050</v>
          </cell>
        </row>
        <row r="1289">
          <cell r="B1289" t="str">
            <v>Nitrogen - Total cost - Africa - USD/ton fuel</v>
          </cell>
          <cell r="G1289">
            <v>62.382424191379783</v>
          </cell>
          <cell r="H1289">
            <v>55.997325174045116</v>
          </cell>
          <cell r="I1289">
            <v>49.612226156710058</v>
          </cell>
          <cell r="J1289">
            <v>43.887331731968366</v>
          </cell>
          <cell r="K1289">
            <v>38.177728194232856</v>
          </cell>
          <cell r="L1289">
            <v>32.483415543503462</v>
          </cell>
          <cell r="M1289">
            <v>26.804393779780085</v>
          </cell>
          <cell r="N1289">
            <v>21.140662903062857</v>
          </cell>
          <cell r="O1289">
            <v>20.734778086352062</v>
          </cell>
          <cell r="P1289">
            <v>20.328893269641238</v>
          </cell>
          <cell r="Q1289">
            <v>19.923008452930322</v>
          </cell>
          <cell r="R1289">
            <v>19.517123636219502</v>
          </cell>
          <cell r="S1289">
            <v>19.111238819508699</v>
          </cell>
          <cell r="T1289">
            <v>18.818302092647272</v>
          </cell>
          <cell r="U1289">
            <v>18.525365365785873</v>
          </cell>
          <cell r="V1289">
            <v>18.232428638924446</v>
          </cell>
          <cell r="W1289">
            <v>17.939491912063019</v>
          </cell>
          <cell r="X1289">
            <v>17.646555185201638</v>
          </cell>
          <cell r="Y1289">
            <v>17.350778996535915</v>
          </cell>
          <cell r="Z1289">
            <v>17.055002807870196</v>
          </cell>
          <cell r="AA1289">
            <v>16.759226619204426</v>
          </cell>
          <cell r="AB1289">
            <v>16.463450430538703</v>
          </cell>
          <cell r="AC1289">
            <v>16.167674241872959</v>
          </cell>
          <cell r="AD1289">
            <v>15.924483522587945</v>
          </cell>
          <cell r="AE1289">
            <v>15.681292803302957</v>
          </cell>
          <cell r="AF1289">
            <v>15.438102084017945</v>
          </cell>
          <cell r="AG1289">
            <v>15.194911364732933</v>
          </cell>
          <cell r="AH1289">
            <v>14.951720645447942</v>
          </cell>
        </row>
        <row r="1290">
          <cell r="B1290" t="str">
            <v>Nitrogen - Total cost - Americas - USD/ton fuel</v>
          </cell>
          <cell r="G1290">
            <v>57.607847265415415</v>
          </cell>
          <cell r="H1290">
            <v>52.564037713433983</v>
          </cell>
          <cell r="I1290">
            <v>47.520228161452508</v>
          </cell>
          <cell r="J1290">
            <v>41.968823942107136</v>
          </cell>
          <cell r="K1290">
            <v>36.427693799463867</v>
          </cell>
          <cell r="L1290">
            <v>30.896837733522634</v>
          </cell>
          <cell r="M1290">
            <v>25.376255744283551</v>
          </cell>
          <cell r="N1290">
            <v>19.865947831746368</v>
          </cell>
          <cell r="O1290">
            <v>19.549844522340834</v>
          </cell>
          <cell r="P1290">
            <v>19.233741212935282</v>
          </cell>
          <cell r="Q1290">
            <v>18.917637903529727</v>
          </cell>
          <cell r="R1290">
            <v>18.601534594124175</v>
          </cell>
          <cell r="S1290">
            <v>18.285431284718598</v>
          </cell>
          <cell r="T1290">
            <v>17.992735401750984</v>
          </cell>
          <cell r="U1290">
            <v>17.70003951878337</v>
          </cell>
          <cell r="V1290">
            <v>17.407343635815735</v>
          </cell>
          <cell r="W1290">
            <v>17.114647752848121</v>
          </cell>
          <cell r="X1290">
            <v>16.821951869880493</v>
          </cell>
          <cell r="Y1290">
            <v>16.589086137642596</v>
          </cell>
          <cell r="Z1290">
            <v>16.356220405404699</v>
          </cell>
          <cell r="AA1290">
            <v>16.123354673166808</v>
          </cell>
          <cell r="AB1290">
            <v>15.890488940928911</v>
          </cell>
          <cell r="AC1290">
            <v>15.657623208691012</v>
          </cell>
          <cell r="AD1290">
            <v>15.434670120825308</v>
          </cell>
          <cell r="AE1290">
            <v>15.211717032959616</v>
          </cell>
          <cell r="AF1290">
            <v>14.988763945093925</v>
          </cell>
          <cell r="AG1290">
            <v>14.765810857228233</v>
          </cell>
          <cell r="AH1290">
            <v>14.542857769362541</v>
          </cell>
        </row>
        <row r="1291">
          <cell r="B1291" t="str">
            <v>Nitrogen - Total cost - Asia - USD/ton fuel</v>
          </cell>
          <cell r="G1291">
            <v>63.823819214424681</v>
          </cell>
          <cell r="H1291">
            <v>57.691679746103915</v>
          </cell>
          <cell r="I1291">
            <v>51.559540277783768</v>
          </cell>
          <cell r="J1291">
            <v>45.769954197792259</v>
          </cell>
          <cell r="K1291">
            <v>39.996743669398164</v>
          </cell>
          <cell r="L1291">
            <v>34.239908692601006</v>
          </cell>
          <cell r="M1291">
            <v>28.499449267400983</v>
          </cell>
          <cell r="N1291">
            <v>22.775365393798197</v>
          </cell>
          <cell r="O1291">
            <v>22.304608279929006</v>
          </cell>
          <cell r="P1291">
            <v>21.833851166059876</v>
          </cell>
          <cell r="Q1291">
            <v>21.363094052190831</v>
          </cell>
          <cell r="R1291">
            <v>20.892336938321705</v>
          </cell>
          <cell r="S1291">
            <v>20.421579824452571</v>
          </cell>
          <cell r="T1291">
            <v>20.087607166211807</v>
          </cell>
          <cell r="U1291">
            <v>19.753634507971043</v>
          </cell>
          <cell r="V1291">
            <v>19.419661849730325</v>
          </cell>
          <cell r="W1291">
            <v>19.085689191489564</v>
          </cell>
          <cell r="X1291">
            <v>18.751716533248889</v>
          </cell>
          <cell r="Y1291">
            <v>18.411133125486174</v>
          </cell>
          <cell r="Z1291">
            <v>18.070549717723505</v>
          </cell>
          <cell r="AA1291">
            <v>17.72996630996079</v>
          </cell>
          <cell r="AB1291">
            <v>17.389382902198118</v>
          </cell>
          <cell r="AC1291">
            <v>17.048799494435407</v>
          </cell>
          <cell r="AD1291">
            <v>16.788390406441305</v>
          </cell>
          <cell r="AE1291">
            <v>16.527981318447186</v>
          </cell>
          <cell r="AF1291">
            <v>16.267572230453087</v>
          </cell>
          <cell r="AG1291">
            <v>16.007163142458989</v>
          </cell>
          <cell r="AH1291">
            <v>15.746754054464866</v>
          </cell>
        </row>
        <row r="1292">
          <cell r="B1292" t="str">
            <v>Nitrogen - Total cost - Europe - USD/ton fuel</v>
          </cell>
          <cell r="G1292">
            <v>60.172677845373265</v>
          </cell>
          <cell r="H1292">
            <v>54.837603566500185</v>
          </cell>
          <cell r="I1292">
            <v>49.502529287627134</v>
          </cell>
          <cell r="J1292">
            <v>43.828821654708456</v>
          </cell>
          <cell r="K1292">
            <v>38.168582971636823</v>
          </cell>
          <cell r="L1292">
            <v>32.521813238412349</v>
          </cell>
          <cell r="M1292">
            <v>26.888512455034856</v>
          </cell>
          <cell r="N1292">
            <v>21.268680621504462</v>
          </cell>
          <cell r="O1292">
            <v>20.936271974636554</v>
          </cell>
          <cell r="P1292">
            <v>20.603863327768757</v>
          </cell>
          <cell r="Q1292">
            <v>20.271454680900913</v>
          </cell>
          <cell r="R1292">
            <v>19.939046034033069</v>
          </cell>
          <cell r="S1292">
            <v>19.606637387165271</v>
          </cell>
          <cell r="T1292">
            <v>19.330604813790011</v>
          </cell>
          <cell r="U1292">
            <v>19.054572240414775</v>
          </cell>
          <cell r="V1292">
            <v>18.778539667039539</v>
          </cell>
          <cell r="W1292">
            <v>18.502507093664299</v>
          </cell>
          <cell r="X1292">
            <v>18.226474520289017</v>
          </cell>
          <cell r="Y1292">
            <v>17.944609747698756</v>
          </cell>
          <cell r="Z1292">
            <v>17.662744975108474</v>
          </cell>
          <cell r="AA1292">
            <v>17.380880202518213</v>
          </cell>
          <cell r="AB1292">
            <v>17.099015429927928</v>
          </cell>
          <cell r="AC1292">
            <v>16.81715065733767</v>
          </cell>
          <cell r="AD1292">
            <v>16.55944827885304</v>
          </cell>
          <cell r="AE1292">
            <v>16.301745900368388</v>
          </cell>
          <cell r="AF1292">
            <v>16.044043521883761</v>
          </cell>
          <cell r="AG1292">
            <v>15.786341143399135</v>
          </cell>
          <cell r="AH1292">
            <v>15.528638764914483</v>
          </cell>
        </row>
        <row r="1293">
          <cell r="B1293" t="str">
            <v>Nitrogen - Total cost - Middle East - USD/ton fuel</v>
          </cell>
          <cell r="G1293">
            <v>57.681136334762741</v>
          </cell>
          <cell r="H1293">
            <v>52.445074638095505</v>
          </cell>
          <cell r="I1293">
            <v>47.209012941428185</v>
          </cell>
          <cell r="J1293">
            <v>41.707041219472472</v>
          </cell>
          <cell r="K1293">
            <v>36.213722313520933</v>
          </cell>
          <cell r="L1293">
            <v>30.729056223573529</v>
          </cell>
          <cell r="M1293">
            <v>25.253042949630256</v>
          </cell>
          <cell r="N1293">
            <v>19.785682491691063</v>
          </cell>
          <cell r="O1293">
            <v>19.440651681739325</v>
          </cell>
          <cell r="P1293">
            <v>19.095620871787613</v>
          </cell>
          <cell r="Q1293">
            <v>18.750590061835851</v>
          </cell>
          <cell r="R1293">
            <v>18.405559251884142</v>
          </cell>
          <cell r="S1293">
            <v>18.060528441932426</v>
          </cell>
          <cell r="T1293">
            <v>17.791551097687908</v>
          </cell>
          <cell r="U1293">
            <v>17.522573753443393</v>
          </cell>
          <cell r="V1293">
            <v>17.253596409198899</v>
          </cell>
          <cell r="W1293">
            <v>16.98461906495438</v>
          </cell>
          <cell r="X1293">
            <v>16.715641720709861</v>
          </cell>
          <cell r="Y1293">
            <v>16.422849633000681</v>
          </cell>
          <cell r="Z1293">
            <v>16.130057545291525</v>
          </cell>
          <cell r="AA1293">
            <v>15.83726545758234</v>
          </cell>
          <cell r="AB1293">
            <v>15.544473369873183</v>
          </cell>
          <cell r="AC1293">
            <v>15.251681282163991</v>
          </cell>
          <cell r="AD1293">
            <v>15.012241438932278</v>
          </cell>
          <cell r="AE1293">
            <v>14.772801595700578</v>
          </cell>
          <cell r="AF1293">
            <v>14.533361752468865</v>
          </cell>
          <cell r="AG1293">
            <v>14.293921909237154</v>
          </cell>
          <cell r="AH1293">
            <v>14.054482066005454</v>
          </cell>
        </row>
        <row r="1294">
          <cell r="B1294" t="str">
            <v/>
          </cell>
        </row>
        <row r="1295">
          <cell r="B1295" t="str">
            <v>Nitrogen - CAPEX including feedstock CAPEX - Global - USD/ton fuel</v>
          </cell>
          <cell r="G1295">
            <v>12.866666666666667</v>
          </cell>
          <cell r="H1295">
            <v>11.6</v>
          </cell>
          <cell r="I1295">
            <v>10.333333333333334</v>
          </cell>
          <cell r="J1295">
            <v>9</v>
          </cell>
          <cell r="K1295">
            <v>7.666666666666667</v>
          </cell>
          <cell r="L1295">
            <v>6.333333333333333</v>
          </cell>
          <cell r="M1295">
            <v>5</v>
          </cell>
          <cell r="N1295">
            <v>3.6666666666666665</v>
          </cell>
          <cell r="O1295">
            <v>3.6166666666666667</v>
          </cell>
          <cell r="P1295">
            <v>3.5666666666666669</v>
          </cell>
          <cell r="Q1295">
            <v>3.5166666666666666</v>
          </cell>
          <cell r="R1295">
            <v>3.4666666666666668</v>
          </cell>
          <cell r="S1295">
            <v>3.4166666666666665</v>
          </cell>
          <cell r="T1295">
            <v>3.3666666666666667</v>
          </cell>
          <cell r="U1295">
            <v>3.3166666666666669</v>
          </cell>
          <cell r="V1295">
            <v>3.2666666666666666</v>
          </cell>
          <cell r="W1295">
            <v>3.2166666666666668</v>
          </cell>
          <cell r="X1295">
            <v>3.1666666666666665</v>
          </cell>
          <cell r="Y1295">
            <v>3.1166666666666667</v>
          </cell>
          <cell r="Z1295">
            <v>3.0666666666666669</v>
          </cell>
          <cell r="AA1295">
            <v>3.0166666666666666</v>
          </cell>
          <cell r="AB1295">
            <v>2.9666666666666668</v>
          </cell>
          <cell r="AC1295">
            <v>2.9166666666666665</v>
          </cell>
          <cell r="AD1295">
            <v>2.8666666666666667</v>
          </cell>
          <cell r="AE1295">
            <v>2.8166666666666669</v>
          </cell>
          <cell r="AF1295">
            <v>2.7666666666666666</v>
          </cell>
          <cell r="AG1295">
            <v>2.7166666666666668</v>
          </cell>
          <cell r="AH1295">
            <v>2.6666666666666665</v>
          </cell>
        </row>
        <row r="1296">
          <cell r="B1296" t="str">
            <v>Nitrogen - CAPEX - Global - USD/ton fuel</v>
          </cell>
          <cell r="G1296">
            <v>12.866666666666667</v>
          </cell>
          <cell r="H1296">
            <v>11.6</v>
          </cell>
          <cell r="I1296">
            <v>10.333333333333334</v>
          </cell>
          <cell r="J1296">
            <v>9</v>
          </cell>
          <cell r="K1296">
            <v>7.666666666666667</v>
          </cell>
          <cell r="L1296">
            <v>6.333333333333333</v>
          </cell>
          <cell r="M1296">
            <v>5</v>
          </cell>
          <cell r="N1296">
            <v>3.6666666666666665</v>
          </cell>
          <cell r="O1296">
            <v>3.6166666666666667</v>
          </cell>
          <cell r="P1296">
            <v>3.5666666666666669</v>
          </cell>
          <cell r="Q1296">
            <v>3.5166666666666666</v>
          </cell>
          <cell r="R1296">
            <v>3.4666666666666668</v>
          </cell>
          <cell r="S1296">
            <v>3.4166666666666665</v>
          </cell>
          <cell r="T1296">
            <v>3.3666666666666667</v>
          </cell>
          <cell r="U1296">
            <v>3.3166666666666669</v>
          </cell>
          <cell r="V1296">
            <v>3.2666666666666666</v>
          </cell>
          <cell r="W1296">
            <v>3.2166666666666668</v>
          </cell>
          <cell r="X1296">
            <v>3.1666666666666665</v>
          </cell>
          <cell r="Y1296">
            <v>3.1166666666666667</v>
          </cell>
          <cell r="Z1296">
            <v>3.0666666666666669</v>
          </cell>
          <cell r="AA1296">
            <v>3.0166666666666666</v>
          </cell>
          <cell r="AB1296">
            <v>2.9666666666666668</v>
          </cell>
          <cell r="AC1296">
            <v>2.9166666666666665</v>
          </cell>
          <cell r="AD1296">
            <v>2.8666666666666667</v>
          </cell>
          <cell r="AE1296">
            <v>2.8166666666666669</v>
          </cell>
          <cell r="AF1296">
            <v>2.7666666666666666</v>
          </cell>
          <cell r="AG1296">
            <v>2.7166666666666668</v>
          </cell>
          <cell r="AH1296">
            <v>2.6666666666666665</v>
          </cell>
        </row>
        <row r="1297">
          <cell r="B1297" t="str">
            <v/>
          </cell>
        </row>
        <row r="1298">
          <cell r="B1298" t="str">
            <v>Nitrogen - OPEX including feedstock OPEX - Global - USD/ton fuel</v>
          </cell>
          <cell r="G1298">
            <v>15.44</v>
          </cell>
          <cell r="H1298">
            <v>13.92</v>
          </cell>
          <cell r="I1298">
            <v>12.4</v>
          </cell>
          <cell r="J1298">
            <v>10.8</v>
          </cell>
          <cell r="K1298">
            <v>9.2000000000000011</v>
          </cell>
          <cell r="L1298">
            <v>7.6000000000000005</v>
          </cell>
          <cell r="M1298">
            <v>6</v>
          </cell>
          <cell r="N1298">
            <v>4.4000000000000004</v>
          </cell>
          <cell r="O1298">
            <v>4.34</v>
          </cell>
          <cell r="P1298">
            <v>4.28</v>
          </cell>
          <cell r="Q1298">
            <v>4.22</v>
          </cell>
          <cell r="R1298">
            <v>4.16</v>
          </cell>
          <cell r="S1298">
            <v>4.0999999999999996</v>
          </cell>
          <cell r="T1298">
            <v>4.04</v>
          </cell>
          <cell r="U1298">
            <v>3.98</v>
          </cell>
          <cell r="V1298">
            <v>3.92</v>
          </cell>
          <cell r="W1298">
            <v>3.86</v>
          </cell>
          <cell r="X1298">
            <v>3.8000000000000003</v>
          </cell>
          <cell r="Y1298">
            <v>3.74</v>
          </cell>
          <cell r="Z1298">
            <v>3.68</v>
          </cell>
          <cell r="AA1298">
            <v>3.62</v>
          </cell>
          <cell r="AB1298">
            <v>3.56</v>
          </cell>
          <cell r="AC1298">
            <v>3.5</v>
          </cell>
          <cell r="AD1298">
            <v>3.44</v>
          </cell>
          <cell r="AE1298">
            <v>3.38</v>
          </cell>
          <cell r="AF1298">
            <v>3.3200000000000003</v>
          </cell>
          <cell r="AG1298">
            <v>3.2600000000000002</v>
          </cell>
          <cell r="AH1298">
            <v>3.2</v>
          </cell>
        </row>
        <row r="1299">
          <cell r="B1299" t="str">
            <v>Nitrogen - OPEX - Global - USD/ton fuel</v>
          </cell>
          <cell r="G1299">
            <v>15.44</v>
          </cell>
          <cell r="H1299">
            <v>13.92</v>
          </cell>
          <cell r="I1299">
            <v>12.4</v>
          </cell>
          <cell r="J1299">
            <v>10.8</v>
          </cell>
          <cell r="K1299">
            <v>9.2000000000000011</v>
          </cell>
          <cell r="L1299">
            <v>7.6000000000000005</v>
          </cell>
          <cell r="M1299">
            <v>6</v>
          </cell>
          <cell r="N1299">
            <v>4.4000000000000004</v>
          </cell>
          <cell r="O1299">
            <v>4.34</v>
          </cell>
          <cell r="P1299">
            <v>4.28</v>
          </cell>
          <cell r="Q1299">
            <v>4.22</v>
          </cell>
          <cell r="R1299">
            <v>4.16</v>
          </cell>
          <cell r="S1299">
            <v>4.0999999999999996</v>
          </cell>
          <cell r="T1299">
            <v>4.04</v>
          </cell>
          <cell r="U1299">
            <v>3.98</v>
          </cell>
          <cell r="V1299">
            <v>3.92</v>
          </cell>
          <cell r="W1299">
            <v>3.86</v>
          </cell>
          <cell r="X1299">
            <v>3.8000000000000003</v>
          </cell>
          <cell r="Y1299">
            <v>3.74</v>
          </cell>
          <cell r="Z1299">
            <v>3.68</v>
          </cell>
          <cell r="AA1299">
            <v>3.62</v>
          </cell>
          <cell r="AB1299">
            <v>3.56</v>
          </cell>
          <cell r="AC1299">
            <v>3.5</v>
          </cell>
          <cell r="AD1299">
            <v>3.44</v>
          </cell>
          <cell r="AE1299">
            <v>3.38</v>
          </cell>
          <cell r="AF1299">
            <v>3.3200000000000003</v>
          </cell>
          <cell r="AG1299">
            <v>3.2600000000000002</v>
          </cell>
          <cell r="AH1299">
            <v>3.2</v>
          </cell>
        </row>
        <row r="1300">
          <cell r="B1300" t="str">
            <v/>
          </cell>
        </row>
        <row r="1301">
          <cell r="B1301" t="str">
            <v>Nitrogen - Finance cost including feedstock finance cost - Africa - USD/ton fuel</v>
          </cell>
          <cell r="G1301">
            <v>21.230000000000004</v>
          </cell>
          <cell r="H1301">
            <v>19.140000000000004</v>
          </cell>
          <cell r="I1301">
            <v>17.05</v>
          </cell>
          <cell r="J1301">
            <v>14.850000000000001</v>
          </cell>
          <cell r="K1301">
            <v>12.650000000000002</v>
          </cell>
          <cell r="L1301">
            <v>10.450000000000001</v>
          </cell>
          <cell r="M1301">
            <v>8.2500000000000018</v>
          </cell>
          <cell r="N1301">
            <v>6.0500000000000007</v>
          </cell>
          <cell r="O1301">
            <v>5.9675000000000011</v>
          </cell>
          <cell r="P1301">
            <v>5.8850000000000007</v>
          </cell>
          <cell r="Q1301">
            <v>5.8025000000000011</v>
          </cell>
          <cell r="R1301">
            <v>5.7200000000000006</v>
          </cell>
          <cell r="S1301">
            <v>5.6375000000000011</v>
          </cell>
          <cell r="T1301">
            <v>5.5550000000000006</v>
          </cell>
          <cell r="U1301">
            <v>5.472500000000001</v>
          </cell>
          <cell r="V1301">
            <v>5.3900000000000006</v>
          </cell>
          <cell r="W1301">
            <v>5.307500000000001</v>
          </cell>
          <cell r="X1301">
            <v>5.2250000000000005</v>
          </cell>
          <cell r="Y1301">
            <v>5.142500000000001</v>
          </cell>
          <cell r="Z1301">
            <v>5.0600000000000005</v>
          </cell>
          <cell r="AA1301">
            <v>4.9775000000000009</v>
          </cell>
          <cell r="AB1301">
            <v>4.8950000000000005</v>
          </cell>
          <cell r="AC1301">
            <v>4.8125000000000009</v>
          </cell>
          <cell r="AD1301">
            <v>4.7300000000000004</v>
          </cell>
          <cell r="AE1301">
            <v>4.6475000000000009</v>
          </cell>
          <cell r="AF1301">
            <v>4.5650000000000004</v>
          </cell>
          <cell r="AG1301">
            <v>4.4825000000000008</v>
          </cell>
          <cell r="AH1301">
            <v>4.4000000000000004</v>
          </cell>
        </row>
        <row r="1302">
          <cell r="B1302" t="str">
            <v>Nitrogen - Finance cost including feedstock finance cost - Americas - USD/ton fuel</v>
          </cell>
          <cell r="G1302">
            <v>21.230000000000004</v>
          </cell>
          <cell r="H1302">
            <v>19.140000000000004</v>
          </cell>
          <cell r="I1302">
            <v>17.05</v>
          </cell>
          <cell r="J1302">
            <v>14.850000000000001</v>
          </cell>
          <cell r="K1302">
            <v>12.650000000000002</v>
          </cell>
          <cell r="L1302">
            <v>10.450000000000001</v>
          </cell>
          <cell r="M1302">
            <v>8.2500000000000018</v>
          </cell>
          <cell r="N1302">
            <v>6.0500000000000007</v>
          </cell>
          <cell r="O1302">
            <v>5.9675000000000011</v>
          </cell>
          <cell r="P1302">
            <v>5.8850000000000007</v>
          </cell>
          <cell r="Q1302">
            <v>5.8025000000000011</v>
          </cell>
          <cell r="R1302">
            <v>5.7200000000000006</v>
          </cell>
          <cell r="S1302">
            <v>5.6375000000000011</v>
          </cell>
          <cell r="T1302">
            <v>5.5550000000000006</v>
          </cell>
          <cell r="U1302">
            <v>5.472500000000001</v>
          </cell>
          <cell r="V1302">
            <v>5.3900000000000006</v>
          </cell>
          <cell r="W1302">
            <v>5.307500000000001</v>
          </cell>
          <cell r="X1302">
            <v>5.2250000000000005</v>
          </cell>
          <cell r="Y1302">
            <v>5.142500000000001</v>
          </cell>
          <cell r="Z1302">
            <v>5.0600000000000005</v>
          </cell>
          <cell r="AA1302">
            <v>4.9775000000000009</v>
          </cell>
          <cell r="AB1302">
            <v>4.8950000000000005</v>
          </cell>
          <cell r="AC1302">
            <v>4.8125000000000009</v>
          </cell>
          <cell r="AD1302">
            <v>4.7300000000000004</v>
          </cell>
          <cell r="AE1302">
            <v>4.6475000000000009</v>
          </cell>
          <cell r="AF1302">
            <v>4.5650000000000004</v>
          </cell>
          <cell r="AG1302">
            <v>4.4825000000000008</v>
          </cell>
          <cell r="AH1302">
            <v>4.4000000000000004</v>
          </cell>
        </row>
        <row r="1303">
          <cell r="B1303" t="str">
            <v>Nitrogen - Finance cost including feedstock finance cost - Asia - USD/ton fuel</v>
          </cell>
          <cell r="G1303">
            <v>21.230000000000004</v>
          </cell>
          <cell r="H1303">
            <v>19.140000000000004</v>
          </cell>
          <cell r="I1303">
            <v>17.05</v>
          </cell>
          <cell r="J1303">
            <v>14.850000000000001</v>
          </cell>
          <cell r="K1303">
            <v>12.650000000000002</v>
          </cell>
          <cell r="L1303">
            <v>10.450000000000001</v>
          </cell>
          <cell r="M1303">
            <v>8.2500000000000018</v>
          </cell>
          <cell r="N1303">
            <v>6.0500000000000007</v>
          </cell>
          <cell r="O1303">
            <v>5.9675000000000011</v>
          </cell>
          <cell r="P1303">
            <v>5.8850000000000007</v>
          </cell>
          <cell r="Q1303">
            <v>5.8025000000000011</v>
          </cell>
          <cell r="R1303">
            <v>5.7200000000000006</v>
          </cell>
          <cell r="S1303">
            <v>5.6375000000000011</v>
          </cell>
          <cell r="T1303">
            <v>5.5550000000000006</v>
          </cell>
          <cell r="U1303">
            <v>5.472500000000001</v>
          </cell>
          <cell r="V1303">
            <v>5.3900000000000006</v>
          </cell>
          <cell r="W1303">
            <v>5.307500000000001</v>
          </cell>
          <cell r="X1303">
            <v>5.2250000000000005</v>
          </cell>
          <cell r="Y1303">
            <v>5.142500000000001</v>
          </cell>
          <cell r="Z1303">
            <v>5.0600000000000005</v>
          </cell>
          <cell r="AA1303">
            <v>4.9775000000000009</v>
          </cell>
          <cell r="AB1303">
            <v>4.8950000000000005</v>
          </cell>
          <cell r="AC1303">
            <v>4.8125000000000009</v>
          </cell>
          <cell r="AD1303">
            <v>4.7300000000000004</v>
          </cell>
          <cell r="AE1303">
            <v>4.6475000000000009</v>
          </cell>
          <cell r="AF1303">
            <v>4.5650000000000004</v>
          </cell>
          <cell r="AG1303">
            <v>4.4825000000000008</v>
          </cell>
          <cell r="AH1303">
            <v>4.4000000000000004</v>
          </cell>
        </row>
        <row r="1304">
          <cell r="B1304" t="str">
            <v>Nitrogen - Finance cost including feedstock finance cost - Europe - USD/ton fuel</v>
          </cell>
          <cell r="G1304">
            <v>21.230000000000004</v>
          </cell>
          <cell r="H1304">
            <v>19.140000000000004</v>
          </cell>
          <cell r="I1304">
            <v>17.05</v>
          </cell>
          <cell r="J1304">
            <v>14.850000000000001</v>
          </cell>
          <cell r="K1304">
            <v>12.650000000000002</v>
          </cell>
          <cell r="L1304">
            <v>10.450000000000001</v>
          </cell>
          <cell r="M1304">
            <v>8.2500000000000018</v>
          </cell>
          <cell r="N1304">
            <v>6.0500000000000007</v>
          </cell>
          <cell r="O1304">
            <v>5.9675000000000011</v>
          </cell>
          <cell r="P1304">
            <v>5.8850000000000007</v>
          </cell>
          <cell r="Q1304">
            <v>5.8025000000000011</v>
          </cell>
          <cell r="R1304">
            <v>5.7200000000000006</v>
          </cell>
          <cell r="S1304">
            <v>5.6375000000000011</v>
          </cell>
          <cell r="T1304">
            <v>5.5550000000000006</v>
          </cell>
          <cell r="U1304">
            <v>5.472500000000001</v>
          </cell>
          <cell r="V1304">
            <v>5.3900000000000006</v>
          </cell>
          <cell r="W1304">
            <v>5.307500000000001</v>
          </cell>
          <cell r="X1304">
            <v>5.2250000000000005</v>
          </cell>
          <cell r="Y1304">
            <v>5.142500000000001</v>
          </cell>
          <cell r="Z1304">
            <v>5.0600000000000005</v>
          </cell>
          <cell r="AA1304">
            <v>4.9775000000000009</v>
          </cell>
          <cell r="AB1304">
            <v>4.8950000000000005</v>
          </cell>
          <cell r="AC1304">
            <v>4.8125000000000009</v>
          </cell>
          <cell r="AD1304">
            <v>4.7300000000000004</v>
          </cell>
          <cell r="AE1304">
            <v>4.6475000000000009</v>
          </cell>
          <cell r="AF1304">
            <v>4.5650000000000004</v>
          </cell>
          <cell r="AG1304">
            <v>4.4825000000000008</v>
          </cell>
          <cell r="AH1304">
            <v>4.4000000000000004</v>
          </cell>
        </row>
        <row r="1305">
          <cell r="B1305" t="str">
            <v>Nitrogen - Finance cost including feedstock finance cost - Middle East - USD/ton fuel</v>
          </cell>
          <cell r="G1305">
            <v>21.230000000000004</v>
          </cell>
          <cell r="H1305">
            <v>19.140000000000004</v>
          </cell>
          <cell r="I1305">
            <v>17.05</v>
          </cell>
          <cell r="J1305">
            <v>14.850000000000001</v>
          </cell>
          <cell r="K1305">
            <v>12.650000000000002</v>
          </cell>
          <cell r="L1305">
            <v>10.450000000000001</v>
          </cell>
          <cell r="M1305">
            <v>8.2500000000000018</v>
          </cell>
          <cell r="N1305">
            <v>6.0500000000000007</v>
          </cell>
          <cell r="O1305">
            <v>5.9675000000000011</v>
          </cell>
          <cell r="P1305">
            <v>5.8850000000000007</v>
          </cell>
          <cell r="Q1305">
            <v>5.8025000000000011</v>
          </cell>
          <cell r="R1305">
            <v>5.7200000000000006</v>
          </cell>
          <cell r="S1305">
            <v>5.6375000000000011</v>
          </cell>
          <cell r="T1305">
            <v>5.5550000000000006</v>
          </cell>
          <cell r="U1305">
            <v>5.472500000000001</v>
          </cell>
          <cell r="V1305">
            <v>5.3900000000000006</v>
          </cell>
          <cell r="W1305">
            <v>5.307500000000001</v>
          </cell>
          <cell r="X1305">
            <v>5.2250000000000005</v>
          </cell>
          <cell r="Y1305">
            <v>5.142500000000001</v>
          </cell>
          <cell r="Z1305">
            <v>5.0600000000000005</v>
          </cell>
          <cell r="AA1305">
            <v>4.9775000000000009</v>
          </cell>
          <cell r="AB1305">
            <v>4.8950000000000005</v>
          </cell>
          <cell r="AC1305">
            <v>4.8125000000000009</v>
          </cell>
          <cell r="AD1305">
            <v>4.7300000000000004</v>
          </cell>
          <cell r="AE1305">
            <v>4.6475000000000009</v>
          </cell>
          <cell r="AF1305">
            <v>4.5650000000000004</v>
          </cell>
          <cell r="AG1305">
            <v>4.4825000000000008</v>
          </cell>
          <cell r="AH1305">
            <v>4.4000000000000004</v>
          </cell>
        </row>
        <row r="1306">
          <cell r="B1306" t="str">
            <v>Nitrogen - Finance cost - Africa - USD/ton fuel</v>
          </cell>
          <cell r="G1306">
            <v>21.230000000000004</v>
          </cell>
          <cell r="H1306">
            <v>19.140000000000004</v>
          </cell>
          <cell r="I1306">
            <v>17.05</v>
          </cell>
          <cell r="J1306">
            <v>14.850000000000001</v>
          </cell>
          <cell r="K1306">
            <v>12.650000000000002</v>
          </cell>
          <cell r="L1306">
            <v>10.450000000000001</v>
          </cell>
          <cell r="M1306">
            <v>8.2500000000000018</v>
          </cell>
          <cell r="N1306">
            <v>6.0500000000000007</v>
          </cell>
          <cell r="O1306">
            <v>5.9675000000000011</v>
          </cell>
          <cell r="P1306">
            <v>5.8850000000000007</v>
          </cell>
          <cell r="Q1306">
            <v>5.8025000000000011</v>
          </cell>
          <cell r="R1306">
            <v>5.7200000000000006</v>
          </cell>
          <cell r="S1306">
            <v>5.6375000000000011</v>
          </cell>
          <cell r="T1306">
            <v>5.5550000000000006</v>
          </cell>
          <cell r="U1306">
            <v>5.472500000000001</v>
          </cell>
          <cell r="V1306">
            <v>5.3900000000000006</v>
          </cell>
          <cell r="W1306">
            <v>5.307500000000001</v>
          </cell>
          <cell r="X1306">
            <v>5.2250000000000005</v>
          </cell>
          <cell r="Y1306">
            <v>5.142500000000001</v>
          </cell>
          <cell r="Z1306">
            <v>5.0600000000000005</v>
          </cell>
          <cell r="AA1306">
            <v>4.9775000000000009</v>
          </cell>
          <cell r="AB1306">
            <v>4.8950000000000005</v>
          </cell>
          <cell r="AC1306">
            <v>4.8125000000000009</v>
          </cell>
          <cell r="AD1306">
            <v>4.7300000000000004</v>
          </cell>
          <cell r="AE1306">
            <v>4.6475000000000009</v>
          </cell>
          <cell r="AF1306">
            <v>4.5650000000000004</v>
          </cell>
          <cell r="AG1306">
            <v>4.4825000000000008</v>
          </cell>
          <cell r="AH1306">
            <v>4.4000000000000004</v>
          </cell>
        </row>
        <row r="1307">
          <cell r="B1307" t="str">
            <v>Nitrogen - Finance cost - Americas - USD/ton fuel</v>
          </cell>
          <cell r="G1307">
            <v>21.230000000000004</v>
          </cell>
          <cell r="H1307">
            <v>19.140000000000004</v>
          </cell>
          <cell r="I1307">
            <v>17.05</v>
          </cell>
          <cell r="J1307">
            <v>14.850000000000001</v>
          </cell>
          <cell r="K1307">
            <v>12.650000000000002</v>
          </cell>
          <cell r="L1307">
            <v>10.450000000000001</v>
          </cell>
          <cell r="M1307">
            <v>8.2500000000000018</v>
          </cell>
          <cell r="N1307">
            <v>6.0500000000000007</v>
          </cell>
          <cell r="O1307">
            <v>5.9675000000000011</v>
          </cell>
          <cell r="P1307">
            <v>5.8850000000000007</v>
          </cell>
          <cell r="Q1307">
            <v>5.8025000000000011</v>
          </cell>
          <cell r="R1307">
            <v>5.7200000000000006</v>
          </cell>
          <cell r="S1307">
            <v>5.6375000000000011</v>
          </cell>
          <cell r="T1307">
            <v>5.5550000000000006</v>
          </cell>
          <cell r="U1307">
            <v>5.472500000000001</v>
          </cell>
          <cell r="V1307">
            <v>5.3900000000000006</v>
          </cell>
          <cell r="W1307">
            <v>5.307500000000001</v>
          </cell>
          <cell r="X1307">
            <v>5.2250000000000005</v>
          </cell>
          <cell r="Y1307">
            <v>5.142500000000001</v>
          </cell>
          <cell r="Z1307">
            <v>5.0600000000000005</v>
          </cell>
          <cell r="AA1307">
            <v>4.9775000000000009</v>
          </cell>
          <cell r="AB1307">
            <v>4.8950000000000005</v>
          </cell>
          <cell r="AC1307">
            <v>4.8125000000000009</v>
          </cell>
          <cell r="AD1307">
            <v>4.7300000000000004</v>
          </cell>
          <cell r="AE1307">
            <v>4.6475000000000009</v>
          </cell>
          <cell r="AF1307">
            <v>4.5650000000000004</v>
          </cell>
          <cell r="AG1307">
            <v>4.4825000000000008</v>
          </cell>
          <cell r="AH1307">
            <v>4.4000000000000004</v>
          </cell>
        </row>
        <row r="1308">
          <cell r="B1308" t="str">
            <v>Nitrogen - Finance cost - Asia - USD/ton fuel</v>
          </cell>
          <cell r="G1308">
            <v>21.230000000000004</v>
          </cell>
          <cell r="H1308">
            <v>19.140000000000004</v>
          </cell>
          <cell r="I1308">
            <v>17.05</v>
          </cell>
          <cell r="J1308">
            <v>14.850000000000001</v>
          </cell>
          <cell r="K1308">
            <v>12.650000000000002</v>
          </cell>
          <cell r="L1308">
            <v>10.450000000000001</v>
          </cell>
          <cell r="M1308">
            <v>8.2500000000000018</v>
          </cell>
          <cell r="N1308">
            <v>6.0500000000000007</v>
          </cell>
          <cell r="O1308">
            <v>5.9675000000000011</v>
          </cell>
          <cell r="P1308">
            <v>5.8850000000000007</v>
          </cell>
          <cell r="Q1308">
            <v>5.8025000000000011</v>
          </cell>
          <cell r="R1308">
            <v>5.7200000000000006</v>
          </cell>
          <cell r="S1308">
            <v>5.6375000000000011</v>
          </cell>
          <cell r="T1308">
            <v>5.5550000000000006</v>
          </cell>
          <cell r="U1308">
            <v>5.472500000000001</v>
          </cell>
          <cell r="V1308">
            <v>5.3900000000000006</v>
          </cell>
          <cell r="W1308">
            <v>5.307500000000001</v>
          </cell>
          <cell r="X1308">
            <v>5.2250000000000005</v>
          </cell>
          <cell r="Y1308">
            <v>5.142500000000001</v>
          </cell>
          <cell r="Z1308">
            <v>5.0600000000000005</v>
          </cell>
          <cell r="AA1308">
            <v>4.9775000000000009</v>
          </cell>
          <cell r="AB1308">
            <v>4.8950000000000005</v>
          </cell>
          <cell r="AC1308">
            <v>4.8125000000000009</v>
          </cell>
          <cell r="AD1308">
            <v>4.7300000000000004</v>
          </cell>
          <cell r="AE1308">
            <v>4.6475000000000009</v>
          </cell>
          <cell r="AF1308">
            <v>4.5650000000000004</v>
          </cell>
          <cell r="AG1308">
            <v>4.4825000000000008</v>
          </cell>
          <cell r="AH1308">
            <v>4.4000000000000004</v>
          </cell>
        </row>
        <row r="1309">
          <cell r="B1309" t="str">
            <v>Nitrogen - Finance cost - Europe - USD/ton fuel</v>
          </cell>
          <cell r="G1309">
            <v>21.230000000000004</v>
          </cell>
          <cell r="H1309">
            <v>19.140000000000004</v>
          </cell>
          <cell r="I1309">
            <v>17.05</v>
          </cell>
          <cell r="J1309">
            <v>14.850000000000001</v>
          </cell>
          <cell r="K1309">
            <v>12.650000000000002</v>
          </cell>
          <cell r="L1309">
            <v>10.450000000000001</v>
          </cell>
          <cell r="M1309">
            <v>8.2500000000000018</v>
          </cell>
          <cell r="N1309">
            <v>6.0500000000000007</v>
          </cell>
          <cell r="O1309">
            <v>5.9675000000000011</v>
          </cell>
          <cell r="P1309">
            <v>5.8850000000000007</v>
          </cell>
          <cell r="Q1309">
            <v>5.8025000000000011</v>
          </cell>
          <cell r="R1309">
            <v>5.7200000000000006</v>
          </cell>
          <cell r="S1309">
            <v>5.6375000000000011</v>
          </cell>
          <cell r="T1309">
            <v>5.5550000000000006</v>
          </cell>
          <cell r="U1309">
            <v>5.472500000000001</v>
          </cell>
          <cell r="V1309">
            <v>5.3900000000000006</v>
          </cell>
          <cell r="W1309">
            <v>5.307500000000001</v>
          </cell>
          <cell r="X1309">
            <v>5.2250000000000005</v>
          </cell>
          <cell r="Y1309">
            <v>5.142500000000001</v>
          </cell>
          <cell r="Z1309">
            <v>5.0600000000000005</v>
          </cell>
          <cell r="AA1309">
            <v>4.9775000000000009</v>
          </cell>
          <cell r="AB1309">
            <v>4.8950000000000005</v>
          </cell>
          <cell r="AC1309">
            <v>4.8125000000000009</v>
          </cell>
          <cell r="AD1309">
            <v>4.7300000000000004</v>
          </cell>
          <cell r="AE1309">
            <v>4.6475000000000009</v>
          </cell>
          <cell r="AF1309">
            <v>4.5650000000000004</v>
          </cell>
          <cell r="AG1309">
            <v>4.4825000000000008</v>
          </cell>
          <cell r="AH1309">
            <v>4.4000000000000004</v>
          </cell>
        </row>
        <row r="1310">
          <cell r="B1310" t="str">
            <v>Nitrogen - Finance cost - Middle East - USD/ton fuel</v>
          </cell>
          <cell r="G1310">
            <v>21.230000000000004</v>
          </cell>
          <cell r="H1310">
            <v>19.140000000000004</v>
          </cell>
          <cell r="I1310">
            <v>17.05</v>
          </cell>
          <cell r="J1310">
            <v>14.850000000000001</v>
          </cell>
          <cell r="K1310">
            <v>12.650000000000002</v>
          </cell>
          <cell r="L1310">
            <v>10.450000000000001</v>
          </cell>
          <cell r="M1310">
            <v>8.2500000000000018</v>
          </cell>
          <cell r="N1310">
            <v>6.0500000000000007</v>
          </cell>
          <cell r="O1310">
            <v>5.9675000000000011</v>
          </cell>
          <cell r="P1310">
            <v>5.8850000000000007</v>
          </cell>
          <cell r="Q1310">
            <v>5.8025000000000011</v>
          </cell>
          <cell r="R1310">
            <v>5.7200000000000006</v>
          </cell>
          <cell r="S1310">
            <v>5.6375000000000011</v>
          </cell>
          <cell r="T1310">
            <v>5.5550000000000006</v>
          </cell>
          <cell r="U1310">
            <v>5.472500000000001</v>
          </cell>
          <cell r="V1310">
            <v>5.3900000000000006</v>
          </cell>
          <cell r="W1310">
            <v>5.307500000000001</v>
          </cell>
          <cell r="X1310">
            <v>5.2250000000000005</v>
          </cell>
          <cell r="Y1310">
            <v>5.142500000000001</v>
          </cell>
          <cell r="Z1310">
            <v>5.0600000000000005</v>
          </cell>
          <cell r="AA1310">
            <v>4.9775000000000009</v>
          </cell>
          <cell r="AB1310">
            <v>4.8950000000000005</v>
          </cell>
          <cell r="AC1310">
            <v>4.8125000000000009</v>
          </cell>
          <cell r="AD1310">
            <v>4.7300000000000004</v>
          </cell>
          <cell r="AE1310">
            <v>4.6475000000000009</v>
          </cell>
          <cell r="AF1310">
            <v>4.5650000000000004</v>
          </cell>
          <cell r="AG1310">
            <v>4.4825000000000008</v>
          </cell>
          <cell r="AH1310">
            <v>4.4000000000000004</v>
          </cell>
        </row>
        <row r="1311">
          <cell r="B1311" t="str">
            <v/>
          </cell>
        </row>
        <row r="1312">
          <cell r="B1312" t="str">
            <v>Nitrogen - Energy cost including feedstock energy cost - Africa - USD/ton fuel</v>
          </cell>
          <cell r="G1312">
            <v>12.845757524713116</v>
          </cell>
          <cell r="H1312">
            <v>11.337325174045109</v>
          </cell>
          <cell r="I1312">
            <v>9.8288928233767283</v>
          </cell>
          <cell r="J1312">
            <v>9.2373317319683625</v>
          </cell>
          <cell r="K1312">
            <v>8.6610615275661882</v>
          </cell>
          <cell r="L1312">
            <v>8.1000822101701271</v>
          </cell>
          <cell r="M1312">
            <v>7.554393779780086</v>
          </cell>
          <cell r="N1312">
            <v>7.0239962363961901</v>
          </cell>
          <cell r="O1312">
            <v>6.8106114196853929</v>
          </cell>
          <cell r="P1312">
            <v>6.5972266029745699</v>
          </cell>
          <cell r="Q1312">
            <v>6.3838417862636563</v>
          </cell>
          <cell r="R1312">
            <v>6.1704569695528342</v>
          </cell>
          <cell r="S1312">
            <v>5.9570721528420343</v>
          </cell>
          <cell r="T1312">
            <v>5.8566354259806079</v>
          </cell>
          <cell r="U1312">
            <v>5.7561986991192047</v>
          </cell>
          <cell r="V1312">
            <v>5.6557619722577783</v>
          </cell>
          <cell r="W1312">
            <v>5.5553252453963529</v>
          </cell>
          <cell r="X1312">
            <v>5.4548885185349718</v>
          </cell>
          <cell r="Y1312">
            <v>5.3516123298692495</v>
          </cell>
          <cell r="Z1312">
            <v>5.2483361412035272</v>
          </cell>
          <cell r="AA1312">
            <v>5.1450599525377587</v>
          </cell>
          <cell r="AB1312">
            <v>5.0417837638720364</v>
          </cell>
          <cell r="AC1312">
            <v>4.938507575206291</v>
          </cell>
          <cell r="AD1312">
            <v>4.8878168559212787</v>
          </cell>
          <cell r="AE1312">
            <v>4.8371261366362894</v>
          </cell>
          <cell r="AF1312">
            <v>4.7864354173512771</v>
          </cell>
          <cell r="AG1312">
            <v>4.7357446980662647</v>
          </cell>
          <cell r="AH1312">
            <v>4.6850539787812755</v>
          </cell>
        </row>
        <row r="1313">
          <cell r="B1313" t="str">
            <v>Nitrogen - Energy cost including feedstock energy cost - Americas - USD/ton fuel</v>
          </cell>
          <cell r="G1313">
            <v>8.0711805987487466</v>
          </cell>
          <cell r="H1313">
            <v>7.9040377134339765</v>
          </cell>
          <cell r="I1313">
            <v>7.7368948281191798</v>
          </cell>
          <cell r="J1313">
            <v>7.3188239421071319</v>
          </cell>
          <cell r="K1313">
            <v>6.9110271327971944</v>
          </cell>
          <cell r="L1313">
            <v>6.5135044001893023</v>
          </cell>
          <cell r="M1313">
            <v>6.1262557442835499</v>
          </cell>
          <cell r="N1313">
            <v>5.7492811650796991</v>
          </cell>
          <cell r="O1313">
            <v>5.6256778556741667</v>
          </cell>
          <cell r="P1313">
            <v>5.5020745462686138</v>
          </cell>
          <cell r="Q1313">
            <v>5.3784712368630609</v>
          </cell>
          <cell r="R1313">
            <v>5.2548679274575081</v>
          </cell>
          <cell r="S1313">
            <v>5.131264618051933</v>
          </cell>
          <cell r="T1313">
            <v>5.0310687350843182</v>
          </cell>
          <cell r="U1313">
            <v>4.9308728521167042</v>
          </cell>
          <cell r="V1313">
            <v>4.8306769691490672</v>
          </cell>
          <cell r="W1313">
            <v>4.7304810861814532</v>
          </cell>
          <cell r="X1313">
            <v>4.6302852032138277</v>
          </cell>
          <cell r="Y1313">
            <v>4.5899194709759286</v>
          </cell>
          <cell r="Z1313">
            <v>4.5495537387380294</v>
          </cell>
          <cell r="AA1313">
            <v>4.5091880065001417</v>
          </cell>
          <cell r="AB1313">
            <v>4.4688222742622434</v>
          </cell>
          <cell r="AC1313">
            <v>4.4284565420243442</v>
          </cell>
          <cell r="AD1313">
            <v>4.3980034541586406</v>
          </cell>
          <cell r="AE1313">
            <v>4.3675503662929485</v>
          </cell>
          <cell r="AF1313">
            <v>4.3370972784272572</v>
          </cell>
          <cell r="AG1313">
            <v>4.3066441905615651</v>
          </cell>
          <cell r="AH1313">
            <v>4.276191102695873</v>
          </cell>
        </row>
        <row r="1314">
          <cell r="B1314" t="str">
            <v>Nitrogen - Energy cost including feedstock energy cost - Asia - USD/ton fuel</v>
          </cell>
          <cell r="G1314">
            <v>14.287152547758014</v>
          </cell>
          <cell r="H1314">
            <v>13.03167974610391</v>
          </cell>
          <cell r="I1314">
            <v>11.77620694445044</v>
          </cell>
          <cell r="J1314">
            <v>11.119954197792257</v>
          </cell>
          <cell r="K1314">
            <v>10.480077002731496</v>
          </cell>
          <cell r="L1314">
            <v>9.856575359267671</v>
          </cell>
          <cell r="M1314">
            <v>9.2494492674009816</v>
          </cell>
          <cell r="N1314">
            <v>8.6586987271315277</v>
          </cell>
          <cell r="O1314">
            <v>8.3804416132623381</v>
          </cell>
          <cell r="P1314">
            <v>8.1021844993932071</v>
          </cell>
          <cell r="Q1314">
            <v>7.8239273855241667</v>
          </cell>
          <cell r="R1314">
            <v>7.5456702716550357</v>
          </cell>
          <cell r="S1314">
            <v>7.2674131577859047</v>
          </cell>
          <cell r="T1314">
            <v>7.1259404995451412</v>
          </cell>
          <cell r="U1314">
            <v>6.9844678413043768</v>
          </cell>
          <cell r="V1314">
            <v>6.8429951830636586</v>
          </cell>
          <cell r="W1314">
            <v>6.7015225248228951</v>
          </cell>
          <cell r="X1314">
            <v>6.5600498665822222</v>
          </cell>
          <cell r="Y1314">
            <v>6.4119664588195064</v>
          </cell>
          <cell r="Z1314">
            <v>6.2638830510568368</v>
          </cell>
          <cell r="AA1314">
            <v>6.115799643294122</v>
          </cell>
          <cell r="AB1314">
            <v>5.9677162355314524</v>
          </cell>
          <cell r="AC1314">
            <v>5.8196328277687375</v>
          </cell>
          <cell r="AD1314">
            <v>5.751723739774639</v>
          </cell>
          <cell r="AE1314">
            <v>5.6838146517805175</v>
          </cell>
          <cell r="AF1314">
            <v>5.615905563786419</v>
          </cell>
          <cell r="AG1314">
            <v>5.5479964757923206</v>
          </cell>
          <cell r="AH1314">
            <v>5.480087387798199</v>
          </cell>
        </row>
        <row r="1315">
          <cell r="B1315" t="str">
            <v>Nitrogen - Energy cost including feedstock energy cost - Europe - USD/ton fuel</v>
          </cell>
          <cell r="G1315">
            <v>10.636011178706594</v>
          </cell>
          <cell r="H1315">
            <v>10.177603566500183</v>
          </cell>
          <cell r="I1315">
            <v>9.7191959542938005</v>
          </cell>
          <cell r="J1315">
            <v>9.178821654708452</v>
          </cell>
          <cell r="K1315">
            <v>8.6519163049701522</v>
          </cell>
          <cell r="L1315">
            <v>8.1384799050790164</v>
          </cell>
          <cell r="M1315">
            <v>7.6385124550348573</v>
          </cell>
          <cell r="N1315">
            <v>7.1520139548377957</v>
          </cell>
          <cell r="O1315">
            <v>7.012105307969887</v>
          </cell>
          <cell r="P1315">
            <v>6.8721966611020893</v>
          </cell>
          <cell r="Q1315">
            <v>6.7322880142342463</v>
          </cell>
          <cell r="R1315">
            <v>6.5923793673664024</v>
          </cell>
          <cell r="S1315">
            <v>6.4524707204986047</v>
          </cell>
          <cell r="T1315">
            <v>6.3689381471233446</v>
          </cell>
          <cell r="U1315">
            <v>6.2854055737481076</v>
          </cell>
          <cell r="V1315">
            <v>6.2018730003728706</v>
          </cell>
          <cell r="W1315">
            <v>6.1183404269976336</v>
          </cell>
          <cell r="X1315">
            <v>6.0348078536223513</v>
          </cell>
          <cell r="Y1315">
            <v>5.9454430810320904</v>
          </cell>
          <cell r="Z1315">
            <v>5.8560783084418064</v>
          </cell>
          <cell r="AA1315">
            <v>5.7667135358515456</v>
          </cell>
          <cell r="AB1315">
            <v>5.6773487632612616</v>
          </cell>
          <cell r="AC1315">
            <v>5.5879839906710007</v>
          </cell>
          <cell r="AD1315">
            <v>5.5227816121863729</v>
          </cell>
          <cell r="AE1315">
            <v>5.4575792337017219</v>
          </cell>
          <cell r="AF1315">
            <v>5.3923768552170941</v>
          </cell>
          <cell r="AG1315">
            <v>5.3271744767324662</v>
          </cell>
          <cell r="AH1315">
            <v>5.2619720982478162</v>
          </cell>
        </row>
        <row r="1316">
          <cell r="B1316" t="str">
            <v>Nitrogen - Energy cost including feedstock energy cost - Middle East - USD/ton fuel</v>
          </cell>
          <cell r="G1316">
            <v>8.1444696680960718</v>
          </cell>
          <cell r="H1316">
            <v>7.7850746380955025</v>
          </cell>
          <cell r="I1316">
            <v>7.4256796080948551</v>
          </cell>
          <cell r="J1316">
            <v>7.0570412194724659</v>
          </cell>
          <cell r="K1316">
            <v>6.6970556468542668</v>
          </cell>
          <cell r="L1316">
            <v>6.3457228902401965</v>
          </cell>
          <cell r="M1316">
            <v>6.0030429496302569</v>
          </cell>
          <cell r="N1316">
            <v>5.6690158250243963</v>
          </cell>
          <cell r="O1316">
            <v>5.5164850150726581</v>
          </cell>
          <cell r="P1316">
            <v>5.3639542051209448</v>
          </cell>
          <cell r="Q1316">
            <v>5.2114233951691862</v>
          </cell>
          <cell r="R1316">
            <v>5.0588925852174729</v>
          </cell>
          <cell r="S1316">
            <v>4.9063617752657596</v>
          </cell>
          <cell r="T1316">
            <v>4.8298844310212417</v>
          </cell>
          <cell r="U1316">
            <v>4.7534070867767246</v>
          </cell>
          <cell r="V1316">
            <v>4.6769297425322298</v>
          </cell>
          <cell r="W1316">
            <v>4.6004523982877119</v>
          </cell>
          <cell r="X1316">
            <v>4.523975054043194</v>
          </cell>
          <cell r="Y1316">
            <v>4.4236829663340131</v>
          </cell>
          <cell r="Z1316">
            <v>4.3233908786248554</v>
          </cell>
          <cell r="AA1316">
            <v>4.2230987909156736</v>
          </cell>
          <cell r="AB1316">
            <v>4.1228067032065159</v>
          </cell>
          <cell r="AC1316">
            <v>4.0225146154973235</v>
          </cell>
          <cell r="AD1316">
            <v>3.9755747722656114</v>
          </cell>
          <cell r="AE1316">
            <v>3.9286349290339104</v>
          </cell>
          <cell r="AF1316">
            <v>3.8816950858021984</v>
          </cell>
          <cell r="AG1316">
            <v>3.8347552425704863</v>
          </cell>
          <cell r="AH1316">
            <v>3.7878153993387857</v>
          </cell>
        </row>
        <row r="1317">
          <cell r="B1317" t="str">
            <v>Nitrogen - Energy cost - Africa - USD/ton fuel</v>
          </cell>
          <cell r="G1317">
            <v>12.845757524713116</v>
          </cell>
          <cell r="H1317">
            <v>11.337325174045109</v>
          </cell>
          <cell r="I1317">
            <v>9.8288928233767283</v>
          </cell>
          <cell r="J1317">
            <v>9.2373317319683625</v>
          </cell>
          <cell r="K1317">
            <v>8.6610615275661882</v>
          </cell>
          <cell r="L1317">
            <v>8.1000822101701271</v>
          </cell>
          <cell r="M1317">
            <v>7.554393779780086</v>
          </cell>
          <cell r="N1317">
            <v>7.0239962363961901</v>
          </cell>
          <cell r="O1317">
            <v>6.8106114196853929</v>
          </cell>
          <cell r="P1317">
            <v>6.5972266029745699</v>
          </cell>
          <cell r="Q1317">
            <v>6.3838417862636563</v>
          </cell>
          <cell r="R1317">
            <v>6.1704569695528342</v>
          </cell>
          <cell r="S1317">
            <v>5.9570721528420343</v>
          </cell>
          <cell r="T1317">
            <v>5.8566354259806079</v>
          </cell>
          <cell r="U1317">
            <v>5.7561986991192047</v>
          </cell>
          <cell r="V1317">
            <v>5.6557619722577783</v>
          </cell>
          <cell r="W1317">
            <v>5.5553252453963529</v>
          </cell>
          <cell r="X1317">
            <v>5.4548885185349718</v>
          </cell>
          <cell r="Y1317">
            <v>5.3516123298692495</v>
          </cell>
          <cell r="Z1317">
            <v>5.2483361412035272</v>
          </cell>
          <cell r="AA1317">
            <v>5.1450599525377587</v>
          </cell>
          <cell r="AB1317">
            <v>5.0417837638720364</v>
          </cell>
          <cell r="AC1317">
            <v>4.938507575206291</v>
          </cell>
          <cell r="AD1317">
            <v>4.8878168559212787</v>
          </cell>
          <cell r="AE1317">
            <v>4.8371261366362894</v>
          </cell>
          <cell r="AF1317">
            <v>4.7864354173512771</v>
          </cell>
          <cell r="AG1317">
            <v>4.7357446980662647</v>
          </cell>
          <cell r="AH1317">
            <v>4.6850539787812755</v>
          </cell>
        </row>
        <row r="1318">
          <cell r="B1318" t="str">
            <v>Nitrogen - Energy cost - Americas - USD/ton fuel</v>
          </cell>
          <cell r="G1318">
            <v>8.0711805987487466</v>
          </cell>
          <cell r="H1318">
            <v>7.9040377134339765</v>
          </cell>
          <cell r="I1318">
            <v>7.7368948281191798</v>
          </cell>
          <cell r="J1318">
            <v>7.3188239421071319</v>
          </cell>
          <cell r="K1318">
            <v>6.9110271327971944</v>
          </cell>
          <cell r="L1318">
            <v>6.5135044001893023</v>
          </cell>
          <cell r="M1318">
            <v>6.1262557442835499</v>
          </cell>
          <cell r="N1318">
            <v>5.7492811650796991</v>
          </cell>
          <cell r="O1318">
            <v>5.6256778556741667</v>
          </cell>
          <cell r="P1318">
            <v>5.5020745462686138</v>
          </cell>
          <cell r="Q1318">
            <v>5.3784712368630609</v>
          </cell>
          <cell r="R1318">
            <v>5.2548679274575081</v>
          </cell>
          <cell r="S1318">
            <v>5.131264618051933</v>
          </cell>
          <cell r="T1318">
            <v>5.0310687350843182</v>
          </cell>
          <cell r="U1318">
            <v>4.9308728521167042</v>
          </cell>
          <cell r="V1318">
            <v>4.8306769691490672</v>
          </cell>
          <cell r="W1318">
            <v>4.7304810861814532</v>
          </cell>
          <cell r="X1318">
            <v>4.6302852032138277</v>
          </cell>
          <cell r="Y1318">
            <v>4.5899194709759286</v>
          </cell>
          <cell r="Z1318">
            <v>4.5495537387380294</v>
          </cell>
          <cell r="AA1318">
            <v>4.5091880065001417</v>
          </cell>
          <cell r="AB1318">
            <v>4.4688222742622434</v>
          </cell>
          <cell r="AC1318">
            <v>4.4284565420243442</v>
          </cell>
          <cell r="AD1318">
            <v>4.3980034541586406</v>
          </cell>
          <cell r="AE1318">
            <v>4.3675503662929485</v>
          </cell>
          <cell r="AF1318">
            <v>4.3370972784272572</v>
          </cell>
          <cell r="AG1318">
            <v>4.3066441905615651</v>
          </cell>
          <cell r="AH1318">
            <v>4.276191102695873</v>
          </cell>
        </row>
        <row r="1319">
          <cell r="B1319" t="str">
            <v>Nitrogen - Energy cost - Asia - USD/ton fuel</v>
          </cell>
          <cell r="G1319">
            <v>14.287152547758014</v>
          </cell>
          <cell r="H1319">
            <v>13.03167974610391</v>
          </cell>
          <cell r="I1319">
            <v>11.77620694445044</v>
          </cell>
          <cell r="J1319">
            <v>11.119954197792257</v>
          </cell>
          <cell r="K1319">
            <v>10.480077002731496</v>
          </cell>
          <cell r="L1319">
            <v>9.856575359267671</v>
          </cell>
          <cell r="M1319">
            <v>9.2494492674009816</v>
          </cell>
          <cell r="N1319">
            <v>8.6586987271315277</v>
          </cell>
          <cell r="O1319">
            <v>8.3804416132623381</v>
          </cell>
          <cell r="P1319">
            <v>8.1021844993932071</v>
          </cell>
          <cell r="Q1319">
            <v>7.8239273855241667</v>
          </cell>
          <cell r="R1319">
            <v>7.5456702716550357</v>
          </cell>
          <cell r="S1319">
            <v>7.2674131577859047</v>
          </cell>
          <cell r="T1319">
            <v>7.1259404995451412</v>
          </cell>
          <cell r="U1319">
            <v>6.9844678413043768</v>
          </cell>
          <cell r="V1319">
            <v>6.8429951830636586</v>
          </cell>
          <cell r="W1319">
            <v>6.7015225248228951</v>
          </cell>
          <cell r="X1319">
            <v>6.5600498665822222</v>
          </cell>
          <cell r="Y1319">
            <v>6.4119664588195064</v>
          </cell>
          <cell r="Z1319">
            <v>6.2638830510568368</v>
          </cell>
          <cell r="AA1319">
            <v>6.115799643294122</v>
          </cell>
          <cell r="AB1319">
            <v>5.9677162355314524</v>
          </cell>
          <cell r="AC1319">
            <v>5.8196328277687375</v>
          </cell>
          <cell r="AD1319">
            <v>5.751723739774639</v>
          </cell>
          <cell r="AE1319">
            <v>5.6838146517805175</v>
          </cell>
          <cell r="AF1319">
            <v>5.615905563786419</v>
          </cell>
          <cell r="AG1319">
            <v>5.5479964757923206</v>
          </cell>
          <cell r="AH1319">
            <v>5.480087387798199</v>
          </cell>
        </row>
        <row r="1320">
          <cell r="B1320" t="str">
            <v>Nitrogen - Energy cost - Europe - USD/ton fuel</v>
          </cell>
          <cell r="G1320">
            <v>10.636011178706594</v>
          </cell>
          <cell r="H1320">
            <v>10.177603566500183</v>
          </cell>
          <cell r="I1320">
            <v>9.7191959542938005</v>
          </cell>
          <cell r="J1320">
            <v>9.178821654708452</v>
          </cell>
          <cell r="K1320">
            <v>8.6519163049701522</v>
          </cell>
          <cell r="L1320">
            <v>8.1384799050790164</v>
          </cell>
          <cell r="M1320">
            <v>7.6385124550348573</v>
          </cell>
          <cell r="N1320">
            <v>7.1520139548377957</v>
          </cell>
          <cell r="O1320">
            <v>7.012105307969887</v>
          </cell>
          <cell r="P1320">
            <v>6.8721966611020893</v>
          </cell>
          <cell r="Q1320">
            <v>6.7322880142342463</v>
          </cell>
          <cell r="R1320">
            <v>6.5923793673664024</v>
          </cell>
          <cell r="S1320">
            <v>6.4524707204986047</v>
          </cell>
          <cell r="T1320">
            <v>6.3689381471233446</v>
          </cell>
          <cell r="U1320">
            <v>6.2854055737481076</v>
          </cell>
          <cell r="V1320">
            <v>6.2018730003728706</v>
          </cell>
          <cell r="W1320">
            <v>6.1183404269976336</v>
          </cell>
          <cell r="X1320">
            <v>6.0348078536223513</v>
          </cell>
          <cell r="Y1320">
            <v>5.9454430810320904</v>
          </cell>
          <cell r="Z1320">
            <v>5.8560783084418064</v>
          </cell>
          <cell r="AA1320">
            <v>5.7667135358515456</v>
          </cell>
          <cell r="AB1320">
            <v>5.6773487632612616</v>
          </cell>
          <cell r="AC1320">
            <v>5.5879839906710007</v>
          </cell>
          <cell r="AD1320">
            <v>5.5227816121863729</v>
          </cell>
          <cell r="AE1320">
            <v>5.4575792337017219</v>
          </cell>
          <cell r="AF1320">
            <v>5.3923768552170941</v>
          </cell>
          <cell r="AG1320">
            <v>5.3271744767324662</v>
          </cell>
          <cell r="AH1320">
            <v>5.2619720982478162</v>
          </cell>
        </row>
        <row r="1321">
          <cell r="B1321" t="str">
            <v>Nitrogen - Energy cost - Middle East - USD/ton fuel</v>
          </cell>
          <cell r="G1321">
            <v>8.1444696680960718</v>
          </cell>
          <cell r="H1321">
            <v>7.7850746380955025</v>
          </cell>
          <cell r="I1321">
            <v>7.4256796080948551</v>
          </cell>
          <cell r="J1321">
            <v>7.0570412194724659</v>
          </cell>
          <cell r="K1321">
            <v>6.6970556468542668</v>
          </cell>
          <cell r="L1321">
            <v>6.3457228902401965</v>
          </cell>
          <cell r="M1321">
            <v>6.0030429496302569</v>
          </cell>
          <cell r="N1321">
            <v>5.6690158250243963</v>
          </cell>
          <cell r="O1321">
            <v>5.5164850150726581</v>
          </cell>
          <cell r="P1321">
            <v>5.3639542051209448</v>
          </cell>
          <cell r="Q1321">
            <v>5.2114233951691862</v>
          </cell>
          <cell r="R1321">
            <v>5.0588925852174729</v>
          </cell>
          <cell r="S1321">
            <v>4.9063617752657596</v>
          </cell>
          <cell r="T1321">
            <v>4.8298844310212417</v>
          </cell>
          <cell r="U1321">
            <v>4.7534070867767246</v>
          </cell>
          <cell r="V1321">
            <v>4.6769297425322298</v>
          </cell>
          <cell r="W1321">
            <v>4.6004523982877119</v>
          </cell>
          <cell r="X1321">
            <v>4.523975054043194</v>
          </cell>
          <cell r="Y1321">
            <v>4.4236829663340131</v>
          </cell>
          <cell r="Z1321">
            <v>4.3233908786248554</v>
          </cell>
          <cell r="AA1321">
            <v>4.2230987909156736</v>
          </cell>
          <cell r="AB1321">
            <v>4.1228067032065159</v>
          </cell>
          <cell r="AC1321">
            <v>4.0225146154973235</v>
          </cell>
          <cell r="AD1321">
            <v>3.9755747722656114</v>
          </cell>
          <cell r="AE1321">
            <v>3.9286349290339104</v>
          </cell>
          <cell r="AF1321">
            <v>3.8816950858021984</v>
          </cell>
          <cell r="AG1321">
            <v>3.8347552425704863</v>
          </cell>
          <cell r="AH1321">
            <v>3.7878153993387857</v>
          </cell>
        </row>
        <row r="1322">
          <cell r="B1322" t="str">
            <v/>
          </cell>
        </row>
        <row r="1323">
          <cell r="B1323" t="str">
            <v>Nitrogen - Feedstock cost including feedstock feedstock cost - Global - USD/ton fuel</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row>
        <row r="1325">
          <cell r="B1325" t="str">
            <v>LNG - Item - Region - Unit</v>
          </cell>
          <cell r="G1325">
            <v>2023</v>
          </cell>
          <cell r="H1325">
            <v>2024</v>
          </cell>
          <cell r="I1325">
            <v>2025</v>
          </cell>
          <cell r="J1325">
            <v>2026</v>
          </cell>
          <cell r="K1325">
            <v>2027</v>
          </cell>
          <cell r="L1325">
            <v>2028</v>
          </cell>
          <cell r="M1325">
            <v>2029</v>
          </cell>
          <cell r="N1325">
            <v>2030</v>
          </cell>
          <cell r="O1325">
            <v>2031</v>
          </cell>
          <cell r="P1325">
            <v>2032</v>
          </cell>
          <cell r="Q1325">
            <v>2033</v>
          </cell>
          <cell r="R1325">
            <v>2034</v>
          </cell>
          <cell r="S1325">
            <v>2035</v>
          </cell>
          <cell r="T1325">
            <v>2036</v>
          </cell>
          <cell r="U1325">
            <v>2037</v>
          </cell>
          <cell r="V1325">
            <v>2038</v>
          </cell>
          <cell r="W1325">
            <v>2039</v>
          </cell>
          <cell r="X1325">
            <v>2040</v>
          </cell>
          <cell r="Y1325">
            <v>2041</v>
          </cell>
          <cell r="Z1325">
            <v>2042</v>
          </cell>
          <cell r="AA1325">
            <v>2043</v>
          </cell>
          <cell r="AB1325">
            <v>2044</v>
          </cell>
          <cell r="AC1325">
            <v>2045</v>
          </cell>
          <cell r="AD1325">
            <v>2046</v>
          </cell>
          <cell r="AE1325">
            <v>2047</v>
          </cell>
          <cell r="AF1325">
            <v>2048</v>
          </cell>
          <cell r="AG1325">
            <v>2049</v>
          </cell>
          <cell r="AH1325">
            <v>2050</v>
          </cell>
        </row>
        <row r="1326">
          <cell r="B1326" t="str">
            <v>LNG - Total cost - Africa - USD/ton fuel</v>
          </cell>
          <cell r="G1326">
            <v>1355.6788664737073</v>
          </cell>
          <cell r="H1326">
            <v>1140.6174689050949</v>
          </cell>
          <cell r="I1326">
            <v>925.55607133648186</v>
          </cell>
          <cell r="J1326">
            <v>878.48382249450492</v>
          </cell>
          <cell r="K1326">
            <v>831.41157365252798</v>
          </cell>
          <cell r="L1326">
            <v>784.33932481055103</v>
          </cell>
          <cell r="M1326">
            <v>737.26707596857386</v>
          </cell>
          <cell r="N1326">
            <v>690.19482712659692</v>
          </cell>
          <cell r="O1326">
            <v>688.65078564227224</v>
          </cell>
          <cell r="P1326">
            <v>687.10674415794722</v>
          </cell>
          <cell r="Q1326">
            <v>685.5627026736222</v>
          </cell>
          <cell r="R1326">
            <v>684.01866118929729</v>
          </cell>
          <cell r="S1326">
            <v>682.47461970497238</v>
          </cell>
          <cell r="T1326">
            <v>681.29046616999267</v>
          </cell>
          <cell r="U1326">
            <v>680.10631263501296</v>
          </cell>
          <cell r="V1326">
            <v>678.92215910003301</v>
          </cell>
          <cell r="W1326">
            <v>677.73800556505307</v>
          </cell>
          <cell r="X1326">
            <v>676.55385203007359</v>
          </cell>
          <cell r="Y1326">
            <v>675.38173386491553</v>
          </cell>
          <cell r="Z1326">
            <v>674.20961569975771</v>
          </cell>
          <cell r="AA1326">
            <v>673.03749753459942</v>
          </cell>
          <cell r="AB1326">
            <v>671.86537936944137</v>
          </cell>
          <cell r="AC1326">
            <v>670.69326120428309</v>
          </cell>
          <cell r="AD1326">
            <v>669.6989746840286</v>
          </cell>
          <cell r="AE1326">
            <v>668.70468816377411</v>
          </cell>
          <cell r="AF1326">
            <v>667.71040164351962</v>
          </cell>
          <cell r="AG1326">
            <v>666.71611512326501</v>
          </cell>
          <cell r="AH1326">
            <v>665.72182860301052</v>
          </cell>
        </row>
        <row r="1327">
          <cell r="B1327" t="str">
            <v>LNG - Total cost - Americas - USD/ton fuel</v>
          </cell>
          <cell r="G1327">
            <v>500.65729303925912</v>
          </cell>
          <cell r="H1327">
            <v>475.25395764888287</v>
          </cell>
          <cell r="I1327">
            <v>449.8506222585068</v>
          </cell>
          <cell r="J1327">
            <v>446.15463418933484</v>
          </cell>
          <cell r="K1327">
            <v>442.45864612016294</v>
          </cell>
          <cell r="L1327">
            <v>438.76265805099104</v>
          </cell>
          <cell r="M1327">
            <v>435.06666998181936</v>
          </cell>
          <cell r="N1327">
            <v>431.37068191264734</v>
          </cell>
          <cell r="O1327">
            <v>436.09598495023852</v>
          </cell>
          <cell r="P1327">
            <v>440.82128798782935</v>
          </cell>
          <cell r="Q1327">
            <v>445.54659102542047</v>
          </cell>
          <cell r="R1327">
            <v>450.27189406301125</v>
          </cell>
          <cell r="S1327">
            <v>454.99719710060208</v>
          </cell>
          <cell r="T1327">
            <v>453.81376609730387</v>
          </cell>
          <cell r="U1327">
            <v>452.63033509400543</v>
          </cell>
          <cell r="V1327">
            <v>451.44690409070688</v>
          </cell>
          <cell r="W1327">
            <v>450.26347308740839</v>
          </cell>
          <cell r="X1327">
            <v>449.08004208411023</v>
          </cell>
          <cell r="Y1327">
            <v>448.09665528823552</v>
          </cell>
          <cell r="Z1327">
            <v>447.11326849236121</v>
          </cell>
          <cell r="AA1327">
            <v>446.12988169648656</v>
          </cell>
          <cell r="AB1327">
            <v>445.14649490061197</v>
          </cell>
          <cell r="AC1327">
            <v>444.16310810473726</v>
          </cell>
          <cell r="AD1327">
            <v>443.22953447874067</v>
          </cell>
          <cell r="AE1327">
            <v>442.29596085274409</v>
          </cell>
          <cell r="AF1327">
            <v>441.3623872267475</v>
          </cell>
          <cell r="AG1327">
            <v>440.42881360075091</v>
          </cell>
          <cell r="AH1327">
            <v>439.49523997475433</v>
          </cell>
        </row>
        <row r="1328">
          <cell r="B1328" t="str">
            <v>LNG - Total cost - Asia - USD/ton fuel</v>
          </cell>
          <cell r="G1328">
            <v>1314.6099438092845</v>
          </cell>
          <cell r="H1328">
            <v>1135.2384359198008</v>
          </cell>
          <cell r="I1328">
            <v>955.86692803031929</v>
          </cell>
          <cell r="J1328">
            <v>878.71332934401585</v>
          </cell>
          <cell r="K1328">
            <v>801.55973065771286</v>
          </cell>
          <cell r="L1328">
            <v>724.40613197140942</v>
          </cell>
          <cell r="M1328">
            <v>647.25253328510587</v>
          </cell>
          <cell r="N1328">
            <v>570.09893459880288</v>
          </cell>
          <cell r="O1328">
            <v>568.36027622300298</v>
          </cell>
          <cell r="P1328">
            <v>566.62161784720308</v>
          </cell>
          <cell r="Q1328">
            <v>564.88295947140375</v>
          </cell>
          <cell r="R1328">
            <v>563.14430109560385</v>
          </cell>
          <cell r="S1328">
            <v>561.40564271980395</v>
          </cell>
          <cell r="T1328">
            <v>560.09838139068631</v>
          </cell>
          <cell r="U1328">
            <v>558.79112006156845</v>
          </cell>
          <cell r="V1328">
            <v>557.4838587324507</v>
          </cell>
          <cell r="W1328">
            <v>556.17659740333272</v>
          </cell>
          <cell r="X1328">
            <v>554.86933607421543</v>
          </cell>
          <cell r="Y1328">
            <v>553.56279625176626</v>
          </cell>
          <cell r="Z1328">
            <v>552.25625642931766</v>
          </cell>
          <cell r="AA1328">
            <v>550.94971660686849</v>
          </cell>
          <cell r="AB1328">
            <v>549.64317678441955</v>
          </cell>
          <cell r="AC1328">
            <v>548.3366369619705</v>
          </cell>
          <cell r="AD1328">
            <v>547.29069533558868</v>
          </cell>
          <cell r="AE1328">
            <v>546.24475370920675</v>
          </cell>
          <cell r="AF1328">
            <v>545.19881208282504</v>
          </cell>
          <cell r="AG1328">
            <v>544.15287045644322</v>
          </cell>
          <cell r="AH1328">
            <v>543.10692883006129</v>
          </cell>
        </row>
        <row r="1329">
          <cell r="B1329" t="str">
            <v>LNG - Total cost - Europe - USD/ton fuel</v>
          </cell>
          <cell r="G1329">
            <v>1349.6522855300532</v>
          </cell>
          <cell r="H1329">
            <v>1137.4545917936089</v>
          </cell>
          <cell r="I1329">
            <v>925.25689805716479</v>
          </cell>
          <cell r="J1329">
            <v>878.3212945021163</v>
          </cell>
          <cell r="K1329">
            <v>831.38569094706759</v>
          </cell>
          <cell r="L1329">
            <v>784.45008739201899</v>
          </cell>
          <cell r="M1329">
            <v>737.51448383697016</v>
          </cell>
          <cell r="N1329">
            <v>690.57888028192167</v>
          </cell>
          <cell r="O1329">
            <v>689.25526730712568</v>
          </cell>
          <cell r="P1329">
            <v>687.9316543323298</v>
          </cell>
          <cell r="Q1329">
            <v>686.60804135753403</v>
          </cell>
          <cell r="R1329">
            <v>685.28442838273793</v>
          </cell>
          <cell r="S1329">
            <v>683.96081540794205</v>
          </cell>
          <cell r="T1329">
            <v>682.82737433342095</v>
          </cell>
          <cell r="U1329">
            <v>681.69393325889962</v>
          </cell>
          <cell r="V1329">
            <v>680.56049218437829</v>
          </cell>
          <cell r="W1329">
            <v>679.42705110985696</v>
          </cell>
          <cell r="X1329">
            <v>678.29361003533575</v>
          </cell>
          <cell r="Y1329">
            <v>677.16322611840405</v>
          </cell>
          <cell r="Z1329">
            <v>676.03284220147248</v>
          </cell>
          <cell r="AA1329">
            <v>674.90245828454078</v>
          </cell>
          <cell r="AB1329">
            <v>673.77207436760898</v>
          </cell>
          <cell r="AC1329">
            <v>672.64169045067729</v>
          </cell>
          <cell r="AD1329">
            <v>671.60386895282386</v>
          </cell>
          <cell r="AE1329">
            <v>670.56604745497043</v>
          </cell>
          <cell r="AF1329">
            <v>669.528225957117</v>
          </cell>
          <cell r="AG1329">
            <v>668.49040445926357</v>
          </cell>
          <cell r="AH1329">
            <v>667.45258296141014</v>
          </cell>
        </row>
        <row r="1330">
          <cell r="B1330" t="str">
            <v>LNG - Total cost - Middle East - USD/ton fuel</v>
          </cell>
          <cell r="G1330">
            <v>1097.8571723192972</v>
          </cell>
          <cell r="H1330">
            <v>920.92951289795974</v>
          </cell>
          <cell r="I1330">
            <v>744.00185347662227</v>
          </cell>
          <cell r="J1330">
            <v>666.42745995979408</v>
          </cell>
          <cell r="K1330">
            <v>588.853066442966</v>
          </cell>
          <cell r="L1330">
            <v>511.2786729261378</v>
          </cell>
          <cell r="M1330">
            <v>433.70427940930961</v>
          </cell>
          <cell r="N1330">
            <v>356.12988589248147</v>
          </cell>
          <cell r="O1330">
            <v>354.76840642843399</v>
          </cell>
          <cell r="P1330">
            <v>353.40692696438634</v>
          </cell>
          <cell r="Q1330">
            <v>352.04544750033881</v>
          </cell>
          <cell r="R1330">
            <v>350.68396803629116</v>
          </cell>
          <cell r="S1330">
            <v>349.32248857224351</v>
          </cell>
          <cell r="T1330">
            <v>348.21021318511464</v>
          </cell>
          <cell r="U1330">
            <v>347.09793779798548</v>
          </cell>
          <cell r="V1330">
            <v>345.98566241085638</v>
          </cell>
          <cell r="W1330">
            <v>344.87338702372716</v>
          </cell>
          <cell r="X1330">
            <v>343.76111163659834</v>
          </cell>
          <cell r="Y1330">
            <v>342.59794577430978</v>
          </cell>
          <cell r="Z1330">
            <v>341.43477991202167</v>
          </cell>
          <cell r="AA1330">
            <v>340.27161404973322</v>
          </cell>
          <cell r="AB1330">
            <v>339.10844818744476</v>
          </cell>
          <cell r="AC1330">
            <v>337.9452823251562</v>
          </cell>
          <cell r="AD1330">
            <v>336.96224843306152</v>
          </cell>
          <cell r="AE1330">
            <v>335.97921454096695</v>
          </cell>
          <cell r="AF1330">
            <v>334.99618064887233</v>
          </cell>
          <cell r="AG1330">
            <v>334.0131467567777</v>
          </cell>
          <cell r="AH1330">
            <v>333.03011286468302</v>
          </cell>
        </row>
        <row r="1331">
          <cell r="B1331" t="str">
            <v/>
          </cell>
        </row>
        <row r="1332">
          <cell r="B1332" t="str">
            <v>LNG - CAPEX including feedstock CAPEX - Global - USD/ton fuel</v>
          </cell>
          <cell r="G1332">
            <v>75.715087666188268</v>
          </cell>
          <cell r="H1332">
            <v>75.35754383309407</v>
          </cell>
          <cell r="I1332">
            <v>75</v>
          </cell>
          <cell r="J1332">
            <v>74.650780257917603</v>
          </cell>
          <cell r="K1332">
            <v>74.301560515835206</v>
          </cell>
          <cell r="L1332">
            <v>73.952340773752809</v>
          </cell>
          <cell r="M1332">
            <v>73.603121031670398</v>
          </cell>
          <cell r="N1332">
            <v>73.253901289588001</v>
          </cell>
          <cell r="O1332">
            <v>72.912811842723016</v>
          </cell>
          <cell r="P1332">
            <v>72.571722395857918</v>
          </cell>
          <cell r="Q1332">
            <v>72.230632948992934</v>
          </cell>
          <cell r="R1332">
            <v>71.889543502127836</v>
          </cell>
          <cell r="S1332">
            <v>71.548454055262724</v>
          </cell>
          <cell r="T1332">
            <v>71.215305619641853</v>
          </cell>
          <cell r="U1332">
            <v>70.882157184020855</v>
          </cell>
          <cell r="V1332">
            <v>70.549008748399871</v>
          </cell>
          <cell r="W1332">
            <v>70.215860312778872</v>
          </cell>
          <cell r="X1332">
            <v>69.882711877158002</v>
          </cell>
          <cell r="Y1332">
            <v>69.557319575587826</v>
          </cell>
          <cell r="Z1332">
            <v>69.231927274017778</v>
          </cell>
          <cell r="AA1332">
            <v>68.906534972447602</v>
          </cell>
          <cell r="AB1332">
            <v>68.581142670877426</v>
          </cell>
          <cell r="AC1332">
            <v>68.25575036930725</v>
          </cell>
          <cell r="AD1332">
            <v>67.937933628779135</v>
          </cell>
          <cell r="AE1332">
            <v>67.620116888251019</v>
          </cell>
          <cell r="AF1332">
            <v>67.302300147722903</v>
          </cell>
          <cell r="AG1332">
            <v>66.984483407194787</v>
          </cell>
          <cell r="AH1332">
            <v>66.666666666666671</v>
          </cell>
        </row>
        <row r="1333">
          <cell r="B1333" t="str">
            <v>LNG - CAPEX - Global - USD/ton fuel</v>
          </cell>
          <cell r="G1333">
            <v>75.715087666188268</v>
          </cell>
          <cell r="H1333">
            <v>75.35754383309407</v>
          </cell>
          <cell r="I1333">
            <v>75</v>
          </cell>
          <cell r="J1333">
            <v>74.650780257917603</v>
          </cell>
          <cell r="K1333">
            <v>74.301560515835206</v>
          </cell>
          <cell r="L1333">
            <v>73.952340773752809</v>
          </cell>
          <cell r="M1333">
            <v>73.603121031670398</v>
          </cell>
          <cell r="N1333">
            <v>73.253901289588001</v>
          </cell>
          <cell r="O1333">
            <v>72.912811842723016</v>
          </cell>
          <cell r="P1333">
            <v>72.571722395857918</v>
          </cell>
          <cell r="Q1333">
            <v>72.230632948992934</v>
          </cell>
          <cell r="R1333">
            <v>71.889543502127836</v>
          </cell>
          <cell r="S1333">
            <v>71.548454055262724</v>
          </cell>
          <cell r="T1333">
            <v>71.215305619641853</v>
          </cell>
          <cell r="U1333">
            <v>70.882157184020855</v>
          </cell>
          <cell r="V1333">
            <v>70.549008748399871</v>
          </cell>
          <cell r="W1333">
            <v>70.215860312778872</v>
          </cell>
          <cell r="X1333">
            <v>69.882711877158002</v>
          </cell>
          <cell r="Y1333">
            <v>69.557319575587826</v>
          </cell>
          <cell r="Z1333">
            <v>69.231927274017778</v>
          </cell>
          <cell r="AA1333">
            <v>68.906534972447602</v>
          </cell>
          <cell r="AB1333">
            <v>68.581142670877426</v>
          </cell>
          <cell r="AC1333">
            <v>68.25575036930725</v>
          </cell>
          <cell r="AD1333">
            <v>67.937933628779135</v>
          </cell>
          <cell r="AE1333">
            <v>67.620116888251019</v>
          </cell>
          <cell r="AF1333">
            <v>67.302300147722903</v>
          </cell>
          <cell r="AG1333">
            <v>66.984483407194787</v>
          </cell>
          <cell r="AH1333">
            <v>66.666666666666671</v>
          </cell>
        </row>
        <row r="1334">
          <cell r="B1334" t="str">
            <v/>
          </cell>
        </row>
        <row r="1335">
          <cell r="B1335" t="str">
            <v>LNG - OPEX including feedstock OPEX - Global - USD/ton fuel</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row>
        <row r="1336">
          <cell r="B1336" t="str">
            <v>LNG - OPEX - Global - USD/ton fuel</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row>
        <row r="1337">
          <cell r="B1337" t="str">
            <v/>
          </cell>
        </row>
        <row r="1338">
          <cell r="B1338" t="str">
            <v>LNG - Finance cost including feedstock finance cost - Africa - USD/ton fuel</v>
          </cell>
          <cell r="G1338">
            <v>124.92989464921065</v>
          </cell>
          <cell r="H1338">
            <v>124.33994732460523</v>
          </cell>
          <cell r="I1338">
            <v>123.75000000000001</v>
          </cell>
          <cell r="J1338">
            <v>123.17378742556406</v>
          </cell>
          <cell r="K1338">
            <v>122.5975748511281</v>
          </cell>
          <cell r="L1338">
            <v>122.02136227669214</v>
          </cell>
          <cell r="M1338">
            <v>121.44514970225619</v>
          </cell>
          <cell r="N1338">
            <v>120.86893712782023</v>
          </cell>
          <cell r="O1338">
            <v>120.30613954049301</v>
          </cell>
          <cell r="P1338">
            <v>119.74334195316558</v>
          </cell>
          <cell r="Q1338">
            <v>119.18054436583836</v>
          </cell>
          <cell r="R1338">
            <v>118.61774677851093</v>
          </cell>
          <cell r="S1338">
            <v>118.05494919118351</v>
          </cell>
          <cell r="T1338">
            <v>117.50525427240908</v>
          </cell>
          <cell r="U1338">
            <v>116.95555935363443</v>
          </cell>
          <cell r="V1338">
            <v>116.40586443485979</v>
          </cell>
          <cell r="W1338">
            <v>115.85616951608516</v>
          </cell>
          <cell r="X1338">
            <v>115.30647459731071</v>
          </cell>
          <cell r="Y1338">
            <v>114.76957729971993</v>
          </cell>
          <cell r="Z1338">
            <v>114.23268000212934</v>
          </cell>
          <cell r="AA1338">
            <v>113.69578270453856</v>
          </cell>
          <cell r="AB1338">
            <v>113.15888540694777</v>
          </cell>
          <cell r="AC1338">
            <v>112.62198810935699</v>
          </cell>
          <cell r="AD1338">
            <v>112.09759048748559</v>
          </cell>
          <cell r="AE1338">
            <v>111.5731928656142</v>
          </cell>
          <cell r="AF1338">
            <v>111.0487952437428</v>
          </cell>
          <cell r="AG1338">
            <v>110.52439762187142</v>
          </cell>
          <cell r="AH1338">
            <v>110.00000000000001</v>
          </cell>
        </row>
        <row r="1339">
          <cell r="B1339" t="str">
            <v>LNG - Finance cost including feedstock finance cost - Americas - USD/ton fuel</v>
          </cell>
          <cell r="G1339">
            <v>124.92989464921065</v>
          </cell>
          <cell r="H1339">
            <v>124.33994732460523</v>
          </cell>
          <cell r="I1339">
            <v>123.75000000000001</v>
          </cell>
          <cell r="J1339">
            <v>123.17378742556406</v>
          </cell>
          <cell r="K1339">
            <v>122.5975748511281</v>
          </cell>
          <cell r="L1339">
            <v>122.02136227669214</v>
          </cell>
          <cell r="M1339">
            <v>121.44514970225619</v>
          </cell>
          <cell r="N1339">
            <v>120.86893712782023</v>
          </cell>
          <cell r="O1339">
            <v>120.30613954049301</v>
          </cell>
          <cell r="P1339">
            <v>119.74334195316558</v>
          </cell>
          <cell r="Q1339">
            <v>119.18054436583836</v>
          </cell>
          <cell r="R1339">
            <v>118.61774677851093</v>
          </cell>
          <cell r="S1339">
            <v>118.05494919118351</v>
          </cell>
          <cell r="T1339">
            <v>117.50525427240908</v>
          </cell>
          <cell r="U1339">
            <v>116.95555935363443</v>
          </cell>
          <cell r="V1339">
            <v>116.40586443485979</v>
          </cell>
          <cell r="W1339">
            <v>115.85616951608516</v>
          </cell>
          <cell r="X1339">
            <v>115.30647459731071</v>
          </cell>
          <cell r="Y1339">
            <v>114.76957729971993</v>
          </cell>
          <cell r="Z1339">
            <v>114.23268000212934</v>
          </cell>
          <cell r="AA1339">
            <v>113.69578270453856</v>
          </cell>
          <cell r="AB1339">
            <v>113.15888540694777</v>
          </cell>
          <cell r="AC1339">
            <v>112.62198810935699</v>
          </cell>
          <cell r="AD1339">
            <v>112.09759048748559</v>
          </cell>
          <cell r="AE1339">
            <v>111.5731928656142</v>
          </cell>
          <cell r="AF1339">
            <v>111.0487952437428</v>
          </cell>
          <cell r="AG1339">
            <v>110.52439762187142</v>
          </cell>
          <cell r="AH1339">
            <v>110.00000000000001</v>
          </cell>
        </row>
        <row r="1340">
          <cell r="B1340" t="str">
            <v>LNG - Finance cost including feedstock finance cost - Asia - USD/ton fuel</v>
          </cell>
          <cell r="G1340">
            <v>124.92989464921065</v>
          </cell>
          <cell r="H1340">
            <v>124.33994732460523</v>
          </cell>
          <cell r="I1340">
            <v>123.75000000000001</v>
          </cell>
          <cell r="J1340">
            <v>123.17378742556406</v>
          </cell>
          <cell r="K1340">
            <v>122.5975748511281</v>
          </cell>
          <cell r="L1340">
            <v>122.02136227669214</v>
          </cell>
          <cell r="M1340">
            <v>121.44514970225619</v>
          </cell>
          <cell r="N1340">
            <v>120.86893712782023</v>
          </cell>
          <cell r="O1340">
            <v>120.30613954049301</v>
          </cell>
          <cell r="P1340">
            <v>119.74334195316558</v>
          </cell>
          <cell r="Q1340">
            <v>119.18054436583836</v>
          </cell>
          <cell r="R1340">
            <v>118.61774677851093</v>
          </cell>
          <cell r="S1340">
            <v>118.05494919118351</v>
          </cell>
          <cell r="T1340">
            <v>117.50525427240908</v>
          </cell>
          <cell r="U1340">
            <v>116.95555935363443</v>
          </cell>
          <cell r="V1340">
            <v>116.40586443485979</v>
          </cell>
          <cell r="W1340">
            <v>115.85616951608516</v>
          </cell>
          <cell r="X1340">
            <v>115.30647459731071</v>
          </cell>
          <cell r="Y1340">
            <v>114.76957729971993</v>
          </cell>
          <cell r="Z1340">
            <v>114.23268000212934</v>
          </cell>
          <cell r="AA1340">
            <v>113.69578270453856</v>
          </cell>
          <cell r="AB1340">
            <v>113.15888540694777</v>
          </cell>
          <cell r="AC1340">
            <v>112.62198810935699</v>
          </cell>
          <cell r="AD1340">
            <v>112.09759048748559</v>
          </cell>
          <cell r="AE1340">
            <v>111.5731928656142</v>
          </cell>
          <cell r="AF1340">
            <v>111.0487952437428</v>
          </cell>
          <cell r="AG1340">
            <v>110.52439762187142</v>
          </cell>
          <cell r="AH1340">
            <v>110.00000000000001</v>
          </cell>
        </row>
        <row r="1341">
          <cell r="B1341" t="str">
            <v>LNG - Finance cost including feedstock finance cost - Europe - USD/ton fuel</v>
          </cell>
          <cell r="G1341">
            <v>124.92989464921065</v>
          </cell>
          <cell r="H1341">
            <v>124.33994732460523</v>
          </cell>
          <cell r="I1341">
            <v>123.75000000000001</v>
          </cell>
          <cell r="J1341">
            <v>123.17378742556406</v>
          </cell>
          <cell r="K1341">
            <v>122.5975748511281</v>
          </cell>
          <cell r="L1341">
            <v>122.02136227669214</v>
          </cell>
          <cell r="M1341">
            <v>121.44514970225619</v>
          </cell>
          <cell r="N1341">
            <v>120.86893712782023</v>
          </cell>
          <cell r="O1341">
            <v>120.30613954049301</v>
          </cell>
          <cell r="P1341">
            <v>119.74334195316558</v>
          </cell>
          <cell r="Q1341">
            <v>119.18054436583836</v>
          </cell>
          <cell r="R1341">
            <v>118.61774677851093</v>
          </cell>
          <cell r="S1341">
            <v>118.05494919118351</v>
          </cell>
          <cell r="T1341">
            <v>117.50525427240908</v>
          </cell>
          <cell r="U1341">
            <v>116.95555935363443</v>
          </cell>
          <cell r="V1341">
            <v>116.40586443485979</v>
          </cell>
          <cell r="W1341">
            <v>115.85616951608516</v>
          </cell>
          <cell r="X1341">
            <v>115.30647459731071</v>
          </cell>
          <cell r="Y1341">
            <v>114.76957729971993</v>
          </cell>
          <cell r="Z1341">
            <v>114.23268000212934</v>
          </cell>
          <cell r="AA1341">
            <v>113.69578270453856</v>
          </cell>
          <cell r="AB1341">
            <v>113.15888540694777</v>
          </cell>
          <cell r="AC1341">
            <v>112.62198810935699</v>
          </cell>
          <cell r="AD1341">
            <v>112.09759048748559</v>
          </cell>
          <cell r="AE1341">
            <v>111.5731928656142</v>
          </cell>
          <cell r="AF1341">
            <v>111.0487952437428</v>
          </cell>
          <cell r="AG1341">
            <v>110.52439762187142</v>
          </cell>
          <cell r="AH1341">
            <v>110.00000000000001</v>
          </cell>
        </row>
        <row r="1342">
          <cell r="B1342" t="str">
            <v>LNG - Finance cost including feedstock finance cost - Middle East - USD/ton fuel</v>
          </cell>
          <cell r="G1342">
            <v>124.92989464921065</v>
          </cell>
          <cell r="H1342">
            <v>124.33994732460523</v>
          </cell>
          <cell r="I1342">
            <v>123.75000000000001</v>
          </cell>
          <cell r="J1342">
            <v>123.17378742556406</v>
          </cell>
          <cell r="K1342">
            <v>122.5975748511281</v>
          </cell>
          <cell r="L1342">
            <v>122.02136227669214</v>
          </cell>
          <cell r="M1342">
            <v>121.44514970225619</v>
          </cell>
          <cell r="N1342">
            <v>120.86893712782023</v>
          </cell>
          <cell r="O1342">
            <v>120.30613954049301</v>
          </cell>
          <cell r="P1342">
            <v>119.74334195316558</v>
          </cell>
          <cell r="Q1342">
            <v>119.18054436583836</v>
          </cell>
          <cell r="R1342">
            <v>118.61774677851093</v>
          </cell>
          <cell r="S1342">
            <v>118.05494919118351</v>
          </cell>
          <cell r="T1342">
            <v>117.50525427240908</v>
          </cell>
          <cell r="U1342">
            <v>116.95555935363443</v>
          </cell>
          <cell r="V1342">
            <v>116.40586443485979</v>
          </cell>
          <cell r="W1342">
            <v>115.85616951608516</v>
          </cell>
          <cell r="X1342">
            <v>115.30647459731071</v>
          </cell>
          <cell r="Y1342">
            <v>114.76957729971993</v>
          </cell>
          <cell r="Z1342">
            <v>114.23268000212934</v>
          </cell>
          <cell r="AA1342">
            <v>113.69578270453856</v>
          </cell>
          <cell r="AB1342">
            <v>113.15888540694777</v>
          </cell>
          <cell r="AC1342">
            <v>112.62198810935699</v>
          </cell>
          <cell r="AD1342">
            <v>112.09759048748559</v>
          </cell>
          <cell r="AE1342">
            <v>111.5731928656142</v>
          </cell>
          <cell r="AF1342">
            <v>111.0487952437428</v>
          </cell>
          <cell r="AG1342">
            <v>110.52439762187142</v>
          </cell>
          <cell r="AH1342">
            <v>110.00000000000001</v>
          </cell>
        </row>
        <row r="1343">
          <cell r="B1343" t="str">
            <v>LNG - Finance cost - Africa - USD/ton fuel</v>
          </cell>
          <cell r="G1343">
            <v>124.92989464921065</v>
          </cell>
          <cell r="H1343">
            <v>124.33994732460523</v>
          </cell>
          <cell r="I1343">
            <v>123.75000000000001</v>
          </cell>
          <cell r="J1343">
            <v>123.17378742556406</v>
          </cell>
          <cell r="K1343">
            <v>122.5975748511281</v>
          </cell>
          <cell r="L1343">
            <v>122.02136227669214</v>
          </cell>
          <cell r="M1343">
            <v>121.44514970225619</v>
          </cell>
          <cell r="N1343">
            <v>120.86893712782023</v>
          </cell>
          <cell r="O1343">
            <v>120.30613954049301</v>
          </cell>
          <cell r="P1343">
            <v>119.74334195316558</v>
          </cell>
          <cell r="Q1343">
            <v>119.18054436583836</v>
          </cell>
          <cell r="R1343">
            <v>118.61774677851093</v>
          </cell>
          <cell r="S1343">
            <v>118.05494919118351</v>
          </cell>
          <cell r="T1343">
            <v>117.50525427240908</v>
          </cell>
          <cell r="U1343">
            <v>116.95555935363443</v>
          </cell>
          <cell r="V1343">
            <v>116.40586443485979</v>
          </cell>
          <cell r="W1343">
            <v>115.85616951608516</v>
          </cell>
          <cell r="X1343">
            <v>115.30647459731071</v>
          </cell>
          <cell r="Y1343">
            <v>114.76957729971993</v>
          </cell>
          <cell r="Z1343">
            <v>114.23268000212934</v>
          </cell>
          <cell r="AA1343">
            <v>113.69578270453856</v>
          </cell>
          <cell r="AB1343">
            <v>113.15888540694777</v>
          </cell>
          <cell r="AC1343">
            <v>112.62198810935699</v>
          </cell>
          <cell r="AD1343">
            <v>112.09759048748559</v>
          </cell>
          <cell r="AE1343">
            <v>111.5731928656142</v>
          </cell>
          <cell r="AF1343">
            <v>111.0487952437428</v>
          </cell>
          <cell r="AG1343">
            <v>110.52439762187142</v>
          </cell>
          <cell r="AH1343">
            <v>110.00000000000001</v>
          </cell>
        </row>
        <row r="1344">
          <cell r="B1344" t="str">
            <v>LNG - Finance cost - Americas - USD/ton fuel</v>
          </cell>
          <cell r="G1344">
            <v>124.92989464921065</v>
          </cell>
          <cell r="H1344">
            <v>124.33994732460523</v>
          </cell>
          <cell r="I1344">
            <v>123.75000000000001</v>
          </cell>
          <cell r="J1344">
            <v>123.17378742556406</v>
          </cell>
          <cell r="K1344">
            <v>122.5975748511281</v>
          </cell>
          <cell r="L1344">
            <v>122.02136227669214</v>
          </cell>
          <cell r="M1344">
            <v>121.44514970225619</v>
          </cell>
          <cell r="N1344">
            <v>120.86893712782023</v>
          </cell>
          <cell r="O1344">
            <v>120.30613954049301</v>
          </cell>
          <cell r="P1344">
            <v>119.74334195316558</v>
          </cell>
          <cell r="Q1344">
            <v>119.18054436583836</v>
          </cell>
          <cell r="R1344">
            <v>118.61774677851093</v>
          </cell>
          <cell r="S1344">
            <v>118.05494919118351</v>
          </cell>
          <cell r="T1344">
            <v>117.50525427240908</v>
          </cell>
          <cell r="U1344">
            <v>116.95555935363443</v>
          </cell>
          <cell r="V1344">
            <v>116.40586443485979</v>
          </cell>
          <cell r="W1344">
            <v>115.85616951608516</v>
          </cell>
          <cell r="X1344">
            <v>115.30647459731071</v>
          </cell>
          <cell r="Y1344">
            <v>114.76957729971993</v>
          </cell>
          <cell r="Z1344">
            <v>114.23268000212934</v>
          </cell>
          <cell r="AA1344">
            <v>113.69578270453856</v>
          </cell>
          <cell r="AB1344">
            <v>113.15888540694777</v>
          </cell>
          <cell r="AC1344">
            <v>112.62198810935699</v>
          </cell>
          <cell r="AD1344">
            <v>112.09759048748559</v>
          </cell>
          <cell r="AE1344">
            <v>111.5731928656142</v>
          </cell>
          <cell r="AF1344">
            <v>111.0487952437428</v>
          </cell>
          <cell r="AG1344">
            <v>110.52439762187142</v>
          </cell>
          <cell r="AH1344">
            <v>110.00000000000001</v>
          </cell>
        </row>
        <row r="1345">
          <cell r="B1345" t="str">
            <v>LNG - Finance cost - Asia - USD/ton fuel</v>
          </cell>
          <cell r="G1345">
            <v>124.92989464921065</v>
          </cell>
          <cell r="H1345">
            <v>124.33994732460523</v>
          </cell>
          <cell r="I1345">
            <v>123.75000000000001</v>
          </cell>
          <cell r="J1345">
            <v>123.17378742556406</v>
          </cell>
          <cell r="K1345">
            <v>122.5975748511281</v>
          </cell>
          <cell r="L1345">
            <v>122.02136227669214</v>
          </cell>
          <cell r="M1345">
            <v>121.44514970225619</v>
          </cell>
          <cell r="N1345">
            <v>120.86893712782023</v>
          </cell>
          <cell r="O1345">
            <v>120.30613954049301</v>
          </cell>
          <cell r="P1345">
            <v>119.74334195316558</v>
          </cell>
          <cell r="Q1345">
            <v>119.18054436583836</v>
          </cell>
          <cell r="R1345">
            <v>118.61774677851093</v>
          </cell>
          <cell r="S1345">
            <v>118.05494919118351</v>
          </cell>
          <cell r="T1345">
            <v>117.50525427240908</v>
          </cell>
          <cell r="U1345">
            <v>116.95555935363443</v>
          </cell>
          <cell r="V1345">
            <v>116.40586443485979</v>
          </cell>
          <cell r="W1345">
            <v>115.85616951608516</v>
          </cell>
          <cell r="X1345">
            <v>115.30647459731071</v>
          </cell>
          <cell r="Y1345">
            <v>114.76957729971993</v>
          </cell>
          <cell r="Z1345">
            <v>114.23268000212934</v>
          </cell>
          <cell r="AA1345">
            <v>113.69578270453856</v>
          </cell>
          <cell r="AB1345">
            <v>113.15888540694777</v>
          </cell>
          <cell r="AC1345">
            <v>112.62198810935699</v>
          </cell>
          <cell r="AD1345">
            <v>112.09759048748559</v>
          </cell>
          <cell r="AE1345">
            <v>111.5731928656142</v>
          </cell>
          <cell r="AF1345">
            <v>111.0487952437428</v>
          </cell>
          <cell r="AG1345">
            <v>110.52439762187142</v>
          </cell>
          <cell r="AH1345">
            <v>110.00000000000001</v>
          </cell>
        </row>
        <row r="1346">
          <cell r="B1346" t="str">
            <v>LNG - Finance cost - Europe - USD/ton fuel</v>
          </cell>
          <cell r="G1346">
            <v>124.92989464921065</v>
          </cell>
          <cell r="H1346">
            <v>124.33994732460523</v>
          </cell>
          <cell r="I1346">
            <v>123.75000000000001</v>
          </cell>
          <cell r="J1346">
            <v>123.17378742556406</v>
          </cell>
          <cell r="K1346">
            <v>122.5975748511281</v>
          </cell>
          <cell r="L1346">
            <v>122.02136227669214</v>
          </cell>
          <cell r="M1346">
            <v>121.44514970225619</v>
          </cell>
          <cell r="N1346">
            <v>120.86893712782023</v>
          </cell>
          <cell r="O1346">
            <v>120.30613954049301</v>
          </cell>
          <cell r="P1346">
            <v>119.74334195316558</v>
          </cell>
          <cell r="Q1346">
            <v>119.18054436583836</v>
          </cell>
          <cell r="R1346">
            <v>118.61774677851093</v>
          </cell>
          <cell r="S1346">
            <v>118.05494919118351</v>
          </cell>
          <cell r="T1346">
            <v>117.50525427240908</v>
          </cell>
          <cell r="U1346">
            <v>116.95555935363443</v>
          </cell>
          <cell r="V1346">
            <v>116.40586443485979</v>
          </cell>
          <cell r="W1346">
            <v>115.85616951608516</v>
          </cell>
          <cell r="X1346">
            <v>115.30647459731071</v>
          </cell>
          <cell r="Y1346">
            <v>114.76957729971993</v>
          </cell>
          <cell r="Z1346">
            <v>114.23268000212934</v>
          </cell>
          <cell r="AA1346">
            <v>113.69578270453856</v>
          </cell>
          <cell r="AB1346">
            <v>113.15888540694777</v>
          </cell>
          <cell r="AC1346">
            <v>112.62198810935699</v>
          </cell>
          <cell r="AD1346">
            <v>112.09759048748559</v>
          </cell>
          <cell r="AE1346">
            <v>111.5731928656142</v>
          </cell>
          <cell r="AF1346">
            <v>111.0487952437428</v>
          </cell>
          <cell r="AG1346">
            <v>110.52439762187142</v>
          </cell>
          <cell r="AH1346">
            <v>110.00000000000001</v>
          </cell>
        </row>
        <row r="1347">
          <cell r="B1347" t="str">
            <v>LNG - Finance cost - Middle East - USD/ton fuel</v>
          </cell>
          <cell r="G1347">
            <v>124.92989464921065</v>
          </cell>
          <cell r="H1347">
            <v>124.33994732460523</v>
          </cell>
          <cell r="I1347">
            <v>123.75000000000001</v>
          </cell>
          <cell r="J1347">
            <v>123.17378742556406</v>
          </cell>
          <cell r="K1347">
            <v>122.5975748511281</v>
          </cell>
          <cell r="L1347">
            <v>122.02136227669214</v>
          </cell>
          <cell r="M1347">
            <v>121.44514970225619</v>
          </cell>
          <cell r="N1347">
            <v>120.86893712782023</v>
          </cell>
          <cell r="O1347">
            <v>120.30613954049301</v>
          </cell>
          <cell r="P1347">
            <v>119.74334195316558</v>
          </cell>
          <cell r="Q1347">
            <v>119.18054436583836</v>
          </cell>
          <cell r="R1347">
            <v>118.61774677851093</v>
          </cell>
          <cell r="S1347">
            <v>118.05494919118351</v>
          </cell>
          <cell r="T1347">
            <v>117.50525427240908</v>
          </cell>
          <cell r="U1347">
            <v>116.95555935363443</v>
          </cell>
          <cell r="V1347">
            <v>116.40586443485979</v>
          </cell>
          <cell r="W1347">
            <v>115.85616951608516</v>
          </cell>
          <cell r="X1347">
            <v>115.30647459731071</v>
          </cell>
          <cell r="Y1347">
            <v>114.76957729971993</v>
          </cell>
          <cell r="Z1347">
            <v>114.23268000212934</v>
          </cell>
          <cell r="AA1347">
            <v>113.69578270453856</v>
          </cell>
          <cell r="AB1347">
            <v>113.15888540694777</v>
          </cell>
          <cell r="AC1347">
            <v>112.62198810935699</v>
          </cell>
          <cell r="AD1347">
            <v>112.09759048748559</v>
          </cell>
          <cell r="AE1347">
            <v>111.5731928656142</v>
          </cell>
          <cell r="AF1347">
            <v>111.0487952437428</v>
          </cell>
          <cell r="AG1347">
            <v>110.52439762187142</v>
          </cell>
          <cell r="AH1347">
            <v>110.00000000000001</v>
          </cell>
        </row>
        <row r="1348">
          <cell r="B1348" t="str">
            <v/>
          </cell>
        </row>
        <row r="1349">
          <cell r="B1349" t="str">
            <v>LNG - Energy cost including feedstock energy cost - Africa - USD/ton fuel</v>
          </cell>
          <cell r="G1349">
            <v>35.033884158308503</v>
          </cell>
          <cell r="H1349">
            <v>30.919977747395748</v>
          </cell>
          <cell r="I1349">
            <v>26.80607133648191</v>
          </cell>
          <cell r="J1349">
            <v>25.65925481102331</v>
          </cell>
          <cell r="K1349">
            <v>24.512438285564713</v>
          </cell>
          <cell r="L1349">
            <v>23.365621760106112</v>
          </cell>
          <cell r="M1349">
            <v>22.218805234647242</v>
          </cell>
          <cell r="N1349">
            <v>21.071988709188645</v>
          </cell>
          <cell r="O1349">
            <v>20.431834259056178</v>
          </cell>
          <cell r="P1349">
            <v>19.791679808923707</v>
          </cell>
          <cell r="Q1349">
            <v>19.151525358790966</v>
          </cell>
          <cell r="R1349">
            <v>18.511370908658499</v>
          </cell>
          <cell r="S1349">
            <v>17.871216458526099</v>
          </cell>
          <cell r="T1349">
            <v>17.569906277941822</v>
          </cell>
          <cell r="U1349">
            <v>17.268596097357612</v>
          </cell>
          <cell r="V1349">
            <v>16.967285916773335</v>
          </cell>
          <cell r="W1349">
            <v>16.665975736189058</v>
          </cell>
          <cell r="X1349">
            <v>16.364665555604915</v>
          </cell>
          <cell r="Y1349">
            <v>16.054836989607747</v>
          </cell>
          <cell r="Z1349">
            <v>15.745008423610578</v>
          </cell>
          <cell r="AA1349">
            <v>15.435179857613274</v>
          </cell>
          <cell r="AB1349">
            <v>15.125351291616106</v>
          </cell>
          <cell r="AC1349">
            <v>14.81552272561887</v>
          </cell>
          <cell r="AD1349">
            <v>14.663450567763833</v>
          </cell>
          <cell r="AE1349">
            <v>14.511378409908865</v>
          </cell>
          <cell r="AF1349">
            <v>14.359306252053829</v>
          </cell>
          <cell r="AG1349">
            <v>14.207234094198792</v>
          </cell>
          <cell r="AH1349">
            <v>14.055161936343824</v>
          </cell>
        </row>
        <row r="1350">
          <cell r="B1350" t="str">
            <v>LNG - Energy cost including feedstock energy cost - Americas - USD/ton fuel</v>
          </cell>
          <cell r="G1350">
            <v>22.012310723860217</v>
          </cell>
          <cell r="H1350">
            <v>21.556466491183574</v>
          </cell>
          <cell r="I1350">
            <v>21.100622258506792</v>
          </cell>
          <cell r="J1350">
            <v>20.33006650585321</v>
          </cell>
          <cell r="K1350">
            <v>19.559510753199628</v>
          </cell>
          <cell r="L1350">
            <v>18.788955000546046</v>
          </cell>
          <cell r="M1350">
            <v>18.018399247892738</v>
          </cell>
          <cell r="N1350">
            <v>17.247843495239156</v>
          </cell>
          <cell r="O1350">
            <v>16.877033567022497</v>
          </cell>
          <cell r="P1350">
            <v>16.506223638805839</v>
          </cell>
          <cell r="Q1350">
            <v>16.13541371058918</v>
          </cell>
          <cell r="R1350">
            <v>15.764603782372523</v>
          </cell>
          <cell r="S1350">
            <v>15.393793854155795</v>
          </cell>
          <cell r="T1350">
            <v>15.093206205252955</v>
          </cell>
          <cell r="U1350">
            <v>14.792618556350112</v>
          </cell>
          <cell r="V1350">
            <v>14.492030907447202</v>
          </cell>
          <cell r="W1350">
            <v>14.191443258544359</v>
          </cell>
          <cell r="X1350">
            <v>13.890855609641482</v>
          </cell>
          <cell r="Y1350">
            <v>13.769758412927786</v>
          </cell>
          <cell r="Z1350">
            <v>13.648661216214089</v>
          </cell>
          <cell r="AA1350">
            <v>13.527564019500426</v>
          </cell>
          <cell r="AB1350">
            <v>13.406466822786728</v>
          </cell>
          <cell r="AC1350">
            <v>13.285369626073031</v>
          </cell>
          <cell r="AD1350">
            <v>13.194010362475922</v>
          </cell>
          <cell r="AE1350">
            <v>13.102651098878846</v>
          </cell>
          <cell r="AF1350">
            <v>13.011291835281769</v>
          </cell>
          <cell r="AG1350">
            <v>12.919932571684694</v>
          </cell>
          <cell r="AH1350">
            <v>12.828573308087618</v>
          </cell>
        </row>
        <row r="1351">
          <cell r="B1351" t="str">
            <v>LNG - Energy cost including feedstock energy cost - Asia - USD/ton fuel</v>
          </cell>
          <cell r="G1351">
            <v>38.96496149388549</v>
          </cell>
          <cell r="H1351">
            <v>35.540944762101567</v>
          </cell>
          <cell r="I1351">
            <v>32.116928030319286</v>
          </cell>
          <cell r="J1351">
            <v>30.888761660534144</v>
          </cell>
          <cell r="K1351">
            <v>29.660595290749551</v>
          </cell>
          <cell r="L1351">
            <v>28.432428920964412</v>
          </cell>
          <cell r="M1351">
            <v>27.204262551179273</v>
          </cell>
          <cell r="N1351">
            <v>25.976096181394677</v>
          </cell>
          <cell r="O1351">
            <v>25.141324839787011</v>
          </cell>
          <cell r="P1351">
            <v>24.306553498179618</v>
          </cell>
          <cell r="Q1351">
            <v>23.471782156572498</v>
          </cell>
          <cell r="R1351">
            <v>22.637010814965105</v>
          </cell>
          <cell r="S1351">
            <v>21.802239473357712</v>
          </cell>
          <cell r="T1351">
            <v>21.37782149863542</v>
          </cell>
          <cell r="U1351">
            <v>20.953403523913128</v>
          </cell>
          <cell r="V1351">
            <v>20.528985549190974</v>
          </cell>
          <cell r="W1351">
            <v>20.104567574468682</v>
          </cell>
          <cell r="X1351">
            <v>19.680149599746663</v>
          </cell>
          <cell r="Y1351">
            <v>19.235899376458519</v>
          </cell>
          <cell r="Z1351">
            <v>18.791649153170511</v>
          </cell>
          <cell r="AA1351">
            <v>18.347398929882363</v>
          </cell>
          <cell r="AB1351">
            <v>17.903148706594354</v>
          </cell>
          <cell r="AC1351">
            <v>17.458898483306211</v>
          </cell>
          <cell r="AD1351">
            <v>17.255171219323916</v>
          </cell>
          <cell r="AE1351">
            <v>17.051443955341551</v>
          </cell>
          <cell r="AF1351">
            <v>16.847716691359256</v>
          </cell>
          <cell r="AG1351">
            <v>16.643989427376958</v>
          </cell>
          <cell r="AH1351">
            <v>16.440262163394596</v>
          </cell>
        </row>
        <row r="1352">
          <cell r="B1352" t="str">
            <v>LNG - Energy cost including feedstock energy cost - Europe - USD/ton fuel</v>
          </cell>
          <cell r="G1352">
            <v>29.007303214654346</v>
          </cell>
          <cell r="H1352">
            <v>27.757100635909591</v>
          </cell>
          <cell r="I1352">
            <v>26.506898057164836</v>
          </cell>
          <cell r="J1352">
            <v>25.49672681863467</v>
          </cell>
          <cell r="K1352">
            <v>24.486555580104231</v>
          </cell>
          <cell r="L1352">
            <v>23.476384341574065</v>
          </cell>
          <cell r="M1352">
            <v>22.466213103043629</v>
          </cell>
          <cell r="N1352">
            <v>21.456041864513463</v>
          </cell>
          <cell r="O1352">
            <v>21.036315923909658</v>
          </cell>
          <cell r="P1352">
            <v>20.616589983306266</v>
          </cell>
          <cell r="Q1352">
            <v>20.196864042702735</v>
          </cell>
          <cell r="R1352">
            <v>19.777138102099205</v>
          </cell>
          <cell r="S1352">
            <v>19.357412161495812</v>
          </cell>
          <cell r="T1352">
            <v>19.106814441370034</v>
          </cell>
          <cell r="U1352">
            <v>18.856216721244323</v>
          </cell>
          <cell r="V1352">
            <v>18.605619001118612</v>
          </cell>
          <cell r="W1352">
            <v>18.355021280992901</v>
          </cell>
          <cell r="X1352">
            <v>18.104423560867051</v>
          </cell>
          <cell r="Y1352">
            <v>17.836329243096269</v>
          </cell>
          <cell r="Z1352">
            <v>17.568234925325417</v>
          </cell>
          <cell r="AA1352">
            <v>17.300140607554635</v>
          </cell>
          <cell r="AB1352">
            <v>17.032046289783782</v>
          </cell>
          <cell r="AC1352">
            <v>16.763951972013</v>
          </cell>
          <cell r="AD1352">
            <v>16.568344836559117</v>
          </cell>
          <cell r="AE1352">
            <v>16.372737701105166</v>
          </cell>
          <cell r="AF1352">
            <v>16.177130565651282</v>
          </cell>
          <cell r="AG1352">
            <v>15.981523430197399</v>
          </cell>
          <cell r="AH1352">
            <v>15.785916294743446</v>
          </cell>
        </row>
        <row r="1353">
          <cell r="B1353" t="str">
            <v>LNG - Energy cost including feedstock energy cost - Middle East - USD/ton fuel</v>
          </cell>
          <cell r="G1353">
            <v>22.212190003898375</v>
          </cell>
          <cell r="H1353">
            <v>21.232021740260461</v>
          </cell>
          <cell r="I1353">
            <v>20.251853476622273</v>
          </cell>
          <cell r="J1353">
            <v>19.602892276312467</v>
          </cell>
          <cell r="K1353">
            <v>18.953931076002664</v>
          </cell>
          <cell r="L1353">
            <v>18.304969875692858</v>
          </cell>
          <cell r="M1353">
            <v>17.656008675383053</v>
          </cell>
          <cell r="N1353">
            <v>17.00704747507325</v>
          </cell>
          <cell r="O1353">
            <v>16.549455045217972</v>
          </cell>
          <cell r="P1353">
            <v>16.091862615362832</v>
          </cell>
          <cell r="Q1353">
            <v>15.634270185507557</v>
          </cell>
          <cell r="R1353">
            <v>15.176677755652417</v>
          </cell>
          <cell r="S1353">
            <v>14.719085325797277</v>
          </cell>
          <cell r="T1353">
            <v>14.489653293063725</v>
          </cell>
          <cell r="U1353">
            <v>14.260221260330171</v>
          </cell>
          <cell r="V1353">
            <v>14.030789227596687</v>
          </cell>
          <cell r="W1353">
            <v>13.801357194863135</v>
          </cell>
          <cell r="X1353">
            <v>13.571925162129583</v>
          </cell>
          <cell r="Y1353">
            <v>13.271048899002039</v>
          </cell>
          <cell r="Z1353">
            <v>12.970172635874563</v>
          </cell>
          <cell r="AA1353">
            <v>12.669296372747022</v>
          </cell>
          <cell r="AB1353">
            <v>12.368420109619546</v>
          </cell>
          <cell r="AC1353">
            <v>12.067543846491969</v>
          </cell>
          <cell r="AD1353">
            <v>11.926724316796832</v>
          </cell>
          <cell r="AE1353">
            <v>11.78590478710173</v>
          </cell>
          <cell r="AF1353">
            <v>11.645085257406594</v>
          </cell>
          <cell r="AG1353">
            <v>11.504265727711458</v>
          </cell>
          <cell r="AH1353">
            <v>11.363446198016357</v>
          </cell>
        </row>
        <row r="1354">
          <cell r="B1354" t="str">
            <v>LNG - Energy cost - Africa - USD/ton fuel</v>
          </cell>
          <cell r="G1354">
            <v>35.033884158308503</v>
          </cell>
          <cell r="H1354">
            <v>30.919977747395748</v>
          </cell>
          <cell r="I1354">
            <v>26.80607133648191</v>
          </cell>
          <cell r="J1354">
            <v>25.65925481102331</v>
          </cell>
          <cell r="K1354">
            <v>24.512438285564713</v>
          </cell>
          <cell r="L1354">
            <v>23.365621760106112</v>
          </cell>
          <cell r="M1354">
            <v>22.218805234647242</v>
          </cell>
          <cell r="N1354">
            <v>21.071988709188645</v>
          </cell>
          <cell r="O1354">
            <v>20.431834259056178</v>
          </cell>
          <cell r="P1354">
            <v>19.791679808923707</v>
          </cell>
          <cell r="Q1354">
            <v>19.151525358790966</v>
          </cell>
          <cell r="R1354">
            <v>18.511370908658499</v>
          </cell>
          <cell r="S1354">
            <v>17.871216458526099</v>
          </cell>
          <cell r="T1354">
            <v>17.569906277941822</v>
          </cell>
          <cell r="U1354">
            <v>17.268596097357612</v>
          </cell>
          <cell r="V1354">
            <v>16.967285916773335</v>
          </cell>
          <cell r="W1354">
            <v>16.665975736189058</v>
          </cell>
          <cell r="X1354">
            <v>16.364665555604915</v>
          </cell>
          <cell r="Y1354">
            <v>16.054836989607747</v>
          </cell>
          <cell r="Z1354">
            <v>15.745008423610578</v>
          </cell>
          <cell r="AA1354">
            <v>15.435179857613274</v>
          </cell>
          <cell r="AB1354">
            <v>15.125351291616106</v>
          </cell>
          <cell r="AC1354">
            <v>14.81552272561887</v>
          </cell>
          <cell r="AD1354">
            <v>14.663450567763833</v>
          </cell>
          <cell r="AE1354">
            <v>14.511378409908865</v>
          </cell>
          <cell r="AF1354">
            <v>14.359306252053829</v>
          </cell>
          <cell r="AG1354">
            <v>14.207234094198792</v>
          </cell>
          <cell r="AH1354">
            <v>14.055161936343824</v>
          </cell>
        </row>
        <row r="1355">
          <cell r="B1355" t="str">
            <v>LNG - Energy cost - Americas - USD/ton fuel</v>
          </cell>
          <cell r="G1355">
            <v>22.012310723860217</v>
          </cell>
          <cell r="H1355">
            <v>21.556466491183574</v>
          </cell>
          <cell r="I1355">
            <v>21.100622258506792</v>
          </cell>
          <cell r="J1355">
            <v>20.33006650585321</v>
          </cell>
          <cell r="K1355">
            <v>19.559510753199628</v>
          </cell>
          <cell r="L1355">
            <v>18.788955000546046</v>
          </cell>
          <cell r="M1355">
            <v>18.018399247892738</v>
          </cell>
          <cell r="N1355">
            <v>17.247843495239156</v>
          </cell>
          <cell r="O1355">
            <v>16.877033567022497</v>
          </cell>
          <cell r="P1355">
            <v>16.506223638805839</v>
          </cell>
          <cell r="Q1355">
            <v>16.13541371058918</v>
          </cell>
          <cell r="R1355">
            <v>15.764603782372523</v>
          </cell>
          <cell r="S1355">
            <v>15.393793854155795</v>
          </cell>
          <cell r="T1355">
            <v>15.093206205252955</v>
          </cell>
          <cell r="U1355">
            <v>14.792618556350112</v>
          </cell>
          <cell r="V1355">
            <v>14.492030907447202</v>
          </cell>
          <cell r="W1355">
            <v>14.191443258544359</v>
          </cell>
          <cell r="X1355">
            <v>13.890855609641482</v>
          </cell>
          <cell r="Y1355">
            <v>13.769758412927786</v>
          </cell>
          <cell r="Z1355">
            <v>13.648661216214089</v>
          </cell>
          <cell r="AA1355">
            <v>13.527564019500426</v>
          </cell>
          <cell r="AB1355">
            <v>13.406466822786728</v>
          </cell>
          <cell r="AC1355">
            <v>13.285369626073031</v>
          </cell>
          <cell r="AD1355">
            <v>13.194010362475922</v>
          </cell>
          <cell r="AE1355">
            <v>13.102651098878846</v>
          </cell>
          <cell r="AF1355">
            <v>13.011291835281769</v>
          </cell>
          <cell r="AG1355">
            <v>12.919932571684694</v>
          </cell>
          <cell r="AH1355">
            <v>12.828573308087618</v>
          </cell>
        </row>
        <row r="1356">
          <cell r="B1356" t="str">
            <v>LNG - Energy cost - Asia - USD/ton fuel</v>
          </cell>
          <cell r="G1356">
            <v>38.96496149388549</v>
          </cell>
          <cell r="H1356">
            <v>35.540944762101567</v>
          </cell>
          <cell r="I1356">
            <v>32.116928030319286</v>
          </cell>
          <cell r="J1356">
            <v>30.888761660534144</v>
          </cell>
          <cell r="K1356">
            <v>29.660595290749551</v>
          </cell>
          <cell r="L1356">
            <v>28.432428920964412</v>
          </cell>
          <cell r="M1356">
            <v>27.204262551179273</v>
          </cell>
          <cell r="N1356">
            <v>25.976096181394677</v>
          </cell>
          <cell r="O1356">
            <v>25.141324839787011</v>
          </cell>
          <cell r="P1356">
            <v>24.306553498179618</v>
          </cell>
          <cell r="Q1356">
            <v>23.471782156572498</v>
          </cell>
          <cell r="R1356">
            <v>22.637010814965105</v>
          </cell>
          <cell r="S1356">
            <v>21.802239473357712</v>
          </cell>
          <cell r="T1356">
            <v>21.37782149863542</v>
          </cell>
          <cell r="U1356">
            <v>20.953403523913128</v>
          </cell>
          <cell r="V1356">
            <v>20.528985549190974</v>
          </cell>
          <cell r="W1356">
            <v>20.104567574468682</v>
          </cell>
          <cell r="X1356">
            <v>19.680149599746663</v>
          </cell>
          <cell r="Y1356">
            <v>19.235899376458519</v>
          </cell>
          <cell r="Z1356">
            <v>18.791649153170511</v>
          </cell>
          <cell r="AA1356">
            <v>18.347398929882363</v>
          </cell>
          <cell r="AB1356">
            <v>17.903148706594354</v>
          </cell>
          <cell r="AC1356">
            <v>17.458898483306211</v>
          </cell>
          <cell r="AD1356">
            <v>17.255171219323916</v>
          </cell>
          <cell r="AE1356">
            <v>17.051443955341551</v>
          </cell>
          <cell r="AF1356">
            <v>16.847716691359256</v>
          </cell>
          <cell r="AG1356">
            <v>16.643989427376958</v>
          </cell>
          <cell r="AH1356">
            <v>16.440262163394596</v>
          </cell>
        </row>
        <row r="1357">
          <cell r="B1357" t="str">
            <v>LNG - Energy cost - Europe - USD/ton fuel</v>
          </cell>
          <cell r="G1357">
            <v>29.007303214654346</v>
          </cell>
          <cell r="H1357">
            <v>27.757100635909591</v>
          </cell>
          <cell r="I1357">
            <v>26.506898057164836</v>
          </cell>
          <cell r="J1357">
            <v>25.49672681863467</v>
          </cell>
          <cell r="K1357">
            <v>24.486555580104231</v>
          </cell>
          <cell r="L1357">
            <v>23.476384341574065</v>
          </cell>
          <cell r="M1357">
            <v>22.466213103043629</v>
          </cell>
          <cell r="N1357">
            <v>21.456041864513463</v>
          </cell>
          <cell r="O1357">
            <v>21.036315923909658</v>
          </cell>
          <cell r="P1357">
            <v>20.616589983306266</v>
          </cell>
          <cell r="Q1357">
            <v>20.196864042702735</v>
          </cell>
          <cell r="R1357">
            <v>19.777138102099205</v>
          </cell>
          <cell r="S1357">
            <v>19.357412161495812</v>
          </cell>
          <cell r="T1357">
            <v>19.106814441370034</v>
          </cell>
          <cell r="U1357">
            <v>18.856216721244323</v>
          </cell>
          <cell r="V1357">
            <v>18.605619001118612</v>
          </cell>
          <cell r="W1357">
            <v>18.355021280992901</v>
          </cell>
          <cell r="X1357">
            <v>18.104423560867051</v>
          </cell>
          <cell r="Y1357">
            <v>17.836329243096269</v>
          </cell>
          <cell r="Z1357">
            <v>17.568234925325417</v>
          </cell>
          <cell r="AA1357">
            <v>17.300140607554635</v>
          </cell>
          <cell r="AB1357">
            <v>17.032046289783782</v>
          </cell>
          <cell r="AC1357">
            <v>16.763951972013</v>
          </cell>
          <cell r="AD1357">
            <v>16.568344836559117</v>
          </cell>
          <cell r="AE1357">
            <v>16.372737701105166</v>
          </cell>
          <cell r="AF1357">
            <v>16.177130565651282</v>
          </cell>
          <cell r="AG1357">
            <v>15.981523430197399</v>
          </cell>
          <cell r="AH1357">
            <v>15.785916294743446</v>
          </cell>
        </row>
        <row r="1358">
          <cell r="B1358" t="str">
            <v>LNG - Energy cost - Middle East - USD/ton fuel</v>
          </cell>
          <cell r="G1358">
            <v>22.212190003898375</v>
          </cell>
          <cell r="H1358">
            <v>21.232021740260461</v>
          </cell>
          <cell r="I1358">
            <v>20.251853476622273</v>
          </cell>
          <cell r="J1358">
            <v>19.602892276312467</v>
          </cell>
          <cell r="K1358">
            <v>18.953931076002664</v>
          </cell>
          <cell r="L1358">
            <v>18.304969875692858</v>
          </cell>
          <cell r="M1358">
            <v>17.656008675383053</v>
          </cell>
          <cell r="N1358">
            <v>17.00704747507325</v>
          </cell>
          <cell r="O1358">
            <v>16.549455045217972</v>
          </cell>
          <cell r="P1358">
            <v>16.091862615362832</v>
          </cell>
          <cell r="Q1358">
            <v>15.634270185507557</v>
          </cell>
          <cell r="R1358">
            <v>15.176677755652417</v>
          </cell>
          <cell r="S1358">
            <v>14.719085325797277</v>
          </cell>
          <cell r="T1358">
            <v>14.489653293063725</v>
          </cell>
          <cell r="U1358">
            <v>14.260221260330171</v>
          </cell>
          <cell r="V1358">
            <v>14.030789227596687</v>
          </cell>
          <cell r="W1358">
            <v>13.801357194863135</v>
          </cell>
          <cell r="X1358">
            <v>13.571925162129583</v>
          </cell>
          <cell r="Y1358">
            <v>13.271048899002039</v>
          </cell>
          <cell r="Z1358">
            <v>12.970172635874563</v>
          </cell>
          <cell r="AA1358">
            <v>12.669296372747022</v>
          </cell>
          <cell r="AB1358">
            <v>12.368420109619546</v>
          </cell>
          <cell r="AC1358">
            <v>12.067543846491969</v>
          </cell>
          <cell r="AD1358">
            <v>11.926724316796832</v>
          </cell>
          <cell r="AE1358">
            <v>11.78590478710173</v>
          </cell>
          <cell r="AF1358">
            <v>11.645085257406594</v>
          </cell>
          <cell r="AG1358">
            <v>11.504265727711458</v>
          </cell>
          <cell r="AH1358">
            <v>11.363446198016357</v>
          </cell>
        </row>
        <row r="1359">
          <cell r="B1359" t="str">
            <v/>
          </cell>
        </row>
        <row r="1360">
          <cell r="B1360" t="str">
            <v>LNG - Feedstock cost including feedstock feedstock cost - Africa - USD/ton fuel</v>
          </cell>
          <cell r="G1360">
            <v>1120</v>
          </cell>
          <cell r="H1360">
            <v>910</v>
          </cell>
          <cell r="I1360">
            <v>700</v>
          </cell>
          <cell r="J1360">
            <v>655</v>
          </cell>
          <cell r="K1360">
            <v>610</v>
          </cell>
          <cell r="L1360">
            <v>565</v>
          </cell>
          <cell r="M1360">
            <v>520</v>
          </cell>
          <cell r="N1360">
            <v>475</v>
          </cell>
          <cell r="O1360">
            <v>475</v>
          </cell>
          <cell r="P1360">
            <v>475</v>
          </cell>
          <cell r="Q1360">
            <v>475</v>
          </cell>
          <cell r="R1360">
            <v>475</v>
          </cell>
          <cell r="S1360">
            <v>475</v>
          </cell>
          <cell r="T1360">
            <v>475</v>
          </cell>
          <cell r="U1360">
            <v>475</v>
          </cell>
          <cell r="V1360">
            <v>475</v>
          </cell>
          <cell r="W1360">
            <v>475</v>
          </cell>
          <cell r="X1360">
            <v>475</v>
          </cell>
          <cell r="Y1360">
            <v>475</v>
          </cell>
          <cell r="Z1360">
            <v>475</v>
          </cell>
          <cell r="AA1360">
            <v>475</v>
          </cell>
          <cell r="AB1360">
            <v>475</v>
          </cell>
          <cell r="AC1360">
            <v>475</v>
          </cell>
          <cell r="AD1360">
            <v>475</v>
          </cell>
          <cell r="AE1360">
            <v>475</v>
          </cell>
          <cell r="AF1360">
            <v>475</v>
          </cell>
          <cell r="AG1360">
            <v>475</v>
          </cell>
          <cell r="AH1360">
            <v>475</v>
          </cell>
        </row>
        <row r="1361">
          <cell r="B1361" t="str">
            <v>LNG - Feedstock cost including feedstock feedstock cost - Americas - USD/ton fuel</v>
          </cell>
          <cell r="G1361">
            <v>278</v>
          </cell>
          <cell r="H1361">
            <v>254</v>
          </cell>
          <cell r="I1361">
            <v>230</v>
          </cell>
          <cell r="J1361">
            <v>228</v>
          </cell>
          <cell r="K1361">
            <v>226</v>
          </cell>
          <cell r="L1361">
            <v>224</v>
          </cell>
          <cell r="M1361">
            <v>222</v>
          </cell>
          <cell r="N1361">
            <v>220</v>
          </cell>
          <cell r="O1361">
            <v>226</v>
          </cell>
          <cell r="P1361">
            <v>232</v>
          </cell>
          <cell r="Q1361">
            <v>238</v>
          </cell>
          <cell r="R1361">
            <v>244</v>
          </cell>
          <cell r="S1361">
            <v>250</v>
          </cell>
          <cell r="T1361">
            <v>250</v>
          </cell>
          <cell r="U1361">
            <v>250</v>
          </cell>
          <cell r="V1361">
            <v>250</v>
          </cell>
          <cell r="W1361">
            <v>250</v>
          </cell>
          <cell r="X1361">
            <v>250</v>
          </cell>
          <cell r="Y1361">
            <v>250</v>
          </cell>
          <cell r="Z1361">
            <v>250</v>
          </cell>
          <cell r="AA1361">
            <v>250</v>
          </cell>
          <cell r="AB1361">
            <v>250</v>
          </cell>
          <cell r="AC1361">
            <v>250</v>
          </cell>
          <cell r="AD1361">
            <v>250</v>
          </cell>
          <cell r="AE1361">
            <v>250</v>
          </cell>
          <cell r="AF1361">
            <v>250</v>
          </cell>
          <cell r="AG1361">
            <v>250</v>
          </cell>
          <cell r="AH1361">
            <v>250</v>
          </cell>
        </row>
        <row r="1362">
          <cell r="B1362" t="str">
            <v>LNG - Feedstock cost including feedstock feedstock cost - Asia - USD/ton fuel</v>
          </cell>
          <cell r="G1362">
            <v>1075</v>
          </cell>
          <cell r="H1362">
            <v>900</v>
          </cell>
          <cell r="I1362">
            <v>725</v>
          </cell>
          <cell r="J1362">
            <v>650</v>
          </cell>
          <cell r="K1362">
            <v>575</v>
          </cell>
          <cell r="L1362">
            <v>500</v>
          </cell>
          <cell r="M1362">
            <v>425</v>
          </cell>
          <cell r="N1362">
            <v>350</v>
          </cell>
          <cell r="O1362">
            <v>350</v>
          </cell>
          <cell r="P1362">
            <v>350</v>
          </cell>
          <cell r="Q1362">
            <v>350</v>
          </cell>
          <cell r="R1362">
            <v>350</v>
          </cell>
          <cell r="S1362">
            <v>350</v>
          </cell>
          <cell r="T1362">
            <v>350</v>
          </cell>
          <cell r="U1362">
            <v>350</v>
          </cell>
          <cell r="V1362">
            <v>350</v>
          </cell>
          <cell r="W1362">
            <v>350</v>
          </cell>
          <cell r="X1362">
            <v>350</v>
          </cell>
          <cell r="Y1362">
            <v>350</v>
          </cell>
          <cell r="Z1362">
            <v>350</v>
          </cell>
          <cell r="AA1362">
            <v>350</v>
          </cell>
          <cell r="AB1362">
            <v>350</v>
          </cell>
          <cell r="AC1362">
            <v>350</v>
          </cell>
          <cell r="AD1362">
            <v>350</v>
          </cell>
          <cell r="AE1362">
            <v>350</v>
          </cell>
          <cell r="AF1362">
            <v>350</v>
          </cell>
          <cell r="AG1362">
            <v>350</v>
          </cell>
          <cell r="AH1362">
            <v>350</v>
          </cell>
        </row>
        <row r="1363">
          <cell r="B1363" t="str">
            <v>LNG - Feedstock cost including feedstock feedstock cost - Europe - USD/ton fuel</v>
          </cell>
          <cell r="G1363">
            <v>1120</v>
          </cell>
          <cell r="H1363">
            <v>910</v>
          </cell>
          <cell r="I1363">
            <v>700</v>
          </cell>
          <cell r="J1363">
            <v>655</v>
          </cell>
          <cell r="K1363">
            <v>610</v>
          </cell>
          <cell r="L1363">
            <v>565</v>
          </cell>
          <cell r="M1363">
            <v>520</v>
          </cell>
          <cell r="N1363">
            <v>475</v>
          </cell>
          <cell r="O1363">
            <v>475</v>
          </cell>
          <cell r="P1363">
            <v>475</v>
          </cell>
          <cell r="Q1363">
            <v>475</v>
          </cell>
          <cell r="R1363">
            <v>475</v>
          </cell>
          <cell r="S1363">
            <v>475</v>
          </cell>
          <cell r="T1363">
            <v>475</v>
          </cell>
          <cell r="U1363">
            <v>475</v>
          </cell>
          <cell r="V1363">
            <v>475</v>
          </cell>
          <cell r="W1363">
            <v>475</v>
          </cell>
          <cell r="X1363">
            <v>475</v>
          </cell>
          <cell r="Y1363">
            <v>475</v>
          </cell>
          <cell r="Z1363">
            <v>475</v>
          </cell>
          <cell r="AA1363">
            <v>475</v>
          </cell>
          <cell r="AB1363">
            <v>475</v>
          </cell>
          <cell r="AC1363">
            <v>475</v>
          </cell>
          <cell r="AD1363">
            <v>475</v>
          </cell>
          <cell r="AE1363">
            <v>475</v>
          </cell>
          <cell r="AF1363">
            <v>475</v>
          </cell>
          <cell r="AG1363">
            <v>475</v>
          </cell>
          <cell r="AH1363">
            <v>475</v>
          </cell>
        </row>
        <row r="1364">
          <cell r="B1364" t="str">
            <v>LNG - Feedstock cost including feedstock feedstock cost - Middle East - USD/ton fuel</v>
          </cell>
          <cell r="G1364">
            <v>875</v>
          </cell>
          <cell r="H1364">
            <v>700</v>
          </cell>
          <cell r="I1364">
            <v>525</v>
          </cell>
          <cell r="J1364">
            <v>449</v>
          </cell>
          <cell r="K1364">
            <v>373</v>
          </cell>
          <cell r="L1364">
            <v>297</v>
          </cell>
          <cell r="M1364">
            <v>221</v>
          </cell>
          <cell r="N1364">
            <v>145</v>
          </cell>
          <cell r="O1364">
            <v>145</v>
          </cell>
          <cell r="P1364">
            <v>145</v>
          </cell>
          <cell r="Q1364">
            <v>145</v>
          </cell>
          <cell r="R1364">
            <v>145</v>
          </cell>
          <cell r="S1364">
            <v>145</v>
          </cell>
          <cell r="T1364">
            <v>145</v>
          </cell>
          <cell r="U1364">
            <v>145</v>
          </cell>
          <cell r="V1364">
            <v>145</v>
          </cell>
          <cell r="W1364">
            <v>145</v>
          </cell>
          <cell r="X1364">
            <v>145</v>
          </cell>
          <cell r="Y1364">
            <v>145</v>
          </cell>
          <cell r="Z1364">
            <v>145</v>
          </cell>
          <cell r="AA1364">
            <v>145</v>
          </cell>
          <cell r="AB1364">
            <v>145</v>
          </cell>
          <cell r="AC1364">
            <v>145</v>
          </cell>
          <cell r="AD1364">
            <v>145</v>
          </cell>
          <cell r="AE1364">
            <v>145</v>
          </cell>
          <cell r="AF1364">
            <v>145</v>
          </cell>
          <cell r="AG1364">
            <v>145</v>
          </cell>
          <cell r="AH1364">
            <v>145</v>
          </cell>
        </row>
        <row r="1365">
          <cell r="B1365" t="str">
            <v>LNG - Feedstock cost - Africa - USD/ton fuel</v>
          </cell>
          <cell r="G1365">
            <v>1120</v>
          </cell>
          <cell r="H1365">
            <v>910</v>
          </cell>
          <cell r="I1365">
            <v>700</v>
          </cell>
          <cell r="J1365">
            <v>655</v>
          </cell>
          <cell r="K1365">
            <v>610</v>
          </cell>
          <cell r="L1365">
            <v>565</v>
          </cell>
          <cell r="M1365">
            <v>520</v>
          </cell>
          <cell r="N1365">
            <v>475</v>
          </cell>
          <cell r="O1365">
            <v>475</v>
          </cell>
          <cell r="P1365">
            <v>475</v>
          </cell>
          <cell r="Q1365">
            <v>475</v>
          </cell>
          <cell r="R1365">
            <v>475</v>
          </cell>
          <cell r="S1365">
            <v>475</v>
          </cell>
          <cell r="T1365">
            <v>475</v>
          </cell>
          <cell r="U1365">
            <v>475</v>
          </cell>
          <cell r="V1365">
            <v>475</v>
          </cell>
          <cell r="W1365">
            <v>475</v>
          </cell>
          <cell r="X1365">
            <v>475</v>
          </cell>
          <cell r="Y1365">
            <v>475</v>
          </cell>
          <cell r="Z1365">
            <v>475</v>
          </cell>
          <cell r="AA1365">
            <v>475</v>
          </cell>
          <cell r="AB1365">
            <v>475</v>
          </cell>
          <cell r="AC1365">
            <v>475</v>
          </cell>
          <cell r="AD1365">
            <v>475</v>
          </cell>
          <cell r="AE1365">
            <v>475</v>
          </cell>
          <cell r="AF1365">
            <v>475</v>
          </cell>
          <cell r="AG1365">
            <v>475</v>
          </cell>
          <cell r="AH1365">
            <v>475</v>
          </cell>
        </row>
        <row r="1366">
          <cell r="B1366" t="str">
            <v>LNG - Feedstock cost - Americas - USD/ton fuel</v>
          </cell>
          <cell r="G1366">
            <v>278</v>
          </cell>
          <cell r="H1366">
            <v>254</v>
          </cell>
          <cell r="I1366">
            <v>230</v>
          </cell>
          <cell r="J1366">
            <v>228</v>
          </cell>
          <cell r="K1366">
            <v>226</v>
          </cell>
          <cell r="L1366">
            <v>224</v>
          </cell>
          <cell r="M1366">
            <v>222</v>
          </cell>
          <cell r="N1366">
            <v>220</v>
          </cell>
          <cell r="O1366">
            <v>226</v>
          </cell>
          <cell r="P1366">
            <v>232</v>
          </cell>
          <cell r="Q1366">
            <v>238</v>
          </cell>
          <cell r="R1366">
            <v>244</v>
          </cell>
          <cell r="S1366">
            <v>250</v>
          </cell>
          <cell r="T1366">
            <v>250</v>
          </cell>
          <cell r="U1366">
            <v>250</v>
          </cell>
          <cell r="V1366">
            <v>250</v>
          </cell>
          <cell r="W1366">
            <v>250</v>
          </cell>
          <cell r="X1366">
            <v>250</v>
          </cell>
          <cell r="Y1366">
            <v>250</v>
          </cell>
          <cell r="Z1366">
            <v>250</v>
          </cell>
          <cell r="AA1366">
            <v>250</v>
          </cell>
          <cell r="AB1366">
            <v>250</v>
          </cell>
          <cell r="AC1366">
            <v>250</v>
          </cell>
          <cell r="AD1366">
            <v>250</v>
          </cell>
          <cell r="AE1366">
            <v>250</v>
          </cell>
          <cell r="AF1366">
            <v>250</v>
          </cell>
          <cell r="AG1366">
            <v>250</v>
          </cell>
          <cell r="AH1366">
            <v>250</v>
          </cell>
        </row>
        <row r="1367">
          <cell r="B1367" t="str">
            <v>LNG - Feedstock cost - Asia - USD/ton fuel</v>
          </cell>
          <cell r="G1367">
            <v>1075</v>
          </cell>
          <cell r="H1367">
            <v>900</v>
          </cell>
          <cell r="I1367">
            <v>725</v>
          </cell>
          <cell r="J1367">
            <v>650</v>
          </cell>
          <cell r="K1367">
            <v>575</v>
          </cell>
          <cell r="L1367">
            <v>500</v>
          </cell>
          <cell r="M1367">
            <v>425</v>
          </cell>
          <cell r="N1367">
            <v>350</v>
          </cell>
          <cell r="O1367">
            <v>350</v>
          </cell>
          <cell r="P1367">
            <v>350</v>
          </cell>
          <cell r="Q1367">
            <v>350</v>
          </cell>
          <cell r="R1367">
            <v>350</v>
          </cell>
          <cell r="S1367">
            <v>350</v>
          </cell>
          <cell r="T1367">
            <v>350</v>
          </cell>
          <cell r="U1367">
            <v>350</v>
          </cell>
          <cell r="V1367">
            <v>350</v>
          </cell>
          <cell r="W1367">
            <v>350</v>
          </cell>
          <cell r="X1367">
            <v>350</v>
          </cell>
          <cell r="Y1367">
            <v>350</v>
          </cell>
          <cell r="Z1367">
            <v>350</v>
          </cell>
          <cell r="AA1367">
            <v>350</v>
          </cell>
          <cell r="AB1367">
            <v>350</v>
          </cell>
          <cell r="AC1367">
            <v>350</v>
          </cell>
          <cell r="AD1367">
            <v>350</v>
          </cell>
          <cell r="AE1367">
            <v>350</v>
          </cell>
          <cell r="AF1367">
            <v>350</v>
          </cell>
          <cell r="AG1367">
            <v>350</v>
          </cell>
          <cell r="AH1367">
            <v>350</v>
          </cell>
        </row>
        <row r="1368">
          <cell r="B1368" t="str">
            <v>LNG - Feedstock cost - Europe - USD/ton fuel</v>
          </cell>
          <cell r="G1368">
            <v>1120</v>
          </cell>
          <cell r="H1368">
            <v>910</v>
          </cell>
          <cell r="I1368">
            <v>700</v>
          </cell>
          <cell r="J1368">
            <v>655</v>
          </cell>
          <cell r="K1368">
            <v>610</v>
          </cell>
          <cell r="L1368">
            <v>565</v>
          </cell>
          <cell r="M1368">
            <v>520</v>
          </cell>
          <cell r="N1368">
            <v>475</v>
          </cell>
          <cell r="O1368">
            <v>475</v>
          </cell>
          <cell r="P1368">
            <v>475</v>
          </cell>
          <cell r="Q1368">
            <v>475</v>
          </cell>
          <cell r="R1368">
            <v>475</v>
          </cell>
          <cell r="S1368">
            <v>475</v>
          </cell>
          <cell r="T1368">
            <v>475</v>
          </cell>
          <cell r="U1368">
            <v>475</v>
          </cell>
          <cell r="V1368">
            <v>475</v>
          </cell>
          <cell r="W1368">
            <v>475</v>
          </cell>
          <cell r="X1368">
            <v>475</v>
          </cell>
          <cell r="Y1368">
            <v>475</v>
          </cell>
          <cell r="Z1368">
            <v>475</v>
          </cell>
          <cell r="AA1368">
            <v>475</v>
          </cell>
          <cell r="AB1368">
            <v>475</v>
          </cell>
          <cell r="AC1368">
            <v>475</v>
          </cell>
          <cell r="AD1368">
            <v>475</v>
          </cell>
          <cell r="AE1368">
            <v>475</v>
          </cell>
          <cell r="AF1368">
            <v>475</v>
          </cell>
          <cell r="AG1368">
            <v>475</v>
          </cell>
          <cell r="AH1368">
            <v>475</v>
          </cell>
        </row>
        <row r="1369">
          <cell r="B1369" t="str">
            <v>LNG - Feedstock cost - Middle East - USD/ton fuel</v>
          </cell>
          <cell r="G1369">
            <v>875</v>
          </cell>
          <cell r="H1369">
            <v>700</v>
          </cell>
          <cell r="I1369">
            <v>525</v>
          </cell>
          <cell r="J1369">
            <v>449</v>
          </cell>
          <cell r="K1369">
            <v>373</v>
          </cell>
          <cell r="L1369">
            <v>297</v>
          </cell>
          <cell r="M1369">
            <v>221</v>
          </cell>
          <cell r="N1369">
            <v>145</v>
          </cell>
          <cell r="O1369">
            <v>145</v>
          </cell>
          <cell r="P1369">
            <v>145</v>
          </cell>
          <cell r="Q1369">
            <v>145</v>
          </cell>
          <cell r="R1369">
            <v>145</v>
          </cell>
          <cell r="S1369">
            <v>145</v>
          </cell>
          <cell r="T1369">
            <v>145</v>
          </cell>
          <cell r="U1369">
            <v>145</v>
          </cell>
          <cell r="V1369">
            <v>145</v>
          </cell>
          <cell r="W1369">
            <v>145</v>
          </cell>
          <cell r="X1369">
            <v>145</v>
          </cell>
          <cell r="Y1369">
            <v>145</v>
          </cell>
          <cell r="Z1369">
            <v>145</v>
          </cell>
          <cell r="AA1369">
            <v>145</v>
          </cell>
          <cell r="AB1369">
            <v>145</v>
          </cell>
          <cell r="AC1369">
            <v>145</v>
          </cell>
          <cell r="AD1369">
            <v>145</v>
          </cell>
          <cell r="AE1369">
            <v>145</v>
          </cell>
          <cell r="AF1369">
            <v>145</v>
          </cell>
          <cell r="AG1369">
            <v>145</v>
          </cell>
          <cell r="AH1369">
            <v>145</v>
          </cell>
        </row>
        <row r="1371">
          <cell r="B1371" t="str">
            <v>LSFO - Item - Region - Unit</v>
          </cell>
          <cell r="G1371">
            <v>2023</v>
          </cell>
          <cell r="H1371">
            <v>2024</v>
          </cell>
          <cell r="I1371">
            <v>2025</v>
          </cell>
          <cell r="J1371">
            <v>2026</v>
          </cell>
          <cell r="K1371">
            <v>2027</v>
          </cell>
          <cell r="L1371">
            <v>2028</v>
          </cell>
          <cell r="M1371">
            <v>2029</v>
          </cell>
          <cell r="N1371">
            <v>2030</v>
          </cell>
          <cell r="O1371">
            <v>2031</v>
          </cell>
          <cell r="P1371">
            <v>2032</v>
          </cell>
          <cell r="Q1371">
            <v>2033</v>
          </cell>
          <cell r="R1371">
            <v>2034</v>
          </cell>
          <cell r="S1371">
            <v>2035</v>
          </cell>
          <cell r="T1371">
            <v>2036</v>
          </cell>
          <cell r="U1371">
            <v>2037</v>
          </cell>
          <cell r="V1371">
            <v>2038</v>
          </cell>
          <cell r="W1371">
            <v>2039</v>
          </cell>
          <cell r="X1371">
            <v>2040</v>
          </cell>
          <cell r="Y1371">
            <v>2041</v>
          </cell>
          <cell r="Z1371">
            <v>2042</v>
          </cell>
          <cell r="AA1371">
            <v>2043</v>
          </cell>
          <cell r="AB1371">
            <v>2044</v>
          </cell>
          <cell r="AC1371">
            <v>2045</v>
          </cell>
          <cell r="AD1371">
            <v>2046</v>
          </cell>
          <cell r="AE1371">
            <v>2047</v>
          </cell>
          <cell r="AF1371">
            <v>2048</v>
          </cell>
          <cell r="AG1371">
            <v>2049</v>
          </cell>
          <cell r="AH1371">
            <v>2050</v>
          </cell>
        </row>
        <row r="1372">
          <cell r="B1372" t="str">
            <v>LSFO - Total cost - Africa - USD/ton fuel</v>
          </cell>
          <cell r="G1372">
            <v>735.35</v>
          </cell>
          <cell r="H1372">
            <v>685.30000000000007</v>
          </cell>
          <cell r="I1372">
            <v>635.25</v>
          </cell>
          <cell r="J1372">
            <v>619.0799999999972</v>
          </cell>
          <cell r="K1372">
            <v>602.91000000000145</v>
          </cell>
          <cell r="L1372">
            <v>586.73999999999864</v>
          </cell>
          <cell r="M1372">
            <v>570.56999999999584</v>
          </cell>
          <cell r="N1372">
            <v>554.4</v>
          </cell>
          <cell r="O1372">
            <v>554.4</v>
          </cell>
          <cell r="P1372">
            <v>554.4</v>
          </cell>
          <cell r="Q1372">
            <v>554.4</v>
          </cell>
          <cell r="R1372">
            <v>554.4</v>
          </cell>
          <cell r="S1372">
            <v>554.4</v>
          </cell>
          <cell r="T1372">
            <v>554.4</v>
          </cell>
          <cell r="U1372">
            <v>554.4</v>
          </cell>
          <cell r="V1372">
            <v>554.4</v>
          </cell>
          <cell r="W1372">
            <v>554.4</v>
          </cell>
          <cell r="X1372">
            <v>554.4</v>
          </cell>
          <cell r="Y1372">
            <v>554.4</v>
          </cell>
          <cell r="Z1372">
            <v>554.4</v>
          </cell>
          <cell r="AA1372">
            <v>554.4</v>
          </cell>
          <cell r="AB1372">
            <v>554.4</v>
          </cell>
          <cell r="AC1372">
            <v>554.4</v>
          </cell>
          <cell r="AD1372">
            <v>554.4</v>
          </cell>
          <cell r="AE1372">
            <v>554.4</v>
          </cell>
          <cell r="AF1372">
            <v>554.4</v>
          </cell>
          <cell r="AG1372">
            <v>554.4</v>
          </cell>
          <cell r="AH1372">
            <v>554.4</v>
          </cell>
        </row>
        <row r="1373">
          <cell r="B1373" t="str">
            <v>LSFO - Total cost - Americas - USD/ton fuel</v>
          </cell>
          <cell r="G1373">
            <v>735.35</v>
          </cell>
          <cell r="H1373">
            <v>685.30000000000007</v>
          </cell>
          <cell r="I1373">
            <v>635.25</v>
          </cell>
          <cell r="J1373">
            <v>619.0799999999972</v>
          </cell>
          <cell r="K1373">
            <v>602.91000000000145</v>
          </cell>
          <cell r="L1373">
            <v>586.73999999999864</v>
          </cell>
          <cell r="M1373">
            <v>570.56999999999584</v>
          </cell>
          <cell r="N1373">
            <v>554.4</v>
          </cell>
          <cell r="O1373">
            <v>554.4</v>
          </cell>
          <cell r="P1373">
            <v>554.4</v>
          </cell>
          <cell r="Q1373">
            <v>554.4</v>
          </cell>
          <cell r="R1373">
            <v>554.4</v>
          </cell>
          <cell r="S1373">
            <v>554.4</v>
          </cell>
          <cell r="T1373">
            <v>554.4</v>
          </cell>
          <cell r="U1373">
            <v>554.4</v>
          </cell>
          <cell r="V1373">
            <v>554.4</v>
          </cell>
          <cell r="W1373">
            <v>554.4</v>
          </cell>
          <cell r="X1373">
            <v>554.4</v>
          </cell>
          <cell r="Y1373">
            <v>554.4</v>
          </cell>
          <cell r="Z1373">
            <v>554.4</v>
          </cell>
          <cell r="AA1373">
            <v>554.4</v>
          </cell>
          <cell r="AB1373">
            <v>554.4</v>
          </cell>
          <cell r="AC1373">
            <v>554.4</v>
          </cell>
          <cell r="AD1373">
            <v>554.4</v>
          </cell>
          <cell r="AE1373">
            <v>554.4</v>
          </cell>
          <cell r="AF1373">
            <v>554.4</v>
          </cell>
          <cell r="AG1373">
            <v>554.4</v>
          </cell>
          <cell r="AH1373">
            <v>554.4</v>
          </cell>
        </row>
        <row r="1374">
          <cell r="B1374" t="str">
            <v>LSFO - Total cost - Asia - USD/ton fuel</v>
          </cell>
          <cell r="G1374">
            <v>735.35</v>
          </cell>
          <cell r="H1374">
            <v>685.30000000000007</v>
          </cell>
          <cell r="I1374">
            <v>635.25</v>
          </cell>
          <cell r="J1374">
            <v>619.0799999999972</v>
          </cell>
          <cell r="K1374">
            <v>602.91000000000145</v>
          </cell>
          <cell r="L1374">
            <v>586.73999999999864</v>
          </cell>
          <cell r="M1374">
            <v>570.56999999999584</v>
          </cell>
          <cell r="N1374">
            <v>554.4</v>
          </cell>
          <cell r="O1374">
            <v>554.4</v>
          </cell>
          <cell r="P1374">
            <v>554.4</v>
          </cell>
          <cell r="Q1374">
            <v>554.4</v>
          </cell>
          <cell r="R1374">
            <v>554.4</v>
          </cell>
          <cell r="S1374">
            <v>554.4</v>
          </cell>
          <cell r="T1374">
            <v>554.4</v>
          </cell>
          <cell r="U1374">
            <v>554.4</v>
          </cell>
          <cell r="V1374">
            <v>554.4</v>
          </cell>
          <cell r="W1374">
            <v>554.4</v>
          </cell>
          <cell r="X1374">
            <v>554.4</v>
          </cell>
          <cell r="Y1374">
            <v>554.4</v>
          </cell>
          <cell r="Z1374">
            <v>554.4</v>
          </cell>
          <cell r="AA1374">
            <v>554.4</v>
          </cell>
          <cell r="AB1374">
            <v>554.4</v>
          </cell>
          <cell r="AC1374">
            <v>554.4</v>
          </cell>
          <cell r="AD1374">
            <v>554.4</v>
          </cell>
          <cell r="AE1374">
            <v>554.4</v>
          </cell>
          <cell r="AF1374">
            <v>554.4</v>
          </cell>
          <cell r="AG1374">
            <v>554.4</v>
          </cell>
          <cell r="AH1374">
            <v>554.4</v>
          </cell>
        </row>
        <row r="1375">
          <cell r="B1375" t="str">
            <v>LSFO - Total cost - Europe - USD/ton fuel</v>
          </cell>
          <cell r="G1375">
            <v>735.35</v>
          </cell>
          <cell r="H1375">
            <v>685.30000000000007</v>
          </cell>
          <cell r="I1375">
            <v>635.25</v>
          </cell>
          <cell r="J1375">
            <v>619.0799999999972</v>
          </cell>
          <cell r="K1375">
            <v>602.91000000000145</v>
          </cell>
          <cell r="L1375">
            <v>586.73999999999864</v>
          </cell>
          <cell r="M1375">
            <v>570.56999999999584</v>
          </cell>
          <cell r="N1375">
            <v>554.4</v>
          </cell>
          <cell r="O1375">
            <v>554.4</v>
          </cell>
          <cell r="P1375">
            <v>554.4</v>
          </cell>
          <cell r="Q1375">
            <v>554.4</v>
          </cell>
          <cell r="R1375">
            <v>554.4</v>
          </cell>
          <cell r="S1375">
            <v>554.4</v>
          </cell>
          <cell r="T1375">
            <v>554.4</v>
          </cell>
          <cell r="U1375">
            <v>554.4</v>
          </cell>
          <cell r="V1375">
            <v>554.4</v>
          </cell>
          <cell r="W1375">
            <v>554.4</v>
          </cell>
          <cell r="X1375">
            <v>554.4</v>
          </cell>
          <cell r="Y1375">
            <v>554.4</v>
          </cell>
          <cell r="Z1375">
            <v>554.4</v>
          </cell>
          <cell r="AA1375">
            <v>554.4</v>
          </cell>
          <cell r="AB1375">
            <v>554.4</v>
          </cell>
          <cell r="AC1375">
            <v>554.4</v>
          </cell>
          <cell r="AD1375">
            <v>554.4</v>
          </cell>
          <cell r="AE1375">
            <v>554.4</v>
          </cell>
          <cell r="AF1375">
            <v>554.4</v>
          </cell>
          <cell r="AG1375">
            <v>554.4</v>
          </cell>
          <cell r="AH1375">
            <v>554.4</v>
          </cell>
        </row>
        <row r="1376">
          <cell r="B1376" t="str">
            <v>LSFO - Total cost - Middle East - USD/ton fuel</v>
          </cell>
          <cell r="G1376">
            <v>735.35</v>
          </cell>
          <cell r="H1376">
            <v>685.30000000000007</v>
          </cell>
          <cell r="I1376">
            <v>635.25</v>
          </cell>
          <cell r="J1376">
            <v>619.0799999999972</v>
          </cell>
          <cell r="K1376">
            <v>602.91000000000145</v>
          </cell>
          <cell r="L1376">
            <v>586.73999999999864</v>
          </cell>
          <cell r="M1376">
            <v>570.56999999999584</v>
          </cell>
          <cell r="N1376">
            <v>554.4</v>
          </cell>
          <cell r="O1376">
            <v>554.4</v>
          </cell>
          <cell r="P1376">
            <v>554.4</v>
          </cell>
          <cell r="Q1376">
            <v>554.4</v>
          </cell>
          <cell r="R1376">
            <v>554.4</v>
          </cell>
          <cell r="S1376">
            <v>554.4</v>
          </cell>
          <cell r="T1376">
            <v>554.4</v>
          </cell>
          <cell r="U1376">
            <v>554.4</v>
          </cell>
          <cell r="V1376">
            <v>554.4</v>
          </cell>
          <cell r="W1376">
            <v>554.4</v>
          </cell>
          <cell r="X1376">
            <v>554.4</v>
          </cell>
          <cell r="Y1376">
            <v>554.4</v>
          </cell>
          <cell r="Z1376">
            <v>554.4</v>
          </cell>
          <cell r="AA1376">
            <v>554.4</v>
          </cell>
          <cell r="AB1376">
            <v>554.4</v>
          </cell>
          <cell r="AC1376">
            <v>554.4</v>
          </cell>
          <cell r="AD1376">
            <v>554.4</v>
          </cell>
          <cell r="AE1376">
            <v>554.4</v>
          </cell>
          <cell r="AF1376">
            <v>554.4</v>
          </cell>
          <cell r="AG1376">
            <v>554.4</v>
          </cell>
          <cell r="AH1376">
            <v>554.4</v>
          </cell>
        </row>
        <row r="1377">
          <cell r="B1377" t="str">
            <v/>
          </cell>
        </row>
        <row r="1378">
          <cell r="B1378" t="str">
            <v>LSFO - CAPEX including feedstock CAPEX - Global - USD/ton fuel</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row>
        <row r="1379">
          <cell r="B1379" t="str">
            <v>LSFO - CAPEX - Global - USD/ton fuel</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row>
        <row r="1380">
          <cell r="B1380" t="str">
            <v/>
          </cell>
        </row>
        <row r="1381">
          <cell r="B1381" t="str">
            <v>LSFO - OPEX including feedstock OPEX - Global - USD/ton fuel</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row>
        <row r="1382">
          <cell r="B1382" t="str">
            <v>LSFO - OPEX - Global - USD/ton fuel</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row>
        <row r="1383">
          <cell r="B1383" t="str">
            <v/>
          </cell>
        </row>
        <row r="1384">
          <cell r="B1384" t="str">
            <v>LSFO - Finance cost including feedstock finance cost - Africa - USD/ton fuel</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row>
        <row r="1385">
          <cell r="B1385" t="str">
            <v>LSFO - Finance cost including feedstock finance cost - Americas - USD/ton fuel</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row>
        <row r="1386">
          <cell r="B1386" t="str">
            <v>LSFO - Finance cost including feedstock finance cost - Asia - USD/ton fuel</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row>
        <row r="1387">
          <cell r="B1387" t="str">
            <v>LSFO - Finance cost including feedstock finance cost - Europe - USD/ton fuel</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row>
        <row r="1388">
          <cell r="B1388" t="str">
            <v>LSFO - Finance cost including feedstock finance cost - Middle East - USD/ton fuel</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row>
        <row r="1389">
          <cell r="B1389" t="str">
            <v>LSFO - Finance cost - Africa - USD/ton fuel</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row>
        <row r="1390">
          <cell r="B1390" t="str">
            <v>LSFO - Finance cost - Americas - USD/ton fuel</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row>
        <row r="1391">
          <cell r="B1391" t="str">
            <v>LSFO - Finance cost - Asia - USD/ton fuel</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row>
        <row r="1392">
          <cell r="B1392" t="str">
            <v>LSFO - Finance cost - Europe - USD/ton fuel</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row>
        <row r="1393">
          <cell r="B1393" t="str">
            <v>LSFO - Finance cost - Middle East - USD/ton fuel</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row>
        <row r="1394">
          <cell r="B1394" t="str">
            <v/>
          </cell>
        </row>
        <row r="1395">
          <cell r="B1395" t="str">
            <v>LSFO - Energy cost including feedstock energy cost - Africa - USD/ton fuel</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row>
        <row r="1396">
          <cell r="B1396" t="str">
            <v>LSFO - Energy cost including feedstock energy cost - Americas - USD/ton fuel</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row>
        <row r="1397">
          <cell r="B1397" t="str">
            <v>LSFO - Energy cost including feedstock energy cost - Asia - USD/ton fuel</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row>
        <row r="1398">
          <cell r="B1398" t="str">
            <v>LSFO - Energy cost including feedstock energy cost - Europe - USD/ton fuel</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row>
        <row r="1399">
          <cell r="B1399" t="str">
            <v>LSFO - Energy cost including feedstock energy cost - Middle East - USD/ton fuel</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row>
        <row r="1400">
          <cell r="B1400" t="str">
            <v>LSFO - Energy cost - Africa - USD/ton fuel</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row>
        <row r="1401">
          <cell r="B1401" t="str">
            <v>LSFO - Energy cost - Americas - USD/ton fuel</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row>
        <row r="1402">
          <cell r="B1402" t="str">
            <v>LSFO - Energy cost - Asia - USD/ton fuel</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row>
        <row r="1403">
          <cell r="B1403" t="str">
            <v>LSFO - Energy cost - Europe - USD/ton fuel</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row>
        <row r="1404">
          <cell r="B1404" t="str">
            <v>LSFO - Energy cost - Middle East - USD/ton fuel</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row>
        <row r="1405">
          <cell r="B1405" t="str">
            <v/>
          </cell>
        </row>
        <row r="1406">
          <cell r="B1406" t="str">
            <v>LSFO - Feedstock cost including feedstock feedstock cost - Africa - USD/ton fuel</v>
          </cell>
          <cell r="G1406">
            <v>735.35</v>
          </cell>
          <cell r="H1406">
            <v>685.30000000000007</v>
          </cell>
          <cell r="I1406">
            <v>635.25</v>
          </cell>
          <cell r="J1406">
            <v>619.0799999999972</v>
          </cell>
          <cell r="K1406">
            <v>602.91000000000145</v>
          </cell>
          <cell r="L1406">
            <v>586.73999999999864</v>
          </cell>
          <cell r="M1406">
            <v>570.56999999999584</v>
          </cell>
          <cell r="N1406">
            <v>554.4</v>
          </cell>
          <cell r="O1406">
            <v>554.4</v>
          </cell>
          <cell r="P1406">
            <v>554.4</v>
          </cell>
          <cell r="Q1406">
            <v>554.4</v>
          </cell>
          <cell r="R1406">
            <v>554.4</v>
          </cell>
          <cell r="S1406">
            <v>554.4</v>
          </cell>
          <cell r="T1406">
            <v>554.4</v>
          </cell>
          <cell r="U1406">
            <v>554.4</v>
          </cell>
          <cell r="V1406">
            <v>554.4</v>
          </cell>
          <cell r="W1406">
            <v>554.4</v>
          </cell>
          <cell r="X1406">
            <v>554.4</v>
          </cell>
          <cell r="Y1406">
            <v>554.4</v>
          </cell>
          <cell r="Z1406">
            <v>554.4</v>
          </cell>
          <cell r="AA1406">
            <v>554.4</v>
          </cell>
          <cell r="AB1406">
            <v>554.4</v>
          </cell>
          <cell r="AC1406">
            <v>554.4</v>
          </cell>
          <cell r="AD1406">
            <v>554.4</v>
          </cell>
          <cell r="AE1406">
            <v>554.4</v>
          </cell>
          <cell r="AF1406">
            <v>554.4</v>
          </cell>
          <cell r="AG1406">
            <v>554.4</v>
          </cell>
          <cell r="AH1406">
            <v>554.4</v>
          </cell>
        </row>
        <row r="1407">
          <cell r="B1407" t="str">
            <v>LSFO - Feedstock cost including feedstock feedstock cost - Americas - USD/ton fuel</v>
          </cell>
          <cell r="G1407">
            <v>735.35</v>
          </cell>
          <cell r="H1407">
            <v>685.30000000000007</v>
          </cell>
          <cell r="I1407">
            <v>635.25</v>
          </cell>
          <cell r="J1407">
            <v>619.0799999999972</v>
          </cell>
          <cell r="K1407">
            <v>602.91000000000145</v>
          </cell>
          <cell r="L1407">
            <v>586.73999999999864</v>
          </cell>
          <cell r="M1407">
            <v>570.56999999999584</v>
          </cell>
          <cell r="N1407">
            <v>554.4</v>
          </cell>
          <cell r="O1407">
            <v>554.4</v>
          </cell>
          <cell r="P1407">
            <v>554.4</v>
          </cell>
          <cell r="Q1407">
            <v>554.4</v>
          </cell>
          <cell r="R1407">
            <v>554.4</v>
          </cell>
          <cell r="S1407">
            <v>554.4</v>
          </cell>
          <cell r="T1407">
            <v>554.4</v>
          </cell>
          <cell r="U1407">
            <v>554.4</v>
          </cell>
          <cell r="V1407">
            <v>554.4</v>
          </cell>
          <cell r="W1407">
            <v>554.4</v>
          </cell>
          <cell r="X1407">
            <v>554.4</v>
          </cell>
          <cell r="Y1407">
            <v>554.4</v>
          </cell>
          <cell r="Z1407">
            <v>554.4</v>
          </cell>
          <cell r="AA1407">
            <v>554.4</v>
          </cell>
          <cell r="AB1407">
            <v>554.4</v>
          </cell>
          <cell r="AC1407">
            <v>554.4</v>
          </cell>
          <cell r="AD1407">
            <v>554.4</v>
          </cell>
          <cell r="AE1407">
            <v>554.4</v>
          </cell>
          <cell r="AF1407">
            <v>554.4</v>
          </cell>
          <cell r="AG1407">
            <v>554.4</v>
          </cell>
          <cell r="AH1407">
            <v>554.4</v>
          </cell>
        </row>
        <row r="1408">
          <cell r="B1408" t="str">
            <v>LSFO - Feedstock cost including feedstock feedstock cost - Asia - USD/ton fuel</v>
          </cell>
          <cell r="G1408">
            <v>735.35</v>
          </cell>
          <cell r="H1408">
            <v>685.30000000000007</v>
          </cell>
          <cell r="I1408">
            <v>635.25</v>
          </cell>
          <cell r="J1408">
            <v>619.0799999999972</v>
          </cell>
          <cell r="K1408">
            <v>602.91000000000145</v>
          </cell>
          <cell r="L1408">
            <v>586.73999999999864</v>
          </cell>
          <cell r="M1408">
            <v>570.56999999999584</v>
          </cell>
          <cell r="N1408">
            <v>554.4</v>
          </cell>
          <cell r="O1408">
            <v>554.4</v>
          </cell>
          <cell r="P1408">
            <v>554.4</v>
          </cell>
          <cell r="Q1408">
            <v>554.4</v>
          </cell>
          <cell r="R1408">
            <v>554.4</v>
          </cell>
          <cell r="S1408">
            <v>554.4</v>
          </cell>
          <cell r="T1408">
            <v>554.4</v>
          </cell>
          <cell r="U1408">
            <v>554.4</v>
          </cell>
          <cell r="V1408">
            <v>554.4</v>
          </cell>
          <cell r="W1408">
            <v>554.4</v>
          </cell>
          <cell r="X1408">
            <v>554.4</v>
          </cell>
          <cell r="Y1408">
            <v>554.4</v>
          </cell>
          <cell r="Z1408">
            <v>554.4</v>
          </cell>
          <cell r="AA1408">
            <v>554.4</v>
          </cell>
          <cell r="AB1408">
            <v>554.4</v>
          </cell>
          <cell r="AC1408">
            <v>554.4</v>
          </cell>
          <cell r="AD1408">
            <v>554.4</v>
          </cell>
          <cell r="AE1408">
            <v>554.4</v>
          </cell>
          <cell r="AF1408">
            <v>554.4</v>
          </cell>
          <cell r="AG1408">
            <v>554.4</v>
          </cell>
          <cell r="AH1408">
            <v>554.4</v>
          </cell>
        </row>
        <row r="1409">
          <cell r="B1409" t="str">
            <v>LSFO - Feedstock cost including feedstock feedstock cost - Europe - USD/ton fuel</v>
          </cell>
          <cell r="G1409">
            <v>735.35</v>
          </cell>
          <cell r="H1409">
            <v>685.30000000000007</v>
          </cell>
          <cell r="I1409">
            <v>635.25</v>
          </cell>
          <cell r="J1409">
            <v>619.0799999999972</v>
          </cell>
          <cell r="K1409">
            <v>602.91000000000145</v>
          </cell>
          <cell r="L1409">
            <v>586.73999999999864</v>
          </cell>
          <cell r="M1409">
            <v>570.56999999999584</v>
          </cell>
          <cell r="N1409">
            <v>554.4</v>
          </cell>
          <cell r="O1409">
            <v>554.4</v>
          </cell>
          <cell r="P1409">
            <v>554.4</v>
          </cell>
          <cell r="Q1409">
            <v>554.4</v>
          </cell>
          <cell r="R1409">
            <v>554.4</v>
          </cell>
          <cell r="S1409">
            <v>554.4</v>
          </cell>
          <cell r="T1409">
            <v>554.4</v>
          </cell>
          <cell r="U1409">
            <v>554.4</v>
          </cell>
          <cell r="V1409">
            <v>554.4</v>
          </cell>
          <cell r="W1409">
            <v>554.4</v>
          </cell>
          <cell r="X1409">
            <v>554.4</v>
          </cell>
          <cell r="Y1409">
            <v>554.4</v>
          </cell>
          <cell r="Z1409">
            <v>554.4</v>
          </cell>
          <cell r="AA1409">
            <v>554.4</v>
          </cell>
          <cell r="AB1409">
            <v>554.4</v>
          </cell>
          <cell r="AC1409">
            <v>554.4</v>
          </cell>
          <cell r="AD1409">
            <v>554.4</v>
          </cell>
          <cell r="AE1409">
            <v>554.4</v>
          </cell>
          <cell r="AF1409">
            <v>554.4</v>
          </cell>
          <cell r="AG1409">
            <v>554.4</v>
          </cell>
          <cell r="AH1409">
            <v>554.4</v>
          </cell>
        </row>
        <row r="1410">
          <cell r="B1410" t="str">
            <v>LSFO - Feedstock cost including feedstock feedstock cost - Middle East - USD/ton fuel</v>
          </cell>
          <cell r="G1410">
            <v>735.35</v>
          </cell>
          <cell r="H1410">
            <v>685.30000000000007</v>
          </cell>
          <cell r="I1410">
            <v>635.25</v>
          </cell>
          <cell r="J1410">
            <v>619.0799999999972</v>
          </cell>
          <cell r="K1410">
            <v>602.91000000000145</v>
          </cell>
          <cell r="L1410">
            <v>586.73999999999864</v>
          </cell>
          <cell r="M1410">
            <v>570.56999999999584</v>
          </cell>
          <cell r="N1410">
            <v>554.4</v>
          </cell>
          <cell r="O1410">
            <v>554.4</v>
          </cell>
          <cell r="P1410">
            <v>554.4</v>
          </cell>
          <cell r="Q1410">
            <v>554.4</v>
          </cell>
          <cell r="R1410">
            <v>554.4</v>
          </cell>
          <cell r="S1410">
            <v>554.4</v>
          </cell>
          <cell r="T1410">
            <v>554.4</v>
          </cell>
          <cell r="U1410">
            <v>554.4</v>
          </cell>
          <cell r="V1410">
            <v>554.4</v>
          </cell>
          <cell r="W1410">
            <v>554.4</v>
          </cell>
          <cell r="X1410">
            <v>554.4</v>
          </cell>
          <cell r="Y1410">
            <v>554.4</v>
          </cell>
          <cell r="Z1410">
            <v>554.4</v>
          </cell>
          <cell r="AA1410">
            <v>554.4</v>
          </cell>
          <cell r="AB1410">
            <v>554.4</v>
          </cell>
          <cell r="AC1410">
            <v>554.4</v>
          </cell>
          <cell r="AD1410">
            <v>554.4</v>
          </cell>
          <cell r="AE1410">
            <v>554.4</v>
          </cell>
          <cell r="AF1410">
            <v>554.4</v>
          </cell>
          <cell r="AG1410">
            <v>554.4</v>
          </cell>
          <cell r="AH1410">
            <v>554.4</v>
          </cell>
        </row>
        <row r="1411">
          <cell r="B1411" t="str">
            <v>LSFO - Feedstock cost - Africa - USD/ton fuel</v>
          </cell>
          <cell r="G1411">
            <v>735.35</v>
          </cell>
          <cell r="H1411">
            <v>685.30000000000007</v>
          </cell>
          <cell r="I1411">
            <v>635.25</v>
          </cell>
          <cell r="J1411">
            <v>619.0799999999972</v>
          </cell>
          <cell r="K1411">
            <v>602.91000000000145</v>
          </cell>
          <cell r="L1411">
            <v>586.73999999999864</v>
          </cell>
          <cell r="M1411">
            <v>570.56999999999584</v>
          </cell>
          <cell r="N1411">
            <v>554.4</v>
          </cell>
          <cell r="O1411">
            <v>554.4</v>
          </cell>
          <cell r="P1411">
            <v>554.4</v>
          </cell>
          <cell r="Q1411">
            <v>554.4</v>
          </cell>
          <cell r="R1411">
            <v>554.4</v>
          </cell>
          <cell r="S1411">
            <v>554.4</v>
          </cell>
          <cell r="T1411">
            <v>554.4</v>
          </cell>
          <cell r="U1411">
            <v>554.4</v>
          </cell>
          <cell r="V1411">
            <v>554.4</v>
          </cell>
          <cell r="W1411">
            <v>554.4</v>
          </cell>
          <cell r="X1411">
            <v>554.4</v>
          </cell>
          <cell r="Y1411">
            <v>554.4</v>
          </cell>
          <cell r="Z1411">
            <v>554.4</v>
          </cell>
          <cell r="AA1411">
            <v>554.4</v>
          </cell>
          <cell r="AB1411">
            <v>554.4</v>
          </cell>
          <cell r="AC1411">
            <v>554.4</v>
          </cell>
          <cell r="AD1411">
            <v>554.4</v>
          </cell>
          <cell r="AE1411">
            <v>554.4</v>
          </cell>
          <cell r="AF1411">
            <v>554.4</v>
          </cell>
          <cell r="AG1411">
            <v>554.4</v>
          </cell>
          <cell r="AH1411">
            <v>554.4</v>
          </cell>
        </row>
        <row r="1412">
          <cell r="B1412" t="str">
            <v>LSFO - Feedstock cost - Americas - USD/ton fuel</v>
          </cell>
          <cell r="G1412">
            <v>735.35</v>
          </cell>
          <cell r="H1412">
            <v>685.30000000000007</v>
          </cell>
          <cell r="I1412">
            <v>635.25</v>
          </cell>
          <cell r="J1412">
            <v>619.0799999999972</v>
          </cell>
          <cell r="K1412">
            <v>602.91000000000145</v>
          </cell>
          <cell r="L1412">
            <v>586.73999999999864</v>
          </cell>
          <cell r="M1412">
            <v>570.56999999999584</v>
          </cell>
          <cell r="N1412">
            <v>554.4</v>
          </cell>
          <cell r="O1412">
            <v>554.4</v>
          </cell>
          <cell r="P1412">
            <v>554.4</v>
          </cell>
          <cell r="Q1412">
            <v>554.4</v>
          </cell>
          <cell r="R1412">
            <v>554.4</v>
          </cell>
          <cell r="S1412">
            <v>554.4</v>
          </cell>
          <cell r="T1412">
            <v>554.4</v>
          </cell>
          <cell r="U1412">
            <v>554.4</v>
          </cell>
          <cell r="V1412">
            <v>554.4</v>
          </cell>
          <cell r="W1412">
            <v>554.4</v>
          </cell>
          <cell r="X1412">
            <v>554.4</v>
          </cell>
          <cell r="Y1412">
            <v>554.4</v>
          </cell>
          <cell r="Z1412">
            <v>554.4</v>
          </cell>
          <cell r="AA1412">
            <v>554.4</v>
          </cell>
          <cell r="AB1412">
            <v>554.4</v>
          </cell>
          <cell r="AC1412">
            <v>554.4</v>
          </cell>
          <cell r="AD1412">
            <v>554.4</v>
          </cell>
          <cell r="AE1412">
            <v>554.4</v>
          </cell>
          <cell r="AF1412">
            <v>554.4</v>
          </cell>
          <cell r="AG1412">
            <v>554.4</v>
          </cell>
          <cell r="AH1412">
            <v>554.4</v>
          </cell>
        </row>
        <row r="1413">
          <cell r="B1413" t="str">
            <v>LSFO - Feedstock cost - Asia - USD/ton fuel</v>
          </cell>
          <cell r="G1413">
            <v>735.35</v>
          </cell>
          <cell r="H1413">
            <v>685.30000000000007</v>
          </cell>
          <cell r="I1413">
            <v>635.25</v>
          </cell>
          <cell r="J1413">
            <v>619.0799999999972</v>
          </cell>
          <cell r="K1413">
            <v>602.91000000000145</v>
          </cell>
          <cell r="L1413">
            <v>586.73999999999864</v>
          </cell>
          <cell r="M1413">
            <v>570.56999999999584</v>
          </cell>
          <cell r="N1413">
            <v>554.4</v>
          </cell>
          <cell r="O1413">
            <v>554.4</v>
          </cell>
          <cell r="P1413">
            <v>554.4</v>
          </cell>
          <cell r="Q1413">
            <v>554.4</v>
          </cell>
          <cell r="R1413">
            <v>554.4</v>
          </cell>
          <cell r="S1413">
            <v>554.4</v>
          </cell>
          <cell r="T1413">
            <v>554.4</v>
          </cell>
          <cell r="U1413">
            <v>554.4</v>
          </cell>
          <cell r="V1413">
            <v>554.4</v>
          </cell>
          <cell r="W1413">
            <v>554.4</v>
          </cell>
          <cell r="X1413">
            <v>554.4</v>
          </cell>
          <cell r="Y1413">
            <v>554.4</v>
          </cell>
          <cell r="Z1413">
            <v>554.4</v>
          </cell>
          <cell r="AA1413">
            <v>554.4</v>
          </cell>
          <cell r="AB1413">
            <v>554.4</v>
          </cell>
          <cell r="AC1413">
            <v>554.4</v>
          </cell>
          <cell r="AD1413">
            <v>554.4</v>
          </cell>
          <cell r="AE1413">
            <v>554.4</v>
          </cell>
          <cell r="AF1413">
            <v>554.4</v>
          </cell>
          <cell r="AG1413">
            <v>554.4</v>
          </cell>
          <cell r="AH1413">
            <v>554.4</v>
          </cell>
        </row>
        <row r="1414">
          <cell r="B1414" t="str">
            <v>LSFO - Feedstock cost - Europe - USD/ton fuel</v>
          </cell>
          <cell r="G1414">
            <v>735.35</v>
          </cell>
          <cell r="H1414">
            <v>685.30000000000007</v>
          </cell>
          <cell r="I1414">
            <v>635.25</v>
          </cell>
          <cell r="J1414">
            <v>619.0799999999972</v>
          </cell>
          <cell r="K1414">
            <v>602.91000000000145</v>
          </cell>
          <cell r="L1414">
            <v>586.73999999999864</v>
          </cell>
          <cell r="M1414">
            <v>570.56999999999584</v>
          </cell>
          <cell r="N1414">
            <v>554.4</v>
          </cell>
          <cell r="O1414">
            <v>554.4</v>
          </cell>
          <cell r="P1414">
            <v>554.4</v>
          </cell>
          <cell r="Q1414">
            <v>554.4</v>
          </cell>
          <cell r="R1414">
            <v>554.4</v>
          </cell>
          <cell r="S1414">
            <v>554.4</v>
          </cell>
          <cell r="T1414">
            <v>554.4</v>
          </cell>
          <cell r="U1414">
            <v>554.4</v>
          </cell>
          <cell r="V1414">
            <v>554.4</v>
          </cell>
          <cell r="W1414">
            <v>554.4</v>
          </cell>
          <cell r="X1414">
            <v>554.4</v>
          </cell>
          <cell r="Y1414">
            <v>554.4</v>
          </cell>
          <cell r="Z1414">
            <v>554.4</v>
          </cell>
          <cell r="AA1414">
            <v>554.4</v>
          </cell>
          <cell r="AB1414">
            <v>554.4</v>
          </cell>
          <cell r="AC1414">
            <v>554.4</v>
          </cell>
          <cell r="AD1414">
            <v>554.4</v>
          </cell>
          <cell r="AE1414">
            <v>554.4</v>
          </cell>
          <cell r="AF1414">
            <v>554.4</v>
          </cell>
          <cell r="AG1414">
            <v>554.4</v>
          </cell>
          <cell r="AH1414">
            <v>554.4</v>
          </cell>
        </row>
        <row r="1415">
          <cell r="B1415" t="str">
            <v>LSFO - Feedstock cost - Middle East - USD/ton fuel</v>
          </cell>
          <cell r="G1415">
            <v>735.35</v>
          </cell>
          <cell r="H1415">
            <v>685.30000000000007</v>
          </cell>
          <cell r="I1415">
            <v>635.25</v>
          </cell>
          <cell r="J1415">
            <v>619.0799999999972</v>
          </cell>
          <cell r="K1415">
            <v>602.91000000000145</v>
          </cell>
          <cell r="L1415">
            <v>586.73999999999864</v>
          </cell>
          <cell r="M1415">
            <v>570.56999999999584</v>
          </cell>
          <cell r="N1415">
            <v>554.4</v>
          </cell>
          <cell r="O1415">
            <v>554.4</v>
          </cell>
          <cell r="P1415">
            <v>554.4</v>
          </cell>
          <cell r="Q1415">
            <v>554.4</v>
          </cell>
          <cell r="R1415">
            <v>554.4</v>
          </cell>
          <cell r="S1415">
            <v>554.4</v>
          </cell>
          <cell r="T1415">
            <v>554.4</v>
          </cell>
          <cell r="U1415">
            <v>554.4</v>
          </cell>
          <cell r="V1415">
            <v>554.4</v>
          </cell>
          <cell r="W1415">
            <v>554.4</v>
          </cell>
          <cell r="X1415">
            <v>554.4</v>
          </cell>
          <cell r="Y1415">
            <v>554.4</v>
          </cell>
          <cell r="Z1415">
            <v>554.4</v>
          </cell>
          <cell r="AA1415">
            <v>554.4</v>
          </cell>
          <cell r="AB1415">
            <v>554.4</v>
          </cell>
          <cell r="AC1415">
            <v>554.4</v>
          </cell>
          <cell r="AD1415">
            <v>554.4</v>
          </cell>
          <cell r="AE1415">
            <v>554.4</v>
          </cell>
          <cell r="AF1415">
            <v>554.4</v>
          </cell>
          <cell r="AG1415">
            <v>554.4</v>
          </cell>
          <cell r="AH1415">
            <v>554.4</v>
          </cell>
        </row>
      </sheetData>
      <sheetData sheetId="5">
        <row r="4">
          <cell r="G4">
            <v>2023</v>
          </cell>
          <cell r="H4">
            <v>2024</v>
          </cell>
          <cell r="I4">
            <v>2025</v>
          </cell>
          <cell r="J4">
            <v>2026</v>
          </cell>
          <cell r="K4">
            <v>2027</v>
          </cell>
          <cell r="L4">
            <v>2028</v>
          </cell>
          <cell r="M4">
            <v>2029</v>
          </cell>
          <cell r="N4">
            <v>2030</v>
          </cell>
          <cell r="O4">
            <v>2031</v>
          </cell>
          <cell r="P4">
            <v>2032</v>
          </cell>
          <cell r="Q4">
            <v>2033</v>
          </cell>
          <cell r="R4">
            <v>2034</v>
          </cell>
          <cell r="S4">
            <v>2035</v>
          </cell>
          <cell r="T4">
            <v>2036</v>
          </cell>
          <cell r="U4">
            <v>2037</v>
          </cell>
          <cell r="V4">
            <v>2038</v>
          </cell>
          <cell r="W4">
            <v>2039</v>
          </cell>
          <cell r="X4">
            <v>2040</v>
          </cell>
          <cell r="Y4">
            <v>2041</v>
          </cell>
          <cell r="Z4">
            <v>2042</v>
          </cell>
          <cell r="AA4">
            <v>2043</v>
          </cell>
          <cell r="AB4">
            <v>2044</v>
          </cell>
          <cell r="AC4">
            <v>2045</v>
          </cell>
          <cell r="AD4">
            <v>2046</v>
          </cell>
          <cell r="AE4">
            <v>2047</v>
          </cell>
          <cell r="AF4">
            <v>2048</v>
          </cell>
          <cell r="AG4">
            <v>2049</v>
          </cell>
          <cell r="AH4">
            <v>2050</v>
          </cell>
        </row>
        <row r="7">
          <cell r="B7" t="str">
            <v>e-hydrogen (Alkaline) - Total cost - Africa - USD/ton fuel</v>
          </cell>
          <cell r="G7">
            <v>4251.6092380976279</v>
          </cell>
          <cell r="H7">
            <v>3840.4257289983452</v>
          </cell>
          <cell r="I7">
            <v>3429.7974211147193</v>
          </cell>
          <cell r="J7">
            <v>3267.3136455177796</v>
          </cell>
          <cell r="K7">
            <v>3104.984016949787</v>
          </cell>
          <cell r="L7">
            <v>2942.8085354107475</v>
          </cell>
          <cell r="M7">
            <v>2780.7872009006574</v>
          </cell>
          <cell r="N7">
            <v>2618.9200134195362</v>
          </cell>
          <cell r="O7">
            <v>2547.7359058714642</v>
          </cell>
          <cell r="P7">
            <v>2476.6374964247184</v>
          </cell>
          <cell r="Q7">
            <v>2405.6247850792852</v>
          </cell>
          <cell r="R7">
            <v>2334.6977718352096</v>
          </cell>
          <cell r="S7">
            <v>2263.8564566924756</v>
          </cell>
          <cell r="T7">
            <v>2221.224436194625</v>
          </cell>
          <cell r="U7">
            <v>2178.6325897316383</v>
          </cell>
          <cell r="V7">
            <v>2136.08091730351</v>
          </cell>
          <cell r="W7">
            <v>2093.5694189102437</v>
          </cell>
          <cell r="X7">
            <v>2051.0980945518431</v>
          </cell>
          <cell r="Y7">
            <v>2008.101502569014</v>
          </cell>
          <cell r="Z7">
            <v>1965.1460538100223</v>
          </cell>
          <cell r="AA7">
            <v>1922.2317482748479</v>
          </cell>
          <cell r="AB7">
            <v>1879.3585859635245</v>
          </cell>
          <cell r="AC7">
            <v>1836.5265668760335</v>
          </cell>
          <cell r="AD7">
            <v>1806.7949438590313</v>
          </cell>
          <cell r="AE7">
            <v>1777.0834336073021</v>
          </cell>
          <cell r="AF7">
            <v>1747.39203612084</v>
          </cell>
          <cell r="AG7">
            <v>1717.7207513996477</v>
          </cell>
          <cell r="AH7">
            <v>1688.0695794437288</v>
          </cell>
        </row>
        <row r="8">
          <cell r="B8" t="str">
            <v>e-hydrogen (Alkaline) - Total cost - Americas - USD/ton fuel</v>
          </cell>
          <cell r="G8">
            <v>3164.7207637058386</v>
          </cell>
          <cell r="H8">
            <v>3059.5012877681502</v>
          </cell>
          <cell r="I8">
            <v>2954.3433312834595</v>
          </cell>
          <cell r="J8">
            <v>2823.5727761327221</v>
          </cell>
          <cell r="K8">
            <v>2692.9057936784611</v>
          </cell>
          <cell r="L8">
            <v>2562.3423839206826</v>
          </cell>
          <cell r="M8">
            <v>2431.8825468594287</v>
          </cell>
          <cell r="N8">
            <v>2301.526282494628</v>
          </cell>
          <cell r="O8">
            <v>2252.9349855918654</v>
          </cell>
          <cell r="P8">
            <v>2204.393329376272</v>
          </cell>
          <cell r="Q8">
            <v>2155.9013138478558</v>
          </cell>
          <cell r="R8">
            <v>2107.4589390066176</v>
          </cell>
          <cell r="S8">
            <v>2059.0662048525519</v>
          </cell>
          <cell r="T8">
            <v>2016.6590213615798</v>
          </cell>
          <cell r="U8">
            <v>1974.2919155694813</v>
          </cell>
          <cell r="V8">
            <v>1931.9648874762565</v>
          </cell>
          <cell r="W8">
            <v>1889.6779370819145</v>
          </cell>
          <cell r="X8">
            <v>1847.4310643864396</v>
          </cell>
          <cell r="Y8">
            <v>1820.1243148904257</v>
          </cell>
          <cell r="Z8">
            <v>1792.8336463166311</v>
          </cell>
          <cell r="AA8">
            <v>1765.5590586650494</v>
          </cell>
          <cell r="AB8">
            <v>1738.3005519356868</v>
          </cell>
          <cell r="AC8">
            <v>1711.0581261285436</v>
          </cell>
          <cell r="AD8">
            <v>1686.4019698694365</v>
          </cell>
          <cell r="AE8">
            <v>1661.7578966073086</v>
          </cell>
          <cell r="AF8">
            <v>1637.1259063421626</v>
          </cell>
          <cell r="AG8">
            <v>1612.5059990739956</v>
          </cell>
          <cell r="AH8">
            <v>1587.8981748028052</v>
          </cell>
        </row>
        <row r="9">
          <cell r="B9" t="str">
            <v>e-hydrogen (Alkaline) - Total cost - Asia - USD/ton fuel</v>
          </cell>
          <cell r="G9">
            <v>4579.7295431813618</v>
          </cell>
          <cell r="H9">
            <v>4225.8181299001099</v>
          </cell>
          <cell r="I9">
            <v>3872.3688122678336</v>
          </cell>
          <cell r="J9">
            <v>3702.7544261720832</v>
          </cell>
          <cell r="K9">
            <v>3533.305121580483</v>
          </cell>
          <cell r="L9">
            <v>3364.0208984929495</v>
          </cell>
          <cell r="M9">
            <v>3194.9017569095467</v>
          </cell>
          <cell r="N9">
            <v>3025.9476968302934</v>
          </cell>
          <cell r="O9">
            <v>2938.2956805330587</v>
          </cell>
          <cell r="P9">
            <v>2850.7554158904722</v>
          </cell>
          <cell r="Q9">
            <v>2763.326902902545</v>
          </cell>
          <cell r="R9">
            <v>2676.0101415692311</v>
          </cell>
          <cell r="S9">
            <v>2588.8051318905527</v>
          </cell>
          <cell r="T9">
            <v>2535.7428412934519</v>
          </cell>
          <cell r="U9">
            <v>2482.7371388357833</v>
          </cell>
          <cell r="V9">
            <v>2429.7880245175647</v>
          </cell>
          <cell r="W9">
            <v>2376.8954983387707</v>
          </cell>
          <cell r="X9">
            <v>2324.0595602994281</v>
          </cell>
          <cell r="Y9">
            <v>2269.7849157403652</v>
          </cell>
          <cell r="Z9">
            <v>2215.5692647293017</v>
          </cell>
          <cell r="AA9">
            <v>2161.4126072662057</v>
          </cell>
          <cell r="AB9">
            <v>2107.3149433511117</v>
          </cell>
          <cell r="AC9">
            <v>2053.2762729839937</v>
          </cell>
          <cell r="AD9">
            <v>2019.1376821812296</v>
          </cell>
          <cell r="AE9">
            <v>1985.0260359467288</v>
          </cell>
          <cell r="AF9">
            <v>1950.9413342805083</v>
          </cell>
          <cell r="AG9">
            <v>1916.8835771825597</v>
          </cell>
          <cell r="AH9">
            <v>1882.8527646528751</v>
          </cell>
        </row>
        <row r="10">
          <cell r="B10" t="str">
            <v>e-hydrogen (Alkaline) - Total cost - Europe - USD/ton fuel</v>
          </cell>
          <cell r="G10">
            <v>3748.5808290792193</v>
          </cell>
          <cell r="H10">
            <v>3576.63920988369</v>
          </cell>
          <cell r="I10">
            <v>3404.8663145049632</v>
          </cell>
          <cell r="J10">
            <v>3253.7805690881146</v>
          </cell>
          <cell r="K10">
            <v>3102.8306037997027</v>
          </cell>
          <cell r="L10">
            <v>2952.0164186397787</v>
          </cell>
          <cell r="M10">
            <v>2801.338013608316</v>
          </cell>
          <cell r="N10">
            <v>2650.7953887053341</v>
          </cell>
          <cell r="O10">
            <v>2597.865791209425</v>
          </cell>
          <cell r="P10">
            <v>2544.9923828350616</v>
          </cell>
          <cell r="Q10">
            <v>2492.1751635822084</v>
          </cell>
          <cell r="R10">
            <v>2439.4141334508768</v>
          </cell>
          <cell r="S10">
            <v>2386.7092924410781</v>
          </cell>
          <cell r="T10">
            <v>2348.1668380942028</v>
          </cell>
          <cell r="U10">
            <v>2309.6577962311876</v>
          </cell>
          <cell r="V10">
            <v>2271.1821668520306</v>
          </cell>
          <cell r="W10">
            <v>2232.7399499567314</v>
          </cell>
          <cell r="X10">
            <v>2194.3311455452695</v>
          </cell>
          <cell r="Y10">
            <v>2154.6522195113248</v>
          </cell>
          <cell r="Z10">
            <v>2115.0088946637602</v>
          </cell>
          <cell r="AA10">
            <v>2075.4011710025779</v>
          </cell>
          <cell r="AB10">
            <v>2035.8290485277785</v>
          </cell>
          <cell r="AC10">
            <v>1996.2925272393707</v>
          </cell>
          <cell r="AD10">
            <v>1962.8651843021012</v>
          </cell>
          <cell r="AE10">
            <v>1929.463711980826</v>
          </cell>
          <cell r="AF10">
            <v>1896.0881102755613</v>
          </cell>
          <cell r="AG10">
            <v>1862.7383791862992</v>
          </cell>
          <cell r="AH10">
            <v>1829.4145187130314</v>
          </cell>
        </row>
        <row r="11">
          <cell r="B11" t="str">
            <v>e-hydrogen (Alkaline) - Total cost - Middle East - USD/ton fuel</v>
          </cell>
          <cell r="G11">
            <v>3181.4043455200363</v>
          </cell>
          <cell r="H11">
            <v>3032.4423321165928</v>
          </cell>
          <cell r="I11">
            <v>2883.6125994597496</v>
          </cell>
          <cell r="J11">
            <v>2763.023794499295</v>
          </cell>
          <cell r="K11">
            <v>2642.522218348945</v>
          </cell>
          <cell r="L11">
            <v>2522.1078710087068</v>
          </cell>
          <cell r="M11">
            <v>2401.7807524785981</v>
          </cell>
          <cell r="N11">
            <v>2281.5408627585939</v>
          </cell>
          <cell r="O11">
            <v>2225.768779084643</v>
          </cell>
          <cell r="P11">
            <v>2170.0579537561075</v>
          </cell>
          <cell r="Q11">
            <v>2114.4083867729742</v>
          </cell>
          <cell r="R11">
            <v>2058.8200781352652</v>
          </cell>
          <cell r="S11">
            <v>2003.2930278429699</v>
          </cell>
          <cell r="T11">
            <v>1966.8079904607573</v>
          </cell>
          <cell r="U11">
            <v>1930.3535435168189</v>
          </cell>
          <cell r="V11">
            <v>1893.9296870111655</v>
          </cell>
          <cell r="W11">
            <v>1857.5364209437842</v>
          </cell>
          <cell r="X11">
            <v>1821.1737453146729</v>
          </cell>
          <cell r="Y11">
            <v>1779.0990246211854</v>
          </cell>
          <cell r="Z11">
            <v>1737.0642583437902</v>
          </cell>
          <cell r="AA11">
            <v>1695.0694464824662</v>
          </cell>
          <cell r="AB11">
            <v>1653.1145890372368</v>
          </cell>
          <cell r="AC11">
            <v>1611.1996860080851</v>
          </cell>
          <cell r="AD11">
            <v>1582.5717252730428</v>
          </cell>
          <cell r="AE11">
            <v>1553.962389052745</v>
          </cell>
          <cell r="AF11">
            <v>1525.3716773471917</v>
          </cell>
          <cell r="AG11">
            <v>1496.7995901563829</v>
          </cell>
          <cell r="AH11">
            <v>1468.2461274803188</v>
          </cell>
        </row>
        <row r="12">
          <cell r="B12" t="str">
            <v/>
          </cell>
        </row>
        <row r="13">
          <cell r="B13" t="str">
            <v>e-hydrogen (Alkaline) - CAPEX - Global - USD/ton fuel</v>
          </cell>
          <cell r="G13">
            <v>232.54704730891777</v>
          </cell>
          <cell r="H13">
            <v>220.91583720088238</v>
          </cell>
          <cell r="I13">
            <v>209.2846270928431</v>
          </cell>
          <cell r="J13">
            <v>197.74635039698333</v>
          </cell>
          <cell r="K13">
            <v>186.20807370111967</v>
          </cell>
          <cell r="L13">
            <v>174.66979700525991</v>
          </cell>
          <cell r="M13">
            <v>163.13152030940012</v>
          </cell>
          <cell r="N13">
            <v>151.59324361353646</v>
          </cell>
          <cell r="O13">
            <v>148.64007525246902</v>
          </cell>
          <cell r="P13">
            <v>145.68690689139865</v>
          </cell>
          <cell r="Q13">
            <v>142.73373853032825</v>
          </cell>
          <cell r="R13">
            <v>139.78057016925789</v>
          </cell>
          <cell r="S13">
            <v>136.82740180818655</v>
          </cell>
          <cell r="T13">
            <v>133.89755711083319</v>
          </cell>
          <cell r="U13">
            <v>130.96771241347886</v>
          </cell>
          <cell r="V13">
            <v>128.03786771612553</v>
          </cell>
          <cell r="W13">
            <v>125.10802301877121</v>
          </cell>
          <cell r="X13">
            <v>122.17817832141591</v>
          </cell>
          <cell r="Y13">
            <v>119.27151720659167</v>
          </cell>
          <cell r="Z13">
            <v>116.36485609176744</v>
          </cell>
          <cell r="AA13">
            <v>113.45819497694222</v>
          </cell>
          <cell r="AB13">
            <v>110.55153386211799</v>
          </cell>
          <cell r="AC13">
            <v>107.64487274729473</v>
          </cell>
          <cell r="AD13">
            <v>104.76125588428985</v>
          </cell>
          <cell r="AE13">
            <v>101.87763902128403</v>
          </cell>
          <cell r="AF13">
            <v>98.994022158279165</v>
          </cell>
          <cell r="AG13">
            <v>96.110405295274305</v>
          </cell>
          <cell r="AH13">
            <v>93.226788432268464</v>
          </cell>
        </row>
        <row r="14">
          <cell r="B14" t="str">
            <v>e-hydrogen - Plant lifetime - Global - Years</v>
          </cell>
          <cell r="G14">
            <v>30</v>
          </cell>
          <cell r="H14">
            <v>30</v>
          </cell>
          <cell r="I14">
            <v>30</v>
          </cell>
          <cell r="J14">
            <v>30</v>
          </cell>
          <cell r="K14">
            <v>30</v>
          </cell>
          <cell r="L14">
            <v>30</v>
          </cell>
          <cell r="M14">
            <v>30</v>
          </cell>
          <cell r="N14">
            <v>30</v>
          </cell>
          <cell r="O14">
            <v>30</v>
          </cell>
          <cell r="P14">
            <v>30</v>
          </cell>
          <cell r="Q14">
            <v>30</v>
          </cell>
          <cell r="R14">
            <v>30</v>
          </cell>
          <cell r="S14">
            <v>30</v>
          </cell>
          <cell r="T14">
            <v>30</v>
          </cell>
          <cell r="U14">
            <v>30</v>
          </cell>
          <cell r="V14">
            <v>30</v>
          </cell>
          <cell r="W14">
            <v>30</v>
          </cell>
          <cell r="X14">
            <v>30</v>
          </cell>
          <cell r="Y14">
            <v>30</v>
          </cell>
          <cell r="Z14">
            <v>30</v>
          </cell>
          <cell r="AA14">
            <v>30</v>
          </cell>
          <cell r="AB14">
            <v>30</v>
          </cell>
          <cell r="AC14">
            <v>30</v>
          </cell>
          <cell r="AD14">
            <v>30</v>
          </cell>
          <cell r="AE14">
            <v>30</v>
          </cell>
          <cell r="AF14">
            <v>30</v>
          </cell>
          <cell r="AG14">
            <v>30</v>
          </cell>
          <cell r="AH14">
            <v>30</v>
          </cell>
        </row>
        <row r="15">
          <cell r="B15" t="str">
            <v>e-hydrogen (Alkaline) - Total CAPEX - Electrolysis - Global - USD/ton fuel capacity</v>
          </cell>
          <cell r="G15">
            <v>6976.4114192675333</v>
          </cell>
          <cell r="H15">
            <v>6627.4751160264714</v>
          </cell>
          <cell r="I15">
            <v>6278.538812785293</v>
          </cell>
          <cell r="J15">
            <v>5932.3905119094998</v>
          </cell>
          <cell r="K15">
            <v>5586.2422110335901</v>
          </cell>
          <cell r="L15">
            <v>5240.0939101577969</v>
          </cell>
          <cell r="M15">
            <v>4893.9456092820037</v>
          </cell>
          <cell r="N15">
            <v>4547.7973084060941</v>
          </cell>
          <cell r="O15">
            <v>4459.2022575740702</v>
          </cell>
          <cell r="P15">
            <v>4370.6072067419591</v>
          </cell>
          <cell r="Q15">
            <v>4282.0121559098479</v>
          </cell>
          <cell r="R15">
            <v>4193.4171050777368</v>
          </cell>
          <cell r="S15">
            <v>4104.8220542455965</v>
          </cell>
          <cell r="T15">
            <v>4016.9267133249959</v>
          </cell>
          <cell r="U15">
            <v>3929.0313724043663</v>
          </cell>
          <cell r="V15">
            <v>3841.1360314837657</v>
          </cell>
          <cell r="W15">
            <v>3753.240690563136</v>
          </cell>
          <cell r="X15">
            <v>3665.3453496424772</v>
          </cell>
          <cell r="Y15">
            <v>3578.1455161977501</v>
          </cell>
          <cell r="Z15">
            <v>3490.945682753023</v>
          </cell>
          <cell r="AA15">
            <v>3403.7458493082668</v>
          </cell>
          <cell r="AB15">
            <v>3316.5460158635397</v>
          </cell>
          <cell r="AC15">
            <v>3229.3461824188416</v>
          </cell>
          <cell r="AD15">
            <v>3142.8376765286957</v>
          </cell>
          <cell r="AE15">
            <v>3056.3291706385207</v>
          </cell>
          <cell r="AF15">
            <v>2969.8206647483748</v>
          </cell>
          <cell r="AG15">
            <v>2883.3121588582289</v>
          </cell>
          <cell r="AH15">
            <v>2796.8036529680539</v>
          </cell>
        </row>
        <row r="16">
          <cell r="B16" t="str">
            <v/>
          </cell>
        </row>
        <row r="17">
          <cell r="B17" t="str">
            <v>e-hydrogen (Alkaline) - OPEX - Global - USD/ton fuel</v>
          </cell>
          <cell r="G17">
            <v>697.64114192676789</v>
          </cell>
          <cell r="H17">
            <v>662.74751160264714</v>
          </cell>
          <cell r="I17">
            <v>627.85388127852639</v>
          </cell>
          <cell r="J17">
            <v>593.23905119094707</v>
          </cell>
          <cell r="K17">
            <v>558.62422110336774</v>
          </cell>
          <cell r="L17">
            <v>524.00939101577387</v>
          </cell>
          <cell r="M17">
            <v>489.39456092819455</v>
          </cell>
          <cell r="N17">
            <v>454.77973084061523</v>
          </cell>
          <cell r="O17">
            <v>445.92022575740339</v>
          </cell>
          <cell r="P17">
            <v>437.06072067419154</v>
          </cell>
          <cell r="Q17">
            <v>428.2012155909797</v>
          </cell>
          <cell r="R17">
            <v>419.34171050776786</v>
          </cell>
          <cell r="S17">
            <v>410.48220542455965</v>
          </cell>
          <cell r="T17">
            <v>401.69267133249741</v>
          </cell>
          <cell r="U17">
            <v>392.90313724043517</v>
          </cell>
          <cell r="V17">
            <v>384.11360314837293</v>
          </cell>
          <cell r="W17">
            <v>375.32406905631433</v>
          </cell>
          <cell r="X17">
            <v>366.53453496425209</v>
          </cell>
          <cell r="Y17">
            <v>357.81455161977647</v>
          </cell>
          <cell r="Z17">
            <v>349.09456827530448</v>
          </cell>
          <cell r="AA17">
            <v>340.37458493082886</v>
          </cell>
          <cell r="AB17">
            <v>331.65460158635688</v>
          </cell>
          <cell r="AC17">
            <v>322.93461824188489</v>
          </cell>
          <cell r="AD17">
            <v>314.28376765286885</v>
          </cell>
          <cell r="AE17">
            <v>305.6329170638528</v>
          </cell>
          <cell r="AF17">
            <v>296.98206647483676</v>
          </cell>
          <cell r="AG17">
            <v>288.33121588582071</v>
          </cell>
          <cell r="AH17">
            <v>279.68036529680467</v>
          </cell>
        </row>
        <row r="18">
          <cell r="B18" t="str">
            <v>e-hydrogen (Alkaline) - OPEX - Electrolysis - Global - USD/ton fuel/year</v>
          </cell>
          <cell r="G18">
            <v>697.64114192676789</v>
          </cell>
          <cell r="H18">
            <v>662.74751160264714</v>
          </cell>
          <cell r="I18">
            <v>627.85388127852639</v>
          </cell>
          <cell r="J18">
            <v>593.23905119094707</v>
          </cell>
          <cell r="K18">
            <v>558.62422110336774</v>
          </cell>
          <cell r="L18">
            <v>524.00939101577387</v>
          </cell>
          <cell r="M18">
            <v>489.39456092819455</v>
          </cell>
          <cell r="N18">
            <v>454.77973084061523</v>
          </cell>
          <cell r="O18">
            <v>445.92022575740339</v>
          </cell>
          <cell r="P18">
            <v>437.06072067419154</v>
          </cell>
          <cell r="Q18">
            <v>428.2012155909797</v>
          </cell>
          <cell r="R18">
            <v>419.34171050776786</v>
          </cell>
          <cell r="S18">
            <v>410.48220542455965</v>
          </cell>
          <cell r="T18">
            <v>401.69267133249741</v>
          </cell>
          <cell r="U18">
            <v>392.90313724043517</v>
          </cell>
          <cell r="V18">
            <v>384.11360314837293</v>
          </cell>
          <cell r="W18">
            <v>375.32406905631433</v>
          </cell>
          <cell r="X18">
            <v>366.53453496425209</v>
          </cell>
          <cell r="Y18">
            <v>357.81455161977647</v>
          </cell>
          <cell r="Z18">
            <v>349.09456827530448</v>
          </cell>
          <cell r="AA18">
            <v>340.37458493082886</v>
          </cell>
          <cell r="AB18">
            <v>331.65460158635688</v>
          </cell>
          <cell r="AC18">
            <v>322.93461824188489</v>
          </cell>
          <cell r="AD18">
            <v>314.28376765286885</v>
          </cell>
          <cell r="AE18">
            <v>305.6329170638528</v>
          </cell>
          <cell r="AF18">
            <v>296.98206647483676</v>
          </cell>
          <cell r="AG18">
            <v>288.33121588582071</v>
          </cell>
          <cell r="AH18">
            <v>279.68036529680467</v>
          </cell>
        </row>
        <row r="19">
          <cell r="B19" t="str">
            <v/>
          </cell>
        </row>
        <row r="20">
          <cell r="B20" t="str">
            <v>e-hydrogen (Alkaline) - Finance cost - Africa - USD/ton fuel</v>
          </cell>
          <cell r="G20">
            <v>383.70262805971436</v>
          </cell>
          <cell r="H20">
            <v>364.51113138145598</v>
          </cell>
          <cell r="I20">
            <v>345.31963470319118</v>
          </cell>
          <cell r="J20">
            <v>326.28147815502251</v>
          </cell>
          <cell r="K20">
            <v>307.24332160684747</v>
          </cell>
          <cell r="L20">
            <v>288.20516505867886</v>
          </cell>
          <cell r="M20">
            <v>269.16700851051024</v>
          </cell>
          <cell r="N20">
            <v>250.1288519623352</v>
          </cell>
          <cell r="O20">
            <v>245.2561241665739</v>
          </cell>
          <cell r="P20">
            <v>240.38339637080779</v>
          </cell>
          <cell r="Q20">
            <v>235.51066857504168</v>
          </cell>
          <cell r="R20">
            <v>230.63794077927557</v>
          </cell>
          <cell r="S20">
            <v>225.76521298350784</v>
          </cell>
          <cell r="T20">
            <v>220.93096923287482</v>
          </cell>
          <cell r="U20">
            <v>216.09672548224017</v>
          </cell>
          <cell r="V20">
            <v>211.26248173160715</v>
          </cell>
          <cell r="W20">
            <v>206.42823798097251</v>
          </cell>
          <cell r="X20">
            <v>201.59399423033628</v>
          </cell>
          <cell r="Y20">
            <v>196.79800339087629</v>
          </cell>
          <cell r="Z20">
            <v>192.0020125514163</v>
          </cell>
          <cell r="AA20">
            <v>187.20602171195469</v>
          </cell>
          <cell r="AB20">
            <v>182.4100308724947</v>
          </cell>
          <cell r="AC20">
            <v>177.6140400330363</v>
          </cell>
          <cell r="AD20">
            <v>172.85607220907829</v>
          </cell>
          <cell r="AE20">
            <v>168.09810438511866</v>
          </cell>
          <cell r="AF20">
            <v>163.34013656116065</v>
          </cell>
          <cell r="AG20">
            <v>158.58216873720261</v>
          </cell>
          <cell r="AH20">
            <v>153.82420091324298</v>
          </cell>
        </row>
        <row r="21">
          <cell r="B21" t="str">
            <v>e-hydrogen (Alkaline) - Finance cost - Americas - USD/ton fuel</v>
          </cell>
          <cell r="G21">
            <v>383.70262805971436</v>
          </cell>
          <cell r="H21">
            <v>364.51113138145598</v>
          </cell>
          <cell r="I21">
            <v>345.31963470319118</v>
          </cell>
          <cell r="J21">
            <v>326.28147815502251</v>
          </cell>
          <cell r="K21">
            <v>307.24332160684747</v>
          </cell>
          <cell r="L21">
            <v>288.20516505867886</v>
          </cell>
          <cell r="M21">
            <v>269.16700851051024</v>
          </cell>
          <cell r="N21">
            <v>250.1288519623352</v>
          </cell>
          <cell r="O21">
            <v>245.2561241665739</v>
          </cell>
          <cell r="P21">
            <v>240.38339637080779</v>
          </cell>
          <cell r="Q21">
            <v>235.51066857504168</v>
          </cell>
          <cell r="R21">
            <v>230.63794077927557</v>
          </cell>
          <cell r="S21">
            <v>225.76521298350784</v>
          </cell>
          <cell r="T21">
            <v>220.93096923287482</v>
          </cell>
          <cell r="U21">
            <v>216.09672548224017</v>
          </cell>
          <cell r="V21">
            <v>211.26248173160715</v>
          </cell>
          <cell r="W21">
            <v>206.42823798097251</v>
          </cell>
          <cell r="X21">
            <v>201.59399423033628</v>
          </cell>
          <cell r="Y21">
            <v>196.79800339087629</v>
          </cell>
          <cell r="Z21">
            <v>192.0020125514163</v>
          </cell>
          <cell r="AA21">
            <v>187.20602171195469</v>
          </cell>
          <cell r="AB21">
            <v>182.4100308724947</v>
          </cell>
          <cell r="AC21">
            <v>177.6140400330363</v>
          </cell>
          <cell r="AD21">
            <v>172.85607220907829</v>
          </cell>
          <cell r="AE21">
            <v>168.09810438511866</v>
          </cell>
          <cell r="AF21">
            <v>163.34013656116065</v>
          </cell>
          <cell r="AG21">
            <v>158.58216873720261</v>
          </cell>
          <cell r="AH21">
            <v>153.82420091324298</v>
          </cell>
        </row>
        <row r="22">
          <cell r="B22" t="str">
            <v>e-hydrogen (Alkaline) - Finance cost - Asia - USD/ton fuel</v>
          </cell>
          <cell r="G22">
            <v>383.70262805971436</v>
          </cell>
          <cell r="H22">
            <v>364.51113138145598</v>
          </cell>
          <cell r="I22">
            <v>345.31963470319118</v>
          </cell>
          <cell r="J22">
            <v>326.28147815502251</v>
          </cell>
          <cell r="K22">
            <v>307.24332160684747</v>
          </cell>
          <cell r="L22">
            <v>288.20516505867886</v>
          </cell>
          <cell r="M22">
            <v>269.16700851051024</v>
          </cell>
          <cell r="N22">
            <v>250.1288519623352</v>
          </cell>
          <cell r="O22">
            <v>245.2561241665739</v>
          </cell>
          <cell r="P22">
            <v>240.38339637080779</v>
          </cell>
          <cell r="Q22">
            <v>235.51066857504168</v>
          </cell>
          <cell r="R22">
            <v>230.63794077927557</v>
          </cell>
          <cell r="S22">
            <v>225.76521298350784</v>
          </cell>
          <cell r="T22">
            <v>220.93096923287482</v>
          </cell>
          <cell r="U22">
            <v>216.09672548224017</v>
          </cell>
          <cell r="V22">
            <v>211.26248173160715</v>
          </cell>
          <cell r="W22">
            <v>206.42823798097251</v>
          </cell>
          <cell r="X22">
            <v>201.59399423033628</v>
          </cell>
          <cell r="Y22">
            <v>196.79800339087629</v>
          </cell>
          <cell r="Z22">
            <v>192.0020125514163</v>
          </cell>
          <cell r="AA22">
            <v>187.20602171195469</v>
          </cell>
          <cell r="AB22">
            <v>182.4100308724947</v>
          </cell>
          <cell r="AC22">
            <v>177.6140400330363</v>
          </cell>
          <cell r="AD22">
            <v>172.85607220907829</v>
          </cell>
          <cell r="AE22">
            <v>168.09810438511866</v>
          </cell>
          <cell r="AF22">
            <v>163.34013656116065</v>
          </cell>
          <cell r="AG22">
            <v>158.58216873720261</v>
          </cell>
          <cell r="AH22">
            <v>153.82420091324298</v>
          </cell>
        </row>
        <row r="23">
          <cell r="B23" t="str">
            <v>e-hydrogen (Alkaline) - Finance cost - Europe - USD/ton fuel</v>
          </cell>
          <cell r="G23">
            <v>383.70262805971436</v>
          </cell>
          <cell r="H23">
            <v>364.51113138145598</v>
          </cell>
          <cell r="I23">
            <v>345.31963470319118</v>
          </cell>
          <cell r="J23">
            <v>326.28147815502251</v>
          </cell>
          <cell r="K23">
            <v>307.24332160684747</v>
          </cell>
          <cell r="L23">
            <v>288.20516505867886</v>
          </cell>
          <cell r="M23">
            <v>269.16700851051024</v>
          </cell>
          <cell r="N23">
            <v>250.1288519623352</v>
          </cell>
          <cell r="O23">
            <v>245.2561241665739</v>
          </cell>
          <cell r="P23">
            <v>240.38339637080779</v>
          </cell>
          <cell r="Q23">
            <v>235.51066857504168</v>
          </cell>
          <cell r="R23">
            <v>230.63794077927557</v>
          </cell>
          <cell r="S23">
            <v>225.76521298350784</v>
          </cell>
          <cell r="T23">
            <v>220.93096923287482</v>
          </cell>
          <cell r="U23">
            <v>216.09672548224017</v>
          </cell>
          <cell r="V23">
            <v>211.26248173160715</v>
          </cell>
          <cell r="W23">
            <v>206.42823798097251</v>
          </cell>
          <cell r="X23">
            <v>201.59399423033628</v>
          </cell>
          <cell r="Y23">
            <v>196.79800339087629</v>
          </cell>
          <cell r="Z23">
            <v>192.0020125514163</v>
          </cell>
          <cell r="AA23">
            <v>187.20602171195469</v>
          </cell>
          <cell r="AB23">
            <v>182.4100308724947</v>
          </cell>
          <cell r="AC23">
            <v>177.6140400330363</v>
          </cell>
          <cell r="AD23">
            <v>172.85607220907829</v>
          </cell>
          <cell r="AE23">
            <v>168.09810438511866</v>
          </cell>
          <cell r="AF23">
            <v>163.34013656116065</v>
          </cell>
          <cell r="AG23">
            <v>158.58216873720261</v>
          </cell>
          <cell r="AH23">
            <v>153.82420091324298</v>
          </cell>
        </row>
        <row r="24">
          <cell r="B24" t="str">
            <v>e-hydrogen (Alkaline) - Finance cost - Middle East - USD/ton fuel</v>
          </cell>
          <cell r="G24">
            <v>383.70262805971436</v>
          </cell>
          <cell r="H24">
            <v>364.51113138145598</v>
          </cell>
          <cell r="I24">
            <v>345.31963470319118</v>
          </cell>
          <cell r="J24">
            <v>326.28147815502251</v>
          </cell>
          <cell r="K24">
            <v>307.24332160684747</v>
          </cell>
          <cell r="L24">
            <v>288.20516505867886</v>
          </cell>
          <cell r="M24">
            <v>269.16700851051024</v>
          </cell>
          <cell r="N24">
            <v>250.1288519623352</v>
          </cell>
          <cell r="O24">
            <v>245.2561241665739</v>
          </cell>
          <cell r="P24">
            <v>240.38339637080779</v>
          </cell>
          <cell r="Q24">
            <v>235.51066857504168</v>
          </cell>
          <cell r="R24">
            <v>230.63794077927557</v>
          </cell>
          <cell r="S24">
            <v>225.76521298350784</v>
          </cell>
          <cell r="T24">
            <v>220.93096923287482</v>
          </cell>
          <cell r="U24">
            <v>216.09672548224017</v>
          </cell>
          <cell r="V24">
            <v>211.26248173160715</v>
          </cell>
          <cell r="W24">
            <v>206.42823798097251</v>
          </cell>
          <cell r="X24">
            <v>201.59399423033628</v>
          </cell>
          <cell r="Y24">
            <v>196.79800339087629</v>
          </cell>
          <cell r="Z24">
            <v>192.0020125514163</v>
          </cell>
          <cell r="AA24">
            <v>187.20602171195469</v>
          </cell>
          <cell r="AB24">
            <v>182.4100308724947</v>
          </cell>
          <cell r="AC24">
            <v>177.6140400330363</v>
          </cell>
          <cell r="AD24">
            <v>172.85607220907829</v>
          </cell>
          <cell r="AE24">
            <v>168.09810438511866</v>
          </cell>
          <cell r="AF24">
            <v>163.34013656116065</v>
          </cell>
          <cell r="AG24">
            <v>158.58216873720261</v>
          </cell>
          <cell r="AH24">
            <v>153.82420091324298</v>
          </cell>
        </row>
        <row r="25">
          <cell r="B25" t="str">
            <v>General - Weighted average cost of capital (WACC) - Africa - %</v>
          </cell>
          <cell r="G25">
            <v>5.5000000000000007E-2</v>
          </cell>
          <cell r="H25">
            <v>5.5000000000000007E-2</v>
          </cell>
          <cell r="I25">
            <v>5.5000000000000007E-2</v>
          </cell>
          <cell r="J25">
            <v>5.5000000000000007E-2</v>
          </cell>
          <cell r="K25">
            <v>5.5000000000000007E-2</v>
          </cell>
          <cell r="L25">
            <v>5.5000000000000007E-2</v>
          </cell>
          <cell r="M25">
            <v>5.5000000000000007E-2</v>
          </cell>
          <cell r="N25">
            <v>5.5000000000000007E-2</v>
          </cell>
          <cell r="O25">
            <v>5.5000000000000007E-2</v>
          </cell>
          <cell r="P25">
            <v>5.5000000000000007E-2</v>
          </cell>
          <cell r="Q25">
            <v>5.5000000000000007E-2</v>
          </cell>
          <cell r="R25">
            <v>5.5000000000000007E-2</v>
          </cell>
          <cell r="S25">
            <v>5.5000000000000007E-2</v>
          </cell>
          <cell r="T25">
            <v>5.5000000000000007E-2</v>
          </cell>
          <cell r="U25">
            <v>5.5000000000000007E-2</v>
          </cell>
          <cell r="V25">
            <v>5.5000000000000007E-2</v>
          </cell>
          <cell r="W25">
            <v>5.5000000000000007E-2</v>
          </cell>
          <cell r="X25">
            <v>5.5000000000000007E-2</v>
          </cell>
          <cell r="Y25">
            <v>5.5000000000000007E-2</v>
          </cell>
          <cell r="Z25">
            <v>5.5000000000000007E-2</v>
          </cell>
          <cell r="AA25">
            <v>5.5000000000000007E-2</v>
          </cell>
          <cell r="AB25">
            <v>5.5000000000000007E-2</v>
          </cell>
          <cell r="AC25">
            <v>5.5000000000000007E-2</v>
          </cell>
          <cell r="AD25">
            <v>5.5000000000000007E-2</v>
          </cell>
          <cell r="AE25">
            <v>5.5000000000000007E-2</v>
          </cell>
          <cell r="AF25">
            <v>5.5000000000000007E-2</v>
          </cell>
          <cell r="AG25">
            <v>5.5000000000000007E-2</v>
          </cell>
          <cell r="AH25">
            <v>5.5000000000000007E-2</v>
          </cell>
        </row>
        <row r="26">
          <cell r="B26" t="str">
            <v>General - Weighted average cost of capital (WACC) - Americas - %</v>
          </cell>
          <cell r="G26">
            <v>5.5000000000000007E-2</v>
          </cell>
          <cell r="H26">
            <v>5.5000000000000007E-2</v>
          </cell>
          <cell r="I26">
            <v>5.5000000000000007E-2</v>
          </cell>
          <cell r="J26">
            <v>5.5000000000000007E-2</v>
          </cell>
          <cell r="K26">
            <v>5.5000000000000007E-2</v>
          </cell>
          <cell r="L26">
            <v>5.5000000000000007E-2</v>
          </cell>
          <cell r="M26">
            <v>5.5000000000000007E-2</v>
          </cell>
          <cell r="N26">
            <v>5.5000000000000007E-2</v>
          </cell>
          <cell r="O26">
            <v>5.5000000000000007E-2</v>
          </cell>
          <cell r="P26">
            <v>5.5000000000000007E-2</v>
          </cell>
          <cell r="Q26">
            <v>5.5000000000000007E-2</v>
          </cell>
          <cell r="R26">
            <v>5.5000000000000007E-2</v>
          </cell>
          <cell r="S26">
            <v>5.5000000000000007E-2</v>
          </cell>
          <cell r="T26">
            <v>5.5000000000000007E-2</v>
          </cell>
          <cell r="U26">
            <v>5.5000000000000007E-2</v>
          </cell>
          <cell r="V26">
            <v>5.5000000000000007E-2</v>
          </cell>
          <cell r="W26">
            <v>5.5000000000000007E-2</v>
          </cell>
          <cell r="X26">
            <v>5.5000000000000007E-2</v>
          </cell>
          <cell r="Y26">
            <v>5.5000000000000007E-2</v>
          </cell>
          <cell r="Z26">
            <v>5.5000000000000007E-2</v>
          </cell>
          <cell r="AA26">
            <v>5.5000000000000007E-2</v>
          </cell>
          <cell r="AB26">
            <v>5.5000000000000007E-2</v>
          </cell>
          <cell r="AC26">
            <v>5.5000000000000007E-2</v>
          </cell>
          <cell r="AD26">
            <v>5.5000000000000007E-2</v>
          </cell>
          <cell r="AE26">
            <v>5.5000000000000007E-2</v>
          </cell>
          <cell r="AF26">
            <v>5.5000000000000007E-2</v>
          </cell>
          <cell r="AG26">
            <v>5.5000000000000007E-2</v>
          </cell>
          <cell r="AH26">
            <v>5.5000000000000007E-2</v>
          </cell>
        </row>
        <row r="27">
          <cell r="B27" t="str">
            <v>General - Weighted average cost of capital (WACC) - Asia - %</v>
          </cell>
          <cell r="G27">
            <v>5.5000000000000007E-2</v>
          </cell>
          <cell r="H27">
            <v>5.5000000000000007E-2</v>
          </cell>
          <cell r="I27">
            <v>5.5000000000000007E-2</v>
          </cell>
          <cell r="J27">
            <v>5.5000000000000007E-2</v>
          </cell>
          <cell r="K27">
            <v>5.5000000000000007E-2</v>
          </cell>
          <cell r="L27">
            <v>5.5000000000000007E-2</v>
          </cell>
          <cell r="M27">
            <v>5.5000000000000007E-2</v>
          </cell>
          <cell r="N27">
            <v>5.5000000000000007E-2</v>
          </cell>
          <cell r="O27">
            <v>5.5000000000000007E-2</v>
          </cell>
          <cell r="P27">
            <v>5.5000000000000007E-2</v>
          </cell>
          <cell r="Q27">
            <v>5.5000000000000007E-2</v>
          </cell>
          <cell r="R27">
            <v>5.5000000000000007E-2</v>
          </cell>
          <cell r="S27">
            <v>5.5000000000000007E-2</v>
          </cell>
          <cell r="T27">
            <v>5.5000000000000007E-2</v>
          </cell>
          <cell r="U27">
            <v>5.5000000000000007E-2</v>
          </cell>
          <cell r="V27">
            <v>5.5000000000000007E-2</v>
          </cell>
          <cell r="W27">
            <v>5.5000000000000007E-2</v>
          </cell>
          <cell r="X27">
            <v>5.5000000000000007E-2</v>
          </cell>
          <cell r="Y27">
            <v>5.5000000000000007E-2</v>
          </cell>
          <cell r="Z27">
            <v>5.5000000000000007E-2</v>
          </cell>
          <cell r="AA27">
            <v>5.5000000000000007E-2</v>
          </cell>
          <cell r="AB27">
            <v>5.5000000000000007E-2</v>
          </cell>
          <cell r="AC27">
            <v>5.5000000000000007E-2</v>
          </cell>
          <cell r="AD27">
            <v>5.5000000000000007E-2</v>
          </cell>
          <cell r="AE27">
            <v>5.5000000000000007E-2</v>
          </cell>
          <cell r="AF27">
            <v>5.5000000000000007E-2</v>
          </cell>
          <cell r="AG27">
            <v>5.5000000000000007E-2</v>
          </cell>
          <cell r="AH27">
            <v>5.5000000000000007E-2</v>
          </cell>
        </row>
        <row r="28">
          <cell r="B28" t="str">
            <v>General - Weighted average cost of capital (WACC) - Europe - %</v>
          </cell>
          <cell r="G28">
            <v>5.5000000000000007E-2</v>
          </cell>
          <cell r="H28">
            <v>5.5000000000000007E-2</v>
          </cell>
          <cell r="I28">
            <v>5.5000000000000007E-2</v>
          </cell>
          <cell r="J28">
            <v>5.5000000000000007E-2</v>
          </cell>
          <cell r="K28">
            <v>5.5000000000000007E-2</v>
          </cell>
          <cell r="L28">
            <v>5.5000000000000007E-2</v>
          </cell>
          <cell r="M28">
            <v>5.5000000000000007E-2</v>
          </cell>
          <cell r="N28">
            <v>5.5000000000000007E-2</v>
          </cell>
          <cell r="O28">
            <v>5.5000000000000007E-2</v>
          </cell>
          <cell r="P28">
            <v>5.5000000000000007E-2</v>
          </cell>
          <cell r="Q28">
            <v>5.5000000000000007E-2</v>
          </cell>
          <cell r="R28">
            <v>5.5000000000000007E-2</v>
          </cell>
          <cell r="S28">
            <v>5.5000000000000007E-2</v>
          </cell>
          <cell r="T28">
            <v>5.5000000000000007E-2</v>
          </cell>
          <cell r="U28">
            <v>5.5000000000000007E-2</v>
          </cell>
          <cell r="V28">
            <v>5.5000000000000007E-2</v>
          </cell>
          <cell r="W28">
            <v>5.5000000000000007E-2</v>
          </cell>
          <cell r="X28">
            <v>5.5000000000000007E-2</v>
          </cell>
          <cell r="Y28">
            <v>5.5000000000000007E-2</v>
          </cell>
          <cell r="Z28">
            <v>5.5000000000000007E-2</v>
          </cell>
          <cell r="AA28">
            <v>5.5000000000000007E-2</v>
          </cell>
          <cell r="AB28">
            <v>5.5000000000000007E-2</v>
          </cell>
          <cell r="AC28">
            <v>5.5000000000000007E-2</v>
          </cell>
          <cell r="AD28">
            <v>5.5000000000000007E-2</v>
          </cell>
          <cell r="AE28">
            <v>5.5000000000000007E-2</v>
          </cell>
          <cell r="AF28">
            <v>5.5000000000000007E-2</v>
          </cell>
          <cell r="AG28">
            <v>5.5000000000000007E-2</v>
          </cell>
          <cell r="AH28">
            <v>5.5000000000000007E-2</v>
          </cell>
        </row>
        <row r="29">
          <cell r="B29" t="str">
            <v>General - Weighted average cost of capital (WACC) - Middle East - %</v>
          </cell>
          <cell r="G29">
            <v>5.5000000000000007E-2</v>
          </cell>
          <cell r="H29">
            <v>5.5000000000000007E-2</v>
          </cell>
          <cell r="I29">
            <v>5.5000000000000007E-2</v>
          </cell>
          <cell r="J29">
            <v>5.5000000000000007E-2</v>
          </cell>
          <cell r="K29">
            <v>5.5000000000000007E-2</v>
          </cell>
          <cell r="L29">
            <v>5.5000000000000007E-2</v>
          </cell>
          <cell r="M29">
            <v>5.5000000000000007E-2</v>
          </cell>
          <cell r="N29">
            <v>5.5000000000000007E-2</v>
          </cell>
          <cell r="O29">
            <v>5.5000000000000007E-2</v>
          </cell>
          <cell r="P29">
            <v>5.5000000000000007E-2</v>
          </cell>
          <cell r="Q29">
            <v>5.5000000000000007E-2</v>
          </cell>
          <cell r="R29">
            <v>5.5000000000000007E-2</v>
          </cell>
          <cell r="S29">
            <v>5.5000000000000007E-2</v>
          </cell>
          <cell r="T29">
            <v>5.5000000000000007E-2</v>
          </cell>
          <cell r="U29">
            <v>5.5000000000000007E-2</v>
          </cell>
          <cell r="V29">
            <v>5.5000000000000007E-2</v>
          </cell>
          <cell r="W29">
            <v>5.5000000000000007E-2</v>
          </cell>
          <cell r="X29">
            <v>5.5000000000000007E-2</v>
          </cell>
          <cell r="Y29">
            <v>5.5000000000000007E-2</v>
          </cell>
          <cell r="Z29">
            <v>5.5000000000000007E-2</v>
          </cell>
          <cell r="AA29">
            <v>5.5000000000000007E-2</v>
          </cell>
          <cell r="AB29">
            <v>5.5000000000000007E-2</v>
          </cell>
          <cell r="AC29">
            <v>5.5000000000000007E-2</v>
          </cell>
          <cell r="AD29">
            <v>5.5000000000000007E-2</v>
          </cell>
          <cell r="AE29">
            <v>5.5000000000000007E-2</v>
          </cell>
          <cell r="AF29">
            <v>5.5000000000000007E-2</v>
          </cell>
          <cell r="AG29">
            <v>5.5000000000000007E-2</v>
          </cell>
          <cell r="AH29">
            <v>5.5000000000000007E-2</v>
          </cell>
        </row>
        <row r="30">
          <cell r="B30" t="str">
            <v>e-hydrogen (Alkaline) - Total CAPEX - Electrolysis - Global - USD/ton fuel capacity</v>
          </cell>
          <cell r="G30">
            <v>6976.4114192675333</v>
          </cell>
          <cell r="H30">
            <v>6627.4751160264714</v>
          </cell>
          <cell r="I30">
            <v>6278.538812785293</v>
          </cell>
          <cell r="J30">
            <v>5932.3905119094998</v>
          </cell>
          <cell r="K30">
            <v>5586.2422110335901</v>
          </cell>
          <cell r="L30">
            <v>5240.0939101577969</v>
          </cell>
          <cell r="M30">
            <v>4893.9456092820037</v>
          </cell>
          <cell r="N30">
            <v>4547.7973084060941</v>
          </cell>
          <cell r="O30">
            <v>4459.2022575740702</v>
          </cell>
          <cell r="P30">
            <v>4370.6072067419591</v>
          </cell>
          <cell r="Q30">
            <v>4282.0121559098479</v>
          </cell>
          <cell r="R30">
            <v>4193.4171050777368</v>
          </cell>
          <cell r="S30">
            <v>4104.8220542455965</v>
          </cell>
          <cell r="T30">
            <v>4016.9267133249959</v>
          </cell>
          <cell r="U30">
            <v>3929.0313724043663</v>
          </cell>
          <cell r="V30">
            <v>3841.1360314837657</v>
          </cell>
          <cell r="W30">
            <v>3753.240690563136</v>
          </cell>
          <cell r="X30">
            <v>3665.3453496424772</v>
          </cell>
          <cell r="Y30">
            <v>3578.1455161977501</v>
          </cell>
          <cell r="Z30">
            <v>3490.945682753023</v>
          </cell>
          <cell r="AA30">
            <v>3403.7458493082668</v>
          </cell>
          <cell r="AB30">
            <v>3316.5460158635397</v>
          </cell>
          <cell r="AC30">
            <v>3229.3461824188416</v>
          </cell>
          <cell r="AD30">
            <v>3142.8376765286957</v>
          </cell>
          <cell r="AE30">
            <v>3056.3291706385207</v>
          </cell>
          <cell r="AF30">
            <v>2969.8206647483748</v>
          </cell>
          <cell r="AG30">
            <v>2883.3121588582289</v>
          </cell>
          <cell r="AH30">
            <v>2796.8036529680539</v>
          </cell>
        </row>
        <row r="31">
          <cell r="B31" t="str">
            <v/>
          </cell>
        </row>
        <row r="32">
          <cell r="B32" t="str">
            <v>e-hydrogen (Alkaline) - Energy cost - Africa - USD/ton fuel</v>
          </cell>
          <cell r="G32">
            <v>2924.2184208022281</v>
          </cell>
          <cell r="H32">
            <v>2578.7512488133598</v>
          </cell>
          <cell r="I32">
            <v>2233.8392780401587</v>
          </cell>
          <cell r="J32">
            <v>2136.5467657748268</v>
          </cell>
          <cell r="K32">
            <v>2039.408400538452</v>
          </cell>
          <cell r="L32">
            <v>1942.4241823310349</v>
          </cell>
          <cell r="M32">
            <v>1845.5941111525524</v>
          </cell>
          <cell r="N32">
            <v>1748.9181870030495</v>
          </cell>
          <cell r="O32">
            <v>1694.4194806950179</v>
          </cell>
          <cell r="P32">
            <v>1640.0064724883205</v>
          </cell>
          <cell r="Q32">
            <v>1585.6791623829354</v>
          </cell>
          <cell r="R32">
            <v>1531.4375503789083</v>
          </cell>
          <cell r="S32">
            <v>1477.2816364762216</v>
          </cell>
          <cell r="T32">
            <v>1451.2032385184193</v>
          </cell>
          <cell r="U32">
            <v>1425.1650145954839</v>
          </cell>
          <cell r="V32">
            <v>1399.1669647074043</v>
          </cell>
          <cell r="W32">
            <v>1373.2090888541857</v>
          </cell>
          <cell r="X32">
            <v>1347.2913870358389</v>
          </cell>
          <cell r="Y32">
            <v>1320.7174303517695</v>
          </cell>
          <cell r="Z32">
            <v>1294.1846168915342</v>
          </cell>
          <cell r="AA32">
            <v>1267.6929466551221</v>
          </cell>
          <cell r="AB32">
            <v>1241.242419642555</v>
          </cell>
          <cell r="AC32">
            <v>1214.8330358538176</v>
          </cell>
          <cell r="AD32">
            <v>1201.3938481127943</v>
          </cell>
          <cell r="AE32">
            <v>1187.9747731370467</v>
          </cell>
          <cell r="AF32">
            <v>1174.5758109265635</v>
          </cell>
          <cell r="AG32">
            <v>1161.1969614813502</v>
          </cell>
          <cell r="AH32">
            <v>1147.8382248014127</v>
          </cell>
        </row>
        <row r="33">
          <cell r="B33" t="str">
            <v>e-hydrogen (Alkaline) - Energy cost - Americas - USD/ton fuel</v>
          </cell>
          <cell r="G33">
            <v>1837.3299464104387</v>
          </cell>
          <cell r="H33">
            <v>1797.8268075831645</v>
          </cell>
          <cell r="I33">
            <v>1758.3851882088989</v>
          </cell>
          <cell r="J33">
            <v>1692.8058963897693</v>
          </cell>
          <cell r="K33">
            <v>1627.3301772671259</v>
          </cell>
          <cell r="L33">
            <v>1561.95803084097</v>
          </cell>
          <cell r="M33">
            <v>1496.6894571113237</v>
          </cell>
          <cell r="N33">
            <v>1431.5244560781412</v>
          </cell>
          <cell r="O33">
            <v>1399.6185604154191</v>
          </cell>
          <cell r="P33">
            <v>1367.7623054398739</v>
          </cell>
          <cell r="Q33">
            <v>1335.9556911515062</v>
          </cell>
          <cell r="R33">
            <v>1304.1987175503164</v>
          </cell>
          <cell r="S33">
            <v>1272.4913846362981</v>
          </cell>
          <cell r="T33">
            <v>1246.6378236853743</v>
          </cell>
          <cell r="U33">
            <v>1220.8243404333271</v>
          </cell>
          <cell r="V33">
            <v>1195.0509348801509</v>
          </cell>
          <cell r="W33">
            <v>1169.3176070258564</v>
          </cell>
          <cell r="X33">
            <v>1143.6243568704353</v>
          </cell>
          <cell r="Y33">
            <v>1132.7402426731812</v>
          </cell>
          <cell r="Z33">
            <v>1121.8722093981428</v>
          </cell>
          <cell r="AA33">
            <v>1111.0202570453237</v>
          </cell>
          <cell r="AB33">
            <v>1100.1843856147173</v>
          </cell>
          <cell r="AC33">
            <v>1089.3645951063277</v>
          </cell>
          <cell r="AD33">
            <v>1081.0008741231995</v>
          </cell>
          <cell r="AE33">
            <v>1072.6492361370531</v>
          </cell>
          <cell r="AF33">
            <v>1064.3096811478861</v>
          </cell>
          <cell r="AG33">
            <v>1055.982209155698</v>
          </cell>
          <cell r="AH33">
            <v>1047.6668201604891</v>
          </cell>
        </row>
        <row r="34">
          <cell r="B34" t="str">
            <v>e-hydrogen (Alkaline) - Energy cost - Asia - USD/ton fuel</v>
          </cell>
          <cell r="G34">
            <v>3252.338725885962</v>
          </cell>
          <cell r="H34">
            <v>2964.1436497151244</v>
          </cell>
          <cell r="I34">
            <v>2676.410669193273</v>
          </cell>
          <cell r="J34">
            <v>2571.9875464291304</v>
          </cell>
          <cell r="K34">
            <v>2467.7295051691481</v>
          </cell>
          <cell r="L34">
            <v>2363.6365454132369</v>
          </cell>
          <cell r="M34">
            <v>2259.7086671614416</v>
          </cell>
          <cell r="N34">
            <v>2155.9458704138065</v>
          </cell>
          <cell r="O34">
            <v>2084.9792553566122</v>
          </cell>
          <cell r="P34">
            <v>2014.1243919540746</v>
          </cell>
          <cell r="Q34">
            <v>1943.3812802061955</v>
          </cell>
          <cell r="R34">
            <v>1872.7499201129297</v>
          </cell>
          <cell r="S34">
            <v>1802.2303116742989</v>
          </cell>
          <cell r="T34">
            <v>1765.7216436172464</v>
          </cell>
          <cell r="U34">
            <v>1729.2695636996293</v>
          </cell>
          <cell r="V34">
            <v>1692.8740719214588</v>
          </cell>
          <cell r="W34">
            <v>1656.5351682827127</v>
          </cell>
          <cell r="X34">
            <v>1620.2528527834236</v>
          </cell>
          <cell r="Y34">
            <v>1582.4008435231208</v>
          </cell>
          <cell r="Z34">
            <v>1544.6078278108137</v>
          </cell>
          <cell r="AA34">
            <v>1506.8738056464802</v>
          </cell>
          <cell r="AB34">
            <v>1469.1987770301419</v>
          </cell>
          <cell r="AC34">
            <v>1431.5827419617779</v>
          </cell>
          <cell r="AD34">
            <v>1413.7365864349924</v>
          </cell>
          <cell r="AE34">
            <v>1395.9173754764734</v>
          </cell>
          <cell r="AF34">
            <v>1378.1251090862318</v>
          </cell>
          <cell r="AG34">
            <v>1360.3597872642622</v>
          </cell>
          <cell r="AH34">
            <v>1342.621410010559</v>
          </cell>
        </row>
        <row r="35">
          <cell r="B35" t="str">
            <v>e-hydrogen (Alkaline) - Energy cost - Europe - USD/ton fuel</v>
          </cell>
          <cell r="G35">
            <v>2421.1900117838195</v>
          </cell>
          <cell r="H35">
            <v>2314.9647296987046</v>
          </cell>
          <cell r="I35">
            <v>2208.9081714304025</v>
          </cell>
          <cell r="J35">
            <v>2123.0136893451618</v>
          </cell>
          <cell r="K35">
            <v>2037.2549873883677</v>
          </cell>
          <cell r="L35">
            <v>1951.6320655600659</v>
          </cell>
          <cell r="M35">
            <v>1866.1449238602108</v>
          </cell>
          <cell r="N35">
            <v>1780.7935622888472</v>
          </cell>
          <cell r="O35">
            <v>1744.5493660329785</v>
          </cell>
          <cell r="P35">
            <v>1708.3613588986636</v>
          </cell>
          <cell r="Q35">
            <v>1672.2295408858586</v>
          </cell>
          <cell r="R35">
            <v>1636.1539119945753</v>
          </cell>
          <cell r="S35">
            <v>1600.1344722248239</v>
          </cell>
          <cell r="T35">
            <v>1578.1456404179976</v>
          </cell>
          <cell r="U35">
            <v>1556.1902210950334</v>
          </cell>
          <cell r="V35">
            <v>1534.2682142559252</v>
          </cell>
          <cell r="W35">
            <v>1512.3796199006733</v>
          </cell>
          <cell r="X35">
            <v>1490.5244380292654</v>
          </cell>
          <cell r="Y35">
            <v>1467.2681472940801</v>
          </cell>
          <cell r="Z35">
            <v>1444.0474577452719</v>
          </cell>
          <cell r="AA35">
            <v>1420.862369382852</v>
          </cell>
          <cell r="AB35">
            <v>1397.7128822068089</v>
          </cell>
          <cell r="AC35">
            <v>1374.5989962171548</v>
          </cell>
          <cell r="AD35">
            <v>1357.4640885558642</v>
          </cell>
          <cell r="AE35">
            <v>1340.3550515105705</v>
          </cell>
          <cell r="AF35">
            <v>1323.2718850812848</v>
          </cell>
          <cell r="AG35">
            <v>1306.2145892680016</v>
          </cell>
          <cell r="AH35">
            <v>1289.1831640707153</v>
          </cell>
        </row>
        <row r="36">
          <cell r="B36" t="str">
            <v>e-hydrogen (Alkaline) - Energy cost - Middle East - USD/ton fuel</v>
          </cell>
          <cell r="G36">
            <v>1854.0135282246365</v>
          </cell>
          <cell r="H36">
            <v>1770.7678519316073</v>
          </cell>
          <cell r="I36">
            <v>1687.654456385189</v>
          </cell>
          <cell r="J36">
            <v>1632.2569147563422</v>
          </cell>
          <cell r="K36">
            <v>1576.9466019376102</v>
          </cell>
          <cell r="L36">
            <v>1521.7235179289939</v>
          </cell>
          <cell r="M36">
            <v>1466.5876627304931</v>
          </cell>
          <cell r="N36">
            <v>1411.539036342107</v>
          </cell>
          <cell r="O36">
            <v>1372.4523539081965</v>
          </cell>
          <cell r="P36">
            <v>1333.4269298197096</v>
          </cell>
          <cell r="Q36">
            <v>1294.4627640766244</v>
          </cell>
          <cell r="R36">
            <v>1255.5598566789638</v>
          </cell>
          <cell r="S36">
            <v>1216.7182076267159</v>
          </cell>
          <cell r="T36">
            <v>1196.7867927845518</v>
          </cell>
          <cell r="U36">
            <v>1176.8859683806647</v>
          </cell>
          <cell r="V36">
            <v>1157.0157344150598</v>
          </cell>
          <cell r="W36">
            <v>1137.1760908877261</v>
          </cell>
          <cell r="X36">
            <v>1117.3670377986687</v>
          </cell>
          <cell r="Y36">
            <v>1091.714952403941</v>
          </cell>
          <cell r="Z36">
            <v>1066.102821425302</v>
          </cell>
          <cell r="AA36">
            <v>1040.5306448627405</v>
          </cell>
          <cell r="AB36">
            <v>1014.9984227162671</v>
          </cell>
          <cell r="AC36">
            <v>989.50615498586922</v>
          </cell>
          <cell r="AD36">
            <v>977.17062952680578</v>
          </cell>
          <cell r="AE36">
            <v>964.85372858248968</v>
          </cell>
          <cell r="AF36">
            <v>952.55545215291522</v>
          </cell>
          <cell r="AG36">
            <v>940.27580023808537</v>
          </cell>
          <cell r="AH36">
            <v>928.01477283800273</v>
          </cell>
        </row>
        <row r="37">
          <cell r="B37" t="str">
            <v>Renewable electricity - Cost of electricity - Africa - USD/MWh</v>
          </cell>
          <cell r="G37">
            <v>58.389806930514169</v>
          </cell>
          <cell r="H37">
            <v>51.533296245659585</v>
          </cell>
          <cell r="I37">
            <v>44.676785560803182</v>
          </cell>
          <cell r="J37">
            <v>42.765424685038852</v>
          </cell>
          <cell r="K37">
            <v>40.854063809274521</v>
          </cell>
          <cell r="L37">
            <v>38.942702933510191</v>
          </cell>
          <cell r="M37">
            <v>37.031342057745405</v>
          </cell>
          <cell r="N37">
            <v>35.119981181981075</v>
          </cell>
          <cell r="O37">
            <v>34.053057098426962</v>
          </cell>
          <cell r="P37">
            <v>32.986133014872848</v>
          </cell>
          <cell r="Q37">
            <v>31.919208931318281</v>
          </cell>
          <cell r="R37">
            <v>30.852284847764167</v>
          </cell>
          <cell r="S37">
            <v>29.785360764210168</v>
          </cell>
          <cell r="T37">
            <v>29.283177129903038</v>
          </cell>
          <cell r="U37">
            <v>28.780993495596022</v>
          </cell>
          <cell r="V37">
            <v>28.278809861288892</v>
          </cell>
          <cell r="W37">
            <v>27.776626226981762</v>
          </cell>
          <cell r="X37">
            <v>27.274442592674859</v>
          </cell>
          <cell r="Y37">
            <v>26.758061649346246</v>
          </cell>
          <cell r="Z37">
            <v>26.241680706017632</v>
          </cell>
          <cell r="AA37">
            <v>25.725299762688792</v>
          </cell>
          <cell r="AB37">
            <v>25.208918819360179</v>
          </cell>
          <cell r="AC37">
            <v>24.692537876031452</v>
          </cell>
          <cell r="AD37">
            <v>24.439084279606391</v>
          </cell>
          <cell r="AE37">
            <v>24.185630683181444</v>
          </cell>
          <cell r="AF37">
            <v>23.932177086756383</v>
          </cell>
          <cell r="AG37">
            <v>23.678723490331322</v>
          </cell>
          <cell r="AH37">
            <v>23.425269893906375</v>
          </cell>
        </row>
        <row r="38">
          <cell r="B38" t="str">
            <v>Renewable electricity - Cost of electricity - Americas - USD/MWh</v>
          </cell>
          <cell r="G38">
            <v>36.687184539767031</v>
          </cell>
          <cell r="H38">
            <v>35.927444151972622</v>
          </cell>
          <cell r="I38">
            <v>35.167703764177986</v>
          </cell>
          <cell r="J38">
            <v>33.883444176422017</v>
          </cell>
          <cell r="K38">
            <v>32.599184588666049</v>
          </cell>
          <cell r="L38">
            <v>31.31492500091008</v>
          </cell>
          <cell r="M38">
            <v>30.030665413154566</v>
          </cell>
          <cell r="N38">
            <v>28.746405825398597</v>
          </cell>
          <cell r="O38">
            <v>28.128389278370832</v>
          </cell>
          <cell r="P38">
            <v>27.510372731343068</v>
          </cell>
          <cell r="Q38">
            <v>26.892356184315304</v>
          </cell>
          <cell r="R38">
            <v>26.27433963728754</v>
          </cell>
          <cell r="S38">
            <v>25.656323090259662</v>
          </cell>
          <cell r="T38">
            <v>25.155343675421591</v>
          </cell>
          <cell r="U38">
            <v>24.65436426058352</v>
          </cell>
          <cell r="V38">
            <v>24.153384845745336</v>
          </cell>
          <cell r="W38">
            <v>23.652405430907265</v>
          </cell>
          <cell r="X38">
            <v>23.151426016069138</v>
          </cell>
          <cell r="Y38">
            <v>22.949597354879643</v>
          </cell>
          <cell r="Z38">
            <v>22.747768693690148</v>
          </cell>
          <cell r="AA38">
            <v>22.54594003250071</v>
          </cell>
          <cell r="AB38">
            <v>22.344111371311214</v>
          </cell>
          <cell r="AC38">
            <v>22.142282710121719</v>
          </cell>
          <cell r="AD38">
            <v>21.990017270793203</v>
          </cell>
          <cell r="AE38">
            <v>21.837751831464743</v>
          </cell>
          <cell r="AF38">
            <v>21.685486392136283</v>
          </cell>
          <cell r="AG38">
            <v>21.533220952807824</v>
          </cell>
          <cell r="AH38">
            <v>21.380955513479364</v>
          </cell>
        </row>
        <row r="39">
          <cell r="B39" t="str">
            <v>Renewable electricity - Cost of electricity - Asia - USD/MWh</v>
          </cell>
          <cell r="G39">
            <v>64.941602489809156</v>
          </cell>
          <cell r="H39">
            <v>59.234907936835953</v>
          </cell>
          <cell r="I39">
            <v>53.528213383865477</v>
          </cell>
          <cell r="J39">
            <v>51.481269434223577</v>
          </cell>
          <cell r="K39">
            <v>49.434325484582587</v>
          </cell>
          <cell r="L39">
            <v>47.387381534940687</v>
          </cell>
          <cell r="M39">
            <v>45.340437585298787</v>
          </cell>
          <cell r="N39">
            <v>43.293493635657796</v>
          </cell>
          <cell r="O39">
            <v>41.902208066311687</v>
          </cell>
          <cell r="P39">
            <v>40.510922496966032</v>
          </cell>
          <cell r="Q39">
            <v>39.119636927620832</v>
          </cell>
          <cell r="R39">
            <v>37.728351358275177</v>
          </cell>
          <cell r="S39">
            <v>36.337065788929522</v>
          </cell>
          <cell r="T39">
            <v>35.629702497725702</v>
          </cell>
          <cell r="U39">
            <v>34.922339206521883</v>
          </cell>
          <cell r="V39">
            <v>34.214975915318291</v>
          </cell>
          <cell r="W39">
            <v>33.507612624114472</v>
          </cell>
          <cell r="X39">
            <v>32.800249332911108</v>
          </cell>
          <cell r="Y39">
            <v>32.059832294097532</v>
          </cell>
          <cell r="Z39">
            <v>31.319415255284184</v>
          </cell>
          <cell r="AA39">
            <v>30.578998216470609</v>
          </cell>
          <cell r="AB39">
            <v>29.838581177657261</v>
          </cell>
          <cell r="AC39">
            <v>29.098164138843686</v>
          </cell>
          <cell r="AD39">
            <v>28.758618698873192</v>
          </cell>
          <cell r="AE39">
            <v>28.419073258902586</v>
          </cell>
          <cell r="AF39">
            <v>28.079527818932092</v>
          </cell>
          <cell r="AG39">
            <v>27.739982378961599</v>
          </cell>
          <cell r="AH39">
            <v>27.400436938990993</v>
          </cell>
        </row>
        <row r="40">
          <cell r="B40" t="str">
            <v>Renewable electricity - Cost of electricity - Europe - USD/MWh</v>
          </cell>
          <cell r="G40">
            <v>48.345505357757247</v>
          </cell>
          <cell r="H40">
            <v>46.261834393182653</v>
          </cell>
          <cell r="I40">
            <v>44.178163428608059</v>
          </cell>
          <cell r="J40">
            <v>42.49454469772445</v>
          </cell>
          <cell r="K40">
            <v>40.810925966840387</v>
          </cell>
          <cell r="L40">
            <v>39.127307235956778</v>
          </cell>
          <cell r="M40">
            <v>37.443688505072714</v>
          </cell>
          <cell r="N40">
            <v>35.760069774189105</v>
          </cell>
          <cell r="O40">
            <v>35.060526539849434</v>
          </cell>
          <cell r="P40">
            <v>34.360983305510445</v>
          </cell>
          <cell r="Q40">
            <v>33.661440071171228</v>
          </cell>
          <cell r="R40">
            <v>32.961896836832011</v>
          </cell>
          <cell r="S40">
            <v>32.262353602493022</v>
          </cell>
          <cell r="T40">
            <v>31.844690735616723</v>
          </cell>
          <cell r="U40">
            <v>31.427027868740538</v>
          </cell>
          <cell r="V40">
            <v>31.009365001864353</v>
          </cell>
          <cell r="W40">
            <v>30.591702134988168</v>
          </cell>
          <cell r="X40">
            <v>30.174039268111756</v>
          </cell>
          <cell r="Y40">
            <v>29.72721540516045</v>
          </cell>
          <cell r="Z40">
            <v>29.280391542209031</v>
          </cell>
          <cell r="AA40">
            <v>28.833567679257726</v>
          </cell>
          <cell r="AB40">
            <v>28.386743816306307</v>
          </cell>
          <cell r="AC40">
            <v>27.939919953355002</v>
          </cell>
          <cell r="AD40">
            <v>27.613908060931863</v>
          </cell>
          <cell r="AE40">
            <v>27.28789616850861</v>
          </cell>
          <cell r="AF40">
            <v>26.96188427608547</v>
          </cell>
          <cell r="AG40">
            <v>26.635872383662331</v>
          </cell>
          <cell r="AH40">
            <v>26.309860491239078</v>
          </cell>
        </row>
        <row r="41">
          <cell r="B41" t="str">
            <v>Renewable electricity - Cost of electricity - Middle East - USD/MWh</v>
          </cell>
          <cell r="G41">
            <v>37.020316673163961</v>
          </cell>
          <cell r="H41">
            <v>35.386702900434102</v>
          </cell>
          <cell r="I41">
            <v>33.753089127703788</v>
          </cell>
          <cell r="J41">
            <v>32.671487127187447</v>
          </cell>
          <cell r="K41">
            <v>31.589885126671106</v>
          </cell>
          <cell r="L41">
            <v>30.508283126154765</v>
          </cell>
          <cell r="M41">
            <v>29.426681125638424</v>
          </cell>
          <cell r="N41">
            <v>28.345079125122083</v>
          </cell>
          <cell r="O41">
            <v>27.58242507536329</v>
          </cell>
          <cell r="P41">
            <v>26.819771025604723</v>
          </cell>
          <cell r="Q41">
            <v>26.057116975845929</v>
          </cell>
          <cell r="R41">
            <v>25.294462926087363</v>
          </cell>
          <cell r="S41">
            <v>24.531808876328796</v>
          </cell>
          <cell r="T41">
            <v>24.149422155106208</v>
          </cell>
          <cell r="U41">
            <v>23.76703543388362</v>
          </cell>
          <cell r="V41">
            <v>23.384648712661146</v>
          </cell>
          <cell r="W41">
            <v>23.002261991438559</v>
          </cell>
          <cell r="X41">
            <v>22.619875270215971</v>
          </cell>
          <cell r="Y41">
            <v>22.118414831670066</v>
          </cell>
          <cell r="Z41">
            <v>21.616954393124274</v>
          </cell>
          <cell r="AA41">
            <v>21.115493954578369</v>
          </cell>
          <cell r="AB41">
            <v>20.614033516032578</v>
          </cell>
          <cell r="AC41">
            <v>20.112573077486616</v>
          </cell>
          <cell r="AD41">
            <v>19.877873861328055</v>
          </cell>
          <cell r="AE41">
            <v>19.643174645169552</v>
          </cell>
          <cell r="AF41">
            <v>19.408475429010991</v>
          </cell>
          <cell r="AG41">
            <v>19.173776212852431</v>
          </cell>
          <cell r="AH41">
            <v>18.939076996693927</v>
          </cell>
        </row>
        <row r="42">
          <cell r="B42" t="str">
            <v>e-hydrogen (Alkaline) - Energy demand - Electrolysis - Global - MWh/ton fuel</v>
          </cell>
          <cell r="G42">
            <v>50.080974309131491</v>
          </cell>
          <cell r="H42">
            <v>50.040487154565753</v>
          </cell>
          <cell r="I42">
            <v>49.999999999999986</v>
          </cell>
          <cell r="J42">
            <v>49.959676105409542</v>
          </cell>
          <cell r="K42">
            <v>49.919352210819085</v>
          </cell>
          <cell r="L42">
            <v>49.879028316228641</v>
          </cell>
          <cell r="M42">
            <v>49.838704421638198</v>
          </cell>
          <cell r="N42">
            <v>49.79838052704774</v>
          </cell>
          <cell r="O42">
            <v>49.758219234104814</v>
          </cell>
          <cell r="P42">
            <v>49.71805794116186</v>
          </cell>
          <cell r="Q42">
            <v>49.677896648218905</v>
          </cell>
          <cell r="R42">
            <v>49.637735355275964</v>
          </cell>
          <cell r="S42">
            <v>49.59757406233301</v>
          </cell>
          <cell r="T42">
            <v>49.557574715364382</v>
          </cell>
          <cell r="U42">
            <v>49.517575368395754</v>
          </cell>
          <cell r="V42">
            <v>49.477576021427126</v>
          </cell>
          <cell r="W42">
            <v>49.437576674458498</v>
          </cell>
          <cell r="X42">
            <v>49.397577327489842</v>
          </cell>
          <cell r="Y42">
            <v>49.357739273466294</v>
          </cell>
          <cell r="Z42">
            <v>49.317901219442746</v>
          </cell>
          <cell r="AA42">
            <v>49.278063165419212</v>
          </cell>
          <cell r="AB42">
            <v>49.238225111395664</v>
          </cell>
          <cell r="AC42">
            <v>49.198387057372159</v>
          </cell>
          <cell r="AD42">
            <v>49.15870964589773</v>
          </cell>
          <cell r="AE42">
            <v>49.119032234423301</v>
          </cell>
          <cell r="AF42">
            <v>49.079354822948872</v>
          </cell>
          <cell r="AG42">
            <v>49.039677411474443</v>
          </cell>
          <cell r="AH42">
            <v>49.000000000000014</v>
          </cell>
        </row>
        <row r="43">
          <cell r="B43" t="str">
            <v/>
          </cell>
        </row>
        <row r="44">
          <cell r="B44" t="str">
            <v>e-hydrogen (Alkaline) - Feedstock cost - Global - USD/ton fuel</v>
          </cell>
          <cell r="G44">
            <v>13.5</v>
          </cell>
          <cell r="H44">
            <v>13.5</v>
          </cell>
          <cell r="I44">
            <v>13.5</v>
          </cell>
          <cell r="J44">
            <v>13.5</v>
          </cell>
          <cell r="K44">
            <v>13.5</v>
          </cell>
          <cell r="L44">
            <v>13.5</v>
          </cell>
          <cell r="M44">
            <v>13.5</v>
          </cell>
          <cell r="N44">
            <v>13.5</v>
          </cell>
          <cell r="O44">
            <v>13.5</v>
          </cell>
          <cell r="P44">
            <v>13.5</v>
          </cell>
          <cell r="Q44">
            <v>13.5</v>
          </cell>
          <cell r="R44">
            <v>13.5</v>
          </cell>
          <cell r="S44">
            <v>13.5</v>
          </cell>
          <cell r="T44">
            <v>13.5</v>
          </cell>
          <cell r="U44">
            <v>13.5</v>
          </cell>
          <cell r="V44">
            <v>13.5</v>
          </cell>
          <cell r="W44">
            <v>13.5</v>
          </cell>
          <cell r="X44">
            <v>13.5</v>
          </cell>
          <cell r="Y44">
            <v>13.5</v>
          </cell>
          <cell r="Z44">
            <v>13.5</v>
          </cell>
          <cell r="AA44">
            <v>13.5</v>
          </cell>
          <cell r="AB44">
            <v>13.5</v>
          </cell>
          <cell r="AC44">
            <v>13.5</v>
          </cell>
          <cell r="AD44">
            <v>13.5</v>
          </cell>
          <cell r="AE44">
            <v>13.5</v>
          </cell>
          <cell r="AF44">
            <v>13.5</v>
          </cell>
          <cell r="AG44">
            <v>13.5</v>
          </cell>
          <cell r="AH44">
            <v>13.5</v>
          </cell>
        </row>
        <row r="45">
          <cell r="B45" t="str">
            <v>e-hydrogen - Conversion H2O -&gt; H2 - Global - ton H2O/ton H2</v>
          </cell>
          <cell r="G45">
            <v>9</v>
          </cell>
          <cell r="H45">
            <v>9</v>
          </cell>
          <cell r="I45">
            <v>9</v>
          </cell>
          <cell r="J45">
            <v>9</v>
          </cell>
          <cell r="K45">
            <v>9</v>
          </cell>
          <cell r="L45">
            <v>9</v>
          </cell>
          <cell r="M45">
            <v>9</v>
          </cell>
          <cell r="N45">
            <v>9</v>
          </cell>
          <cell r="O45">
            <v>9</v>
          </cell>
          <cell r="P45">
            <v>9</v>
          </cell>
          <cell r="Q45">
            <v>9</v>
          </cell>
          <cell r="R45">
            <v>9</v>
          </cell>
          <cell r="S45">
            <v>9</v>
          </cell>
          <cell r="T45">
            <v>9</v>
          </cell>
          <cell r="U45">
            <v>9</v>
          </cell>
          <cell r="V45">
            <v>9</v>
          </cell>
          <cell r="W45">
            <v>9</v>
          </cell>
          <cell r="X45">
            <v>9</v>
          </cell>
          <cell r="Y45">
            <v>9</v>
          </cell>
          <cell r="Z45">
            <v>9</v>
          </cell>
          <cell r="AA45">
            <v>9</v>
          </cell>
          <cell r="AB45">
            <v>9</v>
          </cell>
          <cell r="AC45">
            <v>9</v>
          </cell>
          <cell r="AD45">
            <v>9</v>
          </cell>
          <cell r="AE45">
            <v>9</v>
          </cell>
          <cell r="AF45">
            <v>9</v>
          </cell>
          <cell r="AG45">
            <v>9</v>
          </cell>
          <cell r="AH45">
            <v>9</v>
          </cell>
        </row>
        <row r="46">
          <cell r="B46" t="str">
            <v>Demineralized water - Cost - Global - USD/ton water</v>
          </cell>
          <cell r="G46">
            <v>1.5</v>
          </cell>
          <cell r="H46">
            <v>1.5</v>
          </cell>
          <cell r="I46">
            <v>1.5</v>
          </cell>
          <cell r="J46">
            <v>1.5</v>
          </cell>
          <cell r="K46">
            <v>1.5</v>
          </cell>
          <cell r="L46">
            <v>1.5</v>
          </cell>
          <cell r="M46">
            <v>1.5</v>
          </cell>
          <cell r="N46">
            <v>1.5</v>
          </cell>
          <cell r="O46">
            <v>1.5</v>
          </cell>
          <cell r="P46">
            <v>1.5</v>
          </cell>
          <cell r="Q46">
            <v>1.5</v>
          </cell>
          <cell r="R46">
            <v>1.5</v>
          </cell>
          <cell r="S46">
            <v>1.5</v>
          </cell>
          <cell r="T46">
            <v>1.5</v>
          </cell>
          <cell r="U46">
            <v>1.5</v>
          </cell>
          <cell r="V46">
            <v>1.5</v>
          </cell>
          <cell r="W46">
            <v>1.5</v>
          </cell>
          <cell r="X46">
            <v>1.5</v>
          </cell>
          <cell r="Y46">
            <v>1.5</v>
          </cell>
          <cell r="Z46">
            <v>1.5</v>
          </cell>
          <cell r="AA46">
            <v>1.5</v>
          </cell>
          <cell r="AB46">
            <v>1.5</v>
          </cell>
          <cell r="AC46">
            <v>1.5</v>
          </cell>
          <cell r="AD46">
            <v>1.5</v>
          </cell>
          <cell r="AE46">
            <v>1.5</v>
          </cell>
          <cell r="AF46">
            <v>1.5</v>
          </cell>
          <cell r="AG46">
            <v>1.5</v>
          </cell>
          <cell r="AH46">
            <v>1.5</v>
          </cell>
        </row>
        <row r="47">
          <cell r="B47" t="str">
            <v/>
          </cell>
        </row>
        <row r="48">
          <cell r="B48" t="str">
            <v>e-hydrogen (PEM) - Item - Region - Unit</v>
          </cell>
          <cell r="G48">
            <v>2023</v>
          </cell>
          <cell r="H48">
            <v>2024</v>
          </cell>
          <cell r="I48">
            <v>2025</v>
          </cell>
          <cell r="J48">
            <v>2026</v>
          </cell>
          <cell r="K48">
            <v>2027</v>
          </cell>
          <cell r="L48">
            <v>2028</v>
          </cell>
          <cell r="M48">
            <v>2029</v>
          </cell>
          <cell r="N48">
            <v>2030</v>
          </cell>
          <cell r="O48">
            <v>2031</v>
          </cell>
          <cell r="P48">
            <v>2032</v>
          </cell>
          <cell r="Q48">
            <v>2033</v>
          </cell>
          <cell r="R48">
            <v>2034</v>
          </cell>
          <cell r="S48">
            <v>2035</v>
          </cell>
          <cell r="T48">
            <v>2036</v>
          </cell>
          <cell r="U48">
            <v>2037</v>
          </cell>
          <cell r="V48">
            <v>2038</v>
          </cell>
          <cell r="W48">
            <v>2039</v>
          </cell>
          <cell r="X48">
            <v>2040</v>
          </cell>
          <cell r="Y48">
            <v>2041</v>
          </cell>
          <cell r="Z48">
            <v>2042</v>
          </cell>
          <cell r="AA48">
            <v>2043</v>
          </cell>
          <cell r="AB48">
            <v>2044</v>
          </cell>
          <cell r="AC48">
            <v>2045</v>
          </cell>
          <cell r="AD48">
            <v>2046</v>
          </cell>
          <cell r="AE48">
            <v>2047</v>
          </cell>
          <cell r="AF48">
            <v>2048</v>
          </cell>
          <cell r="AG48">
            <v>2049</v>
          </cell>
          <cell r="AH48">
            <v>2050</v>
          </cell>
        </row>
        <row r="49">
          <cell r="B49" t="str">
            <v>e-hydrogen (PEM) - Total cost - Africa - USD/ton fuel</v>
          </cell>
          <cell r="G49">
            <v>5441.9495600428263</v>
          </cell>
          <cell r="H49">
            <v>4876.9534882843791</v>
          </cell>
          <cell r="I49">
            <v>4318.0347506045728</v>
          </cell>
          <cell r="J49">
            <v>4085.827866475981</v>
          </cell>
          <cell r="K49">
            <v>3855.2575716558199</v>
          </cell>
          <cell r="L49">
            <v>3626.3238661441083</v>
          </cell>
          <cell r="M49">
            <v>3399.0267499408283</v>
          </cell>
          <cell r="N49">
            <v>3173.3662230460027</v>
          </cell>
          <cell r="O49">
            <v>3064.8196611105536</v>
          </cell>
          <cell r="P49">
            <v>2957.1556050398012</v>
          </cell>
          <cell r="Q49">
            <v>2850.3740548337159</v>
          </cell>
          <cell r="R49">
            <v>2744.4750104923332</v>
          </cell>
          <cell r="S49">
            <v>2639.4584720156513</v>
          </cell>
          <cell r="T49">
            <v>2571.4404649564121</v>
          </cell>
          <cell r="U49">
            <v>2503.8237251337127</v>
          </cell>
          <cell r="V49">
            <v>2436.6082525475422</v>
          </cell>
          <cell r="W49">
            <v>2369.7940471979068</v>
          </cell>
          <cell r="X49">
            <v>2303.3811090848149</v>
          </cell>
          <cell r="Y49">
            <v>2239.4264447338105</v>
          </cell>
          <cell r="Z49">
            <v>2175.870372234484</v>
          </cell>
          <cell r="AA49">
            <v>2112.712891586822</v>
          </cell>
          <cell r="AB49">
            <v>2049.9540027908511</v>
          </cell>
          <cell r="AC49">
            <v>1987.5937058465549</v>
          </cell>
          <cell r="AD49">
            <v>1942.5503511755187</v>
          </cell>
          <cell r="AE49">
            <v>1897.6959886397819</v>
          </cell>
          <cell r="AF49">
            <v>1853.0306182393319</v>
          </cell>
          <cell r="AG49">
            <v>1808.5542399741735</v>
          </cell>
          <cell r="AH49">
            <v>1764.2668538443118</v>
          </cell>
        </row>
        <row r="50">
          <cell r="B50" t="str">
            <v>e-hydrogen (PEM) - Total cost - Americas - USD/ton fuel</v>
          </cell>
          <cell r="G50">
            <v>4055.4480216905413</v>
          </cell>
          <cell r="H50">
            <v>3886.8686079601657</v>
          </cell>
          <cell r="I50">
            <v>3718.9625974171845</v>
          </cell>
          <cell r="J50">
            <v>3530.065661107612</v>
          </cell>
          <cell r="K50">
            <v>3342.2683630386318</v>
          </cell>
          <cell r="L50">
            <v>3155.5707032102619</v>
          </cell>
          <cell r="M50">
            <v>2969.9726816225407</v>
          </cell>
          <cell r="N50">
            <v>2785.4742982753796</v>
          </cell>
          <cell r="O50">
            <v>2706.6982697459357</v>
          </cell>
          <cell r="P50">
            <v>2628.4334333768734</v>
          </cell>
          <cell r="Q50">
            <v>2550.6797891681913</v>
          </cell>
          <cell r="R50">
            <v>2473.4373371198694</v>
          </cell>
          <cell r="S50">
            <v>2396.7060772319192</v>
          </cell>
          <cell r="T50">
            <v>2330.4080300536207</v>
          </cell>
          <cell r="U50">
            <v>2264.5102878865137</v>
          </cell>
          <cell r="V50">
            <v>2199.0128507305953</v>
          </cell>
          <cell r="W50">
            <v>2133.9157185858785</v>
          </cell>
          <cell r="X50">
            <v>2069.2188914523476</v>
          </cell>
          <cell r="Y50">
            <v>2024.5987471904855</v>
          </cell>
          <cell r="Z50">
            <v>1980.1343934565748</v>
          </cell>
          <cell r="AA50">
            <v>1935.8258302506183</v>
          </cell>
          <cell r="AB50">
            <v>1891.6730575726103</v>
          </cell>
          <cell r="AC50">
            <v>1847.6760754225568</v>
          </cell>
          <cell r="AD50">
            <v>1809.0974198645622</v>
          </cell>
          <cell r="AE50">
            <v>1770.6323037114794</v>
          </cell>
          <cell r="AF50">
            <v>1732.2807269633058</v>
          </cell>
          <cell r="AG50">
            <v>1694.0426896200397</v>
          </cell>
          <cell r="AH50">
            <v>1655.9181916816804</v>
          </cell>
        </row>
        <row r="51">
          <cell r="B51" t="str">
            <v>e-hydrogen (PEM) - Total cost - Asia - USD/ton fuel</v>
          </cell>
          <cell r="G51">
            <v>5860.5199271798938</v>
          </cell>
          <cell r="H51">
            <v>5365.5682235634968</v>
          </cell>
          <cell r="I51">
            <v>4875.6747034574983</v>
          </cell>
          <cell r="J51">
            <v>4631.1946452879683</v>
          </cell>
          <cell r="K51">
            <v>4388.4672684804609</v>
          </cell>
          <cell r="L51">
            <v>4147.4925730348823</v>
          </cell>
          <cell r="M51">
            <v>3908.2705589512975</v>
          </cell>
          <cell r="N51">
            <v>3670.8012262297289</v>
          </cell>
          <cell r="O51">
            <v>3539.2680101191204</v>
          </cell>
          <cell r="P51">
            <v>3408.8855953573316</v>
          </cell>
          <cell r="Q51">
            <v>3279.6539819443606</v>
          </cell>
          <cell r="R51">
            <v>3151.5731698801314</v>
          </cell>
          <cell r="S51">
            <v>3024.6431591646929</v>
          </cell>
          <cell r="T51">
            <v>2942.0267493710294</v>
          </cell>
          <cell r="U51">
            <v>2859.9755545578937</v>
          </cell>
          <cell r="V51">
            <v>2778.4895747253022</v>
          </cell>
          <cell r="W51">
            <v>2697.5688098732262</v>
          </cell>
          <cell r="X51">
            <v>2617.2132600017021</v>
          </cell>
          <cell r="Y51">
            <v>2538.4885055675009</v>
          </cell>
          <cell r="Z51">
            <v>2460.3352753197237</v>
          </cell>
          <cell r="AA51">
            <v>2382.7535692583456</v>
          </cell>
          <cell r="AB51">
            <v>2305.743387383392</v>
          </cell>
          <cell r="AC51">
            <v>2229.3047296948407</v>
          </cell>
          <cell r="AD51">
            <v>2177.92754913511</v>
          </cell>
          <cell r="AE51">
            <v>2126.8035566091357</v>
          </cell>
          <cell r="AF51">
            <v>2075.9327521169307</v>
          </cell>
          <cell r="AG51">
            <v>2025.3151356584863</v>
          </cell>
          <cell r="AH51">
            <v>1974.9507072337965</v>
          </cell>
        </row>
        <row r="52">
          <cell r="B52" t="str">
            <v>e-hydrogen (PEM) - Total cost - Europe - USD/ton fuel</v>
          </cell>
          <cell r="G52">
            <v>4800.2556978190951</v>
          </cell>
          <cell r="H52">
            <v>4542.5151861647146</v>
          </cell>
          <cell r="I52">
            <v>4286.62155627628</v>
          </cell>
          <cell r="J52">
            <v>4068.8783968172761</v>
          </cell>
          <cell r="K52">
            <v>3852.5768240566917</v>
          </cell>
          <cell r="L52">
            <v>3637.7168379946015</v>
          </cell>
          <cell r="M52">
            <v>3424.2984386309599</v>
          </cell>
          <cell r="N52">
            <v>3212.3216259657893</v>
          </cell>
          <cell r="O52">
            <v>3125.7169753697913</v>
          </cell>
          <cell r="P52">
            <v>3039.690951703747</v>
          </cell>
          <cell r="Q52">
            <v>2954.2435549675997</v>
          </cell>
          <cell r="R52">
            <v>2869.3747851613434</v>
          </cell>
          <cell r="S52">
            <v>2785.0846422850109</v>
          </cell>
          <cell r="T52">
            <v>2721.0123573862052</v>
          </cell>
          <cell r="U52">
            <v>2657.2738038417247</v>
          </cell>
          <cell r="V52">
            <v>2593.8689816515657</v>
          </cell>
          <cell r="W52">
            <v>2530.7978908157265</v>
          </cell>
          <cell r="X52">
            <v>2468.0605313341916</v>
          </cell>
          <cell r="Y52">
            <v>2406.9103478756715</v>
          </cell>
          <cell r="Z52">
            <v>2346.1050655084978</v>
          </cell>
          <cell r="AA52">
            <v>2285.6446842326823</v>
          </cell>
          <cell r="AB52">
            <v>2225.5292040482132</v>
          </cell>
          <cell r="AC52">
            <v>2165.7586249551059</v>
          </cell>
          <cell r="AD52">
            <v>2115.5507380530253</v>
          </cell>
          <cell r="AE52">
            <v>2065.5859476567648</v>
          </cell>
          <cell r="AF52">
            <v>2015.8642537663368</v>
          </cell>
          <cell r="AG52">
            <v>1966.3856563817321</v>
          </cell>
          <cell r="AH52">
            <v>1917.1501555029452</v>
          </cell>
        </row>
        <row r="53">
          <cell r="B53" t="str">
            <v>e-hydrogen (PEM) - Total cost - Middle East - USD/ton fuel</v>
          </cell>
          <cell r="G53">
            <v>4076.7306209595749</v>
          </cell>
          <cell r="H53">
            <v>3852.5622635131067</v>
          </cell>
          <cell r="I53">
            <v>3629.8418753193096</v>
          </cell>
          <cell r="J53">
            <v>3454.2312318560625</v>
          </cell>
          <cell r="K53">
            <v>3279.5467024995</v>
          </cell>
          <cell r="L53">
            <v>3105.7882872496402</v>
          </cell>
          <cell r="M53">
            <v>2932.9559861064936</v>
          </cell>
          <cell r="N53">
            <v>2761.0497990700278</v>
          </cell>
          <cell r="O53">
            <v>2673.6970170251575</v>
          </cell>
          <cell r="P53">
            <v>2586.9750639980571</v>
          </cell>
          <cell r="Q53">
            <v>2500.8839399886974</v>
          </cell>
          <cell r="R53">
            <v>2415.4236449970867</v>
          </cell>
          <cell r="S53">
            <v>2330.5941790232291</v>
          </cell>
          <cell r="T53">
            <v>2271.6702645801843</v>
          </cell>
          <cell r="U53">
            <v>2213.0518942696626</v>
          </cell>
          <cell r="V53">
            <v>2154.7390680916742</v>
          </cell>
          <cell r="W53">
            <v>2096.7317860462044</v>
          </cell>
          <cell r="X53">
            <v>2039.0300481332556</v>
          </cell>
          <cell r="Y53">
            <v>1977.713437550377</v>
          </cell>
          <cell r="Z53">
            <v>1916.7839017566221</v>
          </cell>
          <cell r="AA53">
            <v>1856.2414407519777</v>
          </cell>
          <cell r="AB53">
            <v>1796.0860545364574</v>
          </cell>
          <cell r="AC53">
            <v>1736.3177431100485</v>
          </cell>
          <cell r="AD53">
            <v>1694.0039053433582</v>
          </cell>
          <cell r="AE53">
            <v>1651.8650751782163</v>
          </cell>
          <cell r="AF53">
            <v>1609.9012526146171</v>
          </cell>
          <cell r="AG53">
            <v>1568.1124376525613</v>
          </cell>
          <cell r="AH53">
            <v>1526.4986302920522</v>
          </cell>
        </row>
        <row r="54">
          <cell r="B54" t="str">
            <v/>
          </cell>
        </row>
        <row r="55">
          <cell r="B55" t="str">
            <v>e-hydrogen (PEM) - CAPEX - Global - USD/ton fuel</v>
          </cell>
          <cell r="G55">
            <v>297.18760822752569</v>
          </cell>
          <cell r="H55">
            <v>280.44311918225526</v>
          </cell>
          <cell r="I55">
            <v>263.69863013698489</v>
          </cell>
          <cell r="J55">
            <v>248.0118067464015</v>
          </cell>
          <cell r="K55">
            <v>232.32498335581815</v>
          </cell>
          <cell r="L55">
            <v>216.63815996523482</v>
          </cell>
          <cell r="M55">
            <v>200.95133657465146</v>
          </cell>
          <cell r="N55">
            <v>185.26451318406811</v>
          </cell>
          <cell r="O55">
            <v>180.64985324929003</v>
          </cell>
          <cell r="P55">
            <v>176.03519331451389</v>
          </cell>
          <cell r="Q55">
            <v>171.42053337973775</v>
          </cell>
          <cell r="R55">
            <v>166.80587344495967</v>
          </cell>
          <cell r="S55">
            <v>162.1912135101816</v>
          </cell>
          <cell r="T55">
            <v>157.84736896262621</v>
          </cell>
          <cell r="U55">
            <v>153.50352441507081</v>
          </cell>
          <cell r="V55">
            <v>149.15967986751542</v>
          </cell>
          <cell r="W55">
            <v>144.81583531996196</v>
          </cell>
          <cell r="X55">
            <v>140.47199077240657</v>
          </cell>
          <cell r="Y55">
            <v>136.38588575102622</v>
          </cell>
          <cell r="Z55">
            <v>132.29978072964587</v>
          </cell>
          <cell r="AA55">
            <v>128.2136757082655</v>
          </cell>
          <cell r="AB55">
            <v>124.12757068688515</v>
          </cell>
          <cell r="AC55">
            <v>120.0414656655048</v>
          </cell>
          <cell r="AD55">
            <v>116.20060023407763</v>
          </cell>
          <cell r="AE55">
            <v>112.35973480265142</v>
          </cell>
          <cell r="AF55">
            <v>108.51886937122423</v>
          </cell>
          <cell r="AG55">
            <v>104.67800393979705</v>
          </cell>
          <cell r="AH55">
            <v>100.83713850837084</v>
          </cell>
        </row>
        <row r="56">
          <cell r="B56" t="str">
            <v>e-hydrogen - Plant lifetime - Global - Years</v>
          </cell>
          <cell r="G56">
            <v>30</v>
          </cell>
          <cell r="H56">
            <v>30</v>
          </cell>
          <cell r="I56">
            <v>30</v>
          </cell>
          <cell r="J56">
            <v>30</v>
          </cell>
          <cell r="K56">
            <v>30</v>
          </cell>
          <cell r="L56">
            <v>30</v>
          </cell>
          <cell r="M56">
            <v>30</v>
          </cell>
          <cell r="N56">
            <v>30</v>
          </cell>
          <cell r="O56">
            <v>30</v>
          </cell>
          <cell r="P56">
            <v>30</v>
          </cell>
          <cell r="Q56">
            <v>30</v>
          </cell>
          <cell r="R56">
            <v>30</v>
          </cell>
          <cell r="S56">
            <v>30</v>
          </cell>
          <cell r="T56">
            <v>30</v>
          </cell>
          <cell r="U56">
            <v>30</v>
          </cell>
          <cell r="V56">
            <v>30</v>
          </cell>
          <cell r="W56">
            <v>30</v>
          </cell>
          <cell r="X56">
            <v>30</v>
          </cell>
          <cell r="Y56">
            <v>30</v>
          </cell>
          <cell r="Z56">
            <v>30</v>
          </cell>
          <cell r="AA56">
            <v>30</v>
          </cell>
          <cell r="AB56">
            <v>30</v>
          </cell>
          <cell r="AC56">
            <v>30</v>
          </cell>
          <cell r="AD56">
            <v>30</v>
          </cell>
          <cell r="AE56">
            <v>30</v>
          </cell>
          <cell r="AF56">
            <v>30</v>
          </cell>
          <cell r="AG56">
            <v>30</v>
          </cell>
          <cell r="AH56">
            <v>30</v>
          </cell>
        </row>
        <row r="57">
          <cell r="B57" t="str">
            <v>e-hydrogen (PEM) - Total CAPEX - Electrolysis - Global - USD/ton fuel capacity</v>
          </cell>
          <cell r="G57">
            <v>8915.6282468257705</v>
          </cell>
          <cell r="H57">
            <v>8413.2935754676582</v>
          </cell>
          <cell r="I57">
            <v>7910.958904109546</v>
          </cell>
          <cell r="J57">
            <v>7440.3542023920454</v>
          </cell>
          <cell r="K57">
            <v>6969.7495006745448</v>
          </cell>
          <cell r="L57">
            <v>6499.1447989570443</v>
          </cell>
          <cell r="M57">
            <v>6028.5400972395437</v>
          </cell>
          <cell r="N57">
            <v>5557.9353955220431</v>
          </cell>
          <cell r="O57">
            <v>5419.4955974787008</v>
          </cell>
          <cell r="P57">
            <v>5281.0557994354167</v>
          </cell>
          <cell r="Q57">
            <v>5142.6160013921326</v>
          </cell>
          <cell r="R57">
            <v>5004.1762033487903</v>
          </cell>
          <cell r="S57">
            <v>4865.736405305448</v>
          </cell>
          <cell r="T57">
            <v>4735.4210688787862</v>
          </cell>
          <cell r="U57">
            <v>4605.1057324521244</v>
          </cell>
          <cell r="V57">
            <v>4474.7903960254625</v>
          </cell>
          <cell r="W57">
            <v>4344.4750595988589</v>
          </cell>
          <cell r="X57">
            <v>4214.1597231721971</v>
          </cell>
          <cell r="Y57">
            <v>4091.5765725307865</v>
          </cell>
          <cell r="Z57">
            <v>3968.9934218893759</v>
          </cell>
          <cell r="AA57">
            <v>3846.4102712479653</v>
          </cell>
          <cell r="AB57">
            <v>3723.8271206065547</v>
          </cell>
          <cell r="AC57">
            <v>3601.2439699651441</v>
          </cell>
          <cell r="AD57">
            <v>3486.0180070223287</v>
          </cell>
          <cell r="AE57">
            <v>3370.7920440795424</v>
          </cell>
          <cell r="AF57">
            <v>3255.566081136727</v>
          </cell>
          <cell r="AG57">
            <v>3140.3401181939116</v>
          </cell>
          <cell r="AH57">
            <v>3025.1141552511253</v>
          </cell>
        </row>
        <row r="58">
          <cell r="B58" t="str">
            <v/>
          </cell>
        </row>
        <row r="59">
          <cell r="B59" t="str">
            <v>e-hydrogen (PEM) - OPEX - Global - USD/ton fuel</v>
          </cell>
          <cell r="G59">
            <v>910.59019561100286</v>
          </cell>
          <cell r="H59">
            <v>850.84304301098746</v>
          </cell>
          <cell r="I59">
            <v>791.09589041095751</v>
          </cell>
          <cell r="J59">
            <v>739.18362051235454</v>
          </cell>
          <cell r="K59">
            <v>687.27135061373701</v>
          </cell>
          <cell r="L59">
            <v>635.35908071511949</v>
          </cell>
          <cell r="M59">
            <v>583.44681081651652</v>
          </cell>
          <cell r="N59">
            <v>531.53454091789899</v>
          </cell>
          <cell r="O59">
            <v>514.23266631403385</v>
          </cell>
          <cell r="P59">
            <v>496.93079171016871</v>
          </cell>
          <cell r="Q59">
            <v>479.62891710631084</v>
          </cell>
          <cell r="R59">
            <v>462.32704250244569</v>
          </cell>
          <cell r="S59">
            <v>445.02516789858055</v>
          </cell>
          <cell r="T59">
            <v>429.74177295655682</v>
          </cell>
          <cell r="U59">
            <v>414.45837801453308</v>
          </cell>
          <cell r="V59">
            <v>399.17498307250935</v>
          </cell>
          <cell r="W59">
            <v>383.89158813048562</v>
          </cell>
          <cell r="X59">
            <v>368.60819318846188</v>
          </cell>
          <cell r="Y59">
            <v>355.13620468719091</v>
          </cell>
          <cell r="Z59">
            <v>341.66421618591994</v>
          </cell>
          <cell r="AA59">
            <v>328.19222768464897</v>
          </cell>
          <cell r="AB59">
            <v>314.720239183378</v>
          </cell>
          <cell r="AC59">
            <v>301.24825068211067</v>
          </cell>
          <cell r="AD59">
            <v>289.40042702970823</v>
          </cell>
          <cell r="AE59">
            <v>277.55260337730215</v>
          </cell>
          <cell r="AF59">
            <v>265.70477972489971</v>
          </cell>
          <cell r="AG59">
            <v>253.85695607249727</v>
          </cell>
          <cell r="AH59">
            <v>242.00913242009119</v>
          </cell>
        </row>
        <row r="60">
          <cell r="B60" t="str">
            <v>e-hydrogen (PEM) - OPEX - Electrolysis - Global - USD/ton fuel/year</v>
          </cell>
          <cell r="G60">
            <v>910.59019561100286</v>
          </cell>
          <cell r="H60">
            <v>850.84304301098746</v>
          </cell>
          <cell r="I60">
            <v>791.09589041095751</v>
          </cell>
          <cell r="J60">
            <v>739.18362051235454</v>
          </cell>
          <cell r="K60">
            <v>687.27135061373701</v>
          </cell>
          <cell r="L60">
            <v>635.35908071511949</v>
          </cell>
          <cell r="M60">
            <v>583.44681081651652</v>
          </cell>
          <cell r="N60">
            <v>531.53454091789899</v>
          </cell>
          <cell r="O60">
            <v>514.23266631403385</v>
          </cell>
          <cell r="P60">
            <v>496.93079171016871</v>
          </cell>
          <cell r="Q60">
            <v>479.62891710631084</v>
          </cell>
          <cell r="R60">
            <v>462.32704250244569</v>
          </cell>
          <cell r="S60">
            <v>445.02516789858055</v>
          </cell>
          <cell r="T60">
            <v>429.74177295655682</v>
          </cell>
          <cell r="U60">
            <v>414.45837801453308</v>
          </cell>
          <cell r="V60">
            <v>399.17498307250935</v>
          </cell>
          <cell r="W60">
            <v>383.89158813048562</v>
          </cell>
          <cell r="X60">
            <v>368.60819318846188</v>
          </cell>
          <cell r="Y60">
            <v>355.13620468719091</v>
          </cell>
          <cell r="Z60">
            <v>341.66421618591994</v>
          </cell>
          <cell r="AA60">
            <v>328.19222768464897</v>
          </cell>
          <cell r="AB60">
            <v>314.720239183378</v>
          </cell>
          <cell r="AC60">
            <v>301.24825068211067</v>
          </cell>
          <cell r="AD60">
            <v>289.40042702970823</v>
          </cell>
          <cell r="AE60">
            <v>277.55260337730215</v>
          </cell>
          <cell r="AF60">
            <v>265.70477972489971</v>
          </cell>
          <cell r="AG60">
            <v>253.85695607249727</v>
          </cell>
          <cell r="AH60">
            <v>242.00913242009119</v>
          </cell>
        </row>
        <row r="61">
          <cell r="B61" t="str">
            <v/>
          </cell>
        </row>
        <row r="62">
          <cell r="B62" t="str">
            <v>e-hydrogen (PEM) - Finance cost - Africa - USD/ton fuel</v>
          </cell>
          <cell r="G62">
            <v>490.35955357541746</v>
          </cell>
          <cell r="H62">
            <v>462.73114665072126</v>
          </cell>
          <cell r="I62">
            <v>435.10273972602511</v>
          </cell>
          <cell r="J62">
            <v>409.21948113156253</v>
          </cell>
          <cell r="K62">
            <v>383.33622253710001</v>
          </cell>
          <cell r="L62">
            <v>357.4529639426375</v>
          </cell>
          <cell r="M62">
            <v>331.56970534817492</v>
          </cell>
          <cell r="N62">
            <v>305.6864467537124</v>
          </cell>
          <cell r="O62">
            <v>298.07225786132858</v>
          </cell>
          <cell r="P62">
            <v>290.45806896894794</v>
          </cell>
          <cell r="Q62">
            <v>282.8438800765673</v>
          </cell>
          <cell r="R62">
            <v>275.22969118418348</v>
          </cell>
          <cell r="S62">
            <v>267.61550229179966</v>
          </cell>
          <cell r="T62">
            <v>260.44815878833327</v>
          </cell>
          <cell r="U62">
            <v>253.28081528486686</v>
          </cell>
          <cell r="V62">
            <v>246.11347178140048</v>
          </cell>
          <cell r="W62">
            <v>238.94612827793728</v>
          </cell>
          <cell r="X62">
            <v>231.77878477447086</v>
          </cell>
          <cell r="Y62">
            <v>225.03671148919329</v>
          </cell>
          <cell r="Z62">
            <v>218.2946382039157</v>
          </cell>
          <cell r="AA62">
            <v>211.55256491863813</v>
          </cell>
          <cell r="AB62">
            <v>204.81049163336053</v>
          </cell>
          <cell r="AC62">
            <v>198.06841834808296</v>
          </cell>
          <cell r="AD62">
            <v>191.73099038622811</v>
          </cell>
          <cell r="AE62">
            <v>185.39356242437486</v>
          </cell>
          <cell r="AF62">
            <v>179.05613446252002</v>
          </cell>
          <cell r="AG62">
            <v>172.71870650066515</v>
          </cell>
          <cell r="AH62">
            <v>166.38127853881193</v>
          </cell>
        </row>
        <row r="63">
          <cell r="B63" t="str">
            <v>e-hydrogen (PEM) - Finance cost - Americas - USD/ton fuel</v>
          </cell>
          <cell r="G63">
            <v>490.35955357541746</v>
          </cell>
          <cell r="H63">
            <v>462.73114665072126</v>
          </cell>
          <cell r="I63">
            <v>435.10273972602511</v>
          </cell>
          <cell r="J63">
            <v>409.21948113156253</v>
          </cell>
          <cell r="K63">
            <v>383.33622253710001</v>
          </cell>
          <cell r="L63">
            <v>357.4529639426375</v>
          </cell>
          <cell r="M63">
            <v>331.56970534817492</v>
          </cell>
          <cell r="N63">
            <v>305.6864467537124</v>
          </cell>
          <cell r="O63">
            <v>298.07225786132858</v>
          </cell>
          <cell r="P63">
            <v>290.45806896894794</v>
          </cell>
          <cell r="Q63">
            <v>282.8438800765673</v>
          </cell>
          <cell r="R63">
            <v>275.22969118418348</v>
          </cell>
          <cell r="S63">
            <v>267.61550229179966</v>
          </cell>
          <cell r="T63">
            <v>260.44815878833327</v>
          </cell>
          <cell r="U63">
            <v>253.28081528486686</v>
          </cell>
          <cell r="V63">
            <v>246.11347178140048</v>
          </cell>
          <cell r="W63">
            <v>238.94612827793728</v>
          </cell>
          <cell r="X63">
            <v>231.77878477447086</v>
          </cell>
          <cell r="Y63">
            <v>225.03671148919329</v>
          </cell>
          <cell r="Z63">
            <v>218.2946382039157</v>
          </cell>
          <cell r="AA63">
            <v>211.55256491863813</v>
          </cell>
          <cell r="AB63">
            <v>204.81049163336053</v>
          </cell>
          <cell r="AC63">
            <v>198.06841834808296</v>
          </cell>
          <cell r="AD63">
            <v>191.73099038622811</v>
          </cell>
          <cell r="AE63">
            <v>185.39356242437486</v>
          </cell>
          <cell r="AF63">
            <v>179.05613446252002</v>
          </cell>
          <cell r="AG63">
            <v>172.71870650066515</v>
          </cell>
          <cell r="AH63">
            <v>166.38127853881193</v>
          </cell>
        </row>
        <row r="64">
          <cell r="B64" t="str">
            <v>e-hydrogen (PEM) - Finance cost - Asia - USD/ton fuel</v>
          </cell>
          <cell r="G64">
            <v>490.35955357541746</v>
          </cell>
          <cell r="H64">
            <v>462.73114665072126</v>
          </cell>
          <cell r="I64">
            <v>435.10273972602511</v>
          </cell>
          <cell r="J64">
            <v>409.21948113156253</v>
          </cell>
          <cell r="K64">
            <v>383.33622253710001</v>
          </cell>
          <cell r="L64">
            <v>357.4529639426375</v>
          </cell>
          <cell r="M64">
            <v>331.56970534817492</v>
          </cell>
          <cell r="N64">
            <v>305.6864467537124</v>
          </cell>
          <cell r="O64">
            <v>298.07225786132858</v>
          </cell>
          <cell r="P64">
            <v>290.45806896894794</v>
          </cell>
          <cell r="Q64">
            <v>282.8438800765673</v>
          </cell>
          <cell r="R64">
            <v>275.22969118418348</v>
          </cell>
          <cell r="S64">
            <v>267.61550229179966</v>
          </cell>
          <cell r="T64">
            <v>260.44815878833327</v>
          </cell>
          <cell r="U64">
            <v>253.28081528486686</v>
          </cell>
          <cell r="V64">
            <v>246.11347178140048</v>
          </cell>
          <cell r="W64">
            <v>238.94612827793728</v>
          </cell>
          <cell r="X64">
            <v>231.77878477447086</v>
          </cell>
          <cell r="Y64">
            <v>225.03671148919329</v>
          </cell>
          <cell r="Z64">
            <v>218.2946382039157</v>
          </cell>
          <cell r="AA64">
            <v>211.55256491863813</v>
          </cell>
          <cell r="AB64">
            <v>204.81049163336053</v>
          </cell>
          <cell r="AC64">
            <v>198.06841834808296</v>
          </cell>
          <cell r="AD64">
            <v>191.73099038622811</v>
          </cell>
          <cell r="AE64">
            <v>185.39356242437486</v>
          </cell>
          <cell r="AF64">
            <v>179.05613446252002</v>
          </cell>
          <cell r="AG64">
            <v>172.71870650066515</v>
          </cell>
          <cell r="AH64">
            <v>166.38127853881193</v>
          </cell>
        </row>
        <row r="65">
          <cell r="B65" t="str">
            <v>e-hydrogen (PEM) - Finance cost - Europe - USD/ton fuel</v>
          </cell>
          <cell r="G65">
            <v>490.35955357541746</v>
          </cell>
          <cell r="H65">
            <v>462.73114665072126</v>
          </cell>
          <cell r="I65">
            <v>435.10273972602511</v>
          </cell>
          <cell r="J65">
            <v>409.21948113156253</v>
          </cell>
          <cell r="K65">
            <v>383.33622253710001</v>
          </cell>
          <cell r="L65">
            <v>357.4529639426375</v>
          </cell>
          <cell r="M65">
            <v>331.56970534817492</v>
          </cell>
          <cell r="N65">
            <v>305.6864467537124</v>
          </cell>
          <cell r="O65">
            <v>298.07225786132858</v>
          </cell>
          <cell r="P65">
            <v>290.45806896894794</v>
          </cell>
          <cell r="Q65">
            <v>282.8438800765673</v>
          </cell>
          <cell r="R65">
            <v>275.22969118418348</v>
          </cell>
          <cell r="S65">
            <v>267.61550229179966</v>
          </cell>
          <cell r="T65">
            <v>260.44815878833327</v>
          </cell>
          <cell r="U65">
            <v>253.28081528486686</v>
          </cell>
          <cell r="V65">
            <v>246.11347178140048</v>
          </cell>
          <cell r="W65">
            <v>238.94612827793728</v>
          </cell>
          <cell r="X65">
            <v>231.77878477447086</v>
          </cell>
          <cell r="Y65">
            <v>225.03671148919329</v>
          </cell>
          <cell r="Z65">
            <v>218.2946382039157</v>
          </cell>
          <cell r="AA65">
            <v>211.55256491863813</v>
          </cell>
          <cell r="AB65">
            <v>204.81049163336053</v>
          </cell>
          <cell r="AC65">
            <v>198.06841834808296</v>
          </cell>
          <cell r="AD65">
            <v>191.73099038622811</v>
          </cell>
          <cell r="AE65">
            <v>185.39356242437486</v>
          </cell>
          <cell r="AF65">
            <v>179.05613446252002</v>
          </cell>
          <cell r="AG65">
            <v>172.71870650066515</v>
          </cell>
          <cell r="AH65">
            <v>166.38127853881193</v>
          </cell>
        </row>
        <row r="66">
          <cell r="B66" t="str">
            <v>e-hydrogen (PEM) - Finance cost - Middle East - USD/ton fuel</v>
          </cell>
          <cell r="G66">
            <v>490.35955357541746</v>
          </cell>
          <cell r="H66">
            <v>462.73114665072126</v>
          </cell>
          <cell r="I66">
            <v>435.10273972602511</v>
          </cell>
          <cell r="J66">
            <v>409.21948113156253</v>
          </cell>
          <cell r="K66">
            <v>383.33622253710001</v>
          </cell>
          <cell r="L66">
            <v>357.4529639426375</v>
          </cell>
          <cell r="M66">
            <v>331.56970534817492</v>
          </cell>
          <cell r="N66">
            <v>305.6864467537124</v>
          </cell>
          <cell r="O66">
            <v>298.07225786132858</v>
          </cell>
          <cell r="P66">
            <v>290.45806896894794</v>
          </cell>
          <cell r="Q66">
            <v>282.8438800765673</v>
          </cell>
          <cell r="R66">
            <v>275.22969118418348</v>
          </cell>
          <cell r="S66">
            <v>267.61550229179966</v>
          </cell>
          <cell r="T66">
            <v>260.44815878833327</v>
          </cell>
          <cell r="U66">
            <v>253.28081528486686</v>
          </cell>
          <cell r="V66">
            <v>246.11347178140048</v>
          </cell>
          <cell r="W66">
            <v>238.94612827793728</v>
          </cell>
          <cell r="X66">
            <v>231.77878477447086</v>
          </cell>
          <cell r="Y66">
            <v>225.03671148919329</v>
          </cell>
          <cell r="Z66">
            <v>218.2946382039157</v>
          </cell>
          <cell r="AA66">
            <v>211.55256491863813</v>
          </cell>
          <cell r="AB66">
            <v>204.81049163336053</v>
          </cell>
          <cell r="AC66">
            <v>198.06841834808296</v>
          </cell>
          <cell r="AD66">
            <v>191.73099038622811</v>
          </cell>
          <cell r="AE66">
            <v>185.39356242437486</v>
          </cell>
          <cell r="AF66">
            <v>179.05613446252002</v>
          </cell>
          <cell r="AG66">
            <v>172.71870650066515</v>
          </cell>
          <cell r="AH66">
            <v>166.38127853881193</v>
          </cell>
        </row>
        <row r="67">
          <cell r="B67" t="str">
            <v>General - Weighted average cost of capital (WACC) - Africa - %</v>
          </cell>
          <cell r="G67">
            <v>5.5000000000000007E-2</v>
          </cell>
          <cell r="H67">
            <v>5.5000000000000007E-2</v>
          </cell>
          <cell r="I67">
            <v>5.5000000000000007E-2</v>
          </cell>
          <cell r="J67">
            <v>5.5000000000000007E-2</v>
          </cell>
          <cell r="K67">
            <v>5.5000000000000007E-2</v>
          </cell>
          <cell r="L67">
            <v>5.5000000000000007E-2</v>
          </cell>
          <cell r="M67">
            <v>5.5000000000000007E-2</v>
          </cell>
          <cell r="N67">
            <v>5.5000000000000007E-2</v>
          </cell>
          <cell r="O67">
            <v>5.5000000000000007E-2</v>
          </cell>
          <cell r="P67">
            <v>5.5000000000000007E-2</v>
          </cell>
          <cell r="Q67">
            <v>5.5000000000000007E-2</v>
          </cell>
          <cell r="R67">
            <v>5.5000000000000007E-2</v>
          </cell>
          <cell r="S67">
            <v>5.5000000000000007E-2</v>
          </cell>
          <cell r="T67">
            <v>5.5000000000000007E-2</v>
          </cell>
          <cell r="U67">
            <v>5.5000000000000007E-2</v>
          </cell>
          <cell r="V67">
            <v>5.5000000000000007E-2</v>
          </cell>
          <cell r="W67">
            <v>5.5000000000000007E-2</v>
          </cell>
          <cell r="X67">
            <v>5.5000000000000007E-2</v>
          </cell>
          <cell r="Y67">
            <v>5.5000000000000007E-2</v>
          </cell>
          <cell r="Z67">
            <v>5.5000000000000007E-2</v>
          </cell>
          <cell r="AA67">
            <v>5.5000000000000007E-2</v>
          </cell>
          <cell r="AB67">
            <v>5.5000000000000007E-2</v>
          </cell>
          <cell r="AC67">
            <v>5.5000000000000007E-2</v>
          </cell>
          <cell r="AD67">
            <v>5.5000000000000007E-2</v>
          </cell>
          <cell r="AE67">
            <v>5.5000000000000007E-2</v>
          </cell>
          <cell r="AF67">
            <v>5.5000000000000007E-2</v>
          </cell>
          <cell r="AG67">
            <v>5.5000000000000007E-2</v>
          </cell>
          <cell r="AH67">
            <v>5.5000000000000007E-2</v>
          </cell>
        </row>
        <row r="68">
          <cell r="B68" t="str">
            <v>General - Weighted average cost of capital (WACC) - Americas - %</v>
          </cell>
          <cell r="G68">
            <v>5.5000000000000007E-2</v>
          </cell>
          <cell r="H68">
            <v>5.5000000000000007E-2</v>
          </cell>
          <cell r="I68">
            <v>5.5000000000000007E-2</v>
          </cell>
          <cell r="J68">
            <v>5.5000000000000007E-2</v>
          </cell>
          <cell r="K68">
            <v>5.5000000000000007E-2</v>
          </cell>
          <cell r="L68">
            <v>5.5000000000000007E-2</v>
          </cell>
          <cell r="M68">
            <v>5.5000000000000007E-2</v>
          </cell>
          <cell r="N68">
            <v>5.5000000000000007E-2</v>
          </cell>
          <cell r="O68">
            <v>5.5000000000000007E-2</v>
          </cell>
          <cell r="P68">
            <v>5.5000000000000007E-2</v>
          </cell>
          <cell r="Q68">
            <v>5.5000000000000007E-2</v>
          </cell>
          <cell r="R68">
            <v>5.5000000000000007E-2</v>
          </cell>
          <cell r="S68">
            <v>5.5000000000000007E-2</v>
          </cell>
          <cell r="T68">
            <v>5.5000000000000007E-2</v>
          </cell>
          <cell r="U68">
            <v>5.5000000000000007E-2</v>
          </cell>
          <cell r="V68">
            <v>5.5000000000000007E-2</v>
          </cell>
          <cell r="W68">
            <v>5.5000000000000007E-2</v>
          </cell>
          <cell r="X68">
            <v>5.5000000000000007E-2</v>
          </cell>
          <cell r="Y68">
            <v>5.5000000000000007E-2</v>
          </cell>
          <cell r="Z68">
            <v>5.5000000000000007E-2</v>
          </cell>
          <cell r="AA68">
            <v>5.5000000000000007E-2</v>
          </cell>
          <cell r="AB68">
            <v>5.5000000000000007E-2</v>
          </cell>
          <cell r="AC68">
            <v>5.5000000000000007E-2</v>
          </cell>
          <cell r="AD68">
            <v>5.5000000000000007E-2</v>
          </cell>
          <cell r="AE68">
            <v>5.5000000000000007E-2</v>
          </cell>
          <cell r="AF68">
            <v>5.5000000000000007E-2</v>
          </cell>
          <cell r="AG68">
            <v>5.5000000000000007E-2</v>
          </cell>
          <cell r="AH68">
            <v>5.5000000000000007E-2</v>
          </cell>
        </row>
        <row r="69">
          <cell r="B69" t="str">
            <v>General - Weighted average cost of capital (WACC) - Asia - %</v>
          </cell>
          <cell r="G69">
            <v>5.5000000000000007E-2</v>
          </cell>
          <cell r="H69">
            <v>5.5000000000000007E-2</v>
          </cell>
          <cell r="I69">
            <v>5.5000000000000007E-2</v>
          </cell>
          <cell r="J69">
            <v>5.5000000000000007E-2</v>
          </cell>
          <cell r="K69">
            <v>5.5000000000000007E-2</v>
          </cell>
          <cell r="L69">
            <v>5.5000000000000007E-2</v>
          </cell>
          <cell r="M69">
            <v>5.5000000000000007E-2</v>
          </cell>
          <cell r="N69">
            <v>5.5000000000000007E-2</v>
          </cell>
          <cell r="O69">
            <v>5.5000000000000007E-2</v>
          </cell>
          <cell r="P69">
            <v>5.5000000000000007E-2</v>
          </cell>
          <cell r="Q69">
            <v>5.5000000000000007E-2</v>
          </cell>
          <cell r="R69">
            <v>5.5000000000000007E-2</v>
          </cell>
          <cell r="S69">
            <v>5.5000000000000007E-2</v>
          </cell>
          <cell r="T69">
            <v>5.5000000000000007E-2</v>
          </cell>
          <cell r="U69">
            <v>5.5000000000000007E-2</v>
          </cell>
          <cell r="V69">
            <v>5.5000000000000007E-2</v>
          </cell>
          <cell r="W69">
            <v>5.5000000000000007E-2</v>
          </cell>
          <cell r="X69">
            <v>5.5000000000000007E-2</v>
          </cell>
          <cell r="Y69">
            <v>5.5000000000000007E-2</v>
          </cell>
          <cell r="Z69">
            <v>5.5000000000000007E-2</v>
          </cell>
          <cell r="AA69">
            <v>5.5000000000000007E-2</v>
          </cell>
          <cell r="AB69">
            <v>5.5000000000000007E-2</v>
          </cell>
          <cell r="AC69">
            <v>5.5000000000000007E-2</v>
          </cell>
          <cell r="AD69">
            <v>5.5000000000000007E-2</v>
          </cell>
          <cell r="AE69">
            <v>5.5000000000000007E-2</v>
          </cell>
          <cell r="AF69">
            <v>5.5000000000000007E-2</v>
          </cell>
          <cell r="AG69">
            <v>5.5000000000000007E-2</v>
          </cell>
          <cell r="AH69">
            <v>5.5000000000000007E-2</v>
          </cell>
        </row>
        <row r="70">
          <cell r="B70" t="str">
            <v>General - Weighted average cost of capital (WACC) - Europe - %</v>
          </cell>
          <cell r="G70">
            <v>5.5000000000000007E-2</v>
          </cell>
          <cell r="H70">
            <v>5.5000000000000007E-2</v>
          </cell>
          <cell r="I70">
            <v>5.5000000000000007E-2</v>
          </cell>
          <cell r="J70">
            <v>5.5000000000000007E-2</v>
          </cell>
          <cell r="K70">
            <v>5.5000000000000007E-2</v>
          </cell>
          <cell r="L70">
            <v>5.5000000000000007E-2</v>
          </cell>
          <cell r="M70">
            <v>5.5000000000000007E-2</v>
          </cell>
          <cell r="N70">
            <v>5.5000000000000007E-2</v>
          </cell>
          <cell r="O70">
            <v>5.5000000000000007E-2</v>
          </cell>
          <cell r="P70">
            <v>5.5000000000000007E-2</v>
          </cell>
          <cell r="Q70">
            <v>5.5000000000000007E-2</v>
          </cell>
          <cell r="R70">
            <v>5.5000000000000007E-2</v>
          </cell>
          <cell r="S70">
            <v>5.5000000000000007E-2</v>
          </cell>
          <cell r="T70">
            <v>5.5000000000000007E-2</v>
          </cell>
          <cell r="U70">
            <v>5.5000000000000007E-2</v>
          </cell>
          <cell r="V70">
            <v>5.5000000000000007E-2</v>
          </cell>
          <cell r="W70">
            <v>5.5000000000000007E-2</v>
          </cell>
          <cell r="X70">
            <v>5.5000000000000007E-2</v>
          </cell>
          <cell r="Y70">
            <v>5.5000000000000007E-2</v>
          </cell>
          <cell r="Z70">
            <v>5.5000000000000007E-2</v>
          </cell>
          <cell r="AA70">
            <v>5.5000000000000007E-2</v>
          </cell>
          <cell r="AB70">
            <v>5.5000000000000007E-2</v>
          </cell>
          <cell r="AC70">
            <v>5.5000000000000007E-2</v>
          </cell>
          <cell r="AD70">
            <v>5.5000000000000007E-2</v>
          </cell>
          <cell r="AE70">
            <v>5.5000000000000007E-2</v>
          </cell>
          <cell r="AF70">
            <v>5.5000000000000007E-2</v>
          </cell>
          <cell r="AG70">
            <v>5.5000000000000007E-2</v>
          </cell>
          <cell r="AH70">
            <v>5.5000000000000007E-2</v>
          </cell>
        </row>
        <row r="71">
          <cell r="B71" t="str">
            <v>General - Weighted average cost of capital (WACC) - Middle East - %</v>
          </cell>
          <cell r="G71">
            <v>5.5000000000000007E-2</v>
          </cell>
          <cell r="H71">
            <v>5.5000000000000007E-2</v>
          </cell>
          <cell r="I71">
            <v>5.5000000000000007E-2</v>
          </cell>
          <cell r="J71">
            <v>5.5000000000000007E-2</v>
          </cell>
          <cell r="K71">
            <v>5.5000000000000007E-2</v>
          </cell>
          <cell r="L71">
            <v>5.5000000000000007E-2</v>
          </cell>
          <cell r="M71">
            <v>5.5000000000000007E-2</v>
          </cell>
          <cell r="N71">
            <v>5.5000000000000007E-2</v>
          </cell>
          <cell r="O71">
            <v>5.5000000000000007E-2</v>
          </cell>
          <cell r="P71">
            <v>5.5000000000000007E-2</v>
          </cell>
          <cell r="Q71">
            <v>5.5000000000000007E-2</v>
          </cell>
          <cell r="R71">
            <v>5.5000000000000007E-2</v>
          </cell>
          <cell r="S71">
            <v>5.5000000000000007E-2</v>
          </cell>
          <cell r="T71">
            <v>5.5000000000000007E-2</v>
          </cell>
          <cell r="U71">
            <v>5.5000000000000007E-2</v>
          </cell>
          <cell r="V71">
            <v>5.5000000000000007E-2</v>
          </cell>
          <cell r="W71">
            <v>5.5000000000000007E-2</v>
          </cell>
          <cell r="X71">
            <v>5.5000000000000007E-2</v>
          </cell>
          <cell r="Y71">
            <v>5.5000000000000007E-2</v>
          </cell>
          <cell r="Z71">
            <v>5.5000000000000007E-2</v>
          </cell>
          <cell r="AA71">
            <v>5.5000000000000007E-2</v>
          </cell>
          <cell r="AB71">
            <v>5.5000000000000007E-2</v>
          </cell>
          <cell r="AC71">
            <v>5.5000000000000007E-2</v>
          </cell>
          <cell r="AD71">
            <v>5.5000000000000007E-2</v>
          </cell>
          <cell r="AE71">
            <v>5.5000000000000007E-2</v>
          </cell>
          <cell r="AF71">
            <v>5.5000000000000007E-2</v>
          </cell>
          <cell r="AG71">
            <v>5.5000000000000007E-2</v>
          </cell>
          <cell r="AH71">
            <v>5.5000000000000007E-2</v>
          </cell>
        </row>
        <row r="72">
          <cell r="B72" t="str">
            <v>e-hydrogen (PEM) - Total CAPEX - Electrolysis - Global - USD/ton fuel capacity</v>
          </cell>
          <cell r="G72">
            <v>8915.6282468257705</v>
          </cell>
          <cell r="H72">
            <v>8413.2935754676582</v>
          </cell>
          <cell r="I72">
            <v>7910.958904109546</v>
          </cell>
          <cell r="J72">
            <v>7440.3542023920454</v>
          </cell>
          <cell r="K72">
            <v>6969.7495006745448</v>
          </cell>
          <cell r="L72">
            <v>6499.1447989570443</v>
          </cell>
          <cell r="M72">
            <v>6028.5400972395437</v>
          </cell>
          <cell r="N72">
            <v>5557.9353955220431</v>
          </cell>
          <cell r="O72">
            <v>5419.4955974787008</v>
          </cell>
          <cell r="P72">
            <v>5281.0557994354167</v>
          </cell>
          <cell r="Q72">
            <v>5142.6160013921326</v>
          </cell>
          <cell r="R72">
            <v>5004.1762033487903</v>
          </cell>
          <cell r="S72">
            <v>4865.736405305448</v>
          </cell>
          <cell r="T72">
            <v>4735.4210688787862</v>
          </cell>
          <cell r="U72">
            <v>4605.1057324521244</v>
          </cell>
          <cell r="V72">
            <v>4474.7903960254625</v>
          </cell>
          <cell r="W72">
            <v>4344.4750595988589</v>
          </cell>
          <cell r="X72">
            <v>4214.1597231721971</v>
          </cell>
          <cell r="Y72">
            <v>4091.5765725307865</v>
          </cell>
          <cell r="Z72">
            <v>3968.9934218893759</v>
          </cell>
          <cell r="AA72">
            <v>3846.4102712479653</v>
          </cell>
          <cell r="AB72">
            <v>3723.8271206065547</v>
          </cell>
          <cell r="AC72">
            <v>3601.2439699651441</v>
          </cell>
          <cell r="AD72">
            <v>3486.0180070223287</v>
          </cell>
          <cell r="AE72">
            <v>3370.7920440795424</v>
          </cell>
          <cell r="AF72">
            <v>3255.566081136727</v>
          </cell>
          <cell r="AG72">
            <v>3140.3401181939116</v>
          </cell>
          <cell r="AH72">
            <v>3025.1141552511253</v>
          </cell>
        </row>
        <row r="73">
          <cell r="B73" t="str">
            <v/>
          </cell>
        </row>
        <row r="74">
          <cell r="B74" t="str">
            <v>e-hydrogen (PEM) - Energy cost - Africa - USD/ton fuel</v>
          </cell>
          <cell r="G74">
            <v>3730.3122026288802</v>
          </cell>
          <cell r="H74">
            <v>3269.4361794404149</v>
          </cell>
          <cell r="I74">
            <v>2814.6374903306055</v>
          </cell>
          <cell r="J74">
            <v>2675.9129580856625</v>
          </cell>
          <cell r="K74">
            <v>2538.8250151491648</v>
          </cell>
          <cell r="L74">
            <v>2403.3736615211164</v>
          </cell>
          <cell r="M74">
            <v>2269.5588972014853</v>
          </cell>
          <cell r="N74">
            <v>2137.380722190323</v>
          </cell>
          <cell r="O74">
            <v>2058.3648836859011</v>
          </cell>
          <cell r="P74">
            <v>1980.2315510461706</v>
          </cell>
          <cell r="Q74">
            <v>1902.9807242711001</v>
          </cell>
          <cell r="R74">
            <v>1826.6124033607446</v>
          </cell>
          <cell r="S74">
            <v>1751.1265883150895</v>
          </cell>
          <cell r="T74">
            <v>1709.9031642488958</v>
          </cell>
          <cell r="U74">
            <v>1669.0810074192418</v>
          </cell>
          <cell r="V74">
            <v>1628.6601178261169</v>
          </cell>
          <cell r="W74">
            <v>1588.640495469522</v>
          </cell>
          <cell r="X74">
            <v>1549.0221403494756</v>
          </cell>
          <cell r="Y74">
            <v>1509.3676428064002</v>
          </cell>
          <cell r="Z74">
            <v>1470.1117371150024</v>
          </cell>
          <cell r="AA74">
            <v>1431.2544232752696</v>
          </cell>
          <cell r="AB74">
            <v>1392.7957012872273</v>
          </cell>
          <cell r="AC74">
            <v>1354.7355711508565</v>
          </cell>
          <cell r="AD74">
            <v>1331.7183335255047</v>
          </cell>
          <cell r="AE74">
            <v>1308.8900880354536</v>
          </cell>
          <cell r="AF74">
            <v>1286.2508346806881</v>
          </cell>
          <cell r="AG74">
            <v>1263.8005734612141</v>
          </cell>
          <cell r="AH74">
            <v>1241.5393043770378</v>
          </cell>
        </row>
        <row r="75">
          <cell r="B75" t="str">
            <v>e-hydrogen (PEM) - Energy cost - Americas - USD/ton fuel</v>
          </cell>
          <cell r="G75">
            <v>2343.8106642765952</v>
          </cell>
          <cell r="H75">
            <v>2279.3512991162015</v>
          </cell>
          <cell r="I75">
            <v>2215.5653371432172</v>
          </cell>
          <cell r="J75">
            <v>2120.1507527172935</v>
          </cell>
          <cell r="K75">
            <v>2025.8358065319769</v>
          </cell>
          <cell r="L75">
            <v>1932.62049858727</v>
          </cell>
          <cell r="M75">
            <v>1840.5048288831977</v>
          </cell>
          <cell r="N75">
            <v>1749.4887974196999</v>
          </cell>
          <cell r="O75">
            <v>1700.2434923212834</v>
          </cell>
          <cell r="P75">
            <v>1651.509379383243</v>
          </cell>
          <cell r="Q75">
            <v>1603.2864586055753</v>
          </cell>
          <cell r="R75">
            <v>1555.5747299882805</v>
          </cell>
          <cell r="S75">
            <v>1508.3741935313576</v>
          </cell>
          <cell r="T75">
            <v>1468.8707293461041</v>
          </cell>
          <cell r="U75">
            <v>1429.7675701720427</v>
          </cell>
          <cell r="V75">
            <v>1391.0647160091701</v>
          </cell>
          <cell r="W75">
            <v>1352.7621668574934</v>
          </cell>
          <cell r="X75">
            <v>1314.8599227170084</v>
          </cell>
          <cell r="Y75">
            <v>1294.5399452630752</v>
          </cell>
          <cell r="Z75">
            <v>1274.3757583370934</v>
          </cell>
          <cell r="AA75">
            <v>1254.3673619390659</v>
          </cell>
          <cell r="AB75">
            <v>1234.5147560689866</v>
          </cell>
          <cell r="AC75">
            <v>1214.8179407268583</v>
          </cell>
          <cell r="AD75">
            <v>1198.2654022145482</v>
          </cell>
          <cell r="AE75">
            <v>1181.826403107151</v>
          </cell>
          <cell r="AF75">
            <v>1165.5009434046617</v>
          </cell>
          <cell r="AG75">
            <v>1149.2890231070803</v>
          </cell>
          <cell r="AH75">
            <v>1133.1906422144064</v>
          </cell>
        </row>
        <row r="76">
          <cell r="B76" t="str">
            <v>e-hydrogen (PEM) - Energy cost - Asia - USD/ton fuel</v>
          </cell>
          <cell r="G76">
            <v>4148.8825697659477</v>
          </cell>
          <cell r="H76">
            <v>3758.0509147195326</v>
          </cell>
          <cell r="I76">
            <v>3372.277443183531</v>
          </cell>
          <cell r="J76">
            <v>3221.2797368976499</v>
          </cell>
          <cell r="K76">
            <v>3072.0347119738053</v>
          </cell>
          <cell r="L76">
            <v>2924.54236841189</v>
          </cell>
          <cell r="M76">
            <v>2778.8027062119545</v>
          </cell>
          <cell r="N76">
            <v>2634.8157253740492</v>
          </cell>
          <cell r="O76">
            <v>2532.8132326944678</v>
          </cell>
          <cell r="P76">
            <v>2431.9615413637011</v>
          </cell>
          <cell r="Q76">
            <v>2332.2606513817445</v>
          </cell>
          <cell r="R76">
            <v>2233.7105627485425</v>
          </cell>
          <cell r="S76">
            <v>2136.3112754641311</v>
          </cell>
          <cell r="T76">
            <v>2080.489448663513</v>
          </cell>
          <cell r="U76">
            <v>2025.2328368434228</v>
          </cell>
          <cell r="V76">
            <v>1970.5414400038767</v>
          </cell>
          <cell r="W76">
            <v>1916.4152581448413</v>
          </cell>
          <cell r="X76">
            <v>1862.8542912663629</v>
          </cell>
          <cell r="Y76">
            <v>1808.4297036400903</v>
          </cell>
          <cell r="Z76">
            <v>1754.5766402002421</v>
          </cell>
          <cell r="AA76">
            <v>1701.2951009467931</v>
          </cell>
          <cell r="AB76">
            <v>1648.5850858797683</v>
          </cell>
          <cell r="AC76">
            <v>1596.4465949991425</v>
          </cell>
          <cell r="AD76">
            <v>1567.0955314850958</v>
          </cell>
          <cell r="AE76">
            <v>1537.9976560048074</v>
          </cell>
          <cell r="AF76">
            <v>1509.1529685582866</v>
          </cell>
          <cell r="AG76">
            <v>1480.5614691455269</v>
          </cell>
          <cell r="AH76">
            <v>1452.2231577665225</v>
          </cell>
        </row>
        <row r="77">
          <cell r="B77" t="str">
            <v>e-hydrogen (PEM) - Energy cost - Europe - USD/ton fuel</v>
          </cell>
          <cell r="G77">
            <v>3088.6183404051494</v>
          </cell>
          <cell r="H77">
            <v>2934.9978773207504</v>
          </cell>
          <cell r="I77">
            <v>2783.2242960023127</v>
          </cell>
          <cell r="J77">
            <v>2658.9634884269576</v>
          </cell>
          <cell r="K77">
            <v>2536.1442675500366</v>
          </cell>
          <cell r="L77">
            <v>2414.7666333716097</v>
          </cell>
          <cell r="M77">
            <v>2294.8305858916169</v>
          </cell>
          <cell r="N77">
            <v>2176.3361251101096</v>
          </cell>
          <cell r="O77">
            <v>2119.2621979451387</v>
          </cell>
          <cell r="P77">
            <v>2062.7668977101166</v>
          </cell>
          <cell r="Q77">
            <v>2006.8502244049839</v>
          </cell>
          <cell r="R77">
            <v>1951.5121780297545</v>
          </cell>
          <cell r="S77">
            <v>1896.7527585844489</v>
          </cell>
          <cell r="T77">
            <v>1859.4750566786888</v>
          </cell>
          <cell r="U77">
            <v>1822.5310861272537</v>
          </cell>
          <cell r="V77">
            <v>1785.9208469301404</v>
          </cell>
          <cell r="W77">
            <v>1749.6443390873419</v>
          </cell>
          <cell r="X77">
            <v>1713.7015625988522</v>
          </cell>
          <cell r="Y77">
            <v>1676.8515459482612</v>
          </cell>
          <cell r="Z77">
            <v>1640.3464303890162</v>
          </cell>
          <cell r="AA77">
            <v>1604.1862159211298</v>
          </cell>
          <cell r="AB77">
            <v>1568.3709025445894</v>
          </cell>
          <cell r="AC77">
            <v>1532.9004902594074</v>
          </cell>
          <cell r="AD77">
            <v>1504.7187204030115</v>
          </cell>
          <cell r="AE77">
            <v>1476.7800470524367</v>
          </cell>
          <cell r="AF77">
            <v>1449.0844702076927</v>
          </cell>
          <cell r="AG77">
            <v>1421.6319898687727</v>
          </cell>
          <cell r="AH77">
            <v>1394.4226060356712</v>
          </cell>
        </row>
        <row r="78">
          <cell r="B78" t="str">
            <v>e-hydrogen (PEM) - Energy cost - Middle East - USD/ton fuel</v>
          </cell>
          <cell r="G78">
            <v>2365.0932635456288</v>
          </cell>
          <cell r="H78">
            <v>2245.0449546691425</v>
          </cell>
          <cell r="I78">
            <v>2126.4446150453423</v>
          </cell>
          <cell r="J78">
            <v>2044.3163234657441</v>
          </cell>
          <cell r="K78">
            <v>1963.1141459928449</v>
          </cell>
          <cell r="L78">
            <v>1882.8380826266482</v>
          </cell>
          <cell r="M78">
            <v>1803.4881333671503</v>
          </cell>
          <cell r="N78">
            <v>1725.0642982143481</v>
          </cell>
          <cell r="O78">
            <v>1667.2422396005049</v>
          </cell>
          <cell r="P78">
            <v>1610.0510100044264</v>
          </cell>
          <cell r="Q78">
            <v>1553.4906094260816</v>
          </cell>
          <cell r="R78">
            <v>1497.5610378654981</v>
          </cell>
          <cell r="S78">
            <v>1442.2622953226673</v>
          </cell>
          <cell r="T78">
            <v>1410.1329638726679</v>
          </cell>
          <cell r="U78">
            <v>1378.3091765551919</v>
          </cell>
          <cell r="V78">
            <v>1346.7909333702487</v>
          </cell>
          <cell r="W78">
            <v>1315.5782343178196</v>
          </cell>
          <cell r="X78">
            <v>1284.6710793979164</v>
          </cell>
          <cell r="Y78">
            <v>1247.6546356229667</v>
          </cell>
          <cell r="Z78">
            <v>1211.0252666371405</v>
          </cell>
          <cell r="AA78">
            <v>1174.7829724404253</v>
          </cell>
          <cell r="AB78">
            <v>1138.9277530328336</v>
          </cell>
          <cell r="AC78">
            <v>1103.45960841435</v>
          </cell>
          <cell r="AD78">
            <v>1083.1718876933442</v>
          </cell>
          <cell r="AE78">
            <v>1063.059174573888</v>
          </cell>
          <cell r="AF78">
            <v>1043.121469055973</v>
          </cell>
          <cell r="AG78">
            <v>1023.3587711396019</v>
          </cell>
          <cell r="AH78">
            <v>1003.7710808247782</v>
          </cell>
        </row>
        <row r="79">
          <cell r="B79" t="str">
            <v>Renewable electricity - Cost of electricity - Africa - USD/MWh</v>
          </cell>
          <cell r="G79">
            <v>58.389806930514169</v>
          </cell>
          <cell r="H79">
            <v>51.533296245659585</v>
          </cell>
          <cell r="I79">
            <v>44.676785560803182</v>
          </cell>
          <cell r="J79">
            <v>42.765424685038852</v>
          </cell>
          <cell r="K79">
            <v>40.854063809274521</v>
          </cell>
          <cell r="L79">
            <v>38.942702933510191</v>
          </cell>
          <cell r="M79">
            <v>37.031342057745405</v>
          </cell>
          <cell r="N79">
            <v>35.119981181981075</v>
          </cell>
          <cell r="O79">
            <v>34.053057098426962</v>
          </cell>
          <cell r="P79">
            <v>32.986133014872848</v>
          </cell>
          <cell r="Q79">
            <v>31.919208931318281</v>
          </cell>
          <cell r="R79">
            <v>30.852284847764167</v>
          </cell>
          <cell r="S79">
            <v>29.785360764210168</v>
          </cell>
          <cell r="T79">
            <v>29.283177129903038</v>
          </cell>
          <cell r="U79">
            <v>28.780993495596022</v>
          </cell>
          <cell r="V79">
            <v>28.278809861288892</v>
          </cell>
          <cell r="W79">
            <v>27.776626226981762</v>
          </cell>
          <cell r="X79">
            <v>27.274442592674859</v>
          </cell>
          <cell r="Y79">
            <v>26.758061649346246</v>
          </cell>
          <cell r="Z79">
            <v>26.241680706017632</v>
          </cell>
          <cell r="AA79">
            <v>25.725299762688792</v>
          </cell>
          <cell r="AB79">
            <v>25.208918819360179</v>
          </cell>
          <cell r="AC79">
            <v>24.692537876031452</v>
          </cell>
          <cell r="AD79">
            <v>24.439084279606391</v>
          </cell>
          <cell r="AE79">
            <v>24.185630683181444</v>
          </cell>
          <cell r="AF79">
            <v>23.932177086756383</v>
          </cell>
          <cell r="AG79">
            <v>23.678723490331322</v>
          </cell>
          <cell r="AH79">
            <v>23.425269893906375</v>
          </cell>
        </row>
        <row r="80">
          <cell r="B80" t="str">
            <v>Renewable electricity - Cost of electricity - Americas - USD/MWh</v>
          </cell>
          <cell r="G80">
            <v>36.687184539767031</v>
          </cell>
          <cell r="H80">
            <v>35.927444151972622</v>
          </cell>
          <cell r="I80">
            <v>35.167703764177986</v>
          </cell>
          <cell r="J80">
            <v>33.883444176422017</v>
          </cell>
          <cell r="K80">
            <v>32.599184588666049</v>
          </cell>
          <cell r="L80">
            <v>31.31492500091008</v>
          </cell>
          <cell r="M80">
            <v>30.030665413154566</v>
          </cell>
          <cell r="N80">
            <v>28.746405825398597</v>
          </cell>
          <cell r="O80">
            <v>28.128389278370832</v>
          </cell>
          <cell r="P80">
            <v>27.510372731343068</v>
          </cell>
          <cell r="Q80">
            <v>26.892356184315304</v>
          </cell>
          <cell r="R80">
            <v>26.27433963728754</v>
          </cell>
          <cell r="S80">
            <v>25.656323090259662</v>
          </cell>
          <cell r="T80">
            <v>25.155343675421591</v>
          </cell>
          <cell r="U80">
            <v>24.65436426058352</v>
          </cell>
          <cell r="V80">
            <v>24.153384845745336</v>
          </cell>
          <cell r="W80">
            <v>23.652405430907265</v>
          </cell>
          <cell r="X80">
            <v>23.151426016069138</v>
          </cell>
          <cell r="Y80">
            <v>22.949597354879643</v>
          </cell>
          <cell r="Z80">
            <v>22.747768693690148</v>
          </cell>
          <cell r="AA80">
            <v>22.54594003250071</v>
          </cell>
          <cell r="AB80">
            <v>22.344111371311214</v>
          </cell>
          <cell r="AC80">
            <v>22.142282710121719</v>
          </cell>
          <cell r="AD80">
            <v>21.990017270793203</v>
          </cell>
          <cell r="AE80">
            <v>21.837751831464743</v>
          </cell>
          <cell r="AF80">
            <v>21.685486392136283</v>
          </cell>
          <cell r="AG80">
            <v>21.533220952807824</v>
          </cell>
          <cell r="AH80">
            <v>21.380955513479364</v>
          </cell>
        </row>
        <row r="81">
          <cell r="B81" t="str">
            <v>Renewable electricity - Cost of electricity - Asia - USD/MWh</v>
          </cell>
          <cell r="G81">
            <v>64.941602489809156</v>
          </cell>
          <cell r="H81">
            <v>59.234907936835953</v>
          </cell>
          <cell r="I81">
            <v>53.528213383865477</v>
          </cell>
          <cell r="J81">
            <v>51.481269434223577</v>
          </cell>
          <cell r="K81">
            <v>49.434325484582587</v>
          </cell>
          <cell r="L81">
            <v>47.387381534940687</v>
          </cell>
          <cell r="M81">
            <v>45.340437585298787</v>
          </cell>
          <cell r="N81">
            <v>43.293493635657796</v>
          </cell>
          <cell r="O81">
            <v>41.902208066311687</v>
          </cell>
          <cell r="P81">
            <v>40.510922496966032</v>
          </cell>
          <cell r="Q81">
            <v>39.119636927620832</v>
          </cell>
          <cell r="R81">
            <v>37.728351358275177</v>
          </cell>
          <cell r="S81">
            <v>36.337065788929522</v>
          </cell>
          <cell r="T81">
            <v>35.629702497725702</v>
          </cell>
          <cell r="U81">
            <v>34.922339206521883</v>
          </cell>
          <cell r="V81">
            <v>34.214975915318291</v>
          </cell>
          <cell r="W81">
            <v>33.507612624114472</v>
          </cell>
          <cell r="X81">
            <v>32.800249332911108</v>
          </cell>
          <cell r="Y81">
            <v>32.059832294097532</v>
          </cell>
          <cell r="Z81">
            <v>31.319415255284184</v>
          </cell>
          <cell r="AA81">
            <v>30.578998216470609</v>
          </cell>
          <cell r="AB81">
            <v>29.838581177657261</v>
          </cell>
          <cell r="AC81">
            <v>29.098164138843686</v>
          </cell>
          <cell r="AD81">
            <v>28.758618698873192</v>
          </cell>
          <cell r="AE81">
            <v>28.419073258902586</v>
          </cell>
          <cell r="AF81">
            <v>28.079527818932092</v>
          </cell>
          <cell r="AG81">
            <v>27.739982378961599</v>
          </cell>
          <cell r="AH81">
            <v>27.400436938990993</v>
          </cell>
        </row>
        <row r="82">
          <cell r="B82" t="str">
            <v>Renewable electricity - Cost of electricity - Europe - USD/MWh</v>
          </cell>
          <cell r="G82">
            <v>48.345505357757247</v>
          </cell>
          <cell r="H82">
            <v>46.261834393182653</v>
          </cell>
          <cell r="I82">
            <v>44.178163428608059</v>
          </cell>
          <cell r="J82">
            <v>42.49454469772445</v>
          </cell>
          <cell r="K82">
            <v>40.810925966840387</v>
          </cell>
          <cell r="L82">
            <v>39.127307235956778</v>
          </cell>
          <cell r="M82">
            <v>37.443688505072714</v>
          </cell>
          <cell r="N82">
            <v>35.760069774189105</v>
          </cell>
          <cell r="O82">
            <v>35.060526539849434</v>
          </cell>
          <cell r="P82">
            <v>34.360983305510445</v>
          </cell>
          <cell r="Q82">
            <v>33.661440071171228</v>
          </cell>
          <cell r="R82">
            <v>32.961896836832011</v>
          </cell>
          <cell r="S82">
            <v>32.262353602493022</v>
          </cell>
          <cell r="T82">
            <v>31.844690735616723</v>
          </cell>
          <cell r="U82">
            <v>31.427027868740538</v>
          </cell>
          <cell r="V82">
            <v>31.009365001864353</v>
          </cell>
          <cell r="W82">
            <v>30.591702134988168</v>
          </cell>
          <cell r="X82">
            <v>30.174039268111756</v>
          </cell>
          <cell r="Y82">
            <v>29.72721540516045</v>
          </cell>
          <cell r="Z82">
            <v>29.280391542209031</v>
          </cell>
          <cell r="AA82">
            <v>28.833567679257726</v>
          </cell>
          <cell r="AB82">
            <v>28.386743816306307</v>
          </cell>
          <cell r="AC82">
            <v>27.939919953355002</v>
          </cell>
          <cell r="AD82">
            <v>27.613908060931863</v>
          </cell>
          <cell r="AE82">
            <v>27.28789616850861</v>
          </cell>
          <cell r="AF82">
            <v>26.96188427608547</v>
          </cell>
          <cell r="AG82">
            <v>26.635872383662331</v>
          </cell>
          <cell r="AH82">
            <v>26.309860491239078</v>
          </cell>
        </row>
        <row r="83">
          <cell r="B83" t="str">
            <v>Renewable electricity - Cost of electricity - Middle East - USD/MWh</v>
          </cell>
          <cell r="G83">
            <v>37.020316673163961</v>
          </cell>
          <cell r="H83">
            <v>35.386702900434102</v>
          </cell>
          <cell r="I83">
            <v>33.753089127703788</v>
          </cell>
          <cell r="J83">
            <v>32.671487127187447</v>
          </cell>
          <cell r="K83">
            <v>31.589885126671106</v>
          </cell>
          <cell r="L83">
            <v>30.508283126154765</v>
          </cell>
          <cell r="M83">
            <v>29.426681125638424</v>
          </cell>
          <cell r="N83">
            <v>28.345079125122083</v>
          </cell>
          <cell r="O83">
            <v>27.58242507536329</v>
          </cell>
          <cell r="P83">
            <v>26.819771025604723</v>
          </cell>
          <cell r="Q83">
            <v>26.057116975845929</v>
          </cell>
          <cell r="R83">
            <v>25.294462926087363</v>
          </cell>
          <cell r="S83">
            <v>24.531808876328796</v>
          </cell>
          <cell r="T83">
            <v>24.149422155106208</v>
          </cell>
          <cell r="U83">
            <v>23.76703543388362</v>
          </cell>
          <cell r="V83">
            <v>23.384648712661146</v>
          </cell>
          <cell r="W83">
            <v>23.002261991438559</v>
          </cell>
          <cell r="X83">
            <v>22.619875270215971</v>
          </cell>
          <cell r="Y83">
            <v>22.118414831670066</v>
          </cell>
          <cell r="Z83">
            <v>21.616954393124274</v>
          </cell>
          <cell r="AA83">
            <v>21.115493954578369</v>
          </cell>
          <cell r="AB83">
            <v>20.614033516032578</v>
          </cell>
          <cell r="AC83">
            <v>20.112573077486616</v>
          </cell>
          <cell r="AD83">
            <v>19.877873861328055</v>
          </cell>
          <cell r="AE83">
            <v>19.643174645169552</v>
          </cell>
          <cell r="AF83">
            <v>19.408475429010991</v>
          </cell>
          <cell r="AG83">
            <v>19.173776212852431</v>
          </cell>
          <cell r="AH83">
            <v>18.939076996693927</v>
          </cell>
        </row>
        <row r="84">
          <cell r="B84" t="str">
            <v>e-hydrogen (PEM) - Energy demand - Electrolysis - Global - MWh/ton fuel</v>
          </cell>
          <cell r="G84">
            <v>63.88635960156671</v>
          </cell>
          <cell r="H84">
            <v>63.443179800783355</v>
          </cell>
          <cell r="I84">
            <v>63.000000000000114</v>
          </cell>
          <cell r="J84">
            <v>62.571878516193237</v>
          </cell>
          <cell r="K84">
            <v>62.143757032386361</v>
          </cell>
          <cell r="L84">
            <v>61.715635548579598</v>
          </cell>
          <cell r="M84">
            <v>61.287514064772836</v>
          </cell>
          <cell r="N84">
            <v>60.859392580965959</v>
          </cell>
          <cell r="O84">
            <v>60.445817764214326</v>
          </cell>
          <cell r="P84">
            <v>60.032242947462805</v>
          </cell>
          <cell r="Q84">
            <v>59.618668130711285</v>
          </cell>
          <cell r="R84">
            <v>59.205093313959765</v>
          </cell>
          <cell r="S84">
            <v>58.791518497208472</v>
          </cell>
          <cell r="T84">
            <v>58.391996082378569</v>
          </cell>
          <cell r="U84">
            <v>57.992473667548666</v>
          </cell>
          <cell r="V84">
            <v>57.592951252718876</v>
          </cell>
          <cell r="W84">
            <v>57.193428837888973</v>
          </cell>
          <cell r="X84">
            <v>56.793906423059184</v>
          </cell>
          <cell r="Y84">
            <v>56.407958939106379</v>
          </cell>
          <cell r="Z84">
            <v>56.022011455153574</v>
          </cell>
          <cell r="AA84">
            <v>55.63606397120077</v>
          </cell>
          <cell r="AB84">
            <v>55.250116487247965</v>
          </cell>
          <cell r="AC84">
            <v>54.86416900329516</v>
          </cell>
          <cell r="AD84">
            <v>54.491335202636037</v>
          </cell>
          <cell r="AE84">
            <v>54.118501401977028</v>
          </cell>
          <cell r="AF84">
            <v>53.745667601318019</v>
          </cell>
          <cell r="AG84">
            <v>53.372833800659009</v>
          </cell>
          <cell r="AH84">
            <v>53</v>
          </cell>
        </row>
        <row r="85">
          <cell r="B85" t="str">
            <v/>
          </cell>
        </row>
        <row r="86">
          <cell r="B86" t="str">
            <v>e-hydrogen (PEM) - Feedstock cost - Global - USD/ton fuel</v>
          </cell>
          <cell r="G86">
            <v>13.5</v>
          </cell>
          <cell r="H86">
            <v>13.5</v>
          </cell>
          <cell r="I86">
            <v>13.5</v>
          </cell>
          <cell r="J86">
            <v>13.5</v>
          </cell>
          <cell r="K86">
            <v>13.5</v>
          </cell>
          <cell r="L86">
            <v>13.5</v>
          </cell>
          <cell r="M86">
            <v>13.5</v>
          </cell>
          <cell r="N86">
            <v>13.5</v>
          </cell>
          <cell r="O86">
            <v>13.5</v>
          </cell>
          <cell r="P86">
            <v>13.5</v>
          </cell>
          <cell r="Q86">
            <v>13.5</v>
          </cell>
          <cell r="R86">
            <v>13.5</v>
          </cell>
          <cell r="S86">
            <v>13.5</v>
          </cell>
          <cell r="T86">
            <v>13.5</v>
          </cell>
          <cell r="U86">
            <v>13.5</v>
          </cell>
          <cell r="V86">
            <v>13.5</v>
          </cell>
          <cell r="W86">
            <v>13.5</v>
          </cell>
          <cell r="X86">
            <v>13.5</v>
          </cell>
          <cell r="Y86">
            <v>13.5</v>
          </cell>
          <cell r="Z86">
            <v>13.5</v>
          </cell>
          <cell r="AA86">
            <v>13.5</v>
          </cell>
          <cell r="AB86">
            <v>13.5</v>
          </cell>
          <cell r="AC86">
            <v>13.5</v>
          </cell>
          <cell r="AD86">
            <v>13.5</v>
          </cell>
          <cell r="AE86">
            <v>13.5</v>
          </cell>
          <cell r="AF86">
            <v>13.5</v>
          </cell>
          <cell r="AG86">
            <v>13.5</v>
          </cell>
          <cell r="AH86">
            <v>13.5</v>
          </cell>
        </row>
        <row r="87">
          <cell r="B87" t="str">
            <v>e-hydrogen - Conversion H2O -&gt; H2 - Global - ton H2O/ton H2</v>
          </cell>
          <cell r="G87">
            <v>9</v>
          </cell>
          <cell r="H87">
            <v>9</v>
          </cell>
          <cell r="I87">
            <v>9</v>
          </cell>
          <cell r="J87">
            <v>9</v>
          </cell>
          <cell r="K87">
            <v>9</v>
          </cell>
          <cell r="L87">
            <v>9</v>
          </cell>
          <cell r="M87">
            <v>9</v>
          </cell>
          <cell r="N87">
            <v>9</v>
          </cell>
          <cell r="O87">
            <v>9</v>
          </cell>
          <cell r="P87">
            <v>9</v>
          </cell>
          <cell r="Q87">
            <v>9</v>
          </cell>
          <cell r="R87">
            <v>9</v>
          </cell>
          <cell r="S87">
            <v>9</v>
          </cell>
          <cell r="T87">
            <v>9</v>
          </cell>
          <cell r="U87">
            <v>9</v>
          </cell>
          <cell r="V87">
            <v>9</v>
          </cell>
          <cell r="W87">
            <v>9</v>
          </cell>
          <cell r="X87">
            <v>9</v>
          </cell>
          <cell r="Y87">
            <v>9</v>
          </cell>
          <cell r="Z87">
            <v>9</v>
          </cell>
          <cell r="AA87">
            <v>9</v>
          </cell>
          <cell r="AB87">
            <v>9</v>
          </cell>
          <cell r="AC87">
            <v>9</v>
          </cell>
          <cell r="AD87">
            <v>9</v>
          </cell>
          <cell r="AE87">
            <v>9</v>
          </cell>
          <cell r="AF87">
            <v>9</v>
          </cell>
          <cell r="AG87">
            <v>9</v>
          </cell>
          <cell r="AH87">
            <v>9</v>
          </cell>
        </row>
        <row r="88">
          <cell r="B88" t="str">
            <v>Demineralized water - Cost - Global - USD/ton water</v>
          </cell>
          <cell r="G88">
            <v>1.5</v>
          </cell>
          <cell r="H88">
            <v>1.5</v>
          </cell>
          <cell r="I88">
            <v>1.5</v>
          </cell>
          <cell r="J88">
            <v>1.5</v>
          </cell>
          <cell r="K88">
            <v>1.5</v>
          </cell>
          <cell r="L88">
            <v>1.5</v>
          </cell>
          <cell r="M88">
            <v>1.5</v>
          </cell>
          <cell r="N88">
            <v>1.5</v>
          </cell>
          <cell r="O88">
            <v>1.5</v>
          </cell>
          <cell r="P88">
            <v>1.5</v>
          </cell>
          <cell r="Q88">
            <v>1.5</v>
          </cell>
          <cell r="R88">
            <v>1.5</v>
          </cell>
          <cell r="S88">
            <v>1.5</v>
          </cell>
          <cell r="T88">
            <v>1.5</v>
          </cell>
          <cell r="U88">
            <v>1.5</v>
          </cell>
          <cell r="V88">
            <v>1.5</v>
          </cell>
          <cell r="W88">
            <v>1.5</v>
          </cell>
          <cell r="X88">
            <v>1.5</v>
          </cell>
          <cell r="Y88">
            <v>1.5</v>
          </cell>
          <cell r="Z88">
            <v>1.5</v>
          </cell>
          <cell r="AA88">
            <v>1.5</v>
          </cell>
          <cell r="AB88">
            <v>1.5</v>
          </cell>
          <cell r="AC88">
            <v>1.5</v>
          </cell>
          <cell r="AD88">
            <v>1.5</v>
          </cell>
          <cell r="AE88">
            <v>1.5</v>
          </cell>
          <cell r="AF88">
            <v>1.5</v>
          </cell>
          <cell r="AG88">
            <v>1.5</v>
          </cell>
          <cell r="AH88">
            <v>1.5</v>
          </cell>
        </row>
        <row r="89">
          <cell r="B89" t="str">
            <v/>
          </cell>
        </row>
        <row r="90">
          <cell r="B90" t="str">
            <v>e-hydrogen (Solid oxide) - Item - Region - Unit</v>
          </cell>
          <cell r="G90">
            <v>2023</v>
          </cell>
          <cell r="H90">
            <v>2024</v>
          </cell>
          <cell r="I90">
            <v>2025</v>
          </cell>
          <cell r="J90">
            <v>2026</v>
          </cell>
          <cell r="K90">
            <v>2027</v>
          </cell>
          <cell r="L90">
            <v>2028</v>
          </cell>
          <cell r="M90">
            <v>2029</v>
          </cell>
          <cell r="N90">
            <v>2030</v>
          </cell>
          <cell r="O90">
            <v>2031</v>
          </cell>
          <cell r="P90">
            <v>2032</v>
          </cell>
          <cell r="Q90">
            <v>2033</v>
          </cell>
          <cell r="R90">
            <v>2034</v>
          </cell>
          <cell r="S90">
            <v>2035</v>
          </cell>
          <cell r="T90">
            <v>2036</v>
          </cell>
          <cell r="U90">
            <v>2037</v>
          </cell>
          <cell r="V90">
            <v>2038</v>
          </cell>
          <cell r="W90">
            <v>2039</v>
          </cell>
          <cell r="X90">
            <v>2040</v>
          </cell>
          <cell r="Y90">
            <v>2041</v>
          </cell>
          <cell r="Z90">
            <v>2042</v>
          </cell>
          <cell r="AA90">
            <v>2043</v>
          </cell>
          <cell r="AB90">
            <v>2044</v>
          </cell>
          <cell r="AC90">
            <v>2045</v>
          </cell>
          <cell r="AD90">
            <v>2046</v>
          </cell>
          <cell r="AE90">
            <v>2047</v>
          </cell>
          <cell r="AF90">
            <v>2048</v>
          </cell>
          <cell r="AG90">
            <v>2049</v>
          </cell>
          <cell r="AH90">
            <v>2050</v>
          </cell>
        </row>
        <row r="91">
          <cell r="B91" t="str">
            <v>e-hydrogen (Solid oxide) - Total cost - Africa - USD/ton fuel</v>
          </cell>
          <cell r="G91">
            <v>5799.1603343309234</v>
          </cell>
          <cell r="H91">
            <v>5307.0080374213212</v>
          </cell>
          <cell r="I91">
            <v>4817.1781080543278</v>
          </cell>
          <cell r="J91">
            <v>4581.1863314139391</v>
          </cell>
          <cell r="K91">
            <v>4345.829727659906</v>
          </cell>
          <cell r="L91">
            <v>4111.1082967922512</v>
          </cell>
          <cell r="M91">
            <v>3877.0220388109883</v>
          </cell>
          <cell r="N91">
            <v>3643.5709537160983</v>
          </cell>
          <cell r="O91">
            <v>3481.6771233712097</v>
          </cell>
          <cell r="P91">
            <v>3320.1311528243759</v>
          </cell>
          <cell r="Q91">
            <v>3158.9330420756269</v>
          </cell>
          <cell r="R91">
            <v>2998.0827911249789</v>
          </cell>
          <cell r="S91">
            <v>2837.5803999723694</v>
          </cell>
          <cell r="T91">
            <v>2720.8039133667908</v>
          </cell>
          <cell r="U91">
            <v>2604.1880671476874</v>
          </cell>
          <cell r="V91">
            <v>2487.7328613150785</v>
          </cell>
          <cell r="W91">
            <v>2371.4382958689457</v>
          </cell>
          <cell r="X91">
            <v>2255.3043708093101</v>
          </cell>
          <cell r="Y91">
            <v>2153.9460873842813</v>
          </cell>
          <cell r="Z91">
            <v>2052.7498669519464</v>
          </cell>
          <cell r="AA91">
            <v>1951.7157095123466</v>
          </cell>
          <cell r="AB91">
            <v>1850.843615065462</v>
          </cell>
          <cell r="AC91">
            <v>1750.1335836112899</v>
          </cell>
          <cell r="AD91">
            <v>1672.0925139995716</v>
          </cell>
          <cell r="AE91">
            <v>1594.1294873184102</v>
          </cell>
          <cell r="AF91">
            <v>1516.2445035677965</v>
          </cell>
          <cell r="AG91">
            <v>1438.437562747735</v>
          </cell>
          <cell r="AH91">
            <v>1360.7086648582303</v>
          </cell>
        </row>
        <row r="92">
          <cell r="B92" t="str">
            <v>e-hydrogen (Solid oxide) - Total cost - Americas - USD/ton fuel</v>
          </cell>
          <cell r="G92">
            <v>4836.8940576789191</v>
          </cell>
          <cell r="H92">
            <v>4617.7076175735292</v>
          </cell>
          <cell r="I92">
            <v>4398.7785090028192</v>
          </cell>
          <cell r="J92">
            <v>4191.8549943806065</v>
          </cell>
          <cell r="K92">
            <v>3985.3582578093155</v>
          </cell>
          <cell r="L92">
            <v>3779.2882992889708</v>
          </cell>
          <cell r="M92">
            <v>3573.6451188196243</v>
          </cell>
          <cell r="N92">
            <v>3368.4287164011785</v>
          </cell>
          <cell r="O92">
            <v>3226.8797104691148</v>
          </cell>
          <cell r="P92">
            <v>3085.5322025766482</v>
          </cell>
          <cell r="Q92">
            <v>2944.3861927238286</v>
          </cell>
          <cell r="R92">
            <v>2803.4416809106324</v>
          </cell>
          <cell r="S92">
            <v>2662.6986671370087</v>
          </cell>
          <cell r="T92">
            <v>2546.6333976123074</v>
          </cell>
          <cell r="U92">
            <v>2430.7283832638318</v>
          </cell>
          <cell r="V92">
            <v>2314.9836240916047</v>
          </cell>
          <cell r="W92">
            <v>2199.3991200956143</v>
          </cell>
          <cell r="X92">
            <v>2083.9748712758633</v>
          </cell>
          <cell r="Y92">
            <v>1996.2852522746821</v>
          </cell>
          <cell r="Z92">
            <v>1908.6589759612166</v>
          </cell>
          <cell r="AA92">
            <v>1821.09604233552</v>
          </cell>
          <cell r="AB92">
            <v>1733.5964513975482</v>
          </cell>
          <cell r="AC92">
            <v>1646.1602031473153</v>
          </cell>
          <cell r="AD92">
            <v>1572.6216098997188</v>
          </cell>
          <cell r="AE92">
            <v>1499.1299019253056</v>
          </cell>
          <cell r="AF92">
            <v>1425.685079224073</v>
          </cell>
          <cell r="AG92">
            <v>1352.2871417960212</v>
          </cell>
          <cell r="AH92">
            <v>1278.9360896411499</v>
          </cell>
        </row>
        <row r="93">
          <cell r="B93" t="str">
            <v>e-hydrogen (Solid oxide) - Total cost - Asia - USD/ton fuel</v>
          </cell>
          <cell r="G93">
            <v>6089.6584964754147</v>
          </cell>
          <cell r="H93">
            <v>5647.1832576119614</v>
          </cell>
          <cell r="I93">
            <v>5206.6409322690688</v>
          </cell>
          <cell r="J93">
            <v>4963.235299691115</v>
          </cell>
          <cell r="K93">
            <v>4720.5098962175998</v>
          </cell>
          <cell r="L93">
            <v>4478.4647218484679</v>
          </cell>
          <cell r="M93">
            <v>4237.0997765837901</v>
          </cell>
          <cell r="N93">
            <v>3996.415060423551</v>
          </cell>
          <cell r="O93">
            <v>3819.2392316340256</v>
          </cell>
          <cell r="P93">
            <v>3642.5170174218401</v>
          </cell>
          <cell r="Q93">
            <v>3466.2484177870456</v>
          </cell>
          <cell r="R93">
            <v>3290.4334327295787</v>
          </cell>
          <cell r="S93">
            <v>3115.0720622494123</v>
          </cell>
          <cell r="T93">
            <v>2988.5902978592458</v>
          </cell>
          <cell r="U93">
            <v>2862.3348074945816</v>
          </cell>
          <cell r="V93">
            <v>2736.3055911554593</v>
          </cell>
          <cell r="W93">
            <v>2610.5026488418362</v>
          </cell>
          <cell r="X93">
            <v>2484.9259805537522</v>
          </cell>
          <cell r="Y93">
            <v>2373.4260464390409</v>
          </cell>
          <cell r="Z93">
            <v>2262.1584876718571</v>
          </cell>
          <cell r="AA93">
            <v>2151.1233042522326</v>
          </cell>
          <cell r="AB93">
            <v>2040.3204961801468</v>
          </cell>
          <cell r="AC93">
            <v>1929.7500634555925</v>
          </cell>
          <cell r="AD93">
            <v>1847.5340157750238</v>
          </cell>
          <cell r="AE93">
            <v>1765.422520255338</v>
          </cell>
          <cell r="AF93">
            <v>1683.4155768965443</v>
          </cell>
          <cell r="AG93">
            <v>1601.5131856986382</v>
          </cell>
          <cell r="AH93">
            <v>1519.7153466616151</v>
          </cell>
        </row>
        <row r="94">
          <cell r="B94" t="str">
            <v>e-hydrogen (Solid oxide) - Total cost - Europe - USD/ton fuel</v>
          </cell>
          <cell r="G94">
            <v>5353.8089614891123</v>
          </cell>
          <cell r="H94">
            <v>5074.1709679482683</v>
          </cell>
          <cell r="I94">
            <v>4795.2387342377424</v>
          </cell>
          <cell r="J94">
            <v>4569.3126206425213</v>
          </cell>
          <cell r="K94">
            <v>4343.9459979222738</v>
          </cell>
          <cell r="L94">
            <v>4119.1388660770654</v>
          </cell>
          <cell r="M94">
            <v>3894.8912251068868</v>
          </cell>
          <cell r="N94">
            <v>3671.2030750117206</v>
          </cell>
          <cell r="O94">
            <v>3525.004549490086</v>
          </cell>
          <cell r="P94">
            <v>3379.0341029592655</v>
          </cell>
          <cell r="Q94">
            <v>3233.2917354192696</v>
          </cell>
          <cell r="R94">
            <v>3087.7774468700854</v>
          </cell>
          <cell r="S94">
            <v>2942.491237311674</v>
          </cell>
          <cell r="T94">
            <v>2828.8848596401731</v>
          </cell>
          <cell r="U94">
            <v>2715.4120855347123</v>
          </cell>
          <cell r="V94">
            <v>2602.0729149953163</v>
          </cell>
          <cell r="W94">
            <v>2488.8673480219622</v>
          </cell>
          <cell r="X94">
            <v>2375.7953846146511</v>
          </cell>
          <cell r="Y94">
            <v>2276.8615789094638</v>
          </cell>
          <cell r="Z94">
            <v>2178.0680061337989</v>
          </cell>
          <cell r="AA94">
            <v>2079.4146662877174</v>
          </cell>
          <cell r="AB94">
            <v>1980.9015593711702</v>
          </cell>
          <cell r="AC94">
            <v>1882.5286853841781</v>
          </cell>
          <cell r="AD94">
            <v>1801.0406361823102</v>
          </cell>
          <cell r="AE94">
            <v>1719.6529719181087</v>
          </cell>
          <cell r="AF94">
            <v>1638.3656925915825</v>
          </cell>
          <cell r="AG94">
            <v>1557.1787982027274</v>
          </cell>
          <cell r="AH94">
            <v>1476.0922887515385</v>
          </cell>
        </row>
        <row r="95">
          <cell r="B95" t="str">
            <v>e-hydrogen (Solid oxide) - Total cost - Middle East - USD/ton fuel</v>
          </cell>
          <cell r="G95">
            <v>4851.6647066754049</v>
          </cell>
          <cell r="H95">
            <v>4593.8234253181581</v>
          </cell>
          <cell r="I95">
            <v>4336.5354649979545</v>
          </cell>
          <cell r="J95">
            <v>4138.7302596496866</v>
          </cell>
          <cell r="K95">
            <v>3941.2844863025884</v>
          </cell>
          <cell r="L95">
            <v>3744.1981449566842</v>
          </cell>
          <cell r="M95">
            <v>3547.4712356120053</v>
          </cell>
          <cell r="N95">
            <v>3351.1037582684949</v>
          </cell>
          <cell r="O95">
            <v>3203.3998681068879</v>
          </cell>
          <cell r="P95">
            <v>3055.9446335786374</v>
          </cell>
          <cell r="Q95">
            <v>2908.7380546837726</v>
          </cell>
          <cell r="R95">
            <v>2761.7801314222916</v>
          </cell>
          <cell r="S95">
            <v>2615.0708637941366</v>
          </cell>
          <cell r="T95">
            <v>2504.1893717246703</v>
          </cell>
          <cell r="U95">
            <v>2393.4301989553178</v>
          </cell>
          <cell r="V95">
            <v>2282.7933454861122</v>
          </cell>
          <cell r="W95">
            <v>2172.2788113170213</v>
          </cell>
          <cell r="X95">
            <v>2061.8865964480606</v>
          </cell>
          <cell r="Y95">
            <v>1961.8763880697261</v>
          </cell>
          <cell r="Z95">
            <v>1862.0235599751536</v>
          </cell>
          <cell r="AA95">
            <v>1762.3281121643845</v>
          </cell>
          <cell r="AB95">
            <v>1662.7900446373897</v>
          </cell>
          <cell r="AC95">
            <v>1563.4093573941677</v>
          </cell>
          <cell r="AD95">
            <v>1486.8351394715962</v>
          </cell>
          <cell r="AE95">
            <v>1410.3331896678687</v>
          </cell>
          <cell r="AF95">
            <v>1333.9035079829807</v>
          </cell>
          <cell r="AG95">
            <v>1257.5460944169345</v>
          </cell>
          <cell r="AH95">
            <v>1181.2609489697325</v>
          </cell>
        </row>
        <row r="96">
          <cell r="B96" t="str">
            <v/>
          </cell>
        </row>
        <row r="97">
          <cell r="B97" t="str">
            <v>e-hydrogen (Solid oxide) - CAPEX - Global - USD/ton fuel</v>
          </cell>
          <cell r="G97">
            <v>540.27962097364173</v>
          </cell>
          <cell r="H97">
            <v>521.28136299823723</v>
          </cell>
          <cell r="I97">
            <v>502.28310502283273</v>
          </cell>
          <cell r="J97">
            <v>483.95969142305353</v>
          </cell>
          <cell r="K97">
            <v>465.63627782327433</v>
          </cell>
          <cell r="L97">
            <v>447.31286422349513</v>
          </cell>
          <cell r="M97">
            <v>428.98945062371592</v>
          </cell>
          <cell r="N97">
            <v>410.66603702393672</v>
          </cell>
          <cell r="O97">
            <v>394.61040491563421</v>
          </cell>
          <cell r="P97">
            <v>378.55477280733561</v>
          </cell>
          <cell r="Q97">
            <v>362.49914069903701</v>
          </cell>
          <cell r="R97">
            <v>346.44350859074234</v>
          </cell>
          <cell r="S97">
            <v>330.38787648244374</v>
          </cell>
          <cell r="T97">
            <v>314.90927193805885</v>
          </cell>
          <cell r="U97">
            <v>299.43066739367009</v>
          </cell>
          <cell r="V97">
            <v>283.95206284928133</v>
          </cell>
          <cell r="W97">
            <v>268.4734583048965</v>
          </cell>
          <cell r="X97">
            <v>252.99485376050774</v>
          </cell>
          <cell r="Y97">
            <v>238.07721049593141</v>
          </cell>
          <cell r="Z97">
            <v>223.15956723135119</v>
          </cell>
          <cell r="AA97">
            <v>208.24192396677486</v>
          </cell>
          <cell r="AB97">
            <v>193.32428070219854</v>
          </cell>
          <cell r="AC97">
            <v>178.40663743761834</v>
          </cell>
          <cell r="AD97">
            <v>164.03429016318404</v>
          </cell>
          <cell r="AE97">
            <v>149.66194288874976</v>
          </cell>
          <cell r="AF97">
            <v>135.28959561431549</v>
          </cell>
          <cell r="AG97">
            <v>120.91724833988118</v>
          </cell>
          <cell r="AH97">
            <v>106.54490106544691</v>
          </cell>
        </row>
        <row r="98">
          <cell r="B98" t="str">
            <v>e-hydrogen - Plant lifetime - Global - Years</v>
          </cell>
          <cell r="G98">
            <v>30</v>
          </cell>
          <cell r="H98">
            <v>30</v>
          </cell>
          <cell r="I98">
            <v>30</v>
          </cell>
          <cell r="J98">
            <v>30</v>
          </cell>
          <cell r="K98">
            <v>30</v>
          </cell>
          <cell r="L98">
            <v>30</v>
          </cell>
          <cell r="M98">
            <v>30</v>
          </cell>
          <cell r="N98">
            <v>30</v>
          </cell>
          <cell r="O98">
            <v>30</v>
          </cell>
          <cell r="P98">
            <v>30</v>
          </cell>
          <cell r="Q98">
            <v>30</v>
          </cell>
          <cell r="R98">
            <v>30</v>
          </cell>
          <cell r="S98">
            <v>30</v>
          </cell>
          <cell r="T98">
            <v>30</v>
          </cell>
          <cell r="U98">
            <v>30</v>
          </cell>
          <cell r="V98">
            <v>30</v>
          </cell>
          <cell r="W98">
            <v>30</v>
          </cell>
          <cell r="X98">
            <v>30</v>
          </cell>
          <cell r="Y98">
            <v>30</v>
          </cell>
          <cell r="Z98">
            <v>30</v>
          </cell>
          <cell r="AA98">
            <v>30</v>
          </cell>
          <cell r="AB98">
            <v>30</v>
          </cell>
          <cell r="AC98">
            <v>30</v>
          </cell>
          <cell r="AD98">
            <v>30</v>
          </cell>
          <cell r="AE98">
            <v>30</v>
          </cell>
          <cell r="AF98">
            <v>30</v>
          </cell>
          <cell r="AG98">
            <v>30</v>
          </cell>
          <cell r="AH98">
            <v>30</v>
          </cell>
        </row>
        <row r="99">
          <cell r="B99" t="str">
            <v>e-hydrogen (Solid oxide) - Total CAPEX - Electrolysis - Global - USD/ton fuel capacity</v>
          </cell>
          <cell r="G99">
            <v>16208.38862920925</v>
          </cell>
          <cell r="H99">
            <v>15638.440889947116</v>
          </cell>
          <cell r="I99">
            <v>15068.493150684983</v>
          </cell>
          <cell r="J99">
            <v>14518.790742691606</v>
          </cell>
          <cell r="K99">
            <v>13969.08833469823</v>
          </cell>
          <cell r="L99">
            <v>13419.385926704854</v>
          </cell>
          <cell r="M99">
            <v>12869.683518711478</v>
          </cell>
          <cell r="N99">
            <v>12319.981110718101</v>
          </cell>
          <cell r="O99">
            <v>11838.312147469027</v>
          </cell>
          <cell r="P99">
            <v>11356.643184220069</v>
          </cell>
          <cell r="Q99">
            <v>10874.974220971111</v>
          </cell>
          <cell r="R99">
            <v>10393.30525772227</v>
          </cell>
          <cell r="S99">
            <v>9911.6362944733119</v>
          </cell>
          <cell r="T99">
            <v>9447.2781581417657</v>
          </cell>
          <cell r="U99">
            <v>8982.9200218101032</v>
          </cell>
          <cell r="V99">
            <v>8518.5618854784407</v>
          </cell>
          <cell r="W99">
            <v>8054.2037491468946</v>
          </cell>
          <cell r="X99">
            <v>7589.845612815232</v>
          </cell>
          <cell r="Y99">
            <v>7142.3163148779422</v>
          </cell>
          <cell r="Z99">
            <v>6694.787016940536</v>
          </cell>
          <cell r="AA99">
            <v>6247.2577190032462</v>
          </cell>
          <cell r="AB99">
            <v>5799.7284210659564</v>
          </cell>
          <cell r="AC99">
            <v>5352.1991231285501</v>
          </cell>
          <cell r="AD99">
            <v>4921.0287048955215</v>
          </cell>
          <cell r="AE99">
            <v>4489.8582866624929</v>
          </cell>
          <cell r="AF99">
            <v>4058.6878684294643</v>
          </cell>
          <cell r="AG99">
            <v>3627.5174501964357</v>
          </cell>
          <cell r="AH99">
            <v>3196.3470319634071</v>
          </cell>
        </row>
        <row r="100">
          <cell r="B100" t="str">
            <v/>
          </cell>
        </row>
        <row r="101">
          <cell r="B101" t="str">
            <v>e-hydrogen (Solid oxide) - OPEX - Global - USD/ton fuel</v>
          </cell>
          <cell r="G101">
            <v>1764.9906324479671</v>
          </cell>
          <cell r="H101">
            <v>1635.919973758253</v>
          </cell>
          <cell r="I101">
            <v>1506.8493150684808</v>
          </cell>
          <cell r="J101">
            <v>1410.6202478319756</v>
          </cell>
          <cell r="K101">
            <v>1314.3911805954413</v>
          </cell>
          <cell r="L101">
            <v>1218.1621133589069</v>
          </cell>
          <cell r="M101">
            <v>1121.9330461224017</v>
          </cell>
          <cell r="N101">
            <v>1025.7039788858674</v>
          </cell>
          <cell r="O101">
            <v>957.9671748035762</v>
          </cell>
          <cell r="P101">
            <v>890.23037072125589</v>
          </cell>
          <cell r="Q101">
            <v>822.49356663896469</v>
          </cell>
          <cell r="R101">
            <v>754.75676255667349</v>
          </cell>
          <cell r="S101">
            <v>687.01995847435319</v>
          </cell>
          <cell r="T101">
            <v>637.21492319114623</v>
          </cell>
          <cell r="U101">
            <v>587.40988790793926</v>
          </cell>
          <cell r="V101">
            <v>537.60485262474685</v>
          </cell>
          <cell r="W101">
            <v>487.79981734153989</v>
          </cell>
          <cell r="X101">
            <v>437.99478205834748</v>
          </cell>
          <cell r="Y101">
            <v>401.8250827852753</v>
          </cell>
          <cell r="Z101">
            <v>365.65538351218856</v>
          </cell>
          <cell r="AA101">
            <v>329.48568423911638</v>
          </cell>
          <cell r="AB101">
            <v>293.31598496602965</v>
          </cell>
          <cell r="AC101">
            <v>257.14628569295019</v>
          </cell>
          <cell r="AD101">
            <v>231.28780481006834</v>
          </cell>
          <cell r="AE101">
            <v>205.42932392718649</v>
          </cell>
          <cell r="AF101">
            <v>179.57084304430464</v>
          </cell>
          <cell r="AG101">
            <v>153.71236216142279</v>
          </cell>
          <cell r="AH101">
            <v>127.85388127854094</v>
          </cell>
        </row>
        <row r="102">
          <cell r="B102" t="str">
            <v>e-hydrogen (Solid oxide) - OPEX - Electrolysis - Global - USD/ton fuel/year</v>
          </cell>
          <cell r="G102">
            <v>1764.9906324479671</v>
          </cell>
          <cell r="H102">
            <v>1635.919973758253</v>
          </cell>
          <cell r="I102">
            <v>1506.8493150684808</v>
          </cell>
          <cell r="J102">
            <v>1410.6202478319756</v>
          </cell>
          <cell r="K102">
            <v>1314.3911805954413</v>
          </cell>
          <cell r="L102">
            <v>1218.1621133589069</v>
          </cell>
          <cell r="M102">
            <v>1121.9330461224017</v>
          </cell>
          <cell r="N102">
            <v>1025.7039788858674</v>
          </cell>
          <cell r="O102">
            <v>957.9671748035762</v>
          </cell>
          <cell r="P102">
            <v>890.23037072125589</v>
          </cell>
          <cell r="Q102">
            <v>822.49356663896469</v>
          </cell>
          <cell r="R102">
            <v>754.75676255667349</v>
          </cell>
          <cell r="S102">
            <v>687.01995847435319</v>
          </cell>
          <cell r="T102">
            <v>637.21492319114623</v>
          </cell>
          <cell r="U102">
            <v>587.40988790793926</v>
          </cell>
          <cell r="V102">
            <v>537.60485262474685</v>
          </cell>
          <cell r="W102">
            <v>487.79981734153989</v>
          </cell>
          <cell r="X102">
            <v>437.99478205834748</v>
          </cell>
          <cell r="Y102">
            <v>401.8250827852753</v>
          </cell>
          <cell r="Z102">
            <v>365.65538351218856</v>
          </cell>
          <cell r="AA102">
            <v>329.48568423911638</v>
          </cell>
          <cell r="AB102">
            <v>293.31598496602965</v>
          </cell>
          <cell r="AC102">
            <v>257.14628569295019</v>
          </cell>
          <cell r="AD102">
            <v>231.28780481006834</v>
          </cell>
          <cell r="AE102">
            <v>205.42932392718649</v>
          </cell>
          <cell r="AF102">
            <v>179.57084304430464</v>
          </cell>
          <cell r="AG102">
            <v>153.71236216142279</v>
          </cell>
          <cell r="AH102">
            <v>127.85388127854094</v>
          </cell>
        </row>
        <row r="103">
          <cell r="B103" t="str">
            <v/>
          </cell>
        </row>
        <row r="104">
          <cell r="B104" t="str">
            <v>e-hydrogen (Solid oxide) - Finance cost - Africa - USD/ton fuel</v>
          </cell>
          <cell r="G104">
            <v>891.46137460650891</v>
          </cell>
          <cell r="H104">
            <v>860.11424894709148</v>
          </cell>
          <cell r="I104">
            <v>828.76712328767417</v>
          </cell>
          <cell r="J104">
            <v>798.53349084803847</v>
          </cell>
          <cell r="K104">
            <v>768.29985840840277</v>
          </cell>
          <cell r="L104">
            <v>738.06622596876707</v>
          </cell>
          <cell r="M104">
            <v>707.83259352913137</v>
          </cell>
          <cell r="N104">
            <v>677.59896108949567</v>
          </cell>
          <cell r="O104">
            <v>651.10716811079658</v>
          </cell>
          <cell r="P104">
            <v>624.61537513210385</v>
          </cell>
          <cell r="Q104">
            <v>598.12358215341123</v>
          </cell>
          <cell r="R104">
            <v>571.63178917472487</v>
          </cell>
          <cell r="S104">
            <v>545.13999619603226</v>
          </cell>
          <cell r="T104">
            <v>519.60029869779714</v>
          </cell>
          <cell r="U104">
            <v>494.06060119955572</v>
          </cell>
          <cell r="V104">
            <v>468.5209037013143</v>
          </cell>
          <cell r="W104">
            <v>442.98120620307924</v>
          </cell>
          <cell r="X104">
            <v>417.44150870483782</v>
          </cell>
          <cell r="Y104">
            <v>392.8273973182869</v>
          </cell>
          <cell r="Z104">
            <v>368.2132859317295</v>
          </cell>
          <cell r="AA104">
            <v>343.59917454517858</v>
          </cell>
          <cell r="AB104">
            <v>318.98506315862767</v>
          </cell>
          <cell r="AC104">
            <v>294.37095177207027</v>
          </cell>
          <cell r="AD104">
            <v>270.65657876925371</v>
          </cell>
          <cell r="AE104">
            <v>246.94220576643716</v>
          </cell>
          <cell r="AF104">
            <v>223.22783276362057</v>
          </cell>
          <cell r="AG104">
            <v>199.51345976080398</v>
          </cell>
          <cell r="AH104">
            <v>175.79908675798742</v>
          </cell>
        </row>
        <row r="105">
          <cell r="B105" t="str">
            <v>e-hydrogen (Solid oxide) - Finance cost - Americas - USD/ton fuel</v>
          </cell>
          <cell r="G105">
            <v>891.46137460650891</v>
          </cell>
          <cell r="H105">
            <v>860.11424894709148</v>
          </cell>
          <cell r="I105">
            <v>828.76712328767417</v>
          </cell>
          <cell r="J105">
            <v>798.53349084803847</v>
          </cell>
          <cell r="K105">
            <v>768.29985840840277</v>
          </cell>
          <cell r="L105">
            <v>738.06622596876707</v>
          </cell>
          <cell r="M105">
            <v>707.83259352913137</v>
          </cell>
          <cell r="N105">
            <v>677.59896108949567</v>
          </cell>
          <cell r="O105">
            <v>651.10716811079658</v>
          </cell>
          <cell r="P105">
            <v>624.61537513210385</v>
          </cell>
          <cell r="Q105">
            <v>598.12358215341123</v>
          </cell>
          <cell r="R105">
            <v>571.63178917472487</v>
          </cell>
          <cell r="S105">
            <v>545.13999619603226</v>
          </cell>
          <cell r="T105">
            <v>519.60029869779714</v>
          </cell>
          <cell r="U105">
            <v>494.06060119955572</v>
          </cell>
          <cell r="V105">
            <v>468.5209037013143</v>
          </cell>
          <cell r="W105">
            <v>442.98120620307924</v>
          </cell>
          <cell r="X105">
            <v>417.44150870483782</v>
          </cell>
          <cell r="Y105">
            <v>392.8273973182869</v>
          </cell>
          <cell r="Z105">
            <v>368.2132859317295</v>
          </cell>
          <cell r="AA105">
            <v>343.59917454517858</v>
          </cell>
          <cell r="AB105">
            <v>318.98506315862767</v>
          </cell>
          <cell r="AC105">
            <v>294.37095177207027</v>
          </cell>
          <cell r="AD105">
            <v>270.65657876925371</v>
          </cell>
          <cell r="AE105">
            <v>246.94220576643716</v>
          </cell>
          <cell r="AF105">
            <v>223.22783276362057</v>
          </cell>
          <cell r="AG105">
            <v>199.51345976080398</v>
          </cell>
          <cell r="AH105">
            <v>175.79908675798742</v>
          </cell>
        </row>
        <row r="106">
          <cell r="B106" t="str">
            <v>e-hydrogen (Solid oxide) - Finance cost - Asia - USD/ton fuel</v>
          </cell>
          <cell r="G106">
            <v>891.46137460650891</v>
          </cell>
          <cell r="H106">
            <v>860.11424894709148</v>
          </cell>
          <cell r="I106">
            <v>828.76712328767417</v>
          </cell>
          <cell r="J106">
            <v>798.53349084803847</v>
          </cell>
          <cell r="K106">
            <v>768.29985840840277</v>
          </cell>
          <cell r="L106">
            <v>738.06622596876707</v>
          </cell>
          <cell r="M106">
            <v>707.83259352913137</v>
          </cell>
          <cell r="N106">
            <v>677.59896108949567</v>
          </cell>
          <cell r="O106">
            <v>651.10716811079658</v>
          </cell>
          <cell r="P106">
            <v>624.61537513210385</v>
          </cell>
          <cell r="Q106">
            <v>598.12358215341123</v>
          </cell>
          <cell r="R106">
            <v>571.63178917472487</v>
          </cell>
          <cell r="S106">
            <v>545.13999619603226</v>
          </cell>
          <cell r="T106">
            <v>519.60029869779714</v>
          </cell>
          <cell r="U106">
            <v>494.06060119955572</v>
          </cell>
          <cell r="V106">
            <v>468.5209037013143</v>
          </cell>
          <cell r="W106">
            <v>442.98120620307924</v>
          </cell>
          <cell r="X106">
            <v>417.44150870483782</v>
          </cell>
          <cell r="Y106">
            <v>392.8273973182869</v>
          </cell>
          <cell r="Z106">
            <v>368.2132859317295</v>
          </cell>
          <cell r="AA106">
            <v>343.59917454517858</v>
          </cell>
          <cell r="AB106">
            <v>318.98506315862767</v>
          </cell>
          <cell r="AC106">
            <v>294.37095177207027</v>
          </cell>
          <cell r="AD106">
            <v>270.65657876925371</v>
          </cell>
          <cell r="AE106">
            <v>246.94220576643716</v>
          </cell>
          <cell r="AF106">
            <v>223.22783276362057</v>
          </cell>
          <cell r="AG106">
            <v>199.51345976080398</v>
          </cell>
          <cell r="AH106">
            <v>175.79908675798742</v>
          </cell>
        </row>
        <row r="107">
          <cell r="B107" t="str">
            <v>e-hydrogen (Solid oxide) - Finance cost - Europe - USD/ton fuel</v>
          </cell>
          <cell r="G107">
            <v>891.46137460650891</v>
          </cell>
          <cell r="H107">
            <v>860.11424894709148</v>
          </cell>
          <cell r="I107">
            <v>828.76712328767417</v>
          </cell>
          <cell r="J107">
            <v>798.53349084803847</v>
          </cell>
          <cell r="K107">
            <v>768.29985840840277</v>
          </cell>
          <cell r="L107">
            <v>738.06622596876707</v>
          </cell>
          <cell r="M107">
            <v>707.83259352913137</v>
          </cell>
          <cell r="N107">
            <v>677.59896108949567</v>
          </cell>
          <cell r="O107">
            <v>651.10716811079658</v>
          </cell>
          <cell r="P107">
            <v>624.61537513210385</v>
          </cell>
          <cell r="Q107">
            <v>598.12358215341123</v>
          </cell>
          <cell r="R107">
            <v>571.63178917472487</v>
          </cell>
          <cell r="S107">
            <v>545.13999619603226</v>
          </cell>
          <cell r="T107">
            <v>519.60029869779714</v>
          </cell>
          <cell r="U107">
            <v>494.06060119955572</v>
          </cell>
          <cell r="V107">
            <v>468.5209037013143</v>
          </cell>
          <cell r="W107">
            <v>442.98120620307924</v>
          </cell>
          <cell r="X107">
            <v>417.44150870483782</v>
          </cell>
          <cell r="Y107">
            <v>392.8273973182869</v>
          </cell>
          <cell r="Z107">
            <v>368.2132859317295</v>
          </cell>
          <cell r="AA107">
            <v>343.59917454517858</v>
          </cell>
          <cell r="AB107">
            <v>318.98506315862767</v>
          </cell>
          <cell r="AC107">
            <v>294.37095177207027</v>
          </cell>
          <cell r="AD107">
            <v>270.65657876925371</v>
          </cell>
          <cell r="AE107">
            <v>246.94220576643716</v>
          </cell>
          <cell r="AF107">
            <v>223.22783276362057</v>
          </cell>
          <cell r="AG107">
            <v>199.51345976080398</v>
          </cell>
          <cell r="AH107">
            <v>175.79908675798742</v>
          </cell>
        </row>
        <row r="108">
          <cell r="B108" t="str">
            <v>e-hydrogen (Solid oxide) - Finance cost - Middle East - USD/ton fuel</v>
          </cell>
          <cell r="G108">
            <v>891.46137460650891</v>
          </cell>
          <cell r="H108">
            <v>860.11424894709148</v>
          </cell>
          <cell r="I108">
            <v>828.76712328767417</v>
          </cell>
          <cell r="J108">
            <v>798.53349084803847</v>
          </cell>
          <cell r="K108">
            <v>768.29985840840277</v>
          </cell>
          <cell r="L108">
            <v>738.06622596876707</v>
          </cell>
          <cell r="M108">
            <v>707.83259352913137</v>
          </cell>
          <cell r="N108">
            <v>677.59896108949567</v>
          </cell>
          <cell r="O108">
            <v>651.10716811079658</v>
          </cell>
          <cell r="P108">
            <v>624.61537513210385</v>
          </cell>
          <cell r="Q108">
            <v>598.12358215341123</v>
          </cell>
          <cell r="R108">
            <v>571.63178917472487</v>
          </cell>
          <cell r="S108">
            <v>545.13999619603226</v>
          </cell>
          <cell r="T108">
            <v>519.60029869779714</v>
          </cell>
          <cell r="U108">
            <v>494.06060119955572</v>
          </cell>
          <cell r="V108">
            <v>468.5209037013143</v>
          </cell>
          <cell r="W108">
            <v>442.98120620307924</v>
          </cell>
          <cell r="X108">
            <v>417.44150870483782</v>
          </cell>
          <cell r="Y108">
            <v>392.8273973182869</v>
          </cell>
          <cell r="Z108">
            <v>368.2132859317295</v>
          </cell>
          <cell r="AA108">
            <v>343.59917454517858</v>
          </cell>
          <cell r="AB108">
            <v>318.98506315862767</v>
          </cell>
          <cell r="AC108">
            <v>294.37095177207027</v>
          </cell>
          <cell r="AD108">
            <v>270.65657876925371</v>
          </cell>
          <cell r="AE108">
            <v>246.94220576643716</v>
          </cell>
          <cell r="AF108">
            <v>223.22783276362057</v>
          </cell>
          <cell r="AG108">
            <v>199.51345976080398</v>
          </cell>
          <cell r="AH108">
            <v>175.79908675798742</v>
          </cell>
        </row>
        <row r="109">
          <cell r="B109" t="str">
            <v>General - Weighted average cost of capital (WACC) - Africa - %</v>
          </cell>
          <cell r="G109">
            <v>5.5000000000000007E-2</v>
          </cell>
          <cell r="H109">
            <v>5.5000000000000007E-2</v>
          </cell>
          <cell r="I109">
            <v>5.5000000000000007E-2</v>
          </cell>
          <cell r="J109">
            <v>5.5000000000000007E-2</v>
          </cell>
          <cell r="K109">
            <v>5.5000000000000007E-2</v>
          </cell>
          <cell r="L109">
            <v>5.5000000000000007E-2</v>
          </cell>
          <cell r="M109">
            <v>5.5000000000000007E-2</v>
          </cell>
          <cell r="N109">
            <v>5.5000000000000007E-2</v>
          </cell>
          <cell r="O109">
            <v>5.5000000000000007E-2</v>
          </cell>
          <cell r="P109">
            <v>5.5000000000000007E-2</v>
          </cell>
          <cell r="Q109">
            <v>5.5000000000000007E-2</v>
          </cell>
          <cell r="R109">
            <v>5.5000000000000007E-2</v>
          </cell>
          <cell r="S109">
            <v>5.5000000000000007E-2</v>
          </cell>
          <cell r="T109">
            <v>5.5000000000000007E-2</v>
          </cell>
          <cell r="U109">
            <v>5.5000000000000007E-2</v>
          </cell>
          <cell r="V109">
            <v>5.5000000000000007E-2</v>
          </cell>
          <cell r="W109">
            <v>5.5000000000000007E-2</v>
          </cell>
          <cell r="X109">
            <v>5.5000000000000007E-2</v>
          </cell>
          <cell r="Y109">
            <v>5.5000000000000007E-2</v>
          </cell>
          <cell r="Z109">
            <v>5.5000000000000007E-2</v>
          </cell>
          <cell r="AA109">
            <v>5.5000000000000007E-2</v>
          </cell>
          <cell r="AB109">
            <v>5.5000000000000007E-2</v>
          </cell>
          <cell r="AC109">
            <v>5.5000000000000007E-2</v>
          </cell>
          <cell r="AD109">
            <v>5.5000000000000007E-2</v>
          </cell>
          <cell r="AE109">
            <v>5.5000000000000007E-2</v>
          </cell>
          <cell r="AF109">
            <v>5.5000000000000007E-2</v>
          </cell>
          <cell r="AG109">
            <v>5.5000000000000007E-2</v>
          </cell>
          <cell r="AH109">
            <v>5.5000000000000007E-2</v>
          </cell>
        </row>
        <row r="110">
          <cell r="B110" t="str">
            <v>General - Weighted average cost of capital (WACC) - Americas - %</v>
          </cell>
          <cell r="G110">
            <v>5.5000000000000007E-2</v>
          </cell>
          <cell r="H110">
            <v>5.5000000000000007E-2</v>
          </cell>
          <cell r="I110">
            <v>5.5000000000000007E-2</v>
          </cell>
          <cell r="J110">
            <v>5.5000000000000007E-2</v>
          </cell>
          <cell r="K110">
            <v>5.5000000000000007E-2</v>
          </cell>
          <cell r="L110">
            <v>5.5000000000000007E-2</v>
          </cell>
          <cell r="M110">
            <v>5.5000000000000007E-2</v>
          </cell>
          <cell r="N110">
            <v>5.5000000000000007E-2</v>
          </cell>
          <cell r="O110">
            <v>5.5000000000000007E-2</v>
          </cell>
          <cell r="P110">
            <v>5.5000000000000007E-2</v>
          </cell>
          <cell r="Q110">
            <v>5.5000000000000007E-2</v>
          </cell>
          <cell r="R110">
            <v>5.5000000000000007E-2</v>
          </cell>
          <cell r="S110">
            <v>5.5000000000000007E-2</v>
          </cell>
          <cell r="T110">
            <v>5.5000000000000007E-2</v>
          </cell>
          <cell r="U110">
            <v>5.5000000000000007E-2</v>
          </cell>
          <cell r="V110">
            <v>5.5000000000000007E-2</v>
          </cell>
          <cell r="W110">
            <v>5.5000000000000007E-2</v>
          </cell>
          <cell r="X110">
            <v>5.5000000000000007E-2</v>
          </cell>
          <cell r="Y110">
            <v>5.5000000000000007E-2</v>
          </cell>
          <cell r="Z110">
            <v>5.5000000000000007E-2</v>
          </cell>
          <cell r="AA110">
            <v>5.5000000000000007E-2</v>
          </cell>
          <cell r="AB110">
            <v>5.5000000000000007E-2</v>
          </cell>
          <cell r="AC110">
            <v>5.5000000000000007E-2</v>
          </cell>
          <cell r="AD110">
            <v>5.5000000000000007E-2</v>
          </cell>
          <cell r="AE110">
            <v>5.5000000000000007E-2</v>
          </cell>
          <cell r="AF110">
            <v>5.5000000000000007E-2</v>
          </cell>
          <cell r="AG110">
            <v>5.5000000000000007E-2</v>
          </cell>
          <cell r="AH110">
            <v>5.5000000000000007E-2</v>
          </cell>
        </row>
        <row r="111">
          <cell r="B111" t="str">
            <v>General - Weighted average cost of capital (WACC) - Asia - %</v>
          </cell>
          <cell r="G111">
            <v>5.5000000000000007E-2</v>
          </cell>
          <cell r="H111">
            <v>5.5000000000000007E-2</v>
          </cell>
          <cell r="I111">
            <v>5.5000000000000007E-2</v>
          </cell>
          <cell r="J111">
            <v>5.5000000000000007E-2</v>
          </cell>
          <cell r="K111">
            <v>5.5000000000000007E-2</v>
          </cell>
          <cell r="L111">
            <v>5.5000000000000007E-2</v>
          </cell>
          <cell r="M111">
            <v>5.5000000000000007E-2</v>
          </cell>
          <cell r="N111">
            <v>5.5000000000000007E-2</v>
          </cell>
          <cell r="O111">
            <v>5.5000000000000007E-2</v>
          </cell>
          <cell r="P111">
            <v>5.5000000000000007E-2</v>
          </cell>
          <cell r="Q111">
            <v>5.5000000000000007E-2</v>
          </cell>
          <cell r="R111">
            <v>5.5000000000000007E-2</v>
          </cell>
          <cell r="S111">
            <v>5.5000000000000007E-2</v>
          </cell>
          <cell r="T111">
            <v>5.5000000000000007E-2</v>
          </cell>
          <cell r="U111">
            <v>5.5000000000000007E-2</v>
          </cell>
          <cell r="V111">
            <v>5.5000000000000007E-2</v>
          </cell>
          <cell r="W111">
            <v>5.5000000000000007E-2</v>
          </cell>
          <cell r="X111">
            <v>5.5000000000000007E-2</v>
          </cell>
          <cell r="Y111">
            <v>5.5000000000000007E-2</v>
          </cell>
          <cell r="Z111">
            <v>5.5000000000000007E-2</v>
          </cell>
          <cell r="AA111">
            <v>5.5000000000000007E-2</v>
          </cell>
          <cell r="AB111">
            <v>5.5000000000000007E-2</v>
          </cell>
          <cell r="AC111">
            <v>5.5000000000000007E-2</v>
          </cell>
          <cell r="AD111">
            <v>5.5000000000000007E-2</v>
          </cell>
          <cell r="AE111">
            <v>5.5000000000000007E-2</v>
          </cell>
          <cell r="AF111">
            <v>5.5000000000000007E-2</v>
          </cell>
          <cell r="AG111">
            <v>5.5000000000000007E-2</v>
          </cell>
          <cell r="AH111">
            <v>5.5000000000000007E-2</v>
          </cell>
        </row>
        <row r="112">
          <cell r="B112" t="str">
            <v>General - Weighted average cost of capital (WACC) - Europe - %</v>
          </cell>
          <cell r="G112">
            <v>5.5000000000000007E-2</v>
          </cell>
          <cell r="H112">
            <v>5.5000000000000007E-2</v>
          </cell>
          <cell r="I112">
            <v>5.5000000000000007E-2</v>
          </cell>
          <cell r="J112">
            <v>5.5000000000000007E-2</v>
          </cell>
          <cell r="K112">
            <v>5.5000000000000007E-2</v>
          </cell>
          <cell r="L112">
            <v>5.5000000000000007E-2</v>
          </cell>
          <cell r="M112">
            <v>5.5000000000000007E-2</v>
          </cell>
          <cell r="N112">
            <v>5.5000000000000007E-2</v>
          </cell>
          <cell r="O112">
            <v>5.5000000000000007E-2</v>
          </cell>
          <cell r="P112">
            <v>5.5000000000000007E-2</v>
          </cell>
          <cell r="Q112">
            <v>5.5000000000000007E-2</v>
          </cell>
          <cell r="R112">
            <v>5.5000000000000007E-2</v>
          </cell>
          <cell r="S112">
            <v>5.5000000000000007E-2</v>
          </cell>
          <cell r="T112">
            <v>5.5000000000000007E-2</v>
          </cell>
          <cell r="U112">
            <v>5.5000000000000007E-2</v>
          </cell>
          <cell r="V112">
            <v>5.5000000000000007E-2</v>
          </cell>
          <cell r="W112">
            <v>5.5000000000000007E-2</v>
          </cell>
          <cell r="X112">
            <v>5.5000000000000007E-2</v>
          </cell>
          <cell r="Y112">
            <v>5.5000000000000007E-2</v>
          </cell>
          <cell r="Z112">
            <v>5.5000000000000007E-2</v>
          </cell>
          <cell r="AA112">
            <v>5.5000000000000007E-2</v>
          </cell>
          <cell r="AB112">
            <v>5.5000000000000007E-2</v>
          </cell>
          <cell r="AC112">
            <v>5.5000000000000007E-2</v>
          </cell>
          <cell r="AD112">
            <v>5.5000000000000007E-2</v>
          </cell>
          <cell r="AE112">
            <v>5.5000000000000007E-2</v>
          </cell>
          <cell r="AF112">
            <v>5.5000000000000007E-2</v>
          </cell>
          <cell r="AG112">
            <v>5.5000000000000007E-2</v>
          </cell>
          <cell r="AH112">
            <v>5.5000000000000007E-2</v>
          </cell>
        </row>
        <row r="113">
          <cell r="B113" t="str">
            <v>General - Weighted average cost of capital (WACC) - Middle East - %</v>
          </cell>
          <cell r="G113">
            <v>5.5000000000000007E-2</v>
          </cell>
          <cell r="H113">
            <v>5.5000000000000007E-2</v>
          </cell>
          <cell r="I113">
            <v>5.5000000000000007E-2</v>
          </cell>
          <cell r="J113">
            <v>5.5000000000000007E-2</v>
          </cell>
          <cell r="K113">
            <v>5.5000000000000007E-2</v>
          </cell>
          <cell r="L113">
            <v>5.5000000000000007E-2</v>
          </cell>
          <cell r="M113">
            <v>5.5000000000000007E-2</v>
          </cell>
          <cell r="N113">
            <v>5.5000000000000007E-2</v>
          </cell>
          <cell r="O113">
            <v>5.5000000000000007E-2</v>
          </cell>
          <cell r="P113">
            <v>5.5000000000000007E-2</v>
          </cell>
          <cell r="Q113">
            <v>5.5000000000000007E-2</v>
          </cell>
          <cell r="R113">
            <v>5.5000000000000007E-2</v>
          </cell>
          <cell r="S113">
            <v>5.5000000000000007E-2</v>
          </cell>
          <cell r="T113">
            <v>5.5000000000000007E-2</v>
          </cell>
          <cell r="U113">
            <v>5.5000000000000007E-2</v>
          </cell>
          <cell r="V113">
            <v>5.5000000000000007E-2</v>
          </cell>
          <cell r="W113">
            <v>5.5000000000000007E-2</v>
          </cell>
          <cell r="X113">
            <v>5.5000000000000007E-2</v>
          </cell>
          <cell r="Y113">
            <v>5.5000000000000007E-2</v>
          </cell>
          <cell r="Z113">
            <v>5.5000000000000007E-2</v>
          </cell>
          <cell r="AA113">
            <v>5.5000000000000007E-2</v>
          </cell>
          <cell r="AB113">
            <v>5.5000000000000007E-2</v>
          </cell>
          <cell r="AC113">
            <v>5.5000000000000007E-2</v>
          </cell>
          <cell r="AD113">
            <v>5.5000000000000007E-2</v>
          </cell>
          <cell r="AE113">
            <v>5.5000000000000007E-2</v>
          </cell>
          <cell r="AF113">
            <v>5.5000000000000007E-2</v>
          </cell>
          <cell r="AG113">
            <v>5.5000000000000007E-2</v>
          </cell>
          <cell r="AH113">
            <v>5.5000000000000007E-2</v>
          </cell>
        </row>
        <row r="114">
          <cell r="B114" t="str">
            <v>e-hydrogen (Solid oxide) - Total CAPEX - Electrolysis - Global - USD/ton fuel capacity</v>
          </cell>
          <cell r="G114">
            <v>16208.38862920925</v>
          </cell>
          <cell r="H114">
            <v>15638.440889947116</v>
          </cell>
          <cell r="I114">
            <v>15068.493150684983</v>
          </cell>
          <cell r="J114">
            <v>14518.790742691606</v>
          </cell>
          <cell r="K114">
            <v>13969.08833469823</v>
          </cell>
          <cell r="L114">
            <v>13419.385926704854</v>
          </cell>
          <cell r="M114">
            <v>12869.683518711478</v>
          </cell>
          <cell r="N114">
            <v>12319.981110718101</v>
          </cell>
          <cell r="O114">
            <v>11838.312147469027</v>
          </cell>
          <cell r="P114">
            <v>11356.643184220069</v>
          </cell>
          <cell r="Q114">
            <v>10874.974220971111</v>
          </cell>
          <cell r="R114">
            <v>10393.30525772227</v>
          </cell>
          <cell r="S114">
            <v>9911.6362944733119</v>
          </cell>
          <cell r="T114">
            <v>9447.2781581417657</v>
          </cell>
          <cell r="U114">
            <v>8982.9200218101032</v>
          </cell>
          <cell r="V114">
            <v>8518.5618854784407</v>
          </cell>
          <cell r="W114">
            <v>8054.2037491468946</v>
          </cell>
          <cell r="X114">
            <v>7589.845612815232</v>
          </cell>
          <cell r="Y114">
            <v>7142.3163148779422</v>
          </cell>
          <cell r="Z114">
            <v>6694.787016940536</v>
          </cell>
          <cell r="AA114">
            <v>6247.2577190032462</v>
          </cell>
          <cell r="AB114">
            <v>5799.7284210659564</v>
          </cell>
          <cell r="AC114">
            <v>5352.1991231285501</v>
          </cell>
          <cell r="AD114">
            <v>4921.0287048955215</v>
          </cell>
          <cell r="AE114">
            <v>4489.8582866624929</v>
          </cell>
          <cell r="AF114">
            <v>4058.6878684294643</v>
          </cell>
          <cell r="AG114">
            <v>3627.5174501964357</v>
          </cell>
          <cell r="AH114">
            <v>3196.3470319634071</v>
          </cell>
        </row>
        <row r="115">
          <cell r="B115" t="str">
            <v/>
          </cell>
        </row>
        <row r="116">
          <cell r="B116" t="str">
            <v>e-hydrogen (Solid oxide) - Energy cost - Africa - USD/ton fuel</v>
          </cell>
          <cell r="G116">
            <v>2588.9287063028064</v>
          </cell>
          <cell r="H116">
            <v>2276.192451717739</v>
          </cell>
          <cell r="I116">
            <v>1965.77856467534</v>
          </cell>
          <cell r="J116">
            <v>1874.5729013108719</v>
          </cell>
          <cell r="K116">
            <v>1784.0024108327877</v>
          </cell>
          <cell r="L116">
            <v>1694.0670932410824</v>
          </cell>
          <cell r="M116">
            <v>1604.7669485357389</v>
          </cell>
          <cell r="N116">
            <v>1516.1019767167986</v>
          </cell>
          <cell r="O116">
            <v>1464.492375541203</v>
          </cell>
          <cell r="P116">
            <v>1413.2306341636806</v>
          </cell>
          <cell r="Q116">
            <v>1362.3167525842139</v>
          </cell>
          <cell r="R116">
            <v>1311.750730802838</v>
          </cell>
          <cell r="S116">
            <v>1261.5325688195401</v>
          </cell>
          <cell r="T116">
            <v>1235.5794195397884</v>
          </cell>
          <cell r="U116">
            <v>1209.7869106465225</v>
          </cell>
          <cell r="V116">
            <v>1184.155042139736</v>
          </cell>
          <cell r="W116">
            <v>1158.6838140194304</v>
          </cell>
          <cell r="X116">
            <v>1133.373226285617</v>
          </cell>
          <cell r="Y116">
            <v>1107.7163967847878</v>
          </cell>
          <cell r="Z116">
            <v>1082.2216302766769</v>
          </cell>
          <cell r="AA116">
            <v>1056.8889267612767</v>
          </cell>
          <cell r="AB116">
            <v>1031.7182862386062</v>
          </cell>
          <cell r="AC116">
            <v>1006.709708708651</v>
          </cell>
          <cell r="AD116">
            <v>992.61384025706548</v>
          </cell>
          <cell r="AE116">
            <v>978.59601473603675</v>
          </cell>
          <cell r="AF116">
            <v>964.6562321455558</v>
          </cell>
          <cell r="AG116">
            <v>950.79449248562696</v>
          </cell>
          <cell r="AH116">
            <v>937.01079575625499</v>
          </cell>
        </row>
        <row r="117">
          <cell r="B117" t="str">
            <v>e-hydrogen (Solid oxide) - Energy cost - Americas - USD/ton fuel</v>
          </cell>
          <cell r="G117">
            <v>1626.6624296508014</v>
          </cell>
          <cell r="H117">
            <v>1586.8920318699479</v>
          </cell>
          <cell r="I117">
            <v>1547.3789656238314</v>
          </cell>
          <cell r="J117">
            <v>1485.2415642775391</v>
          </cell>
          <cell r="K117">
            <v>1423.5309409821973</v>
          </cell>
          <cell r="L117">
            <v>1362.2470957378021</v>
          </cell>
          <cell r="M117">
            <v>1301.3900285443751</v>
          </cell>
          <cell r="N117">
            <v>1240.9597394018786</v>
          </cell>
          <cell r="O117">
            <v>1209.6949626391079</v>
          </cell>
          <cell r="P117">
            <v>1178.6316839159529</v>
          </cell>
          <cell r="Q117">
            <v>1147.7699032324153</v>
          </cell>
          <cell r="R117">
            <v>1117.1096205884919</v>
          </cell>
          <cell r="S117">
            <v>1086.6508359841794</v>
          </cell>
          <cell r="T117">
            <v>1061.408903785305</v>
          </cell>
          <cell r="U117">
            <v>1036.3272267626667</v>
          </cell>
          <cell r="V117">
            <v>1011.4058049162624</v>
          </cell>
          <cell r="W117">
            <v>986.64463824609879</v>
          </cell>
          <cell r="X117">
            <v>962.0437267521703</v>
          </cell>
          <cell r="Y117">
            <v>950.05556167518864</v>
          </cell>
          <cell r="Z117">
            <v>938.13073928594736</v>
          </cell>
          <cell r="AA117">
            <v>926.2692595844502</v>
          </cell>
          <cell r="AB117">
            <v>914.4711225706925</v>
          </cell>
          <cell r="AC117">
            <v>902.73632824467643</v>
          </cell>
          <cell r="AD117">
            <v>893.14293615721283</v>
          </cell>
          <cell r="AE117">
            <v>883.5964293429322</v>
          </cell>
          <cell r="AF117">
            <v>874.09680780183226</v>
          </cell>
          <cell r="AG117">
            <v>864.64407153391312</v>
          </cell>
          <cell r="AH117">
            <v>855.23822053917456</v>
          </cell>
        </row>
        <row r="118">
          <cell r="B118" t="str">
            <v>e-hydrogen (Solid oxide) - Energy cost - Asia - USD/ton fuel</v>
          </cell>
          <cell r="G118">
            <v>2879.4268684472977</v>
          </cell>
          <cell r="H118">
            <v>2616.3676719083792</v>
          </cell>
          <cell r="I118">
            <v>2355.241388890081</v>
          </cell>
          <cell r="J118">
            <v>2256.6218695880475</v>
          </cell>
          <cell r="K118">
            <v>2158.6825793904818</v>
          </cell>
          <cell r="L118">
            <v>2061.4235182972989</v>
          </cell>
          <cell r="M118">
            <v>1964.8446863085412</v>
          </cell>
          <cell r="N118">
            <v>1868.9460834242511</v>
          </cell>
          <cell r="O118">
            <v>1802.0544838040184</v>
          </cell>
          <cell r="P118">
            <v>1735.6164987611448</v>
          </cell>
          <cell r="Q118">
            <v>1669.6321282956326</v>
          </cell>
          <cell r="R118">
            <v>1604.101372407438</v>
          </cell>
          <cell r="S118">
            <v>1539.0242310965832</v>
          </cell>
          <cell r="T118">
            <v>1503.3658040322432</v>
          </cell>
          <cell r="U118">
            <v>1467.9336509934164</v>
          </cell>
          <cell r="V118">
            <v>1432.7277719801166</v>
          </cell>
          <cell r="W118">
            <v>1397.7481669923204</v>
          </cell>
          <cell r="X118">
            <v>1362.9948360300589</v>
          </cell>
          <cell r="Y118">
            <v>1327.1963558395476</v>
          </cell>
          <cell r="Z118">
            <v>1291.6302509965878</v>
          </cell>
          <cell r="AA118">
            <v>1256.2965215011627</v>
          </cell>
          <cell r="AB118">
            <v>1221.195167353291</v>
          </cell>
          <cell r="AC118">
            <v>1186.3261885529537</v>
          </cell>
          <cell r="AD118">
            <v>1168.0553420325177</v>
          </cell>
          <cell r="AE118">
            <v>1149.8890476729646</v>
          </cell>
          <cell r="AF118">
            <v>1131.8273054743036</v>
          </cell>
          <cell r="AG118">
            <v>1113.8701154365301</v>
          </cell>
          <cell r="AH118">
            <v>1096.0174775596397</v>
          </cell>
        </row>
        <row r="119">
          <cell r="B119" t="str">
            <v>e-hydrogen (Solid oxide) - Energy cost - Europe - USD/ton fuel</v>
          </cell>
          <cell r="G119">
            <v>2143.5773334609944</v>
          </cell>
          <cell r="H119">
            <v>2043.355382244687</v>
          </cell>
          <cell r="I119">
            <v>1943.8391908587546</v>
          </cell>
          <cell r="J119">
            <v>1862.6991905394541</v>
          </cell>
          <cell r="K119">
            <v>1782.1186810951563</v>
          </cell>
          <cell r="L119">
            <v>1702.0976625258966</v>
          </cell>
          <cell r="M119">
            <v>1622.6361348316375</v>
          </cell>
          <cell r="N119">
            <v>1543.7340980124209</v>
          </cell>
          <cell r="O119">
            <v>1507.8198016600793</v>
          </cell>
          <cell r="P119">
            <v>1472.1335842985702</v>
          </cell>
          <cell r="Q119">
            <v>1436.6754459278568</v>
          </cell>
          <cell r="R119">
            <v>1401.4453865479445</v>
          </cell>
          <cell r="S119">
            <v>1366.4434061588452</v>
          </cell>
          <cell r="T119">
            <v>1343.6603658131708</v>
          </cell>
          <cell r="U119">
            <v>1321.0109290335472</v>
          </cell>
          <cell r="V119">
            <v>1298.4950958199738</v>
          </cell>
          <cell r="W119">
            <v>1276.1128661724465</v>
          </cell>
          <cell r="X119">
            <v>1253.864240090958</v>
          </cell>
          <cell r="Y119">
            <v>1230.6318883099702</v>
          </cell>
          <cell r="Z119">
            <v>1207.5397694585297</v>
          </cell>
          <cell r="AA119">
            <v>1184.5878835366475</v>
          </cell>
          <cell r="AB119">
            <v>1161.7762305443143</v>
          </cell>
          <cell r="AC119">
            <v>1139.1048104815393</v>
          </cell>
          <cell r="AD119">
            <v>1121.5619624398041</v>
          </cell>
          <cell r="AE119">
            <v>1104.1194993357353</v>
          </cell>
          <cell r="AF119">
            <v>1086.7774211693418</v>
          </cell>
          <cell r="AG119">
            <v>1069.5357279406194</v>
          </cell>
          <cell r="AH119">
            <v>1052.3944196495631</v>
          </cell>
        </row>
        <row r="120">
          <cell r="B120" t="str">
            <v>e-hydrogen (Solid oxide) - Energy cost - Middle East - USD/ton fuel</v>
          </cell>
          <cell r="G120">
            <v>1641.4330786472874</v>
          </cell>
          <cell r="H120">
            <v>1563.0078396145759</v>
          </cell>
          <cell r="I120">
            <v>1485.1359216189667</v>
          </cell>
          <cell r="J120">
            <v>1432.1168295466196</v>
          </cell>
          <cell r="K120">
            <v>1379.4571694754702</v>
          </cell>
          <cell r="L120">
            <v>1327.1569414055152</v>
          </cell>
          <cell r="M120">
            <v>1275.2161453367562</v>
          </cell>
          <cell r="N120">
            <v>1223.6347812691949</v>
          </cell>
          <cell r="O120">
            <v>1186.215120276881</v>
          </cell>
          <cell r="P120">
            <v>1149.0441149179419</v>
          </cell>
          <cell r="Q120">
            <v>1112.1217651923596</v>
          </cell>
          <cell r="R120">
            <v>1075.4480711001511</v>
          </cell>
          <cell r="S120">
            <v>1039.0230326413075</v>
          </cell>
          <cell r="T120">
            <v>1018.9648778976681</v>
          </cell>
          <cell r="U120">
            <v>999.02904245415289</v>
          </cell>
          <cell r="V120">
            <v>979.21552631076952</v>
          </cell>
          <cell r="W120">
            <v>959.52432946750571</v>
          </cell>
          <cell r="X120">
            <v>939.95545192436759</v>
          </cell>
          <cell r="Y120">
            <v>915.64669747023243</v>
          </cell>
          <cell r="Z120">
            <v>891.49532329988426</v>
          </cell>
          <cell r="AA120">
            <v>867.50132941331481</v>
          </cell>
          <cell r="AB120">
            <v>843.66471581053372</v>
          </cell>
          <cell r="AC120">
            <v>819.98548249152907</v>
          </cell>
          <cell r="AD120">
            <v>807.35646572909013</v>
          </cell>
          <cell r="AE120">
            <v>794.79971708549533</v>
          </cell>
          <cell r="AF120">
            <v>782.31523656074</v>
          </cell>
          <cell r="AG120">
            <v>769.90302415482654</v>
          </cell>
          <cell r="AH120">
            <v>757.5630798677571</v>
          </cell>
        </row>
        <row r="121">
          <cell r="B121" t="str">
            <v>Renewable electricity - Cost of electricity - Africa - USD/MWh</v>
          </cell>
          <cell r="G121">
            <v>58.389806930514169</v>
          </cell>
          <cell r="H121">
            <v>51.533296245659585</v>
          </cell>
          <cell r="I121">
            <v>44.676785560803182</v>
          </cell>
          <cell r="J121">
            <v>42.765424685038852</v>
          </cell>
          <cell r="K121">
            <v>40.854063809274521</v>
          </cell>
          <cell r="L121">
            <v>38.942702933510191</v>
          </cell>
          <cell r="M121">
            <v>37.031342057745405</v>
          </cell>
          <cell r="N121">
            <v>35.119981181981075</v>
          </cell>
          <cell r="O121">
            <v>34.053057098426962</v>
          </cell>
          <cell r="P121">
            <v>32.986133014872848</v>
          </cell>
          <cell r="Q121">
            <v>31.919208931318281</v>
          </cell>
          <cell r="R121">
            <v>30.852284847764167</v>
          </cell>
          <cell r="S121">
            <v>29.785360764210168</v>
          </cell>
          <cell r="T121">
            <v>29.283177129903038</v>
          </cell>
          <cell r="U121">
            <v>28.780993495596022</v>
          </cell>
          <cell r="V121">
            <v>28.278809861288892</v>
          </cell>
          <cell r="W121">
            <v>27.776626226981762</v>
          </cell>
          <cell r="X121">
            <v>27.274442592674859</v>
          </cell>
          <cell r="Y121">
            <v>26.758061649346246</v>
          </cell>
          <cell r="Z121">
            <v>26.241680706017632</v>
          </cell>
          <cell r="AA121">
            <v>25.725299762688792</v>
          </cell>
          <cell r="AB121">
            <v>25.208918819360179</v>
          </cell>
          <cell r="AC121">
            <v>24.692537876031452</v>
          </cell>
          <cell r="AD121">
            <v>24.439084279606391</v>
          </cell>
          <cell r="AE121">
            <v>24.185630683181444</v>
          </cell>
          <cell r="AF121">
            <v>23.932177086756383</v>
          </cell>
          <cell r="AG121">
            <v>23.678723490331322</v>
          </cell>
          <cell r="AH121">
            <v>23.425269893906375</v>
          </cell>
        </row>
        <row r="122">
          <cell r="B122" t="str">
            <v>Renewable electricity - Cost of electricity - Americas - USD/MWh</v>
          </cell>
          <cell r="G122">
            <v>36.687184539767031</v>
          </cell>
          <cell r="H122">
            <v>35.927444151972622</v>
          </cell>
          <cell r="I122">
            <v>35.167703764177986</v>
          </cell>
          <cell r="J122">
            <v>33.883444176422017</v>
          </cell>
          <cell r="K122">
            <v>32.599184588666049</v>
          </cell>
          <cell r="L122">
            <v>31.31492500091008</v>
          </cell>
          <cell r="M122">
            <v>30.030665413154566</v>
          </cell>
          <cell r="N122">
            <v>28.746405825398597</v>
          </cell>
          <cell r="O122">
            <v>28.128389278370832</v>
          </cell>
          <cell r="P122">
            <v>27.510372731343068</v>
          </cell>
          <cell r="Q122">
            <v>26.892356184315304</v>
          </cell>
          <cell r="R122">
            <v>26.27433963728754</v>
          </cell>
          <cell r="S122">
            <v>25.656323090259662</v>
          </cell>
          <cell r="T122">
            <v>25.155343675421591</v>
          </cell>
          <cell r="U122">
            <v>24.65436426058352</v>
          </cell>
          <cell r="V122">
            <v>24.153384845745336</v>
          </cell>
          <cell r="W122">
            <v>23.652405430907265</v>
          </cell>
          <cell r="X122">
            <v>23.151426016069138</v>
          </cell>
          <cell r="Y122">
            <v>22.949597354879643</v>
          </cell>
          <cell r="Z122">
            <v>22.747768693690148</v>
          </cell>
          <cell r="AA122">
            <v>22.54594003250071</v>
          </cell>
          <cell r="AB122">
            <v>22.344111371311214</v>
          </cell>
          <cell r="AC122">
            <v>22.142282710121719</v>
          </cell>
          <cell r="AD122">
            <v>21.990017270793203</v>
          </cell>
          <cell r="AE122">
            <v>21.837751831464743</v>
          </cell>
          <cell r="AF122">
            <v>21.685486392136283</v>
          </cell>
          <cell r="AG122">
            <v>21.533220952807824</v>
          </cell>
          <cell r="AH122">
            <v>21.380955513479364</v>
          </cell>
        </row>
        <row r="123">
          <cell r="B123" t="str">
            <v>Renewable electricity - Cost of electricity - Asia - USD/MWh</v>
          </cell>
          <cell r="G123">
            <v>64.941602489809156</v>
          </cell>
          <cell r="H123">
            <v>59.234907936835953</v>
          </cell>
          <cell r="I123">
            <v>53.528213383865477</v>
          </cell>
          <cell r="J123">
            <v>51.481269434223577</v>
          </cell>
          <cell r="K123">
            <v>49.434325484582587</v>
          </cell>
          <cell r="L123">
            <v>47.387381534940687</v>
          </cell>
          <cell r="M123">
            <v>45.340437585298787</v>
          </cell>
          <cell r="N123">
            <v>43.293493635657796</v>
          </cell>
          <cell r="O123">
            <v>41.902208066311687</v>
          </cell>
          <cell r="P123">
            <v>40.510922496966032</v>
          </cell>
          <cell r="Q123">
            <v>39.119636927620832</v>
          </cell>
          <cell r="R123">
            <v>37.728351358275177</v>
          </cell>
          <cell r="S123">
            <v>36.337065788929522</v>
          </cell>
          <cell r="T123">
            <v>35.629702497725702</v>
          </cell>
          <cell r="U123">
            <v>34.922339206521883</v>
          </cell>
          <cell r="V123">
            <v>34.214975915318291</v>
          </cell>
          <cell r="W123">
            <v>33.507612624114472</v>
          </cell>
          <cell r="X123">
            <v>32.800249332911108</v>
          </cell>
          <cell r="Y123">
            <v>32.059832294097532</v>
          </cell>
          <cell r="Z123">
            <v>31.319415255284184</v>
          </cell>
          <cell r="AA123">
            <v>30.578998216470609</v>
          </cell>
          <cell r="AB123">
            <v>29.838581177657261</v>
          </cell>
          <cell r="AC123">
            <v>29.098164138843686</v>
          </cell>
          <cell r="AD123">
            <v>28.758618698873192</v>
          </cell>
          <cell r="AE123">
            <v>28.419073258902586</v>
          </cell>
          <cell r="AF123">
            <v>28.079527818932092</v>
          </cell>
          <cell r="AG123">
            <v>27.739982378961599</v>
          </cell>
          <cell r="AH123">
            <v>27.400436938990993</v>
          </cell>
        </row>
        <row r="124">
          <cell r="B124" t="str">
            <v>Renewable electricity - Cost of electricity - Europe - USD/MWh</v>
          </cell>
          <cell r="G124">
            <v>48.345505357757247</v>
          </cell>
          <cell r="H124">
            <v>46.261834393182653</v>
          </cell>
          <cell r="I124">
            <v>44.178163428608059</v>
          </cell>
          <cell r="J124">
            <v>42.49454469772445</v>
          </cell>
          <cell r="K124">
            <v>40.810925966840387</v>
          </cell>
          <cell r="L124">
            <v>39.127307235956778</v>
          </cell>
          <cell r="M124">
            <v>37.443688505072714</v>
          </cell>
          <cell r="N124">
            <v>35.760069774189105</v>
          </cell>
          <cell r="O124">
            <v>35.060526539849434</v>
          </cell>
          <cell r="P124">
            <v>34.360983305510445</v>
          </cell>
          <cell r="Q124">
            <v>33.661440071171228</v>
          </cell>
          <cell r="R124">
            <v>32.961896836832011</v>
          </cell>
          <cell r="S124">
            <v>32.262353602493022</v>
          </cell>
          <cell r="T124">
            <v>31.844690735616723</v>
          </cell>
          <cell r="U124">
            <v>31.427027868740538</v>
          </cell>
          <cell r="V124">
            <v>31.009365001864353</v>
          </cell>
          <cell r="W124">
            <v>30.591702134988168</v>
          </cell>
          <cell r="X124">
            <v>30.174039268111756</v>
          </cell>
          <cell r="Y124">
            <v>29.72721540516045</v>
          </cell>
          <cell r="Z124">
            <v>29.280391542209031</v>
          </cell>
          <cell r="AA124">
            <v>28.833567679257726</v>
          </cell>
          <cell r="AB124">
            <v>28.386743816306307</v>
          </cell>
          <cell r="AC124">
            <v>27.939919953355002</v>
          </cell>
          <cell r="AD124">
            <v>27.613908060931863</v>
          </cell>
          <cell r="AE124">
            <v>27.28789616850861</v>
          </cell>
          <cell r="AF124">
            <v>26.96188427608547</v>
          </cell>
          <cell r="AG124">
            <v>26.635872383662331</v>
          </cell>
          <cell r="AH124">
            <v>26.309860491239078</v>
          </cell>
        </row>
        <row r="125">
          <cell r="B125" t="str">
            <v>Renewable electricity - Cost of electricity - Middle East - USD/MWh</v>
          </cell>
          <cell r="G125">
            <v>37.020316673163961</v>
          </cell>
          <cell r="H125">
            <v>35.386702900434102</v>
          </cell>
          <cell r="I125">
            <v>33.753089127703788</v>
          </cell>
          <cell r="J125">
            <v>32.671487127187447</v>
          </cell>
          <cell r="K125">
            <v>31.589885126671106</v>
          </cell>
          <cell r="L125">
            <v>30.508283126154765</v>
          </cell>
          <cell r="M125">
            <v>29.426681125638424</v>
          </cell>
          <cell r="N125">
            <v>28.345079125122083</v>
          </cell>
          <cell r="O125">
            <v>27.58242507536329</v>
          </cell>
          <cell r="P125">
            <v>26.819771025604723</v>
          </cell>
          <cell r="Q125">
            <v>26.057116975845929</v>
          </cell>
          <cell r="R125">
            <v>25.294462926087363</v>
          </cell>
          <cell r="S125">
            <v>24.531808876328796</v>
          </cell>
          <cell r="T125">
            <v>24.149422155106208</v>
          </cell>
          <cell r="U125">
            <v>23.76703543388362</v>
          </cell>
          <cell r="V125">
            <v>23.384648712661146</v>
          </cell>
          <cell r="W125">
            <v>23.002261991438559</v>
          </cell>
          <cell r="X125">
            <v>22.619875270215971</v>
          </cell>
          <cell r="Y125">
            <v>22.118414831670066</v>
          </cell>
          <cell r="Z125">
            <v>21.616954393124274</v>
          </cell>
          <cell r="AA125">
            <v>21.115493954578369</v>
          </cell>
          <cell r="AB125">
            <v>20.614033516032578</v>
          </cell>
          <cell r="AC125">
            <v>20.112573077486616</v>
          </cell>
          <cell r="AD125">
            <v>19.877873861328055</v>
          </cell>
          <cell r="AE125">
            <v>19.643174645169552</v>
          </cell>
          <cell r="AF125">
            <v>19.408475429010991</v>
          </cell>
          <cell r="AG125">
            <v>19.173776212852431</v>
          </cell>
          <cell r="AH125">
            <v>18.939076996693927</v>
          </cell>
        </row>
        <row r="126">
          <cell r="B126" t="str">
            <v>e-hydrogen (Solid oxide) - Energy demand - Electrolysis - Global - MWh/ton fuel</v>
          </cell>
          <cell r="G126">
            <v>44.338709826249612</v>
          </cell>
          <cell r="H126">
            <v>44.169354913124778</v>
          </cell>
          <cell r="I126">
            <v>44</v>
          </cell>
          <cell r="J126">
            <v>43.8338427623911</v>
          </cell>
          <cell r="K126">
            <v>43.667685524782257</v>
          </cell>
          <cell r="L126">
            <v>43.501528287173358</v>
          </cell>
          <cell r="M126">
            <v>43.335371049564458</v>
          </cell>
          <cell r="N126">
            <v>43.169213811955615</v>
          </cell>
          <cell r="O126">
            <v>43.006193872938752</v>
          </cell>
          <cell r="P126">
            <v>42.843173933921889</v>
          </cell>
          <cell r="Q126">
            <v>42.680153994905083</v>
          </cell>
          <cell r="R126">
            <v>42.517134055888221</v>
          </cell>
          <cell r="S126">
            <v>42.354114116871358</v>
          </cell>
          <cell r="T126">
            <v>42.194172239529792</v>
          </cell>
          <cell r="U126">
            <v>42.034230362188168</v>
          </cell>
          <cell r="V126">
            <v>41.874288484846602</v>
          </cell>
          <cell r="W126">
            <v>41.714346607504979</v>
          </cell>
          <cell r="X126">
            <v>41.554404730163355</v>
          </cell>
          <cell r="Y126">
            <v>41.397482796062377</v>
          </cell>
          <cell r="Z126">
            <v>41.240560861961342</v>
          </cell>
          <cell r="AA126">
            <v>41.083638927860306</v>
          </cell>
          <cell r="AB126">
            <v>40.926716993759271</v>
          </cell>
          <cell r="AC126">
            <v>40.769795059658236</v>
          </cell>
          <cell r="AD126">
            <v>40.615836047726589</v>
          </cell>
          <cell r="AE126">
            <v>40.461877035794942</v>
          </cell>
          <cell r="AF126">
            <v>40.307918023863294</v>
          </cell>
          <cell r="AG126">
            <v>40.153959011931647</v>
          </cell>
          <cell r="AH126">
            <v>40</v>
          </cell>
        </row>
        <row r="127">
          <cell r="B127" t="str">
            <v/>
          </cell>
        </row>
        <row r="128">
          <cell r="B128" t="str">
            <v>e-hydrogen (Solid oxide) - Feedstock cost - Global - USD/ton fuel</v>
          </cell>
          <cell r="G128">
            <v>13.5</v>
          </cell>
          <cell r="H128">
            <v>13.5</v>
          </cell>
          <cell r="I128">
            <v>13.5</v>
          </cell>
          <cell r="J128">
            <v>13.5</v>
          </cell>
          <cell r="K128">
            <v>13.5</v>
          </cell>
          <cell r="L128">
            <v>13.5</v>
          </cell>
          <cell r="M128">
            <v>13.5</v>
          </cell>
          <cell r="N128">
            <v>13.5</v>
          </cell>
          <cell r="O128">
            <v>13.5</v>
          </cell>
          <cell r="P128">
            <v>13.5</v>
          </cell>
          <cell r="Q128">
            <v>13.5</v>
          </cell>
          <cell r="R128">
            <v>13.5</v>
          </cell>
          <cell r="S128">
            <v>13.5</v>
          </cell>
          <cell r="T128">
            <v>13.5</v>
          </cell>
          <cell r="U128">
            <v>13.5</v>
          </cell>
          <cell r="V128">
            <v>13.5</v>
          </cell>
          <cell r="W128">
            <v>13.5</v>
          </cell>
          <cell r="X128">
            <v>13.5</v>
          </cell>
          <cell r="Y128">
            <v>13.5</v>
          </cell>
          <cell r="Z128">
            <v>13.5</v>
          </cell>
          <cell r="AA128">
            <v>13.5</v>
          </cell>
          <cell r="AB128">
            <v>13.5</v>
          </cell>
          <cell r="AC128">
            <v>13.5</v>
          </cell>
          <cell r="AD128">
            <v>13.5</v>
          </cell>
          <cell r="AE128">
            <v>13.5</v>
          </cell>
          <cell r="AF128">
            <v>13.5</v>
          </cell>
          <cell r="AG128">
            <v>13.5</v>
          </cell>
          <cell r="AH128">
            <v>13.5</v>
          </cell>
        </row>
        <row r="129">
          <cell r="B129" t="str">
            <v>e-hydrogen - Conversion H2O -&gt; H2 - Global - ton H2O/ton H2</v>
          </cell>
          <cell r="G129">
            <v>9</v>
          </cell>
          <cell r="H129">
            <v>9</v>
          </cell>
          <cell r="I129">
            <v>9</v>
          </cell>
          <cell r="J129">
            <v>9</v>
          </cell>
          <cell r="K129">
            <v>9</v>
          </cell>
          <cell r="L129">
            <v>9</v>
          </cell>
          <cell r="M129">
            <v>9</v>
          </cell>
          <cell r="N129">
            <v>9</v>
          </cell>
          <cell r="O129">
            <v>9</v>
          </cell>
          <cell r="P129">
            <v>9</v>
          </cell>
          <cell r="Q129">
            <v>9</v>
          </cell>
          <cell r="R129">
            <v>9</v>
          </cell>
          <cell r="S129">
            <v>9</v>
          </cell>
          <cell r="T129">
            <v>9</v>
          </cell>
          <cell r="U129">
            <v>9</v>
          </cell>
          <cell r="V129">
            <v>9</v>
          </cell>
          <cell r="W129">
            <v>9</v>
          </cell>
          <cell r="X129">
            <v>9</v>
          </cell>
          <cell r="Y129">
            <v>9</v>
          </cell>
          <cell r="Z129">
            <v>9</v>
          </cell>
          <cell r="AA129">
            <v>9</v>
          </cell>
          <cell r="AB129">
            <v>9</v>
          </cell>
          <cell r="AC129">
            <v>9</v>
          </cell>
          <cell r="AD129">
            <v>9</v>
          </cell>
          <cell r="AE129">
            <v>9</v>
          </cell>
          <cell r="AF129">
            <v>9</v>
          </cell>
          <cell r="AG129">
            <v>9</v>
          </cell>
          <cell r="AH129">
            <v>9</v>
          </cell>
        </row>
        <row r="130">
          <cell r="B130" t="str">
            <v>Demineralized water - Cost - Global - USD/ton water</v>
          </cell>
          <cell r="G130">
            <v>1.5</v>
          </cell>
          <cell r="H130">
            <v>1.5</v>
          </cell>
          <cell r="I130">
            <v>1.5</v>
          </cell>
          <cell r="J130">
            <v>1.5</v>
          </cell>
          <cell r="K130">
            <v>1.5</v>
          </cell>
          <cell r="L130">
            <v>1.5</v>
          </cell>
          <cell r="M130">
            <v>1.5</v>
          </cell>
          <cell r="N130">
            <v>1.5</v>
          </cell>
          <cell r="O130">
            <v>1.5</v>
          </cell>
          <cell r="P130">
            <v>1.5</v>
          </cell>
          <cell r="Q130">
            <v>1.5</v>
          </cell>
          <cell r="R130">
            <v>1.5</v>
          </cell>
          <cell r="S130">
            <v>1.5</v>
          </cell>
          <cell r="T130">
            <v>1.5</v>
          </cell>
          <cell r="U130">
            <v>1.5</v>
          </cell>
          <cell r="V130">
            <v>1.5</v>
          </cell>
          <cell r="W130">
            <v>1.5</v>
          </cell>
          <cell r="X130">
            <v>1.5</v>
          </cell>
          <cell r="Y130">
            <v>1.5</v>
          </cell>
          <cell r="Z130">
            <v>1.5</v>
          </cell>
          <cell r="AA130">
            <v>1.5</v>
          </cell>
          <cell r="AB130">
            <v>1.5</v>
          </cell>
          <cell r="AC130">
            <v>1.5</v>
          </cell>
          <cell r="AD130">
            <v>1.5</v>
          </cell>
          <cell r="AE130">
            <v>1.5</v>
          </cell>
          <cell r="AF130">
            <v>1.5</v>
          </cell>
          <cell r="AG130">
            <v>1.5</v>
          </cell>
          <cell r="AH130">
            <v>1.5</v>
          </cell>
        </row>
        <row r="131">
          <cell r="B131" t="str">
            <v/>
          </cell>
        </row>
        <row r="132">
          <cell r="B132" t="str">
            <v>e-hydrogen - Item - Region - Unit</v>
          </cell>
          <cell r="G132">
            <v>2023</v>
          </cell>
          <cell r="H132">
            <v>2024</v>
          </cell>
          <cell r="I132">
            <v>2025</v>
          </cell>
          <cell r="J132">
            <v>2026</v>
          </cell>
          <cell r="K132">
            <v>2027</v>
          </cell>
          <cell r="L132">
            <v>2028</v>
          </cell>
          <cell r="M132">
            <v>2029</v>
          </cell>
          <cell r="N132">
            <v>2030</v>
          </cell>
          <cell r="O132">
            <v>2031</v>
          </cell>
          <cell r="P132">
            <v>2032</v>
          </cell>
          <cell r="Q132">
            <v>2033</v>
          </cell>
          <cell r="R132">
            <v>2034</v>
          </cell>
          <cell r="S132">
            <v>2035</v>
          </cell>
          <cell r="T132">
            <v>2036</v>
          </cell>
          <cell r="U132">
            <v>2037</v>
          </cell>
          <cell r="V132">
            <v>2038</v>
          </cell>
          <cell r="W132">
            <v>2039</v>
          </cell>
          <cell r="X132">
            <v>2040</v>
          </cell>
          <cell r="Y132">
            <v>2041</v>
          </cell>
          <cell r="Z132">
            <v>2042</v>
          </cell>
          <cell r="AA132">
            <v>2043</v>
          </cell>
          <cell r="AB132">
            <v>2044</v>
          </cell>
          <cell r="AC132">
            <v>2045</v>
          </cell>
          <cell r="AD132">
            <v>2046</v>
          </cell>
          <cell r="AE132">
            <v>2047</v>
          </cell>
          <cell r="AF132">
            <v>2048</v>
          </cell>
          <cell r="AG132">
            <v>2049</v>
          </cell>
          <cell r="AH132">
            <v>2050</v>
          </cell>
        </row>
        <row r="133">
          <cell r="B133" t="str">
            <v>e-hydrogen - Total cost - Africa - USD/ton fuel</v>
          </cell>
          <cell r="G133">
            <v>4571.8140450320188</v>
          </cell>
          <cell r="H133">
            <v>4147.8556835639229</v>
          </cell>
          <cell r="I133">
            <v>3721.2257878341748</v>
          </cell>
          <cell r="J133">
            <v>3582.7603655139337</v>
          </cell>
          <cell r="K133">
            <v>3439.1451833385127</v>
          </cell>
          <cell r="L133">
            <v>3290.483028149778</v>
          </cell>
          <cell r="M133">
            <v>3136.8766867896793</v>
          </cell>
          <cell r="N133">
            <v>2978.4289461000349</v>
          </cell>
          <cell r="O133">
            <v>2921.7563256389899</v>
          </cell>
          <cell r="P133">
            <v>2857.5071262788529</v>
          </cell>
          <cell r="Q133">
            <v>2785.7367116560763</v>
          </cell>
          <cell r="R133">
            <v>2706.500445407155</v>
          </cell>
          <cell r="S133">
            <v>2619.853691168667</v>
          </cell>
          <cell r="T133">
            <v>2559.134112764737</v>
          </cell>
          <cell r="U133">
            <v>2493.203364311601</v>
          </cell>
          <cell r="V133">
            <v>2422.0795111742987</v>
          </cell>
          <cell r="W133">
            <v>2345.7806187176438</v>
          </cell>
          <cell r="X133">
            <v>2264.3247523066229</v>
          </cell>
          <cell r="Y133">
            <v>2180.5948397844923</v>
          </cell>
          <cell r="Z133">
            <v>2094.4451344593949</v>
          </cell>
          <cell r="AA133">
            <v>2005.8650721929257</v>
          </cell>
          <cell r="AB133">
            <v>1914.844088846567</v>
          </cell>
          <cell r="AC133">
            <v>1821.3716202818705</v>
          </cell>
          <cell r="AD133">
            <v>1747.8207084088369</v>
          </cell>
          <cell r="AE133">
            <v>1673.0567776619685</v>
          </cell>
          <cell r="AF133">
            <v>1597.0731710889659</v>
          </cell>
          <cell r="AG133">
            <v>1519.8632317375509</v>
          </cell>
          <cell r="AH133">
            <v>1441.4203026554478</v>
          </cell>
        </row>
        <row r="134">
          <cell r="B134" t="str">
            <v>e-hydrogen - Total cost - Americas - USD/ton fuel</v>
          </cell>
          <cell r="G134">
            <v>3419.7532318615094</v>
          </cell>
          <cell r="H134">
            <v>3320.3976978064575</v>
          </cell>
          <cell r="I134">
            <v>3217.7199067028678</v>
          </cell>
          <cell r="J134">
            <v>3113.4145570196761</v>
          </cell>
          <cell r="K134">
            <v>3003.972559512416</v>
          </cell>
          <cell r="L134">
            <v>2889.4629775321455</v>
          </cell>
          <cell r="M134">
            <v>2769.9548744300391</v>
          </cell>
          <cell r="N134">
            <v>2645.5173135570167</v>
          </cell>
          <cell r="O134">
            <v>2614.3438016320752</v>
          </cell>
          <cell r="P134">
            <v>2575.3775779225925</v>
          </cell>
          <cell r="Q134">
            <v>2528.6507118550317</v>
          </cell>
          <cell r="R134">
            <v>2474.1952728558208</v>
          </cell>
          <cell r="S134">
            <v>2412.0433303515238</v>
          </cell>
          <cell r="T134">
            <v>2353.173138927395</v>
          </cell>
          <cell r="U134">
            <v>2289.140217035545</v>
          </cell>
          <cell r="V134">
            <v>2219.9625867208738</v>
          </cell>
          <cell r="W134">
            <v>2145.6582700280737</v>
          </cell>
          <cell r="X134">
            <v>2066.2452890019722</v>
          </cell>
          <cell r="Y134">
            <v>1999.9979428473175</v>
          </cell>
          <cell r="Z134">
            <v>1930.9153663702016</v>
          </cell>
          <cell r="AA134">
            <v>1858.9934305532511</v>
          </cell>
          <cell r="AB134">
            <v>1784.2280063789497</v>
          </cell>
          <cell r="AC134">
            <v>1706.6149648298883</v>
          </cell>
          <cell r="AD134">
            <v>1638.8348366898754</v>
          </cell>
          <cell r="AE134">
            <v>1569.7205263897122</v>
          </cell>
          <cell r="AF134">
            <v>1499.2680346814896</v>
          </cell>
          <cell r="AG134">
            <v>1427.4733623173049</v>
          </cell>
          <cell r="AH134">
            <v>1354.3325100492571</v>
          </cell>
        </row>
        <row r="135">
          <cell r="B135" t="str">
            <v>e-hydrogen - Total cost - Asia - USD/ton fuel</v>
          </cell>
          <cell r="G135">
            <v>4919.6092000998424</v>
          </cell>
          <cell r="H135">
            <v>4556.2127574878086</v>
          </cell>
          <cell r="I135">
            <v>4189.9088910653254</v>
          </cell>
          <cell r="J135">
            <v>4043.3271497517403</v>
          </cell>
          <cell r="K135">
            <v>3891.471000176216</v>
          </cell>
          <cell r="L135">
            <v>3734.4505204022607</v>
          </cell>
          <cell r="M135">
            <v>3572.3757884936485</v>
          </cell>
          <cell r="N135">
            <v>3405.3568825139291</v>
          </cell>
          <cell r="O135">
            <v>3329.0242744310799</v>
          </cell>
          <cell r="P135">
            <v>3245.2095361970569</v>
          </cell>
          <cell r="Q135">
            <v>3153.9848628533696</v>
          </cell>
          <cell r="R135">
            <v>3055.4224494414507</v>
          </cell>
          <cell r="S135">
            <v>2949.5944910029716</v>
          </cell>
          <cell r="T135">
            <v>2875.7981835549567</v>
          </cell>
          <cell r="U135">
            <v>2796.8948914419857</v>
          </cell>
          <cell r="V135">
            <v>2712.9100610848413</v>
          </cell>
          <cell r="W135">
            <v>2623.869138904005</v>
          </cell>
          <cell r="X135">
            <v>2529.7975713201986</v>
          </cell>
          <cell r="Y135">
            <v>2432.0041356799093</v>
          </cell>
          <cell r="Z135">
            <v>2332.104454536804</v>
          </cell>
          <cell r="AA135">
            <v>2230.0833804145991</v>
          </cell>
          <cell r="AB135">
            <v>2125.9257658368952</v>
          </cell>
          <cell r="AC135">
            <v>2019.6164633273684</v>
          </cell>
          <cell r="AD135">
            <v>1940.0442051158482</v>
          </cell>
          <cell r="AE135">
            <v>1859.3815897073273</v>
          </cell>
          <cell r="AF135">
            <v>1777.6196989494379</v>
          </cell>
          <cell r="AG135">
            <v>1694.7496146898043</v>
          </cell>
          <cell r="AH135">
            <v>1610.7624187760525</v>
          </cell>
        </row>
        <row r="136">
          <cell r="B136" t="str">
            <v>e-hydrogen - Total cost - Europe - USD/ton fuel</v>
          </cell>
          <cell r="G136">
            <v>4038.6228928616847</v>
          </cell>
          <cell r="H136">
            <v>3868.3507145137291</v>
          </cell>
          <cell r="I136">
            <v>3694.8237459344427</v>
          </cell>
          <cell r="J136">
            <v>3568.4463973029419</v>
          </cell>
          <cell r="K136">
            <v>3436.871084883941</v>
          </cell>
          <cell r="L136">
            <v>3300.1883482791136</v>
          </cell>
          <cell r="M136">
            <v>3158.4887270901409</v>
          </cell>
          <cell r="N136">
            <v>3011.8627609185983</v>
          </cell>
          <cell r="O136">
            <v>2974.0307709334747</v>
          </cell>
          <cell r="P136">
            <v>2928.3440277264485</v>
          </cell>
          <cell r="Q136">
            <v>2874.8388312160041</v>
          </cell>
          <cell r="R136">
            <v>2813.5514813206551</v>
          </cell>
          <cell r="S136">
            <v>2744.5182779590677</v>
          </cell>
          <cell r="T136">
            <v>2686.9425242590582</v>
          </cell>
          <cell r="U136">
            <v>2624.050617901336</v>
          </cell>
          <cell r="V136">
            <v>2555.857583732693</v>
          </cell>
          <cell r="W136">
            <v>2482.3784465996719</v>
          </cell>
          <cell r="X136">
            <v>2403.6282313489819</v>
          </cell>
          <cell r="Y136">
            <v>2321.3917367406975</v>
          </cell>
          <cell r="Z136">
            <v>2236.6695741645817</v>
          </cell>
          <cell r="AA136">
            <v>2149.4526024833108</v>
          </cell>
          <cell r="AB136">
            <v>2059.73168055939</v>
          </cell>
          <cell r="AC136">
            <v>1967.4976672554576</v>
          </cell>
          <cell r="AD136">
            <v>1889.1034647061108</v>
          </cell>
          <cell r="AE136">
            <v>1809.5955456101613</v>
          </cell>
          <cell r="AF136">
            <v>1728.965347273524</v>
          </cell>
          <cell r="AG136">
            <v>1647.204307002108</v>
          </cell>
          <cell r="AH136">
            <v>1564.3038621018211</v>
          </cell>
        </row>
        <row r="137">
          <cell r="B137" t="str">
            <v>e-hydrogen - Total cost - Middle East - USD/ton fuel</v>
          </cell>
          <cell r="G137">
            <v>3437.4371997057879</v>
          </cell>
          <cell r="H137">
            <v>3291.726359379827</v>
          </cell>
          <cell r="I137">
            <v>3142.8160617015587</v>
          </cell>
          <cell r="J137">
            <v>3049.3717502851341</v>
          </cell>
          <cell r="K137">
            <v>2950.7653007064864</v>
          </cell>
          <cell r="L137">
            <v>2847.05487804328</v>
          </cell>
          <cell r="M137">
            <v>2738.2986473732735</v>
          </cell>
          <cell r="N137">
            <v>2624.5547737740408</v>
          </cell>
          <cell r="O137">
            <v>2586.0154229344857</v>
          </cell>
          <cell r="P137">
            <v>2539.7954601443425</v>
          </cell>
          <cell r="Q137">
            <v>2485.9344601982857</v>
          </cell>
          <cell r="R137">
            <v>2424.4719978910048</v>
          </cell>
          <cell r="S137">
            <v>2355.4476480172916</v>
          </cell>
          <cell r="T137">
            <v>2302.9820209443847</v>
          </cell>
          <cell r="U137">
            <v>2245.2615202268162</v>
          </cell>
          <cell r="V137">
            <v>2182.2999017005955</v>
          </cell>
          <cell r="W137">
            <v>2114.1109212014953</v>
          </cell>
          <cell r="X137">
            <v>2040.7083345654555</v>
          </cell>
          <cell r="Y137">
            <v>1960.5833723344319</v>
          </cell>
          <cell r="Z137">
            <v>1877.9885039675351</v>
          </cell>
          <cell r="AA137">
            <v>1792.9134705705346</v>
          </cell>
          <cell r="AB137">
            <v>1705.3480132490897</v>
          </cell>
          <cell r="AC137">
            <v>1615.2818731089328</v>
          </cell>
          <cell r="AD137">
            <v>1544.8423939156899</v>
          </cell>
          <cell r="AE137">
            <v>1473.1314799005604</v>
          </cell>
          <cell r="AF137">
            <v>1400.1429666945739</v>
          </cell>
          <cell r="AG137">
            <v>1325.870689928772</v>
          </cell>
          <cell r="AH137">
            <v>1250.3084852341972</v>
          </cell>
        </row>
        <row r="138">
          <cell r="B138" t="str">
            <v/>
          </cell>
        </row>
        <row r="139">
          <cell r="B139" t="str">
            <v>e-hydrogen - CAPEX - Global - USD/ton fuel</v>
          </cell>
          <cell r="G139">
            <v>256.64635353013858</v>
          </cell>
          <cell r="H139">
            <v>247.21700590830653</v>
          </cell>
          <cell r="I139">
            <v>237.53805175037812</v>
          </cell>
          <cell r="J139">
            <v>232.53269690653616</v>
          </cell>
          <cell r="K139">
            <v>227.06362881665248</v>
          </cell>
          <cell r="L139">
            <v>221.13084748073197</v>
          </cell>
          <cell r="M139">
            <v>214.73435289877628</v>
          </cell>
          <cell r="N139">
            <v>207.87414507077864</v>
          </cell>
          <cell r="O139">
            <v>212.24697175898439</v>
          </cell>
          <cell r="P139">
            <v>215.53837151594018</v>
          </cell>
          <cell r="Q139">
            <v>217.74834434164336</v>
          </cell>
          <cell r="R139">
            <v>218.87689023608903</v>
          </cell>
          <cell r="S139">
            <v>218.92400919928582</v>
          </cell>
          <cell r="T139">
            <v>217.21328869368136</v>
          </cell>
          <cell r="U139">
            <v>214.61001500027928</v>
          </cell>
          <cell r="V139">
            <v>211.1141881190886</v>
          </cell>
          <cell r="W139">
            <v>206.72580805010043</v>
          </cell>
          <cell r="X139">
            <v>201.44487479331141</v>
          </cell>
          <cell r="Y139">
            <v>194.68227936129369</v>
          </cell>
          <cell r="Z139">
            <v>187.24620275654928</v>
          </cell>
          <cell r="AA139">
            <v>179.13664497908553</v>
          </cell>
          <cell r="AB139">
            <v>170.35360602889762</v>
          </cell>
          <cell r="AC139">
            <v>160.89708590598403</v>
          </cell>
          <cell r="AD139">
            <v>150.64085698303418</v>
          </cell>
          <cell r="AE139">
            <v>139.96336878636401</v>
          </cell>
          <cell r="AF139">
            <v>128.86462131597352</v>
          </cell>
          <cell r="AG139">
            <v>117.34461457186269</v>
          </cell>
          <cell r="AH139">
            <v>105.40334855403168</v>
          </cell>
        </row>
        <row r="140">
          <cell r="B140" t="str">
            <v>e-hydrogen (Alkaline) - CAPEX - Global - USD/ton fuel</v>
          </cell>
          <cell r="G140">
            <v>232.54704730891777</v>
          </cell>
          <cell r="H140">
            <v>220.91583720088238</v>
          </cell>
          <cell r="I140">
            <v>209.2846270928431</v>
          </cell>
          <cell r="J140">
            <v>197.74635039698333</v>
          </cell>
          <cell r="K140">
            <v>186.20807370111967</v>
          </cell>
          <cell r="L140">
            <v>174.66979700525991</v>
          </cell>
          <cell r="M140">
            <v>163.13152030940012</v>
          </cell>
          <cell r="N140">
            <v>151.59324361353646</v>
          </cell>
          <cell r="O140">
            <v>148.64007525246902</v>
          </cell>
          <cell r="P140">
            <v>145.68690689139865</v>
          </cell>
          <cell r="Q140">
            <v>142.73373853032825</v>
          </cell>
          <cell r="R140">
            <v>139.78057016925789</v>
          </cell>
          <cell r="S140">
            <v>136.82740180818655</v>
          </cell>
          <cell r="T140">
            <v>133.89755711083319</v>
          </cell>
          <cell r="U140">
            <v>130.96771241347886</v>
          </cell>
          <cell r="V140">
            <v>128.03786771612553</v>
          </cell>
          <cell r="W140">
            <v>125.10802301877121</v>
          </cell>
          <cell r="X140">
            <v>122.17817832141591</v>
          </cell>
          <cell r="Y140">
            <v>119.27151720659167</v>
          </cell>
          <cell r="Z140">
            <v>116.36485609176744</v>
          </cell>
          <cell r="AA140">
            <v>113.45819497694222</v>
          </cell>
          <cell r="AB140">
            <v>110.55153386211799</v>
          </cell>
          <cell r="AC140">
            <v>107.64487274729473</v>
          </cell>
          <cell r="AD140">
            <v>104.76125588428985</v>
          </cell>
          <cell r="AE140">
            <v>101.87763902128403</v>
          </cell>
          <cell r="AF140">
            <v>98.994022158279165</v>
          </cell>
          <cell r="AG140">
            <v>96.110405295274305</v>
          </cell>
          <cell r="AH140">
            <v>93.226788432268464</v>
          </cell>
        </row>
        <row r="141">
          <cell r="B141" t="str">
            <v>e-hydrogen (PEM) - CAPEX - Global - USD/ton fuel</v>
          </cell>
          <cell r="G141">
            <v>297.18760822752569</v>
          </cell>
          <cell r="H141">
            <v>280.44311918225526</v>
          </cell>
          <cell r="I141">
            <v>263.69863013698489</v>
          </cell>
          <cell r="J141">
            <v>248.0118067464015</v>
          </cell>
          <cell r="K141">
            <v>232.32498335581815</v>
          </cell>
          <cell r="L141">
            <v>216.63815996523482</v>
          </cell>
          <cell r="M141">
            <v>200.95133657465146</v>
          </cell>
          <cell r="N141">
            <v>185.26451318406811</v>
          </cell>
          <cell r="O141">
            <v>180.64985324929003</v>
          </cell>
          <cell r="P141">
            <v>176.03519331451389</v>
          </cell>
          <cell r="Q141">
            <v>171.42053337973775</v>
          </cell>
          <cell r="R141">
            <v>166.80587344495967</v>
          </cell>
          <cell r="S141">
            <v>162.1912135101816</v>
          </cell>
          <cell r="T141">
            <v>157.84736896262621</v>
          </cell>
          <cell r="U141">
            <v>153.50352441507081</v>
          </cell>
          <cell r="V141">
            <v>149.15967986751542</v>
          </cell>
          <cell r="W141">
            <v>144.81583531996196</v>
          </cell>
          <cell r="X141">
            <v>140.47199077240657</v>
          </cell>
          <cell r="Y141">
            <v>136.38588575102622</v>
          </cell>
          <cell r="Z141">
            <v>132.29978072964587</v>
          </cell>
          <cell r="AA141">
            <v>128.2136757082655</v>
          </cell>
          <cell r="AB141">
            <v>124.12757068688515</v>
          </cell>
          <cell r="AC141">
            <v>120.0414656655048</v>
          </cell>
          <cell r="AD141">
            <v>116.20060023407763</v>
          </cell>
          <cell r="AE141">
            <v>112.35973480265142</v>
          </cell>
          <cell r="AF141">
            <v>108.51886937122423</v>
          </cell>
          <cell r="AG141">
            <v>104.67800393979705</v>
          </cell>
          <cell r="AH141">
            <v>100.83713850837084</v>
          </cell>
        </row>
        <row r="142">
          <cell r="B142" t="str">
            <v>e-hydrogen (Solid oxide) - CAPEX - Global - USD/ton fuel</v>
          </cell>
          <cell r="G142">
            <v>540.27962097364173</v>
          </cell>
          <cell r="H142">
            <v>521.28136299823723</v>
          </cell>
          <cell r="I142">
            <v>502.28310502283273</v>
          </cell>
          <cell r="J142">
            <v>483.95969142305353</v>
          </cell>
          <cell r="K142">
            <v>465.63627782327433</v>
          </cell>
          <cell r="L142">
            <v>447.31286422349513</v>
          </cell>
          <cell r="M142">
            <v>428.98945062371592</v>
          </cell>
          <cell r="N142">
            <v>410.66603702393672</v>
          </cell>
          <cell r="O142">
            <v>394.61040491563421</v>
          </cell>
          <cell r="P142">
            <v>378.55477280733561</v>
          </cell>
          <cell r="Q142">
            <v>362.49914069903701</v>
          </cell>
          <cell r="R142">
            <v>346.44350859074234</v>
          </cell>
          <cell r="S142">
            <v>330.38787648244374</v>
          </cell>
          <cell r="T142">
            <v>314.90927193805885</v>
          </cell>
          <cell r="U142">
            <v>299.43066739367009</v>
          </cell>
          <cell r="V142">
            <v>283.95206284928133</v>
          </cell>
          <cell r="W142">
            <v>268.4734583048965</v>
          </cell>
          <cell r="X142">
            <v>252.99485376050774</v>
          </cell>
          <cell r="Y142">
            <v>238.07721049593141</v>
          </cell>
          <cell r="Z142">
            <v>223.15956723135119</v>
          </cell>
          <cell r="AA142">
            <v>208.24192396677486</v>
          </cell>
          <cell r="AB142">
            <v>193.32428070219854</v>
          </cell>
          <cell r="AC142">
            <v>178.40663743761834</v>
          </cell>
          <cell r="AD142">
            <v>164.03429016318404</v>
          </cell>
          <cell r="AE142">
            <v>149.66194288874976</v>
          </cell>
          <cell r="AF142">
            <v>135.28959561431549</v>
          </cell>
          <cell r="AG142">
            <v>120.91724833988118</v>
          </cell>
          <cell r="AH142">
            <v>106.54490106544691</v>
          </cell>
        </row>
        <row r="143">
          <cell r="B143" t="str">
            <v/>
          </cell>
        </row>
        <row r="144">
          <cell r="B144" t="str">
            <v>e-hydrogen - OPEX - Global - USD/ton fuel</v>
          </cell>
          <cell r="G144">
            <v>778.63990898977545</v>
          </cell>
          <cell r="H144">
            <v>746.81733762687418</v>
          </cell>
          <cell r="I144">
            <v>712.61415525113227</v>
          </cell>
          <cell r="J144">
            <v>693.21795180920219</v>
          </cell>
          <cell r="K144">
            <v>670.22211331548374</v>
          </cell>
          <cell r="L144">
            <v>643.6266397699726</v>
          </cell>
          <cell r="M144">
            <v>613.43153117270822</v>
          </cell>
          <cell r="N144">
            <v>579.63678752365013</v>
          </cell>
          <cell r="O144">
            <v>578.89498738880036</v>
          </cell>
          <cell r="P144">
            <v>573.27415594361116</v>
          </cell>
          <cell r="Q144">
            <v>562.77429318809038</v>
          </cell>
          <cell r="R144">
            <v>547.39539912221437</v>
          </cell>
          <cell r="S144">
            <v>527.13747374599984</v>
          </cell>
          <cell r="T144">
            <v>508.91545321169565</v>
          </cell>
          <cell r="U144">
            <v>487.75740898550708</v>
          </cell>
          <cell r="V144">
            <v>463.66334106745865</v>
          </cell>
          <cell r="W144">
            <v>436.63324945751151</v>
          </cell>
          <cell r="X144">
            <v>406.66713415568563</v>
          </cell>
          <cell r="Y144">
            <v>382.32288786138321</v>
          </cell>
          <cell r="Z144">
            <v>356.52173881762411</v>
          </cell>
          <cell r="AA144">
            <v>329.2636870244329</v>
          </cell>
          <cell r="AB144">
            <v>300.54873248178433</v>
          </cell>
          <cell r="AC144">
            <v>270.37687518969852</v>
          </cell>
          <cell r="AD144">
            <v>247.55933903156756</v>
          </cell>
          <cell r="AE144">
            <v>224.18137658421693</v>
          </cell>
          <cell r="AF144">
            <v>200.24298784764761</v>
          </cell>
          <cell r="AG144">
            <v>175.74417282185905</v>
          </cell>
          <cell r="AH144">
            <v>150.68493150685131</v>
          </cell>
        </row>
        <row r="145">
          <cell r="B145" t="str">
            <v>e-hydrogen (Alkaline) - OPEX - Global - USD/ton fuel</v>
          </cell>
          <cell r="G145">
            <v>697.64114192676789</v>
          </cell>
          <cell r="H145">
            <v>662.74751160264714</v>
          </cell>
          <cell r="I145">
            <v>627.85388127852639</v>
          </cell>
          <cell r="J145">
            <v>593.23905119094707</v>
          </cell>
          <cell r="K145">
            <v>558.62422110336774</v>
          </cell>
          <cell r="L145">
            <v>524.00939101577387</v>
          </cell>
          <cell r="M145">
            <v>489.39456092819455</v>
          </cell>
          <cell r="N145">
            <v>454.77973084061523</v>
          </cell>
          <cell r="O145">
            <v>445.92022575740339</v>
          </cell>
          <cell r="P145">
            <v>437.06072067419154</v>
          </cell>
          <cell r="Q145">
            <v>428.2012155909797</v>
          </cell>
          <cell r="R145">
            <v>419.34171050776786</v>
          </cell>
          <cell r="S145">
            <v>410.48220542455965</v>
          </cell>
          <cell r="T145">
            <v>401.69267133249741</v>
          </cell>
          <cell r="U145">
            <v>392.90313724043517</v>
          </cell>
          <cell r="V145">
            <v>384.11360314837293</v>
          </cell>
          <cell r="W145">
            <v>375.32406905631433</v>
          </cell>
          <cell r="X145">
            <v>366.53453496425209</v>
          </cell>
          <cell r="Y145">
            <v>357.81455161977647</v>
          </cell>
          <cell r="Z145">
            <v>349.09456827530448</v>
          </cell>
          <cell r="AA145">
            <v>340.37458493082886</v>
          </cell>
          <cell r="AB145">
            <v>331.65460158635688</v>
          </cell>
          <cell r="AC145">
            <v>322.93461824188489</v>
          </cell>
          <cell r="AD145">
            <v>314.28376765286885</v>
          </cell>
          <cell r="AE145">
            <v>305.6329170638528</v>
          </cell>
          <cell r="AF145">
            <v>296.98206647483676</v>
          </cell>
          <cell r="AG145">
            <v>288.33121588582071</v>
          </cell>
          <cell r="AH145">
            <v>279.68036529680467</v>
          </cell>
        </row>
        <row r="146">
          <cell r="B146" t="str">
            <v>e-hydrogen (PEM) - OPEX - Global - USD/ton fuel</v>
          </cell>
          <cell r="G146">
            <v>910.59019561100286</v>
          </cell>
          <cell r="H146">
            <v>850.84304301098746</v>
          </cell>
          <cell r="I146">
            <v>791.09589041095751</v>
          </cell>
          <cell r="J146">
            <v>739.18362051235454</v>
          </cell>
          <cell r="K146">
            <v>687.27135061373701</v>
          </cell>
          <cell r="L146">
            <v>635.35908071511949</v>
          </cell>
          <cell r="M146">
            <v>583.44681081651652</v>
          </cell>
          <cell r="N146">
            <v>531.53454091789899</v>
          </cell>
          <cell r="O146">
            <v>514.23266631403385</v>
          </cell>
          <cell r="P146">
            <v>496.93079171016871</v>
          </cell>
          <cell r="Q146">
            <v>479.62891710631084</v>
          </cell>
          <cell r="R146">
            <v>462.32704250244569</v>
          </cell>
          <cell r="S146">
            <v>445.02516789858055</v>
          </cell>
          <cell r="T146">
            <v>429.74177295655682</v>
          </cell>
          <cell r="U146">
            <v>414.45837801453308</v>
          </cell>
          <cell r="V146">
            <v>399.17498307250935</v>
          </cell>
          <cell r="W146">
            <v>383.89158813048562</v>
          </cell>
          <cell r="X146">
            <v>368.60819318846188</v>
          </cell>
          <cell r="Y146">
            <v>355.13620468719091</v>
          </cell>
          <cell r="Z146">
            <v>341.66421618591994</v>
          </cell>
          <cell r="AA146">
            <v>328.19222768464897</v>
          </cell>
          <cell r="AB146">
            <v>314.720239183378</v>
          </cell>
          <cell r="AC146">
            <v>301.24825068211067</v>
          </cell>
          <cell r="AD146">
            <v>289.40042702970823</v>
          </cell>
          <cell r="AE146">
            <v>277.55260337730215</v>
          </cell>
          <cell r="AF146">
            <v>265.70477972489971</v>
          </cell>
          <cell r="AG146">
            <v>253.85695607249727</v>
          </cell>
          <cell r="AH146">
            <v>242.00913242009119</v>
          </cell>
        </row>
        <row r="147">
          <cell r="B147" t="str">
            <v>e-hydrogen (Solid oxide) - OPEX - Global - USD/ton fuel</v>
          </cell>
          <cell r="G147">
            <v>1764.9906324479671</v>
          </cell>
          <cell r="H147">
            <v>1635.919973758253</v>
          </cell>
          <cell r="I147">
            <v>1506.8493150684808</v>
          </cell>
          <cell r="J147">
            <v>1410.6202478319756</v>
          </cell>
          <cell r="K147">
            <v>1314.3911805954413</v>
          </cell>
          <cell r="L147">
            <v>1218.1621133589069</v>
          </cell>
          <cell r="M147">
            <v>1121.9330461224017</v>
          </cell>
          <cell r="N147">
            <v>1025.7039788858674</v>
          </cell>
          <cell r="O147">
            <v>957.9671748035762</v>
          </cell>
          <cell r="P147">
            <v>890.23037072125589</v>
          </cell>
          <cell r="Q147">
            <v>822.49356663896469</v>
          </cell>
          <cell r="R147">
            <v>754.75676255667349</v>
          </cell>
          <cell r="S147">
            <v>687.01995847435319</v>
          </cell>
          <cell r="T147">
            <v>637.21492319114623</v>
          </cell>
          <cell r="U147">
            <v>587.40988790793926</v>
          </cell>
          <cell r="V147">
            <v>537.60485262474685</v>
          </cell>
          <cell r="W147">
            <v>487.79981734153989</v>
          </cell>
          <cell r="X147">
            <v>437.99478205834748</v>
          </cell>
          <cell r="Y147">
            <v>401.8250827852753</v>
          </cell>
          <cell r="Z147">
            <v>365.65538351218856</v>
          </cell>
          <cell r="AA147">
            <v>329.48568423911638</v>
          </cell>
          <cell r="AB147">
            <v>293.31598496602965</v>
          </cell>
          <cell r="AC147">
            <v>257.14628569295019</v>
          </cell>
          <cell r="AD147">
            <v>231.28780481006834</v>
          </cell>
          <cell r="AE147">
            <v>205.42932392718649</v>
          </cell>
          <cell r="AF147">
            <v>179.57084304430464</v>
          </cell>
          <cell r="AG147">
            <v>153.71236216142279</v>
          </cell>
          <cell r="AH147">
            <v>127.85388127854094</v>
          </cell>
        </row>
        <row r="148">
          <cell r="B148" t="str">
            <v/>
          </cell>
        </row>
        <row r="149">
          <cell r="B149" t="str">
            <v>e-hydrogen - Finance cost - Africa - USD/ton fuel</v>
          </cell>
          <cell r="G149">
            <v>423.4664833247287</v>
          </cell>
          <cell r="H149">
            <v>407.9080597487058</v>
          </cell>
          <cell r="I149">
            <v>391.93778538812398</v>
          </cell>
          <cell r="J149">
            <v>383.67894989578463</v>
          </cell>
          <cell r="K149">
            <v>374.65498754747659</v>
          </cell>
          <cell r="L149">
            <v>364.86589834320779</v>
          </cell>
          <cell r="M149">
            <v>354.31168228298088</v>
          </cell>
          <cell r="N149">
            <v>342.99233936678479</v>
          </cell>
          <cell r="O149">
            <v>350.20750340232428</v>
          </cell>
          <cell r="P149">
            <v>355.6383130013013</v>
          </cell>
          <cell r="Q149">
            <v>359.28476816371159</v>
          </cell>
          <cell r="R149">
            <v>361.14686888954691</v>
          </cell>
          <cell r="S149">
            <v>361.22461517882164</v>
          </cell>
          <cell r="T149">
            <v>358.40192634457429</v>
          </cell>
          <cell r="U149">
            <v>354.10652475046084</v>
          </cell>
          <cell r="V149">
            <v>348.33841039649622</v>
          </cell>
          <cell r="W149">
            <v>341.09758328266571</v>
          </cell>
          <cell r="X149">
            <v>332.38404340896386</v>
          </cell>
          <cell r="Y149">
            <v>321.22576094613464</v>
          </cell>
          <cell r="Z149">
            <v>308.95623454830633</v>
          </cell>
          <cell r="AA149">
            <v>295.57546421549114</v>
          </cell>
          <cell r="AB149">
            <v>281.08344994768112</v>
          </cell>
          <cell r="AC149">
            <v>265.48019174487365</v>
          </cell>
          <cell r="AD149">
            <v>248.55741402200647</v>
          </cell>
          <cell r="AE149">
            <v>230.93955849750063</v>
          </cell>
          <cell r="AF149">
            <v>212.62662517135635</v>
          </cell>
          <cell r="AG149">
            <v>193.61861404357347</v>
          </cell>
          <cell r="AH149">
            <v>173.9155251141523</v>
          </cell>
        </row>
        <row r="150">
          <cell r="B150" t="str">
            <v>e-hydrogen - Finance cost - Americas - USD/ton fuel</v>
          </cell>
          <cell r="G150">
            <v>423.4664833247287</v>
          </cell>
          <cell r="H150">
            <v>407.9080597487058</v>
          </cell>
          <cell r="I150">
            <v>391.93778538812398</v>
          </cell>
          <cell r="J150">
            <v>383.67894989578463</v>
          </cell>
          <cell r="K150">
            <v>374.65498754747659</v>
          </cell>
          <cell r="L150">
            <v>364.86589834320779</v>
          </cell>
          <cell r="M150">
            <v>354.31168228298088</v>
          </cell>
          <cell r="N150">
            <v>342.99233936678479</v>
          </cell>
          <cell r="O150">
            <v>350.20750340232428</v>
          </cell>
          <cell r="P150">
            <v>355.6383130013013</v>
          </cell>
          <cell r="Q150">
            <v>359.28476816371159</v>
          </cell>
          <cell r="R150">
            <v>361.14686888954691</v>
          </cell>
          <cell r="S150">
            <v>361.22461517882164</v>
          </cell>
          <cell r="T150">
            <v>358.40192634457429</v>
          </cell>
          <cell r="U150">
            <v>354.10652475046084</v>
          </cell>
          <cell r="V150">
            <v>348.33841039649622</v>
          </cell>
          <cell r="W150">
            <v>341.09758328266571</v>
          </cell>
          <cell r="X150">
            <v>332.38404340896386</v>
          </cell>
          <cell r="Y150">
            <v>321.22576094613464</v>
          </cell>
          <cell r="Z150">
            <v>308.95623454830633</v>
          </cell>
          <cell r="AA150">
            <v>295.57546421549114</v>
          </cell>
          <cell r="AB150">
            <v>281.08344994768112</v>
          </cell>
          <cell r="AC150">
            <v>265.48019174487365</v>
          </cell>
          <cell r="AD150">
            <v>248.55741402200647</v>
          </cell>
          <cell r="AE150">
            <v>230.93955849750063</v>
          </cell>
          <cell r="AF150">
            <v>212.62662517135635</v>
          </cell>
          <cell r="AG150">
            <v>193.61861404357347</v>
          </cell>
          <cell r="AH150">
            <v>173.9155251141523</v>
          </cell>
        </row>
        <row r="151">
          <cell r="B151" t="str">
            <v>e-hydrogen - Finance cost - Asia - USD/ton fuel</v>
          </cell>
          <cell r="G151">
            <v>423.4664833247287</v>
          </cell>
          <cell r="H151">
            <v>407.9080597487058</v>
          </cell>
          <cell r="I151">
            <v>391.93778538812398</v>
          </cell>
          <cell r="J151">
            <v>383.67894989578463</v>
          </cell>
          <cell r="K151">
            <v>374.65498754747659</v>
          </cell>
          <cell r="L151">
            <v>364.86589834320779</v>
          </cell>
          <cell r="M151">
            <v>354.31168228298088</v>
          </cell>
          <cell r="N151">
            <v>342.99233936678479</v>
          </cell>
          <cell r="O151">
            <v>350.20750340232428</v>
          </cell>
          <cell r="P151">
            <v>355.6383130013013</v>
          </cell>
          <cell r="Q151">
            <v>359.28476816371159</v>
          </cell>
          <cell r="R151">
            <v>361.14686888954691</v>
          </cell>
          <cell r="S151">
            <v>361.22461517882164</v>
          </cell>
          <cell r="T151">
            <v>358.40192634457429</v>
          </cell>
          <cell r="U151">
            <v>354.10652475046084</v>
          </cell>
          <cell r="V151">
            <v>348.33841039649622</v>
          </cell>
          <cell r="W151">
            <v>341.09758328266571</v>
          </cell>
          <cell r="X151">
            <v>332.38404340896386</v>
          </cell>
          <cell r="Y151">
            <v>321.22576094613464</v>
          </cell>
          <cell r="Z151">
            <v>308.95623454830633</v>
          </cell>
          <cell r="AA151">
            <v>295.57546421549114</v>
          </cell>
          <cell r="AB151">
            <v>281.08344994768112</v>
          </cell>
          <cell r="AC151">
            <v>265.48019174487365</v>
          </cell>
          <cell r="AD151">
            <v>248.55741402200647</v>
          </cell>
          <cell r="AE151">
            <v>230.93955849750063</v>
          </cell>
          <cell r="AF151">
            <v>212.62662517135635</v>
          </cell>
          <cell r="AG151">
            <v>193.61861404357347</v>
          </cell>
          <cell r="AH151">
            <v>173.9155251141523</v>
          </cell>
        </row>
        <row r="152">
          <cell r="B152" t="str">
            <v>e-hydrogen - Finance cost - Europe - USD/ton fuel</v>
          </cell>
          <cell r="G152">
            <v>423.4664833247287</v>
          </cell>
          <cell r="H152">
            <v>407.9080597487058</v>
          </cell>
          <cell r="I152">
            <v>391.93778538812398</v>
          </cell>
          <cell r="J152">
            <v>383.67894989578463</v>
          </cell>
          <cell r="K152">
            <v>374.65498754747659</v>
          </cell>
          <cell r="L152">
            <v>364.86589834320779</v>
          </cell>
          <cell r="M152">
            <v>354.31168228298088</v>
          </cell>
          <cell r="N152">
            <v>342.99233936678479</v>
          </cell>
          <cell r="O152">
            <v>350.20750340232428</v>
          </cell>
          <cell r="P152">
            <v>355.6383130013013</v>
          </cell>
          <cell r="Q152">
            <v>359.28476816371159</v>
          </cell>
          <cell r="R152">
            <v>361.14686888954691</v>
          </cell>
          <cell r="S152">
            <v>361.22461517882164</v>
          </cell>
          <cell r="T152">
            <v>358.40192634457429</v>
          </cell>
          <cell r="U152">
            <v>354.10652475046084</v>
          </cell>
          <cell r="V152">
            <v>348.33841039649622</v>
          </cell>
          <cell r="W152">
            <v>341.09758328266571</v>
          </cell>
          <cell r="X152">
            <v>332.38404340896386</v>
          </cell>
          <cell r="Y152">
            <v>321.22576094613464</v>
          </cell>
          <cell r="Z152">
            <v>308.95623454830633</v>
          </cell>
          <cell r="AA152">
            <v>295.57546421549114</v>
          </cell>
          <cell r="AB152">
            <v>281.08344994768112</v>
          </cell>
          <cell r="AC152">
            <v>265.48019174487365</v>
          </cell>
          <cell r="AD152">
            <v>248.55741402200647</v>
          </cell>
          <cell r="AE152">
            <v>230.93955849750063</v>
          </cell>
          <cell r="AF152">
            <v>212.62662517135635</v>
          </cell>
          <cell r="AG152">
            <v>193.61861404357347</v>
          </cell>
          <cell r="AH152">
            <v>173.9155251141523</v>
          </cell>
        </row>
        <row r="153">
          <cell r="B153" t="str">
            <v>e-hydrogen - Finance cost - Middle East - USD/ton fuel</v>
          </cell>
          <cell r="G153">
            <v>423.4664833247287</v>
          </cell>
          <cell r="H153">
            <v>407.9080597487058</v>
          </cell>
          <cell r="I153">
            <v>391.93778538812398</v>
          </cell>
          <cell r="J153">
            <v>383.67894989578463</v>
          </cell>
          <cell r="K153">
            <v>374.65498754747659</v>
          </cell>
          <cell r="L153">
            <v>364.86589834320779</v>
          </cell>
          <cell r="M153">
            <v>354.31168228298088</v>
          </cell>
          <cell r="N153">
            <v>342.99233936678479</v>
          </cell>
          <cell r="O153">
            <v>350.20750340232428</v>
          </cell>
          <cell r="P153">
            <v>355.6383130013013</v>
          </cell>
          <cell r="Q153">
            <v>359.28476816371159</v>
          </cell>
          <cell r="R153">
            <v>361.14686888954691</v>
          </cell>
          <cell r="S153">
            <v>361.22461517882164</v>
          </cell>
          <cell r="T153">
            <v>358.40192634457429</v>
          </cell>
          <cell r="U153">
            <v>354.10652475046084</v>
          </cell>
          <cell r="V153">
            <v>348.33841039649622</v>
          </cell>
          <cell r="W153">
            <v>341.09758328266571</v>
          </cell>
          <cell r="X153">
            <v>332.38404340896386</v>
          </cell>
          <cell r="Y153">
            <v>321.22576094613464</v>
          </cell>
          <cell r="Z153">
            <v>308.95623454830633</v>
          </cell>
          <cell r="AA153">
            <v>295.57546421549114</v>
          </cell>
          <cell r="AB153">
            <v>281.08344994768112</v>
          </cell>
          <cell r="AC153">
            <v>265.48019174487365</v>
          </cell>
          <cell r="AD153">
            <v>248.55741402200647</v>
          </cell>
          <cell r="AE153">
            <v>230.93955849750063</v>
          </cell>
          <cell r="AF153">
            <v>212.62662517135635</v>
          </cell>
          <cell r="AG153">
            <v>193.61861404357347</v>
          </cell>
          <cell r="AH153">
            <v>173.9155251141523</v>
          </cell>
        </row>
        <row r="154">
          <cell r="B154" t="str">
            <v>e-hydrogen (Alkaline) - Finance - Africa - USD/ton fuel</v>
          </cell>
          <cell r="G154">
            <v>383.70262805971436</v>
          </cell>
          <cell r="H154">
            <v>364.51113138145598</v>
          </cell>
          <cell r="I154">
            <v>345.31963470319118</v>
          </cell>
          <cell r="J154">
            <v>326.28147815502251</v>
          </cell>
          <cell r="K154">
            <v>307.24332160684747</v>
          </cell>
          <cell r="L154">
            <v>288.20516505867886</v>
          </cell>
          <cell r="M154">
            <v>269.16700851051024</v>
          </cell>
          <cell r="N154">
            <v>250.1288519623352</v>
          </cell>
          <cell r="O154">
            <v>245.2561241665739</v>
          </cell>
          <cell r="P154">
            <v>240.38339637080779</v>
          </cell>
          <cell r="Q154">
            <v>235.51066857504168</v>
          </cell>
          <cell r="R154">
            <v>230.63794077927557</v>
          </cell>
          <cell r="S154">
            <v>225.76521298350784</v>
          </cell>
          <cell r="T154">
            <v>220.93096923287482</v>
          </cell>
          <cell r="U154">
            <v>216.09672548224017</v>
          </cell>
          <cell r="V154">
            <v>211.26248173160715</v>
          </cell>
          <cell r="W154">
            <v>206.42823798097251</v>
          </cell>
          <cell r="X154">
            <v>201.59399423033628</v>
          </cell>
          <cell r="Y154">
            <v>196.79800339087629</v>
          </cell>
          <cell r="Z154">
            <v>192.0020125514163</v>
          </cell>
          <cell r="AA154">
            <v>187.20602171195469</v>
          </cell>
          <cell r="AB154">
            <v>182.4100308724947</v>
          </cell>
          <cell r="AC154">
            <v>177.6140400330363</v>
          </cell>
          <cell r="AD154">
            <v>172.85607220907829</v>
          </cell>
          <cell r="AE154">
            <v>168.09810438511866</v>
          </cell>
          <cell r="AF154">
            <v>163.34013656116065</v>
          </cell>
          <cell r="AG154">
            <v>158.58216873720261</v>
          </cell>
          <cell r="AH154">
            <v>153.82420091324298</v>
          </cell>
        </row>
        <row r="155">
          <cell r="B155" t="str">
            <v>e-hydrogen (Alkaline) - Finance - Americas - USD/ton fuel</v>
          </cell>
          <cell r="G155">
            <v>383.70262805971436</v>
          </cell>
          <cell r="H155">
            <v>364.51113138145598</v>
          </cell>
          <cell r="I155">
            <v>345.31963470319118</v>
          </cell>
          <cell r="J155">
            <v>326.28147815502251</v>
          </cell>
          <cell r="K155">
            <v>307.24332160684747</v>
          </cell>
          <cell r="L155">
            <v>288.20516505867886</v>
          </cell>
          <cell r="M155">
            <v>269.16700851051024</v>
          </cell>
          <cell r="N155">
            <v>250.1288519623352</v>
          </cell>
          <cell r="O155">
            <v>245.2561241665739</v>
          </cell>
          <cell r="P155">
            <v>240.38339637080779</v>
          </cell>
          <cell r="Q155">
            <v>235.51066857504168</v>
          </cell>
          <cell r="R155">
            <v>230.63794077927557</v>
          </cell>
          <cell r="S155">
            <v>225.76521298350784</v>
          </cell>
          <cell r="T155">
            <v>220.93096923287482</v>
          </cell>
          <cell r="U155">
            <v>216.09672548224017</v>
          </cell>
          <cell r="V155">
            <v>211.26248173160715</v>
          </cell>
          <cell r="W155">
            <v>206.42823798097251</v>
          </cell>
          <cell r="X155">
            <v>201.59399423033628</v>
          </cell>
          <cell r="Y155">
            <v>196.79800339087629</v>
          </cell>
          <cell r="Z155">
            <v>192.0020125514163</v>
          </cell>
          <cell r="AA155">
            <v>187.20602171195469</v>
          </cell>
          <cell r="AB155">
            <v>182.4100308724947</v>
          </cell>
          <cell r="AC155">
            <v>177.6140400330363</v>
          </cell>
          <cell r="AD155">
            <v>172.85607220907829</v>
          </cell>
          <cell r="AE155">
            <v>168.09810438511866</v>
          </cell>
          <cell r="AF155">
            <v>163.34013656116065</v>
          </cell>
          <cell r="AG155">
            <v>158.58216873720261</v>
          </cell>
          <cell r="AH155">
            <v>153.82420091324298</v>
          </cell>
        </row>
        <row r="156">
          <cell r="B156" t="str">
            <v>e-hydrogen (Alkaline) - Finance - Asia - USD/ton fuel</v>
          </cell>
          <cell r="G156">
            <v>383.70262805971436</v>
          </cell>
          <cell r="H156">
            <v>364.51113138145598</v>
          </cell>
          <cell r="I156">
            <v>345.31963470319118</v>
          </cell>
          <cell r="J156">
            <v>326.28147815502251</v>
          </cell>
          <cell r="K156">
            <v>307.24332160684747</v>
          </cell>
          <cell r="L156">
            <v>288.20516505867886</v>
          </cell>
          <cell r="M156">
            <v>269.16700851051024</v>
          </cell>
          <cell r="N156">
            <v>250.1288519623352</v>
          </cell>
          <cell r="O156">
            <v>245.2561241665739</v>
          </cell>
          <cell r="P156">
            <v>240.38339637080779</v>
          </cell>
          <cell r="Q156">
            <v>235.51066857504168</v>
          </cell>
          <cell r="R156">
            <v>230.63794077927557</v>
          </cell>
          <cell r="S156">
            <v>225.76521298350784</v>
          </cell>
          <cell r="T156">
            <v>220.93096923287482</v>
          </cell>
          <cell r="U156">
            <v>216.09672548224017</v>
          </cell>
          <cell r="V156">
            <v>211.26248173160715</v>
          </cell>
          <cell r="W156">
            <v>206.42823798097251</v>
          </cell>
          <cell r="X156">
            <v>201.59399423033628</v>
          </cell>
          <cell r="Y156">
            <v>196.79800339087629</v>
          </cell>
          <cell r="Z156">
            <v>192.0020125514163</v>
          </cell>
          <cell r="AA156">
            <v>187.20602171195469</v>
          </cell>
          <cell r="AB156">
            <v>182.4100308724947</v>
          </cell>
          <cell r="AC156">
            <v>177.6140400330363</v>
          </cell>
          <cell r="AD156">
            <v>172.85607220907829</v>
          </cell>
          <cell r="AE156">
            <v>168.09810438511866</v>
          </cell>
          <cell r="AF156">
            <v>163.34013656116065</v>
          </cell>
          <cell r="AG156">
            <v>158.58216873720261</v>
          </cell>
          <cell r="AH156">
            <v>153.82420091324298</v>
          </cell>
        </row>
        <row r="157">
          <cell r="B157" t="str">
            <v>e-hydrogen (Alkaline) - Finance - Europe - USD/ton fuel</v>
          </cell>
          <cell r="G157">
            <v>383.70262805971436</v>
          </cell>
          <cell r="H157">
            <v>364.51113138145598</v>
          </cell>
          <cell r="I157">
            <v>345.31963470319118</v>
          </cell>
          <cell r="J157">
            <v>326.28147815502251</v>
          </cell>
          <cell r="K157">
            <v>307.24332160684747</v>
          </cell>
          <cell r="L157">
            <v>288.20516505867886</v>
          </cell>
          <cell r="M157">
            <v>269.16700851051024</v>
          </cell>
          <cell r="N157">
            <v>250.1288519623352</v>
          </cell>
          <cell r="O157">
            <v>245.2561241665739</v>
          </cell>
          <cell r="P157">
            <v>240.38339637080779</v>
          </cell>
          <cell r="Q157">
            <v>235.51066857504168</v>
          </cell>
          <cell r="R157">
            <v>230.63794077927557</v>
          </cell>
          <cell r="S157">
            <v>225.76521298350784</v>
          </cell>
          <cell r="T157">
            <v>220.93096923287482</v>
          </cell>
          <cell r="U157">
            <v>216.09672548224017</v>
          </cell>
          <cell r="V157">
            <v>211.26248173160715</v>
          </cell>
          <cell r="W157">
            <v>206.42823798097251</v>
          </cell>
          <cell r="X157">
            <v>201.59399423033628</v>
          </cell>
          <cell r="Y157">
            <v>196.79800339087629</v>
          </cell>
          <cell r="Z157">
            <v>192.0020125514163</v>
          </cell>
          <cell r="AA157">
            <v>187.20602171195469</v>
          </cell>
          <cell r="AB157">
            <v>182.4100308724947</v>
          </cell>
          <cell r="AC157">
            <v>177.6140400330363</v>
          </cell>
          <cell r="AD157">
            <v>172.85607220907829</v>
          </cell>
          <cell r="AE157">
            <v>168.09810438511866</v>
          </cell>
          <cell r="AF157">
            <v>163.34013656116065</v>
          </cell>
          <cell r="AG157">
            <v>158.58216873720261</v>
          </cell>
          <cell r="AH157">
            <v>153.82420091324298</v>
          </cell>
        </row>
        <row r="158">
          <cell r="B158" t="str">
            <v>e-hydrogen (Alkaline) - Finance - Middle East - USD/ton fuel</v>
          </cell>
          <cell r="G158">
            <v>383.70262805971436</v>
          </cell>
          <cell r="H158">
            <v>364.51113138145598</v>
          </cell>
          <cell r="I158">
            <v>345.31963470319118</v>
          </cell>
          <cell r="J158">
            <v>326.28147815502251</v>
          </cell>
          <cell r="K158">
            <v>307.24332160684747</v>
          </cell>
          <cell r="L158">
            <v>288.20516505867886</v>
          </cell>
          <cell r="M158">
            <v>269.16700851051024</v>
          </cell>
          <cell r="N158">
            <v>250.1288519623352</v>
          </cell>
          <cell r="O158">
            <v>245.2561241665739</v>
          </cell>
          <cell r="P158">
            <v>240.38339637080779</v>
          </cell>
          <cell r="Q158">
            <v>235.51066857504168</v>
          </cell>
          <cell r="R158">
            <v>230.63794077927557</v>
          </cell>
          <cell r="S158">
            <v>225.76521298350784</v>
          </cell>
          <cell r="T158">
            <v>220.93096923287482</v>
          </cell>
          <cell r="U158">
            <v>216.09672548224017</v>
          </cell>
          <cell r="V158">
            <v>211.26248173160715</v>
          </cell>
          <cell r="W158">
            <v>206.42823798097251</v>
          </cell>
          <cell r="X158">
            <v>201.59399423033628</v>
          </cell>
          <cell r="Y158">
            <v>196.79800339087629</v>
          </cell>
          <cell r="Z158">
            <v>192.0020125514163</v>
          </cell>
          <cell r="AA158">
            <v>187.20602171195469</v>
          </cell>
          <cell r="AB158">
            <v>182.4100308724947</v>
          </cell>
          <cell r="AC158">
            <v>177.6140400330363</v>
          </cell>
          <cell r="AD158">
            <v>172.85607220907829</v>
          </cell>
          <cell r="AE158">
            <v>168.09810438511866</v>
          </cell>
          <cell r="AF158">
            <v>163.34013656116065</v>
          </cell>
          <cell r="AG158">
            <v>158.58216873720261</v>
          </cell>
          <cell r="AH158">
            <v>153.82420091324298</v>
          </cell>
        </row>
        <row r="159">
          <cell r="B159" t="str">
            <v>e-hydrogen (PEM) - Finance - Africa - USD/ton fuel</v>
          </cell>
          <cell r="G159">
            <v>490.35955357541746</v>
          </cell>
          <cell r="H159">
            <v>462.73114665072126</v>
          </cell>
          <cell r="I159">
            <v>435.10273972602511</v>
          </cell>
          <cell r="J159">
            <v>409.21948113156253</v>
          </cell>
          <cell r="K159">
            <v>383.33622253710001</v>
          </cell>
          <cell r="L159">
            <v>357.4529639426375</v>
          </cell>
          <cell r="M159">
            <v>331.56970534817492</v>
          </cell>
          <cell r="N159">
            <v>305.6864467537124</v>
          </cell>
          <cell r="O159">
            <v>298.07225786132858</v>
          </cell>
          <cell r="P159">
            <v>290.45806896894794</v>
          </cell>
          <cell r="Q159">
            <v>282.8438800765673</v>
          </cell>
          <cell r="R159">
            <v>275.22969118418348</v>
          </cell>
          <cell r="S159">
            <v>267.61550229179966</v>
          </cell>
          <cell r="T159">
            <v>260.44815878833327</v>
          </cell>
          <cell r="U159">
            <v>253.28081528486686</v>
          </cell>
          <cell r="V159">
            <v>246.11347178140048</v>
          </cell>
          <cell r="W159">
            <v>238.94612827793728</v>
          </cell>
          <cell r="X159">
            <v>231.77878477447086</v>
          </cell>
          <cell r="Y159">
            <v>225.03671148919329</v>
          </cell>
          <cell r="Z159">
            <v>218.2946382039157</v>
          </cell>
          <cell r="AA159">
            <v>211.55256491863813</v>
          </cell>
          <cell r="AB159">
            <v>204.81049163336053</v>
          </cell>
          <cell r="AC159">
            <v>198.06841834808296</v>
          </cell>
          <cell r="AD159">
            <v>191.73099038622811</v>
          </cell>
          <cell r="AE159">
            <v>185.39356242437486</v>
          </cell>
          <cell r="AF159">
            <v>179.05613446252002</v>
          </cell>
          <cell r="AG159">
            <v>172.71870650066515</v>
          </cell>
          <cell r="AH159">
            <v>166.38127853881193</v>
          </cell>
        </row>
        <row r="160">
          <cell r="B160" t="str">
            <v>e-hydrogen (PEM) - Finance - Americas - USD/ton fuel</v>
          </cell>
          <cell r="G160">
            <v>490.35955357541746</v>
          </cell>
          <cell r="H160">
            <v>462.73114665072126</v>
          </cell>
          <cell r="I160">
            <v>435.10273972602511</v>
          </cell>
          <cell r="J160">
            <v>409.21948113156253</v>
          </cell>
          <cell r="K160">
            <v>383.33622253710001</v>
          </cell>
          <cell r="L160">
            <v>357.4529639426375</v>
          </cell>
          <cell r="M160">
            <v>331.56970534817492</v>
          </cell>
          <cell r="N160">
            <v>305.6864467537124</v>
          </cell>
          <cell r="O160">
            <v>298.07225786132858</v>
          </cell>
          <cell r="P160">
            <v>290.45806896894794</v>
          </cell>
          <cell r="Q160">
            <v>282.8438800765673</v>
          </cell>
          <cell r="R160">
            <v>275.22969118418348</v>
          </cell>
          <cell r="S160">
            <v>267.61550229179966</v>
          </cell>
          <cell r="T160">
            <v>260.44815878833327</v>
          </cell>
          <cell r="U160">
            <v>253.28081528486686</v>
          </cell>
          <cell r="V160">
            <v>246.11347178140048</v>
          </cell>
          <cell r="W160">
            <v>238.94612827793728</v>
          </cell>
          <cell r="X160">
            <v>231.77878477447086</v>
          </cell>
          <cell r="Y160">
            <v>225.03671148919329</v>
          </cell>
          <cell r="Z160">
            <v>218.2946382039157</v>
          </cell>
          <cell r="AA160">
            <v>211.55256491863813</v>
          </cell>
          <cell r="AB160">
            <v>204.81049163336053</v>
          </cell>
          <cell r="AC160">
            <v>198.06841834808296</v>
          </cell>
          <cell r="AD160">
            <v>191.73099038622811</v>
          </cell>
          <cell r="AE160">
            <v>185.39356242437486</v>
          </cell>
          <cell r="AF160">
            <v>179.05613446252002</v>
          </cell>
          <cell r="AG160">
            <v>172.71870650066515</v>
          </cell>
          <cell r="AH160">
            <v>166.38127853881193</v>
          </cell>
        </row>
        <row r="161">
          <cell r="B161" t="str">
            <v>e-hydrogen (PEM) - Finance - Asia - USD/ton fuel</v>
          </cell>
          <cell r="G161">
            <v>490.35955357541746</v>
          </cell>
          <cell r="H161">
            <v>462.73114665072126</v>
          </cell>
          <cell r="I161">
            <v>435.10273972602511</v>
          </cell>
          <cell r="J161">
            <v>409.21948113156253</v>
          </cell>
          <cell r="K161">
            <v>383.33622253710001</v>
          </cell>
          <cell r="L161">
            <v>357.4529639426375</v>
          </cell>
          <cell r="M161">
            <v>331.56970534817492</v>
          </cell>
          <cell r="N161">
            <v>305.6864467537124</v>
          </cell>
          <cell r="O161">
            <v>298.07225786132858</v>
          </cell>
          <cell r="P161">
            <v>290.45806896894794</v>
          </cell>
          <cell r="Q161">
            <v>282.8438800765673</v>
          </cell>
          <cell r="R161">
            <v>275.22969118418348</v>
          </cell>
          <cell r="S161">
            <v>267.61550229179966</v>
          </cell>
          <cell r="T161">
            <v>260.44815878833327</v>
          </cell>
          <cell r="U161">
            <v>253.28081528486686</v>
          </cell>
          <cell r="V161">
            <v>246.11347178140048</v>
          </cell>
          <cell r="W161">
            <v>238.94612827793728</v>
          </cell>
          <cell r="X161">
            <v>231.77878477447086</v>
          </cell>
          <cell r="Y161">
            <v>225.03671148919329</v>
          </cell>
          <cell r="Z161">
            <v>218.2946382039157</v>
          </cell>
          <cell r="AA161">
            <v>211.55256491863813</v>
          </cell>
          <cell r="AB161">
            <v>204.81049163336053</v>
          </cell>
          <cell r="AC161">
            <v>198.06841834808296</v>
          </cell>
          <cell r="AD161">
            <v>191.73099038622811</v>
          </cell>
          <cell r="AE161">
            <v>185.39356242437486</v>
          </cell>
          <cell r="AF161">
            <v>179.05613446252002</v>
          </cell>
          <cell r="AG161">
            <v>172.71870650066515</v>
          </cell>
          <cell r="AH161">
            <v>166.38127853881193</v>
          </cell>
        </row>
        <row r="162">
          <cell r="B162" t="str">
            <v>e-hydrogen (PEM) - Finance - Europe - USD/ton fuel</v>
          </cell>
          <cell r="G162">
            <v>490.35955357541746</v>
          </cell>
          <cell r="H162">
            <v>462.73114665072126</v>
          </cell>
          <cell r="I162">
            <v>435.10273972602511</v>
          </cell>
          <cell r="J162">
            <v>409.21948113156253</v>
          </cell>
          <cell r="K162">
            <v>383.33622253710001</v>
          </cell>
          <cell r="L162">
            <v>357.4529639426375</v>
          </cell>
          <cell r="M162">
            <v>331.56970534817492</v>
          </cell>
          <cell r="N162">
            <v>305.6864467537124</v>
          </cell>
          <cell r="O162">
            <v>298.07225786132858</v>
          </cell>
          <cell r="P162">
            <v>290.45806896894794</v>
          </cell>
          <cell r="Q162">
            <v>282.8438800765673</v>
          </cell>
          <cell r="R162">
            <v>275.22969118418348</v>
          </cell>
          <cell r="S162">
            <v>267.61550229179966</v>
          </cell>
          <cell r="T162">
            <v>260.44815878833327</v>
          </cell>
          <cell r="U162">
            <v>253.28081528486686</v>
          </cell>
          <cell r="V162">
            <v>246.11347178140048</v>
          </cell>
          <cell r="W162">
            <v>238.94612827793728</v>
          </cell>
          <cell r="X162">
            <v>231.77878477447086</v>
          </cell>
          <cell r="Y162">
            <v>225.03671148919329</v>
          </cell>
          <cell r="Z162">
            <v>218.2946382039157</v>
          </cell>
          <cell r="AA162">
            <v>211.55256491863813</v>
          </cell>
          <cell r="AB162">
            <v>204.81049163336053</v>
          </cell>
          <cell r="AC162">
            <v>198.06841834808296</v>
          </cell>
          <cell r="AD162">
            <v>191.73099038622811</v>
          </cell>
          <cell r="AE162">
            <v>185.39356242437486</v>
          </cell>
          <cell r="AF162">
            <v>179.05613446252002</v>
          </cell>
          <cell r="AG162">
            <v>172.71870650066515</v>
          </cell>
          <cell r="AH162">
            <v>166.38127853881193</v>
          </cell>
        </row>
        <row r="163">
          <cell r="B163" t="str">
            <v>e-hydrogen (PEM) - Finance - Middle East - USD/ton fuel</v>
          </cell>
          <cell r="G163">
            <v>490.35955357541746</v>
          </cell>
          <cell r="H163">
            <v>462.73114665072126</v>
          </cell>
          <cell r="I163">
            <v>435.10273972602511</v>
          </cell>
          <cell r="J163">
            <v>409.21948113156253</v>
          </cell>
          <cell r="K163">
            <v>383.33622253710001</v>
          </cell>
          <cell r="L163">
            <v>357.4529639426375</v>
          </cell>
          <cell r="M163">
            <v>331.56970534817492</v>
          </cell>
          <cell r="N163">
            <v>305.6864467537124</v>
          </cell>
          <cell r="O163">
            <v>298.07225786132858</v>
          </cell>
          <cell r="P163">
            <v>290.45806896894794</v>
          </cell>
          <cell r="Q163">
            <v>282.8438800765673</v>
          </cell>
          <cell r="R163">
            <v>275.22969118418348</v>
          </cell>
          <cell r="S163">
            <v>267.61550229179966</v>
          </cell>
          <cell r="T163">
            <v>260.44815878833327</v>
          </cell>
          <cell r="U163">
            <v>253.28081528486686</v>
          </cell>
          <cell r="V163">
            <v>246.11347178140048</v>
          </cell>
          <cell r="W163">
            <v>238.94612827793728</v>
          </cell>
          <cell r="X163">
            <v>231.77878477447086</v>
          </cell>
          <cell r="Y163">
            <v>225.03671148919329</v>
          </cell>
          <cell r="Z163">
            <v>218.2946382039157</v>
          </cell>
          <cell r="AA163">
            <v>211.55256491863813</v>
          </cell>
          <cell r="AB163">
            <v>204.81049163336053</v>
          </cell>
          <cell r="AC163">
            <v>198.06841834808296</v>
          </cell>
          <cell r="AD163">
            <v>191.73099038622811</v>
          </cell>
          <cell r="AE163">
            <v>185.39356242437486</v>
          </cell>
          <cell r="AF163">
            <v>179.05613446252002</v>
          </cell>
          <cell r="AG163">
            <v>172.71870650066515</v>
          </cell>
          <cell r="AH163">
            <v>166.38127853881193</v>
          </cell>
        </row>
        <row r="164">
          <cell r="B164" t="str">
            <v>e-hydrogen (Solid oxide) - Finance - Africa - USD/ton fuel</v>
          </cell>
          <cell r="G164">
            <v>891.46137460650891</v>
          </cell>
          <cell r="H164">
            <v>860.11424894709148</v>
          </cell>
          <cell r="I164">
            <v>828.76712328767417</v>
          </cell>
          <cell r="J164">
            <v>798.53349084803847</v>
          </cell>
          <cell r="K164">
            <v>768.29985840840277</v>
          </cell>
          <cell r="L164">
            <v>738.06622596876707</v>
          </cell>
          <cell r="M164">
            <v>707.83259352913137</v>
          </cell>
          <cell r="N164">
            <v>677.59896108949567</v>
          </cell>
          <cell r="O164">
            <v>651.10716811079658</v>
          </cell>
          <cell r="P164">
            <v>624.61537513210385</v>
          </cell>
          <cell r="Q164">
            <v>598.12358215341123</v>
          </cell>
          <cell r="R164">
            <v>571.63178917472487</v>
          </cell>
          <cell r="S164">
            <v>545.13999619603226</v>
          </cell>
          <cell r="T164">
            <v>519.60029869779714</v>
          </cell>
          <cell r="U164">
            <v>494.06060119955572</v>
          </cell>
          <cell r="V164">
            <v>468.5209037013143</v>
          </cell>
          <cell r="W164">
            <v>442.98120620307924</v>
          </cell>
          <cell r="X164">
            <v>417.44150870483782</v>
          </cell>
          <cell r="Y164">
            <v>392.8273973182869</v>
          </cell>
          <cell r="Z164">
            <v>368.2132859317295</v>
          </cell>
          <cell r="AA164">
            <v>343.59917454517858</v>
          </cell>
          <cell r="AB164">
            <v>318.98506315862767</v>
          </cell>
          <cell r="AC164">
            <v>294.37095177207027</v>
          </cell>
          <cell r="AD164">
            <v>270.65657876925371</v>
          </cell>
          <cell r="AE164">
            <v>246.94220576643716</v>
          </cell>
          <cell r="AF164">
            <v>223.22783276362057</v>
          </cell>
          <cell r="AG164">
            <v>199.51345976080398</v>
          </cell>
          <cell r="AH164">
            <v>175.79908675798742</v>
          </cell>
        </row>
        <row r="165">
          <cell r="B165" t="str">
            <v>e-hydrogen (Solid oxide) - Finance - Americas - USD/ton fuel</v>
          </cell>
          <cell r="G165">
            <v>891.46137460650891</v>
          </cell>
          <cell r="H165">
            <v>860.11424894709148</v>
          </cell>
          <cell r="I165">
            <v>828.76712328767417</v>
          </cell>
          <cell r="J165">
            <v>798.53349084803847</v>
          </cell>
          <cell r="K165">
            <v>768.29985840840277</v>
          </cell>
          <cell r="L165">
            <v>738.06622596876707</v>
          </cell>
          <cell r="M165">
            <v>707.83259352913137</v>
          </cell>
          <cell r="N165">
            <v>677.59896108949567</v>
          </cell>
          <cell r="O165">
            <v>651.10716811079658</v>
          </cell>
          <cell r="P165">
            <v>624.61537513210385</v>
          </cell>
          <cell r="Q165">
            <v>598.12358215341123</v>
          </cell>
          <cell r="R165">
            <v>571.63178917472487</v>
          </cell>
          <cell r="S165">
            <v>545.13999619603226</v>
          </cell>
          <cell r="T165">
            <v>519.60029869779714</v>
          </cell>
          <cell r="U165">
            <v>494.06060119955572</v>
          </cell>
          <cell r="V165">
            <v>468.5209037013143</v>
          </cell>
          <cell r="W165">
            <v>442.98120620307924</v>
          </cell>
          <cell r="X165">
            <v>417.44150870483782</v>
          </cell>
          <cell r="Y165">
            <v>392.8273973182869</v>
          </cell>
          <cell r="Z165">
            <v>368.2132859317295</v>
          </cell>
          <cell r="AA165">
            <v>343.59917454517858</v>
          </cell>
          <cell r="AB165">
            <v>318.98506315862767</v>
          </cell>
          <cell r="AC165">
            <v>294.37095177207027</v>
          </cell>
          <cell r="AD165">
            <v>270.65657876925371</v>
          </cell>
          <cell r="AE165">
            <v>246.94220576643716</v>
          </cell>
          <cell r="AF165">
            <v>223.22783276362057</v>
          </cell>
          <cell r="AG165">
            <v>199.51345976080398</v>
          </cell>
          <cell r="AH165">
            <v>175.79908675798742</v>
          </cell>
        </row>
        <row r="166">
          <cell r="B166" t="str">
            <v>e-hydrogen (Solid oxide) - Finance - Asia - USD/ton fuel</v>
          </cell>
          <cell r="G166">
            <v>891.46137460650891</v>
          </cell>
          <cell r="H166">
            <v>860.11424894709148</v>
          </cell>
          <cell r="I166">
            <v>828.76712328767417</v>
          </cell>
          <cell r="J166">
            <v>798.53349084803847</v>
          </cell>
          <cell r="K166">
            <v>768.29985840840277</v>
          </cell>
          <cell r="L166">
            <v>738.06622596876707</v>
          </cell>
          <cell r="M166">
            <v>707.83259352913137</v>
          </cell>
          <cell r="N166">
            <v>677.59896108949567</v>
          </cell>
          <cell r="O166">
            <v>651.10716811079658</v>
          </cell>
          <cell r="P166">
            <v>624.61537513210385</v>
          </cell>
          <cell r="Q166">
            <v>598.12358215341123</v>
          </cell>
          <cell r="R166">
            <v>571.63178917472487</v>
          </cell>
          <cell r="S166">
            <v>545.13999619603226</v>
          </cell>
          <cell r="T166">
            <v>519.60029869779714</v>
          </cell>
          <cell r="U166">
            <v>494.06060119955572</v>
          </cell>
          <cell r="V166">
            <v>468.5209037013143</v>
          </cell>
          <cell r="W166">
            <v>442.98120620307924</v>
          </cell>
          <cell r="X166">
            <v>417.44150870483782</v>
          </cell>
          <cell r="Y166">
            <v>392.8273973182869</v>
          </cell>
          <cell r="Z166">
            <v>368.2132859317295</v>
          </cell>
          <cell r="AA166">
            <v>343.59917454517858</v>
          </cell>
          <cell r="AB166">
            <v>318.98506315862767</v>
          </cell>
          <cell r="AC166">
            <v>294.37095177207027</v>
          </cell>
          <cell r="AD166">
            <v>270.65657876925371</v>
          </cell>
          <cell r="AE166">
            <v>246.94220576643716</v>
          </cell>
          <cell r="AF166">
            <v>223.22783276362057</v>
          </cell>
          <cell r="AG166">
            <v>199.51345976080398</v>
          </cell>
          <cell r="AH166">
            <v>175.79908675798742</v>
          </cell>
        </row>
        <row r="167">
          <cell r="B167" t="str">
            <v>e-hydrogen (Solid oxide) - Finance - Europe - USD/ton fuel</v>
          </cell>
          <cell r="G167">
            <v>891.46137460650891</v>
          </cell>
          <cell r="H167">
            <v>860.11424894709148</v>
          </cell>
          <cell r="I167">
            <v>828.76712328767417</v>
          </cell>
          <cell r="J167">
            <v>798.53349084803847</v>
          </cell>
          <cell r="K167">
            <v>768.29985840840277</v>
          </cell>
          <cell r="L167">
            <v>738.06622596876707</v>
          </cell>
          <cell r="M167">
            <v>707.83259352913137</v>
          </cell>
          <cell r="N167">
            <v>677.59896108949567</v>
          </cell>
          <cell r="O167">
            <v>651.10716811079658</v>
          </cell>
          <cell r="P167">
            <v>624.61537513210385</v>
          </cell>
          <cell r="Q167">
            <v>598.12358215341123</v>
          </cell>
          <cell r="R167">
            <v>571.63178917472487</v>
          </cell>
          <cell r="S167">
            <v>545.13999619603226</v>
          </cell>
          <cell r="T167">
            <v>519.60029869779714</v>
          </cell>
          <cell r="U167">
            <v>494.06060119955572</v>
          </cell>
          <cell r="V167">
            <v>468.5209037013143</v>
          </cell>
          <cell r="W167">
            <v>442.98120620307924</v>
          </cell>
          <cell r="X167">
            <v>417.44150870483782</v>
          </cell>
          <cell r="Y167">
            <v>392.8273973182869</v>
          </cell>
          <cell r="Z167">
            <v>368.2132859317295</v>
          </cell>
          <cell r="AA167">
            <v>343.59917454517858</v>
          </cell>
          <cell r="AB167">
            <v>318.98506315862767</v>
          </cell>
          <cell r="AC167">
            <v>294.37095177207027</v>
          </cell>
          <cell r="AD167">
            <v>270.65657876925371</v>
          </cell>
          <cell r="AE167">
            <v>246.94220576643716</v>
          </cell>
          <cell r="AF167">
            <v>223.22783276362057</v>
          </cell>
          <cell r="AG167">
            <v>199.51345976080398</v>
          </cell>
          <cell r="AH167">
            <v>175.79908675798742</v>
          </cell>
        </row>
        <row r="168">
          <cell r="B168" t="str">
            <v>e-hydrogen (Solid oxide) - Finance - Middle East - USD/ton fuel</v>
          </cell>
          <cell r="G168">
            <v>891.46137460650891</v>
          </cell>
          <cell r="H168">
            <v>860.11424894709148</v>
          </cell>
          <cell r="I168">
            <v>828.76712328767417</v>
          </cell>
          <cell r="J168">
            <v>798.53349084803847</v>
          </cell>
          <cell r="K168">
            <v>768.29985840840277</v>
          </cell>
          <cell r="L168">
            <v>738.06622596876707</v>
          </cell>
          <cell r="M168">
            <v>707.83259352913137</v>
          </cell>
          <cell r="N168">
            <v>677.59896108949567</v>
          </cell>
          <cell r="O168">
            <v>651.10716811079658</v>
          </cell>
          <cell r="P168">
            <v>624.61537513210385</v>
          </cell>
          <cell r="Q168">
            <v>598.12358215341123</v>
          </cell>
          <cell r="R168">
            <v>571.63178917472487</v>
          </cell>
          <cell r="S168">
            <v>545.13999619603226</v>
          </cell>
          <cell r="T168">
            <v>519.60029869779714</v>
          </cell>
          <cell r="U168">
            <v>494.06060119955572</v>
          </cell>
          <cell r="V168">
            <v>468.5209037013143</v>
          </cell>
          <cell r="W168">
            <v>442.98120620307924</v>
          </cell>
          <cell r="X168">
            <v>417.44150870483782</v>
          </cell>
          <cell r="Y168">
            <v>392.8273973182869</v>
          </cell>
          <cell r="Z168">
            <v>368.2132859317295</v>
          </cell>
          <cell r="AA168">
            <v>343.59917454517858</v>
          </cell>
          <cell r="AB168">
            <v>318.98506315862767</v>
          </cell>
          <cell r="AC168">
            <v>294.37095177207027</v>
          </cell>
          <cell r="AD168">
            <v>270.65657876925371</v>
          </cell>
          <cell r="AE168">
            <v>246.94220576643716</v>
          </cell>
          <cell r="AF168">
            <v>223.22783276362057</v>
          </cell>
          <cell r="AG168">
            <v>199.51345976080398</v>
          </cell>
          <cell r="AH168">
            <v>175.79908675798742</v>
          </cell>
        </row>
        <row r="169">
          <cell r="B169" t="str">
            <v/>
          </cell>
        </row>
        <row r="170">
          <cell r="B170" t="str">
            <v>e-hydrogen - Energy cost - Africa - USD/ton fuel</v>
          </cell>
          <cell r="G170">
            <v>3099.5612991873763</v>
          </cell>
          <cell r="H170">
            <v>2732.4132802800364</v>
          </cell>
          <cell r="I170">
            <v>2365.6357954445402</v>
          </cell>
          <cell r="J170">
            <v>2259.8307669024107</v>
          </cell>
          <cell r="K170">
            <v>2153.7044536588996</v>
          </cell>
          <cell r="L170">
            <v>2047.3596425558658</v>
          </cell>
          <cell r="M170">
            <v>1940.8991204352139</v>
          </cell>
          <cell r="N170">
            <v>1834.4256741388213</v>
          </cell>
          <cell r="O170">
            <v>1766.906863088881</v>
          </cell>
          <cell r="P170">
            <v>1699.5562858180001</v>
          </cell>
          <cell r="Q170">
            <v>1632.4293059626311</v>
          </cell>
          <cell r="R170">
            <v>1565.5812871593046</v>
          </cell>
          <cell r="S170">
            <v>1499.0675930445595</v>
          </cell>
          <cell r="T170">
            <v>1461.103444514785</v>
          </cell>
          <cell r="U170">
            <v>1423.2294155753539</v>
          </cell>
          <cell r="V170">
            <v>1385.4635715912545</v>
          </cell>
          <cell r="W170">
            <v>1347.8239779273658</v>
          </cell>
          <cell r="X170">
            <v>1310.3286999486622</v>
          </cell>
          <cell r="Y170">
            <v>1268.8639116156805</v>
          </cell>
          <cell r="Z170">
            <v>1228.2209583369151</v>
          </cell>
          <cell r="AA170">
            <v>1188.389275973916</v>
          </cell>
          <cell r="AB170">
            <v>1149.358300388204</v>
          </cell>
          <cell r="AC170">
            <v>1111.1174674413141</v>
          </cell>
          <cell r="AD170">
            <v>1087.5630983722288</v>
          </cell>
          <cell r="AE170">
            <v>1064.4724737938868</v>
          </cell>
          <cell r="AF170">
            <v>1041.8389367539883</v>
          </cell>
          <cell r="AG170">
            <v>1019.6558303002557</v>
          </cell>
          <cell r="AH170">
            <v>997.91649748041243</v>
          </cell>
        </row>
        <row r="171">
          <cell r="B171" t="str">
            <v>e-hydrogen - Energy cost - Americas - USD/ton fuel</v>
          </cell>
          <cell r="G171">
            <v>1947.5004860168665</v>
          </cell>
          <cell r="H171">
            <v>1904.9552945225707</v>
          </cell>
          <cell r="I171">
            <v>1862.1299143132335</v>
          </cell>
          <cell r="J171">
            <v>1790.4849584081528</v>
          </cell>
          <cell r="K171">
            <v>1718.5318298328032</v>
          </cell>
          <cell r="L171">
            <v>1646.3395919382333</v>
          </cell>
          <cell r="M171">
            <v>1573.977308075574</v>
          </cell>
          <cell r="N171">
            <v>1501.5140415958033</v>
          </cell>
          <cell r="O171">
            <v>1459.4943390819662</v>
          </cell>
          <cell r="P171">
            <v>1417.42673746174</v>
          </cell>
          <cell r="Q171">
            <v>1375.343306161586</v>
          </cell>
          <cell r="R171">
            <v>1333.2761146079704</v>
          </cell>
          <cell r="S171">
            <v>1291.2572322274164</v>
          </cell>
          <cell r="T171">
            <v>1255.142470677443</v>
          </cell>
          <cell r="U171">
            <v>1219.1662682992981</v>
          </cell>
          <cell r="V171">
            <v>1183.3466471378301</v>
          </cell>
          <cell r="W171">
            <v>1147.7016292377957</v>
          </cell>
          <cell r="X171">
            <v>1112.249236644011</v>
          </cell>
          <cell r="Y171">
            <v>1088.267014678506</v>
          </cell>
          <cell r="Z171">
            <v>1064.6911902477218</v>
          </cell>
          <cell r="AA171">
            <v>1041.5176343342414</v>
          </cell>
          <cell r="AB171">
            <v>1018.7422179205867</v>
          </cell>
          <cell r="AC171">
            <v>996.36081198933221</v>
          </cell>
          <cell r="AD171">
            <v>978.57722665326708</v>
          </cell>
          <cell r="AE171">
            <v>961.13622252163054</v>
          </cell>
          <cell r="AF171">
            <v>944.03380034651195</v>
          </cell>
          <cell r="AG171">
            <v>927.26596088000963</v>
          </cell>
          <cell r="AH171">
            <v>910.82870487422178</v>
          </cell>
        </row>
        <row r="172">
          <cell r="B172" t="str">
            <v>e-hydrogen - Energy cost - Asia - USD/ton fuel</v>
          </cell>
          <cell r="G172">
            <v>3447.3564542551999</v>
          </cell>
          <cell r="H172">
            <v>3140.7703542039226</v>
          </cell>
          <cell r="I172">
            <v>2834.3188986756909</v>
          </cell>
          <cell r="J172">
            <v>2720.3975511402173</v>
          </cell>
          <cell r="K172">
            <v>2606.030270496603</v>
          </cell>
          <cell r="L172">
            <v>2491.3271348083481</v>
          </cell>
          <cell r="M172">
            <v>2376.398222139183</v>
          </cell>
          <cell r="N172">
            <v>2261.3536105527155</v>
          </cell>
          <cell r="O172">
            <v>2174.174811880971</v>
          </cell>
          <cell r="P172">
            <v>2087.2586957362041</v>
          </cell>
          <cell r="Q172">
            <v>2000.6774571599242</v>
          </cell>
          <cell r="R172">
            <v>1914.5032911936005</v>
          </cell>
          <cell r="S172">
            <v>1828.8083928788642</v>
          </cell>
          <cell r="T172">
            <v>1777.7675153050047</v>
          </cell>
          <cell r="U172">
            <v>1726.9209427057385</v>
          </cell>
          <cell r="V172">
            <v>1676.2941215017977</v>
          </cell>
          <cell r="W172">
            <v>1625.912498113727</v>
          </cell>
          <cell r="X172">
            <v>1575.8015189622374</v>
          </cell>
          <cell r="Y172">
            <v>1520.2732075110976</v>
          </cell>
          <cell r="Z172">
            <v>1465.8802784143245</v>
          </cell>
          <cell r="AA172">
            <v>1412.6075841955894</v>
          </cell>
          <cell r="AB172">
            <v>1360.4399773785319</v>
          </cell>
          <cell r="AC172">
            <v>1309.362310486812</v>
          </cell>
          <cell r="AD172">
            <v>1279.78659507924</v>
          </cell>
          <cell r="AE172">
            <v>1250.7972858392457</v>
          </cell>
          <cell r="AF172">
            <v>1222.3854646144603</v>
          </cell>
          <cell r="AG172">
            <v>1194.5422132525091</v>
          </cell>
          <cell r="AH172">
            <v>1167.2586136010173</v>
          </cell>
        </row>
        <row r="173">
          <cell r="B173" t="str">
            <v>e-hydrogen - Energy cost - Europe - USD/ton fuel</v>
          </cell>
          <cell r="G173">
            <v>2566.3701470170417</v>
          </cell>
          <cell r="H173">
            <v>2452.9083112298426</v>
          </cell>
          <cell r="I173">
            <v>2339.2337535448082</v>
          </cell>
          <cell r="J173">
            <v>2245.5167986914189</v>
          </cell>
          <cell r="K173">
            <v>2151.4303552043284</v>
          </cell>
          <cell r="L173">
            <v>2057.064962685201</v>
          </cell>
          <cell r="M173">
            <v>1962.5111607356753</v>
          </cell>
          <cell r="N173">
            <v>1867.8594889573847</v>
          </cell>
          <cell r="O173">
            <v>1819.1813083833658</v>
          </cell>
          <cell r="P173">
            <v>1770.3931872655958</v>
          </cell>
          <cell r="Q173">
            <v>1721.5314255225589</v>
          </cell>
          <cell r="R173">
            <v>1672.6323230728049</v>
          </cell>
          <cell r="S173">
            <v>1623.7321798349606</v>
          </cell>
          <cell r="T173">
            <v>1588.9118560091065</v>
          </cell>
          <cell r="U173">
            <v>1554.0766691650888</v>
          </cell>
          <cell r="V173">
            <v>1519.2416441496489</v>
          </cell>
          <cell r="W173">
            <v>1484.4218058093938</v>
          </cell>
          <cell r="X173">
            <v>1449.6321789910207</v>
          </cell>
          <cell r="Y173">
            <v>1409.6608085718863</v>
          </cell>
          <cell r="Z173">
            <v>1370.4453980421019</v>
          </cell>
          <cell r="AA173">
            <v>1331.9768062643011</v>
          </cell>
          <cell r="AB173">
            <v>1294.245892101027</v>
          </cell>
          <cell r="AC173">
            <v>1257.2435144149015</v>
          </cell>
          <cell r="AD173">
            <v>1228.8458546695026</v>
          </cell>
          <cell r="AE173">
            <v>1201.0112417420796</v>
          </cell>
          <cell r="AF173">
            <v>1173.7311129385466</v>
          </cell>
          <cell r="AG173">
            <v>1146.9969055648128</v>
          </cell>
          <cell r="AH173">
            <v>1120.8000569267858</v>
          </cell>
        </row>
        <row r="174">
          <cell r="B174" t="str">
            <v>e-hydrogen - Energy cost - Middle East - USD/ton fuel</v>
          </cell>
          <cell r="G174">
            <v>1965.1844538611451</v>
          </cell>
          <cell r="H174">
            <v>1876.2839560959403</v>
          </cell>
          <cell r="I174">
            <v>1787.2260693119242</v>
          </cell>
          <cell r="J174">
            <v>1726.4421516736113</v>
          </cell>
          <cell r="K174">
            <v>1665.3245710268734</v>
          </cell>
          <cell r="L174">
            <v>1603.9314924493679</v>
          </cell>
          <cell r="M174">
            <v>1542.3210810188079</v>
          </cell>
          <cell r="N174">
            <v>1480.5515018128272</v>
          </cell>
          <cell r="O174">
            <v>1431.1659603843768</v>
          </cell>
          <cell r="P174">
            <v>1381.8446196834898</v>
          </cell>
          <cell r="Q174">
            <v>1332.6270545048401</v>
          </cell>
          <cell r="R174">
            <v>1283.5528396431546</v>
          </cell>
          <cell r="S174">
            <v>1234.6615498931842</v>
          </cell>
          <cell r="T174">
            <v>1204.9513526944327</v>
          </cell>
          <cell r="U174">
            <v>1175.287571490569</v>
          </cell>
          <cell r="V174">
            <v>1145.6839621175516</v>
          </cell>
          <cell r="W174">
            <v>1116.1542804112171</v>
          </cell>
          <cell r="X174">
            <v>1086.7122822074946</v>
          </cell>
          <cell r="Y174">
            <v>1048.8524441656205</v>
          </cell>
          <cell r="Z174">
            <v>1011.7643278450553</v>
          </cell>
          <cell r="AA174">
            <v>975.43767435152495</v>
          </cell>
          <cell r="AB174">
            <v>939.86222479072671</v>
          </cell>
          <cell r="AC174">
            <v>905.02772026837658</v>
          </cell>
          <cell r="AD174">
            <v>884.58478387908167</v>
          </cell>
          <cell r="AE174">
            <v>864.54717603247877</v>
          </cell>
          <cell r="AF174">
            <v>844.90873235959646</v>
          </cell>
          <cell r="AG174">
            <v>825.66328849147681</v>
          </cell>
          <cell r="AH174">
            <v>806.80468005916202</v>
          </cell>
        </row>
        <row r="175">
          <cell r="B175" t="str">
            <v>e-hydrogen (Alkaline) - Cost of electricity - Africa - USD/ton fuel</v>
          </cell>
          <cell r="G175">
            <v>2924.2184208022281</v>
          </cell>
          <cell r="H175">
            <v>2578.7512488133598</v>
          </cell>
          <cell r="I175">
            <v>2233.8392780401587</v>
          </cell>
          <cell r="J175">
            <v>2136.5467657748268</v>
          </cell>
          <cell r="K175">
            <v>2039.408400538452</v>
          </cell>
          <cell r="L175">
            <v>1942.4241823310349</v>
          </cell>
          <cell r="M175">
            <v>1845.5941111525524</v>
          </cell>
          <cell r="N175">
            <v>1748.9181870030495</v>
          </cell>
          <cell r="O175">
            <v>1694.4194806950179</v>
          </cell>
          <cell r="P175">
            <v>1640.0064724883205</v>
          </cell>
          <cell r="Q175">
            <v>1585.6791623829354</v>
          </cell>
          <cell r="R175">
            <v>1531.4375503789083</v>
          </cell>
          <cell r="S175">
            <v>1477.2816364762216</v>
          </cell>
          <cell r="T175">
            <v>1451.2032385184193</v>
          </cell>
          <cell r="U175">
            <v>1425.1650145954839</v>
          </cell>
          <cell r="V175">
            <v>1399.1669647074043</v>
          </cell>
          <cell r="W175">
            <v>1373.2090888541857</v>
          </cell>
          <cell r="X175">
            <v>1347.2913870358389</v>
          </cell>
          <cell r="Y175">
            <v>1320.7174303517695</v>
          </cell>
          <cell r="Z175">
            <v>1294.1846168915342</v>
          </cell>
          <cell r="AA175">
            <v>1267.6929466551221</v>
          </cell>
          <cell r="AB175">
            <v>1241.242419642555</v>
          </cell>
          <cell r="AC175">
            <v>1214.8330358538176</v>
          </cell>
          <cell r="AD175">
            <v>1201.3938481127943</v>
          </cell>
          <cell r="AE175">
            <v>1187.9747731370467</v>
          </cell>
          <cell r="AF175">
            <v>1174.5758109265635</v>
          </cell>
          <cell r="AG175">
            <v>1161.1969614813502</v>
          </cell>
          <cell r="AH175">
            <v>1147.8382248014127</v>
          </cell>
        </row>
        <row r="176">
          <cell r="B176" t="str">
            <v>e-hydrogen (Alkaline) - Cost of electricity - Americas - USD/ton fuel</v>
          </cell>
          <cell r="G176">
            <v>1837.3299464104387</v>
          </cell>
          <cell r="H176">
            <v>1797.8268075831645</v>
          </cell>
          <cell r="I176">
            <v>1758.3851882088989</v>
          </cell>
          <cell r="J176">
            <v>1692.8058963897693</v>
          </cell>
          <cell r="K176">
            <v>1627.3301772671259</v>
          </cell>
          <cell r="L176">
            <v>1561.95803084097</v>
          </cell>
          <cell r="M176">
            <v>1496.6894571113237</v>
          </cell>
          <cell r="N176">
            <v>1431.5244560781412</v>
          </cell>
          <cell r="O176">
            <v>1399.6185604154191</v>
          </cell>
          <cell r="P176">
            <v>1367.7623054398739</v>
          </cell>
          <cell r="Q176">
            <v>1335.9556911515062</v>
          </cell>
          <cell r="R176">
            <v>1304.1987175503164</v>
          </cell>
          <cell r="S176">
            <v>1272.4913846362981</v>
          </cell>
          <cell r="T176">
            <v>1246.6378236853743</v>
          </cell>
          <cell r="U176">
            <v>1220.8243404333271</v>
          </cell>
          <cell r="V176">
            <v>1195.0509348801509</v>
          </cell>
          <cell r="W176">
            <v>1169.3176070258564</v>
          </cell>
          <cell r="X176">
            <v>1143.6243568704353</v>
          </cell>
          <cell r="Y176">
            <v>1132.7402426731812</v>
          </cell>
          <cell r="Z176">
            <v>1121.8722093981428</v>
          </cell>
          <cell r="AA176">
            <v>1111.0202570453237</v>
          </cell>
          <cell r="AB176">
            <v>1100.1843856147173</v>
          </cell>
          <cell r="AC176">
            <v>1089.3645951063277</v>
          </cell>
          <cell r="AD176">
            <v>1081.0008741231995</v>
          </cell>
          <cell r="AE176">
            <v>1072.6492361370531</v>
          </cell>
          <cell r="AF176">
            <v>1064.3096811478861</v>
          </cell>
          <cell r="AG176">
            <v>1055.982209155698</v>
          </cell>
          <cell r="AH176">
            <v>1047.6668201604891</v>
          </cell>
        </row>
        <row r="177">
          <cell r="B177" t="str">
            <v>e-hydrogen (Alkaline) - Cost of electricity - Asia - USD/ton fuel</v>
          </cell>
          <cell r="G177">
            <v>3252.338725885962</v>
          </cell>
          <cell r="H177">
            <v>2964.1436497151244</v>
          </cell>
          <cell r="I177">
            <v>2676.410669193273</v>
          </cell>
          <cell r="J177">
            <v>2571.9875464291304</v>
          </cell>
          <cell r="K177">
            <v>2467.7295051691481</v>
          </cell>
          <cell r="L177">
            <v>2363.6365454132369</v>
          </cell>
          <cell r="M177">
            <v>2259.7086671614416</v>
          </cell>
          <cell r="N177">
            <v>2155.9458704138065</v>
          </cell>
          <cell r="O177">
            <v>2084.9792553566122</v>
          </cell>
          <cell r="P177">
            <v>2014.1243919540746</v>
          </cell>
          <cell r="Q177">
            <v>1943.3812802061955</v>
          </cell>
          <cell r="R177">
            <v>1872.7499201129297</v>
          </cell>
          <cell r="S177">
            <v>1802.2303116742989</v>
          </cell>
          <cell r="T177">
            <v>1765.7216436172464</v>
          </cell>
          <cell r="U177">
            <v>1729.2695636996293</v>
          </cell>
          <cell r="V177">
            <v>1692.8740719214588</v>
          </cell>
          <cell r="W177">
            <v>1656.5351682827127</v>
          </cell>
          <cell r="X177">
            <v>1620.2528527834236</v>
          </cell>
          <cell r="Y177">
            <v>1582.4008435231208</v>
          </cell>
          <cell r="Z177">
            <v>1544.6078278108137</v>
          </cell>
          <cell r="AA177">
            <v>1506.8738056464802</v>
          </cell>
          <cell r="AB177">
            <v>1469.1987770301419</v>
          </cell>
          <cell r="AC177">
            <v>1431.5827419617779</v>
          </cell>
          <cell r="AD177">
            <v>1413.7365864349924</v>
          </cell>
          <cell r="AE177">
            <v>1395.9173754764734</v>
          </cell>
          <cell r="AF177">
            <v>1378.1251090862318</v>
          </cell>
          <cell r="AG177">
            <v>1360.3597872642622</v>
          </cell>
          <cell r="AH177">
            <v>1342.621410010559</v>
          </cell>
        </row>
        <row r="178">
          <cell r="B178" t="str">
            <v>e-hydrogen (Alkaline) - Cost of electricity - Europe - USD/ton fuel</v>
          </cell>
          <cell r="G178">
            <v>2421.1900117838195</v>
          </cell>
          <cell r="H178">
            <v>2314.9647296987046</v>
          </cell>
          <cell r="I178">
            <v>2208.9081714304025</v>
          </cell>
          <cell r="J178">
            <v>2123.0136893451618</v>
          </cell>
          <cell r="K178">
            <v>2037.2549873883677</v>
          </cell>
          <cell r="L178">
            <v>1951.6320655600659</v>
          </cell>
          <cell r="M178">
            <v>1866.1449238602108</v>
          </cell>
          <cell r="N178">
            <v>1780.7935622888472</v>
          </cell>
          <cell r="O178">
            <v>1744.5493660329785</v>
          </cell>
          <cell r="P178">
            <v>1708.3613588986636</v>
          </cell>
          <cell r="Q178">
            <v>1672.2295408858586</v>
          </cell>
          <cell r="R178">
            <v>1636.1539119945753</v>
          </cell>
          <cell r="S178">
            <v>1600.1344722248239</v>
          </cell>
          <cell r="T178">
            <v>1578.1456404179976</v>
          </cell>
          <cell r="U178">
            <v>1556.1902210950334</v>
          </cell>
          <cell r="V178">
            <v>1534.2682142559252</v>
          </cell>
          <cell r="W178">
            <v>1512.3796199006733</v>
          </cell>
          <cell r="X178">
            <v>1490.5244380292654</v>
          </cell>
          <cell r="Y178">
            <v>1467.2681472940801</v>
          </cell>
          <cell r="Z178">
            <v>1444.0474577452719</v>
          </cell>
          <cell r="AA178">
            <v>1420.862369382852</v>
          </cell>
          <cell r="AB178">
            <v>1397.7128822068089</v>
          </cell>
          <cell r="AC178">
            <v>1374.5989962171548</v>
          </cell>
          <cell r="AD178">
            <v>1357.4640885558642</v>
          </cell>
          <cell r="AE178">
            <v>1340.3550515105705</v>
          </cell>
          <cell r="AF178">
            <v>1323.2718850812848</v>
          </cell>
          <cell r="AG178">
            <v>1306.2145892680016</v>
          </cell>
          <cell r="AH178">
            <v>1289.1831640707153</v>
          </cell>
        </row>
        <row r="179">
          <cell r="B179" t="str">
            <v>e-hydrogen (Alkaline) - Cost of electricity - Middle East - USD/ton fuel</v>
          </cell>
          <cell r="G179">
            <v>1854.0135282246365</v>
          </cell>
          <cell r="H179">
            <v>1770.7678519316073</v>
          </cell>
          <cell r="I179">
            <v>1687.654456385189</v>
          </cell>
          <cell r="J179">
            <v>1632.2569147563422</v>
          </cell>
          <cell r="K179">
            <v>1576.9466019376102</v>
          </cell>
          <cell r="L179">
            <v>1521.7235179289939</v>
          </cell>
          <cell r="M179">
            <v>1466.5876627304931</v>
          </cell>
          <cell r="N179">
            <v>1411.539036342107</v>
          </cell>
          <cell r="O179">
            <v>1372.4523539081965</v>
          </cell>
          <cell r="P179">
            <v>1333.4269298197096</v>
          </cell>
          <cell r="Q179">
            <v>1294.4627640766244</v>
          </cell>
          <cell r="R179">
            <v>1255.5598566789638</v>
          </cell>
          <cell r="S179">
            <v>1216.7182076267159</v>
          </cell>
          <cell r="T179">
            <v>1196.7867927845518</v>
          </cell>
          <cell r="U179">
            <v>1176.8859683806647</v>
          </cell>
          <cell r="V179">
            <v>1157.0157344150598</v>
          </cell>
          <cell r="W179">
            <v>1137.1760908877261</v>
          </cell>
          <cell r="X179">
            <v>1117.3670377986687</v>
          </cell>
          <cell r="Y179">
            <v>1091.714952403941</v>
          </cell>
          <cell r="Z179">
            <v>1066.102821425302</v>
          </cell>
          <cell r="AA179">
            <v>1040.5306448627405</v>
          </cell>
          <cell r="AB179">
            <v>1014.9984227162671</v>
          </cell>
          <cell r="AC179">
            <v>989.50615498586922</v>
          </cell>
          <cell r="AD179">
            <v>977.17062952680578</v>
          </cell>
          <cell r="AE179">
            <v>964.85372858248968</v>
          </cell>
          <cell r="AF179">
            <v>952.55545215291522</v>
          </cell>
          <cell r="AG179">
            <v>940.27580023808537</v>
          </cell>
          <cell r="AH179">
            <v>928.01477283800273</v>
          </cell>
        </row>
        <row r="180">
          <cell r="B180" t="str">
            <v>e-hydrogen (PEM) - Cost of electricity - Africa - USD/ton fuel</v>
          </cell>
          <cell r="G180">
            <v>3730.3122026288802</v>
          </cell>
          <cell r="H180">
            <v>3269.4361794404149</v>
          </cell>
          <cell r="I180">
            <v>2814.6374903306055</v>
          </cell>
          <cell r="J180">
            <v>2675.9129580856625</v>
          </cell>
          <cell r="K180">
            <v>2538.8250151491648</v>
          </cell>
          <cell r="L180">
            <v>2403.3736615211164</v>
          </cell>
          <cell r="M180">
            <v>2269.5588972014853</v>
          </cell>
          <cell r="N180">
            <v>2137.380722190323</v>
          </cell>
          <cell r="O180">
            <v>2058.3648836859011</v>
          </cell>
          <cell r="P180">
            <v>1980.2315510461706</v>
          </cell>
          <cell r="Q180">
            <v>1902.9807242711001</v>
          </cell>
          <cell r="R180">
            <v>1826.6124033607446</v>
          </cell>
          <cell r="S180">
            <v>1751.1265883150895</v>
          </cell>
          <cell r="T180">
            <v>1709.9031642488958</v>
          </cell>
          <cell r="U180">
            <v>1669.0810074192418</v>
          </cell>
          <cell r="V180">
            <v>1628.6601178261169</v>
          </cell>
          <cell r="W180">
            <v>1588.640495469522</v>
          </cell>
          <cell r="X180">
            <v>1549.0221403494756</v>
          </cell>
          <cell r="Y180">
            <v>1509.3676428064002</v>
          </cell>
          <cell r="Z180">
            <v>1470.1117371150024</v>
          </cell>
          <cell r="AA180">
            <v>1431.2544232752696</v>
          </cell>
          <cell r="AB180">
            <v>1392.7957012872273</v>
          </cell>
          <cell r="AC180">
            <v>1354.7355711508565</v>
          </cell>
          <cell r="AD180">
            <v>1331.7183335255047</v>
          </cell>
          <cell r="AE180">
            <v>1308.8900880354536</v>
          </cell>
          <cell r="AF180">
            <v>1286.2508346806881</v>
          </cell>
          <cell r="AG180">
            <v>1263.8005734612141</v>
          </cell>
          <cell r="AH180">
            <v>1241.5393043770378</v>
          </cell>
        </row>
        <row r="181">
          <cell r="B181" t="str">
            <v>e-hydrogen (PEM) - Cost of electricity - Americas - USD/ton fuel</v>
          </cell>
          <cell r="G181">
            <v>2343.8106642765952</v>
          </cell>
          <cell r="H181">
            <v>2279.3512991162015</v>
          </cell>
          <cell r="I181">
            <v>2215.5653371432172</v>
          </cell>
          <cell r="J181">
            <v>2120.1507527172935</v>
          </cell>
          <cell r="K181">
            <v>2025.8358065319769</v>
          </cell>
          <cell r="L181">
            <v>1932.62049858727</v>
          </cell>
          <cell r="M181">
            <v>1840.5048288831977</v>
          </cell>
          <cell r="N181">
            <v>1749.4887974196999</v>
          </cell>
          <cell r="O181">
            <v>1700.2434923212834</v>
          </cell>
          <cell r="P181">
            <v>1651.509379383243</v>
          </cell>
          <cell r="Q181">
            <v>1603.2864586055753</v>
          </cell>
          <cell r="R181">
            <v>1555.5747299882805</v>
          </cell>
          <cell r="S181">
            <v>1508.3741935313576</v>
          </cell>
          <cell r="T181">
            <v>1468.8707293461041</v>
          </cell>
          <cell r="U181">
            <v>1429.7675701720427</v>
          </cell>
          <cell r="V181">
            <v>1391.0647160091701</v>
          </cell>
          <cell r="W181">
            <v>1352.7621668574934</v>
          </cell>
          <cell r="X181">
            <v>1314.8599227170084</v>
          </cell>
          <cell r="Y181">
            <v>1294.5399452630752</v>
          </cell>
          <cell r="Z181">
            <v>1274.3757583370934</v>
          </cell>
          <cell r="AA181">
            <v>1254.3673619390659</v>
          </cell>
          <cell r="AB181">
            <v>1234.5147560689866</v>
          </cell>
          <cell r="AC181">
            <v>1214.8179407268583</v>
          </cell>
          <cell r="AD181">
            <v>1198.2654022145482</v>
          </cell>
          <cell r="AE181">
            <v>1181.826403107151</v>
          </cell>
          <cell r="AF181">
            <v>1165.5009434046617</v>
          </cell>
          <cell r="AG181">
            <v>1149.2890231070803</v>
          </cell>
          <cell r="AH181">
            <v>1133.1906422144064</v>
          </cell>
        </row>
        <row r="182">
          <cell r="B182" t="str">
            <v>e-hydrogen (PEM) - Cost of electricity - Asia - USD/ton fuel</v>
          </cell>
          <cell r="G182">
            <v>4148.8825697659477</v>
          </cell>
          <cell r="H182">
            <v>3758.0509147195326</v>
          </cell>
          <cell r="I182">
            <v>3372.277443183531</v>
          </cell>
          <cell r="J182">
            <v>3221.2797368976499</v>
          </cell>
          <cell r="K182">
            <v>3072.0347119738053</v>
          </cell>
          <cell r="L182">
            <v>2924.54236841189</v>
          </cell>
          <cell r="M182">
            <v>2778.8027062119545</v>
          </cell>
          <cell r="N182">
            <v>2634.8157253740492</v>
          </cell>
          <cell r="O182">
            <v>2532.8132326944678</v>
          </cell>
          <cell r="P182">
            <v>2431.9615413637011</v>
          </cell>
          <cell r="Q182">
            <v>2332.2606513817445</v>
          </cell>
          <cell r="R182">
            <v>2233.7105627485425</v>
          </cell>
          <cell r="S182">
            <v>2136.3112754641311</v>
          </cell>
          <cell r="T182">
            <v>2080.489448663513</v>
          </cell>
          <cell r="U182">
            <v>2025.2328368434228</v>
          </cell>
          <cell r="V182">
            <v>1970.5414400038767</v>
          </cell>
          <cell r="W182">
            <v>1916.4152581448413</v>
          </cell>
          <cell r="X182">
            <v>1862.8542912663629</v>
          </cell>
          <cell r="Y182">
            <v>1808.4297036400903</v>
          </cell>
          <cell r="Z182">
            <v>1754.5766402002421</v>
          </cell>
          <cell r="AA182">
            <v>1701.2951009467931</v>
          </cell>
          <cell r="AB182">
            <v>1648.5850858797683</v>
          </cell>
          <cell r="AC182">
            <v>1596.4465949991425</v>
          </cell>
          <cell r="AD182">
            <v>1567.0955314850958</v>
          </cell>
          <cell r="AE182">
            <v>1537.9976560048074</v>
          </cell>
          <cell r="AF182">
            <v>1509.1529685582866</v>
          </cell>
          <cell r="AG182">
            <v>1480.5614691455269</v>
          </cell>
          <cell r="AH182">
            <v>1452.2231577665225</v>
          </cell>
        </row>
        <row r="183">
          <cell r="B183" t="str">
            <v>e-hydrogen (PEM) - Cost of electricity - Europe - USD/ton fuel</v>
          </cell>
          <cell r="G183">
            <v>3088.6183404051494</v>
          </cell>
          <cell r="H183">
            <v>2934.9978773207504</v>
          </cell>
          <cell r="I183">
            <v>2783.2242960023127</v>
          </cell>
          <cell r="J183">
            <v>2658.9634884269576</v>
          </cell>
          <cell r="K183">
            <v>2536.1442675500366</v>
          </cell>
          <cell r="L183">
            <v>2414.7666333716097</v>
          </cell>
          <cell r="M183">
            <v>2294.8305858916169</v>
          </cell>
          <cell r="N183">
            <v>2176.3361251101096</v>
          </cell>
          <cell r="O183">
            <v>2119.2621979451387</v>
          </cell>
          <cell r="P183">
            <v>2062.7668977101166</v>
          </cell>
          <cell r="Q183">
            <v>2006.8502244049839</v>
          </cell>
          <cell r="R183">
            <v>1951.5121780297545</v>
          </cell>
          <cell r="S183">
            <v>1896.7527585844489</v>
          </cell>
          <cell r="T183">
            <v>1859.4750566786888</v>
          </cell>
          <cell r="U183">
            <v>1822.5310861272537</v>
          </cell>
          <cell r="V183">
            <v>1785.9208469301404</v>
          </cell>
          <cell r="W183">
            <v>1749.6443390873419</v>
          </cell>
          <cell r="X183">
            <v>1713.7015625988522</v>
          </cell>
          <cell r="Y183">
            <v>1676.8515459482612</v>
          </cell>
          <cell r="Z183">
            <v>1640.3464303890162</v>
          </cell>
          <cell r="AA183">
            <v>1604.1862159211298</v>
          </cell>
          <cell r="AB183">
            <v>1568.3709025445894</v>
          </cell>
          <cell r="AC183">
            <v>1532.9004902594074</v>
          </cell>
          <cell r="AD183">
            <v>1504.7187204030115</v>
          </cell>
          <cell r="AE183">
            <v>1476.7800470524367</v>
          </cell>
          <cell r="AF183">
            <v>1449.0844702076927</v>
          </cell>
          <cell r="AG183">
            <v>1421.6319898687727</v>
          </cell>
          <cell r="AH183">
            <v>1394.4226060356712</v>
          </cell>
        </row>
        <row r="184">
          <cell r="B184" t="str">
            <v>e-hydrogen (PEM) - Cost of electricity - Middle East - USD/ton fuel</v>
          </cell>
          <cell r="G184">
            <v>2365.0932635456288</v>
          </cell>
          <cell r="H184">
            <v>2245.0449546691425</v>
          </cell>
          <cell r="I184">
            <v>2126.4446150453423</v>
          </cell>
          <cell r="J184">
            <v>2044.3163234657441</v>
          </cell>
          <cell r="K184">
            <v>1963.1141459928449</v>
          </cell>
          <cell r="L184">
            <v>1882.8380826266482</v>
          </cell>
          <cell r="M184">
            <v>1803.4881333671503</v>
          </cell>
          <cell r="N184">
            <v>1725.0642982143481</v>
          </cell>
          <cell r="O184">
            <v>1667.2422396005049</v>
          </cell>
          <cell r="P184">
            <v>1610.0510100044264</v>
          </cell>
          <cell r="Q184">
            <v>1553.4906094260816</v>
          </cell>
          <cell r="R184">
            <v>1497.5610378654981</v>
          </cell>
          <cell r="S184">
            <v>1442.2622953226673</v>
          </cell>
          <cell r="T184">
            <v>1410.1329638726679</v>
          </cell>
          <cell r="U184">
            <v>1378.3091765551919</v>
          </cell>
          <cell r="V184">
            <v>1346.7909333702487</v>
          </cell>
          <cell r="W184">
            <v>1315.5782343178196</v>
          </cell>
          <cell r="X184">
            <v>1284.6710793979164</v>
          </cell>
          <cell r="Y184">
            <v>1247.6546356229667</v>
          </cell>
          <cell r="Z184">
            <v>1211.0252666371405</v>
          </cell>
          <cell r="AA184">
            <v>1174.7829724404253</v>
          </cell>
          <cell r="AB184">
            <v>1138.9277530328336</v>
          </cell>
          <cell r="AC184">
            <v>1103.45960841435</v>
          </cell>
          <cell r="AD184">
            <v>1083.1718876933442</v>
          </cell>
          <cell r="AE184">
            <v>1063.059174573888</v>
          </cell>
          <cell r="AF184">
            <v>1043.121469055973</v>
          </cell>
          <cell r="AG184">
            <v>1023.3587711396019</v>
          </cell>
          <cell r="AH184">
            <v>1003.7710808247782</v>
          </cell>
        </row>
        <row r="185">
          <cell r="B185" t="str">
            <v>e-hydrogen (Solid oxide) - Cost of electricity - Africa - USD/ton fuel</v>
          </cell>
          <cell r="G185">
            <v>2588.9287063028064</v>
          </cell>
          <cell r="H185">
            <v>2276.192451717739</v>
          </cell>
          <cell r="I185">
            <v>1965.77856467534</v>
          </cell>
          <cell r="J185">
            <v>1874.5729013108719</v>
          </cell>
          <cell r="K185">
            <v>1784.0024108327877</v>
          </cell>
          <cell r="L185">
            <v>1694.0670932410824</v>
          </cell>
          <cell r="M185">
            <v>1604.7669485357389</v>
          </cell>
          <cell r="N185">
            <v>1516.1019767167986</v>
          </cell>
          <cell r="O185">
            <v>1464.492375541203</v>
          </cell>
          <cell r="P185">
            <v>1413.2306341636806</v>
          </cell>
          <cell r="Q185">
            <v>1362.3167525842139</v>
          </cell>
          <cell r="R185">
            <v>1311.750730802838</v>
          </cell>
          <cell r="S185">
            <v>1261.5325688195401</v>
          </cell>
          <cell r="T185">
            <v>1235.5794195397884</v>
          </cell>
          <cell r="U185">
            <v>1209.7869106465225</v>
          </cell>
          <cell r="V185">
            <v>1184.155042139736</v>
          </cell>
          <cell r="W185">
            <v>1158.6838140194304</v>
          </cell>
          <cell r="X185">
            <v>1133.373226285617</v>
          </cell>
          <cell r="Y185">
            <v>1107.7163967847878</v>
          </cell>
          <cell r="Z185">
            <v>1082.2216302766769</v>
          </cell>
          <cell r="AA185">
            <v>1056.8889267612767</v>
          </cell>
          <cell r="AB185">
            <v>1031.7182862386062</v>
          </cell>
          <cell r="AC185">
            <v>1006.709708708651</v>
          </cell>
          <cell r="AD185">
            <v>992.61384025706548</v>
          </cell>
          <cell r="AE185">
            <v>978.59601473603675</v>
          </cell>
          <cell r="AF185">
            <v>964.6562321455558</v>
          </cell>
          <cell r="AG185">
            <v>950.79449248562696</v>
          </cell>
          <cell r="AH185">
            <v>937.01079575625499</v>
          </cell>
        </row>
        <row r="186">
          <cell r="B186" t="str">
            <v>e-hydrogen (Solid oxide) - Cost of electricity - Americas - USD/ton fuel</v>
          </cell>
          <cell r="G186">
            <v>1626.6624296508014</v>
          </cell>
          <cell r="H186">
            <v>1586.8920318699479</v>
          </cell>
          <cell r="I186">
            <v>1547.3789656238314</v>
          </cell>
          <cell r="J186">
            <v>1485.2415642775391</v>
          </cell>
          <cell r="K186">
            <v>1423.5309409821973</v>
          </cell>
          <cell r="L186">
            <v>1362.2470957378021</v>
          </cell>
          <cell r="M186">
            <v>1301.3900285443751</v>
          </cell>
          <cell r="N186">
            <v>1240.9597394018786</v>
          </cell>
          <cell r="O186">
            <v>1209.6949626391079</v>
          </cell>
          <cell r="P186">
            <v>1178.6316839159529</v>
          </cell>
          <cell r="Q186">
            <v>1147.7699032324153</v>
          </cell>
          <cell r="R186">
            <v>1117.1096205884919</v>
          </cell>
          <cell r="S186">
            <v>1086.6508359841794</v>
          </cell>
          <cell r="T186">
            <v>1061.408903785305</v>
          </cell>
          <cell r="U186">
            <v>1036.3272267626667</v>
          </cell>
          <cell r="V186">
            <v>1011.4058049162624</v>
          </cell>
          <cell r="W186">
            <v>986.64463824609879</v>
          </cell>
          <cell r="X186">
            <v>962.0437267521703</v>
          </cell>
          <cell r="Y186">
            <v>950.05556167518864</v>
          </cell>
          <cell r="Z186">
            <v>938.13073928594736</v>
          </cell>
          <cell r="AA186">
            <v>926.2692595844502</v>
          </cell>
          <cell r="AB186">
            <v>914.4711225706925</v>
          </cell>
          <cell r="AC186">
            <v>902.73632824467643</v>
          </cell>
          <cell r="AD186">
            <v>893.14293615721283</v>
          </cell>
          <cell r="AE186">
            <v>883.5964293429322</v>
          </cell>
          <cell r="AF186">
            <v>874.09680780183226</v>
          </cell>
          <cell r="AG186">
            <v>864.64407153391312</v>
          </cell>
          <cell r="AH186">
            <v>855.23822053917456</v>
          </cell>
        </row>
        <row r="187">
          <cell r="B187" t="str">
            <v>e-hydrogen (Solid oxide) - Cost of electricity - Asia - USD/ton fuel</v>
          </cell>
          <cell r="G187">
            <v>2879.4268684472977</v>
          </cell>
          <cell r="H187">
            <v>2616.3676719083792</v>
          </cell>
          <cell r="I187">
            <v>2355.241388890081</v>
          </cell>
          <cell r="J187">
            <v>2256.6218695880475</v>
          </cell>
          <cell r="K187">
            <v>2158.6825793904818</v>
          </cell>
          <cell r="L187">
            <v>2061.4235182972989</v>
          </cell>
          <cell r="M187">
            <v>1964.8446863085412</v>
          </cell>
          <cell r="N187">
            <v>1868.9460834242511</v>
          </cell>
          <cell r="O187">
            <v>1802.0544838040184</v>
          </cell>
          <cell r="P187">
            <v>1735.6164987611448</v>
          </cell>
          <cell r="Q187">
            <v>1669.6321282956326</v>
          </cell>
          <cell r="R187">
            <v>1604.101372407438</v>
          </cell>
          <cell r="S187">
            <v>1539.0242310965832</v>
          </cell>
          <cell r="T187">
            <v>1503.3658040322432</v>
          </cell>
          <cell r="U187">
            <v>1467.9336509934164</v>
          </cell>
          <cell r="V187">
            <v>1432.7277719801166</v>
          </cell>
          <cell r="W187">
            <v>1397.7481669923204</v>
          </cell>
          <cell r="X187">
            <v>1362.9948360300589</v>
          </cell>
          <cell r="Y187">
            <v>1327.1963558395476</v>
          </cell>
          <cell r="Z187">
            <v>1291.6302509965878</v>
          </cell>
          <cell r="AA187">
            <v>1256.2965215011627</v>
          </cell>
          <cell r="AB187">
            <v>1221.195167353291</v>
          </cell>
          <cell r="AC187">
            <v>1186.3261885529537</v>
          </cell>
          <cell r="AD187">
            <v>1168.0553420325177</v>
          </cell>
          <cell r="AE187">
            <v>1149.8890476729646</v>
          </cell>
          <cell r="AF187">
            <v>1131.8273054743036</v>
          </cell>
          <cell r="AG187">
            <v>1113.8701154365301</v>
          </cell>
          <cell r="AH187">
            <v>1096.0174775596397</v>
          </cell>
        </row>
        <row r="188">
          <cell r="B188" t="str">
            <v>e-hydrogen (Solid oxide) - Cost of electricity - Europe - USD/ton fuel</v>
          </cell>
          <cell r="G188">
            <v>2143.5773334609944</v>
          </cell>
          <cell r="H188">
            <v>2043.355382244687</v>
          </cell>
          <cell r="I188">
            <v>1943.8391908587546</v>
          </cell>
          <cell r="J188">
            <v>1862.6991905394541</v>
          </cell>
          <cell r="K188">
            <v>1782.1186810951563</v>
          </cell>
          <cell r="L188">
            <v>1702.0976625258966</v>
          </cell>
          <cell r="M188">
            <v>1622.6361348316375</v>
          </cell>
          <cell r="N188">
            <v>1543.7340980124209</v>
          </cell>
          <cell r="O188">
            <v>1507.8198016600793</v>
          </cell>
          <cell r="P188">
            <v>1472.1335842985702</v>
          </cell>
          <cell r="Q188">
            <v>1436.6754459278568</v>
          </cell>
          <cell r="R188">
            <v>1401.4453865479445</v>
          </cell>
          <cell r="S188">
            <v>1366.4434061588452</v>
          </cell>
          <cell r="T188">
            <v>1343.6603658131708</v>
          </cell>
          <cell r="U188">
            <v>1321.0109290335472</v>
          </cell>
          <cell r="V188">
            <v>1298.4950958199738</v>
          </cell>
          <cell r="W188">
            <v>1276.1128661724465</v>
          </cell>
          <cell r="X188">
            <v>1253.864240090958</v>
          </cell>
          <cell r="Y188">
            <v>1230.6318883099702</v>
          </cell>
          <cell r="Z188">
            <v>1207.5397694585297</v>
          </cell>
          <cell r="AA188">
            <v>1184.5878835366475</v>
          </cell>
          <cell r="AB188">
            <v>1161.7762305443143</v>
          </cell>
          <cell r="AC188">
            <v>1139.1048104815393</v>
          </cell>
          <cell r="AD188">
            <v>1121.5619624398041</v>
          </cell>
          <cell r="AE188">
            <v>1104.1194993357353</v>
          </cell>
          <cell r="AF188">
            <v>1086.7774211693418</v>
          </cell>
          <cell r="AG188">
            <v>1069.5357279406194</v>
          </cell>
          <cell r="AH188">
            <v>1052.3944196495631</v>
          </cell>
        </row>
        <row r="189">
          <cell r="B189" t="str">
            <v>e-hydrogen (Solid oxide) - Cost of electricity - Middle East - USD/ton fuel</v>
          </cell>
          <cell r="G189">
            <v>1641.4330786472874</v>
          </cell>
          <cell r="H189">
            <v>1563.0078396145759</v>
          </cell>
          <cell r="I189">
            <v>1485.1359216189667</v>
          </cell>
          <cell r="J189">
            <v>1432.1168295466196</v>
          </cell>
          <cell r="K189">
            <v>1379.4571694754702</v>
          </cell>
          <cell r="L189">
            <v>1327.1569414055152</v>
          </cell>
          <cell r="M189">
            <v>1275.2161453367562</v>
          </cell>
          <cell r="N189">
            <v>1223.6347812691949</v>
          </cell>
          <cell r="O189">
            <v>1186.215120276881</v>
          </cell>
          <cell r="P189">
            <v>1149.0441149179419</v>
          </cell>
          <cell r="Q189">
            <v>1112.1217651923596</v>
          </cell>
          <cell r="R189">
            <v>1075.4480711001511</v>
          </cell>
          <cell r="S189">
            <v>1039.0230326413075</v>
          </cell>
          <cell r="T189">
            <v>1018.9648778976681</v>
          </cell>
          <cell r="U189">
            <v>999.02904245415289</v>
          </cell>
          <cell r="V189">
            <v>979.21552631076952</v>
          </cell>
          <cell r="W189">
            <v>959.52432946750571</v>
          </cell>
          <cell r="X189">
            <v>939.95545192436759</v>
          </cell>
          <cell r="Y189">
            <v>915.64669747023243</v>
          </cell>
          <cell r="Z189">
            <v>891.49532329988426</v>
          </cell>
          <cell r="AA189">
            <v>867.50132941331481</v>
          </cell>
          <cell r="AB189">
            <v>843.66471581053372</v>
          </cell>
          <cell r="AC189">
            <v>819.98548249152907</v>
          </cell>
          <cell r="AD189">
            <v>807.35646572909013</v>
          </cell>
          <cell r="AE189">
            <v>794.79971708549533</v>
          </cell>
          <cell r="AF189">
            <v>782.31523656074</v>
          </cell>
          <cell r="AG189">
            <v>769.90302415482654</v>
          </cell>
          <cell r="AH189">
            <v>757.5630798677571</v>
          </cell>
        </row>
        <row r="190">
          <cell r="B190" t="str">
            <v/>
          </cell>
        </row>
        <row r="191">
          <cell r="B191" t="str">
            <v>e-hydrogen - Feedstock cost - Global - USD/ton fuel</v>
          </cell>
          <cell r="G191">
            <v>13.5</v>
          </cell>
          <cell r="H191">
            <v>13.500000000000048</v>
          </cell>
          <cell r="I191">
            <v>13.500000000000048</v>
          </cell>
          <cell r="J191">
            <v>13.500000000000048</v>
          </cell>
          <cell r="K191">
            <v>13.500000000000096</v>
          </cell>
          <cell r="L191">
            <v>13.5</v>
          </cell>
          <cell r="M191">
            <v>13.500000000000096</v>
          </cell>
          <cell r="N191">
            <v>13.5</v>
          </cell>
          <cell r="O191">
            <v>13.499999999999904</v>
          </cell>
          <cell r="P191">
            <v>13.500000000000048</v>
          </cell>
          <cell r="Q191">
            <v>13.500000000000192</v>
          </cell>
          <cell r="R191">
            <v>13.500000000000096</v>
          </cell>
          <cell r="S191">
            <v>13.500000000000192</v>
          </cell>
          <cell r="T191">
            <v>13.50000000000024</v>
          </cell>
          <cell r="U191">
            <v>13.500000000000121</v>
          </cell>
          <cell r="V191">
            <v>13.500000000000359</v>
          </cell>
          <cell r="W191">
            <v>13.50000000000024</v>
          </cell>
          <cell r="X191">
            <v>13.499999999999904</v>
          </cell>
          <cell r="Y191">
            <v>13.5</v>
          </cell>
          <cell r="Z191">
            <v>13.499999999999952</v>
          </cell>
          <cell r="AA191">
            <v>13.500000000000048</v>
          </cell>
          <cell r="AB191">
            <v>13.5</v>
          </cell>
          <cell r="AC191">
            <v>13.5</v>
          </cell>
          <cell r="AD191">
            <v>13.5</v>
          </cell>
          <cell r="AE191">
            <v>13.5</v>
          </cell>
          <cell r="AF191">
            <v>13.5</v>
          </cell>
          <cell r="AG191">
            <v>13.5</v>
          </cell>
          <cell r="AH191">
            <v>13.5</v>
          </cell>
        </row>
        <row r="192">
          <cell r="B192" t="str">
            <v>e-hydrogen (Alkaline) - Feedstock cost - Global - USD/ton fuel</v>
          </cell>
          <cell r="G192">
            <v>13.5</v>
          </cell>
          <cell r="H192">
            <v>13.5</v>
          </cell>
          <cell r="I192">
            <v>13.5</v>
          </cell>
          <cell r="J192">
            <v>13.5</v>
          </cell>
          <cell r="K192">
            <v>13.5</v>
          </cell>
          <cell r="L192">
            <v>13.5</v>
          </cell>
          <cell r="M192">
            <v>13.5</v>
          </cell>
          <cell r="N192">
            <v>13.5</v>
          </cell>
          <cell r="O192">
            <v>13.5</v>
          </cell>
          <cell r="P192">
            <v>13.5</v>
          </cell>
          <cell r="Q192">
            <v>13.5</v>
          </cell>
          <cell r="R192">
            <v>13.5</v>
          </cell>
          <cell r="S192">
            <v>13.5</v>
          </cell>
          <cell r="T192">
            <v>13.5</v>
          </cell>
          <cell r="U192">
            <v>13.5</v>
          </cell>
          <cell r="V192">
            <v>13.5</v>
          </cell>
          <cell r="W192">
            <v>13.5</v>
          </cell>
          <cell r="X192">
            <v>13.5</v>
          </cell>
          <cell r="Y192">
            <v>13.5</v>
          </cell>
          <cell r="Z192">
            <v>13.5</v>
          </cell>
          <cell r="AA192">
            <v>13.5</v>
          </cell>
          <cell r="AB192">
            <v>13.5</v>
          </cell>
          <cell r="AC192">
            <v>13.5</v>
          </cell>
          <cell r="AD192">
            <v>13.5</v>
          </cell>
          <cell r="AE192">
            <v>13.5</v>
          </cell>
          <cell r="AF192">
            <v>13.5</v>
          </cell>
          <cell r="AG192">
            <v>13.5</v>
          </cell>
          <cell r="AH192">
            <v>13.5</v>
          </cell>
        </row>
        <row r="193">
          <cell r="B193" t="str">
            <v>e-hydrogen (PEM) - Feedstock cost - Global - USD/ton fuel</v>
          </cell>
          <cell r="G193">
            <v>13.5</v>
          </cell>
          <cell r="H193">
            <v>13.5</v>
          </cell>
          <cell r="I193">
            <v>13.5</v>
          </cell>
          <cell r="J193">
            <v>13.5</v>
          </cell>
          <cell r="K193">
            <v>13.5</v>
          </cell>
          <cell r="L193">
            <v>13.5</v>
          </cell>
          <cell r="M193">
            <v>13.5</v>
          </cell>
          <cell r="N193">
            <v>13.5</v>
          </cell>
          <cell r="O193">
            <v>13.5</v>
          </cell>
          <cell r="P193">
            <v>13.5</v>
          </cell>
          <cell r="Q193">
            <v>13.5</v>
          </cell>
          <cell r="R193">
            <v>13.5</v>
          </cell>
          <cell r="S193">
            <v>13.5</v>
          </cell>
          <cell r="T193">
            <v>13.5</v>
          </cell>
          <cell r="U193">
            <v>13.5</v>
          </cell>
          <cell r="V193">
            <v>13.5</v>
          </cell>
          <cell r="W193">
            <v>13.5</v>
          </cell>
          <cell r="X193">
            <v>13.5</v>
          </cell>
          <cell r="Y193">
            <v>13.5</v>
          </cell>
          <cell r="Z193">
            <v>13.5</v>
          </cell>
          <cell r="AA193">
            <v>13.5</v>
          </cell>
          <cell r="AB193">
            <v>13.5</v>
          </cell>
          <cell r="AC193">
            <v>13.5</v>
          </cell>
          <cell r="AD193">
            <v>13.5</v>
          </cell>
          <cell r="AE193">
            <v>13.5</v>
          </cell>
          <cell r="AF193">
            <v>13.5</v>
          </cell>
          <cell r="AG193">
            <v>13.5</v>
          </cell>
          <cell r="AH193">
            <v>13.5</v>
          </cell>
        </row>
        <row r="194">
          <cell r="B194" t="str">
            <v>e-hydrogen (Solid oxide) - Feedstock cost - Global - USD/ton fuel</v>
          </cell>
          <cell r="G194">
            <v>13.5</v>
          </cell>
          <cell r="H194">
            <v>13.5</v>
          </cell>
          <cell r="I194">
            <v>13.5</v>
          </cell>
          <cell r="J194">
            <v>13.5</v>
          </cell>
          <cell r="K194">
            <v>13.5</v>
          </cell>
          <cell r="L194">
            <v>13.5</v>
          </cell>
          <cell r="M194">
            <v>13.5</v>
          </cell>
          <cell r="N194">
            <v>13.5</v>
          </cell>
          <cell r="O194">
            <v>13.5</v>
          </cell>
          <cell r="P194">
            <v>13.5</v>
          </cell>
          <cell r="Q194">
            <v>13.5</v>
          </cell>
          <cell r="R194">
            <v>13.5</v>
          </cell>
          <cell r="S194">
            <v>13.5</v>
          </cell>
          <cell r="T194">
            <v>13.5</v>
          </cell>
          <cell r="U194">
            <v>13.5</v>
          </cell>
          <cell r="V194">
            <v>13.5</v>
          </cell>
          <cell r="W194">
            <v>13.5</v>
          </cell>
          <cell r="X194">
            <v>13.5</v>
          </cell>
          <cell r="Y194">
            <v>13.5</v>
          </cell>
          <cell r="Z194">
            <v>13.5</v>
          </cell>
          <cell r="AA194">
            <v>13.5</v>
          </cell>
          <cell r="AB194">
            <v>13.5</v>
          </cell>
          <cell r="AC194">
            <v>13.5</v>
          </cell>
          <cell r="AD194">
            <v>13.5</v>
          </cell>
          <cell r="AE194">
            <v>13.5</v>
          </cell>
          <cell r="AF194">
            <v>13.5</v>
          </cell>
          <cell r="AG194">
            <v>13.5</v>
          </cell>
          <cell r="AH194">
            <v>13.5</v>
          </cell>
        </row>
        <row r="195">
          <cell r="B195" t="str">
            <v/>
          </cell>
        </row>
        <row r="196">
          <cell r="B196" t="str">
            <v>e-hydrogen (Alkaline) - Market share - Global - %</v>
          </cell>
          <cell r="G196">
            <v>0.74000000000000199</v>
          </cell>
          <cell r="H196">
            <v>0.72000000000000597</v>
          </cell>
          <cell r="I196">
            <v>0.70000000000000284</v>
          </cell>
          <cell r="J196">
            <v>0.65999999999999659</v>
          </cell>
          <cell r="K196">
            <v>0.62000000000000455</v>
          </cell>
          <cell r="L196">
            <v>0.57999999999999829</v>
          </cell>
          <cell r="M196">
            <v>0.54000000000000625</v>
          </cell>
          <cell r="N196">
            <v>0.5</v>
          </cell>
          <cell r="O196">
            <v>0.44999999999998863</v>
          </cell>
          <cell r="P196">
            <v>0.39999999999999147</v>
          </cell>
          <cell r="Q196">
            <v>0.34999999999999432</v>
          </cell>
          <cell r="R196">
            <v>0.29999999999999716</v>
          </cell>
          <cell r="S196">
            <v>0.25</v>
          </cell>
          <cell r="T196">
            <v>0.21000000000000796</v>
          </cell>
          <cell r="U196">
            <v>0.17000000000000171</v>
          </cell>
          <cell r="V196">
            <v>0.13000000000000966</v>
          </cell>
          <cell r="W196">
            <v>9.0000000000003411E-2</v>
          </cell>
          <cell r="X196">
            <v>4.9999999999997158E-2</v>
          </cell>
          <cell r="Y196">
            <v>3.9999999999999147E-2</v>
          </cell>
          <cell r="Z196">
            <v>2.9999999999997584E-2</v>
          </cell>
          <cell r="AA196">
            <v>1.9999999999999574E-2</v>
          </cell>
          <cell r="AB196">
            <v>9.9999999999980105E-3</v>
          </cell>
          <cell r="AC196">
            <v>0</v>
          </cell>
          <cell r="AD196">
            <v>0</v>
          </cell>
          <cell r="AE196">
            <v>0</v>
          </cell>
          <cell r="AF196">
            <v>0</v>
          </cell>
          <cell r="AG196">
            <v>0</v>
          </cell>
          <cell r="AH196">
            <v>0</v>
          </cell>
        </row>
        <row r="197">
          <cell r="B197" t="str">
            <v>e-hydrogen (PEM) - Market share - Global - %</v>
          </cell>
          <cell r="G197">
            <v>0.23000000000000043</v>
          </cell>
          <cell r="H197">
            <v>0.23999999999999844</v>
          </cell>
          <cell r="I197">
            <v>0.25000000000000355</v>
          </cell>
          <cell r="J197">
            <v>0.26500000000000412</v>
          </cell>
          <cell r="K197">
            <v>0.28000000000000114</v>
          </cell>
          <cell r="L197">
            <v>0.29500000000000171</v>
          </cell>
          <cell r="M197">
            <v>0.31000000000000227</v>
          </cell>
          <cell r="N197">
            <v>0.32500000000000284</v>
          </cell>
          <cell r="O197">
            <v>0.33500000000000085</v>
          </cell>
          <cell r="P197">
            <v>0.34500000000000242</v>
          </cell>
          <cell r="Q197">
            <v>0.35500000000000398</v>
          </cell>
          <cell r="R197">
            <v>0.36500000000000199</v>
          </cell>
          <cell r="S197">
            <v>0.375</v>
          </cell>
          <cell r="T197">
            <v>0.37999999999999901</v>
          </cell>
          <cell r="U197">
            <v>0.38499999999999979</v>
          </cell>
          <cell r="V197">
            <v>0.38999999999999879</v>
          </cell>
          <cell r="W197">
            <v>0.39499999999999957</v>
          </cell>
          <cell r="X197">
            <v>0.39999999999999858</v>
          </cell>
          <cell r="Y197">
            <v>0.38000000000000256</v>
          </cell>
          <cell r="Z197">
            <v>0.35999999999999943</v>
          </cell>
          <cell r="AA197">
            <v>0.34000000000000341</v>
          </cell>
          <cell r="AB197">
            <v>0.32000000000000028</v>
          </cell>
          <cell r="AC197">
            <v>0.30000000000000426</v>
          </cell>
          <cell r="AD197">
            <v>0.28000000000000114</v>
          </cell>
          <cell r="AE197">
            <v>0.26000000000000512</v>
          </cell>
          <cell r="AF197">
            <v>0.24000000000000199</v>
          </cell>
          <cell r="AG197">
            <v>0.21999999999999886</v>
          </cell>
          <cell r="AH197">
            <v>0.20000000000000284</v>
          </cell>
        </row>
        <row r="198">
          <cell r="B198" t="str">
            <v>e-hydrogen (Solid oxide) - Market share - Global - %</v>
          </cell>
          <cell r="G198">
            <v>2.9999999999997584E-2</v>
          </cell>
          <cell r="H198">
            <v>3.9999999999999147E-2</v>
          </cell>
          <cell r="I198">
            <v>4.9999999999997158E-2</v>
          </cell>
          <cell r="J198">
            <v>7.5000000000002842E-2</v>
          </cell>
          <cell r="K198">
            <v>0.10000000000000142</v>
          </cell>
          <cell r="L198">
            <v>0.125</v>
          </cell>
          <cell r="M198">
            <v>0.14999999999999858</v>
          </cell>
          <cell r="N198">
            <v>0.17499999999999716</v>
          </cell>
          <cell r="O198">
            <v>0.21500000000000341</v>
          </cell>
          <cell r="P198">
            <v>0.25500000000000966</v>
          </cell>
          <cell r="Q198">
            <v>0.29500000000001592</v>
          </cell>
          <cell r="R198">
            <v>0.33500000000000796</v>
          </cell>
          <cell r="S198">
            <v>0.37500000000001421</v>
          </cell>
          <cell r="T198">
            <v>0.4100000000000108</v>
          </cell>
          <cell r="U198">
            <v>0.44500000000000739</v>
          </cell>
          <cell r="V198">
            <v>0.48000000000001819</v>
          </cell>
          <cell r="W198">
            <v>0.51500000000001478</v>
          </cell>
          <cell r="X198">
            <v>0.54999999999999716</v>
          </cell>
          <cell r="Y198">
            <v>0.57999999999999829</v>
          </cell>
          <cell r="Z198">
            <v>0.60999999999999943</v>
          </cell>
          <cell r="AA198">
            <v>0.64000000000000057</v>
          </cell>
          <cell r="AB198">
            <v>0.67000000000000171</v>
          </cell>
          <cell r="AC198">
            <v>0.69999999999999574</v>
          </cell>
          <cell r="AD198">
            <v>0.71999999999999886</v>
          </cell>
          <cell r="AE198">
            <v>0.73999999999999488</v>
          </cell>
          <cell r="AF198">
            <v>0.75999999999999801</v>
          </cell>
          <cell r="AG198">
            <v>0.78000000000000114</v>
          </cell>
          <cell r="AH198">
            <v>0.79999999999999716</v>
          </cell>
        </row>
        <row r="199">
          <cell r="B199" t="str">
            <v/>
          </cell>
        </row>
        <row r="200">
          <cell r="B200" t="str">
            <v>e-hydrogen (liquefied) - Item - Region - Unit</v>
          </cell>
          <cell r="G200">
            <v>2023</v>
          </cell>
          <cell r="H200">
            <v>2024</v>
          </cell>
          <cell r="I200">
            <v>2025</v>
          </cell>
          <cell r="J200">
            <v>2026</v>
          </cell>
          <cell r="K200">
            <v>2027</v>
          </cell>
          <cell r="L200">
            <v>2028</v>
          </cell>
          <cell r="M200">
            <v>2029</v>
          </cell>
          <cell r="N200">
            <v>2030</v>
          </cell>
          <cell r="O200">
            <v>2031</v>
          </cell>
          <cell r="P200">
            <v>2032</v>
          </cell>
          <cell r="Q200">
            <v>2033</v>
          </cell>
          <cell r="R200">
            <v>2034</v>
          </cell>
          <cell r="S200">
            <v>2035</v>
          </cell>
          <cell r="T200">
            <v>2036</v>
          </cell>
          <cell r="U200">
            <v>2037</v>
          </cell>
          <cell r="V200">
            <v>2038</v>
          </cell>
          <cell r="W200">
            <v>2039</v>
          </cell>
          <cell r="X200">
            <v>2040</v>
          </cell>
          <cell r="Y200">
            <v>2041</v>
          </cell>
          <cell r="Z200">
            <v>2042</v>
          </cell>
          <cell r="AA200">
            <v>2043</v>
          </cell>
          <cell r="AB200">
            <v>2044</v>
          </cell>
          <cell r="AC200">
            <v>2045</v>
          </cell>
          <cell r="AD200">
            <v>2046</v>
          </cell>
          <cell r="AE200">
            <v>2047</v>
          </cell>
          <cell r="AF200">
            <v>2048</v>
          </cell>
          <cell r="AG200">
            <v>2049</v>
          </cell>
          <cell r="AH200">
            <v>2050</v>
          </cell>
        </row>
        <row r="201">
          <cell r="B201" t="str">
            <v>e-hydrogen (liquefied) - Total cost - Africa - USD/ton fuel</v>
          </cell>
          <cell r="G201">
            <v>5344.0454476704936</v>
          </cell>
          <cell r="H201">
            <v>4851.5219793538517</v>
          </cell>
          <cell r="I201">
            <v>4356.3269767755401</v>
          </cell>
          <cell r="J201">
            <v>4198.7479456976553</v>
          </cell>
          <cell r="K201">
            <v>4036.0191547645913</v>
          </cell>
          <cell r="L201">
            <v>3868.2433908182134</v>
          </cell>
          <cell r="M201">
            <v>3695.5234407004668</v>
          </cell>
          <cell r="N201">
            <v>3517.9620912531791</v>
          </cell>
          <cell r="O201">
            <v>3450.620229956593</v>
          </cell>
          <cell r="P201">
            <v>3375.7017897609148</v>
          </cell>
          <cell r="Q201">
            <v>3293.2621343025926</v>
          </cell>
          <cell r="R201">
            <v>3203.3566272181301</v>
          </cell>
          <cell r="S201">
            <v>3106.0406321441019</v>
          </cell>
          <cell r="T201">
            <v>3040.2992173971006</v>
          </cell>
          <cell r="U201">
            <v>2969.3466326008947</v>
          </cell>
          <cell r="V201">
            <v>2893.2009431205211</v>
          </cell>
          <cell r="W201">
            <v>2811.8802143207949</v>
          </cell>
          <cell r="X201">
            <v>2725.402511566705</v>
          </cell>
          <cell r="Y201">
            <v>2636.5087896112882</v>
          </cell>
          <cell r="Z201">
            <v>2545.1952748529047</v>
          </cell>
          <cell r="AA201">
            <v>2451.4514031531471</v>
          </cell>
          <cell r="AB201">
            <v>2355.2666103735023</v>
          </cell>
          <cell r="AC201">
            <v>2256.6303323755183</v>
          </cell>
          <cell r="AD201">
            <v>2180.5448845382343</v>
          </cell>
          <cell r="AE201">
            <v>2103.2464178271161</v>
          </cell>
          <cell r="AF201">
            <v>2024.7282752898632</v>
          </cell>
          <cell r="AG201">
            <v>1944.9837999741976</v>
          </cell>
          <cell r="AH201">
            <v>1864.0063349278448</v>
          </cell>
        </row>
        <row r="202">
          <cell r="B202" t="str">
            <v>e-hydrogen (liquefied) - Total cost - Americas - USD/ton fuel</v>
          </cell>
          <cell r="G202">
            <v>3974.9584105925132</v>
          </cell>
          <cell r="H202">
            <v>3868.0054726595172</v>
          </cell>
          <cell r="I202">
            <v>3757.7302776779811</v>
          </cell>
          <cell r="J202">
            <v>3640.5823321172297</v>
          </cell>
          <cell r="K202">
            <v>3518.2977387324099</v>
          </cell>
          <cell r="L202">
            <v>3390.9455608745798</v>
          </cell>
          <cell r="M202">
            <v>3258.5948618949183</v>
          </cell>
          <cell r="N202">
            <v>3121.3147051443361</v>
          </cell>
          <cell r="O202">
            <v>3083.961027749117</v>
          </cell>
          <cell r="P202">
            <v>3038.8146385693567</v>
          </cell>
          <cell r="Q202">
            <v>2985.9076070315182</v>
          </cell>
          <cell r="R202">
            <v>2925.2720025620297</v>
          </cell>
          <cell r="S202">
            <v>2856.9398945874536</v>
          </cell>
          <cell r="T202">
            <v>2793.0599090149444</v>
          </cell>
          <cell r="U202">
            <v>2724.0171929747135</v>
          </cell>
          <cell r="V202">
            <v>2649.8297685116604</v>
          </cell>
          <cell r="W202">
            <v>2570.5156576704799</v>
          </cell>
          <cell r="X202">
            <v>2486.0928824959969</v>
          </cell>
          <cell r="Y202">
            <v>2417.8272497294474</v>
          </cell>
          <cell r="Z202">
            <v>2346.7263866404364</v>
          </cell>
          <cell r="AA202">
            <v>2272.7861642115913</v>
          </cell>
          <cell r="AB202">
            <v>2196.0024534253953</v>
          </cell>
          <cell r="AC202">
            <v>2116.3711252644389</v>
          </cell>
          <cell r="AD202">
            <v>2047.0683427311408</v>
          </cell>
          <cell r="AE202">
            <v>1976.4313780376929</v>
          </cell>
          <cell r="AF202">
            <v>1904.4562319361858</v>
          </cell>
          <cell r="AG202">
            <v>1831.1389051787164</v>
          </cell>
          <cell r="AH202">
            <v>1756.4753985173841</v>
          </cell>
        </row>
        <row r="203">
          <cell r="B203" t="str">
            <v>e-hydrogen (liquefied) - Total cost - Asia - USD/ton fuel</v>
          </cell>
          <cell r="G203">
            <v>5757.358558331267</v>
          </cell>
          <cell r="H203">
            <v>5336.8951701895012</v>
          </cell>
          <cell r="I203">
            <v>4913.5243582373132</v>
          </cell>
          <cell r="J203">
            <v>4746.4731774273096</v>
          </cell>
          <cell r="K203">
            <v>4574.1475883553749</v>
          </cell>
          <cell r="L203">
            <v>4396.6576690850006</v>
          </cell>
          <cell r="M203">
            <v>4214.1134976799694</v>
          </cell>
          <cell r="N203">
            <v>4026.6251522038406</v>
          </cell>
          <cell r="O203">
            <v>3936.3796884275303</v>
          </cell>
          <cell r="P203">
            <v>3838.6520945000507</v>
          </cell>
          <cell r="Q203">
            <v>3733.5145654629114</v>
          </cell>
          <cell r="R203">
            <v>3621.0392963575359</v>
          </cell>
          <cell r="S203">
            <v>3501.2984822256003</v>
          </cell>
          <cell r="T203">
            <v>3420.4285418655472</v>
          </cell>
          <cell r="U203">
            <v>3334.451616840538</v>
          </cell>
          <cell r="V203">
            <v>3243.3931535713577</v>
          </cell>
          <cell r="W203">
            <v>3147.2785984784832</v>
          </cell>
          <cell r="X203">
            <v>3046.1333979826431</v>
          </cell>
          <cell r="Y203">
            <v>2940.9357919542181</v>
          </cell>
          <cell r="Z203">
            <v>2833.6319404229794</v>
          </cell>
          <cell r="AA203">
            <v>2724.2066959126387</v>
          </cell>
          <cell r="AB203">
            <v>2612.6449109468012</v>
          </cell>
          <cell r="AC203">
            <v>2498.9314380491387</v>
          </cell>
          <cell r="AD203">
            <v>2415.9637254379136</v>
          </cell>
          <cell r="AE203">
            <v>2331.9056556296864</v>
          </cell>
          <cell r="AF203">
            <v>2246.7483104720923</v>
          </cell>
          <cell r="AG203">
            <v>2160.4827718127535</v>
          </cell>
          <cell r="AH203">
            <v>2073.1001214992957</v>
          </cell>
        </row>
        <row r="204">
          <cell r="B204" t="str">
            <v>e-hydrogen (liquefied) - Total cost - Europe - USD/ton fuel</v>
          </cell>
          <cell r="G204">
            <v>4710.4112797725902</v>
          </cell>
          <cell r="H204">
            <v>4519.3023917788887</v>
          </cell>
          <cell r="I204">
            <v>4324.9387135538564</v>
          </cell>
          <cell r="J204">
            <v>4181.7251776135199</v>
          </cell>
          <cell r="K204">
            <v>4033.3136778856783</v>
          </cell>
          <cell r="L204">
            <v>3879.7947539720149</v>
          </cell>
          <cell r="M204">
            <v>3721.2589454742015</v>
          </cell>
          <cell r="N204">
            <v>3557.7967919938228</v>
          </cell>
          <cell r="O204">
            <v>3512.9693696653026</v>
          </cell>
          <cell r="P204">
            <v>3460.2871941148865</v>
          </cell>
          <cell r="Q204">
            <v>3399.7865652610499</v>
          </cell>
          <cell r="R204">
            <v>3331.5037830223087</v>
          </cell>
          <cell r="S204">
            <v>3255.4751473173314</v>
          </cell>
          <cell r="T204">
            <v>3193.722764948559</v>
          </cell>
          <cell r="U204">
            <v>3126.6542299220746</v>
          </cell>
          <cell r="V204">
            <v>3054.28456708467</v>
          </cell>
          <cell r="W204">
            <v>2976.6288012828868</v>
          </cell>
          <cell r="X204">
            <v>2893.7019573634329</v>
          </cell>
          <cell r="Y204">
            <v>2806.9972241256355</v>
          </cell>
          <cell r="Z204">
            <v>2717.8068229200053</v>
          </cell>
          <cell r="AA204">
            <v>2626.1216126092213</v>
          </cell>
          <cell r="AB204">
            <v>2531.9324520557866</v>
          </cell>
          <cell r="AC204">
            <v>2435.2302001223411</v>
          </cell>
          <cell r="AD204">
            <v>2353.5758786487627</v>
          </cell>
          <cell r="AE204">
            <v>2270.8078406285808</v>
          </cell>
          <cell r="AF204">
            <v>2186.917523367712</v>
          </cell>
          <cell r="AG204">
            <v>2101.8963641720648</v>
          </cell>
          <cell r="AH204">
            <v>2015.7358003475451</v>
          </cell>
        </row>
        <row r="205">
          <cell r="B205" t="str">
            <v>e-hydrogen (liquefied) - Total cost - Middle East - USD/ton fuel</v>
          </cell>
          <cell r="G205">
            <v>3995.973699770761</v>
          </cell>
          <cell r="H205">
            <v>3833.9267217175016</v>
          </cell>
          <cell r="I205">
            <v>3668.6802863119301</v>
          </cell>
          <cell r="J205">
            <v>3564.4199548903421</v>
          </cell>
          <cell r="K205">
            <v>3454.997485306531</v>
          </cell>
          <cell r="L205">
            <v>3340.4710426381612</v>
          </cell>
          <cell r="M205">
            <v>3220.8987919629913</v>
          </cell>
          <cell r="N205">
            <v>3096.3388983585951</v>
          </cell>
          <cell r="O205">
            <v>3050.1730070214521</v>
          </cell>
          <cell r="P205">
            <v>2996.3265037337233</v>
          </cell>
          <cell r="Q205">
            <v>2934.8389632900785</v>
          </cell>
          <cell r="R205">
            <v>2865.7499604852119</v>
          </cell>
          <cell r="S205">
            <v>2789.0990701139131</v>
          </cell>
          <cell r="T205">
            <v>2732.80957582878</v>
          </cell>
          <cell r="U205">
            <v>2671.2652078989859</v>
          </cell>
          <cell r="V205">
            <v>2604.4797221605404</v>
          </cell>
          <cell r="W205">
            <v>2532.4668744492142</v>
          </cell>
          <cell r="X205">
            <v>2455.2404206009487</v>
          </cell>
          <cell r="Y205">
            <v>2370.1008539844661</v>
          </cell>
          <cell r="Z205">
            <v>2282.4913812321111</v>
          </cell>
          <cell r="AA205">
            <v>2192.4017434496518</v>
          </cell>
          <cell r="AB205">
            <v>2099.8216817427488</v>
          </cell>
          <cell r="AC205">
            <v>2004.7409372171323</v>
          </cell>
          <cell r="AD205">
            <v>1931.9544658623038</v>
          </cell>
          <cell r="AE205">
            <v>1857.8965596855892</v>
          </cell>
          <cell r="AF205">
            <v>1782.5610543180173</v>
          </cell>
          <cell r="AG205">
            <v>1705.9417853906298</v>
          </cell>
          <cell r="AH205">
            <v>1628.0325885344698</v>
          </cell>
        </row>
        <row r="206">
          <cell r="B206" t="str">
            <v/>
          </cell>
        </row>
        <row r="207">
          <cell r="B207" t="str">
            <v>e-hydrogen (liquefied) - CAPEX - Global - USD/ton fuel</v>
          </cell>
          <cell r="G207">
            <v>33.333333333333336</v>
          </cell>
          <cell r="H207">
            <v>33.333333333333336</v>
          </cell>
          <cell r="I207">
            <v>33.333333333333336</v>
          </cell>
          <cell r="J207">
            <v>33.333333333333336</v>
          </cell>
          <cell r="K207">
            <v>33.333333333333336</v>
          </cell>
          <cell r="L207">
            <v>33.333333333333336</v>
          </cell>
          <cell r="M207">
            <v>33.333333333333336</v>
          </cell>
          <cell r="N207">
            <v>33.333333333333336</v>
          </cell>
          <cell r="O207">
            <v>33.333333333333336</v>
          </cell>
          <cell r="P207">
            <v>33.333333333333336</v>
          </cell>
          <cell r="Q207">
            <v>33.333333333333336</v>
          </cell>
          <cell r="R207">
            <v>33.333333333333336</v>
          </cell>
          <cell r="S207">
            <v>33.333333333333336</v>
          </cell>
          <cell r="T207">
            <v>33.333333333333336</v>
          </cell>
          <cell r="U207">
            <v>33.333333333333336</v>
          </cell>
          <cell r="V207">
            <v>33.333333333333336</v>
          </cell>
          <cell r="W207">
            <v>33.333333333333336</v>
          </cell>
          <cell r="X207">
            <v>33.333333333333336</v>
          </cell>
          <cell r="Y207">
            <v>33.333333333333336</v>
          </cell>
          <cell r="Z207">
            <v>33.333333333333336</v>
          </cell>
          <cell r="AA207">
            <v>33.333333333333336</v>
          </cell>
          <cell r="AB207">
            <v>33.333333333333336</v>
          </cell>
          <cell r="AC207">
            <v>33.333333333333336</v>
          </cell>
          <cell r="AD207">
            <v>33.333333333333336</v>
          </cell>
          <cell r="AE207">
            <v>33.333333333333336</v>
          </cell>
          <cell r="AF207">
            <v>33.333333333333336</v>
          </cell>
          <cell r="AG207">
            <v>33.333333333333336</v>
          </cell>
          <cell r="AH207">
            <v>33.333333333333336</v>
          </cell>
        </row>
        <row r="208">
          <cell r="B208" t="str">
            <v>e-hydrogen - Plant lifetime - Global - Years</v>
          </cell>
          <cell r="G208">
            <v>30</v>
          </cell>
          <cell r="H208">
            <v>30</v>
          </cell>
          <cell r="I208">
            <v>30</v>
          </cell>
          <cell r="J208">
            <v>30</v>
          </cell>
          <cell r="K208">
            <v>30</v>
          </cell>
          <cell r="L208">
            <v>30</v>
          </cell>
          <cell r="M208">
            <v>30</v>
          </cell>
          <cell r="N208">
            <v>30</v>
          </cell>
          <cell r="O208">
            <v>30</v>
          </cell>
          <cell r="P208">
            <v>30</v>
          </cell>
          <cell r="Q208">
            <v>30</v>
          </cell>
          <cell r="R208">
            <v>30</v>
          </cell>
          <cell r="S208">
            <v>30</v>
          </cell>
          <cell r="T208">
            <v>30</v>
          </cell>
          <cell r="U208">
            <v>30</v>
          </cell>
          <cell r="V208">
            <v>30</v>
          </cell>
          <cell r="W208">
            <v>30</v>
          </cell>
          <cell r="X208">
            <v>30</v>
          </cell>
          <cell r="Y208">
            <v>30</v>
          </cell>
          <cell r="Z208">
            <v>30</v>
          </cell>
          <cell r="AA208">
            <v>30</v>
          </cell>
          <cell r="AB208">
            <v>30</v>
          </cell>
          <cell r="AC208">
            <v>30</v>
          </cell>
          <cell r="AD208">
            <v>30</v>
          </cell>
          <cell r="AE208">
            <v>30</v>
          </cell>
          <cell r="AF208">
            <v>30</v>
          </cell>
          <cell r="AG208">
            <v>30</v>
          </cell>
          <cell r="AH208">
            <v>30</v>
          </cell>
        </row>
        <row r="209">
          <cell r="B209" t="str">
            <v>e-hydrogen (liquefied) - Total CAPEX - Liquefaction - Global - USD/ton fuel</v>
          </cell>
          <cell r="G209">
            <v>1000</v>
          </cell>
          <cell r="H209">
            <v>1000</v>
          </cell>
          <cell r="I209">
            <v>1000</v>
          </cell>
          <cell r="J209">
            <v>1000</v>
          </cell>
          <cell r="K209">
            <v>1000</v>
          </cell>
          <cell r="L209">
            <v>1000</v>
          </cell>
          <cell r="M209">
            <v>1000</v>
          </cell>
          <cell r="N209">
            <v>1000</v>
          </cell>
          <cell r="O209">
            <v>1000</v>
          </cell>
          <cell r="P209">
            <v>1000</v>
          </cell>
          <cell r="Q209">
            <v>1000</v>
          </cell>
          <cell r="R209">
            <v>1000</v>
          </cell>
          <cell r="S209">
            <v>1000</v>
          </cell>
          <cell r="T209">
            <v>1000</v>
          </cell>
          <cell r="U209">
            <v>1000</v>
          </cell>
          <cell r="V209">
            <v>1000</v>
          </cell>
          <cell r="W209">
            <v>1000</v>
          </cell>
          <cell r="X209">
            <v>1000</v>
          </cell>
          <cell r="Y209">
            <v>1000</v>
          </cell>
          <cell r="Z209">
            <v>1000</v>
          </cell>
          <cell r="AA209">
            <v>1000</v>
          </cell>
          <cell r="AB209">
            <v>1000</v>
          </cell>
          <cell r="AC209">
            <v>1000</v>
          </cell>
          <cell r="AD209">
            <v>1000</v>
          </cell>
          <cell r="AE209">
            <v>1000</v>
          </cell>
          <cell r="AF209">
            <v>1000</v>
          </cell>
          <cell r="AG209">
            <v>1000</v>
          </cell>
          <cell r="AH209">
            <v>1000</v>
          </cell>
        </row>
        <row r="210">
          <cell r="B210" t="str">
            <v/>
          </cell>
        </row>
        <row r="211">
          <cell r="B211" t="str">
            <v>e-hydrogen (liquefied) - OPEX - Global - USD/ton fuel</v>
          </cell>
          <cell r="G211">
            <v>100</v>
          </cell>
          <cell r="H211">
            <v>100</v>
          </cell>
          <cell r="I211">
            <v>100</v>
          </cell>
          <cell r="J211">
            <v>100</v>
          </cell>
          <cell r="K211">
            <v>100</v>
          </cell>
          <cell r="L211">
            <v>100</v>
          </cell>
          <cell r="M211">
            <v>100</v>
          </cell>
          <cell r="N211">
            <v>100</v>
          </cell>
          <cell r="O211">
            <v>100</v>
          </cell>
          <cell r="P211">
            <v>100</v>
          </cell>
          <cell r="Q211">
            <v>100</v>
          </cell>
          <cell r="R211">
            <v>100</v>
          </cell>
          <cell r="S211">
            <v>100</v>
          </cell>
          <cell r="T211">
            <v>100</v>
          </cell>
          <cell r="U211">
            <v>100</v>
          </cell>
          <cell r="V211">
            <v>100</v>
          </cell>
          <cell r="W211">
            <v>100</v>
          </cell>
          <cell r="X211">
            <v>100</v>
          </cell>
          <cell r="Y211">
            <v>100</v>
          </cell>
          <cell r="Z211">
            <v>100</v>
          </cell>
          <cell r="AA211">
            <v>100</v>
          </cell>
          <cell r="AB211">
            <v>100</v>
          </cell>
          <cell r="AC211">
            <v>100</v>
          </cell>
          <cell r="AD211">
            <v>100</v>
          </cell>
          <cell r="AE211">
            <v>100</v>
          </cell>
          <cell r="AF211">
            <v>100</v>
          </cell>
          <cell r="AG211">
            <v>100</v>
          </cell>
          <cell r="AH211">
            <v>100</v>
          </cell>
        </row>
        <row r="212">
          <cell r="B212" t="str">
            <v>e-hydrogen (liquefied) - OPEX - Liquefaction - Global - USD/ton fuel/year</v>
          </cell>
          <cell r="G212">
            <v>100</v>
          </cell>
          <cell r="H212">
            <v>100</v>
          </cell>
          <cell r="I212">
            <v>100</v>
          </cell>
          <cell r="J212">
            <v>100</v>
          </cell>
          <cell r="K212">
            <v>100</v>
          </cell>
          <cell r="L212">
            <v>100</v>
          </cell>
          <cell r="M212">
            <v>100</v>
          </cell>
          <cell r="N212">
            <v>100</v>
          </cell>
          <cell r="O212">
            <v>100</v>
          </cell>
          <cell r="P212">
            <v>100</v>
          </cell>
          <cell r="Q212">
            <v>100</v>
          </cell>
          <cell r="R212">
            <v>100</v>
          </cell>
          <cell r="S212">
            <v>100</v>
          </cell>
          <cell r="T212">
            <v>100</v>
          </cell>
          <cell r="U212">
            <v>100</v>
          </cell>
          <cell r="V212">
            <v>100</v>
          </cell>
          <cell r="W212">
            <v>100</v>
          </cell>
          <cell r="X212">
            <v>100</v>
          </cell>
          <cell r="Y212">
            <v>100</v>
          </cell>
          <cell r="Z212">
            <v>100</v>
          </cell>
          <cell r="AA212">
            <v>100</v>
          </cell>
          <cell r="AB212">
            <v>100</v>
          </cell>
          <cell r="AC212">
            <v>100</v>
          </cell>
          <cell r="AD212">
            <v>100</v>
          </cell>
          <cell r="AE212">
            <v>100</v>
          </cell>
          <cell r="AF212">
            <v>100</v>
          </cell>
          <cell r="AG212">
            <v>100</v>
          </cell>
          <cell r="AH212">
            <v>100</v>
          </cell>
        </row>
        <row r="213">
          <cell r="B213" t="str">
            <v/>
          </cell>
        </row>
        <row r="214">
          <cell r="B214" t="str">
            <v>e-hydrogen (liquefied) - Finance cost - Africa - USD/ton fuel</v>
          </cell>
          <cell r="G214">
            <v>55.000000000000007</v>
          </cell>
          <cell r="H214">
            <v>55.000000000000007</v>
          </cell>
          <cell r="I214">
            <v>55.000000000000007</v>
          </cell>
          <cell r="J214">
            <v>55.000000000000007</v>
          </cell>
          <cell r="K214">
            <v>55.000000000000007</v>
          </cell>
          <cell r="L214">
            <v>55.000000000000007</v>
          </cell>
          <cell r="M214">
            <v>55.000000000000007</v>
          </cell>
          <cell r="N214">
            <v>55.000000000000007</v>
          </cell>
          <cell r="O214">
            <v>55.000000000000007</v>
          </cell>
          <cell r="P214">
            <v>55.000000000000007</v>
          </cell>
          <cell r="Q214">
            <v>55.000000000000007</v>
          </cell>
          <cell r="R214">
            <v>55.000000000000007</v>
          </cell>
          <cell r="S214">
            <v>55.000000000000007</v>
          </cell>
          <cell r="T214">
            <v>55.000000000000007</v>
          </cell>
          <cell r="U214">
            <v>55.000000000000007</v>
          </cell>
          <cell r="V214">
            <v>55.000000000000007</v>
          </cell>
          <cell r="W214">
            <v>55.000000000000007</v>
          </cell>
          <cell r="X214">
            <v>55.000000000000007</v>
          </cell>
          <cell r="Y214">
            <v>55.000000000000007</v>
          </cell>
          <cell r="Z214">
            <v>55.000000000000007</v>
          </cell>
          <cell r="AA214">
            <v>55.000000000000007</v>
          </cell>
          <cell r="AB214">
            <v>55.000000000000007</v>
          </cell>
          <cell r="AC214">
            <v>55.000000000000007</v>
          </cell>
          <cell r="AD214">
            <v>55.000000000000007</v>
          </cell>
          <cell r="AE214">
            <v>55.000000000000007</v>
          </cell>
          <cell r="AF214">
            <v>55.000000000000007</v>
          </cell>
          <cell r="AG214">
            <v>55.000000000000007</v>
          </cell>
          <cell r="AH214">
            <v>55.000000000000007</v>
          </cell>
        </row>
        <row r="215">
          <cell r="B215" t="str">
            <v>e-hydrogen (liquefied) - Finance cost - Americas - USD/ton fuel</v>
          </cell>
          <cell r="G215">
            <v>55.000000000000007</v>
          </cell>
          <cell r="H215">
            <v>55.000000000000007</v>
          </cell>
          <cell r="I215">
            <v>55.000000000000007</v>
          </cell>
          <cell r="J215">
            <v>55.000000000000007</v>
          </cell>
          <cell r="K215">
            <v>55.000000000000007</v>
          </cell>
          <cell r="L215">
            <v>55.000000000000007</v>
          </cell>
          <cell r="M215">
            <v>55.000000000000007</v>
          </cell>
          <cell r="N215">
            <v>55.000000000000007</v>
          </cell>
          <cell r="O215">
            <v>55.000000000000007</v>
          </cell>
          <cell r="P215">
            <v>55.000000000000007</v>
          </cell>
          <cell r="Q215">
            <v>55.000000000000007</v>
          </cell>
          <cell r="R215">
            <v>55.000000000000007</v>
          </cell>
          <cell r="S215">
            <v>55.000000000000007</v>
          </cell>
          <cell r="T215">
            <v>55.000000000000007</v>
          </cell>
          <cell r="U215">
            <v>55.000000000000007</v>
          </cell>
          <cell r="V215">
            <v>55.000000000000007</v>
          </cell>
          <cell r="W215">
            <v>55.000000000000007</v>
          </cell>
          <cell r="X215">
            <v>55.000000000000007</v>
          </cell>
          <cell r="Y215">
            <v>55.000000000000007</v>
          </cell>
          <cell r="Z215">
            <v>55.000000000000007</v>
          </cell>
          <cell r="AA215">
            <v>55.000000000000007</v>
          </cell>
          <cell r="AB215">
            <v>55.000000000000007</v>
          </cell>
          <cell r="AC215">
            <v>55.000000000000007</v>
          </cell>
          <cell r="AD215">
            <v>55.000000000000007</v>
          </cell>
          <cell r="AE215">
            <v>55.000000000000007</v>
          </cell>
          <cell r="AF215">
            <v>55.000000000000007</v>
          </cell>
          <cell r="AG215">
            <v>55.000000000000007</v>
          </cell>
          <cell r="AH215">
            <v>55.000000000000007</v>
          </cell>
        </row>
        <row r="216">
          <cell r="B216" t="str">
            <v>e-hydrogen (liquefied) - Finance cost - Asia - USD/ton fuel</v>
          </cell>
          <cell r="G216">
            <v>55.000000000000007</v>
          </cell>
          <cell r="H216">
            <v>55.000000000000007</v>
          </cell>
          <cell r="I216">
            <v>55.000000000000007</v>
          </cell>
          <cell r="J216">
            <v>55.000000000000007</v>
          </cell>
          <cell r="K216">
            <v>55.000000000000007</v>
          </cell>
          <cell r="L216">
            <v>55.000000000000007</v>
          </cell>
          <cell r="M216">
            <v>55.000000000000007</v>
          </cell>
          <cell r="N216">
            <v>55.000000000000007</v>
          </cell>
          <cell r="O216">
            <v>55.000000000000007</v>
          </cell>
          <cell r="P216">
            <v>55.000000000000007</v>
          </cell>
          <cell r="Q216">
            <v>55.000000000000007</v>
          </cell>
          <cell r="R216">
            <v>55.000000000000007</v>
          </cell>
          <cell r="S216">
            <v>55.000000000000007</v>
          </cell>
          <cell r="T216">
            <v>55.000000000000007</v>
          </cell>
          <cell r="U216">
            <v>55.000000000000007</v>
          </cell>
          <cell r="V216">
            <v>55.000000000000007</v>
          </cell>
          <cell r="W216">
            <v>55.000000000000007</v>
          </cell>
          <cell r="X216">
            <v>55.000000000000007</v>
          </cell>
          <cell r="Y216">
            <v>55.000000000000007</v>
          </cell>
          <cell r="Z216">
            <v>55.000000000000007</v>
          </cell>
          <cell r="AA216">
            <v>55.000000000000007</v>
          </cell>
          <cell r="AB216">
            <v>55.000000000000007</v>
          </cell>
          <cell r="AC216">
            <v>55.000000000000007</v>
          </cell>
          <cell r="AD216">
            <v>55.000000000000007</v>
          </cell>
          <cell r="AE216">
            <v>55.000000000000007</v>
          </cell>
          <cell r="AF216">
            <v>55.000000000000007</v>
          </cell>
          <cell r="AG216">
            <v>55.000000000000007</v>
          </cell>
          <cell r="AH216">
            <v>55.000000000000007</v>
          </cell>
        </row>
        <row r="217">
          <cell r="B217" t="str">
            <v>e-hydrogen (liquefied) - Finance cost - Europe - USD/ton fuel</v>
          </cell>
          <cell r="G217">
            <v>55.000000000000007</v>
          </cell>
          <cell r="H217">
            <v>55.000000000000007</v>
          </cell>
          <cell r="I217">
            <v>55.000000000000007</v>
          </cell>
          <cell r="J217">
            <v>55.000000000000007</v>
          </cell>
          <cell r="K217">
            <v>55.000000000000007</v>
          </cell>
          <cell r="L217">
            <v>55.000000000000007</v>
          </cell>
          <cell r="M217">
            <v>55.000000000000007</v>
          </cell>
          <cell r="N217">
            <v>55.000000000000007</v>
          </cell>
          <cell r="O217">
            <v>55.000000000000007</v>
          </cell>
          <cell r="P217">
            <v>55.000000000000007</v>
          </cell>
          <cell r="Q217">
            <v>55.000000000000007</v>
          </cell>
          <cell r="R217">
            <v>55.000000000000007</v>
          </cell>
          <cell r="S217">
            <v>55.000000000000007</v>
          </cell>
          <cell r="T217">
            <v>55.000000000000007</v>
          </cell>
          <cell r="U217">
            <v>55.000000000000007</v>
          </cell>
          <cell r="V217">
            <v>55.000000000000007</v>
          </cell>
          <cell r="W217">
            <v>55.000000000000007</v>
          </cell>
          <cell r="X217">
            <v>55.000000000000007</v>
          </cell>
          <cell r="Y217">
            <v>55.000000000000007</v>
          </cell>
          <cell r="Z217">
            <v>55.000000000000007</v>
          </cell>
          <cell r="AA217">
            <v>55.000000000000007</v>
          </cell>
          <cell r="AB217">
            <v>55.000000000000007</v>
          </cell>
          <cell r="AC217">
            <v>55.000000000000007</v>
          </cell>
          <cell r="AD217">
            <v>55.000000000000007</v>
          </cell>
          <cell r="AE217">
            <v>55.000000000000007</v>
          </cell>
          <cell r="AF217">
            <v>55.000000000000007</v>
          </cell>
          <cell r="AG217">
            <v>55.000000000000007</v>
          </cell>
          <cell r="AH217">
            <v>55.000000000000007</v>
          </cell>
        </row>
        <row r="218">
          <cell r="B218" t="str">
            <v>e-hydrogen (liquefied) - Finance cost - Middle East - USD/ton fuel</v>
          </cell>
          <cell r="G218">
            <v>55.000000000000007</v>
          </cell>
          <cell r="H218">
            <v>55.000000000000007</v>
          </cell>
          <cell r="I218">
            <v>55.000000000000007</v>
          </cell>
          <cell r="J218">
            <v>55.000000000000007</v>
          </cell>
          <cell r="K218">
            <v>55.000000000000007</v>
          </cell>
          <cell r="L218">
            <v>55.000000000000007</v>
          </cell>
          <cell r="M218">
            <v>55.000000000000007</v>
          </cell>
          <cell r="N218">
            <v>55.000000000000007</v>
          </cell>
          <cell r="O218">
            <v>55.000000000000007</v>
          </cell>
          <cell r="P218">
            <v>55.000000000000007</v>
          </cell>
          <cell r="Q218">
            <v>55.000000000000007</v>
          </cell>
          <cell r="R218">
            <v>55.000000000000007</v>
          </cell>
          <cell r="S218">
            <v>55.000000000000007</v>
          </cell>
          <cell r="T218">
            <v>55.000000000000007</v>
          </cell>
          <cell r="U218">
            <v>55.000000000000007</v>
          </cell>
          <cell r="V218">
            <v>55.000000000000007</v>
          </cell>
          <cell r="W218">
            <v>55.000000000000007</v>
          </cell>
          <cell r="X218">
            <v>55.000000000000007</v>
          </cell>
          <cell r="Y218">
            <v>55.000000000000007</v>
          </cell>
          <cell r="Z218">
            <v>55.000000000000007</v>
          </cell>
          <cell r="AA218">
            <v>55.000000000000007</v>
          </cell>
          <cell r="AB218">
            <v>55.000000000000007</v>
          </cell>
          <cell r="AC218">
            <v>55.000000000000007</v>
          </cell>
          <cell r="AD218">
            <v>55.000000000000007</v>
          </cell>
          <cell r="AE218">
            <v>55.000000000000007</v>
          </cell>
          <cell r="AF218">
            <v>55.000000000000007</v>
          </cell>
          <cell r="AG218">
            <v>55.000000000000007</v>
          </cell>
          <cell r="AH218">
            <v>55.000000000000007</v>
          </cell>
        </row>
        <row r="219">
          <cell r="B219" t="str">
            <v>General - Weighted average cost of capital (WACC) - Africa - %</v>
          </cell>
          <cell r="G219">
            <v>5.5000000000000007E-2</v>
          </cell>
          <cell r="H219">
            <v>5.5000000000000007E-2</v>
          </cell>
          <cell r="I219">
            <v>5.5000000000000007E-2</v>
          </cell>
          <cell r="J219">
            <v>5.5000000000000007E-2</v>
          </cell>
          <cell r="K219">
            <v>5.5000000000000007E-2</v>
          </cell>
          <cell r="L219">
            <v>5.5000000000000007E-2</v>
          </cell>
          <cell r="M219">
            <v>5.5000000000000007E-2</v>
          </cell>
          <cell r="N219">
            <v>5.5000000000000007E-2</v>
          </cell>
          <cell r="O219">
            <v>5.5000000000000007E-2</v>
          </cell>
          <cell r="P219">
            <v>5.5000000000000007E-2</v>
          </cell>
          <cell r="Q219">
            <v>5.5000000000000007E-2</v>
          </cell>
          <cell r="R219">
            <v>5.5000000000000007E-2</v>
          </cell>
          <cell r="S219">
            <v>5.5000000000000007E-2</v>
          </cell>
          <cell r="T219">
            <v>5.5000000000000007E-2</v>
          </cell>
          <cell r="U219">
            <v>5.5000000000000007E-2</v>
          </cell>
          <cell r="V219">
            <v>5.5000000000000007E-2</v>
          </cell>
          <cell r="W219">
            <v>5.5000000000000007E-2</v>
          </cell>
          <cell r="X219">
            <v>5.5000000000000007E-2</v>
          </cell>
          <cell r="Y219">
            <v>5.5000000000000007E-2</v>
          </cell>
          <cell r="Z219">
            <v>5.5000000000000007E-2</v>
          </cell>
          <cell r="AA219">
            <v>5.5000000000000007E-2</v>
          </cell>
          <cell r="AB219">
            <v>5.5000000000000007E-2</v>
          </cell>
          <cell r="AC219">
            <v>5.5000000000000007E-2</v>
          </cell>
          <cell r="AD219">
            <v>5.5000000000000007E-2</v>
          </cell>
          <cell r="AE219">
            <v>5.5000000000000007E-2</v>
          </cell>
          <cell r="AF219">
            <v>5.5000000000000007E-2</v>
          </cell>
          <cell r="AG219">
            <v>5.5000000000000007E-2</v>
          </cell>
          <cell r="AH219">
            <v>5.5000000000000007E-2</v>
          </cell>
        </row>
        <row r="220">
          <cell r="B220" t="str">
            <v>General - Weighted average cost of capital (WACC) - Americas - %</v>
          </cell>
          <cell r="G220">
            <v>5.5000000000000007E-2</v>
          </cell>
          <cell r="H220">
            <v>5.5000000000000007E-2</v>
          </cell>
          <cell r="I220">
            <v>5.5000000000000007E-2</v>
          </cell>
          <cell r="J220">
            <v>5.5000000000000007E-2</v>
          </cell>
          <cell r="K220">
            <v>5.5000000000000007E-2</v>
          </cell>
          <cell r="L220">
            <v>5.5000000000000007E-2</v>
          </cell>
          <cell r="M220">
            <v>5.5000000000000007E-2</v>
          </cell>
          <cell r="N220">
            <v>5.5000000000000007E-2</v>
          </cell>
          <cell r="O220">
            <v>5.5000000000000007E-2</v>
          </cell>
          <cell r="P220">
            <v>5.5000000000000007E-2</v>
          </cell>
          <cell r="Q220">
            <v>5.5000000000000007E-2</v>
          </cell>
          <cell r="R220">
            <v>5.5000000000000007E-2</v>
          </cell>
          <cell r="S220">
            <v>5.5000000000000007E-2</v>
          </cell>
          <cell r="T220">
            <v>5.5000000000000007E-2</v>
          </cell>
          <cell r="U220">
            <v>5.5000000000000007E-2</v>
          </cell>
          <cell r="V220">
            <v>5.5000000000000007E-2</v>
          </cell>
          <cell r="W220">
            <v>5.5000000000000007E-2</v>
          </cell>
          <cell r="X220">
            <v>5.5000000000000007E-2</v>
          </cell>
          <cell r="Y220">
            <v>5.5000000000000007E-2</v>
          </cell>
          <cell r="Z220">
            <v>5.5000000000000007E-2</v>
          </cell>
          <cell r="AA220">
            <v>5.5000000000000007E-2</v>
          </cell>
          <cell r="AB220">
            <v>5.5000000000000007E-2</v>
          </cell>
          <cell r="AC220">
            <v>5.5000000000000007E-2</v>
          </cell>
          <cell r="AD220">
            <v>5.5000000000000007E-2</v>
          </cell>
          <cell r="AE220">
            <v>5.5000000000000007E-2</v>
          </cell>
          <cell r="AF220">
            <v>5.5000000000000007E-2</v>
          </cell>
          <cell r="AG220">
            <v>5.5000000000000007E-2</v>
          </cell>
          <cell r="AH220">
            <v>5.5000000000000007E-2</v>
          </cell>
        </row>
        <row r="221">
          <cell r="B221" t="str">
            <v>General - Weighted average cost of capital (WACC) - Asia - %</v>
          </cell>
          <cell r="G221">
            <v>5.5000000000000007E-2</v>
          </cell>
          <cell r="H221">
            <v>5.5000000000000007E-2</v>
          </cell>
          <cell r="I221">
            <v>5.5000000000000007E-2</v>
          </cell>
          <cell r="J221">
            <v>5.5000000000000007E-2</v>
          </cell>
          <cell r="K221">
            <v>5.5000000000000007E-2</v>
          </cell>
          <cell r="L221">
            <v>5.5000000000000007E-2</v>
          </cell>
          <cell r="M221">
            <v>5.5000000000000007E-2</v>
          </cell>
          <cell r="N221">
            <v>5.5000000000000007E-2</v>
          </cell>
          <cell r="O221">
            <v>5.5000000000000007E-2</v>
          </cell>
          <cell r="P221">
            <v>5.5000000000000007E-2</v>
          </cell>
          <cell r="Q221">
            <v>5.5000000000000007E-2</v>
          </cell>
          <cell r="R221">
            <v>5.5000000000000007E-2</v>
          </cell>
          <cell r="S221">
            <v>5.5000000000000007E-2</v>
          </cell>
          <cell r="T221">
            <v>5.5000000000000007E-2</v>
          </cell>
          <cell r="U221">
            <v>5.5000000000000007E-2</v>
          </cell>
          <cell r="V221">
            <v>5.5000000000000007E-2</v>
          </cell>
          <cell r="W221">
            <v>5.5000000000000007E-2</v>
          </cell>
          <cell r="X221">
            <v>5.5000000000000007E-2</v>
          </cell>
          <cell r="Y221">
            <v>5.5000000000000007E-2</v>
          </cell>
          <cell r="Z221">
            <v>5.5000000000000007E-2</v>
          </cell>
          <cell r="AA221">
            <v>5.5000000000000007E-2</v>
          </cell>
          <cell r="AB221">
            <v>5.5000000000000007E-2</v>
          </cell>
          <cell r="AC221">
            <v>5.5000000000000007E-2</v>
          </cell>
          <cell r="AD221">
            <v>5.5000000000000007E-2</v>
          </cell>
          <cell r="AE221">
            <v>5.5000000000000007E-2</v>
          </cell>
          <cell r="AF221">
            <v>5.5000000000000007E-2</v>
          </cell>
          <cell r="AG221">
            <v>5.5000000000000007E-2</v>
          </cell>
          <cell r="AH221">
            <v>5.5000000000000007E-2</v>
          </cell>
        </row>
        <row r="222">
          <cell r="B222" t="str">
            <v>General - Weighted average cost of capital (WACC) - Europe - %</v>
          </cell>
          <cell r="G222">
            <v>5.5000000000000007E-2</v>
          </cell>
          <cell r="H222">
            <v>5.5000000000000007E-2</v>
          </cell>
          <cell r="I222">
            <v>5.5000000000000007E-2</v>
          </cell>
          <cell r="J222">
            <v>5.5000000000000007E-2</v>
          </cell>
          <cell r="K222">
            <v>5.5000000000000007E-2</v>
          </cell>
          <cell r="L222">
            <v>5.5000000000000007E-2</v>
          </cell>
          <cell r="M222">
            <v>5.5000000000000007E-2</v>
          </cell>
          <cell r="N222">
            <v>5.5000000000000007E-2</v>
          </cell>
          <cell r="O222">
            <v>5.5000000000000007E-2</v>
          </cell>
          <cell r="P222">
            <v>5.5000000000000007E-2</v>
          </cell>
          <cell r="Q222">
            <v>5.5000000000000007E-2</v>
          </cell>
          <cell r="R222">
            <v>5.5000000000000007E-2</v>
          </cell>
          <cell r="S222">
            <v>5.5000000000000007E-2</v>
          </cell>
          <cell r="T222">
            <v>5.5000000000000007E-2</v>
          </cell>
          <cell r="U222">
            <v>5.5000000000000007E-2</v>
          </cell>
          <cell r="V222">
            <v>5.5000000000000007E-2</v>
          </cell>
          <cell r="W222">
            <v>5.5000000000000007E-2</v>
          </cell>
          <cell r="X222">
            <v>5.5000000000000007E-2</v>
          </cell>
          <cell r="Y222">
            <v>5.5000000000000007E-2</v>
          </cell>
          <cell r="Z222">
            <v>5.5000000000000007E-2</v>
          </cell>
          <cell r="AA222">
            <v>5.5000000000000007E-2</v>
          </cell>
          <cell r="AB222">
            <v>5.5000000000000007E-2</v>
          </cell>
          <cell r="AC222">
            <v>5.5000000000000007E-2</v>
          </cell>
          <cell r="AD222">
            <v>5.5000000000000007E-2</v>
          </cell>
          <cell r="AE222">
            <v>5.5000000000000007E-2</v>
          </cell>
          <cell r="AF222">
            <v>5.5000000000000007E-2</v>
          </cell>
          <cell r="AG222">
            <v>5.5000000000000007E-2</v>
          </cell>
          <cell r="AH222">
            <v>5.5000000000000007E-2</v>
          </cell>
        </row>
        <row r="223">
          <cell r="B223" t="str">
            <v>General - Weighted average cost of capital (WACC) - Middle East - %</v>
          </cell>
          <cell r="G223">
            <v>5.5000000000000007E-2</v>
          </cell>
          <cell r="H223">
            <v>5.5000000000000007E-2</v>
          </cell>
          <cell r="I223">
            <v>5.5000000000000007E-2</v>
          </cell>
          <cell r="J223">
            <v>5.5000000000000007E-2</v>
          </cell>
          <cell r="K223">
            <v>5.5000000000000007E-2</v>
          </cell>
          <cell r="L223">
            <v>5.5000000000000007E-2</v>
          </cell>
          <cell r="M223">
            <v>5.5000000000000007E-2</v>
          </cell>
          <cell r="N223">
            <v>5.5000000000000007E-2</v>
          </cell>
          <cell r="O223">
            <v>5.5000000000000007E-2</v>
          </cell>
          <cell r="P223">
            <v>5.5000000000000007E-2</v>
          </cell>
          <cell r="Q223">
            <v>5.5000000000000007E-2</v>
          </cell>
          <cell r="R223">
            <v>5.5000000000000007E-2</v>
          </cell>
          <cell r="S223">
            <v>5.5000000000000007E-2</v>
          </cell>
          <cell r="T223">
            <v>5.5000000000000007E-2</v>
          </cell>
          <cell r="U223">
            <v>5.5000000000000007E-2</v>
          </cell>
          <cell r="V223">
            <v>5.5000000000000007E-2</v>
          </cell>
          <cell r="W223">
            <v>5.5000000000000007E-2</v>
          </cell>
          <cell r="X223">
            <v>5.5000000000000007E-2</v>
          </cell>
          <cell r="Y223">
            <v>5.5000000000000007E-2</v>
          </cell>
          <cell r="Z223">
            <v>5.5000000000000007E-2</v>
          </cell>
          <cell r="AA223">
            <v>5.5000000000000007E-2</v>
          </cell>
          <cell r="AB223">
            <v>5.5000000000000007E-2</v>
          </cell>
          <cell r="AC223">
            <v>5.5000000000000007E-2</v>
          </cell>
          <cell r="AD223">
            <v>5.5000000000000007E-2</v>
          </cell>
          <cell r="AE223">
            <v>5.5000000000000007E-2</v>
          </cell>
          <cell r="AF223">
            <v>5.5000000000000007E-2</v>
          </cell>
          <cell r="AG223">
            <v>5.5000000000000007E-2</v>
          </cell>
          <cell r="AH223">
            <v>5.5000000000000007E-2</v>
          </cell>
        </row>
        <row r="224">
          <cell r="B224" t="str">
            <v>e-hydrogen (liquefied) - Total CAPEX - Liquefaction - Global - USD/ton fuel</v>
          </cell>
          <cell r="G224">
            <v>1000</v>
          </cell>
          <cell r="H224">
            <v>1000</v>
          </cell>
          <cell r="I224">
            <v>1000</v>
          </cell>
          <cell r="J224">
            <v>1000</v>
          </cell>
          <cell r="K224">
            <v>1000</v>
          </cell>
          <cell r="L224">
            <v>1000</v>
          </cell>
          <cell r="M224">
            <v>1000</v>
          </cell>
          <cell r="N224">
            <v>1000</v>
          </cell>
          <cell r="O224">
            <v>1000</v>
          </cell>
          <cell r="P224">
            <v>1000</v>
          </cell>
          <cell r="Q224">
            <v>1000</v>
          </cell>
          <cell r="R224">
            <v>1000</v>
          </cell>
          <cell r="S224">
            <v>1000</v>
          </cell>
          <cell r="T224">
            <v>1000</v>
          </cell>
          <cell r="U224">
            <v>1000</v>
          </cell>
          <cell r="V224">
            <v>1000</v>
          </cell>
          <cell r="W224">
            <v>1000</v>
          </cell>
          <cell r="X224">
            <v>1000</v>
          </cell>
          <cell r="Y224">
            <v>1000</v>
          </cell>
          <cell r="Z224">
            <v>1000</v>
          </cell>
          <cell r="AA224">
            <v>1000</v>
          </cell>
          <cell r="AB224">
            <v>1000</v>
          </cell>
          <cell r="AC224">
            <v>1000</v>
          </cell>
          <cell r="AD224">
            <v>1000</v>
          </cell>
          <cell r="AE224">
            <v>1000</v>
          </cell>
          <cell r="AF224">
            <v>1000</v>
          </cell>
          <cell r="AG224">
            <v>1000</v>
          </cell>
          <cell r="AH224">
            <v>1000</v>
          </cell>
        </row>
        <row r="225">
          <cell r="B225" t="str">
            <v/>
          </cell>
        </row>
        <row r="226">
          <cell r="B226" t="str">
            <v>e-hydrogen (liquefied) - Energy cost - Africa - USD/ton fuel</v>
          </cell>
          <cell r="G226">
            <v>583.89806930514169</v>
          </cell>
          <cell r="H226">
            <v>515.33296245659585</v>
          </cell>
          <cell r="I226">
            <v>446.76785560803182</v>
          </cell>
          <cell r="J226">
            <v>427.65424685038852</v>
          </cell>
          <cell r="K226">
            <v>408.54063809274521</v>
          </cell>
          <cell r="L226">
            <v>389.42702933510191</v>
          </cell>
          <cell r="M226">
            <v>370.31342057745405</v>
          </cell>
          <cell r="N226">
            <v>351.19981181981075</v>
          </cell>
          <cell r="O226">
            <v>340.53057098426962</v>
          </cell>
          <cell r="P226">
            <v>329.86133014872848</v>
          </cell>
          <cell r="Q226">
            <v>319.19208931318281</v>
          </cell>
          <cell r="R226">
            <v>308.52284847764167</v>
          </cell>
          <cell r="S226">
            <v>297.85360764210168</v>
          </cell>
          <cell r="T226">
            <v>292.83177129903038</v>
          </cell>
          <cell r="U226">
            <v>287.80993495596022</v>
          </cell>
          <cell r="V226">
            <v>282.78809861288892</v>
          </cell>
          <cell r="W226">
            <v>277.76626226981762</v>
          </cell>
          <cell r="X226">
            <v>272.74442592674859</v>
          </cell>
          <cell r="Y226">
            <v>267.58061649346246</v>
          </cell>
          <cell r="Z226">
            <v>262.41680706017632</v>
          </cell>
          <cell r="AA226">
            <v>257.25299762688792</v>
          </cell>
          <cell r="AB226">
            <v>252.08918819360179</v>
          </cell>
          <cell r="AC226">
            <v>246.92537876031452</v>
          </cell>
          <cell r="AD226">
            <v>244.39084279606391</v>
          </cell>
          <cell r="AE226">
            <v>241.85630683181444</v>
          </cell>
          <cell r="AF226">
            <v>239.32177086756383</v>
          </cell>
          <cell r="AG226">
            <v>236.78723490331322</v>
          </cell>
          <cell r="AH226">
            <v>234.25269893906375</v>
          </cell>
        </row>
        <row r="227">
          <cell r="B227" t="str">
            <v>e-hydrogen (liquefied) - Energy cost - Americas - USD/ton fuel</v>
          </cell>
          <cell r="G227">
            <v>366.87184539767031</v>
          </cell>
          <cell r="H227">
            <v>359.27444151972622</v>
          </cell>
          <cell r="I227">
            <v>351.67703764177986</v>
          </cell>
          <cell r="J227">
            <v>338.83444176422017</v>
          </cell>
          <cell r="K227">
            <v>325.99184588666049</v>
          </cell>
          <cell r="L227">
            <v>313.1492500091008</v>
          </cell>
          <cell r="M227">
            <v>300.30665413154566</v>
          </cell>
          <cell r="N227">
            <v>287.46405825398597</v>
          </cell>
          <cell r="O227">
            <v>281.28389278370832</v>
          </cell>
          <cell r="P227">
            <v>275.10372731343068</v>
          </cell>
          <cell r="Q227">
            <v>268.92356184315304</v>
          </cell>
          <cell r="R227">
            <v>262.7433963728754</v>
          </cell>
          <cell r="S227">
            <v>256.56323090259662</v>
          </cell>
          <cell r="T227">
            <v>251.55343675421591</v>
          </cell>
          <cell r="U227">
            <v>246.5436426058352</v>
          </cell>
          <cell r="V227">
            <v>241.53384845745336</v>
          </cell>
          <cell r="W227">
            <v>236.52405430907265</v>
          </cell>
          <cell r="X227">
            <v>231.51426016069138</v>
          </cell>
          <cell r="Y227">
            <v>229.49597354879643</v>
          </cell>
          <cell r="Z227">
            <v>227.47768693690148</v>
          </cell>
          <cell r="AA227">
            <v>225.4594003250071</v>
          </cell>
          <cell r="AB227">
            <v>223.44111371311214</v>
          </cell>
          <cell r="AC227">
            <v>221.42282710121719</v>
          </cell>
          <cell r="AD227">
            <v>219.90017270793203</v>
          </cell>
          <cell r="AE227">
            <v>218.37751831464743</v>
          </cell>
          <cell r="AF227">
            <v>216.85486392136283</v>
          </cell>
          <cell r="AG227">
            <v>215.33220952807824</v>
          </cell>
          <cell r="AH227">
            <v>213.80955513479364</v>
          </cell>
        </row>
        <row r="228">
          <cell r="B228" t="str">
            <v>e-hydrogen (liquefied) - Energy cost - Asia - USD/ton fuel</v>
          </cell>
          <cell r="G228">
            <v>649.41602489809156</v>
          </cell>
          <cell r="H228">
            <v>592.34907936835953</v>
          </cell>
          <cell r="I228">
            <v>535.28213383865477</v>
          </cell>
          <cell r="J228">
            <v>514.81269434223577</v>
          </cell>
          <cell r="K228">
            <v>494.34325484582587</v>
          </cell>
          <cell r="L228">
            <v>473.87381534940687</v>
          </cell>
          <cell r="M228">
            <v>453.40437585298787</v>
          </cell>
          <cell r="N228">
            <v>432.93493635657796</v>
          </cell>
          <cell r="O228">
            <v>419.02208066311687</v>
          </cell>
          <cell r="P228">
            <v>405.10922496966032</v>
          </cell>
          <cell r="Q228">
            <v>391.19636927620832</v>
          </cell>
          <cell r="R228">
            <v>377.28351358275177</v>
          </cell>
          <cell r="S228">
            <v>363.37065788929522</v>
          </cell>
          <cell r="T228">
            <v>356.29702497725702</v>
          </cell>
          <cell r="U228">
            <v>349.22339206521883</v>
          </cell>
          <cell r="V228">
            <v>342.14975915318291</v>
          </cell>
          <cell r="W228">
            <v>335.07612624114472</v>
          </cell>
          <cell r="X228">
            <v>328.00249332911108</v>
          </cell>
          <cell r="Y228">
            <v>320.59832294097532</v>
          </cell>
          <cell r="Z228">
            <v>313.19415255284184</v>
          </cell>
          <cell r="AA228">
            <v>305.78998216470609</v>
          </cell>
          <cell r="AB228">
            <v>298.38581177657261</v>
          </cell>
          <cell r="AC228">
            <v>290.98164138843686</v>
          </cell>
          <cell r="AD228">
            <v>287.58618698873192</v>
          </cell>
          <cell r="AE228">
            <v>284.19073258902586</v>
          </cell>
          <cell r="AF228">
            <v>280.79527818932092</v>
          </cell>
          <cell r="AG228">
            <v>277.39982378961599</v>
          </cell>
          <cell r="AH228">
            <v>274.00436938990993</v>
          </cell>
        </row>
        <row r="229">
          <cell r="B229" t="str">
            <v>e-hydrogen (liquefied) - Energy cost - Europe - USD/ton fuel</v>
          </cell>
          <cell r="G229">
            <v>483.45505357757247</v>
          </cell>
          <cell r="H229">
            <v>462.61834393182653</v>
          </cell>
          <cell r="I229">
            <v>441.78163428608059</v>
          </cell>
          <cell r="J229">
            <v>424.9454469772445</v>
          </cell>
          <cell r="K229">
            <v>408.10925966840387</v>
          </cell>
          <cell r="L229">
            <v>391.27307235956778</v>
          </cell>
          <cell r="M229">
            <v>374.43688505072714</v>
          </cell>
          <cell r="N229">
            <v>357.60069774189105</v>
          </cell>
          <cell r="O229">
            <v>350.60526539849434</v>
          </cell>
          <cell r="P229">
            <v>343.60983305510445</v>
          </cell>
          <cell r="Q229">
            <v>336.61440071171228</v>
          </cell>
          <cell r="R229">
            <v>329.61896836832011</v>
          </cell>
          <cell r="S229">
            <v>322.62353602493022</v>
          </cell>
          <cell r="T229">
            <v>318.44690735616723</v>
          </cell>
          <cell r="U229">
            <v>314.27027868740538</v>
          </cell>
          <cell r="V229">
            <v>310.09365001864353</v>
          </cell>
          <cell r="W229">
            <v>305.91702134988168</v>
          </cell>
          <cell r="X229">
            <v>301.74039268111756</v>
          </cell>
          <cell r="Y229">
            <v>297.2721540516045</v>
          </cell>
          <cell r="Z229">
            <v>292.80391542209031</v>
          </cell>
          <cell r="AA229">
            <v>288.33567679257726</v>
          </cell>
          <cell r="AB229">
            <v>283.86743816306307</v>
          </cell>
          <cell r="AC229">
            <v>279.39919953355002</v>
          </cell>
          <cell r="AD229">
            <v>276.13908060931863</v>
          </cell>
          <cell r="AE229">
            <v>272.8789616850861</v>
          </cell>
          <cell r="AF229">
            <v>269.6188427608547</v>
          </cell>
          <cell r="AG229">
            <v>266.35872383662331</v>
          </cell>
          <cell r="AH229">
            <v>263.09860491239078</v>
          </cell>
        </row>
        <row r="230">
          <cell r="B230" t="str">
            <v>e-hydrogen (liquefied) - Energy cost - Middle East - USD/ton fuel</v>
          </cell>
          <cell r="G230">
            <v>370.20316673163961</v>
          </cell>
          <cell r="H230">
            <v>353.86702900434102</v>
          </cell>
          <cell r="I230">
            <v>337.53089127703788</v>
          </cell>
          <cell r="J230">
            <v>326.71487127187447</v>
          </cell>
          <cell r="K230">
            <v>315.89885126671106</v>
          </cell>
          <cell r="L230">
            <v>305.08283126154765</v>
          </cell>
          <cell r="M230">
            <v>294.26681125638424</v>
          </cell>
          <cell r="N230">
            <v>283.45079125122083</v>
          </cell>
          <cell r="O230">
            <v>275.8242507536329</v>
          </cell>
          <cell r="P230">
            <v>268.19771025604723</v>
          </cell>
          <cell r="Q230">
            <v>260.57116975845929</v>
          </cell>
          <cell r="R230">
            <v>252.94462926087363</v>
          </cell>
          <cell r="S230">
            <v>245.31808876328796</v>
          </cell>
          <cell r="T230">
            <v>241.49422155106208</v>
          </cell>
          <cell r="U230">
            <v>237.6703543388362</v>
          </cell>
          <cell r="V230">
            <v>233.84648712661146</v>
          </cell>
          <cell r="W230">
            <v>230.02261991438559</v>
          </cell>
          <cell r="X230">
            <v>226.19875270215971</v>
          </cell>
          <cell r="Y230">
            <v>221.18414831670066</v>
          </cell>
          <cell r="Z230">
            <v>216.16954393124274</v>
          </cell>
          <cell r="AA230">
            <v>211.15493954578369</v>
          </cell>
          <cell r="AB230">
            <v>206.14033516032578</v>
          </cell>
          <cell r="AC230">
            <v>201.12573077486616</v>
          </cell>
          <cell r="AD230">
            <v>198.77873861328055</v>
          </cell>
          <cell r="AE230">
            <v>196.43174645169552</v>
          </cell>
          <cell r="AF230">
            <v>194.08475429010991</v>
          </cell>
          <cell r="AG230">
            <v>191.73776212852431</v>
          </cell>
          <cell r="AH230">
            <v>189.39076996693927</v>
          </cell>
        </row>
        <row r="231">
          <cell r="B231" t="str">
            <v>Renewable electricity - Cost of electricity - Africa - USD/MWh</v>
          </cell>
          <cell r="G231">
            <v>58.389806930514169</v>
          </cell>
          <cell r="H231">
            <v>51.533296245659585</v>
          </cell>
          <cell r="I231">
            <v>44.676785560803182</v>
          </cell>
          <cell r="J231">
            <v>42.765424685038852</v>
          </cell>
          <cell r="K231">
            <v>40.854063809274521</v>
          </cell>
          <cell r="L231">
            <v>38.942702933510191</v>
          </cell>
          <cell r="M231">
            <v>37.031342057745405</v>
          </cell>
          <cell r="N231">
            <v>35.119981181981075</v>
          </cell>
          <cell r="O231">
            <v>34.053057098426962</v>
          </cell>
          <cell r="P231">
            <v>32.986133014872848</v>
          </cell>
          <cell r="Q231">
            <v>31.919208931318281</v>
          </cell>
          <cell r="R231">
            <v>30.852284847764167</v>
          </cell>
          <cell r="S231">
            <v>29.785360764210168</v>
          </cell>
          <cell r="T231">
            <v>29.283177129903038</v>
          </cell>
          <cell r="U231">
            <v>28.780993495596022</v>
          </cell>
          <cell r="V231">
            <v>28.278809861288892</v>
          </cell>
          <cell r="W231">
            <v>27.776626226981762</v>
          </cell>
          <cell r="X231">
            <v>27.274442592674859</v>
          </cell>
          <cell r="Y231">
            <v>26.758061649346246</v>
          </cell>
          <cell r="Z231">
            <v>26.241680706017632</v>
          </cell>
          <cell r="AA231">
            <v>25.725299762688792</v>
          </cell>
          <cell r="AB231">
            <v>25.208918819360179</v>
          </cell>
          <cell r="AC231">
            <v>24.692537876031452</v>
          </cell>
          <cell r="AD231">
            <v>24.439084279606391</v>
          </cell>
          <cell r="AE231">
            <v>24.185630683181444</v>
          </cell>
          <cell r="AF231">
            <v>23.932177086756383</v>
          </cell>
          <cell r="AG231">
            <v>23.678723490331322</v>
          </cell>
          <cell r="AH231">
            <v>23.425269893906375</v>
          </cell>
        </row>
        <row r="232">
          <cell r="B232" t="str">
            <v>Renewable electricity - Cost of electricity - Americas - USD/MWh</v>
          </cell>
          <cell r="G232">
            <v>36.687184539767031</v>
          </cell>
          <cell r="H232">
            <v>35.927444151972622</v>
          </cell>
          <cell r="I232">
            <v>35.167703764177986</v>
          </cell>
          <cell r="J232">
            <v>33.883444176422017</v>
          </cell>
          <cell r="K232">
            <v>32.599184588666049</v>
          </cell>
          <cell r="L232">
            <v>31.31492500091008</v>
          </cell>
          <cell r="M232">
            <v>30.030665413154566</v>
          </cell>
          <cell r="N232">
            <v>28.746405825398597</v>
          </cell>
          <cell r="O232">
            <v>28.128389278370832</v>
          </cell>
          <cell r="P232">
            <v>27.510372731343068</v>
          </cell>
          <cell r="Q232">
            <v>26.892356184315304</v>
          </cell>
          <cell r="R232">
            <v>26.27433963728754</v>
          </cell>
          <cell r="S232">
            <v>25.656323090259662</v>
          </cell>
          <cell r="T232">
            <v>25.155343675421591</v>
          </cell>
          <cell r="U232">
            <v>24.65436426058352</v>
          </cell>
          <cell r="V232">
            <v>24.153384845745336</v>
          </cell>
          <cell r="W232">
            <v>23.652405430907265</v>
          </cell>
          <cell r="X232">
            <v>23.151426016069138</v>
          </cell>
          <cell r="Y232">
            <v>22.949597354879643</v>
          </cell>
          <cell r="Z232">
            <v>22.747768693690148</v>
          </cell>
          <cell r="AA232">
            <v>22.54594003250071</v>
          </cell>
          <cell r="AB232">
            <v>22.344111371311214</v>
          </cell>
          <cell r="AC232">
            <v>22.142282710121719</v>
          </cell>
          <cell r="AD232">
            <v>21.990017270793203</v>
          </cell>
          <cell r="AE232">
            <v>21.837751831464743</v>
          </cell>
          <cell r="AF232">
            <v>21.685486392136283</v>
          </cell>
          <cell r="AG232">
            <v>21.533220952807824</v>
          </cell>
          <cell r="AH232">
            <v>21.380955513479364</v>
          </cell>
        </row>
        <row r="233">
          <cell r="B233" t="str">
            <v>Renewable electricity - Cost of electricity - Asia - USD/MWh</v>
          </cell>
          <cell r="G233">
            <v>64.941602489809156</v>
          </cell>
          <cell r="H233">
            <v>59.234907936835953</v>
          </cell>
          <cell r="I233">
            <v>53.528213383865477</v>
          </cell>
          <cell r="J233">
            <v>51.481269434223577</v>
          </cell>
          <cell r="K233">
            <v>49.434325484582587</v>
          </cell>
          <cell r="L233">
            <v>47.387381534940687</v>
          </cell>
          <cell r="M233">
            <v>45.340437585298787</v>
          </cell>
          <cell r="N233">
            <v>43.293493635657796</v>
          </cell>
          <cell r="O233">
            <v>41.902208066311687</v>
          </cell>
          <cell r="P233">
            <v>40.510922496966032</v>
          </cell>
          <cell r="Q233">
            <v>39.119636927620832</v>
          </cell>
          <cell r="R233">
            <v>37.728351358275177</v>
          </cell>
          <cell r="S233">
            <v>36.337065788929522</v>
          </cell>
          <cell r="T233">
            <v>35.629702497725702</v>
          </cell>
          <cell r="U233">
            <v>34.922339206521883</v>
          </cell>
          <cell r="V233">
            <v>34.214975915318291</v>
          </cell>
          <cell r="W233">
            <v>33.507612624114472</v>
          </cell>
          <cell r="X233">
            <v>32.800249332911108</v>
          </cell>
          <cell r="Y233">
            <v>32.059832294097532</v>
          </cell>
          <cell r="Z233">
            <v>31.319415255284184</v>
          </cell>
          <cell r="AA233">
            <v>30.578998216470609</v>
          </cell>
          <cell r="AB233">
            <v>29.838581177657261</v>
          </cell>
          <cell r="AC233">
            <v>29.098164138843686</v>
          </cell>
          <cell r="AD233">
            <v>28.758618698873192</v>
          </cell>
          <cell r="AE233">
            <v>28.419073258902586</v>
          </cell>
          <cell r="AF233">
            <v>28.079527818932092</v>
          </cell>
          <cell r="AG233">
            <v>27.739982378961599</v>
          </cell>
          <cell r="AH233">
            <v>27.400436938990993</v>
          </cell>
        </row>
        <row r="234">
          <cell r="B234" t="str">
            <v>Renewable electricity - Cost of electricity - Europe - USD/MWh</v>
          </cell>
          <cell r="G234">
            <v>48.345505357757247</v>
          </cell>
          <cell r="H234">
            <v>46.261834393182653</v>
          </cell>
          <cell r="I234">
            <v>44.178163428608059</v>
          </cell>
          <cell r="J234">
            <v>42.49454469772445</v>
          </cell>
          <cell r="K234">
            <v>40.810925966840387</v>
          </cell>
          <cell r="L234">
            <v>39.127307235956778</v>
          </cell>
          <cell r="M234">
            <v>37.443688505072714</v>
          </cell>
          <cell r="N234">
            <v>35.760069774189105</v>
          </cell>
          <cell r="O234">
            <v>35.060526539849434</v>
          </cell>
          <cell r="P234">
            <v>34.360983305510445</v>
          </cell>
          <cell r="Q234">
            <v>33.661440071171228</v>
          </cell>
          <cell r="R234">
            <v>32.961896836832011</v>
          </cell>
          <cell r="S234">
            <v>32.262353602493022</v>
          </cell>
          <cell r="T234">
            <v>31.844690735616723</v>
          </cell>
          <cell r="U234">
            <v>31.427027868740538</v>
          </cell>
          <cell r="V234">
            <v>31.009365001864353</v>
          </cell>
          <cell r="W234">
            <v>30.591702134988168</v>
          </cell>
          <cell r="X234">
            <v>30.174039268111756</v>
          </cell>
          <cell r="Y234">
            <v>29.72721540516045</v>
          </cell>
          <cell r="Z234">
            <v>29.280391542209031</v>
          </cell>
          <cell r="AA234">
            <v>28.833567679257726</v>
          </cell>
          <cell r="AB234">
            <v>28.386743816306307</v>
          </cell>
          <cell r="AC234">
            <v>27.939919953355002</v>
          </cell>
          <cell r="AD234">
            <v>27.613908060931863</v>
          </cell>
          <cell r="AE234">
            <v>27.28789616850861</v>
          </cell>
          <cell r="AF234">
            <v>26.96188427608547</v>
          </cell>
          <cell r="AG234">
            <v>26.635872383662331</v>
          </cell>
          <cell r="AH234">
            <v>26.309860491239078</v>
          </cell>
        </row>
        <row r="235">
          <cell r="B235" t="str">
            <v>Renewable electricity - Cost of electricity - Middle East - USD/MWh</v>
          </cell>
          <cell r="G235">
            <v>37.020316673163961</v>
          </cell>
          <cell r="H235">
            <v>35.386702900434102</v>
          </cell>
          <cell r="I235">
            <v>33.753089127703788</v>
          </cell>
          <cell r="J235">
            <v>32.671487127187447</v>
          </cell>
          <cell r="K235">
            <v>31.589885126671106</v>
          </cell>
          <cell r="L235">
            <v>30.508283126154765</v>
          </cell>
          <cell r="M235">
            <v>29.426681125638424</v>
          </cell>
          <cell r="N235">
            <v>28.345079125122083</v>
          </cell>
          <cell r="O235">
            <v>27.58242507536329</v>
          </cell>
          <cell r="P235">
            <v>26.819771025604723</v>
          </cell>
          <cell r="Q235">
            <v>26.057116975845929</v>
          </cell>
          <cell r="R235">
            <v>25.294462926087363</v>
          </cell>
          <cell r="S235">
            <v>24.531808876328796</v>
          </cell>
          <cell r="T235">
            <v>24.149422155106208</v>
          </cell>
          <cell r="U235">
            <v>23.76703543388362</v>
          </cell>
          <cell r="V235">
            <v>23.384648712661146</v>
          </cell>
          <cell r="W235">
            <v>23.002261991438559</v>
          </cell>
          <cell r="X235">
            <v>22.619875270215971</v>
          </cell>
          <cell r="Y235">
            <v>22.118414831670066</v>
          </cell>
          <cell r="Z235">
            <v>21.616954393124274</v>
          </cell>
          <cell r="AA235">
            <v>21.115493954578369</v>
          </cell>
          <cell r="AB235">
            <v>20.614033516032578</v>
          </cell>
          <cell r="AC235">
            <v>20.112573077486616</v>
          </cell>
          <cell r="AD235">
            <v>19.877873861328055</v>
          </cell>
          <cell r="AE235">
            <v>19.643174645169552</v>
          </cell>
          <cell r="AF235">
            <v>19.408475429010991</v>
          </cell>
          <cell r="AG235">
            <v>19.173776212852431</v>
          </cell>
          <cell r="AH235">
            <v>18.939076996693927</v>
          </cell>
        </row>
        <row r="236">
          <cell r="B236" t="str">
            <v>e-hydrogen (liquefied) - Energy demand - Liquefaction - Global - MWh/ton fuel</v>
          </cell>
          <cell r="G236">
            <v>10</v>
          </cell>
          <cell r="H236">
            <v>10</v>
          </cell>
          <cell r="I236">
            <v>10</v>
          </cell>
          <cell r="J236">
            <v>10</v>
          </cell>
          <cell r="K236">
            <v>10</v>
          </cell>
          <cell r="L236">
            <v>10</v>
          </cell>
          <cell r="M236">
            <v>10</v>
          </cell>
          <cell r="N236">
            <v>10</v>
          </cell>
          <cell r="O236">
            <v>10</v>
          </cell>
          <cell r="P236">
            <v>10</v>
          </cell>
          <cell r="Q236">
            <v>10</v>
          </cell>
          <cell r="R236">
            <v>10</v>
          </cell>
          <cell r="S236">
            <v>10</v>
          </cell>
          <cell r="T236">
            <v>10</v>
          </cell>
          <cell r="U236">
            <v>10</v>
          </cell>
          <cell r="V236">
            <v>10</v>
          </cell>
          <cell r="W236">
            <v>10</v>
          </cell>
          <cell r="X236">
            <v>10</v>
          </cell>
          <cell r="Y236">
            <v>10</v>
          </cell>
          <cell r="Z236">
            <v>10</v>
          </cell>
          <cell r="AA236">
            <v>10</v>
          </cell>
          <cell r="AB236">
            <v>10</v>
          </cell>
          <cell r="AC236">
            <v>10</v>
          </cell>
          <cell r="AD236">
            <v>10</v>
          </cell>
          <cell r="AE236">
            <v>10</v>
          </cell>
          <cell r="AF236">
            <v>10</v>
          </cell>
          <cell r="AG236">
            <v>10</v>
          </cell>
          <cell r="AH236">
            <v>10</v>
          </cell>
        </row>
        <row r="237">
          <cell r="B237" t="str">
            <v/>
          </cell>
        </row>
        <row r="238">
          <cell r="B238" t="str">
            <v>e-hydrogen (liquefied) - Feedstock cost - Africa - USD/ton fuel</v>
          </cell>
          <cell r="G238">
            <v>4571.8140450320188</v>
          </cell>
          <cell r="H238">
            <v>4147.8556835639229</v>
          </cell>
          <cell r="I238">
            <v>3721.2257878341748</v>
          </cell>
          <cell r="J238">
            <v>3582.7603655139337</v>
          </cell>
          <cell r="K238">
            <v>3439.1451833385127</v>
          </cell>
          <cell r="L238">
            <v>3290.483028149778</v>
          </cell>
          <cell r="M238">
            <v>3136.8766867896793</v>
          </cell>
          <cell r="N238">
            <v>2978.4289461000349</v>
          </cell>
          <cell r="O238">
            <v>2921.7563256389899</v>
          </cell>
          <cell r="P238">
            <v>2857.5071262788529</v>
          </cell>
          <cell r="Q238">
            <v>2785.7367116560763</v>
          </cell>
          <cell r="R238">
            <v>2706.500445407155</v>
          </cell>
          <cell r="S238">
            <v>2619.853691168667</v>
          </cell>
          <cell r="T238">
            <v>2559.134112764737</v>
          </cell>
          <cell r="U238">
            <v>2493.203364311601</v>
          </cell>
          <cell r="V238">
            <v>2422.0795111742987</v>
          </cell>
          <cell r="W238">
            <v>2345.7806187176438</v>
          </cell>
          <cell r="X238">
            <v>2264.3247523066229</v>
          </cell>
          <cell r="Y238">
            <v>2180.5948397844923</v>
          </cell>
          <cell r="Z238">
            <v>2094.4451344593949</v>
          </cell>
          <cell r="AA238">
            <v>2005.8650721929257</v>
          </cell>
          <cell r="AB238">
            <v>1914.844088846567</v>
          </cell>
          <cell r="AC238">
            <v>1821.3716202818705</v>
          </cell>
          <cell r="AD238">
            <v>1747.8207084088369</v>
          </cell>
          <cell r="AE238">
            <v>1673.0567776619685</v>
          </cell>
          <cell r="AF238">
            <v>1597.0731710889659</v>
          </cell>
          <cell r="AG238">
            <v>1519.8632317375509</v>
          </cell>
          <cell r="AH238">
            <v>1441.4203026554478</v>
          </cell>
        </row>
        <row r="239">
          <cell r="B239" t="str">
            <v>e-hydrogen (liquefied) - Feedstock cost - Americas - USD/ton fuel</v>
          </cell>
          <cell r="G239">
            <v>3419.7532318615094</v>
          </cell>
          <cell r="H239">
            <v>3320.3976978064575</v>
          </cell>
          <cell r="I239">
            <v>3217.7199067028678</v>
          </cell>
          <cell r="J239">
            <v>3113.4145570196761</v>
          </cell>
          <cell r="K239">
            <v>3003.972559512416</v>
          </cell>
          <cell r="L239">
            <v>2889.4629775321455</v>
          </cell>
          <cell r="M239">
            <v>2769.9548744300391</v>
          </cell>
          <cell r="N239">
            <v>2645.5173135570167</v>
          </cell>
          <cell r="O239">
            <v>2614.3438016320752</v>
          </cell>
          <cell r="P239">
            <v>2575.3775779225925</v>
          </cell>
          <cell r="Q239">
            <v>2528.6507118550317</v>
          </cell>
          <cell r="R239">
            <v>2474.1952728558208</v>
          </cell>
          <cell r="S239">
            <v>2412.0433303515238</v>
          </cell>
          <cell r="T239">
            <v>2353.173138927395</v>
          </cell>
          <cell r="U239">
            <v>2289.140217035545</v>
          </cell>
          <cell r="V239">
            <v>2219.9625867208738</v>
          </cell>
          <cell r="W239">
            <v>2145.6582700280737</v>
          </cell>
          <cell r="X239">
            <v>2066.2452890019722</v>
          </cell>
          <cell r="Y239">
            <v>1999.9979428473175</v>
          </cell>
          <cell r="Z239">
            <v>1930.9153663702016</v>
          </cell>
          <cell r="AA239">
            <v>1858.9934305532511</v>
          </cell>
          <cell r="AB239">
            <v>1784.2280063789497</v>
          </cell>
          <cell r="AC239">
            <v>1706.6149648298883</v>
          </cell>
          <cell r="AD239">
            <v>1638.8348366898754</v>
          </cell>
          <cell r="AE239">
            <v>1569.7205263897122</v>
          </cell>
          <cell r="AF239">
            <v>1499.2680346814896</v>
          </cell>
          <cell r="AG239">
            <v>1427.4733623173049</v>
          </cell>
          <cell r="AH239">
            <v>1354.3325100492571</v>
          </cell>
        </row>
        <row r="240">
          <cell r="B240" t="str">
            <v>e-hydrogen (liquefied) - Feedstock cost - Asia - USD/ton fuel</v>
          </cell>
          <cell r="G240">
            <v>4919.6092000998424</v>
          </cell>
          <cell r="H240">
            <v>4556.2127574878086</v>
          </cell>
          <cell r="I240">
            <v>4189.9088910653254</v>
          </cell>
          <cell r="J240">
            <v>4043.3271497517403</v>
          </cell>
          <cell r="K240">
            <v>3891.471000176216</v>
          </cell>
          <cell r="L240">
            <v>3734.4505204022607</v>
          </cell>
          <cell r="M240">
            <v>3572.3757884936485</v>
          </cell>
          <cell r="N240">
            <v>3405.3568825139291</v>
          </cell>
          <cell r="O240">
            <v>3329.0242744310799</v>
          </cell>
          <cell r="P240">
            <v>3245.2095361970569</v>
          </cell>
          <cell r="Q240">
            <v>3153.9848628533696</v>
          </cell>
          <cell r="R240">
            <v>3055.4224494414507</v>
          </cell>
          <cell r="S240">
            <v>2949.5944910029716</v>
          </cell>
          <cell r="T240">
            <v>2875.7981835549567</v>
          </cell>
          <cell r="U240">
            <v>2796.8948914419857</v>
          </cell>
          <cell r="V240">
            <v>2712.9100610848413</v>
          </cell>
          <cell r="W240">
            <v>2623.869138904005</v>
          </cell>
          <cell r="X240">
            <v>2529.7975713201986</v>
          </cell>
          <cell r="Y240">
            <v>2432.0041356799093</v>
          </cell>
          <cell r="Z240">
            <v>2332.104454536804</v>
          </cell>
          <cell r="AA240">
            <v>2230.0833804145991</v>
          </cell>
          <cell r="AB240">
            <v>2125.9257658368952</v>
          </cell>
          <cell r="AC240">
            <v>2019.6164633273684</v>
          </cell>
          <cell r="AD240">
            <v>1940.0442051158482</v>
          </cell>
          <cell r="AE240">
            <v>1859.3815897073273</v>
          </cell>
          <cell r="AF240">
            <v>1777.6196989494379</v>
          </cell>
          <cell r="AG240">
            <v>1694.7496146898043</v>
          </cell>
          <cell r="AH240">
            <v>1610.7624187760525</v>
          </cell>
        </row>
        <row r="241">
          <cell r="B241" t="str">
            <v>e-hydrogen (liquefied) - Feedstock cost - Europe - USD/ton fuel</v>
          </cell>
          <cell r="G241">
            <v>4038.6228928616847</v>
          </cell>
          <cell r="H241">
            <v>3868.3507145137291</v>
          </cell>
          <cell r="I241">
            <v>3694.8237459344427</v>
          </cell>
          <cell r="J241">
            <v>3568.4463973029419</v>
          </cell>
          <cell r="K241">
            <v>3436.871084883941</v>
          </cell>
          <cell r="L241">
            <v>3300.1883482791136</v>
          </cell>
          <cell r="M241">
            <v>3158.4887270901409</v>
          </cell>
          <cell r="N241">
            <v>3011.8627609185983</v>
          </cell>
          <cell r="O241">
            <v>2974.0307709334747</v>
          </cell>
          <cell r="P241">
            <v>2928.3440277264485</v>
          </cell>
          <cell r="Q241">
            <v>2874.8388312160041</v>
          </cell>
          <cell r="R241">
            <v>2813.5514813206551</v>
          </cell>
          <cell r="S241">
            <v>2744.5182779590677</v>
          </cell>
          <cell r="T241">
            <v>2686.9425242590582</v>
          </cell>
          <cell r="U241">
            <v>2624.050617901336</v>
          </cell>
          <cell r="V241">
            <v>2555.857583732693</v>
          </cell>
          <cell r="W241">
            <v>2482.3784465996719</v>
          </cell>
          <cell r="X241">
            <v>2403.6282313489819</v>
          </cell>
          <cell r="Y241">
            <v>2321.3917367406975</v>
          </cell>
          <cell r="Z241">
            <v>2236.6695741645817</v>
          </cell>
          <cell r="AA241">
            <v>2149.4526024833108</v>
          </cell>
          <cell r="AB241">
            <v>2059.73168055939</v>
          </cell>
          <cell r="AC241">
            <v>1967.4976672554576</v>
          </cell>
          <cell r="AD241">
            <v>1889.1034647061108</v>
          </cell>
          <cell r="AE241">
            <v>1809.5955456101613</v>
          </cell>
          <cell r="AF241">
            <v>1728.965347273524</v>
          </cell>
          <cell r="AG241">
            <v>1647.204307002108</v>
          </cell>
          <cell r="AH241">
            <v>1564.3038621018211</v>
          </cell>
        </row>
        <row r="242">
          <cell r="B242" t="str">
            <v>e-hydrogen (liquefied) - Feedstock cost - Middle East - USD/ton fuel</v>
          </cell>
          <cell r="G242">
            <v>3437.4371997057879</v>
          </cell>
          <cell r="H242">
            <v>3291.726359379827</v>
          </cell>
          <cell r="I242">
            <v>3142.8160617015587</v>
          </cell>
          <cell r="J242">
            <v>3049.3717502851341</v>
          </cell>
          <cell r="K242">
            <v>2950.7653007064864</v>
          </cell>
          <cell r="L242">
            <v>2847.05487804328</v>
          </cell>
          <cell r="M242">
            <v>2738.2986473732735</v>
          </cell>
          <cell r="N242">
            <v>2624.5547737740408</v>
          </cell>
          <cell r="O242">
            <v>2586.0154229344857</v>
          </cell>
          <cell r="P242">
            <v>2539.7954601443425</v>
          </cell>
          <cell r="Q242">
            <v>2485.9344601982857</v>
          </cell>
          <cell r="R242">
            <v>2424.4719978910048</v>
          </cell>
          <cell r="S242">
            <v>2355.4476480172916</v>
          </cell>
          <cell r="T242">
            <v>2302.9820209443847</v>
          </cell>
          <cell r="U242">
            <v>2245.2615202268162</v>
          </cell>
          <cell r="V242">
            <v>2182.2999017005955</v>
          </cell>
          <cell r="W242">
            <v>2114.1109212014953</v>
          </cell>
          <cell r="X242">
            <v>2040.7083345654555</v>
          </cell>
          <cell r="Y242">
            <v>1960.5833723344319</v>
          </cell>
          <cell r="Z242">
            <v>1877.9885039675351</v>
          </cell>
          <cell r="AA242">
            <v>1792.9134705705346</v>
          </cell>
          <cell r="AB242">
            <v>1705.3480132490897</v>
          </cell>
          <cell r="AC242">
            <v>1615.2818731089328</v>
          </cell>
          <cell r="AD242">
            <v>1544.8423939156899</v>
          </cell>
          <cell r="AE242">
            <v>1473.1314799005604</v>
          </cell>
          <cell r="AF242">
            <v>1400.1429666945739</v>
          </cell>
          <cell r="AG242">
            <v>1325.870689928772</v>
          </cell>
          <cell r="AH242">
            <v>1250.3084852341972</v>
          </cell>
        </row>
        <row r="243">
          <cell r="B243" t="str">
            <v>e-hydrogen - Cost - Africa - ton H2O/ton H2</v>
          </cell>
          <cell r="G243">
            <v>4571.8140450320188</v>
          </cell>
          <cell r="H243">
            <v>4147.8556835639229</v>
          </cell>
          <cell r="I243">
            <v>3721.2257878341748</v>
          </cell>
          <cell r="J243">
            <v>3582.7603655139337</v>
          </cell>
          <cell r="K243">
            <v>3439.1451833385127</v>
          </cell>
          <cell r="L243">
            <v>3290.483028149778</v>
          </cell>
          <cell r="M243">
            <v>3136.8766867896793</v>
          </cell>
          <cell r="N243">
            <v>2978.4289461000349</v>
          </cell>
          <cell r="O243">
            <v>2921.7563256389899</v>
          </cell>
          <cell r="P243">
            <v>2857.5071262788529</v>
          </cell>
          <cell r="Q243">
            <v>2785.7367116560763</v>
          </cell>
          <cell r="R243">
            <v>2706.500445407155</v>
          </cell>
          <cell r="S243">
            <v>2619.853691168667</v>
          </cell>
          <cell r="T243">
            <v>2559.134112764737</v>
          </cell>
          <cell r="U243">
            <v>2493.203364311601</v>
          </cell>
          <cell r="V243">
            <v>2422.0795111742987</v>
          </cell>
          <cell r="W243">
            <v>2345.7806187176438</v>
          </cell>
          <cell r="X243">
            <v>2264.3247523066229</v>
          </cell>
          <cell r="Y243">
            <v>2180.5948397844923</v>
          </cell>
          <cell r="Z243">
            <v>2094.4451344593949</v>
          </cell>
          <cell r="AA243">
            <v>2005.8650721929257</v>
          </cell>
          <cell r="AB243">
            <v>1914.844088846567</v>
          </cell>
          <cell r="AC243">
            <v>1821.3716202818705</v>
          </cell>
          <cell r="AD243">
            <v>1747.8207084088369</v>
          </cell>
          <cell r="AE243">
            <v>1673.0567776619685</v>
          </cell>
          <cell r="AF243">
            <v>1597.0731710889659</v>
          </cell>
          <cell r="AG243">
            <v>1519.8632317375509</v>
          </cell>
          <cell r="AH243">
            <v>1441.4203026554478</v>
          </cell>
        </row>
        <row r="244">
          <cell r="B244" t="str">
            <v>e-hydrogen - Cost - Americas - ton H2O/ton H2</v>
          </cell>
          <cell r="G244">
            <v>3419.7532318615094</v>
          </cell>
          <cell r="H244">
            <v>3320.3976978064575</v>
          </cell>
          <cell r="I244">
            <v>3217.7199067028678</v>
          </cell>
          <cell r="J244">
            <v>3113.4145570196761</v>
          </cell>
          <cell r="K244">
            <v>3003.972559512416</v>
          </cell>
          <cell r="L244">
            <v>2889.4629775321455</v>
          </cell>
          <cell r="M244">
            <v>2769.9548744300391</v>
          </cell>
          <cell r="N244">
            <v>2645.5173135570167</v>
          </cell>
          <cell r="O244">
            <v>2614.3438016320752</v>
          </cell>
          <cell r="P244">
            <v>2575.3775779225925</v>
          </cell>
          <cell r="Q244">
            <v>2528.6507118550317</v>
          </cell>
          <cell r="R244">
            <v>2474.1952728558208</v>
          </cell>
          <cell r="S244">
            <v>2412.0433303515238</v>
          </cell>
          <cell r="T244">
            <v>2353.173138927395</v>
          </cell>
          <cell r="U244">
            <v>2289.140217035545</v>
          </cell>
          <cell r="V244">
            <v>2219.9625867208738</v>
          </cell>
          <cell r="W244">
            <v>2145.6582700280737</v>
          </cell>
          <cell r="X244">
            <v>2066.2452890019722</v>
          </cell>
          <cell r="Y244">
            <v>1999.9979428473175</v>
          </cell>
          <cell r="Z244">
            <v>1930.9153663702016</v>
          </cell>
          <cell r="AA244">
            <v>1858.9934305532511</v>
          </cell>
          <cell r="AB244">
            <v>1784.2280063789497</v>
          </cell>
          <cell r="AC244">
            <v>1706.6149648298883</v>
          </cell>
          <cell r="AD244">
            <v>1638.8348366898754</v>
          </cell>
          <cell r="AE244">
            <v>1569.7205263897122</v>
          </cell>
          <cell r="AF244">
            <v>1499.2680346814896</v>
          </cell>
          <cell r="AG244">
            <v>1427.4733623173049</v>
          </cell>
          <cell r="AH244">
            <v>1354.3325100492571</v>
          </cell>
        </row>
        <row r="245">
          <cell r="B245" t="str">
            <v>e-hydrogen - Cost - Asia - ton H2O/ton H2</v>
          </cell>
          <cell r="G245">
            <v>4919.6092000998424</v>
          </cell>
          <cell r="H245">
            <v>4556.2127574878086</v>
          </cell>
          <cell r="I245">
            <v>4189.9088910653254</v>
          </cell>
          <cell r="J245">
            <v>4043.3271497517403</v>
          </cell>
          <cell r="K245">
            <v>3891.471000176216</v>
          </cell>
          <cell r="L245">
            <v>3734.4505204022607</v>
          </cell>
          <cell r="M245">
            <v>3572.3757884936485</v>
          </cell>
          <cell r="N245">
            <v>3405.3568825139291</v>
          </cell>
          <cell r="O245">
            <v>3329.0242744310799</v>
          </cell>
          <cell r="P245">
            <v>3245.2095361970569</v>
          </cell>
          <cell r="Q245">
            <v>3153.9848628533696</v>
          </cell>
          <cell r="R245">
            <v>3055.4224494414507</v>
          </cell>
          <cell r="S245">
            <v>2949.5944910029716</v>
          </cell>
          <cell r="T245">
            <v>2875.7981835549567</v>
          </cell>
          <cell r="U245">
            <v>2796.8948914419857</v>
          </cell>
          <cell r="V245">
            <v>2712.9100610848413</v>
          </cell>
          <cell r="W245">
            <v>2623.869138904005</v>
          </cell>
          <cell r="X245">
            <v>2529.7975713201986</v>
          </cell>
          <cell r="Y245">
            <v>2432.0041356799093</v>
          </cell>
          <cell r="Z245">
            <v>2332.104454536804</v>
          </cell>
          <cell r="AA245">
            <v>2230.0833804145991</v>
          </cell>
          <cell r="AB245">
            <v>2125.9257658368952</v>
          </cell>
          <cell r="AC245">
            <v>2019.6164633273684</v>
          </cell>
          <cell r="AD245">
            <v>1940.0442051158482</v>
          </cell>
          <cell r="AE245">
            <v>1859.3815897073273</v>
          </cell>
          <cell r="AF245">
            <v>1777.6196989494379</v>
          </cell>
          <cell r="AG245">
            <v>1694.7496146898043</v>
          </cell>
          <cell r="AH245">
            <v>1610.7624187760525</v>
          </cell>
        </row>
        <row r="246">
          <cell r="B246" t="str">
            <v>e-hydrogen - Cost - Europe - ton H2O/ton H2</v>
          </cell>
          <cell r="G246">
            <v>4038.6228928616847</v>
          </cell>
          <cell r="H246">
            <v>3868.3507145137291</v>
          </cell>
          <cell r="I246">
            <v>3694.8237459344427</v>
          </cell>
          <cell r="J246">
            <v>3568.4463973029419</v>
          </cell>
          <cell r="K246">
            <v>3436.871084883941</v>
          </cell>
          <cell r="L246">
            <v>3300.1883482791136</v>
          </cell>
          <cell r="M246">
            <v>3158.4887270901409</v>
          </cell>
          <cell r="N246">
            <v>3011.8627609185983</v>
          </cell>
          <cell r="O246">
            <v>2974.0307709334747</v>
          </cell>
          <cell r="P246">
            <v>2928.3440277264485</v>
          </cell>
          <cell r="Q246">
            <v>2874.8388312160041</v>
          </cell>
          <cell r="R246">
            <v>2813.5514813206551</v>
          </cell>
          <cell r="S246">
            <v>2744.5182779590677</v>
          </cell>
          <cell r="T246">
            <v>2686.9425242590582</v>
          </cell>
          <cell r="U246">
            <v>2624.050617901336</v>
          </cell>
          <cell r="V246">
            <v>2555.857583732693</v>
          </cell>
          <cell r="W246">
            <v>2482.3784465996719</v>
          </cell>
          <cell r="X246">
            <v>2403.6282313489819</v>
          </cell>
          <cell r="Y246">
            <v>2321.3917367406975</v>
          </cell>
          <cell r="Z246">
            <v>2236.6695741645817</v>
          </cell>
          <cell r="AA246">
            <v>2149.4526024833108</v>
          </cell>
          <cell r="AB246">
            <v>2059.73168055939</v>
          </cell>
          <cell r="AC246">
            <v>1967.4976672554576</v>
          </cell>
          <cell r="AD246">
            <v>1889.1034647061108</v>
          </cell>
          <cell r="AE246">
            <v>1809.5955456101613</v>
          </cell>
          <cell r="AF246">
            <v>1728.965347273524</v>
          </cell>
          <cell r="AG246">
            <v>1647.204307002108</v>
          </cell>
          <cell r="AH246">
            <v>1564.3038621018211</v>
          </cell>
        </row>
        <row r="247">
          <cell r="B247" t="str">
            <v>e-hydrogen - Cost - Middle East - ton H2O/ton H2</v>
          </cell>
          <cell r="G247">
            <v>3437.4371997057879</v>
          </cell>
          <cell r="H247">
            <v>3291.726359379827</v>
          </cell>
          <cell r="I247">
            <v>3142.8160617015587</v>
          </cell>
          <cell r="J247">
            <v>3049.3717502851341</v>
          </cell>
          <cell r="K247">
            <v>2950.7653007064864</v>
          </cell>
          <cell r="L247">
            <v>2847.05487804328</v>
          </cell>
          <cell r="M247">
            <v>2738.2986473732735</v>
          </cell>
          <cell r="N247">
            <v>2624.5547737740408</v>
          </cell>
          <cell r="O247">
            <v>2586.0154229344857</v>
          </cell>
          <cell r="P247">
            <v>2539.7954601443425</v>
          </cell>
          <cell r="Q247">
            <v>2485.9344601982857</v>
          </cell>
          <cell r="R247">
            <v>2424.4719978910048</v>
          </cell>
          <cell r="S247">
            <v>2355.4476480172916</v>
          </cell>
          <cell r="T247">
            <v>2302.9820209443847</v>
          </cell>
          <cell r="U247">
            <v>2245.2615202268162</v>
          </cell>
          <cell r="V247">
            <v>2182.2999017005955</v>
          </cell>
          <cell r="W247">
            <v>2114.1109212014953</v>
          </cell>
          <cell r="X247">
            <v>2040.7083345654555</v>
          </cell>
          <cell r="Y247">
            <v>1960.5833723344319</v>
          </cell>
          <cell r="Z247">
            <v>1877.9885039675351</v>
          </cell>
          <cell r="AA247">
            <v>1792.9134705705346</v>
          </cell>
          <cell r="AB247">
            <v>1705.3480132490897</v>
          </cell>
          <cell r="AC247">
            <v>1615.2818731089328</v>
          </cell>
          <cell r="AD247">
            <v>1544.8423939156899</v>
          </cell>
          <cell r="AE247">
            <v>1473.1314799005604</v>
          </cell>
          <cell r="AF247">
            <v>1400.1429666945739</v>
          </cell>
          <cell r="AG247">
            <v>1325.870689928772</v>
          </cell>
          <cell r="AH247">
            <v>1250.3084852341972</v>
          </cell>
        </row>
        <row r="248">
          <cell r="B248" t="str">
            <v/>
          </cell>
        </row>
        <row r="249">
          <cell r="B249" t="str">
            <v>e-hydrogen (compressed) - Item - Region - Unit</v>
          </cell>
          <cell r="G249">
            <v>2023</v>
          </cell>
          <cell r="H249">
            <v>2024</v>
          </cell>
          <cell r="I249">
            <v>2025</v>
          </cell>
          <cell r="J249">
            <v>2026</v>
          </cell>
          <cell r="K249">
            <v>2027</v>
          </cell>
          <cell r="L249">
            <v>2028</v>
          </cell>
          <cell r="M249">
            <v>2029</v>
          </cell>
          <cell r="N249">
            <v>2030</v>
          </cell>
          <cell r="O249">
            <v>2031</v>
          </cell>
          <cell r="P249">
            <v>2032</v>
          </cell>
          <cell r="Q249">
            <v>2033</v>
          </cell>
          <cell r="R249">
            <v>2034</v>
          </cell>
          <cell r="S249">
            <v>2035</v>
          </cell>
          <cell r="T249">
            <v>2036</v>
          </cell>
          <cell r="U249">
            <v>2037</v>
          </cell>
          <cell r="V249">
            <v>2038</v>
          </cell>
          <cell r="W249">
            <v>2039</v>
          </cell>
          <cell r="X249">
            <v>2040</v>
          </cell>
          <cell r="Y249">
            <v>2041</v>
          </cell>
          <cell r="Z249">
            <v>2042</v>
          </cell>
          <cell r="AA249">
            <v>2043</v>
          </cell>
          <cell r="AB249">
            <v>2044</v>
          </cell>
          <cell r="AC249">
            <v>2045</v>
          </cell>
          <cell r="AD249">
            <v>2046</v>
          </cell>
          <cell r="AE249">
            <v>2047</v>
          </cell>
          <cell r="AF249">
            <v>2048</v>
          </cell>
          <cell r="AG249">
            <v>2049</v>
          </cell>
          <cell r="AH249">
            <v>2050</v>
          </cell>
        </row>
        <row r="250">
          <cell r="B250" t="str">
            <v>e-hydrogen (compressed) - Total cost - Africa - USD/ton fuel</v>
          </cell>
          <cell r="G250">
            <v>4633.1233423090589</v>
          </cell>
          <cell r="H250">
            <v>4201.9656446218651</v>
          </cell>
          <cell r="I250">
            <v>3768.1364126730182</v>
          </cell>
          <cell r="J250">
            <v>3627.6640614332246</v>
          </cell>
          <cell r="K250">
            <v>3482.0419503382509</v>
          </cell>
          <cell r="L250">
            <v>3331.3728662299636</v>
          </cell>
          <cell r="M250">
            <v>3175.7595959503119</v>
          </cell>
          <cell r="N250">
            <v>3015.3049263411149</v>
          </cell>
          <cell r="O250">
            <v>2957.5120355923382</v>
          </cell>
          <cell r="P250">
            <v>2892.1425659444694</v>
          </cell>
          <cell r="Q250">
            <v>2819.2518810339607</v>
          </cell>
          <cell r="R250">
            <v>2738.8953444973072</v>
          </cell>
          <cell r="S250">
            <v>2651.1283199710874</v>
          </cell>
          <cell r="T250">
            <v>2589.8814487511354</v>
          </cell>
          <cell r="U250">
            <v>2523.4234074819769</v>
          </cell>
          <cell r="V250">
            <v>2451.7722615286521</v>
          </cell>
          <cell r="W250">
            <v>2374.9460762559747</v>
          </cell>
          <cell r="X250">
            <v>2292.9629170289318</v>
          </cell>
          <cell r="Y250">
            <v>2208.6908045163059</v>
          </cell>
          <cell r="Z250">
            <v>2121.9988992007134</v>
          </cell>
          <cell r="AA250">
            <v>2032.876636943749</v>
          </cell>
          <cell r="AB250">
            <v>1941.3134536068953</v>
          </cell>
          <cell r="AC250">
            <v>1847.2987850517036</v>
          </cell>
          <cell r="AD250">
            <v>1773.4817469024235</v>
          </cell>
          <cell r="AE250">
            <v>1698.451689879309</v>
          </cell>
          <cell r="AF250">
            <v>1622.2019570300602</v>
          </cell>
          <cell r="AG250">
            <v>1544.7258914023987</v>
          </cell>
          <cell r="AH250">
            <v>1466.0168360440496</v>
          </cell>
        </row>
        <row r="251">
          <cell r="B251" t="str">
            <v>e-hydrogen (compressed) - Total cost - Americas - USD/ton fuel</v>
          </cell>
          <cell r="G251">
            <v>3458.2747756282647</v>
          </cell>
          <cell r="H251">
            <v>3358.1215141660286</v>
          </cell>
          <cell r="I251">
            <v>3254.6459956552549</v>
          </cell>
          <cell r="J251">
            <v>3148.9921734049194</v>
          </cell>
          <cell r="K251">
            <v>3038.2017033305151</v>
          </cell>
          <cell r="L251">
            <v>2922.3436487831009</v>
          </cell>
          <cell r="M251">
            <v>2801.4870731138512</v>
          </cell>
          <cell r="N251">
            <v>2675.701039673685</v>
          </cell>
          <cell r="O251">
            <v>2643.8786103743646</v>
          </cell>
          <cell r="P251">
            <v>2604.2634692905026</v>
          </cell>
          <cell r="Q251">
            <v>2556.8876858485628</v>
          </cell>
          <cell r="R251">
            <v>2501.7833294749726</v>
          </cell>
          <cell r="S251">
            <v>2438.9824695962966</v>
          </cell>
          <cell r="T251">
            <v>2379.5862497865878</v>
          </cell>
          <cell r="U251">
            <v>2315.0272995091577</v>
          </cell>
          <cell r="V251">
            <v>2245.3236408089065</v>
          </cell>
          <cell r="W251">
            <v>2170.4932957305264</v>
          </cell>
          <cell r="X251">
            <v>2090.5542863188448</v>
          </cell>
          <cell r="Y251">
            <v>2024.0950200699413</v>
          </cell>
          <cell r="Z251">
            <v>1954.8005234985762</v>
          </cell>
          <cell r="AA251">
            <v>1882.6666675873769</v>
          </cell>
          <cell r="AB251">
            <v>1807.6893233188264</v>
          </cell>
          <cell r="AC251">
            <v>1729.8643616755162</v>
          </cell>
          <cell r="AD251">
            <v>1661.9243548242082</v>
          </cell>
          <cell r="AE251">
            <v>1592.6501658127502</v>
          </cell>
          <cell r="AF251">
            <v>1522.0377953932327</v>
          </cell>
          <cell r="AG251">
            <v>1450.083244317753</v>
          </cell>
          <cell r="AH251">
            <v>1376.7825133384104</v>
          </cell>
        </row>
        <row r="252">
          <cell r="B252" t="str">
            <v>e-hydrogen (compressed) - Total cost - Asia - USD/ton fuel</v>
          </cell>
          <cell r="G252">
            <v>4987.7978827141424</v>
          </cell>
          <cell r="H252">
            <v>4618.4094108214867</v>
          </cell>
          <cell r="I252">
            <v>4246.1135151183844</v>
          </cell>
          <cell r="J252">
            <v>4097.3824826576747</v>
          </cell>
          <cell r="K252">
            <v>3943.3770419350276</v>
          </cell>
          <cell r="L252">
            <v>3784.2072710139482</v>
          </cell>
          <cell r="M252">
            <v>3619.9832479582124</v>
          </cell>
          <cell r="N252">
            <v>3450.8150508313697</v>
          </cell>
          <cell r="O252">
            <v>3373.0215929007072</v>
          </cell>
          <cell r="P252">
            <v>3287.7460048188714</v>
          </cell>
          <cell r="Q252">
            <v>3195.0604816273712</v>
          </cell>
          <cell r="R252">
            <v>3095.0372183676395</v>
          </cell>
          <cell r="S252">
            <v>2987.7484100813476</v>
          </cell>
          <cell r="T252">
            <v>2913.2093711775688</v>
          </cell>
          <cell r="U252">
            <v>2833.5633476088337</v>
          </cell>
          <cell r="V252">
            <v>2748.8357857959254</v>
          </cell>
          <cell r="W252">
            <v>2659.0521321593251</v>
          </cell>
          <cell r="X252">
            <v>2564.2378331197551</v>
          </cell>
          <cell r="Y252">
            <v>2465.6669595887115</v>
          </cell>
          <cell r="Z252">
            <v>2364.9898405548524</v>
          </cell>
          <cell r="AA252">
            <v>2262.1913285418932</v>
          </cell>
          <cell r="AB252">
            <v>2157.2562760734354</v>
          </cell>
          <cell r="AC252">
            <v>2050.1695356731543</v>
          </cell>
          <cell r="AD252">
            <v>1970.240754749665</v>
          </cell>
          <cell r="AE252">
            <v>1889.2216166291751</v>
          </cell>
          <cell r="AF252">
            <v>1807.1032031593165</v>
          </cell>
          <cell r="AG252">
            <v>1723.8765961877139</v>
          </cell>
          <cell r="AH252">
            <v>1639.532877561993</v>
          </cell>
        </row>
        <row r="253">
          <cell r="B253" t="str">
            <v>e-hydrogen (compressed) - Total cost - Europe - USD/ton fuel</v>
          </cell>
          <cell r="G253">
            <v>4089.3856734873298</v>
          </cell>
          <cell r="H253">
            <v>3916.9256406265708</v>
          </cell>
          <cell r="I253">
            <v>3741.2108175344811</v>
          </cell>
          <cell r="J253">
            <v>3613.0656692355524</v>
          </cell>
          <cell r="K253">
            <v>3479.7225571491235</v>
          </cell>
          <cell r="L253">
            <v>3341.2720208768683</v>
          </cell>
          <cell r="M253">
            <v>3197.8046000204672</v>
          </cell>
          <cell r="N253">
            <v>3049.4108341814967</v>
          </cell>
          <cell r="O253">
            <v>3010.8443238003165</v>
          </cell>
          <cell r="P253">
            <v>2964.4230601972345</v>
          </cell>
          <cell r="Q253">
            <v>2910.1833432907338</v>
          </cell>
          <cell r="R253">
            <v>2848.1614729993285</v>
          </cell>
          <cell r="S253">
            <v>2778.3937492416853</v>
          </cell>
          <cell r="T253">
            <v>2720.379449531456</v>
          </cell>
          <cell r="U253">
            <v>2657.0489971635134</v>
          </cell>
          <cell r="V253">
            <v>2588.4174169846506</v>
          </cell>
          <cell r="W253">
            <v>2514.4997338414096</v>
          </cell>
          <cell r="X253">
            <v>2435.3109725804993</v>
          </cell>
          <cell r="Y253">
            <v>2352.605312916116</v>
          </cell>
          <cell r="Z253">
            <v>2267.4139852839012</v>
          </cell>
          <cell r="AA253">
            <v>2179.7278485465313</v>
          </cell>
          <cell r="AB253">
            <v>2089.5377615665116</v>
          </cell>
          <cell r="AC253">
            <v>1996.8345832064804</v>
          </cell>
          <cell r="AD253">
            <v>1918.0980681700892</v>
          </cell>
          <cell r="AE253">
            <v>1838.2478365870952</v>
          </cell>
          <cell r="AF253">
            <v>1757.2753257634138</v>
          </cell>
          <cell r="AG253">
            <v>1675.1719730049533</v>
          </cell>
          <cell r="AH253">
            <v>1591.929215617622</v>
          </cell>
        </row>
        <row r="254">
          <cell r="B254" t="str">
            <v>e-hydrogen (compressed) - Total cost - Middle East - USD/ton fuel</v>
          </cell>
          <cell r="G254">
            <v>3476.3085322126099</v>
          </cell>
          <cell r="H254">
            <v>3328.8823974252828</v>
          </cell>
          <cell r="I254">
            <v>3178.2568052856477</v>
          </cell>
          <cell r="J254">
            <v>3083.6768117686811</v>
          </cell>
          <cell r="K254">
            <v>2983.9346800894909</v>
          </cell>
          <cell r="L254">
            <v>2879.0885753257426</v>
          </cell>
          <cell r="M254">
            <v>2769.1966625551941</v>
          </cell>
          <cell r="N254">
            <v>2654.3171068554188</v>
          </cell>
          <cell r="O254">
            <v>2614.9769692636173</v>
          </cell>
          <cell r="P254">
            <v>2567.9562197212276</v>
          </cell>
          <cell r="Q254">
            <v>2513.2944330229238</v>
          </cell>
          <cell r="R254">
            <v>2451.0311839633964</v>
          </cell>
          <cell r="S254">
            <v>2381.2060473374368</v>
          </cell>
          <cell r="T254">
            <v>2328.338914207246</v>
          </cell>
          <cell r="U254">
            <v>2270.2169074323938</v>
          </cell>
          <cell r="V254">
            <v>2206.8537828488898</v>
          </cell>
          <cell r="W254">
            <v>2138.2632962925059</v>
          </cell>
          <cell r="X254">
            <v>2064.4592035991823</v>
          </cell>
          <cell r="Y254">
            <v>1983.8077079076854</v>
          </cell>
          <cell r="Z254">
            <v>1900.6863060803155</v>
          </cell>
          <cell r="AA254">
            <v>1815.084739222842</v>
          </cell>
          <cell r="AB254">
            <v>1726.9927484409238</v>
          </cell>
          <cell r="AC254">
            <v>1636.4000748402937</v>
          </cell>
          <cell r="AD254">
            <v>1565.7141614700843</v>
          </cell>
          <cell r="AE254">
            <v>1493.7568132779884</v>
          </cell>
          <cell r="AF254">
            <v>1420.5218658950355</v>
          </cell>
          <cell r="AG254">
            <v>1346.0031549522671</v>
          </cell>
          <cell r="AH254">
            <v>1270.1945160807259</v>
          </cell>
        </row>
        <row r="255">
          <cell r="B255" t="str">
            <v/>
          </cell>
        </row>
        <row r="256">
          <cell r="B256" t="str">
            <v>e-hydrogen (compressed) - CAPEX - Global - USD/ton fuel</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row>
        <row r="257">
          <cell r="B257" t="str">
            <v>e-hydrogen - Plant lifetime - Global - Years</v>
          </cell>
          <cell r="G257">
            <v>30</v>
          </cell>
          <cell r="H257">
            <v>30</v>
          </cell>
          <cell r="I257">
            <v>30</v>
          </cell>
          <cell r="J257">
            <v>30</v>
          </cell>
          <cell r="K257">
            <v>30</v>
          </cell>
          <cell r="L257">
            <v>30</v>
          </cell>
          <cell r="M257">
            <v>30</v>
          </cell>
          <cell r="N257">
            <v>30</v>
          </cell>
          <cell r="O257">
            <v>30</v>
          </cell>
          <cell r="P257">
            <v>30</v>
          </cell>
          <cell r="Q257">
            <v>30</v>
          </cell>
          <cell r="R257">
            <v>30</v>
          </cell>
          <cell r="S257">
            <v>30</v>
          </cell>
          <cell r="T257">
            <v>30</v>
          </cell>
          <cell r="U257">
            <v>30</v>
          </cell>
          <cell r="V257">
            <v>30</v>
          </cell>
          <cell r="W257">
            <v>30</v>
          </cell>
          <cell r="X257">
            <v>30</v>
          </cell>
          <cell r="Y257">
            <v>30</v>
          </cell>
          <cell r="Z257">
            <v>30</v>
          </cell>
          <cell r="AA257">
            <v>30</v>
          </cell>
          <cell r="AB257">
            <v>30</v>
          </cell>
          <cell r="AC257">
            <v>30</v>
          </cell>
          <cell r="AD257">
            <v>30</v>
          </cell>
          <cell r="AE257">
            <v>30</v>
          </cell>
          <cell r="AF257">
            <v>30</v>
          </cell>
          <cell r="AG257">
            <v>30</v>
          </cell>
          <cell r="AH257">
            <v>30</v>
          </cell>
        </row>
        <row r="258">
          <cell r="B258" t="str">
            <v>e-hydrogen (compressed) - Total CAPEX - Compression - Global - USD/ton fuel</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row>
        <row r="259">
          <cell r="B259" t="str">
            <v/>
          </cell>
        </row>
        <row r="260">
          <cell r="B260" t="str">
            <v>e-hydrogen (compressed) - OPEX - Global - USD/ton fuel</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row>
        <row r="261">
          <cell r="B261" t="str">
            <v>e-hydrogen (compressed) - OPEX - Compression - Global - USD/ton fuel/year</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row>
        <row r="262">
          <cell r="B262" t="str">
            <v/>
          </cell>
        </row>
        <row r="263">
          <cell r="B263" t="str">
            <v>e-hydrogen (compressed) - Finance cost - Africa - USD/ton fuel</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row>
        <row r="264">
          <cell r="B264" t="str">
            <v>e-hydrogen (compressed) - Finance cost - Americas - USD/ton fuel</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row>
        <row r="265">
          <cell r="B265" t="str">
            <v>e-hydrogen (compressed) - Finance cost - Asia - USD/ton fuel</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row>
        <row r="266">
          <cell r="B266" t="str">
            <v>e-hydrogen (compressed) - Finance cost - Europe - USD/ton fuel</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row>
        <row r="267">
          <cell r="B267" t="str">
            <v>e-hydrogen (compressed) - Finance cost - Middle East - USD/ton fuel</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row>
        <row r="268">
          <cell r="B268" t="str">
            <v>General - Weighted average cost of capital (WACC) - Africa - %</v>
          </cell>
          <cell r="G268">
            <v>5.5000000000000007E-2</v>
          </cell>
          <cell r="H268">
            <v>5.5000000000000007E-2</v>
          </cell>
          <cell r="I268">
            <v>5.5000000000000007E-2</v>
          </cell>
          <cell r="J268">
            <v>5.5000000000000007E-2</v>
          </cell>
          <cell r="K268">
            <v>5.5000000000000007E-2</v>
          </cell>
          <cell r="L268">
            <v>5.5000000000000007E-2</v>
          </cell>
          <cell r="M268">
            <v>5.5000000000000007E-2</v>
          </cell>
          <cell r="N268">
            <v>5.5000000000000007E-2</v>
          </cell>
          <cell r="O268">
            <v>5.5000000000000007E-2</v>
          </cell>
          <cell r="P268">
            <v>5.5000000000000007E-2</v>
          </cell>
          <cell r="Q268">
            <v>5.5000000000000007E-2</v>
          </cell>
          <cell r="R268">
            <v>5.5000000000000007E-2</v>
          </cell>
          <cell r="S268">
            <v>5.5000000000000007E-2</v>
          </cell>
          <cell r="T268">
            <v>5.5000000000000007E-2</v>
          </cell>
          <cell r="U268">
            <v>5.5000000000000007E-2</v>
          </cell>
          <cell r="V268">
            <v>5.5000000000000007E-2</v>
          </cell>
          <cell r="W268">
            <v>5.5000000000000007E-2</v>
          </cell>
          <cell r="X268">
            <v>5.5000000000000007E-2</v>
          </cell>
          <cell r="Y268">
            <v>5.5000000000000007E-2</v>
          </cell>
          <cell r="Z268">
            <v>5.5000000000000007E-2</v>
          </cell>
          <cell r="AA268">
            <v>5.5000000000000007E-2</v>
          </cell>
          <cell r="AB268">
            <v>5.5000000000000007E-2</v>
          </cell>
          <cell r="AC268">
            <v>5.5000000000000007E-2</v>
          </cell>
          <cell r="AD268">
            <v>5.5000000000000007E-2</v>
          </cell>
          <cell r="AE268">
            <v>5.5000000000000007E-2</v>
          </cell>
          <cell r="AF268">
            <v>5.5000000000000007E-2</v>
          </cell>
          <cell r="AG268">
            <v>5.5000000000000007E-2</v>
          </cell>
          <cell r="AH268">
            <v>5.5000000000000007E-2</v>
          </cell>
        </row>
        <row r="269">
          <cell r="B269" t="str">
            <v>General - Weighted average cost of capital (WACC) - Americas - %</v>
          </cell>
          <cell r="G269">
            <v>5.5000000000000007E-2</v>
          </cell>
          <cell r="H269">
            <v>5.5000000000000007E-2</v>
          </cell>
          <cell r="I269">
            <v>5.5000000000000007E-2</v>
          </cell>
          <cell r="J269">
            <v>5.5000000000000007E-2</v>
          </cell>
          <cell r="K269">
            <v>5.5000000000000007E-2</v>
          </cell>
          <cell r="L269">
            <v>5.5000000000000007E-2</v>
          </cell>
          <cell r="M269">
            <v>5.5000000000000007E-2</v>
          </cell>
          <cell r="N269">
            <v>5.5000000000000007E-2</v>
          </cell>
          <cell r="O269">
            <v>5.5000000000000007E-2</v>
          </cell>
          <cell r="P269">
            <v>5.5000000000000007E-2</v>
          </cell>
          <cell r="Q269">
            <v>5.5000000000000007E-2</v>
          </cell>
          <cell r="R269">
            <v>5.5000000000000007E-2</v>
          </cell>
          <cell r="S269">
            <v>5.5000000000000007E-2</v>
          </cell>
          <cell r="T269">
            <v>5.5000000000000007E-2</v>
          </cell>
          <cell r="U269">
            <v>5.5000000000000007E-2</v>
          </cell>
          <cell r="V269">
            <v>5.5000000000000007E-2</v>
          </cell>
          <cell r="W269">
            <v>5.5000000000000007E-2</v>
          </cell>
          <cell r="X269">
            <v>5.5000000000000007E-2</v>
          </cell>
          <cell r="Y269">
            <v>5.5000000000000007E-2</v>
          </cell>
          <cell r="Z269">
            <v>5.5000000000000007E-2</v>
          </cell>
          <cell r="AA269">
            <v>5.5000000000000007E-2</v>
          </cell>
          <cell r="AB269">
            <v>5.5000000000000007E-2</v>
          </cell>
          <cell r="AC269">
            <v>5.5000000000000007E-2</v>
          </cell>
          <cell r="AD269">
            <v>5.5000000000000007E-2</v>
          </cell>
          <cell r="AE269">
            <v>5.5000000000000007E-2</v>
          </cell>
          <cell r="AF269">
            <v>5.5000000000000007E-2</v>
          </cell>
          <cell r="AG269">
            <v>5.5000000000000007E-2</v>
          </cell>
          <cell r="AH269">
            <v>5.5000000000000007E-2</v>
          </cell>
        </row>
        <row r="270">
          <cell r="B270" t="str">
            <v>General - Weighted average cost of capital (WACC) - Asia - %</v>
          </cell>
          <cell r="G270">
            <v>5.5000000000000007E-2</v>
          </cell>
          <cell r="H270">
            <v>5.5000000000000007E-2</v>
          </cell>
          <cell r="I270">
            <v>5.5000000000000007E-2</v>
          </cell>
          <cell r="J270">
            <v>5.5000000000000007E-2</v>
          </cell>
          <cell r="K270">
            <v>5.5000000000000007E-2</v>
          </cell>
          <cell r="L270">
            <v>5.5000000000000007E-2</v>
          </cell>
          <cell r="M270">
            <v>5.5000000000000007E-2</v>
          </cell>
          <cell r="N270">
            <v>5.5000000000000007E-2</v>
          </cell>
          <cell r="O270">
            <v>5.5000000000000007E-2</v>
          </cell>
          <cell r="P270">
            <v>5.5000000000000007E-2</v>
          </cell>
          <cell r="Q270">
            <v>5.5000000000000007E-2</v>
          </cell>
          <cell r="R270">
            <v>5.5000000000000007E-2</v>
          </cell>
          <cell r="S270">
            <v>5.5000000000000007E-2</v>
          </cell>
          <cell r="T270">
            <v>5.5000000000000007E-2</v>
          </cell>
          <cell r="U270">
            <v>5.5000000000000007E-2</v>
          </cell>
          <cell r="V270">
            <v>5.5000000000000007E-2</v>
          </cell>
          <cell r="W270">
            <v>5.5000000000000007E-2</v>
          </cell>
          <cell r="X270">
            <v>5.5000000000000007E-2</v>
          </cell>
          <cell r="Y270">
            <v>5.5000000000000007E-2</v>
          </cell>
          <cell r="Z270">
            <v>5.5000000000000007E-2</v>
          </cell>
          <cell r="AA270">
            <v>5.5000000000000007E-2</v>
          </cell>
          <cell r="AB270">
            <v>5.5000000000000007E-2</v>
          </cell>
          <cell r="AC270">
            <v>5.5000000000000007E-2</v>
          </cell>
          <cell r="AD270">
            <v>5.5000000000000007E-2</v>
          </cell>
          <cell r="AE270">
            <v>5.5000000000000007E-2</v>
          </cell>
          <cell r="AF270">
            <v>5.5000000000000007E-2</v>
          </cell>
          <cell r="AG270">
            <v>5.5000000000000007E-2</v>
          </cell>
          <cell r="AH270">
            <v>5.5000000000000007E-2</v>
          </cell>
        </row>
        <row r="271">
          <cell r="B271" t="str">
            <v>General - Weighted average cost of capital (WACC) - Europe - %</v>
          </cell>
          <cell r="G271">
            <v>5.5000000000000007E-2</v>
          </cell>
          <cell r="H271">
            <v>5.5000000000000007E-2</v>
          </cell>
          <cell r="I271">
            <v>5.5000000000000007E-2</v>
          </cell>
          <cell r="J271">
            <v>5.5000000000000007E-2</v>
          </cell>
          <cell r="K271">
            <v>5.5000000000000007E-2</v>
          </cell>
          <cell r="L271">
            <v>5.5000000000000007E-2</v>
          </cell>
          <cell r="M271">
            <v>5.5000000000000007E-2</v>
          </cell>
          <cell r="N271">
            <v>5.5000000000000007E-2</v>
          </cell>
          <cell r="O271">
            <v>5.5000000000000007E-2</v>
          </cell>
          <cell r="P271">
            <v>5.5000000000000007E-2</v>
          </cell>
          <cell r="Q271">
            <v>5.5000000000000007E-2</v>
          </cell>
          <cell r="R271">
            <v>5.5000000000000007E-2</v>
          </cell>
          <cell r="S271">
            <v>5.5000000000000007E-2</v>
          </cell>
          <cell r="T271">
            <v>5.5000000000000007E-2</v>
          </cell>
          <cell r="U271">
            <v>5.5000000000000007E-2</v>
          </cell>
          <cell r="V271">
            <v>5.5000000000000007E-2</v>
          </cell>
          <cell r="W271">
            <v>5.5000000000000007E-2</v>
          </cell>
          <cell r="X271">
            <v>5.5000000000000007E-2</v>
          </cell>
          <cell r="Y271">
            <v>5.5000000000000007E-2</v>
          </cell>
          <cell r="Z271">
            <v>5.5000000000000007E-2</v>
          </cell>
          <cell r="AA271">
            <v>5.5000000000000007E-2</v>
          </cell>
          <cell r="AB271">
            <v>5.5000000000000007E-2</v>
          </cell>
          <cell r="AC271">
            <v>5.5000000000000007E-2</v>
          </cell>
          <cell r="AD271">
            <v>5.5000000000000007E-2</v>
          </cell>
          <cell r="AE271">
            <v>5.5000000000000007E-2</v>
          </cell>
          <cell r="AF271">
            <v>5.5000000000000007E-2</v>
          </cell>
          <cell r="AG271">
            <v>5.5000000000000007E-2</v>
          </cell>
          <cell r="AH271">
            <v>5.5000000000000007E-2</v>
          </cell>
        </row>
        <row r="272">
          <cell r="B272" t="str">
            <v>General - Weighted average cost of capital (WACC) - Middle East - %</v>
          </cell>
          <cell r="G272">
            <v>5.5000000000000007E-2</v>
          </cell>
          <cell r="H272">
            <v>5.5000000000000007E-2</v>
          </cell>
          <cell r="I272">
            <v>5.5000000000000007E-2</v>
          </cell>
          <cell r="J272">
            <v>5.5000000000000007E-2</v>
          </cell>
          <cell r="K272">
            <v>5.5000000000000007E-2</v>
          </cell>
          <cell r="L272">
            <v>5.5000000000000007E-2</v>
          </cell>
          <cell r="M272">
            <v>5.5000000000000007E-2</v>
          </cell>
          <cell r="N272">
            <v>5.5000000000000007E-2</v>
          </cell>
          <cell r="O272">
            <v>5.5000000000000007E-2</v>
          </cell>
          <cell r="P272">
            <v>5.5000000000000007E-2</v>
          </cell>
          <cell r="Q272">
            <v>5.5000000000000007E-2</v>
          </cell>
          <cell r="R272">
            <v>5.5000000000000007E-2</v>
          </cell>
          <cell r="S272">
            <v>5.5000000000000007E-2</v>
          </cell>
          <cell r="T272">
            <v>5.5000000000000007E-2</v>
          </cell>
          <cell r="U272">
            <v>5.5000000000000007E-2</v>
          </cell>
          <cell r="V272">
            <v>5.5000000000000007E-2</v>
          </cell>
          <cell r="W272">
            <v>5.5000000000000007E-2</v>
          </cell>
          <cell r="X272">
            <v>5.5000000000000007E-2</v>
          </cell>
          <cell r="Y272">
            <v>5.5000000000000007E-2</v>
          </cell>
          <cell r="Z272">
            <v>5.5000000000000007E-2</v>
          </cell>
          <cell r="AA272">
            <v>5.5000000000000007E-2</v>
          </cell>
          <cell r="AB272">
            <v>5.5000000000000007E-2</v>
          </cell>
          <cell r="AC272">
            <v>5.5000000000000007E-2</v>
          </cell>
          <cell r="AD272">
            <v>5.5000000000000007E-2</v>
          </cell>
          <cell r="AE272">
            <v>5.5000000000000007E-2</v>
          </cell>
          <cell r="AF272">
            <v>5.5000000000000007E-2</v>
          </cell>
          <cell r="AG272">
            <v>5.5000000000000007E-2</v>
          </cell>
          <cell r="AH272">
            <v>5.5000000000000007E-2</v>
          </cell>
        </row>
        <row r="273">
          <cell r="B273" t="str">
            <v>e-hydrogen (compressed) - Total CAPEX - Compression - Global - USD/ton fuel</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row>
        <row r="274">
          <cell r="B274" t="str">
            <v/>
          </cell>
        </row>
        <row r="275">
          <cell r="B275" t="str">
            <v>e-hydrogen (compressed) - Energy cost - Africa - USD/ton fuel</v>
          </cell>
          <cell r="G275">
            <v>61.309297277039882</v>
          </cell>
          <cell r="H275">
            <v>54.10996105794257</v>
          </cell>
          <cell r="I275">
            <v>46.91062483884334</v>
          </cell>
          <cell r="J275">
            <v>44.903695919290797</v>
          </cell>
          <cell r="K275">
            <v>42.896766999738247</v>
          </cell>
          <cell r="L275">
            <v>40.889838080185704</v>
          </cell>
          <cell r="M275">
            <v>38.882909160632678</v>
          </cell>
          <cell r="N275">
            <v>36.875980241080129</v>
          </cell>
          <cell r="O275">
            <v>35.755709953348308</v>
          </cell>
          <cell r="P275">
            <v>34.635439665616495</v>
          </cell>
          <cell r="Q275">
            <v>33.515169377884199</v>
          </cell>
          <cell r="R275">
            <v>32.394899090152379</v>
          </cell>
          <cell r="S275">
            <v>31.274628802420679</v>
          </cell>
          <cell r="T275">
            <v>30.747335986398191</v>
          </cell>
          <cell r="U275">
            <v>30.220043170375824</v>
          </cell>
          <cell r="V275">
            <v>29.692750354353336</v>
          </cell>
          <cell r="W275">
            <v>29.165457538330852</v>
          </cell>
          <cell r="X275">
            <v>28.638164722308602</v>
          </cell>
          <cell r="Y275">
            <v>28.095964731813559</v>
          </cell>
          <cell r="Z275">
            <v>27.553764741318517</v>
          </cell>
          <cell r="AA275">
            <v>27.011564750823233</v>
          </cell>
          <cell r="AB275">
            <v>26.46936476032819</v>
          </cell>
          <cell r="AC275">
            <v>25.927164769833027</v>
          </cell>
          <cell r="AD275">
            <v>25.661038493586712</v>
          </cell>
          <cell r="AE275">
            <v>25.394912217340519</v>
          </cell>
          <cell r="AF275">
            <v>25.128785941094204</v>
          </cell>
          <cell r="AG275">
            <v>24.862659664847889</v>
          </cell>
          <cell r="AH275">
            <v>24.596533388601696</v>
          </cell>
        </row>
        <row r="276">
          <cell r="B276" t="str">
            <v>e-hydrogen (compressed) - Energy cost - Americas - USD/ton fuel</v>
          </cell>
          <cell r="G276">
            <v>38.521543766755386</v>
          </cell>
          <cell r="H276">
            <v>37.723816359571252</v>
          </cell>
          <cell r="I276">
            <v>36.926088952386884</v>
          </cell>
          <cell r="J276">
            <v>35.577616385243118</v>
          </cell>
          <cell r="K276">
            <v>34.229143818099352</v>
          </cell>
          <cell r="L276">
            <v>32.880671250955587</v>
          </cell>
          <cell r="M276">
            <v>31.532198683812297</v>
          </cell>
          <cell r="N276">
            <v>30.183726116668527</v>
          </cell>
          <cell r="O276">
            <v>29.534808742289375</v>
          </cell>
          <cell r="P276">
            <v>28.885891367910222</v>
          </cell>
          <cell r="Q276">
            <v>28.23697399353107</v>
          </cell>
          <cell r="R276">
            <v>27.588056619151917</v>
          </cell>
          <cell r="S276">
            <v>26.939139244772647</v>
          </cell>
          <cell r="T276">
            <v>26.41311085919267</v>
          </cell>
          <cell r="U276">
            <v>25.887082473612697</v>
          </cell>
          <cell r="V276">
            <v>25.361054088032603</v>
          </cell>
          <cell r="W276">
            <v>24.835025702452629</v>
          </cell>
          <cell r="X276">
            <v>24.308997316872595</v>
          </cell>
          <cell r="Y276">
            <v>24.097077222623625</v>
          </cell>
          <cell r="Z276">
            <v>23.885157128374654</v>
          </cell>
          <cell r="AA276">
            <v>23.673237034125744</v>
          </cell>
          <cell r="AB276">
            <v>23.461316939876777</v>
          </cell>
          <cell r="AC276">
            <v>23.249396845627807</v>
          </cell>
          <cell r="AD276">
            <v>23.089518134332863</v>
          </cell>
          <cell r="AE276">
            <v>22.92963942303798</v>
          </cell>
          <cell r="AF276">
            <v>22.7697607117431</v>
          </cell>
          <cell r="AG276">
            <v>22.609882000448216</v>
          </cell>
          <cell r="AH276">
            <v>22.450003289153333</v>
          </cell>
        </row>
        <row r="277">
          <cell r="B277" t="str">
            <v>e-hydrogen (compressed) - Energy cost - Asia - USD/ton fuel</v>
          </cell>
          <cell r="G277">
            <v>68.188682614299623</v>
          </cell>
          <cell r="H277">
            <v>62.196653333677752</v>
          </cell>
          <cell r="I277">
            <v>56.204624053058751</v>
          </cell>
          <cell r="J277">
            <v>54.055332905934762</v>
          </cell>
          <cell r="K277">
            <v>51.906041758811718</v>
          </cell>
          <cell r="L277">
            <v>49.756750611687721</v>
          </cell>
          <cell r="M277">
            <v>47.607459464563725</v>
          </cell>
          <cell r="N277">
            <v>45.458168317440688</v>
          </cell>
          <cell r="O277">
            <v>43.997318469627274</v>
          </cell>
          <cell r="P277">
            <v>42.536468621814336</v>
          </cell>
          <cell r="Q277">
            <v>41.075618774001875</v>
          </cell>
          <cell r="R277">
            <v>39.614768926188937</v>
          </cell>
          <cell r="S277">
            <v>38.153919078375999</v>
          </cell>
          <cell r="T277">
            <v>37.41118762261199</v>
          </cell>
          <cell r="U277">
            <v>36.668456166847982</v>
          </cell>
          <cell r="V277">
            <v>35.925724711084207</v>
          </cell>
          <cell r="W277">
            <v>35.182993255320199</v>
          </cell>
          <cell r="X277">
            <v>34.440261799556666</v>
          </cell>
          <cell r="Y277">
            <v>33.662823908802409</v>
          </cell>
          <cell r="Z277">
            <v>32.885386018048393</v>
          </cell>
          <cell r="AA277">
            <v>32.107948127294144</v>
          </cell>
          <cell r="AB277">
            <v>31.330510236540125</v>
          </cell>
          <cell r="AC277">
            <v>30.553072345785871</v>
          </cell>
          <cell r="AD277">
            <v>30.196549633816854</v>
          </cell>
          <cell r="AE277">
            <v>29.840026921847716</v>
          </cell>
          <cell r="AF277">
            <v>29.483504209878699</v>
          </cell>
          <cell r="AG277">
            <v>29.126981497909682</v>
          </cell>
          <cell r="AH277">
            <v>28.770458785940544</v>
          </cell>
        </row>
        <row r="278">
          <cell r="B278" t="str">
            <v>e-hydrogen (compressed) - Energy cost - Europe - USD/ton fuel</v>
          </cell>
          <cell r="G278">
            <v>50.762780625645114</v>
          </cell>
          <cell r="H278">
            <v>48.574926112841787</v>
          </cell>
          <cell r="I278">
            <v>46.38707160003846</v>
          </cell>
          <cell r="J278">
            <v>44.619271932610673</v>
          </cell>
          <cell r="K278">
            <v>42.851472265182409</v>
          </cell>
          <cell r="L278">
            <v>41.083672597754621</v>
          </cell>
          <cell r="M278">
            <v>39.31587293032635</v>
          </cell>
          <cell r="N278">
            <v>37.548073262898562</v>
          </cell>
          <cell r="O278">
            <v>36.81355286684191</v>
          </cell>
          <cell r="P278">
            <v>36.079032470785968</v>
          </cell>
          <cell r="Q278">
            <v>35.344512074729792</v>
          </cell>
          <cell r="R278">
            <v>34.609991678673616</v>
          </cell>
          <cell r="S278">
            <v>33.875471282617674</v>
          </cell>
          <cell r="T278">
            <v>33.436925272397559</v>
          </cell>
          <cell r="U278">
            <v>32.998379262177565</v>
          </cell>
          <cell r="V278">
            <v>32.559833251957571</v>
          </cell>
          <cell r="W278">
            <v>32.121287241737576</v>
          </cell>
          <cell r="X278">
            <v>31.682741231517344</v>
          </cell>
          <cell r="Y278">
            <v>31.213576175418474</v>
          </cell>
          <cell r="Z278">
            <v>30.744411119319484</v>
          </cell>
          <cell r="AA278">
            <v>30.275246063220614</v>
          </cell>
          <cell r="AB278">
            <v>29.806081007121623</v>
          </cell>
          <cell r="AC278">
            <v>29.336915951022753</v>
          </cell>
          <cell r="AD278">
            <v>28.994603463978457</v>
          </cell>
          <cell r="AE278">
            <v>28.65229097693404</v>
          </cell>
          <cell r="AF278">
            <v>28.309978489889744</v>
          </cell>
          <cell r="AG278">
            <v>27.967666002845448</v>
          </cell>
          <cell r="AH278">
            <v>27.625353515801034</v>
          </cell>
        </row>
        <row r="279">
          <cell r="B279" t="str">
            <v>e-hydrogen (compressed) - Energy cost - Middle East - USD/ton fuel</v>
          </cell>
          <cell r="G279">
            <v>38.871332506822164</v>
          </cell>
          <cell r="H279">
            <v>37.156038045455809</v>
          </cell>
          <cell r="I279">
            <v>35.440743584088978</v>
          </cell>
          <cell r="J279">
            <v>34.305061483546822</v>
          </cell>
          <cell r="K279">
            <v>33.16937938300466</v>
          </cell>
          <cell r="L279">
            <v>32.033697282462505</v>
          </cell>
          <cell r="M279">
            <v>30.898015181920346</v>
          </cell>
          <cell r="N279">
            <v>29.762333081378188</v>
          </cell>
          <cell r="O279">
            <v>28.961546329131455</v>
          </cell>
          <cell r="P279">
            <v>28.16075957688496</v>
          </cell>
          <cell r="Q279">
            <v>27.359972824638227</v>
          </cell>
          <cell r="R279">
            <v>26.559186072391732</v>
          </cell>
          <cell r="S279">
            <v>25.758399320145237</v>
          </cell>
          <cell r="T279">
            <v>25.356893262861519</v>
          </cell>
          <cell r="U279">
            <v>24.955387205577804</v>
          </cell>
          <cell r="V279">
            <v>24.553881148294206</v>
          </cell>
          <cell r="W279">
            <v>24.152375091010487</v>
          </cell>
          <cell r="X279">
            <v>23.750869033726769</v>
          </cell>
          <cell r="Y279">
            <v>23.224335573253569</v>
          </cell>
          <cell r="Z279">
            <v>22.69780211278049</v>
          </cell>
          <cell r="AA279">
            <v>22.171268652307287</v>
          </cell>
          <cell r="AB279">
            <v>21.644735191834208</v>
          </cell>
          <cell r="AC279">
            <v>21.118201731360948</v>
          </cell>
          <cell r="AD279">
            <v>20.871767554394459</v>
          </cell>
          <cell r="AE279">
            <v>20.625333377428031</v>
          </cell>
          <cell r="AF279">
            <v>20.378899200461543</v>
          </cell>
          <cell r="AG279">
            <v>20.132465023495055</v>
          </cell>
          <cell r="AH279">
            <v>19.886030846528623</v>
          </cell>
        </row>
        <row r="280">
          <cell r="B280" t="str">
            <v>Renewable electricity - Cost of electricity - Africa - USD/MWh</v>
          </cell>
          <cell r="G280">
            <v>58.389806930514169</v>
          </cell>
          <cell r="H280">
            <v>51.533296245659585</v>
          </cell>
          <cell r="I280">
            <v>44.676785560803182</v>
          </cell>
          <cell r="J280">
            <v>42.765424685038852</v>
          </cell>
          <cell r="K280">
            <v>40.854063809274521</v>
          </cell>
          <cell r="L280">
            <v>38.942702933510191</v>
          </cell>
          <cell r="M280">
            <v>37.031342057745405</v>
          </cell>
          <cell r="N280">
            <v>35.119981181981075</v>
          </cell>
          <cell r="O280">
            <v>34.053057098426962</v>
          </cell>
          <cell r="P280">
            <v>32.986133014872848</v>
          </cell>
          <cell r="Q280">
            <v>31.919208931318281</v>
          </cell>
          <cell r="R280">
            <v>30.852284847764167</v>
          </cell>
          <cell r="S280">
            <v>29.785360764210168</v>
          </cell>
          <cell r="T280">
            <v>29.283177129903038</v>
          </cell>
          <cell r="U280">
            <v>28.780993495596022</v>
          </cell>
          <cell r="V280">
            <v>28.278809861288892</v>
          </cell>
          <cell r="W280">
            <v>27.776626226981762</v>
          </cell>
          <cell r="X280">
            <v>27.274442592674859</v>
          </cell>
          <cell r="Y280">
            <v>26.758061649346246</v>
          </cell>
          <cell r="Z280">
            <v>26.241680706017632</v>
          </cell>
          <cell r="AA280">
            <v>25.725299762688792</v>
          </cell>
          <cell r="AB280">
            <v>25.208918819360179</v>
          </cell>
          <cell r="AC280">
            <v>24.692537876031452</v>
          </cell>
          <cell r="AD280">
            <v>24.439084279606391</v>
          </cell>
          <cell r="AE280">
            <v>24.185630683181444</v>
          </cell>
          <cell r="AF280">
            <v>23.932177086756383</v>
          </cell>
          <cell r="AG280">
            <v>23.678723490331322</v>
          </cell>
          <cell r="AH280">
            <v>23.425269893906375</v>
          </cell>
        </row>
        <row r="281">
          <cell r="B281" t="str">
            <v>Renewable electricity - Cost of electricity - Americas - USD/MWh</v>
          </cell>
          <cell r="G281">
            <v>36.687184539767031</v>
          </cell>
          <cell r="H281">
            <v>35.927444151972622</v>
          </cell>
          <cell r="I281">
            <v>35.167703764177986</v>
          </cell>
          <cell r="J281">
            <v>33.883444176422017</v>
          </cell>
          <cell r="K281">
            <v>32.599184588666049</v>
          </cell>
          <cell r="L281">
            <v>31.31492500091008</v>
          </cell>
          <cell r="M281">
            <v>30.030665413154566</v>
          </cell>
          <cell r="N281">
            <v>28.746405825398597</v>
          </cell>
          <cell r="O281">
            <v>28.128389278370832</v>
          </cell>
          <cell r="P281">
            <v>27.510372731343068</v>
          </cell>
          <cell r="Q281">
            <v>26.892356184315304</v>
          </cell>
          <cell r="R281">
            <v>26.27433963728754</v>
          </cell>
          <cell r="S281">
            <v>25.656323090259662</v>
          </cell>
          <cell r="T281">
            <v>25.155343675421591</v>
          </cell>
          <cell r="U281">
            <v>24.65436426058352</v>
          </cell>
          <cell r="V281">
            <v>24.153384845745336</v>
          </cell>
          <cell r="W281">
            <v>23.652405430907265</v>
          </cell>
          <cell r="X281">
            <v>23.151426016069138</v>
          </cell>
          <cell r="Y281">
            <v>22.949597354879643</v>
          </cell>
          <cell r="Z281">
            <v>22.747768693690148</v>
          </cell>
          <cell r="AA281">
            <v>22.54594003250071</v>
          </cell>
          <cell r="AB281">
            <v>22.344111371311214</v>
          </cell>
          <cell r="AC281">
            <v>22.142282710121719</v>
          </cell>
          <cell r="AD281">
            <v>21.990017270793203</v>
          </cell>
          <cell r="AE281">
            <v>21.837751831464743</v>
          </cell>
          <cell r="AF281">
            <v>21.685486392136283</v>
          </cell>
          <cell r="AG281">
            <v>21.533220952807824</v>
          </cell>
          <cell r="AH281">
            <v>21.380955513479364</v>
          </cell>
        </row>
        <row r="282">
          <cell r="B282" t="str">
            <v>Renewable electricity - Cost of electricity - Asia - USD/MWh</v>
          </cell>
          <cell r="G282">
            <v>64.941602489809156</v>
          </cell>
          <cell r="H282">
            <v>59.234907936835953</v>
          </cell>
          <cell r="I282">
            <v>53.528213383865477</v>
          </cell>
          <cell r="J282">
            <v>51.481269434223577</v>
          </cell>
          <cell r="K282">
            <v>49.434325484582587</v>
          </cell>
          <cell r="L282">
            <v>47.387381534940687</v>
          </cell>
          <cell r="M282">
            <v>45.340437585298787</v>
          </cell>
          <cell r="N282">
            <v>43.293493635657796</v>
          </cell>
          <cell r="O282">
            <v>41.902208066311687</v>
          </cell>
          <cell r="P282">
            <v>40.510922496966032</v>
          </cell>
          <cell r="Q282">
            <v>39.119636927620832</v>
          </cell>
          <cell r="R282">
            <v>37.728351358275177</v>
          </cell>
          <cell r="S282">
            <v>36.337065788929522</v>
          </cell>
          <cell r="T282">
            <v>35.629702497725702</v>
          </cell>
          <cell r="U282">
            <v>34.922339206521883</v>
          </cell>
          <cell r="V282">
            <v>34.214975915318291</v>
          </cell>
          <cell r="W282">
            <v>33.507612624114472</v>
          </cell>
          <cell r="X282">
            <v>32.800249332911108</v>
          </cell>
          <cell r="Y282">
            <v>32.059832294097532</v>
          </cell>
          <cell r="Z282">
            <v>31.319415255284184</v>
          </cell>
          <cell r="AA282">
            <v>30.578998216470609</v>
          </cell>
          <cell r="AB282">
            <v>29.838581177657261</v>
          </cell>
          <cell r="AC282">
            <v>29.098164138843686</v>
          </cell>
          <cell r="AD282">
            <v>28.758618698873192</v>
          </cell>
          <cell r="AE282">
            <v>28.419073258902586</v>
          </cell>
          <cell r="AF282">
            <v>28.079527818932092</v>
          </cell>
          <cell r="AG282">
            <v>27.739982378961599</v>
          </cell>
          <cell r="AH282">
            <v>27.400436938990993</v>
          </cell>
        </row>
        <row r="283">
          <cell r="B283" t="str">
            <v>Renewable electricity - Cost of electricity - Europe - USD/MWh</v>
          </cell>
          <cell r="G283">
            <v>48.345505357757247</v>
          </cell>
          <cell r="H283">
            <v>46.261834393182653</v>
          </cell>
          <cell r="I283">
            <v>44.178163428608059</v>
          </cell>
          <cell r="J283">
            <v>42.49454469772445</v>
          </cell>
          <cell r="K283">
            <v>40.810925966840387</v>
          </cell>
          <cell r="L283">
            <v>39.127307235956778</v>
          </cell>
          <cell r="M283">
            <v>37.443688505072714</v>
          </cell>
          <cell r="N283">
            <v>35.760069774189105</v>
          </cell>
          <cell r="O283">
            <v>35.060526539849434</v>
          </cell>
          <cell r="P283">
            <v>34.360983305510445</v>
          </cell>
          <cell r="Q283">
            <v>33.661440071171228</v>
          </cell>
          <cell r="R283">
            <v>32.961896836832011</v>
          </cell>
          <cell r="S283">
            <v>32.262353602493022</v>
          </cell>
          <cell r="T283">
            <v>31.844690735616723</v>
          </cell>
          <cell r="U283">
            <v>31.427027868740538</v>
          </cell>
          <cell r="V283">
            <v>31.009365001864353</v>
          </cell>
          <cell r="W283">
            <v>30.591702134988168</v>
          </cell>
          <cell r="X283">
            <v>30.174039268111756</v>
          </cell>
          <cell r="Y283">
            <v>29.72721540516045</v>
          </cell>
          <cell r="Z283">
            <v>29.280391542209031</v>
          </cell>
          <cell r="AA283">
            <v>28.833567679257726</v>
          </cell>
          <cell r="AB283">
            <v>28.386743816306307</v>
          </cell>
          <cell r="AC283">
            <v>27.939919953355002</v>
          </cell>
          <cell r="AD283">
            <v>27.613908060931863</v>
          </cell>
          <cell r="AE283">
            <v>27.28789616850861</v>
          </cell>
          <cell r="AF283">
            <v>26.96188427608547</v>
          </cell>
          <cell r="AG283">
            <v>26.635872383662331</v>
          </cell>
          <cell r="AH283">
            <v>26.309860491239078</v>
          </cell>
        </row>
        <row r="284">
          <cell r="B284" t="str">
            <v>Renewable electricity - Cost of electricity - Middle East - USD/MWh</v>
          </cell>
          <cell r="G284">
            <v>37.020316673163961</v>
          </cell>
          <cell r="H284">
            <v>35.386702900434102</v>
          </cell>
          <cell r="I284">
            <v>33.753089127703788</v>
          </cell>
          <cell r="J284">
            <v>32.671487127187447</v>
          </cell>
          <cell r="K284">
            <v>31.589885126671106</v>
          </cell>
          <cell r="L284">
            <v>30.508283126154765</v>
          </cell>
          <cell r="M284">
            <v>29.426681125638424</v>
          </cell>
          <cell r="N284">
            <v>28.345079125122083</v>
          </cell>
          <cell r="O284">
            <v>27.58242507536329</v>
          </cell>
          <cell r="P284">
            <v>26.819771025604723</v>
          </cell>
          <cell r="Q284">
            <v>26.057116975845929</v>
          </cell>
          <cell r="R284">
            <v>25.294462926087363</v>
          </cell>
          <cell r="S284">
            <v>24.531808876328796</v>
          </cell>
          <cell r="T284">
            <v>24.149422155106208</v>
          </cell>
          <cell r="U284">
            <v>23.76703543388362</v>
          </cell>
          <cell r="V284">
            <v>23.384648712661146</v>
          </cell>
          <cell r="W284">
            <v>23.002261991438559</v>
          </cell>
          <cell r="X284">
            <v>22.619875270215971</v>
          </cell>
          <cell r="Y284">
            <v>22.118414831670066</v>
          </cell>
          <cell r="Z284">
            <v>21.616954393124274</v>
          </cell>
          <cell r="AA284">
            <v>21.115493954578369</v>
          </cell>
          <cell r="AB284">
            <v>20.614033516032578</v>
          </cell>
          <cell r="AC284">
            <v>20.112573077486616</v>
          </cell>
          <cell r="AD284">
            <v>19.877873861328055</v>
          </cell>
          <cell r="AE284">
            <v>19.643174645169552</v>
          </cell>
          <cell r="AF284">
            <v>19.408475429010991</v>
          </cell>
          <cell r="AG284">
            <v>19.173776212852431</v>
          </cell>
          <cell r="AH284">
            <v>18.939076996693927</v>
          </cell>
        </row>
        <row r="285">
          <cell r="B285" t="str">
            <v>e-hydrogen (compressed) - Energy demand - Compression - Global - MWh/ton fuel</v>
          </cell>
          <cell r="G285">
            <v>1.05</v>
          </cell>
          <cell r="H285">
            <v>1.05</v>
          </cell>
          <cell r="I285">
            <v>1.05</v>
          </cell>
          <cell r="J285">
            <v>1.05</v>
          </cell>
          <cell r="K285">
            <v>1.05</v>
          </cell>
          <cell r="L285">
            <v>1.05</v>
          </cell>
          <cell r="M285">
            <v>1.05</v>
          </cell>
          <cell r="N285">
            <v>1.05</v>
          </cell>
          <cell r="O285">
            <v>1.05</v>
          </cell>
          <cell r="P285">
            <v>1.05</v>
          </cell>
          <cell r="Q285">
            <v>1.05</v>
          </cell>
          <cell r="R285">
            <v>1.05</v>
          </cell>
          <cell r="S285">
            <v>1.05</v>
          </cell>
          <cell r="T285">
            <v>1.05</v>
          </cell>
          <cell r="U285">
            <v>1.05</v>
          </cell>
          <cell r="V285">
            <v>1.05</v>
          </cell>
          <cell r="W285">
            <v>1.05</v>
          </cell>
          <cell r="X285">
            <v>1.05</v>
          </cell>
          <cell r="Y285">
            <v>1.05</v>
          </cell>
          <cell r="Z285">
            <v>1.05</v>
          </cell>
          <cell r="AA285">
            <v>1.05</v>
          </cell>
          <cell r="AB285">
            <v>1.05</v>
          </cell>
          <cell r="AC285">
            <v>1.05</v>
          </cell>
          <cell r="AD285">
            <v>1.05</v>
          </cell>
          <cell r="AE285">
            <v>1.05</v>
          </cell>
          <cell r="AF285">
            <v>1.05</v>
          </cell>
          <cell r="AG285">
            <v>1.05</v>
          </cell>
          <cell r="AH285">
            <v>1.05</v>
          </cell>
        </row>
        <row r="286">
          <cell r="B286" t="str">
            <v/>
          </cell>
        </row>
        <row r="287">
          <cell r="B287" t="str">
            <v>e-hydrogen (compressed) - Feedstock cost - Africa - USD/ton fuel</v>
          </cell>
          <cell r="G287">
            <v>4571.8140450320188</v>
          </cell>
          <cell r="H287">
            <v>4147.8556835639229</v>
          </cell>
          <cell r="I287">
            <v>3721.2257878341748</v>
          </cell>
          <cell r="J287">
            <v>3582.7603655139337</v>
          </cell>
          <cell r="K287">
            <v>3439.1451833385127</v>
          </cell>
          <cell r="L287">
            <v>3290.483028149778</v>
          </cell>
          <cell r="M287">
            <v>3136.8766867896793</v>
          </cell>
          <cell r="N287">
            <v>2978.4289461000349</v>
          </cell>
          <cell r="O287">
            <v>2921.7563256389899</v>
          </cell>
          <cell r="P287">
            <v>2857.5071262788529</v>
          </cell>
          <cell r="Q287">
            <v>2785.7367116560763</v>
          </cell>
          <cell r="R287">
            <v>2706.500445407155</v>
          </cell>
          <cell r="S287">
            <v>2619.853691168667</v>
          </cell>
          <cell r="T287">
            <v>2559.134112764737</v>
          </cell>
          <cell r="U287">
            <v>2493.203364311601</v>
          </cell>
          <cell r="V287">
            <v>2422.0795111742987</v>
          </cell>
          <cell r="W287">
            <v>2345.7806187176438</v>
          </cell>
          <cell r="X287">
            <v>2264.3247523066229</v>
          </cell>
          <cell r="Y287">
            <v>2180.5948397844923</v>
          </cell>
          <cell r="Z287">
            <v>2094.4451344593949</v>
          </cell>
          <cell r="AA287">
            <v>2005.8650721929257</v>
          </cell>
          <cell r="AB287">
            <v>1914.844088846567</v>
          </cell>
          <cell r="AC287">
            <v>1821.3716202818705</v>
          </cell>
          <cell r="AD287">
            <v>1747.8207084088369</v>
          </cell>
          <cell r="AE287">
            <v>1673.0567776619685</v>
          </cell>
          <cell r="AF287">
            <v>1597.0731710889659</v>
          </cell>
          <cell r="AG287">
            <v>1519.8632317375509</v>
          </cell>
          <cell r="AH287">
            <v>1441.4203026554478</v>
          </cell>
        </row>
        <row r="288">
          <cell r="B288" t="str">
            <v>e-hydrogen (compressed) - Feedstock cost - Americas - USD/ton fuel</v>
          </cell>
          <cell r="G288">
            <v>3419.7532318615094</v>
          </cell>
          <cell r="H288">
            <v>3320.3976978064575</v>
          </cell>
          <cell r="I288">
            <v>3217.7199067028678</v>
          </cell>
          <cell r="J288">
            <v>3113.4145570196761</v>
          </cell>
          <cell r="K288">
            <v>3003.972559512416</v>
          </cell>
          <cell r="L288">
            <v>2889.4629775321455</v>
          </cell>
          <cell r="M288">
            <v>2769.9548744300391</v>
          </cell>
          <cell r="N288">
            <v>2645.5173135570167</v>
          </cell>
          <cell r="O288">
            <v>2614.3438016320752</v>
          </cell>
          <cell r="P288">
            <v>2575.3775779225925</v>
          </cell>
          <cell r="Q288">
            <v>2528.6507118550317</v>
          </cell>
          <cell r="R288">
            <v>2474.1952728558208</v>
          </cell>
          <cell r="S288">
            <v>2412.0433303515238</v>
          </cell>
          <cell r="T288">
            <v>2353.173138927395</v>
          </cell>
          <cell r="U288">
            <v>2289.140217035545</v>
          </cell>
          <cell r="V288">
            <v>2219.9625867208738</v>
          </cell>
          <cell r="W288">
            <v>2145.6582700280737</v>
          </cell>
          <cell r="X288">
            <v>2066.2452890019722</v>
          </cell>
          <cell r="Y288">
            <v>1999.9979428473175</v>
          </cell>
          <cell r="Z288">
            <v>1930.9153663702016</v>
          </cell>
          <cell r="AA288">
            <v>1858.9934305532511</v>
          </cell>
          <cell r="AB288">
            <v>1784.2280063789497</v>
          </cell>
          <cell r="AC288">
            <v>1706.6149648298883</v>
          </cell>
          <cell r="AD288">
            <v>1638.8348366898754</v>
          </cell>
          <cell r="AE288">
            <v>1569.7205263897122</v>
          </cell>
          <cell r="AF288">
            <v>1499.2680346814896</v>
          </cell>
          <cell r="AG288">
            <v>1427.4733623173049</v>
          </cell>
          <cell r="AH288">
            <v>1354.3325100492571</v>
          </cell>
        </row>
        <row r="289">
          <cell r="B289" t="str">
            <v>e-hydrogen (compressed) - Feedstock cost - Asia - USD/ton fuel</v>
          </cell>
          <cell r="G289">
            <v>4919.6092000998424</v>
          </cell>
          <cell r="H289">
            <v>4556.2127574878086</v>
          </cell>
          <cell r="I289">
            <v>4189.9088910653254</v>
          </cell>
          <cell r="J289">
            <v>4043.3271497517403</v>
          </cell>
          <cell r="K289">
            <v>3891.471000176216</v>
          </cell>
          <cell r="L289">
            <v>3734.4505204022607</v>
          </cell>
          <cell r="M289">
            <v>3572.3757884936485</v>
          </cell>
          <cell r="N289">
            <v>3405.3568825139291</v>
          </cell>
          <cell r="O289">
            <v>3329.0242744310799</v>
          </cell>
          <cell r="P289">
            <v>3245.2095361970569</v>
          </cell>
          <cell r="Q289">
            <v>3153.9848628533696</v>
          </cell>
          <cell r="R289">
            <v>3055.4224494414507</v>
          </cell>
          <cell r="S289">
            <v>2949.5944910029716</v>
          </cell>
          <cell r="T289">
            <v>2875.7981835549567</v>
          </cell>
          <cell r="U289">
            <v>2796.8948914419857</v>
          </cell>
          <cell r="V289">
            <v>2712.9100610848413</v>
          </cell>
          <cell r="W289">
            <v>2623.869138904005</v>
          </cell>
          <cell r="X289">
            <v>2529.7975713201986</v>
          </cell>
          <cell r="Y289">
            <v>2432.0041356799093</v>
          </cell>
          <cell r="Z289">
            <v>2332.104454536804</v>
          </cell>
          <cell r="AA289">
            <v>2230.0833804145991</v>
          </cell>
          <cell r="AB289">
            <v>2125.9257658368952</v>
          </cell>
          <cell r="AC289">
            <v>2019.6164633273684</v>
          </cell>
          <cell r="AD289">
            <v>1940.0442051158482</v>
          </cell>
          <cell r="AE289">
            <v>1859.3815897073273</v>
          </cell>
          <cell r="AF289">
            <v>1777.6196989494379</v>
          </cell>
          <cell r="AG289">
            <v>1694.7496146898043</v>
          </cell>
          <cell r="AH289">
            <v>1610.7624187760525</v>
          </cell>
        </row>
        <row r="290">
          <cell r="B290" t="str">
            <v>e-hydrogen (compressed) - Feedstock cost - Europe - USD/ton fuel</v>
          </cell>
          <cell r="G290">
            <v>4038.6228928616847</v>
          </cell>
          <cell r="H290">
            <v>3868.3507145137291</v>
          </cell>
          <cell r="I290">
            <v>3694.8237459344427</v>
          </cell>
          <cell r="J290">
            <v>3568.4463973029419</v>
          </cell>
          <cell r="K290">
            <v>3436.871084883941</v>
          </cell>
          <cell r="L290">
            <v>3300.1883482791136</v>
          </cell>
          <cell r="M290">
            <v>3158.4887270901409</v>
          </cell>
          <cell r="N290">
            <v>3011.8627609185983</v>
          </cell>
          <cell r="O290">
            <v>2974.0307709334747</v>
          </cell>
          <cell r="P290">
            <v>2928.3440277264485</v>
          </cell>
          <cell r="Q290">
            <v>2874.8388312160041</v>
          </cell>
          <cell r="R290">
            <v>2813.5514813206551</v>
          </cell>
          <cell r="S290">
            <v>2744.5182779590677</v>
          </cell>
          <cell r="T290">
            <v>2686.9425242590582</v>
          </cell>
          <cell r="U290">
            <v>2624.050617901336</v>
          </cell>
          <cell r="V290">
            <v>2555.857583732693</v>
          </cell>
          <cell r="W290">
            <v>2482.3784465996719</v>
          </cell>
          <cell r="X290">
            <v>2403.6282313489819</v>
          </cell>
          <cell r="Y290">
            <v>2321.3917367406975</v>
          </cell>
          <cell r="Z290">
            <v>2236.6695741645817</v>
          </cell>
          <cell r="AA290">
            <v>2149.4526024833108</v>
          </cell>
          <cell r="AB290">
            <v>2059.73168055939</v>
          </cell>
          <cell r="AC290">
            <v>1967.4976672554576</v>
          </cell>
          <cell r="AD290">
            <v>1889.1034647061108</v>
          </cell>
          <cell r="AE290">
            <v>1809.5955456101613</v>
          </cell>
          <cell r="AF290">
            <v>1728.965347273524</v>
          </cell>
          <cell r="AG290">
            <v>1647.204307002108</v>
          </cell>
          <cell r="AH290">
            <v>1564.3038621018211</v>
          </cell>
        </row>
        <row r="291">
          <cell r="B291" t="str">
            <v>e-hydrogen (compressed) - Feedstock cost - Middle East - USD/ton fuel</v>
          </cell>
          <cell r="G291">
            <v>3437.4371997057879</v>
          </cell>
          <cell r="H291">
            <v>3291.726359379827</v>
          </cell>
          <cell r="I291">
            <v>3142.8160617015587</v>
          </cell>
          <cell r="J291">
            <v>3049.3717502851341</v>
          </cell>
          <cell r="K291">
            <v>2950.7653007064864</v>
          </cell>
          <cell r="L291">
            <v>2847.05487804328</v>
          </cell>
          <cell r="M291">
            <v>2738.2986473732735</v>
          </cell>
          <cell r="N291">
            <v>2624.5547737740408</v>
          </cell>
          <cell r="O291">
            <v>2586.0154229344857</v>
          </cell>
          <cell r="P291">
            <v>2539.7954601443425</v>
          </cell>
          <cell r="Q291">
            <v>2485.9344601982857</v>
          </cell>
          <cell r="R291">
            <v>2424.4719978910048</v>
          </cell>
          <cell r="S291">
            <v>2355.4476480172916</v>
          </cell>
          <cell r="T291">
            <v>2302.9820209443847</v>
          </cell>
          <cell r="U291">
            <v>2245.2615202268162</v>
          </cell>
          <cell r="V291">
            <v>2182.2999017005955</v>
          </cell>
          <cell r="W291">
            <v>2114.1109212014953</v>
          </cell>
          <cell r="X291">
            <v>2040.7083345654555</v>
          </cell>
          <cell r="Y291">
            <v>1960.5833723344319</v>
          </cell>
          <cell r="Z291">
            <v>1877.9885039675351</v>
          </cell>
          <cell r="AA291">
            <v>1792.9134705705346</v>
          </cell>
          <cell r="AB291">
            <v>1705.3480132490897</v>
          </cell>
          <cell r="AC291">
            <v>1615.2818731089328</v>
          </cell>
          <cell r="AD291">
            <v>1544.8423939156899</v>
          </cell>
          <cell r="AE291">
            <v>1473.1314799005604</v>
          </cell>
          <cell r="AF291">
            <v>1400.1429666945739</v>
          </cell>
          <cell r="AG291">
            <v>1325.870689928772</v>
          </cell>
          <cell r="AH291">
            <v>1250.3084852341972</v>
          </cell>
        </row>
        <row r="292">
          <cell r="B292" t="str">
            <v>e-hydrogen - Cost - Africa - ton H2O/ton H2</v>
          </cell>
          <cell r="G292">
            <v>4571.8140450320188</v>
          </cell>
          <cell r="H292">
            <v>4147.8556835639229</v>
          </cell>
          <cell r="I292">
            <v>3721.2257878341748</v>
          </cell>
          <cell r="J292">
            <v>3582.7603655139337</v>
          </cell>
          <cell r="K292">
            <v>3439.1451833385127</v>
          </cell>
          <cell r="L292">
            <v>3290.483028149778</v>
          </cell>
          <cell r="M292">
            <v>3136.8766867896793</v>
          </cell>
          <cell r="N292">
            <v>2978.4289461000349</v>
          </cell>
          <cell r="O292">
            <v>2921.7563256389899</v>
          </cell>
          <cell r="P292">
            <v>2857.5071262788529</v>
          </cell>
          <cell r="Q292">
            <v>2785.7367116560763</v>
          </cell>
          <cell r="R292">
            <v>2706.500445407155</v>
          </cell>
          <cell r="S292">
            <v>2619.853691168667</v>
          </cell>
          <cell r="T292">
            <v>2559.134112764737</v>
          </cell>
          <cell r="U292">
            <v>2493.203364311601</v>
          </cell>
          <cell r="V292">
            <v>2422.0795111742987</v>
          </cell>
          <cell r="W292">
            <v>2345.7806187176438</v>
          </cell>
          <cell r="X292">
            <v>2264.3247523066229</v>
          </cell>
          <cell r="Y292">
            <v>2180.5948397844923</v>
          </cell>
          <cell r="Z292">
            <v>2094.4451344593949</v>
          </cell>
          <cell r="AA292">
            <v>2005.8650721929257</v>
          </cell>
          <cell r="AB292">
            <v>1914.844088846567</v>
          </cell>
          <cell r="AC292">
            <v>1821.3716202818705</v>
          </cell>
          <cell r="AD292">
            <v>1747.8207084088369</v>
          </cell>
          <cell r="AE292">
            <v>1673.0567776619685</v>
          </cell>
          <cell r="AF292">
            <v>1597.0731710889659</v>
          </cell>
          <cell r="AG292">
            <v>1519.8632317375509</v>
          </cell>
          <cell r="AH292">
            <v>1441.4203026554478</v>
          </cell>
        </row>
        <row r="293">
          <cell r="B293" t="str">
            <v>e-hydrogen - Cost - Americas - ton H2O/ton H2</v>
          </cell>
          <cell r="G293">
            <v>3419.7532318615094</v>
          </cell>
          <cell r="H293">
            <v>3320.3976978064575</v>
          </cell>
          <cell r="I293">
            <v>3217.7199067028678</v>
          </cell>
          <cell r="J293">
            <v>3113.4145570196761</v>
          </cell>
          <cell r="K293">
            <v>3003.972559512416</v>
          </cell>
          <cell r="L293">
            <v>2889.4629775321455</v>
          </cell>
          <cell r="M293">
            <v>2769.9548744300391</v>
          </cell>
          <cell r="N293">
            <v>2645.5173135570167</v>
          </cell>
          <cell r="O293">
            <v>2614.3438016320752</v>
          </cell>
          <cell r="P293">
            <v>2575.3775779225925</v>
          </cell>
          <cell r="Q293">
            <v>2528.6507118550317</v>
          </cell>
          <cell r="R293">
            <v>2474.1952728558208</v>
          </cell>
          <cell r="S293">
            <v>2412.0433303515238</v>
          </cell>
          <cell r="T293">
            <v>2353.173138927395</v>
          </cell>
          <cell r="U293">
            <v>2289.140217035545</v>
          </cell>
          <cell r="V293">
            <v>2219.9625867208738</v>
          </cell>
          <cell r="W293">
            <v>2145.6582700280737</v>
          </cell>
          <cell r="X293">
            <v>2066.2452890019722</v>
          </cell>
          <cell r="Y293">
            <v>1999.9979428473175</v>
          </cell>
          <cell r="Z293">
            <v>1930.9153663702016</v>
          </cell>
          <cell r="AA293">
            <v>1858.9934305532511</v>
          </cell>
          <cell r="AB293">
            <v>1784.2280063789497</v>
          </cell>
          <cell r="AC293">
            <v>1706.6149648298883</v>
          </cell>
          <cell r="AD293">
            <v>1638.8348366898754</v>
          </cell>
          <cell r="AE293">
            <v>1569.7205263897122</v>
          </cell>
          <cell r="AF293">
            <v>1499.2680346814896</v>
          </cell>
          <cell r="AG293">
            <v>1427.4733623173049</v>
          </cell>
          <cell r="AH293">
            <v>1354.3325100492571</v>
          </cell>
        </row>
        <row r="294">
          <cell r="B294" t="str">
            <v>e-hydrogen - Cost - Asia - ton H2O/ton H2</v>
          </cell>
          <cell r="G294">
            <v>4919.6092000998424</v>
          </cell>
          <cell r="H294">
            <v>4556.2127574878086</v>
          </cell>
          <cell r="I294">
            <v>4189.9088910653254</v>
          </cell>
          <cell r="J294">
            <v>4043.3271497517403</v>
          </cell>
          <cell r="K294">
            <v>3891.471000176216</v>
          </cell>
          <cell r="L294">
            <v>3734.4505204022607</v>
          </cell>
          <cell r="M294">
            <v>3572.3757884936485</v>
          </cell>
          <cell r="N294">
            <v>3405.3568825139291</v>
          </cell>
          <cell r="O294">
            <v>3329.0242744310799</v>
          </cell>
          <cell r="P294">
            <v>3245.2095361970569</v>
          </cell>
          <cell r="Q294">
            <v>3153.9848628533696</v>
          </cell>
          <cell r="R294">
            <v>3055.4224494414507</v>
          </cell>
          <cell r="S294">
            <v>2949.5944910029716</v>
          </cell>
          <cell r="T294">
            <v>2875.7981835549567</v>
          </cell>
          <cell r="U294">
            <v>2796.8948914419857</v>
          </cell>
          <cell r="V294">
            <v>2712.9100610848413</v>
          </cell>
          <cell r="W294">
            <v>2623.869138904005</v>
          </cell>
          <cell r="X294">
            <v>2529.7975713201986</v>
          </cell>
          <cell r="Y294">
            <v>2432.0041356799093</v>
          </cell>
          <cell r="Z294">
            <v>2332.104454536804</v>
          </cell>
          <cell r="AA294">
            <v>2230.0833804145991</v>
          </cell>
          <cell r="AB294">
            <v>2125.9257658368952</v>
          </cell>
          <cell r="AC294">
            <v>2019.6164633273684</v>
          </cell>
          <cell r="AD294">
            <v>1940.0442051158482</v>
          </cell>
          <cell r="AE294">
            <v>1859.3815897073273</v>
          </cell>
          <cell r="AF294">
            <v>1777.6196989494379</v>
          </cell>
          <cell r="AG294">
            <v>1694.7496146898043</v>
          </cell>
          <cell r="AH294">
            <v>1610.7624187760525</v>
          </cell>
        </row>
        <row r="295">
          <cell r="B295" t="str">
            <v>e-hydrogen - Cost - Europe - ton H2O/ton H2</v>
          </cell>
          <cell r="G295">
            <v>4038.6228928616847</v>
          </cell>
          <cell r="H295">
            <v>3868.3507145137291</v>
          </cell>
          <cell r="I295">
            <v>3694.8237459344427</v>
          </cell>
          <cell r="J295">
            <v>3568.4463973029419</v>
          </cell>
          <cell r="K295">
            <v>3436.871084883941</v>
          </cell>
          <cell r="L295">
            <v>3300.1883482791136</v>
          </cell>
          <cell r="M295">
            <v>3158.4887270901409</v>
          </cell>
          <cell r="N295">
            <v>3011.8627609185983</v>
          </cell>
          <cell r="O295">
            <v>2974.0307709334747</v>
          </cell>
          <cell r="P295">
            <v>2928.3440277264485</v>
          </cell>
          <cell r="Q295">
            <v>2874.8388312160041</v>
          </cell>
          <cell r="R295">
            <v>2813.5514813206551</v>
          </cell>
          <cell r="S295">
            <v>2744.5182779590677</v>
          </cell>
          <cell r="T295">
            <v>2686.9425242590582</v>
          </cell>
          <cell r="U295">
            <v>2624.050617901336</v>
          </cell>
          <cell r="V295">
            <v>2555.857583732693</v>
          </cell>
          <cell r="W295">
            <v>2482.3784465996719</v>
          </cell>
          <cell r="X295">
            <v>2403.6282313489819</v>
          </cell>
          <cell r="Y295">
            <v>2321.3917367406975</v>
          </cell>
          <cell r="Z295">
            <v>2236.6695741645817</v>
          </cell>
          <cell r="AA295">
            <v>2149.4526024833108</v>
          </cell>
          <cell r="AB295">
            <v>2059.73168055939</v>
          </cell>
          <cell r="AC295">
            <v>1967.4976672554576</v>
          </cell>
          <cell r="AD295">
            <v>1889.1034647061108</v>
          </cell>
          <cell r="AE295">
            <v>1809.5955456101613</v>
          </cell>
          <cell r="AF295">
            <v>1728.965347273524</v>
          </cell>
          <cell r="AG295">
            <v>1647.204307002108</v>
          </cell>
          <cell r="AH295">
            <v>1564.3038621018211</v>
          </cell>
        </row>
        <row r="296">
          <cell r="B296" t="str">
            <v>e-hydrogen - Cost - Middle East - ton H2O/ton H2</v>
          </cell>
          <cell r="G296">
            <v>3437.4371997057879</v>
          </cell>
          <cell r="H296">
            <v>3291.726359379827</v>
          </cell>
          <cell r="I296">
            <v>3142.8160617015587</v>
          </cell>
          <cell r="J296">
            <v>3049.3717502851341</v>
          </cell>
          <cell r="K296">
            <v>2950.7653007064864</v>
          </cell>
          <cell r="L296">
            <v>2847.05487804328</v>
          </cell>
          <cell r="M296">
            <v>2738.2986473732735</v>
          </cell>
          <cell r="N296">
            <v>2624.5547737740408</v>
          </cell>
          <cell r="O296">
            <v>2586.0154229344857</v>
          </cell>
          <cell r="P296">
            <v>2539.7954601443425</v>
          </cell>
          <cell r="Q296">
            <v>2485.9344601982857</v>
          </cell>
          <cell r="R296">
            <v>2424.4719978910048</v>
          </cell>
          <cell r="S296">
            <v>2355.4476480172916</v>
          </cell>
          <cell r="T296">
            <v>2302.9820209443847</v>
          </cell>
          <cell r="U296">
            <v>2245.2615202268162</v>
          </cell>
          <cell r="V296">
            <v>2182.2999017005955</v>
          </cell>
          <cell r="W296">
            <v>2114.1109212014953</v>
          </cell>
          <cell r="X296">
            <v>2040.7083345654555</v>
          </cell>
          <cell r="Y296">
            <v>1960.5833723344319</v>
          </cell>
          <cell r="Z296">
            <v>1877.9885039675351</v>
          </cell>
          <cell r="AA296">
            <v>1792.9134705705346</v>
          </cell>
          <cell r="AB296">
            <v>1705.3480132490897</v>
          </cell>
          <cell r="AC296">
            <v>1615.2818731089328</v>
          </cell>
          <cell r="AD296">
            <v>1544.8423939156899</v>
          </cell>
          <cell r="AE296">
            <v>1473.1314799005604</v>
          </cell>
          <cell r="AF296">
            <v>1400.1429666945739</v>
          </cell>
          <cell r="AG296">
            <v>1325.870689928772</v>
          </cell>
          <cell r="AH296">
            <v>1250.3084852341972</v>
          </cell>
        </row>
        <row r="297">
          <cell r="B297" t="str">
            <v/>
          </cell>
        </row>
        <row r="298">
          <cell r="B298" t="str">
            <v>e-ammonia - Item - Region - Unit</v>
          </cell>
          <cell r="G298">
            <v>2023</v>
          </cell>
          <cell r="H298">
            <v>2024</v>
          </cell>
          <cell r="I298">
            <v>2025</v>
          </cell>
          <cell r="J298">
            <v>2026</v>
          </cell>
          <cell r="K298">
            <v>2027</v>
          </cell>
          <cell r="L298">
            <v>2028</v>
          </cell>
          <cell r="M298">
            <v>2029</v>
          </cell>
          <cell r="N298">
            <v>2030</v>
          </cell>
          <cell r="O298">
            <v>2031</v>
          </cell>
          <cell r="P298">
            <v>2032</v>
          </cell>
          <cell r="Q298">
            <v>2033</v>
          </cell>
          <cell r="R298">
            <v>2034</v>
          </cell>
          <cell r="S298">
            <v>2035</v>
          </cell>
          <cell r="T298">
            <v>2036</v>
          </cell>
          <cell r="U298">
            <v>2037</v>
          </cell>
          <cell r="V298">
            <v>2038</v>
          </cell>
          <cell r="W298">
            <v>2039</v>
          </cell>
          <cell r="X298">
            <v>2040</v>
          </cell>
          <cell r="Y298">
            <v>2041</v>
          </cell>
          <cell r="Z298">
            <v>2042</v>
          </cell>
          <cell r="AA298">
            <v>2043</v>
          </cell>
          <cell r="AB298">
            <v>2044</v>
          </cell>
          <cell r="AC298">
            <v>2045</v>
          </cell>
          <cell r="AD298">
            <v>2046</v>
          </cell>
          <cell r="AE298">
            <v>2047</v>
          </cell>
          <cell r="AF298">
            <v>2048</v>
          </cell>
          <cell r="AG298">
            <v>2049</v>
          </cell>
          <cell r="AH298">
            <v>2050</v>
          </cell>
        </row>
        <row r="299">
          <cell r="B299" t="str">
            <v>e-ammonia - Total cost - Africa - USD/ton fuel</v>
          </cell>
          <cell r="G299">
            <v>1180.8880060335732</v>
          </cell>
          <cell r="H299">
            <v>1068.0836080530823</v>
          </cell>
          <cell r="I299">
            <v>954.798333905493</v>
          </cell>
          <cell r="J299">
            <v>896.09627391291804</v>
          </cell>
          <cell r="K299">
            <v>836.47982625552982</v>
          </cell>
          <cell r="L299">
            <v>775.96749256486407</v>
          </cell>
          <cell r="M299">
            <v>714.57777447247167</v>
          </cell>
          <cell r="N299">
            <v>652.3291736098804</v>
          </cell>
          <cell r="O299">
            <v>640.36358493487569</v>
          </cell>
          <cell r="P299">
            <v>627.03421205803454</v>
          </cell>
          <cell r="Q299">
            <v>612.35102043391794</v>
          </cell>
          <cell r="R299">
            <v>596.32397551709539</v>
          </cell>
          <cell r="S299">
            <v>578.96304276215108</v>
          </cell>
          <cell r="T299">
            <v>566.60976604450286</v>
          </cell>
          <cell r="U299">
            <v>553.31847871799755</v>
          </cell>
          <cell r="V299">
            <v>539.09243254834212</v>
          </cell>
          <cell r="W299">
            <v>523.93487930120341</v>
          </cell>
          <cell r="X299">
            <v>507.8490707422788</v>
          </cell>
          <cell r="Y299">
            <v>491.34536722709083</v>
          </cell>
          <cell r="Z299">
            <v>474.40610100736876</v>
          </cell>
          <cell r="AA299">
            <v>457.02937053819971</v>
          </cell>
          <cell r="AB299">
            <v>439.21327427465064</v>
          </cell>
          <cell r="AC299">
            <v>420.95591067180072</v>
          </cell>
          <cell r="AD299">
            <v>406.44307763457181</v>
          </cell>
          <cell r="AE299">
            <v>391.71190120005269</v>
          </cell>
          <cell r="AF299">
            <v>376.76118311682933</v>
          </cell>
          <cell r="AG299">
            <v>361.58972513349175</v>
          </cell>
          <cell r="AH299">
            <v>346.19632899863041</v>
          </cell>
        </row>
        <row r="300">
          <cell r="B300" t="str">
            <v>e-ammonia - Total cost - Americas - USD/ton fuel</v>
          </cell>
          <cell r="G300">
            <v>960.06490620020099</v>
          </cell>
          <cell r="H300">
            <v>909.46803925498773</v>
          </cell>
          <cell r="I300">
            <v>858.27316604103771</v>
          </cell>
          <cell r="J300">
            <v>806.13782553740305</v>
          </cell>
          <cell r="K300">
            <v>753.08633371648523</v>
          </cell>
          <cell r="L300">
            <v>699.13112198147462</v>
          </cell>
          <cell r="M300">
            <v>644.28462173558285</v>
          </cell>
          <cell r="N300">
            <v>588.55926438197514</v>
          </cell>
          <cell r="O300">
            <v>581.45438605100912</v>
          </cell>
          <cell r="P300">
            <v>572.94681959882564</v>
          </cell>
          <cell r="Q300">
            <v>563.04233752218818</v>
          </cell>
          <cell r="R300">
            <v>551.74671231785373</v>
          </cell>
          <cell r="S300">
            <v>539.06571648260365</v>
          </cell>
          <cell r="T300">
            <v>527.04605604734718</v>
          </cell>
          <cell r="U300">
            <v>514.09710412790082</v>
          </cell>
          <cell r="V300">
            <v>500.2221046923467</v>
          </cell>
          <cell r="W300">
            <v>485.42430170872939</v>
          </cell>
          <cell r="X300">
            <v>469.70693914511781</v>
          </cell>
          <cell r="Y300">
            <v>456.53989842311819</v>
          </cell>
          <cell r="Z300">
            <v>442.86251624307562</v>
          </cell>
          <cell r="AA300">
            <v>428.6740493818628</v>
          </cell>
          <cell r="AB300">
            <v>413.9737546163268</v>
          </cell>
          <cell r="AC300">
            <v>398.76088872333401</v>
          </cell>
          <cell r="AD300">
            <v>385.34785369204081</v>
          </cell>
          <cell r="AE300">
            <v>371.69466587192062</v>
          </cell>
          <cell r="AF300">
            <v>357.80060539834983</v>
          </cell>
          <cell r="AG300">
            <v>343.66495240670577</v>
          </cell>
          <cell r="AH300">
            <v>329.28698703236637</v>
          </cell>
        </row>
        <row r="301">
          <cell r="B301" t="str">
            <v>e-ammonia - Total cost - Asia - USD/ton fuel</v>
          </cell>
          <cell r="G301">
            <v>1247.552198905255</v>
          </cell>
          <cell r="H301">
            <v>1146.3616483500407</v>
          </cell>
          <cell r="I301">
            <v>1044.647761508947</v>
          </cell>
          <cell r="J301">
            <v>984.37206658752257</v>
          </cell>
          <cell r="K301">
            <v>923.16043888236254</v>
          </cell>
          <cell r="L301">
            <v>861.03269244489718</v>
          </cell>
          <cell r="M301">
            <v>798.00864132660649</v>
          </cell>
          <cell r="N301">
            <v>734.1080995789298</v>
          </cell>
          <cell r="O301">
            <v>718.40799341147351</v>
          </cell>
          <cell r="P301">
            <v>701.36110381680624</v>
          </cell>
          <cell r="Q301">
            <v>682.98042590239959</v>
          </cell>
          <cell r="R301">
            <v>663.27895477571087</v>
          </cell>
          <cell r="S301">
            <v>642.26968554424161</v>
          </cell>
          <cell r="T301">
            <v>627.43879219368648</v>
          </cell>
          <cell r="U301">
            <v>611.68864160343935</v>
          </cell>
          <cell r="V301">
            <v>595.02381412924115</v>
          </cell>
          <cell r="W301">
            <v>577.44889012677822</v>
          </cell>
          <cell r="X301">
            <v>558.96844995178094</v>
          </cell>
          <cell r="Y301">
            <v>539.79812889530876</v>
          </cell>
          <cell r="Z301">
            <v>520.24868364832992</v>
          </cell>
          <cell r="AA301">
            <v>500.31738766511285</v>
          </cell>
          <cell r="AB301">
            <v>480.00151439990617</v>
          </cell>
          <cell r="AC301">
            <v>459.29833730697129</v>
          </cell>
          <cell r="AD301">
            <v>443.64971411041938</v>
          </cell>
          <cell r="AE301">
            <v>427.80482661840745</v>
          </cell>
          <cell r="AF301">
            <v>411.76206956350904</v>
          </cell>
          <cell r="AG301">
            <v>395.51983767829688</v>
          </cell>
          <cell r="AH301">
            <v>379.07652569534326</v>
          </cell>
        </row>
        <row r="302">
          <cell r="B302" t="str">
            <v>e-ammonia - Total cost - Europe - USD/ton fuel</v>
          </cell>
          <cell r="G302">
            <v>1078.6877387560555</v>
          </cell>
          <cell r="H302">
            <v>1014.5052507094081</v>
          </cell>
          <cell r="I302">
            <v>949.73690042112139</v>
          </cell>
          <cell r="J302">
            <v>893.35274803700088</v>
          </cell>
          <cell r="K302">
            <v>836.04403364790448</v>
          </cell>
          <cell r="L302">
            <v>777.82705438213372</v>
          </cell>
          <cell r="M302">
            <v>718.7181073679908</v>
          </cell>
          <cell r="N302">
            <v>658.73348973376005</v>
          </cell>
          <cell r="O302">
            <v>650.38089214883723</v>
          </cell>
          <cell r="P302">
            <v>640.61443898397238</v>
          </cell>
          <cell r="Q302">
            <v>629.44066422449202</v>
          </cell>
          <cell r="R302">
            <v>616.86610185572897</v>
          </cell>
          <cell r="S302">
            <v>602.89728586304318</v>
          </cell>
          <cell r="T302">
            <v>591.16089742316831</v>
          </cell>
          <cell r="U302">
            <v>578.46760150490513</v>
          </cell>
          <cell r="V302">
            <v>564.82010258067635</v>
          </cell>
          <cell r="W302">
            <v>550.2211051228594</v>
          </cell>
          <cell r="X302">
            <v>534.67331360386208</v>
          </cell>
          <cell r="Y302">
            <v>518.48039605546603</v>
          </cell>
          <cell r="Z302">
            <v>501.84005827286035</v>
          </cell>
          <cell r="AA302">
            <v>484.75065485132671</v>
          </cell>
          <cell r="AB302">
            <v>467.21054038611607</v>
          </cell>
          <cell r="AC302">
            <v>449.21806947250349</v>
          </cell>
          <cell r="AD302">
            <v>433.78966243773289</v>
          </cell>
          <cell r="AE302">
            <v>418.16078642457376</v>
          </cell>
          <cell r="AF302">
            <v>402.32990014809093</v>
          </cell>
          <cell r="AG302">
            <v>386.29546232334798</v>
          </cell>
          <cell r="AH302">
            <v>370.05593166540814</v>
          </cell>
        </row>
        <row r="303">
          <cell r="B303" t="str">
            <v>e-ammonia - Total cost - Middle East - USD/ton fuel</v>
          </cell>
          <cell r="G303">
            <v>963.4545090337358</v>
          </cell>
          <cell r="H303">
            <v>903.97202528084063</v>
          </cell>
          <cell r="I303">
            <v>843.91363920452977</v>
          </cell>
          <cell r="J303">
            <v>793.86288578256585</v>
          </cell>
          <cell r="K303">
            <v>742.89006010615708</v>
          </cell>
          <cell r="L303">
            <v>691.00563188928311</v>
          </cell>
          <cell r="M303">
            <v>638.22007084594054</v>
          </cell>
          <cell r="N303">
            <v>584.54384669009255</v>
          </cell>
          <cell r="O303">
            <v>576.02584308534836</v>
          </cell>
          <cell r="P303">
            <v>566.12532932949819</v>
          </cell>
          <cell r="Q303">
            <v>554.84942888558351</v>
          </cell>
          <cell r="R303">
            <v>542.20526521664863</v>
          </cell>
          <cell r="S303">
            <v>528.19996178575593</v>
          </cell>
          <cell r="T303">
            <v>517.40468176504692</v>
          </cell>
          <cell r="U303">
            <v>505.66352448829889</v>
          </cell>
          <cell r="V303">
            <v>492.97896600599358</v>
          </cell>
          <cell r="W303">
            <v>479.35348236856987</v>
          </cell>
          <cell r="X303">
            <v>464.78954962649698</v>
          </cell>
          <cell r="Y303">
            <v>448.94374019629407</v>
          </cell>
          <cell r="Z303">
            <v>432.65334766163414</v>
          </cell>
          <cell r="AA303">
            <v>415.91652542155543</v>
          </cell>
          <cell r="AB303">
            <v>398.73142687507681</v>
          </cell>
          <cell r="AC303">
            <v>381.09620542122997</v>
          </cell>
          <cell r="AD303">
            <v>367.15474665941622</v>
          </cell>
          <cell r="AE303">
            <v>352.98442962966283</v>
          </cell>
          <cell r="AF303">
            <v>338.58414474555519</v>
          </cell>
          <cell r="AG303">
            <v>323.95278242068076</v>
          </cell>
          <cell r="AH303">
            <v>309.08923306862732</v>
          </cell>
        </row>
        <row r="304">
          <cell r="B304" t="str">
            <v/>
          </cell>
        </row>
        <row r="305">
          <cell r="B305" t="str">
            <v>e-ammonia - CAPEX - Global - USD/ton fuel</v>
          </cell>
          <cell r="G305">
            <v>73</v>
          </cell>
          <cell r="H305">
            <v>65.666666666666671</v>
          </cell>
          <cell r="I305">
            <v>58.333333333333336</v>
          </cell>
          <cell r="J305">
            <v>51</v>
          </cell>
          <cell r="K305">
            <v>43.666666666666664</v>
          </cell>
          <cell r="L305">
            <v>36.333333333333336</v>
          </cell>
          <cell r="M305">
            <v>29</v>
          </cell>
          <cell r="N305">
            <v>21.666666666666668</v>
          </cell>
          <cell r="O305">
            <v>21.416666666666668</v>
          </cell>
          <cell r="P305">
            <v>21.166666666666668</v>
          </cell>
          <cell r="Q305">
            <v>20.916666666666668</v>
          </cell>
          <cell r="R305">
            <v>20.666666666666668</v>
          </cell>
          <cell r="S305">
            <v>20.416666666666668</v>
          </cell>
          <cell r="T305">
            <v>20.166666666666668</v>
          </cell>
          <cell r="U305">
            <v>19.916666666666668</v>
          </cell>
          <cell r="V305">
            <v>19.666666666666668</v>
          </cell>
          <cell r="W305">
            <v>19.416666666666668</v>
          </cell>
          <cell r="X305">
            <v>19.166666666666668</v>
          </cell>
          <cell r="Y305">
            <v>18.916666666666668</v>
          </cell>
          <cell r="Z305">
            <v>18.666666666666668</v>
          </cell>
          <cell r="AA305">
            <v>18.416666666666668</v>
          </cell>
          <cell r="AB305">
            <v>18.166666666666668</v>
          </cell>
          <cell r="AC305">
            <v>17.916666666666668</v>
          </cell>
          <cell r="AD305">
            <v>17.666666666666668</v>
          </cell>
          <cell r="AE305">
            <v>17.416666666666668</v>
          </cell>
          <cell r="AF305">
            <v>17.166666666666668</v>
          </cell>
          <cell r="AG305">
            <v>16.916666666666668</v>
          </cell>
          <cell r="AH305">
            <v>16.666666666666668</v>
          </cell>
        </row>
        <row r="306">
          <cell r="B306" t="str">
            <v>e-ammonia - Plant lifetime - Global - Years</v>
          </cell>
          <cell r="G306">
            <v>30</v>
          </cell>
          <cell r="H306">
            <v>30</v>
          </cell>
          <cell r="I306">
            <v>30</v>
          </cell>
          <cell r="J306">
            <v>30</v>
          </cell>
          <cell r="K306">
            <v>30</v>
          </cell>
          <cell r="L306">
            <v>30</v>
          </cell>
          <cell r="M306">
            <v>30</v>
          </cell>
          <cell r="N306">
            <v>30</v>
          </cell>
          <cell r="O306">
            <v>30</v>
          </cell>
          <cell r="P306">
            <v>30</v>
          </cell>
          <cell r="Q306">
            <v>30</v>
          </cell>
          <cell r="R306">
            <v>30</v>
          </cell>
          <cell r="S306">
            <v>30</v>
          </cell>
          <cell r="T306">
            <v>30</v>
          </cell>
          <cell r="U306">
            <v>30</v>
          </cell>
          <cell r="V306">
            <v>30</v>
          </cell>
          <cell r="W306">
            <v>30</v>
          </cell>
          <cell r="X306">
            <v>30</v>
          </cell>
          <cell r="Y306">
            <v>30</v>
          </cell>
          <cell r="Z306">
            <v>30</v>
          </cell>
          <cell r="AA306">
            <v>30</v>
          </cell>
          <cell r="AB306">
            <v>30</v>
          </cell>
          <cell r="AC306">
            <v>30</v>
          </cell>
          <cell r="AD306">
            <v>30</v>
          </cell>
          <cell r="AE306">
            <v>30</v>
          </cell>
          <cell r="AF306">
            <v>30</v>
          </cell>
          <cell r="AG306">
            <v>30</v>
          </cell>
          <cell r="AH306">
            <v>30</v>
          </cell>
        </row>
        <row r="307">
          <cell r="B307" t="str">
            <v>e-ammonia - Total CAPEX - Global - USD/ton fuel</v>
          </cell>
          <cell r="G307">
            <v>2190</v>
          </cell>
          <cell r="H307">
            <v>1970</v>
          </cell>
          <cell r="I307">
            <v>1750</v>
          </cell>
          <cell r="J307">
            <v>1530</v>
          </cell>
          <cell r="K307">
            <v>1310</v>
          </cell>
          <cell r="L307">
            <v>1090</v>
          </cell>
          <cell r="M307">
            <v>870</v>
          </cell>
          <cell r="N307">
            <v>650</v>
          </cell>
          <cell r="O307">
            <v>642.5</v>
          </cell>
          <cell r="P307">
            <v>635</v>
          </cell>
          <cell r="Q307">
            <v>627.5</v>
          </cell>
          <cell r="R307">
            <v>620</v>
          </cell>
          <cell r="S307">
            <v>612.5</v>
          </cell>
          <cell r="T307">
            <v>605</v>
          </cell>
          <cell r="U307">
            <v>597.5</v>
          </cell>
          <cell r="V307">
            <v>590</v>
          </cell>
          <cell r="W307">
            <v>582.5</v>
          </cell>
          <cell r="X307">
            <v>575</v>
          </cell>
          <cell r="Y307">
            <v>567.5</v>
          </cell>
          <cell r="Z307">
            <v>560</v>
          </cell>
          <cell r="AA307">
            <v>552.5</v>
          </cell>
          <cell r="AB307">
            <v>545</v>
          </cell>
          <cell r="AC307">
            <v>537.5</v>
          </cell>
          <cell r="AD307">
            <v>530</v>
          </cell>
          <cell r="AE307">
            <v>522.5</v>
          </cell>
          <cell r="AF307">
            <v>515</v>
          </cell>
          <cell r="AG307">
            <v>507.5</v>
          </cell>
          <cell r="AH307">
            <v>500</v>
          </cell>
        </row>
        <row r="308">
          <cell r="B308" t="str">
            <v/>
          </cell>
        </row>
        <row r="309">
          <cell r="B309" t="str">
            <v>e-ammonia - OPEX - Global - USD/ton fuel</v>
          </cell>
          <cell r="G309">
            <v>87.600000000000009</v>
          </cell>
          <cell r="H309">
            <v>78.8</v>
          </cell>
          <cell r="I309">
            <v>70</v>
          </cell>
          <cell r="J309">
            <v>61.2</v>
          </cell>
          <cell r="K309">
            <v>52.4</v>
          </cell>
          <cell r="L309">
            <v>43.6</v>
          </cell>
          <cell r="M309">
            <v>34.800000000000004</v>
          </cell>
          <cell r="N309">
            <v>26</v>
          </cell>
          <cell r="O309">
            <v>25.7</v>
          </cell>
          <cell r="P309">
            <v>25.400000000000002</v>
          </cell>
          <cell r="Q309">
            <v>25.1</v>
          </cell>
          <cell r="R309">
            <v>24.8</v>
          </cell>
          <cell r="S309">
            <v>24.5</v>
          </cell>
          <cell r="T309">
            <v>24.2</v>
          </cell>
          <cell r="U309">
            <v>23.900000000000002</v>
          </cell>
          <cell r="V309">
            <v>23.6</v>
          </cell>
          <cell r="W309">
            <v>23.3</v>
          </cell>
          <cell r="X309">
            <v>23</v>
          </cell>
          <cell r="Y309">
            <v>22.7</v>
          </cell>
          <cell r="Z309">
            <v>22.400000000000002</v>
          </cell>
          <cell r="AA309">
            <v>22.1</v>
          </cell>
          <cell r="AB309">
            <v>21.8</v>
          </cell>
          <cell r="AC309">
            <v>21.5</v>
          </cell>
          <cell r="AD309">
            <v>21.2</v>
          </cell>
          <cell r="AE309">
            <v>20.900000000000002</v>
          </cell>
          <cell r="AF309">
            <v>20.6</v>
          </cell>
          <cell r="AG309">
            <v>20.3</v>
          </cell>
          <cell r="AH309">
            <v>20</v>
          </cell>
        </row>
        <row r="310">
          <cell r="B310" t="str">
            <v>e-ammonia - OPEX - Global - USD/ton fuel/year</v>
          </cell>
          <cell r="G310">
            <v>87.600000000000009</v>
          </cell>
          <cell r="H310">
            <v>78.8</v>
          </cell>
          <cell r="I310">
            <v>70</v>
          </cell>
          <cell r="J310">
            <v>61.2</v>
          </cell>
          <cell r="K310">
            <v>52.4</v>
          </cell>
          <cell r="L310">
            <v>43.6</v>
          </cell>
          <cell r="M310">
            <v>34.800000000000004</v>
          </cell>
          <cell r="N310">
            <v>26</v>
          </cell>
          <cell r="O310">
            <v>25.7</v>
          </cell>
          <cell r="P310">
            <v>25.400000000000002</v>
          </cell>
          <cell r="Q310">
            <v>25.1</v>
          </cell>
          <cell r="R310">
            <v>24.8</v>
          </cell>
          <cell r="S310">
            <v>24.5</v>
          </cell>
          <cell r="T310">
            <v>24.2</v>
          </cell>
          <cell r="U310">
            <v>23.900000000000002</v>
          </cell>
          <cell r="V310">
            <v>23.6</v>
          </cell>
          <cell r="W310">
            <v>23.3</v>
          </cell>
          <cell r="X310">
            <v>23</v>
          </cell>
          <cell r="Y310">
            <v>22.7</v>
          </cell>
          <cell r="Z310">
            <v>22.400000000000002</v>
          </cell>
          <cell r="AA310">
            <v>22.1</v>
          </cell>
          <cell r="AB310">
            <v>21.8</v>
          </cell>
          <cell r="AC310">
            <v>21.5</v>
          </cell>
          <cell r="AD310">
            <v>21.2</v>
          </cell>
          <cell r="AE310">
            <v>20.900000000000002</v>
          </cell>
          <cell r="AF310">
            <v>20.6</v>
          </cell>
          <cell r="AG310">
            <v>20.3</v>
          </cell>
          <cell r="AH310">
            <v>20</v>
          </cell>
        </row>
        <row r="311">
          <cell r="B311" t="str">
            <v/>
          </cell>
        </row>
        <row r="312">
          <cell r="B312" t="str">
            <v>e-ammonia - Finance cost - Africa - USD/ton fuel</v>
          </cell>
          <cell r="G312">
            <v>120.45000000000002</v>
          </cell>
          <cell r="H312">
            <v>108.35000000000001</v>
          </cell>
          <cell r="I312">
            <v>96.250000000000014</v>
          </cell>
          <cell r="J312">
            <v>84.15</v>
          </cell>
          <cell r="K312">
            <v>72.050000000000011</v>
          </cell>
          <cell r="L312">
            <v>59.95000000000001</v>
          </cell>
          <cell r="M312">
            <v>47.850000000000009</v>
          </cell>
          <cell r="N312">
            <v>35.750000000000007</v>
          </cell>
          <cell r="O312">
            <v>35.337500000000006</v>
          </cell>
          <cell r="P312">
            <v>34.925000000000004</v>
          </cell>
          <cell r="Q312">
            <v>34.512500000000003</v>
          </cell>
          <cell r="R312">
            <v>34.1</v>
          </cell>
          <cell r="S312">
            <v>33.687500000000007</v>
          </cell>
          <cell r="T312">
            <v>33.275000000000006</v>
          </cell>
          <cell r="U312">
            <v>32.862500000000004</v>
          </cell>
          <cell r="V312">
            <v>32.450000000000003</v>
          </cell>
          <cell r="W312">
            <v>32.037500000000001</v>
          </cell>
          <cell r="X312">
            <v>31.625000000000004</v>
          </cell>
          <cell r="Y312">
            <v>31.212500000000006</v>
          </cell>
          <cell r="Z312">
            <v>30.800000000000004</v>
          </cell>
          <cell r="AA312">
            <v>30.387500000000003</v>
          </cell>
          <cell r="AB312">
            <v>29.975000000000005</v>
          </cell>
          <cell r="AC312">
            <v>29.562500000000004</v>
          </cell>
          <cell r="AD312">
            <v>29.150000000000002</v>
          </cell>
          <cell r="AE312">
            <v>28.737500000000004</v>
          </cell>
          <cell r="AF312">
            <v>28.325000000000003</v>
          </cell>
          <cell r="AG312">
            <v>27.912500000000005</v>
          </cell>
          <cell r="AH312">
            <v>27.500000000000004</v>
          </cell>
        </row>
        <row r="313">
          <cell r="B313" t="str">
            <v>e-ammonia - Finance cost - Americas - USD/ton fuel</v>
          </cell>
          <cell r="G313">
            <v>120.45000000000002</v>
          </cell>
          <cell r="H313">
            <v>108.35000000000001</v>
          </cell>
          <cell r="I313">
            <v>96.250000000000014</v>
          </cell>
          <cell r="J313">
            <v>84.15</v>
          </cell>
          <cell r="K313">
            <v>72.050000000000011</v>
          </cell>
          <cell r="L313">
            <v>59.95000000000001</v>
          </cell>
          <cell r="M313">
            <v>47.850000000000009</v>
          </cell>
          <cell r="N313">
            <v>35.750000000000007</v>
          </cell>
          <cell r="O313">
            <v>35.337500000000006</v>
          </cell>
          <cell r="P313">
            <v>34.925000000000004</v>
          </cell>
          <cell r="Q313">
            <v>34.512500000000003</v>
          </cell>
          <cell r="R313">
            <v>34.1</v>
          </cell>
          <cell r="S313">
            <v>33.687500000000007</v>
          </cell>
          <cell r="T313">
            <v>33.275000000000006</v>
          </cell>
          <cell r="U313">
            <v>32.862500000000004</v>
          </cell>
          <cell r="V313">
            <v>32.450000000000003</v>
          </cell>
          <cell r="W313">
            <v>32.037500000000001</v>
          </cell>
          <cell r="X313">
            <v>31.625000000000004</v>
          </cell>
          <cell r="Y313">
            <v>31.212500000000006</v>
          </cell>
          <cell r="Z313">
            <v>30.800000000000004</v>
          </cell>
          <cell r="AA313">
            <v>30.387500000000003</v>
          </cell>
          <cell r="AB313">
            <v>29.975000000000005</v>
          </cell>
          <cell r="AC313">
            <v>29.562500000000004</v>
          </cell>
          <cell r="AD313">
            <v>29.150000000000002</v>
          </cell>
          <cell r="AE313">
            <v>28.737500000000004</v>
          </cell>
          <cell r="AF313">
            <v>28.325000000000003</v>
          </cell>
          <cell r="AG313">
            <v>27.912500000000005</v>
          </cell>
          <cell r="AH313">
            <v>27.500000000000004</v>
          </cell>
        </row>
        <row r="314">
          <cell r="B314" t="str">
            <v>e-ammonia - Finance cost - Asia - USD/ton fuel</v>
          </cell>
          <cell r="G314">
            <v>120.45000000000002</v>
          </cell>
          <cell r="H314">
            <v>108.35000000000001</v>
          </cell>
          <cell r="I314">
            <v>96.250000000000014</v>
          </cell>
          <cell r="J314">
            <v>84.15</v>
          </cell>
          <cell r="K314">
            <v>72.050000000000011</v>
          </cell>
          <cell r="L314">
            <v>59.95000000000001</v>
          </cell>
          <cell r="M314">
            <v>47.850000000000009</v>
          </cell>
          <cell r="N314">
            <v>35.750000000000007</v>
          </cell>
          <cell r="O314">
            <v>35.337500000000006</v>
          </cell>
          <cell r="P314">
            <v>34.925000000000004</v>
          </cell>
          <cell r="Q314">
            <v>34.512500000000003</v>
          </cell>
          <cell r="R314">
            <v>34.1</v>
          </cell>
          <cell r="S314">
            <v>33.687500000000007</v>
          </cell>
          <cell r="T314">
            <v>33.275000000000006</v>
          </cell>
          <cell r="U314">
            <v>32.862500000000004</v>
          </cell>
          <cell r="V314">
            <v>32.450000000000003</v>
          </cell>
          <cell r="W314">
            <v>32.037500000000001</v>
          </cell>
          <cell r="X314">
            <v>31.625000000000004</v>
          </cell>
          <cell r="Y314">
            <v>31.212500000000006</v>
          </cell>
          <cell r="Z314">
            <v>30.800000000000004</v>
          </cell>
          <cell r="AA314">
            <v>30.387500000000003</v>
          </cell>
          <cell r="AB314">
            <v>29.975000000000005</v>
          </cell>
          <cell r="AC314">
            <v>29.562500000000004</v>
          </cell>
          <cell r="AD314">
            <v>29.150000000000002</v>
          </cell>
          <cell r="AE314">
            <v>28.737500000000004</v>
          </cell>
          <cell r="AF314">
            <v>28.325000000000003</v>
          </cell>
          <cell r="AG314">
            <v>27.912500000000005</v>
          </cell>
          <cell r="AH314">
            <v>27.500000000000004</v>
          </cell>
        </row>
        <row r="315">
          <cell r="B315" t="str">
            <v>e-ammonia - Finance cost - Europe - USD/ton fuel</v>
          </cell>
          <cell r="G315">
            <v>120.45000000000002</v>
          </cell>
          <cell r="H315">
            <v>108.35000000000001</v>
          </cell>
          <cell r="I315">
            <v>96.250000000000014</v>
          </cell>
          <cell r="J315">
            <v>84.15</v>
          </cell>
          <cell r="K315">
            <v>72.050000000000011</v>
          </cell>
          <cell r="L315">
            <v>59.95000000000001</v>
          </cell>
          <cell r="M315">
            <v>47.850000000000009</v>
          </cell>
          <cell r="N315">
            <v>35.750000000000007</v>
          </cell>
          <cell r="O315">
            <v>35.337500000000006</v>
          </cell>
          <cell r="P315">
            <v>34.925000000000004</v>
          </cell>
          <cell r="Q315">
            <v>34.512500000000003</v>
          </cell>
          <cell r="R315">
            <v>34.1</v>
          </cell>
          <cell r="S315">
            <v>33.687500000000007</v>
          </cell>
          <cell r="T315">
            <v>33.275000000000006</v>
          </cell>
          <cell r="U315">
            <v>32.862500000000004</v>
          </cell>
          <cell r="V315">
            <v>32.450000000000003</v>
          </cell>
          <cell r="W315">
            <v>32.037500000000001</v>
          </cell>
          <cell r="X315">
            <v>31.625000000000004</v>
          </cell>
          <cell r="Y315">
            <v>31.212500000000006</v>
          </cell>
          <cell r="Z315">
            <v>30.800000000000004</v>
          </cell>
          <cell r="AA315">
            <v>30.387500000000003</v>
          </cell>
          <cell r="AB315">
            <v>29.975000000000005</v>
          </cell>
          <cell r="AC315">
            <v>29.562500000000004</v>
          </cell>
          <cell r="AD315">
            <v>29.150000000000002</v>
          </cell>
          <cell r="AE315">
            <v>28.737500000000004</v>
          </cell>
          <cell r="AF315">
            <v>28.325000000000003</v>
          </cell>
          <cell r="AG315">
            <v>27.912500000000005</v>
          </cell>
          <cell r="AH315">
            <v>27.500000000000004</v>
          </cell>
        </row>
        <row r="316">
          <cell r="B316" t="str">
            <v>e-ammonia - Finance cost - Middle East - USD/ton fuel</v>
          </cell>
          <cell r="G316">
            <v>120.45000000000002</v>
          </cell>
          <cell r="H316">
            <v>108.35000000000001</v>
          </cell>
          <cell r="I316">
            <v>96.250000000000014</v>
          </cell>
          <cell r="J316">
            <v>84.15</v>
          </cell>
          <cell r="K316">
            <v>72.050000000000011</v>
          </cell>
          <cell r="L316">
            <v>59.95000000000001</v>
          </cell>
          <cell r="M316">
            <v>47.850000000000009</v>
          </cell>
          <cell r="N316">
            <v>35.750000000000007</v>
          </cell>
          <cell r="O316">
            <v>35.337500000000006</v>
          </cell>
          <cell r="P316">
            <v>34.925000000000004</v>
          </cell>
          <cell r="Q316">
            <v>34.512500000000003</v>
          </cell>
          <cell r="R316">
            <v>34.1</v>
          </cell>
          <cell r="S316">
            <v>33.687500000000007</v>
          </cell>
          <cell r="T316">
            <v>33.275000000000006</v>
          </cell>
          <cell r="U316">
            <v>32.862500000000004</v>
          </cell>
          <cell r="V316">
            <v>32.450000000000003</v>
          </cell>
          <cell r="W316">
            <v>32.037500000000001</v>
          </cell>
          <cell r="X316">
            <v>31.625000000000004</v>
          </cell>
          <cell r="Y316">
            <v>31.212500000000006</v>
          </cell>
          <cell r="Z316">
            <v>30.800000000000004</v>
          </cell>
          <cell r="AA316">
            <v>30.387500000000003</v>
          </cell>
          <cell r="AB316">
            <v>29.975000000000005</v>
          </cell>
          <cell r="AC316">
            <v>29.562500000000004</v>
          </cell>
          <cell r="AD316">
            <v>29.150000000000002</v>
          </cell>
          <cell r="AE316">
            <v>28.737500000000004</v>
          </cell>
          <cell r="AF316">
            <v>28.325000000000003</v>
          </cell>
          <cell r="AG316">
            <v>27.912500000000005</v>
          </cell>
          <cell r="AH316">
            <v>27.500000000000004</v>
          </cell>
        </row>
        <row r="317">
          <cell r="B317" t="str">
            <v>General - Weighted average cost of capital (WACC) - Africa - %</v>
          </cell>
          <cell r="G317">
            <v>5.5000000000000007E-2</v>
          </cell>
          <cell r="H317">
            <v>5.5000000000000007E-2</v>
          </cell>
          <cell r="I317">
            <v>5.5000000000000007E-2</v>
          </cell>
          <cell r="J317">
            <v>5.5000000000000007E-2</v>
          </cell>
          <cell r="K317">
            <v>5.5000000000000007E-2</v>
          </cell>
          <cell r="L317">
            <v>5.5000000000000007E-2</v>
          </cell>
          <cell r="M317">
            <v>5.5000000000000007E-2</v>
          </cell>
          <cell r="N317">
            <v>5.5000000000000007E-2</v>
          </cell>
          <cell r="O317">
            <v>5.5000000000000007E-2</v>
          </cell>
          <cell r="P317">
            <v>5.5000000000000007E-2</v>
          </cell>
          <cell r="Q317">
            <v>5.5000000000000007E-2</v>
          </cell>
          <cell r="R317">
            <v>5.5000000000000007E-2</v>
          </cell>
          <cell r="S317">
            <v>5.5000000000000007E-2</v>
          </cell>
          <cell r="T317">
            <v>5.5000000000000007E-2</v>
          </cell>
          <cell r="U317">
            <v>5.5000000000000007E-2</v>
          </cell>
          <cell r="V317">
            <v>5.5000000000000007E-2</v>
          </cell>
          <cell r="W317">
            <v>5.5000000000000007E-2</v>
          </cell>
          <cell r="X317">
            <v>5.5000000000000007E-2</v>
          </cell>
          <cell r="Y317">
            <v>5.5000000000000007E-2</v>
          </cell>
          <cell r="Z317">
            <v>5.5000000000000007E-2</v>
          </cell>
          <cell r="AA317">
            <v>5.5000000000000007E-2</v>
          </cell>
          <cell r="AB317">
            <v>5.5000000000000007E-2</v>
          </cell>
          <cell r="AC317">
            <v>5.5000000000000007E-2</v>
          </cell>
          <cell r="AD317">
            <v>5.5000000000000007E-2</v>
          </cell>
          <cell r="AE317">
            <v>5.5000000000000007E-2</v>
          </cell>
          <cell r="AF317">
            <v>5.5000000000000007E-2</v>
          </cell>
          <cell r="AG317">
            <v>5.5000000000000007E-2</v>
          </cell>
          <cell r="AH317">
            <v>5.5000000000000007E-2</v>
          </cell>
        </row>
        <row r="318">
          <cell r="B318" t="str">
            <v>General - Weighted average cost of capital (WACC) - Americas - %</v>
          </cell>
          <cell r="G318">
            <v>5.5000000000000007E-2</v>
          </cell>
          <cell r="H318">
            <v>5.5000000000000007E-2</v>
          </cell>
          <cell r="I318">
            <v>5.5000000000000007E-2</v>
          </cell>
          <cell r="J318">
            <v>5.5000000000000007E-2</v>
          </cell>
          <cell r="K318">
            <v>5.5000000000000007E-2</v>
          </cell>
          <cell r="L318">
            <v>5.5000000000000007E-2</v>
          </cell>
          <cell r="M318">
            <v>5.5000000000000007E-2</v>
          </cell>
          <cell r="N318">
            <v>5.5000000000000007E-2</v>
          </cell>
          <cell r="O318">
            <v>5.5000000000000007E-2</v>
          </cell>
          <cell r="P318">
            <v>5.5000000000000007E-2</v>
          </cell>
          <cell r="Q318">
            <v>5.5000000000000007E-2</v>
          </cell>
          <cell r="R318">
            <v>5.5000000000000007E-2</v>
          </cell>
          <cell r="S318">
            <v>5.5000000000000007E-2</v>
          </cell>
          <cell r="T318">
            <v>5.5000000000000007E-2</v>
          </cell>
          <cell r="U318">
            <v>5.5000000000000007E-2</v>
          </cell>
          <cell r="V318">
            <v>5.5000000000000007E-2</v>
          </cell>
          <cell r="W318">
            <v>5.5000000000000007E-2</v>
          </cell>
          <cell r="X318">
            <v>5.5000000000000007E-2</v>
          </cell>
          <cell r="Y318">
            <v>5.5000000000000007E-2</v>
          </cell>
          <cell r="Z318">
            <v>5.5000000000000007E-2</v>
          </cell>
          <cell r="AA318">
            <v>5.5000000000000007E-2</v>
          </cell>
          <cell r="AB318">
            <v>5.5000000000000007E-2</v>
          </cell>
          <cell r="AC318">
            <v>5.5000000000000007E-2</v>
          </cell>
          <cell r="AD318">
            <v>5.5000000000000007E-2</v>
          </cell>
          <cell r="AE318">
            <v>5.5000000000000007E-2</v>
          </cell>
          <cell r="AF318">
            <v>5.5000000000000007E-2</v>
          </cell>
          <cell r="AG318">
            <v>5.5000000000000007E-2</v>
          </cell>
          <cell r="AH318">
            <v>5.5000000000000007E-2</v>
          </cell>
        </row>
        <row r="319">
          <cell r="B319" t="str">
            <v>General - Weighted average cost of capital (WACC) - Asia - %</v>
          </cell>
          <cell r="G319">
            <v>5.5000000000000007E-2</v>
          </cell>
          <cell r="H319">
            <v>5.5000000000000007E-2</v>
          </cell>
          <cell r="I319">
            <v>5.5000000000000007E-2</v>
          </cell>
          <cell r="J319">
            <v>5.5000000000000007E-2</v>
          </cell>
          <cell r="K319">
            <v>5.5000000000000007E-2</v>
          </cell>
          <cell r="L319">
            <v>5.5000000000000007E-2</v>
          </cell>
          <cell r="M319">
            <v>5.5000000000000007E-2</v>
          </cell>
          <cell r="N319">
            <v>5.5000000000000007E-2</v>
          </cell>
          <cell r="O319">
            <v>5.5000000000000007E-2</v>
          </cell>
          <cell r="P319">
            <v>5.5000000000000007E-2</v>
          </cell>
          <cell r="Q319">
            <v>5.5000000000000007E-2</v>
          </cell>
          <cell r="R319">
            <v>5.5000000000000007E-2</v>
          </cell>
          <cell r="S319">
            <v>5.5000000000000007E-2</v>
          </cell>
          <cell r="T319">
            <v>5.5000000000000007E-2</v>
          </cell>
          <cell r="U319">
            <v>5.5000000000000007E-2</v>
          </cell>
          <cell r="V319">
            <v>5.5000000000000007E-2</v>
          </cell>
          <cell r="W319">
            <v>5.5000000000000007E-2</v>
          </cell>
          <cell r="X319">
            <v>5.5000000000000007E-2</v>
          </cell>
          <cell r="Y319">
            <v>5.5000000000000007E-2</v>
          </cell>
          <cell r="Z319">
            <v>5.5000000000000007E-2</v>
          </cell>
          <cell r="AA319">
            <v>5.5000000000000007E-2</v>
          </cell>
          <cell r="AB319">
            <v>5.5000000000000007E-2</v>
          </cell>
          <cell r="AC319">
            <v>5.5000000000000007E-2</v>
          </cell>
          <cell r="AD319">
            <v>5.5000000000000007E-2</v>
          </cell>
          <cell r="AE319">
            <v>5.5000000000000007E-2</v>
          </cell>
          <cell r="AF319">
            <v>5.5000000000000007E-2</v>
          </cell>
          <cell r="AG319">
            <v>5.5000000000000007E-2</v>
          </cell>
          <cell r="AH319">
            <v>5.5000000000000007E-2</v>
          </cell>
        </row>
        <row r="320">
          <cell r="B320" t="str">
            <v>General - Weighted average cost of capital (WACC) - Europe - %</v>
          </cell>
          <cell r="G320">
            <v>5.5000000000000007E-2</v>
          </cell>
          <cell r="H320">
            <v>5.5000000000000007E-2</v>
          </cell>
          <cell r="I320">
            <v>5.5000000000000007E-2</v>
          </cell>
          <cell r="J320">
            <v>5.5000000000000007E-2</v>
          </cell>
          <cell r="K320">
            <v>5.5000000000000007E-2</v>
          </cell>
          <cell r="L320">
            <v>5.5000000000000007E-2</v>
          </cell>
          <cell r="M320">
            <v>5.5000000000000007E-2</v>
          </cell>
          <cell r="N320">
            <v>5.5000000000000007E-2</v>
          </cell>
          <cell r="O320">
            <v>5.5000000000000007E-2</v>
          </cell>
          <cell r="P320">
            <v>5.5000000000000007E-2</v>
          </cell>
          <cell r="Q320">
            <v>5.5000000000000007E-2</v>
          </cell>
          <cell r="R320">
            <v>5.5000000000000007E-2</v>
          </cell>
          <cell r="S320">
            <v>5.5000000000000007E-2</v>
          </cell>
          <cell r="T320">
            <v>5.5000000000000007E-2</v>
          </cell>
          <cell r="U320">
            <v>5.5000000000000007E-2</v>
          </cell>
          <cell r="V320">
            <v>5.5000000000000007E-2</v>
          </cell>
          <cell r="W320">
            <v>5.5000000000000007E-2</v>
          </cell>
          <cell r="X320">
            <v>5.5000000000000007E-2</v>
          </cell>
          <cell r="Y320">
            <v>5.5000000000000007E-2</v>
          </cell>
          <cell r="Z320">
            <v>5.5000000000000007E-2</v>
          </cell>
          <cell r="AA320">
            <v>5.5000000000000007E-2</v>
          </cell>
          <cell r="AB320">
            <v>5.5000000000000007E-2</v>
          </cell>
          <cell r="AC320">
            <v>5.5000000000000007E-2</v>
          </cell>
          <cell r="AD320">
            <v>5.5000000000000007E-2</v>
          </cell>
          <cell r="AE320">
            <v>5.5000000000000007E-2</v>
          </cell>
          <cell r="AF320">
            <v>5.5000000000000007E-2</v>
          </cell>
          <cell r="AG320">
            <v>5.5000000000000007E-2</v>
          </cell>
          <cell r="AH320">
            <v>5.5000000000000007E-2</v>
          </cell>
        </row>
        <row r="321">
          <cell r="B321" t="str">
            <v>General - Weighted average cost of capital (WACC) - Middle East - %</v>
          </cell>
          <cell r="G321">
            <v>5.5000000000000007E-2</v>
          </cell>
          <cell r="H321">
            <v>5.5000000000000007E-2</v>
          </cell>
          <cell r="I321">
            <v>5.5000000000000007E-2</v>
          </cell>
          <cell r="J321">
            <v>5.5000000000000007E-2</v>
          </cell>
          <cell r="K321">
            <v>5.5000000000000007E-2</v>
          </cell>
          <cell r="L321">
            <v>5.5000000000000007E-2</v>
          </cell>
          <cell r="M321">
            <v>5.5000000000000007E-2</v>
          </cell>
          <cell r="N321">
            <v>5.5000000000000007E-2</v>
          </cell>
          <cell r="O321">
            <v>5.5000000000000007E-2</v>
          </cell>
          <cell r="P321">
            <v>5.5000000000000007E-2</v>
          </cell>
          <cell r="Q321">
            <v>5.5000000000000007E-2</v>
          </cell>
          <cell r="R321">
            <v>5.5000000000000007E-2</v>
          </cell>
          <cell r="S321">
            <v>5.5000000000000007E-2</v>
          </cell>
          <cell r="T321">
            <v>5.5000000000000007E-2</v>
          </cell>
          <cell r="U321">
            <v>5.5000000000000007E-2</v>
          </cell>
          <cell r="V321">
            <v>5.5000000000000007E-2</v>
          </cell>
          <cell r="W321">
            <v>5.5000000000000007E-2</v>
          </cell>
          <cell r="X321">
            <v>5.5000000000000007E-2</v>
          </cell>
          <cell r="Y321">
            <v>5.5000000000000007E-2</v>
          </cell>
          <cell r="Z321">
            <v>5.5000000000000007E-2</v>
          </cell>
          <cell r="AA321">
            <v>5.5000000000000007E-2</v>
          </cell>
          <cell r="AB321">
            <v>5.5000000000000007E-2</v>
          </cell>
          <cell r="AC321">
            <v>5.5000000000000007E-2</v>
          </cell>
          <cell r="AD321">
            <v>5.5000000000000007E-2</v>
          </cell>
          <cell r="AE321">
            <v>5.5000000000000007E-2</v>
          </cell>
          <cell r="AF321">
            <v>5.5000000000000007E-2</v>
          </cell>
          <cell r="AG321">
            <v>5.5000000000000007E-2</v>
          </cell>
          <cell r="AH321">
            <v>5.5000000000000007E-2</v>
          </cell>
        </row>
        <row r="322">
          <cell r="B322" t="str">
            <v>e-ammonia - Total CAPEX - Global - USD/ton fuel</v>
          </cell>
          <cell r="G322">
            <v>2190</v>
          </cell>
          <cell r="H322">
            <v>1970</v>
          </cell>
          <cell r="I322">
            <v>1750</v>
          </cell>
          <cell r="J322">
            <v>1530</v>
          </cell>
          <cell r="K322">
            <v>1310</v>
          </cell>
          <cell r="L322">
            <v>1090</v>
          </cell>
          <cell r="M322">
            <v>870</v>
          </cell>
          <cell r="N322">
            <v>650</v>
          </cell>
          <cell r="O322">
            <v>642.5</v>
          </cell>
          <cell r="P322">
            <v>635</v>
          </cell>
          <cell r="Q322">
            <v>627.5</v>
          </cell>
          <cell r="R322">
            <v>620</v>
          </cell>
          <cell r="S322">
            <v>612.5</v>
          </cell>
          <cell r="T322">
            <v>605</v>
          </cell>
          <cell r="U322">
            <v>597.5</v>
          </cell>
          <cell r="V322">
            <v>590</v>
          </cell>
          <cell r="W322">
            <v>582.5</v>
          </cell>
          <cell r="X322">
            <v>575</v>
          </cell>
          <cell r="Y322">
            <v>567.5</v>
          </cell>
          <cell r="Z322">
            <v>560</v>
          </cell>
          <cell r="AA322">
            <v>552.5</v>
          </cell>
          <cell r="AB322">
            <v>545</v>
          </cell>
          <cell r="AC322">
            <v>537.5</v>
          </cell>
          <cell r="AD322">
            <v>530</v>
          </cell>
          <cell r="AE322">
            <v>522.5</v>
          </cell>
          <cell r="AF322">
            <v>515</v>
          </cell>
          <cell r="AG322">
            <v>507.5</v>
          </cell>
          <cell r="AH322">
            <v>500</v>
          </cell>
        </row>
        <row r="323">
          <cell r="B323" t="str">
            <v/>
          </cell>
        </row>
        <row r="324">
          <cell r="B324" t="str">
            <v>e-ammonia - Energy cost - Africa - USD/ton fuel</v>
          </cell>
          <cell r="G324">
            <v>14.597451732628542</v>
          </cell>
          <cell r="H324">
            <v>12.883324061414896</v>
          </cell>
          <cell r="I324">
            <v>11.169196390200796</v>
          </cell>
          <cell r="J324">
            <v>10.691356171259713</v>
          </cell>
          <cell r="K324">
            <v>10.21351595231863</v>
          </cell>
          <cell r="L324">
            <v>9.7356757333775477</v>
          </cell>
          <cell r="M324">
            <v>9.2578355144363513</v>
          </cell>
          <cell r="N324">
            <v>8.7799952954952687</v>
          </cell>
          <cell r="O324">
            <v>8.5132642746067404</v>
          </cell>
          <cell r="P324">
            <v>8.2465332537182121</v>
          </cell>
          <cell r="Q324">
            <v>7.9798022328295701</v>
          </cell>
          <cell r="R324">
            <v>7.7130712119410418</v>
          </cell>
          <cell r="S324">
            <v>7.446340191052542</v>
          </cell>
          <cell r="T324">
            <v>7.3207942824757595</v>
          </cell>
          <cell r="U324">
            <v>7.1952483738990054</v>
          </cell>
          <cell r="V324">
            <v>7.0697024653222229</v>
          </cell>
          <cell r="W324">
            <v>6.9441565567454404</v>
          </cell>
          <cell r="X324">
            <v>6.8186106481687148</v>
          </cell>
          <cell r="Y324">
            <v>6.6895154123365614</v>
          </cell>
          <cell r="Z324">
            <v>6.5604201765044081</v>
          </cell>
          <cell r="AA324">
            <v>6.431324940672198</v>
          </cell>
          <cell r="AB324">
            <v>6.3022297048400446</v>
          </cell>
          <cell r="AC324">
            <v>6.1731344690078629</v>
          </cell>
          <cell r="AD324">
            <v>6.1097710699015977</v>
          </cell>
          <cell r="AE324">
            <v>6.0464076707953609</v>
          </cell>
          <cell r="AF324">
            <v>5.9830442716890957</v>
          </cell>
          <cell r="AG324">
            <v>5.9196808725828305</v>
          </cell>
          <cell r="AH324">
            <v>5.8563174734765937</v>
          </cell>
        </row>
        <row r="325">
          <cell r="B325" t="str">
            <v>e-ammonia - Energy cost - Americas - USD/ton fuel</v>
          </cell>
          <cell r="G325">
            <v>9.1717961349417578</v>
          </cell>
          <cell r="H325">
            <v>8.9818610379931556</v>
          </cell>
          <cell r="I325">
            <v>8.7919259410444965</v>
          </cell>
          <cell r="J325">
            <v>8.4708610441055043</v>
          </cell>
          <cell r="K325">
            <v>8.1497961471665121</v>
          </cell>
          <cell r="L325">
            <v>7.8287312502275199</v>
          </cell>
          <cell r="M325">
            <v>7.5076663532886414</v>
          </cell>
          <cell r="N325">
            <v>7.1866014563496492</v>
          </cell>
          <cell r="O325">
            <v>7.0320973195927081</v>
          </cell>
          <cell r="P325">
            <v>6.877593182835767</v>
          </cell>
          <cell r="Q325">
            <v>6.723089046078826</v>
          </cell>
          <cell r="R325">
            <v>6.5685849093218849</v>
          </cell>
          <cell r="S325">
            <v>6.4140807725649154</v>
          </cell>
          <cell r="T325">
            <v>6.2888359188553977</v>
          </cell>
          <cell r="U325">
            <v>6.1635910651458801</v>
          </cell>
          <cell r="V325">
            <v>6.038346211436334</v>
          </cell>
          <cell r="W325">
            <v>5.9131013577268163</v>
          </cell>
          <cell r="X325">
            <v>5.7878565040172845</v>
          </cell>
          <cell r="Y325">
            <v>5.7373993387199107</v>
          </cell>
          <cell r="Z325">
            <v>5.6869421734225369</v>
          </cell>
          <cell r="AA325">
            <v>5.6364850081251774</v>
          </cell>
          <cell r="AB325">
            <v>5.5860278428278036</v>
          </cell>
          <cell r="AC325">
            <v>5.5355706775304299</v>
          </cell>
          <cell r="AD325">
            <v>5.4975043176983007</v>
          </cell>
          <cell r="AE325">
            <v>5.4594379578661858</v>
          </cell>
          <cell r="AF325">
            <v>5.4213715980340709</v>
          </cell>
          <cell r="AG325">
            <v>5.3833052382019559</v>
          </cell>
          <cell r="AH325">
            <v>5.345238878369841</v>
          </cell>
        </row>
        <row r="326">
          <cell r="B326" t="str">
            <v>e-ammonia - Energy cost - Asia - USD/ton fuel</v>
          </cell>
          <cell r="G326">
            <v>16.235400622452289</v>
          </cell>
          <cell r="H326">
            <v>14.808726984208988</v>
          </cell>
          <cell r="I326">
            <v>13.382053345966369</v>
          </cell>
          <cell r="J326">
            <v>12.870317358555894</v>
          </cell>
          <cell r="K326">
            <v>12.358581371145647</v>
          </cell>
          <cell r="L326">
            <v>11.846845383735172</v>
          </cell>
          <cell r="M326">
            <v>11.335109396324697</v>
          </cell>
          <cell r="N326">
            <v>10.823373408914449</v>
          </cell>
          <cell r="O326">
            <v>10.475552016577922</v>
          </cell>
          <cell r="P326">
            <v>10.127730624241508</v>
          </cell>
          <cell r="Q326">
            <v>9.7799092319052079</v>
          </cell>
          <cell r="R326">
            <v>9.4320878395687942</v>
          </cell>
          <cell r="S326">
            <v>9.0842664472323804</v>
          </cell>
          <cell r="T326">
            <v>8.9074256244314256</v>
          </cell>
          <cell r="U326">
            <v>8.7305848016304708</v>
          </cell>
          <cell r="V326">
            <v>8.5537439788295728</v>
          </cell>
          <cell r="W326">
            <v>8.376903156028618</v>
          </cell>
          <cell r="X326">
            <v>8.2000623332277769</v>
          </cell>
          <cell r="Y326">
            <v>8.0149580735243831</v>
          </cell>
          <cell r="Z326">
            <v>7.8298538138210461</v>
          </cell>
          <cell r="AA326">
            <v>7.6447495541176522</v>
          </cell>
          <cell r="AB326">
            <v>7.4596452944143152</v>
          </cell>
          <cell r="AC326">
            <v>7.2745410347109214</v>
          </cell>
          <cell r="AD326">
            <v>7.1896546747182981</v>
          </cell>
          <cell r="AE326">
            <v>7.1047683147256464</v>
          </cell>
          <cell r="AF326">
            <v>7.0198819547330231</v>
          </cell>
          <cell r="AG326">
            <v>6.9349955947403998</v>
          </cell>
          <cell r="AH326">
            <v>6.8501092347477481</v>
          </cell>
        </row>
        <row r="327">
          <cell r="B327" t="str">
            <v>e-ammonia - Energy cost - Europe - USD/ton fuel</v>
          </cell>
          <cell r="G327">
            <v>12.086376339439312</v>
          </cell>
          <cell r="H327">
            <v>11.565458598295663</v>
          </cell>
          <cell r="I327">
            <v>11.044540857152015</v>
          </cell>
          <cell r="J327">
            <v>10.623636174431113</v>
          </cell>
          <cell r="K327">
            <v>10.202731491710097</v>
          </cell>
          <cell r="L327">
            <v>9.7818268089891944</v>
          </cell>
          <cell r="M327">
            <v>9.3609221262681785</v>
          </cell>
          <cell r="N327">
            <v>8.9400174435472763</v>
          </cell>
          <cell r="O327">
            <v>8.7651316349623585</v>
          </cell>
          <cell r="P327">
            <v>8.5902458263776111</v>
          </cell>
          <cell r="Q327">
            <v>8.415360017792807</v>
          </cell>
          <cell r="R327">
            <v>8.2404742092080028</v>
          </cell>
          <cell r="S327">
            <v>8.0655884006232554</v>
          </cell>
          <cell r="T327">
            <v>7.9611726839041808</v>
          </cell>
          <cell r="U327">
            <v>7.8567569671851345</v>
          </cell>
          <cell r="V327">
            <v>7.7523412504660882</v>
          </cell>
          <cell r="W327">
            <v>7.647925533747042</v>
          </cell>
          <cell r="X327">
            <v>7.5435098170279389</v>
          </cell>
          <cell r="Y327">
            <v>7.4318038512901126</v>
          </cell>
          <cell r="Z327">
            <v>7.3200978855522578</v>
          </cell>
          <cell r="AA327">
            <v>7.2083919198144315</v>
          </cell>
          <cell r="AB327">
            <v>7.0966859540765768</v>
          </cell>
          <cell r="AC327">
            <v>6.9849799883387504</v>
          </cell>
          <cell r="AD327">
            <v>6.9034770152329656</v>
          </cell>
          <cell r="AE327">
            <v>6.8219740421271524</v>
          </cell>
          <cell r="AF327">
            <v>6.7404710690213676</v>
          </cell>
          <cell r="AG327">
            <v>6.6589680959155828</v>
          </cell>
          <cell r="AH327">
            <v>6.5774651228097696</v>
          </cell>
        </row>
        <row r="328">
          <cell r="B328" t="str">
            <v>e-ammonia - Energy cost - Middle East - USD/ton fuel</v>
          </cell>
          <cell r="G328">
            <v>9.2550791682909903</v>
          </cell>
          <cell r="H328">
            <v>8.8466757251085255</v>
          </cell>
          <cell r="I328">
            <v>8.438272281925947</v>
          </cell>
          <cell r="J328">
            <v>8.1678717817968618</v>
          </cell>
          <cell r="K328">
            <v>7.8974712816677766</v>
          </cell>
          <cell r="L328">
            <v>7.6270707815386913</v>
          </cell>
          <cell r="M328">
            <v>7.3566702814096061</v>
          </cell>
          <cell r="N328">
            <v>7.0862697812805209</v>
          </cell>
          <cell r="O328">
            <v>6.8956062688408224</v>
          </cell>
          <cell r="P328">
            <v>6.7049427564011808</v>
          </cell>
          <cell r="Q328">
            <v>6.5142792439614823</v>
          </cell>
          <cell r="R328">
            <v>6.3236157315218406</v>
          </cell>
          <cell r="S328">
            <v>6.132952219082199</v>
          </cell>
          <cell r="T328">
            <v>6.0373555387765521</v>
          </cell>
          <cell r="U328">
            <v>5.9417588584709051</v>
          </cell>
          <cell r="V328">
            <v>5.8461621781652866</v>
          </cell>
          <cell r="W328">
            <v>5.7505654978596397</v>
          </cell>
          <cell r="X328">
            <v>5.6549688175539927</v>
          </cell>
          <cell r="Y328">
            <v>5.5296037079175164</v>
          </cell>
          <cell r="Z328">
            <v>5.4042385982810686</v>
          </cell>
          <cell r="AA328">
            <v>5.2788734886445923</v>
          </cell>
          <cell r="AB328">
            <v>5.1535083790081444</v>
          </cell>
          <cell r="AC328">
            <v>5.0281432693716539</v>
          </cell>
          <cell r="AD328">
            <v>4.9694684653320138</v>
          </cell>
          <cell r="AE328">
            <v>4.9107936612923879</v>
          </cell>
          <cell r="AF328">
            <v>4.8521188572527478</v>
          </cell>
          <cell r="AG328">
            <v>4.7934440532131077</v>
          </cell>
          <cell r="AH328">
            <v>4.7347692491734819</v>
          </cell>
        </row>
        <row r="329">
          <cell r="B329" t="str">
            <v>Renewable electricity - Cost of electricity - Africa - USD/MWh</v>
          </cell>
          <cell r="G329">
            <v>58.389806930514169</v>
          </cell>
          <cell r="H329">
            <v>51.533296245659585</v>
          </cell>
          <cell r="I329">
            <v>44.676785560803182</v>
          </cell>
          <cell r="J329">
            <v>42.765424685038852</v>
          </cell>
          <cell r="K329">
            <v>40.854063809274521</v>
          </cell>
          <cell r="L329">
            <v>38.942702933510191</v>
          </cell>
          <cell r="M329">
            <v>37.031342057745405</v>
          </cell>
          <cell r="N329">
            <v>35.119981181981075</v>
          </cell>
          <cell r="O329">
            <v>34.053057098426962</v>
          </cell>
          <cell r="P329">
            <v>32.986133014872848</v>
          </cell>
          <cell r="Q329">
            <v>31.919208931318281</v>
          </cell>
          <cell r="R329">
            <v>30.852284847764167</v>
          </cell>
          <cell r="S329">
            <v>29.785360764210168</v>
          </cell>
          <cell r="T329">
            <v>29.283177129903038</v>
          </cell>
          <cell r="U329">
            <v>28.780993495596022</v>
          </cell>
          <cell r="V329">
            <v>28.278809861288892</v>
          </cell>
          <cell r="W329">
            <v>27.776626226981762</v>
          </cell>
          <cell r="X329">
            <v>27.274442592674859</v>
          </cell>
          <cell r="Y329">
            <v>26.758061649346246</v>
          </cell>
          <cell r="Z329">
            <v>26.241680706017632</v>
          </cell>
          <cell r="AA329">
            <v>25.725299762688792</v>
          </cell>
          <cell r="AB329">
            <v>25.208918819360179</v>
          </cell>
          <cell r="AC329">
            <v>24.692537876031452</v>
          </cell>
          <cell r="AD329">
            <v>24.439084279606391</v>
          </cell>
          <cell r="AE329">
            <v>24.185630683181444</v>
          </cell>
          <cell r="AF329">
            <v>23.932177086756383</v>
          </cell>
          <cell r="AG329">
            <v>23.678723490331322</v>
          </cell>
          <cell r="AH329">
            <v>23.425269893906375</v>
          </cell>
        </row>
        <row r="330">
          <cell r="B330" t="str">
            <v>Renewable electricity - Cost of electricity - Americas - USD/MWh</v>
          </cell>
          <cell r="G330">
            <v>36.687184539767031</v>
          </cell>
          <cell r="H330">
            <v>35.927444151972622</v>
          </cell>
          <cell r="I330">
            <v>35.167703764177986</v>
          </cell>
          <cell r="J330">
            <v>33.883444176422017</v>
          </cell>
          <cell r="K330">
            <v>32.599184588666049</v>
          </cell>
          <cell r="L330">
            <v>31.31492500091008</v>
          </cell>
          <cell r="M330">
            <v>30.030665413154566</v>
          </cell>
          <cell r="N330">
            <v>28.746405825398597</v>
          </cell>
          <cell r="O330">
            <v>28.128389278370832</v>
          </cell>
          <cell r="P330">
            <v>27.510372731343068</v>
          </cell>
          <cell r="Q330">
            <v>26.892356184315304</v>
          </cell>
          <cell r="R330">
            <v>26.27433963728754</v>
          </cell>
          <cell r="S330">
            <v>25.656323090259662</v>
          </cell>
          <cell r="T330">
            <v>25.155343675421591</v>
          </cell>
          <cell r="U330">
            <v>24.65436426058352</v>
          </cell>
          <cell r="V330">
            <v>24.153384845745336</v>
          </cell>
          <cell r="W330">
            <v>23.652405430907265</v>
          </cell>
          <cell r="X330">
            <v>23.151426016069138</v>
          </cell>
          <cell r="Y330">
            <v>22.949597354879643</v>
          </cell>
          <cell r="Z330">
            <v>22.747768693690148</v>
          </cell>
          <cell r="AA330">
            <v>22.54594003250071</v>
          </cell>
          <cell r="AB330">
            <v>22.344111371311214</v>
          </cell>
          <cell r="AC330">
            <v>22.142282710121719</v>
          </cell>
          <cell r="AD330">
            <v>21.990017270793203</v>
          </cell>
          <cell r="AE330">
            <v>21.837751831464743</v>
          </cell>
          <cell r="AF330">
            <v>21.685486392136283</v>
          </cell>
          <cell r="AG330">
            <v>21.533220952807824</v>
          </cell>
          <cell r="AH330">
            <v>21.380955513479364</v>
          </cell>
        </row>
        <row r="331">
          <cell r="B331" t="str">
            <v>Renewable electricity - Cost of electricity - Asia - USD/MWh</v>
          </cell>
          <cell r="G331">
            <v>64.941602489809156</v>
          </cell>
          <cell r="H331">
            <v>59.234907936835953</v>
          </cell>
          <cell r="I331">
            <v>53.528213383865477</v>
          </cell>
          <cell r="J331">
            <v>51.481269434223577</v>
          </cell>
          <cell r="K331">
            <v>49.434325484582587</v>
          </cell>
          <cell r="L331">
            <v>47.387381534940687</v>
          </cell>
          <cell r="M331">
            <v>45.340437585298787</v>
          </cell>
          <cell r="N331">
            <v>43.293493635657796</v>
          </cell>
          <cell r="O331">
            <v>41.902208066311687</v>
          </cell>
          <cell r="P331">
            <v>40.510922496966032</v>
          </cell>
          <cell r="Q331">
            <v>39.119636927620832</v>
          </cell>
          <cell r="R331">
            <v>37.728351358275177</v>
          </cell>
          <cell r="S331">
            <v>36.337065788929522</v>
          </cell>
          <cell r="T331">
            <v>35.629702497725702</v>
          </cell>
          <cell r="U331">
            <v>34.922339206521883</v>
          </cell>
          <cell r="V331">
            <v>34.214975915318291</v>
          </cell>
          <cell r="W331">
            <v>33.507612624114472</v>
          </cell>
          <cell r="X331">
            <v>32.800249332911108</v>
          </cell>
          <cell r="Y331">
            <v>32.059832294097532</v>
          </cell>
          <cell r="Z331">
            <v>31.319415255284184</v>
          </cell>
          <cell r="AA331">
            <v>30.578998216470609</v>
          </cell>
          <cell r="AB331">
            <v>29.838581177657261</v>
          </cell>
          <cell r="AC331">
            <v>29.098164138843686</v>
          </cell>
          <cell r="AD331">
            <v>28.758618698873192</v>
          </cell>
          <cell r="AE331">
            <v>28.419073258902586</v>
          </cell>
          <cell r="AF331">
            <v>28.079527818932092</v>
          </cell>
          <cell r="AG331">
            <v>27.739982378961599</v>
          </cell>
          <cell r="AH331">
            <v>27.400436938990993</v>
          </cell>
        </row>
        <row r="332">
          <cell r="B332" t="str">
            <v>Renewable electricity - Cost of electricity - Europe - USD/MWh</v>
          </cell>
          <cell r="G332">
            <v>48.345505357757247</v>
          </cell>
          <cell r="H332">
            <v>46.261834393182653</v>
          </cell>
          <cell r="I332">
            <v>44.178163428608059</v>
          </cell>
          <cell r="J332">
            <v>42.49454469772445</v>
          </cell>
          <cell r="K332">
            <v>40.810925966840387</v>
          </cell>
          <cell r="L332">
            <v>39.127307235956778</v>
          </cell>
          <cell r="M332">
            <v>37.443688505072714</v>
          </cell>
          <cell r="N332">
            <v>35.760069774189105</v>
          </cell>
          <cell r="O332">
            <v>35.060526539849434</v>
          </cell>
          <cell r="P332">
            <v>34.360983305510445</v>
          </cell>
          <cell r="Q332">
            <v>33.661440071171228</v>
          </cell>
          <cell r="R332">
            <v>32.961896836832011</v>
          </cell>
          <cell r="S332">
            <v>32.262353602493022</v>
          </cell>
          <cell r="T332">
            <v>31.844690735616723</v>
          </cell>
          <cell r="U332">
            <v>31.427027868740538</v>
          </cell>
          <cell r="V332">
            <v>31.009365001864353</v>
          </cell>
          <cell r="W332">
            <v>30.591702134988168</v>
          </cell>
          <cell r="X332">
            <v>30.174039268111756</v>
          </cell>
          <cell r="Y332">
            <v>29.72721540516045</v>
          </cell>
          <cell r="Z332">
            <v>29.280391542209031</v>
          </cell>
          <cell r="AA332">
            <v>28.833567679257726</v>
          </cell>
          <cell r="AB332">
            <v>28.386743816306307</v>
          </cell>
          <cell r="AC332">
            <v>27.939919953355002</v>
          </cell>
          <cell r="AD332">
            <v>27.613908060931863</v>
          </cell>
          <cell r="AE332">
            <v>27.28789616850861</v>
          </cell>
          <cell r="AF332">
            <v>26.96188427608547</v>
          </cell>
          <cell r="AG332">
            <v>26.635872383662331</v>
          </cell>
          <cell r="AH332">
            <v>26.309860491239078</v>
          </cell>
        </row>
        <row r="333">
          <cell r="B333" t="str">
            <v>Renewable electricity - Cost of electricity - Middle East - USD/MWh</v>
          </cell>
          <cell r="G333">
            <v>37.020316673163961</v>
          </cell>
          <cell r="H333">
            <v>35.386702900434102</v>
          </cell>
          <cell r="I333">
            <v>33.753089127703788</v>
          </cell>
          <cell r="J333">
            <v>32.671487127187447</v>
          </cell>
          <cell r="K333">
            <v>31.589885126671106</v>
          </cell>
          <cell r="L333">
            <v>30.508283126154765</v>
          </cell>
          <cell r="M333">
            <v>29.426681125638424</v>
          </cell>
          <cell r="N333">
            <v>28.345079125122083</v>
          </cell>
          <cell r="O333">
            <v>27.58242507536329</v>
          </cell>
          <cell r="P333">
            <v>26.819771025604723</v>
          </cell>
          <cell r="Q333">
            <v>26.057116975845929</v>
          </cell>
          <cell r="R333">
            <v>25.294462926087363</v>
          </cell>
          <cell r="S333">
            <v>24.531808876328796</v>
          </cell>
          <cell r="T333">
            <v>24.149422155106208</v>
          </cell>
          <cell r="U333">
            <v>23.76703543388362</v>
          </cell>
          <cell r="V333">
            <v>23.384648712661146</v>
          </cell>
          <cell r="W333">
            <v>23.002261991438559</v>
          </cell>
          <cell r="X333">
            <v>22.619875270215971</v>
          </cell>
          <cell r="Y333">
            <v>22.118414831670066</v>
          </cell>
          <cell r="Z333">
            <v>21.616954393124274</v>
          </cell>
          <cell r="AA333">
            <v>21.115493954578369</v>
          </cell>
          <cell r="AB333">
            <v>20.614033516032578</v>
          </cell>
          <cell r="AC333">
            <v>20.112573077486616</v>
          </cell>
          <cell r="AD333">
            <v>19.877873861328055</v>
          </cell>
          <cell r="AE333">
            <v>19.643174645169552</v>
          </cell>
          <cell r="AF333">
            <v>19.408475429010991</v>
          </cell>
          <cell r="AG333">
            <v>19.173776212852431</v>
          </cell>
          <cell r="AH333">
            <v>18.939076996693927</v>
          </cell>
        </row>
        <row r="334">
          <cell r="B334" t="str">
            <v>e-ammonia - Energy demand - Global - MWh/ton fuel</v>
          </cell>
          <cell r="G334">
            <v>0.25</v>
          </cell>
          <cell r="H334">
            <v>0.25</v>
          </cell>
          <cell r="I334">
            <v>0.25</v>
          </cell>
          <cell r="J334">
            <v>0.25</v>
          </cell>
          <cell r="K334">
            <v>0.25</v>
          </cell>
          <cell r="L334">
            <v>0.25</v>
          </cell>
          <cell r="M334">
            <v>0.25</v>
          </cell>
          <cell r="N334">
            <v>0.25</v>
          </cell>
          <cell r="O334">
            <v>0.25</v>
          </cell>
          <cell r="P334">
            <v>0.25</v>
          </cell>
          <cell r="Q334">
            <v>0.25</v>
          </cell>
          <cell r="R334">
            <v>0.25</v>
          </cell>
          <cell r="S334">
            <v>0.25</v>
          </cell>
          <cell r="T334">
            <v>0.25</v>
          </cell>
          <cell r="U334">
            <v>0.25</v>
          </cell>
          <cell r="V334">
            <v>0.25</v>
          </cell>
          <cell r="W334">
            <v>0.25</v>
          </cell>
          <cell r="X334">
            <v>0.25</v>
          </cell>
          <cell r="Y334">
            <v>0.25</v>
          </cell>
          <cell r="Z334">
            <v>0.25</v>
          </cell>
          <cell r="AA334">
            <v>0.25</v>
          </cell>
          <cell r="AB334">
            <v>0.25</v>
          </cell>
          <cell r="AC334">
            <v>0.25</v>
          </cell>
          <cell r="AD334">
            <v>0.25</v>
          </cell>
          <cell r="AE334">
            <v>0.25</v>
          </cell>
          <cell r="AF334">
            <v>0.25</v>
          </cell>
          <cell r="AG334">
            <v>0.25</v>
          </cell>
          <cell r="AH334">
            <v>0.25</v>
          </cell>
        </row>
        <row r="335">
          <cell r="B335" t="str">
            <v/>
          </cell>
        </row>
        <row r="336">
          <cell r="B336" t="str">
            <v>e-ammonia - Feedstock cost - Africa - USD/ton fuel</v>
          </cell>
          <cell r="G336">
            <v>885.24055430094472</v>
          </cell>
          <cell r="H336">
            <v>802.38361732500084</v>
          </cell>
          <cell r="I336">
            <v>719.04580418195883</v>
          </cell>
          <cell r="J336">
            <v>689.0549177416583</v>
          </cell>
          <cell r="K336">
            <v>658.14964363654451</v>
          </cell>
          <cell r="L336">
            <v>626.3484834981532</v>
          </cell>
          <cell r="M336">
            <v>593.66993895803535</v>
          </cell>
          <cell r="N336">
            <v>560.13251164771839</v>
          </cell>
          <cell r="O336">
            <v>549.3961539936023</v>
          </cell>
          <cell r="P336">
            <v>537.29601213764965</v>
          </cell>
          <cell r="Q336">
            <v>523.84205153442167</v>
          </cell>
          <cell r="R336">
            <v>509.04423763848769</v>
          </cell>
          <cell r="S336">
            <v>492.91253590443188</v>
          </cell>
          <cell r="T336">
            <v>481.64730509536042</v>
          </cell>
          <cell r="U336">
            <v>469.44406367743181</v>
          </cell>
          <cell r="V336">
            <v>456.30606341635325</v>
          </cell>
          <cell r="W336">
            <v>442.23655607779125</v>
          </cell>
          <cell r="X336">
            <v>427.2387934274434</v>
          </cell>
          <cell r="Y336">
            <v>411.82668514808756</v>
          </cell>
          <cell r="Z336">
            <v>395.97901416419768</v>
          </cell>
          <cell r="AA336">
            <v>379.69387893086082</v>
          </cell>
          <cell r="AB336">
            <v>362.96937790314394</v>
          </cell>
          <cell r="AC336">
            <v>345.8036095361262</v>
          </cell>
          <cell r="AD336">
            <v>332.31663989800353</v>
          </cell>
          <cell r="AE336">
            <v>318.61132686259066</v>
          </cell>
          <cell r="AF336">
            <v>304.68647217847354</v>
          </cell>
          <cell r="AG336">
            <v>290.54087759424226</v>
          </cell>
          <cell r="AH336">
            <v>276.17334485848716</v>
          </cell>
        </row>
        <row r="337">
          <cell r="B337" t="str">
            <v>e-ammonia - Feedstock cost - Americas - USD/ton fuel</v>
          </cell>
          <cell r="G337">
            <v>669.84311006525911</v>
          </cell>
          <cell r="H337">
            <v>647.66951155032791</v>
          </cell>
          <cell r="I337">
            <v>624.89790676665984</v>
          </cell>
          <cell r="J337">
            <v>601.31696449329752</v>
          </cell>
          <cell r="K337">
            <v>576.81987090265204</v>
          </cell>
          <cell r="L337">
            <v>551.41905739791378</v>
          </cell>
          <cell r="M337">
            <v>525.12695538229423</v>
          </cell>
          <cell r="N337">
            <v>497.95599625895881</v>
          </cell>
          <cell r="O337">
            <v>491.96812206474976</v>
          </cell>
          <cell r="P337">
            <v>484.57755974932326</v>
          </cell>
          <cell r="Q337">
            <v>475.79008180944271</v>
          </cell>
          <cell r="R337">
            <v>465.61146074186513</v>
          </cell>
          <cell r="S337">
            <v>454.04746904337208</v>
          </cell>
          <cell r="T337">
            <v>443.11555346182513</v>
          </cell>
          <cell r="U337">
            <v>431.25434639608829</v>
          </cell>
          <cell r="V337">
            <v>418.4670918142437</v>
          </cell>
          <cell r="W337">
            <v>404.75703368433591</v>
          </cell>
          <cell r="X337">
            <v>390.12741597443386</v>
          </cell>
          <cell r="Y337">
            <v>377.97333241773163</v>
          </cell>
          <cell r="Z337">
            <v>365.30890740298639</v>
          </cell>
          <cell r="AA337">
            <v>352.13339770707097</v>
          </cell>
          <cell r="AB337">
            <v>338.44606010683231</v>
          </cell>
          <cell r="AC337">
            <v>324.2461513791369</v>
          </cell>
          <cell r="AD337">
            <v>311.83368270767585</v>
          </cell>
          <cell r="AE337">
            <v>299.18106124738779</v>
          </cell>
          <cell r="AF337">
            <v>286.28756713364908</v>
          </cell>
          <cell r="AG337">
            <v>273.15248050183715</v>
          </cell>
          <cell r="AH337">
            <v>259.77508148732989</v>
          </cell>
        </row>
        <row r="338">
          <cell r="B338" t="str">
            <v>e-ammonia - Feedstock cost - Asia - USD/ton fuel</v>
          </cell>
          <cell r="G338">
            <v>950.2667982828026</v>
          </cell>
          <cell r="H338">
            <v>878.73625469916499</v>
          </cell>
          <cell r="I338">
            <v>806.68237482964742</v>
          </cell>
          <cell r="J338">
            <v>775.15174922896665</v>
          </cell>
          <cell r="K338">
            <v>742.68519084455022</v>
          </cell>
          <cell r="L338">
            <v>709.30251372782868</v>
          </cell>
          <cell r="M338">
            <v>675.02353193028182</v>
          </cell>
          <cell r="N338">
            <v>639.8680595033486</v>
          </cell>
          <cell r="O338">
            <v>625.47827472822894</v>
          </cell>
          <cell r="P338">
            <v>609.74170652589805</v>
          </cell>
          <cell r="Q338">
            <v>592.67135000382768</v>
          </cell>
          <cell r="R338">
            <v>574.28020026947547</v>
          </cell>
          <cell r="S338">
            <v>554.5812524303426</v>
          </cell>
          <cell r="T338">
            <v>540.8896999025884</v>
          </cell>
          <cell r="U338">
            <v>526.27889013514221</v>
          </cell>
          <cell r="V338">
            <v>510.75340348374488</v>
          </cell>
          <cell r="W338">
            <v>494.31782030408294</v>
          </cell>
          <cell r="X338">
            <v>476.97672095188648</v>
          </cell>
          <cell r="Y338">
            <v>458.95400415511773</v>
          </cell>
          <cell r="Z338">
            <v>440.55216316784214</v>
          </cell>
          <cell r="AA338">
            <v>421.76847144432855</v>
          </cell>
          <cell r="AB338">
            <v>402.60020243882519</v>
          </cell>
          <cell r="AC338">
            <v>383.04462960559368</v>
          </cell>
          <cell r="AD338">
            <v>368.4433927690344</v>
          </cell>
          <cell r="AE338">
            <v>353.6458916370151</v>
          </cell>
          <cell r="AF338">
            <v>338.65052094210938</v>
          </cell>
          <cell r="AG338">
            <v>323.45567541688979</v>
          </cell>
          <cell r="AH338">
            <v>308.05974979392886</v>
          </cell>
        </row>
        <row r="339">
          <cell r="B339" t="str">
            <v>e-ammonia - Feedstock cost - Europe - USD/ton fuel</v>
          </cell>
          <cell r="G339">
            <v>785.55136241661614</v>
          </cell>
          <cell r="H339">
            <v>750.1231254444458</v>
          </cell>
          <cell r="I339">
            <v>714.109026230636</v>
          </cell>
          <cell r="J339">
            <v>686.37911186256974</v>
          </cell>
          <cell r="K339">
            <v>657.72463548952771</v>
          </cell>
          <cell r="L339">
            <v>628.1618942398112</v>
          </cell>
          <cell r="M339">
            <v>597.70718524172264</v>
          </cell>
          <cell r="N339">
            <v>566.37680562354603</v>
          </cell>
          <cell r="O339">
            <v>559.16159384720822</v>
          </cell>
          <cell r="P339">
            <v>550.53252649092803</v>
          </cell>
          <cell r="Q339">
            <v>540.49613754003258</v>
          </cell>
          <cell r="R339">
            <v>529.05896097985431</v>
          </cell>
          <cell r="S339">
            <v>516.22753079575318</v>
          </cell>
          <cell r="T339">
            <v>505.55805807259742</v>
          </cell>
          <cell r="U339">
            <v>493.93167787105335</v>
          </cell>
          <cell r="V339">
            <v>481.35109466354356</v>
          </cell>
          <cell r="W339">
            <v>467.81901292244572</v>
          </cell>
          <cell r="X339">
            <v>453.33813712016746</v>
          </cell>
          <cell r="Y339">
            <v>438.21942553750921</v>
          </cell>
          <cell r="Z339">
            <v>422.65329372064139</v>
          </cell>
          <cell r="AA339">
            <v>406.63809626484561</v>
          </cell>
          <cell r="AB339">
            <v>390.17218776537283</v>
          </cell>
          <cell r="AC339">
            <v>373.25392281749805</v>
          </cell>
          <cell r="AD339">
            <v>358.86951875583327</v>
          </cell>
          <cell r="AE339">
            <v>344.28464571577996</v>
          </cell>
          <cell r="AF339">
            <v>329.49776241240289</v>
          </cell>
          <cell r="AG339">
            <v>314.5073275607657</v>
          </cell>
          <cell r="AH339">
            <v>299.31179987593168</v>
          </cell>
        </row>
        <row r="340">
          <cell r="B340" t="str">
            <v>e-ammonia - Feedstock cost - Middle East - USD/ton fuel</v>
          </cell>
          <cell r="G340">
            <v>673.14942986544474</v>
          </cell>
          <cell r="H340">
            <v>642.30868288906538</v>
          </cell>
          <cell r="I340">
            <v>610.89203358927045</v>
          </cell>
          <cell r="J340">
            <v>589.34501400076897</v>
          </cell>
          <cell r="K340">
            <v>566.87592215782263</v>
          </cell>
          <cell r="L340">
            <v>543.49522777441109</v>
          </cell>
          <cell r="M340">
            <v>519.21340056453096</v>
          </cell>
          <cell r="N340">
            <v>494.0409102421454</v>
          </cell>
          <cell r="O340">
            <v>486.67607014984083</v>
          </cell>
          <cell r="P340">
            <v>477.92871990643033</v>
          </cell>
          <cell r="Q340">
            <v>467.80598297495533</v>
          </cell>
          <cell r="R340">
            <v>456.31498281846012</v>
          </cell>
          <cell r="S340">
            <v>443.46284290000705</v>
          </cell>
          <cell r="T340">
            <v>433.72565955960374</v>
          </cell>
          <cell r="U340">
            <v>423.04259896316131</v>
          </cell>
          <cell r="V340">
            <v>411.41613716116166</v>
          </cell>
          <cell r="W340">
            <v>398.84875020404354</v>
          </cell>
          <cell r="X340">
            <v>385.3429141422763</v>
          </cell>
          <cell r="Y340">
            <v>370.58496982170988</v>
          </cell>
          <cell r="Z340">
            <v>355.38244239668643</v>
          </cell>
          <cell r="AA340">
            <v>339.7334852662442</v>
          </cell>
          <cell r="AB340">
            <v>323.636251829402</v>
          </cell>
          <cell r="AC340">
            <v>307.08889548519164</v>
          </cell>
          <cell r="AD340">
            <v>294.16861152741751</v>
          </cell>
          <cell r="AE340">
            <v>281.01946930170379</v>
          </cell>
          <cell r="AF340">
            <v>267.64035922163578</v>
          </cell>
          <cell r="AG340">
            <v>254.03017170080099</v>
          </cell>
          <cell r="AH340">
            <v>240.18779715278714</v>
          </cell>
        </row>
        <row r="341">
          <cell r="B341" t="str">
            <v>e-hydrogen (compressed) - Cost - Africa - ton H2O/ton H2</v>
          </cell>
          <cell r="G341">
            <v>4633.1233423090589</v>
          </cell>
          <cell r="H341">
            <v>4201.9656446218651</v>
          </cell>
          <cell r="I341">
            <v>3768.1364126730182</v>
          </cell>
          <cell r="J341">
            <v>3627.6640614332246</v>
          </cell>
          <cell r="K341">
            <v>3482.0419503382509</v>
          </cell>
          <cell r="L341">
            <v>3331.3728662299636</v>
          </cell>
          <cell r="M341">
            <v>3175.7595959503119</v>
          </cell>
          <cell r="N341">
            <v>3015.3049263411149</v>
          </cell>
          <cell r="O341">
            <v>2957.5120355923382</v>
          </cell>
          <cell r="P341">
            <v>2892.1425659444694</v>
          </cell>
          <cell r="Q341">
            <v>2819.2518810339607</v>
          </cell>
          <cell r="R341">
            <v>2738.8953444973072</v>
          </cell>
          <cell r="S341">
            <v>2651.1283199710874</v>
          </cell>
          <cell r="T341">
            <v>2589.8814487511354</v>
          </cell>
          <cell r="U341">
            <v>2523.4234074819769</v>
          </cell>
          <cell r="V341">
            <v>2451.7722615286521</v>
          </cell>
          <cell r="W341">
            <v>2374.9460762559747</v>
          </cell>
          <cell r="X341">
            <v>2292.9629170289318</v>
          </cell>
          <cell r="Y341">
            <v>2208.6908045163059</v>
          </cell>
          <cell r="Z341">
            <v>2121.9988992007134</v>
          </cell>
          <cell r="AA341">
            <v>2032.876636943749</v>
          </cell>
          <cell r="AB341">
            <v>1941.3134536068953</v>
          </cell>
          <cell r="AC341">
            <v>1847.2987850517036</v>
          </cell>
          <cell r="AD341">
            <v>1773.4817469024235</v>
          </cell>
          <cell r="AE341">
            <v>1698.451689879309</v>
          </cell>
          <cell r="AF341">
            <v>1622.2019570300602</v>
          </cell>
          <cell r="AG341">
            <v>1544.7258914023987</v>
          </cell>
          <cell r="AH341">
            <v>1466.0168360440496</v>
          </cell>
        </row>
        <row r="342">
          <cell r="B342" t="str">
            <v>e-hydrogen (compressed) - Cost - Americas - ton H2O/ton H2</v>
          </cell>
          <cell r="G342">
            <v>3458.2747756282647</v>
          </cell>
          <cell r="H342">
            <v>3358.1215141660286</v>
          </cell>
          <cell r="I342">
            <v>3254.6459956552549</v>
          </cell>
          <cell r="J342">
            <v>3148.9921734049194</v>
          </cell>
          <cell r="K342">
            <v>3038.2017033305151</v>
          </cell>
          <cell r="L342">
            <v>2922.3436487831009</v>
          </cell>
          <cell r="M342">
            <v>2801.4870731138512</v>
          </cell>
          <cell r="N342">
            <v>2675.701039673685</v>
          </cell>
          <cell r="O342">
            <v>2643.8786103743646</v>
          </cell>
          <cell r="P342">
            <v>2604.2634692905026</v>
          </cell>
          <cell r="Q342">
            <v>2556.8876858485628</v>
          </cell>
          <cell r="R342">
            <v>2501.7833294749726</v>
          </cell>
          <cell r="S342">
            <v>2438.9824695962966</v>
          </cell>
          <cell r="T342">
            <v>2379.5862497865878</v>
          </cell>
          <cell r="U342">
            <v>2315.0272995091577</v>
          </cell>
          <cell r="V342">
            <v>2245.3236408089065</v>
          </cell>
          <cell r="W342">
            <v>2170.4932957305264</v>
          </cell>
          <cell r="X342">
            <v>2090.5542863188448</v>
          </cell>
          <cell r="Y342">
            <v>2024.0950200699413</v>
          </cell>
          <cell r="Z342">
            <v>1954.8005234985762</v>
          </cell>
          <cell r="AA342">
            <v>1882.6666675873769</v>
          </cell>
          <cell r="AB342">
            <v>1807.6893233188264</v>
          </cell>
          <cell r="AC342">
            <v>1729.8643616755162</v>
          </cell>
          <cell r="AD342">
            <v>1661.9243548242082</v>
          </cell>
          <cell r="AE342">
            <v>1592.6501658127502</v>
          </cell>
          <cell r="AF342">
            <v>1522.0377953932327</v>
          </cell>
          <cell r="AG342">
            <v>1450.083244317753</v>
          </cell>
          <cell r="AH342">
            <v>1376.7825133384104</v>
          </cell>
        </row>
        <row r="343">
          <cell r="B343" t="str">
            <v>e-hydrogen (compressed) - Cost - Asia - ton H2O/ton H2</v>
          </cell>
          <cell r="G343">
            <v>4987.7978827141424</v>
          </cell>
          <cell r="H343">
            <v>4618.4094108214867</v>
          </cell>
          <cell r="I343">
            <v>4246.1135151183844</v>
          </cell>
          <cell r="J343">
            <v>4097.3824826576747</v>
          </cell>
          <cell r="K343">
            <v>3943.3770419350276</v>
          </cell>
          <cell r="L343">
            <v>3784.2072710139482</v>
          </cell>
          <cell r="M343">
            <v>3619.9832479582124</v>
          </cell>
          <cell r="N343">
            <v>3450.8150508313697</v>
          </cell>
          <cell r="O343">
            <v>3373.0215929007072</v>
          </cell>
          <cell r="P343">
            <v>3287.7460048188714</v>
          </cell>
          <cell r="Q343">
            <v>3195.0604816273712</v>
          </cell>
          <cell r="R343">
            <v>3095.0372183676395</v>
          </cell>
          <cell r="S343">
            <v>2987.7484100813476</v>
          </cell>
          <cell r="T343">
            <v>2913.2093711775688</v>
          </cell>
          <cell r="U343">
            <v>2833.5633476088337</v>
          </cell>
          <cell r="V343">
            <v>2748.8357857959254</v>
          </cell>
          <cell r="W343">
            <v>2659.0521321593251</v>
          </cell>
          <cell r="X343">
            <v>2564.2378331197551</v>
          </cell>
          <cell r="Y343">
            <v>2465.6669595887115</v>
          </cell>
          <cell r="Z343">
            <v>2364.9898405548524</v>
          </cell>
          <cell r="AA343">
            <v>2262.1913285418932</v>
          </cell>
          <cell r="AB343">
            <v>2157.2562760734354</v>
          </cell>
          <cell r="AC343">
            <v>2050.1695356731543</v>
          </cell>
          <cell r="AD343">
            <v>1970.240754749665</v>
          </cell>
          <cell r="AE343">
            <v>1889.2216166291751</v>
          </cell>
          <cell r="AF343">
            <v>1807.1032031593165</v>
          </cell>
          <cell r="AG343">
            <v>1723.8765961877139</v>
          </cell>
          <cell r="AH343">
            <v>1639.532877561993</v>
          </cell>
        </row>
        <row r="344">
          <cell r="B344" t="str">
            <v>e-hydrogen (compressed) - Cost - Europe - ton H2O/ton H2</v>
          </cell>
          <cell r="G344">
            <v>4089.3856734873298</v>
          </cell>
          <cell r="H344">
            <v>3916.9256406265708</v>
          </cell>
          <cell r="I344">
            <v>3741.2108175344811</v>
          </cell>
          <cell r="J344">
            <v>3613.0656692355524</v>
          </cell>
          <cell r="K344">
            <v>3479.7225571491235</v>
          </cell>
          <cell r="L344">
            <v>3341.2720208768683</v>
          </cell>
          <cell r="M344">
            <v>3197.8046000204672</v>
          </cell>
          <cell r="N344">
            <v>3049.4108341814967</v>
          </cell>
          <cell r="O344">
            <v>3010.8443238003165</v>
          </cell>
          <cell r="P344">
            <v>2964.4230601972345</v>
          </cell>
          <cell r="Q344">
            <v>2910.1833432907338</v>
          </cell>
          <cell r="R344">
            <v>2848.1614729993285</v>
          </cell>
          <cell r="S344">
            <v>2778.3937492416853</v>
          </cell>
          <cell r="T344">
            <v>2720.379449531456</v>
          </cell>
          <cell r="U344">
            <v>2657.0489971635134</v>
          </cell>
          <cell r="V344">
            <v>2588.4174169846506</v>
          </cell>
          <cell r="W344">
            <v>2514.4997338414096</v>
          </cell>
          <cell r="X344">
            <v>2435.3109725804993</v>
          </cell>
          <cell r="Y344">
            <v>2352.605312916116</v>
          </cell>
          <cell r="Z344">
            <v>2267.4139852839012</v>
          </cell>
          <cell r="AA344">
            <v>2179.7278485465313</v>
          </cell>
          <cell r="AB344">
            <v>2089.5377615665116</v>
          </cell>
          <cell r="AC344">
            <v>1996.8345832064804</v>
          </cell>
          <cell r="AD344">
            <v>1918.0980681700892</v>
          </cell>
          <cell r="AE344">
            <v>1838.2478365870952</v>
          </cell>
          <cell r="AF344">
            <v>1757.2753257634138</v>
          </cell>
          <cell r="AG344">
            <v>1675.1719730049533</v>
          </cell>
          <cell r="AH344">
            <v>1591.929215617622</v>
          </cell>
        </row>
        <row r="345">
          <cell r="B345" t="str">
            <v>e-hydrogen (compressed) - Cost - Middle East - ton H2O/ton H2</v>
          </cell>
          <cell r="G345">
            <v>3476.3085322126099</v>
          </cell>
          <cell r="H345">
            <v>3328.8823974252828</v>
          </cell>
          <cell r="I345">
            <v>3178.2568052856477</v>
          </cell>
          <cell r="J345">
            <v>3083.6768117686811</v>
          </cell>
          <cell r="K345">
            <v>2983.9346800894909</v>
          </cell>
          <cell r="L345">
            <v>2879.0885753257426</v>
          </cell>
          <cell r="M345">
            <v>2769.1966625551941</v>
          </cell>
          <cell r="N345">
            <v>2654.3171068554188</v>
          </cell>
          <cell r="O345">
            <v>2614.9769692636173</v>
          </cell>
          <cell r="P345">
            <v>2567.9562197212276</v>
          </cell>
          <cell r="Q345">
            <v>2513.2944330229238</v>
          </cell>
          <cell r="R345">
            <v>2451.0311839633964</v>
          </cell>
          <cell r="S345">
            <v>2381.2060473374368</v>
          </cell>
          <cell r="T345">
            <v>2328.338914207246</v>
          </cell>
          <cell r="U345">
            <v>2270.2169074323938</v>
          </cell>
          <cell r="V345">
            <v>2206.8537828488898</v>
          </cell>
          <cell r="W345">
            <v>2138.2632962925059</v>
          </cell>
          <cell r="X345">
            <v>2064.4592035991823</v>
          </cell>
          <cell r="Y345">
            <v>1983.8077079076854</v>
          </cell>
          <cell r="Z345">
            <v>1900.6863060803155</v>
          </cell>
          <cell r="AA345">
            <v>1815.084739222842</v>
          </cell>
          <cell r="AB345">
            <v>1726.9927484409238</v>
          </cell>
          <cell r="AC345">
            <v>1636.4000748402937</v>
          </cell>
          <cell r="AD345">
            <v>1565.7141614700843</v>
          </cell>
          <cell r="AE345">
            <v>1493.7568132779884</v>
          </cell>
          <cell r="AF345">
            <v>1420.5218658950355</v>
          </cell>
          <cell r="AG345">
            <v>1346.0031549522671</v>
          </cell>
          <cell r="AH345">
            <v>1270.1945160807259</v>
          </cell>
        </row>
        <row r="346">
          <cell r="B346" t="str">
            <v>Nitrogen - Cost - Africa - ton H2O/ton H2</v>
          </cell>
          <cell r="G346">
            <v>62.382424191379783</v>
          </cell>
          <cell r="H346">
            <v>55.997325174045116</v>
          </cell>
          <cell r="I346">
            <v>49.612226156710058</v>
          </cell>
          <cell r="J346">
            <v>43.887331731968366</v>
          </cell>
          <cell r="K346">
            <v>38.177728194232856</v>
          </cell>
          <cell r="L346">
            <v>32.483415543503462</v>
          </cell>
          <cell r="M346">
            <v>26.804393779780085</v>
          </cell>
          <cell r="N346">
            <v>21.140662903062857</v>
          </cell>
          <cell r="O346">
            <v>20.734778086352062</v>
          </cell>
          <cell r="P346">
            <v>20.328893269641238</v>
          </cell>
          <cell r="Q346">
            <v>19.923008452930322</v>
          </cell>
          <cell r="R346">
            <v>19.517123636219502</v>
          </cell>
          <cell r="S346">
            <v>19.111238819508699</v>
          </cell>
          <cell r="T346">
            <v>18.818302092647272</v>
          </cell>
          <cell r="U346">
            <v>18.525365365785873</v>
          </cell>
          <cell r="V346">
            <v>18.232428638924446</v>
          </cell>
          <cell r="W346">
            <v>17.939491912063019</v>
          </cell>
          <cell r="X346">
            <v>17.646555185201638</v>
          </cell>
          <cell r="Y346">
            <v>17.350778996535915</v>
          </cell>
          <cell r="Z346">
            <v>17.055002807870196</v>
          </cell>
          <cell r="AA346">
            <v>16.759226619204426</v>
          </cell>
          <cell r="AB346">
            <v>16.463450430538703</v>
          </cell>
          <cell r="AC346">
            <v>16.167674241872959</v>
          </cell>
          <cell r="AD346">
            <v>15.924483522587945</v>
          </cell>
          <cell r="AE346">
            <v>15.681292803302957</v>
          </cell>
          <cell r="AF346">
            <v>15.438102084017945</v>
          </cell>
          <cell r="AG346">
            <v>15.194911364732933</v>
          </cell>
          <cell r="AH346">
            <v>14.951720645447942</v>
          </cell>
        </row>
        <row r="347">
          <cell r="B347" t="str">
            <v>Nitrogen - Cost - Americas - ton H2O/ton H2</v>
          </cell>
          <cell r="G347">
            <v>57.607847265415415</v>
          </cell>
          <cell r="H347">
            <v>52.564037713433983</v>
          </cell>
          <cell r="I347">
            <v>47.520228161452508</v>
          </cell>
          <cell r="J347">
            <v>41.968823942107136</v>
          </cell>
          <cell r="K347">
            <v>36.427693799463867</v>
          </cell>
          <cell r="L347">
            <v>30.896837733522634</v>
          </cell>
          <cell r="M347">
            <v>25.376255744283551</v>
          </cell>
          <cell r="N347">
            <v>19.865947831746368</v>
          </cell>
          <cell r="O347">
            <v>19.549844522340834</v>
          </cell>
          <cell r="P347">
            <v>19.233741212935282</v>
          </cell>
          <cell r="Q347">
            <v>18.917637903529727</v>
          </cell>
          <cell r="R347">
            <v>18.601534594124175</v>
          </cell>
          <cell r="S347">
            <v>18.285431284718598</v>
          </cell>
          <cell r="T347">
            <v>17.992735401750984</v>
          </cell>
          <cell r="U347">
            <v>17.70003951878337</v>
          </cell>
          <cell r="V347">
            <v>17.407343635815735</v>
          </cell>
          <cell r="W347">
            <v>17.114647752848121</v>
          </cell>
          <cell r="X347">
            <v>16.821951869880493</v>
          </cell>
          <cell r="Y347">
            <v>16.589086137642596</v>
          </cell>
          <cell r="Z347">
            <v>16.356220405404699</v>
          </cell>
          <cell r="AA347">
            <v>16.123354673166808</v>
          </cell>
          <cell r="AB347">
            <v>15.890488940928911</v>
          </cell>
          <cell r="AC347">
            <v>15.657623208691012</v>
          </cell>
          <cell r="AD347">
            <v>15.434670120825308</v>
          </cell>
          <cell r="AE347">
            <v>15.211717032959616</v>
          </cell>
          <cell r="AF347">
            <v>14.988763945093925</v>
          </cell>
          <cell r="AG347">
            <v>14.765810857228233</v>
          </cell>
          <cell r="AH347">
            <v>14.542857769362541</v>
          </cell>
        </row>
        <row r="348">
          <cell r="B348" t="str">
            <v>Nitrogen - Cost - Asia - ton H2O/ton H2</v>
          </cell>
          <cell r="G348">
            <v>63.823819214424681</v>
          </cell>
          <cell r="H348">
            <v>57.691679746103915</v>
          </cell>
          <cell r="I348">
            <v>51.559540277783768</v>
          </cell>
          <cell r="J348">
            <v>45.769954197792259</v>
          </cell>
          <cell r="K348">
            <v>39.996743669398164</v>
          </cell>
          <cell r="L348">
            <v>34.239908692601006</v>
          </cell>
          <cell r="M348">
            <v>28.499449267400983</v>
          </cell>
          <cell r="N348">
            <v>22.775365393798197</v>
          </cell>
          <cell r="O348">
            <v>22.304608279929006</v>
          </cell>
          <cell r="P348">
            <v>21.833851166059876</v>
          </cell>
          <cell r="Q348">
            <v>21.363094052190831</v>
          </cell>
          <cell r="R348">
            <v>20.892336938321705</v>
          </cell>
          <cell r="S348">
            <v>20.421579824452571</v>
          </cell>
          <cell r="T348">
            <v>20.087607166211807</v>
          </cell>
          <cell r="U348">
            <v>19.753634507971043</v>
          </cell>
          <cell r="V348">
            <v>19.419661849730325</v>
          </cell>
          <cell r="W348">
            <v>19.085689191489564</v>
          </cell>
          <cell r="X348">
            <v>18.751716533248889</v>
          </cell>
          <cell r="Y348">
            <v>18.411133125486174</v>
          </cell>
          <cell r="Z348">
            <v>18.070549717723505</v>
          </cell>
          <cell r="AA348">
            <v>17.72996630996079</v>
          </cell>
          <cell r="AB348">
            <v>17.389382902198118</v>
          </cell>
          <cell r="AC348">
            <v>17.048799494435407</v>
          </cell>
          <cell r="AD348">
            <v>16.788390406441305</v>
          </cell>
          <cell r="AE348">
            <v>16.527981318447186</v>
          </cell>
          <cell r="AF348">
            <v>16.267572230453087</v>
          </cell>
          <cell r="AG348">
            <v>16.007163142458989</v>
          </cell>
          <cell r="AH348">
            <v>15.746754054464866</v>
          </cell>
        </row>
        <row r="349">
          <cell r="B349" t="str">
            <v>Nitrogen - Cost - Europe - ton H2O/ton H2</v>
          </cell>
          <cell r="G349">
            <v>60.172677845373265</v>
          </cell>
          <cell r="H349">
            <v>54.837603566500185</v>
          </cell>
          <cell r="I349">
            <v>49.502529287627134</v>
          </cell>
          <cell r="J349">
            <v>43.828821654708456</v>
          </cell>
          <cell r="K349">
            <v>38.168582971636823</v>
          </cell>
          <cell r="L349">
            <v>32.521813238412349</v>
          </cell>
          <cell r="M349">
            <v>26.888512455034856</v>
          </cell>
          <cell r="N349">
            <v>21.268680621504462</v>
          </cell>
          <cell r="O349">
            <v>20.936271974636554</v>
          </cell>
          <cell r="P349">
            <v>20.603863327768757</v>
          </cell>
          <cell r="Q349">
            <v>20.271454680900913</v>
          </cell>
          <cell r="R349">
            <v>19.939046034033069</v>
          </cell>
          <cell r="S349">
            <v>19.606637387165271</v>
          </cell>
          <cell r="T349">
            <v>19.330604813790011</v>
          </cell>
          <cell r="U349">
            <v>19.054572240414775</v>
          </cell>
          <cell r="V349">
            <v>18.778539667039539</v>
          </cell>
          <cell r="W349">
            <v>18.502507093664299</v>
          </cell>
          <cell r="X349">
            <v>18.226474520289017</v>
          </cell>
          <cell r="Y349">
            <v>17.944609747698756</v>
          </cell>
          <cell r="Z349">
            <v>17.662744975108474</v>
          </cell>
          <cell r="AA349">
            <v>17.380880202518213</v>
          </cell>
          <cell r="AB349">
            <v>17.099015429927928</v>
          </cell>
          <cell r="AC349">
            <v>16.81715065733767</v>
          </cell>
          <cell r="AD349">
            <v>16.55944827885304</v>
          </cell>
          <cell r="AE349">
            <v>16.301745900368388</v>
          </cell>
          <cell r="AF349">
            <v>16.044043521883761</v>
          </cell>
          <cell r="AG349">
            <v>15.786341143399135</v>
          </cell>
          <cell r="AH349">
            <v>15.528638764914483</v>
          </cell>
        </row>
        <row r="350">
          <cell r="B350" t="str">
            <v>Nitrogen - Cost - Middle East - ton H2O/ton H2</v>
          </cell>
          <cell r="G350">
            <v>57.681136334762741</v>
          </cell>
          <cell r="H350">
            <v>52.445074638095505</v>
          </cell>
          <cell r="I350">
            <v>47.209012941428185</v>
          </cell>
          <cell r="J350">
            <v>41.707041219472472</v>
          </cell>
          <cell r="K350">
            <v>36.213722313520933</v>
          </cell>
          <cell r="L350">
            <v>30.729056223573529</v>
          </cell>
          <cell r="M350">
            <v>25.253042949630256</v>
          </cell>
          <cell r="N350">
            <v>19.785682491691063</v>
          </cell>
          <cell r="O350">
            <v>19.440651681739325</v>
          </cell>
          <cell r="P350">
            <v>19.095620871787613</v>
          </cell>
          <cell r="Q350">
            <v>18.750590061835851</v>
          </cell>
          <cell r="R350">
            <v>18.405559251884142</v>
          </cell>
          <cell r="S350">
            <v>18.060528441932426</v>
          </cell>
          <cell r="T350">
            <v>17.791551097687908</v>
          </cell>
          <cell r="U350">
            <v>17.522573753443393</v>
          </cell>
          <cell r="V350">
            <v>17.253596409198899</v>
          </cell>
          <cell r="W350">
            <v>16.98461906495438</v>
          </cell>
          <cell r="X350">
            <v>16.715641720709861</v>
          </cell>
          <cell r="Y350">
            <v>16.422849633000681</v>
          </cell>
          <cell r="Z350">
            <v>16.130057545291525</v>
          </cell>
          <cell r="AA350">
            <v>15.83726545758234</v>
          </cell>
          <cell r="AB350">
            <v>15.544473369873183</v>
          </cell>
          <cell r="AC350">
            <v>15.251681282163991</v>
          </cell>
          <cell r="AD350">
            <v>15.012241438932278</v>
          </cell>
          <cell r="AE350">
            <v>14.772801595700578</v>
          </cell>
          <cell r="AF350">
            <v>14.533361752468865</v>
          </cell>
          <cell r="AG350">
            <v>14.293921909237154</v>
          </cell>
          <cell r="AH350">
            <v>14.054482066005454</v>
          </cell>
        </row>
        <row r="351">
          <cell r="B351" t="str">
            <v>e-ammonia - Conversion H2 -&gt; NH3 - Global - ton H2/ton NH3</v>
          </cell>
          <cell r="G351">
            <v>0.18</v>
          </cell>
          <cell r="H351">
            <v>0.18</v>
          </cell>
          <cell r="I351">
            <v>0.18</v>
          </cell>
          <cell r="J351">
            <v>0.18</v>
          </cell>
          <cell r="K351">
            <v>0.18</v>
          </cell>
          <cell r="L351">
            <v>0.18</v>
          </cell>
          <cell r="M351">
            <v>0.18</v>
          </cell>
          <cell r="N351">
            <v>0.18</v>
          </cell>
          <cell r="O351">
            <v>0.18</v>
          </cell>
          <cell r="P351">
            <v>0.18</v>
          </cell>
          <cell r="Q351">
            <v>0.18</v>
          </cell>
          <cell r="R351">
            <v>0.18</v>
          </cell>
          <cell r="S351">
            <v>0.18</v>
          </cell>
          <cell r="T351">
            <v>0.18</v>
          </cell>
          <cell r="U351">
            <v>0.18</v>
          </cell>
          <cell r="V351">
            <v>0.18</v>
          </cell>
          <cell r="W351">
            <v>0.18</v>
          </cell>
          <cell r="X351">
            <v>0.18</v>
          </cell>
          <cell r="Y351">
            <v>0.18</v>
          </cell>
          <cell r="Z351">
            <v>0.18</v>
          </cell>
          <cell r="AA351">
            <v>0.18</v>
          </cell>
          <cell r="AB351">
            <v>0.18</v>
          </cell>
          <cell r="AC351">
            <v>0.18</v>
          </cell>
          <cell r="AD351">
            <v>0.18</v>
          </cell>
          <cell r="AE351">
            <v>0.18</v>
          </cell>
          <cell r="AF351">
            <v>0.18</v>
          </cell>
          <cell r="AG351">
            <v>0.18</v>
          </cell>
          <cell r="AH351">
            <v>0.18</v>
          </cell>
        </row>
        <row r="352">
          <cell r="B352" t="str">
            <v>e-ammonia - Conversion N2 -&gt; NH3 - Global - ton N2/ton NH3</v>
          </cell>
          <cell r="G352">
            <v>0.82199999999999995</v>
          </cell>
          <cell r="H352">
            <v>0.82199999999999995</v>
          </cell>
          <cell r="I352">
            <v>0.82199999999999995</v>
          </cell>
          <cell r="J352">
            <v>0.82199999999999995</v>
          </cell>
          <cell r="K352">
            <v>0.82199999999999995</v>
          </cell>
          <cell r="L352">
            <v>0.82199999999999995</v>
          </cell>
          <cell r="M352">
            <v>0.82199999999999995</v>
          </cell>
          <cell r="N352">
            <v>0.82199999999999995</v>
          </cell>
          <cell r="O352">
            <v>0.82199999999999995</v>
          </cell>
          <cell r="P352">
            <v>0.82199999999999995</v>
          </cell>
          <cell r="Q352">
            <v>0.82199999999999995</v>
          </cell>
          <cell r="R352">
            <v>0.82199999999999995</v>
          </cell>
          <cell r="S352">
            <v>0.82199999999999995</v>
          </cell>
          <cell r="T352">
            <v>0.82199999999999995</v>
          </cell>
          <cell r="U352">
            <v>0.82199999999999995</v>
          </cell>
          <cell r="V352">
            <v>0.82199999999999995</v>
          </cell>
          <cell r="W352">
            <v>0.82199999999999995</v>
          </cell>
          <cell r="X352">
            <v>0.82199999999999995</v>
          </cell>
          <cell r="Y352">
            <v>0.82199999999999995</v>
          </cell>
          <cell r="Z352">
            <v>0.82199999999999995</v>
          </cell>
          <cell r="AA352">
            <v>0.82199999999999995</v>
          </cell>
          <cell r="AB352">
            <v>0.82199999999999995</v>
          </cell>
          <cell r="AC352">
            <v>0.82199999999999995</v>
          </cell>
          <cell r="AD352">
            <v>0.82199999999999995</v>
          </cell>
          <cell r="AE352">
            <v>0.82199999999999995</v>
          </cell>
          <cell r="AF352">
            <v>0.82199999999999995</v>
          </cell>
          <cell r="AG352">
            <v>0.82199999999999995</v>
          </cell>
          <cell r="AH352">
            <v>0.82199999999999995</v>
          </cell>
        </row>
        <row r="354">
          <cell r="B354" t="str">
            <v>Carbon dioxide (DAC) - Item - Region - Unit</v>
          </cell>
          <cell r="G354">
            <v>2023</v>
          </cell>
          <cell r="H354">
            <v>2024</v>
          </cell>
          <cell r="I354">
            <v>2025</v>
          </cell>
          <cell r="J354">
            <v>2026</v>
          </cell>
          <cell r="K354">
            <v>2027</v>
          </cell>
          <cell r="L354">
            <v>2028</v>
          </cell>
          <cell r="M354">
            <v>2029</v>
          </cell>
          <cell r="N354">
            <v>2030</v>
          </cell>
          <cell r="O354">
            <v>2031</v>
          </cell>
          <cell r="P354">
            <v>2032</v>
          </cell>
          <cell r="Q354">
            <v>2033</v>
          </cell>
          <cell r="R354">
            <v>2034</v>
          </cell>
          <cell r="S354">
            <v>2035</v>
          </cell>
          <cell r="T354">
            <v>2036</v>
          </cell>
          <cell r="U354">
            <v>2037</v>
          </cell>
          <cell r="V354">
            <v>2038</v>
          </cell>
          <cell r="W354">
            <v>2039</v>
          </cell>
          <cell r="X354">
            <v>2040</v>
          </cell>
          <cell r="Y354">
            <v>2041</v>
          </cell>
          <cell r="Z354">
            <v>2042</v>
          </cell>
          <cell r="AA354">
            <v>2043</v>
          </cell>
          <cell r="AB354">
            <v>2044</v>
          </cell>
          <cell r="AC354">
            <v>2045</v>
          </cell>
          <cell r="AD354">
            <v>2046</v>
          </cell>
          <cell r="AE354">
            <v>2047</v>
          </cell>
          <cell r="AF354">
            <v>2048</v>
          </cell>
          <cell r="AG354">
            <v>2049</v>
          </cell>
          <cell r="AH354">
            <v>2050</v>
          </cell>
        </row>
        <row r="355">
          <cell r="B355" t="str">
            <v>Carbon dioxide (DAC) - Total cost - Africa - USD/ton fuel</v>
          </cell>
          <cell r="G355">
            <v>296.62097893228963</v>
          </cell>
          <cell r="H355">
            <v>269.95608923406257</v>
          </cell>
          <cell r="I355">
            <v>243.88653979208223</v>
          </cell>
          <cell r="J355">
            <v>232.80947300688581</v>
          </cell>
          <cell r="K355">
            <v>221.91885106693803</v>
          </cell>
          <cell r="L355">
            <v>211.21467397223984</v>
          </cell>
          <cell r="M355">
            <v>200.69694172279128</v>
          </cell>
          <cell r="N355">
            <v>190.36565431859265</v>
          </cell>
          <cell r="O355">
            <v>183.00309152249926</v>
          </cell>
          <cell r="P355">
            <v>175.74977399689323</v>
          </cell>
          <cell r="Q355">
            <v>168.60570174177207</v>
          </cell>
          <cell r="R355">
            <v>161.57087475713939</v>
          </cell>
          <cell r="S355">
            <v>154.64529304299276</v>
          </cell>
          <cell r="T355">
            <v>149.68657367102458</v>
          </cell>
          <cell r="U355">
            <v>144.78817859510252</v>
          </cell>
          <cell r="V355">
            <v>139.95010781522603</v>
          </cell>
          <cell r="W355">
            <v>135.17236133139443</v>
          </cell>
          <cell r="X355">
            <v>130.45493914360796</v>
          </cell>
          <cell r="Y355">
            <v>126.17618237922781</v>
          </cell>
          <cell r="Z355">
            <v>121.95014865552533</v>
          </cell>
          <cell r="AA355">
            <v>117.7768379725002</v>
          </cell>
          <cell r="AB355">
            <v>113.65625033015385</v>
          </cell>
          <cell r="AC355">
            <v>109.58838572848549</v>
          </cell>
          <cell r="AD355">
            <v>106.44467413105096</v>
          </cell>
          <cell r="AE355">
            <v>103.33236707160029</v>
          </cell>
          <cell r="AF355">
            <v>100.25146455013206</v>
          </cell>
          <cell r="AG355">
            <v>97.201966566647087</v>
          </cell>
          <cell r="AH355">
            <v>94.183873121146092</v>
          </cell>
        </row>
        <row r="356">
          <cell r="B356" t="str">
            <v>Carbon dioxide (DAC) - Total cost - Americas - USD/ton fuel</v>
          </cell>
          <cell r="G356">
            <v>234.16162121549769</v>
          </cell>
          <cell r="H356">
            <v>225.65135900419827</v>
          </cell>
          <cell r="I356">
            <v>217.2611107615316</v>
          </cell>
          <cell r="J356">
            <v>208.26363020202524</v>
          </cell>
          <cell r="K356">
            <v>199.40688523873763</v>
          </cell>
          <cell r="L356">
            <v>190.69087587166962</v>
          </cell>
          <cell r="M356">
            <v>182.11560210082365</v>
          </cell>
          <cell r="N356">
            <v>173.68106392619524</v>
          </cell>
          <cell r="O356">
            <v>167.69551175040382</v>
          </cell>
          <cell r="P356">
            <v>161.78861356271622</v>
          </cell>
          <cell r="Q356">
            <v>155.96036936313124</v>
          </cell>
          <cell r="R356">
            <v>150.21077915165029</v>
          </cell>
          <cell r="S356">
            <v>144.53984292827138</v>
          </cell>
          <cell r="T356">
            <v>139.71556520359152</v>
          </cell>
          <cell r="U356">
            <v>134.95153505279714</v>
          </cell>
          <cell r="V356">
            <v>130.24775247588798</v>
          </cell>
          <cell r="W356">
            <v>125.60421747286347</v>
          </cell>
          <cell r="X356">
            <v>121.02093004372313</v>
          </cell>
          <cell r="Y356">
            <v>117.57533582239029</v>
          </cell>
          <cell r="Z356">
            <v>114.16372840295915</v>
          </cell>
          <cell r="AA356">
            <v>110.78610778543006</v>
          </cell>
          <cell r="AB356">
            <v>107.44247396980312</v>
          </cell>
          <cell r="AC356">
            <v>104.13282695607847</v>
          </cell>
          <cell r="AD356">
            <v>101.27377135396961</v>
          </cell>
          <cell r="AE356">
            <v>98.440485293336934</v>
          </cell>
          <cell r="AF356">
            <v>95.632968774179432</v>
          </cell>
          <cell r="AG356">
            <v>92.85122179649764</v>
          </cell>
          <cell r="AH356">
            <v>90.095244360292071</v>
          </cell>
        </row>
        <row r="357">
          <cell r="B357" t="str">
            <v>Carbon dioxide (DAC) - Total cost - Asia - USD/ton fuel</v>
          </cell>
          <cell r="G357">
            <v>315.4768082029388</v>
          </cell>
          <cell r="H357">
            <v>291.82082473612274</v>
          </cell>
          <cell r="I357">
            <v>268.67053769665677</v>
          </cell>
          <cell r="J357">
            <v>256.89619048138445</v>
          </cell>
          <cell r="K357">
            <v>245.31817072619225</v>
          </cell>
          <cell r="L357">
            <v>233.93647843107601</v>
          </cell>
          <cell r="M357">
            <v>222.75111359603954</v>
          </cell>
          <cell r="N357">
            <v>211.76207622108313</v>
          </cell>
          <cell r="O357">
            <v>203.28296344669053</v>
          </cell>
          <cell r="P357">
            <v>194.93519990183995</v>
          </cell>
          <cell r="Q357">
            <v>186.71878558652995</v>
          </cell>
          <cell r="R357">
            <v>178.63372050075947</v>
          </cell>
          <cell r="S357">
            <v>170.68000464452814</v>
          </cell>
          <cell r="T357">
            <v>165.01695433660979</v>
          </cell>
          <cell r="U357">
            <v>159.42730054865518</v>
          </cell>
          <cell r="V357">
            <v>153.91104328066464</v>
          </cell>
          <cell r="W357">
            <v>148.46818253263623</v>
          </cell>
          <cell r="X357">
            <v>143.09871830457126</v>
          </cell>
          <cell r="Y357">
            <v>138.149437809587</v>
          </cell>
          <cell r="Z357">
            <v>133.26622501694061</v>
          </cell>
          <cell r="AA357">
            <v>128.44907992663133</v>
          </cell>
          <cell r="AB357">
            <v>123.69800253866052</v>
          </cell>
          <cell r="AC357">
            <v>119.01299285302716</v>
          </cell>
          <cell r="AD357">
            <v>115.56483803179665</v>
          </cell>
          <cell r="AE357">
            <v>112.15288205701032</v>
          </cell>
          <cell r="AF357">
            <v>108.7771249286678</v>
          </cell>
          <cell r="AG357">
            <v>105.43756664676937</v>
          </cell>
          <cell r="AH357">
            <v>102.13420721131533</v>
          </cell>
        </row>
        <row r="358">
          <cell r="B358" t="str">
            <v>Carbon dioxide (DAC) - Total cost - Europe - USD/ton fuel</v>
          </cell>
          <cell r="G358">
            <v>267.71384440942967</v>
          </cell>
          <cell r="H358">
            <v>254.99050492063122</v>
          </cell>
          <cell r="I358">
            <v>242.49039782193589</v>
          </cell>
          <cell r="J358">
            <v>232.06088122815453</v>
          </cell>
          <cell r="K358">
            <v>221.80120941418619</v>
          </cell>
          <cell r="L358">
            <v>211.71138238003414</v>
          </cell>
          <cell r="M358">
            <v>201.79140012569729</v>
          </cell>
          <cell r="N358">
            <v>192.04126265117594</v>
          </cell>
          <cell r="O358">
            <v>185.60609295834632</v>
          </cell>
          <cell r="P358">
            <v>179.25513297659518</v>
          </cell>
          <cell r="Q358">
            <v>172.98838270591881</v>
          </cell>
          <cell r="R358">
            <v>166.80584214631915</v>
          </cell>
          <cell r="S358">
            <v>160.70751129779512</v>
          </cell>
          <cell r="T358">
            <v>155.8740504996469</v>
          </cell>
          <cell r="U358">
            <v>151.09552908554008</v>
          </cell>
          <cell r="V358">
            <v>146.37194705547432</v>
          </cell>
          <cell r="W358">
            <v>141.70330440944861</v>
          </cell>
          <cell r="X358">
            <v>137.08960114746228</v>
          </cell>
          <cell r="Y358">
            <v>132.88157171280233</v>
          </cell>
          <cell r="Z358">
            <v>128.72212216634401</v>
          </cell>
          <cell r="AA358">
            <v>124.61125250808806</v>
          </cell>
          <cell r="AB358">
            <v>120.54896273803433</v>
          </cell>
          <cell r="AC358">
            <v>116.53525285618329</v>
          </cell>
          <cell r="AD358">
            <v>113.14792277574824</v>
          </cell>
          <cell r="AE358">
            <v>109.79603788149367</v>
          </cell>
          <cell r="AF358">
            <v>106.47959817341915</v>
          </cell>
          <cell r="AG358">
            <v>103.198603651525</v>
          </cell>
          <cell r="AH358">
            <v>99.953054315811499</v>
          </cell>
        </row>
        <row r="359">
          <cell r="B359" t="str">
            <v>Carbon dioxide (DAC) - Total cost - Middle East - USD/ton fuel</v>
          </cell>
          <cell r="G359">
            <v>235.12036337633754</v>
          </cell>
          <cell r="H359">
            <v>224.11620442694419</v>
          </cell>
          <cell r="I359">
            <v>213.30018977940381</v>
          </cell>
          <cell r="J359">
            <v>204.91432008049392</v>
          </cell>
          <cell r="K359">
            <v>196.65441431922051</v>
          </cell>
          <cell r="L359">
            <v>188.52047249558439</v>
          </cell>
          <cell r="M359">
            <v>180.51249460958695</v>
          </cell>
          <cell r="N359">
            <v>172.63048066122599</v>
          </cell>
          <cell r="O359">
            <v>166.28490260841022</v>
          </cell>
          <cell r="P359">
            <v>160.02783502043238</v>
          </cell>
          <cell r="Q359">
            <v>153.8592778972901</v>
          </cell>
          <cell r="R359">
            <v>147.77923123898591</v>
          </cell>
          <cell r="S359">
            <v>141.78769504551758</v>
          </cell>
          <cell r="T359">
            <v>137.28570651204271</v>
          </cell>
          <cell r="U359">
            <v>132.83640988017365</v>
          </cell>
          <cell r="V359">
            <v>128.43980514991077</v>
          </cell>
          <cell r="W359">
            <v>124.09589232125236</v>
          </cell>
          <cell r="X359">
            <v>119.80467139419869</v>
          </cell>
          <cell r="Y359">
            <v>115.69823450540083</v>
          </cell>
          <cell r="Z359">
            <v>111.64363192063473</v>
          </cell>
          <cell r="AA359">
            <v>107.64086363990009</v>
          </cell>
          <cell r="AB359">
            <v>103.68992966319777</v>
          </cell>
          <cell r="AC359">
            <v>99.790829990527229</v>
          </cell>
          <cell r="AD359">
            <v>96.814241180930338</v>
          </cell>
          <cell r="AE359">
            <v>93.868012509751736</v>
          </cell>
          <cell r="AF359">
            <v>90.952143976990243</v>
          </cell>
          <cell r="AG359">
            <v>88.066635582646512</v>
          </cell>
          <cell r="AH359">
            <v>85.211487326721198</v>
          </cell>
        </row>
        <row r="360">
          <cell r="B360" t="str">
            <v/>
          </cell>
        </row>
        <row r="361">
          <cell r="B361" t="str">
            <v>Carbon dioxide (DAC) - CAPEX - Global - USD/ton fuel</v>
          </cell>
          <cell r="G361">
            <v>30.508013847333252</v>
          </cell>
          <cell r="H361">
            <v>29.566240685333227</v>
          </cell>
          <cell r="I361">
            <v>28.624467523333198</v>
          </cell>
          <cell r="J361">
            <v>27.81573486463288</v>
          </cell>
          <cell r="K361">
            <v>27.00700220593232</v>
          </cell>
          <cell r="L361">
            <v>26.198269547231757</v>
          </cell>
          <cell r="M361">
            <v>25.389536888531438</v>
          </cell>
          <cell r="N361">
            <v>24.580804229830878</v>
          </cell>
          <cell r="O361">
            <v>23.886317978110068</v>
          </cell>
          <cell r="P361">
            <v>23.191831726389257</v>
          </cell>
          <cell r="Q361">
            <v>22.497345474668204</v>
          </cell>
          <cell r="R361">
            <v>21.802859222947397</v>
          </cell>
          <cell r="S361">
            <v>21.108372971226345</v>
          </cell>
          <cell r="T361">
            <v>20.511993996492674</v>
          </cell>
          <cell r="U361">
            <v>19.915615021759002</v>
          </cell>
          <cell r="V361">
            <v>19.319236047025576</v>
          </cell>
          <cell r="W361">
            <v>18.722857072291905</v>
          </cell>
          <cell r="X361">
            <v>18.126478097558113</v>
          </cell>
          <cell r="Y361">
            <v>17.614347179742374</v>
          </cell>
          <cell r="Z361">
            <v>17.102216261926515</v>
          </cell>
          <cell r="AA361">
            <v>16.590085344110655</v>
          </cell>
          <cell r="AB361">
            <v>16.077954426294795</v>
          </cell>
          <cell r="AC361">
            <v>15.565823508479054</v>
          </cell>
          <cell r="AD361">
            <v>15.119325473449862</v>
          </cell>
          <cell r="AE361">
            <v>14.672827438420791</v>
          </cell>
          <cell r="AF361">
            <v>14.226329403391597</v>
          </cell>
          <cell r="AG361">
            <v>13.779831368362405</v>
          </cell>
          <cell r="AH361">
            <v>13.333333333333334</v>
          </cell>
        </row>
        <row r="362">
          <cell r="B362" t="str">
            <v>Carbon dioxide (DAC) - Plant lifetime - Global - Years</v>
          </cell>
          <cell r="G362">
            <v>30</v>
          </cell>
          <cell r="H362">
            <v>30</v>
          </cell>
          <cell r="I362">
            <v>30</v>
          </cell>
          <cell r="J362">
            <v>30</v>
          </cell>
          <cell r="K362">
            <v>30</v>
          </cell>
          <cell r="L362">
            <v>30</v>
          </cell>
          <cell r="M362">
            <v>30</v>
          </cell>
          <cell r="N362">
            <v>30</v>
          </cell>
          <cell r="O362">
            <v>30</v>
          </cell>
          <cell r="P362">
            <v>30</v>
          </cell>
          <cell r="Q362">
            <v>30</v>
          </cell>
          <cell r="R362">
            <v>30</v>
          </cell>
          <cell r="S362">
            <v>30</v>
          </cell>
          <cell r="T362">
            <v>30</v>
          </cell>
          <cell r="U362">
            <v>30</v>
          </cell>
          <cell r="V362">
            <v>30</v>
          </cell>
          <cell r="W362">
            <v>30</v>
          </cell>
          <cell r="X362">
            <v>30</v>
          </cell>
          <cell r="Y362">
            <v>30</v>
          </cell>
          <cell r="Z362">
            <v>30</v>
          </cell>
          <cell r="AA362">
            <v>30</v>
          </cell>
          <cell r="AB362">
            <v>30</v>
          </cell>
          <cell r="AC362">
            <v>30</v>
          </cell>
          <cell r="AD362">
            <v>30</v>
          </cell>
          <cell r="AE362">
            <v>30</v>
          </cell>
          <cell r="AF362">
            <v>30</v>
          </cell>
          <cell r="AG362">
            <v>30</v>
          </cell>
          <cell r="AH362">
            <v>30</v>
          </cell>
        </row>
        <row r="363">
          <cell r="B363" t="str">
            <v>Carbon dioxide (DAC) - Total CAPEX - Global - USD/ton fuel</v>
          </cell>
          <cell r="G363">
            <v>915.24041541999759</v>
          </cell>
          <cell r="H363">
            <v>886.98722055999679</v>
          </cell>
          <cell r="I363">
            <v>858.73402569999598</v>
          </cell>
          <cell r="J363">
            <v>834.47204593898641</v>
          </cell>
          <cell r="K363">
            <v>810.21006617796957</v>
          </cell>
          <cell r="L363">
            <v>785.94808641695272</v>
          </cell>
          <cell r="M363">
            <v>761.68610665594315</v>
          </cell>
          <cell r="N363">
            <v>737.4241268949263</v>
          </cell>
          <cell r="O363">
            <v>716.58953934330202</v>
          </cell>
          <cell r="P363">
            <v>695.75495179167774</v>
          </cell>
          <cell r="Q363">
            <v>674.92036424004618</v>
          </cell>
          <cell r="R363">
            <v>654.0857766884219</v>
          </cell>
          <cell r="S363">
            <v>633.25118913679034</v>
          </cell>
          <cell r="T363">
            <v>615.35981989478023</v>
          </cell>
          <cell r="U363">
            <v>597.46845065277012</v>
          </cell>
          <cell r="V363">
            <v>579.57708141076728</v>
          </cell>
          <cell r="W363">
            <v>561.68571216875716</v>
          </cell>
          <cell r="X363">
            <v>543.79434292674341</v>
          </cell>
          <cell r="Y363">
            <v>528.43041539227124</v>
          </cell>
          <cell r="Z363">
            <v>513.06648785779544</v>
          </cell>
          <cell r="AA363">
            <v>497.70256032331963</v>
          </cell>
          <cell r="AB363">
            <v>482.33863278884382</v>
          </cell>
          <cell r="AC363">
            <v>466.97470525437166</v>
          </cell>
          <cell r="AD363">
            <v>453.57976420349587</v>
          </cell>
          <cell r="AE363">
            <v>440.18482315262372</v>
          </cell>
          <cell r="AF363">
            <v>426.78988210174793</v>
          </cell>
          <cell r="AG363">
            <v>413.39494105087215</v>
          </cell>
          <cell r="AH363">
            <v>400</v>
          </cell>
        </row>
        <row r="364">
          <cell r="B364" t="str">
            <v/>
          </cell>
        </row>
        <row r="365">
          <cell r="B365" t="str">
            <v>Carbon dioxide (DAC) - OPEX - Global - USD/ton fuel</v>
          </cell>
          <cell r="G365">
            <v>47.7310020645956</v>
          </cell>
          <cell r="H365">
            <v>45.303460746236098</v>
          </cell>
          <cell r="I365">
            <v>42.936701284999835</v>
          </cell>
          <cell r="J365">
            <v>40.913166813136101</v>
          </cell>
          <cell r="K365">
            <v>38.936758591699629</v>
          </cell>
          <cell r="L365">
            <v>37.007476620690611</v>
          </cell>
          <cell r="M365">
            <v>35.125320900109735</v>
          </cell>
          <cell r="N365">
            <v>33.290291429956135</v>
          </cell>
          <cell r="O365">
            <v>31.721376020274985</v>
          </cell>
          <cell r="P365">
            <v>30.18899920260916</v>
          </cell>
          <cell r="Q365">
            <v>28.693160976958509</v>
          </cell>
          <cell r="R365">
            <v>27.23386134332349</v>
          </cell>
          <cell r="S365">
            <v>25.811100301703355</v>
          </cell>
          <cell r="T365">
            <v>24.594666582900402</v>
          </cell>
          <cell r="U365">
            <v>23.406562482820661</v>
          </cell>
          <cell r="V365">
            <v>22.246788001464278</v>
          </cell>
          <cell r="W365">
            <v>21.115343138830685</v>
          </cell>
          <cell r="X365">
            <v>20.012227894920034</v>
          </cell>
          <cell r="Y365">
            <v>19.069085273520873</v>
          </cell>
          <cell r="Z365">
            <v>18.147907573393375</v>
          </cell>
          <cell r="AA365">
            <v>17.248694794537446</v>
          </cell>
          <cell r="AB365">
            <v>16.371446936953305</v>
          </cell>
          <cell r="AC365">
            <v>15.516164000640968</v>
          </cell>
          <cell r="AD365">
            <v>14.778350924667834</v>
          </cell>
          <cell r="AE365">
            <v>14.057827986617346</v>
          </cell>
          <cell r="AF365">
            <v>13.354595186489069</v>
          </cell>
          <cell r="AG365">
            <v>12.668652524283226</v>
          </cell>
          <cell r="AH365">
            <v>12.000000000000011</v>
          </cell>
        </row>
        <row r="366">
          <cell r="B366" t="str">
            <v>Carbon dioxide (DAC) - OPEX - Global - USD/ton fuel/year</v>
          </cell>
          <cell r="G366">
            <v>47.7310020645956</v>
          </cell>
          <cell r="H366">
            <v>45.303460746236098</v>
          </cell>
          <cell r="I366">
            <v>42.936701284999835</v>
          </cell>
          <cell r="J366">
            <v>40.913166813136101</v>
          </cell>
          <cell r="K366">
            <v>38.936758591699629</v>
          </cell>
          <cell r="L366">
            <v>37.007476620690611</v>
          </cell>
          <cell r="M366">
            <v>35.125320900109735</v>
          </cell>
          <cell r="N366">
            <v>33.290291429956135</v>
          </cell>
          <cell r="O366">
            <v>31.721376020274985</v>
          </cell>
          <cell r="P366">
            <v>30.18899920260916</v>
          </cell>
          <cell r="Q366">
            <v>28.693160976958509</v>
          </cell>
          <cell r="R366">
            <v>27.23386134332349</v>
          </cell>
          <cell r="S366">
            <v>25.811100301703355</v>
          </cell>
          <cell r="T366">
            <v>24.594666582900402</v>
          </cell>
          <cell r="U366">
            <v>23.406562482820661</v>
          </cell>
          <cell r="V366">
            <v>22.246788001464278</v>
          </cell>
          <cell r="W366">
            <v>21.115343138830685</v>
          </cell>
          <cell r="X366">
            <v>20.012227894920034</v>
          </cell>
          <cell r="Y366">
            <v>19.069085273520873</v>
          </cell>
          <cell r="Z366">
            <v>18.147907573393375</v>
          </cell>
          <cell r="AA366">
            <v>17.248694794537446</v>
          </cell>
          <cell r="AB366">
            <v>16.371446936953305</v>
          </cell>
          <cell r="AC366">
            <v>15.516164000640968</v>
          </cell>
          <cell r="AD366">
            <v>14.778350924667834</v>
          </cell>
          <cell r="AE366">
            <v>14.057827986617346</v>
          </cell>
          <cell r="AF366">
            <v>13.354595186489069</v>
          </cell>
          <cell r="AG366">
            <v>12.668652524283226</v>
          </cell>
          <cell r="AH366">
            <v>12.000000000000011</v>
          </cell>
        </row>
        <row r="367">
          <cell r="B367" t="str">
            <v/>
          </cell>
        </row>
        <row r="368">
          <cell r="B368" t="str">
            <v>Carbon dioxide (DAC) - Finance cost - Africa - USD/ton fuel</v>
          </cell>
          <cell r="G368">
            <v>50.338222848099875</v>
          </cell>
          <cell r="H368">
            <v>48.784297130799828</v>
          </cell>
          <cell r="I368">
            <v>47.230371413499782</v>
          </cell>
          <cell r="J368">
            <v>45.895962526644261</v>
          </cell>
          <cell r="K368">
            <v>44.561553639788329</v>
          </cell>
          <cell r="L368">
            <v>43.227144752932404</v>
          </cell>
          <cell r="M368">
            <v>41.892735866076876</v>
          </cell>
          <cell r="N368">
            <v>40.558326979220951</v>
          </cell>
          <cell r="O368">
            <v>39.412424663881616</v>
          </cell>
          <cell r="P368">
            <v>38.266522348542281</v>
          </cell>
          <cell r="Q368">
            <v>37.120620033202542</v>
          </cell>
          <cell r="R368">
            <v>35.974717717863207</v>
          </cell>
          <cell r="S368">
            <v>34.828815402523475</v>
          </cell>
          <cell r="T368">
            <v>33.844790094212918</v>
          </cell>
          <cell r="U368">
            <v>32.860764785902361</v>
          </cell>
          <cell r="V368">
            <v>31.876739477592203</v>
          </cell>
          <cell r="W368">
            <v>30.89271416928165</v>
          </cell>
          <cell r="X368">
            <v>29.908688860970891</v>
          </cell>
          <cell r="Y368">
            <v>29.063672846574921</v>
          </cell>
          <cell r="Z368">
            <v>28.218656832178752</v>
          </cell>
          <cell r="AA368">
            <v>27.373640817782583</v>
          </cell>
          <cell r="AB368">
            <v>26.528624803386414</v>
          </cell>
          <cell r="AC368">
            <v>25.683608788990444</v>
          </cell>
          <cell r="AD368">
            <v>24.946887031192276</v>
          </cell>
          <cell r="AE368">
            <v>24.210165273394306</v>
          </cell>
          <cell r="AF368">
            <v>23.473443515596138</v>
          </cell>
          <cell r="AG368">
            <v>22.736721757797969</v>
          </cell>
          <cell r="AH368">
            <v>22.000000000000004</v>
          </cell>
        </row>
        <row r="369">
          <cell r="B369" t="str">
            <v>Carbon dioxide (DAC) - Finance cost - Americas - USD/ton fuel</v>
          </cell>
          <cell r="G369">
            <v>50.338222848099875</v>
          </cell>
          <cell r="H369">
            <v>48.784297130799828</v>
          </cell>
          <cell r="I369">
            <v>47.230371413499782</v>
          </cell>
          <cell r="J369">
            <v>45.895962526644261</v>
          </cell>
          <cell r="K369">
            <v>44.561553639788329</v>
          </cell>
          <cell r="L369">
            <v>43.227144752932404</v>
          </cell>
          <cell r="M369">
            <v>41.892735866076876</v>
          </cell>
          <cell r="N369">
            <v>40.558326979220951</v>
          </cell>
          <cell r="O369">
            <v>39.412424663881616</v>
          </cell>
          <cell r="P369">
            <v>38.266522348542281</v>
          </cell>
          <cell r="Q369">
            <v>37.120620033202542</v>
          </cell>
          <cell r="R369">
            <v>35.974717717863207</v>
          </cell>
          <cell r="S369">
            <v>34.828815402523475</v>
          </cell>
          <cell r="T369">
            <v>33.844790094212918</v>
          </cell>
          <cell r="U369">
            <v>32.860764785902361</v>
          </cell>
          <cell r="V369">
            <v>31.876739477592203</v>
          </cell>
          <cell r="W369">
            <v>30.89271416928165</v>
          </cell>
          <cell r="X369">
            <v>29.908688860970891</v>
          </cell>
          <cell r="Y369">
            <v>29.063672846574921</v>
          </cell>
          <cell r="Z369">
            <v>28.218656832178752</v>
          </cell>
          <cell r="AA369">
            <v>27.373640817782583</v>
          </cell>
          <cell r="AB369">
            <v>26.528624803386414</v>
          </cell>
          <cell r="AC369">
            <v>25.683608788990444</v>
          </cell>
          <cell r="AD369">
            <v>24.946887031192276</v>
          </cell>
          <cell r="AE369">
            <v>24.210165273394306</v>
          </cell>
          <cell r="AF369">
            <v>23.473443515596138</v>
          </cell>
          <cell r="AG369">
            <v>22.736721757797969</v>
          </cell>
          <cell r="AH369">
            <v>22.000000000000004</v>
          </cell>
        </row>
        <row r="370">
          <cell r="B370" t="str">
            <v>Carbon dioxide (DAC) - Finance cost - Asia - USD/ton fuel</v>
          </cell>
          <cell r="G370">
            <v>50.338222848099875</v>
          </cell>
          <cell r="H370">
            <v>48.784297130799828</v>
          </cell>
          <cell r="I370">
            <v>47.230371413499782</v>
          </cell>
          <cell r="J370">
            <v>45.895962526644261</v>
          </cell>
          <cell r="K370">
            <v>44.561553639788329</v>
          </cell>
          <cell r="L370">
            <v>43.227144752932404</v>
          </cell>
          <cell r="M370">
            <v>41.892735866076876</v>
          </cell>
          <cell r="N370">
            <v>40.558326979220951</v>
          </cell>
          <cell r="O370">
            <v>39.412424663881616</v>
          </cell>
          <cell r="P370">
            <v>38.266522348542281</v>
          </cell>
          <cell r="Q370">
            <v>37.120620033202542</v>
          </cell>
          <cell r="R370">
            <v>35.974717717863207</v>
          </cell>
          <cell r="S370">
            <v>34.828815402523475</v>
          </cell>
          <cell r="T370">
            <v>33.844790094212918</v>
          </cell>
          <cell r="U370">
            <v>32.860764785902361</v>
          </cell>
          <cell r="V370">
            <v>31.876739477592203</v>
          </cell>
          <cell r="W370">
            <v>30.89271416928165</v>
          </cell>
          <cell r="X370">
            <v>29.908688860970891</v>
          </cell>
          <cell r="Y370">
            <v>29.063672846574921</v>
          </cell>
          <cell r="Z370">
            <v>28.218656832178752</v>
          </cell>
          <cell r="AA370">
            <v>27.373640817782583</v>
          </cell>
          <cell r="AB370">
            <v>26.528624803386414</v>
          </cell>
          <cell r="AC370">
            <v>25.683608788990444</v>
          </cell>
          <cell r="AD370">
            <v>24.946887031192276</v>
          </cell>
          <cell r="AE370">
            <v>24.210165273394306</v>
          </cell>
          <cell r="AF370">
            <v>23.473443515596138</v>
          </cell>
          <cell r="AG370">
            <v>22.736721757797969</v>
          </cell>
          <cell r="AH370">
            <v>22.000000000000004</v>
          </cell>
        </row>
        <row r="371">
          <cell r="B371" t="str">
            <v>Carbon dioxide (DAC) - Finance cost - Europe - USD/ton fuel</v>
          </cell>
          <cell r="G371">
            <v>50.338222848099875</v>
          </cell>
          <cell r="H371">
            <v>48.784297130799828</v>
          </cell>
          <cell r="I371">
            <v>47.230371413499782</v>
          </cell>
          <cell r="J371">
            <v>45.895962526644261</v>
          </cell>
          <cell r="K371">
            <v>44.561553639788329</v>
          </cell>
          <cell r="L371">
            <v>43.227144752932404</v>
          </cell>
          <cell r="M371">
            <v>41.892735866076876</v>
          </cell>
          <cell r="N371">
            <v>40.558326979220951</v>
          </cell>
          <cell r="O371">
            <v>39.412424663881616</v>
          </cell>
          <cell r="P371">
            <v>38.266522348542281</v>
          </cell>
          <cell r="Q371">
            <v>37.120620033202542</v>
          </cell>
          <cell r="R371">
            <v>35.974717717863207</v>
          </cell>
          <cell r="S371">
            <v>34.828815402523475</v>
          </cell>
          <cell r="T371">
            <v>33.844790094212918</v>
          </cell>
          <cell r="U371">
            <v>32.860764785902361</v>
          </cell>
          <cell r="V371">
            <v>31.876739477592203</v>
          </cell>
          <cell r="W371">
            <v>30.89271416928165</v>
          </cell>
          <cell r="X371">
            <v>29.908688860970891</v>
          </cell>
          <cell r="Y371">
            <v>29.063672846574921</v>
          </cell>
          <cell r="Z371">
            <v>28.218656832178752</v>
          </cell>
          <cell r="AA371">
            <v>27.373640817782583</v>
          </cell>
          <cell r="AB371">
            <v>26.528624803386414</v>
          </cell>
          <cell r="AC371">
            <v>25.683608788990444</v>
          </cell>
          <cell r="AD371">
            <v>24.946887031192276</v>
          </cell>
          <cell r="AE371">
            <v>24.210165273394306</v>
          </cell>
          <cell r="AF371">
            <v>23.473443515596138</v>
          </cell>
          <cell r="AG371">
            <v>22.736721757797969</v>
          </cell>
          <cell r="AH371">
            <v>22.000000000000004</v>
          </cell>
        </row>
        <row r="372">
          <cell r="B372" t="str">
            <v>Carbon dioxide (DAC) - Finance cost - Middle East - USD/ton fuel</v>
          </cell>
          <cell r="G372">
            <v>50.338222848099875</v>
          </cell>
          <cell r="H372">
            <v>48.784297130799828</v>
          </cell>
          <cell r="I372">
            <v>47.230371413499782</v>
          </cell>
          <cell r="J372">
            <v>45.895962526644261</v>
          </cell>
          <cell r="K372">
            <v>44.561553639788329</v>
          </cell>
          <cell r="L372">
            <v>43.227144752932404</v>
          </cell>
          <cell r="M372">
            <v>41.892735866076876</v>
          </cell>
          <cell r="N372">
            <v>40.558326979220951</v>
          </cell>
          <cell r="O372">
            <v>39.412424663881616</v>
          </cell>
          <cell r="P372">
            <v>38.266522348542281</v>
          </cell>
          <cell r="Q372">
            <v>37.120620033202542</v>
          </cell>
          <cell r="R372">
            <v>35.974717717863207</v>
          </cell>
          <cell r="S372">
            <v>34.828815402523475</v>
          </cell>
          <cell r="T372">
            <v>33.844790094212918</v>
          </cell>
          <cell r="U372">
            <v>32.860764785902361</v>
          </cell>
          <cell r="V372">
            <v>31.876739477592203</v>
          </cell>
          <cell r="W372">
            <v>30.89271416928165</v>
          </cell>
          <cell r="X372">
            <v>29.908688860970891</v>
          </cell>
          <cell r="Y372">
            <v>29.063672846574921</v>
          </cell>
          <cell r="Z372">
            <v>28.218656832178752</v>
          </cell>
          <cell r="AA372">
            <v>27.373640817782583</v>
          </cell>
          <cell r="AB372">
            <v>26.528624803386414</v>
          </cell>
          <cell r="AC372">
            <v>25.683608788990444</v>
          </cell>
          <cell r="AD372">
            <v>24.946887031192276</v>
          </cell>
          <cell r="AE372">
            <v>24.210165273394306</v>
          </cell>
          <cell r="AF372">
            <v>23.473443515596138</v>
          </cell>
          <cell r="AG372">
            <v>22.736721757797969</v>
          </cell>
          <cell r="AH372">
            <v>22.000000000000004</v>
          </cell>
        </row>
        <row r="373">
          <cell r="B373" t="str">
            <v>General - Weighted average cost of capital (WACC) - Africa - %</v>
          </cell>
          <cell r="G373">
            <v>5.5000000000000007E-2</v>
          </cell>
          <cell r="H373">
            <v>5.5000000000000007E-2</v>
          </cell>
          <cell r="I373">
            <v>5.5000000000000007E-2</v>
          </cell>
          <cell r="J373">
            <v>5.5000000000000007E-2</v>
          </cell>
          <cell r="K373">
            <v>5.5000000000000007E-2</v>
          </cell>
          <cell r="L373">
            <v>5.5000000000000007E-2</v>
          </cell>
          <cell r="M373">
            <v>5.5000000000000007E-2</v>
          </cell>
          <cell r="N373">
            <v>5.5000000000000007E-2</v>
          </cell>
          <cell r="O373">
            <v>5.5000000000000007E-2</v>
          </cell>
          <cell r="P373">
            <v>5.5000000000000007E-2</v>
          </cell>
          <cell r="Q373">
            <v>5.5000000000000007E-2</v>
          </cell>
          <cell r="R373">
            <v>5.5000000000000007E-2</v>
          </cell>
          <cell r="S373">
            <v>5.5000000000000007E-2</v>
          </cell>
          <cell r="T373">
            <v>5.5000000000000007E-2</v>
          </cell>
          <cell r="U373">
            <v>5.5000000000000007E-2</v>
          </cell>
          <cell r="V373">
            <v>5.5000000000000007E-2</v>
          </cell>
          <cell r="W373">
            <v>5.5000000000000007E-2</v>
          </cell>
          <cell r="X373">
            <v>5.5000000000000007E-2</v>
          </cell>
          <cell r="Y373">
            <v>5.5000000000000007E-2</v>
          </cell>
          <cell r="Z373">
            <v>5.5000000000000007E-2</v>
          </cell>
          <cell r="AA373">
            <v>5.5000000000000007E-2</v>
          </cell>
          <cell r="AB373">
            <v>5.5000000000000007E-2</v>
          </cell>
          <cell r="AC373">
            <v>5.5000000000000007E-2</v>
          </cell>
          <cell r="AD373">
            <v>5.5000000000000007E-2</v>
          </cell>
          <cell r="AE373">
            <v>5.5000000000000007E-2</v>
          </cell>
          <cell r="AF373">
            <v>5.5000000000000007E-2</v>
          </cell>
          <cell r="AG373">
            <v>5.5000000000000007E-2</v>
          </cell>
          <cell r="AH373">
            <v>5.5000000000000007E-2</v>
          </cell>
        </row>
        <row r="374">
          <cell r="B374" t="str">
            <v>General - Weighted average cost of capital (WACC) - Americas - %</v>
          </cell>
          <cell r="G374">
            <v>5.5000000000000007E-2</v>
          </cell>
          <cell r="H374">
            <v>5.5000000000000007E-2</v>
          </cell>
          <cell r="I374">
            <v>5.5000000000000007E-2</v>
          </cell>
          <cell r="J374">
            <v>5.5000000000000007E-2</v>
          </cell>
          <cell r="K374">
            <v>5.5000000000000007E-2</v>
          </cell>
          <cell r="L374">
            <v>5.5000000000000007E-2</v>
          </cell>
          <cell r="M374">
            <v>5.5000000000000007E-2</v>
          </cell>
          <cell r="N374">
            <v>5.5000000000000007E-2</v>
          </cell>
          <cell r="O374">
            <v>5.5000000000000007E-2</v>
          </cell>
          <cell r="P374">
            <v>5.5000000000000007E-2</v>
          </cell>
          <cell r="Q374">
            <v>5.5000000000000007E-2</v>
          </cell>
          <cell r="R374">
            <v>5.5000000000000007E-2</v>
          </cell>
          <cell r="S374">
            <v>5.5000000000000007E-2</v>
          </cell>
          <cell r="T374">
            <v>5.5000000000000007E-2</v>
          </cell>
          <cell r="U374">
            <v>5.5000000000000007E-2</v>
          </cell>
          <cell r="V374">
            <v>5.5000000000000007E-2</v>
          </cell>
          <cell r="W374">
            <v>5.5000000000000007E-2</v>
          </cell>
          <cell r="X374">
            <v>5.5000000000000007E-2</v>
          </cell>
          <cell r="Y374">
            <v>5.5000000000000007E-2</v>
          </cell>
          <cell r="Z374">
            <v>5.5000000000000007E-2</v>
          </cell>
          <cell r="AA374">
            <v>5.5000000000000007E-2</v>
          </cell>
          <cell r="AB374">
            <v>5.5000000000000007E-2</v>
          </cell>
          <cell r="AC374">
            <v>5.5000000000000007E-2</v>
          </cell>
          <cell r="AD374">
            <v>5.5000000000000007E-2</v>
          </cell>
          <cell r="AE374">
            <v>5.5000000000000007E-2</v>
          </cell>
          <cell r="AF374">
            <v>5.5000000000000007E-2</v>
          </cell>
          <cell r="AG374">
            <v>5.5000000000000007E-2</v>
          </cell>
          <cell r="AH374">
            <v>5.5000000000000007E-2</v>
          </cell>
        </row>
        <row r="375">
          <cell r="B375" t="str">
            <v>General - Weighted average cost of capital (WACC) - Asia - %</v>
          </cell>
          <cell r="G375">
            <v>5.5000000000000007E-2</v>
          </cell>
          <cell r="H375">
            <v>5.5000000000000007E-2</v>
          </cell>
          <cell r="I375">
            <v>5.5000000000000007E-2</v>
          </cell>
          <cell r="J375">
            <v>5.5000000000000007E-2</v>
          </cell>
          <cell r="K375">
            <v>5.5000000000000007E-2</v>
          </cell>
          <cell r="L375">
            <v>5.5000000000000007E-2</v>
          </cell>
          <cell r="M375">
            <v>5.5000000000000007E-2</v>
          </cell>
          <cell r="N375">
            <v>5.5000000000000007E-2</v>
          </cell>
          <cell r="O375">
            <v>5.5000000000000007E-2</v>
          </cell>
          <cell r="P375">
            <v>5.5000000000000007E-2</v>
          </cell>
          <cell r="Q375">
            <v>5.5000000000000007E-2</v>
          </cell>
          <cell r="R375">
            <v>5.5000000000000007E-2</v>
          </cell>
          <cell r="S375">
            <v>5.5000000000000007E-2</v>
          </cell>
          <cell r="T375">
            <v>5.5000000000000007E-2</v>
          </cell>
          <cell r="U375">
            <v>5.5000000000000007E-2</v>
          </cell>
          <cell r="V375">
            <v>5.5000000000000007E-2</v>
          </cell>
          <cell r="W375">
            <v>5.5000000000000007E-2</v>
          </cell>
          <cell r="X375">
            <v>5.5000000000000007E-2</v>
          </cell>
          <cell r="Y375">
            <v>5.5000000000000007E-2</v>
          </cell>
          <cell r="Z375">
            <v>5.5000000000000007E-2</v>
          </cell>
          <cell r="AA375">
            <v>5.5000000000000007E-2</v>
          </cell>
          <cell r="AB375">
            <v>5.5000000000000007E-2</v>
          </cell>
          <cell r="AC375">
            <v>5.5000000000000007E-2</v>
          </cell>
          <cell r="AD375">
            <v>5.5000000000000007E-2</v>
          </cell>
          <cell r="AE375">
            <v>5.5000000000000007E-2</v>
          </cell>
          <cell r="AF375">
            <v>5.5000000000000007E-2</v>
          </cell>
          <cell r="AG375">
            <v>5.5000000000000007E-2</v>
          </cell>
          <cell r="AH375">
            <v>5.5000000000000007E-2</v>
          </cell>
        </row>
        <row r="376">
          <cell r="B376" t="str">
            <v>General - Weighted average cost of capital (WACC) - Europe - %</v>
          </cell>
          <cell r="G376">
            <v>5.5000000000000007E-2</v>
          </cell>
          <cell r="H376">
            <v>5.5000000000000007E-2</v>
          </cell>
          <cell r="I376">
            <v>5.5000000000000007E-2</v>
          </cell>
          <cell r="J376">
            <v>5.5000000000000007E-2</v>
          </cell>
          <cell r="K376">
            <v>5.5000000000000007E-2</v>
          </cell>
          <cell r="L376">
            <v>5.5000000000000007E-2</v>
          </cell>
          <cell r="M376">
            <v>5.5000000000000007E-2</v>
          </cell>
          <cell r="N376">
            <v>5.5000000000000007E-2</v>
          </cell>
          <cell r="O376">
            <v>5.5000000000000007E-2</v>
          </cell>
          <cell r="P376">
            <v>5.5000000000000007E-2</v>
          </cell>
          <cell r="Q376">
            <v>5.5000000000000007E-2</v>
          </cell>
          <cell r="R376">
            <v>5.5000000000000007E-2</v>
          </cell>
          <cell r="S376">
            <v>5.5000000000000007E-2</v>
          </cell>
          <cell r="T376">
            <v>5.5000000000000007E-2</v>
          </cell>
          <cell r="U376">
            <v>5.5000000000000007E-2</v>
          </cell>
          <cell r="V376">
            <v>5.5000000000000007E-2</v>
          </cell>
          <cell r="W376">
            <v>5.5000000000000007E-2</v>
          </cell>
          <cell r="X376">
            <v>5.5000000000000007E-2</v>
          </cell>
          <cell r="Y376">
            <v>5.5000000000000007E-2</v>
          </cell>
          <cell r="Z376">
            <v>5.5000000000000007E-2</v>
          </cell>
          <cell r="AA376">
            <v>5.5000000000000007E-2</v>
          </cell>
          <cell r="AB376">
            <v>5.5000000000000007E-2</v>
          </cell>
          <cell r="AC376">
            <v>5.5000000000000007E-2</v>
          </cell>
          <cell r="AD376">
            <v>5.5000000000000007E-2</v>
          </cell>
          <cell r="AE376">
            <v>5.5000000000000007E-2</v>
          </cell>
          <cell r="AF376">
            <v>5.5000000000000007E-2</v>
          </cell>
          <cell r="AG376">
            <v>5.5000000000000007E-2</v>
          </cell>
          <cell r="AH376">
            <v>5.5000000000000007E-2</v>
          </cell>
        </row>
        <row r="377">
          <cell r="B377" t="str">
            <v>General - Weighted average cost of capital (WACC) - Middle East - %</v>
          </cell>
          <cell r="G377">
            <v>5.5000000000000007E-2</v>
          </cell>
          <cell r="H377">
            <v>5.5000000000000007E-2</v>
          </cell>
          <cell r="I377">
            <v>5.5000000000000007E-2</v>
          </cell>
          <cell r="J377">
            <v>5.5000000000000007E-2</v>
          </cell>
          <cell r="K377">
            <v>5.5000000000000007E-2</v>
          </cell>
          <cell r="L377">
            <v>5.5000000000000007E-2</v>
          </cell>
          <cell r="M377">
            <v>5.5000000000000007E-2</v>
          </cell>
          <cell r="N377">
            <v>5.5000000000000007E-2</v>
          </cell>
          <cell r="O377">
            <v>5.5000000000000007E-2</v>
          </cell>
          <cell r="P377">
            <v>5.5000000000000007E-2</v>
          </cell>
          <cell r="Q377">
            <v>5.5000000000000007E-2</v>
          </cell>
          <cell r="R377">
            <v>5.5000000000000007E-2</v>
          </cell>
          <cell r="S377">
            <v>5.5000000000000007E-2</v>
          </cell>
          <cell r="T377">
            <v>5.5000000000000007E-2</v>
          </cell>
          <cell r="U377">
            <v>5.5000000000000007E-2</v>
          </cell>
          <cell r="V377">
            <v>5.5000000000000007E-2</v>
          </cell>
          <cell r="W377">
            <v>5.5000000000000007E-2</v>
          </cell>
          <cell r="X377">
            <v>5.5000000000000007E-2</v>
          </cell>
          <cell r="Y377">
            <v>5.5000000000000007E-2</v>
          </cell>
          <cell r="Z377">
            <v>5.5000000000000007E-2</v>
          </cell>
          <cell r="AA377">
            <v>5.5000000000000007E-2</v>
          </cell>
          <cell r="AB377">
            <v>5.5000000000000007E-2</v>
          </cell>
          <cell r="AC377">
            <v>5.5000000000000007E-2</v>
          </cell>
          <cell r="AD377">
            <v>5.5000000000000007E-2</v>
          </cell>
          <cell r="AE377">
            <v>5.5000000000000007E-2</v>
          </cell>
          <cell r="AF377">
            <v>5.5000000000000007E-2</v>
          </cell>
          <cell r="AG377">
            <v>5.5000000000000007E-2</v>
          </cell>
          <cell r="AH377">
            <v>5.5000000000000007E-2</v>
          </cell>
        </row>
        <row r="378">
          <cell r="B378" t="str">
            <v>Carbon dioxide (DAC) - Total CAPEX - Global - USD/ton fuel</v>
          </cell>
          <cell r="G378">
            <v>915.24041541999759</v>
          </cell>
          <cell r="H378">
            <v>886.98722055999679</v>
          </cell>
          <cell r="I378">
            <v>858.73402569999598</v>
          </cell>
          <cell r="J378">
            <v>834.47204593898641</v>
          </cell>
          <cell r="K378">
            <v>810.21006617796957</v>
          </cell>
          <cell r="L378">
            <v>785.94808641695272</v>
          </cell>
          <cell r="M378">
            <v>761.68610665594315</v>
          </cell>
          <cell r="N378">
            <v>737.4241268949263</v>
          </cell>
          <cell r="O378">
            <v>716.58953934330202</v>
          </cell>
          <cell r="P378">
            <v>695.75495179167774</v>
          </cell>
          <cell r="Q378">
            <v>674.92036424004618</v>
          </cell>
          <cell r="R378">
            <v>654.0857766884219</v>
          </cell>
          <cell r="S378">
            <v>633.25118913679034</v>
          </cell>
          <cell r="T378">
            <v>615.35981989478023</v>
          </cell>
          <cell r="U378">
            <v>597.46845065277012</v>
          </cell>
          <cell r="V378">
            <v>579.57708141076728</v>
          </cell>
          <cell r="W378">
            <v>561.68571216875716</v>
          </cell>
          <cell r="X378">
            <v>543.79434292674341</v>
          </cell>
          <cell r="Y378">
            <v>528.43041539227124</v>
          </cell>
          <cell r="Z378">
            <v>513.06648785779544</v>
          </cell>
          <cell r="AA378">
            <v>497.70256032331963</v>
          </cell>
          <cell r="AB378">
            <v>482.33863278884382</v>
          </cell>
          <cell r="AC378">
            <v>466.97470525437166</v>
          </cell>
          <cell r="AD378">
            <v>453.57976420349587</v>
          </cell>
          <cell r="AE378">
            <v>440.18482315262372</v>
          </cell>
          <cell r="AF378">
            <v>426.78988210174793</v>
          </cell>
          <cell r="AG378">
            <v>413.39494105087215</v>
          </cell>
          <cell r="AH378">
            <v>400</v>
          </cell>
        </row>
        <row r="379">
          <cell r="B379" t="str">
            <v/>
          </cell>
        </row>
        <row r="380">
          <cell r="B380" t="str">
            <v>Carbon dioxide (DAC) - Energy cost - Africa - USD/ton fuel</v>
          </cell>
          <cell r="G380">
            <v>168.04374017226095</v>
          </cell>
          <cell r="H380">
            <v>146.30209067169341</v>
          </cell>
          <cell r="I380">
            <v>125.09499957024941</v>
          </cell>
          <cell r="J380">
            <v>118.18460880247255</v>
          </cell>
          <cell r="K380">
            <v>111.41353662951776</v>
          </cell>
          <cell r="L380">
            <v>104.78178305138506</v>
          </cell>
          <cell r="M380">
            <v>98.28934806807321</v>
          </cell>
          <cell r="N380">
            <v>91.936231679584665</v>
          </cell>
          <cell r="O380">
            <v>87.982972860232593</v>
          </cell>
          <cell r="P380">
            <v>84.102420719352523</v>
          </cell>
          <cell r="Q380">
            <v>80.294575256942807</v>
          </cell>
          <cell r="R380">
            <v>76.559436473005292</v>
          </cell>
          <cell r="S380">
            <v>72.89700436753958</v>
          </cell>
          <cell r="T380">
            <v>70.735122997418571</v>
          </cell>
          <cell r="U380">
            <v>68.605236304620504</v>
          </cell>
          <cell r="V380">
            <v>66.507344289144001</v>
          </cell>
          <cell r="W380">
            <v>64.441446950990169</v>
          </cell>
          <cell r="X380">
            <v>62.40754429015891</v>
          </cell>
          <cell r="Y380">
            <v>60.429077079389643</v>
          </cell>
          <cell r="Z380">
            <v>58.481367988026683</v>
          </cell>
          <cell r="AA380">
            <v>56.564417016069513</v>
          </cell>
          <cell r="AB380">
            <v>54.678224163519339</v>
          </cell>
          <cell r="AC380">
            <v>52.822789430375032</v>
          </cell>
          <cell r="AD380">
            <v>51.600110701740995</v>
          </cell>
          <cell r="AE380">
            <v>50.391546373167834</v>
          </cell>
          <cell r="AF380">
            <v>49.197096444655244</v>
          </cell>
          <cell r="AG380">
            <v>48.016760916203474</v>
          </cell>
          <cell r="AH380">
            <v>46.85053978781275</v>
          </cell>
        </row>
        <row r="381">
          <cell r="B381" t="str">
            <v>Carbon dioxide (DAC) - Energy cost - Americas - USD/ton fuel</v>
          </cell>
          <cell r="G381">
            <v>105.58438245546897</v>
          </cell>
          <cell r="H381">
            <v>101.99736044182912</v>
          </cell>
          <cell r="I381">
            <v>98.469570539698765</v>
          </cell>
          <cell r="J381">
            <v>93.638765997611998</v>
          </cell>
          <cell r="K381">
            <v>88.901570801317362</v>
          </cell>
          <cell r="L381">
            <v>84.25798495081483</v>
          </cell>
          <cell r="M381">
            <v>79.708008446105609</v>
          </cell>
          <cell r="N381">
            <v>75.251641287187283</v>
          </cell>
          <cell r="O381">
            <v>72.675393088137156</v>
          </cell>
          <cell r="P381">
            <v>70.14126028517552</v>
          </cell>
          <cell r="Q381">
            <v>67.64924287830199</v>
          </cell>
          <cell r="R381">
            <v>65.19934086751617</v>
          </cell>
          <cell r="S381">
            <v>62.791554252818194</v>
          </cell>
          <cell r="T381">
            <v>60.764114529985541</v>
          </cell>
          <cell r="U381">
            <v>58.768592762315109</v>
          </cell>
          <cell r="V381">
            <v>56.804988949805931</v>
          </cell>
          <cell r="W381">
            <v>54.873303092459224</v>
          </cell>
          <cell r="X381">
            <v>52.973535190274085</v>
          </cell>
          <cell r="Y381">
            <v>51.828230522552126</v>
          </cell>
          <cell r="Z381">
            <v>50.694947735460516</v>
          </cell>
          <cell r="AA381">
            <v>49.573686828999371</v>
          </cell>
          <cell r="AB381">
            <v>48.464447803168603</v>
          </cell>
          <cell r="AC381">
            <v>47.367230657968015</v>
          </cell>
          <cell r="AD381">
            <v>46.429207924659629</v>
          </cell>
          <cell r="AE381">
            <v>45.499664594904488</v>
          </cell>
          <cell r="AF381">
            <v>44.57860066870262</v>
          </cell>
          <cell r="AG381">
            <v>43.666016146054034</v>
          </cell>
          <cell r="AH381">
            <v>42.761911026958728</v>
          </cell>
        </row>
        <row r="382">
          <cell r="B382" t="str">
            <v>Carbon dioxide (DAC) - Energy cost - Asia - USD/ton fuel</v>
          </cell>
          <cell r="G382">
            <v>186.89956944291009</v>
          </cell>
          <cell r="H382">
            <v>168.16682617375361</v>
          </cell>
          <cell r="I382">
            <v>149.87899747482393</v>
          </cell>
          <cell r="J382">
            <v>142.27132627697122</v>
          </cell>
          <cell r="K382">
            <v>134.81285628877197</v>
          </cell>
          <cell r="L382">
            <v>127.50358751022122</v>
          </cell>
          <cell r="M382">
            <v>120.34351994132149</v>
          </cell>
          <cell r="N382">
            <v>113.33265358207515</v>
          </cell>
          <cell r="O382">
            <v>108.26284478442385</v>
          </cell>
          <cell r="P382">
            <v>103.28784662429925</v>
          </cell>
          <cell r="Q382">
            <v>98.407659101700688</v>
          </cell>
          <cell r="R382">
            <v>93.622282216625351</v>
          </cell>
          <cell r="S382">
            <v>88.931715969074972</v>
          </cell>
          <cell r="T382">
            <v>86.065503663003796</v>
          </cell>
          <cell r="U382">
            <v>83.244358258173165</v>
          </cell>
          <cell r="V382">
            <v>80.468279754582596</v>
          </cell>
          <cell r="W382">
            <v>77.737268152231991</v>
          </cell>
          <cell r="X382">
            <v>75.051323451122215</v>
          </cell>
          <cell r="Y382">
            <v>72.402332509748831</v>
          </cell>
          <cell r="Z382">
            <v>69.797444349441975</v>
          </cell>
          <cell r="AA382">
            <v>67.236658970200637</v>
          </cell>
          <cell r="AB382">
            <v>64.719976372026011</v>
          </cell>
          <cell r="AC382">
            <v>62.247396554916683</v>
          </cell>
          <cell r="AD382">
            <v>60.720274602486676</v>
          </cell>
          <cell r="AE382">
            <v>59.212061358577877</v>
          </cell>
          <cell r="AF382">
            <v>57.722756823190991</v>
          </cell>
          <cell r="AG382">
            <v>56.25236099632577</v>
          </cell>
          <cell r="AH382">
            <v>54.800873877981985</v>
          </cell>
        </row>
        <row r="383">
          <cell r="B383" t="str">
            <v>Carbon dioxide (DAC) - Energy cost - Europe - USD/ton fuel</v>
          </cell>
          <cell r="G383">
            <v>139.13660564940096</v>
          </cell>
          <cell r="H383">
            <v>131.33650635826208</v>
          </cell>
          <cell r="I383">
            <v>123.69885760010307</v>
          </cell>
          <cell r="J383">
            <v>117.43601702374129</v>
          </cell>
          <cell r="K383">
            <v>111.29589497676589</v>
          </cell>
          <cell r="L383">
            <v>105.27849145917936</v>
          </cell>
          <cell r="M383">
            <v>99.383806470979252</v>
          </cell>
          <cell r="N383">
            <v>93.611840012167974</v>
          </cell>
          <cell r="O383">
            <v>90.585974296079655</v>
          </cell>
          <cell r="P383">
            <v>87.607779699054461</v>
          </cell>
          <cell r="Q383">
            <v>84.67725622108955</v>
          </cell>
          <cell r="R383">
            <v>81.794403862185035</v>
          </cell>
          <cell r="S383">
            <v>78.959222622341954</v>
          </cell>
          <cell r="T383">
            <v>76.922599826040909</v>
          </cell>
          <cell r="U383">
            <v>74.912586795058061</v>
          </cell>
          <cell r="V383">
            <v>72.929183529392262</v>
          </cell>
          <cell r="W383">
            <v>70.972390029044362</v>
          </cell>
          <cell r="X383">
            <v>69.042206294013226</v>
          </cell>
          <cell r="Y383">
            <v>67.134466412964173</v>
          </cell>
          <cell r="Z383">
            <v>65.253341498845373</v>
          </cell>
          <cell r="AA383">
            <v>63.398831551657359</v>
          </cell>
          <cell r="AB383">
            <v>61.570936571399812</v>
          </cell>
          <cell r="AC383">
            <v>59.769656558072832</v>
          </cell>
          <cell r="AD383">
            <v>58.303359346438278</v>
          </cell>
          <cell r="AE383">
            <v>56.855217183061221</v>
          </cell>
          <cell r="AF383">
            <v>55.425230067942344</v>
          </cell>
          <cell r="AG383">
            <v>54.013398001081399</v>
          </cell>
          <cell r="AH383">
            <v>52.619720982478157</v>
          </cell>
        </row>
        <row r="384">
          <cell r="B384" t="str">
            <v>Carbon dioxide (DAC) - Energy cost - Middle East - USD/ton fuel</v>
          </cell>
          <cell r="G384">
            <v>106.54312461630884</v>
          </cell>
          <cell r="H384">
            <v>100.46220586457505</v>
          </cell>
          <cell r="I384">
            <v>94.50864955757099</v>
          </cell>
          <cell r="J384">
            <v>90.289455876080666</v>
          </cell>
          <cell r="K384">
            <v>86.149099881800211</v>
          </cell>
          <cell r="L384">
            <v>82.087581574729612</v>
          </cell>
          <cell r="M384">
            <v>78.104900954868882</v>
          </cell>
          <cell r="N384">
            <v>74.201058022218021</v>
          </cell>
          <cell r="O384">
            <v>71.264783946143552</v>
          </cell>
          <cell r="P384">
            <v>68.380481742891675</v>
          </cell>
          <cell r="Q384">
            <v>65.548151412460825</v>
          </cell>
          <cell r="R384">
            <v>62.767792954851807</v>
          </cell>
          <cell r="S384">
            <v>60.039406370064405</v>
          </cell>
          <cell r="T384">
            <v>58.334255838436711</v>
          </cell>
          <cell r="U384">
            <v>56.653467589691616</v>
          </cell>
          <cell r="V384">
            <v>54.997041623828714</v>
          </cell>
          <cell r="W384">
            <v>53.364977940848128</v>
          </cell>
          <cell r="X384">
            <v>51.757276540749643</v>
          </cell>
          <cell r="Y384">
            <v>49.951129205562665</v>
          </cell>
          <cell r="Z384">
            <v>48.17485125313609</v>
          </cell>
          <cell r="AA384">
            <v>46.428442683469406</v>
          </cell>
          <cell r="AB384">
            <v>44.711903496563266</v>
          </cell>
          <cell r="AC384">
            <v>43.025233692416762</v>
          </cell>
          <cell r="AD384">
            <v>41.969677751620367</v>
          </cell>
          <cell r="AE384">
            <v>40.927191811319283</v>
          </cell>
          <cell r="AF384">
            <v>39.897775871513431</v>
          </cell>
          <cell r="AG384">
            <v>38.881429932202913</v>
          </cell>
          <cell r="AH384">
            <v>37.878153993387855</v>
          </cell>
        </row>
        <row r="385">
          <cell r="B385" t="str">
            <v>Renewable electricity - Cost of electricity - Africa - USD/MWh</v>
          </cell>
          <cell r="G385">
            <v>58.389806930514169</v>
          </cell>
          <cell r="H385">
            <v>51.533296245659585</v>
          </cell>
          <cell r="I385">
            <v>44.676785560803182</v>
          </cell>
          <cell r="J385">
            <v>42.765424685038852</v>
          </cell>
          <cell r="K385">
            <v>40.854063809274521</v>
          </cell>
          <cell r="L385">
            <v>38.942702933510191</v>
          </cell>
          <cell r="M385">
            <v>37.031342057745405</v>
          </cell>
          <cell r="N385">
            <v>35.119981181981075</v>
          </cell>
          <cell r="O385">
            <v>34.053057098426962</v>
          </cell>
          <cell r="P385">
            <v>32.986133014872848</v>
          </cell>
          <cell r="Q385">
            <v>31.919208931318281</v>
          </cell>
          <cell r="R385">
            <v>30.852284847764167</v>
          </cell>
          <cell r="S385">
            <v>29.785360764210168</v>
          </cell>
          <cell r="T385">
            <v>29.283177129903038</v>
          </cell>
          <cell r="U385">
            <v>28.780993495596022</v>
          </cell>
          <cell r="V385">
            <v>28.278809861288892</v>
          </cell>
          <cell r="W385">
            <v>27.776626226981762</v>
          </cell>
          <cell r="X385">
            <v>27.274442592674859</v>
          </cell>
          <cell r="Y385">
            <v>26.758061649346246</v>
          </cell>
          <cell r="Z385">
            <v>26.241680706017632</v>
          </cell>
          <cell r="AA385">
            <v>25.725299762688792</v>
          </cell>
          <cell r="AB385">
            <v>25.208918819360179</v>
          </cell>
          <cell r="AC385">
            <v>24.692537876031452</v>
          </cell>
          <cell r="AD385">
            <v>24.439084279606391</v>
          </cell>
          <cell r="AE385">
            <v>24.185630683181444</v>
          </cell>
          <cell r="AF385">
            <v>23.932177086756383</v>
          </cell>
          <cell r="AG385">
            <v>23.678723490331322</v>
          </cell>
          <cell r="AH385">
            <v>23.425269893906375</v>
          </cell>
        </row>
        <row r="386">
          <cell r="B386" t="str">
            <v>Renewable electricity - Cost of electricity - Americas - USD/MWh</v>
          </cell>
          <cell r="G386">
            <v>36.687184539767031</v>
          </cell>
          <cell r="H386">
            <v>35.927444151972622</v>
          </cell>
          <cell r="I386">
            <v>35.167703764177986</v>
          </cell>
          <cell r="J386">
            <v>33.883444176422017</v>
          </cell>
          <cell r="K386">
            <v>32.599184588666049</v>
          </cell>
          <cell r="L386">
            <v>31.31492500091008</v>
          </cell>
          <cell r="M386">
            <v>30.030665413154566</v>
          </cell>
          <cell r="N386">
            <v>28.746405825398597</v>
          </cell>
          <cell r="O386">
            <v>28.128389278370832</v>
          </cell>
          <cell r="P386">
            <v>27.510372731343068</v>
          </cell>
          <cell r="Q386">
            <v>26.892356184315304</v>
          </cell>
          <cell r="R386">
            <v>26.27433963728754</v>
          </cell>
          <cell r="S386">
            <v>25.656323090259662</v>
          </cell>
          <cell r="T386">
            <v>25.155343675421591</v>
          </cell>
          <cell r="U386">
            <v>24.65436426058352</v>
          </cell>
          <cell r="V386">
            <v>24.153384845745336</v>
          </cell>
          <cell r="W386">
            <v>23.652405430907265</v>
          </cell>
          <cell r="X386">
            <v>23.151426016069138</v>
          </cell>
          <cell r="Y386">
            <v>22.949597354879643</v>
          </cell>
          <cell r="Z386">
            <v>22.747768693690148</v>
          </cell>
          <cell r="AA386">
            <v>22.54594003250071</v>
          </cell>
          <cell r="AB386">
            <v>22.344111371311214</v>
          </cell>
          <cell r="AC386">
            <v>22.142282710121719</v>
          </cell>
          <cell r="AD386">
            <v>21.990017270793203</v>
          </cell>
          <cell r="AE386">
            <v>21.837751831464743</v>
          </cell>
          <cell r="AF386">
            <v>21.685486392136283</v>
          </cell>
          <cell r="AG386">
            <v>21.533220952807824</v>
          </cell>
          <cell r="AH386">
            <v>21.380955513479364</v>
          </cell>
        </row>
        <row r="387">
          <cell r="B387" t="str">
            <v>Renewable electricity - Cost of electricity - Asia - USD/MWh</v>
          </cell>
          <cell r="G387">
            <v>64.941602489809156</v>
          </cell>
          <cell r="H387">
            <v>59.234907936835953</v>
          </cell>
          <cell r="I387">
            <v>53.528213383865477</v>
          </cell>
          <cell r="J387">
            <v>51.481269434223577</v>
          </cell>
          <cell r="K387">
            <v>49.434325484582587</v>
          </cell>
          <cell r="L387">
            <v>47.387381534940687</v>
          </cell>
          <cell r="M387">
            <v>45.340437585298787</v>
          </cell>
          <cell r="N387">
            <v>43.293493635657796</v>
          </cell>
          <cell r="O387">
            <v>41.902208066311687</v>
          </cell>
          <cell r="P387">
            <v>40.510922496966032</v>
          </cell>
          <cell r="Q387">
            <v>39.119636927620832</v>
          </cell>
          <cell r="R387">
            <v>37.728351358275177</v>
          </cell>
          <cell r="S387">
            <v>36.337065788929522</v>
          </cell>
          <cell r="T387">
            <v>35.629702497725702</v>
          </cell>
          <cell r="U387">
            <v>34.922339206521883</v>
          </cell>
          <cell r="V387">
            <v>34.214975915318291</v>
          </cell>
          <cell r="W387">
            <v>33.507612624114472</v>
          </cell>
          <cell r="X387">
            <v>32.800249332911108</v>
          </cell>
          <cell r="Y387">
            <v>32.059832294097532</v>
          </cell>
          <cell r="Z387">
            <v>31.319415255284184</v>
          </cell>
          <cell r="AA387">
            <v>30.578998216470609</v>
          </cell>
          <cell r="AB387">
            <v>29.838581177657261</v>
          </cell>
          <cell r="AC387">
            <v>29.098164138843686</v>
          </cell>
          <cell r="AD387">
            <v>28.758618698873192</v>
          </cell>
          <cell r="AE387">
            <v>28.419073258902586</v>
          </cell>
          <cell r="AF387">
            <v>28.079527818932092</v>
          </cell>
          <cell r="AG387">
            <v>27.739982378961599</v>
          </cell>
          <cell r="AH387">
            <v>27.400436938990993</v>
          </cell>
        </row>
        <row r="388">
          <cell r="B388" t="str">
            <v>Renewable electricity - Cost of electricity - Europe - USD/MWh</v>
          </cell>
          <cell r="G388">
            <v>48.345505357757247</v>
          </cell>
          <cell r="H388">
            <v>46.261834393182653</v>
          </cell>
          <cell r="I388">
            <v>44.178163428608059</v>
          </cell>
          <cell r="J388">
            <v>42.49454469772445</v>
          </cell>
          <cell r="K388">
            <v>40.810925966840387</v>
          </cell>
          <cell r="L388">
            <v>39.127307235956778</v>
          </cell>
          <cell r="M388">
            <v>37.443688505072714</v>
          </cell>
          <cell r="N388">
            <v>35.760069774189105</v>
          </cell>
          <cell r="O388">
            <v>35.060526539849434</v>
          </cell>
          <cell r="P388">
            <v>34.360983305510445</v>
          </cell>
          <cell r="Q388">
            <v>33.661440071171228</v>
          </cell>
          <cell r="R388">
            <v>32.961896836832011</v>
          </cell>
          <cell r="S388">
            <v>32.262353602493022</v>
          </cell>
          <cell r="T388">
            <v>31.844690735616723</v>
          </cell>
          <cell r="U388">
            <v>31.427027868740538</v>
          </cell>
          <cell r="V388">
            <v>31.009365001864353</v>
          </cell>
          <cell r="W388">
            <v>30.591702134988168</v>
          </cell>
          <cell r="X388">
            <v>30.174039268111756</v>
          </cell>
          <cell r="Y388">
            <v>29.72721540516045</v>
          </cell>
          <cell r="Z388">
            <v>29.280391542209031</v>
          </cell>
          <cell r="AA388">
            <v>28.833567679257726</v>
          </cell>
          <cell r="AB388">
            <v>28.386743816306307</v>
          </cell>
          <cell r="AC388">
            <v>27.939919953355002</v>
          </cell>
          <cell r="AD388">
            <v>27.613908060931863</v>
          </cell>
          <cell r="AE388">
            <v>27.28789616850861</v>
          </cell>
          <cell r="AF388">
            <v>26.96188427608547</v>
          </cell>
          <cell r="AG388">
            <v>26.635872383662331</v>
          </cell>
          <cell r="AH388">
            <v>26.309860491239078</v>
          </cell>
        </row>
        <row r="389">
          <cell r="B389" t="str">
            <v>Renewable electricity - Cost of electricity - Middle East - USD/MWh</v>
          </cell>
          <cell r="G389">
            <v>37.020316673163961</v>
          </cell>
          <cell r="H389">
            <v>35.386702900434102</v>
          </cell>
          <cell r="I389">
            <v>33.753089127703788</v>
          </cell>
          <cell r="J389">
            <v>32.671487127187447</v>
          </cell>
          <cell r="K389">
            <v>31.589885126671106</v>
          </cell>
          <cell r="L389">
            <v>30.508283126154765</v>
          </cell>
          <cell r="M389">
            <v>29.426681125638424</v>
          </cell>
          <cell r="N389">
            <v>28.345079125122083</v>
          </cell>
          <cell r="O389">
            <v>27.58242507536329</v>
          </cell>
          <cell r="P389">
            <v>26.819771025604723</v>
          </cell>
          <cell r="Q389">
            <v>26.057116975845929</v>
          </cell>
          <cell r="R389">
            <v>25.294462926087363</v>
          </cell>
          <cell r="S389">
            <v>24.531808876328796</v>
          </cell>
          <cell r="T389">
            <v>24.149422155106208</v>
          </cell>
          <cell r="U389">
            <v>23.76703543388362</v>
          </cell>
          <cell r="V389">
            <v>23.384648712661146</v>
          </cell>
          <cell r="W389">
            <v>23.002261991438559</v>
          </cell>
          <cell r="X389">
            <v>22.619875270215971</v>
          </cell>
          <cell r="Y389">
            <v>22.118414831670066</v>
          </cell>
          <cell r="Z389">
            <v>21.616954393124274</v>
          </cell>
          <cell r="AA389">
            <v>21.115493954578369</v>
          </cell>
          <cell r="AB389">
            <v>20.614033516032578</v>
          </cell>
          <cell r="AC389">
            <v>20.112573077486616</v>
          </cell>
          <cell r="AD389">
            <v>19.877873861328055</v>
          </cell>
          <cell r="AE389">
            <v>19.643174645169552</v>
          </cell>
          <cell r="AF389">
            <v>19.408475429010991</v>
          </cell>
          <cell r="AG389">
            <v>19.173776212852431</v>
          </cell>
          <cell r="AH389">
            <v>18.939076996693927</v>
          </cell>
        </row>
        <row r="390">
          <cell r="B390" t="str">
            <v>Carbon dioxide (DAC) - Energy demand - Global - MWh/ton fuel</v>
          </cell>
          <cell r="G390">
            <v>2.877963620812082</v>
          </cell>
          <cell r="H390">
            <v>2.8389818104060396</v>
          </cell>
          <cell r="I390">
            <v>2.8000000000000114</v>
          </cell>
          <cell r="J390">
            <v>2.7635551306431552</v>
          </cell>
          <cell r="K390">
            <v>2.727110261286299</v>
          </cell>
          <cell r="L390">
            <v>2.6906653919294428</v>
          </cell>
          <cell r="M390">
            <v>2.6542205225725866</v>
          </cell>
          <cell r="N390">
            <v>2.6177756532157304</v>
          </cell>
          <cell r="O390">
            <v>2.5837026204703619</v>
          </cell>
          <cell r="P390">
            <v>2.5496295877250077</v>
          </cell>
          <cell r="Q390">
            <v>2.5155565549796535</v>
          </cell>
          <cell r="R390">
            <v>2.481483522234285</v>
          </cell>
          <cell r="S390">
            <v>2.4474104894889166</v>
          </cell>
          <cell r="T390">
            <v>2.4155549339346152</v>
          </cell>
          <cell r="U390">
            <v>2.383699378380328</v>
          </cell>
          <cell r="V390">
            <v>2.3518438228260266</v>
          </cell>
          <cell r="W390">
            <v>2.3199882672717393</v>
          </cell>
          <cell r="X390">
            <v>2.288132711717445</v>
          </cell>
          <cell r="Y390">
            <v>2.2583503196639825</v>
          </cell>
          <cell r="Z390">
            <v>2.2285679276105199</v>
          </cell>
          <cell r="AA390">
            <v>2.1987855355570574</v>
          </cell>
          <cell r="AB390">
            <v>2.1690031435036019</v>
          </cell>
          <cell r="AC390">
            <v>2.1392207514501393</v>
          </cell>
          <cell r="AD390">
            <v>2.1113766011601172</v>
          </cell>
          <cell r="AE390">
            <v>2.0835324508700879</v>
          </cell>
          <cell r="AF390">
            <v>2.0556883005800586</v>
          </cell>
          <cell r="AG390">
            <v>2.0278441502900293</v>
          </cell>
          <cell r="AH390">
            <v>2</v>
          </cell>
        </row>
        <row r="392">
          <cell r="B392" t="str">
            <v>Carbon dioxide (PS) - Item - Region - Unit</v>
          </cell>
          <cell r="G392">
            <v>2023</v>
          </cell>
          <cell r="H392">
            <v>2024</v>
          </cell>
          <cell r="I392">
            <v>2025</v>
          </cell>
          <cell r="J392">
            <v>2026</v>
          </cell>
          <cell r="K392">
            <v>2027</v>
          </cell>
          <cell r="L392">
            <v>2028</v>
          </cell>
          <cell r="M392">
            <v>2029</v>
          </cell>
          <cell r="N392">
            <v>2030</v>
          </cell>
          <cell r="O392">
            <v>2031</v>
          </cell>
          <cell r="P392">
            <v>2032</v>
          </cell>
          <cell r="Q392">
            <v>2033</v>
          </cell>
          <cell r="R392">
            <v>2034</v>
          </cell>
          <cell r="S392">
            <v>2035</v>
          </cell>
          <cell r="T392">
            <v>2036</v>
          </cell>
          <cell r="U392">
            <v>2037</v>
          </cell>
          <cell r="V392">
            <v>2038</v>
          </cell>
          <cell r="W392">
            <v>2039</v>
          </cell>
          <cell r="X392">
            <v>2040</v>
          </cell>
          <cell r="Y392">
            <v>2041</v>
          </cell>
          <cell r="Z392">
            <v>2042</v>
          </cell>
          <cell r="AA392">
            <v>2043</v>
          </cell>
          <cell r="AB392">
            <v>2044</v>
          </cell>
          <cell r="AC392">
            <v>2045</v>
          </cell>
          <cell r="AD392">
            <v>2046</v>
          </cell>
          <cell r="AE392">
            <v>2047</v>
          </cell>
          <cell r="AF392">
            <v>2048</v>
          </cell>
          <cell r="AG392">
            <v>2049</v>
          </cell>
          <cell r="AH392">
            <v>2050</v>
          </cell>
        </row>
        <row r="393">
          <cell r="B393" t="str">
            <v>Carbon dioxide (PS) - Total cost - Africa - USD/ton fuel</v>
          </cell>
          <cell r="G393">
            <v>168.75874645206471</v>
          </cell>
          <cell r="H393">
            <v>160.13998331054682</v>
          </cell>
          <cell r="I393">
            <v>151.52122016902811</v>
          </cell>
          <cell r="J393">
            <v>145.12777444160082</v>
          </cell>
          <cell r="K393">
            <v>138.73432871417356</v>
          </cell>
          <cell r="L393">
            <v>132.34088298674627</v>
          </cell>
          <cell r="M393">
            <v>125.94743725931876</v>
          </cell>
          <cell r="N393">
            <v>119.55399153189148</v>
          </cell>
          <cell r="O393">
            <v>116.92970902762548</v>
          </cell>
          <cell r="P393">
            <v>114.30542652335946</v>
          </cell>
          <cell r="Q393">
            <v>111.68114401909322</v>
          </cell>
          <cell r="R393">
            <v>109.0568615148272</v>
          </cell>
          <cell r="S393">
            <v>106.43257901056124</v>
          </cell>
          <cell r="T393">
            <v>104.06242970845638</v>
          </cell>
          <cell r="U393">
            <v>101.69228040635156</v>
          </cell>
          <cell r="V393">
            <v>99.322131104246679</v>
          </cell>
          <cell r="W393">
            <v>96.951981802141802</v>
          </cell>
          <cell r="X393">
            <v>94.581832500037024</v>
          </cell>
          <cell r="Y393">
            <v>92.20529440887249</v>
          </cell>
          <cell r="Z393">
            <v>89.828756317707942</v>
          </cell>
          <cell r="AA393">
            <v>87.452218226543295</v>
          </cell>
          <cell r="AB393">
            <v>85.075680135378761</v>
          </cell>
          <cell r="AC393">
            <v>82.699142044214156</v>
          </cell>
          <cell r="AD393">
            <v>80.440921259156212</v>
          </cell>
          <cell r="AE393">
            <v>78.182700474098326</v>
          </cell>
          <cell r="AF393">
            <v>75.924479689040368</v>
          </cell>
          <cell r="AG393">
            <v>73.666258903982438</v>
          </cell>
          <cell r="AH393">
            <v>71.408038118924537</v>
          </cell>
        </row>
        <row r="394">
          <cell r="B394" t="str">
            <v>Carbon dioxide (PS) - Total cost - Americas - USD/ton fuel</v>
          </cell>
          <cell r="G394">
            <v>158.99256637622852</v>
          </cell>
          <cell r="H394">
            <v>153.11734986838769</v>
          </cell>
          <cell r="I394">
            <v>147.24213336054677</v>
          </cell>
          <cell r="J394">
            <v>141.13088321272323</v>
          </cell>
          <cell r="K394">
            <v>135.01963306489972</v>
          </cell>
          <cell r="L394">
            <v>128.90838291707621</v>
          </cell>
          <cell r="M394">
            <v>122.79713276925288</v>
          </cell>
          <cell r="N394">
            <v>116.68588262142937</v>
          </cell>
          <cell r="O394">
            <v>114.26360850860023</v>
          </cell>
          <cell r="P394">
            <v>111.84133439577106</v>
          </cell>
          <cell r="Q394">
            <v>109.41906028294189</v>
          </cell>
          <cell r="R394">
            <v>106.99678617011273</v>
          </cell>
          <cell r="S394">
            <v>104.57451205728351</v>
          </cell>
          <cell r="T394">
            <v>102.20490465393972</v>
          </cell>
          <cell r="U394">
            <v>99.835297250595929</v>
          </cell>
          <cell r="V394">
            <v>97.465689847252079</v>
          </cell>
          <cell r="W394">
            <v>95.096082443908287</v>
          </cell>
          <cell r="X394">
            <v>92.726475040564452</v>
          </cell>
          <cell r="Y394">
            <v>90.491485476362513</v>
          </cell>
          <cell r="Z394">
            <v>88.256495912160574</v>
          </cell>
          <cell r="AA394">
            <v>86.021506347958649</v>
          </cell>
          <cell r="AB394">
            <v>83.786516783756724</v>
          </cell>
          <cell r="AC394">
            <v>81.551527219554785</v>
          </cell>
          <cell r="AD394">
            <v>79.338841105190284</v>
          </cell>
          <cell r="AE394">
            <v>77.12615499082581</v>
          </cell>
          <cell r="AF394">
            <v>74.913468876461323</v>
          </cell>
          <cell r="AG394">
            <v>72.700782762096864</v>
          </cell>
          <cell r="AH394">
            <v>70.488096647732377</v>
          </cell>
        </row>
        <row r="395">
          <cell r="B395" t="str">
            <v>Carbon dioxide (PS) - Total cost - Asia - USD/ton fuel</v>
          </cell>
          <cell r="G395">
            <v>171.70705445374747</v>
          </cell>
          <cell r="H395">
            <v>163.6057085715762</v>
          </cell>
          <cell r="I395">
            <v>155.50436268940615</v>
          </cell>
          <cell r="J395">
            <v>149.04990457873393</v>
          </cell>
          <cell r="K395">
            <v>142.59544646806216</v>
          </cell>
          <cell r="L395">
            <v>136.14098835738997</v>
          </cell>
          <cell r="M395">
            <v>129.68653024671778</v>
          </cell>
          <cell r="N395">
            <v>123.23207213604601</v>
          </cell>
          <cell r="O395">
            <v>120.46182696317361</v>
          </cell>
          <cell r="P395">
            <v>117.69158179030138</v>
          </cell>
          <cell r="Q395">
            <v>114.92133661742938</v>
          </cell>
          <cell r="R395">
            <v>112.15109144455717</v>
          </cell>
          <cell r="S395">
            <v>109.38084627168496</v>
          </cell>
          <cell r="T395">
            <v>106.91836612397657</v>
          </cell>
          <cell r="U395">
            <v>104.45588597626819</v>
          </cell>
          <cell r="V395">
            <v>101.99340582855991</v>
          </cell>
          <cell r="W395">
            <v>99.530925680851524</v>
          </cell>
          <cell r="X395">
            <v>97.068445533143333</v>
          </cell>
          <cell r="Y395">
            <v>94.591091199010563</v>
          </cell>
          <cell r="Z395">
            <v>92.113736864877893</v>
          </cell>
          <cell r="AA395">
            <v>89.636382530745109</v>
          </cell>
          <cell r="AB395">
            <v>87.159028196612454</v>
          </cell>
          <cell r="AC395">
            <v>84.68167386247967</v>
          </cell>
          <cell r="AD395">
            <v>82.384711747826273</v>
          </cell>
          <cell r="AE395">
            <v>80.087749633172848</v>
          </cell>
          <cell r="AF395">
            <v>77.790787518519437</v>
          </cell>
          <cell r="AG395">
            <v>75.493825403866055</v>
          </cell>
          <cell r="AH395">
            <v>73.196863289212615</v>
          </cell>
        </row>
        <row r="396">
          <cell r="B396" t="str">
            <v>Carbon dioxide (PS) - Total cost - Europe - USD/ton fuel</v>
          </cell>
          <cell r="G396">
            <v>164.2388107443241</v>
          </cell>
          <cell r="H396">
            <v>157.76782547693222</v>
          </cell>
          <cell r="I396">
            <v>151.29684020954031</v>
          </cell>
          <cell r="J396">
            <v>145.00587844730933</v>
          </cell>
          <cell r="K396">
            <v>138.71491668507818</v>
          </cell>
          <cell r="L396">
            <v>132.42395492284723</v>
          </cell>
          <cell r="M396">
            <v>126.13299316061605</v>
          </cell>
          <cell r="N396">
            <v>119.8420313983851</v>
          </cell>
          <cell r="O396">
            <v>117.3830702762656</v>
          </cell>
          <cell r="P396">
            <v>114.92410915414638</v>
          </cell>
          <cell r="Q396">
            <v>112.46514803202705</v>
          </cell>
          <cell r="R396">
            <v>110.00618690990774</v>
          </cell>
          <cell r="S396">
            <v>107.54722578778853</v>
          </cell>
          <cell r="T396">
            <v>105.21511083102753</v>
          </cell>
          <cell r="U396">
            <v>102.88299587426658</v>
          </cell>
          <cell r="V396">
            <v>100.55088091750564</v>
          </cell>
          <cell r="W396">
            <v>98.21876596074469</v>
          </cell>
          <cell r="X396">
            <v>95.88665100398363</v>
          </cell>
          <cell r="Y396">
            <v>93.541413598988882</v>
          </cell>
          <cell r="Z396">
            <v>91.196176193994077</v>
          </cell>
          <cell r="AA396">
            <v>88.850938788999315</v>
          </cell>
          <cell r="AB396">
            <v>86.505701384004524</v>
          </cell>
          <cell r="AC396">
            <v>84.160463979009762</v>
          </cell>
          <cell r="AD396">
            <v>81.869591960752686</v>
          </cell>
          <cell r="AE396">
            <v>79.578719942495553</v>
          </cell>
          <cell r="AF396">
            <v>77.287847924238463</v>
          </cell>
          <cell r="AG396">
            <v>74.996975905981387</v>
          </cell>
          <cell r="AH396">
            <v>72.706103887724254</v>
          </cell>
        </row>
        <row r="397">
          <cell r="B397" t="str">
            <v>Carbon dioxide (PS) - Total cost - Middle East - USD/ton fuel</v>
          </cell>
          <cell r="G397">
            <v>159.14247583625712</v>
          </cell>
          <cell r="H397">
            <v>152.87401630519537</v>
          </cell>
          <cell r="I397">
            <v>146.60555677413339</v>
          </cell>
          <cell r="J397">
            <v>140.58550254056769</v>
          </cell>
          <cell r="K397">
            <v>134.56544830700201</v>
          </cell>
          <cell r="L397">
            <v>128.54539407343631</v>
          </cell>
          <cell r="M397">
            <v>122.52533983987063</v>
          </cell>
          <cell r="N397">
            <v>116.50528560630494</v>
          </cell>
          <cell r="O397">
            <v>114.01792461724683</v>
          </cell>
          <cell r="P397">
            <v>111.5305636281888</v>
          </cell>
          <cell r="Q397">
            <v>109.04320263913067</v>
          </cell>
          <cell r="R397">
            <v>106.55584165007265</v>
          </cell>
          <cell r="S397">
            <v>104.06848066101463</v>
          </cell>
          <cell r="T397">
            <v>101.7522399697978</v>
          </cell>
          <cell r="U397">
            <v>99.435999278580965</v>
          </cell>
          <cell r="V397">
            <v>97.119758587364188</v>
          </cell>
          <cell r="W397">
            <v>94.803517896147369</v>
          </cell>
          <cell r="X397">
            <v>92.487277204930521</v>
          </cell>
          <cell r="Y397">
            <v>90.117453340918203</v>
          </cell>
          <cell r="Z397">
            <v>87.747629476905928</v>
          </cell>
          <cell r="AA397">
            <v>85.377805612893596</v>
          </cell>
          <cell r="AB397">
            <v>83.007981748881349</v>
          </cell>
          <cell r="AC397">
            <v>80.638157884868988</v>
          </cell>
          <cell r="AD397">
            <v>78.388376570930973</v>
          </cell>
          <cell r="AE397">
            <v>76.138595256992971</v>
          </cell>
          <cell r="AF397">
            <v>73.888813943054942</v>
          </cell>
          <cell r="AG397">
            <v>71.639032629116926</v>
          </cell>
          <cell r="AH397">
            <v>69.389251315178939</v>
          </cell>
        </row>
        <row r="398">
          <cell r="B398" t="str">
            <v/>
          </cell>
        </row>
        <row r="399">
          <cell r="B399" t="str">
            <v>Carbon dioxide (PS) - CAPEX - Global - USD/ton fuel</v>
          </cell>
          <cell r="G399">
            <v>34.333333333333336</v>
          </cell>
          <cell r="H399">
            <v>33</v>
          </cell>
          <cell r="I399">
            <v>31.666666666666668</v>
          </cell>
          <cell r="J399">
            <v>30.333333333333332</v>
          </cell>
          <cell r="K399">
            <v>29</v>
          </cell>
          <cell r="L399">
            <v>27.666666666666668</v>
          </cell>
          <cell r="M399">
            <v>26.333333333333332</v>
          </cell>
          <cell r="N399">
            <v>25</v>
          </cell>
          <cell r="O399">
            <v>24.483333333333334</v>
          </cell>
          <cell r="P399">
            <v>23.966666666666665</v>
          </cell>
          <cell r="Q399">
            <v>23.45</v>
          </cell>
          <cell r="R399">
            <v>22.933333333333334</v>
          </cell>
          <cell r="S399">
            <v>22.416666666666668</v>
          </cell>
          <cell r="T399">
            <v>21.9</v>
          </cell>
          <cell r="U399">
            <v>21.383333333333333</v>
          </cell>
          <cell r="V399">
            <v>20.866666666666667</v>
          </cell>
          <cell r="W399">
            <v>20.350000000000001</v>
          </cell>
          <cell r="X399">
            <v>19.833333333333332</v>
          </cell>
          <cell r="Y399">
            <v>19.316666666666666</v>
          </cell>
          <cell r="Z399">
            <v>18.8</v>
          </cell>
          <cell r="AA399">
            <v>18.283333333333335</v>
          </cell>
          <cell r="AB399">
            <v>17.766666666666666</v>
          </cell>
          <cell r="AC399">
            <v>17.25</v>
          </cell>
          <cell r="AD399">
            <v>16.733333333333334</v>
          </cell>
          <cell r="AE399">
            <v>16.216666666666665</v>
          </cell>
          <cell r="AF399">
            <v>15.7</v>
          </cell>
          <cell r="AG399">
            <v>15.183333333333334</v>
          </cell>
          <cell r="AH399">
            <v>14.666666666666666</v>
          </cell>
        </row>
        <row r="400">
          <cell r="B400" t="str">
            <v>Carbon dioxide (PS) - Plant lifetime - Global - Years</v>
          </cell>
          <cell r="G400">
            <v>30</v>
          </cell>
          <cell r="H400">
            <v>30</v>
          </cell>
          <cell r="I400">
            <v>30</v>
          </cell>
          <cell r="J400">
            <v>30</v>
          </cell>
          <cell r="K400">
            <v>30</v>
          </cell>
          <cell r="L400">
            <v>30</v>
          </cell>
          <cell r="M400">
            <v>30</v>
          </cell>
          <cell r="N400">
            <v>30</v>
          </cell>
          <cell r="O400">
            <v>30</v>
          </cell>
          <cell r="P400">
            <v>30</v>
          </cell>
          <cell r="Q400">
            <v>30</v>
          </cell>
          <cell r="R400">
            <v>30</v>
          </cell>
          <cell r="S400">
            <v>30</v>
          </cell>
          <cell r="T400">
            <v>30</v>
          </cell>
          <cell r="U400">
            <v>30</v>
          </cell>
          <cell r="V400">
            <v>30</v>
          </cell>
          <cell r="W400">
            <v>30</v>
          </cell>
          <cell r="X400">
            <v>30</v>
          </cell>
          <cell r="Y400">
            <v>30</v>
          </cell>
          <cell r="Z400">
            <v>30</v>
          </cell>
          <cell r="AA400">
            <v>30</v>
          </cell>
          <cell r="AB400">
            <v>30</v>
          </cell>
          <cell r="AC400">
            <v>30</v>
          </cell>
          <cell r="AD400">
            <v>30</v>
          </cell>
          <cell r="AE400">
            <v>30</v>
          </cell>
          <cell r="AF400">
            <v>30</v>
          </cell>
          <cell r="AG400">
            <v>30</v>
          </cell>
          <cell r="AH400">
            <v>30</v>
          </cell>
        </row>
        <row r="401">
          <cell r="B401" t="str">
            <v>Carbon dioxide (PS) - Total CAPEX - Global - USD/ton fuel</v>
          </cell>
          <cell r="G401">
            <v>1030</v>
          </cell>
          <cell r="H401">
            <v>990</v>
          </cell>
          <cell r="I401">
            <v>950</v>
          </cell>
          <cell r="J401">
            <v>910</v>
          </cell>
          <cell r="K401">
            <v>870</v>
          </cell>
          <cell r="L401">
            <v>830</v>
          </cell>
          <cell r="M401">
            <v>790</v>
          </cell>
          <cell r="N401">
            <v>750</v>
          </cell>
          <cell r="O401">
            <v>734.5</v>
          </cell>
          <cell r="P401">
            <v>719</v>
          </cell>
          <cell r="Q401">
            <v>703.5</v>
          </cell>
          <cell r="R401">
            <v>688</v>
          </cell>
          <cell r="S401">
            <v>672.5</v>
          </cell>
          <cell r="T401">
            <v>657</v>
          </cell>
          <cell r="U401">
            <v>641.5</v>
          </cell>
          <cell r="V401">
            <v>626</v>
          </cell>
          <cell r="W401">
            <v>610.5</v>
          </cell>
          <cell r="X401">
            <v>595</v>
          </cell>
          <cell r="Y401">
            <v>579.5</v>
          </cell>
          <cell r="Z401">
            <v>564</v>
          </cell>
          <cell r="AA401">
            <v>548.5</v>
          </cell>
          <cell r="AB401">
            <v>533</v>
          </cell>
          <cell r="AC401">
            <v>517.5</v>
          </cell>
          <cell r="AD401">
            <v>502</v>
          </cell>
          <cell r="AE401">
            <v>486.5</v>
          </cell>
          <cell r="AF401">
            <v>471</v>
          </cell>
          <cell r="AG401">
            <v>455.5</v>
          </cell>
          <cell r="AH401">
            <v>440</v>
          </cell>
        </row>
        <row r="402">
          <cell r="B402" t="str">
            <v/>
          </cell>
        </row>
        <row r="403">
          <cell r="B403" t="str">
            <v>Carbon dioxide (PS) - OPEX - Global - USD/ton fuel</v>
          </cell>
          <cell r="G403">
            <v>51.5</v>
          </cell>
          <cell r="H403">
            <v>49.5</v>
          </cell>
          <cell r="I403">
            <v>47.5</v>
          </cell>
          <cell r="J403">
            <v>45.5</v>
          </cell>
          <cell r="K403">
            <v>43.5</v>
          </cell>
          <cell r="L403">
            <v>41.5</v>
          </cell>
          <cell r="M403">
            <v>39.5</v>
          </cell>
          <cell r="N403">
            <v>37.5</v>
          </cell>
          <cell r="O403">
            <v>36.725000000000001</v>
          </cell>
          <cell r="P403">
            <v>35.950000000000003</v>
          </cell>
          <cell r="Q403">
            <v>35.175000000000004</v>
          </cell>
          <cell r="R403">
            <v>34.4</v>
          </cell>
          <cell r="S403">
            <v>33.625</v>
          </cell>
          <cell r="T403">
            <v>32.85</v>
          </cell>
          <cell r="U403">
            <v>32.075000000000003</v>
          </cell>
          <cell r="V403">
            <v>31.3</v>
          </cell>
          <cell r="W403">
            <v>30.525000000000002</v>
          </cell>
          <cell r="X403">
            <v>29.75</v>
          </cell>
          <cell r="Y403">
            <v>28.975000000000001</v>
          </cell>
          <cell r="Z403">
            <v>28.200000000000003</v>
          </cell>
          <cell r="AA403">
            <v>27.425000000000001</v>
          </cell>
          <cell r="AB403">
            <v>26.650000000000002</v>
          </cell>
          <cell r="AC403">
            <v>25.875</v>
          </cell>
          <cell r="AD403">
            <v>25.1</v>
          </cell>
          <cell r="AE403">
            <v>24.325000000000003</v>
          </cell>
          <cell r="AF403">
            <v>23.55</v>
          </cell>
          <cell r="AG403">
            <v>22.775000000000002</v>
          </cell>
          <cell r="AH403">
            <v>22</v>
          </cell>
        </row>
        <row r="404">
          <cell r="B404" t="str">
            <v>Carbon dioxide (PS) - OPEX - Global - USD/ton fuel/year</v>
          </cell>
          <cell r="G404">
            <v>51.5</v>
          </cell>
          <cell r="H404">
            <v>49.5</v>
          </cell>
          <cell r="I404">
            <v>47.5</v>
          </cell>
          <cell r="J404">
            <v>45.5</v>
          </cell>
          <cell r="K404">
            <v>43.5</v>
          </cell>
          <cell r="L404">
            <v>41.5</v>
          </cell>
          <cell r="M404">
            <v>39.5</v>
          </cell>
          <cell r="N404">
            <v>37.5</v>
          </cell>
          <cell r="O404">
            <v>36.725000000000001</v>
          </cell>
          <cell r="P404">
            <v>35.950000000000003</v>
          </cell>
          <cell r="Q404">
            <v>35.175000000000004</v>
          </cell>
          <cell r="R404">
            <v>34.4</v>
          </cell>
          <cell r="S404">
            <v>33.625</v>
          </cell>
          <cell r="T404">
            <v>32.85</v>
          </cell>
          <cell r="U404">
            <v>32.075000000000003</v>
          </cell>
          <cell r="V404">
            <v>31.3</v>
          </cell>
          <cell r="W404">
            <v>30.525000000000002</v>
          </cell>
          <cell r="X404">
            <v>29.75</v>
          </cell>
          <cell r="Y404">
            <v>28.975000000000001</v>
          </cell>
          <cell r="Z404">
            <v>28.200000000000003</v>
          </cell>
          <cell r="AA404">
            <v>27.425000000000001</v>
          </cell>
          <cell r="AB404">
            <v>26.650000000000002</v>
          </cell>
          <cell r="AC404">
            <v>25.875</v>
          </cell>
          <cell r="AD404">
            <v>25.1</v>
          </cell>
          <cell r="AE404">
            <v>24.325000000000003</v>
          </cell>
          <cell r="AF404">
            <v>23.55</v>
          </cell>
          <cell r="AG404">
            <v>22.775000000000002</v>
          </cell>
          <cell r="AH404">
            <v>22</v>
          </cell>
        </row>
        <row r="405">
          <cell r="B405" t="str">
            <v/>
          </cell>
        </row>
        <row r="406">
          <cell r="B406" t="str">
            <v>Carbon dioxide (PS) - Finance cost - Africa - USD/ton fuel</v>
          </cell>
          <cell r="G406">
            <v>56.650000000000006</v>
          </cell>
          <cell r="H406">
            <v>54.45000000000001</v>
          </cell>
          <cell r="I406">
            <v>52.250000000000007</v>
          </cell>
          <cell r="J406">
            <v>50.050000000000004</v>
          </cell>
          <cell r="K406">
            <v>47.850000000000009</v>
          </cell>
          <cell r="L406">
            <v>45.650000000000006</v>
          </cell>
          <cell r="M406">
            <v>43.45</v>
          </cell>
          <cell r="N406">
            <v>41.250000000000007</v>
          </cell>
          <cell r="O406">
            <v>40.397500000000008</v>
          </cell>
          <cell r="P406">
            <v>39.545000000000002</v>
          </cell>
          <cell r="Q406">
            <v>38.692500000000003</v>
          </cell>
          <cell r="R406">
            <v>37.840000000000003</v>
          </cell>
          <cell r="S406">
            <v>36.987500000000004</v>
          </cell>
          <cell r="T406">
            <v>36.135000000000005</v>
          </cell>
          <cell r="U406">
            <v>35.282500000000006</v>
          </cell>
          <cell r="V406">
            <v>34.430000000000007</v>
          </cell>
          <cell r="W406">
            <v>33.577500000000008</v>
          </cell>
          <cell r="X406">
            <v>32.725000000000001</v>
          </cell>
          <cell r="Y406">
            <v>31.872500000000006</v>
          </cell>
          <cell r="Z406">
            <v>31.020000000000003</v>
          </cell>
          <cell r="AA406">
            <v>30.167500000000004</v>
          </cell>
          <cell r="AB406">
            <v>29.315000000000005</v>
          </cell>
          <cell r="AC406">
            <v>28.462500000000002</v>
          </cell>
          <cell r="AD406">
            <v>27.610000000000003</v>
          </cell>
          <cell r="AE406">
            <v>26.757500000000004</v>
          </cell>
          <cell r="AF406">
            <v>25.905000000000005</v>
          </cell>
          <cell r="AG406">
            <v>25.052500000000002</v>
          </cell>
          <cell r="AH406">
            <v>24.200000000000003</v>
          </cell>
        </row>
        <row r="407">
          <cell r="B407" t="str">
            <v>Carbon dioxide (PS) - Finance cost - Americas - USD/ton fuel</v>
          </cell>
          <cell r="G407">
            <v>56.650000000000006</v>
          </cell>
          <cell r="H407">
            <v>54.45000000000001</v>
          </cell>
          <cell r="I407">
            <v>52.250000000000007</v>
          </cell>
          <cell r="J407">
            <v>50.050000000000004</v>
          </cell>
          <cell r="K407">
            <v>47.850000000000009</v>
          </cell>
          <cell r="L407">
            <v>45.650000000000006</v>
          </cell>
          <cell r="M407">
            <v>43.45</v>
          </cell>
          <cell r="N407">
            <v>41.250000000000007</v>
          </cell>
          <cell r="O407">
            <v>40.397500000000008</v>
          </cell>
          <cell r="P407">
            <v>39.545000000000002</v>
          </cell>
          <cell r="Q407">
            <v>38.692500000000003</v>
          </cell>
          <cell r="R407">
            <v>37.840000000000003</v>
          </cell>
          <cell r="S407">
            <v>36.987500000000004</v>
          </cell>
          <cell r="T407">
            <v>36.135000000000005</v>
          </cell>
          <cell r="U407">
            <v>35.282500000000006</v>
          </cell>
          <cell r="V407">
            <v>34.430000000000007</v>
          </cell>
          <cell r="W407">
            <v>33.577500000000008</v>
          </cell>
          <cell r="X407">
            <v>32.725000000000001</v>
          </cell>
          <cell r="Y407">
            <v>31.872500000000006</v>
          </cell>
          <cell r="Z407">
            <v>31.020000000000003</v>
          </cell>
          <cell r="AA407">
            <v>30.167500000000004</v>
          </cell>
          <cell r="AB407">
            <v>29.315000000000005</v>
          </cell>
          <cell r="AC407">
            <v>28.462500000000002</v>
          </cell>
          <cell r="AD407">
            <v>27.610000000000003</v>
          </cell>
          <cell r="AE407">
            <v>26.757500000000004</v>
          </cell>
          <cell r="AF407">
            <v>25.905000000000005</v>
          </cell>
          <cell r="AG407">
            <v>25.052500000000002</v>
          </cell>
          <cell r="AH407">
            <v>24.200000000000003</v>
          </cell>
        </row>
        <row r="408">
          <cell r="B408" t="str">
            <v>Carbon dioxide (PS) - Finance cost - Asia - USD/ton fuel</v>
          </cell>
          <cell r="G408">
            <v>56.650000000000006</v>
          </cell>
          <cell r="H408">
            <v>54.45000000000001</v>
          </cell>
          <cell r="I408">
            <v>52.250000000000007</v>
          </cell>
          <cell r="J408">
            <v>50.050000000000004</v>
          </cell>
          <cell r="K408">
            <v>47.850000000000009</v>
          </cell>
          <cell r="L408">
            <v>45.650000000000006</v>
          </cell>
          <cell r="M408">
            <v>43.45</v>
          </cell>
          <cell r="N408">
            <v>41.250000000000007</v>
          </cell>
          <cell r="O408">
            <v>40.397500000000008</v>
          </cell>
          <cell r="P408">
            <v>39.545000000000002</v>
          </cell>
          <cell r="Q408">
            <v>38.692500000000003</v>
          </cell>
          <cell r="R408">
            <v>37.840000000000003</v>
          </cell>
          <cell r="S408">
            <v>36.987500000000004</v>
          </cell>
          <cell r="T408">
            <v>36.135000000000005</v>
          </cell>
          <cell r="U408">
            <v>35.282500000000006</v>
          </cell>
          <cell r="V408">
            <v>34.430000000000007</v>
          </cell>
          <cell r="W408">
            <v>33.577500000000008</v>
          </cell>
          <cell r="X408">
            <v>32.725000000000001</v>
          </cell>
          <cell r="Y408">
            <v>31.872500000000006</v>
          </cell>
          <cell r="Z408">
            <v>31.020000000000003</v>
          </cell>
          <cell r="AA408">
            <v>30.167500000000004</v>
          </cell>
          <cell r="AB408">
            <v>29.315000000000005</v>
          </cell>
          <cell r="AC408">
            <v>28.462500000000002</v>
          </cell>
          <cell r="AD408">
            <v>27.610000000000003</v>
          </cell>
          <cell r="AE408">
            <v>26.757500000000004</v>
          </cell>
          <cell r="AF408">
            <v>25.905000000000005</v>
          </cell>
          <cell r="AG408">
            <v>25.052500000000002</v>
          </cell>
          <cell r="AH408">
            <v>24.200000000000003</v>
          </cell>
        </row>
        <row r="409">
          <cell r="B409" t="str">
            <v>Carbon dioxide (PS) - Finance cost - Europe - USD/ton fuel</v>
          </cell>
          <cell r="G409">
            <v>56.650000000000006</v>
          </cell>
          <cell r="H409">
            <v>54.45000000000001</v>
          </cell>
          <cell r="I409">
            <v>52.250000000000007</v>
          </cell>
          <cell r="J409">
            <v>50.050000000000004</v>
          </cell>
          <cell r="K409">
            <v>47.850000000000009</v>
          </cell>
          <cell r="L409">
            <v>45.650000000000006</v>
          </cell>
          <cell r="M409">
            <v>43.45</v>
          </cell>
          <cell r="N409">
            <v>41.250000000000007</v>
          </cell>
          <cell r="O409">
            <v>40.397500000000008</v>
          </cell>
          <cell r="P409">
            <v>39.545000000000002</v>
          </cell>
          <cell r="Q409">
            <v>38.692500000000003</v>
          </cell>
          <cell r="R409">
            <v>37.840000000000003</v>
          </cell>
          <cell r="S409">
            <v>36.987500000000004</v>
          </cell>
          <cell r="T409">
            <v>36.135000000000005</v>
          </cell>
          <cell r="U409">
            <v>35.282500000000006</v>
          </cell>
          <cell r="V409">
            <v>34.430000000000007</v>
          </cell>
          <cell r="W409">
            <v>33.577500000000008</v>
          </cell>
          <cell r="X409">
            <v>32.725000000000001</v>
          </cell>
          <cell r="Y409">
            <v>31.872500000000006</v>
          </cell>
          <cell r="Z409">
            <v>31.020000000000003</v>
          </cell>
          <cell r="AA409">
            <v>30.167500000000004</v>
          </cell>
          <cell r="AB409">
            <v>29.315000000000005</v>
          </cell>
          <cell r="AC409">
            <v>28.462500000000002</v>
          </cell>
          <cell r="AD409">
            <v>27.610000000000003</v>
          </cell>
          <cell r="AE409">
            <v>26.757500000000004</v>
          </cell>
          <cell r="AF409">
            <v>25.905000000000005</v>
          </cell>
          <cell r="AG409">
            <v>25.052500000000002</v>
          </cell>
          <cell r="AH409">
            <v>24.200000000000003</v>
          </cell>
        </row>
        <row r="410">
          <cell r="B410" t="str">
            <v>Carbon dioxide (PS) - Finance cost - Middle East - USD/ton fuel</v>
          </cell>
          <cell r="G410">
            <v>56.650000000000006</v>
          </cell>
          <cell r="H410">
            <v>54.45000000000001</v>
          </cell>
          <cell r="I410">
            <v>52.250000000000007</v>
          </cell>
          <cell r="J410">
            <v>50.050000000000004</v>
          </cell>
          <cell r="K410">
            <v>47.850000000000009</v>
          </cell>
          <cell r="L410">
            <v>45.650000000000006</v>
          </cell>
          <cell r="M410">
            <v>43.45</v>
          </cell>
          <cell r="N410">
            <v>41.250000000000007</v>
          </cell>
          <cell r="O410">
            <v>40.397500000000008</v>
          </cell>
          <cell r="P410">
            <v>39.545000000000002</v>
          </cell>
          <cell r="Q410">
            <v>38.692500000000003</v>
          </cell>
          <cell r="R410">
            <v>37.840000000000003</v>
          </cell>
          <cell r="S410">
            <v>36.987500000000004</v>
          </cell>
          <cell r="T410">
            <v>36.135000000000005</v>
          </cell>
          <cell r="U410">
            <v>35.282500000000006</v>
          </cell>
          <cell r="V410">
            <v>34.430000000000007</v>
          </cell>
          <cell r="W410">
            <v>33.577500000000008</v>
          </cell>
          <cell r="X410">
            <v>32.725000000000001</v>
          </cell>
          <cell r="Y410">
            <v>31.872500000000006</v>
          </cell>
          <cell r="Z410">
            <v>31.020000000000003</v>
          </cell>
          <cell r="AA410">
            <v>30.167500000000004</v>
          </cell>
          <cell r="AB410">
            <v>29.315000000000005</v>
          </cell>
          <cell r="AC410">
            <v>28.462500000000002</v>
          </cell>
          <cell r="AD410">
            <v>27.610000000000003</v>
          </cell>
          <cell r="AE410">
            <v>26.757500000000004</v>
          </cell>
          <cell r="AF410">
            <v>25.905000000000005</v>
          </cell>
          <cell r="AG410">
            <v>25.052500000000002</v>
          </cell>
          <cell r="AH410">
            <v>24.200000000000003</v>
          </cell>
        </row>
        <row r="411">
          <cell r="B411" t="str">
            <v>General - Weighted average cost of capital (WACC) - Africa - %</v>
          </cell>
          <cell r="G411">
            <v>5.5000000000000007E-2</v>
          </cell>
          <cell r="H411">
            <v>5.5000000000000007E-2</v>
          </cell>
          <cell r="I411">
            <v>5.5000000000000007E-2</v>
          </cell>
          <cell r="J411">
            <v>5.5000000000000007E-2</v>
          </cell>
          <cell r="K411">
            <v>5.5000000000000007E-2</v>
          </cell>
          <cell r="L411">
            <v>5.5000000000000007E-2</v>
          </cell>
          <cell r="M411">
            <v>5.5000000000000007E-2</v>
          </cell>
          <cell r="N411">
            <v>5.5000000000000007E-2</v>
          </cell>
          <cell r="O411">
            <v>5.5000000000000007E-2</v>
          </cell>
          <cell r="P411">
            <v>5.5000000000000007E-2</v>
          </cell>
          <cell r="Q411">
            <v>5.5000000000000007E-2</v>
          </cell>
          <cell r="R411">
            <v>5.5000000000000007E-2</v>
          </cell>
          <cell r="S411">
            <v>5.5000000000000007E-2</v>
          </cell>
          <cell r="T411">
            <v>5.5000000000000007E-2</v>
          </cell>
          <cell r="U411">
            <v>5.5000000000000007E-2</v>
          </cell>
          <cell r="V411">
            <v>5.5000000000000007E-2</v>
          </cell>
          <cell r="W411">
            <v>5.5000000000000007E-2</v>
          </cell>
          <cell r="X411">
            <v>5.5000000000000007E-2</v>
          </cell>
          <cell r="Y411">
            <v>5.5000000000000007E-2</v>
          </cell>
          <cell r="Z411">
            <v>5.5000000000000007E-2</v>
          </cell>
          <cell r="AA411">
            <v>5.5000000000000007E-2</v>
          </cell>
          <cell r="AB411">
            <v>5.5000000000000007E-2</v>
          </cell>
          <cell r="AC411">
            <v>5.5000000000000007E-2</v>
          </cell>
          <cell r="AD411">
            <v>5.5000000000000007E-2</v>
          </cell>
          <cell r="AE411">
            <v>5.5000000000000007E-2</v>
          </cell>
          <cell r="AF411">
            <v>5.5000000000000007E-2</v>
          </cell>
          <cell r="AG411">
            <v>5.5000000000000007E-2</v>
          </cell>
          <cell r="AH411">
            <v>5.5000000000000007E-2</v>
          </cell>
        </row>
        <row r="412">
          <cell r="B412" t="str">
            <v>General - Weighted average cost of capital (WACC) - Americas - %</v>
          </cell>
          <cell r="G412">
            <v>5.5000000000000007E-2</v>
          </cell>
          <cell r="H412">
            <v>5.5000000000000007E-2</v>
          </cell>
          <cell r="I412">
            <v>5.5000000000000007E-2</v>
          </cell>
          <cell r="J412">
            <v>5.5000000000000007E-2</v>
          </cell>
          <cell r="K412">
            <v>5.5000000000000007E-2</v>
          </cell>
          <cell r="L412">
            <v>5.5000000000000007E-2</v>
          </cell>
          <cell r="M412">
            <v>5.5000000000000007E-2</v>
          </cell>
          <cell r="N412">
            <v>5.5000000000000007E-2</v>
          </cell>
          <cell r="O412">
            <v>5.5000000000000007E-2</v>
          </cell>
          <cell r="P412">
            <v>5.5000000000000007E-2</v>
          </cell>
          <cell r="Q412">
            <v>5.5000000000000007E-2</v>
          </cell>
          <cell r="R412">
            <v>5.5000000000000007E-2</v>
          </cell>
          <cell r="S412">
            <v>5.5000000000000007E-2</v>
          </cell>
          <cell r="T412">
            <v>5.5000000000000007E-2</v>
          </cell>
          <cell r="U412">
            <v>5.5000000000000007E-2</v>
          </cell>
          <cell r="V412">
            <v>5.5000000000000007E-2</v>
          </cell>
          <cell r="W412">
            <v>5.5000000000000007E-2</v>
          </cell>
          <cell r="X412">
            <v>5.5000000000000007E-2</v>
          </cell>
          <cell r="Y412">
            <v>5.5000000000000007E-2</v>
          </cell>
          <cell r="Z412">
            <v>5.5000000000000007E-2</v>
          </cell>
          <cell r="AA412">
            <v>5.5000000000000007E-2</v>
          </cell>
          <cell r="AB412">
            <v>5.5000000000000007E-2</v>
          </cell>
          <cell r="AC412">
            <v>5.5000000000000007E-2</v>
          </cell>
          <cell r="AD412">
            <v>5.5000000000000007E-2</v>
          </cell>
          <cell r="AE412">
            <v>5.5000000000000007E-2</v>
          </cell>
          <cell r="AF412">
            <v>5.5000000000000007E-2</v>
          </cell>
          <cell r="AG412">
            <v>5.5000000000000007E-2</v>
          </cell>
          <cell r="AH412">
            <v>5.5000000000000007E-2</v>
          </cell>
        </row>
        <row r="413">
          <cell r="B413" t="str">
            <v>General - Weighted average cost of capital (WACC) - Asia - %</v>
          </cell>
          <cell r="G413">
            <v>5.5000000000000007E-2</v>
          </cell>
          <cell r="H413">
            <v>5.5000000000000007E-2</v>
          </cell>
          <cell r="I413">
            <v>5.5000000000000007E-2</v>
          </cell>
          <cell r="J413">
            <v>5.5000000000000007E-2</v>
          </cell>
          <cell r="K413">
            <v>5.5000000000000007E-2</v>
          </cell>
          <cell r="L413">
            <v>5.5000000000000007E-2</v>
          </cell>
          <cell r="M413">
            <v>5.5000000000000007E-2</v>
          </cell>
          <cell r="N413">
            <v>5.5000000000000007E-2</v>
          </cell>
          <cell r="O413">
            <v>5.5000000000000007E-2</v>
          </cell>
          <cell r="P413">
            <v>5.5000000000000007E-2</v>
          </cell>
          <cell r="Q413">
            <v>5.5000000000000007E-2</v>
          </cell>
          <cell r="R413">
            <v>5.5000000000000007E-2</v>
          </cell>
          <cell r="S413">
            <v>5.5000000000000007E-2</v>
          </cell>
          <cell r="T413">
            <v>5.5000000000000007E-2</v>
          </cell>
          <cell r="U413">
            <v>5.5000000000000007E-2</v>
          </cell>
          <cell r="V413">
            <v>5.5000000000000007E-2</v>
          </cell>
          <cell r="W413">
            <v>5.5000000000000007E-2</v>
          </cell>
          <cell r="X413">
            <v>5.5000000000000007E-2</v>
          </cell>
          <cell r="Y413">
            <v>5.5000000000000007E-2</v>
          </cell>
          <cell r="Z413">
            <v>5.5000000000000007E-2</v>
          </cell>
          <cell r="AA413">
            <v>5.5000000000000007E-2</v>
          </cell>
          <cell r="AB413">
            <v>5.5000000000000007E-2</v>
          </cell>
          <cell r="AC413">
            <v>5.5000000000000007E-2</v>
          </cell>
          <cell r="AD413">
            <v>5.5000000000000007E-2</v>
          </cell>
          <cell r="AE413">
            <v>5.5000000000000007E-2</v>
          </cell>
          <cell r="AF413">
            <v>5.5000000000000007E-2</v>
          </cell>
          <cell r="AG413">
            <v>5.5000000000000007E-2</v>
          </cell>
          <cell r="AH413">
            <v>5.5000000000000007E-2</v>
          </cell>
        </row>
        <row r="414">
          <cell r="B414" t="str">
            <v>General - Weighted average cost of capital (WACC) - Europe - %</v>
          </cell>
          <cell r="G414">
            <v>5.5000000000000007E-2</v>
          </cell>
          <cell r="H414">
            <v>5.5000000000000007E-2</v>
          </cell>
          <cell r="I414">
            <v>5.5000000000000007E-2</v>
          </cell>
          <cell r="J414">
            <v>5.5000000000000007E-2</v>
          </cell>
          <cell r="K414">
            <v>5.5000000000000007E-2</v>
          </cell>
          <cell r="L414">
            <v>5.5000000000000007E-2</v>
          </cell>
          <cell r="M414">
            <v>5.5000000000000007E-2</v>
          </cell>
          <cell r="N414">
            <v>5.5000000000000007E-2</v>
          </cell>
          <cell r="O414">
            <v>5.5000000000000007E-2</v>
          </cell>
          <cell r="P414">
            <v>5.5000000000000007E-2</v>
          </cell>
          <cell r="Q414">
            <v>5.5000000000000007E-2</v>
          </cell>
          <cell r="R414">
            <v>5.5000000000000007E-2</v>
          </cell>
          <cell r="S414">
            <v>5.5000000000000007E-2</v>
          </cell>
          <cell r="T414">
            <v>5.5000000000000007E-2</v>
          </cell>
          <cell r="U414">
            <v>5.5000000000000007E-2</v>
          </cell>
          <cell r="V414">
            <v>5.5000000000000007E-2</v>
          </cell>
          <cell r="W414">
            <v>5.5000000000000007E-2</v>
          </cell>
          <cell r="X414">
            <v>5.5000000000000007E-2</v>
          </cell>
          <cell r="Y414">
            <v>5.5000000000000007E-2</v>
          </cell>
          <cell r="Z414">
            <v>5.5000000000000007E-2</v>
          </cell>
          <cell r="AA414">
            <v>5.5000000000000007E-2</v>
          </cell>
          <cell r="AB414">
            <v>5.5000000000000007E-2</v>
          </cell>
          <cell r="AC414">
            <v>5.5000000000000007E-2</v>
          </cell>
          <cell r="AD414">
            <v>5.5000000000000007E-2</v>
          </cell>
          <cell r="AE414">
            <v>5.5000000000000007E-2</v>
          </cell>
          <cell r="AF414">
            <v>5.5000000000000007E-2</v>
          </cell>
          <cell r="AG414">
            <v>5.5000000000000007E-2</v>
          </cell>
          <cell r="AH414">
            <v>5.5000000000000007E-2</v>
          </cell>
        </row>
        <row r="415">
          <cell r="B415" t="str">
            <v>General - Weighted average cost of capital (WACC) - Middle East - %</v>
          </cell>
          <cell r="G415">
            <v>5.5000000000000007E-2</v>
          </cell>
          <cell r="H415">
            <v>5.5000000000000007E-2</v>
          </cell>
          <cell r="I415">
            <v>5.5000000000000007E-2</v>
          </cell>
          <cell r="J415">
            <v>5.5000000000000007E-2</v>
          </cell>
          <cell r="K415">
            <v>5.5000000000000007E-2</v>
          </cell>
          <cell r="L415">
            <v>5.5000000000000007E-2</v>
          </cell>
          <cell r="M415">
            <v>5.5000000000000007E-2</v>
          </cell>
          <cell r="N415">
            <v>5.5000000000000007E-2</v>
          </cell>
          <cell r="O415">
            <v>5.5000000000000007E-2</v>
          </cell>
          <cell r="P415">
            <v>5.5000000000000007E-2</v>
          </cell>
          <cell r="Q415">
            <v>5.5000000000000007E-2</v>
          </cell>
          <cell r="R415">
            <v>5.5000000000000007E-2</v>
          </cell>
          <cell r="S415">
            <v>5.5000000000000007E-2</v>
          </cell>
          <cell r="T415">
            <v>5.5000000000000007E-2</v>
          </cell>
          <cell r="U415">
            <v>5.5000000000000007E-2</v>
          </cell>
          <cell r="V415">
            <v>5.5000000000000007E-2</v>
          </cell>
          <cell r="W415">
            <v>5.5000000000000007E-2</v>
          </cell>
          <cell r="X415">
            <v>5.5000000000000007E-2</v>
          </cell>
          <cell r="Y415">
            <v>5.5000000000000007E-2</v>
          </cell>
          <cell r="Z415">
            <v>5.5000000000000007E-2</v>
          </cell>
          <cell r="AA415">
            <v>5.5000000000000007E-2</v>
          </cell>
          <cell r="AB415">
            <v>5.5000000000000007E-2</v>
          </cell>
          <cell r="AC415">
            <v>5.5000000000000007E-2</v>
          </cell>
          <cell r="AD415">
            <v>5.5000000000000007E-2</v>
          </cell>
          <cell r="AE415">
            <v>5.5000000000000007E-2</v>
          </cell>
          <cell r="AF415">
            <v>5.5000000000000007E-2</v>
          </cell>
          <cell r="AG415">
            <v>5.5000000000000007E-2</v>
          </cell>
          <cell r="AH415">
            <v>5.5000000000000007E-2</v>
          </cell>
        </row>
        <row r="416">
          <cell r="B416" t="str">
            <v>Carbon dioxide (PS) - Total CAPEX - Global - USD/ton fuel</v>
          </cell>
          <cell r="G416">
            <v>1030</v>
          </cell>
          <cell r="H416">
            <v>990</v>
          </cell>
          <cell r="I416">
            <v>950</v>
          </cell>
          <cell r="J416">
            <v>910</v>
          </cell>
          <cell r="K416">
            <v>870</v>
          </cell>
          <cell r="L416">
            <v>830</v>
          </cell>
          <cell r="M416">
            <v>790</v>
          </cell>
          <cell r="N416">
            <v>750</v>
          </cell>
          <cell r="O416">
            <v>734.5</v>
          </cell>
          <cell r="P416">
            <v>719</v>
          </cell>
          <cell r="Q416">
            <v>703.5</v>
          </cell>
          <cell r="R416">
            <v>688</v>
          </cell>
          <cell r="S416">
            <v>672.5</v>
          </cell>
          <cell r="T416">
            <v>657</v>
          </cell>
          <cell r="U416">
            <v>641.5</v>
          </cell>
          <cell r="V416">
            <v>626</v>
          </cell>
          <cell r="W416">
            <v>610.5</v>
          </cell>
          <cell r="X416">
            <v>595</v>
          </cell>
          <cell r="Y416">
            <v>579.5</v>
          </cell>
          <cell r="Z416">
            <v>564</v>
          </cell>
          <cell r="AA416">
            <v>548.5</v>
          </cell>
          <cell r="AB416">
            <v>533</v>
          </cell>
          <cell r="AC416">
            <v>517.5</v>
          </cell>
          <cell r="AD416">
            <v>502</v>
          </cell>
          <cell r="AE416">
            <v>486.5</v>
          </cell>
          <cell r="AF416">
            <v>471</v>
          </cell>
          <cell r="AG416">
            <v>455.5</v>
          </cell>
          <cell r="AH416">
            <v>440</v>
          </cell>
        </row>
        <row r="417">
          <cell r="B417" t="str">
            <v/>
          </cell>
        </row>
        <row r="418">
          <cell r="B418" t="str">
            <v>Carbon dioxide (PS) - Energy cost - Africa - USD/ton fuel</v>
          </cell>
          <cell r="G418">
            <v>26.275413118731375</v>
          </cell>
          <cell r="H418">
            <v>23.189983310546815</v>
          </cell>
          <cell r="I418">
            <v>20.104553502361433</v>
          </cell>
          <cell r="J418">
            <v>19.244441108267484</v>
          </cell>
          <cell r="K418">
            <v>18.384328714173535</v>
          </cell>
          <cell r="L418">
            <v>17.524216320079585</v>
          </cell>
          <cell r="M418">
            <v>16.664103925985433</v>
          </cell>
          <cell r="N418">
            <v>15.803991531891484</v>
          </cell>
          <cell r="O418">
            <v>15.323875694292132</v>
          </cell>
          <cell r="P418">
            <v>14.843759856692783</v>
          </cell>
          <cell r="Q418">
            <v>14.363644019093227</v>
          </cell>
          <cell r="R418">
            <v>13.883528181493876</v>
          </cell>
          <cell r="S418">
            <v>13.403412343894576</v>
          </cell>
          <cell r="T418">
            <v>13.177429708456367</v>
          </cell>
          <cell r="U418">
            <v>12.95144707301821</v>
          </cell>
          <cell r="V418">
            <v>12.725464437580001</v>
          </cell>
          <cell r="W418">
            <v>12.499481802141792</v>
          </cell>
          <cell r="X418">
            <v>12.273499166703687</v>
          </cell>
          <cell r="Y418">
            <v>12.041127742205811</v>
          </cell>
          <cell r="Z418">
            <v>11.808756317707935</v>
          </cell>
          <cell r="AA418">
            <v>11.576384893209957</v>
          </cell>
          <cell r="AB418">
            <v>11.344013468712081</v>
          </cell>
          <cell r="AC418">
            <v>11.111642044214154</v>
          </cell>
          <cell r="AD418">
            <v>10.997587925822875</v>
          </cell>
          <cell r="AE418">
            <v>10.88353380743165</v>
          </cell>
          <cell r="AF418">
            <v>10.769479689040372</v>
          </cell>
          <cell r="AG418">
            <v>10.655425570649095</v>
          </cell>
          <cell r="AH418">
            <v>10.541371452257868</v>
          </cell>
        </row>
        <row r="419">
          <cell r="B419" t="str">
            <v>Carbon dioxide (PS) - Energy cost - Americas - USD/ton fuel</v>
          </cell>
          <cell r="G419">
            <v>16.509233042895165</v>
          </cell>
          <cell r="H419">
            <v>16.167349868387682</v>
          </cell>
          <cell r="I419">
            <v>15.825466693880093</v>
          </cell>
          <cell r="J419">
            <v>15.247549879389908</v>
          </cell>
          <cell r="K419">
            <v>14.669633064899722</v>
          </cell>
          <cell r="L419">
            <v>14.091716250409537</v>
          </cell>
          <cell r="M419">
            <v>13.513799435919555</v>
          </cell>
          <cell r="N419">
            <v>12.93588262142937</v>
          </cell>
          <cell r="O419">
            <v>12.657775175266876</v>
          </cell>
          <cell r="P419">
            <v>12.379667729104382</v>
          </cell>
          <cell r="Q419">
            <v>12.101560282941888</v>
          </cell>
          <cell r="R419">
            <v>11.823452836779394</v>
          </cell>
          <cell r="S419">
            <v>11.545345390616848</v>
          </cell>
          <cell r="T419">
            <v>11.319904653939716</v>
          </cell>
          <cell r="U419">
            <v>11.094463917262585</v>
          </cell>
          <cell r="V419">
            <v>10.869023180585401</v>
          </cell>
          <cell r="W419">
            <v>10.64358244390827</v>
          </cell>
          <cell r="X419">
            <v>10.418141707231113</v>
          </cell>
          <cell r="Y419">
            <v>10.327318809695839</v>
          </cell>
          <cell r="Z419">
            <v>10.236495912160567</v>
          </cell>
          <cell r="AA419">
            <v>10.14567301462532</v>
          </cell>
          <cell r="AB419">
            <v>10.054850117090046</v>
          </cell>
          <cell r="AC419">
            <v>9.9640272195547741</v>
          </cell>
          <cell r="AD419">
            <v>9.8955077718569413</v>
          </cell>
          <cell r="AE419">
            <v>9.8269883241591351</v>
          </cell>
          <cell r="AF419">
            <v>9.7584688764613272</v>
          </cell>
          <cell r="AG419">
            <v>9.6899494287635211</v>
          </cell>
          <cell r="AH419">
            <v>9.6214299810657149</v>
          </cell>
        </row>
        <row r="420">
          <cell r="B420" t="str">
            <v>Carbon dioxide (PS) - Energy cost - Asia - USD/ton fuel</v>
          </cell>
          <cell r="G420">
            <v>29.223721120414123</v>
          </cell>
          <cell r="H420">
            <v>26.655708571576181</v>
          </cell>
          <cell r="I420">
            <v>24.087696022739465</v>
          </cell>
          <cell r="J420">
            <v>23.166571245400611</v>
          </cell>
          <cell r="K420">
            <v>22.245446468062166</v>
          </cell>
          <cell r="L420">
            <v>21.324321690723309</v>
          </cell>
          <cell r="M420">
            <v>20.403196913384456</v>
          </cell>
          <cell r="N420">
            <v>19.482072136046011</v>
          </cell>
          <cell r="O420">
            <v>18.85599362984026</v>
          </cell>
          <cell r="P420">
            <v>18.229915123634715</v>
          </cell>
          <cell r="Q420">
            <v>17.603836617429376</v>
          </cell>
          <cell r="R420">
            <v>16.977758111223832</v>
          </cell>
          <cell r="S420">
            <v>16.351679605018287</v>
          </cell>
          <cell r="T420">
            <v>16.033366123976567</v>
          </cell>
          <cell r="U420">
            <v>15.715052642934848</v>
          </cell>
          <cell r="V420">
            <v>15.396739161893231</v>
          </cell>
          <cell r="W420">
            <v>15.078425680851513</v>
          </cell>
          <cell r="X420">
            <v>14.760112199809999</v>
          </cell>
          <cell r="Y420">
            <v>14.426924532343889</v>
          </cell>
          <cell r="Z420">
            <v>14.093736864877883</v>
          </cell>
          <cell r="AA420">
            <v>13.760549197411775</v>
          </cell>
          <cell r="AB420">
            <v>13.427361529945768</v>
          </cell>
          <cell r="AC420">
            <v>13.094173862479659</v>
          </cell>
          <cell r="AD420">
            <v>12.941378414492936</v>
          </cell>
          <cell r="AE420">
            <v>12.788582966506164</v>
          </cell>
          <cell r="AF420">
            <v>12.635787518519441</v>
          </cell>
          <cell r="AG420">
            <v>12.48299207053272</v>
          </cell>
          <cell r="AH420">
            <v>12.330196622545946</v>
          </cell>
        </row>
        <row r="421">
          <cell r="B421" t="str">
            <v>Carbon dioxide (PS) - Energy cost - Europe - USD/ton fuel</v>
          </cell>
          <cell r="G421">
            <v>21.75547741099076</v>
          </cell>
          <cell r="H421">
            <v>20.817825476932196</v>
          </cell>
          <cell r="I421">
            <v>19.880173542873628</v>
          </cell>
          <cell r="J421">
            <v>19.122545113976003</v>
          </cell>
          <cell r="K421">
            <v>18.364916685078175</v>
          </cell>
          <cell r="L421">
            <v>17.607288256180549</v>
          </cell>
          <cell r="M421">
            <v>16.849659827282721</v>
          </cell>
          <cell r="N421">
            <v>16.0920313983851</v>
          </cell>
          <cell r="O421">
            <v>15.777236942932246</v>
          </cell>
          <cell r="P421">
            <v>15.4624424874797</v>
          </cell>
          <cell r="Q421">
            <v>15.147648032027053</v>
          </cell>
          <cell r="R421">
            <v>14.832853576574406</v>
          </cell>
          <cell r="S421">
            <v>14.51805912112186</v>
          </cell>
          <cell r="T421">
            <v>14.330110831027525</v>
          </cell>
          <cell r="U421">
            <v>14.142162540933242</v>
          </cell>
          <cell r="V421">
            <v>13.954214250838959</v>
          </cell>
          <cell r="W421">
            <v>13.766265960744676</v>
          </cell>
          <cell r="X421">
            <v>13.578317670650291</v>
          </cell>
          <cell r="Y421">
            <v>13.377246932322203</v>
          </cell>
          <cell r="Z421">
            <v>13.176176193994065</v>
          </cell>
          <cell r="AA421">
            <v>12.975105455665977</v>
          </cell>
          <cell r="AB421">
            <v>12.774034717337839</v>
          </cell>
          <cell r="AC421">
            <v>12.572963979009751</v>
          </cell>
          <cell r="AD421">
            <v>12.426258627419339</v>
          </cell>
          <cell r="AE421">
            <v>12.279553275828874</v>
          </cell>
          <cell r="AF421">
            <v>12.132847924238462</v>
          </cell>
          <cell r="AG421">
            <v>11.986142572648049</v>
          </cell>
          <cell r="AH421">
            <v>11.839437221057585</v>
          </cell>
        </row>
        <row r="422">
          <cell r="B422" t="str">
            <v>Carbon dioxide (PS) - Energy cost - Middle East - USD/ton fuel</v>
          </cell>
          <cell r="G422">
            <v>16.659142502923782</v>
          </cell>
          <cell r="H422">
            <v>15.924016305195346</v>
          </cell>
          <cell r="I422">
            <v>15.188890107466705</v>
          </cell>
          <cell r="J422">
            <v>14.702169207234352</v>
          </cell>
          <cell r="K422">
            <v>14.215448307001997</v>
          </cell>
          <cell r="L422">
            <v>13.728727406769645</v>
          </cell>
          <cell r="M422">
            <v>13.242006506537292</v>
          </cell>
          <cell r="N422">
            <v>12.755285606304938</v>
          </cell>
          <cell r="O422">
            <v>12.412091283913481</v>
          </cell>
          <cell r="P422">
            <v>12.068896961522126</v>
          </cell>
          <cell r="Q422">
            <v>11.725702639130668</v>
          </cell>
          <cell r="R422">
            <v>11.382508316739314</v>
          </cell>
          <cell r="S422">
            <v>11.039313994347959</v>
          </cell>
          <cell r="T422">
            <v>10.867239969797794</v>
          </cell>
          <cell r="U422">
            <v>10.695165945247629</v>
          </cell>
          <cell r="V422">
            <v>10.523091920697516</v>
          </cell>
          <cell r="W422">
            <v>10.351017896147352</v>
          </cell>
          <cell r="X422">
            <v>10.178943871597188</v>
          </cell>
          <cell r="Y422">
            <v>9.9532866742515296</v>
          </cell>
          <cell r="Z422">
            <v>9.7276294769059231</v>
          </cell>
          <cell r="AA422">
            <v>9.5019722795602668</v>
          </cell>
          <cell r="AB422">
            <v>9.2763150822146603</v>
          </cell>
          <cell r="AC422">
            <v>9.0506578848689774</v>
          </cell>
          <cell r="AD422">
            <v>8.9450432375976252</v>
          </cell>
          <cell r="AE422">
            <v>8.8394285903262979</v>
          </cell>
          <cell r="AF422">
            <v>8.7338139430549457</v>
          </cell>
          <cell r="AG422">
            <v>8.6281992957835936</v>
          </cell>
          <cell r="AH422">
            <v>8.522584648512268</v>
          </cell>
        </row>
        <row r="423">
          <cell r="B423" t="str">
            <v>Renewable electricity - Cost of electricity - Africa - USD/MWh</v>
          </cell>
          <cell r="G423">
            <v>58.389806930514169</v>
          </cell>
          <cell r="H423">
            <v>51.533296245659585</v>
          </cell>
          <cell r="I423">
            <v>44.676785560803182</v>
          </cell>
          <cell r="J423">
            <v>42.765424685038852</v>
          </cell>
          <cell r="K423">
            <v>40.854063809274521</v>
          </cell>
          <cell r="L423">
            <v>38.942702933510191</v>
          </cell>
          <cell r="M423">
            <v>37.031342057745405</v>
          </cell>
          <cell r="N423">
            <v>35.119981181981075</v>
          </cell>
          <cell r="O423">
            <v>34.053057098426962</v>
          </cell>
          <cell r="P423">
            <v>32.986133014872848</v>
          </cell>
          <cell r="Q423">
            <v>31.919208931318281</v>
          </cell>
          <cell r="R423">
            <v>30.852284847764167</v>
          </cell>
          <cell r="S423">
            <v>29.785360764210168</v>
          </cell>
          <cell r="T423">
            <v>29.283177129903038</v>
          </cell>
          <cell r="U423">
            <v>28.780993495596022</v>
          </cell>
          <cell r="V423">
            <v>28.278809861288892</v>
          </cell>
          <cell r="W423">
            <v>27.776626226981762</v>
          </cell>
          <cell r="X423">
            <v>27.274442592674859</v>
          </cell>
          <cell r="Y423">
            <v>26.758061649346246</v>
          </cell>
          <cell r="Z423">
            <v>26.241680706017632</v>
          </cell>
          <cell r="AA423">
            <v>25.725299762688792</v>
          </cell>
          <cell r="AB423">
            <v>25.208918819360179</v>
          </cell>
          <cell r="AC423">
            <v>24.692537876031452</v>
          </cell>
          <cell r="AD423">
            <v>24.439084279606391</v>
          </cell>
          <cell r="AE423">
            <v>24.185630683181444</v>
          </cell>
          <cell r="AF423">
            <v>23.932177086756383</v>
          </cell>
          <cell r="AG423">
            <v>23.678723490331322</v>
          </cell>
          <cell r="AH423">
            <v>23.425269893906375</v>
          </cell>
        </row>
        <row r="424">
          <cell r="B424" t="str">
            <v>Renewable electricity - Cost of electricity - Americas - USD/MWh</v>
          </cell>
          <cell r="G424">
            <v>36.687184539767031</v>
          </cell>
          <cell r="H424">
            <v>35.927444151972622</v>
          </cell>
          <cell r="I424">
            <v>35.167703764177986</v>
          </cell>
          <cell r="J424">
            <v>33.883444176422017</v>
          </cell>
          <cell r="K424">
            <v>32.599184588666049</v>
          </cell>
          <cell r="L424">
            <v>31.31492500091008</v>
          </cell>
          <cell r="M424">
            <v>30.030665413154566</v>
          </cell>
          <cell r="N424">
            <v>28.746405825398597</v>
          </cell>
          <cell r="O424">
            <v>28.128389278370832</v>
          </cell>
          <cell r="P424">
            <v>27.510372731343068</v>
          </cell>
          <cell r="Q424">
            <v>26.892356184315304</v>
          </cell>
          <cell r="R424">
            <v>26.27433963728754</v>
          </cell>
          <cell r="S424">
            <v>25.656323090259662</v>
          </cell>
          <cell r="T424">
            <v>25.155343675421591</v>
          </cell>
          <cell r="U424">
            <v>24.65436426058352</v>
          </cell>
          <cell r="V424">
            <v>24.153384845745336</v>
          </cell>
          <cell r="W424">
            <v>23.652405430907265</v>
          </cell>
          <cell r="X424">
            <v>23.151426016069138</v>
          </cell>
          <cell r="Y424">
            <v>22.949597354879643</v>
          </cell>
          <cell r="Z424">
            <v>22.747768693690148</v>
          </cell>
          <cell r="AA424">
            <v>22.54594003250071</v>
          </cell>
          <cell r="AB424">
            <v>22.344111371311214</v>
          </cell>
          <cell r="AC424">
            <v>22.142282710121719</v>
          </cell>
          <cell r="AD424">
            <v>21.990017270793203</v>
          </cell>
          <cell r="AE424">
            <v>21.837751831464743</v>
          </cell>
          <cell r="AF424">
            <v>21.685486392136283</v>
          </cell>
          <cell r="AG424">
            <v>21.533220952807824</v>
          </cell>
          <cell r="AH424">
            <v>21.380955513479364</v>
          </cell>
        </row>
        <row r="425">
          <cell r="B425" t="str">
            <v>Renewable electricity - Cost of electricity - Asia - USD/MWh</v>
          </cell>
          <cell r="G425">
            <v>64.941602489809156</v>
          </cell>
          <cell r="H425">
            <v>59.234907936835953</v>
          </cell>
          <cell r="I425">
            <v>53.528213383865477</v>
          </cell>
          <cell r="J425">
            <v>51.481269434223577</v>
          </cell>
          <cell r="K425">
            <v>49.434325484582587</v>
          </cell>
          <cell r="L425">
            <v>47.387381534940687</v>
          </cell>
          <cell r="M425">
            <v>45.340437585298787</v>
          </cell>
          <cell r="N425">
            <v>43.293493635657796</v>
          </cell>
          <cell r="O425">
            <v>41.902208066311687</v>
          </cell>
          <cell r="P425">
            <v>40.510922496966032</v>
          </cell>
          <cell r="Q425">
            <v>39.119636927620832</v>
          </cell>
          <cell r="R425">
            <v>37.728351358275177</v>
          </cell>
          <cell r="S425">
            <v>36.337065788929522</v>
          </cell>
          <cell r="T425">
            <v>35.629702497725702</v>
          </cell>
          <cell r="U425">
            <v>34.922339206521883</v>
          </cell>
          <cell r="V425">
            <v>34.214975915318291</v>
          </cell>
          <cell r="W425">
            <v>33.507612624114472</v>
          </cell>
          <cell r="X425">
            <v>32.800249332911108</v>
          </cell>
          <cell r="Y425">
            <v>32.059832294097532</v>
          </cell>
          <cell r="Z425">
            <v>31.319415255284184</v>
          </cell>
          <cell r="AA425">
            <v>30.578998216470609</v>
          </cell>
          <cell r="AB425">
            <v>29.838581177657261</v>
          </cell>
          <cell r="AC425">
            <v>29.098164138843686</v>
          </cell>
          <cell r="AD425">
            <v>28.758618698873192</v>
          </cell>
          <cell r="AE425">
            <v>28.419073258902586</v>
          </cell>
          <cell r="AF425">
            <v>28.079527818932092</v>
          </cell>
          <cell r="AG425">
            <v>27.739982378961599</v>
          </cell>
          <cell r="AH425">
            <v>27.400436938990993</v>
          </cell>
        </row>
        <row r="426">
          <cell r="B426" t="str">
            <v>Renewable electricity - Cost of electricity - Europe - USD/MWh</v>
          </cell>
          <cell r="G426">
            <v>48.345505357757247</v>
          </cell>
          <cell r="H426">
            <v>46.261834393182653</v>
          </cell>
          <cell r="I426">
            <v>44.178163428608059</v>
          </cell>
          <cell r="J426">
            <v>42.49454469772445</v>
          </cell>
          <cell r="K426">
            <v>40.810925966840387</v>
          </cell>
          <cell r="L426">
            <v>39.127307235956778</v>
          </cell>
          <cell r="M426">
            <v>37.443688505072714</v>
          </cell>
          <cell r="N426">
            <v>35.760069774189105</v>
          </cell>
          <cell r="O426">
            <v>35.060526539849434</v>
          </cell>
          <cell r="P426">
            <v>34.360983305510445</v>
          </cell>
          <cell r="Q426">
            <v>33.661440071171228</v>
          </cell>
          <cell r="R426">
            <v>32.961896836832011</v>
          </cell>
          <cell r="S426">
            <v>32.262353602493022</v>
          </cell>
          <cell r="T426">
            <v>31.844690735616723</v>
          </cell>
          <cell r="U426">
            <v>31.427027868740538</v>
          </cell>
          <cell r="V426">
            <v>31.009365001864353</v>
          </cell>
          <cell r="W426">
            <v>30.591702134988168</v>
          </cell>
          <cell r="X426">
            <v>30.174039268111756</v>
          </cell>
          <cell r="Y426">
            <v>29.72721540516045</v>
          </cell>
          <cell r="Z426">
            <v>29.280391542209031</v>
          </cell>
          <cell r="AA426">
            <v>28.833567679257726</v>
          </cell>
          <cell r="AB426">
            <v>28.386743816306307</v>
          </cell>
          <cell r="AC426">
            <v>27.939919953355002</v>
          </cell>
          <cell r="AD426">
            <v>27.613908060931863</v>
          </cell>
          <cell r="AE426">
            <v>27.28789616850861</v>
          </cell>
          <cell r="AF426">
            <v>26.96188427608547</v>
          </cell>
          <cell r="AG426">
            <v>26.635872383662331</v>
          </cell>
          <cell r="AH426">
            <v>26.309860491239078</v>
          </cell>
        </row>
        <row r="427">
          <cell r="B427" t="str">
            <v>Renewable electricity - Cost of electricity - Middle East - USD/MWh</v>
          </cell>
          <cell r="G427">
            <v>37.020316673163961</v>
          </cell>
          <cell r="H427">
            <v>35.386702900434102</v>
          </cell>
          <cell r="I427">
            <v>33.753089127703788</v>
          </cell>
          <cell r="J427">
            <v>32.671487127187447</v>
          </cell>
          <cell r="K427">
            <v>31.589885126671106</v>
          </cell>
          <cell r="L427">
            <v>30.508283126154765</v>
          </cell>
          <cell r="M427">
            <v>29.426681125638424</v>
          </cell>
          <cell r="N427">
            <v>28.345079125122083</v>
          </cell>
          <cell r="O427">
            <v>27.58242507536329</v>
          </cell>
          <cell r="P427">
            <v>26.819771025604723</v>
          </cell>
          <cell r="Q427">
            <v>26.057116975845929</v>
          </cell>
          <cell r="R427">
            <v>25.294462926087363</v>
          </cell>
          <cell r="S427">
            <v>24.531808876328796</v>
          </cell>
          <cell r="T427">
            <v>24.149422155106208</v>
          </cell>
          <cell r="U427">
            <v>23.76703543388362</v>
          </cell>
          <cell r="V427">
            <v>23.384648712661146</v>
          </cell>
          <cell r="W427">
            <v>23.002261991438559</v>
          </cell>
          <cell r="X427">
            <v>22.619875270215971</v>
          </cell>
          <cell r="Y427">
            <v>22.118414831670066</v>
          </cell>
          <cell r="Z427">
            <v>21.616954393124274</v>
          </cell>
          <cell r="AA427">
            <v>21.115493954578369</v>
          </cell>
          <cell r="AB427">
            <v>20.614033516032578</v>
          </cell>
          <cell r="AC427">
            <v>20.112573077486616</v>
          </cell>
          <cell r="AD427">
            <v>19.877873861328055</v>
          </cell>
          <cell r="AE427">
            <v>19.643174645169552</v>
          </cell>
          <cell r="AF427">
            <v>19.408475429010991</v>
          </cell>
          <cell r="AG427">
            <v>19.173776212852431</v>
          </cell>
          <cell r="AH427">
            <v>18.939076996693927</v>
          </cell>
        </row>
        <row r="428">
          <cell r="B428" t="str">
            <v>Carbon dioxide (PS) - Energy demand - Global - MWh/ton fuel</v>
          </cell>
          <cell r="G428">
            <v>0.45</v>
          </cell>
          <cell r="H428">
            <v>0.45</v>
          </cell>
          <cell r="I428">
            <v>0.45</v>
          </cell>
          <cell r="J428">
            <v>0.45</v>
          </cell>
          <cell r="K428">
            <v>0.45</v>
          </cell>
          <cell r="L428">
            <v>0.45</v>
          </cell>
          <cell r="M428">
            <v>0.45</v>
          </cell>
          <cell r="N428">
            <v>0.45</v>
          </cell>
          <cell r="O428">
            <v>0.45</v>
          </cell>
          <cell r="P428">
            <v>0.45</v>
          </cell>
          <cell r="Q428">
            <v>0.45</v>
          </cell>
          <cell r="R428">
            <v>0.45</v>
          </cell>
          <cell r="S428">
            <v>0.45</v>
          </cell>
          <cell r="T428">
            <v>0.45</v>
          </cell>
          <cell r="U428">
            <v>0.45</v>
          </cell>
          <cell r="V428">
            <v>0.45</v>
          </cell>
          <cell r="W428">
            <v>0.45</v>
          </cell>
          <cell r="X428">
            <v>0.45</v>
          </cell>
          <cell r="Y428">
            <v>0.45</v>
          </cell>
          <cell r="Z428">
            <v>0.45</v>
          </cell>
          <cell r="AA428">
            <v>0.45</v>
          </cell>
          <cell r="AB428">
            <v>0.45</v>
          </cell>
          <cell r="AC428">
            <v>0.45</v>
          </cell>
          <cell r="AD428">
            <v>0.45</v>
          </cell>
          <cell r="AE428">
            <v>0.45</v>
          </cell>
          <cell r="AF428">
            <v>0.45</v>
          </cell>
          <cell r="AG428">
            <v>0.45</v>
          </cell>
          <cell r="AH428">
            <v>0.45</v>
          </cell>
        </row>
        <row r="430">
          <cell r="B430" t="str">
            <v>e-methanol (DAC) - Item - Region - Unit</v>
          </cell>
          <cell r="G430">
            <v>2023</v>
          </cell>
          <cell r="H430">
            <v>2024</v>
          </cell>
          <cell r="I430">
            <v>2025</v>
          </cell>
          <cell r="J430">
            <v>2026</v>
          </cell>
          <cell r="K430">
            <v>2027</v>
          </cell>
          <cell r="L430">
            <v>2028</v>
          </cell>
          <cell r="M430">
            <v>2029</v>
          </cell>
          <cell r="N430">
            <v>2030</v>
          </cell>
          <cell r="O430">
            <v>2031</v>
          </cell>
          <cell r="P430">
            <v>2032</v>
          </cell>
          <cell r="Q430">
            <v>2033</v>
          </cell>
          <cell r="R430">
            <v>2034</v>
          </cell>
          <cell r="S430">
            <v>2035</v>
          </cell>
          <cell r="T430">
            <v>2036</v>
          </cell>
          <cell r="U430">
            <v>2037</v>
          </cell>
          <cell r="V430">
            <v>2038</v>
          </cell>
          <cell r="W430">
            <v>2039</v>
          </cell>
          <cell r="X430">
            <v>2040</v>
          </cell>
          <cell r="Y430">
            <v>2041</v>
          </cell>
          <cell r="Z430">
            <v>2042</v>
          </cell>
          <cell r="AA430">
            <v>2043</v>
          </cell>
          <cell r="AB430">
            <v>2044</v>
          </cell>
          <cell r="AC430">
            <v>2045</v>
          </cell>
          <cell r="AD430">
            <v>2046</v>
          </cell>
          <cell r="AE430">
            <v>2047</v>
          </cell>
          <cell r="AF430">
            <v>2048</v>
          </cell>
          <cell r="AG430">
            <v>2049</v>
          </cell>
          <cell r="AH430">
            <v>2050</v>
          </cell>
        </row>
        <row r="431">
          <cell r="B431" t="str">
            <v>e-methanol (DAC) - Total cost - Africa - USD/ton fuel</v>
          </cell>
          <cell r="G431">
            <v>1763.6203312214197</v>
          </cell>
          <cell r="H431">
            <v>1615.9911189162126</v>
          </cell>
          <cell r="I431">
            <v>1468.6753541318485</v>
          </cell>
          <cell r="J431">
            <v>1405.7304404043591</v>
          </cell>
          <cell r="K431">
            <v>1342.069581668296</v>
          </cell>
          <cell r="L431">
            <v>1277.7121791726327</v>
          </cell>
          <cell r="M431">
            <v>1212.6776341663588</v>
          </cell>
          <cell r="N431">
            <v>1146.9853478984403</v>
          </cell>
          <cell r="O431">
            <v>1118.3754861410723</v>
          </cell>
          <cell r="P431">
            <v>1088.4855774194839</v>
          </cell>
          <cell r="Q431">
            <v>1057.3260717453195</v>
          </cell>
          <cell r="R431">
            <v>1024.9074191302432</v>
          </cell>
          <cell r="S431">
            <v>991.24006958592395</v>
          </cell>
          <cell r="T431">
            <v>966.24002238798425</v>
          </cell>
          <cell r="U431">
            <v>940.33921106206856</v>
          </cell>
          <cell r="V431">
            <v>913.54104548670273</v>
          </cell>
          <cell r="W431">
            <v>885.84893554037035</v>
          </cell>
          <cell r="X431">
            <v>857.26629110158933</v>
          </cell>
          <cell r="Y431">
            <v>826.90497736982604</v>
          </cell>
          <cell r="Z431">
            <v>796.15933788273787</v>
          </cell>
          <cell r="AA431">
            <v>765.02737863529705</v>
          </cell>
          <cell r="AB431">
            <v>733.50710562245808</v>
          </cell>
          <cell r="AC431">
            <v>701.59652483918421</v>
          </cell>
          <cell r="AD431">
            <v>675.21460216387538</v>
          </cell>
          <cell r="AE431">
            <v>648.64685387118061</v>
          </cell>
          <cell r="AF431">
            <v>621.89202344628893</v>
          </cell>
          <cell r="AG431">
            <v>594.94885437439643</v>
          </cell>
          <cell r="AH431">
            <v>567.81609014070023</v>
          </cell>
        </row>
        <row r="432">
          <cell r="B432" t="str">
            <v>e-methanol (DAC) - Total cost - Americas - USD/ton fuel</v>
          </cell>
          <cell r="G432">
            <v>1419.1820099650438</v>
          </cell>
          <cell r="H432">
            <v>1369.3307016467138</v>
          </cell>
          <cell r="I432">
            <v>1319.0171501516143</v>
          </cell>
          <cell r="J432">
            <v>1266.5667167381032</v>
          </cell>
          <cell r="K432">
            <v>1213.3400311415078</v>
          </cell>
          <cell r="L432">
            <v>1159.3501292256085</v>
          </cell>
          <cell r="M432">
            <v>1104.6100468542099</v>
          </cell>
          <cell r="N432">
            <v>1049.1328198910569</v>
          </cell>
          <cell r="O432">
            <v>1028.0794218447854</v>
          </cell>
          <cell r="P432">
            <v>1005.6631638379474</v>
          </cell>
          <cell r="Q432">
            <v>981.89009904734917</v>
          </cell>
          <cell r="R432">
            <v>956.76628064979218</v>
          </cell>
          <cell r="S432">
            <v>930.29776182210003</v>
          </cell>
          <cell r="T432">
            <v>905.83373335416127</v>
          </cell>
          <cell r="U432">
            <v>880.47797846021683</v>
          </cell>
          <cell r="V432">
            <v>854.23389884201856</v>
          </cell>
          <cell r="W432">
            <v>827.10489620127953</v>
          </cell>
          <cell r="X432">
            <v>799.09437223973748</v>
          </cell>
          <cell r="Y432">
            <v>773.77436931578313</v>
          </cell>
          <cell r="Z432">
            <v>747.96589145772509</v>
          </cell>
          <cell r="AA432">
            <v>721.66815930419216</v>
          </cell>
          <cell r="AB432">
            <v>694.88039349378539</v>
          </cell>
          <cell r="AC432">
            <v>667.60181466512677</v>
          </cell>
          <cell r="AD432">
            <v>642.89219260229174</v>
          </cell>
          <cell r="AE432">
            <v>617.96613535487961</v>
          </cell>
          <cell r="AF432">
            <v>592.82288805579719</v>
          </cell>
          <cell r="AG432">
            <v>567.46169583795449</v>
          </cell>
          <cell r="AH432">
            <v>541.88180383426231</v>
          </cell>
        </row>
        <row r="433">
          <cell r="B433" t="str">
            <v>e-methanol (DAC) - Total cost - Asia - USD/ton fuel</v>
          </cell>
          <cell r="G433">
            <v>1867.602671374962</v>
          </cell>
          <cell r="H433">
            <v>1737.7199897262658</v>
          </cell>
          <cell r="I433">
            <v>1607.98310423768</v>
          </cell>
          <cell r="J433">
            <v>1542.2911330355587</v>
          </cell>
          <cell r="K433">
            <v>1475.873263024062</v>
          </cell>
          <cell r="L433">
            <v>1408.7502716867357</v>
          </cell>
          <cell r="M433">
            <v>1340.9429365071931</v>
          </cell>
          <cell r="N433">
            <v>1272.4720349689999</v>
          </cell>
          <cell r="O433">
            <v>1238.0020140736829</v>
          </cell>
          <cell r="P433">
            <v>1202.3001336327034</v>
          </cell>
          <cell r="Q433">
            <v>1165.380020623496</v>
          </cell>
          <cell r="R433">
            <v>1127.2553020234814</v>
          </cell>
          <cell r="S433">
            <v>1087.9396048101273</v>
          </cell>
          <cell r="T433">
            <v>1059.1144200488134</v>
          </cell>
          <cell r="U433">
            <v>1029.4260912137822</v>
          </cell>
          <cell r="V433">
            <v>998.87942137453376</v>
          </cell>
          <cell r="W433">
            <v>967.47921360050691</v>
          </cell>
          <cell r="X433">
            <v>935.23027096119245</v>
          </cell>
          <cell r="Y433">
            <v>900.86820147776314</v>
          </cell>
          <cell r="Z433">
            <v>866.19931802450913</v>
          </cell>
          <cell r="AA433">
            <v>831.22076148100632</v>
          </cell>
          <cell r="AB433">
            <v>795.92967272681358</v>
          </cell>
          <cell r="AC433">
            <v>760.32319264149885</v>
          </cell>
          <cell r="AD433">
            <v>732.223152812948</v>
          </cell>
          <cell r="AE433">
            <v>703.96702506555744</v>
          </cell>
          <cell r="AF433">
            <v>675.55312607788915</v>
          </cell>
          <cell r="AG433">
            <v>646.97977252850364</v>
          </cell>
          <cell r="AH433">
            <v>618.24528109596179</v>
          </cell>
        </row>
        <row r="434">
          <cell r="B434" t="str">
            <v>e-methanol (DAC) - Total cost - Europe - USD/ton fuel</v>
          </cell>
          <cell r="G434">
            <v>1604.2090716222949</v>
          </cell>
          <cell r="H434">
            <v>1532.6723118208797</v>
          </cell>
          <cell r="I434">
            <v>1460.8278148672684</v>
          </cell>
          <cell r="J434">
            <v>1401.4862667468321</v>
          </cell>
          <cell r="K434">
            <v>1341.3968746644941</v>
          </cell>
          <cell r="L434">
            <v>1280.5767281749359</v>
          </cell>
          <cell r="M434">
            <v>1219.0429168328319</v>
          </cell>
          <cell r="N434">
            <v>1156.8125301928419</v>
          </cell>
          <cell r="O434">
            <v>1133.7300221626997</v>
          </cell>
          <cell r="P434">
            <v>1109.2805745500887</v>
          </cell>
          <cell r="Q434">
            <v>1083.4710390467503</v>
          </cell>
          <cell r="R434">
            <v>1056.3082673444412</v>
          </cell>
          <cell r="S434">
            <v>1027.7991111349431</v>
          </cell>
          <cell r="T434">
            <v>1003.724948303012</v>
          </cell>
          <cell r="U434">
            <v>978.72280940896917</v>
          </cell>
          <cell r="V434">
            <v>952.79553042664247</v>
          </cell>
          <cell r="W434">
            <v>925.94594732981102</v>
          </cell>
          <cell r="X434">
            <v>898.17689609228603</v>
          </cell>
          <cell r="Y434">
            <v>868.32664559487819</v>
          </cell>
          <cell r="Z434">
            <v>838.07394459532645</v>
          </cell>
          <cell r="AA434">
            <v>807.41706768327902</v>
          </cell>
          <cell r="AB434">
            <v>776.35428944835007</v>
          </cell>
          <cell r="AC434">
            <v>744.8838844801802</v>
          </cell>
          <cell r="AD434">
            <v>717.11543794198099</v>
          </cell>
          <cell r="AE434">
            <v>689.18545919511644</v>
          </cell>
          <cell r="AF434">
            <v>661.09233201170332</v>
          </cell>
          <cell r="AG434">
            <v>632.83444016385783</v>
          </cell>
          <cell r="AH434">
            <v>604.41016742369561</v>
          </cell>
        </row>
        <row r="435">
          <cell r="B435" t="str">
            <v>e-methanol (DAC) - Total cost - Middle East - USD/ton fuel</v>
          </cell>
          <cell r="G435">
            <v>1424.4690886746062</v>
          </cell>
          <cell r="H435">
            <v>1360.7839422683342</v>
          </cell>
          <cell r="I435">
            <v>1296.7533090840134</v>
          </cell>
          <cell r="J435">
            <v>1247.5776572899963</v>
          </cell>
          <cell r="K435">
            <v>1197.6006529365341</v>
          </cell>
          <cell r="L435">
            <v>1146.833274813644</v>
          </cell>
          <cell r="M435">
            <v>1095.2865017113631</v>
          </cell>
          <cell r="N435">
            <v>1042.9713124196878</v>
          </cell>
          <cell r="O435">
            <v>1019.7585471096052</v>
          </cell>
          <cell r="P435">
            <v>995.21761890333528</v>
          </cell>
          <cell r="Q435">
            <v>969.35599763291327</v>
          </cell>
          <cell r="R435">
            <v>942.18115313038516</v>
          </cell>
          <cell r="S435">
            <v>913.70055522780831</v>
          </cell>
          <cell r="T435">
            <v>891.11318157522658</v>
          </cell>
          <cell r="U435">
            <v>867.60631147382003</v>
          </cell>
          <cell r="V435">
            <v>843.18254136876112</v>
          </cell>
          <cell r="W435">
            <v>817.84446770517343</v>
          </cell>
          <cell r="X435">
            <v>791.59468692821645</v>
          </cell>
          <cell r="Y435">
            <v>762.17882070418636</v>
          </cell>
          <cell r="Z435">
            <v>732.36794903139139</v>
          </cell>
          <cell r="AA435">
            <v>702.1601355203328</v>
          </cell>
          <cell r="AB435">
            <v>671.55344378149277</v>
          </cell>
          <cell r="AC435">
            <v>640.54593742536474</v>
          </cell>
          <cell r="AD435">
            <v>615.01644886483643</v>
          </cell>
          <cell r="AE435">
            <v>589.2886740515471</v>
          </cell>
          <cell r="AF435">
            <v>563.36144944690329</v>
          </cell>
          <cell r="AG435">
            <v>537.23361151231779</v>
          </cell>
          <cell r="AH435">
            <v>510.90399670920277</v>
          </cell>
        </row>
        <row r="436">
          <cell r="B436" t="str">
            <v/>
          </cell>
        </row>
        <row r="437">
          <cell r="B437" t="str">
            <v>e-methanol (DAC) - CAPEX - Global - USD/ton fuel</v>
          </cell>
          <cell r="G437">
            <v>99.333333333333329</v>
          </cell>
          <cell r="H437">
            <v>94.666666666666671</v>
          </cell>
          <cell r="I437">
            <v>90</v>
          </cell>
          <cell r="J437">
            <v>85.333333333333329</v>
          </cell>
          <cell r="K437">
            <v>80.666666666666671</v>
          </cell>
          <cell r="L437">
            <v>76</v>
          </cell>
          <cell r="M437">
            <v>71.333333333333329</v>
          </cell>
          <cell r="N437">
            <v>66.666666666666671</v>
          </cell>
          <cell r="O437">
            <v>65.166666666666671</v>
          </cell>
          <cell r="P437">
            <v>63.666666666666664</v>
          </cell>
          <cell r="Q437">
            <v>62.166666666666664</v>
          </cell>
          <cell r="R437">
            <v>60.666666666666664</v>
          </cell>
          <cell r="S437">
            <v>59.166666666666664</v>
          </cell>
          <cell r="T437">
            <v>57.666666666666664</v>
          </cell>
          <cell r="U437">
            <v>56.166666666666664</v>
          </cell>
          <cell r="V437">
            <v>54.666666666666664</v>
          </cell>
          <cell r="W437">
            <v>53.166666666666664</v>
          </cell>
          <cell r="X437">
            <v>51.666666666666664</v>
          </cell>
          <cell r="Y437">
            <v>49.666666666666664</v>
          </cell>
          <cell r="Z437">
            <v>47.666666666666664</v>
          </cell>
          <cell r="AA437">
            <v>45.666666666666664</v>
          </cell>
          <cell r="AB437">
            <v>43.666666666666664</v>
          </cell>
          <cell r="AC437">
            <v>41.666666666666664</v>
          </cell>
          <cell r="AD437">
            <v>39.666666666666664</v>
          </cell>
          <cell r="AE437">
            <v>37.666666666666664</v>
          </cell>
          <cell r="AF437">
            <v>35.666666666666664</v>
          </cell>
          <cell r="AG437">
            <v>33.666666666666664</v>
          </cell>
          <cell r="AH437">
            <v>31.666666666666668</v>
          </cell>
        </row>
        <row r="438">
          <cell r="B438" t="str">
            <v>e-methanol - Plant lifetime - Global - Years</v>
          </cell>
          <cell r="G438">
            <v>30</v>
          </cell>
          <cell r="H438">
            <v>30</v>
          </cell>
          <cell r="I438">
            <v>30</v>
          </cell>
          <cell r="J438">
            <v>30</v>
          </cell>
          <cell r="K438">
            <v>30</v>
          </cell>
          <cell r="L438">
            <v>30</v>
          </cell>
          <cell r="M438">
            <v>30</v>
          </cell>
          <cell r="N438">
            <v>30</v>
          </cell>
          <cell r="O438">
            <v>30</v>
          </cell>
          <cell r="P438">
            <v>30</v>
          </cell>
          <cell r="Q438">
            <v>30</v>
          </cell>
          <cell r="R438">
            <v>30</v>
          </cell>
          <cell r="S438">
            <v>30</v>
          </cell>
          <cell r="T438">
            <v>30</v>
          </cell>
          <cell r="U438">
            <v>30</v>
          </cell>
          <cell r="V438">
            <v>30</v>
          </cell>
          <cell r="W438">
            <v>30</v>
          </cell>
          <cell r="X438">
            <v>30</v>
          </cell>
          <cell r="Y438">
            <v>30</v>
          </cell>
          <cell r="Z438">
            <v>30</v>
          </cell>
          <cell r="AA438">
            <v>30</v>
          </cell>
          <cell r="AB438">
            <v>30</v>
          </cell>
          <cell r="AC438">
            <v>30</v>
          </cell>
          <cell r="AD438">
            <v>30</v>
          </cell>
          <cell r="AE438">
            <v>30</v>
          </cell>
          <cell r="AF438">
            <v>30</v>
          </cell>
          <cell r="AG438">
            <v>30</v>
          </cell>
          <cell r="AH438">
            <v>30</v>
          </cell>
        </row>
        <row r="439">
          <cell r="B439" t="str">
            <v>e-methanol - Total CAPEX - Global - USD/ton fuel</v>
          </cell>
          <cell r="G439">
            <v>2980</v>
          </cell>
          <cell r="H439">
            <v>2840</v>
          </cell>
          <cell r="I439">
            <v>2700</v>
          </cell>
          <cell r="J439">
            <v>2560</v>
          </cell>
          <cell r="K439">
            <v>2420</v>
          </cell>
          <cell r="L439">
            <v>2280</v>
          </cell>
          <cell r="M439">
            <v>2140</v>
          </cell>
          <cell r="N439">
            <v>2000</v>
          </cell>
          <cell r="O439">
            <v>1955</v>
          </cell>
          <cell r="P439">
            <v>1910</v>
          </cell>
          <cell r="Q439">
            <v>1865</v>
          </cell>
          <cell r="R439">
            <v>1820</v>
          </cell>
          <cell r="S439">
            <v>1775</v>
          </cell>
          <cell r="T439">
            <v>1730</v>
          </cell>
          <cell r="U439">
            <v>1685</v>
          </cell>
          <cell r="V439">
            <v>1640</v>
          </cell>
          <cell r="W439">
            <v>1595</v>
          </cell>
          <cell r="X439">
            <v>1550</v>
          </cell>
          <cell r="Y439">
            <v>1490</v>
          </cell>
          <cell r="Z439">
            <v>1430</v>
          </cell>
          <cell r="AA439">
            <v>1370</v>
          </cell>
          <cell r="AB439">
            <v>1310</v>
          </cell>
          <cell r="AC439">
            <v>1250</v>
          </cell>
          <cell r="AD439">
            <v>1190</v>
          </cell>
          <cell r="AE439">
            <v>1130</v>
          </cell>
          <cell r="AF439">
            <v>1070</v>
          </cell>
          <cell r="AG439">
            <v>1010</v>
          </cell>
          <cell r="AH439">
            <v>950</v>
          </cell>
        </row>
        <row r="440">
          <cell r="B440" t="str">
            <v/>
          </cell>
        </row>
        <row r="441">
          <cell r="B441" t="str">
            <v>e-methanol (DAC) - OPEX - Global - USD/ton fuel</v>
          </cell>
          <cell r="G441">
            <v>119.2</v>
          </cell>
          <cell r="H441">
            <v>113.60000000000001</v>
          </cell>
          <cell r="I441">
            <v>108</v>
          </cell>
          <cell r="J441">
            <v>102.4</v>
          </cell>
          <cell r="K441">
            <v>96.8</v>
          </cell>
          <cell r="L441">
            <v>91.2</v>
          </cell>
          <cell r="M441">
            <v>85.600000000000009</v>
          </cell>
          <cell r="N441">
            <v>80</v>
          </cell>
          <cell r="O441">
            <v>78.2</v>
          </cell>
          <cell r="P441">
            <v>76.400000000000006</v>
          </cell>
          <cell r="Q441">
            <v>74.600000000000009</v>
          </cell>
          <cell r="R441">
            <v>72.8</v>
          </cell>
          <cell r="S441">
            <v>71</v>
          </cell>
          <cell r="T441">
            <v>69.2</v>
          </cell>
          <cell r="U441">
            <v>67.400000000000006</v>
          </cell>
          <cell r="V441">
            <v>65.599999999999994</v>
          </cell>
          <cell r="W441">
            <v>63.800000000000004</v>
          </cell>
          <cell r="X441">
            <v>62</v>
          </cell>
          <cell r="Y441">
            <v>59.6</v>
          </cell>
          <cell r="Z441">
            <v>57.2</v>
          </cell>
          <cell r="AA441">
            <v>54.800000000000004</v>
          </cell>
          <cell r="AB441">
            <v>52.4</v>
          </cell>
          <cell r="AC441">
            <v>50</v>
          </cell>
          <cell r="AD441">
            <v>47.6</v>
          </cell>
          <cell r="AE441">
            <v>45.2</v>
          </cell>
          <cell r="AF441">
            <v>42.800000000000004</v>
          </cell>
          <cell r="AG441">
            <v>40.4</v>
          </cell>
          <cell r="AH441">
            <v>38</v>
          </cell>
        </row>
        <row r="442">
          <cell r="B442" t="str">
            <v>e-methanol - OPEX - Global - USD/ton fuel/year</v>
          </cell>
          <cell r="G442">
            <v>119.2</v>
          </cell>
          <cell r="H442">
            <v>113.60000000000001</v>
          </cell>
          <cell r="I442">
            <v>108</v>
          </cell>
          <cell r="J442">
            <v>102.4</v>
          </cell>
          <cell r="K442">
            <v>96.8</v>
          </cell>
          <cell r="L442">
            <v>91.2</v>
          </cell>
          <cell r="M442">
            <v>85.600000000000009</v>
          </cell>
          <cell r="N442">
            <v>80</v>
          </cell>
          <cell r="O442">
            <v>78.2</v>
          </cell>
          <cell r="P442">
            <v>76.400000000000006</v>
          </cell>
          <cell r="Q442">
            <v>74.600000000000009</v>
          </cell>
          <cell r="R442">
            <v>72.8</v>
          </cell>
          <cell r="S442">
            <v>71</v>
          </cell>
          <cell r="T442">
            <v>69.2</v>
          </cell>
          <cell r="U442">
            <v>67.400000000000006</v>
          </cell>
          <cell r="V442">
            <v>65.599999999999994</v>
          </cell>
          <cell r="W442">
            <v>63.800000000000004</v>
          </cell>
          <cell r="X442">
            <v>62</v>
          </cell>
          <cell r="Y442">
            <v>59.6</v>
          </cell>
          <cell r="Z442">
            <v>57.2</v>
          </cell>
          <cell r="AA442">
            <v>54.800000000000004</v>
          </cell>
          <cell r="AB442">
            <v>52.4</v>
          </cell>
          <cell r="AC442">
            <v>50</v>
          </cell>
          <cell r="AD442">
            <v>47.6</v>
          </cell>
          <cell r="AE442">
            <v>45.2</v>
          </cell>
          <cell r="AF442">
            <v>42.800000000000004</v>
          </cell>
          <cell r="AG442">
            <v>40.4</v>
          </cell>
          <cell r="AH442">
            <v>38</v>
          </cell>
        </row>
        <row r="443">
          <cell r="B443" t="str">
            <v/>
          </cell>
        </row>
        <row r="444">
          <cell r="B444" t="str">
            <v>e-methanol (DAC) - Finance cost - Africa - USD/ton fuel</v>
          </cell>
          <cell r="G444">
            <v>163.90000000000003</v>
          </cell>
          <cell r="H444">
            <v>156.20000000000002</v>
          </cell>
          <cell r="I444">
            <v>148.50000000000003</v>
          </cell>
          <cell r="J444">
            <v>140.80000000000001</v>
          </cell>
          <cell r="K444">
            <v>133.10000000000002</v>
          </cell>
          <cell r="L444">
            <v>125.40000000000002</v>
          </cell>
          <cell r="M444">
            <v>117.70000000000002</v>
          </cell>
          <cell r="N444">
            <v>110.00000000000001</v>
          </cell>
          <cell r="O444">
            <v>107.52500000000002</v>
          </cell>
          <cell r="P444">
            <v>105.05000000000001</v>
          </cell>
          <cell r="Q444">
            <v>102.57500000000002</v>
          </cell>
          <cell r="R444">
            <v>100.10000000000001</v>
          </cell>
          <cell r="S444">
            <v>97.625000000000014</v>
          </cell>
          <cell r="T444">
            <v>95.15</v>
          </cell>
          <cell r="U444">
            <v>92.675000000000011</v>
          </cell>
          <cell r="V444">
            <v>90.200000000000017</v>
          </cell>
          <cell r="W444">
            <v>87.725000000000009</v>
          </cell>
          <cell r="X444">
            <v>85.250000000000014</v>
          </cell>
          <cell r="Y444">
            <v>81.950000000000017</v>
          </cell>
          <cell r="Z444">
            <v>78.650000000000006</v>
          </cell>
          <cell r="AA444">
            <v>75.350000000000009</v>
          </cell>
          <cell r="AB444">
            <v>72.050000000000011</v>
          </cell>
          <cell r="AC444">
            <v>68.750000000000014</v>
          </cell>
          <cell r="AD444">
            <v>65.45</v>
          </cell>
          <cell r="AE444">
            <v>62.150000000000006</v>
          </cell>
          <cell r="AF444">
            <v>58.850000000000009</v>
          </cell>
          <cell r="AG444">
            <v>55.550000000000004</v>
          </cell>
          <cell r="AH444">
            <v>52.250000000000007</v>
          </cell>
        </row>
        <row r="445">
          <cell r="B445" t="str">
            <v>e-methanol (DAC) - Finance cost - Americas - USD/ton fuel</v>
          </cell>
          <cell r="G445">
            <v>163.90000000000003</v>
          </cell>
          <cell r="H445">
            <v>156.20000000000002</v>
          </cell>
          <cell r="I445">
            <v>148.50000000000003</v>
          </cell>
          <cell r="J445">
            <v>140.80000000000001</v>
          </cell>
          <cell r="K445">
            <v>133.10000000000002</v>
          </cell>
          <cell r="L445">
            <v>125.40000000000002</v>
          </cell>
          <cell r="M445">
            <v>117.70000000000002</v>
          </cell>
          <cell r="N445">
            <v>110.00000000000001</v>
          </cell>
          <cell r="O445">
            <v>107.52500000000002</v>
          </cell>
          <cell r="P445">
            <v>105.05000000000001</v>
          </cell>
          <cell r="Q445">
            <v>102.57500000000002</v>
          </cell>
          <cell r="R445">
            <v>100.10000000000001</v>
          </cell>
          <cell r="S445">
            <v>97.625000000000014</v>
          </cell>
          <cell r="T445">
            <v>95.15</v>
          </cell>
          <cell r="U445">
            <v>92.675000000000011</v>
          </cell>
          <cell r="V445">
            <v>90.200000000000017</v>
          </cell>
          <cell r="W445">
            <v>87.725000000000009</v>
          </cell>
          <cell r="X445">
            <v>85.250000000000014</v>
          </cell>
          <cell r="Y445">
            <v>81.950000000000017</v>
          </cell>
          <cell r="Z445">
            <v>78.650000000000006</v>
          </cell>
          <cell r="AA445">
            <v>75.350000000000009</v>
          </cell>
          <cell r="AB445">
            <v>72.050000000000011</v>
          </cell>
          <cell r="AC445">
            <v>68.750000000000014</v>
          </cell>
          <cell r="AD445">
            <v>65.45</v>
          </cell>
          <cell r="AE445">
            <v>62.150000000000006</v>
          </cell>
          <cell r="AF445">
            <v>58.850000000000009</v>
          </cell>
          <cell r="AG445">
            <v>55.550000000000004</v>
          </cell>
          <cell r="AH445">
            <v>52.250000000000007</v>
          </cell>
        </row>
        <row r="446">
          <cell r="B446" t="str">
            <v>e-methanol (DAC) - Finance cost - Asia - USD/ton fuel</v>
          </cell>
          <cell r="G446">
            <v>163.90000000000003</v>
          </cell>
          <cell r="H446">
            <v>156.20000000000002</v>
          </cell>
          <cell r="I446">
            <v>148.50000000000003</v>
          </cell>
          <cell r="J446">
            <v>140.80000000000001</v>
          </cell>
          <cell r="K446">
            <v>133.10000000000002</v>
          </cell>
          <cell r="L446">
            <v>125.40000000000002</v>
          </cell>
          <cell r="M446">
            <v>117.70000000000002</v>
          </cell>
          <cell r="N446">
            <v>110.00000000000001</v>
          </cell>
          <cell r="O446">
            <v>107.52500000000002</v>
          </cell>
          <cell r="P446">
            <v>105.05000000000001</v>
          </cell>
          <cell r="Q446">
            <v>102.57500000000002</v>
          </cell>
          <cell r="R446">
            <v>100.10000000000001</v>
          </cell>
          <cell r="S446">
            <v>97.625000000000014</v>
          </cell>
          <cell r="T446">
            <v>95.15</v>
          </cell>
          <cell r="U446">
            <v>92.675000000000011</v>
          </cell>
          <cell r="V446">
            <v>90.200000000000017</v>
          </cell>
          <cell r="W446">
            <v>87.725000000000009</v>
          </cell>
          <cell r="X446">
            <v>85.250000000000014</v>
          </cell>
          <cell r="Y446">
            <v>81.950000000000017</v>
          </cell>
          <cell r="Z446">
            <v>78.650000000000006</v>
          </cell>
          <cell r="AA446">
            <v>75.350000000000009</v>
          </cell>
          <cell r="AB446">
            <v>72.050000000000011</v>
          </cell>
          <cell r="AC446">
            <v>68.750000000000014</v>
          </cell>
          <cell r="AD446">
            <v>65.45</v>
          </cell>
          <cell r="AE446">
            <v>62.150000000000006</v>
          </cell>
          <cell r="AF446">
            <v>58.850000000000009</v>
          </cell>
          <cell r="AG446">
            <v>55.550000000000004</v>
          </cell>
          <cell r="AH446">
            <v>52.250000000000007</v>
          </cell>
        </row>
        <row r="447">
          <cell r="B447" t="str">
            <v>e-methanol (DAC) - Finance cost - Europe - USD/ton fuel</v>
          </cell>
          <cell r="G447">
            <v>163.90000000000003</v>
          </cell>
          <cell r="H447">
            <v>156.20000000000002</v>
          </cell>
          <cell r="I447">
            <v>148.50000000000003</v>
          </cell>
          <cell r="J447">
            <v>140.80000000000001</v>
          </cell>
          <cell r="K447">
            <v>133.10000000000002</v>
          </cell>
          <cell r="L447">
            <v>125.40000000000002</v>
          </cell>
          <cell r="M447">
            <v>117.70000000000002</v>
          </cell>
          <cell r="N447">
            <v>110.00000000000001</v>
          </cell>
          <cell r="O447">
            <v>107.52500000000002</v>
          </cell>
          <cell r="P447">
            <v>105.05000000000001</v>
          </cell>
          <cell r="Q447">
            <v>102.57500000000002</v>
          </cell>
          <cell r="R447">
            <v>100.10000000000001</v>
          </cell>
          <cell r="S447">
            <v>97.625000000000014</v>
          </cell>
          <cell r="T447">
            <v>95.15</v>
          </cell>
          <cell r="U447">
            <v>92.675000000000011</v>
          </cell>
          <cell r="V447">
            <v>90.200000000000017</v>
          </cell>
          <cell r="W447">
            <v>87.725000000000009</v>
          </cell>
          <cell r="X447">
            <v>85.250000000000014</v>
          </cell>
          <cell r="Y447">
            <v>81.950000000000017</v>
          </cell>
          <cell r="Z447">
            <v>78.650000000000006</v>
          </cell>
          <cell r="AA447">
            <v>75.350000000000009</v>
          </cell>
          <cell r="AB447">
            <v>72.050000000000011</v>
          </cell>
          <cell r="AC447">
            <v>68.750000000000014</v>
          </cell>
          <cell r="AD447">
            <v>65.45</v>
          </cell>
          <cell r="AE447">
            <v>62.150000000000006</v>
          </cell>
          <cell r="AF447">
            <v>58.850000000000009</v>
          </cell>
          <cell r="AG447">
            <v>55.550000000000004</v>
          </cell>
          <cell r="AH447">
            <v>52.250000000000007</v>
          </cell>
        </row>
        <row r="448">
          <cell r="B448" t="str">
            <v>e-methanol (DAC) - Finance cost - Middle East - USD/ton fuel</v>
          </cell>
          <cell r="G448">
            <v>163.90000000000003</v>
          </cell>
          <cell r="H448">
            <v>156.20000000000002</v>
          </cell>
          <cell r="I448">
            <v>148.50000000000003</v>
          </cell>
          <cell r="J448">
            <v>140.80000000000001</v>
          </cell>
          <cell r="K448">
            <v>133.10000000000002</v>
          </cell>
          <cell r="L448">
            <v>125.40000000000002</v>
          </cell>
          <cell r="M448">
            <v>117.70000000000002</v>
          </cell>
          <cell r="N448">
            <v>110.00000000000001</v>
          </cell>
          <cell r="O448">
            <v>107.52500000000002</v>
          </cell>
          <cell r="P448">
            <v>105.05000000000001</v>
          </cell>
          <cell r="Q448">
            <v>102.57500000000002</v>
          </cell>
          <cell r="R448">
            <v>100.10000000000001</v>
          </cell>
          <cell r="S448">
            <v>97.625000000000014</v>
          </cell>
          <cell r="T448">
            <v>95.15</v>
          </cell>
          <cell r="U448">
            <v>92.675000000000011</v>
          </cell>
          <cell r="V448">
            <v>90.200000000000017</v>
          </cell>
          <cell r="W448">
            <v>87.725000000000009</v>
          </cell>
          <cell r="X448">
            <v>85.250000000000014</v>
          </cell>
          <cell r="Y448">
            <v>81.950000000000017</v>
          </cell>
          <cell r="Z448">
            <v>78.650000000000006</v>
          </cell>
          <cell r="AA448">
            <v>75.350000000000009</v>
          </cell>
          <cell r="AB448">
            <v>72.050000000000011</v>
          </cell>
          <cell r="AC448">
            <v>68.750000000000014</v>
          </cell>
          <cell r="AD448">
            <v>65.45</v>
          </cell>
          <cell r="AE448">
            <v>62.150000000000006</v>
          </cell>
          <cell r="AF448">
            <v>58.850000000000009</v>
          </cell>
          <cell r="AG448">
            <v>55.550000000000004</v>
          </cell>
          <cell r="AH448">
            <v>52.250000000000007</v>
          </cell>
        </row>
        <row r="449">
          <cell r="B449" t="str">
            <v>General - Weighted average cost of capital (WACC) - Africa - %</v>
          </cell>
          <cell r="G449">
            <v>5.5000000000000007E-2</v>
          </cell>
          <cell r="H449">
            <v>5.5000000000000007E-2</v>
          </cell>
          <cell r="I449">
            <v>5.5000000000000007E-2</v>
          </cell>
          <cell r="J449">
            <v>5.5000000000000007E-2</v>
          </cell>
          <cell r="K449">
            <v>5.5000000000000007E-2</v>
          </cell>
          <cell r="L449">
            <v>5.5000000000000007E-2</v>
          </cell>
          <cell r="M449">
            <v>5.5000000000000007E-2</v>
          </cell>
          <cell r="N449">
            <v>5.5000000000000007E-2</v>
          </cell>
          <cell r="O449">
            <v>5.5000000000000007E-2</v>
          </cell>
          <cell r="P449">
            <v>5.5000000000000007E-2</v>
          </cell>
          <cell r="Q449">
            <v>5.5000000000000007E-2</v>
          </cell>
          <cell r="R449">
            <v>5.5000000000000007E-2</v>
          </cell>
          <cell r="S449">
            <v>5.5000000000000007E-2</v>
          </cell>
          <cell r="T449">
            <v>5.5000000000000007E-2</v>
          </cell>
          <cell r="U449">
            <v>5.5000000000000007E-2</v>
          </cell>
          <cell r="V449">
            <v>5.5000000000000007E-2</v>
          </cell>
          <cell r="W449">
            <v>5.5000000000000007E-2</v>
          </cell>
          <cell r="X449">
            <v>5.5000000000000007E-2</v>
          </cell>
          <cell r="Y449">
            <v>5.5000000000000007E-2</v>
          </cell>
          <cell r="Z449">
            <v>5.5000000000000007E-2</v>
          </cell>
          <cell r="AA449">
            <v>5.5000000000000007E-2</v>
          </cell>
          <cell r="AB449">
            <v>5.5000000000000007E-2</v>
          </cell>
          <cell r="AC449">
            <v>5.5000000000000007E-2</v>
          </cell>
          <cell r="AD449">
            <v>5.5000000000000007E-2</v>
          </cell>
          <cell r="AE449">
            <v>5.5000000000000007E-2</v>
          </cell>
          <cell r="AF449">
            <v>5.5000000000000007E-2</v>
          </cell>
          <cell r="AG449">
            <v>5.5000000000000007E-2</v>
          </cell>
          <cell r="AH449">
            <v>5.5000000000000007E-2</v>
          </cell>
        </row>
        <row r="450">
          <cell r="B450" t="str">
            <v>General - Weighted average cost of capital (WACC) - Americas - %</v>
          </cell>
          <cell r="G450">
            <v>5.5000000000000007E-2</v>
          </cell>
          <cell r="H450">
            <v>5.5000000000000007E-2</v>
          </cell>
          <cell r="I450">
            <v>5.5000000000000007E-2</v>
          </cell>
          <cell r="J450">
            <v>5.5000000000000007E-2</v>
          </cell>
          <cell r="K450">
            <v>5.5000000000000007E-2</v>
          </cell>
          <cell r="L450">
            <v>5.5000000000000007E-2</v>
          </cell>
          <cell r="M450">
            <v>5.5000000000000007E-2</v>
          </cell>
          <cell r="N450">
            <v>5.5000000000000007E-2</v>
          </cell>
          <cell r="O450">
            <v>5.5000000000000007E-2</v>
          </cell>
          <cell r="P450">
            <v>5.5000000000000007E-2</v>
          </cell>
          <cell r="Q450">
            <v>5.5000000000000007E-2</v>
          </cell>
          <cell r="R450">
            <v>5.5000000000000007E-2</v>
          </cell>
          <cell r="S450">
            <v>5.5000000000000007E-2</v>
          </cell>
          <cell r="T450">
            <v>5.5000000000000007E-2</v>
          </cell>
          <cell r="U450">
            <v>5.5000000000000007E-2</v>
          </cell>
          <cell r="V450">
            <v>5.5000000000000007E-2</v>
          </cell>
          <cell r="W450">
            <v>5.5000000000000007E-2</v>
          </cell>
          <cell r="X450">
            <v>5.5000000000000007E-2</v>
          </cell>
          <cell r="Y450">
            <v>5.5000000000000007E-2</v>
          </cell>
          <cell r="Z450">
            <v>5.5000000000000007E-2</v>
          </cell>
          <cell r="AA450">
            <v>5.5000000000000007E-2</v>
          </cell>
          <cell r="AB450">
            <v>5.5000000000000007E-2</v>
          </cell>
          <cell r="AC450">
            <v>5.5000000000000007E-2</v>
          </cell>
          <cell r="AD450">
            <v>5.5000000000000007E-2</v>
          </cell>
          <cell r="AE450">
            <v>5.5000000000000007E-2</v>
          </cell>
          <cell r="AF450">
            <v>5.5000000000000007E-2</v>
          </cell>
          <cell r="AG450">
            <v>5.5000000000000007E-2</v>
          </cell>
          <cell r="AH450">
            <v>5.5000000000000007E-2</v>
          </cell>
        </row>
        <row r="451">
          <cell r="B451" t="str">
            <v>General - Weighted average cost of capital (WACC) - Asia - %</v>
          </cell>
          <cell r="G451">
            <v>5.5000000000000007E-2</v>
          </cell>
          <cell r="H451">
            <v>5.5000000000000007E-2</v>
          </cell>
          <cell r="I451">
            <v>5.5000000000000007E-2</v>
          </cell>
          <cell r="J451">
            <v>5.5000000000000007E-2</v>
          </cell>
          <cell r="K451">
            <v>5.5000000000000007E-2</v>
          </cell>
          <cell r="L451">
            <v>5.5000000000000007E-2</v>
          </cell>
          <cell r="M451">
            <v>5.5000000000000007E-2</v>
          </cell>
          <cell r="N451">
            <v>5.5000000000000007E-2</v>
          </cell>
          <cell r="O451">
            <v>5.5000000000000007E-2</v>
          </cell>
          <cell r="P451">
            <v>5.5000000000000007E-2</v>
          </cell>
          <cell r="Q451">
            <v>5.5000000000000007E-2</v>
          </cell>
          <cell r="R451">
            <v>5.5000000000000007E-2</v>
          </cell>
          <cell r="S451">
            <v>5.5000000000000007E-2</v>
          </cell>
          <cell r="T451">
            <v>5.5000000000000007E-2</v>
          </cell>
          <cell r="U451">
            <v>5.5000000000000007E-2</v>
          </cell>
          <cell r="V451">
            <v>5.5000000000000007E-2</v>
          </cell>
          <cell r="W451">
            <v>5.5000000000000007E-2</v>
          </cell>
          <cell r="X451">
            <v>5.5000000000000007E-2</v>
          </cell>
          <cell r="Y451">
            <v>5.5000000000000007E-2</v>
          </cell>
          <cell r="Z451">
            <v>5.5000000000000007E-2</v>
          </cell>
          <cell r="AA451">
            <v>5.5000000000000007E-2</v>
          </cell>
          <cell r="AB451">
            <v>5.5000000000000007E-2</v>
          </cell>
          <cell r="AC451">
            <v>5.5000000000000007E-2</v>
          </cell>
          <cell r="AD451">
            <v>5.5000000000000007E-2</v>
          </cell>
          <cell r="AE451">
            <v>5.5000000000000007E-2</v>
          </cell>
          <cell r="AF451">
            <v>5.5000000000000007E-2</v>
          </cell>
          <cell r="AG451">
            <v>5.5000000000000007E-2</v>
          </cell>
          <cell r="AH451">
            <v>5.5000000000000007E-2</v>
          </cell>
        </row>
        <row r="452">
          <cell r="B452" t="str">
            <v>General - Weighted average cost of capital (WACC) - Europe - %</v>
          </cell>
          <cell r="G452">
            <v>5.5000000000000007E-2</v>
          </cell>
          <cell r="H452">
            <v>5.5000000000000007E-2</v>
          </cell>
          <cell r="I452">
            <v>5.5000000000000007E-2</v>
          </cell>
          <cell r="J452">
            <v>5.5000000000000007E-2</v>
          </cell>
          <cell r="K452">
            <v>5.5000000000000007E-2</v>
          </cell>
          <cell r="L452">
            <v>5.5000000000000007E-2</v>
          </cell>
          <cell r="M452">
            <v>5.5000000000000007E-2</v>
          </cell>
          <cell r="N452">
            <v>5.5000000000000007E-2</v>
          </cell>
          <cell r="O452">
            <v>5.5000000000000007E-2</v>
          </cell>
          <cell r="P452">
            <v>5.5000000000000007E-2</v>
          </cell>
          <cell r="Q452">
            <v>5.5000000000000007E-2</v>
          </cell>
          <cell r="R452">
            <v>5.5000000000000007E-2</v>
          </cell>
          <cell r="S452">
            <v>5.5000000000000007E-2</v>
          </cell>
          <cell r="T452">
            <v>5.5000000000000007E-2</v>
          </cell>
          <cell r="U452">
            <v>5.5000000000000007E-2</v>
          </cell>
          <cell r="V452">
            <v>5.5000000000000007E-2</v>
          </cell>
          <cell r="W452">
            <v>5.5000000000000007E-2</v>
          </cell>
          <cell r="X452">
            <v>5.5000000000000007E-2</v>
          </cell>
          <cell r="Y452">
            <v>5.5000000000000007E-2</v>
          </cell>
          <cell r="Z452">
            <v>5.5000000000000007E-2</v>
          </cell>
          <cell r="AA452">
            <v>5.5000000000000007E-2</v>
          </cell>
          <cell r="AB452">
            <v>5.5000000000000007E-2</v>
          </cell>
          <cell r="AC452">
            <v>5.5000000000000007E-2</v>
          </cell>
          <cell r="AD452">
            <v>5.5000000000000007E-2</v>
          </cell>
          <cell r="AE452">
            <v>5.5000000000000007E-2</v>
          </cell>
          <cell r="AF452">
            <v>5.5000000000000007E-2</v>
          </cell>
          <cell r="AG452">
            <v>5.5000000000000007E-2</v>
          </cell>
          <cell r="AH452">
            <v>5.5000000000000007E-2</v>
          </cell>
        </row>
        <row r="453">
          <cell r="B453" t="str">
            <v>General - Weighted average cost of capital (WACC) - Middle East - %</v>
          </cell>
          <cell r="G453">
            <v>5.5000000000000007E-2</v>
          </cell>
          <cell r="H453">
            <v>5.5000000000000007E-2</v>
          </cell>
          <cell r="I453">
            <v>5.5000000000000007E-2</v>
          </cell>
          <cell r="J453">
            <v>5.5000000000000007E-2</v>
          </cell>
          <cell r="K453">
            <v>5.5000000000000007E-2</v>
          </cell>
          <cell r="L453">
            <v>5.5000000000000007E-2</v>
          </cell>
          <cell r="M453">
            <v>5.5000000000000007E-2</v>
          </cell>
          <cell r="N453">
            <v>5.5000000000000007E-2</v>
          </cell>
          <cell r="O453">
            <v>5.5000000000000007E-2</v>
          </cell>
          <cell r="P453">
            <v>5.5000000000000007E-2</v>
          </cell>
          <cell r="Q453">
            <v>5.5000000000000007E-2</v>
          </cell>
          <cell r="R453">
            <v>5.5000000000000007E-2</v>
          </cell>
          <cell r="S453">
            <v>5.5000000000000007E-2</v>
          </cell>
          <cell r="T453">
            <v>5.5000000000000007E-2</v>
          </cell>
          <cell r="U453">
            <v>5.5000000000000007E-2</v>
          </cell>
          <cell r="V453">
            <v>5.5000000000000007E-2</v>
          </cell>
          <cell r="W453">
            <v>5.5000000000000007E-2</v>
          </cell>
          <cell r="X453">
            <v>5.5000000000000007E-2</v>
          </cell>
          <cell r="Y453">
            <v>5.5000000000000007E-2</v>
          </cell>
          <cell r="Z453">
            <v>5.5000000000000007E-2</v>
          </cell>
          <cell r="AA453">
            <v>5.5000000000000007E-2</v>
          </cell>
          <cell r="AB453">
            <v>5.5000000000000007E-2</v>
          </cell>
          <cell r="AC453">
            <v>5.5000000000000007E-2</v>
          </cell>
          <cell r="AD453">
            <v>5.5000000000000007E-2</v>
          </cell>
          <cell r="AE453">
            <v>5.5000000000000007E-2</v>
          </cell>
          <cell r="AF453">
            <v>5.5000000000000007E-2</v>
          </cell>
          <cell r="AG453">
            <v>5.5000000000000007E-2</v>
          </cell>
          <cell r="AH453">
            <v>5.5000000000000007E-2</v>
          </cell>
        </row>
        <row r="454">
          <cell r="B454" t="str">
            <v>e-methanol - Total CAPEX - Global - USD/ton fuel</v>
          </cell>
          <cell r="G454">
            <v>2980</v>
          </cell>
          <cell r="H454">
            <v>2840</v>
          </cell>
          <cell r="I454">
            <v>2700</v>
          </cell>
          <cell r="J454">
            <v>2560</v>
          </cell>
          <cell r="K454">
            <v>2420</v>
          </cell>
          <cell r="L454">
            <v>2280</v>
          </cell>
          <cell r="M454">
            <v>2140</v>
          </cell>
          <cell r="N454">
            <v>2000</v>
          </cell>
          <cell r="O454">
            <v>1955</v>
          </cell>
          <cell r="P454">
            <v>1910</v>
          </cell>
          <cell r="Q454">
            <v>1865</v>
          </cell>
          <cell r="R454">
            <v>1820</v>
          </cell>
          <cell r="S454">
            <v>1775</v>
          </cell>
          <cell r="T454">
            <v>1730</v>
          </cell>
          <cell r="U454">
            <v>1685</v>
          </cell>
          <cell r="V454">
            <v>1640</v>
          </cell>
          <cell r="W454">
            <v>1595</v>
          </cell>
          <cell r="X454">
            <v>1550</v>
          </cell>
          <cell r="Y454">
            <v>1490</v>
          </cell>
          <cell r="Z454">
            <v>1430</v>
          </cell>
          <cell r="AA454">
            <v>1370</v>
          </cell>
          <cell r="AB454">
            <v>1310</v>
          </cell>
          <cell r="AC454">
            <v>1250</v>
          </cell>
          <cell r="AD454">
            <v>1190</v>
          </cell>
          <cell r="AE454">
            <v>1130</v>
          </cell>
          <cell r="AF454">
            <v>1070</v>
          </cell>
          <cell r="AG454">
            <v>1010</v>
          </cell>
          <cell r="AH454">
            <v>950</v>
          </cell>
        </row>
        <row r="455">
          <cell r="B455" t="str">
            <v/>
          </cell>
        </row>
        <row r="456">
          <cell r="B456" t="str">
            <v>e-methanol (DAC) - Energy cost - Africa - USD/ton fuel</v>
          </cell>
          <cell r="G456">
            <v>99.26267178187409</v>
          </cell>
          <cell r="H456">
            <v>87.606603617621289</v>
          </cell>
          <cell r="I456">
            <v>75.950535453365404</v>
          </cell>
          <cell r="J456">
            <v>72.701221964566045</v>
          </cell>
          <cell r="K456">
            <v>69.451908475766686</v>
          </cell>
          <cell r="L456">
            <v>66.202594986967327</v>
          </cell>
          <cell r="M456">
            <v>62.953281498167186</v>
          </cell>
          <cell r="N456">
            <v>59.703968009367827</v>
          </cell>
          <cell r="O456">
            <v>57.890197067325836</v>
          </cell>
          <cell r="P456">
            <v>56.076426125283838</v>
          </cell>
          <cell r="Q456">
            <v>54.262655183241073</v>
          </cell>
          <cell r="R456">
            <v>52.448884241199082</v>
          </cell>
          <cell r="S456">
            <v>50.635113299157283</v>
          </cell>
          <cell r="T456">
            <v>49.781401120835163</v>
          </cell>
          <cell r="U456">
            <v>48.927688942513235</v>
          </cell>
          <cell r="V456">
            <v>48.073976764191116</v>
          </cell>
          <cell r="W456">
            <v>47.220264585868996</v>
          </cell>
          <cell r="X456">
            <v>46.36655240754726</v>
          </cell>
          <cell r="Y456">
            <v>45.488704803888616</v>
          </cell>
          <cell r="Z456">
            <v>44.610857200229972</v>
          </cell>
          <cell r="AA456">
            <v>43.733009596570945</v>
          </cell>
          <cell r="AB456">
            <v>42.855161992912301</v>
          </cell>
          <cell r="AC456">
            <v>41.977314389253465</v>
          </cell>
          <cell r="AD456">
            <v>41.546443275330866</v>
          </cell>
          <cell r="AE456">
            <v>41.115572161408451</v>
          </cell>
          <cell r="AF456">
            <v>40.684701047485852</v>
          </cell>
          <cell r="AG456">
            <v>40.253829933563246</v>
          </cell>
          <cell r="AH456">
            <v>39.822958819640839</v>
          </cell>
        </row>
        <row r="457">
          <cell r="B457" t="str">
            <v>e-methanol (DAC) - Energy cost - Americas - USD/ton fuel</v>
          </cell>
          <cell r="G457">
            <v>62.36821371760395</v>
          </cell>
          <cell r="H457">
            <v>61.07665505835346</v>
          </cell>
          <cell r="I457">
            <v>59.785096399102578</v>
          </cell>
          <cell r="J457">
            <v>57.601855099917429</v>
          </cell>
          <cell r="K457">
            <v>55.418613800732281</v>
          </cell>
          <cell r="L457">
            <v>53.235372501547133</v>
          </cell>
          <cell r="M457">
            <v>51.052131202362759</v>
          </cell>
          <cell r="N457">
            <v>48.86888990317761</v>
          </cell>
          <cell r="O457">
            <v>47.818261773230411</v>
          </cell>
          <cell r="P457">
            <v>46.767633643283212</v>
          </cell>
          <cell r="Q457">
            <v>45.717005513336012</v>
          </cell>
          <cell r="R457">
            <v>44.666377383388813</v>
          </cell>
          <cell r="S457">
            <v>43.615749253441422</v>
          </cell>
          <cell r="T457">
            <v>42.764084248216705</v>
          </cell>
          <cell r="U457">
            <v>41.91241924299198</v>
          </cell>
          <cell r="V457">
            <v>41.060754237767071</v>
          </cell>
          <cell r="W457">
            <v>40.209089232542347</v>
          </cell>
          <cell r="X457">
            <v>39.35742422731753</v>
          </cell>
          <cell r="Y457">
            <v>39.014315503295393</v>
          </cell>
          <cell r="Z457">
            <v>38.671206779273248</v>
          </cell>
          <cell r="AA457">
            <v>38.328098055251203</v>
          </cell>
          <cell r="AB457">
            <v>37.984989331229066</v>
          </cell>
          <cell r="AC457">
            <v>37.641880607206922</v>
          </cell>
          <cell r="AD457">
            <v>37.383029360348445</v>
          </cell>
          <cell r="AE457">
            <v>37.124178113490061</v>
          </cell>
          <cell r="AF457">
            <v>36.865326866631683</v>
          </cell>
          <cell r="AG457">
            <v>36.606475619773299</v>
          </cell>
          <cell r="AH457">
            <v>36.347624372914915</v>
          </cell>
        </row>
        <row r="458">
          <cell r="B458" t="str">
            <v>e-methanol (DAC) - Energy cost - Asia - USD/ton fuel</v>
          </cell>
          <cell r="G458">
            <v>110.40072423267556</v>
          </cell>
          <cell r="H458">
            <v>100.69934349262111</v>
          </cell>
          <cell r="I458">
            <v>90.997962752571311</v>
          </cell>
          <cell r="J458">
            <v>87.518158038180076</v>
          </cell>
          <cell r="K458">
            <v>84.038353323790389</v>
          </cell>
          <cell r="L458">
            <v>80.558548609399168</v>
          </cell>
          <cell r="M458">
            <v>77.078743895007932</v>
          </cell>
          <cell r="N458">
            <v>73.598939180618245</v>
          </cell>
          <cell r="O458">
            <v>71.233753712729865</v>
          </cell>
          <cell r="P458">
            <v>68.868568244842251</v>
          </cell>
          <cell r="Q458">
            <v>66.503382776955405</v>
          </cell>
          <cell r="R458">
            <v>64.138197309067792</v>
          </cell>
          <cell r="S458">
            <v>61.773011841180185</v>
          </cell>
          <cell r="T458">
            <v>60.570494246133691</v>
          </cell>
          <cell r="U458">
            <v>59.367976651087197</v>
          </cell>
          <cell r="V458">
            <v>58.165459056041094</v>
          </cell>
          <cell r="W458">
            <v>56.9629414609946</v>
          </cell>
          <cell r="X458">
            <v>55.76042386594888</v>
          </cell>
          <cell r="Y458">
            <v>54.501714899965805</v>
          </cell>
          <cell r="Z458">
            <v>53.243005933983113</v>
          </cell>
          <cell r="AA458">
            <v>51.984296968000031</v>
          </cell>
          <cell r="AB458">
            <v>50.725588002017339</v>
          </cell>
          <cell r="AC458">
            <v>49.466879036034264</v>
          </cell>
          <cell r="AD458">
            <v>48.889651788084429</v>
          </cell>
          <cell r="AE458">
            <v>48.312424540134394</v>
          </cell>
          <cell r="AF458">
            <v>47.735197292184559</v>
          </cell>
          <cell r="AG458">
            <v>47.157970044234716</v>
          </cell>
          <cell r="AH458">
            <v>46.580742796284689</v>
          </cell>
        </row>
        <row r="459">
          <cell r="B459" t="str">
            <v>e-methanol (DAC) - Energy cost - Europe - USD/ton fuel</v>
          </cell>
          <cell r="G459">
            <v>82.187359108187323</v>
          </cell>
          <cell r="H459">
            <v>78.645118468410502</v>
          </cell>
          <cell r="I459">
            <v>75.102877828633694</v>
          </cell>
          <cell r="J459">
            <v>72.240725986131565</v>
          </cell>
          <cell r="K459">
            <v>69.378574143628654</v>
          </cell>
          <cell r="L459">
            <v>66.516422301126525</v>
          </cell>
          <cell r="M459">
            <v>63.654270458623614</v>
          </cell>
          <cell r="N459">
            <v>60.792118616121478</v>
          </cell>
          <cell r="O459">
            <v>59.602895117744033</v>
          </cell>
          <cell r="P459">
            <v>58.413671619367754</v>
          </cell>
          <cell r="Q459">
            <v>57.224448120991084</v>
          </cell>
          <cell r="R459">
            <v>56.035224622614415</v>
          </cell>
          <cell r="S459">
            <v>54.846001124238136</v>
          </cell>
          <cell r="T459">
            <v>54.135974250548429</v>
          </cell>
          <cell r="U459">
            <v>53.425947376858915</v>
          </cell>
          <cell r="V459">
            <v>52.7159205031694</v>
          </cell>
          <cell r="W459">
            <v>52.005893629479885</v>
          </cell>
          <cell r="X459">
            <v>51.29586675578998</v>
          </cell>
          <cell r="Y459">
            <v>50.536266188772764</v>
          </cell>
          <cell r="Z459">
            <v>49.776665621755349</v>
          </cell>
          <cell r="AA459">
            <v>49.017065054738133</v>
          </cell>
          <cell r="AB459">
            <v>48.257464487720718</v>
          </cell>
          <cell r="AC459">
            <v>47.497863920703502</v>
          </cell>
          <cell r="AD459">
            <v>46.943643703584165</v>
          </cell>
          <cell r="AE459">
            <v>46.389423486464636</v>
          </cell>
          <cell r="AF459">
            <v>45.8352032693453</v>
          </cell>
          <cell r="AG459">
            <v>45.280983052225963</v>
          </cell>
          <cell r="AH459">
            <v>44.726762835106435</v>
          </cell>
        </row>
        <row r="460">
          <cell r="B460" t="str">
            <v>e-methanol (DAC) - Energy cost - Middle East - USD/ton fuel</v>
          </cell>
          <cell r="G460">
            <v>62.93453834437873</v>
          </cell>
          <cell r="H460">
            <v>60.157394930737972</v>
          </cell>
          <cell r="I460">
            <v>57.38025151709644</v>
          </cell>
          <cell r="J460">
            <v>55.541528116218657</v>
          </cell>
          <cell r="K460">
            <v>53.702804715340882</v>
          </cell>
          <cell r="L460">
            <v>51.8640813144631</v>
          </cell>
          <cell r="M460">
            <v>50.025357913585317</v>
          </cell>
          <cell r="N460">
            <v>48.186634512707542</v>
          </cell>
          <cell r="O460">
            <v>46.890122628117588</v>
          </cell>
          <cell r="P460">
            <v>45.593610743528025</v>
          </cell>
          <cell r="Q460">
            <v>44.297098858938078</v>
          </cell>
          <cell r="R460">
            <v>43.000586974348515</v>
          </cell>
          <cell r="S460">
            <v>41.704075089758952</v>
          </cell>
          <cell r="T460">
            <v>41.054017663680554</v>
          </cell>
          <cell r="U460">
            <v>40.403960237602156</v>
          </cell>
          <cell r="V460">
            <v>39.75390281152395</v>
          </cell>
          <cell r="W460">
            <v>39.103845385445545</v>
          </cell>
          <cell r="X460">
            <v>38.453787959367148</v>
          </cell>
          <cell r="Y460">
            <v>37.601305213839112</v>
          </cell>
          <cell r="Z460">
            <v>36.748822468311268</v>
          </cell>
          <cell r="AA460">
            <v>35.896339722783225</v>
          </cell>
          <cell r="AB460">
            <v>35.043856977255381</v>
          </cell>
          <cell r="AC460">
            <v>34.191374231727245</v>
          </cell>
          <cell r="AD460">
            <v>33.792385564257692</v>
          </cell>
          <cell r="AE460">
            <v>33.393396896788239</v>
          </cell>
          <cell r="AF460">
            <v>32.994408229318687</v>
          </cell>
          <cell r="AG460">
            <v>32.595419561849134</v>
          </cell>
          <cell r="AH460">
            <v>32.196430894379674</v>
          </cell>
        </row>
        <row r="461">
          <cell r="B461" t="str">
            <v>Renewable electricity - Cost of electricity - Africa - USD/MWh</v>
          </cell>
          <cell r="G461">
            <v>58.389806930514169</v>
          </cell>
          <cell r="H461">
            <v>51.533296245659585</v>
          </cell>
          <cell r="I461">
            <v>44.676785560803182</v>
          </cell>
          <cell r="J461">
            <v>42.765424685038852</v>
          </cell>
          <cell r="K461">
            <v>40.854063809274521</v>
          </cell>
          <cell r="L461">
            <v>38.942702933510191</v>
          </cell>
          <cell r="M461">
            <v>37.031342057745405</v>
          </cell>
          <cell r="N461">
            <v>35.119981181981075</v>
          </cell>
          <cell r="O461">
            <v>34.053057098426962</v>
          </cell>
          <cell r="P461">
            <v>32.986133014872848</v>
          </cell>
          <cell r="Q461">
            <v>31.919208931318281</v>
          </cell>
          <cell r="R461">
            <v>30.852284847764167</v>
          </cell>
          <cell r="S461">
            <v>29.785360764210168</v>
          </cell>
          <cell r="T461">
            <v>29.283177129903038</v>
          </cell>
          <cell r="U461">
            <v>28.780993495596022</v>
          </cell>
          <cell r="V461">
            <v>28.278809861288892</v>
          </cell>
          <cell r="W461">
            <v>27.776626226981762</v>
          </cell>
          <cell r="X461">
            <v>27.274442592674859</v>
          </cell>
          <cell r="Y461">
            <v>26.758061649346246</v>
          </cell>
          <cell r="Z461">
            <v>26.241680706017632</v>
          </cell>
          <cell r="AA461">
            <v>25.725299762688792</v>
          </cell>
          <cell r="AB461">
            <v>25.208918819360179</v>
          </cell>
          <cell r="AC461">
            <v>24.692537876031452</v>
          </cell>
          <cell r="AD461">
            <v>24.439084279606391</v>
          </cell>
          <cell r="AE461">
            <v>24.185630683181444</v>
          </cell>
          <cell r="AF461">
            <v>23.932177086756383</v>
          </cell>
          <cell r="AG461">
            <v>23.678723490331322</v>
          </cell>
          <cell r="AH461">
            <v>23.425269893906375</v>
          </cell>
        </row>
        <row r="462">
          <cell r="B462" t="str">
            <v>Renewable electricity - Cost of electricity - Americas - USD/MWh</v>
          </cell>
          <cell r="G462">
            <v>36.687184539767031</v>
          </cell>
          <cell r="H462">
            <v>35.927444151972622</v>
          </cell>
          <cell r="I462">
            <v>35.167703764177986</v>
          </cell>
          <cell r="J462">
            <v>33.883444176422017</v>
          </cell>
          <cell r="K462">
            <v>32.599184588666049</v>
          </cell>
          <cell r="L462">
            <v>31.31492500091008</v>
          </cell>
          <cell r="M462">
            <v>30.030665413154566</v>
          </cell>
          <cell r="N462">
            <v>28.746405825398597</v>
          </cell>
          <cell r="O462">
            <v>28.128389278370832</v>
          </cell>
          <cell r="P462">
            <v>27.510372731343068</v>
          </cell>
          <cell r="Q462">
            <v>26.892356184315304</v>
          </cell>
          <cell r="R462">
            <v>26.27433963728754</v>
          </cell>
          <cell r="S462">
            <v>25.656323090259662</v>
          </cell>
          <cell r="T462">
            <v>25.155343675421591</v>
          </cell>
          <cell r="U462">
            <v>24.65436426058352</v>
          </cell>
          <cell r="V462">
            <v>24.153384845745336</v>
          </cell>
          <cell r="W462">
            <v>23.652405430907265</v>
          </cell>
          <cell r="X462">
            <v>23.151426016069138</v>
          </cell>
          <cell r="Y462">
            <v>22.949597354879643</v>
          </cell>
          <cell r="Z462">
            <v>22.747768693690148</v>
          </cell>
          <cell r="AA462">
            <v>22.54594003250071</v>
          </cell>
          <cell r="AB462">
            <v>22.344111371311214</v>
          </cell>
          <cell r="AC462">
            <v>22.142282710121719</v>
          </cell>
          <cell r="AD462">
            <v>21.990017270793203</v>
          </cell>
          <cell r="AE462">
            <v>21.837751831464743</v>
          </cell>
          <cell r="AF462">
            <v>21.685486392136283</v>
          </cell>
          <cell r="AG462">
            <v>21.533220952807824</v>
          </cell>
          <cell r="AH462">
            <v>21.380955513479364</v>
          </cell>
        </row>
        <row r="463">
          <cell r="B463" t="str">
            <v>Renewable electricity - Cost of electricity - Asia - USD/MWh</v>
          </cell>
          <cell r="G463">
            <v>64.941602489809156</v>
          </cell>
          <cell r="H463">
            <v>59.234907936835953</v>
          </cell>
          <cell r="I463">
            <v>53.528213383865477</v>
          </cell>
          <cell r="J463">
            <v>51.481269434223577</v>
          </cell>
          <cell r="K463">
            <v>49.434325484582587</v>
          </cell>
          <cell r="L463">
            <v>47.387381534940687</v>
          </cell>
          <cell r="M463">
            <v>45.340437585298787</v>
          </cell>
          <cell r="N463">
            <v>43.293493635657796</v>
          </cell>
          <cell r="O463">
            <v>41.902208066311687</v>
          </cell>
          <cell r="P463">
            <v>40.510922496966032</v>
          </cell>
          <cell r="Q463">
            <v>39.119636927620832</v>
          </cell>
          <cell r="R463">
            <v>37.728351358275177</v>
          </cell>
          <cell r="S463">
            <v>36.337065788929522</v>
          </cell>
          <cell r="T463">
            <v>35.629702497725702</v>
          </cell>
          <cell r="U463">
            <v>34.922339206521883</v>
          </cell>
          <cell r="V463">
            <v>34.214975915318291</v>
          </cell>
          <cell r="W463">
            <v>33.507612624114472</v>
          </cell>
          <cell r="X463">
            <v>32.800249332911108</v>
          </cell>
          <cell r="Y463">
            <v>32.059832294097532</v>
          </cell>
          <cell r="Z463">
            <v>31.319415255284184</v>
          </cell>
          <cell r="AA463">
            <v>30.578998216470609</v>
          </cell>
          <cell r="AB463">
            <v>29.838581177657261</v>
          </cell>
          <cell r="AC463">
            <v>29.098164138843686</v>
          </cell>
          <cell r="AD463">
            <v>28.758618698873192</v>
          </cell>
          <cell r="AE463">
            <v>28.419073258902586</v>
          </cell>
          <cell r="AF463">
            <v>28.079527818932092</v>
          </cell>
          <cell r="AG463">
            <v>27.739982378961599</v>
          </cell>
          <cell r="AH463">
            <v>27.400436938990993</v>
          </cell>
        </row>
        <row r="464">
          <cell r="B464" t="str">
            <v>Renewable electricity - Cost of electricity - Europe - USD/MWh</v>
          </cell>
          <cell r="G464">
            <v>48.345505357757247</v>
          </cell>
          <cell r="H464">
            <v>46.261834393182653</v>
          </cell>
          <cell r="I464">
            <v>44.178163428608059</v>
          </cell>
          <cell r="J464">
            <v>42.49454469772445</v>
          </cell>
          <cell r="K464">
            <v>40.810925966840387</v>
          </cell>
          <cell r="L464">
            <v>39.127307235956778</v>
          </cell>
          <cell r="M464">
            <v>37.443688505072714</v>
          </cell>
          <cell r="N464">
            <v>35.760069774189105</v>
          </cell>
          <cell r="O464">
            <v>35.060526539849434</v>
          </cell>
          <cell r="P464">
            <v>34.360983305510445</v>
          </cell>
          <cell r="Q464">
            <v>33.661440071171228</v>
          </cell>
          <cell r="R464">
            <v>32.961896836832011</v>
          </cell>
          <cell r="S464">
            <v>32.262353602493022</v>
          </cell>
          <cell r="T464">
            <v>31.844690735616723</v>
          </cell>
          <cell r="U464">
            <v>31.427027868740538</v>
          </cell>
          <cell r="V464">
            <v>31.009365001864353</v>
          </cell>
          <cell r="W464">
            <v>30.591702134988168</v>
          </cell>
          <cell r="X464">
            <v>30.174039268111756</v>
          </cell>
          <cell r="Y464">
            <v>29.72721540516045</v>
          </cell>
          <cell r="Z464">
            <v>29.280391542209031</v>
          </cell>
          <cell r="AA464">
            <v>28.833567679257726</v>
          </cell>
          <cell r="AB464">
            <v>28.386743816306307</v>
          </cell>
          <cell r="AC464">
            <v>27.939919953355002</v>
          </cell>
          <cell r="AD464">
            <v>27.613908060931863</v>
          </cell>
          <cell r="AE464">
            <v>27.28789616850861</v>
          </cell>
          <cell r="AF464">
            <v>26.96188427608547</v>
          </cell>
          <cell r="AG464">
            <v>26.635872383662331</v>
          </cell>
          <cell r="AH464">
            <v>26.309860491239078</v>
          </cell>
        </row>
        <row r="465">
          <cell r="B465" t="str">
            <v>Renewable electricity - Cost of electricity - Middle East - USD/MWh</v>
          </cell>
          <cell r="G465">
            <v>37.020316673163961</v>
          </cell>
          <cell r="H465">
            <v>35.386702900434102</v>
          </cell>
          <cell r="I465">
            <v>33.753089127703788</v>
          </cell>
          <cell r="J465">
            <v>32.671487127187447</v>
          </cell>
          <cell r="K465">
            <v>31.589885126671106</v>
          </cell>
          <cell r="L465">
            <v>30.508283126154765</v>
          </cell>
          <cell r="M465">
            <v>29.426681125638424</v>
          </cell>
          <cell r="N465">
            <v>28.345079125122083</v>
          </cell>
          <cell r="O465">
            <v>27.58242507536329</v>
          </cell>
          <cell r="P465">
            <v>26.819771025604723</v>
          </cell>
          <cell r="Q465">
            <v>26.057116975845929</v>
          </cell>
          <cell r="R465">
            <v>25.294462926087363</v>
          </cell>
          <cell r="S465">
            <v>24.531808876328796</v>
          </cell>
          <cell r="T465">
            <v>24.149422155106208</v>
          </cell>
          <cell r="U465">
            <v>23.76703543388362</v>
          </cell>
          <cell r="V465">
            <v>23.384648712661146</v>
          </cell>
          <cell r="W465">
            <v>23.002261991438559</v>
          </cell>
          <cell r="X465">
            <v>22.619875270215971</v>
          </cell>
          <cell r="Y465">
            <v>22.118414831670066</v>
          </cell>
          <cell r="Z465">
            <v>21.616954393124274</v>
          </cell>
          <cell r="AA465">
            <v>21.115493954578369</v>
          </cell>
          <cell r="AB465">
            <v>20.614033516032578</v>
          </cell>
          <cell r="AC465">
            <v>20.112573077486616</v>
          </cell>
          <cell r="AD465">
            <v>19.877873861328055</v>
          </cell>
          <cell r="AE465">
            <v>19.643174645169552</v>
          </cell>
          <cell r="AF465">
            <v>19.408475429010991</v>
          </cell>
          <cell r="AG465">
            <v>19.173776212852431</v>
          </cell>
          <cell r="AH465">
            <v>18.939076996693927</v>
          </cell>
        </row>
        <row r="466">
          <cell r="B466" t="str">
            <v>e-methanol - Energy demand - Global - MWh/ton fuel</v>
          </cell>
          <cell r="G466">
            <v>1.7</v>
          </cell>
          <cell r="H466">
            <v>1.7</v>
          </cell>
          <cell r="I466">
            <v>1.7</v>
          </cell>
          <cell r="J466">
            <v>1.7</v>
          </cell>
          <cell r="K466">
            <v>1.7</v>
          </cell>
          <cell r="L466">
            <v>1.7</v>
          </cell>
          <cell r="M466">
            <v>1.7</v>
          </cell>
          <cell r="N466">
            <v>1.7</v>
          </cell>
          <cell r="O466">
            <v>1.7</v>
          </cell>
          <cell r="P466">
            <v>1.7</v>
          </cell>
          <cell r="Q466">
            <v>1.7</v>
          </cell>
          <cell r="R466">
            <v>1.7</v>
          </cell>
          <cell r="S466">
            <v>1.7</v>
          </cell>
          <cell r="T466">
            <v>1.7</v>
          </cell>
          <cell r="U466">
            <v>1.7</v>
          </cell>
          <cell r="V466">
            <v>1.7</v>
          </cell>
          <cell r="W466">
            <v>1.7</v>
          </cell>
          <cell r="X466">
            <v>1.7</v>
          </cell>
          <cell r="Y466">
            <v>1.7</v>
          </cell>
          <cell r="Z466">
            <v>1.7</v>
          </cell>
          <cell r="AA466">
            <v>1.7</v>
          </cell>
          <cell r="AB466">
            <v>1.7</v>
          </cell>
          <cell r="AC466">
            <v>1.7</v>
          </cell>
          <cell r="AD466">
            <v>1.7</v>
          </cell>
          <cell r="AE466">
            <v>1.7</v>
          </cell>
          <cell r="AF466">
            <v>1.7</v>
          </cell>
          <cell r="AG466">
            <v>1.7</v>
          </cell>
          <cell r="AH466">
            <v>1.7</v>
          </cell>
        </row>
        <row r="467">
          <cell r="B467" t="str">
            <v/>
          </cell>
        </row>
        <row r="468">
          <cell r="B468" t="str">
            <v>e-methanol (DAC) - Feedstock cost - Africa - USD/ton fuel</v>
          </cell>
          <cell r="G468">
            <v>1281.9243261062122</v>
          </cell>
          <cell r="H468">
            <v>1163.9178486319247</v>
          </cell>
          <cell r="I468">
            <v>1046.224818678483</v>
          </cell>
          <cell r="J468">
            <v>1004.4958851064597</v>
          </cell>
          <cell r="K468">
            <v>962.05100652586248</v>
          </cell>
          <cell r="L468">
            <v>918.90958418566538</v>
          </cell>
          <cell r="M468">
            <v>875.09101933485817</v>
          </cell>
          <cell r="N468">
            <v>830.61471322240573</v>
          </cell>
          <cell r="O468">
            <v>809.59362240707981</v>
          </cell>
          <cell r="P468">
            <v>787.29248462753333</v>
          </cell>
          <cell r="Q468">
            <v>763.72174989541168</v>
          </cell>
          <cell r="R468">
            <v>738.89186822237741</v>
          </cell>
          <cell r="S468">
            <v>712.81328962010002</v>
          </cell>
          <cell r="T468">
            <v>694.4419546004824</v>
          </cell>
          <cell r="U468">
            <v>675.16985545288867</v>
          </cell>
          <cell r="V468">
            <v>655.00040205584492</v>
          </cell>
          <cell r="W468">
            <v>633.93700428783472</v>
          </cell>
          <cell r="X468">
            <v>611.98307202737544</v>
          </cell>
          <cell r="Y468">
            <v>590.19960589927075</v>
          </cell>
          <cell r="Z468">
            <v>568.03181401584118</v>
          </cell>
          <cell r="AA468">
            <v>545.47770237205941</v>
          </cell>
          <cell r="AB468">
            <v>522.53527696287915</v>
          </cell>
          <cell r="AC468">
            <v>499.2025437832641</v>
          </cell>
          <cell r="AD468">
            <v>480.95149222187786</v>
          </cell>
          <cell r="AE468">
            <v>462.51461504310555</v>
          </cell>
          <cell r="AF468">
            <v>443.89065573213645</v>
          </cell>
          <cell r="AG468">
            <v>425.07835777416653</v>
          </cell>
          <cell r="AH468">
            <v>406.07646465439268</v>
          </cell>
        </row>
        <row r="469">
          <cell r="B469" t="str">
            <v>e-methanol (DAC) - Feedstock cost - Americas - USD/ton fuel</v>
          </cell>
          <cell r="G469">
            <v>974.38046291410637</v>
          </cell>
          <cell r="H469">
            <v>943.78737992169351</v>
          </cell>
          <cell r="I469">
            <v>912.73205375251177</v>
          </cell>
          <cell r="J469">
            <v>880.43152830485246</v>
          </cell>
          <cell r="K469">
            <v>847.3547506741088</v>
          </cell>
          <cell r="L469">
            <v>813.51475672406127</v>
          </cell>
          <cell r="M469">
            <v>778.92458231851379</v>
          </cell>
          <cell r="N469">
            <v>743.59726332121272</v>
          </cell>
          <cell r="O469">
            <v>729.3694934048882</v>
          </cell>
          <cell r="P469">
            <v>713.7788635279976</v>
          </cell>
          <cell r="Q469">
            <v>696.83142686734641</v>
          </cell>
          <cell r="R469">
            <v>678.53323659973671</v>
          </cell>
          <cell r="S469">
            <v>658.89034590199185</v>
          </cell>
          <cell r="T469">
            <v>641.05298243927791</v>
          </cell>
          <cell r="U469">
            <v>622.32389255055818</v>
          </cell>
          <cell r="V469">
            <v>602.70647793758485</v>
          </cell>
          <cell r="W469">
            <v>582.20414030207053</v>
          </cell>
          <cell r="X469">
            <v>560.8202813457533</v>
          </cell>
          <cell r="Y469">
            <v>543.54338714582104</v>
          </cell>
          <cell r="Z469">
            <v>525.77801801178521</v>
          </cell>
          <cell r="AA469">
            <v>507.52339458227425</v>
          </cell>
          <cell r="AB469">
            <v>488.77873749588963</v>
          </cell>
          <cell r="AC469">
            <v>469.54326739125315</v>
          </cell>
          <cell r="AD469">
            <v>452.79249657527657</v>
          </cell>
          <cell r="AE469">
            <v>435.82529057472289</v>
          </cell>
          <cell r="AF469">
            <v>418.64089452249885</v>
          </cell>
          <cell r="AG469">
            <v>401.23855355151454</v>
          </cell>
          <cell r="AH469">
            <v>383.61751279468069</v>
          </cell>
        </row>
        <row r="470">
          <cell r="B470" t="str">
            <v>e-methanol (DAC) - Feedstock cost - Asia - USD/ton fuel</v>
          </cell>
          <cell r="G470">
            <v>1374.768613808953</v>
          </cell>
          <cell r="H470">
            <v>1272.5539795669781</v>
          </cell>
          <cell r="I470">
            <v>1170.4851414851087</v>
          </cell>
          <cell r="J470">
            <v>1126.2396416640454</v>
          </cell>
          <cell r="K470">
            <v>1081.2682430336049</v>
          </cell>
          <cell r="L470">
            <v>1035.5917230773364</v>
          </cell>
          <cell r="M470">
            <v>989.23085927885177</v>
          </cell>
          <cell r="N470">
            <v>942.20642912171502</v>
          </cell>
          <cell r="O470">
            <v>915.87659369428638</v>
          </cell>
          <cell r="P470">
            <v>888.31489872119437</v>
          </cell>
          <cell r="Q470">
            <v>859.53497117987399</v>
          </cell>
          <cell r="R470">
            <v>829.55043804774687</v>
          </cell>
          <cell r="S470">
            <v>798.37492630228053</v>
          </cell>
          <cell r="T470">
            <v>776.52725913601307</v>
          </cell>
          <cell r="U470">
            <v>753.81644789602831</v>
          </cell>
          <cell r="V470">
            <v>730.24729565182599</v>
          </cell>
          <cell r="W470">
            <v>705.82460547284563</v>
          </cell>
          <cell r="X470">
            <v>680.55318042857687</v>
          </cell>
          <cell r="Y470">
            <v>655.14981991113063</v>
          </cell>
          <cell r="Z470">
            <v>629.43964542385936</v>
          </cell>
          <cell r="AA470">
            <v>603.41979784633963</v>
          </cell>
          <cell r="AB470">
            <v>577.08741805812951</v>
          </cell>
          <cell r="AC470">
            <v>550.43964693879786</v>
          </cell>
          <cell r="AD470">
            <v>530.61683435819691</v>
          </cell>
          <cell r="AE470">
            <v>510.63793385875641</v>
          </cell>
          <cell r="AF470">
            <v>490.50126211903796</v>
          </cell>
          <cell r="AG470">
            <v>470.2051358176023</v>
          </cell>
          <cell r="AH470">
            <v>449.74787163301045</v>
          </cell>
        </row>
        <row r="471">
          <cell r="B471" t="str">
            <v>e-methanol (DAC) - Feedstock cost - Europe - USD/ton fuel</v>
          </cell>
          <cell r="G471">
            <v>1139.5883791807742</v>
          </cell>
          <cell r="H471">
            <v>1089.5605266858024</v>
          </cell>
          <cell r="I471">
            <v>1039.2249370386348</v>
          </cell>
          <cell r="J471">
            <v>1000.7122074273672</v>
          </cell>
          <cell r="K471">
            <v>961.45163385419869</v>
          </cell>
          <cell r="L471">
            <v>921.46030587380938</v>
          </cell>
          <cell r="M471">
            <v>880.75531304087508</v>
          </cell>
          <cell r="N471">
            <v>839.35374491005371</v>
          </cell>
          <cell r="O471">
            <v>823.23546037828896</v>
          </cell>
          <cell r="P471">
            <v>805.75023626405425</v>
          </cell>
          <cell r="Q471">
            <v>786.90492425909258</v>
          </cell>
          <cell r="R471">
            <v>766.70637605516015</v>
          </cell>
          <cell r="S471">
            <v>745.16144334403839</v>
          </cell>
          <cell r="T471">
            <v>727.57230738579688</v>
          </cell>
          <cell r="U471">
            <v>709.05519536544364</v>
          </cell>
          <cell r="V471">
            <v>689.61294325680637</v>
          </cell>
          <cell r="W471">
            <v>669.24838703366447</v>
          </cell>
          <cell r="X471">
            <v>647.96436266982937</v>
          </cell>
          <cell r="Y471">
            <v>626.57371273943875</v>
          </cell>
          <cell r="Z471">
            <v>604.78061230690446</v>
          </cell>
          <cell r="AA471">
            <v>582.58333596187424</v>
          </cell>
          <cell r="AB471">
            <v>559.98015829396263</v>
          </cell>
          <cell r="AC471">
            <v>536.96935389280998</v>
          </cell>
          <cell r="AD471">
            <v>517.45512757173015</v>
          </cell>
          <cell r="AE471">
            <v>497.77936904198509</v>
          </cell>
          <cell r="AF471">
            <v>477.94046207569136</v>
          </cell>
          <cell r="AG471">
            <v>457.93679044496514</v>
          </cell>
          <cell r="AH471">
            <v>437.76673792192253</v>
          </cell>
        </row>
        <row r="472">
          <cell r="B472" t="str">
            <v>e-methanol (DAC) - Feedstock cost - Middle East - USD/ton fuel</v>
          </cell>
          <cell r="G472">
            <v>979.10121699689398</v>
          </cell>
          <cell r="H472">
            <v>936.1598806709294</v>
          </cell>
          <cell r="I472">
            <v>892.87305756691705</v>
          </cell>
          <cell r="J472">
            <v>863.50279584044438</v>
          </cell>
          <cell r="K472">
            <v>833.33118155452644</v>
          </cell>
          <cell r="L472">
            <v>802.36919349918094</v>
          </cell>
          <cell r="M472">
            <v>770.62781046444456</v>
          </cell>
          <cell r="N472">
            <v>738.11801124031354</v>
          </cell>
          <cell r="O472">
            <v>721.97675781482087</v>
          </cell>
          <cell r="P472">
            <v>704.50734149314064</v>
          </cell>
          <cell r="Q472">
            <v>685.71723210730852</v>
          </cell>
          <cell r="R472">
            <v>665.61389948936994</v>
          </cell>
          <cell r="S472">
            <v>644.20481347138275</v>
          </cell>
          <cell r="T472">
            <v>628.04249724487931</v>
          </cell>
          <cell r="U472">
            <v>610.96068456955118</v>
          </cell>
          <cell r="V472">
            <v>592.96197189057045</v>
          </cell>
          <cell r="W472">
            <v>574.04895565306128</v>
          </cell>
          <cell r="X472">
            <v>554.2242323021826</v>
          </cell>
          <cell r="Y472">
            <v>533.3608488236805</v>
          </cell>
          <cell r="Z472">
            <v>512.10245989641351</v>
          </cell>
          <cell r="AA472">
            <v>490.4471291308829</v>
          </cell>
          <cell r="AB472">
            <v>468.39292013757068</v>
          </cell>
          <cell r="AC472">
            <v>445.9378965269708</v>
          </cell>
          <cell r="AD472">
            <v>428.50739663391209</v>
          </cell>
          <cell r="AE472">
            <v>410.87861048809214</v>
          </cell>
          <cell r="AF472">
            <v>393.05037455091798</v>
          </cell>
          <cell r="AG472">
            <v>375.02152528380196</v>
          </cell>
          <cell r="AH472">
            <v>356.79089914815643</v>
          </cell>
        </row>
        <row r="473">
          <cell r="B473" t="str">
            <v>e-hydrogen (compressed) - Cost - Africa - USD/ton H2</v>
          </cell>
          <cell r="G473">
            <v>4633.1233423090589</v>
          </cell>
          <cell r="H473">
            <v>4201.9656446218651</v>
          </cell>
          <cell r="I473">
            <v>3768.1364126730182</v>
          </cell>
          <cell r="J473">
            <v>3627.6640614332246</v>
          </cell>
          <cell r="K473">
            <v>3482.0419503382509</v>
          </cell>
          <cell r="L473">
            <v>3331.3728662299636</v>
          </cell>
          <cell r="M473">
            <v>3175.7595959503119</v>
          </cell>
          <cell r="N473">
            <v>3015.3049263411149</v>
          </cell>
          <cell r="O473">
            <v>2957.5120355923382</v>
          </cell>
          <cell r="P473">
            <v>2892.1425659444694</v>
          </cell>
          <cell r="Q473">
            <v>2819.2518810339607</v>
          </cell>
          <cell r="R473">
            <v>2738.8953444973072</v>
          </cell>
          <cell r="S473">
            <v>2651.1283199710874</v>
          </cell>
          <cell r="T473">
            <v>2589.8814487511354</v>
          </cell>
          <cell r="U473">
            <v>2523.4234074819769</v>
          </cell>
          <cell r="V473">
            <v>2451.7722615286521</v>
          </cell>
          <cell r="W473">
            <v>2374.9460762559747</v>
          </cell>
          <cell r="X473">
            <v>2292.9629170289318</v>
          </cell>
          <cell r="Y473">
            <v>2208.6908045163059</v>
          </cell>
          <cell r="Z473">
            <v>2121.9988992007134</v>
          </cell>
          <cell r="AA473">
            <v>2032.876636943749</v>
          </cell>
          <cell r="AB473">
            <v>1941.3134536068953</v>
          </cell>
          <cell r="AC473">
            <v>1847.2987850517036</v>
          </cell>
          <cell r="AD473">
            <v>1773.4817469024235</v>
          </cell>
          <cell r="AE473">
            <v>1698.451689879309</v>
          </cell>
          <cell r="AF473">
            <v>1622.2019570300602</v>
          </cell>
          <cell r="AG473">
            <v>1544.7258914023987</v>
          </cell>
          <cell r="AH473">
            <v>1466.0168360440496</v>
          </cell>
        </row>
        <row r="474">
          <cell r="B474" t="str">
            <v>e-hydrogen (compressed) - Cost - Americas - USD/ton H2</v>
          </cell>
          <cell r="G474">
            <v>3458.2747756282647</v>
          </cell>
          <cell r="H474">
            <v>3358.1215141660286</v>
          </cell>
          <cell r="I474">
            <v>3254.6459956552549</v>
          </cell>
          <cell r="J474">
            <v>3148.9921734049194</v>
          </cell>
          <cell r="K474">
            <v>3038.2017033305151</v>
          </cell>
          <cell r="L474">
            <v>2922.3436487831009</v>
          </cell>
          <cell r="M474">
            <v>2801.4870731138512</v>
          </cell>
          <cell r="N474">
            <v>2675.701039673685</v>
          </cell>
          <cell r="O474">
            <v>2643.8786103743646</v>
          </cell>
          <cell r="P474">
            <v>2604.2634692905026</v>
          </cell>
          <cell r="Q474">
            <v>2556.8876858485628</v>
          </cell>
          <cell r="R474">
            <v>2501.7833294749726</v>
          </cell>
          <cell r="S474">
            <v>2438.9824695962966</v>
          </cell>
          <cell r="T474">
            <v>2379.5862497865878</v>
          </cell>
          <cell r="U474">
            <v>2315.0272995091577</v>
          </cell>
          <cell r="V474">
            <v>2245.3236408089065</v>
          </cell>
          <cell r="W474">
            <v>2170.4932957305264</v>
          </cell>
          <cell r="X474">
            <v>2090.5542863188448</v>
          </cell>
          <cell r="Y474">
            <v>2024.0950200699413</v>
          </cell>
          <cell r="Z474">
            <v>1954.8005234985762</v>
          </cell>
          <cell r="AA474">
            <v>1882.6666675873769</v>
          </cell>
          <cell r="AB474">
            <v>1807.6893233188264</v>
          </cell>
          <cell r="AC474">
            <v>1729.8643616755162</v>
          </cell>
          <cell r="AD474">
            <v>1661.9243548242082</v>
          </cell>
          <cell r="AE474">
            <v>1592.6501658127502</v>
          </cell>
          <cell r="AF474">
            <v>1522.0377953932327</v>
          </cell>
          <cell r="AG474">
            <v>1450.083244317753</v>
          </cell>
          <cell r="AH474">
            <v>1376.7825133384104</v>
          </cell>
        </row>
        <row r="475">
          <cell r="B475" t="str">
            <v>e-hydrogen (compressed) - Cost - Asia - USD/ton H2</v>
          </cell>
          <cell r="G475">
            <v>4987.7978827141424</v>
          </cell>
          <cell r="H475">
            <v>4618.4094108214867</v>
          </cell>
          <cell r="I475">
            <v>4246.1135151183844</v>
          </cell>
          <cell r="J475">
            <v>4097.3824826576747</v>
          </cell>
          <cell r="K475">
            <v>3943.3770419350276</v>
          </cell>
          <cell r="L475">
            <v>3784.2072710139482</v>
          </cell>
          <cell r="M475">
            <v>3619.9832479582124</v>
          </cell>
          <cell r="N475">
            <v>3450.8150508313697</v>
          </cell>
          <cell r="O475">
            <v>3373.0215929007072</v>
          </cell>
          <cell r="P475">
            <v>3287.7460048188714</v>
          </cell>
          <cell r="Q475">
            <v>3195.0604816273712</v>
          </cell>
          <cell r="R475">
            <v>3095.0372183676395</v>
          </cell>
          <cell r="S475">
            <v>2987.7484100813476</v>
          </cell>
          <cell r="T475">
            <v>2913.2093711775688</v>
          </cell>
          <cell r="U475">
            <v>2833.5633476088337</v>
          </cell>
          <cell r="V475">
            <v>2748.8357857959254</v>
          </cell>
          <cell r="W475">
            <v>2659.0521321593251</v>
          </cell>
          <cell r="X475">
            <v>2564.2378331197551</v>
          </cell>
          <cell r="Y475">
            <v>2465.6669595887115</v>
          </cell>
          <cell r="Z475">
            <v>2364.9898405548524</v>
          </cell>
          <cell r="AA475">
            <v>2262.1913285418932</v>
          </cell>
          <cell r="AB475">
            <v>2157.2562760734354</v>
          </cell>
          <cell r="AC475">
            <v>2050.1695356731543</v>
          </cell>
          <cell r="AD475">
            <v>1970.240754749665</v>
          </cell>
          <cell r="AE475">
            <v>1889.2216166291751</v>
          </cell>
          <cell r="AF475">
            <v>1807.1032031593165</v>
          </cell>
          <cell r="AG475">
            <v>1723.8765961877139</v>
          </cell>
          <cell r="AH475">
            <v>1639.532877561993</v>
          </cell>
        </row>
        <row r="476">
          <cell r="B476" t="str">
            <v>e-hydrogen (compressed) - Cost - Europe - USD/ton H2</v>
          </cell>
          <cell r="G476">
            <v>4089.3856734873298</v>
          </cell>
          <cell r="H476">
            <v>3916.9256406265708</v>
          </cell>
          <cell r="I476">
            <v>3741.2108175344811</v>
          </cell>
          <cell r="J476">
            <v>3613.0656692355524</v>
          </cell>
          <cell r="K476">
            <v>3479.7225571491235</v>
          </cell>
          <cell r="L476">
            <v>3341.2720208768683</v>
          </cell>
          <cell r="M476">
            <v>3197.8046000204672</v>
          </cell>
          <cell r="N476">
            <v>3049.4108341814967</v>
          </cell>
          <cell r="O476">
            <v>3010.8443238003165</v>
          </cell>
          <cell r="P476">
            <v>2964.4230601972345</v>
          </cell>
          <cell r="Q476">
            <v>2910.1833432907338</v>
          </cell>
          <cell r="R476">
            <v>2848.1614729993285</v>
          </cell>
          <cell r="S476">
            <v>2778.3937492416853</v>
          </cell>
          <cell r="T476">
            <v>2720.379449531456</v>
          </cell>
          <cell r="U476">
            <v>2657.0489971635134</v>
          </cell>
          <cell r="V476">
            <v>2588.4174169846506</v>
          </cell>
          <cell r="W476">
            <v>2514.4997338414096</v>
          </cell>
          <cell r="X476">
            <v>2435.3109725804993</v>
          </cell>
          <cell r="Y476">
            <v>2352.605312916116</v>
          </cell>
          <cell r="Z476">
            <v>2267.4139852839012</v>
          </cell>
          <cell r="AA476">
            <v>2179.7278485465313</v>
          </cell>
          <cell r="AB476">
            <v>2089.5377615665116</v>
          </cell>
          <cell r="AC476">
            <v>1996.8345832064804</v>
          </cell>
          <cell r="AD476">
            <v>1918.0980681700892</v>
          </cell>
          <cell r="AE476">
            <v>1838.2478365870952</v>
          </cell>
          <cell r="AF476">
            <v>1757.2753257634138</v>
          </cell>
          <cell r="AG476">
            <v>1675.1719730049533</v>
          </cell>
          <cell r="AH476">
            <v>1591.929215617622</v>
          </cell>
        </row>
        <row r="477">
          <cell r="B477" t="str">
            <v>e-hydrogen (compressed) - Cost - Middle East - USD/ton H2</v>
          </cell>
          <cell r="G477">
            <v>3476.3085322126099</v>
          </cell>
          <cell r="H477">
            <v>3328.8823974252828</v>
          </cell>
          <cell r="I477">
            <v>3178.2568052856477</v>
          </cell>
          <cell r="J477">
            <v>3083.6768117686811</v>
          </cell>
          <cell r="K477">
            <v>2983.9346800894909</v>
          </cell>
          <cell r="L477">
            <v>2879.0885753257426</v>
          </cell>
          <cell r="M477">
            <v>2769.1966625551941</v>
          </cell>
          <cell r="N477">
            <v>2654.3171068554188</v>
          </cell>
          <cell r="O477">
            <v>2614.9769692636173</v>
          </cell>
          <cell r="P477">
            <v>2567.9562197212276</v>
          </cell>
          <cell r="Q477">
            <v>2513.2944330229238</v>
          </cell>
          <cell r="R477">
            <v>2451.0311839633964</v>
          </cell>
          <cell r="S477">
            <v>2381.2060473374368</v>
          </cell>
          <cell r="T477">
            <v>2328.338914207246</v>
          </cell>
          <cell r="U477">
            <v>2270.2169074323938</v>
          </cell>
          <cell r="V477">
            <v>2206.8537828488898</v>
          </cell>
          <cell r="W477">
            <v>2138.2632962925059</v>
          </cell>
          <cell r="X477">
            <v>2064.4592035991823</v>
          </cell>
          <cell r="Y477">
            <v>1983.8077079076854</v>
          </cell>
          <cell r="Z477">
            <v>1900.6863060803155</v>
          </cell>
          <cell r="AA477">
            <v>1815.084739222842</v>
          </cell>
          <cell r="AB477">
            <v>1726.9927484409238</v>
          </cell>
          <cell r="AC477">
            <v>1636.4000748402937</v>
          </cell>
          <cell r="AD477">
            <v>1565.7141614700843</v>
          </cell>
          <cell r="AE477">
            <v>1493.7568132779884</v>
          </cell>
          <cell r="AF477">
            <v>1420.5218658950355</v>
          </cell>
          <cell r="AG477">
            <v>1346.0031549522671</v>
          </cell>
          <cell r="AH477">
            <v>1270.1945160807259</v>
          </cell>
        </row>
        <row r="478">
          <cell r="B478" t="str">
            <v>Carbon dioxide (DAC) - Cost - Africa - USD/ton CO2</v>
          </cell>
          <cell r="G478">
            <v>296.62097893228963</v>
          </cell>
          <cell r="H478">
            <v>269.95608923406257</v>
          </cell>
          <cell r="I478">
            <v>243.88653979208223</v>
          </cell>
          <cell r="J478">
            <v>232.80947300688581</v>
          </cell>
          <cell r="K478">
            <v>221.91885106693803</v>
          </cell>
          <cell r="L478">
            <v>211.21467397223984</v>
          </cell>
          <cell r="M478">
            <v>200.69694172279128</v>
          </cell>
          <cell r="N478">
            <v>190.36565431859265</v>
          </cell>
          <cell r="O478">
            <v>183.00309152249926</v>
          </cell>
          <cell r="P478">
            <v>175.74977399689323</v>
          </cell>
          <cell r="Q478">
            <v>168.60570174177207</v>
          </cell>
          <cell r="R478">
            <v>161.57087475713939</v>
          </cell>
          <cell r="S478">
            <v>154.64529304299276</v>
          </cell>
          <cell r="T478">
            <v>149.68657367102458</v>
          </cell>
          <cell r="U478">
            <v>144.78817859510252</v>
          </cell>
          <cell r="V478">
            <v>139.95010781522603</v>
          </cell>
          <cell r="W478">
            <v>135.17236133139443</v>
          </cell>
          <cell r="X478">
            <v>130.45493914360796</v>
          </cell>
          <cell r="Y478">
            <v>126.17618237922781</v>
          </cell>
          <cell r="Z478">
            <v>121.95014865552533</v>
          </cell>
          <cell r="AA478">
            <v>117.7768379725002</v>
          </cell>
          <cell r="AB478">
            <v>113.65625033015385</v>
          </cell>
          <cell r="AC478">
            <v>109.58838572848549</v>
          </cell>
          <cell r="AD478">
            <v>106.44467413105096</v>
          </cell>
          <cell r="AE478">
            <v>103.33236707160029</v>
          </cell>
          <cell r="AF478">
            <v>100.25146455013206</v>
          </cell>
          <cell r="AG478">
            <v>97.201966566647087</v>
          </cell>
          <cell r="AH478">
            <v>94.183873121146092</v>
          </cell>
        </row>
        <row r="479">
          <cell r="B479" t="str">
            <v>Carbon dioxide (DAC) - Cost - Americas - USD/ton CO2</v>
          </cell>
          <cell r="G479">
            <v>234.16162121549769</v>
          </cell>
          <cell r="H479">
            <v>225.65135900419827</v>
          </cell>
          <cell r="I479">
            <v>217.2611107615316</v>
          </cell>
          <cell r="J479">
            <v>208.26363020202524</v>
          </cell>
          <cell r="K479">
            <v>199.40688523873763</v>
          </cell>
          <cell r="L479">
            <v>190.69087587166962</v>
          </cell>
          <cell r="M479">
            <v>182.11560210082365</v>
          </cell>
          <cell r="N479">
            <v>173.68106392619524</v>
          </cell>
          <cell r="O479">
            <v>167.69551175040382</v>
          </cell>
          <cell r="P479">
            <v>161.78861356271622</v>
          </cell>
          <cell r="Q479">
            <v>155.96036936313124</v>
          </cell>
          <cell r="R479">
            <v>150.21077915165029</v>
          </cell>
          <cell r="S479">
            <v>144.53984292827138</v>
          </cell>
          <cell r="T479">
            <v>139.71556520359152</v>
          </cell>
          <cell r="U479">
            <v>134.95153505279714</v>
          </cell>
          <cell r="V479">
            <v>130.24775247588798</v>
          </cell>
          <cell r="W479">
            <v>125.60421747286347</v>
          </cell>
          <cell r="X479">
            <v>121.02093004372313</v>
          </cell>
          <cell r="Y479">
            <v>117.57533582239029</v>
          </cell>
          <cell r="Z479">
            <v>114.16372840295915</v>
          </cell>
          <cell r="AA479">
            <v>110.78610778543006</v>
          </cell>
          <cell r="AB479">
            <v>107.44247396980312</v>
          </cell>
          <cell r="AC479">
            <v>104.13282695607847</v>
          </cell>
          <cell r="AD479">
            <v>101.27377135396961</v>
          </cell>
          <cell r="AE479">
            <v>98.440485293336934</v>
          </cell>
          <cell r="AF479">
            <v>95.632968774179432</v>
          </cell>
          <cell r="AG479">
            <v>92.85122179649764</v>
          </cell>
          <cell r="AH479">
            <v>90.095244360292071</v>
          </cell>
        </row>
        <row r="480">
          <cell r="B480" t="str">
            <v>Carbon dioxide (DAC) - Cost - Asia - USD/ton CO2</v>
          </cell>
          <cell r="G480">
            <v>315.4768082029388</v>
          </cell>
          <cell r="H480">
            <v>291.82082473612274</v>
          </cell>
          <cell r="I480">
            <v>268.67053769665677</v>
          </cell>
          <cell r="J480">
            <v>256.89619048138445</v>
          </cell>
          <cell r="K480">
            <v>245.31817072619225</v>
          </cell>
          <cell r="L480">
            <v>233.93647843107601</v>
          </cell>
          <cell r="M480">
            <v>222.75111359603954</v>
          </cell>
          <cell r="N480">
            <v>211.76207622108313</v>
          </cell>
          <cell r="O480">
            <v>203.28296344669053</v>
          </cell>
          <cell r="P480">
            <v>194.93519990183995</v>
          </cell>
          <cell r="Q480">
            <v>186.71878558652995</v>
          </cell>
          <cell r="R480">
            <v>178.63372050075947</v>
          </cell>
          <cell r="S480">
            <v>170.68000464452814</v>
          </cell>
          <cell r="T480">
            <v>165.01695433660979</v>
          </cell>
          <cell r="U480">
            <v>159.42730054865518</v>
          </cell>
          <cell r="V480">
            <v>153.91104328066464</v>
          </cell>
          <cell r="W480">
            <v>148.46818253263623</v>
          </cell>
          <cell r="X480">
            <v>143.09871830457126</v>
          </cell>
          <cell r="Y480">
            <v>138.149437809587</v>
          </cell>
          <cell r="Z480">
            <v>133.26622501694061</v>
          </cell>
          <cell r="AA480">
            <v>128.44907992663133</v>
          </cell>
          <cell r="AB480">
            <v>123.69800253866052</v>
          </cell>
          <cell r="AC480">
            <v>119.01299285302716</v>
          </cell>
          <cell r="AD480">
            <v>115.56483803179665</v>
          </cell>
          <cell r="AE480">
            <v>112.15288205701032</v>
          </cell>
          <cell r="AF480">
            <v>108.7771249286678</v>
          </cell>
          <cell r="AG480">
            <v>105.43756664676937</v>
          </cell>
          <cell r="AH480">
            <v>102.13420721131533</v>
          </cell>
        </row>
        <row r="481">
          <cell r="B481" t="str">
            <v>Carbon dioxide (DAC) - Cost - Europe - USD/ton CO2</v>
          </cell>
          <cell r="G481">
            <v>267.71384440942967</v>
          </cell>
          <cell r="H481">
            <v>254.99050492063122</v>
          </cell>
          <cell r="I481">
            <v>242.49039782193589</v>
          </cell>
          <cell r="J481">
            <v>232.06088122815453</v>
          </cell>
          <cell r="K481">
            <v>221.80120941418619</v>
          </cell>
          <cell r="L481">
            <v>211.71138238003414</v>
          </cell>
          <cell r="M481">
            <v>201.79140012569729</v>
          </cell>
          <cell r="N481">
            <v>192.04126265117594</v>
          </cell>
          <cell r="O481">
            <v>185.60609295834632</v>
          </cell>
          <cell r="P481">
            <v>179.25513297659518</v>
          </cell>
          <cell r="Q481">
            <v>172.98838270591881</v>
          </cell>
          <cell r="R481">
            <v>166.80584214631915</v>
          </cell>
          <cell r="S481">
            <v>160.70751129779512</v>
          </cell>
          <cell r="T481">
            <v>155.8740504996469</v>
          </cell>
          <cell r="U481">
            <v>151.09552908554008</v>
          </cell>
          <cell r="V481">
            <v>146.37194705547432</v>
          </cell>
          <cell r="W481">
            <v>141.70330440944861</v>
          </cell>
          <cell r="X481">
            <v>137.08960114746228</v>
          </cell>
          <cell r="Y481">
            <v>132.88157171280233</v>
          </cell>
          <cell r="Z481">
            <v>128.72212216634401</v>
          </cell>
          <cell r="AA481">
            <v>124.61125250808806</v>
          </cell>
          <cell r="AB481">
            <v>120.54896273803433</v>
          </cell>
          <cell r="AC481">
            <v>116.53525285618329</v>
          </cell>
          <cell r="AD481">
            <v>113.14792277574824</v>
          </cell>
          <cell r="AE481">
            <v>109.79603788149367</v>
          </cell>
          <cell r="AF481">
            <v>106.47959817341915</v>
          </cell>
          <cell r="AG481">
            <v>103.198603651525</v>
          </cell>
          <cell r="AH481">
            <v>99.953054315811499</v>
          </cell>
        </row>
        <row r="482">
          <cell r="B482" t="str">
            <v>Carbon dioxide (DAC) - Cost - Middle East - USD/ton CO2</v>
          </cell>
          <cell r="G482">
            <v>235.12036337633754</v>
          </cell>
          <cell r="H482">
            <v>224.11620442694419</v>
          </cell>
          <cell r="I482">
            <v>213.30018977940381</v>
          </cell>
          <cell r="J482">
            <v>204.91432008049392</v>
          </cell>
          <cell r="K482">
            <v>196.65441431922051</v>
          </cell>
          <cell r="L482">
            <v>188.52047249558439</v>
          </cell>
          <cell r="M482">
            <v>180.51249460958695</v>
          </cell>
          <cell r="N482">
            <v>172.63048066122599</v>
          </cell>
          <cell r="O482">
            <v>166.28490260841022</v>
          </cell>
          <cell r="P482">
            <v>160.02783502043238</v>
          </cell>
          <cell r="Q482">
            <v>153.8592778972901</v>
          </cell>
          <cell r="R482">
            <v>147.77923123898591</v>
          </cell>
          <cell r="S482">
            <v>141.78769504551758</v>
          </cell>
          <cell r="T482">
            <v>137.28570651204271</v>
          </cell>
          <cell r="U482">
            <v>132.83640988017365</v>
          </cell>
          <cell r="V482">
            <v>128.43980514991077</v>
          </cell>
          <cell r="W482">
            <v>124.09589232125236</v>
          </cell>
          <cell r="X482">
            <v>119.80467139419869</v>
          </cell>
          <cell r="Y482">
            <v>115.69823450540083</v>
          </cell>
          <cell r="Z482">
            <v>111.64363192063473</v>
          </cell>
          <cell r="AA482">
            <v>107.64086363990009</v>
          </cell>
          <cell r="AB482">
            <v>103.68992966319777</v>
          </cell>
          <cell r="AC482">
            <v>99.790829990527229</v>
          </cell>
          <cell r="AD482">
            <v>96.814241180930338</v>
          </cell>
          <cell r="AE482">
            <v>93.868012509751736</v>
          </cell>
          <cell r="AF482">
            <v>90.952143976990243</v>
          </cell>
          <cell r="AG482">
            <v>88.066635582646512</v>
          </cell>
          <cell r="AH482">
            <v>85.211487326721198</v>
          </cell>
        </row>
        <row r="483">
          <cell r="B483" t="str">
            <v>e-methanol - Conversion H2 -&gt; MeOH - Global - ton H2/ton MeOH</v>
          </cell>
          <cell r="G483">
            <v>0.18875226265526496</v>
          </cell>
          <cell r="H483">
            <v>0.18875226265526496</v>
          </cell>
          <cell r="I483">
            <v>0.18875226265526496</v>
          </cell>
          <cell r="J483">
            <v>0.18875226265526496</v>
          </cell>
          <cell r="K483">
            <v>0.18875226265526496</v>
          </cell>
          <cell r="L483">
            <v>0.18875226265526496</v>
          </cell>
          <cell r="M483">
            <v>0.18875226265526496</v>
          </cell>
          <cell r="N483">
            <v>0.18875226265526496</v>
          </cell>
          <cell r="O483">
            <v>0.18875226265526496</v>
          </cell>
          <cell r="P483">
            <v>0.18875226265526496</v>
          </cell>
          <cell r="Q483">
            <v>0.18875226265526496</v>
          </cell>
          <cell r="R483">
            <v>0.18875226265526496</v>
          </cell>
          <cell r="S483">
            <v>0.18875226265526496</v>
          </cell>
          <cell r="T483">
            <v>0.18875226265526496</v>
          </cell>
          <cell r="U483">
            <v>0.18875226265526496</v>
          </cell>
          <cell r="V483">
            <v>0.18875226265526496</v>
          </cell>
          <cell r="W483">
            <v>0.18875226265526496</v>
          </cell>
          <cell r="X483">
            <v>0.18875226265526496</v>
          </cell>
          <cell r="Y483">
            <v>0.18875226265526496</v>
          </cell>
          <cell r="Z483">
            <v>0.18875226265526496</v>
          </cell>
          <cell r="AA483">
            <v>0.18875226265526496</v>
          </cell>
          <cell r="AB483">
            <v>0.18875226265526496</v>
          </cell>
          <cell r="AC483">
            <v>0.18875226265526496</v>
          </cell>
          <cell r="AD483">
            <v>0.18875226265526496</v>
          </cell>
          <cell r="AE483">
            <v>0.18875226265526496</v>
          </cell>
          <cell r="AF483">
            <v>0.18875226265526496</v>
          </cell>
          <cell r="AG483">
            <v>0.18875226265526496</v>
          </cell>
          <cell r="AH483">
            <v>0.18875226265526496</v>
          </cell>
        </row>
        <row r="484">
          <cell r="B484" t="str">
            <v>e-methanol - Conversion CO2 -&gt; MeOH - Global - ton CO2/ton MeOH</v>
          </cell>
          <cell r="G484">
            <v>1.3735097684289368</v>
          </cell>
          <cell r="H484">
            <v>1.3735097684289368</v>
          </cell>
          <cell r="I484">
            <v>1.3735097684289368</v>
          </cell>
          <cell r="J484">
            <v>1.3735097684289368</v>
          </cell>
          <cell r="K484">
            <v>1.3735097684289368</v>
          </cell>
          <cell r="L484">
            <v>1.3735097684289368</v>
          </cell>
          <cell r="M484">
            <v>1.3735097684289368</v>
          </cell>
          <cell r="N484">
            <v>1.3735097684289368</v>
          </cell>
          <cell r="O484">
            <v>1.3735097684289368</v>
          </cell>
          <cell r="P484">
            <v>1.3735097684289368</v>
          </cell>
          <cell r="Q484">
            <v>1.3735097684289368</v>
          </cell>
          <cell r="R484">
            <v>1.3735097684289368</v>
          </cell>
          <cell r="S484">
            <v>1.3735097684289368</v>
          </cell>
          <cell r="T484">
            <v>1.3735097684289368</v>
          </cell>
          <cell r="U484">
            <v>1.3735097684289368</v>
          </cell>
          <cell r="V484">
            <v>1.3735097684289368</v>
          </cell>
          <cell r="W484">
            <v>1.3735097684289368</v>
          </cell>
          <cell r="X484">
            <v>1.3735097684289368</v>
          </cell>
          <cell r="Y484">
            <v>1.3735097684289368</v>
          </cell>
          <cell r="Z484">
            <v>1.3735097684289368</v>
          </cell>
          <cell r="AA484">
            <v>1.3735097684289368</v>
          </cell>
          <cell r="AB484">
            <v>1.3735097684289368</v>
          </cell>
          <cell r="AC484">
            <v>1.3735097684289368</v>
          </cell>
          <cell r="AD484">
            <v>1.3735097684289368</v>
          </cell>
          <cell r="AE484">
            <v>1.3735097684289368</v>
          </cell>
          <cell r="AF484">
            <v>1.3735097684289368</v>
          </cell>
          <cell r="AG484">
            <v>1.3735097684289368</v>
          </cell>
          <cell r="AH484">
            <v>1.3735097684289368</v>
          </cell>
        </row>
        <row r="486">
          <cell r="B486" t="str">
            <v>e-methanol (PS) - Item - Region - Unit</v>
          </cell>
          <cell r="G486">
            <v>2023</v>
          </cell>
          <cell r="H486">
            <v>2024</v>
          </cell>
          <cell r="I486">
            <v>2025</v>
          </cell>
          <cell r="J486">
            <v>2026</v>
          </cell>
          <cell r="K486">
            <v>2027</v>
          </cell>
          <cell r="L486">
            <v>2028</v>
          </cell>
          <cell r="M486">
            <v>2029</v>
          </cell>
          <cell r="N486">
            <v>2030</v>
          </cell>
          <cell r="O486">
            <v>2031</v>
          </cell>
          <cell r="P486">
            <v>2032</v>
          </cell>
          <cell r="Q486">
            <v>2033</v>
          </cell>
          <cell r="R486">
            <v>2034</v>
          </cell>
          <cell r="S486">
            <v>2035</v>
          </cell>
          <cell r="T486">
            <v>2036</v>
          </cell>
          <cell r="U486">
            <v>2037</v>
          </cell>
          <cell r="V486">
            <v>2038</v>
          </cell>
          <cell r="W486">
            <v>2039</v>
          </cell>
          <cell r="X486">
            <v>2040</v>
          </cell>
          <cell r="Y486">
            <v>2041</v>
          </cell>
          <cell r="Z486">
            <v>2042</v>
          </cell>
          <cell r="AA486">
            <v>2043</v>
          </cell>
          <cell r="AB486">
            <v>2044</v>
          </cell>
          <cell r="AC486">
            <v>2045</v>
          </cell>
          <cell r="AD486">
            <v>2046</v>
          </cell>
          <cell r="AE486">
            <v>2047</v>
          </cell>
          <cell r="AF486">
            <v>2048</v>
          </cell>
          <cell r="AG486">
            <v>2049</v>
          </cell>
          <cell r="AH486">
            <v>2050</v>
          </cell>
        </row>
        <row r="487">
          <cell r="B487" t="str">
            <v>e-methanol (PS) - Total cost - Africa - USD/ton fuel</v>
          </cell>
          <cell r="G487">
            <v>1588.000305896699</v>
          </cell>
          <cell r="H487">
            <v>1465.1576246994368</v>
          </cell>
          <cell r="I487">
            <v>1341.8106853655227</v>
          </cell>
          <cell r="J487">
            <v>1285.2987709124986</v>
          </cell>
          <cell r="K487">
            <v>1227.8148276346785</v>
          </cell>
          <cell r="L487">
            <v>1169.3782567810351</v>
          </cell>
          <cell r="M487">
            <v>1110.0084596005568</v>
          </cell>
          <cell r="N487">
            <v>1049.7248373422103</v>
          </cell>
          <cell r="O487">
            <v>1027.6230498512218</v>
          </cell>
          <cell r="P487">
            <v>1004.0911659498433</v>
          </cell>
          <cell r="Q487">
            <v>979.13963564972323</v>
          </cell>
          <cell r="R487">
            <v>952.77890896252086</v>
          </cell>
          <cell r="S487">
            <v>925.01943589990856</v>
          </cell>
          <cell r="T487">
            <v>903.57481497918866</v>
          </cell>
          <cell r="U487">
            <v>881.14657392060019</v>
          </cell>
          <cell r="V487">
            <v>857.73812260266925</v>
          </cell>
          <cell r="W487">
            <v>833.35287090388056</v>
          </cell>
          <cell r="X487">
            <v>807.9942287027518</v>
          </cell>
          <cell r="Y487">
            <v>780.24563090033791</v>
          </cell>
          <cell r="Z487">
            <v>752.04029173120716</v>
          </cell>
          <cell r="AA487">
            <v>723.37621719033211</v>
          </cell>
          <cell r="AB487">
            <v>694.25141327266556</v>
          </cell>
          <cell r="AC487">
            <v>664.66388597317155</v>
          </cell>
          <cell r="AD487">
            <v>639.49819357851584</v>
          </cell>
          <cell r="AE487">
            <v>614.10354112678078</v>
          </cell>
          <cell r="AF487">
            <v>588.47867210315667</v>
          </cell>
          <cell r="AG487">
            <v>562.62232999283879</v>
          </cell>
          <cell r="AH487">
            <v>536.53325828102322</v>
          </cell>
        </row>
        <row r="488">
          <cell r="B488" t="str">
            <v>e-methanol (PS) - Total cost - Americas - USD/ton fuel</v>
          </cell>
          <cell r="G488">
            <v>1315.936578859737</v>
          </cell>
          <cell r="H488">
            <v>1269.7045315553642</v>
          </cell>
          <cell r="I488">
            <v>1222.8454007159567</v>
          </cell>
          <cell r="J488">
            <v>1174.3592329668286</v>
          </cell>
          <cell r="K488">
            <v>1124.9035113184441</v>
          </cell>
          <cell r="L488">
            <v>1074.4912716345825</v>
          </cell>
          <cell r="M488">
            <v>1023.135549779045</v>
          </cell>
          <cell r="N488">
            <v>970.84938161558273</v>
          </cell>
          <cell r="O488">
            <v>954.6901807964183</v>
          </cell>
          <cell r="P488">
            <v>937.06008799570122</v>
          </cell>
          <cell r="Q488">
            <v>917.96515639023869</v>
          </cell>
          <cell r="R488">
            <v>897.41143915683074</v>
          </cell>
          <cell r="S488">
            <v>875.40498947230367</v>
          </cell>
          <cell r="T488">
            <v>854.31247466899265</v>
          </cell>
          <cell r="U488">
            <v>832.24548280841998</v>
          </cell>
          <cell r="V488">
            <v>809.20741559233807</v>
          </cell>
          <cell r="W488">
            <v>785.20167472246055</v>
          </cell>
          <cell r="X488">
            <v>760.23166190052598</v>
          </cell>
          <cell r="Y488">
            <v>736.57443629884665</v>
          </cell>
          <cell r="Z488">
            <v>712.38205455865364</v>
          </cell>
          <cell r="AA488">
            <v>687.65373731857585</v>
          </cell>
          <cell r="AB488">
            <v>662.3887052172139</v>
          </cell>
          <cell r="AC488">
            <v>636.58617889318975</v>
          </cell>
          <cell r="AD488">
            <v>612.76435163578594</v>
          </cell>
          <cell r="AE488">
            <v>588.69069447685968</v>
          </cell>
          <cell r="AF488">
            <v>564.36445254931903</v>
          </cell>
          <cell r="AG488">
            <v>539.78487098607332</v>
          </cell>
          <cell r="AH488">
            <v>514.95119492003244</v>
          </cell>
        </row>
        <row r="489">
          <cell r="B489" t="str">
            <v>e-methanol (PS) - Total cost - Asia - USD/ton fuel</v>
          </cell>
          <cell r="G489">
            <v>1670.1335101958248</v>
          </cell>
          <cell r="H489">
            <v>1561.6152752140101</v>
          </cell>
          <cell r="I489">
            <v>1452.5482574094826</v>
          </cell>
          <cell r="J489">
            <v>1394.1632058594882</v>
          </cell>
          <cell r="K489">
            <v>1334.782597815888</v>
          </cell>
          <cell r="L489">
            <v>1274.4272107622328</v>
          </cell>
          <cell r="M489">
            <v>1213.1178221821306</v>
          </cell>
          <cell r="N489">
            <v>1150.8752095591478</v>
          </cell>
          <cell r="O489">
            <v>1124.2463740811863</v>
          </cell>
          <cell r="P489">
            <v>1096.2052696077108</v>
          </cell>
          <cell r="Q489">
            <v>1066.7655231161584</v>
          </cell>
          <cell r="R489">
            <v>1035.94076158395</v>
          </cell>
          <cell r="S489">
            <v>1003.7446119885549</v>
          </cell>
          <cell r="T489">
            <v>979.31544160683143</v>
          </cell>
          <cell r="U489">
            <v>953.9223163142517</v>
          </cell>
          <cell r="V489">
            <v>927.57003918031592</v>
          </cell>
          <cell r="W489">
            <v>900.2634132744646</v>
          </cell>
          <cell r="X489">
            <v>872.00724166618761</v>
          </cell>
          <cell r="Y489">
            <v>841.040386911523</v>
          </cell>
          <cell r="Z489">
            <v>809.67597355249495</v>
          </cell>
          <cell r="AA489">
            <v>777.91114246868017</v>
          </cell>
          <cell r="AB489">
            <v>745.74303453963626</v>
          </cell>
          <cell r="AC489">
            <v>713.16879064493196</v>
          </cell>
          <cell r="AD489">
            <v>686.64992524420893</v>
          </cell>
          <cell r="AE489">
            <v>659.92525245544925</v>
          </cell>
          <cell r="AF489">
            <v>632.99308895721538</v>
          </cell>
          <cell r="AG489">
            <v>605.85175142806759</v>
          </cell>
          <cell r="AH489">
            <v>578.49955654656605</v>
          </cell>
        </row>
        <row r="490">
          <cell r="B490" t="str">
            <v>e-methanol (PS) - Total cost - Europe - USD/ton fuel</v>
          </cell>
          <cell r="G490">
            <v>1462.0851020947593</v>
          </cell>
          <cell r="H490">
            <v>1399.1360118921239</v>
          </cell>
          <cell r="I490">
            <v>1335.5725726688561</v>
          </cell>
          <cell r="J490">
            <v>1281.9153700367328</v>
          </cell>
          <cell r="K490">
            <v>1227.2770399785179</v>
          </cell>
          <cell r="L490">
            <v>1171.6746720488891</v>
          </cell>
          <cell r="M490">
            <v>1115.125355802521</v>
          </cell>
          <cell r="N490">
            <v>1057.6461807940739</v>
          </cell>
          <cell r="O490">
            <v>1040.0250340771129</v>
          </cell>
          <cell r="P490">
            <v>1020.9212849169206</v>
          </cell>
          <cell r="Q490">
            <v>1000.3417850052431</v>
          </cell>
          <cell r="R490">
            <v>978.29338603383428</v>
          </cell>
          <cell r="S490">
            <v>954.78293969447782</v>
          </cell>
          <cell r="T490">
            <v>934.14439980991108</v>
          </cell>
          <cell r="U490">
            <v>912.50242408258055</v>
          </cell>
          <cell r="V490">
            <v>889.85984848631415</v>
          </cell>
          <cell r="W490">
            <v>866.21950899489252</v>
          </cell>
          <cell r="X490">
            <v>841.58424158212767</v>
          </cell>
          <cell r="Y490">
            <v>814.29255413401654</v>
          </cell>
          <cell r="Z490">
            <v>786.53169123276734</v>
          </cell>
          <cell r="AA490">
            <v>758.29992746802736</v>
          </cell>
          <cell r="AB490">
            <v>729.5955374294108</v>
          </cell>
          <cell r="AC490">
            <v>700.41679570655788</v>
          </cell>
          <cell r="AD490">
            <v>674.15434502743278</v>
          </cell>
          <cell r="AE490">
            <v>647.68167783017964</v>
          </cell>
          <cell r="AF490">
            <v>620.99717788691578</v>
          </cell>
          <cell r="AG490">
            <v>594.09922896975706</v>
          </cell>
          <cell r="AH490">
            <v>566.98621485081878</v>
          </cell>
        </row>
        <row r="491">
          <cell r="B491" t="str">
            <v>e-methanol (PS) - Total cost - Middle East - USD/ton fuel</v>
          </cell>
          <cell r="G491">
            <v>1320.1127179537104</v>
          </cell>
          <cell r="H491">
            <v>1262.9321009588602</v>
          </cell>
          <cell r="I491">
            <v>1205.1475791494915</v>
          </cell>
          <cell r="J491">
            <v>1159.2213980074248</v>
          </cell>
          <cell r="K491">
            <v>1112.3208516070997</v>
          </cell>
          <cell r="L491">
            <v>1064.4569187385323</v>
          </cell>
          <cell r="M491">
            <v>1015.6405781917572</v>
          </cell>
          <cell r="N491">
            <v>965.88280875677424</v>
          </cell>
          <cell r="O491">
            <v>947.96934227248198</v>
          </cell>
          <cell r="P491">
            <v>928.6061429039396</v>
          </cell>
          <cell r="Q491">
            <v>907.80068048318492</v>
          </cell>
          <cell r="R491">
            <v>885.560424842261</v>
          </cell>
          <cell r="S491">
            <v>861.89284581322818</v>
          </cell>
          <cell r="T491">
            <v>842.3076181733104</v>
          </cell>
          <cell r="U491">
            <v>821.730521242995</v>
          </cell>
          <cell r="V491">
            <v>800.16415146745408</v>
          </cell>
          <cell r="W491">
            <v>777.61110529181383</v>
          </cell>
          <cell r="X491">
            <v>754.07397916123284</v>
          </cell>
          <cell r="Y491">
            <v>727.04336789072659</v>
          </cell>
          <cell r="Z491">
            <v>699.54655624852819</v>
          </cell>
          <cell r="AA491">
            <v>671.58160784513916</v>
          </cell>
          <cell r="AB491">
            <v>643.14658629104065</v>
          </cell>
          <cell r="AC491">
            <v>614.23955519672677</v>
          </cell>
          <cell r="AD491">
            <v>589.70834383125327</v>
          </cell>
          <cell r="AE491">
            <v>564.93714626633027</v>
          </cell>
          <cell r="AF491">
            <v>539.92479896336636</v>
          </cell>
          <cell r="AG491">
            <v>514.67013838377284</v>
          </cell>
          <cell r="AH491">
            <v>489.17200098896143</v>
          </cell>
        </row>
        <row r="492">
          <cell r="B492" t="str">
            <v/>
          </cell>
        </row>
        <row r="493">
          <cell r="B493" t="str">
            <v>e-methanol (PS) - CAPEX - Global - USD/ton fuel</v>
          </cell>
          <cell r="G493">
            <v>99.333333333333329</v>
          </cell>
          <cell r="H493">
            <v>94.666666666666671</v>
          </cell>
          <cell r="I493">
            <v>90</v>
          </cell>
          <cell r="J493">
            <v>85.333333333333329</v>
          </cell>
          <cell r="K493">
            <v>80.666666666666671</v>
          </cell>
          <cell r="L493">
            <v>76</v>
          </cell>
          <cell r="M493">
            <v>71.333333333333329</v>
          </cell>
          <cell r="N493">
            <v>66.666666666666671</v>
          </cell>
          <cell r="O493">
            <v>65.166666666666671</v>
          </cell>
          <cell r="P493">
            <v>63.666666666666664</v>
          </cell>
          <cell r="Q493">
            <v>62.166666666666664</v>
          </cell>
          <cell r="R493">
            <v>60.666666666666664</v>
          </cell>
          <cell r="S493">
            <v>59.166666666666664</v>
          </cell>
          <cell r="T493">
            <v>57.666666666666664</v>
          </cell>
          <cell r="U493">
            <v>56.166666666666664</v>
          </cell>
          <cell r="V493">
            <v>54.666666666666664</v>
          </cell>
          <cell r="W493">
            <v>53.166666666666664</v>
          </cell>
          <cell r="X493">
            <v>51.666666666666664</v>
          </cell>
          <cell r="Y493">
            <v>49.666666666666664</v>
          </cell>
          <cell r="Z493">
            <v>47.666666666666664</v>
          </cell>
          <cell r="AA493">
            <v>45.666666666666664</v>
          </cell>
          <cell r="AB493">
            <v>43.666666666666664</v>
          </cell>
          <cell r="AC493">
            <v>41.666666666666664</v>
          </cell>
          <cell r="AD493">
            <v>39.666666666666664</v>
          </cell>
          <cell r="AE493">
            <v>37.666666666666664</v>
          </cell>
          <cell r="AF493">
            <v>35.666666666666664</v>
          </cell>
          <cell r="AG493">
            <v>33.666666666666664</v>
          </cell>
          <cell r="AH493">
            <v>31.666666666666668</v>
          </cell>
        </row>
        <row r="494">
          <cell r="B494" t="str">
            <v>e-methanol - Plant lifetime - Global - Years</v>
          </cell>
          <cell r="G494">
            <v>30</v>
          </cell>
          <cell r="H494">
            <v>30</v>
          </cell>
          <cell r="I494">
            <v>30</v>
          </cell>
          <cell r="J494">
            <v>30</v>
          </cell>
          <cell r="K494">
            <v>30</v>
          </cell>
          <cell r="L494">
            <v>30</v>
          </cell>
          <cell r="M494">
            <v>30</v>
          </cell>
          <cell r="N494">
            <v>30</v>
          </cell>
          <cell r="O494">
            <v>30</v>
          </cell>
          <cell r="P494">
            <v>30</v>
          </cell>
          <cell r="Q494">
            <v>30</v>
          </cell>
          <cell r="R494">
            <v>30</v>
          </cell>
          <cell r="S494">
            <v>30</v>
          </cell>
          <cell r="T494">
            <v>30</v>
          </cell>
          <cell r="U494">
            <v>30</v>
          </cell>
          <cell r="V494">
            <v>30</v>
          </cell>
          <cell r="W494">
            <v>30</v>
          </cell>
          <cell r="X494">
            <v>30</v>
          </cell>
          <cell r="Y494">
            <v>30</v>
          </cell>
          <cell r="Z494">
            <v>30</v>
          </cell>
          <cell r="AA494">
            <v>30</v>
          </cell>
          <cell r="AB494">
            <v>30</v>
          </cell>
          <cell r="AC494">
            <v>30</v>
          </cell>
          <cell r="AD494">
            <v>30</v>
          </cell>
          <cell r="AE494">
            <v>30</v>
          </cell>
          <cell r="AF494">
            <v>30</v>
          </cell>
          <cell r="AG494">
            <v>30</v>
          </cell>
          <cell r="AH494">
            <v>30</v>
          </cell>
        </row>
        <row r="495">
          <cell r="B495" t="str">
            <v>e-methanol - Total CAPEX - Global - USD/ton fuel</v>
          </cell>
          <cell r="G495">
            <v>2980</v>
          </cell>
          <cell r="H495">
            <v>2840</v>
          </cell>
          <cell r="I495">
            <v>2700</v>
          </cell>
          <cell r="J495">
            <v>2560</v>
          </cell>
          <cell r="K495">
            <v>2420</v>
          </cell>
          <cell r="L495">
            <v>2280</v>
          </cell>
          <cell r="M495">
            <v>2140</v>
          </cell>
          <cell r="N495">
            <v>2000</v>
          </cell>
          <cell r="O495">
            <v>1955</v>
          </cell>
          <cell r="P495">
            <v>1910</v>
          </cell>
          <cell r="Q495">
            <v>1865</v>
          </cell>
          <cell r="R495">
            <v>1820</v>
          </cell>
          <cell r="S495">
            <v>1775</v>
          </cell>
          <cell r="T495">
            <v>1730</v>
          </cell>
          <cell r="U495">
            <v>1685</v>
          </cell>
          <cell r="V495">
            <v>1640</v>
          </cell>
          <cell r="W495">
            <v>1595</v>
          </cell>
          <cell r="X495">
            <v>1550</v>
          </cell>
          <cell r="Y495">
            <v>1490</v>
          </cell>
          <cell r="Z495">
            <v>1430</v>
          </cell>
          <cell r="AA495">
            <v>1370</v>
          </cell>
          <cell r="AB495">
            <v>1310</v>
          </cell>
          <cell r="AC495">
            <v>1250</v>
          </cell>
          <cell r="AD495">
            <v>1190</v>
          </cell>
          <cell r="AE495">
            <v>1130</v>
          </cell>
          <cell r="AF495">
            <v>1070</v>
          </cell>
          <cell r="AG495">
            <v>1010</v>
          </cell>
          <cell r="AH495">
            <v>950</v>
          </cell>
        </row>
        <row r="496">
          <cell r="B496" t="str">
            <v/>
          </cell>
        </row>
        <row r="497">
          <cell r="B497" t="str">
            <v>e-methanol (PS) - OPEX - Global - USD/ton fuel</v>
          </cell>
          <cell r="G497">
            <v>119.2</v>
          </cell>
          <cell r="H497">
            <v>113.60000000000001</v>
          </cell>
          <cell r="I497">
            <v>108</v>
          </cell>
          <cell r="J497">
            <v>102.4</v>
          </cell>
          <cell r="K497">
            <v>96.8</v>
          </cell>
          <cell r="L497">
            <v>91.2</v>
          </cell>
          <cell r="M497">
            <v>85.600000000000009</v>
          </cell>
          <cell r="N497">
            <v>80</v>
          </cell>
          <cell r="O497">
            <v>78.2</v>
          </cell>
          <cell r="P497">
            <v>76.400000000000006</v>
          </cell>
          <cell r="Q497">
            <v>74.600000000000009</v>
          </cell>
          <cell r="R497">
            <v>72.8</v>
          </cell>
          <cell r="S497">
            <v>71</v>
          </cell>
          <cell r="T497">
            <v>69.2</v>
          </cell>
          <cell r="U497">
            <v>67.400000000000006</v>
          </cell>
          <cell r="V497">
            <v>65.599999999999994</v>
          </cell>
          <cell r="W497">
            <v>63.800000000000004</v>
          </cell>
          <cell r="X497">
            <v>62</v>
          </cell>
          <cell r="Y497">
            <v>59.6</v>
          </cell>
          <cell r="Z497">
            <v>57.2</v>
          </cell>
          <cell r="AA497">
            <v>54.800000000000004</v>
          </cell>
          <cell r="AB497">
            <v>52.4</v>
          </cell>
          <cell r="AC497">
            <v>50</v>
          </cell>
          <cell r="AD497">
            <v>47.6</v>
          </cell>
          <cell r="AE497">
            <v>45.2</v>
          </cell>
          <cell r="AF497">
            <v>42.800000000000004</v>
          </cell>
          <cell r="AG497">
            <v>40.4</v>
          </cell>
          <cell r="AH497">
            <v>38</v>
          </cell>
        </row>
        <row r="498">
          <cell r="B498" t="str">
            <v>e-methanol - OPEX - Global - USD/ton fuel/year</v>
          </cell>
          <cell r="G498">
            <v>119.2</v>
          </cell>
          <cell r="H498">
            <v>113.60000000000001</v>
          </cell>
          <cell r="I498">
            <v>108</v>
          </cell>
          <cell r="J498">
            <v>102.4</v>
          </cell>
          <cell r="K498">
            <v>96.8</v>
          </cell>
          <cell r="L498">
            <v>91.2</v>
          </cell>
          <cell r="M498">
            <v>85.600000000000009</v>
          </cell>
          <cell r="N498">
            <v>80</v>
          </cell>
          <cell r="O498">
            <v>78.2</v>
          </cell>
          <cell r="P498">
            <v>76.400000000000006</v>
          </cell>
          <cell r="Q498">
            <v>74.600000000000009</v>
          </cell>
          <cell r="R498">
            <v>72.8</v>
          </cell>
          <cell r="S498">
            <v>71</v>
          </cell>
          <cell r="T498">
            <v>69.2</v>
          </cell>
          <cell r="U498">
            <v>67.400000000000006</v>
          </cell>
          <cell r="V498">
            <v>65.599999999999994</v>
          </cell>
          <cell r="W498">
            <v>63.800000000000004</v>
          </cell>
          <cell r="X498">
            <v>62</v>
          </cell>
          <cell r="Y498">
            <v>59.6</v>
          </cell>
          <cell r="Z498">
            <v>57.2</v>
          </cell>
          <cell r="AA498">
            <v>54.800000000000004</v>
          </cell>
          <cell r="AB498">
            <v>52.4</v>
          </cell>
          <cell r="AC498">
            <v>50</v>
          </cell>
          <cell r="AD498">
            <v>47.6</v>
          </cell>
          <cell r="AE498">
            <v>45.2</v>
          </cell>
          <cell r="AF498">
            <v>42.800000000000004</v>
          </cell>
          <cell r="AG498">
            <v>40.4</v>
          </cell>
          <cell r="AH498">
            <v>38</v>
          </cell>
        </row>
        <row r="499">
          <cell r="B499" t="str">
            <v/>
          </cell>
        </row>
        <row r="500">
          <cell r="B500" t="str">
            <v>e-methanol (PS) - Finance cost - Africa - USD/ton fuel</v>
          </cell>
          <cell r="G500">
            <v>163.90000000000003</v>
          </cell>
          <cell r="H500">
            <v>156.20000000000002</v>
          </cell>
          <cell r="I500">
            <v>148.50000000000003</v>
          </cell>
          <cell r="J500">
            <v>140.80000000000001</v>
          </cell>
          <cell r="K500">
            <v>133.10000000000002</v>
          </cell>
          <cell r="L500">
            <v>125.40000000000002</v>
          </cell>
          <cell r="M500">
            <v>117.70000000000002</v>
          </cell>
          <cell r="N500">
            <v>110.00000000000001</v>
          </cell>
          <cell r="O500">
            <v>107.52500000000002</v>
          </cell>
          <cell r="P500">
            <v>105.05000000000001</v>
          </cell>
          <cell r="Q500">
            <v>102.57500000000002</v>
          </cell>
          <cell r="R500">
            <v>100.10000000000001</v>
          </cell>
          <cell r="S500">
            <v>97.625000000000014</v>
          </cell>
          <cell r="T500">
            <v>95.15</v>
          </cell>
          <cell r="U500">
            <v>92.675000000000011</v>
          </cell>
          <cell r="V500">
            <v>90.200000000000017</v>
          </cell>
          <cell r="W500">
            <v>87.725000000000009</v>
          </cell>
          <cell r="X500">
            <v>85.250000000000014</v>
          </cell>
          <cell r="Y500">
            <v>81.950000000000017</v>
          </cell>
          <cell r="Z500">
            <v>78.650000000000006</v>
          </cell>
          <cell r="AA500">
            <v>75.350000000000009</v>
          </cell>
          <cell r="AB500">
            <v>72.050000000000011</v>
          </cell>
          <cell r="AC500">
            <v>68.750000000000014</v>
          </cell>
          <cell r="AD500">
            <v>65.45</v>
          </cell>
          <cell r="AE500">
            <v>62.150000000000006</v>
          </cell>
          <cell r="AF500">
            <v>58.850000000000009</v>
          </cell>
          <cell r="AG500">
            <v>55.550000000000004</v>
          </cell>
          <cell r="AH500">
            <v>52.250000000000007</v>
          </cell>
        </row>
        <row r="501">
          <cell r="B501" t="str">
            <v>e-methanol (PS) - Finance cost - Americas - USD/ton fuel</v>
          </cell>
          <cell r="G501">
            <v>163.90000000000003</v>
          </cell>
          <cell r="H501">
            <v>156.20000000000002</v>
          </cell>
          <cell r="I501">
            <v>148.50000000000003</v>
          </cell>
          <cell r="J501">
            <v>140.80000000000001</v>
          </cell>
          <cell r="K501">
            <v>133.10000000000002</v>
          </cell>
          <cell r="L501">
            <v>125.40000000000002</v>
          </cell>
          <cell r="M501">
            <v>117.70000000000002</v>
          </cell>
          <cell r="N501">
            <v>110.00000000000001</v>
          </cell>
          <cell r="O501">
            <v>107.52500000000002</v>
          </cell>
          <cell r="P501">
            <v>105.05000000000001</v>
          </cell>
          <cell r="Q501">
            <v>102.57500000000002</v>
          </cell>
          <cell r="R501">
            <v>100.10000000000001</v>
          </cell>
          <cell r="S501">
            <v>97.625000000000014</v>
          </cell>
          <cell r="T501">
            <v>95.15</v>
          </cell>
          <cell r="U501">
            <v>92.675000000000011</v>
          </cell>
          <cell r="V501">
            <v>90.200000000000017</v>
          </cell>
          <cell r="W501">
            <v>87.725000000000009</v>
          </cell>
          <cell r="X501">
            <v>85.250000000000014</v>
          </cell>
          <cell r="Y501">
            <v>81.950000000000017</v>
          </cell>
          <cell r="Z501">
            <v>78.650000000000006</v>
          </cell>
          <cell r="AA501">
            <v>75.350000000000009</v>
          </cell>
          <cell r="AB501">
            <v>72.050000000000011</v>
          </cell>
          <cell r="AC501">
            <v>68.750000000000014</v>
          </cell>
          <cell r="AD501">
            <v>65.45</v>
          </cell>
          <cell r="AE501">
            <v>62.150000000000006</v>
          </cell>
          <cell r="AF501">
            <v>58.850000000000009</v>
          </cell>
          <cell r="AG501">
            <v>55.550000000000004</v>
          </cell>
          <cell r="AH501">
            <v>52.250000000000007</v>
          </cell>
        </row>
        <row r="502">
          <cell r="B502" t="str">
            <v>e-methanol (PS) - Finance cost - Asia - USD/ton fuel</v>
          </cell>
          <cell r="G502">
            <v>163.90000000000003</v>
          </cell>
          <cell r="H502">
            <v>156.20000000000002</v>
          </cell>
          <cell r="I502">
            <v>148.50000000000003</v>
          </cell>
          <cell r="J502">
            <v>140.80000000000001</v>
          </cell>
          <cell r="K502">
            <v>133.10000000000002</v>
          </cell>
          <cell r="L502">
            <v>125.40000000000002</v>
          </cell>
          <cell r="M502">
            <v>117.70000000000002</v>
          </cell>
          <cell r="N502">
            <v>110.00000000000001</v>
          </cell>
          <cell r="O502">
            <v>107.52500000000002</v>
          </cell>
          <cell r="P502">
            <v>105.05000000000001</v>
          </cell>
          <cell r="Q502">
            <v>102.57500000000002</v>
          </cell>
          <cell r="R502">
            <v>100.10000000000001</v>
          </cell>
          <cell r="S502">
            <v>97.625000000000014</v>
          </cell>
          <cell r="T502">
            <v>95.15</v>
          </cell>
          <cell r="U502">
            <v>92.675000000000011</v>
          </cell>
          <cell r="V502">
            <v>90.200000000000017</v>
          </cell>
          <cell r="W502">
            <v>87.725000000000009</v>
          </cell>
          <cell r="X502">
            <v>85.250000000000014</v>
          </cell>
          <cell r="Y502">
            <v>81.950000000000017</v>
          </cell>
          <cell r="Z502">
            <v>78.650000000000006</v>
          </cell>
          <cell r="AA502">
            <v>75.350000000000009</v>
          </cell>
          <cell r="AB502">
            <v>72.050000000000011</v>
          </cell>
          <cell r="AC502">
            <v>68.750000000000014</v>
          </cell>
          <cell r="AD502">
            <v>65.45</v>
          </cell>
          <cell r="AE502">
            <v>62.150000000000006</v>
          </cell>
          <cell r="AF502">
            <v>58.850000000000009</v>
          </cell>
          <cell r="AG502">
            <v>55.550000000000004</v>
          </cell>
          <cell r="AH502">
            <v>52.250000000000007</v>
          </cell>
        </row>
        <row r="503">
          <cell r="B503" t="str">
            <v>e-methanol (PS) - Finance cost - Europe - USD/ton fuel</v>
          </cell>
          <cell r="G503">
            <v>163.90000000000003</v>
          </cell>
          <cell r="H503">
            <v>156.20000000000002</v>
          </cell>
          <cell r="I503">
            <v>148.50000000000003</v>
          </cell>
          <cell r="J503">
            <v>140.80000000000001</v>
          </cell>
          <cell r="K503">
            <v>133.10000000000002</v>
          </cell>
          <cell r="L503">
            <v>125.40000000000002</v>
          </cell>
          <cell r="M503">
            <v>117.70000000000002</v>
          </cell>
          <cell r="N503">
            <v>110.00000000000001</v>
          </cell>
          <cell r="O503">
            <v>107.52500000000002</v>
          </cell>
          <cell r="P503">
            <v>105.05000000000001</v>
          </cell>
          <cell r="Q503">
            <v>102.57500000000002</v>
          </cell>
          <cell r="R503">
            <v>100.10000000000001</v>
          </cell>
          <cell r="S503">
            <v>97.625000000000014</v>
          </cell>
          <cell r="T503">
            <v>95.15</v>
          </cell>
          <cell r="U503">
            <v>92.675000000000011</v>
          </cell>
          <cell r="V503">
            <v>90.200000000000017</v>
          </cell>
          <cell r="W503">
            <v>87.725000000000009</v>
          </cell>
          <cell r="X503">
            <v>85.250000000000014</v>
          </cell>
          <cell r="Y503">
            <v>81.950000000000017</v>
          </cell>
          <cell r="Z503">
            <v>78.650000000000006</v>
          </cell>
          <cell r="AA503">
            <v>75.350000000000009</v>
          </cell>
          <cell r="AB503">
            <v>72.050000000000011</v>
          </cell>
          <cell r="AC503">
            <v>68.750000000000014</v>
          </cell>
          <cell r="AD503">
            <v>65.45</v>
          </cell>
          <cell r="AE503">
            <v>62.150000000000006</v>
          </cell>
          <cell r="AF503">
            <v>58.850000000000009</v>
          </cell>
          <cell r="AG503">
            <v>55.550000000000004</v>
          </cell>
          <cell r="AH503">
            <v>52.250000000000007</v>
          </cell>
        </row>
        <row r="504">
          <cell r="B504" t="str">
            <v>e-methanol (PS) - Finance cost - Middle East - USD/ton fuel</v>
          </cell>
          <cell r="G504">
            <v>163.90000000000003</v>
          </cell>
          <cell r="H504">
            <v>156.20000000000002</v>
          </cell>
          <cell r="I504">
            <v>148.50000000000003</v>
          </cell>
          <cell r="J504">
            <v>140.80000000000001</v>
          </cell>
          <cell r="K504">
            <v>133.10000000000002</v>
          </cell>
          <cell r="L504">
            <v>125.40000000000002</v>
          </cell>
          <cell r="M504">
            <v>117.70000000000002</v>
          </cell>
          <cell r="N504">
            <v>110.00000000000001</v>
          </cell>
          <cell r="O504">
            <v>107.52500000000002</v>
          </cell>
          <cell r="P504">
            <v>105.05000000000001</v>
          </cell>
          <cell r="Q504">
            <v>102.57500000000002</v>
          </cell>
          <cell r="R504">
            <v>100.10000000000001</v>
          </cell>
          <cell r="S504">
            <v>97.625000000000014</v>
          </cell>
          <cell r="T504">
            <v>95.15</v>
          </cell>
          <cell r="U504">
            <v>92.675000000000011</v>
          </cell>
          <cell r="V504">
            <v>90.200000000000017</v>
          </cell>
          <cell r="W504">
            <v>87.725000000000009</v>
          </cell>
          <cell r="X504">
            <v>85.250000000000014</v>
          </cell>
          <cell r="Y504">
            <v>81.950000000000017</v>
          </cell>
          <cell r="Z504">
            <v>78.650000000000006</v>
          </cell>
          <cell r="AA504">
            <v>75.350000000000009</v>
          </cell>
          <cell r="AB504">
            <v>72.050000000000011</v>
          </cell>
          <cell r="AC504">
            <v>68.750000000000014</v>
          </cell>
          <cell r="AD504">
            <v>65.45</v>
          </cell>
          <cell r="AE504">
            <v>62.150000000000006</v>
          </cell>
          <cell r="AF504">
            <v>58.850000000000009</v>
          </cell>
          <cell r="AG504">
            <v>55.550000000000004</v>
          </cell>
          <cell r="AH504">
            <v>52.250000000000007</v>
          </cell>
        </row>
        <row r="505">
          <cell r="B505" t="str">
            <v>General - Weighted average cost of capital (WACC) - Africa - %</v>
          </cell>
          <cell r="G505">
            <v>5.5000000000000007E-2</v>
          </cell>
          <cell r="H505">
            <v>5.5000000000000007E-2</v>
          </cell>
          <cell r="I505">
            <v>5.5000000000000007E-2</v>
          </cell>
          <cell r="J505">
            <v>5.5000000000000007E-2</v>
          </cell>
          <cell r="K505">
            <v>5.5000000000000007E-2</v>
          </cell>
          <cell r="L505">
            <v>5.5000000000000007E-2</v>
          </cell>
          <cell r="M505">
            <v>5.5000000000000007E-2</v>
          </cell>
          <cell r="N505">
            <v>5.5000000000000007E-2</v>
          </cell>
          <cell r="O505">
            <v>5.5000000000000007E-2</v>
          </cell>
          <cell r="P505">
            <v>5.5000000000000007E-2</v>
          </cell>
          <cell r="Q505">
            <v>5.5000000000000007E-2</v>
          </cell>
          <cell r="R505">
            <v>5.5000000000000007E-2</v>
          </cell>
          <cell r="S505">
            <v>5.5000000000000007E-2</v>
          </cell>
          <cell r="T505">
            <v>5.5000000000000007E-2</v>
          </cell>
          <cell r="U505">
            <v>5.5000000000000007E-2</v>
          </cell>
          <cell r="V505">
            <v>5.5000000000000007E-2</v>
          </cell>
          <cell r="W505">
            <v>5.5000000000000007E-2</v>
          </cell>
          <cell r="X505">
            <v>5.5000000000000007E-2</v>
          </cell>
          <cell r="Y505">
            <v>5.5000000000000007E-2</v>
          </cell>
          <cell r="Z505">
            <v>5.5000000000000007E-2</v>
          </cell>
          <cell r="AA505">
            <v>5.5000000000000007E-2</v>
          </cell>
          <cell r="AB505">
            <v>5.5000000000000007E-2</v>
          </cell>
          <cell r="AC505">
            <v>5.5000000000000007E-2</v>
          </cell>
          <cell r="AD505">
            <v>5.5000000000000007E-2</v>
          </cell>
          <cell r="AE505">
            <v>5.5000000000000007E-2</v>
          </cell>
          <cell r="AF505">
            <v>5.5000000000000007E-2</v>
          </cell>
          <cell r="AG505">
            <v>5.5000000000000007E-2</v>
          </cell>
          <cell r="AH505">
            <v>5.5000000000000007E-2</v>
          </cell>
        </row>
        <row r="506">
          <cell r="B506" t="str">
            <v>General - Weighted average cost of capital (WACC) - Americas - %</v>
          </cell>
          <cell r="G506">
            <v>5.5000000000000007E-2</v>
          </cell>
          <cell r="H506">
            <v>5.5000000000000007E-2</v>
          </cell>
          <cell r="I506">
            <v>5.5000000000000007E-2</v>
          </cell>
          <cell r="J506">
            <v>5.5000000000000007E-2</v>
          </cell>
          <cell r="K506">
            <v>5.5000000000000007E-2</v>
          </cell>
          <cell r="L506">
            <v>5.5000000000000007E-2</v>
          </cell>
          <cell r="M506">
            <v>5.5000000000000007E-2</v>
          </cell>
          <cell r="N506">
            <v>5.5000000000000007E-2</v>
          </cell>
          <cell r="O506">
            <v>5.5000000000000007E-2</v>
          </cell>
          <cell r="P506">
            <v>5.5000000000000007E-2</v>
          </cell>
          <cell r="Q506">
            <v>5.5000000000000007E-2</v>
          </cell>
          <cell r="R506">
            <v>5.5000000000000007E-2</v>
          </cell>
          <cell r="S506">
            <v>5.5000000000000007E-2</v>
          </cell>
          <cell r="T506">
            <v>5.5000000000000007E-2</v>
          </cell>
          <cell r="U506">
            <v>5.5000000000000007E-2</v>
          </cell>
          <cell r="V506">
            <v>5.5000000000000007E-2</v>
          </cell>
          <cell r="W506">
            <v>5.5000000000000007E-2</v>
          </cell>
          <cell r="X506">
            <v>5.5000000000000007E-2</v>
          </cell>
          <cell r="Y506">
            <v>5.5000000000000007E-2</v>
          </cell>
          <cell r="Z506">
            <v>5.5000000000000007E-2</v>
          </cell>
          <cell r="AA506">
            <v>5.5000000000000007E-2</v>
          </cell>
          <cell r="AB506">
            <v>5.5000000000000007E-2</v>
          </cell>
          <cell r="AC506">
            <v>5.5000000000000007E-2</v>
          </cell>
          <cell r="AD506">
            <v>5.5000000000000007E-2</v>
          </cell>
          <cell r="AE506">
            <v>5.5000000000000007E-2</v>
          </cell>
          <cell r="AF506">
            <v>5.5000000000000007E-2</v>
          </cell>
          <cell r="AG506">
            <v>5.5000000000000007E-2</v>
          </cell>
          <cell r="AH506">
            <v>5.5000000000000007E-2</v>
          </cell>
        </row>
        <row r="507">
          <cell r="B507" t="str">
            <v>General - Weighted average cost of capital (WACC) - Asia - %</v>
          </cell>
          <cell r="G507">
            <v>5.5000000000000007E-2</v>
          </cell>
          <cell r="H507">
            <v>5.5000000000000007E-2</v>
          </cell>
          <cell r="I507">
            <v>5.5000000000000007E-2</v>
          </cell>
          <cell r="J507">
            <v>5.5000000000000007E-2</v>
          </cell>
          <cell r="K507">
            <v>5.5000000000000007E-2</v>
          </cell>
          <cell r="L507">
            <v>5.5000000000000007E-2</v>
          </cell>
          <cell r="M507">
            <v>5.5000000000000007E-2</v>
          </cell>
          <cell r="N507">
            <v>5.5000000000000007E-2</v>
          </cell>
          <cell r="O507">
            <v>5.5000000000000007E-2</v>
          </cell>
          <cell r="P507">
            <v>5.5000000000000007E-2</v>
          </cell>
          <cell r="Q507">
            <v>5.5000000000000007E-2</v>
          </cell>
          <cell r="R507">
            <v>5.5000000000000007E-2</v>
          </cell>
          <cell r="S507">
            <v>5.5000000000000007E-2</v>
          </cell>
          <cell r="T507">
            <v>5.5000000000000007E-2</v>
          </cell>
          <cell r="U507">
            <v>5.5000000000000007E-2</v>
          </cell>
          <cell r="V507">
            <v>5.5000000000000007E-2</v>
          </cell>
          <cell r="W507">
            <v>5.5000000000000007E-2</v>
          </cell>
          <cell r="X507">
            <v>5.5000000000000007E-2</v>
          </cell>
          <cell r="Y507">
            <v>5.5000000000000007E-2</v>
          </cell>
          <cell r="Z507">
            <v>5.5000000000000007E-2</v>
          </cell>
          <cell r="AA507">
            <v>5.5000000000000007E-2</v>
          </cell>
          <cell r="AB507">
            <v>5.5000000000000007E-2</v>
          </cell>
          <cell r="AC507">
            <v>5.5000000000000007E-2</v>
          </cell>
          <cell r="AD507">
            <v>5.5000000000000007E-2</v>
          </cell>
          <cell r="AE507">
            <v>5.5000000000000007E-2</v>
          </cell>
          <cell r="AF507">
            <v>5.5000000000000007E-2</v>
          </cell>
          <cell r="AG507">
            <v>5.5000000000000007E-2</v>
          </cell>
          <cell r="AH507">
            <v>5.5000000000000007E-2</v>
          </cell>
        </row>
        <row r="508">
          <cell r="B508" t="str">
            <v>General - Weighted average cost of capital (WACC) - Europe - %</v>
          </cell>
          <cell r="G508">
            <v>5.5000000000000007E-2</v>
          </cell>
          <cell r="H508">
            <v>5.5000000000000007E-2</v>
          </cell>
          <cell r="I508">
            <v>5.5000000000000007E-2</v>
          </cell>
          <cell r="J508">
            <v>5.5000000000000007E-2</v>
          </cell>
          <cell r="K508">
            <v>5.5000000000000007E-2</v>
          </cell>
          <cell r="L508">
            <v>5.5000000000000007E-2</v>
          </cell>
          <cell r="M508">
            <v>5.5000000000000007E-2</v>
          </cell>
          <cell r="N508">
            <v>5.5000000000000007E-2</v>
          </cell>
          <cell r="O508">
            <v>5.5000000000000007E-2</v>
          </cell>
          <cell r="P508">
            <v>5.5000000000000007E-2</v>
          </cell>
          <cell r="Q508">
            <v>5.5000000000000007E-2</v>
          </cell>
          <cell r="R508">
            <v>5.5000000000000007E-2</v>
          </cell>
          <cell r="S508">
            <v>5.5000000000000007E-2</v>
          </cell>
          <cell r="T508">
            <v>5.5000000000000007E-2</v>
          </cell>
          <cell r="U508">
            <v>5.5000000000000007E-2</v>
          </cell>
          <cell r="V508">
            <v>5.5000000000000007E-2</v>
          </cell>
          <cell r="W508">
            <v>5.5000000000000007E-2</v>
          </cell>
          <cell r="X508">
            <v>5.5000000000000007E-2</v>
          </cell>
          <cell r="Y508">
            <v>5.5000000000000007E-2</v>
          </cell>
          <cell r="Z508">
            <v>5.5000000000000007E-2</v>
          </cell>
          <cell r="AA508">
            <v>5.5000000000000007E-2</v>
          </cell>
          <cell r="AB508">
            <v>5.5000000000000007E-2</v>
          </cell>
          <cell r="AC508">
            <v>5.5000000000000007E-2</v>
          </cell>
          <cell r="AD508">
            <v>5.5000000000000007E-2</v>
          </cell>
          <cell r="AE508">
            <v>5.5000000000000007E-2</v>
          </cell>
          <cell r="AF508">
            <v>5.5000000000000007E-2</v>
          </cell>
          <cell r="AG508">
            <v>5.5000000000000007E-2</v>
          </cell>
          <cell r="AH508">
            <v>5.5000000000000007E-2</v>
          </cell>
        </row>
        <row r="509">
          <cell r="B509" t="str">
            <v>General - Weighted average cost of capital (WACC) - Middle East - %</v>
          </cell>
          <cell r="G509">
            <v>5.5000000000000007E-2</v>
          </cell>
          <cell r="H509">
            <v>5.5000000000000007E-2</v>
          </cell>
          <cell r="I509">
            <v>5.5000000000000007E-2</v>
          </cell>
          <cell r="J509">
            <v>5.5000000000000007E-2</v>
          </cell>
          <cell r="K509">
            <v>5.5000000000000007E-2</v>
          </cell>
          <cell r="L509">
            <v>5.5000000000000007E-2</v>
          </cell>
          <cell r="M509">
            <v>5.5000000000000007E-2</v>
          </cell>
          <cell r="N509">
            <v>5.5000000000000007E-2</v>
          </cell>
          <cell r="O509">
            <v>5.5000000000000007E-2</v>
          </cell>
          <cell r="P509">
            <v>5.5000000000000007E-2</v>
          </cell>
          <cell r="Q509">
            <v>5.5000000000000007E-2</v>
          </cell>
          <cell r="R509">
            <v>5.5000000000000007E-2</v>
          </cell>
          <cell r="S509">
            <v>5.5000000000000007E-2</v>
          </cell>
          <cell r="T509">
            <v>5.5000000000000007E-2</v>
          </cell>
          <cell r="U509">
            <v>5.5000000000000007E-2</v>
          </cell>
          <cell r="V509">
            <v>5.5000000000000007E-2</v>
          </cell>
          <cell r="W509">
            <v>5.5000000000000007E-2</v>
          </cell>
          <cell r="X509">
            <v>5.5000000000000007E-2</v>
          </cell>
          <cell r="Y509">
            <v>5.5000000000000007E-2</v>
          </cell>
          <cell r="Z509">
            <v>5.5000000000000007E-2</v>
          </cell>
          <cell r="AA509">
            <v>5.5000000000000007E-2</v>
          </cell>
          <cell r="AB509">
            <v>5.5000000000000007E-2</v>
          </cell>
          <cell r="AC509">
            <v>5.5000000000000007E-2</v>
          </cell>
          <cell r="AD509">
            <v>5.5000000000000007E-2</v>
          </cell>
          <cell r="AE509">
            <v>5.5000000000000007E-2</v>
          </cell>
          <cell r="AF509">
            <v>5.5000000000000007E-2</v>
          </cell>
          <cell r="AG509">
            <v>5.5000000000000007E-2</v>
          </cell>
          <cell r="AH509">
            <v>5.5000000000000007E-2</v>
          </cell>
        </row>
        <row r="510">
          <cell r="B510" t="str">
            <v>e-methanol - Total CAPEX - Global - USD/ton fuel</v>
          </cell>
          <cell r="G510">
            <v>2980</v>
          </cell>
          <cell r="H510">
            <v>2840</v>
          </cell>
          <cell r="I510">
            <v>2700</v>
          </cell>
          <cell r="J510">
            <v>2560</v>
          </cell>
          <cell r="K510">
            <v>2420</v>
          </cell>
          <cell r="L510">
            <v>2280</v>
          </cell>
          <cell r="M510">
            <v>2140</v>
          </cell>
          <cell r="N510">
            <v>2000</v>
          </cell>
          <cell r="O510">
            <v>1955</v>
          </cell>
          <cell r="P510">
            <v>1910</v>
          </cell>
          <cell r="Q510">
            <v>1865</v>
          </cell>
          <cell r="R510">
            <v>1820</v>
          </cell>
          <cell r="S510">
            <v>1775</v>
          </cell>
          <cell r="T510">
            <v>1730</v>
          </cell>
          <cell r="U510">
            <v>1685</v>
          </cell>
          <cell r="V510">
            <v>1640</v>
          </cell>
          <cell r="W510">
            <v>1595</v>
          </cell>
          <cell r="X510">
            <v>1550</v>
          </cell>
          <cell r="Y510">
            <v>1490</v>
          </cell>
          <cell r="Z510">
            <v>1430</v>
          </cell>
          <cell r="AA510">
            <v>1370</v>
          </cell>
          <cell r="AB510">
            <v>1310</v>
          </cell>
          <cell r="AC510">
            <v>1250</v>
          </cell>
          <cell r="AD510">
            <v>1190</v>
          </cell>
          <cell r="AE510">
            <v>1130</v>
          </cell>
          <cell r="AF510">
            <v>1070</v>
          </cell>
          <cell r="AG510">
            <v>1010</v>
          </cell>
          <cell r="AH510">
            <v>950</v>
          </cell>
        </row>
        <row r="511">
          <cell r="B511" t="str">
            <v/>
          </cell>
        </row>
        <row r="512">
          <cell r="B512" t="str">
            <v>e-methanol (PS) - Energy cost - Africa - USD/ton fuel</v>
          </cell>
          <cell r="G512">
            <v>99.26267178187409</v>
          </cell>
          <cell r="H512">
            <v>87.606603617621289</v>
          </cell>
          <cell r="I512">
            <v>75.950535453365404</v>
          </cell>
          <cell r="J512">
            <v>72.701221964566045</v>
          </cell>
          <cell r="K512">
            <v>69.451908475766686</v>
          </cell>
          <cell r="L512">
            <v>66.202594986967327</v>
          </cell>
          <cell r="M512">
            <v>62.953281498167186</v>
          </cell>
          <cell r="N512">
            <v>59.703968009367827</v>
          </cell>
          <cell r="O512">
            <v>57.890197067325836</v>
          </cell>
          <cell r="P512">
            <v>56.076426125283838</v>
          </cell>
          <cell r="Q512">
            <v>54.262655183241073</v>
          </cell>
          <cell r="R512">
            <v>52.448884241199082</v>
          </cell>
          <cell r="S512">
            <v>50.635113299157283</v>
          </cell>
          <cell r="T512">
            <v>49.781401120835163</v>
          </cell>
          <cell r="U512">
            <v>48.927688942513235</v>
          </cell>
          <cell r="V512">
            <v>48.073976764191116</v>
          </cell>
          <cell r="W512">
            <v>47.220264585868996</v>
          </cell>
          <cell r="X512">
            <v>46.36655240754726</v>
          </cell>
          <cell r="Y512">
            <v>45.488704803888616</v>
          </cell>
          <cell r="Z512">
            <v>44.610857200229972</v>
          </cell>
          <cell r="AA512">
            <v>43.733009596570945</v>
          </cell>
          <cell r="AB512">
            <v>42.855161992912301</v>
          </cell>
          <cell r="AC512">
            <v>41.977314389253465</v>
          </cell>
          <cell r="AD512">
            <v>41.546443275330866</v>
          </cell>
          <cell r="AE512">
            <v>41.115572161408451</v>
          </cell>
          <cell r="AF512">
            <v>40.684701047485852</v>
          </cell>
          <cell r="AG512">
            <v>40.253829933563246</v>
          </cell>
          <cell r="AH512">
            <v>39.822958819640839</v>
          </cell>
        </row>
        <row r="513">
          <cell r="B513" t="str">
            <v>e-methanol (PS) - Energy cost - Americas - USD/ton fuel</v>
          </cell>
          <cell r="G513">
            <v>62.36821371760395</v>
          </cell>
          <cell r="H513">
            <v>61.07665505835346</v>
          </cell>
          <cell r="I513">
            <v>59.785096399102578</v>
          </cell>
          <cell r="J513">
            <v>57.601855099917429</v>
          </cell>
          <cell r="K513">
            <v>55.418613800732281</v>
          </cell>
          <cell r="L513">
            <v>53.235372501547133</v>
          </cell>
          <cell r="M513">
            <v>51.052131202362759</v>
          </cell>
          <cell r="N513">
            <v>48.86888990317761</v>
          </cell>
          <cell r="O513">
            <v>47.818261773230411</v>
          </cell>
          <cell r="P513">
            <v>46.767633643283212</v>
          </cell>
          <cell r="Q513">
            <v>45.717005513336012</v>
          </cell>
          <cell r="R513">
            <v>44.666377383388813</v>
          </cell>
          <cell r="S513">
            <v>43.615749253441422</v>
          </cell>
          <cell r="T513">
            <v>42.764084248216705</v>
          </cell>
          <cell r="U513">
            <v>41.91241924299198</v>
          </cell>
          <cell r="V513">
            <v>41.060754237767071</v>
          </cell>
          <cell r="W513">
            <v>40.209089232542347</v>
          </cell>
          <cell r="X513">
            <v>39.35742422731753</v>
          </cell>
          <cell r="Y513">
            <v>39.014315503295393</v>
          </cell>
          <cell r="Z513">
            <v>38.671206779273248</v>
          </cell>
          <cell r="AA513">
            <v>38.328098055251203</v>
          </cell>
          <cell r="AB513">
            <v>37.984989331229066</v>
          </cell>
          <cell r="AC513">
            <v>37.641880607206922</v>
          </cell>
          <cell r="AD513">
            <v>37.383029360348445</v>
          </cell>
          <cell r="AE513">
            <v>37.124178113490061</v>
          </cell>
          <cell r="AF513">
            <v>36.865326866631683</v>
          </cell>
          <cell r="AG513">
            <v>36.606475619773299</v>
          </cell>
          <cell r="AH513">
            <v>36.347624372914915</v>
          </cell>
        </row>
        <row r="514">
          <cell r="B514" t="str">
            <v>e-methanol (PS) - Energy cost - Asia - USD/ton fuel</v>
          </cell>
          <cell r="G514">
            <v>110.40072423267556</v>
          </cell>
          <cell r="H514">
            <v>100.69934349262111</v>
          </cell>
          <cell r="I514">
            <v>90.997962752571311</v>
          </cell>
          <cell r="J514">
            <v>87.518158038180076</v>
          </cell>
          <cell r="K514">
            <v>84.038353323790389</v>
          </cell>
          <cell r="L514">
            <v>80.558548609399168</v>
          </cell>
          <cell r="M514">
            <v>77.078743895007932</v>
          </cell>
          <cell r="N514">
            <v>73.598939180618245</v>
          </cell>
          <cell r="O514">
            <v>71.233753712729865</v>
          </cell>
          <cell r="P514">
            <v>68.868568244842251</v>
          </cell>
          <cell r="Q514">
            <v>66.503382776955405</v>
          </cell>
          <cell r="R514">
            <v>64.138197309067792</v>
          </cell>
          <cell r="S514">
            <v>61.773011841180185</v>
          </cell>
          <cell r="T514">
            <v>60.570494246133691</v>
          </cell>
          <cell r="U514">
            <v>59.367976651087197</v>
          </cell>
          <cell r="V514">
            <v>58.165459056041094</v>
          </cell>
          <cell r="W514">
            <v>56.9629414609946</v>
          </cell>
          <cell r="X514">
            <v>55.76042386594888</v>
          </cell>
          <cell r="Y514">
            <v>54.501714899965805</v>
          </cell>
          <cell r="Z514">
            <v>53.243005933983113</v>
          </cell>
          <cell r="AA514">
            <v>51.984296968000031</v>
          </cell>
          <cell r="AB514">
            <v>50.725588002017339</v>
          </cell>
          <cell r="AC514">
            <v>49.466879036034264</v>
          </cell>
          <cell r="AD514">
            <v>48.889651788084429</v>
          </cell>
          <cell r="AE514">
            <v>48.312424540134394</v>
          </cell>
          <cell r="AF514">
            <v>47.735197292184559</v>
          </cell>
          <cell r="AG514">
            <v>47.157970044234716</v>
          </cell>
          <cell r="AH514">
            <v>46.580742796284689</v>
          </cell>
        </row>
        <row r="515">
          <cell r="B515" t="str">
            <v>e-methanol (PS) - Energy cost - Europe - USD/ton fuel</v>
          </cell>
          <cell r="G515">
            <v>82.187359108187323</v>
          </cell>
          <cell r="H515">
            <v>78.645118468410502</v>
          </cell>
          <cell r="I515">
            <v>75.102877828633694</v>
          </cell>
          <cell r="J515">
            <v>72.240725986131565</v>
          </cell>
          <cell r="K515">
            <v>69.378574143628654</v>
          </cell>
          <cell r="L515">
            <v>66.516422301126525</v>
          </cell>
          <cell r="M515">
            <v>63.654270458623614</v>
          </cell>
          <cell r="N515">
            <v>60.792118616121478</v>
          </cell>
          <cell r="O515">
            <v>59.602895117744033</v>
          </cell>
          <cell r="P515">
            <v>58.413671619367754</v>
          </cell>
          <cell r="Q515">
            <v>57.224448120991084</v>
          </cell>
          <cell r="R515">
            <v>56.035224622614415</v>
          </cell>
          <cell r="S515">
            <v>54.846001124238136</v>
          </cell>
          <cell r="T515">
            <v>54.135974250548429</v>
          </cell>
          <cell r="U515">
            <v>53.425947376858915</v>
          </cell>
          <cell r="V515">
            <v>52.7159205031694</v>
          </cell>
          <cell r="W515">
            <v>52.005893629479885</v>
          </cell>
          <cell r="X515">
            <v>51.29586675578998</v>
          </cell>
          <cell r="Y515">
            <v>50.536266188772764</v>
          </cell>
          <cell r="Z515">
            <v>49.776665621755349</v>
          </cell>
          <cell r="AA515">
            <v>49.017065054738133</v>
          </cell>
          <cell r="AB515">
            <v>48.257464487720718</v>
          </cell>
          <cell r="AC515">
            <v>47.497863920703502</v>
          </cell>
          <cell r="AD515">
            <v>46.943643703584165</v>
          </cell>
          <cell r="AE515">
            <v>46.389423486464636</v>
          </cell>
          <cell r="AF515">
            <v>45.8352032693453</v>
          </cell>
          <cell r="AG515">
            <v>45.280983052225963</v>
          </cell>
          <cell r="AH515">
            <v>44.726762835106435</v>
          </cell>
        </row>
        <row r="516">
          <cell r="B516" t="str">
            <v>e-methanol (PS) - Energy cost - Middle East - USD/ton fuel</v>
          </cell>
          <cell r="G516">
            <v>62.93453834437873</v>
          </cell>
          <cell r="H516">
            <v>60.157394930737972</v>
          </cell>
          <cell r="I516">
            <v>57.38025151709644</v>
          </cell>
          <cell r="J516">
            <v>55.541528116218657</v>
          </cell>
          <cell r="K516">
            <v>53.702804715340882</v>
          </cell>
          <cell r="L516">
            <v>51.8640813144631</v>
          </cell>
          <cell r="M516">
            <v>50.025357913585317</v>
          </cell>
          <cell r="N516">
            <v>48.186634512707542</v>
          </cell>
          <cell r="O516">
            <v>46.890122628117588</v>
          </cell>
          <cell r="P516">
            <v>45.593610743528025</v>
          </cell>
          <cell r="Q516">
            <v>44.297098858938078</v>
          </cell>
          <cell r="R516">
            <v>43.000586974348515</v>
          </cell>
          <cell r="S516">
            <v>41.704075089758952</v>
          </cell>
          <cell r="T516">
            <v>41.054017663680554</v>
          </cell>
          <cell r="U516">
            <v>40.403960237602156</v>
          </cell>
          <cell r="V516">
            <v>39.75390281152395</v>
          </cell>
          <cell r="W516">
            <v>39.103845385445545</v>
          </cell>
          <cell r="X516">
            <v>38.453787959367148</v>
          </cell>
          <cell r="Y516">
            <v>37.601305213839112</v>
          </cell>
          <cell r="Z516">
            <v>36.748822468311268</v>
          </cell>
          <cell r="AA516">
            <v>35.896339722783225</v>
          </cell>
          <cell r="AB516">
            <v>35.043856977255381</v>
          </cell>
          <cell r="AC516">
            <v>34.191374231727245</v>
          </cell>
          <cell r="AD516">
            <v>33.792385564257692</v>
          </cell>
          <cell r="AE516">
            <v>33.393396896788239</v>
          </cell>
          <cell r="AF516">
            <v>32.994408229318687</v>
          </cell>
          <cell r="AG516">
            <v>32.595419561849134</v>
          </cell>
          <cell r="AH516">
            <v>32.196430894379674</v>
          </cell>
        </row>
        <row r="517">
          <cell r="B517" t="str">
            <v>Renewable electricity - Cost of electricity - Africa - USD/MWh</v>
          </cell>
          <cell r="G517">
            <v>58.389806930514169</v>
          </cell>
          <cell r="H517">
            <v>51.533296245659585</v>
          </cell>
          <cell r="I517">
            <v>44.676785560803182</v>
          </cell>
          <cell r="J517">
            <v>42.765424685038852</v>
          </cell>
          <cell r="K517">
            <v>40.854063809274521</v>
          </cell>
          <cell r="L517">
            <v>38.942702933510191</v>
          </cell>
          <cell r="M517">
            <v>37.031342057745405</v>
          </cell>
          <cell r="N517">
            <v>35.119981181981075</v>
          </cell>
          <cell r="O517">
            <v>34.053057098426962</v>
          </cell>
          <cell r="P517">
            <v>32.986133014872848</v>
          </cell>
          <cell r="Q517">
            <v>31.919208931318281</v>
          </cell>
          <cell r="R517">
            <v>30.852284847764167</v>
          </cell>
          <cell r="S517">
            <v>29.785360764210168</v>
          </cell>
          <cell r="T517">
            <v>29.283177129903038</v>
          </cell>
          <cell r="U517">
            <v>28.780993495596022</v>
          </cell>
          <cell r="V517">
            <v>28.278809861288892</v>
          </cell>
          <cell r="W517">
            <v>27.776626226981762</v>
          </cell>
          <cell r="X517">
            <v>27.274442592674859</v>
          </cell>
          <cell r="Y517">
            <v>26.758061649346246</v>
          </cell>
          <cell r="Z517">
            <v>26.241680706017632</v>
          </cell>
          <cell r="AA517">
            <v>25.725299762688792</v>
          </cell>
          <cell r="AB517">
            <v>25.208918819360179</v>
          </cell>
          <cell r="AC517">
            <v>24.692537876031452</v>
          </cell>
          <cell r="AD517">
            <v>24.439084279606391</v>
          </cell>
          <cell r="AE517">
            <v>24.185630683181444</v>
          </cell>
          <cell r="AF517">
            <v>23.932177086756383</v>
          </cell>
          <cell r="AG517">
            <v>23.678723490331322</v>
          </cell>
          <cell r="AH517">
            <v>23.425269893906375</v>
          </cell>
        </row>
        <row r="518">
          <cell r="B518" t="str">
            <v>Renewable electricity - Cost of electricity - Americas - USD/MWh</v>
          </cell>
          <cell r="G518">
            <v>36.687184539767031</v>
          </cell>
          <cell r="H518">
            <v>35.927444151972622</v>
          </cell>
          <cell r="I518">
            <v>35.167703764177986</v>
          </cell>
          <cell r="J518">
            <v>33.883444176422017</v>
          </cell>
          <cell r="K518">
            <v>32.599184588666049</v>
          </cell>
          <cell r="L518">
            <v>31.31492500091008</v>
          </cell>
          <cell r="M518">
            <v>30.030665413154566</v>
          </cell>
          <cell r="N518">
            <v>28.746405825398597</v>
          </cell>
          <cell r="O518">
            <v>28.128389278370832</v>
          </cell>
          <cell r="P518">
            <v>27.510372731343068</v>
          </cell>
          <cell r="Q518">
            <v>26.892356184315304</v>
          </cell>
          <cell r="R518">
            <v>26.27433963728754</v>
          </cell>
          <cell r="S518">
            <v>25.656323090259662</v>
          </cell>
          <cell r="T518">
            <v>25.155343675421591</v>
          </cell>
          <cell r="U518">
            <v>24.65436426058352</v>
          </cell>
          <cell r="V518">
            <v>24.153384845745336</v>
          </cell>
          <cell r="W518">
            <v>23.652405430907265</v>
          </cell>
          <cell r="X518">
            <v>23.151426016069138</v>
          </cell>
          <cell r="Y518">
            <v>22.949597354879643</v>
          </cell>
          <cell r="Z518">
            <v>22.747768693690148</v>
          </cell>
          <cell r="AA518">
            <v>22.54594003250071</v>
          </cell>
          <cell r="AB518">
            <v>22.344111371311214</v>
          </cell>
          <cell r="AC518">
            <v>22.142282710121719</v>
          </cell>
          <cell r="AD518">
            <v>21.990017270793203</v>
          </cell>
          <cell r="AE518">
            <v>21.837751831464743</v>
          </cell>
          <cell r="AF518">
            <v>21.685486392136283</v>
          </cell>
          <cell r="AG518">
            <v>21.533220952807824</v>
          </cell>
          <cell r="AH518">
            <v>21.380955513479364</v>
          </cell>
        </row>
        <row r="519">
          <cell r="B519" t="str">
            <v>Renewable electricity - Cost of electricity - Asia - USD/MWh</v>
          </cell>
          <cell r="G519">
            <v>64.941602489809156</v>
          </cell>
          <cell r="H519">
            <v>59.234907936835953</v>
          </cell>
          <cell r="I519">
            <v>53.528213383865477</v>
          </cell>
          <cell r="J519">
            <v>51.481269434223577</v>
          </cell>
          <cell r="K519">
            <v>49.434325484582587</v>
          </cell>
          <cell r="L519">
            <v>47.387381534940687</v>
          </cell>
          <cell r="M519">
            <v>45.340437585298787</v>
          </cell>
          <cell r="N519">
            <v>43.293493635657796</v>
          </cell>
          <cell r="O519">
            <v>41.902208066311687</v>
          </cell>
          <cell r="P519">
            <v>40.510922496966032</v>
          </cell>
          <cell r="Q519">
            <v>39.119636927620832</v>
          </cell>
          <cell r="R519">
            <v>37.728351358275177</v>
          </cell>
          <cell r="S519">
            <v>36.337065788929522</v>
          </cell>
          <cell r="T519">
            <v>35.629702497725702</v>
          </cell>
          <cell r="U519">
            <v>34.922339206521883</v>
          </cell>
          <cell r="V519">
            <v>34.214975915318291</v>
          </cell>
          <cell r="W519">
            <v>33.507612624114472</v>
          </cell>
          <cell r="X519">
            <v>32.800249332911108</v>
          </cell>
          <cell r="Y519">
            <v>32.059832294097532</v>
          </cell>
          <cell r="Z519">
            <v>31.319415255284184</v>
          </cell>
          <cell r="AA519">
            <v>30.578998216470609</v>
          </cell>
          <cell r="AB519">
            <v>29.838581177657261</v>
          </cell>
          <cell r="AC519">
            <v>29.098164138843686</v>
          </cell>
          <cell r="AD519">
            <v>28.758618698873192</v>
          </cell>
          <cell r="AE519">
            <v>28.419073258902586</v>
          </cell>
          <cell r="AF519">
            <v>28.079527818932092</v>
          </cell>
          <cell r="AG519">
            <v>27.739982378961599</v>
          </cell>
          <cell r="AH519">
            <v>27.400436938990993</v>
          </cell>
        </row>
        <row r="520">
          <cell r="B520" t="str">
            <v>Renewable electricity - Cost of electricity - Europe - USD/MWh</v>
          </cell>
          <cell r="G520">
            <v>48.345505357757247</v>
          </cell>
          <cell r="H520">
            <v>46.261834393182653</v>
          </cell>
          <cell r="I520">
            <v>44.178163428608059</v>
          </cell>
          <cell r="J520">
            <v>42.49454469772445</v>
          </cell>
          <cell r="K520">
            <v>40.810925966840387</v>
          </cell>
          <cell r="L520">
            <v>39.127307235956778</v>
          </cell>
          <cell r="M520">
            <v>37.443688505072714</v>
          </cell>
          <cell r="N520">
            <v>35.760069774189105</v>
          </cell>
          <cell r="O520">
            <v>35.060526539849434</v>
          </cell>
          <cell r="P520">
            <v>34.360983305510445</v>
          </cell>
          <cell r="Q520">
            <v>33.661440071171228</v>
          </cell>
          <cell r="R520">
            <v>32.961896836832011</v>
          </cell>
          <cell r="S520">
            <v>32.262353602493022</v>
          </cell>
          <cell r="T520">
            <v>31.844690735616723</v>
          </cell>
          <cell r="U520">
            <v>31.427027868740538</v>
          </cell>
          <cell r="V520">
            <v>31.009365001864353</v>
          </cell>
          <cell r="W520">
            <v>30.591702134988168</v>
          </cell>
          <cell r="X520">
            <v>30.174039268111756</v>
          </cell>
          <cell r="Y520">
            <v>29.72721540516045</v>
          </cell>
          <cell r="Z520">
            <v>29.280391542209031</v>
          </cell>
          <cell r="AA520">
            <v>28.833567679257726</v>
          </cell>
          <cell r="AB520">
            <v>28.386743816306307</v>
          </cell>
          <cell r="AC520">
            <v>27.939919953355002</v>
          </cell>
          <cell r="AD520">
            <v>27.613908060931863</v>
          </cell>
          <cell r="AE520">
            <v>27.28789616850861</v>
          </cell>
          <cell r="AF520">
            <v>26.96188427608547</v>
          </cell>
          <cell r="AG520">
            <v>26.635872383662331</v>
          </cell>
          <cell r="AH520">
            <v>26.309860491239078</v>
          </cell>
        </row>
        <row r="521">
          <cell r="B521" t="str">
            <v>Renewable electricity - Cost of electricity - Middle East - USD/MWh</v>
          </cell>
          <cell r="G521">
            <v>37.020316673163961</v>
          </cell>
          <cell r="H521">
            <v>35.386702900434102</v>
          </cell>
          <cell r="I521">
            <v>33.753089127703788</v>
          </cell>
          <cell r="J521">
            <v>32.671487127187447</v>
          </cell>
          <cell r="K521">
            <v>31.589885126671106</v>
          </cell>
          <cell r="L521">
            <v>30.508283126154765</v>
          </cell>
          <cell r="M521">
            <v>29.426681125638424</v>
          </cell>
          <cell r="N521">
            <v>28.345079125122083</v>
          </cell>
          <cell r="O521">
            <v>27.58242507536329</v>
          </cell>
          <cell r="P521">
            <v>26.819771025604723</v>
          </cell>
          <cell r="Q521">
            <v>26.057116975845929</v>
          </cell>
          <cell r="R521">
            <v>25.294462926087363</v>
          </cell>
          <cell r="S521">
            <v>24.531808876328796</v>
          </cell>
          <cell r="T521">
            <v>24.149422155106208</v>
          </cell>
          <cell r="U521">
            <v>23.76703543388362</v>
          </cell>
          <cell r="V521">
            <v>23.384648712661146</v>
          </cell>
          <cell r="W521">
            <v>23.002261991438559</v>
          </cell>
          <cell r="X521">
            <v>22.619875270215971</v>
          </cell>
          <cell r="Y521">
            <v>22.118414831670066</v>
          </cell>
          <cell r="Z521">
            <v>21.616954393124274</v>
          </cell>
          <cell r="AA521">
            <v>21.115493954578369</v>
          </cell>
          <cell r="AB521">
            <v>20.614033516032578</v>
          </cell>
          <cell r="AC521">
            <v>20.112573077486616</v>
          </cell>
          <cell r="AD521">
            <v>19.877873861328055</v>
          </cell>
          <cell r="AE521">
            <v>19.643174645169552</v>
          </cell>
          <cell r="AF521">
            <v>19.408475429010991</v>
          </cell>
          <cell r="AG521">
            <v>19.173776212852431</v>
          </cell>
          <cell r="AH521">
            <v>18.939076996693927</v>
          </cell>
        </row>
        <row r="522">
          <cell r="B522" t="str">
            <v>e-methanol - Energy demand - Global - MWh/ton fuel</v>
          </cell>
          <cell r="G522">
            <v>1.7</v>
          </cell>
          <cell r="H522">
            <v>1.7</v>
          </cell>
          <cell r="I522">
            <v>1.7</v>
          </cell>
          <cell r="J522">
            <v>1.7</v>
          </cell>
          <cell r="K522">
            <v>1.7</v>
          </cell>
          <cell r="L522">
            <v>1.7</v>
          </cell>
          <cell r="M522">
            <v>1.7</v>
          </cell>
          <cell r="N522">
            <v>1.7</v>
          </cell>
          <cell r="O522">
            <v>1.7</v>
          </cell>
          <cell r="P522">
            <v>1.7</v>
          </cell>
          <cell r="Q522">
            <v>1.7</v>
          </cell>
          <cell r="R522">
            <v>1.7</v>
          </cell>
          <cell r="S522">
            <v>1.7</v>
          </cell>
          <cell r="T522">
            <v>1.7</v>
          </cell>
          <cell r="U522">
            <v>1.7</v>
          </cell>
          <cell r="V522">
            <v>1.7</v>
          </cell>
          <cell r="W522">
            <v>1.7</v>
          </cell>
          <cell r="X522">
            <v>1.7</v>
          </cell>
          <cell r="Y522">
            <v>1.7</v>
          </cell>
          <cell r="Z522">
            <v>1.7</v>
          </cell>
          <cell r="AA522">
            <v>1.7</v>
          </cell>
          <cell r="AB522">
            <v>1.7</v>
          </cell>
          <cell r="AC522">
            <v>1.7</v>
          </cell>
          <cell r="AD522">
            <v>1.7</v>
          </cell>
          <cell r="AE522">
            <v>1.7</v>
          </cell>
          <cell r="AF522">
            <v>1.7</v>
          </cell>
          <cell r="AG522">
            <v>1.7</v>
          </cell>
          <cell r="AH522">
            <v>1.7</v>
          </cell>
        </row>
        <row r="523">
          <cell r="B523" t="str">
            <v/>
          </cell>
        </row>
        <row r="524">
          <cell r="B524" t="str">
            <v>e-methanol (PS) - Feedstock cost - Africa - USD/ton fuel</v>
          </cell>
          <cell r="G524">
            <v>1106.3043007814915</v>
          </cell>
          <cell r="H524">
            <v>1013.0843544151489</v>
          </cell>
          <cell r="I524">
            <v>919.36014991215711</v>
          </cell>
          <cell r="J524">
            <v>884.06421561459933</v>
          </cell>
          <cell r="K524">
            <v>847.79625249224512</v>
          </cell>
          <cell r="L524">
            <v>810.57566179406786</v>
          </cell>
          <cell r="M524">
            <v>772.42184476905629</v>
          </cell>
          <cell r="N524">
            <v>733.35420266617575</v>
          </cell>
          <cell r="O524">
            <v>718.8411861172292</v>
          </cell>
          <cell r="P524">
            <v>702.89807315789278</v>
          </cell>
          <cell r="Q524">
            <v>685.53531379981541</v>
          </cell>
          <cell r="R524">
            <v>666.7633580546551</v>
          </cell>
          <cell r="S524">
            <v>646.59265593408452</v>
          </cell>
          <cell r="T524">
            <v>631.77674719168681</v>
          </cell>
          <cell r="U524">
            <v>615.9772183114203</v>
          </cell>
          <cell r="V524">
            <v>599.19747917181144</v>
          </cell>
          <cell r="W524">
            <v>581.44093965134493</v>
          </cell>
          <cell r="X524">
            <v>562.71100962853779</v>
          </cell>
          <cell r="Y524">
            <v>543.54025942978262</v>
          </cell>
          <cell r="Z524">
            <v>523.91276786431058</v>
          </cell>
          <cell r="AA524">
            <v>503.82654092709453</v>
          </cell>
          <cell r="AB524">
            <v>483.27958461308663</v>
          </cell>
          <cell r="AC524">
            <v>462.26990491725132</v>
          </cell>
          <cell r="AD524">
            <v>445.23508363651837</v>
          </cell>
          <cell r="AE524">
            <v>427.97130229870567</v>
          </cell>
          <cell r="AF524">
            <v>410.47730438900413</v>
          </cell>
          <cell r="AG524">
            <v>392.75183339260889</v>
          </cell>
          <cell r="AH524">
            <v>374.79363279471568</v>
          </cell>
        </row>
        <row r="525">
          <cell r="B525" t="str">
            <v>e-methanol (PS) - Feedstock cost - Americas - USD/ton fuel</v>
          </cell>
          <cell r="G525">
            <v>871.13503180879968</v>
          </cell>
          <cell r="H525">
            <v>844.16120983034398</v>
          </cell>
          <cell r="I525">
            <v>816.56030431685417</v>
          </cell>
          <cell r="J525">
            <v>788.22404453357785</v>
          </cell>
          <cell r="K525">
            <v>758.91823085104511</v>
          </cell>
          <cell r="L525">
            <v>728.65589913303529</v>
          </cell>
          <cell r="M525">
            <v>697.45008524334901</v>
          </cell>
          <cell r="N525">
            <v>665.31382504573844</v>
          </cell>
          <cell r="O525">
            <v>655.98025235652119</v>
          </cell>
          <cell r="P525">
            <v>645.17578768575129</v>
          </cell>
          <cell r="Q525">
            <v>632.90648421023593</v>
          </cell>
          <cell r="R525">
            <v>619.17839510677527</v>
          </cell>
          <cell r="S525">
            <v>603.99757355219549</v>
          </cell>
          <cell r="T525">
            <v>589.53172375410929</v>
          </cell>
          <cell r="U525">
            <v>574.09139689876133</v>
          </cell>
          <cell r="V525">
            <v>557.67999468790435</v>
          </cell>
          <cell r="W525">
            <v>540.30091882325155</v>
          </cell>
          <cell r="X525">
            <v>521.9575710065418</v>
          </cell>
          <cell r="Y525">
            <v>506.3434541288845</v>
          </cell>
          <cell r="Z525">
            <v>490.19418111271375</v>
          </cell>
          <cell r="AA525">
            <v>473.50897259665794</v>
          </cell>
          <cell r="AB525">
            <v>456.28704921931819</v>
          </cell>
          <cell r="AC525">
            <v>438.52763161931614</v>
          </cell>
          <cell r="AD525">
            <v>422.66465560877083</v>
          </cell>
          <cell r="AE525">
            <v>406.54984969670295</v>
          </cell>
          <cell r="AF525">
            <v>390.18245901602069</v>
          </cell>
          <cell r="AG525">
            <v>373.56172869963336</v>
          </cell>
          <cell r="AH525">
            <v>356.68690388045087</v>
          </cell>
        </row>
        <row r="526">
          <cell r="B526" t="str">
            <v>e-methanol (PS) - Feedstock cost - Asia - USD/ton fuel</v>
          </cell>
          <cell r="G526">
            <v>1177.2994526298157</v>
          </cell>
          <cell r="H526">
            <v>1096.4492650547224</v>
          </cell>
          <cell r="I526">
            <v>1015.0502946569113</v>
          </cell>
          <cell r="J526">
            <v>978.11171448797495</v>
          </cell>
          <cell r="K526">
            <v>940.17757782543094</v>
          </cell>
          <cell r="L526">
            <v>901.26866215283349</v>
          </cell>
          <cell r="M526">
            <v>861.40574495378928</v>
          </cell>
          <cell r="N526">
            <v>820.60960371186286</v>
          </cell>
          <cell r="O526">
            <v>802.12095370178974</v>
          </cell>
          <cell r="P526">
            <v>782.22003469620176</v>
          </cell>
          <cell r="Q526">
            <v>760.92047367253622</v>
          </cell>
          <cell r="R526">
            <v>738.23589760821551</v>
          </cell>
          <cell r="S526">
            <v>714.17993348070797</v>
          </cell>
          <cell r="T526">
            <v>696.72828069403113</v>
          </cell>
          <cell r="U526">
            <v>678.31267299649789</v>
          </cell>
          <cell r="V526">
            <v>658.93791345760815</v>
          </cell>
          <cell r="W526">
            <v>638.60880514680332</v>
          </cell>
          <cell r="X526">
            <v>617.33015113357203</v>
          </cell>
          <cell r="Y526">
            <v>595.3220053448905</v>
          </cell>
          <cell r="Z526">
            <v>572.91630095184519</v>
          </cell>
          <cell r="AA526">
            <v>550.11017883401348</v>
          </cell>
          <cell r="AB526">
            <v>526.90077987095219</v>
          </cell>
          <cell r="AC526">
            <v>503.28524494223097</v>
          </cell>
          <cell r="AD526">
            <v>485.04360678945784</v>
          </cell>
          <cell r="AE526">
            <v>466.59616124864823</v>
          </cell>
          <cell r="AF526">
            <v>447.94122499836419</v>
          </cell>
          <cell r="AG526">
            <v>429.07711471716618</v>
          </cell>
          <cell r="AH526">
            <v>410.00214708361466</v>
          </cell>
        </row>
        <row r="527">
          <cell r="B527" t="str">
            <v>e-methanol (PS) - Feedstock cost - Europe - USD/ton fuel</v>
          </cell>
          <cell r="G527">
            <v>997.46440965323859</v>
          </cell>
          <cell r="H527">
            <v>956.02422675704656</v>
          </cell>
          <cell r="I527">
            <v>913.96969484022247</v>
          </cell>
          <cell r="J527">
            <v>881.14131071726797</v>
          </cell>
          <cell r="K527">
            <v>847.33179916822257</v>
          </cell>
          <cell r="L527">
            <v>812.55824974776249</v>
          </cell>
          <cell r="M527">
            <v>776.83775201056415</v>
          </cell>
          <cell r="N527">
            <v>740.18739551128579</v>
          </cell>
          <cell r="O527">
            <v>729.53047229270214</v>
          </cell>
          <cell r="P527">
            <v>717.39094663088622</v>
          </cell>
          <cell r="Q527">
            <v>703.77567021758523</v>
          </cell>
          <cell r="R527">
            <v>688.69149474455321</v>
          </cell>
          <cell r="S527">
            <v>672.14527190357308</v>
          </cell>
          <cell r="T527">
            <v>657.991758892696</v>
          </cell>
          <cell r="U527">
            <v>642.83481003905501</v>
          </cell>
          <cell r="V527">
            <v>626.67726131647805</v>
          </cell>
          <cell r="W527">
            <v>609.52194869874597</v>
          </cell>
          <cell r="X527">
            <v>591.37170815967102</v>
          </cell>
          <cell r="Y527">
            <v>572.5396212785771</v>
          </cell>
          <cell r="Z527">
            <v>553.23835894434535</v>
          </cell>
          <cell r="AA527">
            <v>533.46619574662259</v>
          </cell>
          <cell r="AB527">
            <v>513.22140627502347</v>
          </cell>
          <cell r="AC527">
            <v>492.50226511918765</v>
          </cell>
          <cell r="AD527">
            <v>474.49403465718194</v>
          </cell>
          <cell r="AE527">
            <v>456.27558767704829</v>
          </cell>
          <cell r="AF527">
            <v>437.84530795090382</v>
          </cell>
          <cell r="AG527">
            <v>419.20157925086443</v>
          </cell>
          <cell r="AH527">
            <v>400.34278534904564</v>
          </cell>
        </row>
        <row r="528">
          <cell r="B528" t="str">
            <v>e-methanol (PS) - Feedstock cost - Middle East - USD/ton fuel</v>
          </cell>
          <cell r="G528">
            <v>874.74484627599827</v>
          </cell>
          <cell r="H528">
            <v>838.30803936145549</v>
          </cell>
          <cell r="I528">
            <v>801.26732763239511</v>
          </cell>
          <cell r="J528">
            <v>775.14653655787288</v>
          </cell>
          <cell r="K528">
            <v>748.05138022509209</v>
          </cell>
          <cell r="L528">
            <v>719.99283742406908</v>
          </cell>
          <cell r="M528">
            <v>690.98188694483861</v>
          </cell>
          <cell r="N528">
            <v>661.02950757740007</v>
          </cell>
          <cell r="O528">
            <v>650.18755297769769</v>
          </cell>
          <cell r="P528">
            <v>637.89586549374485</v>
          </cell>
          <cell r="Q528">
            <v>624.16191495758017</v>
          </cell>
          <cell r="R528">
            <v>608.99317120124579</v>
          </cell>
          <cell r="S528">
            <v>592.39710405680262</v>
          </cell>
          <cell r="T528">
            <v>579.23693384296314</v>
          </cell>
          <cell r="U528">
            <v>565.08489433872614</v>
          </cell>
          <cell r="V528">
            <v>549.94358198926352</v>
          </cell>
          <cell r="W528">
            <v>533.81559323970168</v>
          </cell>
          <cell r="X528">
            <v>516.70352453519899</v>
          </cell>
          <cell r="Y528">
            <v>498.22539601022072</v>
          </cell>
          <cell r="Z528">
            <v>479.28106711355025</v>
          </cell>
          <cell r="AA528">
            <v>459.86860145568926</v>
          </cell>
          <cell r="AB528">
            <v>439.98606264711862</v>
          </cell>
          <cell r="AC528">
            <v>419.63151429833277</v>
          </cell>
          <cell r="AD528">
            <v>403.19929160032893</v>
          </cell>
          <cell r="AE528">
            <v>386.52708270287542</v>
          </cell>
          <cell r="AF528">
            <v>369.61372406738099</v>
          </cell>
          <cell r="AG528">
            <v>352.45805215525706</v>
          </cell>
          <cell r="AH528">
            <v>335.05890342791508</v>
          </cell>
        </row>
        <row r="529">
          <cell r="B529" t="str">
            <v>e-hydrogen (compressed) - Cost - Africa - USD/ton H2</v>
          </cell>
          <cell r="G529">
            <v>4633.1233423090589</v>
          </cell>
          <cell r="H529">
            <v>4201.9656446218651</v>
          </cell>
          <cell r="I529">
            <v>3768.1364126730182</v>
          </cell>
          <cell r="J529">
            <v>3627.6640614332246</v>
          </cell>
          <cell r="K529">
            <v>3482.0419503382509</v>
          </cell>
          <cell r="L529">
            <v>3331.3728662299636</v>
          </cell>
          <cell r="M529">
            <v>3175.7595959503119</v>
          </cell>
          <cell r="N529">
            <v>3015.3049263411149</v>
          </cell>
          <cell r="O529">
            <v>2957.5120355923382</v>
          </cell>
          <cell r="P529">
            <v>2892.1425659444694</v>
          </cell>
          <cell r="Q529">
            <v>2819.2518810339607</v>
          </cell>
          <cell r="R529">
            <v>2738.8953444973072</v>
          </cell>
          <cell r="S529">
            <v>2651.1283199710874</v>
          </cell>
          <cell r="T529">
            <v>2589.8814487511354</v>
          </cell>
          <cell r="U529">
            <v>2523.4234074819769</v>
          </cell>
          <cell r="V529">
            <v>2451.7722615286521</v>
          </cell>
          <cell r="W529">
            <v>2374.9460762559747</v>
          </cell>
          <cell r="X529">
            <v>2292.9629170289318</v>
          </cell>
          <cell r="Y529">
            <v>2208.6908045163059</v>
          </cell>
          <cell r="Z529">
            <v>2121.9988992007134</v>
          </cell>
          <cell r="AA529">
            <v>2032.876636943749</v>
          </cell>
          <cell r="AB529">
            <v>1941.3134536068953</v>
          </cell>
          <cell r="AC529">
            <v>1847.2987850517036</v>
          </cell>
          <cell r="AD529">
            <v>1773.4817469024235</v>
          </cell>
          <cell r="AE529">
            <v>1698.451689879309</v>
          </cell>
          <cell r="AF529">
            <v>1622.2019570300602</v>
          </cell>
          <cell r="AG529">
            <v>1544.7258914023987</v>
          </cell>
          <cell r="AH529">
            <v>1466.0168360440496</v>
          </cell>
        </row>
        <row r="530">
          <cell r="B530" t="str">
            <v>e-hydrogen (compressed) - Cost - Americas - USD/ton H2</v>
          </cell>
          <cell r="G530">
            <v>3458.2747756282647</v>
          </cell>
          <cell r="H530">
            <v>3358.1215141660286</v>
          </cell>
          <cell r="I530">
            <v>3254.6459956552549</v>
          </cell>
          <cell r="J530">
            <v>3148.9921734049194</v>
          </cell>
          <cell r="K530">
            <v>3038.2017033305151</v>
          </cell>
          <cell r="L530">
            <v>2922.3436487831009</v>
          </cell>
          <cell r="M530">
            <v>2801.4870731138512</v>
          </cell>
          <cell r="N530">
            <v>2675.701039673685</v>
          </cell>
          <cell r="O530">
            <v>2643.8786103743646</v>
          </cell>
          <cell r="P530">
            <v>2604.2634692905026</v>
          </cell>
          <cell r="Q530">
            <v>2556.8876858485628</v>
          </cell>
          <cell r="R530">
            <v>2501.7833294749726</v>
          </cell>
          <cell r="S530">
            <v>2438.9824695962966</v>
          </cell>
          <cell r="T530">
            <v>2379.5862497865878</v>
          </cell>
          <cell r="U530">
            <v>2315.0272995091577</v>
          </cell>
          <cell r="V530">
            <v>2245.3236408089065</v>
          </cell>
          <cell r="W530">
            <v>2170.4932957305264</v>
          </cell>
          <cell r="X530">
            <v>2090.5542863188448</v>
          </cell>
          <cell r="Y530">
            <v>2024.0950200699413</v>
          </cell>
          <cell r="Z530">
            <v>1954.8005234985762</v>
          </cell>
          <cell r="AA530">
            <v>1882.6666675873769</v>
          </cell>
          <cell r="AB530">
            <v>1807.6893233188264</v>
          </cell>
          <cell r="AC530">
            <v>1729.8643616755162</v>
          </cell>
          <cell r="AD530">
            <v>1661.9243548242082</v>
          </cell>
          <cell r="AE530">
            <v>1592.6501658127502</v>
          </cell>
          <cell r="AF530">
            <v>1522.0377953932327</v>
          </cell>
          <cell r="AG530">
            <v>1450.083244317753</v>
          </cell>
          <cell r="AH530">
            <v>1376.7825133384104</v>
          </cell>
        </row>
        <row r="531">
          <cell r="B531" t="str">
            <v>e-hydrogen (compressed) - Cost - Asia - USD/ton H2</v>
          </cell>
          <cell r="G531">
            <v>4987.7978827141424</v>
          </cell>
          <cell r="H531">
            <v>4618.4094108214867</v>
          </cell>
          <cell r="I531">
            <v>4246.1135151183844</v>
          </cell>
          <cell r="J531">
            <v>4097.3824826576747</v>
          </cell>
          <cell r="K531">
            <v>3943.3770419350276</v>
          </cell>
          <cell r="L531">
            <v>3784.2072710139482</v>
          </cell>
          <cell r="M531">
            <v>3619.9832479582124</v>
          </cell>
          <cell r="N531">
            <v>3450.8150508313697</v>
          </cell>
          <cell r="O531">
            <v>3373.0215929007072</v>
          </cell>
          <cell r="P531">
            <v>3287.7460048188714</v>
          </cell>
          <cell r="Q531">
            <v>3195.0604816273712</v>
          </cell>
          <cell r="R531">
            <v>3095.0372183676395</v>
          </cell>
          <cell r="S531">
            <v>2987.7484100813476</v>
          </cell>
          <cell r="T531">
            <v>2913.2093711775688</v>
          </cell>
          <cell r="U531">
            <v>2833.5633476088337</v>
          </cell>
          <cell r="V531">
            <v>2748.8357857959254</v>
          </cell>
          <cell r="W531">
            <v>2659.0521321593251</v>
          </cell>
          <cell r="X531">
            <v>2564.2378331197551</v>
          </cell>
          <cell r="Y531">
            <v>2465.6669595887115</v>
          </cell>
          <cell r="Z531">
            <v>2364.9898405548524</v>
          </cell>
          <cell r="AA531">
            <v>2262.1913285418932</v>
          </cell>
          <cell r="AB531">
            <v>2157.2562760734354</v>
          </cell>
          <cell r="AC531">
            <v>2050.1695356731543</v>
          </cell>
          <cell r="AD531">
            <v>1970.240754749665</v>
          </cell>
          <cell r="AE531">
            <v>1889.2216166291751</v>
          </cell>
          <cell r="AF531">
            <v>1807.1032031593165</v>
          </cell>
          <cell r="AG531">
            <v>1723.8765961877139</v>
          </cell>
          <cell r="AH531">
            <v>1639.532877561993</v>
          </cell>
        </row>
        <row r="532">
          <cell r="B532" t="str">
            <v>e-hydrogen (compressed) - Cost - Europe - USD/ton H2</v>
          </cell>
          <cell r="G532">
            <v>4089.3856734873298</v>
          </cell>
          <cell r="H532">
            <v>3916.9256406265708</v>
          </cell>
          <cell r="I532">
            <v>3741.2108175344811</v>
          </cell>
          <cell r="J532">
            <v>3613.0656692355524</v>
          </cell>
          <cell r="K532">
            <v>3479.7225571491235</v>
          </cell>
          <cell r="L532">
            <v>3341.2720208768683</v>
          </cell>
          <cell r="M532">
            <v>3197.8046000204672</v>
          </cell>
          <cell r="N532">
            <v>3049.4108341814967</v>
          </cell>
          <cell r="O532">
            <v>3010.8443238003165</v>
          </cell>
          <cell r="P532">
            <v>2964.4230601972345</v>
          </cell>
          <cell r="Q532">
            <v>2910.1833432907338</v>
          </cell>
          <cell r="R532">
            <v>2848.1614729993285</v>
          </cell>
          <cell r="S532">
            <v>2778.3937492416853</v>
          </cell>
          <cell r="T532">
            <v>2720.379449531456</v>
          </cell>
          <cell r="U532">
            <v>2657.0489971635134</v>
          </cell>
          <cell r="V532">
            <v>2588.4174169846506</v>
          </cell>
          <cell r="W532">
            <v>2514.4997338414096</v>
          </cell>
          <cell r="X532">
            <v>2435.3109725804993</v>
          </cell>
          <cell r="Y532">
            <v>2352.605312916116</v>
          </cell>
          <cell r="Z532">
            <v>2267.4139852839012</v>
          </cell>
          <cell r="AA532">
            <v>2179.7278485465313</v>
          </cell>
          <cell r="AB532">
            <v>2089.5377615665116</v>
          </cell>
          <cell r="AC532">
            <v>1996.8345832064804</v>
          </cell>
          <cell r="AD532">
            <v>1918.0980681700892</v>
          </cell>
          <cell r="AE532">
            <v>1838.2478365870952</v>
          </cell>
          <cell r="AF532">
            <v>1757.2753257634138</v>
          </cell>
          <cell r="AG532">
            <v>1675.1719730049533</v>
          </cell>
          <cell r="AH532">
            <v>1591.929215617622</v>
          </cell>
        </row>
        <row r="533">
          <cell r="B533" t="str">
            <v>e-hydrogen (compressed) - Cost - Middle East - USD/ton H2</v>
          </cell>
          <cell r="G533">
            <v>3476.3085322126099</v>
          </cell>
          <cell r="H533">
            <v>3328.8823974252828</v>
          </cell>
          <cell r="I533">
            <v>3178.2568052856477</v>
          </cell>
          <cell r="J533">
            <v>3083.6768117686811</v>
          </cell>
          <cell r="K533">
            <v>2983.9346800894909</v>
          </cell>
          <cell r="L533">
            <v>2879.0885753257426</v>
          </cell>
          <cell r="M533">
            <v>2769.1966625551941</v>
          </cell>
          <cell r="N533">
            <v>2654.3171068554188</v>
          </cell>
          <cell r="O533">
            <v>2614.9769692636173</v>
          </cell>
          <cell r="P533">
            <v>2567.9562197212276</v>
          </cell>
          <cell r="Q533">
            <v>2513.2944330229238</v>
          </cell>
          <cell r="R533">
            <v>2451.0311839633964</v>
          </cell>
          <cell r="S533">
            <v>2381.2060473374368</v>
          </cell>
          <cell r="T533">
            <v>2328.338914207246</v>
          </cell>
          <cell r="U533">
            <v>2270.2169074323938</v>
          </cell>
          <cell r="V533">
            <v>2206.8537828488898</v>
          </cell>
          <cell r="W533">
            <v>2138.2632962925059</v>
          </cell>
          <cell r="X533">
            <v>2064.4592035991823</v>
          </cell>
          <cell r="Y533">
            <v>1983.8077079076854</v>
          </cell>
          <cell r="Z533">
            <v>1900.6863060803155</v>
          </cell>
          <cell r="AA533">
            <v>1815.084739222842</v>
          </cell>
          <cell r="AB533">
            <v>1726.9927484409238</v>
          </cell>
          <cell r="AC533">
            <v>1636.4000748402937</v>
          </cell>
          <cell r="AD533">
            <v>1565.7141614700843</v>
          </cell>
          <cell r="AE533">
            <v>1493.7568132779884</v>
          </cell>
          <cell r="AF533">
            <v>1420.5218658950355</v>
          </cell>
          <cell r="AG533">
            <v>1346.0031549522671</v>
          </cell>
          <cell r="AH533">
            <v>1270.1945160807259</v>
          </cell>
        </row>
        <row r="534">
          <cell r="B534" t="str">
            <v>Carbon dioxide (PS) - Cost - Africa - USD/ton CO2</v>
          </cell>
          <cell r="G534">
            <v>168.75874645206471</v>
          </cell>
          <cell r="H534">
            <v>160.13998331054682</v>
          </cell>
          <cell r="I534">
            <v>151.52122016902811</v>
          </cell>
          <cell r="J534">
            <v>145.12777444160082</v>
          </cell>
          <cell r="K534">
            <v>138.73432871417356</v>
          </cell>
          <cell r="L534">
            <v>132.34088298674627</v>
          </cell>
          <cell r="M534">
            <v>125.94743725931876</v>
          </cell>
          <cell r="N534">
            <v>119.55399153189148</v>
          </cell>
          <cell r="O534">
            <v>116.92970902762548</v>
          </cell>
          <cell r="P534">
            <v>114.30542652335946</v>
          </cell>
          <cell r="Q534">
            <v>111.68114401909322</v>
          </cell>
          <cell r="R534">
            <v>109.0568615148272</v>
          </cell>
          <cell r="S534">
            <v>106.43257901056124</v>
          </cell>
          <cell r="T534">
            <v>104.06242970845638</v>
          </cell>
          <cell r="U534">
            <v>101.69228040635156</v>
          </cell>
          <cell r="V534">
            <v>99.322131104246679</v>
          </cell>
          <cell r="W534">
            <v>96.951981802141802</v>
          </cell>
          <cell r="X534">
            <v>94.581832500037024</v>
          </cell>
          <cell r="Y534">
            <v>92.20529440887249</v>
          </cell>
          <cell r="Z534">
            <v>89.828756317707942</v>
          </cell>
          <cell r="AA534">
            <v>87.452218226543295</v>
          </cell>
          <cell r="AB534">
            <v>85.075680135378761</v>
          </cell>
          <cell r="AC534">
            <v>82.699142044214156</v>
          </cell>
          <cell r="AD534">
            <v>80.440921259156212</v>
          </cell>
          <cell r="AE534">
            <v>78.182700474098326</v>
          </cell>
          <cell r="AF534">
            <v>75.924479689040368</v>
          </cell>
          <cell r="AG534">
            <v>73.666258903982438</v>
          </cell>
          <cell r="AH534">
            <v>71.408038118924537</v>
          </cell>
        </row>
        <row r="535">
          <cell r="B535" t="str">
            <v>Carbon dioxide (PS) - Cost - Americas - USD/ton CO2</v>
          </cell>
          <cell r="G535">
            <v>158.99256637622852</v>
          </cell>
          <cell r="H535">
            <v>153.11734986838769</v>
          </cell>
          <cell r="I535">
            <v>147.24213336054677</v>
          </cell>
          <cell r="J535">
            <v>141.13088321272323</v>
          </cell>
          <cell r="K535">
            <v>135.01963306489972</v>
          </cell>
          <cell r="L535">
            <v>128.90838291707621</v>
          </cell>
          <cell r="M535">
            <v>122.79713276925288</v>
          </cell>
          <cell r="N535">
            <v>116.68588262142937</v>
          </cell>
          <cell r="O535">
            <v>114.26360850860023</v>
          </cell>
          <cell r="P535">
            <v>111.84133439577106</v>
          </cell>
          <cell r="Q535">
            <v>109.41906028294189</v>
          </cell>
          <cell r="R535">
            <v>106.99678617011273</v>
          </cell>
          <cell r="S535">
            <v>104.57451205728351</v>
          </cell>
          <cell r="T535">
            <v>102.20490465393972</v>
          </cell>
          <cell r="U535">
            <v>99.835297250595929</v>
          </cell>
          <cell r="V535">
            <v>97.465689847252079</v>
          </cell>
          <cell r="W535">
            <v>95.096082443908287</v>
          </cell>
          <cell r="X535">
            <v>92.726475040564452</v>
          </cell>
          <cell r="Y535">
            <v>90.491485476362513</v>
          </cell>
          <cell r="Z535">
            <v>88.256495912160574</v>
          </cell>
          <cell r="AA535">
            <v>86.021506347958649</v>
          </cell>
          <cell r="AB535">
            <v>83.786516783756724</v>
          </cell>
          <cell r="AC535">
            <v>81.551527219554785</v>
          </cell>
          <cell r="AD535">
            <v>79.338841105190284</v>
          </cell>
          <cell r="AE535">
            <v>77.12615499082581</v>
          </cell>
          <cell r="AF535">
            <v>74.913468876461323</v>
          </cell>
          <cell r="AG535">
            <v>72.700782762096864</v>
          </cell>
          <cell r="AH535">
            <v>70.488096647732377</v>
          </cell>
        </row>
        <row r="536">
          <cell r="B536" t="str">
            <v>Carbon dioxide (PS) - Cost - Asia - USD/ton CO2</v>
          </cell>
          <cell r="G536">
            <v>171.70705445374747</v>
          </cell>
          <cell r="H536">
            <v>163.6057085715762</v>
          </cell>
          <cell r="I536">
            <v>155.50436268940615</v>
          </cell>
          <cell r="J536">
            <v>149.04990457873393</v>
          </cell>
          <cell r="K536">
            <v>142.59544646806216</v>
          </cell>
          <cell r="L536">
            <v>136.14098835738997</v>
          </cell>
          <cell r="M536">
            <v>129.68653024671778</v>
          </cell>
          <cell r="N536">
            <v>123.23207213604601</v>
          </cell>
          <cell r="O536">
            <v>120.46182696317361</v>
          </cell>
          <cell r="P536">
            <v>117.69158179030138</v>
          </cell>
          <cell r="Q536">
            <v>114.92133661742938</v>
          </cell>
          <cell r="R536">
            <v>112.15109144455717</v>
          </cell>
          <cell r="S536">
            <v>109.38084627168496</v>
          </cell>
          <cell r="T536">
            <v>106.91836612397657</v>
          </cell>
          <cell r="U536">
            <v>104.45588597626819</v>
          </cell>
          <cell r="V536">
            <v>101.99340582855991</v>
          </cell>
          <cell r="W536">
            <v>99.530925680851524</v>
          </cell>
          <cell r="X536">
            <v>97.068445533143333</v>
          </cell>
          <cell r="Y536">
            <v>94.591091199010563</v>
          </cell>
          <cell r="Z536">
            <v>92.113736864877893</v>
          </cell>
          <cell r="AA536">
            <v>89.636382530745109</v>
          </cell>
          <cell r="AB536">
            <v>87.159028196612454</v>
          </cell>
          <cell r="AC536">
            <v>84.68167386247967</v>
          </cell>
          <cell r="AD536">
            <v>82.384711747826273</v>
          </cell>
          <cell r="AE536">
            <v>80.087749633172848</v>
          </cell>
          <cell r="AF536">
            <v>77.790787518519437</v>
          </cell>
          <cell r="AG536">
            <v>75.493825403866055</v>
          </cell>
          <cell r="AH536">
            <v>73.196863289212615</v>
          </cell>
        </row>
        <row r="537">
          <cell r="B537" t="str">
            <v>Carbon dioxide (PS) - Cost - Europe - USD/ton CO2</v>
          </cell>
          <cell r="G537">
            <v>164.2388107443241</v>
          </cell>
          <cell r="H537">
            <v>157.76782547693222</v>
          </cell>
          <cell r="I537">
            <v>151.29684020954031</v>
          </cell>
          <cell r="J537">
            <v>145.00587844730933</v>
          </cell>
          <cell r="K537">
            <v>138.71491668507818</v>
          </cell>
          <cell r="L537">
            <v>132.42395492284723</v>
          </cell>
          <cell r="M537">
            <v>126.13299316061605</v>
          </cell>
          <cell r="N537">
            <v>119.8420313983851</v>
          </cell>
          <cell r="O537">
            <v>117.3830702762656</v>
          </cell>
          <cell r="P537">
            <v>114.92410915414638</v>
          </cell>
          <cell r="Q537">
            <v>112.46514803202705</v>
          </cell>
          <cell r="R537">
            <v>110.00618690990774</v>
          </cell>
          <cell r="S537">
            <v>107.54722578778853</v>
          </cell>
          <cell r="T537">
            <v>105.21511083102753</v>
          </cell>
          <cell r="U537">
            <v>102.88299587426658</v>
          </cell>
          <cell r="V537">
            <v>100.55088091750564</v>
          </cell>
          <cell r="W537">
            <v>98.21876596074469</v>
          </cell>
          <cell r="X537">
            <v>95.88665100398363</v>
          </cell>
          <cell r="Y537">
            <v>93.541413598988882</v>
          </cell>
          <cell r="Z537">
            <v>91.196176193994077</v>
          </cell>
          <cell r="AA537">
            <v>88.850938788999315</v>
          </cell>
          <cell r="AB537">
            <v>86.505701384004524</v>
          </cell>
          <cell r="AC537">
            <v>84.160463979009762</v>
          </cell>
          <cell r="AD537">
            <v>81.869591960752686</v>
          </cell>
          <cell r="AE537">
            <v>79.578719942495553</v>
          </cell>
          <cell r="AF537">
            <v>77.287847924238463</v>
          </cell>
          <cell r="AG537">
            <v>74.996975905981387</v>
          </cell>
          <cell r="AH537">
            <v>72.706103887724254</v>
          </cell>
        </row>
        <row r="538">
          <cell r="B538" t="str">
            <v>Carbon dioxide (PS) - Cost - Middle East - USD/ton CO2</v>
          </cell>
          <cell r="G538">
            <v>159.14247583625712</v>
          </cell>
          <cell r="H538">
            <v>152.87401630519537</v>
          </cell>
          <cell r="I538">
            <v>146.60555677413339</v>
          </cell>
          <cell r="J538">
            <v>140.58550254056769</v>
          </cell>
          <cell r="K538">
            <v>134.56544830700201</v>
          </cell>
          <cell r="L538">
            <v>128.54539407343631</v>
          </cell>
          <cell r="M538">
            <v>122.52533983987063</v>
          </cell>
          <cell r="N538">
            <v>116.50528560630494</v>
          </cell>
          <cell r="O538">
            <v>114.01792461724683</v>
          </cell>
          <cell r="P538">
            <v>111.5305636281888</v>
          </cell>
          <cell r="Q538">
            <v>109.04320263913067</v>
          </cell>
          <cell r="R538">
            <v>106.55584165007265</v>
          </cell>
          <cell r="S538">
            <v>104.06848066101463</v>
          </cell>
          <cell r="T538">
            <v>101.7522399697978</v>
          </cell>
          <cell r="U538">
            <v>99.435999278580965</v>
          </cell>
          <cell r="V538">
            <v>97.119758587364188</v>
          </cell>
          <cell r="W538">
            <v>94.803517896147369</v>
          </cell>
          <cell r="X538">
            <v>92.487277204930521</v>
          </cell>
          <cell r="Y538">
            <v>90.117453340918203</v>
          </cell>
          <cell r="Z538">
            <v>87.747629476905928</v>
          </cell>
          <cell r="AA538">
            <v>85.377805612893596</v>
          </cell>
          <cell r="AB538">
            <v>83.007981748881349</v>
          </cell>
          <cell r="AC538">
            <v>80.638157884868988</v>
          </cell>
          <cell r="AD538">
            <v>78.388376570930973</v>
          </cell>
          <cell r="AE538">
            <v>76.138595256992971</v>
          </cell>
          <cell r="AF538">
            <v>73.888813943054942</v>
          </cell>
          <cell r="AG538">
            <v>71.639032629116926</v>
          </cell>
          <cell r="AH538">
            <v>69.389251315178939</v>
          </cell>
        </row>
        <row r="539">
          <cell r="B539" t="str">
            <v>e-methanol - Conversion H2 -&gt; MeOH - Global - ton H2/ton MeOH</v>
          </cell>
          <cell r="G539">
            <v>0.18875226265526496</v>
          </cell>
          <cell r="H539">
            <v>0.18875226265526496</v>
          </cell>
          <cell r="I539">
            <v>0.18875226265526496</v>
          </cell>
          <cell r="J539">
            <v>0.18875226265526496</v>
          </cell>
          <cell r="K539">
            <v>0.18875226265526496</v>
          </cell>
          <cell r="L539">
            <v>0.18875226265526496</v>
          </cell>
          <cell r="M539">
            <v>0.18875226265526496</v>
          </cell>
          <cell r="N539">
            <v>0.18875226265526496</v>
          </cell>
          <cell r="O539">
            <v>0.18875226265526496</v>
          </cell>
          <cell r="P539">
            <v>0.18875226265526496</v>
          </cell>
          <cell r="Q539">
            <v>0.18875226265526496</v>
          </cell>
          <cell r="R539">
            <v>0.18875226265526496</v>
          </cell>
          <cell r="S539">
            <v>0.18875226265526496</v>
          </cell>
          <cell r="T539">
            <v>0.18875226265526496</v>
          </cell>
          <cell r="U539">
            <v>0.18875226265526496</v>
          </cell>
          <cell r="V539">
            <v>0.18875226265526496</v>
          </cell>
          <cell r="W539">
            <v>0.18875226265526496</v>
          </cell>
          <cell r="X539">
            <v>0.18875226265526496</v>
          </cell>
          <cell r="Y539">
            <v>0.18875226265526496</v>
          </cell>
          <cell r="Z539">
            <v>0.18875226265526496</v>
          </cell>
          <cell r="AA539">
            <v>0.18875226265526496</v>
          </cell>
          <cell r="AB539">
            <v>0.18875226265526496</v>
          </cell>
          <cell r="AC539">
            <v>0.18875226265526496</v>
          </cell>
          <cell r="AD539">
            <v>0.18875226265526496</v>
          </cell>
          <cell r="AE539">
            <v>0.18875226265526496</v>
          </cell>
          <cell r="AF539">
            <v>0.18875226265526496</v>
          </cell>
          <cell r="AG539">
            <v>0.18875226265526496</v>
          </cell>
          <cell r="AH539">
            <v>0.18875226265526496</v>
          </cell>
        </row>
        <row r="540">
          <cell r="B540" t="str">
            <v>e-methanol - Conversion CO2 -&gt; MeOH - Global - ton CO2/ton MeOH</v>
          </cell>
          <cell r="G540">
            <v>1.3735097684289368</v>
          </cell>
          <cell r="H540">
            <v>1.3735097684289368</v>
          </cell>
          <cell r="I540">
            <v>1.3735097684289368</v>
          </cell>
          <cell r="J540">
            <v>1.3735097684289368</v>
          </cell>
          <cell r="K540">
            <v>1.3735097684289368</v>
          </cell>
          <cell r="L540">
            <v>1.3735097684289368</v>
          </cell>
          <cell r="M540">
            <v>1.3735097684289368</v>
          </cell>
          <cell r="N540">
            <v>1.3735097684289368</v>
          </cell>
          <cell r="O540">
            <v>1.3735097684289368</v>
          </cell>
          <cell r="P540">
            <v>1.3735097684289368</v>
          </cell>
          <cell r="Q540">
            <v>1.3735097684289368</v>
          </cell>
          <cell r="R540">
            <v>1.3735097684289368</v>
          </cell>
          <cell r="S540">
            <v>1.3735097684289368</v>
          </cell>
          <cell r="T540">
            <v>1.3735097684289368</v>
          </cell>
          <cell r="U540">
            <v>1.3735097684289368</v>
          </cell>
          <cell r="V540">
            <v>1.3735097684289368</v>
          </cell>
          <cell r="W540">
            <v>1.3735097684289368</v>
          </cell>
          <cell r="X540">
            <v>1.3735097684289368</v>
          </cell>
          <cell r="Y540">
            <v>1.3735097684289368</v>
          </cell>
          <cell r="Z540">
            <v>1.3735097684289368</v>
          </cell>
          <cell r="AA540">
            <v>1.3735097684289368</v>
          </cell>
          <cell r="AB540">
            <v>1.3735097684289368</v>
          </cell>
          <cell r="AC540">
            <v>1.3735097684289368</v>
          </cell>
          <cell r="AD540">
            <v>1.3735097684289368</v>
          </cell>
          <cell r="AE540">
            <v>1.3735097684289368</v>
          </cell>
          <cell r="AF540">
            <v>1.3735097684289368</v>
          </cell>
          <cell r="AG540">
            <v>1.3735097684289368</v>
          </cell>
          <cell r="AH540">
            <v>1.3735097684289368</v>
          </cell>
        </row>
        <row r="542">
          <cell r="B542" t="str">
            <v>e-methane (DAC) - Item - Region - Unit</v>
          </cell>
          <cell r="G542">
            <v>2023</v>
          </cell>
          <cell r="H542">
            <v>2024</v>
          </cell>
          <cell r="I542">
            <v>2025</v>
          </cell>
          <cell r="J542">
            <v>2026</v>
          </cell>
          <cell r="K542">
            <v>2027</v>
          </cell>
          <cell r="L542">
            <v>2028</v>
          </cell>
          <cell r="M542">
            <v>2029</v>
          </cell>
          <cell r="N542">
            <v>2030</v>
          </cell>
          <cell r="O542">
            <v>2031</v>
          </cell>
          <cell r="P542">
            <v>2032</v>
          </cell>
          <cell r="Q542">
            <v>2033</v>
          </cell>
          <cell r="R542">
            <v>2034</v>
          </cell>
          <cell r="S542">
            <v>2035</v>
          </cell>
          <cell r="T542">
            <v>2036</v>
          </cell>
          <cell r="U542">
            <v>2037</v>
          </cell>
          <cell r="V542">
            <v>2038</v>
          </cell>
          <cell r="W542">
            <v>2039</v>
          </cell>
          <cell r="X542">
            <v>2040</v>
          </cell>
          <cell r="Y542">
            <v>2041</v>
          </cell>
          <cell r="Z542">
            <v>2042</v>
          </cell>
          <cell r="AA542">
            <v>2043</v>
          </cell>
          <cell r="AB542">
            <v>2044</v>
          </cell>
          <cell r="AC542">
            <v>2045</v>
          </cell>
          <cell r="AD542">
            <v>2046</v>
          </cell>
          <cell r="AE542">
            <v>2047</v>
          </cell>
          <cell r="AF542">
            <v>2048</v>
          </cell>
          <cell r="AG542">
            <v>2049</v>
          </cell>
          <cell r="AH542">
            <v>2050</v>
          </cell>
        </row>
        <row r="543">
          <cell r="B543" t="str">
            <v>e-methane (DAC) - Total cost - Africa - USD/ton fuel</v>
          </cell>
          <cell r="G543">
            <v>3415.1952859905314</v>
          </cell>
          <cell r="H543">
            <v>3109.068719536202</v>
          </cell>
          <cell r="I543">
            <v>2803.2435716557229</v>
          </cell>
          <cell r="J543">
            <v>2692.6909180262305</v>
          </cell>
          <cell r="K543">
            <v>2580.0761077935813</v>
          </cell>
          <cell r="L543">
            <v>2465.4505343787123</v>
          </cell>
          <cell r="M543">
            <v>2348.865591202597</v>
          </cell>
          <cell r="N543">
            <v>2230.3726716861461</v>
          </cell>
          <cell r="O543">
            <v>2177.4357423224128</v>
          </cell>
          <cell r="P543">
            <v>2121.0109480029737</v>
          </cell>
          <cell r="Q543">
            <v>2061.1259705460475</v>
          </cell>
          <cell r="R543">
            <v>1997.8084917698925</v>
          </cell>
          <cell r="S543">
            <v>1931.0861934927914</v>
          </cell>
          <cell r="T543">
            <v>1883.2587394895131</v>
          </cell>
          <cell r="U543">
            <v>1832.9915922757589</v>
          </cell>
          <cell r="V543">
            <v>1780.2937845340464</v>
          </cell>
          <cell r="W543">
            <v>1725.1743489467813</v>
          </cell>
          <cell r="X543">
            <v>1667.6423181964578</v>
          </cell>
          <cell r="Y543">
            <v>1607.8097951274349</v>
          </cell>
          <cell r="Z543">
            <v>1546.9123640187918</v>
          </cell>
          <cell r="AA543">
            <v>1484.9447428013257</v>
          </cell>
          <cell r="AB543">
            <v>1421.9016494057817</v>
          </cell>
          <cell r="AC543">
            <v>1357.7778017629328</v>
          </cell>
          <cell r="AD543">
            <v>1306.3993610234443</v>
          </cell>
          <cell r="AE543">
            <v>1254.5007733264945</v>
          </cell>
          <cell r="AF543">
            <v>1202.0787101959293</v>
          </cell>
          <cell r="AG543">
            <v>1149.1298431556113</v>
          </cell>
          <cell r="AH543">
            <v>1095.6508437294058</v>
          </cell>
        </row>
        <row r="544">
          <cell r="B544" t="str">
            <v>e-methane (DAC) - Total cost - Americas - USD/ton fuel</v>
          </cell>
          <cell r="G544">
            <v>2647.3267199726579</v>
          </cell>
          <cell r="H544">
            <v>2559.066305338682</v>
          </cell>
          <cell r="I544">
            <v>2469.4748005941774</v>
          </cell>
          <cell r="J544">
            <v>2382.3011140952644</v>
          </cell>
          <cell r="K544">
            <v>2292.9461265739192</v>
          </cell>
          <cell r="L544">
            <v>2201.4443697056727</v>
          </cell>
          <cell r="M544">
            <v>2107.8303751661192</v>
          </cell>
          <cell r="N544">
            <v>2012.1386746307055</v>
          </cell>
          <cell r="O544">
            <v>1976.1533182121411</v>
          </cell>
          <cell r="P544">
            <v>1936.4879043685914</v>
          </cell>
          <cell r="Q544">
            <v>1893.1584678132851</v>
          </cell>
          <cell r="R544">
            <v>1846.1810432594398</v>
          </cell>
          <cell r="S544">
            <v>1795.5716654203318</v>
          </cell>
          <cell r="T544">
            <v>1749.039733340006</v>
          </cell>
          <cell r="U544">
            <v>1700.0921168540044</v>
          </cell>
          <cell r="V544">
            <v>1648.7378269847768</v>
          </cell>
          <cell r="W544">
            <v>1594.9858747546673</v>
          </cell>
          <cell r="X544">
            <v>1538.8452711860887</v>
          </cell>
          <cell r="Y544">
            <v>1490.3361891551624</v>
          </cell>
          <cell r="Z544">
            <v>1440.5029556682352</v>
          </cell>
          <cell r="AA544">
            <v>1389.3435062166213</v>
          </cell>
          <cell r="AB544">
            <v>1336.855776291563</v>
          </cell>
          <cell r="AC544">
            <v>1283.0377013843558</v>
          </cell>
          <cell r="AD544">
            <v>1235.4210555438378</v>
          </cell>
          <cell r="AE544">
            <v>1187.2081848623043</v>
          </cell>
          <cell r="AF544">
            <v>1138.3970897157976</v>
          </cell>
          <cell r="AG544">
            <v>1088.9857704803683</v>
          </cell>
          <cell r="AH544">
            <v>1038.9722275320669</v>
          </cell>
        </row>
        <row r="545">
          <cell r="B545" t="str">
            <v>e-methane (DAC) - Total cost - Asia - USD/ton fuel</v>
          </cell>
          <cell r="G545">
            <v>3647.0068049110764</v>
          </cell>
          <cell r="H545">
            <v>3380.4992699431486</v>
          </cell>
          <cell r="I545">
            <v>3113.9286882452116</v>
          </cell>
          <cell r="J545">
            <v>2997.2749395930005</v>
          </cell>
          <cell r="K545">
            <v>2878.5238873250423</v>
          </cell>
          <cell r="L545">
            <v>2757.7305704730761</v>
          </cell>
          <cell r="M545">
            <v>2634.9500280690008</v>
          </cell>
          <cell r="N545">
            <v>2510.2372991445932</v>
          </cell>
          <cell r="O545">
            <v>2444.0998291552773</v>
          </cell>
          <cell r="P545">
            <v>2374.5825044716153</v>
          </cell>
          <cell r="Q545">
            <v>2301.7214226143578</v>
          </cell>
          <cell r="R545">
            <v>2225.5526811042187</v>
          </cell>
          <cell r="S545">
            <v>2146.1123774620314</v>
          </cell>
          <cell r="T545">
            <v>2089.619857680218</v>
          </cell>
          <cell r="U545">
            <v>2030.7756859958274</v>
          </cell>
          <cell r="V545">
            <v>1969.5925856192512</v>
          </cell>
          <cell r="W545">
            <v>1906.0832797607247</v>
          </cell>
          <cell r="X545">
            <v>1840.2604916306129</v>
          </cell>
          <cell r="Y545">
            <v>1771.3450333550256</v>
          </cell>
          <cell r="Z545">
            <v>1701.5581385094599</v>
          </cell>
          <cell r="AA545">
            <v>1630.8922333557709</v>
          </cell>
          <cell r="AB545">
            <v>1559.3397441557636</v>
          </cell>
          <cell r="AC545">
            <v>1486.8930971712728</v>
          </cell>
          <cell r="AD545">
            <v>1431.5871294418225</v>
          </cell>
          <cell r="AE545">
            <v>1375.8355299415937</v>
          </cell>
          <cell r="AF545">
            <v>1319.633839594401</v>
          </cell>
          <cell r="AG545">
            <v>1262.9775993240573</v>
          </cell>
          <cell r="AH545">
            <v>1205.8623500543767</v>
          </cell>
        </row>
        <row r="546">
          <cell r="B546" t="str">
            <v>e-methane (DAC) - Total cost - Europe - USD/ton fuel</v>
          </cell>
          <cell r="G546">
            <v>3059.8141110126994</v>
          </cell>
          <cell r="H546">
            <v>2923.2847759356277</v>
          </cell>
          <cell r="I546">
            <v>2785.7419348156741</v>
          </cell>
          <cell r="J546">
            <v>2683.2247425409578</v>
          </cell>
          <cell r="K546">
            <v>2578.5756415169767</v>
          </cell>
          <cell r="L546">
            <v>2471.8399015445775</v>
          </cell>
          <cell r="M546">
            <v>2363.0627924245969</v>
          </cell>
          <cell r="N546">
            <v>2252.2895839578246</v>
          </cell>
          <cell r="O546">
            <v>2211.6631281515502</v>
          </cell>
          <cell r="P546">
            <v>2167.3408724397914</v>
          </cell>
          <cell r="Q546">
            <v>2119.3409667817787</v>
          </cell>
          <cell r="R546">
            <v>2067.6815611367747</v>
          </cell>
          <cell r="S546">
            <v>2012.3808054641099</v>
          </cell>
          <cell r="T546">
            <v>1966.5479066006703</v>
          </cell>
          <cell r="U546">
            <v>1918.2080147144882</v>
          </cell>
          <cell r="V546">
            <v>1867.3686422289588</v>
          </cell>
          <cell r="W546">
            <v>1814.0373015673504</v>
          </cell>
          <cell r="X546">
            <v>1758.2215051530156</v>
          </cell>
          <cell r="Y546">
            <v>1699.3945314969951</v>
          </cell>
          <cell r="Z546">
            <v>1639.4583185496135</v>
          </cell>
          <cell r="AA546">
            <v>1578.4082957422111</v>
          </cell>
          <cell r="AB546">
            <v>1516.2398925060393</v>
          </cell>
          <cell r="AC546">
            <v>1452.9485382724197</v>
          </cell>
          <cell r="AD546">
            <v>1398.4113849427249</v>
          </cell>
          <cell r="AE546">
            <v>1343.4148476017253</v>
          </cell>
          <cell r="AF546">
            <v>1287.9546449023771</v>
          </cell>
          <cell r="AG546">
            <v>1232.0264954976353</v>
          </cell>
          <cell r="AH546">
            <v>1175.6261180404549</v>
          </cell>
        </row>
        <row r="547">
          <cell r="B547" t="str">
            <v>e-methane (DAC) - Total cost - Middle East - USD/ton fuel</v>
          </cell>
          <cell r="G547">
            <v>2659.1133920604984</v>
          </cell>
          <cell r="H547">
            <v>2540.008775380245</v>
          </cell>
          <cell r="I547">
            <v>2419.8218268539326</v>
          </cell>
          <cell r="J547">
            <v>2339.9480476232402</v>
          </cell>
          <cell r="K547">
            <v>2257.8396001399369</v>
          </cell>
          <cell r="L547">
            <v>2173.525566942857</v>
          </cell>
          <cell r="M547">
            <v>2087.035030570883</v>
          </cell>
          <cell r="N547">
            <v>1998.3970735627965</v>
          </cell>
          <cell r="O547">
            <v>1957.6049368350821</v>
          </cell>
          <cell r="P547">
            <v>1913.2158979103781</v>
          </cell>
          <cell r="Q547">
            <v>1865.2497441860148</v>
          </cell>
          <cell r="R547">
            <v>1813.7262630593445</v>
          </cell>
          <cell r="S547">
            <v>1758.6652419277568</v>
          </cell>
          <cell r="T547">
            <v>1716.3315855404496</v>
          </cell>
          <cell r="U547">
            <v>1671.5153950602278</v>
          </cell>
          <cell r="V547">
            <v>1624.2235484050973</v>
          </cell>
          <cell r="W547">
            <v>1574.4629234929389</v>
          </cell>
          <cell r="X547">
            <v>1522.2403982417238</v>
          </cell>
          <cell r="Y547">
            <v>1464.6980314430295</v>
          </cell>
          <cell r="Z547">
            <v>1406.0632559124863</v>
          </cell>
          <cell r="AA547">
            <v>1346.3309422029777</v>
          </cell>
          <cell r="AB547">
            <v>1285.4959608673355</v>
          </cell>
          <cell r="AC547">
            <v>1223.5531824584245</v>
          </cell>
          <cell r="AD547">
            <v>1174.2073935271317</v>
          </cell>
          <cell r="AE547">
            <v>1124.3093775655461</v>
          </cell>
          <cell r="AF547">
            <v>1073.8560523891788</v>
          </cell>
          <cell r="AG547">
            <v>1022.8443358135524</v>
          </cell>
          <cell r="AH547">
            <v>971.27114565419049</v>
          </cell>
        </row>
        <row r="548">
          <cell r="B548" t="str">
            <v/>
          </cell>
        </row>
        <row r="549">
          <cell r="B549" t="str">
            <v>e-methane (DAC) - CAPEX - Global - USD/ton fuel</v>
          </cell>
          <cell r="G549">
            <v>51.4</v>
          </cell>
          <cell r="H549">
            <v>48.533333333333331</v>
          </cell>
          <cell r="I549">
            <v>45.666666666666664</v>
          </cell>
          <cell r="J549">
            <v>43.866666666666667</v>
          </cell>
          <cell r="K549">
            <v>42.06666666666667</v>
          </cell>
          <cell r="L549">
            <v>40.266666666666666</v>
          </cell>
          <cell r="M549">
            <v>38.466666666666669</v>
          </cell>
          <cell r="N549">
            <v>36.666666666666664</v>
          </cell>
          <cell r="O549">
            <v>36</v>
          </cell>
          <cell r="P549">
            <v>35.333333333333336</v>
          </cell>
          <cell r="Q549">
            <v>34.666666666666664</v>
          </cell>
          <cell r="R549">
            <v>34</v>
          </cell>
          <cell r="S549">
            <v>33.333333333333336</v>
          </cell>
          <cell r="T549">
            <v>32.666666666666664</v>
          </cell>
          <cell r="U549">
            <v>32</v>
          </cell>
          <cell r="V549">
            <v>31.333333333333332</v>
          </cell>
          <cell r="W549">
            <v>30.666666666666668</v>
          </cell>
          <cell r="X549">
            <v>30</v>
          </cell>
          <cell r="Y549">
            <v>28.866666666666667</v>
          </cell>
          <cell r="Z549">
            <v>27.733333333333334</v>
          </cell>
          <cell r="AA549">
            <v>26.6</v>
          </cell>
          <cell r="AB549">
            <v>25.466666666666665</v>
          </cell>
          <cell r="AC549">
            <v>24.333333333333332</v>
          </cell>
          <cell r="AD549">
            <v>23.2</v>
          </cell>
          <cell r="AE549">
            <v>22.066666666666666</v>
          </cell>
          <cell r="AF549">
            <v>20.933333333333334</v>
          </cell>
          <cell r="AG549">
            <v>19.8</v>
          </cell>
          <cell r="AH549">
            <v>18.666666666666668</v>
          </cell>
        </row>
        <row r="550">
          <cell r="B550" t="str">
            <v>e-methane - Plant lifetime - Global - Years</v>
          </cell>
          <cell r="G550">
            <v>30</v>
          </cell>
          <cell r="H550">
            <v>30</v>
          </cell>
          <cell r="I550">
            <v>30</v>
          </cell>
          <cell r="J550">
            <v>30</v>
          </cell>
          <cell r="K550">
            <v>30</v>
          </cell>
          <cell r="L550">
            <v>30</v>
          </cell>
          <cell r="M550">
            <v>30</v>
          </cell>
          <cell r="N550">
            <v>30</v>
          </cell>
          <cell r="O550">
            <v>30</v>
          </cell>
          <cell r="P550">
            <v>30</v>
          </cell>
          <cell r="Q550">
            <v>30</v>
          </cell>
          <cell r="R550">
            <v>30</v>
          </cell>
          <cell r="S550">
            <v>30</v>
          </cell>
          <cell r="T550">
            <v>30</v>
          </cell>
          <cell r="U550">
            <v>30</v>
          </cell>
          <cell r="V550">
            <v>30</v>
          </cell>
          <cell r="W550">
            <v>30</v>
          </cell>
          <cell r="X550">
            <v>30</v>
          </cell>
          <cell r="Y550">
            <v>30</v>
          </cell>
          <cell r="Z550">
            <v>30</v>
          </cell>
          <cell r="AA550">
            <v>30</v>
          </cell>
          <cell r="AB550">
            <v>30</v>
          </cell>
          <cell r="AC550">
            <v>30</v>
          </cell>
          <cell r="AD550">
            <v>30</v>
          </cell>
          <cell r="AE550">
            <v>30</v>
          </cell>
          <cell r="AF550">
            <v>30</v>
          </cell>
          <cell r="AG550">
            <v>30</v>
          </cell>
          <cell r="AH550">
            <v>30</v>
          </cell>
        </row>
        <row r="551">
          <cell r="B551" t="str">
            <v>e-methane - Total CAPEX - Global - USD/ton fuel</v>
          </cell>
          <cell r="G551">
            <v>1542</v>
          </cell>
          <cell r="H551">
            <v>1456</v>
          </cell>
          <cell r="I551">
            <v>1370</v>
          </cell>
          <cell r="J551">
            <v>1316</v>
          </cell>
          <cell r="K551">
            <v>1262</v>
          </cell>
          <cell r="L551">
            <v>1208</v>
          </cell>
          <cell r="M551">
            <v>1154</v>
          </cell>
          <cell r="N551">
            <v>1100</v>
          </cell>
          <cell r="O551">
            <v>1080</v>
          </cell>
          <cell r="P551">
            <v>1060</v>
          </cell>
          <cell r="Q551">
            <v>1040</v>
          </cell>
          <cell r="R551">
            <v>1020</v>
          </cell>
          <cell r="S551">
            <v>1000</v>
          </cell>
          <cell r="T551">
            <v>980</v>
          </cell>
          <cell r="U551">
            <v>960</v>
          </cell>
          <cell r="V551">
            <v>940</v>
          </cell>
          <cell r="W551">
            <v>920</v>
          </cell>
          <cell r="X551">
            <v>900</v>
          </cell>
          <cell r="Y551">
            <v>866</v>
          </cell>
          <cell r="Z551">
            <v>832</v>
          </cell>
          <cell r="AA551">
            <v>798</v>
          </cell>
          <cell r="AB551">
            <v>764</v>
          </cell>
          <cell r="AC551">
            <v>730</v>
          </cell>
          <cell r="AD551">
            <v>696</v>
          </cell>
          <cell r="AE551">
            <v>662</v>
          </cell>
          <cell r="AF551">
            <v>628</v>
          </cell>
          <cell r="AG551">
            <v>594</v>
          </cell>
          <cell r="AH551">
            <v>560</v>
          </cell>
        </row>
        <row r="552">
          <cell r="B552" t="str">
            <v/>
          </cell>
        </row>
        <row r="553">
          <cell r="B553" t="str">
            <v>e-methane (DAC) - OPEX - Global - USD/ton fuel</v>
          </cell>
          <cell r="G553">
            <v>123.36</v>
          </cell>
          <cell r="H553">
            <v>116.48</v>
          </cell>
          <cell r="I553">
            <v>109.60000000000001</v>
          </cell>
          <cell r="J553">
            <v>105.28</v>
          </cell>
          <cell r="K553">
            <v>100.96000000000001</v>
          </cell>
          <cell r="L553">
            <v>96.64</v>
          </cell>
          <cell r="M553">
            <v>92.320000000000007</v>
          </cell>
          <cell r="N553">
            <v>88</v>
          </cell>
          <cell r="O553">
            <v>86.4</v>
          </cell>
          <cell r="P553">
            <v>84.8</v>
          </cell>
          <cell r="Q553">
            <v>83.2</v>
          </cell>
          <cell r="R553">
            <v>81.600000000000009</v>
          </cell>
          <cell r="S553">
            <v>80</v>
          </cell>
          <cell r="T553">
            <v>78.400000000000006</v>
          </cell>
          <cell r="U553">
            <v>76.8</v>
          </cell>
          <cell r="V553">
            <v>75.2</v>
          </cell>
          <cell r="W553">
            <v>73.600000000000009</v>
          </cell>
          <cell r="X553">
            <v>72</v>
          </cell>
          <cell r="Y553">
            <v>69.28</v>
          </cell>
          <cell r="Z553">
            <v>66.56</v>
          </cell>
          <cell r="AA553">
            <v>63.84</v>
          </cell>
          <cell r="AB553">
            <v>61.120000000000005</v>
          </cell>
          <cell r="AC553">
            <v>58.4</v>
          </cell>
          <cell r="AD553">
            <v>55.68</v>
          </cell>
          <cell r="AE553">
            <v>52.96</v>
          </cell>
          <cell r="AF553">
            <v>50.24</v>
          </cell>
          <cell r="AG553">
            <v>47.52</v>
          </cell>
          <cell r="AH553">
            <v>44.800000000000004</v>
          </cell>
        </row>
        <row r="554">
          <cell r="B554" t="str">
            <v>e-methane - OPEX - Global - USD/ton fuel/year</v>
          </cell>
          <cell r="G554">
            <v>123.36</v>
          </cell>
          <cell r="H554">
            <v>116.48</v>
          </cell>
          <cell r="I554">
            <v>109.60000000000001</v>
          </cell>
          <cell r="J554">
            <v>105.28</v>
          </cell>
          <cell r="K554">
            <v>100.96000000000001</v>
          </cell>
          <cell r="L554">
            <v>96.64</v>
          </cell>
          <cell r="M554">
            <v>92.320000000000007</v>
          </cell>
          <cell r="N554">
            <v>88</v>
          </cell>
          <cell r="O554">
            <v>86.4</v>
          </cell>
          <cell r="P554">
            <v>84.8</v>
          </cell>
          <cell r="Q554">
            <v>83.2</v>
          </cell>
          <cell r="R554">
            <v>81.600000000000009</v>
          </cell>
          <cell r="S554">
            <v>80</v>
          </cell>
          <cell r="T554">
            <v>78.400000000000006</v>
          </cell>
          <cell r="U554">
            <v>76.8</v>
          </cell>
          <cell r="V554">
            <v>75.2</v>
          </cell>
          <cell r="W554">
            <v>73.600000000000009</v>
          </cell>
          <cell r="X554">
            <v>72</v>
          </cell>
          <cell r="Y554">
            <v>69.28</v>
          </cell>
          <cell r="Z554">
            <v>66.56</v>
          </cell>
          <cell r="AA554">
            <v>63.84</v>
          </cell>
          <cell r="AB554">
            <v>61.120000000000005</v>
          </cell>
          <cell r="AC554">
            <v>58.4</v>
          </cell>
          <cell r="AD554">
            <v>55.68</v>
          </cell>
          <cell r="AE554">
            <v>52.96</v>
          </cell>
          <cell r="AF554">
            <v>50.24</v>
          </cell>
          <cell r="AG554">
            <v>47.52</v>
          </cell>
          <cell r="AH554">
            <v>44.800000000000004</v>
          </cell>
        </row>
        <row r="555">
          <cell r="B555" t="str">
            <v/>
          </cell>
        </row>
        <row r="556">
          <cell r="B556" t="str">
            <v>e-methane (DAC) - Finance cost - Africa - USD/ton fuel</v>
          </cell>
          <cell r="G556">
            <v>84.810000000000016</v>
          </cell>
          <cell r="H556">
            <v>80.080000000000013</v>
          </cell>
          <cell r="I556">
            <v>75.350000000000009</v>
          </cell>
          <cell r="J556">
            <v>72.38000000000001</v>
          </cell>
          <cell r="K556">
            <v>69.410000000000011</v>
          </cell>
          <cell r="L556">
            <v>66.440000000000012</v>
          </cell>
          <cell r="M556">
            <v>63.470000000000006</v>
          </cell>
          <cell r="N556">
            <v>60.500000000000007</v>
          </cell>
          <cell r="O556">
            <v>59.400000000000006</v>
          </cell>
          <cell r="P556">
            <v>58.300000000000004</v>
          </cell>
          <cell r="Q556">
            <v>57.20000000000001</v>
          </cell>
          <cell r="R556">
            <v>56.100000000000009</v>
          </cell>
          <cell r="S556">
            <v>55.000000000000007</v>
          </cell>
          <cell r="T556">
            <v>53.900000000000006</v>
          </cell>
          <cell r="U556">
            <v>52.800000000000004</v>
          </cell>
          <cell r="V556">
            <v>51.70000000000001</v>
          </cell>
          <cell r="W556">
            <v>50.600000000000009</v>
          </cell>
          <cell r="X556">
            <v>49.500000000000007</v>
          </cell>
          <cell r="Y556">
            <v>47.63000000000001</v>
          </cell>
          <cell r="Z556">
            <v>45.760000000000005</v>
          </cell>
          <cell r="AA556">
            <v>43.890000000000008</v>
          </cell>
          <cell r="AB556">
            <v>42.02</v>
          </cell>
          <cell r="AC556">
            <v>40.150000000000006</v>
          </cell>
          <cell r="AD556">
            <v>38.280000000000008</v>
          </cell>
          <cell r="AE556">
            <v>36.410000000000004</v>
          </cell>
          <cell r="AF556">
            <v>34.540000000000006</v>
          </cell>
          <cell r="AG556">
            <v>32.67</v>
          </cell>
          <cell r="AH556">
            <v>30.800000000000004</v>
          </cell>
        </row>
        <row r="557">
          <cell r="B557" t="str">
            <v>e-methane (DAC) - Finance cost - Americas - USD/ton fuel</v>
          </cell>
          <cell r="G557">
            <v>84.810000000000016</v>
          </cell>
          <cell r="H557">
            <v>80.080000000000013</v>
          </cell>
          <cell r="I557">
            <v>75.350000000000009</v>
          </cell>
          <cell r="J557">
            <v>72.38000000000001</v>
          </cell>
          <cell r="K557">
            <v>69.410000000000011</v>
          </cell>
          <cell r="L557">
            <v>66.440000000000012</v>
          </cell>
          <cell r="M557">
            <v>63.470000000000006</v>
          </cell>
          <cell r="N557">
            <v>60.500000000000007</v>
          </cell>
          <cell r="O557">
            <v>59.400000000000006</v>
          </cell>
          <cell r="P557">
            <v>58.300000000000004</v>
          </cell>
          <cell r="Q557">
            <v>57.20000000000001</v>
          </cell>
          <cell r="R557">
            <v>56.100000000000009</v>
          </cell>
          <cell r="S557">
            <v>55.000000000000007</v>
          </cell>
          <cell r="T557">
            <v>53.900000000000006</v>
          </cell>
          <cell r="U557">
            <v>52.800000000000004</v>
          </cell>
          <cell r="V557">
            <v>51.70000000000001</v>
          </cell>
          <cell r="W557">
            <v>50.600000000000009</v>
          </cell>
          <cell r="X557">
            <v>49.500000000000007</v>
          </cell>
          <cell r="Y557">
            <v>47.63000000000001</v>
          </cell>
          <cell r="Z557">
            <v>45.760000000000005</v>
          </cell>
          <cell r="AA557">
            <v>43.890000000000008</v>
          </cell>
          <cell r="AB557">
            <v>42.02</v>
          </cell>
          <cell r="AC557">
            <v>40.150000000000006</v>
          </cell>
          <cell r="AD557">
            <v>38.280000000000008</v>
          </cell>
          <cell r="AE557">
            <v>36.410000000000004</v>
          </cell>
          <cell r="AF557">
            <v>34.540000000000006</v>
          </cell>
          <cell r="AG557">
            <v>32.67</v>
          </cell>
          <cell r="AH557">
            <v>30.800000000000004</v>
          </cell>
        </row>
        <row r="558">
          <cell r="B558" t="str">
            <v>e-methane (DAC) - Finance cost - Asia - USD/ton fuel</v>
          </cell>
          <cell r="G558">
            <v>84.810000000000016</v>
          </cell>
          <cell r="H558">
            <v>80.080000000000013</v>
          </cell>
          <cell r="I558">
            <v>75.350000000000009</v>
          </cell>
          <cell r="J558">
            <v>72.38000000000001</v>
          </cell>
          <cell r="K558">
            <v>69.410000000000011</v>
          </cell>
          <cell r="L558">
            <v>66.440000000000012</v>
          </cell>
          <cell r="M558">
            <v>63.470000000000006</v>
          </cell>
          <cell r="N558">
            <v>60.500000000000007</v>
          </cell>
          <cell r="O558">
            <v>59.400000000000006</v>
          </cell>
          <cell r="P558">
            <v>58.300000000000004</v>
          </cell>
          <cell r="Q558">
            <v>57.20000000000001</v>
          </cell>
          <cell r="R558">
            <v>56.100000000000009</v>
          </cell>
          <cell r="S558">
            <v>55.000000000000007</v>
          </cell>
          <cell r="T558">
            <v>53.900000000000006</v>
          </cell>
          <cell r="U558">
            <v>52.800000000000004</v>
          </cell>
          <cell r="V558">
            <v>51.70000000000001</v>
          </cell>
          <cell r="W558">
            <v>50.600000000000009</v>
          </cell>
          <cell r="X558">
            <v>49.500000000000007</v>
          </cell>
          <cell r="Y558">
            <v>47.63000000000001</v>
          </cell>
          <cell r="Z558">
            <v>45.760000000000005</v>
          </cell>
          <cell r="AA558">
            <v>43.890000000000008</v>
          </cell>
          <cell r="AB558">
            <v>42.02</v>
          </cell>
          <cell r="AC558">
            <v>40.150000000000006</v>
          </cell>
          <cell r="AD558">
            <v>38.280000000000008</v>
          </cell>
          <cell r="AE558">
            <v>36.410000000000004</v>
          </cell>
          <cell r="AF558">
            <v>34.540000000000006</v>
          </cell>
          <cell r="AG558">
            <v>32.67</v>
          </cell>
          <cell r="AH558">
            <v>30.800000000000004</v>
          </cell>
        </row>
        <row r="559">
          <cell r="B559" t="str">
            <v>e-methane (DAC) - Finance cost - Europe - USD/ton fuel</v>
          </cell>
          <cell r="G559">
            <v>84.810000000000016</v>
          </cell>
          <cell r="H559">
            <v>80.080000000000013</v>
          </cell>
          <cell r="I559">
            <v>75.350000000000009</v>
          </cell>
          <cell r="J559">
            <v>72.38000000000001</v>
          </cell>
          <cell r="K559">
            <v>69.410000000000011</v>
          </cell>
          <cell r="L559">
            <v>66.440000000000012</v>
          </cell>
          <cell r="M559">
            <v>63.470000000000006</v>
          </cell>
          <cell r="N559">
            <v>60.500000000000007</v>
          </cell>
          <cell r="O559">
            <v>59.400000000000006</v>
          </cell>
          <cell r="P559">
            <v>58.300000000000004</v>
          </cell>
          <cell r="Q559">
            <v>57.20000000000001</v>
          </cell>
          <cell r="R559">
            <v>56.100000000000009</v>
          </cell>
          <cell r="S559">
            <v>55.000000000000007</v>
          </cell>
          <cell r="T559">
            <v>53.900000000000006</v>
          </cell>
          <cell r="U559">
            <v>52.800000000000004</v>
          </cell>
          <cell r="V559">
            <v>51.70000000000001</v>
          </cell>
          <cell r="W559">
            <v>50.600000000000009</v>
          </cell>
          <cell r="X559">
            <v>49.500000000000007</v>
          </cell>
          <cell r="Y559">
            <v>47.63000000000001</v>
          </cell>
          <cell r="Z559">
            <v>45.760000000000005</v>
          </cell>
          <cell r="AA559">
            <v>43.890000000000008</v>
          </cell>
          <cell r="AB559">
            <v>42.02</v>
          </cell>
          <cell r="AC559">
            <v>40.150000000000006</v>
          </cell>
          <cell r="AD559">
            <v>38.280000000000008</v>
          </cell>
          <cell r="AE559">
            <v>36.410000000000004</v>
          </cell>
          <cell r="AF559">
            <v>34.540000000000006</v>
          </cell>
          <cell r="AG559">
            <v>32.67</v>
          </cell>
          <cell r="AH559">
            <v>30.800000000000004</v>
          </cell>
        </row>
        <row r="560">
          <cell r="B560" t="str">
            <v>e-methane (DAC) - Finance cost - Middle East - USD/ton fuel</v>
          </cell>
          <cell r="G560">
            <v>84.810000000000016</v>
          </cell>
          <cell r="H560">
            <v>80.080000000000013</v>
          </cell>
          <cell r="I560">
            <v>75.350000000000009</v>
          </cell>
          <cell r="J560">
            <v>72.38000000000001</v>
          </cell>
          <cell r="K560">
            <v>69.410000000000011</v>
          </cell>
          <cell r="L560">
            <v>66.440000000000012</v>
          </cell>
          <cell r="M560">
            <v>63.470000000000006</v>
          </cell>
          <cell r="N560">
            <v>60.500000000000007</v>
          </cell>
          <cell r="O560">
            <v>59.400000000000006</v>
          </cell>
          <cell r="P560">
            <v>58.300000000000004</v>
          </cell>
          <cell r="Q560">
            <v>57.20000000000001</v>
          </cell>
          <cell r="R560">
            <v>56.100000000000009</v>
          </cell>
          <cell r="S560">
            <v>55.000000000000007</v>
          </cell>
          <cell r="T560">
            <v>53.900000000000006</v>
          </cell>
          <cell r="U560">
            <v>52.800000000000004</v>
          </cell>
          <cell r="V560">
            <v>51.70000000000001</v>
          </cell>
          <cell r="W560">
            <v>50.600000000000009</v>
          </cell>
          <cell r="X560">
            <v>49.500000000000007</v>
          </cell>
          <cell r="Y560">
            <v>47.63000000000001</v>
          </cell>
          <cell r="Z560">
            <v>45.760000000000005</v>
          </cell>
          <cell r="AA560">
            <v>43.890000000000008</v>
          </cell>
          <cell r="AB560">
            <v>42.02</v>
          </cell>
          <cell r="AC560">
            <v>40.150000000000006</v>
          </cell>
          <cell r="AD560">
            <v>38.280000000000008</v>
          </cell>
          <cell r="AE560">
            <v>36.410000000000004</v>
          </cell>
          <cell r="AF560">
            <v>34.540000000000006</v>
          </cell>
          <cell r="AG560">
            <v>32.67</v>
          </cell>
          <cell r="AH560">
            <v>30.800000000000004</v>
          </cell>
        </row>
        <row r="561">
          <cell r="B561" t="str">
            <v>General - Weighted average cost of capital (WACC) - Africa - %</v>
          </cell>
          <cell r="G561">
            <v>5.5000000000000007E-2</v>
          </cell>
          <cell r="H561">
            <v>5.5000000000000007E-2</v>
          </cell>
          <cell r="I561">
            <v>5.5000000000000007E-2</v>
          </cell>
          <cell r="J561">
            <v>5.5000000000000007E-2</v>
          </cell>
          <cell r="K561">
            <v>5.5000000000000007E-2</v>
          </cell>
          <cell r="L561">
            <v>5.5000000000000007E-2</v>
          </cell>
          <cell r="M561">
            <v>5.5000000000000007E-2</v>
          </cell>
          <cell r="N561">
            <v>5.5000000000000007E-2</v>
          </cell>
          <cell r="O561">
            <v>5.5000000000000007E-2</v>
          </cell>
          <cell r="P561">
            <v>5.5000000000000007E-2</v>
          </cell>
          <cell r="Q561">
            <v>5.5000000000000007E-2</v>
          </cell>
          <cell r="R561">
            <v>5.5000000000000007E-2</v>
          </cell>
          <cell r="S561">
            <v>5.5000000000000007E-2</v>
          </cell>
          <cell r="T561">
            <v>5.5000000000000007E-2</v>
          </cell>
          <cell r="U561">
            <v>5.5000000000000007E-2</v>
          </cell>
          <cell r="V561">
            <v>5.5000000000000007E-2</v>
          </cell>
          <cell r="W561">
            <v>5.5000000000000007E-2</v>
          </cell>
          <cell r="X561">
            <v>5.5000000000000007E-2</v>
          </cell>
          <cell r="Y561">
            <v>5.5000000000000007E-2</v>
          </cell>
          <cell r="Z561">
            <v>5.5000000000000007E-2</v>
          </cell>
          <cell r="AA561">
            <v>5.5000000000000007E-2</v>
          </cell>
          <cell r="AB561">
            <v>5.5000000000000007E-2</v>
          </cell>
          <cell r="AC561">
            <v>5.5000000000000007E-2</v>
          </cell>
          <cell r="AD561">
            <v>5.5000000000000007E-2</v>
          </cell>
          <cell r="AE561">
            <v>5.5000000000000007E-2</v>
          </cell>
          <cell r="AF561">
            <v>5.5000000000000007E-2</v>
          </cell>
          <cell r="AG561">
            <v>5.5000000000000007E-2</v>
          </cell>
          <cell r="AH561">
            <v>5.5000000000000007E-2</v>
          </cell>
        </row>
        <row r="562">
          <cell r="B562" t="str">
            <v>General - Weighted average cost of capital (WACC) - Americas - %</v>
          </cell>
          <cell r="G562">
            <v>5.5000000000000007E-2</v>
          </cell>
          <cell r="H562">
            <v>5.5000000000000007E-2</v>
          </cell>
          <cell r="I562">
            <v>5.5000000000000007E-2</v>
          </cell>
          <cell r="J562">
            <v>5.5000000000000007E-2</v>
          </cell>
          <cell r="K562">
            <v>5.5000000000000007E-2</v>
          </cell>
          <cell r="L562">
            <v>5.5000000000000007E-2</v>
          </cell>
          <cell r="M562">
            <v>5.5000000000000007E-2</v>
          </cell>
          <cell r="N562">
            <v>5.5000000000000007E-2</v>
          </cell>
          <cell r="O562">
            <v>5.5000000000000007E-2</v>
          </cell>
          <cell r="P562">
            <v>5.5000000000000007E-2</v>
          </cell>
          <cell r="Q562">
            <v>5.5000000000000007E-2</v>
          </cell>
          <cell r="R562">
            <v>5.5000000000000007E-2</v>
          </cell>
          <cell r="S562">
            <v>5.5000000000000007E-2</v>
          </cell>
          <cell r="T562">
            <v>5.5000000000000007E-2</v>
          </cell>
          <cell r="U562">
            <v>5.5000000000000007E-2</v>
          </cell>
          <cell r="V562">
            <v>5.5000000000000007E-2</v>
          </cell>
          <cell r="W562">
            <v>5.5000000000000007E-2</v>
          </cell>
          <cell r="X562">
            <v>5.5000000000000007E-2</v>
          </cell>
          <cell r="Y562">
            <v>5.5000000000000007E-2</v>
          </cell>
          <cell r="Z562">
            <v>5.5000000000000007E-2</v>
          </cell>
          <cell r="AA562">
            <v>5.5000000000000007E-2</v>
          </cell>
          <cell r="AB562">
            <v>5.5000000000000007E-2</v>
          </cell>
          <cell r="AC562">
            <v>5.5000000000000007E-2</v>
          </cell>
          <cell r="AD562">
            <v>5.5000000000000007E-2</v>
          </cell>
          <cell r="AE562">
            <v>5.5000000000000007E-2</v>
          </cell>
          <cell r="AF562">
            <v>5.5000000000000007E-2</v>
          </cell>
          <cell r="AG562">
            <v>5.5000000000000007E-2</v>
          </cell>
          <cell r="AH562">
            <v>5.5000000000000007E-2</v>
          </cell>
        </row>
        <row r="563">
          <cell r="B563" t="str">
            <v>General - Weighted average cost of capital (WACC) - Asia - %</v>
          </cell>
          <cell r="G563">
            <v>5.5000000000000007E-2</v>
          </cell>
          <cell r="H563">
            <v>5.5000000000000007E-2</v>
          </cell>
          <cell r="I563">
            <v>5.5000000000000007E-2</v>
          </cell>
          <cell r="J563">
            <v>5.5000000000000007E-2</v>
          </cell>
          <cell r="K563">
            <v>5.5000000000000007E-2</v>
          </cell>
          <cell r="L563">
            <v>5.5000000000000007E-2</v>
          </cell>
          <cell r="M563">
            <v>5.5000000000000007E-2</v>
          </cell>
          <cell r="N563">
            <v>5.5000000000000007E-2</v>
          </cell>
          <cell r="O563">
            <v>5.5000000000000007E-2</v>
          </cell>
          <cell r="P563">
            <v>5.5000000000000007E-2</v>
          </cell>
          <cell r="Q563">
            <v>5.5000000000000007E-2</v>
          </cell>
          <cell r="R563">
            <v>5.5000000000000007E-2</v>
          </cell>
          <cell r="S563">
            <v>5.5000000000000007E-2</v>
          </cell>
          <cell r="T563">
            <v>5.5000000000000007E-2</v>
          </cell>
          <cell r="U563">
            <v>5.5000000000000007E-2</v>
          </cell>
          <cell r="V563">
            <v>5.5000000000000007E-2</v>
          </cell>
          <cell r="W563">
            <v>5.5000000000000007E-2</v>
          </cell>
          <cell r="X563">
            <v>5.5000000000000007E-2</v>
          </cell>
          <cell r="Y563">
            <v>5.5000000000000007E-2</v>
          </cell>
          <cell r="Z563">
            <v>5.5000000000000007E-2</v>
          </cell>
          <cell r="AA563">
            <v>5.5000000000000007E-2</v>
          </cell>
          <cell r="AB563">
            <v>5.5000000000000007E-2</v>
          </cell>
          <cell r="AC563">
            <v>5.5000000000000007E-2</v>
          </cell>
          <cell r="AD563">
            <v>5.5000000000000007E-2</v>
          </cell>
          <cell r="AE563">
            <v>5.5000000000000007E-2</v>
          </cell>
          <cell r="AF563">
            <v>5.5000000000000007E-2</v>
          </cell>
          <cell r="AG563">
            <v>5.5000000000000007E-2</v>
          </cell>
          <cell r="AH563">
            <v>5.5000000000000007E-2</v>
          </cell>
        </row>
        <row r="564">
          <cell r="B564" t="str">
            <v>General - Weighted average cost of capital (WACC) - Europe - %</v>
          </cell>
          <cell r="G564">
            <v>5.5000000000000007E-2</v>
          </cell>
          <cell r="H564">
            <v>5.5000000000000007E-2</v>
          </cell>
          <cell r="I564">
            <v>5.5000000000000007E-2</v>
          </cell>
          <cell r="J564">
            <v>5.5000000000000007E-2</v>
          </cell>
          <cell r="K564">
            <v>5.5000000000000007E-2</v>
          </cell>
          <cell r="L564">
            <v>5.5000000000000007E-2</v>
          </cell>
          <cell r="M564">
            <v>5.5000000000000007E-2</v>
          </cell>
          <cell r="N564">
            <v>5.5000000000000007E-2</v>
          </cell>
          <cell r="O564">
            <v>5.5000000000000007E-2</v>
          </cell>
          <cell r="P564">
            <v>5.5000000000000007E-2</v>
          </cell>
          <cell r="Q564">
            <v>5.5000000000000007E-2</v>
          </cell>
          <cell r="R564">
            <v>5.5000000000000007E-2</v>
          </cell>
          <cell r="S564">
            <v>5.5000000000000007E-2</v>
          </cell>
          <cell r="T564">
            <v>5.5000000000000007E-2</v>
          </cell>
          <cell r="U564">
            <v>5.5000000000000007E-2</v>
          </cell>
          <cell r="V564">
            <v>5.5000000000000007E-2</v>
          </cell>
          <cell r="W564">
            <v>5.5000000000000007E-2</v>
          </cell>
          <cell r="X564">
            <v>5.5000000000000007E-2</v>
          </cell>
          <cell r="Y564">
            <v>5.5000000000000007E-2</v>
          </cell>
          <cell r="Z564">
            <v>5.5000000000000007E-2</v>
          </cell>
          <cell r="AA564">
            <v>5.5000000000000007E-2</v>
          </cell>
          <cell r="AB564">
            <v>5.5000000000000007E-2</v>
          </cell>
          <cell r="AC564">
            <v>5.5000000000000007E-2</v>
          </cell>
          <cell r="AD564">
            <v>5.5000000000000007E-2</v>
          </cell>
          <cell r="AE564">
            <v>5.5000000000000007E-2</v>
          </cell>
          <cell r="AF564">
            <v>5.5000000000000007E-2</v>
          </cell>
          <cell r="AG564">
            <v>5.5000000000000007E-2</v>
          </cell>
          <cell r="AH564">
            <v>5.5000000000000007E-2</v>
          </cell>
        </row>
        <row r="565">
          <cell r="B565" t="str">
            <v>General - Weighted average cost of capital (WACC) - Middle East - %</v>
          </cell>
          <cell r="G565">
            <v>5.5000000000000007E-2</v>
          </cell>
          <cell r="H565">
            <v>5.5000000000000007E-2</v>
          </cell>
          <cell r="I565">
            <v>5.5000000000000007E-2</v>
          </cell>
          <cell r="J565">
            <v>5.5000000000000007E-2</v>
          </cell>
          <cell r="K565">
            <v>5.5000000000000007E-2</v>
          </cell>
          <cell r="L565">
            <v>5.5000000000000007E-2</v>
          </cell>
          <cell r="M565">
            <v>5.5000000000000007E-2</v>
          </cell>
          <cell r="N565">
            <v>5.5000000000000007E-2</v>
          </cell>
          <cell r="O565">
            <v>5.5000000000000007E-2</v>
          </cell>
          <cell r="P565">
            <v>5.5000000000000007E-2</v>
          </cell>
          <cell r="Q565">
            <v>5.5000000000000007E-2</v>
          </cell>
          <cell r="R565">
            <v>5.5000000000000007E-2</v>
          </cell>
          <cell r="S565">
            <v>5.5000000000000007E-2</v>
          </cell>
          <cell r="T565">
            <v>5.5000000000000007E-2</v>
          </cell>
          <cell r="U565">
            <v>5.5000000000000007E-2</v>
          </cell>
          <cell r="V565">
            <v>5.5000000000000007E-2</v>
          </cell>
          <cell r="W565">
            <v>5.5000000000000007E-2</v>
          </cell>
          <cell r="X565">
            <v>5.5000000000000007E-2</v>
          </cell>
          <cell r="Y565">
            <v>5.5000000000000007E-2</v>
          </cell>
          <cell r="Z565">
            <v>5.5000000000000007E-2</v>
          </cell>
          <cell r="AA565">
            <v>5.5000000000000007E-2</v>
          </cell>
          <cell r="AB565">
            <v>5.5000000000000007E-2</v>
          </cell>
          <cell r="AC565">
            <v>5.5000000000000007E-2</v>
          </cell>
          <cell r="AD565">
            <v>5.5000000000000007E-2</v>
          </cell>
          <cell r="AE565">
            <v>5.5000000000000007E-2</v>
          </cell>
          <cell r="AF565">
            <v>5.5000000000000007E-2</v>
          </cell>
          <cell r="AG565">
            <v>5.5000000000000007E-2</v>
          </cell>
          <cell r="AH565">
            <v>5.5000000000000007E-2</v>
          </cell>
        </row>
        <row r="566">
          <cell r="B566" t="str">
            <v>e-methane - Total CAPEX - Global - USD/ton fuel</v>
          </cell>
          <cell r="G566">
            <v>1542</v>
          </cell>
          <cell r="H566">
            <v>1456</v>
          </cell>
          <cell r="I566">
            <v>1370</v>
          </cell>
          <cell r="J566">
            <v>1316</v>
          </cell>
          <cell r="K566">
            <v>1262</v>
          </cell>
          <cell r="L566">
            <v>1208</v>
          </cell>
          <cell r="M566">
            <v>1154</v>
          </cell>
          <cell r="N566">
            <v>1100</v>
          </cell>
          <cell r="O566">
            <v>1080</v>
          </cell>
          <cell r="P566">
            <v>1060</v>
          </cell>
          <cell r="Q566">
            <v>1040</v>
          </cell>
          <cell r="R566">
            <v>1020</v>
          </cell>
          <cell r="S566">
            <v>1000</v>
          </cell>
          <cell r="T566">
            <v>980</v>
          </cell>
          <cell r="U566">
            <v>960</v>
          </cell>
          <cell r="V566">
            <v>940</v>
          </cell>
          <cell r="W566">
            <v>920</v>
          </cell>
          <cell r="X566">
            <v>900</v>
          </cell>
          <cell r="Y566">
            <v>866</v>
          </cell>
          <cell r="Z566">
            <v>832</v>
          </cell>
          <cell r="AA566">
            <v>798</v>
          </cell>
          <cell r="AB566">
            <v>764</v>
          </cell>
          <cell r="AC566">
            <v>730</v>
          </cell>
          <cell r="AD566">
            <v>696</v>
          </cell>
          <cell r="AE566">
            <v>662</v>
          </cell>
          <cell r="AF566">
            <v>628</v>
          </cell>
          <cell r="AG566">
            <v>594</v>
          </cell>
          <cell r="AH566">
            <v>560</v>
          </cell>
        </row>
        <row r="567">
          <cell r="B567" t="str">
            <v/>
          </cell>
        </row>
        <row r="568">
          <cell r="B568" t="str">
            <v>e-methane (DAC) - Energy cost - Africa - USD/ton fuel</v>
          </cell>
          <cell r="G568">
            <v>23.35592277220567</v>
          </cell>
          <cell r="H568">
            <v>20.613318498263837</v>
          </cell>
          <cell r="I568">
            <v>17.870714224321272</v>
          </cell>
          <cell r="J568">
            <v>17.106169874015542</v>
          </cell>
          <cell r="K568">
            <v>16.341625523709808</v>
          </cell>
          <cell r="L568">
            <v>15.577081173404077</v>
          </cell>
          <cell r="M568">
            <v>14.812536823098164</v>
          </cell>
          <cell r="N568">
            <v>14.04799247279243</v>
          </cell>
          <cell r="O568">
            <v>13.621222839370786</v>
          </cell>
          <cell r="P568">
            <v>13.19445320594914</v>
          </cell>
          <cell r="Q568">
            <v>12.767683572527313</v>
          </cell>
          <cell r="R568">
            <v>12.340913939105668</v>
          </cell>
          <cell r="S568">
            <v>11.914144305684069</v>
          </cell>
          <cell r="T568">
            <v>11.713270851961216</v>
          </cell>
          <cell r="U568">
            <v>11.512397398238409</v>
          </cell>
          <cell r="V568">
            <v>11.311523944515557</v>
          </cell>
          <cell r="W568">
            <v>11.110650490792706</v>
          </cell>
          <cell r="X568">
            <v>10.909777037069944</v>
          </cell>
          <cell r="Y568">
            <v>10.703224659738499</v>
          </cell>
          <cell r="Z568">
            <v>10.496672282407054</v>
          </cell>
          <cell r="AA568">
            <v>10.290119905075517</v>
          </cell>
          <cell r="AB568">
            <v>10.083567527744073</v>
          </cell>
          <cell r="AC568">
            <v>9.877015150412582</v>
          </cell>
          <cell r="AD568">
            <v>9.7756337118425574</v>
          </cell>
          <cell r="AE568">
            <v>9.6742522732725789</v>
          </cell>
          <cell r="AF568">
            <v>9.5728708347025542</v>
          </cell>
          <cell r="AG568">
            <v>9.4714893961325295</v>
          </cell>
          <cell r="AH568">
            <v>9.370107957562551</v>
          </cell>
        </row>
        <row r="569">
          <cell r="B569" t="str">
            <v>e-methane (DAC) - Energy cost - Americas - USD/ton fuel</v>
          </cell>
          <cell r="G569">
            <v>14.674873815906814</v>
          </cell>
          <cell r="H569">
            <v>14.37097766078905</v>
          </cell>
          <cell r="I569">
            <v>14.067081505671196</v>
          </cell>
          <cell r="J569">
            <v>13.553377670568807</v>
          </cell>
          <cell r="K569">
            <v>13.03967383546642</v>
          </cell>
          <cell r="L569">
            <v>12.525970000364033</v>
          </cell>
          <cell r="M569">
            <v>12.012266165261828</v>
          </cell>
          <cell r="N569">
            <v>11.498562330159439</v>
          </cell>
          <cell r="O569">
            <v>11.251355711348333</v>
          </cell>
          <cell r="P569">
            <v>11.004149092537228</v>
          </cell>
          <cell r="Q569">
            <v>10.756942473726122</v>
          </cell>
          <cell r="R569">
            <v>10.509735854915016</v>
          </cell>
          <cell r="S569">
            <v>10.262529236103866</v>
          </cell>
          <cell r="T569">
            <v>10.062137470168636</v>
          </cell>
          <cell r="U569">
            <v>9.8617457042334085</v>
          </cell>
          <cell r="V569">
            <v>9.6613539382981344</v>
          </cell>
          <cell r="W569">
            <v>9.4609621723629065</v>
          </cell>
          <cell r="X569">
            <v>9.2605704064276555</v>
          </cell>
          <cell r="Y569">
            <v>9.1798389419518571</v>
          </cell>
          <cell r="Z569">
            <v>9.0991074774760587</v>
          </cell>
          <cell r="AA569">
            <v>9.0183760130002835</v>
          </cell>
          <cell r="AB569">
            <v>8.9376445485244869</v>
          </cell>
          <cell r="AC569">
            <v>8.8569130840486885</v>
          </cell>
          <cell r="AD569">
            <v>8.7960069083172812</v>
          </cell>
          <cell r="AE569">
            <v>8.7351007325858969</v>
          </cell>
          <cell r="AF569">
            <v>8.6741945568545145</v>
          </cell>
          <cell r="AG569">
            <v>8.6132883811231302</v>
          </cell>
          <cell r="AH569">
            <v>8.552382205391746</v>
          </cell>
        </row>
        <row r="570">
          <cell r="B570" t="str">
            <v>e-methane (DAC) - Energy cost - Asia - USD/ton fuel</v>
          </cell>
          <cell r="G570">
            <v>25.976640995923663</v>
          </cell>
          <cell r="H570">
            <v>23.693963174734382</v>
          </cell>
          <cell r="I570">
            <v>21.411285353546191</v>
          </cell>
          <cell r="J570">
            <v>20.592507773689434</v>
          </cell>
          <cell r="K570">
            <v>19.773730193833035</v>
          </cell>
          <cell r="L570">
            <v>18.954952613976275</v>
          </cell>
          <cell r="M570">
            <v>18.136175034119514</v>
          </cell>
          <cell r="N570">
            <v>17.317397454263119</v>
          </cell>
          <cell r="O570">
            <v>16.760883226524676</v>
          </cell>
          <cell r="P570">
            <v>16.204368998786414</v>
          </cell>
          <cell r="Q570">
            <v>15.647854771048333</v>
          </cell>
          <cell r="R570">
            <v>15.091340543310071</v>
          </cell>
          <cell r="S570">
            <v>14.534826315571809</v>
          </cell>
          <cell r="T570">
            <v>14.251880999090282</v>
          </cell>
          <cell r="U570">
            <v>13.968935682608754</v>
          </cell>
          <cell r="V570">
            <v>13.685990366127317</v>
          </cell>
          <cell r="W570">
            <v>13.40304504964579</v>
          </cell>
          <cell r="X570">
            <v>13.120099733164444</v>
          </cell>
          <cell r="Y570">
            <v>12.823932917639013</v>
          </cell>
          <cell r="Z570">
            <v>12.527766102113674</v>
          </cell>
          <cell r="AA570">
            <v>12.231599286588244</v>
          </cell>
          <cell r="AB570">
            <v>11.935432471062905</v>
          </cell>
          <cell r="AC570">
            <v>11.639265655537475</v>
          </cell>
          <cell r="AD570">
            <v>11.503447479549278</v>
          </cell>
          <cell r="AE570">
            <v>11.367629303561035</v>
          </cell>
          <cell r="AF570">
            <v>11.231811127572838</v>
          </cell>
          <cell r="AG570">
            <v>11.095992951584641</v>
          </cell>
          <cell r="AH570">
            <v>10.960174775596398</v>
          </cell>
        </row>
        <row r="571">
          <cell r="B571" t="str">
            <v>e-methane (DAC) - Energy cost - Europe - USD/ton fuel</v>
          </cell>
          <cell r="G571">
            <v>19.338202143102901</v>
          </cell>
          <cell r="H571">
            <v>18.504733757273062</v>
          </cell>
          <cell r="I571">
            <v>17.671265371443223</v>
          </cell>
          <cell r="J571">
            <v>16.99781787908978</v>
          </cell>
          <cell r="K571">
            <v>16.324370386736156</v>
          </cell>
          <cell r="L571">
            <v>15.650922894382711</v>
          </cell>
          <cell r="M571">
            <v>14.977475402029086</v>
          </cell>
          <cell r="N571">
            <v>14.304027909675643</v>
          </cell>
          <cell r="O571">
            <v>14.024210615939774</v>
          </cell>
          <cell r="P571">
            <v>13.744393322204179</v>
          </cell>
          <cell r="Q571">
            <v>13.464576028468493</v>
          </cell>
          <cell r="R571">
            <v>13.184758734732805</v>
          </cell>
          <cell r="S571">
            <v>12.904941440997209</v>
          </cell>
          <cell r="T571">
            <v>12.737876294246689</v>
          </cell>
          <cell r="U571">
            <v>12.570811147496215</v>
          </cell>
          <cell r="V571">
            <v>12.403746000745741</v>
          </cell>
          <cell r="W571">
            <v>12.236680853995267</v>
          </cell>
          <cell r="X571">
            <v>12.069615707244703</v>
          </cell>
          <cell r="Y571">
            <v>11.890886162064181</v>
          </cell>
          <cell r="Z571">
            <v>11.712156616883613</v>
          </cell>
          <cell r="AA571">
            <v>11.533427071703091</v>
          </cell>
          <cell r="AB571">
            <v>11.354697526522523</v>
          </cell>
          <cell r="AC571">
            <v>11.175967981342001</v>
          </cell>
          <cell r="AD571">
            <v>11.045563224372746</v>
          </cell>
          <cell r="AE571">
            <v>10.915158467403444</v>
          </cell>
          <cell r="AF571">
            <v>10.784753710434188</v>
          </cell>
          <cell r="AG571">
            <v>10.654348953464932</v>
          </cell>
          <cell r="AH571">
            <v>10.523944196495632</v>
          </cell>
        </row>
        <row r="572">
          <cell r="B572" t="str">
            <v>e-methane (DAC) - Energy cost - Middle East - USD/ton fuel</v>
          </cell>
          <cell r="G572">
            <v>14.808126669265585</v>
          </cell>
          <cell r="H572">
            <v>14.154681160173642</v>
          </cell>
          <cell r="I572">
            <v>13.501235651081515</v>
          </cell>
          <cell r="J572">
            <v>13.06859485087498</v>
          </cell>
          <cell r="K572">
            <v>12.635954050668444</v>
          </cell>
          <cell r="L572">
            <v>12.203313250461907</v>
          </cell>
          <cell r="M572">
            <v>11.77067245025537</v>
          </cell>
          <cell r="N572">
            <v>11.338031650048833</v>
          </cell>
          <cell r="O572">
            <v>11.032970030145316</v>
          </cell>
          <cell r="P572">
            <v>10.72790841024189</v>
          </cell>
          <cell r="Q572">
            <v>10.422846790338372</v>
          </cell>
          <cell r="R572">
            <v>10.117785170434946</v>
          </cell>
          <cell r="S572">
            <v>9.8127235505315191</v>
          </cell>
          <cell r="T572">
            <v>9.6597688620424833</v>
          </cell>
          <cell r="U572">
            <v>9.5068141735534493</v>
          </cell>
          <cell r="V572">
            <v>9.3538594850644596</v>
          </cell>
          <cell r="W572">
            <v>9.2009047965754238</v>
          </cell>
          <cell r="X572">
            <v>9.047950108086388</v>
          </cell>
          <cell r="Y572">
            <v>8.8473659326680263</v>
          </cell>
          <cell r="Z572">
            <v>8.6467817572497108</v>
          </cell>
          <cell r="AA572">
            <v>8.4461975818313473</v>
          </cell>
          <cell r="AB572">
            <v>8.2456134064130318</v>
          </cell>
          <cell r="AC572">
            <v>8.045029230994647</v>
          </cell>
          <cell r="AD572">
            <v>7.9511495445312228</v>
          </cell>
          <cell r="AE572">
            <v>7.8572698580678209</v>
          </cell>
          <cell r="AF572">
            <v>7.7633901716043967</v>
          </cell>
          <cell r="AG572">
            <v>7.6695104851409726</v>
          </cell>
          <cell r="AH572">
            <v>7.5756307986775715</v>
          </cell>
        </row>
        <row r="573">
          <cell r="B573" t="str">
            <v>Renewable electricity - Cost of electricity - Africa - USD/MWh</v>
          </cell>
          <cell r="G573">
            <v>58.389806930514169</v>
          </cell>
          <cell r="H573">
            <v>51.533296245659585</v>
          </cell>
          <cell r="I573">
            <v>44.676785560803182</v>
          </cell>
          <cell r="J573">
            <v>42.765424685038852</v>
          </cell>
          <cell r="K573">
            <v>40.854063809274521</v>
          </cell>
          <cell r="L573">
            <v>38.942702933510191</v>
          </cell>
          <cell r="M573">
            <v>37.031342057745405</v>
          </cell>
          <cell r="N573">
            <v>35.119981181981075</v>
          </cell>
          <cell r="O573">
            <v>34.053057098426962</v>
          </cell>
          <cell r="P573">
            <v>32.986133014872848</v>
          </cell>
          <cell r="Q573">
            <v>31.919208931318281</v>
          </cell>
          <cell r="R573">
            <v>30.852284847764167</v>
          </cell>
          <cell r="S573">
            <v>29.785360764210168</v>
          </cell>
          <cell r="T573">
            <v>29.283177129903038</v>
          </cell>
          <cell r="U573">
            <v>28.780993495596022</v>
          </cell>
          <cell r="V573">
            <v>28.278809861288892</v>
          </cell>
          <cell r="W573">
            <v>27.776626226981762</v>
          </cell>
          <cell r="X573">
            <v>27.274442592674859</v>
          </cell>
          <cell r="Y573">
            <v>26.758061649346246</v>
          </cell>
          <cell r="Z573">
            <v>26.241680706017632</v>
          </cell>
          <cell r="AA573">
            <v>25.725299762688792</v>
          </cell>
          <cell r="AB573">
            <v>25.208918819360179</v>
          </cell>
          <cell r="AC573">
            <v>24.692537876031452</v>
          </cell>
          <cell r="AD573">
            <v>24.439084279606391</v>
          </cell>
          <cell r="AE573">
            <v>24.185630683181444</v>
          </cell>
          <cell r="AF573">
            <v>23.932177086756383</v>
          </cell>
          <cell r="AG573">
            <v>23.678723490331322</v>
          </cell>
          <cell r="AH573">
            <v>23.425269893906375</v>
          </cell>
        </row>
        <row r="574">
          <cell r="B574" t="str">
            <v>Renewable electricity - Cost of electricity - Americas - USD/MWh</v>
          </cell>
          <cell r="G574">
            <v>36.687184539767031</v>
          </cell>
          <cell r="H574">
            <v>35.927444151972622</v>
          </cell>
          <cell r="I574">
            <v>35.167703764177986</v>
          </cell>
          <cell r="J574">
            <v>33.883444176422017</v>
          </cell>
          <cell r="K574">
            <v>32.599184588666049</v>
          </cell>
          <cell r="L574">
            <v>31.31492500091008</v>
          </cell>
          <cell r="M574">
            <v>30.030665413154566</v>
          </cell>
          <cell r="N574">
            <v>28.746405825398597</v>
          </cell>
          <cell r="O574">
            <v>28.128389278370832</v>
          </cell>
          <cell r="P574">
            <v>27.510372731343068</v>
          </cell>
          <cell r="Q574">
            <v>26.892356184315304</v>
          </cell>
          <cell r="R574">
            <v>26.27433963728754</v>
          </cell>
          <cell r="S574">
            <v>25.656323090259662</v>
          </cell>
          <cell r="T574">
            <v>25.155343675421591</v>
          </cell>
          <cell r="U574">
            <v>24.65436426058352</v>
          </cell>
          <cell r="V574">
            <v>24.153384845745336</v>
          </cell>
          <cell r="W574">
            <v>23.652405430907265</v>
          </cell>
          <cell r="X574">
            <v>23.151426016069138</v>
          </cell>
          <cell r="Y574">
            <v>22.949597354879643</v>
          </cell>
          <cell r="Z574">
            <v>22.747768693690148</v>
          </cell>
          <cell r="AA574">
            <v>22.54594003250071</v>
          </cell>
          <cell r="AB574">
            <v>22.344111371311214</v>
          </cell>
          <cell r="AC574">
            <v>22.142282710121719</v>
          </cell>
          <cell r="AD574">
            <v>21.990017270793203</v>
          </cell>
          <cell r="AE574">
            <v>21.837751831464743</v>
          </cell>
          <cell r="AF574">
            <v>21.685486392136283</v>
          </cell>
          <cell r="AG574">
            <v>21.533220952807824</v>
          </cell>
          <cell r="AH574">
            <v>21.380955513479364</v>
          </cell>
        </row>
        <row r="575">
          <cell r="B575" t="str">
            <v>Renewable electricity - Cost of electricity - Asia - USD/MWh</v>
          </cell>
          <cell r="G575">
            <v>64.941602489809156</v>
          </cell>
          <cell r="H575">
            <v>59.234907936835953</v>
          </cell>
          <cell r="I575">
            <v>53.528213383865477</v>
          </cell>
          <cell r="J575">
            <v>51.481269434223577</v>
          </cell>
          <cell r="K575">
            <v>49.434325484582587</v>
          </cell>
          <cell r="L575">
            <v>47.387381534940687</v>
          </cell>
          <cell r="M575">
            <v>45.340437585298787</v>
          </cell>
          <cell r="N575">
            <v>43.293493635657796</v>
          </cell>
          <cell r="O575">
            <v>41.902208066311687</v>
          </cell>
          <cell r="P575">
            <v>40.510922496966032</v>
          </cell>
          <cell r="Q575">
            <v>39.119636927620832</v>
          </cell>
          <cell r="R575">
            <v>37.728351358275177</v>
          </cell>
          <cell r="S575">
            <v>36.337065788929522</v>
          </cell>
          <cell r="T575">
            <v>35.629702497725702</v>
          </cell>
          <cell r="U575">
            <v>34.922339206521883</v>
          </cell>
          <cell r="V575">
            <v>34.214975915318291</v>
          </cell>
          <cell r="W575">
            <v>33.507612624114472</v>
          </cell>
          <cell r="X575">
            <v>32.800249332911108</v>
          </cell>
          <cell r="Y575">
            <v>32.059832294097532</v>
          </cell>
          <cell r="Z575">
            <v>31.319415255284184</v>
          </cell>
          <cell r="AA575">
            <v>30.578998216470609</v>
          </cell>
          <cell r="AB575">
            <v>29.838581177657261</v>
          </cell>
          <cell r="AC575">
            <v>29.098164138843686</v>
          </cell>
          <cell r="AD575">
            <v>28.758618698873192</v>
          </cell>
          <cell r="AE575">
            <v>28.419073258902586</v>
          </cell>
          <cell r="AF575">
            <v>28.079527818932092</v>
          </cell>
          <cell r="AG575">
            <v>27.739982378961599</v>
          </cell>
          <cell r="AH575">
            <v>27.400436938990993</v>
          </cell>
        </row>
        <row r="576">
          <cell r="B576" t="str">
            <v>Renewable electricity - Cost of electricity - Europe - USD/MWh</v>
          </cell>
          <cell r="G576">
            <v>48.345505357757247</v>
          </cell>
          <cell r="H576">
            <v>46.261834393182653</v>
          </cell>
          <cell r="I576">
            <v>44.178163428608059</v>
          </cell>
          <cell r="J576">
            <v>42.49454469772445</v>
          </cell>
          <cell r="K576">
            <v>40.810925966840387</v>
          </cell>
          <cell r="L576">
            <v>39.127307235956778</v>
          </cell>
          <cell r="M576">
            <v>37.443688505072714</v>
          </cell>
          <cell r="N576">
            <v>35.760069774189105</v>
          </cell>
          <cell r="O576">
            <v>35.060526539849434</v>
          </cell>
          <cell r="P576">
            <v>34.360983305510445</v>
          </cell>
          <cell r="Q576">
            <v>33.661440071171228</v>
          </cell>
          <cell r="R576">
            <v>32.961896836832011</v>
          </cell>
          <cell r="S576">
            <v>32.262353602493022</v>
          </cell>
          <cell r="T576">
            <v>31.844690735616723</v>
          </cell>
          <cell r="U576">
            <v>31.427027868740538</v>
          </cell>
          <cell r="V576">
            <v>31.009365001864353</v>
          </cell>
          <cell r="W576">
            <v>30.591702134988168</v>
          </cell>
          <cell r="X576">
            <v>30.174039268111756</v>
          </cell>
          <cell r="Y576">
            <v>29.72721540516045</v>
          </cell>
          <cell r="Z576">
            <v>29.280391542209031</v>
          </cell>
          <cell r="AA576">
            <v>28.833567679257726</v>
          </cell>
          <cell r="AB576">
            <v>28.386743816306307</v>
          </cell>
          <cell r="AC576">
            <v>27.939919953355002</v>
          </cell>
          <cell r="AD576">
            <v>27.613908060931863</v>
          </cell>
          <cell r="AE576">
            <v>27.28789616850861</v>
          </cell>
          <cell r="AF576">
            <v>26.96188427608547</v>
          </cell>
          <cell r="AG576">
            <v>26.635872383662331</v>
          </cell>
          <cell r="AH576">
            <v>26.309860491239078</v>
          </cell>
        </row>
        <row r="577">
          <cell r="B577" t="str">
            <v>Renewable electricity - Cost of electricity - Middle East - USD/MWh</v>
          </cell>
          <cell r="G577">
            <v>37.020316673163961</v>
          </cell>
          <cell r="H577">
            <v>35.386702900434102</v>
          </cell>
          <cell r="I577">
            <v>33.753089127703788</v>
          </cell>
          <cell r="J577">
            <v>32.671487127187447</v>
          </cell>
          <cell r="K577">
            <v>31.589885126671106</v>
          </cell>
          <cell r="L577">
            <v>30.508283126154765</v>
          </cell>
          <cell r="M577">
            <v>29.426681125638424</v>
          </cell>
          <cell r="N577">
            <v>28.345079125122083</v>
          </cell>
          <cell r="O577">
            <v>27.58242507536329</v>
          </cell>
          <cell r="P577">
            <v>26.819771025604723</v>
          </cell>
          <cell r="Q577">
            <v>26.057116975845929</v>
          </cell>
          <cell r="R577">
            <v>25.294462926087363</v>
          </cell>
          <cell r="S577">
            <v>24.531808876328796</v>
          </cell>
          <cell r="T577">
            <v>24.149422155106208</v>
          </cell>
          <cell r="U577">
            <v>23.76703543388362</v>
          </cell>
          <cell r="V577">
            <v>23.384648712661146</v>
          </cell>
          <cell r="W577">
            <v>23.002261991438559</v>
          </cell>
          <cell r="X577">
            <v>22.619875270215971</v>
          </cell>
          <cell r="Y577">
            <v>22.118414831670066</v>
          </cell>
          <cell r="Z577">
            <v>21.616954393124274</v>
          </cell>
          <cell r="AA577">
            <v>21.115493954578369</v>
          </cell>
          <cell r="AB577">
            <v>20.614033516032578</v>
          </cell>
          <cell r="AC577">
            <v>20.112573077486616</v>
          </cell>
          <cell r="AD577">
            <v>19.877873861328055</v>
          </cell>
          <cell r="AE577">
            <v>19.643174645169552</v>
          </cell>
          <cell r="AF577">
            <v>19.408475429010991</v>
          </cell>
          <cell r="AG577">
            <v>19.173776212852431</v>
          </cell>
          <cell r="AH577">
            <v>18.939076996693927</v>
          </cell>
        </row>
        <row r="578">
          <cell r="B578" t="str">
            <v>e-methane - Energy demand - Global - MWh/ton fuel</v>
          </cell>
          <cell r="G578">
            <v>0.4</v>
          </cell>
          <cell r="H578">
            <v>0.4</v>
          </cell>
          <cell r="I578">
            <v>0.4</v>
          </cell>
          <cell r="J578">
            <v>0.4</v>
          </cell>
          <cell r="K578">
            <v>0.4</v>
          </cell>
          <cell r="L578">
            <v>0.4</v>
          </cell>
          <cell r="M578">
            <v>0.4</v>
          </cell>
          <cell r="N578">
            <v>0.4</v>
          </cell>
          <cell r="O578">
            <v>0.4</v>
          </cell>
          <cell r="P578">
            <v>0.4</v>
          </cell>
          <cell r="Q578">
            <v>0.4</v>
          </cell>
          <cell r="R578">
            <v>0.4</v>
          </cell>
          <cell r="S578">
            <v>0.4</v>
          </cell>
          <cell r="T578">
            <v>0.4</v>
          </cell>
          <cell r="U578">
            <v>0.4</v>
          </cell>
          <cell r="V578">
            <v>0.4</v>
          </cell>
          <cell r="W578">
            <v>0.4</v>
          </cell>
          <cell r="X578">
            <v>0.4</v>
          </cell>
          <cell r="Y578">
            <v>0.4</v>
          </cell>
          <cell r="Z578">
            <v>0.4</v>
          </cell>
          <cell r="AA578">
            <v>0.4</v>
          </cell>
          <cell r="AB578">
            <v>0.4</v>
          </cell>
          <cell r="AC578">
            <v>0.4</v>
          </cell>
          <cell r="AD578">
            <v>0.4</v>
          </cell>
          <cell r="AE578">
            <v>0.4</v>
          </cell>
          <cell r="AF578">
            <v>0.4</v>
          </cell>
          <cell r="AG578">
            <v>0.4</v>
          </cell>
          <cell r="AH578">
            <v>0.4</v>
          </cell>
        </row>
        <row r="579">
          <cell r="B579" t="str">
            <v/>
          </cell>
        </row>
        <row r="580">
          <cell r="B580" t="str">
            <v>e-methane (DAC) - Feedstock cost - Africa - USD/ton fuel</v>
          </cell>
          <cell r="G580">
            <v>3132.2693632183259</v>
          </cell>
          <cell r="H580">
            <v>2843.3620677046047</v>
          </cell>
          <cell r="I580">
            <v>2554.756190764735</v>
          </cell>
          <cell r="J580">
            <v>2454.0580814855484</v>
          </cell>
          <cell r="K580">
            <v>2351.297815603205</v>
          </cell>
          <cell r="L580">
            <v>2246.5267865386413</v>
          </cell>
          <cell r="M580">
            <v>2139.7963877128323</v>
          </cell>
          <cell r="N580">
            <v>2031.1580125466871</v>
          </cell>
          <cell r="O580">
            <v>1982.014519483042</v>
          </cell>
          <cell r="P580">
            <v>1929.3831614636911</v>
          </cell>
          <cell r="Q580">
            <v>1873.2916203068535</v>
          </cell>
          <cell r="R580">
            <v>1813.7675778307869</v>
          </cell>
          <cell r="S580">
            <v>1750.8387158537739</v>
          </cell>
          <cell r="T580">
            <v>1706.5788019708853</v>
          </cell>
          <cell r="U580">
            <v>1659.8791948775204</v>
          </cell>
          <cell r="V580">
            <v>1610.7489272561975</v>
          </cell>
          <cell r="W580">
            <v>1559.197031789322</v>
          </cell>
          <cell r="X580">
            <v>1505.2325411593879</v>
          </cell>
          <cell r="Y580">
            <v>1451.3299038010296</v>
          </cell>
          <cell r="Z580">
            <v>1396.3623584030513</v>
          </cell>
          <cell r="AA580">
            <v>1340.32462289625</v>
          </cell>
          <cell r="AB580">
            <v>1283.2114152113709</v>
          </cell>
          <cell r="AC580">
            <v>1225.0174532791868</v>
          </cell>
          <cell r="AD580">
            <v>1179.4637273116018</v>
          </cell>
          <cell r="AE580">
            <v>1133.3898543865553</v>
          </cell>
          <cell r="AF580">
            <v>1086.7925060278933</v>
          </cell>
          <cell r="AG580">
            <v>1039.6683537594788</v>
          </cell>
          <cell r="AH580">
            <v>992.01406910517653</v>
          </cell>
        </row>
        <row r="581">
          <cell r="B581" t="str">
            <v>e-methane (DAC) - Feedstock cost - Americas - USD/ton fuel</v>
          </cell>
          <cell r="G581">
            <v>2373.081846156751</v>
          </cell>
          <cell r="H581">
            <v>2299.6019943445594</v>
          </cell>
          <cell r="I581">
            <v>2224.7910524218396</v>
          </cell>
          <cell r="J581">
            <v>2147.221069758029</v>
          </cell>
          <cell r="K581">
            <v>2067.4697860717861</v>
          </cell>
          <cell r="L581">
            <v>1985.5717330386419</v>
          </cell>
          <cell r="M581">
            <v>1901.5614423341906</v>
          </cell>
          <cell r="N581">
            <v>1815.4734456338795</v>
          </cell>
          <cell r="O581">
            <v>1783.1019625007928</v>
          </cell>
          <cell r="P581">
            <v>1747.050421942721</v>
          </cell>
          <cell r="Q581">
            <v>1707.3348586728923</v>
          </cell>
          <cell r="R581">
            <v>1663.9713074045246</v>
          </cell>
          <cell r="S581">
            <v>1616.9758028508945</v>
          </cell>
          <cell r="T581">
            <v>1574.0109292031707</v>
          </cell>
          <cell r="U581">
            <v>1528.630371149771</v>
          </cell>
          <cell r="V581">
            <v>1480.8431397131453</v>
          </cell>
          <cell r="W581">
            <v>1430.6582459156377</v>
          </cell>
          <cell r="X581">
            <v>1378.084700779661</v>
          </cell>
          <cell r="Y581">
            <v>1335.3796835465439</v>
          </cell>
          <cell r="Z581">
            <v>1291.3505148574259</v>
          </cell>
          <cell r="AA581">
            <v>1245.9951302036211</v>
          </cell>
          <cell r="AB581">
            <v>1199.3114650763719</v>
          </cell>
          <cell r="AC581">
            <v>1151.2974549669739</v>
          </cell>
          <cell r="AD581">
            <v>1109.4650486355206</v>
          </cell>
          <cell r="AE581">
            <v>1067.0364174630517</v>
          </cell>
          <cell r="AF581">
            <v>1024.0095618256098</v>
          </cell>
          <cell r="AG581">
            <v>980.38248209924507</v>
          </cell>
          <cell r="AH581">
            <v>936.15317866000839</v>
          </cell>
        </row>
        <row r="582">
          <cell r="B582" t="str">
            <v>e-methane (DAC) - Feedstock cost - Asia - USD/ton fuel</v>
          </cell>
          <cell r="G582">
            <v>3361.4601639151529</v>
          </cell>
          <cell r="H582">
            <v>3111.7119734350808</v>
          </cell>
          <cell r="I582">
            <v>2861.9007362249986</v>
          </cell>
          <cell r="J582">
            <v>2755.1557651526446</v>
          </cell>
          <cell r="K582">
            <v>2646.3134904645426</v>
          </cell>
          <cell r="L582">
            <v>2535.428951192433</v>
          </cell>
          <cell r="M582">
            <v>2422.5571863682148</v>
          </cell>
          <cell r="N582">
            <v>2307.7532350236634</v>
          </cell>
          <cell r="O582">
            <v>2245.5389459287526</v>
          </cell>
          <cell r="P582">
            <v>2179.9448021394956</v>
          </cell>
          <cell r="Q582">
            <v>2111.0069011766427</v>
          </cell>
          <cell r="R582">
            <v>2038.7613405609084</v>
          </cell>
          <cell r="S582">
            <v>1963.2442178131262</v>
          </cell>
          <cell r="T582">
            <v>1910.4013100144612</v>
          </cell>
          <cell r="U582">
            <v>1855.2067503132187</v>
          </cell>
          <cell r="V582">
            <v>1797.6732619197905</v>
          </cell>
          <cell r="W582">
            <v>1737.8135680444122</v>
          </cell>
          <cell r="X582">
            <v>1675.6403918974486</v>
          </cell>
          <cell r="Y582">
            <v>1612.74443377072</v>
          </cell>
          <cell r="Z582">
            <v>1548.977039074013</v>
          </cell>
          <cell r="AA582">
            <v>1484.3306340691827</v>
          </cell>
          <cell r="AB582">
            <v>1418.797645018034</v>
          </cell>
          <cell r="AC582">
            <v>1352.3704981824019</v>
          </cell>
          <cell r="AD582">
            <v>1302.9236819622733</v>
          </cell>
          <cell r="AE582">
            <v>1253.031233971366</v>
          </cell>
          <cell r="AF582">
            <v>1202.6886951334948</v>
          </cell>
          <cell r="AG582">
            <v>1151.8916063724728</v>
          </cell>
          <cell r="AH582">
            <v>1100.6355086121137</v>
          </cell>
        </row>
        <row r="583">
          <cell r="B583" t="str">
            <v>e-methane (DAC) - Feedstock cost - Europe - USD/ton fuel</v>
          </cell>
          <cell r="G583">
            <v>2780.9059088695967</v>
          </cell>
          <cell r="H583">
            <v>2659.6867088450213</v>
          </cell>
          <cell r="I583">
            <v>2537.4540027775643</v>
          </cell>
          <cell r="J583">
            <v>2444.7002579952014</v>
          </cell>
          <cell r="K583">
            <v>2349.8146044635737</v>
          </cell>
          <cell r="L583">
            <v>2252.8423119835279</v>
          </cell>
          <cell r="M583">
            <v>2153.8286503559011</v>
          </cell>
          <cell r="N583">
            <v>2052.8188893814822</v>
          </cell>
          <cell r="O583">
            <v>2015.8389175356106</v>
          </cell>
          <cell r="P583">
            <v>1975.1631457842541</v>
          </cell>
          <cell r="Q583">
            <v>1930.8097240866437</v>
          </cell>
          <cell r="R583">
            <v>1882.796802402042</v>
          </cell>
          <cell r="S583">
            <v>1831.1425306897793</v>
          </cell>
          <cell r="T583">
            <v>1788.8433636397569</v>
          </cell>
          <cell r="U583">
            <v>1744.037203566992</v>
          </cell>
          <cell r="V583">
            <v>1696.7315628948797</v>
          </cell>
          <cell r="W583">
            <v>1646.9339540466885</v>
          </cell>
          <cell r="X583">
            <v>1594.6518894457708</v>
          </cell>
          <cell r="Y583">
            <v>1541.7269786682643</v>
          </cell>
          <cell r="Z583">
            <v>1487.6928285993965</v>
          </cell>
          <cell r="AA583">
            <v>1432.5448686705079</v>
          </cell>
          <cell r="AB583">
            <v>1376.2785283128501</v>
          </cell>
          <cell r="AC583">
            <v>1318.8892369577443</v>
          </cell>
          <cell r="AD583">
            <v>1270.2058217183521</v>
          </cell>
          <cell r="AE583">
            <v>1221.0630224676552</v>
          </cell>
          <cell r="AF583">
            <v>1171.4565578586096</v>
          </cell>
          <cell r="AG583">
            <v>1121.3821465441704</v>
          </cell>
          <cell r="AH583">
            <v>1070.8355071772926</v>
          </cell>
        </row>
        <row r="584">
          <cell r="B584" t="str">
            <v>e-methane (DAC) - Feedstock cost - Middle East - USD/ton fuel</v>
          </cell>
          <cell r="G584">
            <v>2384.735265391233</v>
          </cell>
          <cell r="H584">
            <v>2280.7607608867379</v>
          </cell>
          <cell r="I584">
            <v>2175.7039245361843</v>
          </cell>
          <cell r="J584">
            <v>2105.3527861056987</v>
          </cell>
          <cell r="K584">
            <v>2032.7669794226017</v>
          </cell>
          <cell r="L584">
            <v>1957.9755870257284</v>
          </cell>
          <cell r="M584">
            <v>1881.0076914539611</v>
          </cell>
          <cell r="N584">
            <v>1801.892375246081</v>
          </cell>
          <cell r="O584">
            <v>1764.7719668049367</v>
          </cell>
          <cell r="P584">
            <v>1724.0546561668029</v>
          </cell>
          <cell r="Q584">
            <v>1679.7602307290097</v>
          </cell>
          <cell r="R584">
            <v>1631.9084778889096</v>
          </cell>
          <cell r="S584">
            <v>1580.5191850438919</v>
          </cell>
          <cell r="T584">
            <v>1541.7051500117404</v>
          </cell>
          <cell r="U584">
            <v>1500.4085808866744</v>
          </cell>
          <cell r="V584">
            <v>1456.6363555866994</v>
          </cell>
          <cell r="W584">
            <v>1410.3953520296968</v>
          </cell>
          <cell r="X584">
            <v>1361.6924481336375</v>
          </cell>
          <cell r="Y584">
            <v>1310.0739988436949</v>
          </cell>
          <cell r="Z584">
            <v>1257.3631408219032</v>
          </cell>
          <cell r="AA584">
            <v>1203.5547446211463</v>
          </cell>
          <cell r="AB584">
            <v>1148.6436807942557</v>
          </cell>
          <cell r="AC584">
            <v>1092.6248198940966</v>
          </cell>
          <cell r="AD584">
            <v>1049.0962439826005</v>
          </cell>
          <cell r="AE584">
            <v>1005.0154410408115</v>
          </cell>
          <cell r="AF584">
            <v>960.37932888424098</v>
          </cell>
          <cell r="AG584">
            <v>915.18482532841142</v>
          </cell>
          <cell r="AH584">
            <v>869.42884818884625</v>
          </cell>
        </row>
        <row r="585">
          <cell r="B585" t="str">
            <v>e-hydrogen (compressed) - Cost - Africa - USD/ton H2</v>
          </cell>
          <cell r="G585">
            <v>4633.1233423090589</v>
          </cell>
          <cell r="H585">
            <v>4201.9656446218651</v>
          </cell>
          <cell r="I585">
            <v>3768.1364126730182</v>
          </cell>
          <cell r="J585">
            <v>3627.6640614332246</v>
          </cell>
          <cell r="K585">
            <v>3482.0419503382509</v>
          </cell>
          <cell r="L585">
            <v>3331.3728662299636</v>
          </cell>
          <cell r="M585">
            <v>3175.7595959503119</v>
          </cell>
          <cell r="N585">
            <v>3015.3049263411149</v>
          </cell>
          <cell r="O585">
            <v>2957.5120355923382</v>
          </cell>
          <cell r="P585">
            <v>2892.1425659444694</v>
          </cell>
          <cell r="Q585">
            <v>2819.2518810339607</v>
          </cell>
          <cell r="R585">
            <v>2738.8953444973072</v>
          </cell>
          <cell r="S585">
            <v>2651.1283199710874</v>
          </cell>
          <cell r="T585">
            <v>2589.8814487511354</v>
          </cell>
          <cell r="U585">
            <v>2523.4234074819769</v>
          </cell>
          <cell r="V585">
            <v>2451.7722615286521</v>
          </cell>
          <cell r="W585">
            <v>2374.9460762559747</v>
          </cell>
          <cell r="X585">
            <v>2292.9629170289318</v>
          </cell>
          <cell r="Y585">
            <v>2208.6908045163059</v>
          </cell>
          <cell r="Z585">
            <v>2121.9988992007134</v>
          </cell>
          <cell r="AA585">
            <v>2032.876636943749</v>
          </cell>
          <cell r="AB585">
            <v>1941.3134536068953</v>
          </cell>
          <cell r="AC585">
            <v>1847.2987850517036</v>
          </cell>
          <cell r="AD585">
            <v>1773.4817469024235</v>
          </cell>
          <cell r="AE585">
            <v>1698.451689879309</v>
          </cell>
          <cell r="AF585">
            <v>1622.2019570300602</v>
          </cell>
          <cell r="AG585">
            <v>1544.7258914023987</v>
          </cell>
          <cell r="AH585">
            <v>1466.0168360440496</v>
          </cell>
        </row>
        <row r="586">
          <cell r="B586" t="str">
            <v>e-hydrogen (compressed) - Cost - Americas - USD/ton H2</v>
          </cell>
          <cell r="G586">
            <v>3458.2747756282647</v>
          </cell>
          <cell r="H586">
            <v>3358.1215141660286</v>
          </cell>
          <cell r="I586">
            <v>3254.6459956552549</v>
          </cell>
          <cell r="J586">
            <v>3148.9921734049194</v>
          </cell>
          <cell r="K586">
            <v>3038.2017033305151</v>
          </cell>
          <cell r="L586">
            <v>2922.3436487831009</v>
          </cell>
          <cell r="M586">
            <v>2801.4870731138512</v>
          </cell>
          <cell r="N586">
            <v>2675.701039673685</v>
          </cell>
          <cell r="O586">
            <v>2643.8786103743646</v>
          </cell>
          <cell r="P586">
            <v>2604.2634692905026</v>
          </cell>
          <cell r="Q586">
            <v>2556.8876858485628</v>
          </cell>
          <cell r="R586">
            <v>2501.7833294749726</v>
          </cell>
          <cell r="S586">
            <v>2438.9824695962966</v>
          </cell>
          <cell r="T586">
            <v>2379.5862497865878</v>
          </cell>
          <cell r="U586">
            <v>2315.0272995091577</v>
          </cell>
          <cell r="V586">
            <v>2245.3236408089065</v>
          </cell>
          <cell r="W586">
            <v>2170.4932957305264</v>
          </cell>
          <cell r="X586">
            <v>2090.5542863188448</v>
          </cell>
          <cell r="Y586">
            <v>2024.0950200699413</v>
          </cell>
          <cell r="Z586">
            <v>1954.8005234985762</v>
          </cell>
          <cell r="AA586">
            <v>1882.6666675873769</v>
          </cell>
          <cell r="AB586">
            <v>1807.6893233188264</v>
          </cell>
          <cell r="AC586">
            <v>1729.8643616755162</v>
          </cell>
          <cell r="AD586">
            <v>1661.9243548242082</v>
          </cell>
          <cell r="AE586">
            <v>1592.6501658127502</v>
          </cell>
          <cell r="AF586">
            <v>1522.0377953932327</v>
          </cell>
          <cell r="AG586">
            <v>1450.083244317753</v>
          </cell>
          <cell r="AH586">
            <v>1376.7825133384104</v>
          </cell>
        </row>
        <row r="587">
          <cell r="B587" t="str">
            <v>e-hydrogen (compressed) - Cost - Asia - USD/ton H2</v>
          </cell>
          <cell r="G587">
            <v>4987.7978827141424</v>
          </cell>
          <cell r="H587">
            <v>4618.4094108214867</v>
          </cell>
          <cell r="I587">
            <v>4246.1135151183844</v>
          </cell>
          <cell r="J587">
            <v>4097.3824826576747</v>
          </cell>
          <cell r="K587">
            <v>3943.3770419350276</v>
          </cell>
          <cell r="L587">
            <v>3784.2072710139482</v>
          </cell>
          <cell r="M587">
            <v>3619.9832479582124</v>
          </cell>
          <cell r="N587">
            <v>3450.8150508313697</v>
          </cell>
          <cell r="O587">
            <v>3373.0215929007072</v>
          </cell>
          <cell r="P587">
            <v>3287.7460048188714</v>
          </cell>
          <cell r="Q587">
            <v>3195.0604816273712</v>
          </cell>
          <cell r="R587">
            <v>3095.0372183676395</v>
          </cell>
          <cell r="S587">
            <v>2987.7484100813476</v>
          </cell>
          <cell r="T587">
            <v>2913.2093711775688</v>
          </cell>
          <cell r="U587">
            <v>2833.5633476088337</v>
          </cell>
          <cell r="V587">
            <v>2748.8357857959254</v>
          </cell>
          <cell r="W587">
            <v>2659.0521321593251</v>
          </cell>
          <cell r="X587">
            <v>2564.2378331197551</v>
          </cell>
          <cell r="Y587">
            <v>2465.6669595887115</v>
          </cell>
          <cell r="Z587">
            <v>2364.9898405548524</v>
          </cell>
          <cell r="AA587">
            <v>2262.1913285418932</v>
          </cell>
          <cell r="AB587">
            <v>2157.2562760734354</v>
          </cell>
          <cell r="AC587">
            <v>2050.1695356731543</v>
          </cell>
          <cell r="AD587">
            <v>1970.240754749665</v>
          </cell>
          <cell r="AE587">
            <v>1889.2216166291751</v>
          </cell>
          <cell r="AF587">
            <v>1807.1032031593165</v>
          </cell>
          <cell r="AG587">
            <v>1723.8765961877139</v>
          </cell>
          <cell r="AH587">
            <v>1639.532877561993</v>
          </cell>
        </row>
        <row r="588">
          <cell r="B588" t="str">
            <v>e-hydrogen (compressed) - Cost - Europe - USD/ton H2</v>
          </cell>
          <cell r="G588">
            <v>4089.3856734873298</v>
          </cell>
          <cell r="H588">
            <v>3916.9256406265708</v>
          </cell>
          <cell r="I588">
            <v>3741.2108175344811</v>
          </cell>
          <cell r="J588">
            <v>3613.0656692355524</v>
          </cell>
          <cell r="K588">
            <v>3479.7225571491235</v>
          </cell>
          <cell r="L588">
            <v>3341.2720208768683</v>
          </cell>
          <cell r="M588">
            <v>3197.8046000204672</v>
          </cell>
          <cell r="N588">
            <v>3049.4108341814967</v>
          </cell>
          <cell r="O588">
            <v>3010.8443238003165</v>
          </cell>
          <cell r="P588">
            <v>2964.4230601972345</v>
          </cell>
          <cell r="Q588">
            <v>2910.1833432907338</v>
          </cell>
          <cell r="R588">
            <v>2848.1614729993285</v>
          </cell>
          <cell r="S588">
            <v>2778.3937492416853</v>
          </cell>
          <cell r="T588">
            <v>2720.379449531456</v>
          </cell>
          <cell r="U588">
            <v>2657.0489971635134</v>
          </cell>
          <cell r="V588">
            <v>2588.4174169846506</v>
          </cell>
          <cell r="W588">
            <v>2514.4997338414096</v>
          </cell>
          <cell r="X588">
            <v>2435.3109725804993</v>
          </cell>
          <cell r="Y588">
            <v>2352.605312916116</v>
          </cell>
          <cell r="Z588">
            <v>2267.4139852839012</v>
          </cell>
          <cell r="AA588">
            <v>2179.7278485465313</v>
          </cell>
          <cell r="AB588">
            <v>2089.5377615665116</v>
          </cell>
          <cell r="AC588">
            <v>1996.8345832064804</v>
          </cell>
          <cell r="AD588">
            <v>1918.0980681700892</v>
          </cell>
          <cell r="AE588">
            <v>1838.2478365870952</v>
          </cell>
          <cell r="AF588">
            <v>1757.2753257634138</v>
          </cell>
          <cell r="AG588">
            <v>1675.1719730049533</v>
          </cell>
          <cell r="AH588">
            <v>1591.929215617622</v>
          </cell>
        </row>
        <row r="589">
          <cell r="B589" t="str">
            <v>e-hydrogen (compressed) - Cost - Middle East - USD/ton H2</v>
          </cell>
          <cell r="G589">
            <v>3476.3085322126099</v>
          </cell>
          <cell r="H589">
            <v>3328.8823974252828</v>
          </cell>
          <cell r="I589">
            <v>3178.2568052856477</v>
          </cell>
          <cell r="J589">
            <v>3083.6768117686811</v>
          </cell>
          <cell r="K589">
            <v>2983.9346800894909</v>
          </cell>
          <cell r="L589">
            <v>2879.0885753257426</v>
          </cell>
          <cell r="M589">
            <v>2769.1966625551941</v>
          </cell>
          <cell r="N589">
            <v>2654.3171068554188</v>
          </cell>
          <cell r="O589">
            <v>2614.9769692636173</v>
          </cell>
          <cell r="P589">
            <v>2567.9562197212276</v>
          </cell>
          <cell r="Q589">
            <v>2513.2944330229238</v>
          </cell>
          <cell r="R589">
            <v>2451.0311839633964</v>
          </cell>
          <cell r="S589">
            <v>2381.2060473374368</v>
          </cell>
          <cell r="T589">
            <v>2328.338914207246</v>
          </cell>
          <cell r="U589">
            <v>2270.2169074323938</v>
          </cell>
          <cell r="V589">
            <v>2206.8537828488898</v>
          </cell>
          <cell r="W589">
            <v>2138.2632962925059</v>
          </cell>
          <cell r="X589">
            <v>2064.4592035991823</v>
          </cell>
          <cell r="Y589">
            <v>1983.8077079076854</v>
          </cell>
          <cell r="Z589">
            <v>1900.6863060803155</v>
          </cell>
          <cell r="AA589">
            <v>1815.084739222842</v>
          </cell>
          <cell r="AB589">
            <v>1726.9927484409238</v>
          </cell>
          <cell r="AC589">
            <v>1636.4000748402937</v>
          </cell>
          <cell r="AD589">
            <v>1565.7141614700843</v>
          </cell>
          <cell r="AE589">
            <v>1493.7568132779884</v>
          </cell>
          <cell r="AF589">
            <v>1420.5218658950355</v>
          </cell>
          <cell r="AG589">
            <v>1346.0031549522671</v>
          </cell>
          <cell r="AH589">
            <v>1270.1945160807259</v>
          </cell>
        </row>
        <row r="590">
          <cell r="B590" t="str">
            <v>Carbon dioxide (DAC) - Cost - Africa - USD/ton CO2</v>
          </cell>
          <cell r="G590">
            <v>296.62097893228963</v>
          </cell>
          <cell r="H590">
            <v>269.95608923406257</v>
          </cell>
          <cell r="I590">
            <v>243.88653979208223</v>
          </cell>
          <cell r="J590">
            <v>232.80947300688581</v>
          </cell>
          <cell r="K590">
            <v>221.91885106693803</v>
          </cell>
          <cell r="L590">
            <v>211.21467397223984</v>
          </cell>
          <cell r="M590">
            <v>200.69694172279128</v>
          </cell>
          <cell r="N590">
            <v>190.36565431859265</v>
          </cell>
          <cell r="O590">
            <v>183.00309152249926</v>
          </cell>
          <cell r="P590">
            <v>175.74977399689323</v>
          </cell>
          <cell r="Q590">
            <v>168.60570174177207</v>
          </cell>
          <cell r="R590">
            <v>161.57087475713939</v>
          </cell>
          <cell r="S590">
            <v>154.64529304299276</v>
          </cell>
          <cell r="T590">
            <v>149.68657367102458</v>
          </cell>
          <cell r="U590">
            <v>144.78817859510252</v>
          </cell>
          <cell r="V590">
            <v>139.95010781522603</v>
          </cell>
          <cell r="W590">
            <v>135.17236133139443</v>
          </cell>
          <cell r="X590">
            <v>130.45493914360796</v>
          </cell>
          <cell r="Y590">
            <v>126.17618237922781</v>
          </cell>
          <cell r="Z590">
            <v>121.95014865552533</v>
          </cell>
          <cell r="AA590">
            <v>117.7768379725002</v>
          </cell>
          <cell r="AB590">
            <v>113.65625033015385</v>
          </cell>
          <cell r="AC590">
            <v>109.58838572848549</v>
          </cell>
          <cell r="AD590">
            <v>106.44467413105096</v>
          </cell>
          <cell r="AE590">
            <v>103.33236707160029</v>
          </cell>
          <cell r="AF590">
            <v>100.25146455013206</v>
          </cell>
          <cell r="AG590">
            <v>97.201966566647087</v>
          </cell>
          <cell r="AH590">
            <v>94.183873121146092</v>
          </cell>
        </row>
        <row r="591">
          <cell r="B591" t="str">
            <v>Carbon dioxide (DAC) - Cost - Americas - USD/ton CO2</v>
          </cell>
          <cell r="G591">
            <v>234.16162121549769</v>
          </cell>
          <cell r="H591">
            <v>225.65135900419827</v>
          </cell>
          <cell r="I591">
            <v>217.2611107615316</v>
          </cell>
          <cell r="J591">
            <v>208.26363020202524</v>
          </cell>
          <cell r="K591">
            <v>199.40688523873763</v>
          </cell>
          <cell r="L591">
            <v>190.69087587166962</v>
          </cell>
          <cell r="M591">
            <v>182.11560210082365</v>
          </cell>
          <cell r="N591">
            <v>173.68106392619524</v>
          </cell>
          <cell r="O591">
            <v>167.69551175040382</v>
          </cell>
          <cell r="P591">
            <v>161.78861356271622</v>
          </cell>
          <cell r="Q591">
            <v>155.96036936313124</v>
          </cell>
          <cell r="R591">
            <v>150.21077915165029</v>
          </cell>
          <cell r="S591">
            <v>144.53984292827138</v>
          </cell>
          <cell r="T591">
            <v>139.71556520359152</v>
          </cell>
          <cell r="U591">
            <v>134.95153505279714</v>
          </cell>
          <cell r="V591">
            <v>130.24775247588798</v>
          </cell>
          <cell r="W591">
            <v>125.60421747286347</v>
          </cell>
          <cell r="X591">
            <v>121.02093004372313</v>
          </cell>
          <cell r="Y591">
            <v>117.57533582239029</v>
          </cell>
          <cell r="Z591">
            <v>114.16372840295915</v>
          </cell>
          <cell r="AA591">
            <v>110.78610778543006</v>
          </cell>
          <cell r="AB591">
            <v>107.44247396980312</v>
          </cell>
          <cell r="AC591">
            <v>104.13282695607847</v>
          </cell>
          <cell r="AD591">
            <v>101.27377135396961</v>
          </cell>
          <cell r="AE591">
            <v>98.440485293336934</v>
          </cell>
          <cell r="AF591">
            <v>95.632968774179432</v>
          </cell>
          <cell r="AG591">
            <v>92.85122179649764</v>
          </cell>
          <cell r="AH591">
            <v>90.095244360292071</v>
          </cell>
        </row>
        <row r="592">
          <cell r="B592" t="str">
            <v>Carbon dioxide (DAC) - Cost - Asia - USD/ton CO2</v>
          </cell>
          <cell r="G592">
            <v>315.4768082029388</v>
          </cell>
          <cell r="H592">
            <v>291.82082473612274</v>
          </cell>
          <cell r="I592">
            <v>268.67053769665677</v>
          </cell>
          <cell r="J592">
            <v>256.89619048138445</v>
          </cell>
          <cell r="K592">
            <v>245.31817072619225</v>
          </cell>
          <cell r="L592">
            <v>233.93647843107601</v>
          </cell>
          <cell r="M592">
            <v>222.75111359603954</v>
          </cell>
          <cell r="N592">
            <v>211.76207622108313</v>
          </cell>
          <cell r="O592">
            <v>203.28296344669053</v>
          </cell>
          <cell r="P592">
            <v>194.93519990183995</v>
          </cell>
          <cell r="Q592">
            <v>186.71878558652995</v>
          </cell>
          <cell r="R592">
            <v>178.63372050075947</v>
          </cell>
          <cell r="S592">
            <v>170.68000464452814</v>
          </cell>
          <cell r="T592">
            <v>165.01695433660979</v>
          </cell>
          <cell r="U592">
            <v>159.42730054865518</v>
          </cell>
          <cell r="V592">
            <v>153.91104328066464</v>
          </cell>
          <cell r="W592">
            <v>148.46818253263623</v>
          </cell>
          <cell r="X592">
            <v>143.09871830457126</v>
          </cell>
          <cell r="Y592">
            <v>138.149437809587</v>
          </cell>
          <cell r="Z592">
            <v>133.26622501694061</v>
          </cell>
          <cell r="AA592">
            <v>128.44907992663133</v>
          </cell>
          <cell r="AB592">
            <v>123.69800253866052</v>
          </cell>
          <cell r="AC592">
            <v>119.01299285302716</v>
          </cell>
          <cell r="AD592">
            <v>115.56483803179665</v>
          </cell>
          <cell r="AE592">
            <v>112.15288205701032</v>
          </cell>
          <cell r="AF592">
            <v>108.7771249286678</v>
          </cell>
          <cell r="AG592">
            <v>105.43756664676937</v>
          </cell>
          <cell r="AH592">
            <v>102.13420721131533</v>
          </cell>
        </row>
        <row r="593">
          <cell r="B593" t="str">
            <v>Carbon dioxide (DAC) - Cost - Europe - USD/ton CO2</v>
          </cell>
          <cell r="G593">
            <v>267.71384440942967</v>
          </cell>
          <cell r="H593">
            <v>254.99050492063122</v>
          </cell>
          <cell r="I593">
            <v>242.49039782193589</v>
          </cell>
          <cell r="J593">
            <v>232.06088122815453</v>
          </cell>
          <cell r="K593">
            <v>221.80120941418619</v>
          </cell>
          <cell r="L593">
            <v>211.71138238003414</v>
          </cell>
          <cell r="M593">
            <v>201.79140012569729</v>
          </cell>
          <cell r="N593">
            <v>192.04126265117594</v>
          </cell>
          <cell r="O593">
            <v>185.60609295834632</v>
          </cell>
          <cell r="P593">
            <v>179.25513297659518</v>
          </cell>
          <cell r="Q593">
            <v>172.98838270591881</v>
          </cell>
          <cell r="R593">
            <v>166.80584214631915</v>
          </cell>
          <cell r="S593">
            <v>160.70751129779512</v>
          </cell>
          <cell r="T593">
            <v>155.8740504996469</v>
          </cell>
          <cell r="U593">
            <v>151.09552908554008</v>
          </cell>
          <cell r="V593">
            <v>146.37194705547432</v>
          </cell>
          <cell r="W593">
            <v>141.70330440944861</v>
          </cell>
          <cell r="X593">
            <v>137.08960114746228</v>
          </cell>
          <cell r="Y593">
            <v>132.88157171280233</v>
          </cell>
          <cell r="Z593">
            <v>128.72212216634401</v>
          </cell>
          <cell r="AA593">
            <v>124.61125250808806</v>
          </cell>
          <cell r="AB593">
            <v>120.54896273803433</v>
          </cell>
          <cell r="AC593">
            <v>116.53525285618329</v>
          </cell>
          <cell r="AD593">
            <v>113.14792277574824</v>
          </cell>
          <cell r="AE593">
            <v>109.79603788149367</v>
          </cell>
          <cell r="AF593">
            <v>106.47959817341915</v>
          </cell>
          <cell r="AG593">
            <v>103.198603651525</v>
          </cell>
          <cell r="AH593">
            <v>99.953054315811499</v>
          </cell>
        </row>
        <row r="594">
          <cell r="B594" t="str">
            <v>Carbon dioxide (DAC) - Cost - Middle East - USD/ton CO2</v>
          </cell>
          <cell r="G594">
            <v>235.12036337633754</v>
          </cell>
          <cell r="H594">
            <v>224.11620442694419</v>
          </cell>
          <cell r="I594">
            <v>213.30018977940381</v>
          </cell>
          <cell r="J594">
            <v>204.91432008049392</v>
          </cell>
          <cell r="K594">
            <v>196.65441431922051</v>
          </cell>
          <cell r="L594">
            <v>188.52047249558439</v>
          </cell>
          <cell r="M594">
            <v>180.51249460958695</v>
          </cell>
          <cell r="N594">
            <v>172.63048066122599</v>
          </cell>
          <cell r="O594">
            <v>166.28490260841022</v>
          </cell>
          <cell r="P594">
            <v>160.02783502043238</v>
          </cell>
          <cell r="Q594">
            <v>153.8592778972901</v>
          </cell>
          <cell r="R594">
            <v>147.77923123898591</v>
          </cell>
          <cell r="S594">
            <v>141.78769504551758</v>
          </cell>
          <cell r="T594">
            <v>137.28570651204271</v>
          </cell>
          <cell r="U594">
            <v>132.83640988017365</v>
          </cell>
          <cell r="V594">
            <v>128.43980514991077</v>
          </cell>
          <cell r="W594">
            <v>124.09589232125236</v>
          </cell>
          <cell r="X594">
            <v>119.80467139419869</v>
          </cell>
          <cell r="Y594">
            <v>115.69823450540083</v>
          </cell>
          <cell r="Z594">
            <v>111.64363192063473</v>
          </cell>
          <cell r="AA594">
            <v>107.64086363990009</v>
          </cell>
          <cell r="AB594">
            <v>103.68992966319777</v>
          </cell>
          <cell r="AC594">
            <v>99.790829990527229</v>
          </cell>
          <cell r="AD594">
            <v>96.814241180930338</v>
          </cell>
          <cell r="AE594">
            <v>93.868012509751736</v>
          </cell>
          <cell r="AF594">
            <v>90.952143976990243</v>
          </cell>
          <cell r="AG594">
            <v>88.066635582646512</v>
          </cell>
          <cell r="AH594">
            <v>85.211487326721198</v>
          </cell>
        </row>
        <row r="595">
          <cell r="B595" t="str">
            <v>e-methane - Conversion H2 -&gt; CH4 - Global - ton H2/ton CH4</v>
          </cell>
          <cell r="G595">
            <v>0.5</v>
          </cell>
          <cell r="H595">
            <v>0.5</v>
          </cell>
          <cell r="I595">
            <v>0.5</v>
          </cell>
          <cell r="J595">
            <v>0.5</v>
          </cell>
          <cell r="K595">
            <v>0.5</v>
          </cell>
          <cell r="L595">
            <v>0.5</v>
          </cell>
          <cell r="M595">
            <v>0.5</v>
          </cell>
          <cell r="N595">
            <v>0.5</v>
          </cell>
          <cell r="O595">
            <v>0.5</v>
          </cell>
          <cell r="P595">
            <v>0.5</v>
          </cell>
          <cell r="Q595">
            <v>0.5</v>
          </cell>
          <cell r="R595">
            <v>0.5</v>
          </cell>
          <cell r="S595">
            <v>0.5</v>
          </cell>
          <cell r="T595">
            <v>0.5</v>
          </cell>
          <cell r="U595">
            <v>0.5</v>
          </cell>
          <cell r="V595">
            <v>0.5</v>
          </cell>
          <cell r="W595">
            <v>0.5</v>
          </cell>
          <cell r="X595">
            <v>0.5</v>
          </cell>
          <cell r="Y595">
            <v>0.5</v>
          </cell>
          <cell r="Z595">
            <v>0.5</v>
          </cell>
          <cell r="AA595">
            <v>0.5</v>
          </cell>
          <cell r="AB595">
            <v>0.5</v>
          </cell>
          <cell r="AC595">
            <v>0.5</v>
          </cell>
          <cell r="AD595">
            <v>0.5</v>
          </cell>
          <cell r="AE595">
            <v>0.5</v>
          </cell>
          <cell r="AF595">
            <v>0.5</v>
          </cell>
          <cell r="AG595">
            <v>0.5</v>
          </cell>
          <cell r="AH595">
            <v>0.5</v>
          </cell>
        </row>
        <row r="596">
          <cell r="B596" t="str">
            <v>e-methane - Conversion CO2 -&gt; CH4 - Global - ton CO2/ton CH4</v>
          </cell>
          <cell r="G596">
            <v>2.75</v>
          </cell>
          <cell r="H596">
            <v>2.75</v>
          </cell>
          <cell r="I596">
            <v>2.75</v>
          </cell>
          <cell r="J596">
            <v>2.75</v>
          </cell>
          <cell r="K596">
            <v>2.75</v>
          </cell>
          <cell r="L596">
            <v>2.75</v>
          </cell>
          <cell r="M596">
            <v>2.75</v>
          </cell>
          <cell r="N596">
            <v>2.75</v>
          </cell>
          <cell r="O596">
            <v>2.75</v>
          </cell>
          <cell r="P596">
            <v>2.75</v>
          </cell>
          <cell r="Q596">
            <v>2.75</v>
          </cell>
          <cell r="R596">
            <v>2.75</v>
          </cell>
          <cell r="S596">
            <v>2.75</v>
          </cell>
          <cell r="T596">
            <v>2.75</v>
          </cell>
          <cell r="U596">
            <v>2.75</v>
          </cell>
          <cell r="V596">
            <v>2.75</v>
          </cell>
          <cell r="W596">
            <v>2.75</v>
          </cell>
          <cell r="X596">
            <v>2.75</v>
          </cell>
          <cell r="Y596">
            <v>2.75</v>
          </cell>
          <cell r="Z596">
            <v>2.75</v>
          </cell>
          <cell r="AA596">
            <v>2.75</v>
          </cell>
          <cell r="AB596">
            <v>2.75</v>
          </cell>
          <cell r="AC596">
            <v>2.75</v>
          </cell>
          <cell r="AD596">
            <v>2.75</v>
          </cell>
          <cell r="AE596">
            <v>2.75</v>
          </cell>
          <cell r="AF596">
            <v>2.75</v>
          </cell>
          <cell r="AG596">
            <v>2.75</v>
          </cell>
          <cell r="AH596">
            <v>2.75</v>
          </cell>
        </row>
        <row r="598">
          <cell r="B598" t="str">
            <v>e-methane (PS) - Item - Region - Unit</v>
          </cell>
          <cell r="G598">
            <v>2023</v>
          </cell>
          <cell r="H598">
            <v>2024</v>
          </cell>
          <cell r="I598">
            <v>2025</v>
          </cell>
          <cell r="J598">
            <v>2026</v>
          </cell>
          <cell r="K598">
            <v>2027</v>
          </cell>
          <cell r="L598">
            <v>2028</v>
          </cell>
          <cell r="M598">
            <v>2029</v>
          </cell>
          <cell r="N598">
            <v>2030</v>
          </cell>
          <cell r="O598">
            <v>2031</v>
          </cell>
          <cell r="P598">
            <v>2032</v>
          </cell>
          <cell r="Q598">
            <v>2033</v>
          </cell>
          <cell r="R598">
            <v>2034</v>
          </cell>
          <cell r="S598">
            <v>2035</v>
          </cell>
          <cell r="T598">
            <v>2036</v>
          </cell>
          <cell r="U598">
            <v>2037</v>
          </cell>
          <cell r="V598">
            <v>2038</v>
          </cell>
          <cell r="W598">
            <v>2039</v>
          </cell>
          <cell r="X598">
            <v>2040</v>
          </cell>
          <cell r="Y598">
            <v>2041</v>
          </cell>
          <cell r="Z598">
            <v>2042</v>
          </cell>
          <cell r="AA598">
            <v>2043</v>
          </cell>
          <cell r="AB598">
            <v>2044</v>
          </cell>
          <cell r="AC598">
            <v>2045</v>
          </cell>
          <cell r="AD598">
            <v>2046</v>
          </cell>
          <cell r="AE598">
            <v>2047</v>
          </cell>
          <cell r="AF598">
            <v>2048</v>
          </cell>
          <cell r="AG598">
            <v>2049</v>
          </cell>
          <cell r="AH598">
            <v>2050</v>
          </cell>
        </row>
        <row r="599">
          <cell r="B599" t="str">
            <v>e-methane (PS) - Total cost - Africa - USD/ton fuel</v>
          </cell>
          <cell r="G599">
            <v>3063.5741466699128</v>
          </cell>
          <cell r="H599">
            <v>2807.0744282465334</v>
          </cell>
          <cell r="I599">
            <v>2549.2389426923241</v>
          </cell>
          <cell r="J599">
            <v>2451.5662469716967</v>
          </cell>
          <cell r="K599">
            <v>2351.3186713234791</v>
          </cell>
          <cell r="L599">
            <v>2248.547609168605</v>
          </cell>
          <cell r="M599">
            <v>2143.3044539280472</v>
          </cell>
          <cell r="N599">
            <v>2035.6405990227183</v>
          </cell>
          <cell r="O599">
            <v>1995.73394046151</v>
          </cell>
          <cell r="P599">
            <v>1952.0389924507556</v>
          </cell>
          <cell r="Q599">
            <v>1904.5834368086807</v>
          </cell>
          <cell r="R599">
            <v>1853.394955353534</v>
          </cell>
          <cell r="S599">
            <v>1798.5012299036046</v>
          </cell>
          <cell r="T599">
            <v>1757.7923435924506</v>
          </cell>
          <cell r="U599">
            <v>1714.4778722566937</v>
          </cell>
          <cell r="V599">
            <v>1668.5668485788533</v>
          </cell>
          <cell r="W599">
            <v>1620.0683052413367</v>
          </cell>
          <cell r="X599">
            <v>1568.9912749266377</v>
          </cell>
          <cell r="Y599">
            <v>1514.3898532089574</v>
          </cell>
          <cell r="Z599">
            <v>1458.5785350897941</v>
          </cell>
          <cell r="AA599">
            <v>1401.552038499944</v>
          </cell>
          <cell r="AB599">
            <v>1343.30508137015</v>
          </cell>
          <cell r="AC599">
            <v>1283.8323816311868</v>
          </cell>
          <cell r="AD599">
            <v>1234.8890406257337</v>
          </cell>
          <cell r="AE599">
            <v>1185.3391901833641</v>
          </cell>
          <cell r="AF599">
            <v>1135.179501827927</v>
          </cell>
          <cell r="AG599">
            <v>1084.4066470832836</v>
          </cell>
          <cell r="AH599">
            <v>1033.0172974732964</v>
          </cell>
        </row>
        <row r="600">
          <cell r="B600" t="str">
            <v>e-methane (PS) - Total cost - Americas - USD/ton fuel</v>
          </cell>
          <cell r="G600">
            <v>2440.6118191646678</v>
          </cell>
          <cell r="H600">
            <v>2359.5977802152029</v>
          </cell>
          <cell r="I600">
            <v>2276.922612741469</v>
          </cell>
          <cell r="J600">
            <v>2197.6860598746839</v>
          </cell>
          <cell r="K600">
            <v>2115.8811830958648</v>
          </cell>
          <cell r="L600">
            <v>2031.5425140805407</v>
          </cell>
          <cell r="M600">
            <v>1944.7045845042994</v>
          </cell>
          <cell r="N600">
            <v>1855.4019260425994</v>
          </cell>
          <cell r="O600">
            <v>1829.2155842971813</v>
          </cell>
          <cell r="P600">
            <v>1799.1328866594922</v>
          </cell>
          <cell r="Q600">
            <v>1765.1698678427645</v>
          </cell>
          <cell r="R600">
            <v>1727.3425625602113</v>
          </cell>
          <cell r="S600">
            <v>1685.6670055251152</v>
          </cell>
          <cell r="T600">
            <v>1645.8854168284633</v>
          </cell>
          <cell r="U600">
            <v>1603.5224628979511</v>
          </cell>
          <cell r="V600">
            <v>1558.587154756028</v>
          </cell>
          <cell r="W600">
            <v>1511.0885034250405</v>
          </cell>
          <cell r="X600">
            <v>1461.0355199274022</v>
          </cell>
          <cell r="Y600">
            <v>1415.8556007035861</v>
          </cell>
          <cell r="Z600">
            <v>1369.258066318539</v>
          </cell>
          <cell r="AA600">
            <v>1321.2408522635749</v>
          </cell>
          <cell r="AB600">
            <v>1271.8018940299353</v>
          </cell>
          <cell r="AC600">
            <v>1220.9391271089157</v>
          </cell>
          <cell r="AD600">
            <v>1175.0999973596945</v>
          </cell>
          <cell r="AE600">
            <v>1128.5937765303986</v>
          </cell>
          <cell r="AF600">
            <v>1081.4184649970728</v>
          </cell>
          <cell r="AG600">
            <v>1033.572063135766</v>
          </cell>
          <cell r="AH600">
            <v>985.05257132252768</v>
          </cell>
        </row>
        <row r="601">
          <cell r="B601" t="str">
            <v>e-methane (PS) - Total cost - Asia - USD/ton fuel</v>
          </cell>
          <cell r="G601">
            <v>3251.6399821008004</v>
          </cell>
          <cell r="H601">
            <v>3027.9077004906458</v>
          </cell>
          <cell r="I601">
            <v>2802.7217069752719</v>
          </cell>
          <cell r="J601">
            <v>2700.6976533607121</v>
          </cell>
          <cell r="K601">
            <v>2596.0363956151846</v>
          </cell>
          <cell r="L601">
            <v>2488.7929727704395</v>
          </cell>
          <cell r="M601">
            <v>2379.022423858366</v>
          </cell>
          <cell r="N601">
            <v>2266.7797879107411</v>
          </cell>
          <cell r="O601">
            <v>2216.3417038256057</v>
          </cell>
          <cell r="P601">
            <v>2162.1625546648843</v>
          </cell>
          <cell r="Q601">
            <v>2104.2784379493314</v>
          </cell>
          <cell r="R601">
            <v>2042.7254511996621</v>
          </cell>
          <cell r="S601">
            <v>1977.5396919367126</v>
          </cell>
          <cell r="T601">
            <v>1929.8487400954768</v>
          </cell>
          <cell r="U601">
            <v>1879.6042959217632</v>
          </cell>
          <cell r="V601">
            <v>1826.8190826259631</v>
          </cell>
          <cell r="W601">
            <v>1771.5058234183166</v>
          </cell>
          <cell r="X601">
            <v>1713.6772415091862</v>
          </cell>
          <cell r="Y601">
            <v>1651.5595801759405</v>
          </cell>
          <cell r="Z601">
            <v>1588.3887960912873</v>
          </cell>
          <cell r="AA601">
            <v>1524.1573155170838</v>
          </cell>
          <cell r="AB601">
            <v>1458.8575647151315</v>
          </cell>
          <cell r="AC601">
            <v>1392.4819699472671</v>
          </cell>
          <cell r="AD601">
            <v>1340.3417821609039</v>
          </cell>
          <cell r="AE601">
            <v>1287.6564157760406</v>
          </cell>
          <cell r="AF601">
            <v>1234.4214117164929</v>
          </cell>
          <cell r="AG601">
            <v>1180.6323109060731</v>
          </cell>
          <cell r="AH601">
            <v>1126.2846542685943</v>
          </cell>
        </row>
        <row r="602">
          <cell r="B602" t="str">
            <v>e-methane (PS) - Total cost - Europe - USD/ton fuel</v>
          </cell>
          <cell r="G602">
            <v>2775.2577684336588</v>
          </cell>
          <cell r="H602">
            <v>2655.9224074654558</v>
          </cell>
          <cell r="I602">
            <v>2534.9596513815864</v>
          </cell>
          <cell r="J602">
            <v>2443.8234848936331</v>
          </cell>
          <cell r="K602">
            <v>2350.0883365119298</v>
          </cell>
          <cell r="L602">
            <v>2253.7994760373135</v>
          </cell>
          <cell r="M602">
            <v>2155.0021732706236</v>
          </cell>
          <cell r="N602">
            <v>2053.7416980126495</v>
          </cell>
          <cell r="O602">
            <v>2024.0498157758284</v>
          </cell>
          <cell r="P602">
            <v>1990.4305569280573</v>
          </cell>
          <cell r="Q602">
            <v>1952.9020714285764</v>
          </cell>
          <cell r="R602">
            <v>1911.4825092366432</v>
          </cell>
          <cell r="S602">
            <v>1866.1900203115918</v>
          </cell>
          <cell r="T602">
            <v>1827.2358225119669</v>
          </cell>
          <cell r="U602">
            <v>1785.623548383486</v>
          </cell>
          <cell r="V602">
            <v>1741.3607103495449</v>
          </cell>
          <cell r="W602">
            <v>1694.4548208334145</v>
          </cell>
          <cell r="X602">
            <v>1644.9133922584494</v>
          </cell>
          <cell r="Y602">
            <v>1591.2090966840083</v>
          </cell>
          <cell r="Z602">
            <v>1536.2619671256514</v>
          </cell>
          <cell r="AA602">
            <v>1480.0674330147169</v>
          </cell>
          <cell r="AB602">
            <v>1422.6209237824573</v>
          </cell>
          <cell r="AC602">
            <v>1363.9178688601924</v>
          </cell>
          <cell r="AD602">
            <v>1312.3959752014873</v>
          </cell>
          <cell r="AE602">
            <v>1260.3172232694806</v>
          </cell>
          <cell r="AF602">
            <v>1207.6773317171303</v>
          </cell>
          <cell r="AG602">
            <v>1154.4720191973904</v>
          </cell>
          <cell r="AH602">
            <v>1100.697004363215</v>
          </cell>
        </row>
        <row r="603">
          <cell r="B603" t="str">
            <v>e-methane (PS) - Total cost - Middle East - USD/ton fuel</v>
          </cell>
          <cell r="G603">
            <v>2450.1742013252774</v>
          </cell>
          <cell r="H603">
            <v>2344.0927580454359</v>
          </cell>
          <cell r="I603">
            <v>2236.411586089439</v>
          </cell>
          <cell r="J603">
            <v>2163.0437993884434</v>
          </cell>
          <cell r="K603">
            <v>2087.0949436063361</v>
          </cell>
          <cell r="L603">
            <v>2008.5941012819499</v>
          </cell>
          <cell r="M603">
            <v>1927.5703549541633</v>
          </cell>
          <cell r="N603">
            <v>1844.0527871617635</v>
          </cell>
          <cell r="O603">
            <v>1813.8707473593829</v>
          </cell>
          <cell r="P603">
            <v>1779.8484015817082</v>
          </cell>
          <cell r="Q603">
            <v>1742.0055372260763</v>
          </cell>
          <cell r="R603">
            <v>1700.361941689833</v>
          </cell>
          <cell r="S603">
            <v>1654.9374023703735</v>
          </cell>
          <cell r="T603">
            <v>1618.6145525492761</v>
          </cell>
          <cell r="U603">
            <v>1579.664265905848</v>
          </cell>
          <cell r="V603">
            <v>1538.0934203580941</v>
          </cell>
          <cell r="W603">
            <v>1493.9088938239001</v>
          </cell>
          <cell r="X603">
            <v>1447.1175642212363</v>
          </cell>
          <cell r="Y603">
            <v>1394.3508832407024</v>
          </cell>
          <cell r="Z603">
            <v>1340.349249192232</v>
          </cell>
          <cell r="AA603">
            <v>1285.1075326287098</v>
          </cell>
          <cell r="AB603">
            <v>1228.6206041029654</v>
          </cell>
          <cell r="AC603">
            <v>1170.8833341678644</v>
          </cell>
          <cell r="AD603">
            <v>1123.5362658496335</v>
          </cell>
          <cell r="AE603">
            <v>1075.5534801204594</v>
          </cell>
          <cell r="AF603">
            <v>1026.9318947958566</v>
          </cell>
          <cell r="AG603">
            <v>977.6684276913461</v>
          </cell>
          <cell r="AH603">
            <v>927.75999662244931</v>
          </cell>
        </row>
        <row r="604">
          <cell r="B604" t="str">
            <v/>
          </cell>
        </row>
        <row r="605">
          <cell r="B605" t="str">
            <v>e-methane (PS) - CAPEX - Global - USD/ton fuel</v>
          </cell>
          <cell r="G605">
            <v>51.4</v>
          </cell>
          <cell r="H605">
            <v>48.533333333333331</v>
          </cell>
          <cell r="I605">
            <v>45.666666666666664</v>
          </cell>
          <cell r="J605">
            <v>43.866666666666667</v>
          </cell>
          <cell r="K605">
            <v>42.06666666666667</v>
          </cell>
          <cell r="L605">
            <v>40.266666666666666</v>
          </cell>
          <cell r="M605">
            <v>38.466666666666669</v>
          </cell>
          <cell r="N605">
            <v>36.666666666666664</v>
          </cell>
          <cell r="O605">
            <v>36</v>
          </cell>
          <cell r="P605">
            <v>35.333333333333336</v>
          </cell>
          <cell r="Q605">
            <v>34.666666666666664</v>
          </cell>
          <cell r="R605">
            <v>34</v>
          </cell>
          <cell r="S605">
            <v>33.333333333333336</v>
          </cell>
          <cell r="T605">
            <v>32.666666666666664</v>
          </cell>
          <cell r="U605">
            <v>32</v>
          </cell>
          <cell r="V605">
            <v>31.333333333333332</v>
          </cell>
          <cell r="W605">
            <v>30.666666666666668</v>
          </cell>
          <cell r="X605">
            <v>30</v>
          </cell>
          <cell r="Y605">
            <v>28.866666666666667</v>
          </cell>
          <cell r="Z605">
            <v>27.733333333333334</v>
          </cell>
          <cell r="AA605">
            <v>26.6</v>
          </cell>
          <cell r="AB605">
            <v>25.466666666666665</v>
          </cell>
          <cell r="AC605">
            <v>24.333333333333332</v>
          </cell>
          <cell r="AD605">
            <v>23.2</v>
          </cell>
          <cell r="AE605">
            <v>22.066666666666666</v>
          </cell>
          <cell r="AF605">
            <v>20.933333333333334</v>
          </cell>
          <cell r="AG605">
            <v>19.8</v>
          </cell>
          <cell r="AH605">
            <v>18.666666666666668</v>
          </cell>
        </row>
        <row r="606">
          <cell r="B606" t="str">
            <v>e-methane - Plant lifetime - Global - Years</v>
          </cell>
          <cell r="G606">
            <v>30</v>
          </cell>
          <cell r="H606">
            <v>30</v>
          </cell>
          <cell r="I606">
            <v>30</v>
          </cell>
          <cell r="J606">
            <v>30</v>
          </cell>
          <cell r="K606">
            <v>30</v>
          </cell>
          <cell r="L606">
            <v>30</v>
          </cell>
          <cell r="M606">
            <v>30</v>
          </cell>
          <cell r="N606">
            <v>30</v>
          </cell>
          <cell r="O606">
            <v>30</v>
          </cell>
          <cell r="P606">
            <v>30</v>
          </cell>
          <cell r="Q606">
            <v>30</v>
          </cell>
          <cell r="R606">
            <v>30</v>
          </cell>
          <cell r="S606">
            <v>30</v>
          </cell>
          <cell r="T606">
            <v>30</v>
          </cell>
          <cell r="U606">
            <v>30</v>
          </cell>
          <cell r="V606">
            <v>30</v>
          </cell>
          <cell r="W606">
            <v>30</v>
          </cell>
          <cell r="X606">
            <v>30</v>
          </cell>
          <cell r="Y606">
            <v>30</v>
          </cell>
          <cell r="Z606">
            <v>30</v>
          </cell>
          <cell r="AA606">
            <v>30</v>
          </cell>
          <cell r="AB606">
            <v>30</v>
          </cell>
          <cell r="AC606">
            <v>30</v>
          </cell>
          <cell r="AD606">
            <v>30</v>
          </cell>
          <cell r="AE606">
            <v>30</v>
          </cell>
          <cell r="AF606">
            <v>30</v>
          </cell>
          <cell r="AG606">
            <v>30</v>
          </cell>
          <cell r="AH606">
            <v>30</v>
          </cell>
        </row>
        <row r="607">
          <cell r="B607" t="str">
            <v>e-methane - Total CAPEX - Global - USD/ton fuel</v>
          </cell>
          <cell r="G607">
            <v>1542</v>
          </cell>
          <cell r="H607">
            <v>1456</v>
          </cell>
          <cell r="I607">
            <v>1370</v>
          </cell>
          <cell r="J607">
            <v>1316</v>
          </cell>
          <cell r="K607">
            <v>1262</v>
          </cell>
          <cell r="L607">
            <v>1208</v>
          </cell>
          <cell r="M607">
            <v>1154</v>
          </cell>
          <cell r="N607">
            <v>1100</v>
          </cell>
          <cell r="O607">
            <v>1080</v>
          </cell>
          <cell r="P607">
            <v>1060</v>
          </cell>
          <cell r="Q607">
            <v>1040</v>
          </cell>
          <cell r="R607">
            <v>1020</v>
          </cell>
          <cell r="S607">
            <v>1000</v>
          </cell>
          <cell r="T607">
            <v>980</v>
          </cell>
          <cell r="U607">
            <v>960</v>
          </cell>
          <cell r="V607">
            <v>940</v>
          </cell>
          <cell r="W607">
            <v>920</v>
          </cell>
          <cell r="X607">
            <v>900</v>
          </cell>
          <cell r="Y607">
            <v>866</v>
          </cell>
          <cell r="Z607">
            <v>832</v>
          </cell>
          <cell r="AA607">
            <v>798</v>
          </cell>
          <cell r="AB607">
            <v>764</v>
          </cell>
          <cell r="AC607">
            <v>730</v>
          </cell>
          <cell r="AD607">
            <v>696</v>
          </cell>
          <cell r="AE607">
            <v>662</v>
          </cell>
          <cell r="AF607">
            <v>628</v>
          </cell>
          <cell r="AG607">
            <v>594</v>
          </cell>
          <cell r="AH607">
            <v>560</v>
          </cell>
        </row>
        <row r="608">
          <cell r="B608" t="str">
            <v/>
          </cell>
        </row>
        <row r="609">
          <cell r="B609" t="str">
            <v>e-methane (PS) - OPEX - Global - USD/ton fuel</v>
          </cell>
          <cell r="G609">
            <v>123.36</v>
          </cell>
          <cell r="H609">
            <v>116.48</v>
          </cell>
          <cell r="I609">
            <v>109.60000000000001</v>
          </cell>
          <cell r="J609">
            <v>105.28</v>
          </cell>
          <cell r="K609">
            <v>100.96000000000001</v>
          </cell>
          <cell r="L609">
            <v>96.64</v>
          </cell>
          <cell r="M609">
            <v>92.320000000000007</v>
          </cell>
          <cell r="N609">
            <v>88</v>
          </cell>
          <cell r="O609">
            <v>86.4</v>
          </cell>
          <cell r="P609">
            <v>84.8</v>
          </cell>
          <cell r="Q609">
            <v>83.2</v>
          </cell>
          <cell r="R609">
            <v>81.600000000000009</v>
          </cell>
          <cell r="S609">
            <v>80</v>
          </cell>
          <cell r="T609">
            <v>78.400000000000006</v>
          </cell>
          <cell r="U609">
            <v>76.8</v>
          </cell>
          <cell r="V609">
            <v>75.2</v>
          </cell>
          <cell r="W609">
            <v>73.600000000000009</v>
          </cell>
          <cell r="X609">
            <v>72</v>
          </cell>
          <cell r="Y609">
            <v>69.28</v>
          </cell>
          <cell r="Z609">
            <v>66.56</v>
          </cell>
          <cell r="AA609">
            <v>63.84</v>
          </cell>
          <cell r="AB609">
            <v>61.120000000000005</v>
          </cell>
          <cell r="AC609">
            <v>58.4</v>
          </cell>
          <cell r="AD609">
            <v>55.68</v>
          </cell>
          <cell r="AE609">
            <v>52.96</v>
          </cell>
          <cell r="AF609">
            <v>50.24</v>
          </cell>
          <cell r="AG609">
            <v>47.52</v>
          </cell>
          <cell r="AH609">
            <v>44.800000000000004</v>
          </cell>
        </row>
        <row r="610">
          <cell r="B610" t="str">
            <v>e-methane - OPEX - Global - USD/ton fuel/year</v>
          </cell>
          <cell r="G610">
            <v>123.36</v>
          </cell>
          <cell r="H610">
            <v>116.48</v>
          </cell>
          <cell r="I610">
            <v>109.60000000000001</v>
          </cell>
          <cell r="J610">
            <v>105.28</v>
          </cell>
          <cell r="K610">
            <v>100.96000000000001</v>
          </cell>
          <cell r="L610">
            <v>96.64</v>
          </cell>
          <cell r="M610">
            <v>92.320000000000007</v>
          </cell>
          <cell r="N610">
            <v>88</v>
          </cell>
          <cell r="O610">
            <v>86.4</v>
          </cell>
          <cell r="P610">
            <v>84.8</v>
          </cell>
          <cell r="Q610">
            <v>83.2</v>
          </cell>
          <cell r="R610">
            <v>81.600000000000009</v>
          </cell>
          <cell r="S610">
            <v>80</v>
          </cell>
          <cell r="T610">
            <v>78.400000000000006</v>
          </cell>
          <cell r="U610">
            <v>76.8</v>
          </cell>
          <cell r="V610">
            <v>75.2</v>
          </cell>
          <cell r="W610">
            <v>73.600000000000009</v>
          </cell>
          <cell r="X610">
            <v>72</v>
          </cell>
          <cell r="Y610">
            <v>69.28</v>
          </cell>
          <cell r="Z610">
            <v>66.56</v>
          </cell>
          <cell r="AA610">
            <v>63.84</v>
          </cell>
          <cell r="AB610">
            <v>61.120000000000005</v>
          </cell>
          <cell r="AC610">
            <v>58.4</v>
          </cell>
          <cell r="AD610">
            <v>55.68</v>
          </cell>
          <cell r="AE610">
            <v>52.96</v>
          </cell>
          <cell r="AF610">
            <v>50.24</v>
          </cell>
          <cell r="AG610">
            <v>47.52</v>
          </cell>
          <cell r="AH610">
            <v>44.800000000000004</v>
          </cell>
        </row>
        <row r="611">
          <cell r="B611" t="str">
            <v/>
          </cell>
        </row>
        <row r="612">
          <cell r="B612" t="str">
            <v>e-methane (PS) - Finance cost - Africa - USD/ton fuel</v>
          </cell>
          <cell r="G612">
            <v>84.810000000000016</v>
          </cell>
          <cell r="H612">
            <v>80.080000000000013</v>
          </cell>
          <cell r="I612">
            <v>75.350000000000009</v>
          </cell>
          <cell r="J612">
            <v>72.38000000000001</v>
          </cell>
          <cell r="K612">
            <v>69.410000000000011</v>
          </cell>
          <cell r="L612">
            <v>66.440000000000012</v>
          </cell>
          <cell r="M612">
            <v>63.470000000000006</v>
          </cell>
          <cell r="N612">
            <v>60.500000000000007</v>
          </cell>
          <cell r="O612">
            <v>59.400000000000006</v>
          </cell>
          <cell r="P612">
            <v>58.300000000000004</v>
          </cell>
          <cell r="Q612">
            <v>57.20000000000001</v>
          </cell>
          <cell r="R612">
            <v>56.100000000000009</v>
          </cell>
          <cell r="S612">
            <v>55.000000000000007</v>
          </cell>
          <cell r="T612">
            <v>53.900000000000006</v>
          </cell>
          <cell r="U612">
            <v>52.800000000000004</v>
          </cell>
          <cell r="V612">
            <v>51.70000000000001</v>
          </cell>
          <cell r="W612">
            <v>50.600000000000009</v>
          </cell>
          <cell r="X612">
            <v>49.500000000000007</v>
          </cell>
          <cell r="Y612">
            <v>47.63000000000001</v>
          </cell>
          <cell r="Z612">
            <v>45.760000000000005</v>
          </cell>
          <cell r="AA612">
            <v>43.890000000000008</v>
          </cell>
          <cell r="AB612">
            <v>42.02</v>
          </cell>
          <cell r="AC612">
            <v>40.150000000000006</v>
          </cell>
          <cell r="AD612">
            <v>38.280000000000008</v>
          </cell>
          <cell r="AE612">
            <v>36.410000000000004</v>
          </cell>
          <cell r="AF612">
            <v>34.540000000000006</v>
          </cell>
          <cell r="AG612">
            <v>32.67</v>
          </cell>
          <cell r="AH612">
            <v>30.800000000000004</v>
          </cell>
        </row>
        <row r="613">
          <cell r="B613" t="str">
            <v>e-methane (PS) - Finance cost - Americas - USD/ton fuel</v>
          </cell>
          <cell r="G613">
            <v>84.810000000000016</v>
          </cell>
          <cell r="H613">
            <v>80.080000000000013</v>
          </cell>
          <cell r="I613">
            <v>75.350000000000009</v>
          </cell>
          <cell r="J613">
            <v>72.38000000000001</v>
          </cell>
          <cell r="K613">
            <v>69.410000000000011</v>
          </cell>
          <cell r="L613">
            <v>66.440000000000012</v>
          </cell>
          <cell r="M613">
            <v>63.470000000000006</v>
          </cell>
          <cell r="N613">
            <v>60.500000000000007</v>
          </cell>
          <cell r="O613">
            <v>59.400000000000006</v>
          </cell>
          <cell r="P613">
            <v>58.300000000000004</v>
          </cell>
          <cell r="Q613">
            <v>57.20000000000001</v>
          </cell>
          <cell r="R613">
            <v>56.100000000000009</v>
          </cell>
          <cell r="S613">
            <v>55.000000000000007</v>
          </cell>
          <cell r="T613">
            <v>53.900000000000006</v>
          </cell>
          <cell r="U613">
            <v>52.800000000000004</v>
          </cell>
          <cell r="V613">
            <v>51.70000000000001</v>
          </cell>
          <cell r="W613">
            <v>50.600000000000009</v>
          </cell>
          <cell r="X613">
            <v>49.500000000000007</v>
          </cell>
          <cell r="Y613">
            <v>47.63000000000001</v>
          </cell>
          <cell r="Z613">
            <v>45.760000000000005</v>
          </cell>
          <cell r="AA613">
            <v>43.890000000000008</v>
          </cell>
          <cell r="AB613">
            <v>42.02</v>
          </cell>
          <cell r="AC613">
            <v>40.150000000000006</v>
          </cell>
          <cell r="AD613">
            <v>38.280000000000008</v>
          </cell>
          <cell r="AE613">
            <v>36.410000000000004</v>
          </cell>
          <cell r="AF613">
            <v>34.540000000000006</v>
          </cell>
          <cell r="AG613">
            <v>32.67</v>
          </cell>
          <cell r="AH613">
            <v>30.800000000000004</v>
          </cell>
        </row>
        <row r="614">
          <cell r="B614" t="str">
            <v>e-methane (PS) - Finance cost - Asia - USD/ton fuel</v>
          </cell>
          <cell r="G614">
            <v>84.810000000000016</v>
          </cell>
          <cell r="H614">
            <v>80.080000000000013</v>
          </cell>
          <cell r="I614">
            <v>75.350000000000009</v>
          </cell>
          <cell r="J614">
            <v>72.38000000000001</v>
          </cell>
          <cell r="K614">
            <v>69.410000000000011</v>
          </cell>
          <cell r="L614">
            <v>66.440000000000012</v>
          </cell>
          <cell r="M614">
            <v>63.470000000000006</v>
          </cell>
          <cell r="N614">
            <v>60.500000000000007</v>
          </cell>
          <cell r="O614">
            <v>59.400000000000006</v>
          </cell>
          <cell r="P614">
            <v>58.300000000000004</v>
          </cell>
          <cell r="Q614">
            <v>57.20000000000001</v>
          </cell>
          <cell r="R614">
            <v>56.100000000000009</v>
          </cell>
          <cell r="S614">
            <v>55.000000000000007</v>
          </cell>
          <cell r="T614">
            <v>53.900000000000006</v>
          </cell>
          <cell r="U614">
            <v>52.800000000000004</v>
          </cell>
          <cell r="V614">
            <v>51.70000000000001</v>
          </cell>
          <cell r="W614">
            <v>50.600000000000009</v>
          </cell>
          <cell r="X614">
            <v>49.500000000000007</v>
          </cell>
          <cell r="Y614">
            <v>47.63000000000001</v>
          </cell>
          <cell r="Z614">
            <v>45.760000000000005</v>
          </cell>
          <cell r="AA614">
            <v>43.890000000000008</v>
          </cell>
          <cell r="AB614">
            <v>42.02</v>
          </cell>
          <cell r="AC614">
            <v>40.150000000000006</v>
          </cell>
          <cell r="AD614">
            <v>38.280000000000008</v>
          </cell>
          <cell r="AE614">
            <v>36.410000000000004</v>
          </cell>
          <cell r="AF614">
            <v>34.540000000000006</v>
          </cell>
          <cell r="AG614">
            <v>32.67</v>
          </cell>
          <cell r="AH614">
            <v>30.800000000000004</v>
          </cell>
        </row>
        <row r="615">
          <cell r="B615" t="str">
            <v>e-methane (PS) - Finance cost - Europe - USD/ton fuel</v>
          </cell>
          <cell r="G615">
            <v>84.810000000000016</v>
          </cell>
          <cell r="H615">
            <v>80.080000000000013</v>
          </cell>
          <cell r="I615">
            <v>75.350000000000009</v>
          </cell>
          <cell r="J615">
            <v>72.38000000000001</v>
          </cell>
          <cell r="K615">
            <v>69.410000000000011</v>
          </cell>
          <cell r="L615">
            <v>66.440000000000012</v>
          </cell>
          <cell r="M615">
            <v>63.470000000000006</v>
          </cell>
          <cell r="N615">
            <v>60.500000000000007</v>
          </cell>
          <cell r="O615">
            <v>59.400000000000006</v>
          </cell>
          <cell r="P615">
            <v>58.300000000000004</v>
          </cell>
          <cell r="Q615">
            <v>57.20000000000001</v>
          </cell>
          <cell r="R615">
            <v>56.100000000000009</v>
          </cell>
          <cell r="S615">
            <v>55.000000000000007</v>
          </cell>
          <cell r="T615">
            <v>53.900000000000006</v>
          </cell>
          <cell r="U615">
            <v>52.800000000000004</v>
          </cell>
          <cell r="V615">
            <v>51.70000000000001</v>
          </cell>
          <cell r="W615">
            <v>50.600000000000009</v>
          </cell>
          <cell r="X615">
            <v>49.500000000000007</v>
          </cell>
          <cell r="Y615">
            <v>47.63000000000001</v>
          </cell>
          <cell r="Z615">
            <v>45.760000000000005</v>
          </cell>
          <cell r="AA615">
            <v>43.890000000000008</v>
          </cell>
          <cell r="AB615">
            <v>42.02</v>
          </cell>
          <cell r="AC615">
            <v>40.150000000000006</v>
          </cell>
          <cell r="AD615">
            <v>38.280000000000008</v>
          </cell>
          <cell r="AE615">
            <v>36.410000000000004</v>
          </cell>
          <cell r="AF615">
            <v>34.540000000000006</v>
          </cell>
          <cell r="AG615">
            <v>32.67</v>
          </cell>
          <cell r="AH615">
            <v>30.800000000000004</v>
          </cell>
        </row>
        <row r="616">
          <cell r="B616" t="str">
            <v>e-methane (PS) - Finance cost - Middle East - USD/ton fuel</v>
          </cell>
          <cell r="G616">
            <v>84.810000000000016</v>
          </cell>
          <cell r="H616">
            <v>80.080000000000013</v>
          </cell>
          <cell r="I616">
            <v>75.350000000000009</v>
          </cell>
          <cell r="J616">
            <v>72.38000000000001</v>
          </cell>
          <cell r="K616">
            <v>69.410000000000011</v>
          </cell>
          <cell r="L616">
            <v>66.440000000000012</v>
          </cell>
          <cell r="M616">
            <v>63.470000000000006</v>
          </cell>
          <cell r="N616">
            <v>60.500000000000007</v>
          </cell>
          <cell r="O616">
            <v>59.400000000000006</v>
          </cell>
          <cell r="P616">
            <v>58.300000000000004</v>
          </cell>
          <cell r="Q616">
            <v>57.20000000000001</v>
          </cell>
          <cell r="R616">
            <v>56.100000000000009</v>
          </cell>
          <cell r="S616">
            <v>55.000000000000007</v>
          </cell>
          <cell r="T616">
            <v>53.900000000000006</v>
          </cell>
          <cell r="U616">
            <v>52.800000000000004</v>
          </cell>
          <cell r="V616">
            <v>51.70000000000001</v>
          </cell>
          <cell r="W616">
            <v>50.600000000000009</v>
          </cell>
          <cell r="X616">
            <v>49.500000000000007</v>
          </cell>
          <cell r="Y616">
            <v>47.63000000000001</v>
          </cell>
          <cell r="Z616">
            <v>45.760000000000005</v>
          </cell>
          <cell r="AA616">
            <v>43.890000000000008</v>
          </cell>
          <cell r="AB616">
            <v>42.02</v>
          </cell>
          <cell r="AC616">
            <v>40.150000000000006</v>
          </cell>
          <cell r="AD616">
            <v>38.280000000000008</v>
          </cell>
          <cell r="AE616">
            <v>36.410000000000004</v>
          </cell>
          <cell r="AF616">
            <v>34.540000000000006</v>
          </cell>
          <cell r="AG616">
            <v>32.67</v>
          </cell>
          <cell r="AH616">
            <v>30.800000000000004</v>
          </cell>
        </row>
        <row r="617">
          <cell r="B617" t="str">
            <v>General - Weighted average cost of capital (WACC) - Africa - %</v>
          </cell>
          <cell r="G617">
            <v>5.5000000000000007E-2</v>
          </cell>
          <cell r="H617">
            <v>5.5000000000000007E-2</v>
          </cell>
          <cell r="I617">
            <v>5.5000000000000007E-2</v>
          </cell>
          <cell r="J617">
            <v>5.5000000000000007E-2</v>
          </cell>
          <cell r="K617">
            <v>5.5000000000000007E-2</v>
          </cell>
          <cell r="L617">
            <v>5.5000000000000007E-2</v>
          </cell>
          <cell r="M617">
            <v>5.5000000000000007E-2</v>
          </cell>
          <cell r="N617">
            <v>5.5000000000000007E-2</v>
          </cell>
          <cell r="O617">
            <v>5.5000000000000007E-2</v>
          </cell>
          <cell r="P617">
            <v>5.5000000000000007E-2</v>
          </cell>
          <cell r="Q617">
            <v>5.5000000000000007E-2</v>
          </cell>
          <cell r="R617">
            <v>5.5000000000000007E-2</v>
          </cell>
          <cell r="S617">
            <v>5.5000000000000007E-2</v>
          </cell>
          <cell r="T617">
            <v>5.5000000000000007E-2</v>
          </cell>
          <cell r="U617">
            <v>5.5000000000000007E-2</v>
          </cell>
          <cell r="V617">
            <v>5.5000000000000007E-2</v>
          </cell>
          <cell r="W617">
            <v>5.5000000000000007E-2</v>
          </cell>
          <cell r="X617">
            <v>5.5000000000000007E-2</v>
          </cell>
          <cell r="Y617">
            <v>5.5000000000000007E-2</v>
          </cell>
          <cell r="Z617">
            <v>5.5000000000000007E-2</v>
          </cell>
          <cell r="AA617">
            <v>5.5000000000000007E-2</v>
          </cell>
          <cell r="AB617">
            <v>5.5000000000000007E-2</v>
          </cell>
          <cell r="AC617">
            <v>5.5000000000000007E-2</v>
          </cell>
          <cell r="AD617">
            <v>5.5000000000000007E-2</v>
          </cell>
          <cell r="AE617">
            <v>5.5000000000000007E-2</v>
          </cell>
          <cell r="AF617">
            <v>5.5000000000000007E-2</v>
          </cell>
          <cell r="AG617">
            <v>5.5000000000000007E-2</v>
          </cell>
          <cell r="AH617">
            <v>5.5000000000000007E-2</v>
          </cell>
        </row>
        <row r="618">
          <cell r="B618" t="str">
            <v>General - Weighted average cost of capital (WACC) - Americas - %</v>
          </cell>
          <cell r="G618">
            <v>5.5000000000000007E-2</v>
          </cell>
          <cell r="H618">
            <v>5.5000000000000007E-2</v>
          </cell>
          <cell r="I618">
            <v>5.5000000000000007E-2</v>
          </cell>
          <cell r="J618">
            <v>5.5000000000000007E-2</v>
          </cell>
          <cell r="K618">
            <v>5.5000000000000007E-2</v>
          </cell>
          <cell r="L618">
            <v>5.5000000000000007E-2</v>
          </cell>
          <cell r="M618">
            <v>5.5000000000000007E-2</v>
          </cell>
          <cell r="N618">
            <v>5.5000000000000007E-2</v>
          </cell>
          <cell r="O618">
            <v>5.5000000000000007E-2</v>
          </cell>
          <cell r="P618">
            <v>5.5000000000000007E-2</v>
          </cell>
          <cell r="Q618">
            <v>5.5000000000000007E-2</v>
          </cell>
          <cell r="R618">
            <v>5.5000000000000007E-2</v>
          </cell>
          <cell r="S618">
            <v>5.5000000000000007E-2</v>
          </cell>
          <cell r="T618">
            <v>5.5000000000000007E-2</v>
          </cell>
          <cell r="U618">
            <v>5.5000000000000007E-2</v>
          </cell>
          <cell r="V618">
            <v>5.5000000000000007E-2</v>
          </cell>
          <cell r="W618">
            <v>5.5000000000000007E-2</v>
          </cell>
          <cell r="X618">
            <v>5.5000000000000007E-2</v>
          </cell>
          <cell r="Y618">
            <v>5.5000000000000007E-2</v>
          </cell>
          <cell r="Z618">
            <v>5.5000000000000007E-2</v>
          </cell>
          <cell r="AA618">
            <v>5.5000000000000007E-2</v>
          </cell>
          <cell r="AB618">
            <v>5.5000000000000007E-2</v>
          </cell>
          <cell r="AC618">
            <v>5.5000000000000007E-2</v>
          </cell>
          <cell r="AD618">
            <v>5.5000000000000007E-2</v>
          </cell>
          <cell r="AE618">
            <v>5.5000000000000007E-2</v>
          </cell>
          <cell r="AF618">
            <v>5.5000000000000007E-2</v>
          </cell>
          <cell r="AG618">
            <v>5.5000000000000007E-2</v>
          </cell>
          <cell r="AH618">
            <v>5.5000000000000007E-2</v>
          </cell>
        </row>
        <row r="619">
          <cell r="B619" t="str">
            <v>General - Weighted average cost of capital (WACC) - Asia - %</v>
          </cell>
          <cell r="G619">
            <v>5.5000000000000007E-2</v>
          </cell>
          <cell r="H619">
            <v>5.5000000000000007E-2</v>
          </cell>
          <cell r="I619">
            <v>5.5000000000000007E-2</v>
          </cell>
          <cell r="J619">
            <v>5.5000000000000007E-2</v>
          </cell>
          <cell r="K619">
            <v>5.5000000000000007E-2</v>
          </cell>
          <cell r="L619">
            <v>5.5000000000000007E-2</v>
          </cell>
          <cell r="M619">
            <v>5.5000000000000007E-2</v>
          </cell>
          <cell r="N619">
            <v>5.5000000000000007E-2</v>
          </cell>
          <cell r="O619">
            <v>5.5000000000000007E-2</v>
          </cell>
          <cell r="P619">
            <v>5.5000000000000007E-2</v>
          </cell>
          <cell r="Q619">
            <v>5.5000000000000007E-2</v>
          </cell>
          <cell r="R619">
            <v>5.5000000000000007E-2</v>
          </cell>
          <cell r="S619">
            <v>5.5000000000000007E-2</v>
          </cell>
          <cell r="T619">
            <v>5.5000000000000007E-2</v>
          </cell>
          <cell r="U619">
            <v>5.5000000000000007E-2</v>
          </cell>
          <cell r="V619">
            <v>5.5000000000000007E-2</v>
          </cell>
          <cell r="W619">
            <v>5.5000000000000007E-2</v>
          </cell>
          <cell r="X619">
            <v>5.5000000000000007E-2</v>
          </cell>
          <cell r="Y619">
            <v>5.5000000000000007E-2</v>
          </cell>
          <cell r="Z619">
            <v>5.5000000000000007E-2</v>
          </cell>
          <cell r="AA619">
            <v>5.5000000000000007E-2</v>
          </cell>
          <cell r="AB619">
            <v>5.5000000000000007E-2</v>
          </cell>
          <cell r="AC619">
            <v>5.5000000000000007E-2</v>
          </cell>
          <cell r="AD619">
            <v>5.5000000000000007E-2</v>
          </cell>
          <cell r="AE619">
            <v>5.5000000000000007E-2</v>
          </cell>
          <cell r="AF619">
            <v>5.5000000000000007E-2</v>
          </cell>
          <cell r="AG619">
            <v>5.5000000000000007E-2</v>
          </cell>
          <cell r="AH619">
            <v>5.5000000000000007E-2</v>
          </cell>
        </row>
        <row r="620">
          <cell r="B620" t="str">
            <v>General - Weighted average cost of capital (WACC) - Europe - %</v>
          </cell>
          <cell r="G620">
            <v>5.5000000000000007E-2</v>
          </cell>
          <cell r="H620">
            <v>5.5000000000000007E-2</v>
          </cell>
          <cell r="I620">
            <v>5.5000000000000007E-2</v>
          </cell>
          <cell r="J620">
            <v>5.5000000000000007E-2</v>
          </cell>
          <cell r="K620">
            <v>5.5000000000000007E-2</v>
          </cell>
          <cell r="L620">
            <v>5.5000000000000007E-2</v>
          </cell>
          <cell r="M620">
            <v>5.5000000000000007E-2</v>
          </cell>
          <cell r="N620">
            <v>5.5000000000000007E-2</v>
          </cell>
          <cell r="O620">
            <v>5.5000000000000007E-2</v>
          </cell>
          <cell r="P620">
            <v>5.5000000000000007E-2</v>
          </cell>
          <cell r="Q620">
            <v>5.5000000000000007E-2</v>
          </cell>
          <cell r="R620">
            <v>5.5000000000000007E-2</v>
          </cell>
          <cell r="S620">
            <v>5.5000000000000007E-2</v>
          </cell>
          <cell r="T620">
            <v>5.5000000000000007E-2</v>
          </cell>
          <cell r="U620">
            <v>5.5000000000000007E-2</v>
          </cell>
          <cell r="V620">
            <v>5.5000000000000007E-2</v>
          </cell>
          <cell r="W620">
            <v>5.5000000000000007E-2</v>
          </cell>
          <cell r="X620">
            <v>5.5000000000000007E-2</v>
          </cell>
          <cell r="Y620">
            <v>5.5000000000000007E-2</v>
          </cell>
          <cell r="Z620">
            <v>5.5000000000000007E-2</v>
          </cell>
          <cell r="AA620">
            <v>5.5000000000000007E-2</v>
          </cell>
          <cell r="AB620">
            <v>5.5000000000000007E-2</v>
          </cell>
          <cell r="AC620">
            <v>5.5000000000000007E-2</v>
          </cell>
          <cell r="AD620">
            <v>5.5000000000000007E-2</v>
          </cell>
          <cell r="AE620">
            <v>5.5000000000000007E-2</v>
          </cell>
          <cell r="AF620">
            <v>5.5000000000000007E-2</v>
          </cell>
          <cell r="AG620">
            <v>5.5000000000000007E-2</v>
          </cell>
          <cell r="AH620">
            <v>5.5000000000000007E-2</v>
          </cell>
        </row>
        <row r="621">
          <cell r="B621" t="str">
            <v>General - Weighted average cost of capital (WACC) - Middle East - %</v>
          </cell>
          <cell r="G621">
            <v>5.5000000000000007E-2</v>
          </cell>
          <cell r="H621">
            <v>5.5000000000000007E-2</v>
          </cell>
          <cell r="I621">
            <v>5.5000000000000007E-2</v>
          </cell>
          <cell r="J621">
            <v>5.5000000000000007E-2</v>
          </cell>
          <cell r="K621">
            <v>5.5000000000000007E-2</v>
          </cell>
          <cell r="L621">
            <v>5.5000000000000007E-2</v>
          </cell>
          <cell r="M621">
            <v>5.5000000000000007E-2</v>
          </cell>
          <cell r="N621">
            <v>5.5000000000000007E-2</v>
          </cell>
          <cell r="O621">
            <v>5.5000000000000007E-2</v>
          </cell>
          <cell r="P621">
            <v>5.5000000000000007E-2</v>
          </cell>
          <cell r="Q621">
            <v>5.5000000000000007E-2</v>
          </cell>
          <cell r="R621">
            <v>5.5000000000000007E-2</v>
          </cell>
          <cell r="S621">
            <v>5.5000000000000007E-2</v>
          </cell>
          <cell r="T621">
            <v>5.5000000000000007E-2</v>
          </cell>
          <cell r="U621">
            <v>5.5000000000000007E-2</v>
          </cell>
          <cell r="V621">
            <v>5.5000000000000007E-2</v>
          </cell>
          <cell r="W621">
            <v>5.5000000000000007E-2</v>
          </cell>
          <cell r="X621">
            <v>5.5000000000000007E-2</v>
          </cell>
          <cell r="Y621">
            <v>5.5000000000000007E-2</v>
          </cell>
          <cell r="Z621">
            <v>5.5000000000000007E-2</v>
          </cell>
          <cell r="AA621">
            <v>5.5000000000000007E-2</v>
          </cell>
          <cell r="AB621">
            <v>5.5000000000000007E-2</v>
          </cell>
          <cell r="AC621">
            <v>5.5000000000000007E-2</v>
          </cell>
          <cell r="AD621">
            <v>5.5000000000000007E-2</v>
          </cell>
          <cell r="AE621">
            <v>5.5000000000000007E-2</v>
          </cell>
          <cell r="AF621">
            <v>5.5000000000000007E-2</v>
          </cell>
          <cell r="AG621">
            <v>5.5000000000000007E-2</v>
          </cell>
          <cell r="AH621">
            <v>5.5000000000000007E-2</v>
          </cell>
        </row>
        <row r="622">
          <cell r="B622" t="str">
            <v>e-methane - Total CAPEX - Global - USD/ton fuel</v>
          </cell>
          <cell r="G622">
            <v>1542</v>
          </cell>
          <cell r="H622">
            <v>1456</v>
          </cell>
          <cell r="I622">
            <v>1370</v>
          </cell>
          <cell r="J622">
            <v>1316</v>
          </cell>
          <cell r="K622">
            <v>1262</v>
          </cell>
          <cell r="L622">
            <v>1208</v>
          </cell>
          <cell r="M622">
            <v>1154</v>
          </cell>
          <cell r="N622">
            <v>1100</v>
          </cell>
          <cell r="O622">
            <v>1080</v>
          </cell>
          <cell r="P622">
            <v>1060</v>
          </cell>
          <cell r="Q622">
            <v>1040</v>
          </cell>
          <cell r="R622">
            <v>1020</v>
          </cell>
          <cell r="S622">
            <v>1000</v>
          </cell>
          <cell r="T622">
            <v>980</v>
          </cell>
          <cell r="U622">
            <v>960</v>
          </cell>
          <cell r="V622">
            <v>940</v>
          </cell>
          <cell r="W622">
            <v>920</v>
          </cell>
          <cell r="X622">
            <v>900</v>
          </cell>
          <cell r="Y622">
            <v>866</v>
          </cell>
          <cell r="Z622">
            <v>832</v>
          </cell>
          <cell r="AA622">
            <v>798</v>
          </cell>
          <cell r="AB622">
            <v>764</v>
          </cell>
          <cell r="AC622">
            <v>730</v>
          </cell>
          <cell r="AD622">
            <v>696</v>
          </cell>
          <cell r="AE622">
            <v>662</v>
          </cell>
          <cell r="AF622">
            <v>628</v>
          </cell>
          <cell r="AG622">
            <v>594</v>
          </cell>
          <cell r="AH622">
            <v>560</v>
          </cell>
        </row>
        <row r="623">
          <cell r="B623" t="str">
            <v/>
          </cell>
        </row>
        <row r="624">
          <cell r="B624" t="str">
            <v>e-methane (PS) - Energy cost - Africa - USD/ton fuel</v>
          </cell>
          <cell r="G624">
            <v>23.35592277220567</v>
          </cell>
          <cell r="H624">
            <v>20.613318498263837</v>
          </cell>
          <cell r="I624">
            <v>17.870714224321272</v>
          </cell>
          <cell r="J624">
            <v>17.106169874015542</v>
          </cell>
          <cell r="K624">
            <v>16.341625523709808</v>
          </cell>
          <cell r="L624">
            <v>15.577081173404077</v>
          </cell>
          <cell r="M624">
            <v>14.812536823098164</v>
          </cell>
          <cell r="N624">
            <v>14.04799247279243</v>
          </cell>
          <cell r="O624">
            <v>13.621222839370786</v>
          </cell>
          <cell r="P624">
            <v>13.19445320594914</v>
          </cell>
          <cell r="Q624">
            <v>12.767683572527313</v>
          </cell>
          <cell r="R624">
            <v>12.340913939105668</v>
          </cell>
          <cell r="S624">
            <v>11.914144305684069</v>
          </cell>
          <cell r="T624">
            <v>11.713270851961216</v>
          </cell>
          <cell r="U624">
            <v>11.512397398238409</v>
          </cell>
          <cell r="V624">
            <v>11.311523944515557</v>
          </cell>
          <cell r="W624">
            <v>11.110650490792706</v>
          </cell>
          <cell r="X624">
            <v>10.909777037069944</v>
          </cell>
          <cell r="Y624">
            <v>10.703224659738499</v>
          </cell>
          <cell r="Z624">
            <v>10.496672282407054</v>
          </cell>
          <cell r="AA624">
            <v>10.290119905075517</v>
          </cell>
          <cell r="AB624">
            <v>10.083567527744073</v>
          </cell>
          <cell r="AC624">
            <v>9.877015150412582</v>
          </cell>
          <cell r="AD624">
            <v>9.7756337118425574</v>
          </cell>
          <cell r="AE624">
            <v>9.6742522732725789</v>
          </cell>
          <cell r="AF624">
            <v>9.5728708347025542</v>
          </cell>
          <cell r="AG624">
            <v>9.4714893961325295</v>
          </cell>
          <cell r="AH624">
            <v>9.370107957562551</v>
          </cell>
        </row>
        <row r="625">
          <cell r="B625" t="str">
            <v>e-methane (PS) - Energy cost - Americas - USD/ton fuel</v>
          </cell>
          <cell r="G625">
            <v>14.674873815906814</v>
          </cell>
          <cell r="H625">
            <v>14.37097766078905</v>
          </cell>
          <cell r="I625">
            <v>14.067081505671196</v>
          </cell>
          <cell r="J625">
            <v>13.553377670568807</v>
          </cell>
          <cell r="K625">
            <v>13.03967383546642</v>
          </cell>
          <cell r="L625">
            <v>12.525970000364033</v>
          </cell>
          <cell r="M625">
            <v>12.012266165261828</v>
          </cell>
          <cell r="N625">
            <v>11.498562330159439</v>
          </cell>
          <cell r="O625">
            <v>11.251355711348333</v>
          </cell>
          <cell r="P625">
            <v>11.004149092537228</v>
          </cell>
          <cell r="Q625">
            <v>10.756942473726122</v>
          </cell>
          <cell r="R625">
            <v>10.509735854915016</v>
          </cell>
          <cell r="S625">
            <v>10.262529236103866</v>
          </cell>
          <cell r="T625">
            <v>10.062137470168636</v>
          </cell>
          <cell r="U625">
            <v>9.8617457042334085</v>
          </cell>
          <cell r="V625">
            <v>9.6613539382981344</v>
          </cell>
          <cell r="W625">
            <v>9.4609621723629065</v>
          </cell>
          <cell r="X625">
            <v>9.2605704064276555</v>
          </cell>
          <cell r="Y625">
            <v>9.1798389419518571</v>
          </cell>
          <cell r="Z625">
            <v>9.0991074774760587</v>
          </cell>
          <cell r="AA625">
            <v>9.0183760130002835</v>
          </cell>
          <cell r="AB625">
            <v>8.9376445485244869</v>
          </cell>
          <cell r="AC625">
            <v>8.8569130840486885</v>
          </cell>
          <cell r="AD625">
            <v>8.7960069083172812</v>
          </cell>
          <cell r="AE625">
            <v>8.7351007325858969</v>
          </cell>
          <cell r="AF625">
            <v>8.6741945568545145</v>
          </cell>
          <cell r="AG625">
            <v>8.6132883811231302</v>
          </cell>
          <cell r="AH625">
            <v>8.552382205391746</v>
          </cell>
        </row>
        <row r="626">
          <cell r="B626" t="str">
            <v>e-methane (PS) - Energy cost - Asia - USD/ton fuel</v>
          </cell>
          <cell r="G626">
            <v>25.976640995923663</v>
          </cell>
          <cell r="H626">
            <v>23.693963174734382</v>
          </cell>
          <cell r="I626">
            <v>21.411285353546191</v>
          </cell>
          <cell r="J626">
            <v>20.592507773689434</v>
          </cell>
          <cell r="K626">
            <v>19.773730193833035</v>
          </cell>
          <cell r="L626">
            <v>18.954952613976275</v>
          </cell>
          <cell r="M626">
            <v>18.136175034119514</v>
          </cell>
          <cell r="N626">
            <v>17.317397454263119</v>
          </cell>
          <cell r="O626">
            <v>16.760883226524676</v>
          </cell>
          <cell r="P626">
            <v>16.204368998786414</v>
          </cell>
          <cell r="Q626">
            <v>15.647854771048333</v>
          </cell>
          <cell r="R626">
            <v>15.091340543310071</v>
          </cell>
          <cell r="S626">
            <v>14.534826315571809</v>
          </cell>
          <cell r="T626">
            <v>14.251880999090282</v>
          </cell>
          <cell r="U626">
            <v>13.968935682608754</v>
          </cell>
          <cell r="V626">
            <v>13.685990366127317</v>
          </cell>
          <cell r="W626">
            <v>13.40304504964579</v>
          </cell>
          <cell r="X626">
            <v>13.120099733164444</v>
          </cell>
          <cell r="Y626">
            <v>12.823932917639013</v>
          </cell>
          <cell r="Z626">
            <v>12.527766102113674</v>
          </cell>
          <cell r="AA626">
            <v>12.231599286588244</v>
          </cell>
          <cell r="AB626">
            <v>11.935432471062905</v>
          </cell>
          <cell r="AC626">
            <v>11.639265655537475</v>
          </cell>
          <cell r="AD626">
            <v>11.503447479549278</v>
          </cell>
          <cell r="AE626">
            <v>11.367629303561035</v>
          </cell>
          <cell r="AF626">
            <v>11.231811127572838</v>
          </cell>
          <cell r="AG626">
            <v>11.095992951584641</v>
          </cell>
          <cell r="AH626">
            <v>10.960174775596398</v>
          </cell>
        </row>
        <row r="627">
          <cell r="B627" t="str">
            <v>e-methane (PS) - Energy cost - Europe - USD/ton fuel</v>
          </cell>
          <cell r="G627">
            <v>19.338202143102901</v>
          </cell>
          <cell r="H627">
            <v>18.504733757273062</v>
          </cell>
          <cell r="I627">
            <v>17.671265371443223</v>
          </cell>
          <cell r="J627">
            <v>16.99781787908978</v>
          </cell>
          <cell r="K627">
            <v>16.324370386736156</v>
          </cell>
          <cell r="L627">
            <v>15.650922894382711</v>
          </cell>
          <cell r="M627">
            <v>14.977475402029086</v>
          </cell>
          <cell r="N627">
            <v>14.304027909675643</v>
          </cell>
          <cell r="O627">
            <v>14.024210615939774</v>
          </cell>
          <cell r="P627">
            <v>13.744393322204179</v>
          </cell>
          <cell r="Q627">
            <v>13.464576028468493</v>
          </cell>
          <cell r="R627">
            <v>13.184758734732805</v>
          </cell>
          <cell r="S627">
            <v>12.904941440997209</v>
          </cell>
          <cell r="T627">
            <v>12.737876294246689</v>
          </cell>
          <cell r="U627">
            <v>12.570811147496215</v>
          </cell>
          <cell r="V627">
            <v>12.403746000745741</v>
          </cell>
          <cell r="W627">
            <v>12.236680853995267</v>
          </cell>
          <cell r="X627">
            <v>12.069615707244703</v>
          </cell>
          <cell r="Y627">
            <v>11.890886162064181</v>
          </cell>
          <cell r="Z627">
            <v>11.712156616883613</v>
          </cell>
          <cell r="AA627">
            <v>11.533427071703091</v>
          </cell>
          <cell r="AB627">
            <v>11.354697526522523</v>
          </cell>
          <cell r="AC627">
            <v>11.175967981342001</v>
          </cell>
          <cell r="AD627">
            <v>11.045563224372746</v>
          </cell>
          <cell r="AE627">
            <v>10.915158467403444</v>
          </cell>
          <cell r="AF627">
            <v>10.784753710434188</v>
          </cell>
          <cell r="AG627">
            <v>10.654348953464932</v>
          </cell>
          <cell r="AH627">
            <v>10.523944196495632</v>
          </cell>
        </row>
        <row r="628">
          <cell r="B628" t="str">
            <v>e-methane (PS) - Energy cost - Middle East - USD/ton fuel</v>
          </cell>
          <cell r="G628">
            <v>14.808126669265585</v>
          </cell>
          <cell r="H628">
            <v>14.154681160173642</v>
          </cell>
          <cell r="I628">
            <v>13.501235651081515</v>
          </cell>
          <cell r="J628">
            <v>13.06859485087498</v>
          </cell>
          <cell r="K628">
            <v>12.635954050668444</v>
          </cell>
          <cell r="L628">
            <v>12.203313250461907</v>
          </cell>
          <cell r="M628">
            <v>11.77067245025537</v>
          </cell>
          <cell r="N628">
            <v>11.338031650048833</v>
          </cell>
          <cell r="O628">
            <v>11.032970030145316</v>
          </cell>
          <cell r="P628">
            <v>10.72790841024189</v>
          </cell>
          <cell r="Q628">
            <v>10.422846790338372</v>
          </cell>
          <cell r="R628">
            <v>10.117785170434946</v>
          </cell>
          <cell r="S628">
            <v>9.8127235505315191</v>
          </cell>
          <cell r="T628">
            <v>9.6597688620424833</v>
          </cell>
          <cell r="U628">
            <v>9.5068141735534493</v>
          </cell>
          <cell r="V628">
            <v>9.3538594850644596</v>
          </cell>
          <cell r="W628">
            <v>9.2009047965754238</v>
          </cell>
          <cell r="X628">
            <v>9.047950108086388</v>
          </cell>
          <cell r="Y628">
            <v>8.8473659326680263</v>
          </cell>
          <cell r="Z628">
            <v>8.6467817572497108</v>
          </cell>
          <cell r="AA628">
            <v>8.4461975818313473</v>
          </cell>
          <cell r="AB628">
            <v>8.2456134064130318</v>
          </cell>
          <cell r="AC628">
            <v>8.045029230994647</v>
          </cell>
          <cell r="AD628">
            <v>7.9511495445312228</v>
          </cell>
          <cell r="AE628">
            <v>7.8572698580678209</v>
          </cell>
          <cell r="AF628">
            <v>7.7633901716043967</v>
          </cell>
          <cell r="AG628">
            <v>7.6695104851409726</v>
          </cell>
          <cell r="AH628">
            <v>7.5756307986775715</v>
          </cell>
        </row>
        <row r="629">
          <cell r="B629" t="str">
            <v>Renewable electricity - Cost of electricity - Africa - USD/MWh</v>
          </cell>
          <cell r="G629">
            <v>58.389806930514169</v>
          </cell>
          <cell r="H629">
            <v>51.533296245659585</v>
          </cell>
          <cell r="I629">
            <v>44.676785560803182</v>
          </cell>
          <cell r="J629">
            <v>42.765424685038852</v>
          </cell>
          <cell r="K629">
            <v>40.854063809274521</v>
          </cell>
          <cell r="L629">
            <v>38.942702933510191</v>
          </cell>
          <cell r="M629">
            <v>37.031342057745405</v>
          </cell>
          <cell r="N629">
            <v>35.119981181981075</v>
          </cell>
          <cell r="O629">
            <v>34.053057098426962</v>
          </cell>
          <cell r="P629">
            <v>32.986133014872848</v>
          </cell>
          <cell r="Q629">
            <v>31.919208931318281</v>
          </cell>
          <cell r="R629">
            <v>30.852284847764167</v>
          </cell>
          <cell r="S629">
            <v>29.785360764210168</v>
          </cell>
          <cell r="T629">
            <v>29.283177129903038</v>
          </cell>
          <cell r="U629">
            <v>28.780993495596022</v>
          </cell>
          <cell r="V629">
            <v>28.278809861288892</v>
          </cell>
          <cell r="W629">
            <v>27.776626226981762</v>
          </cell>
          <cell r="X629">
            <v>27.274442592674859</v>
          </cell>
          <cell r="Y629">
            <v>26.758061649346246</v>
          </cell>
          <cell r="Z629">
            <v>26.241680706017632</v>
          </cell>
          <cell r="AA629">
            <v>25.725299762688792</v>
          </cell>
          <cell r="AB629">
            <v>25.208918819360179</v>
          </cell>
          <cell r="AC629">
            <v>24.692537876031452</v>
          </cell>
          <cell r="AD629">
            <v>24.439084279606391</v>
          </cell>
          <cell r="AE629">
            <v>24.185630683181444</v>
          </cell>
          <cell r="AF629">
            <v>23.932177086756383</v>
          </cell>
          <cell r="AG629">
            <v>23.678723490331322</v>
          </cell>
          <cell r="AH629">
            <v>23.425269893906375</v>
          </cell>
        </row>
        <row r="630">
          <cell r="B630" t="str">
            <v>Renewable electricity - Cost of electricity - Americas - USD/MWh</v>
          </cell>
          <cell r="G630">
            <v>36.687184539767031</v>
          </cell>
          <cell r="H630">
            <v>35.927444151972622</v>
          </cell>
          <cell r="I630">
            <v>35.167703764177986</v>
          </cell>
          <cell r="J630">
            <v>33.883444176422017</v>
          </cell>
          <cell r="K630">
            <v>32.599184588666049</v>
          </cell>
          <cell r="L630">
            <v>31.31492500091008</v>
          </cell>
          <cell r="M630">
            <v>30.030665413154566</v>
          </cell>
          <cell r="N630">
            <v>28.746405825398597</v>
          </cell>
          <cell r="O630">
            <v>28.128389278370832</v>
          </cell>
          <cell r="P630">
            <v>27.510372731343068</v>
          </cell>
          <cell r="Q630">
            <v>26.892356184315304</v>
          </cell>
          <cell r="R630">
            <v>26.27433963728754</v>
          </cell>
          <cell r="S630">
            <v>25.656323090259662</v>
          </cell>
          <cell r="T630">
            <v>25.155343675421591</v>
          </cell>
          <cell r="U630">
            <v>24.65436426058352</v>
          </cell>
          <cell r="V630">
            <v>24.153384845745336</v>
          </cell>
          <cell r="W630">
            <v>23.652405430907265</v>
          </cell>
          <cell r="X630">
            <v>23.151426016069138</v>
          </cell>
          <cell r="Y630">
            <v>22.949597354879643</v>
          </cell>
          <cell r="Z630">
            <v>22.747768693690148</v>
          </cell>
          <cell r="AA630">
            <v>22.54594003250071</v>
          </cell>
          <cell r="AB630">
            <v>22.344111371311214</v>
          </cell>
          <cell r="AC630">
            <v>22.142282710121719</v>
          </cell>
          <cell r="AD630">
            <v>21.990017270793203</v>
          </cell>
          <cell r="AE630">
            <v>21.837751831464743</v>
          </cell>
          <cell r="AF630">
            <v>21.685486392136283</v>
          </cell>
          <cell r="AG630">
            <v>21.533220952807824</v>
          </cell>
          <cell r="AH630">
            <v>21.380955513479364</v>
          </cell>
        </row>
        <row r="631">
          <cell r="B631" t="str">
            <v>Renewable electricity - Cost of electricity - Asia - USD/MWh</v>
          </cell>
          <cell r="G631">
            <v>64.941602489809156</v>
          </cell>
          <cell r="H631">
            <v>59.234907936835953</v>
          </cell>
          <cell r="I631">
            <v>53.528213383865477</v>
          </cell>
          <cell r="J631">
            <v>51.481269434223577</v>
          </cell>
          <cell r="K631">
            <v>49.434325484582587</v>
          </cell>
          <cell r="L631">
            <v>47.387381534940687</v>
          </cell>
          <cell r="M631">
            <v>45.340437585298787</v>
          </cell>
          <cell r="N631">
            <v>43.293493635657796</v>
          </cell>
          <cell r="O631">
            <v>41.902208066311687</v>
          </cell>
          <cell r="P631">
            <v>40.510922496966032</v>
          </cell>
          <cell r="Q631">
            <v>39.119636927620832</v>
          </cell>
          <cell r="R631">
            <v>37.728351358275177</v>
          </cell>
          <cell r="S631">
            <v>36.337065788929522</v>
          </cell>
          <cell r="T631">
            <v>35.629702497725702</v>
          </cell>
          <cell r="U631">
            <v>34.922339206521883</v>
          </cell>
          <cell r="V631">
            <v>34.214975915318291</v>
          </cell>
          <cell r="W631">
            <v>33.507612624114472</v>
          </cell>
          <cell r="X631">
            <v>32.800249332911108</v>
          </cell>
          <cell r="Y631">
            <v>32.059832294097532</v>
          </cell>
          <cell r="Z631">
            <v>31.319415255284184</v>
          </cell>
          <cell r="AA631">
            <v>30.578998216470609</v>
          </cell>
          <cell r="AB631">
            <v>29.838581177657261</v>
          </cell>
          <cell r="AC631">
            <v>29.098164138843686</v>
          </cell>
          <cell r="AD631">
            <v>28.758618698873192</v>
          </cell>
          <cell r="AE631">
            <v>28.419073258902586</v>
          </cell>
          <cell r="AF631">
            <v>28.079527818932092</v>
          </cell>
          <cell r="AG631">
            <v>27.739982378961599</v>
          </cell>
          <cell r="AH631">
            <v>27.400436938990993</v>
          </cell>
        </row>
        <row r="632">
          <cell r="B632" t="str">
            <v>Renewable electricity - Cost of electricity - Europe - USD/MWh</v>
          </cell>
          <cell r="G632">
            <v>48.345505357757247</v>
          </cell>
          <cell r="H632">
            <v>46.261834393182653</v>
          </cell>
          <cell r="I632">
            <v>44.178163428608059</v>
          </cell>
          <cell r="J632">
            <v>42.49454469772445</v>
          </cell>
          <cell r="K632">
            <v>40.810925966840387</v>
          </cell>
          <cell r="L632">
            <v>39.127307235956778</v>
          </cell>
          <cell r="M632">
            <v>37.443688505072714</v>
          </cell>
          <cell r="N632">
            <v>35.760069774189105</v>
          </cell>
          <cell r="O632">
            <v>35.060526539849434</v>
          </cell>
          <cell r="P632">
            <v>34.360983305510445</v>
          </cell>
          <cell r="Q632">
            <v>33.661440071171228</v>
          </cell>
          <cell r="R632">
            <v>32.961896836832011</v>
          </cell>
          <cell r="S632">
            <v>32.262353602493022</v>
          </cell>
          <cell r="T632">
            <v>31.844690735616723</v>
          </cell>
          <cell r="U632">
            <v>31.427027868740538</v>
          </cell>
          <cell r="V632">
            <v>31.009365001864353</v>
          </cell>
          <cell r="W632">
            <v>30.591702134988168</v>
          </cell>
          <cell r="X632">
            <v>30.174039268111756</v>
          </cell>
          <cell r="Y632">
            <v>29.72721540516045</v>
          </cell>
          <cell r="Z632">
            <v>29.280391542209031</v>
          </cell>
          <cell r="AA632">
            <v>28.833567679257726</v>
          </cell>
          <cell r="AB632">
            <v>28.386743816306307</v>
          </cell>
          <cell r="AC632">
            <v>27.939919953355002</v>
          </cell>
          <cell r="AD632">
            <v>27.613908060931863</v>
          </cell>
          <cell r="AE632">
            <v>27.28789616850861</v>
          </cell>
          <cell r="AF632">
            <v>26.96188427608547</v>
          </cell>
          <cell r="AG632">
            <v>26.635872383662331</v>
          </cell>
          <cell r="AH632">
            <v>26.309860491239078</v>
          </cell>
        </row>
        <row r="633">
          <cell r="B633" t="str">
            <v>Renewable electricity - Cost of electricity - Middle East - USD/MWh</v>
          </cell>
          <cell r="G633">
            <v>37.020316673163961</v>
          </cell>
          <cell r="H633">
            <v>35.386702900434102</v>
          </cell>
          <cell r="I633">
            <v>33.753089127703788</v>
          </cell>
          <cell r="J633">
            <v>32.671487127187447</v>
          </cell>
          <cell r="K633">
            <v>31.589885126671106</v>
          </cell>
          <cell r="L633">
            <v>30.508283126154765</v>
          </cell>
          <cell r="M633">
            <v>29.426681125638424</v>
          </cell>
          <cell r="N633">
            <v>28.345079125122083</v>
          </cell>
          <cell r="O633">
            <v>27.58242507536329</v>
          </cell>
          <cell r="P633">
            <v>26.819771025604723</v>
          </cell>
          <cell r="Q633">
            <v>26.057116975845929</v>
          </cell>
          <cell r="R633">
            <v>25.294462926087363</v>
          </cell>
          <cell r="S633">
            <v>24.531808876328796</v>
          </cell>
          <cell r="T633">
            <v>24.149422155106208</v>
          </cell>
          <cell r="U633">
            <v>23.76703543388362</v>
          </cell>
          <cell r="V633">
            <v>23.384648712661146</v>
          </cell>
          <cell r="W633">
            <v>23.002261991438559</v>
          </cell>
          <cell r="X633">
            <v>22.619875270215971</v>
          </cell>
          <cell r="Y633">
            <v>22.118414831670066</v>
          </cell>
          <cell r="Z633">
            <v>21.616954393124274</v>
          </cell>
          <cell r="AA633">
            <v>21.115493954578369</v>
          </cell>
          <cell r="AB633">
            <v>20.614033516032578</v>
          </cell>
          <cell r="AC633">
            <v>20.112573077486616</v>
          </cell>
          <cell r="AD633">
            <v>19.877873861328055</v>
          </cell>
          <cell r="AE633">
            <v>19.643174645169552</v>
          </cell>
          <cell r="AF633">
            <v>19.408475429010991</v>
          </cell>
          <cell r="AG633">
            <v>19.173776212852431</v>
          </cell>
          <cell r="AH633">
            <v>18.939076996693927</v>
          </cell>
        </row>
        <row r="634">
          <cell r="B634" t="str">
            <v>e-methane - Energy demand - Global - MWh/ton fuel</v>
          </cell>
          <cell r="G634">
            <v>0.4</v>
          </cell>
          <cell r="H634">
            <v>0.4</v>
          </cell>
          <cell r="I634">
            <v>0.4</v>
          </cell>
          <cell r="J634">
            <v>0.4</v>
          </cell>
          <cell r="K634">
            <v>0.4</v>
          </cell>
          <cell r="L634">
            <v>0.4</v>
          </cell>
          <cell r="M634">
            <v>0.4</v>
          </cell>
          <cell r="N634">
            <v>0.4</v>
          </cell>
          <cell r="O634">
            <v>0.4</v>
          </cell>
          <cell r="P634">
            <v>0.4</v>
          </cell>
          <cell r="Q634">
            <v>0.4</v>
          </cell>
          <cell r="R634">
            <v>0.4</v>
          </cell>
          <cell r="S634">
            <v>0.4</v>
          </cell>
          <cell r="T634">
            <v>0.4</v>
          </cell>
          <cell r="U634">
            <v>0.4</v>
          </cell>
          <cell r="V634">
            <v>0.4</v>
          </cell>
          <cell r="W634">
            <v>0.4</v>
          </cell>
          <cell r="X634">
            <v>0.4</v>
          </cell>
          <cell r="Y634">
            <v>0.4</v>
          </cell>
          <cell r="Z634">
            <v>0.4</v>
          </cell>
          <cell r="AA634">
            <v>0.4</v>
          </cell>
          <cell r="AB634">
            <v>0.4</v>
          </cell>
          <cell r="AC634">
            <v>0.4</v>
          </cell>
          <cell r="AD634">
            <v>0.4</v>
          </cell>
          <cell r="AE634">
            <v>0.4</v>
          </cell>
          <cell r="AF634">
            <v>0.4</v>
          </cell>
          <cell r="AG634">
            <v>0.4</v>
          </cell>
          <cell r="AH634">
            <v>0.4</v>
          </cell>
        </row>
        <row r="635">
          <cell r="B635" t="str">
            <v/>
          </cell>
        </row>
        <row r="636">
          <cell r="B636" t="str">
            <v>e-methane (PS) - Feedstock cost - Africa - USD/ton fuel</v>
          </cell>
          <cell r="G636">
            <v>2780.6482238977073</v>
          </cell>
          <cell r="H636">
            <v>2541.3677764149361</v>
          </cell>
          <cell r="I636">
            <v>2300.7515618013363</v>
          </cell>
          <cell r="J636">
            <v>2212.9334104310146</v>
          </cell>
          <cell r="K636">
            <v>2122.5403791331028</v>
          </cell>
          <cell r="L636">
            <v>2029.6238613285341</v>
          </cell>
          <cell r="M636">
            <v>1934.2352504382825</v>
          </cell>
          <cell r="N636">
            <v>1836.4259398832592</v>
          </cell>
          <cell r="O636">
            <v>1800.3127176221392</v>
          </cell>
          <cell r="P636">
            <v>1760.4112059114732</v>
          </cell>
          <cell r="Q636">
            <v>1716.7490865694867</v>
          </cell>
          <cell r="R636">
            <v>1669.3540414144284</v>
          </cell>
          <cell r="S636">
            <v>1618.2537522645871</v>
          </cell>
          <cell r="T636">
            <v>1581.1124060738227</v>
          </cell>
          <cell r="U636">
            <v>1541.3654748584552</v>
          </cell>
          <cell r="V636">
            <v>1499.0219913010044</v>
          </cell>
          <cell r="W636">
            <v>1454.0909880838774</v>
          </cell>
          <cell r="X636">
            <v>1406.5814978895678</v>
          </cell>
          <cell r="Y636">
            <v>1357.9099618825524</v>
          </cell>
          <cell r="Z636">
            <v>1308.0285294740536</v>
          </cell>
          <cell r="AA636">
            <v>1256.9319185948684</v>
          </cell>
          <cell r="AB636">
            <v>1204.6148471757392</v>
          </cell>
          <cell r="AC636">
            <v>1151.0720331474408</v>
          </cell>
          <cell r="AD636">
            <v>1107.9534069138913</v>
          </cell>
          <cell r="AE636">
            <v>1064.2282712434248</v>
          </cell>
          <cell r="AF636">
            <v>1019.8932976598911</v>
          </cell>
          <cell r="AG636">
            <v>974.9451576871511</v>
          </cell>
          <cell r="AH636">
            <v>929.38052284906723</v>
          </cell>
        </row>
        <row r="637">
          <cell r="B637" t="str">
            <v>e-methane (PS) - Feedstock cost - Americas - USD/ton fuel</v>
          </cell>
          <cell r="G637">
            <v>2166.366945348761</v>
          </cell>
          <cell r="H637">
            <v>2100.1334692210803</v>
          </cell>
          <cell r="I637">
            <v>2032.238864569131</v>
          </cell>
          <cell r="J637">
            <v>1962.6060155374485</v>
          </cell>
          <cell r="K637">
            <v>1890.4048425937317</v>
          </cell>
          <cell r="L637">
            <v>1815.66987741351</v>
          </cell>
          <cell r="M637">
            <v>1738.435651672371</v>
          </cell>
          <cell r="N637">
            <v>1658.7366970457733</v>
          </cell>
          <cell r="O637">
            <v>1636.1642285858329</v>
          </cell>
          <cell r="P637">
            <v>1609.6954042336217</v>
          </cell>
          <cell r="Q637">
            <v>1579.3462587023716</v>
          </cell>
          <cell r="R637">
            <v>1545.1328267052963</v>
          </cell>
          <cell r="S637">
            <v>1507.0711429556779</v>
          </cell>
          <cell r="T637">
            <v>1470.856612691628</v>
          </cell>
          <cell r="U637">
            <v>1432.0607171937177</v>
          </cell>
          <cell r="V637">
            <v>1390.6924674843965</v>
          </cell>
          <cell r="W637">
            <v>1346.7608745860109</v>
          </cell>
          <cell r="X637">
            <v>1300.2749495209746</v>
          </cell>
          <cell r="Y637">
            <v>1260.8990950949676</v>
          </cell>
          <cell r="Z637">
            <v>1220.1056255077297</v>
          </cell>
          <cell r="AA637">
            <v>1177.8924762505746</v>
          </cell>
          <cell r="AB637">
            <v>1134.2575828147442</v>
          </cell>
          <cell r="AC637">
            <v>1089.1988806915338</v>
          </cell>
          <cell r="AD637">
            <v>1049.1439904513772</v>
          </cell>
          <cell r="AE637">
            <v>1008.4220091311461</v>
          </cell>
          <cell r="AF637">
            <v>967.03093710688495</v>
          </cell>
          <cell r="AG637">
            <v>924.96877475464294</v>
          </cell>
          <cell r="AH637">
            <v>882.2335224504692</v>
          </cell>
        </row>
        <row r="638">
          <cell r="B638" t="str">
            <v>e-methane (PS) - Feedstock cost - Asia - USD/ton fuel</v>
          </cell>
          <cell r="G638">
            <v>2966.0933411048768</v>
          </cell>
          <cell r="H638">
            <v>2759.120403982578</v>
          </cell>
          <cell r="I638">
            <v>2550.6937549550589</v>
          </cell>
          <cell r="J638">
            <v>2458.5784789203558</v>
          </cell>
          <cell r="K638">
            <v>2363.8259987546849</v>
          </cell>
          <cell r="L638">
            <v>2266.4913534897964</v>
          </cell>
          <cell r="M638">
            <v>2166.62958215758</v>
          </cell>
          <cell r="N638">
            <v>2064.2957237898113</v>
          </cell>
          <cell r="O638">
            <v>2017.7808205990809</v>
          </cell>
          <cell r="P638">
            <v>1967.5248523327646</v>
          </cell>
          <cell r="Q638">
            <v>1913.5639165116163</v>
          </cell>
          <cell r="R638">
            <v>1855.934110656352</v>
          </cell>
          <cell r="S638">
            <v>1794.6715322878074</v>
          </cell>
          <cell r="T638">
            <v>1750.63019242972</v>
          </cell>
          <cell r="U638">
            <v>1704.0353602391544</v>
          </cell>
          <cell r="V638">
            <v>1654.8997589265025</v>
          </cell>
          <cell r="W638">
            <v>1603.2361117020041</v>
          </cell>
          <cell r="X638">
            <v>1549.0571417760218</v>
          </cell>
          <cell r="Y638">
            <v>1492.9589805916348</v>
          </cell>
          <cell r="Z638">
            <v>1435.8076966558403</v>
          </cell>
          <cell r="AA638">
            <v>1377.5957162304956</v>
          </cell>
          <cell r="AB638">
            <v>1318.3154655774019</v>
          </cell>
          <cell r="AC638">
            <v>1257.9593709583962</v>
          </cell>
          <cell r="AD638">
            <v>1211.6783346813547</v>
          </cell>
          <cell r="AE638">
            <v>1164.8521198058129</v>
          </cell>
          <cell r="AF638">
            <v>1117.4762672555867</v>
          </cell>
          <cell r="AG638">
            <v>1069.5463179544886</v>
          </cell>
          <cell r="AH638">
            <v>1021.0578128263312</v>
          </cell>
        </row>
        <row r="639">
          <cell r="B639" t="str">
            <v>e-methane (PS) - Feedstock cost - Europe - USD/ton fuel</v>
          </cell>
          <cell r="G639">
            <v>2496.3495662905561</v>
          </cell>
          <cell r="H639">
            <v>2392.3243403748493</v>
          </cell>
          <cell r="I639">
            <v>2286.6717193434765</v>
          </cell>
          <cell r="J639">
            <v>2205.2990003478767</v>
          </cell>
          <cell r="K639">
            <v>2121.3272994585268</v>
          </cell>
          <cell r="L639">
            <v>2034.8018864762639</v>
          </cell>
          <cell r="M639">
            <v>1945.7680312019277</v>
          </cell>
          <cell r="N639">
            <v>1854.2710034363074</v>
          </cell>
          <cell r="O639">
            <v>1828.2256051598886</v>
          </cell>
          <cell r="P639">
            <v>1798.2528302725198</v>
          </cell>
          <cell r="Q639">
            <v>1764.3708287334412</v>
          </cell>
          <cell r="R639">
            <v>1726.5977505019105</v>
          </cell>
          <cell r="S639">
            <v>1684.9517455372611</v>
          </cell>
          <cell r="T639">
            <v>1649.5312795510536</v>
          </cell>
          <cell r="U639">
            <v>1611.4527372359898</v>
          </cell>
          <cell r="V639">
            <v>1570.7236310154658</v>
          </cell>
          <cell r="W639">
            <v>1527.3514733127527</v>
          </cell>
          <cell r="X639">
            <v>1481.3437765512047</v>
          </cell>
          <cell r="Y639">
            <v>1433.5415438552773</v>
          </cell>
          <cell r="Z639">
            <v>1384.4964771754344</v>
          </cell>
          <cell r="AA639">
            <v>1334.2040059430137</v>
          </cell>
          <cell r="AB639">
            <v>1282.6595595892682</v>
          </cell>
          <cell r="AC639">
            <v>1229.858567545517</v>
          </cell>
          <cell r="AD639">
            <v>1184.1904119771145</v>
          </cell>
          <cell r="AE639">
            <v>1137.9653981354104</v>
          </cell>
          <cell r="AF639">
            <v>1091.1792446733627</v>
          </cell>
          <cell r="AG639">
            <v>1043.8276702439255</v>
          </cell>
          <cell r="AH639">
            <v>995.90639350005267</v>
          </cell>
        </row>
        <row r="640">
          <cell r="B640" t="str">
            <v>e-methane (PS) - Feedstock cost - Middle East - USD/ton fuel</v>
          </cell>
          <cell r="G640">
            <v>2175.796074656012</v>
          </cell>
          <cell r="H640">
            <v>2084.8447435519288</v>
          </cell>
          <cell r="I640">
            <v>1992.2936837716907</v>
          </cell>
          <cell r="J640">
            <v>1928.4485378709016</v>
          </cell>
          <cell r="K640">
            <v>1862.0223228890011</v>
          </cell>
          <cell r="L640">
            <v>1793.0441213648212</v>
          </cell>
          <cell r="M640">
            <v>1721.5430158372412</v>
          </cell>
          <cell r="N640">
            <v>1647.5480888450479</v>
          </cell>
          <cell r="O640">
            <v>1621.0377773292375</v>
          </cell>
          <cell r="P640">
            <v>1590.6871598381331</v>
          </cell>
          <cell r="Q640">
            <v>1556.5160237690711</v>
          </cell>
          <cell r="R640">
            <v>1518.544156519398</v>
          </cell>
          <cell r="S640">
            <v>1476.7913454865086</v>
          </cell>
          <cell r="T640">
            <v>1443.988117020567</v>
          </cell>
          <cell r="U640">
            <v>1408.5574517322946</v>
          </cell>
          <cell r="V640">
            <v>1370.5062275396963</v>
          </cell>
          <cell r="W640">
            <v>1329.8413223606581</v>
          </cell>
          <cell r="X640">
            <v>1286.56961411315</v>
          </cell>
          <cell r="Y640">
            <v>1239.7268506413677</v>
          </cell>
          <cell r="Z640">
            <v>1191.649134101649</v>
          </cell>
          <cell r="AA640">
            <v>1142.3313350468784</v>
          </cell>
          <cell r="AB640">
            <v>1091.7683240298857</v>
          </cell>
          <cell r="AC640">
            <v>1039.9549716035365</v>
          </cell>
          <cell r="AD640">
            <v>998.42511630510228</v>
          </cell>
          <cell r="AE640">
            <v>956.25954359572484</v>
          </cell>
          <cell r="AF640">
            <v>913.45517129091877</v>
          </cell>
          <cell r="AG640">
            <v>870.00891720620507</v>
          </cell>
          <cell r="AH640">
            <v>825.91769915710506</v>
          </cell>
        </row>
        <row r="641">
          <cell r="B641" t="str">
            <v>e-hydrogen (compressed) - Cost - Africa - USD/ton H2</v>
          </cell>
          <cell r="G641">
            <v>4633.1233423090589</v>
          </cell>
          <cell r="H641">
            <v>4201.9656446218651</v>
          </cell>
          <cell r="I641">
            <v>3768.1364126730182</v>
          </cell>
          <cell r="J641">
            <v>3627.6640614332246</v>
          </cell>
          <cell r="K641">
            <v>3482.0419503382509</v>
          </cell>
          <cell r="L641">
            <v>3331.3728662299636</v>
          </cell>
          <cell r="M641">
            <v>3175.7595959503119</v>
          </cell>
          <cell r="N641">
            <v>3015.3049263411149</v>
          </cell>
          <cell r="O641">
            <v>2957.5120355923382</v>
          </cell>
          <cell r="P641">
            <v>2892.1425659444694</v>
          </cell>
          <cell r="Q641">
            <v>2819.2518810339607</v>
          </cell>
          <cell r="R641">
            <v>2738.8953444973072</v>
          </cell>
          <cell r="S641">
            <v>2651.1283199710874</v>
          </cell>
          <cell r="T641">
            <v>2589.8814487511354</v>
          </cell>
          <cell r="U641">
            <v>2523.4234074819769</v>
          </cell>
          <cell r="V641">
            <v>2451.7722615286521</v>
          </cell>
          <cell r="W641">
            <v>2374.9460762559747</v>
          </cell>
          <cell r="X641">
            <v>2292.9629170289318</v>
          </cell>
          <cell r="Y641">
            <v>2208.6908045163059</v>
          </cell>
          <cell r="Z641">
            <v>2121.9988992007134</v>
          </cell>
          <cell r="AA641">
            <v>2032.876636943749</v>
          </cell>
          <cell r="AB641">
            <v>1941.3134536068953</v>
          </cell>
          <cell r="AC641">
            <v>1847.2987850517036</v>
          </cell>
          <cell r="AD641">
            <v>1773.4817469024235</v>
          </cell>
          <cell r="AE641">
            <v>1698.451689879309</v>
          </cell>
          <cell r="AF641">
            <v>1622.2019570300602</v>
          </cell>
          <cell r="AG641">
            <v>1544.7258914023987</v>
          </cell>
          <cell r="AH641">
            <v>1466.0168360440496</v>
          </cell>
        </row>
        <row r="642">
          <cell r="B642" t="str">
            <v>e-hydrogen (compressed) - Cost - Americas - USD/ton H2</v>
          </cell>
          <cell r="G642">
            <v>3458.2747756282647</v>
          </cell>
          <cell r="H642">
            <v>3358.1215141660286</v>
          </cell>
          <cell r="I642">
            <v>3254.6459956552549</v>
          </cell>
          <cell r="J642">
            <v>3148.9921734049194</v>
          </cell>
          <cell r="K642">
            <v>3038.2017033305151</v>
          </cell>
          <cell r="L642">
            <v>2922.3436487831009</v>
          </cell>
          <cell r="M642">
            <v>2801.4870731138512</v>
          </cell>
          <cell r="N642">
            <v>2675.701039673685</v>
          </cell>
          <cell r="O642">
            <v>2643.8786103743646</v>
          </cell>
          <cell r="P642">
            <v>2604.2634692905026</v>
          </cell>
          <cell r="Q642">
            <v>2556.8876858485628</v>
          </cell>
          <cell r="R642">
            <v>2501.7833294749726</v>
          </cell>
          <cell r="S642">
            <v>2438.9824695962966</v>
          </cell>
          <cell r="T642">
            <v>2379.5862497865878</v>
          </cell>
          <cell r="U642">
            <v>2315.0272995091577</v>
          </cell>
          <cell r="V642">
            <v>2245.3236408089065</v>
          </cell>
          <cell r="W642">
            <v>2170.4932957305264</v>
          </cell>
          <cell r="X642">
            <v>2090.5542863188448</v>
          </cell>
          <cell r="Y642">
            <v>2024.0950200699413</v>
          </cell>
          <cell r="Z642">
            <v>1954.8005234985762</v>
          </cell>
          <cell r="AA642">
            <v>1882.6666675873769</v>
          </cell>
          <cell r="AB642">
            <v>1807.6893233188264</v>
          </cell>
          <cell r="AC642">
            <v>1729.8643616755162</v>
          </cell>
          <cell r="AD642">
            <v>1661.9243548242082</v>
          </cell>
          <cell r="AE642">
            <v>1592.6501658127502</v>
          </cell>
          <cell r="AF642">
            <v>1522.0377953932327</v>
          </cell>
          <cell r="AG642">
            <v>1450.083244317753</v>
          </cell>
          <cell r="AH642">
            <v>1376.7825133384104</v>
          </cell>
        </row>
        <row r="643">
          <cell r="B643" t="str">
            <v>e-hydrogen (compressed) - Cost - Asia - USD/ton H2</v>
          </cell>
          <cell r="G643">
            <v>4987.7978827141424</v>
          </cell>
          <cell r="H643">
            <v>4618.4094108214867</v>
          </cell>
          <cell r="I643">
            <v>4246.1135151183844</v>
          </cell>
          <cell r="J643">
            <v>4097.3824826576747</v>
          </cell>
          <cell r="K643">
            <v>3943.3770419350276</v>
          </cell>
          <cell r="L643">
            <v>3784.2072710139482</v>
          </cell>
          <cell r="M643">
            <v>3619.9832479582124</v>
          </cell>
          <cell r="N643">
            <v>3450.8150508313697</v>
          </cell>
          <cell r="O643">
            <v>3373.0215929007072</v>
          </cell>
          <cell r="P643">
            <v>3287.7460048188714</v>
          </cell>
          <cell r="Q643">
            <v>3195.0604816273712</v>
          </cell>
          <cell r="R643">
            <v>3095.0372183676395</v>
          </cell>
          <cell r="S643">
            <v>2987.7484100813476</v>
          </cell>
          <cell r="T643">
            <v>2913.2093711775688</v>
          </cell>
          <cell r="U643">
            <v>2833.5633476088337</v>
          </cell>
          <cell r="V643">
            <v>2748.8357857959254</v>
          </cell>
          <cell r="W643">
            <v>2659.0521321593251</v>
          </cell>
          <cell r="X643">
            <v>2564.2378331197551</v>
          </cell>
          <cell r="Y643">
            <v>2465.6669595887115</v>
          </cell>
          <cell r="Z643">
            <v>2364.9898405548524</v>
          </cell>
          <cell r="AA643">
            <v>2262.1913285418932</v>
          </cell>
          <cell r="AB643">
            <v>2157.2562760734354</v>
          </cell>
          <cell r="AC643">
            <v>2050.1695356731543</v>
          </cell>
          <cell r="AD643">
            <v>1970.240754749665</v>
          </cell>
          <cell r="AE643">
            <v>1889.2216166291751</v>
          </cell>
          <cell r="AF643">
            <v>1807.1032031593165</v>
          </cell>
          <cell r="AG643">
            <v>1723.8765961877139</v>
          </cell>
          <cell r="AH643">
            <v>1639.532877561993</v>
          </cell>
        </row>
        <row r="644">
          <cell r="B644" t="str">
            <v>e-hydrogen (compressed) - Cost - Europe - USD/ton H2</v>
          </cell>
          <cell r="G644">
            <v>4089.3856734873298</v>
          </cell>
          <cell r="H644">
            <v>3916.9256406265708</v>
          </cell>
          <cell r="I644">
            <v>3741.2108175344811</v>
          </cell>
          <cell r="J644">
            <v>3613.0656692355524</v>
          </cell>
          <cell r="K644">
            <v>3479.7225571491235</v>
          </cell>
          <cell r="L644">
            <v>3341.2720208768683</v>
          </cell>
          <cell r="M644">
            <v>3197.8046000204672</v>
          </cell>
          <cell r="N644">
            <v>3049.4108341814967</v>
          </cell>
          <cell r="O644">
            <v>3010.8443238003165</v>
          </cell>
          <cell r="P644">
            <v>2964.4230601972345</v>
          </cell>
          <cell r="Q644">
            <v>2910.1833432907338</v>
          </cell>
          <cell r="R644">
            <v>2848.1614729993285</v>
          </cell>
          <cell r="S644">
            <v>2778.3937492416853</v>
          </cell>
          <cell r="T644">
            <v>2720.379449531456</v>
          </cell>
          <cell r="U644">
            <v>2657.0489971635134</v>
          </cell>
          <cell r="V644">
            <v>2588.4174169846506</v>
          </cell>
          <cell r="W644">
            <v>2514.4997338414096</v>
          </cell>
          <cell r="X644">
            <v>2435.3109725804993</v>
          </cell>
          <cell r="Y644">
            <v>2352.605312916116</v>
          </cell>
          <cell r="Z644">
            <v>2267.4139852839012</v>
          </cell>
          <cell r="AA644">
            <v>2179.7278485465313</v>
          </cell>
          <cell r="AB644">
            <v>2089.5377615665116</v>
          </cell>
          <cell r="AC644">
            <v>1996.8345832064804</v>
          </cell>
          <cell r="AD644">
            <v>1918.0980681700892</v>
          </cell>
          <cell r="AE644">
            <v>1838.2478365870952</v>
          </cell>
          <cell r="AF644">
            <v>1757.2753257634138</v>
          </cell>
          <cell r="AG644">
            <v>1675.1719730049533</v>
          </cell>
          <cell r="AH644">
            <v>1591.929215617622</v>
          </cell>
        </row>
        <row r="645">
          <cell r="B645" t="str">
            <v>e-hydrogen (compressed) - Cost - Middle East - USD/ton H2</v>
          </cell>
          <cell r="G645">
            <v>3476.3085322126099</v>
          </cell>
          <cell r="H645">
            <v>3328.8823974252828</v>
          </cell>
          <cell r="I645">
            <v>3178.2568052856477</v>
          </cell>
          <cell r="J645">
            <v>3083.6768117686811</v>
          </cell>
          <cell r="K645">
            <v>2983.9346800894909</v>
          </cell>
          <cell r="L645">
            <v>2879.0885753257426</v>
          </cell>
          <cell r="M645">
            <v>2769.1966625551941</v>
          </cell>
          <cell r="N645">
            <v>2654.3171068554188</v>
          </cell>
          <cell r="O645">
            <v>2614.9769692636173</v>
          </cell>
          <cell r="P645">
            <v>2567.9562197212276</v>
          </cell>
          <cell r="Q645">
            <v>2513.2944330229238</v>
          </cell>
          <cell r="R645">
            <v>2451.0311839633964</v>
          </cell>
          <cell r="S645">
            <v>2381.2060473374368</v>
          </cell>
          <cell r="T645">
            <v>2328.338914207246</v>
          </cell>
          <cell r="U645">
            <v>2270.2169074323938</v>
          </cell>
          <cell r="V645">
            <v>2206.8537828488898</v>
          </cell>
          <cell r="W645">
            <v>2138.2632962925059</v>
          </cell>
          <cell r="X645">
            <v>2064.4592035991823</v>
          </cell>
          <cell r="Y645">
            <v>1983.8077079076854</v>
          </cell>
          <cell r="Z645">
            <v>1900.6863060803155</v>
          </cell>
          <cell r="AA645">
            <v>1815.084739222842</v>
          </cell>
          <cell r="AB645">
            <v>1726.9927484409238</v>
          </cell>
          <cell r="AC645">
            <v>1636.4000748402937</v>
          </cell>
          <cell r="AD645">
            <v>1565.7141614700843</v>
          </cell>
          <cell r="AE645">
            <v>1493.7568132779884</v>
          </cell>
          <cell r="AF645">
            <v>1420.5218658950355</v>
          </cell>
          <cell r="AG645">
            <v>1346.0031549522671</v>
          </cell>
          <cell r="AH645">
            <v>1270.1945160807259</v>
          </cell>
        </row>
        <row r="646">
          <cell r="B646" t="str">
            <v>Carbon dioxide (PS) - Cost - Africa - USD/ton CO2</v>
          </cell>
          <cell r="G646">
            <v>168.75874645206471</v>
          </cell>
          <cell r="H646">
            <v>160.13998331054682</v>
          </cell>
          <cell r="I646">
            <v>151.52122016902811</v>
          </cell>
          <cell r="J646">
            <v>145.12777444160082</v>
          </cell>
          <cell r="K646">
            <v>138.73432871417356</v>
          </cell>
          <cell r="L646">
            <v>132.34088298674627</v>
          </cell>
          <cell r="M646">
            <v>125.94743725931876</v>
          </cell>
          <cell r="N646">
            <v>119.55399153189148</v>
          </cell>
          <cell r="O646">
            <v>116.92970902762548</v>
          </cell>
          <cell r="P646">
            <v>114.30542652335946</v>
          </cell>
          <cell r="Q646">
            <v>111.68114401909322</v>
          </cell>
          <cell r="R646">
            <v>109.0568615148272</v>
          </cell>
          <cell r="S646">
            <v>106.43257901056124</v>
          </cell>
          <cell r="T646">
            <v>104.06242970845638</v>
          </cell>
          <cell r="U646">
            <v>101.69228040635156</v>
          </cell>
          <cell r="V646">
            <v>99.322131104246679</v>
          </cell>
          <cell r="W646">
            <v>96.951981802141802</v>
          </cell>
          <cell r="X646">
            <v>94.581832500037024</v>
          </cell>
          <cell r="Y646">
            <v>92.20529440887249</v>
          </cell>
          <cell r="Z646">
            <v>89.828756317707942</v>
          </cell>
          <cell r="AA646">
            <v>87.452218226543295</v>
          </cell>
          <cell r="AB646">
            <v>85.075680135378761</v>
          </cell>
          <cell r="AC646">
            <v>82.699142044214156</v>
          </cell>
          <cell r="AD646">
            <v>80.440921259156212</v>
          </cell>
          <cell r="AE646">
            <v>78.182700474098326</v>
          </cell>
          <cell r="AF646">
            <v>75.924479689040368</v>
          </cell>
          <cell r="AG646">
            <v>73.666258903982438</v>
          </cell>
          <cell r="AH646">
            <v>71.408038118924537</v>
          </cell>
        </row>
        <row r="647">
          <cell r="B647" t="str">
            <v>Carbon dioxide (PS) - Cost - Americas - USD/ton CO2</v>
          </cell>
          <cell r="G647">
            <v>158.99256637622852</v>
          </cell>
          <cell r="H647">
            <v>153.11734986838769</v>
          </cell>
          <cell r="I647">
            <v>147.24213336054677</v>
          </cell>
          <cell r="J647">
            <v>141.13088321272323</v>
          </cell>
          <cell r="K647">
            <v>135.01963306489972</v>
          </cell>
          <cell r="L647">
            <v>128.90838291707621</v>
          </cell>
          <cell r="M647">
            <v>122.79713276925288</v>
          </cell>
          <cell r="N647">
            <v>116.68588262142937</v>
          </cell>
          <cell r="O647">
            <v>114.26360850860023</v>
          </cell>
          <cell r="P647">
            <v>111.84133439577106</v>
          </cell>
          <cell r="Q647">
            <v>109.41906028294189</v>
          </cell>
          <cell r="R647">
            <v>106.99678617011273</v>
          </cell>
          <cell r="S647">
            <v>104.57451205728351</v>
          </cell>
          <cell r="T647">
            <v>102.20490465393972</v>
          </cell>
          <cell r="U647">
            <v>99.835297250595929</v>
          </cell>
          <cell r="V647">
            <v>97.465689847252079</v>
          </cell>
          <cell r="W647">
            <v>95.096082443908287</v>
          </cell>
          <cell r="X647">
            <v>92.726475040564452</v>
          </cell>
          <cell r="Y647">
            <v>90.491485476362513</v>
          </cell>
          <cell r="Z647">
            <v>88.256495912160574</v>
          </cell>
          <cell r="AA647">
            <v>86.021506347958649</v>
          </cell>
          <cell r="AB647">
            <v>83.786516783756724</v>
          </cell>
          <cell r="AC647">
            <v>81.551527219554785</v>
          </cell>
          <cell r="AD647">
            <v>79.338841105190284</v>
          </cell>
          <cell r="AE647">
            <v>77.12615499082581</v>
          </cell>
          <cell r="AF647">
            <v>74.913468876461323</v>
          </cell>
          <cell r="AG647">
            <v>72.700782762096864</v>
          </cell>
          <cell r="AH647">
            <v>70.488096647732377</v>
          </cell>
        </row>
        <row r="648">
          <cell r="B648" t="str">
            <v>Carbon dioxide (PS) - Cost - Asia - USD/ton CO2</v>
          </cell>
          <cell r="G648">
            <v>171.70705445374747</v>
          </cell>
          <cell r="H648">
            <v>163.6057085715762</v>
          </cell>
          <cell r="I648">
            <v>155.50436268940615</v>
          </cell>
          <cell r="J648">
            <v>149.04990457873393</v>
          </cell>
          <cell r="K648">
            <v>142.59544646806216</v>
          </cell>
          <cell r="L648">
            <v>136.14098835738997</v>
          </cell>
          <cell r="M648">
            <v>129.68653024671778</v>
          </cell>
          <cell r="N648">
            <v>123.23207213604601</v>
          </cell>
          <cell r="O648">
            <v>120.46182696317361</v>
          </cell>
          <cell r="P648">
            <v>117.69158179030138</v>
          </cell>
          <cell r="Q648">
            <v>114.92133661742938</v>
          </cell>
          <cell r="R648">
            <v>112.15109144455717</v>
          </cell>
          <cell r="S648">
            <v>109.38084627168496</v>
          </cell>
          <cell r="T648">
            <v>106.91836612397657</v>
          </cell>
          <cell r="U648">
            <v>104.45588597626819</v>
          </cell>
          <cell r="V648">
            <v>101.99340582855991</v>
          </cell>
          <cell r="W648">
            <v>99.530925680851524</v>
          </cell>
          <cell r="X648">
            <v>97.068445533143333</v>
          </cell>
          <cell r="Y648">
            <v>94.591091199010563</v>
          </cell>
          <cell r="Z648">
            <v>92.113736864877893</v>
          </cell>
          <cell r="AA648">
            <v>89.636382530745109</v>
          </cell>
          <cell r="AB648">
            <v>87.159028196612454</v>
          </cell>
          <cell r="AC648">
            <v>84.68167386247967</v>
          </cell>
          <cell r="AD648">
            <v>82.384711747826273</v>
          </cell>
          <cell r="AE648">
            <v>80.087749633172848</v>
          </cell>
          <cell r="AF648">
            <v>77.790787518519437</v>
          </cell>
          <cell r="AG648">
            <v>75.493825403866055</v>
          </cell>
          <cell r="AH648">
            <v>73.196863289212615</v>
          </cell>
        </row>
        <row r="649">
          <cell r="B649" t="str">
            <v>Carbon dioxide (PS) - Cost - Europe - USD/ton CO2</v>
          </cell>
          <cell r="G649">
            <v>164.2388107443241</v>
          </cell>
          <cell r="H649">
            <v>157.76782547693222</v>
          </cell>
          <cell r="I649">
            <v>151.29684020954031</v>
          </cell>
          <cell r="J649">
            <v>145.00587844730933</v>
          </cell>
          <cell r="K649">
            <v>138.71491668507818</v>
          </cell>
          <cell r="L649">
            <v>132.42395492284723</v>
          </cell>
          <cell r="M649">
            <v>126.13299316061605</v>
          </cell>
          <cell r="N649">
            <v>119.8420313983851</v>
          </cell>
          <cell r="O649">
            <v>117.3830702762656</v>
          </cell>
          <cell r="P649">
            <v>114.92410915414638</v>
          </cell>
          <cell r="Q649">
            <v>112.46514803202705</v>
          </cell>
          <cell r="R649">
            <v>110.00618690990774</v>
          </cell>
          <cell r="S649">
            <v>107.54722578778853</v>
          </cell>
          <cell r="T649">
            <v>105.21511083102753</v>
          </cell>
          <cell r="U649">
            <v>102.88299587426658</v>
          </cell>
          <cell r="V649">
            <v>100.55088091750564</v>
          </cell>
          <cell r="W649">
            <v>98.21876596074469</v>
          </cell>
          <cell r="X649">
            <v>95.88665100398363</v>
          </cell>
          <cell r="Y649">
            <v>93.541413598988882</v>
          </cell>
          <cell r="Z649">
            <v>91.196176193994077</v>
          </cell>
          <cell r="AA649">
            <v>88.850938788999315</v>
          </cell>
          <cell r="AB649">
            <v>86.505701384004524</v>
          </cell>
          <cell r="AC649">
            <v>84.160463979009762</v>
          </cell>
          <cell r="AD649">
            <v>81.869591960752686</v>
          </cell>
          <cell r="AE649">
            <v>79.578719942495553</v>
          </cell>
          <cell r="AF649">
            <v>77.287847924238463</v>
          </cell>
          <cell r="AG649">
            <v>74.996975905981387</v>
          </cell>
          <cell r="AH649">
            <v>72.706103887724254</v>
          </cell>
        </row>
        <row r="650">
          <cell r="B650" t="str">
            <v>Carbon dioxide (PS) - Cost - Middle East - USD/ton CO2</v>
          </cell>
          <cell r="G650">
            <v>159.14247583625712</v>
          </cell>
          <cell r="H650">
            <v>152.87401630519537</v>
          </cell>
          <cell r="I650">
            <v>146.60555677413339</v>
          </cell>
          <cell r="J650">
            <v>140.58550254056769</v>
          </cell>
          <cell r="K650">
            <v>134.56544830700201</v>
          </cell>
          <cell r="L650">
            <v>128.54539407343631</v>
          </cell>
          <cell r="M650">
            <v>122.52533983987063</v>
          </cell>
          <cell r="N650">
            <v>116.50528560630494</v>
          </cell>
          <cell r="O650">
            <v>114.01792461724683</v>
          </cell>
          <cell r="P650">
            <v>111.5305636281888</v>
          </cell>
          <cell r="Q650">
            <v>109.04320263913067</v>
          </cell>
          <cell r="R650">
            <v>106.55584165007265</v>
          </cell>
          <cell r="S650">
            <v>104.06848066101463</v>
          </cell>
          <cell r="T650">
            <v>101.7522399697978</v>
          </cell>
          <cell r="U650">
            <v>99.435999278580965</v>
          </cell>
          <cell r="V650">
            <v>97.119758587364188</v>
          </cell>
          <cell r="W650">
            <v>94.803517896147369</v>
          </cell>
          <cell r="X650">
            <v>92.487277204930521</v>
          </cell>
          <cell r="Y650">
            <v>90.117453340918203</v>
          </cell>
          <cell r="Z650">
            <v>87.747629476905928</v>
          </cell>
          <cell r="AA650">
            <v>85.377805612893596</v>
          </cell>
          <cell r="AB650">
            <v>83.007981748881349</v>
          </cell>
          <cell r="AC650">
            <v>80.638157884868988</v>
          </cell>
          <cell r="AD650">
            <v>78.388376570930973</v>
          </cell>
          <cell r="AE650">
            <v>76.138595256992971</v>
          </cell>
          <cell r="AF650">
            <v>73.888813943054942</v>
          </cell>
          <cell r="AG650">
            <v>71.639032629116926</v>
          </cell>
          <cell r="AH650">
            <v>69.389251315178939</v>
          </cell>
        </row>
        <row r="651">
          <cell r="B651" t="str">
            <v>e-methane - Conversion H2 -&gt; CH4 - Global - ton H2/ton CH4</v>
          </cell>
          <cell r="G651">
            <v>0.5</v>
          </cell>
          <cell r="H651">
            <v>0.5</v>
          </cell>
          <cell r="I651">
            <v>0.5</v>
          </cell>
          <cell r="J651">
            <v>0.5</v>
          </cell>
          <cell r="K651">
            <v>0.5</v>
          </cell>
          <cell r="L651">
            <v>0.5</v>
          </cell>
          <cell r="M651">
            <v>0.5</v>
          </cell>
          <cell r="N651">
            <v>0.5</v>
          </cell>
          <cell r="O651">
            <v>0.5</v>
          </cell>
          <cell r="P651">
            <v>0.5</v>
          </cell>
          <cell r="Q651">
            <v>0.5</v>
          </cell>
          <cell r="R651">
            <v>0.5</v>
          </cell>
          <cell r="S651">
            <v>0.5</v>
          </cell>
          <cell r="T651">
            <v>0.5</v>
          </cell>
          <cell r="U651">
            <v>0.5</v>
          </cell>
          <cell r="V651">
            <v>0.5</v>
          </cell>
          <cell r="W651">
            <v>0.5</v>
          </cell>
          <cell r="X651">
            <v>0.5</v>
          </cell>
          <cell r="Y651">
            <v>0.5</v>
          </cell>
          <cell r="Z651">
            <v>0.5</v>
          </cell>
          <cell r="AA651">
            <v>0.5</v>
          </cell>
          <cell r="AB651">
            <v>0.5</v>
          </cell>
          <cell r="AC651">
            <v>0.5</v>
          </cell>
          <cell r="AD651">
            <v>0.5</v>
          </cell>
          <cell r="AE651">
            <v>0.5</v>
          </cell>
          <cell r="AF651">
            <v>0.5</v>
          </cell>
          <cell r="AG651">
            <v>0.5</v>
          </cell>
          <cell r="AH651">
            <v>0.5</v>
          </cell>
        </row>
        <row r="652">
          <cell r="B652" t="str">
            <v>e-methane - Conversion CO2 -&gt; CH4 - Global - ton CO2/ton CH4</v>
          </cell>
          <cell r="G652">
            <v>2.75</v>
          </cell>
          <cell r="H652">
            <v>2.75</v>
          </cell>
          <cell r="I652">
            <v>2.75</v>
          </cell>
          <cell r="J652">
            <v>2.75</v>
          </cell>
          <cell r="K652">
            <v>2.75</v>
          </cell>
          <cell r="L652">
            <v>2.75</v>
          </cell>
          <cell r="M652">
            <v>2.75</v>
          </cell>
          <cell r="N652">
            <v>2.75</v>
          </cell>
          <cell r="O652">
            <v>2.75</v>
          </cell>
          <cell r="P652">
            <v>2.75</v>
          </cell>
          <cell r="Q652">
            <v>2.75</v>
          </cell>
          <cell r="R652">
            <v>2.75</v>
          </cell>
          <cell r="S652">
            <v>2.75</v>
          </cell>
          <cell r="T652">
            <v>2.75</v>
          </cell>
          <cell r="U652">
            <v>2.75</v>
          </cell>
          <cell r="V652">
            <v>2.75</v>
          </cell>
          <cell r="W652">
            <v>2.75</v>
          </cell>
          <cell r="X652">
            <v>2.75</v>
          </cell>
          <cell r="Y652">
            <v>2.75</v>
          </cell>
          <cell r="Z652">
            <v>2.75</v>
          </cell>
          <cell r="AA652">
            <v>2.75</v>
          </cell>
          <cell r="AB652">
            <v>2.75</v>
          </cell>
          <cell r="AC652">
            <v>2.75</v>
          </cell>
          <cell r="AD652">
            <v>2.75</v>
          </cell>
          <cell r="AE652">
            <v>2.75</v>
          </cell>
          <cell r="AF652">
            <v>2.75</v>
          </cell>
          <cell r="AG652">
            <v>2.75</v>
          </cell>
          <cell r="AH652">
            <v>2.75</v>
          </cell>
        </row>
        <row r="654">
          <cell r="B654" t="str">
            <v>e-methane liquefied (DAC) - Item - Region - Unit</v>
          </cell>
          <cell r="G654">
            <v>2023</v>
          </cell>
          <cell r="H654">
            <v>2024</v>
          </cell>
          <cell r="I654">
            <v>2025</v>
          </cell>
          <cell r="J654">
            <v>2026</v>
          </cell>
          <cell r="K654">
            <v>2027</v>
          </cell>
          <cell r="L654">
            <v>2028</v>
          </cell>
          <cell r="M654">
            <v>2029</v>
          </cell>
          <cell r="N654">
            <v>2030</v>
          </cell>
          <cell r="O654">
            <v>2031</v>
          </cell>
          <cell r="P654">
            <v>2032</v>
          </cell>
          <cell r="Q654">
            <v>2033</v>
          </cell>
          <cell r="R654">
            <v>2034</v>
          </cell>
          <cell r="S654">
            <v>2035</v>
          </cell>
          <cell r="T654">
            <v>2036</v>
          </cell>
          <cell r="U654">
            <v>2037</v>
          </cell>
          <cell r="V654">
            <v>2038</v>
          </cell>
          <cell r="W654">
            <v>2039</v>
          </cell>
          <cell r="X654">
            <v>2040</v>
          </cell>
          <cell r="Y654">
            <v>2041</v>
          </cell>
          <cell r="Z654">
            <v>2042</v>
          </cell>
          <cell r="AA654">
            <v>2043</v>
          </cell>
          <cell r="AB654">
            <v>2044</v>
          </cell>
          <cell r="AC654">
            <v>2045</v>
          </cell>
          <cell r="AD654">
            <v>2046</v>
          </cell>
          <cell r="AE654">
            <v>2047</v>
          </cell>
          <cell r="AF654">
            <v>2048</v>
          </cell>
          <cell r="AG654">
            <v>2049</v>
          </cell>
          <cell r="AH654">
            <v>2050</v>
          </cell>
        </row>
        <row r="655">
          <cell r="B655" t="str">
            <v>e-methane liquefied (DAC) - Total cost - Africa - USD/ton fuel</v>
          </cell>
          <cell r="G655">
            <v>3650.8741524642387</v>
          </cell>
          <cell r="H655">
            <v>3339.686188441297</v>
          </cell>
          <cell r="I655">
            <v>3028.799642992205</v>
          </cell>
          <cell r="J655">
            <v>2916.1747405207357</v>
          </cell>
          <cell r="K655">
            <v>2801.4876814461095</v>
          </cell>
          <cell r="L655">
            <v>2684.7898591892636</v>
          </cell>
          <cell r="M655">
            <v>2566.1326671711709</v>
          </cell>
          <cell r="N655">
            <v>2445.567498812743</v>
          </cell>
          <cell r="O655">
            <v>2391.086527964685</v>
          </cell>
          <cell r="P655">
            <v>2333.1176921609208</v>
          </cell>
          <cell r="Q655">
            <v>2271.6886732196699</v>
          </cell>
          <cell r="R655">
            <v>2206.8271529591898</v>
          </cell>
          <cell r="S655">
            <v>2138.5608131977638</v>
          </cell>
          <cell r="T655">
            <v>2089.5492056595058</v>
          </cell>
          <cell r="U655">
            <v>2038.0979049107718</v>
          </cell>
          <cell r="V655">
            <v>1984.2159436340794</v>
          </cell>
          <cell r="W655">
            <v>1927.9123545118343</v>
          </cell>
          <cell r="X655">
            <v>1869.1961702265314</v>
          </cell>
          <cell r="Y655">
            <v>1808.1915289923504</v>
          </cell>
          <cell r="Z655">
            <v>1746.1219797185495</v>
          </cell>
          <cell r="AA655">
            <v>1682.9822403359251</v>
          </cell>
          <cell r="AB655">
            <v>1618.767028775223</v>
          </cell>
          <cell r="AC655">
            <v>1553.4710629672159</v>
          </cell>
          <cell r="AD655">
            <v>1501.0983357074729</v>
          </cell>
          <cell r="AE655">
            <v>1448.2054614902686</v>
          </cell>
          <cell r="AF655">
            <v>1394.7891118394489</v>
          </cell>
          <cell r="AG655">
            <v>1340.8459582788762</v>
          </cell>
          <cell r="AH655">
            <v>1286.3726723324162</v>
          </cell>
        </row>
        <row r="656">
          <cell r="B656" t="str">
            <v>e-methane liquefied (DAC) - Total cost - Americas - USD/ton fuel</v>
          </cell>
          <cell r="G656">
            <v>2869.9840130119169</v>
          </cell>
          <cell r="H656">
            <v>2780.320262987565</v>
          </cell>
          <cell r="I656">
            <v>2689.3254228526844</v>
          </cell>
          <cell r="J656">
            <v>2600.4557482845994</v>
          </cell>
          <cell r="K656">
            <v>2509.4047726940821</v>
          </cell>
          <cell r="L656">
            <v>2416.2070277566636</v>
          </cell>
          <cell r="M656">
            <v>2320.8970451479386</v>
          </cell>
          <cell r="N656">
            <v>2223.5093565433531</v>
          </cell>
          <cell r="O656">
            <v>2186.2493031623799</v>
          </cell>
          <cell r="P656">
            <v>2145.3091923564207</v>
          </cell>
          <cell r="Q656">
            <v>2100.7050588387056</v>
          </cell>
          <cell r="R656">
            <v>2052.4529373224509</v>
          </cell>
          <cell r="S656">
            <v>2000.5688625209339</v>
          </cell>
          <cell r="T656">
            <v>1952.8534994373099</v>
          </cell>
          <cell r="U656">
            <v>1902.7224519480098</v>
          </cell>
          <cell r="V656">
            <v>1850.1847310754838</v>
          </cell>
          <cell r="W656">
            <v>1795.2493478420756</v>
          </cell>
          <cell r="X656">
            <v>1737.9253132701988</v>
          </cell>
          <cell r="Y656">
            <v>1688.4328444433979</v>
          </cell>
          <cell r="Z656">
            <v>1637.6162241605964</v>
          </cell>
          <cell r="AA656">
            <v>1585.4733879131079</v>
          </cell>
          <cell r="AB656">
            <v>1532.0022711921749</v>
          </cell>
          <cell r="AC656">
            <v>1477.200809489093</v>
          </cell>
          <cell r="AD656">
            <v>1428.6505900225784</v>
          </cell>
          <cell r="AE656">
            <v>1379.5041457150483</v>
          </cell>
          <cell r="AF656">
            <v>1329.759476942545</v>
          </cell>
          <cell r="AG656">
            <v>1279.4145840811191</v>
          </cell>
          <cell r="AH656">
            <v>1228.4674675068211</v>
          </cell>
        </row>
        <row r="657">
          <cell r="B657" t="str">
            <v>e-methane liquefied (DAC) - Total cost - Asia - USD/ton fuel</v>
          </cell>
          <cell r="G657">
            <v>3886.6167487203606</v>
          </cell>
          <cell r="H657">
            <v>3615.7377058629495</v>
          </cell>
          <cell r="I657">
            <v>3344.7956162755308</v>
          </cell>
          <cell r="J657">
            <v>3225.9882689370161</v>
          </cell>
          <cell r="K657">
            <v>3105.0836179827552</v>
          </cell>
          <cell r="L657">
            <v>2982.1367024444853</v>
          </cell>
          <cell r="M657">
            <v>2857.2025613541068</v>
          </cell>
          <cell r="N657">
            <v>2730.336233743396</v>
          </cell>
          <cell r="O657">
            <v>2662.4601053782803</v>
          </cell>
          <cell r="P657">
            <v>2591.2041223188185</v>
          </cell>
          <cell r="Q657">
            <v>2516.6043820857617</v>
          </cell>
          <cell r="R657">
            <v>2438.6969821998227</v>
          </cell>
          <cell r="S657">
            <v>2357.5180201818353</v>
          </cell>
          <cell r="T657">
            <v>2299.7182390709045</v>
          </cell>
          <cell r="U657">
            <v>2239.5668060573958</v>
          </cell>
          <cell r="V657">
            <v>2177.0764443517019</v>
          </cell>
          <cell r="W657">
            <v>2112.2598771640573</v>
          </cell>
          <cell r="X657">
            <v>2045.1298277048284</v>
          </cell>
          <cell r="Y657">
            <v>1974.9078296067919</v>
          </cell>
          <cell r="Z657">
            <v>1903.8143949387775</v>
          </cell>
          <cell r="AA657">
            <v>1831.8419499626395</v>
          </cell>
          <cell r="AB657">
            <v>1758.9829209401832</v>
          </cell>
          <cell r="AC657">
            <v>1685.2297341332433</v>
          </cell>
          <cell r="AD657">
            <v>1628.8778247774112</v>
          </cell>
          <cell r="AE657">
            <v>1572.0802836508005</v>
          </cell>
          <cell r="AF657">
            <v>1514.8326516772261</v>
          </cell>
          <cell r="AG657">
            <v>1457.1304697805006</v>
          </cell>
          <cell r="AH657">
            <v>1398.9692788844382</v>
          </cell>
        </row>
        <row r="658">
          <cell r="B658" t="str">
            <v>e-methane liquefied (DAC) - Total cost - Europe - USD/ton fuel</v>
          </cell>
          <cell r="G658">
            <v>3289.4663965427526</v>
          </cell>
          <cell r="H658">
            <v>3150.7393677292366</v>
          </cell>
          <cell r="I658">
            <v>3010.9988328728391</v>
          </cell>
          <cell r="J658">
            <v>2906.5460370430742</v>
          </cell>
          <cell r="K658">
            <v>2799.9613324640441</v>
          </cell>
          <cell r="L658">
            <v>2691.2899889365967</v>
          </cell>
          <cell r="M658">
            <v>2580.577276261567</v>
          </cell>
          <cell r="N658">
            <v>2467.8684642397461</v>
          </cell>
          <cell r="O658">
            <v>2425.9183954586761</v>
          </cell>
          <cell r="P658">
            <v>2380.2725267721212</v>
          </cell>
          <cell r="Q658">
            <v>2330.9490081393128</v>
          </cell>
          <cell r="R658">
            <v>2277.9659895195127</v>
          </cell>
          <cell r="S658">
            <v>2221.3416208720519</v>
          </cell>
          <cell r="T658">
            <v>2174.3752809340913</v>
          </cell>
          <cell r="U658">
            <v>2124.9019479733879</v>
          </cell>
          <cell r="V658">
            <v>2072.9291344133371</v>
          </cell>
          <cell r="W658">
            <v>2018.4643526772072</v>
          </cell>
          <cell r="X658">
            <v>1961.5151151883515</v>
          </cell>
          <cell r="Y658">
            <v>1901.5577576153992</v>
          </cell>
          <cell r="Z658">
            <v>1840.491160751086</v>
          </cell>
          <cell r="AA658">
            <v>1778.310754026752</v>
          </cell>
          <cell r="AB658">
            <v>1715.0119668736484</v>
          </cell>
          <cell r="AC658">
            <v>1650.590228723097</v>
          </cell>
          <cell r="AD658">
            <v>1595.0152538955488</v>
          </cell>
          <cell r="AE658">
            <v>1538.9808950566958</v>
          </cell>
          <cell r="AF658">
            <v>1482.4828708594941</v>
          </cell>
          <cell r="AG658">
            <v>1425.5168999568989</v>
          </cell>
          <cell r="AH658">
            <v>1368.0787010018651</v>
          </cell>
        </row>
        <row r="659">
          <cell r="B659" t="str">
            <v>e-methane liquefied (DAC) - Total cost - Middle East - USD/ton fuel</v>
          </cell>
          <cell r="G659">
            <v>2881.9705643797956</v>
          </cell>
          <cell r="H659">
            <v>2760.9382882782047</v>
          </cell>
          <cell r="I659">
            <v>2638.8236803305549</v>
          </cell>
          <cell r="J659">
            <v>2557.3755075830345</v>
          </cell>
          <cell r="K659">
            <v>2473.6926665829028</v>
          </cell>
          <cell r="L659">
            <v>2387.804239868995</v>
          </cell>
          <cell r="M659">
            <v>2299.7393099801925</v>
          </cell>
          <cell r="N659">
            <v>2209.5269594552778</v>
          </cell>
          <cell r="O659">
            <v>2167.3733432635163</v>
          </cell>
          <cell r="P659">
            <v>2121.6228248747643</v>
          </cell>
          <cell r="Q659">
            <v>2072.2951916863535</v>
          </cell>
          <cell r="R659">
            <v>2019.4102310956357</v>
          </cell>
          <cell r="S659">
            <v>1962.9877305000005</v>
          </cell>
          <cell r="T659">
            <v>1919.5417987255641</v>
          </cell>
          <cell r="U659">
            <v>1873.6133328582132</v>
          </cell>
          <cell r="V659">
            <v>1825.2092108159536</v>
          </cell>
          <cell r="W659">
            <v>1774.3363105166661</v>
          </cell>
          <cell r="X659">
            <v>1721.0015098783222</v>
          </cell>
          <cell r="Y659">
            <v>1662.2959772173394</v>
          </cell>
          <cell r="Z659">
            <v>1602.498035824508</v>
          </cell>
          <cell r="AA659">
            <v>1541.6025562527109</v>
          </cell>
          <cell r="AB659">
            <v>1479.6044090547803</v>
          </cell>
          <cell r="AC659">
            <v>1416.4984647835809</v>
          </cell>
          <cell r="AD659">
            <v>1366.1696419601933</v>
          </cell>
          <cell r="AE659">
            <v>1315.2885921065131</v>
          </cell>
          <cell r="AF659">
            <v>1263.8522330380511</v>
          </cell>
          <cell r="AG659">
            <v>1211.8574825703301</v>
          </cell>
          <cell r="AH659">
            <v>1159.3012585188735</v>
          </cell>
        </row>
        <row r="660">
          <cell r="B660" t="str">
            <v/>
          </cell>
        </row>
        <row r="661">
          <cell r="B661" t="str">
            <v>e-methane liquefied (DAC) - CAPEX - Global - USD/ton fuel</v>
          </cell>
          <cell r="G661">
            <v>75.715087666188268</v>
          </cell>
          <cell r="H661">
            <v>75.35754383309407</v>
          </cell>
          <cell r="I661">
            <v>75</v>
          </cell>
          <cell r="J661">
            <v>74.650780257917603</v>
          </cell>
          <cell r="K661">
            <v>74.301560515835206</v>
          </cell>
          <cell r="L661">
            <v>73.952340773752809</v>
          </cell>
          <cell r="M661">
            <v>73.603121031670398</v>
          </cell>
          <cell r="N661">
            <v>73.253901289588001</v>
          </cell>
          <cell r="O661">
            <v>72.912811842723016</v>
          </cell>
          <cell r="P661">
            <v>72.571722395857918</v>
          </cell>
          <cell r="Q661">
            <v>72.230632948992934</v>
          </cell>
          <cell r="R661">
            <v>71.889543502127836</v>
          </cell>
          <cell r="S661">
            <v>71.548454055262724</v>
          </cell>
          <cell r="T661">
            <v>71.215305619641853</v>
          </cell>
          <cell r="U661">
            <v>70.882157184020855</v>
          </cell>
          <cell r="V661">
            <v>70.549008748399871</v>
          </cell>
          <cell r="W661">
            <v>70.215860312778872</v>
          </cell>
          <cell r="X661">
            <v>69.882711877158002</v>
          </cell>
          <cell r="Y661">
            <v>69.557319575587826</v>
          </cell>
          <cell r="Z661">
            <v>69.231927274017778</v>
          </cell>
          <cell r="AA661">
            <v>68.906534972447602</v>
          </cell>
          <cell r="AB661">
            <v>68.581142670877426</v>
          </cell>
          <cell r="AC661">
            <v>68.25575036930725</v>
          </cell>
          <cell r="AD661">
            <v>67.937933628779135</v>
          </cell>
          <cell r="AE661">
            <v>67.620116888251019</v>
          </cell>
          <cell r="AF661">
            <v>67.302300147722903</v>
          </cell>
          <cell r="AG661">
            <v>66.984483407194787</v>
          </cell>
          <cell r="AH661">
            <v>66.666666666666671</v>
          </cell>
        </row>
        <row r="662">
          <cell r="B662" t="str">
            <v>e-methane (liquefied) - Plant lifetime - Global - Years</v>
          </cell>
          <cell r="G662">
            <v>30</v>
          </cell>
          <cell r="H662">
            <v>30</v>
          </cell>
          <cell r="I662">
            <v>30</v>
          </cell>
          <cell r="J662">
            <v>30</v>
          </cell>
          <cell r="K662">
            <v>30</v>
          </cell>
          <cell r="L662">
            <v>30</v>
          </cell>
          <cell r="M662">
            <v>30</v>
          </cell>
          <cell r="N662">
            <v>30</v>
          </cell>
          <cell r="O662">
            <v>30</v>
          </cell>
          <cell r="P662">
            <v>30</v>
          </cell>
          <cell r="Q662">
            <v>30</v>
          </cell>
          <cell r="R662">
            <v>30</v>
          </cell>
          <cell r="S662">
            <v>30</v>
          </cell>
          <cell r="T662">
            <v>30</v>
          </cell>
          <cell r="U662">
            <v>30</v>
          </cell>
          <cell r="V662">
            <v>30</v>
          </cell>
          <cell r="W662">
            <v>30</v>
          </cell>
          <cell r="X662">
            <v>30</v>
          </cell>
          <cell r="Y662">
            <v>30</v>
          </cell>
          <cell r="Z662">
            <v>30</v>
          </cell>
          <cell r="AA662">
            <v>30</v>
          </cell>
          <cell r="AB662">
            <v>30</v>
          </cell>
          <cell r="AC662">
            <v>30</v>
          </cell>
          <cell r="AD662">
            <v>30</v>
          </cell>
          <cell r="AE662">
            <v>30</v>
          </cell>
          <cell r="AF662">
            <v>30</v>
          </cell>
          <cell r="AG662">
            <v>30</v>
          </cell>
          <cell r="AH662">
            <v>30</v>
          </cell>
        </row>
        <row r="663">
          <cell r="B663" t="str">
            <v>e-methane (liquefied) - Total CAPEX - Liquefaction - Global - USD/ton fuel</v>
          </cell>
          <cell r="G663">
            <v>2271.4526299856479</v>
          </cell>
          <cell r="H663">
            <v>2260.7263149928222</v>
          </cell>
          <cell r="I663">
            <v>2250</v>
          </cell>
          <cell r="J663">
            <v>2239.523407737528</v>
          </cell>
          <cell r="K663">
            <v>2229.0468154750561</v>
          </cell>
          <cell r="L663">
            <v>2218.5702232125841</v>
          </cell>
          <cell r="M663">
            <v>2208.0936309501121</v>
          </cell>
          <cell r="N663">
            <v>2197.6170386876402</v>
          </cell>
          <cell r="O663">
            <v>2187.3843552816907</v>
          </cell>
          <cell r="P663">
            <v>2177.1516718757375</v>
          </cell>
          <cell r="Q663">
            <v>2166.918988469788</v>
          </cell>
          <cell r="R663">
            <v>2156.6863050638349</v>
          </cell>
          <cell r="S663">
            <v>2146.4536216578817</v>
          </cell>
          <cell r="T663">
            <v>2136.4591685892556</v>
          </cell>
          <cell r="U663">
            <v>2126.4647155206258</v>
          </cell>
          <cell r="V663">
            <v>2116.4702624519959</v>
          </cell>
          <cell r="W663">
            <v>2106.4758093833661</v>
          </cell>
          <cell r="X663">
            <v>2096.48135631474</v>
          </cell>
          <cell r="Y663">
            <v>2086.7195872676348</v>
          </cell>
          <cell r="Z663">
            <v>2076.9578182205332</v>
          </cell>
          <cell r="AA663">
            <v>2067.196049173428</v>
          </cell>
          <cell r="AB663">
            <v>2057.4342801263228</v>
          </cell>
          <cell r="AC663">
            <v>2047.6725110792177</v>
          </cell>
          <cell r="AD663">
            <v>2038.1380088633741</v>
          </cell>
          <cell r="AE663">
            <v>2028.6035066475306</v>
          </cell>
          <cell r="AF663">
            <v>2019.0690044316871</v>
          </cell>
          <cell r="AG663">
            <v>2009.5345022158435</v>
          </cell>
          <cell r="AH663">
            <v>2000</v>
          </cell>
        </row>
        <row r="664">
          <cell r="B664" t="str">
            <v/>
          </cell>
        </row>
        <row r="665">
          <cell r="B665" t="str">
            <v>e-methane liquefied (DAC) - OPEX - Global - USD/ton fuel</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row>
        <row r="666">
          <cell r="B666" t="str">
            <v>e-methane (liquefied) - OPEX - Liquefaction - Global - USD/ton fuel/year</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row>
        <row r="667">
          <cell r="B667" t="str">
            <v/>
          </cell>
        </row>
        <row r="668">
          <cell r="B668" t="str">
            <v>e-methane liquefied (DAC) - Finance cost - Africa - USD/ton fuel</v>
          </cell>
          <cell r="G668">
            <v>124.92989464921065</v>
          </cell>
          <cell r="H668">
            <v>124.33994732460523</v>
          </cell>
          <cell r="I668">
            <v>123.75000000000001</v>
          </cell>
          <cell r="J668">
            <v>123.17378742556406</v>
          </cell>
          <cell r="K668">
            <v>122.5975748511281</v>
          </cell>
          <cell r="L668">
            <v>122.02136227669214</v>
          </cell>
          <cell r="M668">
            <v>121.44514970225619</v>
          </cell>
          <cell r="N668">
            <v>120.86893712782023</v>
          </cell>
          <cell r="O668">
            <v>120.30613954049301</v>
          </cell>
          <cell r="P668">
            <v>119.74334195316558</v>
          </cell>
          <cell r="Q668">
            <v>119.18054436583836</v>
          </cell>
          <cell r="R668">
            <v>118.61774677851093</v>
          </cell>
          <cell r="S668">
            <v>118.05494919118351</v>
          </cell>
          <cell r="T668">
            <v>117.50525427240908</v>
          </cell>
          <cell r="U668">
            <v>116.95555935363443</v>
          </cell>
          <cell r="V668">
            <v>116.40586443485979</v>
          </cell>
          <cell r="W668">
            <v>115.85616951608516</v>
          </cell>
          <cell r="X668">
            <v>115.30647459731071</v>
          </cell>
          <cell r="Y668">
            <v>114.76957729971993</v>
          </cell>
          <cell r="Z668">
            <v>114.23268000212934</v>
          </cell>
          <cell r="AA668">
            <v>113.69578270453856</v>
          </cell>
          <cell r="AB668">
            <v>113.15888540694777</v>
          </cell>
          <cell r="AC668">
            <v>112.62198810935699</v>
          </cell>
          <cell r="AD668">
            <v>112.09759048748559</v>
          </cell>
          <cell r="AE668">
            <v>111.5731928656142</v>
          </cell>
          <cell r="AF668">
            <v>111.0487952437428</v>
          </cell>
          <cell r="AG668">
            <v>110.52439762187142</v>
          </cell>
          <cell r="AH668">
            <v>110.00000000000001</v>
          </cell>
        </row>
        <row r="669">
          <cell r="B669" t="str">
            <v>e-methane liquefied (DAC) - Finance cost - Americas - USD/ton fuel</v>
          </cell>
          <cell r="G669">
            <v>124.92989464921065</v>
          </cell>
          <cell r="H669">
            <v>124.33994732460523</v>
          </cell>
          <cell r="I669">
            <v>123.75000000000001</v>
          </cell>
          <cell r="J669">
            <v>123.17378742556406</v>
          </cell>
          <cell r="K669">
            <v>122.5975748511281</v>
          </cell>
          <cell r="L669">
            <v>122.02136227669214</v>
          </cell>
          <cell r="M669">
            <v>121.44514970225619</v>
          </cell>
          <cell r="N669">
            <v>120.86893712782023</v>
          </cell>
          <cell r="O669">
            <v>120.30613954049301</v>
          </cell>
          <cell r="P669">
            <v>119.74334195316558</v>
          </cell>
          <cell r="Q669">
            <v>119.18054436583836</v>
          </cell>
          <cell r="R669">
            <v>118.61774677851093</v>
          </cell>
          <cell r="S669">
            <v>118.05494919118351</v>
          </cell>
          <cell r="T669">
            <v>117.50525427240908</v>
          </cell>
          <cell r="U669">
            <v>116.95555935363443</v>
          </cell>
          <cell r="V669">
            <v>116.40586443485979</v>
          </cell>
          <cell r="W669">
            <v>115.85616951608516</v>
          </cell>
          <cell r="X669">
            <v>115.30647459731071</v>
          </cell>
          <cell r="Y669">
            <v>114.76957729971993</v>
          </cell>
          <cell r="Z669">
            <v>114.23268000212934</v>
          </cell>
          <cell r="AA669">
            <v>113.69578270453856</v>
          </cell>
          <cell r="AB669">
            <v>113.15888540694777</v>
          </cell>
          <cell r="AC669">
            <v>112.62198810935699</v>
          </cell>
          <cell r="AD669">
            <v>112.09759048748559</v>
          </cell>
          <cell r="AE669">
            <v>111.5731928656142</v>
          </cell>
          <cell r="AF669">
            <v>111.0487952437428</v>
          </cell>
          <cell r="AG669">
            <v>110.52439762187142</v>
          </cell>
          <cell r="AH669">
            <v>110.00000000000001</v>
          </cell>
        </row>
        <row r="670">
          <cell r="B670" t="str">
            <v>e-methane liquefied (DAC) - Finance cost - Asia - USD/ton fuel</v>
          </cell>
          <cell r="G670">
            <v>124.92989464921065</v>
          </cell>
          <cell r="H670">
            <v>124.33994732460523</v>
          </cell>
          <cell r="I670">
            <v>123.75000000000001</v>
          </cell>
          <cell r="J670">
            <v>123.17378742556406</v>
          </cell>
          <cell r="K670">
            <v>122.5975748511281</v>
          </cell>
          <cell r="L670">
            <v>122.02136227669214</v>
          </cell>
          <cell r="M670">
            <v>121.44514970225619</v>
          </cell>
          <cell r="N670">
            <v>120.86893712782023</v>
          </cell>
          <cell r="O670">
            <v>120.30613954049301</v>
          </cell>
          <cell r="P670">
            <v>119.74334195316558</v>
          </cell>
          <cell r="Q670">
            <v>119.18054436583836</v>
          </cell>
          <cell r="R670">
            <v>118.61774677851093</v>
          </cell>
          <cell r="S670">
            <v>118.05494919118351</v>
          </cell>
          <cell r="T670">
            <v>117.50525427240908</v>
          </cell>
          <cell r="U670">
            <v>116.95555935363443</v>
          </cell>
          <cell r="V670">
            <v>116.40586443485979</v>
          </cell>
          <cell r="W670">
            <v>115.85616951608516</v>
          </cell>
          <cell r="X670">
            <v>115.30647459731071</v>
          </cell>
          <cell r="Y670">
            <v>114.76957729971993</v>
          </cell>
          <cell r="Z670">
            <v>114.23268000212934</v>
          </cell>
          <cell r="AA670">
            <v>113.69578270453856</v>
          </cell>
          <cell r="AB670">
            <v>113.15888540694777</v>
          </cell>
          <cell r="AC670">
            <v>112.62198810935699</v>
          </cell>
          <cell r="AD670">
            <v>112.09759048748559</v>
          </cell>
          <cell r="AE670">
            <v>111.5731928656142</v>
          </cell>
          <cell r="AF670">
            <v>111.0487952437428</v>
          </cell>
          <cell r="AG670">
            <v>110.52439762187142</v>
          </cell>
          <cell r="AH670">
            <v>110.00000000000001</v>
          </cell>
        </row>
        <row r="671">
          <cell r="B671" t="str">
            <v>e-methane liquefied (DAC) - Finance cost - Europe - USD/ton fuel</v>
          </cell>
          <cell r="G671">
            <v>124.92989464921065</v>
          </cell>
          <cell r="H671">
            <v>124.33994732460523</v>
          </cell>
          <cell r="I671">
            <v>123.75000000000001</v>
          </cell>
          <cell r="J671">
            <v>123.17378742556406</v>
          </cell>
          <cell r="K671">
            <v>122.5975748511281</v>
          </cell>
          <cell r="L671">
            <v>122.02136227669214</v>
          </cell>
          <cell r="M671">
            <v>121.44514970225619</v>
          </cell>
          <cell r="N671">
            <v>120.86893712782023</v>
          </cell>
          <cell r="O671">
            <v>120.30613954049301</v>
          </cell>
          <cell r="P671">
            <v>119.74334195316558</v>
          </cell>
          <cell r="Q671">
            <v>119.18054436583836</v>
          </cell>
          <cell r="R671">
            <v>118.61774677851093</v>
          </cell>
          <cell r="S671">
            <v>118.05494919118351</v>
          </cell>
          <cell r="T671">
            <v>117.50525427240908</v>
          </cell>
          <cell r="U671">
            <v>116.95555935363443</v>
          </cell>
          <cell r="V671">
            <v>116.40586443485979</v>
          </cell>
          <cell r="W671">
            <v>115.85616951608516</v>
          </cell>
          <cell r="X671">
            <v>115.30647459731071</v>
          </cell>
          <cell r="Y671">
            <v>114.76957729971993</v>
          </cell>
          <cell r="Z671">
            <v>114.23268000212934</v>
          </cell>
          <cell r="AA671">
            <v>113.69578270453856</v>
          </cell>
          <cell r="AB671">
            <v>113.15888540694777</v>
          </cell>
          <cell r="AC671">
            <v>112.62198810935699</v>
          </cell>
          <cell r="AD671">
            <v>112.09759048748559</v>
          </cell>
          <cell r="AE671">
            <v>111.5731928656142</v>
          </cell>
          <cell r="AF671">
            <v>111.0487952437428</v>
          </cell>
          <cell r="AG671">
            <v>110.52439762187142</v>
          </cell>
          <cell r="AH671">
            <v>110.00000000000001</v>
          </cell>
        </row>
        <row r="672">
          <cell r="B672" t="str">
            <v>e-methane liquefied (DAC) - Finance cost - Middle East - USD/ton fuel</v>
          </cell>
          <cell r="G672">
            <v>124.92989464921065</v>
          </cell>
          <cell r="H672">
            <v>124.33994732460523</v>
          </cell>
          <cell r="I672">
            <v>123.75000000000001</v>
          </cell>
          <cell r="J672">
            <v>123.17378742556406</v>
          </cell>
          <cell r="K672">
            <v>122.5975748511281</v>
          </cell>
          <cell r="L672">
            <v>122.02136227669214</v>
          </cell>
          <cell r="M672">
            <v>121.44514970225619</v>
          </cell>
          <cell r="N672">
            <v>120.86893712782023</v>
          </cell>
          <cell r="O672">
            <v>120.30613954049301</v>
          </cell>
          <cell r="P672">
            <v>119.74334195316558</v>
          </cell>
          <cell r="Q672">
            <v>119.18054436583836</v>
          </cell>
          <cell r="R672">
            <v>118.61774677851093</v>
          </cell>
          <cell r="S672">
            <v>118.05494919118351</v>
          </cell>
          <cell r="T672">
            <v>117.50525427240908</v>
          </cell>
          <cell r="U672">
            <v>116.95555935363443</v>
          </cell>
          <cell r="V672">
            <v>116.40586443485979</v>
          </cell>
          <cell r="W672">
            <v>115.85616951608516</v>
          </cell>
          <cell r="X672">
            <v>115.30647459731071</v>
          </cell>
          <cell r="Y672">
            <v>114.76957729971993</v>
          </cell>
          <cell r="Z672">
            <v>114.23268000212934</v>
          </cell>
          <cell r="AA672">
            <v>113.69578270453856</v>
          </cell>
          <cell r="AB672">
            <v>113.15888540694777</v>
          </cell>
          <cell r="AC672">
            <v>112.62198810935699</v>
          </cell>
          <cell r="AD672">
            <v>112.09759048748559</v>
          </cell>
          <cell r="AE672">
            <v>111.5731928656142</v>
          </cell>
          <cell r="AF672">
            <v>111.0487952437428</v>
          </cell>
          <cell r="AG672">
            <v>110.52439762187142</v>
          </cell>
          <cell r="AH672">
            <v>110.00000000000001</v>
          </cell>
        </row>
        <row r="673">
          <cell r="B673" t="str">
            <v>General - Weighted average cost of capital (WACC) - Africa - %</v>
          </cell>
          <cell r="G673">
            <v>5.5000000000000007E-2</v>
          </cell>
          <cell r="H673">
            <v>5.5000000000000007E-2</v>
          </cell>
          <cell r="I673">
            <v>5.5000000000000007E-2</v>
          </cell>
          <cell r="J673">
            <v>5.5000000000000007E-2</v>
          </cell>
          <cell r="K673">
            <v>5.5000000000000007E-2</v>
          </cell>
          <cell r="L673">
            <v>5.5000000000000007E-2</v>
          </cell>
          <cell r="M673">
            <v>5.5000000000000007E-2</v>
          </cell>
          <cell r="N673">
            <v>5.5000000000000007E-2</v>
          </cell>
          <cell r="O673">
            <v>5.5000000000000007E-2</v>
          </cell>
          <cell r="P673">
            <v>5.5000000000000007E-2</v>
          </cell>
          <cell r="Q673">
            <v>5.5000000000000007E-2</v>
          </cell>
          <cell r="R673">
            <v>5.5000000000000007E-2</v>
          </cell>
          <cell r="S673">
            <v>5.5000000000000007E-2</v>
          </cell>
          <cell r="T673">
            <v>5.5000000000000007E-2</v>
          </cell>
          <cell r="U673">
            <v>5.5000000000000007E-2</v>
          </cell>
          <cell r="V673">
            <v>5.5000000000000007E-2</v>
          </cell>
          <cell r="W673">
            <v>5.5000000000000007E-2</v>
          </cell>
          <cell r="X673">
            <v>5.5000000000000007E-2</v>
          </cell>
          <cell r="Y673">
            <v>5.5000000000000007E-2</v>
          </cell>
          <cell r="Z673">
            <v>5.5000000000000007E-2</v>
          </cell>
          <cell r="AA673">
            <v>5.5000000000000007E-2</v>
          </cell>
          <cell r="AB673">
            <v>5.5000000000000007E-2</v>
          </cell>
          <cell r="AC673">
            <v>5.5000000000000007E-2</v>
          </cell>
          <cell r="AD673">
            <v>5.5000000000000007E-2</v>
          </cell>
          <cell r="AE673">
            <v>5.5000000000000007E-2</v>
          </cell>
          <cell r="AF673">
            <v>5.5000000000000007E-2</v>
          </cell>
          <cell r="AG673">
            <v>5.5000000000000007E-2</v>
          </cell>
          <cell r="AH673">
            <v>5.5000000000000007E-2</v>
          </cell>
        </row>
        <row r="674">
          <cell r="B674" t="str">
            <v>General - Weighted average cost of capital (WACC) - Americas - %</v>
          </cell>
          <cell r="G674">
            <v>5.5000000000000007E-2</v>
          </cell>
          <cell r="H674">
            <v>5.5000000000000007E-2</v>
          </cell>
          <cell r="I674">
            <v>5.5000000000000007E-2</v>
          </cell>
          <cell r="J674">
            <v>5.5000000000000007E-2</v>
          </cell>
          <cell r="K674">
            <v>5.5000000000000007E-2</v>
          </cell>
          <cell r="L674">
            <v>5.5000000000000007E-2</v>
          </cell>
          <cell r="M674">
            <v>5.5000000000000007E-2</v>
          </cell>
          <cell r="N674">
            <v>5.5000000000000007E-2</v>
          </cell>
          <cell r="O674">
            <v>5.5000000000000007E-2</v>
          </cell>
          <cell r="P674">
            <v>5.5000000000000007E-2</v>
          </cell>
          <cell r="Q674">
            <v>5.5000000000000007E-2</v>
          </cell>
          <cell r="R674">
            <v>5.5000000000000007E-2</v>
          </cell>
          <cell r="S674">
            <v>5.5000000000000007E-2</v>
          </cell>
          <cell r="T674">
            <v>5.5000000000000007E-2</v>
          </cell>
          <cell r="U674">
            <v>5.5000000000000007E-2</v>
          </cell>
          <cell r="V674">
            <v>5.5000000000000007E-2</v>
          </cell>
          <cell r="W674">
            <v>5.5000000000000007E-2</v>
          </cell>
          <cell r="X674">
            <v>5.5000000000000007E-2</v>
          </cell>
          <cell r="Y674">
            <v>5.5000000000000007E-2</v>
          </cell>
          <cell r="Z674">
            <v>5.5000000000000007E-2</v>
          </cell>
          <cell r="AA674">
            <v>5.5000000000000007E-2</v>
          </cell>
          <cell r="AB674">
            <v>5.5000000000000007E-2</v>
          </cell>
          <cell r="AC674">
            <v>5.5000000000000007E-2</v>
          </cell>
          <cell r="AD674">
            <v>5.5000000000000007E-2</v>
          </cell>
          <cell r="AE674">
            <v>5.5000000000000007E-2</v>
          </cell>
          <cell r="AF674">
            <v>5.5000000000000007E-2</v>
          </cell>
          <cell r="AG674">
            <v>5.5000000000000007E-2</v>
          </cell>
          <cell r="AH674">
            <v>5.5000000000000007E-2</v>
          </cell>
        </row>
        <row r="675">
          <cell r="B675" t="str">
            <v>General - Weighted average cost of capital (WACC) - Asia - %</v>
          </cell>
          <cell r="G675">
            <v>5.5000000000000007E-2</v>
          </cell>
          <cell r="H675">
            <v>5.5000000000000007E-2</v>
          </cell>
          <cell r="I675">
            <v>5.5000000000000007E-2</v>
          </cell>
          <cell r="J675">
            <v>5.5000000000000007E-2</v>
          </cell>
          <cell r="K675">
            <v>5.5000000000000007E-2</v>
          </cell>
          <cell r="L675">
            <v>5.5000000000000007E-2</v>
          </cell>
          <cell r="M675">
            <v>5.5000000000000007E-2</v>
          </cell>
          <cell r="N675">
            <v>5.5000000000000007E-2</v>
          </cell>
          <cell r="O675">
            <v>5.5000000000000007E-2</v>
          </cell>
          <cell r="P675">
            <v>5.5000000000000007E-2</v>
          </cell>
          <cell r="Q675">
            <v>5.5000000000000007E-2</v>
          </cell>
          <cell r="R675">
            <v>5.5000000000000007E-2</v>
          </cell>
          <cell r="S675">
            <v>5.5000000000000007E-2</v>
          </cell>
          <cell r="T675">
            <v>5.5000000000000007E-2</v>
          </cell>
          <cell r="U675">
            <v>5.5000000000000007E-2</v>
          </cell>
          <cell r="V675">
            <v>5.5000000000000007E-2</v>
          </cell>
          <cell r="W675">
            <v>5.5000000000000007E-2</v>
          </cell>
          <cell r="X675">
            <v>5.5000000000000007E-2</v>
          </cell>
          <cell r="Y675">
            <v>5.5000000000000007E-2</v>
          </cell>
          <cell r="Z675">
            <v>5.5000000000000007E-2</v>
          </cell>
          <cell r="AA675">
            <v>5.5000000000000007E-2</v>
          </cell>
          <cell r="AB675">
            <v>5.5000000000000007E-2</v>
          </cell>
          <cell r="AC675">
            <v>5.5000000000000007E-2</v>
          </cell>
          <cell r="AD675">
            <v>5.5000000000000007E-2</v>
          </cell>
          <cell r="AE675">
            <v>5.5000000000000007E-2</v>
          </cell>
          <cell r="AF675">
            <v>5.5000000000000007E-2</v>
          </cell>
          <cell r="AG675">
            <v>5.5000000000000007E-2</v>
          </cell>
          <cell r="AH675">
            <v>5.5000000000000007E-2</v>
          </cell>
        </row>
        <row r="676">
          <cell r="B676" t="str">
            <v>General - Weighted average cost of capital (WACC) - Europe - %</v>
          </cell>
          <cell r="G676">
            <v>5.5000000000000007E-2</v>
          </cell>
          <cell r="H676">
            <v>5.5000000000000007E-2</v>
          </cell>
          <cell r="I676">
            <v>5.5000000000000007E-2</v>
          </cell>
          <cell r="J676">
            <v>5.5000000000000007E-2</v>
          </cell>
          <cell r="K676">
            <v>5.5000000000000007E-2</v>
          </cell>
          <cell r="L676">
            <v>5.5000000000000007E-2</v>
          </cell>
          <cell r="M676">
            <v>5.5000000000000007E-2</v>
          </cell>
          <cell r="N676">
            <v>5.5000000000000007E-2</v>
          </cell>
          <cell r="O676">
            <v>5.5000000000000007E-2</v>
          </cell>
          <cell r="P676">
            <v>5.5000000000000007E-2</v>
          </cell>
          <cell r="Q676">
            <v>5.5000000000000007E-2</v>
          </cell>
          <cell r="R676">
            <v>5.5000000000000007E-2</v>
          </cell>
          <cell r="S676">
            <v>5.5000000000000007E-2</v>
          </cell>
          <cell r="T676">
            <v>5.5000000000000007E-2</v>
          </cell>
          <cell r="U676">
            <v>5.5000000000000007E-2</v>
          </cell>
          <cell r="V676">
            <v>5.5000000000000007E-2</v>
          </cell>
          <cell r="W676">
            <v>5.5000000000000007E-2</v>
          </cell>
          <cell r="X676">
            <v>5.5000000000000007E-2</v>
          </cell>
          <cell r="Y676">
            <v>5.5000000000000007E-2</v>
          </cell>
          <cell r="Z676">
            <v>5.5000000000000007E-2</v>
          </cell>
          <cell r="AA676">
            <v>5.5000000000000007E-2</v>
          </cell>
          <cell r="AB676">
            <v>5.5000000000000007E-2</v>
          </cell>
          <cell r="AC676">
            <v>5.5000000000000007E-2</v>
          </cell>
          <cell r="AD676">
            <v>5.5000000000000007E-2</v>
          </cell>
          <cell r="AE676">
            <v>5.5000000000000007E-2</v>
          </cell>
          <cell r="AF676">
            <v>5.5000000000000007E-2</v>
          </cell>
          <cell r="AG676">
            <v>5.5000000000000007E-2</v>
          </cell>
          <cell r="AH676">
            <v>5.5000000000000007E-2</v>
          </cell>
        </row>
        <row r="677">
          <cell r="B677" t="str">
            <v>General - Weighted average cost of capital (WACC) - Middle East - %</v>
          </cell>
          <cell r="G677">
            <v>5.5000000000000007E-2</v>
          </cell>
          <cell r="H677">
            <v>5.5000000000000007E-2</v>
          </cell>
          <cell r="I677">
            <v>5.5000000000000007E-2</v>
          </cell>
          <cell r="J677">
            <v>5.5000000000000007E-2</v>
          </cell>
          <cell r="K677">
            <v>5.5000000000000007E-2</v>
          </cell>
          <cell r="L677">
            <v>5.5000000000000007E-2</v>
          </cell>
          <cell r="M677">
            <v>5.5000000000000007E-2</v>
          </cell>
          <cell r="N677">
            <v>5.5000000000000007E-2</v>
          </cell>
          <cell r="O677">
            <v>5.5000000000000007E-2</v>
          </cell>
          <cell r="P677">
            <v>5.5000000000000007E-2</v>
          </cell>
          <cell r="Q677">
            <v>5.5000000000000007E-2</v>
          </cell>
          <cell r="R677">
            <v>5.5000000000000007E-2</v>
          </cell>
          <cell r="S677">
            <v>5.5000000000000007E-2</v>
          </cell>
          <cell r="T677">
            <v>5.5000000000000007E-2</v>
          </cell>
          <cell r="U677">
            <v>5.5000000000000007E-2</v>
          </cell>
          <cell r="V677">
            <v>5.5000000000000007E-2</v>
          </cell>
          <cell r="W677">
            <v>5.5000000000000007E-2</v>
          </cell>
          <cell r="X677">
            <v>5.5000000000000007E-2</v>
          </cell>
          <cell r="Y677">
            <v>5.5000000000000007E-2</v>
          </cell>
          <cell r="Z677">
            <v>5.5000000000000007E-2</v>
          </cell>
          <cell r="AA677">
            <v>5.5000000000000007E-2</v>
          </cell>
          <cell r="AB677">
            <v>5.5000000000000007E-2</v>
          </cell>
          <cell r="AC677">
            <v>5.5000000000000007E-2</v>
          </cell>
          <cell r="AD677">
            <v>5.5000000000000007E-2</v>
          </cell>
          <cell r="AE677">
            <v>5.5000000000000007E-2</v>
          </cell>
          <cell r="AF677">
            <v>5.5000000000000007E-2</v>
          </cell>
          <cell r="AG677">
            <v>5.5000000000000007E-2</v>
          </cell>
          <cell r="AH677">
            <v>5.5000000000000007E-2</v>
          </cell>
        </row>
        <row r="678">
          <cell r="B678" t="str">
            <v>e-methane (liquefied) - Total CAPEX - Liquefaction - Global - USD/ton fuel</v>
          </cell>
          <cell r="G678">
            <v>2271.4526299856479</v>
          </cell>
          <cell r="H678">
            <v>2260.7263149928222</v>
          </cell>
          <cell r="I678">
            <v>2250</v>
          </cell>
          <cell r="J678">
            <v>2239.523407737528</v>
          </cell>
          <cell r="K678">
            <v>2229.0468154750561</v>
          </cell>
          <cell r="L678">
            <v>2218.5702232125841</v>
          </cell>
          <cell r="M678">
            <v>2208.0936309501121</v>
          </cell>
          <cell r="N678">
            <v>2197.6170386876402</v>
          </cell>
          <cell r="O678">
            <v>2187.3843552816907</v>
          </cell>
          <cell r="P678">
            <v>2177.1516718757375</v>
          </cell>
          <cell r="Q678">
            <v>2166.918988469788</v>
          </cell>
          <cell r="R678">
            <v>2156.6863050638349</v>
          </cell>
          <cell r="S678">
            <v>2146.4536216578817</v>
          </cell>
          <cell r="T678">
            <v>2136.4591685892556</v>
          </cell>
          <cell r="U678">
            <v>2126.4647155206258</v>
          </cell>
          <cell r="V678">
            <v>2116.4702624519959</v>
          </cell>
          <cell r="W678">
            <v>2106.4758093833661</v>
          </cell>
          <cell r="X678">
            <v>2096.48135631474</v>
          </cell>
          <cell r="Y678">
            <v>2086.7195872676348</v>
          </cell>
          <cell r="Z678">
            <v>2076.9578182205332</v>
          </cell>
          <cell r="AA678">
            <v>2067.196049173428</v>
          </cell>
          <cell r="AB678">
            <v>2057.4342801263228</v>
          </cell>
          <cell r="AC678">
            <v>2047.6725110792177</v>
          </cell>
          <cell r="AD678">
            <v>2038.1380088633741</v>
          </cell>
          <cell r="AE678">
            <v>2028.6035066475306</v>
          </cell>
          <cell r="AF678">
            <v>2019.0690044316871</v>
          </cell>
          <cell r="AG678">
            <v>2009.5345022158435</v>
          </cell>
          <cell r="AH678">
            <v>2000</v>
          </cell>
        </row>
        <row r="679">
          <cell r="B679" t="str">
            <v/>
          </cell>
        </row>
        <row r="680">
          <cell r="B680" t="str">
            <v>e-methane liquefied (DAC) - Energy cost - Africa - USD/ton fuel</v>
          </cell>
          <cell r="G680">
            <v>35.033884158308503</v>
          </cell>
          <cell r="H680">
            <v>30.919977747395748</v>
          </cell>
          <cell r="I680">
            <v>26.80607133648191</v>
          </cell>
          <cell r="J680">
            <v>25.65925481102331</v>
          </cell>
          <cell r="K680">
            <v>24.512438285564713</v>
          </cell>
          <cell r="L680">
            <v>23.365621760106112</v>
          </cell>
          <cell r="M680">
            <v>22.218805234647242</v>
          </cell>
          <cell r="N680">
            <v>21.071988709188645</v>
          </cell>
          <cell r="O680">
            <v>20.431834259056178</v>
          </cell>
          <cell r="P680">
            <v>19.791679808923707</v>
          </cell>
          <cell r="Q680">
            <v>19.151525358790966</v>
          </cell>
          <cell r="R680">
            <v>18.511370908658499</v>
          </cell>
          <cell r="S680">
            <v>17.871216458526099</v>
          </cell>
          <cell r="T680">
            <v>17.569906277941822</v>
          </cell>
          <cell r="U680">
            <v>17.268596097357612</v>
          </cell>
          <cell r="V680">
            <v>16.967285916773335</v>
          </cell>
          <cell r="W680">
            <v>16.665975736189058</v>
          </cell>
          <cell r="X680">
            <v>16.364665555604915</v>
          </cell>
          <cell r="Y680">
            <v>16.054836989607747</v>
          </cell>
          <cell r="Z680">
            <v>15.745008423610578</v>
          </cell>
          <cell r="AA680">
            <v>15.435179857613274</v>
          </cell>
          <cell r="AB680">
            <v>15.125351291616106</v>
          </cell>
          <cell r="AC680">
            <v>14.81552272561887</v>
          </cell>
          <cell r="AD680">
            <v>14.663450567763833</v>
          </cell>
          <cell r="AE680">
            <v>14.511378409908865</v>
          </cell>
          <cell r="AF680">
            <v>14.359306252053829</v>
          </cell>
          <cell r="AG680">
            <v>14.207234094198792</v>
          </cell>
          <cell r="AH680">
            <v>14.055161936343824</v>
          </cell>
        </row>
        <row r="681">
          <cell r="B681" t="str">
            <v>e-methane liquefied (DAC) - Energy cost - Americas - USD/ton fuel</v>
          </cell>
          <cell r="G681">
            <v>22.012310723860217</v>
          </cell>
          <cell r="H681">
            <v>21.556466491183574</v>
          </cell>
          <cell r="I681">
            <v>21.100622258506792</v>
          </cell>
          <cell r="J681">
            <v>20.33006650585321</v>
          </cell>
          <cell r="K681">
            <v>19.559510753199628</v>
          </cell>
          <cell r="L681">
            <v>18.788955000546046</v>
          </cell>
          <cell r="M681">
            <v>18.018399247892738</v>
          </cell>
          <cell r="N681">
            <v>17.247843495239156</v>
          </cell>
          <cell r="O681">
            <v>16.877033567022497</v>
          </cell>
          <cell r="P681">
            <v>16.506223638805839</v>
          </cell>
          <cell r="Q681">
            <v>16.13541371058918</v>
          </cell>
          <cell r="R681">
            <v>15.764603782372523</v>
          </cell>
          <cell r="S681">
            <v>15.393793854155795</v>
          </cell>
          <cell r="T681">
            <v>15.093206205252955</v>
          </cell>
          <cell r="U681">
            <v>14.792618556350112</v>
          </cell>
          <cell r="V681">
            <v>14.492030907447202</v>
          </cell>
          <cell r="W681">
            <v>14.191443258544359</v>
          </cell>
          <cell r="X681">
            <v>13.890855609641482</v>
          </cell>
          <cell r="Y681">
            <v>13.769758412927786</v>
          </cell>
          <cell r="Z681">
            <v>13.648661216214089</v>
          </cell>
          <cell r="AA681">
            <v>13.527564019500426</v>
          </cell>
          <cell r="AB681">
            <v>13.406466822786728</v>
          </cell>
          <cell r="AC681">
            <v>13.285369626073031</v>
          </cell>
          <cell r="AD681">
            <v>13.194010362475922</v>
          </cell>
          <cell r="AE681">
            <v>13.102651098878846</v>
          </cell>
          <cell r="AF681">
            <v>13.011291835281769</v>
          </cell>
          <cell r="AG681">
            <v>12.919932571684694</v>
          </cell>
          <cell r="AH681">
            <v>12.828573308087618</v>
          </cell>
        </row>
        <row r="682">
          <cell r="B682" t="str">
            <v>e-methane liquefied (DAC) - Energy cost - Asia - USD/ton fuel</v>
          </cell>
          <cell r="G682">
            <v>38.96496149388549</v>
          </cell>
          <cell r="H682">
            <v>35.540944762101567</v>
          </cell>
          <cell r="I682">
            <v>32.116928030319286</v>
          </cell>
          <cell r="J682">
            <v>30.888761660534144</v>
          </cell>
          <cell r="K682">
            <v>29.660595290749551</v>
          </cell>
          <cell r="L682">
            <v>28.432428920964412</v>
          </cell>
          <cell r="M682">
            <v>27.204262551179273</v>
          </cell>
          <cell r="N682">
            <v>25.976096181394677</v>
          </cell>
          <cell r="O682">
            <v>25.141324839787011</v>
          </cell>
          <cell r="P682">
            <v>24.306553498179618</v>
          </cell>
          <cell r="Q682">
            <v>23.471782156572498</v>
          </cell>
          <cell r="R682">
            <v>22.637010814965105</v>
          </cell>
          <cell r="S682">
            <v>21.802239473357712</v>
          </cell>
          <cell r="T682">
            <v>21.37782149863542</v>
          </cell>
          <cell r="U682">
            <v>20.953403523913128</v>
          </cell>
          <cell r="V682">
            <v>20.528985549190974</v>
          </cell>
          <cell r="W682">
            <v>20.104567574468682</v>
          </cell>
          <cell r="X682">
            <v>19.680149599746663</v>
          </cell>
          <cell r="Y682">
            <v>19.235899376458519</v>
          </cell>
          <cell r="Z682">
            <v>18.791649153170511</v>
          </cell>
          <cell r="AA682">
            <v>18.347398929882363</v>
          </cell>
          <cell r="AB682">
            <v>17.903148706594354</v>
          </cell>
          <cell r="AC682">
            <v>17.458898483306211</v>
          </cell>
          <cell r="AD682">
            <v>17.255171219323916</v>
          </cell>
          <cell r="AE682">
            <v>17.051443955341551</v>
          </cell>
          <cell r="AF682">
            <v>16.847716691359256</v>
          </cell>
          <cell r="AG682">
            <v>16.643989427376958</v>
          </cell>
          <cell r="AH682">
            <v>16.440262163394596</v>
          </cell>
        </row>
        <row r="683">
          <cell r="B683" t="str">
            <v>e-methane liquefied (DAC) - Energy cost - Europe - USD/ton fuel</v>
          </cell>
          <cell r="G683">
            <v>29.007303214654346</v>
          </cell>
          <cell r="H683">
            <v>27.757100635909591</v>
          </cell>
          <cell r="I683">
            <v>26.506898057164836</v>
          </cell>
          <cell r="J683">
            <v>25.49672681863467</v>
          </cell>
          <cell r="K683">
            <v>24.486555580104231</v>
          </cell>
          <cell r="L683">
            <v>23.476384341574065</v>
          </cell>
          <cell r="M683">
            <v>22.466213103043629</v>
          </cell>
          <cell r="N683">
            <v>21.456041864513463</v>
          </cell>
          <cell r="O683">
            <v>21.036315923909658</v>
          </cell>
          <cell r="P683">
            <v>20.616589983306266</v>
          </cell>
          <cell r="Q683">
            <v>20.196864042702735</v>
          </cell>
          <cell r="R683">
            <v>19.777138102099205</v>
          </cell>
          <cell r="S683">
            <v>19.357412161495812</v>
          </cell>
          <cell r="T683">
            <v>19.106814441370034</v>
          </cell>
          <cell r="U683">
            <v>18.856216721244323</v>
          </cell>
          <cell r="V683">
            <v>18.605619001118612</v>
          </cell>
          <cell r="W683">
            <v>18.355021280992901</v>
          </cell>
          <cell r="X683">
            <v>18.104423560867051</v>
          </cell>
          <cell r="Y683">
            <v>17.836329243096269</v>
          </cell>
          <cell r="Z683">
            <v>17.568234925325417</v>
          </cell>
          <cell r="AA683">
            <v>17.300140607554635</v>
          </cell>
          <cell r="AB683">
            <v>17.032046289783782</v>
          </cell>
          <cell r="AC683">
            <v>16.763951972013</v>
          </cell>
          <cell r="AD683">
            <v>16.568344836559117</v>
          </cell>
          <cell r="AE683">
            <v>16.372737701105166</v>
          </cell>
          <cell r="AF683">
            <v>16.177130565651282</v>
          </cell>
          <cell r="AG683">
            <v>15.981523430197399</v>
          </cell>
          <cell r="AH683">
            <v>15.785916294743446</v>
          </cell>
        </row>
        <row r="684">
          <cell r="B684" t="str">
            <v>e-methane liquefied (DAC) - Energy cost - Middle East - USD/ton fuel</v>
          </cell>
          <cell r="G684">
            <v>22.212190003898375</v>
          </cell>
          <cell r="H684">
            <v>21.232021740260461</v>
          </cell>
          <cell r="I684">
            <v>20.251853476622273</v>
          </cell>
          <cell r="J684">
            <v>19.602892276312467</v>
          </cell>
          <cell r="K684">
            <v>18.953931076002664</v>
          </cell>
          <cell r="L684">
            <v>18.304969875692858</v>
          </cell>
          <cell r="M684">
            <v>17.656008675383053</v>
          </cell>
          <cell r="N684">
            <v>17.00704747507325</v>
          </cell>
          <cell r="O684">
            <v>16.549455045217972</v>
          </cell>
          <cell r="P684">
            <v>16.091862615362832</v>
          </cell>
          <cell r="Q684">
            <v>15.634270185507557</v>
          </cell>
          <cell r="R684">
            <v>15.176677755652417</v>
          </cell>
          <cell r="S684">
            <v>14.719085325797277</v>
          </cell>
          <cell r="T684">
            <v>14.489653293063725</v>
          </cell>
          <cell r="U684">
            <v>14.260221260330171</v>
          </cell>
          <cell r="V684">
            <v>14.030789227596687</v>
          </cell>
          <cell r="W684">
            <v>13.801357194863135</v>
          </cell>
          <cell r="X684">
            <v>13.571925162129583</v>
          </cell>
          <cell r="Y684">
            <v>13.271048899002039</v>
          </cell>
          <cell r="Z684">
            <v>12.970172635874563</v>
          </cell>
          <cell r="AA684">
            <v>12.669296372747022</v>
          </cell>
          <cell r="AB684">
            <v>12.368420109619546</v>
          </cell>
          <cell r="AC684">
            <v>12.067543846491969</v>
          </cell>
          <cell r="AD684">
            <v>11.926724316796832</v>
          </cell>
          <cell r="AE684">
            <v>11.78590478710173</v>
          </cell>
          <cell r="AF684">
            <v>11.645085257406594</v>
          </cell>
          <cell r="AG684">
            <v>11.504265727711458</v>
          </cell>
          <cell r="AH684">
            <v>11.363446198016357</v>
          </cell>
        </row>
        <row r="685">
          <cell r="B685" t="str">
            <v>Renewable electricity - Cost of electricity - Africa - USD/MWh</v>
          </cell>
          <cell r="G685">
            <v>58.389806930514169</v>
          </cell>
          <cell r="H685">
            <v>51.533296245659585</v>
          </cell>
          <cell r="I685">
            <v>44.676785560803182</v>
          </cell>
          <cell r="J685">
            <v>42.765424685038852</v>
          </cell>
          <cell r="K685">
            <v>40.854063809274521</v>
          </cell>
          <cell r="L685">
            <v>38.942702933510191</v>
          </cell>
          <cell r="M685">
            <v>37.031342057745405</v>
          </cell>
          <cell r="N685">
            <v>35.119981181981075</v>
          </cell>
          <cell r="O685">
            <v>34.053057098426962</v>
          </cell>
          <cell r="P685">
            <v>32.986133014872848</v>
          </cell>
          <cell r="Q685">
            <v>31.919208931318281</v>
          </cell>
          <cell r="R685">
            <v>30.852284847764167</v>
          </cell>
          <cell r="S685">
            <v>29.785360764210168</v>
          </cell>
          <cell r="T685">
            <v>29.283177129903038</v>
          </cell>
          <cell r="U685">
            <v>28.780993495596022</v>
          </cell>
          <cell r="V685">
            <v>28.278809861288892</v>
          </cell>
          <cell r="W685">
            <v>27.776626226981762</v>
          </cell>
          <cell r="X685">
            <v>27.274442592674859</v>
          </cell>
          <cell r="Y685">
            <v>26.758061649346246</v>
          </cell>
          <cell r="Z685">
            <v>26.241680706017632</v>
          </cell>
          <cell r="AA685">
            <v>25.725299762688792</v>
          </cell>
          <cell r="AB685">
            <v>25.208918819360179</v>
          </cell>
          <cell r="AC685">
            <v>24.692537876031452</v>
          </cell>
          <cell r="AD685">
            <v>24.439084279606391</v>
          </cell>
          <cell r="AE685">
            <v>24.185630683181444</v>
          </cell>
          <cell r="AF685">
            <v>23.932177086756383</v>
          </cell>
          <cell r="AG685">
            <v>23.678723490331322</v>
          </cell>
          <cell r="AH685">
            <v>23.425269893906375</v>
          </cell>
        </row>
        <row r="686">
          <cell r="B686" t="str">
            <v>Renewable electricity - Cost of electricity - Americas - USD/MWh</v>
          </cell>
          <cell r="G686">
            <v>36.687184539767031</v>
          </cell>
          <cell r="H686">
            <v>35.927444151972622</v>
          </cell>
          <cell r="I686">
            <v>35.167703764177986</v>
          </cell>
          <cell r="J686">
            <v>33.883444176422017</v>
          </cell>
          <cell r="K686">
            <v>32.599184588666049</v>
          </cell>
          <cell r="L686">
            <v>31.31492500091008</v>
          </cell>
          <cell r="M686">
            <v>30.030665413154566</v>
          </cell>
          <cell r="N686">
            <v>28.746405825398597</v>
          </cell>
          <cell r="O686">
            <v>28.128389278370832</v>
          </cell>
          <cell r="P686">
            <v>27.510372731343068</v>
          </cell>
          <cell r="Q686">
            <v>26.892356184315304</v>
          </cell>
          <cell r="R686">
            <v>26.27433963728754</v>
          </cell>
          <cell r="S686">
            <v>25.656323090259662</v>
          </cell>
          <cell r="T686">
            <v>25.155343675421591</v>
          </cell>
          <cell r="U686">
            <v>24.65436426058352</v>
          </cell>
          <cell r="V686">
            <v>24.153384845745336</v>
          </cell>
          <cell r="W686">
            <v>23.652405430907265</v>
          </cell>
          <cell r="X686">
            <v>23.151426016069138</v>
          </cell>
          <cell r="Y686">
            <v>22.949597354879643</v>
          </cell>
          <cell r="Z686">
            <v>22.747768693690148</v>
          </cell>
          <cell r="AA686">
            <v>22.54594003250071</v>
          </cell>
          <cell r="AB686">
            <v>22.344111371311214</v>
          </cell>
          <cell r="AC686">
            <v>22.142282710121719</v>
          </cell>
          <cell r="AD686">
            <v>21.990017270793203</v>
          </cell>
          <cell r="AE686">
            <v>21.837751831464743</v>
          </cell>
          <cell r="AF686">
            <v>21.685486392136283</v>
          </cell>
          <cell r="AG686">
            <v>21.533220952807824</v>
          </cell>
          <cell r="AH686">
            <v>21.380955513479364</v>
          </cell>
        </row>
        <row r="687">
          <cell r="B687" t="str">
            <v>Renewable electricity - Cost of electricity - Asia - USD/MWh</v>
          </cell>
          <cell r="G687">
            <v>64.941602489809156</v>
          </cell>
          <cell r="H687">
            <v>59.234907936835953</v>
          </cell>
          <cell r="I687">
            <v>53.528213383865477</v>
          </cell>
          <cell r="J687">
            <v>51.481269434223577</v>
          </cell>
          <cell r="K687">
            <v>49.434325484582587</v>
          </cell>
          <cell r="L687">
            <v>47.387381534940687</v>
          </cell>
          <cell r="M687">
            <v>45.340437585298787</v>
          </cell>
          <cell r="N687">
            <v>43.293493635657796</v>
          </cell>
          <cell r="O687">
            <v>41.902208066311687</v>
          </cell>
          <cell r="P687">
            <v>40.510922496966032</v>
          </cell>
          <cell r="Q687">
            <v>39.119636927620832</v>
          </cell>
          <cell r="R687">
            <v>37.728351358275177</v>
          </cell>
          <cell r="S687">
            <v>36.337065788929522</v>
          </cell>
          <cell r="T687">
            <v>35.629702497725702</v>
          </cell>
          <cell r="U687">
            <v>34.922339206521883</v>
          </cell>
          <cell r="V687">
            <v>34.214975915318291</v>
          </cell>
          <cell r="W687">
            <v>33.507612624114472</v>
          </cell>
          <cell r="X687">
            <v>32.800249332911108</v>
          </cell>
          <cell r="Y687">
            <v>32.059832294097532</v>
          </cell>
          <cell r="Z687">
            <v>31.319415255284184</v>
          </cell>
          <cell r="AA687">
            <v>30.578998216470609</v>
          </cell>
          <cell r="AB687">
            <v>29.838581177657261</v>
          </cell>
          <cell r="AC687">
            <v>29.098164138843686</v>
          </cell>
          <cell r="AD687">
            <v>28.758618698873192</v>
          </cell>
          <cell r="AE687">
            <v>28.419073258902586</v>
          </cell>
          <cell r="AF687">
            <v>28.079527818932092</v>
          </cell>
          <cell r="AG687">
            <v>27.739982378961599</v>
          </cell>
          <cell r="AH687">
            <v>27.400436938990993</v>
          </cell>
        </row>
        <row r="688">
          <cell r="B688" t="str">
            <v>Renewable electricity - Cost of electricity - Europe - USD/MWh</v>
          </cell>
          <cell r="G688">
            <v>48.345505357757247</v>
          </cell>
          <cell r="H688">
            <v>46.261834393182653</v>
          </cell>
          <cell r="I688">
            <v>44.178163428608059</v>
          </cell>
          <cell r="J688">
            <v>42.49454469772445</v>
          </cell>
          <cell r="K688">
            <v>40.810925966840387</v>
          </cell>
          <cell r="L688">
            <v>39.127307235956778</v>
          </cell>
          <cell r="M688">
            <v>37.443688505072714</v>
          </cell>
          <cell r="N688">
            <v>35.760069774189105</v>
          </cell>
          <cell r="O688">
            <v>35.060526539849434</v>
          </cell>
          <cell r="P688">
            <v>34.360983305510445</v>
          </cell>
          <cell r="Q688">
            <v>33.661440071171228</v>
          </cell>
          <cell r="R688">
            <v>32.961896836832011</v>
          </cell>
          <cell r="S688">
            <v>32.262353602493022</v>
          </cell>
          <cell r="T688">
            <v>31.844690735616723</v>
          </cell>
          <cell r="U688">
            <v>31.427027868740538</v>
          </cell>
          <cell r="V688">
            <v>31.009365001864353</v>
          </cell>
          <cell r="W688">
            <v>30.591702134988168</v>
          </cell>
          <cell r="X688">
            <v>30.174039268111756</v>
          </cell>
          <cell r="Y688">
            <v>29.72721540516045</v>
          </cell>
          <cell r="Z688">
            <v>29.280391542209031</v>
          </cell>
          <cell r="AA688">
            <v>28.833567679257726</v>
          </cell>
          <cell r="AB688">
            <v>28.386743816306307</v>
          </cell>
          <cell r="AC688">
            <v>27.939919953355002</v>
          </cell>
          <cell r="AD688">
            <v>27.613908060931863</v>
          </cell>
          <cell r="AE688">
            <v>27.28789616850861</v>
          </cell>
          <cell r="AF688">
            <v>26.96188427608547</v>
          </cell>
          <cell r="AG688">
            <v>26.635872383662331</v>
          </cell>
          <cell r="AH688">
            <v>26.309860491239078</v>
          </cell>
        </row>
        <row r="689">
          <cell r="B689" t="str">
            <v>Renewable electricity - Cost of electricity - Middle East - USD/MWh</v>
          </cell>
          <cell r="G689">
            <v>37.020316673163961</v>
          </cell>
          <cell r="H689">
            <v>35.386702900434102</v>
          </cell>
          <cell r="I689">
            <v>33.753089127703788</v>
          </cell>
          <cell r="J689">
            <v>32.671487127187447</v>
          </cell>
          <cell r="K689">
            <v>31.589885126671106</v>
          </cell>
          <cell r="L689">
            <v>30.508283126154765</v>
          </cell>
          <cell r="M689">
            <v>29.426681125638424</v>
          </cell>
          <cell r="N689">
            <v>28.345079125122083</v>
          </cell>
          <cell r="O689">
            <v>27.58242507536329</v>
          </cell>
          <cell r="P689">
            <v>26.819771025604723</v>
          </cell>
          <cell r="Q689">
            <v>26.057116975845929</v>
          </cell>
          <cell r="R689">
            <v>25.294462926087363</v>
          </cell>
          <cell r="S689">
            <v>24.531808876328796</v>
          </cell>
          <cell r="T689">
            <v>24.149422155106208</v>
          </cell>
          <cell r="U689">
            <v>23.76703543388362</v>
          </cell>
          <cell r="V689">
            <v>23.384648712661146</v>
          </cell>
          <cell r="W689">
            <v>23.002261991438559</v>
          </cell>
          <cell r="X689">
            <v>22.619875270215971</v>
          </cell>
          <cell r="Y689">
            <v>22.118414831670066</v>
          </cell>
          <cell r="Z689">
            <v>21.616954393124274</v>
          </cell>
          <cell r="AA689">
            <v>21.115493954578369</v>
          </cell>
          <cell r="AB689">
            <v>20.614033516032578</v>
          </cell>
          <cell r="AC689">
            <v>20.112573077486616</v>
          </cell>
          <cell r="AD689">
            <v>19.877873861328055</v>
          </cell>
          <cell r="AE689">
            <v>19.643174645169552</v>
          </cell>
          <cell r="AF689">
            <v>19.408475429010991</v>
          </cell>
          <cell r="AG689">
            <v>19.173776212852431</v>
          </cell>
          <cell r="AH689">
            <v>18.939076996693927</v>
          </cell>
        </row>
        <row r="690">
          <cell r="B690" t="str">
            <v>e-methane (liquefied) - Energy demand - Liquefaction - Global - MWh/ton fuel</v>
          </cell>
          <cell r="G690">
            <v>0.6</v>
          </cell>
          <cell r="H690">
            <v>0.6</v>
          </cell>
          <cell r="I690">
            <v>0.6</v>
          </cell>
          <cell r="J690">
            <v>0.6</v>
          </cell>
          <cell r="K690">
            <v>0.6</v>
          </cell>
          <cell r="L690">
            <v>0.6</v>
          </cell>
          <cell r="M690">
            <v>0.6</v>
          </cell>
          <cell r="N690">
            <v>0.6</v>
          </cell>
          <cell r="O690">
            <v>0.6</v>
          </cell>
          <cell r="P690">
            <v>0.6</v>
          </cell>
          <cell r="Q690">
            <v>0.6</v>
          </cell>
          <cell r="R690">
            <v>0.6</v>
          </cell>
          <cell r="S690">
            <v>0.6</v>
          </cell>
          <cell r="T690">
            <v>0.6</v>
          </cell>
          <cell r="U690">
            <v>0.6</v>
          </cell>
          <cell r="V690">
            <v>0.6</v>
          </cell>
          <cell r="W690">
            <v>0.6</v>
          </cell>
          <cell r="X690">
            <v>0.6</v>
          </cell>
          <cell r="Y690">
            <v>0.6</v>
          </cell>
          <cell r="Z690">
            <v>0.6</v>
          </cell>
          <cell r="AA690">
            <v>0.6</v>
          </cell>
          <cell r="AB690">
            <v>0.6</v>
          </cell>
          <cell r="AC690">
            <v>0.6</v>
          </cell>
          <cell r="AD690">
            <v>0.6</v>
          </cell>
          <cell r="AE690">
            <v>0.6</v>
          </cell>
          <cell r="AF690">
            <v>0.6</v>
          </cell>
          <cell r="AG690">
            <v>0.6</v>
          </cell>
          <cell r="AH690">
            <v>0.6</v>
          </cell>
        </row>
        <row r="691">
          <cell r="B691" t="str">
            <v/>
          </cell>
        </row>
        <row r="692">
          <cell r="B692" t="str">
            <v>e-methane liquefied (DAC) - Feedstock cost - Africa - USD/ton fuel</v>
          </cell>
          <cell r="G692">
            <v>3415.1952859905314</v>
          </cell>
          <cell r="H692">
            <v>3109.068719536202</v>
          </cell>
          <cell r="I692">
            <v>2803.2435716557229</v>
          </cell>
          <cell r="J692">
            <v>2692.6909180262305</v>
          </cell>
          <cell r="K692">
            <v>2580.0761077935813</v>
          </cell>
          <cell r="L692">
            <v>2465.4505343787123</v>
          </cell>
          <cell r="M692">
            <v>2348.865591202597</v>
          </cell>
          <cell r="N692">
            <v>2230.3726716861461</v>
          </cell>
          <cell r="O692">
            <v>2177.4357423224128</v>
          </cell>
          <cell r="P692">
            <v>2121.0109480029737</v>
          </cell>
          <cell r="Q692">
            <v>2061.1259705460475</v>
          </cell>
          <cell r="R692">
            <v>1997.8084917698925</v>
          </cell>
          <cell r="S692">
            <v>1931.0861934927914</v>
          </cell>
          <cell r="T692">
            <v>1883.2587394895131</v>
          </cell>
          <cell r="U692">
            <v>1832.9915922757589</v>
          </cell>
          <cell r="V692">
            <v>1780.2937845340464</v>
          </cell>
          <cell r="W692">
            <v>1725.1743489467813</v>
          </cell>
          <cell r="X692">
            <v>1667.6423181964578</v>
          </cell>
          <cell r="Y692">
            <v>1607.8097951274349</v>
          </cell>
          <cell r="Z692">
            <v>1546.9123640187918</v>
          </cell>
          <cell r="AA692">
            <v>1484.9447428013257</v>
          </cell>
          <cell r="AB692">
            <v>1421.9016494057817</v>
          </cell>
          <cell r="AC692">
            <v>1357.7778017629328</v>
          </cell>
          <cell r="AD692">
            <v>1306.3993610234443</v>
          </cell>
          <cell r="AE692">
            <v>1254.5007733264945</v>
          </cell>
          <cell r="AF692">
            <v>1202.0787101959293</v>
          </cell>
          <cell r="AG692">
            <v>1149.1298431556113</v>
          </cell>
          <cell r="AH692">
            <v>1095.6508437294058</v>
          </cell>
        </row>
        <row r="693">
          <cell r="B693" t="str">
            <v>e-methane liquefied (DAC) - Feedstock cost - Americas - USD/ton fuel</v>
          </cell>
          <cell r="G693">
            <v>2647.3267199726579</v>
          </cell>
          <cell r="H693">
            <v>2559.066305338682</v>
          </cell>
          <cell r="I693">
            <v>2469.4748005941774</v>
          </cell>
          <cell r="J693">
            <v>2382.3011140952644</v>
          </cell>
          <cell r="K693">
            <v>2292.9461265739192</v>
          </cell>
          <cell r="L693">
            <v>2201.4443697056727</v>
          </cell>
          <cell r="M693">
            <v>2107.8303751661192</v>
          </cell>
          <cell r="N693">
            <v>2012.1386746307055</v>
          </cell>
          <cell r="O693">
            <v>1976.1533182121411</v>
          </cell>
          <cell r="P693">
            <v>1936.4879043685914</v>
          </cell>
          <cell r="Q693">
            <v>1893.1584678132851</v>
          </cell>
          <cell r="R693">
            <v>1846.1810432594398</v>
          </cell>
          <cell r="S693">
            <v>1795.5716654203318</v>
          </cell>
          <cell r="T693">
            <v>1749.039733340006</v>
          </cell>
          <cell r="U693">
            <v>1700.0921168540044</v>
          </cell>
          <cell r="V693">
            <v>1648.7378269847768</v>
          </cell>
          <cell r="W693">
            <v>1594.9858747546673</v>
          </cell>
          <cell r="X693">
            <v>1538.8452711860887</v>
          </cell>
          <cell r="Y693">
            <v>1490.3361891551624</v>
          </cell>
          <cell r="Z693">
            <v>1440.5029556682352</v>
          </cell>
          <cell r="AA693">
            <v>1389.3435062166213</v>
          </cell>
          <cell r="AB693">
            <v>1336.855776291563</v>
          </cell>
          <cell r="AC693">
            <v>1283.0377013843558</v>
          </cell>
          <cell r="AD693">
            <v>1235.4210555438378</v>
          </cell>
          <cell r="AE693">
            <v>1187.2081848623043</v>
          </cell>
          <cell r="AF693">
            <v>1138.3970897157976</v>
          </cell>
          <cell r="AG693">
            <v>1088.9857704803683</v>
          </cell>
          <cell r="AH693">
            <v>1038.9722275320669</v>
          </cell>
        </row>
        <row r="694">
          <cell r="B694" t="str">
            <v>e-methane liquefied (DAC) - Feedstock cost - Asia - USD/ton fuel</v>
          </cell>
          <cell r="G694">
            <v>3647.0068049110764</v>
          </cell>
          <cell r="H694">
            <v>3380.4992699431486</v>
          </cell>
          <cell r="I694">
            <v>3113.9286882452116</v>
          </cell>
          <cell r="J694">
            <v>2997.2749395930005</v>
          </cell>
          <cell r="K694">
            <v>2878.5238873250423</v>
          </cell>
          <cell r="L694">
            <v>2757.7305704730761</v>
          </cell>
          <cell r="M694">
            <v>2634.9500280690008</v>
          </cell>
          <cell r="N694">
            <v>2510.2372991445932</v>
          </cell>
          <cell r="O694">
            <v>2444.0998291552773</v>
          </cell>
          <cell r="P694">
            <v>2374.5825044716153</v>
          </cell>
          <cell r="Q694">
            <v>2301.7214226143578</v>
          </cell>
          <cell r="R694">
            <v>2225.5526811042187</v>
          </cell>
          <cell r="S694">
            <v>2146.1123774620314</v>
          </cell>
          <cell r="T694">
            <v>2089.619857680218</v>
          </cell>
          <cell r="U694">
            <v>2030.7756859958274</v>
          </cell>
          <cell r="V694">
            <v>1969.5925856192512</v>
          </cell>
          <cell r="W694">
            <v>1906.0832797607247</v>
          </cell>
          <cell r="X694">
            <v>1840.2604916306129</v>
          </cell>
          <cell r="Y694">
            <v>1771.3450333550256</v>
          </cell>
          <cell r="Z694">
            <v>1701.5581385094599</v>
          </cell>
          <cell r="AA694">
            <v>1630.8922333557709</v>
          </cell>
          <cell r="AB694">
            <v>1559.3397441557636</v>
          </cell>
          <cell r="AC694">
            <v>1486.8930971712728</v>
          </cell>
          <cell r="AD694">
            <v>1431.5871294418225</v>
          </cell>
          <cell r="AE694">
            <v>1375.8355299415937</v>
          </cell>
          <cell r="AF694">
            <v>1319.633839594401</v>
          </cell>
          <cell r="AG694">
            <v>1262.9775993240573</v>
          </cell>
          <cell r="AH694">
            <v>1205.8623500543767</v>
          </cell>
        </row>
        <row r="695">
          <cell r="B695" t="str">
            <v>e-methane liquefied (DAC) - Feedstock cost - Europe - USD/ton fuel</v>
          </cell>
          <cell r="G695">
            <v>3059.8141110126994</v>
          </cell>
          <cell r="H695">
            <v>2923.2847759356277</v>
          </cell>
          <cell r="I695">
            <v>2785.7419348156741</v>
          </cell>
          <cell r="J695">
            <v>2683.2247425409578</v>
          </cell>
          <cell r="K695">
            <v>2578.5756415169767</v>
          </cell>
          <cell r="L695">
            <v>2471.8399015445775</v>
          </cell>
          <cell r="M695">
            <v>2363.0627924245969</v>
          </cell>
          <cell r="N695">
            <v>2252.2895839578246</v>
          </cell>
          <cell r="O695">
            <v>2211.6631281515502</v>
          </cell>
          <cell r="P695">
            <v>2167.3408724397914</v>
          </cell>
          <cell r="Q695">
            <v>2119.3409667817787</v>
          </cell>
          <cell r="R695">
            <v>2067.6815611367747</v>
          </cell>
          <cell r="S695">
            <v>2012.3808054641099</v>
          </cell>
          <cell r="T695">
            <v>1966.5479066006703</v>
          </cell>
          <cell r="U695">
            <v>1918.2080147144882</v>
          </cell>
          <cell r="V695">
            <v>1867.3686422289588</v>
          </cell>
          <cell r="W695">
            <v>1814.0373015673504</v>
          </cell>
          <cell r="X695">
            <v>1758.2215051530156</v>
          </cell>
          <cell r="Y695">
            <v>1699.3945314969951</v>
          </cell>
          <cell r="Z695">
            <v>1639.4583185496135</v>
          </cell>
          <cell r="AA695">
            <v>1578.4082957422111</v>
          </cell>
          <cell r="AB695">
            <v>1516.2398925060393</v>
          </cell>
          <cell r="AC695">
            <v>1452.9485382724197</v>
          </cell>
          <cell r="AD695">
            <v>1398.4113849427249</v>
          </cell>
          <cell r="AE695">
            <v>1343.4148476017253</v>
          </cell>
          <cell r="AF695">
            <v>1287.9546449023771</v>
          </cell>
          <cell r="AG695">
            <v>1232.0264954976353</v>
          </cell>
          <cell r="AH695">
            <v>1175.6261180404549</v>
          </cell>
        </row>
        <row r="696">
          <cell r="B696" t="str">
            <v>e-methane liquefied (DAC) - Feedstock cost - Middle East - USD/ton fuel</v>
          </cell>
          <cell r="G696">
            <v>2659.1133920604984</v>
          </cell>
          <cell r="H696">
            <v>2540.008775380245</v>
          </cell>
          <cell r="I696">
            <v>2419.8218268539326</v>
          </cell>
          <cell r="J696">
            <v>2339.9480476232402</v>
          </cell>
          <cell r="K696">
            <v>2257.8396001399369</v>
          </cell>
          <cell r="L696">
            <v>2173.525566942857</v>
          </cell>
          <cell r="M696">
            <v>2087.035030570883</v>
          </cell>
          <cell r="N696">
            <v>1998.3970735627965</v>
          </cell>
          <cell r="O696">
            <v>1957.6049368350821</v>
          </cell>
          <cell r="P696">
            <v>1913.2158979103781</v>
          </cell>
          <cell r="Q696">
            <v>1865.2497441860148</v>
          </cell>
          <cell r="R696">
            <v>1813.7262630593445</v>
          </cell>
          <cell r="S696">
            <v>1758.6652419277568</v>
          </cell>
          <cell r="T696">
            <v>1716.3315855404496</v>
          </cell>
          <cell r="U696">
            <v>1671.5153950602278</v>
          </cell>
          <cell r="V696">
            <v>1624.2235484050973</v>
          </cell>
          <cell r="W696">
            <v>1574.4629234929389</v>
          </cell>
          <cell r="X696">
            <v>1522.2403982417238</v>
          </cell>
          <cell r="Y696">
            <v>1464.6980314430295</v>
          </cell>
          <cell r="Z696">
            <v>1406.0632559124863</v>
          </cell>
          <cell r="AA696">
            <v>1346.3309422029777</v>
          </cell>
          <cell r="AB696">
            <v>1285.4959608673355</v>
          </cell>
          <cell r="AC696">
            <v>1223.5531824584245</v>
          </cell>
          <cell r="AD696">
            <v>1174.2073935271317</v>
          </cell>
          <cell r="AE696">
            <v>1124.3093775655461</v>
          </cell>
          <cell r="AF696">
            <v>1073.8560523891788</v>
          </cell>
          <cell r="AG696">
            <v>1022.8443358135524</v>
          </cell>
          <cell r="AH696">
            <v>971.27114565419049</v>
          </cell>
        </row>
        <row r="697">
          <cell r="B697" t="str">
            <v>e-methane (DAC) - Cost - Africa - USD/ton H2</v>
          </cell>
          <cell r="G697">
            <v>3415.1952859905314</v>
          </cell>
          <cell r="H697">
            <v>3109.068719536202</v>
          </cell>
          <cell r="I697">
            <v>2803.2435716557229</v>
          </cell>
          <cell r="J697">
            <v>2692.6909180262305</v>
          </cell>
          <cell r="K697">
            <v>2580.0761077935813</v>
          </cell>
          <cell r="L697">
            <v>2465.4505343787123</v>
          </cell>
          <cell r="M697">
            <v>2348.865591202597</v>
          </cell>
          <cell r="N697">
            <v>2230.3726716861461</v>
          </cell>
          <cell r="O697">
            <v>2177.4357423224128</v>
          </cell>
          <cell r="P697">
            <v>2121.0109480029737</v>
          </cell>
          <cell r="Q697">
            <v>2061.1259705460475</v>
          </cell>
          <cell r="R697">
            <v>1997.8084917698925</v>
          </cell>
          <cell r="S697">
            <v>1931.0861934927914</v>
          </cell>
          <cell r="T697">
            <v>1883.2587394895131</v>
          </cell>
          <cell r="U697">
            <v>1832.9915922757589</v>
          </cell>
          <cell r="V697">
            <v>1780.2937845340464</v>
          </cell>
          <cell r="W697">
            <v>1725.1743489467813</v>
          </cell>
          <cell r="X697">
            <v>1667.6423181964578</v>
          </cell>
          <cell r="Y697">
            <v>1607.8097951274349</v>
          </cell>
          <cell r="Z697">
            <v>1546.9123640187918</v>
          </cell>
          <cell r="AA697">
            <v>1484.9447428013257</v>
          </cell>
          <cell r="AB697">
            <v>1421.9016494057817</v>
          </cell>
          <cell r="AC697">
            <v>1357.7778017629328</v>
          </cell>
          <cell r="AD697">
            <v>1306.3993610234443</v>
          </cell>
          <cell r="AE697">
            <v>1254.5007733264945</v>
          </cell>
          <cell r="AF697">
            <v>1202.0787101959293</v>
          </cell>
          <cell r="AG697">
            <v>1149.1298431556113</v>
          </cell>
          <cell r="AH697">
            <v>1095.6508437294058</v>
          </cell>
        </row>
        <row r="698">
          <cell r="B698" t="str">
            <v>e-methane (DAC) - Cost - Americas - USD/ton H2</v>
          </cell>
          <cell r="G698">
            <v>2647.3267199726579</v>
          </cell>
          <cell r="H698">
            <v>2559.066305338682</v>
          </cell>
          <cell r="I698">
            <v>2469.4748005941774</v>
          </cell>
          <cell r="J698">
            <v>2382.3011140952644</v>
          </cell>
          <cell r="K698">
            <v>2292.9461265739192</v>
          </cell>
          <cell r="L698">
            <v>2201.4443697056727</v>
          </cell>
          <cell r="M698">
            <v>2107.8303751661192</v>
          </cell>
          <cell r="N698">
            <v>2012.1386746307055</v>
          </cell>
          <cell r="O698">
            <v>1976.1533182121411</v>
          </cell>
          <cell r="P698">
            <v>1936.4879043685914</v>
          </cell>
          <cell r="Q698">
            <v>1893.1584678132851</v>
          </cell>
          <cell r="R698">
            <v>1846.1810432594398</v>
          </cell>
          <cell r="S698">
            <v>1795.5716654203318</v>
          </cell>
          <cell r="T698">
            <v>1749.039733340006</v>
          </cell>
          <cell r="U698">
            <v>1700.0921168540044</v>
          </cell>
          <cell r="V698">
            <v>1648.7378269847768</v>
          </cell>
          <cell r="W698">
            <v>1594.9858747546673</v>
          </cell>
          <cell r="X698">
            <v>1538.8452711860887</v>
          </cell>
          <cell r="Y698">
            <v>1490.3361891551624</v>
          </cell>
          <cell r="Z698">
            <v>1440.5029556682352</v>
          </cell>
          <cell r="AA698">
            <v>1389.3435062166213</v>
          </cell>
          <cell r="AB698">
            <v>1336.855776291563</v>
          </cell>
          <cell r="AC698">
            <v>1283.0377013843558</v>
          </cell>
          <cell r="AD698">
            <v>1235.4210555438378</v>
          </cell>
          <cell r="AE698">
            <v>1187.2081848623043</v>
          </cell>
          <cell r="AF698">
            <v>1138.3970897157976</v>
          </cell>
          <cell r="AG698">
            <v>1088.9857704803683</v>
          </cell>
          <cell r="AH698">
            <v>1038.9722275320669</v>
          </cell>
        </row>
        <row r="699">
          <cell r="B699" t="str">
            <v>e-methane (DAC) - Cost - Asia - USD/ton H2</v>
          </cell>
          <cell r="G699">
            <v>3647.0068049110764</v>
          </cell>
          <cell r="H699">
            <v>3380.4992699431486</v>
          </cell>
          <cell r="I699">
            <v>3113.9286882452116</v>
          </cell>
          <cell r="J699">
            <v>2997.2749395930005</v>
          </cell>
          <cell r="K699">
            <v>2878.5238873250423</v>
          </cell>
          <cell r="L699">
            <v>2757.7305704730761</v>
          </cell>
          <cell r="M699">
            <v>2634.9500280690008</v>
          </cell>
          <cell r="N699">
            <v>2510.2372991445932</v>
          </cell>
          <cell r="O699">
            <v>2444.0998291552773</v>
          </cell>
          <cell r="P699">
            <v>2374.5825044716153</v>
          </cell>
          <cell r="Q699">
            <v>2301.7214226143578</v>
          </cell>
          <cell r="R699">
            <v>2225.5526811042187</v>
          </cell>
          <cell r="S699">
            <v>2146.1123774620314</v>
          </cell>
          <cell r="T699">
            <v>2089.619857680218</v>
          </cell>
          <cell r="U699">
            <v>2030.7756859958274</v>
          </cell>
          <cell r="V699">
            <v>1969.5925856192512</v>
          </cell>
          <cell r="W699">
            <v>1906.0832797607247</v>
          </cell>
          <cell r="X699">
            <v>1840.2604916306129</v>
          </cell>
          <cell r="Y699">
            <v>1771.3450333550256</v>
          </cell>
          <cell r="Z699">
            <v>1701.5581385094599</v>
          </cell>
          <cell r="AA699">
            <v>1630.8922333557709</v>
          </cell>
          <cell r="AB699">
            <v>1559.3397441557636</v>
          </cell>
          <cell r="AC699">
            <v>1486.8930971712728</v>
          </cell>
          <cell r="AD699">
            <v>1431.5871294418225</v>
          </cell>
          <cell r="AE699">
            <v>1375.8355299415937</v>
          </cell>
          <cell r="AF699">
            <v>1319.633839594401</v>
          </cell>
          <cell r="AG699">
            <v>1262.9775993240573</v>
          </cell>
          <cell r="AH699">
            <v>1205.8623500543767</v>
          </cell>
        </row>
        <row r="700">
          <cell r="B700" t="str">
            <v>e-methane (DAC) - Cost - Europe - USD/ton H2</v>
          </cell>
          <cell r="G700">
            <v>3059.8141110126994</v>
          </cell>
          <cell r="H700">
            <v>2923.2847759356277</v>
          </cell>
          <cell r="I700">
            <v>2785.7419348156741</v>
          </cell>
          <cell r="J700">
            <v>2683.2247425409578</v>
          </cell>
          <cell r="K700">
            <v>2578.5756415169767</v>
          </cell>
          <cell r="L700">
            <v>2471.8399015445775</v>
          </cell>
          <cell r="M700">
            <v>2363.0627924245969</v>
          </cell>
          <cell r="N700">
            <v>2252.2895839578246</v>
          </cell>
          <cell r="O700">
            <v>2211.6631281515502</v>
          </cell>
          <cell r="P700">
            <v>2167.3408724397914</v>
          </cell>
          <cell r="Q700">
            <v>2119.3409667817787</v>
          </cell>
          <cell r="R700">
            <v>2067.6815611367747</v>
          </cell>
          <cell r="S700">
            <v>2012.3808054641099</v>
          </cell>
          <cell r="T700">
            <v>1966.5479066006703</v>
          </cell>
          <cell r="U700">
            <v>1918.2080147144882</v>
          </cell>
          <cell r="V700">
            <v>1867.3686422289588</v>
          </cell>
          <cell r="W700">
            <v>1814.0373015673504</v>
          </cell>
          <cell r="X700">
            <v>1758.2215051530156</v>
          </cell>
          <cell r="Y700">
            <v>1699.3945314969951</v>
          </cell>
          <cell r="Z700">
            <v>1639.4583185496135</v>
          </cell>
          <cell r="AA700">
            <v>1578.4082957422111</v>
          </cell>
          <cell r="AB700">
            <v>1516.2398925060393</v>
          </cell>
          <cell r="AC700">
            <v>1452.9485382724197</v>
          </cell>
          <cell r="AD700">
            <v>1398.4113849427249</v>
          </cell>
          <cell r="AE700">
            <v>1343.4148476017253</v>
          </cell>
          <cell r="AF700">
            <v>1287.9546449023771</v>
          </cell>
          <cell r="AG700">
            <v>1232.0264954976353</v>
          </cell>
          <cell r="AH700">
            <v>1175.6261180404549</v>
          </cell>
        </row>
        <row r="701">
          <cell r="B701" t="str">
            <v>e-methane (DAC) - Cost - Middle East - USD/ton H2</v>
          </cell>
          <cell r="G701">
            <v>2659.1133920604984</v>
          </cell>
          <cell r="H701">
            <v>2540.008775380245</v>
          </cell>
          <cell r="I701">
            <v>2419.8218268539326</v>
          </cell>
          <cell r="J701">
            <v>2339.9480476232402</v>
          </cell>
          <cell r="K701">
            <v>2257.8396001399369</v>
          </cell>
          <cell r="L701">
            <v>2173.525566942857</v>
          </cell>
          <cell r="M701">
            <v>2087.035030570883</v>
          </cell>
          <cell r="N701">
            <v>1998.3970735627965</v>
          </cell>
          <cell r="O701">
            <v>1957.6049368350821</v>
          </cell>
          <cell r="P701">
            <v>1913.2158979103781</v>
          </cell>
          <cell r="Q701">
            <v>1865.2497441860148</v>
          </cell>
          <cell r="R701">
            <v>1813.7262630593445</v>
          </cell>
          <cell r="S701">
            <v>1758.6652419277568</v>
          </cell>
          <cell r="T701">
            <v>1716.3315855404496</v>
          </cell>
          <cell r="U701">
            <v>1671.5153950602278</v>
          </cell>
          <cell r="V701">
            <v>1624.2235484050973</v>
          </cell>
          <cell r="W701">
            <v>1574.4629234929389</v>
          </cell>
          <cell r="X701">
            <v>1522.2403982417238</v>
          </cell>
          <cell r="Y701">
            <v>1464.6980314430295</v>
          </cell>
          <cell r="Z701">
            <v>1406.0632559124863</v>
          </cell>
          <cell r="AA701">
            <v>1346.3309422029777</v>
          </cell>
          <cell r="AB701">
            <v>1285.4959608673355</v>
          </cell>
          <cell r="AC701">
            <v>1223.5531824584245</v>
          </cell>
          <cell r="AD701">
            <v>1174.2073935271317</v>
          </cell>
          <cell r="AE701">
            <v>1124.3093775655461</v>
          </cell>
          <cell r="AF701">
            <v>1073.8560523891788</v>
          </cell>
          <cell r="AG701">
            <v>1022.8443358135524</v>
          </cell>
          <cell r="AH701">
            <v>971.27114565419049</v>
          </cell>
        </row>
        <row r="703">
          <cell r="B703" t="str">
            <v>e-methane liquefied (PS) - Item - Region - Unit</v>
          </cell>
          <cell r="G703">
            <v>2023</v>
          </cell>
          <cell r="H703">
            <v>2024</v>
          </cell>
          <cell r="I703">
            <v>2025</v>
          </cell>
          <cell r="J703">
            <v>2026</v>
          </cell>
          <cell r="K703">
            <v>2027</v>
          </cell>
          <cell r="L703">
            <v>2028</v>
          </cell>
          <cell r="M703">
            <v>2029</v>
          </cell>
          <cell r="N703">
            <v>2030</v>
          </cell>
          <cell r="O703">
            <v>2031</v>
          </cell>
          <cell r="P703">
            <v>2032</v>
          </cell>
          <cell r="Q703">
            <v>2033</v>
          </cell>
          <cell r="R703">
            <v>2034</v>
          </cell>
          <cell r="S703">
            <v>2035</v>
          </cell>
          <cell r="T703">
            <v>2036</v>
          </cell>
          <cell r="U703">
            <v>2037</v>
          </cell>
          <cell r="V703">
            <v>2038</v>
          </cell>
          <cell r="W703">
            <v>2039</v>
          </cell>
          <cell r="X703">
            <v>2040</v>
          </cell>
          <cell r="Y703">
            <v>2041</v>
          </cell>
          <cell r="Z703">
            <v>2042</v>
          </cell>
          <cell r="AA703">
            <v>2043</v>
          </cell>
          <cell r="AB703">
            <v>2044</v>
          </cell>
          <cell r="AC703">
            <v>2045</v>
          </cell>
          <cell r="AD703">
            <v>2046</v>
          </cell>
          <cell r="AE703">
            <v>2047</v>
          </cell>
          <cell r="AF703">
            <v>2048</v>
          </cell>
          <cell r="AG703">
            <v>2049</v>
          </cell>
          <cell r="AH703">
            <v>2050</v>
          </cell>
        </row>
        <row r="704">
          <cell r="B704" t="str">
            <v>e-methane liquefied (PS) - Total cost - Africa - USD/ton fuel</v>
          </cell>
          <cell r="G704">
            <v>3299.2530131436201</v>
          </cell>
          <cell r="H704">
            <v>3037.6918971516284</v>
          </cell>
          <cell r="I704">
            <v>2774.7950140288062</v>
          </cell>
          <cell r="J704">
            <v>2675.0500694662019</v>
          </cell>
          <cell r="K704">
            <v>2572.7302449760073</v>
          </cell>
          <cell r="L704">
            <v>2467.8869339791563</v>
          </cell>
          <cell r="M704">
            <v>2360.5715298966211</v>
          </cell>
          <cell r="N704">
            <v>2250.835426149315</v>
          </cell>
          <cell r="O704">
            <v>2209.3847261037822</v>
          </cell>
          <cell r="P704">
            <v>2164.1457366087029</v>
          </cell>
          <cell r="Q704">
            <v>2115.1461394823032</v>
          </cell>
          <cell r="R704">
            <v>2062.4136165428313</v>
          </cell>
          <cell r="S704">
            <v>2005.9758496085769</v>
          </cell>
          <cell r="T704">
            <v>1964.0828097624433</v>
          </cell>
          <cell r="U704">
            <v>1919.5841848917066</v>
          </cell>
          <cell r="V704">
            <v>1872.4890076788863</v>
          </cell>
          <cell r="W704">
            <v>1822.8063108063898</v>
          </cell>
          <cell r="X704">
            <v>1770.5451269567113</v>
          </cell>
          <cell r="Y704">
            <v>1714.771587073873</v>
          </cell>
          <cell r="Z704">
            <v>1657.7881507895518</v>
          </cell>
          <cell r="AA704">
            <v>1599.5895360345435</v>
          </cell>
          <cell r="AB704">
            <v>1540.1704607395914</v>
          </cell>
          <cell r="AC704">
            <v>1479.5256428354699</v>
          </cell>
          <cell r="AD704">
            <v>1429.5880153097623</v>
          </cell>
          <cell r="AE704">
            <v>1379.0438783471382</v>
          </cell>
          <cell r="AF704">
            <v>1327.8899034714466</v>
          </cell>
          <cell r="AG704">
            <v>1276.1227622065485</v>
          </cell>
          <cell r="AH704">
            <v>1223.739126076307</v>
          </cell>
        </row>
        <row r="705">
          <cell r="B705" t="str">
            <v>e-methane liquefied (PS) - Total cost - Americas - USD/ton fuel</v>
          </cell>
          <cell r="G705">
            <v>2663.2691122039269</v>
          </cell>
          <cell r="H705">
            <v>2580.8517378640859</v>
          </cell>
          <cell r="I705">
            <v>2496.773234999976</v>
          </cell>
          <cell r="J705">
            <v>2415.8406940640189</v>
          </cell>
          <cell r="K705">
            <v>2332.3398292160277</v>
          </cell>
          <cell r="L705">
            <v>2246.3051721315319</v>
          </cell>
          <cell r="M705">
            <v>2157.7712544861188</v>
          </cell>
          <cell r="N705">
            <v>2066.7726079552467</v>
          </cell>
          <cell r="O705">
            <v>2039.3115692474198</v>
          </cell>
          <cell r="P705">
            <v>2007.9541746473215</v>
          </cell>
          <cell r="Q705">
            <v>1972.7164588681849</v>
          </cell>
          <cell r="R705">
            <v>1933.6144566232226</v>
          </cell>
          <cell r="S705">
            <v>1890.6642026257173</v>
          </cell>
          <cell r="T705">
            <v>1849.6991829257672</v>
          </cell>
          <cell r="U705">
            <v>1806.1527979919565</v>
          </cell>
          <cell r="V705">
            <v>1760.0340588467348</v>
          </cell>
          <cell r="W705">
            <v>1711.3519765124488</v>
          </cell>
          <cell r="X705">
            <v>1660.1155620115123</v>
          </cell>
          <cell r="Y705">
            <v>1613.9522559918216</v>
          </cell>
          <cell r="Z705">
            <v>1566.3713348109002</v>
          </cell>
          <cell r="AA705">
            <v>1517.3707339600614</v>
          </cell>
          <cell r="AB705">
            <v>1466.9483889305473</v>
          </cell>
          <cell r="AC705">
            <v>1415.1022352136529</v>
          </cell>
          <cell r="AD705">
            <v>1368.3295318384351</v>
          </cell>
          <cell r="AE705">
            <v>1320.8897373831426</v>
          </cell>
          <cell r="AF705">
            <v>1272.7808522238201</v>
          </cell>
          <cell r="AG705">
            <v>1224.0008767365168</v>
          </cell>
          <cell r="AH705">
            <v>1174.5478112972819</v>
          </cell>
        </row>
        <row r="706">
          <cell r="B706" t="str">
            <v>e-methane liquefied (PS) - Total cost - Asia - USD/ton fuel</v>
          </cell>
          <cell r="G706">
            <v>3491.2499259100846</v>
          </cell>
          <cell r="H706">
            <v>3263.1461364104466</v>
          </cell>
          <cell r="I706">
            <v>3033.5886350055912</v>
          </cell>
          <cell r="J706">
            <v>2929.4109827047278</v>
          </cell>
          <cell r="K706">
            <v>2822.5961262728974</v>
          </cell>
          <cell r="L706">
            <v>2713.1991047418487</v>
          </cell>
          <cell r="M706">
            <v>2601.274957143472</v>
          </cell>
          <cell r="N706">
            <v>2486.8787225095439</v>
          </cell>
          <cell r="O706">
            <v>2434.7019800486087</v>
          </cell>
          <cell r="P706">
            <v>2378.7841725120875</v>
          </cell>
          <cell r="Q706">
            <v>2319.1613974207353</v>
          </cell>
          <cell r="R706">
            <v>2255.8697522952662</v>
          </cell>
          <cell r="S706">
            <v>2188.9453346565165</v>
          </cell>
          <cell r="T706">
            <v>2139.9471214861633</v>
          </cell>
          <cell r="U706">
            <v>2088.3954159833315</v>
          </cell>
          <cell r="V706">
            <v>2034.3029413584138</v>
          </cell>
          <cell r="W706">
            <v>1977.6824208216494</v>
          </cell>
          <cell r="X706">
            <v>1918.5465775834016</v>
          </cell>
          <cell r="Y706">
            <v>1855.1223764277067</v>
          </cell>
          <cell r="Z706">
            <v>1790.6450525206048</v>
          </cell>
          <cell r="AA706">
            <v>1725.1070321239524</v>
          </cell>
          <cell r="AB706">
            <v>1658.5007414995512</v>
          </cell>
          <cell r="AC706">
            <v>1590.8186069092376</v>
          </cell>
          <cell r="AD706">
            <v>1537.6324774964926</v>
          </cell>
          <cell r="AE706">
            <v>1483.9011694852475</v>
          </cell>
          <cell r="AF706">
            <v>1429.620223799318</v>
          </cell>
          <cell r="AG706">
            <v>1374.7851813625164</v>
          </cell>
          <cell r="AH706">
            <v>1319.3915830986557</v>
          </cell>
        </row>
        <row r="707">
          <cell r="B707" t="str">
            <v>e-methane liquefied (PS) - Total cost - Europe - USD/ton fuel</v>
          </cell>
          <cell r="G707">
            <v>3004.910053963712</v>
          </cell>
          <cell r="H707">
            <v>2883.3769992590646</v>
          </cell>
          <cell r="I707">
            <v>2760.2165494387514</v>
          </cell>
          <cell r="J707">
            <v>2667.1447793957495</v>
          </cell>
          <cell r="K707">
            <v>2571.4740274589972</v>
          </cell>
          <cell r="L707">
            <v>2473.2495634293327</v>
          </cell>
          <cell r="M707">
            <v>2372.5166571075938</v>
          </cell>
          <cell r="N707">
            <v>2269.3205782945711</v>
          </cell>
          <cell r="O707">
            <v>2238.3050830829543</v>
          </cell>
          <cell r="P707">
            <v>2203.3622112603871</v>
          </cell>
          <cell r="Q707">
            <v>2164.5101127861103</v>
          </cell>
          <cell r="R707">
            <v>2121.7669376193812</v>
          </cell>
          <cell r="S707">
            <v>2075.1508357195339</v>
          </cell>
          <cell r="T707">
            <v>2035.0631968453879</v>
          </cell>
          <cell r="U707">
            <v>1992.3174816423857</v>
          </cell>
          <cell r="V707">
            <v>1946.9212025339232</v>
          </cell>
          <cell r="W707">
            <v>1898.8818719432713</v>
          </cell>
          <cell r="X707">
            <v>1848.2070022937853</v>
          </cell>
          <cell r="Y707">
            <v>1793.3723228024123</v>
          </cell>
          <cell r="Z707">
            <v>1737.2948093271239</v>
          </cell>
          <cell r="AA707">
            <v>1679.9698912992576</v>
          </cell>
          <cell r="AB707">
            <v>1621.3929981500664</v>
          </cell>
          <cell r="AC707">
            <v>1561.5595593108696</v>
          </cell>
          <cell r="AD707">
            <v>1508.9998441543112</v>
          </cell>
          <cell r="AE707">
            <v>1455.883270724451</v>
          </cell>
          <cell r="AF707">
            <v>1402.2055576742473</v>
          </cell>
          <cell r="AG707">
            <v>1347.962423656654</v>
          </cell>
          <cell r="AH707">
            <v>1293.1495873246251</v>
          </cell>
        </row>
        <row r="708">
          <cell r="B708" t="str">
            <v>e-methane liquefied (PS) - Total cost - Middle East - USD/ton fuel</v>
          </cell>
          <cell r="G708">
            <v>2673.0313736445746</v>
          </cell>
          <cell r="H708">
            <v>2565.0222709433956</v>
          </cell>
          <cell r="I708">
            <v>2455.4134395660612</v>
          </cell>
          <cell r="J708">
            <v>2380.4712593482377</v>
          </cell>
          <cell r="K708">
            <v>2302.948010049302</v>
          </cell>
          <cell r="L708">
            <v>2222.8727742080878</v>
          </cell>
          <cell r="M708">
            <v>2140.2746343634731</v>
          </cell>
          <cell r="N708">
            <v>2055.1826730542448</v>
          </cell>
          <cell r="O708">
            <v>2023.6391537878169</v>
          </cell>
          <cell r="P708">
            <v>1988.2553285460945</v>
          </cell>
          <cell r="Q708">
            <v>1949.0509847264152</v>
          </cell>
          <cell r="R708">
            <v>1906.0459097261241</v>
          </cell>
          <cell r="S708">
            <v>1859.2598909426169</v>
          </cell>
          <cell r="T708">
            <v>1821.8247657343909</v>
          </cell>
          <cell r="U708">
            <v>1781.7622037038334</v>
          </cell>
          <cell r="V708">
            <v>1739.0790827689505</v>
          </cell>
          <cell r="W708">
            <v>1693.7822808476274</v>
          </cell>
          <cell r="X708">
            <v>1645.8786758578347</v>
          </cell>
          <cell r="Y708">
            <v>1591.9488290150121</v>
          </cell>
          <cell r="Z708">
            <v>1536.7840291042537</v>
          </cell>
          <cell r="AA708">
            <v>1480.379146678443</v>
          </cell>
          <cell r="AB708">
            <v>1422.7290522904102</v>
          </cell>
          <cell r="AC708">
            <v>1363.8286164930205</v>
          </cell>
          <cell r="AD708">
            <v>1315.4985142826952</v>
          </cell>
          <cell r="AE708">
            <v>1266.5326946614264</v>
          </cell>
          <cell r="AF708">
            <v>1216.9280754447288</v>
          </cell>
          <cell r="AG708">
            <v>1166.6815744481237</v>
          </cell>
          <cell r="AH708">
            <v>1115.7901094871324</v>
          </cell>
        </row>
        <row r="709">
          <cell r="B709" t="str">
            <v/>
          </cell>
        </row>
        <row r="710">
          <cell r="B710" t="str">
            <v>e-methane liquefied (PS) - CAPEX - Global - USD/ton fuel</v>
          </cell>
          <cell r="G710">
            <v>75.715087666188268</v>
          </cell>
          <cell r="H710">
            <v>75.35754383309407</v>
          </cell>
          <cell r="I710">
            <v>75</v>
          </cell>
          <cell r="J710">
            <v>74.650780257917603</v>
          </cell>
          <cell r="K710">
            <v>74.301560515835206</v>
          </cell>
          <cell r="L710">
            <v>73.952340773752809</v>
          </cell>
          <cell r="M710">
            <v>73.603121031670398</v>
          </cell>
          <cell r="N710">
            <v>73.253901289588001</v>
          </cell>
          <cell r="O710">
            <v>72.912811842723016</v>
          </cell>
          <cell r="P710">
            <v>72.571722395857918</v>
          </cell>
          <cell r="Q710">
            <v>72.230632948992934</v>
          </cell>
          <cell r="R710">
            <v>71.889543502127836</v>
          </cell>
          <cell r="S710">
            <v>71.548454055262724</v>
          </cell>
          <cell r="T710">
            <v>71.215305619641853</v>
          </cell>
          <cell r="U710">
            <v>70.882157184020855</v>
          </cell>
          <cell r="V710">
            <v>70.549008748399871</v>
          </cell>
          <cell r="W710">
            <v>70.215860312778872</v>
          </cell>
          <cell r="X710">
            <v>69.882711877158002</v>
          </cell>
          <cell r="Y710">
            <v>69.557319575587826</v>
          </cell>
          <cell r="Z710">
            <v>69.231927274017778</v>
          </cell>
          <cell r="AA710">
            <v>68.906534972447602</v>
          </cell>
          <cell r="AB710">
            <v>68.581142670877426</v>
          </cell>
          <cell r="AC710">
            <v>68.25575036930725</v>
          </cell>
          <cell r="AD710">
            <v>67.937933628779135</v>
          </cell>
          <cell r="AE710">
            <v>67.620116888251019</v>
          </cell>
          <cell r="AF710">
            <v>67.302300147722903</v>
          </cell>
          <cell r="AG710">
            <v>66.984483407194787</v>
          </cell>
          <cell r="AH710">
            <v>66.666666666666671</v>
          </cell>
        </row>
        <row r="711">
          <cell r="B711" t="str">
            <v>e-methane (liquefied) - Plant lifetime - Global - Years</v>
          </cell>
          <cell r="G711">
            <v>30</v>
          </cell>
          <cell r="H711">
            <v>30</v>
          </cell>
          <cell r="I711">
            <v>30</v>
          </cell>
          <cell r="J711">
            <v>30</v>
          </cell>
          <cell r="K711">
            <v>30</v>
          </cell>
          <cell r="L711">
            <v>30</v>
          </cell>
          <cell r="M711">
            <v>30</v>
          </cell>
          <cell r="N711">
            <v>30</v>
          </cell>
          <cell r="O711">
            <v>30</v>
          </cell>
          <cell r="P711">
            <v>30</v>
          </cell>
          <cell r="Q711">
            <v>30</v>
          </cell>
          <cell r="R711">
            <v>30</v>
          </cell>
          <cell r="S711">
            <v>30</v>
          </cell>
          <cell r="T711">
            <v>30</v>
          </cell>
          <cell r="U711">
            <v>30</v>
          </cell>
          <cell r="V711">
            <v>30</v>
          </cell>
          <cell r="W711">
            <v>30</v>
          </cell>
          <cell r="X711">
            <v>30</v>
          </cell>
          <cell r="Y711">
            <v>30</v>
          </cell>
          <cell r="Z711">
            <v>30</v>
          </cell>
          <cell r="AA711">
            <v>30</v>
          </cell>
          <cell r="AB711">
            <v>30</v>
          </cell>
          <cell r="AC711">
            <v>30</v>
          </cell>
          <cell r="AD711">
            <v>30</v>
          </cell>
          <cell r="AE711">
            <v>30</v>
          </cell>
          <cell r="AF711">
            <v>30</v>
          </cell>
          <cell r="AG711">
            <v>30</v>
          </cell>
          <cell r="AH711">
            <v>30</v>
          </cell>
        </row>
        <row r="712">
          <cell r="B712" t="str">
            <v>e-methane (liquefied) - Total CAPEX - Liquefaction - Global - USD/ton fuel</v>
          </cell>
          <cell r="G712">
            <v>2271.4526299856479</v>
          </cell>
          <cell r="H712">
            <v>2260.7263149928222</v>
          </cell>
          <cell r="I712">
            <v>2250</v>
          </cell>
          <cell r="J712">
            <v>2239.523407737528</v>
          </cell>
          <cell r="K712">
            <v>2229.0468154750561</v>
          </cell>
          <cell r="L712">
            <v>2218.5702232125841</v>
          </cell>
          <cell r="M712">
            <v>2208.0936309501121</v>
          </cell>
          <cell r="N712">
            <v>2197.6170386876402</v>
          </cell>
          <cell r="O712">
            <v>2187.3843552816907</v>
          </cell>
          <cell r="P712">
            <v>2177.1516718757375</v>
          </cell>
          <cell r="Q712">
            <v>2166.918988469788</v>
          </cell>
          <cell r="R712">
            <v>2156.6863050638349</v>
          </cell>
          <cell r="S712">
            <v>2146.4536216578817</v>
          </cell>
          <cell r="T712">
            <v>2136.4591685892556</v>
          </cell>
          <cell r="U712">
            <v>2126.4647155206258</v>
          </cell>
          <cell r="V712">
            <v>2116.4702624519959</v>
          </cell>
          <cell r="W712">
            <v>2106.4758093833661</v>
          </cell>
          <cell r="X712">
            <v>2096.48135631474</v>
          </cell>
          <cell r="Y712">
            <v>2086.7195872676348</v>
          </cell>
          <cell r="Z712">
            <v>2076.9578182205332</v>
          </cell>
          <cell r="AA712">
            <v>2067.196049173428</v>
          </cell>
          <cell r="AB712">
            <v>2057.4342801263228</v>
          </cell>
          <cell r="AC712">
            <v>2047.6725110792177</v>
          </cell>
          <cell r="AD712">
            <v>2038.1380088633741</v>
          </cell>
          <cell r="AE712">
            <v>2028.6035066475306</v>
          </cell>
          <cell r="AF712">
            <v>2019.0690044316871</v>
          </cell>
          <cell r="AG712">
            <v>2009.5345022158435</v>
          </cell>
          <cell r="AH712">
            <v>2000</v>
          </cell>
        </row>
        <row r="713">
          <cell r="B713" t="str">
            <v/>
          </cell>
        </row>
        <row r="714">
          <cell r="B714" t="str">
            <v>e-methane liquefied (PS) - OPEX - Global - USD/ton fuel</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row>
        <row r="715">
          <cell r="B715" t="str">
            <v>e-methane (liquefied) - OPEX - Liquefaction - Global - USD/ton fuel/year</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row>
        <row r="716">
          <cell r="B716" t="str">
            <v/>
          </cell>
        </row>
        <row r="717">
          <cell r="B717" t="str">
            <v>e-methane liquefied (PS) - Finance cost - Africa - USD/ton fuel</v>
          </cell>
          <cell r="G717">
            <v>124.92989464921065</v>
          </cell>
          <cell r="H717">
            <v>124.33994732460523</v>
          </cell>
          <cell r="I717">
            <v>123.75000000000001</v>
          </cell>
          <cell r="J717">
            <v>123.17378742556406</v>
          </cell>
          <cell r="K717">
            <v>122.5975748511281</v>
          </cell>
          <cell r="L717">
            <v>122.02136227669214</v>
          </cell>
          <cell r="M717">
            <v>121.44514970225619</v>
          </cell>
          <cell r="N717">
            <v>120.86893712782023</v>
          </cell>
          <cell r="O717">
            <v>120.30613954049301</v>
          </cell>
          <cell r="P717">
            <v>119.74334195316558</v>
          </cell>
          <cell r="Q717">
            <v>119.18054436583836</v>
          </cell>
          <cell r="R717">
            <v>118.61774677851093</v>
          </cell>
          <cell r="S717">
            <v>118.05494919118351</v>
          </cell>
          <cell r="T717">
            <v>117.50525427240908</v>
          </cell>
          <cell r="U717">
            <v>116.95555935363443</v>
          </cell>
          <cell r="V717">
            <v>116.40586443485979</v>
          </cell>
          <cell r="W717">
            <v>115.85616951608516</v>
          </cell>
          <cell r="X717">
            <v>115.30647459731071</v>
          </cell>
          <cell r="Y717">
            <v>114.76957729971993</v>
          </cell>
          <cell r="Z717">
            <v>114.23268000212934</v>
          </cell>
          <cell r="AA717">
            <v>113.69578270453856</v>
          </cell>
          <cell r="AB717">
            <v>113.15888540694777</v>
          </cell>
          <cell r="AC717">
            <v>112.62198810935699</v>
          </cell>
          <cell r="AD717">
            <v>112.09759048748559</v>
          </cell>
          <cell r="AE717">
            <v>111.5731928656142</v>
          </cell>
          <cell r="AF717">
            <v>111.0487952437428</v>
          </cell>
          <cell r="AG717">
            <v>110.52439762187142</v>
          </cell>
          <cell r="AH717">
            <v>110.00000000000001</v>
          </cell>
        </row>
        <row r="718">
          <cell r="B718" t="str">
            <v>e-methane liquefied (PS) - Finance cost - Americas - USD/ton fuel</v>
          </cell>
          <cell r="G718">
            <v>124.92989464921065</v>
          </cell>
          <cell r="H718">
            <v>124.33994732460523</v>
          </cell>
          <cell r="I718">
            <v>123.75000000000001</v>
          </cell>
          <cell r="J718">
            <v>123.17378742556406</v>
          </cell>
          <cell r="K718">
            <v>122.5975748511281</v>
          </cell>
          <cell r="L718">
            <v>122.02136227669214</v>
          </cell>
          <cell r="M718">
            <v>121.44514970225619</v>
          </cell>
          <cell r="N718">
            <v>120.86893712782023</v>
          </cell>
          <cell r="O718">
            <v>120.30613954049301</v>
          </cell>
          <cell r="P718">
            <v>119.74334195316558</v>
          </cell>
          <cell r="Q718">
            <v>119.18054436583836</v>
          </cell>
          <cell r="R718">
            <v>118.61774677851093</v>
          </cell>
          <cell r="S718">
            <v>118.05494919118351</v>
          </cell>
          <cell r="T718">
            <v>117.50525427240908</v>
          </cell>
          <cell r="U718">
            <v>116.95555935363443</v>
          </cell>
          <cell r="V718">
            <v>116.40586443485979</v>
          </cell>
          <cell r="W718">
            <v>115.85616951608516</v>
          </cell>
          <cell r="X718">
            <v>115.30647459731071</v>
          </cell>
          <cell r="Y718">
            <v>114.76957729971993</v>
          </cell>
          <cell r="Z718">
            <v>114.23268000212934</v>
          </cell>
          <cell r="AA718">
            <v>113.69578270453856</v>
          </cell>
          <cell r="AB718">
            <v>113.15888540694777</v>
          </cell>
          <cell r="AC718">
            <v>112.62198810935699</v>
          </cell>
          <cell r="AD718">
            <v>112.09759048748559</v>
          </cell>
          <cell r="AE718">
            <v>111.5731928656142</v>
          </cell>
          <cell r="AF718">
            <v>111.0487952437428</v>
          </cell>
          <cell r="AG718">
            <v>110.52439762187142</v>
          </cell>
          <cell r="AH718">
            <v>110.00000000000001</v>
          </cell>
        </row>
        <row r="719">
          <cell r="B719" t="str">
            <v>e-methane liquefied (PS) - Finance cost - Asia - USD/ton fuel</v>
          </cell>
          <cell r="G719">
            <v>124.92989464921065</v>
          </cell>
          <cell r="H719">
            <v>124.33994732460523</v>
          </cell>
          <cell r="I719">
            <v>123.75000000000001</v>
          </cell>
          <cell r="J719">
            <v>123.17378742556406</v>
          </cell>
          <cell r="K719">
            <v>122.5975748511281</v>
          </cell>
          <cell r="L719">
            <v>122.02136227669214</v>
          </cell>
          <cell r="M719">
            <v>121.44514970225619</v>
          </cell>
          <cell r="N719">
            <v>120.86893712782023</v>
          </cell>
          <cell r="O719">
            <v>120.30613954049301</v>
          </cell>
          <cell r="P719">
            <v>119.74334195316558</v>
          </cell>
          <cell r="Q719">
            <v>119.18054436583836</v>
          </cell>
          <cell r="R719">
            <v>118.61774677851093</v>
          </cell>
          <cell r="S719">
            <v>118.05494919118351</v>
          </cell>
          <cell r="T719">
            <v>117.50525427240908</v>
          </cell>
          <cell r="U719">
            <v>116.95555935363443</v>
          </cell>
          <cell r="V719">
            <v>116.40586443485979</v>
          </cell>
          <cell r="W719">
            <v>115.85616951608516</v>
          </cell>
          <cell r="X719">
            <v>115.30647459731071</v>
          </cell>
          <cell r="Y719">
            <v>114.76957729971993</v>
          </cell>
          <cell r="Z719">
            <v>114.23268000212934</v>
          </cell>
          <cell r="AA719">
            <v>113.69578270453856</v>
          </cell>
          <cell r="AB719">
            <v>113.15888540694777</v>
          </cell>
          <cell r="AC719">
            <v>112.62198810935699</v>
          </cell>
          <cell r="AD719">
            <v>112.09759048748559</v>
          </cell>
          <cell r="AE719">
            <v>111.5731928656142</v>
          </cell>
          <cell r="AF719">
            <v>111.0487952437428</v>
          </cell>
          <cell r="AG719">
            <v>110.52439762187142</v>
          </cell>
          <cell r="AH719">
            <v>110.00000000000001</v>
          </cell>
        </row>
        <row r="720">
          <cell r="B720" t="str">
            <v>e-methane liquefied (PS) - Finance cost - Europe - USD/ton fuel</v>
          </cell>
          <cell r="G720">
            <v>124.92989464921065</v>
          </cell>
          <cell r="H720">
            <v>124.33994732460523</v>
          </cell>
          <cell r="I720">
            <v>123.75000000000001</v>
          </cell>
          <cell r="J720">
            <v>123.17378742556406</v>
          </cell>
          <cell r="K720">
            <v>122.5975748511281</v>
          </cell>
          <cell r="L720">
            <v>122.02136227669214</v>
          </cell>
          <cell r="M720">
            <v>121.44514970225619</v>
          </cell>
          <cell r="N720">
            <v>120.86893712782023</v>
          </cell>
          <cell r="O720">
            <v>120.30613954049301</v>
          </cell>
          <cell r="P720">
            <v>119.74334195316558</v>
          </cell>
          <cell r="Q720">
            <v>119.18054436583836</v>
          </cell>
          <cell r="R720">
            <v>118.61774677851093</v>
          </cell>
          <cell r="S720">
            <v>118.05494919118351</v>
          </cell>
          <cell r="T720">
            <v>117.50525427240908</v>
          </cell>
          <cell r="U720">
            <v>116.95555935363443</v>
          </cell>
          <cell r="V720">
            <v>116.40586443485979</v>
          </cell>
          <cell r="W720">
            <v>115.85616951608516</v>
          </cell>
          <cell r="X720">
            <v>115.30647459731071</v>
          </cell>
          <cell r="Y720">
            <v>114.76957729971993</v>
          </cell>
          <cell r="Z720">
            <v>114.23268000212934</v>
          </cell>
          <cell r="AA720">
            <v>113.69578270453856</v>
          </cell>
          <cell r="AB720">
            <v>113.15888540694777</v>
          </cell>
          <cell r="AC720">
            <v>112.62198810935699</v>
          </cell>
          <cell r="AD720">
            <v>112.09759048748559</v>
          </cell>
          <cell r="AE720">
            <v>111.5731928656142</v>
          </cell>
          <cell r="AF720">
            <v>111.0487952437428</v>
          </cell>
          <cell r="AG720">
            <v>110.52439762187142</v>
          </cell>
          <cell r="AH720">
            <v>110.00000000000001</v>
          </cell>
        </row>
        <row r="721">
          <cell r="B721" t="str">
            <v>e-methane liquefied (PS) - Finance cost - Middle East - USD/ton fuel</v>
          </cell>
          <cell r="G721">
            <v>124.92989464921065</v>
          </cell>
          <cell r="H721">
            <v>124.33994732460523</v>
          </cell>
          <cell r="I721">
            <v>123.75000000000001</v>
          </cell>
          <cell r="J721">
            <v>123.17378742556406</v>
          </cell>
          <cell r="K721">
            <v>122.5975748511281</v>
          </cell>
          <cell r="L721">
            <v>122.02136227669214</v>
          </cell>
          <cell r="M721">
            <v>121.44514970225619</v>
          </cell>
          <cell r="N721">
            <v>120.86893712782023</v>
          </cell>
          <cell r="O721">
            <v>120.30613954049301</v>
          </cell>
          <cell r="P721">
            <v>119.74334195316558</v>
          </cell>
          <cell r="Q721">
            <v>119.18054436583836</v>
          </cell>
          <cell r="R721">
            <v>118.61774677851093</v>
          </cell>
          <cell r="S721">
            <v>118.05494919118351</v>
          </cell>
          <cell r="T721">
            <v>117.50525427240908</v>
          </cell>
          <cell r="U721">
            <v>116.95555935363443</v>
          </cell>
          <cell r="V721">
            <v>116.40586443485979</v>
          </cell>
          <cell r="W721">
            <v>115.85616951608516</v>
          </cell>
          <cell r="X721">
            <v>115.30647459731071</v>
          </cell>
          <cell r="Y721">
            <v>114.76957729971993</v>
          </cell>
          <cell r="Z721">
            <v>114.23268000212934</v>
          </cell>
          <cell r="AA721">
            <v>113.69578270453856</v>
          </cell>
          <cell r="AB721">
            <v>113.15888540694777</v>
          </cell>
          <cell r="AC721">
            <v>112.62198810935699</v>
          </cell>
          <cell r="AD721">
            <v>112.09759048748559</v>
          </cell>
          <cell r="AE721">
            <v>111.5731928656142</v>
          </cell>
          <cell r="AF721">
            <v>111.0487952437428</v>
          </cell>
          <cell r="AG721">
            <v>110.52439762187142</v>
          </cell>
          <cell r="AH721">
            <v>110.00000000000001</v>
          </cell>
        </row>
        <row r="722">
          <cell r="B722" t="str">
            <v>General - Weighted average cost of capital (WACC) - Africa - %</v>
          </cell>
          <cell r="G722">
            <v>5.5000000000000007E-2</v>
          </cell>
          <cell r="H722">
            <v>5.5000000000000007E-2</v>
          </cell>
          <cell r="I722">
            <v>5.5000000000000007E-2</v>
          </cell>
          <cell r="J722">
            <v>5.5000000000000007E-2</v>
          </cell>
          <cell r="K722">
            <v>5.5000000000000007E-2</v>
          </cell>
          <cell r="L722">
            <v>5.5000000000000007E-2</v>
          </cell>
          <cell r="M722">
            <v>5.5000000000000007E-2</v>
          </cell>
          <cell r="N722">
            <v>5.5000000000000007E-2</v>
          </cell>
          <cell r="O722">
            <v>5.5000000000000007E-2</v>
          </cell>
          <cell r="P722">
            <v>5.5000000000000007E-2</v>
          </cell>
          <cell r="Q722">
            <v>5.5000000000000007E-2</v>
          </cell>
          <cell r="R722">
            <v>5.5000000000000007E-2</v>
          </cell>
          <cell r="S722">
            <v>5.5000000000000007E-2</v>
          </cell>
          <cell r="T722">
            <v>5.5000000000000007E-2</v>
          </cell>
          <cell r="U722">
            <v>5.5000000000000007E-2</v>
          </cell>
          <cell r="V722">
            <v>5.5000000000000007E-2</v>
          </cell>
          <cell r="W722">
            <v>5.5000000000000007E-2</v>
          </cell>
          <cell r="X722">
            <v>5.5000000000000007E-2</v>
          </cell>
          <cell r="Y722">
            <v>5.5000000000000007E-2</v>
          </cell>
          <cell r="Z722">
            <v>5.5000000000000007E-2</v>
          </cell>
          <cell r="AA722">
            <v>5.5000000000000007E-2</v>
          </cell>
          <cell r="AB722">
            <v>5.5000000000000007E-2</v>
          </cell>
          <cell r="AC722">
            <v>5.5000000000000007E-2</v>
          </cell>
          <cell r="AD722">
            <v>5.5000000000000007E-2</v>
          </cell>
          <cell r="AE722">
            <v>5.5000000000000007E-2</v>
          </cell>
          <cell r="AF722">
            <v>5.5000000000000007E-2</v>
          </cell>
          <cell r="AG722">
            <v>5.5000000000000007E-2</v>
          </cell>
          <cell r="AH722">
            <v>5.5000000000000007E-2</v>
          </cell>
        </row>
        <row r="723">
          <cell r="B723" t="str">
            <v>General - Weighted average cost of capital (WACC) - Americas - %</v>
          </cell>
          <cell r="G723">
            <v>5.5000000000000007E-2</v>
          </cell>
          <cell r="H723">
            <v>5.5000000000000007E-2</v>
          </cell>
          <cell r="I723">
            <v>5.5000000000000007E-2</v>
          </cell>
          <cell r="J723">
            <v>5.5000000000000007E-2</v>
          </cell>
          <cell r="K723">
            <v>5.5000000000000007E-2</v>
          </cell>
          <cell r="L723">
            <v>5.5000000000000007E-2</v>
          </cell>
          <cell r="M723">
            <v>5.5000000000000007E-2</v>
          </cell>
          <cell r="N723">
            <v>5.5000000000000007E-2</v>
          </cell>
          <cell r="O723">
            <v>5.5000000000000007E-2</v>
          </cell>
          <cell r="P723">
            <v>5.5000000000000007E-2</v>
          </cell>
          <cell r="Q723">
            <v>5.5000000000000007E-2</v>
          </cell>
          <cell r="R723">
            <v>5.5000000000000007E-2</v>
          </cell>
          <cell r="S723">
            <v>5.5000000000000007E-2</v>
          </cell>
          <cell r="T723">
            <v>5.5000000000000007E-2</v>
          </cell>
          <cell r="U723">
            <v>5.5000000000000007E-2</v>
          </cell>
          <cell r="V723">
            <v>5.5000000000000007E-2</v>
          </cell>
          <cell r="W723">
            <v>5.5000000000000007E-2</v>
          </cell>
          <cell r="X723">
            <v>5.5000000000000007E-2</v>
          </cell>
          <cell r="Y723">
            <v>5.5000000000000007E-2</v>
          </cell>
          <cell r="Z723">
            <v>5.5000000000000007E-2</v>
          </cell>
          <cell r="AA723">
            <v>5.5000000000000007E-2</v>
          </cell>
          <cell r="AB723">
            <v>5.5000000000000007E-2</v>
          </cell>
          <cell r="AC723">
            <v>5.5000000000000007E-2</v>
          </cell>
          <cell r="AD723">
            <v>5.5000000000000007E-2</v>
          </cell>
          <cell r="AE723">
            <v>5.5000000000000007E-2</v>
          </cell>
          <cell r="AF723">
            <v>5.5000000000000007E-2</v>
          </cell>
          <cell r="AG723">
            <v>5.5000000000000007E-2</v>
          </cell>
          <cell r="AH723">
            <v>5.5000000000000007E-2</v>
          </cell>
        </row>
        <row r="724">
          <cell r="B724" t="str">
            <v>General - Weighted average cost of capital (WACC) - Asia - %</v>
          </cell>
          <cell r="G724">
            <v>5.5000000000000007E-2</v>
          </cell>
          <cell r="H724">
            <v>5.5000000000000007E-2</v>
          </cell>
          <cell r="I724">
            <v>5.5000000000000007E-2</v>
          </cell>
          <cell r="J724">
            <v>5.5000000000000007E-2</v>
          </cell>
          <cell r="K724">
            <v>5.5000000000000007E-2</v>
          </cell>
          <cell r="L724">
            <v>5.5000000000000007E-2</v>
          </cell>
          <cell r="M724">
            <v>5.5000000000000007E-2</v>
          </cell>
          <cell r="N724">
            <v>5.5000000000000007E-2</v>
          </cell>
          <cell r="O724">
            <v>5.5000000000000007E-2</v>
          </cell>
          <cell r="P724">
            <v>5.5000000000000007E-2</v>
          </cell>
          <cell r="Q724">
            <v>5.5000000000000007E-2</v>
          </cell>
          <cell r="R724">
            <v>5.5000000000000007E-2</v>
          </cell>
          <cell r="S724">
            <v>5.5000000000000007E-2</v>
          </cell>
          <cell r="T724">
            <v>5.5000000000000007E-2</v>
          </cell>
          <cell r="U724">
            <v>5.5000000000000007E-2</v>
          </cell>
          <cell r="V724">
            <v>5.5000000000000007E-2</v>
          </cell>
          <cell r="W724">
            <v>5.5000000000000007E-2</v>
          </cell>
          <cell r="X724">
            <v>5.5000000000000007E-2</v>
          </cell>
          <cell r="Y724">
            <v>5.5000000000000007E-2</v>
          </cell>
          <cell r="Z724">
            <v>5.5000000000000007E-2</v>
          </cell>
          <cell r="AA724">
            <v>5.5000000000000007E-2</v>
          </cell>
          <cell r="AB724">
            <v>5.5000000000000007E-2</v>
          </cell>
          <cell r="AC724">
            <v>5.5000000000000007E-2</v>
          </cell>
          <cell r="AD724">
            <v>5.5000000000000007E-2</v>
          </cell>
          <cell r="AE724">
            <v>5.5000000000000007E-2</v>
          </cell>
          <cell r="AF724">
            <v>5.5000000000000007E-2</v>
          </cell>
          <cell r="AG724">
            <v>5.5000000000000007E-2</v>
          </cell>
          <cell r="AH724">
            <v>5.5000000000000007E-2</v>
          </cell>
        </row>
        <row r="725">
          <cell r="B725" t="str">
            <v>General - Weighted average cost of capital (WACC) - Europe - %</v>
          </cell>
          <cell r="G725">
            <v>5.5000000000000007E-2</v>
          </cell>
          <cell r="H725">
            <v>5.5000000000000007E-2</v>
          </cell>
          <cell r="I725">
            <v>5.5000000000000007E-2</v>
          </cell>
          <cell r="J725">
            <v>5.5000000000000007E-2</v>
          </cell>
          <cell r="K725">
            <v>5.5000000000000007E-2</v>
          </cell>
          <cell r="L725">
            <v>5.5000000000000007E-2</v>
          </cell>
          <cell r="M725">
            <v>5.5000000000000007E-2</v>
          </cell>
          <cell r="N725">
            <v>5.5000000000000007E-2</v>
          </cell>
          <cell r="O725">
            <v>5.5000000000000007E-2</v>
          </cell>
          <cell r="P725">
            <v>5.5000000000000007E-2</v>
          </cell>
          <cell r="Q725">
            <v>5.5000000000000007E-2</v>
          </cell>
          <cell r="R725">
            <v>5.5000000000000007E-2</v>
          </cell>
          <cell r="S725">
            <v>5.5000000000000007E-2</v>
          </cell>
          <cell r="T725">
            <v>5.5000000000000007E-2</v>
          </cell>
          <cell r="U725">
            <v>5.5000000000000007E-2</v>
          </cell>
          <cell r="V725">
            <v>5.5000000000000007E-2</v>
          </cell>
          <cell r="W725">
            <v>5.5000000000000007E-2</v>
          </cell>
          <cell r="X725">
            <v>5.5000000000000007E-2</v>
          </cell>
          <cell r="Y725">
            <v>5.5000000000000007E-2</v>
          </cell>
          <cell r="Z725">
            <v>5.5000000000000007E-2</v>
          </cell>
          <cell r="AA725">
            <v>5.5000000000000007E-2</v>
          </cell>
          <cell r="AB725">
            <v>5.5000000000000007E-2</v>
          </cell>
          <cell r="AC725">
            <v>5.5000000000000007E-2</v>
          </cell>
          <cell r="AD725">
            <v>5.5000000000000007E-2</v>
          </cell>
          <cell r="AE725">
            <v>5.5000000000000007E-2</v>
          </cell>
          <cell r="AF725">
            <v>5.5000000000000007E-2</v>
          </cell>
          <cell r="AG725">
            <v>5.5000000000000007E-2</v>
          </cell>
          <cell r="AH725">
            <v>5.5000000000000007E-2</v>
          </cell>
        </row>
        <row r="726">
          <cell r="B726" t="str">
            <v>General - Weighted average cost of capital (WACC) - Middle East - %</v>
          </cell>
          <cell r="G726">
            <v>5.5000000000000007E-2</v>
          </cell>
          <cell r="H726">
            <v>5.5000000000000007E-2</v>
          </cell>
          <cell r="I726">
            <v>5.5000000000000007E-2</v>
          </cell>
          <cell r="J726">
            <v>5.5000000000000007E-2</v>
          </cell>
          <cell r="K726">
            <v>5.5000000000000007E-2</v>
          </cell>
          <cell r="L726">
            <v>5.5000000000000007E-2</v>
          </cell>
          <cell r="M726">
            <v>5.5000000000000007E-2</v>
          </cell>
          <cell r="N726">
            <v>5.5000000000000007E-2</v>
          </cell>
          <cell r="O726">
            <v>5.5000000000000007E-2</v>
          </cell>
          <cell r="P726">
            <v>5.5000000000000007E-2</v>
          </cell>
          <cell r="Q726">
            <v>5.5000000000000007E-2</v>
          </cell>
          <cell r="R726">
            <v>5.5000000000000007E-2</v>
          </cell>
          <cell r="S726">
            <v>5.5000000000000007E-2</v>
          </cell>
          <cell r="T726">
            <v>5.5000000000000007E-2</v>
          </cell>
          <cell r="U726">
            <v>5.5000000000000007E-2</v>
          </cell>
          <cell r="V726">
            <v>5.5000000000000007E-2</v>
          </cell>
          <cell r="W726">
            <v>5.5000000000000007E-2</v>
          </cell>
          <cell r="X726">
            <v>5.5000000000000007E-2</v>
          </cell>
          <cell r="Y726">
            <v>5.5000000000000007E-2</v>
          </cell>
          <cell r="Z726">
            <v>5.5000000000000007E-2</v>
          </cell>
          <cell r="AA726">
            <v>5.5000000000000007E-2</v>
          </cell>
          <cell r="AB726">
            <v>5.5000000000000007E-2</v>
          </cell>
          <cell r="AC726">
            <v>5.5000000000000007E-2</v>
          </cell>
          <cell r="AD726">
            <v>5.5000000000000007E-2</v>
          </cell>
          <cell r="AE726">
            <v>5.5000000000000007E-2</v>
          </cell>
          <cell r="AF726">
            <v>5.5000000000000007E-2</v>
          </cell>
          <cell r="AG726">
            <v>5.5000000000000007E-2</v>
          </cell>
          <cell r="AH726">
            <v>5.5000000000000007E-2</v>
          </cell>
        </row>
        <row r="727">
          <cell r="B727" t="str">
            <v>e-methane (liquefied) - Total CAPEX - Liquefaction - Global - USD/ton fuel</v>
          </cell>
          <cell r="G727">
            <v>2271.4526299856479</v>
          </cell>
          <cell r="H727">
            <v>2260.7263149928222</v>
          </cell>
          <cell r="I727">
            <v>2250</v>
          </cell>
          <cell r="J727">
            <v>2239.523407737528</v>
          </cell>
          <cell r="K727">
            <v>2229.0468154750561</v>
          </cell>
          <cell r="L727">
            <v>2218.5702232125841</v>
          </cell>
          <cell r="M727">
            <v>2208.0936309501121</v>
          </cell>
          <cell r="N727">
            <v>2197.6170386876402</v>
          </cell>
          <cell r="O727">
            <v>2187.3843552816907</v>
          </cell>
          <cell r="P727">
            <v>2177.1516718757375</v>
          </cell>
          <cell r="Q727">
            <v>2166.918988469788</v>
          </cell>
          <cell r="R727">
            <v>2156.6863050638349</v>
          </cell>
          <cell r="S727">
            <v>2146.4536216578817</v>
          </cell>
          <cell r="T727">
            <v>2136.4591685892556</v>
          </cell>
          <cell r="U727">
            <v>2126.4647155206258</v>
          </cell>
          <cell r="V727">
            <v>2116.4702624519959</v>
          </cell>
          <cell r="W727">
            <v>2106.4758093833661</v>
          </cell>
          <cell r="X727">
            <v>2096.48135631474</v>
          </cell>
          <cell r="Y727">
            <v>2086.7195872676348</v>
          </cell>
          <cell r="Z727">
            <v>2076.9578182205332</v>
          </cell>
          <cell r="AA727">
            <v>2067.196049173428</v>
          </cell>
          <cell r="AB727">
            <v>2057.4342801263228</v>
          </cell>
          <cell r="AC727">
            <v>2047.6725110792177</v>
          </cell>
          <cell r="AD727">
            <v>2038.1380088633741</v>
          </cell>
          <cell r="AE727">
            <v>2028.6035066475306</v>
          </cell>
          <cell r="AF727">
            <v>2019.0690044316871</v>
          </cell>
          <cell r="AG727">
            <v>2009.5345022158435</v>
          </cell>
          <cell r="AH727">
            <v>2000</v>
          </cell>
        </row>
        <row r="728">
          <cell r="B728" t="str">
            <v/>
          </cell>
        </row>
        <row r="729">
          <cell r="B729" t="str">
            <v>e-methane liquefied (PS) - Energy cost - Africa - USD/ton fuel</v>
          </cell>
          <cell r="G729">
            <v>35.033884158308503</v>
          </cell>
          <cell r="H729">
            <v>30.919977747395748</v>
          </cell>
          <cell r="I729">
            <v>26.80607133648191</v>
          </cell>
          <cell r="J729">
            <v>25.65925481102331</v>
          </cell>
          <cell r="K729">
            <v>24.512438285564713</v>
          </cell>
          <cell r="L729">
            <v>23.365621760106112</v>
          </cell>
          <cell r="M729">
            <v>22.218805234647242</v>
          </cell>
          <cell r="N729">
            <v>21.071988709188645</v>
          </cell>
          <cell r="O729">
            <v>20.431834259056178</v>
          </cell>
          <cell r="P729">
            <v>19.791679808923707</v>
          </cell>
          <cell r="Q729">
            <v>19.151525358790966</v>
          </cell>
          <cell r="R729">
            <v>18.511370908658499</v>
          </cell>
          <cell r="S729">
            <v>17.871216458526099</v>
          </cell>
          <cell r="T729">
            <v>17.569906277941822</v>
          </cell>
          <cell r="U729">
            <v>17.268596097357612</v>
          </cell>
          <cell r="V729">
            <v>16.967285916773335</v>
          </cell>
          <cell r="W729">
            <v>16.665975736189058</v>
          </cell>
          <cell r="X729">
            <v>16.364665555604915</v>
          </cell>
          <cell r="Y729">
            <v>16.054836989607747</v>
          </cell>
          <cell r="Z729">
            <v>15.745008423610578</v>
          </cell>
          <cell r="AA729">
            <v>15.435179857613274</v>
          </cell>
          <cell r="AB729">
            <v>15.125351291616106</v>
          </cell>
          <cell r="AC729">
            <v>14.81552272561887</v>
          </cell>
          <cell r="AD729">
            <v>14.663450567763833</v>
          </cell>
          <cell r="AE729">
            <v>14.511378409908865</v>
          </cell>
          <cell r="AF729">
            <v>14.359306252053829</v>
          </cell>
          <cell r="AG729">
            <v>14.207234094198792</v>
          </cell>
          <cell r="AH729">
            <v>14.055161936343824</v>
          </cell>
        </row>
        <row r="730">
          <cell r="B730" t="str">
            <v>e-methane liquefied (PS) - Energy cost - Americas - USD/ton fuel</v>
          </cell>
          <cell r="G730">
            <v>22.012310723860217</v>
          </cell>
          <cell r="H730">
            <v>21.556466491183574</v>
          </cell>
          <cell r="I730">
            <v>21.100622258506792</v>
          </cell>
          <cell r="J730">
            <v>20.33006650585321</v>
          </cell>
          <cell r="K730">
            <v>19.559510753199628</v>
          </cell>
          <cell r="L730">
            <v>18.788955000546046</v>
          </cell>
          <cell r="M730">
            <v>18.018399247892738</v>
          </cell>
          <cell r="N730">
            <v>17.247843495239156</v>
          </cell>
          <cell r="O730">
            <v>16.877033567022497</v>
          </cell>
          <cell r="P730">
            <v>16.506223638805839</v>
          </cell>
          <cell r="Q730">
            <v>16.13541371058918</v>
          </cell>
          <cell r="R730">
            <v>15.764603782372523</v>
          </cell>
          <cell r="S730">
            <v>15.393793854155795</v>
          </cell>
          <cell r="T730">
            <v>15.093206205252955</v>
          </cell>
          <cell r="U730">
            <v>14.792618556350112</v>
          </cell>
          <cell r="V730">
            <v>14.492030907447202</v>
          </cell>
          <cell r="W730">
            <v>14.191443258544359</v>
          </cell>
          <cell r="X730">
            <v>13.890855609641482</v>
          </cell>
          <cell r="Y730">
            <v>13.769758412927786</v>
          </cell>
          <cell r="Z730">
            <v>13.648661216214089</v>
          </cell>
          <cell r="AA730">
            <v>13.527564019500426</v>
          </cell>
          <cell r="AB730">
            <v>13.406466822786728</v>
          </cell>
          <cell r="AC730">
            <v>13.285369626073031</v>
          </cell>
          <cell r="AD730">
            <v>13.194010362475922</v>
          </cell>
          <cell r="AE730">
            <v>13.102651098878846</v>
          </cell>
          <cell r="AF730">
            <v>13.011291835281769</v>
          </cell>
          <cell r="AG730">
            <v>12.919932571684694</v>
          </cell>
          <cell r="AH730">
            <v>12.828573308087618</v>
          </cell>
        </row>
        <row r="731">
          <cell r="B731" t="str">
            <v>e-methane liquefied (PS) - Energy cost - Asia - USD/ton fuel</v>
          </cell>
          <cell r="G731">
            <v>38.96496149388549</v>
          </cell>
          <cell r="H731">
            <v>35.540944762101567</v>
          </cell>
          <cell r="I731">
            <v>32.116928030319286</v>
          </cell>
          <cell r="J731">
            <v>30.888761660534144</v>
          </cell>
          <cell r="K731">
            <v>29.660595290749551</v>
          </cell>
          <cell r="L731">
            <v>28.432428920964412</v>
          </cell>
          <cell r="M731">
            <v>27.204262551179273</v>
          </cell>
          <cell r="N731">
            <v>25.976096181394677</v>
          </cell>
          <cell r="O731">
            <v>25.141324839787011</v>
          </cell>
          <cell r="P731">
            <v>24.306553498179618</v>
          </cell>
          <cell r="Q731">
            <v>23.471782156572498</v>
          </cell>
          <cell r="R731">
            <v>22.637010814965105</v>
          </cell>
          <cell r="S731">
            <v>21.802239473357712</v>
          </cell>
          <cell r="T731">
            <v>21.37782149863542</v>
          </cell>
          <cell r="U731">
            <v>20.953403523913128</v>
          </cell>
          <cell r="V731">
            <v>20.528985549190974</v>
          </cell>
          <cell r="W731">
            <v>20.104567574468682</v>
          </cell>
          <cell r="X731">
            <v>19.680149599746663</v>
          </cell>
          <cell r="Y731">
            <v>19.235899376458519</v>
          </cell>
          <cell r="Z731">
            <v>18.791649153170511</v>
          </cell>
          <cell r="AA731">
            <v>18.347398929882363</v>
          </cell>
          <cell r="AB731">
            <v>17.903148706594354</v>
          </cell>
          <cell r="AC731">
            <v>17.458898483306211</v>
          </cell>
          <cell r="AD731">
            <v>17.255171219323916</v>
          </cell>
          <cell r="AE731">
            <v>17.051443955341551</v>
          </cell>
          <cell r="AF731">
            <v>16.847716691359256</v>
          </cell>
          <cell r="AG731">
            <v>16.643989427376958</v>
          </cell>
          <cell r="AH731">
            <v>16.440262163394596</v>
          </cell>
        </row>
        <row r="732">
          <cell r="B732" t="str">
            <v>e-methane liquefied (PS) - Energy cost - Europe - USD/ton fuel</v>
          </cell>
          <cell r="G732">
            <v>29.007303214654346</v>
          </cell>
          <cell r="H732">
            <v>27.757100635909591</v>
          </cell>
          <cell r="I732">
            <v>26.506898057164836</v>
          </cell>
          <cell r="J732">
            <v>25.49672681863467</v>
          </cell>
          <cell r="K732">
            <v>24.486555580104231</v>
          </cell>
          <cell r="L732">
            <v>23.476384341574065</v>
          </cell>
          <cell r="M732">
            <v>22.466213103043629</v>
          </cell>
          <cell r="N732">
            <v>21.456041864513463</v>
          </cell>
          <cell r="O732">
            <v>21.036315923909658</v>
          </cell>
          <cell r="P732">
            <v>20.616589983306266</v>
          </cell>
          <cell r="Q732">
            <v>20.196864042702735</v>
          </cell>
          <cell r="R732">
            <v>19.777138102099205</v>
          </cell>
          <cell r="S732">
            <v>19.357412161495812</v>
          </cell>
          <cell r="T732">
            <v>19.106814441370034</v>
          </cell>
          <cell r="U732">
            <v>18.856216721244323</v>
          </cell>
          <cell r="V732">
            <v>18.605619001118612</v>
          </cell>
          <cell r="W732">
            <v>18.355021280992901</v>
          </cell>
          <cell r="X732">
            <v>18.104423560867051</v>
          </cell>
          <cell r="Y732">
            <v>17.836329243096269</v>
          </cell>
          <cell r="Z732">
            <v>17.568234925325417</v>
          </cell>
          <cell r="AA732">
            <v>17.300140607554635</v>
          </cell>
          <cell r="AB732">
            <v>17.032046289783782</v>
          </cell>
          <cell r="AC732">
            <v>16.763951972013</v>
          </cell>
          <cell r="AD732">
            <v>16.568344836559117</v>
          </cell>
          <cell r="AE732">
            <v>16.372737701105166</v>
          </cell>
          <cell r="AF732">
            <v>16.177130565651282</v>
          </cell>
          <cell r="AG732">
            <v>15.981523430197399</v>
          </cell>
          <cell r="AH732">
            <v>15.785916294743446</v>
          </cell>
        </row>
        <row r="733">
          <cell r="B733" t="str">
            <v>e-methane liquefied (PS) - Energy cost - Middle East - USD/ton fuel</v>
          </cell>
          <cell r="G733">
            <v>22.212190003898375</v>
          </cell>
          <cell r="H733">
            <v>21.232021740260461</v>
          </cell>
          <cell r="I733">
            <v>20.251853476622273</v>
          </cell>
          <cell r="J733">
            <v>19.602892276312467</v>
          </cell>
          <cell r="K733">
            <v>18.953931076002664</v>
          </cell>
          <cell r="L733">
            <v>18.304969875692858</v>
          </cell>
          <cell r="M733">
            <v>17.656008675383053</v>
          </cell>
          <cell r="N733">
            <v>17.00704747507325</v>
          </cell>
          <cell r="O733">
            <v>16.549455045217972</v>
          </cell>
          <cell r="P733">
            <v>16.091862615362832</v>
          </cell>
          <cell r="Q733">
            <v>15.634270185507557</v>
          </cell>
          <cell r="R733">
            <v>15.176677755652417</v>
          </cell>
          <cell r="S733">
            <v>14.719085325797277</v>
          </cell>
          <cell r="T733">
            <v>14.489653293063725</v>
          </cell>
          <cell r="U733">
            <v>14.260221260330171</v>
          </cell>
          <cell r="V733">
            <v>14.030789227596687</v>
          </cell>
          <cell r="W733">
            <v>13.801357194863135</v>
          </cell>
          <cell r="X733">
            <v>13.571925162129583</v>
          </cell>
          <cell r="Y733">
            <v>13.271048899002039</v>
          </cell>
          <cell r="Z733">
            <v>12.970172635874563</v>
          </cell>
          <cell r="AA733">
            <v>12.669296372747022</v>
          </cell>
          <cell r="AB733">
            <v>12.368420109619546</v>
          </cell>
          <cell r="AC733">
            <v>12.067543846491969</v>
          </cell>
          <cell r="AD733">
            <v>11.926724316796832</v>
          </cell>
          <cell r="AE733">
            <v>11.78590478710173</v>
          </cell>
          <cell r="AF733">
            <v>11.645085257406594</v>
          </cell>
          <cell r="AG733">
            <v>11.504265727711458</v>
          </cell>
          <cell r="AH733">
            <v>11.363446198016357</v>
          </cell>
        </row>
        <row r="734">
          <cell r="B734" t="str">
            <v>Renewable electricity - Cost of electricity - Africa - USD/MWh</v>
          </cell>
          <cell r="G734">
            <v>58.389806930514169</v>
          </cell>
          <cell r="H734">
            <v>51.533296245659585</v>
          </cell>
          <cell r="I734">
            <v>44.676785560803182</v>
          </cell>
          <cell r="J734">
            <v>42.765424685038852</v>
          </cell>
          <cell r="K734">
            <v>40.854063809274521</v>
          </cell>
          <cell r="L734">
            <v>38.942702933510191</v>
          </cell>
          <cell r="M734">
            <v>37.031342057745405</v>
          </cell>
          <cell r="N734">
            <v>35.119981181981075</v>
          </cell>
          <cell r="O734">
            <v>34.053057098426962</v>
          </cell>
          <cell r="P734">
            <v>32.986133014872848</v>
          </cell>
          <cell r="Q734">
            <v>31.919208931318281</v>
          </cell>
          <cell r="R734">
            <v>30.852284847764167</v>
          </cell>
          <cell r="S734">
            <v>29.785360764210168</v>
          </cell>
          <cell r="T734">
            <v>29.283177129903038</v>
          </cell>
          <cell r="U734">
            <v>28.780993495596022</v>
          </cell>
          <cell r="V734">
            <v>28.278809861288892</v>
          </cell>
          <cell r="W734">
            <v>27.776626226981762</v>
          </cell>
          <cell r="X734">
            <v>27.274442592674859</v>
          </cell>
          <cell r="Y734">
            <v>26.758061649346246</v>
          </cell>
          <cell r="Z734">
            <v>26.241680706017632</v>
          </cell>
          <cell r="AA734">
            <v>25.725299762688792</v>
          </cell>
          <cell r="AB734">
            <v>25.208918819360179</v>
          </cell>
          <cell r="AC734">
            <v>24.692537876031452</v>
          </cell>
          <cell r="AD734">
            <v>24.439084279606391</v>
          </cell>
          <cell r="AE734">
            <v>24.185630683181444</v>
          </cell>
          <cell r="AF734">
            <v>23.932177086756383</v>
          </cell>
          <cell r="AG734">
            <v>23.678723490331322</v>
          </cell>
          <cell r="AH734">
            <v>23.425269893906375</v>
          </cell>
        </row>
        <row r="735">
          <cell r="B735" t="str">
            <v>Renewable electricity - Cost of electricity - Americas - USD/MWh</v>
          </cell>
          <cell r="G735">
            <v>36.687184539767031</v>
          </cell>
          <cell r="H735">
            <v>35.927444151972622</v>
          </cell>
          <cell r="I735">
            <v>35.167703764177986</v>
          </cell>
          <cell r="J735">
            <v>33.883444176422017</v>
          </cell>
          <cell r="K735">
            <v>32.599184588666049</v>
          </cell>
          <cell r="L735">
            <v>31.31492500091008</v>
          </cell>
          <cell r="M735">
            <v>30.030665413154566</v>
          </cell>
          <cell r="N735">
            <v>28.746405825398597</v>
          </cell>
          <cell r="O735">
            <v>28.128389278370832</v>
          </cell>
          <cell r="P735">
            <v>27.510372731343068</v>
          </cell>
          <cell r="Q735">
            <v>26.892356184315304</v>
          </cell>
          <cell r="R735">
            <v>26.27433963728754</v>
          </cell>
          <cell r="S735">
            <v>25.656323090259662</v>
          </cell>
          <cell r="T735">
            <v>25.155343675421591</v>
          </cell>
          <cell r="U735">
            <v>24.65436426058352</v>
          </cell>
          <cell r="V735">
            <v>24.153384845745336</v>
          </cell>
          <cell r="W735">
            <v>23.652405430907265</v>
          </cell>
          <cell r="X735">
            <v>23.151426016069138</v>
          </cell>
          <cell r="Y735">
            <v>22.949597354879643</v>
          </cell>
          <cell r="Z735">
            <v>22.747768693690148</v>
          </cell>
          <cell r="AA735">
            <v>22.54594003250071</v>
          </cell>
          <cell r="AB735">
            <v>22.344111371311214</v>
          </cell>
          <cell r="AC735">
            <v>22.142282710121719</v>
          </cell>
          <cell r="AD735">
            <v>21.990017270793203</v>
          </cell>
          <cell r="AE735">
            <v>21.837751831464743</v>
          </cell>
          <cell r="AF735">
            <v>21.685486392136283</v>
          </cell>
          <cell r="AG735">
            <v>21.533220952807824</v>
          </cell>
          <cell r="AH735">
            <v>21.380955513479364</v>
          </cell>
        </row>
        <row r="736">
          <cell r="B736" t="str">
            <v>Renewable electricity - Cost of electricity - Asia - USD/MWh</v>
          </cell>
          <cell r="G736">
            <v>64.941602489809156</v>
          </cell>
          <cell r="H736">
            <v>59.234907936835953</v>
          </cell>
          <cell r="I736">
            <v>53.528213383865477</v>
          </cell>
          <cell r="J736">
            <v>51.481269434223577</v>
          </cell>
          <cell r="K736">
            <v>49.434325484582587</v>
          </cell>
          <cell r="L736">
            <v>47.387381534940687</v>
          </cell>
          <cell r="M736">
            <v>45.340437585298787</v>
          </cell>
          <cell r="N736">
            <v>43.293493635657796</v>
          </cell>
          <cell r="O736">
            <v>41.902208066311687</v>
          </cell>
          <cell r="P736">
            <v>40.510922496966032</v>
          </cell>
          <cell r="Q736">
            <v>39.119636927620832</v>
          </cell>
          <cell r="R736">
            <v>37.728351358275177</v>
          </cell>
          <cell r="S736">
            <v>36.337065788929522</v>
          </cell>
          <cell r="T736">
            <v>35.629702497725702</v>
          </cell>
          <cell r="U736">
            <v>34.922339206521883</v>
          </cell>
          <cell r="V736">
            <v>34.214975915318291</v>
          </cell>
          <cell r="W736">
            <v>33.507612624114472</v>
          </cell>
          <cell r="X736">
            <v>32.800249332911108</v>
          </cell>
          <cell r="Y736">
            <v>32.059832294097532</v>
          </cell>
          <cell r="Z736">
            <v>31.319415255284184</v>
          </cell>
          <cell r="AA736">
            <v>30.578998216470609</v>
          </cell>
          <cell r="AB736">
            <v>29.838581177657261</v>
          </cell>
          <cell r="AC736">
            <v>29.098164138843686</v>
          </cell>
          <cell r="AD736">
            <v>28.758618698873192</v>
          </cell>
          <cell r="AE736">
            <v>28.419073258902586</v>
          </cell>
          <cell r="AF736">
            <v>28.079527818932092</v>
          </cell>
          <cell r="AG736">
            <v>27.739982378961599</v>
          </cell>
          <cell r="AH736">
            <v>27.400436938990993</v>
          </cell>
        </row>
        <row r="737">
          <cell r="B737" t="str">
            <v>Renewable electricity - Cost of electricity - Europe - USD/MWh</v>
          </cell>
          <cell r="G737">
            <v>48.345505357757247</v>
          </cell>
          <cell r="H737">
            <v>46.261834393182653</v>
          </cell>
          <cell r="I737">
            <v>44.178163428608059</v>
          </cell>
          <cell r="J737">
            <v>42.49454469772445</v>
          </cell>
          <cell r="K737">
            <v>40.810925966840387</v>
          </cell>
          <cell r="L737">
            <v>39.127307235956778</v>
          </cell>
          <cell r="M737">
            <v>37.443688505072714</v>
          </cell>
          <cell r="N737">
            <v>35.760069774189105</v>
          </cell>
          <cell r="O737">
            <v>35.060526539849434</v>
          </cell>
          <cell r="P737">
            <v>34.360983305510445</v>
          </cell>
          <cell r="Q737">
            <v>33.661440071171228</v>
          </cell>
          <cell r="R737">
            <v>32.961896836832011</v>
          </cell>
          <cell r="S737">
            <v>32.262353602493022</v>
          </cell>
          <cell r="T737">
            <v>31.844690735616723</v>
          </cell>
          <cell r="U737">
            <v>31.427027868740538</v>
          </cell>
          <cell r="V737">
            <v>31.009365001864353</v>
          </cell>
          <cell r="W737">
            <v>30.591702134988168</v>
          </cell>
          <cell r="X737">
            <v>30.174039268111756</v>
          </cell>
          <cell r="Y737">
            <v>29.72721540516045</v>
          </cell>
          <cell r="Z737">
            <v>29.280391542209031</v>
          </cell>
          <cell r="AA737">
            <v>28.833567679257726</v>
          </cell>
          <cell r="AB737">
            <v>28.386743816306307</v>
          </cell>
          <cell r="AC737">
            <v>27.939919953355002</v>
          </cell>
          <cell r="AD737">
            <v>27.613908060931863</v>
          </cell>
          <cell r="AE737">
            <v>27.28789616850861</v>
          </cell>
          <cell r="AF737">
            <v>26.96188427608547</v>
          </cell>
          <cell r="AG737">
            <v>26.635872383662331</v>
          </cell>
          <cell r="AH737">
            <v>26.309860491239078</v>
          </cell>
        </row>
        <row r="738">
          <cell r="B738" t="str">
            <v>Renewable electricity - Cost of electricity - Middle East - USD/MWh</v>
          </cell>
          <cell r="G738">
            <v>37.020316673163961</v>
          </cell>
          <cell r="H738">
            <v>35.386702900434102</v>
          </cell>
          <cell r="I738">
            <v>33.753089127703788</v>
          </cell>
          <cell r="J738">
            <v>32.671487127187447</v>
          </cell>
          <cell r="K738">
            <v>31.589885126671106</v>
          </cell>
          <cell r="L738">
            <v>30.508283126154765</v>
          </cell>
          <cell r="M738">
            <v>29.426681125638424</v>
          </cell>
          <cell r="N738">
            <v>28.345079125122083</v>
          </cell>
          <cell r="O738">
            <v>27.58242507536329</v>
          </cell>
          <cell r="P738">
            <v>26.819771025604723</v>
          </cell>
          <cell r="Q738">
            <v>26.057116975845929</v>
          </cell>
          <cell r="R738">
            <v>25.294462926087363</v>
          </cell>
          <cell r="S738">
            <v>24.531808876328796</v>
          </cell>
          <cell r="T738">
            <v>24.149422155106208</v>
          </cell>
          <cell r="U738">
            <v>23.76703543388362</v>
          </cell>
          <cell r="V738">
            <v>23.384648712661146</v>
          </cell>
          <cell r="W738">
            <v>23.002261991438559</v>
          </cell>
          <cell r="X738">
            <v>22.619875270215971</v>
          </cell>
          <cell r="Y738">
            <v>22.118414831670066</v>
          </cell>
          <cell r="Z738">
            <v>21.616954393124274</v>
          </cell>
          <cell r="AA738">
            <v>21.115493954578369</v>
          </cell>
          <cell r="AB738">
            <v>20.614033516032578</v>
          </cell>
          <cell r="AC738">
            <v>20.112573077486616</v>
          </cell>
          <cell r="AD738">
            <v>19.877873861328055</v>
          </cell>
          <cell r="AE738">
            <v>19.643174645169552</v>
          </cell>
          <cell r="AF738">
            <v>19.408475429010991</v>
          </cell>
          <cell r="AG738">
            <v>19.173776212852431</v>
          </cell>
          <cell r="AH738">
            <v>18.939076996693927</v>
          </cell>
        </row>
        <row r="739">
          <cell r="B739" t="str">
            <v>e-methane (liquefied) - Energy demand - Liquefaction - Global - MWh/ton fuel</v>
          </cell>
          <cell r="G739">
            <v>0.6</v>
          </cell>
          <cell r="H739">
            <v>0.6</v>
          </cell>
          <cell r="I739">
            <v>0.6</v>
          </cell>
          <cell r="J739">
            <v>0.6</v>
          </cell>
          <cell r="K739">
            <v>0.6</v>
          </cell>
          <cell r="L739">
            <v>0.6</v>
          </cell>
          <cell r="M739">
            <v>0.6</v>
          </cell>
          <cell r="N739">
            <v>0.6</v>
          </cell>
          <cell r="O739">
            <v>0.6</v>
          </cell>
          <cell r="P739">
            <v>0.6</v>
          </cell>
          <cell r="Q739">
            <v>0.6</v>
          </cell>
          <cell r="R739">
            <v>0.6</v>
          </cell>
          <cell r="S739">
            <v>0.6</v>
          </cell>
          <cell r="T739">
            <v>0.6</v>
          </cell>
          <cell r="U739">
            <v>0.6</v>
          </cell>
          <cell r="V739">
            <v>0.6</v>
          </cell>
          <cell r="W739">
            <v>0.6</v>
          </cell>
          <cell r="X739">
            <v>0.6</v>
          </cell>
          <cell r="Y739">
            <v>0.6</v>
          </cell>
          <cell r="Z739">
            <v>0.6</v>
          </cell>
          <cell r="AA739">
            <v>0.6</v>
          </cell>
          <cell r="AB739">
            <v>0.6</v>
          </cell>
          <cell r="AC739">
            <v>0.6</v>
          </cell>
          <cell r="AD739">
            <v>0.6</v>
          </cell>
          <cell r="AE739">
            <v>0.6</v>
          </cell>
          <cell r="AF739">
            <v>0.6</v>
          </cell>
          <cell r="AG739">
            <v>0.6</v>
          </cell>
          <cell r="AH739">
            <v>0.6</v>
          </cell>
        </row>
        <row r="740">
          <cell r="B740" t="str">
            <v/>
          </cell>
        </row>
        <row r="741">
          <cell r="B741" t="str">
            <v>e-methane liquefied (PS) - Feedstock cost - Africa - USD/ton fuel</v>
          </cell>
          <cell r="G741">
            <v>3063.5741466699128</v>
          </cell>
          <cell r="H741">
            <v>2807.0744282465334</v>
          </cell>
          <cell r="I741">
            <v>2549.2389426923241</v>
          </cell>
          <cell r="J741">
            <v>2451.5662469716967</v>
          </cell>
          <cell r="K741">
            <v>2351.3186713234791</v>
          </cell>
          <cell r="L741">
            <v>2248.547609168605</v>
          </cell>
          <cell r="M741">
            <v>2143.3044539280472</v>
          </cell>
          <cell r="N741">
            <v>2035.6405990227183</v>
          </cell>
          <cell r="O741">
            <v>1995.73394046151</v>
          </cell>
          <cell r="P741">
            <v>1952.0389924507556</v>
          </cell>
          <cell r="Q741">
            <v>1904.5834368086807</v>
          </cell>
          <cell r="R741">
            <v>1853.394955353534</v>
          </cell>
          <cell r="S741">
            <v>1798.5012299036046</v>
          </cell>
          <cell r="T741">
            <v>1757.7923435924506</v>
          </cell>
          <cell r="U741">
            <v>1714.4778722566937</v>
          </cell>
          <cell r="V741">
            <v>1668.5668485788533</v>
          </cell>
          <cell r="W741">
            <v>1620.0683052413367</v>
          </cell>
          <cell r="X741">
            <v>1568.9912749266377</v>
          </cell>
          <cell r="Y741">
            <v>1514.3898532089574</v>
          </cell>
          <cell r="Z741">
            <v>1458.5785350897941</v>
          </cell>
          <cell r="AA741">
            <v>1401.552038499944</v>
          </cell>
          <cell r="AB741">
            <v>1343.30508137015</v>
          </cell>
          <cell r="AC741">
            <v>1283.8323816311868</v>
          </cell>
          <cell r="AD741">
            <v>1234.8890406257337</v>
          </cell>
          <cell r="AE741">
            <v>1185.3391901833641</v>
          </cell>
          <cell r="AF741">
            <v>1135.179501827927</v>
          </cell>
          <cell r="AG741">
            <v>1084.4066470832836</v>
          </cell>
          <cell r="AH741">
            <v>1033.0172974732964</v>
          </cell>
        </row>
        <row r="742">
          <cell r="B742" t="str">
            <v>e-methane liquefied (PS) - Feedstock cost - Americas - USD/ton fuel</v>
          </cell>
          <cell r="G742">
            <v>2440.6118191646678</v>
          </cell>
          <cell r="H742">
            <v>2359.5977802152029</v>
          </cell>
          <cell r="I742">
            <v>2276.922612741469</v>
          </cell>
          <cell r="J742">
            <v>2197.6860598746839</v>
          </cell>
          <cell r="K742">
            <v>2115.8811830958648</v>
          </cell>
          <cell r="L742">
            <v>2031.5425140805407</v>
          </cell>
          <cell r="M742">
            <v>1944.7045845042994</v>
          </cell>
          <cell r="N742">
            <v>1855.4019260425994</v>
          </cell>
          <cell r="O742">
            <v>1829.2155842971813</v>
          </cell>
          <cell r="P742">
            <v>1799.1328866594922</v>
          </cell>
          <cell r="Q742">
            <v>1765.1698678427645</v>
          </cell>
          <cell r="R742">
            <v>1727.3425625602113</v>
          </cell>
          <cell r="S742">
            <v>1685.6670055251152</v>
          </cell>
          <cell r="T742">
            <v>1645.8854168284633</v>
          </cell>
          <cell r="U742">
            <v>1603.5224628979511</v>
          </cell>
          <cell r="V742">
            <v>1558.587154756028</v>
          </cell>
          <cell r="W742">
            <v>1511.0885034250405</v>
          </cell>
          <cell r="X742">
            <v>1461.0355199274022</v>
          </cell>
          <cell r="Y742">
            <v>1415.8556007035861</v>
          </cell>
          <cell r="Z742">
            <v>1369.258066318539</v>
          </cell>
          <cell r="AA742">
            <v>1321.2408522635749</v>
          </cell>
          <cell r="AB742">
            <v>1271.8018940299353</v>
          </cell>
          <cell r="AC742">
            <v>1220.9391271089157</v>
          </cell>
          <cell r="AD742">
            <v>1175.0999973596945</v>
          </cell>
          <cell r="AE742">
            <v>1128.5937765303986</v>
          </cell>
          <cell r="AF742">
            <v>1081.4184649970728</v>
          </cell>
          <cell r="AG742">
            <v>1033.572063135766</v>
          </cell>
          <cell r="AH742">
            <v>985.05257132252768</v>
          </cell>
        </row>
        <row r="743">
          <cell r="B743" t="str">
            <v>e-methane liquefied (PS) - Feedstock cost - Asia - USD/ton fuel</v>
          </cell>
          <cell r="G743">
            <v>3251.6399821008004</v>
          </cell>
          <cell r="H743">
            <v>3027.9077004906458</v>
          </cell>
          <cell r="I743">
            <v>2802.7217069752719</v>
          </cell>
          <cell r="J743">
            <v>2700.6976533607121</v>
          </cell>
          <cell r="K743">
            <v>2596.0363956151846</v>
          </cell>
          <cell r="L743">
            <v>2488.7929727704395</v>
          </cell>
          <cell r="M743">
            <v>2379.022423858366</v>
          </cell>
          <cell r="N743">
            <v>2266.7797879107411</v>
          </cell>
          <cell r="O743">
            <v>2216.3417038256057</v>
          </cell>
          <cell r="P743">
            <v>2162.1625546648843</v>
          </cell>
          <cell r="Q743">
            <v>2104.2784379493314</v>
          </cell>
          <cell r="R743">
            <v>2042.7254511996621</v>
          </cell>
          <cell r="S743">
            <v>1977.5396919367126</v>
          </cell>
          <cell r="T743">
            <v>1929.8487400954768</v>
          </cell>
          <cell r="U743">
            <v>1879.6042959217632</v>
          </cell>
          <cell r="V743">
            <v>1826.8190826259631</v>
          </cell>
          <cell r="W743">
            <v>1771.5058234183166</v>
          </cell>
          <cell r="X743">
            <v>1713.6772415091862</v>
          </cell>
          <cell r="Y743">
            <v>1651.5595801759405</v>
          </cell>
          <cell r="Z743">
            <v>1588.3887960912873</v>
          </cell>
          <cell r="AA743">
            <v>1524.1573155170838</v>
          </cell>
          <cell r="AB743">
            <v>1458.8575647151315</v>
          </cell>
          <cell r="AC743">
            <v>1392.4819699472671</v>
          </cell>
          <cell r="AD743">
            <v>1340.3417821609039</v>
          </cell>
          <cell r="AE743">
            <v>1287.6564157760406</v>
          </cell>
          <cell r="AF743">
            <v>1234.4214117164929</v>
          </cell>
          <cell r="AG743">
            <v>1180.6323109060731</v>
          </cell>
          <cell r="AH743">
            <v>1126.2846542685943</v>
          </cell>
        </row>
        <row r="744">
          <cell r="B744" t="str">
            <v>e-methane liquefied (PS) - Feedstock cost - Europe - USD/ton fuel</v>
          </cell>
          <cell r="G744">
            <v>2775.2577684336588</v>
          </cell>
          <cell r="H744">
            <v>2655.9224074654558</v>
          </cell>
          <cell r="I744">
            <v>2534.9596513815864</v>
          </cell>
          <cell r="J744">
            <v>2443.8234848936331</v>
          </cell>
          <cell r="K744">
            <v>2350.0883365119298</v>
          </cell>
          <cell r="L744">
            <v>2253.7994760373135</v>
          </cell>
          <cell r="M744">
            <v>2155.0021732706236</v>
          </cell>
          <cell r="N744">
            <v>2053.7416980126495</v>
          </cell>
          <cell r="O744">
            <v>2024.0498157758284</v>
          </cell>
          <cell r="P744">
            <v>1990.4305569280573</v>
          </cell>
          <cell r="Q744">
            <v>1952.9020714285764</v>
          </cell>
          <cell r="R744">
            <v>1911.4825092366432</v>
          </cell>
          <cell r="S744">
            <v>1866.1900203115918</v>
          </cell>
          <cell r="T744">
            <v>1827.2358225119669</v>
          </cell>
          <cell r="U744">
            <v>1785.623548383486</v>
          </cell>
          <cell r="V744">
            <v>1741.3607103495449</v>
          </cell>
          <cell r="W744">
            <v>1694.4548208334145</v>
          </cell>
          <cell r="X744">
            <v>1644.9133922584494</v>
          </cell>
          <cell r="Y744">
            <v>1591.2090966840083</v>
          </cell>
          <cell r="Z744">
            <v>1536.2619671256514</v>
          </cell>
          <cell r="AA744">
            <v>1480.0674330147169</v>
          </cell>
          <cell r="AB744">
            <v>1422.6209237824573</v>
          </cell>
          <cell r="AC744">
            <v>1363.9178688601924</v>
          </cell>
          <cell r="AD744">
            <v>1312.3959752014873</v>
          </cell>
          <cell r="AE744">
            <v>1260.3172232694806</v>
          </cell>
          <cell r="AF744">
            <v>1207.6773317171303</v>
          </cell>
          <cell r="AG744">
            <v>1154.4720191973904</v>
          </cell>
          <cell r="AH744">
            <v>1100.697004363215</v>
          </cell>
        </row>
        <row r="745">
          <cell r="B745" t="str">
            <v>e-methane liquefied (PS) - Feedstock cost - Middle East - USD/ton fuel</v>
          </cell>
          <cell r="G745">
            <v>2450.1742013252774</v>
          </cell>
          <cell r="H745">
            <v>2344.0927580454359</v>
          </cell>
          <cell r="I745">
            <v>2236.411586089439</v>
          </cell>
          <cell r="J745">
            <v>2163.0437993884434</v>
          </cell>
          <cell r="K745">
            <v>2087.0949436063361</v>
          </cell>
          <cell r="L745">
            <v>2008.5941012819499</v>
          </cell>
          <cell r="M745">
            <v>1927.5703549541633</v>
          </cell>
          <cell r="N745">
            <v>1844.0527871617635</v>
          </cell>
          <cell r="O745">
            <v>1813.8707473593829</v>
          </cell>
          <cell r="P745">
            <v>1779.8484015817082</v>
          </cell>
          <cell r="Q745">
            <v>1742.0055372260763</v>
          </cell>
          <cell r="R745">
            <v>1700.361941689833</v>
          </cell>
          <cell r="S745">
            <v>1654.9374023703735</v>
          </cell>
          <cell r="T745">
            <v>1618.6145525492761</v>
          </cell>
          <cell r="U745">
            <v>1579.664265905848</v>
          </cell>
          <cell r="V745">
            <v>1538.0934203580941</v>
          </cell>
          <cell r="W745">
            <v>1493.9088938239001</v>
          </cell>
          <cell r="X745">
            <v>1447.1175642212363</v>
          </cell>
          <cell r="Y745">
            <v>1394.3508832407024</v>
          </cell>
          <cell r="Z745">
            <v>1340.349249192232</v>
          </cell>
          <cell r="AA745">
            <v>1285.1075326287098</v>
          </cell>
          <cell r="AB745">
            <v>1228.6206041029654</v>
          </cell>
          <cell r="AC745">
            <v>1170.8833341678644</v>
          </cell>
          <cell r="AD745">
            <v>1123.5362658496335</v>
          </cell>
          <cell r="AE745">
            <v>1075.5534801204594</v>
          </cell>
          <cell r="AF745">
            <v>1026.9318947958566</v>
          </cell>
          <cell r="AG745">
            <v>977.6684276913461</v>
          </cell>
          <cell r="AH745">
            <v>927.75999662244931</v>
          </cell>
        </row>
        <row r="746">
          <cell r="B746" t="str">
            <v>e-methane (PS) - Cost - Africa - USD/ton H2</v>
          </cell>
          <cell r="G746">
            <v>3063.5741466699128</v>
          </cell>
          <cell r="H746">
            <v>2807.0744282465334</v>
          </cell>
          <cell r="I746">
            <v>2549.2389426923241</v>
          </cell>
          <cell r="J746">
            <v>2451.5662469716967</v>
          </cell>
          <cell r="K746">
            <v>2351.3186713234791</v>
          </cell>
          <cell r="L746">
            <v>2248.547609168605</v>
          </cell>
          <cell r="M746">
            <v>2143.3044539280472</v>
          </cell>
          <cell r="N746">
            <v>2035.6405990227183</v>
          </cell>
          <cell r="O746">
            <v>1995.73394046151</v>
          </cell>
          <cell r="P746">
            <v>1952.0389924507556</v>
          </cell>
          <cell r="Q746">
            <v>1904.5834368086807</v>
          </cell>
          <cell r="R746">
            <v>1853.394955353534</v>
          </cell>
          <cell r="S746">
            <v>1798.5012299036046</v>
          </cell>
          <cell r="T746">
            <v>1757.7923435924506</v>
          </cell>
          <cell r="U746">
            <v>1714.4778722566937</v>
          </cell>
          <cell r="V746">
            <v>1668.5668485788533</v>
          </cell>
          <cell r="W746">
            <v>1620.0683052413367</v>
          </cell>
          <cell r="X746">
            <v>1568.9912749266377</v>
          </cell>
          <cell r="Y746">
            <v>1514.3898532089574</v>
          </cell>
          <cell r="Z746">
            <v>1458.5785350897941</v>
          </cell>
          <cell r="AA746">
            <v>1401.552038499944</v>
          </cell>
          <cell r="AB746">
            <v>1343.30508137015</v>
          </cell>
          <cell r="AC746">
            <v>1283.8323816311868</v>
          </cell>
          <cell r="AD746">
            <v>1234.8890406257337</v>
          </cell>
          <cell r="AE746">
            <v>1185.3391901833641</v>
          </cell>
          <cell r="AF746">
            <v>1135.179501827927</v>
          </cell>
          <cell r="AG746">
            <v>1084.4066470832836</v>
          </cell>
          <cell r="AH746">
            <v>1033.0172974732964</v>
          </cell>
        </row>
        <row r="747">
          <cell r="B747" t="str">
            <v>e-methane (PS) - Cost - Americas - USD/ton H2</v>
          </cell>
          <cell r="G747">
            <v>2440.6118191646678</v>
          </cell>
          <cell r="H747">
            <v>2359.5977802152029</v>
          </cell>
          <cell r="I747">
            <v>2276.922612741469</v>
          </cell>
          <cell r="J747">
            <v>2197.6860598746839</v>
          </cell>
          <cell r="K747">
            <v>2115.8811830958648</v>
          </cell>
          <cell r="L747">
            <v>2031.5425140805407</v>
          </cell>
          <cell r="M747">
            <v>1944.7045845042994</v>
          </cell>
          <cell r="N747">
            <v>1855.4019260425994</v>
          </cell>
          <cell r="O747">
            <v>1829.2155842971813</v>
          </cell>
          <cell r="P747">
            <v>1799.1328866594922</v>
          </cell>
          <cell r="Q747">
            <v>1765.1698678427645</v>
          </cell>
          <cell r="R747">
            <v>1727.3425625602113</v>
          </cell>
          <cell r="S747">
            <v>1685.6670055251152</v>
          </cell>
          <cell r="T747">
            <v>1645.8854168284633</v>
          </cell>
          <cell r="U747">
            <v>1603.5224628979511</v>
          </cell>
          <cell r="V747">
            <v>1558.587154756028</v>
          </cell>
          <cell r="W747">
            <v>1511.0885034250405</v>
          </cell>
          <cell r="X747">
            <v>1461.0355199274022</v>
          </cell>
          <cell r="Y747">
            <v>1415.8556007035861</v>
          </cell>
          <cell r="Z747">
            <v>1369.258066318539</v>
          </cell>
          <cell r="AA747">
            <v>1321.2408522635749</v>
          </cell>
          <cell r="AB747">
            <v>1271.8018940299353</v>
          </cell>
          <cell r="AC747">
            <v>1220.9391271089157</v>
          </cell>
          <cell r="AD747">
            <v>1175.0999973596945</v>
          </cell>
          <cell r="AE747">
            <v>1128.5937765303986</v>
          </cell>
          <cell r="AF747">
            <v>1081.4184649970728</v>
          </cell>
          <cell r="AG747">
            <v>1033.572063135766</v>
          </cell>
          <cell r="AH747">
            <v>985.05257132252768</v>
          </cell>
        </row>
        <row r="748">
          <cell r="B748" t="str">
            <v>e-methane (PS) - Cost - Asia - USD/ton H2</v>
          </cell>
          <cell r="G748">
            <v>3251.6399821008004</v>
          </cell>
          <cell r="H748">
            <v>3027.9077004906458</v>
          </cell>
          <cell r="I748">
            <v>2802.7217069752719</v>
          </cell>
          <cell r="J748">
            <v>2700.6976533607121</v>
          </cell>
          <cell r="K748">
            <v>2596.0363956151846</v>
          </cell>
          <cell r="L748">
            <v>2488.7929727704395</v>
          </cell>
          <cell r="M748">
            <v>2379.022423858366</v>
          </cell>
          <cell r="N748">
            <v>2266.7797879107411</v>
          </cell>
          <cell r="O748">
            <v>2216.3417038256057</v>
          </cell>
          <cell r="P748">
            <v>2162.1625546648843</v>
          </cell>
          <cell r="Q748">
            <v>2104.2784379493314</v>
          </cell>
          <cell r="R748">
            <v>2042.7254511996621</v>
          </cell>
          <cell r="S748">
            <v>1977.5396919367126</v>
          </cell>
          <cell r="T748">
            <v>1929.8487400954768</v>
          </cell>
          <cell r="U748">
            <v>1879.6042959217632</v>
          </cell>
          <cell r="V748">
            <v>1826.8190826259631</v>
          </cell>
          <cell r="W748">
            <v>1771.5058234183166</v>
          </cell>
          <cell r="X748">
            <v>1713.6772415091862</v>
          </cell>
          <cell r="Y748">
            <v>1651.5595801759405</v>
          </cell>
          <cell r="Z748">
            <v>1588.3887960912873</v>
          </cell>
          <cell r="AA748">
            <v>1524.1573155170838</v>
          </cell>
          <cell r="AB748">
            <v>1458.8575647151315</v>
          </cell>
          <cell r="AC748">
            <v>1392.4819699472671</v>
          </cell>
          <cell r="AD748">
            <v>1340.3417821609039</v>
          </cell>
          <cell r="AE748">
            <v>1287.6564157760406</v>
          </cell>
          <cell r="AF748">
            <v>1234.4214117164929</v>
          </cell>
          <cell r="AG748">
            <v>1180.6323109060731</v>
          </cell>
          <cell r="AH748">
            <v>1126.2846542685943</v>
          </cell>
        </row>
        <row r="749">
          <cell r="B749" t="str">
            <v>e-methane (PS) - Cost - Europe - USD/ton H2</v>
          </cell>
          <cell r="G749">
            <v>2775.2577684336588</v>
          </cell>
          <cell r="H749">
            <v>2655.9224074654558</v>
          </cell>
          <cell r="I749">
            <v>2534.9596513815864</v>
          </cell>
          <cell r="J749">
            <v>2443.8234848936331</v>
          </cell>
          <cell r="K749">
            <v>2350.0883365119298</v>
          </cell>
          <cell r="L749">
            <v>2253.7994760373135</v>
          </cell>
          <cell r="M749">
            <v>2155.0021732706236</v>
          </cell>
          <cell r="N749">
            <v>2053.7416980126495</v>
          </cell>
          <cell r="O749">
            <v>2024.0498157758284</v>
          </cell>
          <cell r="P749">
            <v>1990.4305569280573</v>
          </cell>
          <cell r="Q749">
            <v>1952.9020714285764</v>
          </cell>
          <cell r="R749">
            <v>1911.4825092366432</v>
          </cell>
          <cell r="S749">
            <v>1866.1900203115918</v>
          </cell>
          <cell r="T749">
            <v>1827.2358225119669</v>
          </cell>
          <cell r="U749">
            <v>1785.623548383486</v>
          </cell>
          <cell r="V749">
            <v>1741.3607103495449</v>
          </cell>
          <cell r="W749">
            <v>1694.4548208334145</v>
          </cell>
          <cell r="X749">
            <v>1644.9133922584494</v>
          </cell>
          <cell r="Y749">
            <v>1591.2090966840083</v>
          </cell>
          <cell r="Z749">
            <v>1536.2619671256514</v>
          </cell>
          <cell r="AA749">
            <v>1480.0674330147169</v>
          </cell>
          <cell r="AB749">
            <v>1422.6209237824573</v>
          </cell>
          <cell r="AC749">
            <v>1363.9178688601924</v>
          </cell>
          <cell r="AD749">
            <v>1312.3959752014873</v>
          </cell>
          <cell r="AE749">
            <v>1260.3172232694806</v>
          </cell>
          <cell r="AF749">
            <v>1207.6773317171303</v>
          </cell>
          <cell r="AG749">
            <v>1154.4720191973904</v>
          </cell>
          <cell r="AH749">
            <v>1100.697004363215</v>
          </cell>
        </row>
        <row r="750">
          <cell r="B750" t="str">
            <v>e-methane (PS) - Cost - Middle East - USD/ton H2</v>
          </cell>
          <cell r="G750">
            <v>2450.1742013252774</v>
          </cell>
          <cell r="H750">
            <v>2344.0927580454359</v>
          </cell>
          <cell r="I750">
            <v>2236.411586089439</v>
          </cell>
          <cell r="J750">
            <v>2163.0437993884434</v>
          </cell>
          <cell r="K750">
            <v>2087.0949436063361</v>
          </cell>
          <cell r="L750">
            <v>2008.5941012819499</v>
          </cell>
          <cell r="M750">
            <v>1927.5703549541633</v>
          </cell>
          <cell r="N750">
            <v>1844.0527871617635</v>
          </cell>
          <cell r="O750">
            <v>1813.8707473593829</v>
          </cell>
          <cell r="P750">
            <v>1779.8484015817082</v>
          </cell>
          <cell r="Q750">
            <v>1742.0055372260763</v>
          </cell>
          <cell r="R750">
            <v>1700.361941689833</v>
          </cell>
          <cell r="S750">
            <v>1654.9374023703735</v>
          </cell>
          <cell r="T750">
            <v>1618.6145525492761</v>
          </cell>
          <cell r="U750">
            <v>1579.664265905848</v>
          </cell>
          <cell r="V750">
            <v>1538.0934203580941</v>
          </cell>
          <cell r="W750">
            <v>1493.9088938239001</v>
          </cell>
          <cell r="X750">
            <v>1447.1175642212363</v>
          </cell>
          <cell r="Y750">
            <v>1394.3508832407024</v>
          </cell>
          <cell r="Z750">
            <v>1340.349249192232</v>
          </cell>
          <cell r="AA750">
            <v>1285.1075326287098</v>
          </cell>
          <cell r="AB750">
            <v>1228.6206041029654</v>
          </cell>
          <cell r="AC750">
            <v>1170.8833341678644</v>
          </cell>
          <cell r="AD750">
            <v>1123.5362658496335</v>
          </cell>
          <cell r="AE750">
            <v>1075.5534801204594</v>
          </cell>
          <cell r="AF750">
            <v>1026.9318947958566</v>
          </cell>
          <cell r="AG750">
            <v>977.6684276913461</v>
          </cell>
          <cell r="AH750">
            <v>927.75999662244931</v>
          </cell>
        </row>
        <row r="752">
          <cell r="B752" t="str">
            <v>e-diesel (DAC) - Item - Region - Unit</v>
          </cell>
          <cell r="G752">
            <v>2023</v>
          </cell>
          <cell r="H752">
            <v>2024</v>
          </cell>
          <cell r="I752">
            <v>2025</v>
          </cell>
          <cell r="J752">
            <v>2026</v>
          </cell>
          <cell r="K752">
            <v>2027</v>
          </cell>
          <cell r="L752">
            <v>2028</v>
          </cell>
          <cell r="M752">
            <v>2029</v>
          </cell>
          <cell r="N752">
            <v>2030</v>
          </cell>
          <cell r="O752">
            <v>2031</v>
          </cell>
          <cell r="P752">
            <v>2032</v>
          </cell>
          <cell r="Q752">
            <v>2033</v>
          </cell>
          <cell r="R752">
            <v>2034</v>
          </cell>
          <cell r="S752">
            <v>2035</v>
          </cell>
          <cell r="T752">
            <v>2036</v>
          </cell>
          <cell r="U752">
            <v>2037</v>
          </cell>
          <cell r="V752">
            <v>2038</v>
          </cell>
          <cell r="W752">
            <v>2039</v>
          </cell>
          <cell r="X752">
            <v>2040</v>
          </cell>
          <cell r="Y752">
            <v>2041</v>
          </cell>
          <cell r="Z752">
            <v>2042</v>
          </cell>
          <cell r="AA752">
            <v>2043</v>
          </cell>
          <cell r="AB752">
            <v>2044</v>
          </cell>
          <cell r="AC752">
            <v>2045</v>
          </cell>
          <cell r="AD752">
            <v>2046</v>
          </cell>
          <cell r="AE752">
            <v>2047</v>
          </cell>
          <cell r="AF752">
            <v>2048</v>
          </cell>
          <cell r="AG752">
            <v>2049</v>
          </cell>
          <cell r="AH752">
            <v>2050</v>
          </cell>
        </row>
        <row r="753">
          <cell r="B753" t="str">
            <v>e-diesel (DAC) - Total cost - Africa - USD/ton fuel</v>
          </cell>
          <cell r="G753">
            <v>4233.077834254419</v>
          </cell>
          <cell r="H753">
            <v>3889.5738294368539</v>
          </cell>
          <cell r="I753">
            <v>3548.1039542465574</v>
          </cell>
          <cell r="J753">
            <v>3395.9842661599296</v>
          </cell>
          <cell r="K753">
            <v>3243.3479239770163</v>
          </cell>
          <cell r="L753">
            <v>3090.2432375134867</v>
          </cell>
          <cell r="M753">
            <v>2936.7185165850583</v>
          </cell>
          <cell r="N753">
            <v>2782.8220710073783</v>
          </cell>
          <cell r="O753">
            <v>2721.786058335028</v>
          </cell>
          <cell r="P753">
            <v>2657.5526594623793</v>
          </cell>
          <cell r="Q753">
            <v>2590.1478952985631</v>
          </cell>
          <cell r="R753">
            <v>2519.5977867527426</v>
          </cell>
          <cell r="S753">
            <v>2445.9283547341033</v>
          </cell>
          <cell r="T753">
            <v>2391.2513161268125</v>
          </cell>
          <cell r="U753">
            <v>2334.3242515143338</v>
          </cell>
          <cell r="V753">
            <v>2275.155651618235</v>
          </cell>
          <cell r="W753">
            <v>2213.7540071599765</v>
          </cell>
          <cell r="X753">
            <v>2150.1278088611007</v>
          </cell>
          <cell r="Y753">
            <v>2068.0341398898559</v>
          </cell>
          <cell r="Z753">
            <v>1985.5176761284154</v>
          </cell>
          <cell r="AA753">
            <v>1902.5734524317356</v>
          </cell>
          <cell r="AB753">
            <v>1819.1965036547149</v>
          </cell>
          <cell r="AC753">
            <v>1735.3818646522786</v>
          </cell>
          <cell r="AD753">
            <v>1664.6553695928048</v>
          </cell>
          <cell r="AE753">
            <v>1594.00193594862</v>
          </cell>
          <cell r="AF753">
            <v>1523.4184349521358</v>
          </cell>
          <cell r="AG753">
            <v>1452.9017378357842</v>
          </cell>
          <cell r="AH753">
            <v>1382.448715831998</v>
          </cell>
        </row>
        <row r="754">
          <cell r="B754" t="str">
            <v>e-diesel (DAC) - Total cost - Americas - USD/ton fuel</v>
          </cell>
          <cell r="G754">
            <v>3471.4109828354422</v>
          </cell>
          <cell r="H754">
            <v>3344.3942298431348</v>
          </cell>
          <cell r="I754">
            <v>3217.4921983414911</v>
          </cell>
          <cell r="J754">
            <v>3088.7221873790882</v>
          </cell>
          <cell r="K754">
            <v>2959.2866755882742</v>
          </cell>
          <cell r="L754">
            <v>2829.2181227440392</v>
          </cell>
          <cell r="M754">
            <v>2698.5489886214436</v>
          </cell>
          <cell r="N754">
            <v>2567.3117329953957</v>
          </cell>
          <cell r="O754">
            <v>2523.102677874791</v>
          </cell>
          <cell r="P754">
            <v>2475.4910163973159</v>
          </cell>
          <cell r="Q754">
            <v>2424.4918211934109</v>
          </cell>
          <cell r="R754">
            <v>2370.1201648935003</v>
          </cell>
          <cell r="S754">
            <v>2312.3911201280639</v>
          </cell>
          <cell r="T754">
            <v>2259.0387960031303</v>
          </cell>
          <cell r="U754">
            <v>2203.4589528104993</v>
          </cell>
          <cell r="V754">
            <v>2145.6600609112725</v>
          </cell>
          <cell r="W754">
            <v>2085.6505906664543</v>
          </cell>
          <cell r="X754">
            <v>2023.4390124371096</v>
          </cell>
          <cell r="Y754">
            <v>1952.5084183176946</v>
          </cell>
          <cell r="Z754">
            <v>1880.896422147573</v>
          </cell>
          <cell r="AA754">
            <v>1808.6010832885884</v>
          </cell>
          <cell r="AB754">
            <v>1735.6204611025041</v>
          </cell>
          <cell r="AC754">
            <v>1661.9526149511391</v>
          </cell>
          <cell r="AD754">
            <v>1594.9422051678503</v>
          </cell>
          <cell r="AE754">
            <v>1527.9288748375207</v>
          </cell>
          <cell r="AF754">
            <v>1460.9107443136268</v>
          </cell>
          <cell r="AG754">
            <v>1393.8859339496553</v>
          </cell>
          <cell r="AH754">
            <v>1326.8525640990952</v>
          </cell>
        </row>
        <row r="755">
          <cell r="B755" t="str">
            <v>e-diesel (DAC) - Total cost - Asia - USD/ton fuel</v>
          </cell>
          <cell r="G755">
            <v>4463.0171201591793</v>
          </cell>
          <cell r="H755">
            <v>4158.6242826139915</v>
          </cell>
          <cell r="I755">
            <v>3855.850396798789</v>
          </cell>
          <cell r="J755">
            <v>3697.4990660818021</v>
          </cell>
          <cell r="K755">
            <v>3538.6060104799981</v>
          </cell>
          <cell r="L755">
            <v>3379.2229666832</v>
          </cell>
          <cell r="M755">
            <v>3219.4016713813953</v>
          </cell>
          <cell r="N755">
            <v>3059.1938612644444</v>
          </cell>
          <cell r="O755">
            <v>2985.00686588189</v>
          </cell>
          <cell r="P755">
            <v>2907.7417594033059</v>
          </cell>
          <cell r="Q755">
            <v>2827.4324734982042</v>
          </cell>
          <cell r="R755">
            <v>2744.1129398360531</v>
          </cell>
          <cell r="S755">
            <v>2657.8170900864375</v>
          </cell>
          <cell r="T755">
            <v>2594.527471078688</v>
          </cell>
          <cell r="U755">
            <v>2529.0810360795431</v>
          </cell>
          <cell r="V755">
            <v>2461.4897449067712</v>
          </cell>
          <cell r="W755">
            <v>2391.7655573779925</v>
          </cell>
          <cell r="X755">
            <v>2319.9204333109487</v>
          </cell>
          <cell r="Y755">
            <v>2228.857724407871</v>
          </cell>
          <cell r="Z755">
            <v>2137.5647093827602</v>
          </cell>
          <cell r="AA755">
            <v>2046.0342689217675</v>
          </cell>
          <cell r="AB755">
            <v>1954.259283710986</v>
          </cell>
          <cell r="AC755">
            <v>1862.2326344365397</v>
          </cell>
          <cell r="AD755">
            <v>1787.6117493594509</v>
          </cell>
          <cell r="AE755">
            <v>1713.1377720295286</v>
          </cell>
          <cell r="AF755">
            <v>1638.806510915156</v>
          </cell>
          <cell r="AG755">
            <v>1564.6137744847167</v>
          </cell>
          <cell r="AH755">
            <v>1490.5553712065966</v>
          </cell>
        </row>
        <row r="756">
          <cell r="B756" t="str">
            <v>e-diesel (DAC) - Total cost - Europe - USD/ton fuel</v>
          </cell>
          <cell r="G756">
            <v>3880.5669065019192</v>
          </cell>
          <cell r="H756">
            <v>3705.4189723515742</v>
          </cell>
          <cell r="I756">
            <v>3530.7678599543974</v>
          </cell>
          <cell r="J756">
            <v>3386.6134791016143</v>
          </cell>
          <cell r="K756">
            <v>3241.8634940965585</v>
          </cell>
          <cell r="L756">
            <v>3096.5604585520168</v>
          </cell>
          <cell r="M756">
            <v>2950.7469260807752</v>
          </cell>
          <cell r="N756">
            <v>2804.4654502955664</v>
          </cell>
          <cell r="O756">
            <v>2755.5714857060948</v>
          </cell>
          <cell r="P756">
            <v>2703.2645770630907</v>
          </cell>
          <cell r="Q756">
            <v>2647.5617853282347</v>
          </cell>
          <cell r="R756">
            <v>2588.4801714632354</v>
          </cell>
          <cell r="S756">
            <v>2526.0367964298625</v>
          </cell>
          <cell r="T756">
            <v>2473.2953648698222</v>
          </cell>
          <cell r="U756">
            <v>2418.2363402680794</v>
          </cell>
          <cell r="V756">
            <v>2360.8667843026246</v>
          </cell>
          <cell r="W756">
            <v>2301.1937586513295</v>
          </cell>
          <cell r="X756">
            <v>2239.2243249921439</v>
          </cell>
          <cell r="Y756">
            <v>2158.1002672256163</v>
          </cell>
          <cell r="Z756">
            <v>2076.5084443692385</v>
          </cell>
          <cell r="AA756">
            <v>1994.4445600884771</v>
          </cell>
          <cell r="AB756">
            <v>1911.9043180487063</v>
          </cell>
          <cell r="AC756">
            <v>1828.8834219153669</v>
          </cell>
          <cell r="AD756">
            <v>1755.0273404255074</v>
          </cell>
          <cell r="AE756">
            <v>1681.30464189744</v>
          </cell>
          <cell r="AF756">
            <v>1607.7113018649409</v>
          </cell>
          <cell r="AG756">
            <v>1534.2432958617883</v>
          </cell>
          <cell r="AH756">
            <v>1460.8965994217597</v>
          </cell>
        </row>
        <row r="757">
          <cell r="B757" t="str">
            <v>e-diesel (DAC) - Total cost - Middle East - USD/ton fuel</v>
          </cell>
          <cell r="G757">
            <v>3483.1024594958426</v>
          </cell>
          <cell r="H757">
            <v>3325.5038099398962</v>
          </cell>
          <cell r="I757">
            <v>3168.3088766605561</v>
          </cell>
          <cell r="J757">
            <v>3046.7959028100513</v>
          </cell>
          <cell r="K757">
            <v>2924.5553539649845</v>
          </cell>
          <cell r="L757">
            <v>2801.6145677118502</v>
          </cell>
          <cell r="M757">
            <v>2678.0008816371992</v>
          </cell>
          <cell r="N757">
            <v>2553.7416333274759</v>
          </cell>
          <cell r="O757">
            <v>2504.7938010299813</v>
          </cell>
          <cell r="P757">
            <v>2452.5294412479366</v>
          </cell>
          <cell r="Q757">
            <v>2396.9671541348371</v>
          </cell>
          <cell r="R757">
            <v>2338.1255398441958</v>
          </cell>
          <cell r="S757">
            <v>2276.0231985295572</v>
          </cell>
          <cell r="T757">
            <v>2226.8196135399539</v>
          </cell>
          <cell r="U757">
            <v>2175.3196300505629</v>
          </cell>
          <cell r="V757">
            <v>2121.5297133043105</v>
          </cell>
          <cell r="W757">
            <v>2065.4563285440036</v>
          </cell>
          <cell r="X757">
            <v>2007.1059410125333</v>
          </cell>
          <cell r="Y757">
            <v>1927.2953788016171</v>
          </cell>
          <cell r="Z757">
            <v>1847.0354635065855</v>
          </cell>
          <cell r="AA757">
            <v>1766.3213734471562</v>
          </cell>
          <cell r="AB757">
            <v>1685.1482869429888</v>
          </cell>
          <cell r="AC757">
            <v>1603.5113823137749</v>
          </cell>
          <cell r="AD757">
            <v>1534.8196359350538</v>
          </cell>
          <cell r="AE757">
            <v>1466.1699674573188</v>
          </cell>
          <cell r="AF757">
            <v>1397.5594796271464</v>
          </cell>
          <cell r="AG757">
            <v>1328.9852751911285</v>
          </cell>
          <cell r="AH757">
            <v>1260.4444568958568</v>
          </cell>
        </row>
        <row r="758">
          <cell r="B758" t="str">
            <v/>
          </cell>
        </row>
        <row r="759">
          <cell r="B759" t="str">
            <v>e-diesel (DAC) - CAPEX - Global - USD/ton fuel</v>
          </cell>
          <cell r="G759">
            <v>204</v>
          </cell>
          <cell r="H759">
            <v>198.66666666666666</v>
          </cell>
          <cell r="I759">
            <v>193.33333333333334</v>
          </cell>
          <cell r="J759">
            <v>188</v>
          </cell>
          <cell r="K759">
            <v>182.66666666666666</v>
          </cell>
          <cell r="L759">
            <v>177.33333333333334</v>
          </cell>
          <cell r="M759">
            <v>172</v>
          </cell>
          <cell r="N759">
            <v>166.66666666666666</v>
          </cell>
          <cell r="O759">
            <v>164.5</v>
          </cell>
          <cell r="P759">
            <v>162.33333333333334</v>
          </cell>
          <cell r="Q759">
            <v>160.16666666666666</v>
          </cell>
          <cell r="R759">
            <v>158</v>
          </cell>
          <cell r="S759">
            <v>155.83333333333334</v>
          </cell>
          <cell r="T759">
            <v>153.66666666666666</v>
          </cell>
          <cell r="U759">
            <v>151.5</v>
          </cell>
          <cell r="V759">
            <v>149.33333333333334</v>
          </cell>
          <cell r="W759">
            <v>147.16666666666666</v>
          </cell>
          <cell r="X759">
            <v>145</v>
          </cell>
          <cell r="Y759">
            <v>140.5</v>
          </cell>
          <cell r="Z759">
            <v>136</v>
          </cell>
          <cell r="AA759">
            <v>131.5</v>
          </cell>
          <cell r="AB759">
            <v>127</v>
          </cell>
          <cell r="AC759">
            <v>122.5</v>
          </cell>
          <cell r="AD759">
            <v>118</v>
          </cell>
          <cell r="AE759">
            <v>113.5</v>
          </cell>
          <cell r="AF759">
            <v>109</v>
          </cell>
          <cell r="AG759">
            <v>104.5</v>
          </cell>
          <cell r="AH759">
            <v>100</v>
          </cell>
        </row>
        <row r="760">
          <cell r="B760" t="str">
            <v>e-diesel - Plant lifetime - Global - Years</v>
          </cell>
          <cell r="G760">
            <v>30</v>
          </cell>
          <cell r="H760">
            <v>30</v>
          </cell>
          <cell r="I760">
            <v>30</v>
          </cell>
          <cell r="J760">
            <v>30</v>
          </cell>
          <cell r="K760">
            <v>30</v>
          </cell>
          <cell r="L760">
            <v>30</v>
          </cell>
          <cell r="M760">
            <v>30</v>
          </cell>
          <cell r="N760">
            <v>30</v>
          </cell>
          <cell r="O760">
            <v>30</v>
          </cell>
          <cell r="P760">
            <v>30</v>
          </cell>
          <cell r="Q760">
            <v>30</v>
          </cell>
          <cell r="R760">
            <v>30</v>
          </cell>
          <cell r="S760">
            <v>30</v>
          </cell>
          <cell r="T760">
            <v>30</v>
          </cell>
          <cell r="U760">
            <v>30</v>
          </cell>
          <cell r="V760">
            <v>30</v>
          </cell>
          <cell r="W760">
            <v>30</v>
          </cell>
          <cell r="X760">
            <v>30</v>
          </cell>
          <cell r="Y760">
            <v>30</v>
          </cell>
          <cell r="Z760">
            <v>30</v>
          </cell>
          <cell r="AA760">
            <v>30</v>
          </cell>
          <cell r="AB760">
            <v>30</v>
          </cell>
          <cell r="AC760">
            <v>30</v>
          </cell>
          <cell r="AD760">
            <v>30</v>
          </cell>
          <cell r="AE760">
            <v>30</v>
          </cell>
          <cell r="AF760">
            <v>30</v>
          </cell>
          <cell r="AG760">
            <v>30</v>
          </cell>
          <cell r="AH760">
            <v>30</v>
          </cell>
        </row>
        <row r="761">
          <cell r="B761" t="str">
            <v>e-diesel - Total CAPEX - Global - USD/ton fuel</v>
          </cell>
          <cell r="G761">
            <v>6120</v>
          </cell>
          <cell r="H761">
            <v>5960</v>
          </cell>
          <cell r="I761">
            <v>5800</v>
          </cell>
          <cell r="J761">
            <v>5640</v>
          </cell>
          <cell r="K761">
            <v>5480</v>
          </cell>
          <cell r="L761">
            <v>5320</v>
          </cell>
          <cell r="M761">
            <v>5160</v>
          </cell>
          <cell r="N761">
            <v>5000</v>
          </cell>
          <cell r="O761">
            <v>4935</v>
          </cell>
          <cell r="P761">
            <v>4870</v>
          </cell>
          <cell r="Q761">
            <v>4805</v>
          </cell>
          <cell r="R761">
            <v>4740</v>
          </cell>
          <cell r="S761">
            <v>4675</v>
          </cell>
          <cell r="T761">
            <v>4610</v>
          </cell>
          <cell r="U761">
            <v>4545</v>
          </cell>
          <cell r="V761">
            <v>4480</v>
          </cell>
          <cell r="W761">
            <v>4415</v>
          </cell>
          <cell r="X761">
            <v>4350</v>
          </cell>
          <cell r="Y761">
            <v>4215</v>
          </cell>
          <cell r="Z761">
            <v>4080</v>
          </cell>
          <cell r="AA761">
            <v>3945</v>
          </cell>
          <cell r="AB761">
            <v>3810</v>
          </cell>
          <cell r="AC761">
            <v>3675</v>
          </cell>
          <cell r="AD761">
            <v>3540</v>
          </cell>
          <cell r="AE761">
            <v>3405</v>
          </cell>
          <cell r="AF761">
            <v>3270</v>
          </cell>
          <cell r="AG761">
            <v>3135</v>
          </cell>
          <cell r="AH761">
            <v>3000</v>
          </cell>
        </row>
        <row r="762">
          <cell r="B762" t="str">
            <v/>
          </cell>
        </row>
        <row r="763">
          <cell r="B763" t="str">
            <v>e-diesel (DAC) - OPEX - Global - USD/ton fuel</v>
          </cell>
          <cell r="G763">
            <v>538.55999999999506</v>
          </cell>
          <cell r="H763">
            <v>500.63999999999783</v>
          </cell>
          <cell r="I763">
            <v>464.0000000000004</v>
          </cell>
          <cell r="J763">
            <v>428.63999999999288</v>
          </cell>
          <cell r="K763">
            <v>394.55999999999551</v>
          </cell>
          <cell r="L763">
            <v>361.75999999999794</v>
          </cell>
          <cell r="M763">
            <v>330.24000000000029</v>
          </cell>
          <cell r="N763">
            <v>299.99999999999363</v>
          </cell>
          <cell r="O763">
            <v>296.09999999999997</v>
          </cell>
          <cell r="P763">
            <v>292.2</v>
          </cell>
          <cell r="Q763">
            <v>288.3</v>
          </cell>
          <cell r="R763">
            <v>284.39999999999998</v>
          </cell>
          <cell r="S763">
            <v>280.5</v>
          </cell>
          <cell r="T763">
            <v>276.59999999999997</v>
          </cell>
          <cell r="U763">
            <v>272.7</v>
          </cell>
          <cell r="V763">
            <v>268.8</v>
          </cell>
          <cell r="W763">
            <v>264.89999999999998</v>
          </cell>
          <cell r="X763">
            <v>260.99999999999829</v>
          </cell>
          <cell r="Y763">
            <v>244.46999999999929</v>
          </cell>
          <cell r="Z763">
            <v>228.47999999999658</v>
          </cell>
          <cell r="AA763">
            <v>213.02999999999756</v>
          </cell>
          <cell r="AB763">
            <v>198.11999999999847</v>
          </cell>
          <cell r="AC763">
            <v>183.74999999999935</v>
          </cell>
          <cell r="AD763">
            <v>169.919999999997</v>
          </cell>
          <cell r="AE763">
            <v>156.62999999999786</v>
          </cell>
          <cell r="AF763">
            <v>143.87999999999869</v>
          </cell>
          <cell r="AG763">
            <v>131.66999999999942</v>
          </cell>
          <cell r="AH763">
            <v>120.00000000000011</v>
          </cell>
        </row>
        <row r="764">
          <cell r="B764" t="str">
            <v>e-diesel - OPEX - Global - USD/ton fuel/year</v>
          </cell>
          <cell r="G764">
            <v>538.55999999999506</v>
          </cell>
          <cell r="H764">
            <v>500.63999999999783</v>
          </cell>
          <cell r="I764">
            <v>464.0000000000004</v>
          </cell>
          <cell r="J764">
            <v>428.63999999999288</v>
          </cell>
          <cell r="K764">
            <v>394.55999999999551</v>
          </cell>
          <cell r="L764">
            <v>361.75999999999794</v>
          </cell>
          <cell r="M764">
            <v>330.24000000000029</v>
          </cell>
          <cell r="N764">
            <v>299.99999999999363</v>
          </cell>
          <cell r="O764">
            <v>296.09999999999997</v>
          </cell>
          <cell r="P764">
            <v>292.2</v>
          </cell>
          <cell r="Q764">
            <v>288.3</v>
          </cell>
          <cell r="R764">
            <v>284.39999999999998</v>
          </cell>
          <cell r="S764">
            <v>280.5</v>
          </cell>
          <cell r="T764">
            <v>276.59999999999997</v>
          </cell>
          <cell r="U764">
            <v>272.7</v>
          </cell>
          <cell r="V764">
            <v>268.8</v>
          </cell>
          <cell r="W764">
            <v>264.89999999999998</v>
          </cell>
          <cell r="X764">
            <v>260.99999999999829</v>
          </cell>
          <cell r="Y764">
            <v>244.46999999999929</v>
          </cell>
          <cell r="Z764">
            <v>228.47999999999658</v>
          </cell>
          <cell r="AA764">
            <v>213.02999999999756</v>
          </cell>
          <cell r="AB764">
            <v>198.11999999999847</v>
          </cell>
          <cell r="AC764">
            <v>183.74999999999935</v>
          </cell>
          <cell r="AD764">
            <v>169.919999999997</v>
          </cell>
          <cell r="AE764">
            <v>156.62999999999786</v>
          </cell>
          <cell r="AF764">
            <v>143.87999999999869</v>
          </cell>
          <cell r="AG764">
            <v>131.66999999999942</v>
          </cell>
          <cell r="AH764">
            <v>120.00000000000011</v>
          </cell>
        </row>
        <row r="765">
          <cell r="B765" t="str">
            <v/>
          </cell>
        </row>
        <row r="766">
          <cell r="B766" t="str">
            <v>e-diesel (DAC) - Finance cost - Africa - USD/ton fuel</v>
          </cell>
          <cell r="G766">
            <v>336.6</v>
          </cell>
          <cell r="H766">
            <v>327.80000000000007</v>
          </cell>
          <cell r="I766">
            <v>319.00000000000006</v>
          </cell>
          <cell r="J766">
            <v>310.20000000000005</v>
          </cell>
          <cell r="K766">
            <v>301.40000000000003</v>
          </cell>
          <cell r="L766">
            <v>292.60000000000002</v>
          </cell>
          <cell r="M766">
            <v>283.8</v>
          </cell>
          <cell r="N766">
            <v>275.00000000000006</v>
          </cell>
          <cell r="O766">
            <v>271.42500000000001</v>
          </cell>
          <cell r="P766">
            <v>267.85000000000002</v>
          </cell>
          <cell r="Q766">
            <v>264.27500000000003</v>
          </cell>
          <cell r="R766">
            <v>260.70000000000005</v>
          </cell>
          <cell r="S766">
            <v>257.12500000000006</v>
          </cell>
          <cell r="T766">
            <v>253.55000000000004</v>
          </cell>
          <cell r="U766">
            <v>249.97500000000002</v>
          </cell>
          <cell r="V766">
            <v>246.40000000000003</v>
          </cell>
          <cell r="W766">
            <v>242.82500000000005</v>
          </cell>
          <cell r="X766">
            <v>239.25000000000003</v>
          </cell>
          <cell r="Y766">
            <v>231.82500000000002</v>
          </cell>
          <cell r="Z766">
            <v>224.40000000000003</v>
          </cell>
          <cell r="AA766">
            <v>216.97500000000002</v>
          </cell>
          <cell r="AB766">
            <v>209.55000000000004</v>
          </cell>
          <cell r="AC766">
            <v>202.12500000000003</v>
          </cell>
          <cell r="AD766">
            <v>194.70000000000002</v>
          </cell>
          <cell r="AE766">
            <v>187.27500000000003</v>
          </cell>
          <cell r="AF766">
            <v>179.85000000000002</v>
          </cell>
          <cell r="AG766">
            <v>172.42500000000001</v>
          </cell>
          <cell r="AH766">
            <v>165.00000000000003</v>
          </cell>
        </row>
        <row r="767">
          <cell r="B767" t="str">
            <v>e-diesel (DAC) - Finance cost - Americas - USD/ton fuel</v>
          </cell>
          <cell r="G767">
            <v>336.6</v>
          </cell>
          <cell r="H767">
            <v>327.80000000000007</v>
          </cell>
          <cell r="I767">
            <v>319.00000000000006</v>
          </cell>
          <cell r="J767">
            <v>310.20000000000005</v>
          </cell>
          <cell r="K767">
            <v>301.40000000000003</v>
          </cell>
          <cell r="L767">
            <v>292.60000000000002</v>
          </cell>
          <cell r="M767">
            <v>283.8</v>
          </cell>
          <cell r="N767">
            <v>275.00000000000006</v>
          </cell>
          <cell r="O767">
            <v>271.42500000000001</v>
          </cell>
          <cell r="P767">
            <v>267.85000000000002</v>
          </cell>
          <cell r="Q767">
            <v>264.27500000000003</v>
          </cell>
          <cell r="R767">
            <v>260.70000000000005</v>
          </cell>
          <cell r="S767">
            <v>257.12500000000006</v>
          </cell>
          <cell r="T767">
            <v>253.55000000000004</v>
          </cell>
          <cell r="U767">
            <v>249.97500000000002</v>
          </cell>
          <cell r="V767">
            <v>246.40000000000003</v>
          </cell>
          <cell r="W767">
            <v>242.82500000000005</v>
          </cell>
          <cell r="X767">
            <v>239.25000000000003</v>
          </cell>
          <cell r="Y767">
            <v>231.82500000000002</v>
          </cell>
          <cell r="Z767">
            <v>224.40000000000003</v>
          </cell>
          <cell r="AA767">
            <v>216.97500000000002</v>
          </cell>
          <cell r="AB767">
            <v>209.55000000000004</v>
          </cell>
          <cell r="AC767">
            <v>202.12500000000003</v>
          </cell>
          <cell r="AD767">
            <v>194.70000000000002</v>
          </cell>
          <cell r="AE767">
            <v>187.27500000000003</v>
          </cell>
          <cell r="AF767">
            <v>179.85000000000002</v>
          </cell>
          <cell r="AG767">
            <v>172.42500000000001</v>
          </cell>
          <cell r="AH767">
            <v>165.00000000000003</v>
          </cell>
        </row>
        <row r="768">
          <cell r="B768" t="str">
            <v>e-diesel (DAC) - Finance cost - Asia - USD/ton fuel</v>
          </cell>
          <cell r="G768">
            <v>336.6</v>
          </cell>
          <cell r="H768">
            <v>327.80000000000007</v>
          </cell>
          <cell r="I768">
            <v>319.00000000000006</v>
          </cell>
          <cell r="J768">
            <v>310.20000000000005</v>
          </cell>
          <cell r="K768">
            <v>301.40000000000003</v>
          </cell>
          <cell r="L768">
            <v>292.60000000000002</v>
          </cell>
          <cell r="M768">
            <v>283.8</v>
          </cell>
          <cell r="N768">
            <v>275.00000000000006</v>
          </cell>
          <cell r="O768">
            <v>271.42500000000001</v>
          </cell>
          <cell r="P768">
            <v>267.85000000000002</v>
          </cell>
          <cell r="Q768">
            <v>264.27500000000003</v>
          </cell>
          <cell r="R768">
            <v>260.70000000000005</v>
          </cell>
          <cell r="S768">
            <v>257.12500000000006</v>
          </cell>
          <cell r="T768">
            <v>253.55000000000004</v>
          </cell>
          <cell r="U768">
            <v>249.97500000000002</v>
          </cell>
          <cell r="V768">
            <v>246.40000000000003</v>
          </cell>
          <cell r="W768">
            <v>242.82500000000005</v>
          </cell>
          <cell r="X768">
            <v>239.25000000000003</v>
          </cell>
          <cell r="Y768">
            <v>231.82500000000002</v>
          </cell>
          <cell r="Z768">
            <v>224.40000000000003</v>
          </cell>
          <cell r="AA768">
            <v>216.97500000000002</v>
          </cell>
          <cell r="AB768">
            <v>209.55000000000004</v>
          </cell>
          <cell r="AC768">
            <v>202.12500000000003</v>
          </cell>
          <cell r="AD768">
            <v>194.70000000000002</v>
          </cell>
          <cell r="AE768">
            <v>187.27500000000003</v>
          </cell>
          <cell r="AF768">
            <v>179.85000000000002</v>
          </cell>
          <cell r="AG768">
            <v>172.42500000000001</v>
          </cell>
          <cell r="AH768">
            <v>165.00000000000003</v>
          </cell>
        </row>
        <row r="769">
          <cell r="B769" t="str">
            <v>e-diesel (DAC) - Finance cost - Europe - USD/ton fuel</v>
          </cell>
          <cell r="G769">
            <v>336.6</v>
          </cell>
          <cell r="H769">
            <v>327.80000000000007</v>
          </cell>
          <cell r="I769">
            <v>319.00000000000006</v>
          </cell>
          <cell r="J769">
            <v>310.20000000000005</v>
          </cell>
          <cell r="K769">
            <v>301.40000000000003</v>
          </cell>
          <cell r="L769">
            <v>292.60000000000002</v>
          </cell>
          <cell r="M769">
            <v>283.8</v>
          </cell>
          <cell r="N769">
            <v>275.00000000000006</v>
          </cell>
          <cell r="O769">
            <v>271.42500000000001</v>
          </cell>
          <cell r="P769">
            <v>267.85000000000002</v>
          </cell>
          <cell r="Q769">
            <v>264.27500000000003</v>
          </cell>
          <cell r="R769">
            <v>260.70000000000005</v>
          </cell>
          <cell r="S769">
            <v>257.12500000000006</v>
          </cell>
          <cell r="T769">
            <v>253.55000000000004</v>
          </cell>
          <cell r="U769">
            <v>249.97500000000002</v>
          </cell>
          <cell r="V769">
            <v>246.40000000000003</v>
          </cell>
          <cell r="W769">
            <v>242.82500000000005</v>
          </cell>
          <cell r="X769">
            <v>239.25000000000003</v>
          </cell>
          <cell r="Y769">
            <v>231.82500000000002</v>
          </cell>
          <cell r="Z769">
            <v>224.40000000000003</v>
          </cell>
          <cell r="AA769">
            <v>216.97500000000002</v>
          </cell>
          <cell r="AB769">
            <v>209.55000000000004</v>
          </cell>
          <cell r="AC769">
            <v>202.12500000000003</v>
          </cell>
          <cell r="AD769">
            <v>194.70000000000002</v>
          </cell>
          <cell r="AE769">
            <v>187.27500000000003</v>
          </cell>
          <cell r="AF769">
            <v>179.85000000000002</v>
          </cell>
          <cell r="AG769">
            <v>172.42500000000001</v>
          </cell>
          <cell r="AH769">
            <v>165.00000000000003</v>
          </cell>
        </row>
        <row r="770">
          <cell r="B770" t="str">
            <v>e-diesel (DAC) - Finance cost - Middle East - USD/ton fuel</v>
          </cell>
          <cell r="G770">
            <v>336.6</v>
          </cell>
          <cell r="H770">
            <v>327.80000000000007</v>
          </cell>
          <cell r="I770">
            <v>319.00000000000006</v>
          </cell>
          <cell r="J770">
            <v>310.20000000000005</v>
          </cell>
          <cell r="K770">
            <v>301.40000000000003</v>
          </cell>
          <cell r="L770">
            <v>292.60000000000002</v>
          </cell>
          <cell r="M770">
            <v>283.8</v>
          </cell>
          <cell r="N770">
            <v>275.00000000000006</v>
          </cell>
          <cell r="O770">
            <v>271.42500000000001</v>
          </cell>
          <cell r="P770">
            <v>267.85000000000002</v>
          </cell>
          <cell r="Q770">
            <v>264.27500000000003</v>
          </cell>
          <cell r="R770">
            <v>260.70000000000005</v>
          </cell>
          <cell r="S770">
            <v>257.12500000000006</v>
          </cell>
          <cell r="T770">
            <v>253.55000000000004</v>
          </cell>
          <cell r="U770">
            <v>249.97500000000002</v>
          </cell>
          <cell r="V770">
            <v>246.40000000000003</v>
          </cell>
          <cell r="W770">
            <v>242.82500000000005</v>
          </cell>
          <cell r="X770">
            <v>239.25000000000003</v>
          </cell>
          <cell r="Y770">
            <v>231.82500000000002</v>
          </cell>
          <cell r="Z770">
            <v>224.40000000000003</v>
          </cell>
          <cell r="AA770">
            <v>216.97500000000002</v>
          </cell>
          <cell r="AB770">
            <v>209.55000000000004</v>
          </cell>
          <cell r="AC770">
            <v>202.12500000000003</v>
          </cell>
          <cell r="AD770">
            <v>194.70000000000002</v>
          </cell>
          <cell r="AE770">
            <v>187.27500000000003</v>
          </cell>
          <cell r="AF770">
            <v>179.85000000000002</v>
          </cell>
          <cell r="AG770">
            <v>172.42500000000001</v>
          </cell>
          <cell r="AH770">
            <v>165.00000000000003</v>
          </cell>
        </row>
        <row r="771">
          <cell r="B771" t="str">
            <v>General - Weighted average cost of capital (WACC) - Africa - %</v>
          </cell>
          <cell r="G771">
            <v>5.5000000000000007E-2</v>
          </cell>
          <cell r="H771">
            <v>5.5000000000000007E-2</v>
          </cell>
          <cell r="I771">
            <v>5.5000000000000007E-2</v>
          </cell>
          <cell r="J771">
            <v>5.5000000000000007E-2</v>
          </cell>
          <cell r="K771">
            <v>5.5000000000000007E-2</v>
          </cell>
          <cell r="L771">
            <v>5.5000000000000007E-2</v>
          </cell>
          <cell r="M771">
            <v>5.5000000000000007E-2</v>
          </cell>
          <cell r="N771">
            <v>5.5000000000000007E-2</v>
          </cell>
          <cell r="O771">
            <v>5.5000000000000007E-2</v>
          </cell>
          <cell r="P771">
            <v>5.5000000000000007E-2</v>
          </cell>
          <cell r="Q771">
            <v>5.5000000000000007E-2</v>
          </cell>
          <cell r="R771">
            <v>5.5000000000000007E-2</v>
          </cell>
          <cell r="S771">
            <v>5.5000000000000007E-2</v>
          </cell>
          <cell r="T771">
            <v>5.5000000000000007E-2</v>
          </cell>
          <cell r="U771">
            <v>5.5000000000000007E-2</v>
          </cell>
          <cell r="V771">
            <v>5.5000000000000007E-2</v>
          </cell>
          <cell r="W771">
            <v>5.5000000000000007E-2</v>
          </cell>
          <cell r="X771">
            <v>5.5000000000000007E-2</v>
          </cell>
          <cell r="Y771">
            <v>5.5000000000000007E-2</v>
          </cell>
          <cell r="Z771">
            <v>5.5000000000000007E-2</v>
          </cell>
          <cell r="AA771">
            <v>5.5000000000000007E-2</v>
          </cell>
          <cell r="AB771">
            <v>5.5000000000000007E-2</v>
          </cell>
          <cell r="AC771">
            <v>5.5000000000000007E-2</v>
          </cell>
          <cell r="AD771">
            <v>5.5000000000000007E-2</v>
          </cell>
          <cell r="AE771">
            <v>5.5000000000000007E-2</v>
          </cell>
          <cell r="AF771">
            <v>5.5000000000000007E-2</v>
          </cell>
          <cell r="AG771">
            <v>5.5000000000000007E-2</v>
          </cell>
          <cell r="AH771">
            <v>5.5000000000000007E-2</v>
          </cell>
        </row>
        <row r="772">
          <cell r="B772" t="str">
            <v>General - Weighted average cost of capital (WACC) - Americas - %</v>
          </cell>
          <cell r="G772">
            <v>5.5000000000000007E-2</v>
          </cell>
          <cell r="H772">
            <v>5.5000000000000007E-2</v>
          </cell>
          <cell r="I772">
            <v>5.5000000000000007E-2</v>
          </cell>
          <cell r="J772">
            <v>5.5000000000000007E-2</v>
          </cell>
          <cell r="K772">
            <v>5.5000000000000007E-2</v>
          </cell>
          <cell r="L772">
            <v>5.5000000000000007E-2</v>
          </cell>
          <cell r="M772">
            <v>5.5000000000000007E-2</v>
          </cell>
          <cell r="N772">
            <v>5.5000000000000007E-2</v>
          </cell>
          <cell r="O772">
            <v>5.5000000000000007E-2</v>
          </cell>
          <cell r="P772">
            <v>5.5000000000000007E-2</v>
          </cell>
          <cell r="Q772">
            <v>5.5000000000000007E-2</v>
          </cell>
          <cell r="R772">
            <v>5.5000000000000007E-2</v>
          </cell>
          <cell r="S772">
            <v>5.5000000000000007E-2</v>
          </cell>
          <cell r="T772">
            <v>5.5000000000000007E-2</v>
          </cell>
          <cell r="U772">
            <v>5.5000000000000007E-2</v>
          </cell>
          <cell r="V772">
            <v>5.5000000000000007E-2</v>
          </cell>
          <cell r="W772">
            <v>5.5000000000000007E-2</v>
          </cell>
          <cell r="X772">
            <v>5.5000000000000007E-2</v>
          </cell>
          <cell r="Y772">
            <v>5.5000000000000007E-2</v>
          </cell>
          <cell r="Z772">
            <v>5.5000000000000007E-2</v>
          </cell>
          <cell r="AA772">
            <v>5.5000000000000007E-2</v>
          </cell>
          <cell r="AB772">
            <v>5.5000000000000007E-2</v>
          </cell>
          <cell r="AC772">
            <v>5.5000000000000007E-2</v>
          </cell>
          <cell r="AD772">
            <v>5.5000000000000007E-2</v>
          </cell>
          <cell r="AE772">
            <v>5.5000000000000007E-2</v>
          </cell>
          <cell r="AF772">
            <v>5.5000000000000007E-2</v>
          </cell>
          <cell r="AG772">
            <v>5.5000000000000007E-2</v>
          </cell>
          <cell r="AH772">
            <v>5.5000000000000007E-2</v>
          </cell>
        </row>
        <row r="773">
          <cell r="B773" t="str">
            <v>General - Weighted average cost of capital (WACC) - Asia - %</v>
          </cell>
          <cell r="G773">
            <v>5.5000000000000007E-2</v>
          </cell>
          <cell r="H773">
            <v>5.5000000000000007E-2</v>
          </cell>
          <cell r="I773">
            <v>5.5000000000000007E-2</v>
          </cell>
          <cell r="J773">
            <v>5.5000000000000007E-2</v>
          </cell>
          <cell r="K773">
            <v>5.5000000000000007E-2</v>
          </cell>
          <cell r="L773">
            <v>5.5000000000000007E-2</v>
          </cell>
          <cell r="M773">
            <v>5.5000000000000007E-2</v>
          </cell>
          <cell r="N773">
            <v>5.5000000000000007E-2</v>
          </cell>
          <cell r="O773">
            <v>5.5000000000000007E-2</v>
          </cell>
          <cell r="P773">
            <v>5.5000000000000007E-2</v>
          </cell>
          <cell r="Q773">
            <v>5.5000000000000007E-2</v>
          </cell>
          <cell r="R773">
            <v>5.5000000000000007E-2</v>
          </cell>
          <cell r="S773">
            <v>5.5000000000000007E-2</v>
          </cell>
          <cell r="T773">
            <v>5.5000000000000007E-2</v>
          </cell>
          <cell r="U773">
            <v>5.5000000000000007E-2</v>
          </cell>
          <cell r="V773">
            <v>5.5000000000000007E-2</v>
          </cell>
          <cell r="W773">
            <v>5.5000000000000007E-2</v>
          </cell>
          <cell r="X773">
            <v>5.5000000000000007E-2</v>
          </cell>
          <cell r="Y773">
            <v>5.5000000000000007E-2</v>
          </cell>
          <cell r="Z773">
            <v>5.5000000000000007E-2</v>
          </cell>
          <cell r="AA773">
            <v>5.5000000000000007E-2</v>
          </cell>
          <cell r="AB773">
            <v>5.5000000000000007E-2</v>
          </cell>
          <cell r="AC773">
            <v>5.5000000000000007E-2</v>
          </cell>
          <cell r="AD773">
            <v>5.5000000000000007E-2</v>
          </cell>
          <cell r="AE773">
            <v>5.5000000000000007E-2</v>
          </cell>
          <cell r="AF773">
            <v>5.5000000000000007E-2</v>
          </cell>
          <cell r="AG773">
            <v>5.5000000000000007E-2</v>
          </cell>
          <cell r="AH773">
            <v>5.5000000000000007E-2</v>
          </cell>
        </row>
        <row r="774">
          <cell r="B774" t="str">
            <v>General - Weighted average cost of capital (WACC) - Europe - %</v>
          </cell>
          <cell r="G774">
            <v>5.5000000000000007E-2</v>
          </cell>
          <cell r="H774">
            <v>5.5000000000000007E-2</v>
          </cell>
          <cell r="I774">
            <v>5.5000000000000007E-2</v>
          </cell>
          <cell r="J774">
            <v>5.5000000000000007E-2</v>
          </cell>
          <cell r="K774">
            <v>5.5000000000000007E-2</v>
          </cell>
          <cell r="L774">
            <v>5.5000000000000007E-2</v>
          </cell>
          <cell r="M774">
            <v>5.5000000000000007E-2</v>
          </cell>
          <cell r="N774">
            <v>5.5000000000000007E-2</v>
          </cell>
          <cell r="O774">
            <v>5.5000000000000007E-2</v>
          </cell>
          <cell r="P774">
            <v>5.5000000000000007E-2</v>
          </cell>
          <cell r="Q774">
            <v>5.5000000000000007E-2</v>
          </cell>
          <cell r="R774">
            <v>5.5000000000000007E-2</v>
          </cell>
          <cell r="S774">
            <v>5.5000000000000007E-2</v>
          </cell>
          <cell r="T774">
            <v>5.5000000000000007E-2</v>
          </cell>
          <cell r="U774">
            <v>5.5000000000000007E-2</v>
          </cell>
          <cell r="V774">
            <v>5.5000000000000007E-2</v>
          </cell>
          <cell r="W774">
            <v>5.5000000000000007E-2</v>
          </cell>
          <cell r="X774">
            <v>5.5000000000000007E-2</v>
          </cell>
          <cell r="Y774">
            <v>5.5000000000000007E-2</v>
          </cell>
          <cell r="Z774">
            <v>5.5000000000000007E-2</v>
          </cell>
          <cell r="AA774">
            <v>5.5000000000000007E-2</v>
          </cell>
          <cell r="AB774">
            <v>5.5000000000000007E-2</v>
          </cell>
          <cell r="AC774">
            <v>5.5000000000000007E-2</v>
          </cell>
          <cell r="AD774">
            <v>5.5000000000000007E-2</v>
          </cell>
          <cell r="AE774">
            <v>5.5000000000000007E-2</v>
          </cell>
          <cell r="AF774">
            <v>5.5000000000000007E-2</v>
          </cell>
          <cell r="AG774">
            <v>5.5000000000000007E-2</v>
          </cell>
          <cell r="AH774">
            <v>5.5000000000000007E-2</v>
          </cell>
        </row>
        <row r="775">
          <cell r="B775" t="str">
            <v>General - Weighted average cost of capital (WACC) - Middle East - %</v>
          </cell>
          <cell r="G775">
            <v>5.5000000000000007E-2</v>
          </cell>
          <cell r="H775">
            <v>5.5000000000000007E-2</v>
          </cell>
          <cell r="I775">
            <v>5.5000000000000007E-2</v>
          </cell>
          <cell r="J775">
            <v>5.5000000000000007E-2</v>
          </cell>
          <cell r="K775">
            <v>5.5000000000000007E-2</v>
          </cell>
          <cell r="L775">
            <v>5.5000000000000007E-2</v>
          </cell>
          <cell r="M775">
            <v>5.5000000000000007E-2</v>
          </cell>
          <cell r="N775">
            <v>5.5000000000000007E-2</v>
          </cell>
          <cell r="O775">
            <v>5.5000000000000007E-2</v>
          </cell>
          <cell r="P775">
            <v>5.5000000000000007E-2</v>
          </cell>
          <cell r="Q775">
            <v>5.5000000000000007E-2</v>
          </cell>
          <cell r="R775">
            <v>5.5000000000000007E-2</v>
          </cell>
          <cell r="S775">
            <v>5.5000000000000007E-2</v>
          </cell>
          <cell r="T775">
            <v>5.5000000000000007E-2</v>
          </cell>
          <cell r="U775">
            <v>5.5000000000000007E-2</v>
          </cell>
          <cell r="V775">
            <v>5.5000000000000007E-2</v>
          </cell>
          <cell r="W775">
            <v>5.5000000000000007E-2</v>
          </cell>
          <cell r="X775">
            <v>5.5000000000000007E-2</v>
          </cell>
          <cell r="Y775">
            <v>5.5000000000000007E-2</v>
          </cell>
          <cell r="Z775">
            <v>5.5000000000000007E-2</v>
          </cell>
          <cell r="AA775">
            <v>5.5000000000000007E-2</v>
          </cell>
          <cell r="AB775">
            <v>5.5000000000000007E-2</v>
          </cell>
          <cell r="AC775">
            <v>5.5000000000000007E-2</v>
          </cell>
          <cell r="AD775">
            <v>5.5000000000000007E-2</v>
          </cell>
          <cell r="AE775">
            <v>5.5000000000000007E-2</v>
          </cell>
          <cell r="AF775">
            <v>5.5000000000000007E-2</v>
          </cell>
          <cell r="AG775">
            <v>5.5000000000000007E-2</v>
          </cell>
          <cell r="AH775">
            <v>5.5000000000000007E-2</v>
          </cell>
        </row>
        <row r="776">
          <cell r="B776" t="str">
            <v>e-diesel - Total CAPEX - Global - USD/ton fuel</v>
          </cell>
          <cell r="G776">
            <v>6120</v>
          </cell>
          <cell r="H776">
            <v>5960</v>
          </cell>
          <cell r="I776">
            <v>5800</v>
          </cell>
          <cell r="J776">
            <v>5640</v>
          </cell>
          <cell r="K776">
            <v>5480</v>
          </cell>
          <cell r="L776">
            <v>5320</v>
          </cell>
          <cell r="M776">
            <v>5160</v>
          </cell>
          <cell r="N776">
            <v>5000</v>
          </cell>
          <cell r="O776">
            <v>4935</v>
          </cell>
          <cell r="P776">
            <v>4870</v>
          </cell>
          <cell r="Q776">
            <v>4805</v>
          </cell>
          <cell r="R776">
            <v>4740</v>
          </cell>
          <cell r="S776">
            <v>4675</v>
          </cell>
          <cell r="T776">
            <v>4610</v>
          </cell>
          <cell r="U776">
            <v>4545</v>
          </cell>
          <cell r="V776">
            <v>4480</v>
          </cell>
          <cell r="W776">
            <v>4415</v>
          </cell>
          <cell r="X776">
            <v>4350</v>
          </cell>
          <cell r="Y776">
            <v>4215</v>
          </cell>
          <cell r="Z776">
            <v>4080</v>
          </cell>
          <cell r="AA776">
            <v>3945</v>
          </cell>
          <cell r="AB776">
            <v>3810</v>
          </cell>
          <cell r="AC776">
            <v>3675</v>
          </cell>
          <cell r="AD776">
            <v>3540</v>
          </cell>
          <cell r="AE776">
            <v>3405</v>
          </cell>
          <cell r="AF776">
            <v>3270</v>
          </cell>
          <cell r="AG776">
            <v>3135</v>
          </cell>
          <cell r="AH776">
            <v>3000</v>
          </cell>
        </row>
        <row r="777">
          <cell r="B777" t="str">
            <v/>
          </cell>
        </row>
        <row r="778">
          <cell r="B778" t="str">
            <v>e-diesel (DAC) - Energy cost - Africa - USD/ton fuel</v>
          </cell>
          <cell r="G778">
            <v>24.196520996516455</v>
          </cell>
          <cell r="H778">
            <v>20.984263356572239</v>
          </cell>
          <cell r="I778">
            <v>17.87071422432129</v>
          </cell>
          <cell r="J778">
            <v>16.823748934217715</v>
          </cell>
          <cell r="K778">
            <v>15.802028726504963</v>
          </cell>
          <cell r="L778">
            <v>14.805553601183036</v>
          </cell>
          <cell r="M778">
            <v>13.834323558251761</v>
          </cell>
          <cell r="N778">
            <v>12.888338597711485</v>
          </cell>
          <cell r="O778">
            <v>12.290477819406663</v>
          </cell>
          <cell r="P778">
            <v>11.705545605118326</v>
          </cell>
          <cell r="Q778">
            <v>11.133541954846319</v>
          </cell>
          <cell r="R778">
            <v>10.574466868590962</v>
          </cell>
          <cell r="S778">
            <v>10.02832034635213</v>
          </cell>
          <cell r="T778">
            <v>9.6964670631229843</v>
          </cell>
          <cell r="U778">
            <v>9.3701967075256007</v>
          </cell>
          <cell r="V778">
            <v>9.0495092795597998</v>
          </cell>
          <cell r="W778">
            <v>8.7344047792256703</v>
          </cell>
          <cell r="X778">
            <v>8.424883206523333</v>
          </cell>
          <cell r="Y778">
            <v>8.1289163298713785</v>
          </cell>
          <cell r="Z778">
            <v>7.8382163198470858</v>
          </cell>
          <cell r="AA778">
            <v>7.552783176450439</v>
          </cell>
          <cell r="AB778">
            <v>7.2726168996816174</v>
          </cell>
          <cell r="AC778">
            <v>6.997717489540431</v>
          </cell>
          <cell r="AD778">
            <v>6.8115445879951633</v>
          </cell>
          <cell r="AE778">
            <v>6.6277434055101123</v>
          </cell>
          <cell r="AF778">
            <v>6.4463139420851272</v>
          </cell>
          <cell r="AG778">
            <v>6.2672561977202834</v>
          </cell>
          <cell r="AH778">
            <v>6.090570172415652</v>
          </cell>
        </row>
        <row r="779">
          <cell r="B779" t="str">
            <v>e-diesel (DAC) - Energy cost - Americas - USD/ton fuel</v>
          </cell>
          <cell r="G779">
            <v>15.203034188414808</v>
          </cell>
          <cell r="H779">
            <v>14.629589114960471</v>
          </cell>
          <cell r="I779">
            <v>14.067081505671206</v>
          </cell>
          <cell r="J779">
            <v>13.329612930282243</v>
          </cell>
          <cell r="K779">
            <v>12.609106739922293</v>
          </cell>
          <cell r="L779">
            <v>11.905562934591353</v>
          </cell>
          <cell r="M779">
            <v>11.218981514289597</v>
          </cell>
          <cell r="N779">
            <v>10.549362479016679</v>
          </cell>
          <cell r="O779">
            <v>10.15213828004366</v>
          </cell>
          <cell r="P779">
            <v>9.7624029611274885</v>
          </cell>
          <cell r="Q779">
            <v>9.3801565222681607</v>
          </cell>
          <cell r="R779">
            <v>9.0053989634656801</v>
          </cell>
          <cell r="S779">
            <v>8.6381302847200061</v>
          </cell>
          <cell r="T779">
            <v>8.3296276332387222</v>
          </cell>
          <cell r="U779">
            <v>8.0266945217164203</v>
          </cell>
          <cell r="V779">
            <v>7.7293309501529768</v>
          </cell>
          <cell r="W779">
            <v>7.437536918548509</v>
          </cell>
          <cell r="X779">
            <v>7.1513124269030035</v>
          </cell>
          <cell r="Y779">
            <v>6.9719308949500096</v>
          </cell>
          <cell r="Z779">
            <v>6.7946079297467135</v>
          </cell>
          <cell r="AA779">
            <v>6.6193435312931719</v>
          </cell>
          <cell r="AB779">
            <v>6.4461376995893911</v>
          </cell>
          <cell r="AC779">
            <v>6.2749904346353098</v>
          </cell>
          <cell r="AD779">
            <v>6.1289523542329727</v>
          </cell>
          <cell r="AE779">
            <v>5.9843391139187769</v>
          </cell>
          <cell r="AF779">
            <v>5.8411507136926293</v>
          </cell>
          <cell r="AG779">
            <v>5.699387153554567</v>
          </cell>
          <cell r="AH779">
            <v>5.5590484335046302</v>
          </cell>
        </row>
        <row r="780">
          <cell r="B780" t="str">
            <v>e-diesel (DAC) - Energy cost - Asia - USD/ton fuel</v>
          </cell>
          <cell r="G780">
            <v>26.911560952103585</v>
          </cell>
          <cell r="H780">
            <v>24.120345458273867</v>
          </cell>
          <cell r="I780">
            <v>21.411285353546209</v>
          </cell>
          <cell r="J780">
            <v>20.252527787458053</v>
          </cell>
          <cell r="K780">
            <v>19.120806072795972</v>
          </cell>
          <cell r="L780">
            <v>18.016120209559258</v>
          </cell>
          <cell r="M780">
            <v>16.93847019774827</v>
          </cell>
          <cell r="N780">
            <v>15.88785603736334</v>
          </cell>
          <cell r="O780">
            <v>15.123404554681125</v>
          </cell>
          <cell r="P780">
            <v>14.375812120197313</v>
          </cell>
          <cell r="Q780">
            <v>13.645078733911902</v>
          </cell>
          <cell r="R780">
            <v>12.931204395824565</v>
          </cell>
          <cell r="S780">
            <v>12.234189105935469</v>
          </cell>
          <cell r="T780">
            <v>11.797976538046914</v>
          </cell>
          <cell r="U780">
            <v>11.369627942208288</v>
          </cell>
          <cell r="V780">
            <v>10.949143318419541</v>
          </cell>
          <cell r="W780">
            <v>10.53652266668059</v>
          </cell>
          <cell r="X780">
            <v>10.131765986991704</v>
          </cell>
          <cell r="Y780">
            <v>9.7395580324030853</v>
          </cell>
          <cell r="Z780">
            <v>9.3549020176036937</v>
          </cell>
          <cell r="AA780">
            <v>8.9777979425934493</v>
          </cell>
          <cell r="AB780">
            <v>8.6082458073725423</v>
          </cell>
          <cell r="AC780">
            <v>8.2462456119407292</v>
          </cell>
          <cell r="AD780">
            <v>8.0154645450439599</v>
          </cell>
          <cell r="AE780">
            <v>7.7878608108152818</v>
          </cell>
          <cell r="AF780">
            <v>7.5634344092546586</v>
          </cell>
          <cell r="AG780">
            <v>7.3421853403621089</v>
          </cell>
          <cell r="AH780">
            <v>7.1241136041376523</v>
          </cell>
        </row>
        <row r="781">
          <cell r="B781" t="str">
            <v>e-diesel (DAC) - Energy cost - Europe - USD/ton fuel</v>
          </cell>
          <cell r="G781">
            <v>20.03419940861022</v>
          </cell>
          <cell r="H781">
            <v>18.837733795195369</v>
          </cell>
          <cell r="I781">
            <v>17.671265371443241</v>
          </cell>
          <cell r="J781">
            <v>16.717185818536183</v>
          </cell>
          <cell r="K781">
            <v>15.78534335027101</v>
          </cell>
          <cell r="L781">
            <v>14.875737966648074</v>
          </cell>
          <cell r="M781">
            <v>13.988369667667028</v>
          </cell>
          <cell r="N781">
            <v>13.123238453328213</v>
          </cell>
          <cell r="O781">
            <v>12.654095123654653</v>
          </cell>
          <cell r="P781">
            <v>12.193428582186671</v>
          </cell>
          <cell r="Q781">
            <v>11.741238828923938</v>
          </cell>
          <cell r="R781">
            <v>11.297525863866536</v>
          </cell>
          <cell r="S781">
            <v>10.862289687014542</v>
          </cell>
          <cell r="T781">
            <v>10.544654819504814</v>
          </cell>
          <cell r="U781">
            <v>10.231663236644277</v>
          </cell>
          <cell r="V781">
            <v>9.9233149384327817</v>
          </cell>
          <cell r="W781">
            <v>9.6196099248703852</v>
          </cell>
          <cell r="X781">
            <v>9.3205481959570715</v>
          </cell>
          <cell r="Y781">
            <v>9.0309249569471994</v>
          </cell>
          <cell r="Z781">
            <v>8.7458591318438703</v>
          </cell>
          <cell r="AA781">
            <v>8.4653507206472032</v>
          </cell>
          <cell r="AB781">
            <v>8.189399723357182</v>
          </cell>
          <cell r="AC781">
            <v>7.9180061399737713</v>
          </cell>
          <cell r="AD781">
            <v>7.6964162754164303</v>
          </cell>
          <cell r="AE781">
            <v>7.477877101912612</v>
          </cell>
          <cell r="AF781">
            <v>7.262388619462282</v>
          </cell>
          <cell r="AG781">
            <v>7.049950828065457</v>
          </cell>
          <cell r="AH781">
            <v>6.8405637277221549</v>
          </cell>
        </row>
        <row r="782">
          <cell r="B782" t="str">
            <v>e-diesel (DAC) - Energy cost - Middle East - USD/ton fuel</v>
          </cell>
          <cell r="G782">
            <v>15.341082917877907</v>
          </cell>
          <cell r="H782">
            <v>14.409400272858166</v>
          </cell>
          <cell r="I782">
            <v>13.501235651081528</v>
          </cell>
          <cell r="J782">
            <v>12.85283382039278</v>
          </cell>
          <cell r="K782">
            <v>12.218717691563548</v>
          </cell>
          <cell r="L782">
            <v>11.598887264593834</v>
          </cell>
          <cell r="M782">
            <v>10.993342539483638</v>
          </cell>
          <cell r="N782">
            <v>10.402083516232958</v>
          </cell>
          <cell r="O782">
            <v>9.9550881030842415</v>
          </cell>
          <cell r="P782">
            <v>9.5173342300383421</v>
          </cell>
          <cell r="Q782">
            <v>9.0888218970950945</v>
          </cell>
          <cell r="R782">
            <v>8.669551104254662</v>
          </cell>
          <cell r="S782">
            <v>8.2595218515169613</v>
          </cell>
          <cell r="T782">
            <v>7.9965392922245107</v>
          </cell>
          <cell r="U782">
            <v>7.737807841980775</v>
          </cell>
          <cell r="V782">
            <v>7.4833275007857054</v>
          </cell>
          <cell r="W782">
            <v>7.2330982686392709</v>
          </cell>
          <cell r="X782">
            <v>6.9871201455415495</v>
          </cell>
          <cell r="Y782">
            <v>6.719423322668999</v>
          </cell>
          <cell r="Z782">
            <v>6.4568411836030739</v>
          </cell>
          <cell r="AA782">
            <v>6.199373728343744</v>
          </cell>
          <cell r="AB782">
            <v>5.947020956891115</v>
          </cell>
          <cell r="AC782">
            <v>5.6997828692450287</v>
          </cell>
          <cell r="AD782">
            <v>5.540265853330915</v>
          </cell>
          <cell r="AE782">
            <v>5.3829450603634372</v>
          </cell>
          <cell r="AF782">
            <v>5.227820490342495</v>
          </cell>
          <cell r="AG782">
            <v>5.0748921432681389</v>
          </cell>
          <cell r="AH782">
            <v>4.9241600191404169</v>
          </cell>
        </row>
        <row r="783">
          <cell r="B783" t="str">
            <v>Renewable electricity - Cost of electricity - Africa - USD/MWh</v>
          </cell>
          <cell r="G783">
            <v>58.389806930514169</v>
          </cell>
          <cell r="H783">
            <v>51.533296245659585</v>
          </cell>
          <cell r="I783">
            <v>44.676785560803182</v>
          </cell>
          <cell r="J783">
            <v>42.765424685038852</v>
          </cell>
          <cell r="K783">
            <v>40.854063809274521</v>
          </cell>
          <cell r="L783">
            <v>38.942702933510191</v>
          </cell>
          <cell r="M783">
            <v>37.031342057745405</v>
          </cell>
          <cell r="N783">
            <v>35.119981181981075</v>
          </cell>
          <cell r="O783">
            <v>34.053057098426962</v>
          </cell>
          <cell r="P783">
            <v>32.986133014872848</v>
          </cell>
          <cell r="Q783">
            <v>31.919208931318281</v>
          </cell>
          <cell r="R783">
            <v>30.852284847764167</v>
          </cell>
          <cell r="S783">
            <v>29.785360764210168</v>
          </cell>
          <cell r="T783">
            <v>29.283177129903038</v>
          </cell>
          <cell r="U783">
            <v>28.780993495596022</v>
          </cell>
          <cell r="V783">
            <v>28.278809861288892</v>
          </cell>
          <cell r="W783">
            <v>27.776626226981762</v>
          </cell>
          <cell r="X783">
            <v>27.274442592674859</v>
          </cell>
          <cell r="Y783">
            <v>26.758061649346246</v>
          </cell>
          <cell r="Z783">
            <v>26.241680706017632</v>
          </cell>
          <cell r="AA783">
            <v>25.725299762688792</v>
          </cell>
          <cell r="AB783">
            <v>25.208918819360179</v>
          </cell>
          <cell r="AC783">
            <v>24.692537876031452</v>
          </cell>
          <cell r="AD783">
            <v>24.439084279606391</v>
          </cell>
          <cell r="AE783">
            <v>24.185630683181444</v>
          </cell>
          <cell r="AF783">
            <v>23.932177086756383</v>
          </cell>
          <cell r="AG783">
            <v>23.678723490331322</v>
          </cell>
          <cell r="AH783">
            <v>23.425269893906375</v>
          </cell>
        </row>
        <row r="784">
          <cell r="B784" t="str">
            <v>Renewable electricity - Cost of electricity - Americas - USD/MWh</v>
          </cell>
          <cell r="G784">
            <v>36.687184539767031</v>
          </cell>
          <cell r="H784">
            <v>35.927444151972622</v>
          </cell>
          <cell r="I784">
            <v>35.167703764177986</v>
          </cell>
          <cell r="J784">
            <v>33.883444176422017</v>
          </cell>
          <cell r="K784">
            <v>32.599184588666049</v>
          </cell>
          <cell r="L784">
            <v>31.31492500091008</v>
          </cell>
          <cell r="M784">
            <v>30.030665413154566</v>
          </cell>
          <cell r="N784">
            <v>28.746405825398597</v>
          </cell>
          <cell r="O784">
            <v>28.128389278370832</v>
          </cell>
          <cell r="P784">
            <v>27.510372731343068</v>
          </cell>
          <cell r="Q784">
            <v>26.892356184315304</v>
          </cell>
          <cell r="R784">
            <v>26.27433963728754</v>
          </cell>
          <cell r="S784">
            <v>25.656323090259662</v>
          </cell>
          <cell r="T784">
            <v>25.155343675421591</v>
          </cell>
          <cell r="U784">
            <v>24.65436426058352</v>
          </cell>
          <cell r="V784">
            <v>24.153384845745336</v>
          </cell>
          <cell r="W784">
            <v>23.652405430907265</v>
          </cell>
          <cell r="X784">
            <v>23.151426016069138</v>
          </cell>
          <cell r="Y784">
            <v>22.949597354879643</v>
          </cell>
          <cell r="Z784">
            <v>22.747768693690148</v>
          </cell>
          <cell r="AA784">
            <v>22.54594003250071</v>
          </cell>
          <cell r="AB784">
            <v>22.344111371311214</v>
          </cell>
          <cell r="AC784">
            <v>22.142282710121719</v>
          </cell>
          <cell r="AD784">
            <v>21.990017270793203</v>
          </cell>
          <cell r="AE784">
            <v>21.837751831464743</v>
          </cell>
          <cell r="AF784">
            <v>21.685486392136283</v>
          </cell>
          <cell r="AG784">
            <v>21.533220952807824</v>
          </cell>
          <cell r="AH784">
            <v>21.380955513479364</v>
          </cell>
        </row>
        <row r="785">
          <cell r="B785" t="str">
            <v>Renewable electricity - Cost of electricity - Asia - USD/MWh</v>
          </cell>
          <cell r="G785">
            <v>64.941602489809156</v>
          </cell>
          <cell r="H785">
            <v>59.234907936835953</v>
          </cell>
          <cell r="I785">
            <v>53.528213383865477</v>
          </cell>
          <cell r="J785">
            <v>51.481269434223577</v>
          </cell>
          <cell r="K785">
            <v>49.434325484582587</v>
          </cell>
          <cell r="L785">
            <v>47.387381534940687</v>
          </cell>
          <cell r="M785">
            <v>45.340437585298787</v>
          </cell>
          <cell r="N785">
            <v>43.293493635657796</v>
          </cell>
          <cell r="O785">
            <v>41.902208066311687</v>
          </cell>
          <cell r="P785">
            <v>40.510922496966032</v>
          </cell>
          <cell r="Q785">
            <v>39.119636927620832</v>
          </cell>
          <cell r="R785">
            <v>37.728351358275177</v>
          </cell>
          <cell r="S785">
            <v>36.337065788929522</v>
          </cell>
          <cell r="T785">
            <v>35.629702497725702</v>
          </cell>
          <cell r="U785">
            <v>34.922339206521883</v>
          </cell>
          <cell r="V785">
            <v>34.214975915318291</v>
          </cell>
          <cell r="W785">
            <v>33.507612624114472</v>
          </cell>
          <cell r="X785">
            <v>32.800249332911108</v>
          </cell>
          <cell r="Y785">
            <v>32.059832294097532</v>
          </cell>
          <cell r="Z785">
            <v>31.319415255284184</v>
          </cell>
          <cell r="AA785">
            <v>30.578998216470609</v>
          </cell>
          <cell r="AB785">
            <v>29.838581177657261</v>
          </cell>
          <cell r="AC785">
            <v>29.098164138843686</v>
          </cell>
          <cell r="AD785">
            <v>28.758618698873192</v>
          </cell>
          <cell r="AE785">
            <v>28.419073258902586</v>
          </cell>
          <cell r="AF785">
            <v>28.079527818932092</v>
          </cell>
          <cell r="AG785">
            <v>27.739982378961599</v>
          </cell>
          <cell r="AH785">
            <v>27.400436938990993</v>
          </cell>
        </row>
        <row r="786">
          <cell r="B786" t="str">
            <v>Renewable electricity - Cost of electricity - Europe - USD/MWh</v>
          </cell>
          <cell r="G786">
            <v>48.345505357757247</v>
          </cell>
          <cell r="H786">
            <v>46.261834393182653</v>
          </cell>
          <cell r="I786">
            <v>44.178163428608059</v>
          </cell>
          <cell r="J786">
            <v>42.49454469772445</v>
          </cell>
          <cell r="K786">
            <v>40.810925966840387</v>
          </cell>
          <cell r="L786">
            <v>39.127307235956778</v>
          </cell>
          <cell r="M786">
            <v>37.443688505072714</v>
          </cell>
          <cell r="N786">
            <v>35.760069774189105</v>
          </cell>
          <cell r="O786">
            <v>35.060526539849434</v>
          </cell>
          <cell r="P786">
            <v>34.360983305510445</v>
          </cell>
          <cell r="Q786">
            <v>33.661440071171228</v>
          </cell>
          <cell r="R786">
            <v>32.961896836832011</v>
          </cell>
          <cell r="S786">
            <v>32.262353602493022</v>
          </cell>
          <cell r="T786">
            <v>31.844690735616723</v>
          </cell>
          <cell r="U786">
            <v>31.427027868740538</v>
          </cell>
          <cell r="V786">
            <v>31.009365001864353</v>
          </cell>
          <cell r="W786">
            <v>30.591702134988168</v>
          </cell>
          <cell r="X786">
            <v>30.174039268111756</v>
          </cell>
          <cell r="Y786">
            <v>29.72721540516045</v>
          </cell>
          <cell r="Z786">
            <v>29.280391542209031</v>
          </cell>
          <cell r="AA786">
            <v>28.833567679257726</v>
          </cell>
          <cell r="AB786">
            <v>28.386743816306307</v>
          </cell>
          <cell r="AC786">
            <v>27.939919953355002</v>
          </cell>
          <cell r="AD786">
            <v>27.613908060931863</v>
          </cell>
          <cell r="AE786">
            <v>27.28789616850861</v>
          </cell>
          <cell r="AF786">
            <v>26.96188427608547</v>
          </cell>
          <cell r="AG786">
            <v>26.635872383662331</v>
          </cell>
          <cell r="AH786">
            <v>26.309860491239078</v>
          </cell>
        </row>
        <row r="787">
          <cell r="B787" t="str">
            <v>Renewable electricity - Cost of electricity - Middle East - USD/MWh</v>
          </cell>
          <cell r="G787">
            <v>37.020316673163961</v>
          </cell>
          <cell r="H787">
            <v>35.386702900434102</v>
          </cell>
          <cell r="I787">
            <v>33.753089127703788</v>
          </cell>
          <cell r="J787">
            <v>32.671487127187447</v>
          </cell>
          <cell r="K787">
            <v>31.589885126671106</v>
          </cell>
          <cell r="L787">
            <v>30.508283126154765</v>
          </cell>
          <cell r="M787">
            <v>29.426681125638424</v>
          </cell>
          <cell r="N787">
            <v>28.345079125122083</v>
          </cell>
          <cell r="O787">
            <v>27.58242507536329</v>
          </cell>
          <cell r="P787">
            <v>26.819771025604723</v>
          </cell>
          <cell r="Q787">
            <v>26.057116975845929</v>
          </cell>
          <cell r="R787">
            <v>25.294462926087363</v>
          </cell>
          <cell r="S787">
            <v>24.531808876328796</v>
          </cell>
          <cell r="T787">
            <v>24.149422155106208</v>
          </cell>
          <cell r="U787">
            <v>23.76703543388362</v>
          </cell>
          <cell r="V787">
            <v>23.384648712661146</v>
          </cell>
          <cell r="W787">
            <v>23.002261991438559</v>
          </cell>
          <cell r="X787">
            <v>22.619875270215971</v>
          </cell>
          <cell r="Y787">
            <v>22.118414831670066</v>
          </cell>
          <cell r="Z787">
            <v>21.616954393124274</v>
          </cell>
          <cell r="AA787">
            <v>21.115493954578369</v>
          </cell>
          <cell r="AB787">
            <v>20.614033516032578</v>
          </cell>
          <cell r="AC787">
            <v>20.112573077486616</v>
          </cell>
          <cell r="AD787">
            <v>19.877873861328055</v>
          </cell>
          <cell r="AE787">
            <v>19.643174645169552</v>
          </cell>
          <cell r="AF787">
            <v>19.408475429010991</v>
          </cell>
          <cell r="AG787">
            <v>19.173776212852431</v>
          </cell>
          <cell r="AH787">
            <v>18.939076996693927</v>
          </cell>
        </row>
        <row r="788">
          <cell r="B788" t="str">
            <v>e-diesel - Energy demand - Global - MWh/ton fuel</v>
          </cell>
          <cell r="G788">
            <v>0.41439631792773568</v>
          </cell>
          <cell r="H788">
            <v>0.40719815896386891</v>
          </cell>
          <cell r="I788">
            <v>0.40000000000000036</v>
          </cell>
          <cell r="J788">
            <v>0.39339604500884029</v>
          </cell>
          <cell r="K788">
            <v>0.38679209001768022</v>
          </cell>
          <cell r="L788">
            <v>0.38018813502652016</v>
          </cell>
          <cell r="M788">
            <v>0.37358418003536009</v>
          </cell>
          <cell r="N788">
            <v>0.36698022504420003</v>
          </cell>
          <cell r="O788">
            <v>0.3609214228221056</v>
          </cell>
          <cell r="P788">
            <v>0.35486262060001117</v>
          </cell>
          <cell r="Q788">
            <v>0.34880381837791674</v>
          </cell>
          <cell r="R788">
            <v>0.34274501615582231</v>
          </cell>
          <cell r="S788">
            <v>0.33668621393372788</v>
          </cell>
          <cell r="T788">
            <v>0.33112756242632102</v>
          </cell>
          <cell r="U788">
            <v>0.32556891091891593</v>
          </cell>
          <cell r="V788">
            <v>0.32001025941150907</v>
          </cell>
          <cell r="W788">
            <v>0.3144516079041022</v>
          </cell>
          <cell r="X788">
            <v>0.30889295639669712</v>
          </cell>
          <cell r="Y788">
            <v>0.30379316844387283</v>
          </cell>
          <cell r="Z788">
            <v>0.29869338049104677</v>
          </cell>
          <cell r="AA788">
            <v>0.2935935925382207</v>
          </cell>
          <cell r="AB788">
            <v>0.28849380458539642</v>
          </cell>
          <cell r="AC788">
            <v>0.28339401663257036</v>
          </cell>
          <cell r="AD788">
            <v>0.27871521330605553</v>
          </cell>
          <cell r="AE788">
            <v>0.27403640997954248</v>
          </cell>
          <cell r="AF788">
            <v>0.26935760665302766</v>
          </cell>
          <cell r="AG788">
            <v>0.26467880332651283</v>
          </cell>
          <cell r="AH788">
            <v>0.25999999999999979</v>
          </cell>
        </row>
        <row r="789">
          <cell r="B789" t="str">
            <v/>
          </cell>
        </row>
        <row r="790">
          <cell r="B790" t="str">
            <v>e-diesel (DAC) - Feedstock cost - Africa - USD/ton fuel</v>
          </cell>
          <cell r="G790">
            <v>3129.7213132579072</v>
          </cell>
          <cell r="H790">
            <v>2841.4828994136174</v>
          </cell>
          <cell r="I790">
            <v>2553.8999066889023</v>
          </cell>
          <cell r="J790">
            <v>2452.320517225719</v>
          </cell>
          <cell r="K790">
            <v>2348.919228583849</v>
          </cell>
          <cell r="L790">
            <v>2243.7443505789724</v>
          </cell>
          <cell r="M790">
            <v>2136.8441930268064</v>
          </cell>
          <cell r="N790">
            <v>2028.2670657430062</v>
          </cell>
          <cell r="O790">
            <v>1977.4705805156214</v>
          </cell>
          <cell r="P790">
            <v>1923.4637805239277</v>
          </cell>
          <cell r="Q790">
            <v>1866.2726866770499</v>
          </cell>
          <cell r="R790">
            <v>1805.9233198841519</v>
          </cell>
          <cell r="S790">
            <v>1742.4417010544178</v>
          </cell>
          <cell r="T790">
            <v>1697.7381823970227</v>
          </cell>
          <cell r="U790">
            <v>1650.7790548068081</v>
          </cell>
          <cell r="V790">
            <v>1601.5728090053419</v>
          </cell>
          <cell r="W790">
            <v>1550.1279357140843</v>
          </cell>
          <cell r="X790">
            <v>1496.4529256545793</v>
          </cell>
          <cell r="Y790">
            <v>1443.1102235599851</v>
          </cell>
          <cell r="Z790">
            <v>1388.7994598085716</v>
          </cell>
          <cell r="AA790">
            <v>1333.5156692552875</v>
          </cell>
          <cell r="AB790">
            <v>1277.2538867550347</v>
          </cell>
          <cell r="AC790">
            <v>1220.0091471627391</v>
          </cell>
          <cell r="AD790">
            <v>1175.2238250048126</v>
          </cell>
          <cell r="AE790">
            <v>1129.9691925431121</v>
          </cell>
          <cell r="AF790">
            <v>1084.242121010052</v>
          </cell>
          <cell r="AG790">
            <v>1038.0394816380644</v>
          </cell>
          <cell r="AH790">
            <v>991.35814565958219</v>
          </cell>
        </row>
        <row r="791">
          <cell r="B791" t="str">
            <v>e-diesel (DAC) - Feedstock cost - Americas - USD/ton fuel</v>
          </cell>
          <cell r="G791">
            <v>2377.0479486470322</v>
          </cell>
          <cell r="H791">
            <v>2302.6579740615098</v>
          </cell>
          <cell r="I791">
            <v>2227.0917835024861</v>
          </cell>
          <cell r="J791">
            <v>2148.5525744488132</v>
          </cell>
          <cell r="K791">
            <v>2068.0509021816897</v>
          </cell>
          <cell r="L791">
            <v>1985.6192264761166</v>
          </cell>
          <cell r="M791">
            <v>1901.290007107154</v>
          </cell>
          <cell r="N791">
            <v>1815.0957038497186</v>
          </cell>
          <cell r="O791">
            <v>1780.9255395947475</v>
          </cell>
          <cell r="P791">
            <v>1743.3452801028552</v>
          </cell>
          <cell r="Q791">
            <v>1702.3699980044757</v>
          </cell>
          <cell r="R791">
            <v>1658.0147659300344</v>
          </cell>
          <cell r="S791">
            <v>1610.2946565100103</v>
          </cell>
          <cell r="T791">
            <v>1566.892501703225</v>
          </cell>
          <cell r="U791">
            <v>1521.2572582887829</v>
          </cell>
          <cell r="V791">
            <v>1473.3973966277863</v>
          </cell>
          <cell r="W791">
            <v>1423.3213870812392</v>
          </cell>
          <cell r="X791">
            <v>1371.0377000102083</v>
          </cell>
          <cell r="Y791">
            <v>1328.7414874227452</v>
          </cell>
          <cell r="Z791">
            <v>1285.2218142178297</v>
          </cell>
          <cell r="AA791">
            <v>1240.4767397572975</v>
          </cell>
          <cell r="AB791">
            <v>1194.5043234029163</v>
          </cell>
          <cell r="AC791">
            <v>1147.3026245165045</v>
          </cell>
          <cell r="AD791">
            <v>1106.1932528136203</v>
          </cell>
          <cell r="AE791">
            <v>1064.5395357236041</v>
          </cell>
          <cell r="AF791">
            <v>1022.3395935999354</v>
          </cell>
          <cell r="AG791">
            <v>979.59154679610128</v>
          </cell>
          <cell r="AH791">
            <v>936.29351566559035</v>
          </cell>
        </row>
        <row r="792">
          <cell r="B792" t="str">
            <v>e-diesel (DAC) - Feedstock cost - Asia - USD/ton fuel</v>
          </cell>
          <cell r="G792">
            <v>3356.9455592070804</v>
          </cell>
          <cell r="H792">
            <v>3107.3972704890525</v>
          </cell>
          <cell r="I792">
            <v>2858.1057781119089</v>
          </cell>
          <cell r="J792">
            <v>2750.4065382943513</v>
          </cell>
          <cell r="K792">
            <v>2640.8585377405398</v>
          </cell>
          <cell r="L792">
            <v>2529.5135131403094</v>
          </cell>
          <cell r="M792">
            <v>2416.4232011836466</v>
          </cell>
          <cell r="N792">
            <v>2301.6393385604206</v>
          </cell>
          <cell r="O792">
            <v>2237.8584613272087</v>
          </cell>
          <cell r="P792">
            <v>2170.9826139497754</v>
          </cell>
          <cell r="Q792">
            <v>2101.0457280976257</v>
          </cell>
          <cell r="R792">
            <v>2028.0817354402284</v>
          </cell>
          <cell r="S792">
            <v>1952.1245676471685</v>
          </cell>
          <cell r="T792">
            <v>1898.9128278739745</v>
          </cell>
          <cell r="U792">
            <v>1843.536408137335</v>
          </cell>
          <cell r="V792">
            <v>1786.0072682550185</v>
          </cell>
          <cell r="W792">
            <v>1726.3373680446452</v>
          </cell>
          <cell r="X792">
            <v>1664.5386673239586</v>
          </cell>
          <cell r="Y792">
            <v>1602.3231663754686</v>
          </cell>
          <cell r="Z792">
            <v>1539.3298073651599</v>
          </cell>
          <cell r="AA792">
            <v>1475.5514709791764</v>
          </cell>
          <cell r="AB792">
            <v>1410.9810379036148</v>
          </cell>
          <cell r="AC792">
            <v>1345.6113888245995</v>
          </cell>
          <cell r="AD792">
            <v>1296.9762848144098</v>
          </cell>
          <cell r="AE792">
            <v>1247.9449112187153</v>
          </cell>
          <cell r="AF792">
            <v>1198.5130765059025</v>
          </cell>
          <cell r="AG792">
            <v>1148.6765891443551</v>
          </cell>
          <cell r="AH792">
            <v>1098.4312576024588</v>
          </cell>
        </row>
        <row r="793">
          <cell r="B793" t="str">
            <v>e-diesel (DAC) - Feedstock cost - Europe - USD/ton fuel</v>
          </cell>
          <cell r="G793">
            <v>2781.3727070933141</v>
          </cell>
          <cell r="H793">
            <v>2659.4745718897143</v>
          </cell>
          <cell r="I793">
            <v>2536.7632612496204</v>
          </cell>
          <cell r="J793">
            <v>2443.0562932830853</v>
          </cell>
          <cell r="K793">
            <v>2347.4514840796255</v>
          </cell>
          <cell r="L793">
            <v>2249.9913872520374</v>
          </cell>
          <cell r="M793">
            <v>2150.7185564131078</v>
          </cell>
          <cell r="N793">
            <v>2049.675545175578</v>
          </cell>
          <cell r="O793">
            <v>2010.8923905824404</v>
          </cell>
          <cell r="P793">
            <v>1968.6878151475707</v>
          </cell>
          <cell r="Q793">
            <v>1923.0788798326441</v>
          </cell>
          <cell r="R793">
            <v>1874.0826455993688</v>
          </cell>
          <cell r="S793">
            <v>1821.7161734095143</v>
          </cell>
          <cell r="T793">
            <v>1778.9340433836505</v>
          </cell>
          <cell r="U793">
            <v>1733.829677031435</v>
          </cell>
          <cell r="V793">
            <v>1686.4101360308584</v>
          </cell>
          <cell r="W793">
            <v>1636.6824820597924</v>
          </cell>
          <cell r="X793">
            <v>1584.6537767961886</v>
          </cell>
          <cell r="Y793">
            <v>1532.2743422686699</v>
          </cell>
          <cell r="Z793">
            <v>1478.8825852373977</v>
          </cell>
          <cell r="AA793">
            <v>1424.4742093678324</v>
          </cell>
          <cell r="AB793">
            <v>1369.0449183253506</v>
          </cell>
          <cell r="AC793">
            <v>1312.5904157753939</v>
          </cell>
          <cell r="AD793">
            <v>1264.7109241500939</v>
          </cell>
          <cell r="AE793">
            <v>1216.4217647955295</v>
          </cell>
          <cell r="AF793">
            <v>1167.7189132454798</v>
          </cell>
          <cell r="AG793">
            <v>1118.5983450337233</v>
          </cell>
          <cell r="AH793">
            <v>1069.0560356940373</v>
          </cell>
        </row>
        <row r="794">
          <cell r="B794" t="str">
            <v>e-diesel (DAC) - Feedstock cost - Middle East - USD/ton fuel</v>
          </cell>
          <cell r="G794">
            <v>2388.6013765779699</v>
          </cell>
          <cell r="H794">
            <v>2283.9877430003735</v>
          </cell>
          <cell r="I794">
            <v>2178.4743076761406</v>
          </cell>
          <cell r="J794">
            <v>2107.1030689896656</v>
          </cell>
          <cell r="K794">
            <v>2033.7099696067585</v>
          </cell>
          <cell r="L794">
            <v>1958.3223471139249</v>
          </cell>
          <cell r="M794">
            <v>1880.9675390977152</v>
          </cell>
          <cell r="N794">
            <v>1801.6728831445823</v>
          </cell>
          <cell r="O794">
            <v>1762.8137129268969</v>
          </cell>
          <cell r="P794">
            <v>1720.6287736845647</v>
          </cell>
          <cell r="Q794">
            <v>1675.1366655710754</v>
          </cell>
          <cell r="R794">
            <v>1626.355988739941</v>
          </cell>
          <cell r="S794">
            <v>1574.3053433447067</v>
          </cell>
          <cell r="T794">
            <v>1535.0064075810626</v>
          </cell>
          <cell r="U794">
            <v>1493.4068222085823</v>
          </cell>
          <cell r="V794">
            <v>1449.5130524701917</v>
          </cell>
          <cell r="W794">
            <v>1403.3315636086977</v>
          </cell>
          <cell r="X794">
            <v>1354.8688208669935</v>
          </cell>
          <cell r="Y794">
            <v>1303.7809554789487</v>
          </cell>
          <cell r="Z794">
            <v>1251.6986223229858</v>
          </cell>
          <cell r="AA794">
            <v>1198.6169997188149</v>
          </cell>
          <cell r="AB794">
            <v>1144.531265986099</v>
          </cell>
          <cell r="AC794">
            <v>1089.4365994445304</v>
          </cell>
          <cell r="AD794">
            <v>1046.6593700817259</v>
          </cell>
          <cell r="AE794">
            <v>1003.3820223969575</v>
          </cell>
          <cell r="AF794">
            <v>959.60165913680521</v>
          </cell>
          <cell r="AG794">
            <v>915.31538304786079</v>
          </cell>
          <cell r="AH794">
            <v>870.5202968767162</v>
          </cell>
        </row>
        <row r="795">
          <cell r="B795" t="str">
            <v>e-hydrogen (compressed) - Cost - Africa - USD/ton H2</v>
          </cell>
          <cell r="G795">
            <v>4633.1233423090589</v>
          </cell>
          <cell r="H795">
            <v>4201.9656446218651</v>
          </cell>
          <cell r="I795">
            <v>3768.1364126730182</v>
          </cell>
          <cell r="J795">
            <v>3627.6640614332246</v>
          </cell>
          <cell r="K795">
            <v>3482.0419503382509</v>
          </cell>
          <cell r="L795">
            <v>3331.3728662299636</v>
          </cell>
          <cell r="M795">
            <v>3175.7595959503119</v>
          </cell>
          <cell r="N795">
            <v>3015.3049263411149</v>
          </cell>
          <cell r="O795">
            <v>2957.5120355923382</v>
          </cell>
          <cell r="P795">
            <v>2892.1425659444694</v>
          </cell>
          <cell r="Q795">
            <v>2819.2518810339607</v>
          </cell>
          <cell r="R795">
            <v>2738.8953444973072</v>
          </cell>
          <cell r="S795">
            <v>2651.1283199710874</v>
          </cell>
          <cell r="T795">
            <v>2589.8814487511354</v>
          </cell>
          <cell r="U795">
            <v>2523.4234074819769</v>
          </cell>
          <cell r="V795">
            <v>2451.7722615286521</v>
          </cell>
          <cell r="W795">
            <v>2374.9460762559747</v>
          </cell>
          <cell r="X795">
            <v>2292.9629170289318</v>
          </cell>
          <cell r="Y795">
            <v>2208.6908045163059</v>
          </cell>
          <cell r="Z795">
            <v>2121.9988992007134</v>
          </cell>
          <cell r="AA795">
            <v>2032.876636943749</v>
          </cell>
          <cell r="AB795">
            <v>1941.3134536068953</v>
          </cell>
          <cell r="AC795">
            <v>1847.2987850517036</v>
          </cell>
          <cell r="AD795">
            <v>1773.4817469024235</v>
          </cell>
          <cell r="AE795">
            <v>1698.451689879309</v>
          </cell>
          <cell r="AF795">
            <v>1622.2019570300602</v>
          </cell>
          <cell r="AG795">
            <v>1544.7258914023987</v>
          </cell>
          <cell r="AH795">
            <v>1466.0168360440496</v>
          </cell>
        </row>
        <row r="796">
          <cell r="B796" t="str">
            <v>e-hydrogen (compressed) - Cost - Americas - USD/ton H2</v>
          </cell>
          <cell r="G796">
            <v>3458.2747756282647</v>
          </cell>
          <cell r="H796">
            <v>3358.1215141660286</v>
          </cell>
          <cell r="I796">
            <v>3254.6459956552549</v>
          </cell>
          <cell r="J796">
            <v>3148.9921734049194</v>
          </cell>
          <cell r="K796">
            <v>3038.2017033305151</v>
          </cell>
          <cell r="L796">
            <v>2922.3436487831009</v>
          </cell>
          <cell r="M796">
            <v>2801.4870731138512</v>
          </cell>
          <cell r="N796">
            <v>2675.701039673685</v>
          </cell>
          <cell r="O796">
            <v>2643.8786103743646</v>
          </cell>
          <cell r="P796">
            <v>2604.2634692905026</v>
          </cell>
          <cell r="Q796">
            <v>2556.8876858485628</v>
          </cell>
          <cell r="R796">
            <v>2501.7833294749726</v>
          </cell>
          <cell r="S796">
            <v>2438.9824695962966</v>
          </cell>
          <cell r="T796">
            <v>2379.5862497865878</v>
          </cell>
          <cell r="U796">
            <v>2315.0272995091577</v>
          </cell>
          <cell r="V796">
            <v>2245.3236408089065</v>
          </cell>
          <cell r="W796">
            <v>2170.4932957305264</v>
          </cell>
          <cell r="X796">
            <v>2090.5542863188448</v>
          </cell>
          <cell r="Y796">
            <v>2024.0950200699413</v>
          </cell>
          <cell r="Z796">
            <v>1954.8005234985762</v>
          </cell>
          <cell r="AA796">
            <v>1882.6666675873769</v>
          </cell>
          <cell r="AB796">
            <v>1807.6893233188264</v>
          </cell>
          <cell r="AC796">
            <v>1729.8643616755162</v>
          </cell>
          <cell r="AD796">
            <v>1661.9243548242082</v>
          </cell>
          <cell r="AE796">
            <v>1592.6501658127502</v>
          </cell>
          <cell r="AF796">
            <v>1522.0377953932327</v>
          </cell>
          <cell r="AG796">
            <v>1450.083244317753</v>
          </cell>
          <cell r="AH796">
            <v>1376.7825133384104</v>
          </cell>
        </row>
        <row r="797">
          <cell r="B797" t="str">
            <v>e-hydrogen (compressed) - Cost - Asia - USD/ton H2</v>
          </cell>
          <cell r="G797">
            <v>4987.7978827141424</v>
          </cell>
          <cell r="H797">
            <v>4618.4094108214867</v>
          </cell>
          <cell r="I797">
            <v>4246.1135151183844</v>
          </cell>
          <cell r="J797">
            <v>4097.3824826576747</v>
          </cell>
          <cell r="K797">
            <v>3943.3770419350276</v>
          </cell>
          <cell r="L797">
            <v>3784.2072710139482</v>
          </cell>
          <cell r="M797">
            <v>3619.9832479582124</v>
          </cell>
          <cell r="N797">
            <v>3450.8150508313697</v>
          </cell>
          <cell r="O797">
            <v>3373.0215929007072</v>
          </cell>
          <cell r="P797">
            <v>3287.7460048188714</v>
          </cell>
          <cell r="Q797">
            <v>3195.0604816273712</v>
          </cell>
          <cell r="R797">
            <v>3095.0372183676395</v>
          </cell>
          <cell r="S797">
            <v>2987.7484100813476</v>
          </cell>
          <cell r="T797">
            <v>2913.2093711775688</v>
          </cell>
          <cell r="U797">
            <v>2833.5633476088337</v>
          </cell>
          <cell r="V797">
            <v>2748.8357857959254</v>
          </cell>
          <cell r="W797">
            <v>2659.0521321593251</v>
          </cell>
          <cell r="X797">
            <v>2564.2378331197551</v>
          </cell>
          <cell r="Y797">
            <v>2465.6669595887115</v>
          </cell>
          <cell r="Z797">
            <v>2364.9898405548524</v>
          </cell>
          <cell r="AA797">
            <v>2262.1913285418932</v>
          </cell>
          <cell r="AB797">
            <v>2157.2562760734354</v>
          </cell>
          <cell r="AC797">
            <v>2050.1695356731543</v>
          </cell>
          <cell r="AD797">
            <v>1970.240754749665</v>
          </cell>
          <cell r="AE797">
            <v>1889.2216166291751</v>
          </cell>
          <cell r="AF797">
            <v>1807.1032031593165</v>
          </cell>
          <cell r="AG797">
            <v>1723.8765961877139</v>
          </cell>
          <cell r="AH797">
            <v>1639.532877561993</v>
          </cell>
        </row>
        <row r="798">
          <cell r="B798" t="str">
            <v>e-hydrogen (compressed) - Cost - Europe - USD/ton H2</v>
          </cell>
          <cell r="G798">
            <v>4089.3856734873298</v>
          </cell>
          <cell r="H798">
            <v>3916.9256406265708</v>
          </cell>
          <cell r="I798">
            <v>3741.2108175344811</v>
          </cell>
          <cell r="J798">
            <v>3613.0656692355524</v>
          </cell>
          <cell r="K798">
            <v>3479.7225571491235</v>
          </cell>
          <cell r="L798">
            <v>3341.2720208768683</v>
          </cell>
          <cell r="M798">
            <v>3197.8046000204672</v>
          </cell>
          <cell r="N798">
            <v>3049.4108341814967</v>
          </cell>
          <cell r="O798">
            <v>3010.8443238003165</v>
          </cell>
          <cell r="P798">
            <v>2964.4230601972345</v>
          </cell>
          <cell r="Q798">
            <v>2910.1833432907338</v>
          </cell>
          <cell r="R798">
            <v>2848.1614729993285</v>
          </cell>
          <cell r="S798">
            <v>2778.3937492416853</v>
          </cell>
          <cell r="T798">
            <v>2720.379449531456</v>
          </cell>
          <cell r="U798">
            <v>2657.0489971635134</v>
          </cell>
          <cell r="V798">
            <v>2588.4174169846506</v>
          </cell>
          <cell r="W798">
            <v>2514.4997338414096</v>
          </cell>
          <cell r="X798">
            <v>2435.3109725804993</v>
          </cell>
          <cell r="Y798">
            <v>2352.605312916116</v>
          </cell>
          <cell r="Z798">
            <v>2267.4139852839012</v>
          </cell>
          <cell r="AA798">
            <v>2179.7278485465313</v>
          </cell>
          <cell r="AB798">
            <v>2089.5377615665116</v>
          </cell>
          <cell r="AC798">
            <v>1996.8345832064804</v>
          </cell>
          <cell r="AD798">
            <v>1918.0980681700892</v>
          </cell>
          <cell r="AE798">
            <v>1838.2478365870952</v>
          </cell>
          <cell r="AF798">
            <v>1757.2753257634138</v>
          </cell>
          <cell r="AG798">
            <v>1675.1719730049533</v>
          </cell>
          <cell r="AH798">
            <v>1591.929215617622</v>
          </cell>
        </row>
        <row r="799">
          <cell r="B799" t="str">
            <v>e-hydrogen (compressed) - Cost - Middle East - USD/ton H2</v>
          </cell>
          <cell r="G799">
            <v>3476.3085322126099</v>
          </cell>
          <cell r="H799">
            <v>3328.8823974252828</v>
          </cell>
          <cell r="I799">
            <v>3178.2568052856477</v>
          </cell>
          <cell r="J799">
            <v>3083.6768117686811</v>
          </cell>
          <cell r="K799">
            <v>2983.9346800894909</v>
          </cell>
          <cell r="L799">
            <v>2879.0885753257426</v>
          </cell>
          <cell r="M799">
            <v>2769.1966625551941</v>
          </cell>
          <cell r="N799">
            <v>2654.3171068554188</v>
          </cell>
          <cell r="O799">
            <v>2614.9769692636173</v>
          </cell>
          <cell r="P799">
            <v>2567.9562197212276</v>
          </cell>
          <cell r="Q799">
            <v>2513.2944330229238</v>
          </cell>
          <cell r="R799">
            <v>2451.0311839633964</v>
          </cell>
          <cell r="S799">
            <v>2381.2060473374368</v>
          </cell>
          <cell r="T799">
            <v>2328.338914207246</v>
          </cell>
          <cell r="U799">
            <v>2270.2169074323938</v>
          </cell>
          <cell r="V799">
            <v>2206.8537828488898</v>
          </cell>
          <cell r="W799">
            <v>2138.2632962925059</v>
          </cell>
          <cell r="X799">
            <v>2064.4592035991823</v>
          </cell>
          <cell r="Y799">
            <v>1983.8077079076854</v>
          </cell>
          <cell r="Z799">
            <v>1900.6863060803155</v>
          </cell>
          <cell r="AA799">
            <v>1815.084739222842</v>
          </cell>
          <cell r="AB799">
            <v>1726.9927484409238</v>
          </cell>
          <cell r="AC799">
            <v>1636.4000748402937</v>
          </cell>
          <cell r="AD799">
            <v>1565.7141614700843</v>
          </cell>
          <cell r="AE799">
            <v>1493.7568132779884</v>
          </cell>
          <cell r="AF799">
            <v>1420.5218658950355</v>
          </cell>
          <cell r="AG799">
            <v>1346.0031549522671</v>
          </cell>
          <cell r="AH799">
            <v>1270.1945160807259</v>
          </cell>
        </row>
        <row r="800">
          <cell r="B800" t="str">
            <v>Carbon dioxide (DAC) - Cost - Africa - USD/ton CO2</v>
          </cell>
          <cell r="G800">
            <v>296.62097893228963</v>
          </cell>
          <cell r="H800">
            <v>269.95608923406257</v>
          </cell>
          <cell r="I800">
            <v>243.88653979208223</v>
          </cell>
          <cell r="J800">
            <v>232.80947300688581</v>
          </cell>
          <cell r="K800">
            <v>221.91885106693803</v>
          </cell>
          <cell r="L800">
            <v>211.21467397223984</v>
          </cell>
          <cell r="M800">
            <v>200.69694172279128</v>
          </cell>
          <cell r="N800">
            <v>190.36565431859265</v>
          </cell>
          <cell r="O800">
            <v>183.00309152249926</v>
          </cell>
          <cell r="P800">
            <v>175.74977399689323</v>
          </cell>
          <cell r="Q800">
            <v>168.60570174177207</v>
          </cell>
          <cell r="R800">
            <v>161.57087475713939</v>
          </cell>
          <cell r="S800">
            <v>154.64529304299276</v>
          </cell>
          <cell r="T800">
            <v>149.68657367102458</v>
          </cell>
          <cell r="U800">
            <v>144.78817859510252</v>
          </cell>
          <cell r="V800">
            <v>139.95010781522603</v>
          </cell>
          <cell r="W800">
            <v>135.17236133139443</v>
          </cell>
          <cell r="X800">
            <v>130.45493914360796</v>
          </cell>
          <cell r="Y800">
            <v>126.17618237922781</v>
          </cell>
          <cell r="Z800">
            <v>121.95014865552533</v>
          </cell>
          <cell r="AA800">
            <v>117.7768379725002</v>
          </cell>
          <cell r="AB800">
            <v>113.65625033015385</v>
          </cell>
          <cell r="AC800">
            <v>109.58838572848549</v>
          </cell>
          <cell r="AD800">
            <v>106.44467413105096</v>
          </cell>
          <cell r="AE800">
            <v>103.33236707160029</v>
          </cell>
          <cell r="AF800">
            <v>100.25146455013206</v>
          </cell>
          <cell r="AG800">
            <v>97.201966566647087</v>
          </cell>
          <cell r="AH800">
            <v>94.183873121146092</v>
          </cell>
        </row>
        <row r="801">
          <cell r="B801" t="str">
            <v>Carbon dioxide (DAC) - Cost - Americas - USD/ton CO2</v>
          </cell>
          <cell r="G801">
            <v>234.16162121549769</v>
          </cell>
          <cell r="H801">
            <v>225.65135900419827</v>
          </cell>
          <cell r="I801">
            <v>217.2611107615316</v>
          </cell>
          <cell r="J801">
            <v>208.26363020202524</v>
          </cell>
          <cell r="K801">
            <v>199.40688523873763</v>
          </cell>
          <cell r="L801">
            <v>190.69087587166962</v>
          </cell>
          <cell r="M801">
            <v>182.11560210082365</v>
          </cell>
          <cell r="N801">
            <v>173.68106392619524</v>
          </cell>
          <cell r="O801">
            <v>167.69551175040382</v>
          </cell>
          <cell r="P801">
            <v>161.78861356271622</v>
          </cell>
          <cell r="Q801">
            <v>155.96036936313124</v>
          </cell>
          <cell r="R801">
            <v>150.21077915165029</v>
          </cell>
          <cell r="S801">
            <v>144.53984292827138</v>
          </cell>
          <cell r="T801">
            <v>139.71556520359152</v>
          </cell>
          <cell r="U801">
            <v>134.95153505279714</v>
          </cell>
          <cell r="V801">
            <v>130.24775247588798</v>
          </cell>
          <cell r="W801">
            <v>125.60421747286347</v>
          </cell>
          <cell r="X801">
            <v>121.02093004372313</v>
          </cell>
          <cell r="Y801">
            <v>117.57533582239029</v>
          </cell>
          <cell r="Z801">
            <v>114.16372840295915</v>
          </cell>
          <cell r="AA801">
            <v>110.78610778543006</v>
          </cell>
          <cell r="AB801">
            <v>107.44247396980312</v>
          </cell>
          <cell r="AC801">
            <v>104.13282695607847</v>
          </cell>
          <cell r="AD801">
            <v>101.27377135396961</v>
          </cell>
          <cell r="AE801">
            <v>98.440485293336934</v>
          </cell>
          <cell r="AF801">
            <v>95.632968774179432</v>
          </cell>
          <cell r="AG801">
            <v>92.85122179649764</v>
          </cell>
          <cell r="AH801">
            <v>90.095244360292071</v>
          </cell>
        </row>
        <row r="802">
          <cell r="B802" t="str">
            <v>Carbon dioxide (DAC) - Cost - Asia - USD/ton CO2</v>
          </cell>
          <cell r="G802">
            <v>315.4768082029388</v>
          </cell>
          <cell r="H802">
            <v>291.82082473612274</v>
          </cell>
          <cell r="I802">
            <v>268.67053769665677</v>
          </cell>
          <cell r="J802">
            <v>256.89619048138445</v>
          </cell>
          <cell r="K802">
            <v>245.31817072619225</v>
          </cell>
          <cell r="L802">
            <v>233.93647843107601</v>
          </cell>
          <cell r="M802">
            <v>222.75111359603954</v>
          </cell>
          <cell r="N802">
            <v>211.76207622108313</v>
          </cell>
          <cell r="O802">
            <v>203.28296344669053</v>
          </cell>
          <cell r="P802">
            <v>194.93519990183995</v>
          </cell>
          <cell r="Q802">
            <v>186.71878558652995</v>
          </cell>
          <cell r="R802">
            <v>178.63372050075947</v>
          </cell>
          <cell r="S802">
            <v>170.68000464452814</v>
          </cell>
          <cell r="T802">
            <v>165.01695433660979</v>
          </cell>
          <cell r="U802">
            <v>159.42730054865518</v>
          </cell>
          <cell r="V802">
            <v>153.91104328066464</v>
          </cell>
          <cell r="W802">
            <v>148.46818253263623</v>
          </cell>
          <cell r="X802">
            <v>143.09871830457126</v>
          </cell>
          <cell r="Y802">
            <v>138.149437809587</v>
          </cell>
          <cell r="Z802">
            <v>133.26622501694061</v>
          </cell>
          <cell r="AA802">
            <v>128.44907992663133</v>
          </cell>
          <cell r="AB802">
            <v>123.69800253866052</v>
          </cell>
          <cell r="AC802">
            <v>119.01299285302716</v>
          </cell>
          <cell r="AD802">
            <v>115.56483803179665</v>
          </cell>
          <cell r="AE802">
            <v>112.15288205701032</v>
          </cell>
          <cell r="AF802">
            <v>108.7771249286678</v>
          </cell>
          <cell r="AG802">
            <v>105.43756664676937</v>
          </cell>
          <cell r="AH802">
            <v>102.13420721131533</v>
          </cell>
        </row>
        <row r="803">
          <cell r="B803" t="str">
            <v>Carbon dioxide (DAC) - Cost - Europe - USD/ton CO2</v>
          </cell>
          <cell r="G803">
            <v>267.71384440942967</v>
          </cell>
          <cell r="H803">
            <v>254.99050492063122</v>
          </cell>
          <cell r="I803">
            <v>242.49039782193589</v>
          </cell>
          <cell r="J803">
            <v>232.06088122815453</v>
          </cell>
          <cell r="K803">
            <v>221.80120941418619</v>
          </cell>
          <cell r="L803">
            <v>211.71138238003414</v>
          </cell>
          <cell r="M803">
            <v>201.79140012569729</v>
          </cell>
          <cell r="N803">
            <v>192.04126265117594</v>
          </cell>
          <cell r="O803">
            <v>185.60609295834632</v>
          </cell>
          <cell r="P803">
            <v>179.25513297659518</v>
          </cell>
          <cell r="Q803">
            <v>172.98838270591881</v>
          </cell>
          <cell r="R803">
            <v>166.80584214631915</v>
          </cell>
          <cell r="S803">
            <v>160.70751129779512</v>
          </cell>
          <cell r="T803">
            <v>155.8740504996469</v>
          </cell>
          <cell r="U803">
            <v>151.09552908554008</v>
          </cell>
          <cell r="V803">
            <v>146.37194705547432</v>
          </cell>
          <cell r="W803">
            <v>141.70330440944861</v>
          </cell>
          <cell r="X803">
            <v>137.08960114746228</v>
          </cell>
          <cell r="Y803">
            <v>132.88157171280233</v>
          </cell>
          <cell r="Z803">
            <v>128.72212216634401</v>
          </cell>
          <cell r="AA803">
            <v>124.61125250808806</v>
          </cell>
          <cell r="AB803">
            <v>120.54896273803433</v>
          </cell>
          <cell r="AC803">
            <v>116.53525285618329</v>
          </cell>
          <cell r="AD803">
            <v>113.14792277574824</v>
          </cell>
          <cell r="AE803">
            <v>109.79603788149367</v>
          </cell>
          <cell r="AF803">
            <v>106.47959817341915</v>
          </cell>
          <cell r="AG803">
            <v>103.198603651525</v>
          </cell>
          <cell r="AH803">
            <v>99.953054315811499</v>
          </cell>
        </row>
        <row r="804">
          <cell r="B804" t="str">
            <v>Carbon dioxide (DAC) - Cost - Middle East - USD/ton CO2</v>
          </cell>
          <cell r="G804">
            <v>235.12036337633754</v>
          </cell>
          <cell r="H804">
            <v>224.11620442694419</v>
          </cell>
          <cell r="I804">
            <v>213.30018977940381</v>
          </cell>
          <cell r="J804">
            <v>204.91432008049392</v>
          </cell>
          <cell r="K804">
            <v>196.65441431922051</v>
          </cell>
          <cell r="L804">
            <v>188.52047249558439</v>
          </cell>
          <cell r="M804">
            <v>180.51249460958695</v>
          </cell>
          <cell r="N804">
            <v>172.63048066122599</v>
          </cell>
          <cell r="O804">
            <v>166.28490260841022</v>
          </cell>
          <cell r="P804">
            <v>160.02783502043238</v>
          </cell>
          <cell r="Q804">
            <v>153.8592778972901</v>
          </cell>
          <cell r="R804">
            <v>147.77923123898591</v>
          </cell>
          <cell r="S804">
            <v>141.78769504551758</v>
          </cell>
          <cell r="T804">
            <v>137.28570651204271</v>
          </cell>
          <cell r="U804">
            <v>132.83640988017365</v>
          </cell>
          <cell r="V804">
            <v>128.43980514991077</v>
          </cell>
          <cell r="W804">
            <v>124.09589232125236</v>
          </cell>
          <cell r="X804">
            <v>119.80467139419869</v>
          </cell>
          <cell r="Y804">
            <v>115.69823450540083</v>
          </cell>
          <cell r="Z804">
            <v>111.64363192063473</v>
          </cell>
          <cell r="AA804">
            <v>107.64086363990009</v>
          </cell>
          <cell r="AB804">
            <v>103.68992966319777</v>
          </cell>
          <cell r="AC804">
            <v>99.790829990527229</v>
          </cell>
          <cell r="AD804">
            <v>96.814241180930338</v>
          </cell>
          <cell r="AE804">
            <v>93.868012509751736</v>
          </cell>
          <cell r="AF804">
            <v>90.952143976990243</v>
          </cell>
          <cell r="AG804">
            <v>88.066635582646512</v>
          </cell>
          <cell r="AH804">
            <v>85.211487326721198</v>
          </cell>
        </row>
        <row r="805">
          <cell r="B805" t="str">
            <v>e-diesel - Conversion H2 -&gt; diesel - Global - ton H2/ton diesel</v>
          </cell>
          <cell r="G805">
            <v>0.47</v>
          </cell>
          <cell r="H805">
            <v>0.47</v>
          </cell>
          <cell r="I805">
            <v>0.47</v>
          </cell>
          <cell r="J805">
            <v>0.47</v>
          </cell>
          <cell r="K805">
            <v>0.47</v>
          </cell>
          <cell r="L805">
            <v>0.47</v>
          </cell>
          <cell r="M805">
            <v>0.47</v>
          </cell>
          <cell r="N805">
            <v>0.47</v>
          </cell>
          <cell r="O805">
            <v>0.47</v>
          </cell>
          <cell r="P805">
            <v>0.47</v>
          </cell>
          <cell r="Q805">
            <v>0.47</v>
          </cell>
          <cell r="R805">
            <v>0.47</v>
          </cell>
          <cell r="S805">
            <v>0.47</v>
          </cell>
          <cell r="T805">
            <v>0.47</v>
          </cell>
          <cell r="U805">
            <v>0.47</v>
          </cell>
          <cell r="V805">
            <v>0.47</v>
          </cell>
          <cell r="W805">
            <v>0.47</v>
          </cell>
          <cell r="X805">
            <v>0.47</v>
          </cell>
          <cell r="Y805">
            <v>0.47</v>
          </cell>
          <cell r="Z805">
            <v>0.47</v>
          </cell>
          <cell r="AA805">
            <v>0.47</v>
          </cell>
          <cell r="AB805">
            <v>0.47</v>
          </cell>
          <cell r="AC805">
            <v>0.47</v>
          </cell>
          <cell r="AD805">
            <v>0.47</v>
          </cell>
          <cell r="AE805">
            <v>0.47</v>
          </cell>
          <cell r="AF805">
            <v>0.47</v>
          </cell>
          <cell r="AG805">
            <v>0.47</v>
          </cell>
          <cell r="AH805">
            <v>0.47</v>
          </cell>
        </row>
        <row r="806">
          <cell r="B806" t="str">
            <v>e-diesel - Conversion CO2 -&gt; diesel - Global - ton CO2/ton diesel</v>
          </cell>
          <cell r="G806">
            <v>3.21</v>
          </cell>
          <cell r="H806">
            <v>3.21</v>
          </cell>
          <cell r="I806">
            <v>3.21</v>
          </cell>
          <cell r="J806">
            <v>3.21</v>
          </cell>
          <cell r="K806">
            <v>3.21</v>
          </cell>
          <cell r="L806">
            <v>3.21</v>
          </cell>
          <cell r="M806">
            <v>3.21</v>
          </cell>
          <cell r="N806">
            <v>3.21</v>
          </cell>
          <cell r="O806">
            <v>3.21</v>
          </cell>
          <cell r="P806">
            <v>3.21</v>
          </cell>
          <cell r="Q806">
            <v>3.21</v>
          </cell>
          <cell r="R806">
            <v>3.21</v>
          </cell>
          <cell r="S806">
            <v>3.21</v>
          </cell>
          <cell r="T806">
            <v>3.21</v>
          </cell>
          <cell r="U806">
            <v>3.21</v>
          </cell>
          <cell r="V806">
            <v>3.21</v>
          </cell>
          <cell r="W806">
            <v>3.21</v>
          </cell>
          <cell r="X806">
            <v>3.21</v>
          </cell>
          <cell r="Y806">
            <v>3.21</v>
          </cell>
          <cell r="Z806">
            <v>3.21</v>
          </cell>
          <cell r="AA806">
            <v>3.21</v>
          </cell>
          <cell r="AB806">
            <v>3.21</v>
          </cell>
          <cell r="AC806">
            <v>3.21</v>
          </cell>
          <cell r="AD806">
            <v>3.21</v>
          </cell>
          <cell r="AE806">
            <v>3.21</v>
          </cell>
          <cell r="AF806">
            <v>3.21</v>
          </cell>
          <cell r="AG806">
            <v>3.21</v>
          </cell>
          <cell r="AH806">
            <v>3.21</v>
          </cell>
        </row>
        <row r="808">
          <cell r="B808" t="str">
            <v>e-diesel (PS) - Item - Region - Unit</v>
          </cell>
          <cell r="G808">
            <v>2023</v>
          </cell>
          <cell r="H808">
            <v>2024</v>
          </cell>
          <cell r="I808">
            <v>2025</v>
          </cell>
          <cell r="J808">
            <v>2026</v>
          </cell>
          <cell r="K808">
            <v>2027</v>
          </cell>
          <cell r="L808">
            <v>2028</v>
          </cell>
          <cell r="M808">
            <v>2029</v>
          </cell>
          <cell r="N808">
            <v>2030</v>
          </cell>
          <cell r="O808">
            <v>2031</v>
          </cell>
          <cell r="P808">
            <v>2032</v>
          </cell>
          <cell r="Q808">
            <v>2033</v>
          </cell>
          <cell r="R808">
            <v>2034</v>
          </cell>
          <cell r="S808">
            <v>2035</v>
          </cell>
          <cell r="T808">
            <v>2036</v>
          </cell>
          <cell r="U808">
            <v>2037</v>
          </cell>
          <cell r="V808">
            <v>2038</v>
          </cell>
          <cell r="W808">
            <v>2039</v>
          </cell>
          <cell r="X808">
            <v>2040</v>
          </cell>
          <cell r="Y808">
            <v>2041</v>
          </cell>
          <cell r="Z808">
            <v>2042</v>
          </cell>
          <cell r="AA808">
            <v>2043</v>
          </cell>
          <cell r="AB808">
            <v>2044</v>
          </cell>
          <cell r="AC808">
            <v>2045</v>
          </cell>
          <cell r="AD808">
            <v>2046</v>
          </cell>
          <cell r="AE808">
            <v>2047</v>
          </cell>
          <cell r="AF808">
            <v>2048</v>
          </cell>
          <cell r="AG808">
            <v>2049</v>
          </cell>
          <cell r="AH808">
            <v>2050</v>
          </cell>
        </row>
        <row r="809">
          <cell r="B809" t="str">
            <v>e-diesel (PS) - Total cost - Africa - USD/ton fuel</v>
          </cell>
          <cell r="G809">
            <v>3822.6400679928965</v>
          </cell>
          <cell r="H809">
            <v>3537.0641294223688</v>
          </cell>
          <cell r="I809">
            <v>3251.6112782565538</v>
          </cell>
          <cell r="J809">
            <v>3114.5260137653645</v>
          </cell>
          <cell r="K809">
            <v>2976.3256072246422</v>
          </cell>
          <cell r="L809">
            <v>2837.0583684500525</v>
          </cell>
          <cell r="M809">
            <v>2696.7726072573118</v>
          </cell>
          <cell r="N809">
            <v>2555.5166334620671</v>
          </cell>
          <cell r="O809">
            <v>2509.6905005264834</v>
          </cell>
          <cell r="P809">
            <v>2460.3163040723357</v>
          </cell>
          <cell r="Q809">
            <v>2407.4200650087641</v>
          </cell>
          <cell r="R809">
            <v>2351.0278042449208</v>
          </cell>
          <cell r="S809">
            <v>2291.1655426899979</v>
          </cell>
          <cell r="T809">
            <v>2244.7978140069686</v>
          </cell>
          <cell r="U809">
            <v>2195.9864183284431</v>
          </cell>
          <cell r="V809">
            <v>2144.739846375991</v>
          </cell>
          <cell r="W809">
            <v>2091.0665888710755</v>
          </cell>
          <cell r="X809">
            <v>2034.9751365352383</v>
          </cell>
          <cell r="Y809">
            <v>1958.987589505015</v>
          </cell>
          <cell r="Z809">
            <v>1882.4080067240216</v>
          </cell>
          <cell r="AA809">
            <v>1805.2314230472139</v>
          </cell>
          <cell r="AB809">
            <v>1727.4528733294865</v>
          </cell>
          <cell r="AC809">
            <v>1649.0673924257676</v>
          </cell>
          <cell r="AD809">
            <v>1581.1833228740227</v>
          </cell>
          <cell r="AE809">
            <v>1513.2715061706388</v>
          </cell>
          <cell r="AF809">
            <v>1445.3288135480316</v>
          </cell>
          <cell r="AG809">
            <v>1377.3521162386305</v>
          </cell>
          <cell r="AH809">
            <v>1309.3382854748668</v>
          </cell>
        </row>
        <row r="810">
          <cell r="B810" t="str">
            <v>e-diesel (PS) - Total cost - Americas - USD/ton fuel</v>
          </cell>
          <cell r="G810">
            <v>3230.1183168013877</v>
          </cell>
          <cell r="H810">
            <v>3111.560060517183</v>
          </cell>
          <cell r="I810">
            <v>2992.7312808843299</v>
          </cell>
          <cell r="J810">
            <v>2873.2260695434284</v>
          </cell>
          <cell r="K810">
            <v>2752.6035961102548</v>
          </cell>
          <cell r="L810">
            <v>2630.8963203597946</v>
          </cell>
          <cell r="M810">
            <v>2508.1367020671014</v>
          </cell>
          <cell r="N810">
            <v>2384.3572010070975</v>
          </cell>
          <cell r="O810">
            <v>2351.5862684686017</v>
          </cell>
          <cell r="P810">
            <v>2315.1602502714222</v>
          </cell>
          <cell r="Q810">
            <v>2275.0942190460028</v>
          </cell>
          <cell r="R810">
            <v>2231.4032474227647</v>
          </cell>
          <cell r="S810">
            <v>2184.1024080321927</v>
          </cell>
          <cell r="T810">
            <v>2138.6295756387481</v>
          </cell>
          <cell r="U810">
            <v>2090.7358294654337</v>
          </cell>
          <cell r="V810">
            <v>2040.4296398733513</v>
          </cell>
          <cell r="W810">
            <v>1987.719477223508</v>
          </cell>
          <cell r="X810">
            <v>1932.6138118769702</v>
          </cell>
          <cell r="Y810">
            <v>1865.5692587069452</v>
          </cell>
          <cell r="Z810">
            <v>1797.7342058521097</v>
          </cell>
          <cell r="AA810">
            <v>1729.1067126743051</v>
          </cell>
          <cell r="AB810">
            <v>1659.6848385352953</v>
          </cell>
          <cell r="AC810">
            <v>1589.466642796898</v>
          </cell>
          <cell r="AD810">
            <v>1524.5310790692688</v>
          </cell>
          <cell r="AE810">
            <v>1459.50987456646</v>
          </cell>
          <cell r="AF810">
            <v>1394.4011496419516</v>
          </cell>
          <cell r="AG810">
            <v>1329.2030246492288</v>
          </cell>
          <cell r="AH810">
            <v>1263.9136199417785</v>
          </cell>
        </row>
        <row r="811">
          <cell r="B811" t="str">
            <v>e-diesel (PS) - Total cost - Asia - USD/ton fuel</v>
          </cell>
          <cell r="G811">
            <v>4001.5162106242751</v>
          </cell>
          <cell r="H811">
            <v>3747.0537597257967</v>
          </cell>
          <cell r="I811">
            <v>3492.5869750255142</v>
          </cell>
          <cell r="J811">
            <v>3351.3124883342939</v>
          </cell>
          <cell r="K811">
            <v>3208.8660656114007</v>
          </cell>
          <cell r="L811">
            <v>3065.299443546668</v>
          </cell>
          <cell r="M811">
            <v>2920.6643588300726</v>
          </cell>
          <cell r="N811">
            <v>2775.0125481514751</v>
          </cell>
          <cell r="O811">
            <v>2719.1510177698005</v>
          </cell>
          <cell r="P811">
            <v>2659.7897452652678</v>
          </cell>
          <cell r="Q811">
            <v>2596.9626623073914</v>
          </cell>
          <cell r="R811">
            <v>2530.7037005656439</v>
          </cell>
          <cell r="S811">
            <v>2461.0467917096112</v>
          </cell>
          <cell r="T811">
            <v>2408.0310029161355</v>
          </cell>
          <cell r="U811">
            <v>2352.6227953021807</v>
          </cell>
          <cell r="V811">
            <v>2294.8341286855148</v>
          </cell>
          <cell r="W811">
            <v>2234.6769628837637</v>
          </cell>
          <cell r="X811">
            <v>2172.1632577146647</v>
          </cell>
          <cell r="Y811">
            <v>2089.035431787921</v>
          </cell>
          <cell r="Z811">
            <v>2005.4652224146389</v>
          </cell>
          <cell r="AA811">
            <v>1921.4455102809727</v>
          </cell>
          <cell r="AB811">
            <v>1836.9691760730116</v>
          </cell>
          <cell r="AC811">
            <v>1752.0291004768824</v>
          </cell>
          <cell r="AD811">
            <v>1681.1035439879058</v>
          </cell>
          <cell r="AE811">
            <v>1610.2086969490101</v>
          </cell>
          <cell r="AF811">
            <v>1539.3403678285797</v>
          </cell>
          <cell r="AG811">
            <v>1468.4943650949972</v>
          </cell>
          <cell r="AH811">
            <v>1397.666497216647</v>
          </cell>
        </row>
        <row r="812">
          <cell r="B812" t="str">
            <v>e-diesel (PS) - Total cost - Europe - USD/ton fuel</v>
          </cell>
          <cell r="G812">
            <v>3548.4120484369305</v>
          </cell>
          <cell r="H812">
            <v>3393.3341713373006</v>
          </cell>
          <cell r="I812">
            <v>3238.0365400186074</v>
          </cell>
          <cell r="J812">
            <v>3107.1669201751015</v>
          </cell>
          <cell r="K812">
            <v>2975.1564944361226</v>
          </cell>
          <cell r="L812">
            <v>2842.047816414447</v>
          </cell>
          <cell r="M812">
            <v>2707.8834397228643</v>
          </cell>
          <cell r="N812">
            <v>2572.7059179741082</v>
          </cell>
          <cell r="O812">
            <v>2536.5755828966157</v>
          </cell>
          <cell r="P812">
            <v>2496.7619905930301</v>
          </cell>
          <cell r="Q812">
            <v>2453.2822020250424</v>
          </cell>
          <cell r="R812">
            <v>2406.1532781543547</v>
          </cell>
          <cell r="S812">
            <v>2355.3922799427414</v>
          </cell>
          <cell r="T812">
            <v>2310.680168533554</v>
          </cell>
          <cell r="U812">
            <v>2263.4741086598915</v>
          </cell>
          <cell r="V812">
            <v>2213.7811619997451</v>
          </cell>
          <cell r="W812">
            <v>2161.6083902309897</v>
          </cell>
          <cell r="X812">
            <v>2106.9628550315774</v>
          </cell>
          <cell r="Y812">
            <v>2031.8183596802751</v>
          </cell>
          <cell r="Z812">
            <v>1956.0501577979949</v>
          </cell>
          <cell r="AA812">
            <v>1879.6539530502023</v>
          </cell>
          <cell r="AB812">
            <v>1802.6254491022705</v>
          </cell>
          <cell r="AC812">
            <v>1724.9603496196401</v>
          </cell>
          <cell r="AD812">
            <v>1654.6238985093717</v>
          </cell>
          <cell r="AE812">
            <v>1584.3070513132559</v>
          </cell>
          <cell r="AF812">
            <v>1514.0057835650709</v>
          </cell>
          <cell r="AG812">
            <v>1443.7160707985931</v>
          </cell>
          <cell r="AH812">
            <v>1373.4338885475995</v>
          </cell>
        </row>
        <row r="813">
          <cell r="B813" t="str">
            <v>e-diesel (PS) - Total cost - Middle East - USD/ton fuel</v>
          </cell>
          <cell r="G813">
            <v>3239.2134404921853</v>
          </cell>
          <cell r="H813">
            <v>3096.8163860690825</v>
          </cell>
          <cell r="I813">
            <v>2954.2191047136375</v>
          </cell>
          <cell r="J813">
            <v>2840.3003985068881</v>
          </cell>
          <cell r="K813">
            <v>2725.2497730657628</v>
          </cell>
          <cell r="L813">
            <v>2609.0945659767549</v>
          </cell>
          <cell r="M813">
            <v>2491.8621148264097</v>
          </cell>
          <cell r="N813">
            <v>2373.5797572011788</v>
          </cell>
          <cell r="O813">
            <v>2337.0168016783464</v>
          </cell>
          <cell r="P813">
            <v>2296.8532000788346</v>
          </cell>
          <cell r="Q813">
            <v>2253.1075525561455</v>
          </cell>
          <cell r="R813">
            <v>2205.798459263784</v>
          </cell>
          <cell r="S813">
            <v>2154.9445203553028</v>
          </cell>
          <cell r="T813">
            <v>2112.7571859393479</v>
          </cell>
          <cell r="U813">
            <v>2068.1043120194504</v>
          </cell>
          <cell r="V813">
            <v>2020.992363838536</v>
          </cell>
          <cell r="W813">
            <v>1971.4278066394168</v>
          </cell>
          <cell r="X813">
            <v>1919.4171056649825</v>
          </cell>
          <cell r="Y813">
            <v>1845.1810712636279</v>
          </cell>
          <cell r="Z813">
            <v>1770.3292956622161</v>
          </cell>
          <cell r="AA813">
            <v>1694.8569571804655</v>
          </cell>
          <cell r="AB813">
            <v>1618.7592341380328</v>
          </cell>
          <cell r="AC813">
            <v>1542.0313048546118</v>
          </cell>
          <cell r="AD813">
            <v>1475.672610536956</v>
          </cell>
          <cell r="AE813">
            <v>1409.2585380759633</v>
          </cell>
          <cell r="AF813">
            <v>1342.7861902182142</v>
          </cell>
          <cell r="AG813">
            <v>1276.2526697102985</v>
          </cell>
          <cell r="AH813">
            <v>1209.6550792988062</v>
          </cell>
        </row>
        <row r="814">
          <cell r="B814" t="str">
            <v/>
          </cell>
        </row>
        <row r="815">
          <cell r="B815" t="str">
            <v>e-diesel (PS) - CAPEX - Global - USD/ton fuel</v>
          </cell>
          <cell r="G815">
            <v>204</v>
          </cell>
          <cell r="H815">
            <v>198.66666666666666</v>
          </cell>
          <cell r="I815">
            <v>193.33333333333334</v>
          </cell>
          <cell r="J815">
            <v>188</v>
          </cell>
          <cell r="K815">
            <v>182.66666666666666</v>
          </cell>
          <cell r="L815">
            <v>177.33333333333334</v>
          </cell>
          <cell r="M815">
            <v>172</v>
          </cell>
          <cell r="N815">
            <v>166.66666666666666</v>
          </cell>
          <cell r="O815">
            <v>164.5</v>
          </cell>
          <cell r="P815">
            <v>162.33333333333334</v>
          </cell>
          <cell r="Q815">
            <v>160.16666666666666</v>
          </cell>
          <cell r="R815">
            <v>158</v>
          </cell>
          <cell r="S815">
            <v>155.83333333333334</v>
          </cell>
          <cell r="T815">
            <v>153.66666666666666</v>
          </cell>
          <cell r="U815">
            <v>151.5</v>
          </cell>
          <cell r="V815">
            <v>149.33333333333334</v>
          </cell>
          <cell r="W815">
            <v>147.16666666666666</v>
          </cell>
          <cell r="X815">
            <v>145</v>
          </cell>
          <cell r="Y815">
            <v>140.5</v>
          </cell>
          <cell r="Z815">
            <v>136</v>
          </cell>
          <cell r="AA815">
            <v>131.5</v>
          </cell>
          <cell r="AB815">
            <v>127</v>
          </cell>
          <cell r="AC815">
            <v>122.5</v>
          </cell>
          <cell r="AD815">
            <v>118</v>
          </cell>
          <cell r="AE815">
            <v>113.5</v>
          </cell>
          <cell r="AF815">
            <v>109</v>
          </cell>
          <cell r="AG815">
            <v>104.5</v>
          </cell>
          <cell r="AH815">
            <v>100</v>
          </cell>
        </row>
        <row r="816">
          <cell r="B816" t="str">
            <v>e-diesel - Plant lifetime - Global - Years</v>
          </cell>
          <cell r="G816">
            <v>30</v>
          </cell>
          <cell r="H816">
            <v>30</v>
          </cell>
          <cell r="I816">
            <v>30</v>
          </cell>
          <cell r="J816">
            <v>30</v>
          </cell>
          <cell r="K816">
            <v>30</v>
          </cell>
          <cell r="L816">
            <v>30</v>
          </cell>
          <cell r="M816">
            <v>30</v>
          </cell>
          <cell r="N816">
            <v>30</v>
          </cell>
          <cell r="O816">
            <v>30</v>
          </cell>
          <cell r="P816">
            <v>30</v>
          </cell>
          <cell r="Q816">
            <v>30</v>
          </cell>
          <cell r="R816">
            <v>30</v>
          </cell>
          <cell r="S816">
            <v>30</v>
          </cell>
          <cell r="T816">
            <v>30</v>
          </cell>
          <cell r="U816">
            <v>30</v>
          </cell>
          <cell r="V816">
            <v>30</v>
          </cell>
          <cell r="W816">
            <v>30</v>
          </cell>
          <cell r="X816">
            <v>30</v>
          </cell>
          <cell r="Y816">
            <v>30</v>
          </cell>
          <cell r="Z816">
            <v>30</v>
          </cell>
          <cell r="AA816">
            <v>30</v>
          </cell>
          <cell r="AB816">
            <v>30</v>
          </cell>
          <cell r="AC816">
            <v>30</v>
          </cell>
          <cell r="AD816">
            <v>30</v>
          </cell>
          <cell r="AE816">
            <v>30</v>
          </cell>
          <cell r="AF816">
            <v>30</v>
          </cell>
          <cell r="AG816">
            <v>30</v>
          </cell>
          <cell r="AH816">
            <v>30</v>
          </cell>
        </row>
        <row r="817">
          <cell r="B817" t="str">
            <v>e-diesel - Total CAPEX - Global - USD/ton fuel</v>
          </cell>
          <cell r="G817">
            <v>6120</v>
          </cell>
          <cell r="H817">
            <v>5960</v>
          </cell>
          <cell r="I817">
            <v>5800</v>
          </cell>
          <cell r="J817">
            <v>5640</v>
          </cell>
          <cell r="K817">
            <v>5480</v>
          </cell>
          <cell r="L817">
            <v>5320</v>
          </cell>
          <cell r="M817">
            <v>5160</v>
          </cell>
          <cell r="N817">
            <v>5000</v>
          </cell>
          <cell r="O817">
            <v>4935</v>
          </cell>
          <cell r="P817">
            <v>4870</v>
          </cell>
          <cell r="Q817">
            <v>4805</v>
          </cell>
          <cell r="R817">
            <v>4740</v>
          </cell>
          <cell r="S817">
            <v>4675</v>
          </cell>
          <cell r="T817">
            <v>4610</v>
          </cell>
          <cell r="U817">
            <v>4545</v>
          </cell>
          <cell r="V817">
            <v>4480</v>
          </cell>
          <cell r="W817">
            <v>4415</v>
          </cell>
          <cell r="X817">
            <v>4350</v>
          </cell>
          <cell r="Y817">
            <v>4215</v>
          </cell>
          <cell r="Z817">
            <v>4080</v>
          </cell>
          <cell r="AA817">
            <v>3945</v>
          </cell>
          <cell r="AB817">
            <v>3810</v>
          </cell>
          <cell r="AC817">
            <v>3675</v>
          </cell>
          <cell r="AD817">
            <v>3540</v>
          </cell>
          <cell r="AE817">
            <v>3405</v>
          </cell>
          <cell r="AF817">
            <v>3270</v>
          </cell>
          <cell r="AG817">
            <v>3135</v>
          </cell>
          <cell r="AH817">
            <v>3000</v>
          </cell>
        </row>
        <row r="818">
          <cell r="B818" t="str">
            <v/>
          </cell>
        </row>
        <row r="819">
          <cell r="B819" t="str">
            <v>e-diesel (PS) - OPEX - Global - USD/ton fuel</v>
          </cell>
          <cell r="G819">
            <v>538.55999999999506</v>
          </cell>
          <cell r="H819">
            <v>500.63999999999783</v>
          </cell>
          <cell r="I819">
            <v>464.0000000000004</v>
          </cell>
          <cell r="J819">
            <v>428.63999999999288</v>
          </cell>
          <cell r="K819">
            <v>394.55999999999551</v>
          </cell>
          <cell r="L819">
            <v>361.75999999999794</v>
          </cell>
          <cell r="M819">
            <v>330.24000000000029</v>
          </cell>
          <cell r="N819">
            <v>299.99999999999363</v>
          </cell>
          <cell r="O819">
            <v>296.09999999999997</v>
          </cell>
          <cell r="P819">
            <v>292.2</v>
          </cell>
          <cell r="Q819">
            <v>288.3</v>
          </cell>
          <cell r="R819">
            <v>284.39999999999998</v>
          </cell>
          <cell r="S819">
            <v>280.5</v>
          </cell>
          <cell r="T819">
            <v>276.59999999999997</v>
          </cell>
          <cell r="U819">
            <v>272.7</v>
          </cell>
          <cell r="V819">
            <v>268.8</v>
          </cell>
          <cell r="W819">
            <v>264.89999999999998</v>
          </cell>
          <cell r="X819">
            <v>260.99999999999829</v>
          </cell>
          <cell r="Y819">
            <v>244.46999999999929</v>
          </cell>
          <cell r="Z819">
            <v>228.47999999999658</v>
          </cell>
          <cell r="AA819">
            <v>213.02999999999756</v>
          </cell>
          <cell r="AB819">
            <v>198.11999999999847</v>
          </cell>
          <cell r="AC819">
            <v>183.74999999999935</v>
          </cell>
          <cell r="AD819">
            <v>169.919999999997</v>
          </cell>
          <cell r="AE819">
            <v>156.62999999999786</v>
          </cell>
          <cell r="AF819">
            <v>143.87999999999869</v>
          </cell>
          <cell r="AG819">
            <v>131.66999999999942</v>
          </cell>
          <cell r="AH819">
            <v>120.00000000000011</v>
          </cell>
        </row>
        <row r="820">
          <cell r="B820" t="str">
            <v>e-diesel - OPEX - Global - USD/ton fuel/year</v>
          </cell>
          <cell r="G820">
            <v>538.55999999999506</v>
          </cell>
          <cell r="H820">
            <v>500.63999999999783</v>
          </cell>
          <cell r="I820">
            <v>464.0000000000004</v>
          </cell>
          <cell r="J820">
            <v>428.63999999999288</v>
          </cell>
          <cell r="K820">
            <v>394.55999999999551</v>
          </cell>
          <cell r="L820">
            <v>361.75999999999794</v>
          </cell>
          <cell r="M820">
            <v>330.24000000000029</v>
          </cell>
          <cell r="N820">
            <v>299.99999999999363</v>
          </cell>
          <cell r="O820">
            <v>296.09999999999997</v>
          </cell>
          <cell r="P820">
            <v>292.2</v>
          </cell>
          <cell r="Q820">
            <v>288.3</v>
          </cell>
          <cell r="R820">
            <v>284.39999999999998</v>
          </cell>
          <cell r="S820">
            <v>280.5</v>
          </cell>
          <cell r="T820">
            <v>276.59999999999997</v>
          </cell>
          <cell r="U820">
            <v>272.7</v>
          </cell>
          <cell r="V820">
            <v>268.8</v>
          </cell>
          <cell r="W820">
            <v>264.89999999999998</v>
          </cell>
          <cell r="X820">
            <v>260.99999999999829</v>
          </cell>
          <cell r="Y820">
            <v>244.46999999999929</v>
          </cell>
          <cell r="Z820">
            <v>228.47999999999658</v>
          </cell>
          <cell r="AA820">
            <v>213.02999999999756</v>
          </cell>
          <cell r="AB820">
            <v>198.11999999999847</v>
          </cell>
          <cell r="AC820">
            <v>183.74999999999935</v>
          </cell>
          <cell r="AD820">
            <v>169.919999999997</v>
          </cell>
          <cell r="AE820">
            <v>156.62999999999786</v>
          </cell>
          <cell r="AF820">
            <v>143.87999999999869</v>
          </cell>
          <cell r="AG820">
            <v>131.66999999999942</v>
          </cell>
          <cell r="AH820">
            <v>120.00000000000011</v>
          </cell>
        </row>
        <row r="821">
          <cell r="B821" t="str">
            <v/>
          </cell>
        </row>
        <row r="822">
          <cell r="B822" t="str">
            <v>e-diesel (PS) - Finance cost - Africa - USD/ton fuel</v>
          </cell>
          <cell r="G822">
            <v>336.6</v>
          </cell>
          <cell r="H822">
            <v>327.80000000000007</v>
          </cell>
          <cell r="I822">
            <v>319.00000000000006</v>
          </cell>
          <cell r="J822">
            <v>310.20000000000005</v>
          </cell>
          <cell r="K822">
            <v>301.40000000000003</v>
          </cell>
          <cell r="L822">
            <v>292.60000000000002</v>
          </cell>
          <cell r="M822">
            <v>283.8</v>
          </cell>
          <cell r="N822">
            <v>275.00000000000006</v>
          </cell>
          <cell r="O822">
            <v>271.42500000000001</v>
          </cell>
          <cell r="P822">
            <v>267.85000000000002</v>
          </cell>
          <cell r="Q822">
            <v>264.27500000000003</v>
          </cell>
          <cell r="R822">
            <v>260.70000000000005</v>
          </cell>
          <cell r="S822">
            <v>257.12500000000006</v>
          </cell>
          <cell r="T822">
            <v>253.55000000000004</v>
          </cell>
          <cell r="U822">
            <v>249.97500000000002</v>
          </cell>
          <cell r="V822">
            <v>246.40000000000003</v>
          </cell>
          <cell r="W822">
            <v>242.82500000000005</v>
          </cell>
          <cell r="X822">
            <v>239.25000000000003</v>
          </cell>
          <cell r="Y822">
            <v>231.82500000000002</v>
          </cell>
          <cell r="Z822">
            <v>224.40000000000003</v>
          </cell>
          <cell r="AA822">
            <v>216.97500000000002</v>
          </cell>
          <cell r="AB822">
            <v>209.55000000000004</v>
          </cell>
          <cell r="AC822">
            <v>202.12500000000003</v>
          </cell>
          <cell r="AD822">
            <v>194.70000000000002</v>
          </cell>
          <cell r="AE822">
            <v>187.27500000000003</v>
          </cell>
          <cell r="AF822">
            <v>179.85000000000002</v>
          </cell>
          <cell r="AG822">
            <v>172.42500000000001</v>
          </cell>
          <cell r="AH822">
            <v>165.00000000000003</v>
          </cell>
        </row>
        <row r="823">
          <cell r="B823" t="str">
            <v>e-diesel (PS) - Finance cost - Americas - USD/ton fuel</v>
          </cell>
          <cell r="G823">
            <v>336.6</v>
          </cell>
          <cell r="H823">
            <v>327.80000000000007</v>
          </cell>
          <cell r="I823">
            <v>319.00000000000006</v>
          </cell>
          <cell r="J823">
            <v>310.20000000000005</v>
          </cell>
          <cell r="K823">
            <v>301.40000000000003</v>
          </cell>
          <cell r="L823">
            <v>292.60000000000002</v>
          </cell>
          <cell r="M823">
            <v>283.8</v>
          </cell>
          <cell r="N823">
            <v>275.00000000000006</v>
          </cell>
          <cell r="O823">
            <v>271.42500000000001</v>
          </cell>
          <cell r="P823">
            <v>267.85000000000002</v>
          </cell>
          <cell r="Q823">
            <v>264.27500000000003</v>
          </cell>
          <cell r="R823">
            <v>260.70000000000005</v>
          </cell>
          <cell r="S823">
            <v>257.12500000000006</v>
          </cell>
          <cell r="T823">
            <v>253.55000000000004</v>
          </cell>
          <cell r="U823">
            <v>249.97500000000002</v>
          </cell>
          <cell r="V823">
            <v>246.40000000000003</v>
          </cell>
          <cell r="W823">
            <v>242.82500000000005</v>
          </cell>
          <cell r="X823">
            <v>239.25000000000003</v>
          </cell>
          <cell r="Y823">
            <v>231.82500000000002</v>
          </cell>
          <cell r="Z823">
            <v>224.40000000000003</v>
          </cell>
          <cell r="AA823">
            <v>216.97500000000002</v>
          </cell>
          <cell r="AB823">
            <v>209.55000000000004</v>
          </cell>
          <cell r="AC823">
            <v>202.12500000000003</v>
          </cell>
          <cell r="AD823">
            <v>194.70000000000002</v>
          </cell>
          <cell r="AE823">
            <v>187.27500000000003</v>
          </cell>
          <cell r="AF823">
            <v>179.85000000000002</v>
          </cell>
          <cell r="AG823">
            <v>172.42500000000001</v>
          </cell>
          <cell r="AH823">
            <v>165.00000000000003</v>
          </cell>
        </row>
        <row r="824">
          <cell r="B824" t="str">
            <v>e-diesel (PS) - Finance cost - Asia - USD/ton fuel</v>
          </cell>
          <cell r="G824">
            <v>336.6</v>
          </cell>
          <cell r="H824">
            <v>327.80000000000007</v>
          </cell>
          <cell r="I824">
            <v>319.00000000000006</v>
          </cell>
          <cell r="J824">
            <v>310.20000000000005</v>
          </cell>
          <cell r="K824">
            <v>301.40000000000003</v>
          </cell>
          <cell r="L824">
            <v>292.60000000000002</v>
          </cell>
          <cell r="M824">
            <v>283.8</v>
          </cell>
          <cell r="N824">
            <v>275.00000000000006</v>
          </cell>
          <cell r="O824">
            <v>271.42500000000001</v>
          </cell>
          <cell r="P824">
            <v>267.85000000000002</v>
          </cell>
          <cell r="Q824">
            <v>264.27500000000003</v>
          </cell>
          <cell r="R824">
            <v>260.70000000000005</v>
          </cell>
          <cell r="S824">
            <v>257.12500000000006</v>
          </cell>
          <cell r="T824">
            <v>253.55000000000004</v>
          </cell>
          <cell r="U824">
            <v>249.97500000000002</v>
          </cell>
          <cell r="V824">
            <v>246.40000000000003</v>
          </cell>
          <cell r="W824">
            <v>242.82500000000005</v>
          </cell>
          <cell r="X824">
            <v>239.25000000000003</v>
          </cell>
          <cell r="Y824">
            <v>231.82500000000002</v>
          </cell>
          <cell r="Z824">
            <v>224.40000000000003</v>
          </cell>
          <cell r="AA824">
            <v>216.97500000000002</v>
          </cell>
          <cell r="AB824">
            <v>209.55000000000004</v>
          </cell>
          <cell r="AC824">
            <v>202.12500000000003</v>
          </cell>
          <cell r="AD824">
            <v>194.70000000000002</v>
          </cell>
          <cell r="AE824">
            <v>187.27500000000003</v>
          </cell>
          <cell r="AF824">
            <v>179.85000000000002</v>
          </cell>
          <cell r="AG824">
            <v>172.42500000000001</v>
          </cell>
          <cell r="AH824">
            <v>165.00000000000003</v>
          </cell>
        </row>
        <row r="825">
          <cell r="B825" t="str">
            <v>e-diesel (PS) - Finance cost - Europe - USD/ton fuel</v>
          </cell>
          <cell r="G825">
            <v>336.6</v>
          </cell>
          <cell r="H825">
            <v>327.80000000000007</v>
          </cell>
          <cell r="I825">
            <v>319.00000000000006</v>
          </cell>
          <cell r="J825">
            <v>310.20000000000005</v>
          </cell>
          <cell r="K825">
            <v>301.40000000000003</v>
          </cell>
          <cell r="L825">
            <v>292.60000000000002</v>
          </cell>
          <cell r="M825">
            <v>283.8</v>
          </cell>
          <cell r="N825">
            <v>275.00000000000006</v>
          </cell>
          <cell r="O825">
            <v>271.42500000000001</v>
          </cell>
          <cell r="P825">
            <v>267.85000000000002</v>
          </cell>
          <cell r="Q825">
            <v>264.27500000000003</v>
          </cell>
          <cell r="R825">
            <v>260.70000000000005</v>
          </cell>
          <cell r="S825">
            <v>257.12500000000006</v>
          </cell>
          <cell r="T825">
            <v>253.55000000000004</v>
          </cell>
          <cell r="U825">
            <v>249.97500000000002</v>
          </cell>
          <cell r="V825">
            <v>246.40000000000003</v>
          </cell>
          <cell r="W825">
            <v>242.82500000000005</v>
          </cell>
          <cell r="X825">
            <v>239.25000000000003</v>
          </cell>
          <cell r="Y825">
            <v>231.82500000000002</v>
          </cell>
          <cell r="Z825">
            <v>224.40000000000003</v>
          </cell>
          <cell r="AA825">
            <v>216.97500000000002</v>
          </cell>
          <cell r="AB825">
            <v>209.55000000000004</v>
          </cell>
          <cell r="AC825">
            <v>202.12500000000003</v>
          </cell>
          <cell r="AD825">
            <v>194.70000000000002</v>
          </cell>
          <cell r="AE825">
            <v>187.27500000000003</v>
          </cell>
          <cell r="AF825">
            <v>179.85000000000002</v>
          </cell>
          <cell r="AG825">
            <v>172.42500000000001</v>
          </cell>
          <cell r="AH825">
            <v>165.00000000000003</v>
          </cell>
        </row>
        <row r="826">
          <cell r="B826" t="str">
            <v>e-diesel (PS) - Finance cost - Middle East - USD/ton fuel</v>
          </cell>
          <cell r="G826">
            <v>336.6</v>
          </cell>
          <cell r="H826">
            <v>327.80000000000007</v>
          </cell>
          <cell r="I826">
            <v>319.00000000000006</v>
          </cell>
          <cell r="J826">
            <v>310.20000000000005</v>
          </cell>
          <cell r="K826">
            <v>301.40000000000003</v>
          </cell>
          <cell r="L826">
            <v>292.60000000000002</v>
          </cell>
          <cell r="M826">
            <v>283.8</v>
          </cell>
          <cell r="N826">
            <v>275.00000000000006</v>
          </cell>
          <cell r="O826">
            <v>271.42500000000001</v>
          </cell>
          <cell r="P826">
            <v>267.85000000000002</v>
          </cell>
          <cell r="Q826">
            <v>264.27500000000003</v>
          </cell>
          <cell r="R826">
            <v>260.70000000000005</v>
          </cell>
          <cell r="S826">
            <v>257.12500000000006</v>
          </cell>
          <cell r="T826">
            <v>253.55000000000004</v>
          </cell>
          <cell r="U826">
            <v>249.97500000000002</v>
          </cell>
          <cell r="V826">
            <v>246.40000000000003</v>
          </cell>
          <cell r="W826">
            <v>242.82500000000005</v>
          </cell>
          <cell r="X826">
            <v>239.25000000000003</v>
          </cell>
          <cell r="Y826">
            <v>231.82500000000002</v>
          </cell>
          <cell r="Z826">
            <v>224.40000000000003</v>
          </cell>
          <cell r="AA826">
            <v>216.97500000000002</v>
          </cell>
          <cell r="AB826">
            <v>209.55000000000004</v>
          </cell>
          <cell r="AC826">
            <v>202.12500000000003</v>
          </cell>
          <cell r="AD826">
            <v>194.70000000000002</v>
          </cell>
          <cell r="AE826">
            <v>187.27500000000003</v>
          </cell>
          <cell r="AF826">
            <v>179.85000000000002</v>
          </cell>
          <cell r="AG826">
            <v>172.42500000000001</v>
          </cell>
          <cell r="AH826">
            <v>165.00000000000003</v>
          </cell>
        </row>
        <row r="827">
          <cell r="B827" t="str">
            <v>General - Weighted average cost of capital (WACC) - Africa - %</v>
          </cell>
          <cell r="G827">
            <v>5.5000000000000007E-2</v>
          </cell>
          <cell r="H827">
            <v>5.5000000000000007E-2</v>
          </cell>
          <cell r="I827">
            <v>5.5000000000000007E-2</v>
          </cell>
          <cell r="J827">
            <v>5.5000000000000007E-2</v>
          </cell>
          <cell r="K827">
            <v>5.5000000000000007E-2</v>
          </cell>
          <cell r="L827">
            <v>5.5000000000000007E-2</v>
          </cell>
          <cell r="M827">
            <v>5.5000000000000007E-2</v>
          </cell>
          <cell r="N827">
            <v>5.5000000000000007E-2</v>
          </cell>
          <cell r="O827">
            <v>5.5000000000000007E-2</v>
          </cell>
          <cell r="P827">
            <v>5.5000000000000007E-2</v>
          </cell>
          <cell r="Q827">
            <v>5.5000000000000007E-2</v>
          </cell>
          <cell r="R827">
            <v>5.5000000000000007E-2</v>
          </cell>
          <cell r="S827">
            <v>5.5000000000000007E-2</v>
          </cell>
          <cell r="T827">
            <v>5.5000000000000007E-2</v>
          </cell>
          <cell r="U827">
            <v>5.5000000000000007E-2</v>
          </cell>
          <cell r="V827">
            <v>5.5000000000000007E-2</v>
          </cell>
          <cell r="W827">
            <v>5.5000000000000007E-2</v>
          </cell>
          <cell r="X827">
            <v>5.5000000000000007E-2</v>
          </cell>
          <cell r="Y827">
            <v>5.5000000000000007E-2</v>
          </cell>
          <cell r="Z827">
            <v>5.5000000000000007E-2</v>
          </cell>
          <cell r="AA827">
            <v>5.5000000000000007E-2</v>
          </cell>
          <cell r="AB827">
            <v>5.5000000000000007E-2</v>
          </cell>
          <cell r="AC827">
            <v>5.5000000000000007E-2</v>
          </cell>
          <cell r="AD827">
            <v>5.5000000000000007E-2</v>
          </cell>
          <cell r="AE827">
            <v>5.5000000000000007E-2</v>
          </cell>
          <cell r="AF827">
            <v>5.5000000000000007E-2</v>
          </cell>
          <cell r="AG827">
            <v>5.5000000000000007E-2</v>
          </cell>
          <cell r="AH827">
            <v>5.5000000000000007E-2</v>
          </cell>
        </row>
        <row r="828">
          <cell r="B828" t="str">
            <v>General - Weighted average cost of capital (WACC) - Americas - %</v>
          </cell>
          <cell r="G828">
            <v>5.5000000000000007E-2</v>
          </cell>
          <cell r="H828">
            <v>5.5000000000000007E-2</v>
          </cell>
          <cell r="I828">
            <v>5.5000000000000007E-2</v>
          </cell>
          <cell r="J828">
            <v>5.5000000000000007E-2</v>
          </cell>
          <cell r="K828">
            <v>5.5000000000000007E-2</v>
          </cell>
          <cell r="L828">
            <v>5.5000000000000007E-2</v>
          </cell>
          <cell r="M828">
            <v>5.5000000000000007E-2</v>
          </cell>
          <cell r="N828">
            <v>5.5000000000000007E-2</v>
          </cell>
          <cell r="O828">
            <v>5.5000000000000007E-2</v>
          </cell>
          <cell r="P828">
            <v>5.5000000000000007E-2</v>
          </cell>
          <cell r="Q828">
            <v>5.5000000000000007E-2</v>
          </cell>
          <cell r="R828">
            <v>5.5000000000000007E-2</v>
          </cell>
          <cell r="S828">
            <v>5.5000000000000007E-2</v>
          </cell>
          <cell r="T828">
            <v>5.5000000000000007E-2</v>
          </cell>
          <cell r="U828">
            <v>5.5000000000000007E-2</v>
          </cell>
          <cell r="V828">
            <v>5.5000000000000007E-2</v>
          </cell>
          <cell r="W828">
            <v>5.5000000000000007E-2</v>
          </cell>
          <cell r="X828">
            <v>5.5000000000000007E-2</v>
          </cell>
          <cell r="Y828">
            <v>5.5000000000000007E-2</v>
          </cell>
          <cell r="Z828">
            <v>5.5000000000000007E-2</v>
          </cell>
          <cell r="AA828">
            <v>5.5000000000000007E-2</v>
          </cell>
          <cell r="AB828">
            <v>5.5000000000000007E-2</v>
          </cell>
          <cell r="AC828">
            <v>5.5000000000000007E-2</v>
          </cell>
          <cell r="AD828">
            <v>5.5000000000000007E-2</v>
          </cell>
          <cell r="AE828">
            <v>5.5000000000000007E-2</v>
          </cell>
          <cell r="AF828">
            <v>5.5000000000000007E-2</v>
          </cell>
          <cell r="AG828">
            <v>5.5000000000000007E-2</v>
          </cell>
          <cell r="AH828">
            <v>5.5000000000000007E-2</v>
          </cell>
        </row>
        <row r="829">
          <cell r="B829" t="str">
            <v>General - Weighted average cost of capital (WACC) - Asia - %</v>
          </cell>
          <cell r="G829">
            <v>5.5000000000000007E-2</v>
          </cell>
          <cell r="H829">
            <v>5.5000000000000007E-2</v>
          </cell>
          <cell r="I829">
            <v>5.5000000000000007E-2</v>
          </cell>
          <cell r="J829">
            <v>5.5000000000000007E-2</v>
          </cell>
          <cell r="K829">
            <v>5.5000000000000007E-2</v>
          </cell>
          <cell r="L829">
            <v>5.5000000000000007E-2</v>
          </cell>
          <cell r="M829">
            <v>5.5000000000000007E-2</v>
          </cell>
          <cell r="N829">
            <v>5.5000000000000007E-2</v>
          </cell>
          <cell r="O829">
            <v>5.5000000000000007E-2</v>
          </cell>
          <cell r="P829">
            <v>5.5000000000000007E-2</v>
          </cell>
          <cell r="Q829">
            <v>5.5000000000000007E-2</v>
          </cell>
          <cell r="R829">
            <v>5.5000000000000007E-2</v>
          </cell>
          <cell r="S829">
            <v>5.5000000000000007E-2</v>
          </cell>
          <cell r="T829">
            <v>5.5000000000000007E-2</v>
          </cell>
          <cell r="U829">
            <v>5.5000000000000007E-2</v>
          </cell>
          <cell r="V829">
            <v>5.5000000000000007E-2</v>
          </cell>
          <cell r="W829">
            <v>5.5000000000000007E-2</v>
          </cell>
          <cell r="X829">
            <v>5.5000000000000007E-2</v>
          </cell>
          <cell r="Y829">
            <v>5.5000000000000007E-2</v>
          </cell>
          <cell r="Z829">
            <v>5.5000000000000007E-2</v>
          </cell>
          <cell r="AA829">
            <v>5.5000000000000007E-2</v>
          </cell>
          <cell r="AB829">
            <v>5.5000000000000007E-2</v>
          </cell>
          <cell r="AC829">
            <v>5.5000000000000007E-2</v>
          </cell>
          <cell r="AD829">
            <v>5.5000000000000007E-2</v>
          </cell>
          <cell r="AE829">
            <v>5.5000000000000007E-2</v>
          </cell>
          <cell r="AF829">
            <v>5.5000000000000007E-2</v>
          </cell>
          <cell r="AG829">
            <v>5.5000000000000007E-2</v>
          </cell>
          <cell r="AH829">
            <v>5.5000000000000007E-2</v>
          </cell>
        </row>
        <row r="830">
          <cell r="B830" t="str">
            <v>General - Weighted average cost of capital (WACC) - Europe - %</v>
          </cell>
          <cell r="G830">
            <v>5.5000000000000007E-2</v>
          </cell>
          <cell r="H830">
            <v>5.5000000000000007E-2</v>
          </cell>
          <cell r="I830">
            <v>5.5000000000000007E-2</v>
          </cell>
          <cell r="J830">
            <v>5.5000000000000007E-2</v>
          </cell>
          <cell r="K830">
            <v>5.5000000000000007E-2</v>
          </cell>
          <cell r="L830">
            <v>5.5000000000000007E-2</v>
          </cell>
          <cell r="M830">
            <v>5.5000000000000007E-2</v>
          </cell>
          <cell r="N830">
            <v>5.5000000000000007E-2</v>
          </cell>
          <cell r="O830">
            <v>5.5000000000000007E-2</v>
          </cell>
          <cell r="P830">
            <v>5.5000000000000007E-2</v>
          </cell>
          <cell r="Q830">
            <v>5.5000000000000007E-2</v>
          </cell>
          <cell r="R830">
            <v>5.5000000000000007E-2</v>
          </cell>
          <cell r="S830">
            <v>5.5000000000000007E-2</v>
          </cell>
          <cell r="T830">
            <v>5.5000000000000007E-2</v>
          </cell>
          <cell r="U830">
            <v>5.5000000000000007E-2</v>
          </cell>
          <cell r="V830">
            <v>5.5000000000000007E-2</v>
          </cell>
          <cell r="W830">
            <v>5.5000000000000007E-2</v>
          </cell>
          <cell r="X830">
            <v>5.5000000000000007E-2</v>
          </cell>
          <cell r="Y830">
            <v>5.5000000000000007E-2</v>
          </cell>
          <cell r="Z830">
            <v>5.5000000000000007E-2</v>
          </cell>
          <cell r="AA830">
            <v>5.5000000000000007E-2</v>
          </cell>
          <cell r="AB830">
            <v>5.5000000000000007E-2</v>
          </cell>
          <cell r="AC830">
            <v>5.5000000000000007E-2</v>
          </cell>
          <cell r="AD830">
            <v>5.5000000000000007E-2</v>
          </cell>
          <cell r="AE830">
            <v>5.5000000000000007E-2</v>
          </cell>
          <cell r="AF830">
            <v>5.5000000000000007E-2</v>
          </cell>
          <cell r="AG830">
            <v>5.5000000000000007E-2</v>
          </cell>
          <cell r="AH830">
            <v>5.5000000000000007E-2</v>
          </cell>
        </row>
        <row r="831">
          <cell r="B831" t="str">
            <v>General - Weighted average cost of capital (WACC) - Middle East - %</v>
          </cell>
          <cell r="G831">
            <v>5.5000000000000007E-2</v>
          </cell>
          <cell r="H831">
            <v>5.5000000000000007E-2</v>
          </cell>
          <cell r="I831">
            <v>5.5000000000000007E-2</v>
          </cell>
          <cell r="J831">
            <v>5.5000000000000007E-2</v>
          </cell>
          <cell r="K831">
            <v>5.5000000000000007E-2</v>
          </cell>
          <cell r="L831">
            <v>5.5000000000000007E-2</v>
          </cell>
          <cell r="M831">
            <v>5.5000000000000007E-2</v>
          </cell>
          <cell r="N831">
            <v>5.5000000000000007E-2</v>
          </cell>
          <cell r="O831">
            <v>5.5000000000000007E-2</v>
          </cell>
          <cell r="P831">
            <v>5.5000000000000007E-2</v>
          </cell>
          <cell r="Q831">
            <v>5.5000000000000007E-2</v>
          </cell>
          <cell r="R831">
            <v>5.5000000000000007E-2</v>
          </cell>
          <cell r="S831">
            <v>5.5000000000000007E-2</v>
          </cell>
          <cell r="T831">
            <v>5.5000000000000007E-2</v>
          </cell>
          <cell r="U831">
            <v>5.5000000000000007E-2</v>
          </cell>
          <cell r="V831">
            <v>5.5000000000000007E-2</v>
          </cell>
          <cell r="W831">
            <v>5.5000000000000007E-2</v>
          </cell>
          <cell r="X831">
            <v>5.5000000000000007E-2</v>
          </cell>
          <cell r="Y831">
            <v>5.5000000000000007E-2</v>
          </cell>
          <cell r="Z831">
            <v>5.5000000000000007E-2</v>
          </cell>
          <cell r="AA831">
            <v>5.5000000000000007E-2</v>
          </cell>
          <cell r="AB831">
            <v>5.5000000000000007E-2</v>
          </cell>
          <cell r="AC831">
            <v>5.5000000000000007E-2</v>
          </cell>
          <cell r="AD831">
            <v>5.5000000000000007E-2</v>
          </cell>
          <cell r="AE831">
            <v>5.5000000000000007E-2</v>
          </cell>
          <cell r="AF831">
            <v>5.5000000000000007E-2</v>
          </cell>
          <cell r="AG831">
            <v>5.5000000000000007E-2</v>
          </cell>
          <cell r="AH831">
            <v>5.5000000000000007E-2</v>
          </cell>
        </row>
        <row r="832">
          <cell r="B832" t="str">
            <v>e-diesel - Total CAPEX - Global - USD/ton fuel</v>
          </cell>
          <cell r="G832">
            <v>6120</v>
          </cell>
          <cell r="H832">
            <v>5960</v>
          </cell>
          <cell r="I832">
            <v>5800</v>
          </cell>
          <cell r="J832">
            <v>5640</v>
          </cell>
          <cell r="K832">
            <v>5480</v>
          </cell>
          <cell r="L832">
            <v>5320</v>
          </cell>
          <cell r="M832">
            <v>5160</v>
          </cell>
          <cell r="N832">
            <v>5000</v>
          </cell>
          <cell r="O832">
            <v>4935</v>
          </cell>
          <cell r="P832">
            <v>4870</v>
          </cell>
          <cell r="Q832">
            <v>4805</v>
          </cell>
          <cell r="R832">
            <v>4740</v>
          </cell>
          <cell r="S832">
            <v>4675</v>
          </cell>
          <cell r="T832">
            <v>4610</v>
          </cell>
          <cell r="U832">
            <v>4545</v>
          </cell>
          <cell r="V832">
            <v>4480</v>
          </cell>
          <cell r="W832">
            <v>4415</v>
          </cell>
          <cell r="X832">
            <v>4350</v>
          </cell>
          <cell r="Y832">
            <v>4215</v>
          </cell>
          <cell r="Z832">
            <v>4080</v>
          </cell>
          <cell r="AA832">
            <v>3945</v>
          </cell>
          <cell r="AB832">
            <v>3810</v>
          </cell>
          <cell r="AC832">
            <v>3675</v>
          </cell>
          <cell r="AD832">
            <v>3540</v>
          </cell>
          <cell r="AE832">
            <v>3405</v>
          </cell>
          <cell r="AF832">
            <v>3270</v>
          </cell>
          <cell r="AG832">
            <v>3135</v>
          </cell>
          <cell r="AH832">
            <v>3000</v>
          </cell>
        </row>
        <row r="833">
          <cell r="B833" t="str">
            <v/>
          </cell>
        </row>
        <row r="834">
          <cell r="B834" t="str">
            <v>e-diesel (PS) - Energy cost - Africa - USD/ton fuel</v>
          </cell>
          <cell r="G834">
            <v>24.196520996516455</v>
          </cell>
          <cell r="H834">
            <v>20.984263356572239</v>
          </cell>
          <cell r="I834">
            <v>17.87071422432129</v>
          </cell>
          <cell r="J834">
            <v>16.823748934217715</v>
          </cell>
          <cell r="K834">
            <v>15.802028726504963</v>
          </cell>
          <cell r="L834">
            <v>14.805553601183036</v>
          </cell>
          <cell r="M834">
            <v>13.834323558251761</v>
          </cell>
          <cell r="N834">
            <v>12.888338597711485</v>
          </cell>
          <cell r="O834">
            <v>12.290477819406663</v>
          </cell>
          <cell r="P834">
            <v>11.705545605118326</v>
          </cell>
          <cell r="Q834">
            <v>11.133541954846319</v>
          </cell>
          <cell r="R834">
            <v>10.574466868590962</v>
          </cell>
          <cell r="S834">
            <v>10.02832034635213</v>
          </cell>
          <cell r="T834">
            <v>9.6964670631229843</v>
          </cell>
          <cell r="U834">
            <v>9.3701967075256007</v>
          </cell>
          <cell r="V834">
            <v>9.0495092795597998</v>
          </cell>
          <cell r="W834">
            <v>8.7344047792256703</v>
          </cell>
          <cell r="X834">
            <v>8.424883206523333</v>
          </cell>
          <cell r="Y834">
            <v>8.1289163298713785</v>
          </cell>
          <cell r="Z834">
            <v>7.8382163198470858</v>
          </cell>
          <cell r="AA834">
            <v>7.552783176450439</v>
          </cell>
          <cell r="AB834">
            <v>7.2726168996816174</v>
          </cell>
          <cell r="AC834">
            <v>6.997717489540431</v>
          </cell>
          <cell r="AD834">
            <v>6.8115445879951633</v>
          </cell>
          <cell r="AE834">
            <v>6.6277434055101123</v>
          </cell>
          <cell r="AF834">
            <v>6.4463139420851272</v>
          </cell>
          <cell r="AG834">
            <v>6.2672561977202834</v>
          </cell>
          <cell r="AH834">
            <v>6.090570172415652</v>
          </cell>
        </row>
        <row r="835">
          <cell r="B835" t="str">
            <v>e-diesel (PS) - Energy cost - Americas - USD/ton fuel</v>
          </cell>
          <cell r="G835">
            <v>15.203034188414808</v>
          </cell>
          <cell r="H835">
            <v>14.629589114960471</v>
          </cell>
          <cell r="I835">
            <v>14.067081505671206</v>
          </cell>
          <cell r="J835">
            <v>13.329612930282243</v>
          </cell>
          <cell r="K835">
            <v>12.609106739922293</v>
          </cell>
          <cell r="L835">
            <v>11.905562934591353</v>
          </cell>
          <cell r="M835">
            <v>11.218981514289597</v>
          </cell>
          <cell r="N835">
            <v>10.549362479016679</v>
          </cell>
          <cell r="O835">
            <v>10.15213828004366</v>
          </cell>
          <cell r="P835">
            <v>9.7624029611274885</v>
          </cell>
          <cell r="Q835">
            <v>9.3801565222681607</v>
          </cell>
          <cell r="R835">
            <v>9.0053989634656801</v>
          </cell>
          <cell r="S835">
            <v>8.6381302847200061</v>
          </cell>
          <cell r="T835">
            <v>8.3296276332387222</v>
          </cell>
          <cell r="U835">
            <v>8.0266945217164203</v>
          </cell>
          <cell r="V835">
            <v>7.7293309501529768</v>
          </cell>
          <cell r="W835">
            <v>7.437536918548509</v>
          </cell>
          <cell r="X835">
            <v>7.1513124269030035</v>
          </cell>
          <cell r="Y835">
            <v>6.9719308949500096</v>
          </cell>
          <cell r="Z835">
            <v>6.7946079297467135</v>
          </cell>
          <cell r="AA835">
            <v>6.6193435312931719</v>
          </cell>
          <cell r="AB835">
            <v>6.4461376995893911</v>
          </cell>
          <cell r="AC835">
            <v>6.2749904346353098</v>
          </cell>
          <cell r="AD835">
            <v>6.1289523542329727</v>
          </cell>
          <cell r="AE835">
            <v>5.9843391139187769</v>
          </cell>
          <cell r="AF835">
            <v>5.8411507136926293</v>
          </cell>
          <cell r="AG835">
            <v>5.699387153554567</v>
          </cell>
          <cell r="AH835">
            <v>5.5590484335046302</v>
          </cell>
        </row>
        <row r="836">
          <cell r="B836" t="str">
            <v>e-diesel (PS) - Energy cost - Asia - USD/ton fuel</v>
          </cell>
          <cell r="G836">
            <v>26.911560952103585</v>
          </cell>
          <cell r="H836">
            <v>24.120345458273867</v>
          </cell>
          <cell r="I836">
            <v>21.411285353546209</v>
          </cell>
          <cell r="J836">
            <v>20.252527787458053</v>
          </cell>
          <cell r="K836">
            <v>19.120806072795972</v>
          </cell>
          <cell r="L836">
            <v>18.016120209559258</v>
          </cell>
          <cell r="M836">
            <v>16.93847019774827</v>
          </cell>
          <cell r="N836">
            <v>15.88785603736334</v>
          </cell>
          <cell r="O836">
            <v>15.123404554681125</v>
          </cell>
          <cell r="P836">
            <v>14.375812120197313</v>
          </cell>
          <cell r="Q836">
            <v>13.645078733911902</v>
          </cell>
          <cell r="R836">
            <v>12.931204395824565</v>
          </cell>
          <cell r="S836">
            <v>12.234189105935469</v>
          </cell>
          <cell r="T836">
            <v>11.797976538046914</v>
          </cell>
          <cell r="U836">
            <v>11.369627942208288</v>
          </cell>
          <cell r="V836">
            <v>10.949143318419541</v>
          </cell>
          <cell r="W836">
            <v>10.53652266668059</v>
          </cell>
          <cell r="X836">
            <v>10.131765986991704</v>
          </cell>
          <cell r="Y836">
            <v>9.7395580324030853</v>
          </cell>
          <cell r="Z836">
            <v>9.3549020176036937</v>
          </cell>
          <cell r="AA836">
            <v>8.9777979425934493</v>
          </cell>
          <cell r="AB836">
            <v>8.6082458073725423</v>
          </cell>
          <cell r="AC836">
            <v>8.2462456119407292</v>
          </cell>
          <cell r="AD836">
            <v>8.0154645450439599</v>
          </cell>
          <cell r="AE836">
            <v>7.7878608108152818</v>
          </cell>
          <cell r="AF836">
            <v>7.5634344092546586</v>
          </cell>
          <cell r="AG836">
            <v>7.3421853403621089</v>
          </cell>
          <cell r="AH836">
            <v>7.1241136041376523</v>
          </cell>
        </row>
        <row r="837">
          <cell r="B837" t="str">
            <v>e-diesel (PS) - Energy cost - Europe - USD/ton fuel</v>
          </cell>
          <cell r="G837">
            <v>20.03419940861022</v>
          </cell>
          <cell r="H837">
            <v>18.837733795195369</v>
          </cell>
          <cell r="I837">
            <v>17.671265371443241</v>
          </cell>
          <cell r="J837">
            <v>16.717185818536183</v>
          </cell>
          <cell r="K837">
            <v>15.78534335027101</v>
          </cell>
          <cell r="L837">
            <v>14.875737966648074</v>
          </cell>
          <cell r="M837">
            <v>13.988369667667028</v>
          </cell>
          <cell r="N837">
            <v>13.123238453328213</v>
          </cell>
          <cell r="O837">
            <v>12.654095123654653</v>
          </cell>
          <cell r="P837">
            <v>12.193428582186671</v>
          </cell>
          <cell r="Q837">
            <v>11.741238828923938</v>
          </cell>
          <cell r="R837">
            <v>11.297525863866536</v>
          </cell>
          <cell r="S837">
            <v>10.862289687014542</v>
          </cell>
          <cell r="T837">
            <v>10.544654819504814</v>
          </cell>
          <cell r="U837">
            <v>10.231663236644277</v>
          </cell>
          <cell r="V837">
            <v>9.9233149384327817</v>
          </cell>
          <cell r="W837">
            <v>9.6196099248703852</v>
          </cell>
          <cell r="X837">
            <v>9.3205481959570715</v>
          </cell>
          <cell r="Y837">
            <v>9.0309249569471994</v>
          </cell>
          <cell r="Z837">
            <v>8.7458591318438703</v>
          </cell>
          <cell r="AA837">
            <v>8.4653507206472032</v>
          </cell>
          <cell r="AB837">
            <v>8.189399723357182</v>
          </cell>
          <cell r="AC837">
            <v>7.9180061399737713</v>
          </cell>
          <cell r="AD837">
            <v>7.6964162754164303</v>
          </cell>
          <cell r="AE837">
            <v>7.477877101912612</v>
          </cell>
          <cell r="AF837">
            <v>7.262388619462282</v>
          </cell>
          <cell r="AG837">
            <v>7.049950828065457</v>
          </cell>
          <cell r="AH837">
            <v>6.8405637277221549</v>
          </cell>
        </row>
        <row r="838">
          <cell r="B838" t="str">
            <v>e-diesel (PS) - Energy cost - Middle East - USD/ton fuel</v>
          </cell>
          <cell r="G838">
            <v>15.341082917877907</v>
          </cell>
          <cell r="H838">
            <v>14.409400272858166</v>
          </cell>
          <cell r="I838">
            <v>13.501235651081528</v>
          </cell>
          <cell r="J838">
            <v>12.85283382039278</v>
          </cell>
          <cell r="K838">
            <v>12.218717691563548</v>
          </cell>
          <cell r="L838">
            <v>11.598887264593834</v>
          </cell>
          <cell r="M838">
            <v>10.993342539483638</v>
          </cell>
          <cell r="N838">
            <v>10.402083516232958</v>
          </cell>
          <cell r="O838">
            <v>9.9550881030842415</v>
          </cell>
          <cell r="P838">
            <v>9.5173342300383421</v>
          </cell>
          <cell r="Q838">
            <v>9.0888218970950945</v>
          </cell>
          <cell r="R838">
            <v>8.669551104254662</v>
          </cell>
          <cell r="S838">
            <v>8.2595218515169613</v>
          </cell>
          <cell r="T838">
            <v>7.9965392922245107</v>
          </cell>
          <cell r="U838">
            <v>7.737807841980775</v>
          </cell>
          <cell r="V838">
            <v>7.4833275007857054</v>
          </cell>
          <cell r="W838">
            <v>7.2330982686392709</v>
          </cell>
          <cell r="X838">
            <v>6.9871201455415495</v>
          </cell>
          <cell r="Y838">
            <v>6.719423322668999</v>
          </cell>
          <cell r="Z838">
            <v>6.4568411836030739</v>
          </cell>
          <cell r="AA838">
            <v>6.199373728343744</v>
          </cell>
          <cell r="AB838">
            <v>5.947020956891115</v>
          </cell>
          <cell r="AC838">
            <v>5.6997828692450287</v>
          </cell>
          <cell r="AD838">
            <v>5.540265853330915</v>
          </cell>
          <cell r="AE838">
            <v>5.3829450603634372</v>
          </cell>
          <cell r="AF838">
            <v>5.227820490342495</v>
          </cell>
          <cell r="AG838">
            <v>5.0748921432681389</v>
          </cell>
          <cell r="AH838">
            <v>4.9241600191404169</v>
          </cell>
        </row>
        <row r="839">
          <cell r="B839" t="str">
            <v>Renewable electricity - Cost of electricity - Africa - USD/MWh</v>
          </cell>
          <cell r="G839">
            <v>58.389806930514169</v>
          </cell>
          <cell r="H839">
            <v>51.533296245659585</v>
          </cell>
          <cell r="I839">
            <v>44.676785560803182</v>
          </cell>
          <cell r="J839">
            <v>42.765424685038852</v>
          </cell>
          <cell r="K839">
            <v>40.854063809274521</v>
          </cell>
          <cell r="L839">
            <v>38.942702933510191</v>
          </cell>
          <cell r="M839">
            <v>37.031342057745405</v>
          </cell>
          <cell r="N839">
            <v>35.119981181981075</v>
          </cell>
          <cell r="O839">
            <v>34.053057098426962</v>
          </cell>
          <cell r="P839">
            <v>32.986133014872848</v>
          </cell>
          <cell r="Q839">
            <v>31.919208931318281</v>
          </cell>
          <cell r="R839">
            <v>30.852284847764167</v>
          </cell>
          <cell r="S839">
            <v>29.785360764210168</v>
          </cell>
          <cell r="T839">
            <v>29.283177129903038</v>
          </cell>
          <cell r="U839">
            <v>28.780993495596022</v>
          </cell>
          <cell r="V839">
            <v>28.278809861288892</v>
          </cell>
          <cell r="W839">
            <v>27.776626226981762</v>
          </cell>
          <cell r="X839">
            <v>27.274442592674859</v>
          </cell>
          <cell r="Y839">
            <v>26.758061649346246</v>
          </cell>
          <cell r="Z839">
            <v>26.241680706017632</v>
          </cell>
          <cell r="AA839">
            <v>25.725299762688792</v>
          </cell>
          <cell r="AB839">
            <v>25.208918819360179</v>
          </cell>
          <cell r="AC839">
            <v>24.692537876031452</v>
          </cell>
          <cell r="AD839">
            <v>24.439084279606391</v>
          </cell>
          <cell r="AE839">
            <v>24.185630683181444</v>
          </cell>
          <cell r="AF839">
            <v>23.932177086756383</v>
          </cell>
          <cell r="AG839">
            <v>23.678723490331322</v>
          </cell>
          <cell r="AH839">
            <v>23.425269893906375</v>
          </cell>
        </row>
        <row r="840">
          <cell r="B840" t="str">
            <v>Renewable electricity - Cost of electricity - Americas - USD/MWh</v>
          </cell>
          <cell r="G840">
            <v>36.687184539767031</v>
          </cell>
          <cell r="H840">
            <v>35.927444151972622</v>
          </cell>
          <cell r="I840">
            <v>35.167703764177986</v>
          </cell>
          <cell r="J840">
            <v>33.883444176422017</v>
          </cell>
          <cell r="K840">
            <v>32.599184588666049</v>
          </cell>
          <cell r="L840">
            <v>31.31492500091008</v>
          </cell>
          <cell r="M840">
            <v>30.030665413154566</v>
          </cell>
          <cell r="N840">
            <v>28.746405825398597</v>
          </cell>
          <cell r="O840">
            <v>28.128389278370832</v>
          </cell>
          <cell r="P840">
            <v>27.510372731343068</v>
          </cell>
          <cell r="Q840">
            <v>26.892356184315304</v>
          </cell>
          <cell r="R840">
            <v>26.27433963728754</v>
          </cell>
          <cell r="S840">
            <v>25.656323090259662</v>
          </cell>
          <cell r="T840">
            <v>25.155343675421591</v>
          </cell>
          <cell r="U840">
            <v>24.65436426058352</v>
          </cell>
          <cell r="V840">
            <v>24.153384845745336</v>
          </cell>
          <cell r="W840">
            <v>23.652405430907265</v>
          </cell>
          <cell r="X840">
            <v>23.151426016069138</v>
          </cell>
          <cell r="Y840">
            <v>22.949597354879643</v>
          </cell>
          <cell r="Z840">
            <v>22.747768693690148</v>
          </cell>
          <cell r="AA840">
            <v>22.54594003250071</v>
          </cell>
          <cell r="AB840">
            <v>22.344111371311214</v>
          </cell>
          <cell r="AC840">
            <v>22.142282710121719</v>
          </cell>
          <cell r="AD840">
            <v>21.990017270793203</v>
          </cell>
          <cell r="AE840">
            <v>21.837751831464743</v>
          </cell>
          <cell r="AF840">
            <v>21.685486392136283</v>
          </cell>
          <cell r="AG840">
            <v>21.533220952807824</v>
          </cell>
          <cell r="AH840">
            <v>21.380955513479364</v>
          </cell>
        </row>
        <row r="841">
          <cell r="B841" t="str">
            <v>Renewable electricity - Cost of electricity - Asia - USD/MWh</v>
          </cell>
          <cell r="G841">
            <v>64.941602489809156</v>
          </cell>
          <cell r="H841">
            <v>59.234907936835953</v>
          </cell>
          <cell r="I841">
            <v>53.528213383865477</v>
          </cell>
          <cell r="J841">
            <v>51.481269434223577</v>
          </cell>
          <cell r="K841">
            <v>49.434325484582587</v>
          </cell>
          <cell r="L841">
            <v>47.387381534940687</v>
          </cell>
          <cell r="M841">
            <v>45.340437585298787</v>
          </cell>
          <cell r="N841">
            <v>43.293493635657796</v>
          </cell>
          <cell r="O841">
            <v>41.902208066311687</v>
          </cell>
          <cell r="P841">
            <v>40.510922496966032</v>
          </cell>
          <cell r="Q841">
            <v>39.119636927620832</v>
          </cell>
          <cell r="R841">
            <v>37.728351358275177</v>
          </cell>
          <cell r="S841">
            <v>36.337065788929522</v>
          </cell>
          <cell r="T841">
            <v>35.629702497725702</v>
          </cell>
          <cell r="U841">
            <v>34.922339206521883</v>
          </cell>
          <cell r="V841">
            <v>34.214975915318291</v>
          </cell>
          <cell r="W841">
            <v>33.507612624114472</v>
          </cell>
          <cell r="X841">
            <v>32.800249332911108</v>
          </cell>
          <cell r="Y841">
            <v>32.059832294097532</v>
          </cell>
          <cell r="Z841">
            <v>31.319415255284184</v>
          </cell>
          <cell r="AA841">
            <v>30.578998216470609</v>
          </cell>
          <cell r="AB841">
            <v>29.838581177657261</v>
          </cell>
          <cell r="AC841">
            <v>29.098164138843686</v>
          </cell>
          <cell r="AD841">
            <v>28.758618698873192</v>
          </cell>
          <cell r="AE841">
            <v>28.419073258902586</v>
          </cell>
          <cell r="AF841">
            <v>28.079527818932092</v>
          </cell>
          <cell r="AG841">
            <v>27.739982378961599</v>
          </cell>
          <cell r="AH841">
            <v>27.400436938990993</v>
          </cell>
        </row>
        <row r="842">
          <cell r="B842" t="str">
            <v>Renewable electricity - Cost of electricity - Europe - USD/MWh</v>
          </cell>
          <cell r="G842">
            <v>48.345505357757247</v>
          </cell>
          <cell r="H842">
            <v>46.261834393182653</v>
          </cell>
          <cell r="I842">
            <v>44.178163428608059</v>
          </cell>
          <cell r="J842">
            <v>42.49454469772445</v>
          </cell>
          <cell r="K842">
            <v>40.810925966840387</v>
          </cell>
          <cell r="L842">
            <v>39.127307235956778</v>
          </cell>
          <cell r="M842">
            <v>37.443688505072714</v>
          </cell>
          <cell r="N842">
            <v>35.760069774189105</v>
          </cell>
          <cell r="O842">
            <v>35.060526539849434</v>
          </cell>
          <cell r="P842">
            <v>34.360983305510445</v>
          </cell>
          <cell r="Q842">
            <v>33.661440071171228</v>
          </cell>
          <cell r="R842">
            <v>32.961896836832011</v>
          </cell>
          <cell r="S842">
            <v>32.262353602493022</v>
          </cell>
          <cell r="T842">
            <v>31.844690735616723</v>
          </cell>
          <cell r="U842">
            <v>31.427027868740538</v>
          </cell>
          <cell r="V842">
            <v>31.009365001864353</v>
          </cell>
          <cell r="W842">
            <v>30.591702134988168</v>
          </cell>
          <cell r="X842">
            <v>30.174039268111756</v>
          </cell>
          <cell r="Y842">
            <v>29.72721540516045</v>
          </cell>
          <cell r="Z842">
            <v>29.280391542209031</v>
          </cell>
          <cell r="AA842">
            <v>28.833567679257726</v>
          </cell>
          <cell r="AB842">
            <v>28.386743816306307</v>
          </cell>
          <cell r="AC842">
            <v>27.939919953355002</v>
          </cell>
          <cell r="AD842">
            <v>27.613908060931863</v>
          </cell>
          <cell r="AE842">
            <v>27.28789616850861</v>
          </cell>
          <cell r="AF842">
            <v>26.96188427608547</v>
          </cell>
          <cell r="AG842">
            <v>26.635872383662331</v>
          </cell>
          <cell r="AH842">
            <v>26.309860491239078</v>
          </cell>
        </row>
        <row r="843">
          <cell r="B843" t="str">
            <v>Renewable electricity - Cost of electricity - Middle East - USD/MWh</v>
          </cell>
          <cell r="G843">
            <v>37.020316673163961</v>
          </cell>
          <cell r="H843">
            <v>35.386702900434102</v>
          </cell>
          <cell r="I843">
            <v>33.753089127703788</v>
          </cell>
          <cell r="J843">
            <v>32.671487127187447</v>
          </cell>
          <cell r="K843">
            <v>31.589885126671106</v>
          </cell>
          <cell r="L843">
            <v>30.508283126154765</v>
          </cell>
          <cell r="M843">
            <v>29.426681125638424</v>
          </cell>
          <cell r="N843">
            <v>28.345079125122083</v>
          </cell>
          <cell r="O843">
            <v>27.58242507536329</v>
          </cell>
          <cell r="P843">
            <v>26.819771025604723</v>
          </cell>
          <cell r="Q843">
            <v>26.057116975845929</v>
          </cell>
          <cell r="R843">
            <v>25.294462926087363</v>
          </cell>
          <cell r="S843">
            <v>24.531808876328796</v>
          </cell>
          <cell r="T843">
            <v>24.149422155106208</v>
          </cell>
          <cell r="U843">
            <v>23.76703543388362</v>
          </cell>
          <cell r="V843">
            <v>23.384648712661146</v>
          </cell>
          <cell r="W843">
            <v>23.002261991438559</v>
          </cell>
          <cell r="X843">
            <v>22.619875270215971</v>
          </cell>
          <cell r="Y843">
            <v>22.118414831670066</v>
          </cell>
          <cell r="Z843">
            <v>21.616954393124274</v>
          </cell>
          <cell r="AA843">
            <v>21.115493954578369</v>
          </cell>
          <cell r="AB843">
            <v>20.614033516032578</v>
          </cell>
          <cell r="AC843">
            <v>20.112573077486616</v>
          </cell>
          <cell r="AD843">
            <v>19.877873861328055</v>
          </cell>
          <cell r="AE843">
            <v>19.643174645169552</v>
          </cell>
          <cell r="AF843">
            <v>19.408475429010991</v>
          </cell>
          <cell r="AG843">
            <v>19.173776212852431</v>
          </cell>
          <cell r="AH843">
            <v>18.939076996693927</v>
          </cell>
        </row>
        <row r="844">
          <cell r="B844" t="str">
            <v>e-diesel - Energy demand - Global - MWh/ton fuel</v>
          </cell>
          <cell r="G844">
            <v>0.41439631792773568</v>
          </cell>
          <cell r="H844">
            <v>0.40719815896386891</v>
          </cell>
          <cell r="I844">
            <v>0.40000000000000036</v>
          </cell>
          <cell r="J844">
            <v>0.39339604500884029</v>
          </cell>
          <cell r="K844">
            <v>0.38679209001768022</v>
          </cell>
          <cell r="L844">
            <v>0.38018813502652016</v>
          </cell>
          <cell r="M844">
            <v>0.37358418003536009</v>
          </cell>
          <cell r="N844">
            <v>0.36698022504420003</v>
          </cell>
          <cell r="O844">
            <v>0.3609214228221056</v>
          </cell>
          <cell r="P844">
            <v>0.35486262060001117</v>
          </cell>
          <cell r="Q844">
            <v>0.34880381837791674</v>
          </cell>
          <cell r="R844">
            <v>0.34274501615582231</v>
          </cell>
          <cell r="S844">
            <v>0.33668621393372788</v>
          </cell>
          <cell r="T844">
            <v>0.33112756242632102</v>
          </cell>
          <cell r="U844">
            <v>0.32556891091891593</v>
          </cell>
          <cell r="V844">
            <v>0.32001025941150907</v>
          </cell>
          <cell r="W844">
            <v>0.3144516079041022</v>
          </cell>
          <cell r="X844">
            <v>0.30889295639669712</v>
          </cell>
          <cell r="Y844">
            <v>0.30379316844387283</v>
          </cell>
          <cell r="Z844">
            <v>0.29869338049104677</v>
          </cell>
          <cell r="AA844">
            <v>0.2935935925382207</v>
          </cell>
          <cell r="AB844">
            <v>0.28849380458539642</v>
          </cell>
          <cell r="AC844">
            <v>0.28339401663257036</v>
          </cell>
          <cell r="AD844">
            <v>0.27871521330605553</v>
          </cell>
          <cell r="AE844">
            <v>0.27403640997954248</v>
          </cell>
          <cell r="AF844">
            <v>0.26935760665302766</v>
          </cell>
          <cell r="AG844">
            <v>0.26467880332651283</v>
          </cell>
          <cell r="AH844">
            <v>0.25999999999999979</v>
          </cell>
        </row>
        <row r="845">
          <cell r="B845" t="str">
            <v/>
          </cell>
        </row>
        <row r="846">
          <cell r="B846" t="str">
            <v>e-diesel (PS) - Feedstock cost - Africa - USD/ton fuel</v>
          </cell>
          <cell r="G846">
            <v>2719.2835469963852</v>
          </cell>
          <cell r="H846">
            <v>2488.9731993991318</v>
          </cell>
          <cell r="I846">
            <v>2257.4072306988987</v>
          </cell>
          <cell r="J846">
            <v>2170.8622648311539</v>
          </cell>
          <cell r="K846">
            <v>2081.8969118314749</v>
          </cell>
          <cell r="L846">
            <v>1990.5594815155382</v>
          </cell>
          <cell r="M846">
            <v>1896.8982836990597</v>
          </cell>
          <cell r="N846">
            <v>1800.9616281976955</v>
          </cell>
          <cell r="O846">
            <v>1765.3750227070766</v>
          </cell>
          <cell r="P846">
            <v>1726.2274251338843</v>
          </cell>
          <cell r="Q846">
            <v>1683.5448563872508</v>
          </cell>
          <cell r="R846">
            <v>1637.3533373763298</v>
          </cell>
          <cell r="S846">
            <v>1587.6788890103126</v>
          </cell>
          <cell r="T846">
            <v>1551.2846802771787</v>
          </cell>
          <cell r="U846">
            <v>1512.4412216209175</v>
          </cell>
          <cell r="V846">
            <v>1471.1570037630981</v>
          </cell>
          <cell r="W846">
            <v>1427.4405174251833</v>
          </cell>
          <cell r="X846">
            <v>1381.3002533287167</v>
          </cell>
          <cell r="Y846">
            <v>1334.0636731751445</v>
          </cell>
          <cell r="Z846">
            <v>1285.6897904041778</v>
          </cell>
          <cell r="AA846">
            <v>1236.1736398707658</v>
          </cell>
          <cell r="AB846">
            <v>1185.5102564298065</v>
          </cell>
          <cell r="AC846">
            <v>1133.694674936228</v>
          </cell>
          <cell r="AD846">
            <v>1091.7517782860305</v>
          </cell>
          <cell r="AE846">
            <v>1049.2387627651308</v>
          </cell>
          <cell r="AF846">
            <v>1006.1524996059477</v>
          </cell>
          <cell r="AG846">
            <v>962.48986004091091</v>
          </cell>
          <cell r="AH846">
            <v>918.24771530245096</v>
          </cell>
        </row>
        <row r="847">
          <cell r="B847" t="str">
            <v>e-diesel (PS) - Feedstock cost - Americas - USD/ton fuel</v>
          </cell>
          <cell r="G847">
            <v>2135.7552826129777</v>
          </cell>
          <cell r="H847">
            <v>2069.823804735558</v>
          </cell>
          <cell r="I847">
            <v>2002.3308660453249</v>
          </cell>
          <cell r="J847">
            <v>1933.0564566131534</v>
          </cell>
          <cell r="K847">
            <v>1861.3678227036703</v>
          </cell>
          <cell r="L847">
            <v>1787.297424091872</v>
          </cell>
          <cell r="M847">
            <v>1710.8777205528118</v>
          </cell>
          <cell r="N847">
            <v>1632.1411718614202</v>
          </cell>
          <cell r="O847">
            <v>1609.409130188558</v>
          </cell>
          <cell r="P847">
            <v>1583.0145139769613</v>
          </cell>
          <cell r="Q847">
            <v>1552.9723958570678</v>
          </cell>
          <cell r="R847">
            <v>1519.2978484592988</v>
          </cell>
          <cell r="S847">
            <v>1482.0059444141393</v>
          </cell>
          <cell r="T847">
            <v>1446.4832813388427</v>
          </cell>
          <cell r="U847">
            <v>1408.5341349437172</v>
          </cell>
          <cell r="V847">
            <v>1368.1669755898652</v>
          </cell>
          <cell r="W847">
            <v>1325.3902736382929</v>
          </cell>
          <cell r="X847">
            <v>1280.2124994500689</v>
          </cell>
          <cell r="Y847">
            <v>1241.8023278119958</v>
          </cell>
          <cell r="Z847">
            <v>1202.0595979223663</v>
          </cell>
          <cell r="AA847">
            <v>1160.9823691430142</v>
          </cell>
          <cell r="AB847">
            <v>1118.5687008357074</v>
          </cell>
          <cell r="AC847">
            <v>1074.8166523622633</v>
          </cell>
          <cell r="AD847">
            <v>1035.7821267150387</v>
          </cell>
          <cell r="AE847">
            <v>996.12053545254332</v>
          </cell>
          <cell r="AF847">
            <v>955.82999892826024</v>
          </cell>
          <cell r="AG847">
            <v>914.90863749567484</v>
          </cell>
          <cell r="AH847">
            <v>873.35457150827369</v>
          </cell>
        </row>
        <row r="848">
          <cell r="B848" t="str">
            <v>e-diesel (PS) - Feedstock cost - Asia - USD/ton fuel</v>
          </cell>
          <cell r="G848">
            <v>2895.4446496721762</v>
          </cell>
          <cell r="H848">
            <v>2695.8267476008582</v>
          </cell>
          <cell r="I848">
            <v>2494.8423563386341</v>
          </cell>
          <cell r="J848">
            <v>2404.2199605468431</v>
          </cell>
          <cell r="K848">
            <v>2311.1185928719424</v>
          </cell>
          <cell r="L848">
            <v>2215.5899900037775</v>
          </cell>
          <cell r="M848">
            <v>2117.6858886323239</v>
          </cell>
          <cell r="N848">
            <v>2017.4580254474513</v>
          </cell>
          <cell r="O848">
            <v>1972.0026132151195</v>
          </cell>
          <cell r="P848">
            <v>1923.0305998117369</v>
          </cell>
          <cell r="Q848">
            <v>1870.5759169068128</v>
          </cell>
          <cell r="R848">
            <v>1814.6724961698192</v>
          </cell>
          <cell r="S848">
            <v>1755.354269270342</v>
          </cell>
          <cell r="T848">
            <v>1712.416359711422</v>
          </cell>
          <cell r="U848">
            <v>1667.0781673599727</v>
          </cell>
          <cell r="V848">
            <v>1619.3516520337621</v>
          </cell>
          <cell r="W848">
            <v>1569.2487735504162</v>
          </cell>
          <cell r="X848">
            <v>1516.7814917276748</v>
          </cell>
          <cell r="Y848">
            <v>1462.5008737555183</v>
          </cell>
          <cell r="Z848">
            <v>1407.2303203970387</v>
          </cell>
          <cell r="AA848">
            <v>1350.9627123383816</v>
          </cell>
          <cell r="AB848">
            <v>1293.6909302656406</v>
          </cell>
          <cell r="AC848">
            <v>1235.4078548649422</v>
          </cell>
          <cell r="AD848">
            <v>1190.4680794428648</v>
          </cell>
          <cell r="AE848">
            <v>1145.0158361381971</v>
          </cell>
          <cell r="AF848">
            <v>1099.0469334193263</v>
          </cell>
          <cell r="AG848">
            <v>1052.5571797546356</v>
          </cell>
          <cell r="AH848">
            <v>1005.5423836125092</v>
          </cell>
        </row>
        <row r="849">
          <cell r="B849" t="str">
            <v>e-diesel (PS) - Feedstock cost - Europe - USD/ton fuel</v>
          </cell>
          <cell r="G849">
            <v>2449.2178490283254</v>
          </cell>
          <cell r="H849">
            <v>2347.3897708754407</v>
          </cell>
          <cell r="I849">
            <v>2244.0319413138304</v>
          </cell>
          <cell r="J849">
            <v>2163.6097343565725</v>
          </cell>
          <cell r="K849">
            <v>2080.7444844191891</v>
          </cell>
          <cell r="L849">
            <v>1995.4787451144675</v>
          </cell>
          <cell r="M849">
            <v>1907.8550700551968</v>
          </cell>
          <cell r="N849">
            <v>1817.9160128541198</v>
          </cell>
          <cell r="O849">
            <v>1791.8964877729613</v>
          </cell>
          <cell r="P849">
            <v>1762.1852286775099</v>
          </cell>
          <cell r="Q849">
            <v>1728.7992965294516</v>
          </cell>
          <cell r="R849">
            <v>1691.7557522904881</v>
          </cell>
          <cell r="S849">
            <v>1651.0716569223932</v>
          </cell>
          <cell r="T849">
            <v>1616.3188470473824</v>
          </cell>
          <cell r="U849">
            <v>1579.0674454232471</v>
          </cell>
          <cell r="V849">
            <v>1539.3245137279789</v>
          </cell>
          <cell r="W849">
            <v>1497.0971136394528</v>
          </cell>
          <cell r="X849">
            <v>1452.3923068356221</v>
          </cell>
          <cell r="Y849">
            <v>1405.9924347233286</v>
          </cell>
          <cell r="Z849">
            <v>1358.4242986661543</v>
          </cell>
          <cell r="AA849">
            <v>1309.6836023295575</v>
          </cell>
          <cell r="AB849">
            <v>1259.7660493789149</v>
          </cell>
          <cell r="AC849">
            <v>1208.6673434796671</v>
          </cell>
          <cell r="AD849">
            <v>1164.3074822339581</v>
          </cell>
          <cell r="AE849">
            <v>1119.4241742113454</v>
          </cell>
          <cell r="AF849">
            <v>1074.0133949456099</v>
          </cell>
          <cell r="AG849">
            <v>1028.0711199705283</v>
          </cell>
          <cell r="AH849">
            <v>981.59332481987713</v>
          </cell>
        </row>
        <row r="850">
          <cell r="B850" t="str">
            <v>e-diesel (PS) - Feedstock cost - Middle East - USD/ton fuel</v>
          </cell>
          <cell r="G850">
            <v>2144.7123575743121</v>
          </cell>
          <cell r="H850">
            <v>2055.3003191295597</v>
          </cell>
          <cell r="I850">
            <v>1964.3845357292225</v>
          </cell>
          <cell r="J850">
            <v>1900.6075646865024</v>
          </cell>
          <cell r="K850">
            <v>1834.404388707537</v>
          </cell>
          <cell r="L850">
            <v>1765.8023453788296</v>
          </cell>
          <cell r="M850">
            <v>1694.8287722869259</v>
          </cell>
          <cell r="N850">
            <v>1621.5110070182857</v>
          </cell>
          <cell r="O850">
            <v>1595.0367135752624</v>
          </cell>
          <cell r="P850">
            <v>1564.952532515463</v>
          </cell>
          <cell r="Q850">
            <v>1531.2770639923835</v>
          </cell>
          <cell r="R850">
            <v>1494.0289081595295</v>
          </cell>
          <cell r="S850">
            <v>1453.2266651704522</v>
          </cell>
          <cell r="T850">
            <v>1420.9439799804566</v>
          </cell>
          <cell r="U850">
            <v>1386.1915041774698</v>
          </cell>
          <cell r="V850">
            <v>1348.975703004417</v>
          </cell>
          <cell r="W850">
            <v>1309.3030417041107</v>
          </cell>
          <cell r="X850">
            <v>1267.1799855194427</v>
          </cell>
          <cell r="Y850">
            <v>1221.6666479409596</v>
          </cell>
          <cell r="Z850">
            <v>1174.9924544786163</v>
          </cell>
          <cell r="AA850">
            <v>1127.1525834521242</v>
          </cell>
          <cell r="AB850">
            <v>1078.1422131811432</v>
          </cell>
          <cell r="AC850">
            <v>1027.9565219853675</v>
          </cell>
          <cell r="AD850">
            <v>987.51234468362804</v>
          </cell>
          <cell r="AE850">
            <v>946.47059301560193</v>
          </cell>
          <cell r="AF850">
            <v>904.828369727873</v>
          </cell>
          <cell r="AG850">
            <v>862.5827775670308</v>
          </cell>
          <cell r="AH850">
            <v>819.73091927966561</v>
          </cell>
        </row>
        <row r="851">
          <cell r="B851" t="str">
            <v>e-hydrogen (compressed) - Cost - Africa - USD/ton H2</v>
          </cell>
          <cell r="G851">
            <v>4633.1233423090589</v>
          </cell>
          <cell r="H851">
            <v>4201.9656446218651</v>
          </cell>
          <cell r="I851">
            <v>3768.1364126730182</v>
          </cell>
          <cell r="J851">
            <v>3627.6640614332246</v>
          </cell>
          <cell r="K851">
            <v>3482.0419503382509</v>
          </cell>
          <cell r="L851">
            <v>3331.3728662299636</v>
          </cell>
          <cell r="M851">
            <v>3175.7595959503119</v>
          </cell>
          <cell r="N851">
            <v>3015.3049263411149</v>
          </cell>
          <cell r="O851">
            <v>2957.5120355923382</v>
          </cell>
          <cell r="P851">
            <v>2892.1425659444694</v>
          </cell>
          <cell r="Q851">
            <v>2819.2518810339607</v>
          </cell>
          <cell r="R851">
            <v>2738.8953444973072</v>
          </cell>
          <cell r="S851">
            <v>2651.1283199710874</v>
          </cell>
          <cell r="T851">
            <v>2589.8814487511354</v>
          </cell>
          <cell r="U851">
            <v>2523.4234074819769</v>
          </cell>
          <cell r="V851">
            <v>2451.7722615286521</v>
          </cell>
          <cell r="W851">
            <v>2374.9460762559747</v>
          </cell>
          <cell r="X851">
            <v>2292.9629170289318</v>
          </cell>
          <cell r="Y851">
            <v>2208.6908045163059</v>
          </cell>
          <cell r="Z851">
            <v>2121.9988992007134</v>
          </cell>
          <cell r="AA851">
            <v>2032.876636943749</v>
          </cell>
          <cell r="AB851">
            <v>1941.3134536068953</v>
          </cell>
          <cell r="AC851">
            <v>1847.2987850517036</v>
          </cell>
          <cell r="AD851">
            <v>1773.4817469024235</v>
          </cell>
          <cell r="AE851">
            <v>1698.451689879309</v>
          </cell>
          <cell r="AF851">
            <v>1622.2019570300602</v>
          </cell>
          <cell r="AG851">
            <v>1544.7258914023987</v>
          </cell>
          <cell r="AH851">
            <v>1466.0168360440496</v>
          </cell>
        </row>
        <row r="852">
          <cell r="B852" t="str">
            <v>e-hydrogen (compressed) - Cost - Americas - USD/ton H2</v>
          </cell>
          <cell r="G852">
            <v>3458.2747756282647</v>
          </cell>
          <cell r="H852">
            <v>3358.1215141660286</v>
          </cell>
          <cell r="I852">
            <v>3254.6459956552549</v>
          </cell>
          <cell r="J852">
            <v>3148.9921734049194</v>
          </cell>
          <cell r="K852">
            <v>3038.2017033305151</v>
          </cell>
          <cell r="L852">
            <v>2922.3436487831009</v>
          </cell>
          <cell r="M852">
            <v>2801.4870731138512</v>
          </cell>
          <cell r="N852">
            <v>2675.701039673685</v>
          </cell>
          <cell r="O852">
            <v>2643.8786103743646</v>
          </cell>
          <cell r="P852">
            <v>2604.2634692905026</v>
          </cell>
          <cell r="Q852">
            <v>2556.8876858485628</v>
          </cell>
          <cell r="R852">
            <v>2501.7833294749726</v>
          </cell>
          <cell r="S852">
            <v>2438.9824695962966</v>
          </cell>
          <cell r="T852">
            <v>2379.5862497865878</v>
          </cell>
          <cell r="U852">
            <v>2315.0272995091577</v>
          </cell>
          <cell r="V852">
            <v>2245.3236408089065</v>
          </cell>
          <cell r="W852">
            <v>2170.4932957305264</v>
          </cell>
          <cell r="X852">
            <v>2090.5542863188448</v>
          </cell>
          <cell r="Y852">
            <v>2024.0950200699413</v>
          </cell>
          <cell r="Z852">
            <v>1954.8005234985762</v>
          </cell>
          <cell r="AA852">
            <v>1882.6666675873769</v>
          </cell>
          <cell r="AB852">
            <v>1807.6893233188264</v>
          </cell>
          <cell r="AC852">
            <v>1729.8643616755162</v>
          </cell>
          <cell r="AD852">
            <v>1661.9243548242082</v>
          </cell>
          <cell r="AE852">
            <v>1592.6501658127502</v>
          </cell>
          <cell r="AF852">
            <v>1522.0377953932327</v>
          </cell>
          <cell r="AG852">
            <v>1450.083244317753</v>
          </cell>
          <cell r="AH852">
            <v>1376.7825133384104</v>
          </cell>
        </row>
        <row r="853">
          <cell r="B853" t="str">
            <v>e-hydrogen (compressed) - Cost - Asia - USD/ton H2</v>
          </cell>
          <cell r="G853">
            <v>4987.7978827141424</v>
          </cell>
          <cell r="H853">
            <v>4618.4094108214867</v>
          </cell>
          <cell r="I853">
            <v>4246.1135151183844</v>
          </cell>
          <cell r="J853">
            <v>4097.3824826576747</v>
          </cell>
          <cell r="K853">
            <v>3943.3770419350276</v>
          </cell>
          <cell r="L853">
            <v>3784.2072710139482</v>
          </cell>
          <cell r="M853">
            <v>3619.9832479582124</v>
          </cell>
          <cell r="N853">
            <v>3450.8150508313697</v>
          </cell>
          <cell r="O853">
            <v>3373.0215929007072</v>
          </cell>
          <cell r="P853">
            <v>3287.7460048188714</v>
          </cell>
          <cell r="Q853">
            <v>3195.0604816273712</v>
          </cell>
          <cell r="R853">
            <v>3095.0372183676395</v>
          </cell>
          <cell r="S853">
            <v>2987.7484100813476</v>
          </cell>
          <cell r="T853">
            <v>2913.2093711775688</v>
          </cell>
          <cell r="U853">
            <v>2833.5633476088337</v>
          </cell>
          <cell r="V853">
            <v>2748.8357857959254</v>
          </cell>
          <cell r="W853">
            <v>2659.0521321593251</v>
          </cell>
          <cell r="X853">
            <v>2564.2378331197551</v>
          </cell>
          <cell r="Y853">
            <v>2465.6669595887115</v>
          </cell>
          <cell r="Z853">
            <v>2364.9898405548524</v>
          </cell>
          <cell r="AA853">
            <v>2262.1913285418932</v>
          </cell>
          <cell r="AB853">
            <v>2157.2562760734354</v>
          </cell>
          <cell r="AC853">
            <v>2050.1695356731543</v>
          </cell>
          <cell r="AD853">
            <v>1970.240754749665</v>
          </cell>
          <cell r="AE853">
            <v>1889.2216166291751</v>
          </cell>
          <cell r="AF853">
            <v>1807.1032031593165</v>
          </cell>
          <cell r="AG853">
            <v>1723.8765961877139</v>
          </cell>
          <cell r="AH853">
            <v>1639.532877561993</v>
          </cell>
        </row>
        <row r="854">
          <cell r="B854" t="str">
            <v>e-hydrogen (compressed) - Cost - Europe - USD/ton H2</v>
          </cell>
          <cell r="G854">
            <v>4089.3856734873298</v>
          </cell>
          <cell r="H854">
            <v>3916.9256406265708</v>
          </cell>
          <cell r="I854">
            <v>3741.2108175344811</v>
          </cell>
          <cell r="J854">
            <v>3613.0656692355524</v>
          </cell>
          <cell r="K854">
            <v>3479.7225571491235</v>
          </cell>
          <cell r="L854">
            <v>3341.2720208768683</v>
          </cell>
          <cell r="M854">
            <v>3197.8046000204672</v>
          </cell>
          <cell r="N854">
            <v>3049.4108341814967</v>
          </cell>
          <cell r="O854">
            <v>3010.8443238003165</v>
          </cell>
          <cell r="P854">
            <v>2964.4230601972345</v>
          </cell>
          <cell r="Q854">
            <v>2910.1833432907338</v>
          </cell>
          <cell r="R854">
            <v>2848.1614729993285</v>
          </cell>
          <cell r="S854">
            <v>2778.3937492416853</v>
          </cell>
          <cell r="T854">
            <v>2720.379449531456</v>
          </cell>
          <cell r="U854">
            <v>2657.0489971635134</v>
          </cell>
          <cell r="V854">
            <v>2588.4174169846506</v>
          </cell>
          <cell r="W854">
            <v>2514.4997338414096</v>
          </cell>
          <cell r="X854">
            <v>2435.3109725804993</v>
          </cell>
          <cell r="Y854">
            <v>2352.605312916116</v>
          </cell>
          <cell r="Z854">
            <v>2267.4139852839012</v>
          </cell>
          <cell r="AA854">
            <v>2179.7278485465313</v>
          </cell>
          <cell r="AB854">
            <v>2089.5377615665116</v>
          </cell>
          <cell r="AC854">
            <v>1996.8345832064804</v>
          </cell>
          <cell r="AD854">
            <v>1918.0980681700892</v>
          </cell>
          <cell r="AE854">
            <v>1838.2478365870952</v>
          </cell>
          <cell r="AF854">
            <v>1757.2753257634138</v>
          </cell>
          <cell r="AG854">
            <v>1675.1719730049533</v>
          </cell>
          <cell r="AH854">
            <v>1591.929215617622</v>
          </cell>
        </row>
        <row r="855">
          <cell r="B855" t="str">
            <v>e-hydrogen (compressed) - Cost - Middle East - USD/ton H2</v>
          </cell>
          <cell r="G855">
            <v>3476.3085322126099</v>
          </cell>
          <cell r="H855">
            <v>3328.8823974252828</v>
          </cell>
          <cell r="I855">
            <v>3178.2568052856477</v>
          </cell>
          <cell r="J855">
            <v>3083.6768117686811</v>
          </cell>
          <cell r="K855">
            <v>2983.9346800894909</v>
          </cell>
          <cell r="L855">
            <v>2879.0885753257426</v>
          </cell>
          <cell r="M855">
            <v>2769.1966625551941</v>
          </cell>
          <cell r="N855">
            <v>2654.3171068554188</v>
          </cell>
          <cell r="O855">
            <v>2614.9769692636173</v>
          </cell>
          <cell r="P855">
            <v>2567.9562197212276</v>
          </cell>
          <cell r="Q855">
            <v>2513.2944330229238</v>
          </cell>
          <cell r="R855">
            <v>2451.0311839633964</v>
          </cell>
          <cell r="S855">
            <v>2381.2060473374368</v>
          </cell>
          <cell r="T855">
            <v>2328.338914207246</v>
          </cell>
          <cell r="U855">
            <v>2270.2169074323938</v>
          </cell>
          <cell r="V855">
            <v>2206.8537828488898</v>
          </cell>
          <cell r="W855">
            <v>2138.2632962925059</v>
          </cell>
          <cell r="X855">
            <v>2064.4592035991823</v>
          </cell>
          <cell r="Y855">
            <v>1983.8077079076854</v>
          </cell>
          <cell r="Z855">
            <v>1900.6863060803155</v>
          </cell>
          <cell r="AA855">
            <v>1815.084739222842</v>
          </cell>
          <cell r="AB855">
            <v>1726.9927484409238</v>
          </cell>
          <cell r="AC855">
            <v>1636.4000748402937</v>
          </cell>
          <cell r="AD855">
            <v>1565.7141614700843</v>
          </cell>
          <cell r="AE855">
            <v>1493.7568132779884</v>
          </cell>
          <cell r="AF855">
            <v>1420.5218658950355</v>
          </cell>
          <cell r="AG855">
            <v>1346.0031549522671</v>
          </cell>
          <cell r="AH855">
            <v>1270.1945160807259</v>
          </cell>
        </row>
        <row r="856">
          <cell r="B856" t="str">
            <v>Carbon dioxide (PS) - Cost - Africa - USD/ton CO2</v>
          </cell>
          <cell r="G856">
            <v>168.75874645206471</v>
          </cell>
          <cell r="H856">
            <v>160.13998331054682</v>
          </cell>
          <cell r="I856">
            <v>151.52122016902811</v>
          </cell>
          <cell r="J856">
            <v>145.12777444160082</v>
          </cell>
          <cell r="K856">
            <v>138.73432871417356</v>
          </cell>
          <cell r="L856">
            <v>132.34088298674627</v>
          </cell>
          <cell r="M856">
            <v>125.94743725931876</v>
          </cell>
          <cell r="N856">
            <v>119.55399153189148</v>
          </cell>
          <cell r="O856">
            <v>116.92970902762548</v>
          </cell>
          <cell r="P856">
            <v>114.30542652335946</v>
          </cell>
          <cell r="Q856">
            <v>111.68114401909322</v>
          </cell>
          <cell r="R856">
            <v>109.0568615148272</v>
          </cell>
          <cell r="S856">
            <v>106.43257901056124</v>
          </cell>
          <cell r="T856">
            <v>104.06242970845638</v>
          </cell>
          <cell r="U856">
            <v>101.69228040635156</v>
          </cell>
          <cell r="V856">
            <v>99.322131104246679</v>
          </cell>
          <cell r="W856">
            <v>96.951981802141802</v>
          </cell>
          <cell r="X856">
            <v>94.581832500037024</v>
          </cell>
          <cell r="Y856">
            <v>92.20529440887249</v>
          </cell>
          <cell r="Z856">
            <v>89.828756317707942</v>
          </cell>
          <cell r="AA856">
            <v>87.452218226543295</v>
          </cell>
          <cell r="AB856">
            <v>85.075680135378761</v>
          </cell>
          <cell r="AC856">
            <v>82.699142044214156</v>
          </cell>
          <cell r="AD856">
            <v>80.440921259156212</v>
          </cell>
          <cell r="AE856">
            <v>78.182700474098326</v>
          </cell>
          <cell r="AF856">
            <v>75.924479689040368</v>
          </cell>
          <cell r="AG856">
            <v>73.666258903982438</v>
          </cell>
          <cell r="AH856">
            <v>71.408038118924537</v>
          </cell>
        </row>
        <row r="857">
          <cell r="B857" t="str">
            <v>Carbon dioxide (PS) - Cost - Americas - USD/ton CO2</v>
          </cell>
          <cell r="G857">
            <v>158.99256637622852</v>
          </cell>
          <cell r="H857">
            <v>153.11734986838769</v>
          </cell>
          <cell r="I857">
            <v>147.24213336054677</v>
          </cell>
          <cell r="J857">
            <v>141.13088321272323</v>
          </cell>
          <cell r="K857">
            <v>135.01963306489972</v>
          </cell>
          <cell r="L857">
            <v>128.90838291707621</v>
          </cell>
          <cell r="M857">
            <v>122.79713276925288</v>
          </cell>
          <cell r="N857">
            <v>116.68588262142937</v>
          </cell>
          <cell r="O857">
            <v>114.26360850860023</v>
          </cell>
          <cell r="P857">
            <v>111.84133439577106</v>
          </cell>
          <cell r="Q857">
            <v>109.41906028294189</v>
          </cell>
          <cell r="R857">
            <v>106.99678617011273</v>
          </cell>
          <cell r="S857">
            <v>104.57451205728351</v>
          </cell>
          <cell r="T857">
            <v>102.20490465393972</v>
          </cell>
          <cell r="U857">
            <v>99.835297250595929</v>
          </cell>
          <cell r="V857">
            <v>97.465689847252079</v>
          </cell>
          <cell r="W857">
            <v>95.096082443908287</v>
          </cell>
          <cell r="X857">
            <v>92.726475040564452</v>
          </cell>
          <cell r="Y857">
            <v>90.491485476362513</v>
          </cell>
          <cell r="Z857">
            <v>88.256495912160574</v>
          </cell>
          <cell r="AA857">
            <v>86.021506347958649</v>
          </cell>
          <cell r="AB857">
            <v>83.786516783756724</v>
          </cell>
          <cell r="AC857">
            <v>81.551527219554785</v>
          </cell>
          <cell r="AD857">
            <v>79.338841105190284</v>
          </cell>
          <cell r="AE857">
            <v>77.12615499082581</v>
          </cell>
          <cell r="AF857">
            <v>74.913468876461323</v>
          </cell>
          <cell r="AG857">
            <v>72.700782762096864</v>
          </cell>
          <cell r="AH857">
            <v>70.488096647732377</v>
          </cell>
        </row>
        <row r="858">
          <cell r="B858" t="str">
            <v>Carbon dioxide (PS) - Cost - Asia - USD/ton CO2</v>
          </cell>
          <cell r="G858">
            <v>171.70705445374747</v>
          </cell>
          <cell r="H858">
            <v>163.6057085715762</v>
          </cell>
          <cell r="I858">
            <v>155.50436268940615</v>
          </cell>
          <cell r="J858">
            <v>149.04990457873393</v>
          </cell>
          <cell r="K858">
            <v>142.59544646806216</v>
          </cell>
          <cell r="L858">
            <v>136.14098835738997</v>
          </cell>
          <cell r="M858">
            <v>129.68653024671778</v>
          </cell>
          <cell r="N858">
            <v>123.23207213604601</v>
          </cell>
          <cell r="O858">
            <v>120.46182696317361</v>
          </cell>
          <cell r="P858">
            <v>117.69158179030138</v>
          </cell>
          <cell r="Q858">
            <v>114.92133661742938</v>
          </cell>
          <cell r="R858">
            <v>112.15109144455717</v>
          </cell>
          <cell r="S858">
            <v>109.38084627168496</v>
          </cell>
          <cell r="T858">
            <v>106.91836612397657</v>
          </cell>
          <cell r="U858">
            <v>104.45588597626819</v>
          </cell>
          <cell r="V858">
            <v>101.99340582855991</v>
          </cell>
          <cell r="W858">
            <v>99.530925680851524</v>
          </cell>
          <cell r="X858">
            <v>97.068445533143333</v>
          </cell>
          <cell r="Y858">
            <v>94.591091199010563</v>
          </cell>
          <cell r="Z858">
            <v>92.113736864877893</v>
          </cell>
          <cell r="AA858">
            <v>89.636382530745109</v>
          </cell>
          <cell r="AB858">
            <v>87.159028196612454</v>
          </cell>
          <cell r="AC858">
            <v>84.68167386247967</v>
          </cell>
          <cell r="AD858">
            <v>82.384711747826273</v>
          </cell>
          <cell r="AE858">
            <v>80.087749633172848</v>
          </cell>
          <cell r="AF858">
            <v>77.790787518519437</v>
          </cell>
          <cell r="AG858">
            <v>75.493825403866055</v>
          </cell>
          <cell r="AH858">
            <v>73.196863289212615</v>
          </cell>
        </row>
        <row r="859">
          <cell r="B859" t="str">
            <v>Carbon dioxide (PS) - Cost - Europe - USD/ton CO2</v>
          </cell>
          <cell r="G859">
            <v>164.2388107443241</v>
          </cell>
          <cell r="H859">
            <v>157.76782547693222</v>
          </cell>
          <cell r="I859">
            <v>151.29684020954031</v>
          </cell>
          <cell r="J859">
            <v>145.00587844730933</v>
          </cell>
          <cell r="K859">
            <v>138.71491668507818</v>
          </cell>
          <cell r="L859">
            <v>132.42395492284723</v>
          </cell>
          <cell r="M859">
            <v>126.13299316061605</v>
          </cell>
          <cell r="N859">
            <v>119.8420313983851</v>
          </cell>
          <cell r="O859">
            <v>117.3830702762656</v>
          </cell>
          <cell r="P859">
            <v>114.92410915414638</v>
          </cell>
          <cell r="Q859">
            <v>112.46514803202705</v>
          </cell>
          <cell r="R859">
            <v>110.00618690990774</v>
          </cell>
          <cell r="S859">
            <v>107.54722578778853</v>
          </cell>
          <cell r="T859">
            <v>105.21511083102753</v>
          </cell>
          <cell r="U859">
            <v>102.88299587426658</v>
          </cell>
          <cell r="V859">
            <v>100.55088091750564</v>
          </cell>
          <cell r="W859">
            <v>98.21876596074469</v>
          </cell>
          <cell r="X859">
            <v>95.88665100398363</v>
          </cell>
          <cell r="Y859">
            <v>93.541413598988882</v>
          </cell>
          <cell r="Z859">
            <v>91.196176193994077</v>
          </cell>
          <cell r="AA859">
            <v>88.850938788999315</v>
          </cell>
          <cell r="AB859">
            <v>86.505701384004524</v>
          </cell>
          <cell r="AC859">
            <v>84.160463979009762</v>
          </cell>
          <cell r="AD859">
            <v>81.869591960752686</v>
          </cell>
          <cell r="AE859">
            <v>79.578719942495553</v>
          </cell>
          <cell r="AF859">
            <v>77.287847924238463</v>
          </cell>
          <cell r="AG859">
            <v>74.996975905981387</v>
          </cell>
          <cell r="AH859">
            <v>72.706103887724254</v>
          </cell>
        </row>
        <row r="860">
          <cell r="B860" t="str">
            <v>Carbon dioxide (PS) - Cost - Middle East - USD/ton CO2</v>
          </cell>
          <cell r="G860">
            <v>159.14247583625712</v>
          </cell>
          <cell r="H860">
            <v>152.87401630519537</v>
          </cell>
          <cell r="I860">
            <v>146.60555677413339</v>
          </cell>
          <cell r="J860">
            <v>140.58550254056769</v>
          </cell>
          <cell r="K860">
            <v>134.56544830700201</v>
          </cell>
          <cell r="L860">
            <v>128.54539407343631</v>
          </cell>
          <cell r="M860">
            <v>122.52533983987063</v>
          </cell>
          <cell r="N860">
            <v>116.50528560630494</v>
          </cell>
          <cell r="O860">
            <v>114.01792461724683</v>
          </cell>
          <cell r="P860">
            <v>111.5305636281888</v>
          </cell>
          <cell r="Q860">
            <v>109.04320263913067</v>
          </cell>
          <cell r="R860">
            <v>106.55584165007265</v>
          </cell>
          <cell r="S860">
            <v>104.06848066101463</v>
          </cell>
          <cell r="T860">
            <v>101.7522399697978</v>
          </cell>
          <cell r="U860">
            <v>99.435999278580965</v>
          </cell>
          <cell r="V860">
            <v>97.119758587364188</v>
          </cell>
          <cell r="W860">
            <v>94.803517896147369</v>
          </cell>
          <cell r="X860">
            <v>92.487277204930521</v>
          </cell>
          <cell r="Y860">
            <v>90.117453340918203</v>
          </cell>
          <cell r="Z860">
            <v>87.747629476905928</v>
          </cell>
          <cell r="AA860">
            <v>85.377805612893596</v>
          </cell>
          <cell r="AB860">
            <v>83.007981748881349</v>
          </cell>
          <cell r="AC860">
            <v>80.638157884868988</v>
          </cell>
          <cell r="AD860">
            <v>78.388376570930973</v>
          </cell>
          <cell r="AE860">
            <v>76.138595256992971</v>
          </cell>
          <cell r="AF860">
            <v>73.888813943054942</v>
          </cell>
          <cell r="AG860">
            <v>71.639032629116926</v>
          </cell>
          <cell r="AH860">
            <v>69.389251315178939</v>
          </cell>
        </row>
        <row r="861">
          <cell r="B861" t="str">
            <v>e-diesel - Conversion H2 -&gt; diesel - Global - ton H2/ton diesel</v>
          </cell>
          <cell r="G861">
            <v>0.47</v>
          </cell>
          <cell r="H861">
            <v>0.47</v>
          </cell>
          <cell r="I861">
            <v>0.47</v>
          </cell>
          <cell r="J861">
            <v>0.47</v>
          </cell>
          <cell r="K861">
            <v>0.47</v>
          </cell>
          <cell r="L861">
            <v>0.47</v>
          </cell>
          <cell r="M861">
            <v>0.47</v>
          </cell>
          <cell r="N861">
            <v>0.47</v>
          </cell>
          <cell r="O861">
            <v>0.47</v>
          </cell>
          <cell r="P861">
            <v>0.47</v>
          </cell>
          <cell r="Q861">
            <v>0.47</v>
          </cell>
          <cell r="R861">
            <v>0.47</v>
          </cell>
          <cell r="S861">
            <v>0.47</v>
          </cell>
          <cell r="T861">
            <v>0.47</v>
          </cell>
          <cell r="U861">
            <v>0.47</v>
          </cell>
          <cell r="V861">
            <v>0.47</v>
          </cell>
          <cell r="W861">
            <v>0.47</v>
          </cell>
          <cell r="X861">
            <v>0.47</v>
          </cell>
          <cell r="Y861">
            <v>0.47</v>
          </cell>
          <cell r="Z861">
            <v>0.47</v>
          </cell>
          <cell r="AA861">
            <v>0.47</v>
          </cell>
          <cell r="AB861">
            <v>0.47</v>
          </cell>
          <cell r="AC861">
            <v>0.47</v>
          </cell>
          <cell r="AD861">
            <v>0.47</v>
          </cell>
          <cell r="AE861">
            <v>0.47</v>
          </cell>
          <cell r="AF861">
            <v>0.47</v>
          </cell>
          <cell r="AG861">
            <v>0.47</v>
          </cell>
          <cell r="AH861">
            <v>0.47</v>
          </cell>
        </row>
        <row r="862">
          <cell r="B862" t="str">
            <v>e-diesel - Conversion CO2 -&gt; diesel - Global - ton CO2/ton diesel</v>
          </cell>
          <cell r="G862">
            <v>3.21</v>
          </cell>
          <cell r="H862">
            <v>3.21</v>
          </cell>
          <cell r="I862">
            <v>3.21</v>
          </cell>
          <cell r="J862">
            <v>3.21</v>
          </cell>
          <cell r="K862">
            <v>3.21</v>
          </cell>
          <cell r="L862">
            <v>3.21</v>
          </cell>
          <cell r="M862">
            <v>3.21</v>
          </cell>
          <cell r="N862">
            <v>3.21</v>
          </cell>
          <cell r="O862">
            <v>3.21</v>
          </cell>
          <cell r="P862">
            <v>3.21</v>
          </cell>
          <cell r="Q862">
            <v>3.21</v>
          </cell>
          <cell r="R862">
            <v>3.21</v>
          </cell>
          <cell r="S862">
            <v>3.21</v>
          </cell>
          <cell r="T862">
            <v>3.21</v>
          </cell>
          <cell r="U862">
            <v>3.21</v>
          </cell>
          <cell r="V862">
            <v>3.21</v>
          </cell>
          <cell r="W862">
            <v>3.21</v>
          </cell>
          <cell r="X862">
            <v>3.21</v>
          </cell>
          <cell r="Y862">
            <v>3.21</v>
          </cell>
          <cell r="Z862">
            <v>3.21</v>
          </cell>
          <cell r="AA862">
            <v>3.21</v>
          </cell>
          <cell r="AB862">
            <v>3.21</v>
          </cell>
          <cell r="AC862">
            <v>3.21</v>
          </cell>
          <cell r="AD862">
            <v>3.21</v>
          </cell>
          <cell r="AE862">
            <v>3.21</v>
          </cell>
          <cell r="AF862">
            <v>3.21</v>
          </cell>
          <cell r="AG862">
            <v>3.21</v>
          </cell>
          <cell r="AH862">
            <v>3.21</v>
          </cell>
        </row>
        <row r="864">
          <cell r="B864" t="str">
            <v>Carbon capture - Item - Region - Unit</v>
          </cell>
          <cell r="G864">
            <v>2023</v>
          </cell>
          <cell r="H864">
            <v>2024</v>
          </cell>
          <cell r="I864">
            <v>2025</v>
          </cell>
          <cell r="J864">
            <v>2026</v>
          </cell>
          <cell r="K864">
            <v>2027</v>
          </cell>
          <cell r="L864">
            <v>2028</v>
          </cell>
          <cell r="M864">
            <v>2029</v>
          </cell>
          <cell r="N864">
            <v>2030</v>
          </cell>
          <cell r="O864">
            <v>2031</v>
          </cell>
          <cell r="P864">
            <v>2032</v>
          </cell>
          <cell r="Q864">
            <v>2033</v>
          </cell>
          <cell r="R864">
            <v>2034</v>
          </cell>
          <cell r="S864">
            <v>2035</v>
          </cell>
          <cell r="T864">
            <v>2036</v>
          </cell>
          <cell r="U864">
            <v>2037</v>
          </cell>
          <cell r="V864">
            <v>2038</v>
          </cell>
          <cell r="W864">
            <v>2039</v>
          </cell>
          <cell r="X864">
            <v>2040</v>
          </cell>
          <cell r="Y864">
            <v>2041</v>
          </cell>
          <cell r="Z864">
            <v>2042</v>
          </cell>
          <cell r="AA864">
            <v>2043</v>
          </cell>
          <cell r="AB864">
            <v>2044</v>
          </cell>
          <cell r="AC864">
            <v>2045</v>
          </cell>
          <cell r="AD864">
            <v>2046</v>
          </cell>
          <cell r="AE864">
            <v>2047</v>
          </cell>
          <cell r="AF864">
            <v>2048</v>
          </cell>
          <cell r="AG864">
            <v>2049</v>
          </cell>
          <cell r="AH864">
            <v>2050</v>
          </cell>
        </row>
        <row r="865">
          <cell r="B865" t="str">
            <v>Carbon capture - Total cost - Africa - USD/ton fuel</v>
          </cell>
          <cell r="G865">
            <v>25</v>
          </cell>
          <cell r="H865">
            <v>25</v>
          </cell>
          <cell r="I865">
            <v>25</v>
          </cell>
          <cell r="J865">
            <v>25</v>
          </cell>
          <cell r="K865">
            <v>25</v>
          </cell>
          <cell r="L865">
            <v>25</v>
          </cell>
          <cell r="M865">
            <v>25</v>
          </cell>
          <cell r="N865">
            <v>25</v>
          </cell>
          <cell r="O865">
            <v>25</v>
          </cell>
          <cell r="P865">
            <v>25</v>
          </cell>
          <cell r="Q865">
            <v>25</v>
          </cell>
          <cell r="R865">
            <v>25</v>
          </cell>
          <cell r="S865">
            <v>25</v>
          </cell>
          <cell r="T865">
            <v>25</v>
          </cell>
          <cell r="U865">
            <v>25</v>
          </cell>
          <cell r="V865">
            <v>25</v>
          </cell>
          <cell r="W865">
            <v>25</v>
          </cell>
          <cell r="X865">
            <v>25</v>
          </cell>
          <cell r="Y865">
            <v>25</v>
          </cell>
          <cell r="Z865">
            <v>25</v>
          </cell>
          <cell r="AA865">
            <v>25</v>
          </cell>
          <cell r="AB865">
            <v>25</v>
          </cell>
          <cell r="AC865">
            <v>25</v>
          </cell>
          <cell r="AD865">
            <v>25</v>
          </cell>
          <cell r="AE865">
            <v>25</v>
          </cell>
          <cell r="AF865">
            <v>25</v>
          </cell>
          <cell r="AG865">
            <v>25</v>
          </cell>
          <cell r="AH865">
            <v>25</v>
          </cell>
        </row>
        <row r="866">
          <cell r="B866" t="str">
            <v>Carbon capture - Total cost - Americas - USD/ton fuel</v>
          </cell>
          <cell r="G866">
            <v>25</v>
          </cell>
          <cell r="H866">
            <v>25</v>
          </cell>
          <cell r="I866">
            <v>25</v>
          </cell>
          <cell r="J866">
            <v>25</v>
          </cell>
          <cell r="K866">
            <v>25</v>
          </cell>
          <cell r="L866">
            <v>25</v>
          </cell>
          <cell r="M866">
            <v>25</v>
          </cell>
          <cell r="N866">
            <v>25</v>
          </cell>
          <cell r="O866">
            <v>25</v>
          </cell>
          <cell r="P866">
            <v>25</v>
          </cell>
          <cell r="Q866">
            <v>25</v>
          </cell>
          <cell r="R866">
            <v>25</v>
          </cell>
          <cell r="S866">
            <v>25</v>
          </cell>
          <cell r="T866">
            <v>25</v>
          </cell>
          <cell r="U866">
            <v>25</v>
          </cell>
          <cell r="V866">
            <v>25</v>
          </cell>
          <cell r="W866">
            <v>25</v>
          </cell>
          <cell r="X866">
            <v>25</v>
          </cell>
          <cell r="Y866">
            <v>25</v>
          </cell>
          <cell r="Z866">
            <v>25</v>
          </cell>
          <cell r="AA866">
            <v>25</v>
          </cell>
          <cell r="AB866">
            <v>25</v>
          </cell>
          <cell r="AC866">
            <v>25</v>
          </cell>
          <cell r="AD866">
            <v>25</v>
          </cell>
          <cell r="AE866">
            <v>25</v>
          </cell>
          <cell r="AF866">
            <v>25</v>
          </cell>
          <cell r="AG866">
            <v>25</v>
          </cell>
          <cell r="AH866">
            <v>25</v>
          </cell>
        </row>
        <row r="867">
          <cell r="B867" t="str">
            <v>Carbon capture - Total cost - Asia - USD/ton fuel</v>
          </cell>
          <cell r="G867">
            <v>25</v>
          </cell>
          <cell r="H867">
            <v>25</v>
          </cell>
          <cell r="I867">
            <v>25</v>
          </cell>
          <cell r="J867">
            <v>25</v>
          </cell>
          <cell r="K867">
            <v>25</v>
          </cell>
          <cell r="L867">
            <v>25</v>
          </cell>
          <cell r="M867">
            <v>25</v>
          </cell>
          <cell r="N867">
            <v>25</v>
          </cell>
          <cell r="O867">
            <v>25</v>
          </cell>
          <cell r="P867">
            <v>25</v>
          </cell>
          <cell r="Q867">
            <v>25</v>
          </cell>
          <cell r="R867">
            <v>25</v>
          </cell>
          <cell r="S867">
            <v>25</v>
          </cell>
          <cell r="T867">
            <v>25</v>
          </cell>
          <cell r="U867">
            <v>25</v>
          </cell>
          <cell r="V867">
            <v>25</v>
          </cell>
          <cell r="W867">
            <v>25</v>
          </cell>
          <cell r="X867">
            <v>25</v>
          </cell>
          <cell r="Y867">
            <v>25</v>
          </cell>
          <cell r="Z867">
            <v>25</v>
          </cell>
          <cell r="AA867">
            <v>25</v>
          </cell>
          <cell r="AB867">
            <v>25</v>
          </cell>
          <cell r="AC867">
            <v>25</v>
          </cell>
          <cell r="AD867">
            <v>25</v>
          </cell>
          <cell r="AE867">
            <v>25</v>
          </cell>
          <cell r="AF867">
            <v>25</v>
          </cell>
          <cell r="AG867">
            <v>25</v>
          </cell>
          <cell r="AH867">
            <v>25</v>
          </cell>
        </row>
        <row r="868">
          <cell r="B868" t="str">
            <v>Carbon capture - Total cost - Europe - USD/ton fuel</v>
          </cell>
          <cell r="G868">
            <v>25</v>
          </cell>
          <cell r="H868">
            <v>25</v>
          </cell>
          <cell r="I868">
            <v>25</v>
          </cell>
          <cell r="J868">
            <v>25</v>
          </cell>
          <cell r="K868">
            <v>25</v>
          </cell>
          <cell r="L868">
            <v>25</v>
          </cell>
          <cell r="M868">
            <v>25</v>
          </cell>
          <cell r="N868">
            <v>25</v>
          </cell>
          <cell r="O868">
            <v>25</v>
          </cell>
          <cell r="P868">
            <v>25</v>
          </cell>
          <cell r="Q868">
            <v>25</v>
          </cell>
          <cell r="R868">
            <v>25</v>
          </cell>
          <cell r="S868">
            <v>25</v>
          </cell>
          <cell r="T868">
            <v>25</v>
          </cell>
          <cell r="U868">
            <v>25</v>
          </cell>
          <cell r="V868">
            <v>25</v>
          </cell>
          <cell r="W868">
            <v>25</v>
          </cell>
          <cell r="X868">
            <v>25</v>
          </cell>
          <cell r="Y868">
            <v>25</v>
          </cell>
          <cell r="Z868">
            <v>25</v>
          </cell>
          <cell r="AA868">
            <v>25</v>
          </cell>
          <cell r="AB868">
            <v>25</v>
          </cell>
          <cell r="AC868">
            <v>25</v>
          </cell>
          <cell r="AD868">
            <v>25</v>
          </cell>
          <cell r="AE868">
            <v>25</v>
          </cell>
          <cell r="AF868">
            <v>25</v>
          </cell>
          <cell r="AG868">
            <v>25</v>
          </cell>
          <cell r="AH868">
            <v>25</v>
          </cell>
        </row>
        <row r="869">
          <cell r="B869" t="str">
            <v>Carbon capture - Total cost - Middle East - USD/ton fuel</v>
          </cell>
          <cell r="G869">
            <v>25</v>
          </cell>
          <cell r="H869">
            <v>25</v>
          </cell>
          <cell r="I869">
            <v>25</v>
          </cell>
          <cell r="J869">
            <v>25</v>
          </cell>
          <cell r="K869">
            <v>25</v>
          </cell>
          <cell r="L869">
            <v>25</v>
          </cell>
          <cell r="M869">
            <v>25</v>
          </cell>
          <cell r="N869">
            <v>25</v>
          </cell>
          <cell r="O869">
            <v>25</v>
          </cell>
          <cell r="P869">
            <v>25</v>
          </cell>
          <cell r="Q869">
            <v>25</v>
          </cell>
          <cell r="R869">
            <v>25</v>
          </cell>
          <cell r="S869">
            <v>25</v>
          </cell>
          <cell r="T869">
            <v>25</v>
          </cell>
          <cell r="U869">
            <v>25</v>
          </cell>
          <cell r="V869">
            <v>25</v>
          </cell>
          <cell r="W869">
            <v>25</v>
          </cell>
          <cell r="X869">
            <v>25</v>
          </cell>
          <cell r="Y869">
            <v>25</v>
          </cell>
          <cell r="Z869">
            <v>25</v>
          </cell>
          <cell r="AA869">
            <v>25</v>
          </cell>
          <cell r="AB869">
            <v>25</v>
          </cell>
          <cell r="AC869">
            <v>25</v>
          </cell>
          <cell r="AD869">
            <v>25</v>
          </cell>
          <cell r="AE869">
            <v>25</v>
          </cell>
          <cell r="AF869">
            <v>25</v>
          </cell>
          <cell r="AG869">
            <v>25</v>
          </cell>
          <cell r="AH869">
            <v>25</v>
          </cell>
        </row>
        <row r="870">
          <cell r="B870" t="str">
            <v/>
          </cell>
        </row>
        <row r="871">
          <cell r="B871" t="str">
            <v>Carbon capture - CAPEX - Global - USD/ton fuel</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row>
        <row r="872">
          <cell r="B872" t="str">
            <v/>
          </cell>
        </row>
        <row r="873">
          <cell r="B873" t="str">
            <v>Carbon capture - OPEX - Global - USD/ton fuel</v>
          </cell>
          <cell r="G873">
            <v>25</v>
          </cell>
          <cell r="H873">
            <v>25</v>
          </cell>
          <cell r="I873">
            <v>25</v>
          </cell>
          <cell r="J873">
            <v>25</v>
          </cell>
          <cell r="K873">
            <v>25</v>
          </cell>
          <cell r="L873">
            <v>25</v>
          </cell>
          <cell r="M873">
            <v>25</v>
          </cell>
          <cell r="N873">
            <v>25</v>
          </cell>
          <cell r="O873">
            <v>25</v>
          </cell>
          <cell r="P873">
            <v>25</v>
          </cell>
          <cell r="Q873">
            <v>25</v>
          </cell>
          <cell r="R873">
            <v>25</v>
          </cell>
          <cell r="S873">
            <v>25</v>
          </cell>
          <cell r="T873">
            <v>25</v>
          </cell>
          <cell r="U873">
            <v>25</v>
          </cell>
          <cell r="V873">
            <v>25</v>
          </cell>
          <cell r="W873">
            <v>25</v>
          </cell>
          <cell r="X873">
            <v>25</v>
          </cell>
          <cell r="Y873">
            <v>25</v>
          </cell>
          <cell r="Z873">
            <v>25</v>
          </cell>
          <cell r="AA873">
            <v>25</v>
          </cell>
          <cell r="AB873">
            <v>25</v>
          </cell>
          <cell r="AC873">
            <v>25</v>
          </cell>
          <cell r="AD873">
            <v>25</v>
          </cell>
          <cell r="AE873">
            <v>25</v>
          </cell>
          <cell r="AF873">
            <v>25</v>
          </cell>
          <cell r="AG873">
            <v>25</v>
          </cell>
          <cell r="AH873">
            <v>25</v>
          </cell>
        </row>
        <row r="874">
          <cell r="B874" t="str">
            <v>Carbon capture - OPEX - Capture - Global - USD/ton CO2</v>
          </cell>
          <cell r="G874">
            <v>25</v>
          </cell>
          <cell r="H874">
            <v>25</v>
          </cell>
          <cell r="I874">
            <v>25</v>
          </cell>
          <cell r="J874">
            <v>25</v>
          </cell>
          <cell r="K874">
            <v>25</v>
          </cell>
          <cell r="L874">
            <v>25</v>
          </cell>
          <cell r="M874">
            <v>25</v>
          </cell>
          <cell r="N874">
            <v>25</v>
          </cell>
          <cell r="O874">
            <v>25</v>
          </cell>
          <cell r="P874">
            <v>25</v>
          </cell>
          <cell r="Q874">
            <v>25</v>
          </cell>
          <cell r="R874">
            <v>25</v>
          </cell>
          <cell r="S874">
            <v>25</v>
          </cell>
          <cell r="T874">
            <v>25</v>
          </cell>
          <cell r="U874">
            <v>25</v>
          </cell>
          <cell r="V874">
            <v>25</v>
          </cell>
          <cell r="W874">
            <v>25</v>
          </cell>
          <cell r="X874">
            <v>25</v>
          </cell>
          <cell r="Y874">
            <v>25</v>
          </cell>
          <cell r="Z874">
            <v>25</v>
          </cell>
          <cell r="AA874">
            <v>25</v>
          </cell>
          <cell r="AB874">
            <v>25</v>
          </cell>
          <cell r="AC874">
            <v>25</v>
          </cell>
          <cell r="AD874">
            <v>25</v>
          </cell>
          <cell r="AE874">
            <v>25</v>
          </cell>
          <cell r="AF874">
            <v>25</v>
          </cell>
          <cell r="AG874">
            <v>25</v>
          </cell>
          <cell r="AH874">
            <v>25</v>
          </cell>
        </row>
        <row r="875">
          <cell r="B875" t="str">
            <v/>
          </cell>
        </row>
        <row r="876">
          <cell r="B876" t="str">
            <v>Carbon capture - Finance cost - Africa - USD/ton fuel</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row>
        <row r="877">
          <cell r="B877" t="str">
            <v>Carbon capture - Finance cost - Americas - USD/ton fuel</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row>
        <row r="878">
          <cell r="B878" t="str">
            <v>Carbon capture - Finance cost - Asia - USD/ton fuel</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row>
        <row r="879">
          <cell r="B879" t="str">
            <v>Carbon capture - Finance cost - Europe - USD/ton fuel</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row>
        <row r="880">
          <cell r="B880" t="str">
            <v>Carbon capture - Finance cost - Middle East - USD/ton fuel</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row>
        <row r="881">
          <cell r="B881" t="str">
            <v/>
          </cell>
        </row>
        <row r="882">
          <cell r="B882" t="str">
            <v>Carbon capture - Energy cost - Africa - USD/ton fuel</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row>
        <row r="883">
          <cell r="B883" t="str">
            <v>Carbon capture - Energy cost - Americas - USD/ton fuel</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row>
        <row r="884">
          <cell r="B884" t="str">
            <v>Carbon capture - Energy cost - Asia - USD/ton fuel</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row>
        <row r="885">
          <cell r="B885" t="str">
            <v>Carbon capture - Energy cost - Europe - USD/ton fuel</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row>
        <row r="886">
          <cell r="B886" t="str">
            <v>Carbon capture - Energy cost - Middle East - USD/ton fuel</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row>
        <row r="887">
          <cell r="B887" t="str">
            <v/>
          </cell>
        </row>
        <row r="888">
          <cell r="B888" t="str">
            <v>Carbon capture - Feedstock cost - Global - USD/ton fuel</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row>
        <row r="890">
          <cell r="B890" t="str">
            <v>Carbon storage - Item - Region - Unit</v>
          </cell>
          <cell r="G890">
            <v>2023</v>
          </cell>
          <cell r="H890">
            <v>2024</v>
          </cell>
          <cell r="I890">
            <v>2025</v>
          </cell>
          <cell r="J890">
            <v>2026</v>
          </cell>
          <cell r="K890">
            <v>2027</v>
          </cell>
          <cell r="L890">
            <v>2028</v>
          </cell>
          <cell r="M890">
            <v>2029</v>
          </cell>
          <cell r="N890">
            <v>2030</v>
          </cell>
          <cell r="O890">
            <v>2031</v>
          </cell>
          <cell r="P890">
            <v>2032</v>
          </cell>
          <cell r="Q890">
            <v>2033</v>
          </cell>
          <cell r="R890">
            <v>2034</v>
          </cell>
          <cell r="S890">
            <v>2035</v>
          </cell>
          <cell r="T890">
            <v>2036</v>
          </cell>
          <cell r="U890">
            <v>2037</v>
          </cell>
          <cell r="V890">
            <v>2038</v>
          </cell>
          <cell r="W890">
            <v>2039</v>
          </cell>
          <cell r="X890">
            <v>2040</v>
          </cell>
          <cell r="Y890">
            <v>2041</v>
          </cell>
          <cell r="Z890">
            <v>2042</v>
          </cell>
          <cell r="AA890">
            <v>2043</v>
          </cell>
          <cell r="AB890">
            <v>2044</v>
          </cell>
          <cell r="AC890">
            <v>2045</v>
          </cell>
          <cell r="AD890">
            <v>2046</v>
          </cell>
          <cell r="AE890">
            <v>2047</v>
          </cell>
          <cell r="AF890">
            <v>2048</v>
          </cell>
          <cell r="AG890">
            <v>2049</v>
          </cell>
          <cell r="AH890">
            <v>2050</v>
          </cell>
        </row>
        <row r="891">
          <cell r="B891" t="str">
            <v>Carbon storage - Total cost - Africa - USD/ton fuel</v>
          </cell>
          <cell r="G891">
            <v>50</v>
          </cell>
          <cell r="H891">
            <v>50</v>
          </cell>
          <cell r="I891">
            <v>50</v>
          </cell>
          <cell r="J891">
            <v>50</v>
          </cell>
          <cell r="K891">
            <v>50</v>
          </cell>
          <cell r="L891">
            <v>50</v>
          </cell>
          <cell r="M891">
            <v>50</v>
          </cell>
          <cell r="N891">
            <v>50</v>
          </cell>
          <cell r="O891">
            <v>50</v>
          </cell>
          <cell r="P891">
            <v>50</v>
          </cell>
          <cell r="Q891">
            <v>50</v>
          </cell>
          <cell r="R891">
            <v>50</v>
          </cell>
          <cell r="S891">
            <v>50</v>
          </cell>
          <cell r="T891">
            <v>50</v>
          </cell>
          <cell r="U891">
            <v>50</v>
          </cell>
          <cell r="V891">
            <v>50</v>
          </cell>
          <cell r="W891">
            <v>50</v>
          </cell>
          <cell r="X891">
            <v>50</v>
          </cell>
          <cell r="Y891">
            <v>50</v>
          </cell>
          <cell r="Z891">
            <v>50</v>
          </cell>
          <cell r="AA891">
            <v>50</v>
          </cell>
          <cell r="AB891">
            <v>50</v>
          </cell>
          <cell r="AC891">
            <v>50</v>
          </cell>
          <cell r="AD891">
            <v>50</v>
          </cell>
          <cell r="AE891">
            <v>50</v>
          </cell>
          <cell r="AF891">
            <v>50</v>
          </cell>
          <cell r="AG891">
            <v>50</v>
          </cell>
          <cell r="AH891">
            <v>50</v>
          </cell>
        </row>
        <row r="892">
          <cell r="B892" t="str">
            <v>Carbon storage - Total cost - Americas - USD/ton fuel</v>
          </cell>
          <cell r="G892">
            <v>50</v>
          </cell>
          <cell r="H892">
            <v>50</v>
          </cell>
          <cell r="I892">
            <v>50</v>
          </cell>
          <cell r="J892">
            <v>50</v>
          </cell>
          <cell r="K892">
            <v>50</v>
          </cell>
          <cell r="L892">
            <v>50</v>
          </cell>
          <cell r="M892">
            <v>50</v>
          </cell>
          <cell r="N892">
            <v>50</v>
          </cell>
          <cell r="O892">
            <v>50</v>
          </cell>
          <cell r="P892">
            <v>50</v>
          </cell>
          <cell r="Q892">
            <v>50</v>
          </cell>
          <cell r="R892">
            <v>50</v>
          </cell>
          <cell r="S892">
            <v>50</v>
          </cell>
          <cell r="T892">
            <v>50</v>
          </cell>
          <cell r="U892">
            <v>50</v>
          </cell>
          <cell r="V892">
            <v>50</v>
          </cell>
          <cell r="W892">
            <v>50</v>
          </cell>
          <cell r="X892">
            <v>50</v>
          </cell>
          <cell r="Y892">
            <v>50</v>
          </cell>
          <cell r="Z892">
            <v>50</v>
          </cell>
          <cell r="AA892">
            <v>50</v>
          </cell>
          <cell r="AB892">
            <v>50</v>
          </cell>
          <cell r="AC892">
            <v>50</v>
          </cell>
          <cell r="AD892">
            <v>50</v>
          </cell>
          <cell r="AE892">
            <v>50</v>
          </cell>
          <cell r="AF892">
            <v>50</v>
          </cell>
          <cell r="AG892">
            <v>50</v>
          </cell>
          <cell r="AH892">
            <v>50</v>
          </cell>
        </row>
        <row r="893">
          <cell r="B893" t="str">
            <v>Carbon storage - Total cost - Asia - USD/ton fuel</v>
          </cell>
          <cell r="G893">
            <v>50</v>
          </cell>
          <cell r="H893">
            <v>50</v>
          </cell>
          <cell r="I893">
            <v>50</v>
          </cell>
          <cell r="J893">
            <v>50</v>
          </cell>
          <cell r="K893">
            <v>50</v>
          </cell>
          <cell r="L893">
            <v>50</v>
          </cell>
          <cell r="M893">
            <v>50</v>
          </cell>
          <cell r="N893">
            <v>50</v>
          </cell>
          <cell r="O893">
            <v>50</v>
          </cell>
          <cell r="P893">
            <v>50</v>
          </cell>
          <cell r="Q893">
            <v>50</v>
          </cell>
          <cell r="R893">
            <v>50</v>
          </cell>
          <cell r="S893">
            <v>50</v>
          </cell>
          <cell r="T893">
            <v>50</v>
          </cell>
          <cell r="U893">
            <v>50</v>
          </cell>
          <cell r="V893">
            <v>50</v>
          </cell>
          <cell r="W893">
            <v>50</v>
          </cell>
          <cell r="X893">
            <v>50</v>
          </cell>
          <cell r="Y893">
            <v>50</v>
          </cell>
          <cell r="Z893">
            <v>50</v>
          </cell>
          <cell r="AA893">
            <v>50</v>
          </cell>
          <cell r="AB893">
            <v>50</v>
          </cell>
          <cell r="AC893">
            <v>50</v>
          </cell>
          <cell r="AD893">
            <v>50</v>
          </cell>
          <cell r="AE893">
            <v>50</v>
          </cell>
          <cell r="AF893">
            <v>50</v>
          </cell>
          <cell r="AG893">
            <v>50</v>
          </cell>
          <cell r="AH893">
            <v>50</v>
          </cell>
        </row>
        <row r="894">
          <cell r="B894" t="str">
            <v>Carbon storage - Total cost - Europe - USD/ton fuel</v>
          </cell>
          <cell r="G894">
            <v>50</v>
          </cell>
          <cell r="H894">
            <v>50</v>
          </cell>
          <cell r="I894">
            <v>50</v>
          </cell>
          <cell r="J894">
            <v>50</v>
          </cell>
          <cell r="K894">
            <v>50</v>
          </cell>
          <cell r="L894">
            <v>50</v>
          </cell>
          <cell r="M894">
            <v>50</v>
          </cell>
          <cell r="N894">
            <v>50</v>
          </cell>
          <cell r="O894">
            <v>50</v>
          </cell>
          <cell r="P894">
            <v>50</v>
          </cell>
          <cell r="Q894">
            <v>50</v>
          </cell>
          <cell r="R894">
            <v>50</v>
          </cell>
          <cell r="S894">
            <v>50</v>
          </cell>
          <cell r="T894">
            <v>50</v>
          </cell>
          <cell r="U894">
            <v>50</v>
          </cell>
          <cell r="V894">
            <v>50</v>
          </cell>
          <cell r="W894">
            <v>50</v>
          </cell>
          <cell r="X894">
            <v>50</v>
          </cell>
          <cell r="Y894">
            <v>50</v>
          </cell>
          <cell r="Z894">
            <v>50</v>
          </cell>
          <cell r="AA894">
            <v>50</v>
          </cell>
          <cell r="AB894">
            <v>50</v>
          </cell>
          <cell r="AC894">
            <v>50</v>
          </cell>
          <cell r="AD894">
            <v>50</v>
          </cell>
          <cell r="AE894">
            <v>50</v>
          </cell>
          <cell r="AF894">
            <v>50</v>
          </cell>
          <cell r="AG894">
            <v>50</v>
          </cell>
          <cell r="AH894">
            <v>50</v>
          </cell>
        </row>
        <row r="895">
          <cell r="B895" t="str">
            <v>Carbon storage - Total cost - Middle East - USD/ton fuel</v>
          </cell>
          <cell r="G895">
            <v>50</v>
          </cell>
          <cell r="H895">
            <v>50</v>
          </cell>
          <cell r="I895">
            <v>50</v>
          </cell>
          <cell r="J895">
            <v>50</v>
          </cell>
          <cell r="K895">
            <v>50</v>
          </cell>
          <cell r="L895">
            <v>50</v>
          </cell>
          <cell r="M895">
            <v>50</v>
          </cell>
          <cell r="N895">
            <v>50</v>
          </cell>
          <cell r="O895">
            <v>50</v>
          </cell>
          <cell r="P895">
            <v>50</v>
          </cell>
          <cell r="Q895">
            <v>50</v>
          </cell>
          <cell r="R895">
            <v>50</v>
          </cell>
          <cell r="S895">
            <v>50</v>
          </cell>
          <cell r="T895">
            <v>50</v>
          </cell>
          <cell r="U895">
            <v>50</v>
          </cell>
          <cell r="V895">
            <v>50</v>
          </cell>
          <cell r="W895">
            <v>50</v>
          </cell>
          <cell r="X895">
            <v>50</v>
          </cell>
          <cell r="Y895">
            <v>50</v>
          </cell>
          <cell r="Z895">
            <v>50</v>
          </cell>
          <cell r="AA895">
            <v>50</v>
          </cell>
          <cell r="AB895">
            <v>50</v>
          </cell>
          <cell r="AC895">
            <v>50</v>
          </cell>
          <cell r="AD895">
            <v>50</v>
          </cell>
          <cell r="AE895">
            <v>50</v>
          </cell>
          <cell r="AF895">
            <v>50</v>
          </cell>
          <cell r="AG895">
            <v>50</v>
          </cell>
          <cell r="AH895">
            <v>50</v>
          </cell>
        </row>
        <row r="896">
          <cell r="B896" t="str">
            <v/>
          </cell>
        </row>
        <row r="897">
          <cell r="B897" t="str">
            <v>Carbon storage - CAPEX - Global - USD/ton fuel</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row>
        <row r="898">
          <cell r="B898" t="str">
            <v/>
          </cell>
        </row>
        <row r="899">
          <cell r="B899" t="str">
            <v>Carbon storage - OPEX - Global - USD/ton fuel</v>
          </cell>
          <cell r="G899">
            <v>50</v>
          </cell>
          <cell r="H899">
            <v>50</v>
          </cell>
          <cell r="I899">
            <v>50</v>
          </cell>
          <cell r="J899">
            <v>50</v>
          </cell>
          <cell r="K899">
            <v>50</v>
          </cell>
          <cell r="L899">
            <v>50</v>
          </cell>
          <cell r="M899">
            <v>50</v>
          </cell>
          <cell r="N899">
            <v>50</v>
          </cell>
          <cell r="O899">
            <v>50</v>
          </cell>
          <cell r="P899">
            <v>50</v>
          </cell>
          <cell r="Q899">
            <v>50</v>
          </cell>
          <cell r="R899">
            <v>50</v>
          </cell>
          <cell r="S899">
            <v>50</v>
          </cell>
          <cell r="T899">
            <v>50</v>
          </cell>
          <cell r="U899">
            <v>50</v>
          </cell>
          <cell r="V899">
            <v>50</v>
          </cell>
          <cell r="W899">
            <v>50</v>
          </cell>
          <cell r="X899">
            <v>50</v>
          </cell>
          <cell r="Y899">
            <v>50</v>
          </cell>
          <cell r="Z899">
            <v>50</v>
          </cell>
          <cell r="AA899">
            <v>50</v>
          </cell>
          <cell r="AB899">
            <v>50</v>
          </cell>
          <cell r="AC899">
            <v>50</v>
          </cell>
          <cell r="AD899">
            <v>50</v>
          </cell>
          <cell r="AE899">
            <v>50</v>
          </cell>
          <cell r="AF899">
            <v>50</v>
          </cell>
          <cell r="AG899">
            <v>50</v>
          </cell>
          <cell r="AH899">
            <v>50</v>
          </cell>
        </row>
        <row r="900">
          <cell r="B900" t="str">
            <v>Carbon storage - OPEX - Storage - Global - USD/ton CO2</v>
          </cell>
          <cell r="G900">
            <v>50</v>
          </cell>
          <cell r="H900">
            <v>50</v>
          </cell>
          <cell r="I900">
            <v>50</v>
          </cell>
          <cell r="J900">
            <v>50</v>
          </cell>
          <cell r="K900">
            <v>50</v>
          </cell>
          <cell r="L900">
            <v>50</v>
          </cell>
          <cell r="M900">
            <v>50</v>
          </cell>
          <cell r="N900">
            <v>50</v>
          </cell>
          <cell r="O900">
            <v>50</v>
          </cell>
          <cell r="P900">
            <v>50</v>
          </cell>
          <cell r="Q900">
            <v>50</v>
          </cell>
          <cell r="R900">
            <v>50</v>
          </cell>
          <cell r="S900">
            <v>50</v>
          </cell>
          <cell r="T900">
            <v>50</v>
          </cell>
          <cell r="U900">
            <v>50</v>
          </cell>
          <cell r="V900">
            <v>50</v>
          </cell>
          <cell r="W900">
            <v>50</v>
          </cell>
          <cell r="X900">
            <v>50</v>
          </cell>
          <cell r="Y900">
            <v>50</v>
          </cell>
          <cell r="Z900">
            <v>50</v>
          </cell>
          <cell r="AA900">
            <v>50</v>
          </cell>
          <cell r="AB900">
            <v>50</v>
          </cell>
          <cell r="AC900">
            <v>50</v>
          </cell>
          <cell r="AD900">
            <v>50</v>
          </cell>
          <cell r="AE900">
            <v>50</v>
          </cell>
          <cell r="AF900">
            <v>50</v>
          </cell>
          <cell r="AG900">
            <v>50</v>
          </cell>
          <cell r="AH900">
            <v>50</v>
          </cell>
        </row>
        <row r="901">
          <cell r="B901" t="str">
            <v/>
          </cell>
        </row>
        <row r="902">
          <cell r="B902" t="str">
            <v>Carbon storage - Finance cost - Africa - USD/ton fuel</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row>
        <row r="903">
          <cell r="B903" t="str">
            <v>Carbon storage - Finance cost - Americas - USD/ton fuel</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row>
        <row r="904">
          <cell r="B904" t="str">
            <v>Carbon storage - Finance cost - Asia - USD/ton fuel</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row>
        <row r="905">
          <cell r="B905" t="str">
            <v>Carbon storage - Finance cost - Europe - USD/ton fuel</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row>
        <row r="906">
          <cell r="B906" t="str">
            <v>Carbon storage - Finance cost - Middle East - USD/ton fuel</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row>
        <row r="907">
          <cell r="B907" t="str">
            <v/>
          </cell>
        </row>
        <row r="908">
          <cell r="B908" t="str">
            <v>Carbon storage - Energy cost - Africa - USD/ton fuel</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row>
        <row r="909">
          <cell r="B909" t="str">
            <v>Carbon storage - Energy cost - Americas - USD/ton fuel</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row>
        <row r="910">
          <cell r="B910" t="str">
            <v>Carbon storage - Energy cost - Asia - USD/ton fuel</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row>
        <row r="911">
          <cell r="B911" t="str">
            <v>Carbon storage - Energy cost - Europe - USD/ton fuel</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row>
        <row r="912">
          <cell r="B912" t="str">
            <v>Carbon storage - Energy cost - Middle East - USD/ton fuel</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row>
        <row r="913">
          <cell r="B913" t="str">
            <v/>
          </cell>
        </row>
        <row r="914">
          <cell r="B914" t="str">
            <v>Carbon storage - Feedstock cost - Global - USD/ton fuel</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row>
        <row r="916">
          <cell r="B916" t="str">
            <v>Blue ammonia (CCS) - Item - Region - Unit</v>
          </cell>
          <cell r="G916">
            <v>2023</v>
          </cell>
          <cell r="H916">
            <v>2024</v>
          </cell>
          <cell r="I916">
            <v>2025</v>
          </cell>
          <cell r="J916">
            <v>2026</v>
          </cell>
          <cell r="K916">
            <v>2027</v>
          </cell>
          <cell r="L916">
            <v>2028</v>
          </cell>
          <cell r="M916">
            <v>2029</v>
          </cell>
          <cell r="N916">
            <v>2030</v>
          </cell>
          <cell r="O916">
            <v>2031</v>
          </cell>
          <cell r="P916">
            <v>2032</v>
          </cell>
          <cell r="Q916">
            <v>2033</v>
          </cell>
          <cell r="R916">
            <v>2034</v>
          </cell>
          <cell r="S916">
            <v>2035</v>
          </cell>
          <cell r="T916">
            <v>2036</v>
          </cell>
          <cell r="U916">
            <v>2037</v>
          </cell>
          <cell r="V916">
            <v>2038</v>
          </cell>
          <cell r="W916">
            <v>2039</v>
          </cell>
          <cell r="X916">
            <v>2040</v>
          </cell>
          <cell r="Y916">
            <v>2041</v>
          </cell>
          <cell r="Z916">
            <v>2042</v>
          </cell>
          <cell r="AA916">
            <v>2043</v>
          </cell>
          <cell r="AB916">
            <v>2044</v>
          </cell>
          <cell r="AC916">
            <v>2045</v>
          </cell>
          <cell r="AD916">
            <v>2046</v>
          </cell>
          <cell r="AE916">
            <v>2047</v>
          </cell>
          <cell r="AF916">
            <v>2048</v>
          </cell>
          <cell r="AG916">
            <v>2049</v>
          </cell>
          <cell r="AH916">
            <v>2050</v>
          </cell>
        </row>
        <row r="917">
          <cell r="B917" t="str">
            <v>Blue ammonia (CCS) - Total cost - Africa - USD/ton fuel</v>
          </cell>
          <cell r="G917">
            <v>985.20803360605169</v>
          </cell>
          <cell r="H917">
            <v>859.01325653672848</v>
          </cell>
          <cell r="I917">
            <v>732.79105342466482</v>
          </cell>
          <cell r="J917">
            <v>701.02699918541009</v>
          </cell>
          <cell r="K917">
            <v>669.26786861177175</v>
          </cell>
          <cell r="L917">
            <v>637.51366170374922</v>
          </cell>
          <cell r="M917">
            <v>605.7643784613424</v>
          </cell>
          <cell r="N917">
            <v>574.02001888455175</v>
          </cell>
          <cell r="O917">
            <v>572.06187197267491</v>
          </cell>
          <cell r="P917">
            <v>570.09945736446389</v>
          </cell>
          <cell r="Q917">
            <v>568.13277505991846</v>
          </cell>
          <cell r="R917">
            <v>566.16182505903896</v>
          </cell>
          <cell r="S917">
            <v>564.18660736182551</v>
          </cell>
          <cell r="T917">
            <v>562.48745912728384</v>
          </cell>
          <cell r="U917">
            <v>560.7863021582051</v>
          </cell>
          <cell r="V917">
            <v>559.08313645458895</v>
          </cell>
          <cell r="W917">
            <v>557.37796201643562</v>
          </cell>
          <cell r="X917">
            <v>555.67077884374521</v>
          </cell>
          <cell r="Y917">
            <v>553.95439741922894</v>
          </cell>
          <cell r="Z917">
            <v>552.23595047093931</v>
          </cell>
          <cell r="AA917">
            <v>550.51543799887634</v>
          </cell>
          <cell r="AB917">
            <v>548.79286000304023</v>
          </cell>
          <cell r="AC917">
            <v>547.06821648343055</v>
          </cell>
          <cell r="AD917">
            <v>545.47728312198888</v>
          </cell>
          <cell r="AE917">
            <v>543.88533594616138</v>
          </cell>
          <cell r="AF917">
            <v>542.29237495594805</v>
          </cell>
          <cell r="AG917">
            <v>540.69840015134912</v>
          </cell>
          <cell r="AH917">
            <v>539.10341153236448</v>
          </cell>
        </row>
        <row r="918">
          <cell r="B918" t="str">
            <v>Blue ammonia (CCS) - Total cost - Americas - USD/ton fuel</v>
          </cell>
          <cell r="G918">
            <v>503.12232892134028</v>
          </cell>
          <cell r="H918">
            <v>484.02449179925031</v>
          </cell>
          <cell r="I918">
            <v>464.92361571560912</v>
          </cell>
          <cell r="J918">
            <v>457.55880786345574</v>
          </cell>
          <cell r="K918">
            <v>450.19730826400058</v>
          </cell>
          <cell r="L918">
            <v>442.83911691724325</v>
          </cell>
          <cell r="M918">
            <v>435.48423382318424</v>
          </cell>
          <cell r="N918">
            <v>428.13265898182323</v>
          </cell>
          <cell r="O918">
            <v>429.74011354499953</v>
          </cell>
          <cell r="P918">
            <v>431.34509604198797</v>
          </cell>
          <cell r="Q918">
            <v>432.94760647278815</v>
          </cell>
          <cell r="R918">
            <v>434.5476448374003</v>
          </cell>
          <cell r="S918">
            <v>436.14521113582441</v>
          </cell>
          <cell r="T918">
            <v>434.43840260047921</v>
          </cell>
          <cell r="U918">
            <v>432.72959014747482</v>
          </cell>
          <cell r="V918">
            <v>431.01877377681103</v>
          </cell>
          <cell r="W918">
            <v>429.30595348848783</v>
          </cell>
          <cell r="X918">
            <v>427.59112928250534</v>
          </cell>
          <cell r="Y918">
            <v>426.02579110051107</v>
          </cell>
          <cell r="Z918">
            <v>424.4596456038721</v>
          </cell>
          <cell r="AA918">
            <v>422.89269279258838</v>
          </cell>
          <cell r="AB918">
            <v>421.32493266665995</v>
          </cell>
          <cell r="AC918">
            <v>419.75636522608659</v>
          </cell>
          <cell r="AD918">
            <v>418.21258491863773</v>
          </cell>
          <cell r="AE918">
            <v>416.6681955494314</v>
          </cell>
          <cell r="AF918">
            <v>415.12319711846777</v>
          </cell>
          <cell r="AG918">
            <v>413.57758962574678</v>
          </cell>
          <cell r="AH918">
            <v>412.0313730712686</v>
          </cell>
        </row>
        <row r="919">
          <cell r="B919" t="str">
            <v>Blue ammonia (CCS) - Total cost - Asia - USD/ton fuel</v>
          </cell>
          <cell r="G919">
            <v>963.19770975613881</v>
          </cell>
          <cell r="H919">
            <v>857.17811239584307</v>
          </cell>
          <cell r="I919">
            <v>751.13568825733671</v>
          </cell>
          <cell r="J919">
            <v>702.49385841406297</v>
          </cell>
          <cell r="K919">
            <v>653.85730149840435</v>
          </cell>
          <cell r="L919">
            <v>605.22601751035927</v>
          </cell>
          <cell r="M919">
            <v>556.60000644992863</v>
          </cell>
          <cell r="N919">
            <v>507.97926831711283</v>
          </cell>
          <cell r="O919">
            <v>505.87969900345399</v>
          </cell>
          <cell r="P919">
            <v>503.7745645475182</v>
          </cell>
          <cell r="Q919">
            <v>501.66386494930526</v>
          </cell>
          <cell r="R919">
            <v>499.54760020881463</v>
          </cell>
          <cell r="S919">
            <v>497.42577032604686</v>
          </cell>
          <cell r="T919">
            <v>495.63787431987106</v>
          </cell>
          <cell r="U919">
            <v>493.84714886053052</v>
          </cell>
          <cell r="V919">
            <v>492.05359394802542</v>
          </cell>
          <cell r="W919">
            <v>490.25720958235513</v>
          </cell>
          <cell r="X919">
            <v>488.45799576352044</v>
          </cell>
          <cell r="Y919">
            <v>486.63921407373107</v>
          </cell>
          <cell r="Z919">
            <v>484.8174707157865</v>
          </cell>
          <cell r="AA919">
            <v>482.99276568968662</v>
          </cell>
          <cell r="AB919">
            <v>481.16509899543166</v>
          </cell>
          <cell r="AC919">
            <v>479.33447063302123</v>
          </cell>
          <cell r="AD919">
            <v>477.70789069609827</v>
          </cell>
          <cell r="AE919">
            <v>476.07995257741516</v>
          </cell>
          <cell r="AF919">
            <v>474.45065627697238</v>
          </cell>
          <cell r="AG919">
            <v>472.82000179476961</v>
          </cell>
          <cell r="AH919">
            <v>471.18798913080684</v>
          </cell>
        </row>
        <row r="920">
          <cell r="B920" t="str">
            <v>Blue ammonia (CCS) - Total cost - Europe - USD/ton fuel</v>
          </cell>
          <cell r="G920">
            <v>980.31806582837066</v>
          </cell>
          <cell r="H920">
            <v>856.43635512476351</v>
          </cell>
          <cell r="I920">
            <v>732.5463097372982</v>
          </cell>
          <cell r="J920">
            <v>700.89438934586042</v>
          </cell>
          <cell r="K920">
            <v>669.24680595627342</v>
          </cell>
          <cell r="L920">
            <v>637.60355956853732</v>
          </cell>
          <cell r="M920">
            <v>605.96465018265189</v>
          </cell>
          <cell r="N920">
            <v>574.33007779861725</v>
          </cell>
          <cell r="O920">
            <v>572.55190510898274</v>
          </cell>
          <cell r="P920">
            <v>570.77093424641134</v>
          </cell>
          <cell r="Q920">
            <v>568.98716521090228</v>
          </cell>
          <cell r="R920">
            <v>567.20059800245599</v>
          </cell>
          <cell r="S920">
            <v>565.4112326210726</v>
          </cell>
          <cell r="T920">
            <v>563.75899448116013</v>
          </cell>
          <cell r="U920">
            <v>562.10508568978025</v>
          </cell>
          <cell r="V920">
            <v>560.44950624693297</v>
          </cell>
          <cell r="W920">
            <v>558.79225615261805</v>
          </cell>
          <cell r="X920">
            <v>557.13333540683561</v>
          </cell>
          <cell r="Y920">
            <v>555.45797688117318</v>
          </cell>
          <cell r="Z920">
            <v>553.78083106005909</v>
          </cell>
          <cell r="AA920">
            <v>552.10189794349321</v>
          </cell>
          <cell r="AB920">
            <v>550.42117753147534</v>
          </cell>
          <cell r="AC920">
            <v>548.73866982400591</v>
          </cell>
          <cell r="AD920">
            <v>547.11676212266525</v>
          </cell>
          <cell r="AE920">
            <v>545.49355037375494</v>
          </cell>
          <cell r="AF920">
            <v>543.86903457727487</v>
          </cell>
          <cell r="AG920">
            <v>542.24321473322516</v>
          </cell>
          <cell r="AH920">
            <v>540.61609084160568</v>
          </cell>
        </row>
        <row r="921">
          <cell r="B921" t="str">
            <v>Blue ammonia (CCS) - Total cost - Middle East - USD/ton fuel</v>
          </cell>
          <cell r="G921">
            <v>837.60451096916336</v>
          </cell>
          <cell r="H921">
            <v>733.52015584584831</v>
          </cell>
          <cell r="I921">
            <v>629.42926626744213</v>
          </cell>
          <cell r="J921">
            <v>580.72549186608887</v>
          </cell>
          <cell r="K921">
            <v>532.02450367148901</v>
          </cell>
          <cell r="L921">
            <v>483.32630168364244</v>
          </cell>
          <cell r="M921">
            <v>434.63088590254915</v>
          </cell>
          <cell r="N921">
            <v>385.93825632820926</v>
          </cell>
          <cell r="O921">
            <v>384.11455655665674</v>
          </cell>
          <cell r="P921">
            <v>382.28780616890538</v>
          </cell>
          <cell r="Q921">
            <v>380.45800516495478</v>
          </cell>
          <cell r="R921">
            <v>378.62515354480536</v>
          </cell>
          <cell r="S921">
            <v>376.78925130845698</v>
          </cell>
          <cell r="T921">
            <v>375.13906315779468</v>
          </cell>
          <cell r="U921">
            <v>373.48734546024764</v>
          </cell>
          <cell r="V921">
            <v>371.83409821581569</v>
          </cell>
          <cell r="W921">
            <v>370.17932142449877</v>
          </cell>
          <cell r="X921">
            <v>368.52301508629699</v>
          </cell>
          <cell r="Y921">
            <v>366.80488027075774</v>
          </cell>
          <cell r="Z921">
            <v>365.08473961346436</v>
          </cell>
          <cell r="AA921">
            <v>363.36259311441682</v>
          </cell>
          <cell r="AB921">
            <v>361.63844077361512</v>
          </cell>
          <cell r="AC921">
            <v>359.91228259105912</v>
          </cell>
          <cell r="AD921">
            <v>358.32187406198989</v>
          </cell>
          <cell r="AE921">
            <v>356.73052673605594</v>
          </cell>
          <cell r="AF921">
            <v>355.13824061325738</v>
          </cell>
          <cell r="AG921">
            <v>353.54501569359411</v>
          </cell>
          <cell r="AH921">
            <v>351.95085197706629</v>
          </cell>
        </row>
        <row r="922">
          <cell r="B922" t="str">
            <v/>
          </cell>
        </row>
        <row r="923">
          <cell r="B923" t="str">
            <v>Blue ammonia (CCS) - CAPEX - Global - USD/ton fuel</v>
          </cell>
          <cell r="G923">
            <v>40.799999999999997</v>
          </cell>
          <cell r="H923">
            <v>40.4</v>
          </cell>
          <cell r="I923">
            <v>40</v>
          </cell>
          <cell r="J923">
            <v>39.6</v>
          </cell>
          <cell r="K923">
            <v>39.200000000000003</v>
          </cell>
          <cell r="L923">
            <v>38.799999999999997</v>
          </cell>
          <cell r="M923">
            <v>38.4</v>
          </cell>
          <cell r="N923">
            <v>38</v>
          </cell>
          <cell r="O923">
            <v>37.6</v>
          </cell>
          <cell r="P923">
            <v>37.200000000000003</v>
          </cell>
          <cell r="Q923">
            <v>36.799999999999997</v>
          </cell>
          <cell r="R923">
            <v>36.4</v>
          </cell>
          <cell r="S923">
            <v>36</v>
          </cell>
          <cell r="T923">
            <v>35.6</v>
          </cell>
          <cell r="U923">
            <v>35.200000000000003</v>
          </cell>
          <cell r="V923">
            <v>34.799999999999997</v>
          </cell>
          <cell r="W923">
            <v>34.4</v>
          </cell>
          <cell r="X923">
            <v>34</v>
          </cell>
          <cell r="Y923">
            <v>33.6</v>
          </cell>
          <cell r="Z923">
            <v>33.200000000000003</v>
          </cell>
          <cell r="AA923">
            <v>32.799999999999997</v>
          </cell>
          <cell r="AB923">
            <v>32.4</v>
          </cell>
          <cell r="AC923">
            <v>32</v>
          </cell>
          <cell r="AD923">
            <v>31.6</v>
          </cell>
          <cell r="AE923">
            <v>31.2</v>
          </cell>
          <cell r="AF923">
            <v>30.8</v>
          </cell>
          <cell r="AG923">
            <v>30.4</v>
          </cell>
          <cell r="AH923">
            <v>30</v>
          </cell>
        </row>
        <row r="924">
          <cell r="B924" t="str">
            <v>Blue ammonia (CCS) - Plant lifetime - Global - Years</v>
          </cell>
          <cell r="G924">
            <v>30</v>
          </cell>
          <cell r="H924">
            <v>30</v>
          </cell>
          <cell r="I924">
            <v>30</v>
          </cell>
          <cell r="J924">
            <v>30</v>
          </cell>
          <cell r="K924">
            <v>30</v>
          </cell>
          <cell r="L924">
            <v>30</v>
          </cell>
          <cell r="M924">
            <v>30</v>
          </cell>
          <cell r="N924">
            <v>30</v>
          </cell>
          <cell r="O924">
            <v>30</v>
          </cell>
          <cell r="P924">
            <v>30</v>
          </cell>
          <cell r="Q924">
            <v>30</v>
          </cell>
          <cell r="R924">
            <v>30</v>
          </cell>
          <cell r="S924">
            <v>30</v>
          </cell>
          <cell r="T924">
            <v>30</v>
          </cell>
          <cell r="U924">
            <v>30</v>
          </cell>
          <cell r="V924">
            <v>30</v>
          </cell>
          <cell r="W924">
            <v>30</v>
          </cell>
          <cell r="X924">
            <v>30</v>
          </cell>
          <cell r="Y924">
            <v>30</v>
          </cell>
          <cell r="Z924">
            <v>30</v>
          </cell>
          <cell r="AA924">
            <v>30</v>
          </cell>
          <cell r="AB924">
            <v>30</v>
          </cell>
          <cell r="AC924">
            <v>30</v>
          </cell>
          <cell r="AD924">
            <v>30</v>
          </cell>
          <cell r="AE924">
            <v>30</v>
          </cell>
          <cell r="AF924">
            <v>30</v>
          </cell>
          <cell r="AG924">
            <v>30</v>
          </cell>
          <cell r="AH924">
            <v>30</v>
          </cell>
        </row>
        <row r="925">
          <cell r="B925" t="str">
            <v>Blue ammonia (CCS) - Total CAPEX - ATR - Global - USD/ton fuel</v>
          </cell>
          <cell r="G925">
            <v>1224</v>
          </cell>
          <cell r="H925">
            <v>1212</v>
          </cell>
          <cell r="I925">
            <v>1200</v>
          </cell>
          <cell r="J925">
            <v>1188</v>
          </cell>
          <cell r="K925">
            <v>1176</v>
          </cell>
          <cell r="L925">
            <v>1164</v>
          </cell>
          <cell r="M925">
            <v>1152</v>
          </cell>
          <cell r="N925">
            <v>1140</v>
          </cell>
          <cell r="O925">
            <v>1128</v>
          </cell>
          <cell r="P925">
            <v>1116</v>
          </cell>
          <cell r="Q925">
            <v>1104</v>
          </cell>
          <cell r="R925">
            <v>1092</v>
          </cell>
          <cell r="S925">
            <v>1080</v>
          </cell>
          <cell r="T925">
            <v>1068</v>
          </cell>
          <cell r="U925">
            <v>1056</v>
          </cell>
          <cell r="V925">
            <v>1044</v>
          </cell>
          <cell r="W925">
            <v>1032</v>
          </cell>
          <cell r="X925">
            <v>1020</v>
          </cell>
          <cell r="Y925">
            <v>1008</v>
          </cell>
          <cell r="Z925">
            <v>996</v>
          </cell>
          <cell r="AA925">
            <v>984</v>
          </cell>
          <cell r="AB925">
            <v>972</v>
          </cell>
          <cell r="AC925">
            <v>960</v>
          </cell>
          <cell r="AD925">
            <v>948</v>
          </cell>
          <cell r="AE925">
            <v>936</v>
          </cell>
          <cell r="AF925">
            <v>924</v>
          </cell>
          <cell r="AG925">
            <v>912</v>
          </cell>
          <cell r="AH925">
            <v>900</v>
          </cell>
        </row>
        <row r="926">
          <cell r="B926" t="str">
            <v/>
          </cell>
        </row>
        <row r="927">
          <cell r="B927" t="str">
            <v>Blue ammonia (CCS) - OPEX - Global - USD/ton fuel</v>
          </cell>
          <cell r="G927">
            <v>48.96</v>
          </cell>
          <cell r="H927">
            <v>48.480000000000004</v>
          </cell>
          <cell r="I927">
            <v>48</v>
          </cell>
          <cell r="J927">
            <v>47.52</v>
          </cell>
          <cell r="K927">
            <v>47.04</v>
          </cell>
          <cell r="L927">
            <v>46.56</v>
          </cell>
          <cell r="M927">
            <v>46.08</v>
          </cell>
          <cell r="N927">
            <v>45.6</v>
          </cell>
          <cell r="O927">
            <v>45.12</v>
          </cell>
          <cell r="P927">
            <v>44.64</v>
          </cell>
          <cell r="Q927">
            <v>44.160000000000004</v>
          </cell>
          <cell r="R927">
            <v>43.68</v>
          </cell>
          <cell r="S927">
            <v>43.2</v>
          </cell>
          <cell r="T927">
            <v>42.72</v>
          </cell>
          <cell r="U927">
            <v>42.24</v>
          </cell>
          <cell r="V927">
            <v>41.76</v>
          </cell>
          <cell r="W927">
            <v>41.28</v>
          </cell>
          <cell r="X927">
            <v>40.800000000000004</v>
          </cell>
          <cell r="Y927">
            <v>40.32</v>
          </cell>
          <cell r="Z927">
            <v>39.840000000000003</v>
          </cell>
          <cell r="AA927">
            <v>39.36</v>
          </cell>
          <cell r="AB927">
            <v>38.880000000000003</v>
          </cell>
          <cell r="AC927">
            <v>38.4</v>
          </cell>
          <cell r="AD927">
            <v>37.92</v>
          </cell>
          <cell r="AE927">
            <v>37.44</v>
          </cell>
          <cell r="AF927">
            <v>36.96</v>
          </cell>
          <cell r="AG927">
            <v>36.480000000000004</v>
          </cell>
          <cell r="AH927">
            <v>36</v>
          </cell>
        </row>
        <row r="928">
          <cell r="B928" t="str">
            <v>Blue ammonia (CCS) - OPEX - ATR - Global - USD/ton fuel/year</v>
          </cell>
          <cell r="G928">
            <v>48.96</v>
          </cell>
          <cell r="H928">
            <v>48.480000000000004</v>
          </cell>
          <cell r="I928">
            <v>48</v>
          </cell>
          <cell r="J928">
            <v>47.52</v>
          </cell>
          <cell r="K928">
            <v>47.04</v>
          </cell>
          <cell r="L928">
            <v>46.56</v>
          </cell>
          <cell r="M928">
            <v>46.08</v>
          </cell>
          <cell r="N928">
            <v>45.6</v>
          </cell>
          <cell r="O928">
            <v>45.12</v>
          </cell>
          <cell r="P928">
            <v>44.64</v>
          </cell>
          <cell r="Q928">
            <v>44.160000000000004</v>
          </cell>
          <cell r="R928">
            <v>43.68</v>
          </cell>
          <cell r="S928">
            <v>43.2</v>
          </cell>
          <cell r="T928">
            <v>42.72</v>
          </cell>
          <cell r="U928">
            <v>42.24</v>
          </cell>
          <cell r="V928">
            <v>41.76</v>
          </cell>
          <cell r="W928">
            <v>41.28</v>
          </cell>
          <cell r="X928">
            <v>40.800000000000004</v>
          </cell>
          <cell r="Y928">
            <v>40.32</v>
          </cell>
          <cell r="Z928">
            <v>39.840000000000003</v>
          </cell>
          <cell r="AA928">
            <v>39.36</v>
          </cell>
          <cell r="AB928">
            <v>38.880000000000003</v>
          </cell>
          <cell r="AC928">
            <v>38.4</v>
          </cell>
          <cell r="AD928">
            <v>37.92</v>
          </cell>
          <cell r="AE928">
            <v>37.44</v>
          </cell>
          <cell r="AF928">
            <v>36.96</v>
          </cell>
          <cell r="AG928">
            <v>36.480000000000004</v>
          </cell>
          <cell r="AH928">
            <v>36</v>
          </cell>
        </row>
        <row r="929">
          <cell r="B929" t="str">
            <v/>
          </cell>
        </row>
        <row r="930">
          <cell r="B930" t="str">
            <v>Blue ammonia (CCS) - Finance cost - Africa - USD/ton fuel</v>
          </cell>
          <cell r="G930">
            <v>67.320000000000007</v>
          </cell>
          <cell r="H930">
            <v>66.660000000000011</v>
          </cell>
          <cell r="I930">
            <v>66.000000000000014</v>
          </cell>
          <cell r="J930">
            <v>65.34</v>
          </cell>
          <cell r="K930">
            <v>64.680000000000007</v>
          </cell>
          <cell r="L930">
            <v>64.02000000000001</v>
          </cell>
          <cell r="M930">
            <v>63.360000000000007</v>
          </cell>
          <cell r="N930">
            <v>62.70000000000001</v>
          </cell>
          <cell r="O930">
            <v>62.040000000000006</v>
          </cell>
          <cell r="P930">
            <v>61.38000000000001</v>
          </cell>
          <cell r="Q930">
            <v>60.720000000000006</v>
          </cell>
          <cell r="R930">
            <v>60.060000000000009</v>
          </cell>
          <cell r="S930">
            <v>59.400000000000006</v>
          </cell>
          <cell r="T930">
            <v>58.740000000000009</v>
          </cell>
          <cell r="U930">
            <v>58.080000000000005</v>
          </cell>
          <cell r="V930">
            <v>57.420000000000009</v>
          </cell>
          <cell r="W930">
            <v>56.760000000000005</v>
          </cell>
          <cell r="X930">
            <v>56.100000000000009</v>
          </cell>
          <cell r="Y930">
            <v>55.440000000000005</v>
          </cell>
          <cell r="Z930">
            <v>54.780000000000008</v>
          </cell>
          <cell r="AA930">
            <v>54.120000000000005</v>
          </cell>
          <cell r="AB930">
            <v>53.460000000000008</v>
          </cell>
          <cell r="AC930">
            <v>52.800000000000004</v>
          </cell>
          <cell r="AD930">
            <v>52.140000000000008</v>
          </cell>
          <cell r="AE930">
            <v>51.480000000000004</v>
          </cell>
          <cell r="AF930">
            <v>50.820000000000007</v>
          </cell>
          <cell r="AG930">
            <v>50.160000000000004</v>
          </cell>
          <cell r="AH930">
            <v>49.500000000000007</v>
          </cell>
        </row>
        <row r="931">
          <cell r="B931" t="str">
            <v>Blue ammonia (CCS) - Finance cost - Americas - USD/ton fuel</v>
          </cell>
          <cell r="G931">
            <v>67.320000000000007</v>
          </cell>
          <cell r="H931">
            <v>66.660000000000011</v>
          </cell>
          <cell r="I931">
            <v>66.000000000000014</v>
          </cell>
          <cell r="J931">
            <v>65.34</v>
          </cell>
          <cell r="K931">
            <v>64.680000000000007</v>
          </cell>
          <cell r="L931">
            <v>64.02000000000001</v>
          </cell>
          <cell r="M931">
            <v>63.360000000000007</v>
          </cell>
          <cell r="N931">
            <v>62.70000000000001</v>
          </cell>
          <cell r="O931">
            <v>62.040000000000006</v>
          </cell>
          <cell r="P931">
            <v>61.38000000000001</v>
          </cell>
          <cell r="Q931">
            <v>60.720000000000006</v>
          </cell>
          <cell r="R931">
            <v>60.060000000000009</v>
          </cell>
          <cell r="S931">
            <v>59.400000000000006</v>
          </cell>
          <cell r="T931">
            <v>58.740000000000009</v>
          </cell>
          <cell r="U931">
            <v>58.080000000000005</v>
          </cell>
          <cell r="V931">
            <v>57.420000000000009</v>
          </cell>
          <cell r="W931">
            <v>56.760000000000005</v>
          </cell>
          <cell r="X931">
            <v>56.100000000000009</v>
          </cell>
          <cell r="Y931">
            <v>55.440000000000005</v>
          </cell>
          <cell r="Z931">
            <v>54.780000000000008</v>
          </cell>
          <cell r="AA931">
            <v>54.120000000000005</v>
          </cell>
          <cell r="AB931">
            <v>53.460000000000008</v>
          </cell>
          <cell r="AC931">
            <v>52.800000000000004</v>
          </cell>
          <cell r="AD931">
            <v>52.140000000000008</v>
          </cell>
          <cell r="AE931">
            <v>51.480000000000004</v>
          </cell>
          <cell r="AF931">
            <v>50.820000000000007</v>
          </cell>
          <cell r="AG931">
            <v>50.160000000000004</v>
          </cell>
          <cell r="AH931">
            <v>49.500000000000007</v>
          </cell>
        </row>
        <row r="932">
          <cell r="B932" t="str">
            <v>Blue ammonia (CCS) - Finance cost - Asia - USD/ton fuel</v>
          </cell>
          <cell r="G932">
            <v>67.320000000000007</v>
          </cell>
          <cell r="H932">
            <v>66.660000000000011</v>
          </cell>
          <cell r="I932">
            <v>66.000000000000014</v>
          </cell>
          <cell r="J932">
            <v>65.34</v>
          </cell>
          <cell r="K932">
            <v>64.680000000000007</v>
          </cell>
          <cell r="L932">
            <v>64.02000000000001</v>
          </cell>
          <cell r="M932">
            <v>63.360000000000007</v>
          </cell>
          <cell r="N932">
            <v>62.70000000000001</v>
          </cell>
          <cell r="O932">
            <v>62.040000000000006</v>
          </cell>
          <cell r="P932">
            <v>61.38000000000001</v>
          </cell>
          <cell r="Q932">
            <v>60.720000000000006</v>
          </cell>
          <cell r="R932">
            <v>60.060000000000009</v>
          </cell>
          <cell r="S932">
            <v>59.400000000000006</v>
          </cell>
          <cell r="T932">
            <v>58.740000000000009</v>
          </cell>
          <cell r="U932">
            <v>58.080000000000005</v>
          </cell>
          <cell r="V932">
            <v>57.420000000000009</v>
          </cell>
          <cell r="W932">
            <v>56.760000000000005</v>
          </cell>
          <cell r="X932">
            <v>56.100000000000009</v>
          </cell>
          <cell r="Y932">
            <v>55.440000000000005</v>
          </cell>
          <cell r="Z932">
            <v>54.780000000000008</v>
          </cell>
          <cell r="AA932">
            <v>54.120000000000005</v>
          </cell>
          <cell r="AB932">
            <v>53.460000000000008</v>
          </cell>
          <cell r="AC932">
            <v>52.800000000000004</v>
          </cell>
          <cell r="AD932">
            <v>52.140000000000008</v>
          </cell>
          <cell r="AE932">
            <v>51.480000000000004</v>
          </cell>
          <cell r="AF932">
            <v>50.820000000000007</v>
          </cell>
          <cell r="AG932">
            <v>50.160000000000004</v>
          </cell>
          <cell r="AH932">
            <v>49.500000000000007</v>
          </cell>
        </row>
        <row r="933">
          <cell r="B933" t="str">
            <v>Blue ammonia (CCS) - Finance cost - Europe - USD/ton fuel</v>
          </cell>
          <cell r="G933">
            <v>67.320000000000007</v>
          </cell>
          <cell r="H933">
            <v>66.660000000000011</v>
          </cell>
          <cell r="I933">
            <v>66.000000000000014</v>
          </cell>
          <cell r="J933">
            <v>65.34</v>
          </cell>
          <cell r="K933">
            <v>64.680000000000007</v>
          </cell>
          <cell r="L933">
            <v>64.02000000000001</v>
          </cell>
          <cell r="M933">
            <v>63.360000000000007</v>
          </cell>
          <cell r="N933">
            <v>62.70000000000001</v>
          </cell>
          <cell r="O933">
            <v>62.040000000000006</v>
          </cell>
          <cell r="P933">
            <v>61.38000000000001</v>
          </cell>
          <cell r="Q933">
            <v>60.720000000000006</v>
          </cell>
          <cell r="R933">
            <v>60.060000000000009</v>
          </cell>
          <cell r="S933">
            <v>59.400000000000006</v>
          </cell>
          <cell r="T933">
            <v>58.740000000000009</v>
          </cell>
          <cell r="U933">
            <v>58.080000000000005</v>
          </cell>
          <cell r="V933">
            <v>57.420000000000009</v>
          </cell>
          <cell r="W933">
            <v>56.760000000000005</v>
          </cell>
          <cell r="X933">
            <v>56.100000000000009</v>
          </cell>
          <cell r="Y933">
            <v>55.440000000000005</v>
          </cell>
          <cell r="Z933">
            <v>54.780000000000008</v>
          </cell>
          <cell r="AA933">
            <v>54.120000000000005</v>
          </cell>
          <cell r="AB933">
            <v>53.460000000000008</v>
          </cell>
          <cell r="AC933">
            <v>52.800000000000004</v>
          </cell>
          <cell r="AD933">
            <v>52.140000000000008</v>
          </cell>
          <cell r="AE933">
            <v>51.480000000000004</v>
          </cell>
          <cell r="AF933">
            <v>50.820000000000007</v>
          </cell>
          <cell r="AG933">
            <v>50.160000000000004</v>
          </cell>
          <cell r="AH933">
            <v>49.500000000000007</v>
          </cell>
        </row>
        <row r="934">
          <cell r="B934" t="str">
            <v>Blue ammonia (CCS) - Finance cost - Middle East - USD/ton fuel</v>
          </cell>
          <cell r="G934">
            <v>67.320000000000007</v>
          </cell>
          <cell r="H934">
            <v>66.660000000000011</v>
          </cell>
          <cell r="I934">
            <v>66.000000000000014</v>
          </cell>
          <cell r="J934">
            <v>65.34</v>
          </cell>
          <cell r="K934">
            <v>64.680000000000007</v>
          </cell>
          <cell r="L934">
            <v>64.02000000000001</v>
          </cell>
          <cell r="M934">
            <v>63.360000000000007</v>
          </cell>
          <cell r="N934">
            <v>62.70000000000001</v>
          </cell>
          <cell r="O934">
            <v>62.040000000000006</v>
          </cell>
          <cell r="P934">
            <v>61.38000000000001</v>
          </cell>
          <cell r="Q934">
            <v>60.720000000000006</v>
          </cell>
          <cell r="R934">
            <v>60.060000000000009</v>
          </cell>
          <cell r="S934">
            <v>59.400000000000006</v>
          </cell>
          <cell r="T934">
            <v>58.740000000000009</v>
          </cell>
          <cell r="U934">
            <v>58.080000000000005</v>
          </cell>
          <cell r="V934">
            <v>57.420000000000009</v>
          </cell>
          <cell r="W934">
            <v>56.760000000000005</v>
          </cell>
          <cell r="X934">
            <v>56.100000000000009</v>
          </cell>
          <cell r="Y934">
            <v>55.440000000000005</v>
          </cell>
          <cell r="Z934">
            <v>54.780000000000008</v>
          </cell>
          <cell r="AA934">
            <v>54.120000000000005</v>
          </cell>
          <cell r="AB934">
            <v>53.460000000000008</v>
          </cell>
          <cell r="AC934">
            <v>52.800000000000004</v>
          </cell>
          <cell r="AD934">
            <v>52.140000000000008</v>
          </cell>
          <cell r="AE934">
            <v>51.480000000000004</v>
          </cell>
          <cell r="AF934">
            <v>50.820000000000007</v>
          </cell>
          <cell r="AG934">
            <v>50.160000000000004</v>
          </cell>
          <cell r="AH934">
            <v>49.500000000000007</v>
          </cell>
        </row>
        <row r="935">
          <cell r="B935" t="str">
            <v>General - Weighted average cost of capital (WACC) - Africa - %</v>
          </cell>
          <cell r="G935">
            <v>5.5000000000000007E-2</v>
          </cell>
          <cell r="H935">
            <v>5.5000000000000007E-2</v>
          </cell>
          <cell r="I935">
            <v>5.5000000000000007E-2</v>
          </cell>
          <cell r="J935">
            <v>5.5000000000000007E-2</v>
          </cell>
          <cell r="K935">
            <v>5.5000000000000007E-2</v>
          </cell>
          <cell r="L935">
            <v>5.5000000000000007E-2</v>
          </cell>
          <cell r="M935">
            <v>5.5000000000000007E-2</v>
          </cell>
          <cell r="N935">
            <v>5.5000000000000007E-2</v>
          </cell>
          <cell r="O935">
            <v>5.5000000000000007E-2</v>
          </cell>
          <cell r="P935">
            <v>5.5000000000000007E-2</v>
          </cell>
          <cell r="Q935">
            <v>5.5000000000000007E-2</v>
          </cell>
          <cell r="R935">
            <v>5.5000000000000007E-2</v>
          </cell>
          <cell r="S935">
            <v>5.5000000000000007E-2</v>
          </cell>
          <cell r="T935">
            <v>5.5000000000000007E-2</v>
          </cell>
          <cell r="U935">
            <v>5.5000000000000007E-2</v>
          </cell>
          <cell r="V935">
            <v>5.5000000000000007E-2</v>
          </cell>
          <cell r="W935">
            <v>5.5000000000000007E-2</v>
          </cell>
          <cell r="X935">
            <v>5.5000000000000007E-2</v>
          </cell>
          <cell r="Y935">
            <v>5.5000000000000007E-2</v>
          </cell>
          <cell r="Z935">
            <v>5.5000000000000007E-2</v>
          </cell>
          <cell r="AA935">
            <v>5.5000000000000007E-2</v>
          </cell>
          <cell r="AB935">
            <v>5.5000000000000007E-2</v>
          </cell>
          <cell r="AC935">
            <v>5.5000000000000007E-2</v>
          </cell>
          <cell r="AD935">
            <v>5.5000000000000007E-2</v>
          </cell>
          <cell r="AE935">
            <v>5.5000000000000007E-2</v>
          </cell>
          <cell r="AF935">
            <v>5.5000000000000007E-2</v>
          </cell>
          <cell r="AG935">
            <v>5.5000000000000007E-2</v>
          </cell>
          <cell r="AH935">
            <v>5.5000000000000007E-2</v>
          </cell>
        </row>
        <row r="936">
          <cell r="B936" t="str">
            <v>General - Weighted average cost of capital (WACC) - Americas - %</v>
          </cell>
          <cell r="G936">
            <v>5.5000000000000007E-2</v>
          </cell>
          <cell r="H936">
            <v>5.5000000000000007E-2</v>
          </cell>
          <cell r="I936">
            <v>5.5000000000000007E-2</v>
          </cell>
          <cell r="J936">
            <v>5.5000000000000007E-2</v>
          </cell>
          <cell r="K936">
            <v>5.5000000000000007E-2</v>
          </cell>
          <cell r="L936">
            <v>5.5000000000000007E-2</v>
          </cell>
          <cell r="M936">
            <v>5.5000000000000007E-2</v>
          </cell>
          <cell r="N936">
            <v>5.5000000000000007E-2</v>
          </cell>
          <cell r="O936">
            <v>5.5000000000000007E-2</v>
          </cell>
          <cell r="P936">
            <v>5.5000000000000007E-2</v>
          </cell>
          <cell r="Q936">
            <v>5.5000000000000007E-2</v>
          </cell>
          <cell r="R936">
            <v>5.5000000000000007E-2</v>
          </cell>
          <cell r="S936">
            <v>5.5000000000000007E-2</v>
          </cell>
          <cell r="T936">
            <v>5.5000000000000007E-2</v>
          </cell>
          <cell r="U936">
            <v>5.5000000000000007E-2</v>
          </cell>
          <cell r="V936">
            <v>5.5000000000000007E-2</v>
          </cell>
          <cell r="W936">
            <v>5.5000000000000007E-2</v>
          </cell>
          <cell r="X936">
            <v>5.5000000000000007E-2</v>
          </cell>
          <cell r="Y936">
            <v>5.5000000000000007E-2</v>
          </cell>
          <cell r="Z936">
            <v>5.5000000000000007E-2</v>
          </cell>
          <cell r="AA936">
            <v>5.5000000000000007E-2</v>
          </cell>
          <cell r="AB936">
            <v>5.5000000000000007E-2</v>
          </cell>
          <cell r="AC936">
            <v>5.5000000000000007E-2</v>
          </cell>
          <cell r="AD936">
            <v>5.5000000000000007E-2</v>
          </cell>
          <cell r="AE936">
            <v>5.5000000000000007E-2</v>
          </cell>
          <cell r="AF936">
            <v>5.5000000000000007E-2</v>
          </cell>
          <cell r="AG936">
            <v>5.5000000000000007E-2</v>
          </cell>
          <cell r="AH936">
            <v>5.5000000000000007E-2</v>
          </cell>
        </row>
        <row r="937">
          <cell r="B937" t="str">
            <v>General - Weighted average cost of capital (WACC) - Asia - %</v>
          </cell>
          <cell r="G937">
            <v>5.5000000000000007E-2</v>
          </cell>
          <cell r="H937">
            <v>5.5000000000000007E-2</v>
          </cell>
          <cell r="I937">
            <v>5.5000000000000007E-2</v>
          </cell>
          <cell r="J937">
            <v>5.5000000000000007E-2</v>
          </cell>
          <cell r="K937">
            <v>5.5000000000000007E-2</v>
          </cell>
          <cell r="L937">
            <v>5.5000000000000007E-2</v>
          </cell>
          <cell r="M937">
            <v>5.5000000000000007E-2</v>
          </cell>
          <cell r="N937">
            <v>5.5000000000000007E-2</v>
          </cell>
          <cell r="O937">
            <v>5.5000000000000007E-2</v>
          </cell>
          <cell r="P937">
            <v>5.5000000000000007E-2</v>
          </cell>
          <cell r="Q937">
            <v>5.5000000000000007E-2</v>
          </cell>
          <cell r="R937">
            <v>5.5000000000000007E-2</v>
          </cell>
          <cell r="S937">
            <v>5.5000000000000007E-2</v>
          </cell>
          <cell r="T937">
            <v>5.5000000000000007E-2</v>
          </cell>
          <cell r="U937">
            <v>5.5000000000000007E-2</v>
          </cell>
          <cell r="V937">
            <v>5.5000000000000007E-2</v>
          </cell>
          <cell r="W937">
            <v>5.5000000000000007E-2</v>
          </cell>
          <cell r="X937">
            <v>5.5000000000000007E-2</v>
          </cell>
          <cell r="Y937">
            <v>5.5000000000000007E-2</v>
          </cell>
          <cell r="Z937">
            <v>5.5000000000000007E-2</v>
          </cell>
          <cell r="AA937">
            <v>5.5000000000000007E-2</v>
          </cell>
          <cell r="AB937">
            <v>5.5000000000000007E-2</v>
          </cell>
          <cell r="AC937">
            <v>5.5000000000000007E-2</v>
          </cell>
          <cell r="AD937">
            <v>5.5000000000000007E-2</v>
          </cell>
          <cell r="AE937">
            <v>5.5000000000000007E-2</v>
          </cell>
          <cell r="AF937">
            <v>5.5000000000000007E-2</v>
          </cell>
          <cell r="AG937">
            <v>5.5000000000000007E-2</v>
          </cell>
          <cell r="AH937">
            <v>5.5000000000000007E-2</v>
          </cell>
        </row>
        <row r="938">
          <cell r="B938" t="str">
            <v>General - Weighted average cost of capital (WACC) - Europe - %</v>
          </cell>
          <cell r="G938">
            <v>5.5000000000000007E-2</v>
          </cell>
          <cell r="H938">
            <v>5.5000000000000007E-2</v>
          </cell>
          <cell r="I938">
            <v>5.5000000000000007E-2</v>
          </cell>
          <cell r="J938">
            <v>5.5000000000000007E-2</v>
          </cell>
          <cell r="K938">
            <v>5.5000000000000007E-2</v>
          </cell>
          <cell r="L938">
            <v>5.5000000000000007E-2</v>
          </cell>
          <cell r="M938">
            <v>5.5000000000000007E-2</v>
          </cell>
          <cell r="N938">
            <v>5.5000000000000007E-2</v>
          </cell>
          <cell r="O938">
            <v>5.5000000000000007E-2</v>
          </cell>
          <cell r="P938">
            <v>5.5000000000000007E-2</v>
          </cell>
          <cell r="Q938">
            <v>5.5000000000000007E-2</v>
          </cell>
          <cell r="R938">
            <v>5.5000000000000007E-2</v>
          </cell>
          <cell r="S938">
            <v>5.5000000000000007E-2</v>
          </cell>
          <cell r="T938">
            <v>5.5000000000000007E-2</v>
          </cell>
          <cell r="U938">
            <v>5.5000000000000007E-2</v>
          </cell>
          <cell r="V938">
            <v>5.5000000000000007E-2</v>
          </cell>
          <cell r="W938">
            <v>5.5000000000000007E-2</v>
          </cell>
          <cell r="X938">
            <v>5.5000000000000007E-2</v>
          </cell>
          <cell r="Y938">
            <v>5.5000000000000007E-2</v>
          </cell>
          <cell r="Z938">
            <v>5.5000000000000007E-2</v>
          </cell>
          <cell r="AA938">
            <v>5.5000000000000007E-2</v>
          </cell>
          <cell r="AB938">
            <v>5.5000000000000007E-2</v>
          </cell>
          <cell r="AC938">
            <v>5.5000000000000007E-2</v>
          </cell>
          <cell r="AD938">
            <v>5.5000000000000007E-2</v>
          </cell>
          <cell r="AE938">
            <v>5.5000000000000007E-2</v>
          </cell>
          <cell r="AF938">
            <v>5.5000000000000007E-2</v>
          </cell>
          <cell r="AG938">
            <v>5.5000000000000007E-2</v>
          </cell>
          <cell r="AH938">
            <v>5.5000000000000007E-2</v>
          </cell>
        </row>
        <row r="939">
          <cell r="B939" t="str">
            <v>General - Weighted average cost of capital (WACC) - Middle East - %</v>
          </cell>
          <cell r="G939">
            <v>5.5000000000000007E-2</v>
          </cell>
          <cell r="H939">
            <v>5.5000000000000007E-2</v>
          </cell>
          <cell r="I939">
            <v>5.5000000000000007E-2</v>
          </cell>
          <cell r="J939">
            <v>5.5000000000000007E-2</v>
          </cell>
          <cell r="K939">
            <v>5.5000000000000007E-2</v>
          </cell>
          <cell r="L939">
            <v>5.5000000000000007E-2</v>
          </cell>
          <cell r="M939">
            <v>5.5000000000000007E-2</v>
          </cell>
          <cell r="N939">
            <v>5.5000000000000007E-2</v>
          </cell>
          <cell r="O939">
            <v>5.5000000000000007E-2</v>
          </cell>
          <cell r="P939">
            <v>5.5000000000000007E-2</v>
          </cell>
          <cell r="Q939">
            <v>5.5000000000000007E-2</v>
          </cell>
          <cell r="R939">
            <v>5.5000000000000007E-2</v>
          </cell>
          <cell r="S939">
            <v>5.5000000000000007E-2</v>
          </cell>
          <cell r="T939">
            <v>5.5000000000000007E-2</v>
          </cell>
          <cell r="U939">
            <v>5.5000000000000007E-2</v>
          </cell>
          <cell r="V939">
            <v>5.5000000000000007E-2</v>
          </cell>
          <cell r="W939">
            <v>5.5000000000000007E-2</v>
          </cell>
          <cell r="X939">
            <v>5.5000000000000007E-2</v>
          </cell>
          <cell r="Y939">
            <v>5.5000000000000007E-2</v>
          </cell>
          <cell r="Z939">
            <v>5.5000000000000007E-2</v>
          </cell>
          <cell r="AA939">
            <v>5.5000000000000007E-2</v>
          </cell>
          <cell r="AB939">
            <v>5.5000000000000007E-2</v>
          </cell>
          <cell r="AC939">
            <v>5.5000000000000007E-2</v>
          </cell>
          <cell r="AD939">
            <v>5.5000000000000007E-2</v>
          </cell>
          <cell r="AE939">
            <v>5.5000000000000007E-2</v>
          </cell>
          <cell r="AF939">
            <v>5.5000000000000007E-2</v>
          </cell>
          <cell r="AG939">
            <v>5.5000000000000007E-2</v>
          </cell>
          <cell r="AH939">
            <v>5.5000000000000007E-2</v>
          </cell>
        </row>
        <row r="940">
          <cell r="B940" t="str">
            <v>Blue ammonia (CCS) - Total CAPEX - ATR - Global - USD/ton fuel</v>
          </cell>
          <cell r="G940">
            <v>1224</v>
          </cell>
          <cell r="H940">
            <v>1212</v>
          </cell>
          <cell r="I940">
            <v>1200</v>
          </cell>
          <cell r="J940">
            <v>1188</v>
          </cell>
          <cell r="K940">
            <v>1176</v>
          </cell>
          <cell r="L940">
            <v>1164</v>
          </cell>
          <cell r="M940">
            <v>1152</v>
          </cell>
          <cell r="N940">
            <v>1140</v>
          </cell>
          <cell r="O940">
            <v>1128</v>
          </cell>
          <cell r="P940">
            <v>1116</v>
          </cell>
          <cell r="Q940">
            <v>1104</v>
          </cell>
          <cell r="R940">
            <v>1092</v>
          </cell>
          <cell r="S940">
            <v>1080</v>
          </cell>
          <cell r="T940">
            <v>1068</v>
          </cell>
          <cell r="U940">
            <v>1056</v>
          </cell>
          <cell r="V940">
            <v>1044</v>
          </cell>
          <cell r="W940">
            <v>1032</v>
          </cell>
          <cell r="X940">
            <v>1020</v>
          </cell>
          <cell r="Y940">
            <v>1008</v>
          </cell>
          <cell r="Z940">
            <v>996</v>
          </cell>
          <cell r="AA940">
            <v>984</v>
          </cell>
          <cell r="AB940">
            <v>972</v>
          </cell>
          <cell r="AC940">
            <v>960</v>
          </cell>
          <cell r="AD940">
            <v>948</v>
          </cell>
          <cell r="AE940">
            <v>936</v>
          </cell>
          <cell r="AF940">
            <v>924</v>
          </cell>
          <cell r="AG940">
            <v>912</v>
          </cell>
          <cell r="AH940">
            <v>900</v>
          </cell>
        </row>
        <row r="941">
          <cell r="B941" t="str">
            <v/>
          </cell>
        </row>
        <row r="942">
          <cell r="B942" t="str">
            <v>Blue ammonia (CCS) - Energy cost - Africa - USD/ton fuel</v>
          </cell>
          <cell r="G942">
            <v>17.867280920737365</v>
          </cell>
          <cell r="H942">
            <v>15.872255243663167</v>
          </cell>
          <cell r="I942">
            <v>13.849803523848989</v>
          </cell>
          <cell r="J942">
            <v>13.342812501732114</v>
          </cell>
          <cell r="K942">
            <v>12.82817603611222</v>
          </cell>
          <cell r="L942">
            <v>12.305894126989232</v>
          </cell>
          <cell r="M942">
            <v>11.775966774363042</v>
          </cell>
          <cell r="N942">
            <v>11.238393978233969</v>
          </cell>
          <cell r="O942">
            <v>10.965084385693483</v>
          </cell>
          <cell r="P942">
            <v>10.687507096818798</v>
          </cell>
          <cell r="Q942">
            <v>10.405662111609747</v>
          </cell>
          <cell r="R942">
            <v>10.119549430066629</v>
          </cell>
          <cell r="S942">
            <v>9.8291690521893571</v>
          </cell>
          <cell r="T942">
            <v>9.7220148071278043</v>
          </cell>
          <cell r="U942">
            <v>9.6128518275290613</v>
          </cell>
          <cell r="V942">
            <v>9.5016801133930766</v>
          </cell>
          <cell r="W942">
            <v>9.3884996647198378</v>
          </cell>
          <cell r="X942">
            <v>9.2733104815094478</v>
          </cell>
          <cell r="Y942">
            <v>9.1512570840764056</v>
          </cell>
          <cell r="Z942">
            <v>9.0271381628700507</v>
          </cell>
          <cell r="AA942">
            <v>8.9009537178903244</v>
          </cell>
          <cell r="AB942">
            <v>8.7727037491373387</v>
          </cell>
          <cell r="AC942">
            <v>8.6423882566110102</v>
          </cell>
          <cell r="AD942">
            <v>8.6025576664214682</v>
          </cell>
          <cell r="AE942">
            <v>8.5617132618462435</v>
          </cell>
          <cell r="AF942">
            <v>8.5198550428852791</v>
          </cell>
          <cell r="AG942">
            <v>8.4769830095386158</v>
          </cell>
          <cell r="AH942">
            <v>8.4330971618062929</v>
          </cell>
        </row>
        <row r="943">
          <cell r="B943" t="str">
            <v>Blue ammonia (CCS) - Energy cost - Americas - USD/ton fuel</v>
          </cell>
          <cell r="G943">
            <v>11.226278469168729</v>
          </cell>
          <cell r="H943">
            <v>11.065652798807578</v>
          </cell>
          <cell r="I943">
            <v>10.901988166895178</v>
          </cell>
          <cell r="J943">
            <v>10.571634583043664</v>
          </cell>
          <cell r="K943">
            <v>10.236143960841156</v>
          </cell>
          <cell r="L943">
            <v>9.8955163002875945</v>
          </cell>
          <cell r="M943">
            <v>9.5497516013831536</v>
          </cell>
          <cell r="N943">
            <v>9.1988498641275722</v>
          </cell>
          <cell r="O943">
            <v>9.0573413476354094</v>
          </cell>
          <cell r="P943">
            <v>8.913360764955149</v>
          </cell>
          <cell r="Q943">
            <v>8.7669081160867783</v>
          </cell>
          <cell r="R943">
            <v>8.6179834010302976</v>
          </cell>
          <cell r="S943">
            <v>8.4665866197856907</v>
          </cell>
          <cell r="T943">
            <v>8.351574100239965</v>
          </cell>
          <cell r="U943">
            <v>8.2345576630348862</v>
          </cell>
          <cell r="V943">
            <v>8.1155373081704401</v>
          </cell>
          <cell r="W943">
            <v>7.9945130356466576</v>
          </cell>
          <cell r="X943">
            <v>7.8714848454635034</v>
          </cell>
          <cell r="Y943">
            <v>7.8487622953688296</v>
          </cell>
          <cell r="Z943">
            <v>7.8252324306293977</v>
          </cell>
          <cell r="AA943">
            <v>7.8008952512452474</v>
          </cell>
          <cell r="AB943">
            <v>7.7757507572162998</v>
          </cell>
          <cell r="AC943">
            <v>7.7497989485426038</v>
          </cell>
          <cell r="AD943">
            <v>7.7404860793192238</v>
          </cell>
          <cell r="AE943">
            <v>7.730564148338531</v>
          </cell>
          <cell r="AF943">
            <v>7.7200331556005235</v>
          </cell>
          <cell r="AG943">
            <v>7.7088931011052031</v>
          </cell>
          <cell r="AH943">
            <v>7.697143984852568</v>
          </cell>
        </row>
        <row r="944">
          <cell r="B944" t="str">
            <v>Blue ammonia (CCS) - Energy cost - Asia - USD/ton fuel</v>
          </cell>
          <cell r="G944">
            <v>19.872130361881634</v>
          </cell>
          <cell r="H944">
            <v>18.244351644545489</v>
          </cell>
          <cell r="I944">
            <v>16.593746148998299</v>
          </cell>
          <cell r="J944">
            <v>16.062156063477747</v>
          </cell>
          <cell r="K944">
            <v>15.522378202158958</v>
          </cell>
          <cell r="L944">
            <v>14.97441256504127</v>
          </cell>
          <cell r="M944">
            <v>14.418259152125017</v>
          </cell>
          <cell r="N944">
            <v>13.853917963410526</v>
          </cell>
          <cell r="O944">
            <v>13.492510997352365</v>
          </cell>
          <cell r="P944">
            <v>13.125538889016989</v>
          </cell>
          <cell r="Q944">
            <v>12.753001638404376</v>
          </cell>
          <cell r="R944">
            <v>12.374899245514236</v>
          </cell>
          <cell r="S944">
            <v>11.991231710346744</v>
          </cell>
          <cell r="T944">
            <v>11.829061229244928</v>
          </cell>
          <cell r="U944">
            <v>11.664061294978296</v>
          </cell>
          <cell r="V944">
            <v>11.496231907546957</v>
          </cell>
          <cell r="W944">
            <v>11.325573066950694</v>
          </cell>
          <cell r="X944">
            <v>11.152084773189772</v>
          </cell>
          <cell r="Y944">
            <v>10.964462644581344</v>
          </cell>
          <cell r="Z944">
            <v>10.773878847817741</v>
          </cell>
          <cell r="AA944">
            <v>10.580333382898834</v>
          </cell>
          <cell r="AB944">
            <v>10.383826249824724</v>
          </cell>
          <cell r="AC944">
            <v>10.184357448595293</v>
          </cell>
          <cell r="AD944">
            <v>10.123033782003386</v>
          </cell>
          <cell r="AE944">
            <v>10.06035193365153</v>
          </cell>
          <cell r="AF944">
            <v>9.9963119035398336</v>
          </cell>
          <cell r="AG944">
            <v>9.9309136916682554</v>
          </cell>
          <cell r="AH944">
            <v>9.8641572980367531</v>
          </cell>
        </row>
        <row r="945">
          <cell r="B945" t="str">
            <v>Blue ammonia (CCS) - Energy cost - Europe - USD/ton fuel</v>
          </cell>
          <cell r="G945">
            <v>14.793724639473741</v>
          </cell>
          <cell r="H945">
            <v>14.248644993100269</v>
          </cell>
          <cell r="I945">
            <v>13.6952306628685</v>
          </cell>
          <cell r="J945">
            <v>13.258297945690021</v>
          </cell>
          <cell r="K945">
            <v>12.814630753587902</v>
          </cell>
          <cell r="L945">
            <v>12.364229086562352</v>
          </cell>
          <cell r="M945">
            <v>11.907092944613126</v>
          </cell>
          <cell r="N945">
            <v>11.443222327740539</v>
          </cell>
          <cell r="O945">
            <v>11.28948954583152</v>
          </cell>
          <cell r="P945">
            <v>11.132958590985378</v>
          </cell>
          <cell r="Q945">
            <v>10.973629463201808</v>
          </cell>
          <cell r="R945">
            <v>10.811502162480879</v>
          </cell>
          <cell r="S945">
            <v>10.6465766888227</v>
          </cell>
          <cell r="T945">
            <v>10.572437324224747</v>
          </cell>
          <cell r="U945">
            <v>10.496627308159328</v>
          </cell>
          <cell r="V945">
            <v>10.419146640626431</v>
          </cell>
          <cell r="W945">
            <v>10.339995321626002</v>
          </cell>
          <cell r="X945">
            <v>10.259173351157992</v>
          </cell>
          <cell r="Y945">
            <v>10.166707668564863</v>
          </cell>
          <cell r="Z945">
            <v>10.072454690519889</v>
          </cell>
          <cell r="AA945">
            <v>9.9764144170231752</v>
          </cell>
          <cell r="AB945">
            <v>9.8785868480745904</v>
          </cell>
          <cell r="AC945">
            <v>9.7789719836742535</v>
          </cell>
          <cell r="AD945">
            <v>9.7200956374480363</v>
          </cell>
          <cell r="AE945">
            <v>9.6599152436520619</v>
          </cell>
          <cell r="AF945">
            <v>9.5984308022864369</v>
          </cell>
          <cell r="AG945">
            <v>9.5356423133511168</v>
          </cell>
          <cell r="AH945">
            <v>9.4715497768460644</v>
          </cell>
        </row>
        <row r="946">
          <cell r="B946" t="str">
            <v>Blue ammonia (CCS) - Energy cost - Middle East - USD/ton fuel</v>
          </cell>
          <cell r="G946">
            <v>11.32821690198819</v>
          </cell>
          <cell r="H946">
            <v>10.899104493333713</v>
          </cell>
          <cell r="I946">
            <v>10.463457629588175</v>
          </cell>
          <cell r="J946">
            <v>10.193503983682477</v>
          </cell>
          <cell r="K946">
            <v>9.9192239297747431</v>
          </cell>
          <cell r="L946">
            <v>9.6406174678649137</v>
          </cell>
          <cell r="M946">
            <v>9.3576845979530212</v>
          </cell>
          <cell r="N946">
            <v>9.070425320039087</v>
          </cell>
          <cell r="O946">
            <v>8.8815408742669817</v>
          </cell>
          <cell r="P946">
            <v>8.6896058122959268</v>
          </cell>
          <cell r="Q946">
            <v>8.4946201341257623</v>
          </cell>
          <cell r="R946">
            <v>8.2965838397566394</v>
          </cell>
          <cell r="S946">
            <v>8.0954969291885046</v>
          </cell>
          <cell r="T946">
            <v>8.0176081554952567</v>
          </cell>
          <cell r="U946">
            <v>7.9381898349171207</v>
          </cell>
          <cell r="V946">
            <v>7.8572419674541525</v>
          </cell>
          <cell r="W946">
            <v>7.7747645531062348</v>
          </cell>
          <cell r="X946">
            <v>7.6907575918734272</v>
          </cell>
          <cell r="Y946">
            <v>7.5644978724311542</v>
          </cell>
          <cell r="Z946">
            <v>7.4362323112347379</v>
          </cell>
          <cell r="AA946">
            <v>7.3059609082841179</v>
          </cell>
          <cell r="AB946">
            <v>7.1736836635793342</v>
          </cell>
          <cell r="AC946">
            <v>7.0394005771203174</v>
          </cell>
          <cell r="AD946">
            <v>6.9970115991874904</v>
          </cell>
          <cell r="AE946">
            <v>6.9536838243900316</v>
          </cell>
          <cell r="AF946">
            <v>6.909417252727919</v>
          </cell>
          <cell r="AG946">
            <v>6.8642118842011719</v>
          </cell>
          <cell r="AH946">
            <v>6.8180677188098118</v>
          </cell>
        </row>
        <row r="947">
          <cell r="B947" t="str">
            <v>Renewable electricity - Cost of electricity - Africa - USD/MWh</v>
          </cell>
          <cell r="G947">
            <v>58.389806930514169</v>
          </cell>
          <cell r="H947">
            <v>51.533296245659585</v>
          </cell>
          <cell r="I947">
            <v>44.676785560803182</v>
          </cell>
          <cell r="J947">
            <v>42.765424685038852</v>
          </cell>
          <cell r="K947">
            <v>40.854063809274521</v>
          </cell>
          <cell r="L947">
            <v>38.942702933510191</v>
          </cell>
          <cell r="M947">
            <v>37.031342057745405</v>
          </cell>
          <cell r="N947">
            <v>35.119981181981075</v>
          </cell>
          <cell r="O947">
            <v>34.053057098426962</v>
          </cell>
          <cell r="P947">
            <v>32.986133014872848</v>
          </cell>
          <cell r="Q947">
            <v>31.919208931318281</v>
          </cell>
          <cell r="R947">
            <v>30.852284847764167</v>
          </cell>
          <cell r="S947">
            <v>29.785360764210168</v>
          </cell>
          <cell r="T947">
            <v>29.283177129903038</v>
          </cell>
          <cell r="U947">
            <v>28.780993495596022</v>
          </cell>
          <cell r="V947">
            <v>28.278809861288892</v>
          </cell>
          <cell r="W947">
            <v>27.776626226981762</v>
          </cell>
          <cell r="X947">
            <v>27.274442592674859</v>
          </cell>
          <cell r="Y947">
            <v>26.758061649346246</v>
          </cell>
          <cell r="Z947">
            <v>26.241680706017632</v>
          </cell>
          <cell r="AA947">
            <v>25.725299762688792</v>
          </cell>
          <cell r="AB947">
            <v>25.208918819360179</v>
          </cell>
          <cell r="AC947">
            <v>24.692537876031452</v>
          </cell>
          <cell r="AD947">
            <v>24.439084279606391</v>
          </cell>
          <cell r="AE947">
            <v>24.185630683181444</v>
          </cell>
          <cell r="AF947">
            <v>23.932177086756383</v>
          </cell>
          <cell r="AG947">
            <v>23.678723490331322</v>
          </cell>
          <cell r="AH947">
            <v>23.425269893906375</v>
          </cell>
        </row>
        <row r="948">
          <cell r="B948" t="str">
            <v>Renewable electricity - Cost of electricity - Americas - USD/MWh</v>
          </cell>
          <cell r="G948">
            <v>36.687184539767031</v>
          </cell>
          <cell r="H948">
            <v>35.927444151972622</v>
          </cell>
          <cell r="I948">
            <v>35.167703764177986</v>
          </cell>
          <cell r="J948">
            <v>33.883444176422017</v>
          </cell>
          <cell r="K948">
            <v>32.599184588666049</v>
          </cell>
          <cell r="L948">
            <v>31.31492500091008</v>
          </cell>
          <cell r="M948">
            <v>30.030665413154566</v>
          </cell>
          <cell r="N948">
            <v>28.746405825398597</v>
          </cell>
          <cell r="O948">
            <v>28.128389278370832</v>
          </cell>
          <cell r="P948">
            <v>27.510372731343068</v>
          </cell>
          <cell r="Q948">
            <v>26.892356184315304</v>
          </cell>
          <cell r="R948">
            <v>26.27433963728754</v>
          </cell>
          <cell r="S948">
            <v>25.656323090259662</v>
          </cell>
          <cell r="T948">
            <v>25.155343675421591</v>
          </cell>
          <cell r="U948">
            <v>24.65436426058352</v>
          </cell>
          <cell r="V948">
            <v>24.153384845745336</v>
          </cell>
          <cell r="W948">
            <v>23.652405430907265</v>
          </cell>
          <cell r="X948">
            <v>23.151426016069138</v>
          </cell>
          <cell r="Y948">
            <v>22.949597354879643</v>
          </cell>
          <cell r="Z948">
            <v>22.747768693690148</v>
          </cell>
          <cell r="AA948">
            <v>22.54594003250071</v>
          </cell>
          <cell r="AB948">
            <v>22.344111371311214</v>
          </cell>
          <cell r="AC948">
            <v>22.142282710121719</v>
          </cell>
          <cell r="AD948">
            <v>21.990017270793203</v>
          </cell>
          <cell r="AE948">
            <v>21.837751831464743</v>
          </cell>
          <cell r="AF948">
            <v>21.685486392136283</v>
          </cell>
          <cell r="AG948">
            <v>21.533220952807824</v>
          </cell>
          <cell r="AH948">
            <v>21.380955513479364</v>
          </cell>
        </row>
        <row r="949">
          <cell r="B949" t="str">
            <v>Renewable electricity - Cost of electricity - Asia - USD/MWh</v>
          </cell>
          <cell r="G949">
            <v>64.941602489809156</v>
          </cell>
          <cell r="H949">
            <v>59.234907936835953</v>
          </cell>
          <cell r="I949">
            <v>53.528213383865477</v>
          </cell>
          <cell r="J949">
            <v>51.481269434223577</v>
          </cell>
          <cell r="K949">
            <v>49.434325484582587</v>
          </cell>
          <cell r="L949">
            <v>47.387381534940687</v>
          </cell>
          <cell r="M949">
            <v>45.340437585298787</v>
          </cell>
          <cell r="N949">
            <v>43.293493635657796</v>
          </cell>
          <cell r="O949">
            <v>41.902208066311687</v>
          </cell>
          <cell r="P949">
            <v>40.510922496966032</v>
          </cell>
          <cell r="Q949">
            <v>39.119636927620832</v>
          </cell>
          <cell r="R949">
            <v>37.728351358275177</v>
          </cell>
          <cell r="S949">
            <v>36.337065788929522</v>
          </cell>
          <cell r="T949">
            <v>35.629702497725702</v>
          </cell>
          <cell r="U949">
            <v>34.922339206521883</v>
          </cell>
          <cell r="V949">
            <v>34.214975915318291</v>
          </cell>
          <cell r="W949">
            <v>33.507612624114472</v>
          </cell>
          <cell r="X949">
            <v>32.800249332911108</v>
          </cell>
          <cell r="Y949">
            <v>32.059832294097532</v>
          </cell>
          <cell r="Z949">
            <v>31.319415255284184</v>
          </cell>
          <cell r="AA949">
            <v>30.578998216470609</v>
          </cell>
          <cell r="AB949">
            <v>29.838581177657261</v>
          </cell>
          <cell r="AC949">
            <v>29.098164138843686</v>
          </cell>
          <cell r="AD949">
            <v>28.758618698873192</v>
          </cell>
          <cell r="AE949">
            <v>28.419073258902586</v>
          </cell>
          <cell r="AF949">
            <v>28.079527818932092</v>
          </cell>
          <cell r="AG949">
            <v>27.739982378961599</v>
          </cell>
          <cell r="AH949">
            <v>27.400436938990993</v>
          </cell>
        </row>
        <row r="950">
          <cell r="B950" t="str">
            <v>Renewable electricity - Cost of electricity - Europe - USD/MWh</v>
          </cell>
          <cell r="G950">
            <v>48.345505357757247</v>
          </cell>
          <cell r="H950">
            <v>46.261834393182653</v>
          </cell>
          <cell r="I950">
            <v>44.178163428608059</v>
          </cell>
          <cell r="J950">
            <v>42.49454469772445</v>
          </cell>
          <cell r="K950">
            <v>40.810925966840387</v>
          </cell>
          <cell r="L950">
            <v>39.127307235956778</v>
          </cell>
          <cell r="M950">
            <v>37.443688505072714</v>
          </cell>
          <cell r="N950">
            <v>35.760069774189105</v>
          </cell>
          <cell r="O950">
            <v>35.060526539849434</v>
          </cell>
          <cell r="P950">
            <v>34.360983305510445</v>
          </cell>
          <cell r="Q950">
            <v>33.661440071171228</v>
          </cell>
          <cell r="R950">
            <v>32.961896836832011</v>
          </cell>
          <cell r="S950">
            <v>32.262353602493022</v>
          </cell>
          <cell r="T950">
            <v>31.844690735616723</v>
          </cell>
          <cell r="U950">
            <v>31.427027868740538</v>
          </cell>
          <cell r="V950">
            <v>31.009365001864353</v>
          </cell>
          <cell r="W950">
            <v>30.591702134988168</v>
          </cell>
          <cell r="X950">
            <v>30.174039268111756</v>
          </cell>
          <cell r="Y950">
            <v>29.72721540516045</v>
          </cell>
          <cell r="Z950">
            <v>29.280391542209031</v>
          </cell>
          <cell r="AA950">
            <v>28.833567679257726</v>
          </cell>
          <cell r="AB950">
            <v>28.386743816306307</v>
          </cell>
          <cell r="AC950">
            <v>27.939919953355002</v>
          </cell>
          <cell r="AD950">
            <v>27.613908060931863</v>
          </cell>
          <cell r="AE950">
            <v>27.28789616850861</v>
          </cell>
          <cell r="AF950">
            <v>26.96188427608547</v>
          </cell>
          <cell r="AG950">
            <v>26.635872383662331</v>
          </cell>
          <cell r="AH950">
            <v>26.309860491239078</v>
          </cell>
        </row>
        <row r="951">
          <cell r="B951" t="str">
            <v>Renewable electricity - Cost of electricity - Middle East - USD/MWh</v>
          </cell>
          <cell r="G951">
            <v>37.020316673163961</v>
          </cell>
          <cell r="H951">
            <v>35.386702900434102</v>
          </cell>
          <cell r="I951">
            <v>33.753089127703788</v>
          </cell>
          <cell r="J951">
            <v>32.671487127187447</v>
          </cell>
          <cell r="K951">
            <v>31.589885126671106</v>
          </cell>
          <cell r="L951">
            <v>30.508283126154765</v>
          </cell>
          <cell r="M951">
            <v>29.426681125638424</v>
          </cell>
          <cell r="N951">
            <v>28.345079125122083</v>
          </cell>
          <cell r="O951">
            <v>27.58242507536329</v>
          </cell>
          <cell r="P951">
            <v>26.819771025604723</v>
          </cell>
          <cell r="Q951">
            <v>26.057116975845929</v>
          </cell>
          <cell r="R951">
            <v>25.294462926087363</v>
          </cell>
          <cell r="S951">
            <v>24.531808876328796</v>
          </cell>
          <cell r="T951">
            <v>24.149422155106208</v>
          </cell>
          <cell r="U951">
            <v>23.76703543388362</v>
          </cell>
          <cell r="V951">
            <v>23.384648712661146</v>
          </cell>
          <cell r="W951">
            <v>23.002261991438559</v>
          </cell>
          <cell r="X951">
            <v>22.619875270215971</v>
          </cell>
          <cell r="Y951">
            <v>22.118414831670066</v>
          </cell>
          <cell r="Z951">
            <v>21.616954393124274</v>
          </cell>
          <cell r="AA951">
            <v>21.115493954578369</v>
          </cell>
          <cell r="AB951">
            <v>20.614033516032578</v>
          </cell>
          <cell r="AC951">
            <v>20.112573077486616</v>
          </cell>
          <cell r="AD951">
            <v>19.877873861328055</v>
          </cell>
          <cell r="AE951">
            <v>19.643174645169552</v>
          </cell>
          <cell r="AF951">
            <v>19.408475429010991</v>
          </cell>
          <cell r="AG951">
            <v>19.173776212852431</v>
          </cell>
          <cell r="AH951">
            <v>18.939076996693927</v>
          </cell>
        </row>
        <row r="952">
          <cell r="B952" t="str">
            <v>Blue ammonia (CCS) - Energy demand - Global - MWh/ton fuel</v>
          </cell>
          <cell r="G952">
            <v>0.30600000000000049</v>
          </cell>
          <cell r="H952">
            <v>0.30800000000000027</v>
          </cell>
          <cell r="I952">
            <v>0.31000000000000005</v>
          </cell>
          <cell r="J952">
            <v>0.31199999999999983</v>
          </cell>
          <cell r="K952">
            <v>0.3140000000000005</v>
          </cell>
          <cell r="L952">
            <v>0.31600000000000028</v>
          </cell>
          <cell r="M952">
            <v>0.31800000000000006</v>
          </cell>
          <cell r="N952">
            <v>0.32000000000000073</v>
          </cell>
          <cell r="O952">
            <v>0.32200000000000006</v>
          </cell>
          <cell r="P952">
            <v>0.32399999999999984</v>
          </cell>
          <cell r="Q952">
            <v>0.32599999999999962</v>
          </cell>
          <cell r="R952">
            <v>0.3279999999999994</v>
          </cell>
          <cell r="S952">
            <v>0.33000000000000007</v>
          </cell>
          <cell r="T952">
            <v>0.33199999999999985</v>
          </cell>
          <cell r="U952">
            <v>0.33399999999999963</v>
          </cell>
          <cell r="V952">
            <v>0.3360000000000003</v>
          </cell>
          <cell r="W952">
            <v>0.33800000000000008</v>
          </cell>
          <cell r="X952">
            <v>0.33999999999999986</v>
          </cell>
          <cell r="Y952">
            <v>0.34199999999999964</v>
          </cell>
          <cell r="Z952">
            <v>0.34399999999999942</v>
          </cell>
          <cell r="AA952">
            <v>0.34600000000000009</v>
          </cell>
          <cell r="AB952">
            <v>0.34799999999999986</v>
          </cell>
          <cell r="AC952">
            <v>0.35000000000000009</v>
          </cell>
          <cell r="AD952">
            <v>0.35200000000000076</v>
          </cell>
          <cell r="AE952">
            <v>0.35400000000000054</v>
          </cell>
          <cell r="AF952">
            <v>0.35600000000000032</v>
          </cell>
          <cell r="AG952">
            <v>0.3580000000000001</v>
          </cell>
          <cell r="AH952">
            <v>0.35999999999999988</v>
          </cell>
        </row>
        <row r="953">
          <cell r="B953" t="str">
            <v/>
          </cell>
        </row>
        <row r="954">
          <cell r="B954" t="str">
            <v>Blue ammonia (CCS) - Feedstock cost - Africa - USD/ton fuel</v>
          </cell>
          <cell r="G954">
            <v>810.26075268531429</v>
          </cell>
          <cell r="H954">
            <v>687.60100129306522</v>
          </cell>
          <cell r="I954">
            <v>564.94124990081582</v>
          </cell>
          <cell r="J954">
            <v>535.224186683678</v>
          </cell>
          <cell r="K954">
            <v>505.51969257565946</v>
          </cell>
          <cell r="L954">
            <v>475.82776757675992</v>
          </cell>
          <cell r="M954">
            <v>446.14841168697933</v>
          </cell>
          <cell r="N954">
            <v>416.48162490631779</v>
          </cell>
          <cell r="O954">
            <v>416.33678758698142</v>
          </cell>
          <cell r="P954">
            <v>416.19195026764504</v>
          </cell>
          <cell r="Q954">
            <v>416.04711294830872</v>
          </cell>
          <cell r="R954">
            <v>415.90227562897235</v>
          </cell>
          <cell r="S954">
            <v>415.75743830963614</v>
          </cell>
          <cell r="T954">
            <v>415.705444320156</v>
          </cell>
          <cell r="U954">
            <v>415.65345033067604</v>
          </cell>
          <cell r="V954">
            <v>415.6014563411959</v>
          </cell>
          <cell r="W954">
            <v>415.54946235171582</v>
          </cell>
          <cell r="X954">
            <v>415.49746836223579</v>
          </cell>
          <cell r="Y954">
            <v>415.44314033515252</v>
          </cell>
          <cell r="Z954">
            <v>415.3888123080693</v>
          </cell>
          <cell r="AA954">
            <v>415.33448428098603</v>
          </cell>
          <cell r="AB954">
            <v>415.28015625390282</v>
          </cell>
          <cell r="AC954">
            <v>415.22582822681954</v>
          </cell>
          <cell r="AD954">
            <v>415.21472545556736</v>
          </cell>
          <cell r="AE954">
            <v>415.20362268431506</v>
          </cell>
          <cell r="AF954">
            <v>415.19251991306277</v>
          </cell>
          <cell r="AG954">
            <v>415.18141714181047</v>
          </cell>
          <cell r="AH954">
            <v>415.17031437055823</v>
          </cell>
        </row>
        <row r="955">
          <cell r="B955" t="str">
            <v>Blue ammonia (CCS) - Feedstock cost - Americas - USD/ton fuel</v>
          </cell>
          <cell r="G955">
            <v>334.81605045217157</v>
          </cell>
          <cell r="H955">
            <v>317.41883900044274</v>
          </cell>
          <cell r="I955">
            <v>300.02162754871398</v>
          </cell>
          <cell r="J955">
            <v>294.52717328041206</v>
          </cell>
          <cell r="K955">
            <v>289.04116430315941</v>
          </cell>
          <cell r="L955">
            <v>283.56360061695568</v>
          </cell>
          <cell r="M955">
            <v>278.09448222180112</v>
          </cell>
          <cell r="N955">
            <v>272.63380911769565</v>
          </cell>
          <cell r="O955">
            <v>275.92277219736417</v>
          </cell>
          <cell r="P955">
            <v>279.2117352770328</v>
          </cell>
          <cell r="Q955">
            <v>282.50069835670138</v>
          </cell>
          <cell r="R955">
            <v>285.78966143637001</v>
          </cell>
          <cell r="S955">
            <v>289.0786245160387</v>
          </cell>
          <cell r="T955">
            <v>289.02682850023928</v>
          </cell>
          <cell r="U955">
            <v>288.97503248443996</v>
          </cell>
          <cell r="V955">
            <v>288.92323646864054</v>
          </cell>
          <cell r="W955">
            <v>288.87144045284117</v>
          </cell>
          <cell r="X955">
            <v>288.8196444370418</v>
          </cell>
          <cell r="Y955">
            <v>288.81702880514223</v>
          </cell>
          <cell r="Z955">
            <v>288.81441317324266</v>
          </cell>
          <cell r="AA955">
            <v>288.81179754134314</v>
          </cell>
          <cell r="AB955">
            <v>288.80918190944362</v>
          </cell>
          <cell r="AC955">
            <v>288.80656627754399</v>
          </cell>
          <cell r="AD955">
            <v>288.81209883931848</v>
          </cell>
          <cell r="AE955">
            <v>288.81763140109285</v>
          </cell>
          <cell r="AF955">
            <v>288.82316396286723</v>
          </cell>
          <cell r="AG955">
            <v>288.8286965246416</v>
          </cell>
          <cell r="AH955">
            <v>288.83422908641603</v>
          </cell>
        </row>
        <row r="956">
          <cell r="B956" t="str">
            <v>Blue ammonia (CCS) - Feedstock cost - Asia - USD/ton fuel</v>
          </cell>
          <cell r="G956">
            <v>786.24557939425722</v>
          </cell>
          <cell r="H956">
            <v>683.39376075129758</v>
          </cell>
          <cell r="I956">
            <v>580.54194210833839</v>
          </cell>
          <cell r="J956">
            <v>533.97170235058525</v>
          </cell>
          <cell r="K956">
            <v>487.41492329624538</v>
          </cell>
          <cell r="L956">
            <v>440.87160494531804</v>
          </cell>
          <cell r="M956">
            <v>394.34174729780364</v>
          </cell>
          <cell r="N956">
            <v>347.82535035370228</v>
          </cell>
          <cell r="O956">
            <v>347.62718800610168</v>
          </cell>
          <cell r="P956">
            <v>347.42902565850119</v>
          </cell>
          <cell r="Q956">
            <v>347.23086331090087</v>
          </cell>
          <cell r="R956">
            <v>347.03270096330039</v>
          </cell>
          <cell r="S956">
            <v>346.83453861570007</v>
          </cell>
          <cell r="T956">
            <v>346.74881309062613</v>
          </cell>
          <cell r="U956">
            <v>346.66308756555225</v>
          </cell>
          <cell r="V956">
            <v>346.57736204047842</v>
          </cell>
          <cell r="W956">
            <v>346.49163651540448</v>
          </cell>
          <cell r="X956">
            <v>346.40591099033065</v>
          </cell>
          <cell r="Y956">
            <v>346.31475142914968</v>
          </cell>
          <cell r="Z956">
            <v>346.22359186796871</v>
          </cell>
          <cell r="AA956">
            <v>346.13243230678779</v>
          </cell>
          <cell r="AB956">
            <v>346.04127274560693</v>
          </cell>
          <cell r="AC956">
            <v>345.9501131844259</v>
          </cell>
          <cell r="AD956">
            <v>345.92485691409485</v>
          </cell>
          <cell r="AE956">
            <v>345.89960064376362</v>
          </cell>
          <cell r="AF956">
            <v>345.87434437343251</v>
          </cell>
          <cell r="AG956">
            <v>345.84908810310134</v>
          </cell>
          <cell r="AH956">
            <v>345.82383183277011</v>
          </cell>
        </row>
        <row r="957">
          <cell r="B957" t="str">
            <v>Blue ammonia (CCS) - Feedstock cost - Europe - USD/ton fuel</v>
          </cell>
          <cell r="G957">
            <v>808.44434118889694</v>
          </cell>
          <cell r="H957">
            <v>686.64771013166319</v>
          </cell>
          <cell r="I957">
            <v>564.85107907442966</v>
          </cell>
          <cell r="J957">
            <v>535.17609140017032</v>
          </cell>
          <cell r="K957">
            <v>505.51217520268557</v>
          </cell>
          <cell r="L957">
            <v>475.85933048197501</v>
          </cell>
          <cell r="M957">
            <v>446.21755723803869</v>
          </cell>
          <cell r="N957">
            <v>416.58685547087674</v>
          </cell>
          <cell r="O957">
            <v>416.50241556315126</v>
          </cell>
          <cell r="P957">
            <v>416.41797565542589</v>
          </cell>
          <cell r="Q957">
            <v>416.33353574770047</v>
          </cell>
          <cell r="R957">
            <v>416.2490958399751</v>
          </cell>
          <cell r="S957">
            <v>416.16465593224984</v>
          </cell>
          <cell r="T957">
            <v>416.12655715693535</v>
          </cell>
          <cell r="U957">
            <v>416.08845838162097</v>
          </cell>
          <cell r="V957">
            <v>416.05035960630653</v>
          </cell>
          <cell r="W957">
            <v>416.01226083099203</v>
          </cell>
          <cell r="X957">
            <v>415.9741620556776</v>
          </cell>
          <cell r="Y957">
            <v>415.93126921260836</v>
          </cell>
          <cell r="Z957">
            <v>415.88837636953917</v>
          </cell>
          <cell r="AA957">
            <v>415.84548352646999</v>
          </cell>
          <cell r="AB957">
            <v>415.80259068340075</v>
          </cell>
          <cell r="AC957">
            <v>415.75969784033157</v>
          </cell>
          <cell r="AD957">
            <v>415.73666648521726</v>
          </cell>
          <cell r="AE957">
            <v>415.71363513010283</v>
          </cell>
          <cell r="AF957">
            <v>415.69060377498846</v>
          </cell>
          <cell r="AG957">
            <v>415.66757241987409</v>
          </cell>
          <cell r="AH957">
            <v>415.64454106475966</v>
          </cell>
        </row>
        <row r="958">
          <cell r="B958" t="str">
            <v>Blue ammonia (CCS) - Feedstock cost - Middle East - USD/ton fuel</v>
          </cell>
          <cell r="G958">
            <v>669.19629406717513</v>
          </cell>
          <cell r="H958">
            <v>567.08105135251458</v>
          </cell>
          <cell r="I958">
            <v>464.96580863785397</v>
          </cell>
          <cell r="J958">
            <v>418.0719878824064</v>
          </cell>
          <cell r="K958">
            <v>371.18527974171428</v>
          </cell>
          <cell r="L958">
            <v>324.30568421577755</v>
          </cell>
          <cell r="M958">
            <v>277.43320130459614</v>
          </cell>
          <cell r="N958">
            <v>230.56783100817017</v>
          </cell>
          <cell r="O958">
            <v>230.47301568238976</v>
          </cell>
          <cell r="P958">
            <v>230.3782003566094</v>
          </cell>
          <cell r="Q958">
            <v>230.28338503082901</v>
          </cell>
          <cell r="R958">
            <v>230.18856970504871</v>
          </cell>
          <cell r="S958">
            <v>230.09375437926849</v>
          </cell>
          <cell r="T958">
            <v>230.06145500229945</v>
          </cell>
          <cell r="U958">
            <v>230.02915562533053</v>
          </cell>
          <cell r="V958">
            <v>229.99685624836152</v>
          </cell>
          <cell r="W958">
            <v>229.96455687139252</v>
          </cell>
          <cell r="X958">
            <v>229.93225749442354</v>
          </cell>
          <cell r="Y958">
            <v>229.88038239832656</v>
          </cell>
          <cell r="Z958">
            <v>229.82850730222961</v>
          </cell>
          <cell r="AA958">
            <v>229.77663220613272</v>
          </cell>
          <cell r="AB958">
            <v>229.7247571100358</v>
          </cell>
          <cell r="AC958">
            <v>229.67288201393882</v>
          </cell>
          <cell r="AD958">
            <v>229.6648624628024</v>
          </cell>
          <cell r="AE958">
            <v>229.65684291166593</v>
          </cell>
          <cell r="AF958">
            <v>229.64882336052943</v>
          </cell>
          <cell r="AG958">
            <v>229.64080380939293</v>
          </cell>
          <cell r="AH958">
            <v>229.63278425825646</v>
          </cell>
        </row>
        <row r="959">
          <cell r="B959" t="str">
            <v>Natural gas - Price - Africa - USD/ton</v>
          </cell>
          <cell r="G959">
            <v>1120</v>
          </cell>
          <cell r="H959">
            <v>910</v>
          </cell>
          <cell r="I959">
            <v>700</v>
          </cell>
          <cell r="J959">
            <v>655</v>
          </cell>
          <cell r="K959">
            <v>610</v>
          </cell>
          <cell r="L959">
            <v>565</v>
          </cell>
          <cell r="M959">
            <v>520</v>
          </cell>
          <cell r="N959">
            <v>475</v>
          </cell>
          <cell r="O959">
            <v>475</v>
          </cell>
          <cell r="P959">
            <v>475</v>
          </cell>
          <cell r="Q959">
            <v>475</v>
          </cell>
          <cell r="R959">
            <v>475</v>
          </cell>
          <cell r="S959">
            <v>475</v>
          </cell>
          <cell r="T959">
            <v>475</v>
          </cell>
          <cell r="U959">
            <v>475</v>
          </cell>
          <cell r="V959">
            <v>475</v>
          </cell>
          <cell r="W959">
            <v>475</v>
          </cell>
          <cell r="X959">
            <v>475</v>
          </cell>
          <cell r="Y959">
            <v>475</v>
          </cell>
          <cell r="Z959">
            <v>475</v>
          </cell>
          <cell r="AA959">
            <v>475</v>
          </cell>
          <cell r="AB959">
            <v>475</v>
          </cell>
          <cell r="AC959">
            <v>475</v>
          </cell>
          <cell r="AD959">
            <v>475</v>
          </cell>
          <cell r="AE959">
            <v>475</v>
          </cell>
          <cell r="AF959">
            <v>475</v>
          </cell>
          <cell r="AG959">
            <v>475</v>
          </cell>
          <cell r="AH959">
            <v>475</v>
          </cell>
        </row>
        <row r="960">
          <cell r="B960" t="str">
            <v>Natural gas - Price - Americas - USD/ton</v>
          </cell>
          <cell r="G960">
            <v>278</v>
          </cell>
          <cell r="H960">
            <v>254</v>
          </cell>
          <cell r="I960">
            <v>230</v>
          </cell>
          <cell r="J960">
            <v>228</v>
          </cell>
          <cell r="K960">
            <v>226</v>
          </cell>
          <cell r="L960">
            <v>224</v>
          </cell>
          <cell r="M960">
            <v>222</v>
          </cell>
          <cell r="N960">
            <v>220</v>
          </cell>
          <cell r="O960">
            <v>226</v>
          </cell>
          <cell r="P960">
            <v>232</v>
          </cell>
          <cell r="Q960">
            <v>238</v>
          </cell>
          <cell r="R960">
            <v>244</v>
          </cell>
          <cell r="S960">
            <v>250</v>
          </cell>
          <cell r="T960">
            <v>250</v>
          </cell>
          <cell r="U960">
            <v>250</v>
          </cell>
          <cell r="V960">
            <v>250</v>
          </cell>
          <cell r="W960">
            <v>250</v>
          </cell>
          <cell r="X960">
            <v>250</v>
          </cell>
          <cell r="Y960">
            <v>250</v>
          </cell>
          <cell r="Z960">
            <v>250</v>
          </cell>
          <cell r="AA960">
            <v>250</v>
          </cell>
          <cell r="AB960">
            <v>250</v>
          </cell>
          <cell r="AC960">
            <v>250</v>
          </cell>
          <cell r="AD960">
            <v>250</v>
          </cell>
          <cell r="AE960">
            <v>250</v>
          </cell>
          <cell r="AF960">
            <v>250</v>
          </cell>
          <cell r="AG960">
            <v>250</v>
          </cell>
          <cell r="AH960">
            <v>250</v>
          </cell>
        </row>
        <row r="961">
          <cell r="B961" t="str">
            <v>Natural gas - Price - Asia - USD/ton</v>
          </cell>
          <cell r="G961">
            <v>1075</v>
          </cell>
          <cell r="H961">
            <v>900</v>
          </cell>
          <cell r="I961">
            <v>725</v>
          </cell>
          <cell r="J961">
            <v>650</v>
          </cell>
          <cell r="K961">
            <v>575</v>
          </cell>
          <cell r="L961">
            <v>500</v>
          </cell>
          <cell r="M961">
            <v>425</v>
          </cell>
          <cell r="N961">
            <v>350</v>
          </cell>
          <cell r="O961">
            <v>350</v>
          </cell>
          <cell r="P961">
            <v>350</v>
          </cell>
          <cell r="Q961">
            <v>350</v>
          </cell>
          <cell r="R961">
            <v>350</v>
          </cell>
          <cell r="S961">
            <v>350</v>
          </cell>
          <cell r="T961">
            <v>350</v>
          </cell>
          <cell r="U961">
            <v>350</v>
          </cell>
          <cell r="V961">
            <v>350</v>
          </cell>
          <cell r="W961">
            <v>350</v>
          </cell>
          <cell r="X961">
            <v>350</v>
          </cell>
          <cell r="Y961">
            <v>350</v>
          </cell>
          <cell r="Z961">
            <v>350</v>
          </cell>
          <cell r="AA961">
            <v>350</v>
          </cell>
          <cell r="AB961">
            <v>350</v>
          </cell>
          <cell r="AC961">
            <v>350</v>
          </cell>
          <cell r="AD961">
            <v>350</v>
          </cell>
          <cell r="AE961">
            <v>350</v>
          </cell>
          <cell r="AF961">
            <v>350</v>
          </cell>
          <cell r="AG961">
            <v>350</v>
          </cell>
          <cell r="AH961">
            <v>350</v>
          </cell>
        </row>
        <row r="962">
          <cell r="B962" t="str">
            <v>Natural gas - Price - Europe - USD/ton</v>
          </cell>
          <cell r="G962">
            <v>1120</v>
          </cell>
          <cell r="H962">
            <v>910</v>
          </cell>
          <cell r="I962">
            <v>700</v>
          </cell>
          <cell r="J962">
            <v>655</v>
          </cell>
          <cell r="K962">
            <v>610</v>
          </cell>
          <cell r="L962">
            <v>565</v>
          </cell>
          <cell r="M962">
            <v>520</v>
          </cell>
          <cell r="N962">
            <v>475</v>
          </cell>
          <cell r="O962">
            <v>475</v>
          </cell>
          <cell r="P962">
            <v>475</v>
          </cell>
          <cell r="Q962">
            <v>475</v>
          </cell>
          <cell r="R962">
            <v>475</v>
          </cell>
          <cell r="S962">
            <v>475</v>
          </cell>
          <cell r="T962">
            <v>475</v>
          </cell>
          <cell r="U962">
            <v>475</v>
          </cell>
          <cell r="V962">
            <v>475</v>
          </cell>
          <cell r="W962">
            <v>475</v>
          </cell>
          <cell r="X962">
            <v>475</v>
          </cell>
          <cell r="Y962">
            <v>475</v>
          </cell>
          <cell r="Z962">
            <v>475</v>
          </cell>
          <cell r="AA962">
            <v>475</v>
          </cell>
          <cell r="AB962">
            <v>475</v>
          </cell>
          <cell r="AC962">
            <v>475</v>
          </cell>
          <cell r="AD962">
            <v>475</v>
          </cell>
          <cell r="AE962">
            <v>475</v>
          </cell>
          <cell r="AF962">
            <v>475</v>
          </cell>
          <cell r="AG962">
            <v>475</v>
          </cell>
          <cell r="AH962">
            <v>475</v>
          </cell>
        </row>
        <row r="963">
          <cell r="B963" t="str">
            <v>Natural gas - Price - Middle East - USD/ton</v>
          </cell>
          <cell r="G963">
            <v>875</v>
          </cell>
          <cell r="H963">
            <v>700</v>
          </cell>
          <cell r="I963">
            <v>525</v>
          </cell>
          <cell r="J963">
            <v>449</v>
          </cell>
          <cell r="K963">
            <v>373</v>
          </cell>
          <cell r="L963">
            <v>297</v>
          </cell>
          <cell r="M963">
            <v>221</v>
          </cell>
          <cell r="N963">
            <v>145</v>
          </cell>
          <cell r="O963">
            <v>145</v>
          </cell>
          <cell r="P963">
            <v>145</v>
          </cell>
          <cell r="Q963">
            <v>145</v>
          </cell>
          <cell r="R963">
            <v>145</v>
          </cell>
          <cell r="S963">
            <v>145</v>
          </cell>
          <cell r="T963">
            <v>145</v>
          </cell>
          <cell r="U963">
            <v>145</v>
          </cell>
          <cell r="V963">
            <v>145</v>
          </cell>
          <cell r="W963">
            <v>145</v>
          </cell>
          <cell r="X963">
            <v>145</v>
          </cell>
          <cell r="Y963">
            <v>145</v>
          </cell>
          <cell r="Z963">
            <v>145</v>
          </cell>
          <cell r="AA963">
            <v>145</v>
          </cell>
          <cell r="AB963">
            <v>145</v>
          </cell>
          <cell r="AC963">
            <v>145</v>
          </cell>
          <cell r="AD963">
            <v>145</v>
          </cell>
          <cell r="AE963">
            <v>145</v>
          </cell>
          <cell r="AF963">
            <v>145</v>
          </cell>
          <cell r="AG963">
            <v>145</v>
          </cell>
          <cell r="AH963">
            <v>145</v>
          </cell>
        </row>
        <row r="964">
          <cell r="B964" t="str">
            <v>Nitrogen - Cost - Africa - USD/ton CO2</v>
          </cell>
          <cell r="G964">
            <v>62.382424191379783</v>
          </cell>
          <cell r="H964">
            <v>55.997325174045116</v>
          </cell>
          <cell r="I964">
            <v>49.612226156710058</v>
          </cell>
          <cell r="J964">
            <v>43.887331731968366</v>
          </cell>
          <cell r="K964">
            <v>38.177728194232856</v>
          </cell>
          <cell r="L964">
            <v>32.483415543503462</v>
          </cell>
          <cell r="M964">
            <v>26.804393779780085</v>
          </cell>
          <cell r="N964">
            <v>21.140662903062857</v>
          </cell>
          <cell r="O964">
            <v>20.734778086352062</v>
          </cell>
          <cell r="P964">
            <v>20.328893269641238</v>
          </cell>
          <cell r="Q964">
            <v>19.923008452930322</v>
          </cell>
          <cell r="R964">
            <v>19.517123636219502</v>
          </cell>
          <cell r="S964">
            <v>19.111238819508699</v>
          </cell>
          <cell r="T964">
            <v>18.818302092647272</v>
          </cell>
          <cell r="U964">
            <v>18.525365365785873</v>
          </cell>
          <cell r="V964">
            <v>18.232428638924446</v>
          </cell>
          <cell r="W964">
            <v>17.939491912063019</v>
          </cell>
          <cell r="X964">
            <v>17.646555185201638</v>
          </cell>
          <cell r="Y964">
            <v>17.350778996535915</v>
          </cell>
          <cell r="Z964">
            <v>17.055002807870196</v>
          </cell>
          <cell r="AA964">
            <v>16.759226619204426</v>
          </cell>
          <cell r="AB964">
            <v>16.463450430538703</v>
          </cell>
          <cell r="AC964">
            <v>16.167674241872959</v>
          </cell>
          <cell r="AD964">
            <v>15.924483522587945</v>
          </cell>
          <cell r="AE964">
            <v>15.681292803302957</v>
          </cell>
          <cell r="AF964">
            <v>15.438102084017945</v>
          </cell>
          <cell r="AG964">
            <v>15.194911364732933</v>
          </cell>
          <cell r="AH964">
            <v>14.951720645447942</v>
          </cell>
        </row>
        <row r="965">
          <cell r="B965" t="str">
            <v>Nitrogen - Cost - Americas - USD/ton CO2</v>
          </cell>
          <cell r="G965">
            <v>57.607847265415415</v>
          </cell>
          <cell r="H965">
            <v>52.564037713433983</v>
          </cell>
          <cell r="I965">
            <v>47.520228161452508</v>
          </cell>
          <cell r="J965">
            <v>41.968823942107136</v>
          </cell>
          <cell r="K965">
            <v>36.427693799463867</v>
          </cell>
          <cell r="L965">
            <v>30.896837733522634</v>
          </cell>
          <cell r="M965">
            <v>25.376255744283551</v>
          </cell>
          <cell r="N965">
            <v>19.865947831746368</v>
          </cell>
          <cell r="O965">
            <v>19.549844522340834</v>
          </cell>
          <cell r="P965">
            <v>19.233741212935282</v>
          </cell>
          <cell r="Q965">
            <v>18.917637903529727</v>
          </cell>
          <cell r="R965">
            <v>18.601534594124175</v>
          </cell>
          <cell r="S965">
            <v>18.285431284718598</v>
          </cell>
          <cell r="T965">
            <v>17.992735401750984</v>
          </cell>
          <cell r="U965">
            <v>17.70003951878337</v>
          </cell>
          <cell r="V965">
            <v>17.407343635815735</v>
          </cell>
          <cell r="W965">
            <v>17.114647752848121</v>
          </cell>
          <cell r="X965">
            <v>16.821951869880493</v>
          </cell>
          <cell r="Y965">
            <v>16.589086137642596</v>
          </cell>
          <cell r="Z965">
            <v>16.356220405404699</v>
          </cell>
          <cell r="AA965">
            <v>16.123354673166808</v>
          </cell>
          <cell r="AB965">
            <v>15.890488940928911</v>
          </cell>
          <cell r="AC965">
            <v>15.657623208691012</v>
          </cell>
          <cell r="AD965">
            <v>15.434670120825308</v>
          </cell>
          <cell r="AE965">
            <v>15.211717032959616</v>
          </cell>
          <cell r="AF965">
            <v>14.988763945093925</v>
          </cell>
          <cell r="AG965">
            <v>14.765810857228233</v>
          </cell>
          <cell r="AH965">
            <v>14.542857769362541</v>
          </cell>
        </row>
        <row r="966">
          <cell r="B966" t="str">
            <v>Nitrogen - Cost - Asia - USD/ton CO2</v>
          </cell>
          <cell r="G966">
            <v>63.823819214424681</v>
          </cell>
          <cell r="H966">
            <v>57.691679746103915</v>
          </cell>
          <cell r="I966">
            <v>51.559540277783768</v>
          </cell>
          <cell r="J966">
            <v>45.769954197792259</v>
          </cell>
          <cell r="K966">
            <v>39.996743669398164</v>
          </cell>
          <cell r="L966">
            <v>34.239908692601006</v>
          </cell>
          <cell r="M966">
            <v>28.499449267400983</v>
          </cell>
          <cell r="N966">
            <v>22.775365393798197</v>
          </cell>
          <cell r="O966">
            <v>22.304608279929006</v>
          </cell>
          <cell r="P966">
            <v>21.833851166059876</v>
          </cell>
          <cell r="Q966">
            <v>21.363094052190831</v>
          </cell>
          <cell r="R966">
            <v>20.892336938321705</v>
          </cell>
          <cell r="S966">
            <v>20.421579824452571</v>
          </cell>
          <cell r="T966">
            <v>20.087607166211807</v>
          </cell>
          <cell r="U966">
            <v>19.753634507971043</v>
          </cell>
          <cell r="V966">
            <v>19.419661849730325</v>
          </cell>
          <cell r="W966">
            <v>19.085689191489564</v>
          </cell>
          <cell r="X966">
            <v>18.751716533248889</v>
          </cell>
          <cell r="Y966">
            <v>18.411133125486174</v>
          </cell>
          <cell r="Z966">
            <v>18.070549717723505</v>
          </cell>
          <cell r="AA966">
            <v>17.72996630996079</v>
          </cell>
          <cell r="AB966">
            <v>17.389382902198118</v>
          </cell>
          <cell r="AC966">
            <v>17.048799494435407</v>
          </cell>
          <cell r="AD966">
            <v>16.788390406441305</v>
          </cell>
          <cell r="AE966">
            <v>16.527981318447186</v>
          </cell>
          <cell r="AF966">
            <v>16.267572230453087</v>
          </cell>
          <cell r="AG966">
            <v>16.007163142458989</v>
          </cell>
          <cell r="AH966">
            <v>15.746754054464866</v>
          </cell>
        </row>
        <row r="967">
          <cell r="B967" t="str">
            <v>Nitrogen - Cost - Europe - USD/ton CO2</v>
          </cell>
          <cell r="G967">
            <v>60.172677845373265</v>
          </cell>
          <cell r="H967">
            <v>54.837603566500185</v>
          </cell>
          <cell r="I967">
            <v>49.502529287627134</v>
          </cell>
          <cell r="J967">
            <v>43.828821654708456</v>
          </cell>
          <cell r="K967">
            <v>38.168582971636823</v>
          </cell>
          <cell r="L967">
            <v>32.521813238412349</v>
          </cell>
          <cell r="M967">
            <v>26.888512455034856</v>
          </cell>
          <cell r="N967">
            <v>21.268680621504462</v>
          </cell>
          <cell r="O967">
            <v>20.936271974636554</v>
          </cell>
          <cell r="P967">
            <v>20.603863327768757</v>
          </cell>
          <cell r="Q967">
            <v>20.271454680900913</v>
          </cell>
          <cell r="R967">
            <v>19.939046034033069</v>
          </cell>
          <cell r="S967">
            <v>19.606637387165271</v>
          </cell>
          <cell r="T967">
            <v>19.330604813790011</v>
          </cell>
          <cell r="U967">
            <v>19.054572240414775</v>
          </cell>
          <cell r="V967">
            <v>18.778539667039539</v>
          </cell>
          <cell r="W967">
            <v>18.502507093664299</v>
          </cell>
          <cell r="X967">
            <v>18.226474520289017</v>
          </cell>
          <cell r="Y967">
            <v>17.944609747698756</v>
          </cell>
          <cell r="Z967">
            <v>17.662744975108474</v>
          </cell>
          <cell r="AA967">
            <v>17.380880202518213</v>
          </cell>
          <cell r="AB967">
            <v>17.099015429927928</v>
          </cell>
          <cell r="AC967">
            <v>16.81715065733767</v>
          </cell>
          <cell r="AD967">
            <v>16.55944827885304</v>
          </cell>
          <cell r="AE967">
            <v>16.301745900368388</v>
          </cell>
          <cell r="AF967">
            <v>16.044043521883761</v>
          </cell>
          <cell r="AG967">
            <v>15.786341143399135</v>
          </cell>
          <cell r="AH967">
            <v>15.528638764914483</v>
          </cell>
        </row>
        <row r="968">
          <cell r="B968" t="str">
            <v>Nitrogen - Cost - Middle East - USD/ton CO2</v>
          </cell>
          <cell r="G968">
            <v>57.681136334762741</v>
          </cell>
          <cell r="H968">
            <v>52.445074638095505</v>
          </cell>
          <cell r="I968">
            <v>47.209012941428185</v>
          </cell>
          <cell r="J968">
            <v>41.707041219472472</v>
          </cell>
          <cell r="K968">
            <v>36.213722313520933</v>
          </cell>
          <cell r="L968">
            <v>30.729056223573529</v>
          </cell>
          <cell r="M968">
            <v>25.253042949630256</v>
          </cell>
          <cell r="N968">
            <v>19.785682491691063</v>
          </cell>
          <cell r="O968">
            <v>19.440651681739325</v>
          </cell>
          <cell r="P968">
            <v>19.095620871787613</v>
          </cell>
          <cell r="Q968">
            <v>18.750590061835851</v>
          </cell>
          <cell r="R968">
            <v>18.405559251884142</v>
          </cell>
          <cell r="S968">
            <v>18.060528441932426</v>
          </cell>
          <cell r="T968">
            <v>17.791551097687908</v>
          </cell>
          <cell r="U968">
            <v>17.522573753443393</v>
          </cell>
          <cell r="V968">
            <v>17.253596409198899</v>
          </cell>
          <cell r="W968">
            <v>16.98461906495438</v>
          </cell>
          <cell r="X968">
            <v>16.715641720709861</v>
          </cell>
          <cell r="Y968">
            <v>16.422849633000681</v>
          </cell>
          <cell r="Z968">
            <v>16.130057545291525</v>
          </cell>
          <cell r="AA968">
            <v>15.83726545758234</v>
          </cell>
          <cell r="AB968">
            <v>15.544473369873183</v>
          </cell>
          <cell r="AC968">
            <v>15.251681282163991</v>
          </cell>
          <cell r="AD968">
            <v>15.012241438932278</v>
          </cell>
          <cell r="AE968">
            <v>14.772801595700578</v>
          </cell>
          <cell r="AF968">
            <v>14.533361752468865</v>
          </cell>
          <cell r="AG968">
            <v>14.293921909237154</v>
          </cell>
          <cell r="AH968">
            <v>14.054482066005454</v>
          </cell>
        </row>
        <row r="969">
          <cell r="B969" t="str">
            <v>Carbon capture - Cost - Africa - USD/ton CO2</v>
          </cell>
          <cell r="G969">
            <v>25</v>
          </cell>
          <cell r="H969">
            <v>25</v>
          </cell>
          <cell r="I969">
            <v>25</v>
          </cell>
          <cell r="J969">
            <v>25</v>
          </cell>
          <cell r="K969">
            <v>25</v>
          </cell>
          <cell r="L969">
            <v>25</v>
          </cell>
          <cell r="M969">
            <v>25</v>
          </cell>
          <cell r="N969">
            <v>25</v>
          </cell>
          <cell r="O969">
            <v>25</v>
          </cell>
          <cell r="P969">
            <v>25</v>
          </cell>
          <cell r="Q969">
            <v>25</v>
          </cell>
          <cell r="R969">
            <v>25</v>
          </cell>
          <cell r="S969">
            <v>25</v>
          </cell>
          <cell r="T969">
            <v>25</v>
          </cell>
          <cell r="U969">
            <v>25</v>
          </cell>
          <cell r="V969">
            <v>25</v>
          </cell>
          <cell r="W969">
            <v>25</v>
          </cell>
          <cell r="X969">
            <v>25</v>
          </cell>
          <cell r="Y969">
            <v>25</v>
          </cell>
          <cell r="Z969">
            <v>25</v>
          </cell>
          <cell r="AA969">
            <v>25</v>
          </cell>
          <cell r="AB969">
            <v>25</v>
          </cell>
          <cell r="AC969">
            <v>25</v>
          </cell>
          <cell r="AD969">
            <v>25</v>
          </cell>
          <cell r="AE969">
            <v>25</v>
          </cell>
          <cell r="AF969">
            <v>25</v>
          </cell>
          <cell r="AG969">
            <v>25</v>
          </cell>
          <cell r="AH969">
            <v>25</v>
          </cell>
        </row>
        <row r="970">
          <cell r="B970" t="str">
            <v>Carbon capture - Cost - Americas - USD/ton CO2</v>
          </cell>
          <cell r="G970">
            <v>25</v>
          </cell>
          <cell r="H970">
            <v>25</v>
          </cell>
          <cell r="I970">
            <v>25</v>
          </cell>
          <cell r="J970">
            <v>25</v>
          </cell>
          <cell r="K970">
            <v>25</v>
          </cell>
          <cell r="L970">
            <v>25</v>
          </cell>
          <cell r="M970">
            <v>25</v>
          </cell>
          <cell r="N970">
            <v>25</v>
          </cell>
          <cell r="O970">
            <v>25</v>
          </cell>
          <cell r="P970">
            <v>25</v>
          </cell>
          <cell r="Q970">
            <v>25</v>
          </cell>
          <cell r="R970">
            <v>25</v>
          </cell>
          <cell r="S970">
            <v>25</v>
          </cell>
          <cell r="T970">
            <v>25</v>
          </cell>
          <cell r="U970">
            <v>25</v>
          </cell>
          <cell r="V970">
            <v>25</v>
          </cell>
          <cell r="W970">
            <v>25</v>
          </cell>
          <cell r="X970">
            <v>25</v>
          </cell>
          <cell r="Y970">
            <v>25</v>
          </cell>
          <cell r="Z970">
            <v>25</v>
          </cell>
          <cell r="AA970">
            <v>25</v>
          </cell>
          <cell r="AB970">
            <v>25</v>
          </cell>
          <cell r="AC970">
            <v>25</v>
          </cell>
          <cell r="AD970">
            <v>25</v>
          </cell>
          <cell r="AE970">
            <v>25</v>
          </cell>
          <cell r="AF970">
            <v>25</v>
          </cell>
          <cell r="AG970">
            <v>25</v>
          </cell>
          <cell r="AH970">
            <v>25</v>
          </cell>
        </row>
        <row r="971">
          <cell r="B971" t="str">
            <v>Carbon capture - Cost - Asia - USD/ton CO2</v>
          </cell>
          <cell r="G971">
            <v>25</v>
          </cell>
          <cell r="H971">
            <v>25</v>
          </cell>
          <cell r="I971">
            <v>25</v>
          </cell>
          <cell r="J971">
            <v>25</v>
          </cell>
          <cell r="K971">
            <v>25</v>
          </cell>
          <cell r="L971">
            <v>25</v>
          </cell>
          <cell r="M971">
            <v>25</v>
          </cell>
          <cell r="N971">
            <v>25</v>
          </cell>
          <cell r="O971">
            <v>25</v>
          </cell>
          <cell r="P971">
            <v>25</v>
          </cell>
          <cell r="Q971">
            <v>25</v>
          </cell>
          <cell r="R971">
            <v>25</v>
          </cell>
          <cell r="S971">
            <v>25</v>
          </cell>
          <cell r="T971">
            <v>25</v>
          </cell>
          <cell r="U971">
            <v>25</v>
          </cell>
          <cell r="V971">
            <v>25</v>
          </cell>
          <cell r="W971">
            <v>25</v>
          </cell>
          <cell r="X971">
            <v>25</v>
          </cell>
          <cell r="Y971">
            <v>25</v>
          </cell>
          <cell r="Z971">
            <v>25</v>
          </cell>
          <cell r="AA971">
            <v>25</v>
          </cell>
          <cell r="AB971">
            <v>25</v>
          </cell>
          <cell r="AC971">
            <v>25</v>
          </cell>
          <cell r="AD971">
            <v>25</v>
          </cell>
          <cell r="AE971">
            <v>25</v>
          </cell>
          <cell r="AF971">
            <v>25</v>
          </cell>
          <cell r="AG971">
            <v>25</v>
          </cell>
          <cell r="AH971">
            <v>25</v>
          </cell>
        </row>
        <row r="972">
          <cell r="B972" t="str">
            <v>Carbon capture - Cost - Europe - USD/ton CO2</v>
          </cell>
          <cell r="G972">
            <v>25</v>
          </cell>
          <cell r="H972">
            <v>25</v>
          </cell>
          <cell r="I972">
            <v>25</v>
          </cell>
          <cell r="J972">
            <v>25</v>
          </cell>
          <cell r="K972">
            <v>25</v>
          </cell>
          <cell r="L972">
            <v>25</v>
          </cell>
          <cell r="M972">
            <v>25</v>
          </cell>
          <cell r="N972">
            <v>25</v>
          </cell>
          <cell r="O972">
            <v>25</v>
          </cell>
          <cell r="P972">
            <v>25</v>
          </cell>
          <cell r="Q972">
            <v>25</v>
          </cell>
          <cell r="R972">
            <v>25</v>
          </cell>
          <cell r="S972">
            <v>25</v>
          </cell>
          <cell r="T972">
            <v>25</v>
          </cell>
          <cell r="U972">
            <v>25</v>
          </cell>
          <cell r="V972">
            <v>25</v>
          </cell>
          <cell r="W972">
            <v>25</v>
          </cell>
          <cell r="X972">
            <v>25</v>
          </cell>
          <cell r="Y972">
            <v>25</v>
          </cell>
          <cell r="Z972">
            <v>25</v>
          </cell>
          <cell r="AA972">
            <v>25</v>
          </cell>
          <cell r="AB972">
            <v>25</v>
          </cell>
          <cell r="AC972">
            <v>25</v>
          </cell>
          <cell r="AD972">
            <v>25</v>
          </cell>
          <cell r="AE972">
            <v>25</v>
          </cell>
          <cell r="AF972">
            <v>25</v>
          </cell>
          <cell r="AG972">
            <v>25</v>
          </cell>
          <cell r="AH972">
            <v>25</v>
          </cell>
        </row>
        <row r="973">
          <cell r="B973" t="str">
            <v>Carbon capture - Cost - Middle East - USD/ton CO2</v>
          </cell>
          <cell r="G973">
            <v>25</v>
          </cell>
          <cell r="H973">
            <v>25</v>
          </cell>
          <cell r="I973">
            <v>25</v>
          </cell>
          <cell r="J973">
            <v>25</v>
          </cell>
          <cell r="K973">
            <v>25</v>
          </cell>
          <cell r="L973">
            <v>25</v>
          </cell>
          <cell r="M973">
            <v>25</v>
          </cell>
          <cell r="N973">
            <v>25</v>
          </cell>
          <cell r="O973">
            <v>25</v>
          </cell>
          <cell r="P973">
            <v>25</v>
          </cell>
          <cell r="Q973">
            <v>25</v>
          </cell>
          <cell r="R973">
            <v>25</v>
          </cell>
          <cell r="S973">
            <v>25</v>
          </cell>
          <cell r="T973">
            <v>25</v>
          </cell>
          <cell r="U973">
            <v>25</v>
          </cell>
          <cell r="V973">
            <v>25</v>
          </cell>
          <cell r="W973">
            <v>25</v>
          </cell>
          <cell r="X973">
            <v>25</v>
          </cell>
          <cell r="Y973">
            <v>25</v>
          </cell>
          <cell r="Z973">
            <v>25</v>
          </cell>
          <cell r="AA973">
            <v>25</v>
          </cell>
          <cell r="AB973">
            <v>25</v>
          </cell>
          <cell r="AC973">
            <v>25</v>
          </cell>
          <cell r="AD973">
            <v>25</v>
          </cell>
          <cell r="AE973">
            <v>25</v>
          </cell>
          <cell r="AF973">
            <v>25</v>
          </cell>
          <cell r="AG973">
            <v>25</v>
          </cell>
          <cell r="AH973">
            <v>25</v>
          </cell>
        </row>
        <row r="974">
          <cell r="B974" t="str">
            <v>Carbon storage - Cost - Africa - USD/ton CO2</v>
          </cell>
          <cell r="G974">
            <v>50</v>
          </cell>
          <cell r="H974">
            <v>50</v>
          </cell>
          <cell r="I974">
            <v>50</v>
          </cell>
          <cell r="J974">
            <v>50</v>
          </cell>
          <cell r="K974">
            <v>50</v>
          </cell>
          <cell r="L974">
            <v>50</v>
          </cell>
          <cell r="M974">
            <v>50</v>
          </cell>
          <cell r="N974">
            <v>50</v>
          </cell>
          <cell r="O974">
            <v>50</v>
          </cell>
          <cell r="P974">
            <v>50</v>
          </cell>
          <cell r="Q974">
            <v>50</v>
          </cell>
          <cell r="R974">
            <v>50</v>
          </cell>
          <cell r="S974">
            <v>50</v>
          </cell>
          <cell r="T974">
            <v>50</v>
          </cell>
          <cell r="U974">
            <v>50</v>
          </cell>
          <cell r="V974">
            <v>50</v>
          </cell>
          <cell r="W974">
            <v>50</v>
          </cell>
          <cell r="X974">
            <v>50</v>
          </cell>
          <cell r="Y974">
            <v>50</v>
          </cell>
          <cell r="Z974">
            <v>50</v>
          </cell>
          <cell r="AA974">
            <v>50</v>
          </cell>
          <cell r="AB974">
            <v>50</v>
          </cell>
          <cell r="AC974">
            <v>50</v>
          </cell>
          <cell r="AD974">
            <v>50</v>
          </cell>
          <cell r="AE974">
            <v>50</v>
          </cell>
          <cell r="AF974">
            <v>50</v>
          </cell>
          <cell r="AG974">
            <v>50</v>
          </cell>
          <cell r="AH974">
            <v>50</v>
          </cell>
        </row>
        <row r="975">
          <cell r="B975" t="str">
            <v>Carbon storage - Cost - Americas - USD/ton CO2</v>
          </cell>
          <cell r="G975">
            <v>50</v>
          </cell>
          <cell r="H975">
            <v>50</v>
          </cell>
          <cell r="I975">
            <v>50</v>
          </cell>
          <cell r="J975">
            <v>50</v>
          </cell>
          <cell r="K975">
            <v>50</v>
          </cell>
          <cell r="L975">
            <v>50</v>
          </cell>
          <cell r="M975">
            <v>50</v>
          </cell>
          <cell r="N975">
            <v>50</v>
          </cell>
          <cell r="O975">
            <v>50</v>
          </cell>
          <cell r="P975">
            <v>50</v>
          </cell>
          <cell r="Q975">
            <v>50</v>
          </cell>
          <cell r="R975">
            <v>50</v>
          </cell>
          <cell r="S975">
            <v>50</v>
          </cell>
          <cell r="T975">
            <v>50</v>
          </cell>
          <cell r="U975">
            <v>50</v>
          </cell>
          <cell r="V975">
            <v>50</v>
          </cell>
          <cell r="W975">
            <v>50</v>
          </cell>
          <cell r="X975">
            <v>50</v>
          </cell>
          <cell r="Y975">
            <v>50</v>
          </cell>
          <cell r="Z975">
            <v>50</v>
          </cell>
          <cell r="AA975">
            <v>50</v>
          </cell>
          <cell r="AB975">
            <v>50</v>
          </cell>
          <cell r="AC975">
            <v>50</v>
          </cell>
          <cell r="AD975">
            <v>50</v>
          </cell>
          <cell r="AE975">
            <v>50</v>
          </cell>
          <cell r="AF975">
            <v>50</v>
          </cell>
          <cell r="AG975">
            <v>50</v>
          </cell>
          <cell r="AH975">
            <v>50</v>
          </cell>
        </row>
        <row r="976">
          <cell r="B976" t="str">
            <v>Carbon storage - Cost - Asia - USD/ton CO2</v>
          </cell>
          <cell r="G976">
            <v>50</v>
          </cell>
          <cell r="H976">
            <v>50</v>
          </cell>
          <cell r="I976">
            <v>50</v>
          </cell>
          <cell r="J976">
            <v>50</v>
          </cell>
          <cell r="K976">
            <v>50</v>
          </cell>
          <cell r="L976">
            <v>50</v>
          </cell>
          <cell r="M976">
            <v>50</v>
          </cell>
          <cell r="N976">
            <v>50</v>
          </cell>
          <cell r="O976">
            <v>50</v>
          </cell>
          <cell r="P976">
            <v>50</v>
          </cell>
          <cell r="Q976">
            <v>50</v>
          </cell>
          <cell r="R976">
            <v>50</v>
          </cell>
          <cell r="S976">
            <v>50</v>
          </cell>
          <cell r="T976">
            <v>50</v>
          </cell>
          <cell r="U976">
            <v>50</v>
          </cell>
          <cell r="V976">
            <v>50</v>
          </cell>
          <cell r="W976">
            <v>50</v>
          </cell>
          <cell r="X976">
            <v>50</v>
          </cell>
          <cell r="Y976">
            <v>50</v>
          </cell>
          <cell r="Z976">
            <v>50</v>
          </cell>
          <cell r="AA976">
            <v>50</v>
          </cell>
          <cell r="AB976">
            <v>50</v>
          </cell>
          <cell r="AC976">
            <v>50</v>
          </cell>
          <cell r="AD976">
            <v>50</v>
          </cell>
          <cell r="AE976">
            <v>50</v>
          </cell>
          <cell r="AF976">
            <v>50</v>
          </cell>
          <cell r="AG976">
            <v>50</v>
          </cell>
          <cell r="AH976">
            <v>50</v>
          </cell>
        </row>
        <row r="977">
          <cell r="B977" t="str">
            <v>Carbon storage - Cost - Europe - USD/ton CO2</v>
          </cell>
          <cell r="G977">
            <v>50</v>
          </cell>
          <cell r="H977">
            <v>50</v>
          </cell>
          <cell r="I977">
            <v>50</v>
          </cell>
          <cell r="J977">
            <v>50</v>
          </cell>
          <cell r="K977">
            <v>50</v>
          </cell>
          <cell r="L977">
            <v>50</v>
          </cell>
          <cell r="M977">
            <v>50</v>
          </cell>
          <cell r="N977">
            <v>50</v>
          </cell>
          <cell r="O977">
            <v>50</v>
          </cell>
          <cell r="P977">
            <v>50</v>
          </cell>
          <cell r="Q977">
            <v>50</v>
          </cell>
          <cell r="R977">
            <v>50</v>
          </cell>
          <cell r="S977">
            <v>50</v>
          </cell>
          <cell r="T977">
            <v>50</v>
          </cell>
          <cell r="U977">
            <v>50</v>
          </cell>
          <cell r="V977">
            <v>50</v>
          </cell>
          <cell r="W977">
            <v>50</v>
          </cell>
          <cell r="X977">
            <v>50</v>
          </cell>
          <cell r="Y977">
            <v>50</v>
          </cell>
          <cell r="Z977">
            <v>50</v>
          </cell>
          <cell r="AA977">
            <v>50</v>
          </cell>
          <cell r="AB977">
            <v>50</v>
          </cell>
          <cell r="AC977">
            <v>50</v>
          </cell>
          <cell r="AD977">
            <v>50</v>
          </cell>
          <cell r="AE977">
            <v>50</v>
          </cell>
          <cell r="AF977">
            <v>50</v>
          </cell>
          <cell r="AG977">
            <v>50</v>
          </cell>
          <cell r="AH977">
            <v>50</v>
          </cell>
        </row>
        <row r="978">
          <cell r="B978" t="str">
            <v>Carbon storage - Cost - Middle East - USD/ton CO2</v>
          </cell>
          <cell r="G978">
            <v>50</v>
          </cell>
          <cell r="H978">
            <v>50</v>
          </cell>
          <cell r="I978">
            <v>50</v>
          </cell>
          <cell r="J978">
            <v>50</v>
          </cell>
          <cell r="K978">
            <v>50</v>
          </cell>
          <cell r="L978">
            <v>50</v>
          </cell>
          <cell r="M978">
            <v>50</v>
          </cell>
          <cell r="N978">
            <v>50</v>
          </cell>
          <cell r="O978">
            <v>50</v>
          </cell>
          <cell r="P978">
            <v>50</v>
          </cell>
          <cell r="Q978">
            <v>50</v>
          </cell>
          <cell r="R978">
            <v>50</v>
          </cell>
          <cell r="S978">
            <v>50</v>
          </cell>
          <cell r="T978">
            <v>50</v>
          </cell>
          <cell r="U978">
            <v>50</v>
          </cell>
          <cell r="V978">
            <v>50</v>
          </cell>
          <cell r="W978">
            <v>50</v>
          </cell>
          <cell r="X978">
            <v>50</v>
          </cell>
          <cell r="Y978">
            <v>50</v>
          </cell>
          <cell r="Z978">
            <v>50</v>
          </cell>
          <cell r="AA978">
            <v>50</v>
          </cell>
          <cell r="AB978">
            <v>50</v>
          </cell>
          <cell r="AC978">
            <v>50</v>
          </cell>
          <cell r="AD978">
            <v>50</v>
          </cell>
          <cell r="AE978">
            <v>50</v>
          </cell>
          <cell r="AF978">
            <v>50</v>
          </cell>
          <cell r="AG978">
            <v>50</v>
          </cell>
          <cell r="AH978">
            <v>50</v>
          </cell>
        </row>
        <row r="979">
          <cell r="B979" t="str">
            <v>Blue ammonia (CCS) - Conversion NG -&gt; NH3 - Global - ton NG/ton NH3</v>
          </cell>
          <cell r="G979">
            <v>0.56000000000000005</v>
          </cell>
          <cell r="H979">
            <v>0.56000000000000005</v>
          </cell>
          <cell r="I979">
            <v>0.56000000000000005</v>
          </cell>
          <cell r="J979">
            <v>0.56000000000000005</v>
          </cell>
          <cell r="K979">
            <v>0.56000000000000005</v>
          </cell>
          <cell r="L979">
            <v>0.56000000000000005</v>
          </cell>
          <cell r="M979">
            <v>0.56000000000000005</v>
          </cell>
          <cell r="N979">
            <v>0.56000000000000005</v>
          </cell>
          <cell r="O979">
            <v>0.56000000000000005</v>
          </cell>
          <cell r="P979">
            <v>0.56000000000000005</v>
          </cell>
          <cell r="Q979">
            <v>0.56000000000000005</v>
          </cell>
          <cell r="R979">
            <v>0.56000000000000005</v>
          </cell>
          <cell r="S979">
            <v>0.56000000000000005</v>
          </cell>
          <cell r="T979">
            <v>0.56000000000000005</v>
          </cell>
          <cell r="U979">
            <v>0.56000000000000005</v>
          </cell>
          <cell r="V979">
            <v>0.56000000000000005</v>
          </cell>
          <cell r="W979">
            <v>0.56000000000000005</v>
          </cell>
          <cell r="X979">
            <v>0.56000000000000005</v>
          </cell>
          <cell r="Y979">
            <v>0.56000000000000005</v>
          </cell>
          <cell r="Z979">
            <v>0.56000000000000005</v>
          </cell>
          <cell r="AA979">
            <v>0.56000000000000005</v>
          </cell>
          <cell r="AB979">
            <v>0.56000000000000005</v>
          </cell>
          <cell r="AC979">
            <v>0.56000000000000005</v>
          </cell>
          <cell r="AD979">
            <v>0.56000000000000005</v>
          </cell>
          <cell r="AE979">
            <v>0.56000000000000005</v>
          </cell>
          <cell r="AF979">
            <v>0.56000000000000005</v>
          </cell>
          <cell r="AG979">
            <v>0.56000000000000005</v>
          </cell>
          <cell r="AH979">
            <v>0.56000000000000005</v>
          </cell>
        </row>
        <row r="980">
          <cell r="B980" t="str">
            <v>Blue ammonia (CCS) - Conversion N2 -&gt; NH3 - Global - ton N2/ton NH3</v>
          </cell>
          <cell r="G980">
            <v>0.82199999999999995</v>
          </cell>
          <cell r="H980">
            <v>0.82199999999999995</v>
          </cell>
          <cell r="I980">
            <v>0.82199999999999995</v>
          </cell>
          <cell r="J980">
            <v>0.82199999999999995</v>
          </cell>
          <cell r="K980">
            <v>0.82199999999999995</v>
          </cell>
          <cell r="L980">
            <v>0.82199999999999995</v>
          </cell>
          <cell r="M980">
            <v>0.82199999999999995</v>
          </cell>
          <cell r="N980">
            <v>0.82199999999999995</v>
          </cell>
          <cell r="O980">
            <v>0.82199999999999995</v>
          </cell>
          <cell r="P980">
            <v>0.82199999999999995</v>
          </cell>
          <cell r="Q980">
            <v>0.82199999999999995</v>
          </cell>
          <cell r="R980">
            <v>0.82199999999999995</v>
          </cell>
          <cell r="S980">
            <v>0.82199999999999995</v>
          </cell>
          <cell r="T980">
            <v>0.82199999999999995</v>
          </cell>
          <cell r="U980">
            <v>0.82199999999999995</v>
          </cell>
          <cell r="V980">
            <v>0.82199999999999995</v>
          </cell>
          <cell r="W980">
            <v>0.82199999999999995</v>
          </cell>
          <cell r="X980">
            <v>0.82199999999999995</v>
          </cell>
          <cell r="Y980">
            <v>0.82199999999999995</v>
          </cell>
          <cell r="Z980">
            <v>0.82199999999999995</v>
          </cell>
          <cell r="AA980">
            <v>0.82199999999999995</v>
          </cell>
          <cell r="AB980">
            <v>0.82199999999999995</v>
          </cell>
          <cell r="AC980">
            <v>0.82199999999999995</v>
          </cell>
          <cell r="AD980">
            <v>0.82199999999999995</v>
          </cell>
          <cell r="AE980">
            <v>0.82199999999999995</v>
          </cell>
          <cell r="AF980">
            <v>0.82199999999999995</v>
          </cell>
          <cell r="AG980">
            <v>0.82199999999999995</v>
          </cell>
          <cell r="AH980">
            <v>0.82199999999999995</v>
          </cell>
        </row>
        <row r="981">
          <cell r="B981" t="str">
            <v>Carbon storage - Carbon to store - Global - ton CO2/ton NH3</v>
          </cell>
          <cell r="G981">
            <v>1.6916480000000007</v>
          </cell>
          <cell r="H981">
            <v>1.6954240000000003</v>
          </cell>
          <cell r="I981">
            <v>1.6992000000000007</v>
          </cell>
          <cell r="J981">
            <v>1.7029760000000003</v>
          </cell>
          <cell r="K981">
            <v>1.7067520000000016</v>
          </cell>
          <cell r="L981">
            <v>1.7105280000000012</v>
          </cell>
          <cell r="M981">
            <v>1.7143040000000007</v>
          </cell>
          <cell r="N981">
            <v>1.718080000000002</v>
          </cell>
          <cell r="O981">
            <v>1.7218560000000001</v>
          </cell>
          <cell r="P981">
            <v>1.7256319999999996</v>
          </cell>
          <cell r="Q981">
            <v>1.7294079999999992</v>
          </cell>
          <cell r="R981">
            <v>1.7331839999999987</v>
          </cell>
          <cell r="S981">
            <v>1.7369600000000001</v>
          </cell>
          <cell r="T981">
            <v>1.7407359999999996</v>
          </cell>
          <cell r="U981">
            <v>1.7445120000000007</v>
          </cell>
          <cell r="V981">
            <v>1.7482880000000005</v>
          </cell>
          <cell r="W981">
            <v>1.7520640000000001</v>
          </cell>
          <cell r="X981">
            <v>1.7558400000000005</v>
          </cell>
          <cell r="Y981">
            <v>1.7596160000000001</v>
          </cell>
          <cell r="Z981">
            <v>1.7633919999999996</v>
          </cell>
          <cell r="AA981">
            <v>1.7671680000000007</v>
          </cell>
          <cell r="AB981">
            <v>1.7709440000000005</v>
          </cell>
          <cell r="AC981">
            <v>1.7747200000000001</v>
          </cell>
          <cell r="AD981">
            <v>1.7784960000000012</v>
          </cell>
          <cell r="AE981">
            <v>1.782272000000001</v>
          </cell>
          <cell r="AF981">
            <v>1.7860480000000005</v>
          </cell>
          <cell r="AG981">
            <v>1.7898240000000001</v>
          </cell>
          <cell r="AH981">
            <v>1.7935999999999996</v>
          </cell>
        </row>
        <row r="982">
          <cell r="B982" t="str">
            <v>Carbon capture - Carbon capture efficiency - Global - %</v>
          </cell>
          <cell r="G982">
            <v>0.89600000000000035</v>
          </cell>
          <cell r="H982">
            <v>0.89800000000000013</v>
          </cell>
          <cell r="I982">
            <v>0.90000000000000036</v>
          </cell>
          <cell r="J982">
            <v>0.90200000000000014</v>
          </cell>
          <cell r="K982">
            <v>0.9040000000000008</v>
          </cell>
          <cell r="L982">
            <v>0.90600000000000058</v>
          </cell>
          <cell r="M982">
            <v>0.90800000000000036</v>
          </cell>
          <cell r="N982">
            <v>0.91000000000000103</v>
          </cell>
          <cell r="O982">
            <v>0.91199999999999992</v>
          </cell>
          <cell r="P982">
            <v>0.9139999999999997</v>
          </cell>
          <cell r="Q982">
            <v>0.91599999999999948</v>
          </cell>
          <cell r="R982">
            <v>0.91799999999999926</v>
          </cell>
          <cell r="S982">
            <v>0.91999999999999993</v>
          </cell>
          <cell r="T982">
            <v>0.92199999999999971</v>
          </cell>
          <cell r="U982">
            <v>0.92400000000000038</v>
          </cell>
          <cell r="V982">
            <v>0.92600000000000016</v>
          </cell>
          <cell r="W982">
            <v>0.92799999999999994</v>
          </cell>
          <cell r="X982">
            <v>0.93000000000000016</v>
          </cell>
          <cell r="Y982">
            <v>0.93199999999999994</v>
          </cell>
          <cell r="Z982">
            <v>0.93399999999999972</v>
          </cell>
          <cell r="AA982">
            <v>0.93600000000000039</v>
          </cell>
          <cell r="AB982">
            <v>0.93800000000000017</v>
          </cell>
          <cell r="AC982">
            <v>0.94</v>
          </cell>
          <cell r="AD982">
            <v>0.94200000000000061</v>
          </cell>
          <cell r="AE982">
            <v>0.94400000000000039</v>
          </cell>
          <cell r="AF982">
            <v>0.94600000000000017</v>
          </cell>
          <cell r="AG982">
            <v>0.94799999999999995</v>
          </cell>
          <cell r="AH982">
            <v>0.94999999999999973</v>
          </cell>
        </row>
        <row r="983">
          <cell r="B983" t="str">
            <v>Carbon capture &amp; storage (CCS) - Conversion NG -&gt; CO2 -&gt; NH3 - Global - ton CO2/ton NH3</v>
          </cell>
          <cell r="G983">
            <v>1.8880000000000001</v>
          </cell>
          <cell r="H983">
            <v>1.8880000000000001</v>
          </cell>
          <cell r="I983">
            <v>1.8880000000000001</v>
          </cell>
          <cell r="J983">
            <v>1.8880000000000001</v>
          </cell>
          <cell r="K983">
            <v>1.8880000000000001</v>
          </cell>
          <cell r="L983">
            <v>1.8880000000000001</v>
          </cell>
          <cell r="M983">
            <v>1.8880000000000001</v>
          </cell>
          <cell r="N983">
            <v>1.8880000000000001</v>
          </cell>
          <cell r="O983">
            <v>1.8880000000000001</v>
          </cell>
          <cell r="P983">
            <v>1.8880000000000001</v>
          </cell>
          <cell r="Q983">
            <v>1.8880000000000001</v>
          </cell>
          <cell r="R983">
            <v>1.8880000000000001</v>
          </cell>
          <cell r="S983">
            <v>1.8880000000000001</v>
          </cell>
          <cell r="T983">
            <v>1.8880000000000001</v>
          </cell>
          <cell r="U983">
            <v>1.8880000000000001</v>
          </cell>
          <cell r="V983">
            <v>1.8880000000000001</v>
          </cell>
          <cell r="W983">
            <v>1.8880000000000001</v>
          </cell>
          <cell r="X983">
            <v>1.8880000000000001</v>
          </cell>
          <cell r="Y983">
            <v>1.8880000000000001</v>
          </cell>
          <cell r="Z983">
            <v>1.8880000000000001</v>
          </cell>
          <cell r="AA983">
            <v>1.8880000000000001</v>
          </cell>
          <cell r="AB983">
            <v>1.8880000000000001</v>
          </cell>
          <cell r="AC983">
            <v>1.8880000000000001</v>
          </cell>
          <cell r="AD983">
            <v>1.8880000000000001</v>
          </cell>
          <cell r="AE983">
            <v>1.8880000000000001</v>
          </cell>
          <cell r="AF983">
            <v>1.8880000000000001</v>
          </cell>
          <cell r="AG983">
            <v>1.8880000000000001</v>
          </cell>
          <cell r="AH983">
            <v>1.8880000000000001</v>
          </cell>
        </row>
        <row r="985">
          <cell r="B985" t="str">
            <v>Bio-methanol - Item - Region - Unit</v>
          </cell>
          <cell r="G985">
            <v>2023</v>
          </cell>
          <cell r="H985">
            <v>2024</v>
          </cell>
          <cell r="I985">
            <v>2025</v>
          </cell>
          <cell r="J985">
            <v>2026</v>
          </cell>
          <cell r="K985">
            <v>2027</v>
          </cell>
          <cell r="L985">
            <v>2028</v>
          </cell>
          <cell r="M985">
            <v>2029</v>
          </cell>
          <cell r="N985">
            <v>2030</v>
          </cell>
          <cell r="O985">
            <v>2031</v>
          </cell>
          <cell r="P985">
            <v>2032</v>
          </cell>
          <cell r="Q985">
            <v>2033</v>
          </cell>
          <cell r="R985">
            <v>2034</v>
          </cell>
          <cell r="S985">
            <v>2035</v>
          </cell>
          <cell r="T985">
            <v>2036</v>
          </cell>
          <cell r="U985">
            <v>2037</v>
          </cell>
          <cell r="V985">
            <v>2038</v>
          </cell>
          <cell r="W985">
            <v>2039</v>
          </cell>
          <cell r="X985">
            <v>2040</v>
          </cell>
          <cell r="Y985">
            <v>2041</v>
          </cell>
          <cell r="Z985">
            <v>2042</v>
          </cell>
          <cell r="AA985">
            <v>2043</v>
          </cell>
          <cell r="AB985">
            <v>2044</v>
          </cell>
          <cell r="AC985">
            <v>2045</v>
          </cell>
          <cell r="AD985">
            <v>2046</v>
          </cell>
          <cell r="AE985">
            <v>2047</v>
          </cell>
          <cell r="AF985">
            <v>2048</v>
          </cell>
          <cell r="AG985">
            <v>2049</v>
          </cell>
          <cell r="AH985">
            <v>2050</v>
          </cell>
        </row>
        <row r="986">
          <cell r="B986" t="str">
            <v>Bio-methanol - Total cost - Africa - USD/ton fuel</v>
          </cell>
          <cell r="G986">
            <v>858.21344695589153</v>
          </cell>
          <cell r="H986">
            <v>796.48236676736951</v>
          </cell>
          <cell r="I986">
            <v>734.75128657884659</v>
          </cell>
          <cell r="J986">
            <v>712.69159441187378</v>
          </cell>
          <cell r="K986">
            <v>690.63315150037511</v>
          </cell>
          <cell r="L986">
            <v>668.57595784435102</v>
          </cell>
          <cell r="M986">
            <v>646.52001344380096</v>
          </cell>
          <cell r="N986">
            <v>624.46531829872549</v>
          </cell>
          <cell r="O986">
            <v>615.70487426522914</v>
          </cell>
          <cell r="P986">
            <v>606.94512756773474</v>
          </cell>
          <cell r="Q986">
            <v>598.18607820624288</v>
          </cell>
          <cell r="R986">
            <v>589.42772618075355</v>
          </cell>
          <cell r="S986">
            <v>580.67007149126619</v>
          </cell>
          <cell r="T986">
            <v>571.96623817144518</v>
          </cell>
          <cell r="U986">
            <v>563.26273307622091</v>
          </cell>
          <cell r="V986">
            <v>554.55955620559507</v>
          </cell>
          <cell r="W986">
            <v>545.85670755956676</v>
          </cell>
          <cell r="X986">
            <v>537.1541871381354</v>
          </cell>
          <cell r="Y986">
            <v>532.15293219358728</v>
          </cell>
          <cell r="Z986">
            <v>527.15201475292292</v>
          </cell>
          <cell r="AA986">
            <v>522.15143481614382</v>
          </cell>
          <cell r="AB986">
            <v>517.15119238324928</v>
          </cell>
          <cell r="AC986">
            <v>512.1512874542384</v>
          </cell>
          <cell r="AD986">
            <v>507.28826227939737</v>
          </cell>
          <cell r="AE986">
            <v>502.4254027605009</v>
          </cell>
          <cell r="AF986">
            <v>497.56270889755064</v>
          </cell>
          <cell r="AG986">
            <v>492.70018069054578</v>
          </cell>
          <cell r="AH986">
            <v>487.83781813948548</v>
          </cell>
        </row>
        <row r="987">
          <cell r="B987" t="str">
            <v>Bio-methanol - Total cost - Americas - USD/ton fuel</v>
          </cell>
          <cell r="G987">
            <v>808.55799888990725</v>
          </cell>
          <cell r="H987">
            <v>749.79290668200815</v>
          </cell>
          <cell r="I987">
            <v>691.02781447410894</v>
          </cell>
          <cell r="J987">
            <v>669.30099197910613</v>
          </cell>
          <cell r="K987">
            <v>647.5750088694549</v>
          </cell>
          <cell r="L987">
            <v>625.84986514515492</v>
          </cell>
          <cell r="M987">
            <v>604.12556080620675</v>
          </cell>
          <cell r="N987">
            <v>582.40209585260982</v>
          </cell>
          <cell r="O987">
            <v>573.39505986205722</v>
          </cell>
          <cell r="P987">
            <v>564.38842780388723</v>
          </cell>
          <cell r="Q987">
            <v>555.38219967810164</v>
          </cell>
          <cell r="R987">
            <v>546.37637548469979</v>
          </cell>
          <cell r="S987">
            <v>537.37095522368065</v>
          </cell>
          <cell r="T987">
            <v>528.42710056778697</v>
          </cell>
          <cell r="U987">
            <v>519.48357334941829</v>
          </cell>
          <cell r="V987">
            <v>510.54037356857646</v>
          </cell>
          <cell r="W987">
            <v>501.59750122526066</v>
          </cell>
          <cell r="X987">
            <v>492.65495631947005</v>
          </cell>
          <cell r="Y987">
            <v>487.81891462033531</v>
          </cell>
          <cell r="Z987">
            <v>482.98300483535741</v>
          </cell>
          <cell r="AA987">
            <v>478.14722696453805</v>
          </cell>
          <cell r="AB987">
            <v>473.31158100787633</v>
          </cell>
          <cell r="AC987">
            <v>468.47606696537127</v>
          </cell>
          <cell r="AD987">
            <v>463.424423787058</v>
          </cell>
          <cell r="AE987">
            <v>458.37288012863849</v>
          </cell>
          <cell r="AF987">
            <v>453.32143599011488</v>
          </cell>
          <cell r="AG987">
            <v>448.27009137148627</v>
          </cell>
          <cell r="AH987">
            <v>443.21884627275182</v>
          </cell>
        </row>
        <row r="988">
          <cell r="B988" t="str">
            <v>Bio-methanol - Total cost - Asia - USD/ton fuel</v>
          </cell>
          <cell r="G988">
            <v>803.58085933681252</v>
          </cell>
          <cell r="H988">
            <v>742.45478739877046</v>
          </cell>
          <cell r="I988">
            <v>681.32871546072988</v>
          </cell>
          <cell r="J988">
            <v>658.95283411271248</v>
          </cell>
          <cell r="K988">
            <v>636.57829063655799</v>
          </cell>
          <cell r="L988">
            <v>614.20508503226552</v>
          </cell>
          <cell r="M988">
            <v>591.8332172998355</v>
          </cell>
          <cell r="N988">
            <v>569.46268743926851</v>
          </cell>
          <cell r="O988">
            <v>560.2875363642936</v>
          </cell>
          <cell r="P988">
            <v>551.11329462629135</v>
          </cell>
          <cell r="Q988">
            <v>541.9399622252638</v>
          </cell>
          <cell r="R988">
            <v>532.76753916120936</v>
          </cell>
          <cell r="S988">
            <v>523.59602543412745</v>
          </cell>
          <cell r="T988">
            <v>514.78282753350845</v>
          </cell>
          <cell r="U988">
            <v>505.97009196183706</v>
          </cell>
          <cell r="V988">
            <v>497.15781871911508</v>
          </cell>
          <cell r="W988">
            <v>488.34600780534157</v>
          </cell>
          <cell r="X988">
            <v>479.53465922051589</v>
          </cell>
          <cell r="Y988">
            <v>474.17288696465397</v>
          </cell>
          <cell r="Z988">
            <v>468.81159864149618</v>
          </cell>
          <cell r="AA988">
            <v>463.45079425104416</v>
          </cell>
          <cell r="AB988">
            <v>458.09047379329746</v>
          </cell>
          <cell r="AC988">
            <v>452.73063726825478</v>
          </cell>
          <cell r="AD988">
            <v>447.82146351629279</v>
          </cell>
          <cell r="AE988">
            <v>442.91251168945405</v>
          </cell>
          <cell r="AF988">
            <v>438.00378178774031</v>
          </cell>
          <cell r="AG988">
            <v>433.09527381115083</v>
          </cell>
          <cell r="AH988">
            <v>428.18698775968454</v>
          </cell>
        </row>
        <row r="989">
          <cell r="B989" t="str">
            <v>Bio-methanol - Total cost - Europe - USD/ton fuel</v>
          </cell>
          <cell r="G989">
            <v>827.51835384114952</v>
          </cell>
          <cell r="H989">
            <v>768.29863814728151</v>
          </cell>
          <cell r="I989">
            <v>709.07892245341361</v>
          </cell>
          <cell r="J989">
            <v>687.13915177461377</v>
          </cell>
          <cell r="K989">
            <v>665.20048150021307</v>
          </cell>
          <cell r="L989">
            <v>643.26291163021187</v>
          </cell>
          <cell r="M989">
            <v>621.32644216460972</v>
          </cell>
          <cell r="N989">
            <v>599.39107310340705</v>
          </cell>
          <cell r="O989">
            <v>590.58100735166727</v>
          </cell>
          <cell r="P989">
            <v>581.77139881772734</v>
          </cell>
          <cell r="Q989">
            <v>572.96224750158831</v>
          </cell>
          <cell r="R989">
            <v>564.15355340324959</v>
          </cell>
          <cell r="S989">
            <v>555.34531652271016</v>
          </cell>
          <cell r="T989">
            <v>546.44284288554036</v>
          </cell>
          <cell r="U989">
            <v>537.54064223063529</v>
          </cell>
          <cell r="V989">
            <v>528.6387145579971</v>
          </cell>
          <cell r="W989">
            <v>519.73705986762479</v>
          </cell>
          <cell r="X989">
            <v>510.83567815951739</v>
          </cell>
          <cell r="Y989">
            <v>505.8697113606604</v>
          </cell>
          <cell r="Z989">
            <v>500.90403660354298</v>
          </cell>
          <cell r="AA989">
            <v>495.93865388816693</v>
          </cell>
          <cell r="AB989">
            <v>490.9735632145314</v>
          </cell>
          <cell r="AC989">
            <v>486.00876458263542</v>
          </cell>
          <cell r="AD989">
            <v>481.10699752304504</v>
          </cell>
          <cell r="AE989">
            <v>476.20544354312199</v>
          </cell>
          <cell r="AF989">
            <v>471.30410264286809</v>
          </cell>
          <cell r="AG989">
            <v>466.40297482228243</v>
          </cell>
          <cell r="AH989">
            <v>461.50206008136411</v>
          </cell>
        </row>
        <row r="990">
          <cell r="B990" t="str">
            <v>Bio-methanol - Total cost - Middle East - USD/ton fuel</v>
          </cell>
          <cell r="G990">
            <v>840.19328577588544</v>
          </cell>
          <cell r="H990">
            <v>780.96838039168699</v>
          </cell>
          <cell r="I990">
            <v>721.74347500748831</v>
          </cell>
          <cell r="J990">
            <v>699.88168259331417</v>
          </cell>
          <cell r="K990">
            <v>678.0205971085519</v>
          </cell>
          <cell r="L990">
            <v>656.16021855320173</v>
          </cell>
          <cell r="M990">
            <v>634.30054692726367</v>
          </cell>
          <cell r="N990">
            <v>612.44158223073759</v>
          </cell>
          <cell r="O990">
            <v>603.35885588627025</v>
          </cell>
          <cell r="P990">
            <v>594.27662800850112</v>
          </cell>
          <cell r="Q990">
            <v>585.1948985974318</v>
          </cell>
          <cell r="R990">
            <v>576.11366765306184</v>
          </cell>
          <cell r="S990">
            <v>567.03293517539021</v>
          </cell>
          <cell r="T990">
            <v>558.3934225912576</v>
          </cell>
          <cell r="U990">
            <v>549.7541599330857</v>
          </cell>
          <cell r="V990">
            <v>541.11514720087621</v>
          </cell>
          <cell r="W990">
            <v>532.47638439462821</v>
          </cell>
          <cell r="X990">
            <v>523.83787151434103</v>
          </cell>
          <cell r="Y990">
            <v>518.60391049974453</v>
          </cell>
          <cell r="Z990">
            <v>513.37027723706763</v>
          </cell>
          <cell r="AA990">
            <v>508.13697172631197</v>
          </cell>
          <cell r="AB990">
            <v>502.90399396747716</v>
          </cell>
          <cell r="AC990">
            <v>497.6713439605619</v>
          </cell>
          <cell r="AD990">
            <v>492.57755494687012</v>
          </cell>
          <cell r="AE990">
            <v>487.4839193313577</v>
          </cell>
          <cell r="AF990">
            <v>482.39043711402655</v>
          </cell>
          <cell r="AG990">
            <v>477.29710829487601</v>
          </cell>
          <cell r="AH990">
            <v>472.20393287390516</v>
          </cell>
        </row>
        <row r="991">
          <cell r="B991" t="str">
            <v/>
          </cell>
        </row>
        <row r="992">
          <cell r="B992" t="str">
            <v>Bio-methanol - CAPEX - Global - USD/ton fuel</v>
          </cell>
          <cell r="G992">
            <v>140</v>
          </cell>
          <cell r="H992">
            <v>126.66666666666667</v>
          </cell>
          <cell r="I992">
            <v>113.33333333333333</v>
          </cell>
          <cell r="J992">
            <v>108.33333333333333</v>
          </cell>
          <cell r="K992">
            <v>103.33333333333333</v>
          </cell>
          <cell r="L992">
            <v>98.333333333333329</v>
          </cell>
          <cell r="M992">
            <v>93.333333333333329</v>
          </cell>
          <cell r="N992">
            <v>88.333333333333329</v>
          </cell>
          <cell r="O992">
            <v>86.166666666666671</v>
          </cell>
          <cell r="P992">
            <v>84</v>
          </cell>
          <cell r="Q992">
            <v>81.833333333333329</v>
          </cell>
          <cell r="R992">
            <v>79.666666666666671</v>
          </cell>
          <cell r="S992">
            <v>77.5</v>
          </cell>
          <cell r="T992">
            <v>75.333333333333329</v>
          </cell>
          <cell r="U992">
            <v>73.166666666666671</v>
          </cell>
          <cell r="V992">
            <v>71</v>
          </cell>
          <cell r="W992">
            <v>68.833333333333329</v>
          </cell>
          <cell r="X992">
            <v>66.666666666666671</v>
          </cell>
          <cell r="Y992">
            <v>65.333333333333329</v>
          </cell>
          <cell r="Z992">
            <v>64</v>
          </cell>
          <cell r="AA992">
            <v>62.666666666666664</v>
          </cell>
          <cell r="AB992">
            <v>61.333333333333336</v>
          </cell>
          <cell r="AC992">
            <v>60</v>
          </cell>
          <cell r="AD992">
            <v>58.666666666666664</v>
          </cell>
          <cell r="AE992">
            <v>57.333333333333336</v>
          </cell>
          <cell r="AF992">
            <v>56</v>
          </cell>
          <cell r="AG992">
            <v>54.666666666666664</v>
          </cell>
          <cell r="AH992">
            <v>53.333333333333336</v>
          </cell>
        </row>
        <row r="993">
          <cell r="B993" t="str">
            <v>Bio-methanol - Plant lifetime - Global - Years</v>
          </cell>
          <cell r="G993">
            <v>30</v>
          </cell>
          <cell r="H993">
            <v>30</v>
          </cell>
          <cell r="I993">
            <v>30</v>
          </cell>
          <cell r="J993">
            <v>30</v>
          </cell>
          <cell r="K993">
            <v>30</v>
          </cell>
          <cell r="L993">
            <v>30</v>
          </cell>
          <cell r="M993">
            <v>30</v>
          </cell>
          <cell r="N993">
            <v>30</v>
          </cell>
          <cell r="O993">
            <v>30</v>
          </cell>
          <cell r="P993">
            <v>30</v>
          </cell>
          <cell r="Q993">
            <v>30</v>
          </cell>
          <cell r="R993">
            <v>30</v>
          </cell>
          <cell r="S993">
            <v>30</v>
          </cell>
          <cell r="T993">
            <v>30</v>
          </cell>
          <cell r="U993">
            <v>30</v>
          </cell>
          <cell r="V993">
            <v>30</v>
          </cell>
          <cell r="W993">
            <v>30</v>
          </cell>
          <cell r="X993">
            <v>30</v>
          </cell>
          <cell r="Y993">
            <v>30</v>
          </cell>
          <cell r="Z993">
            <v>30</v>
          </cell>
          <cell r="AA993">
            <v>30</v>
          </cell>
          <cell r="AB993">
            <v>30</v>
          </cell>
          <cell r="AC993">
            <v>30</v>
          </cell>
          <cell r="AD993">
            <v>30</v>
          </cell>
          <cell r="AE993">
            <v>30</v>
          </cell>
          <cell r="AF993">
            <v>30</v>
          </cell>
          <cell r="AG993">
            <v>30</v>
          </cell>
          <cell r="AH993">
            <v>30</v>
          </cell>
        </row>
        <row r="994">
          <cell r="B994" t="str">
            <v>Bio-methanol - Total CAPEX - Global - USD/ton fuel</v>
          </cell>
          <cell r="G994">
            <v>4200</v>
          </cell>
          <cell r="H994">
            <v>3800</v>
          </cell>
          <cell r="I994">
            <v>3400</v>
          </cell>
          <cell r="J994">
            <v>3250</v>
          </cell>
          <cell r="K994">
            <v>3100</v>
          </cell>
          <cell r="L994">
            <v>2950</v>
          </cell>
          <cell r="M994">
            <v>2800</v>
          </cell>
          <cell r="N994">
            <v>2650</v>
          </cell>
          <cell r="O994">
            <v>2585</v>
          </cell>
          <cell r="P994">
            <v>2520</v>
          </cell>
          <cell r="Q994">
            <v>2455</v>
          </cell>
          <cell r="R994">
            <v>2390</v>
          </cell>
          <cell r="S994">
            <v>2325</v>
          </cell>
          <cell r="T994">
            <v>2260</v>
          </cell>
          <cell r="U994">
            <v>2195</v>
          </cell>
          <cell r="V994">
            <v>2130</v>
          </cell>
          <cell r="W994">
            <v>2065</v>
          </cell>
          <cell r="X994">
            <v>2000</v>
          </cell>
          <cell r="Y994">
            <v>1960</v>
          </cell>
          <cell r="Z994">
            <v>1920</v>
          </cell>
          <cell r="AA994">
            <v>1880</v>
          </cell>
          <cell r="AB994">
            <v>1840</v>
          </cell>
          <cell r="AC994">
            <v>1800</v>
          </cell>
          <cell r="AD994">
            <v>1760</v>
          </cell>
          <cell r="AE994">
            <v>1720</v>
          </cell>
          <cell r="AF994">
            <v>1680</v>
          </cell>
          <cell r="AG994">
            <v>1640</v>
          </cell>
          <cell r="AH994">
            <v>1600</v>
          </cell>
        </row>
        <row r="995">
          <cell r="B995" t="str">
            <v/>
          </cell>
        </row>
        <row r="996">
          <cell r="B996" t="str">
            <v>Bio-methanol - OPEX - Global - USD/ton fuel</v>
          </cell>
          <cell r="G996">
            <v>252</v>
          </cell>
          <cell r="H996">
            <v>228</v>
          </cell>
          <cell r="I996">
            <v>204</v>
          </cell>
          <cell r="J996">
            <v>195</v>
          </cell>
          <cell r="K996">
            <v>186</v>
          </cell>
          <cell r="L996">
            <v>177</v>
          </cell>
          <cell r="M996">
            <v>168</v>
          </cell>
          <cell r="N996">
            <v>159</v>
          </cell>
          <cell r="O996">
            <v>155.10000000000036</v>
          </cell>
          <cell r="P996">
            <v>151.19999999999982</v>
          </cell>
          <cell r="Q996">
            <v>147.30000000000018</v>
          </cell>
          <cell r="R996">
            <v>143.40000000000055</v>
          </cell>
          <cell r="S996">
            <v>139.5</v>
          </cell>
          <cell r="T996">
            <v>135.60000000000036</v>
          </cell>
          <cell r="U996">
            <v>131.69999999999982</v>
          </cell>
          <cell r="V996">
            <v>127.80000000000018</v>
          </cell>
          <cell r="W996">
            <v>123.90000000000055</v>
          </cell>
          <cell r="X996">
            <v>120</v>
          </cell>
          <cell r="Y996">
            <v>117.60000000000036</v>
          </cell>
          <cell r="Z996">
            <v>115.19999999999982</v>
          </cell>
          <cell r="AA996">
            <v>112.80000000000018</v>
          </cell>
          <cell r="AB996">
            <v>110.40000000000055</v>
          </cell>
          <cell r="AC996">
            <v>108</v>
          </cell>
          <cell r="AD996">
            <v>105.60000000000036</v>
          </cell>
          <cell r="AE996">
            <v>103.19999999999982</v>
          </cell>
          <cell r="AF996">
            <v>100.80000000000018</v>
          </cell>
          <cell r="AG996">
            <v>98.400000000000546</v>
          </cell>
          <cell r="AH996">
            <v>96</v>
          </cell>
        </row>
        <row r="997">
          <cell r="B997" t="str">
            <v>Bio-methanol - OPEX - Global - USD/ton fuel/year</v>
          </cell>
          <cell r="G997">
            <v>252</v>
          </cell>
          <cell r="H997">
            <v>228</v>
          </cell>
          <cell r="I997">
            <v>204</v>
          </cell>
          <cell r="J997">
            <v>195</v>
          </cell>
          <cell r="K997">
            <v>186</v>
          </cell>
          <cell r="L997">
            <v>177</v>
          </cell>
          <cell r="M997">
            <v>168</v>
          </cell>
          <cell r="N997">
            <v>159</v>
          </cell>
          <cell r="O997">
            <v>155.10000000000036</v>
          </cell>
          <cell r="P997">
            <v>151.19999999999982</v>
          </cell>
          <cell r="Q997">
            <v>147.30000000000018</v>
          </cell>
          <cell r="R997">
            <v>143.40000000000055</v>
          </cell>
          <cell r="S997">
            <v>139.5</v>
          </cell>
          <cell r="T997">
            <v>135.60000000000036</v>
          </cell>
          <cell r="U997">
            <v>131.69999999999982</v>
          </cell>
          <cell r="V997">
            <v>127.80000000000018</v>
          </cell>
          <cell r="W997">
            <v>123.90000000000055</v>
          </cell>
          <cell r="X997">
            <v>120</v>
          </cell>
          <cell r="Y997">
            <v>117.60000000000036</v>
          </cell>
          <cell r="Z997">
            <v>115.19999999999982</v>
          </cell>
          <cell r="AA997">
            <v>112.80000000000018</v>
          </cell>
          <cell r="AB997">
            <v>110.40000000000055</v>
          </cell>
          <cell r="AC997">
            <v>108</v>
          </cell>
          <cell r="AD997">
            <v>105.60000000000036</v>
          </cell>
          <cell r="AE997">
            <v>103.19999999999982</v>
          </cell>
          <cell r="AF997">
            <v>100.80000000000018</v>
          </cell>
          <cell r="AG997">
            <v>98.400000000000546</v>
          </cell>
          <cell r="AH997">
            <v>96</v>
          </cell>
        </row>
        <row r="998">
          <cell r="B998" t="str">
            <v/>
          </cell>
        </row>
        <row r="999">
          <cell r="B999" t="str">
            <v>Bio-methanol - Finance cost - Africa - USD/ton fuel</v>
          </cell>
          <cell r="G999">
            <v>231.00000000000003</v>
          </cell>
          <cell r="H999">
            <v>209.00000000000003</v>
          </cell>
          <cell r="I999">
            <v>187.00000000000003</v>
          </cell>
          <cell r="J999">
            <v>178.75000000000003</v>
          </cell>
          <cell r="K999">
            <v>170.50000000000003</v>
          </cell>
          <cell r="L999">
            <v>162.25000000000003</v>
          </cell>
          <cell r="M999">
            <v>154.00000000000003</v>
          </cell>
          <cell r="N999">
            <v>145.75000000000003</v>
          </cell>
          <cell r="O999">
            <v>142.17500000000001</v>
          </cell>
          <cell r="P999">
            <v>138.60000000000002</v>
          </cell>
          <cell r="Q999">
            <v>135.02500000000001</v>
          </cell>
          <cell r="R999">
            <v>131.45000000000002</v>
          </cell>
          <cell r="S999">
            <v>127.87500000000001</v>
          </cell>
          <cell r="T999">
            <v>124.30000000000001</v>
          </cell>
          <cell r="U999">
            <v>120.72500000000002</v>
          </cell>
          <cell r="V999">
            <v>117.15000000000002</v>
          </cell>
          <cell r="W999">
            <v>113.57500000000002</v>
          </cell>
          <cell r="X999">
            <v>110.00000000000001</v>
          </cell>
          <cell r="Y999">
            <v>107.80000000000001</v>
          </cell>
          <cell r="Z999">
            <v>105.60000000000001</v>
          </cell>
          <cell r="AA999">
            <v>103.40000000000002</v>
          </cell>
          <cell r="AB999">
            <v>101.20000000000002</v>
          </cell>
          <cell r="AC999">
            <v>99.000000000000014</v>
          </cell>
          <cell r="AD999">
            <v>96.800000000000011</v>
          </cell>
          <cell r="AE999">
            <v>94.600000000000009</v>
          </cell>
          <cell r="AF999">
            <v>92.4</v>
          </cell>
          <cell r="AG999">
            <v>90.200000000000017</v>
          </cell>
          <cell r="AH999">
            <v>88.000000000000014</v>
          </cell>
        </row>
        <row r="1000">
          <cell r="B1000" t="str">
            <v>Bio-methanol - Finance cost - Americas - USD/ton fuel</v>
          </cell>
          <cell r="G1000">
            <v>231.00000000000003</v>
          </cell>
          <cell r="H1000">
            <v>209.00000000000003</v>
          </cell>
          <cell r="I1000">
            <v>187.00000000000003</v>
          </cell>
          <cell r="J1000">
            <v>178.75000000000003</v>
          </cell>
          <cell r="K1000">
            <v>170.50000000000003</v>
          </cell>
          <cell r="L1000">
            <v>162.25000000000003</v>
          </cell>
          <cell r="M1000">
            <v>154.00000000000003</v>
          </cell>
          <cell r="N1000">
            <v>145.75000000000003</v>
          </cell>
          <cell r="O1000">
            <v>142.17500000000001</v>
          </cell>
          <cell r="P1000">
            <v>138.60000000000002</v>
          </cell>
          <cell r="Q1000">
            <v>135.02500000000001</v>
          </cell>
          <cell r="R1000">
            <v>131.45000000000002</v>
          </cell>
          <cell r="S1000">
            <v>127.87500000000001</v>
          </cell>
          <cell r="T1000">
            <v>124.30000000000001</v>
          </cell>
          <cell r="U1000">
            <v>120.72500000000002</v>
          </cell>
          <cell r="V1000">
            <v>117.15000000000002</v>
          </cell>
          <cell r="W1000">
            <v>113.57500000000002</v>
          </cell>
          <cell r="X1000">
            <v>110.00000000000001</v>
          </cell>
          <cell r="Y1000">
            <v>107.80000000000001</v>
          </cell>
          <cell r="Z1000">
            <v>105.60000000000001</v>
          </cell>
          <cell r="AA1000">
            <v>103.40000000000002</v>
          </cell>
          <cell r="AB1000">
            <v>101.20000000000002</v>
          </cell>
          <cell r="AC1000">
            <v>99.000000000000014</v>
          </cell>
          <cell r="AD1000">
            <v>96.800000000000011</v>
          </cell>
          <cell r="AE1000">
            <v>94.600000000000009</v>
          </cell>
          <cell r="AF1000">
            <v>92.4</v>
          </cell>
          <cell r="AG1000">
            <v>90.200000000000017</v>
          </cell>
          <cell r="AH1000">
            <v>88.000000000000014</v>
          </cell>
        </row>
        <row r="1001">
          <cell r="B1001" t="str">
            <v>Bio-methanol - Finance cost - Asia - USD/ton fuel</v>
          </cell>
          <cell r="G1001">
            <v>231.00000000000003</v>
          </cell>
          <cell r="H1001">
            <v>209.00000000000003</v>
          </cell>
          <cell r="I1001">
            <v>187.00000000000003</v>
          </cell>
          <cell r="J1001">
            <v>178.75000000000003</v>
          </cell>
          <cell r="K1001">
            <v>170.50000000000003</v>
          </cell>
          <cell r="L1001">
            <v>162.25000000000003</v>
          </cell>
          <cell r="M1001">
            <v>154.00000000000003</v>
          </cell>
          <cell r="N1001">
            <v>145.75000000000003</v>
          </cell>
          <cell r="O1001">
            <v>142.17500000000001</v>
          </cell>
          <cell r="P1001">
            <v>138.60000000000002</v>
          </cell>
          <cell r="Q1001">
            <v>135.02500000000001</v>
          </cell>
          <cell r="R1001">
            <v>131.45000000000002</v>
          </cell>
          <cell r="S1001">
            <v>127.87500000000001</v>
          </cell>
          <cell r="T1001">
            <v>124.30000000000001</v>
          </cell>
          <cell r="U1001">
            <v>120.72500000000002</v>
          </cell>
          <cell r="V1001">
            <v>117.15000000000002</v>
          </cell>
          <cell r="W1001">
            <v>113.57500000000002</v>
          </cell>
          <cell r="X1001">
            <v>110.00000000000001</v>
          </cell>
          <cell r="Y1001">
            <v>107.80000000000001</v>
          </cell>
          <cell r="Z1001">
            <v>105.60000000000001</v>
          </cell>
          <cell r="AA1001">
            <v>103.40000000000002</v>
          </cell>
          <cell r="AB1001">
            <v>101.20000000000002</v>
          </cell>
          <cell r="AC1001">
            <v>99.000000000000014</v>
          </cell>
          <cell r="AD1001">
            <v>96.800000000000011</v>
          </cell>
          <cell r="AE1001">
            <v>94.600000000000009</v>
          </cell>
          <cell r="AF1001">
            <v>92.4</v>
          </cell>
          <cell r="AG1001">
            <v>90.200000000000017</v>
          </cell>
          <cell r="AH1001">
            <v>88.000000000000014</v>
          </cell>
        </row>
        <row r="1002">
          <cell r="B1002" t="str">
            <v>Bio-methanol - Finance cost - Europe - USD/ton fuel</v>
          </cell>
          <cell r="G1002">
            <v>231.00000000000003</v>
          </cell>
          <cell r="H1002">
            <v>209.00000000000003</v>
          </cell>
          <cell r="I1002">
            <v>187.00000000000003</v>
          </cell>
          <cell r="J1002">
            <v>178.75000000000003</v>
          </cell>
          <cell r="K1002">
            <v>170.50000000000003</v>
          </cell>
          <cell r="L1002">
            <v>162.25000000000003</v>
          </cell>
          <cell r="M1002">
            <v>154.00000000000003</v>
          </cell>
          <cell r="N1002">
            <v>145.75000000000003</v>
          </cell>
          <cell r="O1002">
            <v>142.17500000000001</v>
          </cell>
          <cell r="P1002">
            <v>138.60000000000002</v>
          </cell>
          <cell r="Q1002">
            <v>135.02500000000001</v>
          </cell>
          <cell r="R1002">
            <v>131.45000000000002</v>
          </cell>
          <cell r="S1002">
            <v>127.87500000000001</v>
          </cell>
          <cell r="T1002">
            <v>124.30000000000001</v>
          </cell>
          <cell r="U1002">
            <v>120.72500000000002</v>
          </cell>
          <cell r="V1002">
            <v>117.15000000000002</v>
          </cell>
          <cell r="W1002">
            <v>113.57500000000002</v>
          </cell>
          <cell r="X1002">
            <v>110.00000000000001</v>
          </cell>
          <cell r="Y1002">
            <v>107.80000000000001</v>
          </cell>
          <cell r="Z1002">
            <v>105.60000000000001</v>
          </cell>
          <cell r="AA1002">
            <v>103.40000000000002</v>
          </cell>
          <cell r="AB1002">
            <v>101.20000000000002</v>
          </cell>
          <cell r="AC1002">
            <v>99.000000000000014</v>
          </cell>
          <cell r="AD1002">
            <v>96.800000000000011</v>
          </cell>
          <cell r="AE1002">
            <v>94.600000000000009</v>
          </cell>
          <cell r="AF1002">
            <v>92.4</v>
          </cell>
          <cell r="AG1002">
            <v>90.200000000000017</v>
          </cell>
          <cell r="AH1002">
            <v>88.000000000000014</v>
          </cell>
        </row>
        <row r="1003">
          <cell r="B1003" t="str">
            <v>Bio-methanol - Finance cost - Middle East - USD/ton fuel</v>
          </cell>
          <cell r="G1003">
            <v>231.00000000000003</v>
          </cell>
          <cell r="H1003">
            <v>209.00000000000003</v>
          </cell>
          <cell r="I1003">
            <v>187.00000000000003</v>
          </cell>
          <cell r="J1003">
            <v>178.75000000000003</v>
          </cell>
          <cell r="K1003">
            <v>170.50000000000003</v>
          </cell>
          <cell r="L1003">
            <v>162.25000000000003</v>
          </cell>
          <cell r="M1003">
            <v>154.00000000000003</v>
          </cell>
          <cell r="N1003">
            <v>145.75000000000003</v>
          </cell>
          <cell r="O1003">
            <v>142.17500000000001</v>
          </cell>
          <cell r="P1003">
            <v>138.60000000000002</v>
          </cell>
          <cell r="Q1003">
            <v>135.02500000000001</v>
          </cell>
          <cell r="R1003">
            <v>131.45000000000002</v>
          </cell>
          <cell r="S1003">
            <v>127.87500000000001</v>
          </cell>
          <cell r="T1003">
            <v>124.30000000000001</v>
          </cell>
          <cell r="U1003">
            <v>120.72500000000002</v>
          </cell>
          <cell r="V1003">
            <v>117.15000000000002</v>
          </cell>
          <cell r="W1003">
            <v>113.57500000000002</v>
          </cell>
          <cell r="X1003">
            <v>110.00000000000001</v>
          </cell>
          <cell r="Y1003">
            <v>107.80000000000001</v>
          </cell>
          <cell r="Z1003">
            <v>105.60000000000001</v>
          </cell>
          <cell r="AA1003">
            <v>103.40000000000002</v>
          </cell>
          <cell r="AB1003">
            <v>101.20000000000002</v>
          </cell>
          <cell r="AC1003">
            <v>99.000000000000014</v>
          </cell>
          <cell r="AD1003">
            <v>96.800000000000011</v>
          </cell>
          <cell r="AE1003">
            <v>94.600000000000009</v>
          </cell>
          <cell r="AF1003">
            <v>92.4</v>
          </cell>
          <cell r="AG1003">
            <v>90.200000000000017</v>
          </cell>
          <cell r="AH1003">
            <v>88.000000000000014</v>
          </cell>
        </row>
        <row r="1004">
          <cell r="B1004" t="str">
            <v>General - Weighted average cost of capital (WACC) - Africa - %</v>
          </cell>
          <cell r="G1004">
            <v>5.5000000000000007E-2</v>
          </cell>
          <cell r="H1004">
            <v>5.5000000000000007E-2</v>
          </cell>
          <cell r="I1004">
            <v>5.5000000000000007E-2</v>
          </cell>
          <cell r="J1004">
            <v>5.5000000000000007E-2</v>
          </cell>
          <cell r="K1004">
            <v>5.5000000000000007E-2</v>
          </cell>
          <cell r="L1004">
            <v>5.5000000000000007E-2</v>
          </cell>
          <cell r="M1004">
            <v>5.5000000000000007E-2</v>
          </cell>
          <cell r="N1004">
            <v>5.5000000000000007E-2</v>
          </cell>
          <cell r="O1004">
            <v>5.5000000000000007E-2</v>
          </cell>
          <cell r="P1004">
            <v>5.5000000000000007E-2</v>
          </cell>
          <cell r="Q1004">
            <v>5.5000000000000007E-2</v>
          </cell>
          <cell r="R1004">
            <v>5.5000000000000007E-2</v>
          </cell>
          <cell r="S1004">
            <v>5.5000000000000007E-2</v>
          </cell>
          <cell r="T1004">
            <v>5.5000000000000007E-2</v>
          </cell>
          <cell r="U1004">
            <v>5.5000000000000007E-2</v>
          </cell>
          <cell r="V1004">
            <v>5.5000000000000007E-2</v>
          </cell>
          <cell r="W1004">
            <v>5.5000000000000007E-2</v>
          </cell>
          <cell r="X1004">
            <v>5.5000000000000007E-2</v>
          </cell>
          <cell r="Y1004">
            <v>5.5000000000000007E-2</v>
          </cell>
          <cell r="Z1004">
            <v>5.5000000000000007E-2</v>
          </cell>
          <cell r="AA1004">
            <v>5.5000000000000007E-2</v>
          </cell>
          <cell r="AB1004">
            <v>5.5000000000000007E-2</v>
          </cell>
          <cell r="AC1004">
            <v>5.5000000000000007E-2</v>
          </cell>
          <cell r="AD1004">
            <v>5.5000000000000007E-2</v>
          </cell>
          <cell r="AE1004">
            <v>5.5000000000000007E-2</v>
          </cell>
          <cell r="AF1004">
            <v>5.5000000000000007E-2</v>
          </cell>
          <cell r="AG1004">
            <v>5.5000000000000007E-2</v>
          </cell>
          <cell r="AH1004">
            <v>5.5000000000000007E-2</v>
          </cell>
        </row>
        <row r="1005">
          <cell r="B1005" t="str">
            <v>General - Weighted average cost of capital (WACC) - Americas - %</v>
          </cell>
          <cell r="G1005">
            <v>5.5000000000000007E-2</v>
          </cell>
          <cell r="H1005">
            <v>5.5000000000000007E-2</v>
          </cell>
          <cell r="I1005">
            <v>5.5000000000000007E-2</v>
          </cell>
          <cell r="J1005">
            <v>5.5000000000000007E-2</v>
          </cell>
          <cell r="K1005">
            <v>5.5000000000000007E-2</v>
          </cell>
          <cell r="L1005">
            <v>5.5000000000000007E-2</v>
          </cell>
          <cell r="M1005">
            <v>5.5000000000000007E-2</v>
          </cell>
          <cell r="N1005">
            <v>5.5000000000000007E-2</v>
          </cell>
          <cell r="O1005">
            <v>5.5000000000000007E-2</v>
          </cell>
          <cell r="P1005">
            <v>5.5000000000000007E-2</v>
          </cell>
          <cell r="Q1005">
            <v>5.5000000000000007E-2</v>
          </cell>
          <cell r="R1005">
            <v>5.5000000000000007E-2</v>
          </cell>
          <cell r="S1005">
            <v>5.5000000000000007E-2</v>
          </cell>
          <cell r="T1005">
            <v>5.5000000000000007E-2</v>
          </cell>
          <cell r="U1005">
            <v>5.5000000000000007E-2</v>
          </cell>
          <cell r="V1005">
            <v>5.5000000000000007E-2</v>
          </cell>
          <cell r="W1005">
            <v>5.5000000000000007E-2</v>
          </cell>
          <cell r="X1005">
            <v>5.5000000000000007E-2</v>
          </cell>
          <cell r="Y1005">
            <v>5.5000000000000007E-2</v>
          </cell>
          <cell r="Z1005">
            <v>5.5000000000000007E-2</v>
          </cell>
          <cell r="AA1005">
            <v>5.5000000000000007E-2</v>
          </cell>
          <cell r="AB1005">
            <v>5.5000000000000007E-2</v>
          </cell>
          <cell r="AC1005">
            <v>5.5000000000000007E-2</v>
          </cell>
          <cell r="AD1005">
            <v>5.5000000000000007E-2</v>
          </cell>
          <cell r="AE1005">
            <v>5.5000000000000007E-2</v>
          </cell>
          <cell r="AF1005">
            <v>5.5000000000000007E-2</v>
          </cell>
          <cell r="AG1005">
            <v>5.5000000000000007E-2</v>
          </cell>
          <cell r="AH1005">
            <v>5.5000000000000007E-2</v>
          </cell>
        </row>
        <row r="1006">
          <cell r="B1006" t="str">
            <v>General - Weighted average cost of capital (WACC) - Asia - %</v>
          </cell>
          <cell r="G1006">
            <v>5.5000000000000007E-2</v>
          </cell>
          <cell r="H1006">
            <v>5.5000000000000007E-2</v>
          </cell>
          <cell r="I1006">
            <v>5.5000000000000007E-2</v>
          </cell>
          <cell r="J1006">
            <v>5.5000000000000007E-2</v>
          </cell>
          <cell r="K1006">
            <v>5.5000000000000007E-2</v>
          </cell>
          <cell r="L1006">
            <v>5.5000000000000007E-2</v>
          </cell>
          <cell r="M1006">
            <v>5.5000000000000007E-2</v>
          </cell>
          <cell r="N1006">
            <v>5.5000000000000007E-2</v>
          </cell>
          <cell r="O1006">
            <v>5.5000000000000007E-2</v>
          </cell>
          <cell r="P1006">
            <v>5.5000000000000007E-2</v>
          </cell>
          <cell r="Q1006">
            <v>5.5000000000000007E-2</v>
          </cell>
          <cell r="R1006">
            <v>5.5000000000000007E-2</v>
          </cell>
          <cell r="S1006">
            <v>5.5000000000000007E-2</v>
          </cell>
          <cell r="T1006">
            <v>5.5000000000000007E-2</v>
          </cell>
          <cell r="U1006">
            <v>5.5000000000000007E-2</v>
          </cell>
          <cell r="V1006">
            <v>5.5000000000000007E-2</v>
          </cell>
          <cell r="W1006">
            <v>5.5000000000000007E-2</v>
          </cell>
          <cell r="X1006">
            <v>5.5000000000000007E-2</v>
          </cell>
          <cell r="Y1006">
            <v>5.5000000000000007E-2</v>
          </cell>
          <cell r="Z1006">
            <v>5.5000000000000007E-2</v>
          </cell>
          <cell r="AA1006">
            <v>5.5000000000000007E-2</v>
          </cell>
          <cell r="AB1006">
            <v>5.5000000000000007E-2</v>
          </cell>
          <cell r="AC1006">
            <v>5.5000000000000007E-2</v>
          </cell>
          <cell r="AD1006">
            <v>5.5000000000000007E-2</v>
          </cell>
          <cell r="AE1006">
            <v>5.5000000000000007E-2</v>
          </cell>
          <cell r="AF1006">
            <v>5.5000000000000007E-2</v>
          </cell>
          <cell r="AG1006">
            <v>5.5000000000000007E-2</v>
          </cell>
          <cell r="AH1006">
            <v>5.5000000000000007E-2</v>
          </cell>
        </row>
        <row r="1007">
          <cell r="B1007" t="str">
            <v>General - Weighted average cost of capital (WACC) - Europe - %</v>
          </cell>
          <cell r="G1007">
            <v>5.5000000000000007E-2</v>
          </cell>
          <cell r="H1007">
            <v>5.5000000000000007E-2</v>
          </cell>
          <cell r="I1007">
            <v>5.5000000000000007E-2</v>
          </cell>
          <cell r="J1007">
            <v>5.5000000000000007E-2</v>
          </cell>
          <cell r="K1007">
            <v>5.5000000000000007E-2</v>
          </cell>
          <cell r="L1007">
            <v>5.5000000000000007E-2</v>
          </cell>
          <cell r="M1007">
            <v>5.5000000000000007E-2</v>
          </cell>
          <cell r="N1007">
            <v>5.5000000000000007E-2</v>
          </cell>
          <cell r="O1007">
            <v>5.5000000000000007E-2</v>
          </cell>
          <cell r="P1007">
            <v>5.5000000000000007E-2</v>
          </cell>
          <cell r="Q1007">
            <v>5.5000000000000007E-2</v>
          </cell>
          <cell r="R1007">
            <v>5.5000000000000007E-2</v>
          </cell>
          <cell r="S1007">
            <v>5.5000000000000007E-2</v>
          </cell>
          <cell r="T1007">
            <v>5.5000000000000007E-2</v>
          </cell>
          <cell r="U1007">
            <v>5.5000000000000007E-2</v>
          </cell>
          <cell r="V1007">
            <v>5.5000000000000007E-2</v>
          </cell>
          <cell r="W1007">
            <v>5.5000000000000007E-2</v>
          </cell>
          <cell r="X1007">
            <v>5.5000000000000007E-2</v>
          </cell>
          <cell r="Y1007">
            <v>5.5000000000000007E-2</v>
          </cell>
          <cell r="Z1007">
            <v>5.5000000000000007E-2</v>
          </cell>
          <cell r="AA1007">
            <v>5.5000000000000007E-2</v>
          </cell>
          <cell r="AB1007">
            <v>5.5000000000000007E-2</v>
          </cell>
          <cell r="AC1007">
            <v>5.5000000000000007E-2</v>
          </cell>
          <cell r="AD1007">
            <v>5.5000000000000007E-2</v>
          </cell>
          <cell r="AE1007">
            <v>5.5000000000000007E-2</v>
          </cell>
          <cell r="AF1007">
            <v>5.5000000000000007E-2</v>
          </cell>
          <cell r="AG1007">
            <v>5.5000000000000007E-2</v>
          </cell>
          <cell r="AH1007">
            <v>5.5000000000000007E-2</v>
          </cell>
        </row>
        <row r="1008">
          <cell r="B1008" t="str">
            <v>General - Weighted average cost of capital (WACC) - Middle East - %</v>
          </cell>
          <cell r="G1008">
            <v>5.5000000000000007E-2</v>
          </cell>
          <cell r="H1008">
            <v>5.5000000000000007E-2</v>
          </cell>
          <cell r="I1008">
            <v>5.5000000000000007E-2</v>
          </cell>
          <cell r="J1008">
            <v>5.5000000000000007E-2</v>
          </cell>
          <cell r="K1008">
            <v>5.5000000000000007E-2</v>
          </cell>
          <cell r="L1008">
            <v>5.5000000000000007E-2</v>
          </cell>
          <cell r="M1008">
            <v>5.5000000000000007E-2</v>
          </cell>
          <cell r="N1008">
            <v>5.5000000000000007E-2</v>
          </cell>
          <cell r="O1008">
            <v>5.5000000000000007E-2</v>
          </cell>
          <cell r="P1008">
            <v>5.5000000000000007E-2</v>
          </cell>
          <cell r="Q1008">
            <v>5.5000000000000007E-2</v>
          </cell>
          <cell r="R1008">
            <v>5.5000000000000007E-2</v>
          </cell>
          <cell r="S1008">
            <v>5.5000000000000007E-2</v>
          </cell>
          <cell r="T1008">
            <v>5.5000000000000007E-2</v>
          </cell>
          <cell r="U1008">
            <v>5.5000000000000007E-2</v>
          </cell>
          <cell r="V1008">
            <v>5.5000000000000007E-2</v>
          </cell>
          <cell r="W1008">
            <v>5.5000000000000007E-2</v>
          </cell>
          <cell r="X1008">
            <v>5.5000000000000007E-2</v>
          </cell>
          <cell r="Y1008">
            <v>5.5000000000000007E-2</v>
          </cell>
          <cell r="Z1008">
            <v>5.5000000000000007E-2</v>
          </cell>
          <cell r="AA1008">
            <v>5.5000000000000007E-2</v>
          </cell>
          <cell r="AB1008">
            <v>5.5000000000000007E-2</v>
          </cell>
          <cell r="AC1008">
            <v>5.5000000000000007E-2</v>
          </cell>
          <cell r="AD1008">
            <v>5.5000000000000007E-2</v>
          </cell>
          <cell r="AE1008">
            <v>5.5000000000000007E-2</v>
          </cell>
          <cell r="AF1008">
            <v>5.5000000000000007E-2</v>
          </cell>
          <cell r="AG1008">
            <v>5.5000000000000007E-2</v>
          </cell>
          <cell r="AH1008">
            <v>5.5000000000000007E-2</v>
          </cell>
        </row>
        <row r="1009">
          <cell r="B1009" t="str">
            <v>Bio-methanol - Total CAPEX - Global - USD/ton fuel</v>
          </cell>
          <cell r="G1009">
            <v>4200</v>
          </cell>
          <cell r="H1009">
            <v>3800</v>
          </cell>
          <cell r="I1009">
            <v>3400</v>
          </cell>
          <cell r="J1009">
            <v>3250</v>
          </cell>
          <cell r="K1009">
            <v>3100</v>
          </cell>
          <cell r="L1009">
            <v>2950</v>
          </cell>
          <cell r="M1009">
            <v>2800</v>
          </cell>
          <cell r="N1009">
            <v>2650</v>
          </cell>
          <cell r="O1009">
            <v>2585</v>
          </cell>
          <cell r="P1009">
            <v>2520</v>
          </cell>
          <cell r="Q1009">
            <v>2455</v>
          </cell>
          <cell r="R1009">
            <v>2390</v>
          </cell>
          <cell r="S1009">
            <v>2325</v>
          </cell>
          <cell r="T1009">
            <v>2260</v>
          </cell>
          <cell r="U1009">
            <v>2195</v>
          </cell>
          <cell r="V1009">
            <v>2130</v>
          </cell>
          <cell r="W1009">
            <v>2065</v>
          </cell>
          <cell r="X1009">
            <v>2000</v>
          </cell>
          <cell r="Y1009">
            <v>1960</v>
          </cell>
          <cell r="Z1009">
            <v>1920</v>
          </cell>
          <cell r="AA1009">
            <v>1880</v>
          </cell>
          <cell r="AB1009">
            <v>1840</v>
          </cell>
          <cell r="AC1009">
            <v>1800</v>
          </cell>
          <cell r="AD1009">
            <v>1760</v>
          </cell>
          <cell r="AE1009">
            <v>1720</v>
          </cell>
          <cell r="AF1009">
            <v>1680</v>
          </cell>
          <cell r="AG1009">
            <v>1640</v>
          </cell>
          <cell r="AH1009">
            <v>1600</v>
          </cell>
        </row>
        <row r="1010">
          <cell r="B1010" t="str">
            <v/>
          </cell>
        </row>
        <row r="1011">
          <cell r="B1011" t="str">
            <v>Bio-methanol - Energy cost - Africa - USD/ton fuel</v>
          </cell>
          <cell r="G1011">
            <v>30.723446955891486</v>
          </cell>
          <cell r="H1011">
            <v>27.115700100702867</v>
          </cell>
          <cell r="I1011">
            <v>23.507953245513288</v>
          </cell>
          <cell r="J1011">
            <v>22.488261078540386</v>
          </cell>
          <cell r="K1011">
            <v>21.469818167041836</v>
          </cell>
          <cell r="L1011">
            <v>20.452624511017646</v>
          </cell>
          <cell r="M1011">
            <v>19.43668011046757</v>
          </cell>
          <cell r="N1011">
            <v>18.421984965392092</v>
          </cell>
          <cell r="O1011">
            <v>17.851207598562304</v>
          </cell>
          <cell r="P1011">
            <v>17.281127567734838</v>
          </cell>
          <cell r="Q1011">
            <v>16.711744872909456</v>
          </cell>
          <cell r="R1011">
            <v>16.143059514086637</v>
          </cell>
          <cell r="S1011">
            <v>15.575071491266204</v>
          </cell>
          <cell r="T1011">
            <v>15.302904838111498</v>
          </cell>
          <cell r="U1011">
            <v>15.031066409554443</v>
          </cell>
          <cell r="V1011">
            <v>14.759556205594913</v>
          </cell>
          <cell r="W1011">
            <v>14.48837422623297</v>
          </cell>
          <cell r="X1011">
            <v>14.217520471468733</v>
          </cell>
          <cell r="Y1011">
            <v>13.939598860253643</v>
          </cell>
          <cell r="Z1011">
            <v>13.66201475292308</v>
          </cell>
          <cell r="AA1011">
            <v>13.384768149476928</v>
          </cell>
          <cell r="AB1011">
            <v>13.107859049915422</v>
          </cell>
          <cell r="AC1011">
            <v>12.831287454238387</v>
          </cell>
          <cell r="AD1011">
            <v>12.691595612730355</v>
          </cell>
          <cell r="AE1011">
            <v>12.552069427167757</v>
          </cell>
          <cell r="AF1011">
            <v>12.412708897550477</v>
          </cell>
          <cell r="AG1011">
            <v>12.273514023878572</v>
          </cell>
          <cell r="AH1011">
            <v>12.134484806152102</v>
          </cell>
        </row>
        <row r="1012">
          <cell r="B1012" t="str">
            <v>Bio-methanol - Energy cost - Americas - USD/ton fuel</v>
          </cell>
          <cell r="G1012">
            <v>19.303998889907085</v>
          </cell>
          <cell r="H1012">
            <v>18.904240015341401</v>
          </cell>
          <cell r="I1012">
            <v>18.504481140775592</v>
          </cell>
          <cell r="J1012">
            <v>17.817658645772781</v>
          </cell>
          <cell r="K1012">
            <v>17.131675536121442</v>
          </cell>
          <cell r="L1012">
            <v>16.446531811821576</v>
          </cell>
          <cell r="M1012">
            <v>15.762227472873425</v>
          </cell>
          <cell r="N1012">
            <v>15.078762519276511</v>
          </cell>
          <cell r="O1012">
            <v>14.745393195389994</v>
          </cell>
          <cell r="P1012">
            <v>14.412427803887153</v>
          </cell>
          <cell r="Q1012">
            <v>14.079866344767993</v>
          </cell>
          <cell r="R1012">
            <v>13.74770881803251</v>
          </cell>
          <cell r="S1012">
            <v>13.415955223680649</v>
          </cell>
          <cell r="T1012">
            <v>13.145767234453128</v>
          </cell>
          <cell r="U1012">
            <v>12.875906682751648</v>
          </cell>
          <cell r="V1012">
            <v>12.606373568576146</v>
          </cell>
          <cell r="W1012">
            <v>12.33716789192674</v>
          </cell>
          <cell r="X1012">
            <v>12.068289652803344</v>
          </cell>
          <cell r="Y1012">
            <v>11.955581287001642</v>
          </cell>
          <cell r="Z1012">
            <v>11.843004835357581</v>
          </cell>
          <cell r="AA1012">
            <v>11.730560297871191</v>
          </cell>
          <cell r="AB1012">
            <v>11.61824767454241</v>
          </cell>
          <cell r="AC1012">
            <v>11.50606696537127</v>
          </cell>
          <cell r="AD1012">
            <v>11.41975712039071</v>
          </cell>
          <cell r="AE1012">
            <v>11.333546795305164</v>
          </cell>
          <cell r="AF1012">
            <v>11.247435990114605</v>
          </cell>
          <cell r="AG1012">
            <v>11.16142470481903</v>
          </cell>
          <cell r="AH1012">
            <v>11.075512939418443</v>
          </cell>
        </row>
        <row r="1013">
          <cell r="B1013" t="str">
            <v>Bio-methanol - Energy cost - Asia - USD/ton fuel</v>
          </cell>
          <cell r="G1013">
            <v>34.170859336812548</v>
          </cell>
          <cell r="H1013">
            <v>31.168120732103766</v>
          </cell>
          <cell r="I1013">
            <v>28.165382127396416</v>
          </cell>
          <cell r="J1013">
            <v>27.071500779378947</v>
          </cell>
          <cell r="K1013">
            <v>25.978957303224462</v>
          </cell>
          <cell r="L1013">
            <v>24.887751698932011</v>
          </cell>
          <cell r="M1013">
            <v>23.797883966502074</v>
          </cell>
          <cell r="N1013">
            <v>22.709354105935123</v>
          </cell>
          <cell r="O1013">
            <v>21.965869697626502</v>
          </cell>
          <cell r="P1013">
            <v>21.223294626291548</v>
          </cell>
          <cell r="Q1013">
            <v>20.48162889193026</v>
          </cell>
          <cell r="R1013">
            <v>19.740872494542163</v>
          </cell>
          <cell r="S1013">
            <v>19.001025434127499</v>
          </cell>
          <cell r="T1013">
            <v>18.619494200174767</v>
          </cell>
          <cell r="U1013">
            <v>18.23842529517054</v>
          </cell>
          <cell r="V1013">
            <v>17.857818719114928</v>
          </cell>
          <cell r="W1013">
            <v>17.477674472007699</v>
          </cell>
          <cell r="X1013">
            <v>17.097992553849206</v>
          </cell>
          <cell r="Y1013">
            <v>16.701553631320063</v>
          </cell>
          <cell r="Z1013">
            <v>16.305598641496143</v>
          </cell>
          <cell r="AA1013">
            <v>15.910127584377216</v>
          </cell>
          <cell r="AB1013">
            <v>15.515140459963511</v>
          </cell>
          <cell r="AC1013">
            <v>15.120637268254796</v>
          </cell>
          <cell r="AD1013">
            <v>14.934796849625767</v>
          </cell>
          <cell r="AE1013">
            <v>14.749178356120842</v>
          </cell>
          <cell r="AF1013">
            <v>14.56378178774014</v>
          </cell>
          <cell r="AG1013">
            <v>14.378607144483603</v>
          </cell>
          <cell r="AH1013">
            <v>14.19365442635117</v>
          </cell>
        </row>
        <row r="1014">
          <cell r="B1014" t="str">
            <v>Bio-methanol - Energy cost - Europe - USD/ton fuel</v>
          </cell>
          <cell r="G1014">
            <v>25.438353841149492</v>
          </cell>
          <cell r="H1014">
            <v>24.341971480614855</v>
          </cell>
          <cell r="I1014">
            <v>23.245589120080215</v>
          </cell>
          <cell r="J1014">
            <v>22.345818441280453</v>
          </cell>
          <cell r="K1014">
            <v>21.447148166879721</v>
          </cell>
          <cell r="L1014">
            <v>20.549578296878501</v>
          </cell>
          <cell r="M1014">
            <v>19.65310883127631</v>
          </cell>
          <cell r="N1014">
            <v>18.757739770073631</v>
          </cell>
          <cell r="O1014">
            <v>18.379340685000258</v>
          </cell>
          <cell r="P1014">
            <v>18.001398817727466</v>
          </cell>
          <cell r="Q1014">
            <v>17.623914168254778</v>
          </cell>
          <cell r="R1014">
            <v>17.246886736582312</v>
          </cell>
          <cell r="S1014">
            <v>16.870316522710187</v>
          </cell>
          <cell r="T1014">
            <v>16.641509552206404</v>
          </cell>
          <cell r="U1014">
            <v>16.412975563968619</v>
          </cell>
          <cell r="V1014">
            <v>16.184714557996763</v>
          </cell>
          <cell r="W1014">
            <v>15.956726534290841</v>
          </cell>
          <cell r="X1014">
            <v>15.729011492850731</v>
          </cell>
          <cell r="Y1014">
            <v>15.486378027326708</v>
          </cell>
          <cell r="Z1014">
            <v>15.244036603543117</v>
          </cell>
          <cell r="AA1014">
            <v>15.001987221500077</v>
          </cell>
          <cell r="AB1014">
            <v>14.760229881197468</v>
          </cell>
          <cell r="AC1014">
            <v>14.518764582635409</v>
          </cell>
          <cell r="AD1014">
            <v>14.340330856378007</v>
          </cell>
          <cell r="AE1014">
            <v>14.162110209788796</v>
          </cell>
          <cell r="AF1014">
            <v>13.984102642867894</v>
          </cell>
          <cell r="AG1014">
            <v>13.806308155615245</v>
          </cell>
          <cell r="AH1014">
            <v>13.628726748030784</v>
          </cell>
        </row>
        <row r="1015">
          <cell r="B1015" t="str">
            <v>Bio-methanol - Energy cost - Middle East - USD/ton fuel</v>
          </cell>
          <cell r="G1015">
            <v>19.479285775885376</v>
          </cell>
          <cell r="H1015">
            <v>18.619713725020272</v>
          </cell>
          <cell r="I1015">
            <v>17.760141674154923</v>
          </cell>
          <cell r="J1015">
            <v>17.180349259980584</v>
          </cell>
          <cell r="K1015">
            <v>16.601263775218349</v>
          </cell>
          <cell r="L1015">
            <v>16.022885219868215</v>
          </cell>
          <cell r="M1015">
            <v>15.445213593930184</v>
          </cell>
          <cell r="N1015">
            <v>14.868248897404253</v>
          </cell>
          <cell r="O1015">
            <v>14.459189219603001</v>
          </cell>
          <cell r="P1015">
            <v>14.050628008501056</v>
          </cell>
          <cell r="Q1015">
            <v>13.642565264098181</v>
          </cell>
          <cell r="R1015">
            <v>13.235000986394613</v>
          </cell>
          <cell r="S1015">
            <v>12.827935175390236</v>
          </cell>
          <cell r="T1015">
            <v>12.620089257923889</v>
          </cell>
          <cell r="U1015">
            <v>12.412493266419126</v>
          </cell>
          <cell r="V1015">
            <v>12.205147200876008</v>
          </cell>
          <cell r="W1015">
            <v>11.998051061294412</v>
          </cell>
          <cell r="X1015">
            <v>11.7912048476744</v>
          </cell>
          <cell r="Y1015">
            <v>11.522577166410642</v>
          </cell>
          <cell r="Z1015">
            <v>11.25427723706756</v>
          </cell>
          <cell r="AA1015">
            <v>10.986305059645039</v>
          </cell>
          <cell r="AB1015">
            <v>10.718660634143193</v>
          </cell>
          <cell r="AC1015">
            <v>10.451343960561879</v>
          </cell>
          <cell r="AD1015">
            <v>10.32288828020285</v>
          </cell>
          <cell r="AE1015">
            <v>10.194585998024348</v>
          </cell>
          <cell r="AF1015">
            <v>10.066437114026311</v>
          </cell>
          <cell r="AG1015">
            <v>9.9384416282087713</v>
          </cell>
          <cell r="AH1015">
            <v>9.8105995405717543</v>
          </cell>
        </row>
        <row r="1016">
          <cell r="B1016" t="str">
            <v>Renewable electricity - Cost of electricity - Africa - USD/MWh</v>
          </cell>
          <cell r="G1016">
            <v>58.389806930514169</v>
          </cell>
          <cell r="H1016">
            <v>51.533296245659585</v>
          </cell>
          <cell r="I1016">
            <v>44.676785560803182</v>
          </cell>
          <cell r="J1016">
            <v>42.765424685038852</v>
          </cell>
          <cell r="K1016">
            <v>40.854063809274521</v>
          </cell>
          <cell r="L1016">
            <v>38.942702933510191</v>
          </cell>
          <cell r="M1016">
            <v>37.031342057745405</v>
          </cell>
          <cell r="N1016">
            <v>35.119981181981075</v>
          </cell>
          <cell r="O1016">
            <v>34.053057098426962</v>
          </cell>
          <cell r="P1016">
            <v>32.986133014872848</v>
          </cell>
          <cell r="Q1016">
            <v>31.919208931318281</v>
          </cell>
          <cell r="R1016">
            <v>30.852284847764167</v>
          </cell>
          <cell r="S1016">
            <v>29.785360764210168</v>
          </cell>
          <cell r="T1016">
            <v>29.283177129903038</v>
          </cell>
          <cell r="U1016">
            <v>28.780993495596022</v>
          </cell>
          <cell r="V1016">
            <v>28.278809861288892</v>
          </cell>
          <cell r="W1016">
            <v>27.776626226981762</v>
          </cell>
          <cell r="X1016">
            <v>27.274442592674859</v>
          </cell>
          <cell r="Y1016">
            <v>26.758061649346246</v>
          </cell>
          <cell r="Z1016">
            <v>26.241680706017632</v>
          </cell>
          <cell r="AA1016">
            <v>25.725299762688792</v>
          </cell>
          <cell r="AB1016">
            <v>25.208918819360179</v>
          </cell>
          <cell r="AC1016">
            <v>24.692537876031452</v>
          </cell>
          <cell r="AD1016">
            <v>24.439084279606391</v>
          </cell>
          <cell r="AE1016">
            <v>24.185630683181444</v>
          </cell>
          <cell r="AF1016">
            <v>23.932177086756383</v>
          </cell>
          <cell r="AG1016">
            <v>23.678723490331322</v>
          </cell>
          <cell r="AH1016">
            <v>23.425269893906375</v>
          </cell>
        </row>
        <row r="1017">
          <cell r="B1017" t="str">
            <v>Renewable electricity - Cost of electricity - Americas - USD/MWh</v>
          </cell>
          <cell r="G1017">
            <v>36.687184539767031</v>
          </cell>
          <cell r="H1017">
            <v>35.927444151972622</v>
          </cell>
          <cell r="I1017">
            <v>35.167703764177986</v>
          </cell>
          <cell r="J1017">
            <v>33.883444176422017</v>
          </cell>
          <cell r="K1017">
            <v>32.599184588666049</v>
          </cell>
          <cell r="L1017">
            <v>31.31492500091008</v>
          </cell>
          <cell r="M1017">
            <v>30.030665413154566</v>
          </cell>
          <cell r="N1017">
            <v>28.746405825398597</v>
          </cell>
          <cell r="O1017">
            <v>28.128389278370832</v>
          </cell>
          <cell r="P1017">
            <v>27.510372731343068</v>
          </cell>
          <cell r="Q1017">
            <v>26.892356184315304</v>
          </cell>
          <cell r="R1017">
            <v>26.27433963728754</v>
          </cell>
          <cell r="S1017">
            <v>25.656323090259662</v>
          </cell>
          <cell r="T1017">
            <v>25.155343675421591</v>
          </cell>
          <cell r="U1017">
            <v>24.65436426058352</v>
          </cell>
          <cell r="V1017">
            <v>24.153384845745336</v>
          </cell>
          <cell r="W1017">
            <v>23.652405430907265</v>
          </cell>
          <cell r="X1017">
            <v>23.151426016069138</v>
          </cell>
          <cell r="Y1017">
            <v>22.949597354879643</v>
          </cell>
          <cell r="Z1017">
            <v>22.747768693690148</v>
          </cell>
          <cell r="AA1017">
            <v>22.54594003250071</v>
          </cell>
          <cell r="AB1017">
            <v>22.344111371311214</v>
          </cell>
          <cell r="AC1017">
            <v>22.142282710121719</v>
          </cell>
          <cell r="AD1017">
            <v>21.990017270793203</v>
          </cell>
          <cell r="AE1017">
            <v>21.837751831464743</v>
          </cell>
          <cell r="AF1017">
            <v>21.685486392136283</v>
          </cell>
          <cell r="AG1017">
            <v>21.533220952807824</v>
          </cell>
          <cell r="AH1017">
            <v>21.380955513479364</v>
          </cell>
        </row>
        <row r="1018">
          <cell r="B1018" t="str">
            <v>Renewable electricity - Cost of electricity - Asia - USD/MWh</v>
          </cell>
          <cell r="G1018">
            <v>64.941602489809156</v>
          </cell>
          <cell r="H1018">
            <v>59.234907936835953</v>
          </cell>
          <cell r="I1018">
            <v>53.528213383865477</v>
          </cell>
          <cell r="J1018">
            <v>51.481269434223577</v>
          </cell>
          <cell r="K1018">
            <v>49.434325484582587</v>
          </cell>
          <cell r="L1018">
            <v>47.387381534940687</v>
          </cell>
          <cell r="M1018">
            <v>45.340437585298787</v>
          </cell>
          <cell r="N1018">
            <v>43.293493635657796</v>
          </cell>
          <cell r="O1018">
            <v>41.902208066311687</v>
          </cell>
          <cell r="P1018">
            <v>40.510922496966032</v>
          </cell>
          <cell r="Q1018">
            <v>39.119636927620832</v>
          </cell>
          <cell r="R1018">
            <v>37.728351358275177</v>
          </cell>
          <cell r="S1018">
            <v>36.337065788929522</v>
          </cell>
          <cell r="T1018">
            <v>35.629702497725702</v>
          </cell>
          <cell r="U1018">
            <v>34.922339206521883</v>
          </cell>
          <cell r="V1018">
            <v>34.214975915318291</v>
          </cell>
          <cell r="W1018">
            <v>33.507612624114472</v>
          </cell>
          <cell r="X1018">
            <v>32.800249332911108</v>
          </cell>
          <cell r="Y1018">
            <v>32.059832294097532</v>
          </cell>
          <cell r="Z1018">
            <v>31.319415255284184</v>
          </cell>
          <cell r="AA1018">
            <v>30.578998216470609</v>
          </cell>
          <cell r="AB1018">
            <v>29.838581177657261</v>
          </cell>
          <cell r="AC1018">
            <v>29.098164138843686</v>
          </cell>
          <cell r="AD1018">
            <v>28.758618698873192</v>
          </cell>
          <cell r="AE1018">
            <v>28.419073258902586</v>
          </cell>
          <cell r="AF1018">
            <v>28.079527818932092</v>
          </cell>
          <cell r="AG1018">
            <v>27.739982378961599</v>
          </cell>
          <cell r="AH1018">
            <v>27.400436938990993</v>
          </cell>
        </row>
        <row r="1019">
          <cell r="B1019" t="str">
            <v>Renewable electricity - Cost of electricity - Europe - USD/MWh</v>
          </cell>
          <cell r="G1019">
            <v>48.345505357757247</v>
          </cell>
          <cell r="H1019">
            <v>46.261834393182653</v>
          </cell>
          <cell r="I1019">
            <v>44.178163428608059</v>
          </cell>
          <cell r="J1019">
            <v>42.49454469772445</v>
          </cell>
          <cell r="K1019">
            <v>40.810925966840387</v>
          </cell>
          <cell r="L1019">
            <v>39.127307235956778</v>
          </cell>
          <cell r="M1019">
            <v>37.443688505072714</v>
          </cell>
          <cell r="N1019">
            <v>35.760069774189105</v>
          </cell>
          <cell r="O1019">
            <v>35.060526539849434</v>
          </cell>
          <cell r="P1019">
            <v>34.360983305510445</v>
          </cell>
          <cell r="Q1019">
            <v>33.661440071171228</v>
          </cell>
          <cell r="R1019">
            <v>32.961896836832011</v>
          </cell>
          <cell r="S1019">
            <v>32.262353602493022</v>
          </cell>
          <cell r="T1019">
            <v>31.844690735616723</v>
          </cell>
          <cell r="U1019">
            <v>31.427027868740538</v>
          </cell>
          <cell r="V1019">
            <v>31.009365001864353</v>
          </cell>
          <cell r="W1019">
            <v>30.591702134988168</v>
          </cell>
          <cell r="X1019">
            <v>30.174039268111756</v>
          </cell>
          <cell r="Y1019">
            <v>29.72721540516045</v>
          </cell>
          <cell r="Z1019">
            <v>29.280391542209031</v>
          </cell>
          <cell r="AA1019">
            <v>28.833567679257726</v>
          </cell>
          <cell r="AB1019">
            <v>28.386743816306307</v>
          </cell>
          <cell r="AC1019">
            <v>27.939919953355002</v>
          </cell>
          <cell r="AD1019">
            <v>27.613908060931863</v>
          </cell>
          <cell r="AE1019">
            <v>27.28789616850861</v>
          </cell>
          <cell r="AF1019">
            <v>26.96188427608547</v>
          </cell>
          <cell r="AG1019">
            <v>26.635872383662331</v>
          </cell>
          <cell r="AH1019">
            <v>26.309860491239078</v>
          </cell>
        </row>
        <row r="1020">
          <cell r="B1020" t="str">
            <v>Renewable electricity - Cost of electricity - Middle East - USD/MWh</v>
          </cell>
          <cell r="G1020">
            <v>37.020316673163961</v>
          </cell>
          <cell r="H1020">
            <v>35.386702900434102</v>
          </cell>
          <cell r="I1020">
            <v>33.753089127703788</v>
          </cell>
          <cell r="J1020">
            <v>32.671487127187447</v>
          </cell>
          <cell r="K1020">
            <v>31.589885126671106</v>
          </cell>
          <cell r="L1020">
            <v>30.508283126154765</v>
          </cell>
          <cell r="M1020">
            <v>29.426681125638424</v>
          </cell>
          <cell r="N1020">
            <v>28.345079125122083</v>
          </cell>
          <cell r="O1020">
            <v>27.58242507536329</v>
          </cell>
          <cell r="P1020">
            <v>26.819771025604723</v>
          </cell>
          <cell r="Q1020">
            <v>26.057116975845929</v>
          </cell>
          <cell r="R1020">
            <v>25.294462926087363</v>
          </cell>
          <cell r="S1020">
            <v>24.531808876328796</v>
          </cell>
          <cell r="T1020">
            <v>24.149422155106208</v>
          </cell>
          <cell r="U1020">
            <v>23.76703543388362</v>
          </cell>
          <cell r="V1020">
            <v>23.384648712661146</v>
          </cell>
          <cell r="W1020">
            <v>23.002261991438559</v>
          </cell>
          <cell r="X1020">
            <v>22.619875270215971</v>
          </cell>
          <cell r="Y1020">
            <v>22.118414831670066</v>
          </cell>
          <cell r="Z1020">
            <v>21.616954393124274</v>
          </cell>
          <cell r="AA1020">
            <v>21.115493954578369</v>
          </cell>
          <cell r="AB1020">
            <v>20.614033516032578</v>
          </cell>
          <cell r="AC1020">
            <v>20.112573077486616</v>
          </cell>
          <cell r="AD1020">
            <v>19.877873861328055</v>
          </cell>
          <cell r="AE1020">
            <v>19.643174645169552</v>
          </cell>
          <cell r="AF1020">
            <v>19.408475429010991</v>
          </cell>
          <cell r="AG1020">
            <v>19.173776212852431</v>
          </cell>
          <cell r="AH1020">
            <v>18.939076996693927</v>
          </cell>
        </row>
        <row r="1021">
          <cell r="B1021" t="str">
            <v>Bio-methanol - Energy demand - Global - MWh/ton fuel</v>
          </cell>
          <cell r="G1021">
            <v>0.52617825903163917</v>
          </cell>
          <cell r="H1021">
            <v>0.52617825903163917</v>
          </cell>
          <cell r="I1021">
            <v>0.52617825903163906</v>
          </cell>
          <cell r="J1021">
            <v>0.52585146164601815</v>
          </cell>
          <cell r="K1021">
            <v>0.52552466426039723</v>
          </cell>
          <cell r="L1021">
            <v>0.52519786687477632</v>
          </cell>
          <cell r="M1021">
            <v>0.52487106948915541</v>
          </cell>
          <cell r="N1021">
            <v>0.52454427210353449</v>
          </cell>
          <cell r="O1021">
            <v>0.52421747471791358</v>
          </cell>
          <cell r="P1021">
            <v>0.52389067733229266</v>
          </cell>
          <cell r="Q1021">
            <v>0.52356387994667175</v>
          </cell>
          <cell r="R1021">
            <v>0.52323708256105084</v>
          </cell>
          <cell r="S1021">
            <v>0.52291028517543003</v>
          </cell>
          <cell r="T1021">
            <v>0.52258348778980901</v>
          </cell>
          <cell r="U1021">
            <v>0.5222566904041881</v>
          </cell>
          <cell r="V1021">
            <v>0.52192989301856718</v>
          </cell>
          <cell r="W1021">
            <v>0.52160309563294627</v>
          </cell>
          <cell r="X1021">
            <v>0.52127629824732535</v>
          </cell>
          <cell r="Y1021">
            <v>0.52094950086170444</v>
          </cell>
          <cell r="Z1021">
            <v>0.52062270347608353</v>
          </cell>
          <cell r="AA1021">
            <v>0.52029590609046261</v>
          </cell>
          <cell r="AB1021">
            <v>0.5199691087048417</v>
          </cell>
          <cell r="AC1021">
            <v>0.51964231131922078</v>
          </cell>
          <cell r="AD1021">
            <v>0.51931551393359987</v>
          </cell>
          <cell r="AE1021">
            <v>0.51898871654797896</v>
          </cell>
          <cell r="AF1021">
            <v>0.51866191916235804</v>
          </cell>
          <cell r="AG1021">
            <v>0.51833512177673713</v>
          </cell>
          <cell r="AH1021">
            <v>0.51800832439111621</v>
          </cell>
        </row>
        <row r="1022">
          <cell r="B1022" t="str">
            <v/>
          </cell>
        </row>
        <row r="1023">
          <cell r="B1023" t="str">
            <v>Bio-methanol - Feedstock cost - Africa - USD/ton fuel</v>
          </cell>
          <cell r="G1023">
            <v>204.49</v>
          </cell>
          <cell r="H1023">
            <v>205.7</v>
          </cell>
          <cell r="I1023">
            <v>206.91</v>
          </cell>
          <cell r="J1023">
            <v>208.12</v>
          </cell>
          <cell r="K1023">
            <v>209.32999999999998</v>
          </cell>
          <cell r="L1023">
            <v>210.54</v>
          </cell>
          <cell r="M1023">
            <v>211.75</v>
          </cell>
          <cell r="N1023">
            <v>212.96</v>
          </cell>
          <cell r="O1023">
            <v>214.41199999999978</v>
          </cell>
          <cell r="P1023">
            <v>215.86400000000012</v>
          </cell>
          <cell r="Q1023">
            <v>217.31599999999989</v>
          </cell>
          <cell r="R1023">
            <v>218.76799999999966</v>
          </cell>
          <cell r="S1023">
            <v>220.22</v>
          </cell>
          <cell r="T1023">
            <v>221.43</v>
          </cell>
          <cell r="U1023">
            <v>222.64</v>
          </cell>
          <cell r="V1023">
            <v>223.85</v>
          </cell>
          <cell r="W1023">
            <v>225.06</v>
          </cell>
          <cell r="X1023">
            <v>226.26999999999998</v>
          </cell>
          <cell r="Y1023">
            <v>227.48</v>
          </cell>
          <cell r="Z1023">
            <v>228.69</v>
          </cell>
          <cell r="AA1023">
            <v>229.9</v>
          </cell>
          <cell r="AB1023">
            <v>231.10999999999999</v>
          </cell>
          <cell r="AC1023">
            <v>232.32</v>
          </cell>
          <cell r="AD1023">
            <v>233.53</v>
          </cell>
          <cell r="AE1023">
            <v>234.74</v>
          </cell>
          <cell r="AF1023">
            <v>235.95</v>
          </cell>
          <cell r="AG1023">
            <v>237.16</v>
          </cell>
          <cell r="AH1023">
            <v>238.37</v>
          </cell>
        </row>
        <row r="1024">
          <cell r="B1024" t="str">
            <v>Bio-methanol - Feedstock cost - Americas - USD/ton fuel</v>
          </cell>
          <cell r="G1024">
            <v>166.2540000000001</v>
          </cell>
          <cell r="H1024">
            <v>167.22200000000004</v>
          </cell>
          <cell r="I1024">
            <v>168.19</v>
          </cell>
          <cell r="J1024">
            <v>169.39999999999998</v>
          </cell>
          <cell r="K1024">
            <v>170.61</v>
          </cell>
          <cell r="L1024">
            <v>171.82</v>
          </cell>
          <cell r="M1024">
            <v>173.03</v>
          </cell>
          <cell r="N1024">
            <v>174.24</v>
          </cell>
          <cell r="O1024">
            <v>175.2080000000002</v>
          </cell>
          <cell r="P1024">
            <v>176.17600000000016</v>
          </cell>
          <cell r="Q1024">
            <v>177.14400000000012</v>
          </cell>
          <cell r="R1024">
            <v>178.11200000000005</v>
          </cell>
          <cell r="S1024">
            <v>179.07999999999998</v>
          </cell>
          <cell r="T1024">
            <v>180.04800000000023</v>
          </cell>
          <cell r="U1024">
            <v>181.01600000000016</v>
          </cell>
          <cell r="V1024">
            <v>181.98400000000009</v>
          </cell>
          <cell r="W1024">
            <v>182.95200000000006</v>
          </cell>
          <cell r="X1024">
            <v>183.92000000000002</v>
          </cell>
          <cell r="Y1024">
            <v>185.13</v>
          </cell>
          <cell r="Z1024">
            <v>186.34</v>
          </cell>
          <cell r="AA1024">
            <v>187.55</v>
          </cell>
          <cell r="AB1024">
            <v>188.76</v>
          </cell>
          <cell r="AC1024">
            <v>189.97</v>
          </cell>
          <cell r="AD1024">
            <v>190.93800000000022</v>
          </cell>
          <cell r="AE1024">
            <v>191.90600000000015</v>
          </cell>
          <cell r="AF1024">
            <v>192.87400000000011</v>
          </cell>
          <cell r="AG1024">
            <v>193.84200000000004</v>
          </cell>
          <cell r="AH1024">
            <v>194.81</v>
          </cell>
        </row>
        <row r="1025">
          <cell r="B1025" t="str">
            <v>Bio-methanol - Feedstock cost - Asia - USD/ton fuel</v>
          </cell>
          <cell r="G1025">
            <v>146.41</v>
          </cell>
          <cell r="H1025">
            <v>147.62</v>
          </cell>
          <cell r="I1025">
            <v>148.82999999999998</v>
          </cell>
          <cell r="J1025">
            <v>149.79800000000023</v>
          </cell>
          <cell r="K1025">
            <v>150.76600000000016</v>
          </cell>
          <cell r="L1025">
            <v>151.73400000000009</v>
          </cell>
          <cell r="M1025">
            <v>152.70200000000006</v>
          </cell>
          <cell r="N1025">
            <v>153.67000000000002</v>
          </cell>
          <cell r="O1025">
            <v>154.88</v>
          </cell>
          <cell r="P1025">
            <v>156.09</v>
          </cell>
          <cell r="Q1025">
            <v>157.30000000000001</v>
          </cell>
          <cell r="R1025">
            <v>158.51</v>
          </cell>
          <cell r="S1025">
            <v>159.72</v>
          </cell>
          <cell r="T1025">
            <v>160.93</v>
          </cell>
          <cell r="U1025">
            <v>162.13999999999999</v>
          </cell>
          <cell r="V1025">
            <v>163.35</v>
          </cell>
          <cell r="W1025">
            <v>164.56</v>
          </cell>
          <cell r="X1025">
            <v>165.76999999999998</v>
          </cell>
          <cell r="Y1025">
            <v>166.73800000000023</v>
          </cell>
          <cell r="Z1025">
            <v>167.70600000000016</v>
          </cell>
          <cell r="AA1025">
            <v>168.67400000000009</v>
          </cell>
          <cell r="AB1025">
            <v>169.64200000000005</v>
          </cell>
          <cell r="AC1025">
            <v>170.61</v>
          </cell>
          <cell r="AD1025">
            <v>171.82</v>
          </cell>
          <cell r="AE1025">
            <v>173.03</v>
          </cell>
          <cell r="AF1025">
            <v>174.24</v>
          </cell>
          <cell r="AG1025">
            <v>175.45</v>
          </cell>
          <cell r="AH1025">
            <v>176.66</v>
          </cell>
        </row>
        <row r="1026">
          <cell r="B1026" t="str">
            <v>Bio-methanol - Feedstock cost - Europe - USD/ton fuel</v>
          </cell>
          <cell r="G1026">
            <v>179.07999999999998</v>
          </cell>
          <cell r="H1026">
            <v>180.29</v>
          </cell>
          <cell r="I1026">
            <v>181.5</v>
          </cell>
          <cell r="J1026">
            <v>182.70999999999998</v>
          </cell>
          <cell r="K1026">
            <v>183.92000000000002</v>
          </cell>
          <cell r="L1026">
            <v>185.13</v>
          </cell>
          <cell r="M1026">
            <v>186.34</v>
          </cell>
          <cell r="N1026">
            <v>187.55</v>
          </cell>
          <cell r="O1026">
            <v>188.76</v>
          </cell>
          <cell r="P1026">
            <v>189.97</v>
          </cell>
          <cell r="Q1026">
            <v>191.18</v>
          </cell>
          <cell r="R1026">
            <v>192.39</v>
          </cell>
          <cell r="S1026">
            <v>193.6</v>
          </cell>
          <cell r="T1026">
            <v>194.56800000000021</v>
          </cell>
          <cell r="U1026">
            <v>195.53600000000017</v>
          </cell>
          <cell r="V1026">
            <v>196.5040000000001</v>
          </cell>
          <cell r="W1026">
            <v>197.47200000000004</v>
          </cell>
          <cell r="X1026">
            <v>198.44</v>
          </cell>
          <cell r="Y1026">
            <v>199.65</v>
          </cell>
          <cell r="Z1026">
            <v>200.85999999999999</v>
          </cell>
          <cell r="AA1026">
            <v>202.07</v>
          </cell>
          <cell r="AB1026">
            <v>203.28</v>
          </cell>
          <cell r="AC1026">
            <v>204.49</v>
          </cell>
          <cell r="AD1026">
            <v>205.7</v>
          </cell>
          <cell r="AE1026">
            <v>206.91</v>
          </cell>
          <cell r="AF1026">
            <v>208.12</v>
          </cell>
          <cell r="AG1026">
            <v>209.32999999999998</v>
          </cell>
          <cell r="AH1026">
            <v>210.54</v>
          </cell>
        </row>
        <row r="1027">
          <cell r="B1027" t="str">
            <v>Bio-methanol - Feedstock cost - Middle East - USD/ton fuel</v>
          </cell>
          <cell r="G1027">
            <v>197.71400000000011</v>
          </cell>
          <cell r="H1027">
            <v>198.68200000000004</v>
          </cell>
          <cell r="I1027">
            <v>199.65</v>
          </cell>
          <cell r="J1027">
            <v>200.61800000000022</v>
          </cell>
          <cell r="K1027">
            <v>201.58600000000015</v>
          </cell>
          <cell r="L1027">
            <v>202.55400000000012</v>
          </cell>
          <cell r="M1027">
            <v>203.52200000000005</v>
          </cell>
          <cell r="N1027">
            <v>204.49</v>
          </cell>
          <cell r="O1027">
            <v>205.45800000000023</v>
          </cell>
          <cell r="P1027">
            <v>206.42600000000016</v>
          </cell>
          <cell r="Q1027">
            <v>207.39400000000012</v>
          </cell>
          <cell r="R1027">
            <v>208.36200000000005</v>
          </cell>
          <cell r="S1027">
            <v>209.32999999999998</v>
          </cell>
          <cell r="T1027">
            <v>210.54</v>
          </cell>
          <cell r="U1027">
            <v>211.75</v>
          </cell>
          <cell r="V1027">
            <v>212.96</v>
          </cell>
          <cell r="W1027">
            <v>214.17</v>
          </cell>
          <cell r="X1027">
            <v>215.38</v>
          </cell>
          <cell r="Y1027">
            <v>216.34800000000021</v>
          </cell>
          <cell r="Z1027">
            <v>217.31600000000017</v>
          </cell>
          <cell r="AA1027">
            <v>218.28400000000011</v>
          </cell>
          <cell r="AB1027">
            <v>219.25200000000004</v>
          </cell>
          <cell r="AC1027">
            <v>220.22</v>
          </cell>
          <cell r="AD1027">
            <v>221.18800000000022</v>
          </cell>
          <cell r="AE1027">
            <v>222.15600000000015</v>
          </cell>
          <cell r="AF1027">
            <v>223.12400000000011</v>
          </cell>
          <cell r="AG1027">
            <v>224.09200000000004</v>
          </cell>
          <cell r="AH1027">
            <v>225.06</v>
          </cell>
        </row>
        <row r="1028">
          <cell r="B1028" t="str">
            <v>Wood - Price - Africa - USD/ton</v>
          </cell>
          <cell r="G1028">
            <v>119</v>
          </cell>
          <cell r="H1028">
            <v>120</v>
          </cell>
          <cell r="I1028">
            <v>121</v>
          </cell>
          <cell r="J1028">
            <v>122</v>
          </cell>
          <cell r="K1028">
            <v>123</v>
          </cell>
          <cell r="L1028">
            <v>124</v>
          </cell>
          <cell r="M1028">
            <v>125</v>
          </cell>
          <cell r="N1028">
            <v>126</v>
          </cell>
          <cell r="O1028">
            <v>127.19999999999982</v>
          </cell>
          <cell r="P1028">
            <v>128.40000000000009</v>
          </cell>
          <cell r="Q1028">
            <v>129.59999999999991</v>
          </cell>
          <cell r="R1028">
            <v>130.79999999999973</v>
          </cell>
          <cell r="S1028">
            <v>132</v>
          </cell>
          <cell r="T1028">
            <v>133</v>
          </cell>
          <cell r="U1028">
            <v>134</v>
          </cell>
          <cell r="V1028">
            <v>135</v>
          </cell>
          <cell r="W1028">
            <v>136</v>
          </cell>
          <cell r="X1028">
            <v>137</v>
          </cell>
          <cell r="Y1028">
            <v>138</v>
          </cell>
          <cell r="Z1028">
            <v>139</v>
          </cell>
          <cell r="AA1028">
            <v>140</v>
          </cell>
          <cell r="AB1028">
            <v>141</v>
          </cell>
          <cell r="AC1028">
            <v>142</v>
          </cell>
          <cell r="AD1028">
            <v>143</v>
          </cell>
          <cell r="AE1028">
            <v>144</v>
          </cell>
          <cell r="AF1028">
            <v>145</v>
          </cell>
          <cell r="AG1028">
            <v>146</v>
          </cell>
          <cell r="AH1028">
            <v>147</v>
          </cell>
        </row>
        <row r="1029">
          <cell r="B1029" t="str">
            <v>Wood - Price - Americas - USD/ton</v>
          </cell>
          <cell r="G1029">
            <v>87.400000000000091</v>
          </cell>
          <cell r="H1029">
            <v>88.200000000000045</v>
          </cell>
          <cell r="I1029">
            <v>89</v>
          </cell>
          <cell r="J1029">
            <v>90</v>
          </cell>
          <cell r="K1029">
            <v>91</v>
          </cell>
          <cell r="L1029">
            <v>92</v>
          </cell>
          <cell r="M1029">
            <v>93</v>
          </cell>
          <cell r="N1029">
            <v>94</v>
          </cell>
          <cell r="O1029">
            <v>94.800000000000182</v>
          </cell>
          <cell r="P1029">
            <v>95.600000000000136</v>
          </cell>
          <cell r="Q1029">
            <v>96.400000000000091</v>
          </cell>
          <cell r="R1029">
            <v>97.200000000000045</v>
          </cell>
          <cell r="S1029">
            <v>98</v>
          </cell>
          <cell r="T1029">
            <v>98.800000000000182</v>
          </cell>
          <cell r="U1029">
            <v>99.600000000000136</v>
          </cell>
          <cell r="V1029">
            <v>100.40000000000009</v>
          </cell>
          <cell r="W1029">
            <v>101.20000000000005</v>
          </cell>
          <cell r="X1029">
            <v>102</v>
          </cell>
          <cell r="Y1029">
            <v>103</v>
          </cell>
          <cell r="Z1029">
            <v>104</v>
          </cell>
          <cell r="AA1029">
            <v>105</v>
          </cell>
          <cell r="AB1029">
            <v>106</v>
          </cell>
          <cell r="AC1029">
            <v>107</v>
          </cell>
          <cell r="AD1029">
            <v>107.80000000000018</v>
          </cell>
          <cell r="AE1029">
            <v>108.60000000000014</v>
          </cell>
          <cell r="AF1029">
            <v>109.40000000000009</v>
          </cell>
          <cell r="AG1029">
            <v>110.20000000000005</v>
          </cell>
          <cell r="AH1029">
            <v>111</v>
          </cell>
        </row>
        <row r="1030">
          <cell r="B1030" t="str">
            <v>Wood - Price - Asia - USD/ton</v>
          </cell>
          <cell r="G1030">
            <v>71</v>
          </cell>
          <cell r="H1030">
            <v>72</v>
          </cell>
          <cell r="I1030">
            <v>73</v>
          </cell>
          <cell r="J1030">
            <v>73.800000000000182</v>
          </cell>
          <cell r="K1030">
            <v>74.600000000000136</v>
          </cell>
          <cell r="L1030">
            <v>75.400000000000091</v>
          </cell>
          <cell r="M1030">
            <v>76.200000000000045</v>
          </cell>
          <cell r="N1030">
            <v>77</v>
          </cell>
          <cell r="O1030">
            <v>78</v>
          </cell>
          <cell r="P1030">
            <v>79</v>
          </cell>
          <cell r="Q1030">
            <v>80</v>
          </cell>
          <cell r="R1030">
            <v>81</v>
          </cell>
          <cell r="S1030">
            <v>82</v>
          </cell>
          <cell r="T1030">
            <v>83</v>
          </cell>
          <cell r="U1030">
            <v>84</v>
          </cell>
          <cell r="V1030">
            <v>85</v>
          </cell>
          <cell r="W1030">
            <v>86</v>
          </cell>
          <cell r="X1030">
            <v>87</v>
          </cell>
          <cell r="Y1030">
            <v>87.800000000000182</v>
          </cell>
          <cell r="Z1030">
            <v>88.600000000000136</v>
          </cell>
          <cell r="AA1030">
            <v>89.400000000000091</v>
          </cell>
          <cell r="AB1030">
            <v>90.200000000000045</v>
          </cell>
          <cell r="AC1030">
            <v>91</v>
          </cell>
          <cell r="AD1030">
            <v>92</v>
          </cell>
          <cell r="AE1030">
            <v>93</v>
          </cell>
          <cell r="AF1030">
            <v>94</v>
          </cell>
          <cell r="AG1030">
            <v>95</v>
          </cell>
          <cell r="AH1030">
            <v>96</v>
          </cell>
        </row>
        <row r="1031">
          <cell r="B1031" t="str">
            <v>Wood - Price - Europe - USD/ton</v>
          </cell>
          <cell r="G1031">
            <v>98</v>
          </cell>
          <cell r="H1031">
            <v>99</v>
          </cell>
          <cell r="I1031">
            <v>100</v>
          </cell>
          <cell r="J1031">
            <v>101</v>
          </cell>
          <cell r="K1031">
            <v>102</v>
          </cell>
          <cell r="L1031">
            <v>103</v>
          </cell>
          <cell r="M1031">
            <v>104</v>
          </cell>
          <cell r="N1031">
            <v>105</v>
          </cell>
          <cell r="O1031">
            <v>106</v>
          </cell>
          <cell r="P1031">
            <v>107</v>
          </cell>
          <cell r="Q1031">
            <v>108</v>
          </cell>
          <cell r="R1031">
            <v>109</v>
          </cell>
          <cell r="S1031">
            <v>110</v>
          </cell>
          <cell r="T1031">
            <v>110.80000000000018</v>
          </cell>
          <cell r="U1031">
            <v>111.60000000000014</v>
          </cell>
          <cell r="V1031">
            <v>112.40000000000009</v>
          </cell>
          <cell r="W1031">
            <v>113.20000000000005</v>
          </cell>
          <cell r="X1031">
            <v>114</v>
          </cell>
          <cell r="Y1031">
            <v>115</v>
          </cell>
          <cell r="Z1031">
            <v>116</v>
          </cell>
          <cell r="AA1031">
            <v>117</v>
          </cell>
          <cell r="AB1031">
            <v>118</v>
          </cell>
          <cell r="AC1031">
            <v>119</v>
          </cell>
          <cell r="AD1031">
            <v>120</v>
          </cell>
          <cell r="AE1031">
            <v>121</v>
          </cell>
          <cell r="AF1031">
            <v>122</v>
          </cell>
          <cell r="AG1031">
            <v>123</v>
          </cell>
          <cell r="AH1031">
            <v>124</v>
          </cell>
        </row>
        <row r="1032">
          <cell r="B1032" t="str">
            <v>Wood - Price - Middle East - USD/ton</v>
          </cell>
          <cell r="G1032">
            <v>113.40000000000009</v>
          </cell>
          <cell r="H1032">
            <v>114.20000000000005</v>
          </cell>
          <cell r="I1032">
            <v>115</v>
          </cell>
          <cell r="J1032">
            <v>115.80000000000018</v>
          </cell>
          <cell r="K1032">
            <v>116.60000000000014</v>
          </cell>
          <cell r="L1032">
            <v>117.40000000000009</v>
          </cell>
          <cell r="M1032">
            <v>118.20000000000005</v>
          </cell>
          <cell r="N1032">
            <v>119</v>
          </cell>
          <cell r="O1032">
            <v>119.80000000000018</v>
          </cell>
          <cell r="P1032">
            <v>120.60000000000014</v>
          </cell>
          <cell r="Q1032">
            <v>121.40000000000009</v>
          </cell>
          <cell r="R1032">
            <v>122.20000000000005</v>
          </cell>
          <cell r="S1032">
            <v>123</v>
          </cell>
          <cell r="T1032">
            <v>124</v>
          </cell>
          <cell r="U1032">
            <v>125</v>
          </cell>
          <cell r="V1032">
            <v>126</v>
          </cell>
          <cell r="W1032">
            <v>127</v>
          </cell>
          <cell r="X1032">
            <v>128</v>
          </cell>
          <cell r="Y1032">
            <v>128.80000000000018</v>
          </cell>
          <cell r="Z1032">
            <v>129.60000000000014</v>
          </cell>
          <cell r="AA1032">
            <v>130.40000000000009</v>
          </cell>
          <cell r="AB1032">
            <v>131.20000000000005</v>
          </cell>
          <cell r="AC1032">
            <v>132</v>
          </cell>
          <cell r="AD1032">
            <v>132.80000000000018</v>
          </cell>
          <cell r="AE1032">
            <v>133.60000000000014</v>
          </cell>
          <cell r="AF1032">
            <v>134.40000000000009</v>
          </cell>
          <cell r="AG1032">
            <v>135.20000000000005</v>
          </cell>
          <cell r="AH1032">
            <v>136</v>
          </cell>
        </row>
        <row r="1033">
          <cell r="B1033" t="str">
            <v>Waste - Price - Africa - USD/ton</v>
          </cell>
          <cell r="G1033">
            <v>50</v>
          </cell>
          <cell r="H1033">
            <v>50</v>
          </cell>
          <cell r="I1033">
            <v>50</v>
          </cell>
          <cell r="J1033">
            <v>50</v>
          </cell>
          <cell r="K1033">
            <v>50</v>
          </cell>
          <cell r="L1033">
            <v>50</v>
          </cell>
          <cell r="M1033">
            <v>50</v>
          </cell>
          <cell r="N1033">
            <v>50</v>
          </cell>
          <cell r="O1033">
            <v>50</v>
          </cell>
          <cell r="P1033">
            <v>50</v>
          </cell>
          <cell r="Q1033">
            <v>50</v>
          </cell>
          <cell r="R1033">
            <v>50</v>
          </cell>
          <cell r="S1033">
            <v>50</v>
          </cell>
          <cell r="T1033">
            <v>50</v>
          </cell>
          <cell r="U1033">
            <v>50</v>
          </cell>
          <cell r="V1033">
            <v>50</v>
          </cell>
          <cell r="W1033">
            <v>50</v>
          </cell>
          <cell r="X1033">
            <v>50</v>
          </cell>
          <cell r="Y1033">
            <v>50</v>
          </cell>
          <cell r="Z1033">
            <v>50</v>
          </cell>
          <cell r="AA1033">
            <v>50</v>
          </cell>
          <cell r="AB1033">
            <v>50</v>
          </cell>
          <cell r="AC1033">
            <v>50</v>
          </cell>
          <cell r="AD1033">
            <v>50</v>
          </cell>
          <cell r="AE1033">
            <v>50</v>
          </cell>
          <cell r="AF1033">
            <v>50</v>
          </cell>
          <cell r="AG1033">
            <v>50</v>
          </cell>
          <cell r="AH1033">
            <v>50</v>
          </cell>
        </row>
        <row r="1034">
          <cell r="B1034" t="str">
            <v>Waste - Price - Americas - USD/ton</v>
          </cell>
          <cell r="G1034">
            <v>50</v>
          </cell>
          <cell r="H1034">
            <v>50</v>
          </cell>
          <cell r="I1034">
            <v>50</v>
          </cell>
          <cell r="J1034">
            <v>50</v>
          </cell>
          <cell r="K1034">
            <v>50</v>
          </cell>
          <cell r="L1034">
            <v>50</v>
          </cell>
          <cell r="M1034">
            <v>50</v>
          </cell>
          <cell r="N1034">
            <v>50</v>
          </cell>
          <cell r="O1034">
            <v>50</v>
          </cell>
          <cell r="P1034">
            <v>50</v>
          </cell>
          <cell r="Q1034">
            <v>50</v>
          </cell>
          <cell r="R1034">
            <v>50</v>
          </cell>
          <cell r="S1034">
            <v>50</v>
          </cell>
          <cell r="T1034">
            <v>50</v>
          </cell>
          <cell r="U1034">
            <v>50</v>
          </cell>
          <cell r="V1034">
            <v>50</v>
          </cell>
          <cell r="W1034">
            <v>50</v>
          </cell>
          <cell r="X1034">
            <v>50</v>
          </cell>
          <cell r="Y1034">
            <v>50</v>
          </cell>
          <cell r="Z1034">
            <v>50</v>
          </cell>
          <cell r="AA1034">
            <v>50</v>
          </cell>
          <cell r="AB1034">
            <v>50</v>
          </cell>
          <cell r="AC1034">
            <v>50</v>
          </cell>
          <cell r="AD1034">
            <v>50</v>
          </cell>
          <cell r="AE1034">
            <v>50</v>
          </cell>
          <cell r="AF1034">
            <v>50</v>
          </cell>
          <cell r="AG1034">
            <v>50</v>
          </cell>
          <cell r="AH1034">
            <v>50</v>
          </cell>
        </row>
        <row r="1035">
          <cell r="B1035" t="str">
            <v>Waste - Price - Asia - USD/ton</v>
          </cell>
          <cell r="G1035">
            <v>50</v>
          </cell>
          <cell r="H1035">
            <v>50</v>
          </cell>
          <cell r="I1035">
            <v>50</v>
          </cell>
          <cell r="J1035">
            <v>50</v>
          </cell>
          <cell r="K1035">
            <v>50</v>
          </cell>
          <cell r="L1035">
            <v>50</v>
          </cell>
          <cell r="M1035">
            <v>50</v>
          </cell>
          <cell r="N1035">
            <v>50</v>
          </cell>
          <cell r="O1035">
            <v>50</v>
          </cell>
          <cell r="P1035">
            <v>50</v>
          </cell>
          <cell r="Q1035">
            <v>50</v>
          </cell>
          <cell r="R1035">
            <v>50</v>
          </cell>
          <cell r="S1035">
            <v>50</v>
          </cell>
          <cell r="T1035">
            <v>50</v>
          </cell>
          <cell r="U1035">
            <v>50</v>
          </cell>
          <cell r="V1035">
            <v>50</v>
          </cell>
          <cell r="W1035">
            <v>50</v>
          </cell>
          <cell r="X1035">
            <v>50</v>
          </cell>
          <cell r="Y1035">
            <v>50</v>
          </cell>
          <cell r="Z1035">
            <v>50</v>
          </cell>
          <cell r="AA1035">
            <v>50</v>
          </cell>
          <cell r="AB1035">
            <v>50</v>
          </cell>
          <cell r="AC1035">
            <v>50</v>
          </cell>
          <cell r="AD1035">
            <v>50</v>
          </cell>
          <cell r="AE1035">
            <v>50</v>
          </cell>
          <cell r="AF1035">
            <v>50</v>
          </cell>
          <cell r="AG1035">
            <v>50</v>
          </cell>
          <cell r="AH1035">
            <v>50</v>
          </cell>
        </row>
        <row r="1036">
          <cell r="B1036" t="str">
            <v>Waste - Price - Europe - USD/ton</v>
          </cell>
          <cell r="G1036">
            <v>50</v>
          </cell>
          <cell r="H1036">
            <v>50</v>
          </cell>
          <cell r="I1036">
            <v>50</v>
          </cell>
          <cell r="J1036">
            <v>50</v>
          </cell>
          <cell r="K1036">
            <v>50</v>
          </cell>
          <cell r="L1036">
            <v>50</v>
          </cell>
          <cell r="M1036">
            <v>50</v>
          </cell>
          <cell r="N1036">
            <v>50</v>
          </cell>
          <cell r="O1036">
            <v>50</v>
          </cell>
          <cell r="P1036">
            <v>50</v>
          </cell>
          <cell r="Q1036">
            <v>50</v>
          </cell>
          <cell r="R1036">
            <v>50</v>
          </cell>
          <cell r="S1036">
            <v>50</v>
          </cell>
          <cell r="T1036">
            <v>50</v>
          </cell>
          <cell r="U1036">
            <v>50</v>
          </cell>
          <cell r="V1036">
            <v>50</v>
          </cell>
          <cell r="W1036">
            <v>50</v>
          </cell>
          <cell r="X1036">
            <v>50</v>
          </cell>
          <cell r="Y1036">
            <v>50</v>
          </cell>
          <cell r="Z1036">
            <v>50</v>
          </cell>
          <cell r="AA1036">
            <v>50</v>
          </cell>
          <cell r="AB1036">
            <v>50</v>
          </cell>
          <cell r="AC1036">
            <v>50</v>
          </cell>
          <cell r="AD1036">
            <v>50</v>
          </cell>
          <cell r="AE1036">
            <v>50</v>
          </cell>
          <cell r="AF1036">
            <v>50</v>
          </cell>
          <cell r="AG1036">
            <v>50</v>
          </cell>
          <cell r="AH1036">
            <v>50</v>
          </cell>
        </row>
        <row r="1037">
          <cell r="B1037" t="str">
            <v>Waste - Price - Middle East - USD/ton</v>
          </cell>
          <cell r="G1037">
            <v>50</v>
          </cell>
          <cell r="H1037">
            <v>50</v>
          </cell>
          <cell r="I1037">
            <v>50</v>
          </cell>
          <cell r="J1037">
            <v>50</v>
          </cell>
          <cell r="K1037">
            <v>50</v>
          </cell>
          <cell r="L1037">
            <v>50</v>
          </cell>
          <cell r="M1037">
            <v>50</v>
          </cell>
          <cell r="N1037">
            <v>50</v>
          </cell>
          <cell r="O1037">
            <v>50</v>
          </cell>
          <cell r="P1037">
            <v>50</v>
          </cell>
          <cell r="Q1037">
            <v>50</v>
          </cell>
          <cell r="R1037">
            <v>50</v>
          </cell>
          <cell r="S1037">
            <v>50</v>
          </cell>
          <cell r="T1037">
            <v>50</v>
          </cell>
          <cell r="U1037">
            <v>50</v>
          </cell>
          <cell r="V1037">
            <v>50</v>
          </cell>
          <cell r="W1037">
            <v>50</v>
          </cell>
          <cell r="X1037">
            <v>50</v>
          </cell>
          <cell r="Y1037">
            <v>50</v>
          </cell>
          <cell r="Z1037">
            <v>50</v>
          </cell>
          <cell r="AA1037">
            <v>50</v>
          </cell>
          <cell r="AB1037">
            <v>50</v>
          </cell>
          <cell r="AC1037">
            <v>50</v>
          </cell>
          <cell r="AD1037">
            <v>50</v>
          </cell>
          <cell r="AE1037">
            <v>50</v>
          </cell>
          <cell r="AF1037">
            <v>50</v>
          </cell>
          <cell r="AG1037">
            <v>50</v>
          </cell>
          <cell r="AH1037">
            <v>50</v>
          </cell>
        </row>
        <row r="1038">
          <cell r="B1038" t="str">
            <v>Bio-methanol - Conversion wood -&gt; Bio-MeOH - Global - ton wood/ton MeOH</v>
          </cell>
          <cell r="G1038">
            <v>1.21</v>
          </cell>
          <cell r="H1038">
            <v>1.21</v>
          </cell>
          <cell r="I1038">
            <v>1.21</v>
          </cell>
          <cell r="J1038">
            <v>1.21</v>
          </cell>
          <cell r="K1038">
            <v>1.21</v>
          </cell>
          <cell r="L1038">
            <v>1.21</v>
          </cell>
          <cell r="M1038">
            <v>1.21</v>
          </cell>
          <cell r="N1038">
            <v>1.21</v>
          </cell>
          <cell r="O1038">
            <v>1.21</v>
          </cell>
          <cell r="P1038">
            <v>1.21</v>
          </cell>
          <cell r="Q1038">
            <v>1.21</v>
          </cell>
          <cell r="R1038">
            <v>1.21</v>
          </cell>
          <cell r="S1038">
            <v>1.21</v>
          </cell>
          <cell r="T1038">
            <v>1.21</v>
          </cell>
          <cell r="U1038">
            <v>1.21</v>
          </cell>
          <cell r="V1038">
            <v>1.21</v>
          </cell>
          <cell r="W1038">
            <v>1.21</v>
          </cell>
          <cell r="X1038">
            <v>1.21</v>
          </cell>
          <cell r="Y1038">
            <v>1.21</v>
          </cell>
          <cell r="Z1038">
            <v>1.21</v>
          </cell>
          <cell r="AA1038">
            <v>1.21</v>
          </cell>
          <cell r="AB1038">
            <v>1.21</v>
          </cell>
          <cell r="AC1038">
            <v>1.21</v>
          </cell>
          <cell r="AD1038">
            <v>1.21</v>
          </cell>
          <cell r="AE1038">
            <v>1.21</v>
          </cell>
          <cell r="AF1038">
            <v>1.21</v>
          </cell>
          <cell r="AG1038">
            <v>1.21</v>
          </cell>
          <cell r="AH1038">
            <v>1.21</v>
          </cell>
        </row>
        <row r="1039">
          <cell r="B1039" t="str">
            <v>Bio-methanol - Conversion waste -&gt; Bio-MeOH - Global - ton waste/ton MeOH</v>
          </cell>
          <cell r="G1039">
            <v>1.21</v>
          </cell>
          <cell r="H1039">
            <v>1.21</v>
          </cell>
          <cell r="I1039">
            <v>1.21</v>
          </cell>
          <cell r="J1039">
            <v>1.21</v>
          </cell>
          <cell r="K1039">
            <v>1.21</v>
          </cell>
          <cell r="L1039">
            <v>1.21</v>
          </cell>
          <cell r="M1039">
            <v>1.21</v>
          </cell>
          <cell r="N1039">
            <v>1.21</v>
          </cell>
          <cell r="O1039">
            <v>1.21</v>
          </cell>
          <cell r="P1039">
            <v>1.21</v>
          </cell>
          <cell r="Q1039">
            <v>1.21</v>
          </cell>
          <cell r="R1039">
            <v>1.21</v>
          </cell>
          <cell r="S1039">
            <v>1.21</v>
          </cell>
          <cell r="T1039">
            <v>1.21</v>
          </cell>
          <cell r="U1039">
            <v>1.21</v>
          </cell>
          <cell r="V1039">
            <v>1.21</v>
          </cell>
          <cell r="W1039">
            <v>1.21</v>
          </cell>
          <cell r="X1039">
            <v>1.21</v>
          </cell>
          <cell r="Y1039">
            <v>1.21</v>
          </cell>
          <cell r="Z1039">
            <v>1.21</v>
          </cell>
          <cell r="AA1039">
            <v>1.21</v>
          </cell>
          <cell r="AB1039">
            <v>1.21</v>
          </cell>
          <cell r="AC1039">
            <v>1.21</v>
          </cell>
          <cell r="AD1039">
            <v>1.21</v>
          </cell>
          <cell r="AE1039">
            <v>1.21</v>
          </cell>
          <cell r="AF1039">
            <v>1.21</v>
          </cell>
          <cell r="AG1039">
            <v>1.21</v>
          </cell>
          <cell r="AH1039">
            <v>1.21</v>
          </cell>
        </row>
        <row r="1041">
          <cell r="B1041" t="str">
            <v>Bio-methane (liquefied) - Item - Region - Unit</v>
          </cell>
          <cell r="G1041">
            <v>2023</v>
          </cell>
          <cell r="H1041">
            <v>2024</v>
          </cell>
          <cell r="I1041">
            <v>2025</v>
          </cell>
          <cell r="J1041">
            <v>2026</v>
          </cell>
          <cell r="K1041">
            <v>2027</v>
          </cell>
          <cell r="L1041">
            <v>2028</v>
          </cell>
          <cell r="M1041">
            <v>2029</v>
          </cell>
          <cell r="N1041">
            <v>2030</v>
          </cell>
          <cell r="O1041">
            <v>2031</v>
          </cell>
          <cell r="P1041">
            <v>2032</v>
          </cell>
          <cell r="Q1041">
            <v>2033</v>
          </cell>
          <cell r="R1041">
            <v>2034</v>
          </cell>
          <cell r="S1041">
            <v>2035</v>
          </cell>
          <cell r="T1041">
            <v>2036</v>
          </cell>
          <cell r="U1041">
            <v>2037</v>
          </cell>
          <cell r="V1041">
            <v>2038</v>
          </cell>
          <cell r="W1041">
            <v>2039</v>
          </cell>
          <cell r="X1041">
            <v>2040</v>
          </cell>
          <cell r="Y1041">
            <v>2041</v>
          </cell>
          <cell r="Z1041">
            <v>2042</v>
          </cell>
          <cell r="AA1041">
            <v>2043</v>
          </cell>
          <cell r="AB1041">
            <v>2044</v>
          </cell>
          <cell r="AC1041">
            <v>2045</v>
          </cell>
          <cell r="AD1041">
            <v>2046</v>
          </cell>
          <cell r="AE1041">
            <v>2047</v>
          </cell>
          <cell r="AF1041">
            <v>2048</v>
          </cell>
          <cell r="AG1041">
            <v>2049</v>
          </cell>
          <cell r="AH1041">
            <v>2050</v>
          </cell>
        </row>
        <row r="1042">
          <cell r="B1042" t="str">
            <v>Bio-methane (liquefied) - Total cost - Africa - USD/ton fuel</v>
          </cell>
          <cell r="G1042">
            <v>1200.2217290434762</v>
          </cell>
          <cell r="H1042">
            <v>1173.2232453023753</v>
          </cell>
          <cell r="I1042">
            <v>1146.6166680786971</v>
          </cell>
          <cell r="J1042">
            <v>1130.3192719326091</v>
          </cell>
          <cell r="K1042">
            <v>1114.1040442836015</v>
          </cell>
          <cell r="L1042">
            <v>1097.9709851316732</v>
          </cell>
          <cell r="M1042">
            <v>1081.9200944768238</v>
          </cell>
          <cell r="N1042">
            <v>1065.9513723190544</v>
          </cell>
          <cell r="O1042">
            <v>1051.9457363592455</v>
          </cell>
          <cell r="P1042">
            <v>1037.9357288444971</v>
          </cell>
          <cell r="Q1042">
            <v>1023.9213497748094</v>
          </cell>
          <cell r="R1042">
            <v>1009.9025991501869</v>
          </cell>
          <cell r="S1042">
            <v>995.8794769706227</v>
          </cell>
          <cell r="T1042">
            <v>982.54387889973668</v>
          </cell>
          <cell r="U1042">
            <v>969.20622320977532</v>
          </cell>
          <cell r="V1042">
            <v>955.86650990073758</v>
          </cell>
          <cell r="W1042">
            <v>942.52473897262439</v>
          </cell>
          <cell r="X1042">
            <v>929.18091042543642</v>
          </cell>
          <cell r="Y1042">
            <v>915.81748489977872</v>
          </cell>
          <cell r="Z1042">
            <v>902.4519435837866</v>
          </cell>
          <cell r="AA1042">
            <v>889.08428647746052</v>
          </cell>
          <cell r="AB1042">
            <v>875.71451358080321</v>
          </cell>
          <cell r="AC1042">
            <v>862.34262489381013</v>
          </cell>
          <cell r="AD1042">
            <v>849.29613419117811</v>
          </cell>
          <cell r="AE1042">
            <v>836.24860500198542</v>
          </cell>
          <cell r="AF1042">
            <v>823.20003732623263</v>
          </cell>
          <cell r="AG1042">
            <v>810.15043116391985</v>
          </cell>
          <cell r="AH1042">
            <v>797.09978651504741</v>
          </cell>
        </row>
        <row r="1043">
          <cell r="B1043" t="str">
            <v>Bio-methane (liquefied) - Total cost - Americas - USD/ton fuel</v>
          </cell>
          <cell r="G1043">
            <v>1151.4766114670608</v>
          </cell>
          <cell r="H1043">
            <v>1137.4312830390195</v>
          </cell>
          <cell r="I1043">
            <v>1123.4308416932929</v>
          </cell>
          <cell r="J1043">
            <v>1109.3714147856035</v>
          </cell>
          <cell r="K1043">
            <v>1095.3107258246628</v>
          </cell>
          <cell r="L1043">
            <v>1081.2487748104695</v>
          </cell>
          <cell r="M1043">
            <v>1067.1855617430244</v>
          </cell>
          <cell r="N1043">
            <v>1053.1210866223271</v>
          </cell>
          <cell r="O1043">
            <v>1040.0167771460774</v>
          </cell>
          <cell r="P1043">
            <v>1026.8979354434671</v>
          </cell>
          <cell r="Q1043">
            <v>1013.764561514497</v>
          </cell>
          <cell r="R1043">
            <v>1000.6166553591706</v>
          </cell>
          <cell r="S1043">
            <v>987.45421697748077</v>
          </cell>
          <cell r="T1043">
            <v>974.33663522063205</v>
          </cell>
          <cell r="U1043">
            <v>961.21700077880928</v>
          </cell>
          <cell r="V1043">
            <v>948.09531365201155</v>
          </cell>
          <cell r="W1043">
            <v>934.97157384023978</v>
          </cell>
          <cell r="X1043">
            <v>921.84578134349442</v>
          </cell>
          <cell r="Y1043">
            <v>909.08750708349351</v>
          </cell>
          <cell r="Z1043">
            <v>896.32840586204861</v>
          </cell>
          <cell r="AA1043">
            <v>883.56847767915986</v>
          </cell>
          <cell r="AB1043">
            <v>870.80772253482974</v>
          </cell>
          <cell r="AC1043">
            <v>858.04614042905416</v>
          </cell>
          <cell r="AD1043">
            <v>845.34546947340425</v>
          </cell>
          <cell r="AE1043">
            <v>832.64417463387667</v>
          </cell>
          <cell r="AF1043">
            <v>819.94225591047245</v>
          </cell>
          <cell r="AG1043">
            <v>807.23971330319159</v>
          </cell>
          <cell r="AH1043">
            <v>794.53654681203409</v>
          </cell>
        </row>
        <row r="1044">
          <cell r="B1044" t="str">
            <v>Bio-methane (liquefied) - Total cost - Asia - USD/ton fuel</v>
          </cell>
          <cell r="G1044">
            <v>1206.8592144049742</v>
          </cell>
          <cell r="H1044">
            <v>1182.2095911697229</v>
          </cell>
          <cell r="I1044">
            <v>1157.8865856440714</v>
          </cell>
          <cell r="J1044">
            <v>1140.6989902827318</v>
          </cell>
          <cell r="K1044">
            <v>1123.6530078879864</v>
          </cell>
          <cell r="L1044">
            <v>1106.7486384598317</v>
          </cell>
          <cell r="M1044">
            <v>1089.9858819982687</v>
          </cell>
          <cell r="N1044">
            <v>1073.3647385032991</v>
          </cell>
          <cell r="O1044">
            <v>1059.1067762252405</v>
          </cell>
          <cell r="P1044">
            <v>1044.8431133716713</v>
          </cell>
          <cell r="Q1044">
            <v>1030.5737499425927</v>
          </cell>
          <cell r="R1044">
            <v>1016.2986859380069</v>
          </cell>
          <cell r="S1044">
            <v>1002.0179213579079</v>
          </cell>
          <cell r="T1044">
            <v>988.56936830710424</v>
          </cell>
          <cell r="U1044">
            <v>975.1179169455994</v>
          </cell>
          <cell r="V1044">
            <v>961.6635672733928</v>
          </cell>
          <cell r="W1044">
            <v>948.20631929048466</v>
          </cell>
          <cell r="X1044">
            <v>934.74617299687623</v>
          </cell>
          <cell r="Y1044">
            <v>921.24229378385553</v>
          </cell>
          <cell r="Z1044">
            <v>907.73538082756045</v>
          </cell>
          <cell r="AA1044">
            <v>894.22543412799098</v>
          </cell>
          <cell r="AB1044">
            <v>880.71245368514997</v>
          </cell>
          <cell r="AC1044">
            <v>867.19643949903252</v>
          </cell>
          <cell r="AD1044">
            <v>854.1767347229918</v>
          </cell>
          <cell r="AE1044">
            <v>841.15563871249594</v>
          </cell>
          <cell r="AF1044">
            <v>828.13315146754599</v>
          </cell>
          <cell r="AG1044">
            <v>815.10927298814158</v>
          </cell>
          <cell r="AH1044">
            <v>802.08400327428308</v>
          </cell>
        </row>
        <row r="1045">
          <cell r="B1045" t="str">
            <v>Bio-methane (liquefied) - Total cost - Europe - USD/ton fuel</v>
          </cell>
          <cell r="G1045">
            <v>1188.1833907966961</v>
          </cell>
          <cell r="H1045">
            <v>1166.8944713432345</v>
          </cell>
          <cell r="I1045">
            <v>1146.0170143731493</v>
          </cell>
          <cell r="J1045">
            <v>1129.9929508868204</v>
          </cell>
          <cell r="K1045">
            <v>1114.0519890354708</v>
          </cell>
          <cell r="L1045">
            <v>1098.1941288191003</v>
          </cell>
          <cell r="M1045">
            <v>1082.4193702377086</v>
          </cell>
          <cell r="N1045">
            <v>1066.7277132912959</v>
          </cell>
          <cell r="O1045">
            <v>1053.1697246347271</v>
          </cell>
          <cell r="P1045">
            <v>1039.6088697089194</v>
          </cell>
          <cell r="Q1045">
            <v>1026.0451485138726</v>
          </cell>
          <cell r="R1045">
            <v>1012.4785610495902</v>
          </cell>
          <cell r="S1045">
            <v>998.90910731606607</v>
          </cell>
          <cell r="T1045">
            <v>985.6821349932261</v>
          </cell>
          <cell r="U1045">
            <v>972.4534513619659</v>
          </cell>
          <cell r="V1045">
            <v>959.22305642228457</v>
          </cell>
          <cell r="W1045">
            <v>945.9909501741829</v>
          </cell>
          <cell r="X1045">
            <v>932.75713261766077</v>
          </cell>
          <cell r="Y1045">
            <v>919.48557825030389</v>
          </cell>
          <cell r="Z1045">
            <v>906.21219309189496</v>
          </cell>
          <cell r="AA1045">
            <v>892.93697714243478</v>
          </cell>
          <cell r="AB1045">
            <v>879.65993040192552</v>
          </cell>
          <cell r="AC1045">
            <v>866.38105287036308</v>
          </cell>
          <cell r="AD1045">
            <v>853.25083320920658</v>
          </cell>
          <cell r="AE1045">
            <v>840.11927776519394</v>
          </cell>
          <cell r="AF1045">
            <v>826.98638653832631</v>
          </cell>
          <cell r="AG1045">
            <v>813.85215952860369</v>
          </cell>
          <cell r="AH1045">
            <v>800.71659673602596</v>
          </cell>
        </row>
        <row r="1046">
          <cell r="B1046" t="str">
            <v>Bio-methane (liquefied) - Total cost - Middle East - USD/ton fuel</v>
          </cell>
          <cell r="G1046">
            <v>1167.9948783821023</v>
          </cell>
          <cell r="H1046">
            <v>1148.3780837756763</v>
          </cell>
          <cell r="I1046">
            <v>1129.1045956917378</v>
          </cell>
          <cell r="J1046">
            <v>1113.2154062568147</v>
          </cell>
          <cell r="K1046">
            <v>1097.4737851264795</v>
          </cell>
          <cell r="L1046">
            <v>1081.8797323007304</v>
          </cell>
          <cell r="M1046">
            <v>1066.4332477795683</v>
          </cell>
          <cell r="N1046">
            <v>1051.1343315629933</v>
          </cell>
          <cell r="O1046">
            <v>1037.8144778380899</v>
          </cell>
          <cell r="P1046">
            <v>1024.4914992572299</v>
          </cell>
          <cell r="Q1046">
            <v>1011.1653958204129</v>
          </cell>
          <cell r="R1046">
            <v>997.83616752764306</v>
          </cell>
          <cell r="S1046">
            <v>984.50381437891326</v>
          </cell>
          <cell r="T1046">
            <v>971.63422351933934</v>
          </cell>
          <cell r="U1046">
            <v>958.7630658898471</v>
          </cell>
          <cell r="V1046">
            <v>945.89034149043596</v>
          </cell>
          <cell r="W1046">
            <v>933.01605032110592</v>
          </cell>
          <cell r="X1046">
            <v>920.14019238185824</v>
          </cell>
          <cell r="Y1046">
            <v>907.11566397020329</v>
          </cell>
          <cell r="Z1046">
            <v>894.08908090265413</v>
          </cell>
          <cell r="AA1046">
            <v>881.06044317921112</v>
          </cell>
          <cell r="AB1046">
            <v>868.02975079987675</v>
          </cell>
          <cell r="AC1046">
            <v>854.99700376464648</v>
          </cell>
          <cell r="AD1046">
            <v>842.29449149079016</v>
          </cell>
          <cell r="AE1046">
            <v>829.59101757351937</v>
          </cell>
          <cell r="AF1046">
            <v>816.88658201283511</v>
          </cell>
          <cell r="AG1046">
            <v>804.18118480873738</v>
          </cell>
          <cell r="AH1046">
            <v>791.47482596122632</v>
          </cell>
        </row>
        <row r="1047">
          <cell r="B1047" t="str">
            <v/>
          </cell>
        </row>
        <row r="1048">
          <cell r="B1048" t="str">
            <v>Bio-methane (liquefied) - CAPEX - Global - USD/ton fuel</v>
          </cell>
          <cell r="G1048">
            <v>207.65791535428338</v>
          </cell>
          <cell r="H1048">
            <v>204.81163652903632</v>
          </cell>
          <cell r="I1048">
            <v>201.96535770378833</v>
          </cell>
          <cell r="J1048">
            <v>199.11907887854031</v>
          </cell>
          <cell r="K1048">
            <v>196.27280005329231</v>
          </cell>
          <cell r="L1048">
            <v>193.42652122804429</v>
          </cell>
          <cell r="M1048">
            <v>190.58024240279627</v>
          </cell>
          <cell r="N1048">
            <v>187.73396357754828</v>
          </cell>
          <cell r="O1048">
            <v>184.88768475230026</v>
          </cell>
          <cell r="P1048">
            <v>182.04140592705227</v>
          </cell>
          <cell r="Q1048">
            <v>179.19512710180425</v>
          </cell>
          <cell r="R1048">
            <v>176.34884827655722</v>
          </cell>
          <cell r="S1048">
            <v>173.5025694513092</v>
          </cell>
          <cell r="T1048">
            <v>170.65629062606118</v>
          </cell>
          <cell r="U1048">
            <v>167.81001180081319</v>
          </cell>
          <cell r="V1048">
            <v>164.96373297556516</v>
          </cell>
          <cell r="W1048">
            <v>162.11745415031717</v>
          </cell>
          <cell r="X1048">
            <v>159.27117532506915</v>
          </cell>
          <cell r="Y1048">
            <v>156.42489649982113</v>
          </cell>
          <cell r="Z1048">
            <v>153.57861767457314</v>
          </cell>
          <cell r="AA1048">
            <v>150.73233884932512</v>
          </cell>
          <cell r="AB1048">
            <v>147.88606002407809</v>
          </cell>
          <cell r="AC1048">
            <v>145.03978119883007</v>
          </cell>
          <cell r="AD1048">
            <v>142.19350237358205</v>
          </cell>
          <cell r="AE1048">
            <v>139.34722354833406</v>
          </cell>
          <cell r="AF1048">
            <v>136.50094472308604</v>
          </cell>
          <cell r="AG1048">
            <v>133.65466589783804</v>
          </cell>
          <cell r="AH1048">
            <v>130.80838707259002</v>
          </cell>
        </row>
        <row r="1049">
          <cell r="B1049" t="str">
            <v>Bio-methane (liquefied) - Plant lifetime - Global - Years</v>
          </cell>
          <cell r="G1049">
            <v>30</v>
          </cell>
          <cell r="H1049">
            <v>30</v>
          </cell>
          <cell r="I1049">
            <v>30</v>
          </cell>
          <cell r="J1049">
            <v>30</v>
          </cell>
          <cell r="K1049">
            <v>30</v>
          </cell>
          <cell r="L1049">
            <v>30</v>
          </cell>
          <cell r="M1049">
            <v>30</v>
          </cell>
          <cell r="N1049">
            <v>30</v>
          </cell>
          <cell r="O1049">
            <v>30</v>
          </cell>
          <cell r="P1049">
            <v>30</v>
          </cell>
          <cell r="Q1049">
            <v>30</v>
          </cell>
          <cell r="R1049">
            <v>30</v>
          </cell>
          <cell r="S1049">
            <v>30</v>
          </cell>
          <cell r="T1049">
            <v>30</v>
          </cell>
          <cell r="U1049">
            <v>30</v>
          </cell>
          <cell r="V1049">
            <v>30</v>
          </cell>
          <cell r="W1049">
            <v>30</v>
          </cell>
          <cell r="X1049">
            <v>30</v>
          </cell>
          <cell r="Y1049">
            <v>30</v>
          </cell>
          <cell r="Z1049">
            <v>30</v>
          </cell>
          <cell r="AA1049">
            <v>30</v>
          </cell>
          <cell r="AB1049">
            <v>30</v>
          </cell>
          <cell r="AC1049">
            <v>30</v>
          </cell>
          <cell r="AD1049">
            <v>30</v>
          </cell>
          <cell r="AE1049">
            <v>30</v>
          </cell>
          <cell r="AF1049">
            <v>30</v>
          </cell>
          <cell r="AG1049">
            <v>30</v>
          </cell>
          <cell r="AH1049">
            <v>30</v>
          </cell>
        </row>
        <row r="1050">
          <cell r="B1050" t="str">
            <v>Bio-methane (liquefied) - Total CAPEX - Global - USD/ton fuel</v>
          </cell>
          <cell r="G1050">
            <v>6229.7374606285011</v>
          </cell>
          <cell r="H1050">
            <v>6144.34909587109</v>
          </cell>
          <cell r="I1050">
            <v>6058.9607311136497</v>
          </cell>
          <cell r="J1050">
            <v>5973.5723663562094</v>
          </cell>
          <cell r="K1050">
            <v>5888.1840015987691</v>
          </cell>
          <cell r="L1050">
            <v>5802.7956368413288</v>
          </cell>
          <cell r="M1050">
            <v>5717.4072720838885</v>
          </cell>
          <cell r="N1050">
            <v>5632.0189073264482</v>
          </cell>
          <cell r="O1050">
            <v>5546.630542569008</v>
          </cell>
          <cell r="P1050">
            <v>5461.2421778115677</v>
          </cell>
          <cell r="Q1050">
            <v>5375.8538130541274</v>
          </cell>
          <cell r="R1050">
            <v>5290.4654482967162</v>
          </cell>
          <cell r="S1050">
            <v>5205.0770835392759</v>
          </cell>
          <cell r="T1050">
            <v>5119.6887187818356</v>
          </cell>
          <cell r="U1050">
            <v>5034.3003540243953</v>
          </cell>
          <cell r="V1050">
            <v>4948.9119892669551</v>
          </cell>
          <cell r="W1050">
            <v>4863.5236245095148</v>
          </cell>
          <cell r="X1050">
            <v>4778.1352597520745</v>
          </cell>
          <cell r="Y1050">
            <v>4692.7468949946342</v>
          </cell>
          <cell r="Z1050">
            <v>4607.3585302371939</v>
          </cell>
          <cell r="AA1050">
            <v>4521.9701654797536</v>
          </cell>
          <cell r="AB1050">
            <v>4436.5818007223425</v>
          </cell>
          <cell r="AC1050">
            <v>4351.1934359649022</v>
          </cell>
          <cell r="AD1050">
            <v>4265.8050712074619</v>
          </cell>
          <cell r="AE1050">
            <v>4180.4167064500216</v>
          </cell>
          <cell r="AF1050">
            <v>4095.0283416925813</v>
          </cell>
          <cell r="AG1050">
            <v>4009.639976935141</v>
          </cell>
          <cell r="AH1050">
            <v>3924.2516121777007</v>
          </cell>
        </row>
        <row r="1051">
          <cell r="B1051" t="str">
            <v/>
          </cell>
        </row>
        <row r="1052">
          <cell r="B1052" t="str">
            <v>Bio-methane (liquefied) - OPEX - Global - USD/ton fuel</v>
          </cell>
          <cell r="G1052">
            <v>330.60377619559495</v>
          </cell>
          <cell r="H1052">
            <v>327.11905046348147</v>
          </cell>
          <cell r="I1052">
            <v>323.63432473136709</v>
          </cell>
          <cell r="J1052">
            <v>320.14959899925361</v>
          </cell>
          <cell r="K1052">
            <v>316.66487326714105</v>
          </cell>
          <cell r="L1052">
            <v>313.18014753502757</v>
          </cell>
          <cell r="M1052">
            <v>309.6954218029141</v>
          </cell>
          <cell r="N1052">
            <v>306.21069607080062</v>
          </cell>
          <cell r="O1052">
            <v>302.72597033868715</v>
          </cell>
          <cell r="P1052">
            <v>299.24124460657367</v>
          </cell>
          <cell r="Q1052">
            <v>295.7565188744602</v>
          </cell>
          <cell r="R1052">
            <v>292.27179314234763</v>
          </cell>
          <cell r="S1052">
            <v>288.78706741023416</v>
          </cell>
          <cell r="T1052">
            <v>285.30234167812068</v>
          </cell>
          <cell r="U1052">
            <v>281.81761594600721</v>
          </cell>
          <cell r="V1052">
            <v>278.33289021389373</v>
          </cell>
          <cell r="W1052">
            <v>274.84816448178026</v>
          </cell>
          <cell r="X1052">
            <v>271.36343874966769</v>
          </cell>
          <cell r="Y1052">
            <v>267.87871301755422</v>
          </cell>
          <cell r="Z1052">
            <v>264.39398728544074</v>
          </cell>
          <cell r="AA1052">
            <v>260.90926155332727</v>
          </cell>
          <cell r="AB1052">
            <v>257.42453582121379</v>
          </cell>
          <cell r="AC1052">
            <v>253.93981008910123</v>
          </cell>
          <cell r="AD1052">
            <v>250.45508435698866</v>
          </cell>
          <cell r="AE1052">
            <v>246.97035862487519</v>
          </cell>
          <cell r="AF1052">
            <v>243.48563289276171</v>
          </cell>
          <cell r="AG1052">
            <v>240.00090716064824</v>
          </cell>
          <cell r="AH1052">
            <v>236.51618142853476</v>
          </cell>
        </row>
        <row r="1053">
          <cell r="B1053" t="str">
            <v>Bio-methane (liquefied) - OPEX - Global - USD/ton fuel/year</v>
          </cell>
          <cell r="G1053">
            <v>330.60377619559495</v>
          </cell>
          <cell r="H1053">
            <v>327.11905046348147</v>
          </cell>
          <cell r="I1053">
            <v>323.63432473136709</v>
          </cell>
          <cell r="J1053">
            <v>320.14959899925361</v>
          </cell>
          <cell r="K1053">
            <v>316.66487326714105</v>
          </cell>
          <cell r="L1053">
            <v>313.18014753502757</v>
          </cell>
          <cell r="M1053">
            <v>309.6954218029141</v>
          </cell>
          <cell r="N1053">
            <v>306.21069607080062</v>
          </cell>
          <cell r="O1053">
            <v>302.72597033868715</v>
          </cell>
          <cell r="P1053">
            <v>299.24124460657367</v>
          </cell>
          <cell r="Q1053">
            <v>295.7565188744602</v>
          </cell>
          <cell r="R1053">
            <v>292.27179314234763</v>
          </cell>
          <cell r="S1053">
            <v>288.78706741023416</v>
          </cell>
          <cell r="T1053">
            <v>285.30234167812068</v>
          </cell>
          <cell r="U1053">
            <v>281.81761594600721</v>
          </cell>
          <cell r="V1053">
            <v>278.33289021389373</v>
          </cell>
          <cell r="W1053">
            <v>274.84816448178026</v>
          </cell>
          <cell r="X1053">
            <v>271.36343874966769</v>
          </cell>
          <cell r="Y1053">
            <v>267.87871301755422</v>
          </cell>
          <cell r="Z1053">
            <v>264.39398728544074</v>
          </cell>
          <cell r="AA1053">
            <v>260.90926155332727</v>
          </cell>
          <cell r="AB1053">
            <v>257.42453582121379</v>
          </cell>
          <cell r="AC1053">
            <v>253.93981008910123</v>
          </cell>
          <cell r="AD1053">
            <v>250.45508435698866</v>
          </cell>
          <cell r="AE1053">
            <v>246.97035862487519</v>
          </cell>
          <cell r="AF1053">
            <v>243.48563289276171</v>
          </cell>
          <cell r="AG1053">
            <v>240.00090716064824</v>
          </cell>
          <cell r="AH1053">
            <v>236.51618142853476</v>
          </cell>
        </row>
        <row r="1054">
          <cell r="B1054" t="str">
            <v/>
          </cell>
        </row>
        <row r="1055">
          <cell r="B1055" t="str">
            <v>Bio-methane (liquefied) - Finance cost - Africa - USD/ton fuel</v>
          </cell>
          <cell r="G1055">
            <v>342.63556033456763</v>
          </cell>
          <cell r="H1055">
            <v>337.93920027291</v>
          </cell>
          <cell r="I1055">
            <v>333.24284021125078</v>
          </cell>
          <cell r="J1055">
            <v>328.54648014959156</v>
          </cell>
          <cell r="K1055">
            <v>323.85012008793234</v>
          </cell>
          <cell r="L1055">
            <v>319.15376002627312</v>
          </cell>
          <cell r="M1055">
            <v>314.4573999646139</v>
          </cell>
          <cell r="N1055">
            <v>309.76103990295468</v>
          </cell>
          <cell r="O1055">
            <v>305.06467984129546</v>
          </cell>
          <cell r="P1055">
            <v>300.36831977963624</v>
          </cell>
          <cell r="Q1055">
            <v>295.67195971797702</v>
          </cell>
          <cell r="R1055">
            <v>290.97559965631945</v>
          </cell>
          <cell r="S1055">
            <v>286.27923959466023</v>
          </cell>
          <cell r="T1055">
            <v>281.58287953300101</v>
          </cell>
          <cell r="U1055">
            <v>276.88651947134178</v>
          </cell>
          <cell r="V1055">
            <v>272.19015940968256</v>
          </cell>
          <cell r="W1055">
            <v>267.49379934802334</v>
          </cell>
          <cell r="X1055">
            <v>262.79743928636412</v>
          </cell>
          <cell r="Y1055">
            <v>258.1010792247049</v>
          </cell>
          <cell r="Z1055">
            <v>253.40471916304571</v>
          </cell>
          <cell r="AA1055">
            <v>248.70835910138649</v>
          </cell>
          <cell r="AB1055">
            <v>244.01199903972886</v>
          </cell>
          <cell r="AC1055">
            <v>239.31563897806964</v>
          </cell>
          <cell r="AD1055">
            <v>234.61927891641042</v>
          </cell>
          <cell r="AE1055">
            <v>229.92291885475123</v>
          </cell>
          <cell r="AF1055">
            <v>225.22655879309201</v>
          </cell>
          <cell r="AG1055">
            <v>220.53019873143279</v>
          </cell>
          <cell r="AH1055">
            <v>215.83383866977357</v>
          </cell>
        </row>
        <row r="1056">
          <cell r="B1056" t="str">
            <v>Bio-methane (liquefied) - Finance cost - Americas - USD/ton fuel</v>
          </cell>
          <cell r="G1056">
            <v>342.63556033456763</v>
          </cell>
          <cell r="H1056">
            <v>337.93920027291</v>
          </cell>
          <cell r="I1056">
            <v>333.24284021125078</v>
          </cell>
          <cell r="J1056">
            <v>328.54648014959156</v>
          </cell>
          <cell r="K1056">
            <v>323.85012008793234</v>
          </cell>
          <cell r="L1056">
            <v>319.15376002627312</v>
          </cell>
          <cell r="M1056">
            <v>314.4573999646139</v>
          </cell>
          <cell r="N1056">
            <v>309.76103990295468</v>
          </cell>
          <cell r="O1056">
            <v>305.06467984129546</v>
          </cell>
          <cell r="P1056">
            <v>300.36831977963624</v>
          </cell>
          <cell r="Q1056">
            <v>295.67195971797702</v>
          </cell>
          <cell r="R1056">
            <v>290.97559965631945</v>
          </cell>
          <cell r="S1056">
            <v>286.27923959466023</v>
          </cell>
          <cell r="T1056">
            <v>281.58287953300101</v>
          </cell>
          <cell r="U1056">
            <v>276.88651947134178</v>
          </cell>
          <cell r="V1056">
            <v>272.19015940968256</v>
          </cell>
          <cell r="W1056">
            <v>267.49379934802334</v>
          </cell>
          <cell r="X1056">
            <v>262.79743928636412</v>
          </cell>
          <cell r="Y1056">
            <v>258.1010792247049</v>
          </cell>
          <cell r="Z1056">
            <v>253.40471916304571</v>
          </cell>
          <cell r="AA1056">
            <v>248.70835910138649</v>
          </cell>
          <cell r="AB1056">
            <v>244.01199903972886</v>
          </cell>
          <cell r="AC1056">
            <v>239.31563897806964</v>
          </cell>
          <cell r="AD1056">
            <v>234.61927891641042</v>
          </cell>
          <cell r="AE1056">
            <v>229.92291885475123</v>
          </cell>
          <cell r="AF1056">
            <v>225.22655879309201</v>
          </cell>
          <cell r="AG1056">
            <v>220.53019873143279</v>
          </cell>
          <cell r="AH1056">
            <v>215.83383866977357</v>
          </cell>
        </row>
        <row r="1057">
          <cell r="B1057" t="str">
            <v>Bio-methane (liquefied) - Finance cost - Asia - USD/ton fuel</v>
          </cell>
          <cell r="G1057">
            <v>342.63556033456763</v>
          </cell>
          <cell r="H1057">
            <v>337.93920027291</v>
          </cell>
          <cell r="I1057">
            <v>333.24284021125078</v>
          </cell>
          <cell r="J1057">
            <v>328.54648014959156</v>
          </cell>
          <cell r="K1057">
            <v>323.85012008793234</v>
          </cell>
          <cell r="L1057">
            <v>319.15376002627312</v>
          </cell>
          <cell r="M1057">
            <v>314.4573999646139</v>
          </cell>
          <cell r="N1057">
            <v>309.76103990295468</v>
          </cell>
          <cell r="O1057">
            <v>305.06467984129546</v>
          </cell>
          <cell r="P1057">
            <v>300.36831977963624</v>
          </cell>
          <cell r="Q1057">
            <v>295.67195971797702</v>
          </cell>
          <cell r="R1057">
            <v>290.97559965631945</v>
          </cell>
          <cell r="S1057">
            <v>286.27923959466023</v>
          </cell>
          <cell r="T1057">
            <v>281.58287953300101</v>
          </cell>
          <cell r="U1057">
            <v>276.88651947134178</v>
          </cell>
          <cell r="V1057">
            <v>272.19015940968256</v>
          </cell>
          <cell r="W1057">
            <v>267.49379934802334</v>
          </cell>
          <cell r="X1057">
            <v>262.79743928636412</v>
          </cell>
          <cell r="Y1057">
            <v>258.1010792247049</v>
          </cell>
          <cell r="Z1057">
            <v>253.40471916304571</v>
          </cell>
          <cell r="AA1057">
            <v>248.70835910138649</v>
          </cell>
          <cell r="AB1057">
            <v>244.01199903972886</v>
          </cell>
          <cell r="AC1057">
            <v>239.31563897806964</v>
          </cell>
          <cell r="AD1057">
            <v>234.61927891641042</v>
          </cell>
          <cell r="AE1057">
            <v>229.92291885475123</v>
          </cell>
          <cell r="AF1057">
            <v>225.22655879309201</v>
          </cell>
          <cell r="AG1057">
            <v>220.53019873143279</v>
          </cell>
          <cell r="AH1057">
            <v>215.83383866977357</v>
          </cell>
        </row>
        <row r="1058">
          <cell r="B1058" t="str">
            <v>Bio-methane (liquefied) - Finance cost - Europe - USD/ton fuel</v>
          </cell>
          <cell r="G1058">
            <v>342.63556033456763</v>
          </cell>
          <cell r="H1058">
            <v>337.93920027291</v>
          </cell>
          <cell r="I1058">
            <v>333.24284021125078</v>
          </cell>
          <cell r="J1058">
            <v>328.54648014959156</v>
          </cell>
          <cell r="K1058">
            <v>323.85012008793234</v>
          </cell>
          <cell r="L1058">
            <v>319.15376002627312</v>
          </cell>
          <cell r="M1058">
            <v>314.4573999646139</v>
          </cell>
          <cell r="N1058">
            <v>309.76103990295468</v>
          </cell>
          <cell r="O1058">
            <v>305.06467984129546</v>
          </cell>
          <cell r="P1058">
            <v>300.36831977963624</v>
          </cell>
          <cell r="Q1058">
            <v>295.67195971797702</v>
          </cell>
          <cell r="R1058">
            <v>290.97559965631945</v>
          </cell>
          <cell r="S1058">
            <v>286.27923959466023</v>
          </cell>
          <cell r="T1058">
            <v>281.58287953300101</v>
          </cell>
          <cell r="U1058">
            <v>276.88651947134178</v>
          </cell>
          <cell r="V1058">
            <v>272.19015940968256</v>
          </cell>
          <cell r="W1058">
            <v>267.49379934802334</v>
          </cell>
          <cell r="X1058">
            <v>262.79743928636412</v>
          </cell>
          <cell r="Y1058">
            <v>258.1010792247049</v>
          </cell>
          <cell r="Z1058">
            <v>253.40471916304571</v>
          </cell>
          <cell r="AA1058">
            <v>248.70835910138649</v>
          </cell>
          <cell r="AB1058">
            <v>244.01199903972886</v>
          </cell>
          <cell r="AC1058">
            <v>239.31563897806964</v>
          </cell>
          <cell r="AD1058">
            <v>234.61927891641042</v>
          </cell>
          <cell r="AE1058">
            <v>229.92291885475123</v>
          </cell>
          <cell r="AF1058">
            <v>225.22655879309201</v>
          </cell>
          <cell r="AG1058">
            <v>220.53019873143279</v>
          </cell>
          <cell r="AH1058">
            <v>215.83383866977357</v>
          </cell>
        </row>
        <row r="1059">
          <cell r="B1059" t="str">
            <v>Bio-methane (liquefied) - Finance cost - Middle East - USD/ton fuel</v>
          </cell>
          <cell r="G1059">
            <v>342.63556033456763</v>
          </cell>
          <cell r="H1059">
            <v>337.93920027291</v>
          </cell>
          <cell r="I1059">
            <v>333.24284021125078</v>
          </cell>
          <cell r="J1059">
            <v>328.54648014959156</v>
          </cell>
          <cell r="K1059">
            <v>323.85012008793234</v>
          </cell>
          <cell r="L1059">
            <v>319.15376002627312</v>
          </cell>
          <cell r="M1059">
            <v>314.4573999646139</v>
          </cell>
          <cell r="N1059">
            <v>309.76103990295468</v>
          </cell>
          <cell r="O1059">
            <v>305.06467984129546</v>
          </cell>
          <cell r="P1059">
            <v>300.36831977963624</v>
          </cell>
          <cell r="Q1059">
            <v>295.67195971797702</v>
          </cell>
          <cell r="R1059">
            <v>290.97559965631945</v>
          </cell>
          <cell r="S1059">
            <v>286.27923959466023</v>
          </cell>
          <cell r="T1059">
            <v>281.58287953300101</v>
          </cell>
          <cell r="U1059">
            <v>276.88651947134178</v>
          </cell>
          <cell r="V1059">
            <v>272.19015940968256</v>
          </cell>
          <cell r="W1059">
            <v>267.49379934802334</v>
          </cell>
          <cell r="X1059">
            <v>262.79743928636412</v>
          </cell>
          <cell r="Y1059">
            <v>258.1010792247049</v>
          </cell>
          <cell r="Z1059">
            <v>253.40471916304571</v>
          </cell>
          <cell r="AA1059">
            <v>248.70835910138649</v>
          </cell>
          <cell r="AB1059">
            <v>244.01199903972886</v>
          </cell>
          <cell r="AC1059">
            <v>239.31563897806964</v>
          </cell>
          <cell r="AD1059">
            <v>234.61927891641042</v>
          </cell>
          <cell r="AE1059">
            <v>229.92291885475123</v>
          </cell>
          <cell r="AF1059">
            <v>225.22655879309201</v>
          </cell>
          <cell r="AG1059">
            <v>220.53019873143279</v>
          </cell>
          <cell r="AH1059">
            <v>215.83383866977357</v>
          </cell>
        </row>
        <row r="1060">
          <cell r="B1060" t="str">
            <v>General - Weighted average cost of capital (WACC) - Africa - %</v>
          </cell>
          <cell r="G1060">
            <v>5.5000000000000007E-2</v>
          </cell>
          <cell r="H1060">
            <v>5.5000000000000007E-2</v>
          </cell>
          <cell r="I1060">
            <v>5.5000000000000007E-2</v>
          </cell>
          <cell r="J1060">
            <v>5.5000000000000007E-2</v>
          </cell>
          <cell r="K1060">
            <v>5.5000000000000007E-2</v>
          </cell>
          <cell r="L1060">
            <v>5.5000000000000007E-2</v>
          </cell>
          <cell r="M1060">
            <v>5.5000000000000007E-2</v>
          </cell>
          <cell r="N1060">
            <v>5.5000000000000007E-2</v>
          </cell>
          <cell r="O1060">
            <v>5.5000000000000007E-2</v>
          </cell>
          <cell r="P1060">
            <v>5.5000000000000007E-2</v>
          </cell>
          <cell r="Q1060">
            <v>5.5000000000000007E-2</v>
          </cell>
          <cell r="R1060">
            <v>5.5000000000000007E-2</v>
          </cell>
          <cell r="S1060">
            <v>5.5000000000000007E-2</v>
          </cell>
          <cell r="T1060">
            <v>5.5000000000000007E-2</v>
          </cell>
          <cell r="U1060">
            <v>5.5000000000000007E-2</v>
          </cell>
          <cell r="V1060">
            <v>5.5000000000000007E-2</v>
          </cell>
          <cell r="W1060">
            <v>5.5000000000000007E-2</v>
          </cell>
          <cell r="X1060">
            <v>5.5000000000000007E-2</v>
          </cell>
          <cell r="Y1060">
            <v>5.5000000000000007E-2</v>
          </cell>
          <cell r="Z1060">
            <v>5.5000000000000007E-2</v>
          </cell>
          <cell r="AA1060">
            <v>5.5000000000000007E-2</v>
          </cell>
          <cell r="AB1060">
            <v>5.5000000000000007E-2</v>
          </cell>
          <cell r="AC1060">
            <v>5.5000000000000007E-2</v>
          </cell>
          <cell r="AD1060">
            <v>5.5000000000000007E-2</v>
          </cell>
          <cell r="AE1060">
            <v>5.5000000000000007E-2</v>
          </cell>
          <cell r="AF1060">
            <v>5.5000000000000007E-2</v>
          </cell>
          <cell r="AG1060">
            <v>5.5000000000000007E-2</v>
          </cell>
          <cell r="AH1060">
            <v>5.5000000000000007E-2</v>
          </cell>
        </row>
        <row r="1061">
          <cell r="B1061" t="str">
            <v>General - Weighted average cost of capital (WACC) - Americas - %</v>
          </cell>
          <cell r="G1061">
            <v>5.5000000000000007E-2</v>
          </cell>
          <cell r="H1061">
            <v>5.5000000000000007E-2</v>
          </cell>
          <cell r="I1061">
            <v>5.5000000000000007E-2</v>
          </cell>
          <cell r="J1061">
            <v>5.5000000000000007E-2</v>
          </cell>
          <cell r="K1061">
            <v>5.5000000000000007E-2</v>
          </cell>
          <cell r="L1061">
            <v>5.5000000000000007E-2</v>
          </cell>
          <cell r="M1061">
            <v>5.5000000000000007E-2</v>
          </cell>
          <cell r="N1061">
            <v>5.5000000000000007E-2</v>
          </cell>
          <cell r="O1061">
            <v>5.5000000000000007E-2</v>
          </cell>
          <cell r="P1061">
            <v>5.5000000000000007E-2</v>
          </cell>
          <cell r="Q1061">
            <v>5.5000000000000007E-2</v>
          </cell>
          <cell r="R1061">
            <v>5.5000000000000007E-2</v>
          </cell>
          <cell r="S1061">
            <v>5.5000000000000007E-2</v>
          </cell>
          <cell r="T1061">
            <v>5.5000000000000007E-2</v>
          </cell>
          <cell r="U1061">
            <v>5.5000000000000007E-2</v>
          </cell>
          <cell r="V1061">
            <v>5.5000000000000007E-2</v>
          </cell>
          <cell r="W1061">
            <v>5.5000000000000007E-2</v>
          </cell>
          <cell r="X1061">
            <v>5.5000000000000007E-2</v>
          </cell>
          <cell r="Y1061">
            <v>5.5000000000000007E-2</v>
          </cell>
          <cell r="Z1061">
            <v>5.5000000000000007E-2</v>
          </cell>
          <cell r="AA1061">
            <v>5.5000000000000007E-2</v>
          </cell>
          <cell r="AB1061">
            <v>5.5000000000000007E-2</v>
          </cell>
          <cell r="AC1061">
            <v>5.5000000000000007E-2</v>
          </cell>
          <cell r="AD1061">
            <v>5.5000000000000007E-2</v>
          </cell>
          <cell r="AE1061">
            <v>5.5000000000000007E-2</v>
          </cell>
          <cell r="AF1061">
            <v>5.5000000000000007E-2</v>
          </cell>
          <cell r="AG1061">
            <v>5.5000000000000007E-2</v>
          </cell>
          <cell r="AH1061">
            <v>5.5000000000000007E-2</v>
          </cell>
        </row>
        <row r="1062">
          <cell r="B1062" t="str">
            <v>General - Weighted average cost of capital (WACC) - Asia - %</v>
          </cell>
          <cell r="G1062">
            <v>5.5000000000000007E-2</v>
          </cell>
          <cell r="H1062">
            <v>5.5000000000000007E-2</v>
          </cell>
          <cell r="I1062">
            <v>5.5000000000000007E-2</v>
          </cell>
          <cell r="J1062">
            <v>5.5000000000000007E-2</v>
          </cell>
          <cell r="K1062">
            <v>5.5000000000000007E-2</v>
          </cell>
          <cell r="L1062">
            <v>5.5000000000000007E-2</v>
          </cell>
          <cell r="M1062">
            <v>5.5000000000000007E-2</v>
          </cell>
          <cell r="N1062">
            <v>5.5000000000000007E-2</v>
          </cell>
          <cell r="O1062">
            <v>5.5000000000000007E-2</v>
          </cell>
          <cell r="P1062">
            <v>5.5000000000000007E-2</v>
          </cell>
          <cell r="Q1062">
            <v>5.5000000000000007E-2</v>
          </cell>
          <cell r="R1062">
            <v>5.5000000000000007E-2</v>
          </cell>
          <cell r="S1062">
            <v>5.5000000000000007E-2</v>
          </cell>
          <cell r="T1062">
            <v>5.5000000000000007E-2</v>
          </cell>
          <cell r="U1062">
            <v>5.5000000000000007E-2</v>
          </cell>
          <cell r="V1062">
            <v>5.5000000000000007E-2</v>
          </cell>
          <cell r="W1062">
            <v>5.5000000000000007E-2</v>
          </cell>
          <cell r="X1062">
            <v>5.5000000000000007E-2</v>
          </cell>
          <cell r="Y1062">
            <v>5.5000000000000007E-2</v>
          </cell>
          <cell r="Z1062">
            <v>5.5000000000000007E-2</v>
          </cell>
          <cell r="AA1062">
            <v>5.5000000000000007E-2</v>
          </cell>
          <cell r="AB1062">
            <v>5.5000000000000007E-2</v>
          </cell>
          <cell r="AC1062">
            <v>5.5000000000000007E-2</v>
          </cell>
          <cell r="AD1062">
            <v>5.5000000000000007E-2</v>
          </cell>
          <cell r="AE1062">
            <v>5.5000000000000007E-2</v>
          </cell>
          <cell r="AF1062">
            <v>5.5000000000000007E-2</v>
          </cell>
          <cell r="AG1062">
            <v>5.5000000000000007E-2</v>
          </cell>
          <cell r="AH1062">
            <v>5.5000000000000007E-2</v>
          </cell>
        </row>
        <row r="1063">
          <cell r="B1063" t="str">
            <v>General - Weighted average cost of capital (WACC) - Europe - %</v>
          </cell>
          <cell r="G1063">
            <v>5.5000000000000007E-2</v>
          </cell>
          <cell r="H1063">
            <v>5.5000000000000007E-2</v>
          </cell>
          <cell r="I1063">
            <v>5.5000000000000007E-2</v>
          </cell>
          <cell r="J1063">
            <v>5.5000000000000007E-2</v>
          </cell>
          <cell r="K1063">
            <v>5.5000000000000007E-2</v>
          </cell>
          <cell r="L1063">
            <v>5.5000000000000007E-2</v>
          </cell>
          <cell r="M1063">
            <v>5.5000000000000007E-2</v>
          </cell>
          <cell r="N1063">
            <v>5.5000000000000007E-2</v>
          </cell>
          <cell r="O1063">
            <v>5.5000000000000007E-2</v>
          </cell>
          <cell r="P1063">
            <v>5.5000000000000007E-2</v>
          </cell>
          <cell r="Q1063">
            <v>5.5000000000000007E-2</v>
          </cell>
          <cell r="R1063">
            <v>5.5000000000000007E-2</v>
          </cell>
          <cell r="S1063">
            <v>5.5000000000000007E-2</v>
          </cell>
          <cell r="T1063">
            <v>5.5000000000000007E-2</v>
          </cell>
          <cell r="U1063">
            <v>5.5000000000000007E-2</v>
          </cell>
          <cell r="V1063">
            <v>5.5000000000000007E-2</v>
          </cell>
          <cell r="W1063">
            <v>5.5000000000000007E-2</v>
          </cell>
          <cell r="X1063">
            <v>5.5000000000000007E-2</v>
          </cell>
          <cell r="Y1063">
            <v>5.5000000000000007E-2</v>
          </cell>
          <cell r="Z1063">
            <v>5.5000000000000007E-2</v>
          </cell>
          <cell r="AA1063">
            <v>5.5000000000000007E-2</v>
          </cell>
          <cell r="AB1063">
            <v>5.5000000000000007E-2</v>
          </cell>
          <cell r="AC1063">
            <v>5.5000000000000007E-2</v>
          </cell>
          <cell r="AD1063">
            <v>5.5000000000000007E-2</v>
          </cell>
          <cell r="AE1063">
            <v>5.5000000000000007E-2</v>
          </cell>
          <cell r="AF1063">
            <v>5.5000000000000007E-2</v>
          </cell>
          <cell r="AG1063">
            <v>5.5000000000000007E-2</v>
          </cell>
          <cell r="AH1063">
            <v>5.5000000000000007E-2</v>
          </cell>
        </row>
        <row r="1064">
          <cell r="B1064" t="str">
            <v>General - Weighted average cost of capital (WACC) - Middle East - %</v>
          </cell>
          <cell r="G1064">
            <v>5.5000000000000007E-2</v>
          </cell>
          <cell r="H1064">
            <v>5.5000000000000007E-2</v>
          </cell>
          <cell r="I1064">
            <v>5.5000000000000007E-2</v>
          </cell>
          <cell r="J1064">
            <v>5.5000000000000007E-2</v>
          </cell>
          <cell r="K1064">
            <v>5.5000000000000007E-2</v>
          </cell>
          <cell r="L1064">
            <v>5.5000000000000007E-2</v>
          </cell>
          <cell r="M1064">
            <v>5.5000000000000007E-2</v>
          </cell>
          <cell r="N1064">
            <v>5.5000000000000007E-2</v>
          </cell>
          <cell r="O1064">
            <v>5.5000000000000007E-2</v>
          </cell>
          <cell r="P1064">
            <v>5.5000000000000007E-2</v>
          </cell>
          <cell r="Q1064">
            <v>5.5000000000000007E-2</v>
          </cell>
          <cell r="R1064">
            <v>5.5000000000000007E-2</v>
          </cell>
          <cell r="S1064">
            <v>5.5000000000000007E-2</v>
          </cell>
          <cell r="T1064">
            <v>5.5000000000000007E-2</v>
          </cell>
          <cell r="U1064">
            <v>5.5000000000000007E-2</v>
          </cell>
          <cell r="V1064">
            <v>5.5000000000000007E-2</v>
          </cell>
          <cell r="W1064">
            <v>5.5000000000000007E-2</v>
          </cell>
          <cell r="X1064">
            <v>5.5000000000000007E-2</v>
          </cell>
          <cell r="Y1064">
            <v>5.5000000000000007E-2</v>
          </cell>
          <cell r="Z1064">
            <v>5.5000000000000007E-2</v>
          </cell>
          <cell r="AA1064">
            <v>5.5000000000000007E-2</v>
          </cell>
          <cell r="AB1064">
            <v>5.5000000000000007E-2</v>
          </cell>
          <cell r="AC1064">
            <v>5.5000000000000007E-2</v>
          </cell>
          <cell r="AD1064">
            <v>5.5000000000000007E-2</v>
          </cell>
          <cell r="AE1064">
            <v>5.5000000000000007E-2</v>
          </cell>
          <cell r="AF1064">
            <v>5.5000000000000007E-2</v>
          </cell>
          <cell r="AG1064">
            <v>5.5000000000000007E-2</v>
          </cell>
          <cell r="AH1064">
            <v>5.5000000000000007E-2</v>
          </cell>
        </row>
        <row r="1065">
          <cell r="B1065" t="str">
            <v>Bio-methane (liquefied) - Total CAPEX - Global - USD/ton fuel</v>
          </cell>
          <cell r="G1065">
            <v>6229.7374606285011</v>
          </cell>
          <cell r="H1065">
            <v>6144.34909587109</v>
          </cell>
          <cell r="I1065">
            <v>6058.9607311136497</v>
          </cell>
          <cell r="J1065">
            <v>5973.5723663562094</v>
          </cell>
          <cell r="K1065">
            <v>5888.1840015987691</v>
          </cell>
          <cell r="L1065">
            <v>5802.7956368413288</v>
          </cell>
          <cell r="M1065">
            <v>5717.4072720838885</v>
          </cell>
          <cell r="N1065">
            <v>5632.0189073264482</v>
          </cell>
          <cell r="O1065">
            <v>5546.630542569008</v>
          </cell>
          <cell r="P1065">
            <v>5461.2421778115677</v>
          </cell>
          <cell r="Q1065">
            <v>5375.8538130541274</v>
          </cell>
          <cell r="R1065">
            <v>5290.4654482967162</v>
          </cell>
          <cell r="S1065">
            <v>5205.0770835392759</v>
          </cell>
          <cell r="T1065">
            <v>5119.6887187818356</v>
          </cell>
          <cell r="U1065">
            <v>5034.3003540243953</v>
          </cell>
          <cell r="V1065">
            <v>4948.9119892669551</v>
          </cell>
          <cell r="W1065">
            <v>4863.5236245095148</v>
          </cell>
          <cell r="X1065">
            <v>4778.1352597520745</v>
          </cell>
          <cell r="Y1065">
            <v>4692.7468949946342</v>
          </cell>
          <cell r="Z1065">
            <v>4607.3585302371939</v>
          </cell>
          <cell r="AA1065">
            <v>4521.9701654797536</v>
          </cell>
          <cell r="AB1065">
            <v>4436.5818007223425</v>
          </cell>
          <cell r="AC1065">
            <v>4351.1934359649022</v>
          </cell>
          <cell r="AD1065">
            <v>4265.8050712074619</v>
          </cell>
          <cell r="AE1065">
            <v>4180.4167064500216</v>
          </cell>
          <cell r="AF1065">
            <v>4095.0283416925813</v>
          </cell>
          <cell r="AG1065">
            <v>4009.639976935141</v>
          </cell>
          <cell r="AH1065">
            <v>3924.2516121777007</v>
          </cell>
        </row>
        <row r="1066">
          <cell r="B1066" t="str">
            <v/>
          </cell>
        </row>
        <row r="1067">
          <cell r="B1067" t="str">
            <v>Bio-methane (liquefied) - Energy cost - Africa - USD/ton fuel</v>
          </cell>
          <cell r="G1067">
            <v>69.981595126557124</v>
          </cell>
          <cell r="H1067">
            <v>61.869476140659096</v>
          </cell>
          <cell r="I1067">
            <v>53.7292636721874</v>
          </cell>
          <cell r="J1067">
            <v>51.518232281304975</v>
          </cell>
          <cell r="K1067">
            <v>49.299369387502331</v>
          </cell>
          <cell r="L1067">
            <v>47.072674990779397</v>
          </cell>
          <cell r="M1067">
            <v>44.838149091135655</v>
          </cell>
          <cell r="N1067">
            <v>42.595791688572248</v>
          </cell>
          <cell r="O1067">
            <v>41.371520483968219</v>
          </cell>
          <cell r="P1067">
            <v>40.142877724425517</v>
          </cell>
          <cell r="Q1067">
            <v>38.909863409943561</v>
          </cell>
          <cell r="R1067">
            <v>37.672477540523481</v>
          </cell>
          <cell r="S1067">
            <v>36.430720116164863</v>
          </cell>
          <cell r="T1067">
            <v>35.876486800484471</v>
          </cell>
          <cell r="U1067">
            <v>35.320195865728472</v>
          </cell>
          <cell r="V1067">
            <v>34.761847311896595</v>
          </cell>
          <cell r="W1067">
            <v>34.201441138989011</v>
          </cell>
          <cell r="X1067">
            <v>33.638977347005977</v>
          </cell>
          <cell r="Y1067">
            <v>33.056916576553654</v>
          </cell>
          <cell r="Z1067">
            <v>32.4727400157674</v>
          </cell>
          <cell r="AA1067">
            <v>31.886447664646887</v>
          </cell>
          <cell r="AB1067">
            <v>31.298039523192703</v>
          </cell>
          <cell r="AC1067">
            <v>30.707515591404441</v>
          </cell>
          <cell r="AD1067">
            <v>30.442389643977016</v>
          </cell>
          <cell r="AE1067">
            <v>30.17622520998988</v>
          </cell>
          <cell r="AF1067">
            <v>29.909022289442703</v>
          </cell>
          <cell r="AG1067">
            <v>29.640780882335655</v>
          </cell>
          <cell r="AH1067">
            <v>29.371500988668895</v>
          </cell>
        </row>
        <row r="1068">
          <cell r="B1068" t="str">
            <v>Bio-methane (liquefied) - Energy cost - Americas - USD/ton fuel</v>
          </cell>
          <cell r="G1068">
            <v>43.970477550141368</v>
          </cell>
          <cell r="H1068">
            <v>43.133513877303159</v>
          </cell>
          <cell r="I1068">
            <v>42.29343728678333</v>
          </cell>
          <cell r="J1068">
            <v>40.818375134299309</v>
          </cell>
          <cell r="K1068">
            <v>39.338050928563419</v>
          </cell>
          <cell r="L1068">
            <v>37.852464669575596</v>
          </cell>
          <cell r="M1068">
            <v>36.361616357336416</v>
          </cell>
          <cell r="N1068">
            <v>34.86550599184482</v>
          </cell>
          <cell r="O1068">
            <v>34.173561270800185</v>
          </cell>
          <cell r="P1068">
            <v>33.479084323395696</v>
          </cell>
          <cell r="Q1068">
            <v>32.782075149631332</v>
          </cell>
          <cell r="R1068">
            <v>32.082533749507107</v>
          </cell>
          <cell r="S1068">
            <v>31.380460123022885</v>
          </cell>
          <cell r="T1068">
            <v>30.819243121379898</v>
          </cell>
          <cell r="U1068">
            <v>30.25597343476251</v>
          </cell>
          <cell r="V1068">
            <v>29.690651063170606</v>
          </cell>
          <cell r="W1068">
            <v>29.123276006604488</v>
          </cell>
          <cell r="X1068">
            <v>28.553848265063923</v>
          </cell>
          <cell r="Y1068">
            <v>28.35193876026846</v>
          </cell>
          <cell r="Z1068">
            <v>28.149202294029187</v>
          </cell>
          <cell r="AA1068">
            <v>27.94563886634614</v>
          </cell>
          <cell r="AB1068">
            <v>27.741248477219195</v>
          </cell>
          <cell r="AC1068">
            <v>27.536031126648442</v>
          </cell>
          <cell r="AD1068">
            <v>27.391724926203018</v>
          </cell>
          <cell r="AE1068">
            <v>27.246794841881083</v>
          </cell>
          <cell r="AF1068">
            <v>27.101240873682528</v>
          </cell>
          <cell r="AG1068">
            <v>26.955063021607373</v>
          </cell>
          <cell r="AH1068">
            <v>26.808261285655636</v>
          </cell>
        </row>
        <row r="1069">
          <cell r="B1069" t="str">
            <v>Bio-methane (liquefied) - Energy cost - Asia - USD/ton fuel</v>
          </cell>
          <cell r="G1069">
            <v>77.834080488055108</v>
          </cell>
          <cell r="H1069">
            <v>71.115822008006759</v>
          </cell>
          <cell r="I1069">
            <v>64.374181237561601</v>
          </cell>
          <cell r="J1069">
            <v>62.017950631427631</v>
          </cell>
          <cell r="K1069">
            <v>59.653332991887112</v>
          </cell>
          <cell r="L1069">
            <v>57.280328318937748</v>
          </cell>
          <cell r="M1069">
            <v>54.898936612580677</v>
          </cell>
          <cell r="N1069">
            <v>52.509157872817042</v>
          </cell>
          <cell r="O1069">
            <v>50.90756034996317</v>
          </cell>
          <cell r="P1069">
            <v>49.300262251599818</v>
          </cell>
          <cell r="Q1069">
            <v>47.687263577726945</v>
          </cell>
          <cell r="R1069">
            <v>46.06856432834347</v>
          </cell>
          <cell r="S1069">
            <v>44.444164503449962</v>
          </cell>
          <cell r="T1069">
            <v>43.651976207852059</v>
          </cell>
          <cell r="U1069">
            <v>42.856889601552574</v>
          </cell>
          <cell r="V1069">
            <v>42.058904684551834</v>
          </cell>
          <cell r="W1069">
            <v>41.258021456849292</v>
          </cell>
          <cell r="X1069">
            <v>40.454239918445765</v>
          </cell>
          <cell r="Y1069">
            <v>39.606725460630514</v>
          </cell>
          <cell r="Z1069">
            <v>38.756177259541239</v>
          </cell>
          <cell r="AA1069">
            <v>37.902595315177329</v>
          </cell>
          <cell r="AB1069">
            <v>37.04597962753936</v>
          </cell>
          <cell r="AC1069">
            <v>36.186330196626805</v>
          </cell>
          <cell r="AD1069">
            <v>35.822990175790714</v>
          </cell>
          <cell r="AE1069">
            <v>35.458258920500349</v>
          </cell>
          <cell r="AF1069">
            <v>35.09213643075595</v>
          </cell>
          <cell r="AG1069">
            <v>34.72462270655739</v>
          </cell>
          <cell r="AH1069">
            <v>34.355717747904563</v>
          </cell>
        </row>
        <row r="1070">
          <cell r="B1070" t="str">
            <v>Bio-methane (liquefied) - Energy cost - Europe - USD/ton fuel</v>
          </cell>
          <cell r="G1070">
            <v>57.943256879776996</v>
          </cell>
          <cell r="H1070">
            <v>55.540702181518348</v>
          </cell>
          <cell r="I1070">
            <v>53.129609966639606</v>
          </cell>
          <cell r="J1070">
            <v>51.191911235516265</v>
          </cell>
          <cell r="K1070">
            <v>49.247314139371603</v>
          </cell>
          <cell r="L1070">
            <v>47.295818678206651</v>
          </cell>
          <cell r="M1070">
            <v>45.337424852020348</v>
          </cell>
          <cell r="N1070">
            <v>43.372132660813818</v>
          </cell>
          <cell r="O1070">
            <v>42.595508759449871</v>
          </cell>
          <cell r="P1070">
            <v>41.816018588847896</v>
          </cell>
          <cell r="Q1070">
            <v>41.033662149006759</v>
          </cell>
          <cell r="R1070">
            <v>40.248439439926756</v>
          </cell>
          <cell r="S1070">
            <v>39.460350461608165</v>
          </cell>
          <cell r="T1070">
            <v>39.014742893973903</v>
          </cell>
          <cell r="U1070">
            <v>38.567424017919087</v>
          </cell>
          <cell r="V1070">
            <v>38.118393833443605</v>
          </cell>
          <cell r="W1070">
            <v>37.667652340547491</v>
          </cell>
          <cell r="X1070">
            <v>37.215199539230433</v>
          </cell>
          <cell r="Y1070">
            <v>36.725009927078887</v>
          </cell>
          <cell r="Z1070">
            <v>36.232989523875723</v>
          </cell>
          <cell r="AA1070">
            <v>35.739138329621177</v>
          </cell>
          <cell r="AB1070">
            <v>35.243456344314978</v>
          </cell>
          <cell r="AC1070">
            <v>34.745943567957454</v>
          </cell>
          <cell r="AD1070">
            <v>34.397088662005487</v>
          </cell>
          <cell r="AE1070">
            <v>34.046897973198419</v>
          </cell>
          <cell r="AF1070">
            <v>33.695371501536471</v>
          </cell>
          <cell r="AG1070">
            <v>33.342509247019528</v>
          </cell>
          <cell r="AH1070">
            <v>32.988311209647478</v>
          </cell>
        </row>
        <row r="1071">
          <cell r="B1071" t="str">
            <v>Bio-methane (liquefied) - Energy cost - Middle East - USD/ton fuel</v>
          </cell>
          <cell r="G1071">
            <v>44.369744465183125</v>
          </cell>
          <cell r="H1071">
            <v>42.484314613959889</v>
          </cell>
          <cell r="I1071">
            <v>40.592191285228083</v>
          </cell>
          <cell r="J1071">
            <v>39.358366605510518</v>
          </cell>
          <cell r="K1071">
            <v>38.120110230380043</v>
          </cell>
          <cell r="L1071">
            <v>36.877422159836598</v>
          </cell>
          <cell r="M1071">
            <v>35.630302393880221</v>
          </cell>
          <cell r="N1071">
            <v>34.378750932510926</v>
          </cell>
          <cell r="O1071">
            <v>33.510261962812841</v>
          </cell>
          <cell r="P1071">
            <v>32.638648137158455</v>
          </cell>
          <cell r="Q1071">
            <v>31.763909455547182</v>
          </cell>
          <cell r="R1071">
            <v>30.88604591797959</v>
          </cell>
          <cell r="S1071">
            <v>30.00505752445541</v>
          </cell>
          <cell r="T1071">
            <v>29.586831420087236</v>
          </cell>
          <cell r="U1071">
            <v>29.167038545800349</v>
          </cell>
          <cell r="V1071">
            <v>28.745678901594903</v>
          </cell>
          <cell r="W1071">
            <v>28.322752487470645</v>
          </cell>
          <cell r="X1071">
            <v>27.89825930342769</v>
          </cell>
          <cell r="Y1071">
            <v>27.325095646978163</v>
          </cell>
          <cell r="Z1071">
            <v>26.749877334634842</v>
          </cell>
          <cell r="AA1071">
            <v>26.172604366397408</v>
          </cell>
          <cell r="AB1071">
            <v>25.593276742266163</v>
          </cell>
          <cell r="AC1071">
            <v>25.011894462240768</v>
          </cell>
          <cell r="AD1071">
            <v>24.760746943588863</v>
          </cell>
          <cell r="AE1071">
            <v>24.508637781523692</v>
          </cell>
          <cell r="AF1071">
            <v>24.255566976045078</v>
          </cell>
          <cell r="AG1071">
            <v>24.001534527153105</v>
          </cell>
          <cell r="AH1071">
            <v>23.746540434847862</v>
          </cell>
        </row>
        <row r="1072">
          <cell r="B1072" t="str">
            <v>Renewable electricity - Cost of electricity - Africa - USD/MWh</v>
          </cell>
          <cell r="G1072">
            <v>58.389806930514169</v>
          </cell>
          <cell r="H1072">
            <v>51.533296245659585</v>
          </cell>
          <cell r="I1072">
            <v>44.676785560803182</v>
          </cell>
          <cell r="J1072">
            <v>42.765424685038852</v>
          </cell>
          <cell r="K1072">
            <v>40.854063809274521</v>
          </cell>
          <cell r="L1072">
            <v>38.942702933510191</v>
          </cell>
          <cell r="M1072">
            <v>37.031342057745405</v>
          </cell>
          <cell r="N1072">
            <v>35.119981181981075</v>
          </cell>
          <cell r="O1072">
            <v>34.053057098426962</v>
          </cell>
          <cell r="P1072">
            <v>32.986133014872848</v>
          </cell>
          <cell r="Q1072">
            <v>31.919208931318281</v>
          </cell>
          <cell r="R1072">
            <v>30.852284847764167</v>
          </cell>
          <cell r="S1072">
            <v>29.785360764210168</v>
          </cell>
          <cell r="T1072">
            <v>29.283177129903038</v>
          </cell>
          <cell r="U1072">
            <v>28.780993495596022</v>
          </cell>
          <cell r="V1072">
            <v>28.278809861288892</v>
          </cell>
          <cell r="W1072">
            <v>27.776626226981762</v>
          </cell>
          <cell r="X1072">
            <v>27.274442592674859</v>
          </cell>
          <cell r="Y1072">
            <v>26.758061649346246</v>
          </cell>
          <cell r="Z1072">
            <v>26.241680706017632</v>
          </cell>
          <cell r="AA1072">
            <v>25.725299762688792</v>
          </cell>
          <cell r="AB1072">
            <v>25.208918819360179</v>
          </cell>
          <cell r="AC1072">
            <v>24.692537876031452</v>
          </cell>
          <cell r="AD1072">
            <v>24.439084279606391</v>
          </cell>
          <cell r="AE1072">
            <v>24.185630683181444</v>
          </cell>
          <cell r="AF1072">
            <v>23.932177086756383</v>
          </cell>
          <cell r="AG1072">
            <v>23.678723490331322</v>
          </cell>
          <cell r="AH1072">
            <v>23.425269893906375</v>
          </cell>
        </row>
        <row r="1073">
          <cell r="B1073" t="str">
            <v>Renewable electricity - Cost of electricity - Americas - USD/MWh</v>
          </cell>
          <cell r="G1073">
            <v>36.687184539767031</v>
          </cell>
          <cell r="H1073">
            <v>35.927444151972622</v>
          </cell>
          <cell r="I1073">
            <v>35.167703764177986</v>
          </cell>
          <cell r="J1073">
            <v>33.883444176422017</v>
          </cell>
          <cell r="K1073">
            <v>32.599184588666049</v>
          </cell>
          <cell r="L1073">
            <v>31.31492500091008</v>
          </cell>
          <cell r="M1073">
            <v>30.030665413154566</v>
          </cell>
          <cell r="N1073">
            <v>28.746405825398597</v>
          </cell>
          <cell r="O1073">
            <v>28.128389278370832</v>
          </cell>
          <cell r="P1073">
            <v>27.510372731343068</v>
          </cell>
          <cell r="Q1073">
            <v>26.892356184315304</v>
          </cell>
          <cell r="R1073">
            <v>26.27433963728754</v>
          </cell>
          <cell r="S1073">
            <v>25.656323090259662</v>
          </cell>
          <cell r="T1073">
            <v>25.155343675421591</v>
          </cell>
          <cell r="U1073">
            <v>24.65436426058352</v>
          </cell>
          <cell r="V1073">
            <v>24.153384845745336</v>
          </cell>
          <cell r="W1073">
            <v>23.652405430907265</v>
          </cell>
          <cell r="X1073">
            <v>23.151426016069138</v>
          </cell>
          <cell r="Y1073">
            <v>22.949597354879643</v>
          </cell>
          <cell r="Z1073">
            <v>22.747768693690148</v>
          </cell>
          <cell r="AA1073">
            <v>22.54594003250071</v>
          </cell>
          <cell r="AB1073">
            <v>22.344111371311214</v>
          </cell>
          <cell r="AC1073">
            <v>22.142282710121719</v>
          </cell>
          <cell r="AD1073">
            <v>21.990017270793203</v>
          </cell>
          <cell r="AE1073">
            <v>21.837751831464743</v>
          </cell>
          <cell r="AF1073">
            <v>21.685486392136283</v>
          </cell>
          <cell r="AG1073">
            <v>21.533220952807824</v>
          </cell>
          <cell r="AH1073">
            <v>21.380955513479364</v>
          </cell>
        </row>
        <row r="1074">
          <cell r="B1074" t="str">
            <v>Renewable electricity - Cost of electricity - Asia - USD/MWh</v>
          </cell>
          <cell r="G1074">
            <v>64.941602489809156</v>
          </cell>
          <cell r="H1074">
            <v>59.234907936835953</v>
          </cell>
          <cell r="I1074">
            <v>53.528213383865477</v>
          </cell>
          <cell r="J1074">
            <v>51.481269434223577</v>
          </cell>
          <cell r="K1074">
            <v>49.434325484582587</v>
          </cell>
          <cell r="L1074">
            <v>47.387381534940687</v>
          </cell>
          <cell r="M1074">
            <v>45.340437585298787</v>
          </cell>
          <cell r="N1074">
            <v>43.293493635657796</v>
          </cell>
          <cell r="O1074">
            <v>41.902208066311687</v>
          </cell>
          <cell r="P1074">
            <v>40.510922496966032</v>
          </cell>
          <cell r="Q1074">
            <v>39.119636927620832</v>
          </cell>
          <cell r="R1074">
            <v>37.728351358275177</v>
          </cell>
          <cell r="S1074">
            <v>36.337065788929522</v>
          </cell>
          <cell r="T1074">
            <v>35.629702497725702</v>
          </cell>
          <cell r="U1074">
            <v>34.922339206521883</v>
          </cell>
          <cell r="V1074">
            <v>34.214975915318291</v>
          </cell>
          <cell r="W1074">
            <v>33.507612624114472</v>
          </cell>
          <cell r="X1074">
            <v>32.800249332911108</v>
          </cell>
          <cell r="Y1074">
            <v>32.059832294097532</v>
          </cell>
          <cell r="Z1074">
            <v>31.319415255284184</v>
          </cell>
          <cell r="AA1074">
            <v>30.578998216470609</v>
          </cell>
          <cell r="AB1074">
            <v>29.838581177657261</v>
          </cell>
          <cell r="AC1074">
            <v>29.098164138843686</v>
          </cell>
          <cell r="AD1074">
            <v>28.758618698873192</v>
          </cell>
          <cell r="AE1074">
            <v>28.419073258902586</v>
          </cell>
          <cell r="AF1074">
            <v>28.079527818932092</v>
          </cell>
          <cell r="AG1074">
            <v>27.739982378961599</v>
          </cell>
          <cell r="AH1074">
            <v>27.400436938990993</v>
          </cell>
        </row>
        <row r="1075">
          <cell r="B1075" t="str">
            <v>Renewable electricity - Cost of electricity - Europe - USD/MWh</v>
          </cell>
          <cell r="G1075">
            <v>48.345505357757247</v>
          </cell>
          <cell r="H1075">
            <v>46.261834393182653</v>
          </cell>
          <cell r="I1075">
            <v>44.178163428608059</v>
          </cell>
          <cell r="J1075">
            <v>42.49454469772445</v>
          </cell>
          <cell r="K1075">
            <v>40.810925966840387</v>
          </cell>
          <cell r="L1075">
            <v>39.127307235956778</v>
          </cell>
          <cell r="M1075">
            <v>37.443688505072714</v>
          </cell>
          <cell r="N1075">
            <v>35.760069774189105</v>
          </cell>
          <cell r="O1075">
            <v>35.060526539849434</v>
          </cell>
          <cell r="P1075">
            <v>34.360983305510445</v>
          </cell>
          <cell r="Q1075">
            <v>33.661440071171228</v>
          </cell>
          <cell r="R1075">
            <v>32.961896836832011</v>
          </cell>
          <cell r="S1075">
            <v>32.262353602493022</v>
          </cell>
          <cell r="T1075">
            <v>31.844690735616723</v>
          </cell>
          <cell r="U1075">
            <v>31.427027868740538</v>
          </cell>
          <cell r="V1075">
            <v>31.009365001864353</v>
          </cell>
          <cell r="W1075">
            <v>30.591702134988168</v>
          </cell>
          <cell r="X1075">
            <v>30.174039268111756</v>
          </cell>
          <cell r="Y1075">
            <v>29.72721540516045</v>
          </cell>
          <cell r="Z1075">
            <v>29.280391542209031</v>
          </cell>
          <cell r="AA1075">
            <v>28.833567679257726</v>
          </cell>
          <cell r="AB1075">
            <v>28.386743816306307</v>
          </cell>
          <cell r="AC1075">
            <v>27.939919953355002</v>
          </cell>
          <cell r="AD1075">
            <v>27.613908060931863</v>
          </cell>
          <cell r="AE1075">
            <v>27.28789616850861</v>
          </cell>
          <cell r="AF1075">
            <v>26.96188427608547</v>
          </cell>
          <cell r="AG1075">
            <v>26.635872383662331</v>
          </cell>
          <cell r="AH1075">
            <v>26.309860491239078</v>
          </cell>
        </row>
        <row r="1076">
          <cell r="B1076" t="str">
            <v>Renewable electricity - Cost of electricity - Middle East - USD/MWh</v>
          </cell>
          <cell r="G1076">
            <v>37.020316673163961</v>
          </cell>
          <cell r="H1076">
            <v>35.386702900434102</v>
          </cell>
          <cell r="I1076">
            <v>33.753089127703788</v>
          </cell>
          <cell r="J1076">
            <v>32.671487127187447</v>
          </cell>
          <cell r="K1076">
            <v>31.589885126671106</v>
          </cell>
          <cell r="L1076">
            <v>30.508283126154765</v>
          </cell>
          <cell r="M1076">
            <v>29.426681125638424</v>
          </cell>
          <cell r="N1076">
            <v>28.345079125122083</v>
          </cell>
          <cell r="O1076">
            <v>27.58242507536329</v>
          </cell>
          <cell r="P1076">
            <v>26.819771025604723</v>
          </cell>
          <cell r="Q1076">
            <v>26.057116975845929</v>
          </cell>
          <cell r="R1076">
            <v>25.294462926087363</v>
          </cell>
          <cell r="S1076">
            <v>24.531808876328796</v>
          </cell>
          <cell r="T1076">
            <v>24.149422155106208</v>
          </cell>
          <cell r="U1076">
            <v>23.76703543388362</v>
          </cell>
          <cell r="V1076">
            <v>23.384648712661146</v>
          </cell>
          <cell r="W1076">
            <v>23.002261991438559</v>
          </cell>
          <cell r="X1076">
            <v>22.619875270215971</v>
          </cell>
          <cell r="Y1076">
            <v>22.118414831670066</v>
          </cell>
          <cell r="Z1076">
            <v>21.616954393124274</v>
          </cell>
          <cell r="AA1076">
            <v>21.115493954578369</v>
          </cell>
          <cell r="AB1076">
            <v>20.614033516032578</v>
          </cell>
          <cell r="AC1076">
            <v>20.112573077486616</v>
          </cell>
          <cell r="AD1076">
            <v>19.877873861328055</v>
          </cell>
          <cell r="AE1076">
            <v>19.643174645169552</v>
          </cell>
          <cell r="AF1076">
            <v>19.408475429010991</v>
          </cell>
          <cell r="AG1076">
            <v>19.173776212852431</v>
          </cell>
          <cell r="AH1076">
            <v>18.939076996693927</v>
          </cell>
        </row>
        <row r="1077">
          <cell r="B1077" t="str">
            <v>Bio-methane (liquefied) - Energy demand - Global - MWh/ton fuel</v>
          </cell>
          <cell r="G1077">
            <v>1.198524174088083</v>
          </cell>
          <cell r="H1077">
            <v>1.2005728460629972</v>
          </cell>
          <cell r="I1077">
            <v>1.2026215180379123</v>
          </cell>
          <cell r="J1077">
            <v>1.2046701900128265</v>
          </cell>
          <cell r="K1077">
            <v>1.2067188619877416</v>
          </cell>
          <cell r="L1077">
            <v>1.2087675339626558</v>
          </cell>
          <cell r="M1077">
            <v>1.21081620593757</v>
          </cell>
          <cell r="N1077">
            <v>1.2128648779124851</v>
          </cell>
          <cell r="O1077">
            <v>1.2149135498873997</v>
          </cell>
          <cell r="P1077">
            <v>1.2169622218623148</v>
          </cell>
          <cell r="Q1077">
            <v>1.219010893837229</v>
          </cell>
          <cell r="R1077">
            <v>1.2210595658121433</v>
          </cell>
          <cell r="S1077">
            <v>1.2231082377870575</v>
          </cell>
          <cell r="T1077">
            <v>1.2251569097619726</v>
          </cell>
          <cell r="U1077">
            <v>1.2272055817368868</v>
          </cell>
          <cell r="V1077">
            <v>1.229254253711801</v>
          </cell>
          <cell r="W1077">
            <v>1.2313029256867161</v>
          </cell>
          <cell r="X1077">
            <v>1.2333515976616312</v>
          </cell>
          <cell r="Y1077">
            <v>1.2354002696365454</v>
          </cell>
          <cell r="Z1077">
            <v>1.2374489416114605</v>
          </cell>
          <cell r="AA1077">
            <v>1.2394976135863747</v>
          </cell>
          <cell r="AB1077">
            <v>1.2415462855612889</v>
          </cell>
          <cell r="AC1077">
            <v>1.243594957536204</v>
          </cell>
          <cell r="AD1077">
            <v>1.2456436295111182</v>
          </cell>
          <cell r="AE1077">
            <v>1.2476923014860333</v>
          </cell>
          <cell r="AF1077">
            <v>1.2497409734609475</v>
          </cell>
          <cell r="AG1077">
            <v>1.2517896454358617</v>
          </cell>
          <cell r="AH1077">
            <v>1.2538383174107768</v>
          </cell>
        </row>
        <row r="1078">
          <cell r="B1078" t="str">
            <v/>
          </cell>
        </row>
        <row r="1079">
          <cell r="B1079" t="str">
            <v>Bio-methane (liquefied) - Feedstock cost - Africa - USD/ton fuel</v>
          </cell>
          <cell r="G1079">
            <v>249.3428820324732</v>
          </cell>
          <cell r="H1079">
            <v>241.48388189628835</v>
          </cell>
          <cell r="I1079">
            <v>234.04488176010346</v>
          </cell>
          <cell r="J1079">
            <v>230.9858816239186</v>
          </cell>
          <cell r="K1079">
            <v>228.01688148773368</v>
          </cell>
          <cell r="L1079">
            <v>225.13788135154877</v>
          </cell>
          <cell r="M1079">
            <v>222.34888121536383</v>
          </cell>
          <cell r="N1079">
            <v>219.64988107917867</v>
          </cell>
          <cell r="O1079">
            <v>217.8958809429943</v>
          </cell>
          <cell r="P1079">
            <v>216.14188080680935</v>
          </cell>
          <cell r="Q1079">
            <v>214.38788067062438</v>
          </cell>
          <cell r="R1079">
            <v>212.63388053443921</v>
          </cell>
          <cell r="S1079">
            <v>210.87988039825427</v>
          </cell>
          <cell r="T1079">
            <v>209.12588026206933</v>
          </cell>
          <cell r="U1079">
            <v>207.3718801258847</v>
          </cell>
          <cell r="V1079">
            <v>205.61787998969956</v>
          </cell>
          <cell r="W1079">
            <v>203.86387985351459</v>
          </cell>
          <cell r="X1079">
            <v>202.10987971732942</v>
          </cell>
          <cell r="Y1079">
            <v>200.35587958114482</v>
          </cell>
          <cell r="Z1079">
            <v>198.60187944495965</v>
          </cell>
          <cell r="AA1079">
            <v>196.84787930877471</v>
          </cell>
          <cell r="AB1079">
            <v>195.09387917258977</v>
          </cell>
          <cell r="AC1079">
            <v>193.3398790364048</v>
          </cell>
          <cell r="AD1079">
            <v>191.58587890022</v>
          </cell>
          <cell r="AE1079">
            <v>189.83187876403505</v>
          </cell>
          <cell r="AF1079">
            <v>188.07787862785011</v>
          </cell>
          <cell r="AG1079">
            <v>186.32387849166514</v>
          </cell>
          <cell r="AH1079">
            <v>184.5698783554802</v>
          </cell>
        </row>
        <row r="1080">
          <cell r="B1080" t="str">
            <v>Bio-methane (liquefied) - Feedstock cost - Americas - USD/ton fuel</v>
          </cell>
          <cell r="G1080">
            <v>226.60888203247345</v>
          </cell>
          <cell r="H1080">
            <v>224.42788189628848</v>
          </cell>
          <cell r="I1080">
            <v>222.29488176010349</v>
          </cell>
          <cell r="J1080">
            <v>220.73788162391878</v>
          </cell>
          <cell r="K1080">
            <v>219.1848814877338</v>
          </cell>
          <cell r="L1080">
            <v>217.63588135154885</v>
          </cell>
          <cell r="M1080">
            <v>216.09088121536385</v>
          </cell>
          <cell r="N1080">
            <v>214.54988107917876</v>
          </cell>
          <cell r="O1080">
            <v>213.16488094299427</v>
          </cell>
          <cell r="P1080">
            <v>211.76788080680927</v>
          </cell>
          <cell r="Q1080">
            <v>210.3588806706243</v>
          </cell>
          <cell r="R1080">
            <v>208.93788053443922</v>
          </cell>
          <cell r="S1080">
            <v>207.50488039825424</v>
          </cell>
          <cell r="T1080">
            <v>205.97588026206927</v>
          </cell>
          <cell r="U1080">
            <v>204.44688012588463</v>
          </cell>
          <cell r="V1080">
            <v>202.91787998969954</v>
          </cell>
          <cell r="W1080">
            <v>201.38887985351457</v>
          </cell>
          <cell r="X1080">
            <v>199.85987971732948</v>
          </cell>
          <cell r="Y1080">
            <v>198.33087958114484</v>
          </cell>
          <cell r="Z1080">
            <v>196.80187944495975</v>
          </cell>
          <cell r="AA1080">
            <v>195.27287930877478</v>
          </cell>
          <cell r="AB1080">
            <v>193.7438791725898</v>
          </cell>
          <cell r="AC1080">
            <v>192.21487903640482</v>
          </cell>
          <cell r="AD1080">
            <v>190.6858789002201</v>
          </cell>
          <cell r="AE1080">
            <v>189.15687876403513</v>
          </cell>
          <cell r="AF1080">
            <v>187.62787862785015</v>
          </cell>
          <cell r="AG1080">
            <v>186.09887849166518</v>
          </cell>
          <cell r="AH1080">
            <v>184.5698783554802</v>
          </cell>
        </row>
        <row r="1081">
          <cell r="B1081" t="str">
            <v>Bio-methane (liquefied) - Feedstock cost - Asia - USD/ton fuel</v>
          </cell>
          <cell r="G1081">
            <v>248.1278820324732</v>
          </cell>
          <cell r="H1081">
            <v>241.22388189628833</v>
          </cell>
          <cell r="I1081">
            <v>234.66988176010346</v>
          </cell>
          <cell r="J1081">
            <v>230.8658816239186</v>
          </cell>
          <cell r="K1081">
            <v>227.21188148773371</v>
          </cell>
          <cell r="L1081">
            <v>223.70788135154876</v>
          </cell>
          <cell r="M1081">
            <v>220.35388121536383</v>
          </cell>
          <cell r="N1081">
            <v>217.14988107917873</v>
          </cell>
          <cell r="O1081">
            <v>215.52088094299427</v>
          </cell>
          <cell r="P1081">
            <v>213.89188080680933</v>
          </cell>
          <cell r="Q1081">
            <v>212.26288067062436</v>
          </cell>
          <cell r="R1081">
            <v>210.63388053443921</v>
          </cell>
          <cell r="S1081">
            <v>209.00488039825427</v>
          </cell>
          <cell r="T1081">
            <v>207.3758802620693</v>
          </cell>
          <cell r="U1081">
            <v>205.74688012588467</v>
          </cell>
          <cell r="V1081">
            <v>204.11787998969956</v>
          </cell>
          <cell r="W1081">
            <v>202.48887985351459</v>
          </cell>
          <cell r="X1081">
            <v>200.85987971732945</v>
          </cell>
          <cell r="Y1081">
            <v>199.23087958114485</v>
          </cell>
          <cell r="Z1081">
            <v>197.60187944495971</v>
          </cell>
          <cell r="AA1081">
            <v>195.97287930877474</v>
          </cell>
          <cell r="AB1081">
            <v>194.34387917258979</v>
          </cell>
          <cell r="AC1081">
            <v>192.71487903640482</v>
          </cell>
          <cell r="AD1081">
            <v>191.08587890022005</v>
          </cell>
          <cell r="AE1081">
            <v>189.45687876403511</v>
          </cell>
          <cell r="AF1081">
            <v>187.82787862785014</v>
          </cell>
          <cell r="AG1081">
            <v>186.19887849166517</v>
          </cell>
          <cell r="AH1081">
            <v>184.5698783554802</v>
          </cell>
        </row>
        <row r="1082">
          <cell r="B1082" t="str">
            <v>Bio-methane (liquefied) - Feedstock cost - Europe - USD/ton fuel</v>
          </cell>
          <cell r="G1082">
            <v>249.3428820324732</v>
          </cell>
          <cell r="H1082">
            <v>241.48388189628835</v>
          </cell>
          <cell r="I1082">
            <v>234.04488176010346</v>
          </cell>
          <cell r="J1082">
            <v>230.9858816239186</v>
          </cell>
          <cell r="K1082">
            <v>228.01688148773368</v>
          </cell>
          <cell r="L1082">
            <v>225.13788135154877</v>
          </cell>
          <cell r="M1082">
            <v>222.34888121536383</v>
          </cell>
          <cell r="N1082">
            <v>219.64988107917867</v>
          </cell>
          <cell r="O1082">
            <v>217.8958809429943</v>
          </cell>
          <cell r="P1082">
            <v>216.14188080680935</v>
          </cell>
          <cell r="Q1082">
            <v>214.38788067062438</v>
          </cell>
          <cell r="R1082">
            <v>212.63388053443921</v>
          </cell>
          <cell r="S1082">
            <v>210.87988039825427</v>
          </cell>
          <cell r="T1082">
            <v>209.12588026206933</v>
          </cell>
          <cell r="U1082">
            <v>207.3718801258847</v>
          </cell>
          <cell r="V1082">
            <v>205.61787998969956</v>
          </cell>
          <cell r="W1082">
            <v>203.86387985351459</v>
          </cell>
          <cell r="X1082">
            <v>202.10987971732942</v>
          </cell>
          <cell r="Y1082">
            <v>200.35587958114482</v>
          </cell>
          <cell r="Z1082">
            <v>198.60187944495965</v>
          </cell>
          <cell r="AA1082">
            <v>196.84787930877471</v>
          </cell>
          <cell r="AB1082">
            <v>195.09387917258977</v>
          </cell>
          <cell r="AC1082">
            <v>193.3398790364048</v>
          </cell>
          <cell r="AD1082">
            <v>191.58587890022</v>
          </cell>
          <cell r="AE1082">
            <v>189.83187876403505</v>
          </cell>
          <cell r="AF1082">
            <v>188.07787862785011</v>
          </cell>
          <cell r="AG1082">
            <v>186.32387849166514</v>
          </cell>
          <cell r="AH1082">
            <v>184.5698783554802</v>
          </cell>
        </row>
        <row r="1083">
          <cell r="B1083" t="str">
            <v>Bio-methane (liquefied) - Feedstock cost - Middle East - USD/ton fuel</v>
          </cell>
          <cell r="G1083">
            <v>242.72788203247325</v>
          </cell>
          <cell r="H1083">
            <v>236.0238818962884</v>
          </cell>
          <cell r="I1083">
            <v>229.66988176010346</v>
          </cell>
          <cell r="J1083">
            <v>226.0418816239187</v>
          </cell>
          <cell r="K1083">
            <v>222.56588148773378</v>
          </cell>
          <cell r="L1083">
            <v>219.24188135154881</v>
          </cell>
          <cell r="M1083">
            <v>216.06988121536386</v>
          </cell>
          <cell r="N1083">
            <v>213.04988107917882</v>
          </cell>
          <cell r="O1083">
            <v>211.62588094299426</v>
          </cell>
          <cell r="P1083">
            <v>210.20188080680927</v>
          </cell>
          <cell r="Q1083">
            <v>208.77788067062428</v>
          </cell>
          <cell r="R1083">
            <v>207.35388053443921</v>
          </cell>
          <cell r="S1083">
            <v>205.92988039825423</v>
          </cell>
          <cell r="T1083">
            <v>204.50588026206924</v>
          </cell>
          <cell r="U1083">
            <v>203.0818801258846</v>
          </cell>
          <cell r="V1083">
            <v>201.65787998969955</v>
          </cell>
          <cell r="W1083">
            <v>200.23387985351457</v>
          </cell>
          <cell r="X1083">
            <v>198.80987971732949</v>
          </cell>
          <cell r="Y1083">
            <v>197.38587958114485</v>
          </cell>
          <cell r="Z1083">
            <v>195.96187944495981</v>
          </cell>
          <cell r="AA1083">
            <v>194.53787930877482</v>
          </cell>
          <cell r="AB1083">
            <v>193.11387917258983</v>
          </cell>
          <cell r="AC1083">
            <v>191.68987903640485</v>
          </cell>
          <cell r="AD1083">
            <v>190.26587890022014</v>
          </cell>
          <cell r="AE1083">
            <v>188.84187876403516</v>
          </cell>
          <cell r="AF1083">
            <v>187.41787862785017</v>
          </cell>
          <cell r="AG1083">
            <v>185.99387849166519</v>
          </cell>
          <cell r="AH1083">
            <v>184.5698783554802</v>
          </cell>
        </row>
        <row r="1084">
          <cell r="B1084" t="str">
            <v>Natural gas - Price - Africa - USD/ton</v>
          </cell>
          <cell r="G1084">
            <v>1120</v>
          </cell>
          <cell r="H1084">
            <v>910</v>
          </cell>
          <cell r="I1084">
            <v>700</v>
          </cell>
          <cell r="J1084">
            <v>655</v>
          </cell>
          <cell r="K1084">
            <v>610</v>
          </cell>
          <cell r="L1084">
            <v>565</v>
          </cell>
          <cell r="M1084">
            <v>520</v>
          </cell>
          <cell r="N1084">
            <v>475</v>
          </cell>
          <cell r="O1084">
            <v>475</v>
          </cell>
          <cell r="P1084">
            <v>475</v>
          </cell>
          <cell r="Q1084">
            <v>475</v>
          </cell>
          <cell r="R1084">
            <v>475</v>
          </cell>
          <cell r="S1084">
            <v>475</v>
          </cell>
          <cell r="T1084">
            <v>475</v>
          </cell>
          <cell r="U1084">
            <v>475</v>
          </cell>
          <cell r="V1084">
            <v>475</v>
          </cell>
          <cell r="W1084">
            <v>475</v>
          </cell>
          <cell r="X1084">
            <v>475</v>
          </cell>
          <cell r="Y1084">
            <v>475</v>
          </cell>
          <cell r="Z1084">
            <v>475</v>
          </cell>
          <cell r="AA1084">
            <v>475</v>
          </cell>
          <cell r="AB1084">
            <v>475</v>
          </cell>
          <cell r="AC1084">
            <v>475</v>
          </cell>
          <cell r="AD1084">
            <v>475</v>
          </cell>
          <cell r="AE1084">
            <v>475</v>
          </cell>
          <cell r="AF1084">
            <v>475</v>
          </cell>
          <cell r="AG1084">
            <v>475</v>
          </cell>
          <cell r="AH1084">
            <v>475</v>
          </cell>
        </row>
        <row r="1085">
          <cell r="B1085" t="str">
            <v>Natural gas - Price - Americas - USD/ton</v>
          </cell>
          <cell r="G1085">
            <v>278</v>
          </cell>
          <cell r="H1085">
            <v>254</v>
          </cell>
          <cell r="I1085">
            <v>230</v>
          </cell>
          <cell r="J1085">
            <v>228</v>
          </cell>
          <cell r="K1085">
            <v>226</v>
          </cell>
          <cell r="L1085">
            <v>224</v>
          </cell>
          <cell r="M1085">
            <v>222</v>
          </cell>
          <cell r="N1085">
            <v>220</v>
          </cell>
          <cell r="O1085">
            <v>226</v>
          </cell>
          <cell r="P1085">
            <v>232</v>
          </cell>
          <cell r="Q1085">
            <v>238</v>
          </cell>
          <cell r="R1085">
            <v>244</v>
          </cell>
          <cell r="S1085">
            <v>250</v>
          </cell>
          <cell r="T1085">
            <v>250</v>
          </cell>
          <cell r="U1085">
            <v>250</v>
          </cell>
          <cell r="V1085">
            <v>250</v>
          </cell>
          <cell r="W1085">
            <v>250</v>
          </cell>
          <cell r="X1085">
            <v>250</v>
          </cell>
          <cell r="Y1085">
            <v>250</v>
          </cell>
          <cell r="Z1085">
            <v>250</v>
          </cell>
          <cell r="AA1085">
            <v>250</v>
          </cell>
          <cell r="AB1085">
            <v>250</v>
          </cell>
          <cell r="AC1085">
            <v>250</v>
          </cell>
          <cell r="AD1085">
            <v>250</v>
          </cell>
          <cell r="AE1085">
            <v>250</v>
          </cell>
          <cell r="AF1085">
            <v>250</v>
          </cell>
          <cell r="AG1085">
            <v>250</v>
          </cell>
          <cell r="AH1085">
            <v>250</v>
          </cell>
        </row>
        <row r="1086">
          <cell r="B1086" t="str">
            <v>Natural gas - Price - Asia - USD/ton</v>
          </cell>
          <cell r="G1086">
            <v>1075</v>
          </cell>
          <cell r="H1086">
            <v>900</v>
          </cell>
          <cell r="I1086">
            <v>725</v>
          </cell>
          <cell r="J1086">
            <v>650</v>
          </cell>
          <cell r="K1086">
            <v>575</v>
          </cell>
          <cell r="L1086">
            <v>500</v>
          </cell>
          <cell r="M1086">
            <v>425</v>
          </cell>
          <cell r="N1086">
            <v>350</v>
          </cell>
          <cell r="O1086">
            <v>350</v>
          </cell>
          <cell r="P1086">
            <v>350</v>
          </cell>
          <cell r="Q1086">
            <v>350</v>
          </cell>
          <cell r="R1086">
            <v>350</v>
          </cell>
          <cell r="S1086">
            <v>350</v>
          </cell>
          <cell r="T1086">
            <v>350</v>
          </cell>
          <cell r="U1086">
            <v>350</v>
          </cell>
          <cell r="V1086">
            <v>350</v>
          </cell>
          <cell r="W1086">
            <v>350</v>
          </cell>
          <cell r="X1086">
            <v>350</v>
          </cell>
          <cell r="Y1086">
            <v>350</v>
          </cell>
          <cell r="Z1086">
            <v>350</v>
          </cell>
          <cell r="AA1086">
            <v>350</v>
          </cell>
          <cell r="AB1086">
            <v>350</v>
          </cell>
          <cell r="AC1086">
            <v>350</v>
          </cell>
          <cell r="AD1086">
            <v>350</v>
          </cell>
          <cell r="AE1086">
            <v>350</v>
          </cell>
          <cell r="AF1086">
            <v>350</v>
          </cell>
          <cell r="AG1086">
            <v>350</v>
          </cell>
          <cell r="AH1086">
            <v>350</v>
          </cell>
        </row>
        <row r="1087">
          <cell r="B1087" t="str">
            <v>Natural gas - Price - Europe - USD/ton</v>
          </cell>
          <cell r="G1087">
            <v>1120</v>
          </cell>
          <cell r="H1087">
            <v>910</v>
          </cell>
          <cell r="I1087">
            <v>700</v>
          </cell>
          <cell r="J1087">
            <v>655</v>
          </cell>
          <cell r="K1087">
            <v>610</v>
          </cell>
          <cell r="L1087">
            <v>565</v>
          </cell>
          <cell r="M1087">
            <v>520</v>
          </cell>
          <cell r="N1087">
            <v>475</v>
          </cell>
          <cell r="O1087">
            <v>475</v>
          </cell>
          <cell r="P1087">
            <v>475</v>
          </cell>
          <cell r="Q1087">
            <v>475</v>
          </cell>
          <cell r="R1087">
            <v>475</v>
          </cell>
          <cell r="S1087">
            <v>475</v>
          </cell>
          <cell r="T1087">
            <v>475</v>
          </cell>
          <cell r="U1087">
            <v>475</v>
          </cell>
          <cell r="V1087">
            <v>475</v>
          </cell>
          <cell r="W1087">
            <v>475</v>
          </cell>
          <cell r="X1087">
            <v>475</v>
          </cell>
          <cell r="Y1087">
            <v>475</v>
          </cell>
          <cell r="Z1087">
            <v>475</v>
          </cell>
          <cell r="AA1087">
            <v>475</v>
          </cell>
          <cell r="AB1087">
            <v>475</v>
          </cell>
          <cell r="AC1087">
            <v>475</v>
          </cell>
          <cell r="AD1087">
            <v>475</v>
          </cell>
          <cell r="AE1087">
            <v>475</v>
          </cell>
          <cell r="AF1087">
            <v>475</v>
          </cell>
          <cell r="AG1087">
            <v>475</v>
          </cell>
          <cell r="AH1087">
            <v>475</v>
          </cell>
        </row>
        <row r="1088">
          <cell r="B1088" t="str">
            <v>Natural gas - Price - Middle East - USD/ton</v>
          </cell>
          <cell r="G1088">
            <v>875</v>
          </cell>
          <cell r="H1088">
            <v>700</v>
          </cell>
          <cell r="I1088">
            <v>525</v>
          </cell>
          <cell r="J1088">
            <v>449</v>
          </cell>
          <cell r="K1088">
            <v>373</v>
          </cell>
          <cell r="L1088">
            <v>297</v>
          </cell>
          <cell r="M1088">
            <v>221</v>
          </cell>
          <cell r="N1088">
            <v>145</v>
          </cell>
          <cell r="O1088">
            <v>145</v>
          </cell>
          <cell r="P1088">
            <v>145</v>
          </cell>
          <cell r="Q1088">
            <v>145</v>
          </cell>
          <cell r="R1088">
            <v>145</v>
          </cell>
          <cell r="S1088">
            <v>145</v>
          </cell>
          <cell r="T1088">
            <v>145</v>
          </cell>
          <cell r="U1088">
            <v>145</v>
          </cell>
          <cell r="V1088">
            <v>145</v>
          </cell>
          <cell r="W1088">
            <v>145</v>
          </cell>
          <cell r="X1088">
            <v>145</v>
          </cell>
          <cell r="Y1088">
            <v>145</v>
          </cell>
          <cell r="Z1088">
            <v>145</v>
          </cell>
          <cell r="AA1088">
            <v>145</v>
          </cell>
          <cell r="AB1088">
            <v>145</v>
          </cell>
          <cell r="AC1088">
            <v>145</v>
          </cell>
          <cell r="AD1088">
            <v>145</v>
          </cell>
          <cell r="AE1088">
            <v>145</v>
          </cell>
          <cell r="AF1088">
            <v>145</v>
          </cell>
          <cell r="AG1088">
            <v>145</v>
          </cell>
          <cell r="AH1088">
            <v>145</v>
          </cell>
        </row>
        <row r="1089">
          <cell r="B1089" t="str">
            <v>Waste - Price - Africa - USD/ton</v>
          </cell>
          <cell r="G1089">
            <v>50</v>
          </cell>
          <cell r="H1089">
            <v>50</v>
          </cell>
          <cell r="I1089">
            <v>50</v>
          </cell>
          <cell r="J1089">
            <v>50</v>
          </cell>
          <cell r="K1089">
            <v>50</v>
          </cell>
          <cell r="L1089">
            <v>50</v>
          </cell>
          <cell r="M1089">
            <v>50</v>
          </cell>
          <cell r="N1089">
            <v>50</v>
          </cell>
          <cell r="O1089">
            <v>50</v>
          </cell>
          <cell r="P1089">
            <v>50</v>
          </cell>
          <cell r="Q1089">
            <v>50</v>
          </cell>
          <cell r="R1089">
            <v>50</v>
          </cell>
          <cell r="S1089">
            <v>50</v>
          </cell>
          <cell r="T1089">
            <v>50</v>
          </cell>
          <cell r="U1089">
            <v>50</v>
          </cell>
          <cell r="V1089">
            <v>50</v>
          </cell>
          <cell r="W1089">
            <v>50</v>
          </cell>
          <cell r="X1089">
            <v>50</v>
          </cell>
          <cell r="Y1089">
            <v>50</v>
          </cell>
          <cell r="Z1089">
            <v>50</v>
          </cell>
          <cell r="AA1089">
            <v>50</v>
          </cell>
          <cell r="AB1089">
            <v>50</v>
          </cell>
          <cell r="AC1089">
            <v>50</v>
          </cell>
          <cell r="AD1089">
            <v>50</v>
          </cell>
          <cell r="AE1089">
            <v>50</v>
          </cell>
          <cell r="AF1089">
            <v>50</v>
          </cell>
          <cell r="AG1089">
            <v>50</v>
          </cell>
          <cell r="AH1089">
            <v>50</v>
          </cell>
        </row>
        <row r="1090">
          <cell r="B1090" t="str">
            <v>Waste - Price - Americas - USD/ton</v>
          </cell>
          <cell r="G1090">
            <v>50</v>
          </cell>
          <cell r="H1090">
            <v>50</v>
          </cell>
          <cell r="I1090">
            <v>50</v>
          </cell>
          <cell r="J1090">
            <v>50</v>
          </cell>
          <cell r="K1090">
            <v>50</v>
          </cell>
          <cell r="L1090">
            <v>50</v>
          </cell>
          <cell r="M1090">
            <v>50</v>
          </cell>
          <cell r="N1090">
            <v>50</v>
          </cell>
          <cell r="O1090">
            <v>50</v>
          </cell>
          <cell r="P1090">
            <v>50</v>
          </cell>
          <cell r="Q1090">
            <v>50</v>
          </cell>
          <cell r="R1090">
            <v>50</v>
          </cell>
          <cell r="S1090">
            <v>50</v>
          </cell>
          <cell r="T1090">
            <v>50</v>
          </cell>
          <cell r="U1090">
            <v>50</v>
          </cell>
          <cell r="V1090">
            <v>50</v>
          </cell>
          <cell r="W1090">
            <v>50</v>
          </cell>
          <cell r="X1090">
            <v>50</v>
          </cell>
          <cell r="Y1090">
            <v>50</v>
          </cell>
          <cell r="Z1090">
            <v>50</v>
          </cell>
          <cell r="AA1090">
            <v>50</v>
          </cell>
          <cell r="AB1090">
            <v>50</v>
          </cell>
          <cell r="AC1090">
            <v>50</v>
          </cell>
          <cell r="AD1090">
            <v>50</v>
          </cell>
          <cell r="AE1090">
            <v>50</v>
          </cell>
          <cell r="AF1090">
            <v>50</v>
          </cell>
          <cell r="AG1090">
            <v>50</v>
          </cell>
          <cell r="AH1090">
            <v>50</v>
          </cell>
        </row>
        <row r="1091">
          <cell r="B1091" t="str">
            <v>Waste - Price - Asia - USD/ton</v>
          </cell>
          <cell r="G1091">
            <v>50</v>
          </cell>
          <cell r="H1091">
            <v>50</v>
          </cell>
          <cell r="I1091">
            <v>50</v>
          </cell>
          <cell r="J1091">
            <v>50</v>
          </cell>
          <cell r="K1091">
            <v>50</v>
          </cell>
          <cell r="L1091">
            <v>50</v>
          </cell>
          <cell r="M1091">
            <v>50</v>
          </cell>
          <cell r="N1091">
            <v>50</v>
          </cell>
          <cell r="O1091">
            <v>50</v>
          </cell>
          <cell r="P1091">
            <v>50</v>
          </cell>
          <cell r="Q1091">
            <v>50</v>
          </cell>
          <cell r="R1091">
            <v>50</v>
          </cell>
          <cell r="S1091">
            <v>50</v>
          </cell>
          <cell r="T1091">
            <v>50</v>
          </cell>
          <cell r="U1091">
            <v>50</v>
          </cell>
          <cell r="V1091">
            <v>50</v>
          </cell>
          <cell r="W1091">
            <v>50</v>
          </cell>
          <cell r="X1091">
            <v>50</v>
          </cell>
          <cell r="Y1091">
            <v>50</v>
          </cell>
          <cell r="Z1091">
            <v>50</v>
          </cell>
          <cell r="AA1091">
            <v>50</v>
          </cell>
          <cell r="AB1091">
            <v>50</v>
          </cell>
          <cell r="AC1091">
            <v>50</v>
          </cell>
          <cell r="AD1091">
            <v>50</v>
          </cell>
          <cell r="AE1091">
            <v>50</v>
          </cell>
          <cell r="AF1091">
            <v>50</v>
          </cell>
          <cell r="AG1091">
            <v>50</v>
          </cell>
          <cell r="AH1091">
            <v>50</v>
          </cell>
        </row>
        <row r="1092">
          <cell r="B1092" t="str">
            <v>Waste - Price - Europe - USD/ton</v>
          </cell>
          <cell r="G1092">
            <v>50</v>
          </cell>
          <cell r="H1092">
            <v>50</v>
          </cell>
          <cell r="I1092">
            <v>50</v>
          </cell>
          <cell r="J1092">
            <v>50</v>
          </cell>
          <cell r="K1092">
            <v>50</v>
          </cell>
          <cell r="L1092">
            <v>50</v>
          </cell>
          <cell r="M1092">
            <v>50</v>
          </cell>
          <cell r="N1092">
            <v>50</v>
          </cell>
          <cell r="O1092">
            <v>50</v>
          </cell>
          <cell r="P1092">
            <v>50</v>
          </cell>
          <cell r="Q1092">
            <v>50</v>
          </cell>
          <cell r="R1092">
            <v>50</v>
          </cell>
          <cell r="S1092">
            <v>50</v>
          </cell>
          <cell r="T1092">
            <v>50</v>
          </cell>
          <cell r="U1092">
            <v>50</v>
          </cell>
          <cell r="V1092">
            <v>50</v>
          </cell>
          <cell r="W1092">
            <v>50</v>
          </cell>
          <cell r="X1092">
            <v>50</v>
          </cell>
          <cell r="Y1092">
            <v>50</v>
          </cell>
          <cell r="Z1092">
            <v>50</v>
          </cell>
          <cell r="AA1092">
            <v>50</v>
          </cell>
          <cell r="AB1092">
            <v>50</v>
          </cell>
          <cell r="AC1092">
            <v>50</v>
          </cell>
          <cell r="AD1092">
            <v>50</v>
          </cell>
          <cell r="AE1092">
            <v>50</v>
          </cell>
          <cell r="AF1092">
            <v>50</v>
          </cell>
          <cell r="AG1092">
            <v>50</v>
          </cell>
          <cell r="AH1092">
            <v>50</v>
          </cell>
        </row>
        <row r="1093">
          <cell r="B1093" t="str">
            <v>Waste - Price - Middle East - USD/ton</v>
          </cell>
          <cell r="G1093">
            <v>50</v>
          </cell>
          <cell r="H1093">
            <v>50</v>
          </cell>
          <cell r="I1093">
            <v>50</v>
          </cell>
          <cell r="J1093">
            <v>50</v>
          </cell>
          <cell r="K1093">
            <v>50</v>
          </cell>
          <cell r="L1093">
            <v>50</v>
          </cell>
          <cell r="M1093">
            <v>50</v>
          </cell>
          <cell r="N1093">
            <v>50</v>
          </cell>
          <cell r="O1093">
            <v>50</v>
          </cell>
          <cell r="P1093">
            <v>50</v>
          </cell>
          <cell r="Q1093">
            <v>50</v>
          </cell>
          <cell r="R1093">
            <v>50</v>
          </cell>
          <cell r="S1093">
            <v>50</v>
          </cell>
          <cell r="T1093">
            <v>50</v>
          </cell>
          <cell r="U1093">
            <v>50</v>
          </cell>
          <cell r="V1093">
            <v>50</v>
          </cell>
          <cell r="W1093">
            <v>50</v>
          </cell>
          <cell r="X1093">
            <v>50</v>
          </cell>
          <cell r="Y1093">
            <v>50</v>
          </cell>
          <cell r="Z1093">
            <v>50</v>
          </cell>
          <cell r="AA1093">
            <v>50</v>
          </cell>
          <cell r="AB1093">
            <v>50</v>
          </cell>
          <cell r="AC1093">
            <v>50</v>
          </cell>
          <cell r="AD1093">
            <v>50</v>
          </cell>
          <cell r="AE1093">
            <v>50</v>
          </cell>
          <cell r="AF1093">
            <v>50</v>
          </cell>
          <cell r="AG1093">
            <v>50</v>
          </cell>
          <cell r="AH1093">
            <v>50</v>
          </cell>
        </row>
        <row r="1094">
          <cell r="B1094" t="str">
            <v>Bio-methane (liquefied) - Conversion NG -&gt; Bio-CH4 - Global - ton NG/ton CH4</v>
          </cell>
          <cell r="G1094">
            <v>2.6999999999999691E-2</v>
          </cell>
          <cell r="H1094">
            <v>2.5999999999999801E-2</v>
          </cell>
          <cell r="I1094">
            <v>2.4999999999999911E-2</v>
          </cell>
          <cell r="J1094">
            <v>2.3999999999999577E-2</v>
          </cell>
          <cell r="K1094">
            <v>2.2999999999999687E-2</v>
          </cell>
          <cell r="L1094">
            <v>2.1999999999999797E-2</v>
          </cell>
          <cell r="M1094">
            <v>2.0999999999999908E-2</v>
          </cell>
          <cell r="N1094">
            <v>1.9999999999999574E-2</v>
          </cell>
          <cell r="O1094">
            <v>1.9000000000000128E-2</v>
          </cell>
          <cell r="P1094">
            <v>1.8000000000000238E-2</v>
          </cell>
          <cell r="Q1094">
            <v>1.7000000000000348E-2</v>
          </cell>
          <cell r="R1094">
            <v>1.6000000000000014E-2</v>
          </cell>
          <cell r="S1094">
            <v>1.5000000000000124E-2</v>
          </cell>
          <cell r="T1094">
            <v>1.4000000000000234E-2</v>
          </cell>
          <cell r="U1094">
            <v>1.3000000000000345E-2</v>
          </cell>
          <cell r="V1094">
            <v>1.2000000000000011E-2</v>
          </cell>
          <cell r="W1094">
            <v>1.1000000000000121E-2</v>
          </cell>
          <cell r="X1094">
            <v>9.9999999999997868E-3</v>
          </cell>
          <cell r="Y1094">
            <v>8.999999999999897E-3</v>
          </cell>
          <cell r="Z1094">
            <v>7.999999999999563E-3</v>
          </cell>
          <cell r="AA1094">
            <v>6.9999999999996732E-3</v>
          </cell>
          <cell r="AB1094">
            <v>5.9999999999997833E-3</v>
          </cell>
          <cell r="AC1094">
            <v>4.9999999999998934E-3</v>
          </cell>
          <cell r="AD1094">
            <v>3.9999999999995595E-3</v>
          </cell>
          <cell r="AE1094">
            <v>2.9999999999996696E-3</v>
          </cell>
          <cell r="AF1094">
            <v>1.9999999999997797E-3</v>
          </cell>
          <cell r="AG1094">
            <v>9.9999999999988987E-4</v>
          </cell>
          <cell r="AH1094">
            <v>0</v>
          </cell>
        </row>
        <row r="1095">
          <cell r="B1095" t="str">
            <v>Bio-methane (liquefied) - Conversion waste -&gt; Bio-CH4 - Global - ton waste/ton CH4</v>
          </cell>
          <cell r="G1095">
            <v>4.3820576406494709</v>
          </cell>
          <cell r="H1095">
            <v>4.3564776379257708</v>
          </cell>
          <cell r="I1095">
            <v>4.3308976352020707</v>
          </cell>
          <cell r="J1095">
            <v>4.3053176324783777</v>
          </cell>
          <cell r="K1095">
            <v>4.2797376297546776</v>
          </cell>
          <cell r="L1095">
            <v>4.2541576270309776</v>
          </cell>
          <cell r="M1095">
            <v>4.2285776243072775</v>
          </cell>
          <cell r="N1095">
            <v>4.2029976215835774</v>
          </cell>
          <cell r="O1095">
            <v>4.1774176188598844</v>
          </cell>
          <cell r="P1095">
            <v>4.1518376161361843</v>
          </cell>
          <cell r="Q1095">
            <v>4.1262576134124842</v>
          </cell>
          <cell r="R1095">
            <v>4.1006776106887841</v>
          </cell>
          <cell r="S1095">
            <v>4.075097607965084</v>
          </cell>
          <cell r="T1095">
            <v>4.0495176052413839</v>
          </cell>
          <cell r="U1095">
            <v>4.0239376025176909</v>
          </cell>
          <cell r="V1095">
            <v>3.9983575997939909</v>
          </cell>
          <cell r="W1095">
            <v>3.9727775970702908</v>
          </cell>
          <cell r="X1095">
            <v>3.9471975943465907</v>
          </cell>
          <cell r="Y1095">
            <v>3.9216175916228977</v>
          </cell>
          <cell r="Z1095">
            <v>3.8960375888991976</v>
          </cell>
          <cell r="AA1095">
            <v>3.8704575861754975</v>
          </cell>
          <cell r="AB1095">
            <v>3.8448775834517974</v>
          </cell>
          <cell r="AC1095">
            <v>3.8192975807280973</v>
          </cell>
          <cell r="AD1095">
            <v>3.7937175780044043</v>
          </cell>
          <cell r="AE1095">
            <v>3.7681375752807043</v>
          </cell>
          <cell r="AF1095">
            <v>3.7425575725570042</v>
          </cell>
          <cell r="AG1095">
            <v>3.7169775698333041</v>
          </cell>
          <cell r="AH1095">
            <v>3.691397567109604</v>
          </cell>
        </row>
        <row r="1097">
          <cell r="B1097" t="str">
            <v>Bio-oil (HTL) - Item - Region - Unit</v>
          </cell>
          <cell r="G1097">
            <v>2023</v>
          </cell>
          <cell r="H1097">
            <v>2024</v>
          </cell>
          <cell r="I1097">
            <v>2025</v>
          </cell>
          <cell r="J1097">
            <v>2026</v>
          </cell>
          <cell r="K1097">
            <v>2027</v>
          </cell>
          <cell r="L1097">
            <v>2028</v>
          </cell>
          <cell r="M1097">
            <v>2029</v>
          </cell>
          <cell r="N1097">
            <v>2030</v>
          </cell>
          <cell r="O1097">
            <v>2031</v>
          </cell>
          <cell r="P1097">
            <v>2032</v>
          </cell>
          <cell r="Q1097">
            <v>2033</v>
          </cell>
          <cell r="R1097">
            <v>2034</v>
          </cell>
          <cell r="S1097">
            <v>2035</v>
          </cell>
          <cell r="T1097">
            <v>2036</v>
          </cell>
          <cell r="U1097">
            <v>2037</v>
          </cell>
          <cell r="V1097">
            <v>2038</v>
          </cell>
          <cell r="W1097">
            <v>2039</v>
          </cell>
          <cell r="X1097">
            <v>2040</v>
          </cell>
          <cell r="Y1097">
            <v>2041</v>
          </cell>
          <cell r="Z1097">
            <v>2042</v>
          </cell>
          <cell r="AA1097">
            <v>2043</v>
          </cell>
          <cell r="AB1097">
            <v>2044</v>
          </cell>
          <cell r="AC1097">
            <v>2045</v>
          </cell>
          <cell r="AD1097">
            <v>2046</v>
          </cell>
          <cell r="AE1097">
            <v>2047</v>
          </cell>
          <cell r="AF1097">
            <v>2048</v>
          </cell>
          <cell r="AG1097">
            <v>2049</v>
          </cell>
          <cell r="AH1097">
            <v>2050</v>
          </cell>
        </row>
        <row r="1098">
          <cell r="B1098" t="str">
            <v>Bio-oil (HTL) - Total cost - Africa - USD/ton fuel</v>
          </cell>
          <cell r="N1098">
            <v>1093.4070590911426</v>
          </cell>
          <cell r="O1098">
            <v>1083.210451997054</v>
          </cell>
          <cell r="P1098">
            <v>1072.5415584484999</v>
          </cell>
          <cell r="Q1098">
            <v>1061.4038386727352</v>
          </cell>
          <cell r="R1098">
            <v>1049.8007528970429</v>
          </cell>
          <cell r="S1098">
            <v>1037.7357613487077</v>
          </cell>
          <cell r="T1098">
            <v>1031.0676229604751</v>
          </cell>
          <cell r="U1098">
            <v>1024.0743746699904</v>
          </cell>
          <cell r="V1098">
            <v>1016.75714556257</v>
          </cell>
          <cell r="W1098">
            <v>1009.1170647235149</v>
          </cell>
          <cell r="X1098">
            <v>1001.1552612381367</v>
          </cell>
          <cell r="Y1098">
            <v>993.03975525447072</v>
          </cell>
          <cell r="Z1098">
            <v>984.77361707626528</v>
          </cell>
          <cell r="AA1098">
            <v>976.35618644486794</v>
          </cell>
          <cell r="AB1098">
            <v>967.78680310162315</v>
          </cell>
          <cell r="AC1098">
            <v>959.06480678787739</v>
          </cell>
          <cell r="AD1098">
            <v>951.81299267977693</v>
          </cell>
          <cell r="AE1098">
            <v>944.4856617714122</v>
          </cell>
          <cell r="AF1098">
            <v>937.0823980032626</v>
          </cell>
          <cell r="AG1098">
            <v>929.60278531581196</v>
          </cell>
          <cell r="AH1098">
            <v>922.04640764954365</v>
          </cell>
        </row>
        <row r="1099">
          <cell r="B1099" t="str">
            <v>Bio-oil (HTL) - Total cost - Americas - USD/ton fuel</v>
          </cell>
          <cell r="N1099">
            <v>1032.4724200402782</v>
          </cell>
          <cell r="O1099">
            <v>1023.8276190138519</v>
          </cell>
          <cell r="P1099">
            <v>1014.6964974060115</v>
          </cell>
          <cell r="Q1099">
            <v>1005.0810595558892</v>
          </cell>
          <cell r="R1099">
            <v>994.98330980263779</v>
          </cell>
          <cell r="S1099">
            <v>984.40525248541542</v>
          </cell>
          <cell r="T1099">
            <v>977.63973948673549</v>
          </cell>
          <cell r="U1099">
            <v>970.55214264910069</v>
          </cell>
          <cell r="V1099">
            <v>963.14358835031828</v>
          </cell>
          <cell r="W1099">
            <v>955.41520296818214</v>
          </cell>
          <cell r="X1099">
            <v>947.3681128804933</v>
          </cell>
          <cell r="Y1099">
            <v>940.6171591207933</v>
          </cell>
          <cell r="Z1099">
            <v>933.68923987513892</v>
          </cell>
          <cell r="AA1099">
            <v>926.58409707994292</v>
          </cell>
          <cell r="AB1099">
            <v>919.30147267161124</v>
          </cell>
          <cell r="AC1099">
            <v>911.84110858655617</v>
          </cell>
          <cell r="AD1099">
            <v>904.8214389752668</v>
          </cell>
          <cell r="AE1099">
            <v>897.71856133297592</v>
          </cell>
          <cell r="AF1099">
            <v>890.532225706688</v>
          </cell>
          <cell r="AG1099">
            <v>883.26218214340963</v>
          </cell>
          <cell r="AH1099">
            <v>875.9081806901479</v>
          </cell>
        </row>
        <row r="1100">
          <cell r="B1100" t="str">
            <v>Bio-oil (HTL) - Total cost - Asia - USD/ton fuel</v>
          </cell>
          <cell r="N1100">
            <v>1074.1233568142111</v>
          </cell>
          <cell r="O1100">
            <v>1062.1970184661764</v>
          </cell>
          <cell r="P1100">
            <v>1049.8046766467421</v>
          </cell>
          <cell r="Q1100">
            <v>1036.9508435459798</v>
          </cell>
          <cell r="R1100">
            <v>1023.6400313539801</v>
          </cell>
          <cell r="S1100">
            <v>1009.8767522608453</v>
          </cell>
          <cell r="T1100">
            <v>1002.2111028263073</v>
          </cell>
          <cell r="U1100">
            <v>994.2270954103742</v>
          </cell>
          <cell r="V1100">
            <v>985.92632041434615</v>
          </cell>
          <cell r="W1100">
            <v>977.31036823950308</v>
          </cell>
          <cell r="X1100">
            <v>968.38082928714016</v>
          </cell>
          <cell r="Y1100">
            <v>958.97477025433864</v>
          </cell>
          <cell r="Z1100">
            <v>949.43793815482525</v>
          </cell>
          <cell r="AA1100">
            <v>939.76938627133063</v>
          </cell>
          <cell r="AB1100">
            <v>929.96816788658123</v>
          </cell>
          <cell r="AC1100">
            <v>920.03333628330643</v>
          </cell>
          <cell r="AD1100">
            <v>912.32910497268438</v>
          </cell>
          <cell r="AE1100">
            <v>904.55712405908503</v>
          </cell>
          <cell r="AF1100">
            <v>896.71683615798406</v>
          </cell>
          <cell r="AG1100">
            <v>888.80768388485876</v>
          </cell>
          <cell r="AH1100">
            <v>880.82910985518618</v>
          </cell>
        </row>
        <row r="1101">
          <cell r="B1101" t="str">
            <v>Bio-oil (HTL) - Total cost - Europe - USD/ton fuel</v>
          </cell>
          <cell r="N1101">
            <v>1073.3256144107522</v>
          </cell>
          <cell r="O1101">
            <v>1064.4066441185987</v>
          </cell>
          <cell r="P1101">
            <v>1054.9975711503496</v>
          </cell>
          <cell r="Q1101">
            <v>1045.1006642508876</v>
          </cell>
          <cell r="R1101">
            <v>1034.7181921651204</v>
          </cell>
          <cell r="S1101">
            <v>1023.8524236379635</v>
          </cell>
          <cell r="T1101">
            <v>1017.2355653660223</v>
          </cell>
          <cell r="U1101">
            <v>1010.2869367765707</v>
          </cell>
          <cell r="V1101">
            <v>1003.0074769225342</v>
          </cell>
          <cell r="W1101">
            <v>995.39812485682205</v>
          </cell>
          <cell r="X1101">
            <v>987.45981963235317</v>
          </cell>
          <cell r="Y1101">
            <v>979.49554365480037</v>
          </cell>
          <cell r="Z1101">
            <v>971.37643681018392</v>
          </cell>
          <cell r="AA1101">
            <v>963.10192777741986</v>
          </cell>
          <cell r="AB1101">
            <v>954.67144523541538</v>
          </cell>
          <cell r="AC1101">
            <v>946.08441786308549</v>
          </cell>
          <cell r="AD1101">
            <v>938.46604794449604</v>
          </cell>
          <cell r="AE1101">
            <v>930.77845261124594</v>
          </cell>
          <cell r="AF1101">
            <v>923.02109669495417</v>
          </cell>
          <cell r="AG1101">
            <v>915.19344502724027</v>
          </cell>
          <cell r="AH1101">
            <v>907.29496243972437</v>
          </cell>
        </row>
        <row r="1102">
          <cell r="B1102" t="str">
            <v>Bio-oil (HTL) - Total cost - Middle East - USD/ton fuel</v>
          </cell>
          <cell r="N1102">
            <v>1057.8676995165365</v>
          </cell>
          <cell r="O1102">
            <v>1048.638010481242</v>
          </cell>
          <cell r="P1102">
            <v>1038.9291765232856</v>
          </cell>
          <cell r="Q1102">
            <v>1028.7436710673119</v>
          </cell>
          <cell r="R1102">
            <v>1018.0839675379905</v>
          </cell>
          <cell r="S1102">
            <v>1006.9525393599938</v>
          </cell>
          <cell r="T1102">
            <v>1000.9063306525518</v>
          </cell>
          <cell r="U1102">
            <v>994.53214024569172</v>
          </cell>
          <cell r="V1102">
            <v>987.83082787916555</v>
          </cell>
          <cell r="W1102">
            <v>980.80325329270931</v>
          </cell>
          <cell r="X1102">
            <v>973.45027622606858</v>
          </cell>
          <cell r="Y1102">
            <v>965.3591733473761</v>
          </cell>
          <cell r="Z1102">
            <v>957.11428871391126</v>
          </cell>
          <cell r="AA1102">
            <v>948.714981144783</v>
          </cell>
          <cell r="AB1102">
            <v>940.16060945909624</v>
          </cell>
          <cell r="AC1102">
            <v>931.45053247595922</v>
          </cell>
          <cell r="AD1102">
            <v>924.19546249376276</v>
          </cell>
          <cell r="AE1102">
            <v>916.86120274686562</v>
          </cell>
          <cell r="AF1102">
            <v>909.44736796220582</v>
          </cell>
          <cell r="AG1102">
            <v>901.95357286672424</v>
          </cell>
          <cell r="AH1102">
            <v>894.379432187362</v>
          </cell>
        </row>
        <row r="1103">
          <cell r="B1103" t="str">
            <v/>
          </cell>
        </row>
        <row r="1104">
          <cell r="B1104" t="str">
            <v>Bio-oil (HTL) - CAPEX - Global - USD/ton fuel</v>
          </cell>
          <cell r="G1104" t="e">
            <v>#DIV/0!</v>
          </cell>
          <cell r="H1104" t="e">
            <v>#DIV/0!</v>
          </cell>
          <cell r="I1104" t="e">
            <v>#DIV/0!</v>
          </cell>
          <cell r="J1104" t="e">
            <v>#DIV/0!</v>
          </cell>
          <cell r="K1104" t="e">
            <v>#DIV/0!</v>
          </cell>
          <cell r="L1104" t="e">
            <v>#DIV/0!</v>
          </cell>
          <cell r="M1104" t="e">
            <v>#DIV/0!</v>
          </cell>
          <cell r="N1104">
            <v>99.222248599135</v>
          </cell>
          <cell r="O1104">
            <v>98.031581615943281</v>
          </cell>
          <cell r="P1104">
            <v>96.84091463275351</v>
          </cell>
          <cell r="Q1104">
            <v>95.650247649563724</v>
          </cell>
          <cell r="R1104">
            <v>94.459580666374436</v>
          </cell>
          <cell r="S1104">
            <v>93.268913683184891</v>
          </cell>
          <cell r="T1104">
            <v>92.673580191590247</v>
          </cell>
          <cell r="U1104">
            <v>92.078246699995361</v>
          </cell>
          <cell r="V1104">
            <v>91.482913208400475</v>
          </cell>
          <cell r="W1104">
            <v>90.887579716805831</v>
          </cell>
          <cell r="X1104">
            <v>90.292246225211173</v>
          </cell>
          <cell r="Y1104">
            <v>89.696912733616287</v>
          </cell>
          <cell r="Z1104">
            <v>89.101579242021643</v>
          </cell>
          <cell r="AA1104">
            <v>88.506245750426757</v>
          </cell>
          <cell r="AB1104">
            <v>87.910912258831857</v>
          </cell>
          <cell r="AC1104">
            <v>87.315578767237213</v>
          </cell>
          <cell r="AD1104">
            <v>86.720245275642327</v>
          </cell>
          <cell r="AE1104">
            <v>86.124911784047683</v>
          </cell>
          <cell r="AF1104">
            <v>85.529578292452783</v>
          </cell>
          <cell r="AG1104">
            <v>84.934244800857897</v>
          </cell>
          <cell r="AH1104">
            <v>84.338911309263253</v>
          </cell>
        </row>
        <row r="1105">
          <cell r="B1105" t="str">
            <v>Bio-oil (HTL) - Plant lifetime - Global - Years</v>
          </cell>
          <cell r="G1105">
            <v>0</v>
          </cell>
          <cell r="H1105">
            <v>0</v>
          </cell>
          <cell r="I1105">
            <v>0</v>
          </cell>
          <cell r="J1105">
            <v>0</v>
          </cell>
          <cell r="K1105">
            <v>0</v>
          </cell>
          <cell r="L1105">
            <v>0</v>
          </cell>
          <cell r="M1105">
            <v>0</v>
          </cell>
          <cell r="N1105">
            <v>30</v>
          </cell>
          <cell r="O1105">
            <v>30</v>
          </cell>
          <cell r="P1105">
            <v>30</v>
          </cell>
          <cell r="Q1105">
            <v>30</v>
          </cell>
          <cell r="R1105">
            <v>30</v>
          </cell>
          <cell r="S1105">
            <v>30</v>
          </cell>
          <cell r="T1105">
            <v>30</v>
          </cell>
          <cell r="U1105">
            <v>30</v>
          </cell>
          <cell r="V1105">
            <v>30</v>
          </cell>
          <cell r="W1105">
            <v>30</v>
          </cell>
          <cell r="X1105">
            <v>30</v>
          </cell>
          <cell r="Y1105">
            <v>30</v>
          </cell>
          <cell r="Z1105">
            <v>30</v>
          </cell>
          <cell r="AA1105">
            <v>30</v>
          </cell>
          <cell r="AB1105">
            <v>30</v>
          </cell>
          <cell r="AC1105">
            <v>30</v>
          </cell>
          <cell r="AD1105">
            <v>30</v>
          </cell>
          <cell r="AE1105">
            <v>30</v>
          </cell>
          <cell r="AF1105">
            <v>30</v>
          </cell>
          <cell r="AG1105">
            <v>30</v>
          </cell>
          <cell r="AH1105">
            <v>30</v>
          </cell>
        </row>
        <row r="1106">
          <cell r="B1106" t="str">
            <v>Bio-oil (HTL) - Total CAPEX - Global - USD/ton fuel</v>
          </cell>
          <cell r="G1106">
            <v>0</v>
          </cell>
          <cell r="H1106">
            <v>0</v>
          </cell>
          <cell r="I1106">
            <v>0</v>
          </cell>
          <cell r="J1106">
            <v>0</v>
          </cell>
          <cell r="K1106">
            <v>0</v>
          </cell>
          <cell r="L1106">
            <v>0</v>
          </cell>
          <cell r="M1106">
            <v>0</v>
          </cell>
          <cell r="N1106">
            <v>2976.6674579740502</v>
          </cell>
          <cell r="O1106">
            <v>2940.9474484782986</v>
          </cell>
          <cell r="P1106">
            <v>2905.2274389826052</v>
          </cell>
          <cell r="Q1106">
            <v>2869.5074294869119</v>
          </cell>
          <cell r="R1106">
            <v>2833.787419991233</v>
          </cell>
          <cell r="S1106">
            <v>2798.0674104955469</v>
          </cell>
          <cell r="T1106">
            <v>2780.2074057477075</v>
          </cell>
          <cell r="U1106">
            <v>2762.3474009998608</v>
          </cell>
          <cell r="V1106">
            <v>2744.4873962520142</v>
          </cell>
          <cell r="W1106">
            <v>2726.6273915041747</v>
          </cell>
          <cell r="X1106">
            <v>2708.7673867563353</v>
          </cell>
          <cell r="Y1106">
            <v>2690.9073820084886</v>
          </cell>
          <cell r="Z1106">
            <v>2673.0473772606492</v>
          </cell>
          <cell r="AA1106">
            <v>2655.1873725128025</v>
          </cell>
          <cell r="AB1106">
            <v>2637.3273677649559</v>
          </cell>
          <cell r="AC1106">
            <v>2619.4673630171164</v>
          </cell>
          <cell r="AD1106">
            <v>2601.6073582692698</v>
          </cell>
          <cell r="AE1106">
            <v>2583.7473535214303</v>
          </cell>
          <cell r="AF1106">
            <v>2565.8873487735837</v>
          </cell>
          <cell r="AG1106">
            <v>2548.027344025737</v>
          </cell>
          <cell r="AH1106">
            <v>2530.1673392778976</v>
          </cell>
        </row>
        <row r="1107">
          <cell r="B1107" t="str">
            <v/>
          </cell>
        </row>
        <row r="1108">
          <cell r="B1108" t="str">
            <v>Bio-oil (HTL) - OPEX - Global - USD/ton fuel</v>
          </cell>
          <cell r="G1108">
            <v>0</v>
          </cell>
          <cell r="H1108">
            <v>0</v>
          </cell>
          <cell r="I1108">
            <v>0</v>
          </cell>
          <cell r="J1108">
            <v>0</v>
          </cell>
          <cell r="K1108">
            <v>0</v>
          </cell>
          <cell r="L1108">
            <v>0</v>
          </cell>
          <cell r="M1108">
            <v>0</v>
          </cell>
          <cell r="N1108">
            <v>321.41145340894582</v>
          </cell>
          <cell r="O1108">
            <v>317.55451596802141</v>
          </cell>
          <cell r="P1108">
            <v>313.69757852711427</v>
          </cell>
          <cell r="Q1108">
            <v>309.84064108620714</v>
          </cell>
          <cell r="R1108">
            <v>305.98370364530001</v>
          </cell>
          <cell r="S1108">
            <v>302.12676620439288</v>
          </cell>
          <cell r="T1108">
            <v>300.19829748393931</v>
          </cell>
          <cell r="U1108">
            <v>298.26982876348575</v>
          </cell>
          <cell r="V1108">
            <v>296.34136004303218</v>
          </cell>
          <cell r="W1108">
            <v>294.41289132257862</v>
          </cell>
          <cell r="X1108">
            <v>292.48442260212505</v>
          </cell>
          <cell r="Y1108">
            <v>290.55595388167148</v>
          </cell>
          <cell r="Z1108">
            <v>288.62748516121792</v>
          </cell>
          <cell r="AA1108">
            <v>286.69901644076435</v>
          </cell>
          <cell r="AB1108">
            <v>284.77054772031079</v>
          </cell>
          <cell r="AC1108">
            <v>282.84207899985677</v>
          </cell>
          <cell r="AD1108">
            <v>280.9136102794032</v>
          </cell>
          <cell r="AE1108">
            <v>278.98514155894964</v>
          </cell>
          <cell r="AF1108">
            <v>277.05667283849607</v>
          </cell>
          <cell r="AG1108">
            <v>275.1282041180425</v>
          </cell>
          <cell r="AH1108">
            <v>273.19973539758894</v>
          </cell>
        </row>
        <row r="1109">
          <cell r="B1109" t="str">
            <v>Bio-oil (HTL) - OPEX - Global - USD/ton fuel/year</v>
          </cell>
          <cell r="G1109">
            <v>0</v>
          </cell>
          <cell r="H1109">
            <v>0</v>
          </cell>
          <cell r="I1109">
            <v>0</v>
          </cell>
          <cell r="J1109">
            <v>0</v>
          </cell>
          <cell r="K1109">
            <v>0</v>
          </cell>
          <cell r="L1109">
            <v>0</v>
          </cell>
          <cell r="M1109">
            <v>0</v>
          </cell>
          <cell r="N1109">
            <v>321.41145340894582</v>
          </cell>
          <cell r="O1109">
            <v>317.55451596802141</v>
          </cell>
          <cell r="P1109">
            <v>313.69757852711427</v>
          </cell>
          <cell r="Q1109">
            <v>309.84064108620714</v>
          </cell>
          <cell r="R1109">
            <v>305.98370364530001</v>
          </cell>
          <cell r="S1109">
            <v>302.12676620439288</v>
          </cell>
          <cell r="T1109">
            <v>300.19829748393931</v>
          </cell>
          <cell r="U1109">
            <v>298.26982876348575</v>
          </cell>
          <cell r="V1109">
            <v>296.34136004303218</v>
          </cell>
          <cell r="W1109">
            <v>294.41289132257862</v>
          </cell>
          <cell r="X1109">
            <v>292.48442260212505</v>
          </cell>
          <cell r="Y1109">
            <v>290.55595388167148</v>
          </cell>
          <cell r="Z1109">
            <v>288.62748516121792</v>
          </cell>
          <cell r="AA1109">
            <v>286.69901644076435</v>
          </cell>
          <cell r="AB1109">
            <v>284.77054772031079</v>
          </cell>
          <cell r="AC1109">
            <v>282.84207899985677</v>
          </cell>
          <cell r="AD1109">
            <v>280.9136102794032</v>
          </cell>
          <cell r="AE1109">
            <v>278.98514155894964</v>
          </cell>
          <cell r="AF1109">
            <v>277.05667283849607</v>
          </cell>
          <cell r="AG1109">
            <v>275.1282041180425</v>
          </cell>
          <cell r="AH1109">
            <v>273.19973539758894</v>
          </cell>
        </row>
        <row r="1110">
          <cell r="B1110" t="str">
            <v/>
          </cell>
        </row>
        <row r="1111">
          <cell r="B1111" t="str">
            <v>Bio-oil (HTL) - Finance cost - Africa - USD/ton fuel</v>
          </cell>
          <cell r="G1111">
            <v>0</v>
          </cell>
          <cell r="H1111">
            <v>0</v>
          </cell>
          <cell r="I1111">
            <v>0</v>
          </cell>
          <cell r="J1111">
            <v>0</v>
          </cell>
          <cell r="K1111">
            <v>0</v>
          </cell>
          <cell r="L1111">
            <v>0</v>
          </cell>
          <cell r="M1111">
            <v>0</v>
          </cell>
          <cell r="N1111">
            <v>163.71671018857279</v>
          </cell>
          <cell r="O1111">
            <v>161.75210966630644</v>
          </cell>
          <cell r="P1111">
            <v>159.7875091440433</v>
          </cell>
          <cell r="Q1111">
            <v>157.82290862178019</v>
          </cell>
          <cell r="R1111">
            <v>155.85830809951784</v>
          </cell>
          <cell r="S1111">
            <v>153.8937075772551</v>
          </cell>
          <cell r="T1111">
            <v>152.91140731612393</v>
          </cell>
          <cell r="U1111">
            <v>151.92910705499236</v>
          </cell>
          <cell r="V1111">
            <v>150.94680679386079</v>
          </cell>
          <cell r="W1111">
            <v>149.96450653272964</v>
          </cell>
          <cell r="X1111">
            <v>148.98220627159847</v>
          </cell>
          <cell r="Y1111">
            <v>147.9999060104669</v>
          </cell>
          <cell r="Z1111">
            <v>147.01760574933573</v>
          </cell>
          <cell r="AA1111">
            <v>146.03530548820416</v>
          </cell>
          <cell r="AB1111">
            <v>145.05300522707259</v>
          </cell>
          <cell r="AC1111">
            <v>144.07070496594142</v>
          </cell>
          <cell r="AD1111">
            <v>143.08840470480985</v>
          </cell>
          <cell r="AE1111">
            <v>142.10610444367867</v>
          </cell>
          <cell r="AF1111">
            <v>141.12380418254713</v>
          </cell>
          <cell r="AG1111">
            <v>140.14150392141556</v>
          </cell>
          <cell r="AH1111">
            <v>139.15920366028439</v>
          </cell>
        </row>
        <row r="1112">
          <cell r="B1112" t="str">
            <v>Bio-oil (HTL) - Finance cost - Americas - USD/ton fuel</v>
          </cell>
          <cell r="G1112">
            <v>0</v>
          </cell>
          <cell r="H1112">
            <v>0</v>
          </cell>
          <cell r="I1112">
            <v>0</v>
          </cell>
          <cell r="J1112">
            <v>0</v>
          </cell>
          <cell r="K1112">
            <v>0</v>
          </cell>
          <cell r="L1112">
            <v>0</v>
          </cell>
          <cell r="M1112">
            <v>0</v>
          </cell>
          <cell r="N1112">
            <v>163.71671018857279</v>
          </cell>
          <cell r="O1112">
            <v>161.75210966630644</v>
          </cell>
          <cell r="P1112">
            <v>159.7875091440433</v>
          </cell>
          <cell r="Q1112">
            <v>157.82290862178019</v>
          </cell>
          <cell r="R1112">
            <v>155.85830809951784</v>
          </cell>
          <cell r="S1112">
            <v>153.8937075772551</v>
          </cell>
          <cell r="T1112">
            <v>152.91140731612393</v>
          </cell>
          <cell r="U1112">
            <v>151.92910705499236</v>
          </cell>
          <cell r="V1112">
            <v>150.94680679386079</v>
          </cell>
          <cell r="W1112">
            <v>149.96450653272964</v>
          </cell>
          <cell r="X1112">
            <v>148.98220627159847</v>
          </cell>
          <cell r="Y1112">
            <v>147.9999060104669</v>
          </cell>
          <cell r="Z1112">
            <v>147.01760574933573</v>
          </cell>
          <cell r="AA1112">
            <v>146.03530548820416</v>
          </cell>
          <cell r="AB1112">
            <v>145.05300522707259</v>
          </cell>
          <cell r="AC1112">
            <v>144.07070496594142</v>
          </cell>
          <cell r="AD1112">
            <v>143.08840470480985</v>
          </cell>
          <cell r="AE1112">
            <v>142.10610444367867</v>
          </cell>
          <cell r="AF1112">
            <v>141.12380418254713</v>
          </cell>
          <cell r="AG1112">
            <v>140.14150392141556</v>
          </cell>
          <cell r="AH1112">
            <v>139.15920366028439</v>
          </cell>
        </row>
        <row r="1113">
          <cell r="B1113" t="str">
            <v>Bio-oil (HTL) - Finance cost - Asia - USD/ton fuel</v>
          </cell>
          <cell r="G1113">
            <v>0</v>
          </cell>
          <cell r="H1113">
            <v>0</v>
          </cell>
          <cell r="I1113">
            <v>0</v>
          </cell>
          <cell r="J1113">
            <v>0</v>
          </cell>
          <cell r="K1113">
            <v>0</v>
          </cell>
          <cell r="L1113">
            <v>0</v>
          </cell>
          <cell r="M1113">
            <v>0</v>
          </cell>
          <cell r="N1113">
            <v>163.71671018857279</v>
          </cell>
          <cell r="O1113">
            <v>161.75210966630644</v>
          </cell>
          <cell r="P1113">
            <v>159.7875091440433</v>
          </cell>
          <cell r="Q1113">
            <v>157.82290862178019</v>
          </cell>
          <cell r="R1113">
            <v>155.85830809951784</v>
          </cell>
          <cell r="S1113">
            <v>153.8937075772551</v>
          </cell>
          <cell r="T1113">
            <v>152.91140731612393</v>
          </cell>
          <cell r="U1113">
            <v>151.92910705499236</v>
          </cell>
          <cell r="V1113">
            <v>150.94680679386079</v>
          </cell>
          <cell r="W1113">
            <v>149.96450653272964</v>
          </cell>
          <cell r="X1113">
            <v>148.98220627159847</v>
          </cell>
          <cell r="Y1113">
            <v>147.9999060104669</v>
          </cell>
          <cell r="Z1113">
            <v>147.01760574933573</v>
          </cell>
          <cell r="AA1113">
            <v>146.03530548820416</v>
          </cell>
          <cell r="AB1113">
            <v>145.05300522707259</v>
          </cell>
          <cell r="AC1113">
            <v>144.07070496594142</v>
          </cell>
          <cell r="AD1113">
            <v>143.08840470480985</v>
          </cell>
          <cell r="AE1113">
            <v>142.10610444367867</v>
          </cell>
          <cell r="AF1113">
            <v>141.12380418254713</v>
          </cell>
          <cell r="AG1113">
            <v>140.14150392141556</v>
          </cell>
          <cell r="AH1113">
            <v>139.15920366028439</v>
          </cell>
        </row>
        <row r="1114">
          <cell r="B1114" t="str">
            <v>Bio-oil (HTL) - Finance cost - Europe - USD/ton fuel</v>
          </cell>
          <cell r="G1114">
            <v>0</v>
          </cell>
          <cell r="H1114">
            <v>0</v>
          </cell>
          <cell r="I1114">
            <v>0</v>
          </cell>
          <cell r="J1114">
            <v>0</v>
          </cell>
          <cell r="K1114">
            <v>0</v>
          </cell>
          <cell r="L1114">
            <v>0</v>
          </cell>
          <cell r="M1114">
            <v>0</v>
          </cell>
          <cell r="N1114">
            <v>163.71671018857279</v>
          </cell>
          <cell r="O1114">
            <v>161.75210966630644</v>
          </cell>
          <cell r="P1114">
            <v>159.7875091440433</v>
          </cell>
          <cell r="Q1114">
            <v>157.82290862178019</v>
          </cell>
          <cell r="R1114">
            <v>155.85830809951784</v>
          </cell>
          <cell r="S1114">
            <v>153.8937075772551</v>
          </cell>
          <cell r="T1114">
            <v>152.91140731612393</v>
          </cell>
          <cell r="U1114">
            <v>151.92910705499236</v>
          </cell>
          <cell r="V1114">
            <v>150.94680679386079</v>
          </cell>
          <cell r="W1114">
            <v>149.96450653272964</v>
          </cell>
          <cell r="X1114">
            <v>148.98220627159847</v>
          </cell>
          <cell r="Y1114">
            <v>147.9999060104669</v>
          </cell>
          <cell r="Z1114">
            <v>147.01760574933573</v>
          </cell>
          <cell r="AA1114">
            <v>146.03530548820416</v>
          </cell>
          <cell r="AB1114">
            <v>145.05300522707259</v>
          </cell>
          <cell r="AC1114">
            <v>144.07070496594142</v>
          </cell>
          <cell r="AD1114">
            <v>143.08840470480985</v>
          </cell>
          <cell r="AE1114">
            <v>142.10610444367867</v>
          </cell>
          <cell r="AF1114">
            <v>141.12380418254713</v>
          </cell>
          <cell r="AG1114">
            <v>140.14150392141556</v>
          </cell>
          <cell r="AH1114">
            <v>139.15920366028439</v>
          </cell>
        </row>
        <row r="1115">
          <cell r="B1115" t="str">
            <v>Bio-oil (HTL) - Finance cost - Middle East - USD/ton fuel</v>
          </cell>
          <cell r="G1115">
            <v>0</v>
          </cell>
          <cell r="H1115">
            <v>0</v>
          </cell>
          <cell r="I1115">
            <v>0</v>
          </cell>
          <cell r="J1115">
            <v>0</v>
          </cell>
          <cell r="K1115">
            <v>0</v>
          </cell>
          <cell r="L1115">
            <v>0</v>
          </cell>
          <cell r="M1115">
            <v>0</v>
          </cell>
          <cell r="N1115">
            <v>163.71671018857279</v>
          </cell>
          <cell r="O1115">
            <v>161.75210966630644</v>
          </cell>
          <cell r="P1115">
            <v>159.7875091440433</v>
          </cell>
          <cell r="Q1115">
            <v>157.82290862178019</v>
          </cell>
          <cell r="R1115">
            <v>155.85830809951784</v>
          </cell>
          <cell r="S1115">
            <v>153.8937075772551</v>
          </cell>
          <cell r="T1115">
            <v>152.91140731612393</v>
          </cell>
          <cell r="U1115">
            <v>151.92910705499236</v>
          </cell>
          <cell r="V1115">
            <v>150.94680679386079</v>
          </cell>
          <cell r="W1115">
            <v>149.96450653272964</v>
          </cell>
          <cell r="X1115">
            <v>148.98220627159847</v>
          </cell>
          <cell r="Y1115">
            <v>147.9999060104669</v>
          </cell>
          <cell r="Z1115">
            <v>147.01760574933573</v>
          </cell>
          <cell r="AA1115">
            <v>146.03530548820416</v>
          </cell>
          <cell r="AB1115">
            <v>145.05300522707259</v>
          </cell>
          <cell r="AC1115">
            <v>144.07070496594142</v>
          </cell>
          <cell r="AD1115">
            <v>143.08840470480985</v>
          </cell>
          <cell r="AE1115">
            <v>142.10610444367867</v>
          </cell>
          <cell r="AF1115">
            <v>141.12380418254713</v>
          </cell>
          <cell r="AG1115">
            <v>140.14150392141556</v>
          </cell>
          <cell r="AH1115">
            <v>139.15920366028439</v>
          </cell>
        </row>
        <row r="1116">
          <cell r="B1116" t="str">
            <v>General - Weighted average cost of capital (WACC) - Africa - %</v>
          </cell>
          <cell r="G1116">
            <v>5.5000000000000007E-2</v>
          </cell>
          <cell r="H1116">
            <v>5.5000000000000007E-2</v>
          </cell>
          <cell r="I1116">
            <v>5.5000000000000007E-2</v>
          </cell>
          <cell r="J1116">
            <v>5.5000000000000007E-2</v>
          </cell>
          <cell r="K1116">
            <v>5.5000000000000007E-2</v>
          </cell>
          <cell r="L1116">
            <v>5.5000000000000007E-2</v>
          </cell>
          <cell r="M1116">
            <v>5.5000000000000007E-2</v>
          </cell>
          <cell r="N1116">
            <v>5.5000000000000007E-2</v>
          </cell>
          <cell r="O1116">
            <v>5.5000000000000007E-2</v>
          </cell>
          <cell r="P1116">
            <v>5.5000000000000007E-2</v>
          </cell>
          <cell r="Q1116">
            <v>5.5000000000000007E-2</v>
          </cell>
          <cell r="R1116">
            <v>5.5000000000000007E-2</v>
          </cell>
          <cell r="S1116">
            <v>5.5000000000000007E-2</v>
          </cell>
          <cell r="T1116">
            <v>5.5000000000000007E-2</v>
          </cell>
          <cell r="U1116">
            <v>5.5000000000000007E-2</v>
          </cell>
          <cell r="V1116">
            <v>5.5000000000000007E-2</v>
          </cell>
          <cell r="W1116">
            <v>5.5000000000000007E-2</v>
          </cell>
          <cell r="X1116">
            <v>5.5000000000000007E-2</v>
          </cell>
          <cell r="Y1116">
            <v>5.5000000000000007E-2</v>
          </cell>
          <cell r="Z1116">
            <v>5.5000000000000007E-2</v>
          </cell>
          <cell r="AA1116">
            <v>5.5000000000000007E-2</v>
          </cell>
          <cell r="AB1116">
            <v>5.5000000000000007E-2</v>
          </cell>
          <cell r="AC1116">
            <v>5.5000000000000007E-2</v>
          </cell>
          <cell r="AD1116">
            <v>5.5000000000000007E-2</v>
          </cell>
          <cell r="AE1116">
            <v>5.5000000000000007E-2</v>
          </cell>
          <cell r="AF1116">
            <v>5.5000000000000007E-2</v>
          </cell>
          <cell r="AG1116">
            <v>5.5000000000000007E-2</v>
          </cell>
          <cell r="AH1116">
            <v>5.5000000000000007E-2</v>
          </cell>
        </row>
        <row r="1117">
          <cell r="B1117" t="str">
            <v>General - Weighted average cost of capital (WACC) - Americas - %</v>
          </cell>
          <cell r="G1117">
            <v>5.5000000000000007E-2</v>
          </cell>
          <cell r="H1117">
            <v>5.5000000000000007E-2</v>
          </cell>
          <cell r="I1117">
            <v>5.5000000000000007E-2</v>
          </cell>
          <cell r="J1117">
            <v>5.5000000000000007E-2</v>
          </cell>
          <cell r="K1117">
            <v>5.5000000000000007E-2</v>
          </cell>
          <cell r="L1117">
            <v>5.5000000000000007E-2</v>
          </cell>
          <cell r="M1117">
            <v>5.5000000000000007E-2</v>
          </cell>
          <cell r="N1117">
            <v>5.5000000000000007E-2</v>
          </cell>
          <cell r="O1117">
            <v>5.5000000000000007E-2</v>
          </cell>
          <cell r="P1117">
            <v>5.5000000000000007E-2</v>
          </cell>
          <cell r="Q1117">
            <v>5.5000000000000007E-2</v>
          </cell>
          <cell r="R1117">
            <v>5.5000000000000007E-2</v>
          </cell>
          <cell r="S1117">
            <v>5.5000000000000007E-2</v>
          </cell>
          <cell r="T1117">
            <v>5.5000000000000007E-2</v>
          </cell>
          <cell r="U1117">
            <v>5.5000000000000007E-2</v>
          </cell>
          <cell r="V1117">
            <v>5.5000000000000007E-2</v>
          </cell>
          <cell r="W1117">
            <v>5.5000000000000007E-2</v>
          </cell>
          <cell r="X1117">
            <v>5.5000000000000007E-2</v>
          </cell>
          <cell r="Y1117">
            <v>5.5000000000000007E-2</v>
          </cell>
          <cell r="Z1117">
            <v>5.5000000000000007E-2</v>
          </cell>
          <cell r="AA1117">
            <v>5.5000000000000007E-2</v>
          </cell>
          <cell r="AB1117">
            <v>5.5000000000000007E-2</v>
          </cell>
          <cell r="AC1117">
            <v>5.5000000000000007E-2</v>
          </cell>
          <cell r="AD1117">
            <v>5.5000000000000007E-2</v>
          </cell>
          <cell r="AE1117">
            <v>5.5000000000000007E-2</v>
          </cell>
          <cell r="AF1117">
            <v>5.5000000000000007E-2</v>
          </cell>
          <cell r="AG1117">
            <v>5.5000000000000007E-2</v>
          </cell>
          <cell r="AH1117">
            <v>5.5000000000000007E-2</v>
          </cell>
        </row>
        <row r="1118">
          <cell r="B1118" t="str">
            <v>General - Weighted average cost of capital (WACC) - Asia - %</v>
          </cell>
          <cell r="G1118">
            <v>5.5000000000000007E-2</v>
          </cell>
          <cell r="H1118">
            <v>5.5000000000000007E-2</v>
          </cell>
          <cell r="I1118">
            <v>5.5000000000000007E-2</v>
          </cell>
          <cell r="J1118">
            <v>5.5000000000000007E-2</v>
          </cell>
          <cell r="K1118">
            <v>5.5000000000000007E-2</v>
          </cell>
          <cell r="L1118">
            <v>5.5000000000000007E-2</v>
          </cell>
          <cell r="M1118">
            <v>5.5000000000000007E-2</v>
          </cell>
          <cell r="N1118">
            <v>5.5000000000000007E-2</v>
          </cell>
          <cell r="O1118">
            <v>5.5000000000000007E-2</v>
          </cell>
          <cell r="P1118">
            <v>5.5000000000000007E-2</v>
          </cell>
          <cell r="Q1118">
            <v>5.5000000000000007E-2</v>
          </cell>
          <cell r="R1118">
            <v>5.5000000000000007E-2</v>
          </cell>
          <cell r="S1118">
            <v>5.5000000000000007E-2</v>
          </cell>
          <cell r="T1118">
            <v>5.5000000000000007E-2</v>
          </cell>
          <cell r="U1118">
            <v>5.5000000000000007E-2</v>
          </cell>
          <cell r="V1118">
            <v>5.5000000000000007E-2</v>
          </cell>
          <cell r="W1118">
            <v>5.5000000000000007E-2</v>
          </cell>
          <cell r="X1118">
            <v>5.5000000000000007E-2</v>
          </cell>
          <cell r="Y1118">
            <v>5.5000000000000007E-2</v>
          </cell>
          <cell r="Z1118">
            <v>5.5000000000000007E-2</v>
          </cell>
          <cell r="AA1118">
            <v>5.5000000000000007E-2</v>
          </cell>
          <cell r="AB1118">
            <v>5.5000000000000007E-2</v>
          </cell>
          <cell r="AC1118">
            <v>5.5000000000000007E-2</v>
          </cell>
          <cell r="AD1118">
            <v>5.5000000000000007E-2</v>
          </cell>
          <cell r="AE1118">
            <v>5.5000000000000007E-2</v>
          </cell>
          <cell r="AF1118">
            <v>5.5000000000000007E-2</v>
          </cell>
          <cell r="AG1118">
            <v>5.5000000000000007E-2</v>
          </cell>
          <cell r="AH1118">
            <v>5.5000000000000007E-2</v>
          </cell>
        </row>
        <row r="1119">
          <cell r="B1119" t="str">
            <v>General - Weighted average cost of capital (WACC) - Europe - %</v>
          </cell>
          <cell r="G1119">
            <v>5.5000000000000007E-2</v>
          </cell>
          <cell r="H1119">
            <v>5.5000000000000007E-2</v>
          </cell>
          <cell r="I1119">
            <v>5.5000000000000007E-2</v>
          </cell>
          <cell r="J1119">
            <v>5.5000000000000007E-2</v>
          </cell>
          <cell r="K1119">
            <v>5.5000000000000007E-2</v>
          </cell>
          <cell r="L1119">
            <v>5.5000000000000007E-2</v>
          </cell>
          <cell r="M1119">
            <v>5.5000000000000007E-2</v>
          </cell>
          <cell r="N1119">
            <v>5.5000000000000007E-2</v>
          </cell>
          <cell r="O1119">
            <v>5.5000000000000007E-2</v>
          </cell>
          <cell r="P1119">
            <v>5.5000000000000007E-2</v>
          </cell>
          <cell r="Q1119">
            <v>5.5000000000000007E-2</v>
          </cell>
          <cell r="R1119">
            <v>5.5000000000000007E-2</v>
          </cell>
          <cell r="S1119">
            <v>5.5000000000000007E-2</v>
          </cell>
          <cell r="T1119">
            <v>5.5000000000000007E-2</v>
          </cell>
          <cell r="U1119">
            <v>5.5000000000000007E-2</v>
          </cell>
          <cell r="V1119">
            <v>5.5000000000000007E-2</v>
          </cell>
          <cell r="W1119">
            <v>5.5000000000000007E-2</v>
          </cell>
          <cell r="X1119">
            <v>5.5000000000000007E-2</v>
          </cell>
          <cell r="Y1119">
            <v>5.5000000000000007E-2</v>
          </cell>
          <cell r="Z1119">
            <v>5.5000000000000007E-2</v>
          </cell>
          <cell r="AA1119">
            <v>5.5000000000000007E-2</v>
          </cell>
          <cell r="AB1119">
            <v>5.5000000000000007E-2</v>
          </cell>
          <cell r="AC1119">
            <v>5.5000000000000007E-2</v>
          </cell>
          <cell r="AD1119">
            <v>5.5000000000000007E-2</v>
          </cell>
          <cell r="AE1119">
            <v>5.5000000000000007E-2</v>
          </cell>
          <cell r="AF1119">
            <v>5.5000000000000007E-2</v>
          </cell>
          <cell r="AG1119">
            <v>5.5000000000000007E-2</v>
          </cell>
          <cell r="AH1119">
            <v>5.5000000000000007E-2</v>
          </cell>
        </row>
        <row r="1120">
          <cell r="B1120" t="str">
            <v>General - Weighted average cost of capital (WACC) - Middle East - %</v>
          </cell>
          <cell r="G1120">
            <v>5.5000000000000007E-2</v>
          </cell>
          <cell r="H1120">
            <v>5.5000000000000007E-2</v>
          </cell>
          <cell r="I1120">
            <v>5.5000000000000007E-2</v>
          </cell>
          <cell r="J1120">
            <v>5.5000000000000007E-2</v>
          </cell>
          <cell r="K1120">
            <v>5.5000000000000007E-2</v>
          </cell>
          <cell r="L1120">
            <v>5.5000000000000007E-2</v>
          </cell>
          <cell r="M1120">
            <v>5.5000000000000007E-2</v>
          </cell>
          <cell r="N1120">
            <v>5.5000000000000007E-2</v>
          </cell>
          <cell r="O1120">
            <v>5.5000000000000007E-2</v>
          </cell>
          <cell r="P1120">
            <v>5.5000000000000007E-2</v>
          </cell>
          <cell r="Q1120">
            <v>5.5000000000000007E-2</v>
          </cell>
          <cell r="R1120">
            <v>5.5000000000000007E-2</v>
          </cell>
          <cell r="S1120">
            <v>5.5000000000000007E-2</v>
          </cell>
          <cell r="T1120">
            <v>5.5000000000000007E-2</v>
          </cell>
          <cell r="U1120">
            <v>5.5000000000000007E-2</v>
          </cell>
          <cell r="V1120">
            <v>5.5000000000000007E-2</v>
          </cell>
          <cell r="W1120">
            <v>5.5000000000000007E-2</v>
          </cell>
          <cell r="X1120">
            <v>5.5000000000000007E-2</v>
          </cell>
          <cell r="Y1120">
            <v>5.5000000000000007E-2</v>
          </cell>
          <cell r="Z1120">
            <v>5.5000000000000007E-2</v>
          </cell>
          <cell r="AA1120">
            <v>5.5000000000000007E-2</v>
          </cell>
          <cell r="AB1120">
            <v>5.5000000000000007E-2</v>
          </cell>
          <cell r="AC1120">
            <v>5.5000000000000007E-2</v>
          </cell>
          <cell r="AD1120">
            <v>5.5000000000000007E-2</v>
          </cell>
          <cell r="AE1120">
            <v>5.5000000000000007E-2</v>
          </cell>
          <cell r="AF1120">
            <v>5.5000000000000007E-2</v>
          </cell>
          <cell r="AG1120">
            <v>5.5000000000000007E-2</v>
          </cell>
          <cell r="AH1120">
            <v>5.5000000000000007E-2</v>
          </cell>
        </row>
        <row r="1121">
          <cell r="B1121" t="str">
            <v>Bio-oil (HTL) - Total CAPEX - Global - USD/ton fuel</v>
          </cell>
          <cell r="G1121">
            <v>0</v>
          </cell>
          <cell r="H1121">
            <v>0</v>
          </cell>
          <cell r="I1121">
            <v>0</v>
          </cell>
          <cell r="J1121">
            <v>0</v>
          </cell>
          <cell r="K1121">
            <v>0</v>
          </cell>
          <cell r="L1121">
            <v>0</v>
          </cell>
          <cell r="M1121">
            <v>0</v>
          </cell>
          <cell r="N1121">
            <v>2976.6674579740502</v>
          </cell>
          <cell r="O1121">
            <v>2940.9474484782986</v>
          </cell>
          <cell r="P1121">
            <v>2905.2274389826052</v>
          </cell>
          <cell r="Q1121">
            <v>2869.5074294869119</v>
          </cell>
          <cell r="R1121">
            <v>2833.787419991233</v>
          </cell>
          <cell r="S1121">
            <v>2798.0674104955469</v>
          </cell>
          <cell r="T1121">
            <v>2780.2074057477075</v>
          </cell>
          <cell r="U1121">
            <v>2762.3474009998608</v>
          </cell>
          <cell r="V1121">
            <v>2744.4873962520142</v>
          </cell>
          <cell r="W1121">
            <v>2726.6273915041747</v>
          </cell>
          <cell r="X1121">
            <v>2708.7673867563353</v>
          </cell>
          <cell r="Y1121">
            <v>2690.9073820084886</v>
          </cell>
          <cell r="Z1121">
            <v>2673.0473772606492</v>
          </cell>
          <cell r="AA1121">
            <v>2655.1873725128025</v>
          </cell>
          <cell r="AB1121">
            <v>2637.3273677649559</v>
          </cell>
          <cell r="AC1121">
            <v>2619.4673630171164</v>
          </cell>
          <cell r="AD1121">
            <v>2601.6073582692698</v>
          </cell>
          <cell r="AE1121">
            <v>2583.7473535214303</v>
          </cell>
          <cell r="AF1121">
            <v>2565.8873487735837</v>
          </cell>
          <cell r="AG1121">
            <v>2548.027344025737</v>
          </cell>
          <cell r="AH1121">
            <v>2530.1673392778976</v>
          </cell>
        </row>
        <row r="1122">
          <cell r="B1122" t="str">
            <v/>
          </cell>
        </row>
        <row r="1123">
          <cell r="B1123" t="str">
            <v>Bio-oil (HTL) - Energy cost - Africa - USD/ton fuel</v>
          </cell>
          <cell r="G1123">
            <v>0</v>
          </cell>
          <cell r="H1123">
            <v>0</v>
          </cell>
          <cell r="I1123">
            <v>0</v>
          </cell>
          <cell r="J1123">
            <v>0</v>
          </cell>
          <cell r="K1123">
            <v>0</v>
          </cell>
          <cell r="L1123">
            <v>0</v>
          </cell>
          <cell r="M1123">
            <v>0</v>
          </cell>
          <cell r="N1123">
            <v>28.008812897662576</v>
          </cell>
          <cell r="O1123">
            <v>27.137978077940755</v>
          </cell>
          <cell r="P1123">
            <v>26.268392984923963</v>
          </cell>
          <cell r="Q1123">
            <v>25.400057618611843</v>
          </cell>
          <cell r="R1123">
            <v>24.532971979005112</v>
          </cell>
          <cell r="S1123">
            <v>23.667136066103495</v>
          </cell>
          <cell r="T1123">
            <v>23.250955982451714</v>
          </cell>
          <cell r="U1123">
            <v>22.835364124624419</v>
          </cell>
          <cell r="V1123">
            <v>22.420360492621437</v>
          </cell>
          <cell r="W1123">
            <v>22.005945086442861</v>
          </cell>
          <cell r="X1123">
            <v>21.592117906088863</v>
          </cell>
          <cell r="Y1123">
            <v>21.167647807796744</v>
          </cell>
          <cell r="Z1123">
            <v>20.743782565149747</v>
          </cell>
          <cell r="AA1123">
            <v>20.32052217814768</v>
          </cell>
          <cell r="AB1123">
            <v>19.897866646790909</v>
          </cell>
          <cell r="AC1123">
            <v>19.475815971079165</v>
          </cell>
          <cell r="AD1123">
            <v>19.261595600643414</v>
          </cell>
          <cell r="AE1123">
            <v>19.047672109557293</v>
          </cell>
          <cell r="AF1123">
            <v>18.834045497820629</v>
          </cell>
          <cell r="AG1123">
            <v>18.620715765433513</v>
          </cell>
          <cell r="AH1123">
            <v>18.40768291239602</v>
          </cell>
        </row>
        <row r="1124">
          <cell r="B1124" t="str">
            <v>Bio-oil (HTL) - Energy cost - Americas - USD/ton fuel</v>
          </cell>
          <cell r="G1124">
            <v>0</v>
          </cell>
          <cell r="H1124">
            <v>0</v>
          </cell>
          <cell r="I1124">
            <v>0</v>
          </cell>
          <cell r="J1124">
            <v>0</v>
          </cell>
          <cell r="K1124">
            <v>0</v>
          </cell>
          <cell r="L1124">
            <v>0</v>
          </cell>
          <cell r="M1124">
            <v>0</v>
          </cell>
          <cell r="N1124">
            <v>22.925772598561775</v>
          </cell>
          <cell r="O1124">
            <v>22.416419453849073</v>
          </cell>
          <cell r="P1124">
            <v>21.907790214234101</v>
          </cell>
          <cell r="Q1124">
            <v>21.399884879716854</v>
          </cell>
          <cell r="R1124">
            <v>20.892703450297333</v>
          </cell>
          <cell r="S1124">
            <v>20.386245925975444</v>
          </cell>
          <cell r="T1124">
            <v>19.973440242705291</v>
          </cell>
          <cell r="U1124">
            <v>19.561221374713785</v>
          </cell>
          <cell r="V1124">
            <v>19.14958932200085</v>
          </cell>
          <cell r="W1124">
            <v>18.738544084566659</v>
          </cell>
          <cell r="X1124">
            <v>18.328085662411073</v>
          </cell>
          <cell r="Y1124">
            <v>18.154864896602287</v>
          </cell>
          <cell r="Z1124">
            <v>17.981880539992265</v>
          </cell>
          <cell r="AA1124">
            <v>17.809132592581044</v>
          </cell>
          <cell r="AB1124">
            <v>17.636621054368536</v>
          </cell>
          <cell r="AC1124">
            <v>17.464345925354785</v>
          </cell>
          <cell r="AD1124">
            <v>17.331370319575854</v>
          </cell>
          <cell r="AE1124">
            <v>17.198573067804258</v>
          </cell>
          <cell r="AF1124">
            <v>17.065954170039962</v>
          </cell>
          <cell r="AG1124">
            <v>16.933513626282959</v>
          </cell>
          <cell r="AH1124">
            <v>16.801251436533249</v>
          </cell>
        </row>
        <row r="1125">
          <cell r="B1125" t="str">
            <v>Bio-oil (HTL) - Energy cost - Asia - USD/ton fuel</v>
          </cell>
          <cell r="G1125">
            <v>0</v>
          </cell>
          <cell r="H1125">
            <v>0</v>
          </cell>
          <cell r="I1125">
            <v>0</v>
          </cell>
          <cell r="J1125">
            <v>0</v>
          </cell>
          <cell r="K1125">
            <v>0</v>
          </cell>
          <cell r="L1125">
            <v>0</v>
          </cell>
          <cell r="M1125">
            <v>0</v>
          </cell>
          <cell r="N1125">
            <v>34.527335212509463</v>
          </cell>
          <cell r="O1125">
            <v>33.393219311678408</v>
          </cell>
          <cell r="P1125">
            <v>32.260733073873553</v>
          </cell>
          <cell r="Q1125">
            <v>31.129876499094891</v>
          </cell>
          <cell r="R1125">
            <v>30.000649587341687</v>
          </cell>
          <cell r="S1125">
            <v>28.873052338614315</v>
          </cell>
          <cell r="T1125">
            <v>28.29012168889658</v>
          </cell>
          <cell r="U1125">
            <v>27.708019599344272</v>
          </cell>
          <cell r="V1125">
            <v>27.126746069957587</v>
          </cell>
          <cell r="W1125">
            <v>26.546301100736152</v>
          </cell>
          <cell r="X1125">
            <v>25.966684691680509</v>
          </cell>
          <cell r="Y1125">
            <v>25.361748831872703</v>
          </cell>
          <cell r="Z1125">
            <v>24.757680249278636</v>
          </cell>
          <cell r="AA1125">
            <v>24.154478943897953</v>
          </cell>
          <cell r="AB1125">
            <v>23.552144915731006</v>
          </cell>
          <cell r="AC1125">
            <v>22.950678164777436</v>
          </cell>
          <cell r="AD1125">
            <v>22.666024515208182</v>
          </cell>
          <cell r="AE1125">
            <v>22.381768587473442</v>
          </cell>
          <cell r="AF1125">
            <v>22.09791038157341</v>
          </cell>
          <cell r="AG1125">
            <v>21.814449897507988</v>
          </cell>
          <cell r="AH1125">
            <v>21.531387135277079</v>
          </cell>
        </row>
        <row r="1126">
          <cell r="B1126" t="str">
            <v>Bio-oil (HTL) - Energy cost - Europe - USD/ton fuel</v>
          </cell>
          <cell r="G1126">
            <v>0</v>
          </cell>
          <cell r="H1126">
            <v>0</v>
          </cell>
          <cell r="I1126">
            <v>0</v>
          </cell>
          <cell r="J1126">
            <v>0</v>
          </cell>
          <cell r="K1126">
            <v>0</v>
          </cell>
          <cell r="L1126">
            <v>0</v>
          </cell>
          <cell r="M1126">
            <v>0</v>
          </cell>
          <cell r="N1126">
            <v>28.519294993999274</v>
          </cell>
          <cell r="O1126">
            <v>27.940862927206791</v>
          </cell>
          <cell r="P1126">
            <v>27.363250260665311</v>
          </cell>
          <cell r="Q1126">
            <v>26.786456994374099</v>
          </cell>
          <cell r="R1126">
            <v>26.210483128333337</v>
          </cell>
          <cell r="S1126">
            <v>25.635328662543206</v>
          </cell>
          <cell r="T1126">
            <v>25.284807699794289</v>
          </cell>
          <cell r="U1126">
            <v>24.934775960642973</v>
          </cell>
          <cell r="V1126">
            <v>24.585233445089184</v>
          </cell>
          <cell r="W1126">
            <v>24.23618015313291</v>
          </cell>
          <cell r="X1126">
            <v>23.887616084773974</v>
          </cell>
          <cell r="Y1126">
            <v>23.516472689579896</v>
          </cell>
          <cell r="Z1126">
            <v>23.145852675310945</v>
          </cell>
          <cell r="AA1126">
            <v>22.775756041967284</v>
          </cell>
          <cell r="AB1126">
            <v>22.40618278954874</v>
          </cell>
          <cell r="AC1126">
            <v>22.037132918055491</v>
          </cell>
          <cell r="AD1126">
            <v>21.763824042575106</v>
          </cell>
          <cell r="AE1126">
            <v>21.490897036596305</v>
          </cell>
          <cell r="AF1126">
            <v>21.218351900119281</v>
          </cell>
          <cell r="AG1126">
            <v>20.946188633143937</v>
          </cell>
          <cell r="AH1126">
            <v>20.674407235670177</v>
          </cell>
        </row>
        <row r="1127">
          <cell r="B1127" t="str">
            <v>Bio-oil (HTL) - Energy cost - Middle East - USD/ton fuel</v>
          </cell>
          <cell r="G1127">
            <v>0</v>
          </cell>
          <cell r="H1127">
            <v>0</v>
          </cell>
          <cell r="I1127">
            <v>0</v>
          </cell>
          <cell r="J1127">
            <v>0</v>
          </cell>
          <cell r="K1127">
            <v>0</v>
          </cell>
          <cell r="L1127">
            <v>0</v>
          </cell>
          <cell r="M1127">
            <v>0</v>
          </cell>
          <cell r="N1127">
            <v>22.605707379829585</v>
          </cell>
          <cell r="O1127">
            <v>21.981322994528728</v>
          </cell>
          <cell r="P1127">
            <v>21.3578319334555</v>
          </cell>
          <cell r="Q1127">
            <v>20.735234196609536</v>
          </cell>
          <cell r="R1127">
            <v>20.113529783991197</v>
          </cell>
          <cell r="S1127">
            <v>19.492718695600299</v>
          </cell>
          <cell r="T1127">
            <v>19.174734662129126</v>
          </cell>
          <cell r="U1127">
            <v>18.85719853203226</v>
          </cell>
          <cell r="V1127">
            <v>18.540110305309806</v>
          </cell>
          <cell r="W1127">
            <v>18.223469981961575</v>
          </cell>
          <cell r="X1127">
            <v>17.907277561987655</v>
          </cell>
          <cell r="Y1127">
            <v>17.497336741317316</v>
          </cell>
          <cell r="Z1127">
            <v>17.087983299366162</v>
          </cell>
          <cell r="AA1127">
            <v>16.679217236134008</v>
          </cell>
          <cell r="AB1127">
            <v>16.271038551621039</v>
          </cell>
          <cell r="AC1127">
            <v>15.863447245827025</v>
          </cell>
          <cell r="AD1127">
            <v>15.666690426572224</v>
          </cell>
          <cell r="AE1127">
            <v>15.470208518984192</v>
          </cell>
          <cell r="AF1127">
            <v>15.274001523062848</v>
          </cell>
          <cell r="AG1127">
            <v>15.078069438808232</v>
          </cell>
          <cell r="AH1127">
            <v>14.882412266220385</v>
          </cell>
        </row>
        <row r="1128">
          <cell r="B1128" t="str">
            <v>Renewable electricity - Cost of electricity - Africa - USD/MWh</v>
          </cell>
          <cell r="G1128">
            <v>58.389806930514169</v>
          </cell>
          <cell r="H1128">
            <v>51.533296245659585</v>
          </cell>
          <cell r="I1128">
            <v>44.676785560803182</v>
          </cell>
          <cell r="J1128">
            <v>42.765424685038852</v>
          </cell>
          <cell r="K1128">
            <v>40.854063809274521</v>
          </cell>
          <cell r="L1128">
            <v>38.942702933510191</v>
          </cell>
          <cell r="M1128">
            <v>37.031342057745405</v>
          </cell>
          <cell r="N1128">
            <v>35.119981181981075</v>
          </cell>
          <cell r="O1128">
            <v>34.053057098426962</v>
          </cell>
          <cell r="P1128">
            <v>32.986133014872848</v>
          </cell>
          <cell r="Q1128">
            <v>31.919208931318281</v>
          </cell>
          <cell r="R1128">
            <v>30.852284847764167</v>
          </cell>
          <cell r="S1128">
            <v>29.785360764210168</v>
          </cell>
          <cell r="T1128">
            <v>29.283177129903038</v>
          </cell>
          <cell r="U1128">
            <v>28.780993495596022</v>
          </cell>
          <cell r="V1128">
            <v>28.278809861288892</v>
          </cell>
          <cell r="W1128">
            <v>27.776626226981762</v>
          </cell>
          <cell r="X1128">
            <v>27.274442592674859</v>
          </cell>
          <cell r="Y1128">
            <v>26.758061649346246</v>
          </cell>
          <cell r="Z1128">
            <v>26.241680706017632</v>
          </cell>
          <cell r="AA1128">
            <v>25.725299762688792</v>
          </cell>
          <cell r="AB1128">
            <v>25.208918819360179</v>
          </cell>
          <cell r="AC1128">
            <v>24.692537876031452</v>
          </cell>
          <cell r="AD1128">
            <v>24.439084279606391</v>
          </cell>
          <cell r="AE1128">
            <v>24.185630683181444</v>
          </cell>
          <cell r="AF1128">
            <v>23.932177086756383</v>
          </cell>
          <cell r="AG1128">
            <v>23.678723490331322</v>
          </cell>
          <cell r="AH1128">
            <v>23.425269893906375</v>
          </cell>
        </row>
        <row r="1129">
          <cell r="B1129" t="str">
            <v>Renewable electricity - Cost of electricity - Americas - USD/MWh</v>
          </cell>
          <cell r="G1129">
            <v>36.687184539767031</v>
          </cell>
          <cell r="H1129">
            <v>35.927444151972622</v>
          </cell>
          <cell r="I1129">
            <v>35.167703764177986</v>
          </cell>
          <cell r="J1129">
            <v>33.883444176422017</v>
          </cell>
          <cell r="K1129">
            <v>32.599184588666049</v>
          </cell>
          <cell r="L1129">
            <v>31.31492500091008</v>
          </cell>
          <cell r="M1129">
            <v>30.030665413154566</v>
          </cell>
          <cell r="N1129">
            <v>28.746405825398597</v>
          </cell>
          <cell r="O1129">
            <v>28.128389278370832</v>
          </cell>
          <cell r="P1129">
            <v>27.510372731343068</v>
          </cell>
          <cell r="Q1129">
            <v>26.892356184315304</v>
          </cell>
          <cell r="R1129">
            <v>26.27433963728754</v>
          </cell>
          <cell r="S1129">
            <v>25.656323090259662</v>
          </cell>
          <cell r="T1129">
            <v>25.155343675421591</v>
          </cell>
          <cell r="U1129">
            <v>24.65436426058352</v>
          </cell>
          <cell r="V1129">
            <v>24.153384845745336</v>
          </cell>
          <cell r="W1129">
            <v>23.652405430907265</v>
          </cell>
          <cell r="X1129">
            <v>23.151426016069138</v>
          </cell>
          <cell r="Y1129">
            <v>22.949597354879643</v>
          </cell>
          <cell r="Z1129">
            <v>22.747768693690148</v>
          </cell>
          <cell r="AA1129">
            <v>22.54594003250071</v>
          </cell>
          <cell r="AB1129">
            <v>22.344111371311214</v>
          </cell>
          <cell r="AC1129">
            <v>22.142282710121719</v>
          </cell>
          <cell r="AD1129">
            <v>21.990017270793203</v>
          </cell>
          <cell r="AE1129">
            <v>21.837751831464743</v>
          </cell>
          <cell r="AF1129">
            <v>21.685486392136283</v>
          </cell>
          <cell r="AG1129">
            <v>21.533220952807824</v>
          </cell>
          <cell r="AH1129">
            <v>21.380955513479364</v>
          </cell>
        </row>
        <row r="1130">
          <cell r="B1130" t="str">
            <v>Renewable electricity - Cost of electricity - Asia - USD/MWh</v>
          </cell>
          <cell r="G1130">
            <v>64.941602489809156</v>
          </cell>
          <cell r="H1130">
            <v>59.234907936835953</v>
          </cell>
          <cell r="I1130">
            <v>53.528213383865477</v>
          </cell>
          <cell r="J1130">
            <v>51.481269434223577</v>
          </cell>
          <cell r="K1130">
            <v>49.434325484582587</v>
          </cell>
          <cell r="L1130">
            <v>47.387381534940687</v>
          </cell>
          <cell r="M1130">
            <v>45.340437585298787</v>
          </cell>
          <cell r="N1130">
            <v>43.293493635657796</v>
          </cell>
          <cell r="O1130">
            <v>41.902208066311687</v>
          </cell>
          <cell r="P1130">
            <v>40.510922496966032</v>
          </cell>
          <cell r="Q1130">
            <v>39.119636927620832</v>
          </cell>
          <cell r="R1130">
            <v>37.728351358275177</v>
          </cell>
          <cell r="S1130">
            <v>36.337065788929522</v>
          </cell>
          <cell r="T1130">
            <v>35.629702497725702</v>
          </cell>
          <cell r="U1130">
            <v>34.922339206521883</v>
          </cell>
          <cell r="V1130">
            <v>34.214975915318291</v>
          </cell>
          <cell r="W1130">
            <v>33.507612624114472</v>
          </cell>
          <cell r="X1130">
            <v>32.800249332911108</v>
          </cell>
          <cell r="Y1130">
            <v>32.059832294097532</v>
          </cell>
          <cell r="Z1130">
            <v>31.319415255284184</v>
          </cell>
          <cell r="AA1130">
            <v>30.578998216470609</v>
          </cell>
          <cell r="AB1130">
            <v>29.838581177657261</v>
          </cell>
          <cell r="AC1130">
            <v>29.098164138843686</v>
          </cell>
          <cell r="AD1130">
            <v>28.758618698873192</v>
          </cell>
          <cell r="AE1130">
            <v>28.419073258902586</v>
          </cell>
          <cell r="AF1130">
            <v>28.079527818932092</v>
          </cell>
          <cell r="AG1130">
            <v>27.739982378961599</v>
          </cell>
          <cell r="AH1130">
            <v>27.400436938990993</v>
          </cell>
        </row>
        <row r="1131">
          <cell r="B1131" t="str">
            <v>Renewable electricity - Cost of electricity - Europe - USD/MWh</v>
          </cell>
          <cell r="G1131">
            <v>48.345505357757247</v>
          </cell>
          <cell r="H1131">
            <v>46.261834393182653</v>
          </cell>
          <cell r="I1131">
            <v>44.178163428608059</v>
          </cell>
          <cell r="J1131">
            <v>42.49454469772445</v>
          </cell>
          <cell r="K1131">
            <v>40.810925966840387</v>
          </cell>
          <cell r="L1131">
            <v>39.127307235956778</v>
          </cell>
          <cell r="M1131">
            <v>37.443688505072714</v>
          </cell>
          <cell r="N1131">
            <v>35.760069774189105</v>
          </cell>
          <cell r="O1131">
            <v>35.060526539849434</v>
          </cell>
          <cell r="P1131">
            <v>34.360983305510445</v>
          </cell>
          <cell r="Q1131">
            <v>33.661440071171228</v>
          </cell>
          <cell r="R1131">
            <v>32.961896836832011</v>
          </cell>
          <cell r="S1131">
            <v>32.262353602493022</v>
          </cell>
          <cell r="T1131">
            <v>31.844690735616723</v>
          </cell>
          <cell r="U1131">
            <v>31.427027868740538</v>
          </cell>
          <cell r="V1131">
            <v>31.009365001864353</v>
          </cell>
          <cell r="W1131">
            <v>30.591702134988168</v>
          </cell>
          <cell r="X1131">
            <v>30.174039268111756</v>
          </cell>
          <cell r="Y1131">
            <v>29.72721540516045</v>
          </cell>
          <cell r="Z1131">
            <v>29.280391542209031</v>
          </cell>
          <cell r="AA1131">
            <v>28.833567679257726</v>
          </cell>
          <cell r="AB1131">
            <v>28.386743816306307</v>
          </cell>
          <cell r="AC1131">
            <v>27.939919953355002</v>
          </cell>
          <cell r="AD1131">
            <v>27.613908060931863</v>
          </cell>
          <cell r="AE1131">
            <v>27.28789616850861</v>
          </cell>
          <cell r="AF1131">
            <v>26.96188427608547</v>
          </cell>
          <cell r="AG1131">
            <v>26.635872383662331</v>
          </cell>
          <cell r="AH1131">
            <v>26.309860491239078</v>
          </cell>
        </row>
        <row r="1132">
          <cell r="B1132" t="str">
            <v>Renewable electricity - Cost of electricity - Middle East - USD/MWh</v>
          </cell>
          <cell r="G1132">
            <v>37.020316673163961</v>
          </cell>
          <cell r="H1132">
            <v>35.386702900434102</v>
          </cell>
          <cell r="I1132">
            <v>33.753089127703788</v>
          </cell>
          <cell r="J1132">
            <v>32.671487127187447</v>
          </cell>
          <cell r="K1132">
            <v>31.589885126671106</v>
          </cell>
          <cell r="L1132">
            <v>30.508283126154765</v>
          </cell>
          <cell r="M1132">
            <v>29.426681125638424</v>
          </cell>
          <cell r="N1132">
            <v>28.345079125122083</v>
          </cell>
          <cell r="O1132">
            <v>27.58242507536329</v>
          </cell>
          <cell r="P1132">
            <v>26.819771025604723</v>
          </cell>
          <cell r="Q1132">
            <v>26.057116975845929</v>
          </cell>
          <cell r="R1132">
            <v>25.294462926087363</v>
          </cell>
          <cell r="S1132">
            <v>24.531808876328796</v>
          </cell>
          <cell r="T1132">
            <v>24.149422155106208</v>
          </cell>
          <cell r="U1132">
            <v>23.76703543388362</v>
          </cell>
          <cell r="V1132">
            <v>23.384648712661146</v>
          </cell>
          <cell r="W1132">
            <v>23.002261991438559</v>
          </cell>
          <cell r="X1132">
            <v>22.619875270215971</v>
          </cell>
          <cell r="Y1132">
            <v>22.118414831670066</v>
          </cell>
          <cell r="Z1132">
            <v>21.616954393124274</v>
          </cell>
          <cell r="AA1132">
            <v>21.115493954578369</v>
          </cell>
          <cell r="AB1132">
            <v>20.614033516032578</v>
          </cell>
          <cell r="AC1132">
            <v>20.112573077486616</v>
          </cell>
          <cell r="AD1132">
            <v>19.877873861328055</v>
          </cell>
          <cell r="AE1132">
            <v>19.643174645169552</v>
          </cell>
          <cell r="AF1132">
            <v>19.408475429010991</v>
          </cell>
          <cell r="AG1132">
            <v>19.173776212852431</v>
          </cell>
          <cell r="AH1132">
            <v>18.939076996693927</v>
          </cell>
        </row>
        <row r="1133">
          <cell r="B1133" t="str">
            <v>Bio-oil (HTL) - Energy demand - Global - MWh/ton fuel</v>
          </cell>
          <cell r="G1133">
            <v>0</v>
          </cell>
          <cell r="H1133">
            <v>0</v>
          </cell>
          <cell r="I1133">
            <v>0</v>
          </cell>
          <cell r="J1133">
            <v>0</v>
          </cell>
          <cell r="K1133">
            <v>0</v>
          </cell>
          <cell r="L1133">
            <v>0</v>
          </cell>
          <cell r="M1133">
            <v>0</v>
          </cell>
          <cell r="N1133">
            <v>0.79751787885447367</v>
          </cell>
          <cell r="O1133">
            <v>0.79693221079978627</v>
          </cell>
          <cell r="P1133">
            <v>0.79634654274509908</v>
          </cell>
          <cell r="Q1133">
            <v>0.7957608746904119</v>
          </cell>
          <cell r="R1133">
            <v>0.79517520663572472</v>
          </cell>
          <cell r="S1133">
            <v>0.79458953858103754</v>
          </cell>
          <cell r="T1133">
            <v>0.79400387052635035</v>
          </cell>
          <cell r="U1133">
            <v>0.79341820247166295</v>
          </cell>
          <cell r="V1133">
            <v>0.79283253441697576</v>
          </cell>
          <cell r="W1133">
            <v>0.79224686636228858</v>
          </cell>
          <cell r="X1133">
            <v>0.7916611983076014</v>
          </cell>
          <cell r="Y1133">
            <v>0.79107553025291399</v>
          </cell>
          <cell r="Z1133">
            <v>0.79048986219822681</v>
          </cell>
          <cell r="AA1133">
            <v>0.78990419414353963</v>
          </cell>
          <cell r="AB1133">
            <v>0.78931852608885245</v>
          </cell>
          <cell r="AC1133">
            <v>0.78873285803416526</v>
          </cell>
          <cell r="AD1133">
            <v>0.78814718997947808</v>
          </cell>
          <cell r="AE1133">
            <v>0.78756152192479068</v>
          </cell>
          <cell r="AF1133">
            <v>0.78697585387010349</v>
          </cell>
          <cell r="AG1133">
            <v>0.78639018581541631</v>
          </cell>
          <cell r="AH1133">
            <v>0.7858045177607289</v>
          </cell>
        </row>
        <row r="1134">
          <cell r="B1134" t="str">
            <v/>
          </cell>
        </row>
        <row r="1135">
          <cell r="B1135" t="str">
            <v>Bio-oil (HTL) - Feedstock cost - Africa - USD/ton fuel</v>
          </cell>
          <cell r="G1135">
            <v>0</v>
          </cell>
          <cell r="H1135">
            <v>0</v>
          </cell>
          <cell r="I1135">
            <v>0</v>
          </cell>
          <cell r="J1135">
            <v>0</v>
          </cell>
          <cell r="K1135">
            <v>0</v>
          </cell>
          <cell r="L1135">
            <v>0</v>
          </cell>
          <cell r="M1135">
            <v>0</v>
          </cell>
          <cell r="N1135">
            <v>481.0478339968264</v>
          </cell>
          <cell r="O1135">
            <v>478.734266668842</v>
          </cell>
          <cell r="P1135">
            <v>475.94716315966485</v>
          </cell>
          <cell r="Q1135">
            <v>472.6899836965722</v>
          </cell>
          <cell r="R1135">
            <v>468.96618850684553</v>
          </cell>
          <cell r="S1135">
            <v>464.77923781777139</v>
          </cell>
          <cell r="T1135">
            <v>462.0333819863697</v>
          </cell>
          <cell r="U1135">
            <v>458.96182802689265</v>
          </cell>
          <cell r="V1135">
            <v>455.56570502465507</v>
          </cell>
          <cell r="W1135">
            <v>451.84614206495809</v>
          </cell>
          <cell r="X1135">
            <v>447.80426823311319</v>
          </cell>
          <cell r="Y1135">
            <v>443.61933482091933</v>
          </cell>
          <cell r="Z1135">
            <v>439.28316435854009</v>
          </cell>
          <cell r="AA1135">
            <v>434.79509658732508</v>
          </cell>
          <cell r="AB1135">
            <v>430.15447124861703</v>
          </cell>
          <cell r="AC1135">
            <v>425.36062808376283</v>
          </cell>
          <cell r="AD1135">
            <v>421.82913681927812</v>
          </cell>
          <cell r="AE1135">
            <v>418.22183187517879</v>
          </cell>
          <cell r="AF1135">
            <v>414.53829719194601</v>
          </cell>
          <cell r="AG1135">
            <v>410.77811671006248</v>
          </cell>
          <cell r="AH1135">
            <v>406.94087437001093</v>
          </cell>
        </row>
        <row r="1136">
          <cell r="B1136" t="str">
            <v>Bio-oil (HTL) - Feedstock cost - Americas - USD/ton fuel</v>
          </cell>
          <cell r="G1136">
            <v>0</v>
          </cell>
          <cell r="H1136">
            <v>0</v>
          </cell>
          <cell r="I1136">
            <v>0</v>
          </cell>
          <cell r="J1136">
            <v>0</v>
          </cell>
          <cell r="K1136">
            <v>0</v>
          </cell>
          <cell r="L1136">
            <v>0</v>
          </cell>
          <cell r="M1136">
            <v>0</v>
          </cell>
          <cell r="N1136">
            <v>425.19623524506272</v>
          </cell>
          <cell r="O1136">
            <v>424.0729923097316</v>
          </cell>
          <cell r="P1136">
            <v>422.46270488786644</v>
          </cell>
          <cell r="Q1136">
            <v>420.36737731862132</v>
          </cell>
          <cell r="R1136">
            <v>417.78901394114814</v>
          </cell>
          <cell r="S1136">
            <v>414.72961909460707</v>
          </cell>
          <cell r="T1136">
            <v>411.88301425237671</v>
          </cell>
          <cell r="U1136">
            <v>408.71373875591348</v>
          </cell>
          <cell r="V1136">
            <v>405.22291898302399</v>
          </cell>
          <cell r="W1136">
            <v>401.41168131150141</v>
          </cell>
          <cell r="X1136">
            <v>397.28115211914752</v>
          </cell>
          <cell r="Y1136">
            <v>394.20952159843631</v>
          </cell>
          <cell r="Z1136">
            <v>390.96068918257129</v>
          </cell>
          <cell r="AA1136">
            <v>387.53439680796663</v>
          </cell>
          <cell r="AB1136">
            <v>383.93038641102754</v>
          </cell>
          <cell r="AC1136">
            <v>380.14839992816593</v>
          </cell>
          <cell r="AD1136">
            <v>376.76780839583563</v>
          </cell>
          <cell r="AE1136">
            <v>373.30383047849568</v>
          </cell>
          <cell r="AF1136">
            <v>369.75621622315202</v>
          </cell>
          <cell r="AG1136">
            <v>366.12471567681075</v>
          </cell>
          <cell r="AH1136">
            <v>362.40907888647797</v>
          </cell>
        </row>
        <row r="1137">
          <cell r="B1137" t="str">
            <v>Bio-oil (HTL) - Feedstock cost - Asia - USD/ton fuel</v>
          </cell>
          <cell r="G1137">
            <v>0</v>
          </cell>
          <cell r="H1137">
            <v>0</v>
          </cell>
          <cell r="I1137">
            <v>0</v>
          </cell>
          <cell r="J1137">
            <v>0</v>
          </cell>
          <cell r="K1137">
            <v>0</v>
          </cell>
          <cell r="L1137">
            <v>0</v>
          </cell>
          <cell r="M1137">
            <v>0</v>
          </cell>
          <cell r="N1137">
            <v>455.24560940504801</v>
          </cell>
          <cell r="O1137">
            <v>451.46559190422693</v>
          </cell>
          <cell r="P1137">
            <v>447.21794126895747</v>
          </cell>
          <cell r="Q1137">
            <v>442.50716968933398</v>
          </cell>
          <cell r="R1137">
            <v>437.33778935544603</v>
          </cell>
          <cell r="S1137">
            <v>431.71431245739808</v>
          </cell>
          <cell r="T1137">
            <v>428.13769614575722</v>
          </cell>
          <cell r="U1137">
            <v>424.24189329255654</v>
          </cell>
          <cell r="V1137">
            <v>420.02849429909509</v>
          </cell>
          <cell r="W1137">
            <v>415.49908956665286</v>
          </cell>
          <cell r="X1137">
            <v>410.65526949652502</v>
          </cell>
          <cell r="Y1137">
            <v>405.36024879671123</v>
          </cell>
          <cell r="Z1137">
            <v>399.93358775297122</v>
          </cell>
          <cell r="AA1137">
            <v>394.37433964803745</v>
          </cell>
          <cell r="AB1137">
            <v>388.68155776463504</v>
          </cell>
          <cell r="AC1137">
            <v>382.85429538549363</v>
          </cell>
          <cell r="AD1137">
            <v>378.94082019762084</v>
          </cell>
          <cell r="AE1137">
            <v>374.95919768493553</v>
          </cell>
          <cell r="AF1137">
            <v>370.90887046291465</v>
          </cell>
          <cell r="AG1137">
            <v>366.78928114703479</v>
          </cell>
          <cell r="AH1137">
            <v>362.59987235277254</v>
          </cell>
        </row>
        <row r="1138">
          <cell r="B1138" t="str">
            <v>Bio-oil (HTL) - Feedstock cost - Europe - USD/ton fuel</v>
          </cell>
          <cell r="G1138">
            <v>0</v>
          </cell>
          <cell r="H1138">
            <v>0</v>
          </cell>
          <cell r="I1138">
            <v>0</v>
          </cell>
          <cell r="J1138">
            <v>0</v>
          </cell>
          <cell r="K1138">
            <v>0</v>
          </cell>
          <cell r="L1138">
            <v>0</v>
          </cell>
          <cell r="M1138">
            <v>0</v>
          </cell>
          <cell r="N1138">
            <v>460.45590722009916</v>
          </cell>
          <cell r="O1138">
            <v>459.12757394112066</v>
          </cell>
          <cell r="P1138">
            <v>457.30831858577329</v>
          </cell>
          <cell r="Q1138">
            <v>455.00040989896235</v>
          </cell>
          <cell r="R1138">
            <v>452.2061166255948</v>
          </cell>
          <cell r="S1138">
            <v>448.92770751058737</v>
          </cell>
          <cell r="T1138">
            <v>446.16747267457447</v>
          </cell>
          <cell r="U1138">
            <v>443.07497829745427</v>
          </cell>
          <cell r="V1138">
            <v>439.65116343215152</v>
          </cell>
          <cell r="W1138">
            <v>435.89696713157514</v>
          </cell>
          <cell r="X1138">
            <v>431.81332844864443</v>
          </cell>
          <cell r="Y1138">
            <v>427.72629833946576</v>
          </cell>
          <cell r="Z1138">
            <v>423.48391398229762</v>
          </cell>
          <cell r="AA1138">
            <v>419.08560405605732</v>
          </cell>
          <cell r="AB1138">
            <v>414.53079723965135</v>
          </cell>
          <cell r="AC1138">
            <v>409.81892221199467</v>
          </cell>
          <cell r="AD1138">
            <v>405.97996364206551</v>
          </cell>
          <cell r="AE1138">
            <v>402.07139778797369</v>
          </cell>
          <cell r="AF1138">
            <v>398.09268948133888</v>
          </cell>
          <cell r="AG1138">
            <v>394.04330355378045</v>
          </cell>
          <cell r="AH1138">
            <v>389.92270483691755</v>
          </cell>
        </row>
        <row r="1139">
          <cell r="B1139" t="str">
            <v>Bio-oil (HTL) - Feedstock cost - Middle East - USD/ton fuel</v>
          </cell>
          <cell r="G1139">
            <v>0</v>
          </cell>
          <cell r="H1139">
            <v>0</v>
          </cell>
          <cell r="I1139">
            <v>0</v>
          </cell>
          <cell r="J1139">
            <v>0</v>
          </cell>
          <cell r="K1139">
            <v>0</v>
          </cell>
          <cell r="L1139">
            <v>0</v>
          </cell>
          <cell r="M1139">
            <v>0</v>
          </cell>
          <cell r="N1139">
            <v>450.91157994005334</v>
          </cell>
          <cell r="O1139">
            <v>449.31848023644221</v>
          </cell>
          <cell r="P1139">
            <v>447.24534228591898</v>
          </cell>
          <cell r="Q1139">
            <v>444.69463951315123</v>
          </cell>
          <cell r="R1139">
            <v>441.66884534280695</v>
          </cell>
          <cell r="S1139">
            <v>438.17043319956065</v>
          </cell>
          <cell r="T1139">
            <v>435.94831099876905</v>
          </cell>
          <cell r="U1139">
            <v>433.39775919518604</v>
          </cell>
          <cell r="V1139">
            <v>430.51963752856233</v>
          </cell>
          <cell r="W1139">
            <v>427.31480573863365</v>
          </cell>
          <cell r="X1139">
            <v>423.78412356514622</v>
          </cell>
          <cell r="Y1139">
            <v>419.60906398030409</v>
          </cell>
          <cell r="Z1139">
            <v>415.27963526196964</v>
          </cell>
          <cell r="AA1139">
            <v>410.79519622925375</v>
          </cell>
          <cell r="AB1139">
            <v>406.15510570126003</v>
          </cell>
          <cell r="AC1139">
            <v>401.35872249709678</v>
          </cell>
          <cell r="AD1139">
            <v>397.80651180733514</v>
          </cell>
          <cell r="AE1139">
            <v>394.17483644120534</v>
          </cell>
          <cell r="AF1139">
            <v>390.46331112564695</v>
          </cell>
          <cell r="AG1139">
            <v>386.67155058760017</v>
          </cell>
          <cell r="AH1139">
            <v>382.799169554005</v>
          </cell>
        </row>
        <row r="1140">
          <cell r="B1140" t="str">
            <v>e-hydrogen (compressed) - Price - Africa - USD/ton</v>
          </cell>
          <cell r="G1140">
            <v>4633.1233423090589</v>
          </cell>
          <cell r="H1140">
            <v>4201.9656446218651</v>
          </cell>
          <cell r="I1140">
            <v>3768.1364126730182</v>
          </cell>
          <cell r="J1140">
            <v>3627.6640614332246</v>
          </cell>
          <cell r="K1140">
            <v>3482.0419503382509</v>
          </cell>
          <cell r="L1140">
            <v>3331.3728662299636</v>
          </cell>
          <cell r="M1140">
            <v>3175.7595959503119</v>
          </cell>
          <cell r="N1140">
            <v>3015.3049263411149</v>
          </cell>
          <cell r="O1140">
            <v>2957.5120355923382</v>
          </cell>
          <cell r="P1140">
            <v>2892.1425659444694</v>
          </cell>
          <cell r="Q1140">
            <v>2819.2518810339607</v>
          </cell>
          <cell r="R1140">
            <v>2738.8953444973072</v>
          </cell>
          <cell r="S1140">
            <v>2651.1283199710874</v>
          </cell>
          <cell r="T1140">
            <v>2589.8814487511354</v>
          </cell>
          <cell r="U1140">
            <v>2523.4234074819769</v>
          </cell>
          <cell r="V1140">
            <v>2451.7722615286521</v>
          </cell>
          <cell r="W1140">
            <v>2374.9460762559747</v>
          </cell>
          <cell r="X1140">
            <v>2292.9629170289318</v>
          </cell>
          <cell r="Y1140">
            <v>2208.6908045163059</v>
          </cell>
          <cell r="Z1140">
            <v>2121.9988992007134</v>
          </cell>
          <cell r="AA1140">
            <v>2032.876636943749</v>
          </cell>
          <cell r="AB1140">
            <v>1941.3134536068953</v>
          </cell>
          <cell r="AC1140">
            <v>1847.2987850517036</v>
          </cell>
          <cell r="AD1140">
            <v>1773.4817469024235</v>
          </cell>
          <cell r="AE1140">
            <v>1698.451689879309</v>
          </cell>
          <cell r="AF1140">
            <v>1622.2019570300602</v>
          </cell>
          <cell r="AG1140">
            <v>1544.7258914023987</v>
          </cell>
          <cell r="AH1140">
            <v>1466.0168360440496</v>
          </cell>
        </row>
        <row r="1141">
          <cell r="B1141" t="str">
            <v>e-hydrogen (compressed) - Price - Americas - USD/ton</v>
          </cell>
          <cell r="G1141">
            <v>3458.2747756282647</v>
          </cell>
          <cell r="H1141">
            <v>3358.1215141660286</v>
          </cell>
          <cell r="I1141">
            <v>3254.6459956552549</v>
          </cell>
          <cell r="J1141">
            <v>3148.9921734049194</v>
          </cell>
          <cell r="K1141">
            <v>3038.2017033305151</v>
          </cell>
          <cell r="L1141">
            <v>2922.3436487831009</v>
          </cell>
          <cell r="M1141">
            <v>2801.4870731138512</v>
          </cell>
          <cell r="N1141">
            <v>2675.701039673685</v>
          </cell>
          <cell r="O1141">
            <v>2643.8786103743646</v>
          </cell>
          <cell r="P1141">
            <v>2604.2634692905026</v>
          </cell>
          <cell r="Q1141">
            <v>2556.8876858485628</v>
          </cell>
          <cell r="R1141">
            <v>2501.7833294749726</v>
          </cell>
          <cell r="S1141">
            <v>2438.9824695962966</v>
          </cell>
          <cell r="T1141">
            <v>2379.5862497865878</v>
          </cell>
          <cell r="U1141">
            <v>2315.0272995091577</v>
          </cell>
          <cell r="V1141">
            <v>2245.3236408089065</v>
          </cell>
          <cell r="W1141">
            <v>2170.4932957305264</v>
          </cell>
          <cell r="X1141">
            <v>2090.5542863188448</v>
          </cell>
          <cell r="Y1141">
            <v>2024.0950200699413</v>
          </cell>
          <cell r="Z1141">
            <v>1954.8005234985762</v>
          </cell>
          <cell r="AA1141">
            <v>1882.6666675873769</v>
          </cell>
          <cell r="AB1141">
            <v>1807.6893233188264</v>
          </cell>
          <cell r="AC1141">
            <v>1729.8643616755162</v>
          </cell>
          <cell r="AD1141">
            <v>1661.9243548242082</v>
          </cell>
          <cell r="AE1141">
            <v>1592.6501658127502</v>
          </cell>
          <cell r="AF1141">
            <v>1522.0377953932327</v>
          </cell>
          <cell r="AG1141">
            <v>1450.083244317753</v>
          </cell>
          <cell r="AH1141">
            <v>1376.7825133384104</v>
          </cell>
        </row>
        <row r="1142">
          <cell r="B1142" t="str">
            <v>e-hydrogen (compressed) - Price - Asia - USD/ton</v>
          </cell>
          <cell r="G1142">
            <v>4987.7978827141424</v>
          </cell>
          <cell r="H1142">
            <v>4618.4094108214867</v>
          </cell>
          <cell r="I1142">
            <v>4246.1135151183844</v>
          </cell>
          <cell r="J1142">
            <v>4097.3824826576747</v>
          </cell>
          <cell r="K1142">
            <v>3943.3770419350276</v>
          </cell>
          <cell r="L1142">
            <v>3784.2072710139482</v>
          </cell>
          <cell r="M1142">
            <v>3619.9832479582124</v>
          </cell>
          <cell r="N1142">
            <v>3450.8150508313697</v>
          </cell>
          <cell r="O1142">
            <v>3373.0215929007072</v>
          </cell>
          <cell r="P1142">
            <v>3287.7460048188714</v>
          </cell>
          <cell r="Q1142">
            <v>3195.0604816273712</v>
          </cell>
          <cell r="R1142">
            <v>3095.0372183676395</v>
          </cell>
          <cell r="S1142">
            <v>2987.7484100813476</v>
          </cell>
          <cell r="T1142">
            <v>2913.2093711775688</v>
          </cell>
          <cell r="U1142">
            <v>2833.5633476088337</v>
          </cell>
          <cell r="V1142">
            <v>2748.8357857959254</v>
          </cell>
          <cell r="W1142">
            <v>2659.0521321593251</v>
          </cell>
          <cell r="X1142">
            <v>2564.2378331197551</v>
          </cell>
          <cell r="Y1142">
            <v>2465.6669595887115</v>
          </cell>
          <cell r="Z1142">
            <v>2364.9898405548524</v>
          </cell>
          <cell r="AA1142">
            <v>2262.1913285418932</v>
          </cell>
          <cell r="AB1142">
            <v>2157.2562760734354</v>
          </cell>
          <cell r="AC1142">
            <v>2050.1695356731543</v>
          </cell>
          <cell r="AD1142">
            <v>1970.240754749665</v>
          </cell>
          <cell r="AE1142">
            <v>1889.2216166291751</v>
          </cell>
          <cell r="AF1142">
            <v>1807.1032031593165</v>
          </cell>
          <cell r="AG1142">
            <v>1723.8765961877139</v>
          </cell>
          <cell r="AH1142">
            <v>1639.532877561993</v>
          </cell>
        </row>
        <row r="1143">
          <cell r="B1143" t="str">
            <v>e-hydrogen (compressed) - Price - Europe - USD/ton</v>
          </cell>
          <cell r="G1143">
            <v>4089.3856734873298</v>
          </cell>
          <cell r="H1143">
            <v>3916.9256406265708</v>
          </cell>
          <cell r="I1143">
            <v>3741.2108175344811</v>
          </cell>
          <cell r="J1143">
            <v>3613.0656692355524</v>
          </cell>
          <cell r="K1143">
            <v>3479.7225571491235</v>
          </cell>
          <cell r="L1143">
            <v>3341.2720208768683</v>
          </cell>
          <cell r="M1143">
            <v>3197.8046000204672</v>
          </cell>
          <cell r="N1143">
            <v>3049.4108341814967</v>
          </cell>
          <cell r="O1143">
            <v>3010.8443238003165</v>
          </cell>
          <cell r="P1143">
            <v>2964.4230601972345</v>
          </cell>
          <cell r="Q1143">
            <v>2910.1833432907338</v>
          </cell>
          <cell r="R1143">
            <v>2848.1614729993285</v>
          </cell>
          <cell r="S1143">
            <v>2778.3937492416853</v>
          </cell>
          <cell r="T1143">
            <v>2720.379449531456</v>
          </cell>
          <cell r="U1143">
            <v>2657.0489971635134</v>
          </cell>
          <cell r="V1143">
            <v>2588.4174169846506</v>
          </cell>
          <cell r="W1143">
            <v>2514.4997338414096</v>
          </cell>
          <cell r="X1143">
            <v>2435.3109725804993</v>
          </cell>
          <cell r="Y1143">
            <v>2352.605312916116</v>
          </cell>
          <cell r="Z1143">
            <v>2267.4139852839012</v>
          </cell>
          <cell r="AA1143">
            <v>2179.7278485465313</v>
          </cell>
          <cell r="AB1143">
            <v>2089.5377615665116</v>
          </cell>
          <cell r="AC1143">
            <v>1996.8345832064804</v>
          </cell>
          <cell r="AD1143">
            <v>1918.0980681700892</v>
          </cell>
          <cell r="AE1143">
            <v>1838.2478365870952</v>
          </cell>
          <cell r="AF1143">
            <v>1757.2753257634138</v>
          </cell>
          <cell r="AG1143">
            <v>1675.1719730049533</v>
          </cell>
          <cell r="AH1143">
            <v>1591.929215617622</v>
          </cell>
        </row>
        <row r="1144">
          <cell r="B1144" t="str">
            <v>e-hydrogen (compressed) - Price - Middle East - USD/ton</v>
          </cell>
          <cell r="G1144">
            <v>3476.3085322126099</v>
          </cell>
          <cell r="H1144">
            <v>3328.8823974252828</v>
          </cell>
          <cell r="I1144">
            <v>3178.2568052856477</v>
          </cell>
          <cell r="J1144">
            <v>3083.6768117686811</v>
          </cell>
          <cell r="K1144">
            <v>2983.9346800894909</v>
          </cell>
          <cell r="L1144">
            <v>2879.0885753257426</v>
          </cell>
          <cell r="M1144">
            <v>2769.1966625551941</v>
          </cell>
          <cell r="N1144">
            <v>2654.3171068554188</v>
          </cell>
          <cell r="O1144">
            <v>2614.9769692636173</v>
          </cell>
          <cell r="P1144">
            <v>2567.9562197212276</v>
          </cell>
          <cell r="Q1144">
            <v>2513.2944330229238</v>
          </cell>
          <cell r="R1144">
            <v>2451.0311839633964</v>
          </cell>
          <cell r="S1144">
            <v>2381.2060473374368</v>
          </cell>
          <cell r="T1144">
            <v>2328.338914207246</v>
          </cell>
          <cell r="U1144">
            <v>2270.2169074323938</v>
          </cell>
          <cell r="V1144">
            <v>2206.8537828488898</v>
          </cell>
          <cell r="W1144">
            <v>2138.2632962925059</v>
          </cell>
          <cell r="X1144">
            <v>2064.4592035991823</v>
          </cell>
          <cell r="Y1144">
            <v>1983.8077079076854</v>
          </cell>
          <cell r="Z1144">
            <v>1900.6863060803155</v>
          </cell>
          <cell r="AA1144">
            <v>1815.084739222842</v>
          </cell>
          <cell r="AB1144">
            <v>1726.9927484409238</v>
          </cell>
          <cell r="AC1144">
            <v>1636.4000748402937</v>
          </cell>
          <cell r="AD1144">
            <v>1565.7141614700843</v>
          </cell>
          <cell r="AE1144">
            <v>1493.7568132779884</v>
          </cell>
          <cell r="AF1144">
            <v>1420.5218658950355</v>
          </cell>
          <cell r="AG1144">
            <v>1346.0031549522671</v>
          </cell>
          <cell r="AH1144">
            <v>1270.1945160807259</v>
          </cell>
        </row>
        <row r="1145">
          <cell r="B1145" t="str">
            <v>Wood - Price - Africa - USD/ton</v>
          </cell>
          <cell r="G1145">
            <v>119</v>
          </cell>
          <cell r="H1145">
            <v>120</v>
          </cell>
          <cell r="I1145">
            <v>121</v>
          </cell>
          <cell r="J1145">
            <v>122</v>
          </cell>
          <cell r="K1145">
            <v>123</v>
          </cell>
          <cell r="L1145">
            <v>124</v>
          </cell>
          <cell r="M1145">
            <v>125</v>
          </cell>
          <cell r="N1145">
            <v>126</v>
          </cell>
          <cell r="O1145">
            <v>127.19999999999982</v>
          </cell>
          <cell r="P1145">
            <v>128.40000000000009</v>
          </cell>
          <cell r="Q1145">
            <v>129.59999999999991</v>
          </cell>
          <cell r="R1145">
            <v>130.79999999999973</v>
          </cell>
          <cell r="S1145">
            <v>132</v>
          </cell>
          <cell r="T1145">
            <v>133</v>
          </cell>
          <cell r="U1145">
            <v>134</v>
          </cell>
          <cell r="V1145">
            <v>135</v>
          </cell>
          <cell r="W1145">
            <v>136</v>
          </cell>
          <cell r="X1145">
            <v>137</v>
          </cell>
          <cell r="Y1145">
            <v>138</v>
          </cell>
          <cell r="Z1145">
            <v>139</v>
          </cell>
          <cell r="AA1145">
            <v>140</v>
          </cell>
          <cell r="AB1145">
            <v>141</v>
          </cell>
          <cell r="AC1145">
            <v>142</v>
          </cell>
          <cell r="AD1145">
            <v>143</v>
          </cell>
          <cell r="AE1145">
            <v>144</v>
          </cell>
          <cell r="AF1145">
            <v>145</v>
          </cell>
          <cell r="AG1145">
            <v>146</v>
          </cell>
          <cell r="AH1145">
            <v>147</v>
          </cell>
        </row>
        <row r="1146">
          <cell r="B1146" t="str">
            <v>Wood - Price - Americas - USD/ton</v>
          </cell>
          <cell r="G1146">
            <v>87.400000000000091</v>
          </cell>
          <cell r="H1146">
            <v>88.200000000000045</v>
          </cell>
          <cell r="I1146">
            <v>89</v>
          </cell>
          <cell r="J1146">
            <v>90</v>
          </cell>
          <cell r="K1146">
            <v>91</v>
          </cell>
          <cell r="L1146">
            <v>92</v>
          </cell>
          <cell r="M1146">
            <v>93</v>
          </cell>
          <cell r="N1146">
            <v>94</v>
          </cell>
          <cell r="O1146">
            <v>94.800000000000182</v>
          </cell>
          <cell r="P1146">
            <v>95.600000000000136</v>
          </cell>
          <cell r="Q1146">
            <v>96.400000000000091</v>
          </cell>
          <cell r="R1146">
            <v>97.200000000000045</v>
          </cell>
          <cell r="S1146">
            <v>98</v>
          </cell>
          <cell r="T1146">
            <v>98.800000000000182</v>
          </cell>
          <cell r="U1146">
            <v>99.600000000000136</v>
          </cell>
          <cell r="V1146">
            <v>100.40000000000009</v>
          </cell>
          <cell r="W1146">
            <v>101.20000000000005</v>
          </cell>
          <cell r="X1146">
            <v>102</v>
          </cell>
          <cell r="Y1146">
            <v>103</v>
          </cell>
          <cell r="Z1146">
            <v>104</v>
          </cell>
          <cell r="AA1146">
            <v>105</v>
          </cell>
          <cell r="AB1146">
            <v>106</v>
          </cell>
          <cell r="AC1146">
            <v>107</v>
          </cell>
          <cell r="AD1146">
            <v>107.80000000000018</v>
          </cell>
          <cell r="AE1146">
            <v>108.60000000000014</v>
          </cell>
          <cell r="AF1146">
            <v>109.40000000000009</v>
          </cell>
          <cell r="AG1146">
            <v>110.20000000000005</v>
          </cell>
          <cell r="AH1146">
            <v>111</v>
          </cell>
        </row>
        <row r="1147">
          <cell r="B1147" t="str">
            <v>Wood - Price - Asia - USD/ton</v>
          </cell>
          <cell r="G1147">
            <v>71</v>
          </cell>
          <cell r="H1147">
            <v>72</v>
          </cell>
          <cell r="I1147">
            <v>73</v>
          </cell>
          <cell r="J1147">
            <v>73.800000000000182</v>
          </cell>
          <cell r="K1147">
            <v>74.600000000000136</v>
          </cell>
          <cell r="L1147">
            <v>75.400000000000091</v>
          </cell>
          <cell r="M1147">
            <v>76.200000000000045</v>
          </cell>
          <cell r="N1147">
            <v>77</v>
          </cell>
          <cell r="O1147">
            <v>78</v>
          </cell>
          <cell r="P1147">
            <v>79</v>
          </cell>
          <cell r="Q1147">
            <v>80</v>
          </cell>
          <cell r="R1147">
            <v>81</v>
          </cell>
          <cell r="S1147">
            <v>82</v>
          </cell>
          <cell r="T1147">
            <v>83</v>
          </cell>
          <cell r="U1147">
            <v>84</v>
          </cell>
          <cell r="V1147">
            <v>85</v>
          </cell>
          <cell r="W1147">
            <v>86</v>
          </cell>
          <cell r="X1147">
            <v>87</v>
          </cell>
          <cell r="Y1147">
            <v>87.800000000000182</v>
          </cell>
          <cell r="Z1147">
            <v>88.600000000000136</v>
          </cell>
          <cell r="AA1147">
            <v>89.400000000000091</v>
          </cell>
          <cell r="AB1147">
            <v>90.200000000000045</v>
          </cell>
          <cell r="AC1147">
            <v>91</v>
          </cell>
          <cell r="AD1147">
            <v>92</v>
          </cell>
          <cell r="AE1147">
            <v>93</v>
          </cell>
          <cell r="AF1147">
            <v>94</v>
          </cell>
          <cell r="AG1147">
            <v>95</v>
          </cell>
          <cell r="AH1147">
            <v>96</v>
          </cell>
        </row>
        <row r="1148">
          <cell r="B1148" t="str">
            <v>Wood - Price - Europe - USD/ton</v>
          </cell>
          <cell r="G1148">
            <v>98</v>
          </cell>
          <cell r="H1148">
            <v>99</v>
          </cell>
          <cell r="I1148">
            <v>100</v>
          </cell>
          <cell r="J1148">
            <v>101</v>
          </cell>
          <cell r="K1148">
            <v>102</v>
          </cell>
          <cell r="L1148">
            <v>103</v>
          </cell>
          <cell r="M1148">
            <v>104</v>
          </cell>
          <cell r="N1148">
            <v>105</v>
          </cell>
          <cell r="O1148">
            <v>106</v>
          </cell>
          <cell r="P1148">
            <v>107</v>
          </cell>
          <cell r="Q1148">
            <v>108</v>
          </cell>
          <cell r="R1148">
            <v>109</v>
          </cell>
          <cell r="S1148">
            <v>110</v>
          </cell>
          <cell r="T1148">
            <v>110.80000000000018</v>
          </cell>
          <cell r="U1148">
            <v>111.60000000000014</v>
          </cell>
          <cell r="V1148">
            <v>112.40000000000009</v>
          </cell>
          <cell r="W1148">
            <v>113.20000000000005</v>
          </cell>
          <cell r="X1148">
            <v>114</v>
          </cell>
          <cell r="Y1148">
            <v>115</v>
          </cell>
          <cell r="Z1148">
            <v>116</v>
          </cell>
          <cell r="AA1148">
            <v>117</v>
          </cell>
          <cell r="AB1148">
            <v>118</v>
          </cell>
          <cell r="AC1148">
            <v>119</v>
          </cell>
          <cell r="AD1148">
            <v>120</v>
          </cell>
          <cell r="AE1148">
            <v>121</v>
          </cell>
          <cell r="AF1148">
            <v>122</v>
          </cell>
          <cell r="AG1148">
            <v>123</v>
          </cell>
          <cell r="AH1148">
            <v>124</v>
          </cell>
        </row>
        <row r="1149">
          <cell r="B1149" t="str">
            <v>Wood - Price - Middle East - USD/ton</v>
          </cell>
          <cell r="G1149">
            <v>113.40000000000009</v>
          </cell>
          <cell r="H1149">
            <v>114.20000000000005</v>
          </cell>
          <cell r="I1149">
            <v>115</v>
          </cell>
          <cell r="J1149">
            <v>115.80000000000018</v>
          </cell>
          <cell r="K1149">
            <v>116.60000000000014</v>
          </cell>
          <cell r="L1149">
            <v>117.40000000000009</v>
          </cell>
          <cell r="M1149">
            <v>118.20000000000005</v>
          </cell>
          <cell r="N1149">
            <v>119</v>
          </cell>
          <cell r="O1149">
            <v>119.80000000000018</v>
          </cell>
          <cell r="P1149">
            <v>120.60000000000014</v>
          </cell>
          <cell r="Q1149">
            <v>121.40000000000009</v>
          </cell>
          <cell r="R1149">
            <v>122.20000000000005</v>
          </cell>
          <cell r="S1149">
            <v>123</v>
          </cell>
          <cell r="T1149">
            <v>124</v>
          </cell>
          <cell r="U1149">
            <v>125</v>
          </cell>
          <cell r="V1149">
            <v>126</v>
          </cell>
          <cell r="W1149">
            <v>127</v>
          </cell>
          <cell r="X1149">
            <v>128</v>
          </cell>
          <cell r="Y1149">
            <v>128.80000000000018</v>
          </cell>
          <cell r="Z1149">
            <v>129.60000000000014</v>
          </cell>
          <cell r="AA1149">
            <v>130.40000000000009</v>
          </cell>
          <cell r="AB1149">
            <v>131.20000000000005</v>
          </cell>
          <cell r="AC1149">
            <v>132</v>
          </cell>
          <cell r="AD1149">
            <v>132.80000000000018</v>
          </cell>
          <cell r="AE1149">
            <v>133.60000000000014</v>
          </cell>
          <cell r="AF1149">
            <v>134.40000000000009</v>
          </cell>
          <cell r="AG1149">
            <v>135.20000000000005</v>
          </cell>
          <cell r="AH1149">
            <v>136</v>
          </cell>
        </row>
        <row r="1150">
          <cell r="B1150" t="str">
            <v>Waste - Price - Africa - USD/ton</v>
          </cell>
          <cell r="G1150">
            <v>50</v>
          </cell>
          <cell r="H1150">
            <v>50</v>
          </cell>
          <cell r="I1150">
            <v>50</v>
          </cell>
          <cell r="J1150">
            <v>50</v>
          </cell>
          <cell r="K1150">
            <v>50</v>
          </cell>
          <cell r="L1150">
            <v>50</v>
          </cell>
          <cell r="M1150">
            <v>50</v>
          </cell>
          <cell r="N1150">
            <v>50</v>
          </cell>
          <cell r="O1150">
            <v>50</v>
          </cell>
          <cell r="P1150">
            <v>50</v>
          </cell>
          <cell r="Q1150">
            <v>50</v>
          </cell>
          <cell r="R1150">
            <v>50</v>
          </cell>
          <cell r="S1150">
            <v>50</v>
          </cell>
          <cell r="T1150">
            <v>50</v>
          </cell>
          <cell r="U1150">
            <v>50</v>
          </cell>
          <cell r="V1150">
            <v>50</v>
          </cell>
          <cell r="W1150">
            <v>50</v>
          </cell>
          <cell r="X1150">
            <v>50</v>
          </cell>
          <cell r="Y1150">
            <v>50</v>
          </cell>
          <cell r="Z1150">
            <v>50</v>
          </cell>
          <cell r="AA1150">
            <v>50</v>
          </cell>
          <cell r="AB1150">
            <v>50</v>
          </cell>
          <cell r="AC1150">
            <v>50</v>
          </cell>
          <cell r="AD1150">
            <v>50</v>
          </cell>
          <cell r="AE1150">
            <v>50</v>
          </cell>
          <cell r="AF1150">
            <v>50</v>
          </cell>
          <cell r="AG1150">
            <v>50</v>
          </cell>
          <cell r="AH1150">
            <v>50</v>
          </cell>
        </row>
        <row r="1151">
          <cell r="B1151" t="str">
            <v>Waste - Price - Americas - USD/ton</v>
          </cell>
          <cell r="G1151">
            <v>50</v>
          </cell>
          <cell r="H1151">
            <v>50</v>
          </cell>
          <cell r="I1151">
            <v>50</v>
          </cell>
          <cell r="J1151">
            <v>50</v>
          </cell>
          <cell r="K1151">
            <v>50</v>
          </cell>
          <cell r="L1151">
            <v>50</v>
          </cell>
          <cell r="M1151">
            <v>50</v>
          </cell>
          <cell r="N1151">
            <v>50</v>
          </cell>
          <cell r="O1151">
            <v>50</v>
          </cell>
          <cell r="P1151">
            <v>50</v>
          </cell>
          <cell r="Q1151">
            <v>50</v>
          </cell>
          <cell r="R1151">
            <v>50</v>
          </cell>
          <cell r="S1151">
            <v>50</v>
          </cell>
          <cell r="T1151">
            <v>50</v>
          </cell>
          <cell r="U1151">
            <v>50</v>
          </cell>
          <cell r="V1151">
            <v>50</v>
          </cell>
          <cell r="W1151">
            <v>50</v>
          </cell>
          <cell r="X1151">
            <v>50</v>
          </cell>
          <cell r="Y1151">
            <v>50</v>
          </cell>
          <cell r="Z1151">
            <v>50</v>
          </cell>
          <cell r="AA1151">
            <v>50</v>
          </cell>
          <cell r="AB1151">
            <v>50</v>
          </cell>
          <cell r="AC1151">
            <v>50</v>
          </cell>
          <cell r="AD1151">
            <v>50</v>
          </cell>
          <cell r="AE1151">
            <v>50</v>
          </cell>
          <cell r="AF1151">
            <v>50</v>
          </cell>
          <cell r="AG1151">
            <v>50</v>
          </cell>
          <cell r="AH1151">
            <v>50</v>
          </cell>
        </row>
        <row r="1152">
          <cell r="B1152" t="str">
            <v>Waste - Price - Asia - USD/ton</v>
          </cell>
          <cell r="G1152">
            <v>50</v>
          </cell>
          <cell r="H1152">
            <v>50</v>
          </cell>
          <cell r="I1152">
            <v>50</v>
          </cell>
          <cell r="J1152">
            <v>50</v>
          </cell>
          <cell r="K1152">
            <v>50</v>
          </cell>
          <cell r="L1152">
            <v>50</v>
          </cell>
          <cell r="M1152">
            <v>50</v>
          </cell>
          <cell r="N1152">
            <v>50</v>
          </cell>
          <cell r="O1152">
            <v>50</v>
          </cell>
          <cell r="P1152">
            <v>50</v>
          </cell>
          <cell r="Q1152">
            <v>50</v>
          </cell>
          <cell r="R1152">
            <v>50</v>
          </cell>
          <cell r="S1152">
            <v>50</v>
          </cell>
          <cell r="T1152">
            <v>50</v>
          </cell>
          <cell r="U1152">
            <v>50</v>
          </cell>
          <cell r="V1152">
            <v>50</v>
          </cell>
          <cell r="W1152">
            <v>50</v>
          </cell>
          <cell r="X1152">
            <v>50</v>
          </cell>
          <cell r="Y1152">
            <v>50</v>
          </cell>
          <cell r="Z1152">
            <v>50</v>
          </cell>
          <cell r="AA1152">
            <v>50</v>
          </cell>
          <cell r="AB1152">
            <v>50</v>
          </cell>
          <cell r="AC1152">
            <v>50</v>
          </cell>
          <cell r="AD1152">
            <v>50</v>
          </cell>
          <cell r="AE1152">
            <v>50</v>
          </cell>
          <cell r="AF1152">
            <v>50</v>
          </cell>
          <cell r="AG1152">
            <v>50</v>
          </cell>
          <cell r="AH1152">
            <v>50</v>
          </cell>
        </row>
        <row r="1153">
          <cell r="B1153" t="str">
            <v>Waste - Price - Europe - USD/ton</v>
          </cell>
          <cell r="G1153">
            <v>50</v>
          </cell>
          <cell r="H1153">
            <v>50</v>
          </cell>
          <cell r="I1153">
            <v>50</v>
          </cell>
          <cell r="J1153">
            <v>50</v>
          </cell>
          <cell r="K1153">
            <v>50</v>
          </cell>
          <cell r="L1153">
            <v>50</v>
          </cell>
          <cell r="M1153">
            <v>50</v>
          </cell>
          <cell r="N1153">
            <v>50</v>
          </cell>
          <cell r="O1153">
            <v>50</v>
          </cell>
          <cell r="P1153">
            <v>50</v>
          </cell>
          <cell r="Q1153">
            <v>50</v>
          </cell>
          <cell r="R1153">
            <v>50</v>
          </cell>
          <cell r="S1153">
            <v>50</v>
          </cell>
          <cell r="T1153">
            <v>50</v>
          </cell>
          <cell r="U1153">
            <v>50</v>
          </cell>
          <cell r="V1153">
            <v>50</v>
          </cell>
          <cell r="W1153">
            <v>50</v>
          </cell>
          <cell r="X1153">
            <v>50</v>
          </cell>
          <cell r="Y1153">
            <v>50</v>
          </cell>
          <cell r="Z1153">
            <v>50</v>
          </cell>
          <cell r="AA1153">
            <v>50</v>
          </cell>
          <cell r="AB1153">
            <v>50</v>
          </cell>
          <cell r="AC1153">
            <v>50</v>
          </cell>
          <cell r="AD1153">
            <v>50</v>
          </cell>
          <cell r="AE1153">
            <v>50</v>
          </cell>
          <cell r="AF1153">
            <v>50</v>
          </cell>
          <cell r="AG1153">
            <v>50</v>
          </cell>
          <cell r="AH1153">
            <v>50</v>
          </cell>
        </row>
        <row r="1154">
          <cell r="B1154" t="str">
            <v>Waste - Price - Middle East - USD/ton</v>
          </cell>
          <cell r="G1154">
            <v>50</v>
          </cell>
          <cell r="H1154">
            <v>50</v>
          </cell>
          <cell r="I1154">
            <v>50</v>
          </cell>
          <cell r="J1154">
            <v>50</v>
          </cell>
          <cell r="K1154">
            <v>50</v>
          </cell>
          <cell r="L1154">
            <v>50</v>
          </cell>
          <cell r="M1154">
            <v>50</v>
          </cell>
          <cell r="N1154">
            <v>50</v>
          </cell>
          <cell r="O1154">
            <v>50</v>
          </cell>
          <cell r="P1154">
            <v>50</v>
          </cell>
          <cell r="Q1154">
            <v>50</v>
          </cell>
          <cell r="R1154">
            <v>50</v>
          </cell>
          <cell r="S1154">
            <v>50</v>
          </cell>
          <cell r="T1154">
            <v>50</v>
          </cell>
          <cell r="U1154">
            <v>50</v>
          </cell>
          <cell r="V1154">
            <v>50</v>
          </cell>
          <cell r="W1154">
            <v>50</v>
          </cell>
          <cell r="X1154">
            <v>50</v>
          </cell>
          <cell r="Y1154">
            <v>50</v>
          </cell>
          <cell r="Z1154">
            <v>50</v>
          </cell>
          <cell r="AA1154">
            <v>50</v>
          </cell>
          <cell r="AB1154">
            <v>50</v>
          </cell>
          <cell r="AC1154">
            <v>50</v>
          </cell>
          <cell r="AD1154">
            <v>50</v>
          </cell>
          <cell r="AE1154">
            <v>50</v>
          </cell>
          <cell r="AF1154">
            <v>50</v>
          </cell>
          <cell r="AG1154">
            <v>50</v>
          </cell>
          <cell r="AH1154">
            <v>50</v>
          </cell>
        </row>
        <row r="1155">
          <cell r="B1155" t="str">
            <v>Bio-oil (HTL) - Conversion H2 -&gt; Bio-diesel (HTL) - Global - ton H2/ton diesel</v>
          </cell>
          <cell r="G1155">
            <v>0</v>
          </cell>
          <cell r="H1155">
            <v>0</v>
          </cell>
          <cell r="I1155">
            <v>0</v>
          </cell>
          <cell r="J1155">
            <v>0</v>
          </cell>
          <cell r="K1155">
            <v>0</v>
          </cell>
          <cell r="L1155">
            <v>0</v>
          </cell>
          <cell r="M1155">
            <v>0</v>
          </cell>
          <cell r="N1155">
            <v>6.25E-2</v>
          </cell>
          <cell r="O1155">
            <v>6.25E-2</v>
          </cell>
          <cell r="P1155">
            <v>6.25E-2</v>
          </cell>
          <cell r="Q1155">
            <v>6.25E-2</v>
          </cell>
          <cell r="R1155">
            <v>6.25E-2</v>
          </cell>
          <cell r="S1155">
            <v>6.25E-2</v>
          </cell>
          <cell r="T1155">
            <v>6.25E-2</v>
          </cell>
          <cell r="U1155">
            <v>6.25E-2</v>
          </cell>
          <cell r="V1155">
            <v>6.25E-2</v>
          </cell>
          <cell r="W1155">
            <v>6.25E-2</v>
          </cell>
          <cell r="X1155">
            <v>6.25E-2</v>
          </cell>
          <cell r="Y1155">
            <v>6.25E-2</v>
          </cell>
          <cell r="Z1155">
            <v>6.25E-2</v>
          </cell>
          <cell r="AA1155">
            <v>6.25E-2</v>
          </cell>
          <cell r="AB1155">
            <v>6.25E-2</v>
          </cell>
          <cell r="AC1155">
            <v>6.25E-2</v>
          </cell>
          <cell r="AD1155">
            <v>6.25E-2</v>
          </cell>
          <cell r="AE1155">
            <v>6.25E-2</v>
          </cell>
          <cell r="AF1155">
            <v>6.25E-2</v>
          </cell>
          <cell r="AG1155">
            <v>6.25E-2</v>
          </cell>
          <cell r="AH1155">
            <v>6.25E-2</v>
          </cell>
        </row>
        <row r="1156">
          <cell r="B1156" t="str">
            <v>Bio-oil (HTL) - Conversion wood -&gt; Bio-diesel (HTL) - Global - ton wood/ton diesel</v>
          </cell>
          <cell r="G1156">
            <v>0</v>
          </cell>
          <cell r="H1156">
            <v>0</v>
          </cell>
          <cell r="I1156">
            <v>0</v>
          </cell>
          <cell r="J1156">
            <v>0</v>
          </cell>
          <cell r="K1156">
            <v>0</v>
          </cell>
          <cell r="L1156">
            <v>0</v>
          </cell>
          <cell r="M1156">
            <v>0</v>
          </cell>
          <cell r="N1156">
            <v>1.0820736198452918</v>
          </cell>
          <cell r="O1156">
            <v>1.0820736198452918</v>
          </cell>
          <cell r="P1156">
            <v>1.0820736198452918</v>
          </cell>
          <cell r="Q1156">
            <v>1.0820736198452918</v>
          </cell>
          <cell r="R1156">
            <v>1.0820736198452918</v>
          </cell>
          <cell r="S1156">
            <v>1.0820736198452918</v>
          </cell>
          <cell r="T1156">
            <v>1.0820736198452918</v>
          </cell>
          <cell r="U1156">
            <v>1.0820736198452918</v>
          </cell>
          <cell r="V1156">
            <v>1.0820736198452918</v>
          </cell>
          <cell r="W1156">
            <v>1.0820736198452918</v>
          </cell>
          <cell r="X1156">
            <v>1.0820736198452918</v>
          </cell>
          <cell r="Y1156">
            <v>1.0820736198452918</v>
          </cell>
          <cell r="Z1156">
            <v>1.0820736198452918</v>
          </cell>
          <cell r="AA1156">
            <v>1.0820736198452918</v>
          </cell>
          <cell r="AB1156">
            <v>1.0820736198452918</v>
          </cell>
          <cell r="AC1156">
            <v>1.0820736198452918</v>
          </cell>
          <cell r="AD1156">
            <v>1.0820736198452918</v>
          </cell>
          <cell r="AE1156">
            <v>1.0820736198452918</v>
          </cell>
          <cell r="AF1156">
            <v>1.0820736198452918</v>
          </cell>
          <cell r="AG1156">
            <v>1.0820736198452918</v>
          </cell>
          <cell r="AH1156">
            <v>1.0820736198452918</v>
          </cell>
        </row>
        <row r="1157">
          <cell r="B1157" t="str">
            <v>Bio-oil (HTL) - Conversion waste -&gt; Bio-diesel (HTL) - Global - ton waste/ton diesel</v>
          </cell>
          <cell r="G1157">
            <v>0</v>
          </cell>
          <cell r="H1157">
            <v>0</v>
          </cell>
          <cell r="I1157">
            <v>0</v>
          </cell>
          <cell r="J1157">
            <v>0</v>
          </cell>
          <cell r="K1157">
            <v>0</v>
          </cell>
          <cell r="L1157">
            <v>0</v>
          </cell>
          <cell r="M1157">
            <v>0</v>
          </cell>
          <cell r="N1157">
            <v>3.1249999999999991</v>
          </cell>
          <cell r="O1157">
            <v>3.1249999999999991</v>
          </cell>
          <cell r="P1157">
            <v>3.1249999999999991</v>
          </cell>
          <cell r="Q1157">
            <v>3.1249999999999991</v>
          </cell>
          <cell r="R1157">
            <v>3.1249999999999991</v>
          </cell>
          <cell r="S1157">
            <v>3.1249999999999991</v>
          </cell>
          <cell r="T1157">
            <v>3.1249999999999991</v>
          </cell>
          <cell r="U1157">
            <v>3.1249999999999991</v>
          </cell>
          <cell r="V1157">
            <v>3.1249999999999991</v>
          </cell>
          <cell r="W1157">
            <v>3.1249999999999991</v>
          </cell>
          <cell r="X1157">
            <v>3.1249999999999991</v>
          </cell>
          <cell r="Y1157">
            <v>3.1249999999999991</v>
          </cell>
          <cell r="Z1157">
            <v>3.1249999999999991</v>
          </cell>
          <cell r="AA1157">
            <v>3.1249999999999991</v>
          </cell>
          <cell r="AB1157">
            <v>3.1249999999999991</v>
          </cell>
          <cell r="AC1157">
            <v>3.1249999999999991</v>
          </cell>
          <cell r="AD1157">
            <v>3.1249999999999991</v>
          </cell>
          <cell r="AE1157">
            <v>3.1249999999999991</v>
          </cell>
          <cell r="AF1157">
            <v>3.1249999999999991</v>
          </cell>
          <cell r="AG1157">
            <v>3.1249999999999991</v>
          </cell>
          <cell r="AH1157">
            <v>3.1249999999999991</v>
          </cell>
        </row>
        <row r="1159">
          <cell r="B1159" t="str">
            <v>Bio-oil (Pyrolysis) - Item - Region - Unit</v>
          </cell>
          <cell r="G1159">
            <v>2023</v>
          </cell>
          <cell r="H1159">
            <v>2024</v>
          </cell>
          <cell r="I1159">
            <v>2025</v>
          </cell>
          <cell r="J1159">
            <v>2026</v>
          </cell>
          <cell r="K1159">
            <v>2027</v>
          </cell>
          <cell r="L1159">
            <v>2028</v>
          </cell>
          <cell r="M1159">
            <v>2029</v>
          </cell>
          <cell r="N1159">
            <v>2030</v>
          </cell>
          <cell r="O1159">
            <v>2031</v>
          </cell>
          <cell r="P1159">
            <v>2032</v>
          </cell>
          <cell r="Q1159">
            <v>2033</v>
          </cell>
          <cell r="R1159">
            <v>2034</v>
          </cell>
          <cell r="S1159">
            <v>2035</v>
          </cell>
          <cell r="T1159">
            <v>2036</v>
          </cell>
          <cell r="U1159">
            <v>2037</v>
          </cell>
          <cell r="V1159">
            <v>2038</v>
          </cell>
          <cell r="W1159">
            <v>2039</v>
          </cell>
          <cell r="X1159">
            <v>2040</v>
          </cell>
          <cell r="Y1159">
            <v>2041</v>
          </cell>
          <cell r="Z1159">
            <v>2042</v>
          </cell>
          <cell r="AA1159">
            <v>2043</v>
          </cell>
          <cell r="AB1159">
            <v>2044</v>
          </cell>
          <cell r="AC1159">
            <v>2045</v>
          </cell>
          <cell r="AD1159">
            <v>2046</v>
          </cell>
          <cell r="AE1159">
            <v>2047</v>
          </cell>
          <cell r="AF1159">
            <v>2048</v>
          </cell>
          <cell r="AG1159">
            <v>2049</v>
          </cell>
          <cell r="AH1159">
            <v>2050</v>
          </cell>
        </row>
        <row r="1160">
          <cell r="B1160" t="str">
            <v>Bio-oil (Pyrolysis) - Total cost - Africa - USD/ton fuel</v>
          </cell>
          <cell r="N1160">
            <v>1205.8572347903994</v>
          </cell>
          <cell r="O1160">
            <v>1196.5101819418062</v>
          </cell>
          <cell r="P1160">
            <v>1186.1781738363345</v>
          </cell>
          <cell r="Q1160">
            <v>1174.8684077467158</v>
          </cell>
          <cell r="R1160">
            <v>1162.5880809456987</v>
          </cell>
          <cell r="S1160">
            <v>1149.3443907060403</v>
          </cell>
          <cell r="T1160">
            <v>1143.0493417595849</v>
          </cell>
          <cell r="U1160">
            <v>1136.0768407067326</v>
          </cell>
          <cell r="V1160">
            <v>1128.4292360449385</v>
          </cell>
          <cell r="W1160">
            <v>1120.108876271629</v>
          </cell>
          <cell r="X1160">
            <v>1111.1181098842517</v>
          </cell>
          <cell r="Y1160">
            <v>1101.8214945291136</v>
          </cell>
          <cell r="Z1160">
            <v>1092.2103061095904</v>
          </cell>
          <cell r="AA1160">
            <v>1082.2831712876882</v>
          </cell>
          <cell r="AB1160">
            <v>1072.0387167254005</v>
          </cell>
          <cell r="AC1160">
            <v>1061.4755690847292</v>
          </cell>
          <cell r="AD1160">
            <v>1053.6915483717087</v>
          </cell>
          <cell r="AE1160">
            <v>1045.7498352050902</v>
          </cell>
          <cell r="AF1160">
            <v>1037.6495641810736</v>
          </cell>
          <cell r="AG1160">
            <v>1029.3898698958633</v>
          </cell>
          <cell r="AH1160">
            <v>1020.9698869456644</v>
          </cell>
        </row>
        <row r="1161">
          <cell r="B1161" t="str">
            <v>Bio-oil (Pyrolysis) - Total cost - Americas - USD/ton fuel</v>
          </cell>
          <cell r="N1161">
            <v>1031.9153760178683</v>
          </cell>
          <cell r="O1161">
            <v>1024.6305249622953</v>
          </cell>
          <cell r="P1161">
            <v>1016.332621374733</v>
          </cell>
          <cell r="Q1161">
            <v>1007.0258342806187</v>
          </cell>
          <cell r="R1161">
            <v>996.71433270538978</v>
          </cell>
          <cell r="S1161">
            <v>985.40228567450015</v>
          </cell>
          <cell r="T1161">
            <v>978.56056187949434</v>
          </cell>
          <cell r="U1161">
            <v>971.04768312368378</v>
          </cell>
          <cell r="V1161">
            <v>962.86599227290606</v>
          </cell>
          <cell r="W1161">
            <v>954.01783219297215</v>
          </cell>
          <cell r="X1161">
            <v>944.50554574970852</v>
          </cell>
          <cell r="Y1161">
            <v>937.70816184541729</v>
          </cell>
          <cell r="Z1161">
            <v>930.54219799920634</v>
          </cell>
          <cell r="AA1161">
            <v>923.00711743881675</v>
          </cell>
          <cell r="AB1161">
            <v>915.1023833919711</v>
          </cell>
          <cell r="AC1161">
            <v>906.82745908640732</v>
          </cell>
          <cell r="AD1161">
            <v>899.07853995226299</v>
          </cell>
          <cell r="AE1161">
            <v>891.15617713729887</v>
          </cell>
          <cell r="AF1161">
            <v>883.0598507392865</v>
          </cell>
          <cell r="AG1161">
            <v>874.78904085599902</v>
          </cell>
          <cell r="AH1161">
            <v>866.34322758520989</v>
          </cell>
        </row>
        <row r="1162">
          <cell r="B1162" t="str">
            <v>Bio-oil (Pyrolysis) - Total cost - Asia - USD/ton fuel</v>
          </cell>
          <cell r="N1162">
            <v>1074.1925634144241</v>
          </cell>
          <cell r="O1162">
            <v>1061.2681888247887</v>
          </cell>
          <cell r="P1162">
            <v>1047.3711373155029</v>
          </cell>
          <cell r="Q1162">
            <v>1032.5107942419595</v>
          </cell>
          <cell r="R1162">
            <v>1016.6965449595452</v>
          </cell>
          <cell r="S1162">
            <v>999.93777482367886</v>
          </cell>
          <cell r="T1162">
            <v>991.79500858533493</v>
          </cell>
          <cell r="U1162">
            <v>982.98833434054654</v>
          </cell>
          <cell r="V1162">
            <v>973.52106012401543</v>
          </cell>
          <cell r="W1162">
            <v>963.39649397040489</v>
          </cell>
          <cell r="X1162">
            <v>952.61794391440799</v>
          </cell>
          <cell r="Y1162">
            <v>940.54378792104512</v>
          </cell>
          <cell r="Z1162">
            <v>928.19582001231583</v>
          </cell>
          <cell r="AA1162">
            <v>915.57207101630274</v>
          </cell>
          <cell r="AB1162">
            <v>902.67057176107505</v>
          </cell>
          <cell r="AC1162">
            <v>889.48935307471083</v>
          </cell>
          <cell r="AD1162">
            <v>880.86056568715776</v>
          </cell>
          <cell r="AE1162">
            <v>872.09003186399514</v>
          </cell>
          <cell r="AF1162">
            <v>863.17659224541399</v>
          </cell>
          <cell r="AG1162">
            <v>854.11908747160624</v>
          </cell>
          <cell r="AH1162">
            <v>844.91635818276359</v>
          </cell>
        </row>
        <row r="1163">
          <cell r="B1163" t="str">
            <v>Bio-oil (Pyrolysis) - Total cost - Europe - USD/ton fuel</v>
          </cell>
          <cell r="N1163">
            <v>1127.9284970918402</v>
          </cell>
          <cell r="O1163">
            <v>1120.5073017144762</v>
          </cell>
          <cell r="P1163">
            <v>1112.0649884182671</v>
          </cell>
          <cell r="Q1163">
            <v>1102.6062761926114</v>
          </cell>
          <cell r="R1163">
            <v>1092.1358840269183</v>
          </cell>
          <cell r="S1163">
            <v>1080.6585309106149</v>
          </cell>
          <cell r="T1163">
            <v>1074.0450772794061</v>
          </cell>
          <cell r="U1163">
            <v>1066.7405238026934</v>
          </cell>
          <cell r="V1163">
            <v>1058.7468237105609</v>
          </cell>
          <cell r="W1163">
            <v>1050.0659302330598</v>
          </cell>
          <cell r="X1163">
            <v>1040.6997966002609</v>
          </cell>
          <cell r="Y1163">
            <v>1031.6474111341922</v>
          </cell>
          <cell r="Z1163">
            <v>1022.2718888323058</v>
          </cell>
          <cell r="AA1163">
            <v>1012.5720413467486</v>
          </cell>
          <cell r="AB1163">
            <v>1002.546680329647</v>
          </cell>
          <cell r="AC1163">
            <v>992.19461743314446</v>
          </cell>
          <cell r="AD1163">
            <v>983.72872230414555</v>
          </cell>
          <cell r="AE1163">
            <v>975.1180440240887</v>
          </cell>
          <cell r="AF1163">
            <v>966.36146944274219</v>
          </cell>
          <cell r="AG1163">
            <v>957.45788540987428</v>
          </cell>
          <cell r="AH1163">
            <v>948.40617877525358</v>
          </cell>
        </row>
        <row r="1164">
          <cell r="B1164" t="str">
            <v>Bio-oil (Pyrolysis) - Total cost - Middle East - USD/ton fuel</v>
          </cell>
          <cell r="N1164">
            <v>1127.396548774869</v>
          </cell>
          <cell r="O1164">
            <v>1119.0499903792877</v>
          </cell>
          <cell r="P1164">
            <v>1109.7049524301312</v>
          </cell>
          <cell r="Q1164">
            <v>1099.3665796507039</v>
          </cell>
          <cell r="R1164">
            <v>1088.0400167643174</v>
          </cell>
          <cell r="S1164">
            <v>1075.7304084942953</v>
          </cell>
          <cell r="T1164">
            <v>1070.5946346838011</v>
          </cell>
          <cell r="U1164">
            <v>1064.7757272995009</v>
          </cell>
          <cell r="V1164">
            <v>1058.2754746000755</v>
          </cell>
          <cell r="W1164">
            <v>1051.0956648441766</v>
          </cell>
          <cell r="X1164">
            <v>1043.2380862904747</v>
          </cell>
          <cell r="Y1164">
            <v>1033.6328959226428</v>
          </cell>
          <cell r="Z1164">
            <v>1023.7066177571471</v>
          </cell>
          <cell r="AA1164">
            <v>1013.4579181377374</v>
          </cell>
          <cell r="AB1164">
            <v>1002.8854634081499</v>
          </cell>
          <cell r="AC1164">
            <v>991.98791991213011</v>
          </cell>
          <cell r="AD1164">
            <v>983.83392753325302</v>
          </cell>
          <cell r="AE1164">
            <v>975.51464862753039</v>
          </cell>
          <cell r="AF1164">
            <v>967.02928182699588</v>
          </cell>
          <cell r="AG1164">
            <v>958.37702576368542</v>
          </cell>
          <cell r="AH1164">
            <v>949.55707906963494</v>
          </cell>
        </row>
        <row r="1165">
          <cell r="B1165" t="str">
            <v/>
          </cell>
        </row>
        <row r="1166">
          <cell r="B1166" t="str">
            <v>Bio-oil (Pyrolysis) - CAPEX - Global - USD/ton fuel</v>
          </cell>
          <cell r="G1166" t="e">
            <v>#DIV/0!</v>
          </cell>
          <cell r="H1166" t="e">
            <v>#DIV/0!</v>
          </cell>
          <cell r="I1166" t="e">
            <v>#DIV/0!</v>
          </cell>
          <cell r="J1166" t="e">
            <v>#DIV/0!</v>
          </cell>
          <cell r="K1166" t="e">
            <v>#DIV/0!</v>
          </cell>
          <cell r="L1166" t="e">
            <v>#DIV/0!</v>
          </cell>
          <cell r="M1166" t="e">
            <v>#DIV/0!</v>
          </cell>
          <cell r="N1166">
            <v>77.533333333333331</v>
          </cell>
          <cell r="O1166">
            <v>75.982666666666532</v>
          </cell>
          <cell r="P1166">
            <v>74.432000000000215</v>
          </cell>
          <cell r="Q1166">
            <v>72.881333333333416</v>
          </cell>
          <cell r="R1166">
            <v>71.330666666666602</v>
          </cell>
          <cell r="S1166">
            <v>69.77999999999993</v>
          </cell>
          <cell r="T1166">
            <v>69.263111111111115</v>
          </cell>
          <cell r="U1166">
            <v>68.746222222222187</v>
          </cell>
          <cell r="V1166">
            <v>68.229333333333244</v>
          </cell>
          <cell r="W1166">
            <v>67.712444444444429</v>
          </cell>
          <cell r="X1166">
            <v>67.195555555555501</v>
          </cell>
          <cell r="Y1166">
            <v>66.678666666666558</v>
          </cell>
          <cell r="Z1166">
            <v>66.161777777777758</v>
          </cell>
          <cell r="AA1166">
            <v>65.644888888888815</v>
          </cell>
          <cell r="AB1166">
            <v>65.127999999999886</v>
          </cell>
          <cell r="AC1166">
            <v>64.611111111111072</v>
          </cell>
          <cell r="AD1166">
            <v>64.094222222222143</v>
          </cell>
          <cell r="AE1166">
            <v>63.577333333333321</v>
          </cell>
          <cell r="AF1166">
            <v>63.060444444444393</v>
          </cell>
          <cell r="AG1166">
            <v>62.543555555555457</v>
          </cell>
          <cell r="AH1166">
            <v>62.026666666666642</v>
          </cell>
        </row>
        <row r="1167">
          <cell r="B1167" t="str">
            <v>Bio-oil (Pyrolysis) - Plant lifetime - Global - Years</v>
          </cell>
          <cell r="G1167">
            <v>0</v>
          </cell>
          <cell r="H1167">
            <v>0</v>
          </cell>
          <cell r="I1167">
            <v>0</v>
          </cell>
          <cell r="J1167">
            <v>0</v>
          </cell>
          <cell r="K1167">
            <v>0</v>
          </cell>
          <cell r="L1167">
            <v>0</v>
          </cell>
          <cell r="M1167">
            <v>0</v>
          </cell>
          <cell r="N1167">
            <v>30</v>
          </cell>
          <cell r="O1167">
            <v>30</v>
          </cell>
          <cell r="P1167">
            <v>30</v>
          </cell>
          <cell r="Q1167">
            <v>30</v>
          </cell>
          <cell r="R1167">
            <v>30</v>
          </cell>
          <cell r="S1167">
            <v>30</v>
          </cell>
          <cell r="T1167">
            <v>30</v>
          </cell>
          <cell r="U1167">
            <v>30</v>
          </cell>
          <cell r="V1167">
            <v>30</v>
          </cell>
          <cell r="W1167">
            <v>30</v>
          </cell>
          <cell r="X1167">
            <v>30</v>
          </cell>
          <cell r="Y1167">
            <v>30</v>
          </cell>
          <cell r="Z1167">
            <v>30</v>
          </cell>
          <cell r="AA1167">
            <v>30</v>
          </cell>
          <cell r="AB1167">
            <v>30</v>
          </cell>
          <cell r="AC1167">
            <v>30</v>
          </cell>
          <cell r="AD1167">
            <v>30</v>
          </cell>
          <cell r="AE1167">
            <v>30</v>
          </cell>
          <cell r="AF1167">
            <v>30</v>
          </cell>
          <cell r="AG1167">
            <v>30</v>
          </cell>
          <cell r="AH1167">
            <v>30</v>
          </cell>
        </row>
        <row r="1168">
          <cell r="B1168" t="str">
            <v>Bio-oil (Pyrolysis) - Total CAPEX - Global - USD/ton fuel</v>
          </cell>
          <cell r="G1168">
            <v>0</v>
          </cell>
          <cell r="H1168">
            <v>0</v>
          </cell>
          <cell r="I1168">
            <v>0</v>
          </cell>
          <cell r="J1168">
            <v>0</v>
          </cell>
          <cell r="K1168">
            <v>0</v>
          </cell>
          <cell r="L1168">
            <v>0</v>
          </cell>
          <cell r="M1168">
            <v>0</v>
          </cell>
          <cell r="N1168">
            <v>2326</v>
          </cell>
          <cell r="O1168">
            <v>2279.4799999999959</v>
          </cell>
          <cell r="P1168">
            <v>2232.9600000000064</v>
          </cell>
          <cell r="Q1168">
            <v>2186.4400000000023</v>
          </cell>
          <cell r="R1168">
            <v>2139.9199999999983</v>
          </cell>
          <cell r="S1168">
            <v>2093.3999999999978</v>
          </cell>
          <cell r="T1168">
            <v>2077.8933333333334</v>
          </cell>
          <cell r="U1168">
            <v>2062.3866666666654</v>
          </cell>
          <cell r="V1168">
            <v>2046.8799999999974</v>
          </cell>
          <cell r="W1168">
            <v>2031.373333333333</v>
          </cell>
          <cell r="X1168">
            <v>2015.866666666665</v>
          </cell>
          <cell r="Y1168">
            <v>2000.3599999999969</v>
          </cell>
          <cell r="Z1168">
            <v>1984.8533333333326</v>
          </cell>
          <cell r="AA1168">
            <v>1969.3466666666645</v>
          </cell>
          <cell r="AB1168">
            <v>1953.8399999999965</v>
          </cell>
          <cell r="AC1168">
            <v>1938.3333333333321</v>
          </cell>
          <cell r="AD1168">
            <v>1922.8266666666641</v>
          </cell>
          <cell r="AE1168">
            <v>1907.3199999999997</v>
          </cell>
          <cell r="AF1168">
            <v>1891.8133333333317</v>
          </cell>
          <cell r="AG1168">
            <v>1876.3066666666637</v>
          </cell>
          <cell r="AH1168">
            <v>1860.7999999999993</v>
          </cell>
        </row>
        <row r="1169">
          <cell r="B1169" t="str">
            <v/>
          </cell>
        </row>
        <row r="1170">
          <cell r="B1170" t="str">
            <v>Bio-oil (Pyrolysis) - OPEX - Global - USD/ton fuel</v>
          </cell>
          <cell r="G1170">
            <v>0</v>
          </cell>
          <cell r="H1170">
            <v>0</v>
          </cell>
          <cell r="I1170">
            <v>0</v>
          </cell>
          <cell r="J1170">
            <v>0</v>
          </cell>
          <cell r="K1170">
            <v>0</v>
          </cell>
          <cell r="L1170">
            <v>0</v>
          </cell>
          <cell r="M1170">
            <v>0</v>
          </cell>
          <cell r="N1170">
            <v>91.493268053855545</v>
          </cell>
          <cell r="O1170">
            <v>89.663402692778277</v>
          </cell>
          <cell r="P1170">
            <v>87.833537331701578</v>
          </cell>
          <cell r="Q1170">
            <v>86.003671970624296</v>
          </cell>
          <cell r="R1170">
            <v>84.173806609547029</v>
          </cell>
          <cell r="S1170">
            <v>82.343941248469903</v>
          </cell>
          <cell r="T1170">
            <v>81.733986128110956</v>
          </cell>
          <cell r="U1170">
            <v>81.124031007751867</v>
          </cell>
          <cell r="V1170">
            <v>80.514075887392778</v>
          </cell>
          <cell r="W1170">
            <v>79.904120767033831</v>
          </cell>
          <cell r="X1170">
            <v>79.294165646674742</v>
          </cell>
          <cell r="Y1170">
            <v>78.684210526315653</v>
          </cell>
          <cell r="Z1170">
            <v>78.074255405956706</v>
          </cell>
          <cell r="AA1170">
            <v>77.464300285597616</v>
          </cell>
          <cell r="AB1170">
            <v>76.854345165238513</v>
          </cell>
          <cell r="AC1170">
            <v>76.244390044879566</v>
          </cell>
          <cell r="AD1170">
            <v>75.634434924520477</v>
          </cell>
          <cell r="AE1170">
            <v>75.02447980416153</v>
          </cell>
          <cell r="AF1170">
            <v>74.414524683802441</v>
          </cell>
          <cell r="AG1170">
            <v>73.804569563443351</v>
          </cell>
          <cell r="AH1170">
            <v>73.194614443084404</v>
          </cell>
        </row>
        <row r="1171">
          <cell r="B1171" t="str">
            <v>Bio-oil (Pyrolysis) - OPEX - Global - USD/ton fuel/year</v>
          </cell>
          <cell r="G1171">
            <v>0</v>
          </cell>
          <cell r="H1171">
            <v>0</v>
          </cell>
          <cell r="I1171">
            <v>0</v>
          </cell>
          <cell r="J1171">
            <v>0</v>
          </cell>
          <cell r="K1171">
            <v>0</v>
          </cell>
          <cell r="L1171">
            <v>0</v>
          </cell>
          <cell r="M1171">
            <v>0</v>
          </cell>
          <cell r="N1171">
            <v>91.493268053855545</v>
          </cell>
          <cell r="O1171">
            <v>89.663402692778277</v>
          </cell>
          <cell r="P1171">
            <v>87.833537331701578</v>
          </cell>
          <cell r="Q1171">
            <v>86.003671970624296</v>
          </cell>
          <cell r="R1171">
            <v>84.173806609547029</v>
          </cell>
          <cell r="S1171">
            <v>82.343941248469903</v>
          </cell>
          <cell r="T1171">
            <v>81.733986128110956</v>
          </cell>
          <cell r="U1171">
            <v>81.124031007751867</v>
          </cell>
          <cell r="V1171">
            <v>80.514075887392778</v>
          </cell>
          <cell r="W1171">
            <v>79.904120767033831</v>
          </cell>
          <cell r="X1171">
            <v>79.294165646674742</v>
          </cell>
          <cell r="Y1171">
            <v>78.684210526315653</v>
          </cell>
          <cell r="Z1171">
            <v>78.074255405956706</v>
          </cell>
          <cell r="AA1171">
            <v>77.464300285597616</v>
          </cell>
          <cell r="AB1171">
            <v>76.854345165238513</v>
          </cell>
          <cell r="AC1171">
            <v>76.244390044879566</v>
          </cell>
          <cell r="AD1171">
            <v>75.634434924520477</v>
          </cell>
          <cell r="AE1171">
            <v>75.02447980416153</v>
          </cell>
          <cell r="AF1171">
            <v>74.414524683802441</v>
          </cell>
          <cell r="AG1171">
            <v>73.804569563443351</v>
          </cell>
          <cell r="AH1171">
            <v>73.194614443084404</v>
          </cell>
        </row>
        <row r="1172">
          <cell r="B1172" t="str">
            <v/>
          </cell>
        </row>
        <row r="1173">
          <cell r="B1173" t="str">
            <v>Bio-oil (Pyrolysis) - Finance cost - Africa - USD/ton fuel</v>
          </cell>
          <cell r="G1173">
            <v>0</v>
          </cell>
          <cell r="H1173">
            <v>0</v>
          </cell>
          <cell r="I1173">
            <v>0</v>
          </cell>
          <cell r="J1173">
            <v>0</v>
          </cell>
          <cell r="K1173">
            <v>0</v>
          </cell>
          <cell r="L1173">
            <v>0</v>
          </cell>
          <cell r="M1173">
            <v>0</v>
          </cell>
          <cell r="N1173">
            <v>127.93000000000002</v>
          </cell>
          <cell r="O1173">
            <v>125.3713999999998</v>
          </cell>
          <cell r="P1173">
            <v>122.81280000000037</v>
          </cell>
          <cell r="Q1173">
            <v>120.25420000000014</v>
          </cell>
          <cell r="R1173">
            <v>117.69559999999991</v>
          </cell>
          <cell r="S1173">
            <v>115.1369999999999</v>
          </cell>
          <cell r="T1173">
            <v>114.28413333333336</v>
          </cell>
          <cell r="U1173">
            <v>113.43126666666662</v>
          </cell>
          <cell r="V1173">
            <v>112.57839999999987</v>
          </cell>
          <cell r="W1173">
            <v>111.72553333333333</v>
          </cell>
          <cell r="X1173">
            <v>110.87266666666659</v>
          </cell>
          <cell r="Y1173">
            <v>110.01979999999985</v>
          </cell>
          <cell r="Z1173">
            <v>109.1669333333333</v>
          </cell>
          <cell r="AA1173">
            <v>108.31406666666656</v>
          </cell>
          <cell r="AB1173">
            <v>107.46119999999982</v>
          </cell>
          <cell r="AC1173">
            <v>106.60833333333328</v>
          </cell>
          <cell r="AD1173">
            <v>105.75546666666654</v>
          </cell>
          <cell r="AE1173">
            <v>104.90259999999999</v>
          </cell>
          <cell r="AF1173">
            <v>104.04973333333325</v>
          </cell>
          <cell r="AG1173">
            <v>103.19686666666651</v>
          </cell>
          <cell r="AH1173">
            <v>102.34399999999998</v>
          </cell>
        </row>
        <row r="1174">
          <cell r="B1174" t="str">
            <v>Bio-oil (Pyrolysis) - Finance cost - Americas - USD/ton fuel</v>
          </cell>
          <cell r="G1174">
            <v>0</v>
          </cell>
          <cell r="H1174">
            <v>0</v>
          </cell>
          <cell r="I1174">
            <v>0</v>
          </cell>
          <cell r="J1174">
            <v>0</v>
          </cell>
          <cell r="K1174">
            <v>0</v>
          </cell>
          <cell r="L1174">
            <v>0</v>
          </cell>
          <cell r="M1174">
            <v>0</v>
          </cell>
          <cell r="N1174">
            <v>127.93000000000002</v>
          </cell>
          <cell r="O1174">
            <v>125.3713999999998</v>
          </cell>
          <cell r="P1174">
            <v>122.81280000000037</v>
          </cell>
          <cell r="Q1174">
            <v>120.25420000000014</v>
          </cell>
          <cell r="R1174">
            <v>117.69559999999991</v>
          </cell>
          <cell r="S1174">
            <v>115.1369999999999</v>
          </cell>
          <cell r="T1174">
            <v>114.28413333333336</v>
          </cell>
          <cell r="U1174">
            <v>113.43126666666662</v>
          </cell>
          <cell r="V1174">
            <v>112.57839999999987</v>
          </cell>
          <cell r="W1174">
            <v>111.72553333333333</v>
          </cell>
          <cell r="X1174">
            <v>110.87266666666659</v>
          </cell>
          <cell r="Y1174">
            <v>110.01979999999985</v>
          </cell>
          <cell r="Z1174">
            <v>109.1669333333333</v>
          </cell>
          <cell r="AA1174">
            <v>108.31406666666656</v>
          </cell>
          <cell r="AB1174">
            <v>107.46119999999982</v>
          </cell>
          <cell r="AC1174">
            <v>106.60833333333328</v>
          </cell>
          <cell r="AD1174">
            <v>105.75546666666654</v>
          </cell>
          <cell r="AE1174">
            <v>104.90259999999999</v>
          </cell>
          <cell r="AF1174">
            <v>104.04973333333325</v>
          </cell>
          <cell r="AG1174">
            <v>103.19686666666651</v>
          </cell>
          <cell r="AH1174">
            <v>102.34399999999998</v>
          </cell>
        </row>
        <row r="1175">
          <cell r="B1175" t="str">
            <v>Bio-oil (Pyrolysis) - Finance cost - Asia - USD/ton fuel</v>
          </cell>
          <cell r="G1175">
            <v>0</v>
          </cell>
          <cell r="H1175">
            <v>0</v>
          </cell>
          <cell r="I1175">
            <v>0</v>
          </cell>
          <cell r="J1175">
            <v>0</v>
          </cell>
          <cell r="K1175">
            <v>0</v>
          </cell>
          <cell r="L1175">
            <v>0</v>
          </cell>
          <cell r="M1175">
            <v>0</v>
          </cell>
          <cell r="N1175">
            <v>127.93000000000002</v>
          </cell>
          <cell r="O1175">
            <v>125.3713999999998</v>
          </cell>
          <cell r="P1175">
            <v>122.81280000000037</v>
          </cell>
          <cell r="Q1175">
            <v>120.25420000000014</v>
          </cell>
          <cell r="R1175">
            <v>117.69559999999991</v>
          </cell>
          <cell r="S1175">
            <v>115.1369999999999</v>
          </cell>
          <cell r="T1175">
            <v>114.28413333333336</v>
          </cell>
          <cell r="U1175">
            <v>113.43126666666662</v>
          </cell>
          <cell r="V1175">
            <v>112.57839999999987</v>
          </cell>
          <cell r="W1175">
            <v>111.72553333333333</v>
          </cell>
          <cell r="X1175">
            <v>110.87266666666659</v>
          </cell>
          <cell r="Y1175">
            <v>110.01979999999985</v>
          </cell>
          <cell r="Z1175">
            <v>109.1669333333333</v>
          </cell>
          <cell r="AA1175">
            <v>108.31406666666656</v>
          </cell>
          <cell r="AB1175">
            <v>107.46119999999982</v>
          </cell>
          <cell r="AC1175">
            <v>106.60833333333328</v>
          </cell>
          <cell r="AD1175">
            <v>105.75546666666654</v>
          </cell>
          <cell r="AE1175">
            <v>104.90259999999999</v>
          </cell>
          <cell r="AF1175">
            <v>104.04973333333325</v>
          </cell>
          <cell r="AG1175">
            <v>103.19686666666651</v>
          </cell>
          <cell r="AH1175">
            <v>102.34399999999998</v>
          </cell>
        </row>
        <row r="1176">
          <cell r="B1176" t="str">
            <v>Bio-oil (Pyrolysis) - Finance cost - Europe - USD/ton fuel</v>
          </cell>
          <cell r="G1176">
            <v>0</v>
          </cell>
          <cell r="H1176">
            <v>0</v>
          </cell>
          <cell r="I1176">
            <v>0</v>
          </cell>
          <cell r="J1176">
            <v>0</v>
          </cell>
          <cell r="K1176">
            <v>0</v>
          </cell>
          <cell r="L1176">
            <v>0</v>
          </cell>
          <cell r="M1176">
            <v>0</v>
          </cell>
          <cell r="N1176">
            <v>127.93000000000002</v>
          </cell>
          <cell r="O1176">
            <v>125.3713999999998</v>
          </cell>
          <cell r="P1176">
            <v>122.81280000000037</v>
          </cell>
          <cell r="Q1176">
            <v>120.25420000000014</v>
          </cell>
          <cell r="R1176">
            <v>117.69559999999991</v>
          </cell>
          <cell r="S1176">
            <v>115.1369999999999</v>
          </cell>
          <cell r="T1176">
            <v>114.28413333333336</v>
          </cell>
          <cell r="U1176">
            <v>113.43126666666662</v>
          </cell>
          <cell r="V1176">
            <v>112.57839999999987</v>
          </cell>
          <cell r="W1176">
            <v>111.72553333333333</v>
          </cell>
          <cell r="X1176">
            <v>110.87266666666659</v>
          </cell>
          <cell r="Y1176">
            <v>110.01979999999985</v>
          </cell>
          <cell r="Z1176">
            <v>109.1669333333333</v>
          </cell>
          <cell r="AA1176">
            <v>108.31406666666656</v>
          </cell>
          <cell r="AB1176">
            <v>107.46119999999982</v>
          </cell>
          <cell r="AC1176">
            <v>106.60833333333328</v>
          </cell>
          <cell r="AD1176">
            <v>105.75546666666654</v>
          </cell>
          <cell r="AE1176">
            <v>104.90259999999999</v>
          </cell>
          <cell r="AF1176">
            <v>104.04973333333325</v>
          </cell>
          <cell r="AG1176">
            <v>103.19686666666651</v>
          </cell>
          <cell r="AH1176">
            <v>102.34399999999998</v>
          </cell>
        </row>
        <row r="1177">
          <cell r="B1177" t="str">
            <v>Bio-oil (Pyrolysis) - Finance cost - Middle East - USD/ton fuel</v>
          </cell>
          <cell r="G1177">
            <v>0</v>
          </cell>
          <cell r="H1177">
            <v>0</v>
          </cell>
          <cell r="I1177">
            <v>0</v>
          </cell>
          <cell r="J1177">
            <v>0</v>
          </cell>
          <cell r="K1177">
            <v>0</v>
          </cell>
          <cell r="L1177">
            <v>0</v>
          </cell>
          <cell r="M1177">
            <v>0</v>
          </cell>
          <cell r="N1177">
            <v>127.93000000000002</v>
          </cell>
          <cell r="O1177">
            <v>125.3713999999998</v>
          </cell>
          <cell r="P1177">
            <v>122.81280000000037</v>
          </cell>
          <cell r="Q1177">
            <v>120.25420000000014</v>
          </cell>
          <cell r="R1177">
            <v>117.69559999999991</v>
          </cell>
          <cell r="S1177">
            <v>115.1369999999999</v>
          </cell>
          <cell r="T1177">
            <v>114.28413333333336</v>
          </cell>
          <cell r="U1177">
            <v>113.43126666666662</v>
          </cell>
          <cell r="V1177">
            <v>112.57839999999987</v>
          </cell>
          <cell r="W1177">
            <v>111.72553333333333</v>
          </cell>
          <cell r="X1177">
            <v>110.87266666666659</v>
          </cell>
          <cell r="Y1177">
            <v>110.01979999999985</v>
          </cell>
          <cell r="Z1177">
            <v>109.1669333333333</v>
          </cell>
          <cell r="AA1177">
            <v>108.31406666666656</v>
          </cell>
          <cell r="AB1177">
            <v>107.46119999999982</v>
          </cell>
          <cell r="AC1177">
            <v>106.60833333333328</v>
          </cell>
          <cell r="AD1177">
            <v>105.75546666666654</v>
          </cell>
          <cell r="AE1177">
            <v>104.90259999999999</v>
          </cell>
          <cell r="AF1177">
            <v>104.04973333333325</v>
          </cell>
          <cell r="AG1177">
            <v>103.19686666666651</v>
          </cell>
          <cell r="AH1177">
            <v>102.34399999999998</v>
          </cell>
        </row>
        <row r="1178">
          <cell r="B1178" t="str">
            <v>General - Weighted average cost of capital (WACC) - Africa - %</v>
          </cell>
          <cell r="G1178">
            <v>5.5000000000000007E-2</v>
          </cell>
          <cell r="H1178">
            <v>5.5000000000000007E-2</v>
          </cell>
          <cell r="I1178">
            <v>5.5000000000000007E-2</v>
          </cell>
          <cell r="J1178">
            <v>5.5000000000000007E-2</v>
          </cell>
          <cell r="K1178">
            <v>5.5000000000000007E-2</v>
          </cell>
          <cell r="L1178">
            <v>5.5000000000000007E-2</v>
          </cell>
          <cell r="M1178">
            <v>5.5000000000000007E-2</v>
          </cell>
          <cell r="N1178">
            <v>5.5000000000000007E-2</v>
          </cell>
          <cell r="O1178">
            <v>5.5000000000000007E-2</v>
          </cell>
          <cell r="P1178">
            <v>5.5000000000000007E-2</v>
          </cell>
          <cell r="Q1178">
            <v>5.5000000000000007E-2</v>
          </cell>
          <cell r="R1178">
            <v>5.5000000000000007E-2</v>
          </cell>
          <cell r="S1178">
            <v>5.5000000000000007E-2</v>
          </cell>
          <cell r="T1178">
            <v>5.5000000000000007E-2</v>
          </cell>
          <cell r="U1178">
            <v>5.5000000000000007E-2</v>
          </cell>
          <cell r="V1178">
            <v>5.5000000000000007E-2</v>
          </cell>
          <cell r="W1178">
            <v>5.5000000000000007E-2</v>
          </cell>
          <cell r="X1178">
            <v>5.5000000000000007E-2</v>
          </cell>
          <cell r="Y1178">
            <v>5.5000000000000007E-2</v>
          </cell>
          <cell r="Z1178">
            <v>5.5000000000000007E-2</v>
          </cell>
          <cell r="AA1178">
            <v>5.5000000000000007E-2</v>
          </cell>
          <cell r="AB1178">
            <v>5.5000000000000007E-2</v>
          </cell>
          <cell r="AC1178">
            <v>5.5000000000000007E-2</v>
          </cell>
          <cell r="AD1178">
            <v>5.5000000000000007E-2</v>
          </cell>
          <cell r="AE1178">
            <v>5.5000000000000007E-2</v>
          </cell>
          <cell r="AF1178">
            <v>5.5000000000000007E-2</v>
          </cell>
          <cell r="AG1178">
            <v>5.5000000000000007E-2</v>
          </cell>
          <cell r="AH1178">
            <v>5.5000000000000007E-2</v>
          </cell>
        </row>
        <row r="1179">
          <cell r="B1179" t="str">
            <v>General - Weighted average cost of capital (WACC) - Americas - %</v>
          </cell>
          <cell r="G1179">
            <v>5.5000000000000007E-2</v>
          </cell>
          <cell r="H1179">
            <v>5.5000000000000007E-2</v>
          </cell>
          <cell r="I1179">
            <v>5.5000000000000007E-2</v>
          </cell>
          <cell r="J1179">
            <v>5.5000000000000007E-2</v>
          </cell>
          <cell r="K1179">
            <v>5.5000000000000007E-2</v>
          </cell>
          <cell r="L1179">
            <v>5.5000000000000007E-2</v>
          </cell>
          <cell r="M1179">
            <v>5.5000000000000007E-2</v>
          </cell>
          <cell r="N1179">
            <v>5.5000000000000007E-2</v>
          </cell>
          <cell r="O1179">
            <v>5.5000000000000007E-2</v>
          </cell>
          <cell r="P1179">
            <v>5.5000000000000007E-2</v>
          </cell>
          <cell r="Q1179">
            <v>5.5000000000000007E-2</v>
          </cell>
          <cell r="R1179">
            <v>5.5000000000000007E-2</v>
          </cell>
          <cell r="S1179">
            <v>5.5000000000000007E-2</v>
          </cell>
          <cell r="T1179">
            <v>5.5000000000000007E-2</v>
          </cell>
          <cell r="U1179">
            <v>5.5000000000000007E-2</v>
          </cell>
          <cell r="V1179">
            <v>5.5000000000000007E-2</v>
          </cell>
          <cell r="W1179">
            <v>5.5000000000000007E-2</v>
          </cell>
          <cell r="X1179">
            <v>5.5000000000000007E-2</v>
          </cell>
          <cell r="Y1179">
            <v>5.5000000000000007E-2</v>
          </cell>
          <cell r="Z1179">
            <v>5.5000000000000007E-2</v>
          </cell>
          <cell r="AA1179">
            <v>5.5000000000000007E-2</v>
          </cell>
          <cell r="AB1179">
            <v>5.5000000000000007E-2</v>
          </cell>
          <cell r="AC1179">
            <v>5.5000000000000007E-2</v>
          </cell>
          <cell r="AD1179">
            <v>5.5000000000000007E-2</v>
          </cell>
          <cell r="AE1179">
            <v>5.5000000000000007E-2</v>
          </cell>
          <cell r="AF1179">
            <v>5.5000000000000007E-2</v>
          </cell>
          <cell r="AG1179">
            <v>5.5000000000000007E-2</v>
          </cell>
          <cell r="AH1179">
            <v>5.5000000000000007E-2</v>
          </cell>
        </row>
        <row r="1180">
          <cell r="B1180" t="str">
            <v>General - Weighted average cost of capital (WACC) - Asia - %</v>
          </cell>
          <cell r="G1180">
            <v>5.5000000000000007E-2</v>
          </cell>
          <cell r="H1180">
            <v>5.5000000000000007E-2</v>
          </cell>
          <cell r="I1180">
            <v>5.5000000000000007E-2</v>
          </cell>
          <cell r="J1180">
            <v>5.5000000000000007E-2</v>
          </cell>
          <cell r="K1180">
            <v>5.5000000000000007E-2</v>
          </cell>
          <cell r="L1180">
            <v>5.5000000000000007E-2</v>
          </cell>
          <cell r="M1180">
            <v>5.5000000000000007E-2</v>
          </cell>
          <cell r="N1180">
            <v>5.5000000000000007E-2</v>
          </cell>
          <cell r="O1180">
            <v>5.5000000000000007E-2</v>
          </cell>
          <cell r="P1180">
            <v>5.5000000000000007E-2</v>
          </cell>
          <cell r="Q1180">
            <v>5.5000000000000007E-2</v>
          </cell>
          <cell r="R1180">
            <v>5.5000000000000007E-2</v>
          </cell>
          <cell r="S1180">
            <v>5.5000000000000007E-2</v>
          </cell>
          <cell r="T1180">
            <v>5.5000000000000007E-2</v>
          </cell>
          <cell r="U1180">
            <v>5.5000000000000007E-2</v>
          </cell>
          <cell r="V1180">
            <v>5.5000000000000007E-2</v>
          </cell>
          <cell r="W1180">
            <v>5.5000000000000007E-2</v>
          </cell>
          <cell r="X1180">
            <v>5.5000000000000007E-2</v>
          </cell>
          <cell r="Y1180">
            <v>5.5000000000000007E-2</v>
          </cell>
          <cell r="Z1180">
            <v>5.5000000000000007E-2</v>
          </cell>
          <cell r="AA1180">
            <v>5.5000000000000007E-2</v>
          </cell>
          <cell r="AB1180">
            <v>5.5000000000000007E-2</v>
          </cell>
          <cell r="AC1180">
            <v>5.5000000000000007E-2</v>
          </cell>
          <cell r="AD1180">
            <v>5.5000000000000007E-2</v>
          </cell>
          <cell r="AE1180">
            <v>5.5000000000000007E-2</v>
          </cell>
          <cell r="AF1180">
            <v>5.5000000000000007E-2</v>
          </cell>
          <cell r="AG1180">
            <v>5.5000000000000007E-2</v>
          </cell>
          <cell r="AH1180">
            <v>5.5000000000000007E-2</v>
          </cell>
        </row>
        <row r="1181">
          <cell r="B1181" t="str">
            <v>General - Weighted average cost of capital (WACC) - Europe - %</v>
          </cell>
          <cell r="G1181">
            <v>5.5000000000000007E-2</v>
          </cell>
          <cell r="H1181">
            <v>5.5000000000000007E-2</v>
          </cell>
          <cell r="I1181">
            <v>5.5000000000000007E-2</v>
          </cell>
          <cell r="J1181">
            <v>5.5000000000000007E-2</v>
          </cell>
          <cell r="K1181">
            <v>5.5000000000000007E-2</v>
          </cell>
          <cell r="L1181">
            <v>5.5000000000000007E-2</v>
          </cell>
          <cell r="M1181">
            <v>5.5000000000000007E-2</v>
          </cell>
          <cell r="N1181">
            <v>5.5000000000000007E-2</v>
          </cell>
          <cell r="O1181">
            <v>5.5000000000000007E-2</v>
          </cell>
          <cell r="P1181">
            <v>5.5000000000000007E-2</v>
          </cell>
          <cell r="Q1181">
            <v>5.5000000000000007E-2</v>
          </cell>
          <cell r="R1181">
            <v>5.5000000000000007E-2</v>
          </cell>
          <cell r="S1181">
            <v>5.5000000000000007E-2</v>
          </cell>
          <cell r="T1181">
            <v>5.5000000000000007E-2</v>
          </cell>
          <cell r="U1181">
            <v>5.5000000000000007E-2</v>
          </cell>
          <cell r="V1181">
            <v>5.5000000000000007E-2</v>
          </cell>
          <cell r="W1181">
            <v>5.5000000000000007E-2</v>
          </cell>
          <cell r="X1181">
            <v>5.5000000000000007E-2</v>
          </cell>
          <cell r="Y1181">
            <v>5.5000000000000007E-2</v>
          </cell>
          <cell r="Z1181">
            <v>5.5000000000000007E-2</v>
          </cell>
          <cell r="AA1181">
            <v>5.5000000000000007E-2</v>
          </cell>
          <cell r="AB1181">
            <v>5.5000000000000007E-2</v>
          </cell>
          <cell r="AC1181">
            <v>5.5000000000000007E-2</v>
          </cell>
          <cell r="AD1181">
            <v>5.5000000000000007E-2</v>
          </cell>
          <cell r="AE1181">
            <v>5.5000000000000007E-2</v>
          </cell>
          <cell r="AF1181">
            <v>5.5000000000000007E-2</v>
          </cell>
          <cell r="AG1181">
            <v>5.5000000000000007E-2</v>
          </cell>
          <cell r="AH1181">
            <v>5.5000000000000007E-2</v>
          </cell>
        </row>
        <row r="1182">
          <cell r="B1182" t="str">
            <v>General - Weighted average cost of capital (WACC) - Middle East - %</v>
          </cell>
          <cell r="G1182">
            <v>5.5000000000000007E-2</v>
          </cell>
          <cell r="H1182">
            <v>5.5000000000000007E-2</v>
          </cell>
          <cell r="I1182">
            <v>5.5000000000000007E-2</v>
          </cell>
          <cell r="J1182">
            <v>5.5000000000000007E-2</v>
          </cell>
          <cell r="K1182">
            <v>5.5000000000000007E-2</v>
          </cell>
          <cell r="L1182">
            <v>5.5000000000000007E-2</v>
          </cell>
          <cell r="M1182">
            <v>5.5000000000000007E-2</v>
          </cell>
          <cell r="N1182">
            <v>5.5000000000000007E-2</v>
          </cell>
          <cell r="O1182">
            <v>5.5000000000000007E-2</v>
          </cell>
          <cell r="P1182">
            <v>5.5000000000000007E-2</v>
          </cell>
          <cell r="Q1182">
            <v>5.5000000000000007E-2</v>
          </cell>
          <cell r="R1182">
            <v>5.5000000000000007E-2</v>
          </cell>
          <cell r="S1182">
            <v>5.5000000000000007E-2</v>
          </cell>
          <cell r="T1182">
            <v>5.5000000000000007E-2</v>
          </cell>
          <cell r="U1182">
            <v>5.5000000000000007E-2</v>
          </cell>
          <cell r="V1182">
            <v>5.5000000000000007E-2</v>
          </cell>
          <cell r="W1182">
            <v>5.5000000000000007E-2</v>
          </cell>
          <cell r="X1182">
            <v>5.5000000000000007E-2</v>
          </cell>
          <cell r="Y1182">
            <v>5.5000000000000007E-2</v>
          </cell>
          <cell r="Z1182">
            <v>5.5000000000000007E-2</v>
          </cell>
          <cell r="AA1182">
            <v>5.5000000000000007E-2</v>
          </cell>
          <cell r="AB1182">
            <v>5.5000000000000007E-2</v>
          </cell>
          <cell r="AC1182">
            <v>5.5000000000000007E-2</v>
          </cell>
          <cell r="AD1182">
            <v>5.5000000000000007E-2</v>
          </cell>
          <cell r="AE1182">
            <v>5.5000000000000007E-2</v>
          </cell>
          <cell r="AF1182">
            <v>5.5000000000000007E-2</v>
          </cell>
          <cell r="AG1182">
            <v>5.5000000000000007E-2</v>
          </cell>
          <cell r="AH1182">
            <v>5.5000000000000007E-2</v>
          </cell>
        </row>
        <row r="1183">
          <cell r="B1183" t="str">
            <v>Bio-oil (Pyrolysis) - Total CAPEX - Global - USD/ton fuel</v>
          </cell>
          <cell r="G1183">
            <v>0</v>
          </cell>
          <cell r="H1183">
            <v>0</v>
          </cell>
          <cell r="I1183">
            <v>0</v>
          </cell>
          <cell r="J1183">
            <v>0</v>
          </cell>
          <cell r="K1183">
            <v>0</v>
          </cell>
          <cell r="L1183">
            <v>0</v>
          </cell>
          <cell r="M1183">
            <v>0</v>
          </cell>
          <cell r="N1183">
            <v>2326</v>
          </cell>
          <cell r="O1183">
            <v>2279.4799999999959</v>
          </cell>
          <cell r="P1183">
            <v>2232.9600000000064</v>
          </cell>
          <cell r="Q1183">
            <v>2186.4400000000023</v>
          </cell>
          <cell r="R1183">
            <v>2139.9199999999983</v>
          </cell>
          <cell r="S1183">
            <v>2093.3999999999978</v>
          </cell>
          <cell r="T1183">
            <v>2077.8933333333334</v>
          </cell>
          <cell r="U1183">
            <v>2062.3866666666654</v>
          </cell>
          <cell r="V1183">
            <v>2046.8799999999974</v>
          </cell>
          <cell r="W1183">
            <v>2031.373333333333</v>
          </cell>
          <cell r="X1183">
            <v>2015.866666666665</v>
          </cell>
          <cell r="Y1183">
            <v>2000.3599999999969</v>
          </cell>
          <cell r="Z1183">
            <v>1984.8533333333326</v>
          </cell>
          <cell r="AA1183">
            <v>1969.3466666666645</v>
          </cell>
          <cell r="AB1183">
            <v>1953.8399999999965</v>
          </cell>
          <cell r="AC1183">
            <v>1938.3333333333321</v>
          </cell>
          <cell r="AD1183">
            <v>1922.8266666666641</v>
          </cell>
          <cell r="AE1183">
            <v>1907.3199999999997</v>
          </cell>
          <cell r="AF1183">
            <v>1891.8133333333317</v>
          </cell>
          <cell r="AG1183">
            <v>1876.3066666666637</v>
          </cell>
          <cell r="AH1183">
            <v>1860.7999999999993</v>
          </cell>
        </row>
        <row r="1184">
          <cell r="B1184" t="str">
            <v/>
          </cell>
        </row>
        <row r="1185">
          <cell r="B1185" t="str">
            <v>Bio-oil (Pyrolysis) - Energy cost - Africa - USD/ton fuel</v>
          </cell>
          <cell r="G1185">
            <v>0</v>
          </cell>
          <cell r="H1185">
            <v>0</v>
          </cell>
          <cell r="I1185">
            <v>0</v>
          </cell>
          <cell r="J1185">
            <v>0</v>
          </cell>
          <cell r="K1185">
            <v>0</v>
          </cell>
          <cell r="L1185">
            <v>0</v>
          </cell>
          <cell r="M1185">
            <v>0</v>
          </cell>
          <cell r="N1185">
            <v>20.494762123430423</v>
          </cell>
          <cell r="O1185">
            <v>19.872143472728538</v>
          </cell>
          <cell r="P1185">
            <v>19.249524822026657</v>
          </cell>
          <cell r="Q1185">
            <v>18.62690617132451</v>
          </cell>
          <cell r="R1185">
            <v>18.004287520622629</v>
          </cell>
          <cell r="S1185">
            <v>17.381668869920812</v>
          </cell>
          <cell r="T1185">
            <v>17.088612501978194</v>
          </cell>
          <cell r="U1185">
            <v>16.795556134035646</v>
          </cell>
          <cell r="V1185">
            <v>16.502499766093031</v>
          </cell>
          <cell r="W1185">
            <v>16.209443398150412</v>
          </cell>
          <cell r="X1185">
            <v>15.916387030207929</v>
          </cell>
          <cell r="Y1185">
            <v>15.615045621630456</v>
          </cell>
          <cell r="Z1185">
            <v>15.313704213052983</v>
          </cell>
          <cell r="AA1185">
            <v>15.012362804475377</v>
          </cell>
          <cell r="AB1185">
            <v>14.711021395897903</v>
          </cell>
          <cell r="AC1185">
            <v>14.409679987320365</v>
          </cell>
          <cell r="AD1185">
            <v>14.261773553625442</v>
          </cell>
          <cell r="AE1185">
            <v>14.113867119930589</v>
          </cell>
          <cell r="AF1185">
            <v>13.965960686235666</v>
          </cell>
          <cell r="AG1185">
            <v>13.818054252540746</v>
          </cell>
          <cell r="AH1185">
            <v>13.670147818845892</v>
          </cell>
        </row>
        <row r="1186">
          <cell r="B1186" t="str">
            <v>Bio-oil (Pyrolysis) - Energy cost - Americas - USD/ton fuel</v>
          </cell>
          <cell r="G1186">
            <v>0</v>
          </cell>
          <cell r="H1186">
            <v>0</v>
          </cell>
          <cell r="I1186">
            <v>0</v>
          </cell>
          <cell r="J1186">
            <v>0</v>
          </cell>
          <cell r="K1186">
            <v>0</v>
          </cell>
          <cell r="L1186">
            <v>0</v>
          </cell>
          <cell r="M1186">
            <v>0</v>
          </cell>
          <cell r="N1186">
            <v>16.775372009521831</v>
          </cell>
          <cell r="O1186">
            <v>16.414719705807716</v>
          </cell>
          <cell r="P1186">
            <v>16.054067402093601</v>
          </cell>
          <cell r="Q1186">
            <v>15.693415098379484</v>
          </cell>
          <cell r="R1186">
            <v>15.332762794665367</v>
          </cell>
          <cell r="S1186">
            <v>14.972110490951186</v>
          </cell>
          <cell r="T1186">
            <v>14.679756862324826</v>
          </cell>
          <cell r="U1186">
            <v>14.387403233698466</v>
          </cell>
          <cell r="V1186">
            <v>14.09504960507204</v>
          </cell>
          <cell r="W1186">
            <v>13.802695976445682</v>
          </cell>
          <cell r="X1186">
            <v>13.510342347819289</v>
          </cell>
          <cell r="Y1186">
            <v>13.392562375804628</v>
          </cell>
          <cell r="Z1186">
            <v>13.274782403789969</v>
          </cell>
          <cell r="AA1186">
            <v>13.157002431775341</v>
          </cell>
          <cell r="AB1186">
            <v>13.03922245976068</v>
          </cell>
          <cell r="AC1186">
            <v>12.921442487746019</v>
          </cell>
          <cell r="AD1186">
            <v>12.832585835389422</v>
          </cell>
          <cell r="AE1186">
            <v>12.743729183032855</v>
          </cell>
          <cell r="AF1186">
            <v>12.65487253067629</v>
          </cell>
          <cell r="AG1186">
            <v>12.566015878319725</v>
          </cell>
          <cell r="AH1186">
            <v>12.47715922596316</v>
          </cell>
        </row>
        <row r="1187">
          <cell r="B1187" t="str">
            <v>Bio-oil (Pyrolysis) - Energy cost - Asia - USD/ton fuel</v>
          </cell>
          <cell r="G1187">
            <v>0</v>
          </cell>
          <cell r="H1187">
            <v>0</v>
          </cell>
          <cell r="I1187">
            <v>0</v>
          </cell>
          <cell r="J1187">
            <v>0</v>
          </cell>
          <cell r="K1187">
            <v>0</v>
          </cell>
          <cell r="L1187">
            <v>0</v>
          </cell>
          <cell r="M1187">
            <v>0</v>
          </cell>
          <cell r="N1187">
            <v>25.264531007502224</v>
          </cell>
          <cell r="O1187">
            <v>24.452626620601823</v>
          </cell>
          <cell r="P1187">
            <v>23.640722233701684</v>
          </cell>
          <cell r="Q1187">
            <v>22.828817846801815</v>
          </cell>
          <cell r="R1187">
            <v>22.01691345990168</v>
          </cell>
          <cell r="S1187">
            <v>21.205009073001541</v>
          </cell>
          <cell r="T1187">
            <v>20.792217212067769</v>
          </cell>
          <cell r="U1187">
            <v>20.379425351133992</v>
          </cell>
          <cell r="V1187">
            <v>19.966633490200351</v>
          </cell>
          <cell r="W1187">
            <v>19.553841629266575</v>
          </cell>
          <cell r="X1187">
            <v>19.141049768333065</v>
          </cell>
          <cell r="Y1187">
            <v>18.708968925123372</v>
          </cell>
          <cell r="Z1187">
            <v>18.27688808191381</v>
          </cell>
          <cell r="AA1187">
            <v>17.844807238704117</v>
          </cell>
          <cell r="AB1187">
            <v>17.412726395494555</v>
          </cell>
          <cell r="AC1187">
            <v>16.980645552284862</v>
          </cell>
          <cell r="AD1187">
            <v>16.782499004704672</v>
          </cell>
          <cell r="AE1187">
            <v>16.584352457124414</v>
          </cell>
          <cell r="AF1187">
            <v>16.386205909544227</v>
          </cell>
          <cell r="AG1187">
            <v>16.188059361964036</v>
          </cell>
          <cell r="AH1187">
            <v>15.98991281438378</v>
          </cell>
        </row>
        <row r="1188">
          <cell r="B1188" t="str">
            <v>Bio-oil (Pyrolysis) - Energy cost - Europe - USD/ton fuel</v>
          </cell>
          <cell r="G1188">
            <v>0</v>
          </cell>
          <cell r="H1188">
            <v>0</v>
          </cell>
          <cell r="I1188">
            <v>0</v>
          </cell>
          <cell r="J1188">
            <v>0</v>
          </cell>
          <cell r="K1188">
            <v>0</v>
          </cell>
          <cell r="L1188">
            <v>0</v>
          </cell>
          <cell r="M1188">
            <v>0</v>
          </cell>
          <cell r="N1188">
            <v>20.868294881527561</v>
          </cell>
          <cell r="O1188">
            <v>20.460066525465614</v>
          </cell>
          <cell r="P1188">
            <v>20.051838169404064</v>
          </cell>
          <cell r="Q1188">
            <v>19.64360981334238</v>
          </cell>
          <cell r="R1188">
            <v>19.235381457280695</v>
          </cell>
          <cell r="S1188">
            <v>18.827153101219146</v>
          </cell>
          <cell r="T1188">
            <v>18.583420023457375</v>
          </cell>
          <cell r="U1188">
            <v>18.339686945695668</v>
          </cell>
          <cell r="V1188">
            <v>18.095953867933964</v>
          </cell>
          <cell r="W1188">
            <v>17.852220790172261</v>
          </cell>
          <cell r="X1188">
            <v>17.608487712410422</v>
          </cell>
          <cell r="Y1188">
            <v>17.347737322630667</v>
          </cell>
          <cell r="Z1188">
            <v>17.086986932850841</v>
          </cell>
          <cell r="AA1188">
            <v>16.826236543071087</v>
          </cell>
          <cell r="AB1188">
            <v>16.565486153291264</v>
          </cell>
          <cell r="AC1188">
            <v>16.304735763511509</v>
          </cell>
          <cell r="AD1188">
            <v>16.114486909162757</v>
          </cell>
          <cell r="AE1188">
            <v>15.924238054813937</v>
          </cell>
          <cell r="AF1188">
            <v>15.733989200465185</v>
          </cell>
          <cell r="AG1188">
            <v>15.543740346116433</v>
          </cell>
          <cell r="AH1188">
            <v>15.353491491767615</v>
          </cell>
        </row>
        <row r="1189">
          <cell r="B1189" t="str">
            <v>Bio-oil (Pyrolysis) - Energy cost - Middle East - USD/ton fuel</v>
          </cell>
          <cell r="G1189">
            <v>0</v>
          </cell>
          <cell r="H1189">
            <v>0</v>
          </cell>
          <cell r="I1189">
            <v>0</v>
          </cell>
          <cell r="J1189">
            <v>0</v>
          </cell>
          <cell r="K1189">
            <v>0</v>
          </cell>
          <cell r="L1189">
            <v>0</v>
          </cell>
          <cell r="M1189">
            <v>0</v>
          </cell>
          <cell r="N1189">
            <v>16.54117213300913</v>
          </cell>
          <cell r="O1189">
            <v>16.096114567309272</v>
          </cell>
          <cell r="P1189">
            <v>15.651057001609544</v>
          </cell>
          <cell r="Q1189">
            <v>15.205999435909686</v>
          </cell>
          <cell r="R1189">
            <v>14.76094187020996</v>
          </cell>
          <cell r="S1189">
            <v>14.315884304510233</v>
          </cell>
          <cell r="T1189">
            <v>14.092737120859796</v>
          </cell>
          <cell r="U1189">
            <v>13.869589937209359</v>
          </cell>
          <cell r="V1189">
            <v>13.646442753558988</v>
          </cell>
          <cell r="W1189">
            <v>13.42329556990855</v>
          </cell>
          <cell r="X1189">
            <v>13.200148386258112</v>
          </cell>
          <cell r="Y1189">
            <v>12.907514049438412</v>
          </cell>
          <cell r="Z1189">
            <v>12.614879712618777</v>
          </cell>
          <cell r="AA1189">
            <v>12.322245375799074</v>
          </cell>
          <cell r="AB1189">
            <v>12.029611038979439</v>
          </cell>
          <cell r="AC1189">
            <v>11.736976702159705</v>
          </cell>
          <cell r="AD1189">
            <v>11.600014652527594</v>
          </cell>
          <cell r="AE1189">
            <v>11.463052602895518</v>
          </cell>
          <cell r="AF1189">
            <v>11.326090553263407</v>
          </cell>
          <cell r="AG1189">
            <v>11.189128503631297</v>
          </cell>
          <cell r="AH1189">
            <v>11.05216645399922</v>
          </cell>
        </row>
        <row r="1190">
          <cell r="B1190" t="str">
            <v>Renewable electricity - Cost of electricity - Africa - USD/MWh</v>
          </cell>
          <cell r="G1190">
            <v>58.389806930514169</v>
          </cell>
          <cell r="H1190">
            <v>51.533296245659585</v>
          </cell>
          <cell r="I1190">
            <v>44.676785560803182</v>
          </cell>
          <cell r="J1190">
            <v>42.765424685038852</v>
          </cell>
          <cell r="K1190">
            <v>40.854063809274521</v>
          </cell>
          <cell r="L1190">
            <v>38.942702933510191</v>
          </cell>
          <cell r="M1190">
            <v>37.031342057745405</v>
          </cell>
          <cell r="N1190">
            <v>35.119981181981075</v>
          </cell>
          <cell r="O1190">
            <v>34.053057098426962</v>
          </cell>
          <cell r="P1190">
            <v>32.986133014872848</v>
          </cell>
          <cell r="Q1190">
            <v>31.919208931318281</v>
          </cell>
          <cell r="R1190">
            <v>30.852284847764167</v>
          </cell>
          <cell r="S1190">
            <v>29.785360764210168</v>
          </cell>
          <cell r="T1190">
            <v>29.283177129903038</v>
          </cell>
          <cell r="U1190">
            <v>28.780993495596022</v>
          </cell>
          <cell r="V1190">
            <v>28.278809861288892</v>
          </cell>
          <cell r="W1190">
            <v>27.776626226981762</v>
          </cell>
          <cell r="X1190">
            <v>27.274442592674859</v>
          </cell>
          <cell r="Y1190">
            <v>26.758061649346246</v>
          </cell>
          <cell r="Z1190">
            <v>26.241680706017632</v>
          </cell>
          <cell r="AA1190">
            <v>25.725299762688792</v>
          </cell>
          <cell r="AB1190">
            <v>25.208918819360179</v>
          </cell>
          <cell r="AC1190">
            <v>24.692537876031452</v>
          </cell>
          <cell r="AD1190">
            <v>24.439084279606391</v>
          </cell>
          <cell r="AE1190">
            <v>24.185630683181444</v>
          </cell>
          <cell r="AF1190">
            <v>23.932177086756383</v>
          </cell>
          <cell r="AG1190">
            <v>23.678723490331322</v>
          </cell>
          <cell r="AH1190">
            <v>23.425269893906375</v>
          </cell>
        </row>
        <row r="1191">
          <cell r="B1191" t="str">
            <v>Renewable electricity - Cost of electricity - Americas - USD/MWh</v>
          </cell>
          <cell r="G1191">
            <v>36.687184539767031</v>
          </cell>
          <cell r="H1191">
            <v>35.927444151972622</v>
          </cell>
          <cell r="I1191">
            <v>35.167703764177986</v>
          </cell>
          <cell r="J1191">
            <v>33.883444176422017</v>
          </cell>
          <cell r="K1191">
            <v>32.599184588666049</v>
          </cell>
          <cell r="L1191">
            <v>31.31492500091008</v>
          </cell>
          <cell r="M1191">
            <v>30.030665413154566</v>
          </cell>
          <cell r="N1191">
            <v>28.746405825398597</v>
          </cell>
          <cell r="O1191">
            <v>28.128389278370832</v>
          </cell>
          <cell r="P1191">
            <v>27.510372731343068</v>
          </cell>
          <cell r="Q1191">
            <v>26.892356184315304</v>
          </cell>
          <cell r="R1191">
            <v>26.27433963728754</v>
          </cell>
          <cell r="S1191">
            <v>25.656323090259662</v>
          </cell>
          <cell r="T1191">
            <v>25.155343675421591</v>
          </cell>
          <cell r="U1191">
            <v>24.65436426058352</v>
          </cell>
          <cell r="V1191">
            <v>24.153384845745336</v>
          </cell>
          <cell r="W1191">
            <v>23.652405430907265</v>
          </cell>
          <cell r="X1191">
            <v>23.151426016069138</v>
          </cell>
          <cell r="Y1191">
            <v>22.949597354879643</v>
          </cell>
          <cell r="Z1191">
            <v>22.747768693690148</v>
          </cell>
          <cell r="AA1191">
            <v>22.54594003250071</v>
          </cell>
          <cell r="AB1191">
            <v>22.344111371311214</v>
          </cell>
          <cell r="AC1191">
            <v>22.142282710121719</v>
          </cell>
          <cell r="AD1191">
            <v>21.990017270793203</v>
          </cell>
          <cell r="AE1191">
            <v>21.837751831464743</v>
          </cell>
          <cell r="AF1191">
            <v>21.685486392136283</v>
          </cell>
          <cell r="AG1191">
            <v>21.533220952807824</v>
          </cell>
          <cell r="AH1191">
            <v>21.380955513479364</v>
          </cell>
        </row>
        <row r="1192">
          <cell r="B1192" t="str">
            <v>Renewable electricity - Cost of electricity - Asia - USD/MWh</v>
          </cell>
          <cell r="G1192">
            <v>64.941602489809156</v>
          </cell>
          <cell r="H1192">
            <v>59.234907936835953</v>
          </cell>
          <cell r="I1192">
            <v>53.528213383865477</v>
          </cell>
          <cell r="J1192">
            <v>51.481269434223577</v>
          </cell>
          <cell r="K1192">
            <v>49.434325484582587</v>
          </cell>
          <cell r="L1192">
            <v>47.387381534940687</v>
          </cell>
          <cell r="M1192">
            <v>45.340437585298787</v>
          </cell>
          <cell r="N1192">
            <v>43.293493635657796</v>
          </cell>
          <cell r="O1192">
            <v>41.902208066311687</v>
          </cell>
          <cell r="P1192">
            <v>40.510922496966032</v>
          </cell>
          <cell r="Q1192">
            <v>39.119636927620832</v>
          </cell>
          <cell r="R1192">
            <v>37.728351358275177</v>
          </cell>
          <cell r="S1192">
            <v>36.337065788929522</v>
          </cell>
          <cell r="T1192">
            <v>35.629702497725702</v>
          </cell>
          <cell r="U1192">
            <v>34.922339206521883</v>
          </cell>
          <cell r="V1192">
            <v>34.214975915318291</v>
          </cell>
          <cell r="W1192">
            <v>33.507612624114472</v>
          </cell>
          <cell r="X1192">
            <v>32.800249332911108</v>
          </cell>
          <cell r="Y1192">
            <v>32.059832294097532</v>
          </cell>
          <cell r="Z1192">
            <v>31.319415255284184</v>
          </cell>
          <cell r="AA1192">
            <v>30.578998216470609</v>
          </cell>
          <cell r="AB1192">
            <v>29.838581177657261</v>
          </cell>
          <cell r="AC1192">
            <v>29.098164138843686</v>
          </cell>
          <cell r="AD1192">
            <v>28.758618698873192</v>
          </cell>
          <cell r="AE1192">
            <v>28.419073258902586</v>
          </cell>
          <cell r="AF1192">
            <v>28.079527818932092</v>
          </cell>
          <cell r="AG1192">
            <v>27.739982378961599</v>
          </cell>
          <cell r="AH1192">
            <v>27.400436938990993</v>
          </cell>
        </row>
        <row r="1193">
          <cell r="B1193" t="str">
            <v>Renewable electricity - Cost of electricity - Europe - USD/MWh</v>
          </cell>
          <cell r="G1193">
            <v>48.345505357757247</v>
          </cell>
          <cell r="H1193">
            <v>46.261834393182653</v>
          </cell>
          <cell r="I1193">
            <v>44.178163428608059</v>
          </cell>
          <cell r="J1193">
            <v>42.49454469772445</v>
          </cell>
          <cell r="K1193">
            <v>40.810925966840387</v>
          </cell>
          <cell r="L1193">
            <v>39.127307235956778</v>
          </cell>
          <cell r="M1193">
            <v>37.443688505072714</v>
          </cell>
          <cell r="N1193">
            <v>35.760069774189105</v>
          </cell>
          <cell r="O1193">
            <v>35.060526539849434</v>
          </cell>
          <cell r="P1193">
            <v>34.360983305510445</v>
          </cell>
          <cell r="Q1193">
            <v>33.661440071171228</v>
          </cell>
          <cell r="R1193">
            <v>32.961896836832011</v>
          </cell>
          <cell r="S1193">
            <v>32.262353602493022</v>
          </cell>
          <cell r="T1193">
            <v>31.844690735616723</v>
          </cell>
          <cell r="U1193">
            <v>31.427027868740538</v>
          </cell>
          <cell r="V1193">
            <v>31.009365001864353</v>
          </cell>
          <cell r="W1193">
            <v>30.591702134988168</v>
          </cell>
          <cell r="X1193">
            <v>30.174039268111756</v>
          </cell>
          <cell r="Y1193">
            <v>29.72721540516045</v>
          </cell>
          <cell r="Z1193">
            <v>29.280391542209031</v>
          </cell>
          <cell r="AA1193">
            <v>28.833567679257726</v>
          </cell>
          <cell r="AB1193">
            <v>28.386743816306307</v>
          </cell>
          <cell r="AC1193">
            <v>27.939919953355002</v>
          </cell>
          <cell r="AD1193">
            <v>27.613908060931863</v>
          </cell>
          <cell r="AE1193">
            <v>27.28789616850861</v>
          </cell>
          <cell r="AF1193">
            <v>26.96188427608547</v>
          </cell>
          <cell r="AG1193">
            <v>26.635872383662331</v>
          </cell>
          <cell r="AH1193">
            <v>26.309860491239078</v>
          </cell>
        </row>
        <row r="1194">
          <cell r="B1194" t="str">
            <v>Renewable electricity - Cost of electricity - Middle East - USD/MWh</v>
          </cell>
          <cell r="G1194">
            <v>37.020316673163961</v>
          </cell>
          <cell r="H1194">
            <v>35.386702900434102</v>
          </cell>
          <cell r="I1194">
            <v>33.753089127703788</v>
          </cell>
          <cell r="J1194">
            <v>32.671487127187447</v>
          </cell>
          <cell r="K1194">
            <v>31.589885126671106</v>
          </cell>
          <cell r="L1194">
            <v>30.508283126154765</v>
          </cell>
          <cell r="M1194">
            <v>29.426681125638424</v>
          </cell>
          <cell r="N1194">
            <v>28.345079125122083</v>
          </cell>
          <cell r="O1194">
            <v>27.58242507536329</v>
          </cell>
          <cell r="P1194">
            <v>26.819771025604723</v>
          </cell>
          <cell r="Q1194">
            <v>26.057116975845929</v>
          </cell>
          <cell r="R1194">
            <v>25.294462926087363</v>
          </cell>
          <cell r="S1194">
            <v>24.531808876328796</v>
          </cell>
          <cell r="T1194">
            <v>24.149422155106208</v>
          </cell>
          <cell r="U1194">
            <v>23.76703543388362</v>
          </cell>
          <cell r="V1194">
            <v>23.384648712661146</v>
          </cell>
          <cell r="W1194">
            <v>23.002261991438559</v>
          </cell>
          <cell r="X1194">
            <v>22.619875270215971</v>
          </cell>
          <cell r="Y1194">
            <v>22.118414831670066</v>
          </cell>
          <cell r="Z1194">
            <v>21.616954393124274</v>
          </cell>
          <cell r="AA1194">
            <v>21.115493954578369</v>
          </cell>
          <cell r="AB1194">
            <v>20.614033516032578</v>
          </cell>
          <cell r="AC1194">
            <v>20.112573077486616</v>
          </cell>
          <cell r="AD1194">
            <v>19.877873861328055</v>
          </cell>
          <cell r="AE1194">
            <v>19.643174645169552</v>
          </cell>
          <cell r="AF1194">
            <v>19.408475429010991</v>
          </cell>
          <cell r="AG1194">
            <v>19.173776212852431</v>
          </cell>
          <cell r="AH1194">
            <v>18.939076996693927</v>
          </cell>
        </row>
        <row r="1195">
          <cell r="B1195" t="str">
            <v>Bio-oil (Pyrolysis) - Energy demand - Global - MWh/ton fuel</v>
          </cell>
          <cell r="G1195">
            <v>0</v>
          </cell>
          <cell r="H1195">
            <v>0</v>
          </cell>
          <cell r="I1195">
            <v>0</v>
          </cell>
          <cell r="J1195">
            <v>0</v>
          </cell>
          <cell r="K1195">
            <v>0</v>
          </cell>
          <cell r="L1195">
            <v>0</v>
          </cell>
          <cell r="M1195">
            <v>0</v>
          </cell>
          <cell r="N1195">
            <v>0.58356415446901266</v>
          </cell>
          <cell r="O1195">
            <v>0.58356415446901266</v>
          </cell>
          <cell r="P1195">
            <v>0.58356415446901266</v>
          </cell>
          <cell r="Q1195">
            <v>0.58356415446901266</v>
          </cell>
          <cell r="R1195">
            <v>0.58356415446901266</v>
          </cell>
          <cell r="S1195">
            <v>0.58356415446901266</v>
          </cell>
          <cell r="T1195">
            <v>0.58356415446901266</v>
          </cell>
          <cell r="U1195">
            <v>0.58356415446901266</v>
          </cell>
          <cell r="V1195">
            <v>0.58356415446901266</v>
          </cell>
          <cell r="W1195">
            <v>0.58356415446901266</v>
          </cell>
          <cell r="X1195">
            <v>0.58356415446901266</v>
          </cell>
          <cell r="Y1195">
            <v>0.58356415446901266</v>
          </cell>
          <cell r="Z1195">
            <v>0.58356415446901266</v>
          </cell>
          <cell r="AA1195">
            <v>0.58356415446901266</v>
          </cell>
          <cell r="AB1195">
            <v>0.58356415446901266</v>
          </cell>
          <cell r="AC1195">
            <v>0.58356415446901266</v>
          </cell>
          <cell r="AD1195">
            <v>0.58356415446901266</v>
          </cell>
          <cell r="AE1195">
            <v>0.58356415446901266</v>
          </cell>
          <cell r="AF1195">
            <v>0.58356415446901266</v>
          </cell>
          <cell r="AG1195">
            <v>0.58356415446901266</v>
          </cell>
          <cell r="AH1195">
            <v>0.58356415446901266</v>
          </cell>
        </row>
        <row r="1196">
          <cell r="B1196" t="str">
            <v/>
          </cell>
        </row>
        <row r="1197">
          <cell r="B1197" t="str">
            <v>Bio-oil (Pyrolysis) - Feedstock cost - Africa - USD/ton fuel</v>
          </cell>
          <cell r="G1197">
            <v>0</v>
          </cell>
          <cell r="H1197">
            <v>0</v>
          </cell>
          <cell r="I1197">
            <v>0</v>
          </cell>
          <cell r="J1197">
            <v>0</v>
          </cell>
          <cell r="K1197">
            <v>0</v>
          </cell>
          <cell r="L1197">
            <v>0</v>
          </cell>
          <cell r="M1197">
            <v>0</v>
          </cell>
          <cell r="N1197">
            <v>888.40587127978006</v>
          </cell>
          <cell r="O1197">
            <v>885.62056910963304</v>
          </cell>
          <cell r="P1197">
            <v>881.85031168260571</v>
          </cell>
          <cell r="Q1197">
            <v>877.10229627143349</v>
          </cell>
          <cell r="R1197">
            <v>871.38372014886249</v>
          </cell>
          <cell r="S1197">
            <v>864.70178058764964</v>
          </cell>
          <cell r="T1197">
            <v>860.67949868505139</v>
          </cell>
          <cell r="U1197">
            <v>855.97976467605633</v>
          </cell>
          <cell r="V1197">
            <v>850.60492705811953</v>
          </cell>
          <cell r="W1197">
            <v>844.55733432866714</v>
          </cell>
          <cell r="X1197">
            <v>837.83933498514693</v>
          </cell>
          <cell r="Y1197">
            <v>830.82377171450116</v>
          </cell>
          <cell r="Z1197">
            <v>823.49363537946965</v>
          </cell>
          <cell r="AA1197">
            <v>815.84755264205978</v>
          </cell>
          <cell r="AB1197">
            <v>807.88415016426438</v>
          </cell>
          <cell r="AC1197">
            <v>799.60205460808493</v>
          </cell>
          <cell r="AD1197">
            <v>793.945651004674</v>
          </cell>
          <cell r="AE1197">
            <v>788.13155494766465</v>
          </cell>
          <cell r="AF1197">
            <v>782.15890103325785</v>
          </cell>
          <cell r="AG1197">
            <v>776.02682385765729</v>
          </cell>
          <cell r="AH1197">
            <v>769.73445801706748</v>
          </cell>
        </row>
        <row r="1198">
          <cell r="B1198" t="str">
            <v>Bio-oil (Pyrolysis) - Feedstock cost - Americas - USD/ton fuel</v>
          </cell>
          <cell r="G1198">
            <v>0</v>
          </cell>
          <cell r="H1198">
            <v>0</v>
          </cell>
          <cell r="I1198">
            <v>0</v>
          </cell>
          <cell r="J1198">
            <v>0</v>
          </cell>
          <cell r="K1198">
            <v>0</v>
          </cell>
          <cell r="L1198">
            <v>0</v>
          </cell>
          <cell r="M1198">
            <v>0</v>
          </cell>
          <cell r="N1198">
            <v>718.18340262115771</v>
          </cell>
          <cell r="O1198">
            <v>717.19833589704308</v>
          </cell>
          <cell r="P1198">
            <v>715.20021664093724</v>
          </cell>
          <cell r="Q1198">
            <v>712.19321387828131</v>
          </cell>
          <cell r="R1198">
            <v>708.18149663451084</v>
          </cell>
          <cell r="S1198">
            <v>703.16923393507921</v>
          </cell>
          <cell r="T1198">
            <v>698.59957444461418</v>
          </cell>
          <cell r="U1198">
            <v>693.35875999334462</v>
          </cell>
          <cell r="V1198">
            <v>687.44913344710812</v>
          </cell>
          <cell r="W1198">
            <v>680.87303767171488</v>
          </cell>
          <cell r="X1198">
            <v>673.63281553299248</v>
          </cell>
          <cell r="Y1198">
            <v>668.93292227663062</v>
          </cell>
          <cell r="Z1198">
            <v>663.86444907834868</v>
          </cell>
          <cell r="AA1198">
            <v>658.42685916588835</v>
          </cell>
          <cell r="AB1198">
            <v>652.61961576697217</v>
          </cell>
          <cell r="AC1198">
            <v>646.44218210933741</v>
          </cell>
          <cell r="AD1198">
            <v>640.76183030346442</v>
          </cell>
          <cell r="AE1198">
            <v>634.90803481677119</v>
          </cell>
          <cell r="AF1198">
            <v>628.88027574703017</v>
          </cell>
          <cell r="AG1198">
            <v>622.67803319201403</v>
          </cell>
          <cell r="AH1198">
            <v>616.30078724949567</v>
          </cell>
        </row>
        <row r="1199">
          <cell r="B1199" t="str">
            <v>Bio-oil (Pyrolysis) - Feedstock cost - Asia - USD/ton fuel</v>
          </cell>
          <cell r="G1199">
            <v>0</v>
          </cell>
          <cell r="H1199">
            <v>0</v>
          </cell>
          <cell r="I1199">
            <v>0</v>
          </cell>
          <cell r="J1199">
            <v>0</v>
          </cell>
          <cell r="K1199">
            <v>0</v>
          </cell>
          <cell r="L1199">
            <v>0</v>
          </cell>
          <cell r="M1199">
            <v>0</v>
          </cell>
          <cell r="N1199">
            <v>751.9714310197329</v>
          </cell>
          <cell r="O1199">
            <v>745.79809284474231</v>
          </cell>
          <cell r="P1199">
            <v>738.65207775009912</v>
          </cell>
          <cell r="Q1199">
            <v>730.54277109119971</v>
          </cell>
          <cell r="R1199">
            <v>721.4795582234301</v>
          </cell>
          <cell r="S1199">
            <v>711.4718245022076</v>
          </cell>
          <cell r="T1199">
            <v>705.72156080071181</v>
          </cell>
          <cell r="U1199">
            <v>699.30738909277181</v>
          </cell>
          <cell r="V1199">
            <v>692.2326174130892</v>
          </cell>
          <cell r="W1199">
            <v>684.50055379632681</v>
          </cell>
          <cell r="X1199">
            <v>676.11450627717818</v>
          </cell>
          <cell r="Y1199">
            <v>666.45214180293965</v>
          </cell>
          <cell r="Z1199">
            <v>656.51596541333424</v>
          </cell>
          <cell r="AA1199">
            <v>646.30400793644571</v>
          </cell>
          <cell r="AB1199">
            <v>635.81430020034236</v>
          </cell>
          <cell r="AC1199">
            <v>625.04487303310214</v>
          </cell>
          <cell r="AD1199">
            <v>618.59394286904399</v>
          </cell>
          <cell r="AE1199">
            <v>612.00126626937583</v>
          </cell>
          <cell r="AF1199">
            <v>605.26568387428972</v>
          </cell>
          <cell r="AG1199">
            <v>598.3860363239769</v>
          </cell>
          <cell r="AH1199">
            <v>591.36116425862872</v>
          </cell>
        </row>
        <row r="1200">
          <cell r="B1200" t="str">
            <v>Bio-oil (Pyrolysis) - Feedstock cost - Europe - USD/ton fuel</v>
          </cell>
          <cell r="G1200">
            <v>0</v>
          </cell>
          <cell r="H1200">
            <v>0</v>
          </cell>
          <cell r="I1200">
            <v>0</v>
          </cell>
          <cell r="J1200">
            <v>0</v>
          </cell>
          <cell r="K1200">
            <v>0</v>
          </cell>
          <cell r="L1200">
            <v>0</v>
          </cell>
          <cell r="M1200">
            <v>0</v>
          </cell>
          <cell r="N1200">
            <v>810.10360082312388</v>
          </cell>
          <cell r="O1200">
            <v>809.02976582956603</v>
          </cell>
          <cell r="P1200">
            <v>806.9348129171608</v>
          </cell>
          <cell r="Q1200">
            <v>803.82346107531123</v>
          </cell>
          <cell r="R1200">
            <v>799.70042929342412</v>
          </cell>
          <cell r="S1200">
            <v>794.57043656092594</v>
          </cell>
          <cell r="T1200">
            <v>790.18042668339331</v>
          </cell>
          <cell r="U1200">
            <v>785.09931696035699</v>
          </cell>
          <cell r="V1200">
            <v>779.32906062190114</v>
          </cell>
          <cell r="W1200">
            <v>772.87161089807591</v>
          </cell>
          <cell r="X1200">
            <v>765.72892101895377</v>
          </cell>
          <cell r="Y1200">
            <v>758.91699661857956</v>
          </cell>
          <cell r="Z1200">
            <v>751.78193538238713</v>
          </cell>
          <cell r="AA1200">
            <v>744.32254896252448</v>
          </cell>
          <cell r="AB1200">
            <v>736.53764901111754</v>
          </cell>
          <cell r="AC1200">
            <v>728.42604718030896</v>
          </cell>
          <cell r="AD1200">
            <v>722.1301115815736</v>
          </cell>
          <cell r="AE1200">
            <v>715.68939283177997</v>
          </cell>
          <cell r="AF1200">
            <v>709.1027777806969</v>
          </cell>
          <cell r="AG1200">
            <v>702.36915327809254</v>
          </cell>
          <cell r="AH1200">
            <v>695.48740617373494</v>
          </cell>
        </row>
        <row r="1201">
          <cell r="B1201" t="str">
            <v>Bio-oil (Pyrolysis) - Feedstock cost - Middle East - USD/ton fuel</v>
          </cell>
          <cell r="G1201">
            <v>0</v>
          </cell>
          <cell r="H1201">
            <v>0</v>
          </cell>
          <cell r="I1201">
            <v>0</v>
          </cell>
          <cell r="J1201">
            <v>0</v>
          </cell>
          <cell r="K1201">
            <v>0</v>
          </cell>
          <cell r="L1201">
            <v>0</v>
          </cell>
          <cell r="M1201">
            <v>0</v>
          </cell>
          <cell r="N1201">
            <v>813.89877525467091</v>
          </cell>
          <cell r="O1201">
            <v>811.9364064525339</v>
          </cell>
          <cell r="P1201">
            <v>808.97555809681944</v>
          </cell>
          <cell r="Q1201">
            <v>805.02137491083624</v>
          </cell>
          <cell r="R1201">
            <v>800.07900161789394</v>
          </cell>
          <cell r="S1201">
            <v>794.15358294131534</v>
          </cell>
          <cell r="T1201">
            <v>791.22066699038601</v>
          </cell>
          <cell r="U1201">
            <v>787.60461746565079</v>
          </cell>
          <cell r="V1201">
            <v>783.30722262579081</v>
          </cell>
          <cell r="W1201">
            <v>778.3302707294564</v>
          </cell>
          <cell r="X1201">
            <v>772.67555003531993</v>
          </cell>
          <cell r="Y1201">
            <v>765.34270468022237</v>
          </cell>
          <cell r="Z1201">
            <v>757.68877152746052</v>
          </cell>
          <cell r="AA1201">
            <v>749.71241692078524</v>
          </cell>
          <cell r="AB1201">
            <v>741.41230720393219</v>
          </cell>
          <cell r="AC1201">
            <v>732.78710872064642</v>
          </cell>
          <cell r="AD1201">
            <v>726.74978906731621</v>
          </cell>
          <cell r="AE1201">
            <v>720.54718288714002</v>
          </cell>
          <cell r="AF1201">
            <v>714.17848881215241</v>
          </cell>
          <cell r="AG1201">
            <v>707.64290547438884</v>
          </cell>
          <cell r="AH1201">
            <v>700.93963150588468</v>
          </cell>
        </row>
        <row r="1202">
          <cell r="B1202" t="str">
            <v>e-hydrogen (compressed) - Price - Africa - USD/ton</v>
          </cell>
          <cell r="G1202">
            <v>4633.1233423090589</v>
          </cell>
          <cell r="H1202">
            <v>4201.9656446218651</v>
          </cell>
          <cell r="I1202">
            <v>3768.1364126730182</v>
          </cell>
          <cell r="J1202">
            <v>3627.6640614332246</v>
          </cell>
          <cell r="K1202">
            <v>3482.0419503382509</v>
          </cell>
          <cell r="L1202">
            <v>3331.3728662299636</v>
          </cell>
          <cell r="M1202">
            <v>3175.7595959503119</v>
          </cell>
          <cell r="N1202">
            <v>3015.3049263411149</v>
          </cell>
          <cell r="O1202">
            <v>2957.5120355923382</v>
          </cell>
          <cell r="P1202">
            <v>2892.1425659444694</v>
          </cell>
          <cell r="Q1202">
            <v>2819.2518810339607</v>
          </cell>
          <cell r="R1202">
            <v>2738.8953444973072</v>
          </cell>
          <cell r="S1202">
            <v>2651.1283199710874</v>
          </cell>
          <cell r="T1202">
            <v>2589.8814487511354</v>
          </cell>
          <cell r="U1202">
            <v>2523.4234074819769</v>
          </cell>
          <cell r="V1202">
            <v>2451.7722615286521</v>
          </cell>
          <cell r="W1202">
            <v>2374.9460762559747</v>
          </cell>
          <cell r="X1202">
            <v>2292.9629170289318</v>
          </cell>
          <cell r="Y1202">
            <v>2208.6908045163059</v>
          </cell>
          <cell r="Z1202">
            <v>2121.9988992007134</v>
          </cell>
          <cell r="AA1202">
            <v>2032.876636943749</v>
          </cell>
          <cell r="AB1202">
            <v>1941.3134536068953</v>
          </cell>
          <cell r="AC1202">
            <v>1847.2987850517036</v>
          </cell>
          <cell r="AD1202">
            <v>1773.4817469024235</v>
          </cell>
          <cell r="AE1202">
            <v>1698.451689879309</v>
          </cell>
          <cell r="AF1202">
            <v>1622.2019570300602</v>
          </cell>
          <cell r="AG1202">
            <v>1544.7258914023987</v>
          </cell>
          <cell r="AH1202">
            <v>1466.0168360440496</v>
          </cell>
        </row>
        <row r="1203">
          <cell r="B1203" t="str">
            <v>e-hydrogen (compressed) - Price - Americas - USD/ton</v>
          </cell>
          <cell r="G1203">
            <v>3458.2747756282647</v>
          </cell>
          <cell r="H1203">
            <v>3358.1215141660286</v>
          </cell>
          <cell r="I1203">
            <v>3254.6459956552549</v>
          </cell>
          <cell r="J1203">
            <v>3148.9921734049194</v>
          </cell>
          <cell r="K1203">
            <v>3038.2017033305151</v>
          </cell>
          <cell r="L1203">
            <v>2922.3436487831009</v>
          </cell>
          <cell r="M1203">
            <v>2801.4870731138512</v>
          </cell>
          <cell r="N1203">
            <v>2675.701039673685</v>
          </cell>
          <cell r="O1203">
            <v>2643.8786103743646</v>
          </cell>
          <cell r="P1203">
            <v>2604.2634692905026</v>
          </cell>
          <cell r="Q1203">
            <v>2556.8876858485628</v>
          </cell>
          <cell r="R1203">
            <v>2501.7833294749726</v>
          </cell>
          <cell r="S1203">
            <v>2438.9824695962966</v>
          </cell>
          <cell r="T1203">
            <v>2379.5862497865878</v>
          </cell>
          <cell r="U1203">
            <v>2315.0272995091577</v>
          </cell>
          <cell r="V1203">
            <v>2245.3236408089065</v>
          </cell>
          <cell r="W1203">
            <v>2170.4932957305264</v>
          </cell>
          <cell r="X1203">
            <v>2090.5542863188448</v>
          </cell>
          <cell r="Y1203">
            <v>2024.0950200699413</v>
          </cell>
          <cell r="Z1203">
            <v>1954.8005234985762</v>
          </cell>
          <cell r="AA1203">
            <v>1882.6666675873769</v>
          </cell>
          <cell r="AB1203">
            <v>1807.6893233188264</v>
          </cell>
          <cell r="AC1203">
            <v>1729.8643616755162</v>
          </cell>
          <cell r="AD1203">
            <v>1661.9243548242082</v>
          </cell>
          <cell r="AE1203">
            <v>1592.6501658127502</v>
          </cell>
          <cell r="AF1203">
            <v>1522.0377953932327</v>
          </cell>
          <cell r="AG1203">
            <v>1450.083244317753</v>
          </cell>
          <cell r="AH1203">
            <v>1376.7825133384104</v>
          </cell>
        </row>
        <row r="1204">
          <cell r="B1204" t="str">
            <v>e-hydrogen (compressed) - Price - Asia - USD/ton</v>
          </cell>
          <cell r="G1204">
            <v>4987.7978827141424</v>
          </cell>
          <cell r="H1204">
            <v>4618.4094108214867</v>
          </cell>
          <cell r="I1204">
            <v>4246.1135151183844</v>
          </cell>
          <cell r="J1204">
            <v>4097.3824826576747</v>
          </cell>
          <cell r="K1204">
            <v>3943.3770419350276</v>
          </cell>
          <cell r="L1204">
            <v>3784.2072710139482</v>
          </cell>
          <cell r="M1204">
            <v>3619.9832479582124</v>
          </cell>
          <cell r="N1204">
            <v>3450.8150508313697</v>
          </cell>
          <cell r="O1204">
            <v>3373.0215929007072</v>
          </cell>
          <cell r="P1204">
            <v>3287.7460048188714</v>
          </cell>
          <cell r="Q1204">
            <v>3195.0604816273712</v>
          </cell>
          <cell r="R1204">
            <v>3095.0372183676395</v>
          </cell>
          <cell r="S1204">
            <v>2987.7484100813476</v>
          </cell>
          <cell r="T1204">
            <v>2913.2093711775688</v>
          </cell>
          <cell r="U1204">
            <v>2833.5633476088337</v>
          </cell>
          <cell r="V1204">
            <v>2748.8357857959254</v>
          </cell>
          <cell r="W1204">
            <v>2659.0521321593251</v>
          </cell>
          <cell r="X1204">
            <v>2564.2378331197551</v>
          </cell>
          <cell r="Y1204">
            <v>2465.6669595887115</v>
          </cell>
          <cell r="Z1204">
            <v>2364.9898405548524</v>
          </cell>
          <cell r="AA1204">
            <v>2262.1913285418932</v>
          </cell>
          <cell r="AB1204">
            <v>2157.2562760734354</v>
          </cell>
          <cell r="AC1204">
            <v>2050.1695356731543</v>
          </cell>
          <cell r="AD1204">
            <v>1970.240754749665</v>
          </cell>
          <cell r="AE1204">
            <v>1889.2216166291751</v>
          </cell>
          <cell r="AF1204">
            <v>1807.1032031593165</v>
          </cell>
          <cell r="AG1204">
            <v>1723.8765961877139</v>
          </cell>
          <cell r="AH1204">
            <v>1639.532877561993</v>
          </cell>
        </row>
        <row r="1205">
          <cell r="B1205" t="str">
            <v>e-hydrogen (compressed) - Price - Europe - USD/ton</v>
          </cell>
          <cell r="G1205">
            <v>4089.3856734873298</v>
          </cell>
          <cell r="H1205">
            <v>3916.9256406265708</v>
          </cell>
          <cell r="I1205">
            <v>3741.2108175344811</v>
          </cell>
          <cell r="J1205">
            <v>3613.0656692355524</v>
          </cell>
          <cell r="K1205">
            <v>3479.7225571491235</v>
          </cell>
          <cell r="L1205">
            <v>3341.2720208768683</v>
          </cell>
          <cell r="M1205">
            <v>3197.8046000204672</v>
          </cell>
          <cell r="N1205">
            <v>3049.4108341814967</v>
          </cell>
          <cell r="O1205">
            <v>3010.8443238003165</v>
          </cell>
          <cell r="P1205">
            <v>2964.4230601972345</v>
          </cell>
          <cell r="Q1205">
            <v>2910.1833432907338</v>
          </cell>
          <cell r="R1205">
            <v>2848.1614729993285</v>
          </cell>
          <cell r="S1205">
            <v>2778.3937492416853</v>
          </cell>
          <cell r="T1205">
            <v>2720.379449531456</v>
          </cell>
          <cell r="U1205">
            <v>2657.0489971635134</v>
          </cell>
          <cell r="V1205">
            <v>2588.4174169846506</v>
          </cell>
          <cell r="W1205">
            <v>2514.4997338414096</v>
          </cell>
          <cell r="X1205">
            <v>2435.3109725804993</v>
          </cell>
          <cell r="Y1205">
            <v>2352.605312916116</v>
          </cell>
          <cell r="Z1205">
            <v>2267.4139852839012</v>
          </cell>
          <cell r="AA1205">
            <v>2179.7278485465313</v>
          </cell>
          <cell r="AB1205">
            <v>2089.5377615665116</v>
          </cell>
          <cell r="AC1205">
            <v>1996.8345832064804</v>
          </cell>
          <cell r="AD1205">
            <v>1918.0980681700892</v>
          </cell>
          <cell r="AE1205">
            <v>1838.2478365870952</v>
          </cell>
          <cell r="AF1205">
            <v>1757.2753257634138</v>
          </cell>
          <cell r="AG1205">
            <v>1675.1719730049533</v>
          </cell>
          <cell r="AH1205">
            <v>1591.929215617622</v>
          </cell>
        </row>
        <row r="1206">
          <cell r="B1206" t="str">
            <v>e-hydrogen (compressed) - Price - Middle East - USD/ton</v>
          </cell>
          <cell r="G1206">
            <v>3476.3085322126099</v>
          </cell>
          <cell r="H1206">
            <v>3328.8823974252828</v>
          </cell>
          <cell r="I1206">
            <v>3178.2568052856477</v>
          </cell>
          <cell r="J1206">
            <v>3083.6768117686811</v>
          </cell>
          <cell r="K1206">
            <v>2983.9346800894909</v>
          </cell>
          <cell r="L1206">
            <v>2879.0885753257426</v>
          </cell>
          <cell r="M1206">
            <v>2769.1966625551941</v>
          </cell>
          <cell r="N1206">
            <v>2654.3171068554188</v>
          </cell>
          <cell r="O1206">
            <v>2614.9769692636173</v>
          </cell>
          <cell r="P1206">
            <v>2567.9562197212276</v>
          </cell>
          <cell r="Q1206">
            <v>2513.2944330229238</v>
          </cell>
          <cell r="R1206">
            <v>2451.0311839633964</v>
          </cell>
          <cell r="S1206">
            <v>2381.2060473374368</v>
          </cell>
          <cell r="T1206">
            <v>2328.338914207246</v>
          </cell>
          <cell r="U1206">
            <v>2270.2169074323938</v>
          </cell>
          <cell r="V1206">
            <v>2206.8537828488898</v>
          </cell>
          <cell r="W1206">
            <v>2138.2632962925059</v>
          </cell>
          <cell r="X1206">
            <v>2064.4592035991823</v>
          </cell>
          <cell r="Y1206">
            <v>1983.8077079076854</v>
          </cell>
          <cell r="Z1206">
            <v>1900.6863060803155</v>
          </cell>
          <cell r="AA1206">
            <v>1815.084739222842</v>
          </cell>
          <cell r="AB1206">
            <v>1726.9927484409238</v>
          </cell>
          <cell r="AC1206">
            <v>1636.4000748402937</v>
          </cell>
          <cell r="AD1206">
            <v>1565.7141614700843</v>
          </cell>
          <cell r="AE1206">
            <v>1493.7568132779884</v>
          </cell>
          <cell r="AF1206">
            <v>1420.5218658950355</v>
          </cell>
          <cell r="AG1206">
            <v>1346.0031549522671</v>
          </cell>
          <cell r="AH1206">
            <v>1270.1945160807259</v>
          </cell>
        </row>
        <row r="1207">
          <cell r="B1207" t="str">
            <v>Wood - Price - Africa - USD/ton</v>
          </cell>
          <cell r="G1207">
            <v>119</v>
          </cell>
          <cell r="H1207">
            <v>120</v>
          </cell>
          <cell r="I1207">
            <v>121</v>
          </cell>
          <cell r="J1207">
            <v>122</v>
          </cell>
          <cell r="K1207">
            <v>123</v>
          </cell>
          <cell r="L1207">
            <v>124</v>
          </cell>
          <cell r="M1207">
            <v>125</v>
          </cell>
          <cell r="N1207">
            <v>126</v>
          </cell>
          <cell r="O1207">
            <v>127.19999999999982</v>
          </cell>
          <cell r="P1207">
            <v>128.40000000000009</v>
          </cell>
          <cell r="Q1207">
            <v>129.59999999999991</v>
          </cell>
          <cell r="R1207">
            <v>130.79999999999973</v>
          </cell>
          <cell r="S1207">
            <v>132</v>
          </cell>
          <cell r="T1207">
            <v>133</v>
          </cell>
          <cell r="U1207">
            <v>134</v>
          </cell>
          <cell r="V1207">
            <v>135</v>
          </cell>
          <cell r="W1207">
            <v>136</v>
          </cell>
          <cell r="X1207">
            <v>137</v>
          </cell>
          <cell r="Y1207">
            <v>138</v>
          </cell>
          <cell r="Z1207">
            <v>139</v>
          </cell>
          <cell r="AA1207">
            <v>140</v>
          </cell>
          <cell r="AB1207">
            <v>141</v>
          </cell>
          <cell r="AC1207">
            <v>142</v>
          </cell>
          <cell r="AD1207">
            <v>143</v>
          </cell>
          <cell r="AE1207">
            <v>144</v>
          </cell>
          <cell r="AF1207">
            <v>145</v>
          </cell>
          <cell r="AG1207">
            <v>146</v>
          </cell>
          <cell r="AH1207">
            <v>147</v>
          </cell>
        </row>
        <row r="1208">
          <cell r="B1208" t="str">
            <v>Wood - Price - Americas - USD/ton</v>
          </cell>
          <cell r="G1208">
            <v>87.400000000000091</v>
          </cell>
          <cell r="H1208">
            <v>88.200000000000045</v>
          </cell>
          <cell r="I1208">
            <v>89</v>
          </cell>
          <cell r="J1208">
            <v>90</v>
          </cell>
          <cell r="K1208">
            <v>91</v>
          </cell>
          <cell r="L1208">
            <v>92</v>
          </cell>
          <cell r="M1208">
            <v>93</v>
          </cell>
          <cell r="N1208">
            <v>94</v>
          </cell>
          <cell r="O1208">
            <v>94.800000000000182</v>
          </cell>
          <cell r="P1208">
            <v>95.600000000000136</v>
          </cell>
          <cell r="Q1208">
            <v>96.400000000000091</v>
          </cell>
          <cell r="R1208">
            <v>97.200000000000045</v>
          </cell>
          <cell r="S1208">
            <v>98</v>
          </cell>
          <cell r="T1208">
            <v>98.800000000000182</v>
          </cell>
          <cell r="U1208">
            <v>99.600000000000136</v>
          </cell>
          <cell r="V1208">
            <v>100.40000000000009</v>
          </cell>
          <cell r="W1208">
            <v>101.20000000000005</v>
          </cell>
          <cell r="X1208">
            <v>102</v>
          </cell>
          <cell r="Y1208">
            <v>103</v>
          </cell>
          <cell r="Z1208">
            <v>104</v>
          </cell>
          <cell r="AA1208">
            <v>105</v>
          </cell>
          <cell r="AB1208">
            <v>106</v>
          </cell>
          <cell r="AC1208">
            <v>107</v>
          </cell>
          <cell r="AD1208">
            <v>107.80000000000018</v>
          </cell>
          <cell r="AE1208">
            <v>108.60000000000014</v>
          </cell>
          <cell r="AF1208">
            <v>109.40000000000009</v>
          </cell>
          <cell r="AG1208">
            <v>110.20000000000005</v>
          </cell>
          <cell r="AH1208">
            <v>111</v>
          </cell>
        </row>
        <row r="1209">
          <cell r="B1209" t="str">
            <v>Wood - Price - Asia - USD/ton</v>
          </cell>
          <cell r="G1209">
            <v>71</v>
          </cell>
          <cell r="H1209">
            <v>72</v>
          </cell>
          <cell r="I1209">
            <v>73</v>
          </cell>
          <cell r="J1209">
            <v>73.800000000000182</v>
          </cell>
          <cell r="K1209">
            <v>74.600000000000136</v>
          </cell>
          <cell r="L1209">
            <v>75.400000000000091</v>
          </cell>
          <cell r="M1209">
            <v>76.200000000000045</v>
          </cell>
          <cell r="N1209">
            <v>77</v>
          </cell>
          <cell r="O1209">
            <v>78</v>
          </cell>
          <cell r="P1209">
            <v>79</v>
          </cell>
          <cell r="Q1209">
            <v>80</v>
          </cell>
          <cell r="R1209">
            <v>81</v>
          </cell>
          <cell r="S1209">
            <v>82</v>
          </cell>
          <cell r="T1209">
            <v>83</v>
          </cell>
          <cell r="U1209">
            <v>84</v>
          </cell>
          <cell r="V1209">
            <v>85</v>
          </cell>
          <cell r="W1209">
            <v>86</v>
          </cell>
          <cell r="X1209">
            <v>87</v>
          </cell>
          <cell r="Y1209">
            <v>87.800000000000182</v>
          </cell>
          <cell r="Z1209">
            <v>88.600000000000136</v>
          </cell>
          <cell r="AA1209">
            <v>89.400000000000091</v>
          </cell>
          <cell r="AB1209">
            <v>90.200000000000045</v>
          </cell>
          <cell r="AC1209">
            <v>91</v>
          </cell>
          <cell r="AD1209">
            <v>92</v>
          </cell>
          <cell r="AE1209">
            <v>93</v>
          </cell>
          <cell r="AF1209">
            <v>94</v>
          </cell>
          <cell r="AG1209">
            <v>95</v>
          </cell>
          <cell r="AH1209">
            <v>96</v>
          </cell>
        </row>
        <row r="1210">
          <cell r="B1210" t="str">
            <v>Wood - Price - Europe - USD/ton</v>
          </cell>
          <cell r="G1210">
            <v>98</v>
          </cell>
          <cell r="H1210">
            <v>99</v>
          </cell>
          <cell r="I1210">
            <v>100</v>
          </cell>
          <cell r="J1210">
            <v>101</v>
          </cell>
          <cell r="K1210">
            <v>102</v>
          </cell>
          <cell r="L1210">
            <v>103</v>
          </cell>
          <cell r="M1210">
            <v>104</v>
          </cell>
          <cell r="N1210">
            <v>105</v>
          </cell>
          <cell r="O1210">
            <v>106</v>
          </cell>
          <cell r="P1210">
            <v>107</v>
          </cell>
          <cell r="Q1210">
            <v>108</v>
          </cell>
          <cell r="R1210">
            <v>109</v>
          </cell>
          <cell r="S1210">
            <v>110</v>
          </cell>
          <cell r="T1210">
            <v>110.80000000000018</v>
          </cell>
          <cell r="U1210">
            <v>111.60000000000014</v>
          </cell>
          <cell r="V1210">
            <v>112.40000000000009</v>
          </cell>
          <cell r="W1210">
            <v>113.20000000000005</v>
          </cell>
          <cell r="X1210">
            <v>114</v>
          </cell>
          <cell r="Y1210">
            <v>115</v>
          </cell>
          <cell r="Z1210">
            <v>116</v>
          </cell>
          <cell r="AA1210">
            <v>117</v>
          </cell>
          <cell r="AB1210">
            <v>118</v>
          </cell>
          <cell r="AC1210">
            <v>119</v>
          </cell>
          <cell r="AD1210">
            <v>120</v>
          </cell>
          <cell r="AE1210">
            <v>121</v>
          </cell>
          <cell r="AF1210">
            <v>122</v>
          </cell>
          <cell r="AG1210">
            <v>123</v>
          </cell>
          <cell r="AH1210">
            <v>124</v>
          </cell>
        </row>
        <row r="1211">
          <cell r="B1211" t="str">
            <v>Wood - Price - Middle East - USD/ton</v>
          </cell>
          <cell r="G1211">
            <v>113.40000000000009</v>
          </cell>
          <cell r="H1211">
            <v>114.20000000000005</v>
          </cell>
          <cell r="I1211">
            <v>115</v>
          </cell>
          <cell r="J1211">
            <v>115.80000000000018</v>
          </cell>
          <cell r="K1211">
            <v>116.60000000000014</v>
          </cell>
          <cell r="L1211">
            <v>117.40000000000009</v>
          </cell>
          <cell r="M1211">
            <v>118.20000000000005</v>
          </cell>
          <cell r="N1211">
            <v>119</v>
          </cell>
          <cell r="O1211">
            <v>119.80000000000018</v>
          </cell>
          <cell r="P1211">
            <v>120.60000000000014</v>
          </cell>
          <cell r="Q1211">
            <v>121.40000000000009</v>
          </cell>
          <cell r="R1211">
            <v>122.20000000000005</v>
          </cell>
          <cell r="S1211">
            <v>123</v>
          </cell>
          <cell r="T1211">
            <v>124</v>
          </cell>
          <cell r="U1211">
            <v>125</v>
          </cell>
          <cell r="V1211">
            <v>126</v>
          </cell>
          <cell r="W1211">
            <v>127</v>
          </cell>
          <cell r="X1211">
            <v>128</v>
          </cell>
          <cell r="Y1211">
            <v>128.80000000000018</v>
          </cell>
          <cell r="Z1211">
            <v>129.60000000000014</v>
          </cell>
          <cell r="AA1211">
            <v>130.40000000000009</v>
          </cell>
          <cell r="AB1211">
            <v>131.20000000000005</v>
          </cell>
          <cell r="AC1211">
            <v>132</v>
          </cell>
          <cell r="AD1211">
            <v>132.80000000000018</v>
          </cell>
          <cell r="AE1211">
            <v>133.60000000000014</v>
          </cell>
          <cell r="AF1211">
            <v>134.40000000000009</v>
          </cell>
          <cell r="AG1211">
            <v>135.20000000000005</v>
          </cell>
          <cell r="AH1211">
            <v>136</v>
          </cell>
        </row>
        <row r="1212">
          <cell r="B1212" t="str">
            <v>Bio-oil (Pyrolysis) - Conversion H2 -&gt; Bio-diesel (Pyrolysis) - Global - ton H2/ton diesel</v>
          </cell>
          <cell r="G1212">
            <v>0</v>
          </cell>
          <cell r="H1212">
            <v>0</v>
          </cell>
          <cell r="I1212">
            <v>0</v>
          </cell>
          <cell r="J1212">
            <v>0</v>
          </cell>
          <cell r="K1212">
            <v>0</v>
          </cell>
          <cell r="L1212">
            <v>0</v>
          </cell>
          <cell r="M1212">
            <v>0</v>
          </cell>
          <cell r="N1212">
            <v>0.13</v>
          </cell>
          <cell r="O1212">
            <v>0.13</v>
          </cell>
          <cell r="P1212">
            <v>0.13</v>
          </cell>
          <cell r="Q1212">
            <v>0.13</v>
          </cell>
          <cell r="R1212">
            <v>0.13</v>
          </cell>
          <cell r="S1212">
            <v>0.13</v>
          </cell>
          <cell r="T1212">
            <v>0.13</v>
          </cell>
          <cell r="U1212">
            <v>0.13</v>
          </cell>
          <cell r="V1212">
            <v>0.13</v>
          </cell>
          <cell r="W1212">
            <v>0.13</v>
          </cell>
          <cell r="X1212">
            <v>0.13</v>
          </cell>
          <cell r="Y1212">
            <v>0.13</v>
          </cell>
          <cell r="Z1212">
            <v>0.13</v>
          </cell>
          <cell r="AA1212">
            <v>0.13</v>
          </cell>
          <cell r="AB1212">
            <v>0.13</v>
          </cell>
          <cell r="AC1212">
            <v>0.13</v>
          </cell>
          <cell r="AD1212">
            <v>0.13</v>
          </cell>
          <cell r="AE1212">
            <v>0.13</v>
          </cell>
          <cell r="AF1212">
            <v>0.13</v>
          </cell>
          <cell r="AG1212">
            <v>0.13</v>
          </cell>
          <cell r="AH1212">
            <v>0.13</v>
          </cell>
        </row>
        <row r="1213">
          <cell r="B1213" t="str">
            <v>Bio-oil (Pyrolysis) - Conversion wood -&gt; Bio-diesel (Pyrolysis) - Global - ton wood/ton diesel</v>
          </cell>
          <cell r="G1213">
            <v>0</v>
          </cell>
          <cell r="H1213">
            <v>0</v>
          </cell>
          <cell r="I1213">
            <v>0</v>
          </cell>
          <cell r="J1213">
            <v>0</v>
          </cell>
          <cell r="K1213">
            <v>0</v>
          </cell>
          <cell r="L1213">
            <v>0</v>
          </cell>
          <cell r="M1213">
            <v>0</v>
          </cell>
          <cell r="N1213">
            <v>3.9398113559955168</v>
          </cell>
          <cell r="O1213">
            <v>3.9398113559955168</v>
          </cell>
          <cell r="P1213">
            <v>3.9398113559955168</v>
          </cell>
          <cell r="Q1213">
            <v>3.9398113559955168</v>
          </cell>
          <cell r="R1213">
            <v>3.9398113559955168</v>
          </cell>
          <cell r="S1213">
            <v>3.9398113559955168</v>
          </cell>
          <cell r="T1213">
            <v>3.9398113559955168</v>
          </cell>
          <cell r="U1213">
            <v>3.9398113559955168</v>
          </cell>
          <cell r="V1213">
            <v>3.9398113559955168</v>
          </cell>
          <cell r="W1213">
            <v>3.9398113559955168</v>
          </cell>
          <cell r="X1213">
            <v>3.9398113559955168</v>
          </cell>
          <cell r="Y1213">
            <v>3.9398113559955168</v>
          </cell>
          <cell r="Z1213">
            <v>3.9398113559955168</v>
          </cell>
          <cell r="AA1213">
            <v>3.9398113559955168</v>
          </cell>
          <cell r="AB1213">
            <v>3.9398113559955168</v>
          </cell>
          <cell r="AC1213">
            <v>3.9398113559955168</v>
          </cell>
          <cell r="AD1213">
            <v>3.9398113559955168</v>
          </cell>
          <cell r="AE1213">
            <v>3.9398113559955168</v>
          </cell>
          <cell r="AF1213">
            <v>3.9398113559955168</v>
          </cell>
          <cell r="AG1213">
            <v>3.9398113559955168</v>
          </cell>
          <cell r="AH1213">
            <v>3.9398113559955168</v>
          </cell>
        </row>
        <row r="1215">
          <cell r="B1215" t="str">
            <v>Nitrogen - Item - Region - Unit</v>
          </cell>
          <cell r="G1215">
            <v>2023</v>
          </cell>
          <cell r="H1215">
            <v>2024</v>
          </cell>
          <cell r="I1215">
            <v>2025</v>
          </cell>
          <cell r="J1215">
            <v>2026</v>
          </cell>
          <cell r="K1215">
            <v>2027</v>
          </cell>
          <cell r="L1215">
            <v>2028</v>
          </cell>
          <cell r="M1215">
            <v>2029</v>
          </cell>
          <cell r="N1215">
            <v>2030</v>
          </cell>
          <cell r="O1215">
            <v>2031</v>
          </cell>
          <cell r="P1215">
            <v>2032</v>
          </cell>
          <cell r="Q1215">
            <v>2033</v>
          </cell>
          <cell r="R1215">
            <v>2034</v>
          </cell>
          <cell r="S1215">
            <v>2035</v>
          </cell>
          <cell r="T1215">
            <v>2036</v>
          </cell>
          <cell r="U1215">
            <v>2037</v>
          </cell>
          <cell r="V1215">
            <v>2038</v>
          </cell>
          <cell r="W1215">
            <v>2039</v>
          </cell>
          <cell r="X1215">
            <v>2040</v>
          </cell>
          <cell r="Y1215">
            <v>2041</v>
          </cell>
          <cell r="Z1215">
            <v>2042</v>
          </cell>
          <cell r="AA1215">
            <v>2043</v>
          </cell>
          <cell r="AB1215">
            <v>2044</v>
          </cell>
          <cell r="AC1215">
            <v>2045</v>
          </cell>
          <cell r="AD1215">
            <v>2046</v>
          </cell>
          <cell r="AE1215">
            <v>2047</v>
          </cell>
          <cell r="AF1215">
            <v>2048</v>
          </cell>
          <cell r="AG1215">
            <v>2049</v>
          </cell>
          <cell r="AH1215">
            <v>2050</v>
          </cell>
        </row>
        <row r="1216">
          <cell r="B1216" t="str">
            <v>Nitrogen - Total cost - Africa - USD/ton fuel</v>
          </cell>
          <cell r="G1216">
            <v>62.382424191379783</v>
          </cell>
          <cell r="H1216">
            <v>55.997325174045116</v>
          </cell>
          <cell r="I1216">
            <v>49.612226156710058</v>
          </cell>
          <cell r="J1216">
            <v>43.887331731968366</v>
          </cell>
          <cell r="K1216">
            <v>38.177728194232856</v>
          </cell>
          <cell r="L1216">
            <v>32.483415543503462</v>
          </cell>
          <cell r="M1216">
            <v>26.804393779780085</v>
          </cell>
          <cell r="N1216">
            <v>21.140662903062857</v>
          </cell>
          <cell r="O1216">
            <v>20.734778086352062</v>
          </cell>
          <cell r="P1216">
            <v>20.328893269641238</v>
          </cell>
          <cell r="Q1216">
            <v>19.923008452930322</v>
          </cell>
          <cell r="R1216">
            <v>19.517123636219502</v>
          </cell>
          <cell r="S1216">
            <v>19.111238819508699</v>
          </cell>
          <cell r="T1216">
            <v>18.818302092647272</v>
          </cell>
          <cell r="U1216">
            <v>18.525365365785873</v>
          </cell>
          <cell r="V1216">
            <v>18.232428638924446</v>
          </cell>
          <cell r="W1216">
            <v>17.939491912063019</v>
          </cell>
          <cell r="X1216">
            <v>17.646555185201638</v>
          </cell>
          <cell r="Y1216">
            <v>17.350778996535915</v>
          </cell>
          <cell r="Z1216">
            <v>17.055002807870196</v>
          </cell>
          <cell r="AA1216">
            <v>16.759226619204426</v>
          </cell>
          <cell r="AB1216">
            <v>16.463450430538703</v>
          </cell>
          <cell r="AC1216">
            <v>16.167674241872959</v>
          </cell>
          <cell r="AD1216">
            <v>15.924483522587945</v>
          </cell>
          <cell r="AE1216">
            <v>15.681292803302957</v>
          </cell>
          <cell r="AF1216">
            <v>15.438102084017945</v>
          </cell>
          <cell r="AG1216">
            <v>15.194911364732933</v>
          </cell>
          <cell r="AH1216">
            <v>14.951720645447942</v>
          </cell>
        </row>
        <row r="1217">
          <cell r="B1217" t="str">
            <v>Nitrogen - Total cost - Americas - USD/ton fuel</v>
          </cell>
          <cell r="G1217">
            <v>57.607847265415415</v>
          </cell>
          <cell r="H1217">
            <v>52.564037713433983</v>
          </cell>
          <cell r="I1217">
            <v>47.520228161452508</v>
          </cell>
          <cell r="J1217">
            <v>41.968823942107136</v>
          </cell>
          <cell r="K1217">
            <v>36.427693799463867</v>
          </cell>
          <cell r="L1217">
            <v>30.896837733522634</v>
          </cell>
          <cell r="M1217">
            <v>25.376255744283551</v>
          </cell>
          <cell r="N1217">
            <v>19.865947831746368</v>
          </cell>
          <cell r="O1217">
            <v>19.549844522340834</v>
          </cell>
          <cell r="P1217">
            <v>19.233741212935282</v>
          </cell>
          <cell r="Q1217">
            <v>18.917637903529727</v>
          </cell>
          <cell r="R1217">
            <v>18.601534594124175</v>
          </cell>
          <cell r="S1217">
            <v>18.285431284718598</v>
          </cell>
          <cell r="T1217">
            <v>17.992735401750984</v>
          </cell>
          <cell r="U1217">
            <v>17.70003951878337</v>
          </cell>
          <cell r="V1217">
            <v>17.407343635815735</v>
          </cell>
          <cell r="W1217">
            <v>17.114647752848121</v>
          </cell>
          <cell r="X1217">
            <v>16.821951869880493</v>
          </cell>
          <cell r="Y1217">
            <v>16.589086137642596</v>
          </cell>
          <cell r="Z1217">
            <v>16.356220405404699</v>
          </cell>
          <cell r="AA1217">
            <v>16.123354673166808</v>
          </cell>
          <cell r="AB1217">
            <v>15.890488940928911</v>
          </cell>
          <cell r="AC1217">
            <v>15.657623208691012</v>
          </cell>
          <cell r="AD1217">
            <v>15.434670120825308</v>
          </cell>
          <cell r="AE1217">
            <v>15.211717032959616</v>
          </cell>
          <cell r="AF1217">
            <v>14.988763945093925</v>
          </cell>
          <cell r="AG1217">
            <v>14.765810857228233</v>
          </cell>
          <cell r="AH1217">
            <v>14.542857769362541</v>
          </cell>
        </row>
        <row r="1218">
          <cell r="B1218" t="str">
            <v>Nitrogen - Total cost - Asia - USD/ton fuel</v>
          </cell>
          <cell r="G1218">
            <v>63.823819214424681</v>
          </cell>
          <cell r="H1218">
            <v>57.691679746103915</v>
          </cell>
          <cell r="I1218">
            <v>51.559540277783768</v>
          </cell>
          <cell r="J1218">
            <v>45.769954197792259</v>
          </cell>
          <cell r="K1218">
            <v>39.996743669398164</v>
          </cell>
          <cell r="L1218">
            <v>34.239908692601006</v>
          </cell>
          <cell r="M1218">
            <v>28.499449267400983</v>
          </cell>
          <cell r="N1218">
            <v>22.775365393798197</v>
          </cell>
          <cell r="O1218">
            <v>22.304608279929006</v>
          </cell>
          <cell r="P1218">
            <v>21.833851166059876</v>
          </cell>
          <cell r="Q1218">
            <v>21.363094052190831</v>
          </cell>
          <cell r="R1218">
            <v>20.892336938321705</v>
          </cell>
          <cell r="S1218">
            <v>20.421579824452571</v>
          </cell>
          <cell r="T1218">
            <v>20.087607166211807</v>
          </cell>
          <cell r="U1218">
            <v>19.753634507971043</v>
          </cell>
          <cell r="V1218">
            <v>19.419661849730325</v>
          </cell>
          <cell r="W1218">
            <v>19.085689191489564</v>
          </cell>
          <cell r="X1218">
            <v>18.751716533248889</v>
          </cell>
          <cell r="Y1218">
            <v>18.411133125486174</v>
          </cell>
          <cell r="Z1218">
            <v>18.070549717723505</v>
          </cell>
          <cell r="AA1218">
            <v>17.72996630996079</v>
          </cell>
          <cell r="AB1218">
            <v>17.389382902198118</v>
          </cell>
          <cell r="AC1218">
            <v>17.048799494435407</v>
          </cell>
          <cell r="AD1218">
            <v>16.788390406441305</v>
          </cell>
          <cell r="AE1218">
            <v>16.527981318447186</v>
          </cell>
          <cell r="AF1218">
            <v>16.267572230453087</v>
          </cell>
          <cell r="AG1218">
            <v>16.007163142458989</v>
          </cell>
          <cell r="AH1218">
            <v>15.746754054464866</v>
          </cell>
        </row>
        <row r="1219">
          <cell r="B1219" t="str">
            <v>Nitrogen - Total cost - Europe - USD/ton fuel</v>
          </cell>
          <cell r="G1219">
            <v>60.172677845373265</v>
          </cell>
          <cell r="H1219">
            <v>54.837603566500185</v>
          </cell>
          <cell r="I1219">
            <v>49.502529287627134</v>
          </cell>
          <cell r="J1219">
            <v>43.828821654708456</v>
          </cell>
          <cell r="K1219">
            <v>38.168582971636823</v>
          </cell>
          <cell r="L1219">
            <v>32.521813238412349</v>
          </cell>
          <cell r="M1219">
            <v>26.888512455034856</v>
          </cell>
          <cell r="N1219">
            <v>21.268680621504462</v>
          </cell>
          <cell r="O1219">
            <v>20.936271974636554</v>
          </cell>
          <cell r="P1219">
            <v>20.603863327768757</v>
          </cell>
          <cell r="Q1219">
            <v>20.271454680900913</v>
          </cell>
          <cell r="R1219">
            <v>19.939046034033069</v>
          </cell>
          <cell r="S1219">
            <v>19.606637387165271</v>
          </cell>
          <cell r="T1219">
            <v>19.330604813790011</v>
          </cell>
          <cell r="U1219">
            <v>19.054572240414775</v>
          </cell>
          <cell r="V1219">
            <v>18.778539667039539</v>
          </cell>
          <cell r="W1219">
            <v>18.502507093664299</v>
          </cell>
          <cell r="X1219">
            <v>18.226474520289017</v>
          </cell>
          <cell r="Y1219">
            <v>17.944609747698756</v>
          </cell>
          <cell r="Z1219">
            <v>17.662744975108474</v>
          </cell>
          <cell r="AA1219">
            <v>17.380880202518213</v>
          </cell>
          <cell r="AB1219">
            <v>17.099015429927928</v>
          </cell>
          <cell r="AC1219">
            <v>16.81715065733767</v>
          </cell>
          <cell r="AD1219">
            <v>16.55944827885304</v>
          </cell>
          <cell r="AE1219">
            <v>16.301745900368388</v>
          </cell>
          <cell r="AF1219">
            <v>16.044043521883761</v>
          </cell>
          <cell r="AG1219">
            <v>15.786341143399135</v>
          </cell>
          <cell r="AH1219">
            <v>15.528638764914483</v>
          </cell>
        </row>
        <row r="1220">
          <cell r="B1220" t="str">
            <v>Nitrogen - Total cost - Middle East - USD/ton fuel</v>
          </cell>
          <cell r="G1220">
            <v>57.681136334762741</v>
          </cell>
          <cell r="H1220">
            <v>52.445074638095505</v>
          </cell>
          <cell r="I1220">
            <v>47.209012941428185</v>
          </cell>
          <cell r="J1220">
            <v>41.707041219472472</v>
          </cell>
          <cell r="K1220">
            <v>36.213722313520933</v>
          </cell>
          <cell r="L1220">
            <v>30.729056223573529</v>
          </cell>
          <cell r="M1220">
            <v>25.253042949630256</v>
          </cell>
          <cell r="N1220">
            <v>19.785682491691063</v>
          </cell>
          <cell r="O1220">
            <v>19.440651681739325</v>
          </cell>
          <cell r="P1220">
            <v>19.095620871787613</v>
          </cell>
          <cell r="Q1220">
            <v>18.750590061835851</v>
          </cell>
          <cell r="R1220">
            <v>18.405559251884142</v>
          </cell>
          <cell r="S1220">
            <v>18.060528441932426</v>
          </cell>
          <cell r="T1220">
            <v>17.791551097687908</v>
          </cell>
          <cell r="U1220">
            <v>17.522573753443393</v>
          </cell>
          <cell r="V1220">
            <v>17.253596409198899</v>
          </cell>
          <cell r="W1220">
            <v>16.98461906495438</v>
          </cell>
          <cell r="X1220">
            <v>16.715641720709861</v>
          </cell>
          <cell r="Y1220">
            <v>16.422849633000681</v>
          </cell>
          <cell r="Z1220">
            <v>16.130057545291525</v>
          </cell>
          <cell r="AA1220">
            <v>15.83726545758234</v>
          </cell>
          <cell r="AB1220">
            <v>15.544473369873183</v>
          </cell>
          <cell r="AC1220">
            <v>15.251681282163991</v>
          </cell>
          <cell r="AD1220">
            <v>15.012241438932278</v>
          </cell>
          <cell r="AE1220">
            <v>14.772801595700578</v>
          </cell>
          <cell r="AF1220">
            <v>14.533361752468865</v>
          </cell>
          <cell r="AG1220">
            <v>14.293921909237154</v>
          </cell>
          <cell r="AH1220">
            <v>14.054482066005454</v>
          </cell>
        </row>
        <row r="1221">
          <cell r="B1221" t="str">
            <v/>
          </cell>
        </row>
        <row r="1222">
          <cell r="B1222" t="str">
            <v>Nitrogen - CAPEX - Global - USD/ton fuel</v>
          </cell>
          <cell r="G1222">
            <v>12.866666666666667</v>
          </cell>
          <cell r="H1222">
            <v>11.6</v>
          </cell>
          <cell r="I1222">
            <v>10.333333333333334</v>
          </cell>
          <cell r="J1222">
            <v>9</v>
          </cell>
          <cell r="K1222">
            <v>7.666666666666667</v>
          </cell>
          <cell r="L1222">
            <v>6.333333333333333</v>
          </cell>
          <cell r="M1222">
            <v>5</v>
          </cell>
          <cell r="N1222">
            <v>3.6666666666666665</v>
          </cell>
          <cell r="O1222">
            <v>3.6166666666666667</v>
          </cell>
          <cell r="P1222">
            <v>3.5666666666666669</v>
          </cell>
          <cell r="Q1222">
            <v>3.5166666666666666</v>
          </cell>
          <cell r="R1222">
            <v>3.4666666666666668</v>
          </cell>
          <cell r="S1222">
            <v>3.4166666666666665</v>
          </cell>
          <cell r="T1222">
            <v>3.3666666666666667</v>
          </cell>
          <cell r="U1222">
            <v>3.3166666666666669</v>
          </cell>
          <cell r="V1222">
            <v>3.2666666666666666</v>
          </cell>
          <cell r="W1222">
            <v>3.2166666666666668</v>
          </cell>
          <cell r="X1222">
            <v>3.1666666666666665</v>
          </cell>
          <cell r="Y1222">
            <v>3.1166666666666667</v>
          </cell>
          <cell r="Z1222">
            <v>3.0666666666666669</v>
          </cell>
          <cell r="AA1222">
            <v>3.0166666666666666</v>
          </cell>
          <cell r="AB1222">
            <v>2.9666666666666668</v>
          </cell>
          <cell r="AC1222">
            <v>2.9166666666666665</v>
          </cell>
          <cell r="AD1222">
            <v>2.8666666666666667</v>
          </cell>
          <cell r="AE1222">
            <v>2.8166666666666669</v>
          </cell>
          <cell r="AF1222">
            <v>2.7666666666666666</v>
          </cell>
          <cell r="AG1222">
            <v>2.7166666666666668</v>
          </cell>
          <cell r="AH1222">
            <v>2.6666666666666665</v>
          </cell>
        </row>
        <row r="1223">
          <cell r="B1223" t="str">
            <v>Nitrogen - Plant lifetime - Global - Years</v>
          </cell>
          <cell r="G1223">
            <v>30</v>
          </cell>
          <cell r="H1223">
            <v>30</v>
          </cell>
          <cell r="I1223">
            <v>30</v>
          </cell>
          <cell r="J1223">
            <v>30</v>
          </cell>
          <cell r="K1223">
            <v>30</v>
          </cell>
          <cell r="L1223">
            <v>30</v>
          </cell>
          <cell r="M1223">
            <v>30</v>
          </cell>
          <cell r="N1223">
            <v>30</v>
          </cell>
          <cell r="O1223">
            <v>30</v>
          </cell>
          <cell r="P1223">
            <v>30</v>
          </cell>
          <cell r="Q1223">
            <v>30</v>
          </cell>
          <cell r="R1223">
            <v>30</v>
          </cell>
          <cell r="S1223">
            <v>30</v>
          </cell>
          <cell r="T1223">
            <v>30</v>
          </cell>
          <cell r="U1223">
            <v>30</v>
          </cell>
          <cell r="V1223">
            <v>30</v>
          </cell>
          <cell r="W1223">
            <v>30</v>
          </cell>
          <cell r="X1223">
            <v>30</v>
          </cell>
          <cell r="Y1223">
            <v>30</v>
          </cell>
          <cell r="Z1223">
            <v>30</v>
          </cell>
          <cell r="AA1223">
            <v>30</v>
          </cell>
          <cell r="AB1223">
            <v>30</v>
          </cell>
          <cell r="AC1223">
            <v>30</v>
          </cell>
          <cell r="AD1223">
            <v>30</v>
          </cell>
          <cell r="AE1223">
            <v>30</v>
          </cell>
          <cell r="AF1223">
            <v>30</v>
          </cell>
          <cell r="AG1223">
            <v>30</v>
          </cell>
          <cell r="AH1223">
            <v>30</v>
          </cell>
        </row>
        <row r="1224">
          <cell r="B1224" t="str">
            <v>Nitrogen - Total CAPEX - Global - USD/ton fuel</v>
          </cell>
          <cell r="G1224">
            <v>386</v>
          </cell>
          <cell r="H1224">
            <v>348</v>
          </cell>
          <cell r="I1224">
            <v>310</v>
          </cell>
          <cell r="J1224">
            <v>270</v>
          </cell>
          <cell r="K1224">
            <v>230</v>
          </cell>
          <cell r="L1224">
            <v>190</v>
          </cell>
          <cell r="M1224">
            <v>150</v>
          </cell>
          <cell r="N1224">
            <v>110</v>
          </cell>
          <cell r="O1224">
            <v>108.5</v>
          </cell>
          <cell r="P1224">
            <v>107</v>
          </cell>
          <cell r="Q1224">
            <v>105.5</v>
          </cell>
          <cell r="R1224">
            <v>104</v>
          </cell>
          <cell r="S1224">
            <v>102.5</v>
          </cell>
          <cell r="T1224">
            <v>101</v>
          </cell>
          <cell r="U1224">
            <v>99.5</v>
          </cell>
          <cell r="V1224">
            <v>98</v>
          </cell>
          <cell r="W1224">
            <v>96.5</v>
          </cell>
          <cell r="X1224">
            <v>95</v>
          </cell>
          <cell r="Y1224">
            <v>93.5</v>
          </cell>
          <cell r="Z1224">
            <v>92</v>
          </cell>
          <cell r="AA1224">
            <v>90.5</v>
          </cell>
          <cell r="AB1224">
            <v>89</v>
          </cell>
          <cell r="AC1224">
            <v>87.5</v>
          </cell>
          <cell r="AD1224">
            <v>86</v>
          </cell>
          <cell r="AE1224">
            <v>84.5</v>
          </cell>
          <cell r="AF1224">
            <v>83</v>
          </cell>
          <cell r="AG1224">
            <v>81.5</v>
          </cell>
          <cell r="AH1224">
            <v>80</v>
          </cell>
        </row>
        <row r="1225">
          <cell r="B1225" t="str">
            <v/>
          </cell>
        </row>
        <row r="1226">
          <cell r="B1226" t="str">
            <v>Nitrogen - OPEX - Global - USD/ton fuel</v>
          </cell>
          <cell r="G1226">
            <v>15.44</v>
          </cell>
          <cell r="H1226">
            <v>13.92</v>
          </cell>
          <cell r="I1226">
            <v>12.4</v>
          </cell>
          <cell r="J1226">
            <v>10.8</v>
          </cell>
          <cell r="K1226">
            <v>9.2000000000000011</v>
          </cell>
          <cell r="L1226">
            <v>7.6000000000000005</v>
          </cell>
          <cell r="M1226">
            <v>6</v>
          </cell>
          <cell r="N1226">
            <v>4.4000000000000004</v>
          </cell>
          <cell r="O1226">
            <v>4.34</v>
          </cell>
          <cell r="P1226">
            <v>4.28</v>
          </cell>
          <cell r="Q1226">
            <v>4.22</v>
          </cell>
          <cell r="R1226">
            <v>4.16</v>
          </cell>
          <cell r="S1226">
            <v>4.0999999999999996</v>
          </cell>
          <cell r="T1226">
            <v>4.04</v>
          </cell>
          <cell r="U1226">
            <v>3.98</v>
          </cell>
          <cell r="V1226">
            <v>3.92</v>
          </cell>
          <cell r="W1226">
            <v>3.86</v>
          </cell>
          <cell r="X1226">
            <v>3.8000000000000003</v>
          </cell>
          <cell r="Y1226">
            <v>3.74</v>
          </cell>
          <cell r="Z1226">
            <v>3.68</v>
          </cell>
          <cell r="AA1226">
            <v>3.62</v>
          </cell>
          <cell r="AB1226">
            <v>3.56</v>
          </cell>
          <cell r="AC1226">
            <v>3.5</v>
          </cell>
          <cell r="AD1226">
            <v>3.44</v>
          </cell>
          <cell r="AE1226">
            <v>3.38</v>
          </cell>
          <cell r="AF1226">
            <v>3.3200000000000003</v>
          </cell>
          <cell r="AG1226">
            <v>3.2600000000000002</v>
          </cell>
          <cell r="AH1226">
            <v>3.2</v>
          </cell>
        </row>
        <row r="1227">
          <cell r="B1227" t="str">
            <v>Nitrogen - OPEX - Global - USD/ton fuel/year</v>
          </cell>
          <cell r="G1227">
            <v>15.44</v>
          </cell>
          <cell r="H1227">
            <v>13.92</v>
          </cell>
          <cell r="I1227">
            <v>12.4</v>
          </cell>
          <cell r="J1227">
            <v>10.8</v>
          </cell>
          <cell r="K1227">
            <v>9.2000000000000011</v>
          </cell>
          <cell r="L1227">
            <v>7.6000000000000005</v>
          </cell>
          <cell r="M1227">
            <v>6</v>
          </cell>
          <cell r="N1227">
            <v>4.4000000000000004</v>
          </cell>
          <cell r="O1227">
            <v>4.34</v>
          </cell>
          <cell r="P1227">
            <v>4.28</v>
          </cell>
          <cell r="Q1227">
            <v>4.22</v>
          </cell>
          <cell r="R1227">
            <v>4.16</v>
          </cell>
          <cell r="S1227">
            <v>4.0999999999999996</v>
          </cell>
          <cell r="T1227">
            <v>4.04</v>
          </cell>
          <cell r="U1227">
            <v>3.98</v>
          </cell>
          <cell r="V1227">
            <v>3.92</v>
          </cell>
          <cell r="W1227">
            <v>3.86</v>
          </cell>
          <cell r="X1227">
            <v>3.8000000000000003</v>
          </cell>
          <cell r="Y1227">
            <v>3.74</v>
          </cell>
          <cell r="Z1227">
            <v>3.68</v>
          </cell>
          <cell r="AA1227">
            <v>3.62</v>
          </cell>
          <cell r="AB1227">
            <v>3.56</v>
          </cell>
          <cell r="AC1227">
            <v>3.5</v>
          </cell>
          <cell r="AD1227">
            <v>3.44</v>
          </cell>
          <cell r="AE1227">
            <v>3.38</v>
          </cell>
          <cell r="AF1227">
            <v>3.3200000000000003</v>
          </cell>
          <cell r="AG1227">
            <v>3.2600000000000002</v>
          </cell>
          <cell r="AH1227">
            <v>3.2</v>
          </cell>
        </row>
        <row r="1228">
          <cell r="B1228" t="str">
            <v/>
          </cell>
        </row>
        <row r="1229">
          <cell r="B1229" t="str">
            <v>Nitrogen - Finance cost - Africa - USD/ton fuel</v>
          </cell>
          <cell r="G1229">
            <v>21.230000000000004</v>
          </cell>
          <cell r="H1229">
            <v>19.140000000000004</v>
          </cell>
          <cell r="I1229">
            <v>17.05</v>
          </cell>
          <cell r="J1229">
            <v>14.850000000000001</v>
          </cell>
          <cell r="K1229">
            <v>12.650000000000002</v>
          </cell>
          <cell r="L1229">
            <v>10.450000000000001</v>
          </cell>
          <cell r="M1229">
            <v>8.2500000000000018</v>
          </cell>
          <cell r="N1229">
            <v>6.0500000000000007</v>
          </cell>
          <cell r="O1229">
            <v>5.9675000000000011</v>
          </cell>
          <cell r="P1229">
            <v>5.8850000000000007</v>
          </cell>
          <cell r="Q1229">
            <v>5.8025000000000011</v>
          </cell>
          <cell r="R1229">
            <v>5.7200000000000006</v>
          </cell>
          <cell r="S1229">
            <v>5.6375000000000011</v>
          </cell>
          <cell r="T1229">
            <v>5.5550000000000006</v>
          </cell>
          <cell r="U1229">
            <v>5.472500000000001</v>
          </cell>
          <cell r="V1229">
            <v>5.3900000000000006</v>
          </cell>
          <cell r="W1229">
            <v>5.307500000000001</v>
          </cell>
          <cell r="X1229">
            <v>5.2250000000000005</v>
          </cell>
          <cell r="Y1229">
            <v>5.142500000000001</v>
          </cell>
          <cell r="Z1229">
            <v>5.0600000000000005</v>
          </cell>
          <cell r="AA1229">
            <v>4.9775000000000009</v>
          </cell>
          <cell r="AB1229">
            <v>4.8950000000000005</v>
          </cell>
          <cell r="AC1229">
            <v>4.8125000000000009</v>
          </cell>
          <cell r="AD1229">
            <v>4.7300000000000004</v>
          </cell>
          <cell r="AE1229">
            <v>4.6475000000000009</v>
          </cell>
          <cell r="AF1229">
            <v>4.5650000000000004</v>
          </cell>
          <cell r="AG1229">
            <v>4.4825000000000008</v>
          </cell>
          <cell r="AH1229">
            <v>4.4000000000000004</v>
          </cell>
        </row>
        <row r="1230">
          <cell r="B1230" t="str">
            <v>Nitrogen - Finance cost - Americas - USD/ton fuel</v>
          </cell>
          <cell r="G1230">
            <v>21.230000000000004</v>
          </cell>
          <cell r="H1230">
            <v>19.140000000000004</v>
          </cell>
          <cell r="I1230">
            <v>17.05</v>
          </cell>
          <cell r="J1230">
            <v>14.850000000000001</v>
          </cell>
          <cell r="K1230">
            <v>12.650000000000002</v>
          </cell>
          <cell r="L1230">
            <v>10.450000000000001</v>
          </cell>
          <cell r="M1230">
            <v>8.2500000000000018</v>
          </cell>
          <cell r="N1230">
            <v>6.0500000000000007</v>
          </cell>
          <cell r="O1230">
            <v>5.9675000000000011</v>
          </cell>
          <cell r="P1230">
            <v>5.8850000000000007</v>
          </cell>
          <cell r="Q1230">
            <v>5.8025000000000011</v>
          </cell>
          <cell r="R1230">
            <v>5.7200000000000006</v>
          </cell>
          <cell r="S1230">
            <v>5.6375000000000011</v>
          </cell>
          <cell r="T1230">
            <v>5.5550000000000006</v>
          </cell>
          <cell r="U1230">
            <v>5.472500000000001</v>
          </cell>
          <cell r="V1230">
            <v>5.3900000000000006</v>
          </cell>
          <cell r="W1230">
            <v>5.307500000000001</v>
          </cell>
          <cell r="X1230">
            <v>5.2250000000000005</v>
          </cell>
          <cell r="Y1230">
            <v>5.142500000000001</v>
          </cell>
          <cell r="Z1230">
            <v>5.0600000000000005</v>
          </cell>
          <cell r="AA1230">
            <v>4.9775000000000009</v>
          </cell>
          <cell r="AB1230">
            <v>4.8950000000000005</v>
          </cell>
          <cell r="AC1230">
            <v>4.8125000000000009</v>
          </cell>
          <cell r="AD1230">
            <v>4.7300000000000004</v>
          </cell>
          <cell r="AE1230">
            <v>4.6475000000000009</v>
          </cell>
          <cell r="AF1230">
            <v>4.5650000000000004</v>
          </cell>
          <cell r="AG1230">
            <v>4.4825000000000008</v>
          </cell>
          <cell r="AH1230">
            <v>4.4000000000000004</v>
          </cell>
        </row>
        <row r="1231">
          <cell r="B1231" t="str">
            <v>Nitrogen - Finance cost - Asia - USD/ton fuel</v>
          </cell>
          <cell r="G1231">
            <v>21.230000000000004</v>
          </cell>
          <cell r="H1231">
            <v>19.140000000000004</v>
          </cell>
          <cell r="I1231">
            <v>17.05</v>
          </cell>
          <cell r="J1231">
            <v>14.850000000000001</v>
          </cell>
          <cell r="K1231">
            <v>12.650000000000002</v>
          </cell>
          <cell r="L1231">
            <v>10.450000000000001</v>
          </cell>
          <cell r="M1231">
            <v>8.2500000000000018</v>
          </cell>
          <cell r="N1231">
            <v>6.0500000000000007</v>
          </cell>
          <cell r="O1231">
            <v>5.9675000000000011</v>
          </cell>
          <cell r="P1231">
            <v>5.8850000000000007</v>
          </cell>
          <cell r="Q1231">
            <v>5.8025000000000011</v>
          </cell>
          <cell r="R1231">
            <v>5.7200000000000006</v>
          </cell>
          <cell r="S1231">
            <v>5.6375000000000011</v>
          </cell>
          <cell r="T1231">
            <v>5.5550000000000006</v>
          </cell>
          <cell r="U1231">
            <v>5.472500000000001</v>
          </cell>
          <cell r="V1231">
            <v>5.3900000000000006</v>
          </cell>
          <cell r="W1231">
            <v>5.307500000000001</v>
          </cell>
          <cell r="X1231">
            <v>5.2250000000000005</v>
          </cell>
          <cell r="Y1231">
            <v>5.142500000000001</v>
          </cell>
          <cell r="Z1231">
            <v>5.0600000000000005</v>
          </cell>
          <cell r="AA1231">
            <v>4.9775000000000009</v>
          </cell>
          <cell r="AB1231">
            <v>4.8950000000000005</v>
          </cell>
          <cell r="AC1231">
            <v>4.8125000000000009</v>
          </cell>
          <cell r="AD1231">
            <v>4.7300000000000004</v>
          </cell>
          <cell r="AE1231">
            <v>4.6475000000000009</v>
          </cell>
          <cell r="AF1231">
            <v>4.5650000000000004</v>
          </cell>
          <cell r="AG1231">
            <v>4.4825000000000008</v>
          </cell>
          <cell r="AH1231">
            <v>4.4000000000000004</v>
          </cell>
        </row>
        <row r="1232">
          <cell r="B1232" t="str">
            <v>Nitrogen - Finance cost - Europe - USD/ton fuel</v>
          </cell>
          <cell r="G1232">
            <v>21.230000000000004</v>
          </cell>
          <cell r="H1232">
            <v>19.140000000000004</v>
          </cell>
          <cell r="I1232">
            <v>17.05</v>
          </cell>
          <cell r="J1232">
            <v>14.850000000000001</v>
          </cell>
          <cell r="K1232">
            <v>12.650000000000002</v>
          </cell>
          <cell r="L1232">
            <v>10.450000000000001</v>
          </cell>
          <cell r="M1232">
            <v>8.2500000000000018</v>
          </cell>
          <cell r="N1232">
            <v>6.0500000000000007</v>
          </cell>
          <cell r="O1232">
            <v>5.9675000000000011</v>
          </cell>
          <cell r="P1232">
            <v>5.8850000000000007</v>
          </cell>
          <cell r="Q1232">
            <v>5.8025000000000011</v>
          </cell>
          <cell r="R1232">
            <v>5.7200000000000006</v>
          </cell>
          <cell r="S1232">
            <v>5.6375000000000011</v>
          </cell>
          <cell r="T1232">
            <v>5.5550000000000006</v>
          </cell>
          <cell r="U1232">
            <v>5.472500000000001</v>
          </cell>
          <cell r="V1232">
            <v>5.3900000000000006</v>
          </cell>
          <cell r="W1232">
            <v>5.307500000000001</v>
          </cell>
          <cell r="X1232">
            <v>5.2250000000000005</v>
          </cell>
          <cell r="Y1232">
            <v>5.142500000000001</v>
          </cell>
          <cell r="Z1232">
            <v>5.0600000000000005</v>
          </cell>
          <cell r="AA1232">
            <v>4.9775000000000009</v>
          </cell>
          <cell r="AB1232">
            <v>4.8950000000000005</v>
          </cell>
          <cell r="AC1232">
            <v>4.8125000000000009</v>
          </cell>
          <cell r="AD1232">
            <v>4.7300000000000004</v>
          </cell>
          <cell r="AE1232">
            <v>4.6475000000000009</v>
          </cell>
          <cell r="AF1232">
            <v>4.5650000000000004</v>
          </cell>
          <cell r="AG1232">
            <v>4.4825000000000008</v>
          </cell>
          <cell r="AH1232">
            <v>4.4000000000000004</v>
          </cell>
        </row>
        <row r="1233">
          <cell r="B1233" t="str">
            <v>Nitrogen - Finance cost - Middle East - USD/ton fuel</v>
          </cell>
          <cell r="G1233">
            <v>21.230000000000004</v>
          </cell>
          <cell r="H1233">
            <v>19.140000000000004</v>
          </cell>
          <cell r="I1233">
            <v>17.05</v>
          </cell>
          <cell r="J1233">
            <v>14.850000000000001</v>
          </cell>
          <cell r="K1233">
            <v>12.650000000000002</v>
          </cell>
          <cell r="L1233">
            <v>10.450000000000001</v>
          </cell>
          <cell r="M1233">
            <v>8.2500000000000018</v>
          </cell>
          <cell r="N1233">
            <v>6.0500000000000007</v>
          </cell>
          <cell r="O1233">
            <v>5.9675000000000011</v>
          </cell>
          <cell r="P1233">
            <v>5.8850000000000007</v>
          </cell>
          <cell r="Q1233">
            <v>5.8025000000000011</v>
          </cell>
          <cell r="R1233">
            <v>5.7200000000000006</v>
          </cell>
          <cell r="S1233">
            <v>5.6375000000000011</v>
          </cell>
          <cell r="T1233">
            <v>5.5550000000000006</v>
          </cell>
          <cell r="U1233">
            <v>5.472500000000001</v>
          </cell>
          <cell r="V1233">
            <v>5.3900000000000006</v>
          </cell>
          <cell r="W1233">
            <v>5.307500000000001</v>
          </cell>
          <cell r="X1233">
            <v>5.2250000000000005</v>
          </cell>
          <cell r="Y1233">
            <v>5.142500000000001</v>
          </cell>
          <cell r="Z1233">
            <v>5.0600000000000005</v>
          </cell>
          <cell r="AA1233">
            <v>4.9775000000000009</v>
          </cell>
          <cell r="AB1233">
            <v>4.8950000000000005</v>
          </cell>
          <cell r="AC1233">
            <v>4.8125000000000009</v>
          </cell>
          <cell r="AD1233">
            <v>4.7300000000000004</v>
          </cell>
          <cell r="AE1233">
            <v>4.6475000000000009</v>
          </cell>
          <cell r="AF1233">
            <v>4.5650000000000004</v>
          </cell>
          <cell r="AG1233">
            <v>4.4825000000000008</v>
          </cell>
          <cell r="AH1233">
            <v>4.4000000000000004</v>
          </cell>
        </row>
        <row r="1234">
          <cell r="B1234" t="str">
            <v>General - Weighted average cost of capital (WACC) - Africa - %</v>
          </cell>
          <cell r="G1234">
            <v>5.5000000000000007E-2</v>
          </cell>
          <cell r="H1234">
            <v>5.5000000000000007E-2</v>
          </cell>
          <cell r="I1234">
            <v>5.5000000000000007E-2</v>
          </cell>
          <cell r="J1234">
            <v>5.5000000000000007E-2</v>
          </cell>
          <cell r="K1234">
            <v>5.5000000000000007E-2</v>
          </cell>
          <cell r="L1234">
            <v>5.5000000000000007E-2</v>
          </cell>
          <cell r="M1234">
            <v>5.5000000000000007E-2</v>
          </cell>
          <cell r="N1234">
            <v>5.5000000000000007E-2</v>
          </cell>
          <cell r="O1234">
            <v>5.5000000000000007E-2</v>
          </cell>
          <cell r="P1234">
            <v>5.5000000000000007E-2</v>
          </cell>
          <cell r="Q1234">
            <v>5.5000000000000007E-2</v>
          </cell>
          <cell r="R1234">
            <v>5.5000000000000007E-2</v>
          </cell>
          <cell r="S1234">
            <v>5.5000000000000007E-2</v>
          </cell>
          <cell r="T1234">
            <v>5.5000000000000007E-2</v>
          </cell>
          <cell r="U1234">
            <v>5.5000000000000007E-2</v>
          </cell>
          <cell r="V1234">
            <v>5.5000000000000007E-2</v>
          </cell>
          <cell r="W1234">
            <v>5.5000000000000007E-2</v>
          </cell>
          <cell r="X1234">
            <v>5.5000000000000007E-2</v>
          </cell>
          <cell r="Y1234">
            <v>5.5000000000000007E-2</v>
          </cell>
          <cell r="Z1234">
            <v>5.5000000000000007E-2</v>
          </cell>
          <cell r="AA1234">
            <v>5.5000000000000007E-2</v>
          </cell>
          <cell r="AB1234">
            <v>5.5000000000000007E-2</v>
          </cell>
          <cell r="AC1234">
            <v>5.5000000000000007E-2</v>
          </cell>
          <cell r="AD1234">
            <v>5.5000000000000007E-2</v>
          </cell>
          <cell r="AE1234">
            <v>5.5000000000000007E-2</v>
          </cell>
          <cell r="AF1234">
            <v>5.5000000000000007E-2</v>
          </cell>
          <cell r="AG1234">
            <v>5.5000000000000007E-2</v>
          </cell>
          <cell r="AH1234">
            <v>5.5000000000000007E-2</v>
          </cell>
        </row>
        <row r="1235">
          <cell r="B1235" t="str">
            <v>General - Weighted average cost of capital (WACC) - Americas - %</v>
          </cell>
          <cell r="G1235">
            <v>5.5000000000000007E-2</v>
          </cell>
          <cell r="H1235">
            <v>5.5000000000000007E-2</v>
          </cell>
          <cell r="I1235">
            <v>5.5000000000000007E-2</v>
          </cell>
          <cell r="J1235">
            <v>5.5000000000000007E-2</v>
          </cell>
          <cell r="K1235">
            <v>5.5000000000000007E-2</v>
          </cell>
          <cell r="L1235">
            <v>5.5000000000000007E-2</v>
          </cell>
          <cell r="M1235">
            <v>5.5000000000000007E-2</v>
          </cell>
          <cell r="N1235">
            <v>5.5000000000000007E-2</v>
          </cell>
          <cell r="O1235">
            <v>5.5000000000000007E-2</v>
          </cell>
          <cell r="P1235">
            <v>5.5000000000000007E-2</v>
          </cell>
          <cell r="Q1235">
            <v>5.5000000000000007E-2</v>
          </cell>
          <cell r="R1235">
            <v>5.5000000000000007E-2</v>
          </cell>
          <cell r="S1235">
            <v>5.5000000000000007E-2</v>
          </cell>
          <cell r="T1235">
            <v>5.5000000000000007E-2</v>
          </cell>
          <cell r="U1235">
            <v>5.5000000000000007E-2</v>
          </cell>
          <cell r="V1235">
            <v>5.5000000000000007E-2</v>
          </cell>
          <cell r="W1235">
            <v>5.5000000000000007E-2</v>
          </cell>
          <cell r="X1235">
            <v>5.5000000000000007E-2</v>
          </cell>
          <cell r="Y1235">
            <v>5.5000000000000007E-2</v>
          </cell>
          <cell r="Z1235">
            <v>5.5000000000000007E-2</v>
          </cell>
          <cell r="AA1235">
            <v>5.5000000000000007E-2</v>
          </cell>
          <cell r="AB1235">
            <v>5.5000000000000007E-2</v>
          </cell>
          <cell r="AC1235">
            <v>5.5000000000000007E-2</v>
          </cell>
          <cell r="AD1235">
            <v>5.5000000000000007E-2</v>
          </cell>
          <cell r="AE1235">
            <v>5.5000000000000007E-2</v>
          </cell>
          <cell r="AF1235">
            <v>5.5000000000000007E-2</v>
          </cell>
          <cell r="AG1235">
            <v>5.5000000000000007E-2</v>
          </cell>
          <cell r="AH1235">
            <v>5.5000000000000007E-2</v>
          </cell>
        </row>
        <row r="1236">
          <cell r="B1236" t="str">
            <v>General - Weighted average cost of capital (WACC) - Asia - %</v>
          </cell>
          <cell r="G1236">
            <v>5.5000000000000007E-2</v>
          </cell>
          <cell r="H1236">
            <v>5.5000000000000007E-2</v>
          </cell>
          <cell r="I1236">
            <v>5.5000000000000007E-2</v>
          </cell>
          <cell r="J1236">
            <v>5.5000000000000007E-2</v>
          </cell>
          <cell r="K1236">
            <v>5.5000000000000007E-2</v>
          </cell>
          <cell r="L1236">
            <v>5.5000000000000007E-2</v>
          </cell>
          <cell r="M1236">
            <v>5.5000000000000007E-2</v>
          </cell>
          <cell r="N1236">
            <v>5.5000000000000007E-2</v>
          </cell>
          <cell r="O1236">
            <v>5.5000000000000007E-2</v>
          </cell>
          <cell r="P1236">
            <v>5.5000000000000007E-2</v>
          </cell>
          <cell r="Q1236">
            <v>5.5000000000000007E-2</v>
          </cell>
          <cell r="R1236">
            <v>5.5000000000000007E-2</v>
          </cell>
          <cell r="S1236">
            <v>5.5000000000000007E-2</v>
          </cell>
          <cell r="T1236">
            <v>5.5000000000000007E-2</v>
          </cell>
          <cell r="U1236">
            <v>5.5000000000000007E-2</v>
          </cell>
          <cell r="V1236">
            <v>5.5000000000000007E-2</v>
          </cell>
          <cell r="W1236">
            <v>5.5000000000000007E-2</v>
          </cell>
          <cell r="X1236">
            <v>5.5000000000000007E-2</v>
          </cell>
          <cell r="Y1236">
            <v>5.5000000000000007E-2</v>
          </cell>
          <cell r="Z1236">
            <v>5.5000000000000007E-2</v>
          </cell>
          <cell r="AA1236">
            <v>5.5000000000000007E-2</v>
          </cell>
          <cell r="AB1236">
            <v>5.5000000000000007E-2</v>
          </cell>
          <cell r="AC1236">
            <v>5.5000000000000007E-2</v>
          </cell>
          <cell r="AD1236">
            <v>5.5000000000000007E-2</v>
          </cell>
          <cell r="AE1236">
            <v>5.5000000000000007E-2</v>
          </cell>
          <cell r="AF1236">
            <v>5.5000000000000007E-2</v>
          </cell>
          <cell r="AG1236">
            <v>5.5000000000000007E-2</v>
          </cell>
          <cell r="AH1236">
            <v>5.5000000000000007E-2</v>
          </cell>
        </row>
        <row r="1237">
          <cell r="B1237" t="str">
            <v>General - Weighted average cost of capital (WACC) - Europe - %</v>
          </cell>
          <cell r="G1237">
            <v>5.5000000000000007E-2</v>
          </cell>
          <cell r="H1237">
            <v>5.5000000000000007E-2</v>
          </cell>
          <cell r="I1237">
            <v>5.5000000000000007E-2</v>
          </cell>
          <cell r="J1237">
            <v>5.5000000000000007E-2</v>
          </cell>
          <cell r="K1237">
            <v>5.5000000000000007E-2</v>
          </cell>
          <cell r="L1237">
            <v>5.5000000000000007E-2</v>
          </cell>
          <cell r="M1237">
            <v>5.5000000000000007E-2</v>
          </cell>
          <cell r="N1237">
            <v>5.5000000000000007E-2</v>
          </cell>
          <cell r="O1237">
            <v>5.5000000000000007E-2</v>
          </cell>
          <cell r="P1237">
            <v>5.5000000000000007E-2</v>
          </cell>
          <cell r="Q1237">
            <v>5.5000000000000007E-2</v>
          </cell>
          <cell r="R1237">
            <v>5.5000000000000007E-2</v>
          </cell>
          <cell r="S1237">
            <v>5.5000000000000007E-2</v>
          </cell>
          <cell r="T1237">
            <v>5.5000000000000007E-2</v>
          </cell>
          <cell r="U1237">
            <v>5.5000000000000007E-2</v>
          </cell>
          <cell r="V1237">
            <v>5.5000000000000007E-2</v>
          </cell>
          <cell r="W1237">
            <v>5.5000000000000007E-2</v>
          </cell>
          <cell r="X1237">
            <v>5.5000000000000007E-2</v>
          </cell>
          <cell r="Y1237">
            <v>5.5000000000000007E-2</v>
          </cell>
          <cell r="Z1237">
            <v>5.5000000000000007E-2</v>
          </cell>
          <cell r="AA1237">
            <v>5.5000000000000007E-2</v>
          </cell>
          <cell r="AB1237">
            <v>5.5000000000000007E-2</v>
          </cell>
          <cell r="AC1237">
            <v>5.5000000000000007E-2</v>
          </cell>
          <cell r="AD1237">
            <v>5.5000000000000007E-2</v>
          </cell>
          <cell r="AE1237">
            <v>5.5000000000000007E-2</v>
          </cell>
          <cell r="AF1237">
            <v>5.5000000000000007E-2</v>
          </cell>
          <cell r="AG1237">
            <v>5.5000000000000007E-2</v>
          </cell>
          <cell r="AH1237">
            <v>5.5000000000000007E-2</v>
          </cell>
        </row>
        <row r="1238">
          <cell r="B1238" t="str">
            <v>General - Weighted average cost of capital (WACC) - Middle East - %</v>
          </cell>
          <cell r="G1238">
            <v>5.5000000000000007E-2</v>
          </cell>
          <cell r="H1238">
            <v>5.5000000000000007E-2</v>
          </cell>
          <cell r="I1238">
            <v>5.5000000000000007E-2</v>
          </cell>
          <cell r="J1238">
            <v>5.5000000000000007E-2</v>
          </cell>
          <cell r="K1238">
            <v>5.5000000000000007E-2</v>
          </cell>
          <cell r="L1238">
            <v>5.5000000000000007E-2</v>
          </cell>
          <cell r="M1238">
            <v>5.5000000000000007E-2</v>
          </cell>
          <cell r="N1238">
            <v>5.5000000000000007E-2</v>
          </cell>
          <cell r="O1238">
            <v>5.5000000000000007E-2</v>
          </cell>
          <cell r="P1238">
            <v>5.5000000000000007E-2</v>
          </cell>
          <cell r="Q1238">
            <v>5.5000000000000007E-2</v>
          </cell>
          <cell r="R1238">
            <v>5.5000000000000007E-2</v>
          </cell>
          <cell r="S1238">
            <v>5.5000000000000007E-2</v>
          </cell>
          <cell r="T1238">
            <v>5.5000000000000007E-2</v>
          </cell>
          <cell r="U1238">
            <v>5.5000000000000007E-2</v>
          </cell>
          <cell r="V1238">
            <v>5.5000000000000007E-2</v>
          </cell>
          <cell r="W1238">
            <v>5.5000000000000007E-2</v>
          </cell>
          <cell r="X1238">
            <v>5.5000000000000007E-2</v>
          </cell>
          <cell r="Y1238">
            <v>5.5000000000000007E-2</v>
          </cell>
          <cell r="Z1238">
            <v>5.5000000000000007E-2</v>
          </cell>
          <cell r="AA1238">
            <v>5.5000000000000007E-2</v>
          </cell>
          <cell r="AB1238">
            <v>5.5000000000000007E-2</v>
          </cell>
          <cell r="AC1238">
            <v>5.5000000000000007E-2</v>
          </cell>
          <cell r="AD1238">
            <v>5.5000000000000007E-2</v>
          </cell>
          <cell r="AE1238">
            <v>5.5000000000000007E-2</v>
          </cell>
          <cell r="AF1238">
            <v>5.5000000000000007E-2</v>
          </cell>
          <cell r="AG1238">
            <v>5.5000000000000007E-2</v>
          </cell>
          <cell r="AH1238">
            <v>5.5000000000000007E-2</v>
          </cell>
        </row>
        <row r="1239">
          <cell r="B1239" t="str">
            <v>Nitrogen - Total CAPEX - Global - USD/ton fuel</v>
          </cell>
          <cell r="G1239">
            <v>386</v>
          </cell>
          <cell r="H1239">
            <v>348</v>
          </cell>
          <cell r="I1239">
            <v>310</v>
          </cell>
          <cell r="J1239">
            <v>270</v>
          </cell>
          <cell r="K1239">
            <v>230</v>
          </cell>
          <cell r="L1239">
            <v>190</v>
          </cell>
          <cell r="M1239">
            <v>150</v>
          </cell>
          <cell r="N1239">
            <v>110</v>
          </cell>
          <cell r="O1239">
            <v>108.5</v>
          </cell>
          <cell r="P1239">
            <v>107</v>
          </cell>
          <cell r="Q1239">
            <v>105.5</v>
          </cell>
          <cell r="R1239">
            <v>104</v>
          </cell>
          <cell r="S1239">
            <v>102.5</v>
          </cell>
          <cell r="T1239">
            <v>101</v>
          </cell>
          <cell r="U1239">
            <v>99.5</v>
          </cell>
          <cell r="V1239">
            <v>98</v>
          </cell>
          <cell r="W1239">
            <v>96.5</v>
          </cell>
          <cell r="X1239">
            <v>95</v>
          </cell>
          <cell r="Y1239">
            <v>93.5</v>
          </cell>
          <cell r="Z1239">
            <v>92</v>
          </cell>
          <cell r="AA1239">
            <v>90.5</v>
          </cell>
          <cell r="AB1239">
            <v>89</v>
          </cell>
          <cell r="AC1239">
            <v>87.5</v>
          </cell>
          <cell r="AD1239">
            <v>86</v>
          </cell>
          <cell r="AE1239">
            <v>84.5</v>
          </cell>
          <cell r="AF1239">
            <v>83</v>
          </cell>
          <cell r="AG1239">
            <v>81.5</v>
          </cell>
          <cell r="AH1239">
            <v>80</v>
          </cell>
        </row>
        <row r="1240">
          <cell r="B1240" t="str">
            <v/>
          </cell>
        </row>
        <row r="1241">
          <cell r="B1241" t="str">
            <v>Nitrogen - Energy cost - Africa - USD/ton fuel</v>
          </cell>
          <cell r="G1241">
            <v>12.845757524713116</v>
          </cell>
          <cell r="H1241">
            <v>11.337325174045109</v>
          </cell>
          <cell r="I1241">
            <v>9.8288928233767283</v>
          </cell>
          <cell r="J1241">
            <v>9.2373317319683625</v>
          </cell>
          <cell r="K1241">
            <v>8.6610615275661882</v>
          </cell>
          <cell r="L1241">
            <v>8.1000822101701271</v>
          </cell>
          <cell r="M1241">
            <v>7.554393779780086</v>
          </cell>
          <cell r="N1241">
            <v>7.0239962363961901</v>
          </cell>
          <cell r="O1241">
            <v>6.8106114196853929</v>
          </cell>
          <cell r="P1241">
            <v>6.5972266029745699</v>
          </cell>
          <cell r="Q1241">
            <v>6.3838417862636563</v>
          </cell>
          <cell r="R1241">
            <v>6.1704569695528342</v>
          </cell>
          <cell r="S1241">
            <v>5.9570721528420343</v>
          </cell>
          <cell r="T1241">
            <v>5.8566354259806079</v>
          </cell>
          <cell r="U1241">
            <v>5.7561986991192047</v>
          </cell>
          <cell r="V1241">
            <v>5.6557619722577783</v>
          </cell>
          <cell r="W1241">
            <v>5.5553252453963529</v>
          </cell>
          <cell r="X1241">
            <v>5.4548885185349718</v>
          </cell>
          <cell r="Y1241">
            <v>5.3516123298692495</v>
          </cell>
          <cell r="Z1241">
            <v>5.2483361412035272</v>
          </cell>
          <cell r="AA1241">
            <v>5.1450599525377587</v>
          </cell>
          <cell r="AB1241">
            <v>5.0417837638720364</v>
          </cell>
          <cell r="AC1241">
            <v>4.938507575206291</v>
          </cell>
          <cell r="AD1241">
            <v>4.8878168559212787</v>
          </cell>
          <cell r="AE1241">
            <v>4.8371261366362894</v>
          </cell>
          <cell r="AF1241">
            <v>4.7864354173512771</v>
          </cell>
          <cell r="AG1241">
            <v>4.7357446980662647</v>
          </cell>
          <cell r="AH1241">
            <v>4.6850539787812755</v>
          </cell>
        </row>
        <row r="1242">
          <cell r="B1242" t="str">
            <v>Nitrogen - Energy cost - Americas - USD/ton fuel</v>
          </cell>
          <cell r="G1242">
            <v>8.0711805987487466</v>
          </cell>
          <cell r="H1242">
            <v>7.9040377134339765</v>
          </cell>
          <cell r="I1242">
            <v>7.7368948281191798</v>
          </cell>
          <cell r="J1242">
            <v>7.3188239421071319</v>
          </cell>
          <cell r="K1242">
            <v>6.9110271327971944</v>
          </cell>
          <cell r="L1242">
            <v>6.5135044001893023</v>
          </cell>
          <cell r="M1242">
            <v>6.1262557442835499</v>
          </cell>
          <cell r="N1242">
            <v>5.7492811650796991</v>
          </cell>
          <cell r="O1242">
            <v>5.6256778556741667</v>
          </cell>
          <cell r="P1242">
            <v>5.5020745462686138</v>
          </cell>
          <cell r="Q1242">
            <v>5.3784712368630609</v>
          </cell>
          <cell r="R1242">
            <v>5.2548679274575081</v>
          </cell>
          <cell r="S1242">
            <v>5.131264618051933</v>
          </cell>
          <cell r="T1242">
            <v>5.0310687350843182</v>
          </cell>
          <cell r="U1242">
            <v>4.9308728521167042</v>
          </cell>
          <cell r="V1242">
            <v>4.8306769691490672</v>
          </cell>
          <cell r="W1242">
            <v>4.7304810861814532</v>
          </cell>
          <cell r="X1242">
            <v>4.6302852032138277</v>
          </cell>
          <cell r="Y1242">
            <v>4.5899194709759286</v>
          </cell>
          <cell r="Z1242">
            <v>4.5495537387380294</v>
          </cell>
          <cell r="AA1242">
            <v>4.5091880065001417</v>
          </cell>
          <cell r="AB1242">
            <v>4.4688222742622434</v>
          </cell>
          <cell r="AC1242">
            <v>4.4284565420243442</v>
          </cell>
          <cell r="AD1242">
            <v>4.3980034541586406</v>
          </cell>
          <cell r="AE1242">
            <v>4.3675503662929485</v>
          </cell>
          <cell r="AF1242">
            <v>4.3370972784272572</v>
          </cell>
          <cell r="AG1242">
            <v>4.3066441905615651</v>
          </cell>
          <cell r="AH1242">
            <v>4.276191102695873</v>
          </cell>
        </row>
        <row r="1243">
          <cell r="B1243" t="str">
            <v>Nitrogen - Energy cost - Asia - USD/ton fuel</v>
          </cell>
          <cell r="G1243">
            <v>14.287152547758014</v>
          </cell>
          <cell r="H1243">
            <v>13.03167974610391</v>
          </cell>
          <cell r="I1243">
            <v>11.77620694445044</v>
          </cell>
          <cell r="J1243">
            <v>11.119954197792257</v>
          </cell>
          <cell r="K1243">
            <v>10.480077002731496</v>
          </cell>
          <cell r="L1243">
            <v>9.856575359267671</v>
          </cell>
          <cell r="M1243">
            <v>9.2494492674009816</v>
          </cell>
          <cell r="N1243">
            <v>8.6586987271315277</v>
          </cell>
          <cell r="O1243">
            <v>8.3804416132623381</v>
          </cell>
          <cell r="P1243">
            <v>8.1021844993932071</v>
          </cell>
          <cell r="Q1243">
            <v>7.8239273855241667</v>
          </cell>
          <cell r="R1243">
            <v>7.5456702716550357</v>
          </cell>
          <cell r="S1243">
            <v>7.2674131577859047</v>
          </cell>
          <cell r="T1243">
            <v>7.1259404995451412</v>
          </cell>
          <cell r="U1243">
            <v>6.9844678413043768</v>
          </cell>
          <cell r="V1243">
            <v>6.8429951830636586</v>
          </cell>
          <cell r="W1243">
            <v>6.7015225248228951</v>
          </cell>
          <cell r="X1243">
            <v>6.5600498665822222</v>
          </cell>
          <cell r="Y1243">
            <v>6.4119664588195064</v>
          </cell>
          <cell r="Z1243">
            <v>6.2638830510568368</v>
          </cell>
          <cell r="AA1243">
            <v>6.115799643294122</v>
          </cell>
          <cell r="AB1243">
            <v>5.9677162355314524</v>
          </cell>
          <cell r="AC1243">
            <v>5.8196328277687375</v>
          </cell>
          <cell r="AD1243">
            <v>5.751723739774639</v>
          </cell>
          <cell r="AE1243">
            <v>5.6838146517805175</v>
          </cell>
          <cell r="AF1243">
            <v>5.615905563786419</v>
          </cell>
          <cell r="AG1243">
            <v>5.5479964757923206</v>
          </cell>
          <cell r="AH1243">
            <v>5.480087387798199</v>
          </cell>
        </row>
        <row r="1244">
          <cell r="B1244" t="str">
            <v>Nitrogen - Energy cost - Europe - USD/ton fuel</v>
          </cell>
          <cell r="G1244">
            <v>10.636011178706594</v>
          </cell>
          <cell r="H1244">
            <v>10.177603566500183</v>
          </cell>
          <cell r="I1244">
            <v>9.7191959542938005</v>
          </cell>
          <cell r="J1244">
            <v>9.178821654708452</v>
          </cell>
          <cell r="K1244">
            <v>8.6519163049701522</v>
          </cell>
          <cell r="L1244">
            <v>8.1384799050790164</v>
          </cell>
          <cell r="M1244">
            <v>7.6385124550348573</v>
          </cell>
          <cell r="N1244">
            <v>7.1520139548377957</v>
          </cell>
          <cell r="O1244">
            <v>7.012105307969887</v>
          </cell>
          <cell r="P1244">
            <v>6.8721966611020893</v>
          </cell>
          <cell r="Q1244">
            <v>6.7322880142342463</v>
          </cell>
          <cell r="R1244">
            <v>6.5923793673664024</v>
          </cell>
          <cell r="S1244">
            <v>6.4524707204986047</v>
          </cell>
          <cell r="T1244">
            <v>6.3689381471233446</v>
          </cell>
          <cell r="U1244">
            <v>6.2854055737481076</v>
          </cell>
          <cell r="V1244">
            <v>6.2018730003728706</v>
          </cell>
          <cell r="W1244">
            <v>6.1183404269976336</v>
          </cell>
          <cell r="X1244">
            <v>6.0348078536223513</v>
          </cell>
          <cell r="Y1244">
            <v>5.9454430810320904</v>
          </cell>
          <cell r="Z1244">
            <v>5.8560783084418064</v>
          </cell>
          <cell r="AA1244">
            <v>5.7667135358515456</v>
          </cell>
          <cell r="AB1244">
            <v>5.6773487632612616</v>
          </cell>
          <cell r="AC1244">
            <v>5.5879839906710007</v>
          </cell>
          <cell r="AD1244">
            <v>5.5227816121863729</v>
          </cell>
          <cell r="AE1244">
            <v>5.4575792337017219</v>
          </cell>
          <cell r="AF1244">
            <v>5.3923768552170941</v>
          </cell>
          <cell r="AG1244">
            <v>5.3271744767324662</v>
          </cell>
          <cell r="AH1244">
            <v>5.2619720982478162</v>
          </cell>
        </row>
        <row r="1245">
          <cell r="B1245" t="str">
            <v>Nitrogen - Energy cost - Middle East - USD/ton fuel</v>
          </cell>
          <cell r="G1245">
            <v>8.1444696680960718</v>
          </cell>
          <cell r="H1245">
            <v>7.7850746380955025</v>
          </cell>
          <cell r="I1245">
            <v>7.4256796080948551</v>
          </cell>
          <cell r="J1245">
            <v>7.0570412194724659</v>
          </cell>
          <cell r="K1245">
            <v>6.6970556468542668</v>
          </cell>
          <cell r="L1245">
            <v>6.3457228902401965</v>
          </cell>
          <cell r="M1245">
            <v>6.0030429496302569</v>
          </cell>
          <cell r="N1245">
            <v>5.6690158250243963</v>
          </cell>
          <cell r="O1245">
            <v>5.5164850150726581</v>
          </cell>
          <cell r="P1245">
            <v>5.3639542051209448</v>
          </cell>
          <cell r="Q1245">
            <v>5.2114233951691862</v>
          </cell>
          <cell r="R1245">
            <v>5.0588925852174729</v>
          </cell>
          <cell r="S1245">
            <v>4.9063617752657596</v>
          </cell>
          <cell r="T1245">
            <v>4.8298844310212417</v>
          </cell>
          <cell r="U1245">
            <v>4.7534070867767246</v>
          </cell>
          <cell r="V1245">
            <v>4.6769297425322298</v>
          </cell>
          <cell r="W1245">
            <v>4.6004523982877119</v>
          </cell>
          <cell r="X1245">
            <v>4.523975054043194</v>
          </cell>
          <cell r="Y1245">
            <v>4.4236829663340131</v>
          </cell>
          <cell r="Z1245">
            <v>4.3233908786248554</v>
          </cell>
          <cell r="AA1245">
            <v>4.2230987909156736</v>
          </cell>
          <cell r="AB1245">
            <v>4.1228067032065159</v>
          </cell>
          <cell r="AC1245">
            <v>4.0225146154973235</v>
          </cell>
          <cell r="AD1245">
            <v>3.9755747722656114</v>
          </cell>
          <cell r="AE1245">
            <v>3.9286349290339104</v>
          </cell>
          <cell r="AF1245">
            <v>3.8816950858021984</v>
          </cell>
          <cell r="AG1245">
            <v>3.8347552425704863</v>
          </cell>
          <cell r="AH1245">
            <v>3.7878153993387857</v>
          </cell>
        </row>
        <row r="1246">
          <cell r="B1246" t="str">
            <v>Renewable electricity - Cost of electricity - Africa - USD/MWh</v>
          </cell>
          <cell r="G1246">
            <v>58.389806930514169</v>
          </cell>
          <cell r="H1246">
            <v>51.533296245659585</v>
          </cell>
          <cell r="I1246">
            <v>44.676785560803182</v>
          </cell>
          <cell r="J1246">
            <v>42.765424685038852</v>
          </cell>
          <cell r="K1246">
            <v>40.854063809274521</v>
          </cell>
          <cell r="L1246">
            <v>38.942702933510191</v>
          </cell>
          <cell r="M1246">
            <v>37.031342057745405</v>
          </cell>
          <cell r="N1246">
            <v>35.119981181981075</v>
          </cell>
          <cell r="O1246">
            <v>34.053057098426962</v>
          </cell>
          <cell r="P1246">
            <v>32.986133014872848</v>
          </cell>
          <cell r="Q1246">
            <v>31.919208931318281</v>
          </cell>
          <cell r="R1246">
            <v>30.852284847764167</v>
          </cell>
          <cell r="S1246">
            <v>29.785360764210168</v>
          </cell>
          <cell r="T1246">
            <v>29.283177129903038</v>
          </cell>
          <cell r="U1246">
            <v>28.780993495596022</v>
          </cell>
          <cell r="V1246">
            <v>28.278809861288892</v>
          </cell>
          <cell r="W1246">
            <v>27.776626226981762</v>
          </cell>
          <cell r="X1246">
            <v>27.274442592674859</v>
          </cell>
          <cell r="Y1246">
            <v>26.758061649346246</v>
          </cell>
          <cell r="Z1246">
            <v>26.241680706017632</v>
          </cell>
          <cell r="AA1246">
            <v>25.725299762688792</v>
          </cell>
          <cell r="AB1246">
            <v>25.208918819360179</v>
          </cell>
          <cell r="AC1246">
            <v>24.692537876031452</v>
          </cell>
          <cell r="AD1246">
            <v>24.439084279606391</v>
          </cell>
          <cell r="AE1246">
            <v>24.185630683181444</v>
          </cell>
          <cell r="AF1246">
            <v>23.932177086756383</v>
          </cell>
          <cell r="AG1246">
            <v>23.678723490331322</v>
          </cell>
          <cell r="AH1246">
            <v>23.425269893906375</v>
          </cell>
        </row>
        <row r="1247">
          <cell r="B1247" t="str">
            <v>Renewable electricity - Cost of electricity - Americas - USD/MWh</v>
          </cell>
          <cell r="G1247">
            <v>36.687184539767031</v>
          </cell>
          <cell r="H1247">
            <v>35.927444151972622</v>
          </cell>
          <cell r="I1247">
            <v>35.167703764177986</v>
          </cell>
          <cell r="J1247">
            <v>33.883444176422017</v>
          </cell>
          <cell r="K1247">
            <v>32.599184588666049</v>
          </cell>
          <cell r="L1247">
            <v>31.31492500091008</v>
          </cell>
          <cell r="M1247">
            <v>30.030665413154566</v>
          </cell>
          <cell r="N1247">
            <v>28.746405825398597</v>
          </cell>
          <cell r="O1247">
            <v>28.128389278370832</v>
          </cell>
          <cell r="P1247">
            <v>27.510372731343068</v>
          </cell>
          <cell r="Q1247">
            <v>26.892356184315304</v>
          </cell>
          <cell r="R1247">
            <v>26.27433963728754</v>
          </cell>
          <cell r="S1247">
            <v>25.656323090259662</v>
          </cell>
          <cell r="T1247">
            <v>25.155343675421591</v>
          </cell>
          <cell r="U1247">
            <v>24.65436426058352</v>
          </cell>
          <cell r="V1247">
            <v>24.153384845745336</v>
          </cell>
          <cell r="W1247">
            <v>23.652405430907265</v>
          </cell>
          <cell r="X1247">
            <v>23.151426016069138</v>
          </cell>
          <cell r="Y1247">
            <v>22.949597354879643</v>
          </cell>
          <cell r="Z1247">
            <v>22.747768693690148</v>
          </cell>
          <cell r="AA1247">
            <v>22.54594003250071</v>
          </cell>
          <cell r="AB1247">
            <v>22.344111371311214</v>
          </cell>
          <cell r="AC1247">
            <v>22.142282710121719</v>
          </cell>
          <cell r="AD1247">
            <v>21.990017270793203</v>
          </cell>
          <cell r="AE1247">
            <v>21.837751831464743</v>
          </cell>
          <cell r="AF1247">
            <v>21.685486392136283</v>
          </cell>
          <cell r="AG1247">
            <v>21.533220952807824</v>
          </cell>
          <cell r="AH1247">
            <v>21.380955513479364</v>
          </cell>
        </row>
        <row r="1248">
          <cell r="B1248" t="str">
            <v>Renewable electricity - Cost of electricity - Asia - USD/MWh</v>
          </cell>
          <cell r="G1248">
            <v>64.941602489809156</v>
          </cell>
          <cell r="H1248">
            <v>59.234907936835953</v>
          </cell>
          <cell r="I1248">
            <v>53.528213383865477</v>
          </cell>
          <cell r="J1248">
            <v>51.481269434223577</v>
          </cell>
          <cell r="K1248">
            <v>49.434325484582587</v>
          </cell>
          <cell r="L1248">
            <v>47.387381534940687</v>
          </cell>
          <cell r="M1248">
            <v>45.340437585298787</v>
          </cell>
          <cell r="N1248">
            <v>43.293493635657796</v>
          </cell>
          <cell r="O1248">
            <v>41.902208066311687</v>
          </cell>
          <cell r="P1248">
            <v>40.510922496966032</v>
          </cell>
          <cell r="Q1248">
            <v>39.119636927620832</v>
          </cell>
          <cell r="R1248">
            <v>37.728351358275177</v>
          </cell>
          <cell r="S1248">
            <v>36.337065788929522</v>
          </cell>
          <cell r="T1248">
            <v>35.629702497725702</v>
          </cell>
          <cell r="U1248">
            <v>34.922339206521883</v>
          </cell>
          <cell r="V1248">
            <v>34.214975915318291</v>
          </cell>
          <cell r="W1248">
            <v>33.507612624114472</v>
          </cell>
          <cell r="X1248">
            <v>32.800249332911108</v>
          </cell>
          <cell r="Y1248">
            <v>32.059832294097532</v>
          </cell>
          <cell r="Z1248">
            <v>31.319415255284184</v>
          </cell>
          <cell r="AA1248">
            <v>30.578998216470609</v>
          </cell>
          <cell r="AB1248">
            <v>29.838581177657261</v>
          </cell>
          <cell r="AC1248">
            <v>29.098164138843686</v>
          </cell>
          <cell r="AD1248">
            <v>28.758618698873192</v>
          </cell>
          <cell r="AE1248">
            <v>28.419073258902586</v>
          </cell>
          <cell r="AF1248">
            <v>28.079527818932092</v>
          </cell>
          <cell r="AG1248">
            <v>27.739982378961599</v>
          </cell>
          <cell r="AH1248">
            <v>27.400436938990993</v>
          </cell>
        </row>
        <row r="1249">
          <cell r="B1249" t="str">
            <v>Renewable electricity - Cost of electricity - Europe - USD/MWh</v>
          </cell>
          <cell r="G1249">
            <v>48.345505357757247</v>
          </cell>
          <cell r="H1249">
            <v>46.261834393182653</v>
          </cell>
          <cell r="I1249">
            <v>44.178163428608059</v>
          </cell>
          <cell r="J1249">
            <v>42.49454469772445</v>
          </cell>
          <cell r="K1249">
            <v>40.810925966840387</v>
          </cell>
          <cell r="L1249">
            <v>39.127307235956778</v>
          </cell>
          <cell r="M1249">
            <v>37.443688505072714</v>
          </cell>
          <cell r="N1249">
            <v>35.760069774189105</v>
          </cell>
          <cell r="O1249">
            <v>35.060526539849434</v>
          </cell>
          <cell r="P1249">
            <v>34.360983305510445</v>
          </cell>
          <cell r="Q1249">
            <v>33.661440071171228</v>
          </cell>
          <cell r="R1249">
            <v>32.961896836832011</v>
          </cell>
          <cell r="S1249">
            <v>32.262353602493022</v>
          </cell>
          <cell r="T1249">
            <v>31.844690735616723</v>
          </cell>
          <cell r="U1249">
            <v>31.427027868740538</v>
          </cell>
          <cell r="V1249">
            <v>31.009365001864353</v>
          </cell>
          <cell r="W1249">
            <v>30.591702134988168</v>
          </cell>
          <cell r="X1249">
            <v>30.174039268111756</v>
          </cell>
          <cell r="Y1249">
            <v>29.72721540516045</v>
          </cell>
          <cell r="Z1249">
            <v>29.280391542209031</v>
          </cell>
          <cell r="AA1249">
            <v>28.833567679257726</v>
          </cell>
          <cell r="AB1249">
            <v>28.386743816306307</v>
          </cell>
          <cell r="AC1249">
            <v>27.939919953355002</v>
          </cell>
          <cell r="AD1249">
            <v>27.613908060931863</v>
          </cell>
          <cell r="AE1249">
            <v>27.28789616850861</v>
          </cell>
          <cell r="AF1249">
            <v>26.96188427608547</v>
          </cell>
          <cell r="AG1249">
            <v>26.635872383662331</v>
          </cell>
          <cell r="AH1249">
            <v>26.309860491239078</v>
          </cell>
        </row>
        <row r="1250">
          <cell r="B1250" t="str">
            <v>Renewable electricity - Cost of electricity - Middle East - USD/MWh</v>
          </cell>
          <cell r="G1250">
            <v>37.020316673163961</v>
          </cell>
          <cell r="H1250">
            <v>35.386702900434102</v>
          </cell>
          <cell r="I1250">
            <v>33.753089127703788</v>
          </cell>
          <cell r="J1250">
            <v>32.671487127187447</v>
          </cell>
          <cell r="K1250">
            <v>31.589885126671106</v>
          </cell>
          <cell r="L1250">
            <v>30.508283126154765</v>
          </cell>
          <cell r="M1250">
            <v>29.426681125638424</v>
          </cell>
          <cell r="N1250">
            <v>28.345079125122083</v>
          </cell>
          <cell r="O1250">
            <v>27.58242507536329</v>
          </cell>
          <cell r="P1250">
            <v>26.819771025604723</v>
          </cell>
          <cell r="Q1250">
            <v>26.057116975845929</v>
          </cell>
          <cell r="R1250">
            <v>25.294462926087363</v>
          </cell>
          <cell r="S1250">
            <v>24.531808876328796</v>
          </cell>
          <cell r="T1250">
            <v>24.149422155106208</v>
          </cell>
          <cell r="U1250">
            <v>23.76703543388362</v>
          </cell>
          <cell r="V1250">
            <v>23.384648712661146</v>
          </cell>
          <cell r="W1250">
            <v>23.002261991438559</v>
          </cell>
          <cell r="X1250">
            <v>22.619875270215971</v>
          </cell>
          <cell r="Y1250">
            <v>22.118414831670066</v>
          </cell>
          <cell r="Z1250">
            <v>21.616954393124274</v>
          </cell>
          <cell r="AA1250">
            <v>21.115493954578369</v>
          </cell>
          <cell r="AB1250">
            <v>20.614033516032578</v>
          </cell>
          <cell r="AC1250">
            <v>20.112573077486616</v>
          </cell>
          <cell r="AD1250">
            <v>19.877873861328055</v>
          </cell>
          <cell r="AE1250">
            <v>19.643174645169552</v>
          </cell>
          <cell r="AF1250">
            <v>19.408475429010991</v>
          </cell>
          <cell r="AG1250">
            <v>19.173776212852431</v>
          </cell>
          <cell r="AH1250">
            <v>18.939076996693927</v>
          </cell>
        </row>
        <row r="1251">
          <cell r="B1251" t="str">
            <v>Nitrogen - Energy demand - Global - MWh/ton fuel</v>
          </cell>
          <cell r="G1251">
            <v>0.22</v>
          </cell>
          <cell r="H1251">
            <v>0.22</v>
          </cell>
          <cell r="I1251">
            <v>0.22000000000000064</v>
          </cell>
          <cell r="J1251">
            <v>0.2159999999999993</v>
          </cell>
          <cell r="K1251">
            <v>0.21199999999999974</v>
          </cell>
          <cell r="L1251">
            <v>0.20800000000000018</v>
          </cell>
          <cell r="M1251">
            <v>0.20400000000000063</v>
          </cell>
          <cell r="N1251">
            <v>0.19999999999999929</v>
          </cell>
          <cell r="O1251">
            <v>0.2</v>
          </cell>
          <cell r="P1251">
            <v>0.2</v>
          </cell>
          <cell r="Q1251">
            <v>0.2</v>
          </cell>
          <cell r="R1251">
            <v>0.2</v>
          </cell>
          <cell r="S1251">
            <v>0.2</v>
          </cell>
          <cell r="T1251">
            <v>0.2</v>
          </cell>
          <cell r="U1251">
            <v>0.2</v>
          </cell>
          <cell r="V1251">
            <v>0.2</v>
          </cell>
          <cell r="W1251">
            <v>0.2</v>
          </cell>
          <cell r="X1251">
            <v>0.2</v>
          </cell>
          <cell r="Y1251">
            <v>0.2</v>
          </cell>
          <cell r="Z1251">
            <v>0.2</v>
          </cell>
          <cell r="AA1251">
            <v>0.2</v>
          </cell>
          <cell r="AB1251">
            <v>0.2</v>
          </cell>
          <cell r="AC1251">
            <v>0.2</v>
          </cell>
          <cell r="AD1251">
            <v>0.2</v>
          </cell>
          <cell r="AE1251">
            <v>0.2</v>
          </cell>
          <cell r="AF1251">
            <v>0.2</v>
          </cell>
          <cell r="AG1251">
            <v>0.2</v>
          </cell>
          <cell r="AH1251">
            <v>0.2</v>
          </cell>
        </row>
        <row r="1253">
          <cell r="B1253" t="str">
            <v>LNG - Item - Region - Unit</v>
          </cell>
          <cell r="G1253">
            <v>2023</v>
          </cell>
          <cell r="H1253">
            <v>2024</v>
          </cell>
          <cell r="I1253">
            <v>2025</v>
          </cell>
          <cell r="J1253">
            <v>2026</v>
          </cell>
          <cell r="K1253">
            <v>2027</v>
          </cell>
          <cell r="L1253">
            <v>2028</v>
          </cell>
          <cell r="M1253">
            <v>2029</v>
          </cell>
          <cell r="N1253">
            <v>2030</v>
          </cell>
          <cell r="O1253">
            <v>2031</v>
          </cell>
          <cell r="P1253">
            <v>2032</v>
          </cell>
          <cell r="Q1253">
            <v>2033</v>
          </cell>
          <cell r="R1253">
            <v>2034</v>
          </cell>
          <cell r="S1253">
            <v>2035</v>
          </cell>
          <cell r="T1253">
            <v>2036</v>
          </cell>
          <cell r="U1253">
            <v>2037</v>
          </cell>
          <cell r="V1253">
            <v>2038</v>
          </cell>
          <cell r="W1253">
            <v>2039</v>
          </cell>
          <cell r="X1253">
            <v>2040</v>
          </cell>
          <cell r="Y1253">
            <v>2041</v>
          </cell>
          <cell r="Z1253">
            <v>2042</v>
          </cell>
          <cell r="AA1253">
            <v>2043</v>
          </cell>
          <cell r="AB1253">
            <v>2044</v>
          </cell>
          <cell r="AC1253">
            <v>2045</v>
          </cell>
          <cell r="AD1253">
            <v>2046</v>
          </cell>
          <cell r="AE1253">
            <v>2047</v>
          </cell>
          <cell r="AF1253">
            <v>2048</v>
          </cell>
          <cell r="AG1253">
            <v>2049</v>
          </cell>
          <cell r="AH1253">
            <v>2050</v>
          </cell>
        </row>
        <row r="1254">
          <cell r="B1254" t="str">
            <v>LNG - Total cost - Africa - USD/ton fuel</v>
          </cell>
          <cell r="G1254">
            <v>1355.6788664737073</v>
          </cell>
          <cell r="H1254">
            <v>1140.6174689050949</v>
          </cell>
          <cell r="I1254">
            <v>925.55607133648186</v>
          </cell>
          <cell r="J1254">
            <v>878.48382249450492</v>
          </cell>
          <cell r="K1254">
            <v>831.41157365252798</v>
          </cell>
          <cell r="L1254">
            <v>784.33932481055103</v>
          </cell>
          <cell r="M1254">
            <v>737.26707596857386</v>
          </cell>
          <cell r="N1254">
            <v>690.19482712659692</v>
          </cell>
          <cell r="O1254">
            <v>688.65078564227224</v>
          </cell>
          <cell r="P1254">
            <v>687.10674415794722</v>
          </cell>
          <cell r="Q1254">
            <v>685.5627026736222</v>
          </cell>
          <cell r="R1254">
            <v>684.01866118929729</v>
          </cell>
          <cell r="S1254">
            <v>682.47461970497238</v>
          </cell>
          <cell r="T1254">
            <v>681.29046616999267</v>
          </cell>
          <cell r="U1254">
            <v>680.10631263501296</v>
          </cell>
          <cell r="V1254">
            <v>678.92215910003301</v>
          </cell>
          <cell r="W1254">
            <v>677.73800556505307</v>
          </cell>
          <cell r="X1254">
            <v>676.55385203007359</v>
          </cell>
          <cell r="Y1254">
            <v>675.38173386491553</v>
          </cell>
          <cell r="Z1254">
            <v>674.20961569975771</v>
          </cell>
          <cell r="AA1254">
            <v>673.03749753459942</v>
          </cell>
          <cell r="AB1254">
            <v>671.86537936944137</v>
          </cell>
          <cell r="AC1254">
            <v>670.69326120428309</v>
          </cell>
          <cell r="AD1254">
            <v>669.6989746840286</v>
          </cell>
          <cell r="AE1254">
            <v>668.70468816377411</v>
          </cell>
          <cell r="AF1254">
            <v>667.71040164351962</v>
          </cell>
          <cell r="AG1254">
            <v>666.71611512326501</v>
          </cell>
          <cell r="AH1254">
            <v>665.72182860301052</v>
          </cell>
        </row>
        <row r="1255">
          <cell r="B1255" t="str">
            <v>LNG - Total cost - Americas - USD/ton fuel</v>
          </cell>
          <cell r="G1255">
            <v>500.65729303925912</v>
          </cell>
          <cell r="H1255">
            <v>475.25395764888287</v>
          </cell>
          <cell r="I1255">
            <v>449.8506222585068</v>
          </cell>
          <cell r="J1255">
            <v>446.15463418933484</v>
          </cell>
          <cell r="K1255">
            <v>442.45864612016294</v>
          </cell>
          <cell r="L1255">
            <v>438.76265805099104</v>
          </cell>
          <cell r="M1255">
            <v>435.06666998181936</v>
          </cell>
          <cell r="N1255">
            <v>431.37068191264734</v>
          </cell>
          <cell r="O1255">
            <v>436.09598495023852</v>
          </cell>
          <cell r="P1255">
            <v>440.82128798782935</v>
          </cell>
          <cell r="Q1255">
            <v>445.54659102542047</v>
          </cell>
          <cell r="R1255">
            <v>450.27189406301125</v>
          </cell>
          <cell r="S1255">
            <v>454.99719710060208</v>
          </cell>
          <cell r="T1255">
            <v>453.81376609730387</v>
          </cell>
          <cell r="U1255">
            <v>452.63033509400543</v>
          </cell>
          <cell r="V1255">
            <v>451.44690409070688</v>
          </cell>
          <cell r="W1255">
            <v>450.26347308740839</v>
          </cell>
          <cell r="X1255">
            <v>449.08004208411023</v>
          </cell>
          <cell r="Y1255">
            <v>448.09665528823552</v>
          </cell>
          <cell r="Z1255">
            <v>447.11326849236121</v>
          </cell>
          <cell r="AA1255">
            <v>446.12988169648656</v>
          </cell>
          <cell r="AB1255">
            <v>445.14649490061197</v>
          </cell>
          <cell r="AC1255">
            <v>444.16310810473726</v>
          </cell>
          <cell r="AD1255">
            <v>443.22953447874067</v>
          </cell>
          <cell r="AE1255">
            <v>442.29596085274409</v>
          </cell>
          <cell r="AF1255">
            <v>441.3623872267475</v>
          </cell>
          <cell r="AG1255">
            <v>440.42881360075091</v>
          </cell>
          <cell r="AH1255">
            <v>439.49523997475433</v>
          </cell>
        </row>
        <row r="1256">
          <cell r="B1256" t="str">
            <v>LNG - Total cost - Asia - USD/ton fuel</v>
          </cell>
          <cell r="G1256">
            <v>1314.6099438092845</v>
          </cell>
          <cell r="H1256">
            <v>1135.2384359198008</v>
          </cell>
          <cell r="I1256">
            <v>955.86692803031929</v>
          </cell>
          <cell r="J1256">
            <v>878.71332934401585</v>
          </cell>
          <cell r="K1256">
            <v>801.55973065771286</v>
          </cell>
          <cell r="L1256">
            <v>724.40613197140942</v>
          </cell>
          <cell r="M1256">
            <v>647.25253328510587</v>
          </cell>
          <cell r="N1256">
            <v>570.09893459880288</v>
          </cell>
          <cell r="O1256">
            <v>568.36027622300298</v>
          </cell>
          <cell r="P1256">
            <v>566.62161784720308</v>
          </cell>
          <cell r="Q1256">
            <v>564.88295947140375</v>
          </cell>
          <cell r="R1256">
            <v>563.14430109560385</v>
          </cell>
          <cell r="S1256">
            <v>561.40564271980395</v>
          </cell>
          <cell r="T1256">
            <v>560.09838139068631</v>
          </cell>
          <cell r="U1256">
            <v>558.79112006156845</v>
          </cell>
          <cell r="V1256">
            <v>557.4838587324507</v>
          </cell>
          <cell r="W1256">
            <v>556.17659740333272</v>
          </cell>
          <cell r="X1256">
            <v>554.86933607421543</v>
          </cell>
          <cell r="Y1256">
            <v>553.56279625176626</v>
          </cell>
          <cell r="Z1256">
            <v>552.25625642931766</v>
          </cell>
          <cell r="AA1256">
            <v>550.94971660686849</v>
          </cell>
          <cell r="AB1256">
            <v>549.64317678441955</v>
          </cell>
          <cell r="AC1256">
            <v>548.3366369619705</v>
          </cell>
          <cell r="AD1256">
            <v>547.29069533558868</v>
          </cell>
          <cell r="AE1256">
            <v>546.24475370920675</v>
          </cell>
          <cell r="AF1256">
            <v>545.19881208282504</v>
          </cell>
          <cell r="AG1256">
            <v>544.15287045644322</v>
          </cell>
          <cell r="AH1256">
            <v>543.10692883006129</v>
          </cell>
        </row>
        <row r="1257">
          <cell r="B1257" t="str">
            <v>LNG - Total cost - Europe - USD/ton fuel</v>
          </cell>
          <cell r="G1257">
            <v>1349.6522855300532</v>
          </cell>
          <cell r="H1257">
            <v>1137.4545917936089</v>
          </cell>
          <cell r="I1257">
            <v>925.25689805716479</v>
          </cell>
          <cell r="J1257">
            <v>878.3212945021163</v>
          </cell>
          <cell r="K1257">
            <v>831.38569094706759</v>
          </cell>
          <cell r="L1257">
            <v>784.45008739201899</v>
          </cell>
          <cell r="M1257">
            <v>737.51448383697016</v>
          </cell>
          <cell r="N1257">
            <v>690.57888028192167</v>
          </cell>
          <cell r="O1257">
            <v>689.25526730712568</v>
          </cell>
          <cell r="P1257">
            <v>687.9316543323298</v>
          </cell>
          <cell r="Q1257">
            <v>686.60804135753403</v>
          </cell>
          <cell r="R1257">
            <v>685.28442838273793</v>
          </cell>
          <cell r="S1257">
            <v>683.96081540794205</v>
          </cell>
          <cell r="T1257">
            <v>682.82737433342095</v>
          </cell>
          <cell r="U1257">
            <v>681.69393325889962</v>
          </cell>
          <cell r="V1257">
            <v>680.56049218437829</v>
          </cell>
          <cell r="W1257">
            <v>679.42705110985696</v>
          </cell>
          <cell r="X1257">
            <v>678.29361003533575</v>
          </cell>
          <cell r="Y1257">
            <v>677.16322611840405</v>
          </cell>
          <cell r="Z1257">
            <v>676.03284220147248</v>
          </cell>
          <cell r="AA1257">
            <v>674.90245828454078</v>
          </cell>
          <cell r="AB1257">
            <v>673.77207436760898</v>
          </cell>
          <cell r="AC1257">
            <v>672.64169045067729</v>
          </cell>
          <cell r="AD1257">
            <v>671.60386895282386</v>
          </cell>
          <cell r="AE1257">
            <v>670.56604745497043</v>
          </cell>
          <cell r="AF1257">
            <v>669.528225957117</v>
          </cell>
          <cell r="AG1257">
            <v>668.49040445926357</v>
          </cell>
          <cell r="AH1257">
            <v>667.45258296141014</v>
          </cell>
        </row>
        <row r="1258">
          <cell r="B1258" t="str">
            <v>LNG - Total cost - Middle East - USD/ton fuel</v>
          </cell>
          <cell r="G1258">
            <v>1097.8571723192972</v>
          </cell>
          <cell r="H1258">
            <v>920.92951289795974</v>
          </cell>
          <cell r="I1258">
            <v>744.00185347662227</v>
          </cell>
          <cell r="J1258">
            <v>666.42745995979408</v>
          </cell>
          <cell r="K1258">
            <v>588.853066442966</v>
          </cell>
          <cell r="L1258">
            <v>511.2786729261378</v>
          </cell>
          <cell r="M1258">
            <v>433.70427940930961</v>
          </cell>
          <cell r="N1258">
            <v>356.12988589248147</v>
          </cell>
          <cell r="O1258">
            <v>354.76840642843399</v>
          </cell>
          <cell r="P1258">
            <v>353.40692696438634</v>
          </cell>
          <cell r="Q1258">
            <v>352.04544750033881</v>
          </cell>
          <cell r="R1258">
            <v>350.68396803629116</v>
          </cell>
          <cell r="S1258">
            <v>349.32248857224351</v>
          </cell>
          <cell r="T1258">
            <v>348.21021318511464</v>
          </cell>
          <cell r="U1258">
            <v>347.09793779798548</v>
          </cell>
          <cell r="V1258">
            <v>345.98566241085638</v>
          </cell>
          <cell r="W1258">
            <v>344.87338702372716</v>
          </cell>
          <cell r="X1258">
            <v>343.76111163659834</v>
          </cell>
          <cell r="Y1258">
            <v>342.59794577430978</v>
          </cell>
          <cell r="Z1258">
            <v>341.43477991202167</v>
          </cell>
          <cell r="AA1258">
            <v>340.27161404973322</v>
          </cell>
          <cell r="AB1258">
            <v>339.10844818744476</v>
          </cell>
          <cell r="AC1258">
            <v>337.9452823251562</v>
          </cell>
          <cell r="AD1258">
            <v>336.96224843306152</v>
          </cell>
          <cell r="AE1258">
            <v>335.97921454096695</v>
          </cell>
          <cell r="AF1258">
            <v>334.99618064887233</v>
          </cell>
          <cell r="AG1258">
            <v>334.0131467567777</v>
          </cell>
          <cell r="AH1258">
            <v>333.03011286468302</v>
          </cell>
        </row>
        <row r="1259">
          <cell r="B1259" t="str">
            <v/>
          </cell>
        </row>
        <row r="1260">
          <cell r="B1260" t="str">
            <v>LNG - CAPEX - Global - USD/ton fuel</v>
          </cell>
          <cell r="G1260">
            <v>75.715087666188268</v>
          </cell>
          <cell r="H1260">
            <v>75.35754383309407</v>
          </cell>
          <cell r="I1260">
            <v>75</v>
          </cell>
          <cell r="J1260">
            <v>74.650780257917603</v>
          </cell>
          <cell r="K1260">
            <v>74.301560515835206</v>
          </cell>
          <cell r="L1260">
            <v>73.952340773752809</v>
          </cell>
          <cell r="M1260">
            <v>73.603121031670398</v>
          </cell>
          <cell r="N1260">
            <v>73.253901289588001</v>
          </cell>
          <cell r="O1260">
            <v>72.912811842723016</v>
          </cell>
          <cell r="P1260">
            <v>72.571722395857918</v>
          </cell>
          <cell r="Q1260">
            <v>72.230632948992934</v>
          </cell>
          <cell r="R1260">
            <v>71.889543502127836</v>
          </cell>
          <cell r="S1260">
            <v>71.548454055262724</v>
          </cell>
          <cell r="T1260">
            <v>71.215305619641853</v>
          </cell>
          <cell r="U1260">
            <v>70.882157184020855</v>
          </cell>
          <cell r="V1260">
            <v>70.549008748399871</v>
          </cell>
          <cell r="W1260">
            <v>70.215860312778872</v>
          </cell>
          <cell r="X1260">
            <v>69.882711877158002</v>
          </cell>
          <cell r="Y1260">
            <v>69.557319575587826</v>
          </cell>
          <cell r="Z1260">
            <v>69.231927274017778</v>
          </cell>
          <cell r="AA1260">
            <v>68.906534972447602</v>
          </cell>
          <cell r="AB1260">
            <v>68.581142670877426</v>
          </cell>
          <cell r="AC1260">
            <v>68.25575036930725</v>
          </cell>
          <cell r="AD1260">
            <v>67.937933628779135</v>
          </cell>
          <cell r="AE1260">
            <v>67.620116888251019</v>
          </cell>
          <cell r="AF1260">
            <v>67.302300147722903</v>
          </cell>
          <cell r="AG1260">
            <v>66.984483407194787</v>
          </cell>
          <cell r="AH1260">
            <v>66.666666666666671</v>
          </cell>
        </row>
        <row r="1261">
          <cell r="B1261" t="str">
            <v>LNG - Plant lifetime - Global - Years</v>
          </cell>
          <cell r="G1261">
            <v>30</v>
          </cell>
          <cell r="H1261">
            <v>30</v>
          </cell>
          <cell r="I1261">
            <v>30</v>
          </cell>
          <cell r="J1261">
            <v>30</v>
          </cell>
          <cell r="K1261">
            <v>30</v>
          </cell>
          <cell r="L1261">
            <v>30</v>
          </cell>
          <cell r="M1261">
            <v>30</v>
          </cell>
          <cell r="N1261">
            <v>30</v>
          </cell>
          <cell r="O1261">
            <v>30</v>
          </cell>
          <cell r="P1261">
            <v>30</v>
          </cell>
          <cell r="Q1261">
            <v>30</v>
          </cell>
          <cell r="R1261">
            <v>30</v>
          </cell>
          <cell r="S1261">
            <v>30</v>
          </cell>
          <cell r="T1261">
            <v>30</v>
          </cell>
          <cell r="U1261">
            <v>30</v>
          </cell>
          <cell r="V1261">
            <v>30</v>
          </cell>
          <cell r="W1261">
            <v>30</v>
          </cell>
          <cell r="X1261">
            <v>30</v>
          </cell>
          <cell r="Y1261">
            <v>30</v>
          </cell>
          <cell r="Z1261">
            <v>30</v>
          </cell>
          <cell r="AA1261">
            <v>30</v>
          </cell>
          <cell r="AB1261">
            <v>30</v>
          </cell>
          <cell r="AC1261">
            <v>30</v>
          </cell>
          <cell r="AD1261">
            <v>30</v>
          </cell>
          <cell r="AE1261">
            <v>30</v>
          </cell>
          <cell r="AF1261">
            <v>30</v>
          </cell>
          <cell r="AG1261">
            <v>30</v>
          </cell>
          <cell r="AH1261">
            <v>30</v>
          </cell>
        </row>
        <row r="1262">
          <cell r="B1262" t="str">
            <v>LNG - Total CAPEX - Liquefaction - Global - USD/ton fuel</v>
          </cell>
          <cell r="G1262">
            <v>2271.4526299856479</v>
          </cell>
          <cell r="H1262">
            <v>2260.7263149928222</v>
          </cell>
          <cell r="I1262">
            <v>2250</v>
          </cell>
          <cell r="J1262">
            <v>2239.523407737528</v>
          </cell>
          <cell r="K1262">
            <v>2229.0468154750561</v>
          </cell>
          <cell r="L1262">
            <v>2218.5702232125841</v>
          </cell>
          <cell r="M1262">
            <v>2208.0936309501121</v>
          </cell>
          <cell r="N1262">
            <v>2197.6170386876402</v>
          </cell>
          <cell r="O1262">
            <v>2187.3843552816907</v>
          </cell>
          <cell r="P1262">
            <v>2177.1516718757375</v>
          </cell>
          <cell r="Q1262">
            <v>2166.918988469788</v>
          </cell>
          <cell r="R1262">
            <v>2156.6863050638349</v>
          </cell>
          <cell r="S1262">
            <v>2146.4536216578817</v>
          </cell>
          <cell r="T1262">
            <v>2136.4591685892556</v>
          </cell>
          <cell r="U1262">
            <v>2126.4647155206258</v>
          </cell>
          <cell r="V1262">
            <v>2116.4702624519959</v>
          </cell>
          <cell r="W1262">
            <v>2106.4758093833661</v>
          </cell>
          <cell r="X1262">
            <v>2096.48135631474</v>
          </cell>
          <cell r="Y1262">
            <v>2086.7195872676348</v>
          </cell>
          <cell r="Z1262">
            <v>2076.9578182205332</v>
          </cell>
          <cell r="AA1262">
            <v>2067.196049173428</v>
          </cell>
          <cell r="AB1262">
            <v>2057.4342801263228</v>
          </cell>
          <cell r="AC1262">
            <v>2047.6725110792177</v>
          </cell>
          <cell r="AD1262">
            <v>2038.1380088633741</v>
          </cell>
          <cell r="AE1262">
            <v>2028.6035066475306</v>
          </cell>
          <cell r="AF1262">
            <v>2019.0690044316871</v>
          </cell>
          <cell r="AG1262">
            <v>2009.5345022158435</v>
          </cell>
          <cell r="AH1262">
            <v>2000</v>
          </cell>
        </row>
        <row r="1263">
          <cell r="B1263" t="str">
            <v/>
          </cell>
        </row>
        <row r="1264">
          <cell r="B1264" t="str">
            <v>LNG - OPEX - Global - USD/ton fuel</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row>
        <row r="1265">
          <cell r="B1265" t="str">
            <v>LNG - OPEX - Liquefaction - Global - USD/ton fuel/year</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row>
        <row r="1266">
          <cell r="B1266" t="str">
            <v/>
          </cell>
        </row>
        <row r="1267">
          <cell r="B1267" t="str">
            <v>LNG - Finance cost - Africa - USD/ton fuel</v>
          </cell>
          <cell r="G1267">
            <v>124.92989464921065</v>
          </cell>
          <cell r="H1267">
            <v>124.33994732460523</v>
          </cell>
          <cell r="I1267">
            <v>123.75000000000001</v>
          </cell>
          <cell r="J1267">
            <v>123.17378742556406</v>
          </cell>
          <cell r="K1267">
            <v>122.5975748511281</v>
          </cell>
          <cell r="L1267">
            <v>122.02136227669214</v>
          </cell>
          <cell r="M1267">
            <v>121.44514970225619</v>
          </cell>
          <cell r="N1267">
            <v>120.86893712782023</v>
          </cell>
          <cell r="O1267">
            <v>120.30613954049301</v>
          </cell>
          <cell r="P1267">
            <v>119.74334195316558</v>
          </cell>
          <cell r="Q1267">
            <v>119.18054436583836</v>
          </cell>
          <cell r="R1267">
            <v>118.61774677851093</v>
          </cell>
          <cell r="S1267">
            <v>118.05494919118351</v>
          </cell>
          <cell r="T1267">
            <v>117.50525427240908</v>
          </cell>
          <cell r="U1267">
            <v>116.95555935363443</v>
          </cell>
          <cell r="V1267">
            <v>116.40586443485979</v>
          </cell>
          <cell r="W1267">
            <v>115.85616951608516</v>
          </cell>
          <cell r="X1267">
            <v>115.30647459731071</v>
          </cell>
          <cell r="Y1267">
            <v>114.76957729971993</v>
          </cell>
          <cell r="Z1267">
            <v>114.23268000212934</v>
          </cell>
          <cell r="AA1267">
            <v>113.69578270453856</v>
          </cell>
          <cell r="AB1267">
            <v>113.15888540694777</v>
          </cell>
          <cell r="AC1267">
            <v>112.62198810935699</v>
          </cell>
          <cell r="AD1267">
            <v>112.09759048748559</v>
          </cell>
          <cell r="AE1267">
            <v>111.5731928656142</v>
          </cell>
          <cell r="AF1267">
            <v>111.0487952437428</v>
          </cell>
          <cell r="AG1267">
            <v>110.52439762187142</v>
          </cell>
          <cell r="AH1267">
            <v>110.00000000000001</v>
          </cell>
        </row>
        <row r="1268">
          <cell r="B1268" t="str">
            <v>LNG - Finance cost - Americas - USD/ton fuel</v>
          </cell>
          <cell r="G1268">
            <v>124.92989464921065</v>
          </cell>
          <cell r="H1268">
            <v>124.33994732460523</v>
          </cell>
          <cell r="I1268">
            <v>123.75000000000001</v>
          </cell>
          <cell r="J1268">
            <v>123.17378742556406</v>
          </cell>
          <cell r="K1268">
            <v>122.5975748511281</v>
          </cell>
          <cell r="L1268">
            <v>122.02136227669214</v>
          </cell>
          <cell r="M1268">
            <v>121.44514970225619</v>
          </cell>
          <cell r="N1268">
            <v>120.86893712782023</v>
          </cell>
          <cell r="O1268">
            <v>120.30613954049301</v>
          </cell>
          <cell r="P1268">
            <v>119.74334195316558</v>
          </cell>
          <cell r="Q1268">
            <v>119.18054436583836</v>
          </cell>
          <cell r="R1268">
            <v>118.61774677851093</v>
          </cell>
          <cell r="S1268">
            <v>118.05494919118351</v>
          </cell>
          <cell r="T1268">
            <v>117.50525427240908</v>
          </cell>
          <cell r="U1268">
            <v>116.95555935363443</v>
          </cell>
          <cell r="V1268">
            <v>116.40586443485979</v>
          </cell>
          <cell r="W1268">
            <v>115.85616951608516</v>
          </cell>
          <cell r="X1268">
            <v>115.30647459731071</v>
          </cell>
          <cell r="Y1268">
            <v>114.76957729971993</v>
          </cell>
          <cell r="Z1268">
            <v>114.23268000212934</v>
          </cell>
          <cell r="AA1268">
            <v>113.69578270453856</v>
          </cell>
          <cell r="AB1268">
            <v>113.15888540694777</v>
          </cell>
          <cell r="AC1268">
            <v>112.62198810935699</v>
          </cell>
          <cell r="AD1268">
            <v>112.09759048748559</v>
          </cell>
          <cell r="AE1268">
            <v>111.5731928656142</v>
          </cell>
          <cell r="AF1268">
            <v>111.0487952437428</v>
          </cell>
          <cell r="AG1268">
            <v>110.52439762187142</v>
          </cell>
          <cell r="AH1268">
            <v>110.00000000000001</v>
          </cell>
        </row>
        <row r="1269">
          <cell r="B1269" t="str">
            <v>LNG - Finance cost - Asia - USD/ton fuel</v>
          </cell>
          <cell r="G1269">
            <v>124.92989464921065</v>
          </cell>
          <cell r="H1269">
            <v>124.33994732460523</v>
          </cell>
          <cell r="I1269">
            <v>123.75000000000001</v>
          </cell>
          <cell r="J1269">
            <v>123.17378742556406</v>
          </cell>
          <cell r="K1269">
            <v>122.5975748511281</v>
          </cell>
          <cell r="L1269">
            <v>122.02136227669214</v>
          </cell>
          <cell r="M1269">
            <v>121.44514970225619</v>
          </cell>
          <cell r="N1269">
            <v>120.86893712782023</v>
          </cell>
          <cell r="O1269">
            <v>120.30613954049301</v>
          </cell>
          <cell r="P1269">
            <v>119.74334195316558</v>
          </cell>
          <cell r="Q1269">
            <v>119.18054436583836</v>
          </cell>
          <cell r="R1269">
            <v>118.61774677851093</v>
          </cell>
          <cell r="S1269">
            <v>118.05494919118351</v>
          </cell>
          <cell r="T1269">
            <v>117.50525427240908</v>
          </cell>
          <cell r="U1269">
            <v>116.95555935363443</v>
          </cell>
          <cell r="V1269">
            <v>116.40586443485979</v>
          </cell>
          <cell r="W1269">
            <v>115.85616951608516</v>
          </cell>
          <cell r="X1269">
            <v>115.30647459731071</v>
          </cell>
          <cell r="Y1269">
            <v>114.76957729971993</v>
          </cell>
          <cell r="Z1269">
            <v>114.23268000212934</v>
          </cell>
          <cell r="AA1269">
            <v>113.69578270453856</v>
          </cell>
          <cell r="AB1269">
            <v>113.15888540694777</v>
          </cell>
          <cell r="AC1269">
            <v>112.62198810935699</v>
          </cell>
          <cell r="AD1269">
            <v>112.09759048748559</v>
          </cell>
          <cell r="AE1269">
            <v>111.5731928656142</v>
          </cell>
          <cell r="AF1269">
            <v>111.0487952437428</v>
          </cell>
          <cell r="AG1269">
            <v>110.52439762187142</v>
          </cell>
          <cell r="AH1269">
            <v>110.00000000000001</v>
          </cell>
        </row>
        <row r="1270">
          <cell r="B1270" t="str">
            <v>LNG - Finance cost - Europe - USD/ton fuel</v>
          </cell>
          <cell r="G1270">
            <v>124.92989464921065</v>
          </cell>
          <cell r="H1270">
            <v>124.33994732460523</v>
          </cell>
          <cell r="I1270">
            <v>123.75000000000001</v>
          </cell>
          <cell r="J1270">
            <v>123.17378742556406</v>
          </cell>
          <cell r="K1270">
            <v>122.5975748511281</v>
          </cell>
          <cell r="L1270">
            <v>122.02136227669214</v>
          </cell>
          <cell r="M1270">
            <v>121.44514970225619</v>
          </cell>
          <cell r="N1270">
            <v>120.86893712782023</v>
          </cell>
          <cell r="O1270">
            <v>120.30613954049301</v>
          </cell>
          <cell r="P1270">
            <v>119.74334195316558</v>
          </cell>
          <cell r="Q1270">
            <v>119.18054436583836</v>
          </cell>
          <cell r="R1270">
            <v>118.61774677851093</v>
          </cell>
          <cell r="S1270">
            <v>118.05494919118351</v>
          </cell>
          <cell r="T1270">
            <v>117.50525427240908</v>
          </cell>
          <cell r="U1270">
            <v>116.95555935363443</v>
          </cell>
          <cell r="V1270">
            <v>116.40586443485979</v>
          </cell>
          <cell r="W1270">
            <v>115.85616951608516</v>
          </cell>
          <cell r="X1270">
            <v>115.30647459731071</v>
          </cell>
          <cell r="Y1270">
            <v>114.76957729971993</v>
          </cell>
          <cell r="Z1270">
            <v>114.23268000212934</v>
          </cell>
          <cell r="AA1270">
            <v>113.69578270453856</v>
          </cell>
          <cell r="AB1270">
            <v>113.15888540694777</v>
          </cell>
          <cell r="AC1270">
            <v>112.62198810935699</v>
          </cell>
          <cell r="AD1270">
            <v>112.09759048748559</v>
          </cell>
          <cell r="AE1270">
            <v>111.5731928656142</v>
          </cell>
          <cell r="AF1270">
            <v>111.0487952437428</v>
          </cell>
          <cell r="AG1270">
            <v>110.52439762187142</v>
          </cell>
          <cell r="AH1270">
            <v>110.00000000000001</v>
          </cell>
        </row>
        <row r="1271">
          <cell r="B1271" t="str">
            <v>LNG - Finance cost - Middle East - USD/ton fuel</v>
          </cell>
          <cell r="G1271">
            <v>124.92989464921065</v>
          </cell>
          <cell r="H1271">
            <v>124.33994732460523</v>
          </cell>
          <cell r="I1271">
            <v>123.75000000000001</v>
          </cell>
          <cell r="J1271">
            <v>123.17378742556406</v>
          </cell>
          <cell r="K1271">
            <v>122.5975748511281</v>
          </cell>
          <cell r="L1271">
            <v>122.02136227669214</v>
          </cell>
          <cell r="M1271">
            <v>121.44514970225619</v>
          </cell>
          <cell r="N1271">
            <v>120.86893712782023</v>
          </cell>
          <cell r="O1271">
            <v>120.30613954049301</v>
          </cell>
          <cell r="P1271">
            <v>119.74334195316558</v>
          </cell>
          <cell r="Q1271">
            <v>119.18054436583836</v>
          </cell>
          <cell r="R1271">
            <v>118.61774677851093</v>
          </cell>
          <cell r="S1271">
            <v>118.05494919118351</v>
          </cell>
          <cell r="T1271">
            <v>117.50525427240908</v>
          </cell>
          <cell r="U1271">
            <v>116.95555935363443</v>
          </cell>
          <cell r="V1271">
            <v>116.40586443485979</v>
          </cell>
          <cell r="W1271">
            <v>115.85616951608516</v>
          </cell>
          <cell r="X1271">
            <v>115.30647459731071</v>
          </cell>
          <cell r="Y1271">
            <v>114.76957729971993</v>
          </cell>
          <cell r="Z1271">
            <v>114.23268000212934</v>
          </cell>
          <cell r="AA1271">
            <v>113.69578270453856</v>
          </cell>
          <cell r="AB1271">
            <v>113.15888540694777</v>
          </cell>
          <cell r="AC1271">
            <v>112.62198810935699</v>
          </cell>
          <cell r="AD1271">
            <v>112.09759048748559</v>
          </cell>
          <cell r="AE1271">
            <v>111.5731928656142</v>
          </cell>
          <cell r="AF1271">
            <v>111.0487952437428</v>
          </cell>
          <cell r="AG1271">
            <v>110.52439762187142</v>
          </cell>
          <cell r="AH1271">
            <v>110.00000000000001</v>
          </cell>
        </row>
        <row r="1272">
          <cell r="B1272" t="str">
            <v>General - Weighted average cost of capital (WACC) - Africa - %</v>
          </cell>
          <cell r="G1272">
            <v>5.5000000000000007E-2</v>
          </cell>
          <cell r="H1272">
            <v>5.5000000000000007E-2</v>
          </cell>
          <cell r="I1272">
            <v>5.5000000000000007E-2</v>
          </cell>
          <cell r="J1272">
            <v>5.5000000000000007E-2</v>
          </cell>
          <cell r="K1272">
            <v>5.5000000000000007E-2</v>
          </cell>
          <cell r="L1272">
            <v>5.5000000000000007E-2</v>
          </cell>
          <cell r="M1272">
            <v>5.5000000000000007E-2</v>
          </cell>
          <cell r="N1272">
            <v>5.5000000000000007E-2</v>
          </cell>
          <cell r="O1272">
            <v>5.5000000000000007E-2</v>
          </cell>
          <cell r="P1272">
            <v>5.5000000000000007E-2</v>
          </cell>
          <cell r="Q1272">
            <v>5.5000000000000007E-2</v>
          </cell>
          <cell r="R1272">
            <v>5.5000000000000007E-2</v>
          </cell>
          <cell r="S1272">
            <v>5.5000000000000007E-2</v>
          </cell>
          <cell r="T1272">
            <v>5.5000000000000007E-2</v>
          </cell>
          <cell r="U1272">
            <v>5.5000000000000007E-2</v>
          </cell>
          <cell r="V1272">
            <v>5.5000000000000007E-2</v>
          </cell>
          <cell r="W1272">
            <v>5.5000000000000007E-2</v>
          </cell>
          <cell r="X1272">
            <v>5.5000000000000007E-2</v>
          </cell>
          <cell r="Y1272">
            <v>5.5000000000000007E-2</v>
          </cell>
          <cell r="Z1272">
            <v>5.5000000000000007E-2</v>
          </cell>
          <cell r="AA1272">
            <v>5.5000000000000007E-2</v>
          </cell>
          <cell r="AB1272">
            <v>5.5000000000000007E-2</v>
          </cell>
          <cell r="AC1272">
            <v>5.5000000000000007E-2</v>
          </cell>
          <cell r="AD1272">
            <v>5.5000000000000007E-2</v>
          </cell>
          <cell r="AE1272">
            <v>5.5000000000000007E-2</v>
          </cell>
          <cell r="AF1272">
            <v>5.5000000000000007E-2</v>
          </cell>
          <cell r="AG1272">
            <v>5.5000000000000007E-2</v>
          </cell>
          <cell r="AH1272">
            <v>5.5000000000000007E-2</v>
          </cell>
        </row>
        <row r="1273">
          <cell r="B1273" t="str">
            <v>General - Weighted average cost of capital (WACC) - Americas - %</v>
          </cell>
          <cell r="G1273">
            <v>5.5000000000000007E-2</v>
          </cell>
          <cell r="H1273">
            <v>5.5000000000000007E-2</v>
          </cell>
          <cell r="I1273">
            <v>5.5000000000000007E-2</v>
          </cell>
          <cell r="J1273">
            <v>5.5000000000000007E-2</v>
          </cell>
          <cell r="K1273">
            <v>5.5000000000000007E-2</v>
          </cell>
          <cell r="L1273">
            <v>5.5000000000000007E-2</v>
          </cell>
          <cell r="M1273">
            <v>5.5000000000000007E-2</v>
          </cell>
          <cell r="N1273">
            <v>5.5000000000000007E-2</v>
          </cell>
          <cell r="O1273">
            <v>5.5000000000000007E-2</v>
          </cell>
          <cell r="P1273">
            <v>5.5000000000000007E-2</v>
          </cell>
          <cell r="Q1273">
            <v>5.5000000000000007E-2</v>
          </cell>
          <cell r="R1273">
            <v>5.5000000000000007E-2</v>
          </cell>
          <cell r="S1273">
            <v>5.5000000000000007E-2</v>
          </cell>
          <cell r="T1273">
            <v>5.5000000000000007E-2</v>
          </cell>
          <cell r="U1273">
            <v>5.5000000000000007E-2</v>
          </cell>
          <cell r="V1273">
            <v>5.5000000000000007E-2</v>
          </cell>
          <cell r="W1273">
            <v>5.5000000000000007E-2</v>
          </cell>
          <cell r="X1273">
            <v>5.5000000000000007E-2</v>
          </cell>
          <cell r="Y1273">
            <v>5.5000000000000007E-2</v>
          </cell>
          <cell r="Z1273">
            <v>5.5000000000000007E-2</v>
          </cell>
          <cell r="AA1273">
            <v>5.5000000000000007E-2</v>
          </cell>
          <cell r="AB1273">
            <v>5.5000000000000007E-2</v>
          </cell>
          <cell r="AC1273">
            <v>5.5000000000000007E-2</v>
          </cell>
          <cell r="AD1273">
            <v>5.5000000000000007E-2</v>
          </cell>
          <cell r="AE1273">
            <v>5.5000000000000007E-2</v>
          </cell>
          <cell r="AF1273">
            <v>5.5000000000000007E-2</v>
          </cell>
          <cell r="AG1273">
            <v>5.5000000000000007E-2</v>
          </cell>
          <cell r="AH1273">
            <v>5.5000000000000007E-2</v>
          </cell>
        </row>
        <row r="1274">
          <cell r="B1274" t="str">
            <v>General - Weighted average cost of capital (WACC) - Asia - %</v>
          </cell>
          <cell r="G1274">
            <v>5.5000000000000007E-2</v>
          </cell>
          <cell r="H1274">
            <v>5.5000000000000007E-2</v>
          </cell>
          <cell r="I1274">
            <v>5.5000000000000007E-2</v>
          </cell>
          <cell r="J1274">
            <v>5.5000000000000007E-2</v>
          </cell>
          <cell r="K1274">
            <v>5.5000000000000007E-2</v>
          </cell>
          <cell r="L1274">
            <v>5.5000000000000007E-2</v>
          </cell>
          <cell r="M1274">
            <v>5.5000000000000007E-2</v>
          </cell>
          <cell r="N1274">
            <v>5.5000000000000007E-2</v>
          </cell>
          <cell r="O1274">
            <v>5.5000000000000007E-2</v>
          </cell>
          <cell r="P1274">
            <v>5.5000000000000007E-2</v>
          </cell>
          <cell r="Q1274">
            <v>5.5000000000000007E-2</v>
          </cell>
          <cell r="R1274">
            <v>5.5000000000000007E-2</v>
          </cell>
          <cell r="S1274">
            <v>5.5000000000000007E-2</v>
          </cell>
          <cell r="T1274">
            <v>5.5000000000000007E-2</v>
          </cell>
          <cell r="U1274">
            <v>5.5000000000000007E-2</v>
          </cell>
          <cell r="V1274">
            <v>5.5000000000000007E-2</v>
          </cell>
          <cell r="W1274">
            <v>5.5000000000000007E-2</v>
          </cell>
          <cell r="X1274">
            <v>5.5000000000000007E-2</v>
          </cell>
          <cell r="Y1274">
            <v>5.5000000000000007E-2</v>
          </cell>
          <cell r="Z1274">
            <v>5.5000000000000007E-2</v>
          </cell>
          <cell r="AA1274">
            <v>5.5000000000000007E-2</v>
          </cell>
          <cell r="AB1274">
            <v>5.5000000000000007E-2</v>
          </cell>
          <cell r="AC1274">
            <v>5.5000000000000007E-2</v>
          </cell>
          <cell r="AD1274">
            <v>5.5000000000000007E-2</v>
          </cell>
          <cell r="AE1274">
            <v>5.5000000000000007E-2</v>
          </cell>
          <cell r="AF1274">
            <v>5.5000000000000007E-2</v>
          </cell>
          <cell r="AG1274">
            <v>5.5000000000000007E-2</v>
          </cell>
          <cell r="AH1274">
            <v>5.5000000000000007E-2</v>
          </cell>
        </row>
        <row r="1275">
          <cell r="B1275" t="str">
            <v>General - Weighted average cost of capital (WACC) - Europe - %</v>
          </cell>
          <cell r="G1275">
            <v>5.5000000000000007E-2</v>
          </cell>
          <cell r="H1275">
            <v>5.5000000000000007E-2</v>
          </cell>
          <cell r="I1275">
            <v>5.5000000000000007E-2</v>
          </cell>
          <cell r="J1275">
            <v>5.5000000000000007E-2</v>
          </cell>
          <cell r="K1275">
            <v>5.5000000000000007E-2</v>
          </cell>
          <cell r="L1275">
            <v>5.5000000000000007E-2</v>
          </cell>
          <cell r="M1275">
            <v>5.5000000000000007E-2</v>
          </cell>
          <cell r="N1275">
            <v>5.5000000000000007E-2</v>
          </cell>
          <cell r="O1275">
            <v>5.5000000000000007E-2</v>
          </cell>
          <cell r="P1275">
            <v>5.5000000000000007E-2</v>
          </cell>
          <cell r="Q1275">
            <v>5.5000000000000007E-2</v>
          </cell>
          <cell r="R1275">
            <v>5.5000000000000007E-2</v>
          </cell>
          <cell r="S1275">
            <v>5.5000000000000007E-2</v>
          </cell>
          <cell r="T1275">
            <v>5.5000000000000007E-2</v>
          </cell>
          <cell r="U1275">
            <v>5.5000000000000007E-2</v>
          </cell>
          <cell r="V1275">
            <v>5.5000000000000007E-2</v>
          </cell>
          <cell r="W1275">
            <v>5.5000000000000007E-2</v>
          </cell>
          <cell r="X1275">
            <v>5.5000000000000007E-2</v>
          </cell>
          <cell r="Y1275">
            <v>5.5000000000000007E-2</v>
          </cell>
          <cell r="Z1275">
            <v>5.5000000000000007E-2</v>
          </cell>
          <cell r="AA1275">
            <v>5.5000000000000007E-2</v>
          </cell>
          <cell r="AB1275">
            <v>5.5000000000000007E-2</v>
          </cell>
          <cell r="AC1275">
            <v>5.5000000000000007E-2</v>
          </cell>
          <cell r="AD1275">
            <v>5.5000000000000007E-2</v>
          </cell>
          <cell r="AE1275">
            <v>5.5000000000000007E-2</v>
          </cell>
          <cell r="AF1275">
            <v>5.5000000000000007E-2</v>
          </cell>
          <cell r="AG1275">
            <v>5.5000000000000007E-2</v>
          </cell>
          <cell r="AH1275">
            <v>5.5000000000000007E-2</v>
          </cell>
        </row>
        <row r="1276">
          <cell r="B1276" t="str">
            <v>General - Weighted average cost of capital (WACC) - Middle East - %</v>
          </cell>
          <cell r="G1276">
            <v>5.5000000000000007E-2</v>
          </cell>
          <cell r="H1276">
            <v>5.5000000000000007E-2</v>
          </cell>
          <cell r="I1276">
            <v>5.5000000000000007E-2</v>
          </cell>
          <cell r="J1276">
            <v>5.5000000000000007E-2</v>
          </cell>
          <cell r="K1276">
            <v>5.5000000000000007E-2</v>
          </cell>
          <cell r="L1276">
            <v>5.5000000000000007E-2</v>
          </cell>
          <cell r="M1276">
            <v>5.5000000000000007E-2</v>
          </cell>
          <cell r="N1276">
            <v>5.5000000000000007E-2</v>
          </cell>
          <cell r="O1276">
            <v>5.5000000000000007E-2</v>
          </cell>
          <cell r="P1276">
            <v>5.5000000000000007E-2</v>
          </cell>
          <cell r="Q1276">
            <v>5.5000000000000007E-2</v>
          </cell>
          <cell r="R1276">
            <v>5.5000000000000007E-2</v>
          </cell>
          <cell r="S1276">
            <v>5.5000000000000007E-2</v>
          </cell>
          <cell r="T1276">
            <v>5.5000000000000007E-2</v>
          </cell>
          <cell r="U1276">
            <v>5.5000000000000007E-2</v>
          </cell>
          <cell r="V1276">
            <v>5.5000000000000007E-2</v>
          </cell>
          <cell r="W1276">
            <v>5.5000000000000007E-2</v>
          </cell>
          <cell r="X1276">
            <v>5.5000000000000007E-2</v>
          </cell>
          <cell r="Y1276">
            <v>5.5000000000000007E-2</v>
          </cell>
          <cell r="Z1276">
            <v>5.5000000000000007E-2</v>
          </cell>
          <cell r="AA1276">
            <v>5.5000000000000007E-2</v>
          </cell>
          <cell r="AB1276">
            <v>5.5000000000000007E-2</v>
          </cell>
          <cell r="AC1276">
            <v>5.5000000000000007E-2</v>
          </cell>
          <cell r="AD1276">
            <v>5.5000000000000007E-2</v>
          </cell>
          <cell r="AE1276">
            <v>5.5000000000000007E-2</v>
          </cell>
          <cell r="AF1276">
            <v>5.5000000000000007E-2</v>
          </cell>
          <cell r="AG1276">
            <v>5.5000000000000007E-2</v>
          </cell>
          <cell r="AH1276">
            <v>5.5000000000000007E-2</v>
          </cell>
        </row>
        <row r="1277">
          <cell r="B1277" t="str">
            <v>LNG - Total CAPEX - Liquefaction - Global - USD/ton fuel</v>
          </cell>
          <cell r="G1277">
            <v>2271.4526299856479</v>
          </cell>
          <cell r="H1277">
            <v>2260.7263149928222</v>
          </cell>
          <cell r="I1277">
            <v>2250</v>
          </cell>
          <cell r="J1277">
            <v>2239.523407737528</v>
          </cell>
          <cell r="K1277">
            <v>2229.0468154750561</v>
          </cell>
          <cell r="L1277">
            <v>2218.5702232125841</v>
          </cell>
          <cell r="M1277">
            <v>2208.0936309501121</v>
          </cell>
          <cell r="N1277">
            <v>2197.6170386876402</v>
          </cell>
          <cell r="O1277">
            <v>2187.3843552816907</v>
          </cell>
          <cell r="P1277">
            <v>2177.1516718757375</v>
          </cell>
          <cell r="Q1277">
            <v>2166.918988469788</v>
          </cell>
          <cell r="R1277">
            <v>2156.6863050638349</v>
          </cell>
          <cell r="S1277">
            <v>2146.4536216578817</v>
          </cell>
          <cell r="T1277">
            <v>2136.4591685892556</v>
          </cell>
          <cell r="U1277">
            <v>2126.4647155206258</v>
          </cell>
          <cell r="V1277">
            <v>2116.4702624519959</v>
          </cell>
          <cell r="W1277">
            <v>2106.4758093833661</v>
          </cell>
          <cell r="X1277">
            <v>2096.48135631474</v>
          </cell>
          <cell r="Y1277">
            <v>2086.7195872676348</v>
          </cell>
          <cell r="Z1277">
            <v>2076.9578182205332</v>
          </cell>
          <cell r="AA1277">
            <v>2067.196049173428</v>
          </cell>
          <cell r="AB1277">
            <v>2057.4342801263228</v>
          </cell>
          <cell r="AC1277">
            <v>2047.6725110792177</v>
          </cell>
          <cell r="AD1277">
            <v>2038.1380088633741</v>
          </cell>
          <cell r="AE1277">
            <v>2028.6035066475306</v>
          </cell>
          <cell r="AF1277">
            <v>2019.0690044316871</v>
          </cell>
          <cell r="AG1277">
            <v>2009.5345022158435</v>
          </cell>
          <cell r="AH1277">
            <v>2000</v>
          </cell>
        </row>
        <row r="1278">
          <cell r="B1278" t="str">
            <v/>
          </cell>
        </row>
        <row r="1279">
          <cell r="B1279" t="str">
            <v>LNG - Energy cost - Africa - USD/ton fuel</v>
          </cell>
          <cell r="G1279">
            <v>35.033884158308503</v>
          </cell>
          <cell r="H1279">
            <v>30.919977747395748</v>
          </cell>
          <cell r="I1279">
            <v>26.80607133648191</v>
          </cell>
          <cell r="J1279">
            <v>25.65925481102331</v>
          </cell>
          <cell r="K1279">
            <v>24.512438285564713</v>
          </cell>
          <cell r="L1279">
            <v>23.365621760106112</v>
          </cell>
          <cell r="M1279">
            <v>22.218805234647242</v>
          </cell>
          <cell r="N1279">
            <v>21.071988709188645</v>
          </cell>
          <cell r="O1279">
            <v>20.431834259056178</v>
          </cell>
          <cell r="P1279">
            <v>19.791679808923707</v>
          </cell>
          <cell r="Q1279">
            <v>19.151525358790966</v>
          </cell>
          <cell r="R1279">
            <v>18.511370908658499</v>
          </cell>
          <cell r="S1279">
            <v>17.871216458526099</v>
          </cell>
          <cell r="T1279">
            <v>17.569906277941822</v>
          </cell>
          <cell r="U1279">
            <v>17.268596097357612</v>
          </cell>
          <cell r="V1279">
            <v>16.967285916773335</v>
          </cell>
          <cell r="W1279">
            <v>16.665975736189058</v>
          </cell>
          <cell r="X1279">
            <v>16.364665555604915</v>
          </cell>
          <cell r="Y1279">
            <v>16.054836989607747</v>
          </cell>
          <cell r="Z1279">
            <v>15.745008423610578</v>
          </cell>
          <cell r="AA1279">
            <v>15.435179857613274</v>
          </cell>
          <cell r="AB1279">
            <v>15.125351291616106</v>
          </cell>
          <cell r="AC1279">
            <v>14.81552272561887</v>
          </cell>
          <cell r="AD1279">
            <v>14.663450567763833</v>
          </cell>
          <cell r="AE1279">
            <v>14.511378409908865</v>
          </cell>
          <cell r="AF1279">
            <v>14.359306252053829</v>
          </cell>
          <cell r="AG1279">
            <v>14.207234094198792</v>
          </cell>
          <cell r="AH1279">
            <v>14.055161936343824</v>
          </cell>
        </row>
        <row r="1280">
          <cell r="B1280" t="str">
            <v>LNG - Energy cost - Americas - USD/ton fuel</v>
          </cell>
          <cell r="G1280">
            <v>22.012310723860217</v>
          </cell>
          <cell r="H1280">
            <v>21.556466491183574</v>
          </cell>
          <cell r="I1280">
            <v>21.100622258506792</v>
          </cell>
          <cell r="J1280">
            <v>20.33006650585321</v>
          </cell>
          <cell r="K1280">
            <v>19.559510753199628</v>
          </cell>
          <cell r="L1280">
            <v>18.788955000546046</v>
          </cell>
          <cell r="M1280">
            <v>18.018399247892738</v>
          </cell>
          <cell r="N1280">
            <v>17.247843495239156</v>
          </cell>
          <cell r="O1280">
            <v>16.877033567022497</v>
          </cell>
          <cell r="P1280">
            <v>16.506223638805839</v>
          </cell>
          <cell r="Q1280">
            <v>16.13541371058918</v>
          </cell>
          <cell r="R1280">
            <v>15.764603782372523</v>
          </cell>
          <cell r="S1280">
            <v>15.393793854155795</v>
          </cell>
          <cell r="T1280">
            <v>15.093206205252955</v>
          </cell>
          <cell r="U1280">
            <v>14.792618556350112</v>
          </cell>
          <cell r="V1280">
            <v>14.492030907447202</v>
          </cell>
          <cell r="W1280">
            <v>14.191443258544359</v>
          </cell>
          <cell r="X1280">
            <v>13.890855609641482</v>
          </cell>
          <cell r="Y1280">
            <v>13.769758412927786</v>
          </cell>
          <cell r="Z1280">
            <v>13.648661216214089</v>
          </cell>
          <cell r="AA1280">
            <v>13.527564019500426</v>
          </cell>
          <cell r="AB1280">
            <v>13.406466822786728</v>
          </cell>
          <cell r="AC1280">
            <v>13.285369626073031</v>
          </cell>
          <cell r="AD1280">
            <v>13.194010362475922</v>
          </cell>
          <cell r="AE1280">
            <v>13.102651098878846</v>
          </cell>
          <cell r="AF1280">
            <v>13.011291835281769</v>
          </cell>
          <cell r="AG1280">
            <v>12.919932571684694</v>
          </cell>
          <cell r="AH1280">
            <v>12.828573308087618</v>
          </cell>
        </row>
        <row r="1281">
          <cell r="B1281" t="str">
            <v>LNG - Energy cost - Asia - USD/ton fuel</v>
          </cell>
          <cell r="G1281">
            <v>38.96496149388549</v>
          </cell>
          <cell r="H1281">
            <v>35.540944762101567</v>
          </cell>
          <cell r="I1281">
            <v>32.116928030319286</v>
          </cell>
          <cell r="J1281">
            <v>30.888761660534144</v>
          </cell>
          <cell r="K1281">
            <v>29.660595290749551</v>
          </cell>
          <cell r="L1281">
            <v>28.432428920964412</v>
          </cell>
          <cell r="M1281">
            <v>27.204262551179273</v>
          </cell>
          <cell r="N1281">
            <v>25.976096181394677</v>
          </cell>
          <cell r="O1281">
            <v>25.141324839787011</v>
          </cell>
          <cell r="P1281">
            <v>24.306553498179618</v>
          </cell>
          <cell r="Q1281">
            <v>23.471782156572498</v>
          </cell>
          <cell r="R1281">
            <v>22.637010814965105</v>
          </cell>
          <cell r="S1281">
            <v>21.802239473357712</v>
          </cell>
          <cell r="T1281">
            <v>21.37782149863542</v>
          </cell>
          <cell r="U1281">
            <v>20.953403523913128</v>
          </cell>
          <cell r="V1281">
            <v>20.528985549190974</v>
          </cell>
          <cell r="W1281">
            <v>20.104567574468682</v>
          </cell>
          <cell r="X1281">
            <v>19.680149599746663</v>
          </cell>
          <cell r="Y1281">
            <v>19.235899376458519</v>
          </cell>
          <cell r="Z1281">
            <v>18.791649153170511</v>
          </cell>
          <cell r="AA1281">
            <v>18.347398929882363</v>
          </cell>
          <cell r="AB1281">
            <v>17.903148706594354</v>
          </cell>
          <cell r="AC1281">
            <v>17.458898483306211</v>
          </cell>
          <cell r="AD1281">
            <v>17.255171219323916</v>
          </cell>
          <cell r="AE1281">
            <v>17.051443955341551</v>
          </cell>
          <cell r="AF1281">
            <v>16.847716691359256</v>
          </cell>
          <cell r="AG1281">
            <v>16.643989427376958</v>
          </cell>
          <cell r="AH1281">
            <v>16.440262163394596</v>
          </cell>
        </row>
        <row r="1282">
          <cell r="B1282" t="str">
            <v>LNG - Energy cost - Europe - USD/ton fuel</v>
          </cell>
          <cell r="G1282">
            <v>29.007303214654346</v>
          </cell>
          <cell r="H1282">
            <v>27.757100635909591</v>
          </cell>
          <cell r="I1282">
            <v>26.506898057164836</v>
          </cell>
          <cell r="J1282">
            <v>25.49672681863467</v>
          </cell>
          <cell r="K1282">
            <v>24.486555580104231</v>
          </cell>
          <cell r="L1282">
            <v>23.476384341574065</v>
          </cell>
          <cell r="M1282">
            <v>22.466213103043629</v>
          </cell>
          <cell r="N1282">
            <v>21.456041864513463</v>
          </cell>
          <cell r="O1282">
            <v>21.036315923909658</v>
          </cell>
          <cell r="P1282">
            <v>20.616589983306266</v>
          </cell>
          <cell r="Q1282">
            <v>20.196864042702735</v>
          </cell>
          <cell r="R1282">
            <v>19.777138102099205</v>
          </cell>
          <cell r="S1282">
            <v>19.357412161495812</v>
          </cell>
          <cell r="T1282">
            <v>19.106814441370034</v>
          </cell>
          <cell r="U1282">
            <v>18.856216721244323</v>
          </cell>
          <cell r="V1282">
            <v>18.605619001118612</v>
          </cell>
          <cell r="W1282">
            <v>18.355021280992901</v>
          </cell>
          <cell r="X1282">
            <v>18.104423560867051</v>
          </cell>
          <cell r="Y1282">
            <v>17.836329243096269</v>
          </cell>
          <cell r="Z1282">
            <v>17.568234925325417</v>
          </cell>
          <cell r="AA1282">
            <v>17.300140607554635</v>
          </cell>
          <cell r="AB1282">
            <v>17.032046289783782</v>
          </cell>
          <cell r="AC1282">
            <v>16.763951972013</v>
          </cell>
          <cell r="AD1282">
            <v>16.568344836559117</v>
          </cell>
          <cell r="AE1282">
            <v>16.372737701105166</v>
          </cell>
          <cell r="AF1282">
            <v>16.177130565651282</v>
          </cell>
          <cell r="AG1282">
            <v>15.981523430197399</v>
          </cell>
          <cell r="AH1282">
            <v>15.785916294743446</v>
          </cell>
        </row>
        <row r="1283">
          <cell r="B1283" t="str">
            <v>LNG - Energy cost - Middle East - USD/ton fuel</v>
          </cell>
          <cell r="G1283">
            <v>22.212190003898375</v>
          </cell>
          <cell r="H1283">
            <v>21.232021740260461</v>
          </cell>
          <cell r="I1283">
            <v>20.251853476622273</v>
          </cell>
          <cell r="J1283">
            <v>19.602892276312467</v>
          </cell>
          <cell r="K1283">
            <v>18.953931076002664</v>
          </cell>
          <cell r="L1283">
            <v>18.304969875692858</v>
          </cell>
          <cell r="M1283">
            <v>17.656008675383053</v>
          </cell>
          <cell r="N1283">
            <v>17.00704747507325</v>
          </cell>
          <cell r="O1283">
            <v>16.549455045217972</v>
          </cell>
          <cell r="P1283">
            <v>16.091862615362832</v>
          </cell>
          <cell r="Q1283">
            <v>15.634270185507557</v>
          </cell>
          <cell r="R1283">
            <v>15.176677755652417</v>
          </cell>
          <cell r="S1283">
            <v>14.719085325797277</v>
          </cell>
          <cell r="T1283">
            <v>14.489653293063725</v>
          </cell>
          <cell r="U1283">
            <v>14.260221260330171</v>
          </cell>
          <cell r="V1283">
            <v>14.030789227596687</v>
          </cell>
          <cell r="W1283">
            <v>13.801357194863135</v>
          </cell>
          <cell r="X1283">
            <v>13.571925162129583</v>
          </cell>
          <cell r="Y1283">
            <v>13.271048899002039</v>
          </cell>
          <cell r="Z1283">
            <v>12.970172635874563</v>
          </cell>
          <cell r="AA1283">
            <v>12.669296372747022</v>
          </cell>
          <cell r="AB1283">
            <v>12.368420109619546</v>
          </cell>
          <cell r="AC1283">
            <v>12.067543846491969</v>
          </cell>
          <cell r="AD1283">
            <v>11.926724316796832</v>
          </cell>
          <cell r="AE1283">
            <v>11.78590478710173</v>
          </cell>
          <cell r="AF1283">
            <v>11.645085257406594</v>
          </cell>
          <cell r="AG1283">
            <v>11.504265727711458</v>
          </cell>
          <cell r="AH1283">
            <v>11.363446198016357</v>
          </cell>
        </row>
        <row r="1284">
          <cell r="B1284" t="str">
            <v>Renewable electricity - Cost of electricity - Africa - USD/MWh</v>
          </cell>
          <cell r="G1284">
            <v>58.389806930514169</v>
          </cell>
          <cell r="H1284">
            <v>51.533296245659585</v>
          </cell>
          <cell r="I1284">
            <v>44.676785560803182</v>
          </cell>
          <cell r="J1284">
            <v>42.765424685038852</v>
          </cell>
          <cell r="K1284">
            <v>40.854063809274521</v>
          </cell>
          <cell r="L1284">
            <v>38.942702933510191</v>
          </cell>
          <cell r="M1284">
            <v>37.031342057745405</v>
          </cell>
          <cell r="N1284">
            <v>35.119981181981075</v>
          </cell>
          <cell r="O1284">
            <v>34.053057098426962</v>
          </cell>
          <cell r="P1284">
            <v>32.986133014872848</v>
          </cell>
          <cell r="Q1284">
            <v>31.919208931318281</v>
          </cell>
          <cell r="R1284">
            <v>30.852284847764167</v>
          </cell>
          <cell r="S1284">
            <v>29.785360764210168</v>
          </cell>
          <cell r="T1284">
            <v>29.283177129903038</v>
          </cell>
          <cell r="U1284">
            <v>28.780993495596022</v>
          </cell>
          <cell r="V1284">
            <v>28.278809861288892</v>
          </cell>
          <cell r="W1284">
            <v>27.776626226981762</v>
          </cell>
          <cell r="X1284">
            <v>27.274442592674859</v>
          </cell>
          <cell r="Y1284">
            <v>26.758061649346246</v>
          </cell>
          <cell r="Z1284">
            <v>26.241680706017632</v>
          </cell>
          <cell r="AA1284">
            <v>25.725299762688792</v>
          </cell>
          <cell r="AB1284">
            <v>25.208918819360179</v>
          </cell>
          <cell r="AC1284">
            <v>24.692537876031452</v>
          </cell>
          <cell r="AD1284">
            <v>24.439084279606391</v>
          </cell>
          <cell r="AE1284">
            <v>24.185630683181444</v>
          </cell>
          <cell r="AF1284">
            <v>23.932177086756383</v>
          </cell>
          <cell r="AG1284">
            <v>23.678723490331322</v>
          </cell>
          <cell r="AH1284">
            <v>23.425269893906375</v>
          </cell>
        </row>
        <row r="1285">
          <cell r="B1285" t="str">
            <v>Renewable electricity - Cost of electricity - Americas - USD/MWh</v>
          </cell>
          <cell r="G1285">
            <v>36.687184539767031</v>
          </cell>
          <cell r="H1285">
            <v>35.927444151972622</v>
          </cell>
          <cell r="I1285">
            <v>35.167703764177986</v>
          </cell>
          <cell r="J1285">
            <v>33.883444176422017</v>
          </cell>
          <cell r="K1285">
            <v>32.599184588666049</v>
          </cell>
          <cell r="L1285">
            <v>31.31492500091008</v>
          </cell>
          <cell r="M1285">
            <v>30.030665413154566</v>
          </cell>
          <cell r="N1285">
            <v>28.746405825398597</v>
          </cell>
          <cell r="O1285">
            <v>28.128389278370832</v>
          </cell>
          <cell r="P1285">
            <v>27.510372731343068</v>
          </cell>
          <cell r="Q1285">
            <v>26.892356184315304</v>
          </cell>
          <cell r="R1285">
            <v>26.27433963728754</v>
          </cell>
          <cell r="S1285">
            <v>25.656323090259662</v>
          </cell>
          <cell r="T1285">
            <v>25.155343675421591</v>
          </cell>
          <cell r="U1285">
            <v>24.65436426058352</v>
          </cell>
          <cell r="V1285">
            <v>24.153384845745336</v>
          </cell>
          <cell r="W1285">
            <v>23.652405430907265</v>
          </cell>
          <cell r="X1285">
            <v>23.151426016069138</v>
          </cell>
          <cell r="Y1285">
            <v>22.949597354879643</v>
          </cell>
          <cell r="Z1285">
            <v>22.747768693690148</v>
          </cell>
          <cell r="AA1285">
            <v>22.54594003250071</v>
          </cell>
          <cell r="AB1285">
            <v>22.344111371311214</v>
          </cell>
          <cell r="AC1285">
            <v>22.142282710121719</v>
          </cell>
          <cell r="AD1285">
            <v>21.990017270793203</v>
          </cell>
          <cell r="AE1285">
            <v>21.837751831464743</v>
          </cell>
          <cell r="AF1285">
            <v>21.685486392136283</v>
          </cell>
          <cell r="AG1285">
            <v>21.533220952807824</v>
          </cell>
          <cell r="AH1285">
            <v>21.380955513479364</v>
          </cell>
        </row>
        <row r="1286">
          <cell r="B1286" t="str">
            <v>Renewable electricity - Cost of electricity - Asia - USD/MWh</v>
          </cell>
          <cell r="G1286">
            <v>64.941602489809156</v>
          </cell>
          <cell r="H1286">
            <v>59.234907936835953</v>
          </cell>
          <cell r="I1286">
            <v>53.528213383865477</v>
          </cell>
          <cell r="J1286">
            <v>51.481269434223577</v>
          </cell>
          <cell r="K1286">
            <v>49.434325484582587</v>
          </cell>
          <cell r="L1286">
            <v>47.387381534940687</v>
          </cell>
          <cell r="M1286">
            <v>45.340437585298787</v>
          </cell>
          <cell r="N1286">
            <v>43.293493635657796</v>
          </cell>
          <cell r="O1286">
            <v>41.902208066311687</v>
          </cell>
          <cell r="P1286">
            <v>40.510922496966032</v>
          </cell>
          <cell r="Q1286">
            <v>39.119636927620832</v>
          </cell>
          <cell r="R1286">
            <v>37.728351358275177</v>
          </cell>
          <cell r="S1286">
            <v>36.337065788929522</v>
          </cell>
          <cell r="T1286">
            <v>35.629702497725702</v>
          </cell>
          <cell r="U1286">
            <v>34.922339206521883</v>
          </cell>
          <cell r="V1286">
            <v>34.214975915318291</v>
          </cell>
          <cell r="W1286">
            <v>33.507612624114472</v>
          </cell>
          <cell r="X1286">
            <v>32.800249332911108</v>
          </cell>
          <cell r="Y1286">
            <v>32.059832294097532</v>
          </cell>
          <cell r="Z1286">
            <v>31.319415255284184</v>
          </cell>
          <cell r="AA1286">
            <v>30.578998216470609</v>
          </cell>
          <cell r="AB1286">
            <v>29.838581177657261</v>
          </cell>
          <cell r="AC1286">
            <v>29.098164138843686</v>
          </cell>
          <cell r="AD1286">
            <v>28.758618698873192</v>
          </cell>
          <cell r="AE1286">
            <v>28.419073258902586</v>
          </cell>
          <cell r="AF1286">
            <v>28.079527818932092</v>
          </cell>
          <cell r="AG1286">
            <v>27.739982378961599</v>
          </cell>
          <cell r="AH1286">
            <v>27.400436938990993</v>
          </cell>
        </row>
        <row r="1287">
          <cell r="B1287" t="str">
            <v>Renewable electricity - Cost of electricity - Europe - USD/MWh</v>
          </cell>
          <cell r="G1287">
            <v>48.345505357757247</v>
          </cell>
          <cell r="H1287">
            <v>46.261834393182653</v>
          </cell>
          <cell r="I1287">
            <v>44.178163428608059</v>
          </cell>
          <cell r="J1287">
            <v>42.49454469772445</v>
          </cell>
          <cell r="K1287">
            <v>40.810925966840387</v>
          </cell>
          <cell r="L1287">
            <v>39.127307235956778</v>
          </cell>
          <cell r="M1287">
            <v>37.443688505072714</v>
          </cell>
          <cell r="N1287">
            <v>35.760069774189105</v>
          </cell>
          <cell r="O1287">
            <v>35.060526539849434</v>
          </cell>
          <cell r="P1287">
            <v>34.360983305510445</v>
          </cell>
          <cell r="Q1287">
            <v>33.661440071171228</v>
          </cell>
          <cell r="R1287">
            <v>32.961896836832011</v>
          </cell>
          <cell r="S1287">
            <v>32.262353602493022</v>
          </cell>
          <cell r="T1287">
            <v>31.844690735616723</v>
          </cell>
          <cell r="U1287">
            <v>31.427027868740538</v>
          </cell>
          <cell r="V1287">
            <v>31.009365001864353</v>
          </cell>
          <cell r="W1287">
            <v>30.591702134988168</v>
          </cell>
          <cell r="X1287">
            <v>30.174039268111756</v>
          </cell>
          <cell r="Y1287">
            <v>29.72721540516045</v>
          </cell>
          <cell r="Z1287">
            <v>29.280391542209031</v>
          </cell>
          <cell r="AA1287">
            <v>28.833567679257726</v>
          </cell>
          <cell r="AB1287">
            <v>28.386743816306307</v>
          </cell>
          <cell r="AC1287">
            <v>27.939919953355002</v>
          </cell>
          <cell r="AD1287">
            <v>27.613908060931863</v>
          </cell>
          <cell r="AE1287">
            <v>27.28789616850861</v>
          </cell>
          <cell r="AF1287">
            <v>26.96188427608547</v>
          </cell>
          <cell r="AG1287">
            <v>26.635872383662331</v>
          </cell>
          <cell r="AH1287">
            <v>26.309860491239078</v>
          </cell>
        </row>
        <row r="1288">
          <cell r="B1288" t="str">
            <v>Renewable electricity - Cost of electricity - Middle East - USD/MWh</v>
          </cell>
          <cell r="G1288">
            <v>37.020316673163961</v>
          </cell>
          <cell r="H1288">
            <v>35.386702900434102</v>
          </cell>
          <cell r="I1288">
            <v>33.753089127703788</v>
          </cell>
          <cell r="J1288">
            <v>32.671487127187447</v>
          </cell>
          <cell r="K1288">
            <v>31.589885126671106</v>
          </cell>
          <cell r="L1288">
            <v>30.508283126154765</v>
          </cell>
          <cell r="M1288">
            <v>29.426681125638424</v>
          </cell>
          <cell r="N1288">
            <v>28.345079125122083</v>
          </cell>
          <cell r="O1288">
            <v>27.58242507536329</v>
          </cell>
          <cell r="P1288">
            <v>26.819771025604723</v>
          </cell>
          <cell r="Q1288">
            <v>26.057116975845929</v>
          </cell>
          <cell r="R1288">
            <v>25.294462926087363</v>
          </cell>
          <cell r="S1288">
            <v>24.531808876328796</v>
          </cell>
          <cell r="T1288">
            <v>24.149422155106208</v>
          </cell>
          <cell r="U1288">
            <v>23.76703543388362</v>
          </cell>
          <cell r="V1288">
            <v>23.384648712661146</v>
          </cell>
          <cell r="W1288">
            <v>23.002261991438559</v>
          </cell>
          <cell r="X1288">
            <v>22.619875270215971</v>
          </cell>
          <cell r="Y1288">
            <v>22.118414831670066</v>
          </cell>
          <cell r="Z1288">
            <v>21.616954393124274</v>
          </cell>
          <cell r="AA1288">
            <v>21.115493954578369</v>
          </cell>
          <cell r="AB1288">
            <v>20.614033516032578</v>
          </cell>
          <cell r="AC1288">
            <v>20.112573077486616</v>
          </cell>
          <cell r="AD1288">
            <v>19.877873861328055</v>
          </cell>
          <cell r="AE1288">
            <v>19.643174645169552</v>
          </cell>
          <cell r="AF1288">
            <v>19.408475429010991</v>
          </cell>
          <cell r="AG1288">
            <v>19.173776212852431</v>
          </cell>
          <cell r="AH1288">
            <v>18.939076996693927</v>
          </cell>
        </row>
        <row r="1289">
          <cell r="B1289" t="str">
            <v>LNG - Energy demand - Liquefaction - Global - MWh/ton fuel</v>
          </cell>
          <cell r="G1289">
            <v>0.6</v>
          </cell>
          <cell r="H1289">
            <v>0.6</v>
          </cell>
          <cell r="I1289">
            <v>0.6</v>
          </cell>
          <cell r="J1289">
            <v>0.6</v>
          </cell>
          <cell r="K1289">
            <v>0.6</v>
          </cell>
          <cell r="L1289">
            <v>0.6</v>
          </cell>
          <cell r="M1289">
            <v>0.6</v>
          </cell>
          <cell r="N1289">
            <v>0.6</v>
          </cell>
          <cell r="O1289">
            <v>0.6</v>
          </cell>
          <cell r="P1289">
            <v>0.6</v>
          </cell>
          <cell r="Q1289">
            <v>0.6</v>
          </cell>
          <cell r="R1289">
            <v>0.6</v>
          </cell>
          <cell r="S1289">
            <v>0.6</v>
          </cell>
          <cell r="T1289">
            <v>0.6</v>
          </cell>
          <cell r="U1289">
            <v>0.6</v>
          </cell>
          <cell r="V1289">
            <v>0.6</v>
          </cell>
          <cell r="W1289">
            <v>0.6</v>
          </cell>
          <cell r="X1289">
            <v>0.6</v>
          </cell>
          <cell r="Y1289">
            <v>0.6</v>
          </cell>
          <cell r="Z1289">
            <v>0.6</v>
          </cell>
          <cell r="AA1289">
            <v>0.6</v>
          </cell>
          <cell r="AB1289">
            <v>0.6</v>
          </cell>
          <cell r="AC1289">
            <v>0.6</v>
          </cell>
          <cell r="AD1289">
            <v>0.6</v>
          </cell>
          <cell r="AE1289">
            <v>0.6</v>
          </cell>
          <cell r="AF1289">
            <v>0.6</v>
          </cell>
          <cell r="AG1289">
            <v>0.6</v>
          </cell>
          <cell r="AH1289">
            <v>0.6</v>
          </cell>
        </row>
        <row r="1290">
          <cell r="B1290" t="str">
            <v/>
          </cell>
        </row>
        <row r="1291">
          <cell r="B1291" t="str">
            <v>LNG - Feedstock cost - Africa - USD/ton fuel</v>
          </cell>
          <cell r="G1291">
            <v>1120</v>
          </cell>
          <cell r="H1291">
            <v>910</v>
          </cell>
          <cell r="I1291">
            <v>700</v>
          </cell>
          <cell r="J1291">
            <v>655</v>
          </cell>
          <cell r="K1291">
            <v>610</v>
          </cell>
          <cell r="L1291">
            <v>565</v>
          </cell>
          <cell r="M1291">
            <v>520</v>
          </cell>
          <cell r="N1291">
            <v>475</v>
          </cell>
          <cell r="O1291">
            <v>475</v>
          </cell>
          <cell r="P1291">
            <v>475</v>
          </cell>
          <cell r="Q1291">
            <v>475</v>
          </cell>
          <cell r="R1291">
            <v>475</v>
          </cell>
          <cell r="S1291">
            <v>475</v>
          </cell>
          <cell r="T1291">
            <v>475</v>
          </cell>
          <cell r="U1291">
            <v>475</v>
          </cell>
          <cell r="V1291">
            <v>475</v>
          </cell>
          <cell r="W1291">
            <v>475</v>
          </cell>
          <cell r="X1291">
            <v>475</v>
          </cell>
          <cell r="Y1291">
            <v>475</v>
          </cell>
          <cell r="Z1291">
            <v>475</v>
          </cell>
          <cell r="AA1291">
            <v>475</v>
          </cell>
          <cell r="AB1291">
            <v>475</v>
          </cell>
          <cell r="AC1291">
            <v>475</v>
          </cell>
          <cell r="AD1291">
            <v>475</v>
          </cell>
          <cell r="AE1291">
            <v>475</v>
          </cell>
          <cell r="AF1291">
            <v>475</v>
          </cell>
          <cell r="AG1291">
            <v>475</v>
          </cell>
          <cell r="AH1291">
            <v>475</v>
          </cell>
        </row>
        <row r="1292">
          <cell r="B1292" t="str">
            <v>LNG - Feedstock cost - Americas - USD/ton fuel</v>
          </cell>
          <cell r="G1292">
            <v>278</v>
          </cell>
          <cell r="H1292">
            <v>254</v>
          </cell>
          <cell r="I1292">
            <v>230</v>
          </cell>
          <cell r="J1292">
            <v>228</v>
          </cell>
          <cell r="K1292">
            <v>226</v>
          </cell>
          <cell r="L1292">
            <v>224</v>
          </cell>
          <cell r="M1292">
            <v>222</v>
          </cell>
          <cell r="N1292">
            <v>220</v>
          </cell>
          <cell r="O1292">
            <v>226</v>
          </cell>
          <cell r="P1292">
            <v>232</v>
          </cell>
          <cell r="Q1292">
            <v>238</v>
          </cell>
          <cell r="R1292">
            <v>244</v>
          </cell>
          <cell r="S1292">
            <v>250</v>
          </cell>
          <cell r="T1292">
            <v>250</v>
          </cell>
          <cell r="U1292">
            <v>250</v>
          </cell>
          <cell r="V1292">
            <v>250</v>
          </cell>
          <cell r="W1292">
            <v>250</v>
          </cell>
          <cell r="X1292">
            <v>250</v>
          </cell>
          <cell r="Y1292">
            <v>250</v>
          </cell>
          <cell r="Z1292">
            <v>250</v>
          </cell>
          <cell r="AA1292">
            <v>250</v>
          </cell>
          <cell r="AB1292">
            <v>250</v>
          </cell>
          <cell r="AC1292">
            <v>250</v>
          </cell>
          <cell r="AD1292">
            <v>250</v>
          </cell>
          <cell r="AE1292">
            <v>250</v>
          </cell>
          <cell r="AF1292">
            <v>250</v>
          </cell>
          <cell r="AG1292">
            <v>250</v>
          </cell>
          <cell r="AH1292">
            <v>250</v>
          </cell>
        </row>
        <row r="1293">
          <cell r="B1293" t="str">
            <v>LNG - Feedstock cost - Asia - USD/ton fuel</v>
          </cell>
          <cell r="G1293">
            <v>1075</v>
          </cell>
          <cell r="H1293">
            <v>900</v>
          </cell>
          <cell r="I1293">
            <v>725</v>
          </cell>
          <cell r="J1293">
            <v>650</v>
          </cell>
          <cell r="K1293">
            <v>575</v>
          </cell>
          <cell r="L1293">
            <v>500</v>
          </cell>
          <cell r="M1293">
            <v>425</v>
          </cell>
          <cell r="N1293">
            <v>350</v>
          </cell>
          <cell r="O1293">
            <v>350</v>
          </cell>
          <cell r="P1293">
            <v>350</v>
          </cell>
          <cell r="Q1293">
            <v>350</v>
          </cell>
          <cell r="R1293">
            <v>350</v>
          </cell>
          <cell r="S1293">
            <v>350</v>
          </cell>
          <cell r="T1293">
            <v>350</v>
          </cell>
          <cell r="U1293">
            <v>350</v>
          </cell>
          <cell r="V1293">
            <v>350</v>
          </cell>
          <cell r="W1293">
            <v>350</v>
          </cell>
          <cell r="X1293">
            <v>350</v>
          </cell>
          <cell r="Y1293">
            <v>350</v>
          </cell>
          <cell r="Z1293">
            <v>350</v>
          </cell>
          <cell r="AA1293">
            <v>350</v>
          </cell>
          <cell r="AB1293">
            <v>350</v>
          </cell>
          <cell r="AC1293">
            <v>350</v>
          </cell>
          <cell r="AD1293">
            <v>350</v>
          </cell>
          <cell r="AE1293">
            <v>350</v>
          </cell>
          <cell r="AF1293">
            <v>350</v>
          </cell>
          <cell r="AG1293">
            <v>350</v>
          </cell>
          <cell r="AH1293">
            <v>350</v>
          </cell>
        </row>
        <row r="1294">
          <cell r="B1294" t="str">
            <v>LNG - Feedstock cost - Europe - USD/ton fuel</v>
          </cell>
          <cell r="G1294">
            <v>1120</v>
          </cell>
          <cell r="H1294">
            <v>910</v>
          </cell>
          <cell r="I1294">
            <v>700</v>
          </cell>
          <cell r="J1294">
            <v>655</v>
          </cell>
          <cell r="K1294">
            <v>610</v>
          </cell>
          <cell r="L1294">
            <v>565</v>
          </cell>
          <cell r="M1294">
            <v>520</v>
          </cell>
          <cell r="N1294">
            <v>475</v>
          </cell>
          <cell r="O1294">
            <v>475</v>
          </cell>
          <cell r="P1294">
            <v>475</v>
          </cell>
          <cell r="Q1294">
            <v>475</v>
          </cell>
          <cell r="R1294">
            <v>475</v>
          </cell>
          <cell r="S1294">
            <v>475</v>
          </cell>
          <cell r="T1294">
            <v>475</v>
          </cell>
          <cell r="U1294">
            <v>475</v>
          </cell>
          <cell r="V1294">
            <v>475</v>
          </cell>
          <cell r="W1294">
            <v>475</v>
          </cell>
          <cell r="X1294">
            <v>475</v>
          </cell>
          <cell r="Y1294">
            <v>475</v>
          </cell>
          <cell r="Z1294">
            <v>475</v>
          </cell>
          <cell r="AA1294">
            <v>475</v>
          </cell>
          <cell r="AB1294">
            <v>475</v>
          </cell>
          <cell r="AC1294">
            <v>475</v>
          </cell>
          <cell r="AD1294">
            <v>475</v>
          </cell>
          <cell r="AE1294">
            <v>475</v>
          </cell>
          <cell r="AF1294">
            <v>475</v>
          </cell>
          <cell r="AG1294">
            <v>475</v>
          </cell>
          <cell r="AH1294">
            <v>475</v>
          </cell>
        </row>
        <row r="1295">
          <cell r="B1295" t="str">
            <v>LNG - Feedstock cost - Middle East - USD/ton fuel</v>
          </cell>
          <cell r="G1295">
            <v>875</v>
          </cell>
          <cell r="H1295">
            <v>700</v>
          </cell>
          <cell r="I1295">
            <v>525</v>
          </cell>
          <cell r="J1295">
            <v>449</v>
          </cell>
          <cell r="K1295">
            <v>373</v>
          </cell>
          <cell r="L1295">
            <v>297</v>
          </cell>
          <cell r="M1295">
            <v>221</v>
          </cell>
          <cell r="N1295">
            <v>145</v>
          </cell>
          <cell r="O1295">
            <v>145</v>
          </cell>
          <cell r="P1295">
            <v>145</v>
          </cell>
          <cell r="Q1295">
            <v>145</v>
          </cell>
          <cell r="R1295">
            <v>145</v>
          </cell>
          <cell r="S1295">
            <v>145</v>
          </cell>
          <cell r="T1295">
            <v>145</v>
          </cell>
          <cell r="U1295">
            <v>145</v>
          </cell>
          <cell r="V1295">
            <v>145</v>
          </cell>
          <cell r="W1295">
            <v>145</v>
          </cell>
          <cell r="X1295">
            <v>145</v>
          </cell>
          <cell r="Y1295">
            <v>145</v>
          </cell>
          <cell r="Z1295">
            <v>145</v>
          </cell>
          <cell r="AA1295">
            <v>145</v>
          </cell>
          <cell r="AB1295">
            <v>145</v>
          </cell>
          <cell r="AC1295">
            <v>145</v>
          </cell>
          <cell r="AD1295">
            <v>145</v>
          </cell>
          <cell r="AE1295">
            <v>145</v>
          </cell>
          <cell r="AF1295">
            <v>145</v>
          </cell>
          <cell r="AG1295">
            <v>145</v>
          </cell>
          <cell r="AH1295">
            <v>145</v>
          </cell>
        </row>
        <row r="1296">
          <cell r="B1296" t="str">
            <v>Natural gas - Price - Africa - USD/ton</v>
          </cell>
          <cell r="G1296">
            <v>1120</v>
          </cell>
          <cell r="H1296">
            <v>910</v>
          </cell>
          <cell r="I1296">
            <v>700</v>
          </cell>
          <cell r="J1296">
            <v>655</v>
          </cell>
          <cell r="K1296">
            <v>610</v>
          </cell>
          <cell r="L1296">
            <v>565</v>
          </cell>
          <cell r="M1296">
            <v>520</v>
          </cell>
          <cell r="N1296">
            <v>475</v>
          </cell>
          <cell r="O1296">
            <v>475</v>
          </cell>
          <cell r="P1296">
            <v>475</v>
          </cell>
          <cell r="Q1296">
            <v>475</v>
          </cell>
          <cell r="R1296">
            <v>475</v>
          </cell>
          <cell r="S1296">
            <v>475</v>
          </cell>
          <cell r="T1296">
            <v>475</v>
          </cell>
          <cell r="U1296">
            <v>475</v>
          </cell>
          <cell r="V1296">
            <v>475</v>
          </cell>
          <cell r="W1296">
            <v>475</v>
          </cell>
          <cell r="X1296">
            <v>475</v>
          </cell>
          <cell r="Y1296">
            <v>475</v>
          </cell>
          <cell r="Z1296">
            <v>475</v>
          </cell>
          <cell r="AA1296">
            <v>475</v>
          </cell>
          <cell r="AB1296">
            <v>475</v>
          </cell>
          <cell r="AC1296">
            <v>475</v>
          </cell>
          <cell r="AD1296">
            <v>475</v>
          </cell>
          <cell r="AE1296">
            <v>475</v>
          </cell>
          <cell r="AF1296">
            <v>475</v>
          </cell>
          <cell r="AG1296">
            <v>475</v>
          </cell>
          <cell r="AH1296">
            <v>475</v>
          </cell>
        </row>
        <row r="1297">
          <cell r="B1297" t="str">
            <v>Natural gas - Price - Americas - USD/ton</v>
          </cell>
          <cell r="G1297">
            <v>278</v>
          </cell>
          <cell r="H1297">
            <v>254</v>
          </cell>
          <cell r="I1297">
            <v>230</v>
          </cell>
          <cell r="J1297">
            <v>228</v>
          </cell>
          <cell r="K1297">
            <v>226</v>
          </cell>
          <cell r="L1297">
            <v>224</v>
          </cell>
          <cell r="M1297">
            <v>222</v>
          </cell>
          <cell r="N1297">
            <v>220</v>
          </cell>
          <cell r="O1297">
            <v>226</v>
          </cell>
          <cell r="P1297">
            <v>232</v>
          </cell>
          <cell r="Q1297">
            <v>238</v>
          </cell>
          <cell r="R1297">
            <v>244</v>
          </cell>
          <cell r="S1297">
            <v>250</v>
          </cell>
          <cell r="T1297">
            <v>250</v>
          </cell>
          <cell r="U1297">
            <v>250</v>
          </cell>
          <cell r="V1297">
            <v>250</v>
          </cell>
          <cell r="W1297">
            <v>250</v>
          </cell>
          <cell r="X1297">
            <v>250</v>
          </cell>
          <cell r="Y1297">
            <v>250</v>
          </cell>
          <cell r="Z1297">
            <v>250</v>
          </cell>
          <cell r="AA1297">
            <v>250</v>
          </cell>
          <cell r="AB1297">
            <v>250</v>
          </cell>
          <cell r="AC1297">
            <v>250</v>
          </cell>
          <cell r="AD1297">
            <v>250</v>
          </cell>
          <cell r="AE1297">
            <v>250</v>
          </cell>
          <cell r="AF1297">
            <v>250</v>
          </cell>
          <cell r="AG1297">
            <v>250</v>
          </cell>
          <cell r="AH1297">
            <v>250</v>
          </cell>
        </row>
        <row r="1298">
          <cell r="B1298" t="str">
            <v>Natural gas - Price - Asia - USD/ton</v>
          </cell>
          <cell r="G1298">
            <v>1075</v>
          </cell>
          <cell r="H1298">
            <v>900</v>
          </cell>
          <cell r="I1298">
            <v>725</v>
          </cell>
          <cell r="J1298">
            <v>650</v>
          </cell>
          <cell r="K1298">
            <v>575</v>
          </cell>
          <cell r="L1298">
            <v>500</v>
          </cell>
          <cell r="M1298">
            <v>425</v>
          </cell>
          <cell r="N1298">
            <v>350</v>
          </cell>
          <cell r="O1298">
            <v>350</v>
          </cell>
          <cell r="P1298">
            <v>350</v>
          </cell>
          <cell r="Q1298">
            <v>350</v>
          </cell>
          <cell r="R1298">
            <v>350</v>
          </cell>
          <cell r="S1298">
            <v>350</v>
          </cell>
          <cell r="T1298">
            <v>350</v>
          </cell>
          <cell r="U1298">
            <v>350</v>
          </cell>
          <cell r="V1298">
            <v>350</v>
          </cell>
          <cell r="W1298">
            <v>350</v>
          </cell>
          <cell r="X1298">
            <v>350</v>
          </cell>
          <cell r="Y1298">
            <v>350</v>
          </cell>
          <cell r="Z1298">
            <v>350</v>
          </cell>
          <cell r="AA1298">
            <v>350</v>
          </cell>
          <cell r="AB1298">
            <v>350</v>
          </cell>
          <cell r="AC1298">
            <v>350</v>
          </cell>
          <cell r="AD1298">
            <v>350</v>
          </cell>
          <cell r="AE1298">
            <v>350</v>
          </cell>
          <cell r="AF1298">
            <v>350</v>
          </cell>
          <cell r="AG1298">
            <v>350</v>
          </cell>
          <cell r="AH1298">
            <v>350</v>
          </cell>
        </row>
        <row r="1299">
          <cell r="B1299" t="str">
            <v>Natural gas - Price - Europe - USD/ton</v>
          </cell>
          <cell r="G1299">
            <v>1120</v>
          </cell>
          <cell r="H1299">
            <v>910</v>
          </cell>
          <cell r="I1299">
            <v>700</v>
          </cell>
          <cell r="J1299">
            <v>655</v>
          </cell>
          <cell r="K1299">
            <v>610</v>
          </cell>
          <cell r="L1299">
            <v>565</v>
          </cell>
          <cell r="M1299">
            <v>520</v>
          </cell>
          <cell r="N1299">
            <v>475</v>
          </cell>
          <cell r="O1299">
            <v>475</v>
          </cell>
          <cell r="P1299">
            <v>475</v>
          </cell>
          <cell r="Q1299">
            <v>475</v>
          </cell>
          <cell r="R1299">
            <v>475</v>
          </cell>
          <cell r="S1299">
            <v>475</v>
          </cell>
          <cell r="T1299">
            <v>475</v>
          </cell>
          <cell r="U1299">
            <v>475</v>
          </cell>
          <cell r="V1299">
            <v>475</v>
          </cell>
          <cell r="W1299">
            <v>475</v>
          </cell>
          <cell r="X1299">
            <v>475</v>
          </cell>
          <cell r="Y1299">
            <v>475</v>
          </cell>
          <cell r="Z1299">
            <v>475</v>
          </cell>
          <cell r="AA1299">
            <v>475</v>
          </cell>
          <cell r="AB1299">
            <v>475</v>
          </cell>
          <cell r="AC1299">
            <v>475</v>
          </cell>
          <cell r="AD1299">
            <v>475</v>
          </cell>
          <cell r="AE1299">
            <v>475</v>
          </cell>
          <cell r="AF1299">
            <v>475</v>
          </cell>
          <cell r="AG1299">
            <v>475</v>
          </cell>
          <cell r="AH1299">
            <v>475</v>
          </cell>
        </row>
        <row r="1300">
          <cell r="B1300" t="str">
            <v>Natural gas - Price - Middle East - USD/ton</v>
          </cell>
          <cell r="G1300">
            <v>875</v>
          </cell>
          <cell r="H1300">
            <v>700</v>
          </cell>
          <cell r="I1300">
            <v>525</v>
          </cell>
          <cell r="J1300">
            <v>449</v>
          </cell>
          <cell r="K1300">
            <v>373</v>
          </cell>
          <cell r="L1300">
            <v>297</v>
          </cell>
          <cell r="M1300">
            <v>221</v>
          </cell>
          <cell r="N1300">
            <v>145</v>
          </cell>
          <cell r="O1300">
            <v>145</v>
          </cell>
          <cell r="P1300">
            <v>145</v>
          </cell>
          <cell r="Q1300">
            <v>145</v>
          </cell>
          <cell r="R1300">
            <v>145</v>
          </cell>
          <cell r="S1300">
            <v>145</v>
          </cell>
          <cell r="T1300">
            <v>145</v>
          </cell>
          <cell r="U1300">
            <v>145</v>
          </cell>
          <cell r="V1300">
            <v>145</v>
          </cell>
          <cell r="W1300">
            <v>145</v>
          </cell>
          <cell r="X1300">
            <v>145</v>
          </cell>
          <cell r="Y1300">
            <v>145</v>
          </cell>
          <cell r="Z1300">
            <v>145</v>
          </cell>
          <cell r="AA1300">
            <v>145</v>
          </cell>
          <cell r="AB1300">
            <v>145</v>
          </cell>
          <cell r="AC1300">
            <v>145</v>
          </cell>
          <cell r="AD1300">
            <v>145</v>
          </cell>
          <cell r="AE1300">
            <v>145</v>
          </cell>
          <cell r="AF1300">
            <v>145</v>
          </cell>
          <cell r="AG1300">
            <v>145</v>
          </cell>
          <cell r="AH1300">
            <v>145</v>
          </cell>
        </row>
        <row r="1301">
          <cell r="B1301" t="str">
            <v>LNG - Conversion NG -&gt; LNG - Global - ton H2/ton diesel</v>
          </cell>
          <cell r="G1301">
            <v>1</v>
          </cell>
          <cell r="H1301">
            <v>1</v>
          </cell>
          <cell r="I1301">
            <v>1</v>
          </cell>
          <cell r="J1301">
            <v>1</v>
          </cell>
          <cell r="K1301">
            <v>1</v>
          </cell>
          <cell r="L1301">
            <v>1</v>
          </cell>
          <cell r="M1301">
            <v>1</v>
          </cell>
          <cell r="N1301">
            <v>1</v>
          </cell>
          <cell r="O1301">
            <v>1</v>
          </cell>
          <cell r="P1301">
            <v>1</v>
          </cell>
          <cell r="Q1301">
            <v>1</v>
          </cell>
          <cell r="R1301">
            <v>1</v>
          </cell>
          <cell r="S1301">
            <v>1</v>
          </cell>
          <cell r="T1301">
            <v>1</v>
          </cell>
          <cell r="U1301">
            <v>1</v>
          </cell>
          <cell r="V1301">
            <v>1</v>
          </cell>
          <cell r="W1301">
            <v>1</v>
          </cell>
          <cell r="X1301">
            <v>1</v>
          </cell>
          <cell r="Y1301">
            <v>1</v>
          </cell>
          <cell r="Z1301">
            <v>1</v>
          </cell>
          <cell r="AA1301">
            <v>1</v>
          </cell>
          <cell r="AB1301">
            <v>1</v>
          </cell>
          <cell r="AC1301">
            <v>1</v>
          </cell>
          <cell r="AD1301">
            <v>1</v>
          </cell>
          <cell r="AE1301">
            <v>1</v>
          </cell>
          <cell r="AF1301">
            <v>1</v>
          </cell>
          <cell r="AG1301">
            <v>1</v>
          </cell>
          <cell r="AH1301">
            <v>1</v>
          </cell>
        </row>
        <row r="1303">
          <cell r="B1303" t="str">
            <v>LSFO - Item - Region - Unit</v>
          </cell>
          <cell r="G1303">
            <v>2023</v>
          </cell>
          <cell r="H1303">
            <v>2024</v>
          </cell>
          <cell r="I1303">
            <v>2025</v>
          </cell>
          <cell r="J1303">
            <v>2026</v>
          </cell>
          <cell r="K1303">
            <v>2027</v>
          </cell>
          <cell r="L1303">
            <v>2028</v>
          </cell>
          <cell r="M1303">
            <v>2029</v>
          </cell>
          <cell r="N1303">
            <v>2030</v>
          </cell>
          <cell r="O1303">
            <v>2031</v>
          </cell>
          <cell r="P1303">
            <v>2032</v>
          </cell>
          <cell r="Q1303">
            <v>2033</v>
          </cell>
          <cell r="R1303">
            <v>2034</v>
          </cell>
          <cell r="S1303">
            <v>2035</v>
          </cell>
          <cell r="T1303">
            <v>2036</v>
          </cell>
          <cell r="U1303">
            <v>2037</v>
          </cell>
          <cell r="V1303">
            <v>2038</v>
          </cell>
          <cell r="W1303">
            <v>2039</v>
          </cell>
          <cell r="X1303">
            <v>2040</v>
          </cell>
          <cell r="Y1303">
            <v>2041</v>
          </cell>
          <cell r="Z1303">
            <v>2042</v>
          </cell>
          <cell r="AA1303">
            <v>2043</v>
          </cell>
          <cell r="AB1303">
            <v>2044</v>
          </cell>
          <cell r="AC1303">
            <v>2045</v>
          </cell>
          <cell r="AD1303">
            <v>2046</v>
          </cell>
          <cell r="AE1303">
            <v>2047</v>
          </cell>
          <cell r="AF1303">
            <v>2048</v>
          </cell>
          <cell r="AG1303">
            <v>2049</v>
          </cell>
          <cell r="AH1303">
            <v>2050</v>
          </cell>
        </row>
        <row r="1304">
          <cell r="B1304" t="str">
            <v>LSFO - Total cost - Africa - USD/ton fuel</v>
          </cell>
          <cell r="G1304">
            <v>735.35</v>
          </cell>
          <cell r="H1304">
            <v>685.30000000000007</v>
          </cell>
          <cell r="I1304">
            <v>635.25</v>
          </cell>
          <cell r="J1304">
            <v>619.0799999999972</v>
          </cell>
          <cell r="K1304">
            <v>602.91000000000145</v>
          </cell>
          <cell r="L1304">
            <v>586.73999999999864</v>
          </cell>
          <cell r="M1304">
            <v>570.56999999999584</v>
          </cell>
          <cell r="N1304">
            <v>554.4</v>
          </cell>
          <cell r="O1304">
            <v>554.4</v>
          </cell>
          <cell r="P1304">
            <v>554.4</v>
          </cell>
          <cell r="Q1304">
            <v>554.4</v>
          </cell>
          <cell r="R1304">
            <v>554.4</v>
          </cell>
          <cell r="S1304">
            <v>554.4</v>
          </cell>
          <cell r="T1304">
            <v>554.4</v>
          </cell>
          <cell r="U1304">
            <v>554.4</v>
          </cell>
          <cell r="V1304">
            <v>554.4</v>
          </cell>
          <cell r="W1304">
            <v>554.4</v>
          </cell>
          <cell r="X1304">
            <v>554.4</v>
          </cell>
          <cell r="Y1304">
            <v>554.4</v>
          </cell>
          <cell r="Z1304">
            <v>554.4</v>
          </cell>
          <cell r="AA1304">
            <v>554.4</v>
          </cell>
          <cell r="AB1304">
            <v>554.4</v>
          </cell>
          <cell r="AC1304">
            <v>554.4</v>
          </cell>
          <cell r="AD1304">
            <v>554.4</v>
          </cell>
          <cell r="AE1304">
            <v>554.4</v>
          </cell>
          <cell r="AF1304">
            <v>554.4</v>
          </cell>
          <cell r="AG1304">
            <v>554.4</v>
          </cell>
          <cell r="AH1304">
            <v>554.4</v>
          </cell>
        </row>
        <row r="1305">
          <cell r="B1305" t="str">
            <v>LSFO - Total cost - Americas - USD/ton fuel</v>
          </cell>
          <cell r="G1305">
            <v>735.35</v>
          </cell>
          <cell r="H1305">
            <v>685.30000000000007</v>
          </cell>
          <cell r="I1305">
            <v>635.25</v>
          </cell>
          <cell r="J1305">
            <v>619.0799999999972</v>
          </cell>
          <cell r="K1305">
            <v>602.91000000000145</v>
          </cell>
          <cell r="L1305">
            <v>586.73999999999864</v>
          </cell>
          <cell r="M1305">
            <v>570.56999999999584</v>
          </cell>
          <cell r="N1305">
            <v>554.4</v>
          </cell>
          <cell r="O1305">
            <v>554.4</v>
          </cell>
          <cell r="P1305">
            <v>554.4</v>
          </cell>
          <cell r="Q1305">
            <v>554.4</v>
          </cell>
          <cell r="R1305">
            <v>554.4</v>
          </cell>
          <cell r="S1305">
            <v>554.4</v>
          </cell>
          <cell r="T1305">
            <v>554.4</v>
          </cell>
          <cell r="U1305">
            <v>554.4</v>
          </cell>
          <cell r="V1305">
            <v>554.4</v>
          </cell>
          <cell r="W1305">
            <v>554.4</v>
          </cell>
          <cell r="X1305">
            <v>554.4</v>
          </cell>
          <cell r="Y1305">
            <v>554.4</v>
          </cell>
          <cell r="Z1305">
            <v>554.4</v>
          </cell>
          <cell r="AA1305">
            <v>554.4</v>
          </cell>
          <cell r="AB1305">
            <v>554.4</v>
          </cell>
          <cell r="AC1305">
            <v>554.4</v>
          </cell>
          <cell r="AD1305">
            <v>554.4</v>
          </cell>
          <cell r="AE1305">
            <v>554.4</v>
          </cell>
          <cell r="AF1305">
            <v>554.4</v>
          </cell>
          <cell r="AG1305">
            <v>554.4</v>
          </cell>
          <cell r="AH1305">
            <v>554.4</v>
          </cell>
        </row>
        <row r="1306">
          <cell r="B1306" t="str">
            <v>LSFO - Total cost - Asia - USD/ton fuel</v>
          </cell>
          <cell r="G1306">
            <v>735.35</v>
          </cell>
          <cell r="H1306">
            <v>685.30000000000007</v>
          </cell>
          <cell r="I1306">
            <v>635.25</v>
          </cell>
          <cell r="J1306">
            <v>619.0799999999972</v>
          </cell>
          <cell r="K1306">
            <v>602.91000000000145</v>
          </cell>
          <cell r="L1306">
            <v>586.73999999999864</v>
          </cell>
          <cell r="M1306">
            <v>570.56999999999584</v>
          </cell>
          <cell r="N1306">
            <v>554.4</v>
          </cell>
          <cell r="O1306">
            <v>554.4</v>
          </cell>
          <cell r="P1306">
            <v>554.4</v>
          </cell>
          <cell r="Q1306">
            <v>554.4</v>
          </cell>
          <cell r="R1306">
            <v>554.4</v>
          </cell>
          <cell r="S1306">
            <v>554.4</v>
          </cell>
          <cell r="T1306">
            <v>554.4</v>
          </cell>
          <cell r="U1306">
            <v>554.4</v>
          </cell>
          <cell r="V1306">
            <v>554.4</v>
          </cell>
          <cell r="W1306">
            <v>554.4</v>
          </cell>
          <cell r="X1306">
            <v>554.4</v>
          </cell>
          <cell r="Y1306">
            <v>554.4</v>
          </cell>
          <cell r="Z1306">
            <v>554.4</v>
          </cell>
          <cell r="AA1306">
            <v>554.4</v>
          </cell>
          <cell r="AB1306">
            <v>554.4</v>
          </cell>
          <cell r="AC1306">
            <v>554.4</v>
          </cell>
          <cell r="AD1306">
            <v>554.4</v>
          </cell>
          <cell r="AE1306">
            <v>554.4</v>
          </cell>
          <cell r="AF1306">
            <v>554.4</v>
          </cell>
          <cell r="AG1306">
            <v>554.4</v>
          </cell>
          <cell r="AH1306">
            <v>554.4</v>
          </cell>
        </row>
        <row r="1307">
          <cell r="B1307" t="str">
            <v>LSFO - Total cost - Europe - USD/ton fuel</v>
          </cell>
          <cell r="G1307">
            <v>735.35</v>
          </cell>
          <cell r="H1307">
            <v>685.30000000000007</v>
          </cell>
          <cell r="I1307">
            <v>635.25</v>
          </cell>
          <cell r="J1307">
            <v>619.0799999999972</v>
          </cell>
          <cell r="K1307">
            <v>602.91000000000145</v>
          </cell>
          <cell r="L1307">
            <v>586.73999999999864</v>
          </cell>
          <cell r="M1307">
            <v>570.56999999999584</v>
          </cell>
          <cell r="N1307">
            <v>554.4</v>
          </cell>
          <cell r="O1307">
            <v>554.4</v>
          </cell>
          <cell r="P1307">
            <v>554.4</v>
          </cell>
          <cell r="Q1307">
            <v>554.4</v>
          </cell>
          <cell r="R1307">
            <v>554.4</v>
          </cell>
          <cell r="S1307">
            <v>554.4</v>
          </cell>
          <cell r="T1307">
            <v>554.4</v>
          </cell>
          <cell r="U1307">
            <v>554.4</v>
          </cell>
          <cell r="V1307">
            <v>554.4</v>
          </cell>
          <cell r="W1307">
            <v>554.4</v>
          </cell>
          <cell r="X1307">
            <v>554.4</v>
          </cell>
          <cell r="Y1307">
            <v>554.4</v>
          </cell>
          <cell r="Z1307">
            <v>554.4</v>
          </cell>
          <cell r="AA1307">
            <v>554.4</v>
          </cell>
          <cell r="AB1307">
            <v>554.4</v>
          </cell>
          <cell r="AC1307">
            <v>554.4</v>
          </cell>
          <cell r="AD1307">
            <v>554.4</v>
          </cell>
          <cell r="AE1307">
            <v>554.4</v>
          </cell>
          <cell r="AF1307">
            <v>554.4</v>
          </cell>
          <cell r="AG1307">
            <v>554.4</v>
          </cell>
          <cell r="AH1307">
            <v>554.4</v>
          </cell>
        </row>
        <row r="1308">
          <cell r="B1308" t="str">
            <v>LSFO - Total cost - Middle East - USD/ton fuel</v>
          </cell>
          <cell r="G1308">
            <v>735.35</v>
          </cell>
          <cell r="H1308">
            <v>685.30000000000007</v>
          </cell>
          <cell r="I1308">
            <v>635.25</v>
          </cell>
          <cell r="J1308">
            <v>619.0799999999972</v>
          </cell>
          <cell r="K1308">
            <v>602.91000000000145</v>
          </cell>
          <cell r="L1308">
            <v>586.73999999999864</v>
          </cell>
          <cell r="M1308">
            <v>570.56999999999584</v>
          </cell>
          <cell r="N1308">
            <v>554.4</v>
          </cell>
          <cell r="O1308">
            <v>554.4</v>
          </cell>
          <cell r="P1308">
            <v>554.4</v>
          </cell>
          <cell r="Q1308">
            <v>554.4</v>
          </cell>
          <cell r="R1308">
            <v>554.4</v>
          </cell>
          <cell r="S1308">
            <v>554.4</v>
          </cell>
          <cell r="T1308">
            <v>554.4</v>
          </cell>
          <cell r="U1308">
            <v>554.4</v>
          </cell>
          <cell r="V1308">
            <v>554.4</v>
          </cell>
          <cell r="W1308">
            <v>554.4</v>
          </cell>
          <cell r="X1308">
            <v>554.4</v>
          </cell>
          <cell r="Y1308">
            <v>554.4</v>
          </cell>
          <cell r="Z1308">
            <v>554.4</v>
          </cell>
          <cell r="AA1308">
            <v>554.4</v>
          </cell>
          <cell r="AB1308">
            <v>554.4</v>
          </cell>
          <cell r="AC1308">
            <v>554.4</v>
          </cell>
          <cell r="AD1308">
            <v>554.4</v>
          </cell>
          <cell r="AE1308">
            <v>554.4</v>
          </cell>
          <cell r="AF1308">
            <v>554.4</v>
          </cell>
          <cell r="AG1308">
            <v>554.4</v>
          </cell>
          <cell r="AH1308">
            <v>554.4</v>
          </cell>
        </row>
        <row r="1309">
          <cell r="B1309" t="str">
            <v/>
          </cell>
        </row>
        <row r="1310">
          <cell r="B1310" t="str">
            <v>LSFO - CAPEX - Global - USD/ton fuel</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row>
        <row r="1311">
          <cell r="B1311" t="str">
            <v/>
          </cell>
        </row>
        <row r="1312">
          <cell r="B1312" t="str">
            <v>LSFO - OPEX - Global - USD/ton fuel</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row>
        <row r="1313">
          <cell r="B1313" t="str">
            <v/>
          </cell>
        </row>
        <row r="1314">
          <cell r="B1314" t="str">
            <v>LSFO - Finance cost - Africa - USD/ton fuel</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row>
        <row r="1315">
          <cell r="B1315" t="str">
            <v>LSFO - Finance cost - Americas - USD/ton fuel</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row>
        <row r="1316">
          <cell r="B1316" t="str">
            <v>LSFO - Finance cost - Asia - USD/ton fuel</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row>
        <row r="1317">
          <cell r="B1317" t="str">
            <v>LSFO - Finance cost - Europe - USD/ton fuel</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row>
        <row r="1318">
          <cell r="B1318" t="str">
            <v>LSFO - Finance cost - Middle East - USD/ton fuel</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row>
        <row r="1319">
          <cell r="B1319" t="str">
            <v/>
          </cell>
        </row>
        <row r="1320">
          <cell r="B1320" t="str">
            <v>LSFO - Energy cost - Africa - USD/ton fuel</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row>
        <row r="1321">
          <cell r="B1321" t="str">
            <v>LSFO - Energy cost - Americas - USD/ton fuel</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row>
        <row r="1322">
          <cell r="B1322" t="str">
            <v>LSFO - Energy cost - Asia - USD/ton fuel</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row>
        <row r="1323">
          <cell r="B1323" t="str">
            <v>LSFO - Energy cost - Europe - USD/ton fuel</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row>
        <row r="1324">
          <cell r="B1324" t="str">
            <v>LSFO - Energy cost - Middle East - USD/ton fuel</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row>
        <row r="1325">
          <cell r="B1325" t="str">
            <v/>
          </cell>
        </row>
        <row r="1326">
          <cell r="B1326" t="str">
            <v>LSFO - Feedstock cost - Africa - USD/ton fuel</v>
          </cell>
          <cell r="G1326">
            <v>735.35</v>
          </cell>
          <cell r="H1326">
            <v>685.30000000000007</v>
          </cell>
          <cell r="I1326">
            <v>635.25</v>
          </cell>
          <cell r="J1326">
            <v>619.0799999999972</v>
          </cell>
          <cell r="K1326">
            <v>602.91000000000145</v>
          </cell>
          <cell r="L1326">
            <v>586.73999999999864</v>
          </cell>
          <cell r="M1326">
            <v>570.56999999999584</v>
          </cell>
          <cell r="N1326">
            <v>554.4</v>
          </cell>
          <cell r="O1326">
            <v>554.4</v>
          </cell>
          <cell r="P1326">
            <v>554.4</v>
          </cell>
          <cell r="Q1326">
            <v>554.4</v>
          </cell>
          <cell r="R1326">
            <v>554.4</v>
          </cell>
          <cell r="S1326">
            <v>554.4</v>
          </cell>
          <cell r="T1326">
            <v>554.4</v>
          </cell>
          <cell r="U1326">
            <v>554.4</v>
          </cell>
          <cell r="V1326">
            <v>554.4</v>
          </cell>
          <cell r="W1326">
            <v>554.4</v>
          </cell>
          <cell r="X1326">
            <v>554.4</v>
          </cell>
          <cell r="Y1326">
            <v>554.4</v>
          </cell>
          <cell r="Z1326">
            <v>554.4</v>
          </cell>
          <cell r="AA1326">
            <v>554.4</v>
          </cell>
          <cell r="AB1326">
            <v>554.4</v>
          </cell>
          <cell r="AC1326">
            <v>554.4</v>
          </cell>
          <cell r="AD1326">
            <v>554.4</v>
          </cell>
          <cell r="AE1326">
            <v>554.4</v>
          </cell>
          <cell r="AF1326">
            <v>554.4</v>
          </cell>
          <cell r="AG1326">
            <v>554.4</v>
          </cell>
          <cell r="AH1326">
            <v>554.4</v>
          </cell>
        </row>
        <row r="1327">
          <cell r="B1327" t="str">
            <v>LSFO - Feedstock cost - Americas - USD/ton fuel</v>
          </cell>
          <cell r="G1327">
            <v>735.35</v>
          </cell>
          <cell r="H1327">
            <v>685.30000000000007</v>
          </cell>
          <cell r="I1327">
            <v>635.25</v>
          </cell>
          <cell r="J1327">
            <v>619.0799999999972</v>
          </cell>
          <cell r="K1327">
            <v>602.91000000000145</v>
          </cell>
          <cell r="L1327">
            <v>586.73999999999864</v>
          </cell>
          <cell r="M1327">
            <v>570.56999999999584</v>
          </cell>
          <cell r="N1327">
            <v>554.4</v>
          </cell>
          <cell r="O1327">
            <v>554.4</v>
          </cell>
          <cell r="P1327">
            <v>554.4</v>
          </cell>
          <cell r="Q1327">
            <v>554.4</v>
          </cell>
          <cell r="R1327">
            <v>554.4</v>
          </cell>
          <cell r="S1327">
            <v>554.4</v>
          </cell>
          <cell r="T1327">
            <v>554.4</v>
          </cell>
          <cell r="U1327">
            <v>554.4</v>
          </cell>
          <cell r="V1327">
            <v>554.4</v>
          </cell>
          <cell r="W1327">
            <v>554.4</v>
          </cell>
          <cell r="X1327">
            <v>554.4</v>
          </cell>
          <cell r="Y1327">
            <v>554.4</v>
          </cell>
          <cell r="Z1327">
            <v>554.4</v>
          </cell>
          <cell r="AA1327">
            <v>554.4</v>
          </cell>
          <cell r="AB1327">
            <v>554.4</v>
          </cell>
          <cell r="AC1327">
            <v>554.4</v>
          </cell>
          <cell r="AD1327">
            <v>554.4</v>
          </cell>
          <cell r="AE1327">
            <v>554.4</v>
          </cell>
          <cell r="AF1327">
            <v>554.4</v>
          </cell>
          <cell r="AG1327">
            <v>554.4</v>
          </cell>
          <cell r="AH1327">
            <v>554.4</v>
          </cell>
        </row>
        <row r="1328">
          <cell r="B1328" t="str">
            <v>LSFO - Feedstock cost - Asia - USD/ton fuel</v>
          </cell>
          <cell r="G1328">
            <v>735.35</v>
          </cell>
          <cell r="H1328">
            <v>685.30000000000007</v>
          </cell>
          <cell r="I1328">
            <v>635.25</v>
          </cell>
          <cell r="J1328">
            <v>619.0799999999972</v>
          </cell>
          <cell r="K1328">
            <v>602.91000000000145</v>
          </cell>
          <cell r="L1328">
            <v>586.73999999999864</v>
          </cell>
          <cell r="M1328">
            <v>570.56999999999584</v>
          </cell>
          <cell r="N1328">
            <v>554.4</v>
          </cell>
          <cell r="O1328">
            <v>554.4</v>
          </cell>
          <cell r="P1328">
            <v>554.4</v>
          </cell>
          <cell r="Q1328">
            <v>554.4</v>
          </cell>
          <cell r="R1328">
            <v>554.4</v>
          </cell>
          <cell r="S1328">
            <v>554.4</v>
          </cell>
          <cell r="T1328">
            <v>554.4</v>
          </cell>
          <cell r="U1328">
            <v>554.4</v>
          </cell>
          <cell r="V1328">
            <v>554.4</v>
          </cell>
          <cell r="W1328">
            <v>554.4</v>
          </cell>
          <cell r="X1328">
            <v>554.4</v>
          </cell>
          <cell r="Y1328">
            <v>554.4</v>
          </cell>
          <cell r="Z1328">
            <v>554.4</v>
          </cell>
          <cell r="AA1328">
            <v>554.4</v>
          </cell>
          <cell r="AB1328">
            <v>554.4</v>
          </cell>
          <cell r="AC1328">
            <v>554.4</v>
          </cell>
          <cell r="AD1328">
            <v>554.4</v>
          </cell>
          <cell r="AE1328">
            <v>554.4</v>
          </cell>
          <cell r="AF1328">
            <v>554.4</v>
          </cell>
          <cell r="AG1328">
            <v>554.4</v>
          </cell>
          <cell r="AH1328">
            <v>554.4</v>
          </cell>
        </row>
        <row r="1329">
          <cell r="B1329" t="str">
            <v>LSFO - Feedstock cost - Europe - USD/ton fuel</v>
          </cell>
          <cell r="G1329">
            <v>735.35</v>
          </cell>
          <cell r="H1329">
            <v>685.30000000000007</v>
          </cell>
          <cell r="I1329">
            <v>635.25</v>
          </cell>
          <cell r="J1329">
            <v>619.0799999999972</v>
          </cell>
          <cell r="K1329">
            <v>602.91000000000145</v>
          </cell>
          <cell r="L1329">
            <v>586.73999999999864</v>
          </cell>
          <cell r="M1329">
            <v>570.56999999999584</v>
          </cell>
          <cell r="N1329">
            <v>554.4</v>
          </cell>
          <cell r="O1329">
            <v>554.4</v>
          </cell>
          <cell r="P1329">
            <v>554.4</v>
          </cell>
          <cell r="Q1329">
            <v>554.4</v>
          </cell>
          <cell r="R1329">
            <v>554.4</v>
          </cell>
          <cell r="S1329">
            <v>554.4</v>
          </cell>
          <cell r="T1329">
            <v>554.4</v>
          </cell>
          <cell r="U1329">
            <v>554.4</v>
          </cell>
          <cell r="V1329">
            <v>554.4</v>
          </cell>
          <cell r="W1329">
            <v>554.4</v>
          </cell>
          <cell r="X1329">
            <v>554.4</v>
          </cell>
          <cell r="Y1329">
            <v>554.4</v>
          </cell>
          <cell r="Z1329">
            <v>554.4</v>
          </cell>
          <cell r="AA1329">
            <v>554.4</v>
          </cell>
          <cell r="AB1329">
            <v>554.4</v>
          </cell>
          <cell r="AC1329">
            <v>554.4</v>
          </cell>
          <cell r="AD1329">
            <v>554.4</v>
          </cell>
          <cell r="AE1329">
            <v>554.4</v>
          </cell>
          <cell r="AF1329">
            <v>554.4</v>
          </cell>
          <cell r="AG1329">
            <v>554.4</v>
          </cell>
          <cell r="AH1329">
            <v>554.4</v>
          </cell>
        </row>
        <row r="1330">
          <cell r="B1330" t="str">
            <v>LSFO - Feedstock cost - Middle East - USD/ton fuel</v>
          </cell>
          <cell r="G1330">
            <v>735.35</v>
          </cell>
          <cell r="H1330">
            <v>685.30000000000007</v>
          </cell>
          <cell r="I1330">
            <v>635.25</v>
          </cell>
          <cell r="J1330">
            <v>619.0799999999972</v>
          </cell>
          <cell r="K1330">
            <v>602.91000000000145</v>
          </cell>
          <cell r="L1330">
            <v>586.73999999999864</v>
          </cell>
          <cell r="M1330">
            <v>570.56999999999584</v>
          </cell>
          <cell r="N1330">
            <v>554.4</v>
          </cell>
          <cell r="O1330">
            <v>554.4</v>
          </cell>
          <cell r="P1330">
            <v>554.4</v>
          </cell>
          <cell r="Q1330">
            <v>554.4</v>
          </cell>
          <cell r="R1330">
            <v>554.4</v>
          </cell>
          <cell r="S1330">
            <v>554.4</v>
          </cell>
          <cell r="T1330">
            <v>554.4</v>
          </cell>
          <cell r="U1330">
            <v>554.4</v>
          </cell>
          <cell r="V1330">
            <v>554.4</v>
          </cell>
          <cell r="W1330">
            <v>554.4</v>
          </cell>
          <cell r="X1330">
            <v>554.4</v>
          </cell>
          <cell r="Y1330">
            <v>554.4</v>
          </cell>
          <cell r="Z1330">
            <v>554.4</v>
          </cell>
          <cell r="AA1330">
            <v>554.4</v>
          </cell>
          <cell r="AB1330">
            <v>554.4</v>
          </cell>
          <cell r="AC1330">
            <v>554.4</v>
          </cell>
          <cell r="AD1330">
            <v>554.4</v>
          </cell>
          <cell r="AE1330">
            <v>554.4</v>
          </cell>
          <cell r="AF1330">
            <v>554.4</v>
          </cell>
          <cell r="AG1330">
            <v>554.4</v>
          </cell>
          <cell r="AH1330">
            <v>554.4</v>
          </cell>
        </row>
        <row r="1331">
          <cell r="B1331" t="str">
            <v>Crude oil - Price - Africa - USD/barrel</v>
          </cell>
          <cell r="G1331">
            <v>95.5</v>
          </cell>
          <cell r="H1331">
            <v>89</v>
          </cell>
          <cell r="I1331">
            <v>82.5</v>
          </cell>
          <cell r="J1331">
            <v>80.399999999999636</v>
          </cell>
          <cell r="K1331">
            <v>78.300000000000182</v>
          </cell>
          <cell r="L1331">
            <v>76.199999999999818</v>
          </cell>
          <cell r="M1331">
            <v>74.099999999999454</v>
          </cell>
          <cell r="N1331">
            <v>72</v>
          </cell>
          <cell r="O1331">
            <v>72</v>
          </cell>
          <cell r="P1331">
            <v>72</v>
          </cell>
          <cell r="Q1331">
            <v>72</v>
          </cell>
          <cell r="R1331">
            <v>72</v>
          </cell>
          <cell r="S1331">
            <v>72</v>
          </cell>
          <cell r="T1331">
            <v>72</v>
          </cell>
          <cell r="U1331">
            <v>72</v>
          </cell>
          <cell r="V1331">
            <v>72</v>
          </cell>
          <cell r="W1331">
            <v>72</v>
          </cell>
          <cell r="X1331">
            <v>72</v>
          </cell>
          <cell r="Y1331">
            <v>72</v>
          </cell>
          <cell r="Z1331">
            <v>72</v>
          </cell>
          <cell r="AA1331">
            <v>72</v>
          </cell>
          <cell r="AB1331">
            <v>72</v>
          </cell>
          <cell r="AC1331">
            <v>72</v>
          </cell>
          <cell r="AD1331">
            <v>72</v>
          </cell>
          <cell r="AE1331">
            <v>72</v>
          </cell>
          <cell r="AF1331">
            <v>72</v>
          </cell>
          <cell r="AG1331">
            <v>72</v>
          </cell>
          <cell r="AH1331">
            <v>72</v>
          </cell>
        </row>
        <row r="1332">
          <cell r="B1332" t="str">
            <v>Crude oil - Price - Americas - USD/barrel</v>
          </cell>
          <cell r="G1332">
            <v>95.5</v>
          </cell>
          <cell r="H1332">
            <v>89</v>
          </cell>
          <cell r="I1332">
            <v>82.5</v>
          </cell>
          <cell r="J1332">
            <v>80.399999999999636</v>
          </cell>
          <cell r="K1332">
            <v>78.300000000000182</v>
          </cell>
          <cell r="L1332">
            <v>76.199999999999818</v>
          </cell>
          <cell r="M1332">
            <v>74.099999999999454</v>
          </cell>
          <cell r="N1332">
            <v>72</v>
          </cell>
          <cell r="O1332">
            <v>72</v>
          </cell>
          <cell r="P1332">
            <v>72</v>
          </cell>
          <cell r="Q1332">
            <v>72</v>
          </cell>
          <cell r="R1332">
            <v>72</v>
          </cell>
          <cell r="S1332">
            <v>72</v>
          </cell>
          <cell r="T1332">
            <v>72</v>
          </cell>
          <cell r="U1332">
            <v>72</v>
          </cell>
          <cell r="V1332">
            <v>72</v>
          </cell>
          <cell r="W1332">
            <v>72</v>
          </cell>
          <cell r="X1332">
            <v>72</v>
          </cell>
          <cell r="Y1332">
            <v>72</v>
          </cell>
          <cell r="Z1332">
            <v>72</v>
          </cell>
          <cell r="AA1332">
            <v>72</v>
          </cell>
          <cell r="AB1332">
            <v>72</v>
          </cell>
          <cell r="AC1332">
            <v>72</v>
          </cell>
          <cell r="AD1332">
            <v>72</v>
          </cell>
          <cell r="AE1332">
            <v>72</v>
          </cell>
          <cell r="AF1332">
            <v>72</v>
          </cell>
          <cell r="AG1332">
            <v>72</v>
          </cell>
          <cell r="AH1332">
            <v>72</v>
          </cell>
        </row>
        <row r="1333">
          <cell r="B1333" t="str">
            <v>Crude oil - Price - Asia - USD/barrel</v>
          </cell>
          <cell r="G1333">
            <v>95.5</v>
          </cell>
          <cell r="H1333">
            <v>89</v>
          </cell>
          <cell r="I1333">
            <v>82.5</v>
          </cell>
          <cell r="J1333">
            <v>80.399999999999636</v>
          </cell>
          <cell r="K1333">
            <v>78.300000000000182</v>
          </cell>
          <cell r="L1333">
            <v>76.199999999999818</v>
          </cell>
          <cell r="M1333">
            <v>74.099999999999454</v>
          </cell>
          <cell r="N1333">
            <v>72</v>
          </cell>
          <cell r="O1333">
            <v>72</v>
          </cell>
          <cell r="P1333">
            <v>72</v>
          </cell>
          <cell r="Q1333">
            <v>72</v>
          </cell>
          <cell r="R1333">
            <v>72</v>
          </cell>
          <cell r="S1333">
            <v>72</v>
          </cell>
          <cell r="T1333">
            <v>72</v>
          </cell>
          <cell r="U1333">
            <v>72</v>
          </cell>
          <cell r="V1333">
            <v>72</v>
          </cell>
          <cell r="W1333">
            <v>72</v>
          </cell>
          <cell r="X1333">
            <v>72</v>
          </cell>
          <cell r="Y1333">
            <v>72</v>
          </cell>
          <cell r="Z1333">
            <v>72</v>
          </cell>
          <cell r="AA1333">
            <v>72</v>
          </cell>
          <cell r="AB1333">
            <v>72</v>
          </cell>
          <cell r="AC1333">
            <v>72</v>
          </cell>
          <cell r="AD1333">
            <v>72</v>
          </cell>
          <cell r="AE1333">
            <v>72</v>
          </cell>
          <cell r="AF1333">
            <v>72</v>
          </cell>
          <cell r="AG1333">
            <v>72</v>
          </cell>
          <cell r="AH1333">
            <v>72</v>
          </cell>
        </row>
        <row r="1334">
          <cell r="B1334" t="str">
            <v>Crude oil - Price - Europe - USD/barrel</v>
          </cell>
          <cell r="G1334">
            <v>95.5</v>
          </cell>
          <cell r="H1334">
            <v>89</v>
          </cell>
          <cell r="I1334">
            <v>82.5</v>
          </cell>
          <cell r="J1334">
            <v>80.399999999999636</v>
          </cell>
          <cell r="K1334">
            <v>78.300000000000182</v>
          </cell>
          <cell r="L1334">
            <v>76.199999999999818</v>
          </cell>
          <cell r="M1334">
            <v>74.099999999999454</v>
          </cell>
          <cell r="N1334">
            <v>72</v>
          </cell>
          <cell r="O1334">
            <v>72</v>
          </cell>
          <cell r="P1334">
            <v>72</v>
          </cell>
          <cell r="Q1334">
            <v>72</v>
          </cell>
          <cell r="R1334">
            <v>72</v>
          </cell>
          <cell r="S1334">
            <v>72</v>
          </cell>
          <cell r="T1334">
            <v>72</v>
          </cell>
          <cell r="U1334">
            <v>72</v>
          </cell>
          <cell r="V1334">
            <v>72</v>
          </cell>
          <cell r="W1334">
            <v>72</v>
          </cell>
          <cell r="X1334">
            <v>72</v>
          </cell>
          <cell r="Y1334">
            <v>72</v>
          </cell>
          <cell r="Z1334">
            <v>72</v>
          </cell>
          <cell r="AA1334">
            <v>72</v>
          </cell>
          <cell r="AB1334">
            <v>72</v>
          </cell>
          <cell r="AC1334">
            <v>72</v>
          </cell>
          <cell r="AD1334">
            <v>72</v>
          </cell>
          <cell r="AE1334">
            <v>72</v>
          </cell>
          <cell r="AF1334">
            <v>72</v>
          </cell>
          <cell r="AG1334">
            <v>72</v>
          </cell>
          <cell r="AH1334">
            <v>72</v>
          </cell>
        </row>
        <row r="1335">
          <cell r="B1335" t="str">
            <v>Crude oil - Price - Middle East - USD/barrel</v>
          </cell>
          <cell r="G1335">
            <v>95.5</v>
          </cell>
          <cell r="H1335">
            <v>89</v>
          </cell>
          <cell r="I1335">
            <v>82.5</v>
          </cell>
          <cell r="J1335">
            <v>80.399999999999636</v>
          </cell>
          <cell r="K1335">
            <v>78.300000000000182</v>
          </cell>
          <cell r="L1335">
            <v>76.199999999999818</v>
          </cell>
          <cell r="M1335">
            <v>74.099999999999454</v>
          </cell>
          <cell r="N1335">
            <v>72</v>
          </cell>
          <cell r="O1335">
            <v>72</v>
          </cell>
          <cell r="P1335">
            <v>72</v>
          </cell>
          <cell r="Q1335">
            <v>72</v>
          </cell>
          <cell r="R1335">
            <v>72</v>
          </cell>
          <cell r="S1335">
            <v>72</v>
          </cell>
          <cell r="T1335">
            <v>72</v>
          </cell>
          <cell r="U1335">
            <v>72</v>
          </cell>
          <cell r="V1335">
            <v>72</v>
          </cell>
          <cell r="W1335">
            <v>72</v>
          </cell>
          <cell r="X1335">
            <v>72</v>
          </cell>
          <cell r="Y1335">
            <v>72</v>
          </cell>
          <cell r="Z1335">
            <v>72</v>
          </cell>
          <cell r="AA1335">
            <v>72</v>
          </cell>
          <cell r="AB1335">
            <v>72</v>
          </cell>
          <cell r="AC1335">
            <v>72</v>
          </cell>
          <cell r="AD1335">
            <v>72</v>
          </cell>
          <cell r="AE1335">
            <v>72</v>
          </cell>
          <cell r="AF1335">
            <v>72</v>
          </cell>
          <cell r="AG1335">
            <v>72</v>
          </cell>
          <cell r="AH1335">
            <v>72</v>
          </cell>
        </row>
        <row r="1336">
          <cell r="B1336" t="str">
            <v>LSFO - Cost conversion crude oil (bbl) -&gt; LSFO (ton) - Global - Multiplier</v>
          </cell>
          <cell r="G1336">
            <v>7.7</v>
          </cell>
          <cell r="H1336">
            <v>7.7</v>
          </cell>
          <cell r="I1336">
            <v>7.7</v>
          </cell>
          <cell r="J1336">
            <v>7.7</v>
          </cell>
          <cell r="K1336">
            <v>7.7</v>
          </cell>
          <cell r="L1336">
            <v>7.7</v>
          </cell>
          <cell r="M1336">
            <v>7.7</v>
          </cell>
          <cell r="N1336">
            <v>7.7</v>
          </cell>
          <cell r="O1336">
            <v>7.7</v>
          </cell>
          <cell r="P1336">
            <v>7.7</v>
          </cell>
          <cell r="Q1336">
            <v>7.7</v>
          </cell>
          <cell r="R1336">
            <v>7.7</v>
          </cell>
          <cell r="S1336">
            <v>7.7</v>
          </cell>
          <cell r="T1336">
            <v>7.7</v>
          </cell>
          <cell r="U1336">
            <v>7.7</v>
          </cell>
          <cell r="V1336">
            <v>7.7</v>
          </cell>
          <cell r="W1336">
            <v>7.7</v>
          </cell>
          <cell r="X1336">
            <v>7.7</v>
          </cell>
          <cell r="Y1336">
            <v>7.7</v>
          </cell>
          <cell r="Z1336">
            <v>7.7</v>
          </cell>
          <cell r="AA1336">
            <v>7.7</v>
          </cell>
          <cell r="AB1336">
            <v>7.7</v>
          </cell>
          <cell r="AC1336">
            <v>7.7</v>
          </cell>
          <cell r="AD1336">
            <v>7.7</v>
          </cell>
          <cell r="AE1336">
            <v>7.7</v>
          </cell>
          <cell r="AF1336">
            <v>7.7</v>
          </cell>
          <cell r="AG1336">
            <v>7.7</v>
          </cell>
          <cell r="AH1336">
            <v>7.7</v>
          </cell>
        </row>
      </sheetData>
      <sheetData sheetId="6">
        <row r="4">
          <cell r="G4">
            <v>2023</v>
          </cell>
          <cell r="H4">
            <v>2024</v>
          </cell>
          <cell r="I4">
            <v>2025</v>
          </cell>
          <cell r="J4">
            <v>2026</v>
          </cell>
          <cell r="K4">
            <v>2027</v>
          </cell>
          <cell r="L4">
            <v>2028</v>
          </cell>
          <cell r="M4">
            <v>2029</v>
          </cell>
          <cell r="N4">
            <v>2030</v>
          </cell>
          <cell r="O4">
            <v>2031</v>
          </cell>
          <cell r="P4">
            <v>2032</v>
          </cell>
          <cell r="Q4">
            <v>2033</v>
          </cell>
          <cell r="R4">
            <v>2034</v>
          </cell>
          <cell r="S4">
            <v>2035</v>
          </cell>
          <cell r="T4">
            <v>2036</v>
          </cell>
          <cell r="U4">
            <v>2037</v>
          </cell>
          <cell r="V4">
            <v>2038</v>
          </cell>
          <cell r="W4">
            <v>2039</v>
          </cell>
          <cell r="X4">
            <v>2040</v>
          </cell>
          <cell r="Y4">
            <v>2041</v>
          </cell>
          <cell r="Z4">
            <v>2042</v>
          </cell>
          <cell r="AA4">
            <v>2043</v>
          </cell>
          <cell r="AB4">
            <v>2044</v>
          </cell>
          <cell r="AC4">
            <v>2045</v>
          </cell>
          <cell r="AD4">
            <v>2046</v>
          </cell>
          <cell r="AE4">
            <v>2047</v>
          </cell>
          <cell r="AF4">
            <v>2048</v>
          </cell>
          <cell r="AG4">
            <v>2049</v>
          </cell>
          <cell r="AH4">
            <v>2050</v>
          </cell>
        </row>
        <row r="7">
          <cell r="B7" t="str">
            <v/>
          </cell>
        </row>
        <row r="8">
          <cell r="B8" t="str">
            <v>e-hydrogen (Alkaline) - Total emissions - WTT - GWP100 - Global - ton CO2eq/ton fuel</v>
          </cell>
          <cell r="G8">
            <v>0.2689348320400361</v>
          </cell>
          <cell r="H8">
            <v>0.26871741602001809</v>
          </cell>
          <cell r="I8">
            <v>0.26849999999999991</v>
          </cell>
          <cell r="J8">
            <v>0.26828346068604925</v>
          </cell>
          <cell r="K8">
            <v>0.26806692137209848</v>
          </cell>
          <cell r="L8">
            <v>0.26785038205814782</v>
          </cell>
          <cell r="M8">
            <v>0.2676338427441971</v>
          </cell>
          <cell r="N8">
            <v>0.26741730343024633</v>
          </cell>
          <cell r="O8">
            <v>0.26720163728714286</v>
          </cell>
          <cell r="P8">
            <v>0.26698597114403916</v>
          </cell>
          <cell r="Q8">
            <v>0.26677030500093551</v>
          </cell>
          <cell r="R8">
            <v>0.26655463885783193</v>
          </cell>
          <cell r="S8">
            <v>0.26633897271472823</v>
          </cell>
          <cell r="T8">
            <v>0.26612417622150669</v>
          </cell>
          <cell r="U8">
            <v>0.26590937972828521</v>
          </cell>
          <cell r="V8">
            <v>0.26569458323506367</v>
          </cell>
          <cell r="W8">
            <v>0.26547978674184214</v>
          </cell>
          <cell r="X8">
            <v>0.26526499024862044</v>
          </cell>
          <cell r="Y8">
            <v>0.26505105989851396</v>
          </cell>
          <cell r="Z8">
            <v>0.26483712954840755</v>
          </cell>
          <cell r="AA8">
            <v>0.26462319919830118</v>
          </cell>
          <cell r="AB8">
            <v>0.26440926884819471</v>
          </cell>
          <cell r="AC8">
            <v>0.26419533849808846</v>
          </cell>
          <cell r="AD8">
            <v>0.26398227079847081</v>
          </cell>
          <cell r="AE8">
            <v>0.2637692030988531</v>
          </cell>
          <cell r="AF8">
            <v>0.26355613539923545</v>
          </cell>
          <cell r="AG8">
            <v>0.26334306769961774</v>
          </cell>
          <cell r="AH8">
            <v>0.26313000000000009</v>
          </cell>
        </row>
        <row r="9">
          <cell r="B9" t="str">
            <v>e-hydrogen (Alkaline) - Total emissions - WTT - GWP20 - Global - ton CO2eq/ton fuel</v>
          </cell>
          <cell r="G9">
            <v>0.2689348320400361</v>
          </cell>
          <cell r="H9">
            <v>0.26871741602001809</v>
          </cell>
          <cell r="I9">
            <v>0.26849999999999991</v>
          </cell>
          <cell r="J9">
            <v>0.26828346068604925</v>
          </cell>
          <cell r="K9">
            <v>0.26806692137209848</v>
          </cell>
          <cell r="L9">
            <v>0.26785038205814782</v>
          </cell>
          <cell r="M9">
            <v>0.2676338427441971</v>
          </cell>
          <cell r="N9">
            <v>0.26741730343024633</v>
          </cell>
          <cell r="O9">
            <v>0.26720163728714286</v>
          </cell>
          <cell r="P9">
            <v>0.26698597114403916</v>
          </cell>
          <cell r="Q9">
            <v>0.26677030500093551</v>
          </cell>
          <cell r="R9">
            <v>0.26655463885783193</v>
          </cell>
          <cell r="S9">
            <v>0.26633897271472823</v>
          </cell>
          <cell r="T9">
            <v>0.26612417622150669</v>
          </cell>
          <cell r="U9">
            <v>0.26590937972828521</v>
          </cell>
          <cell r="V9">
            <v>0.26569458323506367</v>
          </cell>
          <cell r="W9">
            <v>0.26547978674184214</v>
          </cell>
          <cell r="X9">
            <v>0.26526499024862044</v>
          </cell>
          <cell r="Y9">
            <v>0.26505105989851396</v>
          </cell>
          <cell r="Z9">
            <v>0.26483712954840755</v>
          </cell>
          <cell r="AA9">
            <v>0.26462319919830118</v>
          </cell>
          <cell r="AB9">
            <v>0.26440926884819471</v>
          </cell>
          <cell r="AC9">
            <v>0.26419533849808846</v>
          </cell>
          <cell r="AD9">
            <v>0.26398227079847081</v>
          </cell>
          <cell r="AE9">
            <v>0.2637692030988531</v>
          </cell>
          <cell r="AF9">
            <v>0.26355613539923545</v>
          </cell>
          <cell r="AG9">
            <v>0.26334306769961774</v>
          </cell>
          <cell r="AH9">
            <v>0.26313000000000009</v>
          </cell>
        </row>
        <row r="10">
          <cell r="B10" t="str">
            <v>General - Methane - GWP100 - Global - ton CO2eq/ton fuel</v>
          </cell>
          <cell r="G10">
            <v>29</v>
          </cell>
          <cell r="H10">
            <v>29</v>
          </cell>
          <cell r="I10">
            <v>29</v>
          </cell>
          <cell r="J10">
            <v>29</v>
          </cell>
          <cell r="K10">
            <v>29</v>
          </cell>
          <cell r="L10">
            <v>29</v>
          </cell>
          <cell r="M10">
            <v>29</v>
          </cell>
          <cell r="N10">
            <v>29</v>
          </cell>
          <cell r="O10">
            <v>29</v>
          </cell>
          <cell r="P10">
            <v>29</v>
          </cell>
          <cell r="Q10">
            <v>29</v>
          </cell>
          <cell r="R10">
            <v>29</v>
          </cell>
          <cell r="S10">
            <v>29</v>
          </cell>
          <cell r="T10">
            <v>29</v>
          </cell>
          <cell r="U10">
            <v>29</v>
          </cell>
          <cell r="V10">
            <v>29</v>
          </cell>
          <cell r="W10">
            <v>29</v>
          </cell>
          <cell r="X10">
            <v>29</v>
          </cell>
          <cell r="Y10">
            <v>29</v>
          </cell>
          <cell r="Z10">
            <v>29</v>
          </cell>
          <cell r="AA10">
            <v>29</v>
          </cell>
          <cell r="AB10">
            <v>29</v>
          </cell>
          <cell r="AC10">
            <v>29</v>
          </cell>
          <cell r="AD10">
            <v>29</v>
          </cell>
          <cell r="AE10">
            <v>29</v>
          </cell>
          <cell r="AF10">
            <v>29</v>
          </cell>
          <cell r="AG10">
            <v>29</v>
          </cell>
          <cell r="AH10">
            <v>29</v>
          </cell>
        </row>
        <row r="11">
          <cell r="B11" t="str">
            <v>General - Methane - GWP20 - Global - ton CO2eq/ton fuel</v>
          </cell>
          <cell r="G11">
            <v>85</v>
          </cell>
          <cell r="H11">
            <v>85</v>
          </cell>
          <cell r="I11">
            <v>85</v>
          </cell>
          <cell r="J11">
            <v>85</v>
          </cell>
          <cell r="K11">
            <v>85</v>
          </cell>
          <cell r="L11">
            <v>85</v>
          </cell>
          <cell r="M11">
            <v>85</v>
          </cell>
          <cell r="N11">
            <v>85</v>
          </cell>
          <cell r="O11">
            <v>85</v>
          </cell>
          <cell r="P11">
            <v>85</v>
          </cell>
          <cell r="Q11">
            <v>85</v>
          </cell>
          <cell r="R11">
            <v>85</v>
          </cell>
          <cell r="S11">
            <v>85</v>
          </cell>
          <cell r="T11">
            <v>85</v>
          </cell>
          <cell r="U11">
            <v>85</v>
          </cell>
          <cell r="V11">
            <v>85</v>
          </cell>
          <cell r="W11">
            <v>85</v>
          </cell>
          <cell r="X11">
            <v>85</v>
          </cell>
          <cell r="Y11">
            <v>85</v>
          </cell>
          <cell r="Z11">
            <v>85</v>
          </cell>
          <cell r="AA11">
            <v>85</v>
          </cell>
          <cell r="AB11">
            <v>85</v>
          </cell>
          <cell r="AC11">
            <v>85</v>
          </cell>
          <cell r="AD11">
            <v>85</v>
          </cell>
          <cell r="AE11">
            <v>85</v>
          </cell>
          <cell r="AF11">
            <v>85</v>
          </cell>
          <cell r="AG11">
            <v>85</v>
          </cell>
          <cell r="AH11">
            <v>85</v>
          </cell>
        </row>
        <row r="12">
          <cell r="B12" t="str">
            <v>General - Nitrous oxide - GWP100 - Global - ton CO2eq/ton fuel</v>
          </cell>
          <cell r="G12">
            <v>266</v>
          </cell>
          <cell r="H12">
            <v>266</v>
          </cell>
          <cell r="I12">
            <v>266</v>
          </cell>
          <cell r="J12">
            <v>266</v>
          </cell>
          <cell r="K12">
            <v>266</v>
          </cell>
          <cell r="L12">
            <v>266</v>
          </cell>
          <cell r="M12">
            <v>266</v>
          </cell>
          <cell r="N12">
            <v>266</v>
          </cell>
          <cell r="O12">
            <v>266</v>
          </cell>
          <cell r="P12">
            <v>266</v>
          </cell>
          <cell r="Q12">
            <v>266</v>
          </cell>
          <cell r="R12">
            <v>266</v>
          </cell>
          <cell r="S12">
            <v>266</v>
          </cell>
          <cell r="T12">
            <v>266</v>
          </cell>
          <cell r="U12">
            <v>266</v>
          </cell>
          <cell r="V12">
            <v>266</v>
          </cell>
          <cell r="W12">
            <v>266</v>
          </cell>
          <cell r="X12">
            <v>266</v>
          </cell>
          <cell r="Y12">
            <v>266</v>
          </cell>
          <cell r="Z12">
            <v>266</v>
          </cell>
          <cell r="AA12">
            <v>266</v>
          </cell>
          <cell r="AB12">
            <v>266</v>
          </cell>
          <cell r="AC12">
            <v>266</v>
          </cell>
          <cell r="AD12">
            <v>266</v>
          </cell>
          <cell r="AE12">
            <v>266</v>
          </cell>
          <cell r="AF12">
            <v>266</v>
          </cell>
          <cell r="AG12">
            <v>266</v>
          </cell>
          <cell r="AH12">
            <v>266</v>
          </cell>
        </row>
        <row r="13">
          <cell r="B13" t="str">
            <v>General - Nitrous oxide - GWP20 - Global - ton CO2eq/ton fuel</v>
          </cell>
          <cell r="G13">
            <v>251</v>
          </cell>
          <cell r="H13">
            <v>251</v>
          </cell>
          <cell r="I13">
            <v>251</v>
          </cell>
          <cell r="J13">
            <v>251</v>
          </cell>
          <cell r="K13">
            <v>251</v>
          </cell>
          <cell r="L13">
            <v>251</v>
          </cell>
          <cell r="M13">
            <v>251</v>
          </cell>
          <cell r="N13">
            <v>251</v>
          </cell>
          <cell r="O13">
            <v>251</v>
          </cell>
          <cell r="P13">
            <v>251</v>
          </cell>
          <cell r="Q13">
            <v>251</v>
          </cell>
          <cell r="R13">
            <v>251</v>
          </cell>
          <cell r="S13">
            <v>251</v>
          </cell>
          <cell r="T13">
            <v>251</v>
          </cell>
          <cell r="U13">
            <v>251</v>
          </cell>
          <cell r="V13">
            <v>251</v>
          </cell>
          <cell r="W13">
            <v>251</v>
          </cell>
          <cell r="X13">
            <v>251</v>
          </cell>
          <cell r="Y13">
            <v>251</v>
          </cell>
          <cell r="Z13">
            <v>251</v>
          </cell>
          <cell r="AA13">
            <v>251</v>
          </cell>
          <cell r="AB13">
            <v>251</v>
          </cell>
          <cell r="AC13">
            <v>251</v>
          </cell>
          <cell r="AD13">
            <v>251</v>
          </cell>
          <cell r="AE13">
            <v>251</v>
          </cell>
          <cell r="AF13">
            <v>251</v>
          </cell>
          <cell r="AG13">
            <v>251</v>
          </cell>
          <cell r="AH13">
            <v>251</v>
          </cell>
        </row>
        <row r="14">
          <cell r="B14" t="str">
            <v/>
          </cell>
        </row>
        <row r="15">
          <cell r="B15" t="str">
            <v>e-hydrogen (Alkaline) - Total emissions - WTT - Global - ton CO2/ton fuel</v>
          </cell>
          <cell r="G15">
            <v>0.2689348320400361</v>
          </cell>
          <cell r="H15">
            <v>0.26871741602001809</v>
          </cell>
          <cell r="I15">
            <v>0.26849999999999991</v>
          </cell>
          <cell r="J15">
            <v>0.26828346068604925</v>
          </cell>
          <cell r="K15">
            <v>0.26806692137209848</v>
          </cell>
          <cell r="L15">
            <v>0.26785038205814782</v>
          </cell>
          <cell r="M15">
            <v>0.2676338427441971</v>
          </cell>
          <cell r="N15">
            <v>0.26741730343024633</v>
          </cell>
          <cell r="O15">
            <v>0.26720163728714286</v>
          </cell>
          <cell r="P15">
            <v>0.26698597114403916</v>
          </cell>
          <cell r="Q15">
            <v>0.26677030500093551</v>
          </cell>
          <cell r="R15">
            <v>0.26655463885783193</v>
          </cell>
          <cell r="S15">
            <v>0.26633897271472823</v>
          </cell>
          <cell r="T15">
            <v>0.26612417622150669</v>
          </cell>
          <cell r="U15">
            <v>0.26590937972828521</v>
          </cell>
          <cell r="V15">
            <v>0.26569458323506367</v>
          </cell>
          <cell r="W15">
            <v>0.26547978674184214</v>
          </cell>
          <cell r="X15">
            <v>0.26526499024862044</v>
          </cell>
          <cell r="Y15">
            <v>0.26505105989851396</v>
          </cell>
          <cell r="Z15">
            <v>0.26483712954840755</v>
          </cell>
          <cell r="AA15">
            <v>0.26462319919830118</v>
          </cell>
          <cell r="AB15">
            <v>0.26440926884819471</v>
          </cell>
          <cell r="AC15">
            <v>0.26419533849808846</v>
          </cell>
          <cell r="AD15">
            <v>0.26398227079847081</v>
          </cell>
          <cell r="AE15">
            <v>0.2637692030988531</v>
          </cell>
          <cell r="AF15">
            <v>0.26355613539923545</v>
          </cell>
          <cell r="AG15">
            <v>0.26334306769961774</v>
          </cell>
          <cell r="AH15">
            <v>0.26313000000000009</v>
          </cell>
        </row>
        <row r="16">
          <cell r="B16" t="str">
            <v>e-hydrogen (Alkaline) - Total emissions - WTT - Global - ton CH4/ton fuel</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row>
        <row r="17">
          <cell r="B17" t="str">
            <v>e-hydrogen (Alkaline) - Total emissions - WTT - Global - ton N2O/ton fuel</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row>
        <row r="18">
          <cell r="B18" t="str">
            <v/>
          </cell>
        </row>
        <row r="19">
          <cell r="B19" t="str">
            <v>e-hydrogen (Alkaline) - Process-related emissions - WTT - Global - ton CO2/ton fuel</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row>
        <row r="20">
          <cell r="B20" t="str">
            <v>e-hydrogen (Alkaline) - Process-related emissions - WTT - Global - ton CH4/ton fuel</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row>
        <row r="21">
          <cell r="B21" t="str">
            <v>e-hydrogen (Alkaline) - Process-related emissions - WTT - Global - ton N2O/ton fuel</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row>
        <row r="22">
          <cell r="B22" t="str">
            <v>e-hydrogen (Alkaline) - Process WTT emissions (carbon dioxide) - Global - ton CO2/ton fuel</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row>
        <row r="23">
          <cell r="B23" t="str">
            <v>e-hydrogen (Alkaline) - Process WTT emissions (methane) - Global - ton CH4/ton fuel</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row>
        <row r="24">
          <cell r="B24" t="str">
            <v>e-hydrogen (Alkaline) - Process WTT emissions (nitrous oxide) - Global - ton N2O/ton fuel</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row>
        <row r="25">
          <cell r="B25" t="str">
            <v/>
          </cell>
        </row>
        <row r="26">
          <cell r="B26" t="str">
            <v>e-hydrogen (Alkaline) - Energy-related emissions - WTT - Global - ton CO2/ton fuel</v>
          </cell>
          <cell r="G26">
            <v>0.2689348320400361</v>
          </cell>
          <cell r="H26">
            <v>0.26871741602001809</v>
          </cell>
          <cell r="I26">
            <v>0.26849999999999991</v>
          </cell>
          <cell r="J26">
            <v>0.26828346068604925</v>
          </cell>
          <cell r="K26">
            <v>0.26806692137209848</v>
          </cell>
          <cell r="L26">
            <v>0.26785038205814782</v>
          </cell>
          <cell r="M26">
            <v>0.2676338427441971</v>
          </cell>
          <cell r="N26">
            <v>0.26741730343024633</v>
          </cell>
          <cell r="O26">
            <v>0.26720163728714286</v>
          </cell>
          <cell r="P26">
            <v>0.26698597114403916</v>
          </cell>
          <cell r="Q26">
            <v>0.26677030500093551</v>
          </cell>
          <cell r="R26">
            <v>0.26655463885783193</v>
          </cell>
          <cell r="S26">
            <v>0.26633897271472823</v>
          </cell>
          <cell r="T26">
            <v>0.26612417622150669</v>
          </cell>
          <cell r="U26">
            <v>0.26590937972828521</v>
          </cell>
          <cell r="V26">
            <v>0.26569458323506367</v>
          </cell>
          <cell r="W26">
            <v>0.26547978674184214</v>
          </cell>
          <cell r="X26">
            <v>0.26526499024862044</v>
          </cell>
          <cell r="Y26">
            <v>0.26505105989851396</v>
          </cell>
          <cell r="Z26">
            <v>0.26483712954840755</v>
          </cell>
          <cell r="AA26">
            <v>0.26462319919830118</v>
          </cell>
          <cell r="AB26">
            <v>0.26440926884819471</v>
          </cell>
          <cell r="AC26">
            <v>0.26419533849808846</v>
          </cell>
          <cell r="AD26">
            <v>0.26398227079847081</v>
          </cell>
          <cell r="AE26">
            <v>0.2637692030988531</v>
          </cell>
          <cell r="AF26">
            <v>0.26355613539923545</v>
          </cell>
          <cell r="AG26">
            <v>0.26334306769961774</v>
          </cell>
          <cell r="AH26">
            <v>0.26313000000000009</v>
          </cell>
        </row>
        <row r="27">
          <cell r="B27" t="str">
            <v>e-hydrogen (Alkaline) - Energy-related emissions - WTT - Global - ton CH4/ton fuel</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row>
        <row r="28">
          <cell r="B28" t="str">
            <v>e-hydrogen (Alkaline) - Energy-related emissions - WTT - Global - ton N2O/ton fuel</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row>
        <row r="29">
          <cell r="B29" t="str">
            <v>Renewable electricity - Feedstock WTT emissions (carbon dioxide) - Global - ton CO2/MWh</v>
          </cell>
          <cell r="G29">
            <v>5.3699999999999998E-3</v>
          </cell>
          <cell r="H29">
            <v>5.3699999999999998E-3</v>
          </cell>
          <cell r="I29">
            <v>5.3699999999999998E-3</v>
          </cell>
          <cell r="J29">
            <v>5.3699999999999998E-3</v>
          </cell>
          <cell r="K29">
            <v>5.3699999999999998E-3</v>
          </cell>
          <cell r="L29">
            <v>5.3699999999999998E-3</v>
          </cell>
          <cell r="M29">
            <v>5.3699999999999998E-3</v>
          </cell>
          <cell r="N29">
            <v>5.3699999999999998E-3</v>
          </cell>
          <cell r="O29">
            <v>5.3699999999999998E-3</v>
          </cell>
          <cell r="P29">
            <v>5.3699999999999998E-3</v>
          </cell>
          <cell r="Q29">
            <v>5.3699999999999998E-3</v>
          </cell>
          <cell r="R29">
            <v>5.3699999999999998E-3</v>
          </cell>
          <cell r="S29">
            <v>5.3699999999999998E-3</v>
          </cell>
          <cell r="T29">
            <v>5.3699999999999998E-3</v>
          </cell>
          <cell r="U29">
            <v>5.3699999999999998E-3</v>
          </cell>
          <cell r="V29">
            <v>5.3699999999999998E-3</v>
          </cell>
          <cell r="W29">
            <v>5.3699999999999998E-3</v>
          </cell>
          <cell r="X29">
            <v>5.3699999999999998E-3</v>
          </cell>
          <cell r="Y29">
            <v>5.3699999999999998E-3</v>
          </cell>
          <cell r="Z29">
            <v>5.3699999999999998E-3</v>
          </cell>
          <cell r="AA29">
            <v>5.3699999999999998E-3</v>
          </cell>
          <cell r="AB29">
            <v>5.3699999999999998E-3</v>
          </cell>
          <cell r="AC29">
            <v>5.3699999999999998E-3</v>
          </cell>
          <cell r="AD29">
            <v>5.3699999999999998E-3</v>
          </cell>
          <cell r="AE29">
            <v>5.3699999999999998E-3</v>
          </cell>
          <cell r="AF29">
            <v>5.3699999999999998E-3</v>
          </cell>
          <cell r="AG29">
            <v>5.3699999999999998E-3</v>
          </cell>
          <cell r="AH29">
            <v>5.3699999999999998E-3</v>
          </cell>
        </row>
        <row r="30">
          <cell r="B30" t="str">
            <v>Renewable electricity - Feedstock WTT emissions (methane) - Global - ton CH4/MWh</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row>
        <row r="31">
          <cell r="B31" t="str">
            <v>Renewable electricity - Feedstock WTT emissions (nitrous oxide) - Global - ton N2O/MWh</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row>
        <row r="32">
          <cell r="B32" t="str">
            <v>e-hydrogen (Alkaline) - Energy demand - Electrolysis - Global - MWh/ton fuel</v>
          </cell>
          <cell r="G32">
            <v>50.080974309131491</v>
          </cell>
          <cell r="H32">
            <v>50.040487154565753</v>
          </cell>
          <cell r="I32">
            <v>49.999999999999986</v>
          </cell>
          <cell r="J32">
            <v>49.959676105409542</v>
          </cell>
          <cell r="K32">
            <v>49.919352210819085</v>
          </cell>
          <cell r="L32">
            <v>49.879028316228641</v>
          </cell>
          <cell r="M32">
            <v>49.838704421638198</v>
          </cell>
          <cell r="N32">
            <v>49.79838052704774</v>
          </cell>
          <cell r="O32">
            <v>49.758219234104814</v>
          </cell>
          <cell r="P32">
            <v>49.71805794116186</v>
          </cell>
          <cell r="Q32">
            <v>49.677896648218905</v>
          </cell>
          <cell r="R32">
            <v>49.637735355275964</v>
          </cell>
          <cell r="S32">
            <v>49.59757406233301</v>
          </cell>
          <cell r="T32">
            <v>49.557574715364382</v>
          </cell>
          <cell r="U32">
            <v>49.517575368395754</v>
          </cell>
          <cell r="V32">
            <v>49.477576021427126</v>
          </cell>
          <cell r="W32">
            <v>49.437576674458498</v>
          </cell>
          <cell r="X32">
            <v>49.397577327489842</v>
          </cell>
          <cell r="Y32">
            <v>49.357739273466294</v>
          </cell>
          <cell r="Z32">
            <v>49.317901219442746</v>
          </cell>
          <cell r="AA32">
            <v>49.278063165419212</v>
          </cell>
          <cell r="AB32">
            <v>49.238225111395664</v>
          </cell>
          <cell r="AC32">
            <v>49.198387057372159</v>
          </cell>
          <cell r="AD32">
            <v>49.15870964589773</v>
          </cell>
          <cell r="AE32">
            <v>49.119032234423301</v>
          </cell>
          <cell r="AF32">
            <v>49.079354822948872</v>
          </cell>
          <cell r="AG32">
            <v>49.039677411474443</v>
          </cell>
          <cell r="AH32">
            <v>49.000000000000014</v>
          </cell>
        </row>
        <row r="33">
          <cell r="B33" t="str">
            <v/>
          </cell>
        </row>
        <row r="34">
          <cell r="B34" t="str">
            <v>e-hydrogen (Alkaline) - Feedstock-related emissions - WTT - Global - ton CO2/ton fuel</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row>
        <row r="35">
          <cell r="B35" t="str">
            <v>e-hydrogen (Alkaline) - Feedstock-related emissions - WTT - Global - ton CH4/ton fuel</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row>
        <row r="36">
          <cell r="B36" t="str">
            <v>e-hydrogen (Alkaline) - Feedstock-related emissions - WTT - Global - ton N2O/ton fuel</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row>
        <row r="37">
          <cell r="B37" t="str">
            <v>Demineralized water - Feedstock WTT emissions (carbon dioxide) - Global - ton CO2/ton feedstock</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row>
        <row r="38">
          <cell r="B38" t="str">
            <v>Demineralized water - Feedstock WTT emissions (methane) - Global - ton CH4/ton feedstock</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row>
        <row r="39">
          <cell r="B39" t="str">
            <v>Demineralized water - Feedstock WTT emissions (nitrous oxide) - Global - ton N2O/ton feedstock</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row>
        <row r="40">
          <cell r="B40" t="str">
            <v>e-hydrogen - Conversion H2O -&gt; H2 - Global - ton H2O/ton H2</v>
          </cell>
          <cell r="G40">
            <v>9</v>
          </cell>
          <cell r="H40">
            <v>9</v>
          </cell>
          <cell r="I40">
            <v>9</v>
          </cell>
          <cell r="J40">
            <v>9</v>
          </cell>
          <cell r="K40">
            <v>9</v>
          </cell>
          <cell r="L40">
            <v>9</v>
          </cell>
          <cell r="M40">
            <v>9</v>
          </cell>
          <cell r="N40">
            <v>9</v>
          </cell>
          <cell r="O40">
            <v>9</v>
          </cell>
          <cell r="P40">
            <v>9</v>
          </cell>
          <cell r="Q40">
            <v>9</v>
          </cell>
          <cell r="R40">
            <v>9</v>
          </cell>
          <cell r="S40">
            <v>9</v>
          </cell>
          <cell r="T40">
            <v>9</v>
          </cell>
          <cell r="U40">
            <v>9</v>
          </cell>
          <cell r="V40">
            <v>9</v>
          </cell>
          <cell r="W40">
            <v>9</v>
          </cell>
          <cell r="X40">
            <v>9</v>
          </cell>
          <cell r="Y40">
            <v>9</v>
          </cell>
          <cell r="Z40">
            <v>9</v>
          </cell>
          <cell r="AA40">
            <v>9</v>
          </cell>
          <cell r="AB40">
            <v>9</v>
          </cell>
          <cell r="AC40">
            <v>9</v>
          </cell>
          <cell r="AD40">
            <v>9</v>
          </cell>
          <cell r="AE40">
            <v>9</v>
          </cell>
          <cell r="AF40">
            <v>9</v>
          </cell>
          <cell r="AG40">
            <v>9</v>
          </cell>
          <cell r="AH40">
            <v>9</v>
          </cell>
        </row>
        <row r="41">
          <cell r="B41" t="str">
            <v/>
          </cell>
        </row>
        <row r="42">
          <cell r="B42" t="str">
            <v>e-hydrogen (PEM) - Item - Region - Unit</v>
          </cell>
          <cell r="G42">
            <v>2023</v>
          </cell>
          <cell r="H42">
            <v>2024</v>
          </cell>
          <cell r="I42">
            <v>2025</v>
          </cell>
          <cell r="J42">
            <v>2026</v>
          </cell>
          <cell r="K42">
            <v>2027</v>
          </cell>
          <cell r="L42">
            <v>2028</v>
          </cell>
          <cell r="M42">
            <v>2029</v>
          </cell>
          <cell r="N42">
            <v>2030</v>
          </cell>
          <cell r="O42">
            <v>2031</v>
          </cell>
          <cell r="P42">
            <v>2032</v>
          </cell>
          <cell r="Q42">
            <v>2033</v>
          </cell>
          <cell r="R42">
            <v>2034</v>
          </cell>
          <cell r="S42">
            <v>2035</v>
          </cell>
          <cell r="T42">
            <v>2036</v>
          </cell>
          <cell r="U42">
            <v>2037</v>
          </cell>
          <cell r="V42">
            <v>2038</v>
          </cell>
          <cell r="W42">
            <v>2039</v>
          </cell>
          <cell r="X42">
            <v>2040</v>
          </cell>
          <cell r="Y42">
            <v>2041</v>
          </cell>
          <cell r="Z42">
            <v>2042</v>
          </cell>
          <cell r="AA42">
            <v>2043</v>
          </cell>
          <cell r="AB42">
            <v>2044</v>
          </cell>
          <cell r="AC42">
            <v>2045</v>
          </cell>
          <cell r="AD42">
            <v>2046</v>
          </cell>
          <cell r="AE42">
            <v>2047</v>
          </cell>
          <cell r="AF42">
            <v>2048</v>
          </cell>
          <cell r="AG42">
            <v>2049</v>
          </cell>
          <cell r="AH42">
            <v>2050</v>
          </cell>
        </row>
        <row r="43">
          <cell r="B43" t="str">
            <v/>
          </cell>
        </row>
        <row r="44">
          <cell r="B44" t="str">
            <v>e-hydrogen (PEM) - Total emissions - WTT - GWP100 - Global - ton CO2eq/ton fuel</v>
          </cell>
          <cell r="G44">
            <v>0.34306975106041321</v>
          </cell>
          <cell r="H44">
            <v>0.34068987553020658</v>
          </cell>
          <cell r="I44">
            <v>0.33831000000000061</v>
          </cell>
          <cell r="J44">
            <v>0.33601098763195769</v>
          </cell>
          <cell r="K44">
            <v>0.33371197526391472</v>
          </cell>
          <cell r="L44">
            <v>0.33141296289587241</v>
          </cell>
          <cell r="M44">
            <v>0.3291139505278301</v>
          </cell>
          <cell r="N44">
            <v>0.32681493815978718</v>
          </cell>
          <cell r="O44">
            <v>0.32459404139383091</v>
          </cell>
          <cell r="P44">
            <v>0.32237314462787525</v>
          </cell>
          <cell r="Q44">
            <v>0.32015224786191959</v>
          </cell>
          <cell r="R44">
            <v>0.31793135109596393</v>
          </cell>
          <cell r="S44">
            <v>0.31571045433000949</v>
          </cell>
          <cell r="T44">
            <v>0.31356501896237288</v>
          </cell>
          <cell r="U44">
            <v>0.31141958359473632</v>
          </cell>
          <cell r="V44">
            <v>0.30927414822710037</v>
          </cell>
          <cell r="W44">
            <v>0.30712871285946375</v>
          </cell>
          <cell r="X44">
            <v>0.3049832774918278</v>
          </cell>
          <cell r="Y44">
            <v>0.30291073950300124</v>
          </cell>
          <cell r="Z44">
            <v>0.30083820151417467</v>
          </cell>
          <cell r="AA44">
            <v>0.29876566352534811</v>
          </cell>
          <cell r="AB44">
            <v>0.29669312553652155</v>
          </cell>
          <cell r="AC44">
            <v>0.29462058754769499</v>
          </cell>
          <cell r="AD44">
            <v>0.2926184700381555</v>
          </cell>
          <cell r="AE44">
            <v>0.29061635252861662</v>
          </cell>
          <cell r="AF44">
            <v>0.28861423501907774</v>
          </cell>
          <cell r="AG44">
            <v>0.28661211750953886</v>
          </cell>
          <cell r="AH44">
            <v>0.28460999999999997</v>
          </cell>
        </row>
        <row r="45">
          <cell r="B45" t="str">
            <v>e-hydrogen (PEM) - Total emissions - WTT - GWP20 - Global - ton CO2eq/ton fuel</v>
          </cell>
          <cell r="G45">
            <v>0.34306975106041321</v>
          </cell>
          <cell r="H45">
            <v>0.34068987553020658</v>
          </cell>
          <cell r="I45">
            <v>0.33831000000000061</v>
          </cell>
          <cell r="J45">
            <v>0.33601098763195769</v>
          </cell>
          <cell r="K45">
            <v>0.33371197526391472</v>
          </cell>
          <cell r="L45">
            <v>0.33141296289587241</v>
          </cell>
          <cell r="M45">
            <v>0.3291139505278301</v>
          </cell>
          <cell r="N45">
            <v>0.32681493815978718</v>
          </cell>
          <cell r="O45">
            <v>0.32459404139383091</v>
          </cell>
          <cell r="P45">
            <v>0.32237314462787525</v>
          </cell>
          <cell r="Q45">
            <v>0.32015224786191959</v>
          </cell>
          <cell r="R45">
            <v>0.31793135109596393</v>
          </cell>
          <cell r="S45">
            <v>0.31571045433000949</v>
          </cell>
          <cell r="T45">
            <v>0.31356501896237288</v>
          </cell>
          <cell r="U45">
            <v>0.31141958359473632</v>
          </cell>
          <cell r="V45">
            <v>0.30927414822710037</v>
          </cell>
          <cell r="W45">
            <v>0.30712871285946375</v>
          </cell>
          <cell r="X45">
            <v>0.3049832774918278</v>
          </cell>
          <cell r="Y45">
            <v>0.30291073950300124</v>
          </cell>
          <cell r="Z45">
            <v>0.30083820151417467</v>
          </cell>
          <cell r="AA45">
            <v>0.29876566352534811</v>
          </cell>
          <cell r="AB45">
            <v>0.29669312553652155</v>
          </cell>
          <cell r="AC45">
            <v>0.29462058754769499</v>
          </cell>
          <cell r="AD45">
            <v>0.2926184700381555</v>
          </cell>
          <cell r="AE45">
            <v>0.29061635252861662</v>
          </cell>
          <cell r="AF45">
            <v>0.28861423501907774</v>
          </cell>
          <cell r="AG45">
            <v>0.28661211750953886</v>
          </cell>
          <cell r="AH45">
            <v>0.28460999999999997</v>
          </cell>
        </row>
        <row r="46">
          <cell r="B46" t="str">
            <v>General - Methane - GWP100 - Global - ton CO2eq/ton fuel</v>
          </cell>
          <cell r="G46">
            <v>29</v>
          </cell>
          <cell r="H46">
            <v>29</v>
          </cell>
          <cell r="I46">
            <v>29</v>
          </cell>
          <cell r="J46">
            <v>29</v>
          </cell>
          <cell r="K46">
            <v>29</v>
          </cell>
          <cell r="L46">
            <v>29</v>
          </cell>
          <cell r="M46">
            <v>29</v>
          </cell>
          <cell r="N46">
            <v>29</v>
          </cell>
          <cell r="O46">
            <v>29</v>
          </cell>
          <cell r="P46">
            <v>29</v>
          </cell>
          <cell r="Q46">
            <v>29</v>
          </cell>
          <cell r="R46">
            <v>29</v>
          </cell>
          <cell r="S46">
            <v>29</v>
          </cell>
          <cell r="T46">
            <v>29</v>
          </cell>
          <cell r="U46">
            <v>29</v>
          </cell>
          <cell r="V46">
            <v>29</v>
          </cell>
          <cell r="W46">
            <v>29</v>
          </cell>
          <cell r="X46">
            <v>29</v>
          </cell>
          <cell r="Y46">
            <v>29</v>
          </cell>
          <cell r="Z46">
            <v>29</v>
          </cell>
          <cell r="AA46">
            <v>29</v>
          </cell>
          <cell r="AB46">
            <v>29</v>
          </cell>
          <cell r="AC46">
            <v>29</v>
          </cell>
          <cell r="AD46">
            <v>29</v>
          </cell>
          <cell r="AE46">
            <v>29</v>
          </cell>
          <cell r="AF46">
            <v>29</v>
          </cell>
          <cell r="AG46">
            <v>29</v>
          </cell>
          <cell r="AH46">
            <v>29</v>
          </cell>
        </row>
        <row r="47">
          <cell r="B47" t="str">
            <v>General - Methane - GWP20 - Global - ton CO2eq/ton fuel</v>
          </cell>
          <cell r="G47">
            <v>85</v>
          </cell>
          <cell r="H47">
            <v>85</v>
          </cell>
          <cell r="I47">
            <v>85</v>
          </cell>
          <cell r="J47">
            <v>85</v>
          </cell>
          <cell r="K47">
            <v>85</v>
          </cell>
          <cell r="L47">
            <v>85</v>
          </cell>
          <cell r="M47">
            <v>85</v>
          </cell>
          <cell r="N47">
            <v>85</v>
          </cell>
          <cell r="O47">
            <v>85</v>
          </cell>
          <cell r="P47">
            <v>85</v>
          </cell>
          <cell r="Q47">
            <v>85</v>
          </cell>
          <cell r="R47">
            <v>85</v>
          </cell>
          <cell r="S47">
            <v>85</v>
          </cell>
          <cell r="T47">
            <v>85</v>
          </cell>
          <cell r="U47">
            <v>85</v>
          </cell>
          <cell r="V47">
            <v>85</v>
          </cell>
          <cell r="W47">
            <v>85</v>
          </cell>
          <cell r="X47">
            <v>85</v>
          </cell>
          <cell r="Y47">
            <v>85</v>
          </cell>
          <cell r="Z47">
            <v>85</v>
          </cell>
          <cell r="AA47">
            <v>85</v>
          </cell>
          <cell r="AB47">
            <v>85</v>
          </cell>
          <cell r="AC47">
            <v>85</v>
          </cell>
          <cell r="AD47">
            <v>85</v>
          </cell>
          <cell r="AE47">
            <v>85</v>
          </cell>
          <cell r="AF47">
            <v>85</v>
          </cell>
          <cell r="AG47">
            <v>85</v>
          </cell>
          <cell r="AH47">
            <v>85</v>
          </cell>
        </row>
        <row r="48">
          <cell r="B48" t="str">
            <v>General - Nitrous oxide - GWP100 - Global - ton CO2eq/ton fuel</v>
          </cell>
          <cell r="G48">
            <v>266</v>
          </cell>
          <cell r="H48">
            <v>266</v>
          </cell>
          <cell r="I48">
            <v>266</v>
          </cell>
          <cell r="J48">
            <v>266</v>
          </cell>
          <cell r="K48">
            <v>266</v>
          </cell>
          <cell r="L48">
            <v>266</v>
          </cell>
          <cell r="M48">
            <v>266</v>
          </cell>
          <cell r="N48">
            <v>266</v>
          </cell>
          <cell r="O48">
            <v>266</v>
          </cell>
          <cell r="P48">
            <v>266</v>
          </cell>
          <cell r="Q48">
            <v>266</v>
          </cell>
          <cell r="R48">
            <v>266</v>
          </cell>
          <cell r="S48">
            <v>266</v>
          </cell>
          <cell r="T48">
            <v>266</v>
          </cell>
          <cell r="U48">
            <v>266</v>
          </cell>
          <cell r="V48">
            <v>266</v>
          </cell>
          <cell r="W48">
            <v>266</v>
          </cell>
          <cell r="X48">
            <v>266</v>
          </cell>
          <cell r="Y48">
            <v>266</v>
          </cell>
          <cell r="Z48">
            <v>266</v>
          </cell>
          <cell r="AA48">
            <v>266</v>
          </cell>
          <cell r="AB48">
            <v>266</v>
          </cell>
          <cell r="AC48">
            <v>266</v>
          </cell>
          <cell r="AD48">
            <v>266</v>
          </cell>
          <cell r="AE48">
            <v>266</v>
          </cell>
          <cell r="AF48">
            <v>266</v>
          </cell>
          <cell r="AG48">
            <v>266</v>
          </cell>
          <cell r="AH48">
            <v>266</v>
          </cell>
        </row>
        <row r="49">
          <cell r="B49" t="str">
            <v>General - Nitrous oxide - GWP20 - Global - ton CO2eq/ton fuel</v>
          </cell>
          <cell r="G49">
            <v>251</v>
          </cell>
          <cell r="H49">
            <v>251</v>
          </cell>
          <cell r="I49">
            <v>251</v>
          </cell>
          <cell r="J49">
            <v>251</v>
          </cell>
          <cell r="K49">
            <v>251</v>
          </cell>
          <cell r="L49">
            <v>251</v>
          </cell>
          <cell r="M49">
            <v>251</v>
          </cell>
          <cell r="N49">
            <v>251</v>
          </cell>
          <cell r="O49">
            <v>251</v>
          </cell>
          <cell r="P49">
            <v>251</v>
          </cell>
          <cell r="Q49">
            <v>251</v>
          </cell>
          <cell r="R49">
            <v>251</v>
          </cell>
          <cell r="S49">
            <v>251</v>
          </cell>
          <cell r="T49">
            <v>251</v>
          </cell>
          <cell r="U49">
            <v>251</v>
          </cell>
          <cell r="V49">
            <v>251</v>
          </cell>
          <cell r="W49">
            <v>251</v>
          </cell>
          <cell r="X49">
            <v>251</v>
          </cell>
          <cell r="Y49">
            <v>251</v>
          </cell>
          <cell r="Z49">
            <v>251</v>
          </cell>
          <cell r="AA49">
            <v>251</v>
          </cell>
          <cell r="AB49">
            <v>251</v>
          </cell>
          <cell r="AC49">
            <v>251</v>
          </cell>
          <cell r="AD49">
            <v>251</v>
          </cell>
          <cell r="AE49">
            <v>251</v>
          </cell>
          <cell r="AF49">
            <v>251</v>
          </cell>
          <cell r="AG49">
            <v>251</v>
          </cell>
          <cell r="AH49">
            <v>251</v>
          </cell>
        </row>
        <row r="50">
          <cell r="B50" t="str">
            <v/>
          </cell>
        </row>
        <row r="51">
          <cell r="B51" t="str">
            <v>e-hydrogen (PEM) - Total emissions - WTT - Global - ton CO2eq/ton fuel</v>
          </cell>
          <cell r="G51">
            <v>0.34306975106041321</v>
          </cell>
          <cell r="H51">
            <v>0.34068987553020658</v>
          </cell>
          <cell r="I51">
            <v>0.33831000000000061</v>
          </cell>
          <cell r="J51">
            <v>0.33601098763195769</v>
          </cell>
          <cell r="K51">
            <v>0.33371197526391472</v>
          </cell>
          <cell r="L51">
            <v>0.33141296289587241</v>
          </cell>
          <cell r="M51">
            <v>0.3291139505278301</v>
          </cell>
          <cell r="N51">
            <v>0.32681493815978718</v>
          </cell>
          <cell r="O51">
            <v>0.32459404139383091</v>
          </cell>
          <cell r="P51">
            <v>0.32237314462787525</v>
          </cell>
          <cell r="Q51">
            <v>0.32015224786191959</v>
          </cell>
          <cell r="R51">
            <v>0.31793135109596393</v>
          </cell>
          <cell r="S51">
            <v>0.31571045433000949</v>
          </cell>
          <cell r="T51">
            <v>0.31356501896237288</v>
          </cell>
          <cell r="U51">
            <v>0.31141958359473632</v>
          </cell>
          <cell r="V51">
            <v>0.30927414822710037</v>
          </cell>
          <cell r="W51">
            <v>0.30712871285946375</v>
          </cell>
          <cell r="X51">
            <v>0.3049832774918278</v>
          </cell>
          <cell r="Y51">
            <v>0.30291073950300124</v>
          </cell>
          <cell r="Z51">
            <v>0.30083820151417467</v>
          </cell>
          <cell r="AA51">
            <v>0.29876566352534811</v>
          </cell>
          <cell r="AB51">
            <v>0.29669312553652155</v>
          </cell>
          <cell r="AC51">
            <v>0.29462058754769499</v>
          </cell>
          <cell r="AD51">
            <v>0.2926184700381555</v>
          </cell>
          <cell r="AE51">
            <v>0.29061635252861662</v>
          </cell>
          <cell r="AF51">
            <v>0.28861423501907774</v>
          </cell>
          <cell r="AG51">
            <v>0.28661211750953886</v>
          </cell>
          <cell r="AH51">
            <v>0.28460999999999997</v>
          </cell>
        </row>
        <row r="52">
          <cell r="B52" t="str">
            <v>e-hydrogen (PEM) - Total emissions - WTT - Global - ton CO2eq/ton fuel</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3">
          <cell r="B53" t="str">
            <v>e-hydrogen (PEM) - Total emissions - WTT - Global - ton CO2eq/ton fuel</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B54" t="str">
            <v/>
          </cell>
        </row>
        <row r="55">
          <cell r="B55" t="str">
            <v>e-hydrogen (PEM) - Process-related emissions - WTT - Global - ton CO2/ton fuel</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row>
        <row r="56">
          <cell r="B56" t="str">
            <v>e-hydrogen (PEM) - Process-related emissions - WTT - Global - ton CH4/ton fuel</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row>
        <row r="57">
          <cell r="B57" t="str">
            <v>e-hydrogen (PEM) - Process-related emissions - WTT - Global - ton N2O/ton fuel</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row>
        <row r="58">
          <cell r="B58" t="str">
            <v>e-hydrogen (PEM) - Process WTT emissions (carbon dioxide) - Global - ton CO2/ton fuel</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row>
        <row r="59">
          <cell r="B59" t="str">
            <v>e-hydrogen (PEM) - Process WTT emissions (methane) - Global - ton CH4/ton fuel</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0">
          <cell r="B60" t="str">
            <v>e-hydrogen (PEM) - Process WTT emissions (nitrous oxide) - Global - ton N2O/ton fuel</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row>
        <row r="61">
          <cell r="B61" t="str">
            <v/>
          </cell>
        </row>
        <row r="62">
          <cell r="B62" t="str">
            <v>e-hydrogen (PEM) - Energy-related emissions - WTT - Global - ton CO2/ton fuel</v>
          </cell>
          <cell r="G62">
            <v>0.34306975106041321</v>
          </cell>
          <cell r="H62">
            <v>0.34068987553020658</v>
          </cell>
          <cell r="I62">
            <v>0.33831000000000061</v>
          </cell>
          <cell r="J62">
            <v>0.33601098763195769</v>
          </cell>
          <cell r="K62">
            <v>0.33371197526391472</v>
          </cell>
          <cell r="L62">
            <v>0.33141296289587241</v>
          </cell>
          <cell r="M62">
            <v>0.3291139505278301</v>
          </cell>
          <cell r="N62">
            <v>0.32681493815978718</v>
          </cell>
          <cell r="O62">
            <v>0.32459404139383091</v>
          </cell>
          <cell r="P62">
            <v>0.32237314462787525</v>
          </cell>
          <cell r="Q62">
            <v>0.32015224786191959</v>
          </cell>
          <cell r="R62">
            <v>0.31793135109596393</v>
          </cell>
          <cell r="S62">
            <v>0.31571045433000949</v>
          </cell>
          <cell r="T62">
            <v>0.31356501896237288</v>
          </cell>
          <cell r="U62">
            <v>0.31141958359473632</v>
          </cell>
          <cell r="V62">
            <v>0.30927414822710037</v>
          </cell>
          <cell r="W62">
            <v>0.30712871285946375</v>
          </cell>
          <cell r="X62">
            <v>0.3049832774918278</v>
          </cell>
          <cell r="Y62">
            <v>0.30291073950300124</v>
          </cell>
          <cell r="Z62">
            <v>0.30083820151417467</v>
          </cell>
          <cell r="AA62">
            <v>0.29876566352534811</v>
          </cell>
          <cell r="AB62">
            <v>0.29669312553652155</v>
          </cell>
          <cell r="AC62">
            <v>0.29462058754769499</v>
          </cell>
          <cell r="AD62">
            <v>0.2926184700381555</v>
          </cell>
          <cell r="AE62">
            <v>0.29061635252861662</v>
          </cell>
          <cell r="AF62">
            <v>0.28861423501907774</v>
          </cell>
          <cell r="AG62">
            <v>0.28661211750953886</v>
          </cell>
          <cell r="AH62">
            <v>0.28460999999999997</v>
          </cell>
        </row>
        <row r="63">
          <cell r="B63" t="str">
            <v>e-hydrogen (PEM) - Energy-related emissions - WTT - Global - ton CH4/ton fuel</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row>
        <row r="64">
          <cell r="B64" t="str">
            <v>e-hydrogen (PEM) - Energy-related emissions - WTT - Global - ton N2O/ton fuel</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row>
        <row r="65">
          <cell r="B65" t="str">
            <v>Renewable electricity - Feedstock WTT emissions (carbon dioxide) - Global - ton CO2/MWh</v>
          </cell>
          <cell r="G65">
            <v>5.3699999999999998E-3</v>
          </cell>
          <cell r="H65">
            <v>5.3699999999999998E-3</v>
          </cell>
          <cell r="I65">
            <v>5.3699999999999998E-3</v>
          </cell>
          <cell r="J65">
            <v>5.3699999999999998E-3</v>
          </cell>
          <cell r="K65">
            <v>5.3699999999999998E-3</v>
          </cell>
          <cell r="L65">
            <v>5.3699999999999998E-3</v>
          </cell>
          <cell r="M65">
            <v>5.3699999999999998E-3</v>
          </cell>
          <cell r="N65">
            <v>5.3699999999999998E-3</v>
          </cell>
          <cell r="O65">
            <v>5.3699999999999998E-3</v>
          </cell>
          <cell r="P65">
            <v>5.3699999999999998E-3</v>
          </cell>
          <cell r="Q65">
            <v>5.3699999999999998E-3</v>
          </cell>
          <cell r="R65">
            <v>5.3699999999999998E-3</v>
          </cell>
          <cell r="S65">
            <v>5.3699999999999998E-3</v>
          </cell>
          <cell r="T65">
            <v>5.3699999999999998E-3</v>
          </cell>
          <cell r="U65">
            <v>5.3699999999999998E-3</v>
          </cell>
          <cell r="V65">
            <v>5.3699999999999998E-3</v>
          </cell>
          <cell r="W65">
            <v>5.3699999999999998E-3</v>
          </cell>
          <cell r="X65">
            <v>5.3699999999999998E-3</v>
          </cell>
          <cell r="Y65">
            <v>5.3699999999999998E-3</v>
          </cell>
          <cell r="Z65">
            <v>5.3699999999999998E-3</v>
          </cell>
          <cell r="AA65">
            <v>5.3699999999999998E-3</v>
          </cell>
          <cell r="AB65">
            <v>5.3699999999999998E-3</v>
          </cell>
          <cell r="AC65">
            <v>5.3699999999999998E-3</v>
          </cell>
          <cell r="AD65">
            <v>5.3699999999999998E-3</v>
          </cell>
          <cell r="AE65">
            <v>5.3699999999999998E-3</v>
          </cell>
          <cell r="AF65">
            <v>5.3699999999999998E-3</v>
          </cell>
          <cell r="AG65">
            <v>5.3699999999999998E-3</v>
          </cell>
          <cell r="AH65">
            <v>5.3699999999999998E-3</v>
          </cell>
        </row>
        <row r="66">
          <cell r="B66" t="str">
            <v>Renewable electricity - Feedstock WTT emissions (methane) - Global - ton CH4/MWh</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row>
        <row r="67">
          <cell r="B67" t="str">
            <v>Renewable electricity - Feedstock WTT emissions (nitrous oxide) - Global - ton N2O/MWh</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68">
          <cell r="B68" t="str">
            <v>e-hydrogen (PEM) - Energy demand - Electrolysis - Global - MWh/ton fuel</v>
          </cell>
          <cell r="G68">
            <v>63.88635960156671</v>
          </cell>
          <cell r="H68">
            <v>63.443179800783355</v>
          </cell>
          <cell r="I68">
            <v>63.000000000000114</v>
          </cell>
          <cell r="J68">
            <v>62.571878516193237</v>
          </cell>
          <cell r="K68">
            <v>62.143757032386361</v>
          </cell>
          <cell r="L68">
            <v>61.715635548579598</v>
          </cell>
          <cell r="M68">
            <v>61.287514064772836</v>
          </cell>
          <cell r="N68">
            <v>60.859392580965959</v>
          </cell>
          <cell r="O68">
            <v>60.445817764214326</v>
          </cell>
          <cell r="P68">
            <v>60.032242947462805</v>
          </cell>
          <cell r="Q68">
            <v>59.618668130711285</v>
          </cell>
          <cell r="R68">
            <v>59.205093313959765</v>
          </cell>
          <cell r="S68">
            <v>58.791518497208472</v>
          </cell>
          <cell r="T68">
            <v>58.391996082378569</v>
          </cell>
          <cell r="U68">
            <v>57.992473667548666</v>
          </cell>
          <cell r="V68">
            <v>57.592951252718876</v>
          </cell>
          <cell r="W68">
            <v>57.193428837888973</v>
          </cell>
          <cell r="X68">
            <v>56.793906423059184</v>
          </cell>
          <cell r="Y68">
            <v>56.407958939106379</v>
          </cell>
          <cell r="Z68">
            <v>56.022011455153574</v>
          </cell>
          <cell r="AA68">
            <v>55.63606397120077</v>
          </cell>
          <cell r="AB68">
            <v>55.250116487247965</v>
          </cell>
          <cell r="AC68">
            <v>54.86416900329516</v>
          </cell>
          <cell r="AD68">
            <v>54.491335202636037</v>
          </cell>
          <cell r="AE68">
            <v>54.118501401977028</v>
          </cell>
          <cell r="AF68">
            <v>53.745667601318019</v>
          </cell>
          <cell r="AG68">
            <v>53.372833800659009</v>
          </cell>
          <cell r="AH68">
            <v>53</v>
          </cell>
        </row>
        <row r="69">
          <cell r="B69" t="str">
            <v/>
          </cell>
        </row>
        <row r="70">
          <cell r="B70" t="str">
            <v>e-hydrogen (PEM) - Feedstock-related emissions - WTT - Global - ton CO2/ton fuel</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1">
          <cell r="B71" t="str">
            <v>e-hydrogen (PEM) - Feedstock-related emissions - WTT - Global - ton CH4/ton fuel</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row>
        <row r="72">
          <cell r="B72" t="str">
            <v>e-hydrogen (PEM) - Feedstock-related emissions - WTT - Global - ton N2O/ton fuel</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3">
          <cell r="B73" t="str">
            <v>Demineralized water - Feedstock WTT emissions (carbon dioxide) - Global - ton CO2/ton feedstock</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row>
        <row r="74">
          <cell r="B74" t="str">
            <v>Demineralized water - Feedstock WTT emissions (methane) - Global - ton CH4/ton feedstock</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5">
          <cell r="B75" t="str">
            <v>Demineralized water - Feedstock WTT emissions (nitrous oxide) - Global - ton N2O/ton feedstock</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row>
        <row r="76">
          <cell r="B76" t="str">
            <v>e-hydrogen - Conversion H2O -&gt; H2 - Global - ton H2O/ton H2</v>
          </cell>
          <cell r="G76">
            <v>9</v>
          </cell>
          <cell r="H76">
            <v>9</v>
          </cell>
          <cell r="I76">
            <v>9</v>
          </cell>
          <cell r="J76">
            <v>9</v>
          </cell>
          <cell r="K76">
            <v>9</v>
          </cell>
          <cell r="L76">
            <v>9</v>
          </cell>
          <cell r="M76">
            <v>9</v>
          </cell>
          <cell r="N76">
            <v>9</v>
          </cell>
          <cell r="O76">
            <v>9</v>
          </cell>
          <cell r="P76">
            <v>9</v>
          </cell>
          <cell r="Q76">
            <v>9</v>
          </cell>
          <cell r="R76">
            <v>9</v>
          </cell>
          <cell r="S76">
            <v>9</v>
          </cell>
          <cell r="T76">
            <v>9</v>
          </cell>
          <cell r="U76">
            <v>9</v>
          </cell>
          <cell r="V76">
            <v>9</v>
          </cell>
          <cell r="W76">
            <v>9</v>
          </cell>
          <cell r="X76">
            <v>9</v>
          </cell>
          <cell r="Y76">
            <v>9</v>
          </cell>
          <cell r="Z76">
            <v>9</v>
          </cell>
          <cell r="AA76">
            <v>9</v>
          </cell>
          <cell r="AB76">
            <v>9</v>
          </cell>
          <cell r="AC76">
            <v>9</v>
          </cell>
          <cell r="AD76">
            <v>9</v>
          </cell>
          <cell r="AE76">
            <v>9</v>
          </cell>
          <cell r="AF76">
            <v>9</v>
          </cell>
          <cell r="AG76">
            <v>9</v>
          </cell>
          <cell r="AH76">
            <v>9</v>
          </cell>
        </row>
        <row r="77">
          <cell r="B77" t="str">
            <v/>
          </cell>
        </row>
        <row r="78">
          <cell r="B78" t="str">
            <v>e-hydrogen (Solid oxide) - Item - Region - Unit</v>
          </cell>
          <cell r="G78">
            <v>2023</v>
          </cell>
          <cell r="H78">
            <v>2024</v>
          </cell>
          <cell r="I78">
            <v>2025</v>
          </cell>
          <cell r="J78">
            <v>2026</v>
          </cell>
          <cell r="K78">
            <v>2027</v>
          </cell>
          <cell r="L78">
            <v>2028</v>
          </cell>
          <cell r="M78">
            <v>2029</v>
          </cell>
          <cell r="N78">
            <v>2030</v>
          </cell>
          <cell r="O78">
            <v>2031</v>
          </cell>
          <cell r="P78">
            <v>2032</v>
          </cell>
          <cell r="Q78">
            <v>2033</v>
          </cell>
          <cell r="R78">
            <v>2034</v>
          </cell>
          <cell r="S78">
            <v>2035</v>
          </cell>
          <cell r="T78">
            <v>2036</v>
          </cell>
          <cell r="U78">
            <v>2037</v>
          </cell>
          <cell r="V78">
            <v>2038</v>
          </cell>
          <cell r="W78">
            <v>2039</v>
          </cell>
          <cell r="X78">
            <v>2040</v>
          </cell>
          <cell r="Y78">
            <v>2041</v>
          </cell>
          <cell r="Z78">
            <v>2042</v>
          </cell>
          <cell r="AA78">
            <v>2043</v>
          </cell>
          <cell r="AB78">
            <v>2044</v>
          </cell>
          <cell r="AC78">
            <v>2045</v>
          </cell>
          <cell r="AD78">
            <v>2046</v>
          </cell>
          <cell r="AE78">
            <v>2047</v>
          </cell>
          <cell r="AF78">
            <v>2048</v>
          </cell>
          <cell r="AG78">
            <v>2049</v>
          </cell>
          <cell r="AH78">
            <v>2050</v>
          </cell>
        </row>
        <row r="79">
          <cell r="B79" t="str">
            <v/>
          </cell>
        </row>
        <row r="80">
          <cell r="B80" t="str">
            <v>e-hydrogen (Solid oxide) - Total emissions - WTT - GWP100 - Global - ton CO2eq/ton fuel</v>
          </cell>
          <cell r="G80">
            <v>0.2380988717669604</v>
          </cell>
          <cell r="H80">
            <v>0.23718943588348004</v>
          </cell>
          <cell r="I80">
            <v>0.23627999999999999</v>
          </cell>
          <cell r="J80">
            <v>0.2353877356340402</v>
          </cell>
          <cell r="K80">
            <v>0.23449547126808071</v>
          </cell>
          <cell r="L80">
            <v>0.23360320690212091</v>
          </cell>
          <cell r="M80">
            <v>0.23271094253616112</v>
          </cell>
          <cell r="N80">
            <v>0.23181867817020163</v>
          </cell>
          <cell r="O80">
            <v>0.2309432610976811</v>
          </cell>
          <cell r="P80">
            <v>0.23006784402516053</v>
          </cell>
          <cell r="Q80">
            <v>0.22919242695264028</v>
          </cell>
          <cell r="R80">
            <v>0.22831700988011974</v>
          </cell>
          <cell r="S80">
            <v>0.22744159280759918</v>
          </cell>
          <cell r="T80">
            <v>0.22658270492627497</v>
          </cell>
          <cell r="U80">
            <v>0.22572381704495045</v>
          </cell>
          <cell r="V80">
            <v>0.22486492916362624</v>
          </cell>
          <cell r="W80">
            <v>0.22400604128230173</v>
          </cell>
          <cell r="X80">
            <v>0.22314715340097721</v>
          </cell>
          <cell r="Y80">
            <v>0.22230448261485494</v>
          </cell>
          <cell r="Z80">
            <v>0.2214618118287324</v>
          </cell>
          <cell r="AA80">
            <v>0.22061914104260982</v>
          </cell>
          <cell r="AB80">
            <v>0.21977647025648728</v>
          </cell>
          <cell r="AC80">
            <v>0.2189337994703647</v>
          </cell>
          <cell r="AD80">
            <v>0.21810703957629177</v>
          </cell>
          <cell r="AE80">
            <v>0.21728027968221883</v>
          </cell>
          <cell r="AF80">
            <v>0.21645351978814589</v>
          </cell>
          <cell r="AG80">
            <v>0.21562675989407293</v>
          </cell>
          <cell r="AH80">
            <v>0.21479999999999999</v>
          </cell>
        </row>
        <row r="81">
          <cell r="B81" t="str">
            <v>e-hydrogen (Solid oxide) - Total emissions - WTT - GWP20 - Global - ton CO2eq/ton fuel</v>
          </cell>
          <cell r="G81">
            <v>0.2380988717669604</v>
          </cell>
          <cell r="H81">
            <v>0.23718943588348004</v>
          </cell>
          <cell r="I81">
            <v>0.23627999999999999</v>
          </cell>
          <cell r="J81">
            <v>0.2353877356340402</v>
          </cell>
          <cell r="K81">
            <v>0.23449547126808071</v>
          </cell>
          <cell r="L81">
            <v>0.23360320690212091</v>
          </cell>
          <cell r="M81">
            <v>0.23271094253616112</v>
          </cell>
          <cell r="N81">
            <v>0.23181867817020163</v>
          </cell>
          <cell r="O81">
            <v>0.2309432610976811</v>
          </cell>
          <cell r="P81">
            <v>0.23006784402516053</v>
          </cell>
          <cell r="Q81">
            <v>0.22919242695264028</v>
          </cell>
          <cell r="R81">
            <v>0.22831700988011974</v>
          </cell>
          <cell r="S81">
            <v>0.22744159280759918</v>
          </cell>
          <cell r="T81">
            <v>0.22658270492627497</v>
          </cell>
          <cell r="U81">
            <v>0.22572381704495045</v>
          </cell>
          <cell r="V81">
            <v>0.22486492916362624</v>
          </cell>
          <cell r="W81">
            <v>0.22400604128230173</v>
          </cell>
          <cell r="X81">
            <v>0.22314715340097721</v>
          </cell>
          <cell r="Y81">
            <v>0.22230448261485494</v>
          </cell>
          <cell r="Z81">
            <v>0.2214618118287324</v>
          </cell>
          <cell r="AA81">
            <v>0.22061914104260982</v>
          </cell>
          <cell r="AB81">
            <v>0.21977647025648728</v>
          </cell>
          <cell r="AC81">
            <v>0.2189337994703647</v>
          </cell>
          <cell r="AD81">
            <v>0.21810703957629177</v>
          </cell>
          <cell r="AE81">
            <v>0.21728027968221883</v>
          </cell>
          <cell r="AF81">
            <v>0.21645351978814589</v>
          </cell>
          <cell r="AG81">
            <v>0.21562675989407293</v>
          </cell>
          <cell r="AH81">
            <v>0.21479999999999999</v>
          </cell>
        </row>
        <row r="82">
          <cell r="B82" t="str">
            <v>General - Methane - GWP100 - Global - ton CO2eq/ton fuel</v>
          </cell>
          <cell r="G82">
            <v>29</v>
          </cell>
          <cell r="H82">
            <v>29</v>
          </cell>
          <cell r="I82">
            <v>29</v>
          </cell>
          <cell r="J82">
            <v>29</v>
          </cell>
          <cell r="K82">
            <v>29</v>
          </cell>
          <cell r="L82">
            <v>29</v>
          </cell>
          <cell r="M82">
            <v>29</v>
          </cell>
          <cell r="N82">
            <v>29</v>
          </cell>
          <cell r="O82">
            <v>29</v>
          </cell>
          <cell r="P82">
            <v>29</v>
          </cell>
          <cell r="Q82">
            <v>29</v>
          </cell>
          <cell r="R82">
            <v>29</v>
          </cell>
          <cell r="S82">
            <v>29</v>
          </cell>
          <cell r="T82">
            <v>29</v>
          </cell>
          <cell r="U82">
            <v>29</v>
          </cell>
          <cell r="V82">
            <v>29</v>
          </cell>
          <cell r="W82">
            <v>29</v>
          </cell>
          <cell r="X82">
            <v>29</v>
          </cell>
          <cell r="Y82">
            <v>29</v>
          </cell>
          <cell r="Z82">
            <v>29</v>
          </cell>
          <cell r="AA82">
            <v>29</v>
          </cell>
          <cell r="AB82">
            <v>29</v>
          </cell>
          <cell r="AC82">
            <v>29</v>
          </cell>
          <cell r="AD82">
            <v>29</v>
          </cell>
          <cell r="AE82">
            <v>29</v>
          </cell>
          <cell r="AF82">
            <v>29</v>
          </cell>
          <cell r="AG82">
            <v>29</v>
          </cell>
          <cell r="AH82">
            <v>29</v>
          </cell>
        </row>
        <row r="83">
          <cell r="B83" t="str">
            <v>General - Methane - GWP20 - Global - ton CO2eq/ton fuel</v>
          </cell>
          <cell r="G83">
            <v>85</v>
          </cell>
          <cell r="H83">
            <v>85</v>
          </cell>
          <cell r="I83">
            <v>85</v>
          </cell>
          <cell r="J83">
            <v>85</v>
          </cell>
          <cell r="K83">
            <v>85</v>
          </cell>
          <cell r="L83">
            <v>85</v>
          </cell>
          <cell r="M83">
            <v>85</v>
          </cell>
          <cell r="N83">
            <v>85</v>
          </cell>
          <cell r="O83">
            <v>85</v>
          </cell>
          <cell r="P83">
            <v>85</v>
          </cell>
          <cell r="Q83">
            <v>85</v>
          </cell>
          <cell r="R83">
            <v>85</v>
          </cell>
          <cell r="S83">
            <v>85</v>
          </cell>
          <cell r="T83">
            <v>85</v>
          </cell>
          <cell r="U83">
            <v>85</v>
          </cell>
          <cell r="V83">
            <v>85</v>
          </cell>
          <cell r="W83">
            <v>85</v>
          </cell>
          <cell r="X83">
            <v>85</v>
          </cell>
          <cell r="Y83">
            <v>85</v>
          </cell>
          <cell r="Z83">
            <v>85</v>
          </cell>
          <cell r="AA83">
            <v>85</v>
          </cell>
          <cell r="AB83">
            <v>85</v>
          </cell>
          <cell r="AC83">
            <v>85</v>
          </cell>
          <cell r="AD83">
            <v>85</v>
          </cell>
          <cell r="AE83">
            <v>85</v>
          </cell>
          <cell r="AF83">
            <v>85</v>
          </cell>
          <cell r="AG83">
            <v>85</v>
          </cell>
          <cell r="AH83">
            <v>85</v>
          </cell>
        </row>
        <row r="84">
          <cell r="B84" t="str">
            <v>General - Nitrous oxide - GWP100 - Global - ton CO2eq/ton fuel</v>
          </cell>
          <cell r="G84">
            <v>266</v>
          </cell>
          <cell r="H84">
            <v>266</v>
          </cell>
          <cell r="I84">
            <v>266</v>
          </cell>
          <cell r="J84">
            <v>266</v>
          </cell>
          <cell r="K84">
            <v>266</v>
          </cell>
          <cell r="L84">
            <v>266</v>
          </cell>
          <cell r="M84">
            <v>266</v>
          </cell>
          <cell r="N84">
            <v>266</v>
          </cell>
          <cell r="O84">
            <v>266</v>
          </cell>
          <cell r="P84">
            <v>266</v>
          </cell>
          <cell r="Q84">
            <v>266</v>
          </cell>
          <cell r="R84">
            <v>266</v>
          </cell>
          <cell r="S84">
            <v>266</v>
          </cell>
          <cell r="T84">
            <v>266</v>
          </cell>
          <cell r="U84">
            <v>266</v>
          </cell>
          <cell r="V84">
            <v>266</v>
          </cell>
          <cell r="W84">
            <v>266</v>
          </cell>
          <cell r="X84">
            <v>266</v>
          </cell>
          <cell r="Y84">
            <v>266</v>
          </cell>
          <cell r="Z84">
            <v>266</v>
          </cell>
          <cell r="AA84">
            <v>266</v>
          </cell>
          <cell r="AB84">
            <v>266</v>
          </cell>
          <cell r="AC84">
            <v>266</v>
          </cell>
          <cell r="AD84">
            <v>266</v>
          </cell>
          <cell r="AE84">
            <v>266</v>
          </cell>
          <cell r="AF84">
            <v>266</v>
          </cell>
          <cell r="AG84">
            <v>266</v>
          </cell>
          <cell r="AH84">
            <v>266</v>
          </cell>
        </row>
        <row r="85">
          <cell r="B85" t="str">
            <v>General - Nitrous oxide - GWP20 - Global - ton CO2eq/ton fuel</v>
          </cell>
          <cell r="G85">
            <v>251</v>
          </cell>
          <cell r="H85">
            <v>251</v>
          </cell>
          <cell r="I85">
            <v>251</v>
          </cell>
          <cell r="J85">
            <v>251</v>
          </cell>
          <cell r="K85">
            <v>251</v>
          </cell>
          <cell r="L85">
            <v>251</v>
          </cell>
          <cell r="M85">
            <v>251</v>
          </cell>
          <cell r="N85">
            <v>251</v>
          </cell>
          <cell r="O85">
            <v>251</v>
          </cell>
          <cell r="P85">
            <v>251</v>
          </cell>
          <cell r="Q85">
            <v>251</v>
          </cell>
          <cell r="R85">
            <v>251</v>
          </cell>
          <cell r="S85">
            <v>251</v>
          </cell>
          <cell r="T85">
            <v>251</v>
          </cell>
          <cell r="U85">
            <v>251</v>
          </cell>
          <cell r="V85">
            <v>251</v>
          </cell>
          <cell r="W85">
            <v>251</v>
          </cell>
          <cell r="X85">
            <v>251</v>
          </cell>
          <cell r="Y85">
            <v>251</v>
          </cell>
          <cell r="Z85">
            <v>251</v>
          </cell>
          <cell r="AA85">
            <v>251</v>
          </cell>
          <cell r="AB85">
            <v>251</v>
          </cell>
          <cell r="AC85">
            <v>251</v>
          </cell>
          <cell r="AD85">
            <v>251</v>
          </cell>
          <cell r="AE85">
            <v>251</v>
          </cell>
          <cell r="AF85">
            <v>251</v>
          </cell>
          <cell r="AG85">
            <v>251</v>
          </cell>
          <cell r="AH85">
            <v>251</v>
          </cell>
        </row>
        <row r="86">
          <cell r="B86" t="str">
            <v/>
          </cell>
        </row>
        <row r="87">
          <cell r="B87" t="str">
            <v>e-hydrogen (Solid oxide) - Total emissions - WTT - Global - ton CO2eq/ton fuel</v>
          </cell>
          <cell r="G87">
            <v>0.2380988717669604</v>
          </cell>
          <cell r="H87">
            <v>0.23718943588348004</v>
          </cell>
          <cell r="I87">
            <v>0.23627999999999999</v>
          </cell>
          <cell r="J87">
            <v>0.2353877356340402</v>
          </cell>
          <cell r="K87">
            <v>0.23449547126808071</v>
          </cell>
          <cell r="L87">
            <v>0.23360320690212091</v>
          </cell>
          <cell r="M87">
            <v>0.23271094253616112</v>
          </cell>
          <cell r="N87">
            <v>0.23181867817020163</v>
          </cell>
          <cell r="O87">
            <v>0.2309432610976811</v>
          </cell>
          <cell r="P87">
            <v>0.23006784402516053</v>
          </cell>
          <cell r="Q87">
            <v>0.22919242695264028</v>
          </cell>
          <cell r="R87">
            <v>0.22831700988011974</v>
          </cell>
          <cell r="S87">
            <v>0.22744159280759918</v>
          </cell>
          <cell r="T87">
            <v>0.22658270492627497</v>
          </cell>
          <cell r="U87">
            <v>0.22572381704495045</v>
          </cell>
          <cell r="V87">
            <v>0.22486492916362624</v>
          </cell>
          <cell r="W87">
            <v>0.22400604128230173</v>
          </cell>
          <cell r="X87">
            <v>0.22314715340097721</v>
          </cell>
          <cell r="Y87">
            <v>0.22230448261485494</v>
          </cell>
          <cell r="Z87">
            <v>0.2214618118287324</v>
          </cell>
          <cell r="AA87">
            <v>0.22061914104260982</v>
          </cell>
          <cell r="AB87">
            <v>0.21977647025648728</v>
          </cell>
          <cell r="AC87">
            <v>0.2189337994703647</v>
          </cell>
          <cell r="AD87">
            <v>0.21810703957629177</v>
          </cell>
          <cell r="AE87">
            <v>0.21728027968221883</v>
          </cell>
          <cell r="AF87">
            <v>0.21645351978814589</v>
          </cell>
          <cell r="AG87">
            <v>0.21562675989407293</v>
          </cell>
          <cell r="AH87">
            <v>0.21479999999999999</v>
          </cell>
        </row>
        <row r="88">
          <cell r="B88" t="str">
            <v>e-hydrogen (Solid oxide) - Total emissions - WTT - Global - ton CO2eq/ton fuel</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row>
        <row r="89">
          <cell r="B89" t="str">
            <v>e-hydrogen (Solid oxide) - Total emissions - WTT - Global - ton CO2eq/ton fuel</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0">
          <cell r="B90" t="str">
            <v/>
          </cell>
        </row>
        <row r="91">
          <cell r="B91" t="str">
            <v>e-hydrogen (Solid oxide) - Process-related emissions - WTT - Global - ton CO2/ton fuel</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2">
          <cell r="B92" t="str">
            <v>e-hydrogen (Solid oxide) - Process-related emissions - WTT - Global - ton CH4/ton fuel</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row>
        <row r="93">
          <cell r="B93" t="str">
            <v>e-hydrogen (Solid oxide) - Process-related emissions - WTT - Global - ton N2O/ton fuel</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row>
        <row r="94">
          <cell r="B94" t="str">
            <v>e-hydrogen (Solid oxide) - Process WTT emissions (carbon dioxide) - Global - ton CO2/ton fuel</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row>
        <row r="95">
          <cell r="B95" t="str">
            <v>e-hydrogen (Solid oxide) - Process WTT emissions (methane) - Global - ton CH4/ton fuel</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row>
        <row r="96">
          <cell r="B96" t="str">
            <v>e-hydrogen (Solid oxide) - Process WTT emissions (nitrous oxide) - Global - ton N2O/ton fuel</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row>
        <row r="97">
          <cell r="B97" t="str">
            <v/>
          </cell>
        </row>
        <row r="98">
          <cell r="B98" t="str">
            <v>e-hydrogen (Solid oxide) - Energy-related emissions - WTT - Global - ton CO2/ton fuel</v>
          </cell>
          <cell r="G98">
            <v>0.2380988717669604</v>
          </cell>
          <cell r="H98">
            <v>0.23718943588348004</v>
          </cell>
          <cell r="I98">
            <v>0.23627999999999999</v>
          </cell>
          <cell r="J98">
            <v>0.2353877356340402</v>
          </cell>
          <cell r="K98">
            <v>0.23449547126808071</v>
          </cell>
          <cell r="L98">
            <v>0.23360320690212091</v>
          </cell>
          <cell r="M98">
            <v>0.23271094253616112</v>
          </cell>
          <cell r="N98">
            <v>0.23181867817020163</v>
          </cell>
          <cell r="O98">
            <v>0.2309432610976811</v>
          </cell>
          <cell r="P98">
            <v>0.23006784402516053</v>
          </cell>
          <cell r="Q98">
            <v>0.22919242695264028</v>
          </cell>
          <cell r="R98">
            <v>0.22831700988011974</v>
          </cell>
          <cell r="S98">
            <v>0.22744159280759918</v>
          </cell>
          <cell r="T98">
            <v>0.22658270492627497</v>
          </cell>
          <cell r="U98">
            <v>0.22572381704495045</v>
          </cell>
          <cell r="V98">
            <v>0.22486492916362624</v>
          </cell>
          <cell r="W98">
            <v>0.22400604128230173</v>
          </cell>
          <cell r="X98">
            <v>0.22314715340097721</v>
          </cell>
          <cell r="Y98">
            <v>0.22230448261485494</v>
          </cell>
          <cell r="Z98">
            <v>0.2214618118287324</v>
          </cell>
          <cell r="AA98">
            <v>0.22061914104260982</v>
          </cell>
          <cell r="AB98">
            <v>0.21977647025648728</v>
          </cell>
          <cell r="AC98">
            <v>0.2189337994703647</v>
          </cell>
          <cell r="AD98">
            <v>0.21810703957629177</v>
          </cell>
          <cell r="AE98">
            <v>0.21728027968221883</v>
          </cell>
          <cell r="AF98">
            <v>0.21645351978814589</v>
          </cell>
          <cell r="AG98">
            <v>0.21562675989407293</v>
          </cell>
          <cell r="AH98">
            <v>0.21479999999999999</v>
          </cell>
        </row>
        <row r="99">
          <cell r="B99" t="str">
            <v>e-hydrogen (Solid oxide) - Energy-related emissions - WTT - Global - ton CH4/ton fuel</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0">
          <cell r="B100" t="str">
            <v>e-hydrogen (Solid oxide) - Energy-related emissions - WTT - Global - ton N2O/ton fuel</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row>
        <row r="101">
          <cell r="B101" t="str">
            <v>Renewable electricity - Feedstock WTT emissions (carbon dioxide) - Global - ton CO2/MWh</v>
          </cell>
          <cell r="G101">
            <v>5.3699999999999998E-3</v>
          </cell>
          <cell r="H101">
            <v>5.3699999999999998E-3</v>
          </cell>
          <cell r="I101">
            <v>5.3699999999999998E-3</v>
          </cell>
          <cell r="J101">
            <v>5.3699999999999998E-3</v>
          </cell>
          <cell r="K101">
            <v>5.3699999999999998E-3</v>
          </cell>
          <cell r="L101">
            <v>5.3699999999999998E-3</v>
          </cell>
          <cell r="M101">
            <v>5.3699999999999998E-3</v>
          </cell>
          <cell r="N101">
            <v>5.3699999999999998E-3</v>
          </cell>
          <cell r="O101">
            <v>5.3699999999999998E-3</v>
          </cell>
          <cell r="P101">
            <v>5.3699999999999998E-3</v>
          </cell>
          <cell r="Q101">
            <v>5.3699999999999998E-3</v>
          </cell>
          <cell r="R101">
            <v>5.3699999999999998E-3</v>
          </cell>
          <cell r="S101">
            <v>5.3699999999999998E-3</v>
          </cell>
          <cell r="T101">
            <v>5.3699999999999998E-3</v>
          </cell>
          <cell r="U101">
            <v>5.3699999999999998E-3</v>
          </cell>
          <cell r="V101">
            <v>5.3699999999999998E-3</v>
          </cell>
          <cell r="W101">
            <v>5.3699999999999998E-3</v>
          </cell>
          <cell r="X101">
            <v>5.3699999999999998E-3</v>
          </cell>
          <cell r="Y101">
            <v>5.3699999999999998E-3</v>
          </cell>
          <cell r="Z101">
            <v>5.3699999999999998E-3</v>
          </cell>
          <cell r="AA101">
            <v>5.3699999999999998E-3</v>
          </cell>
          <cell r="AB101">
            <v>5.3699999999999998E-3</v>
          </cell>
          <cell r="AC101">
            <v>5.3699999999999998E-3</v>
          </cell>
          <cell r="AD101">
            <v>5.3699999999999998E-3</v>
          </cell>
          <cell r="AE101">
            <v>5.3699999999999998E-3</v>
          </cell>
          <cell r="AF101">
            <v>5.3699999999999998E-3</v>
          </cell>
          <cell r="AG101">
            <v>5.3699999999999998E-3</v>
          </cell>
          <cell r="AH101">
            <v>5.3699999999999998E-3</v>
          </cell>
        </row>
        <row r="102">
          <cell r="B102" t="str">
            <v>Renewable electricity - Feedstock WTT emissions (methane) - Global - ton CH4/MWh</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row>
        <row r="103">
          <cell r="B103" t="str">
            <v>Renewable electricity - Feedstock WTT emissions (nitrous oxide) - Global - ton N2O/MWh</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row>
        <row r="104">
          <cell r="B104" t="str">
            <v>e-hydrogen (Solid oxide) - Energy demand - Electrolysis - Global - MWh/ton fuel</v>
          </cell>
          <cell r="G104">
            <v>44.338709826249612</v>
          </cell>
          <cell r="H104">
            <v>44.169354913124778</v>
          </cell>
          <cell r="I104">
            <v>44</v>
          </cell>
          <cell r="J104">
            <v>43.8338427623911</v>
          </cell>
          <cell r="K104">
            <v>43.667685524782257</v>
          </cell>
          <cell r="L104">
            <v>43.501528287173358</v>
          </cell>
          <cell r="M104">
            <v>43.335371049564458</v>
          </cell>
          <cell r="N104">
            <v>43.169213811955615</v>
          </cell>
          <cell r="O104">
            <v>43.006193872938752</v>
          </cell>
          <cell r="P104">
            <v>42.843173933921889</v>
          </cell>
          <cell r="Q104">
            <v>42.680153994905083</v>
          </cell>
          <cell r="R104">
            <v>42.517134055888221</v>
          </cell>
          <cell r="S104">
            <v>42.354114116871358</v>
          </cell>
          <cell r="T104">
            <v>42.194172239529792</v>
          </cell>
          <cell r="U104">
            <v>42.034230362188168</v>
          </cell>
          <cell r="V104">
            <v>41.874288484846602</v>
          </cell>
          <cell r="W104">
            <v>41.714346607504979</v>
          </cell>
          <cell r="X104">
            <v>41.554404730163355</v>
          </cell>
          <cell r="Y104">
            <v>41.397482796062377</v>
          </cell>
          <cell r="Z104">
            <v>41.240560861961342</v>
          </cell>
          <cell r="AA104">
            <v>41.083638927860306</v>
          </cell>
          <cell r="AB104">
            <v>40.926716993759271</v>
          </cell>
          <cell r="AC104">
            <v>40.769795059658236</v>
          </cell>
          <cell r="AD104">
            <v>40.615836047726589</v>
          </cell>
          <cell r="AE104">
            <v>40.461877035794942</v>
          </cell>
          <cell r="AF104">
            <v>40.307918023863294</v>
          </cell>
          <cell r="AG104">
            <v>40.153959011931647</v>
          </cell>
          <cell r="AH104">
            <v>40</v>
          </cell>
        </row>
        <row r="105">
          <cell r="B105" t="str">
            <v/>
          </cell>
        </row>
        <row r="106">
          <cell r="B106" t="str">
            <v>e-hydrogen (Solid oxide) - Feedstock-related emissions - WTT - Global - ton CO2/ton fuel</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row>
        <row r="107">
          <cell r="B107" t="str">
            <v>e-hydrogen (Solid oxide) - Feedstock-related emissions - WTT - Global - ton CH4/ton fuel</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row r="108">
          <cell r="B108" t="str">
            <v>e-hydrogen (Solid oxide) - Feedstock-related emissions - WTT - Global - ton N2O/ton fuel</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row>
        <row r="109">
          <cell r="B109" t="str">
            <v>Demineralized water - Feedstock WTT emissions (carbon dioxide) - Global - ton CO2/ton feedstock</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row>
        <row r="110">
          <cell r="B110" t="str">
            <v>Demineralized water - Feedstock WTT emissions (methane) - Global - ton CH4/ton feedstock</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row>
        <row r="111">
          <cell r="B111" t="str">
            <v>Demineralized water - Feedstock WTT emissions (nitrous oxide) - Global - ton N2O/ton feedstock</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row>
        <row r="112">
          <cell r="B112" t="str">
            <v>e-hydrogen - Conversion H2O -&gt; H2 - Global - ton H2O/ton H2</v>
          </cell>
          <cell r="G112">
            <v>9</v>
          </cell>
          <cell r="H112">
            <v>9</v>
          </cell>
          <cell r="I112">
            <v>9</v>
          </cell>
          <cell r="J112">
            <v>9</v>
          </cell>
          <cell r="K112">
            <v>9</v>
          </cell>
          <cell r="L112">
            <v>9</v>
          </cell>
          <cell r="M112">
            <v>9</v>
          </cell>
          <cell r="N112">
            <v>9</v>
          </cell>
          <cell r="O112">
            <v>9</v>
          </cell>
          <cell r="P112">
            <v>9</v>
          </cell>
          <cell r="Q112">
            <v>9</v>
          </cell>
          <cell r="R112">
            <v>9</v>
          </cell>
          <cell r="S112">
            <v>9</v>
          </cell>
          <cell r="T112">
            <v>9</v>
          </cell>
          <cell r="U112">
            <v>9</v>
          </cell>
          <cell r="V112">
            <v>9</v>
          </cell>
          <cell r="W112">
            <v>9</v>
          </cell>
          <cell r="X112">
            <v>9</v>
          </cell>
          <cell r="Y112">
            <v>9</v>
          </cell>
          <cell r="Z112">
            <v>9</v>
          </cell>
          <cell r="AA112">
            <v>9</v>
          </cell>
          <cell r="AB112">
            <v>9</v>
          </cell>
          <cell r="AC112">
            <v>9</v>
          </cell>
          <cell r="AD112">
            <v>9</v>
          </cell>
          <cell r="AE112">
            <v>9</v>
          </cell>
          <cell r="AF112">
            <v>9</v>
          </cell>
          <cell r="AG112">
            <v>9</v>
          </cell>
          <cell r="AH112">
            <v>9</v>
          </cell>
        </row>
        <row r="113">
          <cell r="B113" t="str">
            <v/>
          </cell>
        </row>
        <row r="114">
          <cell r="B114" t="str">
            <v>e-hydrogen - Item - Region - Unit</v>
          </cell>
          <cell r="G114">
            <v>2023</v>
          </cell>
          <cell r="H114">
            <v>2024</v>
          </cell>
          <cell r="I114">
            <v>2025</v>
          </cell>
          <cell r="J114">
            <v>2026</v>
          </cell>
          <cell r="K114">
            <v>2027</v>
          </cell>
          <cell r="L114">
            <v>2028</v>
          </cell>
          <cell r="M114">
            <v>2029</v>
          </cell>
          <cell r="N114">
            <v>2030</v>
          </cell>
          <cell r="O114">
            <v>2031</v>
          </cell>
          <cell r="P114">
            <v>2032</v>
          </cell>
          <cell r="Q114">
            <v>2033</v>
          </cell>
          <cell r="R114">
            <v>2034</v>
          </cell>
          <cell r="S114">
            <v>2035</v>
          </cell>
          <cell r="T114">
            <v>2036</v>
          </cell>
          <cell r="U114">
            <v>2037</v>
          </cell>
          <cell r="V114">
            <v>2038</v>
          </cell>
          <cell r="W114">
            <v>2039</v>
          </cell>
          <cell r="X114">
            <v>2040</v>
          </cell>
          <cell r="Y114">
            <v>2041</v>
          </cell>
          <cell r="Z114">
            <v>2042</v>
          </cell>
          <cell r="AA114">
            <v>2043</v>
          </cell>
          <cell r="AB114">
            <v>2044</v>
          </cell>
          <cell r="AC114">
            <v>2045</v>
          </cell>
          <cell r="AD114">
            <v>2046</v>
          </cell>
          <cell r="AE114">
            <v>2047</v>
          </cell>
          <cell r="AF114">
            <v>2048</v>
          </cell>
          <cell r="AG114">
            <v>2049</v>
          </cell>
          <cell r="AH114">
            <v>2050</v>
          </cell>
        </row>
        <row r="115">
          <cell r="B115" t="str">
            <v/>
          </cell>
        </row>
        <row r="116">
          <cell r="B116" t="str">
            <v>e-hydrogen - Total emissions - WTT - GWP100 - Global - ton CO2eq/ton fuel</v>
          </cell>
          <cell r="G116">
            <v>0.28506078460653067</v>
          </cell>
          <cell r="H116">
            <v>0.28472968709700269</v>
          </cell>
          <cell r="I116">
            <v>0.28434150000000136</v>
          </cell>
          <cell r="J116">
            <v>0.28376407594781539</v>
          </cell>
          <cell r="K116">
            <v>0.28309039145140719</v>
          </cell>
          <cell r="L116">
            <v>0.28232044651077332</v>
          </cell>
          <cell r="M116">
            <v>0.28145424112591999</v>
          </cell>
          <cell r="N116">
            <v>0.28049177529683955</v>
          </cell>
          <cell r="O116">
            <v>0.27863254178214714</v>
          </cell>
          <cell r="P116">
            <v>0.27668042358064926</v>
          </cell>
          <cell r="Q116">
            <v>0.2746354206923412</v>
          </cell>
          <cell r="R116">
            <v>0.27249753311721825</v>
          </cell>
          <cell r="S116">
            <v>0.27026676085528856</v>
          </cell>
          <cell r="T116">
            <v>0.26793969323199507</v>
          </cell>
          <cell r="U116">
            <v>0.265548232822787</v>
          </cell>
          <cell r="V116">
            <v>0.26309237962767429</v>
          </cell>
          <cell r="W116">
            <v>0.26057213364664344</v>
          </cell>
          <cell r="X116">
            <v>0.2579874948796978</v>
          </cell>
          <cell r="Y116">
            <v>0.25464472332369703</v>
          </cell>
          <cell r="Z116">
            <v>0.25133857164708095</v>
          </cell>
          <cell r="AA116">
            <v>0.2480690398498557</v>
          </cell>
          <cell r="AB116">
            <v>0.24483612793201526</v>
          </cell>
          <cell r="AC116">
            <v>0.24163983589356411</v>
          </cell>
          <cell r="AD116">
            <v>0.23897024010561368</v>
          </cell>
          <cell r="AE116">
            <v>0.23634765862228263</v>
          </cell>
          <cell r="AF116">
            <v>0.23377209144356967</v>
          </cell>
          <cell r="AG116">
            <v>0.23124353856947533</v>
          </cell>
          <cell r="AH116">
            <v>0.22876200000000019</v>
          </cell>
        </row>
        <row r="117">
          <cell r="B117" t="str">
            <v>e-hydrogen - Total emissions - WTT - GWP20 - Global - ton CO2eq/ton fuel</v>
          </cell>
          <cell r="G117">
            <v>0.28506078460653067</v>
          </cell>
          <cell r="H117">
            <v>0.28472968709700269</v>
          </cell>
          <cell r="I117">
            <v>0.28434150000000136</v>
          </cell>
          <cell r="J117">
            <v>0.28376407594781539</v>
          </cell>
          <cell r="K117">
            <v>0.28309039145140719</v>
          </cell>
          <cell r="L117">
            <v>0.28232044651077332</v>
          </cell>
          <cell r="M117">
            <v>0.28145424112591999</v>
          </cell>
          <cell r="N117">
            <v>0.28049177529683955</v>
          </cell>
          <cell r="O117">
            <v>0.27863254178214714</v>
          </cell>
          <cell r="P117">
            <v>0.27668042358064926</v>
          </cell>
          <cell r="Q117">
            <v>0.2746354206923412</v>
          </cell>
          <cell r="R117">
            <v>0.27249753311721825</v>
          </cell>
          <cell r="S117">
            <v>0.27026676085528856</v>
          </cell>
          <cell r="T117">
            <v>0.26793969323199507</v>
          </cell>
          <cell r="U117">
            <v>0.265548232822787</v>
          </cell>
          <cell r="V117">
            <v>0.26309237962767429</v>
          </cell>
          <cell r="W117">
            <v>0.26057213364664344</v>
          </cell>
          <cell r="X117">
            <v>0.2579874948796978</v>
          </cell>
          <cell r="Y117">
            <v>0.25464472332369703</v>
          </cell>
          <cell r="Z117">
            <v>0.25133857164708095</v>
          </cell>
          <cell r="AA117">
            <v>0.2480690398498557</v>
          </cell>
          <cell r="AB117">
            <v>0.24483612793201526</v>
          </cell>
          <cell r="AC117">
            <v>0.24163983589356411</v>
          </cell>
          <cell r="AD117">
            <v>0.23897024010561368</v>
          </cell>
          <cell r="AE117">
            <v>0.23634765862228263</v>
          </cell>
          <cell r="AF117">
            <v>0.23377209144356967</v>
          </cell>
          <cell r="AG117">
            <v>0.23124353856947533</v>
          </cell>
          <cell r="AH117">
            <v>0.22876200000000019</v>
          </cell>
        </row>
        <row r="118">
          <cell r="B118" t="str">
            <v>General - Methane - GWP100 - Global - ton CO2eq/ton fuel</v>
          </cell>
          <cell r="G118">
            <v>29</v>
          </cell>
          <cell r="H118">
            <v>29</v>
          </cell>
          <cell r="I118">
            <v>29</v>
          </cell>
          <cell r="J118">
            <v>29</v>
          </cell>
          <cell r="K118">
            <v>29</v>
          </cell>
          <cell r="L118">
            <v>29</v>
          </cell>
          <cell r="M118">
            <v>29</v>
          </cell>
          <cell r="N118">
            <v>29</v>
          </cell>
          <cell r="O118">
            <v>29</v>
          </cell>
          <cell r="P118">
            <v>29</v>
          </cell>
          <cell r="Q118">
            <v>29</v>
          </cell>
          <cell r="R118">
            <v>29</v>
          </cell>
          <cell r="S118">
            <v>29</v>
          </cell>
          <cell r="T118">
            <v>29</v>
          </cell>
          <cell r="U118">
            <v>29</v>
          </cell>
          <cell r="V118">
            <v>29</v>
          </cell>
          <cell r="W118">
            <v>29</v>
          </cell>
          <cell r="X118">
            <v>29</v>
          </cell>
          <cell r="Y118">
            <v>29</v>
          </cell>
          <cell r="Z118">
            <v>29</v>
          </cell>
          <cell r="AA118">
            <v>29</v>
          </cell>
          <cell r="AB118">
            <v>29</v>
          </cell>
          <cell r="AC118">
            <v>29</v>
          </cell>
          <cell r="AD118">
            <v>29</v>
          </cell>
          <cell r="AE118">
            <v>29</v>
          </cell>
          <cell r="AF118">
            <v>29</v>
          </cell>
          <cell r="AG118">
            <v>29</v>
          </cell>
          <cell r="AH118">
            <v>29</v>
          </cell>
        </row>
        <row r="119">
          <cell r="B119" t="str">
            <v>General - Methane - GWP20 - Global - ton CO2eq/ton fuel</v>
          </cell>
          <cell r="G119">
            <v>85</v>
          </cell>
          <cell r="H119">
            <v>85</v>
          </cell>
          <cell r="I119">
            <v>85</v>
          </cell>
          <cell r="J119">
            <v>85</v>
          </cell>
          <cell r="K119">
            <v>85</v>
          </cell>
          <cell r="L119">
            <v>85</v>
          </cell>
          <cell r="M119">
            <v>85</v>
          </cell>
          <cell r="N119">
            <v>85</v>
          </cell>
          <cell r="O119">
            <v>85</v>
          </cell>
          <cell r="P119">
            <v>85</v>
          </cell>
          <cell r="Q119">
            <v>85</v>
          </cell>
          <cell r="R119">
            <v>85</v>
          </cell>
          <cell r="S119">
            <v>85</v>
          </cell>
          <cell r="T119">
            <v>85</v>
          </cell>
          <cell r="U119">
            <v>85</v>
          </cell>
          <cell r="V119">
            <v>85</v>
          </cell>
          <cell r="W119">
            <v>85</v>
          </cell>
          <cell r="X119">
            <v>85</v>
          </cell>
          <cell r="Y119">
            <v>85</v>
          </cell>
          <cell r="Z119">
            <v>85</v>
          </cell>
          <cell r="AA119">
            <v>85</v>
          </cell>
          <cell r="AB119">
            <v>85</v>
          </cell>
          <cell r="AC119">
            <v>85</v>
          </cell>
          <cell r="AD119">
            <v>85</v>
          </cell>
          <cell r="AE119">
            <v>85</v>
          </cell>
          <cell r="AF119">
            <v>85</v>
          </cell>
          <cell r="AG119">
            <v>85</v>
          </cell>
          <cell r="AH119">
            <v>85</v>
          </cell>
        </row>
        <row r="120">
          <cell r="B120" t="str">
            <v>General - Nitrous oxide - GWP100 - Global - ton CO2eq/ton fuel</v>
          </cell>
          <cell r="G120">
            <v>266</v>
          </cell>
          <cell r="H120">
            <v>266</v>
          </cell>
          <cell r="I120">
            <v>266</v>
          </cell>
          <cell r="J120">
            <v>266</v>
          </cell>
          <cell r="K120">
            <v>266</v>
          </cell>
          <cell r="L120">
            <v>266</v>
          </cell>
          <cell r="M120">
            <v>266</v>
          </cell>
          <cell r="N120">
            <v>266</v>
          </cell>
          <cell r="O120">
            <v>266</v>
          </cell>
          <cell r="P120">
            <v>266</v>
          </cell>
          <cell r="Q120">
            <v>266</v>
          </cell>
          <cell r="R120">
            <v>266</v>
          </cell>
          <cell r="S120">
            <v>266</v>
          </cell>
          <cell r="T120">
            <v>266</v>
          </cell>
          <cell r="U120">
            <v>266</v>
          </cell>
          <cell r="V120">
            <v>266</v>
          </cell>
          <cell r="W120">
            <v>266</v>
          </cell>
          <cell r="X120">
            <v>266</v>
          </cell>
          <cell r="Y120">
            <v>266</v>
          </cell>
          <cell r="Z120">
            <v>266</v>
          </cell>
          <cell r="AA120">
            <v>266</v>
          </cell>
          <cell r="AB120">
            <v>266</v>
          </cell>
          <cell r="AC120">
            <v>266</v>
          </cell>
          <cell r="AD120">
            <v>266</v>
          </cell>
          <cell r="AE120">
            <v>266</v>
          </cell>
          <cell r="AF120">
            <v>266</v>
          </cell>
          <cell r="AG120">
            <v>266</v>
          </cell>
          <cell r="AH120">
            <v>266</v>
          </cell>
        </row>
        <row r="121">
          <cell r="B121" t="str">
            <v>General - Nitrous oxide - GWP20 - Global - ton CO2eq/ton fuel</v>
          </cell>
          <cell r="G121">
            <v>251</v>
          </cell>
          <cell r="H121">
            <v>251</v>
          </cell>
          <cell r="I121">
            <v>251</v>
          </cell>
          <cell r="J121">
            <v>251</v>
          </cell>
          <cell r="K121">
            <v>251</v>
          </cell>
          <cell r="L121">
            <v>251</v>
          </cell>
          <cell r="M121">
            <v>251</v>
          </cell>
          <cell r="N121">
            <v>251</v>
          </cell>
          <cell r="O121">
            <v>251</v>
          </cell>
          <cell r="P121">
            <v>251</v>
          </cell>
          <cell r="Q121">
            <v>251</v>
          </cell>
          <cell r="R121">
            <v>251</v>
          </cell>
          <cell r="S121">
            <v>251</v>
          </cell>
          <cell r="T121">
            <v>251</v>
          </cell>
          <cell r="U121">
            <v>251</v>
          </cell>
          <cell r="V121">
            <v>251</v>
          </cell>
          <cell r="W121">
            <v>251</v>
          </cell>
          <cell r="X121">
            <v>251</v>
          </cell>
          <cell r="Y121">
            <v>251</v>
          </cell>
          <cell r="Z121">
            <v>251</v>
          </cell>
          <cell r="AA121">
            <v>251</v>
          </cell>
          <cell r="AB121">
            <v>251</v>
          </cell>
          <cell r="AC121">
            <v>251</v>
          </cell>
          <cell r="AD121">
            <v>251</v>
          </cell>
          <cell r="AE121">
            <v>251</v>
          </cell>
          <cell r="AF121">
            <v>251</v>
          </cell>
          <cell r="AG121">
            <v>251</v>
          </cell>
          <cell r="AH121">
            <v>251</v>
          </cell>
        </row>
        <row r="122">
          <cell r="B122" t="str">
            <v/>
          </cell>
        </row>
        <row r="123">
          <cell r="B123" t="str">
            <v>e-hydrogen - Total emissions - WTT - Global - ton CO2eq/ton fuel</v>
          </cell>
          <cell r="G123">
            <v>0.28506078460653067</v>
          </cell>
          <cell r="H123">
            <v>0.28472968709700269</v>
          </cell>
          <cell r="I123">
            <v>0.28434150000000136</v>
          </cell>
          <cell r="J123">
            <v>0.28376407594781539</v>
          </cell>
          <cell r="K123">
            <v>0.28309039145140719</v>
          </cell>
          <cell r="L123">
            <v>0.28232044651077332</v>
          </cell>
          <cell r="M123">
            <v>0.28145424112591999</v>
          </cell>
          <cell r="N123">
            <v>0.28049177529683955</v>
          </cell>
          <cell r="O123">
            <v>0.27863254178214714</v>
          </cell>
          <cell r="P123">
            <v>0.27668042358064926</v>
          </cell>
          <cell r="Q123">
            <v>0.2746354206923412</v>
          </cell>
          <cell r="R123">
            <v>0.27249753311721825</v>
          </cell>
          <cell r="S123">
            <v>0.27026676085528856</v>
          </cell>
          <cell r="T123">
            <v>0.26793969323199507</v>
          </cell>
          <cell r="U123">
            <v>0.265548232822787</v>
          </cell>
          <cell r="V123">
            <v>0.26309237962767429</v>
          </cell>
          <cell r="W123">
            <v>0.26057213364664344</v>
          </cell>
          <cell r="X123">
            <v>0.2579874948796978</v>
          </cell>
          <cell r="Y123">
            <v>0.25464472332369703</v>
          </cell>
          <cell r="Z123">
            <v>0.25133857164708095</v>
          </cell>
          <cell r="AA123">
            <v>0.2480690398498557</v>
          </cell>
          <cell r="AB123">
            <v>0.24483612793201526</v>
          </cell>
          <cell r="AC123">
            <v>0.24163983589356411</v>
          </cell>
          <cell r="AD123">
            <v>0.23897024010561368</v>
          </cell>
          <cell r="AE123">
            <v>0.23634765862228263</v>
          </cell>
          <cell r="AF123">
            <v>0.23377209144356967</v>
          </cell>
          <cell r="AG123">
            <v>0.23124353856947533</v>
          </cell>
          <cell r="AH123">
            <v>0.22876200000000019</v>
          </cell>
        </row>
        <row r="124">
          <cell r="B124" t="str">
            <v>e-hydrogen - Total emissions - WTT - Global - ton CO2eq/ton fuel</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row>
        <row r="125">
          <cell r="B125" t="str">
            <v>e-hydrogen - Total emissions - WTT - Global - ton CO2eq/ton fuel</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row>
        <row r="126">
          <cell r="B126" t="str">
            <v/>
          </cell>
        </row>
        <row r="127">
          <cell r="B127" t="str">
            <v>e-hydrogen - Process-related emissions - WTT - Global - ton CO2/ton fuel</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row>
        <row r="128">
          <cell r="B128" t="str">
            <v>e-hydrogen - Process-related emissions - WTT - Global - ton CH4/ton fuel</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row>
        <row r="129">
          <cell r="B129" t="str">
            <v>e-hydrogen - Process-related emissions - WTT - Global - ton N2O/ton fuel</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row>
        <row r="130">
          <cell r="B130" t="str">
            <v>e-hydrogen (Alkaline) - Process-related emissions - Global - ton CO2/ton fuel</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row>
        <row r="131">
          <cell r="B131" t="str">
            <v>e-hydrogen (Alkaline) - Process-related emissions - Global - ton CH4/ton fuel</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row>
        <row r="132">
          <cell r="B132" t="str">
            <v>e-hydrogen (Alkaline) - Process-related emissions - Global - ton N2O/ton fuel</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row>
        <row r="133">
          <cell r="B133" t="str">
            <v>e-hydrogen (PEM) - Process-related emissions - Global - ton CO2/ton fuel</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row>
        <row r="134">
          <cell r="B134" t="str">
            <v>e-hydrogen (PEM) - Process-related emissions - Global - ton CH4/ton fuel</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row>
        <row r="135">
          <cell r="B135" t="str">
            <v>e-hydrogen (PEM) - Process-related emissions - Global - ton N2O/ton fuel</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row>
        <row r="136">
          <cell r="B136" t="str">
            <v>e-hydrogen (Solid oxide) - Process-related emissions - Global - ton CO2/ton fuel</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row>
        <row r="137">
          <cell r="B137" t="str">
            <v>e-hydrogen (Solid oxide) - Process-related emissions - Global - ton CH4/ton fuel</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row>
        <row r="138">
          <cell r="B138" t="str">
            <v>e-hydrogen (Solid oxide) - Process-related emissions - Global - ton N2O/ton fuel</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row>
        <row r="139">
          <cell r="B139" t="str">
            <v/>
          </cell>
        </row>
        <row r="140">
          <cell r="B140" t="str">
            <v>e-hydrogen - Energy-related emissions - WTT - Global - ton CO2/ton fuel</v>
          </cell>
          <cell r="G140">
            <v>0.28506078460653067</v>
          </cell>
          <cell r="H140">
            <v>0.28472968709700269</v>
          </cell>
          <cell r="I140">
            <v>0.28434150000000136</v>
          </cell>
          <cell r="J140">
            <v>0.28376407594781539</v>
          </cell>
          <cell r="K140">
            <v>0.28309039145140719</v>
          </cell>
          <cell r="L140">
            <v>0.28232044651077332</v>
          </cell>
          <cell r="M140">
            <v>0.28145424112591999</v>
          </cell>
          <cell r="N140">
            <v>0.28049177529683955</v>
          </cell>
          <cell r="O140">
            <v>0.27863254178214714</v>
          </cell>
          <cell r="P140">
            <v>0.27668042358064926</v>
          </cell>
          <cell r="Q140">
            <v>0.2746354206923412</v>
          </cell>
          <cell r="R140">
            <v>0.27249753311721825</v>
          </cell>
          <cell r="S140">
            <v>0.27026676085528856</v>
          </cell>
          <cell r="T140">
            <v>0.26793969323199507</v>
          </cell>
          <cell r="U140">
            <v>0.265548232822787</v>
          </cell>
          <cell r="V140">
            <v>0.26309237962767429</v>
          </cell>
          <cell r="W140">
            <v>0.26057213364664344</v>
          </cell>
          <cell r="X140">
            <v>0.2579874948796978</v>
          </cell>
          <cell r="Y140">
            <v>0.25464472332369703</v>
          </cell>
          <cell r="Z140">
            <v>0.25133857164708095</v>
          </cell>
          <cell r="AA140">
            <v>0.2480690398498557</v>
          </cell>
          <cell r="AB140">
            <v>0.24483612793201526</v>
          </cell>
          <cell r="AC140">
            <v>0.24163983589356411</v>
          </cell>
          <cell r="AD140">
            <v>0.23897024010561368</v>
          </cell>
          <cell r="AE140">
            <v>0.23634765862228263</v>
          </cell>
          <cell r="AF140">
            <v>0.23377209144356967</v>
          </cell>
          <cell r="AG140">
            <v>0.23124353856947533</v>
          </cell>
          <cell r="AH140">
            <v>0.22876200000000019</v>
          </cell>
        </row>
        <row r="141">
          <cell r="B141" t="str">
            <v>e-hydrogen - Energy-related emissions - WTT - Global - ton CH4/ton fuel</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row>
        <row r="142">
          <cell r="B142" t="str">
            <v>e-hydrogen - Energy-related emissions - WTT - Global - ton N2O/ton fuel</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row>
        <row r="143">
          <cell r="B143" t="str">
            <v>e-hydrogen (Alkaline) - Energy-related emissions - Global - ton CO2/ton fuel</v>
          </cell>
          <cell r="G143">
            <v>0.2689348320400361</v>
          </cell>
          <cell r="H143">
            <v>0.26871741602001809</v>
          </cell>
          <cell r="I143">
            <v>0.26849999999999991</v>
          </cell>
          <cell r="J143">
            <v>0.26828346068604925</v>
          </cell>
          <cell r="K143">
            <v>0.26806692137209848</v>
          </cell>
          <cell r="L143">
            <v>0.26785038205814782</v>
          </cell>
          <cell r="M143">
            <v>0.2676338427441971</v>
          </cell>
          <cell r="N143">
            <v>0.26741730343024633</v>
          </cell>
          <cell r="O143">
            <v>0.26720163728714286</v>
          </cell>
          <cell r="P143">
            <v>0.26698597114403916</v>
          </cell>
          <cell r="Q143">
            <v>0.26677030500093551</v>
          </cell>
          <cell r="R143">
            <v>0.26655463885783193</v>
          </cell>
          <cell r="S143">
            <v>0.26633897271472823</v>
          </cell>
          <cell r="T143">
            <v>0.26612417622150669</v>
          </cell>
          <cell r="U143">
            <v>0.26590937972828521</v>
          </cell>
          <cell r="V143">
            <v>0.26569458323506367</v>
          </cell>
          <cell r="W143">
            <v>0.26547978674184214</v>
          </cell>
          <cell r="X143">
            <v>0.26526499024862044</v>
          </cell>
          <cell r="Y143">
            <v>0.26505105989851396</v>
          </cell>
          <cell r="Z143">
            <v>0.26483712954840755</v>
          </cell>
          <cell r="AA143">
            <v>0.26462319919830118</v>
          </cell>
          <cell r="AB143">
            <v>0.26440926884819471</v>
          </cell>
          <cell r="AC143">
            <v>0.26419533849808846</v>
          </cell>
          <cell r="AD143">
            <v>0.26398227079847081</v>
          </cell>
          <cell r="AE143">
            <v>0.2637692030988531</v>
          </cell>
          <cell r="AF143">
            <v>0.26355613539923545</v>
          </cell>
          <cell r="AG143">
            <v>0.26334306769961774</v>
          </cell>
          <cell r="AH143">
            <v>0.26313000000000009</v>
          </cell>
        </row>
        <row r="144">
          <cell r="B144" t="str">
            <v>e-hydrogen (Alkaline) - Energy-related emissions - Global - ton CH4/ton fuel</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row>
        <row r="145">
          <cell r="B145" t="str">
            <v>e-hydrogen (Alkaline) - Energy-related emissions - Global - ton N2O/ton fuel</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row>
        <row r="146">
          <cell r="B146" t="str">
            <v>e-hydrogen (PEM) - Energy-related emissions - Global - ton CO2/ton fuel</v>
          </cell>
          <cell r="G146">
            <v>0.34306975106041321</v>
          </cell>
          <cell r="H146">
            <v>0.34068987553020658</v>
          </cell>
          <cell r="I146">
            <v>0.33831000000000061</v>
          </cell>
          <cell r="J146">
            <v>0.33601098763195769</v>
          </cell>
          <cell r="K146">
            <v>0.33371197526391472</v>
          </cell>
          <cell r="L146">
            <v>0.33141296289587241</v>
          </cell>
          <cell r="M146">
            <v>0.3291139505278301</v>
          </cell>
          <cell r="N146">
            <v>0.32681493815978718</v>
          </cell>
          <cell r="O146">
            <v>0.32459404139383091</v>
          </cell>
          <cell r="P146">
            <v>0.32237314462787525</v>
          </cell>
          <cell r="Q146">
            <v>0.32015224786191959</v>
          </cell>
          <cell r="R146">
            <v>0.31793135109596393</v>
          </cell>
          <cell r="S146">
            <v>0.31571045433000949</v>
          </cell>
          <cell r="T146">
            <v>0.31356501896237288</v>
          </cell>
          <cell r="U146">
            <v>0.31141958359473632</v>
          </cell>
          <cell r="V146">
            <v>0.30927414822710037</v>
          </cell>
          <cell r="W146">
            <v>0.30712871285946375</v>
          </cell>
          <cell r="X146">
            <v>0.3049832774918278</v>
          </cell>
          <cell r="Y146">
            <v>0.30291073950300124</v>
          </cell>
          <cell r="Z146">
            <v>0.30083820151417467</v>
          </cell>
          <cell r="AA146">
            <v>0.29876566352534811</v>
          </cell>
          <cell r="AB146">
            <v>0.29669312553652155</v>
          </cell>
          <cell r="AC146">
            <v>0.29462058754769499</v>
          </cell>
          <cell r="AD146">
            <v>0.2926184700381555</v>
          </cell>
          <cell r="AE146">
            <v>0.29061635252861662</v>
          </cell>
          <cell r="AF146">
            <v>0.28861423501907774</v>
          </cell>
          <cell r="AG146">
            <v>0.28661211750953886</v>
          </cell>
          <cell r="AH146">
            <v>0.28460999999999997</v>
          </cell>
        </row>
        <row r="147">
          <cell r="B147" t="str">
            <v>e-hydrogen (PEM) - Energy-related emissions - Global - ton CH4/ton fuel</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row>
        <row r="148">
          <cell r="B148" t="str">
            <v>e-hydrogen (PEM) - Energy-related emissions - Global - ton N2O/ton fuel</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row>
        <row r="149">
          <cell r="B149" t="str">
            <v>e-hydrogen (Solid oxide) - Energy-related emissions - Global - ton CO2/ton fuel</v>
          </cell>
          <cell r="G149">
            <v>0.2380988717669604</v>
          </cell>
          <cell r="H149">
            <v>0.23718943588348004</v>
          </cell>
          <cell r="I149">
            <v>0.23627999999999999</v>
          </cell>
          <cell r="J149">
            <v>0.2353877356340402</v>
          </cell>
          <cell r="K149">
            <v>0.23449547126808071</v>
          </cell>
          <cell r="L149">
            <v>0.23360320690212091</v>
          </cell>
          <cell r="M149">
            <v>0.23271094253616112</v>
          </cell>
          <cell r="N149">
            <v>0.23181867817020163</v>
          </cell>
          <cell r="O149">
            <v>0.2309432610976811</v>
          </cell>
          <cell r="P149">
            <v>0.23006784402516053</v>
          </cell>
          <cell r="Q149">
            <v>0.22919242695264028</v>
          </cell>
          <cell r="R149">
            <v>0.22831700988011974</v>
          </cell>
          <cell r="S149">
            <v>0.22744159280759918</v>
          </cell>
          <cell r="T149">
            <v>0.22658270492627497</v>
          </cell>
          <cell r="U149">
            <v>0.22572381704495045</v>
          </cell>
          <cell r="V149">
            <v>0.22486492916362624</v>
          </cell>
          <cell r="W149">
            <v>0.22400604128230173</v>
          </cell>
          <cell r="X149">
            <v>0.22314715340097721</v>
          </cell>
          <cell r="Y149">
            <v>0.22230448261485494</v>
          </cell>
          <cell r="Z149">
            <v>0.2214618118287324</v>
          </cell>
          <cell r="AA149">
            <v>0.22061914104260982</v>
          </cell>
          <cell r="AB149">
            <v>0.21977647025648728</v>
          </cell>
          <cell r="AC149">
            <v>0.2189337994703647</v>
          </cell>
          <cell r="AD149">
            <v>0.21810703957629177</v>
          </cell>
          <cell r="AE149">
            <v>0.21728027968221883</v>
          </cell>
          <cell r="AF149">
            <v>0.21645351978814589</v>
          </cell>
          <cell r="AG149">
            <v>0.21562675989407293</v>
          </cell>
          <cell r="AH149">
            <v>0.21479999999999999</v>
          </cell>
        </row>
        <row r="150">
          <cell r="B150" t="str">
            <v>e-hydrogen (Solid oxide) - Energy-related emissions - Global - ton CH4/ton fuel</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row>
        <row r="151">
          <cell r="B151" t="str">
            <v>e-hydrogen (Solid oxide) - Energy-related emissions - Global - ton N2O/ton fuel</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row>
        <row r="152">
          <cell r="B152" t="str">
            <v/>
          </cell>
        </row>
        <row r="153">
          <cell r="B153" t="str">
            <v>e-hydrogen - Feedstock-related emissions - WTT - Global - ton CO2/ton fuel</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row>
        <row r="154">
          <cell r="B154" t="str">
            <v>e-hydrogen - Feedstock-related emissions - WTT - Global - ton CH4/ton fuel</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row>
        <row r="155">
          <cell r="B155" t="str">
            <v>e-hydrogen - Feedstock-related emissions - WTT - Global - ton N2O/ton fuel</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row>
        <row r="156">
          <cell r="B156" t="str">
            <v>e-hydrogen (Alkaline) - Feedstock WTT emissions (carbon dioxide) - Global - ton CO2/ton fuel</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row>
        <row r="157">
          <cell r="B157" t="str">
            <v>e-hydrogen (Alkaline) - Feedstock WTT emissions (methane) - Global - ton CH4/ton fuel</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row>
        <row r="158">
          <cell r="B158" t="str">
            <v>e-hydrogen (Alkaline) - Feedstock WTT emissions (nitrous oxide) - Global - ton N2O/ton fuel</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row>
        <row r="159">
          <cell r="B159" t="str">
            <v>e-hydrogen (PEM) - Feedstock WTT emissions (carbon dioxide) - Global - ton CO2/ton fuel</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row>
        <row r="160">
          <cell r="B160" t="str">
            <v>e-hydrogen (PEM) - Feedstock WTT emissions (methane) - Global - ton CH4/ton fuel</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row>
        <row r="161">
          <cell r="B161" t="str">
            <v>e-hydrogen (PEM) - Feedstock WTT emissions (nitrous oxide) - Global - ton N2O/ton fuel</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row>
        <row r="162">
          <cell r="B162" t="str">
            <v>e-hydrogen (Solid oxide) - Feedstock WTT emissions (carbon dioxide) - Global - ton CO2/ton fuel</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row>
        <row r="163">
          <cell r="B163" t="str">
            <v>e-hydrogen (Solid oxide) - Feedstock WTT emissions (methane) - Global - ton CH4/ton fuel</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row>
        <row r="164">
          <cell r="B164" t="str">
            <v>e-hydrogen (Solid oxide) - Feedstock WTT emissions (nitrous oxide) - Global - ton N2O/ton fuel</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row>
        <row r="165">
          <cell r="B165" t="str">
            <v/>
          </cell>
        </row>
        <row r="166">
          <cell r="B166" t="str">
            <v>e-hydrogen (Alkaline) - Market share - Global - %</v>
          </cell>
          <cell r="G166">
            <v>0.74000000000000199</v>
          </cell>
          <cell r="H166">
            <v>0.72000000000000597</v>
          </cell>
          <cell r="I166">
            <v>0.70000000000000284</v>
          </cell>
          <cell r="J166">
            <v>0.65999999999999659</v>
          </cell>
          <cell r="K166">
            <v>0.62000000000000455</v>
          </cell>
          <cell r="L166">
            <v>0.57999999999999829</v>
          </cell>
          <cell r="M166">
            <v>0.54000000000000625</v>
          </cell>
          <cell r="N166">
            <v>0.5</v>
          </cell>
          <cell r="O166">
            <v>0.44999999999998863</v>
          </cell>
          <cell r="P166">
            <v>0.39999999999999147</v>
          </cell>
          <cell r="Q166">
            <v>0.34999999999999432</v>
          </cell>
          <cell r="R166">
            <v>0.29999999999999716</v>
          </cell>
          <cell r="S166">
            <v>0.25</v>
          </cell>
          <cell r="T166">
            <v>0.21000000000000796</v>
          </cell>
          <cell r="U166">
            <v>0.17000000000000171</v>
          </cell>
          <cell r="V166">
            <v>0.13000000000000966</v>
          </cell>
          <cell r="W166">
            <v>9.0000000000003411E-2</v>
          </cell>
          <cell r="X166">
            <v>4.9999999999997158E-2</v>
          </cell>
          <cell r="Y166">
            <v>3.9999999999999147E-2</v>
          </cell>
          <cell r="Z166">
            <v>2.9999999999997584E-2</v>
          </cell>
          <cell r="AA166">
            <v>1.9999999999999574E-2</v>
          </cell>
          <cell r="AB166">
            <v>9.9999999999980105E-3</v>
          </cell>
          <cell r="AC166">
            <v>0</v>
          </cell>
          <cell r="AD166">
            <v>0</v>
          </cell>
          <cell r="AE166">
            <v>0</v>
          </cell>
          <cell r="AF166">
            <v>0</v>
          </cell>
          <cell r="AG166">
            <v>0</v>
          </cell>
          <cell r="AH166">
            <v>0</v>
          </cell>
        </row>
        <row r="167">
          <cell r="B167" t="str">
            <v>e-hydrogen (PEM) - Market share - Global - %</v>
          </cell>
          <cell r="G167">
            <v>0.23000000000000043</v>
          </cell>
          <cell r="H167">
            <v>0.23999999999999844</v>
          </cell>
          <cell r="I167">
            <v>0.25000000000000355</v>
          </cell>
          <cell r="J167">
            <v>0.26500000000000412</v>
          </cell>
          <cell r="K167">
            <v>0.28000000000000114</v>
          </cell>
          <cell r="L167">
            <v>0.29500000000000171</v>
          </cell>
          <cell r="M167">
            <v>0.31000000000000227</v>
          </cell>
          <cell r="N167">
            <v>0.32500000000000284</v>
          </cell>
          <cell r="O167">
            <v>0.33500000000000085</v>
          </cell>
          <cell r="P167">
            <v>0.34500000000000242</v>
          </cell>
          <cell r="Q167">
            <v>0.35500000000000398</v>
          </cell>
          <cell r="R167">
            <v>0.36500000000000199</v>
          </cell>
          <cell r="S167">
            <v>0.375</v>
          </cell>
          <cell r="T167">
            <v>0.37999999999999901</v>
          </cell>
          <cell r="U167">
            <v>0.38499999999999979</v>
          </cell>
          <cell r="V167">
            <v>0.38999999999999879</v>
          </cell>
          <cell r="W167">
            <v>0.39499999999999957</v>
          </cell>
          <cell r="X167">
            <v>0.39999999999999858</v>
          </cell>
          <cell r="Y167">
            <v>0.38000000000000256</v>
          </cell>
          <cell r="Z167">
            <v>0.35999999999999943</v>
          </cell>
          <cell r="AA167">
            <v>0.34000000000000341</v>
          </cell>
          <cell r="AB167">
            <v>0.32000000000000028</v>
          </cell>
          <cell r="AC167">
            <v>0.30000000000000426</v>
          </cell>
          <cell r="AD167">
            <v>0.28000000000000114</v>
          </cell>
          <cell r="AE167">
            <v>0.26000000000000512</v>
          </cell>
          <cell r="AF167">
            <v>0.24000000000000199</v>
          </cell>
          <cell r="AG167">
            <v>0.21999999999999886</v>
          </cell>
          <cell r="AH167">
            <v>0.20000000000000284</v>
          </cell>
        </row>
        <row r="168">
          <cell r="B168" t="str">
            <v>e-hydrogen (Solid oxide) - Market share - Global - %</v>
          </cell>
          <cell r="G168">
            <v>2.9999999999997584E-2</v>
          </cell>
          <cell r="H168">
            <v>3.9999999999999147E-2</v>
          </cell>
          <cell r="I168">
            <v>4.9999999999997158E-2</v>
          </cell>
          <cell r="J168">
            <v>7.5000000000002842E-2</v>
          </cell>
          <cell r="K168">
            <v>0.10000000000000142</v>
          </cell>
          <cell r="L168">
            <v>0.125</v>
          </cell>
          <cell r="M168">
            <v>0.14999999999999858</v>
          </cell>
          <cell r="N168">
            <v>0.17499999999999716</v>
          </cell>
          <cell r="O168">
            <v>0.21500000000000341</v>
          </cell>
          <cell r="P168">
            <v>0.25500000000000966</v>
          </cell>
          <cell r="Q168">
            <v>0.29500000000001592</v>
          </cell>
          <cell r="R168">
            <v>0.33500000000000796</v>
          </cell>
          <cell r="S168">
            <v>0.37500000000001421</v>
          </cell>
          <cell r="T168">
            <v>0.4100000000000108</v>
          </cell>
          <cell r="U168">
            <v>0.44500000000000739</v>
          </cell>
          <cell r="V168">
            <v>0.48000000000001819</v>
          </cell>
          <cell r="W168">
            <v>0.51500000000001478</v>
          </cell>
          <cell r="X168">
            <v>0.54999999999999716</v>
          </cell>
          <cell r="Y168">
            <v>0.57999999999999829</v>
          </cell>
          <cell r="Z168">
            <v>0.60999999999999943</v>
          </cell>
          <cell r="AA168">
            <v>0.64000000000000057</v>
          </cell>
          <cell r="AB168">
            <v>0.67000000000000171</v>
          </cell>
          <cell r="AC168">
            <v>0.69999999999999574</v>
          </cell>
          <cell r="AD168">
            <v>0.71999999999999886</v>
          </cell>
          <cell r="AE168">
            <v>0.73999999999999488</v>
          </cell>
          <cell r="AF168">
            <v>0.75999999999999801</v>
          </cell>
          <cell r="AG168">
            <v>0.78000000000000114</v>
          </cell>
          <cell r="AH168">
            <v>0.79999999999999716</v>
          </cell>
        </row>
        <row r="169">
          <cell r="B169" t="str">
            <v/>
          </cell>
        </row>
        <row r="170">
          <cell r="B170" t="str">
            <v>e-hydrogen (liquefied) - Item - Region - Unit</v>
          </cell>
          <cell r="G170">
            <v>2023</v>
          </cell>
          <cell r="H170">
            <v>2024</v>
          </cell>
          <cell r="I170">
            <v>2025</v>
          </cell>
          <cell r="J170">
            <v>2026</v>
          </cell>
          <cell r="K170">
            <v>2027</v>
          </cell>
          <cell r="L170">
            <v>2028</v>
          </cell>
          <cell r="M170">
            <v>2029</v>
          </cell>
          <cell r="N170">
            <v>2030</v>
          </cell>
          <cell r="O170">
            <v>2031</v>
          </cell>
          <cell r="P170">
            <v>2032</v>
          </cell>
          <cell r="Q170">
            <v>2033</v>
          </cell>
          <cell r="R170">
            <v>2034</v>
          </cell>
          <cell r="S170">
            <v>2035</v>
          </cell>
          <cell r="T170">
            <v>2036</v>
          </cell>
          <cell r="U170">
            <v>2037</v>
          </cell>
          <cell r="V170">
            <v>2038</v>
          </cell>
          <cell r="W170">
            <v>2039</v>
          </cell>
          <cell r="X170">
            <v>2040</v>
          </cell>
          <cell r="Y170">
            <v>2041</v>
          </cell>
          <cell r="Z170">
            <v>2042</v>
          </cell>
          <cell r="AA170">
            <v>2043</v>
          </cell>
          <cell r="AB170">
            <v>2044</v>
          </cell>
          <cell r="AC170">
            <v>2045</v>
          </cell>
          <cell r="AD170">
            <v>2046</v>
          </cell>
          <cell r="AE170">
            <v>2047</v>
          </cell>
          <cell r="AF170">
            <v>2048</v>
          </cell>
          <cell r="AG170">
            <v>2049</v>
          </cell>
          <cell r="AH170">
            <v>2050</v>
          </cell>
        </row>
        <row r="171">
          <cell r="B171" t="str">
            <v/>
          </cell>
        </row>
        <row r="172">
          <cell r="B172" t="str">
            <v>e-hydrogen (liquefied) - Total emissions - WTW - GWP100 - Global - ton CO2eq/ton fuel</v>
          </cell>
          <cell r="G172">
            <v>0.3387607846065307</v>
          </cell>
          <cell r="H172">
            <v>0.33842968709700272</v>
          </cell>
          <cell r="I172">
            <v>0.33804150000000133</v>
          </cell>
          <cell r="J172">
            <v>0.33746407594781536</v>
          </cell>
          <cell r="K172">
            <v>0.33679039145140721</v>
          </cell>
          <cell r="L172">
            <v>0.33602044651077334</v>
          </cell>
          <cell r="M172">
            <v>0.33515424112591996</v>
          </cell>
          <cell r="N172">
            <v>0.33419177529683952</v>
          </cell>
          <cell r="O172">
            <v>0.33233254178214711</v>
          </cell>
          <cell r="P172">
            <v>0.33038042358064923</v>
          </cell>
          <cell r="Q172">
            <v>0.32833542069234123</v>
          </cell>
          <cell r="R172">
            <v>0.32619753311721822</v>
          </cell>
          <cell r="S172">
            <v>0.32396676085528853</v>
          </cell>
          <cell r="T172">
            <v>0.32163969323199504</v>
          </cell>
          <cell r="U172">
            <v>0.31924823282278703</v>
          </cell>
          <cell r="V172">
            <v>0.31679237962767426</v>
          </cell>
          <cell r="W172">
            <v>0.31427213364664341</v>
          </cell>
          <cell r="X172">
            <v>0.31168749487969782</v>
          </cell>
          <cell r="Y172">
            <v>0.308344723323697</v>
          </cell>
          <cell r="Z172">
            <v>0.30503857164708092</v>
          </cell>
          <cell r="AA172">
            <v>0.3017690398498557</v>
          </cell>
          <cell r="AB172">
            <v>0.29853612793201523</v>
          </cell>
          <cell r="AC172">
            <v>0.29533983589356411</v>
          </cell>
          <cell r="AD172">
            <v>0.29267024010561371</v>
          </cell>
          <cell r="AE172">
            <v>0.29004765862228266</v>
          </cell>
          <cell r="AF172">
            <v>0.28747209144356967</v>
          </cell>
          <cell r="AG172">
            <v>0.2849435385694753</v>
          </cell>
          <cell r="AH172">
            <v>0.28246200000000021</v>
          </cell>
        </row>
        <row r="173">
          <cell r="B173" t="str">
            <v>e-hydrogen (liquefied) - Total emissions - WTW - GWP20 - Global - ton CO2eq/ton fuel</v>
          </cell>
          <cell r="G173">
            <v>0.3387607846065307</v>
          </cell>
          <cell r="H173">
            <v>0.33842968709700272</v>
          </cell>
          <cell r="I173">
            <v>0.33804150000000133</v>
          </cell>
          <cell r="J173">
            <v>0.33746407594781536</v>
          </cell>
          <cell r="K173">
            <v>0.33679039145140721</v>
          </cell>
          <cell r="L173">
            <v>0.33602044651077334</v>
          </cell>
          <cell r="M173">
            <v>0.33515424112591996</v>
          </cell>
          <cell r="N173">
            <v>0.33419177529683952</v>
          </cell>
          <cell r="O173">
            <v>0.33233254178214711</v>
          </cell>
          <cell r="P173">
            <v>0.33038042358064923</v>
          </cell>
          <cell r="Q173">
            <v>0.32833542069234123</v>
          </cell>
          <cell r="R173">
            <v>0.32619753311721822</v>
          </cell>
          <cell r="S173">
            <v>0.32396676085528853</v>
          </cell>
          <cell r="T173">
            <v>0.32163969323199504</v>
          </cell>
          <cell r="U173">
            <v>0.31924823282278703</v>
          </cell>
          <cell r="V173">
            <v>0.31679237962767426</v>
          </cell>
          <cell r="W173">
            <v>0.31427213364664341</v>
          </cell>
          <cell r="X173">
            <v>0.31168749487969782</v>
          </cell>
          <cell r="Y173">
            <v>0.308344723323697</v>
          </cell>
          <cell r="Z173">
            <v>0.30503857164708092</v>
          </cell>
          <cell r="AA173">
            <v>0.3017690398498557</v>
          </cell>
          <cell r="AB173">
            <v>0.29853612793201523</v>
          </cell>
          <cell r="AC173">
            <v>0.29533983589356411</v>
          </cell>
          <cell r="AD173">
            <v>0.29267024010561371</v>
          </cell>
          <cell r="AE173">
            <v>0.29004765862228266</v>
          </cell>
          <cell r="AF173">
            <v>0.28747209144356967</v>
          </cell>
          <cell r="AG173">
            <v>0.2849435385694753</v>
          </cell>
          <cell r="AH173">
            <v>0.28246200000000021</v>
          </cell>
        </row>
        <row r="174">
          <cell r="B174" t="str">
            <v>e-hydrogen (liquefied) - Total emissions - TTW - GWP100 - Global - ton CO2eq/ton fuel</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row>
        <row r="175">
          <cell r="B175" t="str">
            <v>e-hydrogen (liquefied) - Total emissions - TTW - GWP20 - Global - ton CO2eq/ton fuel</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row>
        <row r="176">
          <cell r="B176" t="str">
            <v>e-hydrogen (liquefied) - Total emissions - WTT - GWP100 - Global - ton CO2eq/ton fuel</v>
          </cell>
          <cell r="G176">
            <v>0.3387607846065307</v>
          </cell>
          <cell r="H176">
            <v>0.33842968709700272</v>
          </cell>
          <cell r="I176">
            <v>0.33804150000000133</v>
          </cell>
          <cell r="J176">
            <v>0.33746407594781536</v>
          </cell>
          <cell r="K176">
            <v>0.33679039145140721</v>
          </cell>
          <cell r="L176">
            <v>0.33602044651077334</v>
          </cell>
          <cell r="M176">
            <v>0.33515424112591996</v>
          </cell>
          <cell r="N176">
            <v>0.33419177529683952</v>
          </cell>
          <cell r="O176">
            <v>0.33233254178214711</v>
          </cell>
          <cell r="P176">
            <v>0.33038042358064923</v>
          </cell>
          <cell r="Q176">
            <v>0.32833542069234123</v>
          </cell>
          <cell r="R176">
            <v>0.32619753311721822</v>
          </cell>
          <cell r="S176">
            <v>0.32396676085528853</v>
          </cell>
          <cell r="T176">
            <v>0.32163969323199504</v>
          </cell>
          <cell r="U176">
            <v>0.31924823282278703</v>
          </cell>
          <cell r="V176">
            <v>0.31679237962767426</v>
          </cell>
          <cell r="W176">
            <v>0.31427213364664341</v>
          </cell>
          <cell r="X176">
            <v>0.31168749487969782</v>
          </cell>
          <cell r="Y176">
            <v>0.308344723323697</v>
          </cell>
          <cell r="Z176">
            <v>0.30503857164708092</v>
          </cell>
          <cell r="AA176">
            <v>0.3017690398498557</v>
          </cell>
          <cell r="AB176">
            <v>0.29853612793201523</v>
          </cell>
          <cell r="AC176">
            <v>0.29533983589356411</v>
          </cell>
          <cell r="AD176">
            <v>0.29267024010561371</v>
          </cell>
          <cell r="AE176">
            <v>0.29004765862228266</v>
          </cell>
          <cell r="AF176">
            <v>0.28747209144356967</v>
          </cell>
          <cell r="AG176">
            <v>0.2849435385694753</v>
          </cell>
          <cell r="AH176">
            <v>0.28246200000000021</v>
          </cell>
        </row>
        <row r="177">
          <cell r="B177" t="str">
            <v>e-hydrogen (liquefied) - Total emissions - WTT - GWP20 - Global - ton CO2eq/ton fuel</v>
          </cell>
          <cell r="G177">
            <v>0.3387607846065307</v>
          </cell>
          <cell r="H177">
            <v>0.33842968709700272</v>
          </cell>
          <cell r="I177">
            <v>0.33804150000000133</v>
          </cell>
          <cell r="J177">
            <v>0.33746407594781536</v>
          </cell>
          <cell r="K177">
            <v>0.33679039145140721</v>
          </cell>
          <cell r="L177">
            <v>0.33602044651077334</v>
          </cell>
          <cell r="M177">
            <v>0.33515424112591996</v>
          </cell>
          <cell r="N177">
            <v>0.33419177529683952</v>
          </cell>
          <cell r="O177">
            <v>0.33233254178214711</v>
          </cell>
          <cell r="P177">
            <v>0.33038042358064923</v>
          </cell>
          <cell r="Q177">
            <v>0.32833542069234123</v>
          </cell>
          <cell r="R177">
            <v>0.32619753311721822</v>
          </cell>
          <cell r="S177">
            <v>0.32396676085528853</v>
          </cell>
          <cell r="T177">
            <v>0.32163969323199504</v>
          </cell>
          <cell r="U177">
            <v>0.31924823282278703</v>
          </cell>
          <cell r="V177">
            <v>0.31679237962767426</v>
          </cell>
          <cell r="W177">
            <v>0.31427213364664341</v>
          </cell>
          <cell r="X177">
            <v>0.31168749487969782</v>
          </cell>
          <cell r="Y177">
            <v>0.308344723323697</v>
          </cell>
          <cell r="Z177">
            <v>0.30503857164708092</v>
          </cell>
          <cell r="AA177">
            <v>0.3017690398498557</v>
          </cell>
          <cell r="AB177">
            <v>0.29853612793201523</v>
          </cell>
          <cell r="AC177">
            <v>0.29533983589356411</v>
          </cell>
          <cell r="AD177">
            <v>0.29267024010561371</v>
          </cell>
          <cell r="AE177">
            <v>0.29004765862228266</v>
          </cell>
          <cell r="AF177">
            <v>0.28747209144356967</v>
          </cell>
          <cell r="AG177">
            <v>0.2849435385694753</v>
          </cell>
          <cell r="AH177">
            <v>0.28246200000000021</v>
          </cell>
        </row>
        <row r="178">
          <cell r="B178" t="str">
            <v>General - Methane - GWP100 - Global - ton CO2eq/ton fuel</v>
          </cell>
          <cell r="G178">
            <v>29</v>
          </cell>
          <cell r="H178">
            <v>29</v>
          </cell>
          <cell r="I178">
            <v>29</v>
          </cell>
          <cell r="J178">
            <v>29</v>
          </cell>
          <cell r="K178">
            <v>29</v>
          </cell>
          <cell r="L178">
            <v>29</v>
          </cell>
          <cell r="M178">
            <v>29</v>
          </cell>
          <cell r="N178">
            <v>29</v>
          </cell>
          <cell r="O178">
            <v>29</v>
          </cell>
          <cell r="P178">
            <v>29</v>
          </cell>
          <cell r="Q178">
            <v>29</v>
          </cell>
          <cell r="R178">
            <v>29</v>
          </cell>
          <cell r="S178">
            <v>29</v>
          </cell>
          <cell r="T178">
            <v>29</v>
          </cell>
          <cell r="U178">
            <v>29</v>
          </cell>
          <cell r="V178">
            <v>29</v>
          </cell>
          <cell r="W178">
            <v>29</v>
          </cell>
          <cell r="X178">
            <v>29</v>
          </cell>
          <cell r="Y178">
            <v>29</v>
          </cell>
          <cell r="Z178">
            <v>29</v>
          </cell>
          <cell r="AA178">
            <v>29</v>
          </cell>
          <cell r="AB178">
            <v>29</v>
          </cell>
          <cell r="AC178">
            <v>29</v>
          </cell>
          <cell r="AD178">
            <v>29</v>
          </cell>
          <cell r="AE178">
            <v>29</v>
          </cell>
          <cell r="AF178">
            <v>29</v>
          </cell>
          <cell r="AG178">
            <v>29</v>
          </cell>
          <cell r="AH178">
            <v>29</v>
          </cell>
        </row>
        <row r="179">
          <cell r="B179" t="str">
            <v>General - Methane - GWP20 - Global - ton CO2eq/ton fuel</v>
          </cell>
          <cell r="G179">
            <v>85</v>
          </cell>
          <cell r="H179">
            <v>85</v>
          </cell>
          <cell r="I179">
            <v>85</v>
          </cell>
          <cell r="J179">
            <v>85</v>
          </cell>
          <cell r="K179">
            <v>85</v>
          </cell>
          <cell r="L179">
            <v>85</v>
          </cell>
          <cell r="M179">
            <v>85</v>
          </cell>
          <cell r="N179">
            <v>85</v>
          </cell>
          <cell r="O179">
            <v>85</v>
          </cell>
          <cell r="P179">
            <v>85</v>
          </cell>
          <cell r="Q179">
            <v>85</v>
          </cell>
          <cell r="R179">
            <v>85</v>
          </cell>
          <cell r="S179">
            <v>85</v>
          </cell>
          <cell r="T179">
            <v>85</v>
          </cell>
          <cell r="U179">
            <v>85</v>
          </cell>
          <cell r="V179">
            <v>85</v>
          </cell>
          <cell r="W179">
            <v>85</v>
          </cell>
          <cell r="X179">
            <v>85</v>
          </cell>
          <cell r="Y179">
            <v>85</v>
          </cell>
          <cell r="Z179">
            <v>85</v>
          </cell>
          <cell r="AA179">
            <v>85</v>
          </cell>
          <cell r="AB179">
            <v>85</v>
          </cell>
          <cell r="AC179">
            <v>85</v>
          </cell>
          <cell r="AD179">
            <v>85</v>
          </cell>
          <cell r="AE179">
            <v>85</v>
          </cell>
          <cell r="AF179">
            <v>85</v>
          </cell>
          <cell r="AG179">
            <v>85</v>
          </cell>
          <cell r="AH179">
            <v>85</v>
          </cell>
        </row>
        <row r="180">
          <cell r="B180" t="str">
            <v>General - Nitrous oxide - GWP100 - Global - ton CO2eq/ton fuel</v>
          </cell>
          <cell r="G180">
            <v>266</v>
          </cell>
          <cell r="H180">
            <v>266</v>
          </cell>
          <cell r="I180">
            <v>266</v>
          </cell>
          <cell r="J180">
            <v>266</v>
          </cell>
          <cell r="K180">
            <v>266</v>
          </cell>
          <cell r="L180">
            <v>266</v>
          </cell>
          <cell r="M180">
            <v>266</v>
          </cell>
          <cell r="N180">
            <v>266</v>
          </cell>
          <cell r="O180">
            <v>266</v>
          </cell>
          <cell r="P180">
            <v>266</v>
          </cell>
          <cell r="Q180">
            <v>266</v>
          </cell>
          <cell r="R180">
            <v>266</v>
          </cell>
          <cell r="S180">
            <v>266</v>
          </cell>
          <cell r="T180">
            <v>266</v>
          </cell>
          <cell r="U180">
            <v>266</v>
          </cell>
          <cell r="V180">
            <v>266</v>
          </cell>
          <cell r="W180">
            <v>266</v>
          </cell>
          <cell r="X180">
            <v>266</v>
          </cell>
          <cell r="Y180">
            <v>266</v>
          </cell>
          <cell r="Z180">
            <v>266</v>
          </cell>
          <cell r="AA180">
            <v>266</v>
          </cell>
          <cell r="AB180">
            <v>266</v>
          </cell>
          <cell r="AC180">
            <v>266</v>
          </cell>
          <cell r="AD180">
            <v>266</v>
          </cell>
          <cell r="AE180">
            <v>266</v>
          </cell>
          <cell r="AF180">
            <v>266</v>
          </cell>
          <cell r="AG180">
            <v>266</v>
          </cell>
          <cell r="AH180">
            <v>266</v>
          </cell>
        </row>
        <row r="181">
          <cell r="B181" t="str">
            <v>General - Nitrous oxide - GWP20 - Global - ton CO2eq/ton fuel</v>
          </cell>
          <cell r="G181">
            <v>251</v>
          </cell>
          <cell r="H181">
            <v>251</v>
          </cell>
          <cell r="I181">
            <v>251</v>
          </cell>
          <cell r="J181">
            <v>251</v>
          </cell>
          <cell r="K181">
            <v>251</v>
          </cell>
          <cell r="L181">
            <v>251</v>
          </cell>
          <cell r="M181">
            <v>251</v>
          </cell>
          <cell r="N181">
            <v>251</v>
          </cell>
          <cell r="O181">
            <v>251</v>
          </cell>
          <cell r="P181">
            <v>251</v>
          </cell>
          <cell r="Q181">
            <v>251</v>
          </cell>
          <cell r="R181">
            <v>251</v>
          </cell>
          <cell r="S181">
            <v>251</v>
          </cell>
          <cell r="T181">
            <v>251</v>
          </cell>
          <cell r="U181">
            <v>251</v>
          </cell>
          <cell r="V181">
            <v>251</v>
          </cell>
          <cell r="W181">
            <v>251</v>
          </cell>
          <cell r="X181">
            <v>251</v>
          </cell>
          <cell r="Y181">
            <v>251</v>
          </cell>
          <cell r="Z181">
            <v>251</v>
          </cell>
          <cell r="AA181">
            <v>251</v>
          </cell>
          <cell r="AB181">
            <v>251</v>
          </cell>
          <cell r="AC181">
            <v>251</v>
          </cell>
          <cell r="AD181">
            <v>251</v>
          </cell>
          <cell r="AE181">
            <v>251</v>
          </cell>
          <cell r="AF181">
            <v>251</v>
          </cell>
          <cell r="AG181">
            <v>251</v>
          </cell>
          <cell r="AH181">
            <v>251</v>
          </cell>
        </row>
        <row r="182">
          <cell r="B182" t="str">
            <v/>
          </cell>
        </row>
        <row r="183">
          <cell r="B183" t="str">
            <v>e-hydrogen (liquefied) - Total emissions - WTW - Global - ton CO2/ton fuel</v>
          </cell>
          <cell r="G183">
            <v>0.3387607846065307</v>
          </cell>
          <cell r="H183">
            <v>0.33842968709700272</v>
          </cell>
          <cell r="I183">
            <v>0.33804150000000133</v>
          </cell>
          <cell r="J183">
            <v>0.33746407594781536</v>
          </cell>
          <cell r="K183">
            <v>0.33679039145140721</v>
          </cell>
          <cell r="L183">
            <v>0.33602044651077334</v>
          </cell>
          <cell r="M183">
            <v>0.33515424112591996</v>
          </cell>
          <cell r="N183">
            <v>0.33419177529683952</v>
          </cell>
          <cell r="O183">
            <v>0.33233254178214711</v>
          </cell>
          <cell r="P183">
            <v>0.33038042358064923</v>
          </cell>
          <cell r="Q183">
            <v>0.32833542069234123</v>
          </cell>
          <cell r="R183">
            <v>0.32619753311721822</v>
          </cell>
          <cell r="S183">
            <v>0.32396676085528853</v>
          </cell>
          <cell r="T183">
            <v>0.32163969323199504</v>
          </cell>
          <cell r="U183">
            <v>0.31924823282278703</v>
          </cell>
          <cell r="V183">
            <v>0.31679237962767426</v>
          </cell>
          <cell r="W183">
            <v>0.31427213364664341</v>
          </cell>
          <cell r="X183">
            <v>0.31168749487969782</v>
          </cell>
          <cell r="Y183">
            <v>0.308344723323697</v>
          </cell>
          <cell r="Z183">
            <v>0.30503857164708092</v>
          </cell>
          <cell r="AA183">
            <v>0.3017690398498557</v>
          </cell>
          <cell r="AB183">
            <v>0.29853612793201523</v>
          </cell>
          <cell r="AC183">
            <v>0.29533983589356411</v>
          </cell>
          <cell r="AD183">
            <v>0.29267024010561371</v>
          </cell>
          <cell r="AE183">
            <v>0.29004765862228266</v>
          </cell>
          <cell r="AF183">
            <v>0.28747209144356967</v>
          </cell>
          <cell r="AG183">
            <v>0.2849435385694753</v>
          </cell>
          <cell r="AH183">
            <v>0.28246200000000021</v>
          </cell>
        </row>
        <row r="184">
          <cell r="B184" t="str">
            <v>e-hydrogen (liquefied) - Total emissions - WTW - Global - ton CH4/ton fuel</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row>
        <row r="185">
          <cell r="B185" t="str">
            <v>e-hydrogen (liquefied) - Total emissions - WTW - Global - ton N2O/ton fuel</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row>
        <row r="186">
          <cell r="B186" t="str">
            <v/>
          </cell>
        </row>
        <row r="187">
          <cell r="B187" t="str">
            <v>e-hydrogen (liquefied) - Total emissions - TTW - Global - ton CO2/ton fuel</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row>
        <row r="188">
          <cell r="B188" t="str">
            <v>e-hydrogen (liquefied) - Total emissions - TTW - Global - ton CH4/ton fuel</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row>
        <row r="189">
          <cell r="B189" t="str">
            <v>e-hydrogen (liquefied) - Total emissions - TTW - Global - ton N2O/ton fuel</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row>
        <row r="190">
          <cell r="B190" t="str">
            <v>e-hydrogen (liquefied) - TTW emissions (carbon dioxide) - Global - ton CO2/ton fuel</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row>
        <row r="191">
          <cell r="B191" t="str">
            <v>e-hydrogen (liquefied) - TTW emissions (methane) - Global - ton CH4/ton fuel</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row>
        <row r="192">
          <cell r="B192" t="str">
            <v>e-hydrogen (liquefied) - TTW emissions (nitrous oxide) - Global - ton N2O/ton fuel</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row>
        <row r="193">
          <cell r="B193" t="str">
            <v/>
          </cell>
        </row>
        <row r="194">
          <cell r="B194" t="str">
            <v>e-hydrogen (liquefied) - Total emissions - WTT - Global - ton CO2eq/ton fuel</v>
          </cell>
          <cell r="G194">
            <v>0.3387607846065307</v>
          </cell>
          <cell r="H194">
            <v>0.33842968709700272</v>
          </cell>
          <cell r="I194">
            <v>0.33804150000000133</v>
          </cell>
          <cell r="J194">
            <v>0.33746407594781536</v>
          </cell>
          <cell r="K194">
            <v>0.33679039145140721</v>
          </cell>
          <cell r="L194">
            <v>0.33602044651077334</v>
          </cell>
          <cell r="M194">
            <v>0.33515424112591996</v>
          </cell>
          <cell r="N194">
            <v>0.33419177529683952</v>
          </cell>
          <cell r="O194">
            <v>0.33233254178214711</v>
          </cell>
          <cell r="P194">
            <v>0.33038042358064923</v>
          </cell>
          <cell r="Q194">
            <v>0.32833542069234123</v>
          </cell>
          <cell r="R194">
            <v>0.32619753311721822</v>
          </cell>
          <cell r="S194">
            <v>0.32396676085528853</v>
          </cell>
          <cell r="T194">
            <v>0.32163969323199504</v>
          </cell>
          <cell r="U194">
            <v>0.31924823282278703</v>
          </cell>
          <cell r="V194">
            <v>0.31679237962767426</v>
          </cell>
          <cell r="W194">
            <v>0.31427213364664341</v>
          </cell>
          <cell r="X194">
            <v>0.31168749487969782</v>
          </cell>
          <cell r="Y194">
            <v>0.308344723323697</v>
          </cell>
          <cell r="Z194">
            <v>0.30503857164708092</v>
          </cell>
          <cell r="AA194">
            <v>0.3017690398498557</v>
          </cell>
          <cell r="AB194">
            <v>0.29853612793201523</v>
          </cell>
          <cell r="AC194">
            <v>0.29533983589356411</v>
          </cell>
          <cell r="AD194">
            <v>0.29267024010561371</v>
          </cell>
          <cell r="AE194">
            <v>0.29004765862228266</v>
          </cell>
          <cell r="AF194">
            <v>0.28747209144356967</v>
          </cell>
          <cell r="AG194">
            <v>0.2849435385694753</v>
          </cell>
          <cell r="AH194">
            <v>0.28246200000000021</v>
          </cell>
        </row>
        <row r="195">
          <cell r="B195" t="str">
            <v>e-hydrogen (liquefied) - Total emissions - WTT - Global - ton CO2eq/ton fuel</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row>
        <row r="196">
          <cell r="B196" t="str">
            <v>e-hydrogen (liquefied) - Total emissions - WTT - Global - ton CO2eq/ton fuel</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row>
        <row r="197">
          <cell r="B197" t="str">
            <v/>
          </cell>
        </row>
        <row r="198">
          <cell r="B198" t="str">
            <v>e-hydrogen (liquefied) - Process-related emissions - WTT - Global - ton CO2/ton fuel</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row>
        <row r="199">
          <cell r="B199" t="str">
            <v>e-hydrogen (liquefied) - Process-related emissions - WTT - Global - ton CH4/ton fuel</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row>
        <row r="200">
          <cell r="B200" t="str">
            <v>e-hydrogen (liquefied) - Process-related emissions - WTT - Global - ton N2O/ton fuel</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row>
        <row r="201">
          <cell r="B201" t="str">
            <v>e-hydrogen (liquefied) - Process WTT emissions (carbon dioxide) - Global - ton CO2/ton fuel</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row>
        <row r="202">
          <cell r="B202" t="str">
            <v>e-hydrogen (liquefied) - Process WTT emissions (methane) - Global - ton CH4/ton fuel</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row>
        <row r="203">
          <cell r="B203" t="str">
            <v>e-hydrogen (liquefied) - Process WTT emissions (nitrous oxide) - Global - ton N2O/ton fuel</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row>
        <row r="204">
          <cell r="B204" t="str">
            <v/>
          </cell>
        </row>
        <row r="205">
          <cell r="B205" t="str">
            <v>e-hydrogen (liquefied) - Energy-related emissions - WTT - Global - ton CO2/ton fuel</v>
          </cell>
          <cell r="G205">
            <v>5.3699999999999998E-2</v>
          </cell>
          <cell r="H205">
            <v>5.3699999999999998E-2</v>
          </cell>
          <cell r="I205">
            <v>5.3699999999999998E-2</v>
          </cell>
          <cell r="J205">
            <v>5.3699999999999998E-2</v>
          </cell>
          <cell r="K205">
            <v>5.3699999999999998E-2</v>
          </cell>
          <cell r="L205">
            <v>5.3699999999999998E-2</v>
          </cell>
          <cell r="M205">
            <v>5.3699999999999998E-2</v>
          </cell>
          <cell r="N205">
            <v>5.3699999999999998E-2</v>
          </cell>
          <cell r="O205">
            <v>5.3699999999999998E-2</v>
          </cell>
          <cell r="P205">
            <v>5.3699999999999998E-2</v>
          </cell>
          <cell r="Q205">
            <v>5.3699999999999998E-2</v>
          </cell>
          <cell r="R205">
            <v>5.3699999999999998E-2</v>
          </cell>
          <cell r="S205">
            <v>5.3699999999999998E-2</v>
          </cell>
          <cell r="T205">
            <v>5.3699999999999998E-2</v>
          </cell>
          <cell r="U205">
            <v>5.3699999999999998E-2</v>
          </cell>
          <cell r="V205">
            <v>5.3699999999999998E-2</v>
          </cell>
          <cell r="W205">
            <v>5.3699999999999998E-2</v>
          </cell>
          <cell r="X205">
            <v>5.3699999999999998E-2</v>
          </cell>
          <cell r="Y205">
            <v>5.3699999999999998E-2</v>
          </cell>
          <cell r="Z205">
            <v>5.3699999999999998E-2</v>
          </cell>
          <cell r="AA205">
            <v>5.3699999999999998E-2</v>
          </cell>
          <cell r="AB205">
            <v>5.3699999999999998E-2</v>
          </cell>
          <cell r="AC205">
            <v>5.3699999999999998E-2</v>
          </cell>
          <cell r="AD205">
            <v>5.3699999999999998E-2</v>
          </cell>
          <cell r="AE205">
            <v>5.3699999999999998E-2</v>
          </cell>
          <cell r="AF205">
            <v>5.3699999999999998E-2</v>
          </cell>
          <cell r="AG205">
            <v>5.3699999999999998E-2</v>
          </cell>
          <cell r="AH205">
            <v>5.3699999999999998E-2</v>
          </cell>
        </row>
        <row r="206">
          <cell r="B206" t="str">
            <v>e-hydrogen (liquefied) - Energy-related emissions - WTT - Global - ton CH4/ton fuel</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row>
        <row r="207">
          <cell r="B207" t="str">
            <v>e-hydrogen (liquefied) - Energy-related emissions - WTT - Global - ton N2O/ton fuel</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row>
        <row r="208">
          <cell r="B208" t="str">
            <v>Renewable electricity - Feedstock WTT emissions (carbon dioxide) - Global - ton CO2/MWh</v>
          </cell>
          <cell r="G208">
            <v>5.3699999999999998E-3</v>
          </cell>
          <cell r="H208">
            <v>5.3699999999999998E-3</v>
          </cell>
          <cell r="I208">
            <v>5.3699999999999998E-3</v>
          </cell>
          <cell r="J208">
            <v>5.3699999999999998E-3</v>
          </cell>
          <cell r="K208">
            <v>5.3699999999999998E-3</v>
          </cell>
          <cell r="L208">
            <v>5.3699999999999998E-3</v>
          </cell>
          <cell r="M208">
            <v>5.3699999999999998E-3</v>
          </cell>
          <cell r="N208">
            <v>5.3699999999999998E-3</v>
          </cell>
          <cell r="O208">
            <v>5.3699999999999998E-3</v>
          </cell>
          <cell r="P208">
            <v>5.3699999999999998E-3</v>
          </cell>
          <cell r="Q208">
            <v>5.3699999999999998E-3</v>
          </cell>
          <cell r="R208">
            <v>5.3699999999999998E-3</v>
          </cell>
          <cell r="S208">
            <v>5.3699999999999998E-3</v>
          </cell>
          <cell r="T208">
            <v>5.3699999999999998E-3</v>
          </cell>
          <cell r="U208">
            <v>5.3699999999999998E-3</v>
          </cell>
          <cell r="V208">
            <v>5.3699999999999998E-3</v>
          </cell>
          <cell r="W208">
            <v>5.3699999999999998E-3</v>
          </cell>
          <cell r="X208">
            <v>5.3699999999999998E-3</v>
          </cell>
          <cell r="Y208">
            <v>5.3699999999999998E-3</v>
          </cell>
          <cell r="Z208">
            <v>5.3699999999999998E-3</v>
          </cell>
          <cell r="AA208">
            <v>5.3699999999999998E-3</v>
          </cell>
          <cell r="AB208">
            <v>5.3699999999999998E-3</v>
          </cell>
          <cell r="AC208">
            <v>5.3699999999999998E-3</v>
          </cell>
          <cell r="AD208">
            <v>5.3699999999999998E-3</v>
          </cell>
          <cell r="AE208">
            <v>5.3699999999999998E-3</v>
          </cell>
          <cell r="AF208">
            <v>5.3699999999999998E-3</v>
          </cell>
          <cell r="AG208">
            <v>5.3699999999999998E-3</v>
          </cell>
          <cell r="AH208">
            <v>5.3699999999999998E-3</v>
          </cell>
        </row>
        <row r="209">
          <cell r="B209" t="str">
            <v>Renewable electricity - Feedstock WTT emissions (methane) - Global - ton CH4/MWh</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row>
        <row r="210">
          <cell r="B210" t="str">
            <v>Renewable electricity - Feedstock WTT emissions (nitrous oxide) - Global - ton N2O/MWh</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row>
        <row r="211">
          <cell r="B211" t="str">
            <v>e-hydrogen (liquefied) - Energy demand - Liquefaction - Global - MWh/ton fuel</v>
          </cell>
          <cell r="G211">
            <v>10</v>
          </cell>
          <cell r="H211">
            <v>10</v>
          </cell>
          <cell r="I211">
            <v>10</v>
          </cell>
          <cell r="J211">
            <v>10</v>
          </cell>
          <cell r="K211">
            <v>10</v>
          </cell>
          <cell r="L211">
            <v>10</v>
          </cell>
          <cell r="M211">
            <v>10</v>
          </cell>
          <cell r="N211">
            <v>10</v>
          </cell>
          <cell r="O211">
            <v>10</v>
          </cell>
          <cell r="P211">
            <v>10</v>
          </cell>
          <cell r="Q211">
            <v>10</v>
          </cell>
          <cell r="R211">
            <v>10</v>
          </cell>
          <cell r="S211">
            <v>10</v>
          </cell>
          <cell r="T211">
            <v>10</v>
          </cell>
          <cell r="U211">
            <v>10</v>
          </cell>
          <cell r="V211">
            <v>10</v>
          </cell>
          <cell r="W211">
            <v>10</v>
          </cell>
          <cell r="X211">
            <v>10</v>
          </cell>
          <cell r="Y211">
            <v>10</v>
          </cell>
          <cell r="Z211">
            <v>10</v>
          </cell>
          <cell r="AA211">
            <v>10</v>
          </cell>
          <cell r="AB211">
            <v>10</v>
          </cell>
          <cell r="AC211">
            <v>10</v>
          </cell>
          <cell r="AD211">
            <v>10</v>
          </cell>
          <cell r="AE211">
            <v>10</v>
          </cell>
          <cell r="AF211">
            <v>10</v>
          </cell>
          <cell r="AG211">
            <v>10</v>
          </cell>
          <cell r="AH211">
            <v>10</v>
          </cell>
        </row>
        <row r="212">
          <cell r="B212" t="str">
            <v/>
          </cell>
        </row>
        <row r="213">
          <cell r="B213" t="str">
            <v>e-hydrogen (liquefied) - Feedstock-related emissions - WTT - Global - ton CO2/ton fuel</v>
          </cell>
          <cell r="G213">
            <v>0.28506078460653067</v>
          </cell>
          <cell r="H213">
            <v>0.28472968709700269</v>
          </cell>
          <cell r="I213">
            <v>0.28434150000000136</v>
          </cell>
          <cell r="J213">
            <v>0.28376407594781539</v>
          </cell>
          <cell r="K213">
            <v>0.28309039145140719</v>
          </cell>
          <cell r="L213">
            <v>0.28232044651077332</v>
          </cell>
          <cell r="M213">
            <v>0.28145424112591999</v>
          </cell>
          <cell r="N213">
            <v>0.28049177529683955</v>
          </cell>
          <cell r="O213">
            <v>0.27863254178214714</v>
          </cell>
          <cell r="P213">
            <v>0.27668042358064926</v>
          </cell>
          <cell r="Q213">
            <v>0.2746354206923412</v>
          </cell>
          <cell r="R213">
            <v>0.27249753311721825</v>
          </cell>
          <cell r="S213">
            <v>0.27026676085528856</v>
          </cell>
          <cell r="T213">
            <v>0.26793969323199507</v>
          </cell>
          <cell r="U213">
            <v>0.265548232822787</v>
          </cell>
          <cell r="V213">
            <v>0.26309237962767429</v>
          </cell>
          <cell r="W213">
            <v>0.26057213364664344</v>
          </cell>
          <cell r="X213">
            <v>0.2579874948796978</v>
          </cell>
          <cell r="Y213">
            <v>0.25464472332369703</v>
          </cell>
          <cell r="Z213">
            <v>0.25133857164708095</v>
          </cell>
          <cell r="AA213">
            <v>0.2480690398498557</v>
          </cell>
          <cell r="AB213">
            <v>0.24483612793201526</v>
          </cell>
          <cell r="AC213">
            <v>0.24163983589356411</v>
          </cell>
          <cell r="AD213">
            <v>0.23897024010561368</v>
          </cell>
          <cell r="AE213">
            <v>0.23634765862228263</v>
          </cell>
          <cell r="AF213">
            <v>0.23377209144356967</v>
          </cell>
          <cell r="AG213">
            <v>0.23124353856947533</v>
          </cell>
          <cell r="AH213">
            <v>0.22876200000000019</v>
          </cell>
        </row>
        <row r="214">
          <cell r="B214" t="str">
            <v>e-hydrogen (liquefied) - Feedstock-related emissions - WTT - Global - ton CH4/ton fuel</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row>
        <row r="215">
          <cell r="B215" t="str">
            <v>e-hydrogen (liquefied) - Feedstock-related emissions - WTT - Global - ton N2O/ton fuel</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row>
        <row r="216">
          <cell r="B216" t="str">
            <v>e-hydrogen (liquefied) - Feedstock WTT emissions (carbon dioxide) - Global - ton CO2/ton fuel</v>
          </cell>
          <cell r="G216">
            <v>0.28506078460653067</v>
          </cell>
          <cell r="H216">
            <v>0.28472968709700269</v>
          </cell>
          <cell r="I216">
            <v>0.28434150000000136</v>
          </cell>
          <cell r="J216">
            <v>0.28376407594781539</v>
          </cell>
          <cell r="K216">
            <v>0.28309039145140719</v>
          </cell>
          <cell r="L216">
            <v>0.28232044651077332</v>
          </cell>
          <cell r="M216">
            <v>0.28145424112591999</v>
          </cell>
          <cell r="N216">
            <v>0.28049177529683955</v>
          </cell>
          <cell r="O216">
            <v>0.27863254178214714</v>
          </cell>
          <cell r="P216">
            <v>0.27668042358064926</v>
          </cell>
          <cell r="Q216">
            <v>0.2746354206923412</v>
          </cell>
          <cell r="R216">
            <v>0.27249753311721825</v>
          </cell>
          <cell r="S216">
            <v>0.27026676085528856</v>
          </cell>
          <cell r="T216">
            <v>0.26793969323199507</v>
          </cell>
          <cell r="U216">
            <v>0.265548232822787</v>
          </cell>
          <cell r="V216">
            <v>0.26309237962767429</v>
          </cell>
          <cell r="W216">
            <v>0.26057213364664344</v>
          </cell>
          <cell r="X216">
            <v>0.2579874948796978</v>
          </cell>
          <cell r="Y216">
            <v>0.25464472332369703</v>
          </cell>
          <cell r="Z216">
            <v>0.25133857164708095</v>
          </cell>
          <cell r="AA216">
            <v>0.2480690398498557</v>
          </cell>
          <cell r="AB216">
            <v>0.24483612793201526</v>
          </cell>
          <cell r="AC216">
            <v>0.24163983589356411</v>
          </cell>
          <cell r="AD216">
            <v>0.23897024010561368</v>
          </cell>
          <cell r="AE216">
            <v>0.23634765862228263</v>
          </cell>
          <cell r="AF216">
            <v>0.23377209144356967</v>
          </cell>
          <cell r="AG216">
            <v>0.23124353856947533</v>
          </cell>
          <cell r="AH216">
            <v>0.22876200000000019</v>
          </cell>
        </row>
        <row r="217">
          <cell r="B217" t="str">
            <v>e-hydrogen (liquefied) - Feedstock WTT emissions (methane) - Global - ton CH4/ton fuel</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row>
        <row r="218">
          <cell r="B218" t="str">
            <v>e-hydrogen (liquefied) - Feedstock WTT emissions (nitrous oxide) - Global - ton N2O/ton fuel</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row>
        <row r="219">
          <cell r="B219" t="str">
            <v/>
          </cell>
        </row>
        <row r="220">
          <cell r="B220" t="str">
            <v>e-hydrogen (compressed) - Item - Region - Unit</v>
          </cell>
          <cell r="G220">
            <v>2023</v>
          </cell>
          <cell r="H220">
            <v>2024</v>
          </cell>
          <cell r="I220">
            <v>2025</v>
          </cell>
          <cell r="J220">
            <v>2026</v>
          </cell>
          <cell r="K220">
            <v>2027</v>
          </cell>
          <cell r="L220">
            <v>2028</v>
          </cell>
          <cell r="M220">
            <v>2029</v>
          </cell>
          <cell r="N220">
            <v>2030</v>
          </cell>
          <cell r="O220">
            <v>2031</v>
          </cell>
          <cell r="P220">
            <v>2032</v>
          </cell>
          <cell r="Q220">
            <v>2033</v>
          </cell>
          <cell r="R220">
            <v>2034</v>
          </cell>
          <cell r="S220">
            <v>2035</v>
          </cell>
          <cell r="T220">
            <v>2036</v>
          </cell>
          <cell r="U220">
            <v>2037</v>
          </cell>
          <cell r="V220">
            <v>2038</v>
          </cell>
          <cell r="W220">
            <v>2039</v>
          </cell>
          <cell r="X220">
            <v>2040</v>
          </cell>
          <cell r="Y220">
            <v>2041</v>
          </cell>
          <cell r="Z220">
            <v>2042</v>
          </cell>
          <cell r="AA220">
            <v>2043</v>
          </cell>
          <cell r="AB220">
            <v>2044</v>
          </cell>
          <cell r="AC220">
            <v>2045</v>
          </cell>
          <cell r="AD220">
            <v>2046</v>
          </cell>
          <cell r="AE220">
            <v>2047</v>
          </cell>
          <cell r="AF220">
            <v>2048</v>
          </cell>
          <cell r="AG220">
            <v>2049</v>
          </cell>
          <cell r="AH220">
            <v>2050</v>
          </cell>
        </row>
        <row r="221">
          <cell r="B221" t="str">
            <v/>
          </cell>
        </row>
        <row r="222">
          <cell r="B222" t="str">
            <v>e-hydrogen (compressed) - Total emissions - WTW - GWP100 - Global - ton CO2eq/ton fuel</v>
          </cell>
          <cell r="G222">
            <v>0.29069928460653066</v>
          </cell>
          <cell r="H222">
            <v>0.29036818709700268</v>
          </cell>
          <cell r="I222">
            <v>0.28998000000000135</v>
          </cell>
          <cell r="J222">
            <v>0.28940257594781538</v>
          </cell>
          <cell r="K222">
            <v>0.28872889145140718</v>
          </cell>
          <cell r="L222">
            <v>0.28795894651077331</v>
          </cell>
          <cell r="M222">
            <v>0.28709274112591998</v>
          </cell>
          <cell r="N222">
            <v>0.28613027529683954</v>
          </cell>
          <cell r="O222">
            <v>0.28427104178214713</v>
          </cell>
          <cell r="P222">
            <v>0.28231892358064925</v>
          </cell>
          <cell r="Q222">
            <v>0.28027392069234119</v>
          </cell>
          <cell r="R222">
            <v>0.27813603311721824</v>
          </cell>
          <cell r="S222">
            <v>0.27590526085528855</v>
          </cell>
          <cell r="T222">
            <v>0.27357819323199506</v>
          </cell>
          <cell r="U222">
            <v>0.27118673282278699</v>
          </cell>
          <cell r="V222">
            <v>0.26873087962767428</v>
          </cell>
          <cell r="W222">
            <v>0.26621063364664344</v>
          </cell>
          <cell r="X222">
            <v>0.26362599487969779</v>
          </cell>
          <cell r="Y222">
            <v>0.26028322332369702</v>
          </cell>
          <cell r="Z222">
            <v>0.25697707164708095</v>
          </cell>
          <cell r="AA222">
            <v>0.25370753984985572</v>
          </cell>
          <cell r="AB222">
            <v>0.25047462793201525</v>
          </cell>
          <cell r="AC222">
            <v>0.2472783358935641</v>
          </cell>
          <cell r="AD222">
            <v>0.24460874010561368</v>
          </cell>
          <cell r="AE222">
            <v>0.24198615862228262</v>
          </cell>
          <cell r="AF222">
            <v>0.23941059144356966</v>
          </cell>
          <cell r="AG222">
            <v>0.23688203856947532</v>
          </cell>
          <cell r="AH222">
            <v>0.23440050000000018</v>
          </cell>
        </row>
        <row r="223">
          <cell r="B223" t="str">
            <v>e-hydrogen (compressed) - Total emissions - WTW - GWP20 - Global - ton CO2eq/ton fuel</v>
          </cell>
          <cell r="G223">
            <v>0.29069928460653066</v>
          </cell>
          <cell r="H223">
            <v>0.29036818709700268</v>
          </cell>
          <cell r="I223">
            <v>0.28998000000000135</v>
          </cell>
          <cell r="J223">
            <v>0.28940257594781538</v>
          </cell>
          <cell r="K223">
            <v>0.28872889145140718</v>
          </cell>
          <cell r="L223">
            <v>0.28795894651077331</v>
          </cell>
          <cell r="M223">
            <v>0.28709274112591998</v>
          </cell>
          <cell r="N223">
            <v>0.28613027529683954</v>
          </cell>
          <cell r="O223">
            <v>0.28427104178214713</v>
          </cell>
          <cell r="P223">
            <v>0.28231892358064925</v>
          </cell>
          <cell r="Q223">
            <v>0.28027392069234119</v>
          </cell>
          <cell r="R223">
            <v>0.27813603311721824</v>
          </cell>
          <cell r="S223">
            <v>0.27590526085528855</v>
          </cell>
          <cell r="T223">
            <v>0.27357819323199506</v>
          </cell>
          <cell r="U223">
            <v>0.27118673282278699</v>
          </cell>
          <cell r="V223">
            <v>0.26873087962767428</v>
          </cell>
          <cell r="W223">
            <v>0.26621063364664344</v>
          </cell>
          <cell r="X223">
            <v>0.26362599487969779</v>
          </cell>
          <cell r="Y223">
            <v>0.26028322332369702</v>
          </cell>
          <cell r="Z223">
            <v>0.25697707164708095</v>
          </cell>
          <cell r="AA223">
            <v>0.25370753984985572</v>
          </cell>
          <cell r="AB223">
            <v>0.25047462793201525</v>
          </cell>
          <cell r="AC223">
            <v>0.2472783358935641</v>
          </cell>
          <cell r="AD223">
            <v>0.24460874010561368</v>
          </cell>
          <cell r="AE223">
            <v>0.24198615862228262</v>
          </cell>
          <cell r="AF223">
            <v>0.23941059144356966</v>
          </cell>
          <cell r="AG223">
            <v>0.23688203856947532</v>
          </cell>
          <cell r="AH223">
            <v>0.23440050000000018</v>
          </cell>
        </row>
        <row r="224">
          <cell r="B224" t="str">
            <v>e-hydrogen (compressed) - Total emissions - TTW - GWP100 - Global - ton CO2eq/ton fuel</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row>
        <row r="225">
          <cell r="B225" t="str">
            <v>e-hydrogen (compressed) - Total emissions - TTW - GWP20 - Global - ton CO2eq/ton fuel</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row>
        <row r="226">
          <cell r="B226" t="str">
            <v>e-hydrogen (compressed) - Total emissions - WTT - GWP100 - Global - ton CO2eq/ton fuel</v>
          </cell>
          <cell r="G226">
            <v>0.29069928460653066</v>
          </cell>
          <cell r="H226">
            <v>0.29036818709700268</v>
          </cell>
          <cell r="I226">
            <v>0.28998000000000135</v>
          </cell>
          <cell r="J226">
            <v>0.28940257594781538</v>
          </cell>
          <cell r="K226">
            <v>0.28872889145140718</v>
          </cell>
          <cell r="L226">
            <v>0.28795894651077331</v>
          </cell>
          <cell r="M226">
            <v>0.28709274112591998</v>
          </cell>
          <cell r="N226">
            <v>0.28613027529683954</v>
          </cell>
          <cell r="O226">
            <v>0.28427104178214713</v>
          </cell>
          <cell r="P226">
            <v>0.28231892358064925</v>
          </cell>
          <cell r="Q226">
            <v>0.28027392069234119</v>
          </cell>
          <cell r="R226">
            <v>0.27813603311721824</v>
          </cell>
          <cell r="S226">
            <v>0.27590526085528855</v>
          </cell>
          <cell r="T226">
            <v>0.27357819323199506</v>
          </cell>
          <cell r="U226">
            <v>0.27118673282278699</v>
          </cell>
          <cell r="V226">
            <v>0.26873087962767428</v>
          </cell>
          <cell r="W226">
            <v>0.26621063364664344</v>
          </cell>
          <cell r="X226">
            <v>0.26362599487969779</v>
          </cell>
          <cell r="Y226">
            <v>0.26028322332369702</v>
          </cell>
          <cell r="Z226">
            <v>0.25697707164708095</v>
          </cell>
          <cell r="AA226">
            <v>0.25370753984985572</v>
          </cell>
          <cell r="AB226">
            <v>0.25047462793201525</v>
          </cell>
          <cell r="AC226">
            <v>0.2472783358935641</v>
          </cell>
          <cell r="AD226">
            <v>0.24460874010561368</v>
          </cell>
          <cell r="AE226">
            <v>0.24198615862228262</v>
          </cell>
          <cell r="AF226">
            <v>0.23941059144356966</v>
          </cell>
          <cell r="AG226">
            <v>0.23688203856947532</v>
          </cell>
          <cell r="AH226">
            <v>0.23440050000000018</v>
          </cell>
        </row>
        <row r="227">
          <cell r="B227" t="str">
            <v>e-hydrogen (compressed) - Total emissions - WTT - GWP20 - Global - ton CO2eq/ton fuel</v>
          </cell>
          <cell r="G227">
            <v>0.29069928460653066</v>
          </cell>
          <cell r="H227">
            <v>0.29036818709700268</v>
          </cell>
          <cell r="I227">
            <v>0.28998000000000135</v>
          </cell>
          <cell r="J227">
            <v>0.28940257594781538</v>
          </cell>
          <cell r="K227">
            <v>0.28872889145140718</v>
          </cell>
          <cell r="L227">
            <v>0.28795894651077331</v>
          </cell>
          <cell r="M227">
            <v>0.28709274112591998</v>
          </cell>
          <cell r="N227">
            <v>0.28613027529683954</v>
          </cell>
          <cell r="O227">
            <v>0.28427104178214713</v>
          </cell>
          <cell r="P227">
            <v>0.28231892358064925</v>
          </cell>
          <cell r="Q227">
            <v>0.28027392069234119</v>
          </cell>
          <cell r="R227">
            <v>0.27813603311721824</v>
          </cell>
          <cell r="S227">
            <v>0.27590526085528855</v>
          </cell>
          <cell r="T227">
            <v>0.27357819323199506</v>
          </cell>
          <cell r="U227">
            <v>0.27118673282278699</v>
          </cell>
          <cell r="V227">
            <v>0.26873087962767428</v>
          </cell>
          <cell r="W227">
            <v>0.26621063364664344</v>
          </cell>
          <cell r="X227">
            <v>0.26362599487969779</v>
          </cell>
          <cell r="Y227">
            <v>0.26028322332369702</v>
          </cell>
          <cell r="Z227">
            <v>0.25697707164708095</v>
          </cell>
          <cell r="AA227">
            <v>0.25370753984985572</v>
          </cell>
          <cell r="AB227">
            <v>0.25047462793201525</v>
          </cell>
          <cell r="AC227">
            <v>0.2472783358935641</v>
          </cell>
          <cell r="AD227">
            <v>0.24460874010561368</v>
          </cell>
          <cell r="AE227">
            <v>0.24198615862228262</v>
          </cell>
          <cell r="AF227">
            <v>0.23941059144356966</v>
          </cell>
          <cell r="AG227">
            <v>0.23688203856947532</v>
          </cell>
          <cell r="AH227">
            <v>0.23440050000000018</v>
          </cell>
        </row>
        <row r="228">
          <cell r="B228" t="str">
            <v>General - Methane - GWP100 - Global - ton CO2eq/ton fuel</v>
          </cell>
          <cell r="G228">
            <v>29</v>
          </cell>
          <cell r="H228">
            <v>29</v>
          </cell>
          <cell r="I228">
            <v>29</v>
          </cell>
          <cell r="J228">
            <v>29</v>
          </cell>
          <cell r="K228">
            <v>29</v>
          </cell>
          <cell r="L228">
            <v>29</v>
          </cell>
          <cell r="M228">
            <v>29</v>
          </cell>
          <cell r="N228">
            <v>29</v>
          </cell>
          <cell r="O228">
            <v>29</v>
          </cell>
          <cell r="P228">
            <v>29</v>
          </cell>
          <cell r="Q228">
            <v>29</v>
          </cell>
          <cell r="R228">
            <v>29</v>
          </cell>
          <cell r="S228">
            <v>29</v>
          </cell>
          <cell r="T228">
            <v>29</v>
          </cell>
          <cell r="U228">
            <v>29</v>
          </cell>
          <cell r="V228">
            <v>29</v>
          </cell>
          <cell r="W228">
            <v>29</v>
          </cell>
          <cell r="X228">
            <v>29</v>
          </cell>
          <cell r="Y228">
            <v>29</v>
          </cell>
          <cell r="Z228">
            <v>29</v>
          </cell>
          <cell r="AA228">
            <v>29</v>
          </cell>
          <cell r="AB228">
            <v>29</v>
          </cell>
          <cell r="AC228">
            <v>29</v>
          </cell>
          <cell r="AD228">
            <v>29</v>
          </cell>
          <cell r="AE228">
            <v>29</v>
          </cell>
          <cell r="AF228">
            <v>29</v>
          </cell>
          <cell r="AG228">
            <v>29</v>
          </cell>
          <cell r="AH228">
            <v>29</v>
          </cell>
        </row>
        <row r="229">
          <cell r="B229" t="str">
            <v>General - Methane - GWP20 - Global - ton CO2eq/ton fuel</v>
          </cell>
          <cell r="G229">
            <v>85</v>
          </cell>
          <cell r="H229">
            <v>85</v>
          </cell>
          <cell r="I229">
            <v>85</v>
          </cell>
          <cell r="J229">
            <v>85</v>
          </cell>
          <cell r="K229">
            <v>85</v>
          </cell>
          <cell r="L229">
            <v>85</v>
          </cell>
          <cell r="M229">
            <v>85</v>
          </cell>
          <cell r="N229">
            <v>85</v>
          </cell>
          <cell r="O229">
            <v>85</v>
          </cell>
          <cell r="P229">
            <v>85</v>
          </cell>
          <cell r="Q229">
            <v>85</v>
          </cell>
          <cell r="R229">
            <v>85</v>
          </cell>
          <cell r="S229">
            <v>85</v>
          </cell>
          <cell r="T229">
            <v>85</v>
          </cell>
          <cell r="U229">
            <v>85</v>
          </cell>
          <cell r="V229">
            <v>85</v>
          </cell>
          <cell r="W229">
            <v>85</v>
          </cell>
          <cell r="X229">
            <v>85</v>
          </cell>
          <cell r="Y229">
            <v>85</v>
          </cell>
          <cell r="Z229">
            <v>85</v>
          </cell>
          <cell r="AA229">
            <v>85</v>
          </cell>
          <cell r="AB229">
            <v>85</v>
          </cell>
          <cell r="AC229">
            <v>85</v>
          </cell>
          <cell r="AD229">
            <v>85</v>
          </cell>
          <cell r="AE229">
            <v>85</v>
          </cell>
          <cell r="AF229">
            <v>85</v>
          </cell>
          <cell r="AG229">
            <v>85</v>
          </cell>
          <cell r="AH229">
            <v>85</v>
          </cell>
        </row>
        <row r="230">
          <cell r="B230" t="str">
            <v>General - Nitrous oxide - GWP100 - Global - ton CO2eq/ton fuel</v>
          </cell>
          <cell r="G230">
            <v>266</v>
          </cell>
          <cell r="H230">
            <v>266</v>
          </cell>
          <cell r="I230">
            <v>266</v>
          </cell>
          <cell r="J230">
            <v>266</v>
          </cell>
          <cell r="K230">
            <v>266</v>
          </cell>
          <cell r="L230">
            <v>266</v>
          </cell>
          <cell r="M230">
            <v>266</v>
          </cell>
          <cell r="N230">
            <v>266</v>
          </cell>
          <cell r="O230">
            <v>266</v>
          </cell>
          <cell r="P230">
            <v>266</v>
          </cell>
          <cell r="Q230">
            <v>266</v>
          </cell>
          <cell r="R230">
            <v>266</v>
          </cell>
          <cell r="S230">
            <v>266</v>
          </cell>
          <cell r="T230">
            <v>266</v>
          </cell>
          <cell r="U230">
            <v>266</v>
          </cell>
          <cell r="V230">
            <v>266</v>
          </cell>
          <cell r="W230">
            <v>266</v>
          </cell>
          <cell r="X230">
            <v>266</v>
          </cell>
          <cell r="Y230">
            <v>266</v>
          </cell>
          <cell r="Z230">
            <v>266</v>
          </cell>
          <cell r="AA230">
            <v>266</v>
          </cell>
          <cell r="AB230">
            <v>266</v>
          </cell>
          <cell r="AC230">
            <v>266</v>
          </cell>
          <cell r="AD230">
            <v>266</v>
          </cell>
          <cell r="AE230">
            <v>266</v>
          </cell>
          <cell r="AF230">
            <v>266</v>
          </cell>
          <cell r="AG230">
            <v>266</v>
          </cell>
          <cell r="AH230">
            <v>266</v>
          </cell>
        </row>
        <row r="231">
          <cell r="B231" t="str">
            <v>General - Nitrous oxide - GWP20 - Global - ton CO2eq/ton fuel</v>
          </cell>
          <cell r="G231">
            <v>251</v>
          </cell>
          <cell r="H231">
            <v>251</v>
          </cell>
          <cell r="I231">
            <v>251</v>
          </cell>
          <cell r="J231">
            <v>251</v>
          </cell>
          <cell r="K231">
            <v>251</v>
          </cell>
          <cell r="L231">
            <v>251</v>
          </cell>
          <cell r="M231">
            <v>251</v>
          </cell>
          <cell r="N231">
            <v>251</v>
          </cell>
          <cell r="O231">
            <v>251</v>
          </cell>
          <cell r="P231">
            <v>251</v>
          </cell>
          <cell r="Q231">
            <v>251</v>
          </cell>
          <cell r="R231">
            <v>251</v>
          </cell>
          <cell r="S231">
            <v>251</v>
          </cell>
          <cell r="T231">
            <v>251</v>
          </cell>
          <cell r="U231">
            <v>251</v>
          </cell>
          <cell r="V231">
            <v>251</v>
          </cell>
          <cell r="W231">
            <v>251</v>
          </cell>
          <cell r="X231">
            <v>251</v>
          </cell>
          <cell r="Y231">
            <v>251</v>
          </cell>
          <cell r="Z231">
            <v>251</v>
          </cell>
          <cell r="AA231">
            <v>251</v>
          </cell>
          <cell r="AB231">
            <v>251</v>
          </cell>
          <cell r="AC231">
            <v>251</v>
          </cell>
          <cell r="AD231">
            <v>251</v>
          </cell>
          <cell r="AE231">
            <v>251</v>
          </cell>
          <cell r="AF231">
            <v>251</v>
          </cell>
          <cell r="AG231">
            <v>251</v>
          </cell>
          <cell r="AH231">
            <v>251</v>
          </cell>
        </row>
        <row r="232">
          <cell r="B232" t="str">
            <v/>
          </cell>
        </row>
        <row r="233">
          <cell r="B233" t="str">
            <v>e-hydrogen (compressed) - Total emissions - WTW - Global - ton CO2/ton fuel</v>
          </cell>
          <cell r="G233">
            <v>0.29069928460653066</v>
          </cell>
          <cell r="H233">
            <v>0.29036818709700268</v>
          </cell>
          <cell r="I233">
            <v>0.28998000000000135</v>
          </cell>
          <cell r="J233">
            <v>0.28940257594781538</v>
          </cell>
          <cell r="K233">
            <v>0.28872889145140718</v>
          </cell>
          <cell r="L233">
            <v>0.28795894651077331</v>
          </cell>
          <cell r="M233">
            <v>0.28709274112591998</v>
          </cell>
          <cell r="N233">
            <v>0.28613027529683954</v>
          </cell>
          <cell r="O233">
            <v>0.28427104178214713</v>
          </cell>
          <cell r="P233">
            <v>0.28231892358064925</v>
          </cell>
          <cell r="Q233">
            <v>0.28027392069234119</v>
          </cell>
          <cell r="R233">
            <v>0.27813603311721824</v>
          </cell>
          <cell r="S233">
            <v>0.27590526085528855</v>
          </cell>
          <cell r="T233">
            <v>0.27357819323199506</v>
          </cell>
          <cell r="U233">
            <v>0.27118673282278699</v>
          </cell>
          <cell r="V233">
            <v>0.26873087962767428</v>
          </cell>
          <cell r="W233">
            <v>0.26621063364664344</v>
          </cell>
          <cell r="X233">
            <v>0.26362599487969779</v>
          </cell>
          <cell r="Y233">
            <v>0.26028322332369702</v>
          </cell>
          <cell r="Z233">
            <v>0.25697707164708095</v>
          </cell>
          <cell r="AA233">
            <v>0.25370753984985572</v>
          </cell>
          <cell r="AB233">
            <v>0.25047462793201525</v>
          </cell>
          <cell r="AC233">
            <v>0.2472783358935641</v>
          </cell>
          <cell r="AD233">
            <v>0.24460874010561368</v>
          </cell>
          <cell r="AE233">
            <v>0.24198615862228262</v>
          </cell>
          <cell r="AF233">
            <v>0.23941059144356966</v>
          </cell>
          <cell r="AG233">
            <v>0.23688203856947532</v>
          </cell>
          <cell r="AH233">
            <v>0.23440050000000018</v>
          </cell>
        </row>
        <row r="234">
          <cell r="B234" t="str">
            <v>e-hydrogen (compressed) - Total emissions - WTW - Global - ton CH4/ton fuel</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row>
        <row r="235">
          <cell r="B235" t="str">
            <v>e-hydrogen (compressed) - Total emissions - WTW - Global - ton N2O/ton fuel</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row>
        <row r="236">
          <cell r="B236" t="str">
            <v/>
          </cell>
        </row>
        <row r="237">
          <cell r="B237" t="str">
            <v>e-hydrogen (compressed) - Total emissions - TTW - Global - ton CO2/ton fuel</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row>
        <row r="238">
          <cell r="B238" t="str">
            <v>e-hydrogen (compressed) - Total emissions - TTW - Global - ton CH4/ton fuel</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row>
        <row r="239">
          <cell r="B239" t="str">
            <v>e-hydrogen (compressed) - Total emissions - TTW - Global - ton N2O/ton fuel</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row>
        <row r="240">
          <cell r="B240" t="str">
            <v>e-hydrogen (compressed) - TTW emissions (carbon dioxide) - Global - ton CO2/ton fuel</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row>
        <row r="241">
          <cell r="B241" t="str">
            <v>e-hydrogen (compressed) - TTW emissions (methane) - Global - ton CH4/ton fuel</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row>
        <row r="242">
          <cell r="B242" t="str">
            <v>e-hydrogen (compressed) - TTW emissions (nitrous oxide) - Global - ton N2O/ton fuel</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row>
        <row r="243">
          <cell r="B243" t="str">
            <v/>
          </cell>
        </row>
        <row r="244">
          <cell r="B244" t="str">
            <v>e-hydrogen (compressed) - Total emissions - WTT - Global - ton CO2eq/ton fuel</v>
          </cell>
          <cell r="G244">
            <v>0.29069928460653066</v>
          </cell>
          <cell r="H244">
            <v>0.29036818709700268</v>
          </cell>
          <cell r="I244">
            <v>0.28998000000000135</v>
          </cell>
          <cell r="J244">
            <v>0.28940257594781538</v>
          </cell>
          <cell r="K244">
            <v>0.28872889145140718</v>
          </cell>
          <cell r="L244">
            <v>0.28795894651077331</v>
          </cell>
          <cell r="M244">
            <v>0.28709274112591998</v>
          </cell>
          <cell r="N244">
            <v>0.28613027529683954</v>
          </cell>
          <cell r="O244">
            <v>0.28427104178214713</v>
          </cell>
          <cell r="P244">
            <v>0.28231892358064925</v>
          </cell>
          <cell r="Q244">
            <v>0.28027392069234119</v>
          </cell>
          <cell r="R244">
            <v>0.27813603311721824</v>
          </cell>
          <cell r="S244">
            <v>0.27590526085528855</v>
          </cell>
          <cell r="T244">
            <v>0.27357819323199506</v>
          </cell>
          <cell r="U244">
            <v>0.27118673282278699</v>
          </cell>
          <cell r="V244">
            <v>0.26873087962767428</v>
          </cell>
          <cell r="W244">
            <v>0.26621063364664344</v>
          </cell>
          <cell r="X244">
            <v>0.26362599487969779</v>
          </cell>
          <cell r="Y244">
            <v>0.26028322332369702</v>
          </cell>
          <cell r="Z244">
            <v>0.25697707164708095</v>
          </cell>
          <cell r="AA244">
            <v>0.25370753984985572</v>
          </cell>
          <cell r="AB244">
            <v>0.25047462793201525</v>
          </cell>
          <cell r="AC244">
            <v>0.2472783358935641</v>
          </cell>
          <cell r="AD244">
            <v>0.24460874010561368</v>
          </cell>
          <cell r="AE244">
            <v>0.24198615862228262</v>
          </cell>
          <cell r="AF244">
            <v>0.23941059144356966</v>
          </cell>
          <cell r="AG244">
            <v>0.23688203856947532</v>
          </cell>
          <cell r="AH244">
            <v>0.23440050000000018</v>
          </cell>
        </row>
        <row r="245">
          <cell r="B245" t="str">
            <v>e-hydrogen (compressed) - Total emissions - WTT - Global - ton CO2eq/ton fuel</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row>
        <row r="246">
          <cell r="B246" t="str">
            <v>e-hydrogen (compressed) - Total emissions - WTT - Global - ton CO2eq/ton fuel</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row>
        <row r="247">
          <cell r="B247" t="str">
            <v/>
          </cell>
        </row>
        <row r="248">
          <cell r="B248" t="str">
            <v>e-hydrogen (compressed) - Process-related emissions - WTT - Global - ton CO2/ton fuel</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row>
        <row r="249">
          <cell r="B249" t="str">
            <v>e-hydrogen (compressed) - Process-related emissions - WTT - Global - ton CH4/ton fuel</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row>
        <row r="250">
          <cell r="B250" t="str">
            <v>e-hydrogen (compressed) - Process-related emissions - WTT - Global - ton N2O/ton fuel</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row>
        <row r="251">
          <cell r="B251" t="str">
            <v>e-hydrogen (compressed) - Process WTT emissions (carbon dioxide) - Global - ton CO2/ton fuel</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row>
        <row r="252">
          <cell r="B252" t="str">
            <v>e-hydrogen (compressed) - Process WTT emissions (methane) - Global - ton CH4/ton fuel</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row>
        <row r="253">
          <cell r="B253" t="str">
            <v>e-hydrogen (compressed) - Process WTT emissions (nitrous oxide) - Global - ton N2O/ton fuel</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row>
        <row r="254">
          <cell r="B254" t="str">
            <v/>
          </cell>
        </row>
        <row r="255">
          <cell r="B255" t="str">
            <v>e-hydrogen (compressed) - Energy-related emissions - WTT - Global - ton CO2/ton fuel</v>
          </cell>
          <cell r="G255">
            <v>5.6385000000000003E-3</v>
          </cell>
          <cell r="H255">
            <v>5.6385000000000003E-3</v>
          </cell>
          <cell r="I255">
            <v>5.6385000000000003E-3</v>
          </cell>
          <cell r="J255">
            <v>5.6385000000000003E-3</v>
          </cell>
          <cell r="K255">
            <v>5.6385000000000003E-3</v>
          </cell>
          <cell r="L255">
            <v>5.6385000000000003E-3</v>
          </cell>
          <cell r="M255">
            <v>5.6385000000000003E-3</v>
          </cell>
          <cell r="N255">
            <v>5.6385000000000003E-3</v>
          </cell>
          <cell r="O255">
            <v>5.6385000000000003E-3</v>
          </cell>
          <cell r="P255">
            <v>5.6385000000000003E-3</v>
          </cell>
          <cell r="Q255">
            <v>5.6385000000000003E-3</v>
          </cell>
          <cell r="R255">
            <v>5.6385000000000003E-3</v>
          </cell>
          <cell r="S255">
            <v>5.6385000000000003E-3</v>
          </cell>
          <cell r="T255">
            <v>5.6385000000000003E-3</v>
          </cell>
          <cell r="U255">
            <v>5.6385000000000003E-3</v>
          </cell>
          <cell r="V255">
            <v>5.6385000000000003E-3</v>
          </cell>
          <cell r="W255">
            <v>5.6385000000000003E-3</v>
          </cell>
          <cell r="X255">
            <v>5.6385000000000003E-3</v>
          </cell>
          <cell r="Y255">
            <v>5.6385000000000003E-3</v>
          </cell>
          <cell r="Z255">
            <v>5.6385000000000003E-3</v>
          </cell>
          <cell r="AA255">
            <v>5.6385000000000003E-3</v>
          </cell>
          <cell r="AB255">
            <v>5.6385000000000003E-3</v>
          </cell>
          <cell r="AC255">
            <v>5.6385000000000003E-3</v>
          </cell>
          <cell r="AD255">
            <v>5.6385000000000003E-3</v>
          </cell>
          <cell r="AE255">
            <v>5.6385000000000003E-3</v>
          </cell>
          <cell r="AF255">
            <v>5.6385000000000003E-3</v>
          </cell>
          <cell r="AG255">
            <v>5.6385000000000003E-3</v>
          </cell>
          <cell r="AH255">
            <v>5.6385000000000003E-3</v>
          </cell>
        </row>
        <row r="256">
          <cell r="B256" t="str">
            <v>e-hydrogen (compressed) - Energy-related emissions - WTT - Global - ton CH4/ton fuel</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row>
        <row r="257">
          <cell r="B257" t="str">
            <v>e-hydrogen (compressed) - Energy-related emissions - WTT - Global - ton N2O/ton fuel</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row>
        <row r="258">
          <cell r="B258" t="str">
            <v>Renewable electricity - Feedstock WTT emissions (carbon dioxide) - Global - ton CO2/MWh</v>
          </cell>
          <cell r="G258">
            <v>5.3699999999999998E-3</v>
          </cell>
          <cell r="H258">
            <v>5.3699999999999998E-3</v>
          </cell>
          <cell r="I258">
            <v>5.3699999999999998E-3</v>
          </cell>
          <cell r="J258">
            <v>5.3699999999999998E-3</v>
          </cell>
          <cell r="K258">
            <v>5.3699999999999998E-3</v>
          </cell>
          <cell r="L258">
            <v>5.3699999999999998E-3</v>
          </cell>
          <cell r="M258">
            <v>5.3699999999999998E-3</v>
          </cell>
          <cell r="N258">
            <v>5.3699999999999998E-3</v>
          </cell>
          <cell r="O258">
            <v>5.3699999999999998E-3</v>
          </cell>
          <cell r="P258">
            <v>5.3699999999999998E-3</v>
          </cell>
          <cell r="Q258">
            <v>5.3699999999999998E-3</v>
          </cell>
          <cell r="R258">
            <v>5.3699999999999998E-3</v>
          </cell>
          <cell r="S258">
            <v>5.3699999999999998E-3</v>
          </cell>
          <cell r="T258">
            <v>5.3699999999999998E-3</v>
          </cell>
          <cell r="U258">
            <v>5.3699999999999998E-3</v>
          </cell>
          <cell r="V258">
            <v>5.3699999999999998E-3</v>
          </cell>
          <cell r="W258">
            <v>5.3699999999999998E-3</v>
          </cell>
          <cell r="X258">
            <v>5.3699999999999998E-3</v>
          </cell>
          <cell r="Y258">
            <v>5.3699999999999998E-3</v>
          </cell>
          <cell r="Z258">
            <v>5.3699999999999998E-3</v>
          </cell>
          <cell r="AA258">
            <v>5.3699999999999998E-3</v>
          </cell>
          <cell r="AB258">
            <v>5.3699999999999998E-3</v>
          </cell>
          <cell r="AC258">
            <v>5.3699999999999998E-3</v>
          </cell>
          <cell r="AD258">
            <v>5.3699999999999998E-3</v>
          </cell>
          <cell r="AE258">
            <v>5.3699999999999998E-3</v>
          </cell>
          <cell r="AF258">
            <v>5.3699999999999998E-3</v>
          </cell>
          <cell r="AG258">
            <v>5.3699999999999998E-3</v>
          </cell>
          <cell r="AH258">
            <v>5.3699999999999998E-3</v>
          </cell>
        </row>
        <row r="259">
          <cell r="B259" t="str">
            <v>Renewable electricity - Feedstock WTT emissions (methane) - Global - ton CH4/MWh</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row>
        <row r="260">
          <cell r="B260" t="str">
            <v>Renewable electricity - Feedstock WTT emissions (nitrous oxide) - Global - ton N2O/MWh</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row>
        <row r="261">
          <cell r="B261" t="str">
            <v>e-hydrogen (compressed) - Energy demand - Compression - Global - MWh/ton fuel</v>
          </cell>
          <cell r="G261">
            <v>1.05</v>
          </cell>
          <cell r="H261">
            <v>1.05</v>
          </cell>
          <cell r="I261">
            <v>1.05</v>
          </cell>
          <cell r="J261">
            <v>1.05</v>
          </cell>
          <cell r="K261">
            <v>1.05</v>
          </cell>
          <cell r="L261">
            <v>1.05</v>
          </cell>
          <cell r="M261">
            <v>1.05</v>
          </cell>
          <cell r="N261">
            <v>1.05</v>
          </cell>
          <cell r="O261">
            <v>1.05</v>
          </cell>
          <cell r="P261">
            <v>1.05</v>
          </cell>
          <cell r="Q261">
            <v>1.05</v>
          </cell>
          <cell r="R261">
            <v>1.05</v>
          </cell>
          <cell r="S261">
            <v>1.05</v>
          </cell>
          <cell r="T261">
            <v>1.05</v>
          </cell>
          <cell r="U261">
            <v>1.05</v>
          </cell>
          <cell r="V261">
            <v>1.05</v>
          </cell>
          <cell r="W261">
            <v>1.05</v>
          </cell>
          <cell r="X261">
            <v>1.05</v>
          </cell>
          <cell r="Y261">
            <v>1.05</v>
          </cell>
          <cell r="Z261">
            <v>1.05</v>
          </cell>
          <cell r="AA261">
            <v>1.05</v>
          </cell>
          <cell r="AB261">
            <v>1.05</v>
          </cell>
          <cell r="AC261">
            <v>1.05</v>
          </cell>
          <cell r="AD261">
            <v>1.05</v>
          </cell>
          <cell r="AE261">
            <v>1.05</v>
          </cell>
          <cell r="AF261">
            <v>1.05</v>
          </cell>
          <cell r="AG261">
            <v>1.05</v>
          </cell>
          <cell r="AH261">
            <v>1.05</v>
          </cell>
        </row>
        <row r="262">
          <cell r="B262" t="str">
            <v/>
          </cell>
        </row>
        <row r="263">
          <cell r="B263" t="str">
            <v>e-hydrogen (compressed) - Feedstock-related emissions - WTT - Global - ton CO2/ton fuel</v>
          </cell>
          <cell r="G263">
            <v>0.28506078460653067</v>
          </cell>
          <cell r="H263">
            <v>0.28472968709700269</v>
          </cell>
          <cell r="I263">
            <v>0.28434150000000136</v>
          </cell>
          <cell r="J263">
            <v>0.28376407594781539</v>
          </cell>
          <cell r="K263">
            <v>0.28309039145140719</v>
          </cell>
          <cell r="L263">
            <v>0.28232044651077332</v>
          </cell>
          <cell r="M263">
            <v>0.28145424112591999</v>
          </cell>
          <cell r="N263">
            <v>0.28049177529683955</v>
          </cell>
          <cell r="O263">
            <v>0.27863254178214714</v>
          </cell>
          <cell r="P263">
            <v>0.27668042358064926</v>
          </cell>
          <cell r="Q263">
            <v>0.2746354206923412</v>
          </cell>
          <cell r="R263">
            <v>0.27249753311721825</v>
          </cell>
          <cell r="S263">
            <v>0.27026676085528856</v>
          </cell>
          <cell r="T263">
            <v>0.26793969323199507</v>
          </cell>
          <cell r="U263">
            <v>0.265548232822787</v>
          </cell>
          <cell r="V263">
            <v>0.26309237962767429</v>
          </cell>
          <cell r="W263">
            <v>0.26057213364664344</v>
          </cell>
          <cell r="X263">
            <v>0.2579874948796978</v>
          </cell>
          <cell r="Y263">
            <v>0.25464472332369703</v>
          </cell>
          <cell r="Z263">
            <v>0.25133857164708095</v>
          </cell>
          <cell r="AA263">
            <v>0.2480690398498557</v>
          </cell>
          <cell r="AB263">
            <v>0.24483612793201526</v>
          </cell>
          <cell r="AC263">
            <v>0.24163983589356411</v>
          </cell>
          <cell r="AD263">
            <v>0.23897024010561368</v>
          </cell>
          <cell r="AE263">
            <v>0.23634765862228263</v>
          </cell>
          <cell r="AF263">
            <v>0.23377209144356967</v>
          </cell>
          <cell r="AG263">
            <v>0.23124353856947533</v>
          </cell>
          <cell r="AH263">
            <v>0.22876200000000019</v>
          </cell>
        </row>
        <row r="264">
          <cell r="B264" t="str">
            <v>e-hydrogen (compressed) - Feedstock-related emissions - WTT - Global - ton CH4/ton fuel</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row>
        <row r="265">
          <cell r="B265" t="str">
            <v>e-hydrogen (compressed) - Feedstock-related emissions - WTT - Global - ton N2O/ton fuel</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row>
        <row r="266">
          <cell r="B266" t="str">
            <v>e-hydrogen (compressed) - Feedstock WTT emissions (carbon dioxide) - Global - ton CO2/ton fuel</v>
          </cell>
          <cell r="G266">
            <v>0.28506078460653067</v>
          </cell>
          <cell r="H266">
            <v>0.28472968709700269</v>
          </cell>
          <cell r="I266">
            <v>0.28434150000000136</v>
          </cell>
          <cell r="J266">
            <v>0.28376407594781539</v>
          </cell>
          <cell r="K266">
            <v>0.28309039145140719</v>
          </cell>
          <cell r="L266">
            <v>0.28232044651077332</v>
          </cell>
          <cell r="M266">
            <v>0.28145424112591999</v>
          </cell>
          <cell r="N266">
            <v>0.28049177529683955</v>
          </cell>
          <cell r="O266">
            <v>0.27863254178214714</v>
          </cell>
          <cell r="P266">
            <v>0.27668042358064926</v>
          </cell>
          <cell r="Q266">
            <v>0.2746354206923412</v>
          </cell>
          <cell r="R266">
            <v>0.27249753311721825</v>
          </cell>
          <cell r="S266">
            <v>0.27026676085528856</v>
          </cell>
          <cell r="T266">
            <v>0.26793969323199507</v>
          </cell>
          <cell r="U266">
            <v>0.265548232822787</v>
          </cell>
          <cell r="V266">
            <v>0.26309237962767429</v>
          </cell>
          <cell r="W266">
            <v>0.26057213364664344</v>
          </cell>
          <cell r="X266">
            <v>0.2579874948796978</v>
          </cell>
          <cell r="Y266">
            <v>0.25464472332369703</v>
          </cell>
          <cell r="Z266">
            <v>0.25133857164708095</v>
          </cell>
          <cell r="AA266">
            <v>0.2480690398498557</v>
          </cell>
          <cell r="AB266">
            <v>0.24483612793201526</v>
          </cell>
          <cell r="AC266">
            <v>0.24163983589356411</v>
          </cell>
          <cell r="AD266">
            <v>0.23897024010561368</v>
          </cell>
          <cell r="AE266">
            <v>0.23634765862228263</v>
          </cell>
          <cell r="AF266">
            <v>0.23377209144356967</v>
          </cell>
          <cell r="AG266">
            <v>0.23124353856947533</v>
          </cell>
          <cell r="AH266">
            <v>0.22876200000000019</v>
          </cell>
        </row>
        <row r="267">
          <cell r="B267" t="str">
            <v>e-hydrogen (compressed) - Feedstock WTT emissions (methane) - Global - ton CH4/ton fuel</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row>
        <row r="268">
          <cell r="B268" t="str">
            <v>e-hydrogen (compressed) - Feedstock WTT emissions (nitrous oxide) - Global - ton N2O/ton fuel</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row>
        <row r="269">
          <cell r="B269" t="str">
            <v/>
          </cell>
        </row>
        <row r="270">
          <cell r="B270" t="str">
            <v>e-ammonia - Item - Region - Unit</v>
          </cell>
          <cell r="G270">
            <v>2023</v>
          </cell>
          <cell r="H270">
            <v>2024</v>
          </cell>
          <cell r="I270">
            <v>2025</v>
          </cell>
          <cell r="J270">
            <v>2026</v>
          </cell>
          <cell r="K270">
            <v>2027</v>
          </cell>
          <cell r="L270">
            <v>2028</v>
          </cell>
          <cell r="M270">
            <v>2029</v>
          </cell>
          <cell r="N270">
            <v>2030</v>
          </cell>
          <cell r="O270">
            <v>2031</v>
          </cell>
          <cell r="P270">
            <v>2032</v>
          </cell>
          <cell r="Q270">
            <v>2033</v>
          </cell>
          <cell r="R270">
            <v>2034</v>
          </cell>
          <cell r="S270">
            <v>2035</v>
          </cell>
          <cell r="T270">
            <v>2036</v>
          </cell>
          <cell r="U270">
            <v>2037</v>
          </cell>
          <cell r="V270">
            <v>2038</v>
          </cell>
          <cell r="W270">
            <v>2039</v>
          </cell>
          <cell r="X270">
            <v>2040</v>
          </cell>
          <cell r="Y270">
            <v>2041</v>
          </cell>
          <cell r="Z270">
            <v>2042</v>
          </cell>
          <cell r="AA270">
            <v>2043</v>
          </cell>
          <cell r="AB270">
            <v>2044</v>
          </cell>
          <cell r="AC270">
            <v>2045</v>
          </cell>
          <cell r="AD270">
            <v>2046</v>
          </cell>
          <cell r="AE270">
            <v>2047</v>
          </cell>
          <cell r="AF270">
            <v>2048</v>
          </cell>
          <cell r="AG270">
            <v>2049</v>
          </cell>
          <cell r="AH270">
            <v>2050</v>
          </cell>
        </row>
        <row r="271">
          <cell r="B271" t="str">
            <v/>
          </cell>
        </row>
        <row r="272">
          <cell r="B272" t="str">
            <v>e-ammonia - Total emissions - WTW - GWP100 - Global - ton CO2eq/ton fuel</v>
          </cell>
          <cell r="G272">
            <v>9.7809771229175502E-2</v>
          </cell>
          <cell r="H272">
            <v>9.7750173677460472E-2</v>
          </cell>
          <cell r="I272">
            <v>9.7680300000000234E-2</v>
          </cell>
          <cell r="J272">
            <v>9.7576363670606764E-2</v>
          </cell>
          <cell r="K272">
            <v>9.7455100461253275E-2</v>
          </cell>
          <cell r="L272">
            <v>9.7316510371939197E-2</v>
          </cell>
          <cell r="M272">
            <v>9.7160593402665585E-2</v>
          </cell>
          <cell r="N272">
            <v>9.6987349553431107E-2</v>
          </cell>
          <cell r="O272">
            <v>9.6652687520786484E-2</v>
          </cell>
          <cell r="P272">
            <v>9.6301306244516854E-2</v>
          </cell>
          <cell r="Q272">
            <v>9.5933205724621412E-2</v>
          </cell>
          <cell r="R272">
            <v>9.5548385961099269E-2</v>
          </cell>
          <cell r="S272">
            <v>9.5146846953951925E-2</v>
          </cell>
          <cell r="T272">
            <v>9.4727974781759094E-2</v>
          </cell>
          <cell r="U272">
            <v>9.429751190810165E-2</v>
          </cell>
          <cell r="V272">
            <v>9.3855458332981367E-2</v>
          </cell>
          <cell r="W272">
            <v>9.3401814056395804E-2</v>
          </cell>
          <cell r="X272">
            <v>9.2936579078345599E-2</v>
          </cell>
          <cell r="Y272">
            <v>9.2334880198265454E-2</v>
          </cell>
          <cell r="Z272">
            <v>9.1739772896474558E-2</v>
          </cell>
          <cell r="AA272">
            <v>9.1151257172974023E-2</v>
          </cell>
          <cell r="AB272">
            <v>9.0569333027762738E-2</v>
          </cell>
          <cell r="AC272">
            <v>8.9994000460841522E-2</v>
          </cell>
          <cell r="AD272">
            <v>8.9513473219010459E-2</v>
          </cell>
          <cell r="AE272">
            <v>8.904140855201087E-2</v>
          </cell>
          <cell r="AF272">
            <v>8.8577806459842534E-2</v>
          </cell>
          <cell r="AG272">
            <v>8.8122666942505548E-2</v>
          </cell>
          <cell r="AH272">
            <v>8.7675990000000023E-2</v>
          </cell>
        </row>
        <row r="273">
          <cell r="B273" t="str">
            <v>e-ammonia - Total emissions - WTW - GWP20 - Global - ton CO2eq/ton fuel</v>
          </cell>
          <cell r="G273">
            <v>9.7809771229175502E-2</v>
          </cell>
          <cell r="H273">
            <v>9.7750173677460472E-2</v>
          </cell>
          <cell r="I273">
            <v>9.7680300000000234E-2</v>
          </cell>
          <cell r="J273">
            <v>9.7576363670606764E-2</v>
          </cell>
          <cell r="K273">
            <v>9.7455100461253275E-2</v>
          </cell>
          <cell r="L273">
            <v>9.7316510371939197E-2</v>
          </cell>
          <cell r="M273">
            <v>9.7160593402665585E-2</v>
          </cell>
          <cell r="N273">
            <v>9.6987349553431107E-2</v>
          </cell>
          <cell r="O273">
            <v>9.6652687520786484E-2</v>
          </cell>
          <cell r="P273">
            <v>9.6301306244516854E-2</v>
          </cell>
          <cell r="Q273">
            <v>9.5933205724621412E-2</v>
          </cell>
          <cell r="R273">
            <v>9.5548385961099269E-2</v>
          </cell>
          <cell r="S273">
            <v>9.5146846953951925E-2</v>
          </cell>
          <cell r="T273">
            <v>9.4727974781759094E-2</v>
          </cell>
          <cell r="U273">
            <v>9.429751190810165E-2</v>
          </cell>
          <cell r="V273">
            <v>9.3855458332981367E-2</v>
          </cell>
          <cell r="W273">
            <v>9.3401814056395804E-2</v>
          </cell>
          <cell r="X273">
            <v>9.2936579078345599E-2</v>
          </cell>
          <cell r="Y273">
            <v>9.2334880198265454E-2</v>
          </cell>
          <cell r="Z273">
            <v>9.1739772896474558E-2</v>
          </cell>
          <cell r="AA273">
            <v>9.1151257172974023E-2</v>
          </cell>
          <cell r="AB273">
            <v>9.0569333027762738E-2</v>
          </cell>
          <cell r="AC273">
            <v>8.9994000460841522E-2</v>
          </cell>
          <cell r="AD273">
            <v>8.9513473219010459E-2</v>
          </cell>
          <cell r="AE273">
            <v>8.904140855201087E-2</v>
          </cell>
          <cell r="AF273">
            <v>8.8577806459842534E-2</v>
          </cell>
          <cell r="AG273">
            <v>8.8122666942505548E-2</v>
          </cell>
          <cell r="AH273">
            <v>8.7675990000000023E-2</v>
          </cell>
        </row>
        <row r="274">
          <cell r="B274" t="str">
            <v>e-ammonia - Total emissions - TTW - GWP100 - Global - ton CO2eq/ton fuel</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row>
        <row r="275">
          <cell r="B275" t="str">
            <v>e-ammonia - Total emissions - TTW - GWP20 - Global - ton CO2eq/ton fuel</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row>
        <row r="276">
          <cell r="B276" t="str">
            <v>e-ammonia - Total emissions - WTT - GWP100 - Global - ton CO2eq/ton fuel</v>
          </cell>
          <cell r="G276">
            <v>9.7809771229175502E-2</v>
          </cell>
          <cell r="H276">
            <v>9.7750173677460472E-2</v>
          </cell>
          <cell r="I276">
            <v>9.7680300000000234E-2</v>
          </cell>
          <cell r="J276">
            <v>9.7576363670606764E-2</v>
          </cell>
          <cell r="K276">
            <v>9.7455100461253275E-2</v>
          </cell>
          <cell r="L276">
            <v>9.7316510371939197E-2</v>
          </cell>
          <cell r="M276">
            <v>9.7160593402665585E-2</v>
          </cell>
          <cell r="N276">
            <v>9.6987349553431107E-2</v>
          </cell>
          <cell r="O276">
            <v>9.6652687520786484E-2</v>
          </cell>
          <cell r="P276">
            <v>9.6301306244516854E-2</v>
          </cell>
          <cell r="Q276">
            <v>9.5933205724621412E-2</v>
          </cell>
          <cell r="R276">
            <v>9.5548385961099269E-2</v>
          </cell>
          <cell r="S276">
            <v>9.5146846953951925E-2</v>
          </cell>
          <cell r="T276">
            <v>9.4727974781759094E-2</v>
          </cell>
          <cell r="U276">
            <v>9.429751190810165E-2</v>
          </cell>
          <cell r="V276">
            <v>9.3855458332981367E-2</v>
          </cell>
          <cell r="W276">
            <v>9.3401814056395804E-2</v>
          </cell>
          <cell r="X276">
            <v>9.2936579078345599E-2</v>
          </cell>
          <cell r="Y276">
            <v>9.2334880198265454E-2</v>
          </cell>
          <cell r="Z276">
            <v>9.1739772896474558E-2</v>
          </cell>
          <cell r="AA276">
            <v>9.1151257172974023E-2</v>
          </cell>
          <cell r="AB276">
            <v>9.0569333027762738E-2</v>
          </cell>
          <cell r="AC276">
            <v>8.9994000460841522E-2</v>
          </cell>
          <cell r="AD276">
            <v>8.9513473219010459E-2</v>
          </cell>
          <cell r="AE276">
            <v>8.904140855201087E-2</v>
          </cell>
          <cell r="AF276">
            <v>8.8577806459842534E-2</v>
          </cell>
          <cell r="AG276">
            <v>8.8122666942505548E-2</v>
          </cell>
          <cell r="AH276">
            <v>8.7675990000000023E-2</v>
          </cell>
        </row>
        <row r="277">
          <cell r="B277" t="str">
            <v>e-ammonia - Total emissions - WTT - GWP20 - Global - ton CO2eq/ton fuel</v>
          </cell>
          <cell r="G277">
            <v>9.7809771229175502E-2</v>
          </cell>
          <cell r="H277">
            <v>9.7750173677460472E-2</v>
          </cell>
          <cell r="I277">
            <v>9.7680300000000234E-2</v>
          </cell>
          <cell r="J277">
            <v>9.7576363670606764E-2</v>
          </cell>
          <cell r="K277">
            <v>9.7455100461253275E-2</v>
          </cell>
          <cell r="L277">
            <v>9.7316510371939197E-2</v>
          </cell>
          <cell r="M277">
            <v>9.7160593402665585E-2</v>
          </cell>
          <cell r="N277">
            <v>9.6987349553431107E-2</v>
          </cell>
          <cell r="O277">
            <v>9.6652687520786484E-2</v>
          </cell>
          <cell r="P277">
            <v>9.6301306244516854E-2</v>
          </cell>
          <cell r="Q277">
            <v>9.5933205724621412E-2</v>
          </cell>
          <cell r="R277">
            <v>9.5548385961099269E-2</v>
          </cell>
          <cell r="S277">
            <v>9.5146846953951925E-2</v>
          </cell>
          <cell r="T277">
            <v>9.4727974781759094E-2</v>
          </cell>
          <cell r="U277">
            <v>9.429751190810165E-2</v>
          </cell>
          <cell r="V277">
            <v>9.3855458332981367E-2</v>
          </cell>
          <cell r="W277">
            <v>9.3401814056395804E-2</v>
          </cell>
          <cell r="X277">
            <v>9.2936579078345599E-2</v>
          </cell>
          <cell r="Y277">
            <v>9.2334880198265454E-2</v>
          </cell>
          <cell r="Z277">
            <v>9.1739772896474558E-2</v>
          </cell>
          <cell r="AA277">
            <v>9.1151257172974023E-2</v>
          </cell>
          <cell r="AB277">
            <v>9.0569333027762738E-2</v>
          </cell>
          <cell r="AC277">
            <v>8.9994000460841522E-2</v>
          </cell>
          <cell r="AD277">
            <v>8.9513473219010459E-2</v>
          </cell>
          <cell r="AE277">
            <v>8.904140855201087E-2</v>
          </cell>
          <cell r="AF277">
            <v>8.8577806459842534E-2</v>
          </cell>
          <cell r="AG277">
            <v>8.8122666942505548E-2</v>
          </cell>
          <cell r="AH277">
            <v>8.7675990000000023E-2</v>
          </cell>
        </row>
        <row r="278">
          <cell r="B278" t="str">
            <v>General - Methane - GWP100 - Global - ton CO2eq/ton fuel</v>
          </cell>
          <cell r="G278">
            <v>29</v>
          </cell>
          <cell r="H278">
            <v>29</v>
          </cell>
          <cell r="I278">
            <v>29</v>
          </cell>
          <cell r="J278">
            <v>29</v>
          </cell>
          <cell r="K278">
            <v>29</v>
          </cell>
          <cell r="L278">
            <v>29</v>
          </cell>
          <cell r="M278">
            <v>29</v>
          </cell>
          <cell r="N278">
            <v>29</v>
          </cell>
          <cell r="O278">
            <v>29</v>
          </cell>
          <cell r="P278">
            <v>29</v>
          </cell>
          <cell r="Q278">
            <v>29</v>
          </cell>
          <cell r="R278">
            <v>29</v>
          </cell>
          <cell r="S278">
            <v>29</v>
          </cell>
          <cell r="T278">
            <v>29</v>
          </cell>
          <cell r="U278">
            <v>29</v>
          </cell>
          <cell r="V278">
            <v>29</v>
          </cell>
          <cell r="W278">
            <v>29</v>
          </cell>
          <cell r="X278">
            <v>29</v>
          </cell>
          <cell r="Y278">
            <v>29</v>
          </cell>
          <cell r="Z278">
            <v>29</v>
          </cell>
          <cell r="AA278">
            <v>29</v>
          </cell>
          <cell r="AB278">
            <v>29</v>
          </cell>
          <cell r="AC278">
            <v>29</v>
          </cell>
          <cell r="AD278">
            <v>29</v>
          </cell>
          <cell r="AE278">
            <v>29</v>
          </cell>
          <cell r="AF278">
            <v>29</v>
          </cell>
          <cell r="AG278">
            <v>29</v>
          </cell>
          <cell r="AH278">
            <v>29</v>
          </cell>
        </row>
        <row r="279">
          <cell r="B279" t="str">
            <v>General - Methane - GWP20 - Global - ton CO2eq/ton fuel</v>
          </cell>
          <cell r="G279">
            <v>85</v>
          </cell>
          <cell r="H279">
            <v>85</v>
          </cell>
          <cell r="I279">
            <v>85</v>
          </cell>
          <cell r="J279">
            <v>85</v>
          </cell>
          <cell r="K279">
            <v>85</v>
          </cell>
          <cell r="L279">
            <v>85</v>
          </cell>
          <cell r="M279">
            <v>85</v>
          </cell>
          <cell r="N279">
            <v>85</v>
          </cell>
          <cell r="O279">
            <v>85</v>
          </cell>
          <cell r="P279">
            <v>85</v>
          </cell>
          <cell r="Q279">
            <v>85</v>
          </cell>
          <cell r="R279">
            <v>85</v>
          </cell>
          <cell r="S279">
            <v>85</v>
          </cell>
          <cell r="T279">
            <v>85</v>
          </cell>
          <cell r="U279">
            <v>85</v>
          </cell>
          <cell r="V279">
            <v>85</v>
          </cell>
          <cell r="W279">
            <v>85</v>
          </cell>
          <cell r="X279">
            <v>85</v>
          </cell>
          <cell r="Y279">
            <v>85</v>
          </cell>
          <cell r="Z279">
            <v>85</v>
          </cell>
          <cell r="AA279">
            <v>85</v>
          </cell>
          <cell r="AB279">
            <v>85</v>
          </cell>
          <cell r="AC279">
            <v>85</v>
          </cell>
          <cell r="AD279">
            <v>85</v>
          </cell>
          <cell r="AE279">
            <v>85</v>
          </cell>
          <cell r="AF279">
            <v>85</v>
          </cell>
          <cell r="AG279">
            <v>85</v>
          </cell>
          <cell r="AH279">
            <v>85</v>
          </cell>
        </row>
        <row r="280">
          <cell r="B280" t="str">
            <v>General - Nitrous oxide - GWP100 - Global - ton CO2eq/ton fuel</v>
          </cell>
          <cell r="G280">
            <v>266</v>
          </cell>
          <cell r="H280">
            <v>266</v>
          </cell>
          <cell r="I280">
            <v>266</v>
          </cell>
          <cell r="J280">
            <v>266</v>
          </cell>
          <cell r="K280">
            <v>266</v>
          </cell>
          <cell r="L280">
            <v>266</v>
          </cell>
          <cell r="M280">
            <v>266</v>
          </cell>
          <cell r="N280">
            <v>266</v>
          </cell>
          <cell r="O280">
            <v>266</v>
          </cell>
          <cell r="P280">
            <v>266</v>
          </cell>
          <cell r="Q280">
            <v>266</v>
          </cell>
          <cell r="R280">
            <v>266</v>
          </cell>
          <cell r="S280">
            <v>266</v>
          </cell>
          <cell r="T280">
            <v>266</v>
          </cell>
          <cell r="U280">
            <v>266</v>
          </cell>
          <cell r="V280">
            <v>266</v>
          </cell>
          <cell r="W280">
            <v>266</v>
          </cell>
          <cell r="X280">
            <v>266</v>
          </cell>
          <cell r="Y280">
            <v>266</v>
          </cell>
          <cell r="Z280">
            <v>266</v>
          </cell>
          <cell r="AA280">
            <v>266</v>
          </cell>
          <cell r="AB280">
            <v>266</v>
          </cell>
          <cell r="AC280">
            <v>266</v>
          </cell>
          <cell r="AD280">
            <v>266</v>
          </cell>
          <cell r="AE280">
            <v>266</v>
          </cell>
          <cell r="AF280">
            <v>266</v>
          </cell>
          <cell r="AG280">
            <v>266</v>
          </cell>
          <cell r="AH280">
            <v>266</v>
          </cell>
        </row>
        <row r="281">
          <cell r="B281" t="str">
            <v>General - Nitrous oxide - GWP20 - Global - ton CO2eq/ton fuel</v>
          </cell>
          <cell r="G281">
            <v>251</v>
          </cell>
          <cell r="H281">
            <v>251</v>
          </cell>
          <cell r="I281">
            <v>251</v>
          </cell>
          <cell r="J281">
            <v>251</v>
          </cell>
          <cell r="K281">
            <v>251</v>
          </cell>
          <cell r="L281">
            <v>251</v>
          </cell>
          <cell r="M281">
            <v>251</v>
          </cell>
          <cell r="N281">
            <v>251</v>
          </cell>
          <cell r="O281">
            <v>251</v>
          </cell>
          <cell r="P281">
            <v>251</v>
          </cell>
          <cell r="Q281">
            <v>251</v>
          </cell>
          <cell r="R281">
            <v>251</v>
          </cell>
          <cell r="S281">
            <v>251</v>
          </cell>
          <cell r="T281">
            <v>251</v>
          </cell>
          <cell r="U281">
            <v>251</v>
          </cell>
          <cell r="V281">
            <v>251</v>
          </cell>
          <cell r="W281">
            <v>251</v>
          </cell>
          <cell r="X281">
            <v>251</v>
          </cell>
          <cell r="Y281">
            <v>251</v>
          </cell>
          <cell r="Z281">
            <v>251</v>
          </cell>
          <cell r="AA281">
            <v>251</v>
          </cell>
          <cell r="AB281">
            <v>251</v>
          </cell>
          <cell r="AC281">
            <v>251</v>
          </cell>
          <cell r="AD281">
            <v>251</v>
          </cell>
          <cell r="AE281">
            <v>251</v>
          </cell>
          <cell r="AF281">
            <v>251</v>
          </cell>
          <cell r="AG281">
            <v>251</v>
          </cell>
          <cell r="AH281">
            <v>251</v>
          </cell>
        </row>
        <row r="282">
          <cell r="B282" t="str">
            <v/>
          </cell>
        </row>
        <row r="283">
          <cell r="B283" t="str">
            <v>e-ammonia - Total emissions - WTW - Global - ton CO2/ton fuel</v>
          </cell>
          <cell r="G283">
            <v>9.7809771229175502E-2</v>
          </cell>
          <cell r="H283">
            <v>9.7750173677460472E-2</v>
          </cell>
          <cell r="I283">
            <v>9.7680300000000234E-2</v>
          </cell>
          <cell r="J283">
            <v>9.7576363670606764E-2</v>
          </cell>
          <cell r="K283">
            <v>9.7455100461253275E-2</v>
          </cell>
          <cell r="L283">
            <v>9.7316510371939197E-2</v>
          </cell>
          <cell r="M283">
            <v>9.7160593402665585E-2</v>
          </cell>
          <cell r="N283">
            <v>9.6987349553431107E-2</v>
          </cell>
          <cell r="O283">
            <v>9.6652687520786484E-2</v>
          </cell>
          <cell r="P283">
            <v>9.6301306244516854E-2</v>
          </cell>
          <cell r="Q283">
            <v>9.5933205724621412E-2</v>
          </cell>
          <cell r="R283">
            <v>9.5548385961099269E-2</v>
          </cell>
          <cell r="S283">
            <v>9.5146846953951925E-2</v>
          </cell>
          <cell r="T283">
            <v>9.4727974781759094E-2</v>
          </cell>
          <cell r="U283">
            <v>9.429751190810165E-2</v>
          </cell>
          <cell r="V283">
            <v>9.3855458332981367E-2</v>
          </cell>
          <cell r="W283">
            <v>9.3401814056395804E-2</v>
          </cell>
          <cell r="X283">
            <v>9.2936579078345599E-2</v>
          </cell>
          <cell r="Y283">
            <v>9.2334880198265454E-2</v>
          </cell>
          <cell r="Z283">
            <v>9.1739772896474558E-2</v>
          </cell>
          <cell r="AA283">
            <v>9.1151257172974023E-2</v>
          </cell>
          <cell r="AB283">
            <v>9.0569333027762738E-2</v>
          </cell>
          <cell r="AC283">
            <v>8.9994000460841522E-2</v>
          </cell>
          <cell r="AD283">
            <v>8.9513473219010459E-2</v>
          </cell>
          <cell r="AE283">
            <v>8.904140855201087E-2</v>
          </cell>
          <cell r="AF283">
            <v>8.8577806459842534E-2</v>
          </cell>
          <cell r="AG283">
            <v>8.8122666942505548E-2</v>
          </cell>
          <cell r="AH283">
            <v>8.7675990000000023E-2</v>
          </cell>
        </row>
        <row r="284">
          <cell r="B284" t="str">
            <v>e-ammonia - Total emissions - WTW - Global - ton CH4/ton fuel</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row>
        <row r="285">
          <cell r="B285" t="str">
            <v>e-ammonia - Total emissions - WTW - Global - ton N2O/ton fuel</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row>
        <row r="286">
          <cell r="B286" t="str">
            <v/>
          </cell>
        </row>
        <row r="287">
          <cell r="B287" t="str">
            <v>e-ammonia - Total emissions - TTW - Global - ton CO2/ton fuel</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row>
        <row r="288">
          <cell r="B288" t="str">
            <v>e-ammonia - Total emissions - TTW - Global - ton CH4/ton fuel</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row>
        <row r="289">
          <cell r="B289" t="str">
            <v>e-ammonia - Total emissions - TTW - Global - ton N2O/ton fuel</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row>
        <row r="290">
          <cell r="B290" t="str">
            <v>e-ammonia - TTW emissions (carbon dioxide) - Global - ton CO2/ton fuel</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row>
        <row r="291">
          <cell r="B291" t="str">
            <v>e-ammonia - TTW emissions (methane) - Global - ton CH4/ton fuel</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row>
        <row r="292">
          <cell r="B292" t="str">
            <v>e-ammonia - TTW emissions (nitrous oxide) - Global - ton N2O/ton fuel</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row>
        <row r="293">
          <cell r="B293" t="str">
            <v/>
          </cell>
        </row>
        <row r="294">
          <cell r="B294" t="str">
            <v>e-ammonia - Total emissions - WTT - Global - ton CO2eq/ton fuel</v>
          </cell>
          <cell r="G294">
            <v>9.7809771229175502E-2</v>
          </cell>
          <cell r="H294">
            <v>9.7750173677460472E-2</v>
          </cell>
          <cell r="I294">
            <v>9.7680300000000234E-2</v>
          </cell>
          <cell r="J294">
            <v>9.7576363670606764E-2</v>
          </cell>
          <cell r="K294">
            <v>9.7455100461253275E-2</v>
          </cell>
          <cell r="L294">
            <v>9.7316510371939197E-2</v>
          </cell>
          <cell r="M294">
            <v>9.7160593402665585E-2</v>
          </cell>
          <cell r="N294">
            <v>9.6987349553431107E-2</v>
          </cell>
          <cell r="O294">
            <v>9.6652687520786484E-2</v>
          </cell>
          <cell r="P294">
            <v>9.6301306244516854E-2</v>
          </cell>
          <cell r="Q294">
            <v>9.5933205724621412E-2</v>
          </cell>
          <cell r="R294">
            <v>9.5548385961099269E-2</v>
          </cell>
          <cell r="S294">
            <v>9.5146846953951925E-2</v>
          </cell>
          <cell r="T294">
            <v>9.4727974781759094E-2</v>
          </cell>
          <cell r="U294">
            <v>9.429751190810165E-2</v>
          </cell>
          <cell r="V294">
            <v>9.3855458332981367E-2</v>
          </cell>
          <cell r="W294">
            <v>9.3401814056395804E-2</v>
          </cell>
          <cell r="X294">
            <v>9.2936579078345599E-2</v>
          </cell>
          <cell r="Y294">
            <v>9.2334880198265454E-2</v>
          </cell>
          <cell r="Z294">
            <v>9.1739772896474558E-2</v>
          </cell>
          <cell r="AA294">
            <v>9.1151257172974023E-2</v>
          </cell>
          <cell r="AB294">
            <v>9.0569333027762738E-2</v>
          </cell>
          <cell r="AC294">
            <v>8.9994000460841522E-2</v>
          </cell>
          <cell r="AD294">
            <v>8.9513473219010459E-2</v>
          </cell>
          <cell r="AE294">
            <v>8.904140855201087E-2</v>
          </cell>
          <cell r="AF294">
            <v>8.8577806459842534E-2</v>
          </cell>
          <cell r="AG294">
            <v>8.8122666942505548E-2</v>
          </cell>
          <cell r="AH294">
            <v>8.7675990000000023E-2</v>
          </cell>
        </row>
        <row r="295">
          <cell r="B295" t="str">
            <v>e-ammonia - Total emissions - WTT - Global - ton CO2eq/ton fuel</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row>
        <row r="296">
          <cell r="B296" t="str">
            <v>e-ammonia - Total emissions - WTT - Global - ton CO2eq/ton fuel</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row>
        <row r="297">
          <cell r="B297" t="str">
            <v/>
          </cell>
        </row>
        <row r="298">
          <cell r="B298" t="str">
            <v>e-ammonia - Process-related emissions - WTT - Global - ton CO2/ton fuel</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row>
        <row r="299">
          <cell r="B299" t="str">
            <v>e-ammonia - Process-related emissions - WTT - Global - ton CH4/ton fuel</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row>
        <row r="300">
          <cell r="B300" t="str">
            <v>e-ammonia - Process-related emissions - WTT - Global - ton N2O/ton fuel</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row>
        <row r="301">
          <cell r="B301" t="str">
            <v>e-ammonia - Process WTT emissions (carbon dioxide) - Global - ton CO2/ton fuel</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row>
        <row r="302">
          <cell r="B302" t="str">
            <v>e-ammonia - Process WTT emissions (methane) - Global - ton CH4/ton fuel</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row>
        <row r="303">
          <cell r="B303" t="str">
            <v>e-ammonia - Process WTT emissions (nitrous oxide) - Global - ton N2O/ton fuel</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row>
        <row r="304">
          <cell r="B304" t="str">
            <v/>
          </cell>
        </row>
        <row r="305">
          <cell r="B305" t="str">
            <v>e-ammonia - Energy-related emissions - WTT - Global - ton CO2/ton fuel</v>
          </cell>
          <cell r="G305">
            <v>1.3424999999999999E-3</v>
          </cell>
          <cell r="H305">
            <v>1.3424999999999999E-3</v>
          </cell>
          <cell r="I305">
            <v>1.3424999999999999E-3</v>
          </cell>
          <cell r="J305">
            <v>1.3424999999999999E-3</v>
          </cell>
          <cell r="K305">
            <v>1.3424999999999999E-3</v>
          </cell>
          <cell r="L305">
            <v>1.3424999999999999E-3</v>
          </cell>
          <cell r="M305">
            <v>1.3424999999999999E-3</v>
          </cell>
          <cell r="N305">
            <v>1.3424999999999999E-3</v>
          </cell>
          <cell r="O305">
            <v>1.3424999999999999E-3</v>
          </cell>
          <cell r="P305">
            <v>1.3424999999999999E-3</v>
          </cell>
          <cell r="Q305">
            <v>1.3424999999999999E-3</v>
          </cell>
          <cell r="R305">
            <v>1.3424999999999999E-3</v>
          </cell>
          <cell r="S305">
            <v>1.3424999999999999E-3</v>
          </cell>
          <cell r="T305">
            <v>1.3424999999999999E-3</v>
          </cell>
          <cell r="U305">
            <v>1.3424999999999999E-3</v>
          </cell>
          <cell r="V305">
            <v>1.3424999999999999E-3</v>
          </cell>
          <cell r="W305">
            <v>1.3424999999999999E-3</v>
          </cell>
          <cell r="X305">
            <v>1.3424999999999999E-3</v>
          </cell>
          <cell r="Y305">
            <v>1.3424999999999999E-3</v>
          </cell>
          <cell r="Z305">
            <v>1.3424999999999999E-3</v>
          </cell>
          <cell r="AA305">
            <v>1.3424999999999999E-3</v>
          </cell>
          <cell r="AB305">
            <v>1.3424999999999999E-3</v>
          </cell>
          <cell r="AC305">
            <v>1.3424999999999999E-3</v>
          </cell>
          <cell r="AD305">
            <v>1.3424999999999999E-3</v>
          </cell>
          <cell r="AE305">
            <v>1.3424999999999999E-3</v>
          </cell>
          <cell r="AF305">
            <v>1.3424999999999999E-3</v>
          </cell>
          <cell r="AG305">
            <v>1.3424999999999999E-3</v>
          </cell>
          <cell r="AH305">
            <v>1.3424999999999999E-3</v>
          </cell>
        </row>
        <row r="306">
          <cell r="B306" t="str">
            <v>e-ammonia - Energy-related emissions - WTT - Global - ton CH4/ton fuel</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row>
        <row r="307">
          <cell r="B307" t="str">
            <v>e-ammonia - Energy-related emissions - WTT - Global - ton N2O/ton fuel</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row>
        <row r="308">
          <cell r="B308" t="str">
            <v>Renewable electricity - Feedstock WTT emissions (carbon dioxide) - Global - ton CO2/MWh</v>
          </cell>
          <cell r="G308">
            <v>5.3699999999999998E-3</v>
          </cell>
          <cell r="H308">
            <v>5.3699999999999998E-3</v>
          </cell>
          <cell r="I308">
            <v>5.3699999999999998E-3</v>
          </cell>
          <cell r="J308">
            <v>5.3699999999999998E-3</v>
          </cell>
          <cell r="K308">
            <v>5.3699999999999998E-3</v>
          </cell>
          <cell r="L308">
            <v>5.3699999999999998E-3</v>
          </cell>
          <cell r="M308">
            <v>5.3699999999999998E-3</v>
          </cell>
          <cell r="N308">
            <v>5.3699999999999998E-3</v>
          </cell>
          <cell r="O308">
            <v>5.3699999999999998E-3</v>
          </cell>
          <cell r="P308">
            <v>5.3699999999999998E-3</v>
          </cell>
          <cell r="Q308">
            <v>5.3699999999999998E-3</v>
          </cell>
          <cell r="R308">
            <v>5.3699999999999998E-3</v>
          </cell>
          <cell r="S308">
            <v>5.3699999999999998E-3</v>
          </cell>
          <cell r="T308">
            <v>5.3699999999999998E-3</v>
          </cell>
          <cell r="U308">
            <v>5.3699999999999998E-3</v>
          </cell>
          <cell r="V308">
            <v>5.3699999999999998E-3</v>
          </cell>
          <cell r="W308">
            <v>5.3699999999999998E-3</v>
          </cell>
          <cell r="X308">
            <v>5.3699999999999998E-3</v>
          </cell>
          <cell r="Y308">
            <v>5.3699999999999998E-3</v>
          </cell>
          <cell r="Z308">
            <v>5.3699999999999998E-3</v>
          </cell>
          <cell r="AA308">
            <v>5.3699999999999998E-3</v>
          </cell>
          <cell r="AB308">
            <v>5.3699999999999998E-3</v>
          </cell>
          <cell r="AC308">
            <v>5.3699999999999998E-3</v>
          </cell>
          <cell r="AD308">
            <v>5.3699999999999998E-3</v>
          </cell>
          <cell r="AE308">
            <v>5.3699999999999998E-3</v>
          </cell>
          <cell r="AF308">
            <v>5.3699999999999998E-3</v>
          </cell>
          <cell r="AG308">
            <v>5.3699999999999998E-3</v>
          </cell>
          <cell r="AH308">
            <v>5.3699999999999998E-3</v>
          </cell>
        </row>
        <row r="309">
          <cell r="B309" t="str">
            <v>Renewable electricity - Feedstock WTT emissions (methane) - Global - ton CH4/MWh</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row>
        <row r="310">
          <cell r="B310" t="str">
            <v>Renewable electricity - Feedstock WTT emissions (nitrous oxide) - Global - ton N2O/MWh</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row>
        <row r="311">
          <cell r="B311" t="str">
            <v>e-ammonia - Energy demand - Global - MWh/ton fuel</v>
          </cell>
          <cell r="G311">
            <v>0.25</v>
          </cell>
          <cell r="H311">
            <v>0.25</v>
          </cell>
          <cell r="I311">
            <v>0.25</v>
          </cell>
          <cell r="J311">
            <v>0.25</v>
          </cell>
          <cell r="K311">
            <v>0.25</v>
          </cell>
          <cell r="L311">
            <v>0.25</v>
          </cell>
          <cell r="M311">
            <v>0.25</v>
          </cell>
          <cell r="N311">
            <v>0.25</v>
          </cell>
          <cell r="O311">
            <v>0.25</v>
          </cell>
          <cell r="P311">
            <v>0.25</v>
          </cell>
          <cell r="Q311">
            <v>0.25</v>
          </cell>
          <cell r="R311">
            <v>0.25</v>
          </cell>
          <cell r="S311">
            <v>0.25</v>
          </cell>
          <cell r="T311">
            <v>0.25</v>
          </cell>
          <cell r="U311">
            <v>0.25</v>
          </cell>
          <cell r="V311">
            <v>0.25</v>
          </cell>
          <cell r="W311">
            <v>0.25</v>
          </cell>
          <cell r="X311">
            <v>0.25</v>
          </cell>
          <cell r="Y311">
            <v>0.25</v>
          </cell>
          <cell r="Z311">
            <v>0.25</v>
          </cell>
          <cell r="AA311">
            <v>0.25</v>
          </cell>
          <cell r="AB311">
            <v>0.25</v>
          </cell>
          <cell r="AC311">
            <v>0.25</v>
          </cell>
          <cell r="AD311">
            <v>0.25</v>
          </cell>
          <cell r="AE311">
            <v>0.25</v>
          </cell>
          <cell r="AF311">
            <v>0.25</v>
          </cell>
          <cell r="AG311">
            <v>0.25</v>
          </cell>
          <cell r="AH311">
            <v>0.25</v>
          </cell>
        </row>
        <row r="312">
          <cell r="B312" t="str">
            <v/>
          </cell>
        </row>
        <row r="313">
          <cell r="B313" t="str">
            <v>e-ammonia - Feedstock-related emissions - WTT - Global - ton CO2/ton fuel</v>
          </cell>
          <cell r="G313">
            <v>9.6467271229175505E-2</v>
          </cell>
          <cell r="H313">
            <v>9.6407673677460476E-2</v>
          </cell>
          <cell r="I313">
            <v>9.6337800000000237E-2</v>
          </cell>
          <cell r="J313">
            <v>9.6233863670606767E-2</v>
          </cell>
          <cell r="K313">
            <v>9.6112600461253278E-2</v>
          </cell>
          <cell r="L313">
            <v>9.59740103719392E-2</v>
          </cell>
          <cell r="M313">
            <v>9.5818093402665588E-2</v>
          </cell>
          <cell r="N313">
            <v>9.5644849553431111E-2</v>
          </cell>
          <cell r="O313">
            <v>9.5310187520786488E-2</v>
          </cell>
          <cell r="P313">
            <v>9.4958806244516858E-2</v>
          </cell>
          <cell r="Q313">
            <v>9.4590705724621416E-2</v>
          </cell>
          <cell r="R313">
            <v>9.4205885961099273E-2</v>
          </cell>
          <cell r="S313">
            <v>9.3804346953951928E-2</v>
          </cell>
          <cell r="T313">
            <v>9.3385474781759098E-2</v>
          </cell>
          <cell r="U313">
            <v>9.2955011908101653E-2</v>
          </cell>
          <cell r="V313">
            <v>9.2512958332981371E-2</v>
          </cell>
          <cell r="W313">
            <v>9.2059314056395808E-2</v>
          </cell>
          <cell r="X313">
            <v>9.1594079078345603E-2</v>
          </cell>
          <cell r="Y313">
            <v>9.0992380198265457E-2</v>
          </cell>
          <cell r="Z313">
            <v>9.0397272896474562E-2</v>
          </cell>
          <cell r="AA313">
            <v>8.9808757172974027E-2</v>
          </cell>
          <cell r="AB313">
            <v>8.9226833027762742E-2</v>
          </cell>
          <cell r="AC313">
            <v>8.8651500460841526E-2</v>
          </cell>
          <cell r="AD313">
            <v>8.8170973219010462E-2</v>
          </cell>
          <cell r="AE313">
            <v>8.7698908552010874E-2</v>
          </cell>
          <cell r="AF313">
            <v>8.7235306459842538E-2</v>
          </cell>
          <cell r="AG313">
            <v>8.6780166942505552E-2</v>
          </cell>
          <cell r="AH313">
            <v>8.6333490000000027E-2</v>
          </cell>
        </row>
        <row r="314">
          <cell r="B314" t="str">
            <v>e-ammonia - Feedstock-related emissions - WTT - Global - ton CH4/ton fuel</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row>
        <row r="315">
          <cell r="B315" t="str">
            <v>e-ammonia - Feedstock-related emissions - WTT - Global - ton N2O/ton fuel</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row>
        <row r="316">
          <cell r="B316" t="str">
            <v>e-hydrogen (compressed) - Feedstock WTT emissions (carbon dioxide) - Global - ton CO2/ton H2</v>
          </cell>
          <cell r="G316">
            <v>0.29069928460653066</v>
          </cell>
          <cell r="H316">
            <v>0.29036818709700268</v>
          </cell>
          <cell r="I316">
            <v>0.28998000000000135</v>
          </cell>
          <cell r="J316">
            <v>0.28940257594781538</v>
          </cell>
          <cell r="K316">
            <v>0.28872889145140718</v>
          </cell>
          <cell r="L316">
            <v>0.28795894651077331</v>
          </cell>
          <cell r="M316">
            <v>0.28709274112591998</v>
          </cell>
          <cell r="N316">
            <v>0.28613027529683954</v>
          </cell>
          <cell r="O316">
            <v>0.28427104178214713</v>
          </cell>
          <cell r="P316">
            <v>0.28231892358064925</v>
          </cell>
          <cell r="Q316">
            <v>0.28027392069234119</v>
          </cell>
          <cell r="R316">
            <v>0.27813603311721824</v>
          </cell>
          <cell r="S316">
            <v>0.27590526085528855</v>
          </cell>
          <cell r="T316">
            <v>0.27357819323199506</v>
          </cell>
          <cell r="U316">
            <v>0.27118673282278699</v>
          </cell>
          <cell r="V316">
            <v>0.26873087962767428</v>
          </cell>
          <cell r="W316">
            <v>0.26621063364664344</v>
          </cell>
          <cell r="X316">
            <v>0.26362599487969779</v>
          </cell>
          <cell r="Y316">
            <v>0.26028322332369702</v>
          </cell>
          <cell r="Z316">
            <v>0.25697707164708095</v>
          </cell>
          <cell r="AA316">
            <v>0.25370753984985572</v>
          </cell>
          <cell r="AB316">
            <v>0.25047462793201525</v>
          </cell>
          <cell r="AC316">
            <v>0.2472783358935641</v>
          </cell>
          <cell r="AD316">
            <v>0.24460874010561368</v>
          </cell>
          <cell r="AE316">
            <v>0.24198615862228262</v>
          </cell>
          <cell r="AF316">
            <v>0.23941059144356966</v>
          </cell>
          <cell r="AG316">
            <v>0.23688203856947532</v>
          </cell>
          <cell r="AH316">
            <v>0.23440050000000018</v>
          </cell>
        </row>
        <row r="317">
          <cell r="B317" t="str">
            <v>e-hydrogen (compressed) - Feedstock WTT emissions (methane) - Global - ton CH4/ton H2</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row>
        <row r="318">
          <cell r="B318" t="str">
            <v>e-hydrogen (compressed) - Feedstock WTT emissions (nitrous oxide) - Global - ton N2O/ton H2</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row>
        <row r="319">
          <cell r="B319" t="str">
            <v>Nitrogen - Feedstock WTT emissions (carbon dioxide) - Global - ton CO2/ton N2</v>
          </cell>
          <cell r="G319">
            <v>5.3699999999999998E-2</v>
          </cell>
          <cell r="H319">
            <v>5.3699999999999998E-2</v>
          </cell>
          <cell r="I319">
            <v>5.3699999999999998E-2</v>
          </cell>
          <cell r="J319">
            <v>5.3699999999999998E-2</v>
          </cell>
          <cell r="K319">
            <v>5.3699999999999998E-2</v>
          </cell>
          <cell r="L319">
            <v>5.3699999999999998E-2</v>
          </cell>
          <cell r="M319">
            <v>5.3699999999999998E-2</v>
          </cell>
          <cell r="N319">
            <v>5.3699999999999998E-2</v>
          </cell>
          <cell r="O319">
            <v>5.3699999999999998E-2</v>
          </cell>
          <cell r="P319">
            <v>5.3699999999999998E-2</v>
          </cell>
          <cell r="Q319">
            <v>5.3699999999999998E-2</v>
          </cell>
          <cell r="R319">
            <v>5.3699999999999998E-2</v>
          </cell>
          <cell r="S319">
            <v>5.3699999999999998E-2</v>
          </cell>
          <cell r="T319">
            <v>5.3699999999999998E-2</v>
          </cell>
          <cell r="U319">
            <v>5.3699999999999998E-2</v>
          </cell>
          <cell r="V319">
            <v>5.3699999999999998E-2</v>
          </cell>
          <cell r="W319">
            <v>5.3699999999999998E-2</v>
          </cell>
          <cell r="X319">
            <v>5.3699999999999998E-2</v>
          </cell>
          <cell r="Y319">
            <v>5.3699999999999998E-2</v>
          </cell>
          <cell r="Z319">
            <v>5.3699999999999998E-2</v>
          </cell>
          <cell r="AA319">
            <v>5.3699999999999998E-2</v>
          </cell>
          <cell r="AB319">
            <v>5.3699999999999998E-2</v>
          </cell>
          <cell r="AC319">
            <v>5.3699999999999998E-2</v>
          </cell>
          <cell r="AD319">
            <v>5.3699999999999998E-2</v>
          </cell>
          <cell r="AE319">
            <v>5.3699999999999998E-2</v>
          </cell>
          <cell r="AF319">
            <v>5.3699999999999998E-2</v>
          </cell>
          <cell r="AG319">
            <v>5.3699999999999998E-2</v>
          </cell>
          <cell r="AH319">
            <v>5.3699999999999998E-2</v>
          </cell>
        </row>
        <row r="320">
          <cell r="B320" t="str">
            <v>Nitrogen - Feedstock WTT emissions (methane) - Global - ton CH4/ton N2</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row>
        <row r="321">
          <cell r="B321" t="str">
            <v>Nitrogen - Feedstock WTT emissions (nitrous oxide) - Global - ton N2O/ton N2</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row>
        <row r="322">
          <cell r="B322" t="str">
            <v>e-ammonia - Conversion H2 -&gt; NH3 - Global - ton H2/ton NH3</v>
          </cell>
          <cell r="G322">
            <v>0.18</v>
          </cell>
          <cell r="H322">
            <v>0.18</v>
          </cell>
          <cell r="I322">
            <v>0.18</v>
          </cell>
          <cell r="J322">
            <v>0.18</v>
          </cell>
          <cell r="K322">
            <v>0.18</v>
          </cell>
          <cell r="L322">
            <v>0.18</v>
          </cell>
          <cell r="M322">
            <v>0.18</v>
          </cell>
          <cell r="N322">
            <v>0.18</v>
          </cell>
          <cell r="O322">
            <v>0.18</v>
          </cell>
          <cell r="P322">
            <v>0.18</v>
          </cell>
          <cell r="Q322">
            <v>0.18</v>
          </cell>
          <cell r="R322">
            <v>0.18</v>
          </cell>
          <cell r="S322">
            <v>0.18</v>
          </cell>
          <cell r="T322">
            <v>0.18</v>
          </cell>
          <cell r="U322">
            <v>0.18</v>
          </cell>
          <cell r="V322">
            <v>0.18</v>
          </cell>
          <cell r="W322">
            <v>0.18</v>
          </cell>
          <cell r="X322">
            <v>0.18</v>
          </cell>
          <cell r="Y322">
            <v>0.18</v>
          </cell>
          <cell r="Z322">
            <v>0.18</v>
          </cell>
          <cell r="AA322">
            <v>0.18</v>
          </cell>
          <cell r="AB322">
            <v>0.18</v>
          </cell>
          <cell r="AC322">
            <v>0.18</v>
          </cell>
          <cell r="AD322">
            <v>0.18</v>
          </cell>
          <cell r="AE322">
            <v>0.18</v>
          </cell>
          <cell r="AF322">
            <v>0.18</v>
          </cell>
          <cell r="AG322">
            <v>0.18</v>
          </cell>
          <cell r="AH322">
            <v>0.18</v>
          </cell>
        </row>
        <row r="323">
          <cell r="B323" t="str">
            <v>e-ammonia - Conversion N2 -&gt; NH3 - Global - ton N2/ton NH3</v>
          </cell>
          <cell r="G323">
            <v>0.82199999999999995</v>
          </cell>
          <cell r="H323">
            <v>0.82199999999999995</v>
          </cell>
          <cell r="I323">
            <v>0.82199999999999995</v>
          </cell>
          <cell r="J323">
            <v>0.82199999999999995</v>
          </cell>
          <cell r="K323">
            <v>0.82199999999999995</v>
          </cell>
          <cell r="L323">
            <v>0.82199999999999995</v>
          </cell>
          <cell r="M323">
            <v>0.82199999999999995</v>
          </cell>
          <cell r="N323">
            <v>0.82199999999999995</v>
          </cell>
          <cell r="O323">
            <v>0.82199999999999995</v>
          </cell>
          <cell r="P323">
            <v>0.82199999999999995</v>
          </cell>
          <cell r="Q323">
            <v>0.82199999999999995</v>
          </cell>
          <cell r="R323">
            <v>0.82199999999999995</v>
          </cell>
          <cell r="S323">
            <v>0.82199999999999995</v>
          </cell>
          <cell r="T323">
            <v>0.82199999999999995</v>
          </cell>
          <cell r="U323">
            <v>0.82199999999999995</v>
          </cell>
          <cell r="V323">
            <v>0.82199999999999995</v>
          </cell>
          <cell r="W323">
            <v>0.82199999999999995</v>
          </cell>
          <cell r="X323">
            <v>0.82199999999999995</v>
          </cell>
          <cell r="Y323">
            <v>0.82199999999999995</v>
          </cell>
          <cell r="Z323">
            <v>0.82199999999999995</v>
          </cell>
          <cell r="AA323">
            <v>0.82199999999999995</v>
          </cell>
          <cell r="AB323">
            <v>0.82199999999999995</v>
          </cell>
          <cell r="AC323">
            <v>0.82199999999999995</v>
          </cell>
          <cell r="AD323">
            <v>0.82199999999999995</v>
          </cell>
          <cell r="AE323">
            <v>0.82199999999999995</v>
          </cell>
          <cell r="AF323">
            <v>0.82199999999999995</v>
          </cell>
          <cell r="AG323">
            <v>0.82199999999999995</v>
          </cell>
          <cell r="AH323">
            <v>0.82199999999999995</v>
          </cell>
        </row>
        <row r="324">
          <cell r="B324" t="str">
            <v/>
          </cell>
        </row>
        <row r="325">
          <cell r="B325" t="str">
            <v>Carbon dioxide (DAC) - Item - Region - Unit</v>
          </cell>
          <cell r="G325">
            <v>2023</v>
          </cell>
          <cell r="H325">
            <v>2024</v>
          </cell>
          <cell r="I325">
            <v>2025</v>
          </cell>
          <cell r="J325">
            <v>2026</v>
          </cell>
          <cell r="K325">
            <v>2027</v>
          </cell>
          <cell r="L325">
            <v>2028</v>
          </cell>
          <cell r="M325">
            <v>2029</v>
          </cell>
          <cell r="N325">
            <v>2030</v>
          </cell>
          <cell r="O325">
            <v>2031</v>
          </cell>
          <cell r="P325">
            <v>2032</v>
          </cell>
          <cell r="Q325">
            <v>2033</v>
          </cell>
          <cell r="R325">
            <v>2034</v>
          </cell>
          <cell r="S325">
            <v>2035</v>
          </cell>
          <cell r="T325">
            <v>2036</v>
          </cell>
          <cell r="U325">
            <v>2037</v>
          </cell>
          <cell r="V325">
            <v>2038</v>
          </cell>
          <cell r="W325">
            <v>2039</v>
          </cell>
          <cell r="X325">
            <v>2040</v>
          </cell>
          <cell r="Y325">
            <v>2041</v>
          </cell>
          <cell r="Z325">
            <v>2042</v>
          </cell>
          <cell r="AA325">
            <v>2043</v>
          </cell>
          <cell r="AB325">
            <v>2044</v>
          </cell>
          <cell r="AC325">
            <v>2045</v>
          </cell>
          <cell r="AD325">
            <v>2046</v>
          </cell>
          <cell r="AE325">
            <v>2047</v>
          </cell>
          <cell r="AF325">
            <v>2048</v>
          </cell>
          <cell r="AG325">
            <v>2049</v>
          </cell>
          <cell r="AH325">
            <v>2050</v>
          </cell>
        </row>
        <row r="326">
          <cell r="B326" t="str">
            <v/>
          </cell>
        </row>
        <row r="327">
          <cell r="B327" t="str">
            <v>Carbon dioxide (DAC) - Total emissions - WTT - GWP100 - Global - ton CO2eq/ton fuel</v>
          </cell>
          <cell r="G327">
            <v>1.545466464376088E-2</v>
          </cell>
          <cell r="H327">
            <v>1.5245332321880432E-2</v>
          </cell>
          <cell r="I327">
            <v>1.503600000000006E-2</v>
          </cell>
          <cell r="J327">
            <v>1.4840291051553742E-2</v>
          </cell>
          <cell r="K327">
            <v>1.4644582103107425E-2</v>
          </cell>
          <cell r="L327">
            <v>1.4448873154661108E-2</v>
          </cell>
          <cell r="M327">
            <v>1.4253164206214789E-2</v>
          </cell>
          <cell r="N327">
            <v>1.4057455257768471E-2</v>
          </cell>
          <cell r="O327">
            <v>1.3874483071925844E-2</v>
          </cell>
          <cell r="P327">
            <v>1.3691510886083291E-2</v>
          </cell>
          <cell r="Q327">
            <v>1.3508538700240739E-2</v>
          </cell>
          <cell r="R327">
            <v>1.332556651439811E-2</v>
          </cell>
          <cell r="S327">
            <v>1.3142594328555482E-2</v>
          </cell>
          <cell r="T327">
            <v>1.2971529995228883E-2</v>
          </cell>
          <cell r="U327">
            <v>1.2800465661902361E-2</v>
          </cell>
          <cell r="V327">
            <v>1.2629401328575762E-2</v>
          </cell>
          <cell r="W327">
            <v>1.2458336995249239E-2</v>
          </cell>
          <cell r="X327">
            <v>1.228727266192268E-2</v>
          </cell>
          <cell r="Y327">
            <v>1.2127341216595585E-2</v>
          </cell>
          <cell r="Z327">
            <v>1.1967409771268492E-2</v>
          </cell>
          <cell r="AA327">
            <v>1.1807478325941397E-2</v>
          </cell>
          <cell r="AB327">
            <v>1.1647546880614342E-2</v>
          </cell>
          <cell r="AC327">
            <v>1.1487615435287249E-2</v>
          </cell>
          <cell r="AD327">
            <v>1.1338092348229828E-2</v>
          </cell>
          <cell r="AE327">
            <v>1.1188569261172371E-2</v>
          </cell>
          <cell r="AF327">
            <v>1.1039046174114914E-2</v>
          </cell>
          <cell r="AG327">
            <v>1.0889523087057457E-2</v>
          </cell>
          <cell r="AH327">
            <v>1.074E-2</v>
          </cell>
        </row>
        <row r="328">
          <cell r="B328" t="str">
            <v>Carbon dioxide (DAC) - Total emissions - WTT - GWP20 - Global - ton CO2eq/ton fuel</v>
          </cell>
          <cell r="G328">
            <v>1.545466464376088E-2</v>
          </cell>
          <cell r="H328">
            <v>1.5245332321880432E-2</v>
          </cell>
          <cell r="I328">
            <v>1.503600000000006E-2</v>
          </cell>
          <cell r="J328">
            <v>1.4840291051553742E-2</v>
          </cell>
          <cell r="K328">
            <v>1.4644582103107425E-2</v>
          </cell>
          <cell r="L328">
            <v>1.4448873154661108E-2</v>
          </cell>
          <cell r="M328">
            <v>1.4253164206214789E-2</v>
          </cell>
          <cell r="N328">
            <v>1.4057455257768471E-2</v>
          </cell>
          <cell r="O328">
            <v>1.3874483071925844E-2</v>
          </cell>
          <cell r="P328">
            <v>1.3691510886083291E-2</v>
          </cell>
          <cell r="Q328">
            <v>1.3508538700240739E-2</v>
          </cell>
          <cell r="R328">
            <v>1.332556651439811E-2</v>
          </cell>
          <cell r="S328">
            <v>1.3142594328555482E-2</v>
          </cell>
          <cell r="T328">
            <v>1.2971529995228883E-2</v>
          </cell>
          <cell r="U328">
            <v>1.2800465661902361E-2</v>
          </cell>
          <cell r="V328">
            <v>1.2629401328575762E-2</v>
          </cell>
          <cell r="W328">
            <v>1.2458336995249239E-2</v>
          </cell>
          <cell r="X328">
            <v>1.228727266192268E-2</v>
          </cell>
          <cell r="Y328">
            <v>1.2127341216595585E-2</v>
          </cell>
          <cell r="Z328">
            <v>1.1967409771268492E-2</v>
          </cell>
          <cell r="AA328">
            <v>1.1807478325941397E-2</v>
          </cell>
          <cell r="AB328">
            <v>1.1647546880614342E-2</v>
          </cell>
          <cell r="AC328">
            <v>1.1487615435287249E-2</v>
          </cell>
          <cell r="AD328">
            <v>1.1338092348229828E-2</v>
          </cell>
          <cell r="AE328">
            <v>1.1188569261172371E-2</v>
          </cell>
          <cell r="AF328">
            <v>1.1039046174114914E-2</v>
          </cell>
          <cell r="AG328">
            <v>1.0889523087057457E-2</v>
          </cell>
          <cell r="AH328">
            <v>1.074E-2</v>
          </cell>
        </row>
        <row r="329">
          <cell r="B329" t="str">
            <v>General - Methane - GWP100 - Global - ton CO2eq/ton fuel</v>
          </cell>
          <cell r="G329">
            <v>29</v>
          </cell>
          <cell r="H329">
            <v>29</v>
          </cell>
          <cell r="I329">
            <v>29</v>
          </cell>
          <cell r="J329">
            <v>29</v>
          </cell>
          <cell r="K329">
            <v>29</v>
          </cell>
          <cell r="L329">
            <v>29</v>
          </cell>
          <cell r="M329">
            <v>29</v>
          </cell>
          <cell r="N329">
            <v>29</v>
          </cell>
          <cell r="O329">
            <v>29</v>
          </cell>
          <cell r="P329">
            <v>29</v>
          </cell>
          <cell r="Q329">
            <v>29</v>
          </cell>
          <cell r="R329">
            <v>29</v>
          </cell>
          <cell r="S329">
            <v>29</v>
          </cell>
          <cell r="T329">
            <v>29</v>
          </cell>
          <cell r="U329">
            <v>29</v>
          </cell>
          <cell r="V329">
            <v>29</v>
          </cell>
          <cell r="W329">
            <v>29</v>
          </cell>
          <cell r="X329">
            <v>29</v>
          </cell>
          <cell r="Y329">
            <v>29</v>
          </cell>
          <cell r="Z329">
            <v>29</v>
          </cell>
          <cell r="AA329">
            <v>29</v>
          </cell>
          <cell r="AB329">
            <v>29</v>
          </cell>
          <cell r="AC329">
            <v>29</v>
          </cell>
          <cell r="AD329">
            <v>29</v>
          </cell>
          <cell r="AE329">
            <v>29</v>
          </cell>
          <cell r="AF329">
            <v>29</v>
          </cell>
          <cell r="AG329">
            <v>29</v>
          </cell>
          <cell r="AH329">
            <v>29</v>
          </cell>
        </row>
        <row r="330">
          <cell r="B330" t="str">
            <v>General - Methane - GWP20 - Global - ton CO2eq/ton fuel</v>
          </cell>
          <cell r="G330">
            <v>85</v>
          </cell>
          <cell r="H330">
            <v>85</v>
          </cell>
          <cell r="I330">
            <v>85</v>
          </cell>
          <cell r="J330">
            <v>85</v>
          </cell>
          <cell r="K330">
            <v>85</v>
          </cell>
          <cell r="L330">
            <v>85</v>
          </cell>
          <cell r="M330">
            <v>85</v>
          </cell>
          <cell r="N330">
            <v>85</v>
          </cell>
          <cell r="O330">
            <v>85</v>
          </cell>
          <cell r="P330">
            <v>85</v>
          </cell>
          <cell r="Q330">
            <v>85</v>
          </cell>
          <cell r="R330">
            <v>85</v>
          </cell>
          <cell r="S330">
            <v>85</v>
          </cell>
          <cell r="T330">
            <v>85</v>
          </cell>
          <cell r="U330">
            <v>85</v>
          </cell>
          <cell r="V330">
            <v>85</v>
          </cell>
          <cell r="W330">
            <v>85</v>
          </cell>
          <cell r="X330">
            <v>85</v>
          </cell>
          <cell r="Y330">
            <v>85</v>
          </cell>
          <cell r="Z330">
            <v>85</v>
          </cell>
          <cell r="AA330">
            <v>85</v>
          </cell>
          <cell r="AB330">
            <v>85</v>
          </cell>
          <cell r="AC330">
            <v>85</v>
          </cell>
          <cell r="AD330">
            <v>85</v>
          </cell>
          <cell r="AE330">
            <v>85</v>
          </cell>
          <cell r="AF330">
            <v>85</v>
          </cell>
          <cell r="AG330">
            <v>85</v>
          </cell>
          <cell r="AH330">
            <v>85</v>
          </cell>
        </row>
        <row r="331">
          <cell r="B331" t="str">
            <v>General - Nitrous oxide - GWP100 - Global - ton CO2eq/ton fuel</v>
          </cell>
          <cell r="G331">
            <v>266</v>
          </cell>
          <cell r="H331">
            <v>266</v>
          </cell>
          <cell r="I331">
            <v>266</v>
          </cell>
          <cell r="J331">
            <v>266</v>
          </cell>
          <cell r="K331">
            <v>266</v>
          </cell>
          <cell r="L331">
            <v>266</v>
          </cell>
          <cell r="M331">
            <v>266</v>
          </cell>
          <cell r="N331">
            <v>266</v>
          </cell>
          <cell r="O331">
            <v>266</v>
          </cell>
          <cell r="P331">
            <v>266</v>
          </cell>
          <cell r="Q331">
            <v>266</v>
          </cell>
          <cell r="R331">
            <v>266</v>
          </cell>
          <cell r="S331">
            <v>266</v>
          </cell>
          <cell r="T331">
            <v>266</v>
          </cell>
          <cell r="U331">
            <v>266</v>
          </cell>
          <cell r="V331">
            <v>266</v>
          </cell>
          <cell r="W331">
            <v>266</v>
          </cell>
          <cell r="X331">
            <v>266</v>
          </cell>
          <cell r="Y331">
            <v>266</v>
          </cell>
          <cell r="Z331">
            <v>266</v>
          </cell>
          <cell r="AA331">
            <v>266</v>
          </cell>
          <cell r="AB331">
            <v>266</v>
          </cell>
          <cell r="AC331">
            <v>266</v>
          </cell>
          <cell r="AD331">
            <v>266</v>
          </cell>
          <cell r="AE331">
            <v>266</v>
          </cell>
          <cell r="AF331">
            <v>266</v>
          </cell>
          <cell r="AG331">
            <v>266</v>
          </cell>
          <cell r="AH331">
            <v>266</v>
          </cell>
        </row>
        <row r="332">
          <cell r="B332" t="str">
            <v>General - Nitrous oxide - GWP20 - Global - ton CO2eq/ton fuel</v>
          </cell>
          <cell r="G332">
            <v>251</v>
          </cell>
          <cell r="H332">
            <v>251</v>
          </cell>
          <cell r="I332">
            <v>251</v>
          </cell>
          <cell r="J332">
            <v>251</v>
          </cell>
          <cell r="K332">
            <v>251</v>
          </cell>
          <cell r="L332">
            <v>251</v>
          </cell>
          <cell r="M332">
            <v>251</v>
          </cell>
          <cell r="N332">
            <v>251</v>
          </cell>
          <cell r="O332">
            <v>251</v>
          </cell>
          <cell r="P332">
            <v>251</v>
          </cell>
          <cell r="Q332">
            <v>251</v>
          </cell>
          <cell r="R332">
            <v>251</v>
          </cell>
          <cell r="S332">
            <v>251</v>
          </cell>
          <cell r="T332">
            <v>251</v>
          </cell>
          <cell r="U332">
            <v>251</v>
          </cell>
          <cell r="V332">
            <v>251</v>
          </cell>
          <cell r="W332">
            <v>251</v>
          </cell>
          <cell r="X332">
            <v>251</v>
          </cell>
          <cell r="Y332">
            <v>251</v>
          </cell>
          <cell r="Z332">
            <v>251</v>
          </cell>
          <cell r="AA332">
            <v>251</v>
          </cell>
          <cell r="AB332">
            <v>251</v>
          </cell>
          <cell r="AC332">
            <v>251</v>
          </cell>
          <cell r="AD332">
            <v>251</v>
          </cell>
          <cell r="AE332">
            <v>251</v>
          </cell>
          <cell r="AF332">
            <v>251</v>
          </cell>
          <cell r="AG332">
            <v>251</v>
          </cell>
          <cell r="AH332">
            <v>251</v>
          </cell>
        </row>
        <row r="333">
          <cell r="B333" t="str">
            <v/>
          </cell>
        </row>
        <row r="334">
          <cell r="B334" t="str">
            <v>Carbon dioxide (DAC) - Total emissions - WTT - Global - ton CO2eq/ton fuel</v>
          </cell>
          <cell r="G334">
            <v>1.545466464376088E-2</v>
          </cell>
          <cell r="H334">
            <v>1.5245332321880432E-2</v>
          </cell>
          <cell r="I334">
            <v>1.503600000000006E-2</v>
          </cell>
          <cell r="J334">
            <v>1.4840291051553742E-2</v>
          </cell>
          <cell r="K334">
            <v>1.4644582103107425E-2</v>
          </cell>
          <cell r="L334">
            <v>1.4448873154661108E-2</v>
          </cell>
          <cell r="M334">
            <v>1.4253164206214789E-2</v>
          </cell>
          <cell r="N334">
            <v>1.4057455257768471E-2</v>
          </cell>
          <cell r="O334">
            <v>1.3874483071925844E-2</v>
          </cell>
          <cell r="P334">
            <v>1.3691510886083291E-2</v>
          </cell>
          <cell r="Q334">
            <v>1.3508538700240739E-2</v>
          </cell>
          <cell r="R334">
            <v>1.332556651439811E-2</v>
          </cell>
          <cell r="S334">
            <v>1.3142594328555482E-2</v>
          </cell>
          <cell r="T334">
            <v>1.2971529995228883E-2</v>
          </cell>
          <cell r="U334">
            <v>1.2800465661902361E-2</v>
          </cell>
          <cell r="V334">
            <v>1.2629401328575762E-2</v>
          </cell>
          <cell r="W334">
            <v>1.2458336995249239E-2</v>
          </cell>
          <cell r="X334">
            <v>1.228727266192268E-2</v>
          </cell>
          <cell r="Y334">
            <v>1.2127341216595585E-2</v>
          </cell>
          <cell r="Z334">
            <v>1.1967409771268492E-2</v>
          </cell>
          <cell r="AA334">
            <v>1.1807478325941397E-2</v>
          </cell>
          <cell r="AB334">
            <v>1.1647546880614342E-2</v>
          </cell>
          <cell r="AC334">
            <v>1.1487615435287249E-2</v>
          </cell>
          <cell r="AD334">
            <v>1.1338092348229828E-2</v>
          </cell>
          <cell r="AE334">
            <v>1.1188569261172371E-2</v>
          </cell>
          <cell r="AF334">
            <v>1.1039046174114914E-2</v>
          </cell>
          <cell r="AG334">
            <v>1.0889523087057457E-2</v>
          </cell>
          <cell r="AH334">
            <v>1.074E-2</v>
          </cell>
        </row>
        <row r="335">
          <cell r="B335" t="str">
            <v>Carbon dioxide (DAC) - Total emissions - WTT - Global - ton CO2eq/ton fuel</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row>
        <row r="336">
          <cell r="B336" t="str">
            <v>Carbon dioxide (DAC) - Total emissions - WTT - Global - ton CO2eq/ton fuel</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row>
        <row r="337">
          <cell r="B337" t="str">
            <v/>
          </cell>
        </row>
        <row r="338">
          <cell r="B338" t="str">
            <v>Carbon dioxide (DAC) - Process-related emissions - WTT - Global - ton CO2/ton fuel</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row>
        <row r="339">
          <cell r="B339" t="str">
            <v>Carbon dioxide (DAC) - Process-related emissions - WTT - Global - ton CH4/ton fuel</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row>
        <row r="340">
          <cell r="B340" t="str">
            <v>Carbon dioxide (DAC) - Process-related emissions - WTT - Global - ton N2O/ton fuel</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row>
        <row r="341">
          <cell r="B341" t="str">
            <v>Carbon dioxide (DAC) - Process WTT emissions (carbon dioxide) - Global - ton CO2/ton fuel</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row>
        <row r="342">
          <cell r="B342" t="str">
            <v>Carbon dioxide (DAC) - Process WTT emissions (methane) - Global - ton CH4/ton fuel</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row>
        <row r="343">
          <cell r="B343" t="str">
            <v>Carbon dioxide (DAC) - Process WTT emissions (nitrous oxide) - Global - ton N2O/ton fuel</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row>
        <row r="344">
          <cell r="B344" t="str">
            <v/>
          </cell>
        </row>
        <row r="345">
          <cell r="B345" t="str">
            <v>Carbon dioxide (DAC) - Energy-related emissions - WTT - Global - ton CO2/ton fuel</v>
          </cell>
          <cell r="G345">
            <v>1.545466464376088E-2</v>
          </cell>
          <cell r="H345">
            <v>1.5245332321880432E-2</v>
          </cell>
          <cell r="I345">
            <v>1.503600000000006E-2</v>
          </cell>
          <cell r="J345">
            <v>1.4840291051553742E-2</v>
          </cell>
          <cell r="K345">
            <v>1.4644582103107425E-2</v>
          </cell>
          <cell r="L345">
            <v>1.4448873154661108E-2</v>
          </cell>
          <cell r="M345">
            <v>1.4253164206214789E-2</v>
          </cell>
          <cell r="N345">
            <v>1.4057455257768471E-2</v>
          </cell>
          <cell r="O345">
            <v>1.3874483071925844E-2</v>
          </cell>
          <cell r="P345">
            <v>1.3691510886083291E-2</v>
          </cell>
          <cell r="Q345">
            <v>1.3508538700240739E-2</v>
          </cell>
          <cell r="R345">
            <v>1.332556651439811E-2</v>
          </cell>
          <cell r="S345">
            <v>1.3142594328555482E-2</v>
          </cell>
          <cell r="T345">
            <v>1.2971529995228883E-2</v>
          </cell>
          <cell r="U345">
            <v>1.2800465661902361E-2</v>
          </cell>
          <cell r="V345">
            <v>1.2629401328575762E-2</v>
          </cell>
          <cell r="W345">
            <v>1.2458336995249239E-2</v>
          </cell>
          <cell r="X345">
            <v>1.228727266192268E-2</v>
          </cell>
          <cell r="Y345">
            <v>1.2127341216595585E-2</v>
          </cell>
          <cell r="Z345">
            <v>1.1967409771268492E-2</v>
          </cell>
          <cell r="AA345">
            <v>1.1807478325941397E-2</v>
          </cell>
          <cell r="AB345">
            <v>1.1647546880614342E-2</v>
          </cell>
          <cell r="AC345">
            <v>1.1487615435287249E-2</v>
          </cell>
          <cell r="AD345">
            <v>1.1338092348229828E-2</v>
          </cell>
          <cell r="AE345">
            <v>1.1188569261172371E-2</v>
          </cell>
          <cell r="AF345">
            <v>1.1039046174114914E-2</v>
          </cell>
          <cell r="AG345">
            <v>1.0889523087057457E-2</v>
          </cell>
          <cell r="AH345">
            <v>1.074E-2</v>
          </cell>
        </row>
        <row r="346">
          <cell r="B346" t="str">
            <v>Carbon dioxide (DAC) - Energy-related emissions - WTT - Global - ton CH4/ton fuel</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row>
        <row r="347">
          <cell r="B347" t="str">
            <v>Carbon dioxide (DAC) - Energy-related emissions - WTT - Global - ton N2O/ton fuel</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row>
        <row r="348">
          <cell r="B348" t="str">
            <v>Renewable electricity - Feedstock WTT emissions (carbon dioxide) - Global - ton CO2/MWh</v>
          </cell>
          <cell r="G348">
            <v>5.3699999999999998E-3</v>
          </cell>
          <cell r="H348">
            <v>5.3699999999999998E-3</v>
          </cell>
          <cell r="I348">
            <v>5.3699999999999998E-3</v>
          </cell>
          <cell r="J348">
            <v>5.3699999999999998E-3</v>
          </cell>
          <cell r="K348">
            <v>5.3699999999999998E-3</v>
          </cell>
          <cell r="L348">
            <v>5.3699999999999998E-3</v>
          </cell>
          <cell r="M348">
            <v>5.3699999999999998E-3</v>
          </cell>
          <cell r="N348">
            <v>5.3699999999999998E-3</v>
          </cell>
          <cell r="O348">
            <v>5.3699999999999998E-3</v>
          </cell>
          <cell r="P348">
            <v>5.3699999999999998E-3</v>
          </cell>
          <cell r="Q348">
            <v>5.3699999999999998E-3</v>
          </cell>
          <cell r="R348">
            <v>5.3699999999999998E-3</v>
          </cell>
          <cell r="S348">
            <v>5.3699999999999998E-3</v>
          </cell>
          <cell r="T348">
            <v>5.3699999999999998E-3</v>
          </cell>
          <cell r="U348">
            <v>5.3699999999999998E-3</v>
          </cell>
          <cell r="V348">
            <v>5.3699999999999998E-3</v>
          </cell>
          <cell r="W348">
            <v>5.3699999999999998E-3</v>
          </cell>
          <cell r="X348">
            <v>5.3699999999999998E-3</v>
          </cell>
          <cell r="Y348">
            <v>5.3699999999999998E-3</v>
          </cell>
          <cell r="Z348">
            <v>5.3699999999999998E-3</v>
          </cell>
          <cell r="AA348">
            <v>5.3699999999999998E-3</v>
          </cell>
          <cell r="AB348">
            <v>5.3699999999999998E-3</v>
          </cell>
          <cell r="AC348">
            <v>5.3699999999999998E-3</v>
          </cell>
          <cell r="AD348">
            <v>5.3699999999999998E-3</v>
          </cell>
          <cell r="AE348">
            <v>5.3699999999999998E-3</v>
          </cell>
          <cell r="AF348">
            <v>5.3699999999999998E-3</v>
          </cell>
          <cell r="AG348">
            <v>5.3699999999999998E-3</v>
          </cell>
          <cell r="AH348">
            <v>5.3699999999999998E-3</v>
          </cell>
        </row>
        <row r="349">
          <cell r="B349" t="str">
            <v>Renewable electricity - Feedstock WTT emissions (methane) - Global - ton CH4/MWh</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row>
        <row r="350">
          <cell r="B350" t="str">
            <v>Renewable electricity - Feedstock WTT emissions (nitrous oxide) - Global - ton N2O/MWh</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row>
        <row r="351">
          <cell r="B351" t="str">
            <v>Carbon dioxide (DAC) - Energy demand - Global - MWh/ton fuel</v>
          </cell>
          <cell r="G351">
            <v>2.877963620812082</v>
          </cell>
          <cell r="H351">
            <v>2.8389818104060396</v>
          </cell>
          <cell r="I351">
            <v>2.8000000000000114</v>
          </cell>
          <cell r="J351">
            <v>2.7635551306431552</v>
          </cell>
          <cell r="K351">
            <v>2.727110261286299</v>
          </cell>
          <cell r="L351">
            <v>2.6906653919294428</v>
          </cell>
          <cell r="M351">
            <v>2.6542205225725866</v>
          </cell>
          <cell r="N351">
            <v>2.6177756532157304</v>
          </cell>
          <cell r="O351">
            <v>2.5837026204703619</v>
          </cell>
          <cell r="P351">
            <v>2.5496295877250077</v>
          </cell>
          <cell r="Q351">
            <v>2.5155565549796535</v>
          </cell>
          <cell r="R351">
            <v>2.481483522234285</v>
          </cell>
          <cell r="S351">
            <v>2.4474104894889166</v>
          </cell>
          <cell r="T351">
            <v>2.4155549339346152</v>
          </cell>
          <cell r="U351">
            <v>2.383699378380328</v>
          </cell>
          <cell r="V351">
            <v>2.3518438228260266</v>
          </cell>
          <cell r="W351">
            <v>2.3199882672717393</v>
          </cell>
          <cell r="X351">
            <v>2.288132711717445</v>
          </cell>
          <cell r="Y351">
            <v>2.2583503196639825</v>
          </cell>
          <cell r="Z351">
            <v>2.2285679276105199</v>
          </cell>
          <cell r="AA351">
            <v>2.1987855355570574</v>
          </cell>
          <cell r="AB351">
            <v>2.1690031435036019</v>
          </cell>
          <cell r="AC351">
            <v>2.1392207514501393</v>
          </cell>
          <cell r="AD351">
            <v>2.1113766011601172</v>
          </cell>
          <cell r="AE351">
            <v>2.0835324508700879</v>
          </cell>
          <cell r="AF351">
            <v>2.0556883005800586</v>
          </cell>
          <cell r="AG351">
            <v>2.0278441502900293</v>
          </cell>
          <cell r="AH351">
            <v>2</v>
          </cell>
        </row>
        <row r="352">
          <cell r="B352" t="str">
            <v/>
          </cell>
        </row>
        <row r="353">
          <cell r="B353" t="str">
            <v>Carbon dioxide (DAC) - Feedstock-related emissions - WTT - Global - ton CO2/ton fuel</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row>
        <row r="354">
          <cell r="B354" t="str">
            <v>Carbon dioxide (DAC) - Feedstock-related emissions - WTT - Global - ton CH4/ton fuel</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row>
        <row r="355">
          <cell r="B355" t="str">
            <v>Carbon dioxide (DAC) - Feedstock-related emissions - WTT - Global - ton N2O/ton fuel</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row>
        <row r="356">
          <cell r="B356" t="str">
            <v/>
          </cell>
        </row>
        <row r="357">
          <cell r="B357" t="str">
            <v>Carbon dioxide (PS) - Item - Region - Unit</v>
          </cell>
          <cell r="G357">
            <v>2023</v>
          </cell>
          <cell r="H357">
            <v>2024</v>
          </cell>
          <cell r="I357">
            <v>2025</v>
          </cell>
          <cell r="J357">
            <v>2026</v>
          </cell>
          <cell r="K357">
            <v>2027</v>
          </cell>
          <cell r="L357">
            <v>2028</v>
          </cell>
          <cell r="M357">
            <v>2029</v>
          </cell>
          <cell r="N357">
            <v>2030</v>
          </cell>
          <cell r="O357">
            <v>2031</v>
          </cell>
          <cell r="P357">
            <v>2032</v>
          </cell>
          <cell r="Q357">
            <v>2033</v>
          </cell>
          <cell r="R357">
            <v>2034</v>
          </cell>
          <cell r="S357">
            <v>2035</v>
          </cell>
          <cell r="T357">
            <v>2036</v>
          </cell>
          <cell r="U357">
            <v>2037</v>
          </cell>
          <cell r="V357">
            <v>2038</v>
          </cell>
          <cell r="W357">
            <v>2039</v>
          </cell>
          <cell r="X357">
            <v>2040</v>
          </cell>
          <cell r="Y357">
            <v>2041</v>
          </cell>
          <cell r="Z357">
            <v>2042</v>
          </cell>
          <cell r="AA357">
            <v>2043</v>
          </cell>
          <cell r="AB357">
            <v>2044</v>
          </cell>
          <cell r="AC357">
            <v>2045</v>
          </cell>
          <cell r="AD357">
            <v>2046</v>
          </cell>
          <cell r="AE357">
            <v>2047</v>
          </cell>
          <cell r="AF357">
            <v>2048</v>
          </cell>
          <cell r="AG357">
            <v>2049</v>
          </cell>
          <cell r="AH357">
            <v>2050</v>
          </cell>
        </row>
        <row r="358">
          <cell r="B358" t="str">
            <v/>
          </cell>
        </row>
        <row r="359">
          <cell r="B359" t="str">
            <v>Carbon dioxide (PS) - Total emissions - WTT - GWP100 - Global - ton CO2eq/ton fuel</v>
          </cell>
          <cell r="G359">
            <v>2.4164999999999998E-3</v>
          </cell>
          <cell r="H359">
            <v>2.4164999999999998E-3</v>
          </cell>
          <cell r="I359">
            <v>2.4164999999999998E-3</v>
          </cell>
          <cell r="J359">
            <v>2.4164999999999998E-3</v>
          </cell>
          <cell r="K359">
            <v>2.4164999999999998E-3</v>
          </cell>
          <cell r="L359">
            <v>2.4164999999999998E-3</v>
          </cell>
          <cell r="M359">
            <v>2.4164999999999998E-3</v>
          </cell>
          <cell r="N359">
            <v>2.4164999999999998E-3</v>
          </cell>
          <cell r="O359">
            <v>2.4164999999999998E-3</v>
          </cell>
          <cell r="P359">
            <v>2.4164999999999998E-3</v>
          </cell>
          <cell r="Q359">
            <v>2.4164999999999998E-3</v>
          </cell>
          <cell r="R359">
            <v>2.4164999999999998E-3</v>
          </cell>
          <cell r="S359">
            <v>2.4164999999999998E-3</v>
          </cell>
          <cell r="T359">
            <v>2.4164999999999998E-3</v>
          </cell>
          <cell r="U359">
            <v>2.4164999999999998E-3</v>
          </cell>
          <cell r="V359">
            <v>2.4164999999999998E-3</v>
          </cell>
          <cell r="W359">
            <v>2.4164999999999998E-3</v>
          </cell>
          <cell r="X359">
            <v>2.4164999999999998E-3</v>
          </cell>
          <cell r="Y359">
            <v>2.4164999999999998E-3</v>
          </cell>
          <cell r="Z359">
            <v>2.4164999999999998E-3</v>
          </cell>
          <cell r="AA359">
            <v>2.4164999999999998E-3</v>
          </cell>
          <cell r="AB359">
            <v>2.4164999999999998E-3</v>
          </cell>
          <cell r="AC359">
            <v>2.4164999999999998E-3</v>
          </cell>
          <cell r="AD359">
            <v>2.4164999999999998E-3</v>
          </cell>
          <cell r="AE359">
            <v>2.4164999999999998E-3</v>
          </cell>
          <cell r="AF359">
            <v>2.4164999999999998E-3</v>
          </cell>
          <cell r="AG359">
            <v>2.4164999999999998E-3</v>
          </cell>
          <cell r="AH359">
            <v>2.4164999999999998E-3</v>
          </cell>
        </row>
        <row r="360">
          <cell r="B360" t="str">
            <v>Carbon dioxide (PS) - Total emissions - WTT - GWP20 - Global - ton CO2eq/ton fuel</v>
          </cell>
          <cell r="G360">
            <v>2.4164999999999998E-3</v>
          </cell>
          <cell r="H360">
            <v>2.4164999999999998E-3</v>
          </cell>
          <cell r="I360">
            <v>2.4164999999999998E-3</v>
          </cell>
          <cell r="J360">
            <v>2.4164999999999998E-3</v>
          </cell>
          <cell r="K360">
            <v>2.4164999999999998E-3</v>
          </cell>
          <cell r="L360">
            <v>2.4164999999999998E-3</v>
          </cell>
          <cell r="M360">
            <v>2.4164999999999998E-3</v>
          </cell>
          <cell r="N360">
            <v>2.4164999999999998E-3</v>
          </cell>
          <cell r="O360">
            <v>2.4164999999999998E-3</v>
          </cell>
          <cell r="P360">
            <v>2.4164999999999998E-3</v>
          </cell>
          <cell r="Q360">
            <v>2.4164999999999998E-3</v>
          </cell>
          <cell r="R360">
            <v>2.4164999999999998E-3</v>
          </cell>
          <cell r="S360">
            <v>2.4164999999999998E-3</v>
          </cell>
          <cell r="T360">
            <v>2.4164999999999998E-3</v>
          </cell>
          <cell r="U360">
            <v>2.4164999999999998E-3</v>
          </cell>
          <cell r="V360">
            <v>2.4164999999999998E-3</v>
          </cell>
          <cell r="W360">
            <v>2.4164999999999998E-3</v>
          </cell>
          <cell r="X360">
            <v>2.4164999999999998E-3</v>
          </cell>
          <cell r="Y360">
            <v>2.4164999999999998E-3</v>
          </cell>
          <cell r="Z360">
            <v>2.4164999999999998E-3</v>
          </cell>
          <cell r="AA360">
            <v>2.4164999999999998E-3</v>
          </cell>
          <cell r="AB360">
            <v>2.4164999999999998E-3</v>
          </cell>
          <cell r="AC360">
            <v>2.4164999999999998E-3</v>
          </cell>
          <cell r="AD360">
            <v>2.4164999999999998E-3</v>
          </cell>
          <cell r="AE360">
            <v>2.4164999999999998E-3</v>
          </cell>
          <cell r="AF360">
            <v>2.4164999999999998E-3</v>
          </cell>
          <cell r="AG360">
            <v>2.4164999999999998E-3</v>
          </cell>
          <cell r="AH360">
            <v>2.4164999999999998E-3</v>
          </cell>
        </row>
        <row r="361">
          <cell r="B361" t="str">
            <v>General - Methane - GWP100 - Global - ton CO2eq/ton fuel</v>
          </cell>
          <cell r="G361">
            <v>29</v>
          </cell>
          <cell r="H361">
            <v>29</v>
          </cell>
          <cell r="I361">
            <v>29</v>
          </cell>
          <cell r="J361">
            <v>29</v>
          </cell>
          <cell r="K361">
            <v>29</v>
          </cell>
          <cell r="L361">
            <v>29</v>
          </cell>
          <cell r="M361">
            <v>29</v>
          </cell>
          <cell r="N361">
            <v>29</v>
          </cell>
          <cell r="O361">
            <v>29</v>
          </cell>
          <cell r="P361">
            <v>29</v>
          </cell>
          <cell r="Q361">
            <v>29</v>
          </cell>
          <cell r="R361">
            <v>29</v>
          </cell>
          <cell r="S361">
            <v>29</v>
          </cell>
          <cell r="T361">
            <v>29</v>
          </cell>
          <cell r="U361">
            <v>29</v>
          </cell>
          <cell r="V361">
            <v>29</v>
          </cell>
          <cell r="W361">
            <v>29</v>
          </cell>
          <cell r="X361">
            <v>29</v>
          </cell>
          <cell r="Y361">
            <v>29</v>
          </cell>
          <cell r="Z361">
            <v>29</v>
          </cell>
          <cell r="AA361">
            <v>29</v>
          </cell>
          <cell r="AB361">
            <v>29</v>
          </cell>
          <cell r="AC361">
            <v>29</v>
          </cell>
          <cell r="AD361">
            <v>29</v>
          </cell>
          <cell r="AE361">
            <v>29</v>
          </cell>
          <cell r="AF361">
            <v>29</v>
          </cell>
          <cell r="AG361">
            <v>29</v>
          </cell>
          <cell r="AH361">
            <v>29</v>
          </cell>
        </row>
        <row r="362">
          <cell r="B362" t="str">
            <v>General - Methane - GWP20 - Global - ton CO2eq/ton fuel</v>
          </cell>
          <cell r="G362">
            <v>85</v>
          </cell>
          <cell r="H362">
            <v>85</v>
          </cell>
          <cell r="I362">
            <v>85</v>
          </cell>
          <cell r="J362">
            <v>85</v>
          </cell>
          <cell r="K362">
            <v>85</v>
          </cell>
          <cell r="L362">
            <v>85</v>
          </cell>
          <cell r="M362">
            <v>85</v>
          </cell>
          <cell r="N362">
            <v>85</v>
          </cell>
          <cell r="O362">
            <v>85</v>
          </cell>
          <cell r="P362">
            <v>85</v>
          </cell>
          <cell r="Q362">
            <v>85</v>
          </cell>
          <cell r="R362">
            <v>85</v>
          </cell>
          <cell r="S362">
            <v>85</v>
          </cell>
          <cell r="T362">
            <v>85</v>
          </cell>
          <cell r="U362">
            <v>85</v>
          </cell>
          <cell r="V362">
            <v>85</v>
          </cell>
          <cell r="W362">
            <v>85</v>
          </cell>
          <cell r="X362">
            <v>85</v>
          </cell>
          <cell r="Y362">
            <v>85</v>
          </cell>
          <cell r="Z362">
            <v>85</v>
          </cell>
          <cell r="AA362">
            <v>85</v>
          </cell>
          <cell r="AB362">
            <v>85</v>
          </cell>
          <cell r="AC362">
            <v>85</v>
          </cell>
          <cell r="AD362">
            <v>85</v>
          </cell>
          <cell r="AE362">
            <v>85</v>
          </cell>
          <cell r="AF362">
            <v>85</v>
          </cell>
          <cell r="AG362">
            <v>85</v>
          </cell>
          <cell r="AH362">
            <v>85</v>
          </cell>
        </row>
        <row r="363">
          <cell r="B363" t="str">
            <v>General - Nitrous oxide - GWP100 - Global - ton CO2eq/ton fuel</v>
          </cell>
          <cell r="G363">
            <v>266</v>
          </cell>
          <cell r="H363">
            <v>266</v>
          </cell>
          <cell r="I363">
            <v>266</v>
          </cell>
          <cell r="J363">
            <v>266</v>
          </cell>
          <cell r="K363">
            <v>266</v>
          </cell>
          <cell r="L363">
            <v>266</v>
          </cell>
          <cell r="M363">
            <v>266</v>
          </cell>
          <cell r="N363">
            <v>266</v>
          </cell>
          <cell r="O363">
            <v>266</v>
          </cell>
          <cell r="P363">
            <v>266</v>
          </cell>
          <cell r="Q363">
            <v>266</v>
          </cell>
          <cell r="R363">
            <v>266</v>
          </cell>
          <cell r="S363">
            <v>266</v>
          </cell>
          <cell r="T363">
            <v>266</v>
          </cell>
          <cell r="U363">
            <v>266</v>
          </cell>
          <cell r="V363">
            <v>266</v>
          </cell>
          <cell r="W363">
            <v>266</v>
          </cell>
          <cell r="X363">
            <v>266</v>
          </cell>
          <cell r="Y363">
            <v>266</v>
          </cell>
          <cell r="Z363">
            <v>266</v>
          </cell>
          <cell r="AA363">
            <v>266</v>
          </cell>
          <cell r="AB363">
            <v>266</v>
          </cell>
          <cell r="AC363">
            <v>266</v>
          </cell>
          <cell r="AD363">
            <v>266</v>
          </cell>
          <cell r="AE363">
            <v>266</v>
          </cell>
          <cell r="AF363">
            <v>266</v>
          </cell>
          <cell r="AG363">
            <v>266</v>
          </cell>
          <cell r="AH363">
            <v>266</v>
          </cell>
        </row>
        <row r="364">
          <cell r="B364" t="str">
            <v>General - Nitrous oxide - GWP20 - Global - ton CO2eq/ton fuel</v>
          </cell>
          <cell r="G364">
            <v>251</v>
          </cell>
          <cell r="H364">
            <v>251</v>
          </cell>
          <cell r="I364">
            <v>251</v>
          </cell>
          <cell r="J364">
            <v>251</v>
          </cell>
          <cell r="K364">
            <v>251</v>
          </cell>
          <cell r="L364">
            <v>251</v>
          </cell>
          <cell r="M364">
            <v>251</v>
          </cell>
          <cell r="N364">
            <v>251</v>
          </cell>
          <cell r="O364">
            <v>251</v>
          </cell>
          <cell r="P364">
            <v>251</v>
          </cell>
          <cell r="Q364">
            <v>251</v>
          </cell>
          <cell r="R364">
            <v>251</v>
          </cell>
          <cell r="S364">
            <v>251</v>
          </cell>
          <cell r="T364">
            <v>251</v>
          </cell>
          <cell r="U364">
            <v>251</v>
          </cell>
          <cell r="V364">
            <v>251</v>
          </cell>
          <cell r="W364">
            <v>251</v>
          </cell>
          <cell r="X364">
            <v>251</v>
          </cell>
          <cell r="Y364">
            <v>251</v>
          </cell>
          <cell r="Z364">
            <v>251</v>
          </cell>
          <cell r="AA364">
            <v>251</v>
          </cell>
          <cell r="AB364">
            <v>251</v>
          </cell>
          <cell r="AC364">
            <v>251</v>
          </cell>
          <cell r="AD364">
            <v>251</v>
          </cell>
          <cell r="AE364">
            <v>251</v>
          </cell>
          <cell r="AF364">
            <v>251</v>
          </cell>
          <cell r="AG364">
            <v>251</v>
          </cell>
          <cell r="AH364">
            <v>251</v>
          </cell>
        </row>
        <row r="365">
          <cell r="B365" t="str">
            <v/>
          </cell>
        </row>
        <row r="366">
          <cell r="B366" t="str">
            <v>Carbon dioxide (PS) - Total emissions - WTT - Global - ton CO2eq/ton fuel</v>
          </cell>
          <cell r="G366">
            <v>2.4164999999999998E-3</v>
          </cell>
          <cell r="H366">
            <v>2.4164999999999998E-3</v>
          </cell>
          <cell r="I366">
            <v>2.4164999999999998E-3</v>
          </cell>
          <cell r="J366">
            <v>2.4164999999999998E-3</v>
          </cell>
          <cell r="K366">
            <v>2.4164999999999998E-3</v>
          </cell>
          <cell r="L366">
            <v>2.4164999999999998E-3</v>
          </cell>
          <cell r="M366">
            <v>2.4164999999999998E-3</v>
          </cell>
          <cell r="N366">
            <v>2.4164999999999998E-3</v>
          </cell>
          <cell r="O366">
            <v>2.4164999999999998E-3</v>
          </cell>
          <cell r="P366">
            <v>2.4164999999999998E-3</v>
          </cell>
          <cell r="Q366">
            <v>2.4164999999999998E-3</v>
          </cell>
          <cell r="R366">
            <v>2.4164999999999998E-3</v>
          </cell>
          <cell r="S366">
            <v>2.4164999999999998E-3</v>
          </cell>
          <cell r="T366">
            <v>2.4164999999999998E-3</v>
          </cell>
          <cell r="U366">
            <v>2.4164999999999998E-3</v>
          </cell>
          <cell r="V366">
            <v>2.4164999999999998E-3</v>
          </cell>
          <cell r="W366">
            <v>2.4164999999999998E-3</v>
          </cell>
          <cell r="X366">
            <v>2.4164999999999998E-3</v>
          </cell>
          <cell r="Y366">
            <v>2.4164999999999998E-3</v>
          </cell>
          <cell r="Z366">
            <v>2.4164999999999998E-3</v>
          </cell>
          <cell r="AA366">
            <v>2.4164999999999998E-3</v>
          </cell>
          <cell r="AB366">
            <v>2.4164999999999998E-3</v>
          </cell>
          <cell r="AC366">
            <v>2.4164999999999998E-3</v>
          </cell>
          <cell r="AD366">
            <v>2.4164999999999998E-3</v>
          </cell>
          <cell r="AE366">
            <v>2.4164999999999998E-3</v>
          </cell>
          <cell r="AF366">
            <v>2.4164999999999998E-3</v>
          </cell>
          <cell r="AG366">
            <v>2.4164999999999998E-3</v>
          </cell>
          <cell r="AH366">
            <v>2.4164999999999998E-3</v>
          </cell>
        </row>
        <row r="367">
          <cell r="B367" t="str">
            <v>Carbon dioxide (PS) - Total emissions - WTT - Global - ton CO2eq/ton fuel</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row>
        <row r="368">
          <cell r="B368" t="str">
            <v>Carbon dioxide (PS) - Total emissions - WTT - Global - ton CO2eq/ton fuel</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row>
        <row r="369">
          <cell r="B369" t="str">
            <v/>
          </cell>
        </row>
        <row r="370">
          <cell r="B370" t="str">
            <v>Carbon dioxide (PS) - Process-related emissions - WTT - Global - ton CO2/ton fuel</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row>
        <row r="371">
          <cell r="B371" t="str">
            <v>Carbon dioxide (PS) - Process-related emissions - WTT - Global - ton CH4/ton fuel</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row>
        <row r="372">
          <cell r="B372" t="str">
            <v>Carbon dioxide (PS) - Process-related emissions - WTT - Global - ton N2O/ton fuel</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row>
        <row r="373">
          <cell r="B373" t="str">
            <v>Carbon dioxide (PS) - Process WTT emissions (carbon dioxide) - Global - ton CO2/ton fuel</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row>
        <row r="374">
          <cell r="B374" t="str">
            <v>Carbon dioxide (PS) - Process WTT emissions (methane) - Global - ton CH4/ton fuel</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row>
        <row r="375">
          <cell r="B375" t="str">
            <v>Carbon dioxide (PS) - Process WTT emissions (nitrous oxide) - Global - ton N2O/ton fuel</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row>
        <row r="376">
          <cell r="B376" t="str">
            <v/>
          </cell>
        </row>
        <row r="377">
          <cell r="B377" t="str">
            <v>Carbon dioxide (PS) - Energy-related emissions - WTT - Global - ton CO2/ton fuel</v>
          </cell>
          <cell r="G377">
            <v>2.4164999999999998E-3</v>
          </cell>
          <cell r="H377">
            <v>2.4164999999999998E-3</v>
          </cell>
          <cell r="I377">
            <v>2.4164999999999998E-3</v>
          </cell>
          <cell r="J377">
            <v>2.4164999999999998E-3</v>
          </cell>
          <cell r="K377">
            <v>2.4164999999999998E-3</v>
          </cell>
          <cell r="L377">
            <v>2.4164999999999998E-3</v>
          </cell>
          <cell r="M377">
            <v>2.4164999999999998E-3</v>
          </cell>
          <cell r="N377">
            <v>2.4164999999999998E-3</v>
          </cell>
          <cell r="O377">
            <v>2.4164999999999998E-3</v>
          </cell>
          <cell r="P377">
            <v>2.4164999999999998E-3</v>
          </cell>
          <cell r="Q377">
            <v>2.4164999999999998E-3</v>
          </cell>
          <cell r="R377">
            <v>2.4164999999999998E-3</v>
          </cell>
          <cell r="S377">
            <v>2.4164999999999998E-3</v>
          </cell>
          <cell r="T377">
            <v>2.4164999999999998E-3</v>
          </cell>
          <cell r="U377">
            <v>2.4164999999999998E-3</v>
          </cell>
          <cell r="V377">
            <v>2.4164999999999998E-3</v>
          </cell>
          <cell r="W377">
            <v>2.4164999999999998E-3</v>
          </cell>
          <cell r="X377">
            <v>2.4164999999999998E-3</v>
          </cell>
          <cell r="Y377">
            <v>2.4164999999999998E-3</v>
          </cell>
          <cell r="Z377">
            <v>2.4164999999999998E-3</v>
          </cell>
          <cell r="AA377">
            <v>2.4164999999999998E-3</v>
          </cell>
          <cell r="AB377">
            <v>2.4164999999999998E-3</v>
          </cell>
          <cell r="AC377">
            <v>2.4164999999999998E-3</v>
          </cell>
          <cell r="AD377">
            <v>2.4164999999999998E-3</v>
          </cell>
          <cell r="AE377">
            <v>2.4164999999999998E-3</v>
          </cell>
          <cell r="AF377">
            <v>2.4164999999999998E-3</v>
          </cell>
          <cell r="AG377">
            <v>2.4164999999999998E-3</v>
          </cell>
          <cell r="AH377">
            <v>2.4164999999999998E-3</v>
          </cell>
        </row>
        <row r="378">
          <cell r="B378" t="str">
            <v>Carbon dioxide (PS) - Energy-related emissions - WTT - Global - ton CH4/ton fuel</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row>
        <row r="379">
          <cell r="B379" t="str">
            <v>Carbon dioxide (PS) - Energy-related emissions - WTT - Global - ton N2O/ton fuel</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row>
        <row r="380">
          <cell r="B380" t="str">
            <v>Renewable electricity - Feedstock WTT emissions (carbon dioxide) - Global - ton CO2/MWh</v>
          </cell>
          <cell r="G380">
            <v>5.3699999999999998E-3</v>
          </cell>
          <cell r="H380">
            <v>5.3699999999999998E-3</v>
          </cell>
          <cell r="I380">
            <v>5.3699999999999998E-3</v>
          </cell>
          <cell r="J380">
            <v>5.3699999999999998E-3</v>
          </cell>
          <cell r="K380">
            <v>5.3699999999999998E-3</v>
          </cell>
          <cell r="L380">
            <v>5.3699999999999998E-3</v>
          </cell>
          <cell r="M380">
            <v>5.3699999999999998E-3</v>
          </cell>
          <cell r="N380">
            <v>5.3699999999999998E-3</v>
          </cell>
          <cell r="O380">
            <v>5.3699999999999998E-3</v>
          </cell>
          <cell r="P380">
            <v>5.3699999999999998E-3</v>
          </cell>
          <cell r="Q380">
            <v>5.3699999999999998E-3</v>
          </cell>
          <cell r="R380">
            <v>5.3699999999999998E-3</v>
          </cell>
          <cell r="S380">
            <v>5.3699999999999998E-3</v>
          </cell>
          <cell r="T380">
            <v>5.3699999999999998E-3</v>
          </cell>
          <cell r="U380">
            <v>5.3699999999999998E-3</v>
          </cell>
          <cell r="V380">
            <v>5.3699999999999998E-3</v>
          </cell>
          <cell r="W380">
            <v>5.3699999999999998E-3</v>
          </cell>
          <cell r="X380">
            <v>5.3699999999999998E-3</v>
          </cell>
          <cell r="Y380">
            <v>5.3699999999999998E-3</v>
          </cell>
          <cell r="Z380">
            <v>5.3699999999999998E-3</v>
          </cell>
          <cell r="AA380">
            <v>5.3699999999999998E-3</v>
          </cell>
          <cell r="AB380">
            <v>5.3699999999999998E-3</v>
          </cell>
          <cell r="AC380">
            <v>5.3699999999999998E-3</v>
          </cell>
          <cell r="AD380">
            <v>5.3699999999999998E-3</v>
          </cell>
          <cell r="AE380">
            <v>5.3699999999999998E-3</v>
          </cell>
          <cell r="AF380">
            <v>5.3699999999999998E-3</v>
          </cell>
          <cell r="AG380">
            <v>5.3699999999999998E-3</v>
          </cell>
          <cell r="AH380">
            <v>5.3699999999999998E-3</v>
          </cell>
        </row>
        <row r="381">
          <cell r="B381" t="str">
            <v>Renewable electricity - Feedstock WTT emissions (methane) - Global - ton CH4/MWh</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row>
        <row r="382">
          <cell r="B382" t="str">
            <v>Renewable electricity - Feedstock WTT emissions (nitrous oxide) - Global - ton N2O/MWh</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row>
        <row r="383">
          <cell r="B383" t="str">
            <v>Carbon dioxide (PS) - Energy demand - Global - MWh/ton fuel</v>
          </cell>
          <cell r="G383">
            <v>0.45</v>
          </cell>
          <cell r="H383">
            <v>0.45</v>
          </cell>
          <cell r="I383">
            <v>0.45</v>
          </cell>
          <cell r="J383">
            <v>0.45</v>
          </cell>
          <cell r="K383">
            <v>0.45</v>
          </cell>
          <cell r="L383">
            <v>0.45</v>
          </cell>
          <cell r="M383">
            <v>0.45</v>
          </cell>
          <cell r="N383">
            <v>0.45</v>
          </cell>
          <cell r="O383">
            <v>0.45</v>
          </cell>
          <cell r="P383">
            <v>0.45</v>
          </cell>
          <cell r="Q383">
            <v>0.45</v>
          </cell>
          <cell r="R383">
            <v>0.45</v>
          </cell>
          <cell r="S383">
            <v>0.45</v>
          </cell>
          <cell r="T383">
            <v>0.45</v>
          </cell>
          <cell r="U383">
            <v>0.45</v>
          </cell>
          <cell r="V383">
            <v>0.45</v>
          </cell>
          <cell r="W383">
            <v>0.45</v>
          </cell>
          <cell r="X383">
            <v>0.45</v>
          </cell>
          <cell r="Y383">
            <v>0.45</v>
          </cell>
          <cell r="Z383">
            <v>0.45</v>
          </cell>
          <cell r="AA383">
            <v>0.45</v>
          </cell>
          <cell r="AB383">
            <v>0.45</v>
          </cell>
          <cell r="AC383">
            <v>0.45</v>
          </cell>
          <cell r="AD383">
            <v>0.45</v>
          </cell>
          <cell r="AE383">
            <v>0.45</v>
          </cell>
          <cell r="AF383">
            <v>0.45</v>
          </cell>
          <cell r="AG383">
            <v>0.45</v>
          </cell>
          <cell r="AH383">
            <v>0.45</v>
          </cell>
        </row>
        <row r="384">
          <cell r="B384" t="str">
            <v/>
          </cell>
        </row>
        <row r="385">
          <cell r="B385" t="str">
            <v>Carbon dioxide (PS) - Feedstock-related emissions - WTT - Global - ton CO2/ton fuel</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row>
        <row r="386">
          <cell r="B386" t="str">
            <v>Carbon dioxide (PS) - Feedstock-related emissions - WTT - Global - ton CH4/ton fuel</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row>
        <row r="387">
          <cell r="B387" t="str">
            <v>Carbon dioxide (PS) - Feedstock-related emissions - WTT - Global - ton N2O/ton fuel</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row>
        <row r="388">
          <cell r="B388" t="str">
            <v/>
          </cell>
        </row>
        <row r="389">
          <cell r="B389" t="str">
            <v>e-methanol (DAC) - Item - Region - Unit</v>
          </cell>
          <cell r="G389">
            <v>2023</v>
          </cell>
          <cell r="H389">
            <v>2024</v>
          </cell>
          <cell r="I389">
            <v>2025</v>
          </cell>
          <cell r="J389">
            <v>2026</v>
          </cell>
          <cell r="K389">
            <v>2027</v>
          </cell>
          <cell r="L389">
            <v>2028</v>
          </cell>
          <cell r="M389">
            <v>2029</v>
          </cell>
          <cell r="N389">
            <v>2030</v>
          </cell>
          <cell r="O389">
            <v>2031</v>
          </cell>
          <cell r="P389">
            <v>2032</v>
          </cell>
          <cell r="Q389">
            <v>2033</v>
          </cell>
          <cell r="R389">
            <v>2034</v>
          </cell>
          <cell r="S389">
            <v>2035</v>
          </cell>
          <cell r="T389">
            <v>2036</v>
          </cell>
          <cell r="U389">
            <v>2037</v>
          </cell>
          <cell r="V389">
            <v>2038</v>
          </cell>
          <cell r="W389">
            <v>2039</v>
          </cell>
          <cell r="X389">
            <v>2040</v>
          </cell>
          <cell r="Y389">
            <v>2041</v>
          </cell>
          <cell r="Z389">
            <v>2042</v>
          </cell>
          <cell r="AA389">
            <v>2043</v>
          </cell>
          <cell r="AB389">
            <v>2044</v>
          </cell>
          <cell r="AC389">
            <v>2045</v>
          </cell>
          <cell r="AD389">
            <v>2046</v>
          </cell>
          <cell r="AE389">
            <v>2047</v>
          </cell>
          <cell r="AF389">
            <v>2048</v>
          </cell>
          <cell r="AG389">
            <v>2049</v>
          </cell>
          <cell r="AH389">
            <v>2050</v>
          </cell>
        </row>
        <row r="390">
          <cell r="B390" t="str">
            <v/>
          </cell>
        </row>
        <row r="391">
          <cell r="B391" t="str">
            <v>e-methanol (DAC) - Total emissions - WTW - GWP100 - Global - ton CO2eq/ton fuel</v>
          </cell>
          <cell r="G391">
            <v>8.5226280577748378E-2</v>
          </cell>
          <cell r="H391">
            <v>8.487626518471475E-2</v>
          </cell>
          <cell r="I391">
            <v>8.4515474002871557E-2</v>
          </cell>
          <cell r="J391">
            <v>8.4137675754049915E-2</v>
          </cell>
          <cell r="K391">
            <v>8.3741708128577119E-2</v>
          </cell>
          <cell r="L391">
            <v>8.3327571126452532E-2</v>
          </cell>
          <cell r="M391">
            <v>8.2895264747677319E-2</v>
          </cell>
          <cell r="N391">
            <v>8.2444788992250037E-2</v>
          </cell>
          <cell r="O391">
            <v>8.1842540374941708E-2</v>
          </cell>
          <cell r="P391">
            <v>8.1222759562832897E-2</v>
          </cell>
          <cell r="Q391">
            <v>8.0585446555922674E-2</v>
          </cell>
          <cell r="R391">
            <v>7.9930601354209985E-2</v>
          </cell>
          <cell r="S391">
            <v>7.9258223957696522E-2</v>
          </cell>
          <cell r="T391">
            <v>7.8584026145594191E-2</v>
          </cell>
          <cell r="U391">
            <v>7.7897674049451915E-2</v>
          </cell>
          <cell r="V391">
            <v>7.719916766927136E-2</v>
          </cell>
          <cell r="W391">
            <v>7.6488507005050194E-2</v>
          </cell>
          <cell r="X391">
            <v>7.5765692056788875E-2</v>
          </cell>
          <cell r="Y391">
            <v>7.4915068959618344E-2</v>
          </cell>
          <cell r="Z391">
            <v>7.4071357947539843E-2</v>
          </cell>
          <cell r="AA391">
            <v>7.3234559020554521E-2</v>
          </cell>
          <cell r="AB391">
            <v>7.2404672178661297E-2</v>
          </cell>
          <cell r="AC391">
            <v>7.1581697421860907E-2</v>
          </cell>
          <cell r="AD391">
            <v>7.0872433755831285E-2</v>
          </cell>
          <cell r="AE391">
            <v>7.0172044146175686E-2</v>
          </cell>
          <cell r="AF391">
            <v>6.94805285928939E-2</v>
          </cell>
          <cell r="AG391">
            <v>6.8797887095986054E-2</v>
          </cell>
          <cell r="AH391">
            <v>6.8124119655452245E-2</v>
          </cell>
        </row>
        <row r="392">
          <cell r="B392" t="str">
            <v>e-methanol (DAC) - Total emissions - WTW - GWP20 - Global - ton CO2eq/ton fuel</v>
          </cell>
          <cell r="G392">
            <v>8.5226280577748378E-2</v>
          </cell>
          <cell r="H392">
            <v>8.487626518471475E-2</v>
          </cell>
          <cell r="I392">
            <v>8.4515474002871557E-2</v>
          </cell>
          <cell r="J392">
            <v>8.4137675754049915E-2</v>
          </cell>
          <cell r="K392">
            <v>8.3741708128577119E-2</v>
          </cell>
          <cell r="L392">
            <v>8.3327571126452532E-2</v>
          </cell>
          <cell r="M392">
            <v>8.2895264747677319E-2</v>
          </cell>
          <cell r="N392">
            <v>8.2444788992250037E-2</v>
          </cell>
          <cell r="O392">
            <v>8.1842540374941708E-2</v>
          </cell>
          <cell r="P392">
            <v>8.1222759562832897E-2</v>
          </cell>
          <cell r="Q392">
            <v>8.0585446555922674E-2</v>
          </cell>
          <cell r="R392">
            <v>7.9930601354209985E-2</v>
          </cell>
          <cell r="S392">
            <v>7.9258223957696522E-2</v>
          </cell>
          <cell r="T392">
            <v>7.8584026145594191E-2</v>
          </cell>
          <cell r="U392">
            <v>7.7897674049451915E-2</v>
          </cell>
          <cell r="V392">
            <v>7.719916766927136E-2</v>
          </cell>
          <cell r="W392">
            <v>7.6488507005050194E-2</v>
          </cell>
          <cell r="X392">
            <v>7.5765692056788875E-2</v>
          </cell>
          <cell r="Y392">
            <v>7.4915068959618344E-2</v>
          </cell>
          <cell r="Z392">
            <v>7.4071357947539843E-2</v>
          </cell>
          <cell r="AA392">
            <v>7.3234559020554521E-2</v>
          </cell>
          <cell r="AB392">
            <v>7.2404672178661297E-2</v>
          </cell>
          <cell r="AC392">
            <v>7.1581697421860907E-2</v>
          </cell>
          <cell r="AD392">
            <v>7.0872433755831285E-2</v>
          </cell>
          <cell r="AE392">
            <v>7.0172044146175686E-2</v>
          </cell>
          <cell r="AF392">
            <v>6.94805285928939E-2</v>
          </cell>
          <cell r="AG392">
            <v>6.8797887095986054E-2</v>
          </cell>
          <cell r="AH392">
            <v>6.8124119655452245E-2</v>
          </cell>
        </row>
        <row r="393">
          <cell r="B393" t="str">
            <v>e-methanol (DAC) - Total emissions - TTW - GWP100 - Global - ton CO2eq/ton fuel</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row>
        <row r="394">
          <cell r="B394" t="str">
            <v>e-methanol (DAC) - Total emissions - TTW - GWP20 - Global - ton CO2eq/ton fuel</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row>
        <row r="395">
          <cell r="B395" t="str">
            <v>e-methanol (DAC) - Total emissions - WTT - GWP100 - Global - ton CO2eq/ton fuel</v>
          </cell>
          <cell r="G395">
            <v>8.5226280577748378E-2</v>
          </cell>
          <cell r="H395">
            <v>8.487626518471475E-2</v>
          </cell>
          <cell r="I395">
            <v>8.4515474002871557E-2</v>
          </cell>
          <cell r="J395">
            <v>8.4137675754049915E-2</v>
          </cell>
          <cell r="K395">
            <v>8.3741708128577119E-2</v>
          </cell>
          <cell r="L395">
            <v>8.3327571126452532E-2</v>
          </cell>
          <cell r="M395">
            <v>8.2895264747677319E-2</v>
          </cell>
          <cell r="N395">
            <v>8.2444788992250037E-2</v>
          </cell>
          <cell r="O395">
            <v>8.1842540374941708E-2</v>
          </cell>
          <cell r="P395">
            <v>8.1222759562832897E-2</v>
          </cell>
          <cell r="Q395">
            <v>8.0585446555922674E-2</v>
          </cell>
          <cell r="R395">
            <v>7.9930601354209985E-2</v>
          </cell>
          <cell r="S395">
            <v>7.9258223957696522E-2</v>
          </cell>
          <cell r="T395">
            <v>7.8584026145594191E-2</v>
          </cell>
          <cell r="U395">
            <v>7.7897674049451915E-2</v>
          </cell>
          <cell r="V395">
            <v>7.719916766927136E-2</v>
          </cell>
          <cell r="W395">
            <v>7.6488507005050194E-2</v>
          </cell>
          <cell r="X395">
            <v>7.5765692056788875E-2</v>
          </cell>
          <cell r="Y395">
            <v>7.4915068959618344E-2</v>
          </cell>
          <cell r="Z395">
            <v>7.4071357947539843E-2</v>
          </cell>
          <cell r="AA395">
            <v>7.3234559020554521E-2</v>
          </cell>
          <cell r="AB395">
            <v>7.2404672178661297E-2</v>
          </cell>
          <cell r="AC395">
            <v>7.1581697421860907E-2</v>
          </cell>
          <cell r="AD395">
            <v>7.0872433755831285E-2</v>
          </cell>
          <cell r="AE395">
            <v>7.0172044146175686E-2</v>
          </cell>
          <cell r="AF395">
            <v>6.94805285928939E-2</v>
          </cell>
          <cell r="AG395">
            <v>6.8797887095986054E-2</v>
          </cell>
          <cell r="AH395">
            <v>6.8124119655452245E-2</v>
          </cell>
        </row>
        <row r="396">
          <cell r="B396" t="str">
            <v>e-methanol (DAC) - Total emissions - WTT - GWP20 - Global - ton CO2eq/ton fuel</v>
          </cell>
          <cell r="G396">
            <v>8.5226280577748378E-2</v>
          </cell>
          <cell r="H396">
            <v>8.487626518471475E-2</v>
          </cell>
          <cell r="I396">
            <v>8.4515474002871557E-2</v>
          </cell>
          <cell r="J396">
            <v>8.4137675754049915E-2</v>
          </cell>
          <cell r="K396">
            <v>8.3741708128577119E-2</v>
          </cell>
          <cell r="L396">
            <v>8.3327571126452532E-2</v>
          </cell>
          <cell r="M396">
            <v>8.2895264747677319E-2</v>
          </cell>
          <cell r="N396">
            <v>8.2444788992250037E-2</v>
          </cell>
          <cell r="O396">
            <v>8.1842540374941708E-2</v>
          </cell>
          <cell r="P396">
            <v>8.1222759562832897E-2</v>
          </cell>
          <cell r="Q396">
            <v>8.0585446555922674E-2</v>
          </cell>
          <cell r="R396">
            <v>7.9930601354209985E-2</v>
          </cell>
          <cell r="S396">
            <v>7.9258223957696522E-2</v>
          </cell>
          <cell r="T396">
            <v>7.8584026145594191E-2</v>
          </cell>
          <cell r="U396">
            <v>7.7897674049451915E-2</v>
          </cell>
          <cell r="V396">
            <v>7.719916766927136E-2</v>
          </cell>
          <cell r="W396">
            <v>7.6488507005050194E-2</v>
          </cell>
          <cell r="X396">
            <v>7.5765692056788875E-2</v>
          </cell>
          <cell r="Y396">
            <v>7.4915068959618344E-2</v>
          </cell>
          <cell r="Z396">
            <v>7.4071357947539843E-2</v>
          </cell>
          <cell r="AA396">
            <v>7.3234559020554521E-2</v>
          </cell>
          <cell r="AB396">
            <v>7.2404672178661297E-2</v>
          </cell>
          <cell r="AC396">
            <v>7.1581697421860907E-2</v>
          </cell>
          <cell r="AD396">
            <v>7.0872433755831285E-2</v>
          </cell>
          <cell r="AE396">
            <v>7.0172044146175686E-2</v>
          </cell>
          <cell r="AF396">
            <v>6.94805285928939E-2</v>
          </cell>
          <cell r="AG396">
            <v>6.8797887095986054E-2</v>
          </cell>
          <cell r="AH396">
            <v>6.8124119655452245E-2</v>
          </cell>
        </row>
        <row r="397">
          <cell r="B397" t="str">
            <v>General - Methane - GWP100 - Global - ton CO2eq/ton fuel</v>
          </cell>
          <cell r="G397">
            <v>29</v>
          </cell>
          <cell r="H397">
            <v>29</v>
          </cell>
          <cell r="I397">
            <v>29</v>
          </cell>
          <cell r="J397">
            <v>29</v>
          </cell>
          <cell r="K397">
            <v>29</v>
          </cell>
          <cell r="L397">
            <v>29</v>
          </cell>
          <cell r="M397">
            <v>29</v>
          </cell>
          <cell r="N397">
            <v>29</v>
          </cell>
          <cell r="O397">
            <v>29</v>
          </cell>
          <cell r="P397">
            <v>29</v>
          </cell>
          <cell r="Q397">
            <v>29</v>
          </cell>
          <cell r="R397">
            <v>29</v>
          </cell>
          <cell r="S397">
            <v>29</v>
          </cell>
          <cell r="T397">
            <v>29</v>
          </cell>
          <cell r="U397">
            <v>29</v>
          </cell>
          <cell r="V397">
            <v>29</v>
          </cell>
          <cell r="W397">
            <v>29</v>
          </cell>
          <cell r="X397">
            <v>29</v>
          </cell>
          <cell r="Y397">
            <v>29</v>
          </cell>
          <cell r="Z397">
            <v>29</v>
          </cell>
          <cell r="AA397">
            <v>29</v>
          </cell>
          <cell r="AB397">
            <v>29</v>
          </cell>
          <cell r="AC397">
            <v>29</v>
          </cell>
          <cell r="AD397">
            <v>29</v>
          </cell>
          <cell r="AE397">
            <v>29</v>
          </cell>
          <cell r="AF397">
            <v>29</v>
          </cell>
          <cell r="AG397">
            <v>29</v>
          </cell>
          <cell r="AH397">
            <v>29</v>
          </cell>
        </row>
        <row r="398">
          <cell r="B398" t="str">
            <v>General - Methane - GWP20 - Global - ton CO2eq/ton fuel</v>
          </cell>
          <cell r="G398">
            <v>85</v>
          </cell>
          <cell r="H398">
            <v>85</v>
          </cell>
          <cell r="I398">
            <v>85</v>
          </cell>
          <cell r="J398">
            <v>85</v>
          </cell>
          <cell r="K398">
            <v>85</v>
          </cell>
          <cell r="L398">
            <v>85</v>
          </cell>
          <cell r="M398">
            <v>85</v>
          </cell>
          <cell r="N398">
            <v>85</v>
          </cell>
          <cell r="O398">
            <v>85</v>
          </cell>
          <cell r="P398">
            <v>85</v>
          </cell>
          <cell r="Q398">
            <v>85</v>
          </cell>
          <cell r="R398">
            <v>85</v>
          </cell>
          <cell r="S398">
            <v>85</v>
          </cell>
          <cell r="T398">
            <v>85</v>
          </cell>
          <cell r="U398">
            <v>85</v>
          </cell>
          <cell r="V398">
            <v>85</v>
          </cell>
          <cell r="W398">
            <v>85</v>
          </cell>
          <cell r="X398">
            <v>85</v>
          </cell>
          <cell r="Y398">
            <v>85</v>
          </cell>
          <cell r="Z398">
            <v>85</v>
          </cell>
          <cell r="AA398">
            <v>85</v>
          </cell>
          <cell r="AB398">
            <v>85</v>
          </cell>
          <cell r="AC398">
            <v>85</v>
          </cell>
          <cell r="AD398">
            <v>85</v>
          </cell>
          <cell r="AE398">
            <v>85</v>
          </cell>
          <cell r="AF398">
            <v>85</v>
          </cell>
          <cell r="AG398">
            <v>85</v>
          </cell>
          <cell r="AH398">
            <v>85</v>
          </cell>
        </row>
        <row r="399">
          <cell r="B399" t="str">
            <v>General - Nitrous oxide - GWP100 - Global - ton CO2eq/ton fuel</v>
          </cell>
          <cell r="G399">
            <v>266</v>
          </cell>
          <cell r="H399">
            <v>266</v>
          </cell>
          <cell r="I399">
            <v>266</v>
          </cell>
          <cell r="J399">
            <v>266</v>
          </cell>
          <cell r="K399">
            <v>266</v>
          </cell>
          <cell r="L399">
            <v>266</v>
          </cell>
          <cell r="M399">
            <v>266</v>
          </cell>
          <cell r="N399">
            <v>266</v>
          </cell>
          <cell r="O399">
            <v>266</v>
          </cell>
          <cell r="P399">
            <v>266</v>
          </cell>
          <cell r="Q399">
            <v>266</v>
          </cell>
          <cell r="R399">
            <v>266</v>
          </cell>
          <cell r="S399">
            <v>266</v>
          </cell>
          <cell r="T399">
            <v>266</v>
          </cell>
          <cell r="U399">
            <v>266</v>
          </cell>
          <cell r="V399">
            <v>266</v>
          </cell>
          <cell r="W399">
            <v>266</v>
          </cell>
          <cell r="X399">
            <v>266</v>
          </cell>
          <cell r="Y399">
            <v>266</v>
          </cell>
          <cell r="Z399">
            <v>266</v>
          </cell>
          <cell r="AA399">
            <v>266</v>
          </cell>
          <cell r="AB399">
            <v>266</v>
          </cell>
          <cell r="AC399">
            <v>266</v>
          </cell>
          <cell r="AD399">
            <v>266</v>
          </cell>
          <cell r="AE399">
            <v>266</v>
          </cell>
          <cell r="AF399">
            <v>266</v>
          </cell>
          <cell r="AG399">
            <v>266</v>
          </cell>
          <cell r="AH399">
            <v>266</v>
          </cell>
        </row>
        <row r="400">
          <cell r="B400" t="str">
            <v>General - Nitrous oxide - GWP20 - Global - ton CO2eq/ton fuel</v>
          </cell>
          <cell r="G400">
            <v>251</v>
          </cell>
          <cell r="H400">
            <v>251</v>
          </cell>
          <cell r="I400">
            <v>251</v>
          </cell>
          <cell r="J400">
            <v>251</v>
          </cell>
          <cell r="K400">
            <v>251</v>
          </cell>
          <cell r="L400">
            <v>251</v>
          </cell>
          <cell r="M400">
            <v>251</v>
          </cell>
          <cell r="N400">
            <v>251</v>
          </cell>
          <cell r="O400">
            <v>251</v>
          </cell>
          <cell r="P400">
            <v>251</v>
          </cell>
          <cell r="Q400">
            <v>251</v>
          </cell>
          <cell r="R400">
            <v>251</v>
          </cell>
          <cell r="S400">
            <v>251</v>
          </cell>
          <cell r="T400">
            <v>251</v>
          </cell>
          <cell r="U400">
            <v>251</v>
          </cell>
          <cell r="V400">
            <v>251</v>
          </cell>
          <cell r="W400">
            <v>251</v>
          </cell>
          <cell r="X400">
            <v>251</v>
          </cell>
          <cell r="Y400">
            <v>251</v>
          </cell>
          <cell r="Z400">
            <v>251</v>
          </cell>
          <cell r="AA400">
            <v>251</v>
          </cell>
          <cell r="AB400">
            <v>251</v>
          </cell>
          <cell r="AC400">
            <v>251</v>
          </cell>
          <cell r="AD400">
            <v>251</v>
          </cell>
          <cell r="AE400">
            <v>251</v>
          </cell>
          <cell r="AF400">
            <v>251</v>
          </cell>
          <cell r="AG400">
            <v>251</v>
          </cell>
          <cell r="AH400">
            <v>251</v>
          </cell>
        </row>
        <row r="401">
          <cell r="B401" t="str">
            <v/>
          </cell>
        </row>
        <row r="402">
          <cell r="B402" t="str">
            <v>e-methanol (DAC) - Total emissions - WTW - Global - ton CO2/ton fuel</v>
          </cell>
          <cell r="G402">
            <v>8.5226280577748378E-2</v>
          </cell>
          <cell r="H402">
            <v>8.487626518471475E-2</v>
          </cell>
          <cell r="I402">
            <v>8.4515474002871557E-2</v>
          </cell>
          <cell r="J402">
            <v>8.4137675754049915E-2</v>
          </cell>
          <cell r="K402">
            <v>8.3741708128577119E-2</v>
          </cell>
          <cell r="L402">
            <v>8.3327571126452532E-2</v>
          </cell>
          <cell r="M402">
            <v>8.2895264747677319E-2</v>
          </cell>
          <cell r="N402">
            <v>8.2444788992250037E-2</v>
          </cell>
          <cell r="O402">
            <v>8.1842540374941708E-2</v>
          </cell>
          <cell r="P402">
            <v>8.1222759562832897E-2</v>
          </cell>
          <cell r="Q402">
            <v>8.0585446555922674E-2</v>
          </cell>
          <cell r="R402">
            <v>7.9930601354209985E-2</v>
          </cell>
          <cell r="S402">
            <v>7.9258223957696522E-2</v>
          </cell>
          <cell r="T402">
            <v>7.8584026145594191E-2</v>
          </cell>
          <cell r="U402">
            <v>7.7897674049451915E-2</v>
          </cell>
          <cell r="V402">
            <v>7.719916766927136E-2</v>
          </cell>
          <cell r="W402">
            <v>7.6488507005050194E-2</v>
          </cell>
          <cell r="X402">
            <v>7.5765692056788875E-2</v>
          </cell>
          <cell r="Y402">
            <v>7.4915068959618344E-2</v>
          </cell>
          <cell r="Z402">
            <v>7.4071357947539843E-2</v>
          </cell>
          <cell r="AA402">
            <v>7.3234559020554521E-2</v>
          </cell>
          <cell r="AB402">
            <v>7.2404672178661297E-2</v>
          </cell>
          <cell r="AC402">
            <v>7.1581697421860907E-2</v>
          </cell>
          <cell r="AD402">
            <v>7.0872433755831285E-2</v>
          </cell>
          <cell r="AE402">
            <v>7.0172044146175686E-2</v>
          </cell>
          <cell r="AF402">
            <v>6.94805285928939E-2</v>
          </cell>
          <cell r="AG402">
            <v>6.8797887095986054E-2</v>
          </cell>
          <cell r="AH402">
            <v>6.8124119655452245E-2</v>
          </cell>
        </row>
        <row r="403">
          <cell r="B403" t="str">
            <v>e-methanol (DAC) - Total emissions - WTW - Global - ton CH4/ton fuel</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row>
        <row r="404">
          <cell r="B404" t="str">
            <v>e-methanol (DAC) - Total emissions - WTW - Global - ton N2O/ton fuel</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row>
        <row r="405">
          <cell r="B405" t="str">
            <v/>
          </cell>
        </row>
        <row r="406">
          <cell r="B406" t="str">
            <v>e-methanol (DAC) - Total emissions - TTW - Global - ton CO2/ton fuel</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row>
        <row r="407">
          <cell r="B407" t="str">
            <v>e-methanol (DAC) - Total emissions - TTW - Global - ton CH4/ton fuel</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row>
        <row r="408">
          <cell r="B408" t="str">
            <v>e-methanol (DAC) - Total emissions - TTW - Global - ton N2O/ton fuel</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row>
        <row r="409">
          <cell r="B409" t="str">
            <v>e-methanol - TTW emissions (carbon dioxide) - Global - ton CO2/ton fuel</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row>
        <row r="410">
          <cell r="B410" t="str">
            <v>e-methanol - TTW emissions (methane) - Global - ton CH4/ton fuel</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row>
        <row r="411">
          <cell r="B411" t="str">
            <v>e-methanol - TTW emissions (nitrous oxide) - Global - ton N2O/ton fuel</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row>
        <row r="412">
          <cell r="B412" t="str">
            <v/>
          </cell>
        </row>
        <row r="413">
          <cell r="B413" t="str">
            <v>e-methanol (DAC) - Total emissions - WTT - Global - ton CO2eq/ton fuel</v>
          </cell>
          <cell r="G413">
            <v>8.5226280577748378E-2</v>
          </cell>
          <cell r="H413">
            <v>8.487626518471475E-2</v>
          </cell>
          <cell r="I413">
            <v>8.4515474002871557E-2</v>
          </cell>
          <cell r="J413">
            <v>8.4137675754049915E-2</v>
          </cell>
          <cell r="K413">
            <v>8.3741708128577119E-2</v>
          </cell>
          <cell r="L413">
            <v>8.3327571126452532E-2</v>
          </cell>
          <cell r="M413">
            <v>8.2895264747677319E-2</v>
          </cell>
          <cell r="N413">
            <v>8.2444788992250037E-2</v>
          </cell>
          <cell r="O413">
            <v>8.1842540374941708E-2</v>
          </cell>
          <cell r="P413">
            <v>8.1222759562832897E-2</v>
          </cell>
          <cell r="Q413">
            <v>8.0585446555922674E-2</v>
          </cell>
          <cell r="R413">
            <v>7.9930601354209985E-2</v>
          </cell>
          <cell r="S413">
            <v>7.9258223957696522E-2</v>
          </cell>
          <cell r="T413">
            <v>7.8584026145594191E-2</v>
          </cell>
          <cell r="U413">
            <v>7.7897674049451915E-2</v>
          </cell>
          <cell r="V413">
            <v>7.719916766927136E-2</v>
          </cell>
          <cell r="W413">
            <v>7.6488507005050194E-2</v>
          </cell>
          <cell r="X413">
            <v>7.5765692056788875E-2</v>
          </cell>
          <cell r="Y413">
            <v>7.4915068959618344E-2</v>
          </cell>
          <cell r="Z413">
            <v>7.4071357947539843E-2</v>
          </cell>
          <cell r="AA413">
            <v>7.3234559020554521E-2</v>
          </cell>
          <cell r="AB413">
            <v>7.2404672178661297E-2</v>
          </cell>
          <cell r="AC413">
            <v>7.1581697421860907E-2</v>
          </cell>
          <cell r="AD413">
            <v>7.0872433755831285E-2</v>
          </cell>
          <cell r="AE413">
            <v>7.0172044146175686E-2</v>
          </cell>
          <cell r="AF413">
            <v>6.94805285928939E-2</v>
          </cell>
          <cell r="AG413">
            <v>6.8797887095986054E-2</v>
          </cell>
          <cell r="AH413">
            <v>6.8124119655452245E-2</v>
          </cell>
        </row>
        <row r="414">
          <cell r="B414" t="str">
            <v>e-methanol (DAC) - Total emissions - WTT - Global - ton CO2eq/ton fuel</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row>
        <row r="415">
          <cell r="B415" t="str">
            <v>e-methanol (DAC) - Total emissions - WTT - Global - ton CO2eq/ton fuel</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row>
        <row r="416">
          <cell r="B416" t="str">
            <v/>
          </cell>
        </row>
        <row r="417">
          <cell r="B417" t="str">
            <v>e-methanol (DAC) - Process-related emissions - WTT - Global - ton CO2/ton fuel</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row>
        <row r="418">
          <cell r="B418" t="str">
            <v>e-methanol (DAC) - Process-related emissions - WTT - Global - ton CH4/ton fuel</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row>
        <row r="419">
          <cell r="B419" t="str">
            <v>e-methanol (DAC) - Process-related emissions - WTT - Global - ton N2O/ton fuel</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row>
        <row r="420">
          <cell r="B420" t="str">
            <v>e-methanol - Process WTT emissions (carbon dioxide) - Global - ton CO2/ton fuel</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row>
        <row r="421">
          <cell r="B421" t="str">
            <v>e-methanol - Process WTT emissions (methane) - Global - ton CH4/ton fuel</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row>
        <row r="422">
          <cell r="B422" t="str">
            <v>e-methanol - Process WTT emissions (nitrous oxide) - Global - ton N2O/ton fuel</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row>
        <row r="423">
          <cell r="B423" t="str">
            <v/>
          </cell>
        </row>
        <row r="424">
          <cell r="B424" t="str">
            <v>e-methanol (DAC) - Energy-related emissions - WTT - Global - ton CO2/ton fuel</v>
          </cell>
          <cell r="G424">
            <v>9.129E-3</v>
          </cell>
          <cell r="H424">
            <v>9.129E-3</v>
          </cell>
          <cell r="I424">
            <v>9.129E-3</v>
          </cell>
          <cell r="J424">
            <v>9.129E-3</v>
          </cell>
          <cell r="K424">
            <v>9.129E-3</v>
          </cell>
          <cell r="L424">
            <v>9.129E-3</v>
          </cell>
          <cell r="M424">
            <v>9.129E-3</v>
          </cell>
          <cell r="N424">
            <v>9.129E-3</v>
          </cell>
          <cell r="O424">
            <v>9.129E-3</v>
          </cell>
          <cell r="P424">
            <v>9.129E-3</v>
          </cell>
          <cell r="Q424">
            <v>9.129E-3</v>
          </cell>
          <cell r="R424">
            <v>9.129E-3</v>
          </cell>
          <cell r="S424">
            <v>9.129E-3</v>
          </cell>
          <cell r="T424">
            <v>9.129E-3</v>
          </cell>
          <cell r="U424">
            <v>9.129E-3</v>
          </cell>
          <cell r="V424">
            <v>9.129E-3</v>
          </cell>
          <cell r="W424">
            <v>9.129E-3</v>
          </cell>
          <cell r="X424">
            <v>9.129E-3</v>
          </cell>
          <cell r="Y424">
            <v>9.129E-3</v>
          </cell>
          <cell r="Z424">
            <v>9.129E-3</v>
          </cell>
          <cell r="AA424">
            <v>9.129E-3</v>
          </cell>
          <cell r="AB424">
            <v>9.129E-3</v>
          </cell>
          <cell r="AC424">
            <v>9.129E-3</v>
          </cell>
          <cell r="AD424">
            <v>9.129E-3</v>
          </cell>
          <cell r="AE424">
            <v>9.129E-3</v>
          </cell>
          <cell r="AF424">
            <v>9.129E-3</v>
          </cell>
          <cell r="AG424">
            <v>9.129E-3</v>
          </cell>
          <cell r="AH424">
            <v>9.129E-3</v>
          </cell>
        </row>
        <row r="425">
          <cell r="B425" t="str">
            <v>e-methanol (DAC) - Energy-related emissions - WTT - Global - ton CH4/ton fuel</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row>
        <row r="426">
          <cell r="B426" t="str">
            <v>e-methanol (DAC) - Energy-related emissions - WTT - Global - ton N2O/ton fuel</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row>
        <row r="427">
          <cell r="B427" t="str">
            <v>Renewable electricity - Feedstock WTT emissions (carbon dioxide) - Global - ton CO2/MWh</v>
          </cell>
          <cell r="G427">
            <v>5.3699999999999998E-3</v>
          </cell>
          <cell r="H427">
            <v>5.3699999999999998E-3</v>
          </cell>
          <cell r="I427">
            <v>5.3699999999999998E-3</v>
          </cell>
          <cell r="J427">
            <v>5.3699999999999998E-3</v>
          </cell>
          <cell r="K427">
            <v>5.3699999999999998E-3</v>
          </cell>
          <cell r="L427">
            <v>5.3699999999999998E-3</v>
          </cell>
          <cell r="M427">
            <v>5.3699999999999998E-3</v>
          </cell>
          <cell r="N427">
            <v>5.3699999999999998E-3</v>
          </cell>
          <cell r="O427">
            <v>5.3699999999999998E-3</v>
          </cell>
          <cell r="P427">
            <v>5.3699999999999998E-3</v>
          </cell>
          <cell r="Q427">
            <v>5.3699999999999998E-3</v>
          </cell>
          <cell r="R427">
            <v>5.3699999999999998E-3</v>
          </cell>
          <cell r="S427">
            <v>5.3699999999999998E-3</v>
          </cell>
          <cell r="T427">
            <v>5.3699999999999998E-3</v>
          </cell>
          <cell r="U427">
            <v>5.3699999999999998E-3</v>
          </cell>
          <cell r="V427">
            <v>5.3699999999999998E-3</v>
          </cell>
          <cell r="W427">
            <v>5.3699999999999998E-3</v>
          </cell>
          <cell r="X427">
            <v>5.3699999999999998E-3</v>
          </cell>
          <cell r="Y427">
            <v>5.3699999999999998E-3</v>
          </cell>
          <cell r="Z427">
            <v>5.3699999999999998E-3</v>
          </cell>
          <cell r="AA427">
            <v>5.3699999999999998E-3</v>
          </cell>
          <cell r="AB427">
            <v>5.3699999999999998E-3</v>
          </cell>
          <cell r="AC427">
            <v>5.3699999999999998E-3</v>
          </cell>
          <cell r="AD427">
            <v>5.3699999999999998E-3</v>
          </cell>
          <cell r="AE427">
            <v>5.3699999999999998E-3</v>
          </cell>
          <cell r="AF427">
            <v>5.3699999999999998E-3</v>
          </cell>
          <cell r="AG427">
            <v>5.3699999999999998E-3</v>
          </cell>
          <cell r="AH427">
            <v>5.3699999999999998E-3</v>
          </cell>
        </row>
        <row r="428">
          <cell r="B428" t="str">
            <v>Renewable electricity - Feedstock WTT emissions (methane) - Global - ton CH4/MWh</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row>
        <row r="429">
          <cell r="B429" t="str">
            <v>Renewable electricity - Feedstock WTT emissions (nitrous oxide) - Global - ton N2O/MWh</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row>
        <row r="430">
          <cell r="B430" t="str">
            <v>e-methanol - Energy demand - Global - MWh/ton fuel</v>
          </cell>
          <cell r="G430">
            <v>1.7</v>
          </cell>
          <cell r="H430">
            <v>1.7</v>
          </cell>
          <cell r="I430">
            <v>1.7</v>
          </cell>
          <cell r="J430">
            <v>1.7</v>
          </cell>
          <cell r="K430">
            <v>1.7</v>
          </cell>
          <cell r="L430">
            <v>1.7</v>
          </cell>
          <cell r="M430">
            <v>1.7</v>
          </cell>
          <cell r="N430">
            <v>1.7</v>
          </cell>
          <cell r="O430">
            <v>1.7</v>
          </cell>
          <cell r="P430">
            <v>1.7</v>
          </cell>
          <cell r="Q430">
            <v>1.7</v>
          </cell>
          <cell r="R430">
            <v>1.7</v>
          </cell>
          <cell r="S430">
            <v>1.7</v>
          </cell>
          <cell r="T430">
            <v>1.7</v>
          </cell>
          <cell r="U430">
            <v>1.7</v>
          </cell>
          <cell r="V430">
            <v>1.7</v>
          </cell>
          <cell r="W430">
            <v>1.7</v>
          </cell>
          <cell r="X430">
            <v>1.7</v>
          </cell>
          <cell r="Y430">
            <v>1.7</v>
          </cell>
          <cell r="Z430">
            <v>1.7</v>
          </cell>
          <cell r="AA430">
            <v>1.7</v>
          </cell>
          <cell r="AB430">
            <v>1.7</v>
          </cell>
          <cell r="AC430">
            <v>1.7</v>
          </cell>
          <cell r="AD430">
            <v>1.7</v>
          </cell>
          <cell r="AE430">
            <v>1.7</v>
          </cell>
          <cell r="AF430">
            <v>1.7</v>
          </cell>
          <cell r="AG430">
            <v>1.7</v>
          </cell>
          <cell r="AH430">
            <v>1.7</v>
          </cell>
        </row>
        <row r="431">
          <cell r="B431" t="str">
            <v/>
          </cell>
        </row>
        <row r="432">
          <cell r="B432" t="str">
            <v>e-methanol (DAC) - Feedstock-related emissions - WTT - Global - ton CO2/ton fuel</v>
          </cell>
          <cell r="G432">
            <v>7.609728057774838E-2</v>
          </cell>
          <cell r="H432">
            <v>7.5747265184714752E-2</v>
          </cell>
          <cell r="I432">
            <v>7.5386474002871559E-2</v>
          </cell>
          <cell r="J432">
            <v>7.5008675754049917E-2</v>
          </cell>
          <cell r="K432">
            <v>7.4612708128577121E-2</v>
          </cell>
          <cell r="L432">
            <v>7.4198571126452534E-2</v>
          </cell>
          <cell r="M432">
            <v>7.3766264747677321E-2</v>
          </cell>
          <cell r="N432">
            <v>7.3315788992250039E-2</v>
          </cell>
          <cell r="O432">
            <v>7.271354037494171E-2</v>
          </cell>
          <cell r="P432">
            <v>7.2093759562832899E-2</v>
          </cell>
          <cell r="Q432">
            <v>7.1456446555922676E-2</v>
          </cell>
          <cell r="R432">
            <v>7.0801601354209986E-2</v>
          </cell>
          <cell r="S432">
            <v>7.0129223957696524E-2</v>
          </cell>
          <cell r="T432">
            <v>6.9455026145594193E-2</v>
          </cell>
          <cell r="U432">
            <v>6.8768674049451917E-2</v>
          </cell>
          <cell r="V432">
            <v>6.8070167669271361E-2</v>
          </cell>
          <cell r="W432">
            <v>6.7359507005050195E-2</v>
          </cell>
          <cell r="X432">
            <v>6.6636692056788877E-2</v>
          </cell>
          <cell r="Y432">
            <v>6.5786068959618346E-2</v>
          </cell>
          <cell r="Z432">
            <v>6.4942357947539844E-2</v>
          </cell>
          <cell r="AA432">
            <v>6.4105559020554523E-2</v>
          </cell>
          <cell r="AB432">
            <v>6.3275672178661299E-2</v>
          </cell>
          <cell r="AC432">
            <v>6.2452697421860909E-2</v>
          </cell>
          <cell r="AD432">
            <v>6.1743433755831287E-2</v>
          </cell>
          <cell r="AE432">
            <v>6.104304414617568E-2</v>
          </cell>
          <cell r="AF432">
            <v>6.0351528592893902E-2</v>
          </cell>
          <cell r="AG432">
            <v>5.9668887095986056E-2</v>
          </cell>
          <cell r="AH432">
            <v>5.8995119655452247E-2</v>
          </cell>
        </row>
        <row r="433">
          <cell r="B433" t="str">
            <v>e-methanol (DAC) - Feedstock-related emissions - WTT - Global - ton CH4/ton fuel</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row>
        <row r="434">
          <cell r="B434" t="str">
            <v>e-methanol (DAC) - Feedstock-related emissions - WTT - Global - ton N2O/ton fuel</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row>
        <row r="435">
          <cell r="B435" t="str">
            <v>e-hydrogen (compressed) - Feedstock WTT emissions (carbon dioxide) - Global - ton CO2/ton H2</v>
          </cell>
          <cell r="G435">
            <v>0.29069928460653066</v>
          </cell>
          <cell r="H435">
            <v>0.29036818709700268</v>
          </cell>
          <cell r="I435">
            <v>0.28998000000000135</v>
          </cell>
          <cell r="J435">
            <v>0.28940257594781538</v>
          </cell>
          <cell r="K435">
            <v>0.28872889145140718</v>
          </cell>
          <cell r="L435">
            <v>0.28795894651077331</v>
          </cell>
          <cell r="M435">
            <v>0.28709274112591998</v>
          </cell>
          <cell r="N435">
            <v>0.28613027529683954</v>
          </cell>
          <cell r="O435">
            <v>0.28427104178214713</v>
          </cell>
          <cell r="P435">
            <v>0.28231892358064925</v>
          </cell>
          <cell r="Q435">
            <v>0.28027392069234119</v>
          </cell>
          <cell r="R435">
            <v>0.27813603311721824</v>
          </cell>
          <cell r="S435">
            <v>0.27590526085528855</v>
          </cell>
          <cell r="T435">
            <v>0.27357819323199506</v>
          </cell>
          <cell r="U435">
            <v>0.27118673282278699</v>
          </cell>
          <cell r="V435">
            <v>0.26873087962767428</v>
          </cell>
          <cell r="W435">
            <v>0.26621063364664344</v>
          </cell>
          <cell r="X435">
            <v>0.26362599487969779</v>
          </cell>
          <cell r="Y435">
            <v>0.26028322332369702</v>
          </cell>
          <cell r="Z435">
            <v>0.25697707164708095</v>
          </cell>
          <cell r="AA435">
            <v>0.25370753984985572</v>
          </cell>
          <cell r="AB435">
            <v>0.25047462793201525</v>
          </cell>
          <cell r="AC435">
            <v>0.2472783358935641</v>
          </cell>
          <cell r="AD435">
            <v>0.24460874010561368</v>
          </cell>
          <cell r="AE435">
            <v>0.24198615862228262</v>
          </cell>
          <cell r="AF435">
            <v>0.23941059144356966</v>
          </cell>
          <cell r="AG435">
            <v>0.23688203856947532</v>
          </cell>
          <cell r="AH435">
            <v>0.23440050000000018</v>
          </cell>
        </row>
        <row r="436">
          <cell r="B436" t="str">
            <v>e-hydrogen (compressed) - Feedstock WTT emissions (methane) - Global - ton CH4/ton H2</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row>
        <row r="437">
          <cell r="B437" t="str">
            <v>e-hydrogen (compressed) - Feedstock WTT emissions (nitrous oxide) - Global - ton N2O/ton H2</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row>
        <row r="438">
          <cell r="B438" t="str">
            <v>Carbon dioxide (DAC) - Feedstock WTT emissions (carbon dioxide) - Global - ton CO2/ton CO2</v>
          </cell>
          <cell r="G438">
            <v>1.545466464376088E-2</v>
          </cell>
          <cell r="H438">
            <v>1.5245332321880432E-2</v>
          </cell>
          <cell r="I438">
            <v>1.503600000000006E-2</v>
          </cell>
          <cell r="J438">
            <v>1.4840291051553742E-2</v>
          </cell>
          <cell r="K438">
            <v>1.4644582103107425E-2</v>
          </cell>
          <cell r="L438">
            <v>1.4448873154661108E-2</v>
          </cell>
          <cell r="M438">
            <v>1.4253164206214789E-2</v>
          </cell>
          <cell r="N438">
            <v>1.4057455257768471E-2</v>
          </cell>
          <cell r="O438">
            <v>1.3874483071925844E-2</v>
          </cell>
          <cell r="P438">
            <v>1.3691510886083291E-2</v>
          </cell>
          <cell r="Q438">
            <v>1.3508538700240739E-2</v>
          </cell>
          <cell r="R438">
            <v>1.332556651439811E-2</v>
          </cell>
          <cell r="S438">
            <v>1.3142594328555482E-2</v>
          </cell>
          <cell r="T438">
            <v>1.2971529995228883E-2</v>
          </cell>
          <cell r="U438">
            <v>1.2800465661902361E-2</v>
          </cell>
          <cell r="V438">
            <v>1.2629401328575762E-2</v>
          </cell>
          <cell r="W438">
            <v>1.2458336995249239E-2</v>
          </cell>
          <cell r="X438">
            <v>1.228727266192268E-2</v>
          </cell>
          <cell r="Y438">
            <v>1.2127341216595585E-2</v>
          </cell>
          <cell r="Z438">
            <v>1.1967409771268492E-2</v>
          </cell>
          <cell r="AA438">
            <v>1.1807478325941397E-2</v>
          </cell>
          <cell r="AB438">
            <v>1.1647546880614342E-2</v>
          </cell>
          <cell r="AC438">
            <v>1.1487615435287249E-2</v>
          </cell>
          <cell r="AD438">
            <v>1.1338092348229828E-2</v>
          </cell>
          <cell r="AE438">
            <v>1.1188569261172371E-2</v>
          </cell>
          <cell r="AF438">
            <v>1.1039046174114914E-2</v>
          </cell>
          <cell r="AG438">
            <v>1.0889523087057457E-2</v>
          </cell>
          <cell r="AH438">
            <v>1.074E-2</v>
          </cell>
        </row>
        <row r="439">
          <cell r="B439" t="str">
            <v>Carbon dioxide (DAC) - Feedstock WTT emissions (methane) - Global - ton CH4/ton CO2</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row>
        <row r="440">
          <cell r="B440" t="str">
            <v>Carbon dioxide (DAC) - Feedstock WTT emissions (nitrous oxide) - Global - ton N2O/ton CO2</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row>
        <row r="441">
          <cell r="B441" t="str">
            <v>e-methanol - Conversion H2 -&gt; MeOH - Global - ton H2/ton MeOH</v>
          </cell>
          <cell r="G441">
            <v>0.18875226265526496</v>
          </cell>
          <cell r="H441">
            <v>0.18875226265526496</v>
          </cell>
          <cell r="I441">
            <v>0.18875226265526496</v>
          </cell>
          <cell r="J441">
            <v>0.18875226265526496</v>
          </cell>
          <cell r="K441">
            <v>0.18875226265526496</v>
          </cell>
          <cell r="L441">
            <v>0.18875226265526496</v>
          </cell>
          <cell r="M441">
            <v>0.18875226265526496</v>
          </cell>
          <cell r="N441">
            <v>0.18875226265526496</v>
          </cell>
          <cell r="O441">
            <v>0.18875226265526496</v>
          </cell>
          <cell r="P441">
            <v>0.18875226265526496</v>
          </cell>
          <cell r="Q441">
            <v>0.18875226265526496</v>
          </cell>
          <cell r="R441">
            <v>0.18875226265526496</v>
          </cell>
          <cell r="S441">
            <v>0.18875226265526496</v>
          </cell>
          <cell r="T441">
            <v>0.18875226265526496</v>
          </cell>
          <cell r="U441">
            <v>0.18875226265526496</v>
          </cell>
          <cell r="V441">
            <v>0.18875226265526496</v>
          </cell>
          <cell r="W441">
            <v>0.18875226265526496</v>
          </cell>
          <cell r="X441">
            <v>0.18875226265526496</v>
          </cell>
          <cell r="Y441">
            <v>0.18875226265526496</v>
          </cell>
          <cell r="Z441">
            <v>0.18875226265526496</v>
          </cell>
          <cell r="AA441">
            <v>0.18875226265526496</v>
          </cell>
          <cell r="AB441">
            <v>0.18875226265526496</v>
          </cell>
          <cell r="AC441">
            <v>0.18875226265526496</v>
          </cell>
          <cell r="AD441">
            <v>0.18875226265526496</v>
          </cell>
          <cell r="AE441">
            <v>0.18875226265526496</v>
          </cell>
          <cell r="AF441">
            <v>0.18875226265526496</v>
          </cell>
          <cell r="AG441">
            <v>0.18875226265526496</v>
          </cell>
          <cell r="AH441">
            <v>0.18875226265526496</v>
          </cell>
        </row>
        <row r="442">
          <cell r="B442" t="str">
            <v>e-methanol - Conversion CO2 -&gt; MeOH - Global - ton CO2/ton MeOH</v>
          </cell>
          <cell r="G442">
            <v>1.3735097684289368</v>
          </cell>
          <cell r="H442">
            <v>1.3735097684289368</v>
          </cell>
          <cell r="I442">
            <v>1.3735097684289368</v>
          </cell>
          <cell r="J442">
            <v>1.3735097684289368</v>
          </cell>
          <cell r="K442">
            <v>1.3735097684289368</v>
          </cell>
          <cell r="L442">
            <v>1.3735097684289368</v>
          </cell>
          <cell r="M442">
            <v>1.3735097684289368</v>
          </cell>
          <cell r="N442">
            <v>1.3735097684289368</v>
          </cell>
          <cell r="O442">
            <v>1.3735097684289368</v>
          </cell>
          <cell r="P442">
            <v>1.3735097684289368</v>
          </cell>
          <cell r="Q442">
            <v>1.3735097684289368</v>
          </cell>
          <cell r="R442">
            <v>1.3735097684289368</v>
          </cell>
          <cell r="S442">
            <v>1.3735097684289368</v>
          </cell>
          <cell r="T442">
            <v>1.3735097684289368</v>
          </cell>
          <cell r="U442">
            <v>1.3735097684289368</v>
          </cell>
          <cell r="V442">
            <v>1.3735097684289368</v>
          </cell>
          <cell r="W442">
            <v>1.3735097684289368</v>
          </cell>
          <cell r="X442">
            <v>1.3735097684289368</v>
          </cell>
          <cell r="Y442">
            <v>1.3735097684289368</v>
          </cell>
          <cell r="Z442">
            <v>1.3735097684289368</v>
          </cell>
          <cell r="AA442">
            <v>1.3735097684289368</v>
          </cell>
          <cell r="AB442">
            <v>1.3735097684289368</v>
          </cell>
          <cell r="AC442">
            <v>1.3735097684289368</v>
          </cell>
          <cell r="AD442">
            <v>1.3735097684289368</v>
          </cell>
          <cell r="AE442">
            <v>1.3735097684289368</v>
          </cell>
          <cell r="AF442">
            <v>1.3735097684289368</v>
          </cell>
          <cell r="AG442">
            <v>1.3735097684289368</v>
          </cell>
          <cell r="AH442">
            <v>1.3735097684289368</v>
          </cell>
        </row>
        <row r="443">
          <cell r="B443" t="str">
            <v/>
          </cell>
        </row>
        <row r="444">
          <cell r="B444" t="str">
            <v>e-methanol (PS) - Item - Region - Unit</v>
          </cell>
          <cell r="G444">
            <v>2023</v>
          </cell>
          <cell r="H444">
            <v>2024</v>
          </cell>
          <cell r="I444">
            <v>2025</v>
          </cell>
          <cell r="J444">
            <v>2026</v>
          </cell>
          <cell r="K444">
            <v>2027</v>
          </cell>
          <cell r="L444">
            <v>2028</v>
          </cell>
          <cell r="M444">
            <v>2029</v>
          </cell>
          <cell r="N444">
            <v>2030</v>
          </cell>
          <cell r="O444">
            <v>2031</v>
          </cell>
          <cell r="P444">
            <v>2032</v>
          </cell>
          <cell r="Q444">
            <v>2033</v>
          </cell>
          <cell r="R444">
            <v>2034</v>
          </cell>
          <cell r="S444">
            <v>2035</v>
          </cell>
          <cell r="T444">
            <v>2036</v>
          </cell>
          <cell r="U444">
            <v>2037</v>
          </cell>
          <cell r="V444">
            <v>2038</v>
          </cell>
          <cell r="W444">
            <v>2039</v>
          </cell>
          <cell r="X444">
            <v>2040</v>
          </cell>
          <cell r="Y444">
            <v>2041</v>
          </cell>
          <cell r="Z444">
            <v>2042</v>
          </cell>
          <cell r="AA444">
            <v>2043</v>
          </cell>
          <cell r="AB444">
            <v>2044</v>
          </cell>
          <cell r="AC444">
            <v>2045</v>
          </cell>
          <cell r="AD444">
            <v>2046</v>
          </cell>
          <cell r="AE444">
            <v>2047</v>
          </cell>
          <cell r="AF444">
            <v>2048</v>
          </cell>
          <cell r="AG444">
            <v>2049</v>
          </cell>
          <cell r="AH444">
            <v>2050</v>
          </cell>
        </row>
        <row r="445">
          <cell r="B445" t="str">
            <v/>
          </cell>
        </row>
        <row r="446">
          <cell r="B446" t="str">
            <v>e-methanol (PS) - Total emissions - WTW - GWP100 - Global - ton CO2eq/ton fuel</v>
          </cell>
          <cell r="G446">
            <v>6.7318234077158021E-2</v>
          </cell>
          <cell r="H446">
            <v>6.7255738673075091E-2</v>
          </cell>
          <cell r="I446">
            <v>6.7182467480182514E-2</v>
          </cell>
          <cell r="J446">
            <v>6.7073477383820843E-2</v>
          </cell>
          <cell r="K446">
            <v>6.6946317910808018E-2</v>
          </cell>
          <cell r="L446">
            <v>6.6800989061143401E-2</v>
          </cell>
          <cell r="M446">
            <v>6.6637490834828172E-2</v>
          </cell>
          <cell r="N446">
            <v>6.6455823231860861E-2</v>
          </cell>
          <cell r="O446">
            <v>6.6104888699158162E-2</v>
          </cell>
          <cell r="P446">
            <v>6.5736421971654913E-2</v>
          </cell>
          <cell r="Q446">
            <v>6.5350423049350209E-2</v>
          </cell>
          <cell r="R446">
            <v>6.4946891932243178E-2</v>
          </cell>
          <cell r="S446">
            <v>6.4525828620335346E-2</v>
          </cell>
          <cell r="T446">
            <v>6.4086589341086894E-2</v>
          </cell>
          <cell r="U446">
            <v>6.3635195777798387E-2</v>
          </cell>
          <cell r="V446">
            <v>6.3171647930471697E-2</v>
          </cell>
          <cell r="W446">
            <v>6.2695945799104286E-2</v>
          </cell>
          <cell r="X446">
            <v>6.2208089383696777E-2</v>
          </cell>
          <cell r="Y446">
            <v>6.157713368896197E-2</v>
          </cell>
          <cell r="Z446">
            <v>6.0953090079319192E-2</v>
          </cell>
          <cell r="AA446">
            <v>6.0335958554769593E-2</v>
          </cell>
          <cell r="AB446">
            <v>5.9725739115312031E-2</v>
          </cell>
          <cell r="AC446">
            <v>5.9122431760947371E-2</v>
          </cell>
          <cell r="AD446">
            <v>5.8618539515596764E-2</v>
          </cell>
          <cell r="AE446">
            <v>5.8123521326620221E-2</v>
          </cell>
          <cell r="AF446">
            <v>5.7637377194017514E-2</v>
          </cell>
          <cell r="AG446">
            <v>5.7160107117788732E-2</v>
          </cell>
          <cell r="AH446">
            <v>5.6691711097933993E-2</v>
          </cell>
        </row>
        <row r="447">
          <cell r="B447" t="str">
            <v>e-methanol (PS) - Total emissions - WTW - GWP20 - Global - ton CO2eq/ton fuel</v>
          </cell>
          <cell r="G447">
            <v>6.7318234077158021E-2</v>
          </cell>
          <cell r="H447">
            <v>6.7255738673075091E-2</v>
          </cell>
          <cell r="I447">
            <v>6.7182467480182514E-2</v>
          </cell>
          <cell r="J447">
            <v>6.7073477383820843E-2</v>
          </cell>
          <cell r="K447">
            <v>6.6946317910808018E-2</v>
          </cell>
          <cell r="L447">
            <v>6.6800989061143401E-2</v>
          </cell>
          <cell r="M447">
            <v>6.6637490834828172E-2</v>
          </cell>
          <cell r="N447">
            <v>6.6455823231860861E-2</v>
          </cell>
          <cell r="O447">
            <v>6.6104888699158162E-2</v>
          </cell>
          <cell r="P447">
            <v>6.5736421971654913E-2</v>
          </cell>
          <cell r="Q447">
            <v>6.5350423049350209E-2</v>
          </cell>
          <cell r="R447">
            <v>6.4946891932243178E-2</v>
          </cell>
          <cell r="S447">
            <v>6.4525828620335346E-2</v>
          </cell>
          <cell r="T447">
            <v>6.4086589341086894E-2</v>
          </cell>
          <cell r="U447">
            <v>6.3635195777798387E-2</v>
          </cell>
          <cell r="V447">
            <v>6.3171647930471697E-2</v>
          </cell>
          <cell r="W447">
            <v>6.2695945799104286E-2</v>
          </cell>
          <cell r="X447">
            <v>6.2208089383696777E-2</v>
          </cell>
          <cell r="Y447">
            <v>6.157713368896197E-2</v>
          </cell>
          <cell r="Z447">
            <v>6.0953090079319192E-2</v>
          </cell>
          <cell r="AA447">
            <v>6.0335958554769593E-2</v>
          </cell>
          <cell r="AB447">
            <v>5.9725739115312031E-2</v>
          </cell>
          <cell r="AC447">
            <v>5.9122431760947371E-2</v>
          </cell>
          <cell r="AD447">
            <v>5.8618539515596764E-2</v>
          </cell>
          <cell r="AE447">
            <v>5.8123521326620221E-2</v>
          </cell>
          <cell r="AF447">
            <v>5.7637377194017514E-2</v>
          </cell>
          <cell r="AG447">
            <v>5.7160107117788732E-2</v>
          </cell>
          <cell r="AH447">
            <v>5.6691711097933993E-2</v>
          </cell>
        </row>
        <row r="448">
          <cell r="B448" t="str">
            <v>e-methanol (PS) - Total emissions - TTW - GWP100 - Global - ton CO2eq/ton fuel</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row>
        <row r="449">
          <cell r="B449" t="str">
            <v>e-methanol (PS) - Total emissions - TTW - GWP20 - Global - ton CO2eq/ton fuel</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row>
        <row r="450">
          <cell r="B450" t="str">
            <v>e-methanol (PS) - Total emissions - WTT - GWP100 - Global - ton CO2eq/ton fuel</v>
          </cell>
          <cell r="G450">
            <v>6.7318234077158021E-2</v>
          </cell>
          <cell r="H450">
            <v>6.7255738673075091E-2</v>
          </cell>
          <cell r="I450">
            <v>6.7182467480182514E-2</v>
          </cell>
          <cell r="J450">
            <v>6.7073477383820843E-2</v>
          </cell>
          <cell r="K450">
            <v>6.6946317910808018E-2</v>
          </cell>
          <cell r="L450">
            <v>6.6800989061143401E-2</v>
          </cell>
          <cell r="M450">
            <v>6.6637490834828172E-2</v>
          </cell>
          <cell r="N450">
            <v>6.6455823231860861E-2</v>
          </cell>
          <cell r="O450">
            <v>6.6104888699158162E-2</v>
          </cell>
          <cell r="P450">
            <v>6.5736421971654913E-2</v>
          </cell>
          <cell r="Q450">
            <v>6.5350423049350209E-2</v>
          </cell>
          <cell r="R450">
            <v>6.4946891932243178E-2</v>
          </cell>
          <cell r="S450">
            <v>6.4525828620335346E-2</v>
          </cell>
          <cell r="T450">
            <v>6.4086589341086894E-2</v>
          </cell>
          <cell r="U450">
            <v>6.3635195777798387E-2</v>
          </cell>
          <cell r="V450">
            <v>6.3171647930471697E-2</v>
          </cell>
          <cell r="W450">
            <v>6.2695945799104286E-2</v>
          </cell>
          <cell r="X450">
            <v>6.2208089383696777E-2</v>
          </cell>
          <cell r="Y450">
            <v>6.157713368896197E-2</v>
          </cell>
          <cell r="Z450">
            <v>6.0953090079319192E-2</v>
          </cell>
          <cell r="AA450">
            <v>6.0335958554769593E-2</v>
          </cell>
          <cell r="AB450">
            <v>5.9725739115312031E-2</v>
          </cell>
          <cell r="AC450">
            <v>5.9122431760947371E-2</v>
          </cell>
          <cell r="AD450">
            <v>5.8618539515596764E-2</v>
          </cell>
          <cell r="AE450">
            <v>5.8123521326620221E-2</v>
          </cell>
          <cell r="AF450">
            <v>5.7637377194017514E-2</v>
          </cell>
          <cell r="AG450">
            <v>5.7160107117788732E-2</v>
          </cell>
          <cell r="AH450">
            <v>5.6691711097933993E-2</v>
          </cell>
        </row>
        <row r="451">
          <cell r="B451" t="str">
            <v>e-methanol (PS) - Total emissions - WTT - GWP20 - Global - ton CO2eq/ton fuel</v>
          </cell>
          <cell r="G451">
            <v>6.7318234077158021E-2</v>
          </cell>
          <cell r="H451">
            <v>6.7255738673075091E-2</v>
          </cell>
          <cell r="I451">
            <v>6.7182467480182514E-2</v>
          </cell>
          <cell r="J451">
            <v>6.7073477383820843E-2</v>
          </cell>
          <cell r="K451">
            <v>6.6946317910808018E-2</v>
          </cell>
          <cell r="L451">
            <v>6.6800989061143401E-2</v>
          </cell>
          <cell r="M451">
            <v>6.6637490834828172E-2</v>
          </cell>
          <cell r="N451">
            <v>6.6455823231860861E-2</v>
          </cell>
          <cell r="O451">
            <v>6.6104888699158162E-2</v>
          </cell>
          <cell r="P451">
            <v>6.5736421971654913E-2</v>
          </cell>
          <cell r="Q451">
            <v>6.5350423049350209E-2</v>
          </cell>
          <cell r="R451">
            <v>6.4946891932243178E-2</v>
          </cell>
          <cell r="S451">
            <v>6.4525828620335346E-2</v>
          </cell>
          <cell r="T451">
            <v>6.4086589341086894E-2</v>
          </cell>
          <cell r="U451">
            <v>6.3635195777798387E-2</v>
          </cell>
          <cell r="V451">
            <v>6.3171647930471697E-2</v>
          </cell>
          <cell r="W451">
            <v>6.2695945799104286E-2</v>
          </cell>
          <cell r="X451">
            <v>6.2208089383696777E-2</v>
          </cell>
          <cell r="Y451">
            <v>6.157713368896197E-2</v>
          </cell>
          <cell r="Z451">
            <v>6.0953090079319192E-2</v>
          </cell>
          <cell r="AA451">
            <v>6.0335958554769593E-2</v>
          </cell>
          <cell r="AB451">
            <v>5.9725739115312031E-2</v>
          </cell>
          <cell r="AC451">
            <v>5.9122431760947371E-2</v>
          </cell>
          <cell r="AD451">
            <v>5.8618539515596764E-2</v>
          </cell>
          <cell r="AE451">
            <v>5.8123521326620221E-2</v>
          </cell>
          <cell r="AF451">
            <v>5.7637377194017514E-2</v>
          </cell>
          <cell r="AG451">
            <v>5.7160107117788732E-2</v>
          </cell>
          <cell r="AH451">
            <v>5.6691711097933993E-2</v>
          </cell>
        </row>
        <row r="452">
          <cell r="B452" t="str">
            <v>General - Methane - GWP100 - Global - ton CO2eq/ton fuel</v>
          </cell>
          <cell r="G452">
            <v>29</v>
          </cell>
          <cell r="H452">
            <v>29</v>
          </cell>
          <cell r="I452">
            <v>29</v>
          </cell>
          <cell r="J452">
            <v>29</v>
          </cell>
          <cell r="K452">
            <v>29</v>
          </cell>
          <cell r="L452">
            <v>29</v>
          </cell>
          <cell r="M452">
            <v>29</v>
          </cell>
          <cell r="N452">
            <v>29</v>
          </cell>
          <cell r="O452">
            <v>29</v>
          </cell>
          <cell r="P452">
            <v>29</v>
          </cell>
          <cell r="Q452">
            <v>29</v>
          </cell>
          <cell r="R452">
            <v>29</v>
          </cell>
          <cell r="S452">
            <v>29</v>
          </cell>
          <cell r="T452">
            <v>29</v>
          </cell>
          <cell r="U452">
            <v>29</v>
          </cell>
          <cell r="V452">
            <v>29</v>
          </cell>
          <cell r="W452">
            <v>29</v>
          </cell>
          <cell r="X452">
            <v>29</v>
          </cell>
          <cell r="Y452">
            <v>29</v>
          </cell>
          <cell r="Z452">
            <v>29</v>
          </cell>
          <cell r="AA452">
            <v>29</v>
          </cell>
          <cell r="AB452">
            <v>29</v>
          </cell>
          <cell r="AC452">
            <v>29</v>
          </cell>
          <cell r="AD452">
            <v>29</v>
          </cell>
          <cell r="AE452">
            <v>29</v>
          </cell>
          <cell r="AF452">
            <v>29</v>
          </cell>
          <cell r="AG452">
            <v>29</v>
          </cell>
          <cell r="AH452">
            <v>29</v>
          </cell>
        </row>
        <row r="453">
          <cell r="B453" t="str">
            <v>General - Methane - GWP20 - Global - ton CO2eq/ton fuel</v>
          </cell>
          <cell r="G453">
            <v>85</v>
          </cell>
          <cell r="H453">
            <v>85</v>
          </cell>
          <cell r="I453">
            <v>85</v>
          </cell>
          <cell r="J453">
            <v>85</v>
          </cell>
          <cell r="K453">
            <v>85</v>
          </cell>
          <cell r="L453">
            <v>85</v>
          </cell>
          <cell r="M453">
            <v>85</v>
          </cell>
          <cell r="N453">
            <v>85</v>
          </cell>
          <cell r="O453">
            <v>85</v>
          </cell>
          <cell r="P453">
            <v>85</v>
          </cell>
          <cell r="Q453">
            <v>85</v>
          </cell>
          <cell r="R453">
            <v>85</v>
          </cell>
          <cell r="S453">
            <v>85</v>
          </cell>
          <cell r="T453">
            <v>85</v>
          </cell>
          <cell r="U453">
            <v>85</v>
          </cell>
          <cell r="V453">
            <v>85</v>
          </cell>
          <cell r="W453">
            <v>85</v>
          </cell>
          <cell r="X453">
            <v>85</v>
          </cell>
          <cell r="Y453">
            <v>85</v>
          </cell>
          <cell r="Z453">
            <v>85</v>
          </cell>
          <cell r="AA453">
            <v>85</v>
          </cell>
          <cell r="AB453">
            <v>85</v>
          </cell>
          <cell r="AC453">
            <v>85</v>
          </cell>
          <cell r="AD453">
            <v>85</v>
          </cell>
          <cell r="AE453">
            <v>85</v>
          </cell>
          <cell r="AF453">
            <v>85</v>
          </cell>
          <cell r="AG453">
            <v>85</v>
          </cell>
          <cell r="AH453">
            <v>85</v>
          </cell>
        </row>
        <row r="454">
          <cell r="B454" t="str">
            <v>General - Nitrous oxide - GWP100 - Global - ton CO2eq/ton fuel</v>
          </cell>
          <cell r="G454">
            <v>266</v>
          </cell>
          <cell r="H454">
            <v>266</v>
          </cell>
          <cell r="I454">
            <v>266</v>
          </cell>
          <cell r="J454">
            <v>266</v>
          </cell>
          <cell r="K454">
            <v>266</v>
          </cell>
          <cell r="L454">
            <v>266</v>
          </cell>
          <cell r="M454">
            <v>266</v>
          </cell>
          <cell r="N454">
            <v>266</v>
          </cell>
          <cell r="O454">
            <v>266</v>
          </cell>
          <cell r="P454">
            <v>266</v>
          </cell>
          <cell r="Q454">
            <v>266</v>
          </cell>
          <cell r="R454">
            <v>266</v>
          </cell>
          <cell r="S454">
            <v>266</v>
          </cell>
          <cell r="T454">
            <v>266</v>
          </cell>
          <cell r="U454">
            <v>266</v>
          </cell>
          <cell r="V454">
            <v>266</v>
          </cell>
          <cell r="W454">
            <v>266</v>
          </cell>
          <cell r="X454">
            <v>266</v>
          </cell>
          <cell r="Y454">
            <v>266</v>
          </cell>
          <cell r="Z454">
            <v>266</v>
          </cell>
          <cell r="AA454">
            <v>266</v>
          </cell>
          <cell r="AB454">
            <v>266</v>
          </cell>
          <cell r="AC454">
            <v>266</v>
          </cell>
          <cell r="AD454">
            <v>266</v>
          </cell>
          <cell r="AE454">
            <v>266</v>
          </cell>
          <cell r="AF454">
            <v>266</v>
          </cell>
          <cell r="AG454">
            <v>266</v>
          </cell>
          <cell r="AH454">
            <v>266</v>
          </cell>
        </row>
        <row r="455">
          <cell r="B455" t="str">
            <v>General - Nitrous oxide - GWP20 - Global - ton CO2eq/ton fuel</v>
          </cell>
          <cell r="G455">
            <v>251</v>
          </cell>
          <cell r="H455">
            <v>251</v>
          </cell>
          <cell r="I455">
            <v>251</v>
          </cell>
          <cell r="J455">
            <v>251</v>
          </cell>
          <cell r="K455">
            <v>251</v>
          </cell>
          <cell r="L455">
            <v>251</v>
          </cell>
          <cell r="M455">
            <v>251</v>
          </cell>
          <cell r="N455">
            <v>251</v>
          </cell>
          <cell r="O455">
            <v>251</v>
          </cell>
          <cell r="P455">
            <v>251</v>
          </cell>
          <cell r="Q455">
            <v>251</v>
          </cell>
          <cell r="R455">
            <v>251</v>
          </cell>
          <cell r="S455">
            <v>251</v>
          </cell>
          <cell r="T455">
            <v>251</v>
          </cell>
          <cell r="U455">
            <v>251</v>
          </cell>
          <cell r="V455">
            <v>251</v>
          </cell>
          <cell r="W455">
            <v>251</v>
          </cell>
          <cell r="X455">
            <v>251</v>
          </cell>
          <cell r="Y455">
            <v>251</v>
          </cell>
          <cell r="Z455">
            <v>251</v>
          </cell>
          <cell r="AA455">
            <v>251</v>
          </cell>
          <cell r="AB455">
            <v>251</v>
          </cell>
          <cell r="AC455">
            <v>251</v>
          </cell>
          <cell r="AD455">
            <v>251</v>
          </cell>
          <cell r="AE455">
            <v>251</v>
          </cell>
          <cell r="AF455">
            <v>251</v>
          </cell>
          <cell r="AG455">
            <v>251</v>
          </cell>
          <cell r="AH455">
            <v>251</v>
          </cell>
        </row>
        <row r="456">
          <cell r="B456" t="str">
            <v/>
          </cell>
        </row>
        <row r="457">
          <cell r="B457" t="str">
            <v>e-methanol (PS) - Total emissions - WTW - Global - ton CO2/ton fuel</v>
          </cell>
          <cell r="G457">
            <v>6.7318234077158021E-2</v>
          </cell>
          <cell r="H457">
            <v>6.7255738673075091E-2</v>
          </cell>
          <cell r="I457">
            <v>6.7182467480182514E-2</v>
          </cell>
          <cell r="J457">
            <v>6.7073477383820843E-2</v>
          </cell>
          <cell r="K457">
            <v>6.6946317910808018E-2</v>
          </cell>
          <cell r="L457">
            <v>6.6800989061143401E-2</v>
          </cell>
          <cell r="M457">
            <v>6.6637490834828172E-2</v>
          </cell>
          <cell r="N457">
            <v>6.6455823231860861E-2</v>
          </cell>
          <cell r="O457">
            <v>6.6104888699158162E-2</v>
          </cell>
          <cell r="P457">
            <v>6.5736421971654913E-2</v>
          </cell>
          <cell r="Q457">
            <v>6.5350423049350209E-2</v>
          </cell>
          <cell r="R457">
            <v>6.4946891932243178E-2</v>
          </cell>
          <cell r="S457">
            <v>6.4525828620335346E-2</v>
          </cell>
          <cell r="T457">
            <v>6.4086589341086894E-2</v>
          </cell>
          <cell r="U457">
            <v>6.3635195777798387E-2</v>
          </cell>
          <cell r="V457">
            <v>6.3171647930471697E-2</v>
          </cell>
          <cell r="W457">
            <v>6.2695945799104286E-2</v>
          </cell>
          <cell r="X457">
            <v>6.2208089383696777E-2</v>
          </cell>
          <cell r="Y457">
            <v>6.157713368896197E-2</v>
          </cell>
          <cell r="Z457">
            <v>6.0953090079319192E-2</v>
          </cell>
          <cell r="AA457">
            <v>6.0335958554769593E-2</v>
          </cell>
          <cell r="AB457">
            <v>5.9725739115312031E-2</v>
          </cell>
          <cell r="AC457">
            <v>5.9122431760947371E-2</v>
          </cell>
          <cell r="AD457">
            <v>5.8618539515596764E-2</v>
          </cell>
          <cell r="AE457">
            <v>5.8123521326620221E-2</v>
          </cell>
          <cell r="AF457">
            <v>5.7637377194017514E-2</v>
          </cell>
          <cell r="AG457">
            <v>5.7160107117788732E-2</v>
          </cell>
          <cell r="AH457">
            <v>5.6691711097933993E-2</v>
          </cell>
        </row>
        <row r="458">
          <cell r="B458" t="str">
            <v>e-methanol (PS) - Total emissions - WTW - Global - ton CH4/ton fuel</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row>
        <row r="459">
          <cell r="B459" t="str">
            <v>e-methanol (PS) - Total emissions - WTW - Global - ton N2O/ton fuel</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row>
        <row r="460">
          <cell r="B460" t="str">
            <v/>
          </cell>
        </row>
        <row r="461">
          <cell r="B461" t="str">
            <v>e-methanol (PS) - Total emissions - TTW - Global - ton CO2/ton fuel</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row>
        <row r="462">
          <cell r="B462" t="str">
            <v>e-methanol (PS) - Total emissions - TTW - Global - ton CH4/ton fuel</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row>
        <row r="463">
          <cell r="B463" t="str">
            <v>e-methanol (PS) - Total emissions - TTW - Global - ton N2O/ton fuel</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row>
        <row r="464">
          <cell r="B464" t="str">
            <v>e-methanol - TTW emissions (carbon dioxide) - Global - ton CO2/ton fuel</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row>
        <row r="465">
          <cell r="B465" t="str">
            <v>e-methanol - TTW emissions (methane) - Global - ton CH4/ton fuel</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row>
        <row r="466">
          <cell r="B466" t="str">
            <v>e-methanol - TTW emissions (nitrous oxide) - Global - ton N2O/ton fuel</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row>
        <row r="467">
          <cell r="B467" t="str">
            <v/>
          </cell>
        </row>
        <row r="468">
          <cell r="B468" t="str">
            <v>e-methanol (PS) - Total emissions - WTT - Global - ton CO2eq/ton fuel</v>
          </cell>
          <cell r="G468">
            <v>6.7318234077158021E-2</v>
          </cell>
          <cell r="H468">
            <v>6.7255738673075091E-2</v>
          </cell>
          <cell r="I468">
            <v>6.7182467480182514E-2</v>
          </cell>
          <cell r="J468">
            <v>6.7073477383820843E-2</v>
          </cell>
          <cell r="K468">
            <v>6.6946317910808018E-2</v>
          </cell>
          <cell r="L468">
            <v>6.6800989061143401E-2</v>
          </cell>
          <cell r="M468">
            <v>6.6637490834828172E-2</v>
          </cell>
          <cell r="N468">
            <v>6.6455823231860861E-2</v>
          </cell>
          <cell r="O468">
            <v>6.6104888699158162E-2</v>
          </cell>
          <cell r="P468">
            <v>6.5736421971654913E-2</v>
          </cell>
          <cell r="Q468">
            <v>6.5350423049350209E-2</v>
          </cell>
          <cell r="R468">
            <v>6.4946891932243178E-2</v>
          </cell>
          <cell r="S468">
            <v>6.4525828620335346E-2</v>
          </cell>
          <cell r="T468">
            <v>6.4086589341086894E-2</v>
          </cell>
          <cell r="U468">
            <v>6.3635195777798387E-2</v>
          </cell>
          <cell r="V468">
            <v>6.3171647930471697E-2</v>
          </cell>
          <cell r="W468">
            <v>6.2695945799104286E-2</v>
          </cell>
          <cell r="X468">
            <v>6.2208089383696777E-2</v>
          </cell>
          <cell r="Y468">
            <v>6.157713368896197E-2</v>
          </cell>
          <cell r="Z468">
            <v>6.0953090079319192E-2</v>
          </cell>
          <cell r="AA468">
            <v>6.0335958554769593E-2</v>
          </cell>
          <cell r="AB468">
            <v>5.9725739115312031E-2</v>
          </cell>
          <cell r="AC468">
            <v>5.9122431760947371E-2</v>
          </cell>
          <cell r="AD468">
            <v>5.8618539515596764E-2</v>
          </cell>
          <cell r="AE468">
            <v>5.8123521326620221E-2</v>
          </cell>
          <cell r="AF468">
            <v>5.7637377194017514E-2</v>
          </cell>
          <cell r="AG468">
            <v>5.7160107117788732E-2</v>
          </cell>
          <cell r="AH468">
            <v>5.6691711097933993E-2</v>
          </cell>
        </row>
        <row r="469">
          <cell r="B469" t="str">
            <v>e-methanol (PS) - Total emissions - WTT - Global - ton CO2eq/ton fuel</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row>
        <row r="470">
          <cell r="B470" t="str">
            <v>e-methanol (PS) - Total emissions - WTT - Global - ton CO2eq/ton fuel</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row>
        <row r="471">
          <cell r="B471" t="str">
            <v/>
          </cell>
        </row>
        <row r="472">
          <cell r="B472" t="str">
            <v>e-methanol (PS) - Process-related emissions - WTT - Global - ton CO2/ton fuel</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row>
        <row r="473">
          <cell r="B473" t="str">
            <v>e-methanol (PS) - Process-related emissions - WTT - Global - ton CH4/ton fuel</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row>
        <row r="474">
          <cell r="B474" t="str">
            <v>e-methanol (PS) - Process-related emissions - WTT - Global - ton N2O/ton fuel</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row>
        <row r="475">
          <cell r="B475" t="str">
            <v>e-methanol - Process WTT emissions (carbon dioxide) - Global - ton CO2/ton fuel</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row>
        <row r="476">
          <cell r="B476" t="str">
            <v>e-methanol - Process WTT emissions (methane) - Global - ton CH4/ton fuel</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row>
        <row r="477">
          <cell r="B477" t="str">
            <v>e-methanol - Process WTT emissions (nitrous oxide) - Global - ton N2O/ton fuel</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row>
        <row r="478">
          <cell r="B478" t="str">
            <v/>
          </cell>
        </row>
        <row r="479">
          <cell r="B479" t="str">
            <v>e-methanol (PS) - Energy-related emissions - WTT - Global - ton CO2/ton fuel</v>
          </cell>
          <cell r="G479">
            <v>9.129E-3</v>
          </cell>
          <cell r="H479">
            <v>9.129E-3</v>
          </cell>
          <cell r="I479">
            <v>9.129E-3</v>
          </cell>
          <cell r="J479">
            <v>9.129E-3</v>
          </cell>
          <cell r="K479">
            <v>9.129E-3</v>
          </cell>
          <cell r="L479">
            <v>9.129E-3</v>
          </cell>
          <cell r="M479">
            <v>9.129E-3</v>
          </cell>
          <cell r="N479">
            <v>9.129E-3</v>
          </cell>
          <cell r="O479">
            <v>9.129E-3</v>
          </cell>
          <cell r="P479">
            <v>9.129E-3</v>
          </cell>
          <cell r="Q479">
            <v>9.129E-3</v>
          </cell>
          <cell r="R479">
            <v>9.129E-3</v>
          </cell>
          <cell r="S479">
            <v>9.129E-3</v>
          </cell>
          <cell r="T479">
            <v>9.129E-3</v>
          </cell>
          <cell r="U479">
            <v>9.129E-3</v>
          </cell>
          <cell r="V479">
            <v>9.129E-3</v>
          </cell>
          <cell r="W479">
            <v>9.129E-3</v>
          </cell>
          <cell r="X479">
            <v>9.129E-3</v>
          </cell>
          <cell r="Y479">
            <v>9.129E-3</v>
          </cell>
          <cell r="Z479">
            <v>9.129E-3</v>
          </cell>
          <cell r="AA479">
            <v>9.129E-3</v>
          </cell>
          <cell r="AB479">
            <v>9.129E-3</v>
          </cell>
          <cell r="AC479">
            <v>9.129E-3</v>
          </cell>
          <cell r="AD479">
            <v>9.129E-3</v>
          </cell>
          <cell r="AE479">
            <v>9.129E-3</v>
          </cell>
          <cell r="AF479">
            <v>9.129E-3</v>
          </cell>
          <cell r="AG479">
            <v>9.129E-3</v>
          </cell>
          <cell r="AH479">
            <v>9.129E-3</v>
          </cell>
        </row>
        <row r="480">
          <cell r="B480" t="str">
            <v>e-methanol (PS) - Energy-related emissions - WTT - Global - ton CH4/ton fuel</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row>
        <row r="481">
          <cell r="B481" t="str">
            <v>e-methanol (PS) - Energy-related emissions - WTT - Global - ton N2O/ton fuel</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row>
        <row r="482">
          <cell r="B482" t="str">
            <v>Renewable electricity - Feedstock WTT emissions (carbon dioxide) - Global - ton CO2/MWh</v>
          </cell>
          <cell r="G482">
            <v>5.3699999999999998E-3</v>
          </cell>
          <cell r="H482">
            <v>5.3699999999999998E-3</v>
          </cell>
          <cell r="I482">
            <v>5.3699999999999998E-3</v>
          </cell>
          <cell r="J482">
            <v>5.3699999999999998E-3</v>
          </cell>
          <cell r="K482">
            <v>5.3699999999999998E-3</v>
          </cell>
          <cell r="L482">
            <v>5.3699999999999998E-3</v>
          </cell>
          <cell r="M482">
            <v>5.3699999999999998E-3</v>
          </cell>
          <cell r="N482">
            <v>5.3699999999999998E-3</v>
          </cell>
          <cell r="O482">
            <v>5.3699999999999998E-3</v>
          </cell>
          <cell r="P482">
            <v>5.3699999999999998E-3</v>
          </cell>
          <cell r="Q482">
            <v>5.3699999999999998E-3</v>
          </cell>
          <cell r="R482">
            <v>5.3699999999999998E-3</v>
          </cell>
          <cell r="S482">
            <v>5.3699999999999998E-3</v>
          </cell>
          <cell r="T482">
            <v>5.3699999999999998E-3</v>
          </cell>
          <cell r="U482">
            <v>5.3699999999999998E-3</v>
          </cell>
          <cell r="V482">
            <v>5.3699999999999998E-3</v>
          </cell>
          <cell r="W482">
            <v>5.3699999999999998E-3</v>
          </cell>
          <cell r="X482">
            <v>5.3699999999999998E-3</v>
          </cell>
          <cell r="Y482">
            <v>5.3699999999999998E-3</v>
          </cell>
          <cell r="Z482">
            <v>5.3699999999999998E-3</v>
          </cell>
          <cell r="AA482">
            <v>5.3699999999999998E-3</v>
          </cell>
          <cell r="AB482">
            <v>5.3699999999999998E-3</v>
          </cell>
          <cell r="AC482">
            <v>5.3699999999999998E-3</v>
          </cell>
          <cell r="AD482">
            <v>5.3699999999999998E-3</v>
          </cell>
          <cell r="AE482">
            <v>5.3699999999999998E-3</v>
          </cell>
          <cell r="AF482">
            <v>5.3699999999999998E-3</v>
          </cell>
          <cell r="AG482">
            <v>5.3699999999999998E-3</v>
          </cell>
          <cell r="AH482">
            <v>5.3699999999999998E-3</v>
          </cell>
        </row>
        <row r="483">
          <cell r="B483" t="str">
            <v>Renewable electricity - Feedstock WTT emissions (methane) - Global - ton CH4/MWh</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row>
        <row r="484">
          <cell r="B484" t="str">
            <v>Renewable electricity - Feedstock WTT emissions (nitrous oxide) - Global - ton N2O/MWh</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row>
        <row r="485">
          <cell r="B485" t="str">
            <v>e-methanol - Energy demand - Global - MWh/ton fuel</v>
          </cell>
          <cell r="G485">
            <v>1.7</v>
          </cell>
          <cell r="H485">
            <v>1.7</v>
          </cell>
          <cell r="I485">
            <v>1.7</v>
          </cell>
          <cell r="J485">
            <v>1.7</v>
          </cell>
          <cell r="K485">
            <v>1.7</v>
          </cell>
          <cell r="L485">
            <v>1.7</v>
          </cell>
          <cell r="M485">
            <v>1.7</v>
          </cell>
          <cell r="N485">
            <v>1.7</v>
          </cell>
          <cell r="O485">
            <v>1.7</v>
          </cell>
          <cell r="P485">
            <v>1.7</v>
          </cell>
          <cell r="Q485">
            <v>1.7</v>
          </cell>
          <cell r="R485">
            <v>1.7</v>
          </cell>
          <cell r="S485">
            <v>1.7</v>
          </cell>
          <cell r="T485">
            <v>1.7</v>
          </cell>
          <cell r="U485">
            <v>1.7</v>
          </cell>
          <cell r="V485">
            <v>1.7</v>
          </cell>
          <cell r="W485">
            <v>1.7</v>
          </cell>
          <cell r="X485">
            <v>1.7</v>
          </cell>
          <cell r="Y485">
            <v>1.7</v>
          </cell>
          <cell r="Z485">
            <v>1.7</v>
          </cell>
          <cell r="AA485">
            <v>1.7</v>
          </cell>
          <cell r="AB485">
            <v>1.7</v>
          </cell>
          <cell r="AC485">
            <v>1.7</v>
          </cell>
          <cell r="AD485">
            <v>1.7</v>
          </cell>
          <cell r="AE485">
            <v>1.7</v>
          </cell>
          <cell r="AF485">
            <v>1.7</v>
          </cell>
          <cell r="AG485">
            <v>1.7</v>
          </cell>
          <cell r="AH485">
            <v>1.7</v>
          </cell>
        </row>
        <row r="486">
          <cell r="B486" t="str">
            <v/>
          </cell>
        </row>
        <row r="487">
          <cell r="B487" t="str">
            <v>e-methanol (PS) - Feedstock-related emissions - WTT - Global - ton CO2/ton fuel</v>
          </cell>
          <cell r="G487">
            <v>5.8189234077158022E-2</v>
          </cell>
          <cell r="H487">
            <v>5.8126738673075093E-2</v>
          </cell>
          <cell r="I487">
            <v>5.8053467480182516E-2</v>
          </cell>
          <cell r="J487">
            <v>5.7944477383820837E-2</v>
          </cell>
          <cell r="K487">
            <v>5.7817317910808019E-2</v>
          </cell>
          <cell r="L487">
            <v>5.7671989061143403E-2</v>
          </cell>
          <cell r="M487">
            <v>5.7508490834828167E-2</v>
          </cell>
          <cell r="N487">
            <v>5.7326823231860856E-2</v>
          </cell>
          <cell r="O487">
            <v>5.6975888699158164E-2</v>
          </cell>
          <cell r="P487">
            <v>5.6607421971654907E-2</v>
          </cell>
          <cell r="Q487">
            <v>5.6221423049350211E-2</v>
          </cell>
          <cell r="R487">
            <v>5.581789193224318E-2</v>
          </cell>
          <cell r="S487">
            <v>5.5396828620335348E-2</v>
          </cell>
          <cell r="T487">
            <v>5.4957589341086889E-2</v>
          </cell>
          <cell r="U487">
            <v>5.4506195777798382E-2</v>
          </cell>
          <cell r="V487">
            <v>5.4042647930471692E-2</v>
          </cell>
          <cell r="W487">
            <v>5.3566945799104287E-2</v>
          </cell>
          <cell r="X487">
            <v>5.3079089383696779E-2</v>
          </cell>
          <cell r="Y487">
            <v>5.2448133688961972E-2</v>
          </cell>
          <cell r="Z487">
            <v>5.1824090079319193E-2</v>
          </cell>
          <cell r="AA487">
            <v>5.1206958554769595E-2</v>
          </cell>
          <cell r="AB487">
            <v>5.0596739115312032E-2</v>
          </cell>
          <cell r="AC487">
            <v>4.9993431760947372E-2</v>
          </cell>
          <cell r="AD487">
            <v>4.9489539515596766E-2</v>
          </cell>
          <cell r="AE487">
            <v>4.8994521326620223E-2</v>
          </cell>
          <cell r="AF487">
            <v>4.8508377194017516E-2</v>
          </cell>
          <cell r="AG487">
            <v>4.8031107117788734E-2</v>
          </cell>
          <cell r="AH487">
            <v>4.7562711097933995E-2</v>
          </cell>
        </row>
        <row r="488">
          <cell r="B488" t="str">
            <v>e-methanol (PS) - Feedstock-related emissions - WTT - Global - ton CH4/ton fuel</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row>
        <row r="489">
          <cell r="B489" t="str">
            <v>e-methanol (PS) - Feedstock-related emissions - WTT - Global - ton N2O/ton fuel</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row>
        <row r="490">
          <cell r="B490" t="str">
            <v>e-hydrogen (compressed) - Feedstock WTT emissions (carbon dioxide) - Global - ton CO2/ton H2</v>
          </cell>
          <cell r="G490">
            <v>0.29069928460653066</v>
          </cell>
          <cell r="H490">
            <v>0.29036818709700268</v>
          </cell>
          <cell r="I490">
            <v>0.28998000000000135</v>
          </cell>
          <cell r="J490">
            <v>0.28940257594781538</v>
          </cell>
          <cell r="K490">
            <v>0.28872889145140718</v>
          </cell>
          <cell r="L490">
            <v>0.28795894651077331</v>
          </cell>
          <cell r="M490">
            <v>0.28709274112591998</v>
          </cell>
          <cell r="N490">
            <v>0.28613027529683954</v>
          </cell>
          <cell r="O490">
            <v>0.28427104178214713</v>
          </cell>
          <cell r="P490">
            <v>0.28231892358064925</v>
          </cell>
          <cell r="Q490">
            <v>0.28027392069234119</v>
          </cell>
          <cell r="R490">
            <v>0.27813603311721824</v>
          </cell>
          <cell r="S490">
            <v>0.27590526085528855</v>
          </cell>
          <cell r="T490">
            <v>0.27357819323199506</v>
          </cell>
          <cell r="U490">
            <v>0.27118673282278699</v>
          </cell>
          <cell r="V490">
            <v>0.26873087962767428</v>
          </cell>
          <cell r="W490">
            <v>0.26621063364664344</v>
          </cell>
          <cell r="X490">
            <v>0.26362599487969779</v>
          </cell>
          <cell r="Y490">
            <v>0.26028322332369702</v>
          </cell>
          <cell r="Z490">
            <v>0.25697707164708095</v>
          </cell>
          <cell r="AA490">
            <v>0.25370753984985572</v>
          </cell>
          <cell r="AB490">
            <v>0.25047462793201525</v>
          </cell>
          <cell r="AC490">
            <v>0.2472783358935641</v>
          </cell>
          <cell r="AD490">
            <v>0.24460874010561368</v>
          </cell>
          <cell r="AE490">
            <v>0.24198615862228262</v>
          </cell>
          <cell r="AF490">
            <v>0.23941059144356966</v>
          </cell>
          <cell r="AG490">
            <v>0.23688203856947532</v>
          </cell>
          <cell r="AH490">
            <v>0.23440050000000018</v>
          </cell>
        </row>
        <row r="491">
          <cell r="B491" t="str">
            <v>e-hydrogen (compressed) - Feedstock WTT emissions (methane) - Global - ton CH4/ton H2</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row>
        <row r="492">
          <cell r="B492" t="str">
            <v>e-hydrogen (compressed) - Feedstock WTT emissions (nitrous oxide) - Global - ton N2O/ton H2</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row>
        <row r="493">
          <cell r="B493" t="str">
            <v>Carbon dioxide (PS) - Feedstock WTT emissions (carbon dioxide) - Global - ton CO2/ton CO2</v>
          </cell>
          <cell r="G493">
            <v>2.4164999999999998E-3</v>
          </cell>
          <cell r="H493">
            <v>2.4164999999999998E-3</v>
          </cell>
          <cell r="I493">
            <v>2.4164999999999998E-3</v>
          </cell>
          <cell r="J493">
            <v>2.4164999999999998E-3</v>
          </cell>
          <cell r="K493">
            <v>2.4164999999999998E-3</v>
          </cell>
          <cell r="L493">
            <v>2.4164999999999998E-3</v>
          </cell>
          <cell r="M493">
            <v>2.4164999999999998E-3</v>
          </cell>
          <cell r="N493">
            <v>2.4164999999999998E-3</v>
          </cell>
          <cell r="O493">
            <v>2.4164999999999998E-3</v>
          </cell>
          <cell r="P493">
            <v>2.4164999999999998E-3</v>
          </cell>
          <cell r="Q493">
            <v>2.4164999999999998E-3</v>
          </cell>
          <cell r="R493">
            <v>2.4164999999999998E-3</v>
          </cell>
          <cell r="S493">
            <v>2.4164999999999998E-3</v>
          </cell>
          <cell r="T493">
            <v>2.4164999999999998E-3</v>
          </cell>
          <cell r="U493">
            <v>2.4164999999999998E-3</v>
          </cell>
          <cell r="V493">
            <v>2.4164999999999998E-3</v>
          </cell>
          <cell r="W493">
            <v>2.4164999999999998E-3</v>
          </cell>
          <cell r="X493">
            <v>2.4164999999999998E-3</v>
          </cell>
          <cell r="Y493">
            <v>2.4164999999999998E-3</v>
          </cell>
          <cell r="Z493">
            <v>2.4164999999999998E-3</v>
          </cell>
          <cell r="AA493">
            <v>2.4164999999999998E-3</v>
          </cell>
          <cell r="AB493">
            <v>2.4164999999999998E-3</v>
          </cell>
          <cell r="AC493">
            <v>2.4164999999999998E-3</v>
          </cell>
          <cell r="AD493">
            <v>2.4164999999999998E-3</v>
          </cell>
          <cell r="AE493">
            <v>2.4164999999999998E-3</v>
          </cell>
          <cell r="AF493">
            <v>2.4164999999999998E-3</v>
          </cell>
          <cell r="AG493">
            <v>2.4164999999999998E-3</v>
          </cell>
          <cell r="AH493">
            <v>2.4164999999999998E-3</v>
          </cell>
        </row>
        <row r="494">
          <cell r="B494" t="str">
            <v>Carbon dioxide (PS) - Feedstock WTT emissions (methane) - Global - ton CH4/ton CO2</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row>
        <row r="495">
          <cell r="B495" t="str">
            <v>Carbon dioxide (PS) - Feedstock WTT emissions (nitrous oxide) - Global - ton N2O/ton CO2</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row>
        <row r="496">
          <cell r="B496" t="str">
            <v>e-methanol - Conversion H2 -&gt; MeOH - Global - ton H2/ton MeOH</v>
          </cell>
          <cell r="G496">
            <v>0.18875226265526496</v>
          </cell>
          <cell r="H496">
            <v>0.18875226265526496</v>
          </cell>
          <cell r="I496">
            <v>0.18875226265526496</v>
          </cell>
          <cell r="J496">
            <v>0.18875226265526496</v>
          </cell>
          <cell r="K496">
            <v>0.18875226265526496</v>
          </cell>
          <cell r="L496">
            <v>0.18875226265526496</v>
          </cell>
          <cell r="M496">
            <v>0.18875226265526496</v>
          </cell>
          <cell r="N496">
            <v>0.18875226265526496</v>
          </cell>
          <cell r="O496">
            <v>0.18875226265526496</v>
          </cell>
          <cell r="P496">
            <v>0.18875226265526496</v>
          </cell>
          <cell r="Q496">
            <v>0.18875226265526496</v>
          </cell>
          <cell r="R496">
            <v>0.18875226265526496</v>
          </cell>
          <cell r="S496">
            <v>0.18875226265526496</v>
          </cell>
          <cell r="T496">
            <v>0.18875226265526496</v>
          </cell>
          <cell r="U496">
            <v>0.18875226265526496</v>
          </cell>
          <cell r="V496">
            <v>0.18875226265526496</v>
          </cell>
          <cell r="W496">
            <v>0.18875226265526496</v>
          </cell>
          <cell r="X496">
            <v>0.18875226265526496</v>
          </cell>
          <cell r="Y496">
            <v>0.18875226265526496</v>
          </cell>
          <cell r="Z496">
            <v>0.18875226265526496</v>
          </cell>
          <cell r="AA496">
            <v>0.18875226265526496</v>
          </cell>
          <cell r="AB496">
            <v>0.18875226265526496</v>
          </cell>
          <cell r="AC496">
            <v>0.18875226265526496</v>
          </cell>
          <cell r="AD496">
            <v>0.18875226265526496</v>
          </cell>
          <cell r="AE496">
            <v>0.18875226265526496</v>
          </cell>
          <cell r="AF496">
            <v>0.18875226265526496</v>
          </cell>
          <cell r="AG496">
            <v>0.18875226265526496</v>
          </cell>
          <cell r="AH496">
            <v>0.18875226265526496</v>
          </cell>
        </row>
        <row r="497">
          <cell r="B497" t="str">
            <v>e-methanol - Conversion CO2 -&gt; MeOH - Global - ton CO2/ton MeOH</v>
          </cell>
          <cell r="G497">
            <v>1.3735097684289368</v>
          </cell>
          <cell r="H497">
            <v>1.3735097684289368</v>
          </cell>
          <cell r="I497">
            <v>1.3735097684289368</v>
          </cell>
          <cell r="J497">
            <v>1.3735097684289368</v>
          </cell>
          <cell r="K497">
            <v>1.3735097684289368</v>
          </cell>
          <cell r="L497">
            <v>1.3735097684289368</v>
          </cell>
          <cell r="M497">
            <v>1.3735097684289368</v>
          </cell>
          <cell r="N497">
            <v>1.3735097684289368</v>
          </cell>
          <cell r="O497">
            <v>1.3735097684289368</v>
          </cell>
          <cell r="P497">
            <v>1.3735097684289368</v>
          </cell>
          <cell r="Q497">
            <v>1.3735097684289368</v>
          </cell>
          <cell r="R497">
            <v>1.3735097684289368</v>
          </cell>
          <cell r="S497">
            <v>1.3735097684289368</v>
          </cell>
          <cell r="T497">
            <v>1.3735097684289368</v>
          </cell>
          <cell r="U497">
            <v>1.3735097684289368</v>
          </cell>
          <cell r="V497">
            <v>1.3735097684289368</v>
          </cell>
          <cell r="W497">
            <v>1.3735097684289368</v>
          </cell>
          <cell r="X497">
            <v>1.3735097684289368</v>
          </cell>
          <cell r="Y497">
            <v>1.3735097684289368</v>
          </cell>
          <cell r="Z497">
            <v>1.3735097684289368</v>
          </cell>
          <cell r="AA497">
            <v>1.3735097684289368</v>
          </cell>
          <cell r="AB497">
            <v>1.3735097684289368</v>
          </cell>
          <cell r="AC497">
            <v>1.3735097684289368</v>
          </cell>
          <cell r="AD497">
            <v>1.3735097684289368</v>
          </cell>
          <cell r="AE497">
            <v>1.3735097684289368</v>
          </cell>
          <cell r="AF497">
            <v>1.3735097684289368</v>
          </cell>
          <cell r="AG497">
            <v>1.3735097684289368</v>
          </cell>
          <cell r="AH497">
            <v>1.3735097684289368</v>
          </cell>
        </row>
        <row r="498">
          <cell r="B498" t="str">
            <v/>
          </cell>
        </row>
        <row r="499">
          <cell r="B499" t="str">
            <v>e-methane (DAC) - Item - Region - Unit</v>
          </cell>
          <cell r="G499">
            <v>2023</v>
          </cell>
          <cell r="H499">
            <v>2024</v>
          </cell>
          <cell r="I499">
            <v>2025</v>
          </cell>
          <cell r="J499">
            <v>2026</v>
          </cell>
          <cell r="K499">
            <v>2027</v>
          </cell>
          <cell r="L499">
            <v>2028</v>
          </cell>
          <cell r="M499">
            <v>2029</v>
          </cell>
          <cell r="N499">
            <v>2030</v>
          </cell>
          <cell r="O499">
            <v>2031</v>
          </cell>
          <cell r="P499">
            <v>2032</v>
          </cell>
          <cell r="Q499">
            <v>2033</v>
          </cell>
          <cell r="R499">
            <v>2034</v>
          </cell>
          <cell r="S499">
            <v>2035</v>
          </cell>
          <cell r="T499">
            <v>2036</v>
          </cell>
          <cell r="U499">
            <v>2037</v>
          </cell>
          <cell r="V499">
            <v>2038</v>
          </cell>
          <cell r="W499">
            <v>2039</v>
          </cell>
          <cell r="X499">
            <v>2040</v>
          </cell>
          <cell r="Y499">
            <v>2041</v>
          </cell>
          <cell r="Z499">
            <v>2042</v>
          </cell>
          <cell r="AA499">
            <v>2043</v>
          </cell>
          <cell r="AB499">
            <v>2044</v>
          </cell>
          <cell r="AC499">
            <v>2045</v>
          </cell>
          <cell r="AD499">
            <v>2046</v>
          </cell>
          <cell r="AE499">
            <v>2047</v>
          </cell>
          <cell r="AF499">
            <v>2048</v>
          </cell>
          <cell r="AG499">
            <v>2049</v>
          </cell>
          <cell r="AH499">
            <v>2050</v>
          </cell>
        </row>
        <row r="500">
          <cell r="B500" t="str">
            <v/>
          </cell>
        </row>
        <row r="501">
          <cell r="B501" t="str">
            <v>e-methane (DAC) - Total emissions - WTT - GWP100 - Global - ton CO2eq/ton fuel</v>
          </cell>
          <cell r="G501">
            <v>0.18999797007360777</v>
          </cell>
          <cell r="H501">
            <v>0.18925675743367254</v>
          </cell>
          <cell r="I501">
            <v>0.18848700000000085</v>
          </cell>
          <cell r="J501">
            <v>0.18766008836568049</v>
          </cell>
          <cell r="K501">
            <v>0.18678504650924901</v>
          </cell>
          <cell r="L501">
            <v>0.1858618744307047</v>
          </cell>
          <cell r="M501">
            <v>0.18489057213005067</v>
          </cell>
          <cell r="N501">
            <v>0.18387113960728307</v>
          </cell>
          <cell r="O501">
            <v>0.18243834933886965</v>
          </cell>
          <cell r="P501">
            <v>0.1809591167270537</v>
          </cell>
          <cell r="Q501">
            <v>0.17943344177183265</v>
          </cell>
          <cell r="R501">
            <v>0.17786132447320394</v>
          </cell>
          <cell r="S501">
            <v>0.17624276483117188</v>
          </cell>
          <cell r="T501">
            <v>0.17460880410287696</v>
          </cell>
          <cell r="U501">
            <v>0.17294264698162501</v>
          </cell>
          <cell r="V501">
            <v>0.17124429346742051</v>
          </cell>
          <cell r="W501">
            <v>0.16951374356025714</v>
          </cell>
          <cell r="X501">
            <v>0.16775099726013629</v>
          </cell>
          <cell r="Y501">
            <v>0.16563980000748638</v>
          </cell>
          <cell r="Z501">
            <v>0.16354691269452884</v>
          </cell>
          <cell r="AA501">
            <v>0.16147233532126673</v>
          </cell>
          <cell r="AB501">
            <v>0.15941606788769708</v>
          </cell>
          <cell r="AC501">
            <v>0.15737811039382199</v>
          </cell>
          <cell r="AD501">
            <v>0.15563212401043888</v>
          </cell>
          <cell r="AE501">
            <v>0.15390964477936533</v>
          </cell>
          <cell r="AF501">
            <v>0.15221067270060085</v>
          </cell>
          <cell r="AG501">
            <v>0.15053520777414567</v>
          </cell>
          <cell r="AH501">
            <v>0.14888325000000011</v>
          </cell>
        </row>
        <row r="502">
          <cell r="B502" t="str">
            <v>e-methane (DAC) - Total emissions - WTT - GWP20 - Global - ton CO2eq/ton fuel</v>
          </cell>
          <cell r="G502">
            <v>0.18999797007360777</v>
          </cell>
          <cell r="H502">
            <v>0.18925675743367254</v>
          </cell>
          <cell r="I502">
            <v>0.18848700000000085</v>
          </cell>
          <cell r="J502">
            <v>0.18766008836568049</v>
          </cell>
          <cell r="K502">
            <v>0.18678504650924901</v>
          </cell>
          <cell r="L502">
            <v>0.1858618744307047</v>
          </cell>
          <cell r="M502">
            <v>0.18489057213005067</v>
          </cell>
          <cell r="N502">
            <v>0.18387113960728307</v>
          </cell>
          <cell r="O502">
            <v>0.18243834933886965</v>
          </cell>
          <cell r="P502">
            <v>0.1809591167270537</v>
          </cell>
          <cell r="Q502">
            <v>0.17943344177183265</v>
          </cell>
          <cell r="R502">
            <v>0.17786132447320394</v>
          </cell>
          <cell r="S502">
            <v>0.17624276483117188</v>
          </cell>
          <cell r="T502">
            <v>0.17460880410287696</v>
          </cell>
          <cell r="U502">
            <v>0.17294264698162501</v>
          </cell>
          <cell r="V502">
            <v>0.17124429346742051</v>
          </cell>
          <cell r="W502">
            <v>0.16951374356025714</v>
          </cell>
          <cell r="X502">
            <v>0.16775099726013629</v>
          </cell>
          <cell r="Y502">
            <v>0.16563980000748638</v>
          </cell>
          <cell r="Z502">
            <v>0.16354691269452884</v>
          </cell>
          <cell r="AA502">
            <v>0.16147233532126673</v>
          </cell>
          <cell r="AB502">
            <v>0.15941606788769708</v>
          </cell>
          <cell r="AC502">
            <v>0.15737811039382199</v>
          </cell>
          <cell r="AD502">
            <v>0.15563212401043888</v>
          </cell>
          <cell r="AE502">
            <v>0.15390964477936533</v>
          </cell>
          <cell r="AF502">
            <v>0.15221067270060085</v>
          </cell>
          <cell r="AG502">
            <v>0.15053520777414567</v>
          </cell>
          <cell r="AH502">
            <v>0.14888325000000011</v>
          </cell>
        </row>
        <row r="503">
          <cell r="B503" t="str">
            <v>General - Methane - GWP100 - Global - ton CO2eq/ton fuel</v>
          </cell>
          <cell r="G503">
            <v>29</v>
          </cell>
          <cell r="H503">
            <v>29</v>
          </cell>
          <cell r="I503">
            <v>29</v>
          </cell>
          <cell r="J503">
            <v>29</v>
          </cell>
          <cell r="K503">
            <v>29</v>
          </cell>
          <cell r="L503">
            <v>29</v>
          </cell>
          <cell r="M503">
            <v>29</v>
          </cell>
          <cell r="N503">
            <v>29</v>
          </cell>
          <cell r="O503">
            <v>29</v>
          </cell>
          <cell r="P503">
            <v>29</v>
          </cell>
          <cell r="Q503">
            <v>29</v>
          </cell>
          <cell r="R503">
            <v>29</v>
          </cell>
          <cell r="S503">
            <v>29</v>
          </cell>
          <cell r="T503">
            <v>29</v>
          </cell>
          <cell r="U503">
            <v>29</v>
          </cell>
          <cell r="V503">
            <v>29</v>
          </cell>
          <cell r="W503">
            <v>29</v>
          </cell>
          <cell r="X503">
            <v>29</v>
          </cell>
          <cell r="Y503">
            <v>29</v>
          </cell>
          <cell r="Z503">
            <v>29</v>
          </cell>
          <cell r="AA503">
            <v>29</v>
          </cell>
          <cell r="AB503">
            <v>29</v>
          </cell>
          <cell r="AC503">
            <v>29</v>
          </cell>
          <cell r="AD503">
            <v>29</v>
          </cell>
          <cell r="AE503">
            <v>29</v>
          </cell>
          <cell r="AF503">
            <v>29</v>
          </cell>
          <cell r="AG503">
            <v>29</v>
          </cell>
          <cell r="AH503">
            <v>29</v>
          </cell>
        </row>
        <row r="504">
          <cell r="B504" t="str">
            <v>General - Methane - GWP20 - Global - ton CO2eq/ton fuel</v>
          </cell>
          <cell r="G504">
            <v>85</v>
          </cell>
          <cell r="H504">
            <v>85</v>
          </cell>
          <cell r="I504">
            <v>85</v>
          </cell>
          <cell r="J504">
            <v>85</v>
          </cell>
          <cell r="K504">
            <v>85</v>
          </cell>
          <cell r="L504">
            <v>85</v>
          </cell>
          <cell r="M504">
            <v>85</v>
          </cell>
          <cell r="N504">
            <v>85</v>
          </cell>
          <cell r="O504">
            <v>85</v>
          </cell>
          <cell r="P504">
            <v>85</v>
          </cell>
          <cell r="Q504">
            <v>85</v>
          </cell>
          <cell r="R504">
            <v>85</v>
          </cell>
          <cell r="S504">
            <v>85</v>
          </cell>
          <cell r="T504">
            <v>85</v>
          </cell>
          <cell r="U504">
            <v>85</v>
          </cell>
          <cell r="V504">
            <v>85</v>
          </cell>
          <cell r="W504">
            <v>85</v>
          </cell>
          <cell r="X504">
            <v>85</v>
          </cell>
          <cell r="Y504">
            <v>85</v>
          </cell>
          <cell r="Z504">
            <v>85</v>
          </cell>
          <cell r="AA504">
            <v>85</v>
          </cell>
          <cell r="AB504">
            <v>85</v>
          </cell>
          <cell r="AC504">
            <v>85</v>
          </cell>
          <cell r="AD504">
            <v>85</v>
          </cell>
          <cell r="AE504">
            <v>85</v>
          </cell>
          <cell r="AF504">
            <v>85</v>
          </cell>
          <cell r="AG504">
            <v>85</v>
          </cell>
          <cell r="AH504">
            <v>85</v>
          </cell>
        </row>
        <row r="505">
          <cell r="B505" t="str">
            <v>General - Nitrous oxide - GWP100 - Global - ton CO2eq/ton fuel</v>
          </cell>
          <cell r="G505">
            <v>266</v>
          </cell>
          <cell r="H505">
            <v>266</v>
          </cell>
          <cell r="I505">
            <v>266</v>
          </cell>
          <cell r="J505">
            <v>266</v>
          </cell>
          <cell r="K505">
            <v>266</v>
          </cell>
          <cell r="L505">
            <v>266</v>
          </cell>
          <cell r="M505">
            <v>266</v>
          </cell>
          <cell r="N505">
            <v>266</v>
          </cell>
          <cell r="O505">
            <v>266</v>
          </cell>
          <cell r="P505">
            <v>266</v>
          </cell>
          <cell r="Q505">
            <v>266</v>
          </cell>
          <cell r="R505">
            <v>266</v>
          </cell>
          <cell r="S505">
            <v>266</v>
          </cell>
          <cell r="T505">
            <v>266</v>
          </cell>
          <cell r="U505">
            <v>266</v>
          </cell>
          <cell r="V505">
            <v>266</v>
          </cell>
          <cell r="W505">
            <v>266</v>
          </cell>
          <cell r="X505">
            <v>266</v>
          </cell>
          <cell r="Y505">
            <v>266</v>
          </cell>
          <cell r="Z505">
            <v>266</v>
          </cell>
          <cell r="AA505">
            <v>266</v>
          </cell>
          <cell r="AB505">
            <v>266</v>
          </cell>
          <cell r="AC505">
            <v>266</v>
          </cell>
          <cell r="AD505">
            <v>266</v>
          </cell>
          <cell r="AE505">
            <v>266</v>
          </cell>
          <cell r="AF505">
            <v>266</v>
          </cell>
          <cell r="AG505">
            <v>266</v>
          </cell>
          <cell r="AH505">
            <v>266</v>
          </cell>
        </row>
        <row r="506">
          <cell r="B506" t="str">
            <v>General - Nitrous oxide - GWP20 - Global - ton CO2eq/ton fuel</v>
          </cell>
          <cell r="G506">
            <v>251</v>
          </cell>
          <cell r="H506">
            <v>251</v>
          </cell>
          <cell r="I506">
            <v>251</v>
          </cell>
          <cell r="J506">
            <v>251</v>
          </cell>
          <cell r="K506">
            <v>251</v>
          </cell>
          <cell r="L506">
            <v>251</v>
          </cell>
          <cell r="M506">
            <v>251</v>
          </cell>
          <cell r="N506">
            <v>251</v>
          </cell>
          <cell r="O506">
            <v>251</v>
          </cell>
          <cell r="P506">
            <v>251</v>
          </cell>
          <cell r="Q506">
            <v>251</v>
          </cell>
          <cell r="R506">
            <v>251</v>
          </cell>
          <cell r="S506">
            <v>251</v>
          </cell>
          <cell r="T506">
            <v>251</v>
          </cell>
          <cell r="U506">
            <v>251</v>
          </cell>
          <cell r="V506">
            <v>251</v>
          </cell>
          <cell r="W506">
            <v>251</v>
          </cell>
          <cell r="X506">
            <v>251</v>
          </cell>
          <cell r="Y506">
            <v>251</v>
          </cell>
          <cell r="Z506">
            <v>251</v>
          </cell>
          <cell r="AA506">
            <v>251</v>
          </cell>
          <cell r="AB506">
            <v>251</v>
          </cell>
          <cell r="AC506">
            <v>251</v>
          </cell>
          <cell r="AD506">
            <v>251</v>
          </cell>
          <cell r="AE506">
            <v>251</v>
          </cell>
          <cell r="AF506">
            <v>251</v>
          </cell>
          <cell r="AG506">
            <v>251</v>
          </cell>
          <cell r="AH506">
            <v>251</v>
          </cell>
        </row>
        <row r="507">
          <cell r="B507" t="str">
            <v/>
          </cell>
        </row>
        <row r="508">
          <cell r="B508" t="str">
            <v>e-methane (DAC) - Total emissions - WTT - Global - ton CO2eq/ton fuel</v>
          </cell>
          <cell r="G508">
            <v>0.18999797007360777</v>
          </cell>
          <cell r="H508">
            <v>0.18925675743367254</v>
          </cell>
          <cell r="I508">
            <v>0.18848700000000085</v>
          </cell>
          <cell r="J508">
            <v>0.18766008836568049</v>
          </cell>
          <cell r="K508">
            <v>0.18678504650924901</v>
          </cell>
          <cell r="L508">
            <v>0.1858618744307047</v>
          </cell>
          <cell r="M508">
            <v>0.18489057213005067</v>
          </cell>
          <cell r="N508">
            <v>0.18387113960728307</v>
          </cell>
          <cell r="O508">
            <v>0.18243834933886965</v>
          </cell>
          <cell r="P508">
            <v>0.1809591167270537</v>
          </cell>
          <cell r="Q508">
            <v>0.17943344177183265</v>
          </cell>
          <cell r="R508">
            <v>0.17786132447320394</v>
          </cell>
          <cell r="S508">
            <v>0.17624276483117188</v>
          </cell>
          <cell r="T508">
            <v>0.17460880410287696</v>
          </cell>
          <cell r="U508">
            <v>0.17294264698162501</v>
          </cell>
          <cell r="V508">
            <v>0.17124429346742051</v>
          </cell>
          <cell r="W508">
            <v>0.16951374356025714</v>
          </cell>
          <cell r="X508">
            <v>0.16775099726013629</v>
          </cell>
          <cell r="Y508">
            <v>0.16563980000748638</v>
          </cell>
          <cell r="Z508">
            <v>0.16354691269452884</v>
          </cell>
          <cell r="AA508">
            <v>0.16147233532126673</v>
          </cell>
          <cell r="AB508">
            <v>0.15941606788769708</v>
          </cell>
          <cell r="AC508">
            <v>0.15737811039382199</v>
          </cell>
          <cell r="AD508">
            <v>0.15563212401043888</v>
          </cell>
          <cell r="AE508">
            <v>0.15390964477936533</v>
          </cell>
          <cell r="AF508">
            <v>0.15221067270060085</v>
          </cell>
          <cell r="AG508">
            <v>0.15053520777414567</v>
          </cell>
          <cell r="AH508">
            <v>0.14888325000000011</v>
          </cell>
        </row>
        <row r="509">
          <cell r="B509" t="str">
            <v>e-methane (DAC) - Total emissions - WTT - Global - ton CO2eq/ton fuel</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row>
        <row r="510">
          <cell r="B510" t="str">
            <v>e-methane (DAC) - Total emissions - WTT - Global - ton CO2eq/ton fuel</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row>
        <row r="511">
          <cell r="B511" t="str">
            <v/>
          </cell>
        </row>
        <row r="512">
          <cell r="B512" t="str">
            <v>e-methane (DAC) - Process-related emissions - WTT - Global - ton CO2/ton fuel</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row>
        <row r="513">
          <cell r="B513" t="str">
            <v>e-methane (DAC) - Process-related emissions - WTT - Global - ton CH4/ton fuel</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row>
        <row r="514">
          <cell r="B514" t="str">
            <v>e-methane (DAC) - Process-related emissions - WTT - Global - ton N2O/ton fuel</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row>
        <row r="515">
          <cell r="B515" t="str">
            <v>e-methane - Process WTT emissions (carbon dioxide) - Global - ton CO2/ton fuel</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row>
        <row r="516">
          <cell r="B516" t="str">
            <v>e-methane - Process WTT emissions (methane) - Global - ton CH4/ton fuel</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row>
        <row r="517">
          <cell r="B517" t="str">
            <v>e-methane - Process WTT emissions (nitrous oxide) - Global - ton N2O/ton fuel</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row>
        <row r="518">
          <cell r="B518" t="str">
            <v/>
          </cell>
        </row>
        <row r="519">
          <cell r="B519" t="str">
            <v>e-methane (DAC) - Energy-related emissions - WTT - Global - ton CO2/ton fuel</v>
          </cell>
          <cell r="G519">
            <v>2.1480000000000002E-3</v>
          </cell>
          <cell r="H519">
            <v>2.1480000000000002E-3</v>
          </cell>
          <cell r="I519">
            <v>2.1480000000000002E-3</v>
          </cell>
          <cell r="J519">
            <v>2.1480000000000002E-3</v>
          </cell>
          <cell r="K519">
            <v>2.1480000000000002E-3</v>
          </cell>
          <cell r="L519">
            <v>2.1480000000000002E-3</v>
          </cell>
          <cell r="M519">
            <v>2.1480000000000002E-3</v>
          </cell>
          <cell r="N519">
            <v>2.1480000000000002E-3</v>
          </cell>
          <cell r="O519">
            <v>2.1480000000000002E-3</v>
          </cell>
          <cell r="P519">
            <v>2.1480000000000002E-3</v>
          </cell>
          <cell r="Q519">
            <v>2.1480000000000002E-3</v>
          </cell>
          <cell r="R519">
            <v>2.1480000000000002E-3</v>
          </cell>
          <cell r="S519">
            <v>2.1480000000000002E-3</v>
          </cell>
          <cell r="T519">
            <v>2.1480000000000002E-3</v>
          </cell>
          <cell r="U519">
            <v>2.1480000000000002E-3</v>
          </cell>
          <cell r="V519">
            <v>2.1480000000000002E-3</v>
          </cell>
          <cell r="W519">
            <v>2.1480000000000002E-3</v>
          </cell>
          <cell r="X519">
            <v>2.1480000000000002E-3</v>
          </cell>
          <cell r="Y519">
            <v>2.1480000000000002E-3</v>
          </cell>
          <cell r="Z519">
            <v>2.1480000000000002E-3</v>
          </cell>
          <cell r="AA519">
            <v>2.1480000000000002E-3</v>
          </cell>
          <cell r="AB519">
            <v>2.1480000000000002E-3</v>
          </cell>
          <cell r="AC519">
            <v>2.1480000000000002E-3</v>
          </cell>
          <cell r="AD519">
            <v>2.1480000000000002E-3</v>
          </cell>
          <cell r="AE519">
            <v>2.1480000000000002E-3</v>
          </cell>
          <cell r="AF519">
            <v>2.1480000000000002E-3</v>
          </cell>
          <cell r="AG519">
            <v>2.1480000000000002E-3</v>
          </cell>
          <cell r="AH519">
            <v>2.1480000000000002E-3</v>
          </cell>
        </row>
        <row r="520">
          <cell r="B520" t="str">
            <v>e-methane (DAC) - Energy-related emissions - WTT - Global - ton CH4/ton fuel</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row>
        <row r="521">
          <cell r="B521" t="str">
            <v>e-methane (DAC) - Energy-related emissions - WTT - Global - ton N2O/ton fuel</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row>
        <row r="522">
          <cell r="B522" t="str">
            <v>Renewable electricity - Feedstock WTT emissions (carbon dioxide) - Global - ton CO2/MWh</v>
          </cell>
          <cell r="G522">
            <v>5.3699999999999998E-3</v>
          </cell>
          <cell r="H522">
            <v>5.3699999999999998E-3</v>
          </cell>
          <cell r="I522">
            <v>5.3699999999999998E-3</v>
          </cell>
          <cell r="J522">
            <v>5.3699999999999998E-3</v>
          </cell>
          <cell r="K522">
            <v>5.3699999999999998E-3</v>
          </cell>
          <cell r="L522">
            <v>5.3699999999999998E-3</v>
          </cell>
          <cell r="M522">
            <v>5.3699999999999998E-3</v>
          </cell>
          <cell r="N522">
            <v>5.3699999999999998E-3</v>
          </cell>
          <cell r="O522">
            <v>5.3699999999999998E-3</v>
          </cell>
          <cell r="P522">
            <v>5.3699999999999998E-3</v>
          </cell>
          <cell r="Q522">
            <v>5.3699999999999998E-3</v>
          </cell>
          <cell r="R522">
            <v>5.3699999999999998E-3</v>
          </cell>
          <cell r="S522">
            <v>5.3699999999999998E-3</v>
          </cell>
          <cell r="T522">
            <v>5.3699999999999998E-3</v>
          </cell>
          <cell r="U522">
            <v>5.3699999999999998E-3</v>
          </cell>
          <cell r="V522">
            <v>5.3699999999999998E-3</v>
          </cell>
          <cell r="W522">
            <v>5.3699999999999998E-3</v>
          </cell>
          <cell r="X522">
            <v>5.3699999999999998E-3</v>
          </cell>
          <cell r="Y522">
            <v>5.3699999999999998E-3</v>
          </cell>
          <cell r="Z522">
            <v>5.3699999999999998E-3</v>
          </cell>
          <cell r="AA522">
            <v>5.3699999999999998E-3</v>
          </cell>
          <cell r="AB522">
            <v>5.3699999999999998E-3</v>
          </cell>
          <cell r="AC522">
            <v>5.3699999999999998E-3</v>
          </cell>
          <cell r="AD522">
            <v>5.3699999999999998E-3</v>
          </cell>
          <cell r="AE522">
            <v>5.3699999999999998E-3</v>
          </cell>
          <cell r="AF522">
            <v>5.3699999999999998E-3</v>
          </cell>
          <cell r="AG522">
            <v>5.3699999999999998E-3</v>
          </cell>
          <cell r="AH522">
            <v>5.3699999999999998E-3</v>
          </cell>
        </row>
        <row r="523">
          <cell r="B523" t="str">
            <v>Renewable electricity - Feedstock WTT emissions (methane) - Global - ton CH4/MWh</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row>
        <row r="524">
          <cell r="B524" t="str">
            <v>Renewable electricity - Feedstock WTT emissions (nitrous oxide) - Global - ton N2O/MWh</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row>
        <row r="525">
          <cell r="B525" t="str">
            <v>e-methane - Energy demand - Global - MWh/ton fuel</v>
          </cell>
          <cell r="G525">
            <v>0.4</v>
          </cell>
          <cell r="H525">
            <v>0.4</v>
          </cell>
          <cell r="I525">
            <v>0.4</v>
          </cell>
          <cell r="J525">
            <v>0.4</v>
          </cell>
          <cell r="K525">
            <v>0.4</v>
          </cell>
          <cell r="L525">
            <v>0.4</v>
          </cell>
          <cell r="M525">
            <v>0.4</v>
          </cell>
          <cell r="N525">
            <v>0.4</v>
          </cell>
          <cell r="O525">
            <v>0.4</v>
          </cell>
          <cell r="P525">
            <v>0.4</v>
          </cell>
          <cell r="Q525">
            <v>0.4</v>
          </cell>
          <cell r="R525">
            <v>0.4</v>
          </cell>
          <cell r="S525">
            <v>0.4</v>
          </cell>
          <cell r="T525">
            <v>0.4</v>
          </cell>
          <cell r="U525">
            <v>0.4</v>
          </cell>
          <cell r="V525">
            <v>0.4</v>
          </cell>
          <cell r="W525">
            <v>0.4</v>
          </cell>
          <cell r="X525">
            <v>0.4</v>
          </cell>
          <cell r="Y525">
            <v>0.4</v>
          </cell>
          <cell r="Z525">
            <v>0.4</v>
          </cell>
          <cell r="AA525">
            <v>0.4</v>
          </cell>
          <cell r="AB525">
            <v>0.4</v>
          </cell>
          <cell r="AC525">
            <v>0.4</v>
          </cell>
          <cell r="AD525">
            <v>0.4</v>
          </cell>
          <cell r="AE525">
            <v>0.4</v>
          </cell>
          <cell r="AF525">
            <v>0.4</v>
          </cell>
          <cell r="AG525">
            <v>0.4</v>
          </cell>
          <cell r="AH525">
            <v>0.4</v>
          </cell>
        </row>
        <row r="526">
          <cell r="B526" t="str">
            <v/>
          </cell>
        </row>
        <row r="527">
          <cell r="B527" t="str">
            <v>e-methane (DAC) - Feedstock-related emissions - WTT - Global - ton CO2/ton fuel</v>
          </cell>
          <cell r="G527">
            <v>0.18784997007360776</v>
          </cell>
          <cell r="H527">
            <v>0.18710875743367253</v>
          </cell>
          <cell r="I527">
            <v>0.18633900000000084</v>
          </cell>
          <cell r="J527">
            <v>0.18551208836568048</v>
          </cell>
          <cell r="K527">
            <v>0.184637046509249</v>
          </cell>
          <cell r="L527">
            <v>0.18371387443070469</v>
          </cell>
          <cell r="M527">
            <v>0.18274257213005066</v>
          </cell>
          <cell r="N527">
            <v>0.18172313960728306</v>
          </cell>
          <cell r="O527">
            <v>0.18029034933886964</v>
          </cell>
          <cell r="P527">
            <v>0.17881111672705369</v>
          </cell>
          <cell r="Q527">
            <v>0.17728544177183264</v>
          </cell>
          <cell r="R527">
            <v>0.17571332447320392</v>
          </cell>
          <cell r="S527">
            <v>0.17409476483117187</v>
          </cell>
          <cell r="T527">
            <v>0.17246080410287695</v>
          </cell>
          <cell r="U527">
            <v>0.170794646981625</v>
          </cell>
          <cell r="V527">
            <v>0.1690962934674205</v>
          </cell>
          <cell r="W527">
            <v>0.16736574356025713</v>
          </cell>
          <cell r="X527">
            <v>0.16560299726013628</v>
          </cell>
          <cell r="Y527">
            <v>0.16349180000748637</v>
          </cell>
          <cell r="Z527">
            <v>0.16139891269452883</v>
          </cell>
          <cell r="AA527">
            <v>0.15932433532126672</v>
          </cell>
          <cell r="AB527">
            <v>0.15726806788769707</v>
          </cell>
          <cell r="AC527">
            <v>0.15523011039382198</v>
          </cell>
          <cell r="AD527">
            <v>0.15348412401043887</v>
          </cell>
          <cell r="AE527">
            <v>0.15176164477936532</v>
          </cell>
          <cell r="AF527">
            <v>0.15006267270060084</v>
          </cell>
          <cell r="AG527">
            <v>0.14838720777414566</v>
          </cell>
          <cell r="AH527">
            <v>0.14673525000000009</v>
          </cell>
        </row>
        <row r="528">
          <cell r="B528" t="str">
            <v>e-methane (DAC) - Feedstock-related emissions - WTT - Global - ton CH4/ton fuel</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row>
        <row r="529">
          <cell r="B529" t="str">
            <v>e-methane (DAC) - Feedstock-related emissions - WTT - Global - ton N2O/ton fuel</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row>
        <row r="530">
          <cell r="B530" t="str">
            <v>e-hydrogen (compressed) - Feedstock WTT emissions (carbon dioxide) - Global - ton CO2/ton H2</v>
          </cell>
          <cell r="G530">
            <v>0.29069928460653066</v>
          </cell>
          <cell r="H530">
            <v>0.29036818709700268</v>
          </cell>
          <cell r="I530">
            <v>0.28998000000000135</v>
          </cell>
          <cell r="J530">
            <v>0.28940257594781538</v>
          </cell>
          <cell r="K530">
            <v>0.28872889145140718</v>
          </cell>
          <cell r="L530">
            <v>0.28795894651077331</v>
          </cell>
          <cell r="M530">
            <v>0.28709274112591998</v>
          </cell>
          <cell r="N530">
            <v>0.28613027529683954</v>
          </cell>
          <cell r="O530">
            <v>0.28427104178214713</v>
          </cell>
          <cell r="P530">
            <v>0.28231892358064925</v>
          </cell>
          <cell r="Q530">
            <v>0.28027392069234119</v>
          </cell>
          <cell r="R530">
            <v>0.27813603311721824</v>
          </cell>
          <cell r="S530">
            <v>0.27590526085528855</v>
          </cell>
          <cell r="T530">
            <v>0.27357819323199506</v>
          </cell>
          <cell r="U530">
            <v>0.27118673282278699</v>
          </cell>
          <cell r="V530">
            <v>0.26873087962767428</v>
          </cell>
          <cell r="W530">
            <v>0.26621063364664344</v>
          </cell>
          <cell r="X530">
            <v>0.26362599487969779</v>
          </cell>
          <cell r="Y530">
            <v>0.26028322332369702</v>
          </cell>
          <cell r="Z530">
            <v>0.25697707164708095</v>
          </cell>
          <cell r="AA530">
            <v>0.25370753984985572</v>
          </cell>
          <cell r="AB530">
            <v>0.25047462793201525</v>
          </cell>
          <cell r="AC530">
            <v>0.2472783358935641</v>
          </cell>
          <cell r="AD530">
            <v>0.24460874010561368</v>
          </cell>
          <cell r="AE530">
            <v>0.24198615862228262</v>
          </cell>
          <cell r="AF530">
            <v>0.23941059144356966</v>
          </cell>
          <cell r="AG530">
            <v>0.23688203856947532</v>
          </cell>
          <cell r="AH530">
            <v>0.23440050000000018</v>
          </cell>
        </row>
        <row r="531">
          <cell r="B531" t="str">
            <v>e-hydrogen (compressed) - Feedstock WTT emissions (methane) - Global - ton CH4/ton H2</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row>
        <row r="532">
          <cell r="B532" t="str">
            <v>e-hydrogen (compressed) - Feedstock WTT emissions (nitrous oxide) - Global - ton N2O/ton H2</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row>
        <row r="533">
          <cell r="B533" t="str">
            <v>Carbon dioxide (DAC) - Feedstock WTT emissions (carbon dioxide) - Global - ton CO2/ton CO2</v>
          </cell>
          <cell r="G533">
            <v>1.545466464376088E-2</v>
          </cell>
          <cell r="H533">
            <v>1.5245332321880432E-2</v>
          </cell>
          <cell r="I533">
            <v>1.503600000000006E-2</v>
          </cell>
          <cell r="J533">
            <v>1.4840291051553742E-2</v>
          </cell>
          <cell r="K533">
            <v>1.4644582103107425E-2</v>
          </cell>
          <cell r="L533">
            <v>1.4448873154661108E-2</v>
          </cell>
          <cell r="M533">
            <v>1.4253164206214789E-2</v>
          </cell>
          <cell r="N533">
            <v>1.4057455257768471E-2</v>
          </cell>
          <cell r="O533">
            <v>1.3874483071925844E-2</v>
          </cell>
          <cell r="P533">
            <v>1.3691510886083291E-2</v>
          </cell>
          <cell r="Q533">
            <v>1.3508538700240739E-2</v>
          </cell>
          <cell r="R533">
            <v>1.332556651439811E-2</v>
          </cell>
          <cell r="S533">
            <v>1.3142594328555482E-2</v>
          </cell>
          <cell r="T533">
            <v>1.2971529995228883E-2</v>
          </cell>
          <cell r="U533">
            <v>1.2800465661902361E-2</v>
          </cell>
          <cell r="V533">
            <v>1.2629401328575762E-2</v>
          </cell>
          <cell r="W533">
            <v>1.2458336995249239E-2</v>
          </cell>
          <cell r="X533">
            <v>1.228727266192268E-2</v>
          </cell>
          <cell r="Y533">
            <v>1.2127341216595585E-2</v>
          </cell>
          <cell r="Z533">
            <v>1.1967409771268492E-2</v>
          </cell>
          <cell r="AA533">
            <v>1.1807478325941397E-2</v>
          </cell>
          <cell r="AB533">
            <v>1.1647546880614342E-2</v>
          </cell>
          <cell r="AC533">
            <v>1.1487615435287249E-2</v>
          </cell>
          <cell r="AD533">
            <v>1.1338092348229828E-2</v>
          </cell>
          <cell r="AE533">
            <v>1.1188569261172371E-2</v>
          </cell>
          <cell r="AF533">
            <v>1.1039046174114914E-2</v>
          </cell>
          <cell r="AG533">
            <v>1.0889523087057457E-2</v>
          </cell>
          <cell r="AH533">
            <v>1.074E-2</v>
          </cell>
        </row>
        <row r="534">
          <cell r="B534" t="str">
            <v>Carbon dioxide (DAC) - Feedstock WTT emissions (methane) - Global - ton CH4/ton CO2</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row>
        <row r="535">
          <cell r="B535" t="str">
            <v>Carbon dioxide (DAC) - Feedstock WTT emissions (nitrous oxide) - Global - ton N2O/ton CO2</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row>
        <row r="536">
          <cell r="B536" t="str">
            <v>e-methane - Conversion H2 -&gt; CH4 - Global - ton H2/ton CH4</v>
          </cell>
          <cell r="G536">
            <v>0.5</v>
          </cell>
          <cell r="H536">
            <v>0.5</v>
          </cell>
          <cell r="I536">
            <v>0.5</v>
          </cell>
          <cell r="J536">
            <v>0.5</v>
          </cell>
          <cell r="K536">
            <v>0.5</v>
          </cell>
          <cell r="L536">
            <v>0.5</v>
          </cell>
          <cell r="M536">
            <v>0.5</v>
          </cell>
          <cell r="N536">
            <v>0.5</v>
          </cell>
          <cell r="O536">
            <v>0.5</v>
          </cell>
          <cell r="P536">
            <v>0.5</v>
          </cell>
          <cell r="Q536">
            <v>0.5</v>
          </cell>
          <cell r="R536">
            <v>0.5</v>
          </cell>
          <cell r="S536">
            <v>0.5</v>
          </cell>
          <cell r="T536">
            <v>0.5</v>
          </cell>
          <cell r="U536">
            <v>0.5</v>
          </cell>
          <cell r="V536">
            <v>0.5</v>
          </cell>
          <cell r="W536">
            <v>0.5</v>
          </cell>
          <cell r="X536">
            <v>0.5</v>
          </cell>
          <cell r="Y536">
            <v>0.5</v>
          </cell>
          <cell r="Z536">
            <v>0.5</v>
          </cell>
          <cell r="AA536">
            <v>0.5</v>
          </cell>
          <cell r="AB536">
            <v>0.5</v>
          </cell>
          <cell r="AC536">
            <v>0.5</v>
          </cell>
          <cell r="AD536">
            <v>0.5</v>
          </cell>
          <cell r="AE536">
            <v>0.5</v>
          </cell>
          <cell r="AF536">
            <v>0.5</v>
          </cell>
          <cell r="AG536">
            <v>0.5</v>
          </cell>
          <cell r="AH536">
            <v>0.5</v>
          </cell>
        </row>
        <row r="537">
          <cell r="B537" t="str">
            <v>e-methane - Conversion CO2 -&gt; CH4 - Global - ton CO2/ton CH4</v>
          </cell>
          <cell r="G537">
            <v>2.75</v>
          </cell>
          <cell r="H537">
            <v>2.75</v>
          </cell>
          <cell r="I537">
            <v>2.75</v>
          </cell>
          <cell r="J537">
            <v>2.75</v>
          </cell>
          <cell r="K537">
            <v>2.75</v>
          </cell>
          <cell r="L537">
            <v>2.75</v>
          </cell>
          <cell r="M537">
            <v>2.75</v>
          </cell>
          <cell r="N537">
            <v>2.75</v>
          </cell>
          <cell r="O537">
            <v>2.75</v>
          </cell>
          <cell r="P537">
            <v>2.75</v>
          </cell>
          <cell r="Q537">
            <v>2.75</v>
          </cell>
          <cell r="R537">
            <v>2.75</v>
          </cell>
          <cell r="S537">
            <v>2.75</v>
          </cell>
          <cell r="T537">
            <v>2.75</v>
          </cell>
          <cell r="U537">
            <v>2.75</v>
          </cell>
          <cell r="V537">
            <v>2.75</v>
          </cell>
          <cell r="W537">
            <v>2.75</v>
          </cell>
          <cell r="X537">
            <v>2.75</v>
          </cell>
          <cell r="Y537">
            <v>2.75</v>
          </cell>
          <cell r="Z537">
            <v>2.75</v>
          </cell>
          <cell r="AA537">
            <v>2.75</v>
          </cell>
          <cell r="AB537">
            <v>2.75</v>
          </cell>
          <cell r="AC537">
            <v>2.75</v>
          </cell>
          <cell r="AD537">
            <v>2.75</v>
          </cell>
          <cell r="AE537">
            <v>2.75</v>
          </cell>
          <cell r="AF537">
            <v>2.75</v>
          </cell>
          <cell r="AG537">
            <v>2.75</v>
          </cell>
          <cell r="AH537">
            <v>2.75</v>
          </cell>
        </row>
        <row r="538">
          <cell r="B538" t="str">
            <v/>
          </cell>
        </row>
        <row r="539">
          <cell r="B539" t="str">
            <v>e-methane (PS) - Item - Region - Unit</v>
          </cell>
          <cell r="G539">
            <v>2023</v>
          </cell>
          <cell r="H539">
            <v>2024</v>
          </cell>
          <cell r="I539">
            <v>2025</v>
          </cell>
          <cell r="J539">
            <v>2026</v>
          </cell>
          <cell r="K539">
            <v>2027</v>
          </cell>
          <cell r="L539">
            <v>2028</v>
          </cell>
          <cell r="M539">
            <v>2029</v>
          </cell>
          <cell r="N539">
            <v>2030</v>
          </cell>
          <cell r="O539">
            <v>2031</v>
          </cell>
          <cell r="P539">
            <v>2032</v>
          </cell>
          <cell r="Q539">
            <v>2033</v>
          </cell>
          <cell r="R539">
            <v>2034</v>
          </cell>
          <cell r="S539">
            <v>2035</v>
          </cell>
          <cell r="T539">
            <v>2036</v>
          </cell>
          <cell r="U539">
            <v>2037</v>
          </cell>
          <cell r="V539">
            <v>2038</v>
          </cell>
          <cell r="W539">
            <v>2039</v>
          </cell>
          <cell r="X539">
            <v>2040</v>
          </cell>
          <cell r="Y539">
            <v>2041</v>
          </cell>
          <cell r="Z539">
            <v>2042</v>
          </cell>
          <cell r="AA539">
            <v>2043</v>
          </cell>
          <cell r="AB539">
            <v>2044</v>
          </cell>
          <cell r="AC539">
            <v>2045</v>
          </cell>
          <cell r="AD539">
            <v>2046</v>
          </cell>
          <cell r="AE539">
            <v>2047</v>
          </cell>
          <cell r="AF539">
            <v>2048</v>
          </cell>
          <cell r="AG539">
            <v>2049</v>
          </cell>
          <cell r="AH539">
            <v>2050</v>
          </cell>
        </row>
        <row r="540">
          <cell r="B540" t="str">
            <v/>
          </cell>
        </row>
        <row r="541">
          <cell r="B541" t="str">
            <v>e-methane (PS) - Total emissions - WTT - GWP100 - Global - ton CO2eq/ton fuel</v>
          </cell>
          <cell r="G541">
            <v>0.15414301730326535</v>
          </cell>
          <cell r="H541">
            <v>0.15397746854850136</v>
          </cell>
          <cell r="I541">
            <v>0.15378337500000069</v>
          </cell>
          <cell r="J541">
            <v>0.15349466297390771</v>
          </cell>
          <cell r="K541">
            <v>0.15315782072570361</v>
          </cell>
          <cell r="L541">
            <v>0.15277284825538667</v>
          </cell>
          <cell r="M541">
            <v>0.15233974556296001</v>
          </cell>
          <cell r="N541">
            <v>0.15185851264841979</v>
          </cell>
          <cell r="O541">
            <v>0.15092889589107358</v>
          </cell>
          <cell r="P541">
            <v>0.14995283679032465</v>
          </cell>
          <cell r="Q541">
            <v>0.14893033534617062</v>
          </cell>
          <cell r="R541">
            <v>0.14786139155860914</v>
          </cell>
          <cell r="S541">
            <v>0.14674600542764429</v>
          </cell>
          <cell r="T541">
            <v>0.14558247161599755</v>
          </cell>
          <cell r="U541">
            <v>0.14438674141139352</v>
          </cell>
          <cell r="V541">
            <v>0.14315881481383716</v>
          </cell>
          <cell r="W541">
            <v>0.14189869182332174</v>
          </cell>
          <cell r="X541">
            <v>0.14060637243984891</v>
          </cell>
          <cell r="Y541">
            <v>0.13893498666184853</v>
          </cell>
          <cell r="Z541">
            <v>0.13728191082354049</v>
          </cell>
          <cell r="AA541">
            <v>0.13564714492492788</v>
          </cell>
          <cell r="AB541">
            <v>0.13403068896600764</v>
          </cell>
          <cell r="AC541">
            <v>0.13243254294678206</v>
          </cell>
          <cell r="AD541">
            <v>0.13109774505280686</v>
          </cell>
          <cell r="AE541">
            <v>0.12978645431114133</v>
          </cell>
          <cell r="AF541">
            <v>0.12849867072178484</v>
          </cell>
          <cell r="AG541">
            <v>0.12723439428473768</v>
          </cell>
          <cell r="AH541">
            <v>0.12599362500000008</v>
          </cell>
        </row>
        <row r="542">
          <cell r="B542" t="str">
            <v>e-methane (PS) - Total emissions - WTT - GWP20 - Global - ton CO2eq/ton fuel</v>
          </cell>
          <cell r="G542">
            <v>0.15414301730326535</v>
          </cell>
          <cell r="H542">
            <v>0.15397746854850136</v>
          </cell>
          <cell r="I542">
            <v>0.15378337500000069</v>
          </cell>
          <cell r="J542">
            <v>0.15349466297390771</v>
          </cell>
          <cell r="K542">
            <v>0.15315782072570361</v>
          </cell>
          <cell r="L542">
            <v>0.15277284825538667</v>
          </cell>
          <cell r="M542">
            <v>0.15233974556296001</v>
          </cell>
          <cell r="N542">
            <v>0.15185851264841979</v>
          </cell>
          <cell r="O542">
            <v>0.15092889589107358</v>
          </cell>
          <cell r="P542">
            <v>0.14995283679032465</v>
          </cell>
          <cell r="Q542">
            <v>0.14893033534617062</v>
          </cell>
          <cell r="R542">
            <v>0.14786139155860914</v>
          </cell>
          <cell r="S542">
            <v>0.14674600542764429</v>
          </cell>
          <cell r="T542">
            <v>0.14558247161599755</v>
          </cell>
          <cell r="U542">
            <v>0.14438674141139352</v>
          </cell>
          <cell r="V542">
            <v>0.14315881481383716</v>
          </cell>
          <cell r="W542">
            <v>0.14189869182332174</v>
          </cell>
          <cell r="X542">
            <v>0.14060637243984891</v>
          </cell>
          <cell r="Y542">
            <v>0.13893498666184853</v>
          </cell>
          <cell r="Z542">
            <v>0.13728191082354049</v>
          </cell>
          <cell r="AA542">
            <v>0.13564714492492788</v>
          </cell>
          <cell r="AB542">
            <v>0.13403068896600764</v>
          </cell>
          <cell r="AC542">
            <v>0.13243254294678206</v>
          </cell>
          <cell r="AD542">
            <v>0.13109774505280686</v>
          </cell>
          <cell r="AE542">
            <v>0.12978645431114133</v>
          </cell>
          <cell r="AF542">
            <v>0.12849867072178484</v>
          </cell>
          <cell r="AG542">
            <v>0.12723439428473768</v>
          </cell>
          <cell r="AH542">
            <v>0.12599362500000008</v>
          </cell>
        </row>
        <row r="543">
          <cell r="B543" t="str">
            <v>General - Methane - GWP100 - Global - ton CO2eq/ton fuel</v>
          </cell>
          <cell r="G543">
            <v>29</v>
          </cell>
          <cell r="H543">
            <v>29</v>
          </cell>
          <cell r="I543">
            <v>29</v>
          </cell>
          <cell r="J543">
            <v>29</v>
          </cell>
          <cell r="K543">
            <v>29</v>
          </cell>
          <cell r="L543">
            <v>29</v>
          </cell>
          <cell r="M543">
            <v>29</v>
          </cell>
          <cell r="N543">
            <v>29</v>
          </cell>
          <cell r="O543">
            <v>29</v>
          </cell>
          <cell r="P543">
            <v>29</v>
          </cell>
          <cell r="Q543">
            <v>29</v>
          </cell>
          <cell r="R543">
            <v>29</v>
          </cell>
          <cell r="S543">
            <v>29</v>
          </cell>
          <cell r="T543">
            <v>29</v>
          </cell>
          <cell r="U543">
            <v>29</v>
          </cell>
          <cell r="V543">
            <v>29</v>
          </cell>
          <cell r="W543">
            <v>29</v>
          </cell>
          <cell r="X543">
            <v>29</v>
          </cell>
          <cell r="Y543">
            <v>29</v>
          </cell>
          <cell r="Z543">
            <v>29</v>
          </cell>
          <cell r="AA543">
            <v>29</v>
          </cell>
          <cell r="AB543">
            <v>29</v>
          </cell>
          <cell r="AC543">
            <v>29</v>
          </cell>
          <cell r="AD543">
            <v>29</v>
          </cell>
          <cell r="AE543">
            <v>29</v>
          </cell>
          <cell r="AF543">
            <v>29</v>
          </cell>
          <cell r="AG543">
            <v>29</v>
          </cell>
          <cell r="AH543">
            <v>29</v>
          </cell>
        </row>
        <row r="544">
          <cell r="B544" t="str">
            <v>General - Methane - GWP20 - Global - ton CO2eq/ton fuel</v>
          </cell>
          <cell r="G544">
            <v>85</v>
          </cell>
          <cell r="H544">
            <v>85</v>
          </cell>
          <cell r="I544">
            <v>85</v>
          </cell>
          <cell r="J544">
            <v>85</v>
          </cell>
          <cell r="K544">
            <v>85</v>
          </cell>
          <cell r="L544">
            <v>85</v>
          </cell>
          <cell r="M544">
            <v>85</v>
          </cell>
          <cell r="N544">
            <v>85</v>
          </cell>
          <cell r="O544">
            <v>85</v>
          </cell>
          <cell r="P544">
            <v>85</v>
          </cell>
          <cell r="Q544">
            <v>85</v>
          </cell>
          <cell r="R544">
            <v>85</v>
          </cell>
          <cell r="S544">
            <v>85</v>
          </cell>
          <cell r="T544">
            <v>85</v>
          </cell>
          <cell r="U544">
            <v>85</v>
          </cell>
          <cell r="V544">
            <v>85</v>
          </cell>
          <cell r="W544">
            <v>85</v>
          </cell>
          <cell r="X544">
            <v>85</v>
          </cell>
          <cell r="Y544">
            <v>85</v>
          </cell>
          <cell r="Z544">
            <v>85</v>
          </cell>
          <cell r="AA544">
            <v>85</v>
          </cell>
          <cell r="AB544">
            <v>85</v>
          </cell>
          <cell r="AC544">
            <v>85</v>
          </cell>
          <cell r="AD544">
            <v>85</v>
          </cell>
          <cell r="AE544">
            <v>85</v>
          </cell>
          <cell r="AF544">
            <v>85</v>
          </cell>
          <cell r="AG544">
            <v>85</v>
          </cell>
          <cell r="AH544">
            <v>85</v>
          </cell>
        </row>
        <row r="545">
          <cell r="B545" t="str">
            <v>General - Nitrous oxide - GWP100 - Global - ton CO2eq/ton fuel</v>
          </cell>
          <cell r="G545">
            <v>266</v>
          </cell>
          <cell r="H545">
            <v>266</v>
          </cell>
          <cell r="I545">
            <v>266</v>
          </cell>
          <cell r="J545">
            <v>266</v>
          </cell>
          <cell r="K545">
            <v>266</v>
          </cell>
          <cell r="L545">
            <v>266</v>
          </cell>
          <cell r="M545">
            <v>266</v>
          </cell>
          <cell r="N545">
            <v>266</v>
          </cell>
          <cell r="O545">
            <v>266</v>
          </cell>
          <cell r="P545">
            <v>266</v>
          </cell>
          <cell r="Q545">
            <v>266</v>
          </cell>
          <cell r="R545">
            <v>266</v>
          </cell>
          <cell r="S545">
            <v>266</v>
          </cell>
          <cell r="T545">
            <v>266</v>
          </cell>
          <cell r="U545">
            <v>266</v>
          </cell>
          <cell r="V545">
            <v>266</v>
          </cell>
          <cell r="W545">
            <v>266</v>
          </cell>
          <cell r="X545">
            <v>266</v>
          </cell>
          <cell r="Y545">
            <v>266</v>
          </cell>
          <cell r="Z545">
            <v>266</v>
          </cell>
          <cell r="AA545">
            <v>266</v>
          </cell>
          <cell r="AB545">
            <v>266</v>
          </cell>
          <cell r="AC545">
            <v>266</v>
          </cell>
          <cell r="AD545">
            <v>266</v>
          </cell>
          <cell r="AE545">
            <v>266</v>
          </cell>
          <cell r="AF545">
            <v>266</v>
          </cell>
          <cell r="AG545">
            <v>266</v>
          </cell>
          <cell r="AH545">
            <v>266</v>
          </cell>
        </row>
        <row r="546">
          <cell r="B546" t="str">
            <v>General - Nitrous oxide - GWP20 - Global - ton CO2eq/ton fuel</v>
          </cell>
          <cell r="G546">
            <v>251</v>
          </cell>
          <cell r="H546">
            <v>251</v>
          </cell>
          <cell r="I546">
            <v>251</v>
          </cell>
          <cell r="J546">
            <v>251</v>
          </cell>
          <cell r="K546">
            <v>251</v>
          </cell>
          <cell r="L546">
            <v>251</v>
          </cell>
          <cell r="M546">
            <v>251</v>
          </cell>
          <cell r="N546">
            <v>251</v>
          </cell>
          <cell r="O546">
            <v>251</v>
          </cell>
          <cell r="P546">
            <v>251</v>
          </cell>
          <cell r="Q546">
            <v>251</v>
          </cell>
          <cell r="R546">
            <v>251</v>
          </cell>
          <cell r="S546">
            <v>251</v>
          </cell>
          <cell r="T546">
            <v>251</v>
          </cell>
          <cell r="U546">
            <v>251</v>
          </cell>
          <cell r="V546">
            <v>251</v>
          </cell>
          <cell r="W546">
            <v>251</v>
          </cell>
          <cell r="X546">
            <v>251</v>
          </cell>
          <cell r="Y546">
            <v>251</v>
          </cell>
          <cell r="Z546">
            <v>251</v>
          </cell>
          <cell r="AA546">
            <v>251</v>
          </cell>
          <cell r="AB546">
            <v>251</v>
          </cell>
          <cell r="AC546">
            <v>251</v>
          </cell>
          <cell r="AD546">
            <v>251</v>
          </cell>
          <cell r="AE546">
            <v>251</v>
          </cell>
          <cell r="AF546">
            <v>251</v>
          </cell>
          <cell r="AG546">
            <v>251</v>
          </cell>
          <cell r="AH546">
            <v>251</v>
          </cell>
        </row>
        <row r="547">
          <cell r="B547" t="str">
            <v/>
          </cell>
        </row>
        <row r="548">
          <cell r="B548" t="str">
            <v>e-methane (PS) - Total emissions - Global - ton CO2eq/ton fuel</v>
          </cell>
          <cell r="G548">
            <v>0.15414301730326535</v>
          </cell>
          <cell r="H548">
            <v>0.15397746854850136</v>
          </cell>
          <cell r="I548">
            <v>0.15378337500000069</v>
          </cell>
          <cell r="J548">
            <v>0.15349466297390771</v>
          </cell>
          <cell r="K548">
            <v>0.15315782072570361</v>
          </cell>
          <cell r="L548">
            <v>0.15277284825538667</v>
          </cell>
          <cell r="M548">
            <v>0.15233974556296001</v>
          </cell>
          <cell r="N548">
            <v>0.15185851264841979</v>
          </cell>
          <cell r="O548">
            <v>0.15092889589107358</v>
          </cell>
          <cell r="P548">
            <v>0.14995283679032465</v>
          </cell>
          <cell r="Q548">
            <v>0.14893033534617062</v>
          </cell>
          <cell r="R548">
            <v>0.14786139155860914</v>
          </cell>
          <cell r="S548">
            <v>0.14674600542764429</v>
          </cell>
          <cell r="T548">
            <v>0.14558247161599755</v>
          </cell>
          <cell r="U548">
            <v>0.14438674141139352</v>
          </cell>
          <cell r="V548">
            <v>0.14315881481383716</v>
          </cell>
          <cell r="W548">
            <v>0.14189869182332174</v>
          </cell>
          <cell r="X548">
            <v>0.14060637243984891</v>
          </cell>
          <cell r="Y548">
            <v>0.13893498666184853</v>
          </cell>
          <cell r="Z548">
            <v>0.13728191082354049</v>
          </cell>
          <cell r="AA548">
            <v>0.13564714492492788</v>
          </cell>
          <cell r="AB548">
            <v>0.13403068896600764</v>
          </cell>
          <cell r="AC548">
            <v>0.13243254294678206</v>
          </cell>
          <cell r="AD548">
            <v>0.13109774505280686</v>
          </cell>
          <cell r="AE548">
            <v>0.12978645431114133</v>
          </cell>
          <cell r="AF548">
            <v>0.12849867072178484</v>
          </cell>
          <cell r="AG548">
            <v>0.12723439428473768</v>
          </cell>
          <cell r="AH548">
            <v>0.12599362500000008</v>
          </cell>
        </row>
        <row r="549">
          <cell r="B549" t="str">
            <v>e-methane (PS) - Total emissions - Global - ton CO2eq/ton fuel</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row>
        <row r="550">
          <cell r="B550" t="str">
            <v>e-methane (PS) - Total emissions - Global - ton CO2eq/ton fuel</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row>
        <row r="551">
          <cell r="B551" t="str">
            <v/>
          </cell>
        </row>
        <row r="552">
          <cell r="B552" t="str">
            <v>e-methane (PS) - Process-related emissions - Global - ton CO2/ton fuel</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row>
        <row r="553">
          <cell r="B553" t="str">
            <v>e-methane (PS) - Process-related emissions - Global - ton CH4/ton fuel</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row>
        <row r="554">
          <cell r="B554" t="str">
            <v>e-methane (PS) - Process-related emissions - Global - ton N2O/ton fuel</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row>
        <row r="555">
          <cell r="B555" t="str">
            <v>e-methane - Process WTT emissions (carbon dioxide) - Global - ton CO2/ton fuel</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row>
        <row r="556">
          <cell r="B556" t="str">
            <v>e-methane - Process WTT emissions (methane) - Global - ton CH4/ton fuel</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row>
        <row r="557">
          <cell r="B557" t="str">
            <v>e-methane - Process WTT emissions (nitrous oxide) - Global - ton N2O/ton fuel</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row>
        <row r="558">
          <cell r="B558" t="str">
            <v/>
          </cell>
        </row>
        <row r="559">
          <cell r="B559" t="str">
            <v>e-methane (PS) - Energy-related emissions - WTT - Global - ton CO2/ton fuel</v>
          </cell>
          <cell r="G559">
            <v>2.1480000000000002E-3</v>
          </cell>
          <cell r="H559">
            <v>2.1480000000000002E-3</v>
          </cell>
          <cell r="I559">
            <v>2.1480000000000002E-3</v>
          </cell>
          <cell r="J559">
            <v>2.1480000000000002E-3</v>
          </cell>
          <cell r="K559">
            <v>2.1480000000000002E-3</v>
          </cell>
          <cell r="L559">
            <v>2.1480000000000002E-3</v>
          </cell>
          <cell r="M559">
            <v>2.1480000000000002E-3</v>
          </cell>
          <cell r="N559">
            <v>2.1480000000000002E-3</v>
          </cell>
          <cell r="O559">
            <v>2.1480000000000002E-3</v>
          </cell>
          <cell r="P559">
            <v>2.1480000000000002E-3</v>
          </cell>
          <cell r="Q559">
            <v>2.1480000000000002E-3</v>
          </cell>
          <cell r="R559">
            <v>2.1480000000000002E-3</v>
          </cell>
          <cell r="S559">
            <v>2.1480000000000002E-3</v>
          </cell>
          <cell r="T559">
            <v>2.1480000000000002E-3</v>
          </cell>
          <cell r="U559">
            <v>2.1480000000000002E-3</v>
          </cell>
          <cell r="V559">
            <v>2.1480000000000002E-3</v>
          </cell>
          <cell r="W559">
            <v>2.1480000000000002E-3</v>
          </cell>
          <cell r="X559">
            <v>2.1480000000000002E-3</v>
          </cell>
          <cell r="Y559">
            <v>2.1480000000000002E-3</v>
          </cell>
          <cell r="Z559">
            <v>2.1480000000000002E-3</v>
          </cell>
          <cell r="AA559">
            <v>2.1480000000000002E-3</v>
          </cell>
          <cell r="AB559">
            <v>2.1480000000000002E-3</v>
          </cell>
          <cell r="AC559">
            <v>2.1480000000000002E-3</v>
          </cell>
          <cell r="AD559">
            <v>2.1480000000000002E-3</v>
          </cell>
          <cell r="AE559">
            <v>2.1480000000000002E-3</v>
          </cell>
          <cell r="AF559">
            <v>2.1480000000000002E-3</v>
          </cell>
          <cell r="AG559">
            <v>2.1480000000000002E-3</v>
          </cell>
          <cell r="AH559">
            <v>2.1480000000000002E-3</v>
          </cell>
        </row>
        <row r="560">
          <cell r="B560" t="str">
            <v>e-methane (PS) - Energy-related emissions - WTT - Global - ton CH4/ton fuel</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row>
        <row r="561">
          <cell r="B561" t="str">
            <v>e-methane (PS) - Energy-related emissions - WTT - Global - ton N2O/ton fuel</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row>
        <row r="562">
          <cell r="B562" t="str">
            <v>Renewable electricity - Feedstock WTT emissions (carbon dioxide) - Global - ton CO2/MWh</v>
          </cell>
          <cell r="G562">
            <v>5.3699999999999998E-3</v>
          </cell>
          <cell r="H562">
            <v>5.3699999999999998E-3</v>
          </cell>
          <cell r="I562">
            <v>5.3699999999999998E-3</v>
          </cell>
          <cell r="J562">
            <v>5.3699999999999998E-3</v>
          </cell>
          <cell r="K562">
            <v>5.3699999999999998E-3</v>
          </cell>
          <cell r="L562">
            <v>5.3699999999999998E-3</v>
          </cell>
          <cell r="M562">
            <v>5.3699999999999998E-3</v>
          </cell>
          <cell r="N562">
            <v>5.3699999999999998E-3</v>
          </cell>
          <cell r="O562">
            <v>5.3699999999999998E-3</v>
          </cell>
          <cell r="P562">
            <v>5.3699999999999998E-3</v>
          </cell>
          <cell r="Q562">
            <v>5.3699999999999998E-3</v>
          </cell>
          <cell r="R562">
            <v>5.3699999999999998E-3</v>
          </cell>
          <cell r="S562">
            <v>5.3699999999999998E-3</v>
          </cell>
          <cell r="T562">
            <v>5.3699999999999998E-3</v>
          </cell>
          <cell r="U562">
            <v>5.3699999999999998E-3</v>
          </cell>
          <cell r="V562">
            <v>5.3699999999999998E-3</v>
          </cell>
          <cell r="W562">
            <v>5.3699999999999998E-3</v>
          </cell>
          <cell r="X562">
            <v>5.3699999999999998E-3</v>
          </cell>
          <cell r="Y562">
            <v>5.3699999999999998E-3</v>
          </cell>
          <cell r="Z562">
            <v>5.3699999999999998E-3</v>
          </cell>
          <cell r="AA562">
            <v>5.3699999999999998E-3</v>
          </cell>
          <cell r="AB562">
            <v>5.3699999999999998E-3</v>
          </cell>
          <cell r="AC562">
            <v>5.3699999999999998E-3</v>
          </cell>
          <cell r="AD562">
            <v>5.3699999999999998E-3</v>
          </cell>
          <cell r="AE562">
            <v>5.3699999999999998E-3</v>
          </cell>
          <cell r="AF562">
            <v>5.3699999999999998E-3</v>
          </cell>
          <cell r="AG562">
            <v>5.3699999999999998E-3</v>
          </cell>
          <cell r="AH562">
            <v>5.3699999999999998E-3</v>
          </cell>
        </row>
        <row r="563">
          <cell r="B563" t="str">
            <v>Renewable electricity - Feedstock WTT emissions (methane) - Global - ton CH4/MWh</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row>
        <row r="564">
          <cell r="B564" t="str">
            <v>Renewable electricity - Feedstock WTT emissions (nitrous oxide) - Global - ton N2O/MWh</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row>
        <row r="565">
          <cell r="B565" t="str">
            <v>e-methane - Energy demand - Global - MWh/ton fuel</v>
          </cell>
          <cell r="G565">
            <v>0.4</v>
          </cell>
          <cell r="H565">
            <v>0.4</v>
          </cell>
          <cell r="I565">
            <v>0.4</v>
          </cell>
          <cell r="J565">
            <v>0.4</v>
          </cell>
          <cell r="K565">
            <v>0.4</v>
          </cell>
          <cell r="L565">
            <v>0.4</v>
          </cell>
          <cell r="M565">
            <v>0.4</v>
          </cell>
          <cell r="N565">
            <v>0.4</v>
          </cell>
          <cell r="O565">
            <v>0.4</v>
          </cell>
          <cell r="P565">
            <v>0.4</v>
          </cell>
          <cell r="Q565">
            <v>0.4</v>
          </cell>
          <cell r="R565">
            <v>0.4</v>
          </cell>
          <cell r="S565">
            <v>0.4</v>
          </cell>
          <cell r="T565">
            <v>0.4</v>
          </cell>
          <cell r="U565">
            <v>0.4</v>
          </cell>
          <cell r="V565">
            <v>0.4</v>
          </cell>
          <cell r="W565">
            <v>0.4</v>
          </cell>
          <cell r="X565">
            <v>0.4</v>
          </cell>
          <cell r="Y565">
            <v>0.4</v>
          </cell>
          <cell r="Z565">
            <v>0.4</v>
          </cell>
          <cell r="AA565">
            <v>0.4</v>
          </cell>
          <cell r="AB565">
            <v>0.4</v>
          </cell>
          <cell r="AC565">
            <v>0.4</v>
          </cell>
          <cell r="AD565">
            <v>0.4</v>
          </cell>
          <cell r="AE565">
            <v>0.4</v>
          </cell>
          <cell r="AF565">
            <v>0.4</v>
          </cell>
          <cell r="AG565">
            <v>0.4</v>
          </cell>
          <cell r="AH565">
            <v>0.4</v>
          </cell>
        </row>
        <row r="566">
          <cell r="B566" t="str">
            <v/>
          </cell>
        </row>
        <row r="567">
          <cell r="B567" t="str">
            <v>e-methane (PS) - Feedstock-related emissions - WTT - Global - ton CO2/ton fuel</v>
          </cell>
          <cell r="G567">
            <v>0.15199501730326534</v>
          </cell>
          <cell r="H567">
            <v>0.15182946854850135</v>
          </cell>
          <cell r="I567">
            <v>0.15163537500000068</v>
          </cell>
          <cell r="J567">
            <v>0.1513466629739077</v>
          </cell>
          <cell r="K567">
            <v>0.1510098207257036</v>
          </cell>
          <cell r="L567">
            <v>0.15062484825538666</v>
          </cell>
          <cell r="M567">
            <v>0.15019174556296</v>
          </cell>
          <cell r="N567">
            <v>0.14971051264841978</v>
          </cell>
          <cell r="O567">
            <v>0.14878089589107357</v>
          </cell>
          <cell r="P567">
            <v>0.14780483679032463</v>
          </cell>
          <cell r="Q567">
            <v>0.14678233534617061</v>
          </cell>
          <cell r="R567">
            <v>0.14571339155860913</v>
          </cell>
          <cell r="S567">
            <v>0.14459800542764428</v>
          </cell>
          <cell r="T567">
            <v>0.14343447161599754</v>
          </cell>
          <cell r="U567">
            <v>0.1422387414113935</v>
          </cell>
          <cell r="V567">
            <v>0.14101081481383715</v>
          </cell>
          <cell r="W567">
            <v>0.13975069182332173</v>
          </cell>
          <cell r="X567">
            <v>0.1384583724398489</v>
          </cell>
          <cell r="Y567">
            <v>0.13678698666184852</v>
          </cell>
          <cell r="Z567">
            <v>0.13513391082354048</v>
          </cell>
          <cell r="AA567">
            <v>0.13349914492492787</v>
          </cell>
          <cell r="AB567">
            <v>0.13188268896600763</v>
          </cell>
          <cell r="AC567">
            <v>0.13028454294678204</v>
          </cell>
          <cell r="AD567">
            <v>0.12894974505280685</v>
          </cell>
          <cell r="AE567">
            <v>0.12763845431114132</v>
          </cell>
          <cell r="AF567">
            <v>0.12635067072178482</v>
          </cell>
          <cell r="AG567">
            <v>0.12508639428473767</v>
          </cell>
          <cell r="AH567">
            <v>0.12384562500000008</v>
          </cell>
        </row>
        <row r="568">
          <cell r="B568" t="str">
            <v>e-methane (PS) - Feedstock-related emissions - WTT - Global - ton CH4/ton fuel</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row>
        <row r="569">
          <cell r="B569" t="str">
            <v>e-methane (PS) - Feedstock-related emissions - WTT - Global - ton N2O/ton fuel</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row>
        <row r="570">
          <cell r="B570" t="str">
            <v>e-hydrogen (compressed) - Feedstock WTT emissions (carbon dioxide) - Global - ton CO2/ton H2</v>
          </cell>
          <cell r="G570">
            <v>0.29069928460653066</v>
          </cell>
          <cell r="H570">
            <v>0.29036818709700268</v>
          </cell>
          <cell r="I570">
            <v>0.28998000000000135</v>
          </cell>
          <cell r="J570">
            <v>0.28940257594781538</v>
          </cell>
          <cell r="K570">
            <v>0.28872889145140718</v>
          </cell>
          <cell r="L570">
            <v>0.28795894651077331</v>
          </cell>
          <cell r="M570">
            <v>0.28709274112591998</v>
          </cell>
          <cell r="N570">
            <v>0.28613027529683954</v>
          </cell>
          <cell r="O570">
            <v>0.28427104178214713</v>
          </cell>
          <cell r="P570">
            <v>0.28231892358064925</v>
          </cell>
          <cell r="Q570">
            <v>0.28027392069234119</v>
          </cell>
          <cell r="R570">
            <v>0.27813603311721824</v>
          </cell>
          <cell r="S570">
            <v>0.27590526085528855</v>
          </cell>
          <cell r="T570">
            <v>0.27357819323199506</v>
          </cell>
          <cell r="U570">
            <v>0.27118673282278699</v>
          </cell>
          <cell r="V570">
            <v>0.26873087962767428</v>
          </cell>
          <cell r="W570">
            <v>0.26621063364664344</v>
          </cell>
          <cell r="X570">
            <v>0.26362599487969779</v>
          </cell>
          <cell r="Y570">
            <v>0.26028322332369702</v>
          </cell>
          <cell r="Z570">
            <v>0.25697707164708095</v>
          </cell>
          <cell r="AA570">
            <v>0.25370753984985572</v>
          </cell>
          <cell r="AB570">
            <v>0.25047462793201525</v>
          </cell>
          <cell r="AC570">
            <v>0.2472783358935641</v>
          </cell>
          <cell r="AD570">
            <v>0.24460874010561368</v>
          </cell>
          <cell r="AE570">
            <v>0.24198615862228262</v>
          </cell>
          <cell r="AF570">
            <v>0.23941059144356966</v>
          </cell>
          <cell r="AG570">
            <v>0.23688203856947532</v>
          </cell>
          <cell r="AH570">
            <v>0.23440050000000018</v>
          </cell>
        </row>
        <row r="571">
          <cell r="B571" t="str">
            <v>e-hydrogen (compressed) - Feedstock WTT emissions (methane) - Global - ton CH4/ton H2</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row>
        <row r="572">
          <cell r="B572" t="str">
            <v>e-hydrogen (compressed) - Feedstock WTT emissions (nitrous oxide) - Global - ton N2O/ton H2</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row>
        <row r="573">
          <cell r="B573" t="str">
            <v>Carbon dioxide (PS) - Feedstock WTT emissions (carbon dioxide) - Global - ton CO2/ton CO2</v>
          </cell>
          <cell r="G573">
            <v>2.4164999999999998E-3</v>
          </cell>
          <cell r="H573">
            <v>2.4164999999999998E-3</v>
          </cell>
          <cell r="I573">
            <v>2.4164999999999998E-3</v>
          </cell>
          <cell r="J573">
            <v>2.4164999999999998E-3</v>
          </cell>
          <cell r="K573">
            <v>2.4164999999999998E-3</v>
          </cell>
          <cell r="L573">
            <v>2.4164999999999998E-3</v>
          </cell>
          <cell r="M573">
            <v>2.4164999999999998E-3</v>
          </cell>
          <cell r="N573">
            <v>2.4164999999999998E-3</v>
          </cell>
          <cell r="O573">
            <v>2.4164999999999998E-3</v>
          </cell>
          <cell r="P573">
            <v>2.4164999999999998E-3</v>
          </cell>
          <cell r="Q573">
            <v>2.4164999999999998E-3</v>
          </cell>
          <cell r="R573">
            <v>2.4164999999999998E-3</v>
          </cell>
          <cell r="S573">
            <v>2.4164999999999998E-3</v>
          </cell>
          <cell r="T573">
            <v>2.4164999999999998E-3</v>
          </cell>
          <cell r="U573">
            <v>2.4164999999999998E-3</v>
          </cell>
          <cell r="V573">
            <v>2.4164999999999998E-3</v>
          </cell>
          <cell r="W573">
            <v>2.4164999999999998E-3</v>
          </cell>
          <cell r="X573">
            <v>2.4164999999999998E-3</v>
          </cell>
          <cell r="Y573">
            <v>2.4164999999999998E-3</v>
          </cell>
          <cell r="Z573">
            <v>2.4164999999999998E-3</v>
          </cell>
          <cell r="AA573">
            <v>2.4164999999999998E-3</v>
          </cell>
          <cell r="AB573">
            <v>2.4164999999999998E-3</v>
          </cell>
          <cell r="AC573">
            <v>2.4164999999999998E-3</v>
          </cell>
          <cell r="AD573">
            <v>2.4164999999999998E-3</v>
          </cell>
          <cell r="AE573">
            <v>2.4164999999999998E-3</v>
          </cell>
          <cell r="AF573">
            <v>2.4164999999999998E-3</v>
          </cell>
          <cell r="AG573">
            <v>2.4164999999999998E-3</v>
          </cell>
          <cell r="AH573">
            <v>2.4164999999999998E-3</v>
          </cell>
        </row>
        <row r="574">
          <cell r="B574" t="str">
            <v>Carbon dioxide (PS) - Feedstock WTT emissions (methane) - Global - ton CH4/ton CO2</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row>
        <row r="575">
          <cell r="B575" t="str">
            <v>Carbon dioxide (PS) - Feedstock WTT emissions (nitrous oxide) - Global - ton N2O/ton CO2</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row>
        <row r="576">
          <cell r="B576" t="str">
            <v>e-methane - Conversion H2 -&gt; CH4 - Global - ton H2/ton CH4</v>
          </cell>
          <cell r="G576">
            <v>0.5</v>
          </cell>
          <cell r="H576">
            <v>0.5</v>
          </cell>
          <cell r="I576">
            <v>0.5</v>
          </cell>
          <cell r="J576">
            <v>0.5</v>
          </cell>
          <cell r="K576">
            <v>0.5</v>
          </cell>
          <cell r="L576">
            <v>0.5</v>
          </cell>
          <cell r="M576">
            <v>0.5</v>
          </cell>
          <cell r="N576">
            <v>0.5</v>
          </cell>
          <cell r="O576">
            <v>0.5</v>
          </cell>
          <cell r="P576">
            <v>0.5</v>
          </cell>
          <cell r="Q576">
            <v>0.5</v>
          </cell>
          <cell r="R576">
            <v>0.5</v>
          </cell>
          <cell r="S576">
            <v>0.5</v>
          </cell>
          <cell r="T576">
            <v>0.5</v>
          </cell>
          <cell r="U576">
            <v>0.5</v>
          </cell>
          <cell r="V576">
            <v>0.5</v>
          </cell>
          <cell r="W576">
            <v>0.5</v>
          </cell>
          <cell r="X576">
            <v>0.5</v>
          </cell>
          <cell r="Y576">
            <v>0.5</v>
          </cell>
          <cell r="Z576">
            <v>0.5</v>
          </cell>
          <cell r="AA576">
            <v>0.5</v>
          </cell>
          <cell r="AB576">
            <v>0.5</v>
          </cell>
          <cell r="AC576">
            <v>0.5</v>
          </cell>
          <cell r="AD576">
            <v>0.5</v>
          </cell>
          <cell r="AE576">
            <v>0.5</v>
          </cell>
          <cell r="AF576">
            <v>0.5</v>
          </cell>
          <cell r="AG576">
            <v>0.5</v>
          </cell>
          <cell r="AH576">
            <v>0.5</v>
          </cell>
        </row>
        <row r="577">
          <cell r="B577" t="str">
            <v>e-methane - Conversion CO2 -&gt; CH4 - Global - ton CO2/ton CH4</v>
          </cell>
          <cell r="G577">
            <v>2.75</v>
          </cell>
          <cell r="H577">
            <v>2.75</v>
          </cell>
          <cell r="I577">
            <v>2.75</v>
          </cell>
          <cell r="J577">
            <v>2.75</v>
          </cell>
          <cell r="K577">
            <v>2.75</v>
          </cell>
          <cell r="L577">
            <v>2.75</v>
          </cell>
          <cell r="M577">
            <v>2.75</v>
          </cell>
          <cell r="N577">
            <v>2.75</v>
          </cell>
          <cell r="O577">
            <v>2.75</v>
          </cell>
          <cell r="P577">
            <v>2.75</v>
          </cell>
          <cell r="Q577">
            <v>2.75</v>
          </cell>
          <cell r="R577">
            <v>2.75</v>
          </cell>
          <cell r="S577">
            <v>2.75</v>
          </cell>
          <cell r="T577">
            <v>2.75</v>
          </cell>
          <cell r="U577">
            <v>2.75</v>
          </cell>
          <cell r="V577">
            <v>2.75</v>
          </cell>
          <cell r="W577">
            <v>2.75</v>
          </cell>
          <cell r="X577">
            <v>2.75</v>
          </cell>
          <cell r="Y577">
            <v>2.75</v>
          </cell>
          <cell r="Z577">
            <v>2.75</v>
          </cell>
          <cell r="AA577">
            <v>2.75</v>
          </cell>
          <cell r="AB577">
            <v>2.75</v>
          </cell>
          <cell r="AC577">
            <v>2.75</v>
          </cell>
          <cell r="AD577">
            <v>2.75</v>
          </cell>
          <cell r="AE577">
            <v>2.75</v>
          </cell>
          <cell r="AF577">
            <v>2.75</v>
          </cell>
          <cell r="AG577">
            <v>2.75</v>
          </cell>
          <cell r="AH577">
            <v>2.75</v>
          </cell>
        </row>
        <row r="578">
          <cell r="B578" t="str">
            <v/>
          </cell>
        </row>
        <row r="579">
          <cell r="B579" t="str">
            <v>e-methane liquefied (DAC) - Item - Region - Unit</v>
          </cell>
          <cell r="G579">
            <v>2023</v>
          </cell>
          <cell r="H579">
            <v>2024</v>
          </cell>
          <cell r="I579">
            <v>2025</v>
          </cell>
          <cell r="J579">
            <v>2026</v>
          </cell>
          <cell r="K579">
            <v>2027</v>
          </cell>
          <cell r="L579">
            <v>2028</v>
          </cell>
          <cell r="M579">
            <v>2029</v>
          </cell>
          <cell r="N579">
            <v>2030</v>
          </cell>
          <cell r="O579">
            <v>2031</v>
          </cell>
          <cell r="P579">
            <v>2032</v>
          </cell>
          <cell r="Q579">
            <v>2033</v>
          </cell>
          <cell r="R579">
            <v>2034</v>
          </cell>
          <cell r="S579">
            <v>2035</v>
          </cell>
          <cell r="T579">
            <v>2036</v>
          </cell>
          <cell r="U579">
            <v>2037</v>
          </cell>
          <cell r="V579">
            <v>2038</v>
          </cell>
          <cell r="W579">
            <v>2039</v>
          </cell>
          <cell r="X579">
            <v>2040</v>
          </cell>
          <cell r="Y579">
            <v>2041</v>
          </cell>
          <cell r="Z579">
            <v>2042</v>
          </cell>
          <cell r="AA579">
            <v>2043</v>
          </cell>
          <cell r="AB579">
            <v>2044</v>
          </cell>
          <cell r="AC579">
            <v>2045</v>
          </cell>
          <cell r="AD579">
            <v>2046</v>
          </cell>
          <cell r="AE579">
            <v>2047</v>
          </cell>
          <cell r="AF579">
            <v>2048</v>
          </cell>
          <cell r="AG579">
            <v>2049</v>
          </cell>
          <cell r="AH579">
            <v>2050</v>
          </cell>
        </row>
        <row r="580">
          <cell r="B580" t="str">
            <v/>
          </cell>
        </row>
        <row r="581">
          <cell r="B581" t="str">
            <v>e-methane liquefied (DAC) - Total emissions - WTW - GWP100 - Global - ton CO2eq/ton fuel</v>
          </cell>
          <cell r="G581">
            <v>0.88921997007360787</v>
          </cell>
          <cell r="H581">
            <v>0.8304787574336725</v>
          </cell>
          <cell r="I581">
            <v>0.77170900000000087</v>
          </cell>
          <cell r="J581">
            <v>0.71288208836568034</v>
          </cell>
          <cell r="K581">
            <v>0.65400704650924901</v>
          </cell>
          <cell r="L581">
            <v>0.59508387443070476</v>
          </cell>
          <cell r="M581">
            <v>0.5361125721300507</v>
          </cell>
          <cell r="N581">
            <v>0.47709313960728306</v>
          </cell>
          <cell r="O581">
            <v>0.47566034933886964</v>
          </cell>
          <cell r="P581">
            <v>0.47418111672705365</v>
          </cell>
          <cell r="Q581">
            <v>0.47265544177183261</v>
          </cell>
          <cell r="R581">
            <v>0.47108332447320389</v>
          </cell>
          <cell r="S581">
            <v>0.46946476483117183</v>
          </cell>
          <cell r="T581">
            <v>0.46783080410287692</v>
          </cell>
          <cell r="U581">
            <v>0.46616464698162496</v>
          </cell>
          <cell r="V581">
            <v>0.46446629346742052</v>
          </cell>
          <cell r="W581">
            <v>0.46273574356025715</v>
          </cell>
          <cell r="X581">
            <v>0.4609729972601363</v>
          </cell>
          <cell r="Y581">
            <v>0.45886180000748633</v>
          </cell>
          <cell r="Z581">
            <v>0.45676891269452879</v>
          </cell>
          <cell r="AA581">
            <v>0.45469433532126668</v>
          </cell>
          <cell r="AB581">
            <v>0.45263806788769706</v>
          </cell>
          <cell r="AC581">
            <v>0.45060011039382197</v>
          </cell>
          <cell r="AD581">
            <v>0.44885412401043889</v>
          </cell>
          <cell r="AE581">
            <v>0.44713164477936529</v>
          </cell>
          <cell r="AF581">
            <v>0.44543267270060083</v>
          </cell>
          <cell r="AG581">
            <v>0.44375720777414562</v>
          </cell>
          <cell r="AH581">
            <v>0.44210525000000012</v>
          </cell>
        </row>
        <row r="582">
          <cell r="B582" t="str">
            <v>e-methane liquefied (DAC) - Total emissions - WTW - GWP20 - Global - ton CO2eq/ton fuel</v>
          </cell>
          <cell r="G582">
            <v>2.2332199700736077</v>
          </cell>
          <cell r="H582">
            <v>2.0624787574336723</v>
          </cell>
          <cell r="I582">
            <v>1.8917090000000008</v>
          </cell>
          <cell r="J582">
            <v>1.7208820883656804</v>
          </cell>
          <cell r="K582">
            <v>1.550007046509249</v>
          </cell>
          <cell r="L582">
            <v>1.3790838744307046</v>
          </cell>
          <cell r="M582">
            <v>1.2081125721300507</v>
          </cell>
          <cell r="N582">
            <v>1.0370931396072831</v>
          </cell>
          <cell r="O582">
            <v>1.0356603493388696</v>
          </cell>
          <cell r="P582">
            <v>1.0341811167270536</v>
          </cell>
          <cell r="Q582">
            <v>1.0326554417718325</v>
          </cell>
          <cell r="R582">
            <v>1.0310833244732038</v>
          </cell>
          <cell r="S582">
            <v>1.0294647648311719</v>
          </cell>
          <cell r="T582">
            <v>1.027830804102877</v>
          </cell>
          <cell r="U582">
            <v>1.026164646981625</v>
          </cell>
          <cell r="V582">
            <v>1.0244662934674205</v>
          </cell>
          <cell r="W582">
            <v>1.0227357435602571</v>
          </cell>
          <cell r="X582">
            <v>1.0209729972601362</v>
          </cell>
          <cell r="Y582">
            <v>1.0188618000074863</v>
          </cell>
          <cell r="Z582">
            <v>1.0167689126945287</v>
          </cell>
          <cell r="AA582">
            <v>1.0146943353212667</v>
          </cell>
          <cell r="AB582">
            <v>1.0126380678876972</v>
          </cell>
          <cell r="AC582">
            <v>1.010600110393822</v>
          </cell>
          <cell r="AD582">
            <v>1.0088541240104389</v>
          </cell>
          <cell r="AE582">
            <v>1.0071316447793652</v>
          </cell>
          <cell r="AF582">
            <v>1.0054326727006009</v>
          </cell>
          <cell r="AG582">
            <v>1.0037572077741457</v>
          </cell>
          <cell r="AH582">
            <v>1.0021052500000001</v>
          </cell>
        </row>
        <row r="583">
          <cell r="B583" t="str">
            <v>e-methane liquefied (DAC) - Total emissions - TTW - GWP100 - Global - ton CO2eq/ton fuel</v>
          </cell>
          <cell r="G583">
            <v>0.69600000000000006</v>
          </cell>
          <cell r="H583">
            <v>0.63800000000000001</v>
          </cell>
          <cell r="I583">
            <v>0.57999999999999996</v>
          </cell>
          <cell r="J583">
            <v>0.52199999999999991</v>
          </cell>
          <cell r="K583">
            <v>0.46400000000000002</v>
          </cell>
          <cell r="L583">
            <v>0.40600000000000003</v>
          </cell>
          <cell r="M583">
            <v>0.34800000000000003</v>
          </cell>
          <cell r="N583">
            <v>0.28999999999999998</v>
          </cell>
          <cell r="O583">
            <v>0.28999999999999998</v>
          </cell>
          <cell r="P583">
            <v>0.28999999999999998</v>
          </cell>
          <cell r="Q583">
            <v>0.28999999999999998</v>
          </cell>
          <cell r="R583">
            <v>0.28999999999999998</v>
          </cell>
          <cell r="S583">
            <v>0.28999999999999998</v>
          </cell>
          <cell r="T583">
            <v>0.28999999999999998</v>
          </cell>
          <cell r="U583">
            <v>0.28999999999999998</v>
          </cell>
          <cell r="V583">
            <v>0.28999999999999998</v>
          </cell>
          <cell r="W583">
            <v>0.28999999999999998</v>
          </cell>
          <cell r="X583">
            <v>0.28999999999999998</v>
          </cell>
          <cell r="Y583">
            <v>0.28999999999999998</v>
          </cell>
          <cell r="Z583">
            <v>0.28999999999999998</v>
          </cell>
          <cell r="AA583">
            <v>0.28999999999999998</v>
          </cell>
          <cell r="AB583">
            <v>0.28999999999999998</v>
          </cell>
          <cell r="AC583">
            <v>0.28999999999999998</v>
          </cell>
          <cell r="AD583">
            <v>0.28999999999999998</v>
          </cell>
          <cell r="AE583">
            <v>0.28999999999999998</v>
          </cell>
          <cell r="AF583">
            <v>0.28999999999999998</v>
          </cell>
          <cell r="AG583">
            <v>0.28999999999999998</v>
          </cell>
          <cell r="AH583">
            <v>0.28999999999999998</v>
          </cell>
        </row>
        <row r="584">
          <cell r="B584" t="str">
            <v>e-methane liquefied (DAC) - Total emissions - TTW - GWP20 - Global - ton CO2eq/ton fuel</v>
          </cell>
          <cell r="G584">
            <v>2.04</v>
          </cell>
          <cell r="H584">
            <v>1.8699999999999999</v>
          </cell>
          <cell r="I584">
            <v>1.7</v>
          </cell>
          <cell r="J584">
            <v>1.5299999999999998</v>
          </cell>
          <cell r="K584">
            <v>1.36</v>
          </cell>
          <cell r="L584">
            <v>1.19</v>
          </cell>
          <cell r="M584">
            <v>1.02</v>
          </cell>
          <cell r="N584">
            <v>0.85</v>
          </cell>
          <cell r="O584">
            <v>0.85</v>
          </cell>
          <cell r="P584">
            <v>0.85</v>
          </cell>
          <cell r="Q584">
            <v>0.85</v>
          </cell>
          <cell r="R584">
            <v>0.85</v>
          </cell>
          <cell r="S584">
            <v>0.85</v>
          </cell>
          <cell r="T584">
            <v>0.85</v>
          </cell>
          <cell r="U584">
            <v>0.85</v>
          </cell>
          <cell r="V584">
            <v>0.85</v>
          </cell>
          <cell r="W584">
            <v>0.85</v>
          </cell>
          <cell r="X584">
            <v>0.85</v>
          </cell>
          <cell r="Y584">
            <v>0.85</v>
          </cell>
          <cell r="Z584">
            <v>0.85</v>
          </cell>
          <cell r="AA584">
            <v>0.85</v>
          </cell>
          <cell r="AB584">
            <v>0.85</v>
          </cell>
          <cell r="AC584">
            <v>0.85</v>
          </cell>
          <cell r="AD584">
            <v>0.85</v>
          </cell>
          <cell r="AE584">
            <v>0.85</v>
          </cell>
          <cell r="AF584">
            <v>0.85</v>
          </cell>
          <cell r="AG584">
            <v>0.85</v>
          </cell>
          <cell r="AH584">
            <v>0.85</v>
          </cell>
        </row>
        <row r="585">
          <cell r="B585" t="str">
            <v>e-methane liquefied (DAC) - Total emissions - WTT - GWP100 - Global - ton CO2eq/ton fuel</v>
          </cell>
          <cell r="G585">
            <v>0.19321997007360778</v>
          </cell>
          <cell r="H585">
            <v>0.19247875743367254</v>
          </cell>
          <cell r="I585">
            <v>0.19170900000000085</v>
          </cell>
          <cell r="J585">
            <v>0.19088208836568049</v>
          </cell>
          <cell r="K585">
            <v>0.19000704650924902</v>
          </cell>
          <cell r="L585">
            <v>0.18908387443070471</v>
          </cell>
          <cell r="M585">
            <v>0.18811257213005067</v>
          </cell>
          <cell r="N585">
            <v>0.18709313960728308</v>
          </cell>
          <cell r="O585">
            <v>0.18566034933886966</v>
          </cell>
          <cell r="P585">
            <v>0.1841811167270537</v>
          </cell>
          <cell r="Q585">
            <v>0.18265544177183266</v>
          </cell>
          <cell r="R585">
            <v>0.18108332447320394</v>
          </cell>
          <cell r="S585">
            <v>0.17946476483117188</v>
          </cell>
          <cell r="T585">
            <v>0.17783080410287697</v>
          </cell>
          <cell r="U585">
            <v>0.17616464698162501</v>
          </cell>
          <cell r="V585">
            <v>0.17446629346742051</v>
          </cell>
          <cell r="W585">
            <v>0.17273574356025714</v>
          </cell>
          <cell r="X585">
            <v>0.17097299726013629</v>
          </cell>
          <cell r="Y585">
            <v>0.16886180000748638</v>
          </cell>
          <cell r="Z585">
            <v>0.16676891269452884</v>
          </cell>
          <cell r="AA585">
            <v>0.16469433532126673</v>
          </cell>
          <cell r="AB585">
            <v>0.16263806788769708</v>
          </cell>
          <cell r="AC585">
            <v>0.16060011039382199</v>
          </cell>
          <cell r="AD585">
            <v>0.15885412401043889</v>
          </cell>
          <cell r="AE585">
            <v>0.15713164477936534</v>
          </cell>
          <cell r="AF585">
            <v>0.15543267270060085</v>
          </cell>
          <cell r="AG585">
            <v>0.15375720777414567</v>
          </cell>
          <cell r="AH585">
            <v>0.15210525000000011</v>
          </cell>
        </row>
        <row r="586">
          <cell r="B586" t="str">
            <v>e-methane liquefied (DAC) - Total emissions - WTT - GWP20 - Global - ton CO2eq/ton fuel</v>
          </cell>
          <cell r="G586">
            <v>0.19321997007360778</v>
          </cell>
          <cell r="H586">
            <v>0.19247875743367254</v>
          </cell>
          <cell r="I586">
            <v>0.19170900000000085</v>
          </cell>
          <cell r="J586">
            <v>0.19088208836568049</v>
          </cell>
          <cell r="K586">
            <v>0.19000704650924902</v>
          </cell>
          <cell r="L586">
            <v>0.18908387443070471</v>
          </cell>
          <cell r="M586">
            <v>0.18811257213005067</v>
          </cell>
          <cell r="N586">
            <v>0.18709313960728308</v>
          </cell>
          <cell r="O586">
            <v>0.18566034933886966</v>
          </cell>
          <cell r="P586">
            <v>0.1841811167270537</v>
          </cell>
          <cell r="Q586">
            <v>0.18265544177183266</v>
          </cell>
          <cell r="R586">
            <v>0.18108332447320394</v>
          </cell>
          <cell r="S586">
            <v>0.17946476483117188</v>
          </cell>
          <cell r="T586">
            <v>0.17783080410287697</v>
          </cell>
          <cell r="U586">
            <v>0.17616464698162501</v>
          </cell>
          <cell r="V586">
            <v>0.17446629346742051</v>
          </cell>
          <cell r="W586">
            <v>0.17273574356025714</v>
          </cell>
          <cell r="X586">
            <v>0.17097299726013629</v>
          </cell>
          <cell r="Y586">
            <v>0.16886180000748638</v>
          </cell>
          <cell r="Z586">
            <v>0.16676891269452884</v>
          </cell>
          <cell r="AA586">
            <v>0.16469433532126673</v>
          </cell>
          <cell r="AB586">
            <v>0.16263806788769708</v>
          </cell>
          <cell r="AC586">
            <v>0.16060011039382199</v>
          </cell>
          <cell r="AD586">
            <v>0.15885412401043889</v>
          </cell>
          <cell r="AE586">
            <v>0.15713164477936534</v>
          </cell>
          <cell r="AF586">
            <v>0.15543267270060085</v>
          </cell>
          <cell r="AG586">
            <v>0.15375720777414567</v>
          </cell>
          <cell r="AH586">
            <v>0.15210525000000011</v>
          </cell>
        </row>
        <row r="587">
          <cell r="B587" t="str">
            <v>General - Methane - GWP100 - Global - ton CO2eq/ton fuel</v>
          </cell>
          <cell r="G587">
            <v>29</v>
          </cell>
          <cell r="H587">
            <v>29</v>
          </cell>
          <cell r="I587">
            <v>29</v>
          </cell>
          <cell r="J587">
            <v>29</v>
          </cell>
          <cell r="K587">
            <v>29</v>
          </cell>
          <cell r="L587">
            <v>29</v>
          </cell>
          <cell r="M587">
            <v>29</v>
          </cell>
          <cell r="N587">
            <v>29</v>
          </cell>
          <cell r="O587">
            <v>29</v>
          </cell>
          <cell r="P587">
            <v>29</v>
          </cell>
          <cell r="Q587">
            <v>29</v>
          </cell>
          <cell r="R587">
            <v>29</v>
          </cell>
          <cell r="S587">
            <v>29</v>
          </cell>
          <cell r="T587">
            <v>29</v>
          </cell>
          <cell r="U587">
            <v>29</v>
          </cell>
          <cell r="V587">
            <v>29</v>
          </cell>
          <cell r="W587">
            <v>29</v>
          </cell>
          <cell r="X587">
            <v>29</v>
          </cell>
          <cell r="Y587">
            <v>29</v>
          </cell>
          <cell r="Z587">
            <v>29</v>
          </cell>
          <cell r="AA587">
            <v>29</v>
          </cell>
          <cell r="AB587">
            <v>29</v>
          </cell>
          <cell r="AC587">
            <v>29</v>
          </cell>
          <cell r="AD587">
            <v>29</v>
          </cell>
          <cell r="AE587">
            <v>29</v>
          </cell>
          <cell r="AF587">
            <v>29</v>
          </cell>
          <cell r="AG587">
            <v>29</v>
          </cell>
          <cell r="AH587">
            <v>29</v>
          </cell>
        </row>
        <row r="588">
          <cell r="B588" t="str">
            <v>General - Methane - GWP20 - Global - ton CO2eq/ton fuel</v>
          </cell>
          <cell r="G588">
            <v>85</v>
          </cell>
          <cell r="H588">
            <v>85</v>
          </cell>
          <cell r="I588">
            <v>85</v>
          </cell>
          <cell r="J588">
            <v>85</v>
          </cell>
          <cell r="K588">
            <v>85</v>
          </cell>
          <cell r="L588">
            <v>85</v>
          </cell>
          <cell r="M588">
            <v>85</v>
          </cell>
          <cell r="N588">
            <v>85</v>
          </cell>
          <cell r="O588">
            <v>85</v>
          </cell>
          <cell r="P588">
            <v>85</v>
          </cell>
          <cell r="Q588">
            <v>85</v>
          </cell>
          <cell r="R588">
            <v>85</v>
          </cell>
          <cell r="S588">
            <v>85</v>
          </cell>
          <cell r="T588">
            <v>85</v>
          </cell>
          <cell r="U588">
            <v>85</v>
          </cell>
          <cell r="V588">
            <v>85</v>
          </cell>
          <cell r="W588">
            <v>85</v>
          </cell>
          <cell r="X588">
            <v>85</v>
          </cell>
          <cell r="Y588">
            <v>85</v>
          </cell>
          <cell r="Z588">
            <v>85</v>
          </cell>
          <cell r="AA588">
            <v>85</v>
          </cell>
          <cell r="AB588">
            <v>85</v>
          </cell>
          <cell r="AC588">
            <v>85</v>
          </cell>
          <cell r="AD588">
            <v>85</v>
          </cell>
          <cell r="AE588">
            <v>85</v>
          </cell>
          <cell r="AF588">
            <v>85</v>
          </cell>
          <cell r="AG588">
            <v>85</v>
          </cell>
          <cell r="AH588">
            <v>85</v>
          </cell>
        </row>
        <row r="589">
          <cell r="B589" t="str">
            <v>General - Nitrous oxide - GWP100 - Global - ton CO2eq/ton fuel</v>
          </cell>
          <cell r="G589">
            <v>266</v>
          </cell>
          <cell r="H589">
            <v>266</v>
          </cell>
          <cell r="I589">
            <v>266</v>
          </cell>
          <cell r="J589">
            <v>266</v>
          </cell>
          <cell r="K589">
            <v>266</v>
          </cell>
          <cell r="L589">
            <v>266</v>
          </cell>
          <cell r="M589">
            <v>266</v>
          </cell>
          <cell r="N589">
            <v>266</v>
          </cell>
          <cell r="O589">
            <v>266</v>
          </cell>
          <cell r="P589">
            <v>266</v>
          </cell>
          <cell r="Q589">
            <v>266</v>
          </cell>
          <cell r="R589">
            <v>266</v>
          </cell>
          <cell r="S589">
            <v>266</v>
          </cell>
          <cell r="T589">
            <v>266</v>
          </cell>
          <cell r="U589">
            <v>266</v>
          </cell>
          <cell r="V589">
            <v>266</v>
          </cell>
          <cell r="W589">
            <v>266</v>
          </cell>
          <cell r="X589">
            <v>266</v>
          </cell>
          <cell r="Y589">
            <v>266</v>
          </cell>
          <cell r="Z589">
            <v>266</v>
          </cell>
          <cell r="AA589">
            <v>266</v>
          </cell>
          <cell r="AB589">
            <v>266</v>
          </cell>
          <cell r="AC589">
            <v>266</v>
          </cell>
          <cell r="AD589">
            <v>266</v>
          </cell>
          <cell r="AE589">
            <v>266</v>
          </cell>
          <cell r="AF589">
            <v>266</v>
          </cell>
          <cell r="AG589">
            <v>266</v>
          </cell>
          <cell r="AH589">
            <v>266</v>
          </cell>
        </row>
        <row r="590">
          <cell r="B590" t="str">
            <v>General - Nitrous oxide - GWP20 - Global - ton CO2eq/ton fuel</v>
          </cell>
          <cell r="G590">
            <v>251</v>
          </cell>
          <cell r="H590">
            <v>251</v>
          </cell>
          <cell r="I590">
            <v>251</v>
          </cell>
          <cell r="J590">
            <v>251</v>
          </cell>
          <cell r="K590">
            <v>251</v>
          </cell>
          <cell r="L590">
            <v>251</v>
          </cell>
          <cell r="M590">
            <v>251</v>
          </cell>
          <cell r="N590">
            <v>251</v>
          </cell>
          <cell r="O590">
            <v>251</v>
          </cell>
          <cell r="P590">
            <v>251</v>
          </cell>
          <cell r="Q590">
            <v>251</v>
          </cell>
          <cell r="R590">
            <v>251</v>
          </cell>
          <cell r="S590">
            <v>251</v>
          </cell>
          <cell r="T590">
            <v>251</v>
          </cell>
          <cell r="U590">
            <v>251</v>
          </cell>
          <cell r="V590">
            <v>251</v>
          </cell>
          <cell r="W590">
            <v>251</v>
          </cell>
          <cell r="X590">
            <v>251</v>
          </cell>
          <cell r="Y590">
            <v>251</v>
          </cell>
          <cell r="Z590">
            <v>251</v>
          </cell>
          <cell r="AA590">
            <v>251</v>
          </cell>
          <cell r="AB590">
            <v>251</v>
          </cell>
          <cell r="AC590">
            <v>251</v>
          </cell>
          <cell r="AD590">
            <v>251</v>
          </cell>
          <cell r="AE590">
            <v>251</v>
          </cell>
          <cell r="AF590">
            <v>251</v>
          </cell>
          <cell r="AG590">
            <v>251</v>
          </cell>
          <cell r="AH590">
            <v>251</v>
          </cell>
        </row>
        <row r="591">
          <cell r="B591" t="str">
            <v/>
          </cell>
        </row>
        <row r="592">
          <cell r="B592" t="str">
            <v>e-methane liquefied (DAC) - Total emissions - WTW - Global - ton CO2/ton fuel</v>
          </cell>
          <cell r="G592">
            <v>0.19321997007360778</v>
          </cell>
          <cell r="H592">
            <v>0.19247875743367254</v>
          </cell>
          <cell r="I592">
            <v>0.19170900000000085</v>
          </cell>
          <cell r="J592">
            <v>0.19088208836568049</v>
          </cell>
          <cell r="K592">
            <v>0.19000704650924902</v>
          </cell>
          <cell r="L592">
            <v>0.18908387443070471</v>
          </cell>
          <cell r="M592">
            <v>0.18811257213005067</v>
          </cell>
          <cell r="N592">
            <v>0.18709313960728308</v>
          </cell>
          <cell r="O592">
            <v>0.18566034933886966</v>
          </cell>
          <cell r="P592">
            <v>0.1841811167270537</v>
          </cell>
          <cell r="Q592">
            <v>0.18265544177183266</v>
          </cell>
          <cell r="R592">
            <v>0.18108332447320394</v>
          </cell>
          <cell r="S592">
            <v>0.17946476483117188</v>
          </cell>
          <cell r="T592">
            <v>0.17783080410287697</v>
          </cell>
          <cell r="U592">
            <v>0.17616464698162501</v>
          </cell>
          <cell r="V592">
            <v>0.17446629346742051</v>
          </cell>
          <cell r="W592">
            <v>0.17273574356025714</v>
          </cell>
          <cell r="X592">
            <v>0.17097299726013629</v>
          </cell>
          <cell r="Y592">
            <v>0.16886180000748638</v>
          </cell>
          <cell r="Z592">
            <v>0.16676891269452884</v>
          </cell>
          <cell r="AA592">
            <v>0.16469433532126673</v>
          </cell>
          <cell r="AB592">
            <v>0.16263806788769708</v>
          </cell>
          <cell r="AC592">
            <v>0.16060011039382199</v>
          </cell>
          <cell r="AD592">
            <v>0.15885412401043889</v>
          </cell>
          <cell r="AE592">
            <v>0.15713164477936534</v>
          </cell>
          <cell r="AF592">
            <v>0.15543267270060085</v>
          </cell>
          <cell r="AG592">
            <v>0.15375720777414567</v>
          </cell>
          <cell r="AH592">
            <v>0.15210525000000011</v>
          </cell>
        </row>
        <row r="593">
          <cell r="B593" t="str">
            <v>e-methane liquefied (DAC) - Total emissions - WTW - Global - ton CH4/ton fuel</v>
          </cell>
          <cell r="G593">
            <v>2.4E-2</v>
          </cell>
          <cell r="H593">
            <v>2.1999999999999999E-2</v>
          </cell>
          <cell r="I593">
            <v>0.02</v>
          </cell>
          <cell r="J593">
            <v>1.7999999999999999E-2</v>
          </cell>
          <cell r="K593">
            <v>1.6E-2</v>
          </cell>
          <cell r="L593">
            <v>1.4E-2</v>
          </cell>
          <cell r="M593">
            <v>1.2E-2</v>
          </cell>
          <cell r="N593">
            <v>0.01</v>
          </cell>
          <cell r="O593">
            <v>0.01</v>
          </cell>
          <cell r="P593">
            <v>0.01</v>
          </cell>
          <cell r="Q593">
            <v>0.01</v>
          </cell>
          <cell r="R593">
            <v>0.01</v>
          </cell>
          <cell r="S593">
            <v>0.01</v>
          </cell>
          <cell r="T593">
            <v>0.01</v>
          </cell>
          <cell r="U593">
            <v>0.01</v>
          </cell>
          <cell r="V593">
            <v>0.01</v>
          </cell>
          <cell r="W593">
            <v>0.01</v>
          </cell>
          <cell r="X593">
            <v>0.01</v>
          </cell>
          <cell r="Y593">
            <v>0.01</v>
          </cell>
          <cell r="Z593">
            <v>0.01</v>
          </cell>
          <cell r="AA593">
            <v>0.01</v>
          </cell>
          <cell r="AB593">
            <v>0.01</v>
          </cell>
          <cell r="AC593">
            <v>0.01</v>
          </cell>
          <cell r="AD593">
            <v>0.01</v>
          </cell>
          <cell r="AE593">
            <v>0.01</v>
          </cell>
          <cell r="AF593">
            <v>0.01</v>
          </cell>
          <cell r="AG593">
            <v>0.01</v>
          </cell>
          <cell r="AH593">
            <v>0.01</v>
          </cell>
        </row>
        <row r="594">
          <cell r="B594" t="str">
            <v>e-methane liquefied (DAC) - Total emissions - WTW - Global - ton N2O/ton fuel</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row>
        <row r="595">
          <cell r="B595" t="str">
            <v/>
          </cell>
        </row>
        <row r="596">
          <cell r="B596" t="str">
            <v>e-methane liquefied (DAC) - Total emissions - TTW - Global - ton CO2/ton fuel</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row>
        <row r="597">
          <cell r="B597" t="str">
            <v>e-methane liquefied (DAC) - Total emissions - TTW - Global - ton CH4/ton fuel</v>
          </cell>
          <cell r="G597">
            <v>2.4E-2</v>
          </cell>
          <cell r="H597">
            <v>2.1999999999999999E-2</v>
          </cell>
          <cell r="I597">
            <v>0.02</v>
          </cell>
          <cell r="J597">
            <v>1.7999999999999999E-2</v>
          </cell>
          <cell r="K597">
            <v>1.6E-2</v>
          </cell>
          <cell r="L597">
            <v>1.4E-2</v>
          </cell>
          <cell r="M597">
            <v>1.2E-2</v>
          </cell>
          <cell r="N597">
            <v>0.01</v>
          </cell>
          <cell r="O597">
            <v>0.01</v>
          </cell>
          <cell r="P597">
            <v>0.01</v>
          </cell>
          <cell r="Q597">
            <v>0.01</v>
          </cell>
          <cell r="R597">
            <v>0.01</v>
          </cell>
          <cell r="S597">
            <v>0.01</v>
          </cell>
          <cell r="T597">
            <v>0.01</v>
          </cell>
          <cell r="U597">
            <v>0.01</v>
          </cell>
          <cell r="V597">
            <v>0.01</v>
          </cell>
          <cell r="W597">
            <v>0.01</v>
          </cell>
          <cell r="X597">
            <v>0.01</v>
          </cell>
          <cell r="Y597">
            <v>0.01</v>
          </cell>
          <cell r="Z597">
            <v>0.01</v>
          </cell>
          <cell r="AA597">
            <v>0.01</v>
          </cell>
          <cell r="AB597">
            <v>0.01</v>
          </cell>
          <cell r="AC597">
            <v>0.01</v>
          </cell>
          <cell r="AD597">
            <v>0.01</v>
          </cell>
          <cell r="AE597">
            <v>0.01</v>
          </cell>
          <cell r="AF597">
            <v>0.01</v>
          </cell>
          <cell r="AG597">
            <v>0.01</v>
          </cell>
          <cell r="AH597">
            <v>0.01</v>
          </cell>
        </row>
        <row r="598">
          <cell r="B598" t="str">
            <v>e-methane liquefied (DAC) - Total emissions - TTW - Global - ton N2O/ton fuel</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row>
        <row r="599">
          <cell r="B599" t="str">
            <v>e-methane (liquefied) - TTW emissions (carbon dioxide) - Global - ton CO2/ton fuel</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row>
        <row r="600">
          <cell r="B600" t="str">
            <v>e-methane (liquefied) - TTW emissions (methane) - Global - ton CH4/ton fuel</v>
          </cell>
          <cell r="G600">
            <v>2.4E-2</v>
          </cell>
          <cell r="H600">
            <v>2.1999999999999999E-2</v>
          </cell>
          <cell r="I600">
            <v>0.02</v>
          </cell>
          <cell r="J600">
            <v>1.7999999999999999E-2</v>
          </cell>
          <cell r="K600">
            <v>1.6E-2</v>
          </cell>
          <cell r="L600">
            <v>1.4E-2</v>
          </cell>
          <cell r="M600">
            <v>1.2E-2</v>
          </cell>
          <cell r="N600">
            <v>0.01</v>
          </cell>
          <cell r="O600">
            <v>0.01</v>
          </cell>
          <cell r="P600">
            <v>0.01</v>
          </cell>
          <cell r="Q600">
            <v>0.01</v>
          </cell>
          <cell r="R600">
            <v>0.01</v>
          </cell>
          <cell r="S600">
            <v>0.01</v>
          </cell>
          <cell r="T600">
            <v>0.01</v>
          </cell>
          <cell r="U600">
            <v>0.01</v>
          </cell>
          <cell r="V600">
            <v>0.01</v>
          </cell>
          <cell r="W600">
            <v>0.01</v>
          </cell>
          <cell r="X600">
            <v>0.01</v>
          </cell>
          <cell r="Y600">
            <v>0.01</v>
          </cell>
          <cell r="Z600">
            <v>0.01</v>
          </cell>
          <cell r="AA600">
            <v>0.01</v>
          </cell>
          <cell r="AB600">
            <v>0.01</v>
          </cell>
          <cell r="AC600">
            <v>0.01</v>
          </cell>
          <cell r="AD600">
            <v>0.01</v>
          </cell>
          <cell r="AE600">
            <v>0.01</v>
          </cell>
          <cell r="AF600">
            <v>0.01</v>
          </cell>
          <cell r="AG600">
            <v>0.01</v>
          </cell>
          <cell r="AH600">
            <v>0.01</v>
          </cell>
        </row>
        <row r="601">
          <cell r="B601" t="str">
            <v>e-methane (liquefied) - TTW emissions (nitrous oxide) - Global - ton N2O/ton fuel</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row>
        <row r="602">
          <cell r="B602" t="str">
            <v/>
          </cell>
        </row>
        <row r="603">
          <cell r="B603" t="str">
            <v>e-methane liquefied (DAC) - Total emissions - WTT - Global - ton CO2eq/ton fuel</v>
          </cell>
          <cell r="G603">
            <v>0.19321997007360778</v>
          </cell>
          <cell r="H603">
            <v>0.19247875743367254</v>
          </cell>
          <cell r="I603">
            <v>0.19170900000000085</v>
          </cell>
          <cell r="J603">
            <v>0.19088208836568049</v>
          </cell>
          <cell r="K603">
            <v>0.19000704650924902</v>
          </cell>
          <cell r="L603">
            <v>0.18908387443070471</v>
          </cell>
          <cell r="M603">
            <v>0.18811257213005067</v>
          </cell>
          <cell r="N603">
            <v>0.18709313960728308</v>
          </cell>
          <cell r="O603">
            <v>0.18566034933886966</v>
          </cell>
          <cell r="P603">
            <v>0.1841811167270537</v>
          </cell>
          <cell r="Q603">
            <v>0.18265544177183266</v>
          </cell>
          <cell r="R603">
            <v>0.18108332447320394</v>
          </cell>
          <cell r="S603">
            <v>0.17946476483117188</v>
          </cell>
          <cell r="T603">
            <v>0.17783080410287697</v>
          </cell>
          <cell r="U603">
            <v>0.17616464698162501</v>
          </cell>
          <cell r="V603">
            <v>0.17446629346742051</v>
          </cell>
          <cell r="W603">
            <v>0.17273574356025714</v>
          </cell>
          <cell r="X603">
            <v>0.17097299726013629</v>
          </cell>
          <cell r="Y603">
            <v>0.16886180000748638</v>
          </cell>
          <cell r="Z603">
            <v>0.16676891269452884</v>
          </cell>
          <cell r="AA603">
            <v>0.16469433532126673</v>
          </cell>
          <cell r="AB603">
            <v>0.16263806788769708</v>
          </cell>
          <cell r="AC603">
            <v>0.16060011039382199</v>
          </cell>
          <cell r="AD603">
            <v>0.15885412401043889</v>
          </cell>
          <cell r="AE603">
            <v>0.15713164477936534</v>
          </cell>
          <cell r="AF603">
            <v>0.15543267270060085</v>
          </cell>
          <cell r="AG603">
            <v>0.15375720777414567</v>
          </cell>
          <cell r="AH603">
            <v>0.15210525000000011</v>
          </cell>
        </row>
        <row r="604">
          <cell r="B604" t="str">
            <v>e-methane liquefied (DAC) - Total emissions - WTT - Global - ton CO2eq/ton fuel</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row>
        <row r="605">
          <cell r="B605" t="str">
            <v>e-methane liquefied (DAC) - Total emissions - WTT - Global - ton CO2eq/ton fuel</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row>
        <row r="606">
          <cell r="B606" t="str">
            <v/>
          </cell>
        </row>
        <row r="607">
          <cell r="B607" t="str">
            <v>e-methane liquefied (DAC) - Process-related emissions - WTT - Global - ton CO2/ton fuel</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row>
        <row r="608">
          <cell r="B608" t="str">
            <v>e-methane liquefied (DAC) - Process-related emissions - WTT - Global - ton CH4/ton fuel</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row>
        <row r="609">
          <cell r="B609" t="str">
            <v>e-methane liquefied (DAC) - Process-related emissions - WTT - Global - ton N2O/ton fuel</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row>
        <row r="610">
          <cell r="B610" t="str">
            <v>e-methane (liquefied) - Process WTT emissions (carbon dioxide) - Global - ton CO2/ton fuel</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row>
        <row r="611">
          <cell r="B611" t="str">
            <v>e-methane (liquefied) - Process WTT emissions (methane) - Global - ton CH4/ton fuel</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row>
        <row r="612">
          <cell r="B612" t="str">
            <v>e-methane (liquefied) - Process WTT emissions (nitrous oxide) - Global - ton N2O/ton fuel</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row>
        <row r="613">
          <cell r="B613" t="str">
            <v/>
          </cell>
        </row>
        <row r="614">
          <cell r="B614" t="str">
            <v>e-methane liquefied (DAC) - Energy-related emissions - WTT - Global - ton CO2/ton fuel</v>
          </cell>
          <cell r="G614">
            <v>3.2219999999999996E-3</v>
          </cell>
          <cell r="H614">
            <v>3.2219999999999996E-3</v>
          </cell>
          <cell r="I614">
            <v>3.2219999999999996E-3</v>
          </cell>
          <cell r="J614">
            <v>3.2219999999999996E-3</v>
          </cell>
          <cell r="K614">
            <v>3.2219999999999996E-3</v>
          </cell>
          <cell r="L614">
            <v>3.2219999999999996E-3</v>
          </cell>
          <cell r="M614">
            <v>3.2219999999999996E-3</v>
          </cell>
          <cell r="N614">
            <v>3.2219999999999996E-3</v>
          </cell>
          <cell r="O614">
            <v>3.2219999999999996E-3</v>
          </cell>
          <cell r="P614">
            <v>3.2219999999999996E-3</v>
          </cell>
          <cell r="Q614">
            <v>3.2219999999999996E-3</v>
          </cell>
          <cell r="R614">
            <v>3.2219999999999996E-3</v>
          </cell>
          <cell r="S614">
            <v>3.2219999999999996E-3</v>
          </cell>
          <cell r="T614">
            <v>3.2219999999999996E-3</v>
          </cell>
          <cell r="U614">
            <v>3.2219999999999996E-3</v>
          </cell>
          <cell r="V614">
            <v>3.2219999999999996E-3</v>
          </cell>
          <cell r="W614">
            <v>3.2219999999999996E-3</v>
          </cell>
          <cell r="X614">
            <v>3.2219999999999996E-3</v>
          </cell>
          <cell r="Y614">
            <v>3.2219999999999996E-3</v>
          </cell>
          <cell r="Z614">
            <v>3.2219999999999996E-3</v>
          </cell>
          <cell r="AA614">
            <v>3.2219999999999996E-3</v>
          </cell>
          <cell r="AB614">
            <v>3.2219999999999996E-3</v>
          </cell>
          <cell r="AC614">
            <v>3.2219999999999996E-3</v>
          </cell>
          <cell r="AD614">
            <v>3.2219999999999996E-3</v>
          </cell>
          <cell r="AE614">
            <v>3.2219999999999996E-3</v>
          </cell>
          <cell r="AF614">
            <v>3.2219999999999996E-3</v>
          </cell>
          <cell r="AG614">
            <v>3.2219999999999996E-3</v>
          </cell>
          <cell r="AH614">
            <v>3.2219999999999996E-3</v>
          </cell>
        </row>
        <row r="615">
          <cell r="B615" t="str">
            <v>e-methane liquefied (DAC) - Energy-related emissions - WTT - Global - ton CH4/ton fuel</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row>
        <row r="616">
          <cell r="B616" t="str">
            <v>e-methane liquefied (DAC) - Energy-related emissions - WTT - Global - ton N2O/ton fuel</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row>
        <row r="617">
          <cell r="B617" t="str">
            <v>Renewable electricity - Feedstock WTT emissions (carbon dioxide) - Global - ton CO2/MWh</v>
          </cell>
          <cell r="G617">
            <v>5.3699999999999998E-3</v>
          </cell>
          <cell r="H617">
            <v>5.3699999999999998E-3</v>
          </cell>
          <cell r="I617">
            <v>5.3699999999999998E-3</v>
          </cell>
          <cell r="J617">
            <v>5.3699999999999998E-3</v>
          </cell>
          <cell r="K617">
            <v>5.3699999999999998E-3</v>
          </cell>
          <cell r="L617">
            <v>5.3699999999999998E-3</v>
          </cell>
          <cell r="M617">
            <v>5.3699999999999998E-3</v>
          </cell>
          <cell r="N617">
            <v>5.3699999999999998E-3</v>
          </cell>
          <cell r="O617">
            <v>5.3699999999999998E-3</v>
          </cell>
          <cell r="P617">
            <v>5.3699999999999998E-3</v>
          </cell>
          <cell r="Q617">
            <v>5.3699999999999998E-3</v>
          </cell>
          <cell r="R617">
            <v>5.3699999999999998E-3</v>
          </cell>
          <cell r="S617">
            <v>5.3699999999999998E-3</v>
          </cell>
          <cell r="T617">
            <v>5.3699999999999998E-3</v>
          </cell>
          <cell r="U617">
            <v>5.3699999999999998E-3</v>
          </cell>
          <cell r="V617">
            <v>5.3699999999999998E-3</v>
          </cell>
          <cell r="W617">
            <v>5.3699999999999998E-3</v>
          </cell>
          <cell r="X617">
            <v>5.3699999999999998E-3</v>
          </cell>
          <cell r="Y617">
            <v>5.3699999999999998E-3</v>
          </cell>
          <cell r="Z617">
            <v>5.3699999999999998E-3</v>
          </cell>
          <cell r="AA617">
            <v>5.3699999999999998E-3</v>
          </cell>
          <cell r="AB617">
            <v>5.3699999999999998E-3</v>
          </cell>
          <cell r="AC617">
            <v>5.3699999999999998E-3</v>
          </cell>
          <cell r="AD617">
            <v>5.3699999999999998E-3</v>
          </cell>
          <cell r="AE617">
            <v>5.3699999999999998E-3</v>
          </cell>
          <cell r="AF617">
            <v>5.3699999999999998E-3</v>
          </cell>
          <cell r="AG617">
            <v>5.3699999999999998E-3</v>
          </cell>
          <cell r="AH617">
            <v>5.3699999999999998E-3</v>
          </cell>
        </row>
        <row r="618">
          <cell r="B618" t="str">
            <v>Renewable electricity - Feedstock WTT emissions (methane) - Global - ton CH4/MWh</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row>
        <row r="619">
          <cell r="B619" t="str">
            <v>Renewable electricity - Feedstock WTT emissions (nitrous oxide) - Global - ton N2O/MWh</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row>
        <row r="620">
          <cell r="B620" t="str">
            <v>e-methane (liquefied) - Energy demand - Liquefaction - Global - MWh/ton fuel</v>
          </cell>
          <cell r="G620">
            <v>0.6</v>
          </cell>
          <cell r="H620">
            <v>0.6</v>
          </cell>
          <cell r="I620">
            <v>0.6</v>
          </cell>
          <cell r="J620">
            <v>0.6</v>
          </cell>
          <cell r="K620">
            <v>0.6</v>
          </cell>
          <cell r="L620">
            <v>0.6</v>
          </cell>
          <cell r="M620">
            <v>0.6</v>
          </cell>
          <cell r="N620">
            <v>0.6</v>
          </cell>
          <cell r="O620">
            <v>0.6</v>
          </cell>
          <cell r="P620">
            <v>0.6</v>
          </cell>
          <cell r="Q620">
            <v>0.6</v>
          </cell>
          <cell r="R620">
            <v>0.6</v>
          </cell>
          <cell r="S620">
            <v>0.6</v>
          </cell>
          <cell r="T620">
            <v>0.6</v>
          </cell>
          <cell r="U620">
            <v>0.6</v>
          </cell>
          <cell r="V620">
            <v>0.6</v>
          </cell>
          <cell r="W620">
            <v>0.6</v>
          </cell>
          <cell r="X620">
            <v>0.6</v>
          </cell>
          <cell r="Y620">
            <v>0.6</v>
          </cell>
          <cell r="Z620">
            <v>0.6</v>
          </cell>
          <cell r="AA620">
            <v>0.6</v>
          </cell>
          <cell r="AB620">
            <v>0.6</v>
          </cell>
          <cell r="AC620">
            <v>0.6</v>
          </cell>
          <cell r="AD620">
            <v>0.6</v>
          </cell>
          <cell r="AE620">
            <v>0.6</v>
          </cell>
          <cell r="AF620">
            <v>0.6</v>
          </cell>
          <cell r="AG620">
            <v>0.6</v>
          </cell>
          <cell r="AH620">
            <v>0.6</v>
          </cell>
        </row>
        <row r="621">
          <cell r="B621" t="str">
            <v/>
          </cell>
        </row>
        <row r="622">
          <cell r="B622" t="str">
            <v>e-methane liquefied (DAC) - Feedstock-related emissions - WTT - Global - ton CO2/ton fuel</v>
          </cell>
          <cell r="G622">
            <v>0.18999797007360777</v>
          </cell>
          <cell r="H622">
            <v>0.18925675743367254</v>
          </cell>
          <cell r="I622">
            <v>0.18848700000000085</v>
          </cell>
          <cell r="J622">
            <v>0.18766008836568049</v>
          </cell>
          <cell r="K622">
            <v>0.18678504650924901</v>
          </cell>
          <cell r="L622">
            <v>0.1858618744307047</v>
          </cell>
          <cell r="M622">
            <v>0.18489057213005067</v>
          </cell>
          <cell r="N622">
            <v>0.18387113960728307</v>
          </cell>
          <cell r="O622">
            <v>0.18243834933886965</v>
          </cell>
          <cell r="P622">
            <v>0.1809591167270537</v>
          </cell>
          <cell r="Q622">
            <v>0.17943344177183265</v>
          </cell>
          <cell r="R622">
            <v>0.17786132447320394</v>
          </cell>
          <cell r="S622">
            <v>0.17624276483117188</v>
          </cell>
          <cell r="T622">
            <v>0.17460880410287696</v>
          </cell>
          <cell r="U622">
            <v>0.17294264698162501</v>
          </cell>
          <cell r="V622">
            <v>0.17124429346742051</v>
          </cell>
          <cell r="W622">
            <v>0.16951374356025714</v>
          </cell>
          <cell r="X622">
            <v>0.16775099726013629</v>
          </cell>
          <cell r="Y622">
            <v>0.16563980000748638</v>
          </cell>
          <cell r="Z622">
            <v>0.16354691269452884</v>
          </cell>
          <cell r="AA622">
            <v>0.16147233532126673</v>
          </cell>
          <cell r="AB622">
            <v>0.15941606788769708</v>
          </cell>
          <cell r="AC622">
            <v>0.15737811039382199</v>
          </cell>
          <cell r="AD622">
            <v>0.15563212401043888</v>
          </cell>
          <cell r="AE622">
            <v>0.15390964477936533</v>
          </cell>
          <cell r="AF622">
            <v>0.15221067270060085</v>
          </cell>
          <cell r="AG622">
            <v>0.15053520777414567</v>
          </cell>
          <cell r="AH622">
            <v>0.14888325000000011</v>
          </cell>
        </row>
        <row r="623">
          <cell r="B623" t="str">
            <v>e-methane liquefied (DAC) - Feedstock-related emissions - WTT - Global - ton CH4/ton fuel</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row>
        <row r="624">
          <cell r="B624" t="str">
            <v>e-methane liquefied (DAC) - Feedstock-related emissions - WTT - Global - ton N2O/ton fuel</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row>
        <row r="625">
          <cell r="B625" t="str">
            <v>e-methane (DAC) - Feedstock WTT emissions (carbon dioxide) - Global - ton CO2/ton CH4</v>
          </cell>
          <cell r="G625">
            <v>0.18999797007360777</v>
          </cell>
          <cell r="H625">
            <v>0.18925675743367254</v>
          </cell>
          <cell r="I625">
            <v>0.18848700000000085</v>
          </cell>
          <cell r="J625">
            <v>0.18766008836568049</v>
          </cell>
          <cell r="K625">
            <v>0.18678504650924901</v>
          </cell>
          <cell r="L625">
            <v>0.1858618744307047</v>
          </cell>
          <cell r="M625">
            <v>0.18489057213005067</v>
          </cell>
          <cell r="N625">
            <v>0.18387113960728307</v>
          </cell>
          <cell r="O625">
            <v>0.18243834933886965</v>
          </cell>
          <cell r="P625">
            <v>0.1809591167270537</v>
          </cell>
          <cell r="Q625">
            <v>0.17943344177183265</v>
          </cell>
          <cell r="R625">
            <v>0.17786132447320394</v>
          </cell>
          <cell r="S625">
            <v>0.17624276483117188</v>
          </cell>
          <cell r="T625">
            <v>0.17460880410287696</v>
          </cell>
          <cell r="U625">
            <v>0.17294264698162501</v>
          </cell>
          <cell r="V625">
            <v>0.17124429346742051</v>
          </cell>
          <cell r="W625">
            <v>0.16951374356025714</v>
          </cell>
          <cell r="X625">
            <v>0.16775099726013629</v>
          </cell>
          <cell r="Y625">
            <v>0.16563980000748638</v>
          </cell>
          <cell r="Z625">
            <v>0.16354691269452884</v>
          </cell>
          <cell r="AA625">
            <v>0.16147233532126673</v>
          </cell>
          <cell r="AB625">
            <v>0.15941606788769708</v>
          </cell>
          <cell r="AC625">
            <v>0.15737811039382199</v>
          </cell>
          <cell r="AD625">
            <v>0.15563212401043888</v>
          </cell>
          <cell r="AE625">
            <v>0.15390964477936533</v>
          </cell>
          <cell r="AF625">
            <v>0.15221067270060085</v>
          </cell>
          <cell r="AG625">
            <v>0.15053520777414567</v>
          </cell>
          <cell r="AH625">
            <v>0.14888325000000011</v>
          </cell>
        </row>
        <row r="626">
          <cell r="B626" t="str">
            <v>e-methane (DAC) - Feedstock WTT emissions (methane) - Global - ton CH4/ton CH4</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row>
        <row r="627">
          <cell r="B627" t="str">
            <v>e-methane (DAC) - Feedstock WTT emissions (nitrous oxide) - Global - ton N2O/ton CH4</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row>
        <row r="628">
          <cell r="B628" t="str">
            <v/>
          </cell>
        </row>
        <row r="629">
          <cell r="B629" t="str">
            <v>e-methane liquefied (PS) - Item - Region - Unit</v>
          </cell>
          <cell r="G629">
            <v>2023</v>
          </cell>
          <cell r="H629">
            <v>2024</v>
          </cell>
          <cell r="I629">
            <v>2025</v>
          </cell>
          <cell r="J629">
            <v>2026</v>
          </cell>
          <cell r="K629">
            <v>2027</v>
          </cell>
          <cell r="L629">
            <v>2028</v>
          </cell>
          <cell r="M629">
            <v>2029</v>
          </cell>
          <cell r="N629">
            <v>2030</v>
          </cell>
          <cell r="O629">
            <v>2031</v>
          </cell>
          <cell r="P629">
            <v>2032</v>
          </cell>
          <cell r="Q629">
            <v>2033</v>
          </cell>
          <cell r="R629">
            <v>2034</v>
          </cell>
          <cell r="S629">
            <v>2035</v>
          </cell>
          <cell r="T629">
            <v>2036</v>
          </cell>
          <cell r="U629">
            <v>2037</v>
          </cell>
          <cell r="V629">
            <v>2038</v>
          </cell>
          <cell r="W629">
            <v>2039</v>
          </cell>
          <cell r="X629">
            <v>2040</v>
          </cell>
          <cell r="Y629">
            <v>2041</v>
          </cell>
          <cell r="Z629">
            <v>2042</v>
          </cell>
          <cell r="AA629">
            <v>2043</v>
          </cell>
          <cell r="AB629">
            <v>2044</v>
          </cell>
          <cell r="AC629">
            <v>2045</v>
          </cell>
          <cell r="AD629">
            <v>2046</v>
          </cell>
          <cell r="AE629">
            <v>2047</v>
          </cell>
          <cell r="AF629">
            <v>2048</v>
          </cell>
          <cell r="AG629">
            <v>2049</v>
          </cell>
          <cell r="AH629">
            <v>2050</v>
          </cell>
        </row>
        <row r="630">
          <cell r="B630" t="str">
            <v/>
          </cell>
        </row>
        <row r="631">
          <cell r="B631" t="str">
            <v>e-methane liquefied (PS) - Total emissions - WTW - GWP100 - Global - ton CO2eq/ton fuel</v>
          </cell>
          <cell r="G631">
            <v>0.85336501730326542</v>
          </cell>
          <cell r="H631">
            <v>0.79519946854850132</v>
          </cell>
          <cell r="I631">
            <v>0.73700537500000063</v>
          </cell>
          <cell r="J631">
            <v>0.67871666297390765</v>
          </cell>
          <cell r="K631">
            <v>0.62037982072570363</v>
          </cell>
          <cell r="L631">
            <v>0.5619948482553867</v>
          </cell>
          <cell r="M631">
            <v>0.50356174556296007</v>
          </cell>
          <cell r="N631">
            <v>0.44508051264841975</v>
          </cell>
          <cell r="O631">
            <v>0.44415089589107359</v>
          </cell>
          <cell r="P631">
            <v>0.44317483679032466</v>
          </cell>
          <cell r="Q631">
            <v>0.4421523353461706</v>
          </cell>
          <cell r="R631">
            <v>0.44108339155860909</v>
          </cell>
          <cell r="S631">
            <v>0.43996800542764425</v>
          </cell>
          <cell r="T631">
            <v>0.43880447161599756</v>
          </cell>
          <cell r="U631">
            <v>0.4376087414113935</v>
          </cell>
          <cell r="V631">
            <v>0.43638081481383717</v>
          </cell>
          <cell r="W631">
            <v>0.43512069182332169</v>
          </cell>
          <cell r="X631">
            <v>0.4338283724398489</v>
          </cell>
          <cell r="Y631">
            <v>0.43215698666184854</v>
          </cell>
          <cell r="Z631">
            <v>0.43050391082354045</v>
          </cell>
          <cell r="AA631">
            <v>0.42886914492492789</v>
          </cell>
          <cell r="AB631">
            <v>0.42725268896600765</v>
          </cell>
          <cell r="AC631">
            <v>0.42565454294678207</v>
          </cell>
          <cell r="AD631">
            <v>0.42431974505280684</v>
          </cell>
          <cell r="AE631">
            <v>0.42300845431114131</v>
          </cell>
          <cell r="AF631">
            <v>0.42172067072178482</v>
          </cell>
          <cell r="AG631">
            <v>0.42045639428473769</v>
          </cell>
          <cell r="AH631">
            <v>0.41921562500000009</v>
          </cell>
        </row>
        <row r="632">
          <cell r="B632" t="str">
            <v>e-methane liquefied (PS) - Total emissions - WTW - GWP20 - Global - ton CO2eq/ton fuel</v>
          </cell>
          <cell r="G632">
            <v>2.1973650173032655</v>
          </cell>
          <cell r="H632">
            <v>2.0271994685485013</v>
          </cell>
          <cell r="I632">
            <v>1.8570053750000006</v>
          </cell>
          <cell r="J632">
            <v>1.6867166629739074</v>
          </cell>
          <cell r="K632">
            <v>1.5163798207257038</v>
          </cell>
          <cell r="L632">
            <v>1.3459948482553865</v>
          </cell>
          <cell r="M632">
            <v>1.1755617455629601</v>
          </cell>
          <cell r="N632">
            <v>1.0050805126484197</v>
          </cell>
          <cell r="O632">
            <v>1.0041508958910736</v>
          </cell>
          <cell r="P632">
            <v>1.0031748367903246</v>
          </cell>
          <cell r="Q632">
            <v>1.0021523353461705</v>
          </cell>
          <cell r="R632">
            <v>1.001083391558609</v>
          </cell>
          <cell r="S632">
            <v>0.9999680054276443</v>
          </cell>
          <cell r="T632">
            <v>0.9988044716159975</v>
          </cell>
          <cell r="U632">
            <v>0.99760874141139344</v>
          </cell>
          <cell r="V632">
            <v>0.99638081481383711</v>
          </cell>
          <cell r="W632">
            <v>0.99512069182332175</v>
          </cell>
          <cell r="X632">
            <v>0.99382837243984889</v>
          </cell>
          <cell r="Y632">
            <v>0.99215698666184848</v>
          </cell>
          <cell r="Z632">
            <v>0.9905039108235405</v>
          </cell>
          <cell r="AA632">
            <v>0.98886914492492783</v>
          </cell>
          <cell r="AB632">
            <v>0.9872526889660076</v>
          </cell>
          <cell r="AC632">
            <v>0.98565454294678201</v>
          </cell>
          <cell r="AD632">
            <v>0.98431974505280684</v>
          </cell>
          <cell r="AE632">
            <v>0.98300845431114126</v>
          </cell>
          <cell r="AF632">
            <v>0.98172067072178482</v>
          </cell>
          <cell r="AG632">
            <v>0.98045639428473763</v>
          </cell>
          <cell r="AH632">
            <v>0.97921562500000003</v>
          </cell>
        </row>
        <row r="633">
          <cell r="B633" t="str">
            <v>e-methane liquefied (PS) - Total emissions - TTW - GWP100 - Global - ton CO2eq/ton fuel</v>
          </cell>
          <cell r="G633">
            <v>0.69600000000000006</v>
          </cell>
          <cell r="H633">
            <v>0.63800000000000001</v>
          </cell>
          <cell r="I633">
            <v>0.57999999999999996</v>
          </cell>
          <cell r="J633">
            <v>0.52199999999999991</v>
          </cell>
          <cell r="K633">
            <v>0.46400000000000002</v>
          </cell>
          <cell r="L633">
            <v>0.40600000000000003</v>
          </cell>
          <cell r="M633">
            <v>0.34800000000000003</v>
          </cell>
          <cell r="N633">
            <v>0.28999999999999998</v>
          </cell>
          <cell r="O633">
            <v>0.28999999999999998</v>
          </cell>
          <cell r="P633">
            <v>0.28999999999999998</v>
          </cell>
          <cell r="Q633">
            <v>0.28999999999999998</v>
          </cell>
          <cell r="R633">
            <v>0.28999999999999998</v>
          </cell>
          <cell r="S633">
            <v>0.28999999999999998</v>
          </cell>
          <cell r="T633">
            <v>0.28999999999999998</v>
          </cell>
          <cell r="U633">
            <v>0.28999999999999998</v>
          </cell>
          <cell r="V633">
            <v>0.28999999999999998</v>
          </cell>
          <cell r="W633">
            <v>0.28999999999999998</v>
          </cell>
          <cell r="X633">
            <v>0.28999999999999998</v>
          </cell>
          <cell r="Y633">
            <v>0.28999999999999998</v>
          </cell>
          <cell r="Z633">
            <v>0.28999999999999998</v>
          </cell>
          <cell r="AA633">
            <v>0.28999999999999998</v>
          </cell>
          <cell r="AB633">
            <v>0.28999999999999998</v>
          </cell>
          <cell r="AC633">
            <v>0.28999999999999998</v>
          </cell>
          <cell r="AD633">
            <v>0.28999999999999998</v>
          </cell>
          <cell r="AE633">
            <v>0.28999999999999998</v>
          </cell>
          <cell r="AF633">
            <v>0.28999999999999998</v>
          </cell>
          <cell r="AG633">
            <v>0.28999999999999998</v>
          </cell>
          <cell r="AH633">
            <v>0.28999999999999998</v>
          </cell>
        </row>
        <row r="634">
          <cell r="B634" t="str">
            <v>e-methane liquefied (PS) - Total emissions - TTW - GWP20 - Global - ton CO2eq/ton fuel</v>
          </cell>
          <cell r="G634">
            <v>2.04</v>
          </cell>
          <cell r="H634">
            <v>1.8699999999999999</v>
          </cell>
          <cell r="I634">
            <v>1.7</v>
          </cell>
          <cell r="J634">
            <v>1.5299999999999998</v>
          </cell>
          <cell r="K634">
            <v>1.36</v>
          </cell>
          <cell r="L634">
            <v>1.19</v>
          </cell>
          <cell r="M634">
            <v>1.02</v>
          </cell>
          <cell r="N634">
            <v>0.85</v>
          </cell>
          <cell r="O634">
            <v>0.85</v>
          </cell>
          <cell r="P634">
            <v>0.85</v>
          </cell>
          <cell r="Q634">
            <v>0.85</v>
          </cell>
          <cell r="R634">
            <v>0.85</v>
          </cell>
          <cell r="S634">
            <v>0.85</v>
          </cell>
          <cell r="T634">
            <v>0.85</v>
          </cell>
          <cell r="U634">
            <v>0.85</v>
          </cell>
          <cell r="V634">
            <v>0.85</v>
          </cell>
          <cell r="W634">
            <v>0.85</v>
          </cell>
          <cell r="X634">
            <v>0.85</v>
          </cell>
          <cell r="Y634">
            <v>0.85</v>
          </cell>
          <cell r="Z634">
            <v>0.85</v>
          </cell>
          <cell r="AA634">
            <v>0.85</v>
          </cell>
          <cell r="AB634">
            <v>0.85</v>
          </cell>
          <cell r="AC634">
            <v>0.85</v>
          </cell>
          <cell r="AD634">
            <v>0.85</v>
          </cell>
          <cell r="AE634">
            <v>0.85</v>
          </cell>
          <cell r="AF634">
            <v>0.85</v>
          </cell>
          <cell r="AG634">
            <v>0.85</v>
          </cell>
          <cell r="AH634">
            <v>0.85</v>
          </cell>
        </row>
        <row r="635">
          <cell r="B635" t="str">
            <v>e-methane liquefied (PS) - Total emissions - WTT - GWP100 - Global - ton CO2eq/ton fuel</v>
          </cell>
          <cell r="G635">
            <v>0.15736501730326535</v>
          </cell>
          <cell r="H635">
            <v>0.15719946854850136</v>
          </cell>
          <cell r="I635">
            <v>0.1570053750000007</v>
          </cell>
          <cell r="J635">
            <v>0.15671666297390771</v>
          </cell>
          <cell r="K635">
            <v>0.15637982072570361</v>
          </cell>
          <cell r="L635">
            <v>0.15599484825538668</v>
          </cell>
          <cell r="M635">
            <v>0.15556174556296001</v>
          </cell>
          <cell r="N635">
            <v>0.15508051264841979</v>
          </cell>
          <cell r="O635">
            <v>0.15415089589107359</v>
          </cell>
          <cell r="P635">
            <v>0.15317483679032465</v>
          </cell>
          <cell r="Q635">
            <v>0.15215233534617062</v>
          </cell>
          <cell r="R635">
            <v>0.15108339155860914</v>
          </cell>
          <cell r="S635">
            <v>0.1499680054276443</v>
          </cell>
          <cell r="T635">
            <v>0.14880447161599755</v>
          </cell>
          <cell r="U635">
            <v>0.14760874141139352</v>
          </cell>
          <cell r="V635">
            <v>0.14638081481383716</v>
          </cell>
          <cell r="W635">
            <v>0.14512069182332174</v>
          </cell>
          <cell r="X635">
            <v>0.14382837243984892</v>
          </cell>
          <cell r="Y635">
            <v>0.14215698666184853</v>
          </cell>
          <cell r="Z635">
            <v>0.1405039108235405</v>
          </cell>
          <cell r="AA635">
            <v>0.13886914492492788</v>
          </cell>
          <cell r="AB635">
            <v>0.13725268896600765</v>
          </cell>
          <cell r="AC635">
            <v>0.13565454294678206</v>
          </cell>
          <cell r="AD635">
            <v>0.13431974505280686</v>
          </cell>
          <cell r="AE635">
            <v>0.13300845431114133</v>
          </cell>
          <cell r="AF635">
            <v>0.13172067072178484</v>
          </cell>
          <cell r="AG635">
            <v>0.13045639428473768</v>
          </cell>
          <cell r="AH635">
            <v>0.12921562500000008</v>
          </cell>
        </row>
        <row r="636">
          <cell r="B636" t="str">
            <v>e-methane liquefied (PS) - Total emissions - WTT - GWP20 - Global - ton CO2eq/ton fuel</v>
          </cell>
          <cell r="G636">
            <v>0.15736501730326535</v>
          </cell>
          <cell r="H636">
            <v>0.15719946854850136</v>
          </cell>
          <cell r="I636">
            <v>0.1570053750000007</v>
          </cell>
          <cell r="J636">
            <v>0.15671666297390771</v>
          </cell>
          <cell r="K636">
            <v>0.15637982072570361</v>
          </cell>
          <cell r="L636">
            <v>0.15599484825538668</v>
          </cell>
          <cell r="M636">
            <v>0.15556174556296001</v>
          </cell>
          <cell r="N636">
            <v>0.15508051264841979</v>
          </cell>
          <cell r="O636">
            <v>0.15415089589107359</v>
          </cell>
          <cell r="P636">
            <v>0.15317483679032465</v>
          </cell>
          <cell r="Q636">
            <v>0.15215233534617062</v>
          </cell>
          <cell r="R636">
            <v>0.15108339155860914</v>
          </cell>
          <cell r="S636">
            <v>0.1499680054276443</v>
          </cell>
          <cell r="T636">
            <v>0.14880447161599755</v>
          </cell>
          <cell r="U636">
            <v>0.14760874141139352</v>
          </cell>
          <cell r="V636">
            <v>0.14638081481383716</v>
          </cell>
          <cell r="W636">
            <v>0.14512069182332174</v>
          </cell>
          <cell r="X636">
            <v>0.14382837243984892</v>
          </cell>
          <cell r="Y636">
            <v>0.14215698666184853</v>
          </cell>
          <cell r="Z636">
            <v>0.1405039108235405</v>
          </cell>
          <cell r="AA636">
            <v>0.13886914492492788</v>
          </cell>
          <cell r="AB636">
            <v>0.13725268896600765</v>
          </cell>
          <cell r="AC636">
            <v>0.13565454294678206</v>
          </cell>
          <cell r="AD636">
            <v>0.13431974505280686</v>
          </cell>
          <cell r="AE636">
            <v>0.13300845431114133</v>
          </cell>
          <cell r="AF636">
            <v>0.13172067072178484</v>
          </cell>
          <cell r="AG636">
            <v>0.13045639428473768</v>
          </cell>
          <cell r="AH636">
            <v>0.12921562500000008</v>
          </cell>
        </row>
        <row r="637">
          <cell r="B637" t="str">
            <v>General - Methane - GWP100 - Global - ton CO2eq/ton fuel</v>
          </cell>
          <cell r="G637">
            <v>29</v>
          </cell>
          <cell r="H637">
            <v>29</v>
          </cell>
          <cell r="I637">
            <v>29</v>
          </cell>
          <cell r="J637">
            <v>29</v>
          </cell>
          <cell r="K637">
            <v>29</v>
          </cell>
          <cell r="L637">
            <v>29</v>
          </cell>
          <cell r="M637">
            <v>29</v>
          </cell>
          <cell r="N637">
            <v>29</v>
          </cell>
          <cell r="O637">
            <v>29</v>
          </cell>
          <cell r="P637">
            <v>29</v>
          </cell>
          <cell r="Q637">
            <v>29</v>
          </cell>
          <cell r="R637">
            <v>29</v>
          </cell>
          <cell r="S637">
            <v>29</v>
          </cell>
          <cell r="T637">
            <v>29</v>
          </cell>
          <cell r="U637">
            <v>29</v>
          </cell>
          <cell r="V637">
            <v>29</v>
          </cell>
          <cell r="W637">
            <v>29</v>
          </cell>
          <cell r="X637">
            <v>29</v>
          </cell>
          <cell r="Y637">
            <v>29</v>
          </cell>
          <cell r="Z637">
            <v>29</v>
          </cell>
          <cell r="AA637">
            <v>29</v>
          </cell>
          <cell r="AB637">
            <v>29</v>
          </cell>
          <cell r="AC637">
            <v>29</v>
          </cell>
          <cell r="AD637">
            <v>29</v>
          </cell>
          <cell r="AE637">
            <v>29</v>
          </cell>
          <cell r="AF637">
            <v>29</v>
          </cell>
          <cell r="AG637">
            <v>29</v>
          </cell>
          <cell r="AH637">
            <v>29</v>
          </cell>
        </row>
        <row r="638">
          <cell r="B638" t="str">
            <v>General - Methane - GWP20 - Global - ton CO2eq/ton fuel</v>
          </cell>
          <cell r="G638">
            <v>85</v>
          </cell>
          <cell r="H638">
            <v>85</v>
          </cell>
          <cell r="I638">
            <v>85</v>
          </cell>
          <cell r="J638">
            <v>85</v>
          </cell>
          <cell r="K638">
            <v>85</v>
          </cell>
          <cell r="L638">
            <v>85</v>
          </cell>
          <cell r="M638">
            <v>85</v>
          </cell>
          <cell r="N638">
            <v>85</v>
          </cell>
          <cell r="O638">
            <v>85</v>
          </cell>
          <cell r="P638">
            <v>85</v>
          </cell>
          <cell r="Q638">
            <v>85</v>
          </cell>
          <cell r="R638">
            <v>85</v>
          </cell>
          <cell r="S638">
            <v>85</v>
          </cell>
          <cell r="T638">
            <v>85</v>
          </cell>
          <cell r="U638">
            <v>85</v>
          </cell>
          <cell r="V638">
            <v>85</v>
          </cell>
          <cell r="W638">
            <v>85</v>
          </cell>
          <cell r="X638">
            <v>85</v>
          </cell>
          <cell r="Y638">
            <v>85</v>
          </cell>
          <cell r="Z638">
            <v>85</v>
          </cell>
          <cell r="AA638">
            <v>85</v>
          </cell>
          <cell r="AB638">
            <v>85</v>
          </cell>
          <cell r="AC638">
            <v>85</v>
          </cell>
          <cell r="AD638">
            <v>85</v>
          </cell>
          <cell r="AE638">
            <v>85</v>
          </cell>
          <cell r="AF638">
            <v>85</v>
          </cell>
          <cell r="AG638">
            <v>85</v>
          </cell>
          <cell r="AH638">
            <v>85</v>
          </cell>
        </row>
        <row r="639">
          <cell r="B639" t="str">
            <v>General - Nitrous oxide - GWP100 - Global - ton CO2eq/ton fuel</v>
          </cell>
          <cell r="G639">
            <v>266</v>
          </cell>
          <cell r="H639">
            <v>266</v>
          </cell>
          <cell r="I639">
            <v>266</v>
          </cell>
          <cell r="J639">
            <v>266</v>
          </cell>
          <cell r="K639">
            <v>266</v>
          </cell>
          <cell r="L639">
            <v>266</v>
          </cell>
          <cell r="M639">
            <v>266</v>
          </cell>
          <cell r="N639">
            <v>266</v>
          </cell>
          <cell r="O639">
            <v>266</v>
          </cell>
          <cell r="P639">
            <v>266</v>
          </cell>
          <cell r="Q639">
            <v>266</v>
          </cell>
          <cell r="R639">
            <v>266</v>
          </cell>
          <cell r="S639">
            <v>266</v>
          </cell>
          <cell r="T639">
            <v>266</v>
          </cell>
          <cell r="U639">
            <v>266</v>
          </cell>
          <cell r="V639">
            <v>266</v>
          </cell>
          <cell r="W639">
            <v>266</v>
          </cell>
          <cell r="X639">
            <v>266</v>
          </cell>
          <cell r="Y639">
            <v>266</v>
          </cell>
          <cell r="Z639">
            <v>266</v>
          </cell>
          <cell r="AA639">
            <v>266</v>
          </cell>
          <cell r="AB639">
            <v>266</v>
          </cell>
          <cell r="AC639">
            <v>266</v>
          </cell>
          <cell r="AD639">
            <v>266</v>
          </cell>
          <cell r="AE639">
            <v>266</v>
          </cell>
          <cell r="AF639">
            <v>266</v>
          </cell>
          <cell r="AG639">
            <v>266</v>
          </cell>
          <cell r="AH639">
            <v>266</v>
          </cell>
        </row>
        <row r="640">
          <cell r="B640" t="str">
            <v>General - Nitrous oxide - GWP20 - Global - ton CO2eq/ton fuel</v>
          </cell>
          <cell r="G640">
            <v>251</v>
          </cell>
          <cell r="H640">
            <v>251</v>
          </cell>
          <cell r="I640">
            <v>251</v>
          </cell>
          <cell r="J640">
            <v>251</v>
          </cell>
          <cell r="K640">
            <v>251</v>
          </cell>
          <cell r="L640">
            <v>251</v>
          </cell>
          <cell r="M640">
            <v>251</v>
          </cell>
          <cell r="N640">
            <v>251</v>
          </cell>
          <cell r="O640">
            <v>251</v>
          </cell>
          <cell r="P640">
            <v>251</v>
          </cell>
          <cell r="Q640">
            <v>251</v>
          </cell>
          <cell r="R640">
            <v>251</v>
          </cell>
          <cell r="S640">
            <v>251</v>
          </cell>
          <cell r="T640">
            <v>251</v>
          </cell>
          <cell r="U640">
            <v>251</v>
          </cell>
          <cell r="V640">
            <v>251</v>
          </cell>
          <cell r="W640">
            <v>251</v>
          </cell>
          <cell r="X640">
            <v>251</v>
          </cell>
          <cell r="Y640">
            <v>251</v>
          </cell>
          <cell r="Z640">
            <v>251</v>
          </cell>
          <cell r="AA640">
            <v>251</v>
          </cell>
          <cell r="AB640">
            <v>251</v>
          </cell>
          <cell r="AC640">
            <v>251</v>
          </cell>
          <cell r="AD640">
            <v>251</v>
          </cell>
          <cell r="AE640">
            <v>251</v>
          </cell>
          <cell r="AF640">
            <v>251</v>
          </cell>
          <cell r="AG640">
            <v>251</v>
          </cell>
          <cell r="AH640">
            <v>251</v>
          </cell>
        </row>
        <row r="641">
          <cell r="B641" t="str">
            <v/>
          </cell>
        </row>
        <row r="642">
          <cell r="B642" t="str">
            <v>e-methane liquefied (PS) - Total emissions - WTW - Global - ton CO2/ton fuel</v>
          </cell>
          <cell r="G642">
            <v>0.15736501730326535</v>
          </cell>
          <cell r="H642">
            <v>0.15719946854850136</v>
          </cell>
          <cell r="I642">
            <v>0.1570053750000007</v>
          </cell>
          <cell r="J642">
            <v>0.15671666297390771</v>
          </cell>
          <cell r="K642">
            <v>0.15637982072570361</v>
          </cell>
          <cell r="L642">
            <v>0.15599484825538668</v>
          </cell>
          <cell r="M642">
            <v>0.15556174556296001</v>
          </cell>
          <cell r="N642">
            <v>0.15508051264841979</v>
          </cell>
          <cell r="O642">
            <v>0.15415089589107359</v>
          </cell>
          <cell r="P642">
            <v>0.15317483679032465</v>
          </cell>
          <cell r="Q642">
            <v>0.15215233534617062</v>
          </cell>
          <cell r="R642">
            <v>0.15108339155860914</v>
          </cell>
          <cell r="S642">
            <v>0.1499680054276443</v>
          </cell>
          <cell r="T642">
            <v>0.14880447161599755</v>
          </cell>
          <cell r="U642">
            <v>0.14760874141139352</v>
          </cell>
          <cell r="V642">
            <v>0.14638081481383716</v>
          </cell>
          <cell r="W642">
            <v>0.14512069182332174</v>
          </cell>
          <cell r="X642">
            <v>0.14382837243984892</v>
          </cell>
          <cell r="Y642">
            <v>0.14215698666184853</v>
          </cell>
          <cell r="Z642">
            <v>0.1405039108235405</v>
          </cell>
          <cell r="AA642">
            <v>0.13886914492492788</v>
          </cell>
          <cell r="AB642">
            <v>0.13725268896600765</v>
          </cell>
          <cell r="AC642">
            <v>0.13565454294678206</v>
          </cell>
          <cell r="AD642">
            <v>0.13431974505280686</v>
          </cell>
          <cell r="AE642">
            <v>0.13300845431114133</v>
          </cell>
          <cell r="AF642">
            <v>0.13172067072178484</v>
          </cell>
          <cell r="AG642">
            <v>0.13045639428473768</v>
          </cell>
          <cell r="AH642">
            <v>0.12921562500000008</v>
          </cell>
        </row>
        <row r="643">
          <cell r="B643" t="str">
            <v>e-methane liquefied (PS) - Total emissions - WTW - Global - ton CH4/ton fuel</v>
          </cell>
          <cell r="G643">
            <v>2.4E-2</v>
          </cell>
          <cell r="H643">
            <v>2.1999999999999999E-2</v>
          </cell>
          <cell r="I643">
            <v>0.02</v>
          </cell>
          <cell r="J643">
            <v>1.7999999999999999E-2</v>
          </cell>
          <cell r="K643">
            <v>1.6E-2</v>
          </cell>
          <cell r="L643">
            <v>1.4E-2</v>
          </cell>
          <cell r="M643">
            <v>1.2E-2</v>
          </cell>
          <cell r="N643">
            <v>0.01</v>
          </cell>
          <cell r="O643">
            <v>0.01</v>
          </cell>
          <cell r="P643">
            <v>0.01</v>
          </cell>
          <cell r="Q643">
            <v>0.01</v>
          </cell>
          <cell r="R643">
            <v>0.01</v>
          </cell>
          <cell r="S643">
            <v>0.01</v>
          </cell>
          <cell r="T643">
            <v>0.01</v>
          </cell>
          <cell r="U643">
            <v>0.01</v>
          </cell>
          <cell r="V643">
            <v>0.01</v>
          </cell>
          <cell r="W643">
            <v>0.01</v>
          </cell>
          <cell r="X643">
            <v>0.01</v>
          </cell>
          <cell r="Y643">
            <v>0.01</v>
          </cell>
          <cell r="Z643">
            <v>0.01</v>
          </cell>
          <cell r="AA643">
            <v>0.01</v>
          </cell>
          <cell r="AB643">
            <v>0.01</v>
          </cell>
          <cell r="AC643">
            <v>0.01</v>
          </cell>
          <cell r="AD643">
            <v>0.01</v>
          </cell>
          <cell r="AE643">
            <v>0.01</v>
          </cell>
          <cell r="AF643">
            <v>0.01</v>
          </cell>
          <cell r="AG643">
            <v>0.01</v>
          </cell>
          <cell r="AH643">
            <v>0.01</v>
          </cell>
        </row>
        <row r="644">
          <cell r="B644" t="str">
            <v>e-methane liquefied (PS) - Total emissions - WTW - Global - ton N2O/ton fuel</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row>
        <row r="645">
          <cell r="B645" t="str">
            <v/>
          </cell>
        </row>
        <row r="646">
          <cell r="B646" t="str">
            <v>e-methane liquefied (PS) - Total emissions - TTW - Global - ton CO2/ton fuel</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row>
        <row r="647">
          <cell r="B647" t="str">
            <v>e-methane liquefied (PS) - Total emissions - TTW - Global - ton CH4/ton fuel</v>
          </cell>
          <cell r="G647">
            <v>2.4E-2</v>
          </cell>
          <cell r="H647">
            <v>2.1999999999999999E-2</v>
          </cell>
          <cell r="I647">
            <v>0.02</v>
          </cell>
          <cell r="J647">
            <v>1.7999999999999999E-2</v>
          </cell>
          <cell r="K647">
            <v>1.6E-2</v>
          </cell>
          <cell r="L647">
            <v>1.4E-2</v>
          </cell>
          <cell r="M647">
            <v>1.2E-2</v>
          </cell>
          <cell r="N647">
            <v>0.01</v>
          </cell>
          <cell r="O647">
            <v>0.01</v>
          </cell>
          <cell r="P647">
            <v>0.01</v>
          </cell>
          <cell r="Q647">
            <v>0.01</v>
          </cell>
          <cell r="R647">
            <v>0.01</v>
          </cell>
          <cell r="S647">
            <v>0.01</v>
          </cell>
          <cell r="T647">
            <v>0.01</v>
          </cell>
          <cell r="U647">
            <v>0.01</v>
          </cell>
          <cell r="V647">
            <v>0.01</v>
          </cell>
          <cell r="W647">
            <v>0.01</v>
          </cell>
          <cell r="X647">
            <v>0.01</v>
          </cell>
          <cell r="Y647">
            <v>0.01</v>
          </cell>
          <cell r="Z647">
            <v>0.01</v>
          </cell>
          <cell r="AA647">
            <v>0.01</v>
          </cell>
          <cell r="AB647">
            <v>0.01</v>
          </cell>
          <cell r="AC647">
            <v>0.01</v>
          </cell>
          <cell r="AD647">
            <v>0.01</v>
          </cell>
          <cell r="AE647">
            <v>0.01</v>
          </cell>
          <cell r="AF647">
            <v>0.01</v>
          </cell>
          <cell r="AG647">
            <v>0.01</v>
          </cell>
          <cell r="AH647">
            <v>0.01</v>
          </cell>
        </row>
        <row r="648">
          <cell r="B648" t="str">
            <v>e-methane liquefied (PS) - Total emissions - TTW - Global - ton N2O/ton fuel</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row>
        <row r="649">
          <cell r="B649" t="str">
            <v>e-methane (liquefied) - TTW emissions (carbon dioxide) - Global - ton CO2/ton fuel</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row>
        <row r="650">
          <cell r="B650" t="str">
            <v>e-methane (liquefied) - TTW emissions (methane) - Global - ton CH4/ton fuel</v>
          </cell>
          <cell r="G650">
            <v>2.4E-2</v>
          </cell>
          <cell r="H650">
            <v>2.1999999999999999E-2</v>
          </cell>
          <cell r="I650">
            <v>0.02</v>
          </cell>
          <cell r="J650">
            <v>1.7999999999999999E-2</v>
          </cell>
          <cell r="K650">
            <v>1.6E-2</v>
          </cell>
          <cell r="L650">
            <v>1.4E-2</v>
          </cell>
          <cell r="M650">
            <v>1.2E-2</v>
          </cell>
          <cell r="N650">
            <v>0.01</v>
          </cell>
          <cell r="O650">
            <v>0.01</v>
          </cell>
          <cell r="P650">
            <v>0.01</v>
          </cell>
          <cell r="Q650">
            <v>0.01</v>
          </cell>
          <cell r="R650">
            <v>0.01</v>
          </cell>
          <cell r="S650">
            <v>0.01</v>
          </cell>
          <cell r="T650">
            <v>0.01</v>
          </cell>
          <cell r="U650">
            <v>0.01</v>
          </cell>
          <cell r="V650">
            <v>0.01</v>
          </cell>
          <cell r="W650">
            <v>0.01</v>
          </cell>
          <cell r="X650">
            <v>0.01</v>
          </cell>
          <cell r="Y650">
            <v>0.01</v>
          </cell>
          <cell r="Z650">
            <v>0.01</v>
          </cell>
          <cell r="AA650">
            <v>0.01</v>
          </cell>
          <cell r="AB650">
            <v>0.01</v>
          </cell>
          <cell r="AC650">
            <v>0.01</v>
          </cell>
          <cell r="AD650">
            <v>0.01</v>
          </cell>
          <cell r="AE650">
            <v>0.01</v>
          </cell>
          <cell r="AF650">
            <v>0.01</v>
          </cell>
          <cell r="AG650">
            <v>0.01</v>
          </cell>
          <cell r="AH650">
            <v>0.01</v>
          </cell>
        </row>
        <row r="651">
          <cell r="B651" t="str">
            <v>e-methane (liquefied) - TTW emissions (nitrous oxide) - Global - ton N2O/ton fuel</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row>
        <row r="652">
          <cell r="B652" t="str">
            <v/>
          </cell>
        </row>
        <row r="653">
          <cell r="B653" t="str">
            <v>e-methane liquefied (PS) - Total emissions - WTT - Global - ton CO2eq/ton fuel</v>
          </cell>
          <cell r="G653">
            <v>0.15736501730326535</v>
          </cell>
          <cell r="H653">
            <v>0.15719946854850136</v>
          </cell>
          <cell r="I653">
            <v>0.1570053750000007</v>
          </cell>
          <cell r="J653">
            <v>0.15671666297390771</v>
          </cell>
          <cell r="K653">
            <v>0.15637982072570361</v>
          </cell>
          <cell r="L653">
            <v>0.15599484825538668</v>
          </cell>
          <cell r="M653">
            <v>0.15556174556296001</v>
          </cell>
          <cell r="N653">
            <v>0.15508051264841979</v>
          </cell>
          <cell r="O653">
            <v>0.15415089589107359</v>
          </cell>
          <cell r="P653">
            <v>0.15317483679032465</v>
          </cell>
          <cell r="Q653">
            <v>0.15215233534617062</v>
          </cell>
          <cell r="R653">
            <v>0.15108339155860914</v>
          </cell>
          <cell r="S653">
            <v>0.1499680054276443</v>
          </cell>
          <cell r="T653">
            <v>0.14880447161599755</v>
          </cell>
          <cell r="U653">
            <v>0.14760874141139352</v>
          </cell>
          <cell r="V653">
            <v>0.14638081481383716</v>
          </cell>
          <cell r="W653">
            <v>0.14512069182332174</v>
          </cell>
          <cell r="X653">
            <v>0.14382837243984892</v>
          </cell>
          <cell r="Y653">
            <v>0.14215698666184853</v>
          </cell>
          <cell r="Z653">
            <v>0.1405039108235405</v>
          </cell>
          <cell r="AA653">
            <v>0.13886914492492788</v>
          </cell>
          <cell r="AB653">
            <v>0.13725268896600765</v>
          </cell>
          <cell r="AC653">
            <v>0.13565454294678206</v>
          </cell>
          <cell r="AD653">
            <v>0.13431974505280686</v>
          </cell>
          <cell r="AE653">
            <v>0.13300845431114133</v>
          </cell>
          <cell r="AF653">
            <v>0.13172067072178484</v>
          </cell>
          <cell r="AG653">
            <v>0.13045639428473768</v>
          </cell>
          <cell r="AH653">
            <v>0.12921562500000008</v>
          </cell>
        </row>
        <row r="654">
          <cell r="B654" t="str">
            <v>e-methane liquefied (PS) - Total emissions - WTT - Global - ton CO2eq/ton fuel</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row>
        <row r="655">
          <cell r="B655" t="str">
            <v>e-methane liquefied (PS) - Total emissions - WTT - Global - ton CO2eq/ton fuel</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row>
        <row r="656">
          <cell r="B656" t="str">
            <v/>
          </cell>
        </row>
        <row r="657">
          <cell r="B657" t="str">
            <v>e-methane liquefied (PS) - Process-related emissions - WTT - Global - ton CO2/ton fuel</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row>
        <row r="658">
          <cell r="B658" t="str">
            <v>e-methane liquefied (PS) - Process-related emissions - WTT - Global - ton CH4/ton fuel</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row>
        <row r="659">
          <cell r="B659" t="str">
            <v>e-methane liquefied (PS) - Process-related emissions - WTT - Global - ton N2O/ton fuel</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row>
        <row r="660">
          <cell r="B660" t="str">
            <v>e-methane (liquefied) - Process WTT emissions (carbon dioxide) - Global - ton CO2/ton fuel</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row>
        <row r="661">
          <cell r="B661" t="str">
            <v>e-methane (liquefied) - Process WTT emissions (methane) - Global - ton CH4/ton fuel</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row>
        <row r="662">
          <cell r="B662" t="str">
            <v>e-methane (liquefied) - Process WTT emissions (nitrous oxide) - Global - ton N2O/ton fuel</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row>
        <row r="663">
          <cell r="B663" t="str">
            <v/>
          </cell>
        </row>
        <row r="664">
          <cell r="B664" t="str">
            <v>e-methane liquefied (PS) - Energy-related emissions - WTT - Global - ton CO2/ton fuel</v>
          </cell>
          <cell r="G664">
            <v>3.2219999999999996E-3</v>
          </cell>
          <cell r="H664">
            <v>3.2219999999999996E-3</v>
          </cell>
          <cell r="I664">
            <v>3.2219999999999996E-3</v>
          </cell>
          <cell r="J664">
            <v>3.2219999999999996E-3</v>
          </cell>
          <cell r="K664">
            <v>3.2219999999999996E-3</v>
          </cell>
          <cell r="L664">
            <v>3.2219999999999996E-3</v>
          </cell>
          <cell r="M664">
            <v>3.2219999999999996E-3</v>
          </cell>
          <cell r="N664">
            <v>3.2219999999999996E-3</v>
          </cell>
          <cell r="O664">
            <v>3.2219999999999996E-3</v>
          </cell>
          <cell r="P664">
            <v>3.2219999999999996E-3</v>
          </cell>
          <cell r="Q664">
            <v>3.2219999999999996E-3</v>
          </cell>
          <cell r="R664">
            <v>3.2219999999999996E-3</v>
          </cell>
          <cell r="S664">
            <v>3.2219999999999996E-3</v>
          </cell>
          <cell r="T664">
            <v>3.2219999999999996E-3</v>
          </cell>
          <cell r="U664">
            <v>3.2219999999999996E-3</v>
          </cell>
          <cell r="V664">
            <v>3.2219999999999996E-3</v>
          </cell>
          <cell r="W664">
            <v>3.2219999999999996E-3</v>
          </cell>
          <cell r="X664">
            <v>3.2219999999999996E-3</v>
          </cell>
          <cell r="Y664">
            <v>3.2219999999999996E-3</v>
          </cell>
          <cell r="Z664">
            <v>3.2219999999999996E-3</v>
          </cell>
          <cell r="AA664">
            <v>3.2219999999999996E-3</v>
          </cell>
          <cell r="AB664">
            <v>3.2219999999999996E-3</v>
          </cell>
          <cell r="AC664">
            <v>3.2219999999999996E-3</v>
          </cell>
          <cell r="AD664">
            <v>3.2219999999999996E-3</v>
          </cell>
          <cell r="AE664">
            <v>3.2219999999999996E-3</v>
          </cell>
          <cell r="AF664">
            <v>3.2219999999999996E-3</v>
          </cell>
          <cell r="AG664">
            <v>3.2219999999999996E-3</v>
          </cell>
          <cell r="AH664">
            <v>3.2219999999999996E-3</v>
          </cell>
        </row>
        <row r="665">
          <cell r="B665" t="str">
            <v>e-methane liquefied (PS) - Energy-related emissions - WTT - Global - ton CH4/ton fuel</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row>
        <row r="666">
          <cell r="B666" t="str">
            <v>e-methane liquefied (PS) - Energy-related emissions - WTT - Global - ton N2O/ton fuel</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row>
        <row r="667">
          <cell r="B667" t="str">
            <v>Renewable electricity - Feedstock WTT emissions (carbon dioxide) - Global - ton CO2/MWh</v>
          </cell>
          <cell r="G667">
            <v>5.3699999999999998E-3</v>
          </cell>
          <cell r="H667">
            <v>5.3699999999999998E-3</v>
          </cell>
          <cell r="I667">
            <v>5.3699999999999998E-3</v>
          </cell>
          <cell r="J667">
            <v>5.3699999999999998E-3</v>
          </cell>
          <cell r="K667">
            <v>5.3699999999999998E-3</v>
          </cell>
          <cell r="L667">
            <v>5.3699999999999998E-3</v>
          </cell>
          <cell r="M667">
            <v>5.3699999999999998E-3</v>
          </cell>
          <cell r="N667">
            <v>5.3699999999999998E-3</v>
          </cell>
          <cell r="O667">
            <v>5.3699999999999998E-3</v>
          </cell>
          <cell r="P667">
            <v>5.3699999999999998E-3</v>
          </cell>
          <cell r="Q667">
            <v>5.3699999999999998E-3</v>
          </cell>
          <cell r="R667">
            <v>5.3699999999999998E-3</v>
          </cell>
          <cell r="S667">
            <v>5.3699999999999998E-3</v>
          </cell>
          <cell r="T667">
            <v>5.3699999999999998E-3</v>
          </cell>
          <cell r="U667">
            <v>5.3699999999999998E-3</v>
          </cell>
          <cell r="V667">
            <v>5.3699999999999998E-3</v>
          </cell>
          <cell r="W667">
            <v>5.3699999999999998E-3</v>
          </cell>
          <cell r="X667">
            <v>5.3699999999999998E-3</v>
          </cell>
          <cell r="Y667">
            <v>5.3699999999999998E-3</v>
          </cell>
          <cell r="Z667">
            <v>5.3699999999999998E-3</v>
          </cell>
          <cell r="AA667">
            <v>5.3699999999999998E-3</v>
          </cell>
          <cell r="AB667">
            <v>5.3699999999999998E-3</v>
          </cell>
          <cell r="AC667">
            <v>5.3699999999999998E-3</v>
          </cell>
          <cell r="AD667">
            <v>5.3699999999999998E-3</v>
          </cell>
          <cell r="AE667">
            <v>5.3699999999999998E-3</v>
          </cell>
          <cell r="AF667">
            <v>5.3699999999999998E-3</v>
          </cell>
          <cell r="AG667">
            <v>5.3699999999999998E-3</v>
          </cell>
          <cell r="AH667">
            <v>5.3699999999999998E-3</v>
          </cell>
        </row>
        <row r="668">
          <cell r="B668" t="str">
            <v>Renewable electricity - Feedstock WTT emissions (methane) - Global - ton CH4/MWh</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row>
        <row r="669">
          <cell r="B669" t="str">
            <v>Renewable electricity - Feedstock WTT emissions (nitrous oxide) - Global - ton N2O/MWh</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row>
        <row r="670">
          <cell r="B670" t="str">
            <v>e-methane (liquefied) - Energy demand - Liquefaction - Global - MWh/ton fuel</v>
          </cell>
          <cell r="G670">
            <v>0.6</v>
          </cell>
          <cell r="H670">
            <v>0.6</v>
          </cell>
          <cell r="I670">
            <v>0.6</v>
          </cell>
          <cell r="J670">
            <v>0.6</v>
          </cell>
          <cell r="K670">
            <v>0.6</v>
          </cell>
          <cell r="L670">
            <v>0.6</v>
          </cell>
          <cell r="M670">
            <v>0.6</v>
          </cell>
          <cell r="N670">
            <v>0.6</v>
          </cell>
          <cell r="O670">
            <v>0.6</v>
          </cell>
          <cell r="P670">
            <v>0.6</v>
          </cell>
          <cell r="Q670">
            <v>0.6</v>
          </cell>
          <cell r="R670">
            <v>0.6</v>
          </cell>
          <cell r="S670">
            <v>0.6</v>
          </cell>
          <cell r="T670">
            <v>0.6</v>
          </cell>
          <cell r="U670">
            <v>0.6</v>
          </cell>
          <cell r="V670">
            <v>0.6</v>
          </cell>
          <cell r="W670">
            <v>0.6</v>
          </cell>
          <cell r="X670">
            <v>0.6</v>
          </cell>
          <cell r="Y670">
            <v>0.6</v>
          </cell>
          <cell r="Z670">
            <v>0.6</v>
          </cell>
          <cell r="AA670">
            <v>0.6</v>
          </cell>
          <cell r="AB670">
            <v>0.6</v>
          </cell>
          <cell r="AC670">
            <v>0.6</v>
          </cell>
          <cell r="AD670">
            <v>0.6</v>
          </cell>
          <cell r="AE670">
            <v>0.6</v>
          </cell>
          <cell r="AF670">
            <v>0.6</v>
          </cell>
          <cell r="AG670">
            <v>0.6</v>
          </cell>
          <cell r="AH670">
            <v>0.6</v>
          </cell>
        </row>
        <row r="671">
          <cell r="B671" t="str">
            <v/>
          </cell>
        </row>
        <row r="672">
          <cell r="B672" t="str">
            <v>e-methane liquefied (PS) - Feedstock-related emissions - WTT - Global - ton CO2/ton fuel</v>
          </cell>
          <cell r="G672">
            <v>0.15414301730326535</v>
          </cell>
          <cell r="H672">
            <v>0.15397746854850136</v>
          </cell>
          <cell r="I672">
            <v>0.15378337500000069</v>
          </cell>
          <cell r="J672">
            <v>0.15349466297390771</v>
          </cell>
          <cell r="K672">
            <v>0.15315782072570361</v>
          </cell>
          <cell r="L672">
            <v>0.15277284825538667</v>
          </cell>
          <cell r="M672">
            <v>0.15233974556296001</v>
          </cell>
          <cell r="N672">
            <v>0.15185851264841979</v>
          </cell>
          <cell r="O672">
            <v>0.15092889589107358</v>
          </cell>
          <cell r="P672">
            <v>0.14995283679032465</v>
          </cell>
          <cell r="Q672">
            <v>0.14893033534617062</v>
          </cell>
          <cell r="R672">
            <v>0.14786139155860914</v>
          </cell>
          <cell r="S672">
            <v>0.14674600542764429</v>
          </cell>
          <cell r="T672">
            <v>0.14558247161599755</v>
          </cell>
          <cell r="U672">
            <v>0.14438674141139352</v>
          </cell>
          <cell r="V672">
            <v>0.14315881481383716</v>
          </cell>
          <cell r="W672">
            <v>0.14189869182332174</v>
          </cell>
          <cell r="X672">
            <v>0.14060637243984891</v>
          </cell>
          <cell r="Y672">
            <v>0.13893498666184853</v>
          </cell>
          <cell r="Z672">
            <v>0.13728191082354049</v>
          </cell>
          <cell r="AA672">
            <v>0.13564714492492788</v>
          </cell>
          <cell r="AB672">
            <v>0.13403068896600764</v>
          </cell>
          <cell r="AC672">
            <v>0.13243254294678206</v>
          </cell>
          <cell r="AD672">
            <v>0.13109774505280686</v>
          </cell>
          <cell r="AE672">
            <v>0.12978645431114133</v>
          </cell>
          <cell r="AF672">
            <v>0.12849867072178484</v>
          </cell>
          <cell r="AG672">
            <v>0.12723439428473768</v>
          </cell>
          <cell r="AH672">
            <v>0.12599362500000008</v>
          </cell>
        </row>
        <row r="673">
          <cell r="B673" t="str">
            <v>e-methane liquefied (PS) - Feedstock-related emissions - WTT - Global - ton CH4/ton fuel</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row>
        <row r="674">
          <cell r="B674" t="str">
            <v>e-methane liquefied (PS) - Feedstock-related emissions - WTT - Global - ton N2O/ton fuel</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row>
        <row r="675">
          <cell r="B675" t="str">
            <v>e-methane (PS) - Feedstock WTT emissions (carbon dioxide) - Global - ton CO2/ton CH4</v>
          </cell>
          <cell r="G675">
            <v>0.15414301730326535</v>
          </cell>
          <cell r="H675">
            <v>0.15397746854850136</v>
          </cell>
          <cell r="I675">
            <v>0.15378337500000069</v>
          </cell>
          <cell r="J675">
            <v>0.15349466297390771</v>
          </cell>
          <cell r="K675">
            <v>0.15315782072570361</v>
          </cell>
          <cell r="L675">
            <v>0.15277284825538667</v>
          </cell>
          <cell r="M675">
            <v>0.15233974556296001</v>
          </cell>
          <cell r="N675">
            <v>0.15185851264841979</v>
          </cell>
          <cell r="O675">
            <v>0.15092889589107358</v>
          </cell>
          <cell r="P675">
            <v>0.14995283679032465</v>
          </cell>
          <cell r="Q675">
            <v>0.14893033534617062</v>
          </cell>
          <cell r="R675">
            <v>0.14786139155860914</v>
          </cell>
          <cell r="S675">
            <v>0.14674600542764429</v>
          </cell>
          <cell r="T675">
            <v>0.14558247161599755</v>
          </cell>
          <cell r="U675">
            <v>0.14438674141139352</v>
          </cell>
          <cell r="V675">
            <v>0.14315881481383716</v>
          </cell>
          <cell r="W675">
            <v>0.14189869182332174</v>
          </cell>
          <cell r="X675">
            <v>0.14060637243984891</v>
          </cell>
          <cell r="Y675">
            <v>0.13893498666184853</v>
          </cell>
          <cell r="Z675">
            <v>0.13728191082354049</v>
          </cell>
          <cell r="AA675">
            <v>0.13564714492492788</v>
          </cell>
          <cell r="AB675">
            <v>0.13403068896600764</v>
          </cell>
          <cell r="AC675">
            <v>0.13243254294678206</v>
          </cell>
          <cell r="AD675">
            <v>0.13109774505280686</v>
          </cell>
          <cell r="AE675">
            <v>0.12978645431114133</v>
          </cell>
          <cell r="AF675">
            <v>0.12849867072178484</v>
          </cell>
          <cell r="AG675">
            <v>0.12723439428473768</v>
          </cell>
          <cell r="AH675">
            <v>0.12599362500000008</v>
          </cell>
        </row>
        <row r="676">
          <cell r="B676" t="str">
            <v>e-methane (PS) - Feedstock WTT emissions (methane) - Global - ton CH4/ton CH4</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row>
        <row r="677">
          <cell r="B677" t="str">
            <v>e-methane (PS) - Feedstock WTT emissions (nitrous oxide) - Global - ton N2O/ton CH4</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row>
        <row r="678">
          <cell r="B678" t="str">
            <v/>
          </cell>
        </row>
        <row r="679">
          <cell r="B679" t="str">
            <v>e-diesel (DAC) - Item - Region - Unit</v>
          </cell>
          <cell r="G679">
            <v>2023</v>
          </cell>
          <cell r="H679">
            <v>2024</v>
          </cell>
          <cell r="I679">
            <v>2025</v>
          </cell>
          <cell r="J679">
            <v>2026</v>
          </cell>
          <cell r="K679">
            <v>2027</v>
          </cell>
          <cell r="L679">
            <v>2028</v>
          </cell>
          <cell r="M679">
            <v>2029</v>
          </cell>
          <cell r="N679">
            <v>2030</v>
          </cell>
          <cell r="O679">
            <v>2031</v>
          </cell>
          <cell r="P679">
            <v>2032</v>
          </cell>
          <cell r="Q679">
            <v>2033</v>
          </cell>
          <cell r="R679">
            <v>2034</v>
          </cell>
          <cell r="S679">
            <v>2035</v>
          </cell>
          <cell r="T679">
            <v>2036</v>
          </cell>
          <cell r="U679">
            <v>2037</v>
          </cell>
          <cell r="V679">
            <v>2038</v>
          </cell>
          <cell r="W679">
            <v>2039</v>
          </cell>
          <cell r="X679">
            <v>2040</v>
          </cell>
          <cell r="Y679">
            <v>2041</v>
          </cell>
          <cell r="Z679">
            <v>2042</v>
          </cell>
          <cell r="AA679">
            <v>2043</v>
          </cell>
          <cell r="AB679">
            <v>2044</v>
          </cell>
          <cell r="AC679">
            <v>2045</v>
          </cell>
          <cell r="AD679">
            <v>2046</v>
          </cell>
          <cell r="AE679">
            <v>2047</v>
          </cell>
          <cell r="AF679">
            <v>2048</v>
          </cell>
          <cell r="AG679">
            <v>2049</v>
          </cell>
          <cell r="AH679">
            <v>2050</v>
          </cell>
        </row>
        <row r="680">
          <cell r="B680" t="str">
            <v/>
          </cell>
        </row>
        <row r="681">
          <cell r="B681" t="str">
            <v>e-diesel (DAC) - Total emissions - WTW - GWP100 - Global - ton CO2eq/ton fuel</v>
          </cell>
          <cell r="G681">
            <v>0.23779344549881376</v>
          </cell>
          <cell r="H681">
            <v>0.23692721880246342</v>
          </cell>
          <cell r="I681">
            <v>0.23603416000000083</v>
          </cell>
          <cell r="J681">
            <v>0.23509908173265823</v>
          </cell>
          <cell r="K681">
            <v>0.23411876105653118</v>
          </cell>
          <cell r="L681">
            <v>0.23309319797161804</v>
          </cell>
          <cell r="M681">
            <v>0.23202239247792178</v>
          </cell>
          <cell r="N681">
            <v>0.23090634457543874</v>
          </cell>
          <cell r="O681">
            <v>0.22941262833904583</v>
          </cell>
          <cell r="P681">
            <v>0.22787525629985456</v>
          </cell>
          <cell r="Q681">
            <v>0.22629422845786254</v>
          </cell>
          <cell r="R681">
            <v>0.22466954481306728</v>
          </cell>
          <cell r="S681">
            <v>0.22300120536547283</v>
          </cell>
          <cell r="T681">
            <v>0.22132851711395174</v>
          </cell>
          <cell r="U681">
            <v>0.21962556425305108</v>
          </cell>
          <cell r="V681">
            <v>0.21789234678277491</v>
          </cell>
          <cell r="W681">
            <v>0.21612886470311751</v>
          </cell>
          <cell r="X681">
            <v>0.21433511801408003</v>
          </cell>
          <cell r="Y681">
            <v>0.21222324958195304</v>
          </cell>
          <cell r="Z681">
            <v>0.21012859249313684</v>
          </cell>
          <cell r="AA681">
            <v>0.20805114674763434</v>
          </cell>
          <cell r="AB681">
            <v>0.20599091234544281</v>
          </cell>
          <cell r="AC681">
            <v>0.2039478892865641</v>
          </cell>
          <cell r="AD681">
            <v>0.20218808498290969</v>
          </cell>
          <cell r="AE681">
            <v>0.20045037740242627</v>
          </cell>
          <cell r="AF681">
            <v>0.19873476654511338</v>
          </cell>
          <cell r="AG681">
            <v>0.1970412524109712</v>
          </cell>
          <cell r="AH681">
            <v>0.19536983500000007</v>
          </cell>
        </row>
        <row r="682">
          <cell r="B682" t="str">
            <v>e-diesel (DAC) - Total emissions - WTW - GWP20 - Global - ton CO2eq/ton fuel</v>
          </cell>
          <cell r="G682">
            <v>0.23789344549881375</v>
          </cell>
          <cell r="H682">
            <v>0.23702721880246341</v>
          </cell>
          <cell r="I682">
            <v>0.23613416000000081</v>
          </cell>
          <cell r="J682">
            <v>0.23519908173265822</v>
          </cell>
          <cell r="K682">
            <v>0.23421876105653117</v>
          </cell>
          <cell r="L682">
            <v>0.23319319797161803</v>
          </cell>
          <cell r="M682">
            <v>0.23212239247792177</v>
          </cell>
          <cell r="N682">
            <v>0.23100634457543873</v>
          </cell>
          <cell r="O682">
            <v>0.22951262833904582</v>
          </cell>
          <cell r="P682">
            <v>0.22797525629985455</v>
          </cell>
          <cell r="Q682">
            <v>0.22639422845786253</v>
          </cell>
          <cell r="R682">
            <v>0.22476954481306727</v>
          </cell>
          <cell r="S682">
            <v>0.22310120536547282</v>
          </cell>
          <cell r="T682">
            <v>0.22142851711395173</v>
          </cell>
          <cell r="U682">
            <v>0.21972556425305106</v>
          </cell>
          <cell r="V682">
            <v>0.2179923467827749</v>
          </cell>
          <cell r="W682">
            <v>0.2162288647031175</v>
          </cell>
          <cell r="X682">
            <v>0.21443511801408002</v>
          </cell>
          <cell r="Y682">
            <v>0.21232324958195303</v>
          </cell>
          <cell r="Z682">
            <v>0.21022859249313683</v>
          </cell>
          <cell r="AA682">
            <v>0.20815114674763432</v>
          </cell>
          <cell r="AB682">
            <v>0.2060909123454428</v>
          </cell>
          <cell r="AC682">
            <v>0.20404788928656409</v>
          </cell>
          <cell r="AD682">
            <v>0.20228808498290968</v>
          </cell>
          <cell r="AE682">
            <v>0.20055037740242626</v>
          </cell>
          <cell r="AF682">
            <v>0.19883476654511337</v>
          </cell>
          <cell r="AG682">
            <v>0.19714125241097119</v>
          </cell>
          <cell r="AH682">
            <v>0.19546983500000006</v>
          </cell>
        </row>
        <row r="683">
          <cell r="B683" t="str">
            <v>e-diesel (DAC) - Total emissions - TTW - GWP100 - Global - ton CO2eq/ton fuel</v>
          </cell>
          <cell r="G683">
            <v>4.9330000000000006E-2</v>
          </cell>
          <cell r="H683">
            <v>4.9330000000000006E-2</v>
          </cell>
          <cell r="I683">
            <v>4.9330000000000006E-2</v>
          </cell>
          <cell r="J683">
            <v>4.9330000000000006E-2</v>
          </cell>
          <cell r="K683">
            <v>4.9330000000000006E-2</v>
          </cell>
          <cell r="L683">
            <v>4.9330000000000006E-2</v>
          </cell>
          <cell r="M683">
            <v>4.9330000000000006E-2</v>
          </cell>
          <cell r="N683">
            <v>4.9330000000000006E-2</v>
          </cell>
          <cell r="O683">
            <v>4.9330000000000006E-2</v>
          </cell>
          <cell r="P683">
            <v>4.9330000000000006E-2</v>
          </cell>
          <cell r="Q683">
            <v>4.9330000000000006E-2</v>
          </cell>
          <cell r="R683">
            <v>4.9330000000000006E-2</v>
          </cell>
          <cell r="S683">
            <v>4.9330000000000006E-2</v>
          </cell>
          <cell r="T683">
            <v>4.9330000000000006E-2</v>
          </cell>
          <cell r="U683">
            <v>4.9330000000000006E-2</v>
          </cell>
          <cell r="V683">
            <v>4.9330000000000006E-2</v>
          </cell>
          <cell r="W683">
            <v>4.9330000000000006E-2</v>
          </cell>
          <cell r="X683">
            <v>4.9330000000000006E-2</v>
          </cell>
          <cell r="Y683">
            <v>4.9330000000000006E-2</v>
          </cell>
          <cell r="Z683">
            <v>4.9330000000000006E-2</v>
          </cell>
          <cell r="AA683">
            <v>4.9330000000000006E-2</v>
          </cell>
          <cell r="AB683">
            <v>4.9330000000000006E-2</v>
          </cell>
          <cell r="AC683">
            <v>4.9330000000000006E-2</v>
          </cell>
          <cell r="AD683">
            <v>4.9330000000000006E-2</v>
          </cell>
          <cell r="AE683">
            <v>4.9330000000000006E-2</v>
          </cell>
          <cell r="AF683">
            <v>4.9330000000000006E-2</v>
          </cell>
          <cell r="AG683">
            <v>4.9330000000000006E-2</v>
          </cell>
          <cell r="AH683">
            <v>4.9330000000000006E-2</v>
          </cell>
        </row>
        <row r="684">
          <cell r="B684" t="str">
            <v>e-diesel (DAC) - Total emissions - TTW - GWP20 - Global - ton CO2eq/ton fuel</v>
          </cell>
          <cell r="G684">
            <v>4.9430000000000002E-2</v>
          </cell>
          <cell r="H684">
            <v>4.9430000000000002E-2</v>
          </cell>
          <cell r="I684">
            <v>4.9430000000000002E-2</v>
          </cell>
          <cell r="J684">
            <v>4.9430000000000002E-2</v>
          </cell>
          <cell r="K684">
            <v>4.9430000000000002E-2</v>
          </cell>
          <cell r="L684">
            <v>4.9430000000000002E-2</v>
          </cell>
          <cell r="M684">
            <v>4.9430000000000002E-2</v>
          </cell>
          <cell r="N684">
            <v>4.9430000000000002E-2</v>
          </cell>
          <cell r="O684">
            <v>4.9430000000000002E-2</v>
          </cell>
          <cell r="P684">
            <v>4.9430000000000002E-2</v>
          </cell>
          <cell r="Q684">
            <v>4.9430000000000002E-2</v>
          </cell>
          <cell r="R684">
            <v>4.9430000000000002E-2</v>
          </cell>
          <cell r="S684">
            <v>4.9430000000000002E-2</v>
          </cell>
          <cell r="T684">
            <v>4.9430000000000002E-2</v>
          </cell>
          <cell r="U684">
            <v>4.9430000000000002E-2</v>
          </cell>
          <cell r="V684">
            <v>4.9430000000000002E-2</v>
          </cell>
          <cell r="W684">
            <v>4.9430000000000002E-2</v>
          </cell>
          <cell r="X684">
            <v>4.9430000000000002E-2</v>
          </cell>
          <cell r="Y684">
            <v>4.9430000000000002E-2</v>
          </cell>
          <cell r="Z684">
            <v>4.9430000000000002E-2</v>
          </cell>
          <cell r="AA684">
            <v>4.9430000000000002E-2</v>
          </cell>
          <cell r="AB684">
            <v>4.9430000000000002E-2</v>
          </cell>
          <cell r="AC684">
            <v>4.9430000000000002E-2</v>
          </cell>
          <cell r="AD684">
            <v>4.9430000000000002E-2</v>
          </cell>
          <cell r="AE684">
            <v>4.9430000000000002E-2</v>
          </cell>
          <cell r="AF684">
            <v>4.9430000000000002E-2</v>
          </cell>
          <cell r="AG684">
            <v>4.9430000000000002E-2</v>
          </cell>
          <cell r="AH684">
            <v>4.9430000000000002E-2</v>
          </cell>
        </row>
        <row r="685">
          <cell r="B685" t="str">
            <v>e-diesel (DAC) - Total emissions - WTT - GWP100 - Global - ton CO2eq/ton fuel</v>
          </cell>
          <cell r="G685">
            <v>0.18846344549881375</v>
          </cell>
          <cell r="H685">
            <v>0.18759721880246341</v>
          </cell>
          <cell r="I685">
            <v>0.18670416000000081</v>
          </cell>
          <cell r="J685">
            <v>0.18576908173265821</v>
          </cell>
          <cell r="K685">
            <v>0.18478876105653116</v>
          </cell>
          <cell r="L685">
            <v>0.18376319797161803</v>
          </cell>
          <cell r="M685">
            <v>0.18269239247792177</v>
          </cell>
          <cell r="N685">
            <v>0.18157634457543873</v>
          </cell>
          <cell r="O685">
            <v>0.18008262833904581</v>
          </cell>
          <cell r="P685">
            <v>0.17854525629985454</v>
          </cell>
          <cell r="Q685">
            <v>0.17696422845786253</v>
          </cell>
          <cell r="R685">
            <v>0.17533954481306727</v>
          </cell>
          <cell r="S685">
            <v>0.17367120536547281</v>
          </cell>
          <cell r="T685">
            <v>0.17199851711395173</v>
          </cell>
          <cell r="U685">
            <v>0.17029556425305106</v>
          </cell>
          <cell r="V685">
            <v>0.1685623467827749</v>
          </cell>
          <cell r="W685">
            <v>0.1667988647031175</v>
          </cell>
          <cell r="X685">
            <v>0.16500511801408002</v>
          </cell>
          <cell r="Y685">
            <v>0.16289324958195303</v>
          </cell>
          <cell r="Z685">
            <v>0.16079859249313683</v>
          </cell>
          <cell r="AA685">
            <v>0.15872114674763432</v>
          </cell>
          <cell r="AB685">
            <v>0.1566609123454428</v>
          </cell>
          <cell r="AC685">
            <v>0.15461788928656409</v>
          </cell>
          <cell r="AD685">
            <v>0.15285808498290968</v>
          </cell>
          <cell r="AE685">
            <v>0.15112037740242626</v>
          </cell>
          <cell r="AF685">
            <v>0.14940476654511337</v>
          </cell>
          <cell r="AG685">
            <v>0.14771125241097119</v>
          </cell>
          <cell r="AH685">
            <v>0.14603983500000006</v>
          </cell>
        </row>
        <row r="686">
          <cell r="B686" t="str">
            <v>e-diesel (DAC) - Total emissions - WTT - GWP20 - Global - ton CO2eq/ton fuel</v>
          </cell>
          <cell r="G686">
            <v>0.18846344549881375</v>
          </cell>
          <cell r="H686">
            <v>0.18759721880246341</v>
          </cell>
          <cell r="I686">
            <v>0.18670416000000081</v>
          </cell>
          <cell r="J686">
            <v>0.18576908173265821</v>
          </cell>
          <cell r="K686">
            <v>0.18478876105653116</v>
          </cell>
          <cell r="L686">
            <v>0.18376319797161803</v>
          </cell>
          <cell r="M686">
            <v>0.18269239247792177</v>
          </cell>
          <cell r="N686">
            <v>0.18157634457543873</v>
          </cell>
          <cell r="O686">
            <v>0.18008262833904581</v>
          </cell>
          <cell r="P686">
            <v>0.17854525629985454</v>
          </cell>
          <cell r="Q686">
            <v>0.17696422845786253</v>
          </cell>
          <cell r="R686">
            <v>0.17533954481306727</v>
          </cell>
          <cell r="S686">
            <v>0.17367120536547281</v>
          </cell>
          <cell r="T686">
            <v>0.17199851711395173</v>
          </cell>
          <cell r="U686">
            <v>0.17029556425305106</v>
          </cell>
          <cell r="V686">
            <v>0.1685623467827749</v>
          </cell>
          <cell r="W686">
            <v>0.1667988647031175</v>
          </cell>
          <cell r="X686">
            <v>0.16500511801408002</v>
          </cell>
          <cell r="Y686">
            <v>0.16289324958195303</v>
          </cell>
          <cell r="Z686">
            <v>0.16079859249313683</v>
          </cell>
          <cell r="AA686">
            <v>0.15872114674763432</v>
          </cell>
          <cell r="AB686">
            <v>0.1566609123454428</v>
          </cell>
          <cell r="AC686">
            <v>0.15461788928656409</v>
          </cell>
          <cell r="AD686">
            <v>0.15285808498290968</v>
          </cell>
          <cell r="AE686">
            <v>0.15112037740242626</v>
          </cell>
          <cell r="AF686">
            <v>0.14940476654511337</v>
          </cell>
          <cell r="AG686">
            <v>0.14771125241097119</v>
          </cell>
          <cell r="AH686">
            <v>0.14603983500000006</v>
          </cell>
        </row>
        <row r="687">
          <cell r="B687" t="str">
            <v>General - Methane - GWP100 - Global - ton CO2eq/ton fuel</v>
          </cell>
          <cell r="G687">
            <v>29</v>
          </cell>
          <cell r="H687">
            <v>29</v>
          </cell>
          <cell r="I687">
            <v>29</v>
          </cell>
          <cell r="J687">
            <v>29</v>
          </cell>
          <cell r="K687">
            <v>29</v>
          </cell>
          <cell r="L687">
            <v>29</v>
          </cell>
          <cell r="M687">
            <v>29</v>
          </cell>
          <cell r="N687">
            <v>29</v>
          </cell>
          <cell r="O687">
            <v>29</v>
          </cell>
          <cell r="P687">
            <v>29</v>
          </cell>
          <cell r="Q687">
            <v>29</v>
          </cell>
          <cell r="R687">
            <v>29</v>
          </cell>
          <cell r="S687">
            <v>29</v>
          </cell>
          <cell r="T687">
            <v>29</v>
          </cell>
          <cell r="U687">
            <v>29</v>
          </cell>
          <cell r="V687">
            <v>29</v>
          </cell>
          <cell r="W687">
            <v>29</v>
          </cell>
          <cell r="X687">
            <v>29</v>
          </cell>
          <cell r="Y687">
            <v>29</v>
          </cell>
          <cell r="Z687">
            <v>29</v>
          </cell>
          <cell r="AA687">
            <v>29</v>
          </cell>
          <cell r="AB687">
            <v>29</v>
          </cell>
          <cell r="AC687">
            <v>29</v>
          </cell>
          <cell r="AD687">
            <v>29</v>
          </cell>
          <cell r="AE687">
            <v>29</v>
          </cell>
          <cell r="AF687">
            <v>29</v>
          </cell>
          <cell r="AG687">
            <v>29</v>
          </cell>
          <cell r="AH687">
            <v>29</v>
          </cell>
        </row>
        <row r="688">
          <cell r="B688" t="str">
            <v>General - Methane - GWP20 - Global - ton CO2eq/ton fuel</v>
          </cell>
          <cell r="G688">
            <v>85</v>
          </cell>
          <cell r="H688">
            <v>85</v>
          </cell>
          <cell r="I688">
            <v>85</v>
          </cell>
          <cell r="J688">
            <v>85</v>
          </cell>
          <cell r="K688">
            <v>85</v>
          </cell>
          <cell r="L688">
            <v>85</v>
          </cell>
          <cell r="M688">
            <v>85</v>
          </cell>
          <cell r="N688">
            <v>85</v>
          </cell>
          <cell r="O688">
            <v>85</v>
          </cell>
          <cell r="P688">
            <v>85</v>
          </cell>
          <cell r="Q688">
            <v>85</v>
          </cell>
          <cell r="R688">
            <v>85</v>
          </cell>
          <cell r="S688">
            <v>85</v>
          </cell>
          <cell r="T688">
            <v>85</v>
          </cell>
          <cell r="U688">
            <v>85</v>
          </cell>
          <cell r="V688">
            <v>85</v>
          </cell>
          <cell r="W688">
            <v>85</v>
          </cell>
          <cell r="X688">
            <v>85</v>
          </cell>
          <cell r="Y688">
            <v>85</v>
          </cell>
          <cell r="Z688">
            <v>85</v>
          </cell>
          <cell r="AA688">
            <v>85</v>
          </cell>
          <cell r="AB688">
            <v>85</v>
          </cell>
          <cell r="AC688">
            <v>85</v>
          </cell>
          <cell r="AD688">
            <v>85</v>
          </cell>
          <cell r="AE688">
            <v>85</v>
          </cell>
          <cell r="AF688">
            <v>85</v>
          </cell>
          <cell r="AG688">
            <v>85</v>
          </cell>
          <cell r="AH688">
            <v>85</v>
          </cell>
        </row>
        <row r="689">
          <cell r="B689" t="str">
            <v>General - Nitrous oxide - GWP100 - Global - ton CO2eq/ton fuel</v>
          </cell>
          <cell r="G689">
            <v>266</v>
          </cell>
          <cell r="H689">
            <v>266</v>
          </cell>
          <cell r="I689">
            <v>266</v>
          </cell>
          <cell r="J689">
            <v>266</v>
          </cell>
          <cell r="K689">
            <v>266</v>
          </cell>
          <cell r="L689">
            <v>266</v>
          </cell>
          <cell r="M689">
            <v>266</v>
          </cell>
          <cell r="N689">
            <v>266</v>
          </cell>
          <cell r="O689">
            <v>266</v>
          </cell>
          <cell r="P689">
            <v>266</v>
          </cell>
          <cell r="Q689">
            <v>266</v>
          </cell>
          <cell r="R689">
            <v>266</v>
          </cell>
          <cell r="S689">
            <v>266</v>
          </cell>
          <cell r="T689">
            <v>266</v>
          </cell>
          <cell r="U689">
            <v>266</v>
          </cell>
          <cell r="V689">
            <v>266</v>
          </cell>
          <cell r="W689">
            <v>266</v>
          </cell>
          <cell r="X689">
            <v>266</v>
          </cell>
          <cell r="Y689">
            <v>266</v>
          </cell>
          <cell r="Z689">
            <v>266</v>
          </cell>
          <cell r="AA689">
            <v>266</v>
          </cell>
          <cell r="AB689">
            <v>266</v>
          </cell>
          <cell r="AC689">
            <v>266</v>
          </cell>
          <cell r="AD689">
            <v>266</v>
          </cell>
          <cell r="AE689">
            <v>266</v>
          </cell>
          <cell r="AF689">
            <v>266</v>
          </cell>
          <cell r="AG689">
            <v>266</v>
          </cell>
          <cell r="AH689">
            <v>266</v>
          </cell>
        </row>
        <row r="690">
          <cell r="B690" t="str">
            <v>General - Nitrous oxide - GWP20 - Global - ton CO2eq/ton fuel</v>
          </cell>
          <cell r="G690">
            <v>251</v>
          </cell>
          <cell r="H690">
            <v>251</v>
          </cell>
          <cell r="I690">
            <v>251</v>
          </cell>
          <cell r="J690">
            <v>251</v>
          </cell>
          <cell r="K690">
            <v>251</v>
          </cell>
          <cell r="L690">
            <v>251</v>
          </cell>
          <cell r="M690">
            <v>251</v>
          </cell>
          <cell r="N690">
            <v>251</v>
          </cell>
          <cell r="O690">
            <v>251</v>
          </cell>
          <cell r="P690">
            <v>251</v>
          </cell>
          <cell r="Q690">
            <v>251</v>
          </cell>
          <cell r="R690">
            <v>251</v>
          </cell>
          <cell r="S690">
            <v>251</v>
          </cell>
          <cell r="T690">
            <v>251</v>
          </cell>
          <cell r="U690">
            <v>251</v>
          </cell>
          <cell r="V690">
            <v>251</v>
          </cell>
          <cell r="W690">
            <v>251</v>
          </cell>
          <cell r="X690">
            <v>251</v>
          </cell>
          <cell r="Y690">
            <v>251</v>
          </cell>
          <cell r="Z690">
            <v>251</v>
          </cell>
          <cell r="AA690">
            <v>251</v>
          </cell>
          <cell r="AB690">
            <v>251</v>
          </cell>
          <cell r="AC690">
            <v>251</v>
          </cell>
          <cell r="AD690">
            <v>251</v>
          </cell>
          <cell r="AE690">
            <v>251</v>
          </cell>
          <cell r="AF690">
            <v>251</v>
          </cell>
          <cell r="AG690">
            <v>251</v>
          </cell>
          <cell r="AH690">
            <v>251</v>
          </cell>
        </row>
        <row r="691">
          <cell r="B691" t="str">
            <v/>
          </cell>
        </row>
        <row r="692">
          <cell r="B692" t="str">
            <v>e-diesel (DAC) - Total emissions - WTW - Global - ton CO2/ton fuel</v>
          </cell>
          <cell r="G692">
            <v>0.18846344549881375</v>
          </cell>
          <cell r="H692">
            <v>0.18759721880246341</v>
          </cell>
          <cell r="I692">
            <v>0.18670416000000081</v>
          </cell>
          <cell r="J692">
            <v>0.18576908173265821</v>
          </cell>
          <cell r="K692">
            <v>0.18478876105653116</v>
          </cell>
          <cell r="L692">
            <v>0.18376319797161803</v>
          </cell>
          <cell r="M692">
            <v>0.18269239247792177</v>
          </cell>
          <cell r="N692">
            <v>0.18157634457543873</v>
          </cell>
          <cell r="O692">
            <v>0.18008262833904581</v>
          </cell>
          <cell r="P692">
            <v>0.17854525629985454</v>
          </cell>
          <cell r="Q692">
            <v>0.17696422845786253</v>
          </cell>
          <cell r="R692">
            <v>0.17533954481306727</v>
          </cell>
          <cell r="S692">
            <v>0.17367120536547281</v>
          </cell>
          <cell r="T692">
            <v>0.17199851711395173</v>
          </cell>
          <cell r="U692">
            <v>0.17029556425305106</v>
          </cell>
          <cell r="V692">
            <v>0.1685623467827749</v>
          </cell>
          <cell r="W692">
            <v>0.1667988647031175</v>
          </cell>
          <cell r="X692">
            <v>0.16500511801408002</v>
          </cell>
          <cell r="Y692">
            <v>0.16289324958195303</v>
          </cell>
          <cell r="Z692">
            <v>0.16079859249313683</v>
          </cell>
          <cell r="AA692">
            <v>0.15872114674763432</v>
          </cell>
          <cell r="AB692">
            <v>0.1566609123454428</v>
          </cell>
          <cell r="AC692">
            <v>0.15461788928656409</v>
          </cell>
          <cell r="AD692">
            <v>0.15285808498290968</v>
          </cell>
          <cell r="AE692">
            <v>0.15112037740242626</v>
          </cell>
          <cell r="AF692">
            <v>0.14940476654511337</v>
          </cell>
          <cell r="AG692">
            <v>0.14771125241097119</v>
          </cell>
          <cell r="AH692">
            <v>0.14603983500000006</v>
          </cell>
        </row>
        <row r="693">
          <cell r="B693" t="str">
            <v>e-diesel (DAC) - Total emissions - WTW - Global - ton CH4/ton fuel</v>
          </cell>
          <cell r="G693">
            <v>5.0000000000000002E-5</v>
          </cell>
          <cell r="H693">
            <v>5.0000000000000002E-5</v>
          </cell>
          <cell r="I693">
            <v>5.0000000000000002E-5</v>
          </cell>
          <cell r="J693">
            <v>5.0000000000000002E-5</v>
          </cell>
          <cell r="K693">
            <v>5.0000000000000002E-5</v>
          </cell>
          <cell r="L693">
            <v>5.0000000000000002E-5</v>
          </cell>
          <cell r="M693">
            <v>5.0000000000000002E-5</v>
          </cell>
          <cell r="N693">
            <v>5.0000000000000002E-5</v>
          </cell>
          <cell r="O693">
            <v>5.0000000000000002E-5</v>
          </cell>
          <cell r="P693">
            <v>5.0000000000000002E-5</v>
          </cell>
          <cell r="Q693">
            <v>5.0000000000000002E-5</v>
          </cell>
          <cell r="R693">
            <v>5.0000000000000002E-5</v>
          </cell>
          <cell r="S693">
            <v>5.0000000000000002E-5</v>
          </cell>
          <cell r="T693">
            <v>5.0000000000000002E-5</v>
          </cell>
          <cell r="U693">
            <v>5.0000000000000002E-5</v>
          </cell>
          <cell r="V693">
            <v>5.0000000000000002E-5</v>
          </cell>
          <cell r="W693">
            <v>5.0000000000000002E-5</v>
          </cell>
          <cell r="X693">
            <v>5.0000000000000002E-5</v>
          </cell>
          <cell r="Y693">
            <v>5.0000000000000002E-5</v>
          </cell>
          <cell r="Z693">
            <v>5.0000000000000002E-5</v>
          </cell>
          <cell r="AA693">
            <v>5.0000000000000002E-5</v>
          </cell>
          <cell r="AB693">
            <v>5.0000000000000002E-5</v>
          </cell>
          <cell r="AC693">
            <v>5.0000000000000002E-5</v>
          </cell>
          <cell r="AD693">
            <v>5.0000000000000002E-5</v>
          </cell>
          <cell r="AE693">
            <v>5.0000000000000002E-5</v>
          </cell>
          <cell r="AF693">
            <v>5.0000000000000002E-5</v>
          </cell>
          <cell r="AG693">
            <v>5.0000000000000002E-5</v>
          </cell>
          <cell r="AH693">
            <v>5.0000000000000002E-5</v>
          </cell>
        </row>
        <row r="694">
          <cell r="B694" t="str">
            <v>e-diesel (DAC) - Total emissions - WTW - Global - ton N2O/ton fuel</v>
          </cell>
          <cell r="G694">
            <v>1.8000000000000001E-4</v>
          </cell>
          <cell r="H694">
            <v>1.8000000000000001E-4</v>
          </cell>
          <cell r="I694">
            <v>1.8000000000000001E-4</v>
          </cell>
          <cell r="J694">
            <v>1.8000000000000001E-4</v>
          </cell>
          <cell r="K694">
            <v>1.8000000000000001E-4</v>
          </cell>
          <cell r="L694">
            <v>1.8000000000000001E-4</v>
          </cell>
          <cell r="M694">
            <v>1.8000000000000001E-4</v>
          </cell>
          <cell r="N694">
            <v>1.8000000000000001E-4</v>
          </cell>
          <cell r="O694">
            <v>1.8000000000000001E-4</v>
          </cell>
          <cell r="P694">
            <v>1.8000000000000001E-4</v>
          </cell>
          <cell r="Q694">
            <v>1.8000000000000001E-4</v>
          </cell>
          <cell r="R694">
            <v>1.8000000000000001E-4</v>
          </cell>
          <cell r="S694">
            <v>1.8000000000000001E-4</v>
          </cell>
          <cell r="T694">
            <v>1.8000000000000001E-4</v>
          </cell>
          <cell r="U694">
            <v>1.8000000000000001E-4</v>
          </cell>
          <cell r="V694">
            <v>1.8000000000000001E-4</v>
          </cell>
          <cell r="W694">
            <v>1.8000000000000001E-4</v>
          </cell>
          <cell r="X694">
            <v>1.8000000000000001E-4</v>
          </cell>
          <cell r="Y694">
            <v>1.8000000000000001E-4</v>
          </cell>
          <cell r="Z694">
            <v>1.8000000000000001E-4</v>
          </cell>
          <cell r="AA694">
            <v>1.8000000000000001E-4</v>
          </cell>
          <cell r="AB694">
            <v>1.8000000000000001E-4</v>
          </cell>
          <cell r="AC694">
            <v>1.8000000000000001E-4</v>
          </cell>
          <cell r="AD694">
            <v>1.8000000000000001E-4</v>
          </cell>
          <cell r="AE694">
            <v>1.8000000000000001E-4</v>
          </cell>
          <cell r="AF694">
            <v>1.8000000000000001E-4</v>
          </cell>
          <cell r="AG694">
            <v>1.8000000000000001E-4</v>
          </cell>
          <cell r="AH694">
            <v>1.8000000000000001E-4</v>
          </cell>
        </row>
        <row r="695">
          <cell r="B695" t="str">
            <v/>
          </cell>
        </row>
        <row r="696">
          <cell r="B696" t="str">
            <v>e-diesel (DAC) - Total emissions - TTW - Global - ton CO2/ton fuel</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row>
        <row r="697">
          <cell r="B697" t="str">
            <v>e-diesel (DAC) - Total emissions - TTW - Global - ton CH4/ton fuel</v>
          </cell>
          <cell r="G697">
            <v>5.0000000000000002E-5</v>
          </cell>
          <cell r="H697">
            <v>5.0000000000000002E-5</v>
          </cell>
          <cell r="I697">
            <v>5.0000000000000002E-5</v>
          </cell>
          <cell r="J697">
            <v>5.0000000000000002E-5</v>
          </cell>
          <cell r="K697">
            <v>5.0000000000000002E-5</v>
          </cell>
          <cell r="L697">
            <v>5.0000000000000002E-5</v>
          </cell>
          <cell r="M697">
            <v>5.0000000000000002E-5</v>
          </cell>
          <cell r="N697">
            <v>5.0000000000000002E-5</v>
          </cell>
          <cell r="O697">
            <v>5.0000000000000002E-5</v>
          </cell>
          <cell r="P697">
            <v>5.0000000000000002E-5</v>
          </cell>
          <cell r="Q697">
            <v>5.0000000000000002E-5</v>
          </cell>
          <cell r="R697">
            <v>5.0000000000000002E-5</v>
          </cell>
          <cell r="S697">
            <v>5.0000000000000002E-5</v>
          </cell>
          <cell r="T697">
            <v>5.0000000000000002E-5</v>
          </cell>
          <cell r="U697">
            <v>5.0000000000000002E-5</v>
          </cell>
          <cell r="V697">
            <v>5.0000000000000002E-5</v>
          </cell>
          <cell r="W697">
            <v>5.0000000000000002E-5</v>
          </cell>
          <cell r="X697">
            <v>5.0000000000000002E-5</v>
          </cell>
          <cell r="Y697">
            <v>5.0000000000000002E-5</v>
          </cell>
          <cell r="Z697">
            <v>5.0000000000000002E-5</v>
          </cell>
          <cell r="AA697">
            <v>5.0000000000000002E-5</v>
          </cell>
          <cell r="AB697">
            <v>5.0000000000000002E-5</v>
          </cell>
          <cell r="AC697">
            <v>5.0000000000000002E-5</v>
          </cell>
          <cell r="AD697">
            <v>5.0000000000000002E-5</v>
          </cell>
          <cell r="AE697">
            <v>5.0000000000000002E-5</v>
          </cell>
          <cell r="AF697">
            <v>5.0000000000000002E-5</v>
          </cell>
          <cell r="AG697">
            <v>5.0000000000000002E-5</v>
          </cell>
          <cell r="AH697">
            <v>5.0000000000000002E-5</v>
          </cell>
        </row>
        <row r="698">
          <cell r="B698" t="str">
            <v>e-diesel (DAC) - Total emissions - TTW - Global - ton N2O/ton fuel</v>
          </cell>
          <cell r="G698">
            <v>1.8000000000000001E-4</v>
          </cell>
          <cell r="H698">
            <v>1.8000000000000001E-4</v>
          </cell>
          <cell r="I698">
            <v>1.8000000000000001E-4</v>
          </cell>
          <cell r="J698">
            <v>1.8000000000000001E-4</v>
          </cell>
          <cell r="K698">
            <v>1.8000000000000001E-4</v>
          </cell>
          <cell r="L698">
            <v>1.8000000000000001E-4</v>
          </cell>
          <cell r="M698">
            <v>1.8000000000000001E-4</v>
          </cell>
          <cell r="N698">
            <v>1.8000000000000001E-4</v>
          </cell>
          <cell r="O698">
            <v>1.8000000000000001E-4</v>
          </cell>
          <cell r="P698">
            <v>1.8000000000000001E-4</v>
          </cell>
          <cell r="Q698">
            <v>1.8000000000000001E-4</v>
          </cell>
          <cell r="R698">
            <v>1.8000000000000001E-4</v>
          </cell>
          <cell r="S698">
            <v>1.8000000000000001E-4</v>
          </cell>
          <cell r="T698">
            <v>1.8000000000000001E-4</v>
          </cell>
          <cell r="U698">
            <v>1.8000000000000001E-4</v>
          </cell>
          <cell r="V698">
            <v>1.8000000000000001E-4</v>
          </cell>
          <cell r="W698">
            <v>1.8000000000000001E-4</v>
          </cell>
          <cell r="X698">
            <v>1.8000000000000001E-4</v>
          </cell>
          <cell r="Y698">
            <v>1.8000000000000001E-4</v>
          </cell>
          <cell r="Z698">
            <v>1.8000000000000001E-4</v>
          </cell>
          <cell r="AA698">
            <v>1.8000000000000001E-4</v>
          </cell>
          <cell r="AB698">
            <v>1.8000000000000001E-4</v>
          </cell>
          <cell r="AC698">
            <v>1.8000000000000001E-4</v>
          </cell>
          <cell r="AD698">
            <v>1.8000000000000001E-4</v>
          </cell>
          <cell r="AE698">
            <v>1.8000000000000001E-4</v>
          </cell>
          <cell r="AF698">
            <v>1.8000000000000001E-4</v>
          </cell>
          <cell r="AG698">
            <v>1.8000000000000001E-4</v>
          </cell>
          <cell r="AH698">
            <v>1.8000000000000001E-4</v>
          </cell>
        </row>
        <row r="699">
          <cell r="B699" t="str">
            <v>e-diesel - TTW emissions (carbon dioxide) - Global - ton CO2/ton fuel</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row>
        <row r="700">
          <cell r="B700" t="str">
            <v>e-diesel - TTW emissions (methane) - Global - ton CH4/ton fuel</v>
          </cell>
          <cell r="G700">
            <v>5.0000000000000002E-5</v>
          </cell>
          <cell r="H700">
            <v>5.0000000000000002E-5</v>
          </cell>
          <cell r="I700">
            <v>5.0000000000000002E-5</v>
          </cell>
          <cell r="J700">
            <v>5.0000000000000002E-5</v>
          </cell>
          <cell r="K700">
            <v>5.0000000000000002E-5</v>
          </cell>
          <cell r="L700">
            <v>5.0000000000000002E-5</v>
          </cell>
          <cell r="M700">
            <v>5.0000000000000002E-5</v>
          </cell>
          <cell r="N700">
            <v>5.0000000000000002E-5</v>
          </cell>
          <cell r="O700">
            <v>5.0000000000000002E-5</v>
          </cell>
          <cell r="P700">
            <v>5.0000000000000002E-5</v>
          </cell>
          <cell r="Q700">
            <v>5.0000000000000002E-5</v>
          </cell>
          <cell r="R700">
            <v>5.0000000000000002E-5</v>
          </cell>
          <cell r="S700">
            <v>5.0000000000000002E-5</v>
          </cell>
          <cell r="T700">
            <v>5.0000000000000002E-5</v>
          </cell>
          <cell r="U700">
            <v>5.0000000000000002E-5</v>
          </cell>
          <cell r="V700">
            <v>5.0000000000000002E-5</v>
          </cell>
          <cell r="W700">
            <v>5.0000000000000002E-5</v>
          </cell>
          <cell r="X700">
            <v>5.0000000000000002E-5</v>
          </cell>
          <cell r="Y700">
            <v>5.0000000000000002E-5</v>
          </cell>
          <cell r="Z700">
            <v>5.0000000000000002E-5</v>
          </cell>
          <cell r="AA700">
            <v>5.0000000000000002E-5</v>
          </cell>
          <cell r="AB700">
            <v>5.0000000000000002E-5</v>
          </cell>
          <cell r="AC700">
            <v>5.0000000000000002E-5</v>
          </cell>
          <cell r="AD700">
            <v>5.0000000000000002E-5</v>
          </cell>
          <cell r="AE700">
            <v>5.0000000000000002E-5</v>
          </cell>
          <cell r="AF700">
            <v>5.0000000000000002E-5</v>
          </cell>
          <cell r="AG700">
            <v>5.0000000000000002E-5</v>
          </cell>
          <cell r="AH700">
            <v>5.0000000000000002E-5</v>
          </cell>
        </row>
        <row r="701">
          <cell r="B701" t="str">
            <v>e-diesel - TTW emissions (nitrous oxide) - Global - ton N2O/ton fuel</v>
          </cell>
          <cell r="G701">
            <v>1.8000000000000001E-4</v>
          </cell>
          <cell r="H701">
            <v>1.8000000000000001E-4</v>
          </cell>
          <cell r="I701">
            <v>1.8000000000000001E-4</v>
          </cell>
          <cell r="J701">
            <v>1.8000000000000001E-4</v>
          </cell>
          <cell r="K701">
            <v>1.8000000000000001E-4</v>
          </cell>
          <cell r="L701">
            <v>1.8000000000000001E-4</v>
          </cell>
          <cell r="M701">
            <v>1.8000000000000001E-4</v>
          </cell>
          <cell r="N701">
            <v>1.8000000000000001E-4</v>
          </cell>
          <cell r="O701">
            <v>1.8000000000000001E-4</v>
          </cell>
          <cell r="P701">
            <v>1.8000000000000001E-4</v>
          </cell>
          <cell r="Q701">
            <v>1.8000000000000001E-4</v>
          </cell>
          <cell r="R701">
            <v>1.8000000000000001E-4</v>
          </cell>
          <cell r="S701">
            <v>1.8000000000000001E-4</v>
          </cell>
          <cell r="T701">
            <v>1.8000000000000001E-4</v>
          </cell>
          <cell r="U701">
            <v>1.8000000000000001E-4</v>
          </cell>
          <cell r="V701">
            <v>1.8000000000000001E-4</v>
          </cell>
          <cell r="W701">
            <v>1.8000000000000001E-4</v>
          </cell>
          <cell r="X701">
            <v>1.8000000000000001E-4</v>
          </cell>
          <cell r="Y701">
            <v>1.8000000000000001E-4</v>
          </cell>
          <cell r="Z701">
            <v>1.8000000000000001E-4</v>
          </cell>
          <cell r="AA701">
            <v>1.8000000000000001E-4</v>
          </cell>
          <cell r="AB701">
            <v>1.8000000000000001E-4</v>
          </cell>
          <cell r="AC701">
            <v>1.8000000000000001E-4</v>
          </cell>
          <cell r="AD701">
            <v>1.8000000000000001E-4</v>
          </cell>
          <cell r="AE701">
            <v>1.8000000000000001E-4</v>
          </cell>
          <cell r="AF701">
            <v>1.8000000000000001E-4</v>
          </cell>
          <cell r="AG701">
            <v>1.8000000000000001E-4</v>
          </cell>
          <cell r="AH701">
            <v>1.8000000000000001E-4</v>
          </cell>
        </row>
        <row r="702">
          <cell r="B702" t="str">
            <v/>
          </cell>
        </row>
        <row r="703">
          <cell r="B703" t="str">
            <v>e-diesel (DAC) - Total emissions - WTT - Global - ton CO2eq/ton fuel</v>
          </cell>
          <cell r="G703">
            <v>0.18846344549881375</v>
          </cell>
          <cell r="H703">
            <v>0.18759721880246341</v>
          </cell>
          <cell r="I703">
            <v>0.18670416000000081</v>
          </cell>
          <cell r="J703">
            <v>0.18576908173265821</v>
          </cell>
          <cell r="K703">
            <v>0.18478876105653116</v>
          </cell>
          <cell r="L703">
            <v>0.18376319797161803</v>
          </cell>
          <cell r="M703">
            <v>0.18269239247792177</v>
          </cell>
          <cell r="N703">
            <v>0.18157634457543873</v>
          </cell>
          <cell r="O703">
            <v>0.18008262833904581</v>
          </cell>
          <cell r="P703">
            <v>0.17854525629985454</v>
          </cell>
          <cell r="Q703">
            <v>0.17696422845786253</v>
          </cell>
          <cell r="R703">
            <v>0.17533954481306727</v>
          </cell>
          <cell r="S703">
            <v>0.17367120536547281</v>
          </cell>
          <cell r="T703">
            <v>0.17199851711395173</v>
          </cell>
          <cell r="U703">
            <v>0.17029556425305106</v>
          </cell>
          <cell r="V703">
            <v>0.1685623467827749</v>
          </cell>
          <cell r="W703">
            <v>0.1667988647031175</v>
          </cell>
          <cell r="X703">
            <v>0.16500511801408002</v>
          </cell>
          <cell r="Y703">
            <v>0.16289324958195303</v>
          </cell>
          <cell r="Z703">
            <v>0.16079859249313683</v>
          </cell>
          <cell r="AA703">
            <v>0.15872114674763432</v>
          </cell>
          <cell r="AB703">
            <v>0.1566609123454428</v>
          </cell>
          <cell r="AC703">
            <v>0.15461788928656409</v>
          </cell>
          <cell r="AD703">
            <v>0.15285808498290968</v>
          </cell>
          <cell r="AE703">
            <v>0.15112037740242626</v>
          </cell>
          <cell r="AF703">
            <v>0.14940476654511337</v>
          </cell>
          <cell r="AG703">
            <v>0.14771125241097119</v>
          </cell>
          <cell r="AH703">
            <v>0.14603983500000006</v>
          </cell>
        </row>
        <row r="704">
          <cell r="B704" t="str">
            <v>e-diesel (DAC) - Total emissions - WTT - Global - ton CO2eq/ton fuel</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row>
        <row r="705">
          <cell r="B705" t="str">
            <v>e-diesel (DAC) - Total emissions - WTT - Global - ton CO2eq/ton fuel</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row>
        <row r="706">
          <cell r="B706" t="str">
            <v/>
          </cell>
        </row>
        <row r="707">
          <cell r="B707" t="str">
            <v>e-diesel (DAC) - Process-related emissions - WTT - Global - ton CO2/ton fuel</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row>
        <row r="708">
          <cell r="B708" t="str">
            <v>e-diesel (DAC) - Process-related emissions - WTT - Global - ton CH4/ton fuel</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row>
        <row r="709">
          <cell r="B709" t="str">
            <v>e-diesel (DAC) - Process-related emissions - WTT - Global - ton N2O/ton fuel</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row>
        <row r="710">
          <cell r="B710" t="str">
            <v>e-diesel - Process WTT emissions (carbon dioxide) - Global - ton CO2/ton fuel</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row>
        <row r="711">
          <cell r="B711" t="str">
            <v>e-diesel - Process WTT emissions (methane) - Global - ton CH4/ton fuel</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row>
        <row r="712">
          <cell r="B712" t="str">
            <v>e-diesel - Process WTT emissions (nitrous oxide) - Global - ton N2O/ton fuel</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row>
        <row r="713">
          <cell r="B713" t="str">
            <v/>
          </cell>
        </row>
        <row r="714">
          <cell r="B714" t="str">
            <v>e-diesel (DAC) - Energy-related emissions - WTT - Global - ton CO2/ton fuel</v>
          </cell>
          <cell r="G714">
            <v>2.2253082272719405E-3</v>
          </cell>
          <cell r="H714">
            <v>2.1866541136359757E-3</v>
          </cell>
          <cell r="I714">
            <v>2.1480000000000019E-3</v>
          </cell>
          <cell r="J714">
            <v>2.1125367616974724E-3</v>
          </cell>
          <cell r="K714">
            <v>2.0770735233949429E-3</v>
          </cell>
          <cell r="L714">
            <v>2.0416102850924133E-3</v>
          </cell>
          <cell r="M714">
            <v>2.0061470467898834E-3</v>
          </cell>
          <cell r="N714">
            <v>1.9706838084873539E-3</v>
          </cell>
          <cell r="O714">
            <v>1.9381480405547069E-3</v>
          </cell>
          <cell r="P714">
            <v>1.9056122726220598E-3</v>
          </cell>
          <cell r="Q714">
            <v>1.8730765046894129E-3</v>
          </cell>
          <cell r="R714">
            <v>1.8405407367567657E-3</v>
          </cell>
          <cell r="S714">
            <v>1.8080049688241186E-3</v>
          </cell>
          <cell r="T714">
            <v>1.7781550102293439E-3</v>
          </cell>
          <cell r="U714">
            <v>1.7483050516345785E-3</v>
          </cell>
          <cell r="V714">
            <v>1.7184550930398035E-3</v>
          </cell>
          <cell r="W714">
            <v>1.6886051344450288E-3</v>
          </cell>
          <cell r="X714">
            <v>1.6587551758502634E-3</v>
          </cell>
          <cell r="Y714">
            <v>1.631369314543597E-3</v>
          </cell>
          <cell r="Z714">
            <v>1.6039834532369211E-3</v>
          </cell>
          <cell r="AA714">
            <v>1.5765975919302452E-3</v>
          </cell>
          <cell r="AB714">
            <v>1.5492117306235788E-3</v>
          </cell>
          <cell r="AC714">
            <v>1.5218258693169028E-3</v>
          </cell>
          <cell r="AD714">
            <v>1.4967006954535182E-3</v>
          </cell>
          <cell r="AE714">
            <v>1.4715755215901432E-3</v>
          </cell>
          <cell r="AF714">
            <v>1.4464503477267584E-3</v>
          </cell>
          <cell r="AG714">
            <v>1.4213251738633738E-3</v>
          </cell>
          <cell r="AH714">
            <v>1.3961999999999987E-3</v>
          </cell>
        </row>
        <row r="715">
          <cell r="B715" t="str">
            <v>e-diesel (DAC) - Energy-related emissions - WTT - Global - ton CH4/ton fuel</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row>
        <row r="716">
          <cell r="B716" t="str">
            <v>e-diesel (DAC) - Energy-related emissions - WTT - Global - ton N2O/ton fuel</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row>
        <row r="717">
          <cell r="B717" t="str">
            <v>Renewable electricity - Feedstock WTT emissions (carbon dioxide) - Global - ton CO2/MWh</v>
          </cell>
          <cell r="G717">
            <v>5.3699999999999998E-3</v>
          </cell>
          <cell r="H717">
            <v>5.3699999999999998E-3</v>
          </cell>
          <cell r="I717">
            <v>5.3699999999999998E-3</v>
          </cell>
          <cell r="J717">
            <v>5.3699999999999998E-3</v>
          </cell>
          <cell r="K717">
            <v>5.3699999999999998E-3</v>
          </cell>
          <cell r="L717">
            <v>5.3699999999999998E-3</v>
          </cell>
          <cell r="M717">
            <v>5.3699999999999998E-3</v>
          </cell>
          <cell r="N717">
            <v>5.3699999999999998E-3</v>
          </cell>
          <cell r="O717">
            <v>5.3699999999999998E-3</v>
          </cell>
          <cell r="P717">
            <v>5.3699999999999998E-3</v>
          </cell>
          <cell r="Q717">
            <v>5.3699999999999998E-3</v>
          </cell>
          <cell r="R717">
            <v>5.3699999999999998E-3</v>
          </cell>
          <cell r="S717">
            <v>5.3699999999999998E-3</v>
          </cell>
          <cell r="T717">
            <v>5.3699999999999998E-3</v>
          </cell>
          <cell r="U717">
            <v>5.3699999999999998E-3</v>
          </cell>
          <cell r="V717">
            <v>5.3699999999999998E-3</v>
          </cell>
          <cell r="W717">
            <v>5.3699999999999998E-3</v>
          </cell>
          <cell r="X717">
            <v>5.3699999999999998E-3</v>
          </cell>
          <cell r="Y717">
            <v>5.3699999999999998E-3</v>
          </cell>
          <cell r="Z717">
            <v>5.3699999999999998E-3</v>
          </cell>
          <cell r="AA717">
            <v>5.3699999999999998E-3</v>
          </cell>
          <cell r="AB717">
            <v>5.3699999999999998E-3</v>
          </cell>
          <cell r="AC717">
            <v>5.3699999999999998E-3</v>
          </cell>
          <cell r="AD717">
            <v>5.3699999999999998E-3</v>
          </cell>
          <cell r="AE717">
            <v>5.3699999999999998E-3</v>
          </cell>
          <cell r="AF717">
            <v>5.3699999999999998E-3</v>
          </cell>
          <cell r="AG717">
            <v>5.3699999999999998E-3</v>
          </cell>
          <cell r="AH717">
            <v>5.3699999999999998E-3</v>
          </cell>
        </row>
        <row r="718">
          <cell r="B718" t="str">
            <v>Renewable electricity - Feedstock WTT emissions (methane) - Global - ton CH4/MWh</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row>
        <row r="719">
          <cell r="B719" t="str">
            <v>Renewable electricity - Feedstock WTT emissions (nitrous oxide) - Global - ton N2O/MWh</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row>
        <row r="720">
          <cell r="B720" t="str">
            <v>e-diesel - Energy demand - Global - MWh/ton fuel</v>
          </cell>
          <cell r="G720">
            <v>0.41439631792773568</v>
          </cell>
          <cell r="H720">
            <v>0.40719815896386891</v>
          </cell>
          <cell r="I720">
            <v>0.40000000000000036</v>
          </cell>
          <cell r="J720">
            <v>0.39339604500884029</v>
          </cell>
          <cell r="K720">
            <v>0.38679209001768022</v>
          </cell>
          <cell r="L720">
            <v>0.38018813502652016</v>
          </cell>
          <cell r="M720">
            <v>0.37358418003536009</v>
          </cell>
          <cell r="N720">
            <v>0.36698022504420003</v>
          </cell>
          <cell r="O720">
            <v>0.3609214228221056</v>
          </cell>
          <cell r="P720">
            <v>0.35486262060001117</v>
          </cell>
          <cell r="Q720">
            <v>0.34880381837791674</v>
          </cell>
          <cell r="R720">
            <v>0.34274501615582231</v>
          </cell>
          <cell r="S720">
            <v>0.33668621393372788</v>
          </cell>
          <cell r="T720">
            <v>0.33112756242632102</v>
          </cell>
          <cell r="U720">
            <v>0.32556891091891593</v>
          </cell>
          <cell r="V720">
            <v>0.32001025941150907</v>
          </cell>
          <cell r="W720">
            <v>0.3144516079041022</v>
          </cell>
          <cell r="X720">
            <v>0.30889295639669712</v>
          </cell>
          <cell r="Y720">
            <v>0.30379316844387283</v>
          </cell>
          <cell r="Z720">
            <v>0.29869338049104677</v>
          </cell>
          <cell r="AA720">
            <v>0.2935935925382207</v>
          </cell>
          <cell r="AB720">
            <v>0.28849380458539642</v>
          </cell>
          <cell r="AC720">
            <v>0.28339401663257036</v>
          </cell>
          <cell r="AD720">
            <v>0.27871521330605553</v>
          </cell>
          <cell r="AE720">
            <v>0.27403640997954248</v>
          </cell>
          <cell r="AF720">
            <v>0.26935760665302766</v>
          </cell>
          <cell r="AG720">
            <v>0.26467880332651283</v>
          </cell>
          <cell r="AH720">
            <v>0.25999999999999979</v>
          </cell>
        </row>
        <row r="721">
          <cell r="B721" t="str">
            <v/>
          </cell>
        </row>
        <row r="722">
          <cell r="B722" t="str">
            <v>e-diesel (DAC) - Feedstock-related emissions - WTT - Global - ton CO2/ton fuel</v>
          </cell>
          <cell r="G722">
            <v>0.18623813727154181</v>
          </cell>
          <cell r="H722">
            <v>0.18541056468882744</v>
          </cell>
          <cell r="I722">
            <v>0.1845561600000008</v>
          </cell>
          <cell r="J722">
            <v>0.18365654497096073</v>
          </cell>
          <cell r="K722">
            <v>0.18271168753313621</v>
          </cell>
          <cell r="L722">
            <v>0.1817215876865256</v>
          </cell>
          <cell r="M722">
            <v>0.18068624543113188</v>
          </cell>
          <cell r="N722">
            <v>0.17960566076695136</v>
          </cell>
          <cell r="O722">
            <v>0.17814448029849111</v>
          </cell>
          <cell r="P722">
            <v>0.17663964402723248</v>
          </cell>
          <cell r="Q722">
            <v>0.17509115195317312</v>
          </cell>
          <cell r="R722">
            <v>0.1734990040763105</v>
          </cell>
          <cell r="S722">
            <v>0.17186320039664871</v>
          </cell>
          <cell r="T722">
            <v>0.17022036210372238</v>
          </cell>
          <cell r="U722">
            <v>0.16854725920141647</v>
          </cell>
          <cell r="V722">
            <v>0.1668438916897351</v>
          </cell>
          <cell r="W722">
            <v>0.16511025956867248</v>
          </cell>
          <cell r="X722">
            <v>0.16334636283822976</v>
          </cell>
          <cell r="Y722">
            <v>0.16126188026740942</v>
          </cell>
          <cell r="Z722">
            <v>0.1591946090398999</v>
          </cell>
          <cell r="AA722">
            <v>0.15714454915570408</v>
          </cell>
          <cell r="AB722">
            <v>0.15511170061481921</v>
          </cell>
          <cell r="AC722">
            <v>0.15309606341724719</v>
          </cell>
          <cell r="AD722">
            <v>0.15136138428745616</v>
          </cell>
          <cell r="AE722">
            <v>0.14964880188083612</v>
          </cell>
          <cell r="AF722">
            <v>0.14795831619738661</v>
          </cell>
          <cell r="AG722">
            <v>0.14628992723710782</v>
          </cell>
          <cell r="AH722">
            <v>0.14464363500000008</v>
          </cell>
        </row>
        <row r="723">
          <cell r="B723" t="str">
            <v>e-diesel (DAC) - Feedstock-related emissions - WTT - Global - ton CH4/ton fuel</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row>
        <row r="724">
          <cell r="B724" t="str">
            <v>e-diesel (DAC) - Feedstock-related emissions - WTT - Global - ton N2O/ton fuel</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row>
        <row r="725">
          <cell r="B725" t="str">
            <v>e-hydrogen (compressed) - Feedstock WTT emissions (carbon dioxide) - Global - ton CO2/ton H2</v>
          </cell>
          <cell r="G725">
            <v>0.29069928460653066</v>
          </cell>
          <cell r="H725">
            <v>0.29036818709700268</v>
          </cell>
          <cell r="I725">
            <v>0.28998000000000135</v>
          </cell>
          <cell r="J725">
            <v>0.28940257594781538</v>
          </cell>
          <cell r="K725">
            <v>0.28872889145140718</v>
          </cell>
          <cell r="L725">
            <v>0.28795894651077331</v>
          </cell>
          <cell r="M725">
            <v>0.28709274112591998</v>
          </cell>
          <cell r="N725">
            <v>0.28613027529683954</v>
          </cell>
          <cell r="O725">
            <v>0.28427104178214713</v>
          </cell>
          <cell r="P725">
            <v>0.28231892358064925</v>
          </cell>
          <cell r="Q725">
            <v>0.28027392069234119</v>
          </cell>
          <cell r="R725">
            <v>0.27813603311721824</v>
          </cell>
          <cell r="S725">
            <v>0.27590526085528855</v>
          </cell>
          <cell r="T725">
            <v>0.27357819323199506</v>
          </cell>
          <cell r="U725">
            <v>0.27118673282278699</v>
          </cell>
          <cell r="V725">
            <v>0.26873087962767428</v>
          </cell>
          <cell r="W725">
            <v>0.26621063364664344</v>
          </cell>
          <cell r="X725">
            <v>0.26362599487969779</v>
          </cell>
          <cell r="Y725">
            <v>0.26028322332369702</v>
          </cell>
          <cell r="Z725">
            <v>0.25697707164708095</v>
          </cell>
          <cell r="AA725">
            <v>0.25370753984985572</v>
          </cell>
          <cell r="AB725">
            <v>0.25047462793201525</v>
          </cell>
          <cell r="AC725">
            <v>0.2472783358935641</v>
          </cell>
          <cell r="AD725">
            <v>0.24460874010561368</v>
          </cell>
          <cell r="AE725">
            <v>0.24198615862228262</v>
          </cell>
          <cell r="AF725">
            <v>0.23941059144356966</v>
          </cell>
          <cell r="AG725">
            <v>0.23688203856947532</v>
          </cell>
          <cell r="AH725">
            <v>0.23440050000000018</v>
          </cell>
        </row>
        <row r="726">
          <cell r="B726" t="str">
            <v>e-hydrogen (compressed) - Feedstock WTT emissions (methane) - Global - ton CH4/ton H2</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row>
        <row r="727">
          <cell r="B727" t="str">
            <v>e-hydrogen (compressed) - Feedstock WTT emissions (nitrous oxide) - Global - ton N2O/ton H2</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row>
        <row r="728">
          <cell r="B728" t="str">
            <v>Carbon dioxide (DAC) - Feedstock WTT emissions (carbon dioxide) - Global - ton CO2/ton CO2</v>
          </cell>
          <cell r="G728">
            <v>1.545466464376088E-2</v>
          </cell>
          <cell r="H728">
            <v>1.5245332321880432E-2</v>
          </cell>
          <cell r="I728">
            <v>1.503600000000006E-2</v>
          </cell>
          <cell r="J728">
            <v>1.4840291051553742E-2</v>
          </cell>
          <cell r="K728">
            <v>1.4644582103107425E-2</v>
          </cell>
          <cell r="L728">
            <v>1.4448873154661108E-2</v>
          </cell>
          <cell r="M728">
            <v>1.4253164206214789E-2</v>
          </cell>
          <cell r="N728">
            <v>1.4057455257768471E-2</v>
          </cell>
          <cell r="O728">
            <v>1.3874483071925844E-2</v>
          </cell>
          <cell r="P728">
            <v>1.3691510886083291E-2</v>
          </cell>
          <cell r="Q728">
            <v>1.3508538700240739E-2</v>
          </cell>
          <cell r="R728">
            <v>1.332556651439811E-2</v>
          </cell>
          <cell r="S728">
            <v>1.3142594328555482E-2</v>
          </cell>
          <cell r="T728">
            <v>1.2971529995228883E-2</v>
          </cell>
          <cell r="U728">
            <v>1.2800465661902361E-2</v>
          </cell>
          <cell r="V728">
            <v>1.2629401328575762E-2</v>
          </cell>
          <cell r="W728">
            <v>1.2458336995249239E-2</v>
          </cell>
          <cell r="X728">
            <v>1.228727266192268E-2</v>
          </cell>
          <cell r="Y728">
            <v>1.2127341216595585E-2</v>
          </cell>
          <cell r="Z728">
            <v>1.1967409771268492E-2</v>
          </cell>
          <cell r="AA728">
            <v>1.1807478325941397E-2</v>
          </cell>
          <cell r="AB728">
            <v>1.1647546880614342E-2</v>
          </cell>
          <cell r="AC728">
            <v>1.1487615435287249E-2</v>
          </cell>
          <cell r="AD728">
            <v>1.1338092348229828E-2</v>
          </cell>
          <cell r="AE728">
            <v>1.1188569261172371E-2</v>
          </cell>
          <cell r="AF728">
            <v>1.1039046174114914E-2</v>
          </cell>
          <cell r="AG728">
            <v>1.0889523087057457E-2</v>
          </cell>
          <cell r="AH728">
            <v>1.074E-2</v>
          </cell>
        </row>
        <row r="729">
          <cell r="B729" t="str">
            <v>Carbon dioxide (DAC) - Feedstock WTT emissions (methane) - Global - ton CH4/ton CO2</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row>
        <row r="730">
          <cell r="B730" t="str">
            <v>Carbon dioxide (DAC) - Feedstock WTT emissions (nitrous oxide) - Global - ton N2O/ton CO2</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row>
        <row r="731">
          <cell r="B731" t="str">
            <v>e-diesel - Conversion H2 -&gt; diesel - Global - ton H2/ton diesel</v>
          </cell>
          <cell r="G731">
            <v>0.47</v>
          </cell>
          <cell r="H731">
            <v>0.47</v>
          </cell>
          <cell r="I731">
            <v>0.47</v>
          </cell>
          <cell r="J731">
            <v>0.47</v>
          </cell>
          <cell r="K731">
            <v>0.47</v>
          </cell>
          <cell r="L731">
            <v>0.47</v>
          </cell>
          <cell r="M731">
            <v>0.47</v>
          </cell>
          <cell r="N731">
            <v>0.47</v>
          </cell>
          <cell r="O731">
            <v>0.47</v>
          </cell>
          <cell r="P731">
            <v>0.47</v>
          </cell>
          <cell r="Q731">
            <v>0.47</v>
          </cell>
          <cell r="R731">
            <v>0.47</v>
          </cell>
          <cell r="S731">
            <v>0.47</v>
          </cell>
          <cell r="T731">
            <v>0.47</v>
          </cell>
          <cell r="U731">
            <v>0.47</v>
          </cell>
          <cell r="V731">
            <v>0.47</v>
          </cell>
          <cell r="W731">
            <v>0.47</v>
          </cell>
          <cell r="X731">
            <v>0.47</v>
          </cell>
          <cell r="Y731">
            <v>0.47</v>
          </cell>
          <cell r="Z731">
            <v>0.47</v>
          </cell>
          <cell r="AA731">
            <v>0.47</v>
          </cell>
          <cell r="AB731">
            <v>0.47</v>
          </cell>
          <cell r="AC731">
            <v>0.47</v>
          </cell>
          <cell r="AD731">
            <v>0.47</v>
          </cell>
          <cell r="AE731">
            <v>0.47</v>
          </cell>
          <cell r="AF731">
            <v>0.47</v>
          </cell>
          <cell r="AG731">
            <v>0.47</v>
          </cell>
          <cell r="AH731">
            <v>0.47</v>
          </cell>
        </row>
        <row r="732">
          <cell r="B732" t="str">
            <v>e-diesel - Conversion CO2 -&gt; diesel - Global - ton CO2/ton diesel</v>
          </cell>
          <cell r="G732">
            <v>3.21</v>
          </cell>
          <cell r="H732">
            <v>3.21</v>
          </cell>
          <cell r="I732">
            <v>3.21</v>
          </cell>
          <cell r="J732">
            <v>3.21</v>
          </cell>
          <cell r="K732">
            <v>3.21</v>
          </cell>
          <cell r="L732">
            <v>3.21</v>
          </cell>
          <cell r="M732">
            <v>3.21</v>
          </cell>
          <cell r="N732">
            <v>3.21</v>
          </cell>
          <cell r="O732">
            <v>3.21</v>
          </cell>
          <cell r="P732">
            <v>3.21</v>
          </cell>
          <cell r="Q732">
            <v>3.21</v>
          </cell>
          <cell r="R732">
            <v>3.21</v>
          </cell>
          <cell r="S732">
            <v>3.21</v>
          </cell>
          <cell r="T732">
            <v>3.21</v>
          </cell>
          <cell r="U732">
            <v>3.21</v>
          </cell>
          <cell r="V732">
            <v>3.21</v>
          </cell>
          <cell r="W732">
            <v>3.21</v>
          </cell>
          <cell r="X732">
            <v>3.21</v>
          </cell>
          <cell r="Y732">
            <v>3.21</v>
          </cell>
          <cell r="Z732">
            <v>3.21</v>
          </cell>
          <cell r="AA732">
            <v>3.21</v>
          </cell>
          <cell r="AB732">
            <v>3.21</v>
          </cell>
          <cell r="AC732">
            <v>3.21</v>
          </cell>
          <cell r="AD732">
            <v>3.21</v>
          </cell>
          <cell r="AE732">
            <v>3.21</v>
          </cell>
          <cell r="AF732">
            <v>3.21</v>
          </cell>
          <cell r="AG732">
            <v>3.21</v>
          </cell>
          <cell r="AH732">
            <v>3.21</v>
          </cell>
        </row>
        <row r="733">
          <cell r="B733" t="str">
            <v/>
          </cell>
        </row>
        <row r="734">
          <cell r="B734" t="str">
            <v>e-diesel (PS) - Item - Region - Unit</v>
          </cell>
          <cell r="G734">
            <v>2023</v>
          </cell>
          <cell r="H734">
            <v>2024</v>
          </cell>
          <cell r="I734">
            <v>2025</v>
          </cell>
          <cell r="J734">
            <v>2026</v>
          </cell>
          <cell r="K734">
            <v>2027</v>
          </cell>
          <cell r="L734">
            <v>2028</v>
          </cell>
          <cell r="M734">
            <v>2029</v>
          </cell>
          <cell r="N734">
            <v>2030</v>
          </cell>
          <cell r="O734">
            <v>2031</v>
          </cell>
          <cell r="P734">
            <v>2032</v>
          </cell>
          <cell r="Q734">
            <v>2033</v>
          </cell>
          <cell r="R734">
            <v>2034</v>
          </cell>
          <cell r="S734">
            <v>2035</v>
          </cell>
          <cell r="T734">
            <v>2036</v>
          </cell>
          <cell r="U734">
            <v>2037</v>
          </cell>
          <cell r="V734">
            <v>2038</v>
          </cell>
          <cell r="W734">
            <v>2039</v>
          </cell>
          <cell r="X734">
            <v>2040</v>
          </cell>
          <cell r="Y734">
            <v>2041</v>
          </cell>
          <cell r="Z734">
            <v>2042</v>
          </cell>
          <cell r="AA734">
            <v>2043</v>
          </cell>
          <cell r="AB734">
            <v>2044</v>
          </cell>
          <cell r="AC734">
            <v>2045</v>
          </cell>
          <cell r="AD734">
            <v>2046</v>
          </cell>
          <cell r="AE734">
            <v>2047</v>
          </cell>
          <cell r="AF734">
            <v>2048</v>
          </cell>
          <cell r="AG734">
            <v>2049</v>
          </cell>
          <cell r="AH734">
            <v>2050</v>
          </cell>
        </row>
        <row r="735">
          <cell r="B735" t="str">
            <v/>
          </cell>
        </row>
        <row r="736">
          <cell r="B736" t="str">
            <v>e-diesel (PS) - Total emissions - WTW - GWP100 - Global - ton CO2eq/ton fuel</v>
          </cell>
          <cell r="G736">
            <v>0.19594093699234136</v>
          </cell>
          <cell r="H736">
            <v>0.19574666704922725</v>
          </cell>
          <cell r="I736">
            <v>0.19552556500000065</v>
          </cell>
          <cell r="J736">
            <v>0.19521871245717071</v>
          </cell>
          <cell r="K736">
            <v>0.19486661750555634</v>
          </cell>
          <cell r="L736">
            <v>0.19446928014515588</v>
          </cell>
          <cell r="M736">
            <v>0.19402670037597231</v>
          </cell>
          <cell r="N736">
            <v>0.19353887819800195</v>
          </cell>
          <cell r="O736">
            <v>0.19263250267816387</v>
          </cell>
          <cell r="P736">
            <v>0.19168247135552721</v>
          </cell>
          <cell r="Q736">
            <v>0.19068878423008978</v>
          </cell>
          <cell r="R736">
            <v>0.18965144130184936</v>
          </cell>
          <cell r="S736">
            <v>0.18857044257080974</v>
          </cell>
          <cell r="T736">
            <v>0.18744687082926703</v>
          </cell>
          <cell r="U736">
            <v>0.1862930344783445</v>
          </cell>
          <cell r="V736">
            <v>0.18510893351804672</v>
          </cell>
          <cell r="W736">
            <v>0.18389456794836745</v>
          </cell>
          <cell r="X736">
            <v>0.18264993776930824</v>
          </cell>
          <cell r="Y736">
            <v>0.18105144927668121</v>
          </cell>
          <cell r="Z736">
            <v>0.17947017212736496</v>
          </cell>
          <cell r="AA736">
            <v>0.17790610632136244</v>
          </cell>
          <cell r="AB736">
            <v>0.17635925185867077</v>
          </cell>
          <cell r="AC736">
            <v>0.17482960873929204</v>
          </cell>
          <cell r="AD736">
            <v>0.17354977354509196</v>
          </cell>
          <cell r="AE736">
            <v>0.17229203507406299</v>
          </cell>
          <cell r="AF736">
            <v>0.17105639332620451</v>
          </cell>
          <cell r="AG736">
            <v>0.16984284830151677</v>
          </cell>
          <cell r="AH736">
            <v>0.16865140000000009</v>
          </cell>
        </row>
        <row r="737">
          <cell r="B737" t="str">
            <v>e-diesel (PS) - Total emissions - WTW - GWP20 - Global - ton CO2eq/ton fuel</v>
          </cell>
          <cell r="G737">
            <v>0.19604093699234135</v>
          </cell>
          <cell r="H737">
            <v>0.19584666704922724</v>
          </cell>
          <cell r="I737">
            <v>0.19562556500000064</v>
          </cell>
          <cell r="J737">
            <v>0.1953187124571707</v>
          </cell>
          <cell r="K737">
            <v>0.19496661750555633</v>
          </cell>
          <cell r="L737">
            <v>0.19456928014515587</v>
          </cell>
          <cell r="M737">
            <v>0.19412670037597229</v>
          </cell>
          <cell r="N737">
            <v>0.19363887819800193</v>
          </cell>
          <cell r="O737">
            <v>0.19273250267816386</v>
          </cell>
          <cell r="P737">
            <v>0.1917824713555272</v>
          </cell>
          <cell r="Q737">
            <v>0.19078878423008977</v>
          </cell>
          <cell r="R737">
            <v>0.18975144130184934</v>
          </cell>
          <cell r="S737">
            <v>0.18867044257080973</v>
          </cell>
          <cell r="T737">
            <v>0.18754687082926702</v>
          </cell>
          <cell r="U737">
            <v>0.18639303447834449</v>
          </cell>
          <cell r="V737">
            <v>0.18520893351804671</v>
          </cell>
          <cell r="W737">
            <v>0.18399456794836744</v>
          </cell>
          <cell r="X737">
            <v>0.18274993776930823</v>
          </cell>
          <cell r="Y737">
            <v>0.1811514492766812</v>
          </cell>
          <cell r="Z737">
            <v>0.17957017212736495</v>
          </cell>
          <cell r="AA737">
            <v>0.17800610632136243</v>
          </cell>
          <cell r="AB737">
            <v>0.17645925185867076</v>
          </cell>
          <cell r="AC737">
            <v>0.17492960873929203</v>
          </cell>
          <cell r="AD737">
            <v>0.17364977354509195</v>
          </cell>
          <cell r="AE737">
            <v>0.17239203507406298</v>
          </cell>
          <cell r="AF737">
            <v>0.1711563933262045</v>
          </cell>
          <cell r="AG737">
            <v>0.16994284830151676</v>
          </cell>
          <cell r="AH737">
            <v>0.16875140000000008</v>
          </cell>
        </row>
        <row r="738">
          <cell r="B738" t="str">
            <v>e-diesel (PS) - Total emissions - TTW - GWP100 - Global - ton CO2eq/ton fuel</v>
          </cell>
          <cell r="G738">
            <v>4.9330000000000006E-2</v>
          </cell>
          <cell r="H738">
            <v>4.9330000000000006E-2</v>
          </cell>
          <cell r="I738">
            <v>4.9330000000000006E-2</v>
          </cell>
          <cell r="J738">
            <v>4.9330000000000006E-2</v>
          </cell>
          <cell r="K738">
            <v>4.9330000000000006E-2</v>
          </cell>
          <cell r="L738">
            <v>4.9330000000000006E-2</v>
          </cell>
          <cell r="M738">
            <v>4.9330000000000006E-2</v>
          </cell>
          <cell r="N738">
            <v>4.9330000000000006E-2</v>
          </cell>
          <cell r="O738">
            <v>4.9330000000000006E-2</v>
          </cell>
          <cell r="P738">
            <v>4.9330000000000006E-2</v>
          </cell>
          <cell r="Q738">
            <v>4.9330000000000006E-2</v>
          </cell>
          <cell r="R738">
            <v>4.9330000000000006E-2</v>
          </cell>
          <cell r="S738">
            <v>4.9330000000000006E-2</v>
          </cell>
          <cell r="T738">
            <v>4.9330000000000006E-2</v>
          </cell>
          <cell r="U738">
            <v>4.9330000000000006E-2</v>
          </cell>
          <cell r="V738">
            <v>4.9330000000000006E-2</v>
          </cell>
          <cell r="W738">
            <v>4.9330000000000006E-2</v>
          </cell>
          <cell r="X738">
            <v>4.9330000000000006E-2</v>
          </cell>
          <cell r="Y738">
            <v>4.9330000000000006E-2</v>
          </cell>
          <cell r="Z738">
            <v>4.9330000000000006E-2</v>
          </cell>
          <cell r="AA738">
            <v>4.9330000000000006E-2</v>
          </cell>
          <cell r="AB738">
            <v>4.9330000000000006E-2</v>
          </cell>
          <cell r="AC738">
            <v>4.9330000000000006E-2</v>
          </cell>
          <cell r="AD738">
            <v>4.9330000000000006E-2</v>
          </cell>
          <cell r="AE738">
            <v>4.9330000000000006E-2</v>
          </cell>
          <cell r="AF738">
            <v>4.9330000000000006E-2</v>
          </cell>
          <cell r="AG738">
            <v>4.9330000000000006E-2</v>
          </cell>
          <cell r="AH738">
            <v>4.9330000000000006E-2</v>
          </cell>
        </row>
        <row r="739">
          <cell r="B739" t="str">
            <v>e-diesel (PS) - Total emissions - TTW - GWP20 - Global - ton CO2eq/ton fuel</v>
          </cell>
          <cell r="G739">
            <v>4.9430000000000002E-2</v>
          </cell>
          <cell r="H739">
            <v>4.9430000000000002E-2</v>
          </cell>
          <cell r="I739">
            <v>4.9430000000000002E-2</v>
          </cell>
          <cell r="J739">
            <v>4.9430000000000002E-2</v>
          </cell>
          <cell r="K739">
            <v>4.9430000000000002E-2</v>
          </cell>
          <cell r="L739">
            <v>4.9430000000000002E-2</v>
          </cell>
          <cell r="M739">
            <v>4.9430000000000002E-2</v>
          </cell>
          <cell r="N739">
            <v>4.9430000000000002E-2</v>
          </cell>
          <cell r="O739">
            <v>4.9430000000000002E-2</v>
          </cell>
          <cell r="P739">
            <v>4.9430000000000002E-2</v>
          </cell>
          <cell r="Q739">
            <v>4.9430000000000002E-2</v>
          </cell>
          <cell r="R739">
            <v>4.9430000000000002E-2</v>
          </cell>
          <cell r="S739">
            <v>4.9430000000000002E-2</v>
          </cell>
          <cell r="T739">
            <v>4.9430000000000002E-2</v>
          </cell>
          <cell r="U739">
            <v>4.9430000000000002E-2</v>
          </cell>
          <cell r="V739">
            <v>4.9430000000000002E-2</v>
          </cell>
          <cell r="W739">
            <v>4.9430000000000002E-2</v>
          </cell>
          <cell r="X739">
            <v>4.9430000000000002E-2</v>
          </cell>
          <cell r="Y739">
            <v>4.9430000000000002E-2</v>
          </cell>
          <cell r="Z739">
            <v>4.9430000000000002E-2</v>
          </cell>
          <cell r="AA739">
            <v>4.9430000000000002E-2</v>
          </cell>
          <cell r="AB739">
            <v>4.9430000000000002E-2</v>
          </cell>
          <cell r="AC739">
            <v>4.9430000000000002E-2</v>
          </cell>
          <cell r="AD739">
            <v>4.9430000000000002E-2</v>
          </cell>
          <cell r="AE739">
            <v>4.9430000000000002E-2</v>
          </cell>
          <cell r="AF739">
            <v>4.9430000000000002E-2</v>
          </cell>
          <cell r="AG739">
            <v>4.9430000000000002E-2</v>
          </cell>
          <cell r="AH739">
            <v>4.9430000000000002E-2</v>
          </cell>
        </row>
        <row r="740">
          <cell r="B740" t="str">
            <v>e-diesel (PS) - Total emissions - WTT - GWP100 - Global - ton CO2eq/ton fuel</v>
          </cell>
          <cell r="G740">
            <v>0.14661093699234135</v>
          </cell>
          <cell r="H740">
            <v>0.14641666704922723</v>
          </cell>
          <cell r="I740">
            <v>0.14619556500000064</v>
          </cell>
          <cell r="J740">
            <v>0.14588871245717069</v>
          </cell>
          <cell r="K740">
            <v>0.14553661750555633</v>
          </cell>
          <cell r="L740">
            <v>0.14513928014515587</v>
          </cell>
          <cell r="M740">
            <v>0.14469670037597229</v>
          </cell>
          <cell r="N740">
            <v>0.14420887819800193</v>
          </cell>
          <cell r="O740">
            <v>0.14330250267816386</v>
          </cell>
          <cell r="P740">
            <v>0.1423524713555272</v>
          </cell>
          <cell r="Q740">
            <v>0.14135878423008977</v>
          </cell>
          <cell r="R740">
            <v>0.14032144130184934</v>
          </cell>
          <cell r="S740">
            <v>0.13924044257080972</v>
          </cell>
          <cell r="T740">
            <v>0.13811687082926702</v>
          </cell>
          <cell r="U740">
            <v>0.13696303447834449</v>
          </cell>
          <cell r="V740">
            <v>0.13577893351804671</v>
          </cell>
          <cell r="W740">
            <v>0.13456456794836744</v>
          </cell>
          <cell r="X740">
            <v>0.13331993776930823</v>
          </cell>
          <cell r="Y740">
            <v>0.1317214492766812</v>
          </cell>
          <cell r="Z740">
            <v>0.13014017212736495</v>
          </cell>
          <cell r="AA740">
            <v>0.12857610632136243</v>
          </cell>
          <cell r="AB740">
            <v>0.12702925185867076</v>
          </cell>
          <cell r="AC740">
            <v>0.12549960873929203</v>
          </cell>
          <cell r="AD740">
            <v>0.12421977354509195</v>
          </cell>
          <cell r="AE740">
            <v>0.12296203507406298</v>
          </cell>
          <cell r="AF740">
            <v>0.1217263933262045</v>
          </cell>
          <cell r="AG740">
            <v>0.12051284830151676</v>
          </cell>
          <cell r="AH740">
            <v>0.11932140000000008</v>
          </cell>
        </row>
        <row r="741">
          <cell r="B741" t="str">
            <v>e-diesel (PS) - Total emissions - WTT - GWP20 - Global - ton CO2eq/ton fuel</v>
          </cell>
          <cell r="G741">
            <v>0.14661093699234135</v>
          </cell>
          <cell r="H741">
            <v>0.14641666704922723</v>
          </cell>
          <cell r="I741">
            <v>0.14619556500000064</v>
          </cell>
          <cell r="J741">
            <v>0.14588871245717069</v>
          </cell>
          <cell r="K741">
            <v>0.14553661750555633</v>
          </cell>
          <cell r="L741">
            <v>0.14513928014515587</v>
          </cell>
          <cell r="M741">
            <v>0.14469670037597229</v>
          </cell>
          <cell r="N741">
            <v>0.14420887819800193</v>
          </cell>
          <cell r="O741">
            <v>0.14330250267816386</v>
          </cell>
          <cell r="P741">
            <v>0.1423524713555272</v>
          </cell>
          <cell r="Q741">
            <v>0.14135878423008977</v>
          </cell>
          <cell r="R741">
            <v>0.14032144130184934</v>
          </cell>
          <cell r="S741">
            <v>0.13924044257080972</v>
          </cell>
          <cell r="T741">
            <v>0.13811687082926702</v>
          </cell>
          <cell r="U741">
            <v>0.13696303447834449</v>
          </cell>
          <cell r="V741">
            <v>0.13577893351804671</v>
          </cell>
          <cell r="W741">
            <v>0.13456456794836744</v>
          </cell>
          <cell r="X741">
            <v>0.13331993776930823</v>
          </cell>
          <cell r="Y741">
            <v>0.1317214492766812</v>
          </cell>
          <cell r="Z741">
            <v>0.13014017212736495</v>
          </cell>
          <cell r="AA741">
            <v>0.12857610632136243</v>
          </cell>
          <cell r="AB741">
            <v>0.12702925185867076</v>
          </cell>
          <cell r="AC741">
            <v>0.12549960873929203</v>
          </cell>
          <cell r="AD741">
            <v>0.12421977354509195</v>
          </cell>
          <cell r="AE741">
            <v>0.12296203507406298</v>
          </cell>
          <cell r="AF741">
            <v>0.1217263933262045</v>
          </cell>
          <cell r="AG741">
            <v>0.12051284830151676</v>
          </cell>
          <cell r="AH741">
            <v>0.11932140000000008</v>
          </cell>
        </row>
        <row r="742">
          <cell r="B742" t="str">
            <v>General - Methane - GWP100 - Global - ton CO2eq/ton fuel</v>
          </cell>
          <cell r="G742">
            <v>29</v>
          </cell>
          <cell r="H742">
            <v>29</v>
          </cell>
          <cell r="I742">
            <v>29</v>
          </cell>
          <cell r="J742">
            <v>29</v>
          </cell>
          <cell r="K742">
            <v>29</v>
          </cell>
          <cell r="L742">
            <v>29</v>
          </cell>
          <cell r="M742">
            <v>29</v>
          </cell>
          <cell r="N742">
            <v>29</v>
          </cell>
          <cell r="O742">
            <v>29</v>
          </cell>
          <cell r="P742">
            <v>29</v>
          </cell>
          <cell r="Q742">
            <v>29</v>
          </cell>
          <cell r="R742">
            <v>29</v>
          </cell>
          <cell r="S742">
            <v>29</v>
          </cell>
          <cell r="T742">
            <v>29</v>
          </cell>
          <cell r="U742">
            <v>29</v>
          </cell>
          <cell r="V742">
            <v>29</v>
          </cell>
          <cell r="W742">
            <v>29</v>
          </cell>
          <cell r="X742">
            <v>29</v>
          </cell>
          <cell r="Y742">
            <v>29</v>
          </cell>
          <cell r="Z742">
            <v>29</v>
          </cell>
          <cell r="AA742">
            <v>29</v>
          </cell>
          <cell r="AB742">
            <v>29</v>
          </cell>
          <cell r="AC742">
            <v>29</v>
          </cell>
          <cell r="AD742">
            <v>29</v>
          </cell>
          <cell r="AE742">
            <v>29</v>
          </cell>
          <cell r="AF742">
            <v>29</v>
          </cell>
          <cell r="AG742">
            <v>29</v>
          </cell>
          <cell r="AH742">
            <v>29</v>
          </cell>
        </row>
        <row r="743">
          <cell r="B743" t="str">
            <v>General - Methane - GWP20 - Global - ton CO2eq/ton fuel</v>
          </cell>
          <cell r="G743">
            <v>85</v>
          </cell>
          <cell r="H743">
            <v>85</v>
          </cell>
          <cell r="I743">
            <v>85</v>
          </cell>
          <cell r="J743">
            <v>85</v>
          </cell>
          <cell r="K743">
            <v>85</v>
          </cell>
          <cell r="L743">
            <v>85</v>
          </cell>
          <cell r="M743">
            <v>85</v>
          </cell>
          <cell r="N743">
            <v>85</v>
          </cell>
          <cell r="O743">
            <v>85</v>
          </cell>
          <cell r="P743">
            <v>85</v>
          </cell>
          <cell r="Q743">
            <v>85</v>
          </cell>
          <cell r="R743">
            <v>85</v>
          </cell>
          <cell r="S743">
            <v>85</v>
          </cell>
          <cell r="T743">
            <v>85</v>
          </cell>
          <cell r="U743">
            <v>85</v>
          </cell>
          <cell r="V743">
            <v>85</v>
          </cell>
          <cell r="W743">
            <v>85</v>
          </cell>
          <cell r="X743">
            <v>85</v>
          </cell>
          <cell r="Y743">
            <v>85</v>
          </cell>
          <cell r="Z743">
            <v>85</v>
          </cell>
          <cell r="AA743">
            <v>85</v>
          </cell>
          <cell r="AB743">
            <v>85</v>
          </cell>
          <cell r="AC743">
            <v>85</v>
          </cell>
          <cell r="AD743">
            <v>85</v>
          </cell>
          <cell r="AE743">
            <v>85</v>
          </cell>
          <cell r="AF743">
            <v>85</v>
          </cell>
          <cell r="AG743">
            <v>85</v>
          </cell>
          <cell r="AH743">
            <v>85</v>
          </cell>
        </row>
        <row r="744">
          <cell r="B744" t="str">
            <v>General - Nitrous oxide - GWP100 - Global - ton CO2eq/ton fuel</v>
          </cell>
          <cell r="G744">
            <v>266</v>
          </cell>
          <cell r="H744">
            <v>266</v>
          </cell>
          <cell r="I744">
            <v>266</v>
          </cell>
          <cell r="J744">
            <v>266</v>
          </cell>
          <cell r="K744">
            <v>266</v>
          </cell>
          <cell r="L744">
            <v>266</v>
          </cell>
          <cell r="M744">
            <v>266</v>
          </cell>
          <cell r="N744">
            <v>266</v>
          </cell>
          <cell r="O744">
            <v>266</v>
          </cell>
          <cell r="P744">
            <v>266</v>
          </cell>
          <cell r="Q744">
            <v>266</v>
          </cell>
          <cell r="R744">
            <v>266</v>
          </cell>
          <cell r="S744">
            <v>266</v>
          </cell>
          <cell r="T744">
            <v>266</v>
          </cell>
          <cell r="U744">
            <v>266</v>
          </cell>
          <cell r="V744">
            <v>266</v>
          </cell>
          <cell r="W744">
            <v>266</v>
          </cell>
          <cell r="X744">
            <v>266</v>
          </cell>
          <cell r="Y744">
            <v>266</v>
          </cell>
          <cell r="Z744">
            <v>266</v>
          </cell>
          <cell r="AA744">
            <v>266</v>
          </cell>
          <cell r="AB744">
            <v>266</v>
          </cell>
          <cell r="AC744">
            <v>266</v>
          </cell>
          <cell r="AD744">
            <v>266</v>
          </cell>
          <cell r="AE744">
            <v>266</v>
          </cell>
          <cell r="AF744">
            <v>266</v>
          </cell>
          <cell r="AG744">
            <v>266</v>
          </cell>
          <cell r="AH744">
            <v>266</v>
          </cell>
        </row>
        <row r="745">
          <cell r="B745" t="str">
            <v>General - Nitrous oxide - GWP20 - Global - ton CO2eq/ton fuel</v>
          </cell>
          <cell r="G745">
            <v>251</v>
          </cell>
          <cell r="H745">
            <v>251</v>
          </cell>
          <cell r="I745">
            <v>251</v>
          </cell>
          <cell r="J745">
            <v>251</v>
          </cell>
          <cell r="K745">
            <v>251</v>
          </cell>
          <cell r="L745">
            <v>251</v>
          </cell>
          <cell r="M745">
            <v>251</v>
          </cell>
          <cell r="N745">
            <v>251</v>
          </cell>
          <cell r="O745">
            <v>251</v>
          </cell>
          <cell r="P745">
            <v>251</v>
          </cell>
          <cell r="Q745">
            <v>251</v>
          </cell>
          <cell r="R745">
            <v>251</v>
          </cell>
          <cell r="S745">
            <v>251</v>
          </cell>
          <cell r="T745">
            <v>251</v>
          </cell>
          <cell r="U745">
            <v>251</v>
          </cell>
          <cell r="V745">
            <v>251</v>
          </cell>
          <cell r="W745">
            <v>251</v>
          </cell>
          <cell r="X745">
            <v>251</v>
          </cell>
          <cell r="Y745">
            <v>251</v>
          </cell>
          <cell r="Z745">
            <v>251</v>
          </cell>
          <cell r="AA745">
            <v>251</v>
          </cell>
          <cell r="AB745">
            <v>251</v>
          </cell>
          <cell r="AC745">
            <v>251</v>
          </cell>
          <cell r="AD745">
            <v>251</v>
          </cell>
          <cell r="AE745">
            <v>251</v>
          </cell>
          <cell r="AF745">
            <v>251</v>
          </cell>
          <cell r="AG745">
            <v>251</v>
          </cell>
          <cell r="AH745">
            <v>251</v>
          </cell>
        </row>
        <row r="746">
          <cell r="B746" t="str">
            <v/>
          </cell>
        </row>
        <row r="747">
          <cell r="B747" t="str">
            <v>e-diesel (PS) - Total emissions - WTW - Global - ton CO2/ton fuel</v>
          </cell>
          <cell r="G747">
            <v>0.14661093699234135</v>
          </cell>
          <cell r="H747">
            <v>0.14641666704922723</v>
          </cell>
          <cell r="I747">
            <v>0.14619556500000064</v>
          </cell>
          <cell r="J747">
            <v>0.14588871245717069</v>
          </cell>
          <cell r="K747">
            <v>0.14553661750555633</v>
          </cell>
          <cell r="L747">
            <v>0.14513928014515587</v>
          </cell>
          <cell r="M747">
            <v>0.14469670037597229</v>
          </cell>
          <cell r="N747">
            <v>0.14420887819800193</v>
          </cell>
          <cell r="O747">
            <v>0.14330250267816386</v>
          </cell>
          <cell r="P747">
            <v>0.1423524713555272</v>
          </cell>
          <cell r="Q747">
            <v>0.14135878423008977</v>
          </cell>
          <cell r="R747">
            <v>0.14032144130184934</v>
          </cell>
          <cell r="S747">
            <v>0.13924044257080972</v>
          </cell>
          <cell r="T747">
            <v>0.13811687082926702</v>
          </cell>
          <cell r="U747">
            <v>0.13696303447834449</v>
          </cell>
          <cell r="V747">
            <v>0.13577893351804671</v>
          </cell>
          <cell r="W747">
            <v>0.13456456794836744</v>
          </cell>
          <cell r="X747">
            <v>0.13331993776930823</v>
          </cell>
          <cell r="Y747">
            <v>0.1317214492766812</v>
          </cell>
          <cell r="Z747">
            <v>0.13014017212736495</v>
          </cell>
          <cell r="AA747">
            <v>0.12857610632136243</v>
          </cell>
          <cell r="AB747">
            <v>0.12702925185867076</v>
          </cell>
          <cell r="AC747">
            <v>0.12549960873929203</v>
          </cell>
          <cell r="AD747">
            <v>0.12421977354509195</v>
          </cell>
          <cell r="AE747">
            <v>0.12296203507406298</v>
          </cell>
          <cell r="AF747">
            <v>0.1217263933262045</v>
          </cell>
          <cell r="AG747">
            <v>0.12051284830151676</v>
          </cell>
          <cell r="AH747">
            <v>0.11932140000000008</v>
          </cell>
        </row>
        <row r="748">
          <cell r="B748" t="str">
            <v>e-diesel (PS) - Total emissions - WTW - Global - ton CH4/ton fuel</v>
          </cell>
          <cell r="G748">
            <v>5.0000000000000002E-5</v>
          </cell>
          <cell r="H748">
            <v>5.0000000000000002E-5</v>
          </cell>
          <cell r="I748">
            <v>5.0000000000000002E-5</v>
          </cell>
          <cell r="J748">
            <v>5.0000000000000002E-5</v>
          </cell>
          <cell r="K748">
            <v>5.0000000000000002E-5</v>
          </cell>
          <cell r="L748">
            <v>5.0000000000000002E-5</v>
          </cell>
          <cell r="M748">
            <v>5.0000000000000002E-5</v>
          </cell>
          <cell r="N748">
            <v>5.0000000000000002E-5</v>
          </cell>
          <cell r="O748">
            <v>5.0000000000000002E-5</v>
          </cell>
          <cell r="P748">
            <v>5.0000000000000002E-5</v>
          </cell>
          <cell r="Q748">
            <v>5.0000000000000002E-5</v>
          </cell>
          <cell r="R748">
            <v>5.0000000000000002E-5</v>
          </cell>
          <cell r="S748">
            <v>5.0000000000000002E-5</v>
          </cell>
          <cell r="T748">
            <v>5.0000000000000002E-5</v>
          </cell>
          <cell r="U748">
            <v>5.0000000000000002E-5</v>
          </cell>
          <cell r="V748">
            <v>5.0000000000000002E-5</v>
          </cell>
          <cell r="W748">
            <v>5.0000000000000002E-5</v>
          </cell>
          <cell r="X748">
            <v>5.0000000000000002E-5</v>
          </cell>
          <cell r="Y748">
            <v>5.0000000000000002E-5</v>
          </cell>
          <cell r="Z748">
            <v>5.0000000000000002E-5</v>
          </cell>
          <cell r="AA748">
            <v>5.0000000000000002E-5</v>
          </cell>
          <cell r="AB748">
            <v>5.0000000000000002E-5</v>
          </cell>
          <cell r="AC748">
            <v>5.0000000000000002E-5</v>
          </cell>
          <cell r="AD748">
            <v>5.0000000000000002E-5</v>
          </cell>
          <cell r="AE748">
            <v>5.0000000000000002E-5</v>
          </cell>
          <cell r="AF748">
            <v>5.0000000000000002E-5</v>
          </cell>
          <cell r="AG748">
            <v>5.0000000000000002E-5</v>
          </cell>
          <cell r="AH748">
            <v>5.0000000000000002E-5</v>
          </cell>
        </row>
        <row r="749">
          <cell r="B749" t="str">
            <v>e-diesel (PS) - Total emissions - WTW - Global - ton N2O/ton fuel</v>
          </cell>
          <cell r="G749">
            <v>1.8000000000000001E-4</v>
          </cell>
          <cell r="H749">
            <v>1.8000000000000001E-4</v>
          </cell>
          <cell r="I749">
            <v>1.8000000000000001E-4</v>
          </cell>
          <cell r="J749">
            <v>1.8000000000000001E-4</v>
          </cell>
          <cell r="K749">
            <v>1.8000000000000001E-4</v>
          </cell>
          <cell r="L749">
            <v>1.8000000000000001E-4</v>
          </cell>
          <cell r="M749">
            <v>1.8000000000000001E-4</v>
          </cell>
          <cell r="N749">
            <v>1.8000000000000001E-4</v>
          </cell>
          <cell r="O749">
            <v>1.8000000000000001E-4</v>
          </cell>
          <cell r="P749">
            <v>1.8000000000000001E-4</v>
          </cell>
          <cell r="Q749">
            <v>1.8000000000000001E-4</v>
          </cell>
          <cell r="R749">
            <v>1.8000000000000001E-4</v>
          </cell>
          <cell r="S749">
            <v>1.8000000000000001E-4</v>
          </cell>
          <cell r="T749">
            <v>1.8000000000000001E-4</v>
          </cell>
          <cell r="U749">
            <v>1.8000000000000001E-4</v>
          </cell>
          <cell r="V749">
            <v>1.8000000000000001E-4</v>
          </cell>
          <cell r="W749">
            <v>1.8000000000000001E-4</v>
          </cell>
          <cell r="X749">
            <v>1.8000000000000001E-4</v>
          </cell>
          <cell r="Y749">
            <v>1.8000000000000001E-4</v>
          </cell>
          <cell r="Z749">
            <v>1.8000000000000001E-4</v>
          </cell>
          <cell r="AA749">
            <v>1.8000000000000001E-4</v>
          </cell>
          <cell r="AB749">
            <v>1.8000000000000001E-4</v>
          </cell>
          <cell r="AC749">
            <v>1.8000000000000001E-4</v>
          </cell>
          <cell r="AD749">
            <v>1.8000000000000001E-4</v>
          </cell>
          <cell r="AE749">
            <v>1.8000000000000001E-4</v>
          </cell>
          <cell r="AF749">
            <v>1.8000000000000001E-4</v>
          </cell>
          <cell r="AG749">
            <v>1.8000000000000001E-4</v>
          </cell>
          <cell r="AH749">
            <v>1.8000000000000001E-4</v>
          </cell>
        </row>
        <row r="750">
          <cell r="B750" t="str">
            <v/>
          </cell>
        </row>
        <row r="751">
          <cell r="B751" t="str">
            <v>e-diesel (PS) - Total emissions - TTW - Global - ton CO2/ton fuel</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row>
        <row r="752">
          <cell r="B752" t="str">
            <v>e-diesel (PS) - Total emissions - TTW - Global - ton CH4/ton fuel</v>
          </cell>
          <cell r="G752">
            <v>5.0000000000000002E-5</v>
          </cell>
          <cell r="H752">
            <v>5.0000000000000002E-5</v>
          </cell>
          <cell r="I752">
            <v>5.0000000000000002E-5</v>
          </cell>
          <cell r="J752">
            <v>5.0000000000000002E-5</v>
          </cell>
          <cell r="K752">
            <v>5.0000000000000002E-5</v>
          </cell>
          <cell r="L752">
            <v>5.0000000000000002E-5</v>
          </cell>
          <cell r="M752">
            <v>5.0000000000000002E-5</v>
          </cell>
          <cell r="N752">
            <v>5.0000000000000002E-5</v>
          </cell>
          <cell r="O752">
            <v>5.0000000000000002E-5</v>
          </cell>
          <cell r="P752">
            <v>5.0000000000000002E-5</v>
          </cell>
          <cell r="Q752">
            <v>5.0000000000000002E-5</v>
          </cell>
          <cell r="R752">
            <v>5.0000000000000002E-5</v>
          </cell>
          <cell r="S752">
            <v>5.0000000000000002E-5</v>
          </cell>
          <cell r="T752">
            <v>5.0000000000000002E-5</v>
          </cell>
          <cell r="U752">
            <v>5.0000000000000002E-5</v>
          </cell>
          <cell r="V752">
            <v>5.0000000000000002E-5</v>
          </cell>
          <cell r="W752">
            <v>5.0000000000000002E-5</v>
          </cell>
          <cell r="X752">
            <v>5.0000000000000002E-5</v>
          </cell>
          <cell r="Y752">
            <v>5.0000000000000002E-5</v>
          </cell>
          <cell r="Z752">
            <v>5.0000000000000002E-5</v>
          </cell>
          <cell r="AA752">
            <v>5.0000000000000002E-5</v>
          </cell>
          <cell r="AB752">
            <v>5.0000000000000002E-5</v>
          </cell>
          <cell r="AC752">
            <v>5.0000000000000002E-5</v>
          </cell>
          <cell r="AD752">
            <v>5.0000000000000002E-5</v>
          </cell>
          <cell r="AE752">
            <v>5.0000000000000002E-5</v>
          </cell>
          <cell r="AF752">
            <v>5.0000000000000002E-5</v>
          </cell>
          <cell r="AG752">
            <v>5.0000000000000002E-5</v>
          </cell>
          <cell r="AH752">
            <v>5.0000000000000002E-5</v>
          </cell>
        </row>
        <row r="753">
          <cell r="B753" t="str">
            <v>e-diesel (PS) - Total emissions - TTW - Global - ton N2O/ton fuel</v>
          </cell>
          <cell r="G753">
            <v>1.8000000000000001E-4</v>
          </cell>
          <cell r="H753">
            <v>1.8000000000000001E-4</v>
          </cell>
          <cell r="I753">
            <v>1.8000000000000001E-4</v>
          </cell>
          <cell r="J753">
            <v>1.8000000000000001E-4</v>
          </cell>
          <cell r="K753">
            <v>1.8000000000000001E-4</v>
          </cell>
          <cell r="L753">
            <v>1.8000000000000001E-4</v>
          </cell>
          <cell r="M753">
            <v>1.8000000000000001E-4</v>
          </cell>
          <cell r="N753">
            <v>1.8000000000000001E-4</v>
          </cell>
          <cell r="O753">
            <v>1.8000000000000001E-4</v>
          </cell>
          <cell r="P753">
            <v>1.8000000000000001E-4</v>
          </cell>
          <cell r="Q753">
            <v>1.8000000000000001E-4</v>
          </cell>
          <cell r="R753">
            <v>1.8000000000000001E-4</v>
          </cell>
          <cell r="S753">
            <v>1.8000000000000001E-4</v>
          </cell>
          <cell r="T753">
            <v>1.8000000000000001E-4</v>
          </cell>
          <cell r="U753">
            <v>1.8000000000000001E-4</v>
          </cell>
          <cell r="V753">
            <v>1.8000000000000001E-4</v>
          </cell>
          <cell r="W753">
            <v>1.8000000000000001E-4</v>
          </cell>
          <cell r="X753">
            <v>1.8000000000000001E-4</v>
          </cell>
          <cell r="Y753">
            <v>1.8000000000000001E-4</v>
          </cell>
          <cell r="Z753">
            <v>1.8000000000000001E-4</v>
          </cell>
          <cell r="AA753">
            <v>1.8000000000000001E-4</v>
          </cell>
          <cell r="AB753">
            <v>1.8000000000000001E-4</v>
          </cell>
          <cell r="AC753">
            <v>1.8000000000000001E-4</v>
          </cell>
          <cell r="AD753">
            <v>1.8000000000000001E-4</v>
          </cell>
          <cell r="AE753">
            <v>1.8000000000000001E-4</v>
          </cell>
          <cell r="AF753">
            <v>1.8000000000000001E-4</v>
          </cell>
          <cell r="AG753">
            <v>1.8000000000000001E-4</v>
          </cell>
          <cell r="AH753">
            <v>1.8000000000000001E-4</v>
          </cell>
        </row>
        <row r="754">
          <cell r="B754" t="str">
            <v>e-diesel - TTW emissions (carbon dioxide) - Global - ton CO2/ton fuel</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row>
        <row r="755">
          <cell r="B755" t="str">
            <v>e-diesel - TTW emissions (methane) - Global - ton CH4/ton fuel</v>
          </cell>
          <cell r="G755">
            <v>5.0000000000000002E-5</v>
          </cell>
          <cell r="H755">
            <v>5.0000000000000002E-5</v>
          </cell>
          <cell r="I755">
            <v>5.0000000000000002E-5</v>
          </cell>
          <cell r="J755">
            <v>5.0000000000000002E-5</v>
          </cell>
          <cell r="K755">
            <v>5.0000000000000002E-5</v>
          </cell>
          <cell r="L755">
            <v>5.0000000000000002E-5</v>
          </cell>
          <cell r="M755">
            <v>5.0000000000000002E-5</v>
          </cell>
          <cell r="N755">
            <v>5.0000000000000002E-5</v>
          </cell>
          <cell r="O755">
            <v>5.0000000000000002E-5</v>
          </cell>
          <cell r="P755">
            <v>5.0000000000000002E-5</v>
          </cell>
          <cell r="Q755">
            <v>5.0000000000000002E-5</v>
          </cell>
          <cell r="R755">
            <v>5.0000000000000002E-5</v>
          </cell>
          <cell r="S755">
            <v>5.0000000000000002E-5</v>
          </cell>
          <cell r="T755">
            <v>5.0000000000000002E-5</v>
          </cell>
          <cell r="U755">
            <v>5.0000000000000002E-5</v>
          </cell>
          <cell r="V755">
            <v>5.0000000000000002E-5</v>
          </cell>
          <cell r="W755">
            <v>5.0000000000000002E-5</v>
          </cell>
          <cell r="X755">
            <v>5.0000000000000002E-5</v>
          </cell>
          <cell r="Y755">
            <v>5.0000000000000002E-5</v>
          </cell>
          <cell r="Z755">
            <v>5.0000000000000002E-5</v>
          </cell>
          <cell r="AA755">
            <v>5.0000000000000002E-5</v>
          </cell>
          <cell r="AB755">
            <v>5.0000000000000002E-5</v>
          </cell>
          <cell r="AC755">
            <v>5.0000000000000002E-5</v>
          </cell>
          <cell r="AD755">
            <v>5.0000000000000002E-5</v>
          </cell>
          <cell r="AE755">
            <v>5.0000000000000002E-5</v>
          </cell>
          <cell r="AF755">
            <v>5.0000000000000002E-5</v>
          </cell>
          <cell r="AG755">
            <v>5.0000000000000002E-5</v>
          </cell>
          <cell r="AH755">
            <v>5.0000000000000002E-5</v>
          </cell>
        </row>
        <row r="756">
          <cell r="B756" t="str">
            <v>e-diesel - TTW emissions (nitrous oxide) - Global - ton N2O/ton fuel</v>
          </cell>
          <cell r="G756">
            <v>1.8000000000000001E-4</v>
          </cell>
          <cell r="H756">
            <v>1.8000000000000001E-4</v>
          </cell>
          <cell r="I756">
            <v>1.8000000000000001E-4</v>
          </cell>
          <cell r="J756">
            <v>1.8000000000000001E-4</v>
          </cell>
          <cell r="K756">
            <v>1.8000000000000001E-4</v>
          </cell>
          <cell r="L756">
            <v>1.8000000000000001E-4</v>
          </cell>
          <cell r="M756">
            <v>1.8000000000000001E-4</v>
          </cell>
          <cell r="N756">
            <v>1.8000000000000001E-4</v>
          </cell>
          <cell r="O756">
            <v>1.8000000000000001E-4</v>
          </cell>
          <cell r="P756">
            <v>1.8000000000000001E-4</v>
          </cell>
          <cell r="Q756">
            <v>1.8000000000000001E-4</v>
          </cell>
          <cell r="R756">
            <v>1.8000000000000001E-4</v>
          </cell>
          <cell r="S756">
            <v>1.8000000000000001E-4</v>
          </cell>
          <cell r="T756">
            <v>1.8000000000000001E-4</v>
          </cell>
          <cell r="U756">
            <v>1.8000000000000001E-4</v>
          </cell>
          <cell r="V756">
            <v>1.8000000000000001E-4</v>
          </cell>
          <cell r="W756">
            <v>1.8000000000000001E-4</v>
          </cell>
          <cell r="X756">
            <v>1.8000000000000001E-4</v>
          </cell>
          <cell r="Y756">
            <v>1.8000000000000001E-4</v>
          </cell>
          <cell r="Z756">
            <v>1.8000000000000001E-4</v>
          </cell>
          <cell r="AA756">
            <v>1.8000000000000001E-4</v>
          </cell>
          <cell r="AB756">
            <v>1.8000000000000001E-4</v>
          </cell>
          <cell r="AC756">
            <v>1.8000000000000001E-4</v>
          </cell>
          <cell r="AD756">
            <v>1.8000000000000001E-4</v>
          </cell>
          <cell r="AE756">
            <v>1.8000000000000001E-4</v>
          </cell>
          <cell r="AF756">
            <v>1.8000000000000001E-4</v>
          </cell>
          <cell r="AG756">
            <v>1.8000000000000001E-4</v>
          </cell>
          <cell r="AH756">
            <v>1.8000000000000001E-4</v>
          </cell>
        </row>
        <row r="757">
          <cell r="B757" t="str">
            <v/>
          </cell>
        </row>
        <row r="758">
          <cell r="B758" t="str">
            <v>e-diesel (PS) - Total emissions - WTT - Global - ton CO2eq/ton fuel</v>
          </cell>
          <cell r="G758">
            <v>0.14661093699234135</v>
          </cell>
          <cell r="H758">
            <v>0.14641666704922723</v>
          </cell>
          <cell r="I758">
            <v>0.14619556500000064</v>
          </cell>
          <cell r="J758">
            <v>0.14588871245717069</v>
          </cell>
          <cell r="K758">
            <v>0.14553661750555633</v>
          </cell>
          <cell r="L758">
            <v>0.14513928014515587</v>
          </cell>
          <cell r="M758">
            <v>0.14469670037597229</v>
          </cell>
          <cell r="N758">
            <v>0.14420887819800193</v>
          </cell>
          <cell r="O758">
            <v>0.14330250267816386</v>
          </cell>
          <cell r="P758">
            <v>0.1423524713555272</v>
          </cell>
          <cell r="Q758">
            <v>0.14135878423008977</v>
          </cell>
          <cell r="R758">
            <v>0.14032144130184934</v>
          </cell>
          <cell r="S758">
            <v>0.13924044257080972</v>
          </cell>
          <cell r="T758">
            <v>0.13811687082926702</v>
          </cell>
          <cell r="U758">
            <v>0.13696303447834449</v>
          </cell>
          <cell r="V758">
            <v>0.13577893351804671</v>
          </cell>
          <cell r="W758">
            <v>0.13456456794836744</v>
          </cell>
          <cell r="X758">
            <v>0.13331993776930823</v>
          </cell>
          <cell r="Y758">
            <v>0.1317214492766812</v>
          </cell>
          <cell r="Z758">
            <v>0.13014017212736495</v>
          </cell>
          <cell r="AA758">
            <v>0.12857610632136243</v>
          </cell>
          <cell r="AB758">
            <v>0.12702925185867076</v>
          </cell>
          <cell r="AC758">
            <v>0.12549960873929203</v>
          </cell>
          <cell r="AD758">
            <v>0.12421977354509195</v>
          </cell>
          <cell r="AE758">
            <v>0.12296203507406298</v>
          </cell>
          <cell r="AF758">
            <v>0.1217263933262045</v>
          </cell>
          <cell r="AG758">
            <v>0.12051284830151676</v>
          </cell>
          <cell r="AH758">
            <v>0.11932140000000008</v>
          </cell>
        </row>
        <row r="759">
          <cell r="B759" t="str">
            <v>e-diesel (PS) - Total emissions - WTT - Global - ton CO2eq/ton fuel</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row>
        <row r="760">
          <cell r="B760" t="str">
            <v>e-diesel (PS) - Total emissions - WTT - Global - ton CO2eq/ton fuel</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row>
        <row r="761">
          <cell r="B761" t="str">
            <v/>
          </cell>
        </row>
        <row r="762">
          <cell r="B762" t="str">
            <v>e-diesel (PS) - Process-related emissions - WTT - Global - ton CO2/ton fuel</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row>
        <row r="763">
          <cell r="B763" t="str">
            <v>e-diesel (PS) - Process-related emissions - WTT - Global - ton CH4/ton fuel</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row>
        <row r="764">
          <cell r="B764" t="str">
            <v>e-diesel (PS) - Process-related emissions - WTT - Global - ton N2O/ton fuel</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row>
        <row r="765">
          <cell r="B765" t="str">
            <v>e-diesel - Process WTT emissions (carbon dioxide) - Global - ton CO2/ton fuel</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row>
        <row r="766">
          <cell r="B766" t="str">
            <v>e-diesel - Process WTT emissions (methane) - Global - ton CH4/ton fuel</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row>
        <row r="767">
          <cell r="B767" t="str">
            <v>e-diesel - Process WTT emissions (nitrous oxide) - Global - ton N2O/ton fuel</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row>
        <row r="768">
          <cell r="B768" t="str">
            <v/>
          </cell>
        </row>
        <row r="769">
          <cell r="B769" t="str">
            <v>e-diesel (PS) - Energy-related emissions - WTT - Global - ton CO2/ton fuel</v>
          </cell>
          <cell r="G769">
            <v>2.2253082272719405E-3</v>
          </cell>
          <cell r="H769">
            <v>2.1866541136359757E-3</v>
          </cell>
          <cell r="I769">
            <v>2.1480000000000019E-3</v>
          </cell>
          <cell r="J769">
            <v>2.1125367616974724E-3</v>
          </cell>
          <cell r="K769">
            <v>2.0770735233949429E-3</v>
          </cell>
          <cell r="L769">
            <v>2.0416102850924133E-3</v>
          </cell>
          <cell r="M769">
            <v>2.0061470467898834E-3</v>
          </cell>
          <cell r="N769">
            <v>1.9706838084873539E-3</v>
          </cell>
          <cell r="O769">
            <v>1.9381480405547069E-3</v>
          </cell>
          <cell r="P769">
            <v>1.9056122726220598E-3</v>
          </cell>
          <cell r="Q769">
            <v>1.8730765046894129E-3</v>
          </cell>
          <cell r="R769">
            <v>1.8405407367567657E-3</v>
          </cell>
          <cell r="S769">
            <v>1.8080049688241186E-3</v>
          </cell>
          <cell r="T769">
            <v>1.7781550102293439E-3</v>
          </cell>
          <cell r="U769">
            <v>1.7483050516345785E-3</v>
          </cell>
          <cell r="V769">
            <v>1.7184550930398035E-3</v>
          </cell>
          <cell r="W769">
            <v>1.6886051344450288E-3</v>
          </cell>
          <cell r="X769">
            <v>1.6587551758502634E-3</v>
          </cell>
          <cell r="Y769">
            <v>1.631369314543597E-3</v>
          </cell>
          <cell r="Z769">
            <v>1.6039834532369211E-3</v>
          </cell>
          <cell r="AA769">
            <v>1.5765975919302452E-3</v>
          </cell>
          <cell r="AB769">
            <v>1.5492117306235788E-3</v>
          </cell>
          <cell r="AC769">
            <v>1.5218258693169028E-3</v>
          </cell>
          <cell r="AD769">
            <v>1.4967006954535182E-3</v>
          </cell>
          <cell r="AE769">
            <v>1.4715755215901432E-3</v>
          </cell>
          <cell r="AF769">
            <v>1.4464503477267584E-3</v>
          </cell>
          <cell r="AG769">
            <v>1.4213251738633738E-3</v>
          </cell>
          <cell r="AH769">
            <v>1.3961999999999987E-3</v>
          </cell>
        </row>
        <row r="770">
          <cell r="B770" t="str">
            <v>e-diesel (PS) - Energy-related emissions - WTT - Global - ton CH4/ton fuel</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row>
        <row r="771">
          <cell r="B771" t="str">
            <v>e-diesel (PS) - Energy-related emissions - WTT - Global - ton N2O/ton fuel</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row>
        <row r="772">
          <cell r="B772" t="str">
            <v>Renewable electricity - Feedstock WTT emissions (carbon dioxide) - Global - ton CO2/MWh</v>
          </cell>
          <cell r="G772">
            <v>5.3699999999999998E-3</v>
          </cell>
          <cell r="H772">
            <v>5.3699999999999998E-3</v>
          </cell>
          <cell r="I772">
            <v>5.3699999999999998E-3</v>
          </cell>
          <cell r="J772">
            <v>5.3699999999999998E-3</v>
          </cell>
          <cell r="K772">
            <v>5.3699999999999998E-3</v>
          </cell>
          <cell r="L772">
            <v>5.3699999999999998E-3</v>
          </cell>
          <cell r="M772">
            <v>5.3699999999999998E-3</v>
          </cell>
          <cell r="N772">
            <v>5.3699999999999998E-3</v>
          </cell>
          <cell r="O772">
            <v>5.3699999999999998E-3</v>
          </cell>
          <cell r="P772">
            <v>5.3699999999999998E-3</v>
          </cell>
          <cell r="Q772">
            <v>5.3699999999999998E-3</v>
          </cell>
          <cell r="R772">
            <v>5.3699999999999998E-3</v>
          </cell>
          <cell r="S772">
            <v>5.3699999999999998E-3</v>
          </cell>
          <cell r="T772">
            <v>5.3699999999999998E-3</v>
          </cell>
          <cell r="U772">
            <v>5.3699999999999998E-3</v>
          </cell>
          <cell r="V772">
            <v>5.3699999999999998E-3</v>
          </cell>
          <cell r="W772">
            <v>5.3699999999999998E-3</v>
          </cell>
          <cell r="X772">
            <v>5.3699999999999998E-3</v>
          </cell>
          <cell r="Y772">
            <v>5.3699999999999998E-3</v>
          </cell>
          <cell r="Z772">
            <v>5.3699999999999998E-3</v>
          </cell>
          <cell r="AA772">
            <v>5.3699999999999998E-3</v>
          </cell>
          <cell r="AB772">
            <v>5.3699999999999998E-3</v>
          </cell>
          <cell r="AC772">
            <v>5.3699999999999998E-3</v>
          </cell>
          <cell r="AD772">
            <v>5.3699999999999998E-3</v>
          </cell>
          <cell r="AE772">
            <v>5.3699999999999998E-3</v>
          </cell>
          <cell r="AF772">
            <v>5.3699999999999998E-3</v>
          </cell>
          <cell r="AG772">
            <v>5.3699999999999998E-3</v>
          </cell>
          <cell r="AH772">
            <v>5.3699999999999998E-3</v>
          </cell>
        </row>
        <row r="773">
          <cell r="B773" t="str">
            <v>Renewable electricity - Feedstock WTT emissions (methane) - Global - ton CH4/MWh</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row>
        <row r="774">
          <cell r="B774" t="str">
            <v>Renewable electricity - Feedstock WTT emissions (nitrous oxide) - Global - ton N2O/MWh</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row>
        <row r="775">
          <cell r="B775" t="str">
            <v>e-diesel - Energy demand - Global - MWh/ton fuel</v>
          </cell>
          <cell r="G775">
            <v>0.41439631792773568</v>
          </cell>
          <cell r="H775">
            <v>0.40719815896386891</v>
          </cell>
          <cell r="I775">
            <v>0.40000000000000036</v>
          </cell>
          <cell r="J775">
            <v>0.39339604500884029</v>
          </cell>
          <cell r="K775">
            <v>0.38679209001768022</v>
          </cell>
          <cell r="L775">
            <v>0.38018813502652016</v>
          </cell>
          <cell r="M775">
            <v>0.37358418003536009</v>
          </cell>
          <cell r="N775">
            <v>0.36698022504420003</v>
          </cell>
          <cell r="O775">
            <v>0.3609214228221056</v>
          </cell>
          <cell r="P775">
            <v>0.35486262060001117</v>
          </cell>
          <cell r="Q775">
            <v>0.34880381837791674</v>
          </cell>
          <cell r="R775">
            <v>0.34274501615582231</v>
          </cell>
          <cell r="S775">
            <v>0.33668621393372788</v>
          </cell>
          <cell r="T775">
            <v>0.33112756242632102</v>
          </cell>
          <cell r="U775">
            <v>0.32556891091891593</v>
          </cell>
          <cell r="V775">
            <v>0.32001025941150907</v>
          </cell>
          <cell r="W775">
            <v>0.3144516079041022</v>
          </cell>
          <cell r="X775">
            <v>0.30889295639669712</v>
          </cell>
          <cell r="Y775">
            <v>0.30379316844387283</v>
          </cell>
          <cell r="Z775">
            <v>0.29869338049104677</v>
          </cell>
          <cell r="AA775">
            <v>0.2935935925382207</v>
          </cell>
          <cell r="AB775">
            <v>0.28849380458539642</v>
          </cell>
          <cell r="AC775">
            <v>0.28339401663257036</v>
          </cell>
          <cell r="AD775">
            <v>0.27871521330605553</v>
          </cell>
          <cell r="AE775">
            <v>0.27403640997954248</v>
          </cell>
          <cell r="AF775">
            <v>0.26935760665302766</v>
          </cell>
          <cell r="AG775">
            <v>0.26467880332651283</v>
          </cell>
          <cell r="AH775">
            <v>0.25999999999999979</v>
          </cell>
        </row>
        <row r="776">
          <cell r="B776" t="str">
            <v/>
          </cell>
        </row>
        <row r="777">
          <cell r="B777" t="str">
            <v>e-diesel (PS) - Feedstock-related emissions - WTT - Global - ton CO2/ton fuel</v>
          </cell>
          <cell r="G777">
            <v>0.14438562876506941</v>
          </cell>
          <cell r="H777">
            <v>0.14423001293559126</v>
          </cell>
          <cell r="I777">
            <v>0.14404756500000063</v>
          </cell>
          <cell r="J777">
            <v>0.14377617569547321</v>
          </cell>
          <cell r="K777">
            <v>0.14345954398216137</v>
          </cell>
          <cell r="L777">
            <v>0.14309766986006345</v>
          </cell>
          <cell r="M777">
            <v>0.1426905533291824</v>
          </cell>
          <cell r="N777">
            <v>0.14223819438951457</v>
          </cell>
          <cell r="O777">
            <v>0.14136435463760916</v>
          </cell>
          <cell r="P777">
            <v>0.14044685908290513</v>
          </cell>
          <cell r="Q777">
            <v>0.13948570772540037</v>
          </cell>
          <cell r="R777">
            <v>0.13848090056509257</v>
          </cell>
          <cell r="S777">
            <v>0.13743243760198562</v>
          </cell>
          <cell r="T777">
            <v>0.13633871581903767</v>
          </cell>
          <cell r="U777">
            <v>0.1352147294267099</v>
          </cell>
          <cell r="V777">
            <v>0.1340604784250069</v>
          </cell>
          <cell r="W777">
            <v>0.13287596281392242</v>
          </cell>
          <cell r="X777">
            <v>0.13166118259345796</v>
          </cell>
          <cell r="Y777">
            <v>0.13009007996213759</v>
          </cell>
          <cell r="Z777">
            <v>0.12853618867412803</v>
          </cell>
          <cell r="AA777">
            <v>0.12699950872943219</v>
          </cell>
          <cell r="AB777">
            <v>0.12548004012804717</v>
          </cell>
          <cell r="AC777">
            <v>0.12397778286997513</v>
          </cell>
          <cell r="AD777">
            <v>0.12272307284963843</v>
          </cell>
          <cell r="AE777">
            <v>0.12149045955247283</v>
          </cell>
          <cell r="AF777">
            <v>0.12027994297847774</v>
          </cell>
          <cell r="AG777">
            <v>0.11909152312765339</v>
          </cell>
          <cell r="AH777">
            <v>0.11792520000000008</v>
          </cell>
        </row>
        <row r="778">
          <cell r="B778" t="str">
            <v>e-diesel (PS) - Feedstock-related emissions - WTT - Global - ton CH4/ton fuel</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row>
        <row r="779">
          <cell r="B779" t="str">
            <v>e-diesel (PS) - Feedstock-related emissions - WTT - Global - ton N2O/ton fuel</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row>
        <row r="780">
          <cell r="B780" t="str">
            <v>e-hydrogen (compressed) - Feedstock WTT emissions (carbon dioxide) - Global - ton CO2/ton H2</v>
          </cell>
          <cell r="G780">
            <v>0.29069928460653066</v>
          </cell>
          <cell r="H780">
            <v>0.29036818709700268</v>
          </cell>
          <cell r="I780">
            <v>0.28998000000000135</v>
          </cell>
          <cell r="J780">
            <v>0.28940257594781538</v>
          </cell>
          <cell r="K780">
            <v>0.28872889145140718</v>
          </cell>
          <cell r="L780">
            <v>0.28795894651077331</v>
          </cell>
          <cell r="M780">
            <v>0.28709274112591998</v>
          </cell>
          <cell r="N780">
            <v>0.28613027529683954</v>
          </cell>
          <cell r="O780">
            <v>0.28427104178214713</v>
          </cell>
          <cell r="P780">
            <v>0.28231892358064925</v>
          </cell>
          <cell r="Q780">
            <v>0.28027392069234119</v>
          </cell>
          <cell r="R780">
            <v>0.27813603311721824</v>
          </cell>
          <cell r="S780">
            <v>0.27590526085528855</v>
          </cell>
          <cell r="T780">
            <v>0.27357819323199506</v>
          </cell>
          <cell r="U780">
            <v>0.27118673282278699</v>
          </cell>
          <cell r="V780">
            <v>0.26873087962767428</v>
          </cell>
          <cell r="W780">
            <v>0.26621063364664344</v>
          </cell>
          <cell r="X780">
            <v>0.26362599487969779</v>
          </cell>
          <cell r="Y780">
            <v>0.26028322332369702</v>
          </cell>
          <cell r="Z780">
            <v>0.25697707164708095</v>
          </cell>
          <cell r="AA780">
            <v>0.25370753984985572</v>
          </cell>
          <cell r="AB780">
            <v>0.25047462793201525</v>
          </cell>
          <cell r="AC780">
            <v>0.2472783358935641</v>
          </cell>
          <cell r="AD780">
            <v>0.24460874010561368</v>
          </cell>
          <cell r="AE780">
            <v>0.24198615862228262</v>
          </cell>
          <cell r="AF780">
            <v>0.23941059144356966</v>
          </cell>
          <cell r="AG780">
            <v>0.23688203856947532</v>
          </cell>
          <cell r="AH780">
            <v>0.23440050000000018</v>
          </cell>
        </row>
        <row r="781">
          <cell r="B781" t="str">
            <v>e-hydrogen (compressed) - Feedstock WTT emissions (methane) - Global - ton CH4/ton H2</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row>
        <row r="782">
          <cell r="B782" t="str">
            <v>e-hydrogen (compressed) - Feedstock WTT emissions (nitrous oxide) - Global - ton N2O/ton H2</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row>
        <row r="783">
          <cell r="B783" t="str">
            <v>Carbon dioxide (PS) - Feedstock WTT emissions (carbon dioxide) - Global - ton CO2/ton CO2</v>
          </cell>
          <cell r="G783">
            <v>2.4164999999999998E-3</v>
          </cell>
          <cell r="H783">
            <v>2.4164999999999998E-3</v>
          </cell>
          <cell r="I783">
            <v>2.4164999999999998E-3</v>
          </cell>
          <cell r="J783">
            <v>2.4164999999999998E-3</v>
          </cell>
          <cell r="K783">
            <v>2.4164999999999998E-3</v>
          </cell>
          <cell r="L783">
            <v>2.4164999999999998E-3</v>
          </cell>
          <cell r="M783">
            <v>2.4164999999999998E-3</v>
          </cell>
          <cell r="N783">
            <v>2.4164999999999998E-3</v>
          </cell>
          <cell r="O783">
            <v>2.4164999999999998E-3</v>
          </cell>
          <cell r="P783">
            <v>2.4164999999999998E-3</v>
          </cell>
          <cell r="Q783">
            <v>2.4164999999999998E-3</v>
          </cell>
          <cell r="R783">
            <v>2.4164999999999998E-3</v>
          </cell>
          <cell r="S783">
            <v>2.4164999999999998E-3</v>
          </cell>
          <cell r="T783">
            <v>2.4164999999999998E-3</v>
          </cell>
          <cell r="U783">
            <v>2.4164999999999998E-3</v>
          </cell>
          <cell r="V783">
            <v>2.4164999999999998E-3</v>
          </cell>
          <cell r="W783">
            <v>2.4164999999999998E-3</v>
          </cell>
          <cell r="X783">
            <v>2.4164999999999998E-3</v>
          </cell>
          <cell r="Y783">
            <v>2.4164999999999998E-3</v>
          </cell>
          <cell r="Z783">
            <v>2.4164999999999998E-3</v>
          </cell>
          <cell r="AA783">
            <v>2.4164999999999998E-3</v>
          </cell>
          <cell r="AB783">
            <v>2.4164999999999998E-3</v>
          </cell>
          <cell r="AC783">
            <v>2.4164999999999998E-3</v>
          </cell>
          <cell r="AD783">
            <v>2.4164999999999998E-3</v>
          </cell>
          <cell r="AE783">
            <v>2.4164999999999998E-3</v>
          </cell>
          <cell r="AF783">
            <v>2.4164999999999998E-3</v>
          </cell>
          <cell r="AG783">
            <v>2.4164999999999998E-3</v>
          </cell>
          <cell r="AH783">
            <v>2.4164999999999998E-3</v>
          </cell>
        </row>
        <row r="784">
          <cell r="B784" t="str">
            <v>Carbon dioxide (PS) - Feedstock WTT emissions (methane) - Global - ton CH4/ton CO2</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row>
        <row r="785">
          <cell r="B785" t="str">
            <v>Carbon dioxide (PS) - Feedstock WTT emissions (nitrous oxide) - Global - ton N2O/ton CO2</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row>
        <row r="786">
          <cell r="B786" t="str">
            <v>e-diesel - Conversion H2 -&gt; diesel - Global - ton H2/ton diesel</v>
          </cell>
          <cell r="G786">
            <v>0.47</v>
          </cell>
          <cell r="H786">
            <v>0.47</v>
          </cell>
          <cell r="I786">
            <v>0.47</v>
          </cell>
          <cell r="J786">
            <v>0.47</v>
          </cell>
          <cell r="K786">
            <v>0.47</v>
          </cell>
          <cell r="L786">
            <v>0.47</v>
          </cell>
          <cell r="M786">
            <v>0.47</v>
          </cell>
          <cell r="N786">
            <v>0.47</v>
          </cell>
          <cell r="O786">
            <v>0.47</v>
          </cell>
          <cell r="P786">
            <v>0.47</v>
          </cell>
          <cell r="Q786">
            <v>0.47</v>
          </cell>
          <cell r="R786">
            <v>0.47</v>
          </cell>
          <cell r="S786">
            <v>0.47</v>
          </cell>
          <cell r="T786">
            <v>0.47</v>
          </cell>
          <cell r="U786">
            <v>0.47</v>
          </cell>
          <cell r="V786">
            <v>0.47</v>
          </cell>
          <cell r="W786">
            <v>0.47</v>
          </cell>
          <cell r="X786">
            <v>0.47</v>
          </cell>
          <cell r="Y786">
            <v>0.47</v>
          </cell>
          <cell r="Z786">
            <v>0.47</v>
          </cell>
          <cell r="AA786">
            <v>0.47</v>
          </cell>
          <cell r="AB786">
            <v>0.47</v>
          </cell>
          <cell r="AC786">
            <v>0.47</v>
          </cell>
          <cell r="AD786">
            <v>0.47</v>
          </cell>
          <cell r="AE786">
            <v>0.47</v>
          </cell>
          <cell r="AF786">
            <v>0.47</v>
          </cell>
          <cell r="AG786">
            <v>0.47</v>
          </cell>
          <cell r="AH786">
            <v>0.47</v>
          </cell>
        </row>
        <row r="787">
          <cell r="B787" t="str">
            <v>e-diesel - Conversion CO2 -&gt; diesel - Global - ton CO2/ton diesel</v>
          </cell>
          <cell r="G787">
            <v>3.21</v>
          </cell>
          <cell r="H787">
            <v>3.21</v>
          </cell>
          <cell r="I787">
            <v>3.21</v>
          </cell>
          <cell r="J787">
            <v>3.21</v>
          </cell>
          <cell r="K787">
            <v>3.21</v>
          </cell>
          <cell r="L787">
            <v>3.21</v>
          </cell>
          <cell r="M787">
            <v>3.21</v>
          </cell>
          <cell r="N787">
            <v>3.21</v>
          </cell>
          <cell r="O787">
            <v>3.21</v>
          </cell>
          <cell r="P787">
            <v>3.21</v>
          </cell>
          <cell r="Q787">
            <v>3.21</v>
          </cell>
          <cell r="R787">
            <v>3.21</v>
          </cell>
          <cell r="S787">
            <v>3.21</v>
          </cell>
          <cell r="T787">
            <v>3.21</v>
          </cell>
          <cell r="U787">
            <v>3.21</v>
          </cell>
          <cell r="V787">
            <v>3.21</v>
          </cell>
          <cell r="W787">
            <v>3.21</v>
          </cell>
          <cell r="X787">
            <v>3.21</v>
          </cell>
          <cell r="Y787">
            <v>3.21</v>
          </cell>
          <cell r="Z787">
            <v>3.21</v>
          </cell>
          <cell r="AA787">
            <v>3.21</v>
          </cell>
          <cell r="AB787">
            <v>3.21</v>
          </cell>
          <cell r="AC787">
            <v>3.21</v>
          </cell>
          <cell r="AD787">
            <v>3.21</v>
          </cell>
          <cell r="AE787">
            <v>3.21</v>
          </cell>
          <cell r="AF787">
            <v>3.21</v>
          </cell>
          <cell r="AG787">
            <v>3.21</v>
          </cell>
          <cell r="AH787">
            <v>3.21</v>
          </cell>
        </row>
        <row r="788">
          <cell r="B788" t="str">
            <v/>
          </cell>
        </row>
        <row r="789">
          <cell r="B789" t="str">
            <v>Carbon capture - Item - Region - Unit</v>
          </cell>
          <cell r="G789">
            <v>2023</v>
          </cell>
          <cell r="H789">
            <v>2024</v>
          </cell>
          <cell r="I789">
            <v>2025</v>
          </cell>
          <cell r="J789">
            <v>2026</v>
          </cell>
          <cell r="K789">
            <v>2027</v>
          </cell>
          <cell r="L789">
            <v>2028</v>
          </cell>
          <cell r="M789">
            <v>2029</v>
          </cell>
          <cell r="N789">
            <v>2030</v>
          </cell>
          <cell r="O789">
            <v>2031</v>
          </cell>
          <cell r="P789">
            <v>2032</v>
          </cell>
          <cell r="Q789">
            <v>2033</v>
          </cell>
          <cell r="R789">
            <v>2034</v>
          </cell>
          <cell r="S789">
            <v>2035</v>
          </cell>
          <cell r="T789">
            <v>2036</v>
          </cell>
          <cell r="U789">
            <v>2037</v>
          </cell>
          <cell r="V789">
            <v>2038</v>
          </cell>
          <cell r="W789">
            <v>2039</v>
          </cell>
          <cell r="X789">
            <v>2040</v>
          </cell>
          <cell r="Y789">
            <v>2041</v>
          </cell>
          <cell r="Z789">
            <v>2042</v>
          </cell>
          <cell r="AA789">
            <v>2043</v>
          </cell>
          <cell r="AB789">
            <v>2044</v>
          </cell>
          <cell r="AC789">
            <v>2045</v>
          </cell>
          <cell r="AD789">
            <v>2046</v>
          </cell>
          <cell r="AE789">
            <v>2047</v>
          </cell>
          <cell r="AF789">
            <v>2048</v>
          </cell>
          <cell r="AG789">
            <v>2049</v>
          </cell>
          <cell r="AH789">
            <v>2050</v>
          </cell>
        </row>
        <row r="790">
          <cell r="B790" t="str">
            <v/>
          </cell>
        </row>
        <row r="791">
          <cell r="B791" t="str">
            <v>Carbon capture - Total emissions - WTT - GWP100 - Global - ton CO2eq/ton fuel</v>
          </cell>
          <cell r="G791">
            <v>0.10399999999999965</v>
          </cell>
          <cell r="H791">
            <v>0.10199999999999987</v>
          </cell>
          <cell r="I791">
            <v>9.9999999999999645E-2</v>
          </cell>
          <cell r="J791">
            <v>9.7999999999999865E-2</v>
          </cell>
          <cell r="K791">
            <v>9.5999999999999197E-2</v>
          </cell>
          <cell r="L791">
            <v>9.3999999999999417E-2</v>
          </cell>
          <cell r="M791">
            <v>9.1999999999999638E-2</v>
          </cell>
          <cell r="N791">
            <v>8.999999999999897E-2</v>
          </cell>
          <cell r="O791">
            <v>8.8000000000000078E-2</v>
          </cell>
          <cell r="P791">
            <v>8.6000000000000298E-2</v>
          </cell>
          <cell r="Q791">
            <v>8.4000000000000519E-2</v>
          </cell>
          <cell r="R791">
            <v>8.2000000000000739E-2</v>
          </cell>
          <cell r="S791">
            <v>8.0000000000000071E-2</v>
          </cell>
          <cell r="T791">
            <v>7.8000000000000291E-2</v>
          </cell>
          <cell r="U791">
            <v>7.5999999999999623E-2</v>
          </cell>
          <cell r="V791">
            <v>7.3999999999999844E-2</v>
          </cell>
          <cell r="W791">
            <v>7.2000000000000064E-2</v>
          </cell>
          <cell r="X791">
            <v>6.999999999999984E-2</v>
          </cell>
          <cell r="Y791">
            <v>6.800000000000006E-2</v>
          </cell>
          <cell r="Z791">
            <v>6.6000000000000281E-2</v>
          </cell>
          <cell r="AA791">
            <v>6.3999999999999613E-2</v>
          </cell>
          <cell r="AB791">
            <v>6.1999999999999833E-2</v>
          </cell>
          <cell r="AC791">
            <v>6.0000000000000053E-2</v>
          </cell>
          <cell r="AD791">
            <v>5.7999999999999385E-2</v>
          </cell>
          <cell r="AE791">
            <v>5.5999999999999606E-2</v>
          </cell>
          <cell r="AF791">
            <v>5.3999999999999826E-2</v>
          </cell>
          <cell r="AG791">
            <v>5.2000000000000046E-2</v>
          </cell>
          <cell r="AH791">
            <v>5.0000000000000266E-2</v>
          </cell>
        </row>
        <row r="792">
          <cell r="B792" t="str">
            <v>Carbon capture - Total emissions - WTT - GWP20 - Global - ton CO2eq/ton fuel</v>
          </cell>
          <cell r="G792">
            <v>0.10399999999999965</v>
          </cell>
          <cell r="H792">
            <v>0.10199999999999987</v>
          </cell>
          <cell r="I792">
            <v>9.9999999999999645E-2</v>
          </cell>
          <cell r="J792">
            <v>9.7999999999999865E-2</v>
          </cell>
          <cell r="K792">
            <v>9.5999999999999197E-2</v>
          </cell>
          <cell r="L792">
            <v>9.3999999999999417E-2</v>
          </cell>
          <cell r="M792">
            <v>9.1999999999999638E-2</v>
          </cell>
          <cell r="N792">
            <v>8.999999999999897E-2</v>
          </cell>
          <cell r="O792">
            <v>8.8000000000000078E-2</v>
          </cell>
          <cell r="P792">
            <v>8.6000000000000298E-2</v>
          </cell>
          <cell r="Q792">
            <v>8.4000000000000519E-2</v>
          </cell>
          <cell r="R792">
            <v>8.2000000000000739E-2</v>
          </cell>
          <cell r="S792">
            <v>8.0000000000000071E-2</v>
          </cell>
          <cell r="T792">
            <v>7.8000000000000291E-2</v>
          </cell>
          <cell r="U792">
            <v>7.5999999999999623E-2</v>
          </cell>
          <cell r="V792">
            <v>7.3999999999999844E-2</v>
          </cell>
          <cell r="W792">
            <v>7.2000000000000064E-2</v>
          </cell>
          <cell r="X792">
            <v>6.999999999999984E-2</v>
          </cell>
          <cell r="Y792">
            <v>6.800000000000006E-2</v>
          </cell>
          <cell r="Z792">
            <v>6.6000000000000281E-2</v>
          </cell>
          <cell r="AA792">
            <v>6.3999999999999613E-2</v>
          </cell>
          <cell r="AB792">
            <v>6.1999999999999833E-2</v>
          </cell>
          <cell r="AC792">
            <v>6.0000000000000053E-2</v>
          </cell>
          <cell r="AD792">
            <v>5.7999999999999385E-2</v>
          </cell>
          <cell r="AE792">
            <v>5.5999999999999606E-2</v>
          </cell>
          <cell r="AF792">
            <v>5.3999999999999826E-2</v>
          </cell>
          <cell r="AG792">
            <v>5.2000000000000046E-2</v>
          </cell>
          <cell r="AH792">
            <v>5.0000000000000266E-2</v>
          </cell>
        </row>
        <row r="793">
          <cell r="B793" t="str">
            <v>General - Methane - GWP100 - Global - ton CO2eq/ton fuel</v>
          </cell>
          <cell r="G793">
            <v>29</v>
          </cell>
          <cell r="H793">
            <v>29</v>
          </cell>
          <cell r="I793">
            <v>29</v>
          </cell>
          <cell r="J793">
            <v>29</v>
          </cell>
          <cell r="K793">
            <v>29</v>
          </cell>
          <cell r="L793">
            <v>29</v>
          </cell>
          <cell r="M793">
            <v>29</v>
          </cell>
          <cell r="N793">
            <v>29</v>
          </cell>
          <cell r="O793">
            <v>29</v>
          </cell>
          <cell r="P793">
            <v>29</v>
          </cell>
          <cell r="Q793">
            <v>29</v>
          </cell>
          <cell r="R793">
            <v>29</v>
          </cell>
          <cell r="S793">
            <v>29</v>
          </cell>
          <cell r="T793">
            <v>29</v>
          </cell>
          <cell r="U793">
            <v>29</v>
          </cell>
          <cell r="V793">
            <v>29</v>
          </cell>
          <cell r="W793">
            <v>29</v>
          </cell>
          <cell r="X793">
            <v>29</v>
          </cell>
          <cell r="Y793">
            <v>29</v>
          </cell>
          <cell r="Z793">
            <v>29</v>
          </cell>
          <cell r="AA793">
            <v>29</v>
          </cell>
          <cell r="AB793">
            <v>29</v>
          </cell>
          <cell r="AC793">
            <v>29</v>
          </cell>
          <cell r="AD793">
            <v>29</v>
          </cell>
          <cell r="AE793">
            <v>29</v>
          </cell>
          <cell r="AF793">
            <v>29</v>
          </cell>
          <cell r="AG793">
            <v>29</v>
          </cell>
          <cell r="AH793">
            <v>29</v>
          </cell>
        </row>
        <row r="794">
          <cell r="B794" t="str">
            <v>General - Methane - GWP20 - Global - ton CO2eq/ton fuel</v>
          </cell>
          <cell r="G794">
            <v>85</v>
          </cell>
          <cell r="H794">
            <v>85</v>
          </cell>
          <cell r="I794">
            <v>85</v>
          </cell>
          <cell r="J794">
            <v>85</v>
          </cell>
          <cell r="K794">
            <v>85</v>
          </cell>
          <cell r="L794">
            <v>85</v>
          </cell>
          <cell r="M794">
            <v>85</v>
          </cell>
          <cell r="N794">
            <v>85</v>
          </cell>
          <cell r="O794">
            <v>85</v>
          </cell>
          <cell r="P794">
            <v>85</v>
          </cell>
          <cell r="Q794">
            <v>85</v>
          </cell>
          <cell r="R794">
            <v>85</v>
          </cell>
          <cell r="S794">
            <v>85</v>
          </cell>
          <cell r="T794">
            <v>85</v>
          </cell>
          <cell r="U794">
            <v>85</v>
          </cell>
          <cell r="V794">
            <v>85</v>
          </cell>
          <cell r="W794">
            <v>85</v>
          </cell>
          <cell r="X794">
            <v>85</v>
          </cell>
          <cell r="Y794">
            <v>85</v>
          </cell>
          <cell r="Z794">
            <v>85</v>
          </cell>
          <cell r="AA794">
            <v>85</v>
          </cell>
          <cell r="AB794">
            <v>85</v>
          </cell>
          <cell r="AC794">
            <v>85</v>
          </cell>
          <cell r="AD794">
            <v>85</v>
          </cell>
          <cell r="AE794">
            <v>85</v>
          </cell>
          <cell r="AF794">
            <v>85</v>
          </cell>
          <cell r="AG794">
            <v>85</v>
          </cell>
          <cell r="AH794">
            <v>85</v>
          </cell>
        </row>
        <row r="795">
          <cell r="B795" t="str">
            <v>General - Nitrous oxide - GWP100 - Global - ton CO2eq/ton fuel</v>
          </cell>
          <cell r="G795">
            <v>266</v>
          </cell>
          <cell r="H795">
            <v>266</v>
          </cell>
          <cell r="I795">
            <v>266</v>
          </cell>
          <cell r="J795">
            <v>266</v>
          </cell>
          <cell r="K795">
            <v>266</v>
          </cell>
          <cell r="L795">
            <v>266</v>
          </cell>
          <cell r="M795">
            <v>266</v>
          </cell>
          <cell r="N795">
            <v>266</v>
          </cell>
          <cell r="O795">
            <v>266</v>
          </cell>
          <cell r="P795">
            <v>266</v>
          </cell>
          <cell r="Q795">
            <v>266</v>
          </cell>
          <cell r="R795">
            <v>266</v>
          </cell>
          <cell r="S795">
            <v>266</v>
          </cell>
          <cell r="T795">
            <v>266</v>
          </cell>
          <cell r="U795">
            <v>266</v>
          </cell>
          <cell r="V795">
            <v>266</v>
          </cell>
          <cell r="W795">
            <v>266</v>
          </cell>
          <cell r="X795">
            <v>266</v>
          </cell>
          <cell r="Y795">
            <v>266</v>
          </cell>
          <cell r="Z795">
            <v>266</v>
          </cell>
          <cell r="AA795">
            <v>266</v>
          </cell>
          <cell r="AB795">
            <v>266</v>
          </cell>
          <cell r="AC795">
            <v>266</v>
          </cell>
          <cell r="AD795">
            <v>266</v>
          </cell>
          <cell r="AE795">
            <v>266</v>
          </cell>
          <cell r="AF795">
            <v>266</v>
          </cell>
          <cell r="AG795">
            <v>266</v>
          </cell>
          <cell r="AH795">
            <v>266</v>
          </cell>
        </row>
        <row r="796">
          <cell r="B796" t="str">
            <v>General - Nitrous oxide - GWP20 - Global - ton CO2eq/ton fuel</v>
          </cell>
          <cell r="G796">
            <v>251</v>
          </cell>
          <cell r="H796">
            <v>251</v>
          </cell>
          <cell r="I796">
            <v>251</v>
          </cell>
          <cell r="J796">
            <v>251</v>
          </cell>
          <cell r="K796">
            <v>251</v>
          </cell>
          <cell r="L796">
            <v>251</v>
          </cell>
          <cell r="M796">
            <v>251</v>
          </cell>
          <cell r="N796">
            <v>251</v>
          </cell>
          <cell r="O796">
            <v>251</v>
          </cell>
          <cell r="P796">
            <v>251</v>
          </cell>
          <cell r="Q796">
            <v>251</v>
          </cell>
          <cell r="R796">
            <v>251</v>
          </cell>
          <cell r="S796">
            <v>251</v>
          </cell>
          <cell r="T796">
            <v>251</v>
          </cell>
          <cell r="U796">
            <v>251</v>
          </cell>
          <cell r="V796">
            <v>251</v>
          </cell>
          <cell r="W796">
            <v>251</v>
          </cell>
          <cell r="X796">
            <v>251</v>
          </cell>
          <cell r="Y796">
            <v>251</v>
          </cell>
          <cell r="Z796">
            <v>251</v>
          </cell>
          <cell r="AA796">
            <v>251</v>
          </cell>
          <cell r="AB796">
            <v>251</v>
          </cell>
          <cell r="AC796">
            <v>251</v>
          </cell>
          <cell r="AD796">
            <v>251</v>
          </cell>
          <cell r="AE796">
            <v>251</v>
          </cell>
          <cell r="AF796">
            <v>251</v>
          </cell>
          <cell r="AG796">
            <v>251</v>
          </cell>
          <cell r="AH796">
            <v>251</v>
          </cell>
        </row>
        <row r="797">
          <cell r="B797" t="str">
            <v/>
          </cell>
        </row>
        <row r="798">
          <cell r="B798" t="str">
            <v>Carbon capture - Total emissions - WTT - Global - ton CO2eq/ton fuel</v>
          </cell>
          <cell r="G798">
            <v>0.10399999999999965</v>
          </cell>
          <cell r="H798">
            <v>0.10199999999999987</v>
          </cell>
          <cell r="I798">
            <v>9.9999999999999645E-2</v>
          </cell>
          <cell r="J798">
            <v>9.7999999999999865E-2</v>
          </cell>
          <cell r="K798">
            <v>9.5999999999999197E-2</v>
          </cell>
          <cell r="L798">
            <v>9.3999999999999417E-2</v>
          </cell>
          <cell r="M798">
            <v>9.1999999999999638E-2</v>
          </cell>
          <cell r="N798">
            <v>8.999999999999897E-2</v>
          </cell>
          <cell r="O798">
            <v>8.8000000000000078E-2</v>
          </cell>
          <cell r="P798">
            <v>8.6000000000000298E-2</v>
          </cell>
          <cell r="Q798">
            <v>8.4000000000000519E-2</v>
          </cell>
          <cell r="R798">
            <v>8.2000000000000739E-2</v>
          </cell>
          <cell r="S798">
            <v>8.0000000000000071E-2</v>
          </cell>
          <cell r="T798">
            <v>7.8000000000000291E-2</v>
          </cell>
          <cell r="U798">
            <v>7.5999999999999623E-2</v>
          </cell>
          <cell r="V798">
            <v>7.3999999999999844E-2</v>
          </cell>
          <cell r="W798">
            <v>7.2000000000000064E-2</v>
          </cell>
          <cell r="X798">
            <v>6.999999999999984E-2</v>
          </cell>
          <cell r="Y798">
            <v>6.800000000000006E-2</v>
          </cell>
          <cell r="Z798">
            <v>6.6000000000000281E-2</v>
          </cell>
          <cell r="AA798">
            <v>6.3999999999999613E-2</v>
          </cell>
          <cell r="AB798">
            <v>6.1999999999999833E-2</v>
          </cell>
          <cell r="AC798">
            <v>6.0000000000000053E-2</v>
          </cell>
          <cell r="AD798">
            <v>5.7999999999999385E-2</v>
          </cell>
          <cell r="AE798">
            <v>5.5999999999999606E-2</v>
          </cell>
          <cell r="AF798">
            <v>5.3999999999999826E-2</v>
          </cell>
          <cell r="AG798">
            <v>5.2000000000000046E-2</v>
          </cell>
          <cell r="AH798">
            <v>5.0000000000000266E-2</v>
          </cell>
        </row>
        <row r="799">
          <cell r="B799" t="str">
            <v>Carbon capture - Total emissions - WTT - Global - ton CO2eq/ton fuel</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row>
        <row r="800">
          <cell r="B800" t="str">
            <v>Carbon capture - Total emissions - WTT - Global - ton CO2eq/ton fuel</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row>
        <row r="801">
          <cell r="B801" t="str">
            <v/>
          </cell>
        </row>
        <row r="802">
          <cell r="B802" t="str">
            <v>Carbon capture - Process-related emissions - WTT - Global - ton CO2/ton fuel</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row>
        <row r="803">
          <cell r="B803" t="str">
            <v>Carbon capture - Process-related emissions - WTT - Global - ton CH4/ton fuel</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row>
        <row r="804">
          <cell r="B804" t="str">
            <v>Carbon capture - Process-related emissions - WTT - Global - ton N2O/ton fuel</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row>
        <row r="805">
          <cell r="B805" t="str">
            <v/>
          </cell>
        </row>
        <row r="806">
          <cell r="B806" t="str">
            <v>Carbon capture - Energy-related emissions - WTT - Global - ton CO2/ton fuel</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row>
        <row r="807">
          <cell r="B807" t="str">
            <v>Carbon capture - Energy-related emissions - WTT - Global - ton CH4/ton fuel</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row>
        <row r="808">
          <cell r="B808" t="str">
            <v>Carbon capture - Energy-related emissions - WTT - Global - ton N2O/ton fuel</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row>
        <row r="809">
          <cell r="B809" t="str">
            <v/>
          </cell>
        </row>
        <row r="810">
          <cell r="B810" t="str">
            <v>Carbon capture - Feedstock-related emissions - WTT - Global - ton CO2/ton fuel</v>
          </cell>
          <cell r="G810">
            <v>0.10399999999999965</v>
          </cell>
          <cell r="H810">
            <v>0.10199999999999987</v>
          </cell>
          <cell r="I810">
            <v>9.9999999999999645E-2</v>
          </cell>
          <cell r="J810">
            <v>9.7999999999999865E-2</v>
          </cell>
          <cell r="K810">
            <v>9.5999999999999197E-2</v>
          </cell>
          <cell r="L810">
            <v>9.3999999999999417E-2</v>
          </cell>
          <cell r="M810">
            <v>9.1999999999999638E-2</v>
          </cell>
          <cell r="N810">
            <v>8.999999999999897E-2</v>
          </cell>
          <cell r="O810">
            <v>8.8000000000000078E-2</v>
          </cell>
          <cell r="P810">
            <v>8.6000000000000298E-2</v>
          </cell>
          <cell r="Q810">
            <v>8.4000000000000519E-2</v>
          </cell>
          <cell r="R810">
            <v>8.2000000000000739E-2</v>
          </cell>
          <cell r="S810">
            <v>8.0000000000000071E-2</v>
          </cell>
          <cell r="T810">
            <v>7.8000000000000291E-2</v>
          </cell>
          <cell r="U810">
            <v>7.5999999999999623E-2</v>
          </cell>
          <cell r="V810">
            <v>7.3999999999999844E-2</v>
          </cell>
          <cell r="W810">
            <v>7.2000000000000064E-2</v>
          </cell>
          <cell r="X810">
            <v>6.999999999999984E-2</v>
          </cell>
          <cell r="Y810">
            <v>6.800000000000006E-2</v>
          </cell>
          <cell r="Z810">
            <v>6.6000000000000281E-2</v>
          </cell>
          <cell r="AA810">
            <v>6.3999999999999613E-2</v>
          </cell>
          <cell r="AB810">
            <v>6.1999999999999833E-2</v>
          </cell>
          <cell r="AC810">
            <v>6.0000000000000053E-2</v>
          </cell>
          <cell r="AD810">
            <v>5.7999999999999385E-2</v>
          </cell>
          <cell r="AE810">
            <v>5.5999999999999606E-2</v>
          </cell>
          <cell r="AF810">
            <v>5.3999999999999826E-2</v>
          </cell>
          <cell r="AG810">
            <v>5.2000000000000046E-2</v>
          </cell>
          <cell r="AH810">
            <v>5.0000000000000266E-2</v>
          </cell>
        </row>
        <row r="811">
          <cell r="B811" t="str">
            <v>Carbon capture - Feedstock-related emissions - WTT - Global - ton CH4/ton fuel</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row>
        <row r="812">
          <cell r="B812" t="str">
            <v>Carbon capture - Feedstock-related emissions - WTT - Global - ton N2O/ton fuel</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row>
        <row r="813">
          <cell r="B813" t="str">
            <v>Carbon capture - Carbon capture efficiency - Global - %</v>
          </cell>
          <cell r="G813">
            <v>0.89600000000000035</v>
          </cell>
          <cell r="H813">
            <v>0.89800000000000013</v>
          </cell>
          <cell r="I813">
            <v>0.90000000000000036</v>
          </cell>
          <cell r="J813">
            <v>0.90200000000000014</v>
          </cell>
          <cell r="K813">
            <v>0.9040000000000008</v>
          </cell>
          <cell r="L813">
            <v>0.90600000000000058</v>
          </cell>
          <cell r="M813">
            <v>0.90800000000000036</v>
          </cell>
          <cell r="N813">
            <v>0.91000000000000103</v>
          </cell>
          <cell r="O813">
            <v>0.91199999999999992</v>
          </cell>
          <cell r="P813">
            <v>0.9139999999999997</v>
          </cell>
          <cell r="Q813">
            <v>0.91599999999999948</v>
          </cell>
          <cell r="R813">
            <v>0.91799999999999926</v>
          </cell>
          <cell r="S813">
            <v>0.91999999999999993</v>
          </cell>
          <cell r="T813">
            <v>0.92199999999999971</v>
          </cell>
          <cell r="U813">
            <v>0.92400000000000038</v>
          </cell>
          <cell r="V813">
            <v>0.92600000000000016</v>
          </cell>
          <cell r="W813">
            <v>0.92799999999999994</v>
          </cell>
          <cell r="X813">
            <v>0.93000000000000016</v>
          </cell>
          <cell r="Y813">
            <v>0.93199999999999994</v>
          </cell>
          <cell r="Z813">
            <v>0.93399999999999972</v>
          </cell>
          <cell r="AA813">
            <v>0.93600000000000039</v>
          </cell>
          <cell r="AB813">
            <v>0.93800000000000017</v>
          </cell>
          <cell r="AC813">
            <v>0.94</v>
          </cell>
          <cell r="AD813">
            <v>0.94200000000000061</v>
          </cell>
          <cell r="AE813">
            <v>0.94400000000000039</v>
          </cell>
          <cell r="AF813">
            <v>0.94600000000000017</v>
          </cell>
          <cell r="AG813">
            <v>0.94799999999999995</v>
          </cell>
          <cell r="AH813">
            <v>0.94999999999999973</v>
          </cell>
        </row>
        <row r="814">
          <cell r="B814" t="str">
            <v/>
          </cell>
        </row>
        <row r="815">
          <cell r="B815" t="str">
            <v>Carbon storage - Item - Region - Unit</v>
          </cell>
          <cell r="G815">
            <v>2023</v>
          </cell>
          <cell r="H815">
            <v>2024</v>
          </cell>
          <cell r="I815">
            <v>2025</v>
          </cell>
          <cell r="J815">
            <v>2026</v>
          </cell>
          <cell r="K815">
            <v>2027</v>
          </cell>
          <cell r="L815">
            <v>2028</v>
          </cell>
          <cell r="M815">
            <v>2029</v>
          </cell>
          <cell r="N815">
            <v>2030</v>
          </cell>
          <cell r="O815">
            <v>2031</v>
          </cell>
          <cell r="P815">
            <v>2032</v>
          </cell>
          <cell r="Q815">
            <v>2033</v>
          </cell>
          <cell r="R815">
            <v>2034</v>
          </cell>
          <cell r="S815">
            <v>2035</v>
          </cell>
          <cell r="T815">
            <v>2036</v>
          </cell>
          <cell r="U815">
            <v>2037</v>
          </cell>
          <cell r="V815">
            <v>2038</v>
          </cell>
          <cell r="W815">
            <v>2039</v>
          </cell>
          <cell r="X815">
            <v>2040</v>
          </cell>
          <cell r="Y815">
            <v>2041</v>
          </cell>
          <cell r="Z815">
            <v>2042</v>
          </cell>
          <cell r="AA815">
            <v>2043</v>
          </cell>
          <cell r="AB815">
            <v>2044</v>
          </cell>
          <cell r="AC815">
            <v>2045</v>
          </cell>
          <cell r="AD815">
            <v>2046</v>
          </cell>
          <cell r="AE815">
            <v>2047</v>
          </cell>
          <cell r="AF815">
            <v>2048</v>
          </cell>
          <cell r="AG815">
            <v>2049</v>
          </cell>
          <cell r="AH815">
            <v>2050</v>
          </cell>
        </row>
        <row r="816">
          <cell r="B816" t="str">
            <v/>
          </cell>
        </row>
        <row r="817">
          <cell r="B817" t="str">
            <v>Carbon storage - Total emissions - WTT - GWP100 - Global - ton CO2eq/ton fuel</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row>
        <row r="818">
          <cell r="B818" t="str">
            <v>Carbon storage - Total emissions - WTT - GWP20 - Global - ton CO2eq/ton fuel</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row>
        <row r="819">
          <cell r="B819" t="str">
            <v>General - Methane - GWP100 - Global - ton CO2eq/ton fuel</v>
          </cell>
          <cell r="G819">
            <v>29</v>
          </cell>
          <cell r="H819">
            <v>29</v>
          </cell>
          <cell r="I819">
            <v>29</v>
          </cell>
          <cell r="J819">
            <v>29</v>
          </cell>
          <cell r="K819">
            <v>29</v>
          </cell>
          <cell r="L819">
            <v>29</v>
          </cell>
          <cell r="M819">
            <v>29</v>
          </cell>
          <cell r="N819">
            <v>29</v>
          </cell>
          <cell r="O819">
            <v>29</v>
          </cell>
          <cell r="P819">
            <v>29</v>
          </cell>
          <cell r="Q819">
            <v>29</v>
          </cell>
          <cell r="R819">
            <v>29</v>
          </cell>
          <cell r="S819">
            <v>29</v>
          </cell>
          <cell r="T819">
            <v>29</v>
          </cell>
          <cell r="U819">
            <v>29</v>
          </cell>
          <cell r="V819">
            <v>29</v>
          </cell>
          <cell r="W819">
            <v>29</v>
          </cell>
          <cell r="X819">
            <v>29</v>
          </cell>
          <cell r="Y819">
            <v>29</v>
          </cell>
          <cell r="Z819">
            <v>29</v>
          </cell>
          <cell r="AA819">
            <v>29</v>
          </cell>
          <cell r="AB819">
            <v>29</v>
          </cell>
          <cell r="AC819">
            <v>29</v>
          </cell>
          <cell r="AD819">
            <v>29</v>
          </cell>
          <cell r="AE819">
            <v>29</v>
          </cell>
          <cell r="AF819">
            <v>29</v>
          </cell>
          <cell r="AG819">
            <v>29</v>
          </cell>
          <cell r="AH819">
            <v>29</v>
          </cell>
        </row>
        <row r="820">
          <cell r="B820" t="str">
            <v>General - Methane - GWP20 - Global - ton CO2eq/ton fuel</v>
          </cell>
          <cell r="G820">
            <v>85</v>
          </cell>
          <cell r="H820">
            <v>85</v>
          </cell>
          <cell r="I820">
            <v>85</v>
          </cell>
          <cell r="J820">
            <v>85</v>
          </cell>
          <cell r="K820">
            <v>85</v>
          </cell>
          <cell r="L820">
            <v>85</v>
          </cell>
          <cell r="M820">
            <v>85</v>
          </cell>
          <cell r="N820">
            <v>85</v>
          </cell>
          <cell r="O820">
            <v>85</v>
          </cell>
          <cell r="P820">
            <v>85</v>
          </cell>
          <cell r="Q820">
            <v>85</v>
          </cell>
          <cell r="R820">
            <v>85</v>
          </cell>
          <cell r="S820">
            <v>85</v>
          </cell>
          <cell r="T820">
            <v>85</v>
          </cell>
          <cell r="U820">
            <v>85</v>
          </cell>
          <cell r="V820">
            <v>85</v>
          </cell>
          <cell r="W820">
            <v>85</v>
          </cell>
          <cell r="X820">
            <v>85</v>
          </cell>
          <cell r="Y820">
            <v>85</v>
          </cell>
          <cell r="Z820">
            <v>85</v>
          </cell>
          <cell r="AA820">
            <v>85</v>
          </cell>
          <cell r="AB820">
            <v>85</v>
          </cell>
          <cell r="AC820">
            <v>85</v>
          </cell>
          <cell r="AD820">
            <v>85</v>
          </cell>
          <cell r="AE820">
            <v>85</v>
          </cell>
          <cell r="AF820">
            <v>85</v>
          </cell>
          <cell r="AG820">
            <v>85</v>
          </cell>
          <cell r="AH820">
            <v>85</v>
          </cell>
        </row>
        <row r="821">
          <cell r="B821" t="str">
            <v>General - Nitrous oxide - GWP100 - Global - ton CO2eq/ton fuel</v>
          </cell>
          <cell r="G821">
            <v>266</v>
          </cell>
          <cell r="H821">
            <v>266</v>
          </cell>
          <cell r="I821">
            <v>266</v>
          </cell>
          <cell r="J821">
            <v>266</v>
          </cell>
          <cell r="K821">
            <v>266</v>
          </cell>
          <cell r="L821">
            <v>266</v>
          </cell>
          <cell r="M821">
            <v>266</v>
          </cell>
          <cell r="N821">
            <v>266</v>
          </cell>
          <cell r="O821">
            <v>266</v>
          </cell>
          <cell r="P821">
            <v>266</v>
          </cell>
          <cell r="Q821">
            <v>266</v>
          </cell>
          <cell r="R821">
            <v>266</v>
          </cell>
          <cell r="S821">
            <v>266</v>
          </cell>
          <cell r="T821">
            <v>266</v>
          </cell>
          <cell r="U821">
            <v>266</v>
          </cell>
          <cell r="V821">
            <v>266</v>
          </cell>
          <cell r="W821">
            <v>266</v>
          </cell>
          <cell r="X821">
            <v>266</v>
          </cell>
          <cell r="Y821">
            <v>266</v>
          </cell>
          <cell r="Z821">
            <v>266</v>
          </cell>
          <cell r="AA821">
            <v>266</v>
          </cell>
          <cell r="AB821">
            <v>266</v>
          </cell>
          <cell r="AC821">
            <v>266</v>
          </cell>
          <cell r="AD821">
            <v>266</v>
          </cell>
          <cell r="AE821">
            <v>266</v>
          </cell>
          <cell r="AF821">
            <v>266</v>
          </cell>
          <cell r="AG821">
            <v>266</v>
          </cell>
          <cell r="AH821">
            <v>266</v>
          </cell>
        </row>
        <row r="822">
          <cell r="B822" t="str">
            <v>General - Nitrous oxide - GWP20 - Global - ton CO2eq/ton fuel</v>
          </cell>
          <cell r="G822">
            <v>251</v>
          </cell>
          <cell r="H822">
            <v>251</v>
          </cell>
          <cell r="I822">
            <v>251</v>
          </cell>
          <cell r="J822">
            <v>251</v>
          </cell>
          <cell r="K822">
            <v>251</v>
          </cell>
          <cell r="L822">
            <v>251</v>
          </cell>
          <cell r="M822">
            <v>251</v>
          </cell>
          <cell r="N822">
            <v>251</v>
          </cell>
          <cell r="O822">
            <v>251</v>
          </cell>
          <cell r="P822">
            <v>251</v>
          </cell>
          <cell r="Q822">
            <v>251</v>
          </cell>
          <cell r="R822">
            <v>251</v>
          </cell>
          <cell r="S822">
            <v>251</v>
          </cell>
          <cell r="T822">
            <v>251</v>
          </cell>
          <cell r="U822">
            <v>251</v>
          </cell>
          <cell r="V822">
            <v>251</v>
          </cell>
          <cell r="W822">
            <v>251</v>
          </cell>
          <cell r="X822">
            <v>251</v>
          </cell>
          <cell r="Y822">
            <v>251</v>
          </cell>
          <cell r="Z822">
            <v>251</v>
          </cell>
          <cell r="AA822">
            <v>251</v>
          </cell>
          <cell r="AB822">
            <v>251</v>
          </cell>
          <cell r="AC822">
            <v>251</v>
          </cell>
          <cell r="AD822">
            <v>251</v>
          </cell>
          <cell r="AE822">
            <v>251</v>
          </cell>
          <cell r="AF822">
            <v>251</v>
          </cell>
          <cell r="AG822">
            <v>251</v>
          </cell>
          <cell r="AH822">
            <v>251</v>
          </cell>
        </row>
        <row r="823">
          <cell r="B823" t="str">
            <v/>
          </cell>
        </row>
        <row r="824">
          <cell r="B824" t="str">
            <v>Carbon storage - Total emissions - WTT - Global - ton CO2eq/ton fuel</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row>
        <row r="825">
          <cell r="B825" t="str">
            <v>Carbon storage - Total emissions - WTT - Global - ton CO2eq/ton fuel</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row>
        <row r="826">
          <cell r="B826" t="str">
            <v>Carbon storage - Total emissions - WTT - Global - ton CO2eq/ton fuel</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row>
        <row r="827">
          <cell r="B827" t="str">
            <v/>
          </cell>
        </row>
        <row r="828">
          <cell r="B828" t="str">
            <v>Carbon storage - Process-related emissions - WTT - Global - ton CO2/ton fuel</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row>
        <row r="829">
          <cell r="B829" t="str">
            <v>Carbon storage - Process-related emissions - WTT - Global - ton CH4/ton fuel</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row>
        <row r="830">
          <cell r="B830" t="str">
            <v>Carbon storage - Process-related emissions - WTT - Global - ton N2O/ton fuel</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row>
        <row r="831">
          <cell r="B831" t="str">
            <v/>
          </cell>
        </row>
        <row r="832">
          <cell r="B832" t="str">
            <v>Carbon storage - Energy-related emissions - WTT - Global - ton CO2/ton fuel</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row>
        <row r="833">
          <cell r="B833" t="str">
            <v>Carbon storage - Energy-related emissions - WTT - Global - ton CH4/ton fuel</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row>
        <row r="834">
          <cell r="B834" t="str">
            <v>Carbon storage - Energy-related emissions - WTT - Global - ton N2O/ton fuel</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row>
        <row r="835">
          <cell r="B835" t="str">
            <v/>
          </cell>
        </row>
        <row r="836">
          <cell r="B836" t="str">
            <v>Carbon storage - Feedstock-related emissions - WTT - Global - ton CO2/ton fuel</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row>
        <row r="837">
          <cell r="B837" t="str">
            <v>Carbon storage - Feedstock-related emissions - WTT - Global - ton CH4/ton fuel</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row>
        <row r="838">
          <cell r="B838" t="str">
            <v>Carbon storage - Feedstock-related emissions - WTT - Global - ton N2O/ton fuel</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row>
        <row r="839">
          <cell r="B839" t="str">
            <v/>
          </cell>
        </row>
        <row r="840">
          <cell r="B840" t="str">
            <v>Blue ammonia (CCS) - Item - Region - Unit</v>
          </cell>
          <cell r="G840">
            <v>2023</v>
          </cell>
          <cell r="H840">
            <v>2024</v>
          </cell>
          <cell r="I840">
            <v>2025</v>
          </cell>
          <cell r="J840">
            <v>2026</v>
          </cell>
          <cell r="K840">
            <v>2027</v>
          </cell>
          <cell r="L840">
            <v>2028</v>
          </cell>
          <cell r="M840">
            <v>2029</v>
          </cell>
          <cell r="N840">
            <v>2030</v>
          </cell>
          <cell r="O840">
            <v>2031</v>
          </cell>
          <cell r="P840">
            <v>2032</v>
          </cell>
          <cell r="Q840">
            <v>2033</v>
          </cell>
          <cell r="R840">
            <v>2034</v>
          </cell>
          <cell r="S840">
            <v>2035</v>
          </cell>
          <cell r="T840">
            <v>2036</v>
          </cell>
          <cell r="U840">
            <v>2037</v>
          </cell>
          <cell r="V840">
            <v>2038</v>
          </cell>
          <cell r="W840">
            <v>2039</v>
          </cell>
          <cell r="X840">
            <v>2040</v>
          </cell>
          <cell r="Y840">
            <v>2041</v>
          </cell>
          <cell r="Z840">
            <v>2042</v>
          </cell>
          <cell r="AA840">
            <v>2043</v>
          </cell>
          <cell r="AB840">
            <v>2044</v>
          </cell>
          <cell r="AC840">
            <v>2045</v>
          </cell>
          <cell r="AD840">
            <v>2046</v>
          </cell>
          <cell r="AE840">
            <v>2047</v>
          </cell>
          <cell r="AF840">
            <v>2048</v>
          </cell>
          <cell r="AG840">
            <v>2049</v>
          </cell>
          <cell r="AH840">
            <v>2050</v>
          </cell>
        </row>
        <row r="841">
          <cell r="B841" t="str">
            <v/>
          </cell>
        </row>
        <row r="842">
          <cell r="B842" t="str">
            <v>Blue ammonia (CCS) - Total emissions - WTW - GWP100 - Global - ton CO2eq/ton fuel</v>
          </cell>
          <cell r="G842">
            <v>0.37814721999999934</v>
          </cell>
          <cell r="H842">
            <v>0.37438195999999979</v>
          </cell>
          <cell r="I842">
            <v>0.37061669999999935</v>
          </cell>
          <cell r="J842">
            <v>0.36685143999999981</v>
          </cell>
          <cell r="K842">
            <v>0.36308617999999854</v>
          </cell>
          <cell r="L842">
            <v>0.35932091999999893</v>
          </cell>
          <cell r="M842">
            <v>0.35555565999999938</v>
          </cell>
          <cell r="N842">
            <v>0.35179039999999812</v>
          </cell>
          <cell r="O842">
            <v>0.34802514000000018</v>
          </cell>
          <cell r="P842">
            <v>0.34425988000000063</v>
          </cell>
          <cell r="Q842">
            <v>0.34049462000000102</v>
          </cell>
          <cell r="R842">
            <v>0.33672936000000142</v>
          </cell>
          <cell r="S842">
            <v>0.33296410000000021</v>
          </cell>
          <cell r="T842">
            <v>0.3291988400000006</v>
          </cell>
          <cell r="U842">
            <v>0.32543357999999933</v>
          </cell>
          <cell r="V842">
            <v>0.32166831999999979</v>
          </cell>
          <cell r="W842">
            <v>0.31790306000000018</v>
          </cell>
          <cell r="X842">
            <v>0.31413779999999969</v>
          </cell>
          <cell r="Y842">
            <v>0.31037254000000014</v>
          </cell>
          <cell r="Z842">
            <v>0.30660728000000059</v>
          </cell>
          <cell r="AA842">
            <v>0.30284201999999927</v>
          </cell>
          <cell r="AB842">
            <v>0.29907675999999972</v>
          </cell>
          <cell r="AC842">
            <v>0.29531150000000017</v>
          </cell>
          <cell r="AD842">
            <v>0.2915462399999989</v>
          </cell>
          <cell r="AE842">
            <v>0.2877809799999993</v>
          </cell>
          <cell r="AF842">
            <v>0.28401571999999975</v>
          </cell>
          <cell r="AG842">
            <v>0.28025046000000009</v>
          </cell>
          <cell r="AH842">
            <v>0.27648520000000054</v>
          </cell>
        </row>
        <row r="843">
          <cell r="B843" t="str">
            <v>Blue ammonia (CCS) - Total emissions - WTW - GWP20 - Global - ton CO2eq/ton fuel</v>
          </cell>
          <cell r="G843">
            <v>0.60707521999999936</v>
          </cell>
          <cell r="H843">
            <v>0.60330995999999981</v>
          </cell>
          <cell r="I843">
            <v>0.59954469999999938</v>
          </cell>
          <cell r="J843">
            <v>0.59577943999999983</v>
          </cell>
          <cell r="K843">
            <v>0.59201417999999861</v>
          </cell>
          <cell r="L843">
            <v>0.58824891999999895</v>
          </cell>
          <cell r="M843">
            <v>0.58448365999999941</v>
          </cell>
          <cell r="N843">
            <v>0.58071839999999819</v>
          </cell>
          <cell r="O843">
            <v>0.5769531400000002</v>
          </cell>
          <cell r="P843">
            <v>0.57318788000000065</v>
          </cell>
          <cell r="Q843">
            <v>0.5694226200000011</v>
          </cell>
          <cell r="R843">
            <v>0.56565736000000144</v>
          </cell>
          <cell r="S843">
            <v>0.56189210000000023</v>
          </cell>
          <cell r="T843">
            <v>0.55812684000000068</v>
          </cell>
          <cell r="U843">
            <v>0.55436157999999935</v>
          </cell>
          <cell r="V843">
            <v>0.55059631999999981</v>
          </cell>
          <cell r="W843">
            <v>0.54683106000000026</v>
          </cell>
          <cell r="X843">
            <v>0.54306579999999971</v>
          </cell>
          <cell r="Y843">
            <v>0.53930054000000016</v>
          </cell>
          <cell r="Z843">
            <v>0.53553528000000061</v>
          </cell>
          <cell r="AA843">
            <v>0.53177001999999929</v>
          </cell>
          <cell r="AB843">
            <v>0.52800475999999974</v>
          </cell>
          <cell r="AC843">
            <v>0.52423950000000019</v>
          </cell>
          <cell r="AD843">
            <v>0.52047423999999898</v>
          </cell>
          <cell r="AE843">
            <v>0.51670897999999932</v>
          </cell>
          <cell r="AF843">
            <v>0.51294371999999977</v>
          </cell>
          <cell r="AG843">
            <v>0.50917846000000022</v>
          </cell>
          <cell r="AH843">
            <v>0.50541320000000056</v>
          </cell>
        </row>
        <row r="844">
          <cell r="B844" t="str">
            <v>Blue ammonia (CCS) - Total emissions - TTW - GWP100 - Global - ton CO2eq/ton fuel</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row>
        <row r="845">
          <cell r="B845" t="str">
            <v>Blue ammonia (CCS) - Total emissions - TTW - GWP20 - Global - ton CO2eq/ton fuel</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row>
        <row r="846">
          <cell r="B846" t="str">
            <v>Blue ammonia (CCS) - Total emissions - WTT - GWP100 - Global - ton CO2eq/ton fuel</v>
          </cell>
          <cell r="G846">
            <v>0.37814721999999934</v>
          </cell>
          <cell r="H846">
            <v>0.37438195999999979</v>
          </cell>
          <cell r="I846">
            <v>0.37061669999999935</v>
          </cell>
          <cell r="J846">
            <v>0.36685143999999981</v>
          </cell>
          <cell r="K846">
            <v>0.36308617999999854</v>
          </cell>
          <cell r="L846">
            <v>0.35932091999999893</v>
          </cell>
          <cell r="M846">
            <v>0.35555565999999938</v>
          </cell>
          <cell r="N846">
            <v>0.35179039999999812</v>
          </cell>
          <cell r="O846">
            <v>0.34802514000000018</v>
          </cell>
          <cell r="P846">
            <v>0.34425988000000063</v>
          </cell>
          <cell r="Q846">
            <v>0.34049462000000102</v>
          </cell>
          <cell r="R846">
            <v>0.33672936000000142</v>
          </cell>
          <cell r="S846">
            <v>0.33296410000000021</v>
          </cell>
          <cell r="T846">
            <v>0.3291988400000006</v>
          </cell>
          <cell r="U846">
            <v>0.32543357999999933</v>
          </cell>
          <cell r="V846">
            <v>0.32166831999999979</v>
          </cell>
          <cell r="W846">
            <v>0.31790306000000018</v>
          </cell>
          <cell r="X846">
            <v>0.31413779999999969</v>
          </cell>
          <cell r="Y846">
            <v>0.31037254000000014</v>
          </cell>
          <cell r="Z846">
            <v>0.30660728000000059</v>
          </cell>
          <cell r="AA846">
            <v>0.30284201999999927</v>
          </cell>
          <cell r="AB846">
            <v>0.29907675999999972</v>
          </cell>
          <cell r="AC846">
            <v>0.29531150000000017</v>
          </cell>
          <cell r="AD846">
            <v>0.2915462399999989</v>
          </cell>
          <cell r="AE846">
            <v>0.2877809799999993</v>
          </cell>
          <cell r="AF846">
            <v>0.28401571999999975</v>
          </cell>
          <cell r="AG846">
            <v>0.28025046000000009</v>
          </cell>
          <cell r="AH846">
            <v>0.27648520000000054</v>
          </cell>
        </row>
        <row r="847">
          <cell r="B847" t="str">
            <v>Blue ammonia (CCS) - Total emissions - WTT - GWP20 - Global - ton CO2eq/ton fuel</v>
          </cell>
          <cell r="G847">
            <v>0.60707521999999936</v>
          </cell>
          <cell r="H847">
            <v>0.60330995999999981</v>
          </cell>
          <cell r="I847">
            <v>0.59954469999999938</v>
          </cell>
          <cell r="J847">
            <v>0.59577943999999983</v>
          </cell>
          <cell r="K847">
            <v>0.59201417999999861</v>
          </cell>
          <cell r="L847">
            <v>0.58824891999999895</v>
          </cell>
          <cell r="M847">
            <v>0.58448365999999941</v>
          </cell>
          <cell r="N847">
            <v>0.58071839999999819</v>
          </cell>
          <cell r="O847">
            <v>0.5769531400000002</v>
          </cell>
          <cell r="P847">
            <v>0.57318788000000065</v>
          </cell>
          <cell r="Q847">
            <v>0.5694226200000011</v>
          </cell>
          <cell r="R847">
            <v>0.56565736000000144</v>
          </cell>
          <cell r="S847">
            <v>0.56189210000000023</v>
          </cell>
          <cell r="T847">
            <v>0.55812684000000068</v>
          </cell>
          <cell r="U847">
            <v>0.55436157999999935</v>
          </cell>
          <cell r="V847">
            <v>0.55059631999999981</v>
          </cell>
          <cell r="W847">
            <v>0.54683106000000026</v>
          </cell>
          <cell r="X847">
            <v>0.54306579999999971</v>
          </cell>
          <cell r="Y847">
            <v>0.53930054000000016</v>
          </cell>
          <cell r="Z847">
            <v>0.53553528000000061</v>
          </cell>
          <cell r="AA847">
            <v>0.53177001999999929</v>
          </cell>
          <cell r="AB847">
            <v>0.52800475999999974</v>
          </cell>
          <cell r="AC847">
            <v>0.52423950000000019</v>
          </cell>
          <cell r="AD847">
            <v>0.52047423999999898</v>
          </cell>
          <cell r="AE847">
            <v>0.51670897999999932</v>
          </cell>
          <cell r="AF847">
            <v>0.51294371999999977</v>
          </cell>
          <cell r="AG847">
            <v>0.50917846000000022</v>
          </cell>
          <cell r="AH847">
            <v>0.50541320000000056</v>
          </cell>
        </row>
        <row r="848">
          <cell r="B848" t="str">
            <v>General - Methane - GWP100 - Global - ton CO2eq/ton fuel</v>
          </cell>
          <cell r="G848">
            <v>29</v>
          </cell>
          <cell r="H848">
            <v>29</v>
          </cell>
          <cell r="I848">
            <v>29</v>
          </cell>
          <cell r="J848">
            <v>29</v>
          </cell>
          <cell r="K848">
            <v>29</v>
          </cell>
          <cell r="L848">
            <v>29</v>
          </cell>
          <cell r="M848">
            <v>29</v>
          </cell>
          <cell r="N848">
            <v>29</v>
          </cell>
          <cell r="O848">
            <v>29</v>
          </cell>
          <cell r="P848">
            <v>29</v>
          </cell>
          <cell r="Q848">
            <v>29</v>
          </cell>
          <cell r="R848">
            <v>29</v>
          </cell>
          <cell r="S848">
            <v>29</v>
          </cell>
          <cell r="T848">
            <v>29</v>
          </cell>
          <cell r="U848">
            <v>29</v>
          </cell>
          <cell r="V848">
            <v>29</v>
          </cell>
          <cell r="W848">
            <v>29</v>
          </cell>
          <cell r="X848">
            <v>29</v>
          </cell>
          <cell r="Y848">
            <v>29</v>
          </cell>
          <cell r="Z848">
            <v>29</v>
          </cell>
          <cell r="AA848">
            <v>29</v>
          </cell>
          <cell r="AB848">
            <v>29</v>
          </cell>
          <cell r="AC848">
            <v>29</v>
          </cell>
          <cell r="AD848">
            <v>29</v>
          </cell>
          <cell r="AE848">
            <v>29</v>
          </cell>
          <cell r="AF848">
            <v>29</v>
          </cell>
          <cell r="AG848">
            <v>29</v>
          </cell>
          <cell r="AH848">
            <v>29</v>
          </cell>
        </row>
        <row r="849">
          <cell r="B849" t="str">
            <v>General - Methane - GWP20 - Global - ton CO2eq/ton fuel</v>
          </cell>
          <cell r="G849">
            <v>85</v>
          </cell>
          <cell r="H849">
            <v>85</v>
          </cell>
          <cell r="I849">
            <v>85</v>
          </cell>
          <cell r="J849">
            <v>85</v>
          </cell>
          <cell r="K849">
            <v>85</v>
          </cell>
          <cell r="L849">
            <v>85</v>
          </cell>
          <cell r="M849">
            <v>85</v>
          </cell>
          <cell r="N849">
            <v>85</v>
          </cell>
          <cell r="O849">
            <v>85</v>
          </cell>
          <cell r="P849">
            <v>85</v>
          </cell>
          <cell r="Q849">
            <v>85</v>
          </cell>
          <cell r="R849">
            <v>85</v>
          </cell>
          <cell r="S849">
            <v>85</v>
          </cell>
          <cell r="T849">
            <v>85</v>
          </cell>
          <cell r="U849">
            <v>85</v>
          </cell>
          <cell r="V849">
            <v>85</v>
          </cell>
          <cell r="W849">
            <v>85</v>
          </cell>
          <cell r="X849">
            <v>85</v>
          </cell>
          <cell r="Y849">
            <v>85</v>
          </cell>
          <cell r="Z849">
            <v>85</v>
          </cell>
          <cell r="AA849">
            <v>85</v>
          </cell>
          <cell r="AB849">
            <v>85</v>
          </cell>
          <cell r="AC849">
            <v>85</v>
          </cell>
          <cell r="AD849">
            <v>85</v>
          </cell>
          <cell r="AE849">
            <v>85</v>
          </cell>
          <cell r="AF849">
            <v>85</v>
          </cell>
          <cell r="AG849">
            <v>85</v>
          </cell>
          <cell r="AH849">
            <v>85</v>
          </cell>
        </row>
        <row r="850">
          <cell r="B850" t="str">
            <v>General - Nitrous oxide - GWP100 - Global - ton CO2eq/ton fuel</v>
          </cell>
          <cell r="G850">
            <v>266</v>
          </cell>
          <cell r="H850">
            <v>266</v>
          </cell>
          <cell r="I850">
            <v>266</v>
          </cell>
          <cell r="J850">
            <v>266</v>
          </cell>
          <cell r="K850">
            <v>266</v>
          </cell>
          <cell r="L850">
            <v>266</v>
          </cell>
          <cell r="M850">
            <v>266</v>
          </cell>
          <cell r="N850">
            <v>266</v>
          </cell>
          <cell r="O850">
            <v>266</v>
          </cell>
          <cell r="P850">
            <v>266</v>
          </cell>
          <cell r="Q850">
            <v>266</v>
          </cell>
          <cell r="R850">
            <v>266</v>
          </cell>
          <cell r="S850">
            <v>266</v>
          </cell>
          <cell r="T850">
            <v>266</v>
          </cell>
          <cell r="U850">
            <v>266</v>
          </cell>
          <cell r="V850">
            <v>266</v>
          </cell>
          <cell r="W850">
            <v>266</v>
          </cell>
          <cell r="X850">
            <v>266</v>
          </cell>
          <cell r="Y850">
            <v>266</v>
          </cell>
          <cell r="Z850">
            <v>266</v>
          </cell>
          <cell r="AA850">
            <v>266</v>
          </cell>
          <cell r="AB850">
            <v>266</v>
          </cell>
          <cell r="AC850">
            <v>266</v>
          </cell>
          <cell r="AD850">
            <v>266</v>
          </cell>
          <cell r="AE850">
            <v>266</v>
          </cell>
          <cell r="AF850">
            <v>266</v>
          </cell>
          <cell r="AG850">
            <v>266</v>
          </cell>
          <cell r="AH850">
            <v>266</v>
          </cell>
        </row>
        <row r="851">
          <cell r="B851" t="str">
            <v>General - Nitrous oxide - GWP20 - Global - ton CO2eq/ton fuel</v>
          </cell>
          <cell r="G851">
            <v>251</v>
          </cell>
          <cell r="H851">
            <v>251</v>
          </cell>
          <cell r="I851">
            <v>251</v>
          </cell>
          <cell r="J851">
            <v>251</v>
          </cell>
          <cell r="K851">
            <v>251</v>
          </cell>
          <cell r="L851">
            <v>251</v>
          </cell>
          <cell r="M851">
            <v>251</v>
          </cell>
          <cell r="N851">
            <v>251</v>
          </cell>
          <cell r="O851">
            <v>251</v>
          </cell>
          <cell r="P851">
            <v>251</v>
          </cell>
          <cell r="Q851">
            <v>251</v>
          </cell>
          <cell r="R851">
            <v>251</v>
          </cell>
          <cell r="S851">
            <v>251</v>
          </cell>
          <cell r="T851">
            <v>251</v>
          </cell>
          <cell r="U851">
            <v>251</v>
          </cell>
          <cell r="V851">
            <v>251</v>
          </cell>
          <cell r="W851">
            <v>251</v>
          </cell>
          <cell r="X851">
            <v>251</v>
          </cell>
          <cell r="Y851">
            <v>251</v>
          </cell>
          <cell r="Z851">
            <v>251</v>
          </cell>
          <cell r="AA851">
            <v>251</v>
          </cell>
          <cell r="AB851">
            <v>251</v>
          </cell>
          <cell r="AC851">
            <v>251</v>
          </cell>
          <cell r="AD851">
            <v>251</v>
          </cell>
          <cell r="AE851">
            <v>251</v>
          </cell>
          <cell r="AF851">
            <v>251</v>
          </cell>
          <cell r="AG851">
            <v>251</v>
          </cell>
          <cell r="AH851">
            <v>251</v>
          </cell>
        </row>
        <row r="852">
          <cell r="B852" t="str">
            <v/>
          </cell>
        </row>
        <row r="853">
          <cell r="B853" t="str">
            <v>Blue ammonia (CCS) - Total emissions - WTW - Global - ton CO2/ton fuel</v>
          </cell>
          <cell r="G853">
            <v>0.25959521999999935</v>
          </cell>
          <cell r="H853">
            <v>0.2558299599999998</v>
          </cell>
          <cell r="I853">
            <v>0.25206469999999936</v>
          </cell>
          <cell r="J853">
            <v>0.24829943999999976</v>
          </cell>
          <cell r="K853">
            <v>0.24453417999999852</v>
          </cell>
          <cell r="L853">
            <v>0.24076891999999891</v>
          </cell>
          <cell r="M853">
            <v>0.23700365999999934</v>
          </cell>
          <cell r="N853">
            <v>0.2332383999999981</v>
          </cell>
          <cell r="O853">
            <v>0.22947314000000016</v>
          </cell>
          <cell r="P853">
            <v>0.22570788000000058</v>
          </cell>
          <cell r="Q853">
            <v>0.22194262000000101</v>
          </cell>
          <cell r="R853">
            <v>0.2181773600000014</v>
          </cell>
          <cell r="S853">
            <v>0.21441210000000016</v>
          </cell>
          <cell r="T853">
            <v>0.21064684000000058</v>
          </cell>
          <cell r="U853">
            <v>0.20688157999999932</v>
          </cell>
          <cell r="V853">
            <v>0.20311631999999974</v>
          </cell>
          <cell r="W853">
            <v>0.19935106000000016</v>
          </cell>
          <cell r="X853">
            <v>0.1955857999999997</v>
          </cell>
          <cell r="Y853">
            <v>0.19182054000000012</v>
          </cell>
          <cell r="Z853">
            <v>0.18805528000000055</v>
          </cell>
          <cell r="AA853">
            <v>0.18429001999999928</v>
          </cell>
          <cell r="AB853">
            <v>0.1805247599999997</v>
          </cell>
          <cell r="AC853">
            <v>0.17675950000000012</v>
          </cell>
          <cell r="AD853">
            <v>0.17299423999999888</v>
          </cell>
          <cell r="AE853">
            <v>0.16922897999999928</v>
          </cell>
          <cell r="AF853">
            <v>0.1654637199999997</v>
          </cell>
          <cell r="AG853">
            <v>0.1616984600000001</v>
          </cell>
          <cell r="AH853">
            <v>0.15793320000000052</v>
          </cell>
        </row>
        <row r="854">
          <cell r="B854" t="str">
            <v>Blue ammonia (CCS) - Total emissions - WTW - Global - ton CH4/ton fuel</v>
          </cell>
          <cell r="G854">
            <v>4.0880000000000005E-3</v>
          </cell>
          <cell r="H854">
            <v>4.0880000000000005E-3</v>
          </cell>
          <cell r="I854">
            <v>4.0880000000000005E-3</v>
          </cell>
          <cell r="J854">
            <v>4.0880000000000005E-3</v>
          </cell>
          <cell r="K854">
            <v>4.0880000000000005E-3</v>
          </cell>
          <cell r="L854">
            <v>4.0880000000000005E-3</v>
          </cell>
          <cell r="M854">
            <v>4.0880000000000005E-3</v>
          </cell>
          <cell r="N854">
            <v>4.0880000000000005E-3</v>
          </cell>
          <cell r="O854">
            <v>4.0880000000000005E-3</v>
          </cell>
          <cell r="P854">
            <v>4.0880000000000005E-3</v>
          </cell>
          <cell r="Q854">
            <v>4.0880000000000005E-3</v>
          </cell>
          <cell r="R854">
            <v>4.0880000000000005E-3</v>
          </cell>
          <cell r="S854">
            <v>4.0880000000000005E-3</v>
          </cell>
          <cell r="T854">
            <v>4.0880000000000005E-3</v>
          </cell>
          <cell r="U854">
            <v>4.0880000000000005E-3</v>
          </cell>
          <cell r="V854">
            <v>4.0880000000000005E-3</v>
          </cell>
          <cell r="W854">
            <v>4.0880000000000005E-3</v>
          </cell>
          <cell r="X854">
            <v>4.0880000000000005E-3</v>
          </cell>
          <cell r="Y854">
            <v>4.0880000000000005E-3</v>
          </cell>
          <cell r="Z854">
            <v>4.0880000000000005E-3</v>
          </cell>
          <cell r="AA854">
            <v>4.0880000000000005E-3</v>
          </cell>
          <cell r="AB854">
            <v>4.0880000000000005E-3</v>
          </cell>
          <cell r="AC854">
            <v>4.0880000000000005E-3</v>
          </cell>
          <cell r="AD854">
            <v>4.0880000000000005E-3</v>
          </cell>
          <cell r="AE854">
            <v>4.0880000000000005E-3</v>
          </cell>
          <cell r="AF854">
            <v>4.0880000000000005E-3</v>
          </cell>
          <cell r="AG854">
            <v>4.0880000000000005E-3</v>
          </cell>
          <cell r="AH854">
            <v>4.0880000000000005E-3</v>
          </cell>
        </row>
        <row r="855">
          <cell r="B855" t="str">
            <v>Blue ammonia (CCS) - Total emissions - WTW - Global - ton N2O/ton fuel</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row>
        <row r="856">
          <cell r="B856" t="str">
            <v/>
          </cell>
        </row>
        <row r="857">
          <cell r="B857" t="str">
            <v>Blue ammonia (CCS) - Total emissions - TTW - Global - ton CO2/ton fuel</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row>
        <row r="858">
          <cell r="B858" t="str">
            <v>Blue ammonia (CCS) - Total emissions - TTW - Global - ton CH4/ton fuel</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row>
        <row r="859">
          <cell r="B859" t="str">
            <v>Blue ammonia (CCS) - Total emissions - TTW - Global - ton N2O/ton fuel</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row>
        <row r="860">
          <cell r="B860" t="str">
            <v>Blue ammonia (CCS) - TTW emissions (carbon dioxide) - Global - ton CO2/ton fuel</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row>
        <row r="861">
          <cell r="B861" t="str">
            <v>Blue ammonia (CCS) - TTW emissions (methane) - Global - ton CH4/ton fuel</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row>
        <row r="862">
          <cell r="B862" t="str">
            <v>Blue ammonia (CCS) - TTW emissions (nitrous oxide) - Global - ton N2O/ton fuel</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row>
        <row r="863">
          <cell r="B863" t="str">
            <v/>
          </cell>
        </row>
        <row r="864">
          <cell r="B864" t="str">
            <v>Blue ammonia (CCS) - Total emissions - WTT - Global - ton CO2eq/ton fuel</v>
          </cell>
          <cell r="G864">
            <v>0.25959521999999935</v>
          </cell>
          <cell r="H864">
            <v>0.2558299599999998</v>
          </cell>
          <cell r="I864">
            <v>0.25206469999999936</v>
          </cell>
          <cell r="J864">
            <v>0.24829943999999976</v>
          </cell>
          <cell r="K864">
            <v>0.24453417999999852</v>
          </cell>
          <cell r="L864">
            <v>0.24076891999999891</v>
          </cell>
          <cell r="M864">
            <v>0.23700365999999934</v>
          </cell>
          <cell r="N864">
            <v>0.2332383999999981</v>
          </cell>
          <cell r="O864">
            <v>0.22947314000000016</v>
          </cell>
          <cell r="P864">
            <v>0.22570788000000058</v>
          </cell>
          <cell r="Q864">
            <v>0.22194262000000101</v>
          </cell>
          <cell r="R864">
            <v>0.2181773600000014</v>
          </cell>
          <cell r="S864">
            <v>0.21441210000000016</v>
          </cell>
          <cell r="T864">
            <v>0.21064684000000058</v>
          </cell>
          <cell r="U864">
            <v>0.20688157999999932</v>
          </cell>
          <cell r="V864">
            <v>0.20311631999999974</v>
          </cell>
          <cell r="W864">
            <v>0.19935106000000016</v>
          </cell>
          <cell r="X864">
            <v>0.1955857999999997</v>
          </cell>
          <cell r="Y864">
            <v>0.19182054000000012</v>
          </cell>
          <cell r="Z864">
            <v>0.18805528000000055</v>
          </cell>
          <cell r="AA864">
            <v>0.18429001999999928</v>
          </cell>
          <cell r="AB864">
            <v>0.1805247599999997</v>
          </cell>
          <cell r="AC864">
            <v>0.17675950000000012</v>
          </cell>
          <cell r="AD864">
            <v>0.17299423999999888</v>
          </cell>
          <cell r="AE864">
            <v>0.16922897999999928</v>
          </cell>
          <cell r="AF864">
            <v>0.1654637199999997</v>
          </cell>
          <cell r="AG864">
            <v>0.1616984600000001</v>
          </cell>
          <cell r="AH864">
            <v>0.15793320000000052</v>
          </cell>
        </row>
        <row r="865">
          <cell r="B865" t="str">
            <v>Blue ammonia (CCS) - Total emissions - WTT - Global - ton CO2eq/ton fuel</v>
          </cell>
          <cell r="G865">
            <v>4.0880000000000005E-3</v>
          </cell>
          <cell r="H865">
            <v>4.0880000000000005E-3</v>
          </cell>
          <cell r="I865">
            <v>4.0880000000000005E-3</v>
          </cell>
          <cell r="J865">
            <v>4.0880000000000005E-3</v>
          </cell>
          <cell r="K865">
            <v>4.0880000000000005E-3</v>
          </cell>
          <cell r="L865">
            <v>4.0880000000000005E-3</v>
          </cell>
          <cell r="M865">
            <v>4.0880000000000005E-3</v>
          </cell>
          <cell r="N865">
            <v>4.0880000000000005E-3</v>
          </cell>
          <cell r="O865">
            <v>4.0880000000000005E-3</v>
          </cell>
          <cell r="P865">
            <v>4.0880000000000005E-3</v>
          </cell>
          <cell r="Q865">
            <v>4.0880000000000005E-3</v>
          </cell>
          <cell r="R865">
            <v>4.0880000000000005E-3</v>
          </cell>
          <cell r="S865">
            <v>4.0880000000000005E-3</v>
          </cell>
          <cell r="T865">
            <v>4.0880000000000005E-3</v>
          </cell>
          <cell r="U865">
            <v>4.0880000000000005E-3</v>
          </cell>
          <cell r="V865">
            <v>4.0880000000000005E-3</v>
          </cell>
          <cell r="W865">
            <v>4.0880000000000005E-3</v>
          </cell>
          <cell r="X865">
            <v>4.0880000000000005E-3</v>
          </cell>
          <cell r="Y865">
            <v>4.0880000000000005E-3</v>
          </cell>
          <cell r="Z865">
            <v>4.0880000000000005E-3</v>
          </cell>
          <cell r="AA865">
            <v>4.0880000000000005E-3</v>
          </cell>
          <cell r="AB865">
            <v>4.0880000000000005E-3</v>
          </cell>
          <cell r="AC865">
            <v>4.0880000000000005E-3</v>
          </cell>
          <cell r="AD865">
            <v>4.0880000000000005E-3</v>
          </cell>
          <cell r="AE865">
            <v>4.0880000000000005E-3</v>
          </cell>
          <cell r="AF865">
            <v>4.0880000000000005E-3</v>
          </cell>
          <cell r="AG865">
            <v>4.0880000000000005E-3</v>
          </cell>
          <cell r="AH865">
            <v>4.0880000000000005E-3</v>
          </cell>
        </row>
        <row r="866">
          <cell r="B866" t="str">
            <v>Blue ammonia (CCS) - Total emissions - WTT - Global - ton CO2eq/ton fuel</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row>
        <row r="867">
          <cell r="B867" t="str">
            <v/>
          </cell>
        </row>
        <row r="868">
          <cell r="B868" t="str">
            <v>Blue ammonia (CCS) - Process-related emissions - WTT - Global - ton CO2/ton fuel</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row>
        <row r="869">
          <cell r="B869" t="str">
            <v>Blue ammonia (CCS) - Process-related emissions - WTT - Global - ton CH4/ton fuel</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row>
        <row r="870">
          <cell r="B870" t="str">
            <v>Blue ammonia (CCS) - Process-related emissions - WTT - Global - ton N2O/ton fuel</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row>
        <row r="871">
          <cell r="B871" t="str">
            <v>Blue ammonia (CCS) - Process WTT emissions (carbon dioxide) - Global - ton CO2/ton fuel</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row>
        <row r="872">
          <cell r="B872" t="str">
            <v>Blue ammonia (CCS) - Process WTT emissions (methane) - Global - ton CH4/ton fuel</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row>
        <row r="873">
          <cell r="B873" t="str">
            <v>Blue ammonia (CCS) - Process WTT emissions (nitrous oxide) - Global - ton N2O/ton fuel</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row>
        <row r="874">
          <cell r="B874" t="str">
            <v/>
          </cell>
        </row>
        <row r="875">
          <cell r="B875" t="str">
            <v>Blue ammonia (CCS) - Energy-related emissions - WTT - Global - ton CO2/ton fuel</v>
          </cell>
          <cell r="G875">
            <v>1.6432200000000025E-3</v>
          </cell>
          <cell r="H875">
            <v>1.6539600000000014E-3</v>
          </cell>
          <cell r="I875">
            <v>1.6647000000000003E-3</v>
          </cell>
          <cell r="J875">
            <v>1.675439999999999E-3</v>
          </cell>
          <cell r="K875">
            <v>1.6861800000000026E-3</v>
          </cell>
          <cell r="L875">
            <v>1.6969200000000015E-3</v>
          </cell>
          <cell r="M875">
            <v>1.7076600000000002E-3</v>
          </cell>
          <cell r="N875">
            <v>1.7184000000000038E-3</v>
          </cell>
          <cell r="O875">
            <v>1.7291400000000003E-3</v>
          </cell>
          <cell r="P875">
            <v>1.739879999999999E-3</v>
          </cell>
          <cell r="Q875">
            <v>1.7506199999999979E-3</v>
          </cell>
          <cell r="R875">
            <v>1.7613599999999968E-3</v>
          </cell>
          <cell r="S875">
            <v>1.7721000000000004E-3</v>
          </cell>
          <cell r="T875">
            <v>1.7828399999999991E-3</v>
          </cell>
          <cell r="U875">
            <v>1.793579999999998E-3</v>
          </cell>
          <cell r="V875">
            <v>1.8043200000000016E-3</v>
          </cell>
          <cell r="W875">
            <v>1.8150600000000003E-3</v>
          </cell>
          <cell r="X875">
            <v>1.8257999999999992E-3</v>
          </cell>
          <cell r="Y875">
            <v>1.8365399999999981E-3</v>
          </cell>
          <cell r="Z875">
            <v>1.8472799999999967E-3</v>
          </cell>
          <cell r="AA875">
            <v>1.8580200000000004E-3</v>
          </cell>
          <cell r="AB875">
            <v>1.8687599999999993E-3</v>
          </cell>
          <cell r="AC875">
            <v>1.8795000000000003E-3</v>
          </cell>
          <cell r="AD875">
            <v>1.890240000000004E-3</v>
          </cell>
          <cell r="AE875">
            <v>1.9009800000000028E-3</v>
          </cell>
          <cell r="AF875">
            <v>1.9117200000000015E-3</v>
          </cell>
          <cell r="AG875">
            <v>1.9224600000000004E-3</v>
          </cell>
          <cell r="AH875">
            <v>1.9331999999999993E-3</v>
          </cell>
        </row>
        <row r="876">
          <cell r="B876" t="str">
            <v>Blue ammonia (CCS) - Energy-related emissions - WTT - Global - ton CH4/ton fuel</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row>
        <row r="877">
          <cell r="B877" t="str">
            <v>Blue ammonia (CCS) - Energy-related emissions - WTT - Global - ton N2O/ton fuel</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row>
        <row r="878">
          <cell r="B878" t="str">
            <v>Renewable electricity - Feedstock WTT emissions (carbon dioxide) - Global - ton CO2/MWh</v>
          </cell>
          <cell r="G878">
            <v>5.3699999999999998E-3</v>
          </cell>
          <cell r="H878">
            <v>5.3699999999999998E-3</v>
          </cell>
          <cell r="I878">
            <v>5.3699999999999998E-3</v>
          </cell>
          <cell r="J878">
            <v>5.3699999999999998E-3</v>
          </cell>
          <cell r="K878">
            <v>5.3699999999999998E-3</v>
          </cell>
          <cell r="L878">
            <v>5.3699999999999998E-3</v>
          </cell>
          <cell r="M878">
            <v>5.3699999999999998E-3</v>
          </cell>
          <cell r="N878">
            <v>5.3699999999999998E-3</v>
          </cell>
          <cell r="O878">
            <v>5.3699999999999998E-3</v>
          </cell>
          <cell r="P878">
            <v>5.3699999999999998E-3</v>
          </cell>
          <cell r="Q878">
            <v>5.3699999999999998E-3</v>
          </cell>
          <cell r="R878">
            <v>5.3699999999999998E-3</v>
          </cell>
          <cell r="S878">
            <v>5.3699999999999998E-3</v>
          </cell>
          <cell r="T878">
            <v>5.3699999999999998E-3</v>
          </cell>
          <cell r="U878">
            <v>5.3699999999999998E-3</v>
          </cell>
          <cell r="V878">
            <v>5.3699999999999998E-3</v>
          </cell>
          <cell r="W878">
            <v>5.3699999999999998E-3</v>
          </cell>
          <cell r="X878">
            <v>5.3699999999999998E-3</v>
          </cell>
          <cell r="Y878">
            <v>5.3699999999999998E-3</v>
          </cell>
          <cell r="Z878">
            <v>5.3699999999999998E-3</v>
          </cell>
          <cell r="AA878">
            <v>5.3699999999999998E-3</v>
          </cell>
          <cell r="AB878">
            <v>5.3699999999999998E-3</v>
          </cell>
          <cell r="AC878">
            <v>5.3699999999999998E-3</v>
          </cell>
          <cell r="AD878">
            <v>5.3699999999999998E-3</v>
          </cell>
          <cell r="AE878">
            <v>5.3699999999999998E-3</v>
          </cell>
          <cell r="AF878">
            <v>5.3699999999999998E-3</v>
          </cell>
          <cell r="AG878">
            <v>5.3699999999999998E-3</v>
          </cell>
          <cell r="AH878">
            <v>5.3699999999999998E-3</v>
          </cell>
        </row>
        <row r="879">
          <cell r="B879" t="str">
            <v>Renewable electricity - Feedstock WTT emissions (methane) - Global - ton CH4/MWh</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row>
        <row r="880">
          <cell r="B880" t="str">
            <v>Renewable electricity - Feedstock WTT emissions (nitrous oxide) - Global - ton N2O/MWh</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row>
        <row r="881">
          <cell r="B881" t="str">
            <v>Blue ammonia (CCS) - Energy demand - Global - MWh/ton fuel</v>
          </cell>
          <cell r="G881">
            <v>0.30600000000000049</v>
          </cell>
          <cell r="H881">
            <v>0.30800000000000027</v>
          </cell>
          <cell r="I881">
            <v>0.31000000000000005</v>
          </cell>
          <cell r="J881">
            <v>0.31199999999999983</v>
          </cell>
          <cell r="K881">
            <v>0.3140000000000005</v>
          </cell>
          <cell r="L881">
            <v>0.31600000000000028</v>
          </cell>
          <cell r="M881">
            <v>0.31800000000000006</v>
          </cell>
          <cell r="N881">
            <v>0.32000000000000073</v>
          </cell>
          <cell r="O881">
            <v>0.32200000000000006</v>
          </cell>
          <cell r="P881">
            <v>0.32399999999999984</v>
          </cell>
          <cell r="Q881">
            <v>0.32599999999999962</v>
          </cell>
          <cell r="R881">
            <v>0.3279999999999994</v>
          </cell>
          <cell r="S881">
            <v>0.33000000000000007</v>
          </cell>
          <cell r="T881">
            <v>0.33199999999999985</v>
          </cell>
          <cell r="U881">
            <v>0.33399999999999963</v>
          </cell>
          <cell r="V881">
            <v>0.3360000000000003</v>
          </cell>
          <cell r="W881">
            <v>0.33800000000000008</v>
          </cell>
          <cell r="X881">
            <v>0.33999999999999986</v>
          </cell>
          <cell r="Y881">
            <v>0.34199999999999964</v>
          </cell>
          <cell r="Z881">
            <v>0.34399999999999942</v>
          </cell>
          <cell r="AA881">
            <v>0.34600000000000009</v>
          </cell>
          <cell r="AB881">
            <v>0.34799999999999986</v>
          </cell>
          <cell r="AC881">
            <v>0.35000000000000009</v>
          </cell>
          <cell r="AD881">
            <v>0.35200000000000076</v>
          </cell>
          <cell r="AE881">
            <v>0.35400000000000054</v>
          </cell>
          <cell r="AF881">
            <v>0.35600000000000032</v>
          </cell>
          <cell r="AG881">
            <v>0.3580000000000001</v>
          </cell>
          <cell r="AH881">
            <v>0.35999999999999988</v>
          </cell>
        </row>
        <row r="882">
          <cell r="B882" t="str">
            <v/>
          </cell>
        </row>
        <row r="883">
          <cell r="B883" t="str">
            <v>Blue ammonia (CCS) - Feedstock-related emissions - WTT - Global - ton CO2/ton fuel</v>
          </cell>
          <cell r="G883">
            <v>0.25795199999999935</v>
          </cell>
          <cell r="H883">
            <v>0.25417599999999979</v>
          </cell>
          <cell r="I883">
            <v>0.25039999999999935</v>
          </cell>
          <cell r="J883">
            <v>0.24662399999999976</v>
          </cell>
          <cell r="K883">
            <v>0.24284799999999851</v>
          </cell>
          <cell r="L883">
            <v>0.23907199999999892</v>
          </cell>
          <cell r="M883">
            <v>0.23529599999999934</v>
          </cell>
          <cell r="N883">
            <v>0.23151999999999809</v>
          </cell>
          <cell r="O883">
            <v>0.22774400000000017</v>
          </cell>
          <cell r="P883">
            <v>0.22396800000000058</v>
          </cell>
          <cell r="Q883">
            <v>0.220192000000001</v>
          </cell>
          <cell r="R883">
            <v>0.21641600000000141</v>
          </cell>
          <cell r="S883">
            <v>0.21264000000000016</v>
          </cell>
          <cell r="T883">
            <v>0.20886400000000058</v>
          </cell>
          <cell r="U883">
            <v>0.20508799999999933</v>
          </cell>
          <cell r="V883">
            <v>0.20131199999999974</v>
          </cell>
          <cell r="W883">
            <v>0.19753600000000016</v>
          </cell>
          <cell r="X883">
            <v>0.19375999999999971</v>
          </cell>
          <cell r="Y883">
            <v>0.18998400000000012</v>
          </cell>
          <cell r="Z883">
            <v>0.18620800000000054</v>
          </cell>
          <cell r="AA883">
            <v>0.18243199999999929</v>
          </cell>
          <cell r="AB883">
            <v>0.1786559999999997</v>
          </cell>
          <cell r="AC883">
            <v>0.17488000000000012</v>
          </cell>
          <cell r="AD883">
            <v>0.17110399999999887</v>
          </cell>
          <cell r="AE883">
            <v>0.16732799999999928</v>
          </cell>
          <cell r="AF883">
            <v>0.1635519999999997</v>
          </cell>
          <cell r="AG883">
            <v>0.15977600000000011</v>
          </cell>
          <cell r="AH883">
            <v>0.15600000000000053</v>
          </cell>
        </row>
        <row r="884">
          <cell r="B884" t="str">
            <v>Blue ammonia (CCS) - Feedstock-related emissions - WTT - Global - ton CH4/ton fuel</v>
          </cell>
          <cell r="G884">
            <v>4.0880000000000005E-3</v>
          </cell>
          <cell r="H884">
            <v>4.0880000000000005E-3</v>
          </cell>
          <cell r="I884">
            <v>4.0880000000000005E-3</v>
          </cell>
          <cell r="J884">
            <v>4.0880000000000005E-3</v>
          </cell>
          <cell r="K884">
            <v>4.0880000000000005E-3</v>
          </cell>
          <cell r="L884">
            <v>4.0880000000000005E-3</v>
          </cell>
          <cell r="M884">
            <v>4.0880000000000005E-3</v>
          </cell>
          <cell r="N884">
            <v>4.0880000000000005E-3</v>
          </cell>
          <cell r="O884">
            <v>4.0880000000000005E-3</v>
          </cell>
          <cell r="P884">
            <v>4.0880000000000005E-3</v>
          </cell>
          <cell r="Q884">
            <v>4.0880000000000005E-3</v>
          </cell>
          <cell r="R884">
            <v>4.0880000000000005E-3</v>
          </cell>
          <cell r="S884">
            <v>4.0880000000000005E-3</v>
          </cell>
          <cell r="T884">
            <v>4.0880000000000005E-3</v>
          </cell>
          <cell r="U884">
            <v>4.0880000000000005E-3</v>
          </cell>
          <cell r="V884">
            <v>4.0880000000000005E-3</v>
          </cell>
          <cell r="W884">
            <v>4.0880000000000005E-3</v>
          </cell>
          <cell r="X884">
            <v>4.0880000000000005E-3</v>
          </cell>
          <cell r="Y884">
            <v>4.0880000000000005E-3</v>
          </cell>
          <cell r="Z884">
            <v>4.0880000000000005E-3</v>
          </cell>
          <cell r="AA884">
            <v>4.0880000000000005E-3</v>
          </cell>
          <cell r="AB884">
            <v>4.0880000000000005E-3</v>
          </cell>
          <cell r="AC884">
            <v>4.0880000000000005E-3</v>
          </cell>
          <cell r="AD884">
            <v>4.0880000000000005E-3</v>
          </cell>
          <cell r="AE884">
            <v>4.0880000000000005E-3</v>
          </cell>
          <cell r="AF884">
            <v>4.0880000000000005E-3</v>
          </cell>
          <cell r="AG884">
            <v>4.0880000000000005E-3</v>
          </cell>
          <cell r="AH884">
            <v>4.0880000000000005E-3</v>
          </cell>
        </row>
        <row r="885">
          <cell r="B885" t="str">
            <v>Blue ammonia (CCS) - Feedstock-related emissions - WTT - Global - ton N2O/ton fuel</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row>
        <row r="886">
          <cell r="B886" t="str">
            <v>Natural gas - Feedstock WTT emissions (carbon dioxide) - Global - ton CO2/ton feedstock</v>
          </cell>
          <cell r="G886">
            <v>0.11</v>
          </cell>
          <cell r="H886">
            <v>0.11</v>
          </cell>
          <cell r="I886">
            <v>0.11</v>
          </cell>
          <cell r="J886">
            <v>0.11</v>
          </cell>
          <cell r="K886">
            <v>0.11</v>
          </cell>
          <cell r="L886">
            <v>0.11</v>
          </cell>
          <cell r="M886">
            <v>0.11</v>
          </cell>
          <cell r="N886">
            <v>0.11</v>
          </cell>
          <cell r="O886">
            <v>0.11</v>
          </cell>
          <cell r="P886">
            <v>0.11</v>
          </cell>
          <cell r="Q886">
            <v>0.11</v>
          </cell>
          <cell r="R886">
            <v>0.11</v>
          </cell>
          <cell r="S886">
            <v>0.11</v>
          </cell>
          <cell r="T886">
            <v>0.11</v>
          </cell>
          <cell r="U886">
            <v>0.11</v>
          </cell>
          <cell r="V886">
            <v>0.11</v>
          </cell>
          <cell r="W886">
            <v>0.11</v>
          </cell>
          <cell r="X886">
            <v>0.11</v>
          </cell>
          <cell r="Y886">
            <v>0.11</v>
          </cell>
          <cell r="Z886">
            <v>0.11</v>
          </cell>
          <cell r="AA886">
            <v>0.11</v>
          </cell>
          <cell r="AB886">
            <v>0.11</v>
          </cell>
          <cell r="AC886">
            <v>0.11</v>
          </cell>
          <cell r="AD886">
            <v>0.11</v>
          </cell>
          <cell r="AE886">
            <v>0.11</v>
          </cell>
          <cell r="AF886">
            <v>0.11</v>
          </cell>
          <cell r="AG886">
            <v>0.11</v>
          </cell>
          <cell r="AH886">
            <v>0.11</v>
          </cell>
        </row>
        <row r="887">
          <cell r="B887" t="str">
            <v>Natural gas - Feedstock WTT emissions (methane) - Global - ton CH4/ton feedstock</v>
          </cell>
          <cell r="G887">
            <v>7.3000000000000001E-3</v>
          </cell>
          <cell r="H887">
            <v>7.3000000000000001E-3</v>
          </cell>
          <cell r="I887">
            <v>7.3000000000000001E-3</v>
          </cell>
          <cell r="J887">
            <v>7.3000000000000001E-3</v>
          </cell>
          <cell r="K887">
            <v>7.3000000000000001E-3</v>
          </cell>
          <cell r="L887">
            <v>7.3000000000000001E-3</v>
          </cell>
          <cell r="M887">
            <v>7.3000000000000001E-3</v>
          </cell>
          <cell r="N887">
            <v>7.3000000000000001E-3</v>
          </cell>
          <cell r="O887">
            <v>7.3000000000000001E-3</v>
          </cell>
          <cell r="P887">
            <v>7.3000000000000001E-3</v>
          </cell>
          <cell r="Q887">
            <v>7.3000000000000001E-3</v>
          </cell>
          <cell r="R887">
            <v>7.3000000000000001E-3</v>
          </cell>
          <cell r="S887">
            <v>7.3000000000000001E-3</v>
          </cell>
          <cell r="T887">
            <v>7.3000000000000001E-3</v>
          </cell>
          <cell r="U887">
            <v>7.3000000000000001E-3</v>
          </cell>
          <cell r="V887">
            <v>7.3000000000000001E-3</v>
          </cell>
          <cell r="W887">
            <v>7.3000000000000001E-3</v>
          </cell>
          <cell r="X887">
            <v>7.3000000000000001E-3</v>
          </cell>
          <cell r="Y887">
            <v>7.3000000000000001E-3</v>
          </cell>
          <cell r="Z887">
            <v>7.3000000000000001E-3</v>
          </cell>
          <cell r="AA887">
            <v>7.3000000000000001E-3</v>
          </cell>
          <cell r="AB887">
            <v>7.3000000000000001E-3</v>
          </cell>
          <cell r="AC887">
            <v>7.3000000000000001E-3</v>
          </cell>
          <cell r="AD887">
            <v>7.3000000000000001E-3</v>
          </cell>
          <cell r="AE887">
            <v>7.3000000000000001E-3</v>
          </cell>
          <cell r="AF887">
            <v>7.3000000000000001E-3</v>
          </cell>
          <cell r="AG887">
            <v>7.3000000000000001E-3</v>
          </cell>
          <cell r="AH887">
            <v>7.3000000000000001E-3</v>
          </cell>
        </row>
        <row r="888">
          <cell r="B888" t="str">
            <v>Natural gas - Feedstock WTT emissions (nitrous oxide) - Global - ton N2O/ton feedstock</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row>
        <row r="889">
          <cell r="B889" t="str">
            <v>Nitrogen - Feedstock WTT emissions (carbon dioxide) - Global - ton CO2/ton N2</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row>
        <row r="890">
          <cell r="B890" t="str">
            <v>Nitrogen - Feedstock WTT emissions (methane) - Global - ton CH4/ton N2</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row>
        <row r="891">
          <cell r="B891" t="str">
            <v>Nitrogen - Feedstock WTT emissions (nitrous oxide) - Global - ton N2O/ton N2</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row>
        <row r="892">
          <cell r="B892" t="str">
            <v>Carbon capture - Feedstock WTT emissions (carbon dioxide) - Global - ton CO2/ton CO2</v>
          </cell>
          <cell r="G892">
            <v>0.10399999999999965</v>
          </cell>
          <cell r="H892">
            <v>0.10199999999999987</v>
          </cell>
          <cell r="I892">
            <v>9.9999999999999645E-2</v>
          </cell>
          <cell r="J892">
            <v>9.7999999999999865E-2</v>
          </cell>
          <cell r="K892">
            <v>9.5999999999999197E-2</v>
          </cell>
          <cell r="L892">
            <v>9.3999999999999417E-2</v>
          </cell>
          <cell r="M892">
            <v>9.1999999999999638E-2</v>
          </cell>
          <cell r="N892">
            <v>8.999999999999897E-2</v>
          </cell>
          <cell r="O892">
            <v>8.8000000000000078E-2</v>
          </cell>
          <cell r="P892">
            <v>8.6000000000000298E-2</v>
          </cell>
          <cell r="Q892">
            <v>8.4000000000000519E-2</v>
          </cell>
          <cell r="R892">
            <v>8.2000000000000739E-2</v>
          </cell>
          <cell r="S892">
            <v>8.0000000000000071E-2</v>
          </cell>
          <cell r="T892">
            <v>7.8000000000000291E-2</v>
          </cell>
          <cell r="U892">
            <v>7.5999999999999623E-2</v>
          </cell>
          <cell r="V892">
            <v>7.3999999999999844E-2</v>
          </cell>
          <cell r="W892">
            <v>7.2000000000000064E-2</v>
          </cell>
          <cell r="X892">
            <v>6.999999999999984E-2</v>
          </cell>
          <cell r="Y892">
            <v>6.800000000000006E-2</v>
          </cell>
          <cell r="Z892">
            <v>6.6000000000000281E-2</v>
          </cell>
          <cell r="AA892">
            <v>6.3999999999999613E-2</v>
          </cell>
          <cell r="AB892">
            <v>6.1999999999999833E-2</v>
          </cell>
          <cell r="AC892">
            <v>6.0000000000000053E-2</v>
          </cell>
          <cell r="AD892">
            <v>5.7999999999999385E-2</v>
          </cell>
          <cell r="AE892">
            <v>5.5999999999999606E-2</v>
          </cell>
          <cell r="AF892">
            <v>5.3999999999999826E-2</v>
          </cell>
          <cell r="AG892">
            <v>5.2000000000000046E-2</v>
          </cell>
          <cell r="AH892">
            <v>5.0000000000000266E-2</v>
          </cell>
        </row>
        <row r="893">
          <cell r="B893" t="str">
            <v>Carbon capture - Feedstock WTT emissions (methane) - Global - ton CH4/ton CO2</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row>
        <row r="894">
          <cell r="B894" t="str">
            <v>Carbon capture - Feedstock WTT emissions (nitrous oxide) - Global - ton N2O/ton CO2</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row>
        <row r="895">
          <cell r="B895" t="str">
            <v>Carbon storage - Feedstock WTT emissions (carbon dioxide) - Global - ton CO2/ton CO2</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row>
        <row r="896">
          <cell r="B896" t="str">
            <v>Carbon storage - Feedstock WTT emissions (methane) - Global - ton CH4/ton CO2</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row>
        <row r="897">
          <cell r="B897" t="str">
            <v>Carbon storage - Feedstock WTT emissions (nitrous oxide) - Global - ton N2O/ton CO2</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row>
        <row r="898">
          <cell r="B898" t="str">
            <v>Blue ammonia (CCS) - Conversion N2 -&gt; NH3 - Global - ton N2/ton NH3</v>
          </cell>
          <cell r="G898">
            <v>0.82199999999999995</v>
          </cell>
          <cell r="H898">
            <v>0.82199999999999995</v>
          </cell>
          <cell r="I898">
            <v>0.82199999999999995</v>
          </cell>
          <cell r="J898">
            <v>0.82199999999999995</v>
          </cell>
          <cell r="K898">
            <v>0.82199999999999995</v>
          </cell>
          <cell r="L898">
            <v>0.82199999999999995</v>
          </cell>
          <cell r="M898">
            <v>0.82199999999999995</v>
          </cell>
          <cell r="N898">
            <v>0.82199999999999995</v>
          </cell>
          <cell r="O898">
            <v>0.82199999999999995</v>
          </cell>
          <cell r="P898">
            <v>0.82199999999999995</v>
          </cell>
          <cell r="Q898">
            <v>0.82199999999999995</v>
          </cell>
          <cell r="R898">
            <v>0.82199999999999995</v>
          </cell>
          <cell r="S898">
            <v>0.82199999999999995</v>
          </cell>
          <cell r="T898">
            <v>0.82199999999999995</v>
          </cell>
          <cell r="U898">
            <v>0.82199999999999995</v>
          </cell>
          <cell r="V898">
            <v>0.82199999999999995</v>
          </cell>
          <cell r="W898">
            <v>0.82199999999999995</v>
          </cell>
          <cell r="X898">
            <v>0.82199999999999995</v>
          </cell>
          <cell r="Y898">
            <v>0.82199999999999995</v>
          </cell>
          <cell r="Z898">
            <v>0.82199999999999995</v>
          </cell>
          <cell r="AA898">
            <v>0.82199999999999995</v>
          </cell>
          <cell r="AB898">
            <v>0.82199999999999995</v>
          </cell>
          <cell r="AC898">
            <v>0.82199999999999995</v>
          </cell>
          <cell r="AD898">
            <v>0.82199999999999995</v>
          </cell>
          <cell r="AE898">
            <v>0.82199999999999995</v>
          </cell>
          <cell r="AF898">
            <v>0.82199999999999995</v>
          </cell>
          <cell r="AG898">
            <v>0.82199999999999995</v>
          </cell>
          <cell r="AH898">
            <v>0.82199999999999995</v>
          </cell>
        </row>
        <row r="899">
          <cell r="B899" t="str">
            <v>Blue ammonia (CCS) - Conversion NG -&gt; NH3 - Global - ton NG/ton NH3</v>
          </cell>
          <cell r="G899">
            <v>0.56000000000000005</v>
          </cell>
          <cell r="H899">
            <v>0.56000000000000005</v>
          </cell>
          <cell r="I899">
            <v>0.56000000000000005</v>
          </cell>
          <cell r="J899">
            <v>0.56000000000000005</v>
          </cell>
          <cell r="K899">
            <v>0.56000000000000005</v>
          </cell>
          <cell r="L899">
            <v>0.56000000000000005</v>
          </cell>
          <cell r="M899">
            <v>0.56000000000000005</v>
          </cell>
          <cell r="N899">
            <v>0.56000000000000005</v>
          </cell>
          <cell r="O899">
            <v>0.56000000000000005</v>
          </cell>
          <cell r="P899">
            <v>0.56000000000000005</v>
          </cell>
          <cell r="Q899">
            <v>0.56000000000000005</v>
          </cell>
          <cell r="R899">
            <v>0.56000000000000005</v>
          </cell>
          <cell r="S899">
            <v>0.56000000000000005</v>
          </cell>
          <cell r="T899">
            <v>0.56000000000000005</v>
          </cell>
          <cell r="U899">
            <v>0.56000000000000005</v>
          </cell>
          <cell r="V899">
            <v>0.56000000000000005</v>
          </cell>
          <cell r="W899">
            <v>0.56000000000000005</v>
          </cell>
          <cell r="X899">
            <v>0.56000000000000005</v>
          </cell>
          <cell r="Y899">
            <v>0.56000000000000005</v>
          </cell>
          <cell r="Z899">
            <v>0.56000000000000005</v>
          </cell>
          <cell r="AA899">
            <v>0.56000000000000005</v>
          </cell>
          <cell r="AB899">
            <v>0.56000000000000005</v>
          </cell>
          <cell r="AC899">
            <v>0.56000000000000005</v>
          </cell>
          <cell r="AD899">
            <v>0.56000000000000005</v>
          </cell>
          <cell r="AE899">
            <v>0.56000000000000005</v>
          </cell>
          <cell r="AF899">
            <v>0.56000000000000005</v>
          </cell>
          <cell r="AG899">
            <v>0.56000000000000005</v>
          </cell>
          <cell r="AH899">
            <v>0.56000000000000005</v>
          </cell>
        </row>
        <row r="900">
          <cell r="B900" t="str">
            <v>Carbon capture &amp; storage (CCS) - Conversion NG -&gt; CO2 -&gt; NH3 - Global - ton CO2/ton NH3</v>
          </cell>
          <cell r="G900">
            <v>1.8880000000000001</v>
          </cell>
          <cell r="H900">
            <v>1.8880000000000001</v>
          </cell>
          <cell r="I900">
            <v>1.8880000000000001</v>
          </cell>
          <cell r="J900">
            <v>1.8880000000000001</v>
          </cell>
          <cell r="K900">
            <v>1.8880000000000001</v>
          </cell>
          <cell r="L900">
            <v>1.8880000000000001</v>
          </cell>
          <cell r="M900">
            <v>1.8880000000000001</v>
          </cell>
          <cell r="N900">
            <v>1.8880000000000001</v>
          </cell>
          <cell r="O900">
            <v>1.8880000000000001</v>
          </cell>
          <cell r="P900">
            <v>1.8880000000000001</v>
          </cell>
          <cell r="Q900">
            <v>1.8880000000000001</v>
          </cell>
          <cell r="R900">
            <v>1.8880000000000001</v>
          </cell>
          <cell r="S900">
            <v>1.8880000000000001</v>
          </cell>
          <cell r="T900">
            <v>1.8880000000000001</v>
          </cell>
          <cell r="U900">
            <v>1.8880000000000001</v>
          </cell>
          <cell r="V900">
            <v>1.8880000000000001</v>
          </cell>
          <cell r="W900">
            <v>1.8880000000000001</v>
          </cell>
          <cell r="X900">
            <v>1.8880000000000001</v>
          </cell>
          <cell r="Y900">
            <v>1.8880000000000001</v>
          </cell>
          <cell r="Z900">
            <v>1.8880000000000001</v>
          </cell>
          <cell r="AA900">
            <v>1.8880000000000001</v>
          </cell>
          <cell r="AB900">
            <v>1.8880000000000001</v>
          </cell>
          <cell r="AC900">
            <v>1.8880000000000001</v>
          </cell>
          <cell r="AD900">
            <v>1.8880000000000001</v>
          </cell>
          <cell r="AE900">
            <v>1.8880000000000001</v>
          </cell>
          <cell r="AF900">
            <v>1.8880000000000001</v>
          </cell>
          <cell r="AG900">
            <v>1.8880000000000001</v>
          </cell>
          <cell r="AH900">
            <v>1.8880000000000001</v>
          </cell>
        </row>
        <row r="901">
          <cell r="B901" t="str">
            <v/>
          </cell>
        </row>
        <row r="902">
          <cell r="B902" t="str">
            <v>Bio-methanol - Item - Region - Unit</v>
          </cell>
          <cell r="G902">
            <v>2023</v>
          </cell>
          <cell r="H902">
            <v>2024</v>
          </cell>
          <cell r="I902">
            <v>2025</v>
          </cell>
          <cell r="J902">
            <v>2026</v>
          </cell>
          <cell r="K902">
            <v>2027</v>
          </cell>
          <cell r="L902">
            <v>2028</v>
          </cell>
          <cell r="M902">
            <v>2029</v>
          </cell>
          <cell r="N902">
            <v>2030</v>
          </cell>
          <cell r="O902">
            <v>2031</v>
          </cell>
          <cell r="P902">
            <v>2032</v>
          </cell>
          <cell r="Q902">
            <v>2033</v>
          </cell>
          <cell r="R902">
            <v>2034</v>
          </cell>
          <cell r="S902">
            <v>2035</v>
          </cell>
          <cell r="T902">
            <v>2036</v>
          </cell>
          <cell r="U902">
            <v>2037</v>
          </cell>
          <cell r="V902">
            <v>2038</v>
          </cell>
          <cell r="W902">
            <v>2039</v>
          </cell>
          <cell r="X902">
            <v>2040</v>
          </cell>
          <cell r="Y902">
            <v>2041</v>
          </cell>
          <cell r="Z902">
            <v>2042</v>
          </cell>
          <cell r="AA902">
            <v>2043</v>
          </cell>
          <cell r="AB902">
            <v>2044</v>
          </cell>
          <cell r="AC902">
            <v>2045</v>
          </cell>
          <cell r="AD902">
            <v>2046</v>
          </cell>
          <cell r="AE902">
            <v>2047</v>
          </cell>
          <cell r="AF902">
            <v>2048</v>
          </cell>
          <cell r="AG902">
            <v>2049</v>
          </cell>
          <cell r="AH902">
            <v>2050</v>
          </cell>
        </row>
        <row r="903">
          <cell r="B903" t="str">
            <v/>
          </cell>
        </row>
        <row r="904">
          <cell r="B904" t="str">
            <v>Bio-methanol - Total emissions - WTW - GWP100 - Global - ton CO2eq/ton fuel</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row>
        <row r="905">
          <cell r="B905" t="str">
            <v>Bio-methanol - Total emissions - WTW - GWP20 - Global - ton CO2eq/ton fuel</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row>
        <row r="906">
          <cell r="B906" t="str">
            <v>Bio-methanol - Total emissions - TTW - GWP100 - Global - ton CO2eq/ton fuel</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row>
        <row r="907">
          <cell r="B907" t="str">
            <v>Bio-methanol - Total emissions - TTW - GWP20 - Global - ton CO2eq/ton fuel</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row>
        <row r="908">
          <cell r="B908" t="str">
            <v>Bio-methanol - Total emissions - WTT - GWP100 - Global - ton CO2eq/ton fuel</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row>
        <row r="909">
          <cell r="B909" t="str">
            <v>Bio-methanol - Total emissions - WTT - GWP20 - Global - ton CO2eq/ton fuel</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row>
        <row r="910">
          <cell r="B910" t="str">
            <v>General - Methane - GWP100 - Global - ton CO2eq/ton fuel</v>
          </cell>
          <cell r="G910">
            <v>29</v>
          </cell>
          <cell r="H910">
            <v>29</v>
          </cell>
          <cell r="I910">
            <v>29</v>
          </cell>
          <cell r="J910">
            <v>29</v>
          </cell>
          <cell r="K910">
            <v>29</v>
          </cell>
          <cell r="L910">
            <v>29</v>
          </cell>
          <cell r="M910">
            <v>29</v>
          </cell>
          <cell r="N910">
            <v>29</v>
          </cell>
          <cell r="O910">
            <v>29</v>
          </cell>
          <cell r="P910">
            <v>29</v>
          </cell>
          <cell r="Q910">
            <v>29</v>
          </cell>
          <cell r="R910">
            <v>29</v>
          </cell>
          <cell r="S910">
            <v>29</v>
          </cell>
          <cell r="T910">
            <v>29</v>
          </cell>
          <cell r="U910">
            <v>29</v>
          </cell>
          <cell r="V910">
            <v>29</v>
          </cell>
          <cell r="W910">
            <v>29</v>
          </cell>
          <cell r="X910">
            <v>29</v>
          </cell>
          <cell r="Y910">
            <v>29</v>
          </cell>
          <cell r="Z910">
            <v>29</v>
          </cell>
          <cell r="AA910">
            <v>29</v>
          </cell>
          <cell r="AB910">
            <v>29</v>
          </cell>
          <cell r="AC910">
            <v>29</v>
          </cell>
          <cell r="AD910">
            <v>29</v>
          </cell>
          <cell r="AE910">
            <v>29</v>
          </cell>
          <cell r="AF910">
            <v>29</v>
          </cell>
          <cell r="AG910">
            <v>29</v>
          </cell>
          <cell r="AH910">
            <v>29</v>
          </cell>
        </row>
        <row r="911">
          <cell r="B911" t="str">
            <v>General - Methane - GWP20 - Global - ton CO2eq/ton fuel</v>
          </cell>
          <cell r="G911">
            <v>85</v>
          </cell>
          <cell r="H911">
            <v>85</v>
          </cell>
          <cell r="I911">
            <v>85</v>
          </cell>
          <cell r="J911">
            <v>85</v>
          </cell>
          <cell r="K911">
            <v>85</v>
          </cell>
          <cell r="L911">
            <v>85</v>
          </cell>
          <cell r="M911">
            <v>85</v>
          </cell>
          <cell r="N911">
            <v>85</v>
          </cell>
          <cell r="O911">
            <v>85</v>
          </cell>
          <cell r="P911">
            <v>85</v>
          </cell>
          <cell r="Q911">
            <v>85</v>
          </cell>
          <cell r="R911">
            <v>85</v>
          </cell>
          <cell r="S911">
            <v>85</v>
          </cell>
          <cell r="T911">
            <v>85</v>
          </cell>
          <cell r="U911">
            <v>85</v>
          </cell>
          <cell r="V911">
            <v>85</v>
          </cell>
          <cell r="W911">
            <v>85</v>
          </cell>
          <cell r="X911">
            <v>85</v>
          </cell>
          <cell r="Y911">
            <v>85</v>
          </cell>
          <cell r="Z911">
            <v>85</v>
          </cell>
          <cell r="AA911">
            <v>85</v>
          </cell>
          <cell r="AB911">
            <v>85</v>
          </cell>
          <cell r="AC911">
            <v>85</v>
          </cell>
          <cell r="AD911">
            <v>85</v>
          </cell>
          <cell r="AE911">
            <v>85</v>
          </cell>
          <cell r="AF911">
            <v>85</v>
          </cell>
          <cell r="AG911">
            <v>85</v>
          </cell>
          <cell r="AH911">
            <v>85</v>
          </cell>
        </row>
        <row r="912">
          <cell r="B912" t="str">
            <v>General - Nitrous oxide - GWP100 - Global - ton CO2eq/ton fuel</v>
          </cell>
          <cell r="G912">
            <v>266</v>
          </cell>
          <cell r="H912">
            <v>266</v>
          </cell>
          <cell r="I912">
            <v>266</v>
          </cell>
          <cell r="J912">
            <v>266</v>
          </cell>
          <cell r="K912">
            <v>266</v>
          </cell>
          <cell r="L912">
            <v>266</v>
          </cell>
          <cell r="M912">
            <v>266</v>
          </cell>
          <cell r="N912">
            <v>266</v>
          </cell>
          <cell r="O912">
            <v>266</v>
          </cell>
          <cell r="P912">
            <v>266</v>
          </cell>
          <cell r="Q912">
            <v>266</v>
          </cell>
          <cell r="R912">
            <v>266</v>
          </cell>
          <cell r="S912">
            <v>266</v>
          </cell>
          <cell r="T912">
            <v>266</v>
          </cell>
          <cell r="U912">
            <v>266</v>
          </cell>
          <cell r="V912">
            <v>266</v>
          </cell>
          <cell r="W912">
            <v>266</v>
          </cell>
          <cell r="X912">
            <v>266</v>
          </cell>
          <cell r="Y912">
            <v>266</v>
          </cell>
          <cell r="Z912">
            <v>266</v>
          </cell>
          <cell r="AA912">
            <v>266</v>
          </cell>
          <cell r="AB912">
            <v>266</v>
          </cell>
          <cell r="AC912">
            <v>266</v>
          </cell>
          <cell r="AD912">
            <v>266</v>
          </cell>
          <cell r="AE912">
            <v>266</v>
          </cell>
          <cell r="AF912">
            <v>266</v>
          </cell>
          <cell r="AG912">
            <v>266</v>
          </cell>
          <cell r="AH912">
            <v>266</v>
          </cell>
        </row>
        <row r="913">
          <cell r="B913" t="str">
            <v>General - Nitrous oxide - GWP20 - Global - ton CO2eq/ton fuel</v>
          </cell>
          <cell r="G913">
            <v>251</v>
          </cell>
          <cell r="H913">
            <v>251</v>
          </cell>
          <cell r="I913">
            <v>251</v>
          </cell>
          <cell r="J913">
            <v>251</v>
          </cell>
          <cell r="K913">
            <v>251</v>
          </cell>
          <cell r="L913">
            <v>251</v>
          </cell>
          <cell r="M913">
            <v>251</v>
          </cell>
          <cell r="N913">
            <v>251</v>
          </cell>
          <cell r="O913">
            <v>251</v>
          </cell>
          <cell r="P913">
            <v>251</v>
          </cell>
          <cell r="Q913">
            <v>251</v>
          </cell>
          <cell r="R913">
            <v>251</v>
          </cell>
          <cell r="S913">
            <v>251</v>
          </cell>
          <cell r="T913">
            <v>251</v>
          </cell>
          <cell r="U913">
            <v>251</v>
          </cell>
          <cell r="V913">
            <v>251</v>
          </cell>
          <cell r="W913">
            <v>251</v>
          </cell>
          <cell r="X913">
            <v>251</v>
          </cell>
          <cell r="Y913">
            <v>251</v>
          </cell>
          <cell r="Z913">
            <v>251</v>
          </cell>
          <cell r="AA913">
            <v>251</v>
          </cell>
          <cell r="AB913">
            <v>251</v>
          </cell>
          <cell r="AC913">
            <v>251</v>
          </cell>
          <cell r="AD913">
            <v>251</v>
          </cell>
          <cell r="AE913">
            <v>251</v>
          </cell>
          <cell r="AF913">
            <v>251</v>
          </cell>
          <cell r="AG913">
            <v>251</v>
          </cell>
          <cell r="AH913">
            <v>251</v>
          </cell>
        </row>
        <row r="914">
          <cell r="B914" t="str">
            <v/>
          </cell>
        </row>
        <row r="915">
          <cell r="B915" t="str">
            <v>Bio-methanol - Total emissions - WTW - Global - ton CO2/ton fuel</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row>
        <row r="916">
          <cell r="B916" t="str">
            <v>Bio-methanol - Total emissions - WTW - Global - ton CH4/ton fuel</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row>
        <row r="917">
          <cell r="B917" t="str">
            <v>Bio-methanol - Total emissions - WTW - Global - ton N2O/ton fuel</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row>
        <row r="918">
          <cell r="B918" t="str">
            <v/>
          </cell>
        </row>
        <row r="919">
          <cell r="B919" t="str">
            <v>Bio-methanol - Total emissions - TTW - Global - ton CO2/ton fuel</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row>
        <row r="920">
          <cell r="B920" t="str">
            <v>Bio-methanol - Total emissions - TTW - Global - ton CH4/ton fuel</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row>
        <row r="921">
          <cell r="B921" t="str">
            <v>Bio-methanol - Total emissions - TTW - Global - ton N2O/ton fuel</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row>
        <row r="922">
          <cell r="B922" t="str">
            <v>Bio-methanol - TTW emissions (carbon dioxide) - Global - ton CO2/ton fuel</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row>
        <row r="923">
          <cell r="B923" t="str">
            <v>Bio-methanol - TTW emissions (methane) - Global - ton CH4/ton fuel</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row>
        <row r="924">
          <cell r="B924" t="str">
            <v>Bio-methanol - TTW emissions (nitrous oxide) - Global - ton N2O/ton fuel</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row>
        <row r="925">
          <cell r="B925" t="str">
            <v/>
          </cell>
        </row>
        <row r="926">
          <cell r="B926" t="str">
            <v>Bio-methanol - Total emissions - WTT - Global - ton CO2eq/ton fuel</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row>
        <row r="927">
          <cell r="B927" t="str">
            <v>Bio-methanol - Total emissions - WTT - Global - ton CO2eq/ton fuel</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row>
        <row r="928">
          <cell r="B928" t="str">
            <v>Bio-methanol - Total emissions - WTT - Global - ton CO2eq/ton fuel</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row>
        <row r="929">
          <cell r="B929" t="str">
            <v/>
          </cell>
        </row>
        <row r="930">
          <cell r="B930" t="str">
            <v>Bio-methanol - Process-related emissions - WTT - Global - ton CO2/ton fuel</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row>
        <row r="931">
          <cell r="B931" t="str">
            <v>Bio-methanol - Process-related emissions - WTT - Global - ton CH4/ton fuel</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row>
        <row r="932">
          <cell r="B932" t="str">
            <v>Bio-methanol - Process-related emissions - WTT - Global - ton N2O/ton fuel</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row>
        <row r="933">
          <cell r="B933" t="str">
            <v>Bio-methanol - Process WTT emissions (carbon dioxide) - Global - ton CO2/ton fuel</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row>
        <row r="934">
          <cell r="B934" t="str">
            <v>Bio-methanol - Process WTT emissions (methane) - Global - ton CH4/ton fuel</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row>
        <row r="935">
          <cell r="B935" t="str">
            <v>Bio-methanol - Process WTT emissions (nitrous oxide) - Global - ton N2O/ton fuel</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row>
        <row r="936">
          <cell r="B936" t="str">
            <v/>
          </cell>
        </row>
        <row r="937">
          <cell r="B937" t="str">
            <v>Bio-methanol - Energy-related emissions - WTT - Global - ton CO2/ton fuel</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row>
        <row r="938">
          <cell r="B938" t="str">
            <v>Bio-methanol - Energy-related emissions - WTT - Global - ton CH4/ton fuel</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row>
        <row r="939">
          <cell r="B939" t="str">
            <v>Bio-methanol - Energy-related emissions - WTT - Global - ton N2O/ton fuel</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row>
        <row r="940">
          <cell r="B940" t="str">
            <v>Renewable electricity - Feedstock WTT emissions (carbon dioxide) - Global - ton CO2/MWh</v>
          </cell>
          <cell r="G940">
            <v>5.3699999999999998E-3</v>
          </cell>
          <cell r="H940">
            <v>5.3699999999999998E-3</v>
          </cell>
          <cell r="I940">
            <v>5.3699999999999998E-3</v>
          </cell>
          <cell r="J940">
            <v>5.3699999999999998E-3</v>
          </cell>
          <cell r="K940">
            <v>5.3699999999999998E-3</v>
          </cell>
          <cell r="L940">
            <v>5.3699999999999998E-3</v>
          </cell>
          <cell r="M940">
            <v>5.3699999999999998E-3</v>
          </cell>
          <cell r="N940">
            <v>5.3699999999999998E-3</v>
          </cell>
          <cell r="O940">
            <v>5.3699999999999998E-3</v>
          </cell>
          <cell r="P940">
            <v>5.3699999999999998E-3</v>
          </cell>
          <cell r="Q940">
            <v>5.3699999999999998E-3</v>
          </cell>
          <cell r="R940">
            <v>5.3699999999999998E-3</v>
          </cell>
          <cell r="S940">
            <v>5.3699999999999998E-3</v>
          </cell>
          <cell r="T940">
            <v>5.3699999999999998E-3</v>
          </cell>
          <cell r="U940">
            <v>5.3699999999999998E-3</v>
          </cell>
          <cell r="V940">
            <v>5.3699999999999998E-3</v>
          </cell>
          <cell r="W940">
            <v>5.3699999999999998E-3</v>
          </cell>
          <cell r="X940">
            <v>5.3699999999999998E-3</v>
          </cell>
          <cell r="Y940">
            <v>5.3699999999999998E-3</v>
          </cell>
          <cell r="Z940">
            <v>5.3699999999999998E-3</v>
          </cell>
          <cell r="AA940">
            <v>5.3699999999999998E-3</v>
          </cell>
          <cell r="AB940">
            <v>5.3699999999999998E-3</v>
          </cell>
          <cell r="AC940">
            <v>5.3699999999999998E-3</v>
          </cell>
          <cell r="AD940">
            <v>5.3699999999999998E-3</v>
          </cell>
          <cell r="AE940">
            <v>5.3699999999999998E-3</v>
          </cell>
          <cell r="AF940">
            <v>5.3699999999999998E-3</v>
          </cell>
          <cell r="AG940">
            <v>5.3699999999999998E-3</v>
          </cell>
          <cell r="AH940">
            <v>5.3699999999999998E-3</v>
          </cell>
        </row>
        <row r="941">
          <cell r="B941" t="str">
            <v>Renewable electricity - Feedstock WTT emissions (methane) - Global - ton CH4/MWh</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row>
        <row r="942">
          <cell r="B942" t="str">
            <v>Renewable electricity - Feedstock WTT emissions (nitrous oxide) - Global - ton N2O/MWh</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row>
        <row r="943">
          <cell r="B943" t="str">
            <v>Bio-methanol - Energy demand - Global - MWh/ton fuel</v>
          </cell>
          <cell r="G943">
            <v>0.52617825903163917</v>
          </cell>
          <cell r="H943">
            <v>0.52617825903163917</v>
          </cell>
          <cell r="I943">
            <v>0.52617825903163906</v>
          </cell>
          <cell r="J943">
            <v>0.52585146164601815</v>
          </cell>
          <cell r="K943">
            <v>0.52552466426039723</v>
          </cell>
          <cell r="L943">
            <v>0.52519786687477632</v>
          </cell>
          <cell r="M943">
            <v>0.52487106948915541</v>
          </cell>
          <cell r="N943">
            <v>0.52454427210353449</v>
          </cell>
          <cell r="O943">
            <v>0.52421747471791358</v>
          </cell>
          <cell r="P943">
            <v>0.52389067733229266</v>
          </cell>
          <cell r="Q943">
            <v>0.52356387994667175</v>
          </cell>
          <cell r="R943">
            <v>0.52323708256105084</v>
          </cell>
          <cell r="S943">
            <v>0.52291028517543003</v>
          </cell>
          <cell r="T943">
            <v>0.52258348778980901</v>
          </cell>
          <cell r="U943">
            <v>0.5222566904041881</v>
          </cell>
          <cell r="V943">
            <v>0.52192989301856718</v>
          </cell>
          <cell r="W943">
            <v>0.52160309563294627</v>
          </cell>
          <cell r="X943">
            <v>0.52127629824732535</v>
          </cell>
          <cell r="Y943">
            <v>0.52094950086170444</v>
          </cell>
          <cell r="Z943">
            <v>0.52062270347608353</v>
          </cell>
          <cell r="AA943">
            <v>0.52029590609046261</v>
          </cell>
          <cell r="AB943">
            <v>0.5199691087048417</v>
          </cell>
          <cell r="AC943">
            <v>0.51964231131922078</v>
          </cell>
          <cell r="AD943">
            <v>0.51931551393359987</v>
          </cell>
          <cell r="AE943">
            <v>0.51898871654797896</v>
          </cell>
          <cell r="AF943">
            <v>0.51866191916235804</v>
          </cell>
          <cell r="AG943">
            <v>0.51833512177673713</v>
          </cell>
          <cell r="AH943">
            <v>0.51800832439111621</v>
          </cell>
        </row>
        <row r="944">
          <cell r="B944" t="str">
            <v/>
          </cell>
        </row>
        <row r="945">
          <cell r="B945" t="str">
            <v>Bio-methanol - Feedstock-related emissions - WTT - Global - ton CO2/ton fuel</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row>
        <row r="946">
          <cell r="B946" t="str">
            <v>Bio-methanol - Feedstock-related emissions - WTT - Global - ton CH4/ton fuel</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row>
        <row r="947">
          <cell r="B947" t="str">
            <v>Bio-methanol - Feedstock-related emissions - WTT - Global - ton N2O/ton fuel</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row>
        <row r="948">
          <cell r="B948" t="str">
            <v>Wood - Feedstock WTT emissions (carbon dioxide) - Global - ton CO2/ton feedstock</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row>
        <row r="949">
          <cell r="B949" t="str">
            <v>Wood - Feedstock WTT emissions (methane) - Global - ton CH4/ton feedstock</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row>
        <row r="950">
          <cell r="B950" t="str">
            <v>Wood - Feedstock WTT emissions (nitrous oxide) - Global - ton N2O/ton feedstock</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row>
        <row r="951">
          <cell r="B951" t="str">
            <v>Waste - Feedstock WTT emissions (carbon dioxide) - Global - ton CO2/ton feedstock</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row>
        <row r="952">
          <cell r="B952" t="str">
            <v>Waste - Feedstock WTT emissions (methane) - Global - ton CH4/ton feedstock</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row>
        <row r="953">
          <cell r="B953" t="str">
            <v>Waste - Feedstock WTT emissions (nitrous oxide) - Global - ton N2O/ton feedstock</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row>
        <row r="954">
          <cell r="B954" t="str">
            <v>Bio-methanol - Conversion wood -&gt; Bio-MeOH - Global - ton wood/ton MeOH</v>
          </cell>
          <cell r="G954">
            <v>1.21</v>
          </cell>
          <cell r="H954">
            <v>1.21</v>
          </cell>
          <cell r="I954">
            <v>1.21</v>
          </cell>
          <cell r="J954">
            <v>1.21</v>
          </cell>
          <cell r="K954">
            <v>1.21</v>
          </cell>
          <cell r="L954">
            <v>1.21</v>
          </cell>
          <cell r="M954">
            <v>1.21</v>
          </cell>
          <cell r="N954">
            <v>1.21</v>
          </cell>
          <cell r="O954">
            <v>1.21</v>
          </cell>
          <cell r="P954">
            <v>1.21</v>
          </cell>
          <cell r="Q954">
            <v>1.21</v>
          </cell>
          <cell r="R954">
            <v>1.21</v>
          </cell>
          <cell r="S954">
            <v>1.21</v>
          </cell>
          <cell r="T954">
            <v>1.21</v>
          </cell>
          <cell r="U954">
            <v>1.21</v>
          </cell>
          <cell r="V954">
            <v>1.21</v>
          </cell>
          <cell r="W954">
            <v>1.21</v>
          </cell>
          <cell r="X954">
            <v>1.21</v>
          </cell>
          <cell r="Y954">
            <v>1.21</v>
          </cell>
          <cell r="Z954">
            <v>1.21</v>
          </cell>
          <cell r="AA954">
            <v>1.21</v>
          </cell>
          <cell r="AB954">
            <v>1.21</v>
          </cell>
          <cell r="AC954">
            <v>1.21</v>
          </cell>
          <cell r="AD954">
            <v>1.21</v>
          </cell>
          <cell r="AE954">
            <v>1.21</v>
          </cell>
          <cell r="AF954">
            <v>1.21</v>
          </cell>
          <cell r="AG954">
            <v>1.21</v>
          </cell>
          <cell r="AH954">
            <v>1.21</v>
          </cell>
        </row>
        <row r="955">
          <cell r="B955" t="str">
            <v>Bio-methanol - Conversion waste -&gt; Bio-MeOH - Global - ton waste/ton MeOH</v>
          </cell>
          <cell r="G955">
            <v>1.21</v>
          </cell>
          <cell r="H955">
            <v>1.21</v>
          </cell>
          <cell r="I955">
            <v>1.21</v>
          </cell>
          <cell r="J955">
            <v>1.21</v>
          </cell>
          <cell r="K955">
            <v>1.21</v>
          </cell>
          <cell r="L955">
            <v>1.21</v>
          </cell>
          <cell r="M955">
            <v>1.21</v>
          </cell>
          <cell r="N955">
            <v>1.21</v>
          </cell>
          <cell r="O955">
            <v>1.21</v>
          </cell>
          <cell r="P955">
            <v>1.21</v>
          </cell>
          <cell r="Q955">
            <v>1.21</v>
          </cell>
          <cell r="R955">
            <v>1.21</v>
          </cell>
          <cell r="S955">
            <v>1.21</v>
          </cell>
          <cell r="T955">
            <v>1.21</v>
          </cell>
          <cell r="U955">
            <v>1.21</v>
          </cell>
          <cell r="V955">
            <v>1.21</v>
          </cell>
          <cell r="W955">
            <v>1.21</v>
          </cell>
          <cell r="X955">
            <v>1.21</v>
          </cell>
          <cell r="Y955">
            <v>1.21</v>
          </cell>
          <cell r="Z955">
            <v>1.21</v>
          </cell>
          <cell r="AA955">
            <v>1.21</v>
          </cell>
          <cell r="AB955">
            <v>1.21</v>
          </cell>
          <cell r="AC955">
            <v>1.21</v>
          </cell>
          <cell r="AD955">
            <v>1.21</v>
          </cell>
          <cell r="AE955">
            <v>1.21</v>
          </cell>
          <cell r="AF955">
            <v>1.21</v>
          </cell>
          <cell r="AG955">
            <v>1.21</v>
          </cell>
          <cell r="AH955">
            <v>1.21</v>
          </cell>
        </row>
        <row r="956">
          <cell r="B956" t="str">
            <v/>
          </cell>
        </row>
        <row r="957">
          <cell r="B957" t="str">
            <v>Bio-methane (liquefied) - Item - Region - Unit</v>
          </cell>
          <cell r="G957">
            <v>2023</v>
          </cell>
          <cell r="H957">
            <v>2024</v>
          </cell>
          <cell r="I957">
            <v>2025</v>
          </cell>
          <cell r="J957">
            <v>2026</v>
          </cell>
          <cell r="K957">
            <v>2027</v>
          </cell>
          <cell r="L957">
            <v>2028</v>
          </cell>
          <cell r="M957">
            <v>2029</v>
          </cell>
          <cell r="N957">
            <v>2030</v>
          </cell>
          <cell r="O957">
            <v>2031</v>
          </cell>
          <cell r="P957">
            <v>2032</v>
          </cell>
          <cell r="Q957">
            <v>2033</v>
          </cell>
          <cell r="R957">
            <v>2034</v>
          </cell>
          <cell r="S957">
            <v>2035</v>
          </cell>
          <cell r="T957">
            <v>2036</v>
          </cell>
          <cell r="U957">
            <v>2037</v>
          </cell>
          <cell r="V957">
            <v>2038</v>
          </cell>
          <cell r="W957">
            <v>2039</v>
          </cell>
          <cell r="X957">
            <v>2040</v>
          </cell>
          <cell r="Y957">
            <v>2041</v>
          </cell>
          <cell r="Z957">
            <v>2042</v>
          </cell>
          <cell r="AA957">
            <v>2043</v>
          </cell>
          <cell r="AB957">
            <v>2044</v>
          </cell>
          <cell r="AC957">
            <v>2045</v>
          </cell>
          <cell r="AD957">
            <v>2046</v>
          </cell>
          <cell r="AE957">
            <v>2047</v>
          </cell>
          <cell r="AF957">
            <v>2048</v>
          </cell>
          <cell r="AG957">
            <v>2049</v>
          </cell>
          <cell r="AH957">
            <v>2050</v>
          </cell>
        </row>
        <row r="958">
          <cell r="B958" t="str">
            <v/>
          </cell>
        </row>
        <row r="959">
          <cell r="B959" t="str">
            <v>Bio-methane (liquefied) - Total emissions - WTW - GWP100 - Global - ton CO2eq/ton fuel</v>
          </cell>
          <cell r="G959">
            <v>0.71112197481485295</v>
          </cell>
          <cell r="H959">
            <v>0.65281127618335821</v>
          </cell>
          <cell r="I959">
            <v>0.59450057755186347</v>
          </cell>
          <cell r="J959">
            <v>0.53618987892036862</v>
          </cell>
          <cell r="K959">
            <v>0.47787918028887411</v>
          </cell>
          <cell r="L959">
            <v>0.41956848165737942</v>
          </cell>
          <cell r="M959">
            <v>0.36125778302588474</v>
          </cell>
          <cell r="N959">
            <v>0.30294708439438989</v>
          </cell>
          <cell r="O959">
            <v>0.30263638576289537</v>
          </cell>
          <cell r="P959">
            <v>0.30232568713140068</v>
          </cell>
          <cell r="Q959">
            <v>0.30201498849990599</v>
          </cell>
          <cell r="R959">
            <v>0.30170428986841119</v>
          </cell>
          <cell r="S959">
            <v>0.3013935912369165</v>
          </cell>
          <cell r="T959">
            <v>0.30108289260542187</v>
          </cell>
          <cell r="U959">
            <v>0.30077219397392718</v>
          </cell>
          <cell r="V959">
            <v>0.30046149534243238</v>
          </cell>
          <cell r="W959">
            <v>0.3001507967109377</v>
          </cell>
          <cell r="X959">
            <v>0.2998400980794429</v>
          </cell>
          <cell r="Y959">
            <v>0.29952939944794821</v>
          </cell>
          <cell r="Z959">
            <v>0.29921870081645341</v>
          </cell>
          <cell r="AA959">
            <v>0.29890800218495872</v>
          </cell>
          <cell r="AB959">
            <v>0.29859730355346403</v>
          </cell>
          <cell r="AC959">
            <v>0.29828660492196934</v>
          </cell>
          <cell r="AD959">
            <v>0.29797590629047455</v>
          </cell>
          <cell r="AE959">
            <v>0.29766520765897986</v>
          </cell>
          <cell r="AF959">
            <v>0.29735450902748517</v>
          </cell>
          <cell r="AG959">
            <v>0.29704381039599054</v>
          </cell>
          <cell r="AH959">
            <v>0.29673311176449585</v>
          </cell>
        </row>
        <row r="960">
          <cell r="B960" t="str">
            <v>Bio-methane (liquefied) - Total emissions - WTW - GWP20 - Global - ton CO2eq/ton fuel</v>
          </cell>
          <cell r="G960">
            <v>2.0661595748148529</v>
          </cell>
          <cell r="H960">
            <v>1.8954400761833581</v>
          </cell>
          <cell r="I960">
            <v>1.7247205775518635</v>
          </cell>
          <cell r="J960">
            <v>1.5540010789203684</v>
          </cell>
          <cell r="K960">
            <v>1.383281580288874</v>
          </cell>
          <cell r="L960">
            <v>1.2125620816573792</v>
          </cell>
          <cell r="M960">
            <v>1.0418425830258846</v>
          </cell>
          <cell r="N960">
            <v>0.87112308439438968</v>
          </cell>
          <cell r="O960">
            <v>0.87040358576289545</v>
          </cell>
          <cell r="P960">
            <v>0.86968408713140077</v>
          </cell>
          <cell r="Q960">
            <v>0.86896458849990621</v>
          </cell>
          <cell r="R960">
            <v>0.8682450898684112</v>
          </cell>
          <cell r="S960">
            <v>0.86752559123691653</v>
          </cell>
          <cell r="T960">
            <v>0.86680609260542196</v>
          </cell>
          <cell r="U960">
            <v>0.86608659397392729</v>
          </cell>
          <cell r="V960">
            <v>0.86536709534243239</v>
          </cell>
          <cell r="W960">
            <v>0.86464759671093772</v>
          </cell>
          <cell r="X960">
            <v>0.86392809807944282</v>
          </cell>
          <cell r="Y960">
            <v>0.86320859944794814</v>
          </cell>
          <cell r="Z960">
            <v>0.86248910081645325</v>
          </cell>
          <cell r="AA960">
            <v>0.86176960218495857</v>
          </cell>
          <cell r="AB960">
            <v>0.8610501035534639</v>
          </cell>
          <cell r="AC960">
            <v>0.86033060492196933</v>
          </cell>
          <cell r="AD960">
            <v>0.85961110629047432</v>
          </cell>
          <cell r="AE960">
            <v>0.85889160765897976</v>
          </cell>
          <cell r="AF960">
            <v>0.85817210902748509</v>
          </cell>
          <cell r="AG960">
            <v>0.85745261039599052</v>
          </cell>
          <cell r="AH960">
            <v>0.85673311176449585</v>
          </cell>
        </row>
        <row r="961">
          <cell r="B961" t="str">
            <v>Bio-methane (liquefied) - Total emissions - TTW - GWP100 - Global - ton CO2eq/ton fuel</v>
          </cell>
          <cell r="G961">
            <v>0.69600000000000006</v>
          </cell>
          <cell r="H961">
            <v>0.63800000000000001</v>
          </cell>
          <cell r="I961">
            <v>0.57999999999999996</v>
          </cell>
          <cell r="J961">
            <v>0.52199999999999991</v>
          </cell>
          <cell r="K961">
            <v>0.46400000000000002</v>
          </cell>
          <cell r="L961">
            <v>0.40600000000000003</v>
          </cell>
          <cell r="M961">
            <v>0.34800000000000003</v>
          </cell>
          <cell r="N961">
            <v>0.28999999999999998</v>
          </cell>
          <cell r="O961">
            <v>0.28999999999999998</v>
          </cell>
          <cell r="P961">
            <v>0.28999999999999998</v>
          </cell>
          <cell r="Q961">
            <v>0.28999999999999998</v>
          </cell>
          <cell r="R961">
            <v>0.28999999999999998</v>
          </cell>
          <cell r="S961">
            <v>0.28999999999999998</v>
          </cell>
          <cell r="T961">
            <v>0.28999999999999998</v>
          </cell>
          <cell r="U961">
            <v>0.28999999999999998</v>
          </cell>
          <cell r="V961">
            <v>0.28999999999999998</v>
          </cell>
          <cell r="W961">
            <v>0.28999999999999998</v>
          </cell>
          <cell r="X961">
            <v>0.28999999999999998</v>
          </cell>
          <cell r="Y961">
            <v>0.28999999999999998</v>
          </cell>
          <cell r="Z961">
            <v>0.28999999999999998</v>
          </cell>
          <cell r="AA961">
            <v>0.28999999999999998</v>
          </cell>
          <cell r="AB961">
            <v>0.28999999999999998</v>
          </cell>
          <cell r="AC961">
            <v>0.28999999999999998</v>
          </cell>
          <cell r="AD961">
            <v>0.28999999999999998</v>
          </cell>
          <cell r="AE961">
            <v>0.28999999999999998</v>
          </cell>
          <cell r="AF961">
            <v>0.28999999999999998</v>
          </cell>
          <cell r="AG961">
            <v>0.28999999999999998</v>
          </cell>
          <cell r="AH961">
            <v>0.28999999999999998</v>
          </cell>
        </row>
        <row r="962">
          <cell r="B962" t="str">
            <v>Bio-methane (liquefied) - Total emissions - TTW - GWP20 - Global - ton CO2eq/ton fuel</v>
          </cell>
          <cell r="G962">
            <v>2.04</v>
          </cell>
          <cell r="H962">
            <v>1.8699999999999999</v>
          </cell>
          <cell r="I962">
            <v>1.7</v>
          </cell>
          <cell r="J962">
            <v>1.5299999999999998</v>
          </cell>
          <cell r="K962">
            <v>1.36</v>
          </cell>
          <cell r="L962">
            <v>1.19</v>
          </cell>
          <cell r="M962">
            <v>1.02</v>
          </cell>
          <cell r="N962">
            <v>0.85</v>
          </cell>
          <cell r="O962">
            <v>0.85</v>
          </cell>
          <cell r="P962">
            <v>0.85</v>
          </cell>
          <cell r="Q962">
            <v>0.85</v>
          </cell>
          <cell r="R962">
            <v>0.85</v>
          </cell>
          <cell r="S962">
            <v>0.85</v>
          </cell>
          <cell r="T962">
            <v>0.85</v>
          </cell>
          <cell r="U962">
            <v>0.85</v>
          </cell>
          <cell r="V962">
            <v>0.85</v>
          </cell>
          <cell r="W962">
            <v>0.85</v>
          </cell>
          <cell r="X962">
            <v>0.85</v>
          </cell>
          <cell r="Y962">
            <v>0.85</v>
          </cell>
          <cell r="Z962">
            <v>0.85</v>
          </cell>
          <cell r="AA962">
            <v>0.85</v>
          </cell>
          <cell r="AB962">
            <v>0.85</v>
          </cell>
          <cell r="AC962">
            <v>0.85</v>
          </cell>
          <cell r="AD962">
            <v>0.85</v>
          </cell>
          <cell r="AE962">
            <v>0.85</v>
          </cell>
          <cell r="AF962">
            <v>0.85</v>
          </cell>
          <cell r="AG962">
            <v>0.85</v>
          </cell>
          <cell r="AH962">
            <v>0.85</v>
          </cell>
        </row>
        <row r="963">
          <cell r="B963" t="str">
            <v>Bio-methane (liquefied) - Total emissions - WTT - GWP100 - Global - ton CO2eq/ton fuel</v>
          </cell>
          <cell r="G963">
            <v>1.5121974814852907E-2</v>
          </cell>
          <cell r="H963">
            <v>1.4811276183358231E-2</v>
          </cell>
          <cell r="I963">
            <v>1.4500577551863561E-2</v>
          </cell>
          <cell r="J963">
            <v>1.4189878920368743E-2</v>
          </cell>
          <cell r="K963">
            <v>1.387918028887407E-2</v>
          </cell>
          <cell r="L963">
            <v>1.3568481657379398E-2</v>
          </cell>
          <cell r="M963">
            <v>1.325778302588472E-2</v>
          </cell>
          <cell r="N963">
            <v>1.2947084394389907E-2</v>
          </cell>
          <cell r="O963">
            <v>1.2636385762895377E-2</v>
          </cell>
          <cell r="P963">
            <v>1.2325687131400705E-2</v>
          </cell>
          <cell r="Q963">
            <v>1.2014988499906034E-2</v>
          </cell>
          <cell r="R963">
            <v>1.1704289868411214E-2</v>
          </cell>
          <cell r="S963">
            <v>1.139359123691654E-2</v>
          </cell>
          <cell r="T963">
            <v>1.1082892605421868E-2</v>
          </cell>
          <cell r="U963">
            <v>1.0772193973927192E-2</v>
          </cell>
          <cell r="V963">
            <v>1.0461495342432375E-2</v>
          </cell>
          <cell r="W963">
            <v>1.0150796710937705E-2</v>
          </cell>
          <cell r="X963">
            <v>9.8400980794428917E-3</v>
          </cell>
          <cell r="Y963">
            <v>9.5293994479482141E-3</v>
          </cell>
          <cell r="Z963">
            <v>9.2187008164534012E-3</v>
          </cell>
          <cell r="AA963">
            <v>8.9080021849587271E-3</v>
          </cell>
          <cell r="AB963">
            <v>8.5973035534640512E-3</v>
          </cell>
          <cell r="AC963">
            <v>8.2866049219693805E-3</v>
          </cell>
          <cell r="AD963">
            <v>7.9759062904745624E-3</v>
          </cell>
          <cell r="AE963">
            <v>7.6652076589798926E-3</v>
          </cell>
          <cell r="AF963">
            <v>7.3545090274852159E-3</v>
          </cell>
          <cell r="AG963">
            <v>7.0438103959905417E-3</v>
          </cell>
          <cell r="AH963">
            <v>6.7331117644958711E-3</v>
          </cell>
        </row>
        <row r="964">
          <cell r="B964" t="str">
            <v>Bio-methane (liquefied) - Total emissions - WTT - GWP20 - Global - ton CO2eq/ton fuel</v>
          </cell>
          <cell r="G964">
            <v>2.615957481485278E-2</v>
          </cell>
          <cell r="H964">
            <v>2.5440076183358151E-2</v>
          </cell>
          <cell r="I964">
            <v>2.4720577551863524E-2</v>
          </cell>
          <cell r="J964">
            <v>2.4001078920368568E-2</v>
          </cell>
          <cell r="K964">
            <v>2.3281580288873942E-2</v>
          </cell>
          <cell r="L964">
            <v>2.2562081657379315E-2</v>
          </cell>
          <cell r="M964">
            <v>2.1842583025884682E-2</v>
          </cell>
          <cell r="N964">
            <v>2.1123084394389733E-2</v>
          </cell>
          <cell r="O964">
            <v>2.0403585762895429E-2</v>
          </cell>
          <cell r="P964">
            <v>1.9684087131400803E-2</v>
          </cell>
          <cell r="Q964">
            <v>1.8964588499906176E-2</v>
          </cell>
          <cell r="R964">
            <v>1.8245089868411217E-2</v>
          </cell>
          <cell r="S964">
            <v>1.7525591236916591E-2</v>
          </cell>
          <cell r="T964">
            <v>1.6806092605421964E-2</v>
          </cell>
          <cell r="U964">
            <v>1.6086593973927331E-2</v>
          </cell>
          <cell r="V964">
            <v>1.5367095342432378E-2</v>
          </cell>
          <cell r="W964">
            <v>1.4647596710937754E-2</v>
          </cell>
          <cell r="X964">
            <v>1.3928098079442803E-2</v>
          </cell>
          <cell r="Y964">
            <v>1.3208599447948173E-2</v>
          </cell>
          <cell r="Z964">
            <v>1.2489100816453224E-2</v>
          </cell>
          <cell r="AA964">
            <v>1.1769602184958594E-2</v>
          </cell>
          <cell r="AB964">
            <v>1.1050103553463963E-2</v>
          </cell>
          <cell r="AC964">
            <v>1.0330604921969336E-2</v>
          </cell>
          <cell r="AD964">
            <v>9.6111062904743819E-3</v>
          </cell>
          <cell r="AE964">
            <v>8.8916076589797572E-3</v>
          </cell>
          <cell r="AF964">
            <v>8.1721090274851256E-3</v>
          </cell>
          <cell r="AG964">
            <v>7.4526103959904966E-3</v>
          </cell>
          <cell r="AH964">
            <v>6.7331117644958711E-3</v>
          </cell>
        </row>
        <row r="965">
          <cell r="B965" t="str">
            <v>General - Methane - GWP100 - Global - ton CO2eq/ton fuel</v>
          </cell>
          <cell r="G965">
            <v>29</v>
          </cell>
          <cell r="H965">
            <v>29</v>
          </cell>
          <cell r="I965">
            <v>29</v>
          </cell>
          <cell r="J965">
            <v>29</v>
          </cell>
          <cell r="K965">
            <v>29</v>
          </cell>
          <cell r="L965">
            <v>29</v>
          </cell>
          <cell r="M965">
            <v>29</v>
          </cell>
          <cell r="N965">
            <v>29</v>
          </cell>
          <cell r="O965">
            <v>29</v>
          </cell>
          <cell r="P965">
            <v>29</v>
          </cell>
          <cell r="Q965">
            <v>29</v>
          </cell>
          <cell r="R965">
            <v>29</v>
          </cell>
          <cell r="S965">
            <v>29</v>
          </cell>
          <cell r="T965">
            <v>29</v>
          </cell>
          <cell r="U965">
            <v>29</v>
          </cell>
          <cell r="V965">
            <v>29</v>
          </cell>
          <cell r="W965">
            <v>29</v>
          </cell>
          <cell r="X965">
            <v>29</v>
          </cell>
          <cell r="Y965">
            <v>29</v>
          </cell>
          <cell r="Z965">
            <v>29</v>
          </cell>
          <cell r="AA965">
            <v>29</v>
          </cell>
          <cell r="AB965">
            <v>29</v>
          </cell>
          <cell r="AC965">
            <v>29</v>
          </cell>
          <cell r="AD965">
            <v>29</v>
          </cell>
          <cell r="AE965">
            <v>29</v>
          </cell>
          <cell r="AF965">
            <v>29</v>
          </cell>
          <cell r="AG965">
            <v>29</v>
          </cell>
          <cell r="AH965">
            <v>29</v>
          </cell>
        </row>
        <row r="966">
          <cell r="B966" t="str">
            <v>General - Methane - GWP20 - Global - ton CO2eq/ton fuel</v>
          </cell>
          <cell r="G966">
            <v>85</v>
          </cell>
          <cell r="H966">
            <v>85</v>
          </cell>
          <cell r="I966">
            <v>85</v>
          </cell>
          <cell r="J966">
            <v>85</v>
          </cell>
          <cell r="K966">
            <v>85</v>
          </cell>
          <cell r="L966">
            <v>85</v>
          </cell>
          <cell r="M966">
            <v>85</v>
          </cell>
          <cell r="N966">
            <v>85</v>
          </cell>
          <cell r="O966">
            <v>85</v>
          </cell>
          <cell r="P966">
            <v>85</v>
          </cell>
          <cell r="Q966">
            <v>85</v>
          </cell>
          <cell r="R966">
            <v>85</v>
          </cell>
          <cell r="S966">
            <v>85</v>
          </cell>
          <cell r="T966">
            <v>85</v>
          </cell>
          <cell r="U966">
            <v>85</v>
          </cell>
          <cell r="V966">
            <v>85</v>
          </cell>
          <cell r="W966">
            <v>85</v>
          </cell>
          <cell r="X966">
            <v>85</v>
          </cell>
          <cell r="Y966">
            <v>85</v>
          </cell>
          <cell r="Z966">
            <v>85</v>
          </cell>
          <cell r="AA966">
            <v>85</v>
          </cell>
          <cell r="AB966">
            <v>85</v>
          </cell>
          <cell r="AC966">
            <v>85</v>
          </cell>
          <cell r="AD966">
            <v>85</v>
          </cell>
          <cell r="AE966">
            <v>85</v>
          </cell>
          <cell r="AF966">
            <v>85</v>
          </cell>
          <cell r="AG966">
            <v>85</v>
          </cell>
          <cell r="AH966">
            <v>85</v>
          </cell>
        </row>
        <row r="967">
          <cell r="B967" t="str">
            <v>General - Nitrous oxide - GWP100 - Global - ton CO2eq/ton fuel</v>
          </cell>
          <cell r="G967">
            <v>266</v>
          </cell>
          <cell r="H967">
            <v>266</v>
          </cell>
          <cell r="I967">
            <v>266</v>
          </cell>
          <cell r="J967">
            <v>266</v>
          </cell>
          <cell r="K967">
            <v>266</v>
          </cell>
          <cell r="L967">
            <v>266</v>
          </cell>
          <cell r="M967">
            <v>266</v>
          </cell>
          <cell r="N967">
            <v>266</v>
          </cell>
          <cell r="O967">
            <v>266</v>
          </cell>
          <cell r="P967">
            <v>266</v>
          </cell>
          <cell r="Q967">
            <v>266</v>
          </cell>
          <cell r="R967">
            <v>266</v>
          </cell>
          <cell r="S967">
            <v>266</v>
          </cell>
          <cell r="T967">
            <v>266</v>
          </cell>
          <cell r="U967">
            <v>266</v>
          </cell>
          <cell r="V967">
            <v>266</v>
          </cell>
          <cell r="W967">
            <v>266</v>
          </cell>
          <cell r="X967">
            <v>266</v>
          </cell>
          <cell r="Y967">
            <v>266</v>
          </cell>
          <cell r="Z967">
            <v>266</v>
          </cell>
          <cell r="AA967">
            <v>266</v>
          </cell>
          <cell r="AB967">
            <v>266</v>
          </cell>
          <cell r="AC967">
            <v>266</v>
          </cell>
          <cell r="AD967">
            <v>266</v>
          </cell>
          <cell r="AE967">
            <v>266</v>
          </cell>
          <cell r="AF967">
            <v>266</v>
          </cell>
          <cell r="AG967">
            <v>266</v>
          </cell>
          <cell r="AH967">
            <v>266</v>
          </cell>
        </row>
        <row r="968">
          <cell r="B968" t="str">
            <v>General - Nitrous oxide - GWP20 - Global - ton CO2eq/ton fuel</v>
          </cell>
          <cell r="G968">
            <v>251</v>
          </cell>
          <cell r="H968">
            <v>251</v>
          </cell>
          <cell r="I968">
            <v>251</v>
          </cell>
          <cell r="J968">
            <v>251</v>
          </cell>
          <cell r="K968">
            <v>251</v>
          </cell>
          <cell r="L968">
            <v>251</v>
          </cell>
          <cell r="M968">
            <v>251</v>
          </cell>
          <cell r="N968">
            <v>251</v>
          </cell>
          <cell r="O968">
            <v>251</v>
          </cell>
          <cell r="P968">
            <v>251</v>
          </cell>
          <cell r="Q968">
            <v>251</v>
          </cell>
          <cell r="R968">
            <v>251</v>
          </cell>
          <cell r="S968">
            <v>251</v>
          </cell>
          <cell r="T968">
            <v>251</v>
          </cell>
          <cell r="U968">
            <v>251</v>
          </cell>
          <cell r="V968">
            <v>251</v>
          </cell>
          <cell r="W968">
            <v>251</v>
          </cell>
          <cell r="X968">
            <v>251</v>
          </cell>
          <cell r="Y968">
            <v>251</v>
          </cell>
          <cell r="Z968">
            <v>251</v>
          </cell>
          <cell r="AA968">
            <v>251</v>
          </cell>
          <cell r="AB968">
            <v>251</v>
          </cell>
          <cell r="AC968">
            <v>251</v>
          </cell>
          <cell r="AD968">
            <v>251</v>
          </cell>
          <cell r="AE968">
            <v>251</v>
          </cell>
          <cell r="AF968">
            <v>251</v>
          </cell>
          <cell r="AG968">
            <v>251</v>
          </cell>
          <cell r="AH968">
            <v>251</v>
          </cell>
        </row>
        <row r="969">
          <cell r="B969" t="str">
            <v/>
          </cell>
        </row>
        <row r="970">
          <cell r="B970" t="str">
            <v>Bio-methane (liquefied) - Total emissions - WTW - Global - ton CO2/ton fuel</v>
          </cell>
          <cell r="G970">
            <v>9.4060748148529719E-3</v>
          </cell>
          <cell r="H970">
            <v>9.3070761833582739E-3</v>
          </cell>
          <cell r="I970">
            <v>9.2080775518635794E-3</v>
          </cell>
          <cell r="J970">
            <v>9.1090789203688311E-3</v>
          </cell>
          <cell r="K970">
            <v>9.0100802888741366E-3</v>
          </cell>
          <cell r="L970">
            <v>8.9110816573794403E-3</v>
          </cell>
          <cell r="M970">
            <v>8.8120830258847406E-3</v>
          </cell>
          <cell r="N970">
            <v>8.7130843943899975E-3</v>
          </cell>
          <cell r="O970">
            <v>8.6140857628953498E-3</v>
          </cell>
          <cell r="P970">
            <v>8.5150871314006553E-3</v>
          </cell>
          <cell r="Q970">
            <v>8.416088499905959E-3</v>
          </cell>
          <cell r="R970">
            <v>8.3170898684112107E-3</v>
          </cell>
          <cell r="S970">
            <v>8.2180912369165127E-3</v>
          </cell>
          <cell r="T970">
            <v>8.1190926054218182E-3</v>
          </cell>
          <cell r="U970">
            <v>8.0200939739271185E-3</v>
          </cell>
          <cell r="V970">
            <v>7.9210953424323719E-3</v>
          </cell>
          <cell r="W970">
            <v>7.8220967109376791E-3</v>
          </cell>
          <cell r="X970">
            <v>7.723098079442936E-3</v>
          </cell>
          <cell r="Y970">
            <v>7.6240994479482363E-3</v>
          </cell>
          <cell r="Z970">
            <v>7.5251008164534941E-3</v>
          </cell>
          <cell r="AA970">
            <v>7.4261021849587961E-3</v>
          </cell>
          <cell r="AB970">
            <v>7.3271035534640972E-3</v>
          </cell>
          <cell r="AC970">
            <v>7.2281049219694027E-3</v>
          </cell>
          <cell r="AD970">
            <v>7.1291062904746561E-3</v>
          </cell>
          <cell r="AE970">
            <v>7.0301076589799625E-3</v>
          </cell>
          <cell r="AF970">
            <v>6.9311090274852627E-3</v>
          </cell>
          <cell r="AG970">
            <v>6.8321103959905647E-3</v>
          </cell>
          <cell r="AH970">
            <v>6.7331117644958711E-3</v>
          </cell>
        </row>
        <row r="971">
          <cell r="B971" t="str">
            <v>Bio-methane (liquefied) - Total emissions - WTW - Global - ton CH4/ton fuel</v>
          </cell>
          <cell r="G971">
            <v>2.4197099999999999E-2</v>
          </cell>
          <cell r="H971">
            <v>2.2189799999999996E-2</v>
          </cell>
          <cell r="I971">
            <v>2.0182499999999999E-2</v>
          </cell>
          <cell r="J971">
            <v>1.8175199999999996E-2</v>
          </cell>
          <cell r="K971">
            <v>1.6167899999999999E-2</v>
          </cell>
          <cell r="L971">
            <v>1.4160599999999999E-2</v>
          </cell>
          <cell r="M971">
            <v>1.2153299999999999E-2</v>
          </cell>
          <cell r="N971">
            <v>1.0145999999999997E-2</v>
          </cell>
          <cell r="O971">
            <v>1.01387E-2</v>
          </cell>
          <cell r="P971">
            <v>1.0131400000000002E-2</v>
          </cell>
          <cell r="Q971">
            <v>1.0124100000000002E-2</v>
          </cell>
          <cell r="R971">
            <v>1.01168E-2</v>
          </cell>
          <cell r="S971">
            <v>1.01095E-2</v>
          </cell>
          <cell r="T971">
            <v>1.0102200000000002E-2</v>
          </cell>
          <cell r="U971">
            <v>1.0094900000000002E-2</v>
          </cell>
          <cell r="V971">
            <v>1.00876E-2</v>
          </cell>
          <cell r="W971">
            <v>1.00803E-2</v>
          </cell>
          <cell r="X971">
            <v>1.0072999999999999E-2</v>
          </cell>
          <cell r="Y971">
            <v>1.0065699999999999E-2</v>
          </cell>
          <cell r="Z971">
            <v>1.0058399999999997E-2</v>
          </cell>
          <cell r="AA971">
            <v>1.0051099999999999E-2</v>
          </cell>
          <cell r="AB971">
            <v>1.0043799999999999E-2</v>
          </cell>
          <cell r="AC971">
            <v>1.00365E-2</v>
          </cell>
          <cell r="AD971">
            <v>1.0029199999999997E-2</v>
          </cell>
          <cell r="AE971">
            <v>1.0021899999999999E-2</v>
          </cell>
          <cell r="AF971">
            <v>1.0014599999999999E-2</v>
          </cell>
          <cell r="AG971">
            <v>1.00073E-2</v>
          </cell>
          <cell r="AH971">
            <v>0.01</v>
          </cell>
        </row>
        <row r="972">
          <cell r="B972" t="str">
            <v>Bio-methane (liquefied) - Total emissions - WTW - Global - ton N2O/ton fuel</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row>
        <row r="973">
          <cell r="B973" t="str">
            <v/>
          </cell>
        </row>
        <row r="974">
          <cell r="B974" t="str">
            <v>Bio-methane (liquefied) - Total emissions - TTW - Global - ton CO2/ton fuel</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row>
        <row r="975">
          <cell r="B975" t="str">
            <v>Bio-methane (liquefied) - Total emissions - TTW - Global - ton CH4/ton fuel</v>
          </cell>
          <cell r="G975">
            <v>2.4E-2</v>
          </cell>
          <cell r="H975">
            <v>2.1999999999999999E-2</v>
          </cell>
          <cell r="I975">
            <v>0.02</v>
          </cell>
          <cell r="J975">
            <v>1.7999999999999999E-2</v>
          </cell>
          <cell r="K975">
            <v>1.6E-2</v>
          </cell>
          <cell r="L975">
            <v>1.4E-2</v>
          </cell>
          <cell r="M975">
            <v>1.2E-2</v>
          </cell>
          <cell r="N975">
            <v>0.01</v>
          </cell>
          <cell r="O975">
            <v>0.01</v>
          </cell>
          <cell r="P975">
            <v>0.01</v>
          </cell>
          <cell r="Q975">
            <v>0.01</v>
          </cell>
          <cell r="R975">
            <v>0.01</v>
          </cell>
          <cell r="S975">
            <v>0.01</v>
          </cell>
          <cell r="T975">
            <v>0.01</v>
          </cell>
          <cell r="U975">
            <v>0.01</v>
          </cell>
          <cell r="V975">
            <v>0.01</v>
          </cell>
          <cell r="W975">
            <v>0.01</v>
          </cell>
          <cell r="X975">
            <v>0.01</v>
          </cell>
          <cell r="Y975">
            <v>0.01</v>
          </cell>
          <cell r="Z975">
            <v>0.01</v>
          </cell>
          <cell r="AA975">
            <v>0.01</v>
          </cell>
          <cell r="AB975">
            <v>0.01</v>
          </cell>
          <cell r="AC975">
            <v>0.01</v>
          </cell>
          <cell r="AD975">
            <v>0.01</v>
          </cell>
          <cell r="AE975">
            <v>0.01</v>
          </cell>
          <cell r="AF975">
            <v>0.01</v>
          </cell>
          <cell r="AG975">
            <v>0.01</v>
          </cell>
          <cell r="AH975">
            <v>0.01</v>
          </cell>
        </row>
        <row r="976">
          <cell r="B976" t="str">
            <v>Bio-methane (liquefied) - Total emissions - TTW - Global - ton N2O/ton fuel</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row>
        <row r="977">
          <cell r="B977" t="str">
            <v>Bio-methane (liquefied) - TTW emissions (carbon dioxide) - Global - ton CO2/ton fuel</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row>
        <row r="978">
          <cell r="B978" t="str">
            <v>Bio-methane (liquefied) - TTW emissions (methane) - Global - ton CH4/ton fuel</v>
          </cell>
          <cell r="G978">
            <v>2.4E-2</v>
          </cell>
          <cell r="H978">
            <v>2.1999999999999999E-2</v>
          </cell>
          <cell r="I978">
            <v>0.02</v>
          </cell>
          <cell r="J978">
            <v>1.7999999999999999E-2</v>
          </cell>
          <cell r="K978">
            <v>1.6E-2</v>
          </cell>
          <cell r="L978">
            <v>1.4E-2</v>
          </cell>
          <cell r="M978">
            <v>1.2E-2</v>
          </cell>
          <cell r="N978">
            <v>0.01</v>
          </cell>
          <cell r="O978">
            <v>0.01</v>
          </cell>
          <cell r="P978">
            <v>0.01</v>
          </cell>
          <cell r="Q978">
            <v>0.01</v>
          </cell>
          <cell r="R978">
            <v>0.01</v>
          </cell>
          <cell r="S978">
            <v>0.01</v>
          </cell>
          <cell r="T978">
            <v>0.01</v>
          </cell>
          <cell r="U978">
            <v>0.01</v>
          </cell>
          <cell r="V978">
            <v>0.01</v>
          </cell>
          <cell r="W978">
            <v>0.01</v>
          </cell>
          <cell r="X978">
            <v>0.01</v>
          </cell>
          <cell r="Y978">
            <v>0.01</v>
          </cell>
          <cell r="Z978">
            <v>0.01</v>
          </cell>
          <cell r="AA978">
            <v>0.01</v>
          </cell>
          <cell r="AB978">
            <v>0.01</v>
          </cell>
          <cell r="AC978">
            <v>0.01</v>
          </cell>
          <cell r="AD978">
            <v>0.01</v>
          </cell>
          <cell r="AE978">
            <v>0.01</v>
          </cell>
          <cell r="AF978">
            <v>0.01</v>
          </cell>
          <cell r="AG978">
            <v>0.01</v>
          </cell>
          <cell r="AH978">
            <v>0.01</v>
          </cell>
        </row>
        <row r="979">
          <cell r="B979" t="str">
            <v>Bio-methane (liquefied) - TTW emissions (nitrous oxide) - Global - ton N2O/ton fuel</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row>
        <row r="980">
          <cell r="B980" t="str">
            <v/>
          </cell>
        </row>
        <row r="981">
          <cell r="B981" t="str">
            <v>Bio-methane (liquefied) - Total emissions - WTT - Global - ton CO2eq/ton fuel</v>
          </cell>
          <cell r="G981">
            <v>9.4060748148529719E-3</v>
          </cell>
          <cell r="H981">
            <v>9.3070761833582739E-3</v>
          </cell>
          <cell r="I981">
            <v>9.2080775518635794E-3</v>
          </cell>
          <cell r="J981">
            <v>9.1090789203688311E-3</v>
          </cell>
          <cell r="K981">
            <v>9.0100802888741366E-3</v>
          </cell>
          <cell r="L981">
            <v>8.9110816573794403E-3</v>
          </cell>
          <cell r="M981">
            <v>8.8120830258847406E-3</v>
          </cell>
          <cell r="N981">
            <v>8.7130843943899975E-3</v>
          </cell>
          <cell r="O981">
            <v>8.6140857628953498E-3</v>
          </cell>
          <cell r="P981">
            <v>8.5150871314006553E-3</v>
          </cell>
          <cell r="Q981">
            <v>8.416088499905959E-3</v>
          </cell>
          <cell r="R981">
            <v>8.3170898684112107E-3</v>
          </cell>
          <cell r="S981">
            <v>8.2180912369165127E-3</v>
          </cell>
          <cell r="T981">
            <v>8.1190926054218182E-3</v>
          </cell>
          <cell r="U981">
            <v>8.0200939739271185E-3</v>
          </cell>
          <cell r="V981">
            <v>7.9210953424323719E-3</v>
          </cell>
          <cell r="W981">
            <v>7.8220967109376791E-3</v>
          </cell>
          <cell r="X981">
            <v>7.723098079442936E-3</v>
          </cell>
          <cell r="Y981">
            <v>7.6240994479482363E-3</v>
          </cell>
          <cell r="Z981">
            <v>7.5251008164534941E-3</v>
          </cell>
          <cell r="AA981">
            <v>7.4261021849587961E-3</v>
          </cell>
          <cell r="AB981">
            <v>7.3271035534640972E-3</v>
          </cell>
          <cell r="AC981">
            <v>7.2281049219694027E-3</v>
          </cell>
          <cell r="AD981">
            <v>7.1291062904746561E-3</v>
          </cell>
          <cell r="AE981">
            <v>7.0301076589799625E-3</v>
          </cell>
          <cell r="AF981">
            <v>6.9311090274852627E-3</v>
          </cell>
          <cell r="AG981">
            <v>6.8321103959905647E-3</v>
          </cell>
          <cell r="AH981">
            <v>6.7331117644958711E-3</v>
          </cell>
        </row>
        <row r="982">
          <cell r="B982" t="str">
            <v>Bio-methane (liquefied) - Total emissions - WTT - Global - ton CO2eq/ton fuel</v>
          </cell>
          <cell r="G982">
            <v>1.9709999999999774E-4</v>
          </cell>
          <cell r="H982">
            <v>1.8979999999999854E-4</v>
          </cell>
          <cell r="I982">
            <v>1.8249999999999934E-4</v>
          </cell>
          <cell r="J982">
            <v>1.7519999999999691E-4</v>
          </cell>
          <cell r="K982">
            <v>1.6789999999999771E-4</v>
          </cell>
          <cell r="L982">
            <v>1.6059999999999851E-4</v>
          </cell>
          <cell r="M982">
            <v>1.5329999999999934E-4</v>
          </cell>
          <cell r="N982">
            <v>1.4599999999999688E-4</v>
          </cell>
          <cell r="O982">
            <v>1.3870000000000093E-4</v>
          </cell>
          <cell r="P982">
            <v>1.3140000000000173E-4</v>
          </cell>
          <cell r="Q982">
            <v>1.2410000000000256E-4</v>
          </cell>
          <cell r="R982">
            <v>1.168000000000001E-4</v>
          </cell>
          <cell r="S982">
            <v>1.0950000000000091E-4</v>
          </cell>
          <cell r="T982">
            <v>1.0220000000000171E-4</v>
          </cell>
          <cell r="U982">
            <v>9.490000000000251E-5</v>
          </cell>
          <cell r="V982">
            <v>8.7600000000000083E-5</v>
          </cell>
          <cell r="W982">
            <v>8.0300000000000881E-5</v>
          </cell>
          <cell r="X982">
            <v>7.299999999999844E-5</v>
          </cell>
          <cell r="Y982">
            <v>6.5699999999999252E-5</v>
          </cell>
          <cell r="Z982">
            <v>5.8399999999996812E-5</v>
          </cell>
          <cell r="AA982">
            <v>5.1099999999997617E-5</v>
          </cell>
          <cell r="AB982">
            <v>4.3799999999998415E-5</v>
          </cell>
          <cell r="AC982">
            <v>3.649999999999922E-5</v>
          </cell>
          <cell r="AD982">
            <v>2.9199999999996783E-5</v>
          </cell>
          <cell r="AE982">
            <v>2.1899999999997588E-5</v>
          </cell>
          <cell r="AF982">
            <v>1.4599999999998391E-5</v>
          </cell>
          <cell r="AG982">
            <v>7.2999999999991957E-6</v>
          </cell>
          <cell r="AH982">
            <v>0</v>
          </cell>
        </row>
        <row r="983">
          <cell r="B983" t="str">
            <v>Bio-methane (liquefied) - Total emissions - WTT - Global - ton CO2eq/ton fuel</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row>
        <row r="984">
          <cell r="B984" t="str">
            <v/>
          </cell>
        </row>
        <row r="985">
          <cell r="B985" t="str">
            <v>Bio-methane (liquefied) - Process-related emissions - WTT - Global - ton CO2/ton fuel</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row>
        <row r="986">
          <cell r="B986" t="str">
            <v>Bio-methane (liquefied) - Process-related emissions - WTT - Global - ton CH4/ton fuel</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row>
        <row r="987">
          <cell r="B987" t="str">
            <v>Bio-methane (liquefied) - Process-related emissions - WTT - Global - ton N2O/ton fuel</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row>
        <row r="988">
          <cell r="B988" t="str">
            <v>Bio-methane (liquefied) - Process WTT emissions (carbon dioxide) - Global - ton CO2/ton fuel</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row>
        <row r="989">
          <cell r="B989" t="str">
            <v>Bio-methane (liquefied) - Process WTT emissions (methane) - Global - ton CH4/ton fuel</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row>
        <row r="990">
          <cell r="B990" t="str">
            <v>Bio-methane (liquefied) - Process WTT emissions (nitrous oxide) - Global - ton N2O/ton fuel</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row>
        <row r="991">
          <cell r="B991" t="str">
            <v/>
          </cell>
        </row>
        <row r="992">
          <cell r="B992" t="str">
            <v>Bio-methane (liquefied) - Energy-related emissions - WTT - Global - ton CO2/ton fuel</v>
          </cell>
          <cell r="G992">
            <v>6.4360748148530053E-3</v>
          </cell>
          <cell r="H992">
            <v>6.4470761833582951E-3</v>
          </cell>
          <cell r="I992">
            <v>6.4580775518635891E-3</v>
          </cell>
          <cell r="J992">
            <v>6.469078920368878E-3</v>
          </cell>
          <cell r="K992">
            <v>6.480080288874172E-3</v>
          </cell>
          <cell r="L992">
            <v>6.4910816573794617E-3</v>
          </cell>
          <cell r="M992">
            <v>6.5020830258847506E-3</v>
          </cell>
          <cell r="N992">
            <v>6.5130843943900446E-3</v>
          </cell>
          <cell r="O992">
            <v>6.5240857628953361E-3</v>
          </cell>
          <cell r="P992">
            <v>6.5350871314006301E-3</v>
          </cell>
          <cell r="Q992">
            <v>6.5460884999059199E-3</v>
          </cell>
          <cell r="R992">
            <v>6.5570898684112087E-3</v>
          </cell>
          <cell r="S992">
            <v>6.5680912369164984E-3</v>
          </cell>
          <cell r="T992">
            <v>6.5790926054217925E-3</v>
          </cell>
          <cell r="U992">
            <v>6.5900939739270813E-3</v>
          </cell>
          <cell r="V992">
            <v>6.6010953424323711E-3</v>
          </cell>
          <cell r="W992">
            <v>6.6120967109376651E-3</v>
          </cell>
          <cell r="X992">
            <v>6.6230980794429592E-3</v>
          </cell>
          <cell r="Y992">
            <v>6.634099447948248E-3</v>
          </cell>
          <cell r="Z992">
            <v>6.6451008164535421E-3</v>
          </cell>
          <cell r="AA992">
            <v>6.6561021849588318E-3</v>
          </cell>
          <cell r="AB992">
            <v>6.6671035534641206E-3</v>
          </cell>
          <cell r="AC992">
            <v>6.6781049219694147E-3</v>
          </cell>
          <cell r="AD992">
            <v>6.6891062904747044E-3</v>
          </cell>
          <cell r="AE992">
            <v>6.7001076589799985E-3</v>
          </cell>
          <cell r="AF992">
            <v>6.7111090274852873E-3</v>
          </cell>
          <cell r="AG992">
            <v>6.722110395990577E-3</v>
          </cell>
          <cell r="AH992">
            <v>6.7331117644958711E-3</v>
          </cell>
        </row>
        <row r="993">
          <cell r="B993" t="str">
            <v>Bio-methane (liquefied) - Energy-related emissions - WTT - Global - ton CH4/ton fuel</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row>
        <row r="994">
          <cell r="B994" t="str">
            <v>Bio-methane (liquefied) - Energy-related emissions - WTT - Global - ton N2O/ton fuel</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row>
        <row r="995">
          <cell r="B995" t="str">
            <v>Renewable electricity - Feedstock WTT emissions (carbon dioxide) - Global - ton CO2/MWh</v>
          </cell>
          <cell r="G995">
            <v>5.3699999999999998E-3</v>
          </cell>
          <cell r="H995">
            <v>5.3699999999999998E-3</v>
          </cell>
          <cell r="I995">
            <v>5.3699999999999998E-3</v>
          </cell>
          <cell r="J995">
            <v>5.3699999999999998E-3</v>
          </cell>
          <cell r="K995">
            <v>5.3699999999999998E-3</v>
          </cell>
          <cell r="L995">
            <v>5.3699999999999998E-3</v>
          </cell>
          <cell r="M995">
            <v>5.3699999999999998E-3</v>
          </cell>
          <cell r="N995">
            <v>5.3699999999999998E-3</v>
          </cell>
          <cell r="O995">
            <v>5.3699999999999998E-3</v>
          </cell>
          <cell r="P995">
            <v>5.3699999999999998E-3</v>
          </cell>
          <cell r="Q995">
            <v>5.3699999999999998E-3</v>
          </cell>
          <cell r="R995">
            <v>5.3699999999999998E-3</v>
          </cell>
          <cell r="S995">
            <v>5.3699999999999998E-3</v>
          </cell>
          <cell r="T995">
            <v>5.3699999999999998E-3</v>
          </cell>
          <cell r="U995">
            <v>5.3699999999999998E-3</v>
          </cell>
          <cell r="V995">
            <v>5.3699999999999998E-3</v>
          </cell>
          <cell r="W995">
            <v>5.3699999999999998E-3</v>
          </cell>
          <cell r="X995">
            <v>5.3699999999999998E-3</v>
          </cell>
          <cell r="Y995">
            <v>5.3699999999999998E-3</v>
          </cell>
          <cell r="Z995">
            <v>5.3699999999999998E-3</v>
          </cell>
          <cell r="AA995">
            <v>5.3699999999999998E-3</v>
          </cell>
          <cell r="AB995">
            <v>5.3699999999999998E-3</v>
          </cell>
          <cell r="AC995">
            <v>5.3699999999999998E-3</v>
          </cell>
          <cell r="AD995">
            <v>5.3699999999999998E-3</v>
          </cell>
          <cell r="AE995">
            <v>5.3699999999999998E-3</v>
          </cell>
          <cell r="AF995">
            <v>5.3699999999999998E-3</v>
          </cell>
          <cell r="AG995">
            <v>5.3699999999999998E-3</v>
          </cell>
          <cell r="AH995">
            <v>5.3699999999999998E-3</v>
          </cell>
        </row>
        <row r="996">
          <cell r="B996" t="str">
            <v>Renewable electricity - Feedstock WTT emissions (methane) - Global - ton CH4/MWh</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row>
        <row r="997">
          <cell r="B997" t="str">
            <v>Renewable electricity - Feedstock WTT emissions (nitrous oxide) - Global - ton N2O/MWh</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row>
        <row r="998">
          <cell r="B998" t="str">
            <v>Bio-methane (liquefied) - Energy demand - Global - MWh/ton fuel</v>
          </cell>
          <cell r="G998">
            <v>1.198524174088083</v>
          </cell>
          <cell r="H998">
            <v>1.2005728460629972</v>
          </cell>
          <cell r="I998">
            <v>1.2026215180379123</v>
          </cell>
          <cell r="J998">
            <v>1.2046701900128265</v>
          </cell>
          <cell r="K998">
            <v>1.2067188619877416</v>
          </cell>
          <cell r="L998">
            <v>1.2087675339626558</v>
          </cell>
          <cell r="M998">
            <v>1.21081620593757</v>
          </cell>
          <cell r="N998">
            <v>1.2128648779124851</v>
          </cell>
          <cell r="O998">
            <v>1.2149135498873997</v>
          </cell>
          <cell r="P998">
            <v>1.2169622218623148</v>
          </cell>
          <cell r="Q998">
            <v>1.219010893837229</v>
          </cell>
          <cell r="R998">
            <v>1.2210595658121433</v>
          </cell>
          <cell r="S998">
            <v>1.2231082377870575</v>
          </cell>
          <cell r="T998">
            <v>1.2251569097619726</v>
          </cell>
          <cell r="U998">
            <v>1.2272055817368868</v>
          </cell>
          <cell r="V998">
            <v>1.229254253711801</v>
          </cell>
          <cell r="W998">
            <v>1.2313029256867161</v>
          </cell>
          <cell r="X998">
            <v>1.2333515976616312</v>
          </cell>
          <cell r="Y998">
            <v>1.2354002696365454</v>
          </cell>
          <cell r="Z998">
            <v>1.2374489416114605</v>
          </cell>
          <cell r="AA998">
            <v>1.2394976135863747</v>
          </cell>
          <cell r="AB998">
            <v>1.2415462855612889</v>
          </cell>
          <cell r="AC998">
            <v>1.243594957536204</v>
          </cell>
          <cell r="AD998">
            <v>1.2456436295111182</v>
          </cell>
          <cell r="AE998">
            <v>1.2476923014860333</v>
          </cell>
          <cell r="AF998">
            <v>1.2497409734609475</v>
          </cell>
          <cell r="AG998">
            <v>1.2517896454358617</v>
          </cell>
          <cell r="AH998">
            <v>1.2538383174107768</v>
          </cell>
        </row>
        <row r="999">
          <cell r="B999" t="str">
            <v/>
          </cell>
        </row>
        <row r="1000">
          <cell r="B1000" t="str">
            <v>Bio-methane (liquefied) - Feedstock-related emissions - WTT - Global - ton CO2/ton fuel</v>
          </cell>
          <cell r="G1000">
            <v>2.9699999999999662E-3</v>
          </cell>
          <cell r="H1000">
            <v>2.859999999999978E-3</v>
          </cell>
          <cell r="I1000">
            <v>2.7499999999999903E-3</v>
          </cell>
          <cell r="J1000">
            <v>2.6399999999999536E-3</v>
          </cell>
          <cell r="K1000">
            <v>2.5299999999999654E-3</v>
          </cell>
          <cell r="L1000">
            <v>2.4199999999999777E-3</v>
          </cell>
          <cell r="M1000">
            <v>2.30999999999999E-3</v>
          </cell>
          <cell r="N1000">
            <v>2.1999999999999533E-3</v>
          </cell>
          <cell r="O1000">
            <v>2.0900000000000142E-3</v>
          </cell>
          <cell r="P1000">
            <v>1.980000000000026E-3</v>
          </cell>
          <cell r="Q1000">
            <v>1.8700000000000383E-3</v>
          </cell>
          <cell r="R1000">
            <v>1.7600000000000016E-3</v>
          </cell>
          <cell r="S1000">
            <v>1.6500000000000137E-3</v>
          </cell>
          <cell r="T1000">
            <v>1.5400000000000257E-3</v>
          </cell>
          <cell r="U1000">
            <v>1.430000000000038E-3</v>
          </cell>
          <cell r="V1000">
            <v>1.3200000000000011E-3</v>
          </cell>
          <cell r="W1000">
            <v>1.2100000000000134E-3</v>
          </cell>
          <cell r="X1000">
            <v>1.0999999999999766E-3</v>
          </cell>
          <cell r="Y1000">
            <v>9.8999999999998872E-4</v>
          </cell>
          <cell r="Z1000">
            <v>8.7999999999995189E-4</v>
          </cell>
          <cell r="AA1000">
            <v>7.6999999999996407E-4</v>
          </cell>
          <cell r="AB1000">
            <v>6.5999999999997614E-4</v>
          </cell>
          <cell r="AC1000">
            <v>5.4999999999998832E-4</v>
          </cell>
          <cell r="AD1000">
            <v>4.3999999999995155E-4</v>
          </cell>
          <cell r="AE1000">
            <v>3.2999999999996368E-4</v>
          </cell>
          <cell r="AF1000">
            <v>2.1999999999997578E-4</v>
          </cell>
          <cell r="AG1000">
            <v>1.0999999999998789E-4</v>
          </cell>
          <cell r="AH1000">
            <v>0</v>
          </cell>
        </row>
        <row r="1001">
          <cell r="B1001" t="str">
            <v>Bio-methane (liquefied) - Feedstock-related emissions - WTT - Global - ton CH4/ton fuel</v>
          </cell>
          <cell r="G1001">
            <v>1.9709999999999774E-4</v>
          </cell>
          <cell r="H1001">
            <v>1.8979999999999854E-4</v>
          </cell>
          <cell r="I1001">
            <v>1.8249999999999934E-4</v>
          </cell>
          <cell r="J1001">
            <v>1.7519999999999691E-4</v>
          </cell>
          <cell r="K1001">
            <v>1.6789999999999771E-4</v>
          </cell>
          <cell r="L1001">
            <v>1.6059999999999851E-4</v>
          </cell>
          <cell r="M1001">
            <v>1.5329999999999934E-4</v>
          </cell>
          <cell r="N1001">
            <v>1.4599999999999688E-4</v>
          </cell>
          <cell r="O1001">
            <v>1.3870000000000093E-4</v>
          </cell>
          <cell r="P1001">
            <v>1.3140000000000173E-4</v>
          </cell>
          <cell r="Q1001">
            <v>1.2410000000000256E-4</v>
          </cell>
          <cell r="R1001">
            <v>1.168000000000001E-4</v>
          </cell>
          <cell r="S1001">
            <v>1.0950000000000091E-4</v>
          </cell>
          <cell r="T1001">
            <v>1.0220000000000171E-4</v>
          </cell>
          <cell r="U1001">
            <v>9.490000000000251E-5</v>
          </cell>
          <cell r="V1001">
            <v>8.7600000000000083E-5</v>
          </cell>
          <cell r="W1001">
            <v>8.0300000000000881E-5</v>
          </cell>
          <cell r="X1001">
            <v>7.299999999999844E-5</v>
          </cell>
          <cell r="Y1001">
            <v>6.5699999999999252E-5</v>
          </cell>
          <cell r="Z1001">
            <v>5.8399999999996812E-5</v>
          </cell>
          <cell r="AA1001">
            <v>5.1099999999997617E-5</v>
          </cell>
          <cell r="AB1001">
            <v>4.3799999999998415E-5</v>
          </cell>
          <cell r="AC1001">
            <v>3.649999999999922E-5</v>
          </cell>
          <cell r="AD1001">
            <v>2.9199999999996783E-5</v>
          </cell>
          <cell r="AE1001">
            <v>2.1899999999997588E-5</v>
          </cell>
          <cell r="AF1001">
            <v>1.4599999999998391E-5</v>
          </cell>
          <cell r="AG1001">
            <v>7.2999999999991957E-6</v>
          </cell>
          <cell r="AH1001">
            <v>0</v>
          </cell>
        </row>
        <row r="1002">
          <cell r="B1002" t="str">
            <v>Bio-methane (liquefied) - Feedstock-related emissions - WTT - Global - ton N2O/ton fuel</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row>
        <row r="1003">
          <cell r="B1003" t="str">
            <v>Natural gas - Feedstock WTT emissions (carbon dioxide) - Global - ton CO2/ton feedstock</v>
          </cell>
          <cell r="G1003">
            <v>0.11</v>
          </cell>
          <cell r="H1003">
            <v>0.11</v>
          </cell>
          <cell r="I1003">
            <v>0.11</v>
          </cell>
          <cell r="J1003">
            <v>0.11</v>
          </cell>
          <cell r="K1003">
            <v>0.11</v>
          </cell>
          <cell r="L1003">
            <v>0.11</v>
          </cell>
          <cell r="M1003">
            <v>0.11</v>
          </cell>
          <cell r="N1003">
            <v>0.11</v>
          </cell>
          <cell r="O1003">
            <v>0.11</v>
          </cell>
          <cell r="P1003">
            <v>0.11</v>
          </cell>
          <cell r="Q1003">
            <v>0.11</v>
          </cell>
          <cell r="R1003">
            <v>0.11</v>
          </cell>
          <cell r="S1003">
            <v>0.11</v>
          </cell>
          <cell r="T1003">
            <v>0.11</v>
          </cell>
          <cell r="U1003">
            <v>0.11</v>
          </cell>
          <cell r="V1003">
            <v>0.11</v>
          </cell>
          <cell r="W1003">
            <v>0.11</v>
          </cell>
          <cell r="X1003">
            <v>0.11</v>
          </cell>
          <cell r="Y1003">
            <v>0.11</v>
          </cell>
          <cell r="Z1003">
            <v>0.11</v>
          </cell>
          <cell r="AA1003">
            <v>0.11</v>
          </cell>
          <cell r="AB1003">
            <v>0.11</v>
          </cell>
          <cell r="AC1003">
            <v>0.11</v>
          </cell>
          <cell r="AD1003">
            <v>0.11</v>
          </cell>
          <cell r="AE1003">
            <v>0.11</v>
          </cell>
          <cell r="AF1003">
            <v>0.11</v>
          </cell>
          <cell r="AG1003">
            <v>0.11</v>
          </cell>
          <cell r="AH1003">
            <v>0.11</v>
          </cell>
        </row>
        <row r="1004">
          <cell r="B1004" t="str">
            <v>Natural gas - Feedstock WTT emissions (methane) - Global - ton CH4/ton feedstock</v>
          </cell>
          <cell r="G1004">
            <v>7.3000000000000001E-3</v>
          </cell>
          <cell r="H1004">
            <v>7.3000000000000001E-3</v>
          </cell>
          <cell r="I1004">
            <v>7.3000000000000001E-3</v>
          </cell>
          <cell r="J1004">
            <v>7.3000000000000001E-3</v>
          </cell>
          <cell r="K1004">
            <v>7.3000000000000001E-3</v>
          </cell>
          <cell r="L1004">
            <v>7.3000000000000001E-3</v>
          </cell>
          <cell r="M1004">
            <v>7.3000000000000001E-3</v>
          </cell>
          <cell r="N1004">
            <v>7.3000000000000001E-3</v>
          </cell>
          <cell r="O1004">
            <v>7.3000000000000001E-3</v>
          </cell>
          <cell r="P1004">
            <v>7.3000000000000001E-3</v>
          </cell>
          <cell r="Q1004">
            <v>7.3000000000000001E-3</v>
          </cell>
          <cell r="R1004">
            <v>7.3000000000000001E-3</v>
          </cell>
          <cell r="S1004">
            <v>7.3000000000000001E-3</v>
          </cell>
          <cell r="T1004">
            <v>7.3000000000000001E-3</v>
          </cell>
          <cell r="U1004">
            <v>7.3000000000000001E-3</v>
          </cell>
          <cell r="V1004">
            <v>7.3000000000000001E-3</v>
          </cell>
          <cell r="W1004">
            <v>7.3000000000000001E-3</v>
          </cell>
          <cell r="X1004">
            <v>7.3000000000000001E-3</v>
          </cell>
          <cell r="Y1004">
            <v>7.3000000000000001E-3</v>
          </cell>
          <cell r="Z1004">
            <v>7.3000000000000001E-3</v>
          </cell>
          <cell r="AA1004">
            <v>7.3000000000000001E-3</v>
          </cell>
          <cell r="AB1004">
            <v>7.3000000000000001E-3</v>
          </cell>
          <cell r="AC1004">
            <v>7.3000000000000001E-3</v>
          </cell>
          <cell r="AD1004">
            <v>7.3000000000000001E-3</v>
          </cell>
          <cell r="AE1004">
            <v>7.3000000000000001E-3</v>
          </cell>
          <cell r="AF1004">
            <v>7.3000000000000001E-3</v>
          </cell>
          <cell r="AG1004">
            <v>7.3000000000000001E-3</v>
          </cell>
          <cell r="AH1004">
            <v>7.3000000000000001E-3</v>
          </cell>
        </row>
        <row r="1005">
          <cell r="B1005" t="str">
            <v>Natural gas - Feedstock WTT emissions (nitrous oxide) - Global - ton N2O/ton feedstock</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row>
        <row r="1006">
          <cell r="B1006" t="str">
            <v>Waste - Feedstock WTT emissions (carbon dioxide) - Global - ton CO2/ton feedstock</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row>
        <row r="1007">
          <cell r="B1007" t="str">
            <v>Waste - Feedstock WTT emissions (methane) - Global - ton CH4/ton feedstock</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row>
        <row r="1008">
          <cell r="B1008" t="str">
            <v>Waste - Feedstock WTT emissions (nitrous oxide) - Global - ton N2O/ton feedstock</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row>
        <row r="1009">
          <cell r="B1009" t="str">
            <v>Bio-methane (liquefied) - Conversion NG -&gt; Bio-CH4 - Global - ton NG/ton CH4</v>
          </cell>
          <cell r="G1009">
            <v>2.6999999999999691E-2</v>
          </cell>
          <cell r="H1009">
            <v>2.5999999999999801E-2</v>
          </cell>
          <cell r="I1009">
            <v>2.4999999999999911E-2</v>
          </cell>
          <cell r="J1009">
            <v>2.3999999999999577E-2</v>
          </cell>
          <cell r="K1009">
            <v>2.2999999999999687E-2</v>
          </cell>
          <cell r="L1009">
            <v>2.1999999999999797E-2</v>
          </cell>
          <cell r="M1009">
            <v>2.0999999999999908E-2</v>
          </cell>
          <cell r="N1009">
            <v>1.9999999999999574E-2</v>
          </cell>
          <cell r="O1009">
            <v>1.9000000000000128E-2</v>
          </cell>
          <cell r="P1009">
            <v>1.8000000000000238E-2</v>
          </cell>
          <cell r="Q1009">
            <v>1.7000000000000348E-2</v>
          </cell>
          <cell r="R1009">
            <v>1.6000000000000014E-2</v>
          </cell>
          <cell r="S1009">
            <v>1.5000000000000124E-2</v>
          </cell>
          <cell r="T1009">
            <v>1.4000000000000234E-2</v>
          </cell>
          <cell r="U1009">
            <v>1.3000000000000345E-2</v>
          </cell>
          <cell r="V1009">
            <v>1.2000000000000011E-2</v>
          </cell>
          <cell r="W1009">
            <v>1.1000000000000121E-2</v>
          </cell>
          <cell r="X1009">
            <v>9.9999999999997868E-3</v>
          </cell>
          <cell r="Y1009">
            <v>8.999999999999897E-3</v>
          </cell>
          <cell r="Z1009">
            <v>7.999999999999563E-3</v>
          </cell>
          <cell r="AA1009">
            <v>6.9999999999996732E-3</v>
          </cell>
          <cell r="AB1009">
            <v>5.9999999999997833E-3</v>
          </cell>
          <cell r="AC1009">
            <v>4.9999999999998934E-3</v>
          </cell>
          <cell r="AD1009">
            <v>3.9999999999995595E-3</v>
          </cell>
          <cell r="AE1009">
            <v>2.9999999999996696E-3</v>
          </cell>
          <cell r="AF1009">
            <v>1.9999999999997797E-3</v>
          </cell>
          <cell r="AG1009">
            <v>9.9999999999988987E-4</v>
          </cell>
          <cell r="AH1009">
            <v>0</v>
          </cell>
        </row>
        <row r="1010">
          <cell r="B1010" t="str">
            <v>Bio-methane (liquefied) - Conversion waste -&gt; Bio-CH4 - Global - ton waste/ton CH4</v>
          </cell>
          <cell r="G1010">
            <v>4.3820576406494709</v>
          </cell>
          <cell r="H1010">
            <v>4.3564776379257708</v>
          </cell>
          <cell r="I1010">
            <v>4.3308976352020707</v>
          </cell>
          <cell r="J1010">
            <v>4.3053176324783777</v>
          </cell>
          <cell r="K1010">
            <v>4.2797376297546776</v>
          </cell>
          <cell r="L1010">
            <v>4.2541576270309776</v>
          </cell>
          <cell r="M1010">
            <v>4.2285776243072775</v>
          </cell>
          <cell r="N1010">
            <v>4.2029976215835774</v>
          </cell>
          <cell r="O1010">
            <v>4.1774176188598844</v>
          </cell>
          <cell r="P1010">
            <v>4.1518376161361843</v>
          </cell>
          <cell r="Q1010">
            <v>4.1262576134124842</v>
          </cell>
          <cell r="R1010">
            <v>4.1006776106887841</v>
          </cell>
          <cell r="S1010">
            <v>4.075097607965084</v>
          </cell>
          <cell r="T1010">
            <v>4.0495176052413839</v>
          </cell>
          <cell r="U1010">
            <v>4.0239376025176909</v>
          </cell>
          <cell r="V1010">
            <v>3.9983575997939909</v>
          </cell>
          <cell r="W1010">
            <v>3.9727775970702908</v>
          </cell>
          <cell r="X1010">
            <v>3.9471975943465907</v>
          </cell>
          <cell r="Y1010">
            <v>3.9216175916228977</v>
          </cell>
          <cell r="Z1010">
            <v>3.8960375888991976</v>
          </cell>
          <cell r="AA1010">
            <v>3.8704575861754975</v>
          </cell>
          <cell r="AB1010">
            <v>3.8448775834517974</v>
          </cell>
          <cell r="AC1010">
            <v>3.8192975807280973</v>
          </cell>
          <cell r="AD1010">
            <v>3.7937175780044043</v>
          </cell>
          <cell r="AE1010">
            <v>3.7681375752807043</v>
          </cell>
          <cell r="AF1010">
            <v>3.7425575725570042</v>
          </cell>
          <cell r="AG1010">
            <v>3.7169775698333041</v>
          </cell>
          <cell r="AH1010">
            <v>3.691397567109604</v>
          </cell>
        </row>
        <row r="1011">
          <cell r="B1011" t="str">
            <v/>
          </cell>
        </row>
        <row r="1012">
          <cell r="B1012" t="str">
            <v>Bio-oil (HTL) - Item - Region - Unit</v>
          </cell>
          <cell r="G1012">
            <v>2023</v>
          </cell>
          <cell r="H1012">
            <v>2024</v>
          </cell>
          <cell r="I1012">
            <v>2025</v>
          </cell>
          <cell r="J1012">
            <v>2026</v>
          </cell>
          <cell r="K1012">
            <v>2027</v>
          </cell>
          <cell r="L1012">
            <v>2028</v>
          </cell>
          <cell r="M1012">
            <v>2029</v>
          </cell>
          <cell r="N1012">
            <v>2030</v>
          </cell>
          <cell r="O1012">
            <v>2031</v>
          </cell>
          <cell r="P1012">
            <v>2032</v>
          </cell>
          <cell r="Q1012">
            <v>2033</v>
          </cell>
          <cell r="R1012">
            <v>2034</v>
          </cell>
          <cell r="S1012">
            <v>2035</v>
          </cell>
          <cell r="T1012">
            <v>2036</v>
          </cell>
          <cell r="U1012">
            <v>2037</v>
          </cell>
          <cell r="V1012">
            <v>2038</v>
          </cell>
          <cell r="W1012">
            <v>2039</v>
          </cell>
          <cell r="X1012">
            <v>2040</v>
          </cell>
          <cell r="Y1012">
            <v>2041</v>
          </cell>
          <cell r="Z1012">
            <v>2042</v>
          </cell>
          <cell r="AA1012">
            <v>2043</v>
          </cell>
          <cell r="AB1012">
            <v>2044</v>
          </cell>
          <cell r="AC1012">
            <v>2045</v>
          </cell>
          <cell r="AD1012">
            <v>2046</v>
          </cell>
          <cell r="AE1012">
            <v>2047</v>
          </cell>
          <cell r="AF1012">
            <v>2048</v>
          </cell>
          <cell r="AG1012">
            <v>2049</v>
          </cell>
          <cell r="AH1012">
            <v>2050</v>
          </cell>
        </row>
        <row r="1013">
          <cell r="B1013" t="str">
            <v/>
          </cell>
        </row>
        <row r="1014">
          <cell r="B1014" t="str">
            <v>Bio-oil (HTL) - Total emissions - WTW - GWP100 - Global - ton CO2eq/ton fuel</v>
          </cell>
          <cell r="G1014">
            <v>0</v>
          </cell>
          <cell r="H1014">
            <v>0</v>
          </cell>
          <cell r="I1014">
            <v>0</v>
          </cell>
          <cell r="J1014">
            <v>0</v>
          </cell>
          <cell r="K1014">
            <v>0</v>
          </cell>
          <cell r="L1014">
            <v>0</v>
          </cell>
          <cell r="M1014">
            <v>0</v>
          </cell>
          <cell r="N1014">
            <v>7.1495813215500997E-2</v>
          </cell>
          <cell r="O1014">
            <v>7.1376466083379053E-2</v>
          </cell>
          <cell r="P1014">
            <v>7.1251313658331761E-2</v>
          </cell>
          <cell r="Q1014">
            <v>7.1120355940358843E-2</v>
          </cell>
          <cell r="R1014">
            <v>7.0983592929459993E-2</v>
          </cell>
          <cell r="S1014">
            <v>7.0841024625635712E-2</v>
          </cell>
          <cell r="T1014">
            <v>7.0692437861726201E-2</v>
          </cell>
          <cell r="U1014">
            <v>7.0539826548697018E-2</v>
          </cell>
          <cell r="V1014">
            <v>7.0383190686548802E-2</v>
          </cell>
          <cell r="W1014">
            <v>7.0222530275280706E-2</v>
          </cell>
          <cell r="X1014">
            <v>7.0057845314892939E-2</v>
          </cell>
          <cell r="Y1014">
            <v>6.9845777055189212E-2</v>
          </cell>
          <cell r="Z1014">
            <v>6.9635997537947039E-2</v>
          </cell>
          <cell r="AA1014">
            <v>6.9428506763166795E-2</v>
          </cell>
          <cell r="AB1014">
            <v>6.922330473084809E-2</v>
          </cell>
          <cell r="AC1014">
            <v>6.902039144099123E-2</v>
          </cell>
          <cell r="AD1014">
            <v>6.8850396666790659E-2</v>
          </cell>
          <cell r="AE1014">
            <v>6.86833402866288E-2</v>
          </cell>
          <cell r="AF1014">
            <v>6.851922230050557E-2</v>
          </cell>
          <cell r="AG1014">
            <v>6.8358042708420996E-2</v>
          </cell>
          <cell r="AH1014">
            <v>6.8199801510375135E-2</v>
          </cell>
        </row>
        <row r="1015">
          <cell r="B1015" t="str">
            <v>Bio-oil (HTL) - Total emissions - WTW - GWP20 - Global - ton CO2eq/ton fuel</v>
          </cell>
          <cell r="G1015">
            <v>0</v>
          </cell>
          <cell r="H1015">
            <v>0</v>
          </cell>
          <cell r="I1015">
            <v>0</v>
          </cell>
          <cell r="J1015">
            <v>0</v>
          </cell>
          <cell r="K1015">
            <v>0</v>
          </cell>
          <cell r="L1015">
            <v>0</v>
          </cell>
          <cell r="M1015">
            <v>0</v>
          </cell>
          <cell r="N1015">
            <v>7.1595813215501E-2</v>
          </cell>
          <cell r="O1015">
            <v>7.1476466083379042E-2</v>
          </cell>
          <cell r="P1015">
            <v>7.1351313658331764E-2</v>
          </cell>
          <cell r="Q1015">
            <v>7.1220355940358832E-2</v>
          </cell>
          <cell r="R1015">
            <v>7.1083592929459982E-2</v>
          </cell>
          <cell r="S1015">
            <v>7.0941024625635701E-2</v>
          </cell>
          <cell r="T1015">
            <v>7.079243786172619E-2</v>
          </cell>
          <cell r="U1015">
            <v>7.0639826548697021E-2</v>
          </cell>
          <cell r="V1015">
            <v>7.0483190686548805E-2</v>
          </cell>
          <cell r="W1015">
            <v>7.0322530275280709E-2</v>
          </cell>
          <cell r="X1015">
            <v>7.0157845314892942E-2</v>
          </cell>
          <cell r="Y1015">
            <v>6.9945777055189215E-2</v>
          </cell>
          <cell r="Z1015">
            <v>6.9735997537947042E-2</v>
          </cell>
          <cell r="AA1015">
            <v>6.9528506763166797E-2</v>
          </cell>
          <cell r="AB1015">
            <v>6.9323304730848093E-2</v>
          </cell>
          <cell r="AC1015">
            <v>6.9120391440991219E-2</v>
          </cell>
          <cell r="AD1015">
            <v>6.8950396666790648E-2</v>
          </cell>
          <cell r="AE1015">
            <v>6.8783340286628789E-2</v>
          </cell>
          <cell r="AF1015">
            <v>6.8619222300505558E-2</v>
          </cell>
          <cell r="AG1015">
            <v>6.8458042708420999E-2</v>
          </cell>
          <cell r="AH1015">
            <v>6.8299801510375124E-2</v>
          </cell>
        </row>
        <row r="1016">
          <cell r="B1016" t="str">
            <v>Bio-oil (HTL) - Total emissions - TTW - GWP100 - Global - ton CO2eq/ton fuel</v>
          </cell>
          <cell r="G1016">
            <v>0</v>
          </cell>
          <cell r="H1016">
            <v>0</v>
          </cell>
          <cell r="I1016">
            <v>0</v>
          </cell>
          <cell r="J1016">
            <v>0</v>
          </cell>
          <cell r="K1016">
            <v>0</v>
          </cell>
          <cell r="L1016">
            <v>0</v>
          </cell>
          <cell r="M1016">
            <v>0</v>
          </cell>
          <cell r="N1016">
            <v>4.9330000000000006E-2</v>
          </cell>
          <cell r="O1016">
            <v>4.9330000000000006E-2</v>
          </cell>
          <cell r="P1016">
            <v>4.9330000000000006E-2</v>
          </cell>
          <cell r="Q1016">
            <v>4.9330000000000006E-2</v>
          </cell>
          <cell r="R1016">
            <v>4.9330000000000006E-2</v>
          </cell>
          <cell r="S1016">
            <v>4.9330000000000006E-2</v>
          </cell>
          <cell r="T1016">
            <v>4.9330000000000006E-2</v>
          </cell>
          <cell r="U1016">
            <v>4.9330000000000006E-2</v>
          </cell>
          <cell r="V1016">
            <v>4.9330000000000006E-2</v>
          </cell>
          <cell r="W1016">
            <v>4.9330000000000006E-2</v>
          </cell>
          <cell r="X1016">
            <v>4.9330000000000006E-2</v>
          </cell>
          <cell r="Y1016">
            <v>4.9330000000000006E-2</v>
          </cell>
          <cell r="Z1016">
            <v>4.9330000000000006E-2</v>
          </cell>
          <cell r="AA1016">
            <v>4.9330000000000006E-2</v>
          </cell>
          <cell r="AB1016">
            <v>4.9330000000000006E-2</v>
          </cell>
          <cell r="AC1016">
            <v>4.9330000000000006E-2</v>
          </cell>
          <cell r="AD1016">
            <v>4.9330000000000006E-2</v>
          </cell>
          <cell r="AE1016">
            <v>4.9330000000000006E-2</v>
          </cell>
          <cell r="AF1016">
            <v>4.9330000000000006E-2</v>
          </cell>
          <cell r="AG1016">
            <v>4.9330000000000006E-2</v>
          </cell>
          <cell r="AH1016">
            <v>4.9330000000000006E-2</v>
          </cell>
        </row>
        <row r="1017">
          <cell r="B1017" t="str">
            <v>Bio-oil (HTL) - Total emissions - TTW - GWP20 - Global - ton CO2eq/ton fuel</v>
          </cell>
          <cell r="G1017">
            <v>0</v>
          </cell>
          <cell r="H1017">
            <v>0</v>
          </cell>
          <cell r="I1017">
            <v>0</v>
          </cell>
          <cell r="J1017">
            <v>0</v>
          </cell>
          <cell r="K1017">
            <v>0</v>
          </cell>
          <cell r="L1017">
            <v>0</v>
          </cell>
          <cell r="M1017">
            <v>0</v>
          </cell>
          <cell r="N1017">
            <v>4.9430000000000002E-2</v>
          </cell>
          <cell r="O1017">
            <v>4.9430000000000002E-2</v>
          </cell>
          <cell r="P1017">
            <v>4.9430000000000002E-2</v>
          </cell>
          <cell r="Q1017">
            <v>4.9430000000000002E-2</v>
          </cell>
          <cell r="R1017">
            <v>4.9430000000000002E-2</v>
          </cell>
          <cell r="S1017">
            <v>4.9430000000000002E-2</v>
          </cell>
          <cell r="T1017">
            <v>4.9430000000000002E-2</v>
          </cell>
          <cell r="U1017">
            <v>4.9430000000000002E-2</v>
          </cell>
          <cell r="V1017">
            <v>4.9430000000000002E-2</v>
          </cell>
          <cell r="W1017">
            <v>4.9430000000000002E-2</v>
          </cell>
          <cell r="X1017">
            <v>4.9430000000000002E-2</v>
          </cell>
          <cell r="Y1017">
            <v>4.9430000000000002E-2</v>
          </cell>
          <cell r="Z1017">
            <v>4.9430000000000002E-2</v>
          </cell>
          <cell r="AA1017">
            <v>4.9430000000000002E-2</v>
          </cell>
          <cell r="AB1017">
            <v>4.9430000000000002E-2</v>
          </cell>
          <cell r="AC1017">
            <v>4.9430000000000002E-2</v>
          </cell>
          <cell r="AD1017">
            <v>4.9430000000000002E-2</v>
          </cell>
          <cell r="AE1017">
            <v>4.9430000000000002E-2</v>
          </cell>
          <cell r="AF1017">
            <v>4.9430000000000002E-2</v>
          </cell>
          <cell r="AG1017">
            <v>4.9430000000000002E-2</v>
          </cell>
          <cell r="AH1017">
            <v>4.9430000000000002E-2</v>
          </cell>
        </row>
        <row r="1018">
          <cell r="B1018" t="str">
            <v>Bio-oil (HTL) - Total emissions - WTT - GWP100 - Global - ton CO2eq/ton fuel</v>
          </cell>
          <cell r="G1018">
            <v>0</v>
          </cell>
          <cell r="H1018">
            <v>0</v>
          </cell>
          <cell r="I1018">
            <v>0</v>
          </cell>
          <cell r="J1018">
            <v>0</v>
          </cell>
          <cell r="K1018">
            <v>0</v>
          </cell>
          <cell r="L1018">
            <v>0</v>
          </cell>
          <cell r="M1018">
            <v>0</v>
          </cell>
          <cell r="N1018">
            <v>2.2165813215500995E-2</v>
          </cell>
          <cell r="O1018">
            <v>2.2046466083379047E-2</v>
          </cell>
          <cell r="P1018">
            <v>2.1921313658331762E-2</v>
          </cell>
          <cell r="Q1018">
            <v>2.1790355940358837E-2</v>
          </cell>
          <cell r="R1018">
            <v>2.165359292945998E-2</v>
          </cell>
          <cell r="S1018">
            <v>2.1511024625635707E-2</v>
          </cell>
          <cell r="T1018">
            <v>2.1362437861726192E-2</v>
          </cell>
          <cell r="U1018">
            <v>2.1209826548697016E-2</v>
          </cell>
          <cell r="V1018">
            <v>2.1053190686548803E-2</v>
          </cell>
          <cell r="W1018">
            <v>2.0892530275280704E-2</v>
          </cell>
          <cell r="X1018">
            <v>2.0727845314892933E-2</v>
          </cell>
          <cell r="Y1018">
            <v>2.0515777055189213E-2</v>
          </cell>
          <cell r="Z1018">
            <v>2.0305997537947037E-2</v>
          </cell>
          <cell r="AA1018">
            <v>2.0098506763166789E-2</v>
          </cell>
          <cell r="AB1018">
            <v>1.9893304730848091E-2</v>
          </cell>
          <cell r="AC1018">
            <v>1.9690391440991224E-2</v>
          </cell>
          <cell r="AD1018">
            <v>1.9520396666790653E-2</v>
          </cell>
          <cell r="AE1018">
            <v>1.935334028662879E-2</v>
          </cell>
          <cell r="AF1018">
            <v>1.918922230050556E-2</v>
          </cell>
          <cell r="AG1018">
            <v>1.9028042708420994E-2</v>
          </cell>
          <cell r="AH1018">
            <v>1.8869801510375126E-2</v>
          </cell>
        </row>
        <row r="1019">
          <cell r="B1019" t="str">
            <v>Bio-oil (HTL) - Total emissions - WTT - GWP20 - Global - ton CO2eq/ton fuel</v>
          </cell>
          <cell r="G1019">
            <v>0</v>
          </cell>
          <cell r="H1019">
            <v>0</v>
          </cell>
          <cell r="I1019">
            <v>0</v>
          </cell>
          <cell r="J1019">
            <v>0</v>
          </cell>
          <cell r="K1019">
            <v>0</v>
          </cell>
          <cell r="L1019">
            <v>0</v>
          </cell>
          <cell r="M1019">
            <v>0</v>
          </cell>
          <cell r="N1019">
            <v>2.2165813215500995E-2</v>
          </cell>
          <cell r="O1019">
            <v>2.2046466083379047E-2</v>
          </cell>
          <cell r="P1019">
            <v>2.1921313658331762E-2</v>
          </cell>
          <cell r="Q1019">
            <v>2.1790355940358837E-2</v>
          </cell>
          <cell r="R1019">
            <v>2.165359292945998E-2</v>
          </cell>
          <cell r="S1019">
            <v>2.1511024625635707E-2</v>
          </cell>
          <cell r="T1019">
            <v>2.1362437861726192E-2</v>
          </cell>
          <cell r="U1019">
            <v>2.1209826548697016E-2</v>
          </cell>
          <cell r="V1019">
            <v>2.1053190686548803E-2</v>
          </cell>
          <cell r="W1019">
            <v>2.0892530275280704E-2</v>
          </cell>
          <cell r="X1019">
            <v>2.0727845314892933E-2</v>
          </cell>
          <cell r="Y1019">
            <v>2.0515777055189213E-2</v>
          </cell>
          <cell r="Z1019">
            <v>2.0305997537947037E-2</v>
          </cell>
          <cell r="AA1019">
            <v>2.0098506763166789E-2</v>
          </cell>
          <cell r="AB1019">
            <v>1.9893304730848091E-2</v>
          </cell>
          <cell r="AC1019">
            <v>1.9690391440991224E-2</v>
          </cell>
          <cell r="AD1019">
            <v>1.9520396666790653E-2</v>
          </cell>
          <cell r="AE1019">
            <v>1.935334028662879E-2</v>
          </cell>
          <cell r="AF1019">
            <v>1.918922230050556E-2</v>
          </cell>
          <cell r="AG1019">
            <v>1.9028042708420994E-2</v>
          </cell>
          <cell r="AH1019">
            <v>1.8869801510375126E-2</v>
          </cell>
        </row>
        <row r="1020">
          <cell r="B1020" t="str">
            <v>General - Methane - GWP100 - Global - ton CO2eq/ton fuel</v>
          </cell>
          <cell r="G1020">
            <v>29</v>
          </cell>
          <cell r="H1020">
            <v>29</v>
          </cell>
          <cell r="I1020">
            <v>29</v>
          </cell>
          <cell r="J1020">
            <v>29</v>
          </cell>
          <cell r="K1020">
            <v>29</v>
          </cell>
          <cell r="L1020">
            <v>29</v>
          </cell>
          <cell r="M1020">
            <v>29</v>
          </cell>
          <cell r="N1020">
            <v>29</v>
          </cell>
          <cell r="O1020">
            <v>29</v>
          </cell>
          <cell r="P1020">
            <v>29</v>
          </cell>
          <cell r="Q1020">
            <v>29</v>
          </cell>
          <cell r="R1020">
            <v>29</v>
          </cell>
          <cell r="S1020">
            <v>29</v>
          </cell>
          <cell r="T1020">
            <v>29</v>
          </cell>
          <cell r="U1020">
            <v>29</v>
          </cell>
          <cell r="V1020">
            <v>29</v>
          </cell>
          <cell r="W1020">
            <v>29</v>
          </cell>
          <cell r="X1020">
            <v>29</v>
          </cell>
          <cell r="Y1020">
            <v>29</v>
          </cell>
          <cell r="Z1020">
            <v>29</v>
          </cell>
          <cell r="AA1020">
            <v>29</v>
          </cell>
          <cell r="AB1020">
            <v>29</v>
          </cell>
          <cell r="AC1020">
            <v>29</v>
          </cell>
          <cell r="AD1020">
            <v>29</v>
          </cell>
          <cell r="AE1020">
            <v>29</v>
          </cell>
          <cell r="AF1020">
            <v>29</v>
          </cell>
          <cell r="AG1020">
            <v>29</v>
          </cell>
          <cell r="AH1020">
            <v>29</v>
          </cell>
        </row>
        <row r="1021">
          <cell r="B1021" t="str">
            <v>General - Methane - GWP20 - Global - ton CO2eq/ton fuel</v>
          </cell>
          <cell r="G1021">
            <v>85</v>
          </cell>
          <cell r="H1021">
            <v>85</v>
          </cell>
          <cell r="I1021">
            <v>85</v>
          </cell>
          <cell r="J1021">
            <v>85</v>
          </cell>
          <cell r="K1021">
            <v>85</v>
          </cell>
          <cell r="L1021">
            <v>85</v>
          </cell>
          <cell r="M1021">
            <v>85</v>
          </cell>
          <cell r="N1021">
            <v>85</v>
          </cell>
          <cell r="O1021">
            <v>85</v>
          </cell>
          <cell r="P1021">
            <v>85</v>
          </cell>
          <cell r="Q1021">
            <v>85</v>
          </cell>
          <cell r="R1021">
            <v>85</v>
          </cell>
          <cell r="S1021">
            <v>85</v>
          </cell>
          <cell r="T1021">
            <v>85</v>
          </cell>
          <cell r="U1021">
            <v>85</v>
          </cell>
          <cell r="V1021">
            <v>85</v>
          </cell>
          <cell r="W1021">
            <v>85</v>
          </cell>
          <cell r="X1021">
            <v>85</v>
          </cell>
          <cell r="Y1021">
            <v>85</v>
          </cell>
          <cell r="Z1021">
            <v>85</v>
          </cell>
          <cell r="AA1021">
            <v>85</v>
          </cell>
          <cell r="AB1021">
            <v>85</v>
          </cell>
          <cell r="AC1021">
            <v>85</v>
          </cell>
          <cell r="AD1021">
            <v>85</v>
          </cell>
          <cell r="AE1021">
            <v>85</v>
          </cell>
          <cell r="AF1021">
            <v>85</v>
          </cell>
          <cell r="AG1021">
            <v>85</v>
          </cell>
          <cell r="AH1021">
            <v>85</v>
          </cell>
        </row>
        <row r="1022">
          <cell r="B1022" t="str">
            <v>General - Nitrous oxide - GWP100 - Global - ton CO2eq/ton fuel</v>
          </cell>
          <cell r="G1022">
            <v>266</v>
          </cell>
          <cell r="H1022">
            <v>266</v>
          </cell>
          <cell r="I1022">
            <v>266</v>
          </cell>
          <cell r="J1022">
            <v>266</v>
          </cell>
          <cell r="K1022">
            <v>266</v>
          </cell>
          <cell r="L1022">
            <v>266</v>
          </cell>
          <cell r="M1022">
            <v>266</v>
          </cell>
          <cell r="N1022">
            <v>266</v>
          </cell>
          <cell r="O1022">
            <v>266</v>
          </cell>
          <cell r="P1022">
            <v>266</v>
          </cell>
          <cell r="Q1022">
            <v>266</v>
          </cell>
          <cell r="R1022">
            <v>266</v>
          </cell>
          <cell r="S1022">
            <v>266</v>
          </cell>
          <cell r="T1022">
            <v>266</v>
          </cell>
          <cell r="U1022">
            <v>266</v>
          </cell>
          <cell r="V1022">
            <v>266</v>
          </cell>
          <cell r="W1022">
            <v>266</v>
          </cell>
          <cell r="X1022">
            <v>266</v>
          </cell>
          <cell r="Y1022">
            <v>266</v>
          </cell>
          <cell r="Z1022">
            <v>266</v>
          </cell>
          <cell r="AA1022">
            <v>266</v>
          </cell>
          <cell r="AB1022">
            <v>266</v>
          </cell>
          <cell r="AC1022">
            <v>266</v>
          </cell>
          <cell r="AD1022">
            <v>266</v>
          </cell>
          <cell r="AE1022">
            <v>266</v>
          </cell>
          <cell r="AF1022">
            <v>266</v>
          </cell>
          <cell r="AG1022">
            <v>266</v>
          </cell>
          <cell r="AH1022">
            <v>266</v>
          </cell>
        </row>
        <row r="1023">
          <cell r="B1023" t="str">
            <v>General - Nitrous oxide - GWP20 - Global - ton CO2eq/ton fuel</v>
          </cell>
          <cell r="G1023">
            <v>251</v>
          </cell>
          <cell r="H1023">
            <v>251</v>
          </cell>
          <cell r="I1023">
            <v>251</v>
          </cell>
          <cell r="J1023">
            <v>251</v>
          </cell>
          <cell r="K1023">
            <v>251</v>
          </cell>
          <cell r="L1023">
            <v>251</v>
          </cell>
          <cell r="M1023">
            <v>251</v>
          </cell>
          <cell r="N1023">
            <v>251</v>
          </cell>
          <cell r="O1023">
            <v>251</v>
          </cell>
          <cell r="P1023">
            <v>251</v>
          </cell>
          <cell r="Q1023">
            <v>251</v>
          </cell>
          <cell r="R1023">
            <v>251</v>
          </cell>
          <cell r="S1023">
            <v>251</v>
          </cell>
          <cell r="T1023">
            <v>251</v>
          </cell>
          <cell r="U1023">
            <v>251</v>
          </cell>
          <cell r="V1023">
            <v>251</v>
          </cell>
          <cell r="W1023">
            <v>251</v>
          </cell>
          <cell r="X1023">
            <v>251</v>
          </cell>
          <cell r="Y1023">
            <v>251</v>
          </cell>
          <cell r="Z1023">
            <v>251</v>
          </cell>
          <cell r="AA1023">
            <v>251</v>
          </cell>
          <cell r="AB1023">
            <v>251</v>
          </cell>
          <cell r="AC1023">
            <v>251</v>
          </cell>
          <cell r="AD1023">
            <v>251</v>
          </cell>
          <cell r="AE1023">
            <v>251</v>
          </cell>
          <cell r="AF1023">
            <v>251</v>
          </cell>
          <cell r="AG1023">
            <v>251</v>
          </cell>
          <cell r="AH1023">
            <v>251</v>
          </cell>
        </row>
        <row r="1024">
          <cell r="B1024" t="str">
            <v/>
          </cell>
        </row>
        <row r="1025">
          <cell r="B1025" t="str">
            <v>Bio-oil (HTL) - Total emissions - WTW - Global - ton CO2/ton fuel</v>
          </cell>
          <cell r="G1025">
            <v>0</v>
          </cell>
          <cell r="H1025">
            <v>0</v>
          </cell>
          <cell r="I1025">
            <v>0</v>
          </cell>
          <cell r="J1025">
            <v>0</v>
          </cell>
          <cell r="K1025">
            <v>0</v>
          </cell>
          <cell r="L1025">
            <v>0</v>
          </cell>
          <cell r="M1025">
            <v>0</v>
          </cell>
          <cell r="N1025">
            <v>2.2165813215500995E-2</v>
          </cell>
          <cell r="O1025">
            <v>2.2046466083379047E-2</v>
          </cell>
          <cell r="P1025">
            <v>2.1921313658331762E-2</v>
          </cell>
          <cell r="Q1025">
            <v>2.1790355940358837E-2</v>
          </cell>
          <cell r="R1025">
            <v>2.165359292945998E-2</v>
          </cell>
          <cell r="S1025">
            <v>2.1511024625635707E-2</v>
          </cell>
          <cell r="T1025">
            <v>2.1362437861726192E-2</v>
          </cell>
          <cell r="U1025">
            <v>2.1209826548697016E-2</v>
          </cell>
          <cell r="V1025">
            <v>2.1053190686548803E-2</v>
          </cell>
          <cell r="W1025">
            <v>2.0892530275280704E-2</v>
          </cell>
          <cell r="X1025">
            <v>2.0727845314892933E-2</v>
          </cell>
          <cell r="Y1025">
            <v>2.0515777055189213E-2</v>
          </cell>
          <cell r="Z1025">
            <v>2.0305997537947037E-2</v>
          </cell>
          <cell r="AA1025">
            <v>2.0098506763166789E-2</v>
          </cell>
          <cell r="AB1025">
            <v>1.9893304730848091E-2</v>
          </cell>
          <cell r="AC1025">
            <v>1.9690391440991224E-2</v>
          </cell>
          <cell r="AD1025">
            <v>1.9520396666790653E-2</v>
          </cell>
          <cell r="AE1025">
            <v>1.935334028662879E-2</v>
          </cell>
          <cell r="AF1025">
            <v>1.918922230050556E-2</v>
          </cell>
          <cell r="AG1025">
            <v>1.9028042708420994E-2</v>
          </cell>
          <cell r="AH1025">
            <v>1.8869801510375126E-2</v>
          </cell>
        </row>
        <row r="1026">
          <cell r="B1026" t="str">
            <v>Bio-oil (HTL) - Total emissions - WTW - Global - ton CH4/ton fuel</v>
          </cell>
          <cell r="G1026">
            <v>0</v>
          </cell>
          <cell r="H1026">
            <v>0</v>
          </cell>
          <cell r="I1026">
            <v>0</v>
          </cell>
          <cell r="J1026">
            <v>0</v>
          </cell>
          <cell r="K1026">
            <v>0</v>
          </cell>
          <cell r="L1026">
            <v>0</v>
          </cell>
          <cell r="M1026">
            <v>0</v>
          </cell>
          <cell r="N1026">
            <v>5.0000000000000002E-5</v>
          </cell>
          <cell r="O1026">
            <v>5.0000000000000002E-5</v>
          </cell>
          <cell r="P1026">
            <v>5.0000000000000002E-5</v>
          </cell>
          <cell r="Q1026">
            <v>5.0000000000000002E-5</v>
          </cell>
          <cell r="R1026">
            <v>5.0000000000000002E-5</v>
          </cell>
          <cell r="S1026">
            <v>5.0000000000000002E-5</v>
          </cell>
          <cell r="T1026">
            <v>5.0000000000000002E-5</v>
          </cell>
          <cell r="U1026">
            <v>5.0000000000000002E-5</v>
          </cell>
          <cell r="V1026">
            <v>5.0000000000000002E-5</v>
          </cell>
          <cell r="W1026">
            <v>5.0000000000000002E-5</v>
          </cell>
          <cell r="X1026">
            <v>5.0000000000000002E-5</v>
          </cell>
          <cell r="Y1026">
            <v>5.0000000000000002E-5</v>
          </cell>
          <cell r="Z1026">
            <v>5.0000000000000002E-5</v>
          </cell>
          <cell r="AA1026">
            <v>5.0000000000000002E-5</v>
          </cell>
          <cell r="AB1026">
            <v>5.0000000000000002E-5</v>
          </cell>
          <cell r="AC1026">
            <v>5.0000000000000002E-5</v>
          </cell>
          <cell r="AD1026">
            <v>5.0000000000000002E-5</v>
          </cell>
          <cell r="AE1026">
            <v>5.0000000000000002E-5</v>
          </cell>
          <cell r="AF1026">
            <v>5.0000000000000002E-5</v>
          </cell>
          <cell r="AG1026">
            <v>5.0000000000000002E-5</v>
          </cell>
          <cell r="AH1026">
            <v>5.0000000000000002E-5</v>
          </cell>
        </row>
        <row r="1027">
          <cell r="B1027" t="str">
            <v>Bio-oil (HTL) - Total emissions - WTW - Global - ton N2O/ton fuel</v>
          </cell>
          <cell r="G1027">
            <v>0</v>
          </cell>
          <cell r="H1027">
            <v>0</v>
          </cell>
          <cell r="I1027">
            <v>0</v>
          </cell>
          <cell r="J1027">
            <v>0</v>
          </cell>
          <cell r="K1027">
            <v>0</v>
          </cell>
          <cell r="L1027">
            <v>0</v>
          </cell>
          <cell r="M1027">
            <v>0</v>
          </cell>
          <cell r="N1027">
            <v>1.8000000000000001E-4</v>
          </cell>
          <cell r="O1027">
            <v>1.8000000000000001E-4</v>
          </cell>
          <cell r="P1027">
            <v>1.8000000000000001E-4</v>
          </cell>
          <cell r="Q1027">
            <v>1.8000000000000001E-4</v>
          </cell>
          <cell r="R1027">
            <v>1.8000000000000001E-4</v>
          </cell>
          <cell r="S1027">
            <v>1.8000000000000001E-4</v>
          </cell>
          <cell r="T1027">
            <v>1.8000000000000001E-4</v>
          </cell>
          <cell r="U1027">
            <v>1.8000000000000001E-4</v>
          </cell>
          <cell r="V1027">
            <v>1.8000000000000001E-4</v>
          </cell>
          <cell r="W1027">
            <v>1.8000000000000001E-4</v>
          </cell>
          <cell r="X1027">
            <v>1.8000000000000001E-4</v>
          </cell>
          <cell r="Y1027">
            <v>1.8000000000000001E-4</v>
          </cell>
          <cell r="Z1027">
            <v>1.8000000000000001E-4</v>
          </cell>
          <cell r="AA1027">
            <v>1.8000000000000001E-4</v>
          </cell>
          <cell r="AB1027">
            <v>1.8000000000000001E-4</v>
          </cell>
          <cell r="AC1027">
            <v>1.8000000000000001E-4</v>
          </cell>
          <cell r="AD1027">
            <v>1.8000000000000001E-4</v>
          </cell>
          <cell r="AE1027">
            <v>1.8000000000000001E-4</v>
          </cell>
          <cell r="AF1027">
            <v>1.8000000000000001E-4</v>
          </cell>
          <cell r="AG1027">
            <v>1.8000000000000001E-4</v>
          </cell>
          <cell r="AH1027">
            <v>1.8000000000000001E-4</v>
          </cell>
        </row>
        <row r="1028">
          <cell r="B1028" t="str">
            <v/>
          </cell>
        </row>
        <row r="1029">
          <cell r="B1029" t="str">
            <v>Bio-oil (HTL) - Total emissions - TTW - Global - ton CO2/ton fuel</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row>
        <row r="1030">
          <cell r="B1030" t="str">
            <v>Bio-oil (HTL) - Total emissions - TTW - Global - ton CH4/ton fuel</v>
          </cell>
          <cell r="G1030">
            <v>0</v>
          </cell>
          <cell r="H1030">
            <v>0</v>
          </cell>
          <cell r="I1030">
            <v>0</v>
          </cell>
          <cell r="J1030">
            <v>0</v>
          </cell>
          <cell r="K1030">
            <v>0</v>
          </cell>
          <cell r="L1030">
            <v>0</v>
          </cell>
          <cell r="M1030">
            <v>0</v>
          </cell>
          <cell r="N1030">
            <v>5.0000000000000002E-5</v>
          </cell>
          <cell r="O1030">
            <v>5.0000000000000002E-5</v>
          </cell>
          <cell r="P1030">
            <v>5.0000000000000002E-5</v>
          </cell>
          <cell r="Q1030">
            <v>5.0000000000000002E-5</v>
          </cell>
          <cell r="R1030">
            <v>5.0000000000000002E-5</v>
          </cell>
          <cell r="S1030">
            <v>5.0000000000000002E-5</v>
          </cell>
          <cell r="T1030">
            <v>5.0000000000000002E-5</v>
          </cell>
          <cell r="U1030">
            <v>5.0000000000000002E-5</v>
          </cell>
          <cell r="V1030">
            <v>5.0000000000000002E-5</v>
          </cell>
          <cell r="W1030">
            <v>5.0000000000000002E-5</v>
          </cell>
          <cell r="X1030">
            <v>5.0000000000000002E-5</v>
          </cell>
          <cell r="Y1030">
            <v>5.0000000000000002E-5</v>
          </cell>
          <cell r="Z1030">
            <v>5.0000000000000002E-5</v>
          </cell>
          <cell r="AA1030">
            <v>5.0000000000000002E-5</v>
          </cell>
          <cell r="AB1030">
            <v>5.0000000000000002E-5</v>
          </cell>
          <cell r="AC1030">
            <v>5.0000000000000002E-5</v>
          </cell>
          <cell r="AD1030">
            <v>5.0000000000000002E-5</v>
          </cell>
          <cell r="AE1030">
            <v>5.0000000000000002E-5</v>
          </cell>
          <cell r="AF1030">
            <v>5.0000000000000002E-5</v>
          </cell>
          <cell r="AG1030">
            <v>5.0000000000000002E-5</v>
          </cell>
          <cell r="AH1030">
            <v>5.0000000000000002E-5</v>
          </cell>
        </row>
        <row r="1031">
          <cell r="B1031" t="str">
            <v>Bio-oil (HTL) - Total emissions - TTW - Global - ton N2O/ton fuel</v>
          </cell>
          <cell r="G1031">
            <v>0</v>
          </cell>
          <cell r="H1031">
            <v>0</v>
          </cell>
          <cell r="I1031">
            <v>0</v>
          </cell>
          <cell r="J1031">
            <v>0</v>
          </cell>
          <cell r="K1031">
            <v>0</v>
          </cell>
          <cell r="L1031">
            <v>0</v>
          </cell>
          <cell r="M1031">
            <v>0</v>
          </cell>
          <cell r="N1031">
            <v>1.8000000000000001E-4</v>
          </cell>
          <cell r="O1031">
            <v>1.8000000000000001E-4</v>
          </cell>
          <cell r="P1031">
            <v>1.8000000000000001E-4</v>
          </cell>
          <cell r="Q1031">
            <v>1.8000000000000001E-4</v>
          </cell>
          <cell r="R1031">
            <v>1.8000000000000001E-4</v>
          </cell>
          <cell r="S1031">
            <v>1.8000000000000001E-4</v>
          </cell>
          <cell r="T1031">
            <v>1.8000000000000001E-4</v>
          </cell>
          <cell r="U1031">
            <v>1.8000000000000001E-4</v>
          </cell>
          <cell r="V1031">
            <v>1.8000000000000001E-4</v>
          </cell>
          <cell r="W1031">
            <v>1.8000000000000001E-4</v>
          </cell>
          <cell r="X1031">
            <v>1.8000000000000001E-4</v>
          </cell>
          <cell r="Y1031">
            <v>1.8000000000000001E-4</v>
          </cell>
          <cell r="Z1031">
            <v>1.8000000000000001E-4</v>
          </cell>
          <cell r="AA1031">
            <v>1.8000000000000001E-4</v>
          </cell>
          <cell r="AB1031">
            <v>1.8000000000000001E-4</v>
          </cell>
          <cell r="AC1031">
            <v>1.8000000000000001E-4</v>
          </cell>
          <cell r="AD1031">
            <v>1.8000000000000001E-4</v>
          </cell>
          <cell r="AE1031">
            <v>1.8000000000000001E-4</v>
          </cell>
          <cell r="AF1031">
            <v>1.8000000000000001E-4</v>
          </cell>
          <cell r="AG1031">
            <v>1.8000000000000001E-4</v>
          </cell>
          <cell r="AH1031">
            <v>1.8000000000000001E-4</v>
          </cell>
        </row>
        <row r="1032">
          <cell r="B1032" t="str">
            <v>Bio-oil (HTL) - TTW emissions (carbon dioxide) - Global - ton CO2/ton fuel</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row>
        <row r="1033">
          <cell r="B1033" t="str">
            <v>Bio-oil (HTL) - TTW emissions (methane) - Global - ton CH4/ton fuel</v>
          </cell>
          <cell r="G1033">
            <v>0</v>
          </cell>
          <cell r="H1033">
            <v>0</v>
          </cell>
          <cell r="I1033">
            <v>0</v>
          </cell>
          <cell r="J1033">
            <v>0</v>
          </cell>
          <cell r="K1033">
            <v>0</v>
          </cell>
          <cell r="L1033">
            <v>0</v>
          </cell>
          <cell r="M1033">
            <v>0</v>
          </cell>
          <cell r="N1033">
            <v>5.0000000000000002E-5</v>
          </cell>
          <cell r="O1033">
            <v>5.0000000000000002E-5</v>
          </cell>
          <cell r="P1033">
            <v>5.0000000000000002E-5</v>
          </cell>
          <cell r="Q1033">
            <v>5.0000000000000002E-5</v>
          </cell>
          <cell r="R1033">
            <v>5.0000000000000002E-5</v>
          </cell>
          <cell r="S1033">
            <v>5.0000000000000002E-5</v>
          </cell>
          <cell r="T1033">
            <v>5.0000000000000002E-5</v>
          </cell>
          <cell r="U1033">
            <v>5.0000000000000002E-5</v>
          </cell>
          <cell r="V1033">
            <v>5.0000000000000002E-5</v>
          </cell>
          <cell r="W1033">
            <v>5.0000000000000002E-5</v>
          </cell>
          <cell r="X1033">
            <v>5.0000000000000002E-5</v>
          </cell>
          <cell r="Y1033">
            <v>5.0000000000000002E-5</v>
          </cell>
          <cell r="Z1033">
            <v>5.0000000000000002E-5</v>
          </cell>
          <cell r="AA1033">
            <v>5.0000000000000002E-5</v>
          </cell>
          <cell r="AB1033">
            <v>5.0000000000000002E-5</v>
          </cell>
          <cell r="AC1033">
            <v>5.0000000000000002E-5</v>
          </cell>
          <cell r="AD1033">
            <v>5.0000000000000002E-5</v>
          </cell>
          <cell r="AE1033">
            <v>5.0000000000000002E-5</v>
          </cell>
          <cell r="AF1033">
            <v>5.0000000000000002E-5</v>
          </cell>
          <cell r="AG1033">
            <v>5.0000000000000002E-5</v>
          </cell>
          <cell r="AH1033">
            <v>5.0000000000000002E-5</v>
          </cell>
        </row>
        <row r="1034">
          <cell r="B1034" t="str">
            <v>Bio-oil (HTL) - TTW emissions (nitrous oxide) - Global - ton N2O/ton fuel</v>
          </cell>
          <cell r="G1034">
            <v>0</v>
          </cell>
          <cell r="H1034">
            <v>0</v>
          </cell>
          <cell r="I1034">
            <v>0</v>
          </cell>
          <cell r="J1034">
            <v>0</v>
          </cell>
          <cell r="K1034">
            <v>0</v>
          </cell>
          <cell r="L1034">
            <v>0</v>
          </cell>
          <cell r="M1034">
            <v>0</v>
          </cell>
          <cell r="N1034">
            <v>1.8000000000000001E-4</v>
          </cell>
          <cell r="O1034">
            <v>1.8000000000000001E-4</v>
          </cell>
          <cell r="P1034">
            <v>1.8000000000000001E-4</v>
          </cell>
          <cell r="Q1034">
            <v>1.8000000000000001E-4</v>
          </cell>
          <cell r="R1034">
            <v>1.8000000000000001E-4</v>
          </cell>
          <cell r="S1034">
            <v>1.8000000000000001E-4</v>
          </cell>
          <cell r="T1034">
            <v>1.8000000000000001E-4</v>
          </cell>
          <cell r="U1034">
            <v>1.8000000000000001E-4</v>
          </cell>
          <cell r="V1034">
            <v>1.8000000000000001E-4</v>
          </cell>
          <cell r="W1034">
            <v>1.8000000000000001E-4</v>
          </cell>
          <cell r="X1034">
            <v>1.8000000000000001E-4</v>
          </cell>
          <cell r="Y1034">
            <v>1.8000000000000001E-4</v>
          </cell>
          <cell r="Z1034">
            <v>1.8000000000000001E-4</v>
          </cell>
          <cell r="AA1034">
            <v>1.8000000000000001E-4</v>
          </cell>
          <cell r="AB1034">
            <v>1.8000000000000001E-4</v>
          </cell>
          <cell r="AC1034">
            <v>1.8000000000000001E-4</v>
          </cell>
          <cell r="AD1034">
            <v>1.8000000000000001E-4</v>
          </cell>
          <cell r="AE1034">
            <v>1.8000000000000001E-4</v>
          </cell>
          <cell r="AF1034">
            <v>1.8000000000000001E-4</v>
          </cell>
          <cell r="AG1034">
            <v>1.8000000000000001E-4</v>
          </cell>
          <cell r="AH1034">
            <v>1.8000000000000001E-4</v>
          </cell>
        </row>
        <row r="1035">
          <cell r="B1035" t="str">
            <v/>
          </cell>
        </row>
        <row r="1036">
          <cell r="B1036" t="str">
            <v>Bio-oil (HTL) - Total emissions - WTT - Global - ton CO2eq/ton fuel</v>
          </cell>
          <cell r="G1036">
            <v>0</v>
          </cell>
          <cell r="H1036">
            <v>0</v>
          </cell>
          <cell r="I1036">
            <v>0</v>
          </cell>
          <cell r="J1036">
            <v>0</v>
          </cell>
          <cell r="K1036">
            <v>0</v>
          </cell>
          <cell r="L1036">
            <v>0</v>
          </cell>
          <cell r="M1036">
            <v>0</v>
          </cell>
          <cell r="N1036">
            <v>2.2165813215500995E-2</v>
          </cell>
          <cell r="O1036">
            <v>2.2046466083379047E-2</v>
          </cell>
          <cell r="P1036">
            <v>2.1921313658331762E-2</v>
          </cell>
          <cell r="Q1036">
            <v>2.1790355940358837E-2</v>
          </cell>
          <cell r="R1036">
            <v>2.165359292945998E-2</v>
          </cell>
          <cell r="S1036">
            <v>2.1511024625635707E-2</v>
          </cell>
          <cell r="T1036">
            <v>2.1362437861726192E-2</v>
          </cell>
          <cell r="U1036">
            <v>2.1209826548697016E-2</v>
          </cell>
          <cell r="V1036">
            <v>2.1053190686548803E-2</v>
          </cell>
          <cell r="W1036">
            <v>2.0892530275280704E-2</v>
          </cell>
          <cell r="X1036">
            <v>2.0727845314892933E-2</v>
          </cell>
          <cell r="Y1036">
            <v>2.0515777055189213E-2</v>
          </cell>
          <cell r="Z1036">
            <v>2.0305997537947037E-2</v>
          </cell>
          <cell r="AA1036">
            <v>2.0098506763166789E-2</v>
          </cell>
          <cell r="AB1036">
            <v>1.9893304730848091E-2</v>
          </cell>
          <cell r="AC1036">
            <v>1.9690391440991224E-2</v>
          </cell>
          <cell r="AD1036">
            <v>1.9520396666790653E-2</v>
          </cell>
          <cell r="AE1036">
            <v>1.935334028662879E-2</v>
          </cell>
          <cell r="AF1036">
            <v>1.918922230050556E-2</v>
          </cell>
          <cell r="AG1036">
            <v>1.9028042708420994E-2</v>
          </cell>
          <cell r="AH1036">
            <v>1.8869801510375126E-2</v>
          </cell>
        </row>
        <row r="1037">
          <cell r="B1037" t="str">
            <v>Bio-oil (HTL) - Total emissions - WTT - Global - ton CO2eq/ton fuel</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row>
        <row r="1038">
          <cell r="B1038" t="str">
            <v>Bio-oil (HTL) - Total emissions - WTT - Global - ton CO2eq/ton fuel</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row>
        <row r="1039">
          <cell r="B1039" t="str">
            <v/>
          </cell>
        </row>
        <row r="1040">
          <cell r="B1040" t="str">
            <v>Bio-oil (HTL) - Process-related emissions - WTT - Global - ton CO2/ton fuel</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row>
        <row r="1041">
          <cell r="B1041" t="str">
            <v>Bio-oil (HTL) - Process-related emissions - WTT - Global - ton CH4/ton fuel</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row>
        <row r="1042">
          <cell r="B1042" t="str">
            <v>Bio-oil (HTL) - Process-related emissions - WTT - Global - ton N2O/ton fuel</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row>
        <row r="1043">
          <cell r="B1043" t="str">
            <v>Bio-oil (HTL) - Process WTT emissions (carbon dioxide) - Global - ton CO2/ton fuel</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row>
        <row r="1044">
          <cell r="B1044" t="str">
            <v>Bio-oil (HTL) - Process WTT emissions (methane) - Global - ton CH4/ton fuel</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row>
        <row r="1045">
          <cell r="B1045" t="str">
            <v>Bio-oil (HTL) - Process WTT emissions (nitrous oxide) - Global - ton N2O/ton fuel</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row>
        <row r="1046">
          <cell r="B1046" t="str">
            <v/>
          </cell>
        </row>
        <row r="1047">
          <cell r="B1047" t="str">
            <v>Bio-oil (HTL) - Energy-related emissions - WTT - Global - ton CO2/ton fuel</v>
          </cell>
          <cell r="G1047">
            <v>0</v>
          </cell>
          <cell r="H1047">
            <v>0</v>
          </cell>
          <cell r="I1047">
            <v>0</v>
          </cell>
          <cell r="J1047">
            <v>0</v>
          </cell>
          <cell r="K1047">
            <v>0</v>
          </cell>
          <cell r="L1047">
            <v>0</v>
          </cell>
          <cell r="M1047">
            <v>0</v>
          </cell>
          <cell r="N1047">
            <v>4.2826710094485236E-3</v>
          </cell>
          <cell r="O1047">
            <v>4.279525971994852E-3</v>
          </cell>
          <cell r="P1047">
            <v>4.2763809345411821E-3</v>
          </cell>
          <cell r="Q1047">
            <v>4.2732358970875121E-3</v>
          </cell>
          <cell r="R1047">
            <v>4.2700908596338414E-3</v>
          </cell>
          <cell r="S1047">
            <v>4.2669458221801715E-3</v>
          </cell>
          <cell r="T1047">
            <v>4.2638007847265015E-3</v>
          </cell>
          <cell r="U1047">
            <v>4.2606557472728299E-3</v>
          </cell>
          <cell r="V1047">
            <v>4.25751070981916E-3</v>
          </cell>
          <cell r="W1047">
            <v>4.2543656723654892E-3</v>
          </cell>
          <cell r="X1047">
            <v>4.2512206349118193E-3</v>
          </cell>
          <cell r="Y1047">
            <v>4.2480755974581477E-3</v>
          </cell>
          <cell r="Z1047">
            <v>4.2449305600044777E-3</v>
          </cell>
          <cell r="AA1047">
            <v>4.2417855225508078E-3</v>
          </cell>
          <cell r="AB1047">
            <v>4.2386404850971371E-3</v>
          </cell>
          <cell r="AC1047">
            <v>4.2354954476434671E-3</v>
          </cell>
          <cell r="AD1047">
            <v>4.2323504101897972E-3</v>
          </cell>
          <cell r="AE1047">
            <v>4.2292053727361256E-3</v>
          </cell>
          <cell r="AF1047">
            <v>4.2260603352824557E-3</v>
          </cell>
          <cell r="AG1047">
            <v>4.2229152978287858E-3</v>
          </cell>
          <cell r="AH1047">
            <v>4.2197702603751141E-3</v>
          </cell>
        </row>
        <row r="1048">
          <cell r="B1048" t="str">
            <v>Bio-oil (HTL) - Energy-related emissions - WTT - Global - ton CH4/ton fuel</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row>
        <row r="1049">
          <cell r="B1049" t="str">
            <v>Bio-oil (HTL) - Energy-related emissions - WTT - Global - ton N2O/ton fuel</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row>
        <row r="1050">
          <cell r="B1050" t="str">
            <v>Renewable electricity - Feedstock WTT emissions (carbon dioxide) - Global - ton CO2/MWh</v>
          </cell>
          <cell r="G1050">
            <v>5.3699999999999998E-3</v>
          </cell>
          <cell r="H1050">
            <v>5.3699999999999998E-3</v>
          </cell>
          <cell r="I1050">
            <v>5.3699999999999998E-3</v>
          </cell>
          <cell r="J1050">
            <v>5.3699999999999998E-3</v>
          </cell>
          <cell r="K1050">
            <v>5.3699999999999998E-3</v>
          </cell>
          <cell r="L1050">
            <v>5.3699999999999998E-3</v>
          </cell>
          <cell r="M1050">
            <v>5.3699999999999998E-3</v>
          </cell>
          <cell r="N1050">
            <v>5.3699999999999998E-3</v>
          </cell>
          <cell r="O1050">
            <v>5.3699999999999998E-3</v>
          </cell>
          <cell r="P1050">
            <v>5.3699999999999998E-3</v>
          </cell>
          <cell r="Q1050">
            <v>5.3699999999999998E-3</v>
          </cell>
          <cell r="R1050">
            <v>5.3699999999999998E-3</v>
          </cell>
          <cell r="S1050">
            <v>5.3699999999999998E-3</v>
          </cell>
          <cell r="T1050">
            <v>5.3699999999999998E-3</v>
          </cell>
          <cell r="U1050">
            <v>5.3699999999999998E-3</v>
          </cell>
          <cell r="V1050">
            <v>5.3699999999999998E-3</v>
          </cell>
          <cell r="W1050">
            <v>5.3699999999999998E-3</v>
          </cell>
          <cell r="X1050">
            <v>5.3699999999999998E-3</v>
          </cell>
          <cell r="Y1050">
            <v>5.3699999999999998E-3</v>
          </cell>
          <cell r="Z1050">
            <v>5.3699999999999998E-3</v>
          </cell>
          <cell r="AA1050">
            <v>5.3699999999999998E-3</v>
          </cell>
          <cell r="AB1050">
            <v>5.3699999999999998E-3</v>
          </cell>
          <cell r="AC1050">
            <v>5.3699999999999998E-3</v>
          </cell>
          <cell r="AD1050">
            <v>5.3699999999999998E-3</v>
          </cell>
          <cell r="AE1050">
            <v>5.3699999999999998E-3</v>
          </cell>
          <cell r="AF1050">
            <v>5.3699999999999998E-3</v>
          </cell>
          <cell r="AG1050">
            <v>5.3699999999999998E-3</v>
          </cell>
          <cell r="AH1050">
            <v>5.3699999999999998E-3</v>
          </cell>
        </row>
        <row r="1051">
          <cell r="B1051" t="str">
            <v>Renewable electricity - Feedstock WTT emissions (methane) - Global - ton CH4/MWh</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row>
        <row r="1052">
          <cell r="B1052" t="str">
            <v>Renewable electricity - Feedstock WTT emissions (nitrous oxide) - Global - ton N2O/MWh</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row>
        <row r="1053">
          <cell r="B1053" t="str">
            <v>Bio-oil (HTL) - Energy demand - Global - MWh/ton fuel</v>
          </cell>
          <cell r="G1053">
            <v>0</v>
          </cell>
          <cell r="H1053">
            <v>0</v>
          </cell>
          <cell r="I1053">
            <v>0</v>
          </cell>
          <cell r="J1053">
            <v>0</v>
          </cell>
          <cell r="K1053">
            <v>0</v>
          </cell>
          <cell r="L1053">
            <v>0</v>
          </cell>
          <cell r="M1053">
            <v>0</v>
          </cell>
          <cell r="N1053">
            <v>0.79751787885447367</v>
          </cell>
          <cell r="O1053">
            <v>0.79693221079978627</v>
          </cell>
          <cell r="P1053">
            <v>0.79634654274509908</v>
          </cell>
          <cell r="Q1053">
            <v>0.7957608746904119</v>
          </cell>
          <cell r="R1053">
            <v>0.79517520663572472</v>
          </cell>
          <cell r="S1053">
            <v>0.79458953858103754</v>
          </cell>
          <cell r="T1053">
            <v>0.79400387052635035</v>
          </cell>
          <cell r="U1053">
            <v>0.79341820247166295</v>
          </cell>
          <cell r="V1053">
            <v>0.79283253441697576</v>
          </cell>
          <cell r="W1053">
            <v>0.79224686636228858</v>
          </cell>
          <cell r="X1053">
            <v>0.7916611983076014</v>
          </cell>
          <cell r="Y1053">
            <v>0.79107553025291399</v>
          </cell>
          <cell r="Z1053">
            <v>0.79048986219822681</v>
          </cell>
          <cell r="AA1053">
            <v>0.78990419414353963</v>
          </cell>
          <cell r="AB1053">
            <v>0.78931852608885245</v>
          </cell>
          <cell r="AC1053">
            <v>0.78873285803416526</v>
          </cell>
          <cell r="AD1053">
            <v>0.78814718997947808</v>
          </cell>
          <cell r="AE1053">
            <v>0.78756152192479068</v>
          </cell>
          <cell r="AF1053">
            <v>0.78697585387010349</v>
          </cell>
          <cell r="AG1053">
            <v>0.78639018581541631</v>
          </cell>
          <cell r="AH1053">
            <v>0.7858045177607289</v>
          </cell>
        </row>
        <row r="1054">
          <cell r="B1054" t="str">
            <v/>
          </cell>
        </row>
        <row r="1055">
          <cell r="B1055" t="str">
            <v>Bio-oil (HTL) - Feedstock-related emissions - WTT - Global - ton CO2/ton fuel</v>
          </cell>
          <cell r="G1055">
            <v>0</v>
          </cell>
          <cell r="H1055">
            <v>0</v>
          </cell>
          <cell r="I1055">
            <v>0</v>
          </cell>
          <cell r="J1055">
            <v>0</v>
          </cell>
          <cell r="K1055">
            <v>0</v>
          </cell>
          <cell r="L1055">
            <v>0</v>
          </cell>
          <cell r="M1055">
            <v>0</v>
          </cell>
          <cell r="N1055">
            <v>1.7883142206052471E-2</v>
          </cell>
          <cell r="O1055">
            <v>1.7766940111384195E-2</v>
          </cell>
          <cell r="P1055">
            <v>1.7644932723790578E-2</v>
          </cell>
          <cell r="Q1055">
            <v>1.7517120043271325E-2</v>
          </cell>
          <cell r="R1055">
            <v>1.738350206982614E-2</v>
          </cell>
          <cell r="S1055">
            <v>1.7244078803455534E-2</v>
          </cell>
          <cell r="T1055">
            <v>1.7098637076999691E-2</v>
          </cell>
          <cell r="U1055">
            <v>1.6949170801424187E-2</v>
          </cell>
          <cell r="V1055">
            <v>1.6795679976729642E-2</v>
          </cell>
          <cell r="W1055">
            <v>1.6638164602915215E-2</v>
          </cell>
          <cell r="X1055">
            <v>1.6476624679981112E-2</v>
          </cell>
          <cell r="Y1055">
            <v>1.6267701457731064E-2</v>
          </cell>
          <cell r="Z1055">
            <v>1.6061066977942559E-2</v>
          </cell>
          <cell r="AA1055">
            <v>1.5856721240615983E-2</v>
          </cell>
          <cell r="AB1055">
            <v>1.5654664245750953E-2</v>
          </cell>
          <cell r="AC1055">
            <v>1.5454895993347756E-2</v>
          </cell>
          <cell r="AD1055">
            <v>1.5288046256600855E-2</v>
          </cell>
          <cell r="AE1055">
            <v>1.5124134913892664E-2</v>
          </cell>
          <cell r="AF1055">
            <v>1.4963161965223104E-2</v>
          </cell>
          <cell r="AG1055">
            <v>1.4805127410592207E-2</v>
          </cell>
          <cell r="AH1055">
            <v>1.4650031250000011E-2</v>
          </cell>
        </row>
        <row r="1056">
          <cell r="B1056" t="str">
            <v>Bio-oil (HTL) - Feedstock-related emissions - WTT - Global - ton CH4/ton fuel</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row>
        <row r="1057">
          <cell r="B1057" t="str">
            <v>Bio-oil (HTL) - Feedstock-related emissions - WTT - Global - ton N2O/ton fuel</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row>
        <row r="1058">
          <cell r="B1058" t="str">
            <v>e-hydrogen (compressed) - Feedstock WTT emissions (carbon dioxide) - Global - ton CO2/ton feedstock</v>
          </cell>
          <cell r="G1058">
            <v>0.29069928460653066</v>
          </cell>
          <cell r="H1058">
            <v>0.29036818709700268</v>
          </cell>
          <cell r="I1058">
            <v>0.28998000000000135</v>
          </cell>
          <cell r="J1058">
            <v>0.28940257594781538</v>
          </cell>
          <cell r="K1058">
            <v>0.28872889145140718</v>
          </cell>
          <cell r="L1058">
            <v>0.28795894651077331</v>
          </cell>
          <cell r="M1058">
            <v>0.28709274112591998</v>
          </cell>
          <cell r="N1058">
            <v>0.28613027529683954</v>
          </cell>
          <cell r="O1058">
            <v>0.28427104178214713</v>
          </cell>
          <cell r="P1058">
            <v>0.28231892358064925</v>
          </cell>
          <cell r="Q1058">
            <v>0.28027392069234119</v>
          </cell>
          <cell r="R1058">
            <v>0.27813603311721824</v>
          </cell>
          <cell r="S1058">
            <v>0.27590526085528855</v>
          </cell>
          <cell r="T1058">
            <v>0.27357819323199506</v>
          </cell>
          <cell r="U1058">
            <v>0.27118673282278699</v>
          </cell>
          <cell r="V1058">
            <v>0.26873087962767428</v>
          </cell>
          <cell r="W1058">
            <v>0.26621063364664344</v>
          </cell>
          <cell r="X1058">
            <v>0.26362599487969779</v>
          </cell>
          <cell r="Y1058">
            <v>0.26028322332369702</v>
          </cell>
          <cell r="Z1058">
            <v>0.25697707164708095</v>
          </cell>
          <cell r="AA1058">
            <v>0.25370753984985572</v>
          </cell>
          <cell r="AB1058">
            <v>0.25047462793201525</v>
          </cell>
          <cell r="AC1058">
            <v>0.2472783358935641</v>
          </cell>
          <cell r="AD1058">
            <v>0.24460874010561368</v>
          </cell>
          <cell r="AE1058">
            <v>0.24198615862228262</v>
          </cell>
          <cell r="AF1058">
            <v>0.23941059144356966</v>
          </cell>
          <cell r="AG1058">
            <v>0.23688203856947532</v>
          </cell>
          <cell r="AH1058">
            <v>0.23440050000000018</v>
          </cell>
        </row>
        <row r="1059">
          <cell r="B1059" t="str">
            <v>e-hydrogen (compressed) - Feedstock WTT emissions (methane) - Global - ton CH4/ton feedstock</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row>
        <row r="1060">
          <cell r="B1060" t="str">
            <v>e-hydrogen (compressed) - Feedstock WTT emissions (nitrous oxide) - Global - ton N2O/ton feedstock</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row>
        <row r="1061">
          <cell r="B1061" t="str">
            <v>Wood - Feedstock WTT emissions (carbon dioxide) - Global - ton CO2/ton feedstock</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row>
        <row r="1062">
          <cell r="B1062" t="str">
            <v>Wood - Feedstock WTT emissions (methane) - Global - ton CH4/ton feedstock</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row>
        <row r="1063">
          <cell r="B1063" t="str">
            <v>Wood - Feedstock WTT emissions (nitrous oxide) - Global - ton N2O/ton feedstock</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row>
        <row r="1064">
          <cell r="B1064" t="str">
            <v>Waste - Feedstock WTT emissions (carbon dioxide) - Global - ton CO2/ton feedstock</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row>
        <row r="1065">
          <cell r="B1065" t="str">
            <v>Waste - Feedstock WTT emissions (methane) - Global - ton CH4/ton feedstock</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row>
        <row r="1066">
          <cell r="B1066" t="str">
            <v>Waste - Feedstock WTT emissions (nitrous oxide) - Global - ton N2O/ton feedstock</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row>
        <row r="1067">
          <cell r="B1067" t="str">
            <v>Bio-oil (HTL) - Conversion H2 -&gt; Bio-diesel (HTL) - Global - ton H2/ton diesel</v>
          </cell>
          <cell r="G1067">
            <v>0</v>
          </cell>
          <cell r="H1067">
            <v>0</v>
          </cell>
          <cell r="I1067">
            <v>0</v>
          </cell>
          <cell r="J1067">
            <v>0</v>
          </cell>
          <cell r="K1067">
            <v>0</v>
          </cell>
          <cell r="L1067">
            <v>0</v>
          </cell>
          <cell r="M1067">
            <v>0</v>
          </cell>
          <cell r="N1067">
            <v>6.25E-2</v>
          </cell>
          <cell r="O1067">
            <v>6.25E-2</v>
          </cell>
          <cell r="P1067">
            <v>6.25E-2</v>
          </cell>
          <cell r="Q1067">
            <v>6.25E-2</v>
          </cell>
          <cell r="R1067">
            <v>6.25E-2</v>
          </cell>
          <cell r="S1067">
            <v>6.25E-2</v>
          </cell>
          <cell r="T1067">
            <v>6.25E-2</v>
          </cell>
          <cell r="U1067">
            <v>6.25E-2</v>
          </cell>
          <cell r="V1067">
            <v>6.25E-2</v>
          </cell>
          <cell r="W1067">
            <v>6.25E-2</v>
          </cell>
          <cell r="X1067">
            <v>6.25E-2</v>
          </cell>
          <cell r="Y1067">
            <v>6.25E-2</v>
          </cell>
          <cell r="Z1067">
            <v>6.25E-2</v>
          </cell>
          <cell r="AA1067">
            <v>6.25E-2</v>
          </cell>
          <cell r="AB1067">
            <v>6.25E-2</v>
          </cell>
          <cell r="AC1067">
            <v>6.25E-2</v>
          </cell>
          <cell r="AD1067">
            <v>6.25E-2</v>
          </cell>
          <cell r="AE1067">
            <v>6.25E-2</v>
          </cell>
          <cell r="AF1067">
            <v>6.25E-2</v>
          </cell>
          <cell r="AG1067">
            <v>6.25E-2</v>
          </cell>
          <cell r="AH1067">
            <v>6.25E-2</v>
          </cell>
        </row>
        <row r="1068">
          <cell r="B1068" t="str">
            <v>Bio-oil (HTL) - Conversion wood -&gt; Bio-diesel (HTL) - Global - ton wood/ton diesel</v>
          </cell>
          <cell r="G1068">
            <v>0</v>
          </cell>
          <cell r="H1068">
            <v>0</v>
          </cell>
          <cell r="I1068">
            <v>0</v>
          </cell>
          <cell r="J1068">
            <v>0</v>
          </cell>
          <cell r="K1068">
            <v>0</v>
          </cell>
          <cell r="L1068">
            <v>0</v>
          </cell>
          <cell r="M1068">
            <v>0</v>
          </cell>
          <cell r="N1068">
            <v>1.0820736198452918</v>
          </cell>
          <cell r="O1068">
            <v>1.0820736198452918</v>
          </cell>
          <cell r="P1068">
            <v>1.0820736198452918</v>
          </cell>
          <cell r="Q1068">
            <v>1.0820736198452918</v>
          </cell>
          <cell r="R1068">
            <v>1.0820736198452918</v>
          </cell>
          <cell r="S1068">
            <v>1.0820736198452918</v>
          </cell>
          <cell r="T1068">
            <v>1.0820736198452918</v>
          </cell>
          <cell r="U1068">
            <v>1.0820736198452918</v>
          </cell>
          <cell r="V1068">
            <v>1.0820736198452918</v>
          </cell>
          <cell r="W1068">
            <v>1.0820736198452918</v>
          </cell>
          <cell r="X1068">
            <v>1.0820736198452918</v>
          </cell>
          <cell r="Y1068">
            <v>1.0820736198452918</v>
          </cell>
          <cell r="Z1068">
            <v>1.0820736198452918</v>
          </cell>
          <cell r="AA1068">
            <v>1.0820736198452918</v>
          </cell>
          <cell r="AB1068">
            <v>1.0820736198452918</v>
          </cell>
          <cell r="AC1068">
            <v>1.0820736198452918</v>
          </cell>
          <cell r="AD1068">
            <v>1.0820736198452918</v>
          </cell>
          <cell r="AE1068">
            <v>1.0820736198452918</v>
          </cell>
          <cell r="AF1068">
            <v>1.0820736198452918</v>
          </cell>
          <cell r="AG1068">
            <v>1.0820736198452918</v>
          </cell>
          <cell r="AH1068">
            <v>1.0820736198452918</v>
          </cell>
        </row>
        <row r="1069">
          <cell r="B1069" t="str">
            <v>Bio-oil (HTL) - Conversion waste -&gt; Bio-diesel (HTL) - Global - ton waste/ton diesel</v>
          </cell>
          <cell r="G1069">
            <v>0</v>
          </cell>
          <cell r="H1069">
            <v>0</v>
          </cell>
          <cell r="I1069">
            <v>0</v>
          </cell>
          <cell r="J1069">
            <v>0</v>
          </cell>
          <cell r="K1069">
            <v>0</v>
          </cell>
          <cell r="L1069">
            <v>0</v>
          </cell>
          <cell r="M1069">
            <v>0</v>
          </cell>
          <cell r="N1069">
            <v>3.1249999999999991</v>
          </cell>
          <cell r="O1069">
            <v>3.1249999999999991</v>
          </cell>
          <cell r="P1069">
            <v>3.1249999999999991</v>
          </cell>
          <cell r="Q1069">
            <v>3.1249999999999991</v>
          </cell>
          <cell r="R1069">
            <v>3.1249999999999991</v>
          </cell>
          <cell r="S1069">
            <v>3.1249999999999991</v>
          </cell>
          <cell r="T1069">
            <v>3.1249999999999991</v>
          </cell>
          <cell r="U1069">
            <v>3.1249999999999991</v>
          </cell>
          <cell r="V1069">
            <v>3.1249999999999991</v>
          </cell>
          <cell r="W1069">
            <v>3.1249999999999991</v>
          </cell>
          <cell r="X1069">
            <v>3.1249999999999991</v>
          </cell>
          <cell r="Y1069">
            <v>3.1249999999999991</v>
          </cell>
          <cell r="Z1069">
            <v>3.1249999999999991</v>
          </cell>
          <cell r="AA1069">
            <v>3.1249999999999991</v>
          </cell>
          <cell r="AB1069">
            <v>3.1249999999999991</v>
          </cell>
          <cell r="AC1069">
            <v>3.1249999999999991</v>
          </cell>
          <cell r="AD1069">
            <v>3.1249999999999991</v>
          </cell>
          <cell r="AE1069">
            <v>3.1249999999999991</v>
          </cell>
          <cell r="AF1069">
            <v>3.1249999999999991</v>
          </cell>
          <cell r="AG1069">
            <v>3.1249999999999991</v>
          </cell>
          <cell r="AH1069">
            <v>3.1249999999999991</v>
          </cell>
        </row>
        <row r="1070">
          <cell r="B1070" t="str">
            <v/>
          </cell>
        </row>
        <row r="1071">
          <cell r="B1071" t="str">
            <v>Bio-oil (Pyrolysis) - Item - Region - Unit</v>
          </cell>
          <cell r="G1071">
            <v>2023</v>
          </cell>
          <cell r="H1071">
            <v>2024</v>
          </cell>
          <cell r="I1071">
            <v>2025</v>
          </cell>
          <cell r="J1071">
            <v>2026</v>
          </cell>
          <cell r="K1071">
            <v>2027</v>
          </cell>
          <cell r="L1071">
            <v>2028</v>
          </cell>
          <cell r="M1071">
            <v>2029</v>
          </cell>
          <cell r="N1071">
            <v>2030</v>
          </cell>
          <cell r="O1071">
            <v>2031</v>
          </cell>
          <cell r="P1071">
            <v>2032</v>
          </cell>
          <cell r="Q1071">
            <v>2033</v>
          </cell>
          <cell r="R1071">
            <v>2034</v>
          </cell>
          <cell r="S1071">
            <v>2035</v>
          </cell>
          <cell r="T1071">
            <v>2036</v>
          </cell>
          <cell r="U1071">
            <v>2037</v>
          </cell>
          <cell r="V1071">
            <v>2038</v>
          </cell>
          <cell r="W1071">
            <v>2039</v>
          </cell>
          <cell r="X1071">
            <v>2040</v>
          </cell>
          <cell r="Y1071">
            <v>2041</v>
          </cell>
          <cell r="Z1071">
            <v>2042</v>
          </cell>
          <cell r="AA1071">
            <v>2043</v>
          </cell>
          <cell r="AB1071">
            <v>2044</v>
          </cell>
          <cell r="AC1071">
            <v>2045</v>
          </cell>
          <cell r="AD1071">
            <v>2046</v>
          </cell>
          <cell r="AE1071">
            <v>2047</v>
          </cell>
          <cell r="AF1071">
            <v>2048</v>
          </cell>
          <cell r="AG1071">
            <v>2049</v>
          </cell>
          <cell r="AH1071">
            <v>2050</v>
          </cell>
        </row>
        <row r="1072">
          <cell r="B1072" t="str">
            <v/>
          </cell>
        </row>
        <row r="1073">
          <cell r="B1073" t="str">
            <v>Bio-oil (Pyrolysis) - Total emissions - WTW - GWP100 - Global - ton CO2eq/ton fuel</v>
          </cell>
          <cell r="G1073">
            <v>0</v>
          </cell>
          <cell r="H1073">
            <v>0</v>
          </cell>
          <cell r="I1073">
            <v>0</v>
          </cell>
          <cell r="J1073">
            <v>0</v>
          </cell>
          <cell r="K1073">
            <v>0</v>
          </cell>
          <cell r="L1073">
            <v>0</v>
          </cell>
          <cell r="M1073">
            <v>0</v>
          </cell>
          <cell r="N1073">
            <v>8.9660675298087744E-2</v>
          </cell>
          <cell r="O1073">
            <v>8.9418974941177731E-2</v>
          </cell>
          <cell r="P1073">
            <v>8.9165199574983006E-2</v>
          </cell>
          <cell r="Q1073">
            <v>8.8899349199502958E-2</v>
          </cell>
          <cell r="R1073">
            <v>8.8621423814736977E-2</v>
          </cell>
          <cell r="S1073">
            <v>8.8331423420686117E-2</v>
          </cell>
          <cell r="T1073">
            <v>8.8028904629657956E-2</v>
          </cell>
          <cell r="U1073">
            <v>8.7718014776460906E-2</v>
          </cell>
          <cell r="V1073">
            <v>8.7398753861096259E-2</v>
          </cell>
          <cell r="W1073">
            <v>8.7071121883562252E-2</v>
          </cell>
          <cell r="X1073">
            <v>8.6735118843859316E-2</v>
          </cell>
          <cell r="Y1073">
            <v>8.6300558541579225E-2</v>
          </cell>
          <cell r="Z1073">
            <v>8.5870758823619137E-2</v>
          </cell>
          <cell r="AA1073">
            <v>8.5445719689979854E-2</v>
          </cell>
          <cell r="AB1073">
            <v>8.5025441140660588E-2</v>
          </cell>
          <cell r="AC1073">
            <v>8.4609923175661933E-2</v>
          </cell>
          <cell r="AD1073">
            <v>8.4262875723228381E-2</v>
          </cell>
          <cell r="AE1073">
            <v>8.3921940130395348E-2</v>
          </cell>
          <cell r="AF1073">
            <v>8.3587116397162653E-2</v>
          </cell>
          <cell r="AG1073">
            <v>8.3258404523530394E-2</v>
          </cell>
          <cell r="AH1073">
            <v>8.2935804509498626E-2</v>
          </cell>
        </row>
        <row r="1074">
          <cell r="B1074" t="str">
            <v>Bio-oil (Pyrolysis) - Total emissions - WTW - GWP20 - Global - ton CO2eq/ton fuel</v>
          </cell>
          <cell r="G1074">
            <v>0</v>
          </cell>
          <cell r="H1074">
            <v>0</v>
          </cell>
          <cell r="I1074">
            <v>0</v>
          </cell>
          <cell r="J1074">
            <v>0</v>
          </cell>
          <cell r="K1074">
            <v>0</v>
          </cell>
          <cell r="L1074">
            <v>0</v>
          </cell>
          <cell r="M1074">
            <v>0</v>
          </cell>
          <cell r="N1074">
            <v>8.9760675298087733E-2</v>
          </cell>
          <cell r="O1074">
            <v>8.951897494117772E-2</v>
          </cell>
          <cell r="P1074">
            <v>8.9265199574982995E-2</v>
          </cell>
          <cell r="Q1074">
            <v>8.8999349199502947E-2</v>
          </cell>
          <cell r="R1074">
            <v>8.8721423814736966E-2</v>
          </cell>
          <cell r="S1074">
            <v>8.8431423420686106E-2</v>
          </cell>
          <cell r="T1074">
            <v>8.8128904629657959E-2</v>
          </cell>
          <cell r="U1074">
            <v>8.7818014776460909E-2</v>
          </cell>
          <cell r="V1074">
            <v>8.7498753861096262E-2</v>
          </cell>
          <cell r="W1074">
            <v>8.7171121883562241E-2</v>
          </cell>
          <cell r="X1074">
            <v>8.6835118843859305E-2</v>
          </cell>
          <cell r="Y1074">
            <v>8.6400558541579214E-2</v>
          </cell>
          <cell r="Z1074">
            <v>8.5970758823619126E-2</v>
          </cell>
          <cell r="AA1074">
            <v>8.5545719689979843E-2</v>
          </cell>
          <cell r="AB1074">
            <v>8.512544114066059E-2</v>
          </cell>
          <cell r="AC1074">
            <v>8.4709923175661936E-2</v>
          </cell>
          <cell r="AD1074">
            <v>8.436287572322837E-2</v>
          </cell>
          <cell r="AE1074">
            <v>8.4021940130395351E-2</v>
          </cell>
          <cell r="AF1074">
            <v>8.3687116397162656E-2</v>
          </cell>
          <cell r="AG1074">
            <v>8.3358404523530383E-2</v>
          </cell>
          <cell r="AH1074">
            <v>8.3035804509498629E-2</v>
          </cell>
        </row>
        <row r="1075">
          <cell r="B1075" t="str">
            <v>Bio-oil (Pyrolysis) - Total emissions - TTW - GWP100 - Global - ton CO2eq/ton fuel</v>
          </cell>
          <cell r="G1075">
            <v>0</v>
          </cell>
          <cell r="H1075">
            <v>0</v>
          </cell>
          <cell r="I1075">
            <v>0</v>
          </cell>
          <cell r="J1075">
            <v>0</v>
          </cell>
          <cell r="K1075">
            <v>0</v>
          </cell>
          <cell r="L1075">
            <v>0</v>
          </cell>
          <cell r="M1075">
            <v>0</v>
          </cell>
          <cell r="N1075">
            <v>4.9330000000000006E-2</v>
          </cell>
          <cell r="O1075">
            <v>4.9330000000000006E-2</v>
          </cell>
          <cell r="P1075">
            <v>4.9330000000000006E-2</v>
          </cell>
          <cell r="Q1075">
            <v>4.9330000000000006E-2</v>
          </cell>
          <cell r="R1075">
            <v>4.9330000000000006E-2</v>
          </cell>
          <cell r="S1075">
            <v>4.9330000000000006E-2</v>
          </cell>
          <cell r="T1075">
            <v>4.9330000000000006E-2</v>
          </cell>
          <cell r="U1075">
            <v>4.9330000000000006E-2</v>
          </cell>
          <cell r="V1075">
            <v>4.9330000000000006E-2</v>
          </cell>
          <cell r="W1075">
            <v>4.9330000000000006E-2</v>
          </cell>
          <cell r="X1075">
            <v>4.9330000000000006E-2</v>
          </cell>
          <cell r="Y1075">
            <v>4.9330000000000006E-2</v>
          </cell>
          <cell r="Z1075">
            <v>4.9330000000000006E-2</v>
          </cell>
          <cell r="AA1075">
            <v>4.9330000000000006E-2</v>
          </cell>
          <cell r="AB1075">
            <v>4.9330000000000006E-2</v>
          </cell>
          <cell r="AC1075">
            <v>4.9330000000000006E-2</v>
          </cell>
          <cell r="AD1075">
            <v>4.9330000000000006E-2</v>
          </cell>
          <cell r="AE1075">
            <v>4.9330000000000006E-2</v>
          </cell>
          <cell r="AF1075">
            <v>4.9330000000000006E-2</v>
          </cell>
          <cell r="AG1075">
            <v>4.9330000000000006E-2</v>
          </cell>
          <cell r="AH1075">
            <v>4.9330000000000006E-2</v>
          </cell>
        </row>
        <row r="1076">
          <cell r="B1076" t="str">
            <v>Bio-oil (Pyrolysis) - Total emissions - TTW - GWP20 - Global - ton CO2eq/ton fuel</v>
          </cell>
          <cell r="G1076">
            <v>0</v>
          </cell>
          <cell r="H1076">
            <v>0</v>
          </cell>
          <cell r="I1076">
            <v>0</v>
          </cell>
          <cell r="J1076">
            <v>0</v>
          </cell>
          <cell r="K1076">
            <v>0</v>
          </cell>
          <cell r="L1076">
            <v>0</v>
          </cell>
          <cell r="M1076">
            <v>0</v>
          </cell>
          <cell r="N1076">
            <v>4.9430000000000002E-2</v>
          </cell>
          <cell r="O1076">
            <v>4.9430000000000002E-2</v>
          </cell>
          <cell r="P1076">
            <v>4.9430000000000002E-2</v>
          </cell>
          <cell r="Q1076">
            <v>4.9430000000000002E-2</v>
          </cell>
          <cell r="R1076">
            <v>4.9430000000000002E-2</v>
          </cell>
          <cell r="S1076">
            <v>4.9430000000000002E-2</v>
          </cell>
          <cell r="T1076">
            <v>4.9430000000000002E-2</v>
          </cell>
          <cell r="U1076">
            <v>4.9430000000000002E-2</v>
          </cell>
          <cell r="V1076">
            <v>4.9430000000000002E-2</v>
          </cell>
          <cell r="W1076">
            <v>4.9430000000000002E-2</v>
          </cell>
          <cell r="X1076">
            <v>4.9430000000000002E-2</v>
          </cell>
          <cell r="Y1076">
            <v>4.9430000000000002E-2</v>
          </cell>
          <cell r="Z1076">
            <v>4.9430000000000002E-2</v>
          </cell>
          <cell r="AA1076">
            <v>4.9430000000000002E-2</v>
          </cell>
          <cell r="AB1076">
            <v>4.9430000000000002E-2</v>
          </cell>
          <cell r="AC1076">
            <v>4.9430000000000002E-2</v>
          </cell>
          <cell r="AD1076">
            <v>4.9430000000000002E-2</v>
          </cell>
          <cell r="AE1076">
            <v>4.9430000000000002E-2</v>
          </cell>
          <cell r="AF1076">
            <v>4.9430000000000002E-2</v>
          </cell>
          <cell r="AG1076">
            <v>4.9430000000000002E-2</v>
          </cell>
          <cell r="AH1076">
            <v>4.9430000000000002E-2</v>
          </cell>
        </row>
        <row r="1077">
          <cell r="B1077" t="str">
            <v>Bio-oil (Pyrolysis) - Total emissions - WTT - GWP100 - Global - ton CO2eq/ton fuel</v>
          </cell>
          <cell r="G1077">
            <v>0</v>
          </cell>
          <cell r="H1077">
            <v>0</v>
          </cell>
          <cell r="I1077">
            <v>0</v>
          </cell>
          <cell r="J1077">
            <v>0</v>
          </cell>
          <cell r="K1077">
            <v>0</v>
          </cell>
          <cell r="L1077">
            <v>0</v>
          </cell>
          <cell r="M1077">
            <v>0</v>
          </cell>
          <cell r="N1077">
            <v>4.0330675298087738E-2</v>
          </cell>
          <cell r="O1077">
            <v>4.0088974941177725E-2</v>
          </cell>
          <cell r="P1077">
            <v>3.9835199574983E-2</v>
          </cell>
          <cell r="Q1077">
            <v>3.9569349199502953E-2</v>
          </cell>
          <cell r="R1077">
            <v>3.9291423814736971E-2</v>
          </cell>
          <cell r="S1077">
            <v>3.9001423420686111E-2</v>
          </cell>
          <cell r="T1077">
            <v>3.8698904629657957E-2</v>
          </cell>
          <cell r="U1077">
            <v>3.8388014776460908E-2</v>
          </cell>
          <cell r="V1077">
            <v>3.8068753861096254E-2</v>
          </cell>
          <cell r="W1077">
            <v>3.7741121883562247E-2</v>
          </cell>
          <cell r="X1077">
            <v>3.740511884385931E-2</v>
          </cell>
          <cell r="Y1077">
            <v>3.6970558541579213E-2</v>
          </cell>
          <cell r="Z1077">
            <v>3.6540758823619124E-2</v>
          </cell>
          <cell r="AA1077">
            <v>3.6115719689979842E-2</v>
          </cell>
          <cell r="AB1077">
            <v>3.5695441140660582E-2</v>
          </cell>
          <cell r="AC1077">
            <v>3.5279923175661934E-2</v>
          </cell>
          <cell r="AD1077">
            <v>3.4932875723228375E-2</v>
          </cell>
          <cell r="AE1077">
            <v>3.4591940130395342E-2</v>
          </cell>
          <cell r="AF1077">
            <v>3.4257116397162654E-2</v>
          </cell>
          <cell r="AG1077">
            <v>3.3928404523530388E-2</v>
          </cell>
          <cell r="AH1077">
            <v>3.360580450949862E-2</v>
          </cell>
        </row>
        <row r="1078">
          <cell r="B1078" t="str">
            <v>Bio-oil (Pyrolysis) - Total emissions - WTT - GWP20 - Global - ton CO2eq/ton fuel</v>
          </cell>
          <cell r="G1078">
            <v>0</v>
          </cell>
          <cell r="H1078">
            <v>0</v>
          </cell>
          <cell r="I1078">
            <v>0</v>
          </cell>
          <cell r="J1078">
            <v>0</v>
          </cell>
          <cell r="K1078">
            <v>0</v>
          </cell>
          <cell r="L1078">
            <v>0</v>
          </cell>
          <cell r="M1078">
            <v>0</v>
          </cell>
          <cell r="N1078">
            <v>4.0330675298087738E-2</v>
          </cell>
          <cell r="O1078">
            <v>4.0088974941177725E-2</v>
          </cell>
          <cell r="P1078">
            <v>3.9835199574983E-2</v>
          </cell>
          <cell r="Q1078">
            <v>3.9569349199502953E-2</v>
          </cell>
          <cell r="R1078">
            <v>3.9291423814736971E-2</v>
          </cell>
          <cell r="S1078">
            <v>3.9001423420686111E-2</v>
          </cell>
          <cell r="T1078">
            <v>3.8698904629657957E-2</v>
          </cell>
          <cell r="U1078">
            <v>3.8388014776460908E-2</v>
          </cell>
          <cell r="V1078">
            <v>3.8068753861096254E-2</v>
          </cell>
          <cell r="W1078">
            <v>3.7741121883562247E-2</v>
          </cell>
          <cell r="X1078">
            <v>3.740511884385931E-2</v>
          </cell>
          <cell r="Y1078">
            <v>3.6970558541579213E-2</v>
          </cell>
          <cell r="Z1078">
            <v>3.6540758823619124E-2</v>
          </cell>
          <cell r="AA1078">
            <v>3.6115719689979842E-2</v>
          </cell>
          <cell r="AB1078">
            <v>3.5695441140660582E-2</v>
          </cell>
          <cell r="AC1078">
            <v>3.5279923175661934E-2</v>
          </cell>
          <cell r="AD1078">
            <v>3.4932875723228375E-2</v>
          </cell>
          <cell r="AE1078">
            <v>3.4591940130395342E-2</v>
          </cell>
          <cell r="AF1078">
            <v>3.4257116397162654E-2</v>
          </cell>
          <cell r="AG1078">
            <v>3.3928404523530388E-2</v>
          </cell>
          <cell r="AH1078">
            <v>3.360580450949862E-2</v>
          </cell>
        </row>
        <row r="1079">
          <cell r="B1079" t="str">
            <v>General - Methane - GWP100 - Global - ton CO2eq/ton fuel</v>
          </cell>
          <cell r="G1079">
            <v>29</v>
          </cell>
          <cell r="H1079">
            <v>29</v>
          </cell>
          <cell r="I1079">
            <v>29</v>
          </cell>
          <cell r="J1079">
            <v>29</v>
          </cell>
          <cell r="K1079">
            <v>29</v>
          </cell>
          <cell r="L1079">
            <v>29</v>
          </cell>
          <cell r="M1079">
            <v>29</v>
          </cell>
          <cell r="N1079">
            <v>29</v>
          </cell>
          <cell r="O1079">
            <v>29</v>
          </cell>
          <cell r="P1079">
            <v>29</v>
          </cell>
          <cell r="Q1079">
            <v>29</v>
          </cell>
          <cell r="R1079">
            <v>29</v>
          </cell>
          <cell r="S1079">
            <v>29</v>
          </cell>
          <cell r="T1079">
            <v>29</v>
          </cell>
          <cell r="U1079">
            <v>29</v>
          </cell>
          <cell r="V1079">
            <v>29</v>
          </cell>
          <cell r="W1079">
            <v>29</v>
          </cell>
          <cell r="X1079">
            <v>29</v>
          </cell>
          <cell r="Y1079">
            <v>29</v>
          </cell>
          <cell r="Z1079">
            <v>29</v>
          </cell>
          <cell r="AA1079">
            <v>29</v>
          </cell>
          <cell r="AB1079">
            <v>29</v>
          </cell>
          <cell r="AC1079">
            <v>29</v>
          </cell>
          <cell r="AD1079">
            <v>29</v>
          </cell>
          <cell r="AE1079">
            <v>29</v>
          </cell>
          <cell r="AF1079">
            <v>29</v>
          </cell>
          <cell r="AG1079">
            <v>29</v>
          </cell>
          <cell r="AH1079">
            <v>29</v>
          </cell>
        </row>
        <row r="1080">
          <cell r="B1080" t="str">
            <v>General - Methane - GWP20 - Global - ton CO2eq/ton fuel</v>
          </cell>
          <cell r="G1080">
            <v>85</v>
          </cell>
          <cell r="H1080">
            <v>85</v>
          </cell>
          <cell r="I1080">
            <v>85</v>
          </cell>
          <cell r="J1080">
            <v>85</v>
          </cell>
          <cell r="K1080">
            <v>85</v>
          </cell>
          <cell r="L1080">
            <v>85</v>
          </cell>
          <cell r="M1080">
            <v>85</v>
          </cell>
          <cell r="N1080">
            <v>85</v>
          </cell>
          <cell r="O1080">
            <v>85</v>
          </cell>
          <cell r="P1080">
            <v>85</v>
          </cell>
          <cell r="Q1080">
            <v>85</v>
          </cell>
          <cell r="R1080">
            <v>85</v>
          </cell>
          <cell r="S1080">
            <v>85</v>
          </cell>
          <cell r="T1080">
            <v>85</v>
          </cell>
          <cell r="U1080">
            <v>85</v>
          </cell>
          <cell r="V1080">
            <v>85</v>
          </cell>
          <cell r="W1080">
            <v>85</v>
          </cell>
          <cell r="X1080">
            <v>85</v>
          </cell>
          <cell r="Y1080">
            <v>85</v>
          </cell>
          <cell r="Z1080">
            <v>85</v>
          </cell>
          <cell r="AA1080">
            <v>85</v>
          </cell>
          <cell r="AB1080">
            <v>85</v>
          </cell>
          <cell r="AC1080">
            <v>85</v>
          </cell>
          <cell r="AD1080">
            <v>85</v>
          </cell>
          <cell r="AE1080">
            <v>85</v>
          </cell>
          <cell r="AF1080">
            <v>85</v>
          </cell>
          <cell r="AG1080">
            <v>85</v>
          </cell>
          <cell r="AH1080">
            <v>85</v>
          </cell>
        </row>
        <row r="1081">
          <cell r="B1081" t="str">
            <v>General - Nitrous oxide - GWP100 - Global - ton CO2eq/ton fuel</v>
          </cell>
          <cell r="G1081">
            <v>266</v>
          </cell>
          <cell r="H1081">
            <v>266</v>
          </cell>
          <cell r="I1081">
            <v>266</v>
          </cell>
          <cell r="J1081">
            <v>266</v>
          </cell>
          <cell r="K1081">
            <v>266</v>
          </cell>
          <cell r="L1081">
            <v>266</v>
          </cell>
          <cell r="M1081">
            <v>266</v>
          </cell>
          <cell r="N1081">
            <v>266</v>
          </cell>
          <cell r="O1081">
            <v>266</v>
          </cell>
          <cell r="P1081">
            <v>266</v>
          </cell>
          <cell r="Q1081">
            <v>266</v>
          </cell>
          <cell r="R1081">
            <v>266</v>
          </cell>
          <cell r="S1081">
            <v>266</v>
          </cell>
          <cell r="T1081">
            <v>266</v>
          </cell>
          <cell r="U1081">
            <v>266</v>
          </cell>
          <cell r="V1081">
            <v>266</v>
          </cell>
          <cell r="W1081">
            <v>266</v>
          </cell>
          <cell r="X1081">
            <v>266</v>
          </cell>
          <cell r="Y1081">
            <v>266</v>
          </cell>
          <cell r="Z1081">
            <v>266</v>
          </cell>
          <cell r="AA1081">
            <v>266</v>
          </cell>
          <cell r="AB1081">
            <v>266</v>
          </cell>
          <cell r="AC1081">
            <v>266</v>
          </cell>
          <cell r="AD1081">
            <v>266</v>
          </cell>
          <cell r="AE1081">
            <v>266</v>
          </cell>
          <cell r="AF1081">
            <v>266</v>
          </cell>
          <cell r="AG1081">
            <v>266</v>
          </cell>
          <cell r="AH1081">
            <v>266</v>
          </cell>
        </row>
        <row r="1082">
          <cell r="B1082" t="str">
            <v>General - Nitrous oxide - GWP20 - Global - ton CO2eq/ton fuel</v>
          </cell>
          <cell r="G1082">
            <v>251</v>
          </cell>
          <cell r="H1082">
            <v>251</v>
          </cell>
          <cell r="I1082">
            <v>251</v>
          </cell>
          <cell r="J1082">
            <v>251</v>
          </cell>
          <cell r="K1082">
            <v>251</v>
          </cell>
          <cell r="L1082">
            <v>251</v>
          </cell>
          <cell r="M1082">
            <v>251</v>
          </cell>
          <cell r="N1082">
            <v>251</v>
          </cell>
          <cell r="O1082">
            <v>251</v>
          </cell>
          <cell r="P1082">
            <v>251</v>
          </cell>
          <cell r="Q1082">
            <v>251</v>
          </cell>
          <cell r="R1082">
            <v>251</v>
          </cell>
          <cell r="S1082">
            <v>251</v>
          </cell>
          <cell r="T1082">
            <v>251</v>
          </cell>
          <cell r="U1082">
            <v>251</v>
          </cell>
          <cell r="V1082">
            <v>251</v>
          </cell>
          <cell r="W1082">
            <v>251</v>
          </cell>
          <cell r="X1082">
            <v>251</v>
          </cell>
          <cell r="Y1082">
            <v>251</v>
          </cell>
          <cell r="Z1082">
            <v>251</v>
          </cell>
          <cell r="AA1082">
            <v>251</v>
          </cell>
          <cell r="AB1082">
            <v>251</v>
          </cell>
          <cell r="AC1082">
            <v>251</v>
          </cell>
          <cell r="AD1082">
            <v>251</v>
          </cell>
          <cell r="AE1082">
            <v>251</v>
          </cell>
          <cell r="AF1082">
            <v>251</v>
          </cell>
          <cell r="AG1082">
            <v>251</v>
          </cell>
          <cell r="AH1082">
            <v>251</v>
          </cell>
        </row>
        <row r="1083">
          <cell r="B1083" t="str">
            <v/>
          </cell>
        </row>
        <row r="1084">
          <cell r="B1084" t="str">
            <v>Bio-oil (Pyrolysis) - Total emissions - WTW - Global - ton CO2/ton fuel</v>
          </cell>
          <cell r="G1084">
            <v>0</v>
          </cell>
          <cell r="H1084">
            <v>0</v>
          </cell>
          <cell r="I1084">
            <v>0</v>
          </cell>
          <cell r="J1084">
            <v>0</v>
          </cell>
          <cell r="K1084">
            <v>0</v>
          </cell>
          <cell r="L1084">
            <v>0</v>
          </cell>
          <cell r="M1084">
            <v>0</v>
          </cell>
          <cell r="N1084">
            <v>4.0330675298087738E-2</v>
          </cell>
          <cell r="O1084">
            <v>4.0088974941177725E-2</v>
          </cell>
          <cell r="P1084">
            <v>3.9835199574983E-2</v>
          </cell>
          <cell r="Q1084">
            <v>3.9569349199502953E-2</v>
          </cell>
          <cell r="R1084">
            <v>3.9291423814736971E-2</v>
          </cell>
          <cell r="S1084">
            <v>3.9001423420686111E-2</v>
          </cell>
          <cell r="T1084">
            <v>3.8698904629657957E-2</v>
          </cell>
          <cell r="U1084">
            <v>3.8388014776460908E-2</v>
          </cell>
          <cell r="V1084">
            <v>3.8068753861096254E-2</v>
          </cell>
          <cell r="W1084">
            <v>3.7741121883562247E-2</v>
          </cell>
          <cell r="X1084">
            <v>3.740511884385931E-2</v>
          </cell>
          <cell r="Y1084">
            <v>3.6970558541579213E-2</v>
          </cell>
          <cell r="Z1084">
            <v>3.6540758823619124E-2</v>
          </cell>
          <cell r="AA1084">
            <v>3.6115719689979842E-2</v>
          </cell>
          <cell r="AB1084">
            <v>3.5695441140660582E-2</v>
          </cell>
          <cell r="AC1084">
            <v>3.5279923175661934E-2</v>
          </cell>
          <cell r="AD1084">
            <v>3.4932875723228375E-2</v>
          </cell>
          <cell r="AE1084">
            <v>3.4591940130395342E-2</v>
          </cell>
          <cell r="AF1084">
            <v>3.4257116397162654E-2</v>
          </cell>
          <cell r="AG1084">
            <v>3.3928404523530388E-2</v>
          </cell>
          <cell r="AH1084">
            <v>3.360580450949862E-2</v>
          </cell>
        </row>
        <row r="1085">
          <cell r="B1085" t="str">
            <v>Bio-oil (Pyrolysis) - Total emissions - WTW - Global - ton CH4/ton fuel</v>
          </cell>
          <cell r="G1085">
            <v>0</v>
          </cell>
          <cell r="H1085">
            <v>0</v>
          </cell>
          <cell r="I1085">
            <v>0</v>
          </cell>
          <cell r="J1085">
            <v>0</v>
          </cell>
          <cell r="K1085">
            <v>0</v>
          </cell>
          <cell r="L1085">
            <v>0</v>
          </cell>
          <cell r="M1085">
            <v>0</v>
          </cell>
          <cell r="N1085">
            <v>5.0000000000000002E-5</v>
          </cell>
          <cell r="O1085">
            <v>5.0000000000000002E-5</v>
          </cell>
          <cell r="P1085">
            <v>5.0000000000000002E-5</v>
          </cell>
          <cell r="Q1085">
            <v>5.0000000000000002E-5</v>
          </cell>
          <cell r="R1085">
            <v>5.0000000000000002E-5</v>
          </cell>
          <cell r="S1085">
            <v>5.0000000000000002E-5</v>
          </cell>
          <cell r="T1085">
            <v>5.0000000000000002E-5</v>
          </cell>
          <cell r="U1085">
            <v>5.0000000000000002E-5</v>
          </cell>
          <cell r="V1085">
            <v>5.0000000000000002E-5</v>
          </cell>
          <cell r="W1085">
            <v>5.0000000000000002E-5</v>
          </cell>
          <cell r="X1085">
            <v>5.0000000000000002E-5</v>
          </cell>
          <cell r="Y1085">
            <v>5.0000000000000002E-5</v>
          </cell>
          <cell r="Z1085">
            <v>5.0000000000000002E-5</v>
          </cell>
          <cell r="AA1085">
            <v>5.0000000000000002E-5</v>
          </cell>
          <cell r="AB1085">
            <v>5.0000000000000002E-5</v>
          </cell>
          <cell r="AC1085">
            <v>5.0000000000000002E-5</v>
          </cell>
          <cell r="AD1085">
            <v>5.0000000000000002E-5</v>
          </cell>
          <cell r="AE1085">
            <v>5.0000000000000002E-5</v>
          </cell>
          <cell r="AF1085">
            <v>5.0000000000000002E-5</v>
          </cell>
          <cell r="AG1085">
            <v>5.0000000000000002E-5</v>
          </cell>
          <cell r="AH1085">
            <v>5.0000000000000002E-5</v>
          </cell>
        </row>
        <row r="1086">
          <cell r="B1086" t="str">
            <v>Bio-oil (Pyrolysis) - Total emissions - WTW - Global - ton N2O/ton fuel</v>
          </cell>
          <cell r="G1086">
            <v>0</v>
          </cell>
          <cell r="H1086">
            <v>0</v>
          </cell>
          <cell r="I1086">
            <v>0</v>
          </cell>
          <cell r="J1086">
            <v>0</v>
          </cell>
          <cell r="K1086">
            <v>0</v>
          </cell>
          <cell r="L1086">
            <v>0</v>
          </cell>
          <cell r="M1086">
            <v>0</v>
          </cell>
          <cell r="N1086">
            <v>1.8000000000000001E-4</v>
          </cell>
          <cell r="O1086">
            <v>1.8000000000000001E-4</v>
          </cell>
          <cell r="P1086">
            <v>1.8000000000000001E-4</v>
          </cell>
          <cell r="Q1086">
            <v>1.8000000000000001E-4</v>
          </cell>
          <cell r="R1086">
            <v>1.8000000000000001E-4</v>
          </cell>
          <cell r="S1086">
            <v>1.8000000000000001E-4</v>
          </cell>
          <cell r="T1086">
            <v>1.8000000000000001E-4</v>
          </cell>
          <cell r="U1086">
            <v>1.8000000000000001E-4</v>
          </cell>
          <cell r="V1086">
            <v>1.8000000000000001E-4</v>
          </cell>
          <cell r="W1086">
            <v>1.8000000000000001E-4</v>
          </cell>
          <cell r="X1086">
            <v>1.8000000000000001E-4</v>
          </cell>
          <cell r="Y1086">
            <v>1.8000000000000001E-4</v>
          </cell>
          <cell r="Z1086">
            <v>1.8000000000000001E-4</v>
          </cell>
          <cell r="AA1086">
            <v>1.8000000000000001E-4</v>
          </cell>
          <cell r="AB1086">
            <v>1.8000000000000001E-4</v>
          </cell>
          <cell r="AC1086">
            <v>1.8000000000000001E-4</v>
          </cell>
          <cell r="AD1086">
            <v>1.8000000000000001E-4</v>
          </cell>
          <cell r="AE1086">
            <v>1.8000000000000001E-4</v>
          </cell>
          <cell r="AF1086">
            <v>1.8000000000000001E-4</v>
          </cell>
          <cell r="AG1086">
            <v>1.8000000000000001E-4</v>
          </cell>
          <cell r="AH1086">
            <v>1.8000000000000001E-4</v>
          </cell>
        </row>
        <row r="1087">
          <cell r="B1087" t="str">
            <v/>
          </cell>
        </row>
        <row r="1088">
          <cell r="B1088" t="str">
            <v>Bio-oil (Pyrolysis) - Total emissions - TTW - Global - ton CO2/ton fuel</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row>
        <row r="1089">
          <cell r="B1089" t="str">
            <v>Bio-oil (Pyrolysis) - Total emissions - TTW - Global - ton CH4/ton fuel</v>
          </cell>
          <cell r="G1089">
            <v>0</v>
          </cell>
          <cell r="H1089">
            <v>0</v>
          </cell>
          <cell r="I1089">
            <v>0</v>
          </cell>
          <cell r="J1089">
            <v>0</v>
          </cell>
          <cell r="K1089">
            <v>0</v>
          </cell>
          <cell r="L1089">
            <v>0</v>
          </cell>
          <cell r="M1089">
            <v>0</v>
          </cell>
          <cell r="N1089">
            <v>5.0000000000000002E-5</v>
          </cell>
          <cell r="O1089">
            <v>5.0000000000000002E-5</v>
          </cell>
          <cell r="P1089">
            <v>5.0000000000000002E-5</v>
          </cell>
          <cell r="Q1089">
            <v>5.0000000000000002E-5</v>
          </cell>
          <cell r="R1089">
            <v>5.0000000000000002E-5</v>
          </cell>
          <cell r="S1089">
            <v>5.0000000000000002E-5</v>
          </cell>
          <cell r="T1089">
            <v>5.0000000000000002E-5</v>
          </cell>
          <cell r="U1089">
            <v>5.0000000000000002E-5</v>
          </cell>
          <cell r="V1089">
            <v>5.0000000000000002E-5</v>
          </cell>
          <cell r="W1089">
            <v>5.0000000000000002E-5</v>
          </cell>
          <cell r="X1089">
            <v>5.0000000000000002E-5</v>
          </cell>
          <cell r="Y1089">
            <v>5.0000000000000002E-5</v>
          </cell>
          <cell r="Z1089">
            <v>5.0000000000000002E-5</v>
          </cell>
          <cell r="AA1089">
            <v>5.0000000000000002E-5</v>
          </cell>
          <cell r="AB1089">
            <v>5.0000000000000002E-5</v>
          </cell>
          <cell r="AC1089">
            <v>5.0000000000000002E-5</v>
          </cell>
          <cell r="AD1089">
            <v>5.0000000000000002E-5</v>
          </cell>
          <cell r="AE1089">
            <v>5.0000000000000002E-5</v>
          </cell>
          <cell r="AF1089">
            <v>5.0000000000000002E-5</v>
          </cell>
          <cell r="AG1089">
            <v>5.0000000000000002E-5</v>
          </cell>
          <cell r="AH1089">
            <v>5.0000000000000002E-5</v>
          </cell>
        </row>
        <row r="1090">
          <cell r="B1090" t="str">
            <v>Bio-oil (Pyrolysis) - Total emissions - TTW - Global - ton N2O/ton fuel</v>
          </cell>
          <cell r="G1090">
            <v>0</v>
          </cell>
          <cell r="H1090">
            <v>0</v>
          </cell>
          <cell r="I1090">
            <v>0</v>
          </cell>
          <cell r="J1090">
            <v>0</v>
          </cell>
          <cell r="K1090">
            <v>0</v>
          </cell>
          <cell r="L1090">
            <v>0</v>
          </cell>
          <cell r="M1090">
            <v>0</v>
          </cell>
          <cell r="N1090">
            <v>1.8000000000000001E-4</v>
          </cell>
          <cell r="O1090">
            <v>1.8000000000000001E-4</v>
          </cell>
          <cell r="P1090">
            <v>1.8000000000000001E-4</v>
          </cell>
          <cell r="Q1090">
            <v>1.8000000000000001E-4</v>
          </cell>
          <cell r="R1090">
            <v>1.8000000000000001E-4</v>
          </cell>
          <cell r="S1090">
            <v>1.8000000000000001E-4</v>
          </cell>
          <cell r="T1090">
            <v>1.8000000000000001E-4</v>
          </cell>
          <cell r="U1090">
            <v>1.8000000000000001E-4</v>
          </cell>
          <cell r="V1090">
            <v>1.8000000000000001E-4</v>
          </cell>
          <cell r="W1090">
            <v>1.8000000000000001E-4</v>
          </cell>
          <cell r="X1090">
            <v>1.8000000000000001E-4</v>
          </cell>
          <cell r="Y1090">
            <v>1.8000000000000001E-4</v>
          </cell>
          <cell r="Z1090">
            <v>1.8000000000000001E-4</v>
          </cell>
          <cell r="AA1090">
            <v>1.8000000000000001E-4</v>
          </cell>
          <cell r="AB1090">
            <v>1.8000000000000001E-4</v>
          </cell>
          <cell r="AC1090">
            <v>1.8000000000000001E-4</v>
          </cell>
          <cell r="AD1090">
            <v>1.8000000000000001E-4</v>
          </cell>
          <cell r="AE1090">
            <v>1.8000000000000001E-4</v>
          </cell>
          <cell r="AF1090">
            <v>1.8000000000000001E-4</v>
          </cell>
          <cell r="AG1090">
            <v>1.8000000000000001E-4</v>
          </cell>
          <cell r="AH1090">
            <v>1.8000000000000001E-4</v>
          </cell>
        </row>
        <row r="1091">
          <cell r="B1091" t="str">
            <v>Bio-oil (Pyrolysis) - TTW emissions (carbon dioxide) - Global - ton CO2/ton fuel</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row>
        <row r="1092">
          <cell r="B1092" t="str">
            <v>Bio-oil (Pyrolysis) - TTW emissions (methane) - Global - ton CH4/ton fuel</v>
          </cell>
          <cell r="G1092">
            <v>0</v>
          </cell>
          <cell r="H1092">
            <v>0</v>
          </cell>
          <cell r="I1092">
            <v>0</v>
          </cell>
          <cell r="J1092">
            <v>0</v>
          </cell>
          <cell r="K1092">
            <v>0</v>
          </cell>
          <cell r="L1092">
            <v>0</v>
          </cell>
          <cell r="M1092">
            <v>0</v>
          </cell>
          <cell r="N1092">
            <v>5.0000000000000002E-5</v>
          </cell>
          <cell r="O1092">
            <v>5.0000000000000002E-5</v>
          </cell>
          <cell r="P1092">
            <v>5.0000000000000002E-5</v>
          </cell>
          <cell r="Q1092">
            <v>5.0000000000000002E-5</v>
          </cell>
          <cell r="R1092">
            <v>5.0000000000000002E-5</v>
          </cell>
          <cell r="S1092">
            <v>5.0000000000000002E-5</v>
          </cell>
          <cell r="T1092">
            <v>5.0000000000000002E-5</v>
          </cell>
          <cell r="U1092">
            <v>5.0000000000000002E-5</v>
          </cell>
          <cell r="V1092">
            <v>5.0000000000000002E-5</v>
          </cell>
          <cell r="W1092">
            <v>5.0000000000000002E-5</v>
          </cell>
          <cell r="X1092">
            <v>5.0000000000000002E-5</v>
          </cell>
          <cell r="Y1092">
            <v>5.0000000000000002E-5</v>
          </cell>
          <cell r="Z1092">
            <v>5.0000000000000002E-5</v>
          </cell>
          <cell r="AA1092">
            <v>5.0000000000000002E-5</v>
          </cell>
          <cell r="AB1092">
            <v>5.0000000000000002E-5</v>
          </cell>
          <cell r="AC1092">
            <v>5.0000000000000002E-5</v>
          </cell>
          <cell r="AD1092">
            <v>5.0000000000000002E-5</v>
          </cell>
          <cell r="AE1092">
            <v>5.0000000000000002E-5</v>
          </cell>
          <cell r="AF1092">
            <v>5.0000000000000002E-5</v>
          </cell>
          <cell r="AG1092">
            <v>5.0000000000000002E-5</v>
          </cell>
          <cell r="AH1092">
            <v>5.0000000000000002E-5</v>
          </cell>
        </row>
        <row r="1093">
          <cell r="B1093" t="str">
            <v>Bio-oil (Pyrolysis) - TTW emissions (nitrous oxide) - Global - ton N2O/ton fuel</v>
          </cell>
          <cell r="G1093">
            <v>0</v>
          </cell>
          <cell r="H1093">
            <v>0</v>
          </cell>
          <cell r="I1093">
            <v>0</v>
          </cell>
          <cell r="J1093">
            <v>0</v>
          </cell>
          <cell r="K1093">
            <v>0</v>
          </cell>
          <cell r="L1093">
            <v>0</v>
          </cell>
          <cell r="M1093">
            <v>0</v>
          </cell>
          <cell r="N1093">
            <v>1.8000000000000001E-4</v>
          </cell>
          <cell r="O1093">
            <v>1.8000000000000001E-4</v>
          </cell>
          <cell r="P1093">
            <v>1.8000000000000001E-4</v>
          </cell>
          <cell r="Q1093">
            <v>1.8000000000000001E-4</v>
          </cell>
          <cell r="R1093">
            <v>1.8000000000000001E-4</v>
          </cell>
          <cell r="S1093">
            <v>1.8000000000000001E-4</v>
          </cell>
          <cell r="T1093">
            <v>1.8000000000000001E-4</v>
          </cell>
          <cell r="U1093">
            <v>1.8000000000000001E-4</v>
          </cell>
          <cell r="V1093">
            <v>1.8000000000000001E-4</v>
          </cell>
          <cell r="W1093">
            <v>1.8000000000000001E-4</v>
          </cell>
          <cell r="X1093">
            <v>1.8000000000000001E-4</v>
          </cell>
          <cell r="Y1093">
            <v>1.8000000000000001E-4</v>
          </cell>
          <cell r="Z1093">
            <v>1.8000000000000001E-4</v>
          </cell>
          <cell r="AA1093">
            <v>1.8000000000000001E-4</v>
          </cell>
          <cell r="AB1093">
            <v>1.8000000000000001E-4</v>
          </cell>
          <cell r="AC1093">
            <v>1.8000000000000001E-4</v>
          </cell>
          <cell r="AD1093">
            <v>1.8000000000000001E-4</v>
          </cell>
          <cell r="AE1093">
            <v>1.8000000000000001E-4</v>
          </cell>
          <cell r="AF1093">
            <v>1.8000000000000001E-4</v>
          </cell>
          <cell r="AG1093">
            <v>1.8000000000000001E-4</v>
          </cell>
          <cell r="AH1093">
            <v>1.8000000000000001E-4</v>
          </cell>
        </row>
        <row r="1094">
          <cell r="B1094" t="str">
            <v/>
          </cell>
        </row>
        <row r="1095">
          <cell r="B1095" t="str">
            <v>Bio-oil (Pyrolysis) - Total emissions - WTT - Global - ton CO2eq/ton fuel</v>
          </cell>
          <cell r="G1095">
            <v>0</v>
          </cell>
          <cell r="H1095">
            <v>0</v>
          </cell>
          <cell r="I1095">
            <v>0</v>
          </cell>
          <cell r="J1095">
            <v>0</v>
          </cell>
          <cell r="K1095">
            <v>0</v>
          </cell>
          <cell r="L1095">
            <v>0</v>
          </cell>
          <cell r="M1095">
            <v>0</v>
          </cell>
          <cell r="N1095">
            <v>4.0330675298087738E-2</v>
          </cell>
          <cell r="O1095">
            <v>4.0088974941177725E-2</v>
          </cell>
          <cell r="P1095">
            <v>3.9835199574983E-2</v>
          </cell>
          <cell r="Q1095">
            <v>3.9569349199502953E-2</v>
          </cell>
          <cell r="R1095">
            <v>3.9291423814736971E-2</v>
          </cell>
          <cell r="S1095">
            <v>3.9001423420686111E-2</v>
          </cell>
          <cell r="T1095">
            <v>3.8698904629657957E-2</v>
          </cell>
          <cell r="U1095">
            <v>3.8388014776460908E-2</v>
          </cell>
          <cell r="V1095">
            <v>3.8068753861096254E-2</v>
          </cell>
          <cell r="W1095">
            <v>3.7741121883562247E-2</v>
          </cell>
          <cell r="X1095">
            <v>3.740511884385931E-2</v>
          </cell>
          <cell r="Y1095">
            <v>3.6970558541579213E-2</v>
          </cell>
          <cell r="Z1095">
            <v>3.6540758823619124E-2</v>
          </cell>
          <cell r="AA1095">
            <v>3.6115719689979842E-2</v>
          </cell>
          <cell r="AB1095">
            <v>3.5695441140660582E-2</v>
          </cell>
          <cell r="AC1095">
            <v>3.5279923175661934E-2</v>
          </cell>
          <cell r="AD1095">
            <v>3.4932875723228375E-2</v>
          </cell>
          <cell r="AE1095">
            <v>3.4591940130395342E-2</v>
          </cell>
          <cell r="AF1095">
            <v>3.4257116397162654E-2</v>
          </cell>
          <cell r="AG1095">
            <v>3.3928404523530388E-2</v>
          </cell>
          <cell r="AH1095">
            <v>3.360580450949862E-2</v>
          </cell>
        </row>
        <row r="1096">
          <cell r="B1096" t="str">
            <v>Bio-oil (Pyrolysis) - Total emissions - WTT - Global - ton CO2eq/ton fuel</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row>
        <row r="1097">
          <cell r="B1097" t="str">
            <v>Bio-oil (Pyrolysis) - Total emissions - WTT - Global - ton CO2eq/ton fuel</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row>
        <row r="1098">
          <cell r="B1098" t="str">
            <v/>
          </cell>
        </row>
        <row r="1099">
          <cell r="B1099" t="str">
            <v>Bio-oil (Pyrolysis) - Process-related emissions - WTT - Global - ton CO2/ton fuel</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row>
        <row r="1100">
          <cell r="B1100" t="str">
            <v>Bio-oil (Pyrolysis) - Process-related emissions - WTT - Global - ton CH4/ton fuel</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row>
        <row r="1101">
          <cell r="B1101" t="str">
            <v>Bio-oil (Pyrolysis) - Process-related emissions - WTT - Global - ton N2O/ton fuel</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row>
        <row r="1102">
          <cell r="B1102" t="str">
            <v>Bio-oil (Pyrolysis) - Process WTT emissions (carbon dioxide) - Global - ton CO2/ton fuel</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row>
        <row r="1103">
          <cell r="B1103" t="str">
            <v>Bio-oil (Pyrolysis) - Process WTT emissions (methane) - Global - ton CH4/ton fuel</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row>
        <row r="1104">
          <cell r="B1104" t="str">
            <v>Bio-oil (Pyrolysis) - Process WTT emissions (nitrous oxide) - Global - ton N2O/ton fuel</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row>
        <row r="1105">
          <cell r="B1105" t="str">
            <v/>
          </cell>
        </row>
        <row r="1106">
          <cell r="B1106" t="str">
            <v>Bio-oil (Pyrolysis) - Energy-related emissions - WTT - Global - ton CO2/ton fuel</v>
          </cell>
          <cell r="G1106">
            <v>0</v>
          </cell>
          <cell r="H1106">
            <v>0</v>
          </cell>
          <cell r="I1106">
            <v>0</v>
          </cell>
          <cell r="J1106">
            <v>0</v>
          </cell>
          <cell r="K1106">
            <v>0</v>
          </cell>
          <cell r="L1106">
            <v>0</v>
          </cell>
          <cell r="M1106">
            <v>0</v>
          </cell>
          <cell r="N1106">
            <v>3.1337395094985978E-3</v>
          </cell>
          <cell r="O1106">
            <v>3.1337395094985978E-3</v>
          </cell>
          <cell r="P1106">
            <v>3.1337395094985978E-3</v>
          </cell>
          <cell r="Q1106">
            <v>3.1337395094985978E-3</v>
          </cell>
          <cell r="R1106">
            <v>3.1337395094985978E-3</v>
          </cell>
          <cell r="S1106">
            <v>3.1337395094985978E-3</v>
          </cell>
          <cell r="T1106">
            <v>3.1337395094985978E-3</v>
          </cell>
          <cell r="U1106">
            <v>3.1337395094985978E-3</v>
          </cell>
          <cell r="V1106">
            <v>3.1337395094985978E-3</v>
          </cell>
          <cell r="W1106">
            <v>3.1337395094985978E-3</v>
          </cell>
          <cell r="X1106">
            <v>3.1337395094985978E-3</v>
          </cell>
          <cell r="Y1106">
            <v>3.1337395094985978E-3</v>
          </cell>
          <cell r="Z1106">
            <v>3.1337395094985978E-3</v>
          </cell>
          <cell r="AA1106">
            <v>3.1337395094985978E-3</v>
          </cell>
          <cell r="AB1106">
            <v>3.1337395094985978E-3</v>
          </cell>
          <cell r="AC1106">
            <v>3.1337395094985978E-3</v>
          </cell>
          <cell r="AD1106">
            <v>3.1337395094985978E-3</v>
          </cell>
          <cell r="AE1106">
            <v>3.1337395094985978E-3</v>
          </cell>
          <cell r="AF1106">
            <v>3.1337395094985978E-3</v>
          </cell>
          <cell r="AG1106">
            <v>3.1337395094985978E-3</v>
          </cell>
          <cell r="AH1106">
            <v>3.1337395094985978E-3</v>
          </cell>
        </row>
        <row r="1107">
          <cell r="B1107" t="str">
            <v>Bio-oil (Pyrolysis) - Energy-related emissions - WTT - Global - ton CH4/ton fuel</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row>
        <row r="1108">
          <cell r="B1108" t="str">
            <v>Bio-oil (Pyrolysis) - Energy-related emissions - WTT - Global - ton N2O/ton fuel</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row>
        <row r="1109">
          <cell r="B1109" t="str">
            <v>Renewable electricity - Feedstock WTT emissions (carbon dioxide) - Global - ton CO2/MWh</v>
          </cell>
          <cell r="G1109">
            <v>5.3699999999999998E-3</v>
          </cell>
          <cell r="H1109">
            <v>5.3699999999999998E-3</v>
          </cell>
          <cell r="I1109">
            <v>5.3699999999999998E-3</v>
          </cell>
          <cell r="J1109">
            <v>5.3699999999999998E-3</v>
          </cell>
          <cell r="K1109">
            <v>5.3699999999999998E-3</v>
          </cell>
          <cell r="L1109">
            <v>5.3699999999999998E-3</v>
          </cell>
          <cell r="M1109">
            <v>5.3699999999999998E-3</v>
          </cell>
          <cell r="N1109">
            <v>5.3699999999999998E-3</v>
          </cell>
          <cell r="O1109">
            <v>5.3699999999999998E-3</v>
          </cell>
          <cell r="P1109">
            <v>5.3699999999999998E-3</v>
          </cell>
          <cell r="Q1109">
            <v>5.3699999999999998E-3</v>
          </cell>
          <cell r="R1109">
            <v>5.3699999999999998E-3</v>
          </cell>
          <cell r="S1109">
            <v>5.3699999999999998E-3</v>
          </cell>
          <cell r="T1109">
            <v>5.3699999999999998E-3</v>
          </cell>
          <cell r="U1109">
            <v>5.3699999999999998E-3</v>
          </cell>
          <cell r="V1109">
            <v>5.3699999999999998E-3</v>
          </cell>
          <cell r="W1109">
            <v>5.3699999999999998E-3</v>
          </cell>
          <cell r="X1109">
            <v>5.3699999999999998E-3</v>
          </cell>
          <cell r="Y1109">
            <v>5.3699999999999998E-3</v>
          </cell>
          <cell r="Z1109">
            <v>5.3699999999999998E-3</v>
          </cell>
          <cell r="AA1109">
            <v>5.3699999999999998E-3</v>
          </cell>
          <cell r="AB1109">
            <v>5.3699999999999998E-3</v>
          </cell>
          <cell r="AC1109">
            <v>5.3699999999999998E-3</v>
          </cell>
          <cell r="AD1109">
            <v>5.3699999999999998E-3</v>
          </cell>
          <cell r="AE1109">
            <v>5.3699999999999998E-3</v>
          </cell>
          <cell r="AF1109">
            <v>5.3699999999999998E-3</v>
          </cell>
          <cell r="AG1109">
            <v>5.3699999999999998E-3</v>
          </cell>
          <cell r="AH1109">
            <v>5.3699999999999998E-3</v>
          </cell>
        </row>
        <row r="1110">
          <cell r="B1110" t="str">
            <v>Renewable electricity - Feedstock WTT emissions (methane) - Global - ton CH4/MWh</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row>
        <row r="1111">
          <cell r="B1111" t="str">
            <v>Renewable electricity - Feedstock WTT emissions (nitrous oxide) - Global - ton N2O/MWh</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row>
        <row r="1112">
          <cell r="B1112" t="str">
            <v>Bio-oil (Pyrolysis) - Energy demand - Global - MWh/ton fuel</v>
          </cell>
          <cell r="G1112">
            <v>0</v>
          </cell>
          <cell r="H1112">
            <v>0</v>
          </cell>
          <cell r="I1112">
            <v>0</v>
          </cell>
          <cell r="J1112">
            <v>0</v>
          </cell>
          <cell r="K1112">
            <v>0</v>
          </cell>
          <cell r="L1112">
            <v>0</v>
          </cell>
          <cell r="M1112">
            <v>0</v>
          </cell>
          <cell r="N1112">
            <v>0.58356415446901266</v>
          </cell>
          <cell r="O1112">
            <v>0.58356415446901266</v>
          </cell>
          <cell r="P1112">
            <v>0.58356415446901266</v>
          </cell>
          <cell r="Q1112">
            <v>0.58356415446901266</v>
          </cell>
          <cell r="R1112">
            <v>0.58356415446901266</v>
          </cell>
          <cell r="S1112">
            <v>0.58356415446901266</v>
          </cell>
          <cell r="T1112">
            <v>0.58356415446901266</v>
          </cell>
          <cell r="U1112">
            <v>0.58356415446901266</v>
          </cell>
          <cell r="V1112">
            <v>0.58356415446901266</v>
          </cell>
          <cell r="W1112">
            <v>0.58356415446901266</v>
          </cell>
          <cell r="X1112">
            <v>0.58356415446901266</v>
          </cell>
          <cell r="Y1112">
            <v>0.58356415446901266</v>
          </cell>
          <cell r="Z1112">
            <v>0.58356415446901266</v>
          </cell>
          <cell r="AA1112">
            <v>0.58356415446901266</v>
          </cell>
          <cell r="AB1112">
            <v>0.58356415446901266</v>
          </cell>
          <cell r="AC1112">
            <v>0.58356415446901266</v>
          </cell>
          <cell r="AD1112">
            <v>0.58356415446901266</v>
          </cell>
          <cell r="AE1112">
            <v>0.58356415446901266</v>
          </cell>
          <cell r="AF1112">
            <v>0.58356415446901266</v>
          </cell>
          <cell r="AG1112">
            <v>0.58356415446901266</v>
          </cell>
          <cell r="AH1112">
            <v>0.58356415446901266</v>
          </cell>
        </row>
        <row r="1113">
          <cell r="B1113" t="str">
            <v/>
          </cell>
        </row>
        <row r="1114">
          <cell r="B1114" t="str">
            <v>Bio-oil (Pyrolysis) - Feedstock-related emissions - WTT - Global - ton CO2/ton fuel</v>
          </cell>
          <cell r="G1114">
            <v>0</v>
          </cell>
          <cell r="H1114">
            <v>0</v>
          </cell>
          <cell r="I1114">
            <v>0</v>
          </cell>
          <cell r="J1114">
            <v>0</v>
          </cell>
          <cell r="K1114">
            <v>0</v>
          </cell>
          <cell r="L1114">
            <v>0</v>
          </cell>
          <cell r="M1114">
            <v>0</v>
          </cell>
          <cell r="N1114">
            <v>3.7196935788589139E-2</v>
          </cell>
          <cell r="O1114">
            <v>3.6955235431679126E-2</v>
          </cell>
          <cell r="P1114">
            <v>3.6701460065484401E-2</v>
          </cell>
          <cell r="Q1114">
            <v>3.6435609690004353E-2</v>
          </cell>
          <cell r="R1114">
            <v>3.6157684305238372E-2</v>
          </cell>
          <cell r="S1114">
            <v>3.5867683911187512E-2</v>
          </cell>
          <cell r="T1114">
            <v>3.5565165120159357E-2</v>
          </cell>
          <cell r="U1114">
            <v>3.5254275266962308E-2</v>
          </cell>
          <cell r="V1114">
            <v>3.4935014351597654E-2</v>
          </cell>
          <cell r="W1114">
            <v>3.4607382374063647E-2</v>
          </cell>
          <cell r="X1114">
            <v>3.427137933436071E-2</v>
          </cell>
          <cell r="Y1114">
            <v>3.3836819032080613E-2</v>
          </cell>
          <cell r="Z1114">
            <v>3.3407019314120524E-2</v>
          </cell>
          <cell r="AA1114">
            <v>3.2981980180481242E-2</v>
          </cell>
          <cell r="AB1114">
            <v>3.2561701631161982E-2</v>
          </cell>
          <cell r="AC1114">
            <v>3.2146183666163335E-2</v>
          </cell>
          <cell r="AD1114">
            <v>3.1799136213729776E-2</v>
          </cell>
          <cell r="AE1114">
            <v>3.1458200620896742E-2</v>
          </cell>
          <cell r="AF1114">
            <v>3.1123376887664058E-2</v>
          </cell>
          <cell r="AG1114">
            <v>3.0794665014031792E-2</v>
          </cell>
          <cell r="AH1114">
            <v>3.0472065000000024E-2</v>
          </cell>
        </row>
        <row r="1115">
          <cell r="B1115" t="str">
            <v>Bio-oil (Pyrolysis) - Feedstock-related emissions - WTT - Global - ton CH4/ton fuel</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row>
        <row r="1116">
          <cell r="B1116" t="str">
            <v>Bio-oil (Pyrolysis) - Feedstock-related emissions - WTT - Global - ton N2O/ton fuel</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row>
        <row r="1117">
          <cell r="B1117" t="str">
            <v>e-hydrogen (compressed) - Feedstock WTT emissions (carbon dioxide) - Global - ton CO2/ton feedstock</v>
          </cell>
          <cell r="G1117">
            <v>0.29069928460653066</v>
          </cell>
          <cell r="H1117">
            <v>0.29036818709700268</v>
          </cell>
          <cell r="I1117">
            <v>0.28998000000000135</v>
          </cell>
          <cell r="J1117">
            <v>0.28940257594781538</v>
          </cell>
          <cell r="K1117">
            <v>0.28872889145140718</v>
          </cell>
          <cell r="L1117">
            <v>0.28795894651077331</v>
          </cell>
          <cell r="M1117">
            <v>0.28709274112591998</v>
          </cell>
          <cell r="N1117">
            <v>0.28613027529683954</v>
          </cell>
          <cell r="O1117">
            <v>0.28427104178214713</v>
          </cell>
          <cell r="P1117">
            <v>0.28231892358064925</v>
          </cell>
          <cell r="Q1117">
            <v>0.28027392069234119</v>
          </cell>
          <cell r="R1117">
            <v>0.27813603311721824</v>
          </cell>
          <cell r="S1117">
            <v>0.27590526085528855</v>
          </cell>
          <cell r="T1117">
            <v>0.27357819323199506</v>
          </cell>
          <cell r="U1117">
            <v>0.27118673282278699</v>
          </cell>
          <cell r="V1117">
            <v>0.26873087962767428</v>
          </cell>
          <cell r="W1117">
            <v>0.26621063364664344</v>
          </cell>
          <cell r="X1117">
            <v>0.26362599487969779</v>
          </cell>
          <cell r="Y1117">
            <v>0.26028322332369702</v>
          </cell>
          <cell r="Z1117">
            <v>0.25697707164708095</v>
          </cell>
          <cell r="AA1117">
            <v>0.25370753984985572</v>
          </cell>
          <cell r="AB1117">
            <v>0.25047462793201525</v>
          </cell>
          <cell r="AC1117">
            <v>0.2472783358935641</v>
          </cell>
          <cell r="AD1117">
            <v>0.24460874010561368</v>
          </cell>
          <cell r="AE1117">
            <v>0.24198615862228262</v>
          </cell>
          <cell r="AF1117">
            <v>0.23941059144356966</v>
          </cell>
          <cell r="AG1117">
            <v>0.23688203856947532</v>
          </cell>
          <cell r="AH1117">
            <v>0.23440050000000018</v>
          </cell>
        </row>
        <row r="1118">
          <cell r="B1118" t="str">
            <v>e-hydrogen (compressed) - Feedstock WTT emissions (methane) - Global - ton CH4/ton feedstock</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row>
        <row r="1119">
          <cell r="B1119" t="str">
            <v>e-hydrogen (compressed) - Feedstock WTT emissions (nitrous oxide) - Global - ton N2O/ton feedstock</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row>
        <row r="1120">
          <cell r="B1120" t="str">
            <v>Wood - Feedstock WTT emissions (carbon dioxide) - Global - ton CO2/ton feedstock</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row>
        <row r="1121">
          <cell r="B1121" t="str">
            <v>Wood - Feedstock WTT emissions (methane) - Global - ton CH4/ton feedstock</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row>
        <row r="1122">
          <cell r="B1122" t="str">
            <v>Wood - Feedstock WTT emissions (nitrous oxide) - Global - ton N2O/ton feedstock</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row>
        <row r="1123">
          <cell r="B1123" t="str">
            <v>Bio-oil (Pyrolysis) - Conversion H2 -&gt; Bio-diesel (Pyrolysis) - Global - ton H2/ton diesel</v>
          </cell>
          <cell r="G1123">
            <v>0</v>
          </cell>
          <cell r="H1123">
            <v>0</v>
          </cell>
          <cell r="I1123">
            <v>0</v>
          </cell>
          <cell r="J1123">
            <v>0</v>
          </cell>
          <cell r="K1123">
            <v>0</v>
          </cell>
          <cell r="L1123">
            <v>0</v>
          </cell>
          <cell r="M1123">
            <v>0</v>
          </cell>
          <cell r="N1123">
            <v>0.13</v>
          </cell>
          <cell r="O1123">
            <v>0.13</v>
          </cell>
          <cell r="P1123">
            <v>0.13</v>
          </cell>
          <cell r="Q1123">
            <v>0.13</v>
          </cell>
          <cell r="R1123">
            <v>0.13</v>
          </cell>
          <cell r="S1123">
            <v>0.13</v>
          </cell>
          <cell r="T1123">
            <v>0.13</v>
          </cell>
          <cell r="U1123">
            <v>0.13</v>
          </cell>
          <cell r="V1123">
            <v>0.13</v>
          </cell>
          <cell r="W1123">
            <v>0.13</v>
          </cell>
          <cell r="X1123">
            <v>0.13</v>
          </cell>
          <cell r="Y1123">
            <v>0.13</v>
          </cell>
          <cell r="Z1123">
            <v>0.13</v>
          </cell>
          <cell r="AA1123">
            <v>0.13</v>
          </cell>
          <cell r="AB1123">
            <v>0.13</v>
          </cell>
          <cell r="AC1123">
            <v>0.13</v>
          </cell>
          <cell r="AD1123">
            <v>0.13</v>
          </cell>
          <cell r="AE1123">
            <v>0.13</v>
          </cell>
          <cell r="AF1123">
            <v>0.13</v>
          </cell>
          <cell r="AG1123">
            <v>0.13</v>
          </cell>
          <cell r="AH1123">
            <v>0.13</v>
          </cell>
        </row>
        <row r="1124">
          <cell r="B1124" t="str">
            <v>Bio-oil (Pyrolysis) - Conversion wood -&gt; Bio-diesel (Pyrolysis) - Global - ton wood/ton diesel</v>
          </cell>
          <cell r="G1124">
            <v>0</v>
          </cell>
          <cell r="H1124">
            <v>0</v>
          </cell>
          <cell r="I1124">
            <v>0</v>
          </cell>
          <cell r="J1124">
            <v>0</v>
          </cell>
          <cell r="K1124">
            <v>0</v>
          </cell>
          <cell r="L1124">
            <v>0</v>
          </cell>
          <cell r="M1124">
            <v>0</v>
          </cell>
          <cell r="N1124">
            <v>3.9398113559955168</v>
          </cell>
          <cell r="O1124">
            <v>3.9398113559955168</v>
          </cell>
          <cell r="P1124">
            <v>3.9398113559955168</v>
          </cell>
          <cell r="Q1124">
            <v>3.9398113559955168</v>
          </cell>
          <cell r="R1124">
            <v>3.9398113559955168</v>
          </cell>
          <cell r="S1124">
            <v>3.9398113559955168</v>
          </cell>
          <cell r="T1124">
            <v>3.9398113559955168</v>
          </cell>
          <cell r="U1124">
            <v>3.9398113559955168</v>
          </cell>
          <cell r="V1124">
            <v>3.9398113559955168</v>
          </cell>
          <cell r="W1124">
            <v>3.9398113559955168</v>
          </cell>
          <cell r="X1124">
            <v>3.9398113559955168</v>
          </cell>
          <cell r="Y1124">
            <v>3.9398113559955168</v>
          </cell>
          <cell r="Z1124">
            <v>3.9398113559955168</v>
          </cell>
          <cell r="AA1124">
            <v>3.9398113559955168</v>
          </cell>
          <cell r="AB1124">
            <v>3.9398113559955168</v>
          </cell>
          <cell r="AC1124">
            <v>3.9398113559955168</v>
          </cell>
          <cell r="AD1124">
            <v>3.9398113559955168</v>
          </cell>
          <cell r="AE1124">
            <v>3.9398113559955168</v>
          </cell>
          <cell r="AF1124">
            <v>3.9398113559955168</v>
          </cell>
          <cell r="AG1124">
            <v>3.9398113559955168</v>
          </cell>
          <cell r="AH1124">
            <v>3.9398113559955168</v>
          </cell>
        </row>
        <row r="1125">
          <cell r="B1125" t="str">
            <v/>
          </cell>
        </row>
        <row r="1126">
          <cell r="B1126" t="str">
            <v>LNG - Item - Region - Unit</v>
          </cell>
          <cell r="G1126">
            <v>2023</v>
          </cell>
          <cell r="H1126">
            <v>2024</v>
          </cell>
          <cell r="I1126">
            <v>2025</v>
          </cell>
          <cell r="J1126">
            <v>2026</v>
          </cell>
          <cell r="K1126">
            <v>2027</v>
          </cell>
          <cell r="L1126">
            <v>2028</v>
          </cell>
          <cell r="M1126">
            <v>2029</v>
          </cell>
          <cell r="N1126">
            <v>2030</v>
          </cell>
          <cell r="O1126">
            <v>2031</v>
          </cell>
          <cell r="P1126">
            <v>2032</v>
          </cell>
          <cell r="Q1126">
            <v>2033</v>
          </cell>
          <cell r="R1126">
            <v>2034</v>
          </cell>
          <cell r="S1126">
            <v>2035</v>
          </cell>
          <cell r="T1126">
            <v>2036</v>
          </cell>
          <cell r="U1126">
            <v>2037</v>
          </cell>
          <cell r="V1126">
            <v>2038</v>
          </cell>
          <cell r="W1126">
            <v>2039</v>
          </cell>
          <cell r="X1126">
            <v>2040</v>
          </cell>
          <cell r="Y1126">
            <v>2041</v>
          </cell>
          <cell r="Z1126">
            <v>2042</v>
          </cell>
          <cell r="AA1126">
            <v>2043</v>
          </cell>
          <cell r="AB1126">
            <v>2044</v>
          </cell>
          <cell r="AC1126">
            <v>2045</v>
          </cell>
          <cell r="AD1126">
            <v>2046</v>
          </cell>
          <cell r="AE1126">
            <v>2047</v>
          </cell>
          <cell r="AF1126">
            <v>2048</v>
          </cell>
          <cell r="AG1126">
            <v>2049</v>
          </cell>
          <cell r="AH1126">
            <v>2050</v>
          </cell>
        </row>
        <row r="1127">
          <cell r="B1127" t="str">
            <v/>
          </cell>
        </row>
        <row r="1128">
          <cell r="B1128" t="str">
            <v>LNG - Total emissions - WTW - GWP100 - Global - ton CO2eq/ton fuel</v>
          </cell>
          <cell r="G1128">
            <v>4.3901820000000003</v>
          </cell>
          <cell r="H1128">
            <v>4.3321819999999995</v>
          </cell>
          <cell r="I1128">
            <v>4.2741819999999997</v>
          </cell>
          <cell r="J1128">
            <v>4.2161819999999999</v>
          </cell>
          <cell r="K1128">
            <v>4.158182</v>
          </cell>
          <cell r="L1128">
            <v>4.1001820000000002</v>
          </cell>
          <cell r="M1128">
            <v>4.0421819999999995</v>
          </cell>
          <cell r="N1128">
            <v>3.9841819999999997</v>
          </cell>
          <cell r="O1128">
            <v>3.9841819999999997</v>
          </cell>
          <cell r="P1128">
            <v>3.9841819999999997</v>
          </cell>
          <cell r="Q1128">
            <v>3.9841819999999997</v>
          </cell>
          <cell r="R1128">
            <v>3.9841819999999997</v>
          </cell>
          <cell r="S1128">
            <v>3.9841819999999997</v>
          </cell>
          <cell r="T1128">
            <v>3.9841819999999997</v>
          </cell>
          <cell r="U1128">
            <v>3.9841819999999997</v>
          </cell>
          <cell r="V1128">
            <v>3.9841819999999997</v>
          </cell>
          <cell r="W1128">
            <v>3.9841819999999997</v>
          </cell>
          <cell r="X1128">
            <v>3.9841819999999997</v>
          </cell>
          <cell r="Y1128">
            <v>3.9841819999999997</v>
          </cell>
          <cell r="Z1128">
            <v>3.9841819999999997</v>
          </cell>
          <cell r="AA1128">
            <v>3.9841819999999997</v>
          </cell>
          <cell r="AB1128">
            <v>3.9841819999999997</v>
          </cell>
          <cell r="AC1128">
            <v>3.9841819999999997</v>
          </cell>
          <cell r="AD1128">
            <v>3.9841819999999997</v>
          </cell>
          <cell r="AE1128">
            <v>3.9841819999999997</v>
          </cell>
          <cell r="AF1128">
            <v>3.9841819999999997</v>
          </cell>
          <cell r="AG1128">
            <v>3.9841819999999997</v>
          </cell>
          <cell r="AH1128">
            <v>3.9841819999999997</v>
          </cell>
        </row>
        <row r="1129">
          <cell r="B1129" t="str">
            <v>LNG - Total emissions - WTW - GWP20 - Global - ton CO2eq/ton fuel</v>
          </cell>
          <cell r="G1129">
            <v>6.7013319999999998</v>
          </cell>
          <cell r="H1129">
            <v>6.5313319999999999</v>
          </cell>
          <cell r="I1129">
            <v>6.361332</v>
          </cell>
          <cell r="J1129">
            <v>6.1913319999999992</v>
          </cell>
          <cell r="K1129">
            <v>6.0213320000000001</v>
          </cell>
          <cell r="L1129">
            <v>5.8513320000000002</v>
          </cell>
          <cell r="M1129">
            <v>5.6813320000000003</v>
          </cell>
          <cell r="N1129">
            <v>5.5113320000000003</v>
          </cell>
          <cell r="O1129">
            <v>5.5113320000000003</v>
          </cell>
          <cell r="P1129">
            <v>5.5113320000000003</v>
          </cell>
          <cell r="Q1129">
            <v>5.5113320000000003</v>
          </cell>
          <cell r="R1129">
            <v>5.5113320000000003</v>
          </cell>
          <cell r="S1129">
            <v>5.5113320000000003</v>
          </cell>
          <cell r="T1129">
            <v>5.5113320000000003</v>
          </cell>
          <cell r="U1129">
            <v>5.5113320000000003</v>
          </cell>
          <cell r="V1129">
            <v>5.5113320000000003</v>
          </cell>
          <cell r="W1129">
            <v>5.5113320000000003</v>
          </cell>
          <cell r="X1129">
            <v>5.5113320000000003</v>
          </cell>
          <cell r="Y1129">
            <v>5.5113320000000003</v>
          </cell>
          <cell r="Z1129">
            <v>5.5113320000000003</v>
          </cell>
          <cell r="AA1129">
            <v>5.5113320000000003</v>
          </cell>
          <cell r="AB1129">
            <v>5.5113320000000003</v>
          </cell>
          <cell r="AC1129">
            <v>5.5113320000000003</v>
          </cell>
          <cell r="AD1129">
            <v>5.5113320000000003</v>
          </cell>
          <cell r="AE1129">
            <v>5.5113320000000003</v>
          </cell>
          <cell r="AF1129">
            <v>5.5113320000000003</v>
          </cell>
          <cell r="AG1129">
            <v>5.5113320000000003</v>
          </cell>
          <cell r="AH1129">
            <v>5.5113320000000003</v>
          </cell>
        </row>
        <row r="1130">
          <cell r="B1130" t="str">
            <v>LNG - Total emissions - TTW - GWP100 - Global - ton CO2eq/ton fuel</v>
          </cell>
          <cell r="G1130">
            <v>3.47526</v>
          </cell>
          <cell r="H1130">
            <v>3.4172599999999997</v>
          </cell>
          <cell r="I1130">
            <v>3.3592599999999999</v>
          </cell>
          <cell r="J1130">
            <v>3.3012599999999996</v>
          </cell>
          <cell r="K1130">
            <v>3.2432599999999998</v>
          </cell>
          <cell r="L1130">
            <v>3.18526</v>
          </cell>
          <cell r="M1130">
            <v>3.1272599999999997</v>
          </cell>
          <cell r="N1130">
            <v>3.0692599999999999</v>
          </cell>
          <cell r="O1130">
            <v>3.0692599999999999</v>
          </cell>
          <cell r="P1130">
            <v>3.0692599999999999</v>
          </cell>
          <cell r="Q1130">
            <v>3.0692599999999999</v>
          </cell>
          <cell r="R1130">
            <v>3.0692599999999999</v>
          </cell>
          <cell r="S1130">
            <v>3.0692599999999999</v>
          </cell>
          <cell r="T1130">
            <v>3.0692599999999999</v>
          </cell>
          <cell r="U1130">
            <v>3.0692599999999999</v>
          </cell>
          <cell r="V1130">
            <v>3.0692599999999999</v>
          </cell>
          <cell r="W1130">
            <v>3.0692599999999999</v>
          </cell>
          <cell r="X1130">
            <v>3.0692599999999999</v>
          </cell>
          <cell r="Y1130">
            <v>3.0692599999999999</v>
          </cell>
          <cell r="Z1130">
            <v>3.0692599999999999</v>
          </cell>
          <cell r="AA1130">
            <v>3.0692599999999999</v>
          </cell>
          <cell r="AB1130">
            <v>3.0692599999999999</v>
          </cell>
          <cell r="AC1130">
            <v>3.0692599999999999</v>
          </cell>
          <cell r="AD1130">
            <v>3.0692599999999999</v>
          </cell>
          <cell r="AE1130">
            <v>3.0692599999999999</v>
          </cell>
          <cell r="AF1130">
            <v>3.0692599999999999</v>
          </cell>
          <cell r="AG1130">
            <v>3.0692599999999999</v>
          </cell>
          <cell r="AH1130">
            <v>3.0692599999999999</v>
          </cell>
        </row>
        <row r="1131">
          <cell r="B1131" t="str">
            <v>LNG - Total emissions - TTW - GWP20 - Global - ton CO2eq/ton fuel</v>
          </cell>
          <cell r="G1131">
            <v>4.8176100000000002</v>
          </cell>
          <cell r="H1131">
            <v>4.6476100000000002</v>
          </cell>
          <cell r="I1131">
            <v>4.4776100000000003</v>
          </cell>
          <cell r="J1131">
            <v>4.3076099999999995</v>
          </cell>
          <cell r="K1131">
            <v>4.1376100000000005</v>
          </cell>
          <cell r="L1131">
            <v>3.9676100000000001</v>
          </cell>
          <cell r="M1131">
            <v>3.7976100000000002</v>
          </cell>
          <cell r="N1131">
            <v>3.6276100000000002</v>
          </cell>
          <cell r="O1131">
            <v>3.6276100000000002</v>
          </cell>
          <cell r="P1131">
            <v>3.6276100000000002</v>
          </cell>
          <cell r="Q1131">
            <v>3.6276100000000002</v>
          </cell>
          <cell r="R1131">
            <v>3.6276100000000002</v>
          </cell>
          <cell r="S1131">
            <v>3.6276100000000002</v>
          </cell>
          <cell r="T1131">
            <v>3.6276100000000002</v>
          </cell>
          <cell r="U1131">
            <v>3.6276100000000002</v>
          </cell>
          <cell r="V1131">
            <v>3.6276100000000002</v>
          </cell>
          <cell r="W1131">
            <v>3.6276100000000002</v>
          </cell>
          <cell r="X1131">
            <v>3.6276100000000002</v>
          </cell>
          <cell r="Y1131">
            <v>3.6276100000000002</v>
          </cell>
          <cell r="Z1131">
            <v>3.6276100000000002</v>
          </cell>
          <cell r="AA1131">
            <v>3.6276100000000002</v>
          </cell>
          <cell r="AB1131">
            <v>3.6276100000000002</v>
          </cell>
          <cell r="AC1131">
            <v>3.6276100000000002</v>
          </cell>
          <cell r="AD1131">
            <v>3.6276100000000002</v>
          </cell>
          <cell r="AE1131">
            <v>3.6276100000000002</v>
          </cell>
          <cell r="AF1131">
            <v>3.6276100000000002</v>
          </cell>
          <cell r="AG1131">
            <v>3.6276100000000002</v>
          </cell>
          <cell r="AH1131">
            <v>3.6276100000000002</v>
          </cell>
        </row>
        <row r="1132">
          <cell r="B1132" t="str">
            <v>LNG - Total emissions - WTT - GWP100 - Global - ton CO2eq/ton fuel</v>
          </cell>
          <cell r="G1132">
            <v>0.91492200000000001</v>
          </cell>
          <cell r="H1132">
            <v>0.91492200000000001</v>
          </cell>
          <cell r="I1132">
            <v>0.91492200000000001</v>
          </cell>
          <cell r="J1132">
            <v>0.91492200000000001</v>
          </cell>
          <cell r="K1132">
            <v>0.91492200000000001</v>
          </cell>
          <cell r="L1132">
            <v>0.91492200000000001</v>
          </cell>
          <cell r="M1132">
            <v>0.91492200000000001</v>
          </cell>
          <cell r="N1132">
            <v>0.91492200000000001</v>
          </cell>
          <cell r="O1132">
            <v>0.91492200000000001</v>
          </cell>
          <cell r="P1132">
            <v>0.91492200000000001</v>
          </cell>
          <cell r="Q1132">
            <v>0.91492200000000001</v>
          </cell>
          <cell r="R1132">
            <v>0.91492200000000001</v>
          </cell>
          <cell r="S1132">
            <v>0.91492200000000001</v>
          </cell>
          <cell r="T1132">
            <v>0.91492200000000001</v>
          </cell>
          <cell r="U1132">
            <v>0.91492200000000001</v>
          </cell>
          <cell r="V1132">
            <v>0.91492200000000001</v>
          </cell>
          <cell r="W1132">
            <v>0.91492200000000001</v>
          </cell>
          <cell r="X1132">
            <v>0.91492200000000001</v>
          </cell>
          <cell r="Y1132">
            <v>0.91492200000000001</v>
          </cell>
          <cell r="Z1132">
            <v>0.91492200000000001</v>
          </cell>
          <cell r="AA1132">
            <v>0.91492200000000001</v>
          </cell>
          <cell r="AB1132">
            <v>0.91492200000000001</v>
          </cell>
          <cell r="AC1132">
            <v>0.91492200000000001</v>
          </cell>
          <cell r="AD1132">
            <v>0.91492200000000001</v>
          </cell>
          <cell r="AE1132">
            <v>0.91492200000000001</v>
          </cell>
          <cell r="AF1132">
            <v>0.91492200000000001</v>
          </cell>
          <cell r="AG1132">
            <v>0.91492200000000001</v>
          </cell>
          <cell r="AH1132">
            <v>0.91492200000000001</v>
          </cell>
        </row>
        <row r="1133">
          <cell r="B1133" t="str">
            <v>LNG - Total emissions - WTT - GWP20 - Global - ton CO2eq/ton fuel</v>
          </cell>
          <cell r="G1133">
            <v>1.8837219999999999</v>
          </cell>
          <cell r="H1133">
            <v>1.8837219999999999</v>
          </cell>
          <cell r="I1133">
            <v>1.8837219999999999</v>
          </cell>
          <cell r="J1133">
            <v>1.8837219999999999</v>
          </cell>
          <cell r="K1133">
            <v>1.8837219999999999</v>
          </cell>
          <cell r="L1133">
            <v>1.8837219999999999</v>
          </cell>
          <cell r="M1133">
            <v>1.8837219999999999</v>
          </cell>
          <cell r="N1133">
            <v>1.8837219999999999</v>
          </cell>
          <cell r="O1133">
            <v>1.8837219999999999</v>
          </cell>
          <cell r="P1133">
            <v>1.8837219999999999</v>
          </cell>
          <cell r="Q1133">
            <v>1.8837219999999999</v>
          </cell>
          <cell r="R1133">
            <v>1.8837219999999999</v>
          </cell>
          <cell r="S1133">
            <v>1.8837219999999999</v>
          </cell>
          <cell r="T1133">
            <v>1.8837219999999999</v>
          </cell>
          <cell r="U1133">
            <v>1.8837219999999999</v>
          </cell>
          <cell r="V1133">
            <v>1.8837219999999999</v>
          </cell>
          <cell r="W1133">
            <v>1.8837219999999999</v>
          </cell>
          <cell r="X1133">
            <v>1.8837219999999999</v>
          </cell>
          <cell r="Y1133">
            <v>1.8837219999999999</v>
          </cell>
          <cell r="Z1133">
            <v>1.8837219999999999</v>
          </cell>
          <cell r="AA1133">
            <v>1.8837219999999999</v>
          </cell>
          <cell r="AB1133">
            <v>1.8837219999999999</v>
          </cell>
          <cell r="AC1133">
            <v>1.8837219999999999</v>
          </cell>
          <cell r="AD1133">
            <v>1.8837219999999999</v>
          </cell>
          <cell r="AE1133">
            <v>1.8837219999999999</v>
          </cell>
          <cell r="AF1133">
            <v>1.8837219999999999</v>
          </cell>
          <cell r="AG1133">
            <v>1.8837219999999999</v>
          </cell>
          <cell r="AH1133">
            <v>1.8837219999999999</v>
          </cell>
        </row>
        <row r="1134">
          <cell r="B1134" t="str">
            <v>General - Methane - GWP100 - Global - ton CO2eq/ton fuel</v>
          </cell>
          <cell r="G1134">
            <v>29</v>
          </cell>
          <cell r="H1134">
            <v>29</v>
          </cell>
          <cell r="I1134">
            <v>29</v>
          </cell>
          <cell r="J1134">
            <v>29</v>
          </cell>
          <cell r="K1134">
            <v>29</v>
          </cell>
          <cell r="L1134">
            <v>29</v>
          </cell>
          <cell r="M1134">
            <v>29</v>
          </cell>
          <cell r="N1134">
            <v>29</v>
          </cell>
          <cell r="O1134">
            <v>29</v>
          </cell>
          <cell r="P1134">
            <v>29</v>
          </cell>
          <cell r="Q1134">
            <v>29</v>
          </cell>
          <cell r="R1134">
            <v>29</v>
          </cell>
          <cell r="S1134">
            <v>29</v>
          </cell>
          <cell r="T1134">
            <v>29</v>
          </cell>
          <cell r="U1134">
            <v>29</v>
          </cell>
          <cell r="V1134">
            <v>29</v>
          </cell>
          <cell r="W1134">
            <v>29</v>
          </cell>
          <cell r="X1134">
            <v>29</v>
          </cell>
          <cell r="Y1134">
            <v>29</v>
          </cell>
          <cell r="Z1134">
            <v>29</v>
          </cell>
          <cell r="AA1134">
            <v>29</v>
          </cell>
          <cell r="AB1134">
            <v>29</v>
          </cell>
          <cell r="AC1134">
            <v>29</v>
          </cell>
          <cell r="AD1134">
            <v>29</v>
          </cell>
          <cell r="AE1134">
            <v>29</v>
          </cell>
          <cell r="AF1134">
            <v>29</v>
          </cell>
          <cell r="AG1134">
            <v>29</v>
          </cell>
          <cell r="AH1134">
            <v>29</v>
          </cell>
        </row>
        <row r="1135">
          <cell r="B1135" t="str">
            <v>General - Methane - GWP20 - Global - ton CO2eq/ton fuel</v>
          </cell>
          <cell r="G1135">
            <v>85</v>
          </cell>
          <cell r="H1135">
            <v>85</v>
          </cell>
          <cell r="I1135">
            <v>85</v>
          </cell>
          <cell r="J1135">
            <v>85</v>
          </cell>
          <cell r="K1135">
            <v>85</v>
          </cell>
          <cell r="L1135">
            <v>85</v>
          </cell>
          <cell r="M1135">
            <v>85</v>
          </cell>
          <cell r="N1135">
            <v>85</v>
          </cell>
          <cell r="O1135">
            <v>85</v>
          </cell>
          <cell r="P1135">
            <v>85</v>
          </cell>
          <cell r="Q1135">
            <v>85</v>
          </cell>
          <cell r="R1135">
            <v>85</v>
          </cell>
          <cell r="S1135">
            <v>85</v>
          </cell>
          <cell r="T1135">
            <v>85</v>
          </cell>
          <cell r="U1135">
            <v>85</v>
          </cell>
          <cell r="V1135">
            <v>85</v>
          </cell>
          <cell r="W1135">
            <v>85</v>
          </cell>
          <cell r="X1135">
            <v>85</v>
          </cell>
          <cell r="Y1135">
            <v>85</v>
          </cell>
          <cell r="Z1135">
            <v>85</v>
          </cell>
          <cell r="AA1135">
            <v>85</v>
          </cell>
          <cell r="AB1135">
            <v>85</v>
          </cell>
          <cell r="AC1135">
            <v>85</v>
          </cell>
          <cell r="AD1135">
            <v>85</v>
          </cell>
          <cell r="AE1135">
            <v>85</v>
          </cell>
          <cell r="AF1135">
            <v>85</v>
          </cell>
          <cell r="AG1135">
            <v>85</v>
          </cell>
          <cell r="AH1135">
            <v>85</v>
          </cell>
        </row>
        <row r="1136">
          <cell r="B1136" t="str">
            <v>General - Nitrous oxide - GWP100 - Global - ton CO2eq/ton fuel</v>
          </cell>
          <cell r="G1136">
            <v>266</v>
          </cell>
          <cell r="H1136">
            <v>266</v>
          </cell>
          <cell r="I1136">
            <v>266</v>
          </cell>
          <cell r="J1136">
            <v>266</v>
          </cell>
          <cell r="K1136">
            <v>266</v>
          </cell>
          <cell r="L1136">
            <v>266</v>
          </cell>
          <cell r="M1136">
            <v>266</v>
          </cell>
          <cell r="N1136">
            <v>266</v>
          </cell>
          <cell r="O1136">
            <v>266</v>
          </cell>
          <cell r="P1136">
            <v>266</v>
          </cell>
          <cell r="Q1136">
            <v>266</v>
          </cell>
          <cell r="R1136">
            <v>266</v>
          </cell>
          <cell r="S1136">
            <v>266</v>
          </cell>
          <cell r="T1136">
            <v>266</v>
          </cell>
          <cell r="U1136">
            <v>266</v>
          </cell>
          <cell r="V1136">
            <v>266</v>
          </cell>
          <cell r="W1136">
            <v>266</v>
          </cell>
          <cell r="X1136">
            <v>266</v>
          </cell>
          <cell r="Y1136">
            <v>266</v>
          </cell>
          <cell r="Z1136">
            <v>266</v>
          </cell>
          <cell r="AA1136">
            <v>266</v>
          </cell>
          <cell r="AB1136">
            <v>266</v>
          </cell>
          <cell r="AC1136">
            <v>266</v>
          </cell>
          <cell r="AD1136">
            <v>266</v>
          </cell>
          <cell r="AE1136">
            <v>266</v>
          </cell>
          <cell r="AF1136">
            <v>266</v>
          </cell>
          <cell r="AG1136">
            <v>266</v>
          </cell>
          <cell r="AH1136">
            <v>266</v>
          </cell>
        </row>
        <row r="1137">
          <cell r="B1137" t="str">
            <v>General - Nitrous oxide - GWP20 - Global - ton CO2eq/ton fuel</v>
          </cell>
          <cell r="G1137">
            <v>251</v>
          </cell>
          <cell r="H1137">
            <v>251</v>
          </cell>
          <cell r="I1137">
            <v>251</v>
          </cell>
          <cell r="J1137">
            <v>251</v>
          </cell>
          <cell r="K1137">
            <v>251</v>
          </cell>
          <cell r="L1137">
            <v>251</v>
          </cell>
          <cell r="M1137">
            <v>251</v>
          </cell>
          <cell r="N1137">
            <v>251</v>
          </cell>
          <cell r="O1137">
            <v>251</v>
          </cell>
          <cell r="P1137">
            <v>251</v>
          </cell>
          <cell r="Q1137">
            <v>251</v>
          </cell>
          <cell r="R1137">
            <v>251</v>
          </cell>
          <cell r="S1137">
            <v>251</v>
          </cell>
          <cell r="T1137">
            <v>251</v>
          </cell>
          <cell r="U1137">
            <v>251</v>
          </cell>
          <cell r="V1137">
            <v>251</v>
          </cell>
          <cell r="W1137">
            <v>251</v>
          </cell>
          <cell r="X1137">
            <v>251</v>
          </cell>
          <cell r="Y1137">
            <v>251</v>
          </cell>
          <cell r="Z1137">
            <v>251</v>
          </cell>
          <cell r="AA1137">
            <v>251</v>
          </cell>
          <cell r="AB1137">
            <v>251</v>
          </cell>
          <cell r="AC1137">
            <v>251</v>
          </cell>
          <cell r="AD1137">
            <v>251</v>
          </cell>
          <cell r="AE1137">
            <v>251</v>
          </cell>
          <cell r="AF1137">
            <v>251</v>
          </cell>
          <cell r="AG1137">
            <v>251</v>
          </cell>
          <cell r="AH1137">
            <v>251</v>
          </cell>
        </row>
        <row r="1138">
          <cell r="B1138" t="str">
            <v/>
          </cell>
        </row>
        <row r="1139">
          <cell r="B1139" t="str">
            <v>LNG - Total emissions - WTW - Global - ton CO2/ton fuel</v>
          </cell>
          <cell r="G1139">
            <v>3.1632220000000002</v>
          </cell>
          <cell r="H1139">
            <v>3.1632220000000002</v>
          </cell>
          <cell r="I1139">
            <v>3.1632220000000002</v>
          </cell>
          <cell r="J1139">
            <v>3.1632220000000002</v>
          </cell>
          <cell r="K1139">
            <v>3.1632220000000002</v>
          </cell>
          <cell r="L1139">
            <v>3.1632220000000002</v>
          </cell>
          <cell r="M1139">
            <v>3.1632220000000002</v>
          </cell>
          <cell r="N1139">
            <v>3.1632220000000002</v>
          </cell>
          <cell r="O1139">
            <v>3.1632220000000002</v>
          </cell>
          <cell r="P1139">
            <v>3.1632220000000002</v>
          </cell>
          <cell r="Q1139">
            <v>3.1632220000000002</v>
          </cell>
          <cell r="R1139">
            <v>3.1632220000000002</v>
          </cell>
          <cell r="S1139">
            <v>3.1632220000000002</v>
          </cell>
          <cell r="T1139">
            <v>3.1632220000000002</v>
          </cell>
          <cell r="U1139">
            <v>3.1632220000000002</v>
          </cell>
          <cell r="V1139">
            <v>3.1632220000000002</v>
          </cell>
          <cell r="W1139">
            <v>3.1632220000000002</v>
          </cell>
          <cell r="X1139">
            <v>3.1632220000000002</v>
          </cell>
          <cell r="Y1139">
            <v>3.1632220000000002</v>
          </cell>
          <cell r="Z1139">
            <v>3.1632220000000002</v>
          </cell>
          <cell r="AA1139">
            <v>3.1632220000000002</v>
          </cell>
          <cell r="AB1139">
            <v>3.1632220000000002</v>
          </cell>
          <cell r="AC1139">
            <v>3.1632220000000002</v>
          </cell>
          <cell r="AD1139">
            <v>3.1632220000000002</v>
          </cell>
          <cell r="AE1139">
            <v>3.1632220000000002</v>
          </cell>
          <cell r="AF1139">
            <v>3.1632220000000002</v>
          </cell>
          <cell r="AG1139">
            <v>3.1632220000000002</v>
          </cell>
          <cell r="AH1139">
            <v>3.1632220000000002</v>
          </cell>
        </row>
        <row r="1140">
          <cell r="B1140" t="str">
            <v>LNG - Total emissions - WTW - Global - ton CH4/ton fuel</v>
          </cell>
          <cell r="G1140">
            <v>4.1300000000000003E-2</v>
          </cell>
          <cell r="H1140">
            <v>3.9300000000000002E-2</v>
          </cell>
          <cell r="I1140">
            <v>3.73E-2</v>
          </cell>
          <cell r="J1140">
            <v>3.5299999999999998E-2</v>
          </cell>
          <cell r="K1140">
            <v>3.3299999999999996E-2</v>
          </cell>
          <cell r="L1140">
            <v>3.1300000000000001E-2</v>
          </cell>
          <cell r="M1140">
            <v>2.93E-2</v>
          </cell>
          <cell r="N1140">
            <v>2.7299999999999998E-2</v>
          </cell>
          <cell r="O1140">
            <v>2.7299999999999998E-2</v>
          </cell>
          <cell r="P1140">
            <v>2.7299999999999998E-2</v>
          </cell>
          <cell r="Q1140">
            <v>2.7299999999999998E-2</v>
          </cell>
          <cell r="R1140">
            <v>2.7299999999999998E-2</v>
          </cell>
          <cell r="S1140">
            <v>2.7299999999999998E-2</v>
          </cell>
          <cell r="T1140">
            <v>2.7299999999999998E-2</v>
          </cell>
          <cell r="U1140">
            <v>2.7299999999999998E-2</v>
          </cell>
          <cell r="V1140">
            <v>2.7299999999999998E-2</v>
          </cell>
          <cell r="W1140">
            <v>2.7299999999999998E-2</v>
          </cell>
          <cell r="X1140">
            <v>2.7299999999999998E-2</v>
          </cell>
          <cell r="Y1140">
            <v>2.7299999999999998E-2</v>
          </cell>
          <cell r="Z1140">
            <v>2.7299999999999998E-2</v>
          </cell>
          <cell r="AA1140">
            <v>2.7299999999999998E-2</v>
          </cell>
          <cell r="AB1140">
            <v>2.7299999999999998E-2</v>
          </cell>
          <cell r="AC1140">
            <v>2.7299999999999998E-2</v>
          </cell>
          <cell r="AD1140">
            <v>2.7299999999999998E-2</v>
          </cell>
          <cell r="AE1140">
            <v>2.7299999999999998E-2</v>
          </cell>
          <cell r="AF1140">
            <v>2.7299999999999998E-2</v>
          </cell>
          <cell r="AG1140">
            <v>2.7299999999999998E-2</v>
          </cell>
          <cell r="AH1140">
            <v>2.7299999999999998E-2</v>
          </cell>
        </row>
        <row r="1141">
          <cell r="B1141" t="str">
            <v>LNG - Total emissions - WTW - Global - ton N2O/ton fuel</v>
          </cell>
          <cell r="G1141">
            <v>1.1E-4</v>
          </cell>
          <cell r="H1141">
            <v>1.1E-4</v>
          </cell>
          <cell r="I1141">
            <v>1.1E-4</v>
          </cell>
          <cell r="J1141">
            <v>1.1E-4</v>
          </cell>
          <cell r="K1141">
            <v>1.1E-4</v>
          </cell>
          <cell r="L1141">
            <v>1.1E-4</v>
          </cell>
          <cell r="M1141">
            <v>1.1E-4</v>
          </cell>
          <cell r="N1141">
            <v>1.1E-4</v>
          </cell>
          <cell r="O1141">
            <v>1.1E-4</v>
          </cell>
          <cell r="P1141">
            <v>1.1E-4</v>
          </cell>
          <cell r="Q1141">
            <v>1.1E-4</v>
          </cell>
          <cell r="R1141">
            <v>1.1E-4</v>
          </cell>
          <cell r="S1141">
            <v>1.1E-4</v>
          </cell>
          <cell r="T1141">
            <v>1.1E-4</v>
          </cell>
          <cell r="U1141">
            <v>1.1E-4</v>
          </cell>
          <cell r="V1141">
            <v>1.1E-4</v>
          </cell>
          <cell r="W1141">
            <v>1.1E-4</v>
          </cell>
          <cell r="X1141">
            <v>1.1E-4</v>
          </cell>
          <cell r="Y1141">
            <v>1.1E-4</v>
          </cell>
          <cell r="Z1141">
            <v>1.1E-4</v>
          </cell>
          <cell r="AA1141">
            <v>1.1E-4</v>
          </cell>
          <cell r="AB1141">
            <v>1.1E-4</v>
          </cell>
          <cell r="AC1141">
            <v>1.1E-4</v>
          </cell>
          <cell r="AD1141">
            <v>1.1E-4</v>
          </cell>
          <cell r="AE1141">
            <v>1.1E-4</v>
          </cell>
          <cell r="AF1141">
            <v>1.1E-4</v>
          </cell>
          <cell r="AG1141">
            <v>1.1E-4</v>
          </cell>
          <cell r="AH1141">
            <v>1.1E-4</v>
          </cell>
        </row>
        <row r="1142">
          <cell r="B1142" t="str">
            <v/>
          </cell>
        </row>
        <row r="1143">
          <cell r="B1143" t="str">
            <v>LNG - Total emissions - TTW - Global - ton CO2/ton fuel</v>
          </cell>
          <cell r="G1143">
            <v>2.75</v>
          </cell>
          <cell r="H1143">
            <v>2.75</v>
          </cell>
          <cell r="I1143">
            <v>2.75</v>
          </cell>
          <cell r="J1143">
            <v>2.75</v>
          </cell>
          <cell r="K1143">
            <v>2.75</v>
          </cell>
          <cell r="L1143">
            <v>2.75</v>
          </cell>
          <cell r="M1143">
            <v>2.75</v>
          </cell>
          <cell r="N1143">
            <v>2.75</v>
          </cell>
          <cell r="O1143">
            <v>2.75</v>
          </cell>
          <cell r="P1143">
            <v>2.75</v>
          </cell>
          <cell r="Q1143">
            <v>2.75</v>
          </cell>
          <cell r="R1143">
            <v>2.75</v>
          </cell>
          <cell r="S1143">
            <v>2.75</v>
          </cell>
          <cell r="T1143">
            <v>2.75</v>
          </cell>
          <cell r="U1143">
            <v>2.75</v>
          </cell>
          <cell r="V1143">
            <v>2.75</v>
          </cell>
          <cell r="W1143">
            <v>2.75</v>
          </cell>
          <cell r="X1143">
            <v>2.75</v>
          </cell>
          <cell r="Y1143">
            <v>2.75</v>
          </cell>
          <cell r="Z1143">
            <v>2.75</v>
          </cell>
          <cell r="AA1143">
            <v>2.75</v>
          </cell>
          <cell r="AB1143">
            <v>2.75</v>
          </cell>
          <cell r="AC1143">
            <v>2.75</v>
          </cell>
          <cell r="AD1143">
            <v>2.75</v>
          </cell>
          <cell r="AE1143">
            <v>2.75</v>
          </cell>
          <cell r="AF1143">
            <v>2.75</v>
          </cell>
          <cell r="AG1143">
            <v>2.75</v>
          </cell>
          <cell r="AH1143">
            <v>2.75</v>
          </cell>
        </row>
        <row r="1144">
          <cell r="B1144" t="str">
            <v>LNG - Total emissions - TTW - Global - ton CH4/ton fuel</v>
          </cell>
          <cell r="G1144">
            <v>2.4E-2</v>
          </cell>
          <cell r="H1144">
            <v>2.1999999999999999E-2</v>
          </cell>
          <cell r="I1144">
            <v>0.02</v>
          </cell>
          <cell r="J1144">
            <v>1.7999999999999999E-2</v>
          </cell>
          <cell r="K1144">
            <v>1.6E-2</v>
          </cell>
          <cell r="L1144">
            <v>1.4E-2</v>
          </cell>
          <cell r="M1144">
            <v>1.2E-2</v>
          </cell>
          <cell r="N1144">
            <v>0.01</v>
          </cell>
          <cell r="O1144">
            <v>0.01</v>
          </cell>
          <cell r="P1144">
            <v>0.01</v>
          </cell>
          <cell r="Q1144">
            <v>0.01</v>
          </cell>
          <cell r="R1144">
            <v>0.01</v>
          </cell>
          <cell r="S1144">
            <v>0.01</v>
          </cell>
          <cell r="T1144">
            <v>0.01</v>
          </cell>
          <cell r="U1144">
            <v>0.01</v>
          </cell>
          <cell r="V1144">
            <v>0.01</v>
          </cell>
          <cell r="W1144">
            <v>0.01</v>
          </cell>
          <cell r="X1144">
            <v>0.01</v>
          </cell>
          <cell r="Y1144">
            <v>0.01</v>
          </cell>
          <cell r="Z1144">
            <v>0.01</v>
          </cell>
          <cell r="AA1144">
            <v>0.01</v>
          </cell>
          <cell r="AB1144">
            <v>0.01</v>
          </cell>
          <cell r="AC1144">
            <v>0.01</v>
          </cell>
          <cell r="AD1144">
            <v>0.01</v>
          </cell>
          <cell r="AE1144">
            <v>0.01</v>
          </cell>
          <cell r="AF1144">
            <v>0.01</v>
          </cell>
          <cell r="AG1144">
            <v>0.01</v>
          </cell>
          <cell r="AH1144">
            <v>0.01</v>
          </cell>
        </row>
        <row r="1145">
          <cell r="B1145" t="str">
            <v>LNG - Total emissions - TTW - Global - ton N2O/ton fuel</v>
          </cell>
          <cell r="G1145">
            <v>1.1E-4</v>
          </cell>
          <cell r="H1145">
            <v>1.1E-4</v>
          </cell>
          <cell r="I1145">
            <v>1.1E-4</v>
          </cell>
          <cell r="J1145">
            <v>1.1E-4</v>
          </cell>
          <cell r="K1145">
            <v>1.1E-4</v>
          </cell>
          <cell r="L1145">
            <v>1.1E-4</v>
          </cell>
          <cell r="M1145">
            <v>1.1E-4</v>
          </cell>
          <cell r="N1145">
            <v>1.1E-4</v>
          </cell>
          <cell r="O1145">
            <v>1.1E-4</v>
          </cell>
          <cell r="P1145">
            <v>1.1E-4</v>
          </cell>
          <cell r="Q1145">
            <v>1.1E-4</v>
          </cell>
          <cell r="R1145">
            <v>1.1E-4</v>
          </cell>
          <cell r="S1145">
            <v>1.1E-4</v>
          </cell>
          <cell r="T1145">
            <v>1.1E-4</v>
          </cell>
          <cell r="U1145">
            <v>1.1E-4</v>
          </cell>
          <cell r="V1145">
            <v>1.1E-4</v>
          </cell>
          <cell r="W1145">
            <v>1.1E-4</v>
          </cell>
          <cell r="X1145">
            <v>1.1E-4</v>
          </cell>
          <cell r="Y1145">
            <v>1.1E-4</v>
          </cell>
          <cell r="Z1145">
            <v>1.1E-4</v>
          </cell>
          <cell r="AA1145">
            <v>1.1E-4</v>
          </cell>
          <cell r="AB1145">
            <v>1.1E-4</v>
          </cell>
          <cell r="AC1145">
            <v>1.1E-4</v>
          </cell>
          <cell r="AD1145">
            <v>1.1E-4</v>
          </cell>
          <cell r="AE1145">
            <v>1.1E-4</v>
          </cell>
          <cell r="AF1145">
            <v>1.1E-4</v>
          </cell>
          <cell r="AG1145">
            <v>1.1E-4</v>
          </cell>
          <cell r="AH1145">
            <v>1.1E-4</v>
          </cell>
        </row>
        <row r="1146">
          <cell r="B1146" t="str">
            <v>LNG - TTW emissions (carbon dioxide) - Global - ton CO2/ton fuel</v>
          </cell>
          <cell r="G1146">
            <v>2.75</v>
          </cell>
          <cell r="H1146">
            <v>2.75</v>
          </cell>
          <cell r="I1146">
            <v>2.75</v>
          </cell>
          <cell r="J1146">
            <v>2.75</v>
          </cell>
          <cell r="K1146">
            <v>2.75</v>
          </cell>
          <cell r="L1146">
            <v>2.75</v>
          </cell>
          <cell r="M1146">
            <v>2.75</v>
          </cell>
          <cell r="N1146">
            <v>2.75</v>
          </cell>
          <cell r="O1146">
            <v>2.75</v>
          </cell>
          <cell r="P1146">
            <v>2.75</v>
          </cell>
          <cell r="Q1146">
            <v>2.75</v>
          </cell>
          <cell r="R1146">
            <v>2.75</v>
          </cell>
          <cell r="S1146">
            <v>2.75</v>
          </cell>
          <cell r="T1146">
            <v>2.75</v>
          </cell>
          <cell r="U1146">
            <v>2.75</v>
          </cell>
          <cell r="V1146">
            <v>2.75</v>
          </cell>
          <cell r="W1146">
            <v>2.75</v>
          </cell>
          <cell r="X1146">
            <v>2.75</v>
          </cell>
          <cell r="Y1146">
            <v>2.75</v>
          </cell>
          <cell r="Z1146">
            <v>2.75</v>
          </cell>
          <cell r="AA1146">
            <v>2.75</v>
          </cell>
          <cell r="AB1146">
            <v>2.75</v>
          </cell>
          <cell r="AC1146">
            <v>2.75</v>
          </cell>
          <cell r="AD1146">
            <v>2.75</v>
          </cell>
          <cell r="AE1146">
            <v>2.75</v>
          </cell>
          <cell r="AF1146">
            <v>2.75</v>
          </cell>
          <cell r="AG1146">
            <v>2.75</v>
          </cell>
          <cell r="AH1146">
            <v>2.75</v>
          </cell>
        </row>
        <row r="1147">
          <cell r="B1147" t="str">
            <v>LNG - TTW emissions (methane) - Global - ton CH4/ton fuel</v>
          </cell>
          <cell r="G1147">
            <v>2.4E-2</v>
          </cell>
          <cell r="H1147">
            <v>2.1999999999999999E-2</v>
          </cell>
          <cell r="I1147">
            <v>0.02</v>
          </cell>
          <cell r="J1147">
            <v>1.7999999999999999E-2</v>
          </cell>
          <cell r="K1147">
            <v>1.6E-2</v>
          </cell>
          <cell r="L1147">
            <v>1.4E-2</v>
          </cell>
          <cell r="M1147">
            <v>1.2E-2</v>
          </cell>
          <cell r="N1147">
            <v>0.01</v>
          </cell>
          <cell r="O1147">
            <v>0.01</v>
          </cell>
          <cell r="P1147">
            <v>0.01</v>
          </cell>
          <cell r="Q1147">
            <v>0.01</v>
          </cell>
          <cell r="R1147">
            <v>0.01</v>
          </cell>
          <cell r="S1147">
            <v>0.01</v>
          </cell>
          <cell r="T1147">
            <v>0.01</v>
          </cell>
          <cell r="U1147">
            <v>0.01</v>
          </cell>
          <cell r="V1147">
            <v>0.01</v>
          </cell>
          <cell r="W1147">
            <v>0.01</v>
          </cell>
          <cell r="X1147">
            <v>0.01</v>
          </cell>
          <cell r="Y1147">
            <v>0.01</v>
          </cell>
          <cell r="Z1147">
            <v>0.01</v>
          </cell>
          <cell r="AA1147">
            <v>0.01</v>
          </cell>
          <cell r="AB1147">
            <v>0.01</v>
          </cell>
          <cell r="AC1147">
            <v>0.01</v>
          </cell>
          <cell r="AD1147">
            <v>0.01</v>
          </cell>
          <cell r="AE1147">
            <v>0.01</v>
          </cell>
          <cell r="AF1147">
            <v>0.01</v>
          </cell>
          <cell r="AG1147">
            <v>0.01</v>
          </cell>
          <cell r="AH1147">
            <v>0.01</v>
          </cell>
        </row>
        <row r="1148">
          <cell r="B1148" t="str">
            <v>LNG - TTW emissions (nitrous oxide) - Global - ton N2O/ton fuel</v>
          </cell>
          <cell r="G1148">
            <v>1.1E-4</v>
          </cell>
          <cell r="H1148">
            <v>1.1E-4</v>
          </cell>
          <cell r="I1148">
            <v>1.1E-4</v>
          </cell>
          <cell r="J1148">
            <v>1.1E-4</v>
          </cell>
          <cell r="K1148">
            <v>1.1E-4</v>
          </cell>
          <cell r="L1148">
            <v>1.1E-4</v>
          </cell>
          <cell r="M1148">
            <v>1.1E-4</v>
          </cell>
          <cell r="N1148">
            <v>1.1E-4</v>
          </cell>
          <cell r="O1148">
            <v>1.1E-4</v>
          </cell>
          <cell r="P1148">
            <v>1.1E-4</v>
          </cell>
          <cell r="Q1148">
            <v>1.1E-4</v>
          </cell>
          <cell r="R1148">
            <v>1.1E-4</v>
          </cell>
          <cell r="S1148">
            <v>1.1E-4</v>
          </cell>
          <cell r="T1148">
            <v>1.1E-4</v>
          </cell>
          <cell r="U1148">
            <v>1.1E-4</v>
          </cell>
          <cell r="V1148">
            <v>1.1E-4</v>
          </cell>
          <cell r="W1148">
            <v>1.1E-4</v>
          </cell>
          <cell r="X1148">
            <v>1.1E-4</v>
          </cell>
          <cell r="Y1148">
            <v>1.1E-4</v>
          </cell>
          <cell r="Z1148">
            <v>1.1E-4</v>
          </cell>
          <cell r="AA1148">
            <v>1.1E-4</v>
          </cell>
          <cell r="AB1148">
            <v>1.1E-4</v>
          </cell>
          <cell r="AC1148">
            <v>1.1E-4</v>
          </cell>
          <cell r="AD1148">
            <v>1.1E-4</v>
          </cell>
          <cell r="AE1148">
            <v>1.1E-4</v>
          </cell>
          <cell r="AF1148">
            <v>1.1E-4</v>
          </cell>
          <cell r="AG1148">
            <v>1.1E-4</v>
          </cell>
          <cell r="AH1148">
            <v>1.1E-4</v>
          </cell>
        </row>
        <row r="1149">
          <cell r="B1149" t="str">
            <v/>
          </cell>
        </row>
        <row r="1150">
          <cell r="B1150" t="str">
            <v>LNG - Total emissions - WTT - Global - ton CO2eq/ton fuel</v>
          </cell>
          <cell r="G1150">
            <v>0.41322199999999998</v>
          </cell>
          <cell r="H1150">
            <v>0.41322199999999998</v>
          </cell>
          <cell r="I1150">
            <v>0.41322199999999998</v>
          </cell>
          <cell r="J1150">
            <v>0.41322199999999998</v>
          </cell>
          <cell r="K1150">
            <v>0.41322199999999998</v>
          </cell>
          <cell r="L1150">
            <v>0.41322199999999998</v>
          </cell>
          <cell r="M1150">
            <v>0.41322199999999998</v>
          </cell>
          <cell r="N1150">
            <v>0.41322199999999998</v>
          </cell>
          <cell r="O1150">
            <v>0.41322199999999998</v>
          </cell>
          <cell r="P1150">
            <v>0.41322199999999998</v>
          </cell>
          <cell r="Q1150">
            <v>0.41322199999999998</v>
          </cell>
          <cell r="R1150">
            <v>0.41322199999999998</v>
          </cell>
          <cell r="S1150">
            <v>0.41322199999999998</v>
          </cell>
          <cell r="T1150">
            <v>0.41322199999999998</v>
          </cell>
          <cell r="U1150">
            <v>0.41322199999999998</v>
          </cell>
          <cell r="V1150">
            <v>0.41322199999999998</v>
          </cell>
          <cell r="W1150">
            <v>0.41322199999999998</v>
          </cell>
          <cell r="X1150">
            <v>0.41322199999999998</v>
          </cell>
          <cell r="Y1150">
            <v>0.41322199999999998</v>
          </cell>
          <cell r="Z1150">
            <v>0.41322199999999998</v>
          </cell>
          <cell r="AA1150">
            <v>0.41322199999999998</v>
          </cell>
          <cell r="AB1150">
            <v>0.41322199999999998</v>
          </cell>
          <cell r="AC1150">
            <v>0.41322199999999998</v>
          </cell>
          <cell r="AD1150">
            <v>0.41322199999999998</v>
          </cell>
          <cell r="AE1150">
            <v>0.41322199999999998</v>
          </cell>
          <cell r="AF1150">
            <v>0.41322199999999998</v>
          </cell>
          <cell r="AG1150">
            <v>0.41322199999999998</v>
          </cell>
          <cell r="AH1150">
            <v>0.41322199999999998</v>
          </cell>
        </row>
        <row r="1151">
          <cell r="B1151" t="str">
            <v>LNG - Total emissions - WTT - Global - ton CO2eq/ton fuel</v>
          </cell>
          <cell r="G1151">
            <v>1.7299999999999999E-2</v>
          </cell>
          <cell r="H1151">
            <v>1.7299999999999999E-2</v>
          </cell>
          <cell r="I1151">
            <v>1.7299999999999999E-2</v>
          </cell>
          <cell r="J1151">
            <v>1.7299999999999999E-2</v>
          </cell>
          <cell r="K1151">
            <v>1.7299999999999999E-2</v>
          </cell>
          <cell r="L1151">
            <v>1.7299999999999999E-2</v>
          </cell>
          <cell r="M1151">
            <v>1.7299999999999999E-2</v>
          </cell>
          <cell r="N1151">
            <v>1.7299999999999999E-2</v>
          </cell>
          <cell r="O1151">
            <v>1.7299999999999999E-2</v>
          </cell>
          <cell r="P1151">
            <v>1.7299999999999999E-2</v>
          </cell>
          <cell r="Q1151">
            <v>1.7299999999999999E-2</v>
          </cell>
          <cell r="R1151">
            <v>1.7299999999999999E-2</v>
          </cell>
          <cell r="S1151">
            <v>1.7299999999999999E-2</v>
          </cell>
          <cell r="T1151">
            <v>1.7299999999999999E-2</v>
          </cell>
          <cell r="U1151">
            <v>1.7299999999999999E-2</v>
          </cell>
          <cell r="V1151">
            <v>1.7299999999999999E-2</v>
          </cell>
          <cell r="W1151">
            <v>1.7299999999999999E-2</v>
          </cell>
          <cell r="X1151">
            <v>1.7299999999999999E-2</v>
          </cell>
          <cell r="Y1151">
            <v>1.7299999999999999E-2</v>
          </cell>
          <cell r="Z1151">
            <v>1.7299999999999999E-2</v>
          </cell>
          <cell r="AA1151">
            <v>1.7299999999999999E-2</v>
          </cell>
          <cell r="AB1151">
            <v>1.7299999999999999E-2</v>
          </cell>
          <cell r="AC1151">
            <v>1.7299999999999999E-2</v>
          </cell>
          <cell r="AD1151">
            <v>1.7299999999999999E-2</v>
          </cell>
          <cell r="AE1151">
            <v>1.7299999999999999E-2</v>
          </cell>
          <cell r="AF1151">
            <v>1.7299999999999999E-2</v>
          </cell>
          <cell r="AG1151">
            <v>1.7299999999999999E-2</v>
          </cell>
          <cell r="AH1151">
            <v>1.7299999999999999E-2</v>
          </cell>
        </row>
        <row r="1152">
          <cell r="B1152" t="str">
            <v>LNG - Total emissions - WTT - Global - ton CO2eq/ton fuel</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row>
        <row r="1153">
          <cell r="B1153" t="str">
            <v/>
          </cell>
        </row>
        <row r="1154">
          <cell r="B1154" t="str">
            <v>LNG - Process-related emissions - WTT - Global - ton CO2/ton fuel</v>
          </cell>
          <cell r="G1154">
            <v>0.3</v>
          </cell>
          <cell r="H1154">
            <v>0.3</v>
          </cell>
          <cell r="I1154">
            <v>0.3</v>
          </cell>
          <cell r="J1154">
            <v>0.3</v>
          </cell>
          <cell r="K1154">
            <v>0.3</v>
          </cell>
          <cell r="L1154">
            <v>0.3</v>
          </cell>
          <cell r="M1154">
            <v>0.3</v>
          </cell>
          <cell r="N1154">
            <v>0.3</v>
          </cell>
          <cell r="O1154">
            <v>0.3</v>
          </cell>
          <cell r="P1154">
            <v>0.3</v>
          </cell>
          <cell r="Q1154">
            <v>0.3</v>
          </cell>
          <cell r="R1154">
            <v>0.3</v>
          </cell>
          <cell r="S1154">
            <v>0.3</v>
          </cell>
          <cell r="T1154">
            <v>0.3</v>
          </cell>
          <cell r="U1154">
            <v>0.3</v>
          </cell>
          <cell r="V1154">
            <v>0.3</v>
          </cell>
          <cell r="W1154">
            <v>0.3</v>
          </cell>
          <cell r="X1154">
            <v>0.3</v>
          </cell>
          <cell r="Y1154">
            <v>0.3</v>
          </cell>
          <cell r="Z1154">
            <v>0.3</v>
          </cell>
          <cell r="AA1154">
            <v>0.3</v>
          </cell>
          <cell r="AB1154">
            <v>0.3</v>
          </cell>
          <cell r="AC1154">
            <v>0.3</v>
          </cell>
          <cell r="AD1154">
            <v>0.3</v>
          </cell>
          <cell r="AE1154">
            <v>0.3</v>
          </cell>
          <cell r="AF1154">
            <v>0.3</v>
          </cell>
          <cell r="AG1154">
            <v>0.3</v>
          </cell>
          <cell r="AH1154">
            <v>0.3</v>
          </cell>
        </row>
        <row r="1155">
          <cell r="B1155" t="str">
            <v>LNG - Process-related emissions - WTT - Global - ton CH4/ton fuel</v>
          </cell>
          <cell r="G1155">
            <v>0.01</v>
          </cell>
          <cell r="H1155">
            <v>0.01</v>
          </cell>
          <cell r="I1155">
            <v>0.01</v>
          </cell>
          <cell r="J1155">
            <v>0.01</v>
          </cell>
          <cell r="K1155">
            <v>0.01</v>
          </cell>
          <cell r="L1155">
            <v>0.01</v>
          </cell>
          <cell r="M1155">
            <v>0.01</v>
          </cell>
          <cell r="N1155">
            <v>0.01</v>
          </cell>
          <cell r="O1155">
            <v>0.01</v>
          </cell>
          <cell r="P1155">
            <v>0.01</v>
          </cell>
          <cell r="Q1155">
            <v>0.01</v>
          </cell>
          <cell r="R1155">
            <v>0.01</v>
          </cell>
          <cell r="S1155">
            <v>0.01</v>
          </cell>
          <cell r="T1155">
            <v>0.01</v>
          </cell>
          <cell r="U1155">
            <v>0.01</v>
          </cell>
          <cell r="V1155">
            <v>0.01</v>
          </cell>
          <cell r="W1155">
            <v>0.01</v>
          </cell>
          <cell r="X1155">
            <v>0.01</v>
          </cell>
          <cell r="Y1155">
            <v>0.01</v>
          </cell>
          <cell r="Z1155">
            <v>0.01</v>
          </cell>
          <cell r="AA1155">
            <v>0.01</v>
          </cell>
          <cell r="AB1155">
            <v>0.01</v>
          </cell>
          <cell r="AC1155">
            <v>0.01</v>
          </cell>
          <cell r="AD1155">
            <v>0.01</v>
          </cell>
          <cell r="AE1155">
            <v>0.01</v>
          </cell>
          <cell r="AF1155">
            <v>0.01</v>
          </cell>
          <cell r="AG1155">
            <v>0.01</v>
          </cell>
          <cell r="AH1155">
            <v>0.01</v>
          </cell>
        </row>
        <row r="1156">
          <cell r="B1156" t="str">
            <v>LNG - Process-related emissions - WTT - Global - ton N2O/ton fuel</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row>
        <row r="1157">
          <cell r="B1157" t="str">
            <v>LNG - Process WTT emissions (carbon dioxide) - Global - ton CO2/ton fuel</v>
          </cell>
          <cell r="G1157">
            <v>0.3</v>
          </cell>
          <cell r="H1157">
            <v>0.3</v>
          </cell>
          <cell r="I1157">
            <v>0.3</v>
          </cell>
          <cell r="J1157">
            <v>0.3</v>
          </cell>
          <cell r="K1157">
            <v>0.3</v>
          </cell>
          <cell r="L1157">
            <v>0.3</v>
          </cell>
          <cell r="M1157">
            <v>0.3</v>
          </cell>
          <cell r="N1157">
            <v>0.3</v>
          </cell>
          <cell r="O1157">
            <v>0.3</v>
          </cell>
          <cell r="P1157">
            <v>0.3</v>
          </cell>
          <cell r="Q1157">
            <v>0.3</v>
          </cell>
          <cell r="R1157">
            <v>0.3</v>
          </cell>
          <cell r="S1157">
            <v>0.3</v>
          </cell>
          <cell r="T1157">
            <v>0.3</v>
          </cell>
          <cell r="U1157">
            <v>0.3</v>
          </cell>
          <cell r="V1157">
            <v>0.3</v>
          </cell>
          <cell r="W1157">
            <v>0.3</v>
          </cell>
          <cell r="X1157">
            <v>0.3</v>
          </cell>
          <cell r="Y1157">
            <v>0.3</v>
          </cell>
          <cell r="Z1157">
            <v>0.3</v>
          </cell>
          <cell r="AA1157">
            <v>0.3</v>
          </cell>
          <cell r="AB1157">
            <v>0.3</v>
          </cell>
          <cell r="AC1157">
            <v>0.3</v>
          </cell>
          <cell r="AD1157">
            <v>0.3</v>
          </cell>
          <cell r="AE1157">
            <v>0.3</v>
          </cell>
          <cell r="AF1157">
            <v>0.3</v>
          </cell>
          <cell r="AG1157">
            <v>0.3</v>
          </cell>
          <cell r="AH1157">
            <v>0.3</v>
          </cell>
        </row>
        <row r="1158">
          <cell r="B1158" t="str">
            <v>LNG - Process WTT emissions (methane) - Global - ton CH4/ton fuel</v>
          </cell>
          <cell r="G1158">
            <v>0.01</v>
          </cell>
          <cell r="H1158">
            <v>0.01</v>
          </cell>
          <cell r="I1158">
            <v>0.01</v>
          </cell>
          <cell r="J1158">
            <v>0.01</v>
          </cell>
          <cell r="K1158">
            <v>0.01</v>
          </cell>
          <cell r="L1158">
            <v>0.01</v>
          </cell>
          <cell r="M1158">
            <v>0.01</v>
          </cell>
          <cell r="N1158">
            <v>0.01</v>
          </cell>
          <cell r="O1158">
            <v>0.01</v>
          </cell>
          <cell r="P1158">
            <v>0.01</v>
          </cell>
          <cell r="Q1158">
            <v>0.01</v>
          </cell>
          <cell r="R1158">
            <v>0.01</v>
          </cell>
          <cell r="S1158">
            <v>0.01</v>
          </cell>
          <cell r="T1158">
            <v>0.01</v>
          </cell>
          <cell r="U1158">
            <v>0.01</v>
          </cell>
          <cell r="V1158">
            <v>0.01</v>
          </cell>
          <cell r="W1158">
            <v>0.01</v>
          </cell>
          <cell r="X1158">
            <v>0.01</v>
          </cell>
          <cell r="Y1158">
            <v>0.01</v>
          </cell>
          <cell r="Z1158">
            <v>0.01</v>
          </cell>
          <cell r="AA1158">
            <v>0.01</v>
          </cell>
          <cell r="AB1158">
            <v>0.01</v>
          </cell>
          <cell r="AC1158">
            <v>0.01</v>
          </cell>
          <cell r="AD1158">
            <v>0.01</v>
          </cell>
          <cell r="AE1158">
            <v>0.01</v>
          </cell>
          <cell r="AF1158">
            <v>0.01</v>
          </cell>
          <cell r="AG1158">
            <v>0.01</v>
          </cell>
          <cell r="AH1158">
            <v>0.01</v>
          </cell>
        </row>
        <row r="1159">
          <cell r="B1159" t="str">
            <v>LNG - Process WTT emissions (nitrous oxide) - Global - ton N2O/ton fuel</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row>
        <row r="1160">
          <cell r="B1160" t="str">
            <v/>
          </cell>
        </row>
        <row r="1161">
          <cell r="B1161" t="str">
            <v>LNG - Energy-related emissions - WTT - Global - ton CO2/ton fuel</v>
          </cell>
          <cell r="G1161">
            <v>3.2219999999999996E-3</v>
          </cell>
          <cell r="H1161">
            <v>3.2219999999999996E-3</v>
          </cell>
          <cell r="I1161">
            <v>3.2219999999999996E-3</v>
          </cell>
          <cell r="J1161">
            <v>3.2219999999999996E-3</v>
          </cell>
          <cell r="K1161">
            <v>3.2219999999999996E-3</v>
          </cell>
          <cell r="L1161">
            <v>3.2219999999999996E-3</v>
          </cell>
          <cell r="M1161">
            <v>3.2219999999999996E-3</v>
          </cell>
          <cell r="N1161">
            <v>3.2219999999999996E-3</v>
          </cell>
          <cell r="O1161">
            <v>3.2219999999999996E-3</v>
          </cell>
          <cell r="P1161">
            <v>3.2219999999999996E-3</v>
          </cell>
          <cell r="Q1161">
            <v>3.2219999999999996E-3</v>
          </cell>
          <cell r="R1161">
            <v>3.2219999999999996E-3</v>
          </cell>
          <cell r="S1161">
            <v>3.2219999999999996E-3</v>
          </cell>
          <cell r="T1161">
            <v>3.2219999999999996E-3</v>
          </cell>
          <cell r="U1161">
            <v>3.2219999999999996E-3</v>
          </cell>
          <cell r="V1161">
            <v>3.2219999999999996E-3</v>
          </cell>
          <cell r="W1161">
            <v>3.2219999999999996E-3</v>
          </cell>
          <cell r="X1161">
            <v>3.2219999999999996E-3</v>
          </cell>
          <cell r="Y1161">
            <v>3.2219999999999996E-3</v>
          </cell>
          <cell r="Z1161">
            <v>3.2219999999999996E-3</v>
          </cell>
          <cell r="AA1161">
            <v>3.2219999999999996E-3</v>
          </cell>
          <cell r="AB1161">
            <v>3.2219999999999996E-3</v>
          </cell>
          <cell r="AC1161">
            <v>3.2219999999999996E-3</v>
          </cell>
          <cell r="AD1161">
            <v>3.2219999999999996E-3</v>
          </cell>
          <cell r="AE1161">
            <v>3.2219999999999996E-3</v>
          </cell>
          <cell r="AF1161">
            <v>3.2219999999999996E-3</v>
          </cell>
          <cell r="AG1161">
            <v>3.2219999999999996E-3</v>
          </cell>
          <cell r="AH1161">
            <v>3.2219999999999996E-3</v>
          </cell>
        </row>
        <row r="1162">
          <cell r="B1162" t="str">
            <v>LNG - Energy-related emissions - WTT - Global - ton CH4/ton fuel</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row>
        <row r="1163">
          <cell r="B1163" t="str">
            <v>LNG - Energy-related emissions - WTT - Global - ton N2O/ton fuel</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row>
        <row r="1164">
          <cell r="B1164" t="str">
            <v>Renewable electricity - Feedstock WTT emissions (carbon dioxide) - Global - ton CO2/MWh</v>
          </cell>
          <cell r="G1164">
            <v>5.3699999999999998E-3</v>
          </cell>
          <cell r="H1164">
            <v>5.3699999999999998E-3</v>
          </cell>
          <cell r="I1164">
            <v>5.3699999999999998E-3</v>
          </cell>
          <cell r="J1164">
            <v>5.3699999999999998E-3</v>
          </cell>
          <cell r="K1164">
            <v>5.3699999999999998E-3</v>
          </cell>
          <cell r="L1164">
            <v>5.3699999999999998E-3</v>
          </cell>
          <cell r="M1164">
            <v>5.3699999999999998E-3</v>
          </cell>
          <cell r="N1164">
            <v>5.3699999999999998E-3</v>
          </cell>
          <cell r="O1164">
            <v>5.3699999999999998E-3</v>
          </cell>
          <cell r="P1164">
            <v>5.3699999999999998E-3</v>
          </cell>
          <cell r="Q1164">
            <v>5.3699999999999998E-3</v>
          </cell>
          <cell r="R1164">
            <v>5.3699999999999998E-3</v>
          </cell>
          <cell r="S1164">
            <v>5.3699999999999998E-3</v>
          </cell>
          <cell r="T1164">
            <v>5.3699999999999998E-3</v>
          </cell>
          <cell r="U1164">
            <v>5.3699999999999998E-3</v>
          </cell>
          <cell r="V1164">
            <v>5.3699999999999998E-3</v>
          </cell>
          <cell r="W1164">
            <v>5.3699999999999998E-3</v>
          </cell>
          <cell r="X1164">
            <v>5.3699999999999998E-3</v>
          </cell>
          <cell r="Y1164">
            <v>5.3699999999999998E-3</v>
          </cell>
          <cell r="Z1164">
            <v>5.3699999999999998E-3</v>
          </cell>
          <cell r="AA1164">
            <v>5.3699999999999998E-3</v>
          </cell>
          <cell r="AB1164">
            <v>5.3699999999999998E-3</v>
          </cell>
          <cell r="AC1164">
            <v>5.3699999999999998E-3</v>
          </cell>
          <cell r="AD1164">
            <v>5.3699999999999998E-3</v>
          </cell>
          <cell r="AE1164">
            <v>5.3699999999999998E-3</v>
          </cell>
          <cell r="AF1164">
            <v>5.3699999999999998E-3</v>
          </cell>
          <cell r="AG1164">
            <v>5.3699999999999998E-3</v>
          </cell>
          <cell r="AH1164">
            <v>5.3699999999999998E-3</v>
          </cell>
        </row>
        <row r="1165">
          <cell r="B1165" t="str">
            <v>Renewable electricity - Feedstock WTT emissions (methane) - Global - ton CH4/MWh</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row>
        <row r="1166">
          <cell r="B1166" t="str">
            <v>Renewable electricity - Feedstock WTT emissions (nitrous oxide) - Global - ton N2O/MWh</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row>
        <row r="1167">
          <cell r="B1167" t="str">
            <v>LNG - Energy demand - Liquefaction - Global - MWh/ton fuel</v>
          </cell>
          <cell r="G1167">
            <v>0.6</v>
          </cell>
          <cell r="H1167">
            <v>0.6</v>
          </cell>
          <cell r="I1167">
            <v>0.6</v>
          </cell>
          <cell r="J1167">
            <v>0.6</v>
          </cell>
          <cell r="K1167">
            <v>0.6</v>
          </cell>
          <cell r="L1167">
            <v>0.6</v>
          </cell>
          <cell r="M1167">
            <v>0.6</v>
          </cell>
          <cell r="N1167">
            <v>0.6</v>
          </cell>
          <cell r="O1167">
            <v>0.6</v>
          </cell>
          <cell r="P1167">
            <v>0.6</v>
          </cell>
          <cell r="Q1167">
            <v>0.6</v>
          </cell>
          <cell r="R1167">
            <v>0.6</v>
          </cell>
          <cell r="S1167">
            <v>0.6</v>
          </cell>
          <cell r="T1167">
            <v>0.6</v>
          </cell>
          <cell r="U1167">
            <v>0.6</v>
          </cell>
          <cell r="V1167">
            <v>0.6</v>
          </cell>
          <cell r="W1167">
            <v>0.6</v>
          </cell>
          <cell r="X1167">
            <v>0.6</v>
          </cell>
          <cell r="Y1167">
            <v>0.6</v>
          </cell>
          <cell r="Z1167">
            <v>0.6</v>
          </cell>
          <cell r="AA1167">
            <v>0.6</v>
          </cell>
          <cell r="AB1167">
            <v>0.6</v>
          </cell>
          <cell r="AC1167">
            <v>0.6</v>
          </cell>
          <cell r="AD1167">
            <v>0.6</v>
          </cell>
          <cell r="AE1167">
            <v>0.6</v>
          </cell>
          <cell r="AF1167">
            <v>0.6</v>
          </cell>
          <cell r="AG1167">
            <v>0.6</v>
          </cell>
          <cell r="AH1167">
            <v>0.6</v>
          </cell>
        </row>
        <row r="1168">
          <cell r="B1168" t="str">
            <v/>
          </cell>
        </row>
        <row r="1169">
          <cell r="B1169" t="str">
            <v>LNG - Feedstock-related emissions - WTT - Global - ton CO2/ton fuel</v>
          </cell>
          <cell r="G1169">
            <v>0.11</v>
          </cell>
          <cell r="H1169">
            <v>0.11</v>
          </cell>
          <cell r="I1169">
            <v>0.11</v>
          </cell>
          <cell r="J1169">
            <v>0.11</v>
          </cell>
          <cell r="K1169">
            <v>0.11</v>
          </cell>
          <cell r="L1169">
            <v>0.11</v>
          </cell>
          <cell r="M1169">
            <v>0.11</v>
          </cell>
          <cell r="N1169">
            <v>0.11</v>
          </cell>
          <cell r="O1169">
            <v>0.11</v>
          </cell>
          <cell r="P1169">
            <v>0.11</v>
          </cell>
          <cell r="Q1169">
            <v>0.11</v>
          </cell>
          <cell r="R1169">
            <v>0.11</v>
          </cell>
          <cell r="S1169">
            <v>0.11</v>
          </cell>
          <cell r="T1169">
            <v>0.11</v>
          </cell>
          <cell r="U1169">
            <v>0.11</v>
          </cell>
          <cell r="V1169">
            <v>0.11</v>
          </cell>
          <cell r="W1169">
            <v>0.11</v>
          </cell>
          <cell r="X1169">
            <v>0.11</v>
          </cell>
          <cell r="Y1169">
            <v>0.11</v>
          </cell>
          <cell r="Z1169">
            <v>0.11</v>
          </cell>
          <cell r="AA1169">
            <v>0.11</v>
          </cell>
          <cell r="AB1169">
            <v>0.11</v>
          </cell>
          <cell r="AC1169">
            <v>0.11</v>
          </cell>
          <cell r="AD1169">
            <v>0.11</v>
          </cell>
          <cell r="AE1169">
            <v>0.11</v>
          </cell>
          <cell r="AF1169">
            <v>0.11</v>
          </cell>
          <cell r="AG1169">
            <v>0.11</v>
          </cell>
          <cell r="AH1169">
            <v>0.11</v>
          </cell>
        </row>
        <row r="1170">
          <cell r="B1170" t="str">
            <v>LNG - Feedstock-related emissions - WTT - Global - ton CH4/ton fuel</v>
          </cell>
          <cell r="G1170">
            <v>7.3000000000000001E-3</v>
          </cell>
          <cell r="H1170">
            <v>7.3000000000000001E-3</v>
          </cell>
          <cell r="I1170">
            <v>7.3000000000000001E-3</v>
          </cell>
          <cell r="J1170">
            <v>7.3000000000000001E-3</v>
          </cell>
          <cell r="K1170">
            <v>7.3000000000000001E-3</v>
          </cell>
          <cell r="L1170">
            <v>7.3000000000000001E-3</v>
          </cell>
          <cell r="M1170">
            <v>7.3000000000000001E-3</v>
          </cell>
          <cell r="N1170">
            <v>7.3000000000000001E-3</v>
          </cell>
          <cell r="O1170">
            <v>7.3000000000000001E-3</v>
          </cell>
          <cell r="P1170">
            <v>7.3000000000000001E-3</v>
          </cell>
          <cell r="Q1170">
            <v>7.3000000000000001E-3</v>
          </cell>
          <cell r="R1170">
            <v>7.3000000000000001E-3</v>
          </cell>
          <cell r="S1170">
            <v>7.3000000000000001E-3</v>
          </cell>
          <cell r="T1170">
            <v>7.3000000000000001E-3</v>
          </cell>
          <cell r="U1170">
            <v>7.3000000000000001E-3</v>
          </cell>
          <cell r="V1170">
            <v>7.3000000000000001E-3</v>
          </cell>
          <cell r="W1170">
            <v>7.3000000000000001E-3</v>
          </cell>
          <cell r="X1170">
            <v>7.3000000000000001E-3</v>
          </cell>
          <cell r="Y1170">
            <v>7.3000000000000001E-3</v>
          </cell>
          <cell r="Z1170">
            <v>7.3000000000000001E-3</v>
          </cell>
          <cell r="AA1170">
            <v>7.3000000000000001E-3</v>
          </cell>
          <cell r="AB1170">
            <v>7.3000000000000001E-3</v>
          </cell>
          <cell r="AC1170">
            <v>7.3000000000000001E-3</v>
          </cell>
          <cell r="AD1170">
            <v>7.3000000000000001E-3</v>
          </cell>
          <cell r="AE1170">
            <v>7.3000000000000001E-3</v>
          </cell>
          <cell r="AF1170">
            <v>7.3000000000000001E-3</v>
          </cell>
          <cell r="AG1170">
            <v>7.3000000000000001E-3</v>
          </cell>
          <cell r="AH1170">
            <v>7.3000000000000001E-3</v>
          </cell>
        </row>
        <row r="1171">
          <cell r="B1171" t="str">
            <v>LNG - Feedstock-related emissions - WTT - Global - ton N2O/ton fuel</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row>
        <row r="1172">
          <cell r="B1172" t="str">
            <v>Natural gas - Feedstock WTT emissions (carbon dioxide) - Global - ton CO2/ton feedstock</v>
          </cell>
          <cell r="G1172">
            <v>0.11</v>
          </cell>
          <cell r="H1172">
            <v>0.11</v>
          </cell>
          <cell r="I1172">
            <v>0.11</v>
          </cell>
          <cell r="J1172">
            <v>0.11</v>
          </cell>
          <cell r="K1172">
            <v>0.11</v>
          </cell>
          <cell r="L1172">
            <v>0.11</v>
          </cell>
          <cell r="M1172">
            <v>0.11</v>
          </cell>
          <cell r="N1172">
            <v>0.11</v>
          </cell>
          <cell r="O1172">
            <v>0.11</v>
          </cell>
          <cell r="P1172">
            <v>0.11</v>
          </cell>
          <cell r="Q1172">
            <v>0.11</v>
          </cell>
          <cell r="R1172">
            <v>0.11</v>
          </cell>
          <cell r="S1172">
            <v>0.11</v>
          </cell>
          <cell r="T1172">
            <v>0.11</v>
          </cell>
          <cell r="U1172">
            <v>0.11</v>
          </cell>
          <cell r="V1172">
            <v>0.11</v>
          </cell>
          <cell r="W1172">
            <v>0.11</v>
          </cell>
          <cell r="X1172">
            <v>0.11</v>
          </cell>
          <cell r="Y1172">
            <v>0.11</v>
          </cell>
          <cell r="Z1172">
            <v>0.11</v>
          </cell>
          <cell r="AA1172">
            <v>0.11</v>
          </cell>
          <cell r="AB1172">
            <v>0.11</v>
          </cell>
          <cell r="AC1172">
            <v>0.11</v>
          </cell>
          <cell r="AD1172">
            <v>0.11</v>
          </cell>
          <cell r="AE1172">
            <v>0.11</v>
          </cell>
          <cell r="AF1172">
            <v>0.11</v>
          </cell>
          <cell r="AG1172">
            <v>0.11</v>
          </cell>
          <cell r="AH1172">
            <v>0.11</v>
          </cell>
        </row>
        <row r="1173">
          <cell r="B1173" t="str">
            <v>Natural gas - Feedstock WTT emissions (methane) - Global - ton CH4/ton feedstock</v>
          </cell>
          <cell r="G1173">
            <v>7.3000000000000001E-3</v>
          </cell>
          <cell r="H1173">
            <v>7.3000000000000001E-3</v>
          </cell>
          <cell r="I1173">
            <v>7.3000000000000001E-3</v>
          </cell>
          <cell r="J1173">
            <v>7.3000000000000001E-3</v>
          </cell>
          <cell r="K1173">
            <v>7.3000000000000001E-3</v>
          </cell>
          <cell r="L1173">
            <v>7.3000000000000001E-3</v>
          </cell>
          <cell r="M1173">
            <v>7.3000000000000001E-3</v>
          </cell>
          <cell r="N1173">
            <v>7.3000000000000001E-3</v>
          </cell>
          <cell r="O1173">
            <v>7.3000000000000001E-3</v>
          </cell>
          <cell r="P1173">
            <v>7.3000000000000001E-3</v>
          </cell>
          <cell r="Q1173">
            <v>7.3000000000000001E-3</v>
          </cell>
          <cell r="R1173">
            <v>7.3000000000000001E-3</v>
          </cell>
          <cell r="S1173">
            <v>7.3000000000000001E-3</v>
          </cell>
          <cell r="T1173">
            <v>7.3000000000000001E-3</v>
          </cell>
          <cell r="U1173">
            <v>7.3000000000000001E-3</v>
          </cell>
          <cell r="V1173">
            <v>7.3000000000000001E-3</v>
          </cell>
          <cell r="W1173">
            <v>7.3000000000000001E-3</v>
          </cell>
          <cell r="X1173">
            <v>7.3000000000000001E-3</v>
          </cell>
          <cell r="Y1173">
            <v>7.3000000000000001E-3</v>
          </cell>
          <cell r="Z1173">
            <v>7.3000000000000001E-3</v>
          </cell>
          <cell r="AA1173">
            <v>7.3000000000000001E-3</v>
          </cell>
          <cell r="AB1173">
            <v>7.3000000000000001E-3</v>
          </cell>
          <cell r="AC1173">
            <v>7.3000000000000001E-3</v>
          </cell>
          <cell r="AD1173">
            <v>7.3000000000000001E-3</v>
          </cell>
          <cell r="AE1173">
            <v>7.3000000000000001E-3</v>
          </cell>
          <cell r="AF1173">
            <v>7.3000000000000001E-3</v>
          </cell>
          <cell r="AG1173">
            <v>7.3000000000000001E-3</v>
          </cell>
          <cell r="AH1173">
            <v>7.3000000000000001E-3</v>
          </cell>
        </row>
        <row r="1174">
          <cell r="B1174" t="str">
            <v>Natural gas - Feedstock WTT emissions (nitrous oxide) - Global - ton N2O/ton feedstock</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row>
        <row r="1175">
          <cell r="B1175" t="str">
            <v>LNG - Conversion NG -&gt; LNG - Global - ton H2/ton diesel</v>
          </cell>
          <cell r="G1175">
            <v>1</v>
          </cell>
          <cell r="H1175">
            <v>1</v>
          </cell>
          <cell r="I1175">
            <v>1</v>
          </cell>
          <cell r="J1175">
            <v>1</v>
          </cell>
          <cell r="K1175">
            <v>1</v>
          </cell>
          <cell r="L1175">
            <v>1</v>
          </cell>
          <cell r="M1175">
            <v>1</v>
          </cell>
          <cell r="N1175">
            <v>1</v>
          </cell>
          <cell r="O1175">
            <v>1</v>
          </cell>
          <cell r="P1175">
            <v>1</v>
          </cell>
          <cell r="Q1175">
            <v>1</v>
          </cell>
          <cell r="R1175">
            <v>1</v>
          </cell>
          <cell r="S1175">
            <v>1</v>
          </cell>
          <cell r="T1175">
            <v>1</v>
          </cell>
          <cell r="U1175">
            <v>1</v>
          </cell>
          <cell r="V1175">
            <v>1</v>
          </cell>
          <cell r="W1175">
            <v>1</v>
          </cell>
          <cell r="X1175">
            <v>1</v>
          </cell>
          <cell r="Y1175">
            <v>1</v>
          </cell>
          <cell r="Z1175">
            <v>1</v>
          </cell>
          <cell r="AA1175">
            <v>1</v>
          </cell>
          <cell r="AB1175">
            <v>1</v>
          </cell>
          <cell r="AC1175">
            <v>1</v>
          </cell>
          <cell r="AD1175">
            <v>1</v>
          </cell>
          <cell r="AE1175">
            <v>1</v>
          </cell>
          <cell r="AF1175">
            <v>1</v>
          </cell>
          <cell r="AG1175">
            <v>1</v>
          </cell>
          <cell r="AH1175">
            <v>1</v>
          </cell>
        </row>
        <row r="1176">
          <cell r="B1176" t="str">
            <v/>
          </cell>
        </row>
        <row r="1177">
          <cell r="B1177" t="str">
            <v>LSFO - Item - Region - Unit</v>
          </cell>
          <cell r="G1177">
            <v>2023</v>
          </cell>
          <cell r="H1177">
            <v>2024</v>
          </cell>
          <cell r="I1177">
            <v>2025</v>
          </cell>
          <cell r="J1177">
            <v>2026</v>
          </cell>
          <cell r="K1177">
            <v>2027</v>
          </cell>
          <cell r="L1177">
            <v>2028</v>
          </cell>
          <cell r="M1177">
            <v>2029</v>
          </cell>
          <cell r="N1177">
            <v>2030</v>
          </cell>
          <cell r="O1177">
            <v>2031</v>
          </cell>
          <cell r="P1177">
            <v>2032</v>
          </cell>
          <cell r="Q1177">
            <v>2033</v>
          </cell>
          <cell r="R1177">
            <v>2034</v>
          </cell>
          <cell r="S1177">
            <v>2035</v>
          </cell>
          <cell r="T1177">
            <v>2036</v>
          </cell>
          <cell r="U1177">
            <v>2037</v>
          </cell>
          <cell r="V1177">
            <v>2038</v>
          </cell>
          <cell r="W1177">
            <v>2039</v>
          </cell>
          <cell r="X1177">
            <v>2040</v>
          </cell>
          <cell r="Y1177">
            <v>2041</v>
          </cell>
          <cell r="Z1177">
            <v>2042</v>
          </cell>
          <cell r="AA1177">
            <v>2043</v>
          </cell>
          <cell r="AB1177">
            <v>2044</v>
          </cell>
          <cell r="AC1177">
            <v>2045</v>
          </cell>
          <cell r="AD1177">
            <v>2046</v>
          </cell>
          <cell r="AE1177">
            <v>2047</v>
          </cell>
          <cell r="AF1177">
            <v>2048</v>
          </cell>
          <cell r="AG1177">
            <v>2049</v>
          </cell>
          <cell r="AH1177">
            <v>2050</v>
          </cell>
        </row>
        <row r="1178">
          <cell r="B1178" t="str">
            <v/>
          </cell>
        </row>
        <row r="1179">
          <cell r="B1179" t="str">
            <v>LSFO - Total emissions - WTW - GWP100 - Global - ton CO2eq/ton fuel</v>
          </cell>
          <cell r="G1179">
            <v>3.8433300000000004</v>
          </cell>
          <cell r="H1179">
            <v>3.8433300000000004</v>
          </cell>
          <cell r="I1179">
            <v>3.8433300000000004</v>
          </cell>
          <cell r="J1179">
            <v>3.8433300000000004</v>
          </cell>
          <cell r="K1179">
            <v>3.8433300000000004</v>
          </cell>
          <cell r="L1179">
            <v>3.8433300000000004</v>
          </cell>
          <cell r="M1179">
            <v>3.8433300000000004</v>
          </cell>
          <cell r="N1179">
            <v>3.8433300000000004</v>
          </cell>
          <cell r="O1179">
            <v>3.8433300000000004</v>
          </cell>
          <cell r="P1179">
            <v>3.8433300000000004</v>
          </cell>
          <cell r="Q1179">
            <v>3.8433300000000004</v>
          </cell>
          <cell r="R1179">
            <v>3.8433300000000004</v>
          </cell>
          <cell r="S1179">
            <v>3.8433300000000004</v>
          </cell>
          <cell r="T1179">
            <v>3.8433300000000004</v>
          </cell>
          <cell r="U1179">
            <v>3.8433300000000004</v>
          </cell>
          <cell r="V1179">
            <v>3.8433300000000004</v>
          </cell>
          <cell r="W1179">
            <v>3.8433300000000004</v>
          </cell>
          <cell r="X1179">
            <v>3.8433300000000004</v>
          </cell>
          <cell r="Y1179">
            <v>3.8433300000000004</v>
          </cell>
          <cell r="Z1179">
            <v>3.8433300000000004</v>
          </cell>
          <cell r="AA1179">
            <v>3.8433300000000004</v>
          </cell>
          <cell r="AB1179">
            <v>3.8433300000000004</v>
          </cell>
          <cell r="AC1179">
            <v>3.8433300000000004</v>
          </cell>
          <cell r="AD1179">
            <v>3.8433300000000004</v>
          </cell>
          <cell r="AE1179">
            <v>3.8433300000000004</v>
          </cell>
          <cell r="AF1179">
            <v>3.8433300000000004</v>
          </cell>
          <cell r="AG1179">
            <v>3.8433300000000004</v>
          </cell>
          <cell r="AH1179">
            <v>3.8433300000000004</v>
          </cell>
        </row>
        <row r="1180">
          <cell r="B1180" t="str">
            <v>LSFO - Total emissions - WTW - GWP20 - Global - ton CO2eq/ton fuel</v>
          </cell>
          <cell r="G1180">
            <v>3.8434300000000001</v>
          </cell>
          <cell r="H1180">
            <v>3.8434300000000001</v>
          </cell>
          <cell r="I1180">
            <v>3.8434300000000001</v>
          </cell>
          <cell r="J1180">
            <v>3.8434300000000001</v>
          </cell>
          <cell r="K1180">
            <v>3.8434300000000001</v>
          </cell>
          <cell r="L1180">
            <v>3.8434300000000001</v>
          </cell>
          <cell r="M1180">
            <v>3.8434300000000001</v>
          </cell>
          <cell r="N1180">
            <v>3.8434300000000001</v>
          </cell>
          <cell r="O1180">
            <v>3.8434300000000001</v>
          </cell>
          <cell r="P1180">
            <v>3.8434300000000001</v>
          </cell>
          <cell r="Q1180">
            <v>3.8434300000000001</v>
          </cell>
          <cell r="R1180">
            <v>3.8434300000000001</v>
          </cell>
          <cell r="S1180">
            <v>3.8434300000000001</v>
          </cell>
          <cell r="T1180">
            <v>3.8434300000000001</v>
          </cell>
          <cell r="U1180">
            <v>3.8434300000000001</v>
          </cell>
          <cell r="V1180">
            <v>3.8434300000000001</v>
          </cell>
          <cell r="W1180">
            <v>3.8434300000000001</v>
          </cell>
          <cell r="X1180">
            <v>3.8434300000000001</v>
          </cell>
          <cell r="Y1180">
            <v>3.8434300000000001</v>
          </cell>
          <cell r="Z1180">
            <v>3.8434300000000001</v>
          </cell>
          <cell r="AA1180">
            <v>3.8434300000000001</v>
          </cell>
          <cell r="AB1180">
            <v>3.8434300000000001</v>
          </cell>
          <cell r="AC1180">
            <v>3.8434300000000001</v>
          </cell>
          <cell r="AD1180">
            <v>3.8434300000000001</v>
          </cell>
          <cell r="AE1180">
            <v>3.8434300000000001</v>
          </cell>
          <cell r="AF1180">
            <v>3.8434300000000001</v>
          </cell>
          <cell r="AG1180">
            <v>3.8434300000000001</v>
          </cell>
          <cell r="AH1180">
            <v>3.8434300000000001</v>
          </cell>
        </row>
        <row r="1181">
          <cell r="B1181" t="str">
            <v>LSFO - Total emissions - TTW - GWP100 - Global - ton CO2eq/ton fuel</v>
          </cell>
          <cell r="G1181">
            <v>3.1633300000000002</v>
          </cell>
          <cell r="H1181">
            <v>3.1633300000000002</v>
          </cell>
          <cell r="I1181">
            <v>3.1633300000000002</v>
          </cell>
          <cell r="J1181">
            <v>3.1633300000000002</v>
          </cell>
          <cell r="K1181">
            <v>3.1633300000000002</v>
          </cell>
          <cell r="L1181">
            <v>3.1633300000000002</v>
          </cell>
          <cell r="M1181">
            <v>3.1633300000000002</v>
          </cell>
          <cell r="N1181">
            <v>3.1633300000000002</v>
          </cell>
          <cell r="O1181">
            <v>3.1633300000000002</v>
          </cell>
          <cell r="P1181">
            <v>3.1633300000000002</v>
          </cell>
          <cell r="Q1181">
            <v>3.1633300000000002</v>
          </cell>
          <cell r="R1181">
            <v>3.1633300000000002</v>
          </cell>
          <cell r="S1181">
            <v>3.1633300000000002</v>
          </cell>
          <cell r="T1181">
            <v>3.1633300000000002</v>
          </cell>
          <cell r="U1181">
            <v>3.1633300000000002</v>
          </cell>
          <cell r="V1181">
            <v>3.1633300000000002</v>
          </cell>
          <cell r="W1181">
            <v>3.1633300000000002</v>
          </cell>
          <cell r="X1181">
            <v>3.1633300000000002</v>
          </cell>
          <cell r="Y1181">
            <v>3.1633300000000002</v>
          </cell>
          <cell r="Z1181">
            <v>3.1633300000000002</v>
          </cell>
          <cell r="AA1181">
            <v>3.1633300000000002</v>
          </cell>
          <cell r="AB1181">
            <v>3.1633300000000002</v>
          </cell>
          <cell r="AC1181">
            <v>3.1633300000000002</v>
          </cell>
          <cell r="AD1181">
            <v>3.1633300000000002</v>
          </cell>
          <cell r="AE1181">
            <v>3.1633300000000002</v>
          </cell>
          <cell r="AF1181">
            <v>3.1633300000000002</v>
          </cell>
          <cell r="AG1181">
            <v>3.1633300000000002</v>
          </cell>
          <cell r="AH1181">
            <v>3.1633300000000002</v>
          </cell>
        </row>
        <row r="1182">
          <cell r="B1182" t="str">
            <v>LSFO - Total emissions - TTW - GWP20 - Global - ton CO2eq/ton fuel</v>
          </cell>
          <cell r="G1182">
            <v>3.16343</v>
          </cell>
          <cell r="H1182">
            <v>3.16343</v>
          </cell>
          <cell r="I1182">
            <v>3.16343</v>
          </cell>
          <cell r="J1182">
            <v>3.16343</v>
          </cell>
          <cell r="K1182">
            <v>3.16343</v>
          </cell>
          <cell r="L1182">
            <v>3.16343</v>
          </cell>
          <cell r="M1182">
            <v>3.16343</v>
          </cell>
          <cell r="N1182">
            <v>3.16343</v>
          </cell>
          <cell r="O1182">
            <v>3.16343</v>
          </cell>
          <cell r="P1182">
            <v>3.16343</v>
          </cell>
          <cell r="Q1182">
            <v>3.16343</v>
          </cell>
          <cell r="R1182">
            <v>3.16343</v>
          </cell>
          <cell r="S1182">
            <v>3.16343</v>
          </cell>
          <cell r="T1182">
            <v>3.16343</v>
          </cell>
          <cell r="U1182">
            <v>3.16343</v>
          </cell>
          <cell r="V1182">
            <v>3.16343</v>
          </cell>
          <cell r="W1182">
            <v>3.16343</v>
          </cell>
          <cell r="X1182">
            <v>3.16343</v>
          </cell>
          <cell r="Y1182">
            <v>3.16343</v>
          </cell>
          <cell r="Z1182">
            <v>3.16343</v>
          </cell>
          <cell r="AA1182">
            <v>3.16343</v>
          </cell>
          <cell r="AB1182">
            <v>3.16343</v>
          </cell>
          <cell r="AC1182">
            <v>3.16343</v>
          </cell>
          <cell r="AD1182">
            <v>3.16343</v>
          </cell>
          <cell r="AE1182">
            <v>3.16343</v>
          </cell>
          <cell r="AF1182">
            <v>3.16343</v>
          </cell>
          <cell r="AG1182">
            <v>3.16343</v>
          </cell>
          <cell r="AH1182">
            <v>3.16343</v>
          </cell>
        </row>
        <row r="1183">
          <cell r="B1183" t="str">
            <v>LSFO - Total emissions - WTT - GWP100 - Global - ton CO2eq/ton fuel</v>
          </cell>
          <cell r="G1183">
            <v>0.68</v>
          </cell>
          <cell r="H1183">
            <v>0.68</v>
          </cell>
          <cell r="I1183">
            <v>0.68</v>
          </cell>
          <cell r="J1183">
            <v>0.68</v>
          </cell>
          <cell r="K1183">
            <v>0.68</v>
          </cell>
          <cell r="L1183">
            <v>0.68</v>
          </cell>
          <cell r="M1183">
            <v>0.68</v>
          </cell>
          <cell r="N1183">
            <v>0.68</v>
          </cell>
          <cell r="O1183">
            <v>0.68</v>
          </cell>
          <cell r="P1183">
            <v>0.68</v>
          </cell>
          <cell r="Q1183">
            <v>0.68</v>
          </cell>
          <cell r="R1183">
            <v>0.68</v>
          </cell>
          <cell r="S1183">
            <v>0.68</v>
          </cell>
          <cell r="T1183">
            <v>0.68</v>
          </cell>
          <cell r="U1183">
            <v>0.68</v>
          </cell>
          <cell r="V1183">
            <v>0.68</v>
          </cell>
          <cell r="W1183">
            <v>0.68</v>
          </cell>
          <cell r="X1183">
            <v>0.68</v>
          </cell>
          <cell r="Y1183">
            <v>0.68</v>
          </cell>
          <cell r="Z1183">
            <v>0.68</v>
          </cell>
          <cell r="AA1183">
            <v>0.68</v>
          </cell>
          <cell r="AB1183">
            <v>0.68</v>
          </cell>
          <cell r="AC1183">
            <v>0.68</v>
          </cell>
          <cell r="AD1183">
            <v>0.68</v>
          </cell>
          <cell r="AE1183">
            <v>0.68</v>
          </cell>
          <cell r="AF1183">
            <v>0.68</v>
          </cell>
          <cell r="AG1183">
            <v>0.68</v>
          </cell>
          <cell r="AH1183">
            <v>0.68</v>
          </cell>
        </row>
        <row r="1184">
          <cell r="B1184" t="str">
            <v>LSFO - Total emissions - WTT - GWP20 - Global - ton CO2eq/ton fuel</v>
          </cell>
          <cell r="G1184">
            <v>0.68</v>
          </cell>
          <cell r="H1184">
            <v>0.68</v>
          </cell>
          <cell r="I1184">
            <v>0.68</v>
          </cell>
          <cell r="J1184">
            <v>0.68</v>
          </cell>
          <cell r="K1184">
            <v>0.68</v>
          </cell>
          <cell r="L1184">
            <v>0.68</v>
          </cell>
          <cell r="M1184">
            <v>0.68</v>
          </cell>
          <cell r="N1184">
            <v>0.68</v>
          </cell>
          <cell r="O1184">
            <v>0.68</v>
          </cell>
          <cell r="P1184">
            <v>0.68</v>
          </cell>
          <cell r="Q1184">
            <v>0.68</v>
          </cell>
          <cell r="R1184">
            <v>0.68</v>
          </cell>
          <cell r="S1184">
            <v>0.68</v>
          </cell>
          <cell r="T1184">
            <v>0.68</v>
          </cell>
          <cell r="U1184">
            <v>0.68</v>
          </cell>
          <cell r="V1184">
            <v>0.68</v>
          </cell>
          <cell r="W1184">
            <v>0.68</v>
          </cell>
          <cell r="X1184">
            <v>0.68</v>
          </cell>
          <cell r="Y1184">
            <v>0.68</v>
          </cell>
          <cell r="Z1184">
            <v>0.68</v>
          </cell>
          <cell r="AA1184">
            <v>0.68</v>
          </cell>
          <cell r="AB1184">
            <v>0.68</v>
          </cell>
          <cell r="AC1184">
            <v>0.68</v>
          </cell>
          <cell r="AD1184">
            <v>0.68</v>
          </cell>
          <cell r="AE1184">
            <v>0.68</v>
          </cell>
          <cell r="AF1184">
            <v>0.68</v>
          </cell>
          <cell r="AG1184">
            <v>0.68</v>
          </cell>
          <cell r="AH1184">
            <v>0.68</v>
          </cell>
        </row>
        <row r="1185">
          <cell r="B1185" t="str">
            <v>General - Methane - GWP100 - Global - ton CO2eq/ton fuel</v>
          </cell>
          <cell r="G1185">
            <v>29</v>
          </cell>
          <cell r="H1185">
            <v>29</v>
          </cell>
          <cell r="I1185">
            <v>29</v>
          </cell>
          <cell r="J1185">
            <v>29</v>
          </cell>
          <cell r="K1185">
            <v>29</v>
          </cell>
          <cell r="L1185">
            <v>29</v>
          </cell>
          <cell r="M1185">
            <v>29</v>
          </cell>
          <cell r="N1185">
            <v>29</v>
          </cell>
          <cell r="O1185">
            <v>29</v>
          </cell>
          <cell r="P1185">
            <v>29</v>
          </cell>
          <cell r="Q1185">
            <v>29</v>
          </cell>
          <cell r="R1185">
            <v>29</v>
          </cell>
          <cell r="S1185">
            <v>29</v>
          </cell>
          <cell r="T1185">
            <v>29</v>
          </cell>
          <cell r="U1185">
            <v>29</v>
          </cell>
          <cell r="V1185">
            <v>29</v>
          </cell>
          <cell r="W1185">
            <v>29</v>
          </cell>
          <cell r="X1185">
            <v>29</v>
          </cell>
          <cell r="Y1185">
            <v>29</v>
          </cell>
          <cell r="Z1185">
            <v>29</v>
          </cell>
          <cell r="AA1185">
            <v>29</v>
          </cell>
          <cell r="AB1185">
            <v>29</v>
          </cell>
          <cell r="AC1185">
            <v>29</v>
          </cell>
          <cell r="AD1185">
            <v>29</v>
          </cell>
          <cell r="AE1185">
            <v>29</v>
          </cell>
          <cell r="AF1185">
            <v>29</v>
          </cell>
          <cell r="AG1185">
            <v>29</v>
          </cell>
          <cell r="AH1185">
            <v>29</v>
          </cell>
        </row>
        <row r="1186">
          <cell r="B1186" t="str">
            <v>General - Methane - GWP20 - Global - ton CO2eq/ton fuel</v>
          </cell>
          <cell r="G1186">
            <v>85</v>
          </cell>
          <cell r="H1186">
            <v>85</v>
          </cell>
          <cell r="I1186">
            <v>85</v>
          </cell>
          <cell r="J1186">
            <v>85</v>
          </cell>
          <cell r="K1186">
            <v>85</v>
          </cell>
          <cell r="L1186">
            <v>85</v>
          </cell>
          <cell r="M1186">
            <v>85</v>
          </cell>
          <cell r="N1186">
            <v>85</v>
          </cell>
          <cell r="O1186">
            <v>85</v>
          </cell>
          <cell r="P1186">
            <v>85</v>
          </cell>
          <cell r="Q1186">
            <v>85</v>
          </cell>
          <cell r="R1186">
            <v>85</v>
          </cell>
          <cell r="S1186">
            <v>85</v>
          </cell>
          <cell r="T1186">
            <v>85</v>
          </cell>
          <cell r="U1186">
            <v>85</v>
          </cell>
          <cell r="V1186">
            <v>85</v>
          </cell>
          <cell r="W1186">
            <v>85</v>
          </cell>
          <cell r="X1186">
            <v>85</v>
          </cell>
          <cell r="Y1186">
            <v>85</v>
          </cell>
          <cell r="Z1186">
            <v>85</v>
          </cell>
          <cell r="AA1186">
            <v>85</v>
          </cell>
          <cell r="AB1186">
            <v>85</v>
          </cell>
          <cell r="AC1186">
            <v>85</v>
          </cell>
          <cell r="AD1186">
            <v>85</v>
          </cell>
          <cell r="AE1186">
            <v>85</v>
          </cell>
          <cell r="AF1186">
            <v>85</v>
          </cell>
          <cell r="AG1186">
            <v>85</v>
          </cell>
          <cell r="AH1186">
            <v>85</v>
          </cell>
        </row>
        <row r="1187">
          <cell r="B1187" t="str">
            <v>General - Nitrous oxide - GWP100 - Global - ton CO2eq/ton fuel</v>
          </cell>
          <cell r="G1187">
            <v>266</v>
          </cell>
          <cell r="H1187">
            <v>266</v>
          </cell>
          <cell r="I1187">
            <v>266</v>
          </cell>
          <cell r="J1187">
            <v>266</v>
          </cell>
          <cell r="K1187">
            <v>266</v>
          </cell>
          <cell r="L1187">
            <v>266</v>
          </cell>
          <cell r="M1187">
            <v>266</v>
          </cell>
          <cell r="N1187">
            <v>266</v>
          </cell>
          <cell r="O1187">
            <v>266</v>
          </cell>
          <cell r="P1187">
            <v>266</v>
          </cell>
          <cell r="Q1187">
            <v>266</v>
          </cell>
          <cell r="R1187">
            <v>266</v>
          </cell>
          <cell r="S1187">
            <v>266</v>
          </cell>
          <cell r="T1187">
            <v>266</v>
          </cell>
          <cell r="U1187">
            <v>266</v>
          </cell>
          <cell r="V1187">
            <v>266</v>
          </cell>
          <cell r="W1187">
            <v>266</v>
          </cell>
          <cell r="X1187">
            <v>266</v>
          </cell>
          <cell r="Y1187">
            <v>266</v>
          </cell>
          <cell r="Z1187">
            <v>266</v>
          </cell>
          <cell r="AA1187">
            <v>266</v>
          </cell>
          <cell r="AB1187">
            <v>266</v>
          </cell>
          <cell r="AC1187">
            <v>266</v>
          </cell>
          <cell r="AD1187">
            <v>266</v>
          </cell>
          <cell r="AE1187">
            <v>266</v>
          </cell>
          <cell r="AF1187">
            <v>266</v>
          </cell>
          <cell r="AG1187">
            <v>266</v>
          </cell>
          <cell r="AH1187">
            <v>266</v>
          </cell>
        </row>
        <row r="1188">
          <cell r="B1188" t="str">
            <v>General - Nitrous oxide - GWP20 - Global - ton CO2eq/ton fuel</v>
          </cell>
          <cell r="G1188">
            <v>251</v>
          </cell>
          <cell r="H1188">
            <v>251</v>
          </cell>
          <cell r="I1188">
            <v>251</v>
          </cell>
          <cell r="J1188">
            <v>251</v>
          </cell>
          <cell r="K1188">
            <v>251</v>
          </cell>
          <cell r="L1188">
            <v>251</v>
          </cell>
          <cell r="M1188">
            <v>251</v>
          </cell>
          <cell r="N1188">
            <v>251</v>
          </cell>
          <cell r="O1188">
            <v>251</v>
          </cell>
          <cell r="P1188">
            <v>251</v>
          </cell>
          <cell r="Q1188">
            <v>251</v>
          </cell>
          <cell r="R1188">
            <v>251</v>
          </cell>
          <cell r="S1188">
            <v>251</v>
          </cell>
          <cell r="T1188">
            <v>251</v>
          </cell>
          <cell r="U1188">
            <v>251</v>
          </cell>
          <cell r="V1188">
            <v>251</v>
          </cell>
          <cell r="W1188">
            <v>251</v>
          </cell>
          <cell r="X1188">
            <v>251</v>
          </cell>
          <cell r="Y1188">
            <v>251</v>
          </cell>
          <cell r="Z1188">
            <v>251</v>
          </cell>
          <cell r="AA1188">
            <v>251</v>
          </cell>
          <cell r="AB1188">
            <v>251</v>
          </cell>
          <cell r="AC1188">
            <v>251</v>
          </cell>
          <cell r="AD1188">
            <v>251</v>
          </cell>
          <cell r="AE1188">
            <v>251</v>
          </cell>
          <cell r="AF1188">
            <v>251</v>
          </cell>
          <cell r="AG1188">
            <v>251</v>
          </cell>
          <cell r="AH1188">
            <v>251</v>
          </cell>
        </row>
        <row r="1189">
          <cell r="B1189" t="str">
            <v/>
          </cell>
        </row>
        <row r="1190">
          <cell r="B1190" t="str">
            <v>LSFO - Total emissions - WTW - Global - ton CO2/ton fuel</v>
          </cell>
          <cell r="G1190">
            <v>3.794</v>
          </cell>
          <cell r="H1190">
            <v>3.794</v>
          </cell>
          <cell r="I1190">
            <v>3.794</v>
          </cell>
          <cell r="J1190">
            <v>3.794</v>
          </cell>
          <cell r="K1190">
            <v>3.794</v>
          </cell>
          <cell r="L1190">
            <v>3.794</v>
          </cell>
          <cell r="M1190">
            <v>3.794</v>
          </cell>
          <cell r="N1190">
            <v>3.794</v>
          </cell>
          <cell r="O1190">
            <v>3.794</v>
          </cell>
          <cell r="P1190">
            <v>3.794</v>
          </cell>
          <cell r="Q1190">
            <v>3.794</v>
          </cell>
          <cell r="R1190">
            <v>3.794</v>
          </cell>
          <cell r="S1190">
            <v>3.794</v>
          </cell>
          <cell r="T1190">
            <v>3.794</v>
          </cell>
          <cell r="U1190">
            <v>3.794</v>
          </cell>
          <cell r="V1190">
            <v>3.794</v>
          </cell>
          <cell r="W1190">
            <v>3.794</v>
          </cell>
          <cell r="X1190">
            <v>3.794</v>
          </cell>
          <cell r="Y1190">
            <v>3.794</v>
          </cell>
          <cell r="Z1190">
            <v>3.794</v>
          </cell>
          <cell r="AA1190">
            <v>3.794</v>
          </cell>
          <cell r="AB1190">
            <v>3.794</v>
          </cell>
          <cell r="AC1190">
            <v>3.794</v>
          </cell>
          <cell r="AD1190">
            <v>3.794</v>
          </cell>
          <cell r="AE1190">
            <v>3.794</v>
          </cell>
          <cell r="AF1190">
            <v>3.794</v>
          </cell>
          <cell r="AG1190">
            <v>3.794</v>
          </cell>
          <cell r="AH1190">
            <v>3.794</v>
          </cell>
        </row>
        <row r="1191">
          <cell r="B1191" t="str">
            <v>LSFO - Total emissions - WTW - Global - ton CH4/ton fuel</v>
          </cell>
          <cell r="G1191">
            <v>5.0000000000000002E-5</v>
          </cell>
          <cell r="H1191">
            <v>5.0000000000000002E-5</v>
          </cell>
          <cell r="I1191">
            <v>5.0000000000000002E-5</v>
          </cell>
          <cell r="J1191">
            <v>5.0000000000000002E-5</v>
          </cell>
          <cell r="K1191">
            <v>5.0000000000000002E-5</v>
          </cell>
          <cell r="L1191">
            <v>5.0000000000000002E-5</v>
          </cell>
          <cell r="M1191">
            <v>5.0000000000000002E-5</v>
          </cell>
          <cell r="N1191">
            <v>5.0000000000000002E-5</v>
          </cell>
          <cell r="O1191">
            <v>5.0000000000000002E-5</v>
          </cell>
          <cell r="P1191">
            <v>5.0000000000000002E-5</v>
          </cell>
          <cell r="Q1191">
            <v>5.0000000000000002E-5</v>
          </cell>
          <cell r="R1191">
            <v>5.0000000000000002E-5</v>
          </cell>
          <cell r="S1191">
            <v>5.0000000000000002E-5</v>
          </cell>
          <cell r="T1191">
            <v>5.0000000000000002E-5</v>
          </cell>
          <cell r="U1191">
            <v>5.0000000000000002E-5</v>
          </cell>
          <cell r="V1191">
            <v>5.0000000000000002E-5</v>
          </cell>
          <cell r="W1191">
            <v>5.0000000000000002E-5</v>
          </cell>
          <cell r="X1191">
            <v>5.0000000000000002E-5</v>
          </cell>
          <cell r="Y1191">
            <v>5.0000000000000002E-5</v>
          </cell>
          <cell r="Z1191">
            <v>5.0000000000000002E-5</v>
          </cell>
          <cell r="AA1191">
            <v>5.0000000000000002E-5</v>
          </cell>
          <cell r="AB1191">
            <v>5.0000000000000002E-5</v>
          </cell>
          <cell r="AC1191">
            <v>5.0000000000000002E-5</v>
          </cell>
          <cell r="AD1191">
            <v>5.0000000000000002E-5</v>
          </cell>
          <cell r="AE1191">
            <v>5.0000000000000002E-5</v>
          </cell>
          <cell r="AF1191">
            <v>5.0000000000000002E-5</v>
          </cell>
          <cell r="AG1191">
            <v>5.0000000000000002E-5</v>
          </cell>
          <cell r="AH1191">
            <v>5.0000000000000002E-5</v>
          </cell>
        </row>
        <row r="1192">
          <cell r="B1192" t="str">
            <v>LSFO - Total emissions - WTW - Global - ton N2O/ton fuel</v>
          </cell>
          <cell r="G1192">
            <v>1.8000000000000001E-4</v>
          </cell>
          <cell r="H1192">
            <v>1.8000000000000001E-4</v>
          </cell>
          <cell r="I1192">
            <v>1.8000000000000001E-4</v>
          </cell>
          <cell r="J1192">
            <v>1.8000000000000001E-4</v>
          </cell>
          <cell r="K1192">
            <v>1.8000000000000001E-4</v>
          </cell>
          <cell r="L1192">
            <v>1.8000000000000001E-4</v>
          </cell>
          <cell r="M1192">
            <v>1.8000000000000001E-4</v>
          </cell>
          <cell r="N1192">
            <v>1.8000000000000001E-4</v>
          </cell>
          <cell r="O1192">
            <v>1.8000000000000001E-4</v>
          </cell>
          <cell r="P1192">
            <v>1.8000000000000001E-4</v>
          </cell>
          <cell r="Q1192">
            <v>1.8000000000000001E-4</v>
          </cell>
          <cell r="R1192">
            <v>1.8000000000000001E-4</v>
          </cell>
          <cell r="S1192">
            <v>1.8000000000000001E-4</v>
          </cell>
          <cell r="T1192">
            <v>1.8000000000000001E-4</v>
          </cell>
          <cell r="U1192">
            <v>1.8000000000000001E-4</v>
          </cell>
          <cell r="V1192">
            <v>1.8000000000000001E-4</v>
          </cell>
          <cell r="W1192">
            <v>1.8000000000000001E-4</v>
          </cell>
          <cell r="X1192">
            <v>1.8000000000000001E-4</v>
          </cell>
          <cell r="Y1192">
            <v>1.8000000000000001E-4</v>
          </cell>
          <cell r="Z1192">
            <v>1.8000000000000001E-4</v>
          </cell>
          <cell r="AA1192">
            <v>1.8000000000000001E-4</v>
          </cell>
          <cell r="AB1192">
            <v>1.8000000000000001E-4</v>
          </cell>
          <cell r="AC1192">
            <v>1.8000000000000001E-4</v>
          </cell>
          <cell r="AD1192">
            <v>1.8000000000000001E-4</v>
          </cell>
          <cell r="AE1192">
            <v>1.8000000000000001E-4</v>
          </cell>
          <cell r="AF1192">
            <v>1.8000000000000001E-4</v>
          </cell>
          <cell r="AG1192">
            <v>1.8000000000000001E-4</v>
          </cell>
          <cell r="AH1192">
            <v>1.8000000000000001E-4</v>
          </cell>
        </row>
        <row r="1193">
          <cell r="B1193" t="str">
            <v/>
          </cell>
        </row>
        <row r="1194">
          <cell r="B1194" t="str">
            <v>LSFO - Total emissions - TTW - Global - ton CO2/ton fuel</v>
          </cell>
          <cell r="G1194">
            <v>3.1139999999999999</v>
          </cell>
          <cell r="H1194">
            <v>3.1139999999999999</v>
          </cell>
          <cell r="I1194">
            <v>3.1139999999999999</v>
          </cell>
          <cell r="J1194">
            <v>3.1139999999999999</v>
          </cell>
          <cell r="K1194">
            <v>3.1139999999999999</v>
          </cell>
          <cell r="L1194">
            <v>3.1139999999999999</v>
          </cell>
          <cell r="M1194">
            <v>3.1139999999999999</v>
          </cell>
          <cell r="N1194">
            <v>3.1139999999999999</v>
          </cell>
          <cell r="O1194">
            <v>3.1139999999999999</v>
          </cell>
          <cell r="P1194">
            <v>3.1139999999999999</v>
          </cell>
          <cell r="Q1194">
            <v>3.1139999999999999</v>
          </cell>
          <cell r="R1194">
            <v>3.1139999999999999</v>
          </cell>
          <cell r="S1194">
            <v>3.1139999999999999</v>
          </cell>
          <cell r="T1194">
            <v>3.1139999999999999</v>
          </cell>
          <cell r="U1194">
            <v>3.1139999999999999</v>
          </cell>
          <cell r="V1194">
            <v>3.1139999999999999</v>
          </cell>
          <cell r="W1194">
            <v>3.1139999999999999</v>
          </cell>
          <cell r="X1194">
            <v>3.1139999999999999</v>
          </cell>
          <cell r="Y1194">
            <v>3.1139999999999999</v>
          </cell>
          <cell r="Z1194">
            <v>3.1139999999999999</v>
          </cell>
          <cell r="AA1194">
            <v>3.1139999999999999</v>
          </cell>
          <cell r="AB1194">
            <v>3.1139999999999999</v>
          </cell>
          <cell r="AC1194">
            <v>3.1139999999999999</v>
          </cell>
          <cell r="AD1194">
            <v>3.1139999999999999</v>
          </cell>
          <cell r="AE1194">
            <v>3.1139999999999999</v>
          </cell>
          <cell r="AF1194">
            <v>3.1139999999999999</v>
          </cell>
          <cell r="AG1194">
            <v>3.1139999999999999</v>
          </cell>
          <cell r="AH1194">
            <v>3.1139999999999999</v>
          </cell>
        </row>
        <row r="1195">
          <cell r="B1195" t="str">
            <v>LSFO - Total emissions - TTW - Global - ton CH4/ton fuel</v>
          </cell>
          <cell r="G1195">
            <v>5.0000000000000002E-5</v>
          </cell>
          <cell r="H1195">
            <v>5.0000000000000002E-5</v>
          </cell>
          <cell r="I1195">
            <v>5.0000000000000002E-5</v>
          </cell>
          <cell r="J1195">
            <v>5.0000000000000002E-5</v>
          </cell>
          <cell r="K1195">
            <v>5.0000000000000002E-5</v>
          </cell>
          <cell r="L1195">
            <v>5.0000000000000002E-5</v>
          </cell>
          <cell r="M1195">
            <v>5.0000000000000002E-5</v>
          </cell>
          <cell r="N1195">
            <v>5.0000000000000002E-5</v>
          </cell>
          <cell r="O1195">
            <v>5.0000000000000002E-5</v>
          </cell>
          <cell r="P1195">
            <v>5.0000000000000002E-5</v>
          </cell>
          <cell r="Q1195">
            <v>5.0000000000000002E-5</v>
          </cell>
          <cell r="R1195">
            <v>5.0000000000000002E-5</v>
          </cell>
          <cell r="S1195">
            <v>5.0000000000000002E-5</v>
          </cell>
          <cell r="T1195">
            <v>5.0000000000000002E-5</v>
          </cell>
          <cell r="U1195">
            <v>5.0000000000000002E-5</v>
          </cell>
          <cell r="V1195">
            <v>5.0000000000000002E-5</v>
          </cell>
          <cell r="W1195">
            <v>5.0000000000000002E-5</v>
          </cell>
          <cell r="X1195">
            <v>5.0000000000000002E-5</v>
          </cell>
          <cell r="Y1195">
            <v>5.0000000000000002E-5</v>
          </cell>
          <cell r="Z1195">
            <v>5.0000000000000002E-5</v>
          </cell>
          <cell r="AA1195">
            <v>5.0000000000000002E-5</v>
          </cell>
          <cell r="AB1195">
            <v>5.0000000000000002E-5</v>
          </cell>
          <cell r="AC1195">
            <v>5.0000000000000002E-5</v>
          </cell>
          <cell r="AD1195">
            <v>5.0000000000000002E-5</v>
          </cell>
          <cell r="AE1195">
            <v>5.0000000000000002E-5</v>
          </cell>
          <cell r="AF1195">
            <v>5.0000000000000002E-5</v>
          </cell>
          <cell r="AG1195">
            <v>5.0000000000000002E-5</v>
          </cell>
          <cell r="AH1195">
            <v>5.0000000000000002E-5</v>
          </cell>
        </row>
        <row r="1196">
          <cell r="B1196" t="str">
            <v>LSFO - Total emissions - TTW - Global - ton N2O/ton fuel</v>
          </cell>
          <cell r="G1196">
            <v>1.8000000000000001E-4</v>
          </cell>
          <cell r="H1196">
            <v>1.8000000000000001E-4</v>
          </cell>
          <cell r="I1196">
            <v>1.8000000000000001E-4</v>
          </cell>
          <cell r="J1196">
            <v>1.8000000000000001E-4</v>
          </cell>
          <cell r="K1196">
            <v>1.8000000000000001E-4</v>
          </cell>
          <cell r="L1196">
            <v>1.8000000000000001E-4</v>
          </cell>
          <cell r="M1196">
            <v>1.8000000000000001E-4</v>
          </cell>
          <cell r="N1196">
            <v>1.8000000000000001E-4</v>
          </cell>
          <cell r="O1196">
            <v>1.8000000000000001E-4</v>
          </cell>
          <cell r="P1196">
            <v>1.8000000000000001E-4</v>
          </cell>
          <cell r="Q1196">
            <v>1.8000000000000001E-4</v>
          </cell>
          <cell r="R1196">
            <v>1.8000000000000001E-4</v>
          </cell>
          <cell r="S1196">
            <v>1.8000000000000001E-4</v>
          </cell>
          <cell r="T1196">
            <v>1.8000000000000001E-4</v>
          </cell>
          <cell r="U1196">
            <v>1.8000000000000001E-4</v>
          </cell>
          <cell r="V1196">
            <v>1.8000000000000001E-4</v>
          </cell>
          <cell r="W1196">
            <v>1.8000000000000001E-4</v>
          </cell>
          <cell r="X1196">
            <v>1.8000000000000001E-4</v>
          </cell>
          <cell r="Y1196">
            <v>1.8000000000000001E-4</v>
          </cell>
          <cell r="Z1196">
            <v>1.8000000000000001E-4</v>
          </cell>
          <cell r="AA1196">
            <v>1.8000000000000001E-4</v>
          </cell>
          <cell r="AB1196">
            <v>1.8000000000000001E-4</v>
          </cell>
          <cell r="AC1196">
            <v>1.8000000000000001E-4</v>
          </cell>
          <cell r="AD1196">
            <v>1.8000000000000001E-4</v>
          </cell>
          <cell r="AE1196">
            <v>1.8000000000000001E-4</v>
          </cell>
          <cell r="AF1196">
            <v>1.8000000000000001E-4</v>
          </cell>
          <cell r="AG1196">
            <v>1.8000000000000001E-4</v>
          </cell>
          <cell r="AH1196">
            <v>1.8000000000000001E-4</v>
          </cell>
        </row>
        <row r="1197">
          <cell r="B1197" t="str">
            <v>LSFO - TTW emissions (carbon dioxide) - Global - ton CO2/ton fuel</v>
          </cell>
          <cell r="G1197">
            <v>3.1139999999999999</v>
          </cell>
          <cell r="H1197">
            <v>3.1139999999999999</v>
          </cell>
          <cell r="I1197">
            <v>3.1139999999999999</v>
          </cell>
          <cell r="J1197">
            <v>3.1139999999999999</v>
          </cell>
          <cell r="K1197">
            <v>3.1139999999999999</v>
          </cell>
          <cell r="L1197">
            <v>3.1139999999999999</v>
          </cell>
          <cell r="M1197">
            <v>3.1139999999999999</v>
          </cell>
          <cell r="N1197">
            <v>3.1139999999999999</v>
          </cell>
          <cell r="O1197">
            <v>3.1139999999999999</v>
          </cell>
          <cell r="P1197">
            <v>3.1139999999999999</v>
          </cell>
          <cell r="Q1197">
            <v>3.1139999999999999</v>
          </cell>
          <cell r="R1197">
            <v>3.1139999999999999</v>
          </cell>
          <cell r="S1197">
            <v>3.1139999999999999</v>
          </cell>
          <cell r="T1197">
            <v>3.1139999999999999</v>
          </cell>
          <cell r="U1197">
            <v>3.1139999999999999</v>
          </cell>
          <cell r="V1197">
            <v>3.1139999999999999</v>
          </cell>
          <cell r="W1197">
            <v>3.1139999999999999</v>
          </cell>
          <cell r="X1197">
            <v>3.1139999999999999</v>
          </cell>
          <cell r="Y1197">
            <v>3.1139999999999999</v>
          </cell>
          <cell r="Z1197">
            <v>3.1139999999999999</v>
          </cell>
          <cell r="AA1197">
            <v>3.1139999999999999</v>
          </cell>
          <cell r="AB1197">
            <v>3.1139999999999999</v>
          </cell>
          <cell r="AC1197">
            <v>3.1139999999999999</v>
          </cell>
          <cell r="AD1197">
            <v>3.1139999999999999</v>
          </cell>
          <cell r="AE1197">
            <v>3.1139999999999999</v>
          </cell>
          <cell r="AF1197">
            <v>3.1139999999999999</v>
          </cell>
          <cell r="AG1197">
            <v>3.1139999999999999</v>
          </cell>
          <cell r="AH1197">
            <v>3.1139999999999999</v>
          </cell>
        </row>
        <row r="1198">
          <cell r="B1198" t="str">
            <v>LSFO - TTW emissions (methane) - Global - ton CH4/ton fuel</v>
          </cell>
          <cell r="G1198">
            <v>5.0000000000000002E-5</v>
          </cell>
          <cell r="H1198">
            <v>5.0000000000000002E-5</v>
          </cell>
          <cell r="I1198">
            <v>5.0000000000000002E-5</v>
          </cell>
          <cell r="J1198">
            <v>5.0000000000000002E-5</v>
          </cell>
          <cell r="K1198">
            <v>5.0000000000000002E-5</v>
          </cell>
          <cell r="L1198">
            <v>5.0000000000000002E-5</v>
          </cell>
          <cell r="M1198">
            <v>5.0000000000000002E-5</v>
          </cell>
          <cell r="N1198">
            <v>5.0000000000000002E-5</v>
          </cell>
          <cell r="O1198">
            <v>5.0000000000000002E-5</v>
          </cell>
          <cell r="P1198">
            <v>5.0000000000000002E-5</v>
          </cell>
          <cell r="Q1198">
            <v>5.0000000000000002E-5</v>
          </cell>
          <cell r="R1198">
            <v>5.0000000000000002E-5</v>
          </cell>
          <cell r="S1198">
            <v>5.0000000000000002E-5</v>
          </cell>
          <cell r="T1198">
            <v>5.0000000000000002E-5</v>
          </cell>
          <cell r="U1198">
            <v>5.0000000000000002E-5</v>
          </cell>
          <cell r="V1198">
            <v>5.0000000000000002E-5</v>
          </cell>
          <cell r="W1198">
            <v>5.0000000000000002E-5</v>
          </cell>
          <cell r="X1198">
            <v>5.0000000000000002E-5</v>
          </cell>
          <cell r="Y1198">
            <v>5.0000000000000002E-5</v>
          </cell>
          <cell r="Z1198">
            <v>5.0000000000000002E-5</v>
          </cell>
          <cell r="AA1198">
            <v>5.0000000000000002E-5</v>
          </cell>
          <cell r="AB1198">
            <v>5.0000000000000002E-5</v>
          </cell>
          <cell r="AC1198">
            <v>5.0000000000000002E-5</v>
          </cell>
          <cell r="AD1198">
            <v>5.0000000000000002E-5</v>
          </cell>
          <cell r="AE1198">
            <v>5.0000000000000002E-5</v>
          </cell>
          <cell r="AF1198">
            <v>5.0000000000000002E-5</v>
          </cell>
          <cell r="AG1198">
            <v>5.0000000000000002E-5</v>
          </cell>
          <cell r="AH1198">
            <v>5.0000000000000002E-5</v>
          </cell>
        </row>
        <row r="1199">
          <cell r="B1199" t="str">
            <v>LSFO - TTW emissions (nitrous oxide) - Global - ton N2O/ton fuel</v>
          </cell>
          <cell r="G1199">
            <v>1.8000000000000001E-4</v>
          </cell>
          <cell r="H1199">
            <v>1.8000000000000001E-4</v>
          </cell>
          <cell r="I1199">
            <v>1.8000000000000001E-4</v>
          </cell>
          <cell r="J1199">
            <v>1.8000000000000001E-4</v>
          </cell>
          <cell r="K1199">
            <v>1.8000000000000001E-4</v>
          </cell>
          <cell r="L1199">
            <v>1.8000000000000001E-4</v>
          </cell>
          <cell r="M1199">
            <v>1.8000000000000001E-4</v>
          </cell>
          <cell r="N1199">
            <v>1.8000000000000001E-4</v>
          </cell>
          <cell r="O1199">
            <v>1.8000000000000001E-4</v>
          </cell>
          <cell r="P1199">
            <v>1.8000000000000001E-4</v>
          </cell>
          <cell r="Q1199">
            <v>1.8000000000000001E-4</v>
          </cell>
          <cell r="R1199">
            <v>1.8000000000000001E-4</v>
          </cell>
          <cell r="S1199">
            <v>1.8000000000000001E-4</v>
          </cell>
          <cell r="T1199">
            <v>1.8000000000000001E-4</v>
          </cell>
          <cell r="U1199">
            <v>1.8000000000000001E-4</v>
          </cell>
          <cell r="V1199">
            <v>1.8000000000000001E-4</v>
          </cell>
          <cell r="W1199">
            <v>1.8000000000000001E-4</v>
          </cell>
          <cell r="X1199">
            <v>1.8000000000000001E-4</v>
          </cell>
          <cell r="Y1199">
            <v>1.8000000000000001E-4</v>
          </cell>
          <cell r="Z1199">
            <v>1.8000000000000001E-4</v>
          </cell>
          <cell r="AA1199">
            <v>1.8000000000000001E-4</v>
          </cell>
          <cell r="AB1199">
            <v>1.8000000000000001E-4</v>
          </cell>
          <cell r="AC1199">
            <v>1.8000000000000001E-4</v>
          </cell>
          <cell r="AD1199">
            <v>1.8000000000000001E-4</v>
          </cell>
          <cell r="AE1199">
            <v>1.8000000000000001E-4</v>
          </cell>
          <cell r="AF1199">
            <v>1.8000000000000001E-4</v>
          </cell>
          <cell r="AG1199">
            <v>1.8000000000000001E-4</v>
          </cell>
          <cell r="AH1199">
            <v>1.8000000000000001E-4</v>
          </cell>
        </row>
        <row r="1200">
          <cell r="B1200" t="str">
            <v/>
          </cell>
        </row>
        <row r="1201">
          <cell r="B1201" t="str">
            <v>LSFO - Total emissions - WTT - Global - ton CO2eq/ton fuel</v>
          </cell>
          <cell r="G1201">
            <v>0.68</v>
          </cell>
          <cell r="H1201">
            <v>0.68</v>
          </cell>
          <cell r="I1201">
            <v>0.68</v>
          </cell>
          <cell r="J1201">
            <v>0.68</v>
          </cell>
          <cell r="K1201">
            <v>0.68</v>
          </cell>
          <cell r="L1201">
            <v>0.68</v>
          </cell>
          <cell r="M1201">
            <v>0.68</v>
          </cell>
          <cell r="N1201">
            <v>0.68</v>
          </cell>
          <cell r="O1201">
            <v>0.68</v>
          </cell>
          <cell r="P1201">
            <v>0.68</v>
          </cell>
          <cell r="Q1201">
            <v>0.68</v>
          </cell>
          <cell r="R1201">
            <v>0.68</v>
          </cell>
          <cell r="S1201">
            <v>0.68</v>
          </cell>
          <cell r="T1201">
            <v>0.68</v>
          </cell>
          <cell r="U1201">
            <v>0.68</v>
          </cell>
          <cell r="V1201">
            <v>0.68</v>
          </cell>
          <cell r="W1201">
            <v>0.68</v>
          </cell>
          <cell r="X1201">
            <v>0.68</v>
          </cell>
          <cell r="Y1201">
            <v>0.68</v>
          </cell>
          <cell r="Z1201">
            <v>0.68</v>
          </cell>
          <cell r="AA1201">
            <v>0.68</v>
          </cell>
          <cell r="AB1201">
            <v>0.68</v>
          </cell>
          <cell r="AC1201">
            <v>0.68</v>
          </cell>
          <cell r="AD1201">
            <v>0.68</v>
          </cell>
          <cell r="AE1201">
            <v>0.68</v>
          </cell>
          <cell r="AF1201">
            <v>0.68</v>
          </cell>
          <cell r="AG1201">
            <v>0.68</v>
          </cell>
          <cell r="AH1201">
            <v>0.68</v>
          </cell>
        </row>
        <row r="1202">
          <cell r="B1202" t="str">
            <v>LSFO - Total emissions - WTT - Global - ton CO2eq/ton fuel</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row>
        <row r="1203">
          <cell r="B1203" t="str">
            <v>LSFO - Total emissions - WTT - Global - ton CO2eq/ton fuel</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row>
        <row r="1204">
          <cell r="B1204" t="str">
            <v/>
          </cell>
        </row>
        <row r="1205">
          <cell r="B1205" t="str">
            <v>LSFO - Process-related emissions - WTT - Global - ton CO2/ton fuel</v>
          </cell>
          <cell r="G1205">
            <v>0.68</v>
          </cell>
          <cell r="H1205">
            <v>0.68</v>
          </cell>
          <cell r="I1205">
            <v>0.68</v>
          </cell>
          <cell r="J1205">
            <v>0.68</v>
          </cell>
          <cell r="K1205">
            <v>0.68</v>
          </cell>
          <cell r="L1205">
            <v>0.68</v>
          </cell>
          <cell r="M1205">
            <v>0.68</v>
          </cell>
          <cell r="N1205">
            <v>0.68</v>
          </cell>
          <cell r="O1205">
            <v>0.68</v>
          </cell>
          <cell r="P1205">
            <v>0.68</v>
          </cell>
          <cell r="Q1205">
            <v>0.68</v>
          </cell>
          <cell r="R1205">
            <v>0.68</v>
          </cell>
          <cell r="S1205">
            <v>0.68</v>
          </cell>
          <cell r="T1205">
            <v>0.68</v>
          </cell>
          <cell r="U1205">
            <v>0.68</v>
          </cell>
          <cell r="V1205">
            <v>0.68</v>
          </cell>
          <cell r="W1205">
            <v>0.68</v>
          </cell>
          <cell r="X1205">
            <v>0.68</v>
          </cell>
          <cell r="Y1205">
            <v>0.68</v>
          </cell>
          <cell r="Z1205">
            <v>0.68</v>
          </cell>
          <cell r="AA1205">
            <v>0.68</v>
          </cell>
          <cell r="AB1205">
            <v>0.68</v>
          </cell>
          <cell r="AC1205">
            <v>0.68</v>
          </cell>
          <cell r="AD1205">
            <v>0.68</v>
          </cell>
          <cell r="AE1205">
            <v>0.68</v>
          </cell>
          <cell r="AF1205">
            <v>0.68</v>
          </cell>
          <cell r="AG1205">
            <v>0.68</v>
          </cell>
          <cell r="AH1205">
            <v>0.68</v>
          </cell>
        </row>
        <row r="1206">
          <cell r="B1206" t="str">
            <v>LSFO - Process-related emissions - WTT - Global - ton CH4/ton fuel</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row>
        <row r="1207">
          <cell r="B1207" t="str">
            <v>LSFO - Process-related emissions - WTT - Global - ton N2O/ton fuel</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row>
        <row r="1208">
          <cell r="B1208" t="str">
            <v>LSFO - Process WTT emissions (carbon dioxide) - Global - ton CO2/ton fuel</v>
          </cell>
          <cell r="G1208">
            <v>0.68</v>
          </cell>
          <cell r="H1208">
            <v>0.68</v>
          </cell>
          <cell r="I1208">
            <v>0.68</v>
          </cell>
          <cell r="J1208">
            <v>0.68</v>
          </cell>
          <cell r="K1208">
            <v>0.68</v>
          </cell>
          <cell r="L1208">
            <v>0.68</v>
          </cell>
          <cell r="M1208">
            <v>0.68</v>
          </cell>
          <cell r="N1208">
            <v>0.68</v>
          </cell>
          <cell r="O1208">
            <v>0.68</v>
          </cell>
          <cell r="P1208">
            <v>0.68</v>
          </cell>
          <cell r="Q1208">
            <v>0.68</v>
          </cell>
          <cell r="R1208">
            <v>0.68</v>
          </cell>
          <cell r="S1208">
            <v>0.68</v>
          </cell>
          <cell r="T1208">
            <v>0.68</v>
          </cell>
          <cell r="U1208">
            <v>0.68</v>
          </cell>
          <cell r="V1208">
            <v>0.68</v>
          </cell>
          <cell r="W1208">
            <v>0.68</v>
          </cell>
          <cell r="X1208">
            <v>0.68</v>
          </cell>
          <cell r="Y1208">
            <v>0.68</v>
          </cell>
          <cell r="Z1208">
            <v>0.68</v>
          </cell>
          <cell r="AA1208">
            <v>0.68</v>
          </cell>
          <cell r="AB1208">
            <v>0.68</v>
          </cell>
          <cell r="AC1208">
            <v>0.68</v>
          </cell>
          <cell r="AD1208">
            <v>0.68</v>
          </cell>
          <cell r="AE1208">
            <v>0.68</v>
          </cell>
          <cell r="AF1208">
            <v>0.68</v>
          </cell>
          <cell r="AG1208">
            <v>0.68</v>
          </cell>
          <cell r="AH1208">
            <v>0.68</v>
          </cell>
        </row>
        <row r="1209">
          <cell r="B1209" t="str">
            <v>LSFO - Process WTT emissions (methane) - Global - ton CH4/ton fuel</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row>
        <row r="1210">
          <cell r="B1210" t="str">
            <v>LSFO - Process WTT emissions (nitrous oxide) - Global - ton N2O/ton fuel</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row>
        <row r="1211">
          <cell r="B1211" t="str">
            <v/>
          </cell>
        </row>
        <row r="1212">
          <cell r="B1212" t="str">
            <v>LSFO - Energy-related emissions - WTT - Global - ton CO2/ton fuel</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row>
        <row r="1213">
          <cell r="B1213" t="str">
            <v>LSFO - Energy-related emissions - WTT - Global - ton CH4/ton fuel</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row>
        <row r="1214">
          <cell r="B1214" t="str">
            <v>LSFO - Energy-related emissions - WTT - Global - ton N2O/ton fuel</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row>
        <row r="1215">
          <cell r="B1215" t="str">
            <v/>
          </cell>
        </row>
        <row r="1216">
          <cell r="B1216" t="str">
            <v>LSFO - Feedstock-related emissions - WTT - Global - ton CO2/ton fuel</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row>
        <row r="1217">
          <cell r="B1217" t="str">
            <v>LSFO - Feedstock-related emissions - WTT - Global - ton CH4/ton fuel</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row>
        <row r="1218">
          <cell r="B1218" t="str">
            <v>LSFO - Feedstock-related emissions - WTT - Global - ton N2O/ton fuel</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row>
        <row r="1219">
          <cell r="B1219" t="str">
            <v/>
          </cell>
        </row>
        <row r="1220">
          <cell r="B1220" t="str">
            <v>Nitrogen - Item - Region - Unit</v>
          </cell>
          <cell r="G1220">
            <v>2023</v>
          </cell>
          <cell r="H1220">
            <v>2024</v>
          </cell>
          <cell r="I1220">
            <v>2025</v>
          </cell>
          <cell r="J1220">
            <v>2026</v>
          </cell>
          <cell r="K1220">
            <v>2027</v>
          </cell>
          <cell r="L1220">
            <v>2028</v>
          </cell>
          <cell r="M1220">
            <v>2029</v>
          </cell>
          <cell r="N1220">
            <v>2030</v>
          </cell>
          <cell r="O1220">
            <v>2031</v>
          </cell>
          <cell r="P1220">
            <v>2032</v>
          </cell>
          <cell r="Q1220">
            <v>2033</v>
          </cell>
          <cell r="R1220">
            <v>2034</v>
          </cell>
          <cell r="S1220">
            <v>2035</v>
          </cell>
          <cell r="T1220">
            <v>2036</v>
          </cell>
          <cell r="U1220">
            <v>2037</v>
          </cell>
          <cell r="V1220">
            <v>2038</v>
          </cell>
          <cell r="W1220">
            <v>2039</v>
          </cell>
          <cell r="X1220">
            <v>2040</v>
          </cell>
          <cell r="Y1220">
            <v>2041</v>
          </cell>
          <cell r="Z1220">
            <v>2042</v>
          </cell>
          <cell r="AA1220">
            <v>2043</v>
          </cell>
          <cell r="AB1220">
            <v>2044</v>
          </cell>
          <cell r="AC1220">
            <v>2045</v>
          </cell>
          <cell r="AD1220">
            <v>2046</v>
          </cell>
          <cell r="AE1220">
            <v>2047</v>
          </cell>
          <cell r="AF1220">
            <v>2048</v>
          </cell>
          <cell r="AG1220">
            <v>2049</v>
          </cell>
          <cell r="AH1220">
            <v>2050</v>
          </cell>
        </row>
        <row r="1221">
          <cell r="B1221" t="str">
            <v/>
          </cell>
        </row>
        <row r="1222">
          <cell r="B1222" t="str">
            <v>Nitrogen - Total emissions - WTT - GWP100 - Global - ton CO2eq/ton fuel</v>
          </cell>
          <cell r="G1222">
            <v>5.3699999999999998E-2</v>
          </cell>
          <cell r="H1222">
            <v>5.3699999999999998E-2</v>
          </cell>
          <cell r="I1222">
            <v>5.3699999999999998E-2</v>
          </cell>
          <cell r="J1222">
            <v>5.3699999999999998E-2</v>
          </cell>
          <cell r="K1222">
            <v>5.3699999999999998E-2</v>
          </cell>
          <cell r="L1222">
            <v>5.3699999999999998E-2</v>
          </cell>
          <cell r="M1222">
            <v>5.3699999999999998E-2</v>
          </cell>
          <cell r="N1222">
            <v>5.3699999999999998E-2</v>
          </cell>
          <cell r="O1222">
            <v>5.3699999999999998E-2</v>
          </cell>
          <cell r="P1222">
            <v>5.3699999999999998E-2</v>
          </cell>
          <cell r="Q1222">
            <v>5.3699999999999998E-2</v>
          </cell>
          <cell r="R1222">
            <v>5.3699999999999998E-2</v>
          </cell>
          <cell r="S1222">
            <v>5.3699999999999998E-2</v>
          </cell>
          <cell r="T1222">
            <v>5.3699999999999998E-2</v>
          </cell>
          <cell r="U1222">
            <v>5.3699999999999998E-2</v>
          </cell>
          <cell r="V1222">
            <v>5.3699999999999998E-2</v>
          </cell>
          <cell r="W1222">
            <v>5.3699999999999998E-2</v>
          </cell>
          <cell r="X1222">
            <v>5.3699999999999998E-2</v>
          </cell>
          <cell r="Y1222">
            <v>5.3699999999999998E-2</v>
          </cell>
          <cell r="Z1222">
            <v>5.3699999999999998E-2</v>
          </cell>
          <cell r="AA1222">
            <v>5.3699999999999998E-2</v>
          </cell>
          <cell r="AB1222">
            <v>5.3699999999999998E-2</v>
          </cell>
          <cell r="AC1222">
            <v>5.3699999999999998E-2</v>
          </cell>
          <cell r="AD1222">
            <v>5.3699999999999998E-2</v>
          </cell>
          <cell r="AE1222">
            <v>5.3699999999999998E-2</v>
          </cell>
          <cell r="AF1222">
            <v>5.3699999999999998E-2</v>
          </cell>
          <cell r="AG1222">
            <v>5.3699999999999998E-2</v>
          </cell>
          <cell r="AH1222">
            <v>5.3699999999999998E-2</v>
          </cell>
        </row>
        <row r="1223">
          <cell r="B1223" t="str">
            <v>Nitrogen - Total emissions - WTT - GWP20 - Global - ton CO2eq/ton fuel</v>
          </cell>
          <cell r="G1223">
            <v>5.3699999999999998E-2</v>
          </cell>
          <cell r="H1223">
            <v>5.3699999999999998E-2</v>
          </cell>
          <cell r="I1223">
            <v>5.3699999999999998E-2</v>
          </cell>
          <cell r="J1223">
            <v>5.3699999999999998E-2</v>
          </cell>
          <cell r="K1223">
            <v>5.3699999999999998E-2</v>
          </cell>
          <cell r="L1223">
            <v>5.3699999999999998E-2</v>
          </cell>
          <cell r="M1223">
            <v>5.3699999999999998E-2</v>
          </cell>
          <cell r="N1223">
            <v>5.3699999999999998E-2</v>
          </cell>
          <cell r="O1223">
            <v>5.3699999999999998E-2</v>
          </cell>
          <cell r="P1223">
            <v>5.3699999999999998E-2</v>
          </cell>
          <cell r="Q1223">
            <v>5.3699999999999998E-2</v>
          </cell>
          <cell r="R1223">
            <v>5.3699999999999998E-2</v>
          </cell>
          <cell r="S1223">
            <v>5.3699999999999998E-2</v>
          </cell>
          <cell r="T1223">
            <v>5.3699999999999998E-2</v>
          </cell>
          <cell r="U1223">
            <v>5.3699999999999998E-2</v>
          </cell>
          <cell r="V1223">
            <v>5.3699999999999998E-2</v>
          </cell>
          <cell r="W1223">
            <v>5.3699999999999998E-2</v>
          </cell>
          <cell r="X1223">
            <v>5.3699999999999998E-2</v>
          </cell>
          <cell r="Y1223">
            <v>5.3699999999999998E-2</v>
          </cell>
          <cell r="Z1223">
            <v>5.3699999999999998E-2</v>
          </cell>
          <cell r="AA1223">
            <v>5.3699999999999998E-2</v>
          </cell>
          <cell r="AB1223">
            <v>5.3699999999999998E-2</v>
          </cell>
          <cell r="AC1223">
            <v>5.3699999999999998E-2</v>
          </cell>
          <cell r="AD1223">
            <v>5.3699999999999998E-2</v>
          </cell>
          <cell r="AE1223">
            <v>5.3699999999999998E-2</v>
          </cell>
          <cell r="AF1223">
            <v>5.3699999999999998E-2</v>
          </cell>
          <cell r="AG1223">
            <v>5.3699999999999998E-2</v>
          </cell>
          <cell r="AH1223">
            <v>5.3699999999999998E-2</v>
          </cell>
        </row>
        <row r="1224">
          <cell r="B1224" t="str">
            <v>General - Methane - GWP100 - Global - ton CO2eq/ton fuel</v>
          </cell>
          <cell r="G1224">
            <v>29</v>
          </cell>
          <cell r="H1224">
            <v>29</v>
          </cell>
          <cell r="I1224">
            <v>29</v>
          </cell>
          <cell r="J1224">
            <v>29</v>
          </cell>
          <cell r="K1224">
            <v>29</v>
          </cell>
          <cell r="L1224">
            <v>29</v>
          </cell>
          <cell r="M1224">
            <v>29</v>
          </cell>
          <cell r="N1224">
            <v>29</v>
          </cell>
          <cell r="O1224">
            <v>29</v>
          </cell>
          <cell r="P1224">
            <v>29</v>
          </cell>
          <cell r="Q1224">
            <v>29</v>
          </cell>
          <cell r="R1224">
            <v>29</v>
          </cell>
          <cell r="S1224">
            <v>29</v>
          </cell>
          <cell r="T1224">
            <v>29</v>
          </cell>
          <cell r="U1224">
            <v>29</v>
          </cell>
          <cell r="V1224">
            <v>29</v>
          </cell>
          <cell r="W1224">
            <v>29</v>
          </cell>
          <cell r="X1224">
            <v>29</v>
          </cell>
          <cell r="Y1224">
            <v>29</v>
          </cell>
          <cell r="Z1224">
            <v>29</v>
          </cell>
          <cell r="AA1224">
            <v>29</v>
          </cell>
          <cell r="AB1224">
            <v>29</v>
          </cell>
          <cell r="AC1224">
            <v>29</v>
          </cell>
          <cell r="AD1224">
            <v>29</v>
          </cell>
          <cell r="AE1224">
            <v>29</v>
          </cell>
          <cell r="AF1224">
            <v>29</v>
          </cell>
          <cell r="AG1224">
            <v>29</v>
          </cell>
          <cell r="AH1224">
            <v>29</v>
          </cell>
        </row>
        <row r="1225">
          <cell r="B1225" t="str">
            <v>General - Methane - GWP20 - Global - ton CO2eq/ton fuel</v>
          </cell>
          <cell r="G1225">
            <v>85</v>
          </cell>
          <cell r="H1225">
            <v>85</v>
          </cell>
          <cell r="I1225">
            <v>85</v>
          </cell>
          <cell r="J1225">
            <v>85</v>
          </cell>
          <cell r="K1225">
            <v>85</v>
          </cell>
          <cell r="L1225">
            <v>85</v>
          </cell>
          <cell r="M1225">
            <v>85</v>
          </cell>
          <cell r="N1225">
            <v>85</v>
          </cell>
          <cell r="O1225">
            <v>85</v>
          </cell>
          <cell r="P1225">
            <v>85</v>
          </cell>
          <cell r="Q1225">
            <v>85</v>
          </cell>
          <cell r="R1225">
            <v>85</v>
          </cell>
          <cell r="S1225">
            <v>85</v>
          </cell>
          <cell r="T1225">
            <v>85</v>
          </cell>
          <cell r="U1225">
            <v>85</v>
          </cell>
          <cell r="V1225">
            <v>85</v>
          </cell>
          <cell r="W1225">
            <v>85</v>
          </cell>
          <cell r="X1225">
            <v>85</v>
          </cell>
          <cell r="Y1225">
            <v>85</v>
          </cell>
          <cell r="Z1225">
            <v>85</v>
          </cell>
          <cell r="AA1225">
            <v>85</v>
          </cell>
          <cell r="AB1225">
            <v>85</v>
          </cell>
          <cell r="AC1225">
            <v>85</v>
          </cell>
          <cell r="AD1225">
            <v>85</v>
          </cell>
          <cell r="AE1225">
            <v>85</v>
          </cell>
          <cell r="AF1225">
            <v>85</v>
          </cell>
          <cell r="AG1225">
            <v>85</v>
          </cell>
          <cell r="AH1225">
            <v>85</v>
          </cell>
        </row>
        <row r="1226">
          <cell r="B1226" t="str">
            <v>General - Nitrous oxide - GWP100 - Global - ton CO2eq/ton fuel</v>
          </cell>
          <cell r="G1226">
            <v>266</v>
          </cell>
          <cell r="H1226">
            <v>266</v>
          </cell>
          <cell r="I1226">
            <v>266</v>
          </cell>
          <cell r="J1226">
            <v>266</v>
          </cell>
          <cell r="K1226">
            <v>266</v>
          </cell>
          <cell r="L1226">
            <v>266</v>
          </cell>
          <cell r="M1226">
            <v>266</v>
          </cell>
          <cell r="N1226">
            <v>266</v>
          </cell>
          <cell r="O1226">
            <v>266</v>
          </cell>
          <cell r="P1226">
            <v>266</v>
          </cell>
          <cell r="Q1226">
            <v>266</v>
          </cell>
          <cell r="R1226">
            <v>266</v>
          </cell>
          <cell r="S1226">
            <v>266</v>
          </cell>
          <cell r="T1226">
            <v>266</v>
          </cell>
          <cell r="U1226">
            <v>266</v>
          </cell>
          <cell r="V1226">
            <v>266</v>
          </cell>
          <cell r="W1226">
            <v>266</v>
          </cell>
          <cell r="X1226">
            <v>266</v>
          </cell>
          <cell r="Y1226">
            <v>266</v>
          </cell>
          <cell r="Z1226">
            <v>266</v>
          </cell>
          <cell r="AA1226">
            <v>266</v>
          </cell>
          <cell r="AB1226">
            <v>266</v>
          </cell>
          <cell r="AC1226">
            <v>266</v>
          </cell>
          <cell r="AD1226">
            <v>266</v>
          </cell>
          <cell r="AE1226">
            <v>266</v>
          </cell>
          <cell r="AF1226">
            <v>266</v>
          </cell>
          <cell r="AG1226">
            <v>266</v>
          </cell>
          <cell r="AH1226">
            <v>266</v>
          </cell>
        </row>
        <row r="1227">
          <cell r="B1227" t="str">
            <v>General - Nitrous oxide - GWP20 - Global - ton CO2eq/ton fuel</v>
          </cell>
          <cell r="G1227">
            <v>251</v>
          </cell>
          <cell r="H1227">
            <v>251</v>
          </cell>
          <cell r="I1227">
            <v>251</v>
          </cell>
          <cell r="J1227">
            <v>251</v>
          </cell>
          <cell r="K1227">
            <v>251</v>
          </cell>
          <cell r="L1227">
            <v>251</v>
          </cell>
          <cell r="M1227">
            <v>251</v>
          </cell>
          <cell r="N1227">
            <v>251</v>
          </cell>
          <cell r="O1227">
            <v>251</v>
          </cell>
          <cell r="P1227">
            <v>251</v>
          </cell>
          <cell r="Q1227">
            <v>251</v>
          </cell>
          <cell r="R1227">
            <v>251</v>
          </cell>
          <cell r="S1227">
            <v>251</v>
          </cell>
          <cell r="T1227">
            <v>251</v>
          </cell>
          <cell r="U1227">
            <v>251</v>
          </cell>
          <cell r="V1227">
            <v>251</v>
          </cell>
          <cell r="W1227">
            <v>251</v>
          </cell>
          <cell r="X1227">
            <v>251</v>
          </cell>
          <cell r="Y1227">
            <v>251</v>
          </cell>
          <cell r="Z1227">
            <v>251</v>
          </cell>
          <cell r="AA1227">
            <v>251</v>
          </cell>
          <cell r="AB1227">
            <v>251</v>
          </cell>
          <cell r="AC1227">
            <v>251</v>
          </cell>
          <cell r="AD1227">
            <v>251</v>
          </cell>
          <cell r="AE1227">
            <v>251</v>
          </cell>
          <cell r="AF1227">
            <v>251</v>
          </cell>
          <cell r="AG1227">
            <v>251</v>
          </cell>
          <cell r="AH1227">
            <v>251</v>
          </cell>
        </row>
        <row r="1228">
          <cell r="B1228" t="str">
            <v/>
          </cell>
        </row>
        <row r="1229">
          <cell r="B1229" t="str">
            <v>Nitrogen - Total emissions - WTT - Global - ton CO2eq/ton fuel</v>
          </cell>
          <cell r="G1229">
            <v>5.3699999999999998E-2</v>
          </cell>
          <cell r="H1229">
            <v>5.3699999999999998E-2</v>
          </cell>
          <cell r="I1229">
            <v>5.3699999999999998E-2</v>
          </cell>
          <cell r="J1229">
            <v>5.3699999999999998E-2</v>
          </cell>
          <cell r="K1229">
            <v>5.3699999999999998E-2</v>
          </cell>
          <cell r="L1229">
            <v>5.3699999999999998E-2</v>
          </cell>
          <cell r="M1229">
            <v>5.3699999999999998E-2</v>
          </cell>
          <cell r="N1229">
            <v>5.3699999999999998E-2</v>
          </cell>
          <cell r="O1229">
            <v>5.3699999999999998E-2</v>
          </cell>
          <cell r="P1229">
            <v>5.3699999999999998E-2</v>
          </cell>
          <cell r="Q1229">
            <v>5.3699999999999998E-2</v>
          </cell>
          <cell r="R1229">
            <v>5.3699999999999998E-2</v>
          </cell>
          <cell r="S1229">
            <v>5.3699999999999998E-2</v>
          </cell>
          <cell r="T1229">
            <v>5.3699999999999998E-2</v>
          </cell>
          <cell r="U1229">
            <v>5.3699999999999998E-2</v>
          </cell>
          <cell r="V1229">
            <v>5.3699999999999998E-2</v>
          </cell>
          <cell r="W1229">
            <v>5.3699999999999998E-2</v>
          </cell>
          <cell r="X1229">
            <v>5.3699999999999998E-2</v>
          </cell>
          <cell r="Y1229">
            <v>5.3699999999999998E-2</v>
          </cell>
          <cell r="Z1229">
            <v>5.3699999999999998E-2</v>
          </cell>
          <cell r="AA1229">
            <v>5.3699999999999998E-2</v>
          </cell>
          <cell r="AB1229">
            <v>5.3699999999999998E-2</v>
          </cell>
          <cell r="AC1229">
            <v>5.3699999999999998E-2</v>
          </cell>
          <cell r="AD1229">
            <v>5.3699999999999998E-2</v>
          </cell>
          <cell r="AE1229">
            <v>5.3699999999999998E-2</v>
          </cell>
          <cell r="AF1229">
            <v>5.3699999999999998E-2</v>
          </cell>
          <cell r="AG1229">
            <v>5.3699999999999998E-2</v>
          </cell>
          <cell r="AH1229">
            <v>5.3699999999999998E-2</v>
          </cell>
        </row>
        <row r="1230">
          <cell r="B1230" t="str">
            <v>Nitrogen - Total emissions - WTT - Global - ton CO2eq/ton fuel</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row>
        <row r="1231">
          <cell r="B1231" t="str">
            <v>Nitrogen - Total emissions - WTT - Global - ton CO2eq/ton fuel</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row>
        <row r="1232">
          <cell r="B1232" t="str">
            <v/>
          </cell>
        </row>
        <row r="1233">
          <cell r="B1233" t="str">
            <v>Nitrogen - Process-related emissions - WTT - Global - ton CO2/ton fuel</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row>
        <row r="1234">
          <cell r="B1234" t="str">
            <v>Nitrogen - Process-related emissions - WTT - Global - ton CH4/ton fuel</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row>
        <row r="1235">
          <cell r="B1235" t="str">
            <v>Nitrogen - Process-related emissions - WTT - Global - ton N2O/ton fuel</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row>
        <row r="1236">
          <cell r="B1236" t="str">
            <v>Nitrogen - Process WTT emissions (carbon dioxide) - Global - ton CO2/ton fuel</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row>
        <row r="1237">
          <cell r="B1237" t="str">
            <v>Nitrogen - Process WTT emissions (methane) - Global - ton CH4/ton fuel</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row>
        <row r="1238">
          <cell r="B1238" t="str">
            <v>Nitrogen - Process WTT emissions (nitrous oxide) - Global - ton N2O/ton fuel</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row>
        <row r="1239">
          <cell r="B1239" t="str">
            <v/>
          </cell>
        </row>
        <row r="1240">
          <cell r="B1240" t="str">
            <v>Nitrogen - Energy-related emissions - WTT - Global - ton CO2/ton fuel</v>
          </cell>
          <cell r="G1240">
            <v>5.3699999999999998E-2</v>
          </cell>
          <cell r="H1240">
            <v>5.3699999999999998E-2</v>
          </cell>
          <cell r="I1240">
            <v>5.3699999999999998E-2</v>
          </cell>
          <cell r="J1240">
            <v>5.3699999999999998E-2</v>
          </cell>
          <cell r="K1240">
            <v>5.3699999999999998E-2</v>
          </cell>
          <cell r="L1240">
            <v>5.3699999999999998E-2</v>
          </cell>
          <cell r="M1240">
            <v>5.3699999999999998E-2</v>
          </cell>
          <cell r="N1240">
            <v>5.3699999999999998E-2</v>
          </cell>
          <cell r="O1240">
            <v>5.3699999999999998E-2</v>
          </cell>
          <cell r="P1240">
            <v>5.3699999999999998E-2</v>
          </cell>
          <cell r="Q1240">
            <v>5.3699999999999998E-2</v>
          </cell>
          <cell r="R1240">
            <v>5.3699999999999998E-2</v>
          </cell>
          <cell r="S1240">
            <v>5.3699999999999998E-2</v>
          </cell>
          <cell r="T1240">
            <v>5.3699999999999998E-2</v>
          </cell>
          <cell r="U1240">
            <v>5.3699999999999998E-2</v>
          </cell>
          <cell r="V1240">
            <v>5.3699999999999998E-2</v>
          </cell>
          <cell r="W1240">
            <v>5.3699999999999998E-2</v>
          </cell>
          <cell r="X1240">
            <v>5.3699999999999998E-2</v>
          </cell>
          <cell r="Y1240">
            <v>5.3699999999999998E-2</v>
          </cell>
          <cell r="Z1240">
            <v>5.3699999999999998E-2</v>
          </cell>
          <cell r="AA1240">
            <v>5.3699999999999998E-2</v>
          </cell>
          <cell r="AB1240">
            <v>5.3699999999999998E-2</v>
          </cell>
          <cell r="AC1240">
            <v>5.3699999999999998E-2</v>
          </cell>
          <cell r="AD1240">
            <v>5.3699999999999998E-2</v>
          </cell>
          <cell r="AE1240">
            <v>5.3699999999999998E-2</v>
          </cell>
          <cell r="AF1240">
            <v>5.3699999999999998E-2</v>
          </cell>
          <cell r="AG1240">
            <v>5.3699999999999998E-2</v>
          </cell>
          <cell r="AH1240">
            <v>5.3699999999999998E-2</v>
          </cell>
        </row>
        <row r="1241">
          <cell r="B1241" t="str">
            <v>Nitrogen - Energy-related emissions - WTT - Global - ton CH4/ton fuel</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row>
        <row r="1242">
          <cell r="B1242" t="str">
            <v>Nitrogen - Energy-related emissions - WTT - Global - ton N2O/ton fuel</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row>
        <row r="1243">
          <cell r="B1243" t="str">
            <v>Renewable electricity - Feedstock WTT emissions (carbon dioxide) - Global - ton CO2/MWh</v>
          </cell>
          <cell r="G1243">
            <v>5.3699999999999998E-3</v>
          </cell>
          <cell r="H1243">
            <v>5.3699999999999998E-3</v>
          </cell>
          <cell r="I1243">
            <v>5.3699999999999998E-3</v>
          </cell>
          <cell r="J1243">
            <v>5.3699999999999998E-3</v>
          </cell>
          <cell r="K1243">
            <v>5.3699999999999998E-3</v>
          </cell>
          <cell r="L1243">
            <v>5.3699999999999998E-3</v>
          </cell>
          <cell r="M1243">
            <v>5.3699999999999998E-3</v>
          </cell>
          <cell r="N1243">
            <v>5.3699999999999998E-3</v>
          </cell>
          <cell r="O1243">
            <v>5.3699999999999998E-3</v>
          </cell>
          <cell r="P1243">
            <v>5.3699999999999998E-3</v>
          </cell>
          <cell r="Q1243">
            <v>5.3699999999999998E-3</v>
          </cell>
          <cell r="R1243">
            <v>5.3699999999999998E-3</v>
          </cell>
          <cell r="S1243">
            <v>5.3699999999999998E-3</v>
          </cell>
          <cell r="T1243">
            <v>5.3699999999999998E-3</v>
          </cell>
          <cell r="U1243">
            <v>5.3699999999999998E-3</v>
          </cell>
          <cell r="V1243">
            <v>5.3699999999999998E-3</v>
          </cell>
          <cell r="W1243">
            <v>5.3699999999999998E-3</v>
          </cell>
          <cell r="X1243">
            <v>5.3699999999999998E-3</v>
          </cell>
          <cell r="Y1243">
            <v>5.3699999999999998E-3</v>
          </cell>
          <cell r="Z1243">
            <v>5.3699999999999998E-3</v>
          </cell>
          <cell r="AA1243">
            <v>5.3699999999999998E-3</v>
          </cell>
          <cell r="AB1243">
            <v>5.3699999999999998E-3</v>
          </cell>
          <cell r="AC1243">
            <v>5.3699999999999998E-3</v>
          </cell>
          <cell r="AD1243">
            <v>5.3699999999999998E-3</v>
          </cell>
          <cell r="AE1243">
            <v>5.3699999999999998E-3</v>
          </cell>
          <cell r="AF1243">
            <v>5.3699999999999998E-3</v>
          </cell>
          <cell r="AG1243">
            <v>5.3699999999999998E-3</v>
          </cell>
          <cell r="AH1243">
            <v>5.3699999999999998E-3</v>
          </cell>
        </row>
        <row r="1244">
          <cell r="B1244" t="str">
            <v>Renewable electricity - Feedstock WTT emissions (methane) - Global - ton CH4/MWh</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row>
        <row r="1245">
          <cell r="B1245" t="str">
            <v>Renewable electricity - Feedstock WTT emissions (nitrous oxide) - Global - ton N2O/MWh</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row>
        <row r="1246">
          <cell r="B1246" t="str">
            <v>Nitrogen - Energy demand - Global - MWh/ton fuel</v>
          </cell>
          <cell r="G1246">
            <v>0.22</v>
          </cell>
          <cell r="H1246">
            <v>0.22</v>
          </cell>
          <cell r="I1246">
            <v>0.22000000000000064</v>
          </cell>
          <cell r="J1246">
            <v>0.2159999999999993</v>
          </cell>
          <cell r="K1246">
            <v>0.21199999999999974</v>
          </cell>
          <cell r="L1246">
            <v>0.20800000000000018</v>
          </cell>
          <cell r="M1246">
            <v>0.20400000000000063</v>
          </cell>
          <cell r="N1246">
            <v>0.19999999999999929</v>
          </cell>
          <cell r="O1246">
            <v>0.2</v>
          </cell>
          <cell r="P1246">
            <v>0.2</v>
          </cell>
          <cell r="Q1246">
            <v>0.2</v>
          </cell>
          <cell r="R1246">
            <v>0.2</v>
          </cell>
          <cell r="S1246">
            <v>0.2</v>
          </cell>
          <cell r="T1246">
            <v>0.2</v>
          </cell>
          <cell r="U1246">
            <v>0.2</v>
          </cell>
          <cell r="V1246">
            <v>0.2</v>
          </cell>
          <cell r="W1246">
            <v>0.2</v>
          </cell>
          <cell r="X1246">
            <v>0.2</v>
          </cell>
          <cell r="Y1246">
            <v>0.2</v>
          </cell>
          <cell r="Z1246">
            <v>0.2</v>
          </cell>
          <cell r="AA1246">
            <v>0.2</v>
          </cell>
          <cell r="AB1246">
            <v>0.2</v>
          </cell>
          <cell r="AC1246">
            <v>0.2</v>
          </cell>
          <cell r="AD1246">
            <v>0.2</v>
          </cell>
          <cell r="AE1246">
            <v>0.2</v>
          </cell>
          <cell r="AF1246">
            <v>0.2</v>
          </cell>
          <cell r="AG1246">
            <v>0.2</v>
          </cell>
          <cell r="AH1246">
            <v>0.2</v>
          </cell>
        </row>
        <row r="1247">
          <cell r="B1247" t="str">
            <v/>
          </cell>
        </row>
        <row r="1248">
          <cell r="B1248" t="str">
            <v>Nitrogen - Feedstock-related emissions - WTT - Global - ton CO2/ton fuel</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row>
        <row r="1249">
          <cell r="B1249" t="str">
            <v>Nitrogen - Feedstock-related emissions - WTT - Global - ton CH4/ton fuel</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row>
        <row r="1250">
          <cell r="B1250" t="str">
            <v>Nitrogen - Feedstock-related emissions - WTT - Global - ton N2O/ton fuel</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row>
        <row r="1251">
          <cell r="B1251" t="str">
            <v/>
          </cell>
        </row>
      </sheetData>
      <sheetData sheetId="7">
        <row r="4">
          <cell r="G4">
            <v>2023</v>
          </cell>
          <cell r="H4">
            <v>2024</v>
          </cell>
          <cell r="I4">
            <v>2025</v>
          </cell>
          <cell r="J4">
            <v>2026</v>
          </cell>
          <cell r="K4">
            <v>2027</v>
          </cell>
          <cell r="L4">
            <v>2028</v>
          </cell>
          <cell r="M4">
            <v>2029</v>
          </cell>
          <cell r="N4">
            <v>2030</v>
          </cell>
          <cell r="O4">
            <v>2031</v>
          </cell>
          <cell r="P4">
            <v>2032</v>
          </cell>
          <cell r="Q4">
            <v>2033</v>
          </cell>
          <cell r="R4">
            <v>2034</v>
          </cell>
          <cell r="S4">
            <v>2035</v>
          </cell>
          <cell r="T4">
            <v>2036</v>
          </cell>
          <cell r="U4">
            <v>2037</v>
          </cell>
          <cell r="V4">
            <v>2038</v>
          </cell>
          <cell r="W4">
            <v>2039</v>
          </cell>
          <cell r="X4">
            <v>2040</v>
          </cell>
          <cell r="Y4">
            <v>2041</v>
          </cell>
          <cell r="Z4">
            <v>2042</v>
          </cell>
          <cell r="AA4">
            <v>2043</v>
          </cell>
          <cell r="AB4">
            <v>2044</v>
          </cell>
          <cell r="AC4">
            <v>2045</v>
          </cell>
          <cell r="AD4">
            <v>2046</v>
          </cell>
          <cell r="AE4">
            <v>2047</v>
          </cell>
          <cell r="AF4">
            <v>2048</v>
          </cell>
          <cell r="AG4">
            <v>2049</v>
          </cell>
          <cell r="AH4">
            <v>2050</v>
          </cell>
        </row>
        <row r="6">
          <cell r="G6">
            <v>2023</v>
          </cell>
          <cell r="H6">
            <v>2024</v>
          </cell>
          <cell r="I6">
            <v>2025</v>
          </cell>
          <cell r="J6">
            <v>2026</v>
          </cell>
          <cell r="K6">
            <v>2027</v>
          </cell>
          <cell r="L6">
            <v>2028</v>
          </cell>
          <cell r="M6">
            <v>2029</v>
          </cell>
          <cell r="N6">
            <v>2030</v>
          </cell>
          <cell r="O6">
            <v>2031</v>
          </cell>
          <cell r="P6">
            <v>2032</v>
          </cell>
          <cell r="Q6">
            <v>2033</v>
          </cell>
          <cell r="R6">
            <v>2034</v>
          </cell>
          <cell r="S6">
            <v>2035</v>
          </cell>
          <cell r="T6">
            <v>2036</v>
          </cell>
          <cell r="U6">
            <v>2037</v>
          </cell>
          <cell r="V6">
            <v>2038</v>
          </cell>
          <cell r="W6">
            <v>2039</v>
          </cell>
          <cell r="X6">
            <v>2040</v>
          </cell>
          <cell r="Y6">
            <v>2041</v>
          </cell>
          <cell r="Z6">
            <v>2042</v>
          </cell>
          <cell r="AA6">
            <v>2043</v>
          </cell>
          <cell r="AB6">
            <v>2044</v>
          </cell>
          <cell r="AC6">
            <v>2045</v>
          </cell>
          <cell r="AD6">
            <v>2046</v>
          </cell>
          <cell r="AE6">
            <v>2047</v>
          </cell>
          <cell r="AF6">
            <v>2048</v>
          </cell>
          <cell r="AG6">
            <v>2049</v>
          </cell>
          <cell r="AH6">
            <v>2050</v>
          </cell>
        </row>
        <row r="7">
          <cell r="B7" t="str">
            <v>General - Plant lifetime - Global - Years</v>
          </cell>
          <cell r="G7">
            <v>30</v>
          </cell>
          <cell r="H7">
            <v>30</v>
          </cell>
          <cell r="I7">
            <v>30</v>
          </cell>
          <cell r="J7">
            <v>30</v>
          </cell>
          <cell r="K7">
            <v>30</v>
          </cell>
          <cell r="L7">
            <v>30</v>
          </cell>
          <cell r="M7">
            <v>30</v>
          </cell>
          <cell r="N7">
            <v>30</v>
          </cell>
          <cell r="O7">
            <v>30</v>
          </cell>
          <cell r="P7">
            <v>30</v>
          </cell>
          <cell r="Q7">
            <v>30</v>
          </cell>
          <cell r="R7">
            <v>30</v>
          </cell>
          <cell r="S7">
            <v>30</v>
          </cell>
          <cell r="T7">
            <v>30</v>
          </cell>
          <cell r="U7">
            <v>30</v>
          </cell>
          <cell r="V7">
            <v>30</v>
          </cell>
          <cell r="W7">
            <v>30</v>
          </cell>
          <cell r="X7">
            <v>30</v>
          </cell>
          <cell r="Y7">
            <v>30</v>
          </cell>
          <cell r="Z7">
            <v>30</v>
          </cell>
          <cell r="AA7">
            <v>30</v>
          </cell>
          <cell r="AB7">
            <v>30</v>
          </cell>
          <cell r="AC7">
            <v>30</v>
          </cell>
          <cell r="AD7">
            <v>30</v>
          </cell>
          <cell r="AE7">
            <v>30</v>
          </cell>
          <cell r="AF7">
            <v>30</v>
          </cell>
          <cell r="AG7">
            <v>30</v>
          </cell>
          <cell r="AH7">
            <v>30</v>
          </cell>
        </row>
        <row r="8">
          <cell r="B8" t="str">
            <v>General - Weighted average cost of capital (WACC) - Africa - %</v>
          </cell>
          <cell r="G8">
            <v>5.5000000000000007E-2</v>
          </cell>
          <cell r="H8">
            <v>5.5000000000000007E-2</v>
          </cell>
          <cell r="I8">
            <v>5.5000000000000007E-2</v>
          </cell>
          <cell r="J8">
            <v>5.5000000000000007E-2</v>
          </cell>
          <cell r="K8">
            <v>5.5000000000000007E-2</v>
          </cell>
          <cell r="L8">
            <v>5.5000000000000007E-2</v>
          </cell>
          <cell r="M8">
            <v>5.5000000000000007E-2</v>
          </cell>
          <cell r="N8">
            <v>5.5000000000000007E-2</v>
          </cell>
          <cell r="O8">
            <v>5.5000000000000007E-2</v>
          </cell>
          <cell r="P8">
            <v>5.5000000000000007E-2</v>
          </cell>
          <cell r="Q8">
            <v>5.5000000000000007E-2</v>
          </cell>
          <cell r="R8">
            <v>5.5000000000000007E-2</v>
          </cell>
          <cell r="S8">
            <v>5.5000000000000007E-2</v>
          </cell>
          <cell r="T8">
            <v>5.5000000000000007E-2</v>
          </cell>
          <cell r="U8">
            <v>5.5000000000000007E-2</v>
          </cell>
          <cell r="V8">
            <v>5.5000000000000007E-2</v>
          </cell>
          <cell r="W8">
            <v>5.5000000000000007E-2</v>
          </cell>
          <cell r="X8">
            <v>5.5000000000000007E-2</v>
          </cell>
          <cell r="Y8">
            <v>5.5000000000000007E-2</v>
          </cell>
          <cell r="Z8">
            <v>5.5000000000000007E-2</v>
          </cell>
          <cell r="AA8">
            <v>5.5000000000000007E-2</v>
          </cell>
          <cell r="AB8">
            <v>5.5000000000000007E-2</v>
          </cell>
          <cell r="AC8">
            <v>5.5000000000000007E-2</v>
          </cell>
          <cell r="AD8">
            <v>5.5000000000000007E-2</v>
          </cell>
          <cell r="AE8">
            <v>5.5000000000000007E-2</v>
          </cell>
          <cell r="AF8">
            <v>5.5000000000000007E-2</v>
          </cell>
          <cell r="AG8">
            <v>5.5000000000000007E-2</v>
          </cell>
          <cell r="AH8">
            <v>5.5000000000000007E-2</v>
          </cell>
        </row>
        <row r="9">
          <cell r="B9" t="str">
            <v>General - Weighted average cost of capital (WACC) - Americas - %</v>
          </cell>
          <cell r="G9">
            <v>5.5000000000000007E-2</v>
          </cell>
          <cell r="H9">
            <v>5.5000000000000007E-2</v>
          </cell>
          <cell r="I9">
            <v>5.5000000000000007E-2</v>
          </cell>
          <cell r="J9">
            <v>5.5000000000000007E-2</v>
          </cell>
          <cell r="K9">
            <v>5.5000000000000007E-2</v>
          </cell>
          <cell r="L9">
            <v>5.5000000000000007E-2</v>
          </cell>
          <cell r="M9">
            <v>5.5000000000000007E-2</v>
          </cell>
          <cell r="N9">
            <v>5.5000000000000007E-2</v>
          </cell>
          <cell r="O9">
            <v>5.5000000000000007E-2</v>
          </cell>
          <cell r="P9">
            <v>5.5000000000000007E-2</v>
          </cell>
          <cell r="Q9">
            <v>5.5000000000000007E-2</v>
          </cell>
          <cell r="R9">
            <v>5.5000000000000007E-2</v>
          </cell>
          <cell r="S9">
            <v>5.5000000000000007E-2</v>
          </cell>
          <cell r="T9">
            <v>5.5000000000000007E-2</v>
          </cell>
          <cell r="U9">
            <v>5.5000000000000007E-2</v>
          </cell>
          <cell r="V9">
            <v>5.5000000000000007E-2</v>
          </cell>
          <cell r="W9">
            <v>5.5000000000000007E-2</v>
          </cell>
          <cell r="X9">
            <v>5.5000000000000007E-2</v>
          </cell>
          <cell r="Y9">
            <v>5.5000000000000007E-2</v>
          </cell>
          <cell r="Z9">
            <v>5.5000000000000007E-2</v>
          </cell>
          <cell r="AA9">
            <v>5.5000000000000007E-2</v>
          </cell>
          <cell r="AB9">
            <v>5.5000000000000007E-2</v>
          </cell>
          <cell r="AC9">
            <v>5.5000000000000007E-2</v>
          </cell>
          <cell r="AD9">
            <v>5.5000000000000007E-2</v>
          </cell>
          <cell r="AE9">
            <v>5.5000000000000007E-2</v>
          </cell>
          <cell r="AF9">
            <v>5.5000000000000007E-2</v>
          </cell>
          <cell r="AG9">
            <v>5.5000000000000007E-2</v>
          </cell>
          <cell r="AH9">
            <v>5.5000000000000007E-2</v>
          </cell>
        </row>
        <row r="10">
          <cell r="B10" t="str">
            <v>General - Weighted average cost of capital (WACC) - Asia - %</v>
          </cell>
          <cell r="G10">
            <v>5.5000000000000007E-2</v>
          </cell>
          <cell r="H10">
            <v>5.5000000000000007E-2</v>
          </cell>
          <cell r="I10">
            <v>5.5000000000000007E-2</v>
          </cell>
          <cell r="J10">
            <v>5.5000000000000007E-2</v>
          </cell>
          <cell r="K10">
            <v>5.5000000000000007E-2</v>
          </cell>
          <cell r="L10">
            <v>5.5000000000000007E-2</v>
          </cell>
          <cell r="M10">
            <v>5.5000000000000007E-2</v>
          </cell>
          <cell r="N10">
            <v>5.5000000000000007E-2</v>
          </cell>
          <cell r="O10">
            <v>5.5000000000000007E-2</v>
          </cell>
          <cell r="P10">
            <v>5.5000000000000007E-2</v>
          </cell>
          <cell r="Q10">
            <v>5.5000000000000007E-2</v>
          </cell>
          <cell r="R10">
            <v>5.5000000000000007E-2</v>
          </cell>
          <cell r="S10">
            <v>5.5000000000000007E-2</v>
          </cell>
          <cell r="T10">
            <v>5.5000000000000007E-2</v>
          </cell>
          <cell r="U10">
            <v>5.5000000000000007E-2</v>
          </cell>
          <cell r="V10">
            <v>5.5000000000000007E-2</v>
          </cell>
          <cell r="W10">
            <v>5.5000000000000007E-2</v>
          </cell>
          <cell r="X10">
            <v>5.5000000000000007E-2</v>
          </cell>
          <cell r="Y10">
            <v>5.5000000000000007E-2</v>
          </cell>
          <cell r="Z10">
            <v>5.5000000000000007E-2</v>
          </cell>
          <cell r="AA10">
            <v>5.5000000000000007E-2</v>
          </cell>
          <cell r="AB10">
            <v>5.5000000000000007E-2</v>
          </cell>
          <cell r="AC10">
            <v>5.5000000000000007E-2</v>
          </cell>
          <cell r="AD10">
            <v>5.5000000000000007E-2</v>
          </cell>
          <cell r="AE10">
            <v>5.5000000000000007E-2</v>
          </cell>
          <cell r="AF10">
            <v>5.5000000000000007E-2</v>
          </cell>
          <cell r="AG10">
            <v>5.5000000000000007E-2</v>
          </cell>
          <cell r="AH10">
            <v>5.5000000000000007E-2</v>
          </cell>
        </row>
        <row r="11">
          <cell r="B11" t="str">
            <v>General - Weighted average cost of capital (WACC) - Europe - %</v>
          </cell>
          <cell r="G11">
            <v>5.5000000000000007E-2</v>
          </cell>
          <cell r="H11">
            <v>5.5000000000000007E-2</v>
          </cell>
          <cell r="I11">
            <v>5.5000000000000007E-2</v>
          </cell>
          <cell r="J11">
            <v>5.5000000000000007E-2</v>
          </cell>
          <cell r="K11">
            <v>5.5000000000000007E-2</v>
          </cell>
          <cell r="L11">
            <v>5.5000000000000007E-2</v>
          </cell>
          <cell r="M11">
            <v>5.5000000000000007E-2</v>
          </cell>
          <cell r="N11">
            <v>5.5000000000000007E-2</v>
          </cell>
          <cell r="O11">
            <v>5.5000000000000007E-2</v>
          </cell>
          <cell r="P11">
            <v>5.5000000000000007E-2</v>
          </cell>
          <cell r="Q11">
            <v>5.5000000000000007E-2</v>
          </cell>
          <cell r="R11">
            <v>5.5000000000000007E-2</v>
          </cell>
          <cell r="S11">
            <v>5.5000000000000007E-2</v>
          </cell>
          <cell r="T11">
            <v>5.5000000000000007E-2</v>
          </cell>
          <cell r="U11">
            <v>5.5000000000000007E-2</v>
          </cell>
          <cell r="V11">
            <v>5.5000000000000007E-2</v>
          </cell>
          <cell r="W11">
            <v>5.5000000000000007E-2</v>
          </cell>
          <cell r="X11">
            <v>5.5000000000000007E-2</v>
          </cell>
          <cell r="Y11">
            <v>5.5000000000000007E-2</v>
          </cell>
          <cell r="Z11">
            <v>5.5000000000000007E-2</v>
          </cell>
          <cell r="AA11">
            <v>5.5000000000000007E-2</v>
          </cell>
          <cell r="AB11">
            <v>5.5000000000000007E-2</v>
          </cell>
          <cell r="AC11">
            <v>5.5000000000000007E-2</v>
          </cell>
          <cell r="AD11">
            <v>5.5000000000000007E-2</v>
          </cell>
          <cell r="AE11">
            <v>5.5000000000000007E-2</v>
          </cell>
          <cell r="AF11">
            <v>5.5000000000000007E-2</v>
          </cell>
          <cell r="AG11">
            <v>5.5000000000000007E-2</v>
          </cell>
          <cell r="AH11">
            <v>5.5000000000000007E-2</v>
          </cell>
        </row>
        <row r="12">
          <cell r="B12" t="str">
            <v>General - Weighted average cost of capital (WACC) - Middle East - %</v>
          </cell>
          <cell r="G12">
            <v>5.5000000000000007E-2</v>
          </cell>
          <cell r="H12">
            <v>5.5000000000000007E-2</v>
          </cell>
          <cell r="I12">
            <v>5.5000000000000007E-2</v>
          </cell>
          <cell r="J12">
            <v>5.5000000000000007E-2</v>
          </cell>
          <cell r="K12">
            <v>5.5000000000000007E-2</v>
          </cell>
          <cell r="L12">
            <v>5.5000000000000007E-2</v>
          </cell>
          <cell r="M12">
            <v>5.5000000000000007E-2</v>
          </cell>
          <cell r="N12">
            <v>5.5000000000000007E-2</v>
          </cell>
          <cell r="O12">
            <v>5.5000000000000007E-2</v>
          </cell>
          <cell r="P12">
            <v>5.5000000000000007E-2</v>
          </cell>
          <cell r="Q12">
            <v>5.5000000000000007E-2</v>
          </cell>
          <cell r="R12">
            <v>5.5000000000000007E-2</v>
          </cell>
          <cell r="S12">
            <v>5.5000000000000007E-2</v>
          </cell>
          <cell r="T12">
            <v>5.5000000000000007E-2</v>
          </cell>
          <cell r="U12">
            <v>5.5000000000000007E-2</v>
          </cell>
          <cell r="V12">
            <v>5.5000000000000007E-2</v>
          </cell>
          <cell r="W12">
            <v>5.5000000000000007E-2</v>
          </cell>
          <cell r="X12">
            <v>5.5000000000000007E-2</v>
          </cell>
          <cell r="Y12">
            <v>5.5000000000000007E-2</v>
          </cell>
          <cell r="Z12">
            <v>5.5000000000000007E-2</v>
          </cell>
          <cell r="AA12">
            <v>5.5000000000000007E-2</v>
          </cell>
          <cell r="AB12">
            <v>5.5000000000000007E-2</v>
          </cell>
          <cell r="AC12">
            <v>5.5000000000000007E-2</v>
          </cell>
          <cell r="AD12">
            <v>5.5000000000000007E-2</v>
          </cell>
          <cell r="AE12">
            <v>5.5000000000000007E-2</v>
          </cell>
          <cell r="AF12">
            <v>5.5000000000000007E-2</v>
          </cell>
          <cell r="AG12">
            <v>5.5000000000000007E-2</v>
          </cell>
          <cell r="AH12">
            <v>5.5000000000000007E-2</v>
          </cell>
        </row>
        <row r="14">
          <cell r="G14">
            <v>2023</v>
          </cell>
          <cell r="H14">
            <v>2024</v>
          </cell>
          <cell r="I14">
            <v>2025</v>
          </cell>
          <cell r="J14">
            <v>2026</v>
          </cell>
          <cell r="K14">
            <v>2027</v>
          </cell>
          <cell r="L14">
            <v>2028</v>
          </cell>
          <cell r="M14">
            <v>2029</v>
          </cell>
          <cell r="N14">
            <v>2030</v>
          </cell>
          <cell r="O14">
            <v>2031</v>
          </cell>
          <cell r="P14">
            <v>2032</v>
          </cell>
          <cell r="Q14">
            <v>2033</v>
          </cell>
          <cell r="R14">
            <v>2034</v>
          </cell>
          <cell r="S14">
            <v>2035</v>
          </cell>
          <cell r="T14">
            <v>2036</v>
          </cell>
          <cell r="U14">
            <v>2037</v>
          </cell>
          <cell r="V14">
            <v>2038</v>
          </cell>
          <cell r="W14">
            <v>2039</v>
          </cell>
          <cell r="X14">
            <v>2040</v>
          </cell>
          <cell r="Y14">
            <v>2041</v>
          </cell>
          <cell r="Z14">
            <v>2042</v>
          </cell>
          <cell r="AA14">
            <v>2043</v>
          </cell>
          <cell r="AB14">
            <v>2044</v>
          </cell>
          <cell r="AC14">
            <v>2045</v>
          </cell>
          <cell r="AD14">
            <v>2046</v>
          </cell>
          <cell r="AE14">
            <v>2047</v>
          </cell>
          <cell r="AF14">
            <v>2048</v>
          </cell>
          <cell r="AG14">
            <v>2049</v>
          </cell>
          <cell r="AH14">
            <v>2050</v>
          </cell>
        </row>
        <row r="15">
          <cell r="B15" t="str">
            <v>e-hydrogen (Alkaline) - Market share - Global - %</v>
          </cell>
          <cell r="G15">
            <v>0.74000000000000199</v>
          </cell>
          <cell r="H15">
            <v>0.72000000000000597</v>
          </cell>
          <cell r="I15">
            <v>0.70000000000000284</v>
          </cell>
          <cell r="J15">
            <v>0.65999999999999659</v>
          </cell>
          <cell r="K15">
            <v>0.62000000000000455</v>
          </cell>
          <cell r="L15">
            <v>0.57999999999999829</v>
          </cell>
          <cell r="M15">
            <v>0.54000000000000625</v>
          </cell>
          <cell r="N15">
            <v>0.5</v>
          </cell>
          <cell r="O15">
            <v>0.44999999999998863</v>
          </cell>
          <cell r="P15">
            <v>0.39999999999999147</v>
          </cell>
          <cell r="Q15">
            <v>0.34999999999999432</v>
          </cell>
          <cell r="R15">
            <v>0.29999999999999716</v>
          </cell>
          <cell r="S15">
            <v>0.25</v>
          </cell>
          <cell r="T15">
            <v>0.21000000000000796</v>
          </cell>
          <cell r="U15">
            <v>0.17000000000000171</v>
          </cell>
          <cell r="V15">
            <v>0.13000000000000966</v>
          </cell>
          <cell r="W15">
            <v>9.0000000000003411E-2</v>
          </cell>
          <cell r="X15">
            <v>4.9999999999997158E-2</v>
          </cell>
          <cell r="Y15">
            <v>3.9999999999999147E-2</v>
          </cell>
          <cell r="Z15">
            <v>2.9999999999997584E-2</v>
          </cell>
          <cell r="AA15">
            <v>1.9999999999999574E-2</v>
          </cell>
          <cell r="AB15">
            <v>9.9999999999980105E-3</v>
          </cell>
          <cell r="AC15">
            <v>0</v>
          </cell>
          <cell r="AD15">
            <v>0</v>
          </cell>
          <cell r="AE15">
            <v>0</v>
          </cell>
          <cell r="AF15">
            <v>0</v>
          </cell>
          <cell r="AG15">
            <v>0</v>
          </cell>
          <cell r="AH15">
            <v>0</v>
          </cell>
        </row>
        <row r="16">
          <cell r="B16" t="str">
            <v>e-hydrogen (Alkaline) - Total CAPEX - Electrolysis - Global - USD/ton fuel capacity</v>
          </cell>
          <cell r="G16">
            <v>6976.4114192675333</v>
          </cell>
          <cell r="H16">
            <v>6627.4751160264714</v>
          </cell>
          <cell r="I16">
            <v>6278.538812785293</v>
          </cell>
          <cell r="J16">
            <v>5932.3905119094998</v>
          </cell>
          <cell r="K16">
            <v>5586.2422110335901</v>
          </cell>
          <cell r="L16">
            <v>5240.0939101577969</v>
          </cell>
          <cell r="M16">
            <v>4893.9456092820037</v>
          </cell>
          <cell r="N16">
            <v>4547.7973084060941</v>
          </cell>
          <cell r="O16">
            <v>4459.2022575740702</v>
          </cell>
          <cell r="P16">
            <v>4370.6072067419591</v>
          </cell>
          <cell r="Q16">
            <v>4282.0121559098479</v>
          </cell>
          <cell r="R16">
            <v>4193.4171050777368</v>
          </cell>
          <cell r="S16">
            <v>4104.8220542455965</v>
          </cell>
          <cell r="T16">
            <v>4016.9267133249959</v>
          </cell>
          <cell r="U16">
            <v>3929.0313724043663</v>
          </cell>
          <cell r="V16">
            <v>3841.1360314837657</v>
          </cell>
          <cell r="W16">
            <v>3753.240690563136</v>
          </cell>
          <cell r="X16">
            <v>3665.3453496424772</v>
          </cell>
          <cell r="Y16">
            <v>3578.1455161977501</v>
          </cell>
          <cell r="Z16">
            <v>3490.945682753023</v>
          </cell>
          <cell r="AA16">
            <v>3403.7458493082668</v>
          </cell>
          <cell r="AB16">
            <v>3316.5460158635397</v>
          </cell>
          <cell r="AC16">
            <v>3229.3461824188416</v>
          </cell>
          <cell r="AD16">
            <v>3142.8376765286957</v>
          </cell>
          <cell r="AE16">
            <v>3056.3291706385207</v>
          </cell>
          <cell r="AF16">
            <v>2969.8206647483748</v>
          </cell>
          <cell r="AG16">
            <v>2883.3121588582289</v>
          </cell>
          <cell r="AH16">
            <v>2796.8036529680539</v>
          </cell>
        </row>
        <row r="17">
          <cell r="B17" t="str">
            <v>e-hydrogen (Alkaline) - OPEX - Electrolysis - Global - USD/ton fuel/year</v>
          </cell>
          <cell r="G17">
            <v>697.64114192676789</v>
          </cell>
          <cell r="H17">
            <v>662.74751160264714</v>
          </cell>
          <cell r="I17">
            <v>627.85388127852639</v>
          </cell>
          <cell r="J17">
            <v>593.23905119094707</v>
          </cell>
          <cell r="K17">
            <v>558.62422110336774</v>
          </cell>
          <cell r="L17">
            <v>524.00939101577387</v>
          </cell>
          <cell r="M17">
            <v>489.39456092819455</v>
          </cell>
          <cell r="N17">
            <v>454.77973084061523</v>
          </cell>
          <cell r="O17">
            <v>445.92022575740339</v>
          </cell>
          <cell r="P17">
            <v>437.06072067419154</v>
          </cell>
          <cell r="Q17">
            <v>428.2012155909797</v>
          </cell>
          <cell r="R17">
            <v>419.34171050776786</v>
          </cell>
          <cell r="S17">
            <v>410.48220542455965</v>
          </cell>
          <cell r="T17">
            <v>401.69267133249741</v>
          </cell>
          <cell r="U17">
            <v>392.90313724043517</v>
          </cell>
          <cell r="V17">
            <v>384.11360314837293</v>
          </cell>
          <cell r="W17">
            <v>375.32406905631433</v>
          </cell>
          <cell r="X17">
            <v>366.53453496425209</v>
          </cell>
          <cell r="Y17">
            <v>357.81455161977647</v>
          </cell>
          <cell r="Z17">
            <v>349.09456827530448</v>
          </cell>
          <cell r="AA17">
            <v>340.37458493082886</v>
          </cell>
          <cell r="AB17">
            <v>331.65460158635688</v>
          </cell>
          <cell r="AC17">
            <v>322.93461824188489</v>
          </cell>
          <cell r="AD17">
            <v>314.28376765286885</v>
          </cell>
          <cell r="AE17">
            <v>305.6329170638528</v>
          </cell>
          <cell r="AF17">
            <v>296.98206647483676</v>
          </cell>
          <cell r="AG17">
            <v>288.33121588582071</v>
          </cell>
          <cell r="AH17">
            <v>279.68036529680467</v>
          </cell>
        </row>
        <row r="18">
          <cell r="B18" t="str">
            <v>e-hydrogen (Alkaline) - Energy demand - Electrolysis - Global - MWh/ton fuel</v>
          </cell>
          <cell r="G18">
            <v>50.080974309131491</v>
          </cell>
          <cell r="H18">
            <v>50.040487154565753</v>
          </cell>
          <cell r="I18">
            <v>49.999999999999986</v>
          </cell>
          <cell r="J18">
            <v>49.959676105409542</v>
          </cell>
          <cell r="K18">
            <v>49.919352210819085</v>
          </cell>
          <cell r="L18">
            <v>49.879028316228641</v>
          </cell>
          <cell r="M18">
            <v>49.838704421638198</v>
          </cell>
          <cell r="N18">
            <v>49.79838052704774</v>
          </cell>
          <cell r="O18">
            <v>49.758219234104814</v>
          </cell>
          <cell r="P18">
            <v>49.71805794116186</v>
          </cell>
          <cell r="Q18">
            <v>49.677896648218905</v>
          </cell>
          <cell r="R18">
            <v>49.637735355275964</v>
          </cell>
          <cell r="S18">
            <v>49.59757406233301</v>
          </cell>
          <cell r="T18">
            <v>49.557574715364382</v>
          </cell>
          <cell r="U18">
            <v>49.517575368395754</v>
          </cell>
          <cell r="V18">
            <v>49.477576021427126</v>
          </cell>
          <cell r="W18">
            <v>49.437576674458498</v>
          </cell>
          <cell r="X18">
            <v>49.397577327489842</v>
          </cell>
          <cell r="Y18">
            <v>49.357739273466294</v>
          </cell>
          <cell r="Z18">
            <v>49.317901219442746</v>
          </cell>
          <cell r="AA18">
            <v>49.278063165419212</v>
          </cell>
          <cell r="AB18">
            <v>49.238225111395664</v>
          </cell>
          <cell r="AC18">
            <v>49.198387057372159</v>
          </cell>
          <cell r="AD18">
            <v>49.15870964589773</v>
          </cell>
          <cell r="AE18">
            <v>49.119032234423301</v>
          </cell>
          <cell r="AF18">
            <v>49.079354822948872</v>
          </cell>
          <cell r="AG18">
            <v>49.039677411474443</v>
          </cell>
          <cell r="AH18">
            <v>49.000000000000014</v>
          </cell>
        </row>
        <row r="19">
          <cell r="B19" t="str">
            <v>e-hydrogen (Alkaline) - Process WTT emissions (carbon dioxide) - Global - ton CO2/ton fuel</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row>
        <row r="20">
          <cell r="B20" t="str">
            <v>e-hydrogen (Alkaline) - Process WTT emissions (methane) - Global - ton CH4/ton fuel</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row>
        <row r="21">
          <cell r="B21" t="str">
            <v>e-hydrogen (Alkaline) - Process WTT emissions (nitrous oxide) - Global - ton N2O/ton fuel</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row>
        <row r="23">
          <cell r="G23">
            <v>2023</v>
          </cell>
          <cell r="H23">
            <v>2024</v>
          </cell>
          <cell r="I23">
            <v>2025</v>
          </cell>
          <cell r="J23">
            <v>2026</v>
          </cell>
          <cell r="K23">
            <v>2027</v>
          </cell>
          <cell r="L23">
            <v>2028</v>
          </cell>
          <cell r="M23">
            <v>2029</v>
          </cell>
          <cell r="N23">
            <v>2030</v>
          </cell>
          <cell r="O23">
            <v>2031</v>
          </cell>
          <cell r="P23">
            <v>2032</v>
          </cell>
          <cell r="Q23">
            <v>2033</v>
          </cell>
          <cell r="R23">
            <v>2034</v>
          </cell>
          <cell r="S23">
            <v>2035</v>
          </cell>
          <cell r="T23">
            <v>2036</v>
          </cell>
          <cell r="U23">
            <v>2037</v>
          </cell>
          <cell r="V23">
            <v>2038</v>
          </cell>
          <cell r="W23">
            <v>2039</v>
          </cell>
          <cell r="X23">
            <v>2040</v>
          </cell>
          <cell r="Y23">
            <v>2041</v>
          </cell>
          <cell r="Z23">
            <v>2042</v>
          </cell>
          <cell r="AA23">
            <v>2043</v>
          </cell>
          <cell r="AB23">
            <v>2044</v>
          </cell>
          <cell r="AC23">
            <v>2045</v>
          </cell>
          <cell r="AD23">
            <v>2046</v>
          </cell>
          <cell r="AE23">
            <v>2047</v>
          </cell>
          <cell r="AF23">
            <v>2048</v>
          </cell>
          <cell r="AG23">
            <v>2049</v>
          </cell>
          <cell r="AH23">
            <v>2050</v>
          </cell>
        </row>
        <row r="24">
          <cell r="B24" t="str">
            <v>e-hydrogen (PEM) - Market share - Global - %</v>
          </cell>
          <cell r="G24">
            <v>0.23000000000000043</v>
          </cell>
          <cell r="H24">
            <v>0.23999999999999844</v>
          </cell>
          <cell r="I24">
            <v>0.25000000000000355</v>
          </cell>
          <cell r="J24">
            <v>0.26500000000000412</v>
          </cell>
          <cell r="K24">
            <v>0.28000000000000114</v>
          </cell>
          <cell r="L24">
            <v>0.29500000000000171</v>
          </cell>
          <cell r="M24">
            <v>0.31000000000000227</v>
          </cell>
          <cell r="N24">
            <v>0.32500000000000284</v>
          </cell>
          <cell r="O24">
            <v>0.33500000000000085</v>
          </cell>
          <cell r="P24">
            <v>0.34500000000000242</v>
          </cell>
          <cell r="Q24">
            <v>0.35500000000000398</v>
          </cell>
          <cell r="R24">
            <v>0.36500000000000199</v>
          </cell>
          <cell r="S24">
            <v>0.375</v>
          </cell>
          <cell r="T24">
            <v>0.37999999999999901</v>
          </cell>
          <cell r="U24">
            <v>0.38499999999999979</v>
          </cell>
          <cell r="V24">
            <v>0.38999999999999879</v>
          </cell>
          <cell r="W24">
            <v>0.39499999999999957</v>
          </cell>
          <cell r="X24">
            <v>0.39999999999999858</v>
          </cell>
          <cell r="Y24">
            <v>0.38000000000000256</v>
          </cell>
          <cell r="Z24">
            <v>0.35999999999999943</v>
          </cell>
          <cell r="AA24">
            <v>0.34000000000000341</v>
          </cell>
          <cell r="AB24">
            <v>0.32000000000000028</v>
          </cell>
          <cell r="AC24">
            <v>0.30000000000000426</v>
          </cell>
          <cell r="AD24">
            <v>0.28000000000000114</v>
          </cell>
          <cell r="AE24">
            <v>0.26000000000000512</v>
          </cell>
          <cell r="AF24">
            <v>0.24000000000000199</v>
          </cell>
          <cell r="AG24">
            <v>0.21999999999999886</v>
          </cell>
          <cell r="AH24">
            <v>0.20000000000000284</v>
          </cell>
        </row>
        <row r="25">
          <cell r="B25" t="str">
            <v>e-hydrogen (PEM) - Total CAPEX - Electrolysis - Global - USD/ton fuel capacity</v>
          </cell>
          <cell r="G25">
            <v>8915.6282468257705</v>
          </cell>
          <cell r="H25">
            <v>8413.2935754676582</v>
          </cell>
          <cell r="I25">
            <v>7910.958904109546</v>
          </cell>
          <cell r="J25">
            <v>7440.3542023920454</v>
          </cell>
          <cell r="K25">
            <v>6969.7495006745448</v>
          </cell>
          <cell r="L25">
            <v>6499.1447989570443</v>
          </cell>
          <cell r="M25">
            <v>6028.5400972395437</v>
          </cell>
          <cell r="N25">
            <v>5557.9353955220431</v>
          </cell>
          <cell r="O25">
            <v>5419.4955974787008</v>
          </cell>
          <cell r="P25">
            <v>5281.0557994354167</v>
          </cell>
          <cell r="Q25">
            <v>5142.6160013921326</v>
          </cell>
          <cell r="R25">
            <v>5004.1762033487903</v>
          </cell>
          <cell r="S25">
            <v>4865.736405305448</v>
          </cell>
          <cell r="T25">
            <v>4735.4210688787862</v>
          </cell>
          <cell r="U25">
            <v>4605.1057324521244</v>
          </cell>
          <cell r="V25">
            <v>4474.7903960254625</v>
          </cell>
          <cell r="W25">
            <v>4344.4750595988589</v>
          </cell>
          <cell r="X25">
            <v>4214.1597231721971</v>
          </cell>
          <cell r="Y25">
            <v>4091.5765725307865</v>
          </cell>
          <cell r="Z25">
            <v>3968.9934218893759</v>
          </cell>
          <cell r="AA25">
            <v>3846.4102712479653</v>
          </cell>
          <cell r="AB25">
            <v>3723.8271206065547</v>
          </cell>
          <cell r="AC25">
            <v>3601.2439699651441</v>
          </cell>
          <cell r="AD25">
            <v>3486.0180070223287</v>
          </cell>
          <cell r="AE25">
            <v>3370.7920440795424</v>
          </cell>
          <cell r="AF25">
            <v>3255.566081136727</v>
          </cell>
          <cell r="AG25">
            <v>3140.3401181939116</v>
          </cell>
          <cell r="AH25">
            <v>3025.1141552511253</v>
          </cell>
        </row>
        <row r="26">
          <cell r="B26" t="str">
            <v>e-hydrogen (PEM) - OPEX - Electrolysis - Global - USD/ton fuel/year</v>
          </cell>
          <cell r="G26">
            <v>910.59019561100286</v>
          </cell>
          <cell r="H26">
            <v>850.84304301098746</v>
          </cell>
          <cell r="I26">
            <v>791.09589041095751</v>
          </cell>
          <cell r="J26">
            <v>739.18362051235454</v>
          </cell>
          <cell r="K26">
            <v>687.27135061373701</v>
          </cell>
          <cell r="L26">
            <v>635.35908071511949</v>
          </cell>
          <cell r="M26">
            <v>583.44681081651652</v>
          </cell>
          <cell r="N26">
            <v>531.53454091789899</v>
          </cell>
          <cell r="O26">
            <v>514.23266631403385</v>
          </cell>
          <cell r="P26">
            <v>496.93079171016871</v>
          </cell>
          <cell r="Q26">
            <v>479.62891710631084</v>
          </cell>
          <cell r="R26">
            <v>462.32704250244569</v>
          </cell>
          <cell r="S26">
            <v>445.02516789858055</v>
          </cell>
          <cell r="T26">
            <v>429.74177295655682</v>
          </cell>
          <cell r="U26">
            <v>414.45837801453308</v>
          </cell>
          <cell r="V26">
            <v>399.17498307250935</v>
          </cell>
          <cell r="W26">
            <v>383.89158813048562</v>
          </cell>
          <cell r="X26">
            <v>368.60819318846188</v>
          </cell>
          <cell r="Y26">
            <v>355.13620468719091</v>
          </cell>
          <cell r="Z26">
            <v>341.66421618591994</v>
          </cell>
          <cell r="AA26">
            <v>328.19222768464897</v>
          </cell>
          <cell r="AB26">
            <v>314.720239183378</v>
          </cell>
          <cell r="AC26">
            <v>301.24825068211067</v>
          </cell>
          <cell r="AD26">
            <v>289.40042702970823</v>
          </cell>
          <cell r="AE26">
            <v>277.55260337730215</v>
          </cell>
          <cell r="AF26">
            <v>265.70477972489971</v>
          </cell>
          <cell r="AG26">
            <v>253.85695607249727</v>
          </cell>
          <cell r="AH26">
            <v>242.00913242009119</v>
          </cell>
        </row>
        <row r="27">
          <cell r="B27" t="str">
            <v>e-hydrogen (PEM) - Energy demand - Electrolysis - Global - MWh/ton fuel</v>
          </cell>
          <cell r="G27">
            <v>63.88635960156671</v>
          </cell>
          <cell r="H27">
            <v>63.443179800783355</v>
          </cell>
          <cell r="I27">
            <v>63.000000000000114</v>
          </cell>
          <cell r="J27">
            <v>62.571878516193237</v>
          </cell>
          <cell r="K27">
            <v>62.143757032386361</v>
          </cell>
          <cell r="L27">
            <v>61.715635548579598</v>
          </cell>
          <cell r="M27">
            <v>61.287514064772836</v>
          </cell>
          <cell r="N27">
            <v>60.859392580965959</v>
          </cell>
          <cell r="O27">
            <v>60.445817764214326</v>
          </cell>
          <cell r="P27">
            <v>60.032242947462805</v>
          </cell>
          <cell r="Q27">
            <v>59.618668130711285</v>
          </cell>
          <cell r="R27">
            <v>59.205093313959765</v>
          </cell>
          <cell r="S27">
            <v>58.791518497208472</v>
          </cell>
          <cell r="T27">
            <v>58.391996082378569</v>
          </cell>
          <cell r="U27">
            <v>57.992473667548666</v>
          </cell>
          <cell r="V27">
            <v>57.592951252718876</v>
          </cell>
          <cell r="W27">
            <v>57.193428837888973</v>
          </cell>
          <cell r="X27">
            <v>56.793906423059184</v>
          </cell>
          <cell r="Y27">
            <v>56.407958939106379</v>
          </cell>
          <cell r="Z27">
            <v>56.022011455153574</v>
          </cell>
          <cell r="AA27">
            <v>55.63606397120077</v>
          </cell>
          <cell r="AB27">
            <v>55.250116487247965</v>
          </cell>
          <cell r="AC27">
            <v>54.86416900329516</v>
          </cell>
          <cell r="AD27">
            <v>54.491335202636037</v>
          </cell>
          <cell r="AE27">
            <v>54.118501401977028</v>
          </cell>
          <cell r="AF27">
            <v>53.745667601318019</v>
          </cell>
          <cell r="AG27">
            <v>53.372833800659009</v>
          </cell>
          <cell r="AH27">
            <v>53</v>
          </cell>
        </row>
        <row r="28">
          <cell r="B28" t="str">
            <v>e-hydrogen (PEM) - Process WTT emissions (carbon dioxide) - Global - ton CO2/ton fuel</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row>
        <row r="29">
          <cell r="B29" t="str">
            <v>e-hydrogen (PEM) - Process WTT emissions (methane) - Global - ton CH4/ton fuel</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row>
        <row r="30">
          <cell r="B30" t="str">
            <v>e-hydrogen (PEM) - Process WTT emissions (nitrous oxide) - Global - ton N2O/ton fuel</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row>
        <row r="32">
          <cell r="G32">
            <v>2023</v>
          </cell>
          <cell r="H32">
            <v>2024</v>
          </cell>
          <cell r="I32">
            <v>2025</v>
          </cell>
          <cell r="J32">
            <v>2026</v>
          </cell>
          <cell r="K32">
            <v>2027</v>
          </cell>
          <cell r="L32">
            <v>2028</v>
          </cell>
          <cell r="M32">
            <v>2029</v>
          </cell>
          <cell r="N32">
            <v>2030</v>
          </cell>
          <cell r="O32">
            <v>2031</v>
          </cell>
          <cell r="P32">
            <v>2032</v>
          </cell>
          <cell r="Q32">
            <v>2033</v>
          </cell>
          <cell r="R32">
            <v>2034</v>
          </cell>
          <cell r="S32">
            <v>2035</v>
          </cell>
          <cell r="T32">
            <v>2036</v>
          </cell>
          <cell r="U32">
            <v>2037</v>
          </cell>
          <cell r="V32">
            <v>2038</v>
          </cell>
          <cell r="W32">
            <v>2039</v>
          </cell>
          <cell r="X32">
            <v>2040</v>
          </cell>
          <cell r="Y32">
            <v>2041</v>
          </cell>
          <cell r="Z32">
            <v>2042</v>
          </cell>
          <cell r="AA32">
            <v>2043</v>
          </cell>
          <cell r="AB32">
            <v>2044</v>
          </cell>
          <cell r="AC32">
            <v>2045</v>
          </cell>
          <cell r="AD32">
            <v>2046</v>
          </cell>
          <cell r="AE32">
            <v>2047</v>
          </cell>
          <cell r="AF32">
            <v>2048</v>
          </cell>
          <cell r="AG32">
            <v>2049</v>
          </cell>
          <cell r="AH32">
            <v>2050</v>
          </cell>
        </row>
        <row r="33">
          <cell r="B33" t="str">
            <v>e-hydrogen (Solid oxide) - Market share - Global - %</v>
          </cell>
          <cell r="G33">
            <v>2.9999999999997584E-2</v>
          </cell>
          <cell r="H33">
            <v>3.9999999999999147E-2</v>
          </cell>
          <cell r="I33">
            <v>4.9999999999997158E-2</v>
          </cell>
          <cell r="J33">
            <v>7.5000000000002842E-2</v>
          </cell>
          <cell r="K33">
            <v>0.10000000000000142</v>
          </cell>
          <cell r="L33">
            <v>0.125</v>
          </cell>
          <cell r="M33">
            <v>0.14999999999999858</v>
          </cell>
          <cell r="N33">
            <v>0.17499999999999716</v>
          </cell>
          <cell r="O33">
            <v>0.21500000000000341</v>
          </cell>
          <cell r="P33">
            <v>0.25500000000000966</v>
          </cell>
          <cell r="Q33">
            <v>0.29500000000001592</v>
          </cell>
          <cell r="R33">
            <v>0.33500000000000796</v>
          </cell>
          <cell r="S33">
            <v>0.37500000000001421</v>
          </cell>
          <cell r="T33">
            <v>0.4100000000000108</v>
          </cell>
          <cell r="U33">
            <v>0.44500000000000739</v>
          </cell>
          <cell r="V33">
            <v>0.48000000000001819</v>
          </cell>
          <cell r="W33">
            <v>0.51500000000001478</v>
          </cell>
          <cell r="X33">
            <v>0.54999999999999716</v>
          </cell>
          <cell r="Y33">
            <v>0.57999999999999829</v>
          </cell>
          <cell r="Z33">
            <v>0.60999999999999943</v>
          </cell>
          <cell r="AA33">
            <v>0.64000000000000057</v>
          </cell>
          <cell r="AB33">
            <v>0.67000000000000171</v>
          </cell>
          <cell r="AC33">
            <v>0.69999999999999574</v>
          </cell>
          <cell r="AD33">
            <v>0.71999999999999886</v>
          </cell>
          <cell r="AE33">
            <v>0.73999999999999488</v>
          </cell>
          <cell r="AF33">
            <v>0.75999999999999801</v>
          </cell>
          <cell r="AG33">
            <v>0.78000000000000114</v>
          </cell>
          <cell r="AH33">
            <v>0.79999999999999716</v>
          </cell>
        </row>
        <row r="34">
          <cell r="B34" t="str">
            <v>e-hydrogen (Solid oxide) - Total CAPEX - Electrolysis - Global - USD/ton fuel capacity</v>
          </cell>
          <cell r="G34">
            <v>16208.38862920925</v>
          </cell>
          <cell r="H34">
            <v>15638.440889947116</v>
          </cell>
          <cell r="I34">
            <v>15068.493150684983</v>
          </cell>
          <cell r="J34">
            <v>14518.790742691606</v>
          </cell>
          <cell r="K34">
            <v>13969.08833469823</v>
          </cell>
          <cell r="L34">
            <v>13419.385926704854</v>
          </cell>
          <cell r="M34">
            <v>12869.683518711478</v>
          </cell>
          <cell r="N34">
            <v>12319.981110718101</v>
          </cell>
          <cell r="O34">
            <v>11838.312147469027</v>
          </cell>
          <cell r="P34">
            <v>11356.643184220069</v>
          </cell>
          <cell r="Q34">
            <v>10874.974220971111</v>
          </cell>
          <cell r="R34">
            <v>10393.30525772227</v>
          </cell>
          <cell r="S34">
            <v>9911.6362944733119</v>
          </cell>
          <cell r="T34">
            <v>9447.2781581417657</v>
          </cell>
          <cell r="U34">
            <v>8982.9200218101032</v>
          </cell>
          <cell r="V34">
            <v>8518.5618854784407</v>
          </cell>
          <cell r="W34">
            <v>8054.2037491468946</v>
          </cell>
          <cell r="X34">
            <v>7589.845612815232</v>
          </cell>
          <cell r="Y34">
            <v>7142.3163148779422</v>
          </cell>
          <cell r="Z34">
            <v>6694.787016940536</v>
          </cell>
          <cell r="AA34">
            <v>6247.2577190032462</v>
          </cell>
          <cell r="AB34">
            <v>5799.7284210659564</v>
          </cell>
          <cell r="AC34">
            <v>5352.1991231285501</v>
          </cell>
          <cell r="AD34">
            <v>4921.0287048955215</v>
          </cell>
          <cell r="AE34">
            <v>4489.8582866624929</v>
          </cell>
          <cell r="AF34">
            <v>4058.6878684294643</v>
          </cell>
          <cell r="AG34">
            <v>3627.5174501964357</v>
          </cell>
          <cell r="AH34">
            <v>3196.3470319634071</v>
          </cell>
        </row>
        <row r="35">
          <cell r="B35" t="str">
            <v>e-hydrogen (Solid oxide) - OPEX - Electrolysis - Global - USD/ton fuel/year</v>
          </cell>
          <cell r="G35">
            <v>1764.9906324479671</v>
          </cell>
          <cell r="H35">
            <v>1635.919973758253</v>
          </cell>
          <cell r="I35">
            <v>1506.8493150684808</v>
          </cell>
          <cell r="J35">
            <v>1410.6202478319756</v>
          </cell>
          <cell r="K35">
            <v>1314.3911805954413</v>
          </cell>
          <cell r="L35">
            <v>1218.1621133589069</v>
          </cell>
          <cell r="M35">
            <v>1121.9330461224017</v>
          </cell>
          <cell r="N35">
            <v>1025.7039788858674</v>
          </cell>
          <cell r="O35">
            <v>957.9671748035762</v>
          </cell>
          <cell r="P35">
            <v>890.23037072125589</v>
          </cell>
          <cell r="Q35">
            <v>822.49356663896469</v>
          </cell>
          <cell r="R35">
            <v>754.75676255667349</v>
          </cell>
          <cell r="S35">
            <v>687.01995847435319</v>
          </cell>
          <cell r="T35">
            <v>637.21492319114623</v>
          </cell>
          <cell r="U35">
            <v>587.40988790793926</v>
          </cell>
          <cell r="V35">
            <v>537.60485262474685</v>
          </cell>
          <cell r="W35">
            <v>487.79981734153989</v>
          </cell>
          <cell r="X35">
            <v>437.99478205834748</v>
          </cell>
          <cell r="Y35">
            <v>401.8250827852753</v>
          </cell>
          <cell r="Z35">
            <v>365.65538351218856</v>
          </cell>
          <cell r="AA35">
            <v>329.48568423911638</v>
          </cell>
          <cell r="AB35">
            <v>293.31598496602965</v>
          </cell>
          <cell r="AC35">
            <v>257.14628569295019</v>
          </cell>
          <cell r="AD35">
            <v>231.28780481006834</v>
          </cell>
          <cell r="AE35">
            <v>205.42932392718649</v>
          </cell>
          <cell r="AF35">
            <v>179.57084304430464</v>
          </cell>
          <cell r="AG35">
            <v>153.71236216142279</v>
          </cell>
          <cell r="AH35">
            <v>127.85388127854094</v>
          </cell>
        </row>
        <row r="36">
          <cell r="B36" t="str">
            <v>e-hydrogen (Solid oxide) - Energy demand - Electrolysis - Global - MWh/ton fuel</v>
          </cell>
          <cell r="G36">
            <v>44.338709826249612</v>
          </cell>
          <cell r="H36">
            <v>44.169354913124778</v>
          </cell>
          <cell r="I36">
            <v>44</v>
          </cell>
          <cell r="J36">
            <v>43.8338427623911</v>
          </cell>
          <cell r="K36">
            <v>43.667685524782257</v>
          </cell>
          <cell r="L36">
            <v>43.501528287173358</v>
          </cell>
          <cell r="M36">
            <v>43.335371049564458</v>
          </cell>
          <cell r="N36">
            <v>43.169213811955615</v>
          </cell>
          <cell r="O36">
            <v>43.006193872938752</v>
          </cell>
          <cell r="P36">
            <v>42.843173933921889</v>
          </cell>
          <cell r="Q36">
            <v>42.680153994905083</v>
          </cell>
          <cell r="R36">
            <v>42.517134055888221</v>
          </cell>
          <cell r="S36">
            <v>42.354114116871358</v>
          </cell>
          <cell r="T36">
            <v>42.194172239529792</v>
          </cell>
          <cell r="U36">
            <v>42.034230362188168</v>
          </cell>
          <cell r="V36">
            <v>41.874288484846602</v>
          </cell>
          <cell r="W36">
            <v>41.714346607504979</v>
          </cell>
          <cell r="X36">
            <v>41.554404730163355</v>
          </cell>
          <cell r="Y36">
            <v>41.397482796062377</v>
          </cell>
          <cell r="Z36">
            <v>41.240560861961342</v>
          </cell>
          <cell r="AA36">
            <v>41.083638927860306</v>
          </cell>
          <cell r="AB36">
            <v>40.926716993759271</v>
          </cell>
          <cell r="AC36">
            <v>40.769795059658236</v>
          </cell>
          <cell r="AD36">
            <v>40.615836047726589</v>
          </cell>
          <cell r="AE36">
            <v>40.461877035794942</v>
          </cell>
          <cell r="AF36">
            <v>40.307918023863294</v>
          </cell>
          <cell r="AG36">
            <v>40.153959011931647</v>
          </cell>
          <cell r="AH36">
            <v>40</v>
          </cell>
        </row>
        <row r="37">
          <cell r="B37" t="str">
            <v>e-hydrogen (Solid oxide) - Process WTT emissions (carbon dioxide) - Global - ton CO2/ton fuel</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row>
        <row r="38">
          <cell r="B38" t="str">
            <v>e-hydrogen (Solid oxide) - Process WTT emissions (methane) - Global - ton CH4/ton fuel</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row>
        <row r="39">
          <cell r="B39" t="str">
            <v>e-hydrogen (Solid oxide) - Process WTT emissions (nitrous oxide) - Global - ton N2O/ton fuel</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row>
        <row r="41">
          <cell r="G41">
            <v>2023</v>
          </cell>
          <cell r="H41">
            <v>2024</v>
          </cell>
          <cell r="I41">
            <v>2025</v>
          </cell>
          <cell r="J41">
            <v>2026</v>
          </cell>
          <cell r="K41">
            <v>2027</v>
          </cell>
          <cell r="L41">
            <v>2028</v>
          </cell>
          <cell r="M41">
            <v>2029</v>
          </cell>
          <cell r="N41">
            <v>2030</v>
          </cell>
          <cell r="O41">
            <v>2031</v>
          </cell>
          <cell r="P41">
            <v>2032</v>
          </cell>
          <cell r="Q41">
            <v>2033</v>
          </cell>
          <cell r="R41">
            <v>2034</v>
          </cell>
          <cell r="S41">
            <v>2035</v>
          </cell>
          <cell r="T41">
            <v>2036</v>
          </cell>
          <cell r="U41">
            <v>2037</v>
          </cell>
          <cell r="V41">
            <v>2038</v>
          </cell>
          <cell r="W41">
            <v>2039</v>
          </cell>
          <cell r="X41">
            <v>2040</v>
          </cell>
          <cell r="Y41">
            <v>2041</v>
          </cell>
          <cell r="Z41">
            <v>2042</v>
          </cell>
          <cell r="AA41">
            <v>2043</v>
          </cell>
          <cell r="AB41">
            <v>2044</v>
          </cell>
          <cell r="AC41">
            <v>2045</v>
          </cell>
          <cell r="AD41">
            <v>2046</v>
          </cell>
          <cell r="AE41">
            <v>2047</v>
          </cell>
          <cell r="AF41">
            <v>2048</v>
          </cell>
          <cell r="AG41">
            <v>2049</v>
          </cell>
          <cell r="AH41">
            <v>2050</v>
          </cell>
        </row>
        <row r="42">
          <cell r="B42" t="str">
            <v>e-hydrogen - Conversion H2O -&gt; H2 - Global - ton H2O/ton H2</v>
          </cell>
          <cell r="G42">
            <v>9</v>
          </cell>
          <cell r="H42">
            <v>9</v>
          </cell>
          <cell r="I42">
            <v>9</v>
          </cell>
          <cell r="J42">
            <v>9</v>
          </cell>
          <cell r="K42">
            <v>9</v>
          </cell>
          <cell r="L42">
            <v>9</v>
          </cell>
          <cell r="M42">
            <v>9</v>
          </cell>
          <cell r="N42">
            <v>9</v>
          </cell>
          <cell r="O42">
            <v>9</v>
          </cell>
          <cell r="P42">
            <v>9</v>
          </cell>
          <cell r="Q42">
            <v>9</v>
          </cell>
          <cell r="R42">
            <v>9</v>
          </cell>
          <cell r="S42">
            <v>9</v>
          </cell>
          <cell r="T42">
            <v>9</v>
          </cell>
          <cell r="U42">
            <v>9</v>
          </cell>
          <cell r="V42">
            <v>9</v>
          </cell>
          <cell r="W42">
            <v>9</v>
          </cell>
          <cell r="X42">
            <v>9</v>
          </cell>
          <cell r="Y42">
            <v>9</v>
          </cell>
          <cell r="Z42">
            <v>9</v>
          </cell>
          <cell r="AA42">
            <v>9</v>
          </cell>
          <cell r="AB42">
            <v>9</v>
          </cell>
          <cell r="AC42">
            <v>9</v>
          </cell>
          <cell r="AD42">
            <v>9</v>
          </cell>
          <cell r="AE42">
            <v>9</v>
          </cell>
          <cell r="AF42">
            <v>9</v>
          </cell>
          <cell r="AG42">
            <v>9</v>
          </cell>
          <cell r="AH42">
            <v>9</v>
          </cell>
        </row>
        <row r="43">
          <cell r="B43" t="str">
            <v>e-hydrogen - LHV - Global - GJ/ton</v>
          </cell>
          <cell r="G43">
            <v>120</v>
          </cell>
          <cell r="H43">
            <v>120</v>
          </cell>
          <cell r="I43">
            <v>120</v>
          </cell>
          <cell r="J43">
            <v>120</v>
          </cell>
          <cell r="K43">
            <v>120</v>
          </cell>
          <cell r="L43">
            <v>120</v>
          </cell>
          <cell r="M43">
            <v>120</v>
          </cell>
          <cell r="N43">
            <v>120</v>
          </cell>
          <cell r="O43">
            <v>120</v>
          </cell>
          <cell r="P43">
            <v>120</v>
          </cell>
          <cell r="Q43">
            <v>120</v>
          </cell>
          <cell r="R43">
            <v>120</v>
          </cell>
          <cell r="S43">
            <v>120</v>
          </cell>
          <cell r="T43">
            <v>120</v>
          </cell>
          <cell r="U43">
            <v>120</v>
          </cell>
          <cell r="V43">
            <v>120</v>
          </cell>
          <cell r="W43">
            <v>120</v>
          </cell>
          <cell r="X43">
            <v>120</v>
          </cell>
          <cell r="Y43">
            <v>120</v>
          </cell>
          <cell r="Z43">
            <v>120</v>
          </cell>
          <cell r="AA43">
            <v>120</v>
          </cell>
          <cell r="AB43">
            <v>120</v>
          </cell>
          <cell r="AC43">
            <v>120</v>
          </cell>
          <cell r="AD43">
            <v>120</v>
          </cell>
          <cell r="AE43">
            <v>120</v>
          </cell>
          <cell r="AF43">
            <v>120</v>
          </cell>
          <cell r="AG43">
            <v>120</v>
          </cell>
          <cell r="AH43">
            <v>120</v>
          </cell>
        </row>
        <row r="44">
          <cell r="B44" t="str">
            <v>e-hydrogen - Plant lifetime - Global - Years</v>
          </cell>
          <cell r="G44">
            <v>30</v>
          </cell>
          <cell r="H44">
            <v>30</v>
          </cell>
          <cell r="I44">
            <v>30</v>
          </cell>
          <cell r="J44">
            <v>30</v>
          </cell>
          <cell r="K44">
            <v>30</v>
          </cell>
          <cell r="L44">
            <v>30</v>
          </cell>
          <cell r="M44">
            <v>30</v>
          </cell>
          <cell r="N44">
            <v>30</v>
          </cell>
          <cell r="O44">
            <v>30</v>
          </cell>
          <cell r="P44">
            <v>30</v>
          </cell>
          <cell r="Q44">
            <v>30</v>
          </cell>
          <cell r="R44">
            <v>30</v>
          </cell>
          <cell r="S44">
            <v>30</v>
          </cell>
          <cell r="T44">
            <v>30</v>
          </cell>
          <cell r="U44">
            <v>30</v>
          </cell>
          <cell r="V44">
            <v>30</v>
          </cell>
          <cell r="W44">
            <v>30</v>
          </cell>
          <cell r="X44">
            <v>30</v>
          </cell>
          <cell r="Y44">
            <v>30</v>
          </cell>
          <cell r="Z44">
            <v>30</v>
          </cell>
          <cell r="AA44">
            <v>30</v>
          </cell>
          <cell r="AB44">
            <v>30</v>
          </cell>
          <cell r="AC44">
            <v>30</v>
          </cell>
          <cell r="AD44">
            <v>30</v>
          </cell>
          <cell r="AE44">
            <v>30</v>
          </cell>
          <cell r="AF44">
            <v>30</v>
          </cell>
          <cell r="AG44">
            <v>30</v>
          </cell>
          <cell r="AH44">
            <v>30</v>
          </cell>
        </row>
        <row r="45">
          <cell r="B45" t="str">
            <v>e-hydrogen - Process WTT emissions (carbon dioxide) - Global - ton CO2/ton fuel</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row>
        <row r="46">
          <cell r="B46" t="str">
            <v>e-hydrogen - Process WTT emissions (methane) - Global - ton CH4/ton fuel</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row>
        <row r="47">
          <cell r="B47" t="str">
            <v>e-hydrogen - Process WTT emissions (nitrous oxide) - Global - ton N2O/ton fuel</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row>
        <row r="49">
          <cell r="G49">
            <v>2023</v>
          </cell>
          <cell r="H49">
            <v>2024</v>
          </cell>
          <cell r="I49">
            <v>2025</v>
          </cell>
          <cell r="J49">
            <v>2026</v>
          </cell>
          <cell r="K49">
            <v>2027</v>
          </cell>
          <cell r="L49">
            <v>2028</v>
          </cell>
          <cell r="M49">
            <v>2029</v>
          </cell>
          <cell r="N49">
            <v>2030</v>
          </cell>
          <cell r="O49">
            <v>2031</v>
          </cell>
          <cell r="P49">
            <v>2032</v>
          </cell>
          <cell r="Q49">
            <v>2033</v>
          </cell>
          <cell r="R49">
            <v>2034</v>
          </cell>
          <cell r="S49">
            <v>2035</v>
          </cell>
          <cell r="T49">
            <v>2036</v>
          </cell>
          <cell r="U49">
            <v>2037</v>
          </cell>
          <cell r="V49">
            <v>2038</v>
          </cell>
          <cell r="W49">
            <v>2039</v>
          </cell>
          <cell r="X49">
            <v>2040</v>
          </cell>
          <cell r="Y49">
            <v>2041</v>
          </cell>
          <cell r="Z49">
            <v>2042</v>
          </cell>
          <cell r="AA49">
            <v>2043</v>
          </cell>
          <cell r="AB49">
            <v>2044</v>
          </cell>
          <cell r="AC49">
            <v>2045</v>
          </cell>
          <cell r="AD49">
            <v>2046</v>
          </cell>
          <cell r="AE49">
            <v>2047</v>
          </cell>
          <cell r="AF49">
            <v>2048</v>
          </cell>
          <cell r="AG49">
            <v>2049</v>
          </cell>
          <cell r="AH49">
            <v>2050</v>
          </cell>
        </row>
        <row r="50">
          <cell r="B50" t="str">
            <v>e-hydrogen (liquefied) - Total CAPEX - Liquefaction - Global - USD/ton fuel</v>
          </cell>
          <cell r="G50">
            <v>1000</v>
          </cell>
          <cell r="H50">
            <v>1000</v>
          </cell>
          <cell r="I50">
            <v>1000</v>
          </cell>
          <cell r="J50">
            <v>1000</v>
          </cell>
          <cell r="K50">
            <v>1000</v>
          </cell>
          <cell r="L50">
            <v>1000</v>
          </cell>
          <cell r="M50">
            <v>1000</v>
          </cell>
          <cell r="N50">
            <v>1000</v>
          </cell>
          <cell r="O50">
            <v>1000</v>
          </cell>
          <cell r="P50">
            <v>1000</v>
          </cell>
          <cell r="Q50">
            <v>1000</v>
          </cell>
          <cell r="R50">
            <v>1000</v>
          </cell>
          <cell r="S50">
            <v>1000</v>
          </cell>
          <cell r="T50">
            <v>1000</v>
          </cell>
          <cell r="U50">
            <v>1000</v>
          </cell>
          <cell r="V50">
            <v>1000</v>
          </cell>
          <cell r="W50">
            <v>1000</v>
          </cell>
          <cell r="X50">
            <v>1000</v>
          </cell>
          <cell r="Y50">
            <v>1000</v>
          </cell>
          <cell r="Z50">
            <v>1000</v>
          </cell>
          <cell r="AA50">
            <v>1000</v>
          </cell>
          <cell r="AB50">
            <v>1000</v>
          </cell>
          <cell r="AC50">
            <v>1000</v>
          </cell>
          <cell r="AD50">
            <v>1000</v>
          </cell>
          <cell r="AE50">
            <v>1000</v>
          </cell>
          <cell r="AF50">
            <v>1000</v>
          </cell>
          <cell r="AG50">
            <v>1000</v>
          </cell>
          <cell r="AH50">
            <v>1000</v>
          </cell>
        </row>
        <row r="51">
          <cell r="B51" t="str">
            <v>e-hydrogen (liquefied) - OPEX - Liquefaction - Global - USD/ton fuel/year</v>
          </cell>
          <cell r="G51">
            <v>100</v>
          </cell>
          <cell r="H51">
            <v>100</v>
          </cell>
          <cell r="I51">
            <v>100</v>
          </cell>
          <cell r="J51">
            <v>100</v>
          </cell>
          <cell r="K51">
            <v>100</v>
          </cell>
          <cell r="L51">
            <v>100</v>
          </cell>
          <cell r="M51">
            <v>100</v>
          </cell>
          <cell r="N51">
            <v>100</v>
          </cell>
          <cell r="O51">
            <v>100</v>
          </cell>
          <cell r="P51">
            <v>100</v>
          </cell>
          <cell r="Q51">
            <v>100</v>
          </cell>
          <cell r="R51">
            <v>100</v>
          </cell>
          <cell r="S51">
            <v>100</v>
          </cell>
          <cell r="T51">
            <v>100</v>
          </cell>
          <cell r="U51">
            <v>100</v>
          </cell>
          <cell r="V51">
            <v>100</v>
          </cell>
          <cell r="W51">
            <v>100</v>
          </cell>
          <cell r="X51">
            <v>100</v>
          </cell>
          <cell r="Y51">
            <v>100</v>
          </cell>
          <cell r="Z51">
            <v>100</v>
          </cell>
          <cell r="AA51">
            <v>100</v>
          </cell>
          <cell r="AB51">
            <v>100</v>
          </cell>
          <cell r="AC51">
            <v>100</v>
          </cell>
          <cell r="AD51">
            <v>100</v>
          </cell>
          <cell r="AE51">
            <v>100</v>
          </cell>
          <cell r="AF51">
            <v>100</v>
          </cell>
          <cell r="AG51">
            <v>100</v>
          </cell>
          <cell r="AH51">
            <v>100</v>
          </cell>
        </row>
        <row r="52">
          <cell r="B52" t="str">
            <v>e-hydrogen (liquefied) - Energy demand - Liquefaction - Global - MWh/ton fuel</v>
          </cell>
          <cell r="G52">
            <v>10</v>
          </cell>
          <cell r="H52">
            <v>10</v>
          </cell>
          <cell r="I52">
            <v>10</v>
          </cell>
          <cell r="J52">
            <v>10</v>
          </cell>
          <cell r="K52">
            <v>10</v>
          </cell>
          <cell r="L52">
            <v>10</v>
          </cell>
          <cell r="M52">
            <v>10</v>
          </cell>
          <cell r="N52">
            <v>10</v>
          </cell>
          <cell r="O52">
            <v>10</v>
          </cell>
          <cell r="P52">
            <v>10</v>
          </cell>
          <cell r="Q52">
            <v>10</v>
          </cell>
          <cell r="R52">
            <v>10</v>
          </cell>
          <cell r="S52">
            <v>10</v>
          </cell>
          <cell r="T52">
            <v>10</v>
          </cell>
          <cell r="U52">
            <v>10</v>
          </cell>
          <cell r="V52">
            <v>10</v>
          </cell>
          <cell r="W52">
            <v>10</v>
          </cell>
          <cell r="X52">
            <v>10</v>
          </cell>
          <cell r="Y52">
            <v>10</v>
          </cell>
          <cell r="Z52">
            <v>10</v>
          </cell>
          <cell r="AA52">
            <v>10</v>
          </cell>
          <cell r="AB52">
            <v>10</v>
          </cell>
          <cell r="AC52">
            <v>10</v>
          </cell>
          <cell r="AD52">
            <v>10</v>
          </cell>
          <cell r="AE52">
            <v>10</v>
          </cell>
          <cell r="AF52">
            <v>10</v>
          </cell>
          <cell r="AG52">
            <v>10</v>
          </cell>
          <cell r="AH52">
            <v>10</v>
          </cell>
        </row>
        <row r="53">
          <cell r="B53" t="str">
            <v>e-hydrogen (liquefied) - Process WTT emissions (carbon dioxide) - Global - ton CO2/ton fuel</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B54" t="str">
            <v>e-hydrogen (liquefied) - Process WTT emissions (methane) - Global - ton CH4/ton fuel</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row>
        <row r="55">
          <cell r="B55" t="str">
            <v>e-hydrogen (liquefied) - Process WTT emissions (nitrous oxide) - Global - ton N2O/ton fuel</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row>
        <row r="56">
          <cell r="B56" t="str">
            <v>e-hydrogen (liquefied) - TTW emissions (carbon dioxide) - Global - ton CO2/ton fuel</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row>
        <row r="57">
          <cell r="B57" t="str">
            <v>e-hydrogen (liquefied) - TTW emissions (methane) - Global - ton CH4/ton fuel</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row>
        <row r="58">
          <cell r="B58" t="str">
            <v>e-hydrogen (liquefied) - TTW emissions (nitrous oxide) - Global - ton N2O/ton fuel</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row>
        <row r="60">
          <cell r="G60">
            <v>2023</v>
          </cell>
          <cell r="H60">
            <v>2024</v>
          </cell>
          <cell r="I60">
            <v>2025</v>
          </cell>
          <cell r="J60">
            <v>2026</v>
          </cell>
          <cell r="K60">
            <v>2027</v>
          </cell>
          <cell r="L60">
            <v>2028</v>
          </cell>
          <cell r="M60">
            <v>2029</v>
          </cell>
          <cell r="N60">
            <v>2030</v>
          </cell>
          <cell r="O60">
            <v>2031</v>
          </cell>
          <cell r="P60">
            <v>2032</v>
          </cell>
          <cell r="Q60">
            <v>2033</v>
          </cell>
          <cell r="R60">
            <v>2034</v>
          </cell>
          <cell r="S60">
            <v>2035</v>
          </cell>
          <cell r="T60">
            <v>2036</v>
          </cell>
          <cell r="U60">
            <v>2037</v>
          </cell>
          <cell r="V60">
            <v>2038</v>
          </cell>
          <cell r="W60">
            <v>2039</v>
          </cell>
          <cell r="X60">
            <v>2040</v>
          </cell>
          <cell r="Y60">
            <v>2041</v>
          </cell>
          <cell r="Z60">
            <v>2042</v>
          </cell>
          <cell r="AA60">
            <v>2043</v>
          </cell>
          <cell r="AB60">
            <v>2044</v>
          </cell>
          <cell r="AC60">
            <v>2045</v>
          </cell>
          <cell r="AD60">
            <v>2046</v>
          </cell>
          <cell r="AE60">
            <v>2047</v>
          </cell>
          <cell r="AF60">
            <v>2048</v>
          </cell>
          <cell r="AG60">
            <v>2049</v>
          </cell>
          <cell r="AH60">
            <v>2050</v>
          </cell>
        </row>
        <row r="61">
          <cell r="B61" t="str">
            <v>e-hydrogen (compressed) - Total CAPEX - Compression - Global - USD/ton fuel</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2">
          <cell r="B62" t="str">
            <v>e-hydrogen (compressed) - OPEX - Compression - Global - USD/ton fuel/year</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row>
        <row r="63">
          <cell r="B63" t="str">
            <v>e-hydrogen (compressed) - Energy demand - Compression - Global - MWh/ton fuel</v>
          </cell>
          <cell r="G63">
            <v>1.05</v>
          </cell>
          <cell r="H63">
            <v>1.05</v>
          </cell>
          <cell r="I63">
            <v>1.05</v>
          </cell>
          <cell r="J63">
            <v>1.05</v>
          </cell>
          <cell r="K63">
            <v>1.05</v>
          </cell>
          <cell r="L63">
            <v>1.05</v>
          </cell>
          <cell r="M63">
            <v>1.05</v>
          </cell>
          <cell r="N63">
            <v>1.05</v>
          </cell>
          <cell r="O63">
            <v>1.05</v>
          </cell>
          <cell r="P63">
            <v>1.05</v>
          </cell>
          <cell r="Q63">
            <v>1.05</v>
          </cell>
          <cell r="R63">
            <v>1.05</v>
          </cell>
          <cell r="S63">
            <v>1.05</v>
          </cell>
          <cell r="T63">
            <v>1.05</v>
          </cell>
          <cell r="U63">
            <v>1.05</v>
          </cell>
          <cell r="V63">
            <v>1.05</v>
          </cell>
          <cell r="W63">
            <v>1.05</v>
          </cell>
          <cell r="X63">
            <v>1.05</v>
          </cell>
          <cell r="Y63">
            <v>1.05</v>
          </cell>
          <cell r="Z63">
            <v>1.05</v>
          </cell>
          <cell r="AA63">
            <v>1.05</v>
          </cell>
          <cell r="AB63">
            <v>1.05</v>
          </cell>
          <cell r="AC63">
            <v>1.05</v>
          </cell>
          <cell r="AD63">
            <v>1.05</v>
          </cell>
          <cell r="AE63">
            <v>1.05</v>
          </cell>
          <cell r="AF63">
            <v>1.05</v>
          </cell>
          <cell r="AG63">
            <v>1.05</v>
          </cell>
          <cell r="AH63">
            <v>1.05</v>
          </cell>
        </row>
        <row r="64">
          <cell r="B64" t="str">
            <v>e-hydrogen (compressed) - Process WTT emissions (carbon dioxide) - Global - ton CO2/ton fuel</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row>
        <row r="65">
          <cell r="B65" t="str">
            <v>e-hydrogen (compressed) - Process WTT emissions (methane) - Global - ton CH4/ton fuel</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6">
          <cell r="B66" t="str">
            <v>e-hydrogen (compressed) - Process WTT emissions (nitrous oxide) - Global - ton N2O/ton fuel</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row>
        <row r="67">
          <cell r="B67" t="str">
            <v>e-hydrogen (compressed) - TTW emissions (carbon dioxide) - Global - ton CO2/ton fuel</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68">
          <cell r="B68" t="str">
            <v>e-hydrogen (compressed) - TTW emissions (methane) - Global - ton CH4/ton fuel</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row>
        <row r="69">
          <cell r="B69" t="str">
            <v>e-hydrogen (compressed) - TTW emissions (nitrous oxide) - Global - ton N2O/ton fuel</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row>
        <row r="71">
          <cell r="G71">
            <v>2023</v>
          </cell>
          <cell r="H71">
            <v>2024</v>
          </cell>
          <cell r="I71">
            <v>2025</v>
          </cell>
          <cell r="J71">
            <v>2026</v>
          </cell>
          <cell r="K71">
            <v>2027</v>
          </cell>
          <cell r="L71">
            <v>2028</v>
          </cell>
          <cell r="M71">
            <v>2029</v>
          </cell>
          <cell r="N71">
            <v>2030</v>
          </cell>
          <cell r="O71">
            <v>2031</v>
          </cell>
          <cell r="P71">
            <v>2032</v>
          </cell>
          <cell r="Q71">
            <v>2033</v>
          </cell>
          <cell r="R71">
            <v>2034</v>
          </cell>
          <cell r="S71">
            <v>2035</v>
          </cell>
          <cell r="T71">
            <v>2036</v>
          </cell>
          <cell r="U71">
            <v>2037</v>
          </cell>
          <cell r="V71">
            <v>2038</v>
          </cell>
          <cell r="W71">
            <v>2039</v>
          </cell>
          <cell r="X71">
            <v>2040</v>
          </cell>
          <cell r="Y71">
            <v>2041</v>
          </cell>
          <cell r="Z71">
            <v>2042</v>
          </cell>
          <cell r="AA71">
            <v>2043</v>
          </cell>
          <cell r="AB71">
            <v>2044</v>
          </cell>
          <cell r="AC71">
            <v>2045</v>
          </cell>
          <cell r="AD71">
            <v>2046</v>
          </cell>
          <cell r="AE71">
            <v>2047</v>
          </cell>
          <cell r="AF71">
            <v>2048</v>
          </cell>
          <cell r="AG71">
            <v>2049</v>
          </cell>
          <cell r="AH71">
            <v>2050</v>
          </cell>
        </row>
        <row r="72">
          <cell r="B72" t="str">
            <v>e-ammonia - Plant lifetime - Global - Years</v>
          </cell>
          <cell r="G72">
            <v>30</v>
          </cell>
          <cell r="H72">
            <v>30</v>
          </cell>
          <cell r="I72">
            <v>30</v>
          </cell>
          <cell r="J72">
            <v>30</v>
          </cell>
          <cell r="K72">
            <v>30</v>
          </cell>
          <cell r="L72">
            <v>30</v>
          </cell>
          <cell r="M72">
            <v>30</v>
          </cell>
          <cell r="N72">
            <v>30</v>
          </cell>
          <cell r="O72">
            <v>30</v>
          </cell>
          <cell r="P72">
            <v>30</v>
          </cell>
          <cell r="Q72">
            <v>30</v>
          </cell>
          <cell r="R72">
            <v>30</v>
          </cell>
          <cell r="S72">
            <v>30</v>
          </cell>
          <cell r="T72">
            <v>30</v>
          </cell>
          <cell r="U72">
            <v>30</v>
          </cell>
          <cell r="V72">
            <v>30</v>
          </cell>
          <cell r="W72">
            <v>30</v>
          </cell>
          <cell r="X72">
            <v>30</v>
          </cell>
          <cell r="Y72">
            <v>30</v>
          </cell>
          <cell r="Z72">
            <v>30</v>
          </cell>
          <cell r="AA72">
            <v>30</v>
          </cell>
          <cell r="AB72">
            <v>30</v>
          </cell>
          <cell r="AC72">
            <v>30</v>
          </cell>
          <cell r="AD72">
            <v>30</v>
          </cell>
          <cell r="AE72">
            <v>30</v>
          </cell>
          <cell r="AF72">
            <v>30</v>
          </cell>
          <cell r="AG72">
            <v>30</v>
          </cell>
          <cell r="AH72">
            <v>30</v>
          </cell>
        </row>
        <row r="73">
          <cell r="B73" t="str">
            <v>e-ammonia - Total CAPEX - Global - USD/ton fuel</v>
          </cell>
          <cell r="G73">
            <v>2190</v>
          </cell>
          <cell r="H73">
            <v>1970</v>
          </cell>
          <cell r="I73">
            <v>1750</v>
          </cell>
          <cell r="J73">
            <v>1530</v>
          </cell>
          <cell r="K73">
            <v>1310</v>
          </cell>
          <cell r="L73">
            <v>1090</v>
          </cell>
          <cell r="M73">
            <v>870</v>
          </cell>
          <cell r="N73">
            <v>650</v>
          </cell>
          <cell r="O73">
            <v>642.5</v>
          </cell>
          <cell r="P73">
            <v>635</v>
          </cell>
          <cell r="Q73">
            <v>627.5</v>
          </cell>
          <cell r="R73">
            <v>620</v>
          </cell>
          <cell r="S73">
            <v>612.5</v>
          </cell>
          <cell r="T73">
            <v>605</v>
          </cell>
          <cell r="U73">
            <v>597.5</v>
          </cell>
          <cell r="V73">
            <v>590</v>
          </cell>
          <cell r="W73">
            <v>582.5</v>
          </cell>
          <cell r="X73">
            <v>575</v>
          </cell>
          <cell r="Y73">
            <v>567.5</v>
          </cell>
          <cell r="Z73">
            <v>560</v>
          </cell>
          <cell r="AA73">
            <v>552.5</v>
          </cell>
          <cell r="AB73">
            <v>545</v>
          </cell>
          <cell r="AC73">
            <v>537.5</v>
          </cell>
          <cell r="AD73">
            <v>530</v>
          </cell>
          <cell r="AE73">
            <v>522.5</v>
          </cell>
          <cell r="AF73">
            <v>515</v>
          </cell>
          <cell r="AG73">
            <v>507.5</v>
          </cell>
          <cell r="AH73">
            <v>500</v>
          </cell>
        </row>
        <row r="74">
          <cell r="B74" t="str">
            <v>e-ammonia - OPEX - Global - USD/ton fuel/year</v>
          </cell>
          <cell r="G74">
            <v>87.600000000000009</v>
          </cell>
          <cell r="H74">
            <v>78.8</v>
          </cell>
          <cell r="I74">
            <v>70</v>
          </cell>
          <cell r="J74">
            <v>61.2</v>
          </cell>
          <cell r="K74">
            <v>52.4</v>
          </cell>
          <cell r="L74">
            <v>43.6</v>
          </cell>
          <cell r="M74">
            <v>34.800000000000004</v>
          </cell>
          <cell r="N74">
            <v>26</v>
          </cell>
          <cell r="O74">
            <v>25.7</v>
          </cell>
          <cell r="P74">
            <v>25.400000000000002</v>
          </cell>
          <cell r="Q74">
            <v>25.1</v>
          </cell>
          <cell r="R74">
            <v>24.8</v>
          </cell>
          <cell r="S74">
            <v>24.5</v>
          </cell>
          <cell r="T74">
            <v>24.2</v>
          </cell>
          <cell r="U74">
            <v>23.900000000000002</v>
          </cell>
          <cell r="V74">
            <v>23.6</v>
          </cell>
          <cell r="W74">
            <v>23.3</v>
          </cell>
          <cell r="X74">
            <v>23</v>
          </cell>
          <cell r="Y74">
            <v>22.7</v>
          </cell>
          <cell r="Z74">
            <v>22.400000000000002</v>
          </cell>
          <cell r="AA74">
            <v>22.1</v>
          </cell>
          <cell r="AB74">
            <v>21.8</v>
          </cell>
          <cell r="AC74">
            <v>21.5</v>
          </cell>
          <cell r="AD74">
            <v>21.2</v>
          </cell>
          <cell r="AE74">
            <v>20.900000000000002</v>
          </cell>
          <cell r="AF74">
            <v>20.6</v>
          </cell>
          <cell r="AG74">
            <v>20.3</v>
          </cell>
          <cell r="AH74">
            <v>20</v>
          </cell>
        </row>
        <row r="75">
          <cell r="B75" t="str">
            <v>e-ammonia - Energy demand - Global - MWh/ton fuel</v>
          </cell>
          <cell r="G75">
            <v>0.25</v>
          </cell>
          <cell r="H75">
            <v>0.25</v>
          </cell>
          <cell r="I75">
            <v>0.25</v>
          </cell>
          <cell r="J75">
            <v>0.25</v>
          </cell>
          <cell r="K75">
            <v>0.25</v>
          </cell>
          <cell r="L75">
            <v>0.25</v>
          </cell>
          <cell r="M75">
            <v>0.25</v>
          </cell>
          <cell r="N75">
            <v>0.25</v>
          </cell>
          <cell r="O75">
            <v>0.25</v>
          </cell>
          <cell r="P75">
            <v>0.25</v>
          </cell>
          <cell r="Q75">
            <v>0.25</v>
          </cell>
          <cell r="R75">
            <v>0.25</v>
          </cell>
          <cell r="S75">
            <v>0.25</v>
          </cell>
          <cell r="T75">
            <v>0.25</v>
          </cell>
          <cell r="U75">
            <v>0.25</v>
          </cell>
          <cell r="V75">
            <v>0.25</v>
          </cell>
          <cell r="W75">
            <v>0.25</v>
          </cell>
          <cell r="X75">
            <v>0.25</v>
          </cell>
          <cell r="Y75">
            <v>0.25</v>
          </cell>
          <cell r="Z75">
            <v>0.25</v>
          </cell>
          <cell r="AA75">
            <v>0.25</v>
          </cell>
          <cell r="AB75">
            <v>0.25</v>
          </cell>
          <cell r="AC75">
            <v>0.25</v>
          </cell>
          <cell r="AD75">
            <v>0.25</v>
          </cell>
          <cell r="AE75">
            <v>0.25</v>
          </cell>
          <cell r="AF75">
            <v>0.25</v>
          </cell>
          <cell r="AG75">
            <v>0.25</v>
          </cell>
          <cell r="AH75">
            <v>0.25</v>
          </cell>
        </row>
        <row r="76">
          <cell r="B76" t="str">
            <v>e-ammonia - Conversion H2 -&gt; NH3 - Global - ton H2/ton NH3</v>
          </cell>
          <cell r="G76">
            <v>0.18</v>
          </cell>
          <cell r="H76">
            <v>0.18</v>
          </cell>
          <cell r="I76">
            <v>0.18</v>
          </cell>
          <cell r="J76">
            <v>0.18</v>
          </cell>
          <cell r="K76">
            <v>0.18</v>
          </cell>
          <cell r="L76">
            <v>0.18</v>
          </cell>
          <cell r="M76">
            <v>0.18</v>
          </cell>
          <cell r="N76">
            <v>0.18</v>
          </cell>
          <cell r="O76">
            <v>0.18</v>
          </cell>
          <cell r="P76">
            <v>0.18</v>
          </cell>
          <cell r="Q76">
            <v>0.18</v>
          </cell>
          <cell r="R76">
            <v>0.18</v>
          </cell>
          <cell r="S76">
            <v>0.18</v>
          </cell>
          <cell r="T76">
            <v>0.18</v>
          </cell>
          <cell r="U76">
            <v>0.18</v>
          </cell>
          <cell r="V76">
            <v>0.18</v>
          </cell>
          <cell r="W76">
            <v>0.18</v>
          </cell>
          <cell r="X76">
            <v>0.18</v>
          </cell>
          <cell r="Y76">
            <v>0.18</v>
          </cell>
          <cell r="Z76">
            <v>0.18</v>
          </cell>
          <cell r="AA76">
            <v>0.18</v>
          </cell>
          <cell r="AB76">
            <v>0.18</v>
          </cell>
          <cell r="AC76">
            <v>0.18</v>
          </cell>
          <cell r="AD76">
            <v>0.18</v>
          </cell>
          <cell r="AE76">
            <v>0.18</v>
          </cell>
          <cell r="AF76">
            <v>0.18</v>
          </cell>
          <cell r="AG76">
            <v>0.18</v>
          </cell>
          <cell r="AH76">
            <v>0.18</v>
          </cell>
        </row>
        <row r="77">
          <cell r="B77" t="str">
            <v>e-ammonia - Conversion N2 -&gt; NH3 - Global - ton N2/ton NH3</v>
          </cell>
          <cell r="G77">
            <v>0.82199999999999995</v>
          </cell>
          <cell r="H77">
            <v>0.82199999999999995</v>
          </cell>
          <cell r="I77">
            <v>0.82199999999999995</v>
          </cell>
          <cell r="J77">
            <v>0.82199999999999995</v>
          </cell>
          <cell r="K77">
            <v>0.82199999999999995</v>
          </cell>
          <cell r="L77">
            <v>0.82199999999999995</v>
          </cell>
          <cell r="M77">
            <v>0.82199999999999995</v>
          </cell>
          <cell r="N77">
            <v>0.82199999999999995</v>
          </cell>
          <cell r="O77">
            <v>0.82199999999999995</v>
          </cell>
          <cell r="P77">
            <v>0.82199999999999995</v>
          </cell>
          <cell r="Q77">
            <v>0.82199999999999995</v>
          </cell>
          <cell r="R77">
            <v>0.82199999999999995</v>
          </cell>
          <cell r="S77">
            <v>0.82199999999999995</v>
          </cell>
          <cell r="T77">
            <v>0.82199999999999995</v>
          </cell>
          <cell r="U77">
            <v>0.82199999999999995</v>
          </cell>
          <cell r="V77">
            <v>0.82199999999999995</v>
          </cell>
          <cell r="W77">
            <v>0.82199999999999995</v>
          </cell>
          <cell r="X77">
            <v>0.82199999999999995</v>
          </cell>
          <cell r="Y77">
            <v>0.82199999999999995</v>
          </cell>
          <cell r="Z77">
            <v>0.82199999999999995</v>
          </cell>
          <cell r="AA77">
            <v>0.82199999999999995</v>
          </cell>
          <cell r="AB77">
            <v>0.82199999999999995</v>
          </cell>
          <cell r="AC77">
            <v>0.82199999999999995</v>
          </cell>
          <cell r="AD77">
            <v>0.82199999999999995</v>
          </cell>
          <cell r="AE77">
            <v>0.82199999999999995</v>
          </cell>
          <cell r="AF77">
            <v>0.82199999999999995</v>
          </cell>
          <cell r="AG77">
            <v>0.82199999999999995</v>
          </cell>
          <cell r="AH77">
            <v>0.82199999999999995</v>
          </cell>
        </row>
        <row r="78">
          <cell r="B78" t="str">
            <v>e-ammonia - Process WTT emissions (carbon dioxide) - Global - ton CO2/ton fuel</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B79" t="str">
            <v>e-ammonia - Process WTT emissions (methane) - Global - ton CH4/ton fuel</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0">
          <cell r="B80" t="str">
            <v>e-ammonia - Process WTT emissions (nitrous oxide) - Global - ton N2O/ton fuel</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row>
        <row r="81">
          <cell r="B81" t="str">
            <v>e-ammonia - TTW emissions (carbon dioxide) - Global - ton CO2/ton fuel</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row r="82">
          <cell r="B82" t="str">
            <v>e-ammonia - TTW emissions (methane) - Global - ton CH4/ton fuel</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row r="83">
          <cell r="B83" t="str">
            <v>e-ammonia - TTW emissions (nitrous oxide) - Global - ton N2O/ton fuel</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G85">
            <v>2023</v>
          </cell>
          <cell r="H85">
            <v>2024</v>
          </cell>
          <cell r="I85">
            <v>2025</v>
          </cell>
          <cell r="J85">
            <v>2026</v>
          </cell>
          <cell r="K85">
            <v>2027</v>
          </cell>
          <cell r="L85">
            <v>2028</v>
          </cell>
          <cell r="M85">
            <v>2029</v>
          </cell>
          <cell r="N85">
            <v>2030</v>
          </cell>
          <cell r="O85">
            <v>2031</v>
          </cell>
          <cell r="P85">
            <v>2032</v>
          </cell>
          <cell r="Q85">
            <v>2033</v>
          </cell>
          <cell r="R85">
            <v>2034</v>
          </cell>
          <cell r="S85">
            <v>2035</v>
          </cell>
          <cell r="T85">
            <v>2036</v>
          </cell>
          <cell r="U85">
            <v>2037</v>
          </cell>
          <cell r="V85">
            <v>2038</v>
          </cell>
          <cell r="W85">
            <v>2039</v>
          </cell>
          <cell r="X85">
            <v>2040</v>
          </cell>
          <cell r="Y85">
            <v>2041</v>
          </cell>
          <cell r="Z85">
            <v>2042</v>
          </cell>
          <cell r="AA85">
            <v>2043</v>
          </cell>
          <cell r="AB85">
            <v>2044</v>
          </cell>
          <cell r="AC85">
            <v>2045</v>
          </cell>
          <cell r="AD85">
            <v>2046</v>
          </cell>
          <cell r="AE85">
            <v>2047</v>
          </cell>
          <cell r="AF85">
            <v>2048</v>
          </cell>
          <cell r="AG85">
            <v>2049</v>
          </cell>
          <cell r="AH85">
            <v>2050</v>
          </cell>
        </row>
        <row r="86">
          <cell r="B86" t="str">
            <v>Nitrogen - Plant lifetime - Global - Years</v>
          </cell>
          <cell r="G86">
            <v>30</v>
          </cell>
          <cell r="H86">
            <v>30</v>
          </cell>
          <cell r="I86">
            <v>30</v>
          </cell>
          <cell r="J86">
            <v>30</v>
          </cell>
          <cell r="K86">
            <v>30</v>
          </cell>
          <cell r="L86">
            <v>30</v>
          </cell>
          <cell r="M86">
            <v>30</v>
          </cell>
          <cell r="N86">
            <v>30</v>
          </cell>
          <cell r="O86">
            <v>30</v>
          </cell>
          <cell r="P86">
            <v>30</v>
          </cell>
          <cell r="Q86">
            <v>30</v>
          </cell>
          <cell r="R86">
            <v>30</v>
          </cell>
          <cell r="S86">
            <v>30</v>
          </cell>
          <cell r="T86">
            <v>30</v>
          </cell>
          <cell r="U86">
            <v>30</v>
          </cell>
          <cell r="V86">
            <v>30</v>
          </cell>
          <cell r="W86">
            <v>30</v>
          </cell>
          <cell r="X86">
            <v>30</v>
          </cell>
          <cell r="Y86">
            <v>30</v>
          </cell>
          <cell r="Z86">
            <v>30</v>
          </cell>
          <cell r="AA86">
            <v>30</v>
          </cell>
          <cell r="AB86">
            <v>30</v>
          </cell>
          <cell r="AC86">
            <v>30</v>
          </cell>
          <cell r="AD86">
            <v>30</v>
          </cell>
          <cell r="AE86">
            <v>30</v>
          </cell>
          <cell r="AF86">
            <v>30</v>
          </cell>
          <cell r="AG86">
            <v>30</v>
          </cell>
          <cell r="AH86">
            <v>30</v>
          </cell>
        </row>
        <row r="87">
          <cell r="B87" t="str">
            <v>Nitrogen - Total CAPEX - Global - USD/ton fuel</v>
          </cell>
          <cell r="G87">
            <v>386</v>
          </cell>
          <cell r="H87">
            <v>348</v>
          </cell>
          <cell r="I87">
            <v>310</v>
          </cell>
          <cell r="J87">
            <v>270</v>
          </cell>
          <cell r="K87">
            <v>230</v>
          </cell>
          <cell r="L87">
            <v>190</v>
          </cell>
          <cell r="M87">
            <v>150</v>
          </cell>
          <cell r="N87">
            <v>110</v>
          </cell>
          <cell r="O87">
            <v>108.5</v>
          </cell>
          <cell r="P87">
            <v>107</v>
          </cell>
          <cell r="Q87">
            <v>105.5</v>
          </cell>
          <cell r="R87">
            <v>104</v>
          </cell>
          <cell r="S87">
            <v>102.5</v>
          </cell>
          <cell r="T87">
            <v>101</v>
          </cell>
          <cell r="U87">
            <v>99.5</v>
          </cell>
          <cell r="V87">
            <v>98</v>
          </cell>
          <cell r="W87">
            <v>96.5</v>
          </cell>
          <cell r="X87">
            <v>95</v>
          </cell>
          <cell r="Y87">
            <v>93.5</v>
          </cell>
          <cell r="Z87">
            <v>92</v>
          </cell>
          <cell r="AA87">
            <v>90.5</v>
          </cell>
          <cell r="AB87">
            <v>89</v>
          </cell>
          <cell r="AC87">
            <v>87.5</v>
          </cell>
          <cell r="AD87">
            <v>86</v>
          </cell>
          <cell r="AE87">
            <v>84.5</v>
          </cell>
          <cell r="AF87">
            <v>83</v>
          </cell>
          <cell r="AG87">
            <v>81.5</v>
          </cell>
          <cell r="AH87">
            <v>80</v>
          </cell>
        </row>
        <row r="88">
          <cell r="B88" t="str">
            <v>Nitrogen - OPEX - Global - USD/ton fuel/year</v>
          </cell>
          <cell r="G88">
            <v>15.44</v>
          </cell>
          <cell r="H88">
            <v>13.92</v>
          </cell>
          <cell r="I88">
            <v>12.4</v>
          </cell>
          <cell r="J88">
            <v>10.8</v>
          </cell>
          <cell r="K88">
            <v>9.2000000000000011</v>
          </cell>
          <cell r="L88">
            <v>7.6000000000000005</v>
          </cell>
          <cell r="M88">
            <v>6</v>
          </cell>
          <cell r="N88">
            <v>4.4000000000000004</v>
          </cell>
          <cell r="O88">
            <v>4.34</v>
          </cell>
          <cell r="P88">
            <v>4.28</v>
          </cell>
          <cell r="Q88">
            <v>4.22</v>
          </cell>
          <cell r="R88">
            <v>4.16</v>
          </cell>
          <cell r="S88">
            <v>4.0999999999999996</v>
          </cell>
          <cell r="T88">
            <v>4.04</v>
          </cell>
          <cell r="U88">
            <v>3.98</v>
          </cell>
          <cell r="V88">
            <v>3.92</v>
          </cell>
          <cell r="W88">
            <v>3.86</v>
          </cell>
          <cell r="X88">
            <v>3.8000000000000003</v>
          </cell>
          <cell r="Y88">
            <v>3.74</v>
          </cell>
          <cell r="Z88">
            <v>3.68</v>
          </cell>
          <cell r="AA88">
            <v>3.62</v>
          </cell>
          <cell r="AB88">
            <v>3.56</v>
          </cell>
          <cell r="AC88">
            <v>3.5</v>
          </cell>
          <cell r="AD88">
            <v>3.44</v>
          </cell>
          <cell r="AE88">
            <v>3.38</v>
          </cell>
          <cell r="AF88">
            <v>3.3200000000000003</v>
          </cell>
          <cell r="AG88">
            <v>3.2600000000000002</v>
          </cell>
          <cell r="AH88">
            <v>3.2</v>
          </cell>
        </row>
        <row r="89">
          <cell r="B89" t="str">
            <v>Nitrogen - Energy demand - Global - MWh/ton fuel</v>
          </cell>
          <cell r="G89">
            <v>0.22</v>
          </cell>
          <cell r="H89">
            <v>0.22</v>
          </cell>
          <cell r="I89">
            <v>0.22000000000000064</v>
          </cell>
          <cell r="J89">
            <v>0.2159999999999993</v>
          </cell>
          <cell r="K89">
            <v>0.21199999999999974</v>
          </cell>
          <cell r="L89">
            <v>0.20800000000000018</v>
          </cell>
          <cell r="M89">
            <v>0.20400000000000063</v>
          </cell>
          <cell r="N89">
            <v>0.19999999999999929</v>
          </cell>
          <cell r="O89">
            <v>0.2</v>
          </cell>
          <cell r="P89">
            <v>0.2</v>
          </cell>
          <cell r="Q89">
            <v>0.2</v>
          </cell>
          <cell r="R89">
            <v>0.2</v>
          </cell>
          <cell r="S89">
            <v>0.2</v>
          </cell>
          <cell r="T89">
            <v>0.2</v>
          </cell>
          <cell r="U89">
            <v>0.2</v>
          </cell>
          <cell r="V89">
            <v>0.2</v>
          </cell>
          <cell r="W89">
            <v>0.2</v>
          </cell>
          <cell r="X89">
            <v>0.2</v>
          </cell>
          <cell r="Y89">
            <v>0.2</v>
          </cell>
          <cell r="Z89">
            <v>0.2</v>
          </cell>
          <cell r="AA89">
            <v>0.2</v>
          </cell>
          <cell r="AB89">
            <v>0.2</v>
          </cell>
          <cell r="AC89">
            <v>0.2</v>
          </cell>
          <cell r="AD89">
            <v>0.2</v>
          </cell>
          <cell r="AE89">
            <v>0.2</v>
          </cell>
          <cell r="AF89">
            <v>0.2</v>
          </cell>
          <cell r="AG89">
            <v>0.2</v>
          </cell>
          <cell r="AH89">
            <v>0.2</v>
          </cell>
        </row>
        <row r="90">
          <cell r="B90" t="str">
            <v>Nitrogen - Process WTT emissions (carbon dioxide) - Global - ton CO2/ton fuel</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row>
        <row r="91">
          <cell r="B91" t="str">
            <v>Nitrogen - Process WTT emissions (methane) - Global - ton CH4/ton fuel</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2">
          <cell r="B92" t="str">
            <v>Nitrogen - Process WTT emissions (nitrous oxide) - Global - ton N2O/ton fuel</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row>
        <row r="94">
          <cell r="G94">
            <v>2023</v>
          </cell>
          <cell r="H94">
            <v>2024</v>
          </cell>
          <cell r="I94">
            <v>2025</v>
          </cell>
          <cell r="J94">
            <v>2026</v>
          </cell>
          <cell r="K94">
            <v>2027</v>
          </cell>
          <cell r="L94">
            <v>2028</v>
          </cell>
          <cell r="M94">
            <v>2029</v>
          </cell>
          <cell r="N94">
            <v>2030</v>
          </cell>
          <cell r="O94">
            <v>2031</v>
          </cell>
          <cell r="P94">
            <v>2032</v>
          </cell>
          <cell r="Q94">
            <v>2033</v>
          </cell>
          <cell r="R94">
            <v>2034</v>
          </cell>
          <cell r="S94">
            <v>2035</v>
          </cell>
          <cell r="T94">
            <v>2036</v>
          </cell>
          <cell r="U94">
            <v>2037</v>
          </cell>
          <cell r="V94">
            <v>2038</v>
          </cell>
          <cell r="W94">
            <v>2039</v>
          </cell>
          <cell r="X94">
            <v>2040</v>
          </cell>
          <cell r="Y94">
            <v>2041</v>
          </cell>
          <cell r="Z94">
            <v>2042</v>
          </cell>
          <cell r="AA94">
            <v>2043</v>
          </cell>
          <cell r="AB94">
            <v>2044</v>
          </cell>
          <cell r="AC94">
            <v>2045</v>
          </cell>
          <cell r="AD94">
            <v>2046</v>
          </cell>
          <cell r="AE94">
            <v>2047</v>
          </cell>
          <cell r="AF94">
            <v>2048</v>
          </cell>
          <cell r="AG94">
            <v>2049</v>
          </cell>
          <cell r="AH94">
            <v>2050</v>
          </cell>
        </row>
        <row r="95">
          <cell r="B95" t="str">
            <v>Carbon dioxide (DAC) - Plant lifetime - Global - Years</v>
          </cell>
          <cell r="G95">
            <v>30</v>
          </cell>
          <cell r="H95">
            <v>30</v>
          </cell>
          <cell r="I95">
            <v>30</v>
          </cell>
          <cell r="J95">
            <v>30</v>
          </cell>
          <cell r="K95">
            <v>30</v>
          </cell>
          <cell r="L95">
            <v>30</v>
          </cell>
          <cell r="M95">
            <v>30</v>
          </cell>
          <cell r="N95">
            <v>30</v>
          </cell>
          <cell r="O95">
            <v>30</v>
          </cell>
          <cell r="P95">
            <v>30</v>
          </cell>
          <cell r="Q95">
            <v>30</v>
          </cell>
          <cell r="R95">
            <v>30</v>
          </cell>
          <cell r="S95">
            <v>30</v>
          </cell>
          <cell r="T95">
            <v>30</v>
          </cell>
          <cell r="U95">
            <v>30</v>
          </cell>
          <cell r="V95">
            <v>30</v>
          </cell>
          <cell r="W95">
            <v>30</v>
          </cell>
          <cell r="X95">
            <v>30</v>
          </cell>
          <cell r="Y95">
            <v>30</v>
          </cell>
          <cell r="Z95">
            <v>30</v>
          </cell>
          <cell r="AA95">
            <v>30</v>
          </cell>
          <cell r="AB95">
            <v>30</v>
          </cell>
          <cell r="AC95">
            <v>30</v>
          </cell>
          <cell r="AD95">
            <v>30</v>
          </cell>
          <cell r="AE95">
            <v>30</v>
          </cell>
          <cell r="AF95">
            <v>30</v>
          </cell>
          <cell r="AG95">
            <v>30</v>
          </cell>
          <cell r="AH95">
            <v>30</v>
          </cell>
        </row>
        <row r="96">
          <cell r="B96" t="str">
            <v>Carbon dioxide (DAC) - Total CAPEX - Global - USD/ton fuel</v>
          </cell>
          <cell r="G96">
            <v>915.24041541999759</v>
          </cell>
          <cell r="H96">
            <v>886.98722055999679</v>
          </cell>
          <cell r="I96">
            <v>858.73402569999598</v>
          </cell>
          <cell r="J96">
            <v>834.47204593898641</v>
          </cell>
          <cell r="K96">
            <v>810.21006617796957</v>
          </cell>
          <cell r="L96">
            <v>785.94808641695272</v>
          </cell>
          <cell r="M96">
            <v>761.68610665594315</v>
          </cell>
          <cell r="N96">
            <v>737.4241268949263</v>
          </cell>
          <cell r="O96">
            <v>716.58953934330202</v>
          </cell>
          <cell r="P96">
            <v>695.75495179167774</v>
          </cell>
          <cell r="Q96">
            <v>674.92036424004618</v>
          </cell>
          <cell r="R96">
            <v>654.0857766884219</v>
          </cell>
          <cell r="S96">
            <v>633.25118913679034</v>
          </cell>
          <cell r="T96">
            <v>615.35981989478023</v>
          </cell>
          <cell r="U96">
            <v>597.46845065277012</v>
          </cell>
          <cell r="V96">
            <v>579.57708141076728</v>
          </cell>
          <cell r="W96">
            <v>561.68571216875716</v>
          </cell>
          <cell r="X96">
            <v>543.79434292674341</v>
          </cell>
          <cell r="Y96">
            <v>528.43041539227124</v>
          </cell>
          <cell r="Z96">
            <v>513.06648785779544</v>
          </cell>
          <cell r="AA96">
            <v>497.70256032331963</v>
          </cell>
          <cell r="AB96">
            <v>482.33863278884382</v>
          </cell>
          <cell r="AC96">
            <v>466.97470525437166</v>
          </cell>
          <cell r="AD96">
            <v>453.57976420349587</v>
          </cell>
          <cell r="AE96">
            <v>440.18482315262372</v>
          </cell>
          <cell r="AF96">
            <v>426.78988210174793</v>
          </cell>
          <cell r="AG96">
            <v>413.39494105087215</v>
          </cell>
          <cell r="AH96">
            <v>400</v>
          </cell>
        </row>
        <row r="97">
          <cell r="B97" t="str">
            <v>Carbon dioxide (DAC) - OPEX - Global - USD/ton fuel/year</v>
          </cell>
          <cell r="G97">
            <v>47.7310020645956</v>
          </cell>
          <cell r="H97">
            <v>45.303460746236098</v>
          </cell>
          <cell r="I97">
            <v>42.936701284999835</v>
          </cell>
          <cell r="J97">
            <v>40.913166813136101</v>
          </cell>
          <cell r="K97">
            <v>38.936758591699629</v>
          </cell>
          <cell r="L97">
            <v>37.007476620690611</v>
          </cell>
          <cell r="M97">
            <v>35.125320900109735</v>
          </cell>
          <cell r="N97">
            <v>33.290291429956135</v>
          </cell>
          <cell r="O97">
            <v>31.721376020274985</v>
          </cell>
          <cell r="P97">
            <v>30.18899920260916</v>
          </cell>
          <cell r="Q97">
            <v>28.693160976958509</v>
          </cell>
          <cell r="R97">
            <v>27.23386134332349</v>
          </cell>
          <cell r="S97">
            <v>25.811100301703355</v>
          </cell>
          <cell r="T97">
            <v>24.594666582900402</v>
          </cell>
          <cell r="U97">
            <v>23.406562482820661</v>
          </cell>
          <cell r="V97">
            <v>22.246788001464278</v>
          </cell>
          <cell r="W97">
            <v>21.115343138830685</v>
          </cell>
          <cell r="X97">
            <v>20.012227894920034</v>
          </cell>
          <cell r="Y97">
            <v>19.069085273520873</v>
          </cell>
          <cell r="Z97">
            <v>18.147907573393375</v>
          </cell>
          <cell r="AA97">
            <v>17.248694794537446</v>
          </cell>
          <cell r="AB97">
            <v>16.371446936953305</v>
          </cell>
          <cell r="AC97">
            <v>15.516164000640968</v>
          </cell>
          <cell r="AD97">
            <v>14.778350924667834</v>
          </cell>
          <cell r="AE97">
            <v>14.057827986617346</v>
          </cell>
          <cell r="AF97">
            <v>13.354595186489069</v>
          </cell>
          <cell r="AG97">
            <v>12.668652524283226</v>
          </cell>
          <cell r="AH97">
            <v>12.000000000000011</v>
          </cell>
        </row>
        <row r="98">
          <cell r="B98" t="str">
            <v>Carbon dioxide (DAC) - Energy demand - Global - MWh/ton fuel</v>
          </cell>
          <cell r="G98">
            <v>2.877963620812082</v>
          </cell>
          <cell r="H98">
            <v>2.8389818104060396</v>
          </cell>
          <cell r="I98">
            <v>2.8000000000000114</v>
          </cell>
          <cell r="J98">
            <v>2.7635551306431552</v>
          </cell>
          <cell r="K98">
            <v>2.727110261286299</v>
          </cell>
          <cell r="L98">
            <v>2.6906653919294428</v>
          </cell>
          <cell r="M98">
            <v>2.6542205225725866</v>
          </cell>
          <cell r="N98">
            <v>2.6177756532157304</v>
          </cell>
          <cell r="O98">
            <v>2.5837026204703619</v>
          </cell>
          <cell r="P98">
            <v>2.5496295877250077</v>
          </cell>
          <cell r="Q98">
            <v>2.5155565549796535</v>
          </cell>
          <cell r="R98">
            <v>2.481483522234285</v>
          </cell>
          <cell r="S98">
            <v>2.4474104894889166</v>
          </cell>
          <cell r="T98">
            <v>2.4155549339346152</v>
          </cell>
          <cell r="U98">
            <v>2.383699378380328</v>
          </cell>
          <cell r="V98">
            <v>2.3518438228260266</v>
          </cell>
          <cell r="W98">
            <v>2.3199882672717393</v>
          </cell>
          <cell r="X98">
            <v>2.288132711717445</v>
          </cell>
          <cell r="Y98">
            <v>2.2583503196639825</v>
          </cell>
          <cell r="Z98">
            <v>2.2285679276105199</v>
          </cell>
          <cell r="AA98">
            <v>2.1987855355570574</v>
          </cell>
          <cell r="AB98">
            <v>2.1690031435036019</v>
          </cell>
          <cell r="AC98">
            <v>2.1392207514501393</v>
          </cell>
          <cell r="AD98">
            <v>2.1113766011601172</v>
          </cell>
          <cell r="AE98">
            <v>2.0835324508700879</v>
          </cell>
          <cell r="AF98">
            <v>2.0556883005800586</v>
          </cell>
          <cell r="AG98">
            <v>2.0278441502900293</v>
          </cell>
          <cell r="AH98">
            <v>2</v>
          </cell>
        </row>
        <row r="99">
          <cell r="B99" t="str">
            <v>Carbon dioxide (DAC) - Process WTT emissions (carbon dioxide) - Global - ton CO2/ton fuel</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0">
          <cell r="B100" t="str">
            <v>Carbon dioxide (DAC) - Process WTT emissions (methane) - Global - ton CH4/ton fuel</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row>
        <row r="101">
          <cell r="B101" t="str">
            <v>Carbon dioxide (DAC) - Process WTT emissions (nitrous oxide) - Global - ton N2O/ton fuel</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row>
        <row r="103">
          <cell r="G103">
            <v>2023</v>
          </cell>
          <cell r="H103">
            <v>2024</v>
          </cell>
          <cell r="I103">
            <v>2025</v>
          </cell>
          <cell r="J103">
            <v>2026</v>
          </cell>
          <cell r="K103">
            <v>2027</v>
          </cell>
          <cell r="L103">
            <v>2028</v>
          </cell>
          <cell r="M103">
            <v>2029</v>
          </cell>
          <cell r="N103">
            <v>2030</v>
          </cell>
          <cell r="O103">
            <v>2031</v>
          </cell>
          <cell r="P103">
            <v>2032</v>
          </cell>
          <cell r="Q103">
            <v>2033</v>
          </cell>
          <cell r="R103">
            <v>2034</v>
          </cell>
          <cell r="S103">
            <v>2035</v>
          </cell>
          <cell r="T103">
            <v>2036</v>
          </cell>
          <cell r="U103">
            <v>2037</v>
          </cell>
          <cell r="V103">
            <v>2038</v>
          </cell>
          <cell r="W103">
            <v>2039</v>
          </cell>
          <cell r="X103">
            <v>2040</v>
          </cell>
          <cell r="Y103">
            <v>2041</v>
          </cell>
          <cell r="Z103">
            <v>2042</v>
          </cell>
          <cell r="AA103">
            <v>2043</v>
          </cell>
          <cell r="AB103">
            <v>2044</v>
          </cell>
          <cell r="AC103">
            <v>2045</v>
          </cell>
          <cell r="AD103">
            <v>2046</v>
          </cell>
          <cell r="AE103">
            <v>2047</v>
          </cell>
          <cell r="AF103">
            <v>2048</v>
          </cell>
          <cell r="AG103">
            <v>2049</v>
          </cell>
          <cell r="AH103">
            <v>2050</v>
          </cell>
        </row>
        <row r="104">
          <cell r="B104" t="str">
            <v>Carbon dioxide (PS) - Plant lifetime - Global - Years</v>
          </cell>
          <cell r="G104">
            <v>30</v>
          </cell>
          <cell r="H104">
            <v>30</v>
          </cell>
          <cell r="I104">
            <v>30</v>
          </cell>
          <cell r="J104">
            <v>30</v>
          </cell>
          <cell r="K104">
            <v>30</v>
          </cell>
          <cell r="L104">
            <v>30</v>
          </cell>
          <cell r="M104">
            <v>30</v>
          </cell>
          <cell r="N104">
            <v>30</v>
          </cell>
          <cell r="O104">
            <v>30</v>
          </cell>
          <cell r="P104">
            <v>30</v>
          </cell>
          <cell r="Q104">
            <v>30</v>
          </cell>
          <cell r="R104">
            <v>30</v>
          </cell>
          <cell r="S104">
            <v>30</v>
          </cell>
          <cell r="T104">
            <v>30</v>
          </cell>
          <cell r="U104">
            <v>30</v>
          </cell>
          <cell r="V104">
            <v>30</v>
          </cell>
          <cell r="W104">
            <v>30</v>
          </cell>
          <cell r="X104">
            <v>30</v>
          </cell>
          <cell r="Y104">
            <v>30</v>
          </cell>
          <cell r="Z104">
            <v>30</v>
          </cell>
          <cell r="AA104">
            <v>30</v>
          </cell>
          <cell r="AB104">
            <v>30</v>
          </cell>
          <cell r="AC104">
            <v>30</v>
          </cell>
          <cell r="AD104">
            <v>30</v>
          </cell>
          <cell r="AE104">
            <v>30</v>
          </cell>
          <cell r="AF104">
            <v>30</v>
          </cell>
          <cell r="AG104">
            <v>30</v>
          </cell>
          <cell r="AH104">
            <v>30</v>
          </cell>
        </row>
        <row r="105">
          <cell r="B105" t="str">
            <v>Carbon dioxide (PS) - Total CAPEX - Global - USD/ton fuel</v>
          </cell>
          <cell r="G105">
            <v>1030</v>
          </cell>
          <cell r="H105">
            <v>990</v>
          </cell>
          <cell r="I105">
            <v>950</v>
          </cell>
          <cell r="J105">
            <v>910</v>
          </cell>
          <cell r="K105">
            <v>870</v>
          </cell>
          <cell r="L105">
            <v>830</v>
          </cell>
          <cell r="M105">
            <v>790</v>
          </cell>
          <cell r="N105">
            <v>750</v>
          </cell>
          <cell r="O105">
            <v>734.5</v>
          </cell>
          <cell r="P105">
            <v>719</v>
          </cell>
          <cell r="Q105">
            <v>703.5</v>
          </cell>
          <cell r="R105">
            <v>688</v>
          </cell>
          <cell r="S105">
            <v>672.5</v>
          </cell>
          <cell r="T105">
            <v>657</v>
          </cell>
          <cell r="U105">
            <v>641.5</v>
          </cell>
          <cell r="V105">
            <v>626</v>
          </cell>
          <cell r="W105">
            <v>610.5</v>
          </cell>
          <cell r="X105">
            <v>595</v>
          </cell>
          <cell r="Y105">
            <v>579.5</v>
          </cell>
          <cell r="Z105">
            <v>564</v>
          </cell>
          <cell r="AA105">
            <v>548.5</v>
          </cell>
          <cell r="AB105">
            <v>533</v>
          </cell>
          <cell r="AC105">
            <v>517.5</v>
          </cell>
          <cell r="AD105">
            <v>502</v>
          </cell>
          <cell r="AE105">
            <v>486.5</v>
          </cell>
          <cell r="AF105">
            <v>471</v>
          </cell>
          <cell r="AG105">
            <v>455.5</v>
          </cell>
          <cell r="AH105">
            <v>440</v>
          </cell>
        </row>
        <row r="106">
          <cell r="B106" t="str">
            <v>Carbon dioxide (PS) - OPEX - Global - USD/ton fuel/year</v>
          </cell>
          <cell r="G106">
            <v>51.5</v>
          </cell>
          <cell r="H106">
            <v>49.5</v>
          </cell>
          <cell r="I106">
            <v>47.5</v>
          </cell>
          <cell r="J106">
            <v>45.5</v>
          </cell>
          <cell r="K106">
            <v>43.5</v>
          </cell>
          <cell r="L106">
            <v>41.5</v>
          </cell>
          <cell r="M106">
            <v>39.5</v>
          </cell>
          <cell r="N106">
            <v>37.5</v>
          </cell>
          <cell r="O106">
            <v>36.725000000000001</v>
          </cell>
          <cell r="P106">
            <v>35.950000000000003</v>
          </cell>
          <cell r="Q106">
            <v>35.175000000000004</v>
          </cell>
          <cell r="R106">
            <v>34.4</v>
          </cell>
          <cell r="S106">
            <v>33.625</v>
          </cell>
          <cell r="T106">
            <v>32.85</v>
          </cell>
          <cell r="U106">
            <v>32.075000000000003</v>
          </cell>
          <cell r="V106">
            <v>31.3</v>
          </cell>
          <cell r="W106">
            <v>30.525000000000002</v>
          </cell>
          <cell r="X106">
            <v>29.75</v>
          </cell>
          <cell r="Y106">
            <v>28.975000000000001</v>
          </cell>
          <cell r="Z106">
            <v>28.200000000000003</v>
          </cell>
          <cell r="AA106">
            <v>27.425000000000001</v>
          </cell>
          <cell r="AB106">
            <v>26.650000000000002</v>
          </cell>
          <cell r="AC106">
            <v>25.875</v>
          </cell>
          <cell r="AD106">
            <v>25.1</v>
          </cell>
          <cell r="AE106">
            <v>24.325000000000003</v>
          </cell>
          <cell r="AF106">
            <v>23.55</v>
          </cell>
          <cell r="AG106">
            <v>22.775000000000002</v>
          </cell>
          <cell r="AH106">
            <v>22</v>
          </cell>
        </row>
        <row r="107">
          <cell r="B107" t="str">
            <v>Carbon dioxide (PS) - Energy demand - Global - MWh/ton fuel</v>
          </cell>
          <cell r="G107">
            <v>0.45</v>
          </cell>
          <cell r="H107">
            <v>0.45</v>
          </cell>
          <cell r="I107">
            <v>0.45</v>
          </cell>
          <cell r="J107">
            <v>0.45</v>
          </cell>
          <cell r="K107">
            <v>0.45</v>
          </cell>
          <cell r="L107">
            <v>0.45</v>
          </cell>
          <cell r="M107">
            <v>0.45</v>
          </cell>
          <cell r="N107">
            <v>0.45</v>
          </cell>
          <cell r="O107">
            <v>0.45</v>
          </cell>
          <cell r="P107">
            <v>0.45</v>
          </cell>
          <cell r="Q107">
            <v>0.45</v>
          </cell>
          <cell r="R107">
            <v>0.45</v>
          </cell>
          <cell r="S107">
            <v>0.45</v>
          </cell>
          <cell r="T107">
            <v>0.45</v>
          </cell>
          <cell r="U107">
            <v>0.45</v>
          </cell>
          <cell r="V107">
            <v>0.45</v>
          </cell>
          <cell r="W107">
            <v>0.45</v>
          </cell>
          <cell r="X107">
            <v>0.45</v>
          </cell>
          <cell r="Y107">
            <v>0.45</v>
          </cell>
          <cell r="Z107">
            <v>0.45</v>
          </cell>
          <cell r="AA107">
            <v>0.45</v>
          </cell>
          <cell r="AB107">
            <v>0.45</v>
          </cell>
          <cell r="AC107">
            <v>0.45</v>
          </cell>
          <cell r="AD107">
            <v>0.45</v>
          </cell>
          <cell r="AE107">
            <v>0.45</v>
          </cell>
          <cell r="AF107">
            <v>0.45</v>
          </cell>
          <cell r="AG107">
            <v>0.45</v>
          </cell>
          <cell r="AH107">
            <v>0.45</v>
          </cell>
        </row>
        <row r="108">
          <cell r="B108" t="str">
            <v>Carbon dioxide (PS) - Process WTT emissions (carbon dioxide) - Global - ton CO2/ton fuel</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row>
        <row r="109">
          <cell r="B109" t="str">
            <v>Carbon dioxide (PS) - Process WTT emissions (methane) - Global - ton CH4/ton fuel</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row>
        <row r="110">
          <cell r="B110" t="str">
            <v>Carbon dioxide (PS) - Process WTT emissions (nitrous oxide) - Global - ton N2O/ton fuel</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row>
        <row r="112">
          <cell r="G112">
            <v>2023</v>
          </cell>
          <cell r="H112">
            <v>2024</v>
          </cell>
          <cell r="I112">
            <v>2025</v>
          </cell>
          <cell r="J112">
            <v>2026</v>
          </cell>
          <cell r="K112">
            <v>2027</v>
          </cell>
          <cell r="L112">
            <v>2028</v>
          </cell>
          <cell r="M112">
            <v>2029</v>
          </cell>
          <cell r="N112">
            <v>2030</v>
          </cell>
          <cell r="O112">
            <v>2031</v>
          </cell>
          <cell r="P112">
            <v>2032</v>
          </cell>
          <cell r="Q112">
            <v>2033</v>
          </cell>
          <cell r="R112">
            <v>2034</v>
          </cell>
          <cell r="S112">
            <v>2035</v>
          </cell>
          <cell r="T112">
            <v>2036</v>
          </cell>
          <cell r="U112">
            <v>2037</v>
          </cell>
          <cell r="V112">
            <v>2038</v>
          </cell>
          <cell r="W112">
            <v>2039</v>
          </cell>
          <cell r="X112">
            <v>2040</v>
          </cell>
          <cell r="Y112">
            <v>2041</v>
          </cell>
          <cell r="Z112">
            <v>2042</v>
          </cell>
          <cell r="AA112">
            <v>2043</v>
          </cell>
          <cell r="AB112">
            <v>2044</v>
          </cell>
          <cell r="AC112">
            <v>2045</v>
          </cell>
          <cell r="AD112">
            <v>2046</v>
          </cell>
          <cell r="AE112">
            <v>2047</v>
          </cell>
          <cell r="AF112">
            <v>2048</v>
          </cell>
          <cell r="AG112">
            <v>2049</v>
          </cell>
          <cell r="AH112">
            <v>2050</v>
          </cell>
        </row>
        <row r="113">
          <cell r="B113" t="str">
            <v>e-methanol - Plant lifetime - Global - Years</v>
          </cell>
          <cell r="G113">
            <v>30</v>
          </cell>
          <cell r="H113">
            <v>30</v>
          </cell>
          <cell r="I113">
            <v>30</v>
          </cell>
          <cell r="J113">
            <v>30</v>
          </cell>
          <cell r="K113">
            <v>30</v>
          </cell>
          <cell r="L113">
            <v>30</v>
          </cell>
          <cell r="M113">
            <v>30</v>
          </cell>
          <cell r="N113">
            <v>30</v>
          </cell>
          <cell r="O113">
            <v>30</v>
          </cell>
          <cell r="P113">
            <v>30</v>
          </cell>
          <cell r="Q113">
            <v>30</v>
          </cell>
          <cell r="R113">
            <v>30</v>
          </cell>
          <cell r="S113">
            <v>30</v>
          </cell>
          <cell r="T113">
            <v>30</v>
          </cell>
          <cell r="U113">
            <v>30</v>
          </cell>
          <cell r="V113">
            <v>30</v>
          </cell>
          <cell r="W113">
            <v>30</v>
          </cell>
          <cell r="X113">
            <v>30</v>
          </cell>
          <cell r="Y113">
            <v>30</v>
          </cell>
          <cell r="Z113">
            <v>30</v>
          </cell>
          <cell r="AA113">
            <v>30</v>
          </cell>
          <cell r="AB113">
            <v>30</v>
          </cell>
          <cell r="AC113">
            <v>30</v>
          </cell>
          <cell r="AD113">
            <v>30</v>
          </cell>
          <cell r="AE113">
            <v>30</v>
          </cell>
          <cell r="AF113">
            <v>30</v>
          </cell>
          <cell r="AG113">
            <v>30</v>
          </cell>
          <cell r="AH113">
            <v>30</v>
          </cell>
        </row>
        <row r="114">
          <cell r="B114" t="str">
            <v>e-methanol - Total CAPEX - Global - USD/ton fuel</v>
          </cell>
          <cell r="G114">
            <v>2980</v>
          </cell>
          <cell r="H114">
            <v>2840</v>
          </cell>
          <cell r="I114">
            <v>2700</v>
          </cell>
          <cell r="J114">
            <v>2560</v>
          </cell>
          <cell r="K114">
            <v>2420</v>
          </cell>
          <cell r="L114">
            <v>2280</v>
          </cell>
          <cell r="M114">
            <v>2140</v>
          </cell>
          <cell r="N114">
            <v>2000</v>
          </cell>
          <cell r="O114">
            <v>1955</v>
          </cell>
          <cell r="P114">
            <v>1910</v>
          </cell>
          <cell r="Q114">
            <v>1865</v>
          </cell>
          <cell r="R114">
            <v>1820</v>
          </cell>
          <cell r="S114">
            <v>1775</v>
          </cell>
          <cell r="T114">
            <v>1730</v>
          </cell>
          <cell r="U114">
            <v>1685</v>
          </cell>
          <cell r="V114">
            <v>1640</v>
          </cell>
          <cell r="W114">
            <v>1595</v>
          </cell>
          <cell r="X114">
            <v>1550</v>
          </cell>
          <cell r="Y114">
            <v>1490</v>
          </cell>
          <cell r="Z114">
            <v>1430</v>
          </cell>
          <cell r="AA114">
            <v>1370</v>
          </cell>
          <cell r="AB114">
            <v>1310</v>
          </cell>
          <cell r="AC114">
            <v>1250</v>
          </cell>
          <cell r="AD114">
            <v>1190</v>
          </cell>
          <cell r="AE114">
            <v>1130</v>
          </cell>
          <cell r="AF114">
            <v>1070</v>
          </cell>
          <cell r="AG114">
            <v>1010</v>
          </cell>
          <cell r="AH114">
            <v>950</v>
          </cell>
        </row>
        <row r="115">
          <cell r="B115" t="str">
            <v>e-methanol - OPEX - Global - USD/ton fuel/year</v>
          </cell>
          <cell r="G115">
            <v>119.2</v>
          </cell>
          <cell r="H115">
            <v>113.60000000000001</v>
          </cell>
          <cell r="I115">
            <v>108</v>
          </cell>
          <cell r="J115">
            <v>102.4</v>
          </cell>
          <cell r="K115">
            <v>96.8</v>
          </cell>
          <cell r="L115">
            <v>91.2</v>
          </cell>
          <cell r="M115">
            <v>85.600000000000009</v>
          </cell>
          <cell r="N115">
            <v>80</v>
          </cell>
          <cell r="O115">
            <v>78.2</v>
          </cell>
          <cell r="P115">
            <v>76.400000000000006</v>
          </cell>
          <cell r="Q115">
            <v>74.600000000000009</v>
          </cell>
          <cell r="R115">
            <v>72.8</v>
          </cell>
          <cell r="S115">
            <v>71</v>
          </cell>
          <cell r="T115">
            <v>69.2</v>
          </cell>
          <cell r="U115">
            <v>67.400000000000006</v>
          </cell>
          <cell r="V115">
            <v>65.599999999999994</v>
          </cell>
          <cell r="W115">
            <v>63.800000000000004</v>
          </cell>
          <cell r="X115">
            <v>62</v>
          </cell>
          <cell r="Y115">
            <v>59.6</v>
          </cell>
          <cell r="Z115">
            <v>57.2</v>
          </cell>
          <cell r="AA115">
            <v>54.800000000000004</v>
          </cell>
          <cell r="AB115">
            <v>52.4</v>
          </cell>
          <cell r="AC115">
            <v>50</v>
          </cell>
          <cell r="AD115">
            <v>47.6</v>
          </cell>
          <cell r="AE115">
            <v>45.2</v>
          </cell>
          <cell r="AF115">
            <v>42.800000000000004</v>
          </cell>
          <cell r="AG115">
            <v>40.4</v>
          </cell>
          <cell r="AH115">
            <v>38</v>
          </cell>
        </row>
        <row r="116">
          <cell r="B116" t="str">
            <v>e-methanol - Energy demand - Global - MWh/ton fuel</v>
          </cell>
          <cell r="G116">
            <v>1.7</v>
          </cell>
          <cell r="H116">
            <v>1.7</v>
          </cell>
          <cell r="I116">
            <v>1.7</v>
          </cell>
          <cell r="J116">
            <v>1.7</v>
          </cell>
          <cell r="K116">
            <v>1.7</v>
          </cell>
          <cell r="L116">
            <v>1.7</v>
          </cell>
          <cell r="M116">
            <v>1.7</v>
          </cell>
          <cell r="N116">
            <v>1.7</v>
          </cell>
          <cell r="O116">
            <v>1.7</v>
          </cell>
          <cell r="P116">
            <v>1.7</v>
          </cell>
          <cell r="Q116">
            <v>1.7</v>
          </cell>
          <cell r="R116">
            <v>1.7</v>
          </cell>
          <cell r="S116">
            <v>1.7</v>
          </cell>
          <cell r="T116">
            <v>1.7</v>
          </cell>
          <cell r="U116">
            <v>1.7</v>
          </cell>
          <cell r="V116">
            <v>1.7</v>
          </cell>
          <cell r="W116">
            <v>1.7</v>
          </cell>
          <cell r="X116">
            <v>1.7</v>
          </cell>
          <cell r="Y116">
            <v>1.7</v>
          </cell>
          <cell r="Z116">
            <v>1.7</v>
          </cell>
          <cell r="AA116">
            <v>1.7</v>
          </cell>
          <cell r="AB116">
            <v>1.7</v>
          </cell>
          <cell r="AC116">
            <v>1.7</v>
          </cell>
          <cell r="AD116">
            <v>1.7</v>
          </cell>
          <cell r="AE116">
            <v>1.7</v>
          </cell>
          <cell r="AF116">
            <v>1.7</v>
          </cell>
          <cell r="AG116">
            <v>1.7</v>
          </cell>
          <cell r="AH116">
            <v>1.7</v>
          </cell>
        </row>
        <row r="117">
          <cell r="B117" t="str">
            <v>e-methanol - Conversion H2 -&gt; MeOH - Global - ton H2/ton MeOH</v>
          </cell>
          <cell r="G117">
            <v>0.18875226265526496</v>
          </cell>
          <cell r="H117">
            <v>0.18875226265526496</v>
          </cell>
          <cell r="I117">
            <v>0.18875226265526496</v>
          </cell>
          <cell r="J117">
            <v>0.18875226265526496</v>
          </cell>
          <cell r="K117">
            <v>0.18875226265526496</v>
          </cell>
          <cell r="L117">
            <v>0.18875226265526496</v>
          </cell>
          <cell r="M117">
            <v>0.18875226265526496</v>
          </cell>
          <cell r="N117">
            <v>0.18875226265526496</v>
          </cell>
          <cell r="O117">
            <v>0.18875226265526496</v>
          </cell>
          <cell r="P117">
            <v>0.18875226265526496</v>
          </cell>
          <cell r="Q117">
            <v>0.18875226265526496</v>
          </cell>
          <cell r="R117">
            <v>0.18875226265526496</v>
          </cell>
          <cell r="S117">
            <v>0.18875226265526496</v>
          </cell>
          <cell r="T117">
            <v>0.18875226265526496</v>
          </cell>
          <cell r="U117">
            <v>0.18875226265526496</v>
          </cell>
          <cell r="V117">
            <v>0.18875226265526496</v>
          </cell>
          <cell r="W117">
            <v>0.18875226265526496</v>
          </cell>
          <cell r="X117">
            <v>0.18875226265526496</v>
          </cell>
          <cell r="Y117">
            <v>0.18875226265526496</v>
          </cell>
          <cell r="Z117">
            <v>0.18875226265526496</v>
          </cell>
          <cell r="AA117">
            <v>0.18875226265526496</v>
          </cell>
          <cell r="AB117">
            <v>0.18875226265526496</v>
          </cell>
          <cell r="AC117">
            <v>0.18875226265526496</v>
          </cell>
          <cell r="AD117">
            <v>0.18875226265526496</v>
          </cell>
          <cell r="AE117">
            <v>0.18875226265526496</v>
          </cell>
          <cell r="AF117">
            <v>0.18875226265526496</v>
          </cell>
          <cell r="AG117">
            <v>0.18875226265526496</v>
          </cell>
          <cell r="AH117">
            <v>0.18875226265526496</v>
          </cell>
        </row>
        <row r="118">
          <cell r="B118" t="str">
            <v>e-methanol - Conversion CO2 -&gt; MeOH - Global - ton CO2/ton MeOH</v>
          </cell>
          <cell r="G118">
            <v>1.3735097684289368</v>
          </cell>
          <cell r="H118">
            <v>1.3735097684289368</v>
          </cell>
          <cell r="I118">
            <v>1.3735097684289368</v>
          </cell>
          <cell r="J118">
            <v>1.3735097684289368</v>
          </cell>
          <cell r="K118">
            <v>1.3735097684289368</v>
          </cell>
          <cell r="L118">
            <v>1.3735097684289368</v>
          </cell>
          <cell r="M118">
            <v>1.3735097684289368</v>
          </cell>
          <cell r="N118">
            <v>1.3735097684289368</v>
          </cell>
          <cell r="O118">
            <v>1.3735097684289368</v>
          </cell>
          <cell r="P118">
            <v>1.3735097684289368</v>
          </cell>
          <cell r="Q118">
            <v>1.3735097684289368</v>
          </cell>
          <cell r="R118">
            <v>1.3735097684289368</v>
          </cell>
          <cell r="S118">
            <v>1.3735097684289368</v>
          </cell>
          <cell r="T118">
            <v>1.3735097684289368</v>
          </cell>
          <cell r="U118">
            <v>1.3735097684289368</v>
          </cell>
          <cell r="V118">
            <v>1.3735097684289368</v>
          </cell>
          <cell r="W118">
            <v>1.3735097684289368</v>
          </cell>
          <cell r="X118">
            <v>1.3735097684289368</v>
          </cell>
          <cell r="Y118">
            <v>1.3735097684289368</v>
          </cell>
          <cell r="Z118">
            <v>1.3735097684289368</v>
          </cell>
          <cell r="AA118">
            <v>1.3735097684289368</v>
          </cell>
          <cell r="AB118">
            <v>1.3735097684289368</v>
          </cell>
          <cell r="AC118">
            <v>1.3735097684289368</v>
          </cell>
          <cell r="AD118">
            <v>1.3735097684289368</v>
          </cell>
          <cell r="AE118">
            <v>1.3735097684289368</v>
          </cell>
          <cell r="AF118">
            <v>1.3735097684289368</v>
          </cell>
          <cell r="AG118">
            <v>1.3735097684289368</v>
          </cell>
          <cell r="AH118">
            <v>1.3735097684289368</v>
          </cell>
        </row>
        <row r="119">
          <cell r="B119" t="str">
            <v>e-methanol - Process WTT emissions (carbon dioxide) - Global - ton CO2/ton fuel</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row>
        <row r="120">
          <cell r="B120" t="str">
            <v>e-methanol - Process WTT emissions (methane) - Global - ton CH4/ton fuel</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row>
        <row r="121">
          <cell r="B121" t="str">
            <v>e-methanol - Process WTT emissions (nitrous oxide) - Global - ton N2O/ton fuel</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row>
        <row r="122">
          <cell r="B122" t="str">
            <v>e-methanol - TTW emissions (carbon dioxide) - Global - ton CO2/ton fuel</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row>
        <row r="123">
          <cell r="B123" t="str">
            <v>e-methanol - TTW emissions (methane) - Global - ton CH4/ton fuel</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row>
        <row r="124">
          <cell r="B124" t="str">
            <v>e-methanol - TTW emissions (nitrous oxide) - Global - ton N2O/ton fuel</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row>
        <row r="126">
          <cell r="G126">
            <v>2023</v>
          </cell>
          <cell r="H126">
            <v>2024</v>
          </cell>
          <cell r="I126">
            <v>2025</v>
          </cell>
          <cell r="J126">
            <v>2026</v>
          </cell>
          <cell r="K126">
            <v>2027</v>
          </cell>
          <cell r="L126">
            <v>2028</v>
          </cell>
          <cell r="M126">
            <v>2029</v>
          </cell>
          <cell r="N126">
            <v>2030</v>
          </cell>
          <cell r="O126">
            <v>2031</v>
          </cell>
          <cell r="P126">
            <v>2032</v>
          </cell>
          <cell r="Q126">
            <v>2033</v>
          </cell>
          <cell r="R126">
            <v>2034</v>
          </cell>
          <cell r="S126">
            <v>2035</v>
          </cell>
          <cell r="T126">
            <v>2036</v>
          </cell>
          <cell r="U126">
            <v>2037</v>
          </cell>
          <cell r="V126">
            <v>2038</v>
          </cell>
          <cell r="W126">
            <v>2039</v>
          </cell>
          <cell r="X126">
            <v>2040</v>
          </cell>
          <cell r="Y126">
            <v>2041</v>
          </cell>
          <cell r="Z126">
            <v>2042</v>
          </cell>
          <cell r="AA126">
            <v>2043</v>
          </cell>
          <cell r="AB126">
            <v>2044</v>
          </cell>
          <cell r="AC126">
            <v>2045</v>
          </cell>
          <cell r="AD126">
            <v>2046</v>
          </cell>
          <cell r="AE126">
            <v>2047</v>
          </cell>
          <cell r="AF126">
            <v>2048</v>
          </cell>
          <cell r="AG126">
            <v>2049</v>
          </cell>
          <cell r="AH126">
            <v>2050</v>
          </cell>
        </row>
        <row r="127">
          <cell r="B127" t="str">
            <v>e-methane - Plant lifetime - Global - Years</v>
          </cell>
          <cell r="G127">
            <v>30</v>
          </cell>
          <cell r="H127">
            <v>30</v>
          </cell>
          <cell r="I127">
            <v>30</v>
          </cell>
          <cell r="J127">
            <v>30</v>
          </cell>
          <cell r="K127">
            <v>30</v>
          </cell>
          <cell r="L127">
            <v>30</v>
          </cell>
          <cell r="M127">
            <v>30</v>
          </cell>
          <cell r="N127">
            <v>30</v>
          </cell>
          <cell r="O127">
            <v>30</v>
          </cell>
          <cell r="P127">
            <v>30</v>
          </cell>
          <cell r="Q127">
            <v>30</v>
          </cell>
          <cell r="R127">
            <v>30</v>
          </cell>
          <cell r="S127">
            <v>30</v>
          </cell>
          <cell r="T127">
            <v>30</v>
          </cell>
          <cell r="U127">
            <v>30</v>
          </cell>
          <cell r="V127">
            <v>30</v>
          </cell>
          <cell r="W127">
            <v>30</v>
          </cell>
          <cell r="X127">
            <v>30</v>
          </cell>
          <cell r="Y127">
            <v>30</v>
          </cell>
          <cell r="Z127">
            <v>30</v>
          </cell>
          <cell r="AA127">
            <v>30</v>
          </cell>
          <cell r="AB127">
            <v>30</v>
          </cell>
          <cell r="AC127">
            <v>30</v>
          </cell>
          <cell r="AD127">
            <v>30</v>
          </cell>
          <cell r="AE127">
            <v>30</v>
          </cell>
          <cell r="AF127">
            <v>30</v>
          </cell>
          <cell r="AG127">
            <v>30</v>
          </cell>
          <cell r="AH127">
            <v>30</v>
          </cell>
        </row>
        <row r="128">
          <cell r="B128" t="str">
            <v>e-methane - Total CAPEX - Global - USD/ton fuel</v>
          </cell>
          <cell r="G128">
            <v>1542</v>
          </cell>
          <cell r="H128">
            <v>1456</v>
          </cell>
          <cell r="I128">
            <v>1370</v>
          </cell>
          <cell r="J128">
            <v>1316</v>
          </cell>
          <cell r="K128">
            <v>1262</v>
          </cell>
          <cell r="L128">
            <v>1208</v>
          </cell>
          <cell r="M128">
            <v>1154</v>
          </cell>
          <cell r="N128">
            <v>1100</v>
          </cell>
          <cell r="O128">
            <v>1080</v>
          </cell>
          <cell r="P128">
            <v>1060</v>
          </cell>
          <cell r="Q128">
            <v>1040</v>
          </cell>
          <cell r="R128">
            <v>1020</v>
          </cell>
          <cell r="S128">
            <v>1000</v>
          </cell>
          <cell r="T128">
            <v>980</v>
          </cell>
          <cell r="U128">
            <v>960</v>
          </cell>
          <cell r="V128">
            <v>940</v>
          </cell>
          <cell r="W128">
            <v>920</v>
          </cell>
          <cell r="X128">
            <v>900</v>
          </cell>
          <cell r="Y128">
            <v>866</v>
          </cell>
          <cell r="Z128">
            <v>832</v>
          </cell>
          <cell r="AA128">
            <v>798</v>
          </cell>
          <cell r="AB128">
            <v>764</v>
          </cell>
          <cell r="AC128">
            <v>730</v>
          </cell>
          <cell r="AD128">
            <v>696</v>
          </cell>
          <cell r="AE128">
            <v>662</v>
          </cell>
          <cell r="AF128">
            <v>628</v>
          </cell>
          <cell r="AG128">
            <v>594</v>
          </cell>
          <cell r="AH128">
            <v>560</v>
          </cell>
        </row>
        <row r="129">
          <cell r="B129" t="str">
            <v>e-methane - OPEX - Global - USD/ton fuel/year</v>
          </cell>
          <cell r="G129">
            <v>123.36</v>
          </cell>
          <cell r="H129">
            <v>116.48</v>
          </cell>
          <cell r="I129">
            <v>109.60000000000001</v>
          </cell>
          <cell r="J129">
            <v>105.28</v>
          </cell>
          <cell r="K129">
            <v>100.96000000000001</v>
          </cell>
          <cell r="L129">
            <v>96.64</v>
          </cell>
          <cell r="M129">
            <v>92.320000000000007</v>
          </cell>
          <cell r="N129">
            <v>88</v>
          </cell>
          <cell r="O129">
            <v>86.4</v>
          </cell>
          <cell r="P129">
            <v>84.8</v>
          </cell>
          <cell r="Q129">
            <v>83.2</v>
          </cell>
          <cell r="R129">
            <v>81.600000000000009</v>
          </cell>
          <cell r="S129">
            <v>80</v>
          </cell>
          <cell r="T129">
            <v>78.400000000000006</v>
          </cell>
          <cell r="U129">
            <v>76.8</v>
          </cell>
          <cell r="V129">
            <v>75.2</v>
          </cell>
          <cell r="W129">
            <v>73.600000000000009</v>
          </cell>
          <cell r="X129">
            <v>72</v>
          </cell>
          <cell r="Y129">
            <v>69.28</v>
          </cell>
          <cell r="Z129">
            <v>66.56</v>
          </cell>
          <cell r="AA129">
            <v>63.84</v>
          </cell>
          <cell r="AB129">
            <v>61.120000000000005</v>
          </cell>
          <cell r="AC129">
            <v>58.4</v>
          </cell>
          <cell r="AD129">
            <v>55.68</v>
          </cell>
          <cell r="AE129">
            <v>52.96</v>
          </cell>
          <cell r="AF129">
            <v>50.24</v>
          </cell>
          <cell r="AG129">
            <v>47.52</v>
          </cell>
          <cell r="AH129">
            <v>44.800000000000004</v>
          </cell>
        </row>
        <row r="130">
          <cell r="B130" t="str">
            <v>e-methane - Energy demand - Global - MWh/ton fuel</v>
          </cell>
          <cell r="G130">
            <v>0.4</v>
          </cell>
          <cell r="H130">
            <v>0.4</v>
          </cell>
          <cell r="I130">
            <v>0.4</v>
          </cell>
          <cell r="J130">
            <v>0.4</v>
          </cell>
          <cell r="K130">
            <v>0.4</v>
          </cell>
          <cell r="L130">
            <v>0.4</v>
          </cell>
          <cell r="M130">
            <v>0.4</v>
          </cell>
          <cell r="N130">
            <v>0.4</v>
          </cell>
          <cell r="O130">
            <v>0.4</v>
          </cell>
          <cell r="P130">
            <v>0.4</v>
          </cell>
          <cell r="Q130">
            <v>0.4</v>
          </cell>
          <cell r="R130">
            <v>0.4</v>
          </cell>
          <cell r="S130">
            <v>0.4</v>
          </cell>
          <cell r="T130">
            <v>0.4</v>
          </cell>
          <cell r="U130">
            <v>0.4</v>
          </cell>
          <cell r="V130">
            <v>0.4</v>
          </cell>
          <cell r="W130">
            <v>0.4</v>
          </cell>
          <cell r="X130">
            <v>0.4</v>
          </cell>
          <cell r="Y130">
            <v>0.4</v>
          </cell>
          <cell r="Z130">
            <v>0.4</v>
          </cell>
          <cell r="AA130">
            <v>0.4</v>
          </cell>
          <cell r="AB130">
            <v>0.4</v>
          </cell>
          <cell r="AC130">
            <v>0.4</v>
          </cell>
          <cell r="AD130">
            <v>0.4</v>
          </cell>
          <cell r="AE130">
            <v>0.4</v>
          </cell>
          <cell r="AF130">
            <v>0.4</v>
          </cell>
          <cell r="AG130">
            <v>0.4</v>
          </cell>
          <cell r="AH130">
            <v>0.4</v>
          </cell>
        </row>
        <row r="131">
          <cell r="B131" t="str">
            <v>e-methane - Conversion H2 -&gt; CH4 - Global - ton H2/ton CH4</v>
          </cell>
          <cell r="G131">
            <v>0.5</v>
          </cell>
          <cell r="H131">
            <v>0.5</v>
          </cell>
          <cell r="I131">
            <v>0.5</v>
          </cell>
          <cell r="J131">
            <v>0.5</v>
          </cell>
          <cell r="K131">
            <v>0.5</v>
          </cell>
          <cell r="L131">
            <v>0.5</v>
          </cell>
          <cell r="M131">
            <v>0.5</v>
          </cell>
          <cell r="N131">
            <v>0.5</v>
          </cell>
          <cell r="O131">
            <v>0.5</v>
          </cell>
          <cell r="P131">
            <v>0.5</v>
          </cell>
          <cell r="Q131">
            <v>0.5</v>
          </cell>
          <cell r="R131">
            <v>0.5</v>
          </cell>
          <cell r="S131">
            <v>0.5</v>
          </cell>
          <cell r="T131">
            <v>0.5</v>
          </cell>
          <cell r="U131">
            <v>0.5</v>
          </cell>
          <cell r="V131">
            <v>0.5</v>
          </cell>
          <cell r="W131">
            <v>0.5</v>
          </cell>
          <cell r="X131">
            <v>0.5</v>
          </cell>
          <cell r="Y131">
            <v>0.5</v>
          </cell>
          <cell r="Z131">
            <v>0.5</v>
          </cell>
          <cell r="AA131">
            <v>0.5</v>
          </cell>
          <cell r="AB131">
            <v>0.5</v>
          </cell>
          <cell r="AC131">
            <v>0.5</v>
          </cell>
          <cell r="AD131">
            <v>0.5</v>
          </cell>
          <cell r="AE131">
            <v>0.5</v>
          </cell>
          <cell r="AF131">
            <v>0.5</v>
          </cell>
          <cell r="AG131">
            <v>0.5</v>
          </cell>
          <cell r="AH131">
            <v>0.5</v>
          </cell>
        </row>
        <row r="132">
          <cell r="B132" t="str">
            <v>e-methane - Conversion CO2 -&gt; CH4 - Global - ton CO2/ton CH4</v>
          </cell>
          <cell r="G132">
            <v>2.75</v>
          </cell>
          <cell r="H132">
            <v>2.75</v>
          </cell>
          <cell r="I132">
            <v>2.75</v>
          </cell>
          <cell r="J132">
            <v>2.75</v>
          </cell>
          <cell r="K132">
            <v>2.75</v>
          </cell>
          <cell r="L132">
            <v>2.75</v>
          </cell>
          <cell r="M132">
            <v>2.75</v>
          </cell>
          <cell r="N132">
            <v>2.75</v>
          </cell>
          <cell r="O132">
            <v>2.75</v>
          </cell>
          <cell r="P132">
            <v>2.75</v>
          </cell>
          <cell r="Q132">
            <v>2.75</v>
          </cell>
          <cell r="R132">
            <v>2.75</v>
          </cell>
          <cell r="S132">
            <v>2.75</v>
          </cell>
          <cell r="T132">
            <v>2.75</v>
          </cell>
          <cell r="U132">
            <v>2.75</v>
          </cell>
          <cell r="V132">
            <v>2.75</v>
          </cell>
          <cell r="W132">
            <v>2.75</v>
          </cell>
          <cell r="X132">
            <v>2.75</v>
          </cell>
          <cell r="Y132">
            <v>2.75</v>
          </cell>
          <cell r="Z132">
            <v>2.75</v>
          </cell>
          <cell r="AA132">
            <v>2.75</v>
          </cell>
          <cell r="AB132">
            <v>2.75</v>
          </cell>
          <cell r="AC132">
            <v>2.75</v>
          </cell>
          <cell r="AD132">
            <v>2.75</v>
          </cell>
          <cell r="AE132">
            <v>2.75</v>
          </cell>
          <cell r="AF132">
            <v>2.75</v>
          </cell>
          <cell r="AG132">
            <v>2.75</v>
          </cell>
          <cell r="AH132">
            <v>2.75</v>
          </cell>
        </row>
        <row r="133">
          <cell r="B133" t="str">
            <v>e-methane - Process WTT emissions (carbon dioxide) - Global - ton CO2/ton fuel</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row>
        <row r="134">
          <cell r="B134" t="str">
            <v>e-methane - Process WTT emissions (methane) - Global - ton CH4/ton fuel</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row>
        <row r="135">
          <cell r="B135" t="str">
            <v>e-methane - Process WTT emissions (nitrous oxide) - Global - ton N2O/ton fuel</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row>
        <row r="137">
          <cell r="G137">
            <v>2023</v>
          </cell>
          <cell r="H137">
            <v>2024</v>
          </cell>
          <cell r="I137">
            <v>2025</v>
          </cell>
          <cell r="J137">
            <v>2026</v>
          </cell>
          <cell r="K137">
            <v>2027</v>
          </cell>
          <cell r="L137">
            <v>2028</v>
          </cell>
          <cell r="M137">
            <v>2029</v>
          </cell>
          <cell r="N137">
            <v>2030</v>
          </cell>
          <cell r="O137">
            <v>2031</v>
          </cell>
          <cell r="P137">
            <v>2032</v>
          </cell>
          <cell r="Q137">
            <v>2033</v>
          </cell>
          <cell r="R137">
            <v>2034</v>
          </cell>
          <cell r="S137">
            <v>2035</v>
          </cell>
          <cell r="T137">
            <v>2036</v>
          </cell>
          <cell r="U137">
            <v>2037</v>
          </cell>
          <cell r="V137">
            <v>2038</v>
          </cell>
          <cell r="W137">
            <v>2039</v>
          </cell>
          <cell r="X137">
            <v>2040</v>
          </cell>
          <cell r="Y137">
            <v>2041</v>
          </cell>
          <cell r="Z137">
            <v>2042</v>
          </cell>
          <cell r="AA137">
            <v>2043</v>
          </cell>
          <cell r="AB137">
            <v>2044</v>
          </cell>
          <cell r="AC137">
            <v>2045</v>
          </cell>
          <cell r="AD137">
            <v>2046</v>
          </cell>
          <cell r="AE137">
            <v>2047</v>
          </cell>
          <cell r="AF137">
            <v>2048</v>
          </cell>
          <cell r="AG137">
            <v>2049</v>
          </cell>
          <cell r="AH137">
            <v>2050</v>
          </cell>
        </row>
        <row r="138">
          <cell r="B138" t="str">
            <v>e-methane (liquefied) - Plant lifetime - Global - Years</v>
          </cell>
          <cell r="G138">
            <v>30</v>
          </cell>
          <cell r="H138">
            <v>30</v>
          </cell>
          <cell r="I138">
            <v>30</v>
          </cell>
          <cell r="J138">
            <v>30</v>
          </cell>
          <cell r="K138">
            <v>30</v>
          </cell>
          <cell r="L138">
            <v>30</v>
          </cell>
          <cell r="M138">
            <v>30</v>
          </cell>
          <cell r="N138">
            <v>30</v>
          </cell>
          <cell r="O138">
            <v>30</v>
          </cell>
          <cell r="P138">
            <v>30</v>
          </cell>
          <cell r="Q138">
            <v>30</v>
          </cell>
          <cell r="R138">
            <v>30</v>
          </cell>
          <cell r="S138">
            <v>30</v>
          </cell>
          <cell r="T138">
            <v>30</v>
          </cell>
          <cell r="U138">
            <v>30</v>
          </cell>
          <cell r="V138">
            <v>30</v>
          </cell>
          <cell r="W138">
            <v>30</v>
          </cell>
          <cell r="X138">
            <v>30</v>
          </cell>
          <cell r="Y138">
            <v>30</v>
          </cell>
          <cell r="Z138">
            <v>30</v>
          </cell>
          <cell r="AA138">
            <v>30</v>
          </cell>
          <cell r="AB138">
            <v>30</v>
          </cell>
          <cell r="AC138">
            <v>30</v>
          </cell>
          <cell r="AD138">
            <v>30</v>
          </cell>
          <cell r="AE138">
            <v>30</v>
          </cell>
          <cell r="AF138">
            <v>30</v>
          </cell>
          <cell r="AG138">
            <v>30</v>
          </cell>
          <cell r="AH138">
            <v>30</v>
          </cell>
        </row>
        <row r="139">
          <cell r="B139" t="str">
            <v>e-methane (liquefied) - Total CAPEX - Liquefaction - Global - USD/ton fuel</v>
          </cell>
          <cell r="G139">
            <v>2271.4526299856479</v>
          </cell>
          <cell r="H139">
            <v>2260.7263149928222</v>
          </cell>
          <cell r="I139">
            <v>2250</v>
          </cell>
          <cell r="J139">
            <v>2239.523407737528</v>
          </cell>
          <cell r="K139">
            <v>2229.0468154750561</v>
          </cell>
          <cell r="L139">
            <v>2218.5702232125841</v>
          </cell>
          <cell r="M139">
            <v>2208.0936309501121</v>
          </cell>
          <cell r="N139">
            <v>2197.6170386876402</v>
          </cell>
          <cell r="O139">
            <v>2187.3843552816907</v>
          </cell>
          <cell r="P139">
            <v>2177.1516718757375</v>
          </cell>
          <cell r="Q139">
            <v>2166.918988469788</v>
          </cell>
          <cell r="R139">
            <v>2156.6863050638349</v>
          </cell>
          <cell r="S139">
            <v>2146.4536216578817</v>
          </cell>
          <cell r="T139">
            <v>2136.4591685892556</v>
          </cell>
          <cell r="U139">
            <v>2126.4647155206258</v>
          </cell>
          <cell r="V139">
            <v>2116.4702624519959</v>
          </cell>
          <cell r="W139">
            <v>2106.4758093833661</v>
          </cell>
          <cell r="X139">
            <v>2096.48135631474</v>
          </cell>
          <cell r="Y139">
            <v>2086.7195872676348</v>
          </cell>
          <cell r="Z139">
            <v>2076.9578182205332</v>
          </cell>
          <cell r="AA139">
            <v>2067.196049173428</v>
          </cell>
          <cell r="AB139">
            <v>2057.4342801263228</v>
          </cell>
          <cell r="AC139">
            <v>2047.6725110792177</v>
          </cell>
          <cell r="AD139">
            <v>2038.1380088633741</v>
          </cell>
          <cell r="AE139">
            <v>2028.6035066475306</v>
          </cell>
          <cell r="AF139">
            <v>2019.0690044316871</v>
          </cell>
          <cell r="AG139">
            <v>2009.5345022158435</v>
          </cell>
          <cell r="AH139">
            <v>2000</v>
          </cell>
        </row>
        <row r="140">
          <cell r="B140" t="str">
            <v>e-methane (liquefied) - OPEX - Liquefaction - Global - USD/ton fuel/year</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B141" t="str">
            <v>e-methane (liquefied) - Energy demand - Liquefaction - Global - MWh/ton fuel</v>
          </cell>
          <cell r="G141">
            <v>0.6</v>
          </cell>
          <cell r="H141">
            <v>0.6</v>
          </cell>
          <cell r="I141">
            <v>0.6</v>
          </cell>
          <cell r="J141">
            <v>0.6</v>
          </cell>
          <cell r="K141">
            <v>0.6</v>
          </cell>
          <cell r="L141">
            <v>0.6</v>
          </cell>
          <cell r="M141">
            <v>0.6</v>
          </cell>
          <cell r="N141">
            <v>0.6</v>
          </cell>
          <cell r="O141">
            <v>0.6</v>
          </cell>
          <cell r="P141">
            <v>0.6</v>
          </cell>
          <cell r="Q141">
            <v>0.6</v>
          </cell>
          <cell r="R141">
            <v>0.6</v>
          </cell>
          <cell r="S141">
            <v>0.6</v>
          </cell>
          <cell r="T141">
            <v>0.6</v>
          </cell>
          <cell r="U141">
            <v>0.6</v>
          </cell>
          <cell r="V141">
            <v>0.6</v>
          </cell>
          <cell r="W141">
            <v>0.6</v>
          </cell>
          <cell r="X141">
            <v>0.6</v>
          </cell>
          <cell r="Y141">
            <v>0.6</v>
          </cell>
          <cell r="Z141">
            <v>0.6</v>
          </cell>
          <cell r="AA141">
            <v>0.6</v>
          </cell>
          <cell r="AB141">
            <v>0.6</v>
          </cell>
          <cell r="AC141">
            <v>0.6</v>
          </cell>
          <cell r="AD141">
            <v>0.6</v>
          </cell>
          <cell r="AE141">
            <v>0.6</v>
          </cell>
          <cell r="AF141">
            <v>0.6</v>
          </cell>
          <cell r="AG141">
            <v>0.6</v>
          </cell>
          <cell r="AH141">
            <v>0.6</v>
          </cell>
        </row>
        <row r="142">
          <cell r="B142" t="str">
            <v>e-methane (liquefied) - Process WTT emissions (carbon dioxide) - Global - ton CO2/ton fuel</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row>
        <row r="143">
          <cell r="B143" t="str">
            <v>e-methane (liquefied) - Process WTT emissions (methane) - Global - ton CH4/ton fuel</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row>
        <row r="144">
          <cell r="B144" t="str">
            <v>e-methane (liquefied) - Process WTT emissions (nitrous oxide) - Global - ton N2O/ton fuel</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row>
        <row r="145">
          <cell r="B145" t="str">
            <v>e-methane (liquefied) - TTW emissions (carbon dioxide) - Global - ton CO2/ton fuel</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row>
        <row r="146">
          <cell r="B146" t="str">
            <v>e-methane (liquefied) - TTW emissions (methane) - Global - ton CH4/ton fuel</v>
          </cell>
          <cell r="G146">
            <v>2.4E-2</v>
          </cell>
          <cell r="H146">
            <v>2.1999999999999999E-2</v>
          </cell>
          <cell r="I146">
            <v>0.02</v>
          </cell>
          <cell r="J146">
            <v>1.7999999999999999E-2</v>
          </cell>
          <cell r="K146">
            <v>1.6E-2</v>
          </cell>
          <cell r="L146">
            <v>1.4E-2</v>
          </cell>
          <cell r="M146">
            <v>1.2E-2</v>
          </cell>
          <cell r="N146">
            <v>0.01</v>
          </cell>
          <cell r="O146">
            <v>0.01</v>
          </cell>
          <cell r="P146">
            <v>0.01</v>
          </cell>
          <cell r="Q146">
            <v>0.01</v>
          </cell>
          <cell r="R146">
            <v>0.01</v>
          </cell>
          <cell r="S146">
            <v>0.01</v>
          </cell>
          <cell r="T146">
            <v>0.01</v>
          </cell>
          <cell r="U146">
            <v>0.01</v>
          </cell>
          <cell r="V146">
            <v>0.01</v>
          </cell>
          <cell r="W146">
            <v>0.01</v>
          </cell>
          <cell r="X146">
            <v>0.01</v>
          </cell>
          <cell r="Y146">
            <v>0.01</v>
          </cell>
          <cell r="Z146">
            <v>0.01</v>
          </cell>
          <cell r="AA146">
            <v>0.01</v>
          </cell>
          <cell r="AB146">
            <v>0.01</v>
          </cell>
          <cell r="AC146">
            <v>0.01</v>
          </cell>
          <cell r="AD146">
            <v>0.01</v>
          </cell>
          <cell r="AE146">
            <v>0.01</v>
          </cell>
          <cell r="AF146">
            <v>0.01</v>
          </cell>
          <cell r="AG146">
            <v>0.01</v>
          </cell>
          <cell r="AH146">
            <v>0.01</v>
          </cell>
        </row>
        <row r="147">
          <cell r="B147" t="str">
            <v>e-methane (liquefied) - TTW emissions (nitrous oxide) - Global - ton N2O/ton fuel</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row>
        <row r="149">
          <cell r="G149">
            <v>2023</v>
          </cell>
          <cell r="H149">
            <v>2024</v>
          </cell>
          <cell r="I149">
            <v>2025</v>
          </cell>
          <cell r="J149">
            <v>2026</v>
          </cell>
          <cell r="K149">
            <v>2027</v>
          </cell>
          <cell r="L149">
            <v>2028</v>
          </cell>
          <cell r="M149">
            <v>2029</v>
          </cell>
          <cell r="N149">
            <v>2030</v>
          </cell>
          <cell r="O149">
            <v>2031</v>
          </cell>
          <cell r="P149">
            <v>2032</v>
          </cell>
          <cell r="Q149">
            <v>2033</v>
          </cell>
          <cell r="R149">
            <v>2034</v>
          </cell>
          <cell r="S149">
            <v>2035</v>
          </cell>
          <cell r="T149">
            <v>2036</v>
          </cell>
          <cell r="U149">
            <v>2037</v>
          </cell>
          <cell r="V149">
            <v>2038</v>
          </cell>
          <cell r="W149">
            <v>2039</v>
          </cell>
          <cell r="X149">
            <v>2040</v>
          </cell>
          <cell r="Y149">
            <v>2041</v>
          </cell>
          <cell r="Z149">
            <v>2042</v>
          </cell>
          <cell r="AA149">
            <v>2043</v>
          </cell>
          <cell r="AB149">
            <v>2044</v>
          </cell>
          <cell r="AC149">
            <v>2045</v>
          </cell>
          <cell r="AD149">
            <v>2046</v>
          </cell>
          <cell r="AE149">
            <v>2047</v>
          </cell>
          <cell r="AF149">
            <v>2048</v>
          </cell>
          <cell r="AG149">
            <v>2049</v>
          </cell>
          <cell r="AH149">
            <v>2050</v>
          </cell>
        </row>
        <row r="150">
          <cell r="B150" t="str">
            <v>e-diesel - Plant lifetime - Global - Years</v>
          </cell>
          <cell r="G150">
            <v>30</v>
          </cell>
          <cell r="H150">
            <v>30</v>
          </cell>
          <cell r="I150">
            <v>30</v>
          </cell>
          <cell r="J150">
            <v>30</v>
          </cell>
          <cell r="K150">
            <v>30</v>
          </cell>
          <cell r="L150">
            <v>30</v>
          </cell>
          <cell r="M150">
            <v>30</v>
          </cell>
          <cell r="N150">
            <v>30</v>
          </cell>
          <cell r="O150">
            <v>30</v>
          </cell>
          <cell r="P150">
            <v>30</v>
          </cell>
          <cell r="Q150">
            <v>30</v>
          </cell>
          <cell r="R150">
            <v>30</v>
          </cell>
          <cell r="S150">
            <v>30</v>
          </cell>
          <cell r="T150">
            <v>30</v>
          </cell>
          <cell r="U150">
            <v>30</v>
          </cell>
          <cell r="V150">
            <v>30</v>
          </cell>
          <cell r="W150">
            <v>30</v>
          </cell>
          <cell r="X150">
            <v>30</v>
          </cell>
          <cell r="Y150">
            <v>30</v>
          </cell>
          <cell r="Z150">
            <v>30</v>
          </cell>
          <cell r="AA150">
            <v>30</v>
          </cell>
          <cell r="AB150">
            <v>30</v>
          </cell>
          <cell r="AC150">
            <v>30</v>
          </cell>
          <cell r="AD150">
            <v>30</v>
          </cell>
          <cell r="AE150">
            <v>30</v>
          </cell>
          <cell r="AF150">
            <v>30</v>
          </cell>
          <cell r="AG150">
            <v>30</v>
          </cell>
          <cell r="AH150">
            <v>30</v>
          </cell>
        </row>
        <row r="151">
          <cell r="B151" t="str">
            <v>e-diesel - Total CAPEX - Global - USD/ton fuel</v>
          </cell>
          <cell r="G151">
            <v>6120</v>
          </cell>
          <cell r="H151">
            <v>5960</v>
          </cell>
          <cell r="I151">
            <v>5800</v>
          </cell>
          <cell r="J151">
            <v>5640</v>
          </cell>
          <cell r="K151">
            <v>5480</v>
          </cell>
          <cell r="L151">
            <v>5320</v>
          </cell>
          <cell r="M151">
            <v>5160</v>
          </cell>
          <cell r="N151">
            <v>5000</v>
          </cell>
          <cell r="O151">
            <v>4935</v>
          </cell>
          <cell r="P151">
            <v>4870</v>
          </cell>
          <cell r="Q151">
            <v>4805</v>
          </cell>
          <cell r="R151">
            <v>4740</v>
          </cell>
          <cell r="S151">
            <v>4675</v>
          </cell>
          <cell r="T151">
            <v>4610</v>
          </cell>
          <cell r="U151">
            <v>4545</v>
          </cell>
          <cell r="V151">
            <v>4480</v>
          </cell>
          <cell r="W151">
            <v>4415</v>
          </cell>
          <cell r="X151">
            <v>4350</v>
          </cell>
          <cell r="Y151">
            <v>4215</v>
          </cell>
          <cell r="Z151">
            <v>4080</v>
          </cell>
          <cell r="AA151">
            <v>3945</v>
          </cell>
          <cell r="AB151">
            <v>3810</v>
          </cell>
          <cell r="AC151">
            <v>3675</v>
          </cell>
          <cell r="AD151">
            <v>3540</v>
          </cell>
          <cell r="AE151">
            <v>3405</v>
          </cell>
          <cell r="AF151">
            <v>3270</v>
          </cell>
          <cell r="AG151">
            <v>3135</v>
          </cell>
          <cell r="AH151">
            <v>3000</v>
          </cell>
        </row>
        <row r="152">
          <cell r="B152" t="str">
            <v>e-diesel - OPEX - Global - USD/ton fuel/year</v>
          </cell>
          <cell r="G152">
            <v>538.55999999999506</v>
          </cell>
          <cell r="H152">
            <v>500.63999999999783</v>
          </cell>
          <cell r="I152">
            <v>464.0000000000004</v>
          </cell>
          <cell r="J152">
            <v>428.63999999999288</v>
          </cell>
          <cell r="K152">
            <v>394.55999999999551</v>
          </cell>
          <cell r="L152">
            <v>361.75999999999794</v>
          </cell>
          <cell r="M152">
            <v>330.24000000000029</v>
          </cell>
          <cell r="N152">
            <v>299.99999999999363</v>
          </cell>
          <cell r="O152">
            <v>296.09999999999997</v>
          </cell>
          <cell r="P152">
            <v>292.2</v>
          </cell>
          <cell r="Q152">
            <v>288.3</v>
          </cell>
          <cell r="R152">
            <v>284.39999999999998</v>
          </cell>
          <cell r="S152">
            <v>280.5</v>
          </cell>
          <cell r="T152">
            <v>276.59999999999997</v>
          </cell>
          <cell r="U152">
            <v>272.7</v>
          </cell>
          <cell r="V152">
            <v>268.8</v>
          </cell>
          <cell r="W152">
            <v>264.89999999999998</v>
          </cell>
          <cell r="X152">
            <v>260.99999999999829</v>
          </cell>
          <cell r="Y152">
            <v>244.46999999999929</v>
          </cell>
          <cell r="Z152">
            <v>228.47999999999658</v>
          </cell>
          <cell r="AA152">
            <v>213.02999999999756</v>
          </cell>
          <cell r="AB152">
            <v>198.11999999999847</v>
          </cell>
          <cell r="AC152">
            <v>183.74999999999935</v>
          </cell>
          <cell r="AD152">
            <v>169.919999999997</v>
          </cell>
          <cell r="AE152">
            <v>156.62999999999786</v>
          </cell>
          <cell r="AF152">
            <v>143.87999999999869</v>
          </cell>
          <cell r="AG152">
            <v>131.66999999999942</v>
          </cell>
          <cell r="AH152">
            <v>120.00000000000011</v>
          </cell>
        </row>
        <row r="153">
          <cell r="B153" t="str">
            <v>e-diesel - Energy demand - Global - MWh/ton fuel</v>
          </cell>
          <cell r="G153">
            <v>0.41439631792773568</v>
          </cell>
          <cell r="H153">
            <v>0.40719815896386891</v>
          </cell>
          <cell r="I153">
            <v>0.40000000000000036</v>
          </cell>
          <cell r="J153">
            <v>0.39339604500884029</v>
          </cell>
          <cell r="K153">
            <v>0.38679209001768022</v>
          </cell>
          <cell r="L153">
            <v>0.38018813502652016</v>
          </cell>
          <cell r="M153">
            <v>0.37358418003536009</v>
          </cell>
          <cell r="N153">
            <v>0.36698022504420003</v>
          </cell>
          <cell r="O153">
            <v>0.3609214228221056</v>
          </cell>
          <cell r="P153">
            <v>0.35486262060001117</v>
          </cell>
          <cell r="Q153">
            <v>0.34880381837791674</v>
          </cell>
          <cell r="R153">
            <v>0.34274501615582231</v>
          </cell>
          <cell r="S153">
            <v>0.33668621393372788</v>
          </cell>
          <cell r="T153">
            <v>0.33112756242632102</v>
          </cell>
          <cell r="U153">
            <v>0.32556891091891593</v>
          </cell>
          <cell r="V153">
            <v>0.32001025941150907</v>
          </cell>
          <cell r="W153">
            <v>0.3144516079041022</v>
          </cell>
          <cell r="X153">
            <v>0.30889295639669712</v>
          </cell>
          <cell r="Y153">
            <v>0.30379316844387283</v>
          </cell>
          <cell r="Z153">
            <v>0.29869338049104677</v>
          </cell>
          <cell r="AA153">
            <v>0.2935935925382207</v>
          </cell>
          <cell r="AB153">
            <v>0.28849380458539642</v>
          </cell>
          <cell r="AC153">
            <v>0.28339401663257036</v>
          </cell>
          <cell r="AD153">
            <v>0.27871521330605553</v>
          </cell>
          <cell r="AE153">
            <v>0.27403640997954248</v>
          </cell>
          <cell r="AF153">
            <v>0.26935760665302766</v>
          </cell>
          <cell r="AG153">
            <v>0.26467880332651283</v>
          </cell>
          <cell r="AH153">
            <v>0.25999999999999979</v>
          </cell>
        </row>
        <row r="154">
          <cell r="B154" t="str">
            <v>e-diesel - Conversion H2 -&gt; diesel - Global - ton H2/ton diesel</v>
          </cell>
          <cell r="G154">
            <v>0.47</v>
          </cell>
          <cell r="H154">
            <v>0.47</v>
          </cell>
          <cell r="I154">
            <v>0.47</v>
          </cell>
          <cell r="J154">
            <v>0.47</v>
          </cell>
          <cell r="K154">
            <v>0.47</v>
          </cell>
          <cell r="L154">
            <v>0.47</v>
          </cell>
          <cell r="M154">
            <v>0.47</v>
          </cell>
          <cell r="N154">
            <v>0.47</v>
          </cell>
          <cell r="O154">
            <v>0.47</v>
          </cell>
          <cell r="P154">
            <v>0.47</v>
          </cell>
          <cell r="Q154">
            <v>0.47</v>
          </cell>
          <cell r="R154">
            <v>0.47</v>
          </cell>
          <cell r="S154">
            <v>0.47</v>
          </cell>
          <cell r="T154">
            <v>0.47</v>
          </cell>
          <cell r="U154">
            <v>0.47</v>
          </cell>
          <cell r="V154">
            <v>0.47</v>
          </cell>
          <cell r="W154">
            <v>0.47</v>
          </cell>
          <cell r="X154">
            <v>0.47</v>
          </cell>
          <cell r="Y154">
            <v>0.47</v>
          </cell>
          <cell r="Z154">
            <v>0.47</v>
          </cell>
          <cell r="AA154">
            <v>0.47</v>
          </cell>
          <cell r="AB154">
            <v>0.47</v>
          </cell>
          <cell r="AC154">
            <v>0.47</v>
          </cell>
          <cell r="AD154">
            <v>0.47</v>
          </cell>
          <cell r="AE154">
            <v>0.47</v>
          </cell>
          <cell r="AF154">
            <v>0.47</v>
          </cell>
          <cell r="AG154">
            <v>0.47</v>
          </cell>
          <cell r="AH154">
            <v>0.47</v>
          </cell>
        </row>
        <row r="155">
          <cell r="B155" t="str">
            <v>e-diesel - Conversion CO2 -&gt; diesel - Global - ton CO2/ton diesel</v>
          </cell>
          <cell r="G155">
            <v>3.21</v>
          </cell>
          <cell r="H155">
            <v>3.21</v>
          </cell>
          <cell r="I155">
            <v>3.21</v>
          </cell>
          <cell r="J155">
            <v>3.21</v>
          </cell>
          <cell r="K155">
            <v>3.21</v>
          </cell>
          <cell r="L155">
            <v>3.21</v>
          </cell>
          <cell r="M155">
            <v>3.21</v>
          </cell>
          <cell r="N155">
            <v>3.21</v>
          </cell>
          <cell r="O155">
            <v>3.21</v>
          </cell>
          <cell r="P155">
            <v>3.21</v>
          </cell>
          <cell r="Q155">
            <v>3.21</v>
          </cell>
          <cell r="R155">
            <v>3.21</v>
          </cell>
          <cell r="S155">
            <v>3.21</v>
          </cell>
          <cell r="T155">
            <v>3.21</v>
          </cell>
          <cell r="U155">
            <v>3.21</v>
          </cell>
          <cell r="V155">
            <v>3.21</v>
          </cell>
          <cell r="W155">
            <v>3.21</v>
          </cell>
          <cell r="X155">
            <v>3.21</v>
          </cell>
          <cell r="Y155">
            <v>3.21</v>
          </cell>
          <cell r="Z155">
            <v>3.21</v>
          </cell>
          <cell r="AA155">
            <v>3.21</v>
          </cell>
          <cell r="AB155">
            <v>3.21</v>
          </cell>
          <cell r="AC155">
            <v>3.21</v>
          </cell>
          <cell r="AD155">
            <v>3.21</v>
          </cell>
          <cell r="AE155">
            <v>3.21</v>
          </cell>
          <cell r="AF155">
            <v>3.21</v>
          </cell>
          <cell r="AG155">
            <v>3.21</v>
          </cell>
          <cell r="AH155">
            <v>3.21</v>
          </cell>
        </row>
        <row r="156">
          <cell r="B156" t="str">
            <v>e-diesel - Process WTT emissions (carbon dioxide) - Global - ton CO2/ton fuel</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row>
        <row r="157">
          <cell r="B157" t="str">
            <v>e-diesel - Process WTT emissions (methane) - Global - ton CH4/ton fuel</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row>
        <row r="158">
          <cell r="B158" t="str">
            <v>e-diesel - Process WTT emissions (nitrous oxide) - Global - ton N2O/ton fuel</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row>
        <row r="159">
          <cell r="B159" t="str">
            <v>e-diesel - TTW emissions (carbon dioxide) - Global - ton CO2/ton fuel</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row>
        <row r="160">
          <cell r="B160" t="str">
            <v>e-diesel - TTW emissions (methane) - Global - ton CH4/ton fuel</v>
          </cell>
          <cell r="G160">
            <v>5.0000000000000002E-5</v>
          </cell>
          <cell r="H160">
            <v>5.0000000000000002E-5</v>
          </cell>
          <cell r="I160">
            <v>5.0000000000000002E-5</v>
          </cell>
          <cell r="J160">
            <v>5.0000000000000002E-5</v>
          </cell>
          <cell r="K160">
            <v>5.0000000000000002E-5</v>
          </cell>
          <cell r="L160">
            <v>5.0000000000000002E-5</v>
          </cell>
          <cell r="M160">
            <v>5.0000000000000002E-5</v>
          </cell>
          <cell r="N160">
            <v>5.0000000000000002E-5</v>
          </cell>
          <cell r="O160">
            <v>5.0000000000000002E-5</v>
          </cell>
          <cell r="P160">
            <v>5.0000000000000002E-5</v>
          </cell>
          <cell r="Q160">
            <v>5.0000000000000002E-5</v>
          </cell>
          <cell r="R160">
            <v>5.0000000000000002E-5</v>
          </cell>
          <cell r="S160">
            <v>5.0000000000000002E-5</v>
          </cell>
          <cell r="T160">
            <v>5.0000000000000002E-5</v>
          </cell>
          <cell r="U160">
            <v>5.0000000000000002E-5</v>
          </cell>
          <cell r="V160">
            <v>5.0000000000000002E-5</v>
          </cell>
          <cell r="W160">
            <v>5.0000000000000002E-5</v>
          </cell>
          <cell r="X160">
            <v>5.0000000000000002E-5</v>
          </cell>
          <cell r="Y160">
            <v>5.0000000000000002E-5</v>
          </cell>
          <cell r="Z160">
            <v>5.0000000000000002E-5</v>
          </cell>
          <cell r="AA160">
            <v>5.0000000000000002E-5</v>
          </cell>
          <cell r="AB160">
            <v>5.0000000000000002E-5</v>
          </cell>
          <cell r="AC160">
            <v>5.0000000000000002E-5</v>
          </cell>
          <cell r="AD160">
            <v>5.0000000000000002E-5</v>
          </cell>
          <cell r="AE160">
            <v>5.0000000000000002E-5</v>
          </cell>
          <cell r="AF160">
            <v>5.0000000000000002E-5</v>
          </cell>
          <cell r="AG160">
            <v>5.0000000000000002E-5</v>
          </cell>
          <cell r="AH160">
            <v>5.0000000000000002E-5</v>
          </cell>
        </row>
        <row r="161">
          <cell r="B161" t="str">
            <v>e-diesel - TTW emissions (nitrous oxide) - Global - ton N2O/ton fuel</v>
          </cell>
          <cell r="G161">
            <v>1.8000000000000001E-4</v>
          </cell>
          <cell r="H161">
            <v>1.8000000000000001E-4</v>
          </cell>
          <cell r="I161">
            <v>1.8000000000000001E-4</v>
          </cell>
          <cell r="J161">
            <v>1.8000000000000001E-4</v>
          </cell>
          <cell r="K161">
            <v>1.8000000000000001E-4</v>
          </cell>
          <cell r="L161">
            <v>1.8000000000000001E-4</v>
          </cell>
          <cell r="M161">
            <v>1.8000000000000001E-4</v>
          </cell>
          <cell r="N161">
            <v>1.8000000000000001E-4</v>
          </cell>
          <cell r="O161">
            <v>1.8000000000000001E-4</v>
          </cell>
          <cell r="P161">
            <v>1.8000000000000001E-4</v>
          </cell>
          <cell r="Q161">
            <v>1.8000000000000001E-4</v>
          </cell>
          <cell r="R161">
            <v>1.8000000000000001E-4</v>
          </cell>
          <cell r="S161">
            <v>1.8000000000000001E-4</v>
          </cell>
          <cell r="T161">
            <v>1.8000000000000001E-4</v>
          </cell>
          <cell r="U161">
            <v>1.8000000000000001E-4</v>
          </cell>
          <cell r="V161">
            <v>1.8000000000000001E-4</v>
          </cell>
          <cell r="W161">
            <v>1.8000000000000001E-4</v>
          </cell>
          <cell r="X161">
            <v>1.8000000000000001E-4</v>
          </cell>
          <cell r="Y161">
            <v>1.8000000000000001E-4</v>
          </cell>
          <cell r="Z161">
            <v>1.8000000000000001E-4</v>
          </cell>
          <cell r="AA161">
            <v>1.8000000000000001E-4</v>
          </cell>
          <cell r="AB161">
            <v>1.8000000000000001E-4</v>
          </cell>
          <cell r="AC161">
            <v>1.8000000000000001E-4</v>
          </cell>
          <cell r="AD161">
            <v>1.8000000000000001E-4</v>
          </cell>
          <cell r="AE161">
            <v>1.8000000000000001E-4</v>
          </cell>
          <cell r="AF161">
            <v>1.8000000000000001E-4</v>
          </cell>
          <cell r="AG161">
            <v>1.8000000000000001E-4</v>
          </cell>
          <cell r="AH161">
            <v>1.8000000000000001E-4</v>
          </cell>
        </row>
        <row r="163">
          <cell r="G163">
            <v>2023</v>
          </cell>
          <cell r="H163">
            <v>2024</v>
          </cell>
          <cell r="I163">
            <v>2025</v>
          </cell>
          <cell r="J163">
            <v>2026</v>
          </cell>
          <cell r="K163">
            <v>2027</v>
          </cell>
          <cell r="L163">
            <v>2028</v>
          </cell>
          <cell r="M163">
            <v>2029</v>
          </cell>
          <cell r="N163">
            <v>2030</v>
          </cell>
          <cell r="O163">
            <v>2031</v>
          </cell>
          <cell r="P163">
            <v>2032</v>
          </cell>
          <cell r="Q163">
            <v>2033</v>
          </cell>
          <cell r="R163">
            <v>2034</v>
          </cell>
          <cell r="S163">
            <v>2035</v>
          </cell>
          <cell r="T163">
            <v>2036</v>
          </cell>
          <cell r="U163">
            <v>2037</v>
          </cell>
          <cell r="V163">
            <v>2038</v>
          </cell>
          <cell r="W163">
            <v>2039</v>
          </cell>
          <cell r="X163">
            <v>2040</v>
          </cell>
          <cell r="Y163">
            <v>2041</v>
          </cell>
          <cell r="Z163">
            <v>2042</v>
          </cell>
          <cell r="AA163">
            <v>2043</v>
          </cell>
          <cell r="AB163">
            <v>2044</v>
          </cell>
          <cell r="AC163">
            <v>2045</v>
          </cell>
          <cell r="AD163">
            <v>2046</v>
          </cell>
          <cell r="AE163">
            <v>2047</v>
          </cell>
          <cell r="AF163">
            <v>2048</v>
          </cell>
          <cell r="AG163">
            <v>2049</v>
          </cell>
          <cell r="AH163">
            <v>2050</v>
          </cell>
        </row>
        <row r="164">
          <cell r="B164" t="str">
            <v>Blue ammonia (CCS) - Plant lifetime - Global - Years</v>
          </cell>
          <cell r="G164">
            <v>30</v>
          </cell>
          <cell r="H164">
            <v>30</v>
          </cell>
          <cell r="I164">
            <v>30</v>
          </cell>
          <cell r="J164">
            <v>30</v>
          </cell>
          <cell r="K164">
            <v>30</v>
          </cell>
          <cell r="L164">
            <v>30</v>
          </cell>
          <cell r="M164">
            <v>30</v>
          </cell>
          <cell r="N164">
            <v>30</v>
          </cell>
          <cell r="O164">
            <v>30</v>
          </cell>
          <cell r="P164">
            <v>30</v>
          </cell>
          <cell r="Q164">
            <v>30</v>
          </cell>
          <cell r="R164">
            <v>30</v>
          </cell>
          <cell r="S164">
            <v>30</v>
          </cell>
          <cell r="T164">
            <v>30</v>
          </cell>
          <cell r="U164">
            <v>30</v>
          </cell>
          <cell r="V164">
            <v>30</v>
          </cell>
          <cell r="W164">
            <v>30</v>
          </cell>
          <cell r="X164">
            <v>30</v>
          </cell>
          <cell r="Y164">
            <v>30</v>
          </cell>
          <cell r="Z164">
            <v>30</v>
          </cell>
          <cell r="AA164">
            <v>30</v>
          </cell>
          <cell r="AB164">
            <v>30</v>
          </cell>
          <cell r="AC164">
            <v>30</v>
          </cell>
          <cell r="AD164">
            <v>30</v>
          </cell>
          <cell r="AE164">
            <v>30</v>
          </cell>
          <cell r="AF164">
            <v>30</v>
          </cell>
          <cell r="AG164">
            <v>30</v>
          </cell>
          <cell r="AH164">
            <v>30</v>
          </cell>
        </row>
        <row r="165">
          <cell r="B165" t="str">
            <v>Blue ammonia (CCS) - Total CAPEX - ATR - Global - USD/ton fuel</v>
          </cell>
          <cell r="G165">
            <v>1224</v>
          </cell>
          <cell r="H165">
            <v>1212</v>
          </cell>
          <cell r="I165">
            <v>1200</v>
          </cell>
          <cell r="J165">
            <v>1188</v>
          </cell>
          <cell r="K165">
            <v>1176</v>
          </cell>
          <cell r="L165">
            <v>1164</v>
          </cell>
          <cell r="M165">
            <v>1152</v>
          </cell>
          <cell r="N165">
            <v>1140</v>
          </cell>
          <cell r="O165">
            <v>1128</v>
          </cell>
          <cell r="P165">
            <v>1116</v>
          </cell>
          <cell r="Q165">
            <v>1104</v>
          </cell>
          <cell r="R165">
            <v>1092</v>
          </cell>
          <cell r="S165">
            <v>1080</v>
          </cell>
          <cell r="T165">
            <v>1068</v>
          </cell>
          <cell r="U165">
            <v>1056</v>
          </cell>
          <cell r="V165">
            <v>1044</v>
          </cell>
          <cell r="W165">
            <v>1032</v>
          </cell>
          <cell r="X165">
            <v>1020</v>
          </cell>
          <cell r="Y165">
            <v>1008</v>
          </cell>
          <cell r="Z165">
            <v>996</v>
          </cell>
          <cell r="AA165">
            <v>984</v>
          </cell>
          <cell r="AB165">
            <v>972</v>
          </cell>
          <cell r="AC165">
            <v>960</v>
          </cell>
          <cell r="AD165">
            <v>948</v>
          </cell>
          <cell r="AE165">
            <v>936</v>
          </cell>
          <cell r="AF165">
            <v>924</v>
          </cell>
          <cell r="AG165">
            <v>912</v>
          </cell>
          <cell r="AH165">
            <v>900</v>
          </cell>
        </row>
        <row r="166">
          <cell r="B166" t="str">
            <v>Blue ammonia (CCS) - OPEX - ATR - Global - USD/ton fuel/year</v>
          </cell>
          <cell r="G166">
            <v>48.96</v>
          </cell>
          <cell r="H166">
            <v>48.480000000000004</v>
          </cell>
          <cell r="I166">
            <v>48</v>
          </cell>
          <cell r="J166">
            <v>47.52</v>
          </cell>
          <cell r="K166">
            <v>47.04</v>
          </cell>
          <cell r="L166">
            <v>46.56</v>
          </cell>
          <cell r="M166">
            <v>46.08</v>
          </cell>
          <cell r="N166">
            <v>45.6</v>
          </cell>
          <cell r="O166">
            <v>45.12</v>
          </cell>
          <cell r="P166">
            <v>44.64</v>
          </cell>
          <cell r="Q166">
            <v>44.160000000000004</v>
          </cell>
          <cell r="R166">
            <v>43.68</v>
          </cell>
          <cell r="S166">
            <v>43.2</v>
          </cell>
          <cell r="T166">
            <v>42.72</v>
          </cell>
          <cell r="U166">
            <v>42.24</v>
          </cell>
          <cell r="V166">
            <v>41.76</v>
          </cell>
          <cell r="W166">
            <v>41.28</v>
          </cell>
          <cell r="X166">
            <v>40.800000000000004</v>
          </cell>
          <cell r="Y166">
            <v>40.32</v>
          </cell>
          <cell r="Z166">
            <v>39.840000000000003</v>
          </cell>
          <cell r="AA166">
            <v>39.36</v>
          </cell>
          <cell r="AB166">
            <v>38.880000000000003</v>
          </cell>
          <cell r="AC166">
            <v>38.4</v>
          </cell>
          <cell r="AD166">
            <v>37.92</v>
          </cell>
          <cell r="AE166">
            <v>37.44</v>
          </cell>
          <cell r="AF166">
            <v>36.96</v>
          </cell>
          <cell r="AG166">
            <v>36.480000000000004</v>
          </cell>
          <cell r="AH166">
            <v>36</v>
          </cell>
        </row>
        <row r="167">
          <cell r="B167" t="str">
            <v>Blue ammonia (CCS) - Energy demand - Global - MWh/ton fuel</v>
          </cell>
          <cell r="G167">
            <v>0.30600000000000049</v>
          </cell>
          <cell r="H167">
            <v>0.30800000000000027</v>
          </cell>
          <cell r="I167">
            <v>0.31000000000000005</v>
          </cell>
          <cell r="J167">
            <v>0.31199999999999983</v>
          </cell>
          <cell r="K167">
            <v>0.3140000000000005</v>
          </cell>
          <cell r="L167">
            <v>0.31600000000000028</v>
          </cell>
          <cell r="M167">
            <v>0.31800000000000006</v>
          </cell>
          <cell r="N167">
            <v>0.32000000000000073</v>
          </cell>
          <cell r="O167">
            <v>0.32200000000000006</v>
          </cell>
          <cell r="P167">
            <v>0.32399999999999984</v>
          </cell>
          <cell r="Q167">
            <v>0.32599999999999962</v>
          </cell>
          <cell r="R167">
            <v>0.3279999999999994</v>
          </cell>
          <cell r="S167">
            <v>0.33000000000000007</v>
          </cell>
          <cell r="T167">
            <v>0.33199999999999985</v>
          </cell>
          <cell r="U167">
            <v>0.33399999999999963</v>
          </cell>
          <cell r="V167">
            <v>0.3360000000000003</v>
          </cell>
          <cell r="W167">
            <v>0.33800000000000008</v>
          </cell>
          <cell r="X167">
            <v>0.33999999999999986</v>
          </cell>
          <cell r="Y167">
            <v>0.34199999999999964</v>
          </cell>
          <cell r="Z167">
            <v>0.34399999999999942</v>
          </cell>
          <cell r="AA167">
            <v>0.34600000000000009</v>
          </cell>
          <cell r="AB167">
            <v>0.34799999999999986</v>
          </cell>
          <cell r="AC167">
            <v>0.35000000000000009</v>
          </cell>
          <cell r="AD167">
            <v>0.35200000000000076</v>
          </cell>
          <cell r="AE167">
            <v>0.35400000000000054</v>
          </cell>
          <cell r="AF167">
            <v>0.35600000000000032</v>
          </cell>
          <cell r="AG167">
            <v>0.3580000000000001</v>
          </cell>
          <cell r="AH167">
            <v>0.35999999999999988</v>
          </cell>
        </row>
        <row r="168">
          <cell r="B168" t="str">
            <v>Blue ammonia (CCS) - Conversion NG -&gt; NH3 - Global - ton NG/ton NH3</v>
          </cell>
          <cell r="G168">
            <v>0.56000000000000005</v>
          </cell>
          <cell r="H168">
            <v>0.56000000000000005</v>
          </cell>
          <cell r="I168">
            <v>0.56000000000000005</v>
          </cell>
          <cell r="J168">
            <v>0.56000000000000005</v>
          </cell>
          <cell r="K168">
            <v>0.56000000000000005</v>
          </cell>
          <cell r="L168">
            <v>0.56000000000000005</v>
          </cell>
          <cell r="M168">
            <v>0.56000000000000005</v>
          </cell>
          <cell r="N168">
            <v>0.56000000000000005</v>
          </cell>
          <cell r="O168">
            <v>0.56000000000000005</v>
          </cell>
          <cell r="P168">
            <v>0.56000000000000005</v>
          </cell>
          <cell r="Q168">
            <v>0.56000000000000005</v>
          </cell>
          <cell r="R168">
            <v>0.56000000000000005</v>
          </cell>
          <cell r="S168">
            <v>0.56000000000000005</v>
          </cell>
          <cell r="T168">
            <v>0.56000000000000005</v>
          </cell>
          <cell r="U168">
            <v>0.56000000000000005</v>
          </cell>
          <cell r="V168">
            <v>0.56000000000000005</v>
          </cell>
          <cell r="W168">
            <v>0.56000000000000005</v>
          </cell>
          <cell r="X168">
            <v>0.56000000000000005</v>
          </cell>
          <cell r="Y168">
            <v>0.56000000000000005</v>
          </cell>
          <cell r="Z168">
            <v>0.56000000000000005</v>
          </cell>
          <cell r="AA168">
            <v>0.56000000000000005</v>
          </cell>
          <cell r="AB168">
            <v>0.56000000000000005</v>
          </cell>
          <cell r="AC168">
            <v>0.56000000000000005</v>
          </cell>
          <cell r="AD168">
            <v>0.56000000000000005</v>
          </cell>
          <cell r="AE168">
            <v>0.56000000000000005</v>
          </cell>
          <cell r="AF168">
            <v>0.56000000000000005</v>
          </cell>
          <cell r="AG168">
            <v>0.56000000000000005</v>
          </cell>
          <cell r="AH168">
            <v>0.56000000000000005</v>
          </cell>
        </row>
        <row r="169">
          <cell r="B169" t="str">
            <v>Blue ammonia (CCS) - Conversion NG -&gt; CO2 - Global - ton NG/ton CO2</v>
          </cell>
          <cell r="G169">
            <v>2.95</v>
          </cell>
          <cell r="H169">
            <v>2.95</v>
          </cell>
          <cell r="I169">
            <v>2.95</v>
          </cell>
          <cell r="J169">
            <v>2.95</v>
          </cell>
          <cell r="K169">
            <v>2.95</v>
          </cell>
          <cell r="L169">
            <v>2.95</v>
          </cell>
          <cell r="M169">
            <v>2.95</v>
          </cell>
          <cell r="N169">
            <v>2.95</v>
          </cell>
          <cell r="O169">
            <v>2.95</v>
          </cell>
          <cell r="P169">
            <v>2.95</v>
          </cell>
          <cell r="Q169">
            <v>2.95</v>
          </cell>
          <cell r="R169">
            <v>2.95</v>
          </cell>
          <cell r="S169">
            <v>2.95</v>
          </cell>
          <cell r="T169">
            <v>2.95</v>
          </cell>
          <cell r="U169">
            <v>2.95</v>
          </cell>
          <cell r="V169">
            <v>2.95</v>
          </cell>
          <cell r="W169">
            <v>2.95</v>
          </cell>
          <cell r="X169">
            <v>2.95</v>
          </cell>
          <cell r="Y169">
            <v>2.95</v>
          </cell>
          <cell r="Z169">
            <v>2.95</v>
          </cell>
          <cell r="AA169">
            <v>2.95</v>
          </cell>
          <cell r="AB169">
            <v>2.95</v>
          </cell>
          <cell r="AC169">
            <v>2.95</v>
          </cell>
          <cell r="AD169">
            <v>2.95</v>
          </cell>
          <cell r="AE169">
            <v>2.95</v>
          </cell>
          <cell r="AF169">
            <v>2.95</v>
          </cell>
          <cell r="AG169">
            <v>2.95</v>
          </cell>
          <cell r="AH169">
            <v>2.95</v>
          </cell>
        </row>
        <row r="170">
          <cell r="B170" t="str">
            <v>Blue ammonia (CCS) - Conversion N2 -&gt; NH3 - Global - ton N2/ton NH3</v>
          </cell>
          <cell r="G170">
            <v>0.82199999999999995</v>
          </cell>
          <cell r="H170">
            <v>0.82199999999999995</v>
          </cell>
          <cell r="I170">
            <v>0.82199999999999995</v>
          </cell>
          <cell r="J170">
            <v>0.82199999999999995</v>
          </cell>
          <cell r="K170">
            <v>0.82199999999999995</v>
          </cell>
          <cell r="L170">
            <v>0.82199999999999995</v>
          </cell>
          <cell r="M170">
            <v>0.82199999999999995</v>
          </cell>
          <cell r="N170">
            <v>0.82199999999999995</v>
          </cell>
          <cell r="O170">
            <v>0.82199999999999995</v>
          </cell>
          <cell r="P170">
            <v>0.82199999999999995</v>
          </cell>
          <cell r="Q170">
            <v>0.82199999999999995</v>
          </cell>
          <cell r="R170">
            <v>0.82199999999999995</v>
          </cell>
          <cell r="S170">
            <v>0.82199999999999995</v>
          </cell>
          <cell r="T170">
            <v>0.82199999999999995</v>
          </cell>
          <cell r="U170">
            <v>0.82199999999999995</v>
          </cell>
          <cell r="V170">
            <v>0.82199999999999995</v>
          </cell>
          <cell r="W170">
            <v>0.82199999999999995</v>
          </cell>
          <cell r="X170">
            <v>0.82199999999999995</v>
          </cell>
          <cell r="Y170">
            <v>0.82199999999999995</v>
          </cell>
          <cell r="Z170">
            <v>0.82199999999999995</v>
          </cell>
          <cell r="AA170">
            <v>0.82199999999999995</v>
          </cell>
          <cell r="AB170">
            <v>0.82199999999999995</v>
          </cell>
          <cell r="AC170">
            <v>0.82199999999999995</v>
          </cell>
          <cell r="AD170">
            <v>0.82199999999999995</v>
          </cell>
          <cell r="AE170">
            <v>0.82199999999999995</v>
          </cell>
          <cell r="AF170">
            <v>0.82199999999999995</v>
          </cell>
          <cell r="AG170">
            <v>0.82199999999999995</v>
          </cell>
          <cell r="AH170">
            <v>0.82199999999999995</v>
          </cell>
        </row>
        <row r="171">
          <cell r="B171" t="str">
            <v>Blue ammonia (CCS) - Process WTT emissions (carbon dioxide) - Global - ton CO2/ton fuel</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row>
        <row r="172">
          <cell r="B172" t="str">
            <v>Blue ammonia (CCS) - Process WTT emissions (methane) - Global - ton CH4/ton fuel</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row>
        <row r="173">
          <cell r="B173" t="str">
            <v>Blue ammonia (CCS) - Process WTT emissions (nitrous oxide) - Global - ton N2O/ton fuel</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row>
        <row r="174">
          <cell r="B174" t="str">
            <v>Blue ammonia (CCS) - TTW emissions (carbon dioxide) - Global - ton CO2/ton fuel</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row>
        <row r="175">
          <cell r="B175" t="str">
            <v>Blue ammonia (CCS) - TTW emissions (methane) - Global - ton CH4/ton fuel</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row>
        <row r="176">
          <cell r="B176" t="str">
            <v>Blue ammonia (CCS) - TTW emissions (nitrous oxide) - Global - ton N2O/ton fuel</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row>
        <row r="178">
          <cell r="G178">
            <v>2023</v>
          </cell>
          <cell r="H178">
            <v>2024</v>
          </cell>
          <cell r="I178">
            <v>2025</v>
          </cell>
          <cell r="J178">
            <v>2026</v>
          </cell>
          <cell r="K178">
            <v>2027</v>
          </cell>
          <cell r="L178">
            <v>2028</v>
          </cell>
          <cell r="M178">
            <v>2029</v>
          </cell>
          <cell r="N178">
            <v>2030</v>
          </cell>
          <cell r="O178">
            <v>2031</v>
          </cell>
          <cell r="P178">
            <v>2032</v>
          </cell>
          <cell r="Q178">
            <v>2033</v>
          </cell>
          <cell r="R178">
            <v>2034</v>
          </cell>
          <cell r="S178">
            <v>2035</v>
          </cell>
          <cell r="T178">
            <v>2036</v>
          </cell>
          <cell r="U178">
            <v>2037</v>
          </cell>
          <cell r="V178">
            <v>2038</v>
          </cell>
          <cell r="W178">
            <v>2039</v>
          </cell>
          <cell r="X178">
            <v>2040</v>
          </cell>
          <cell r="Y178">
            <v>2041</v>
          </cell>
          <cell r="Z178">
            <v>2042</v>
          </cell>
          <cell r="AA178">
            <v>2043</v>
          </cell>
          <cell r="AB178">
            <v>2044</v>
          </cell>
          <cell r="AC178">
            <v>2045</v>
          </cell>
          <cell r="AD178">
            <v>2046</v>
          </cell>
          <cell r="AE178">
            <v>2047</v>
          </cell>
          <cell r="AF178">
            <v>2048</v>
          </cell>
          <cell r="AG178">
            <v>2049</v>
          </cell>
          <cell r="AH178">
            <v>2050</v>
          </cell>
        </row>
        <row r="179">
          <cell r="B179" t="str">
            <v>Carbon capture - OPEX - Capture - Global - USD/ton CO2</v>
          </cell>
          <cell r="G179">
            <v>25</v>
          </cell>
          <cell r="H179">
            <v>25</v>
          </cell>
          <cell r="I179">
            <v>25</v>
          </cell>
          <cell r="J179">
            <v>25</v>
          </cell>
          <cell r="K179">
            <v>25</v>
          </cell>
          <cell r="L179">
            <v>25</v>
          </cell>
          <cell r="M179">
            <v>25</v>
          </cell>
          <cell r="N179">
            <v>25</v>
          </cell>
          <cell r="O179">
            <v>25</v>
          </cell>
          <cell r="P179">
            <v>25</v>
          </cell>
          <cell r="Q179">
            <v>25</v>
          </cell>
          <cell r="R179">
            <v>25</v>
          </cell>
          <cell r="S179">
            <v>25</v>
          </cell>
          <cell r="T179">
            <v>25</v>
          </cell>
          <cell r="U179">
            <v>25</v>
          </cell>
          <cell r="V179">
            <v>25</v>
          </cell>
          <cell r="W179">
            <v>25</v>
          </cell>
          <cell r="X179">
            <v>25</v>
          </cell>
          <cell r="Y179">
            <v>25</v>
          </cell>
          <cell r="Z179">
            <v>25</v>
          </cell>
          <cell r="AA179">
            <v>25</v>
          </cell>
          <cell r="AB179">
            <v>25</v>
          </cell>
          <cell r="AC179">
            <v>25</v>
          </cell>
          <cell r="AD179">
            <v>25</v>
          </cell>
          <cell r="AE179">
            <v>25</v>
          </cell>
          <cell r="AF179">
            <v>25</v>
          </cell>
          <cell r="AG179">
            <v>25</v>
          </cell>
          <cell r="AH179">
            <v>25</v>
          </cell>
        </row>
        <row r="180">
          <cell r="B180" t="str">
            <v>Carbon capture - Carbon capture efficiency - Global - %</v>
          </cell>
          <cell r="G180">
            <v>0.89600000000000035</v>
          </cell>
          <cell r="H180">
            <v>0.89800000000000013</v>
          </cell>
          <cell r="I180">
            <v>0.90000000000000036</v>
          </cell>
          <cell r="J180">
            <v>0.90200000000000014</v>
          </cell>
          <cell r="K180">
            <v>0.9040000000000008</v>
          </cell>
          <cell r="L180">
            <v>0.90600000000000058</v>
          </cell>
          <cell r="M180">
            <v>0.90800000000000036</v>
          </cell>
          <cell r="N180">
            <v>0.91000000000000103</v>
          </cell>
          <cell r="O180">
            <v>0.91199999999999992</v>
          </cell>
          <cell r="P180">
            <v>0.9139999999999997</v>
          </cell>
          <cell r="Q180">
            <v>0.91599999999999948</v>
          </cell>
          <cell r="R180">
            <v>0.91799999999999926</v>
          </cell>
          <cell r="S180">
            <v>0.91999999999999993</v>
          </cell>
          <cell r="T180">
            <v>0.92199999999999971</v>
          </cell>
          <cell r="U180">
            <v>0.92400000000000038</v>
          </cell>
          <cell r="V180">
            <v>0.92600000000000016</v>
          </cell>
          <cell r="W180">
            <v>0.92799999999999994</v>
          </cell>
          <cell r="X180">
            <v>0.93000000000000016</v>
          </cell>
          <cell r="Y180">
            <v>0.93199999999999994</v>
          </cell>
          <cell r="Z180">
            <v>0.93399999999999972</v>
          </cell>
          <cell r="AA180">
            <v>0.93600000000000039</v>
          </cell>
          <cell r="AB180">
            <v>0.93800000000000017</v>
          </cell>
          <cell r="AC180">
            <v>0.94</v>
          </cell>
          <cell r="AD180">
            <v>0.94200000000000061</v>
          </cell>
          <cell r="AE180">
            <v>0.94400000000000039</v>
          </cell>
          <cell r="AF180">
            <v>0.94600000000000017</v>
          </cell>
          <cell r="AG180">
            <v>0.94799999999999995</v>
          </cell>
          <cell r="AH180">
            <v>0.94999999999999973</v>
          </cell>
        </row>
        <row r="181">
          <cell r="B181" t="str">
            <v>Carbon capture &amp; storage (CCS) - Conversion NG -&gt; CO2 -&gt; NH3 - Global - ton CO2/ton NH3</v>
          </cell>
          <cell r="G181">
            <v>1.8880000000000001</v>
          </cell>
          <cell r="H181">
            <v>1.8880000000000001</v>
          </cell>
          <cell r="I181">
            <v>1.8880000000000001</v>
          </cell>
          <cell r="J181">
            <v>1.8880000000000001</v>
          </cell>
          <cell r="K181">
            <v>1.8880000000000001</v>
          </cell>
          <cell r="L181">
            <v>1.8880000000000001</v>
          </cell>
          <cell r="M181">
            <v>1.8880000000000001</v>
          </cell>
          <cell r="N181">
            <v>1.8880000000000001</v>
          </cell>
          <cell r="O181">
            <v>1.8880000000000001</v>
          </cell>
          <cell r="P181">
            <v>1.8880000000000001</v>
          </cell>
          <cell r="Q181">
            <v>1.8880000000000001</v>
          </cell>
          <cell r="R181">
            <v>1.8880000000000001</v>
          </cell>
          <cell r="S181">
            <v>1.8880000000000001</v>
          </cell>
          <cell r="T181">
            <v>1.8880000000000001</v>
          </cell>
          <cell r="U181">
            <v>1.8880000000000001</v>
          </cell>
          <cell r="V181">
            <v>1.8880000000000001</v>
          </cell>
          <cell r="W181">
            <v>1.8880000000000001</v>
          </cell>
          <cell r="X181">
            <v>1.8880000000000001</v>
          </cell>
          <cell r="Y181">
            <v>1.8880000000000001</v>
          </cell>
          <cell r="Z181">
            <v>1.8880000000000001</v>
          </cell>
          <cell r="AA181">
            <v>1.8880000000000001</v>
          </cell>
          <cell r="AB181">
            <v>1.8880000000000001</v>
          </cell>
          <cell r="AC181">
            <v>1.8880000000000001</v>
          </cell>
          <cell r="AD181">
            <v>1.8880000000000001</v>
          </cell>
          <cell r="AE181">
            <v>1.8880000000000001</v>
          </cell>
          <cell r="AF181">
            <v>1.8880000000000001</v>
          </cell>
          <cell r="AG181">
            <v>1.8880000000000001</v>
          </cell>
          <cell r="AH181">
            <v>1.8880000000000001</v>
          </cell>
        </row>
        <row r="182">
          <cell r="B182" t="str">
            <v>Carbon capture - Process WTT emissions (carbon dioxide) - Global - ton CO2/ton fuel</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row>
        <row r="183">
          <cell r="B183" t="str">
            <v>Carbon capture - Process WTT emissions (methane) - Global - ton CH4/ton fuel</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row>
        <row r="184">
          <cell r="B184" t="str">
            <v>Carbon capture - Process WTT emissions (nitrous oxide) - Global - ton N2O/ton fuel</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row>
        <row r="186">
          <cell r="G186">
            <v>2023</v>
          </cell>
          <cell r="H186">
            <v>2024</v>
          </cell>
          <cell r="I186">
            <v>2025</v>
          </cell>
          <cell r="J186">
            <v>2026</v>
          </cell>
          <cell r="K186">
            <v>2027</v>
          </cell>
          <cell r="L186">
            <v>2028</v>
          </cell>
          <cell r="M186">
            <v>2029</v>
          </cell>
          <cell r="N186">
            <v>2030</v>
          </cell>
          <cell r="O186">
            <v>2031</v>
          </cell>
          <cell r="P186">
            <v>2032</v>
          </cell>
          <cell r="Q186">
            <v>2033</v>
          </cell>
          <cell r="R186">
            <v>2034</v>
          </cell>
          <cell r="S186">
            <v>2035</v>
          </cell>
          <cell r="T186">
            <v>2036</v>
          </cell>
          <cell r="U186">
            <v>2037</v>
          </cell>
          <cell r="V186">
            <v>2038</v>
          </cell>
          <cell r="W186">
            <v>2039</v>
          </cell>
          <cell r="X186">
            <v>2040</v>
          </cell>
          <cell r="Y186">
            <v>2041</v>
          </cell>
          <cell r="Z186">
            <v>2042</v>
          </cell>
          <cell r="AA186">
            <v>2043</v>
          </cell>
          <cell r="AB186">
            <v>2044</v>
          </cell>
          <cell r="AC186">
            <v>2045</v>
          </cell>
          <cell r="AD186">
            <v>2046</v>
          </cell>
          <cell r="AE186">
            <v>2047</v>
          </cell>
          <cell r="AF186">
            <v>2048</v>
          </cell>
          <cell r="AG186">
            <v>2049</v>
          </cell>
          <cell r="AH186">
            <v>2050</v>
          </cell>
        </row>
        <row r="187">
          <cell r="B187" t="str">
            <v>Carbon storage - OPEX - Storage - Global - USD/ton CO2</v>
          </cell>
          <cell r="G187">
            <v>50</v>
          </cell>
          <cell r="H187">
            <v>50</v>
          </cell>
          <cell r="I187">
            <v>50</v>
          </cell>
          <cell r="J187">
            <v>50</v>
          </cell>
          <cell r="K187">
            <v>50</v>
          </cell>
          <cell r="L187">
            <v>50</v>
          </cell>
          <cell r="M187">
            <v>50</v>
          </cell>
          <cell r="N187">
            <v>50</v>
          </cell>
          <cell r="O187">
            <v>50</v>
          </cell>
          <cell r="P187">
            <v>50</v>
          </cell>
          <cell r="Q187">
            <v>50</v>
          </cell>
          <cell r="R187">
            <v>50</v>
          </cell>
          <cell r="S187">
            <v>50</v>
          </cell>
          <cell r="T187">
            <v>50</v>
          </cell>
          <cell r="U187">
            <v>50</v>
          </cell>
          <cell r="V187">
            <v>50</v>
          </cell>
          <cell r="W187">
            <v>50</v>
          </cell>
          <cell r="X187">
            <v>50</v>
          </cell>
          <cell r="Y187">
            <v>50</v>
          </cell>
          <cell r="Z187">
            <v>50</v>
          </cell>
          <cell r="AA187">
            <v>50</v>
          </cell>
          <cell r="AB187">
            <v>50</v>
          </cell>
          <cell r="AC187">
            <v>50</v>
          </cell>
          <cell r="AD187">
            <v>50</v>
          </cell>
          <cell r="AE187">
            <v>50</v>
          </cell>
          <cell r="AF187">
            <v>50</v>
          </cell>
          <cell r="AG187">
            <v>50</v>
          </cell>
          <cell r="AH187">
            <v>50</v>
          </cell>
        </row>
        <row r="188">
          <cell r="B188" t="str">
            <v>Carbon capture &amp; storage (CCS) - Conversion NG -&gt; CO2 -&gt; NH3 - Global - ton CO2/ton NH3</v>
          </cell>
          <cell r="G188">
            <v>1.8880000000000001</v>
          </cell>
          <cell r="H188">
            <v>1.8880000000000001</v>
          </cell>
          <cell r="I188">
            <v>1.8880000000000001</v>
          </cell>
          <cell r="J188">
            <v>1.8880000000000001</v>
          </cell>
          <cell r="K188">
            <v>1.8880000000000001</v>
          </cell>
          <cell r="L188">
            <v>1.8880000000000001</v>
          </cell>
          <cell r="M188">
            <v>1.8880000000000001</v>
          </cell>
          <cell r="N188">
            <v>1.8880000000000001</v>
          </cell>
          <cell r="O188">
            <v>1.8880000000000001</v>
          </cell>
          <cell r="P188">
            <v>1.8880000000000001</v>
          </cell>
          <cell r="Q188">
            <v>1.8880000000000001</v>
          </cell>
          <cell r="R188">
            <v>1.8880000000000001</v>
          </cell>
          <cell r="S188">
            <v>1.8880000000000001</v>
          </cell>
          <cell r="T188">
            <v>1.8880000000000001</v>
          </cell>
          <cell r="U188">
            <v>1.8880000000000001</v>
          </cell>
          <cell r="V188">
            <v>1.8880000000000001</v>
          </cell>
          <cell r="W188">
            <v>1.8880000000000001</v>
          </cell>
          <cell r="X188">
            <v>1.8880000000000001</v>
          </cell>
          <cell r="Y188">
            <v>1.8880000000000001</v>
          </cell>
          <cell r="Z188">
            <v>1.8880000000000001</v>
          </cell>
          <cell r="AA188">
            <v>1.8880000000000001</v>
          </cell>
          <cell r="AB188">
            <v>1.8880000000000001</v>
          </cell>
          <cell r="AC188">
            <v>1.8880000000000001</v>
          </cell>
          <cell r="AD188">
            <v>1.8880000000000001</v>
          </cell>
          <cell r="AE188">
            <v>1.8880000000000001</v>
          </cell>
          <cell r="AF188">
            <v>1.8880000000000001</v>
          </cell>
          <cell r="AG188">
            <v>1.8880000000000001</v>
          </cell>
          <cell r="AH188">
            <v>1.8880000000000001</v>
          </cell>
        </row>
        <row r="189">
          <cell r="B189" t="str">
            <v>Carbon storage - Process WTT emissions (carbon dioxide) - Global - ton CO2/ton fuel</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row>
        <row r="190">
          <cell r="B190" t="str">
            <v>Carbon storage - Process WTT emissions (methane) - Global - ton CH4/ton fuel</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row>
        <row r="191">
          <cell r="B191" t="str">
            <v>Carbon storage - Process WTT emissions (nitrous oxide) - Global - ton N2O/ton fuel</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row>
        <row r="193">
          <cell r="G193">
            <v>2023</v>
          </cell>
          <cell r="H193">
            <v>2024</v>
          </cell>
          <cell r="I193">
            <v>2025</v>
          </cell>
          <cell r="J193">
            <v>2026</v>
          </cell>
          <cell r="K193">
            <v>2027</v>
          </cell>
          <cell r="L193">
            <v>2028</v>
          </cell>
          <cell r="M193">
            <v>2029</v>
          </cell>
          <cell r="N193">
            <v>2030</v>
          </cell>
          <cell r="O193">
            <v>2031</v>
          </cell>
          <cell r="P193">
            <v>2032</v>
          </cell>
          <cell r="Q193">
            <v>2033</v>
          </cell>
          <cell r="R193">
            <v>2034</v>
          </cell>
          <cell r="S193">
            <v>2035</v>
          </cell>
          <cell r="T193">
            <v>2036</v>
          </cell>
          <cell r="U193">
            <v>2037</v>
          </cell>
          <cell r="V193">
            <v>2038</v>
          </cell>
          <cell r="W193">
            <v>2039</v>
          </cell>
          <cell r="X193">
            <v>2040</v>
          </cell>
          <cell r="Y193">
            <v>2041</v>
          </cell>
          <cell r="Z193">
            <v>2042</v>
          </cell>
          <cell r="AA193">
            <v>2043</v>
          </cell>
          <cell r="AB193">
            <v>2044</v>
          </cell>
          <cell r="AC193">
            <v>2045</v>
          </cell>
          <cell r="AD193">
            <v>2046</v>
          </cell>
          <cell r="AE193">
            <v>2047</v>
          </cell>
          <cell r="AF193">
            <v>2048</v>
          </cell>
          <cell r="AG193">
            <v>2049</v>
          </cell>
          <cell r="AH193">
            <v>2050</v>
          </cell>
        </row>
        <row r="194">
          <cell r="B194" t="str">
            <v>Bio-methanol - Plant lifetime - Global - Years</v>
          </cell>
          <cell r="G194">
            <v>30</v>
          </cell>
          <cell r="H194">
            <v>30</v>
          </cell>
          <cell r="I194">
            <v>30</v>
          </cell>
          <cell r="J194">
            <v>30</v>
          </cell>
          <cell r="K194">
            <v>30</v>
          </cell>
          <cell r="L194">
            <v>30</v>
          </cell>
          <cell r="M194">
            <v>30</v>
          </cell>
          <cell r="N194">
            <v>30</v>
          </cell>
          <cell r="O194">
            <v>30</v>
          </cell>
          <cell r="P194">
            <v>30</v>
          </cell>
          <cell r="Q194">
            <v>30</v>
          </cell>
          <cell r="R194">
            <v>30</v>
          </cell>
          <cell r="S194">
            <v>30</v>
          </cell>
          <cell r="T194">
            <v>30</v>
          </cell>
          <cell r="U194">
            <v>30</v>
          </cell>
          <cell r="V194">
            <v>30</v>
          </cell>
          <cell r="W194">
            <v>30</v>
          </cell>
          <cell r="X194">
            <v>30</v>
          </cell>
          <cell r="Y194">
            <v>30</v>
          </cell>
          <cell r="Z194">
            <v>30</v>
          </cell>
          <cell r="AA194">
            <v>30</v>
          </cell>
          <cell r="AB194">
            <v>30</v>
          </cell>
          <cell r="AC194">
            <v>30</v>
          </cell>
          <cell r="AD194">
            <v>30</v>
          </cell>
          <cell r="AE194">
            <v>30</v>
          </cell>
          <cell r="AF194">
            <v>30</v>
          </cell>
          <cell r="AG194">
            <v>30</v>
          </cell>
          <cell r="AH194">
            <v>30</v>
          </cell>
        </row>
        <row r="195">
          <cell r="B195" t="str">
            <v>Bio-methanol - Total CAPEX - Global - USD/ton fuel</v>
          </cell>
          <cell r="G195">
            <v>4200</v>
          </cell>
          <cell r="H195">
            <v>3800</v>
          </cell>
          <cell r="I195">
            <v>3400</v>
          </cell>
          <cell r="J195">
            <v>3250</v>
          </cell>
          <cell r="K195">
            <v>3100</v>
          </cell>
          <cell r="L195">
            <v>2950</v>
          </cell>
          <cell r="M195">
            <v>2800</v>
          </cell>
          <cell r="N195">
            <v>2650</v>
          </cell>
          <cell r="O195">
            <v>2585</v>
          </cell>
          <cell r="P195">
            <v>2520</v>
          </cell>
          <cell r="Q195">
            <v>2455</v>
          </cell>
          <cell r="R195">
            <v>2390</v>
          </cell>
          <cell r="S195">
            <v>2325</v>
          </cell>
          <cell r="T195">
            <v>2260</v>
          </cell>
          <cell r="U195">
            <v>2195</v>
          </cell>
          <cell r="V195">
            <v>2130</v>
          </cell>
          <cell r="W195">
            <v>2065</v>
          </cell>
          <cell r="X195">
            <v>2000</v>
          </cell>
          <cell r="Y195">
            <v>1960</v>
          </cell>
          <cell r="Z195">
            <v>1920</v>
          </cell>
          <cell r="AA195">
            <v>1880</v>
          </cell>
          <cell r="AB195">
            <v>1840</v>
          </cell>
          <cell r="AC195">
            <v>1800</v>
          </cell>
          <cell r="AD195">
            <v>1760</v>
          </cell>
          <cell r="AE195">
            <v>1720</v>
          </cell>
          <cell r="AF195">
            <v>1680</v>
          </cell>
          <cell r="AG195">
            <v>1640</v>
          </cell>
          <cell r="AH195">
            <v>1600</v>
          </cell>
        </row>
        <row r="196">
          <cell r="B196" t="str">
            <v>Bio-methanol - OPEX - Global - USD/ton fuel/year</v>
          </cell>
          <cell r="G196">
            <v>252</v>
          </cell>
          <cell r="H196">
            <v>228</v>
          </cell>
          <cell r="I196">
            <v>204</v>
          </cell>
          <cell r="J196">
            <v>195</v>
          </cell>
          <cell r="K196">
            <v>186</v>
          </cell>
          <cell r="L196">
            <v>177</v>
          </cell>
          <cell r="M196">
            <v>168</v>
          </cell>
          <cell r="N196">
            <v>159</v>
          </cell>
          <cell r="O196">
            <v>155.10000000000036</v>
          </cell>
          <cell r="P196">
            <v>151.19999999999982</v>
          </cell>
          <cell r="Q196">
            <v>147.30000000000018</v>
          </cell>
          <cell r="R196">
            <v>143.40000000000055</v>
          </cell>
          <cell r="S196">
            <v>139.5</v>
          </cell>
          <cell r="T196">
            <v>135.60000000000036</v>
          </cell>
          <cell r="U196">
            <v>131.69999999999982</v>
          </cell>
          <cell r="V196">
            <v>127.80000000000018</v>
          </cell>
          <cell r="W196">
            <v>123.90000000000055</v>
          </cell>
          <cell r="X196">
            <v>120</v>
          </cell>
          <cell r="Y196">
            <v>117.60000000000036</v>
          </cell>
          <cell r="Z196">
            <v>115.19999999999982</v>
          </cell>
          <cell r="AA196">
            <v>112.80000000000018</v>
          </cell>
          <cell r="AB196">
            <v>110.40000000000055</v>
          </cell>
          <cell r="AC196">
            <v>108</v>
          </cell>
          <cell r="AD196">
            <v>105.60000000000036</v>
          </cell>
          <cell r="AE196">
            <v>103.19999999999982</v>
          </cell>
          <cell r="AF196">
            <v>100.80000000000018</v>
          </cell>
          <cell r="AG196">
            <v>98.400000000000546</v>
          </cell>
          <cell r="AH196">
            <v>96</v>
          </cell>
        </row>
        <row r="197">
          <cell r="B197" t="str">
            <v>Bio-methanol - Energy demand - Global - MWh/ton fuel</v>
          </cell>
          <cell r="G197">
            <v>0.52617825903163917</v>
          </cell>
          <cell r="H197">
            <v>0.52617825903163917</v>
          </cell>
          <cell r="I197">
            <v>0.52617825903163906</v>
          </cell>
          <cell r="J197">
            <v>0.52585146164601815</v>
          </cell>
          <cell r="K197">
            <v>0.52552466426039723</v>
          </cell>
          <cell r="L197">
            <v>0.52519786687477632</v>
          </cell>
          <cell r="M197">
            <v>0.52487106948915541</v>
          </cell>
          <cell r="N197">
            <v>0.52454427210353449</v>
          </cell>
          <cell r="O197">
            <v>0.52421747471791358</v>
          </cell>
          <cell r="P197">
            <v>0.52389067733229266</v>
          </cell>
          <cell r="Q197">
            <v>0.52356387994667175</v>
          </cell>
          <cell r="R197">
            <v>0.52323708256105084</v>
          </cell>
          <cell r="S197">
            <v>0.52291028517543003</v>
          </cell>
          <cell r="T197">
            <v>0.52258348778980901</v>
          </cell>
          <cell r="U197">
            <v>0.5222566904041881</v>
          </cell>
          <cell r="V197">
            <v>0.52192989301856718</v>
          </cell>
          <cell r="W197">
            <v>0.52160309563294627</v>
          </cell>
          <cell r="X197">
            <v>0.52127629824732535</v>
          </cell>
          <cell r="Y197">
            <v>0.52094950086170444</v>
          </cell>
          <cell r="Z197">
            <v>0.52062270347608353</v>
          </cell>
          <cell r="AA197">
            <v>0.52029590609046261</v>
          </cell>
          <cell r="AB197">
            <v>0.5199691087048417</v>
          </cell>
          <cell r="AC197">
            <v>0.51964231131922078</v>
          </cell>
          <cell r="AD197">
            <v>0.51931551393359987</v>
          </cell>
          <cell r="AE197">
            <v>0.51898871654797896</v>
          </cell>
          <cell r="AF197">
            <v>0.51866191916235804</v>
          </cell>
          <cell r="AG197">
            <v>0.51833512177673713</v>
          </cell>
          <cell r="AH197">
            <v>0.51800832439111621</v>
          </cell>
        </row>
        <row r="198">
          <cell r="B198" t="str">
            <v>Bio-methanol - Conversion wood -&gt; Bio-MeOH - Global - ton wood/ton MeOH</v>
          </cell>
          <cell r="G198">
            <v>1.21</v>
          </cell>
          <cell r="H198">
            <v>1.21</v>
          </cell>
          <cell r="I198">
            <v>1.21</v>
          </cell>
          <cell r="J198">
            <v>1.21</v>
          </cell>
          <cell r="K198">
            <v>1.21</v>
          </cell>
          <cell r="L198">
            <v>1.21</v>
          </cell>
          <cell r="M198">
            <v>1.21</v>
          </cell>
          <cell r="N198">
            <v>1.21</v>
          </cell>
          <cell r="O198">
            <v>1.21</v>
          </cell>
          <cell r="P198">
            <v>1.21</v>
          </cell>
          <cell r="Q198">
            <v>1.21</v>
          </cell>
          <cell r="R198">
            <v>1.21</v>
          </cell>
          <cell r="S198">
            <v>1.21</v>
          </cell>
          <cell r="T198">
            <v>1.21</v>
          </cell>
          <cell r="U198">
            <v>1.21</v>
          </cell>
          <cell r="V198">
            <v>1.21</v>
          </cell>
          <cell r="W198">
            <v>1.21</v>
          </cell>
          <cell r="X198">
            <v>1.21</v>
          </cell>
          <cell r="Y198">
            <v>1.21</v>
          </cell>
          <cell r="Z198">
            <v>1.21</v>
          </cell>
          <cell r="AA198">
            <v>1.21</v>
          </cell>
          <cell r="AB198">
            <v>1.21</v>
          </cell>
          <cell r="AC198">
            <v>1.21</v>
          </cell>
          <cell r="AD198">
            <v>1.21</v>
          </cell>
          <cell r="AE198">
            <v>1.21</v>
          </cell>
          <cell r="AF198">
            <v>1.21</v>
          </cell>
          <cell r="AG198">
            <v>1.21</v>
          </cell>
          <cell r="AH198">
            <v>1.21</v>
          </cell>
        </row>
        <row r="199">
          <cell r="B199" t="str">
            <v>Bio-methanol - Conversion waste -&gt; Bio-MeOH - Global - ton waste/ton MeOH</v>
          </cell>
          <cell r="G199">
            <v>1.21</v>
          </cell>
          <cell r="H199">
            <v>1.21</v>
          </cell>
          <cell r="I199">
            <v>1.21</v>
          </cell>
          <cell r="J199">
            <v>1.21</v>
          </cell>
          <cell r="K199">
            <v>1.21</v>
          </cell>
          <cell r="L199">
            <v>1.21</v>
          </cell>
          <cell r="M199">
            <v>1.21</v>
          </cell>
          <cell r="N199">
            <v>1.21</v>
          </cell>
          <cell r="O199">
            <v>1.21</v>
          </cell>
          <cell r="P199">
            <v>1.21</v>
          </cell>
          <cell r="Q199">
            <v>1.21</v>
          </cell>
          <cell r="R199">
            <v>1.21</v>
          </cell>
          <cell r="S199">
            <v>1.21</v>
          </cell>
          <cell r="T199">
            <v>1.21</v>
          </cell>
          <cell r="U199">
            <v>1.21</v>
          </cell>
          <cell r="V199">
            <v>1.21</v>
          </cell>
          <cell r="W199">
            <v>1.21</v>
          </cell>
          <cell r="X199">
            <v>1.21</v>
          </cell>
          <cell r="Y199">
            <v>1.21</v>
          </cell>
          <cell r="Z199">
            <v>1.21</v>
          </cell>
          <cell r="AA199">
            <v>1.21</v>
          </cell>
          <cell r="AB199">
            <v>1.21</v>
          </cell>
          <cell r="AC199">
            <v>1.21</v>
          </cell>
          <cell r="AD199">
            <v>1.21</v>
          </cell>
          <cell r="AE199">
            <v>1.21</v>
          </cell>
          <cell r="AF199">
            <v>1.21</v>
          </cell>
          <cell r="AG199">
            <v>1.21</v>
          </cell>
          <cell r="AH199">
            <v>1.21</v>
          </cell>
        </row>
        <row r="200">
          <cell r="B200" t="str">
            <v>Bio-methanol - Process WTT emissions (carbon dioxide) - Global - ton CO2/ton fuel</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row>
        <row r="201">
          <cell r="B201" t="str">
            <v>Bio-methanol - Process WTT emissions (methane) - Global - ton CH4/ton fuel</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row>
        <row r="202">
          <cell r="B202" t="str">
            <v>Bio-methanol - Process WTT emissions (nitrous oxide) - Global - ton N2O/ton fuel</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row>
        <row r="203">
          <cell r="B203" t="str">
            <v>Bio-methanol - TTW emissions (carbon dioxide) - Global - ton CO2/ton fuel</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row>
        <row r="204">
          <cell r="B204" t="str">
            <v>Bio-methanol - TTW emissions (methane) - Global - ton CH4/ton fuel</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row>
        <row r="205">
          <cell r="B205" t="str">
            <v>Bio-methanol - TTW emissions (nitrous oxide) - Global - ton N2O/ton fuel</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row>
        <row r="207">
          <cell r="G207">
            <v>2023</v>
          </cell>
          <cell r="H207">
            <v>2024</v>
          </cell>
          <cell r="I207">
            <v>2025</v>
          </cell>
          <cell r="J207">
            <v>2026</v>
          </cell>
          <cell r="K207">
            <v>2027</v>
          </cell>
          <cell r="L207">
            <v>2028</v>
          </cell>
          <cell r="M207">
            <v>2029</v>
          </cell>
          <cell r="N207">
            <v>2030</v>
          </cell>
          <cell r="O207">
            <v>2031</v>
          </cell>
          <cell r="P207">
            <v>2032</v>
          </cell>
          <cell r="Q207">
            <v>2033</v>
          </cell>
          <cell r="R207">
            <v>2034</v>
          </cell>
          <cell r="S207">
            <v>2035</v>
          </cell>
          <cell r="T207">
            <v>2036</v>
          </cell>
          <cell r="U207">
            <v>2037</v>
          </cell>
          <cell r="V207">
            <v>2038</v>
          </cell>
          <cell r="W207">
            <v>2039</v>
          </cell>
          <cell r="X207">
            <v>2040</v>
          </cell>
          <cell r="Y207">
            <v>2041</v>
          </cell>
          <cell r="Z207">
            <v>2042</v>
          </cell>
          <cell r="AA207">
            <v>2043</v>
          </cell>
          <cell r="AB207">
            <v>2044</v>
          </cell>
          <cell r="AC207">
            <v>2045</v>
          </cell>
          <cell r="AD207">
            <v>2046</v>
          </cell>
          <cell r="AE207">
            <v>2047</v>
          </cell>
          <cell r="AF207">
            <v>2048</v>
          </cell>
          <cell r="AG207">
            <v>2049</v>
          </cell>
          <cell r="AH207">
            <v>2050</v>
          </cell>
        </row>
        <row r="208">
          <cell r="B208" t="str">
            <v>Bio-methane (liquefied) - Plant lifetime - Global - Years</v>
          </cell>
          <cell r="G208">
            <v>30</v>
          </cell>
          <cell r="H208">
            <v>30</v>
          </cell>
          <cell r="I208">
            <v>30</v>
          </cell>
          <cell r="J208">
            <v>30</v>
          </cell>
          <cell r="K208">
            <v>30</v>
          </cell>
          <cell r="L208">
            <v>30</v>
          </cell>
          <cell r="M208">
            <v>30</v>
          </cell>
          <cell r="N208">
            <v>30</v>
          </cell>
          <cell r="O208">
            <v>30</v>
          </cell>
          <cell r="P208">
            <v>30</v>
          </cell>
          <cell r="Q208">
            <v>30</v>
          </cell>
          <cell r="R208">
            <v>30</v>
          </cell>
          <cell r="S208">
            <v>30</v>
          </cell>
          <cell r="T208">
            <v>30</v>
          </cell>
          <cell r="U208">
            <v>30</v>
          </cell>
          <cell r="V208">
            <v>30</v>
          </cell>
          <cell r="W208">
            <v>30</v>
          </cell>
          <cell r="X208">
            <v>30</v>
          </cell>
          <cell r="Y208">
            <v>30</v>
          </cell>
          <cell r="Z208">
            <v>30</v>
          </cell>
          <cell r="AA208">
            <v>30</v>
          </cell>
          <cell r="AB208">
            <v>30</v>
          </cell>
          <cell r="AC208">
            <v>30</v>
          </cell>
          <cell r="AD208">
            <v>30</v>
          </cell>
          <cell r="AE208">
            <v>30</v>
          </cell>
          <cell r="AF208">
            <v>30</v>
          </cell>
          <cell r="AG208">
            <v>30</v>
          </cell>
          <cell r="AH208">
            <v>30</v>
          </cell>
        </row>
        <row r="209">
          <cell r="B209" t="str">
            <v>Bio-methane (liquefied) - Total CAPEX - Global - USD/ton fuel</v>
          </cell>
          <cell r="G209">
            <v>6229.7374606285011</v>
          </cell>
          <cell r="H209">
            <v>6144.34909587109</v>
          </cell>
          <cell r="I209">
            <v>6058.9607311136497</v>
          </cell>
          <cell r="J209">
            <v>5973.5723663562094</v>
          </cell>
          <cell r="K209">
            <v>5888.1840015987691</v>
          </cell>
          <cell r="L209">
            <v>5802.7956368413288</v>
          </cell>
          <cell r="M209">
            <v>5717.4072720838885</v>
          </cell>
          <cell r="N209">
            <v>5632.0189073264482</v>
          </cell>
          <cell r="O209">
            <v>5546.630542569008</v>
          </cell>
          <cell r="P209">
            <v>5461.2421778115677</v>
          </cell>
          <cell r="Q209">
            <v>5375.8538130541274</v>
          </cell>
          <cell r="R209">
            <v>5290.4654482967162</v>
          </cell>
          <cell r="S209">
            <v>5205.0770835392759</v>
          </cell>
          <cell r="T209">
            <v>5119.6887187818356</v>
          </cell>
          <cell r="U209">
            <v>5034.3003540243953</v>
          </cell>
          <cell r="V209">
            <v>4948.9119892669551</v>
          </cell>
          <cell r="W209">
            <v>4863.5236245095148</v>
          </cell>
          <cell r="X209">
            <v>4778.1352597520745</v>
          </cell>
          <cell r="Y209">
            <v>4692.7468949946342</v>
          </cell>
          <cell r="Z209">
            <v>4607.3585302371939</v>
          </cell>
          <cell r="AA209">
            <v>4521.9701654797536</v>
          </cell>
          <cell r="AB209">
            <v>4436.5818007223425</v>
          </cell>
          <cell r="AC209">
            <v>4351.1934359649022</v>
          </cell>
          <cell r="AD209">
            <v>4265.8050712074619</v>
          </cell>
          <cell r="AE209">
            <v>4180.4167064500216</v>
          </cell>
          <cell r="AF209">
            <v>4095.0283416925813</v>
          </cell>
          <cell r="AG209">
            <v>4009.639976935141</v>
          </cell>
          <cell r="AH209">
            <v>3924.2516121777007</v>
          </cell>
        </row>
        <row r="210">
          <cell r="B210" t="str">
            <v>Bio-methane (liquefied) - OPEX - Global - USD/ton fuel/year</v>
          </cell>
          <cell r="G210">
            <v>330.60377619559495</v>
          </cell>
          <cell r="H210">
            <v>327.11905046348147</v>
          </cell>
          <cell r="I210">
            <v>323.63432473136709</v>
          </cell>
          <cell r="J210">
            <v>320.14959899925361</v>
          </cell>
          <cell r="K210">
            <v>316.66487326714105</v>
          </cell>
          <cell r="L210">
            <v>313.18014753502757</v>
          </cell>
          <cell r="M210">
            <v>309.6954218029141</v>
          </cell>
          <cell r="N210">
            <v>306.21069607080062</v>
          </cell>
          <cell r="O210">
            <v>302.72597033868715</v>
          </cell>
          <cell r="P210">
            <v>299.24124460657367</v>
          </cell>
          <cell r="Q210">
            <v>295.7565188744602</v>
          </cell>
          <cell r="R210">
            <v>292.27179314234763</v>
          </cell>
          <cell r="S210">
            <v>288.78706741023416</v>
          </cell>
          <cell r="T210">
            <v>285.30234167812068</v>
          </cell>
          <cell r="U210">
            <v>281.81761594600721</v>
          </cell>
          <cell r="V210">
            <v>278.33289021389373</v>
          </cell>
          <cell r="W210">
            <v>274.84816448178026</v>
          </cell>
          <cell r="X210">
            <v>271.36343874966769</v>
          </cell>
          <cell r="Y210">
            <v>267.87871301755422</v>
          </cell>
          <cell r="Z210">
            <v>264.39398728544074</v>
          </cell>
          <cell r="AA210">
            <v>260.90926155332727</v>
          </cell>
          <cell r="AB210">
            <v>257.42453582121379</v>
          </cell>
          <cell r="AC210">
            <v>253.93981008910123</v>
          </cell>
          <cell r="AD210">
            <v>250.45508435698866</v>
          </cell>
          <cell r="AE210">
            <v>246.97035862487519</v>
          </cell>
          <cell r="AF210">
            <v>243.48563289276171</v>
          </cell>
          <cell r="AG210">
            <v>240.00090716064824</v>
          </cell>
          <cell r="AH210">
            <v>236.51618142853476</v>
          </cell>
        </row>
        <row r="211">
          <cell r="B211" t="str">
            <v>Bio-methane (liquefied) - Energy demand - Global - MWh/ton fuel</v>
          </cell>
          <cell r="G211">
            <v>1.198524174088083</v>
          </cell>
          <cell r="H211">
            <v>1.2005728460629972</v>
          </cell>
          <cell r="I211">
            <v>1.2026215180379123</v>
          </cell>
          <cell r="J211">
            <v>1.2046701900128265</v>
          </cell>
          <cell r="K211">
            <v>1.2067188619877416</v>
          </cell>
          <cell r="L211">
            <v>1.2087675339626558</v>
          </cell>
          <cell r="M211">
            <v>1.21081620593757</v>
          </cell>
          <cell r="N211">
            <v>1.2128648779124851</v>
          </cell>
          <cell r="O211">
            <v>1.2149135498873997</v>
          </cell>
          <cell r="P211">
            <v>1.2169622218623148</v>
          </cell>
          <cell r="Q211">
            <v>1.219010893837229</v>
          </cell>
          <cell r="R211">
            <v>1.2210595658121433</v>
          </cell>
          <cell r="S211">
            <v>1.2231082377870575</v>
          </cell>
          <cell r="T211">
            <v>1.2251569097619726</v>
          </cell>
          <cell r="U211">
            <v>1.2272055817368868</v>
          </cell>
          <cell r="V211">
            <v>1.229254253711801</v>
          </cell>
          <cell r="W211">
            <v>1.2313029256867161</v>
          </cell>
          <cell r="X211">
            <v>1.2333515976616312</v>
          </cell>
          <cell r="Y211">
            <v>1.2354002696365454</v>
          </cell>
          <cell r="Z211">
            <v>1.2374489416114605</v>
          </cell>
          <cell r="AA211">
            <v>1.2394976135863747</v>
          </cell>
          <cell r="AB211">
            <v>1.2415462855612889</v>
          </cell>
          <cell r="AC211">
            <v>1.243594957536204</v>
          </cell>
          <cell r="AD211">
            <v>1.2456436295111182</v>
          </cell>
          <cell r="AE211">
            <v>1.2476923014860333</v>
          </cell>
          <cell r="AF211">
            <v>1.2497409734609475</v>
          </cell>
          <cell r="AG211">
            <v>1.2517896454358617</v>
          </cell>
          <cell r="AH211">
            <v>1.2538383174107768</v>
          </cell>
        </row>
        <row r="212">
          <cell r="B212" t="str">
            <v>Bio-methane (liquefied) - Conversion NG -&gt; Bio-CH4 - Global - ton NG/ton CH4</v>
          </cell>
          <cell r="G212">
            <v>2.6999999999999691E-2</v>
          </cell>
          <cell r="H212">
            <v>2.5999999999999801E-2</v>
          </cell>
          <cell r="I212">
            <v>2.4999999999999911E-2</v>
          </cell>
          <cell r="J212">
            <v>2.3999999999999577E-2</v>
          </cell>
          <cell r="K212">
            <v>2.2999999999999687E-2</v>
          </cell>
          <cell r="L212">
            <v>2.1999999999999797E-2</v>
          </cell>
          <cell r="M212">
            <v>2.0999999999999908E-2</v>
          </cell>
          <cell r="N212">
            <v>1.9999999999999574E-2</v>
          </cell>
          <cell r="O212">
            <v>1.9000000000000128E-2</v>
          </cell>
          <cell r="P212">
            <v>1.8000000000000238E-2</v>
          </cell>
          <cell r="Q212">
            <v>1.7000000000000348E-2</v>
          </cell>
          <cell r="R212">
            <v>1.6000000000000014E-2</v>
          </cell>
          <cell r="S212">
            <v>1.5000000000000124E-2</v>
          </cell>
          <cell r="T212">
            <v>1.4000000000000234E-2</v>
          </cell>
          <cell r="U212">
            <v>1.3000000000000345E-2</v>
          </cell>
          <cell r="V212">
            <v>1.2000000000000011E-2</v>
          </cell>
          <cell r="W212">
            <v>1.1000000000000121E-2</v>
          </cell>
          <cell r="X212">
            <v>9.9999999999997868E-3</v>
          </cell>
          <cell r="Y212">
            <v>8.999999999999897E-3</v>
          </cell>
          <cell r="Z212">
            <v>7.999999999999563E-3</v>
          </cell>
          <cell r="AA212">
            <v>6.9999999999996732E-3</v>
          </cell>
          <cell r="AB212">
            <v>5.9999999999997833E-3</v>
          </cell>
          <cell r="AC212">
            <v>4.9999999999998934E-3</v>
          </cell>
          <cell r="AD212">
            <v>3.9999999999995595E-3</v>
          </cell>
          <cell r="AE212">
            <v>2.9999999999996696E-3</v>
          </cell>
          <cell r="AF212">
            <v>1.9999999999997797E-3</v>
          </cell>
          <cell r="AG212">
            <v>9.9999999999988987E-4</v>
          </cell>
          <cell r="AH212">
            <v>0</v>
          </cell>
        </row>
        <row r="213">
          <cell r="B213" t="str">
            <v>Bio-methane (liquefied) - Conversion waste -&gt; Bio-CH4 - Global - ton waste/ton CH4</v>
          </cell>
          <cell r="G213">
            <v>4.3820576406494709</v>
          </cell>
          <cell r="H213">
            <v>4.3564776379257708</v>
          </cell>
          <cell r="I213">
            <v>4.3308976352020707</v>
          </cell>
          <cell r="J213">
            <v>4.3053176324783777</v>
          </cell>
          <cell r="K213">
            <v>4.2797376297546776</v>
          </cell>
          <cell r="L213">
            <v>4.2541576270309776</v>
          </cell>
          <cell r="M213">
            <v>4.2285776243072775</v>
          </cell>
          <cell r="N213">
            <v>4.2029976215835774</v>
          </cell>
          <cell r="O213">
            <v>4.1774176188598844</v>
          </cell>
          <cell r="P213">
            <v>4.1518376161361843</v>
          </cell>
          <cell r="Q213">
            <v>4.1262576134124842</v>
          </cell>
          <cell r="R213">
            <v>4.1006776106887841</v>
          </cell>
          <cell r="S213">
            <v>4.075097607965084</v>
          </cell>
          <cell r="T213">
            <v>4.0495176052413839</v>
          </cell>
          <cell r="U213">
            <v>4.0239376025176909</v>
          </cell>
          <cell r="V213">
            <v>3.9983575997939909</v>
          </cell>
          <cell r="W213">
            <v>3.9727775970702908</v>
          </cell>
          <cell r="X213">
            <v>3.9471975943465907</v>
          </cell>
          <cell r="Y213">
            <v>3.9216175916228977</v>
          </cell>
          <cell r="Z213">
            <v>3.8960375888991976</v>
          </cell>
          <cell r="AA213">
            <v>3.8704575861754975</v>
          </cell>
          <cell r="AB213">
            <v>3.8448775834517974</v>
          </cell>
          <cell r="AC213">
            <v>3.8192975807280973</v>
          </cell>
          <cell r="AD213">
            <v>3.7937175780044043</v>
          </cell>
          <cell r="AE213">
            <v>3.7681375752807043</v>
          </cell>
          <cell r="AF213">
            <v>3.7425575725570042</v>
          </cell>
          <cell r="AG213">
            <v>3.7169775698333041</v>
          </cell>
          <cell r="AH213">
            <v>3.691397567109604</v>
          </cell>
        </row>
        <row r="214">
          <cell r="B214" t="str">
            <v>Bio-methane (liquefied) - Process WTT emissions (carbon dioxide) - Global - ton CO2/ton fuel</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row>
        <row r="215">
          <cell r="B215" t="str">
            <v>Bio-methane (liquefied) - Process WTT emissions (methane) - Global - ton CH4/ton fuel</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row>
        <row r="216">
          <cell r="B216" t="str">
            <v>Bio-methane (liquefied) - Process WTT emissions (nitrous oxide) - Global - ton N2O/ton fuel</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row>
        <row r="217">
          <cell r="B217" t="str">
            <v>Bio-methane (liquefied) - TTW emissions (carbon dioxide) - Global - ton CO2/ton fuel</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row>
        <row r="218">
          <cell r="B218" t="str">
            <v>Bio-methane (liquefied) - TTW emissions (methane) - Global - ton CH4/ton fuel</v>
          </cell>
          <cell r="G218">
            <v>2.4E-2</v>
          </cell>
          <cell r="H218">
            <v>2.1999999999999999E-2</v>
          </cell>
          <cell r="I218">
            <v>0.02</v>
          </cell>
          <cell r="J218">
            <v>1.7999999999999999E-2</v>
          </cell>
          <cell r="K218">
            <v>1.6E-2</v>
          </cell>
          <cell r="L218">
            <v>1.4E-2</v>
          </cell>
          <cell r="M218">
            <v>1.2E-2</v>
          </cell>
          <cell r="N218">
            <v>0.01</v>
          </cell>
          <cell r="O218">
            <v>0.01</v>
          </cell>
          <cell r="P218">
            <v>0.01</v>
          </cell>
          <cell r="Q218">
            <v>0.01</v>
          </cell>
          <cell r="R218">
            <v>0.01</v>
          </cell>
          <cell r="S218">
            <v>0.01</v>
          </cell>
          <cell r="T218">
            <v>0.01</v>
          </cell>
          <cell r="U218">
            <v>0.01</v>
          </cell>
          <cell r="V218">
            <v>0.01</v>
          </cell>
          <cell r="W218">
            <v>0.01</v>
          </cell>
          <cell r="X218">
            <v>0.01</v>
          </cell>
          <cell r="Y218">
            <v>0.01</v>
          </cell>
          <cell r="Z218">
            <v>0.01</v>
          </cell>
          <cell r="AA218">
            <v>0.01</v>
          </cell>
          <cell r="AB218">
            <v>0.01</v>
          </cell>
          <cell r="AC218">
            <v>0.01</v>
          </cell>
          <cell r="AD218">
            <v>0.01</v>
          </cell>
          <cell r="AE218">
            <v>0.01</v>
          </cell>
          <cell r="AF218">
            <v>0.01</v>
          </cell>
          <cell r="AG218">
            <v>0.01</v>
          </cell>
          <cell r="AH218">
            <v>0.01</v>
          </cell>
        </row>
        <row r="219">
          <cell r="B219" t="str">
            <v>Bio-methane (liquefied) - TTW emissions (nitrous oxide) - Global - ton N2O/ton fuel</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row>
        <row r="221">
          <cell r="G221">
            <v>2023</v>
          </cell>
          <cell r="H221">
            <v>2024</v>
          </cell>
          <cell r="I221">
            <v>2025</v>
          </cell>
          <cell r="J221">
            <v>2026</v>
          </cell>
          <cell r="K221">
            <v>2027</v>
          </cell>
          <cell r="L221">
            <v>2028</v>
          </cell>
          <cell r="M221">
            <v>2029</v>
          </cell>
          <cell r="N221">
            <v>2030</v>
          </cell>
          <cell r="O221">
            <v>2031</v>
          </cell>
          <cell r="P221">
            <v>2032</v>
          </cell>
          <cell r="Q221">
            <v>2033</v>
          </cell>
          <cell r="R221">
            <v>2034</v>
          </cell>
          <cell r="S221">
            <v>2035</v>
          </cell>
          <cell r="T221">
            <v>2036</v>
          </cell>
          <cell r="U221">
            <v>2037</v>
          </cell>
          <cell r="V221">
            <v>2038</v>
          </cell>
          <cell r="W221">
            <v>2039</v>
          </cell>
          <cell r="X221">
            <v>2040</v>
          </cell>
          <cell r="Y221">
            <v>2041</v>
          </cell>
          <cell r="Z221">
            <v>2042</v>
          </cell>
          <cell r="AA221">
            <v>2043</v>
          </cell>
          <cell r="AB221">
            <v>2044</v>
          </cell>
          <cell r="AC221">
            <v>2045</v>
          </cell>
          <cell r="AD221">
            <v>2046</v>
          </cell>
          <cell r="AE221">
            <v>2047</v>
          </cell>
          <cell r="AF221">
            <v>2048</v>
          </cell>
          <cell r="AG221">
            <v>2049</v>
          </cell>
          <cell r="AH221">
            <v>2050</v>
          </cell>
        </row>
        <row r="222">
          <cell r="B222" t="str">
            <v>Bio-oil (HTL) - Plant lifetime - Global - Years</v>
          </cell>
          <cell r="N222">
            <v>30</v>
          </cell>
          <cell r="O222">
            <v>30</v>
          </cell>
          <cell r="P222">
            <v>30</v>
          </cell>
          <cell r="Q222">
            <v>30</v>
          </cell>
          <cell r="R222">
            <v>30</v>
          </cell>
          <cell r="S222">
            <v>30</v>
          </cell>
          <cell r="T222">
            <v>30</v>
          </cell>
          <cell r="U222">
            <v>30</v>
          </cell>
          <cell r="V222">
            <v>30</v>
          </cell>
          <cell r="W222">
            <v>30</v>
          </cell>
          <cell r="X222">
            <v>30</v>
          </cell>
          <cell r="Y222">
            <v>30</v>
          </cell>
          <cell r="Z222">
            <v>30</v>
          </cell>
          <cell r="AA222">
            <v>30</v>
          </cell>
          <cell r="AB222">
            <v>30</v>
          </cell>
          <cell r="AC222">
            <v>30</v>
          </cell>
          <cell r="AD222">
            <v>30</v>
          </cell>
          <cell r="AE222">
            <v>30</v>
          </cell>
          <cell r="AF222">
            <v>30</v>
          </cell>
          <cell r="AG222">
            <v>30</v>
          </cell>
          <cell r="AH222">
            <v>30</v>
          </cell>
        </row>
        <row r="223">
          <cell r="B223" t="str">
            <v>Bio-oil (HTL) - Total CAPEX - Global - USD/ton fuel</v>
          </cell>
          <cell r="N223">
            <v>2976.6674579740502</v>
          </cell>
          <cell r="O223">
            <v>2940.9474484782986</v>
          </cell>
          <cell r="P223">
            <v>2905.2274389826052</v>
          </cell>
          <cell r="Q223">
            <v>2869.5074294869119</v>
          </cell>
          <cell r="R223">
            <v>2833.787419991233</v>
          </cell>
          <cell r="S223">
            <v>2798.0674104955469</v>
          </cell>
          <cell r="T223">
            <v>2780.2074057477075</v>
          </cell>
          <cell r="U223">
            <v>2762.3474009998608</v>
          </cell>
          <cell r="V223">
            <v>2744.4873962520142</v>
          </cell>
          <cell r="W223">
            <v>2726.6273915041747</v>
          </cell>
          <cell r="X223">
            <v>2708.7673867563353</v>
          </cell>
          <cell r="Y223">
            <v>2690.9073820084886</v>
          </cell>
          <cell r="Z223">
            <v>2673.0473772606492</v>
          </cell>
          <cell r="AA223">
            <v>2655.1873725128025</v>
          </cell>
          <cell r="AB223">
            <v>2637.3273677649559</v>
          </cell>
          <cell r="AC223">
            <v>2619.4673630171164</v>
          </cell>
          <cell r="AD223">
            <v>2601.6073582692698</v>
          </cell>
          <cell r="AE223">
            <v>2583.7473535214303</v>
          </cell>
          <cell r="AF223">
            <v>2565.8873487735837</v>
          </cell>
          <cell r="AG223">
            <v>2548.027344025737</v>
          </cell>
          <cell r="AH223">
            <v>2530.1673392778976</v>
          </cell>
        </row>
        <row r="224">
          <cell r="B224" t="str">
            <v>Bio-oil (HTL) - OPEX - Global - USD/ton fuel/year</v>
          </cell>
          <cell r="N224">
            <v>321.41145340894582</v>
          </cell>
          <cell r="O224">
            <v>317.55451596802141</v>
          </cell>
          <cell r="P224">
            <v>313.69757852711427</v>
          </cell>
          <cell r="Q224">
            <v>309.84064108620714</v>
          </cell>
          <cell r="R224">
            <v>305.98370364530001</v>
          </cell>
          <cell r="S224">
            <v>302.12676620439288</v>
          </cell>
          <cell r="T224">
            <v>300.19829748393931</v>
          </cell>
          <cell r="U224">
            <v>298.26982876348575</v>
          </cell>
          <cell r="V224">
            <v>296.34136004303218</v>
          </cell>
          <cell r="W224">
            <v>294.41289132257862</v>
          </cell>
          <cell r="X224">
            <v>292.48442260212505</v>
          </cell>
          <cell r="Y224">
            <v>290.55595388167148</v>
          </cell>
          <cell r="Z224">
            <v>288.62748516121792</v>
          </cell>
          <cell r="AA224">
            <v>286.69901644076435</v>
          </cell>
          <cell r="AB224">
            <v>284.77054772031079</v>
          </cell>
          <cell r="AC224">
            <v>282.84207899985677</v>
          </cell>
          <cell r="AD224">
            <v>280.9136102794032</v>
          </cell>
          <cell r="AE224">
            <v>278.98514155894964</v>
          </cell>
          <cell r="AF224">
            <v>277.05667283849607</v>
          </cell>
          <cell r="AG224">
            <v>275.1282041180425</v>
          </cell>
          <cell r="AH224">
            <v>273.19973539758894</v>
          </cell>
        </row>
        <row r="225">
          <cell r="B225" t="str">
            <v>Bio-oil (HTL) - Energy demand - Global - MWh/ton fuel</v>
          </cell>
          <cell r="N225">
            <v>0.79751787885447367</v>
          </cell>
          <cell r="O225">
            <v>0.79693221079978627</v>
          </cell>
          <cell r="P225">
            <v>0.79634654274509908</v>
          </cell>
          <cell r="Q225">
            <v>0.7957608746904119</v>
          </cell>
          <cell r="R225">
            <v>0.79517520663572472</v>
          </cell>
          <cell r="S225">
            <v>0.79458953858103754</v>
          </cell>
          <cell r="T225">
            <v>0.79400387052635035</v>
          </cell>
          <cell r="U225">
            <v>0.79341820247166295</v>
          </cell>
          <cell r="V225">
            <v>0.79283253441697576</v>
          </cell>
          <cell r="W225">
            <v>0.79224686636228858</v>
          </cell>
          <cell r="X225">
            <v>0.7916611983076014</v>
          </cell>
          <cell r="Y225">
            <v>0.79107553025291399</v>
          </cell>
          <cell r="Z225">
            <v>0.79048986219822681</v>
          </cell>
          <cell r="AA225">
            <v>0.78990419414353963</v>
          </cell>
          <cell r="AB225">
            <v>0.78931852608885245</v>
          </cell>
          <cell r="AC225">
            <v>0.78873285803416526</v>
          </cell>
          <cell r="AD225">
            <v>0.78814718997947808</v>
          </cell>
          <cell r="AE225">
            <v>0.78756152192479068</v>
          </cell>
          <cell r="AF225">
            <v>0.78697585387010349</v>
          </cell>
          <cell r="AG225">
            <v>0.78639018581541631</v>
          </cell>
          <cell r="AH225">
            <v>0.7858045177607289</v>
          </cell>
        </row>
        <row r="226">
          <cell r="B226" t="str">
            <v>Bio-oil (HTL) - Conversion H2 -&gt; Bio-diesel (HTL) - Global - ton H2/ton diesel</v>
          </cell>
          <cell r="N226">
            <v>6.25E-2</v>
          </cell>
          <cell r="O226">
            <v>6.25E-2</v>
          </cell>
          <cell r="P226">
            <v>6.25E-2</v>
          </cell>
          <cell r="Q226">
            <v>6.25E-2</v>
          </cell>
          <cell r="R226">
            <v>6.25E-2</v>
          </cell>
          <cell r="S226">
            <v>6.25E-2</v>
          </cell>
          <cell r="T226">
            <v>6.25E-2</v>
          </cell>
          <cell r="U226">
            <v>6.25E-2</v>
          </cell>
          <cell r="V226">
            <v>6.25E-2</v>
          </cell>
          <cell r="W226">
            <v>6.25E-2</v>
          </cell>
          <cell r="X226">
            <v>6.25E-2</v>
          </cell>
          <cell r="Y226">
            <v>6.25E-2</v>
          </cell>
          <cell r="Z226">
            <v>6.25E-2</v>
          </cell>
          <cell r="AA226">
            <v>6.25E-2</v>
          </cell>
          <cell r="AB226">
            <v>6.25E-2</v>
          </cell>
          <cell r="AC226">
            <v>6.25E-2</v>
          </cell>
          <cell r="AD226">
            <v>6.25E-2</v>
          </cell>
          <cell r="AE226">
            <v>6.25E-2</v>
          </cell>
          <cell r="AF226">
            <v>6.25E-2</v>
          </cell>
          <cell r="AG226">
            <v>6.25E-2</v>
          </cell>
          <cell r="AH226">
            <v>6.25E-2</v>
          </cell>
        </row>
        <row r="227">
          <cell r="B227" t="str">
            <v>Bio-oil (HTL) - Conversion wood -&gt; Bio-diesel (HTL) - Global - ton wood/ton diesel</v>
          </cell>
          <cell r="N227">
            <v>1.0820736198452918</v>
          </cell>
          <cell r="O227">
            <v>1.0820736198452918</v>
          </cell>
          <cell r="P227">
            <v>1.0820736198452918</v>
          </cell>
          <cell r="Q227">
            <v>1.0820736198452918</v>
          </cell>
          <cell r="R227">
            <v>1.0820736198452918</v>
          </cell>
          <cell r="S227">
            <v>1.0820736198452918</v>
          </cell>
          <cell r="T227">
            <v>1.0820736198452918</v>
          </cell>
          <cell r="U227">
            <v>1.0820736198452918</v>
          </cell>
          <cell r="V227">
            <v>1.0820736198452918</v>
          </cell>
          <cell r="W227">
            <v>1.0820736198452918</v>
          </cell>
          <cell r="X227">
            <v>1.0820736198452918</v>
          </cell>
          <cell r="Y227">
            <v>1.0820736198452918</v>
          </cell>
          <cell r="Z227">
            <v>1.0820736198452918</v>
          </cell>
          <cell r="AA227">
            <v>1.0820736198452918</v>
          </cell>
          <cell r="AB227">
            <v>1.0820736198452918</v>
          </cell>
          <cell r="AC227">
            <v>1.0820736198452918</v>
          </cell>
          <cell r="AD227">
            <v>1.0820736198452918</v>
          </cell>
          <cell r="AE227">
            <v>1.0820736198452918</v>
          </cell>
          <cell r="AF227">
            <v>1.0820736198452918</v>
          </cell>
          <cell r="AG227">
            <v>1.0820736198452918</v>
          </cell>
          <cell r="AH227">
            <v>1.0820736198452918</v>
          </cell>
        </row>
        <row r="228">
          <cell r="B228" t="str">
            <v>Bio-oil (HTL) - Conversion waste -&gt; Bio-diesel (HTL) - Global - ton waste/ton diesel</v>
          </cell>
          <cell r="N228">
            <v>3.1249999999999991</v>
          </cell>
          <cell r="O228">
            <v>3.1249999999999991</v>
          </cell>
          <cell r="P228">
            <v>3.1249999999999991</v>
          </cell>
          <cell r="Q228">
            <v>3.1249999999999991</v>
          </cell>
          <cell r="R228">
            <v>3.1249999999999991</v>
          </cell>
          <cell r="S228">
            <v>3.1249999999999991</v>
          </cell>
          <cell r="T228">
            <v>3.1249999999999991</v>
          </cell>
          <cell r="U228">
            <v>3.1249999999999991</v>
          </cell>
          <cell r="V228">
            <v>3.1249999999999991</v>
          </cell>
          <cell r="W228">
            <v>3.1249999999999991</v>
          </cell>
          <cell r="X228">
            <v>3.1249999999999991</v>
          </cell>
          <cell r="Y228">
            <v>3.1249999999999991</v>
          </cell>
          <cell r="Z228">
            <v>3.1249999999999991</v>
          </cell>
          <cell r="AA228">
            <v>3.1249999999999991</v>
          </cell>
          <cell r="AB228">
            <v>3.1249999999999991</v>
          </cell>
          <cell r="AC228">
            <v>3.1249999999999991</v>
          </cell>
          <cell r="AD228">
            <v>3.1249999999999991</v>
          </cell>
          <cell r="AE228">
            <v>3.1249999999999991</v>
          </cell>
          <cell r="AF228">
            <v>3.1249999999999991</v>
          </cell>
          <cell r="AG228">
            <v>3.1249999999999991</v>
          </cell>
          <cell r="AH228">
            <v>3.1249999999999991</v>
          </cell>
        </row>
        <row r="229">
          <cell r="B229" t="str">
            <v>Bio-oil (HTL) - Process WTT emissions (carbon dioxide) - Global - ton CO2/ton fuel</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row>
        <row r="230">
          <cell r="B230" t="str">
            <v>Bio-oil (HTL) - Process WTT emissions (methane) - Global - ton CH4/ton fuel</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row>
        <row r="231">
          <cell r="B231" t="str">
            <v>Bio-oil (HTL) - Process WTT emissions (nitrous oxide) - Global - ton N2O/ton fuel</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row>
        <row r="232">
          <cell r="B232" t="str">
            <v>Bio-oil (HTL) - TTW emissions (carbon dioxide) - Global - ton CO2/ton fuel</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row>
        <row r="233">
          <cell r="B233" t="str">
            <v>Bio-oil (HTL) - TTW emissions (methane) - Global - ton CH4/ton fuel</v>
          </cell>
          <cell r="N233">
            <v>5.0000000000000002E-5</v>
          </cell>
          <cell r="O233">
            <v>5.0000000000000002E-5</v>
          </cell>
          <cell r="P233">
            <v>5.0000000000000002E-5</v>
          </cell>
          <cell r="Q233">
            <v>5.0000000000000002E-5</v>
          </cell>
          <cell r="R233">
            <v>5.0000000000000002E-5</v>
          </cell>
          <cell r="S233">
            <v>5.0000000000000002E-5</v>
          </cell>
          <cell r="T233">
            <v>5.0000000000000002E-5</v>
          </cell>
          <cell r="U233">
            <v>5.0000000000000002E-5</v>
          </cell>
          <cell r="V233">
            <v>5.0000000000000002E-5</v>
          </cell>
          <cell r="W233">
            <v>5.0000000000000002E-5</v>
          </cell>
          <cell r="X233">
            <v>5.0000000000000002E-5</v>
          </cell>
          <cell r="Y233">
            <v>5.0000000000000002E-5</v>
          </cell>
          <cell r="Z233">
            <v>5.0000000000000002E-5</v>
          </cell>
          <cell r="AA233">
            <v>5.0000000000000002E-5</v>
          </cell>
          <cell r="AB233">
            <v>5.0000000000000002E-5</v>
          </cell>
          <cell r="AC233">
            <v>5.0000000000000002E-5</v>
          </cell>
          <cell r="AD233">
            <v>5.0000000000000002E-5</v>
          </cell>
          <cell r="AE233">
            <v>5.0000000000000002E-5</v>
          </cell>
          <cell r="AF233">
            <v>5.0000000000000002E-5</v>
          </cell>
          <cell r="AG233">
            <v>5.0000000000000002E-5</v>
          </cell>
          <cell r="AH233">
            <v>5.0000000000000002E-5</v>
          </cell>
        </row>
        <row r="234">
          <cell r="B234" t="str">
            <v>Bio-oil (HTL) - TTW emissions (nitrous oxide) - Global - ton N2O/ton fuel</v>
          </cell>
          <cell r="N234">
            <v>1.8000000000000001E-4</v>
          </cell>
          <cell r="O234">
            <v>1.8000000000000001E-4</v>
          </cell>
          <cell r="P234">
            <v>1.8000000000000001E-4</v>
          </cell>
          <cell r="Q234">
            <v>1.8000000000000001E-4</v>
          </cell>
          <cell r="R234">
            <v>1.8000000000000001E-4</v>
          </cell>
          <cell r="S234">
            <v>1.8000000000000001E-4</v>
          </cell>
          <cell r="T234">
            <v>1.8000000000000001E-4</v>
          </cell>
          <cell r="U234">
            <v>1.8000000000000001E-4</v>
          </cell>
          <cell r="V234">
            <v>1.8000000000000001E-4</v>
          </cell>
          <cell r="W234">
            <v>1.8000000000000001E-4</v>
          </cell>
          <cell r="X234">
            <v>1.8000000000000001E-4</v>
          </cell>
          <cell r="Y234">
            <v>1.8000000000000001E-4</v>
          </cell>
          <cell r="Z234">
            <v>1.8000000000000001E-4</v>
          </cell>
          <cell r="AA234">
            <v>1.8000000000000001E-4</v>
          </cell>
          <cell r="AB234">
            <v>1.8000000000000001E-4</v>
          </cell>
          <cell r="AC234">
            <v>1.8000000000000001E-4</v>
          </cell>
          <cell r="AD234">
            <v>1.8000000000000001E-4</v>
          </cell>
          <cell r="AE234">
            <v>1.8000000000000001E-4</v>
          </cell>
          <cell r="AF234">
            <v>1.8000000000000001E-4</v>
          </cell>
          <cell r="AG234">
            <v>1.8000000000000001E-4</v>
          </cell>
          <cell r="AH234">
            <v>1.8000000000000001E-4</v>
          </cell>
        </row>
        <row r="236">
          <cell r="G236">
            <v>2023</v>
          </cell>
          <cell r="H236">
            <v>2024</v>
          </cell>
          <cell r="I236">
            <v>2025</v>
          </cell>
          <cell r="J236">
            <v>2026</v>
          </cell>
          <cell r="K236">
            <v>2027</v>
          </cell>
          <cell r="L236">
            <v>2028</v>
          </cell>
          <cell r="M236">
            <v>2029</v>
          </cell>
          <cell r="N236">
            <v>2030</v>
          </cell>
          <cell r="O236">
            <v>2031</v>
          </cell>
          <cell r="P236">
            <v>2032</v>
          </cell>
          <cell r="Q236">
            <v>2033</v>
          </cell>
          <cell r="R236">
            <v>2034</v>
          </cell>
          <cell r="S236">
            <v>2035</v>
          </cell>
          <cell r="T236">
            <v>2036</v>
          </cell>
          <cell r="U236">
            <v>2037</v>
          </cell>
          <cell r="V236">
            <v>2038</v>
          </cell>
          <cell r="W236">
            <v>2039</v>
          </cell>
          <cell r="X236">
            <v>2040</v>
          </cell>
          <cell r="Y236">
            <v>2041</v>
          </cell>
          <cell r="Z236">
            <v>2042</v>
          </cell>
          <cell r="AA236">
            <v>2043</v>
          </cell>
          <cell r="AB236">
            <v>2044</v>
          </cell>
          <cell r="AC236">
            <v>2045</v>
          </cell>
          <cell r="AD236">
            <v>2046</v>
          </cell>
          <cell r="AE236">
            <v>2047</v>
          </cell>
          <cell r="AF236">
            <v>2048</v>
          </cell>
          <cell r="AG236">
            <v>2049</v>
          </cell>
          <cell r="AH236">
            <v>2050</v>
          </cell>
        </row>
        <row r="237">
          <cell r="B237" t="str">
            <v>Bio-oil (Pyrolysis) - Plant lifetime - Global - Years</v>
          </cell>
          <cell r="N237">
            <v>30</v>
          </cell>
          <cell r="O237">
            <v>30</v>
          </cell>
          <cell r="P237">
            <v>30</v>
          </cell>
          <cell r="Q237">
            <v>30</v>
          </cell>
          <cell r="R237">
            <v>30</v>
          </cell>
          <cell r="S237">
            <v>30</v>
          </cell>
          <cell r="T237">
            <v>30</v>
          </cell>
          <cell r="U237">
            <v>30</v>
          </cell>
          <cell r="V237">
            <v>30</v>
          </cell>
          <cell r="W237">
            <v>30</v>
          </cell>
          <cell r="X237">
            <v>30</v>
          </cell>
          <cell r="Y237">
            <v>30</v>
          </cell>
          <cell r="Z237">
            <v>30</v>
          </cell>
          <cell r="AA237">
            <v>30</v>
          </cell>
          <cell r="AB237">
            <v>30</v>
          </cell>
          <cell r="AC237">
            <v>30</v>
          </cell>
          <cell r="AD237">
            <v>30</v>
          </cell>
          <cell r="AE237">
            <v>30</v>
          </cell>
          <cell r="AF237">
            <v>30</v>
          </cell>
          <cell r="AG237">
            <v>30</v>
          </cell>
          <cell r="AH237">
            <v>30</v>
          </cell>
        </row>
        <row r="238">
          <cell r="B238" t="str">
            <v>Bio-oil (Pyrolysis) - Total CAPEX - Global - USD/ton fuel</v>
          </cell>
          <cell r="N238">
            <v>2326</v>
          </cell>
          <cell r="O238">
            <v>2279.4799999999959</v>
          </cell>
          <cell r="P238">
            <v>2232.9600000000064</v>
          </cell>
          <cell r="Q238">
            <v>2186.4400000000023</v>
          </cell>
          <cell r="R238">
            <v>2139.9199999999983</v>
          </cell>
          <cell r="S238">
            <v>2093.3999999999978</v>
          </cell>
          <cell r="T238">
            <v>2077.8933333333334</v>
          </cell>
          <cell r="U238">
            <v>2062.3866666666654</v>
          </cell>
          <cell r="V238">
            <v>2046.8799999999974</v>
          </cell>
          <cell r="W238">
            <v>2031.373333333333</v>
          </cell>
          <cell r="X238">
            <v>2015.866666666665</v>
          </cell>
          <cell r="Y238">
            <v>2000.3599999999969</v>
          </cell>
          <cell r="Z238">
            <v>1984.8533333333326</v>
          </cell>
          <cell r="AA238">
            <v>1969.3466666666645</v>
          </cell>
          <cell r="AB238">
            <v>1953.8399999999965</v>
          </cell>
          <cell r="AC238">
            <v>1938.3333333333321</v>
          </cell>
          <cell r="AD238">
            <v>1922.8266666666641</v>
          </cell>
          <cell r="AE238">
            <v>1907.3199999999997</v>
          </cell>
          <cell r="AF238">
            <v>1891.8133333333317</v>
          </cell>
          <cell r="AG238">
            <v>1876.3066666666637</v>
          </cell>
          <cell r="AH238">
            <v>1860.7999999999993</v>
          </cell>
        </row>
        <row r="239">
          <cell r="B239" t="str">
            <v>Bio-oil (Pyrolysis) - OPEX - Global - USD/ton fuel/year</v>
          </cell>
          <cell r="N239">
            <v>91.493268053855545</v>
          </cell>
          <cell r="O239">
            <v>89.663402692778277</v>
          </cell>
          <cell r="P239">
            <v>87.833537331701578</v>
          </cell>
          <cell r="Q239">
            <v>86.003671970624296</v>
          </cell>
          <cell r="R239">
            <v>84.173806609547029</v>
          </cell>
          <cell r="S239">
            <v>82.343941248469903</v>
          </cell>
          <cell r="T239">
            <v>81.733986128110956</v>
          </cell>
          <cell r="U239">
            <v>81.124031007751867</v>
          </cell>
          <cell r="V239">
            <v>80.514075887392778</v>
          </cell>
          <cell r="W239">
            <v>79.904120767033831</v>
          </cell>
          <cell r="X239">
            <v>79.294165646674742</v>
          </cell>
          <cell r="Y239">
            <v>78.684210526315653</v>
          </cell>
          <cell r="Z239">
            <v>78.074255405956706</v>
          </cell>
          <cell r="AA239">
            <v>77.464300285597616</v>
          </cell>
          <cell r="AB239">
            <v>76.854345165238513</v>
          </cell>
          <cell r="AC239">
            <v>76.244390044879566</v>
          </cell>
          <cell r="AD239">
            <v>75.634434924520477</v>
          </cell>
          <cell r="AE239">
            <v>75.02447980416153</v>
          </cell>
          <cell r="AF239">
            <v>74.414524683802441</v>
          </cell>
          <cell r="AG239">
            <v>73.804569563443351</v>
          </cell>
          <cell r="AH239">
            <v>73.194614443084404</v>
          </cell>
        </row>
        <row r="240">
          <cell r="B240" t="str">
            <v>Bio-oil (Pyrolysis) - Energy demand - Global - MWh/ton fuel</v>
          </cell>
          <cell r="N240">
            <v>0.58356415446901266</v>
          </cell>
          <cell r="O240">
            <v>0.58356415446901266</v>
          </cell>
          <cell r="P240">
            <v>0.58356415446901266</v>
          </cell>
          <cell r="Q240">
            <v>0.58356415446901266</v>
          </cell>
          <cell r="R240">
            <v>0.58356415446901266</v>
          </cell>
          <cell r="S240">
            <v>0.58356415446901266</v>
          </cell>
          <cell r="T240">
            <v>0.58356415446901266</v>
          </cell>
          <cell r="U240">
            <v>0.58356415446901266</v>
          </cell>
          <cell r="V240">
            <v>0.58356415446901266</v>
          </cell>
          <cell r="W240">
            <v>0.58356415446901266</v>
          </cell>
          <cell r="X240">
            <v>0.58356415446901266</v>
          </cell>
          <cell r="Y240">
            <v>0.58356415446901266</v>
          </cell>
          <cell r="Z240">
            <v>0.58356415446901266</v>
          </cell>
          <cell r="AA240">
            <v>0.58356415446901266</v>
          </cell>
          <cell r="AB240">
            <v>0.58356415446901266</v>
          </cell>
          <cell r="AC240">
            <v>0.58356415446901266</v>
          </cell>
          <cell r="AD240">
            <v>0.58356415446901266</v>
          </cell>
          <cell r="AE240">
            <v>0.58356415446901266</v>
          </cell>
          <cell r="AF240">
            <v>0.58356415446901266</v>
          </cell>
          <cell r="AG240">
            <v>0.58356415446901266</v>
          </cell>
          <cell r="AH240">
            <v>0.58356415446901266</v>
          </cell>
        </row>
        <row r="241">
          <cell r="B241" t="str">
            <v>Bio-oil (Pyrolysis) - Conversion H2 -&gt; Bio-diesel (Pyrolysis) - Global - ton H2/ton diesel</v>
          </cell>
          <cell r="N241">
            <v>0.13</v>
          </cell>
          <cell r="O241">
            <v>0.13</v>
          </cell>
          <cell r="P241">
            <v>0.13</v>
          </cell>
          <cell r="Q241">
            <v>0.13</v>
          </cell>
          <cell r="R241">
            <v>0.13</v>
          </cell>
          <cell r="S241">
            <v>0.13</v>
          </cell>
          <cell r="T241">
            <v>0.13</v>
          </cell>
          <cell r="U241">
            <v>0.13</v>
          </cell>
          <cell r="V241">
            <v>0.13</v>
          </cell>
          <cell r="W241">
            <v>0.13</v>
          </cell>
          <cell r="X241">
            <v>0.13</v>
          </cell>
          <cell r="Y241">
            <v>0.13</v>
          </cell>
          <cell r="Z241">
            <v>0.13</v>
          </cell>
          <cell r="AA241">
            <v>0.13</v>
          </cell>
          <cell r="AB241">
            <v>0.13</v>
          </cell>
          <cell r="AC241">
            <v>0.13</v>
          </cell>
          <cell r="AD241">
            <v>0.13</v>
          </cell>
          <cell r="AE241">
            <v>0.13</v>
          </cell>
          <cell r="AF241">
            <v>0.13</v>
          </cell>
          <cell r="AG241">
            <v>0.13</v>
          </cell>
          <cell r="AH241">
            <v>0.13</v>
          </cell>
        </row>
        <row r="242">
          <cell r="B242" t="str">
            <v>Bio-oil (Pyrolysis) - Conversion wood -&gt; Bio-diesel (Pyrolysis) - Global - ton wood/ton diesel</v>
          </cell>
          <cell r="N242">
            <v>3.9398113559955168</v>
          </cell>
          <cell r="O242">
            <v>3.9398113559955168</v>
          </cell>
          <cell r="P242">
            <v>3.9398113559955168</v>
          </cell>
          <cell r="Q242">
            <v>3.9398113559955168</v>
          </cell>
          <cell r="R242">
            <v>3.9398113559955168</v>
          </cell>
          <cell r="S242">
            <v>3.9398113559955168</v>
          </cell>
          <cell r="T242">
            <v>3.9398113559955168</v>
          </cell>
          <cell r="U242">
            <v>3.9398113559955168</v>
          </cell>
          <cell r="V242">
            <v>3.9398113559955168</v>
          </cell>
          <cell r="W242">
            <v>3.9398113559955168</v>
          </cell>
          <cell r="X242">
            <v>3.9398113559955168</v>
          </cell>
          <cell r="Y242">
            <v>3.9398113559955168</v>
          </cell>
          <cell r="Z242">
            <v>3.9398113559955168</v>
          </cell>
          <cell r="AA242">
            <v>3.9398113559955168</v>
          </cell>
          <cell r="AB242">
            <v>3.9398113559955168</v>
          </cell>
          <cell r="AC242">
            <v>3.9398113559955168</v>
          </cell>
          <cell r="AD242">
            <v>3.9398113559955168</v>
          </cell>
          <cell r="AE242">
            <v>3.9398113559955168</v>
          </cell>
          <cell r="AF242">
            <v>3.9398113559955168</v>
          </cell>
          <cell r="AG242">
            <v>3.9398113559955168</v>
          </cell>
          <cell r="AH242">
            <v>3.9398113559955168</v>
          </cell>
        </row>
        <row r="243">
          <cell r="B243" t="str">
            <v>Bio-oil (Pyrolysis) - Process WTT emissions (carbon dioxide) - Global - ton CO2/ton fuel</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row>
        <row r="244">
          <cell r="B244" t="str">
            <v>Bio-oil (Pyrolysis) - Process WTT emissions (methane) - Global - ton CH4/ton fuel</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row>
        <row r="245">
          <cell r="B245" t="str">
            <v>Bio-oil (Pyrolysis) - Process WTT emissions (nitrous oxide) - Global - ton N2O/ton fuel</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row>
        <row r="246">
          <cell r="B246" t="str">
            <v>Bio-oil (Pyrolysis) - TTW emissions (carbon dioxide) - Global - ton CO2/ton fuel</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row>
        <row r="247">
          <cell r="B247" t="str">
            <v>Bio-oil (Pyrolysis) - TTW emissions (methane) - Global - ton CH4/ton fuel</v>
          </cell>
          <cell r="N247">
            <v>5.0000000000000002E-5</v>
          </cell>
          <cell r="O247">
            <v>5.0000000000000002E-5</v>
          </cell>
          <cell r="P247">
            <v>5.0000000000000002E-5</v>
          </cell>
          <cell r="Q247">
            <v>5.0000000000000002E-5</v>
          </cell>
          <cell r="R247">
            <v>5.0000000000000002E-5</v>
          </cell>
          <cell r="S247">
            <v>5.0000000000000002E-5</v>
          </cell>
          <cell r="T247">
            <v>5.0000000000000002E-5</v>
          </cell>
          <cell r="U247">
            <v>5.0000000000000002E-5</v>
          </cell>
          <cell r="V247">
            <v>5.0000000000000002E-5</v>
          </cell>
          <cell r="W247">
            <v>5.0000000000000002E-5</v>
          </cell>
          <cell r="X247">
            <v>5.0000000000000002E-5</v>
          </cell>
          <cell r="Y247">
            <v>5.0000000000000002E-5</v>
          </cell>
          <cell r="Z247">
            <v>5.0000000000000002E-5</v>
          </cell>
          <cell r="AA247">
            <v>5.0000000000000002E-5</v>
          </cell>
          <cell r="AB247">
            <v>5.0000000000000002E-5</v>
          </cell>
          <cell r="AC247">
            <v>5.0000000000000002E-5</v>
          </cell>
          <cell r="AD247">
            <v>5.0000000000000002E-5</v>
          </cell>
          <cell r="AE247">
            <v>5.0000000000000002E-5</v>
          </cell>
          <cell r="AF247">
            <v>5.0000000000000002E-5</v>
          </cell>
          <cell r="AG247">
            <v>5.0000000000000002E-5</v>
          </cell>
          <cell r="AH247">
            <v>5.0000000000000002E-5</v>
          </cell>
        </row>
        <row r="248">
          <cell r="B248" t="str">
            <v>Bio-oil (Pyrolysis) - TTW emissions (nitrous oxide) - Global - ton N2O/ton fuel</v>
          </cell>
          <cell r="N248">
            <v>1.8000000000000001E-4</v>
          </cell>
          <cell r="O248">
            <v>1.8000000000000001E-4</v>
          </cell>
          <cell r="P248">
            <v>1.8000000000000001E-4</v>
          </cell>
          <cell r="Q248">
            <v>1.8000000000000001E-4</v>
          </cell>
          <cell r="R248">
            <v>1.8000000000000001E-4</v>
          </cell>
          <cell r="S248">
            <v>1.8000000000000001E-4</v>
          </cell>
          <cell r="T248">
            <v>1.8000000000000001E-4</v>
          </cell>
          <cell r="U248">
            <v>1.8000000000000001E-4</v>
          </cell>
          <cell r="V248">
            <v>1.8000000000000001E-4</v>
          </cell>
          <cell r="W248">
            <v>1.8000000000000001E-4</v>
          </cell>
          <cell r="X248">
            <v>1.8000000000000001E-4</v>
          </cell>
          <cell r="Y248">
            <v>1.8000000000000001E-4</v>
          </cell>
          <cell r="Z248">
            <v>1.8000000000000001E-4</v>
          </cell>
          <cell r="AA248">
            <v>1.8000000000000001E-4</v>
          </cell>
          <cell r="AB248">
            <v>1.8000000000000001E-4</v>
          </cell>
          <cell r="AC248">
            <v>1.8000000000000001E-4</v>
          </cell>
          <cell r="AD248">
            <v>1.8000000000000001E-4</v>
          </cell>
          <cell r="AE248">
            <v>1.8000000000000001E-4</v>
          </cell>
          <cell r="AF248">
            <v>1.8000000000000001E-4</v>
          </cell>
          <cell r="AG248">
            <v>1.8000000000000001E-4</v>
          </cell>
          <cell r="AH248">
            <v>1.8000000000000001E-4</v>
          </cell>
        </row>
        <row r="250">
          <cell r="G250">
            <v>2023</v>
          </cell>
          <cell r="H250">
            <v>2024</v>
          </cell>
          <cell r="I250">
            <v>2025</v>
          </cell>
          <cell r="J250">
            <v>2026</v>
          </cell>
          <cell r="K250">
            <v>2027</v>
          </cell>
          <cell r="L250">
            <v>2028</v>
          </cell>
          <cell r="M250">
            <v>2029</v>
          </cell>
          <cell r="N250">
            <v>2030</v>
          </cell>
          <cell r="O250">
            <v>2031</v>
          </cell>
          <cell r="P250">
            <v>2032</v>
          </cell>
          <cell r="Q250">
            <v>2033</v>
          </cell>
          <cell r="R250">
            <v>2034</v>
          </cell>
          <cell r="S250">
            <v>2035</v>
          </cell>
          <cell r="T250">
            <v>2036</v>
          </cell>
          <cell r="U250">
            <v>2037</v>
          </cell>
          <cell r="V250">
            <v>2038</v>
          </cell>
          <cell r="W250">
            <v>2039</v>
          </cell>
          <cell r="X250">
            <v>2040</v>
          </cell>
          <cell r="Y250">
            <v>2041</v>
          </cell>
          <cell r="Z250">
            <v>2042</v>
          </cell>
          <cell r="AA250">
            <v>2043</v>
          </cell>
          <cell r="AB250">
            <v>2044</v>
          </cell>
          <cell r="AC250">
            <v>2045</v>
          </cell>
          <cell r="AD250">
            <v>2046</v>
          </cell>
          <cell r="AE250">
            <v>2047</v>
          </cell>
          <cell r="AF250">
            <v>2048</v>
          </cell>
          <cell r="AG250">
            <v>2049</v>
          </cell>
          <cell r="AH250">
            <v>2050</v>
          </cell>
        </row>
        <row r="251">
          <cell r="B251" t="str">
            <v>LNG - Plant lifetime - Global - Years</v>
          </cell>
          <cell r="G251">
            <v>30</v>
          </cell>
          <cell r="H251">
            <v>30</v>
          </cell>
          <cell r="I251">
            <v>30</v>
          </cell>
          <cell r="J251">
            <v>30</v>
          </cell>
          <cell r="K251">
            <v>30</v>
          </cell>
          <cell r="L251">
            <v>30</v>
          </cell>
          <cell r="M251">
            <v>30</v>
          </cell>
          <cell r="N251">
            <v>30</v>
          </cell>
          <cell r="O251">
            <v>30</v>
          </cell>
          <cell r="P251">
            <v>30</v>
          </cell>
          <cell r="Q251">
            <v>30</v>
          </cell>
          <cell r="R251">
            <v>30</v>
          </cell>
          <cell r="S251">
            <v>30</v>
          </cell>
          <cell r="T251">
            <v>30</v>
          </cell>
          <cell r="U251">
            <v>30</v>
          </cell>
          <cell r="V251">
            <v>30</v>
          </cell>
          <cell r="W251">
            <v>30</v>
          </cell>
          <cell r="X251">
            <v>30</v>
          </cell>
          <cell r="Y251">
            <v>30</v>
          </cell>
          <cell r="Z251">
            <v>30</v>
          </cell>
          <cell r="AA251">
            <v>30</v>
          </cell>
          <cell r="AB251">
            <v>30</v>
          </cell>
          <cell r="AC251">
            <v>30</v>
          </cell>
          <cell r="AD251">
            <v>30</v>
          </cell>
          <cell r="AE251">
            <v>30</v>
          </cell>
          <cell r="AF251">
            <v>30</v>
          </cell>
          <cell r="AG251">
            <v>30</v>
          </cell>
          <cell r="AH251">
            <v>30</v>
          </cell>
        </row>
        <row r="252">
          <cell r="B252" t="str">
            <v>LNG - Total CAPEX - Liquefaction - Global - USD/ton fuel</v>
          </cell>
          <cell r="G252">
            <v>2271.4526299856479</v>
          </cell>
          <cell r="H252">
            <v>2260.7263149928222</v>
          </cell>
          <cell r="I252">
            <v>2250</v>
          </cell>
          <cell r="J252">
            <v>2239.523407737528</v>
          </cell>
          <cell r="K252">
            <v>2229.0468154750561</v>
          </cell>
          <cell r="L252">
            <v>2218.5702232125841</v>
          </cell>
          <cell r="M252">
            <v>2208.0936309501121</v>
          </cell>
          <cell r="N252">
            <v>2197.6170386876402</v>
          </cell>
          <cell r="O252">
            <v>2187.3843552816907</v>
          </cell>
          <cell r="P252">
            <v>2177.1516718757375</v>
          </cell>
          <cell r="Q252">
            <v>2166.918988469788</v>
          </cell>
          <cell r="R252">
            <v>2156.6863050638349</v>
          </cell>
          <cell r="S252">
            <v>2146.4536216578817</v>
          </cell>
          <cell r="T252">
            <v>2136.4591685892556</v>
          </cell>
          <cell r="U252">
            <v>2126.4647155206258</v>
          </cell>
          <cell r="V252">
            <v>2116.4702624519959</v>
          </cell>
          <cell r="W252">
            <v>2106.4758093833661</v>
          </cell>
          <cell r="X252">
            <v>2096.48135631474</v>
          </cell>
          <cell r="Y252">
            <v>2086.7195872676348</v>
          </cell>
          <cell r="Z252">
            <v>2076.9578182205332</v>
          </cell>
          <cell r="AA252">
            <v>2067.196049173428</v>
          </cell>
          <cell r="AB252">
            <v>2057.4342801263228</v>
          </cell>
          <cell r="AC252">
            <v>2047.6725110792177</v>
          </cell>
          <cell r="AD252">
            <v>2038.1380088633741</v>
          </cell>
          <cell r="AE252">
            <v>2028.6035066475306</v>
          </cell>
          <cell r="AF252">
            <v>2019.0690044316871</v>
          </cell>
          <cell r="AG252">
            <v>2009.5345022158435</v>
          </cell>
          <cell r="AH252">
            <v>2000</v>
          </cell>
        </row>
        <row r="253">
          <cell r="B253" t="str">
            <v>LNG - OPEX - Liquefaction - Global - USD/ton fuel/year</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row>
        <row r="254">
          <cell r="B254" t="str">
            <v>LNG - Energy demand - Liquefaction - Global - MWh/ton fuel</v>
          </cell>
          <cell r="G254">
            <v>0.6</v>
          </cell>
          <cell r="H254">
            <v>0.6</v>
          </cell>
          <cell r="I254">
            <v>0.6</v>
          </cell>
          <cell r="J254">
            <v>0.6</v>
          </cell>
          <cell r="K254">
            <v>0.6</v>
          </cell>
          <cell r="L254">
            <v>0.6</v>
          </cell>
          <cell r="M254">
            <v>0.6</v>
          </cell>
          <cell r="N254">
            <v>0.6</v>
          </cell>
          <cell r="O254">
            <v>0.6</v>
          </cell>
          <cell r="P254">
            <v>0.6</v>
          </cell>
          <cell r="Q254">
            <v>0.6</v>
          </cell>
          <cell r="R254">
            <v>0.6</v>
          </cell>
          <cell r="S254">
            <v>0.6</v>
          </cell>
          <cell r="T254">
            <v>0.6</v>
          </cell>
          <cell r="U254">
            <v>0.6</v>
          </cell>
          <cell r="V254">
            <v>0.6</v>
          </cell>
          <cell r="W254">
            <v>0.6</v>
          </cell>
          <cell r="X254">
            <v>0.6</v>
          </cell>
          <cell r="Y254">
            <v>0.6</v>
          </cell>
          <cell r="Z254">
            <v>0.6</v>
          </cell>
          <cell r="AA254">
            <v>0.6</v>
          </cell>
          <cell r="AB254">
            <v>0.6</v>
          </cell>
          <cell r="AC254">
            <v>0.6</v>
          </cell>
          <cell r="AD254">
            <v>0.6</v>
          </cell>
          <cell r="AE254">
            <v>0.6</v>
          </cell>
          <cell r="AF254">
            <v>0.6</v>
          </cell>
          <cell r="AG254">
            <v>0.6</v>
          </cell>
          <cell r="AH254">
            <v>0.6</v>
          </cell>
        </row>
        <row r="255">
          <cell r="B255" t="str">
            <v>LNG - Conversion NG -&gt; LNG - Global - ton H2/ton diesel</v>
          </cell>
          <cell r="G255">
            <v>1</v>
          </cell>
          <cell r="H255">
            <v>1</v>
          </cell>
          <cell r="I255">
            <v>1</v>
          </cell>
          <cell r="J255">
            <v>1</v>
          </cell>
          <cell r="K255">
            <v>1</v>
          </cell>
          <cell r="L255">
            <v>1</v>
          </cell>
          <cell r="M255">
            <v>1</v>
          </cell>
          <cell r="N255">
            <v>1</v>
          </cell>
          <cell r="O255">
            <v>1</v>
          </cell>
          <cell r="P255">
            <v>1</v>
          </cell>
          <cell r="Q255">
            <v>1</v>
          </cell>
          <cell r="R255">
            <v>1</v>
          </cell>
          <cell r="S255">
            <v>1</v>
          </cell>
          <cell r="T255">
            <v>1</v>
          </cell>
          <cell r="U255">
            <v>1</v>
          </cell>
          <cell r="V255">
            <v>1</v>
          </cell>
          <cell r="W255">
            <v>1</v>
          </cell>
          <cell r="X255">
            <v>1</v>
          </cell>
          <cell r="Y255">
            <v>1</v>
          </cell>
          <cell r="Z255">
            <v>1</v>
          </cell>
          <cell r="AA255">
            <v>1</v>
          </cell>
          <cell r="AB255">
            <v>1</v>
          </cell>
          <cell r="AC255">
            <v>1</v>
          </cell>
          <cell r="AD255">
            <v>1</v>
          </cell>
          <cell r="AE255">
            <v>1</v>
          </cell>
          <cell r="AF255">
            <v>1</v>
          </cell>
          <cell r="AG255">
            <v>1</v>
          </cell>
          <cell r="AH255">
            <v>1</v>
          </cell>
        </row>
        <row r="256">
          <cell r="B256" t="str">
            <v>LNG - Process WTT emissions (carbon dioxide) - Global - ton CO2/ton fuel</v>
          </cell>
          <cell r="G256">
            <v>0.3</v>
          </cell>
          <cell r="H256">
            <v>0.3</v>
          </cell>
          <cell r="I256">
            <v>0.3</v>
          </cell>
          <cell r="J256">
            <v>0.3</v>
          </cell>
          <cell r="K256">
            <v>0.3</v>
          </cell>
          <cell r="L256">
            <v>0.3</v>
          </cell>
          <cell r="M256">
            <v>0.3</v>
          </cell>
          <cell r="N256">
            <v>0.3</v>
          </cell>
          <cell r="O256">
            <v>0.3</v>
          </cell>
          <cell r="P256">
            <v>0.3</v>
          </cell>
          <cell r="Q256">
            <v>0.3</v>
          </cell>
          <cell r="R256">
            <v>0.3</v>
          </cell>
          <cell r="S256">
            <v>0.3</v>
          </cell>
          <cell r="T256">
            <v>0.3</v>
          </cell>
          <cell r="U256">
            <v>0.3</v>
          </cell>
          <cell r="V256">
            <v>0.3</v>
          </cell>
          <cell r="W256">
            <v>0.3</v>
          </cell>
          <cell r="X256">
            <v>0.3</v>
          </cell>
          <cell r="Y256">
            <v>0.3</v>
          </cell>
          <cell r="Z256">
            <v>0.3</v>
          </cell>
          <cell r="AA256">
            <v>0.3</v>
          </cell>
          <cell r="AB256">
            <v>0.3</v>
          </cell>
          <cell r="AC256">
            <v>0.3</v>
          </cell>
          <cell r="AD256">
            <v>0.3</v>
          </cell>
          <cell r="AE256">
            <v>0.3</v>
          </cell>
          <cell r="AF256">
            <v>0.3</v>
          </cell>
          <cell r="AG256">
            <v>0.3</v>
          </cell>
          <cell r="AH256">
            <v>0.3</v>
          </cell>
        </row>
        <row r="257">
          <cell r="B257" t="str">
            <v>LNG - Process WTT emissions (methane) - Global - ton CH4/ton fuel</v>
          </cell>
          <cell r="G257">
            <v>0.01</v>
          </cell>
          <cell r="H257">
            <v>0.01</v>
          </cell>
          <cell r="I257">
            <v>0.01</v>
          </cell>
          <cell r="J257">
            <v>0.01</v>
          </cell>
          <cell r="K257">
            <v>0.01</v>
          </cell>
          <cell r="L257">
            <v>0.01</v>
          </cell>
          <cell r="M257">
            <v>0.01</v>
          </cell>
          <cell r="N257">
            <v>0.01</v>
          </cell>
          <cell r="O257">
            <v>0.01</v>
          </cell>
          <cell r="P257">
            <v>0.01</v>
          </cell>
          <cell r="Q257">
            <v>0.01</v>
          </cell>
          <cell r="R257">
            <v>0.01</v>
          </cell>
          <cell r="S257">
            <v>0.01</v>
          </cell>
          <cell r="T257">
            <v>0.01</v>
          </cell>
          <cell r="U257">
            <v>0.01</v>
          </cell>
          <cell r="V257">
            <v>0.01</v>
          </cell>
          <cell r="W257">
            <v>0.01</v>
          </cell>
          <cell r="X257">
            <v>0.01</v>
          </cell>
          <cell r="Y257">
            <v>0.01</v>
          </cell>
          <cell r="Z257">
            <v>0.01</v>
          </cell>
          <cell r="AA257">
            <v>0.01</v>
          </cell>
          <cell r="AB257">
            <v>0.01</v>
          </cell>
          <cell r="AC257">
            <v>0.01</v>
          </cell>
          <cell r="AD257">
            <v>0.01</v>
          </cell>
          <cell r="AE257">
            <v>0.01</v>
          </cell>
          <cell r="AF257">
            <v>0.01</v>
          </cell>
          <cell r="AG257">
            <v>0.01</v>
          </cell>
          <cell r="AH257">
            <v>0.01</v>
          </cell>
        </row>
        <row r="258">
          <cell r="B258" t="str">
            <v>LNG - Process WTT emissions (nitrous oxide) - Global - ton N2O/ton fuel</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row>
        <row r="259">
          <cell r="B259" t="str">
            <v>LNG - TTW emissions (carbon dioxide) - Global - ton CO2/ton fuel</v>
          </cell>
          <cell r="G259">
            <v>2.75</v>
          </cell>
          <cell r="H259">
            <v>2.75</v>
          </cell>
          <cell r="I259">
            <v>2.75</v>
          </cell>
          <cell r="J259">
            <v>2.75</v>
          </cell>
          <cell r="K259">
            <v>2.75</v>
          </cell>
          <cell r="L259">
            <v>2.75</v>
          </cell>
          <cell r="M259">
            <v>2.75</v>
          </cell>
          <cell r="N259">
            <v>2.75</v>
          </cell>
          <cell r="O259">
            <v>2.75</v>
          </cell>
          <cell r="P259">
            <v>2.75</v>
          </cell>
          <cell r="Q259">
            <v>2.75</v>
          </cell>
          <cell r="R259">
            <v>2.75</v>
          </cell>
          <cell r="S259">
            <v>2.75</v>
          </cell>
          <cell r="T259">
            <v>2.75</v>
          </cell>
          <cell r="U259">
            <v>2.75</v>
          </cell>
          <cell r="V259">
            <v>2.75</v>
          </cell>
          <cell r="W259">
            <v>2.75</v>
          </cell>
          <cell r="X259">
            <v>2.75</v>
          </cell>
          <cell r="Y259">
            <v>2.75</v>
          </cell>
          <cell r="Z259">
            <v>2.75</v>
          </cell>
          <cell r="AA259">
            <v>2.75</v>
          </cell>
          <cell r="AB259">
            <v>2.75</v>
          </cell>
          <cell r="AC259">
            <v>2.75</v>
          </cell>
          <cell r="AD259">
            <v>2.75</v>
          </cell>
          <cell r="AE259">
            <v>2.75</v>
          </cell>
          <cell r="AF259">
            <v>2.75</v>
          </cell>
          <cell r="AG259">
            <v>2.75</v>
          </cell>
          <cell r="AH259">
            <v>2.75</v>
          </cell>
        </row>
        <row r="260">
          <cell r="B260" t="str">
            <v>LNG - TTW emissions (methane) - Global - ton CH4/ton fuel</v>
          </cell>
          <cell r="G260">
            <v>2.4E-2</v>
          </cell>
          <cell r="H260">
            <v>2.1999999999999999E-2</v>
          </cell>
          <cell r="I260">
            <v>0.02</v>
          </cell>
          <cell r="J260">
            <v>1.7999999999999999E-2</v>
          </cell>
          <cell r="K260">
            <v>1.6E-2</v>
          </cell>
          <cell r="L260">
            <v>1.4E-2</v>
          </cell>
          <cell r="M260">
            <v>1.2E-2</v>
          </cell>
          <cell r="N260">
            <v>0.01</v>
          </cell>
          <cell r="O260">
            <v>0.01</v>
          </cell>
          <cell r="P260">
            <v>0.01</v>
          </cell>
          <cell r="Q260">
            <v>0.01</v>
          </cell>
          <cell r="R260">
            <v>0.01</v>
          </cell>
          <cell r="S260">
            <v>0.01</v>
          </cell>
          <cell r="T260">
            <v>0.01</v>
          </cell>
          <cell r="U260">
            <v>0.01</v>
          </cell>
          <cell r="V260">
            <v>0.01</v>
          </cell>
          <cell r="W260">
            <v>0.01</v>
          </cell>
          <cell r="X260">
            <v>0.01</v>
          </cell>
          <cell r="Y260">
            <v>0.01</v>
          </cell>
          <cell r="Z260">
            <v>0.01</v>
          </cell>
          <cell r="AA260">
            <v>0.01</v>
          </cell>
          <cell r="AB260">
            <v>0.01</v>
          </cell>
          <cell r="AC260">
            <v>0.01</v>
          </cell>
          <cell r="AD260">
            <v>0.01</v>
          </cell>
          <cell r="AE260">
            <v>0.01</v>
          </cell>
          <cell r="AF260">
            <v>0.01</v>
          </cell>
          <cell r="AG260">
            <v>0.01</v>
          </cell>
          <cell r="AH260">
            <v>0.01</v>
          </cell>
        </row>
        <row r="261">
          <cell r="B261" t="str">
            <v>LNG - TTW emissions (nitrous oxide) - Global - ton N2O/ton fuel</v>
          </cell>
          <cell r="G261">
            <v>1.1E-4</v>
          </cell>
          <cell r="H261">
            <v>1.1E-4</v>
          </cell>
          <cell r="I261">
            <v>1.1E-4</v>
          </cell>
          <cell r="J261">
            <v>1.1E-4</v>
          </cell>
          <cell r="K261">
            <v>1.1E-4</v>
          </cell>
          <cell r="L261">
            <v>1.1E-4</v>
          </cell>
          <cell r="M261">
            <v>1.1E-4</v>
          </cell>
          <cell r="N261">
            <v>1.1E-4</v>
          </cell>
          <cell r="O261">
            <v>1.1E-4</v>
          </cell>
          <cell r="P261">
            <v>1.1E-4</v>
          </cell>
          <cell r="Q261">
            <v>1.1E-4</v>
          </cell>
          <cell r="R261">
            <v>1.1E-4</v>
          </cell>
          <cell r="S261">
            <v>1.1E-4</v>
          </cell>
          <cell r="T261">
            <v>1.1E-4</v>
          </cell>
          <cell r="U261">
            <v>1.1E-4</v>
          </cell>
          <cell r="V261">
            <v>1.1E-4</v>
          </cell>
          <cell r="W261">
            <v>1.1E-4</v>
          </cell>
          <cell r="X261">
            <v>1.1E-4</v>
          </cell>
          <cell r="Y261">
            <v>1.1E-4</v>
          </cell>
          <cell r="Z261">
            <v>1.1E-4</v>
          </cell>
          <cell r="AA261">
            <v>1.1E-4</v>
          </cell>
          <cell r="AB261">
            <v>1.1E-4</v>
          </cell>
          <cell r="AC261">
            <v>1.1E-4</v>
          </cell>
          <cell r="AD261">
            <v>1.1E-4</v>
          </cell>
          <cell r="AE261">
            <v>1.1E-4</v>
          </cell>
          <cell r="AF261">
            <v>1.1E-4</v>
          </cell>
          <cell r="AG261">
            <v>1.1E-4</v>
          </cell>
          <cell r="AH261">
            <v>1.1E-4</v>
          </cell>
        </row>
        <row r="263">
          <cell r="G263">
            <v>2023</v>
          </cell>
          <cell r="H263">
            <v>2024</v>
          </cell>
          <cell r="I263">
            <v>2025</v>
          </cell>
          <cell r="J263">
            <v>2026</v>
          </cell>
          <cell r="K263">
            <v>2027</v>
          </cell>
          <cell r="L263">
            <v>2028</v>
          </cell>
          <cell r="M263">
            <v>2029</v>
          </cell>
          <cell r="N263">
            <v>2030</v>
          </cell>
          <cell r="O263">
            <v>2031</v>
          </cell>
          <cell r="P263">
            <v>2032</v>
          </cell>
          <cell r="Q263">
            <v>2033</v>
          </cell>
          <cell r="R263">
            <v>2034</v>
          </cell>
          <cell r="S263">
            <v>2035</v>
          </cell>
          <cell r="T263">
            <v>2036</v>
          </cell>
          <cell r="U263">
            <v>2037</v>
          </cell>
          <cell r="V263">
            <v>2038</v>
          </cell>
          <cell r="W263">
            <v>2039</v>
          </cell>
          <cell r="X263">
            <v>2040</v>
          </cell>
          <cell r="Y263">
            <v>2041</v>
          </cell>
          <cell r="Z263">
            <v>2042</v>
          </cell>
          <cell r="AA263">
            <v>2043</v>
          </cell>
          <cell r="AB263">
            <v>2044</v>
          </cell>
          <cell r="AC263">
            <v>2045</v>
          </cell>
          <cell r="AD263">
            <v>2046</v>
          </cell>
          <cell r="AE263">
            <v>2047</v>
          </cell>
          <cell r="AF263">
            <v>2048</v>
          </cell>
          <cell r="AG263">
            <v>2049</v>
          </cell>
          <cell r="AH263">
            <v>2050</v>
          </cell>
        </row>
        <row r="264">
          <cell r="B264" t="str">
            <v>LSFO - Cost conversion crude oil (bbl) -&gt; LSFO (ton) - Global - Multiplier</v>
          </cell>
          <cell r="G264">
            <v>7.7</v>
          </cell>
          <cell r="H264">
            <v>7.7</v>
          </cell>
          <cell r="I264">
            <v>7.7</v>
          </cell>
          <cell r="J264">
            <v>7.7</v>
          </cell>
          <cell r="K264">
            <v>7.7</v>
          </cell>
          <cell r="L264">
            <v>7.7</v>
          </cell>
          <cell r="M264">
            <v>7.7</v>
          </cell>
          <cell r="N264">
            <v>7.7</v>
          </cell>
          <cell r="O264">
            <v>7.7</v>
          </cell>
          <cell r="P264">
            <v>7.7</v>
          </cell>
          <cell r="Q264">
            <v>7.7</v>
          </cell>
          <cell r="R264">
            <v>7.7</v>
          </cell>
          <cell r="S264">
            <v>7.7</v>
          </cell>
          <cell r="T264">
            <v>7.7</v>
          </cell>
          <cell r="U264">
            <v>7.7</v>
          </cell>
          <cell r="V264">
            <v>7.7</v>
          </cell>
          <cell r="W264">
            <v>7.7</v>
          </cell>
          <cell r="X264">
            <v>7.7</v>
          </cell>
          <cell r="Y264">
            <v>7.7</v>
          </cell>
          <cell r="Z264">
            <v>7.7</v>
          </cell>
          <cell r="AA264">
            <v>7.7</v>
          </cell>
          <cell r="AB264">
            <v>7.7</v>
          </cell>
          <cell r="AC264">
            <v>7.7</v>
          </cell>
          <cell r="AD264">
            <v>7.7</v>
          </cell>
          <cell r="AE264">
            <v>7.7</v>
          </cell>
          <cell r="AF264">
            <v>7.7</v>
          </cell>
          <cell r="AG264">
            <v>7.7</v>
          </cell>
          <cell r="AH264">
            <v>7.7</v>
          </cell>
        </row>
        <row r="265">
          <cell r="B265" t="str">
            <v>LSFO - Process WTT emissions (carbon dioxide) - Global - ton CO2/ton fuel</v>
          </cell>
          <cell r="G265">
            <v>0.68</v>
          </cell>
          <cell r="H265">
            <v>0.68</v>
          </cell>
          <cell r="I265">
            <v>0.68</v>
          </cell>
          <cell r="J265">
            <v>0.68</v>
          </cell>
          <cell r="K265">
            <v>0.68</v>
          </cell>
          <cell r="L265">
            <v>0.68</v>
          </cell>
          <cell r="M265">
            <v>0.68</v>
          </cell>
          <cell r="N265">
            <v>0.68</v>
          </cell>
          <cell r="O265">
            <v>0.68</v>
          </cell>
          <cell r="P265">
            <v>0.68</v>
          </cell>
          <cell r="Q265">
            <v>0.68</v>
          </cell>
          <cell r="R265">
            <v>0.68</v>
          </cell>
          <cell r="S265">
            <v>0.68</v>
          </cell>
          <cell r="T265">
            <v>0.68</v>
          </cell>
          <cell r="U265">
            <v>0.68</v>
          </cell>
          <cell r="V265">
            <v>0.68</v>
          </cell>
          <cell r="W265">
            <v>0.68</v>
          </cell>
          <cell r="X265">
            <v>0.68</v>
          </cell>
          <cell r="Y265">
            <v>0.68</v>
          </cell>
          <cell r="Z265">
            <v>0.68</v>
          </cell>
          <cell r="AA265">
            <v>0.68</v>
          </cell>
          <cell r="AB265">
            <v>0.68</v>
          </cell>
          <cell r="AC265">
            <v>0.68</v>
          </cell>
          <cell r="AD265">
            <v>0.68</v>
          </cell>
          <cell r="AE265">
            <v>0.68</v>
          </cell>
          <cell r="AF265">
            <v>0.68</v>
          </cell>
          <cell r="AG265">
            <v>0.68</v>
          </cell>
          <cell r="AH265">
            <v>0.68</v>
          </cell>
        </row>
        <row r="266">
          <cell r="B266" t="str">
            <v>LSFO - Process WTT emissions (methane) - Global - ton CH4/ton fuel</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row>
        <row r="267">
          <cell r="B267" t="str">
            <v>LSFO - Process WTT emissions (nitrous oxide) - Global - ton N2O/ton fuel</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row>
        <row r="268">
          <cell r="B268" t="str">
            <v>LSFO - TTW emissions (carbon dioxide) - Global - ton CO2/ton fuel</v>
          </cell>
          <cell r="G268">
            <v>3.1139999999999999</v>
          </cell>
          <cell r="H268">
            <v>3.1139999999999999</v>
          </cell>
          <cell r="I268">
            <v>3.1139999999999999</v>
          </cell>
          <cell r="J268">
            <v>3.1139999999999999</v>
          </cell>
          <cell r="K268">
            <v>3.1139999999999999</v>
          </cell>
          <cell r="L268">
            <v>3.1139999999999999</v>
          </cell>
          <cell r="M268">
            <v>3.1139999999999999</v>
          </cell>
          <cell r="N268">
            <v>3.1139999999999999</v>
          </cell>
          <cell r="O268">
            <v>3.1139999999999999</v>
          </cell>
          <cell r="P268">
            <v>3.1139999999999999</v>
          </cell>
          <cell r="Q268">
            <v>3.1139999999999999</v>
          </cell>
          <cell r="R268">
            <v>3.1139999999999999</v>
          </cell>
          <cell r="S268">
            <v>3.1139999999999999</v>
          </cell>
          <cell r="T268">
            <v>3.1139999999999999</v>
          </cell>
          <cell r="U268">
            <v>3.1139999999999999</v>
          </cell>
          <cell r="V268">
            <v>3.1139999999999999</v>
          </cell>
          <cell r="W268">
            <v>3.1139999999999999</v>
          </cell>
          <cell r="X268">
            <v>3.1139999999999999</v>
          </cell>
          <cell r="Y268">
            <v>3.1139999999999999</v>
          </cell>
          <cell r="Z268">
            <v>3.1139999999999999</v>
          </cell>
          <cell r="AA268">
            <v>3.1139999999999999</v>
          </cell>
          <cell r="AB268">
            <v>3.1139999999999999</v>
          </cell>
          <cell r="AC268">
            <v>3.1139999999999999</v>
          </cell>
          <cell r="AD268">
            <v>3.1139999999999999</v>
          </cell>
          <cell r="AE268">
            <v>3.1139999999999999</v>
          </cell>
          <cell r="AF268">
            <v>3.1139999999999999</v>
          </cell>
          <cell r="AG268">
            <v>3.1139999999999999</v>
          </cell>
          <cell r="AH268">
            <v>3.1139999999999999</v>
          </cell>
        </row>
        <row r="269">
          <cell r="B269" t="str">
            <v>LSFO - TTW emissions (methane) - Global - ton CH4/ton fuel</v>
          </cell>
          <cell r="G269">
            <v>5.0000000000000002E-5</v>
          </cell>
          <cell r="H269">
            <v>5.0000000000000002E-5</v>
          </cell>
          <cell r="I269">
            <v>5.0000000000000002E-5</v>
          </cell>
          <cell r="J269">
            <v>5.0000000000000002E-5</v>
          </cell>
          <cell r="K269">
            <v>5.0000000000000002E-5</v>
          </cell>
          <cell r="L269">
            <v>5.0000000000000002E-5</v>
          </cell>
          <cell r="M269">
            <v>5.0000000000000002E-5</v>
          </cell>
          <cell r="N269">
            <v>5.0000000000000002E-5</v>
          </cell>
          <cell r="O269">
            <v>5.0000000000000002E-5</v>
          </cell>
          <cell r="P269">
            <v>5.0000000000000002E-5</v>
          </cell>
          <cell r="Q269">
            <v>5.0000000000000002E-5</v>
          </cell>
          <cell r="R269">
            <v>5.0000000000000002E-5</v>
          </cell>
          <cell r="S269">
            <v>5.0000000000000002E-5</v>
          </cell>
          <cell r="T269">
            <v>5.0000000000000002E-5</v>
          </cell>
          <cell r="U269">
            <v>5.0000000000000002E-5</v>
          </cell>
          <cell r="V269">
            <v>5.0000000000000002E-5</v>
          </cell>
          <cell r="W269">
            <v>5.0000000000000002E-5</v>
          </cell>
          <cell r="X269">
            <v>5.0000000000000002E-5</v>
          </cell>
          <cell r="Y269">
            <v>5.0000000000000002E-5</v>
          </cell>
          <cell r="Z269">
            <v>5.0000000000000002E-5</v>
          </cell>
          <cell r="AA269">
            <v>5.0000000000000002E-5</v>
          </cell>
          <cell r="AB269">
            <v>5.0000000000000002E-5</v>
          </cell>
          <cell r="AC269">
            <v>5.0000000000000002E-5</v>
          </cell>
          <cell r="AD269">
            <v>5.0000000000000002E-5</v>
          </cell>
          <cell r="AE269">
            <v>5.0000000000000002E-5</v>
          </cell>
          <cell r="AF269">
            <v>5.0000000000000002E-5</v>
          </cell>
          <cell r="AG269">
            <v>5.0000000000000002E-5</v>
          </cell>
          <cell r="AH269">
            <v>5.0000000000000002E-5</v>
          </cell>
        </row>
        <row r="270">
          <cell r="B270" t="str">
            <v>LSFO - TTW emissions (nitrous oxide) - Global - ton N2O/ton fuel</v>
          </cell>
          <cell r="G270">
            <v>1.8000000000000001E-4</v>
          </cell>
          <cell r="H270">
            <v>1.8000000000000001E-4</v>
          </cell>
          <cell r="I270">
            <v>1.8000000000000001E-4</v>
          </cell>
          <cell r="J270">
            <v>1.8000000000000001E-4</v>
          </cell>
          <cell r="K270">
            <v>1.8000000000000001E-4</v>
          </cell>
          <cell r="L270">
            <v>1.8000000000000001E-4</v>
          </cell>
          <cell r="M270">
            <v>1.8000000000000001E-4</v>
          </cell>
          <cell r="N270">
            <v>1.8000000000000001E-4</v>
          </cell>
          <cell r="O270">
            <v>1.8000000000000001E-4</v>
          </cell>
          <cell r="P270">
            <v>1.8000000000000001E-4</v>
          </cell>
          <cell r="Q270">
            <v>1.8000000000000001E-4</v>
          </cell>
          <cell r="R270">
            <v>1.8000000000000001E-4</v>
          </cell>
          <cell r="S270">
            <v>1.8000000000000001E-4</v>
          </cell>
          <cell r="T270">
            <v>1.8000000000000001E-4</v>
          </cell>
          <cell r="U270">
            <v>1.8000000000000001E-4</v>
          </cell>
          <cell r="V270">
            <v>1.8000000000000001E-4</v>
          </cell>
          <cell r="W270">
            <v>1.8000000000000001E-4</v>
          </cell>
          <cell r="X270">
            <v>1.8000000000000001E-4</v>
          </cell>
          <cell r="Y270">
            <v>1.8000000000000001E-4</v>
          </cell>
          <cell r="Z270">
            <v>1.8000000000000001E-4</v>
          </cell>
          <cell r="AA270">
            <v>1.8000000000000001E-4</v>
          </cell>
          <cell r="AB270">
            <v>1.8000000000000001E-4</v>
          </cell>
          <cell r="AC270">
            <v>1.8000000000000001E-4</v>
          </cell>
          <cell r="AD270">
            <v>1.8000000000000001E-4</v>
          </cell>
          <cell r="AE270">
            <v>1.8000000000000001E-4</v>
          </cell>
          <cell r="AF270">
            <v>1.8000000000000001E-4</v>
          </cell>
          <cell r="AG270">
            <v>1.8000000000000001E-4</v>
          </cell>
          <cell r="AH270">
            <v>1.8000000000000001E-4</v>
          </cell>
        </row>
        <row r="272">
          <cell r="G272">
            <v>2023</v>
          </cell>
          <cell r="H272">
            <v>2024</v>
          </cell>
          <cell r="I272">
            <v>2025</v>
          </cell>
          <cell r="J272">
            <v>2026</v>
          </cell>
          <cell r="K272">
            <v>2027</v>
          </cell>
          <cell r="L272">
            <v>2028</v>
          </cell>
          <cell r="M272">
            <v>2029</v>
          </cell>
          <cell r="N272">
            <v>2030</v>
          </cell>
          <cell r="O272">
            <v>2031</v>
          </cell>
          <cell r="P272">
            <v>2032</v>
          </cell>
          <cell r="Q272">
            <v>2033</v>
          </cell>
          <cell r="R272">
            <v>2034</v>
          </cell>
          <cell r="S272">
            <v>2035</v>
          </cell>
          <cell r="T272">
            <v>2036</v>
          </cell>
          <cell r="U272">
            <v>2037</v>
          </cell>
          <cell r="V272">
            <v>2038</v>
          </cell>
          <cell r="W272">
            <v>2039</v>
          </cell>
          <cell r="X272">
            <v>2040</v>
          </cell>
          <cell r="Y272">
            <v>2041</v>
          </cell>
          <cell r="Z272">
            <v>2042</v>
          </cell>
          <cell r="AA272">
            <v>2043</v>
          </cell>
          <cell r="AB272">
            <v>2044</v>
          </cell>
          <cell r="AC272">
            <v>2045</v>
          </cell>
          <cell r="AD272">
            <v>2046</v>
          </cell>
          <cell r="AE272">
            <v>2047</v>
          </cell>
          <cell r="AF272">
            <v>2048</v>
          </cell>
          <cell r="AG272">
            <v>2049</v>
          </cell>
          <cell r="AH272">
            <v>2050</v>
          </cell>
        </row>
        <row r="273">
          <cell r="B273" t="str">
            <v>Crude oil - Price - Africa - USD/barrel</v>
          </cell>
          <cell r="G273">
            <v>95.5</v>
          </cell>
          <cell r="H273">
            <v>89</v>
          </cell>
          <cell r="I273">
            <v>82.5</v>
          </cell>
          <cell r="J273">
            <v>80.399999999999636</v>
          </cell>
          <cell r="K273">
            <v>78.300000000000182</v>
          </cell>
          <cell r="L273">
            <v>76.199999999999818</v>
          </cell>
          <cell r="M273">
            <v>74.099999999999454</v>
          </cell>
          <cell r="N273">
            <v>72</v>
          </cell>
          <cell r="O273">
            <v>72</v>
          </cell>
          <cell r="P273">
            <v>72</v>
          </cell>
          <cell r="Q273">
            <v>72</v>
          </cell>
          <cell r="R273">
            <v>72</v>
          </cell>
          <cell r="S273">
            <v>72</v>
          </cell>
          <cell r="T273">
            <v>72</v>
          </cell>
          <cell r="U273">
            <v>72</v>
          </cell>
          <cell r="V273">
            <v>72</v>
          </cell>
          <cell r="W273">
            <v>72</v>
          </cell>
          <cell r="X273">
            <v>72</v>
          </cell>
          <cell r="Y273">
            <v>72</v>
          </cell>
          <cell r="Z273">
            <v>72</v>
          </cell>
          <cell r="AA273">
            <v>72</v>
          </cell>
          <cell r="AB273">
            <v>72</v>
          </cell>
          <cell r="AC273">
            <v>72</v>
          </cell>
          <cell r="AD273">
            <v>72</v>
          </cell>
          <cell r="AE273">
            <v>72</v>
          </cell>
          <cell r="AF273">
            <v>72</v>
          </cell>
          <cell r="AG273">
            <v>72</v>
          </cell>
          <cell r="AH273">
            <v>72</v>
          </cell>
        </row>
        <row r="274">
          <cell r="B274" t="str">
            <v>Crude oil - Price - Americas - USD/barrel</v>
          </cell>
          <cell r="G274">
            <v>95.5</v>
          </cell>
          <cell r="H274">
            <v>89</v>
          </cell>
          <cell r="I274">
            <v>82.5</v>
          </cell>
          <cell r="J274">
            <v>80.399999999999636</v>
          </cell>
          <cell r="K274">
            <v>78.300000000000182</v>
          </cell>
          <cell r="L274">
            <v>76.199999999999818</v>
          </cell>
          <cell r="M274">
            <v>74.099999999999454</v>
          </cell>
          <cell r="N274">
            <v>72</v>
          </cell>
          <cell r="O274">
            <v>72</v>
          </cell>
          <cell r="P274">
            <v>72</v>
          </cell>
          <cell r="Q274">
            <v>72</v>
          </cell>
          <cell r="R274">
            <v>72</v>
          </cell>
          <cell r="S274">
            <v>72</v>
          </cell>
          <cell r="T274">
            <v>72</v>
          </cell>
          <cell r="U274">
            <v>72</v>
          </cell>
          <cell r="V274">
            <v>72</v>
          </cell>
          <cell r="W274">
            <v>72</v>
          </cell>
          <cell r="X274">
            <v>72</v>
          </cell>
          <cell r="Y274">
            <v>72</v>
          </cell>
          <cell r="Z274">
            <v>72</v>
          </cell>
          <cell r="AA274">
            <v>72</v>
          </cell>
          <cell r="AB274">
            <v>72</v>
          </cell>
          <cell r="AC274">
            <v>72</v>
          </cell>
          <cell r="AD274">
            <v>72</v>
          </cell>
          <cell r="AE274">
            <v>72</v>
          </cell>
          <cell r="AF274">
            <v>72</v>
          </cell>
          <cell r="AG274">
            <v>72</v>
          </cell>
          <cell r="AH274">
            <v>72</v>
          </cell>
        </row>
        <row r="275">
          <cell r="B275" t="str">
            <v>Crude oil - Price - Asia - USD/barrel</v>
          </cell>
          <cell r="G275">
            <v>95.5</v>
          </cell>
          <cell r="H275">
            <v>89</v>
          </cell>
          <cell r="I275">
            <v>82.5</v>
          </cell>
          <cell r="J275">
            <v>80.399999999999636</v>
          </cell>
          <cell r="K275">
            <v>78.300000000000182</v>
          </cell>
          <cell r="L275">
            <v>76.199999999999818</v>
          </cell>
          <cell r="M275">
            <v>74.099999999999454</v>
          </cell>
          <cell r="N275">
            <v>72</v>
          </cell>
          <cell r="O275">
            <v>72</v>
          </cell>
          <cell r="P275">
            <v>72</v>
          </cell>
          <cell r="Q275">
            <v>72</v>
          </cell>
          <cell r="R275">
            <v>72</v>
          </cell>
          <cell r="S275">
            <v>72</v>
          </cell>
          <cell r="T275">
            <v>72</v>
          </cell>
          <cell r="U275">
            <v>72</v>
          </cell>
          <cell r="V275">
            <v>72</v>
          </cell>
          <cell r="W275">
            <v>72</v>
          </cell>
          <cell r="X275">
            <v>72</v>
          </cell>
          <cell r="Y275">
            <v>72</v>
          </cell>
          <cell r="Z275">
            <v>72</v>
          </cell>
          <cell r="AA275">
            <v>72</v>
          </cell>
          <cell r="AB275">
            <v>72</v>
          </cell>
          <cell r="AC275">
            <v>72</v>
          </cell>
          <cell r="AD275">
            <v>72</v>
          </cell>
          <cell r="AE275">
            <v>72</v>
          </cell>
          <cell r="AF275">
            <v>72</v>
          </cell>
          <cell r="AG275">
            <v>72</v>
          </cell>
          <cell r="AH275">
            <v>72</v>
          </cell>
        </row>
        <row r="276">
          <cell r="B276" t="str">
            <v>Crude oil - Price - Europe - USD/barrel</v>
          </cell>
          <cell r="G276">
            <v>95.5</v>
          </cell>
          <cell r="H276">
            <v>89</v>
          </cell>
          <cell r="I276">
            <v>82.5</v>
          </cell>
          <cell r="J276">
            <v>80.399999999999636</v>
          </cell>
          <cell r="K276">
            <v>78.300000000000182</v>
          </cell>
          <cell r="L276">
            <v>76.199999999999818</v>
          </cell>
          <cell r="M276">
            <v>74.099999999999454</v>
          </cell>
          <cell r="N276">
            <v>72</v>
          </cell>
          <cell r="O276">
            <v>72</v>
          </cell>
          <cell r="P276">
            <v>72</v>
          </cell>
          <cell r="Q276">
            <v>72</v>
          </cell>
          <cell r="R276">
            <v>72</v>
          </cell>
          <cell r="S276">
            <v>72</v>
          </cell>
          <cell r="T276">
            <v>72</v>
          </cell>
          <cell r="U276">
            <v>72</v>
          </cell>
          <cell r="V276">
            <v>72</v>
          </cell>
          <cell r="W276">
            <v>72</v>
          </cell>
          <cell r="X276">
            <v>72</v>
          </cell>
          <cell r="Y276">
            <v>72</v>
          </cell>
          <cell r="Z276">
            <v>72</v>
          </cell>
          <cell r="AA276">
            <v>72</v>
          </cell>
          <cell r="AB276">
            <v>72</v>
          </cell>
          <cell r="AC276">
            <v>72</v>
          </cell>
          <cell r="AD276">
            <v>72</v>
          </cell>
          <cell r="AE276">
            <v>72</v>
          </cell>
          <cell r="AF276">
            <v>72</v>
          </cell>
          <cell r="AG276">
            <v>72</v>
          </cell>
          <cell r="AH276">
            <v>72</v>
          </cell>
        </row>
        <row r="277">
          <cell r="B277" t="str">
            <v>Crude oil - Price - Middle East - USD/barrel</v>
          </cell>
          <cell r="G277">
            <v>95.5</v>
          </cell>
          <cell r="H277">
            <v>89</v>
          </cell>
          <cell r="I277">
            <v>82.5</v>
          </cell>
          <cell r="J277">
            <v>80.399999999999636</v>
          </cell>
          <cell r="K277">
            <v>78.300000000000182</v>
          </cell>
          <cell r="L277">
            <v>76.199999999999818</v>
          </cell>
          <cell r="M277">
            <v>74.099999999999454</v>
          </cell>
          <cell r="N277">
            <v>72</v>
          </cell>
          <cell r="O277">
            <v>72</v>
          </cell>
          <cell r="P277">
            <v>72</v>
          </cell>
          <cell r="Q277">
            <v>72</v>
          </cell>
          <cell r="R277">
            <v>72</v>
          </cell>
          <cell r="S277">
            <v>72</v>
          </cell>
          <cell r="T277">
            <v>72</v>
          </cell>
          <cell r="U277">
            <v>72</v>
          </cell>
          <cell r="V277">
            <v>72</v>
          </cell>
          <cell r="W277">
            <v>72</v>
          </cell>
          <cell r="X277">
            <v>72</v>
          </cell>
          <cell r="Y277">
            <v>72</v>
          </cell>
          <cell r="Z277">
            <v>72</v>
          </cell>
          <cell r="AA277">
            <v>72</v>
          </cell>
          <cell r="AB277">
            <v>72</v>
          </cell>
          <cell r="AC277">
            <v>72</v>
          </cell>
          <cell r="AD277">
            <v>72</v>
          </cell>
          <cell r="AE277">
            <v>72</v>
          </cell>
          <cell r="AF277">
            <v>72</v>
          </cell>
          <cell r="AG277">
            <v>72</v>
          </cell>
          <cell r="AH277">
            <v>72</v>
          </cell>
        </row>
        <row r="279">
          <cell r="B279" t="str">
            <v>Natural gas - Price - Africa - USD/ton</v>
          </cell>
          <cell r="G279">
            <v>1120</v>
          </cell>
          <cell r="H279">
            <v>910</v>
          </cell>
          <cell r="I279">
            <v>700</v>
          </cell>
          <cell r="J279">
            <v>655</v>
          </cell>
          <cell r="K279">
            <v>610</v>
          </cell>
          <cell r="L279">
            <v>565</v>
          </cell>
          <cell r="M279">
            <v>520</v>
          </cell>
          <cell r="N279">
            <v>475</v>
          </cell>
          <cell r="O279">
            <v>475</v>
          </cell>
          <cell r="P279">
            <v>475</v>
          </cell>
          <cell r="Q279">
            <v>475</v>
          </cell>
          <cell r="R279">
            <v>475</v>
          </cell>
          <cell r="S279">
            <v>475</v>
          </cell>
          <cell r="T279">
            <v>475</v>
          </cell>
          <cell r="U279">
            <v>475</v>
          </cell>
          <cell r="V279">
            <v>475</v>
          </cell>
          <cell r="W279">
            <v>475</v>
          </cell>
          <cell r="X279">
            <v>475</v>
          </cell>
          <cell r="Y279">
            <v>475</v>
          </cell>
          <cell r="Z279">
            <v>475</v>
          </cell>
          <cell r="AA279">
            <v>475</v>
          </cell>
          <cell r="AB279">
            <v>475</v>
          </cell>
          <cell r="AC279">
            <v>475</v>
          </cell>
          <cell r="AD279">
            <v>475</v>
          </cell>
          <cell r="AE279">
            <v>475</v>
          </cell>
          <cell r="AF279">
            <v>475</v>
          </cell>
          <cell r="AG279">
            <v>475</v>
          </cell>
          <cell r="AH279">
            <v>475</v>
          </cell>
        </row>
        <row r="280">
          <cell r="B280" t="str">
            <v>Natural gas - Price - Americas - USD/ton</v>
          </cell>
          <cell r="G280">
            <v>278</v>
          </cell>
          <cell r="H280">
            <v>254</v>
          </cell>
          <cell r="I280">
            <v>230</v>
          </cell>
          <cell r="J280">
            <v>228</v>
          </cell>
          <cell r="K280">
            <v>226</v>
          </cell>
          <cell r="L280">
            <v>224</v>
          </cell>
          <cell r="M280">
            <v>222</v>
          </cell>
          <cell r="N280">
            <v>220</v>
          </cell>
          <cell r="O280">
            <v>226</v>
          </cell>
          <cell r="P280">
            <v>232</v>
          </cell>
          <cell r="Q280">
            <v>238</v>
          </cell>
          <cell r="R280">
            <v>244</v>
          </cell>
          <cell r="S280">
            <v>250</v>
          </cell>
          <cell r="T280">
            <v>250</v>
          </cell>
          <cell r="U280">
            <v>250</v>
          </cell>
          <cell r="V280">
            <v>250</v>
          </cell>
          <cell r="W280">
            <v>250</v>
          </cell>
          <cell r="X280">
            <v>250</v>
          </cell>
          <cell r="Y280">
            <v>250</v>
          </cell>
          <cell r="Z280">
            <v>250</v>
          </cell>
          <cell r="AA280">
            <v>250</v>
          </cell>
          <cell r="AB280">
            <v>250</v>
          </cell>
          <cell r="AC280">
            <v>250</v>
          </cell>
          <cell r="AD280">
            <v>250</v>
          </cell>
          <cell r="AE280">
            <v>250</v>
          </cell>
          <cell r="AF280">
            <v>250</v>
          </cell>
          <cell r="AG280">
            <v>250</v>
          </cell>
          <cell r="AH280">
            <v>250</v>
          </cell>
        </row>
        <row r="281">
          <cell r="B281" t="str">
            <v>Natural gas - Price - Asia - USD/ton</v>
          </cell>
          <cell r="G281">
            <v>1075</v>
          </cell>
          <cell r="H281">
            <v>900</v>
          </cell>
          <cell r="I281">
            <v>725</v>
          </cell>
          <cell r="J281">
            <v>650</v>
          </cell>
          <cell r="K281">
            <v>575</v>
          </cell>
          <cell r="L281">
            <v>500</v>
          </cell>
          <cell r="M281">
            <v>425</v>
          </cell>
          <cell r="N281">
            <v>350</v>
          </cell>
          <cell r="O281">
            <v>350</v>
          </cell>
          <cell r="P281">
            <v>350</v>
          </cell>
          <cell r="Q281">
            <v>350</v>
          </cell>
          <cell r="R281">
            <v>350</v>
          </cell>
          <cell r="S281">
            <v>350</v>
          </cell>
          <cell r="T281">
            <v>350</v>
          </cell>
          <cell r="U281">
            <v>350</v>
          </cell>
          <cell r="V281">
            <v>350</v>
          </cell>
          <cell r="W281">
            <v>350</v>
          </cell>
          <cell r="X281">
            <v>350</v>
          </cell>
          <cell r="Y281">
            <v>350</v>
          </cell>
          <cell r="Z281">
            <v>350</v>
          </cell>
          <cell r="AA281">
            <v>350</v>
          </cell>
          <cell r="AB281">
            <v>350</v>
          </cell>
          <cell r="AC281">
            <v>350</v>
          </cell>
          <cell r="AD281">
            <v>350</v>
          </cell>
          <cell r="AE281">
            <v>350</v>
          </cell>
          <cell r="AF281">
            <v>350</v>
          </cell>
          <cell r="AG281">
            <v>350</v>
          </cell>
          <cell r="AH281">
            <v>350</v>
          </cell>
        </row>
        <row r="282">
          <cell r="B282" t="str">
            <v>Natural gas - Price - Europe - USD/ton</v>
          </cell>
          <cell r="G282">
            <v>1120</v>
          </cell>
          <cell r="H282">
            <v>910</v>
          </cell>
          <cell r="I282">
            <v>700</v>
          </cell>
          <cell r="J282">
            <v>655</v>
          </cell>
          <cell r="K282">
            <v>610</v>
          </cell>
          <cell r="L282">
            <v>565</v>
          </cell>
          <cell r="M282">
            <v>520</v>
          </cell>
          <cell r="N282">
            <v>475</v>
          </cell>
          <cell r="O282">
            <v>475</v>
          </cell>
          <cell r="P282">
            <v>475</v>
          </cell>
          <cell r="Q282">
            <v>475</v>
          </cell>
          <cell r="R282">
            <v>475</v>
          </cell>
          <cell r="S282">
            <v>475</v>
          </cell>
          <cell r="T282">
            <v>475</v>
          </cell>
          <cell r="U282">
            <v>475</v>
          </cell>
          <cell r="V282">
            <v>475</v>
          </cell>
          <cell r="W282">
            <v>475</v>
          </cell>
          <cell r="X282">
            <v>475</v>
          </cell>
          <cell r="Y282">
            <v>475</v>
          </cell>
          <cell r="Z282">
            <v>475</v>
          </cell>
          <cell r="AA282">
            <v>475</v>
          </cell>
          <cell r="AB282">
            <v>475</v>
          </cell>
          <cell r="AC282">
            <v>475</v>
          </cell>
          <cell r="AD282">
            <v>475</v>
          </cell>
          <cell r="AE282">
            <v>475</v>
          </cell>
          <cell r="AF282">
            <v>475</v>
          </cell>
          <cell r="AG282">
            <v>475</v>
          </cell>
          <cell r="AH282">
            <v>475</v>
          </cell>
        </row>
        <row r="283">
          <cell r="B283" t="str">
            <v>Natural gas - Price - Middle East - USD/ton</v>
          </cell>
          <cell r="G283">
            <v>875</v>
          </cell>
          <cell r="H283">
            <v>700</v>
          </cell>
          <cell r="I283">
            <v>525</v>
          </cell>
          <cell r="J283">
            <v>449</v>
          </cell>
          <cell r="K283">
            <v>373</v>
          </cell>
          <cell r="L283">
            <v>297</v>
          </cell>
          <cell r="M283">
            <v>221</v>
          </cell>
          <cell r="N283">
            <v>145</v>
          </cell>
          <cell r="O283">
            <v>145</v>
          </cell>
          <cell r="P283">
            <v>145</v>
          </cell>
          <cell r="Q283">
            <v>145</v>
          </cell>
          <cell r="R283">
            <v>145</v>
          </cell>
          <cell r="S283">
            <v>145</v>
          </cell>
          <cell r="T283">
            <v>145</v>
          </cell>
          <cell r="U283">
            <v>145</v>
          </cell>
          <cell r="V283">
            <v>145</v>
          </cell>
          <cell r="W283">
            <v>145</v>
          </cell>
          <cell r="X283">
            <v>145</v>
          </cell>
          <cell r="Y283">
            <v>145</v>
          </cell>
          <cell r="Z283">
            <v>145</v>
          </cell>
          <cell r="AA283">
            <v>145</v>
          </cell>
          <cell r="AB283">
            <v>145</v>
          </cell>
          <cell r="AC283">
            <v>145</v>
          </cell>
          <cell r="AD283">
            <v>145</v>
          </cell>
          <cell r="AE283">
            <v>145</v>
          </cell>
          <cell r="AF283">
            <v>145</v>
          </cell>
          <cell r="AG283">
            <v>145</v>
          </cell>
          <cell r="AH283">
            <v>145</v>
          </cell>
        </row>
        <row r="284">
          <cell r="B284" t="str">
            <v>Natural gas - Feedstock WTT emissions (carbon dioxide) - Global - ton CO2/ton feedstock</v>
          </cell>
          <cell r="G284">
            <v>0.11</v>
          </cell>
          <cell r="H284">
            <v>0.11</v>
          </cell>
          <cell r="I284">
            <v>0.11</v>
          </cell>
          <cell r="J284">
            <v>0.11</v>
          </cell>
          <cell r="K284">
            <v>0.11</v>
          </cell>
          <cell r="L284">
            <v>0.11</v>
          </cell>
          <cell r="M284">
            <v>0.11</v>
          </cell>
          <cell r="N284">
            <v>0.11</v>
          </cell>
          <cell r="O284">
            <v>0.11</v>
          </cell>
          <cell r="P284">
            <v>0.11</v>
          </cell>
          <cell r="Q284">
            <v>0.11</v>
          </cell>
          <cell r="R284">
            <v>0.11</v>
          </cell>
          <cell r="S284">
            <v>0.11</v>
          </cell>
          <cell r="T284">
            <v>0.11</v>
          </cell>
          <cell r="U284">
            <v>0.11</v>
          </cell>
          <cell r="V284">
            <v>0.11</v>
          </cell>
          <cell r="W284">
            <v>0.11</v>
          </cell>
          <cell r="X284">
            <v>0.11</v>
          </cell>
          <cell r="Y284">
            <v>0.11</v>
          </cell>
          <cell r="Z284">
            <v>0.11</v>
          </cell>
          <cell r="AA284">
            <v>0.11</v>
          </cell>
          <cell r="AB284">
            <v>0.11</v>
          </cell>
          <cell r="AC284">
            <v>0.11</v>
          </cell>
          <cell r="AD284">
            <v>0.11</v>
          </cell>
          <cell r="AE284">
            <v>0.11</v>
          </cell>
          <cell r="AF284">
            <v>0.11</v>
          </cell>
          <cell r="AG284">
            <v>0.11</v>
          </cell>
          <cell r="AH284">
            <v>0.11</v>
          </cell>
        </row>
        <row r="285">
          <cell r="B285" t="str">
            <v>Natural gas - Feedstock WTT emissions (methane) - Global - ton CH4/ton feedstock</v>
          </cell>
          <cell r="G285">
            <v>7.3000000000000001E-3</v>
          </cell>
          <cell r="H285">
            <v>7.3000000000000001E-3</v>
          </cell>
          <cell r="I285">
            <v>7.3000000000000001E-3</v>
          </cell>
          <cell r="J285">
            <v>7.3000000000000001E-3</v>
          </cell>
          <cell r="K285">
            <v>7.3000000000000001E-3</v>
          </cell>
          <cell r="L285">
            <v>7.3000000000000001E-3</v>
          </cell>
          <cell r="M285">
            <v>7.3000000000000001E-3</v>
          </cell>
          <cell r="N285">
            <v>7.3000000000000001E-3</v>
          </cell>
          <cell r="O285">
            <v>7.3000000000000001E-3</v>
          </cell>
          <cell r="P285">
            <v>7.3000000000000001E-3</v>
          </cell>
          <cell r="Q285">
            <v>7.3000000000000001E-3</v>
          </cell>
          <cell r="R285">
            <v>7.3000000000000001E-3</v>
          </cell>
          <cell r="S285">
            <v>7.3000000000000001E-3</v>
          </cell>
          <cell r="T285">
            <v>7.3000000000000001E-3</v>
          </cell>
          <cell r="U285">
            <v>7.3000000000000001E-3</v>
          </cell>
          <cell r="V285">
            <v>7.3000000000000001E-3</v>
          </cell>
          <cell r="W285">
            <v>7.3000000000000001E-3</v>
          </cell>
          <cell r="X285">
            <v>7.3000000000000001E-3</v>
          </cell>
          <cell r="Y285">
            <v>7.3000000000000001E-3</v>
          </cell>
          <cell r="Z285">
            <v>7.3000000000000001E-3</v>
          </cell>
          <cell r="AA285">
            <v>7.3000000000000001E-3</v>
          </cell>
          <cell r="AB285">
            <v>7.3000000000000001E-3</v>
          </cell>
          <cell r="AC285">
            <v>7.3000000000000001E-3</v>
          </cell>
          <cell r="AD285">
            <v>7.3000000000000001E-3</v>
          </cell>
          <cell r="AE285">
            <v>7.3000000000000001E-3</v>
          </cell>
          <cell r="AF285">
            <v>7.3000000000000001E-3</v>
          </cell>
          <cell r="AG285">
            <v>7.3000000000000001E-3</v>
          </cell>
          <cell r="AH285">
            <v>7.3000000000000001E-3</v>
          </cell>
        </row>
        <row r="286">
          <cell r="B286" t="str">
            <v>Natural gas - Feedstock WTT emissions (nitrous oxide) - Global - ton N2O/ton feedstock</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row>
        <row r="288">
          <cell r="B288" t="str">
            <v>Wood - Price - Africa - USD/ton</v>
          </cell>
          <cell r="G288">
            <v>119</v>
          </cell>
          <cell r="H288">
            <v>120</v>
          </cell>
          <cell r="I288">
            <v>121</v>
          </cell>
          <cell r="J288">
            <v>122</v>
          </cell>
          <cell r="K288">
            <v>123</v>
          </cell>
          <cell r="L288">
            <v>124</v>
          </cell>
          <cell r="M288">
            <v>125</v>
          </cell>
          <cell r="N288">
            <v>126</v>
          </cell>
          <cell r="O288">
            <v>127.19999999999982</v>
          </cell>
          <cell r="P288">
            <v>128.40000000000009</v>
          </cell>
          <cell r="Q288">
            <v>129.59999999999991</v>
          </cell>
          <cell r="R288">
            <v>130.79999999999973</v>
          </cell>
          <cell r="S288">
            <v>132</v>
          </cell>
          <cell r="T288">
            <v>133</v>
          </cell>
          <cell r="U288">
            <v>134</v>
          </cell>
          <cell r="V288">
            <v>135</v>
          </cell>
          <cell r="W288">
            <v>136</v>
          </cell>
          <cell r="X288">
            <v>137</v>
          </cell>
          <cell r="Y288">
            <v>138</v>
          </cell>
          <cell r="Z288">
            <v>139</v>
          </cell>
          <cell r="AA288">
            <v>140</v>
          </cell>
          <cell r="AB288">
            <v>141</v>
          </cell>
          <cell r="AC288">
            <v>142</v>
          </cell>
          <cell r="AD288">
            <v>143</v>
          </cell>
          <cell r="AE288">
            <v>144</v>
          </cell>
          <cell r="AF288">
            <v>145</v>
          </cell>
          <cell r="AG288">
            <v>146</v>
          </cell>
          <cell r="AH288">
            <v>147</v>
          </cell>
        </row>
        <row r="289">
          <cell r="B289" t="str">
            <v>Wood - Price - Americas - USD/ton</v>
          </cell>
          <cell r="G289">
            <v>87.400000000000091</v>
          </cell>
          <cell r="H289">
            <v>88.200000000000045</v>
          </cell>
          <cell r="I289">
            <v>89</v>
          </cell>
          <cell r="J289">
            <v>90</v>
          </cell>
          <cell r="K289">
            <v>91</v>
          </cell>
          <cell r="L289">
            <v>92</v>
          </cell>
          <cell r="M289">
            <v>93</v>
          </cell>
          <cell r="N289">
            <v>94</v>
          </cell>
          <cell r="O289">
            <v>94.800000000000182</v>
          </cell>
          <cell r="P289">
            <v>95.600000000000136</v>
          </cell>
          <cell r="Q289">
            <v>96.400000000000091</v>
          </cell>
          <cell r="R289">
            <v>97.200000000000045</v>
          </cell>
          <cell r="S289">
            <v>98</v>
          </cell>
          <cell r="T289">
            <v>98.800000000000182</v>
          </cell>
          <cell r="U289">
            <v>99.600000000000136</v>
          </cell>
          <cell r="V289">
            <v>100.40000000000009</v>
          </cell>
          <cell r="W289">
            <v>101.20000000000005</v>
          </cell>
          <cell r="X289">
            <v>102</v>
          </cell>
          <cell r="Y289">
            <v>103</v>
          </cell>
          <cell r="Z289">
            <v>104</v>
          </cell>
          <cell r="AA289">
            <v>105</v>
          </cell>
          <cell r="AB289">
            <v>106</v>
          </cell>
          <cell r="AC289">
            <v>107</v>
          </cell>
          <cell r="AD289">
            <v>107.80000000000018</v>
          </cell>
          <cell r="AE289">
            <v>108.60000000000014</v>
          </cell>
          <cell r="AF289">
            <v>109.40000000000009</v>
          </cell>
          <cell r="AG289">
            <v>110.20000000000005</v>
          </cell>
          <cell r="AH289">
            <v>111</v>
          </cell>
        </row>
        <row r="290">
          <cell r="B290" t="str">
            <v>Wood - Price - Asia - USD/ton</v>
          </cell>
          <cell r="G290">
            <v>71</v>
          </cell>
          <cell r="H290">
            <v>72</v>
          </cell>
          <cell r="I290">
            <v>73</v>
          </cell>
          <cell r="J290">
            <v>73.800000000000182</v>
          </cell>
          <cell r="K290">
            <v>74.600000000000136</v>
          </cell>
          <cell r="L290">
            <v>75.400000000000091</v>
          </cell>
          <cell r="M290">
            <v>76.200000000000045</v>
          </cell>
          <cell r="N290">
            <v>77</v>
          </cell>
          <cell r="O290">
            <v>78</v>
          </cell>
          <cell r="P290">
            <v>79</v>
          </cell>
          <cell r="Q290">
            <v>80</v>
          </cell>
          <cell r="R290">
            <v>81</v>
          </cell>
          <cell r="S290">
            <v>82</v>
          </cell>
          <cell r="T290">
            <v>83</v>
          </cell>
          <cell r="U290">
            <v>84</v>
          </cell>
          <cell r="V290">
            <v>85</v>
          </cell>
          <cell r="W290">
            <v>86</v>
          </cell>
          <cell r="X290">
            <v>87</v>
          </cell>
          <cell r="Y290">
            <v>87.800000000000182</v>
          </cell>
          <cell r="Z290">
            <v>88.600000000000136</v>
          </cell>
          <cell r="AA290">
            <v>89.400000000000091</v>
          </cell>
          <cell r="AB290">
            <v>90.200000000000045</v>
          </cell>
          <cell r="AC290">
            <v>91</v>
          </cell>
          <cell r="AD290">
            <v>92</v>
          </cell>
          <cell r="AE290">
            <v>93</v>
          </cell>
          <cell r="AF290">
            <v>94</v>
          </cell>
          <cell r="AG290">
            <v>95</v>
          </cell>
          <cell r="AH290">
            <v>96</v>
          </cell>
        </row>
        <row r="291">
          <cell r="B291" t="str">
            <v>Wood - Price - Europe - USD/ton</v>
          </cell>
          <cell r="G291">
            <v>98</v>
          </cell>
          <cell r="H291">
            <v>99</v>
          </cell>
          <cell r="I291">
            <v>100</v>
          </cell>
          <cell r="J291">
            <v>101</v>
          </cell>
          <cell r="K291">
            <v>102</v>
          </cell>
          <cell r="L291">
            <v>103</v>
          </cell>
          <cell r="M291">
            <v>104</v>
          </cell>
          <cell r="N291">
            <v>105</v>
          </cell>
          <cell r="O291">
            <v>106</v>
          </cell>
          <cell r="P291">
            <v>107</v>
          </cell>
          <cell r="Q291">
            <v>108</v>
          </cell>
          <cell r="R291">
            <v>109</v>
          </cell>
          <cell r="S291">
            <v>110</v>
          </cell>
          <cell r="T291">
            <v>110.80000000000018</v>
          </cell>
          <cell r="U291">
            <v>111.60000000000014</v>
          </cell>
          <cell r="V291">
            <v>112.40000000000009</v>
          </cell>
          <cell r="W291">
            <v>113.20000000000005</v>
          </cell>
          <cell r="X291">
            <v>114</v>
          </cell>
          <cell r="Y291">
            <v>115</v>
          </cell>
          <cell r="Z291">
            <v>116</v>
          </cell>
          <cell r="AA291">
            <v>117</v>
          </cell>
          <cell r="AB291">
            <v>118</v>
          </cell>
          <cell r="AC291">
            <v>119</v>
          </cell>
          <cell r="AD291">
            <v>120</v>
          </cell>
          <cell r="AE291">
            <v>121</v>
          </cell>
          <cell r="AF291">
            <v>122</v>
          </cell>
          <cell r="AG291">
            <v>123</v>
          </cell>
          <cell r="AH291">
            <v>124</v>
          </cell>
        </row>
        <row r="292">
          <cell r="B292" t="str">
            <v>Wood - Price - Middle East - USD/ton</v>
          </cell>
          <cell r="G292">
            <v>113.40000000000009</v>
          </cell>
          <cell r="H292">
            <v>114.20000000000005</v>
          </cell>
          <cell r="I292">
            <v>115</v>
          </cell>
          <cell r="J292">
            <v>115.80000000000018</v>
          </cell>
          <cell r="K292">
            <v>116.60000000000014</v>
          </cell>
          <cell r="L292">
            <v>117.40000000000009</v>
          </cell>
          <cell r="M292">
            <v>118.20000000000005</v>
          </cell>
          <cell r="N292">
            <v>119</v>
          </cell>
          <cell r="O292">
            <v>119.80000000000018</v>
          </cell>
          <cell r="P292">
            <v>120.60000000000014</v>
          </cell>
          <cell r="Q292">
            <v>121.40000000000009</v>
          </cell>
          <cell r="R292">
            <v>122.20000000000005</v>
          </cell>
          <cell r="S292">
            <v>123</v>
          </cell>
          <cell r="T292">
            <v>124</v>
          </cell>
          <cell r="U292">
            <v>125</v>
          </cell>
          <cell r="V292">
            <v>126</v>
          </cell>
          <cell r="W292">
            <v>127</v>
          </cell>
          <cell r="X292">
            <v>128</v>
          </cell>
          <cell r="Y292">
            <v>128.80000000000018</v>
          </cell>
          <cell r="Z292">
            <v>129.60000000000014</v>
          </cell>
          <cell r="AA292">
            <v>130.40000000000009</v>
          </cell>
          <cell r="AB292">
            <v>131.20000000000005</v>
          </cell>
          <cell r="AC292">
            <v>132</v>
          </cell>
          <cell r="AD292">
            <v>132.80000000000018</v>
          </cell>
          <cell r="AE292">
            <v>133.60000000000014</v>
          </cell>
          <cell r="AF292">
            <v>134.40000000000009</v>
          </cell>
          <cell r="AG292">
            <v>135.20000000000005</v>
          </cell>
          <cell r="AH292">
            <v>136</v>
          </cell>
        </row>
        <row r="293">
          <cell r="B293" t="str">
            <v>Wood - Feedstock WTT emissions (carbon dioxide) - Global - ton CO2/ton feedstock</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row>
        <row r="294">
          <cell r="B294" t="str">
            <v>Wood - Feedstock WTT emissions (methane) - Global - ton CH4/ton feedstock</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row>
        <row r="295">
          <cell r="B295" t="str">
            <v>Wood - Feedstock WTT emissions (nitrous oxide) - Global - ton N2O/ton feedstock</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row>
        <row r="297">
          <cell r="B297" t="str">
            <v>Waste - Price - Africa - USD/ton</v>
          </cell>
          <cell r="G297">
            <v>50</v>
          </cell>
          <cell r="H297">
            <v>50</v>
          </cell>
          <cell r="I297">
            <v>50</v>
          </cell>
          <cell r="J297">
            <v>50</v>
          </cell>
          <cell r="K297">
            <v>50</v>
          </cell>
          <cell r="L297">
            <v>50</v>
          </cell>
          <cell r="M297">
            <v>50</v>
          </cell>
          <cell r="N297">
            <v>50</v>
          </cell>
          <cell r="O297">
            <v>50</v>
          </cell>
          <cell r="P297">
            <v>50</v>
          </cell>
          <cell r="Q297">
            <v>50</v>
          </cell>
          <cell r="R297">
            <v>50</v>
          </cell>
          <cell r="S297">
            <v>50</v>
          </cell>
          <cell r="T297">
            <v>50</v>
          </cell>
          <cell r="U297">
            <v>50</v>
          </cell>
          <cell r="V297">
            <v>50</v>
          </cell>
          <cell r="W297">
            <v>50</v>
          </cell>
          <cell r="X297">
            <v>50</v>
          </cell>
          <cell r="Y297">
            <v>50</v>
          </cell>
          <cell r="Z297">
            <v>50</v>
          </cell>
          <cell r="AA297">
            <v>50</v>
          </cell>
          <cell r="AB297">
            <v>50</v>
          </cell>
          <cell r="AC297">
            <v>50</v>
          </cell>
          <cell r="AD297">
            <v>50</v>
          </cell>
          <cell r="AE297">
            <v>50</v>
          </cell>
          <cell r="AF297">
            <v>50</v>
          </cell>
          <cell r="AG297">
            <v>50</v>
          </cell>
          <cell r="AH297">
            <v>50</v>
          </cell>
        </row>
        <row r="298">
          <cell r="B298" t="str">
            <v>Waste - Price - Americas - USD/ton</v>
          </cell>
          <cell r="G298">
            <v>50</v>
          </cell>
          <cell r="H298">
            <v>50</v>
          </cell>
          <cell r="I298">
            <v>50</v>
          </cell>
          <cell r="J298">
            <v>50</v>
          </cell>
          <cell r="K298">
            <v>50</v>
          </cell>
          <cell r="L298">
            <v>50</v>
          </cell>
          <cell r="M298">
            <v>50</v>
          </cell>
          <cell r="N298">
            <v>50</v>
          </cell>
          <cell r="O298">
            <v>50</v>
          </cell>
          <cell r="P298">
            <v>50</v>
          </cell>
          <cell r="Q298">
            <v>50</v>
          </cell>
          <cell r="R298">
            <v>50</v>
          </cell>
          <cell r="S298">
            <v>50</v>
          </cell>
          <cell r="T298">
            <v>50</v>
          </cell>
          <cell r="U298">
            <v>50</v>
          </cell>
          <cell r="V298">
            <v>50</v>
          </cell>
          <cell r="W298">
            <v>50</v>
          </cell>
          <cell r="X298">
            <v>50</v>
          </cell>
          <cell r="Y298">
            <v>50</v>
          </cell>
          <cell r="Z298">
            <v>50</v>
          </cell>
          <cell r="AA298">
            <v>50</v>
          </cell>
          <cell r="AB298">
            <v>50</v>
          </cell>
          <cell r="AC298">
            <v>50</v>
          </cell>
          <cell r="AD298">
            <v>50</v>
          </cell>
          <cell r="AE298">
            <v>50</v>
          </cell>
          <cell r="AF298">
            <v>50</v>
          </cell>
          <cell r="AG298">
            <v>50</v>
          </cell>
          <cell r="AH298">
            <v>50</v>
          </cell>
        </row>
        <row r="299">
          <cell r="B299" t="str">
            <v>Waste - Price - Asia - USD/ton</v>
          </cell>
          <cell r="G299">
            <v>50</v>
          </cell>
          <cell r="H299">
            <v>50</v>
          </cell>
          <cell r="I299">
            <v>50</v>
          </cell>
          <cell r="J299">
            <v>50</v>
          </cell>
          <cell r="K299">
            <v>50</v>
          </cell>
          <cell r="L299">
            <v>50</v>
          </cell>
          <cell r="M299">
            <v>50</v>
          </cell>
          <cell r="N299">
            <v>50</v>
          </cell>
          <cell r="O299">
            <v>50</v>
          </cell>
          <cell r="P299">
            <v>50</v>
          </cell>
          <cell r="Q299">
            <v>50</v>
          </cell>
          <cell r="R299">
            <v>50</v>
          </cell>
          <cell r="S299">
            <v>50</v>
          </cell>
          <cell r="T299">
            <v>50</v>
          </cell>
          <cell r="U299">
            <v>50</v>
          </cell>
          <cell r="V299">
            <v>50</v>
          </cell>
          <cell r="W299">
            <v>50</v>
          </cell>
          <cell r="X299">
            <v>50</v>
          </cell>
          <cell r="Y299">
            <v>50</v>
          </cell>
          <cell r="Z299">
            <v>50</v>
          </cell>
          <cell r="AA299">
            <v>50</v>
          </cell>
          <cell r="AB299">
            <v>50</v>
          </cell>
          <cell r="AC299">
            <v>50</v>
          </cell>
          <cell r="AD299">
            <v>50</v>
          </cell>
          <cell r="AE299">
            <v>50</v>
          </cell>
          <cell r="AF299">
            <v>50</v>
          </cell>
          <cell r="AG299">
            <v>50</v>
          </cell>
          <cell r="AH299">
            <v>50</v>
          </cell>
        </row>
        <row r="300">
          <cell r="B300" t="str">
            <v>Waste - Price - Europe - USD/ton</v>
          </cell>
          <cell r="G300">
            <v>50</v>
          </cell>
          <cell r="H300">
            <v>50</v>
          </cell>
          <cell r="I300">
            <v>50</v>
          </cell>
          <cell r="J300">
            <v>50</v>
          </cell>
          <cell r="K300">
            <v>50</v>
          </cell>
          <cell r="L300">
            <v>50</v>
          </cell>
          <cell r="M300">
            <v>50</v>
          </cell>
          <cell r="N300">
            <v>50</v>
          </cell>
          <cell r="O300">
            <v>50</v>
          </cell>
          <cell r="P300">
            <v>50</v>
          </cell>
          <cell r="Q300">
            <v>50</v>
          </cell>
          <cell r="R300">
            <v>50</v>
          </cell>
          <cell r="S300">
            <v>50</v>
          </cell>
          <cell r="T300">
            <v>50</v>
          </cell>
          <cell r="U300">
            <v>50</v>
          </cell>
          <cell r="V300">
            <v>50</v>
          </cell>
          <cell r="W300">
            <v>50</v>
          </cell>
          <cell r="X300">
            <v>50</v>
          </cell>
          <cell r="Y300">
            <v>50</v>
          </cell>
          <cell r="Z300">
            <v>50</v>
          </cell>
          <cell r="AA300">
            <v>50</v>
          </cell>
          <cell r="AB300">
            <v>50</v>
          </cell>
          <cell r="AC300">
            <v>50</v>
          </cell>
          <cell r="AD300">
            <v>50</v>
          </cell>
          <cell r="AE300">
            <v>50</v>
          </cell>
          <cell r="AF300">
            <v>50</v>
          </cell>
          <cell r="AG300">
            <v>50</v>
          </cell>
          <cell r="AH300">
            <v>50</v>
          </cell>
        </row>
        <row r="301">
          <cell r="B301" t="str">
            <v>Waste - Price - Middle East - USD/ton</v>
          </cell>
          <cell r="G301">
            <v>50</v>
          </cell>
          <cell r="H301">
            <v>50</v>
          </cell>
          <cell r="I301">
            <v>50</v>
          </cell>
          <cell r="J301">
            <v>50</v>
          </cell>
          <cell r="K301">
            <v>50</v>
          </cell>
          <cell r="L301">
            <v>50</v>
          </cell>
          <cell r="M301">
            <v>50</v>
          </cell>
          <cell r="N301">
            <v>50</v>
          </cell>
          <cell r="O301">
            <v>50</v>
          </cell>
          <cell r="P301">
            <v>50</v>
          </cell>
          <cell r="Q301">
            <v>50</v>
          </cell>
          <cell r="R301">
            <v>50</v>
          </cell>
          <cell r="S301">
            <v>50</v>
          </cell>
          <cell r="T301">
            <v>50</v>
          </cell>
          <cell r="U301">
            <v>50</v>
          </cell>
          <cell r="V301">
            <v>50</v>
          </cell>
          <cell r="W301">
            <v>50</v>
          </cell>
          <cell r="X301">
            <v>50</v>
          </cell>
          <cell r="Y301">
            <v>50</v>
          </cell>
          <cell r="Z301">
            <v>50</v>
          </cell>
          <cell r="AA301">
            <v>50</v>
          </cell>
          <cell r="AB301">
            <v>50</v>
          </cell>
          <cell r="AC301">
            <v>50</v>
          </cell>
          <cell r="AD301">
            <v>50</v>
          </cell>
          <cell r="AE301">
            <v>50</v>
          </cell>
          <cell r="AF301">
            <v>50</v>
          </cell>
          <cell r="AG301">
            <v>50</v>
          </cell>
          <cell r="AH301">
            <v>50</v>
          </cell>
        </row>
        <row r="302">
          <cell r="B302" t="str">
            <v>Waste - Feedstock WTT emissions (carbon dioxide) - Global - ton CO2/ton feedstock</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row>
        <row r="303">
          <cell r="B303" t="str">
            <v>Waste - Feedstock WTT emissions (methane) - Global - ton CH4/ton feedstock</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row>
        <row r="304">
          <cell r="B304" t="str">
            <v>Waste - Feedstock WTT emissions (nitrous oxide) - Global - ton N2O/ton feedstock</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row>
        <row r="306">
          <cell r="B306" t="str">
            <v>Demineralized water - Cost - Global - USD/ton water</v>
          </cell>
          <cell r="G306">
            <v>1.5</v>
          </cell>
          <cell r="H306">
            <v>1.5</v>
          </cell>
          <cell r="I306">
            <v>1.5</v>
          </cell>
          <cell r="J306">
            <v>1.5</v>
          </cell>
          <cell r="K306">
            <v>1.5</v>
          </cell>
          <cell r="L306">
            <v>1.5</v>
          </cell>
          <cell r="M306">
            <v>1.5</v>
          </cell>
          <cell r="N306">
            <v>1.5</v>
          </cell>
          <cell r="O306">
            <v>1.5</v>
          </cell>
          <cell r="P306">
            <v>1.5</v>
          </cell>
          <cell r="Q306">
            <v>1.5</v>
          </cell>
          <cell r="R306">
            <v>1.5</v>
          </cell>
          <cell r="S306">
            <v>1.5</v>
          </cell>
          <cell r="T306">
            <v>1.5</v>
          </cell>
          <cell r="U306">
            <v>1.5</v>
          </cell>
          <cell r="V306">
            <v>1.5</v>
          </cell>
          <cell r="W306">
            <v>1.5</v>
          </cell>
          <cell r="X306">
            <v>1.5</v>
          </cell>
          <cell r="Y306">
            <v>1.5</v>
          </cell>
          <cell r="Z306">
            <v>1.5</v>
          </cell>
          <cell r="AA306">
            <v>1.5</v>
          </cell>
          <cell r="AB306">
            <v>1.5</v>
          </cell>
          <cell r="AC306">
            <v>1.5</v>
          </cell>
          <cell r="AD306">
            <v>1.5</v>
          </cell>
          <cell r="AE306">
            <v>1.5</v>
          </cell>
          <cell r="AF306">
            <v>1.5</v>
          </cell>
          <cell r="AG306">
            <v>1.5</v>
          </cell>
          <cell r="AH306">
            <v>1.5</v>
          </cell>
        </row>
        <row r="307">
          <cell r="B307" t="str">
            <v>Demineralized water - Feedstock WTT emissions (carbon dioxide) - Global - ton CO2/ton feedstock</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row>
        <row r="308">
          <cell r="B308" t="str">
            <v>Demineralized water - Feedstock WTT emissions (methane) - Global - ton CH4/ton feedstock</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row>
        <row r="309">
          <cell r="B309" t="str">
            <v>Demineralized water - Feedstock WTT emissions (nitrous oxide) - Global - ton N2O/ton feedstock</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row>
        <row r="311">
          <cell r="B311" t="str">
            <v>Renewable electricity - Capacity factor - Africa - %</v>
          </cell>
          <cell r="G311">
            <v>0.9</v>
          </cell>
          <cell r="H311">
            <v>0.9</v>
          </cell>
          <cell r="I311">
            <v>0.9</v>
          </cell>
          <cell r="J311">
            <v>0.9</v>
          </cell>
          <cell r="K311">
            <v>0.9</v>
          </cell>
          <cell r="L311">
            <v>0.9</v>
          </cell>
          <cell r="M311">
            <v>0.9</v>
          </cell>
          <cell r="N311">
            <v>0.9</v>
          </cell>
          <cell r="O311">
            <v>0.9</v>
          </cell>
          <cell r="P311">
            <v>0.9</v>
          </cell>
          <cell r="Q311">
            <v>0.9</v>
          </cell>
          <cell r="R311">
            <v>0.9</v>
          </cell>
          <cell r="S311">
            <v>0.9</v>
          </cell>
          <cell r="T311">
            <v>0.9</v>
          </cell>
          <cell r="U311">
            <v>0.9</v>
          </cell>
          <cell r="V311">
            <v>0.9</v>
          </cell>
          <cell r="W311">
            <v>0.9</v>
          </cell>
          <cell r="X311">
            <v>0.9</v>
          </cell>
          <cell r="Y311">
            <v>0.9</v>
          </cell>
          <cell r="Z311">
            <v>0.9</v>
          </cell>
          <cell r="AA311">
            <v>0.9</v>
          </cell>
          <cell r="AB311">
            <v>0.9</v>
          </cell>
          <cell r="AC311">
            <v>0.9</v>
          </cell>
          <cell r="AD311">
            <v>0.9</v>
          </cell>
          <cell r="AE311">
            <v>0.9</v>
          </cell>
          <cell r="AF311">
            <v>0.9</v>
          </cell>
          <cell r="AG311">
            <v>0.9</v>
          </cell>
          <cell r="AH311">
            <v>0.9</v>
          </cell>
        </row>
        <row r="312">
          <cell r="B312" t="str">
            <v>Renewable electricity - Capacity factor - Americas - %</v>
          </cell>
          <cell r="G312">
            <v>0.9</v>
          </cell>
          <cell r="H312">
            <v>0.9</v>
          </cell>
          <cell r="I312">
            <v>0.9</v>
          </cell>
          <cell r="J312">
            <v>0.9</v>
          </cell>
          <cell r="K312">
            <v>0.9</v>
          </cell>
          <cell r="L312">
            <v>0.9</v>
          </cell>
          <cell r="M312">
            <v>0.9</v>
          </cell>
          <cell r="N312">
            <v>0.9</v>
          </cell>
          <cell r="O312">
            <v>0.9</v>
          </cell>
          <cell r="P312">
            <v>0.9</v>
          </cell>
          <cell r="Q312">
            <v>0.9</v>
          </cell>
          <cell r="R312">
            <v>0.9</v>
          </cell>
          <cell r="S312">
            <v>0.9</v>
          </cell>
          <cell r="T312">
            <v>0.9</v>
          </cell>
          <cell r="U312">
            <v>0.9</v>
          </cell>
          <cell r="V312">
            <v>0.9</v>
          </cell>
          <cell r="W312">
            <v>0.9</v>
          </cell>
          <cell r="X312">
            <v>0.9</v>
          </cell>
          <cell r="Y312">
            <v>0.9</v>
          </cell>
          <cell r="Z312">
            <v>0.9</v>
          </cell>
          <cell r="AA312">
            <v>0.9</v>
          </cell>
          <cell r="AB312">
            <v>0.9</v>
          </cell>
          <cell r="AC312">
            <v>0.9</v>
          </cell>
          <cell r="AD312">
            <v>0.9</v>
          </cell>
          <cell r="AE312">
            <v>0.9</v>
          </cell>
          <cell r="AF312">
            <v>0.9</v>
          </cell>
          <cell r="AG312">
            <v>0.9</v>
          </cell>
          <cell r="AH312">
            <v>0.9</v>
          </cell>
        </row>
        <row r="313">
          <cell r="B313" t="str">
            <v>Renewable electricity - Capacity factor - Asia - %</v>
          </cell>
          <cell r="G313">
            <v>0.9</v>
          </cell>
          <cell r="H313">
            <v>0.9</v>
          </cell>
          <cell r="I313">
            <v>0.9</v>
          </cell>
          <cell r="J313">
            <v>0.9</v>
          </cell>
          <cell r="K313">
            <v>0.9</v>
          </cell>
          <cell r="L313">
            <v>0.9</v>
          </cell>
          <cell r="M313">
            <v>0.9</v>
          </cell>
          <cell r="N313">
            <v>0.9</v>
          </cell>
          <cell r="O313">
            <v>0.9</v>
          </cell>
          <cell r="P313">
            <v>0.9</v>
          </cell>
          <cell r="Q313">
            <v>0.9</v>
          </cell>
          <cell r="R313">
            <v>0.9</v>
          </cell>
          <cell r="S313">
            <v>0.9</v>
          </cell>
          <cell r="T313">
            <v>0.9</v>
          </cell>
          <cell r="U313">
            <v>0.9</v>
          </cell>
          <cell r="V313">
            <v>0.9</v>
          </cell>
          <cell r="W313">
            <v>0.9</v>
          </cell>
          <cell r="X313">
            <v>0.9</v>
          </cell>
          <cell r="Y313">
            <v>0.9</v>
          </cell>
          <cell r="Z313">
            <v>0.9</v>
          </cell>
          <cell r="AA313">
            <v>0.9</v>
          </cell>
          <cell r="AB313">
            <v>0.9</v>
          </cell>
          <cell r="AC313">
            <v>0.9</v>
          </cell>
          <cell r="AD313">
            <v>0.9</v>
          </cell>
          <cell r="AE313">
            <v>0.9</v>
          </cell>
          <cell r="AF313">
            <v>0.9</v>
          </cell>
          <cell r="AG313">
            <v>0.9</v>
          </cell>
          <cell r="AH313">
            <v>0.9</v>
          </cell>
        </row>
        <row r="314">
          <cell r="B314" t="str">
            <v>Renewable electricity - Capacity factor - Europe - %</v>
          </cell>
          <cell r="G314">
            <v>0.9</v>
          </cell>
          <cell r="H314">
            <v>0.9</v>
          </cell>
          <cell r="I314">
            <v>0.9</v>
          </cell>
          <cell r="J314">
            <v>0.9</v>
          </cell>
          <cell r="K314">
            <v>0.9</v>
          </cell>
          <cell r="L314">
            <v>0.9</v>
          </cell>
          <cell r="M314">
            <v>0.9</v>
          </cell>
          <cell r="N314">
            <v>0.9</v>
          </cell>
          <cell r="O314">
            <v>0.9</v>
          </cell>
          <cell r="P314">
            <v>0.9</v>
          </cell>
          <cell r="Q314">
            <v>0.9</v>
          </cell>
          <cell r="R314">
            <v>0.9</v>
          </cell>
          <cell r="S314">
            <v>0.9</v>
          </cell>
          <cell r="T314">
            <v>0.9</v>
          </cell>
          <cell r="U314">
            <v>0.9</v>
          </cell>
          <cell r="V314">
            <v>0.9</v>
          </cell>
          <cell r="W314">
            <v>0.9</v>
          </cell>
          <cell r="X314">
            <v>0.9</v>
          </cell>
          <cell r="Y314">
            <v>0.9</v>
          </cell>
          <cell r="Z314">
            <v>0.9</v>
          </cell>
          <cell r="AA314">
            <v>0.9</v>
          </cell>
          <cell r="AB314">
            <v>0.9</v>
          </cell>
          <cell r="AC314">
            <v>0.9</v>
          </cell>
          <cell r="AD314">
            <v>0.9</v>
          </cell>
          <cell r="AE314">
            <v>0.9</v>
          </cell>
          <cell r="AF314">
            <v>0.9</v>
          </cell>
          <cell r="AG314">
            <v>0.9</v>
          </cell>
          <cell r="AH314">
            <v>0.9</v>
          </cell>
        </row>
        <row r="315">
          <cell r="B315" t="str">
            <v>Renewable electricity - Capacity factor - Middle East - %</v>
          </cell>
          <cell r="G315">
            <v>0.9</v>
          </cell>
          <cell r="H315">
            <v>0.9</v>
          </cell>
          <cell r="I315">
            <v>0.9</v>
          </cell>
          <cell r="J315">
            <v>0.9</v>
          </cell>
          <cell r="K315">
            <v>0.9</v>
          </cell>
          <cell r="L315">
            <v>0.9</v>
          </cell>
          <cell r="M315">
            <v>0.9</v>
          </cell>
          <cell r="N315">
            <v>0.9</v>
          </cell>
          <cell r="O315">
            <v>0.9</v>
          </cell>
          <cell r="P315">
            <v>0.9</v>
          </cell>
          <cell r="Q315">
            <v>0.9</v>
          </cell>
          <cell r="R315">
            <v>0.9</v>
          </cell>
          <cell r="S315">
            <v>0.9</v>
          </cell>
          <cell r="T315">
            <v>0.9</v>
          </cell>
          <cell r="U315">
            <v>0.9</v>
          </cell>
          <cell r="V315">
            <v>0.9</v>
          </cell>
          <cell r="W315">
            <v>0.9</v>
          </cell>
          <cell r="X315">
            <v>0.9</v>
          </cell>
          <cell r="Y315">
            <v>0.9</v>
          </cell>
          <cell r="Z315">
            <v>0.9</v>
          </cell>
          <cell r="AA315">
            <v>0.9</v>
          </cell>
          <cell r="AB315">
            <v>0.9</v>
          </cell>
          <cell r="AC315">
            <v>0.9</v>
          </cell>
          <cell r="AD315">
            <v>0.9</v>
          </cell>
          <cell r="AE315">
            <v>0.9</v>
          </cell>
          <cell r="AF315">
            <v>0.9</v>
          </cell>
          <cell r="AG315">
            <v>0.9</v>
          </cell>
          <cell r="AH315">
            <v>0.9</v>
          </cell>
        </row>
        <row r="317">
          <cell r="B317" t="str">
            <v>Renewable electricity - Cost of electricity - Africa - USD/MWh</v>
          </cell>
          <cell r="G317">
            <v>58.389806930514169</v>
          </cell>
          <cell r="H317">
            <v>51.533296245659585</v>
          </cell>
          <cell r="I317">
            <v>44.676785560803182</v>
          </cell>
          <cell r="J317">
            <v>42.765424685038852</v>
          </cell>
          <cell r="K317">
            <v>40.854063809274521</v>
          </cell>
          <cell r="L317">
            <v>38.942702933510191</v>
          </cell>
          <cell r="M317">
            <v>37.031342057745405</v>
          </cell>
          <cell r="N317">
            <v>35.119981181981075</v>
          </cell>
          <cell r="O317">
            <v>34.053057098426962</v>
          </cell>
          <cell r="P317">
            <v>32.986133014872848</v>
          </cell>
          <cell r="Q317">
            <v>31.919208931318281</v>
          </cell>
          <cell r="R317">
            <v>30.852284847764167</v>
          </cell>
          <cell r="S317">
            <v>29.785360764210168</v>
          </cell>
          <cell r="T317">
            <v>29.283177129903038</v>
          </cell>
          <cell r="U317">
            <v>28.780993495596022</v>
          </cell>
          <cell r="V317">
            <v>28.278809861288892</v>
          </cell>
          <cell r="W317">
            <v>27.776626226981762</v>
          </cell>
          <cell r="X317">
            <v>27.274442592674859</v>
          </cell>
          <cell r="Y317">
            <v>26.758061649346246</v>
          </cell>
          <cell r="Z317">
            <v>26.241680706017632</v>
          </cell>
          <cell r="AA317">
            <v>25.725299762688792</v>
          </cell>
          <cell r="AB317">
            <v>25.208918819360179</v>
          </cell>
          <cell r="AC317">
            <v>24.692537876031452</v>
          </cell>
          <cell r="AD317">
            <v>24.439084279606391</v>
          </cell>
          <cell r="AE317">
            <v>24.185630683181444</v>
          </cell>
          <cell r="AF317">
            <v>23.932177086756383</v>
          </cell>
          <cell r="AG317">
            <v>23.678723490331322</v>
          </cell>
          <cell r="AH317">
            <v>23.425269893906375</v>
          </cell>
        </row>
        <row r="318">
          <cell r="B318" t="str">
            <v>Renewable electricity - Cost of electricity - Americas - USD/MWh</v>
          </cell>
          <cell r="G318">
            <v>36.687184539767031</v>
          </cell>
          <cell r="H318">
            <v>35.927444151972622</v>
          </cell>
          <cell r="I318">
            <v>35.167703764177986</v>
          </cell>
          <cell r="J318">
            <v>33.883444176422017</v>
          </cell>
          <cell r="K318">
            <v>32.599184588666049</v>
          </cell>
          <cell r="L318">
            <v>31.31492500091008</v>
          </cell>
          <cell r="M318">
            <v>30.030665413154566</v>
          </cell>
          <cell r="N318">
            <v>28.746405825398597</v>
          </cell>
          <cell r="O318">
            <v>28.128389278370832</v>
          </cell>
          <cell r="P318">
            <v>27.510372731343068</v>
          </cell>
          <cell r="Q318">
            <v>26.892356184315304</v>
          </cell>
          <cell r="R318">
            <v>26.27433963728754</v>
          </cell>
          <cell r="S318">
            <v>25.656323090259662</v>
          </cell>
          <cell r="T318">
            <v>25.155343675421591</v>
          </cell>
          <cell r="U318">
            <v>24.65436426058352</v>
          </cell>
          <cell r="V318">
            <v>24.153384845745336</v>
          </cell>
          <cell r="W318">
            <v>23.652405430907265</v>
          </cell>
          <cell r="X318">
            <v>23.151426016069138</v>
          </cell>
          <cell r="Y318">
            <v>22.949597354879643</v>
          </cell>
          <cell r="Z318">
            <v>22.747768693690148</v>
          </cell>
          <cell r="AA318">
            <v>22.54594003250071</v>
          </cell>
          <cell r="AB318">
            <v>22.344111371311214</v>
          </cell>
          <cell r="AC318">
            <v>22.142282710121719</v>
          </cell>
          <cell r="AD318">
            <v>21.990017270793203</v>
          </cell>
          <cell r="AE318">
            <v>21.837751831464743</v>
          </cell>
          <cell r="AF318">
            <v>21.685486392136283</v>
          </cell>
          <cell r="AG318">
            <v>21.533220952807824</v>
          </cell>
          <cell r="AH318">
            <v>21.380955513479364</v>
          </cell>
        </row>
        <row r="319">
          <cell r="B319" t="str">
            <v>Renewable electricity - Cost of electricity - Asia - USD/MWh</v>
          </cell>
          <cell r="G319">
            <v>64.941602489809156</v>
          </cell>
          <cell r="H319">
            <v>59.234907936835953</v>
          </cell>
          <cell r="I319">
            <v>53.528213383865477</v>
          </cell>
          <cell r="J319">
            <v>51.481269434223577</v>
          </cell>
          <cell r="K319">
            <v>49.434325484582587</v>
          </cell>
          <cell r="L319">
            <v>47.387381534940687</v>
          </cell>
          <cell r="M319">
            <v>45.340437585298787</v>
          </cell>
          <cell r="N319">
            <v>43.293493635657796</v>
          </cell>
          <cell r="O319">
            <v>41.902208066311687</v>
          </cell>
          <cell r="P319">
            <v>40.510922496966032</v>
          </cell>
          <cell r="Q319">
            <v>39.119636927620832</v>
          </cell>
          <cell r="R319">
            <v>37.728351358275177</v>
          </cell>
          <cell r="S319">
            <v>36.337065788929522</v>
          </cell>
          <cell r="T319">
            <v>35.629702497725702</v>
          </cell>
          <cell r="U319">
            <v>34.922339206521883</v>
          </cell>
          <cell r="V319">
            <v>34.214975915318291</v>
          </cell>
          <cell r="W319">
            <v>33.507612624114472</v>
          </cell>
          <cell r="X319">
            <v>32.800249332911108</v>
          </cell>
          <cell r="Y319">
            <v>32.059832294097532</v>
          </cell>
          <cell r="Z319">
            <v>31.319415255284184</v>
          </cell>
          <cell r="AA319">
            <v>30.578998216470609</v>
          </cell>
          <cell r="AB319">
            <v>29.838581177657261</v>
          </cell>
          <cell r="AC319">
            <v>29.098164138843686</v>
          </cell>
          <cell r="AD319">
            <v>28.758618698873192</v>
          </cell>
          <cell r="AE319">
            <v>28.419073258902586</v>
          </cell>
          <cell r="AF319">
            <v>28.079527818932092</v>
          </cell>
          <cell r="AG319">
            <v>27.739982378961599</v>
          </cell>
          <cell r="AH319">
            <v>27.400436938990993</v>
          </cell>
        </row>
        <row r="320">
          <cell r="B320" t="str">
            <v>Renewable electricity - Cost of electricity - Europe - USD/MWh</v>
          </cell>
          <cell r="G320">
            <v>48.345505357757247</v>
          </cell>
          <cell r="H320">
            <v>46.261834393182653</v>
          </cell>
          <cell r="I320">
            <v>44.178163428608059</v>
          </cell>
          <cell r="J320">
            <v>42.49454469772445</v>
          </cell>
          <cell r="K320">
            <v>40.810925966840387</v>
          </cell>
          <cell r="L320">
            <v>39.127307235956778</v>
          </cell>
          <cell r="M320">
            <v>37.443688505072714</v>
          </cell>
          <cell r="N320">
            <v>35.760069774189105</v>
          </cell>
          <cell r="O320">
            <v>35.060526539849434</v>
          </cell>
          <cell r="P320">
            <v>34.360983305510445</v>
          </cell>
          <cell r="Q320">
            <v>33.661440071171228</v>
          </cell>
          <cell r="R320">
            <v>32.961896836832011</v>
          </cell>
          <cell r="S320">
            <v>32.262353602493022</v>
          </cell>
          <cell r="T320">
            <v>31.844690735616723</v>
          </cell>
          <cell r="U320">
            <v>31.427027868740538</v>
          </cell>
          <cell r="V320">
            <v>31.009365001864353</v>
          </cell>
          <cell r="W320">
            <v>30.591702134988168</v>
          </cell>
          <cell r="X320">
            <v>30.174039268111756</v>
          </cell>
          <cell r="Y320">
            <v>29.72721540516045</v>
          </cell>
          <cell r="Z320">
            <v>29.280391542209031</v>
          </cell>
          <cell r="AA320">
            <v>28.833567679257726</v>
          </cell>
          <cell r="AB320">
            <v>28.386743816306307</v>
          </cell>
          <cell r="AC320">
            <v>27.939919953355002</v>
          </cell>
          <cell r="AD320">
            <v>27.613908060931863</v>
          </cell>
          <cell r="AE320">
            <v>27.28789616850861</v>
          </cell>
          <cell r="AF320">
            <v>26.96188427608547</v>
          </cell>
          <cell r="AG320">
            <v>26.635872383662331</v>
          </cell>
          <cell r="AH320">
            <v>26.309860491239078</v>
          </cell>
        </row>
        <row r="321">
          <cell r="B321" t="str">
            <v>Renewable electricity - Cost of electricity - Middle East - USD/MWh</v>
          </cell>
          <cell r="G321">
            <v>37.020316673163961</v>
          </cell>
          <cell r="H321">
            <v>35.386702900434102</v>
          </cell>
          <cell r="I321">
            <v>33.753089127703788</v>
          </cell>
          <cell r="J321">
            <v>32.671487127187447</v>
          </cell>
          <cell r="K321">
            <v>31.589885126671106</v>
          </cell>
          <cell r="L321">
            <v>30.508283126154765</v>
          </cell>
          <cell r="M321">
            <v>29.426681125638424</v>
          </cell>
          <cell r="N321">
            <v>28.345079125122083</v>
          </cell>
          <cell r="O321">
            <v>27.58242507536329</v>
          </cell>
          <cell r="P321">
            <v>26.819771025604723</v>
          </cell>
          <cell r="Q321">
            <v>26.057116975845929</v>
          </cell>
          <cell r="R321">
            <v>25.294462926087363</v>
          </cell>
          <cell r="S321">
            <v>24.531808876328796</v>
          </cell>
          <cell r="T321">
            <v>24.149422155106208</v>
          </cell>
          <cell r="U321">
            <v>23.76703543388362</v>
          </cell>
          <cell r="V321">
            <v>23.384648712661146</v>
          </cell>
          <cell r="W321">
            <v>23.002261991438559</v>
          </cell>
          <cell r="X321">
            <v>22.619875270215971</v>
          </cell>
          <cell r="Y321">
            <v>22.118414831670066</v>
          </cell>
          <cell r="Z321">
            <v>21.616954393124274</v>
          </cell>
          <cell r="AA321">
            <v>21.115493954578369</v>
          </cell>
          <cell r="AB321">
            <v>20.614033516032578</v>
          </cell>
          <cell r="AC321">
            <v>20.112573077486616</v>
          </cell>
          <cell r="AD321">
            <v>19.877873861328055</v>
          </cell>
          <cell r="AE321">
            <v>19.643174645169552</v>
          </cell>
          <cell r="AF321">
            <v>19.408475429010991</v>
          </cell>
          <cell r="AG321">
            <v>19.173776212852431</v>
          </cell>
          <cell r="AH321">
            <v>18.939076996693927</v>
          </cell>
        </row>
        <row r="322">
          <cell r="B322" t="str">
            <v>Renewable electricity - Feedstock WTT emissions (carbon dioxide) - Global - ton CO2/MWh</v>
          </cell>
          <cell r="G322">
            <v>5.3699999999999998E-3</v>
          </cell>
          <cell r="H322">
            <v>5.3699999999999998E-3</v>
          </cell>
          <cell r="I322">
            <v>5.3699999999999998E-3</v>
          </cell>
          <cell r="J322">
            <v>5.3699999999999998E-3</v>
          </cell>
          <cell r="K322">
            <v>5.3699999999999998E-3</v>
          </cell>
          <cell r="L322">
            <v>5.3699999999999998E-3</v>
          </cell>
          <cell r="M322">
            <v>5.3699999999999998E-3</v>
          </cell>
          <cell r="N322">
            <v>5.3699999999999998E-3</v>
          </cell>
          <cell r="O322">
            <v>5.3699999999999998E-3</v>
          </cell>
          <cell r="P322">
            <v>5.3699999999999998E-3</v>
          </cell>
          <cell r="Q322">
            <v>5.3699999999999998E-3</v>
          </cell>
          <cell r="R322">
            <v>5.3699999999999998E-3</v>
          </cell>
          <cell r="S322">
            <v>5.3699999999999998E-3</v>
          </cell>
          <cell r="T322">
            <v>5.3699999999999998E-3</v>
          </cell>
          <cell r="U322">
            <v>5.3699999999999998E-3</v>
          </cell>
          <cell r="V322">
            <v>5.3699999999999998E-3</v>
          </cell>
          <cell r="W322">
            <v>5.3699999999999998E-3</v>
          </cell>
          <cell r="X322">
            <v>5.3699999999999998E-3</v>
          </cell>
          <cell r="Y322">
            <v>5.3699999999999998E-3</v>
          </cell>
          <cell r="Z322">
            <v>5.3699999999999998E-3</v>
          </cell>
          <cell r="AA322">
            <v>5.3699999999999998E-3</v>
          </cell>
          <cell r="AB322">
            <v>5.3699999999999998E-3</v>
          </cell>
          <cell r="AC322">
            <v>5.3699999999999998E-3</v>
          </cell>
          <cell r="AD322">
            <v>5.3699999999999998E-3</v>
          </cell>
          <cell r="AE322">
            <v>5.3699999999999998E-3</v>
          </cell>
          <cell r="AF322">
            <v>5.3699999999999998E-3</v>
          </cell>
          <cell r="AG322">
            <v>5.3699999999999998E-3</v>
          </cell>
          <cell r="AH322">
            <v>5.3699999999999998E-3</v>
          </cell>
        </row>
        <row r="323">
          <cell r="B323" t="str">
            <v>Renewable electricity - Feedstock WTT emissions (methane) - Global - ton CH4/MWh</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row>
        <row r="324">
          <cell r="B324" t="str">
            <v>Renewable electricity - Feedstock WTT emissions (nitrous oxide) - Global - ton N2O/MWh</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row>
        <row r="326">
          <cell r="B326" t="str">
            <v>Renewable electricity - Cost of electricity - low - Africa - USD/MWh</v>
          </cell>
          <cell r="G326">
            <v>58.389806930514169</v>
          </cell>
          <cell r="H326">
            <v>51.533296245659585</v>
          </cell>
          <cell r="I326">
            <v>44.676785560803182</v>
          </cell>
          <cell r="J326">
            <v>42.765424685038852</v>
          </cell>
          <cell r="K326">
            <v>40.854063809274521</v>
          </cell>
          <cell r="L326">
            <v>38.942702933510191</v>
          </cell>
          <cell r="M326">
            <v>37.031342057745405</v>
          </cell>
          <cell r="N326">
            <v>35.119981181981075</v>
          </cell>
          <cell r="O326">
            <v>34.053057098426962</v>
          </cell>
          <cell r="P326">
            <v>32.986133014872848</v>
          </cell>
          <cell r="Q326">
            <v>31.919208931318281</v>
          </cell>
          <cell r="R326">
            <v>30.852284847764167</v>
          </cell>
          <cell r="S326">
            <v>29.785360764210168</v>
          </cell>
          <cell r="T326">
            <v>29.283177129903038</v>
          </cell>
          <cell r="U326">
            <v>28.780993495596022</v>
          </cell>
          <cell r="V326">
            <v>28.278809861288892</v>
          </cell>
          <cell r="W326">
            <v>27.776626226981762</v>
          </cell>
          <cell r="X326">
            <v>27.274442592674859</v>
          </cell>
          <cell r="Y326">
            <v>26.758061649346246</v>
          </cell>
          <cell r="Z326">
            <v>26.241680706017632</v>
          </cell>
          <cell r="AA326">
            <v>25.725299762688792</v>
          </cell>
          <cell r="AB326">
            <v>25.208918819360179</v>
          </cell>
          <cell r="AC326">
            <v>24.692537876031452</v>
          </cell>
          <cell r="AD326">
            <v>24.439084279606391</v>
          </cell>
          <cell r="AE326">
            <v>24.185630683181444</v>
          </cell>
          <cell r="AF326">
            <v>23.932177086756383</v>
          </cell>
          <cell r="AG326">
            <v>23.678723490331322</v>
          </cell>
          <cell r="AH326">
            <v>23.425269893906375</v>
          </cell>
        </row>
        <row r="327">
          <cell r="B327" t="str">
            <v>Renewable electricity - Cost of electricity - low - Americas - USD/MWh</v>
          </cell>
          <cell r="G327">
            <v>36.687184539767031</v>
          </cell>
          <cell r="H327">
            <v>35.927444151972622</v>
          </cell>
          <cell r="I327">
            <v>35.167703764177986</v>
          </cell>
          <cell r="J327">
            <v>33.883444176422017</v>
          </cell>
          <cell r="K327">
            <v>32.599184588666049</v>
          </cell>
          <cell r="L327">
            <v>31.31492500091008</v>
          </cell>
          <cell r="M327">
            <v>30.030665413154566</v>
          </cell>
          <cell r="N327">
            <v>28.746405825398597</v>
          </cell>
          <cell r="O327">
            <v>28.128389278370832</v>
          </cell>
          <cell r="P327">
            <v>27.510372731343068</v>
          </cell>
          <cell r="Q327">
            <v>26.892356184315304</v>
          </cell>
          <cell r="R327">
            <v>26.27433963728754</v>
          </cell>
          <cell r="S327">
            <v>25.656323090259662</v>
          </cell>
          <cell r="T327">
            <v>25.155343675421591</v>
          </cell>
          <cell r="U327">
            <v>24.65436426058352</v>
          </cell>
          <cell r="V327">
            <v>24.153384845745336</v>
          </cell>
          <cell r="W327">
            <v>23.652405430907265</v>
          </cell>
          <cell r="X327">
            <v>23.151426016069138</v>
          </cell>
          <cell r="Y327">
            <v>22.949597354879643</v>
          </cell>
          <cell r="Z327">
            <v>22.747768693690148</v>
          </cell>
          <cell r="AA327">
            <v>22.54594003250071</v>
          </cell>
          <cell r="AB327">
            <v>22.344111371311214</v>
          </cell>
          <cell r="AC327">
            <v>22.142282710121719</v>
          </cell>
          <cell r="AD327">
            <v>21.990017270793203</v>
          </cell>
          <cell r="AE327">
            <v>21.837751831464743</v>
          </cell>
          <cell r="AF327">
            <v>21.685486392136283</v>
          </cell>
          <cell r="AG327">
            <v>21.533220952807824</v>
          </cell>
          <cell r="AH327">
            <v>21.380955513479364</v>
          </cell>
        </row>
        <row r="328">
          <cell r="B328" t="str">
            <v>Renewable electricity - Cost of electricity - low - Asia - USD/MWh</v>
          </cell>
          <cell r="G328">
            <v>64.941602489809156</v>
          </cell>
          <cell r="H328">
            <v>59.234907936835953</v>
          </cell>
          <cell r="I328">
            <v>53.528213383865477</v>
          </cell>
          <cell r="J328">
            <v>51.481269434223577</v>
          </cell>
          <cell r="K328">
            <v>49.434325484582587</v>
          </cell>
          <cell r="L328">
            <v>47.387381534940687</v>
          </cell>
          <cell r="M328">
            <v>45.340437585298787</v>
          </cell>
          <cell r="N328">
            <v>43.293493635657796</v>
          </cell>
          <cell r="O328">
            <v>41.902208066311687</v>
          </cell>
          <cell r="P328">
            <v>40.510922496966032</v>
          </cell>
          <cell r="Q328">
            <v>39.119636927620832</v>
          </cell>
          <cell r="R328">
            <v>37.728351358275177</v>
          </cell>
          <cell r="S328">
            <v>36.337065788929522</v>
          </cell>
          <cell r="T328">
            <v>35.629702497725702</v>
          </cell>
          <cell r="U328">
            <v>34.922339206521883</v>
          </cell>
          <cell r="V328">
            <v>34.214975915318291</v>
          </cell>
          <cell r="W328">
            <v>33.507612624114472</v>
          </cell>
          <cell r="X328">
            <v>32.800249332911108</v>
          </cell>
          <cell r="Y328">
            <v>32.059832294097532</v>
          </cell>
          <cell r="Z328">
            <v>31.319415255284184</v>
          </cell>
          <cell r="AA328">
            <v>30.578998216470609</v>
          </cell>
          <cell r="AB328">
            <v>29.838581177657261</v>
          </cell>
          <cell r="AC328">
            <v>29.098164138843686</v>
          </cell>
          <cell r="AD328">
            <v>28.758618698873192</v>
          </cell>
          <cell r="AE328">
            <v>28.419073258902586</v>
          </cell>
          <cell r="AF328">
            <v>28.079527818932092</v>
          </cell>
          <cell r="AG328">
            <v>27.739982378961599</v>
          </cell>
          <cell r="AH328">
            <v>27.400436938990993</v>
          </cell>
        </row>
        <row r="329">
          <cell r="B329" t="str">
            <v>Renewable electricity - Cost of electricity - low - Europe - USD/MWh</v>
          </cell>
          <cell r="G329">
            <v>48.345505357757247</v>
          </cell>
          <cell r="H329">
            <v>46.261834393182653</v>
          </cell>
          <cell r="I329">
            <v>44.178163428608059</v>
          </cell>
          <cell r="J329">
            <v>42.49454469772445</v>
          </cell>
          <cell r="K329">
            <v>40.810925966840387</v>
          </cell>
          <cell r="L329">
            <v>39.127307235956778</v>
          </cell>
          <cell r="M329">
            <v>37.443688505072714</v>
          </cell>
          <cell r="N329">
            <v>35.760069774189105</v>
          </cell>
          <cell r="O329">
            <v>35.060526539849434</v>
          </cell>
          <cell r="P329">
            <v>34.360983305510445</v>
          </cell>
          <cell r="Q329">
            <v>33.661440071171228</v>
          </cell>
          <cell r="R329">
            <v>32.961896836832011</v>
          </cell>
          <cell r="S329">
            <v>32.262353602493022</v>
          </cell>
          <cell r="T329">
            <v>31.844690735616723</v>
          </cell>
          <cell r="U329">
            <v>31.427027868740538</v>
          </cell>
          <cell r="V329">
            <v>31.009365001864353</v>
          </cell>
          <cell r="W329">
            <v>30.591702134988168</v>
          </cell>
          <cell r="X329">
            <v>30.174039268111756</v>
          </cell>
          <cell r="Y329">
            <v>29.72721540516045</v>
          </cell>
          <cell r="Z329">
            <v>29.280391542209031</v>
          </cell>
          <cell r="AA329">
            <v>28.833567679257726</v>
          </cell>
          <cell r="AB329">
            <v>28.386743816306307</v>
          </cell>
          <cell r="AC329">
            <v>27.939919953355002</v>
          </cell>
          <cell r="AD329">
            <v>27.613908060931863</v>
          </cell>
          <cell r="AE329">
            <v>27.28789616850861</v>
          </cell>
          <cell r="AF329">
            <v>26.96188427608547</v>
          </cell>
          <cell r="AG329">
            <v>26.635872383662331</v>
          </cell>
          <cell r="AH329">
            <v>26.309860491239078</v>
          </cell>
        </row>
        <row r="330">
          <cell r="B330" t="str">
            <v>Renewable electricity - Cost of electricity - low - Middle East - USD/MWh</v>
          </cell>
          <cell r="G330">
            <v>37.020316673163961</v>
          </cell>
          <cell r="H330">
            <v>35.386702900434102</v>
          </cell>
          <cell r="I330">
            <v>33.753089127703788</v>
          </cell>
          <cell r="J330">
            <v>32.671487127187447</v>
          </cell>
          <cell r="K330">
            <v>31.589885126671106</v>
          </cell>
          <cell r="L330">
            <v>30.508283126154765</v>
          </cell>
          <cell r="M330">
            <v>29.426681125638424</v>
          </cell>
          <cell r="N330">
            <v>28.345079125122083</v>
          </cell>
          <cell r="O330">
            <v>27.58242507536329</v>
          </cell>
          <cell r="P330">
            <v>26.819771025604723</v>
          </cell>
          <cell r="Q330">
            <v>26.057116975845929</v>
          </cell>
          <cell r="R330">
            <v>25.294462926087363</v>
          </cell>
          <cell r="S330">
            <v>24.531808876328796</v>
          </cell>
          <cell r="T330">
            <v>24.149422155106208</v>
          </cell>
          <cell r="U330">
            <v>23.76703543388362</v>
          </cell>
          <cell r="V330">
            <v>23.384648712661146</v>
          </cell>
          <cell r="W330">
            <v>23.002261991438559</v>
          </cell>
          <cell r="X330">
            <v>22.619875270215971</v>
          </cell>
          <cell r="Y330">
            <v>22.118414831670066</v>
          </cell>
          <cell r="Z330">
            <v>21.616954393124274</v>
          </cell>
          <cell r="AA330">
            <v>21.115493954578369</v>
          </cell>
          <cell r="AB330">
            <v>20.614033516032578</v>
          </cell>
          <cell r="AC330">
            <v>20.112573077486616</v>
          </cell>
          <cell r="AD330">
            <v>19.877873861328055</v>
          </cell>
          <cell r="AE330">
            <v>19.643174645169552</v>
          </cell>
          <cell r="AF330">
            <v>19.408475429010991</v>
          </cell>
          <cell r="AG330">
            <v>19.173776212852431</v>
          </cell>
          <cell r="AH330">
            <v>18.939076996693927</v>
          </cell>
        </row>
        <row r="332">
          <cell r="B332" t="str">
            <v>Renewable electricity - Cost of electricity - high - Africa - USD/MWh</v>
          </cell>
          <cell r="G332">
            <v>67.122051723422373</v>
          </cell>
          <cell r="H332">
            <v>65.561025861711187</v>
          </cell>
          <cell r="I332">
            <v>64</v>
          </cell>
          <cell r="J332">
            <v>62.608655730982264</v>
          </cell>
          <cell r="K332">
            <v>61.217311461964982</v>
          </cell>
          <cell r="L332">
            <v>59.825967192947246</v>
          </cell>
          <cell r="M332">
            <v>58.43462292392951</v>
          </cell>
          <cell r="N332">
            <v>57.043278654912228</v>
          </cell>
          <cell r="O332">
            <v>55.803171797998402</v>
          </cell>
          <cell r="P332">
            <v>54.563064941084576</v>
          </cell>
          <cell r="Q332">
            <v>53.32295808417075</v>
          </cell>
          <cell r="R332">
            <v>52.082851227256924</v>
          </cell>
          <cell r="S332">
            <v>50.842744370343098</v>
          </cell>
          <cell r="T332">
            <v>49.737435604705752</v>
          </cell>
          <cell r="U332">
            <v>48.632126839068405</v>
          </cell>
          <cell r="V332">
            <v>47.526818073430604</v>
          </cell>
          <cell r="W332">
            <v>46.421509307793258</v>
          </cell>
          <cell r="X332">
            <v>45.316200542155457</v>
          </cell>
          <cell r="Y332">
            <v>44.331037480937084</v>
          </cell>
          <cell r="Z332">
            <v>43.345874419718484</v>
          </cell>
          <cell r="AA332">
            <v>42.360711358500112</v>
          </cell>
          <cell r="AB332">
            <v>41.375548297281739</v>
          </cell>
          <cell r="AC332">
            <v>40.390385236063366</v>
          </cell>
          <cell r="AD332">
            <v>39.512308188850511</v>
          </cell>
          <cell r="AE332">
            <v>38.634231141637883</v>
          </cell>
          <cell r="AF332">
            <v>37.756154094425256</v>
          </cell>
          <cell r="AG332">
            <v>36.878077047212628</v>
          </cell>
          <cell r="AH332">
            <v>36</v>
          </cell>
        </row>
        <row r="333">
          <cell r="B333" t="str">
            <v>Renewable electricity - Cost of electricity - high - Americas - USD/MWh</v>
          </cell>
          <cell r="G333">
            <v>51.128432445980707</v>
          </cell>
          <cell r="H333">
            <v>50.564216222990353</v>
          </cell>
          <cell r="I333">
            <v>50</v>
          </cell>
          <cell r="J333">
            <v>49.465917573930028</v>
          </cell>
          <cell r="K333">
            <v>48.931835147859829</v>
          </cell>
          <cell r="L333">
            <v>48.39775272178963</v>
          </cell>
          <cell r="M333">
            <v>47.86367029571943</v>
          </cell>
          <cell r="N333">
            <v>47.329587869649458</v>
          </cell>
          <cell r="O333">
            <v>46.824029847362681</v>
          </cell>
          <cell r="P333">
            <v>46.318471825076358</v>
          </cell>
          <cell r="Q333">
            <v>45.812913802789808</v>
          </cell>
          <cell r="R333">
            <v>45.307355780503485</v>
          </cell>
          <cell r="S333">
            <v>44.801797758216935</v>
          </cell>
          <cell r="T333">
            <v>44.323240701436816</v>
          </cell>
          <cell r="U333">
            <v>43.844683644656584</v>
          </cell>
          <cell r="V333">
            <v>43.366126587876238</v>
          </cell>
          <cell r="W333">
            <v>42.887569531096005</v>
          </cell>
          <cell r="X333">
            <v>42.409012474315773</v>
          </cell>
          <cell r="Y333">
            <v>41.956014308925432</v>
          </cell>
          <cell r="Z333">
            <v>41.503016143534978</v>
          </cell>
          <cell r="AA333">
            <v>41.050017978144524</v>
          </cell>
          <cell r="AB333">
            <v>40.59701981275407</v>
          </cell>
          <cell r="AC333">
            <v>40.144021647363616</v>
          </cell>
          <cell r="AD333">
            <v>39.715217317890847</v>
          </cell>
          <cell r="AE333">
            <v>39.286412988418192</v>
          </cell>
          <cell r="AF333">
            <v>38.857608658945423</v>
          </cell>
          <cell r="AG333">
            <v>38.428804329472655</v>
          </cell>
          <cell r="AH333">
            <v>38</v>
          </cell>
        </row>
        <row r="334">
          <cell r="B334" t="str">
            <v>Renewable electricity - Cost of electricity - high - Asia - USD/MWh</v>
          </cell>
          <cell r="G334">
            <v>79.211255539607464</v>
          </cell>
          <cell r="H334">
            <v>77.605627769803959</v>
          </cell>
          <cell r="I334">
            <v>76</v>
          </cell>
          <cell r="J334">
            <v>74.547775635916878</v>
          </cell>
          <cell r="K334">
            <v>73.095551271834211</v>
          </cell>
          <cell r="L334">
            <v>71.643326907751089</v>
          </cell>
          <cell r="M334">
            <v>70.191102543667967</v>
          </cell>
          <cell r="N334">
            <v>68.738878179585299</v>
          </cell>
          <cell r="O334">
            <v>67.425400894688664</v>
          </cell>
          <cell r="P334">
            <v>66.111923609792484</v>
          </cell>
          <cell r="Q334">
            <v>64.798446324895849</v>
          </cell>
          <cell r="R334">
            <v>63.484969039999669</v>
          </cell>
          <cell r="S334">
            <v>62.171491755103034</v>
          </cell>
          <cell r="T334">
            <v>60.98350550407531</v>
          </cell>
          <cell r="U334">
            <v>59.795519253047132</v>
          </cell>
          <cell r="V334">
            <v>58.607533002018954</v>
          </cell>
          <cell r="W334">
            <v>57.419546750990776</v>
          </cell>
          <cell r="X334">
            <v>56.231560499962598</v>
          </cell>
          <cell r="Y334">
            <v>55.15707573432428</v>
          </cell>
          <cell r="Z334">
            <v>54.082590968686873</v>
          </cell>
          <cell r="AA334">
            <v>53.008106203049465</v>
          </cell>
          <cell r="AB334">
            <v>51.933621437412057</v>
          </cell>
          <cell r="AC334">
            <v>50.85913667177465</v>
          </cell>
          <cell r="AD334">
            <v>49.887309337419765</v>
          </cell>
          <cell r="AE334">
            <v>48.915482003064653</v>
          </cell>
          <cell r="AF334">
            <v>47.943654668709769</v>
          </cell>
          <cell r="AG334">
            <v>46.971827334354884</v>
          </cell>
          <cell r="AH334">
            <v>45.999999999999773</v>
          </cell>
        </row>
        <row r="335">
          <cell r="B335" t="str">
            <v>Renewable electricity - Cost of electricity - high - Europe - USD/MWh</v>
          </cell>
          <cell r="G335">
            <v>62.027322508744874</v>
          </cell>
          <cell r="H335">
            <v>61.013661254372437</v>
          </cell>
          <cell r="I335">
            <v>60</v>
          </cell>
          <cell r="J335">
            <v>59.065294937780664</v>
          </cell>
          <cell r="K335">
            <v>58.130589875561554</v>
          </cell>
          <cell r="L335">
            <v>57.195884813342218</v>
          </cell>
          <cell r="M335">
            <v>56.261179751122881</v>
          </cell>
          <cell r="N335">
            <v>55.326474688903545</v>
          </cell>
          <cell r="O335">
            <v>54.464575756129534</v>
          </cell>
          <cell r="P335">
            <v>53.602676823355068</v>
          </cell>
          <cell r="Q335">
            <v>52.740777890580603</v>
          </cell>
          <cell r="R335">
            <v>51.878878957806137</v>
          </cell>
          <cell r="S335">
            <v>51.016980025031899</v>
          </cell>
          <cell r="T335">
            <v>50.222216200222647</v>
          </cell>
          <cell r="U335">
            <v>49.42745237541385</v>
          </cell>
          <cell r="V335">
            <v>48.632688550604826</v>
          </cell>
          <cell r="W335">
            <v>47.837924725796029</v>
          </cell>
          <cell r="X335">
            <v>47.043160900987004</v>
          </cell>
          <cell r="Y335">
            <v>46.310302890371077</v>
          </cell>
          <cell r="Z335">
            <v>45.577444879755376</v>
          </cell>
          <cell r="AA335">
            <v>44.844586869139448</v>
          </cell>
          <cell r="AB335">
            <v>44.111728858523747</v>
          </cell>
          <cell r="AC335">
            <v>43.37887084790782</v>
          </cell>
          <cell r="AD335">
            <v>42.703096678326347</v>
          </cell>
          <cell r="AE335">
            <v>42.027322508744874</v>
          </cell>
          <cell r="AF335">
            <v>41.351548339163173</v>
          </cell>
          <cell r="AG335">
            <v>40.675774169581473</v>
          </cell>
          <cell r="AH335">
            <v>40</v>
          </cell>
        </row>
        <row r="336">
          <cell r="B336" t="str">
            <v>Renewable electricity - Cost of electricity - high - Middle East - USD/MWh</v>
          </cell>
          <cell r="G336">
            <v>60.615337082252609</v>
          </cell>
          <cell r="H336">
            <v>59.307668541126077</v>
          </cell>
          <cell r="I336">
            <v>58.000000000000455</v>
          </cell>
          <cell r="J336">
            <v>56.824810613262343</v>
          </cell>
          <cell r="K336">
            <v>55.649621226524232</v>
          </cell>
          <cell r="L336">
            <v>54.474431839786121</v>
          </cell>
          <cell r="M336">
            <v>53.299242453048009</v>
          </cell>
          <cell r="N336">
            <v>52.124053066309898</v>
          </cell>
          <cell r="O336">
            <v>51.06792144635574</v>
          </cell>
          <cell r="P336">
            <v>50.011789826402037</v>
          </cell>
          <cell r="Q336">
            <v>48.955658206448788</v>
          </cell>
          <cell r="R336">
            <v>47.89952658649554</v>
          </cell>
          <cell r="S336">
            <v>46.843394966541837</v>
          </cell>
          <cell r="T336">
            <v>45.89425943889637</v>
          </cell>
          <cell r="U336">
            <v>44.945123911250448</v>
          </cell>
          <cell r="V336">
            <v>43.995988383604754</v>
          </cell>
          <cell r="W336">
            <v>43.046852855958832</v>
          </cell>
          <cell r="X336">
            <v>42.09771732831291</v>
          </cell>
          <cell r="Y336">
            <v>41.244738179861997</v>
          </cell>
          <cell r="Z336">
            <v>40.391759031411311</v>
          </cell>
          <cell r="AA336">
            <v>39.538779882960853</v>
          </cell>
          <cell r="AB336">
            <v>38.685800734510167</v>
          </cell>
          <cell r="AC336">
            <v>37.832821586059708</v>
          </cell>
          <cell r="AD336">
            <v>37.066257268847949</v>
          </cell>
          <cell r="AE336">
            <v>36.299692951635961</v>
          </cell>
          <cell r="AF336">
            <v>35.533128634423974</v>
          </cell>
          <cell r="AG336">
            <v>34.766564317211987</v>
          </cell>
          <cell r="AH336">
            <v>34</v>
          </cell>
        </row>
      </sheetData>
      <sheetData sheetId="8">
        <row r="5">
          <cell r="B5" t="str">
            <v>e-hydrogen (liquefied)</v>
          </cell>
          <cell r="C5" t="str">
            <v>Hydrogen</v>
          </cell>
          <cell r="D5">
            <v>120</v>
          </cell>
          <cell r="E5" t="str">
            <v>Africa</v>
          </cell>
          <cell r="F5">
            <v>2023</v>
          </cell>
          <cell r="G5" t="str">
            <v>Low</v>
          </cell>
          <cell r="H5" t="str">
            <v>WTW</v>
          </cell>
          <cell r="I5" t="str">
            <v>GWP100</v>
          </cell>
          <cell r="M5" t="str">
            <v>USD/Ton</v>
          </cell>
          <cell r="S5" t="str">
            <v xml:space="preserve"> - </v>
          </cell>
        </row>
        <row r="6">
          <cell r="B6" t="str">
            <v>e-hydrogen (compressed)</v>
          </cell>
          <cell r="C6" t="str">
            <v>Hydrogen</v>
          </cell>
          <cell r="D6">
            <v>120</v>
          </cell>
          <cell r="E6" t="str">
            <v>Americas</v>
          </cell>
          <cell r="F6">
            <v>2024</v>
          </cell>
          <cell r="G6" t="str">
            <v>High</v>
          </cell>
          <cell r="H6" t="str">
            <v>TTW</v>
          </cell>
          <cell r="I6" t="str">
            <v>GWP20</v>
          </cell>
          <cell r="K6">
            <v>85</v>
          </cell>
          <cell r="L6">
            <v>29</v>
          </cell>
          <cell r="M6" t="str">
            <v>USD/GJ</v>
          </cell>
        </row>
        <row r="7">
          <cell r="B7" t="str">
            <v>e-ammonia</v>
          </cell>
          <cell r="C7" t="str">
            <v>Ammonia</v>
          </cell>
          <cell r="D7">
            <v>18.8</v>
          </cell>
          <cell r="E7" t="str">
            <v>Asia</v>
          </cell>
          <cell r="F7">
            <v>2025</v>
          </cell>
          <cell r="K7">
            <v>251</v>
          </cell>
          <cell r="L7">
            <v>266</v>
          </cell>
          <cell r="M7" t="str">
            <v>USD/Ton LSFO eq</v>
          </cell>
        </row>
        <row r="8">
          <cell r="B8" t="str">
            <v>e-methanol (DAC)</v>
          </cell>
          <cell r="C8" t="str">
            <v>Methanol</v>
          </cell>
          <cell r="D8">
            <v>19.899999999999999</v>
          </cell>
          <cell r="E8" t="str">
            <v>Europe</v>
          </cell>
          <cell r="F8">
            <v>2026</v>
          </cell>
        </row>
        <row r="9">
          <cell r="B9" t="str">
            <v>e-methanol (PS)</v>
          </cell>
          <cell r="C9" t="str">
            <v>Methanol</v>
          </cell>
          <cell r="D9">
            <v>19.899999999999999</v>
          </cell>
          <cell r="E9" t="str">
            <v>Middle East</v>
          </cell>
          <cell r="F9">
            <v>2027</v>
          </cell>
        </row>
        <row r="10">
          <cell r="B10" t="str">
            <v>e-methane liquefied (DAC)</v>
          </cell>
          <cell r="C10" t="str">
            <v>Methane</v>
          </cell>
          <cell r="D10">
            <v>50</v>
          </cell>
          <cell r="F10">
            <v>2028</v>
          </cell>
        </row>
        <row r="11">
          <cell r="B11" t="str">
            <v>e-methane liquefied (PS)</v>
          </cell>
          <cell r="C11" t="str">
            <v>Methane</v>
          </cell>
          <cell r="D11">
            <v>50</v>
          </cell>
          <cell r="F11">
            <v>2029</v>
          </cell>
        </row>
        <row r="12">
          <cell r="B12" t="str">
            <v>e-diesel (DAC)</v>
          </cell>
          <cell r="C12" t="str">
            <v>Diesel</v>
          </cell>
          <cell r="D12">
            <v>42.7</v>
          </cell>
          <cell r="F12">
            <v>2030</v>
          </cell>
        </row>
        <row r="13">
          <cell r="B13" t="str">
            <v>e-diesel (PS)</v>
          </cell>
          <cell r="C13" t="str">
            <v>Diesel</v>
          </cell>
          <cell r="D13">
            <v>42.7</v>
          </cell>
          <cell r="F13">
            <v>2031</v>
          </cell>
        </row>
        <row r="14">
          <cell r="B14" t="str">
            <v>Blue ammonia (CCS)</v>
          </cell>
          <cell r="C14" t="str">
            <v>Ammonia</v>
          </cell>
          <cell r="D14">
            <v>18.8</v>
          </cell>
          <cell r="F14">
            <v>2032</v>
          </cell>
        </row>
        <row r="15">
          <cell r="B15" t="str">
            <v>Bio-methanol</v>
          </cell>
          <cell r="C15" t="str">
            <v>Methanol</v>
          </cell>
          <cell r="D15">
            <v>19.899999999999999</v>
          </cell>
          <cell r="F15">
            <v>2033</v>
          </cell>
        </row>
        <row r="16">
          <cell r="B16" t="str">
            <v>Bio-methane (liquefied)</v>
          </cell>
          <cell r="C16" t="str">
            <v>Methane</v>
          </cell>
          <cell r="D16">
            <v>50</v>
          </cell>
          <cell r="F16">
            <v>2034</v>
          </cell>
        </row>
        <row r="17">
          <cell r="B17" t="str">
            <v>Bio-oil (HTL)</v>
          </cell>
          <cell r="C17" t="str">
            <v>Diesel</v>
          </cell>
          <cell r="D17">
            <v>42.7</v>
          </cell>
          <cell r="F17">
            <v>2035</v>
          </cell>
        </row>
        <row r="18">
          <cell r="B18" t="str">
            <v>Bio-oil (Pyrolysis)</v>
          </cell>
          <cell r="C18" t="str">
            <v>Diesel</v>
          </cell>
          <cell r="D18">
            <v>42.7</v>
          </cell>
          <cell r="F18">
            <v>2036</v>
          </cell>
        </row>
        <row r="19">
          <cell r="B19" t="str">
            <v>LNG</v>
          </cell>
          <cell r="C19" t="str">
            <v>Methane</v>
          </cell>
          <cell r="D19">
            <v>48</v>
          </cell>
          <cell r="F19">
            <v>2037</v>
          </cell>
        </row>
        <row r="20">
          <cell r="B20" t="str">
            <v>LSFO</v>
          </cell>
          <cell r="C20" t="str">
            <v>Diesel</v>
          </cell>
          <cell r="D20">
            <v>41.2</v>
          </cell>
          <cell r="F20">
            <v>2038</v>
          </cell>
        </row>
        <row r="21">
          <cell r="F21">
            <v>2039</v>
          </cell>
        </row>
        <row r="22">
          <cell r="F22">
            <v>2040</v>
          </cell>
        </row>
        <row r="23">
          <cell r="F23">
            <v>2041</v>
          </cell>
        </row>
        <row r="24">
          <cell r="F24">
            <v>2042</v>
          </cell>
        </row>
        <row r="25">
          <cell r="F25">
            <v>2043</v>
          </cell>
        </row>
        <row r="26">
          <cell r="F26">
            <v>2044</v>
          </cell>
        </row>
        <row r="27">
          <cell r="F27">
            <v>2045</v>
          </cell>
        </row>
        <row r="28">
          <cell r="F28">
            <v>2046</v>
          </cell>
        </row>
        <row r="29">
          <cell r="F29">
            <v>2047</v>
          </cell>
        </row>
        <row r="30">
          <cell r="F30">
            <v>2048</v>
          </cell>
        </row>
        <row r="31">
          <cell r="F31">
            <v>2049</v>
          </cell>
        </row>
        <row r="32">
          <cell r="F32">
            <v>2050</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A634330-2FE5-4E1E-891B-A229399497F5}" name="EE_overview_tab3" displayName="EE_overview_tab3" ref="BR3:CA37" totalsRowShown="0" headerRowDxfId="139" dataDxfId="137" headerRowBorderDxfId="138" tableBorderDxfId="136" totalsRowBorderDxfId="135">
  <autoFilter ref="BR3:CA37" xr:uid="{DA634330-2FE5-4E1E-891B-A229399497F5}"/>
  <tableColumns count="10">
    <tableColumn id="2" xr3:uid="{018C61C9-D1AC-43C6-8439-F23FE3D744E2}" name="Main lever" dataDxfId="134"/>
    <tableColumn id="1" xr3:uid="{1872B733-0524-4136-B979-5E4BC79DE94B}" name="#1" dataDxfId="133">
      <calculatedColumnFormula>MATCH(EE_overview_tab3[[#This Row],[Main lever]],$BR$42:$BR$44,0)</calculatedColumnFormula>
    </tableColumn>
    <tableColumn id="4" xr3:uid="{38F10C9C-6085-475D-86F6-9BFFDA91FCE0}" name="Sub lever" dataDxfId="132"/>
    <tableColumn id="3" xr3:uid="{AE5D7816-355B-4B24-8588-04E98540F9BB}" name="#2" dataDxfId="131">
      <calculatedColumnFormula>INDEX($BU$42:$BU$51,MATCH(EE_overview_tab3[[#This Row],[Sub lever]],$BT$42:$BT$51,0))</calculatedColumnFormula>
    </tableColumn>
    <tableColumn id="6" xr3:uid="{71E693AE-DAFB-4CD8-9DE2-23C26FDA8464}" name="Subsub lever" dataDxfId="130"/>
    <tableColumn id="11" xr3:uid="{3CB402E9-548A-48F2-8836-E64C8586C98E}" name="Short" dataDxfId="129"/>
    <tableColumn id="5" xr3:uid="{AB3B14DE-B120-40A9-8FCF-35E6A60FEDAC}" name="#3" dataDxfId="128">
      <calculatedColumnFormula>COUNTIFS($C$4:BS4,BS4,$E$4:BU4,BU4)</calculatedColumnFormula>
    </tableColumn>
    <tableColumn id="7" xr3:uid="{0827D142-3D67-4449-B8A8-7878FC35EBF2}" name="No.Ref" dataDxfId="127">
      <calculatedColumnFormula>EE_overview_tab3[[#This Row],['#1]]&amp;"."&amp;EE_overview_tab3[[#This Row],['#2]]&amp;"."&amp;EE_overview_tab3[[#This Row],['#3]]</calculatedColumnFormula>
    </tableColumn>
    <tableColumn id="8" xr3:uid="{5610EAA5-CE90-4C46-80EF-E0CDB4F6FF56}" name="Ref" dataDxfId="126">
      <calculatedColumnFormula>INDEX($BS$42:$BS$44,MATCH(EE_overview_tab3[[#This Row],[Main lever]],$BR$42:$BR$44,0))&amp;"_"&amp;EE_overview_tab3[[#This Row],[Sub lever]]&amp;"_"&amp;EE_overview_tab3[[#This Row],[Short]]</calculatedColumnFormula>
    </tableColumn>
    <tableColumn id="16" xr3:uid="{5C548F1F-C31D-496E-B9F3-C62C4B4A54A7}" name="Description" dataDxfId="125"/>
  </tableColumns>
  <tableStyleInfo name="TableStyleMedium15" showFirstColumn="0" showLastColumn="0" showRowStripes="1" showColumnStripes="0"/>
</table>
</file>

<file path=xl/theme/theme1.xml><?xml version="1.0" encoding="utf-8"?>
<a:theme xmlns:a="http://schemas.openxmlformats.org/drawingml/2006/main" name="Maersk Mc-Kinney Moller PowerPoint Template">
  <a:themeElements>
    <a:clrScheme name="MMMC - Center colors">
      <a:dk1>
        <a:srgbClr val="000000"/>
      </a:dk1>
      <a:lt1>
        <a:srgbClr val="FFFFFF"/>
      </a:lt1>
      <a:dk2>
        <a:srgbClr val="327869"/>
      </a:dk2>
      <a:lt2>
        <a:srgbClr val="FFE1B9"/>
      </a:lt2>
      <a:accent1>
        <a:srgbClr val="2D2D37"/>
      </a:accent1>
      <a:accent2>
        <a:srgbClr val="505A64"/>
      </a:accent2>
      <a:accent3>
        <a:srgbClr val="969BA0"/>
      </a:accent3>
      <a:accent4>
        <a:srgbClr val="D2D2D4"/>
      </a:accent4>
      <a:accent5>
        <a:srgbClr val="144648"/>
      </a:accent5>
      <a:accent6>
        <a:srgbClr val="E1AAAA"/>
      </a:accent6>
      <a:hlink>
        <a:srgbClr val="174E4B"/>
      </a:hlink>
      <a:folHlink>
        <a:srgbClr val="2D2D37"/>
      </a:folHlink>
    </a:clrScheme>
    <a:fontScheme name="Custom 1">
      <a:majorFont>
        <a:latin typeface="Aptos Display"/>
        <a:ea typeface=""/>
        <a:cs typeface=""/>
      </a:majorFont>
      <a:minorFont>
        <a:latin typeface="Aptos Display"/>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ln>
          <a:solidFill>
            <a:schemeClr val="accent1"/>
          </a:solidFill>
        </a:ln>
      </a:spPr>
      <a:bodyPr lIns="72000" tIns="36000" rIns="72000" bIns="36000" rtlCol="0" anchor="ctr"/>
      <a:lstStyle>
        <a:defPPr algn="ctr">
          <a:defRPr sz="2000" noProof="0" dirty="0" err="1"/>
        </a:defPPr>
      </a:lstStyle>
      <a:style>
        <a:lnRef idx="2">
          <a:schemeClr val="accent1">
            <a:shade val="50000"/>
          </a:schemeClr>
        </a:lnRef>
        <a:fillRef idx="1">
          <a:schemeClr val="accent1"/>
        </a:fillRef>
        <a:effectRef idx="0">
          <a:schemeClr val="accent1"/>
        </a:effectRef>
        <a:fontRef idx="minor">
          <a:schemeClr val="lt1"/>
        </a:fontRef>
      </a:style>
    </a:spDef>
    <a:lnDef>
      <a:spPr>
        <a:ln w="6350">
          <a:solidFill>
            <a:schemeClr val="accent1"/>
          </a:solidFill>
        </a:ln>
      </a:spPr>
      <a:bodyPr/>
      <a:lstStyle/>
      <a:style>
        <a:lnRef idx="1">
          <a:schemeClr val="accent1"/>
        </a:lnRef>
        <a:fillRef idx="0">
          <a:schemeClr val="accent1"/>
        </a:fillRef>
        <a:effectRef idx="0">
          <a:schemeClr val="accent1"/>
        </a:effectRef>
        <a:fontRef idx="minor">
          <a:schemeClr val="tx1"/>
        </a:fontRef>
      </a:style>
    </a:lnDef>
    <a:txDef>
      <a:spPr>
        <a:noFill/>
      </a:spPr>
      <a:bodyPr wrap="square" lIns="0" tIns="0" rIns="0" bIns="0" rtlCol="0">
        <a:spAutoFit/>
      </a:bodyPr>
      <a:lstStyle>
        <a:defPPr>
          <a:defRPr sz="2000" dirty="0" err="1" smtClean="0"/>
        </a:defPPr>
      </a:lstStyle>
    </a:txDef>
  </a:objectDefaults>
  <a:extraClrSchemeLst/>
  <a:custClrLst>
    <a:custClr name="Deep Black">
      <a:srgbClr val="2D2D37"/>
    </a:custClr>
    <a:custClr name="Forest Green">
      <a:srgbClr val="144648"/>
    </a:custClr>
    <a:custClr name="Color has no name">
      <a:srgbClr val="FFFFFF"/>
    </a:custClr>
    <a:custClr name="Color has no name">
      <a:srgbClr val="FFFFFF"/>
    </a:custClr>
    <a:custClr name="Color has no name">
      <a:srgbClr val="FFFFFF"/>
    </a:custClr>
    <a:custClr name="Color has no name">
      <a:srgbClr val="FFFFFF"/>
    </a:custClr>
    <a:custClr name="Color has no name">
      <a:srgbClr val="FFFFFF"/>
    </a:custClr>
    <a:custClr name="Color has no name">
      <a:srgbClr val="FFFFFF"/>
    </a:custClr>
    <a:custClr name="Color has no name">
      <a:srgbClr val="FFFFFF"/>
    </a:custClr>
    <a:custClr name="Color has no name">
      <a:srgbClr val="FFFFFF"/>
    </a:custClr>
    <a:custClr name="Dark Gray">
      <a:srgbClr val="505A64"/>
    </a:custClr>
    <a:custClr name="Deep Green">
      <a:srgbClr val="327869"/>
    </a:custClr>
    <a:custClr name="Deep Yellow">
      <a:srgbClr val="FFE1B9"/>
    </a:custClr>
    <a:custClr name="Deep Peach">
      <a:srgbClr val="E1AAAA"/>
    </a:custClr>
    <a:custClr name="Color has no name">
      <a:srgbClr val="FFFFFF"/>
    </a:custClr>
    <a:custClr name="Color has no name">
      <a:srgbClr val="FFFFFF"/>
    </a:custClr>
    <a:custClr name="Color has no name">
      <a:srgbClr val="FFFFFF"/>
    </a:custClr>
    <a:custClr name="Color has no name">
      <a:srgbClr val="FFFFFF"/>
    </a:custClr>
    <a:custClr name="Color has no name">
      <a:srgbClr val="FFFFFF"/>
    </a:custClr>
    <a:custClr name="Color has no name">
      <a:srgbClr val="FFFFFF"/>
    </a:custClr>
    <a:custClr name="Mid Gray">
      <a:srgbClr val="969BA0"/>
    </a:custClr>
    <a:custClr name="Mid Green">
      <a:srgbClr val="CDF0D7"/>
    </a:custClr>
    <a:custClr name="Mid Yellow">
      <a:srgbClr val="FAF0D2"/>
    </a:custClr>
    <a:custClr name="Mid Peach">
      <a:srgbClr val="F0D7D2"/>
    </a:custClr>
    <a:custClr name="Color has no name">
      <a:srgbClr val="FFFFFF"/>
    </a:custClr>
    <a:custClr name="Color has no name">
      <a:srgbClr val="FFFFFF"/>
    </a:custClr>
    <a:custClr name="Color has no name">
      <a:srgbClr val="FFFFFF"/>
    </a:custClr>
    <a:custClr name="Color has no name">
      <a:srgbClr val="FFFFFF"/>
    </a:custClr>
    <a:custClr name="Color has no name">
      <a:srgbClr val="FFFFFF"/>
    </a:custClr>
    <a:custClr name="Color has no name">
      <a:srgbClr val="FFFFFF"/>
    </a:custClr>
    <a:custClr name="Light Gray">
      <a:srgbClr val="D2D2D4"/>
    </a:custClr>
    <a:custClr name="Light Green">
      <a:srgbClr val="F0FAF0"/>
    </a:custClr>
    <a:custClr name="Light Yellow">
      <a:srgbClr val="FAF5EB"/>
    </a:custClr>
    <a:custClr name="Light Peach">
      <a:srgbClr val="FCF0EB"/>
    </a:custClr>
    <a:custClr>
      <a:srgbClr val="FFFFFF"/>
    </a:custClr>
    <a:custClr>
      <a:srgbClr val="FFFFFF"/>
    </a:custClr>
    <a:custClr>
      <a:srgbClr val="FFFFFF"/>
    </a:custClr>
    <a:custClr>
      <a:srgbClr val="FFFFFF"/>
    </a:custClr>
    <a:custClr>
      <a:srgbClr val="FFFFFF"/>
    </a:custClr>
    <a:custClr>
      <a:srgbClr val="FFFFFF"/>
    </a:custClr>
  </a:custClrLst>
  <a:extLst>
    <a:ext uri="{05A4C25C-085E-4340-85A3-A5531E510DB2}">
      <thm15:themeFamily xmlns:thm15="http://schemas.microsoft.com/office/thememl/2012/main" name="BaseTemplate 16-9 UK.potx" id="{DAACEF1B-F3A3-437C-B6D2-67CA9EF5CD29}" vid="{16980DB7-9C82-4B87-8A8F-AACA49297BE1}"/>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4.bin"/><Relationship Id="rId1" Type="http://schemas.openxmlformats.org/officeDocument/2006/relationships/hyperlink" Target="https://www.eia.gov/outlooks/aeo/assumptions/pdf/international.pdf" TargetMode="External"/><Relationship Id="rId4" Type="http://schemas.openxmlformats.org/officeDocument/2006/relationships/comments" Target="../comments9.xml"/></Relationships>
</file>

<file path=xl/worksheets/_rels/sheet1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5C4EA-A136-4ED1-A2FD-B550DF27B9CF}">
  <sheetPr>
    <tabColor theme="9"/>
  </sheetPr>
  <dimension ref="A1:F20"/>
  <sheetViews>
    <sheetView showGridLines="0" tabSelected="1" zoomScale="130" zoomScaleNormal="130" workbookViewId="0"/>
  </sheetViews>
  <sheetFormatPr defaultColWidth="0" defaultRowHeight="15" zeroHeight="1" x14ac:dyDescent="0.25"/>
  <cols>
    <col min="1" max="1" width="3.28515625" style="770" customWidth="1"/>
    <col min="2" max="2" width="75.5703125" style="770" bestFit="1" customWidth="1"/>
    <col min="3" max="3" width="3.7109375" style="770" customWidth="1"/>
    <col min="4" max="6" width="11.42578125" style="770" hidden="1" customWidth="1"/>
    <col min="7" max="16384" width="9.140625" style="770" hidden="1"/>
  </cols>
  <sheetData>
    <row r="1" spans="2:2" x14ac:dyDescent="0.25"/>
    <row r="2" spans="2:2" ht="28.5" x14ac:dyDescent="0.25">
      <c r="B2" s="771" t="s">
        <v>1735</v>
      </c>
    </row>
    <row r="3" spans="2:2" x14ac:dyDescent="0.25"/>
    <row r="4" spans="2:2" ht="28.5" x14ac:dyDescent="0.25">
      <c r="B4" s="771" t="s">
        <v>1731</v>
      </c>
    </row>
    <row r="5" spans="2:2" x14ac:dyDescent="0.25">
      <c r="B5" s="771"/>
    </row>
    <row r="6" spans="2:2" ht="28.5" x14ac:dyDescent="0.25">
      <c r="B6" s="771" t="s">
        <v>1733</v>
      </c>
    </row>
    <row r="7" spans="2:2" x14ac:dyDescent="0.25">
      <c r="B7" s="771"/>
    </row>
    <row r="8" spans="2:2" ht="30" x14ac:dyDescent="0.25">
      <c r="B8" s="771" t="s">
        <v>1734</v>
      </c>
    </row>
    <row r="9" spans="2:2" x14ac:dyDescent="0.25">
      <c r="B9" s="771"/>
    </row>
    <row r="10" spans="2:2" ht="42" x14ac:dyDescent="0.25">
      <c r="B10" s="771" t="s">
        <v>1732</v>
      </c>
    </row>
    <row r="11" spans="2:2" x14ac:dyDescent="0.25"/>
    <row r="12" spans="2:2" ht="15.75" x14ac:dyDescent="0.25">
      <c r="B12" s="804" t="s">
        <v>1730</v>
      </c>
    </row>
    <row r="13" spans="2:2" ht="105.75" customHeight="1" x14ac:dyDescent="0.25">
      <c r="B13" s="772" t="s">
        <v>1736</v>
      </c>
    </row>
    <row r="14" spans="2:2" ht="186.75" customHeight="1" x14ac:dyDescent="0.25">
      <c r="B14" s="772" t="s">
        <v>1741</v>
      </c>
    </row>
    <row r="15" spans="2:2" ht="204.95" customHeight="1" x14ac:dyDescent="0.25">
      <c r="B15" s="772" t="s">
        <v>1738</v>
      </c>
    </row>
    <row r="16" spans="2:2" ht="54.95" customHeight="1" x14ac:dyDescent="0.25">
      <c r="B16" s="772" t="s">
        <v>1737</v>
      </c>
    </row>
    <row r="17" spans="2:2" ht="99.95" customHeight="1" x14ac:dyDescent="0.25">
      <c r="B17" s="772" t="s">
        <v>1739</v>
      </c>
    </row>
    <row r="18" spans="2:2" ht="171.75" customHeight="1" x14ac:dyDescent="0.25">
      <c r="B18" s="772" t="s">
        <v>1740</v>
      </c>
    </row>
    <row r="19" spans="2:2" x14ac:dyDescent="0.25"/>
    <row r="20" spans="2:2"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A3288-E471-433B-8511-70AC19377067}">
  <sheetPr codeName="Sheet20">
    <tabColor theme="3" tint="0.59999389629810485"/>
  </sheetPr>
  <dimension ref="A1:AG404"/>
  <sheetViews>
    <sheetView showGridLines="0" zoomScale="85" zoomScaleNormal="85" workbookViewId="0"/>
  </sheetViews>
  <sheetFormatPr defaultColWidth="0" defaultRowHeight="12.75" outlineLevelRow="1" outlineLevelCol="1" x14ac:dyDescent="0.2"/>
  <cols>
    <col min="1" max="1" width="9.140625" customWidth="1"/>
    <col min="2" max="2" width="54.42578125" customWidth="1"/>
    <col min="3" max="3" width="29.42578125" customWidth="1"/>
    <col min="4" max="4" width="24" customWidth="1"/>
    <col min="5" max="5" width="9.140625" customWidth="1"/>
    <col min="6" max="15" width="9.140625" customWidth="1" outlineLevel="1"/>
    <col min="16" max="16" width="9.140625" customWidth="1"/>
    <col min="17" max="20" width="9.140625" customWidth="1" outlineLevel="1"/>
    <col min="21" max="21" width="21.140625" customWidth="1"/>
    <col min="22" max="22" width="23.42578125" customWidth="1"/>
    <col min="23" max="30" width="9.140625" customWidth="1"/>
    <col min="31" max="33" width="0" hidden="1" customWidth="1"/>
    <col min="34" max="16384" width="11.42578125" hidden="1"/>
  </cols>
  <sheetData>
    <row r="1" spans="1:30" ht="18" x14ac:dyDescent="0.25">
      <c r="A1" s="390"/>
      <c r="B1" s="390" t="str" cm="1">
        <f t="array" aca="1" ref="B1" ca="1">MID(CELL("filename",A1),FIND("]",CELL("filename",A1))+1,255)</f>
        <v>EE - Input</v>
      </c>
      <c r="C1" s="390"/>
      <c r="D1" s="390"/>
      <c r="E1" s="390"/>
      <c r="F1" s="390"/>
      <c r="G1" s="391"/>
      <c r="H1" s="391"/>
      <c r="I1" s="391"/>
      <c r="J1" s="391"/>
      <c r="K1" s="391"/>
      <c r="L1" s="391"/>
      <c r="M1" s="391"/>
      <c r="N1" s="391"/>
      <c r="O1" s="391"/>
      <c r="P1" s="391"/>
      <c r="Q1" s="391"/>
      <c r="R1" s="391"/>
      <c r="S1" s="391"/>
      <c r="T1" s="391"/>
      <c r="U1" s="391"/>
      <c r="V1" s="391"/>
      <c r="W1" s="391"/>
      <c r="X1" s="391"/>
      <c r="Y1" s="391"/>
      <c r="Z1" s="391"/>
      <c r="AA1" s="391"/>
      <c r="AB1" s="391"/>
      <c r="AC1" s="391"/>
      <c r="AD1" s="391"/>
    </row>
    <row r="3" spans="1:30" hidden="1" outlineLevel="1" x14ac:dyDescent="0.2">
      <c r="F3" t="str">
        <f>F4&amp;F5</f>
        <v>ContainerSmall</v>
      </c>
      <c r="G3" t="str">
        <f t="shared" ref="G3:T3" si="0">G4&amp;G5</f>
        <v>ContainerMedium</v>
      </c>
      <c r="H3" t="str">
        <f t="shared" si="0"/>
        <v>ContainerLarge</v>
      </c>
      <c r="I3" t="str">
        <f t="shared" si="0"/>
        <v>Bulk CarrierSmall</v>
      </c>
      <c r="J3" t="str">
        <f t="shared" si="0"/>
        <v>Bulk CarrierMedium</v>
      </c>
      <c r="K3" t="str">
        <f t="shared" si="0"/>
        <v>Bulk CarrierLarge</v>
      </c>
      <c r="L3" t="str">
        <f t="shared" si="0"/>
        <v>TankerSmall</v>
      </c>
      <c r="M3" t="str">
        <f t="shared" si="0"/>
        <v>TankerMedium</v>
      </c>
      <c r="N3" t="str">
        <f t="shared" si="0"/>
        <v>TankerLarge</v>
      </c>
      <c r="O3" t="str">
        <f t="shared" si="0"/>
        <v>RoRo/ Car carrierSmall</v>
      </c>
      <c r="P3" t="str">
        <f t="shared" si="0"/>
        <v>RoRo/ Car carrierMedium</v>
      </c>
      <c r="Q3" t="str">
        <f t="shared" si="0"/>
        <v>RoRo/ Car carrierLarge</v>
      </c>
      <c r="R3" t="str">
        <f t="shared" si="0"/>
        <v>Gas CarrierSmall</v>
      </c>
      <c r="S3" t="str">
        <f t="shared" si="0"/>
        <v>Gas CarrierMedium</v>
      </c>
      <c r="T3" t="str">
        <f t="shared" si="0"/>
        <v>Gas CarrierLarge</v>
      </c>
    </row>
    <row r="4" spans="1:30" collapsed="1" x14ac:dyDescent="0.2">
      <c r="F4" s="392" t="s">
        <v>105</v>
      </c>
      <c r="G4" s="392" t="s">
        <v>105</v>
      </c>
      <c r="H4" s="392" t="s">
        <v>105</v>
      </c>
      <c r="I4" s="392" t="s">
        <v>614</v>
      </c>
      <c r="J4" s="392" t="s">
        <v>614</v>
      </c>
      <c r="K4" s="392" t="s">
        <v>614</v>
      </c>
      <c r="L4" s="392" t="s">
        <v>547</v>
      </c>
      <c r="M4" s="392" t="s">
        <v>547</v>
      </c>
      <c r="N4" s="392" t="s">
        <v>547</v>
      </c>
      <c r="O4" s="392" t="s">
        <v>615</v>
      </c>
      <c r="P4" s="392" t="s">
        <v>615</v>
      </c>
      <c r="Q4" s="392" t="s">
        <v>615</v>
      </c>
      <c r="R4" s="392" t="s">
        <v>548</v>
      </c>
      <c r="S4" s="392" t="s">
        <v>548</v>
      </c>
      <c r="T4" s="392" t="s">
        <v>548</v>
      </c>
      <c r="U4" s="392" t="s">
        <v>616</v>
      </c>
      <c r="V4" s="392" t="s">
        <v>617</v>
      </c>
    </row>
    <row r="5" spans="1:30" ht="15" x14ac:dyDescent="0.25">
      <c r="B5" s="393" t="s">
        <v>618</v>
      </c>
      <c r="C5" s="393" t="s">
        <v>208</v>
      </c>
      <c r="D5" s="393" t="s">
        <v>619</v>
      </c>
      <c r="E5" s="393" t="s">
        <v>86</v>
      </c>
      <c r="F5" s="392" t="s">
        <v>546</v>
      </c>
      <c r="G5" s="392" t="s">
        <v>107</v>
      </c>
      <c r="H5" s="392" t="s">
        <v>545</v>
      </c>
      <c r="I5" s="392" t="s">
        <v>546</v>
      </c>
      <c r="J5" s="392" t="s">
        <v>107</v>
      </c>
      <c r="K5" s="392" t="s">
        <v>545</v>
      </c>
      <c r="L5" s="392" t="s">
        <v>546</v>
      </c>
      <c r="M5" s="392" t="s">
        <v>107</v>
      </c>
      <c r="N5" s="392" t="s">
        <v>545</v>
      </c>
      <c r="O5" s="392" t="s">
        <v>546</v>
      </c>
      <c r="P5" s="392" t="s">
        <v>107</v>
      </c>
      <c r="Q5" s="392" t="s">
        <v>545</v>
      </c>
      <c r="R5" s="392" t="s">
        <v>546</v>
      </c>
      <c r="S5" s="392" t="s">
        <v>107</v>
      </c>
      <c r="T5" s="392" t="s">
        <v>545</v>
      </c>
      <c r="U5" s="392" t="s">
        <v>620</v>
      </c>
      <c r="V5" s="394" t="s">
        <v>620</v>
      </c>
    </row>
    <row r="6" spans="1:30" x14ac:dyDescent="0.2">
      <c r="B6" s="392" t="str">
        <f t="shared" ref="B6:B69" si="1">D6&amp;"-"&amp;C6</f>
        <v>A/C and heating systems-Applicable Newbuild</v>
      </c>
      <c r="C6" s="392" t="s">
        <v>621</v>
      </c>
      <c r="D6" s="392" t="s">
        <v>162</v>
      </c>
      <c r="E6" s="392" t="s">
        <v>622</v>
      </c>
      <c r="F6" s="356">
        <v>0</v>
      </c>
      <c r="G6" s="356">
        <v>0</v>
      </c>
      <c r="H6" s="356">
        <v>0</v>
      </c>
      <c r="I6" s="356">
        <v>0</v>
      </c>
      <c r="J6" s="356">
        <v>0</v>
      </c>
      <c r="K6" s="356">
        <v>0</v>
      </c>
      <c r="L6" s="356">
        <v>0</v>
      </c>
      <c r="M6" s="356">
        <v>0</v>
      </c>
      <c r="N6" s="356">
        <v>0</v>
      </c>
      <c r="O6" s="356">
        <v>0</v>
      </c>
      <c r="P6" s="356">
        <v>0</v>
      </c>
      <c r="Q6" s="356">
        <v>0</v>
      </c>
      <c r="R6" s="356">
        <v>0</v>
      </c>
      <c r="S6" s="356">
        <v>0</v>
      </c>
      <c r="T6" s="356">
        <v>0</v>
      </c>
      <c r="U6" s="356"/>
      <c r="V6" s="356"/>
    </row>
    <row r="7" spans="1:30" x14ac:dyDescent="0.2">
      <c r="B7" s="392" t="str">
        <f t="shared" si="1"/>
        <v>A/C and heating systems-Applicable Retrofit</v>
      </c>
      <c r="C7" s="392" t="s">
        <v>629</v>
      </c>
      <c r="D7" s="392" t="s">
        <v>162</v>
      </c>
      <c r="E7" s="392" t="s">
        <v>622</v>
      </c>
      <c r="F7" s="356">
        <v>0</v>
      </c>
      <c r="G7" s="356">
        <v>0</v>
      </c>
      <c r="H7" s="356">
        <v>0</v>
      </c>
      <c r="I7" s="356">
        <v>0</v>
      </c>
      <c r="J7" s="356">
        <v>0</v>
      </c>
      <c r="K7" s="356">
        <v>0</v>
      </c>
      <c r="L7" s="356">
        <v>0</v>
      </c>
      <c r="M7" s="356">
        <v>0</v>
      </c>
      <c r="N7" s="356">
        <v>0</v>
      </c>
      <c r="O7" s="356">
        <v>0</v>
      </c>
      <c r="P7" s="356">
        <v>0</v>
      </c>
      <c r="Q7" s="356">
        <v>0</v>
      </c>
      <c r="R7" s="356">
        <v>0</v>
      </c>
      <c r="S7" s="356">
        <v>0</v>
      </c>
      <c r="T7" s="356">
        <v>0</v>
      </c>
      <c r="U7" s="356"/>
      <c r="V7" s="356"/>
    </row>
    <row r="8" spans="1:30" x14ac:dyDescent="0.2">
      <c r="B8" s="392" t="str">
        <f t="shared" si="1"/>
        <v>A/C and heating systems-CAPEX</v>
      </c>
      <c r="C8" s="392" t="s">
        <v>50</v>
      </c>
      <c r="D8" s="392" t="s">
        <v>162</v>
      </c>
      <c r="E8" s="392" t="s">
        <v>630</v>
      </c>
      <c r="F8" s="585" cm="1">
        <f t="array" aca="1" ref="F8" ca="1">IFERROR(
_xlfn.IFS(NewBuild_Retrofit_selector="Newbuild",INDEX($B$1:$V$408,MATCH($D8&amp;"-"&amp;"Installation cost",$B$1:$B$408,0),MATCH(F$3,$B$3:$V$3,0))/INDEX($B$1:$V$408,MATCH($D8&amp;"-"&amp;"Lifetime",$B$1:$B$408,0),MATCH(F$3,$B$3:$V$3,0)),
NewBuild_Retrofit_selector="Retrofit",(INDEX($B$1:$V$408,MATCH($D8&amp;"-"&amp;"Installation cost",$B$1:$B$408,0),MATCH(F$3,$B$3:$V$3,0))+INDEX($B$1:$V$408,MATCH($D8&amp;"-"&amp;"Extra retrofit cost",$B$1:$B$408,0),MATCH(F$3,$B$3:$V$3,0)))/INDEX($B$1:$V$408,MATCH($D8&amp;"-"&amp;"Lifetime",$B$1:$B$408,0),MATCH(F$3,$B$3:$V$3,0))),0)</f>
        <v>0</v>
      </c>
      <c r="G8" s="585" cm="1">
        <f t="array" aca="1" ref="G8" ca="1">IFERROR(
_xlfn.IFS(NewBuild_Retrofit_selector="Newbuild",INDEX($B$1:$V$408,MATCH($D8&amp;"-"&amp;"Installation cost",$B$1:$B$408,0),MATCH(G$3,$B$3:$V$3,0))/INDEX($B$1:$V$408,MATCH($D8&amp;"-"&amp;"Lifetime",$B$1:$B$408,0),MATCH(G$3,$B$3:$V$3,0)),
NewBuild_Retrofit_selector="Retrofit",(INDEX($B$1:$V$408,MATCH($D8&amp;"-"&amp;"Installation cost",$B$1:$B$408,0),MATCH(G$3,$B$3:$V$3,0))+INDEX($B$1:$V$408,MATCH($D8&amp;"-"&amp;"Extra retrofit cost",$B$1:$B$408,0),MATCH(G$3,$B$3:$V$3,0)))/INDEX($B$1:$V$408,MATCH($D8&amp;"-"&amp;"Lifetime",$B$1:$B$408,0),MATCH(G$3,$B$3:$V$3,0))),0)</f>
        <v>0</v>
      </c>
      <c r="H8" s="585" cm="1">
        <f t="array" aca="1" ref="H8" ca="1">IFERROR(
_xlfn.IFS(NewBuild_Retrofit_selector="Newbuild",INDEX($B$1:$V$408,MATCH($D8&amp;"-"&amp;"Installation cost",$B$1:$B$408,0),MATCH(H$3,$B$3:$V$3,0))/INDEX($B$1:$V$408,MATCH($D8&amp;"-"&amp;"Lifetime",$B$1:$B$408,0),MATCH(H$3,$B$3:$V$3,0)),
NewBuild_Retrofit_selector="Retrofit",(INDEX($B$1:$V$408,MATCH($D8&amp;"-"&amp;"Installation cost",$B$1:$B$408,0),MATCH(H$3,$B$3:$V$3,0))+INDEX($B$1:$V$408,MATCH($D8&amp;"-"&amp;"Extra retrofit cost",$B$1:$B$408,0),MATCH(H$3,$B$3:$V$3,0)))/INDEX($B$1:$V$408,MATCH($D8&amp;"-"&amp;"Lifetime",$B$1:$B$408,0),MATCH(H$3,$B$3:$V$3,0))),0)</f>
        <v>0</v>
      </c>
      <c r="I8" s="585" cm="1">
        <f t="array" aca="1" ref="I8" ca="1">IFERROR(
_xlfn.IFS(NewBuild_Retrofit_selector="Newbuild",INDEX($B$1:$V$408,MATCH($D8&amp;"-"&amp;"Installation cost",$B$1:$B$408,0),MATCH(I$3,$B$3:$V$3,0))/INDEX($B$1:$V$408,MATCH($D8&amp;"-"&amp;"Lifetime",$B$1:$B$408,0),MATCH(I$3,$B$3:$V$3,0)),
NewBuild_Retrofit_selector="Retrofit",(INDEX($B$1:$V$408,MATCH($D8&amp;"-"&amp;"Installation cost",$B$1:$B$408,0),MATCH(I$3,$B$3:$V$3,0))+INDEX($B$1:$V$408,MATCH($D8&amp;"-"&amp;"Extra retrofit cost",$B$1:$B$408,0),MATCH(I$3,$B$3:$V$3,0)))/INDEX($B$1:$V$408,MATCH($D8&amp;"-"&amp;"Lifetime",$B$1:$B$408,0),MATCH(I$3,$B$3:$V$3,0))),0)</f>
        <v>0</v>
      </c>
      <c r="J8" s="585" cm="1">
        <f t="array" aca="1" ref="J8" ca="1">IFERROR(
_xlfn.IFS(NewBuild_Retrofit_selector="Newbuild",INDEX($B$1:$V$408,MATCH($D8&amp;"-"&amp;"Installation cost",$B$1:$B$408,0),MATCH(J$3,$B$3:$V$3,0))/INDEX($B$1:$V$408,MATCH($D8&amp;"-"&amp;"Lifetime",$B$1:$B$408,0),MATCH(J$3,$B$3:$V$3,0)),
NewBuild_Retrofit_selector="Retrofit",(INDEX($B$1:$V$408,MATCH($D8&amp;"-"&amp;"Installation cost",$B$1:$B$408,0),MATCH(J$3,$B$3:$V$3,0))+INDEX($B$1:$V$408,MATCH($D8&amp;"-"&amp;"Extra retrofit cost",$B$1:$B$408,0),MATCH(J$3,$B$3:$V$3,0)))/INDEX($B$1:$V$408,MATCH($D8&amp;"-"&amp;"Lifetime",$B$1:$B$408,0),MATCH(J$3,$B$3:$V$3,0))),0)</f>
        <v>0</v>
      </c>
      <c r="K8" s="585" cm="1">
        <f t="array" aca="1" ref="K8" ca="1">IFERROR(
_xlfn.IFS(NewBuild_Retrofit_selector="Newbuild",INDEX($B$1:$V$408,MATCH($D8&amp;"-"&amp;"Installation cost",$B$1:$B$408,0),MATCH(K$3,$B$3:$V$3,0))/INDEX($B$1:$V$408,MATCH($D8&amp;"-"&amp;"Lifetime",$B$1:$B$408,0),MATCH(K$3,$B$3:$V$3,0)),
NewBuild_Retrofit_selector="Retrofit",(INDEX($B$1:$V$408,MATCH($D8&amp;"-"&amp;"Installation cost",$B$1:$B$408,0),MATCH(K$3,$B$3:$V$3,0))+INDEX($B$1:$V$408,MATCH($D8&amp;"-"&amp;"Extra retrofit cost",$B$1:$B$408,0),MATCH(K$3,$B$3:$V$3,0)))/INDEX($B$1:$V$408,MATCH($D8&amp;"-"&amp;"Lifetime",$B$1:$B$408,0),MATCH(K$3,$B$3:$V$3,0))),0)</f>
        <v>0</v>
      </c>
      <c r="L8" s="585" cm="1">
        <f t="array" aca="1" ref="L8" ca="1">IFERROR(
_xlfn.IFS(NewBuild_Retrofit_selector="Newbuild",INDEX($B$1:$V$408,MATCH($D8&amp;"-"&amp;"Installation cost",$B$1:$B$408,0),MATCH(L$3,$B$3:$V$3,0))/INDEX($B$1:$V$408,MATCH($D8&amp;"-"&amp;"Lifetime",$B$1:$B$408,0),MATCH(L$3,$B$3:$V$3,0)),
NewBuild_Retrofit_selector="Retrofit",(INDEX($B$1:$V$408,MATCH($D8&amp;"-"&amp;"Installation cost",$B$1:$B$408,0),MATCH(L$3,$B$3:$V$3,0))+INDEX($B$1:$V$408,MATCH($D8&amp;"-"&amp;"Extra retrofit cost",$B$1:$B$408,0),MATCH(L$3,$B$3:$V$3,0)))/INDEX($B$1:$V$408,MATCH($D8&amp;"-"&amp;"Lifetime",$B$1:$B$408,0),MATCH(L$3,$B$3:$V$3,0))),0)</f>
        <v>0</v>
      </c>
      <c r="M8" s="585" cm="1">
        <f t="array" aca="1" ref="M8" ca="1">IFERROR(
_xlfn.IFS(NewBuild_Retrofit_selector="Newbuild",INDEX($B$1:$V$408,MATCH($D8&amp;"-"&amp;"Installation cost",$B$1:$B$408,0),MATCH(M$3,$B$3:$V$3,0))/INDEX($B$1:$V$408,MATCH($D8&amp;"-"&amp;"Lifetime",$B$1:$B$408,0),MATCH(M$3,$B$3:$V$3,0)),
NewBuild_Retrofit_selector="Retrofit",(INDEX($B$1:$V$408,MATCH($D8&amp;"-"&amp;"Installation cost",$B$1:$B$408,0),MATCH(M$3,$B$3:$V$3,0))+INDEX($B$1:$V$408,MATCH($D8&amp;"-"&amp;"Extra retrofit cost",$B$1:$B$408,0),MATCH(M$3,$B$3:$V$3,0)))/INDEX($B$1:$V$408,MATCH($D8&amp;"-"&amp;"Lifetime",$B$1:$B$408,0),MATCH(M$3,$B$3:$V$3,0))),0)</f>
        <v>0</v>
      </c>
      <c r="N8" s="585" cm="1">
        <f t="array" aca="1" ref="N8" ca="1">IFERROR(
_xlfn.IFS(NewBuild_Retrofit_selector="Newbuild",INDEX($B$1:$V$408,MATCH($D8&amp;"-"&amp;"Installation cost",$B$1:$B$408,0),MATCH(N$3,$B$3:$V$3,0))/INDEX($B$1:$V$408,MATCH($D8&amp;"-"&amp;"Lifetime",$B$1:$B$408,0),MATCH(N$3,$B$3:$V$3,0)),
NewBuild_Retrofit_selector="Retrofit",(INDEX($B$1:$V$408,MATCH($D8&amp;"-"&amp;"Installation cost",$B$1:$B$408,0),MATCH(N$3,$B$3:$V$3,0))+INDEX($B$1:$V$408,MATCH($D8&amp;"-"&amp;"Extra retrofit cost",$B$1:$B$408,0),MATCH(N$3,$B$3:$V$3,0)))/INDEX($B$1:$V$408,MATCH($D8&amp;"-"&amp;"Lifetime",$B$1:$B$408,0),MATCH(N$3,$B$3:$V$3,0))),0)</f>
        <v>0</v>
      </c>
      <c r="O8" s="585" cm="1">
        <f t="array" aca="1" ref="O8" ca="1">IFERROR(
_xlfn.IFS(NewBuild_Retrofit_selector="Newbuild",INDEX($B$1:$V$408,MATCH($D8&amp;"-"&amp;"Installation cost",$B$1:$B$408,0),MATCH(O$3,$B$3:$V$3,0))/INDEX($B$1:$V$408,MATCH($D8&amp;"-"&amp;"Lifetime",$B$1:$B$408,0),MATCH(O$3,$B$3:$V$3,0)),
NewBuild_Retrofit_selector="Retrofit",(INDEX($B$1:$V$408,MATCH($D8&amp;"-"&amp;"Installation cost",$B$1:$B$408,0),MATCH(O$3,$B$3:$V$3,0))+INDEX($B$1:$V$408,MATCH($D8&amp;"-"&amp;"Extra retrofit cost",$B$1:$B$408,0),MATCH(O$3,$B$3:$V$3,0)))/INDEX($B$1:$V$408,MATCH($D8&amp;"-"&amp;"Lifetime",$B$1:$B$408,0),MATCH(O$3,$B$3:$V$3,0))),0)</f>
        <v>0</v>
      </c>
      <c r="P8" s="585" cm="1">
        <f t="array" aca="1" ref="P8" ca="1">IFERROR(
_xlfn.IFS(NewBuild_Retrofit_selector="Newbuild",INDEX($B$1:$V$408,MATCH($D8&amp;"-"&amp;"Installation cost",$B$1:$B$408,0),MATCH(P$3,$B$3:$V$3,0))/INDEX($B$1:$V$408,MATCH($D8&amp;"-"&amp;"Lifetime",$B$1:$B$408,0),MATCH(P$3,$B$3:$V$3,0)),
NewBuild_Retrofit_selector="Retrofit",(INDEX($B$1:$V$408,MATCH($D8&amp;"-"&amp;"Installation cost",$B$1:$B$408,0),MATCH(P$3,$B$3:$V$3,0))+INDEX($B$1:$V$408,MATCH($D8&amp;"-"&amp;"Extra retrofit cost",$B$1:$B$408,0),MATCH(P$3,$B$3:$V$3,0)))/INDEX($B$1:$V$408,MATCH($D8&amp;"-"&amp;"Lifetime",$B$1:$B$408,0),MATCH(P$3,$B$3:$V$3,0))),0)</f>
        <v>0</v>
      </c>
      <c r="Q8" s="585" cm="1">
        <f t="array" aca="1" ref="Q8" ca="1">IFERROR(
_xlfn.IFS(NewBuild_Retrofit_selector="Newbuild",INDEX($B$1:$V$408,MATCH($D8&amp;"-"&amp;"Installation cost",$B$1:$B$408,0),MATCH(Q$3,$B$3:$V$3,0))/INDEX($B$1:$V$408,MATCH($D8&amp;"-"&amp;"Lifetime",$B$1:$B$408,0),MATCH(Q$3,$B$3:$V$3,0)),
NewBuild_Retrofit_selector="Retrofit",(INDEX($B$1:$V$408,MATCH($D8&amp;"-"&amp;"Installation cost",$B$1:$B$408,0),MATCH(Q$3,$B$3:$V$3,0))+INDEX($B$1:$V$408,MATCH($D8&amp;"-"&amp;"Extra retrofit cost",$B$1:$B$408,0),MATCH(Q$3,$B$3:$V$3,0)))/INDEX($B$1:$V$408,MATCH($D8&amp;"-"&amp;"Lifetime",$B$1:$B$408,0),MATCH(Q$3,$B$3:$V$3,0))),0)</f>
        <v>0</v>
      </c>
      <c r="R8" s="585" cm="1">
        <f t="array" aca="1" ref="R8" ca="1">IFERROR(
_xlfn.IFS(NewBuild_Retrofit_selector="Newbuild",INDEX($B$1:$V$408,MATCH($D8&amp;"-"&amp;"Installation cost",$B$1:$B$408,0),MATCH(R$3,$B$3:$V$3,0))/INDEX($B$1:$V$408,MATCH($D8&amp;"-"&amp;"Lifetime",$B$1:$B$408,0),MATCH(R$3,$B$3:$V$3,0)),
NewBuild_Retrofit_selector="Retrofit",(INDEX($B$1:$V$408,MATCH($D8&amp;"-"&amp;"Installation cost",$B$1:$B$408,0),MATCH(R$3,$B$3:$V$3,0))+INDEX($B$1:$V$408,MATCH($D8&amp;"-"&amp;"Extra retrofit cost",$B$1:$B$408,0),MATCH(R$3,$B$3:$V$3,0)))/INDEX($B$1:$V$408,MATCH($D8&amp;"-"&amp;"Lifetime",$B$1:$B$408,0),MATCH(R$3,$B$3:$V$3,0))),0)</f>
        <v>0</v>
      </c>
      <c r="S8" s="585" cm="1">
        <f t="array" aca="1" ref="S8" ca="1">IFERROR(
_xlfn.IFS(NewBuild_Retrofit_selector="Newbuild",INDEX($B$1:$V$408,MATCH($D8&amp;"-"&amp;"Installation cost",$B$1:$B$408,0),MATCH(S$3,$B$3:$V$3,0))/INDEX($B$1:$V$408,MATCH($D8&amp;"-"&amp;"Lifetime",$B$1:$B$408,0),MATCH(S$3,$B$3:$V$3,0)),
NewBuild_Retrofit_selector="Retrofit",(INDEX($B$1:$V$408,MATCH($D8&amp;"-"&amp;"Installation cost",$B$1:$B$408,0),MATCH(S$3,$B$3:$V$3,0))+INDEX($B$1:$V$408,MATCH($D8&amp;"-"&amp;"Extra retrofit cost",$B$1:$B$408,0),MATCH(S$3,$B$3:$V$3,0)))/INDEX($B$1:$V$408,MATCH($D8&amp;"-"&amp;"Lifetime",$B$1:$B$408,0),MATCH(S$3,$B$3:$V$3,0))),0)</f>
        <v>0</v>
      </c>
      <c r="T8" s="585" cm="1">
        <f t="array" aca="1" ref="T8" ca="1">IFERROR(
_xlfn.IFS(NewBuild_Retrofit_selector="Newbuild",INDEX($B$1:$V$408,MATCH($D8&amp;"-"&amp;"Installation cost",$B$1:$B$408,0),MATCH(T$3,$B$3:$V$3,0))/INDEX($B$1:$V$408,MATCH($D8&amp;"-"&amp;"Lifetime",$B$1:$B$408,0),MATCH(T$3,$B$3:$V$3,0)),
NewBuild_Retrofit_selector="Retrofit",(INDEX($B$1:$V$408,MATCH($D8&amp;"-"&amp;"Installation cost",$B$1:$B$408,0),MATCH(T$3,$B$3:$V$3,0))+INDEX($B$1:$V$408,MATCH($D8&amp;"-"&amp;"Extra retrofit cost",$B$1:$B$408,0),MATCH(T$3,$B$3:$V$3,0)))/INDEX($B$1:$V$408,MATCH($D8&amp;"-"&amp;"Lifetime",$B$1:$B$408,0),MATCH(T$3,$B$3:$V$3,0))),0)</f>
        <v>0</v>
      </c>
      <c r="U8" s="356"/>
      <c r="V8" s="356"/>
    </row>
    <row r="9" spans="1:30" x14ac:dyDescent="0.2">
      <c r="B9" s="392" t="str">
        <f t="shared" si="1"/>
        <v>A/C and heating systems-Extra retrofit cost</v>
      </c>
      <c r="C9" s="392" t="s">
        <v>634</v>
      </c>
      <c r="D9" s="392" t="s">
        <v>162</v>
      </c>
      <c r="E9" s="392" t="s">
        <v>635</v>
      </c>
      <c r="F9" s="585">
        <v>0</v>
      </c>
      <c r="G9" s="585">
        <v>0</v>
      </c>
      <c r="H9" s="585">
        <v>0</v>
      </c>
      <c r="I9" s="585">
        <v>0</v>
      </c>
      <c r="J9" s="585">
        <v>0</v>
      </c>
      <c r="K9" s="585">
        <v>0</v>
      </c>
      <c r="L9" s="585">
        <v>0</v>
      </c>
      <c r="M9" s="585">
        <v>0</v>
      </c>
      <c r="N9" s="585">
        <v>0</v>
      </c>
      <c r="O9" s="585">
        <v>0</v>
      </c>
      <c r="P9" s="585">
        <v>0</v>
      </c>
      <c r="Q9" s="585">
        <v>0</v>
      </c>
      <c r="R9" s="585">
        <v>0</v>
      </c>
      <c r="S9" s="585">
        <v>0</v>
      </c>
      <c r="T9" s="585">
        <v>0</v>
      </c>
      <c r="U9" s="356"/>
      <c r="V9" s="356"/>
    </row>
    <row r="10" spans="1:30" x14ac:dyDescent="0.2">
      <c r="B10" s="392" t="str">
        <f t="shared" si="1"/>
        <v>A/C and heating systems-Installation cost</v>
      </c>
      <c r="C10" s="392" t="s">
        <v>452</v>
      </c>
      <c r="D10" s="392" t="s">
        <v>162</v>
      </c>
      <c r="E10" s="392" t="s">
        <v>635</v>
      </c>
      <c r="F10" s="585">
        <v>0</v>
      </c>
      <c r="G10" s="585">
        <v>0</v>
      </c>
      <c r="H10" s="585">
        <v>0</v>
      </c>
      <c r="I10" s="585">
        <v>0</v>
      </c>
      <c r="J10" s="585">
        <v>0</v>
      </c>
      <c r="K10" s="585">
        <v>0</v>
      </c>
      <c r="L10" s="585">
        <v>0</v>
      </c>
      <c r="M10" s="585">
        <v>0</v>
      </c>
      <c r="N10" s="585">
        <v>0</v>
      </c>
      <c r="O10" s="585">
        <v>0</v>
      </c>
      <c r="P10" s="585">
        <v>0</v>
      </c>
      <c r="Q10" s="585">
        <v>0</v>
      </c>
      <c r="R10" s="585">
        <v>0</v>
      </c>
      <c r="S10" s="585">
        <v>0</v>
      </c>
      <c r="T10" s="585">
        <v>0</v>
      </c>
      <c r="U10" s="356" t="s">
        <v>628</v>
      </c>
      <c r="V10" s="356"/>
    </row>
    <row r="11" spans="1:30" x14ac:dyDescent="0.2">
      <c r="B11" s="392" t="str">
        <f t="shared" si="1"/>
        <v>A/C and heating systems-Lifetime</v>
      </c>
      <c r="C11" s="392" t="s">
        <v>520</v>
      </c>
      <c r="D11" s="392" t="s">
        <v>162</v>
      </c>
      <c r="E11" s="392" t="s">
        <v>176</v>
      </c>
      <c r="F11" s="356">
        <v>25</v>
      </c>
      <c r="G11" s="356">
        <v>25</v>
      </c>
      <c r="H11" s="356">
        <v>25</v>
      </c>
      <c r="I11" s="356">
        <v>25</v>
      </c>
      <c r="J11" s="356">
        <v>25</v>
      </c>
      <c r="K11" s="356">
        <v>25</v>
      </c>
      <c r="L11" s="356">
        <v>25</v>
      </c>
      <c r="M11" s="356">
        <v>25</v>
      </c>
      <c r="N11" s="356">
        <v>25</v>
      </c>
      <c r="O11" s="356">
        <v>25</v>
      </c>
      <c r="P11" s="356">
        <v>25</v>
      </c>
      <c r="Q11" s="356">
        <v>25</v>
      </c>
      <c r="R11" s="356">
        <v>25</v>
      </c>
      <c r="S11" s="356">
        <v>25</v>
      </c>
      <c r="T11" s="356">
        <v>25</v>
      </c>
      <c r="U11" s="356"/>
      <c r="V11" s="356"/>
    </row>
    <row r="12" spans="1:30" x14ac:dyDescent="0.2">
      <c r="B12" s="392" t="str">
        <f t="shared" si="1"/>
        <v>A/C and heating systems-OPEX</v>
      </c>
      <c r="C12" s="392" t="s">
        <v>319</v>
      </c>
      <c r="D12" s="392" t="s">
        <v>162</v>
      </c>
      <c r="E12" s="392" t="s">
        <v>630</v>
      </c>
      <c r="F12" s="585">
        <v>0</v>
      </c>
      <c r="G12" s="585">
        <v>0</v>
      </c>
      <c r="H12" s="585">
        <v>0</v>
      </c>
      <c r="I12" s="585">
        <v>0</v>
      </c>
      <c r="J12" s="585">
        <v>0</v>
      </c>
      <c r="K12" s="585">
        <v>0</v>
      </c>
      <c r="L12" s="585">
        <v>0</v>
      </c>
      <c r="M12" s="585">
        <v>0</v>
      </c>
      <c r="N12" s="585">
        <v>0</v>
      </c>
      <c r="O12" s="585">
        <v>0</v>
      </c>
      <c r="P12" s="585">
        <v>0</v>
      </c>
      <c r="Q12" s="585">
        <v>0</v>
      </c>
      <c r="R12" s="585">
        <v>0</v>
      </c>
      <c r="S12" s="585">
        <v>0</v>
      </c>
      <c r="T12" s="585">
        <v>0</v>
      </c>
      <c r="U12" s="356" t="s">
        <v>628</v>
      </c>
      <c r="V12" s="356"/>
    </row>
    <row r="13" spans="1:30" x14ac:dyDescent="0.2">
      <c r="B13" s="392" t="str">
        <f t="shared" si="1"/>
        <v>A/C and heating systems-Saving</v>
      </c>
      <c r="C13" s="392" t="s">
        <v>458</v>
      </c>
      <c r="D13" s="392" t="s">
        <v>162</v>
      </c>
      <c r="E13" s="392" t="s">
        <v>178</v>
      </c>
      <c r="F13" s="359">
        <v>0.02</v>
      </c>
      <c r="G13" s="359">
        <v>0.02</v>
      </c>
      <c r="H13" s="359">
        <v>0.02</v>
      </c>
      <c r="I13" s="359">
        <v>0.02</v>
      </c>
      <c r="J13" s="359">
        <v>0.02</v>
      </c>
      <c r="K13" s="359">
        <v>0.02</v>
      </c>
      <c r="L13" s="359">
        <v>0.02</v>
      </c>
      <c r="M13" s="359">
        <v>0.02</v>
      </c>
      <c r="N13" s="359">
        <v>0.02</v>
      </c>
      <c r="O13" s="359">
        <v>0.02</v>
      </c>
      <c r="P13" s="359">
        <v>0.02</v>
      </c>
      <c r="Q13" s="359">
        <v>0.02</v>
      </c>
      <c r="R13" s="359">
        <v>0.02</v>
      </c>
      <c r="S13" s="359">
        <v>0.02</v>
      </c>
      <c r="T13" s="359">
        <v>0.02</v>
      </c>
      <c r="U13" s="356" t="s">
        <v>628</v>
      </c>
      <c r="V13" s="356"/>
    </row>
    <row r="14" spans="1:30" x14ac:dyDescent="0.2">
      <c r="B14" s="392" t="str">
        <f t="shared" si="1"/>
        <v>A/C and heating systems-UptakeFleetAvg2020</v>
      </c>
      <c r="C14" s="392" t="s">
        <v>650</v>
      </c>
      <c r="D14" s="392" t="s">
        <v>162</v>
      </c>
      <c r="E14" s="392" t="s">
        <v>178</v>
      </c>
      <c r="F14" s="359">
        <v>0.75</v>
      </c>
      <c r="G14" s="359">
        <v>0.75</v>
      </c>
      <c r="H14" s="359">
        <v>0.75</v>
      </c>
      <c r="I14" s="359">
        <v>0</v>
      </c>
      <c r="J14" s="359">
        <v>0</v>
      </c>
      <c r="K14" s="359">
        <v>0</v>
      </c>
      <c r="L14" s="359">
        <v>0</v>
      </c>
      <c r="M14" s="359">
        <v>0</v>
      </c>
      <c r="N14" s="359">
        <v>0</v>
      </c>
      <c r="O14" s="359">
        <v>0</v>
      </c>
      <c r="P14" s="359">
        <v>0</v>
      </c>
      <c r="Q14" s="359">
        <v>0</v>
      </c>
      <c r="R14" s="359">
        <v>0</v>
      </c>
      <c r="S14" s="359">
        <v>0</v>
      </c>
      <c r="T14" s="359">
        <v>0</v>
      </c>
      <c r="U14" s="356"/>
      <c r="V14" s="356"/>
    </row>
    <row r="15" spans="1:30" x14ac:dyDescent="0.2">
      <c r="B15" s="392" t="str">
        <f t="shared" si="1"/>
        <v>A/C and heating systems-UptakeNewbuild2020</v>
      </c>
      <c r="C15" s="392" t="s">
        <v>652</v>
      </c>
      <c r="D15" s="392" t="s">
        <v>162</v>
      </c>
      <c r="E15" s="392" t="s">
        <v>178</v>
      </c>
      <c r="F15" s="359">
        <v>0</v>
      </c>
      <c r="G15" s="359">
        <v>0</v>
      </c>
      <c r="H15" s="359">
        <v>0</v>
      </c>
      <c r="I15" s="359">
        <v>0</v>
      </c>
      <c r="J15" s="359">
        <v>0</v>
      </c>
      <c r="K15" s="359">
        <v>0</v>
      </c>
      <c r="L15" s="359">
        <v>0</v>
      </c>
      <c r="M15" s="359">
        <v>0</v>
      </c>
      <c r="N15" s="359">
        <v>0</v>
      </c>
      <c r="O15" s="359">
        <v>0</v>
      </c>
      <c r="P15" s="359">
        <v>0</v>
      </c>
      <c r="Q15" s="359">
        <v>0</v>
      </c>
      <c r="R15" s="359">
        <v>0</v>
      </c>
      <c r="S15" s="359">
        <v>0</v>
      </c>
      <c r="T15" s="359">
        <v>0</v>
      </c>
      <c r="U15" s="356"/>
      <c r="V15" s="356"/>
    </row>
    <row r="16" spans="1:30" x14ac:dyDescent="0.2">
      <c r="B16" s="392" t="str">
        <f t="shared" si="1"/>
        <v>AE Hybridization-Applicable Newbuild</v>
      </c>
      <c r="C16" s="392" t="s">
        <v>621</v>
      </c>
      <c r="D16" s="396" t="s">
        <v>164</v>
      </c>
      <c r="E16" s="392" t="s">
        <v>622</v>
      </c>
      <c r="F16" s="356">
        <v>0</v>
      </c>
      <c r="G16" s="356">
        <v>0</v>
      </c>
      <c r="H16" s="356">
        <v>0</v>
      </c>
      <c r="I16" s="356">
        <v>0</v>
      </c>
      <c r="J16" s="356">
        <v>0</v>
      </c>
      <c r="K16" s="356">
        <v>0</v>
      </c>
      <c r="L16" s="356">
        <v>0</v>
      </c>
      <c r="M16" s="356">
        <v>0</v>
      </c>
      <c r="N16" s="356">
        <v>0</v>
      </c>
      <c r="O16" s="356">
        <v>0</v>
      </c>
      <c r="P16" s="356">
        <v>0</v>
      </c>
      <c r="Q16" s="356">
        <v>0</v>
      </c>
      <c r="R16" s="356">
        <v>0</v>
      </c>
      <c r="S16" s="356">
        <v>0</v>
      </c>
      <c r="T16" s="356">
        <v>0</v>
      </c>
      <c r="U16" s="356" t="s">
        <v>623</v>
      </c>
      <c r="V16" s="356"/>
    </row>
    <row r="17" spans="2:22" x14ac:dyDescent="0.2">
      <c r="B17" s="392" t="str">
        <f t="shared" si="1"/>
        <v>AE Hybridization-Applicable Retrofit</v>
      </c>
      <c r="C17" s="392" t="s">
        <v>629</v>
      </c>
      <c r="D17" s="396" t="s">
        <v>164</v>
      </c>
      <c r="E17" s="392" t="s">
        <v>622</v>
      </c>
      <c r="F17" s="356">
        <v>0</v>
      </c>
      <c r="G17" s="356">
        <v>0</v>
      </c>
      <c r="H17" s="356">
        <v>0</v>
      </c>
      <c r="I17" s="356">
        <v>0</v>
      </c>
      <c r="J17" s="356">
        <v>0</v>
      </c>
      <c r="K17" s="356">
        <v>0</v>
      </c>
      <c r="L17" s="356">
        <v>0</v>
      </c>
      <c r="M17" s="356">
        <v>0</v>
      </c>
      <c r="N17" s="356">
        <v>0</v>
      </c>
      <c r="O17" s="356">
        <v>0</v>
      </c>
      <c r="P17" s="356">
        <v>0</v>
      </c>
      <c r="Q17" s="356">
        <v>0</v>
      </c>
      <c r="R17" s="356">
        <v>0</v>
      </c>
      <c r="S17" s="356">
        <v>0</v>
      </c>
      <c r="T17" s="356">
        <v>0</v>
      </c>
      <c r="U17" s="356" t="s">
        <v>623</v>
      </c>
      <c r="V17" s="356"/>
    </row>
    <row r="18" spans="2:22" x14ac:dyDescent="0.2">
      <c r="B18" s="392" t="str">
        <f t="shared" si="1"/>
        <v>AE Hybridization-CAPEX</v>
      </c>
      <c r="C18" s="392" t="s">
        <v>50</v>
      </c>
      <c r="D18" s="396" t="s">
        <v>164</v>
      </c>
      <c r="E18" s="392" t="s">
        <v>630</v>
      </c>
      <c r="F18" s="585" cm="1">
        <f t="array" aca="1" ref="F18" ca="1">IFERROR(
_xlfn.IFS(NewBuild_Retrofit_selector="Newbuild",INDEX($B$1:$V$408,MATCH($D18&amp;"-"&amp;"Installation cost",$B$1:$B$408,0),MATCH(F$3,$B$3:$V$3,0))/INDEX($B$1:$V$408,MATCH($D18&amp;"-"&amp;"Lifetime",$B$1:$B$408,0),MATCH(F$3,$B$3:$V$3,0)),
NewBuild_Retrofit_selector="Retrofit",(INDEX($B$1:$V$408,MATCH($D18&amp;"-"&amp;"Installation cost",$B$1:$B$408,0),MATCH(F$3,$B$3:$V$3,0))+INDEX($B$1:$V$408,MATCH($D18&amp;"-"&amp;"Extra retrofit cost",$B$1:$B$408,0),MATCH(F$3,$B$3:$V$3,0)))/INDEX($B$1:$V$408,MATCH($D18&amp;"-"&amp;"Lifetime",$B$1:$B$408,0),MATCH(F$3,$B$3:$V$3,0))),0)</f>
        <v>0</v>
      </c>
      <c r="G18" s="585" cm="1">
        <f t="array" aca="1" ref="G18" ca="1">IFERROR(
_xlfn.IFS(NewBuild_Retrofit_selector="Newbuild",INDEX($B$1:$V$408,MATCH($D18&amp;"-"&amp;"Installation cost",$B$1:$B$408,0),MATCH(G$3,$B$3:$V$3,0))/INDEX($B$1:$V$408,MATCH($D18&amp;"-"&amp;"Lifetime",$B$1:$B$408,0),MATCH(G$3,$B$3:$V$3,0)),
NewBuild_Retrofit_selector="Retrofit",(INDEX($B$1:$V$408,MATCH($D18&amp;"-"&amp;"Installation cost",$B$1:$B$408,0),MATCH(G$3,$B$3:$V$3,0))+INDEX($B$1:$V$408,MATCH($D18&amp;"-"&amp;"Extra retrofit cost",$B$1:$B$408,0),MATCH(G$3,$B$3:$V$3,0)))/INDEX($B$1:$V$408,MATCH($D18&amp;"-"&amp;"Lifetime",$B$1:$B$408,0),MATCH(G$3,$B$3:$V$3,0))),0)</f>
        <v>0</v>
      </c>
      <c r="H18" s="585" cm="1">
        <f t="array" aca="1" ref="H18" ca="1">IFERROR(
_xlfn.IFS(NewBuild_Retrofit_selector="Newbuild",INDEX($B$1:$V$408,MATCH($D18&amp;"-"&amp;"Installation cost",$B$1:$B$408,0),MATCH(H$3,$B$3:$V$3,0))/INDEX($B$1:$V$408,MATCH($D18&amp;"-"&amp;"Lifetime",$B$1:$B$408,0),MATCH(H$3,$B$3:$V$3,0)),
NewBuild_Retrofit_selector="Retrofit",(INDEX($B$1:$V$408,MATCH($D18&amp;"-"&amp;"Installation cost",$B$1:$B$408,0),MATCH(H$3,$B$3:$V$3,0))+INDEX($B$1:$V$408,MATCH($D18&amp;"-"&amp;"Extra retrofit cost",$B$1:$B$408,0),MATCH(H$3,$B$3:$V$3,0)))/INDEX($B$1:$V$408,MATCH($D18&amp;"-"&amp;"Lifetime",$B$1:$B$408,0),MATCH(H$3,$B$3:$V$3,0))),0)</f>
        <v>0</v>
      </c>
      <c r="I18" s="585" cm="1">
        <f t="array" aca="1" ref="I18" ca="1">IFERROR(
_xlfn.IFS(NewBuild_Retrofit_selector="Newbuild",INDEX($B$1:$V$408,MATCH($D18&amp;"-"&amp;"Installation cost",$B$1:$B$408,0),MATCH(I$3,$B$3:$V$3,0))/INDEX($B$1:$V$408,MATCH($D18&amp;"-"&amp;"Lifetime",$B$1:$B$408,0),MATCH(I$3,$B$3:$V$3,0)),
NewBuild_Retrofit_selector="Retrofit",(INDEX($B$1:$V$408,MATCH($D18&amp;"-"&amp;"Installation cost",$B$1:$B$408,0),MATCH(I$3,$B$3:$V$3,0))+INDEX($B$1:$V$408,MATCH($D18&amp;"-"&amp;"Extra retrofit cost",$B$1:$B$408,0),MATCH(I$3,$B$3:$V$3,0)))/INDEX($B$1:$V$408,MATCH($D18&amp;"-"&amp;"Lifetime",$B$1:$B$408,0),MATCH(I$3,$B$3:$V$3,0))),0)</f>
        <v>0</v>
      </c>
      <c r="J18" s="585" cm="1">
        <f t="array" aca="1" ref="J18" ca="1">IFERROR(
_xlfn.IFS(NewBuild_Retrofit_selector="Newbuild",INDEX($B$1:$V$408,MATCH($D18&amp;"-"&amp;"Installation cost",$B$1:$B$408,0),MATCH(J$3,$B$3:$V$3,0))/INDEX($B$1:$V$408,MATCH($D18&amp;"-"&amp;"Lifetime",$B$1:$B$408,0),MATCH(J$3,$B$3:$V$3,0)),
NewBuild_Retrofit_selector="Retrofit",(INDEX($B$1:$V$408,MATCH($D18&amp;"-"&amp;"Installation cost",$B$1:$B$408,0),MATCH(J$3,$B$3:$V$3,0))+INDEX($B$1:$V$408,MATCH($D18&amp;"-"&amp;"Extra retrofit cost",$B$1:$B$408,0),MATCH(J$3,$B$3:$V$3,0)))/INDEX($B$1:$V$408,MATCH($D18&amp;"-"&amp;"Lifetime",$B$1:$B$408,0),MATCH(J$3,$B$3:$V$3,0))),0)</f>
        <v>0</v>
      </c>
      <c r="K18" s="585" cm="1">
        <f t="array" aca="1" ref="K18" ca="1">IFERROR(
_xlfn.IFS(NewBuild_Retrofit_selector="Newbuild",INDEX($B$1:$V$408,MATCH($D18&amp;"-"&amp;"Installation cost",$B$1:$B$408,0),MATCH(K$3,$B$3:$V$3,0))/INDEX($B$1:$V$408,MATCH($D18&amp;"-"&amp;"Lifetime",$B$1:$B$408,0),MATCH(K$3,$B$3:$V$3,0)),
NewBuild_Retrofit_selector="Retrofit",(INDEX($B$1:$V$408,MATCH($D18&amp;"-"&amp;"Installation cost",$B$1:$B$408,0),MATCH(K$3,$B$3:$V$3,0))+INDEX($B$1:$V$408,MATCH($D18&amp;"-"&amp;"Extra retrofit cost",$B$1:$B$408,0),MATCH(K$3,$B$3:$V$3,0)))/INDEX($B$1:$V$408,MATCH($D18&amp;"-"&amp;"Lifetime",$B$1:$B$408,0),MATCH(K$3,$B$3:$V$3,0))),0)</f>
        <v>0</v>
      </c>
      <c r="L18" s="585" cm="1">
        <f t="array" aca="1" ref="L18" ca="1">IFERROR(
_xlfn.IFS(NewBuild_Retrofit_selector="Newbuild",INDEX($B$1:$V$408,MATCH($D18&amp;"-"&amp;"Installation cost",$B$1:$B$408,0),MATCH(L$3,$B$3:$V$3,0))/INDEX($B$1:$V$408,MATCH($D18&amp;"-"&amp;"Lifetime",$B$1:$B$408,0),MATCH(L$3,$B$3:$V$3,0)),
NewBuild_Retrofit_selector="Retrofit",(INDEX($B$1:$V$408,MATCH($D18&amp;"-"&amp;"Installation cost",$B$1:$B$408,0),MATCH(L$3,$B$3:$V$3,0))+INDEX($B$1:$V$408,MATCH($D18&amp;"-"&amp;"Extra retrofit cost",$B$1:$B$408,0),MATCH(L$3,$B$3:$V$3,0)))/INDEX($B$1:$V$408,MATCH($D18&amp;"-"&amp;"Lifetime",$B$1:$B$408,0),MATCH(L$3,$B$3:$V$3,0))),0)</f>
        <v>0</v>
      </c>
      <c r="M18" s="585" cm="1">
        <f t="array" aca="1" ref="M18" ca="1">IFERROR(
_xlfn.IFS(NewBuild_Retrofit_selector="Newbuild",INDEX($B$1:$V$408,MATCH($D18&amp;"-"&amp;"Installation cost",$B$1:$B$408,0),MATCH(M$3,$B$3:$V$3,0))/INDEX($B$1:$V$408,MATCH($D18&amp;"-"&amp;"Lifetime",$B$1:$B$408,0),MATCH(M$3,$B$3:$V$3,0)),
NewBuild_Retrofit_selector="Retrofit",(INDEX($B$1:$V$408,MATCH($D18&amp;"-"&amp;"Installation cost",$B$1:$B$408,0),MATCH(M$3,$B$3:$V$3,0))+INDEX($B$1:$V$408,MATCH($D18&amp;"-"&amp;"Extra retrofit cost",$B$1:$B$408,0),MATCH(M$3,$B$3:$V$3,0)))/INDEX($B$1:$V$408,MATCH($D18&amp;"-"&amp;"Lifetime",$B$1:$B$408,0),MATCH(M$3,$B$3:$V$3,0))),0)</f>
        <v>0</v>
      </c>
      <c r="N18" s="585" cm="1">
        <f t="array" aca="1" ref="N18" ca="1">IFERROR(
_xlfn.IFS(NewBuild_Retrofit_selector="Newbuild",INDEX($B$1:$V$408,MATCH($D18&amp;"-"&amp;"Installation cost",$B$1:$B$408,0),MATCH(N$3,$B$3:$V$3,0))/INDEX($B$1:$V$408,MATCH($D18&amp;"-"&amp;"Lifetime",$B$1:$B$408,0),MATCH(N$3,$B$3:$V$3,0)),
NewBuild_Retrofit_selector="Retrofit",(INDEX($B$1:$V$408,MATCH($D18&amp;"-"&amp;"Installation cost",$B$1:$B$408,0),MATCH(N$3,$B$3:$V$3,0))+INDEX($B$1:$V$408,MATCH($D18&amp;"-"&amp;"Extra retrofit cost",$B$1:$B$408,0),MATCH(N$3,$B$3:$V$3,0)))/INDEX($B$1:$V$408,MATCH($D18&amp;"-"&amp;"Lifetime",$B$1:$B$408,0),MATCH(N$3,$B$3:$V$3,0))),0)</f>
        <v>0</v>
      </c>
      <c r="O18" s="585" cm="1">
        <f t="array" aca="1" ref="O18" ca="1">IFERROR(
_xlfn.IFS(NewBuild_Retrofit_selector="Newbuild",INDEX($B$1:$V$408,MATCH($D18&amp;"-"&amp;"Installation cost",$B$1:$B$408,0),MATCH(O$3,$B$3:$V$3,0))/INDEX($B$1:$V$408,MATCH($D18&amp;"-"&amp;"Lifetime",$B$1:$B$408,0),MATCH(O$3,$B$3:$V$3,0)),
NewBuild_Retrofit_selector="Retrofit",(INDEX($B$1:$V$408,MATCH($D18&amp;"-"&amp;"Installation cost",$B$1:$B$408,0),MATCH(O$3,$B$3:$V$3,0))+INDEX($B$1:$V$408,MATCH($D18&amp;"-"&amp;"Extra retrofit cost",$B$1:$B$408,0),MATCH(O$3,$B$3:$V$3,0)))/INDEX($B$1:$V$408,MATCH($D18&amp;"-"&amp;"Lifetime",$B$1:$B$408,0),MATCH(O$3,$B$3:$V$3,0))),0)</f>
        <v>0</v>
      </c>
      <c r="P18" s="585" cm="1">
        <f t="array" aca="1" ref="P18" ca="1">IFERROR(
_xlfn.IFS(NewBuild_Retrofit_selector="Newbuild",INDEX($B$1:$V$408,MATCH($D18&amp;"-"&amp;"Installation cost",$B$1:$B$408,0),MATCH(P$3,$B$3:$V$3,0))/INDEX($B$1:$V$408,MATCH($D18&amp;"-"&amp;"Lifetime",$B$1:$B$408,0),MATCH(P$3,$B$3:$V$3,0)),
NewBuild_Retrofit_selector="Retrofit",(INDEX($B$1:$V$408,MATCH($D18&amp;"-"&amp;"Installation cost",$B$1:$B$408,0),MATCH(P$3,$B$3:$V$3,0))+INDEX($B$1:$V$408,MATCH($D18&amp;"-"&amp;"Extra retrofit cost",$B$1:$B$408,0),MATCH(P$3,$B$3:$V$3,0)))/INDEX($B$1:$V$408,MATCH($D18&amp;"-"&amp;"Lifetime",$B$1:$B$408,0),MATCH(P$3,$B$3:$V$3,0))),0)</f>
        <v>0</v>
      </c>
      <c r="Q18" s="585" cm="1">
        <f t="array" aca="1" ref="Q18" ca="1">IFERROR(
_xlfn.IFS(NewBuild_Retrofit_selector="Newbuild",INDEX($B$1:$V$408,MATCH($D18&amp;"-"&amp;"Installation cost",$B$1:$B$408,0),MATCH(Q$3,$B$3:$V$3,0))/INDEX($B$1:$V$408,MATCH($D18&amp;"-"&amp;"Lifetime",$B$1:$B$408,0),MATCH(Q$3,$B$3:$V$3,0)),
NewBuild_Retrofit_selector="Retrofit",(INDEX($B$1:$V$408,MATCH($D18&amp;"-"&amp;"Installation cost",$B$1:$B$408,0),MATCH(Q$3,$B$3:$V$3,0))+INDEX($B$1:$V$408,MATCH($D18&amp;"-"&amp;"Extra retrofit cost",$B$1:$B$408,0),MATCH(Q$3,$B$3:$V$3,0)))/INDEX($B$1:$V$408,MATCH($D18&amp;"-"&amp;"Lifetime",$B$1:$B$408,0),MATCH(Q$3,$B$3:$V$3,0))),0)</f>
        <v>0</v>
      </c>
      <c r="R18" s="585" cm="1">
        <f t="array" aca="1" ref="R18" ca="1">IFERROR(
_xlfn.IFS(NewBuild_Retrofit_selector="Newbuild",INDEX($B$1:$V$408,MATCH($D18&amp;"-"&amp;"Installation cost",$B$1:$B$408,0),MATCH(R$3,$B$3:$V$3,0))/INDEX($B$1:$V$408,MATCH($D18&amp;"-"&amp;"Lifetime",$B$1:$B$408,0),MATCH(R$3,$B$3:$V$3,0)),
NewBuild_Retrofit_selector="Retrofit",(INDEX($B$1:$V$408,MATCH($D18&amp;"-"&amp;"Installation cost",$B$1:$B$408,0),MATCH(R$3,$B$3:$V$3,0))+INDEX($B$1:$V$408,MATCH($D18&amp;"-"&amp;"Extra retrofit cost",$B$1:$B$408,0),MATCH(R$3,$B$3:$V$3,0)))/INDEX($B$1:$V$408,MATCH($D18&amp;"-"&amp;"Lifetime",$B$1:$B$408,0),MATCH(R$3,$B$3:$V$3,0))),0)</f>
        <v>0</v>
      </c>
      <c r="S18" s="585" cm="1">
        <f t="array" aca="1" ref="S18" ca="1">IFERROR(
_xlfn.IFS(NewBuild_Retrofit_selector="Newbuild",INDEX($B$1:$V$408,MATCH($D18&amp;"-"&amp;"Installation cost",$B$1:$B$408,0),MATCH(S$3,$B$3:$V$3,0))/INDEX($B$1:$V$408,MATCH($D18&amp;"-"&amp;"Lifetime",$B$1:$B$408,0),MATCH(S$3,$B$3:$V$3,0)),
NewBuild_Retrofit_selector="Retrofit",(INDEX($B$1:$V$408,MATCH($D18&amp;"-"&amp;"Installation cost",$B$1:$B$408,0),MATCH(S$3,$B$3:$V$3,0))+INDEX($B$1:$V$408,MATCH($D18&amp;"-"&amp;"Extra retrofit cost",$B$1:$B$408,0),MATCH(S$3,$B$3:$V$3,0)))/INDEX($B$1:$V$408,MATCH($D18&amp;"-"&amp;"Lifetime",$B$1:$B$408,0),MATCH(S$3,$B$3:$V$3,0))),0)</f>
        <v>0</v>
      </c>
      <c r="T18" s="585" cm="1">
        <f t="array" aca="1" ref="T18" ca="1">IFERROR(
_xlfn.IFS(NewBuild_Retrofit_selector="Newbuild",INDEX($B$1:$V$408,MATCH($D18&amp;"-"&amp;"Installation cost",$B$1:$B$408,0),MATCH(T$3,$B$3:$V$3,0))/INDEX($B$1:$V$408,MATCH($D18&amp;"-"&amp;"Lifetime",$B$1:$B$408,0),MATCH(T$3,$B$3:$V$3,0)),
NewBuild_Retrofit_selector="Retrofit",(INDEX($B$1:$V$408,MATCH($D18&amp;"-"&amp;"Installation cost",$B$1:$B$408,0),MATCH(T$3,$B$3:$V$3,0))+INDEX($B$1:$V$408,MATCH($D18&amp;"-"&amp;"Extra retrofit cost",$B$1:$B$408,0),MATCH(T$3,$B$3:$V$3,0)))/INDEX($B$1:$V$408,MATCH($D18&amp;"-"&amp;"Lifetime",$B$1:$B$408,0),MATCH(T$3,$B$3:$V$3,0))),0)</f>
        <v>0</v>
      </c>
      <c r="U18" s="356"/>
      <c r="V18" s="356"/>
    </row>
    <row r="19" spans="2:22" x14ac:dyDescent="0.2">
      <c r="B19" s="392" t="str">
        <f t="shared" si="1"/>
        <v>AE Hybridization-Extra retrofit cost</v>
      </c>
      <c r="C19" s="392" t="s">
        <v>634</v>
      </c>
      <c r="D19" s="396" t="s">
        <v>164</v>
      </c>
      <c r="E19" s="392" t="s">
        <v>635</v>
      </c>
      <c r="F19" s="585">
        <v>0</v>
      </c>
      <c r="G19" s="585">
        <v>0</v>
      </c>
      <c r="H19" s="585">
        <v>0</v>
      </c>
      <c r="I19" s="585">
        <v>0</v>
      </c>
      <c r="J19" s="585">
        <v>0</v>
      </c>
      <c r="K19" s="585">
        <v>0</v>
      </c>
      <c r="L19" s="585">
        <v>0</v>
      </c>
      <c r="M19" s="585">
        <v>0</v>
      </c>
      <c r="N19" s="585">
        <v>0</v>
      </c>
      <c r="O19" s="585">
        <v>0</v>
      </c>
      <c r="P19" s="585">
        <v>0</v>
      </c>
      <c r="Q19" s="585">
        <v>0</v>
      </c>
      <c r="R19" s="585">
        <v>0</v>
      </c>
      <c r="S19" s="585">
        <v>0</v>
      </c>
      <c r="T19" s="585">
        <v>0</v>
      </c>
      <c r="U19" s="356"/>
      <c r="V19" s="356"/>
    </row>
    <row r="20" spans="2:22" x14ac:dyDescent="0.2">
      <c r="B20" s="392" t="str">
        <f t="shared" si="1"/>
        <v>AE Hybridization-Installation cost</v>
      </c>
      <c r="C20" s="392" t="s">
        <v>452</v>
      </c>
      <c r="D20" s="400" t="s">
        <v>164</v>
      </c>
      <c r="E20" s="392" t="s">
        <v>635</v>
      </c>
      <c r="F20" s="585">
        <v>0</v>
      </c>
      <c r="G20" s="585">
        <v>0</v>
      </c>
      <c r="H20" s="585">
        <v>0</v>
      </c>
      <c r="I20" s="585">
        <v>0</v>
      </c>
      <c r="J20" s="585">
        <v>0</v>
      </c>
      <c r="K20" s="585">
        <v>0</v>
      </c>
      <c r="L20" s="585">
        <v>0</v>
      </c>
      <c r="M20" s="585">
        <v>0</v>
      </c>
      <c r="N20" s="585">
        <v>0</v>
      </c>
      <c r="O20" s="585">
        <v>0</v>
      </c>
      <c r="P20" s="585">
        <v>0</v>
      </c>
      <c r="Q20" s="585">
        <v>0</v>
      </c>
      <c r="R20" s="585">
        <v>0</v>
      </c>
      <c r="S20" s="585">
        <v>0</v>
      </c>
      <c r="T20" s="585">
        <v>0</v>
      </c>
      <c r="U20" s="356" t="s">
        <v>623</v>
      </c>
      <c r="V20" s="356"/>
    </row>
    <row r="21" spans="2:22" x14ac:dyDescent="0.2">
      <c r="B21" s="392" t="str">
        <f t="shared" si="1"/>
        <v>AE Hybridization-Lifetime</v>
      </c>
      <c r="C21" s="392" t="s">
        <v>520</v>
      </c>
      <c r="D21" s="396" t="s">
        <v>164</v>
      </c>
      <c r="E21" s="392" t="s">
        <v>176</v>
      </c>
      <c r="F21" s="356">
        <v>0</v>
      </c>
      <c r="G21" s="356">
        <v>0</v>
      </c>
      <c r="H21" s="356">
        <v>0</v>
      </c>
      <c r="I21" s="356">
        <v>0</v>
      </c>
      <c r="J21" s="356">
        <v>0</v>
      </c>
      <c r="K21" s="356">
        <v>0</v>
      </c>
      <c r="L21" s="356">
        <v>0</v>
      </c>
      <c r="M21" s="356">
        <v>0</v>
      </c>
      <c r="N21" s="356">
        <v>0</v>
      </c>
      <c r="O21" s="356">
        <v>0</v>
      </c>
      <c r="P21" s="356">
        <v>0</v>
      </c>
      <c r="Q21" s="356">
        <v>0</v>
      </c>
      <c r="R21" s="356">
        <v>0</v>
      </c>
      <c r="S21" s="356">
        <v>0</v>
      </c>
      <c r="T21" s="356">
        <v>0</v>
      </c>
      <c r="U21" s="356" t="s">
        <v>623</v>
      </c>
      <c r="V21" s="356"/>
    </row>
    <row r="22" spans="2:22" x14ac:dyDescent="0.2">
      <c r="B22" s="392" t="str">
        <f t="shared" si="1"/>
        <v>AE Hybridization-OPEX</v>
      </c>
      <c r="C22" s="392" t="s">
        <v>319</v>
      </c>
      <c r="D22" s="396" t="s">
        <v>164</v>
      </c>
      <c r="E22" s="392" t="s">
        <v>630</v>
      </c>
      <c r="F22" s="585">
        <v>0</v>
      </c>
      <c r="G22" s="585">
        <v>0</v>
      </c>
      <c r="H22" s="585">
        <v>0</v>
      </c>
      <c r="I22" s="585">
        <v>0</v>
      </c>
      <c r="J22" s="585">
        <v>0</v>
      </c>
      <c r="K22" s="585">
        <v>0</v>
      </c>
      <c r="L22" s="585">
        <v>0</v>
      </c>
      <c r="M22" s="585">
        <v>0</v>
      </c>
      <c r="N22" s="585">
        <v>0</v>
      </c>
      <c r="O22" s="585">
        <v>0</v>
      </c>
      <c r="P22" s="585">
        <v>0</v>
      </c>
      <c r="Q22" s="585">
        <v>0</v>
      </c>
      <c r="R22" s="585">
        <v>0</v>
      </c>
      <c r="S22" s="585">
        <v>0</v>
      </c>
      <c r="T22" s="585">
        <v>0</v>
      </c>
      <c r="U22" s="356" t="s">
        <v>623</v>
      </c>
      <c r="V22" s="356"/>
    </row>
    <row r="23" spans="2:22" x14ac:dyDescent="0.2">
      <c r="B23" s="392" t="str">
        <f t="shared" si="1"/>
        <v>AE Hybridization-Saving</v>
      </c>
      <c r="C23" s="392" t="s">
        <v>458</v>
      </c>
      <c r="D23" s="396" t="s">
        <v>164</v>
      </c>
      <c r="E23" s="392" t="s">
        <v>178</v>
      </c>
      <c r="F23" s="359">
        <v>0</v>
      </c>
      <c r="G23" s="359">
        <v>0</v>
      </c>
      <c r="H23" s="359">
        <v>0</v>
      </c>
      <c r="I23" s="359">
        <v>0</v>
      </c>
      <c r="J23" s="359">
        <v>0</v>
      </c>
      <c r="K23" s="359">
        <v>0</v>
      </c>
      <c r="L23" s="359">
        <v>0</v>
      </c>
      <c r="M23" s="359">
        <v>0</v>
      </c>
      <c r="N23" s="359">
        <v>0</v>
      </c>
      <c r="O23" s="359">
        <v>0</v>
      </c>
      <c r="P23" s="359">
        <v>0</v>
      </c>
      <c r="Q23" s="359">
        <v>0</v>
      </c>
      <c r="R23" s="359">
        <v>0</v>
      </c>
      <c r="S23" s="359">
        <v>0</v>
      </c>
      <c r="T23" s="359">
        <v>0</v>
      </c>
      <c r="U23" s="356" t="s">
        <v>623</v>
      </c>
      <c r="V23" s="356"/>
    </row>
    <row r="24" spans="2:22" x14ac:dyDescent="0.2">
      <c r="B24" s="392" t="str">
        <f t="shared" si="1"/>
        <v>AE Hybridization-UptakeFleetAvg2020</v>
      </c>
      <c r="C24" s="392" t="s">
        <v>650</v>
      </c>
      <c r="D24" s="396" t="s">
        <v>164</v>
      </c>
      <c r="E24" s="392" t="s">
        <v>178</v>
      </c>
      <c r="F24" s="359">
        <v>0</v>
      </c>
      <c r="G24" s="359">
        <v>0</v>
      </c>
      <c r="H24" s="359">
        <v>0</v>
      </c>
      <c r="I24" s="359">
        <v>0</v>
      </c>
      <c r="J24" s="359">
        <v>0</v>
      </c>
      <c r="K24" s="359">
        <v>0</v>
      </c>
      <c r="L24" s="359">
        <v>0</v>
      </c>
      <c r="M24" s="359">
        <v>0</v>
      </c>
      <c r="N24" s="359">
        <v>0</v>
      </c>
      <c r="O24" s="359">
        <v>0</v>
      </c>
      <c r="P24" s="359">
        <v>0</v>
      </c>
      <c r="Q24" s="359">
        <v>0</v>
      </c>
      <c r="R24" s="359">
        <v>0</v>
      </c>
      <c r="S24" s="359">
        <v>0</v>
      </c>
      <c r="T24" s="359">
        <v>0</v>
      </c>
      <c r="U24" s="356"/>
      <c r="V24" s="356"/>
    </row>
    <row r="25" spans="2:22" x14ac:dyDescent="0.2">
      <c r="B25" s="392" t="str">
        <f t="shared" si="1"/>
        <v>AE Hybridization-UptakeNewbuild2020</v>
      </c>
      <c r="C25" s="392" t="s">
        <v>652</v>
      </c>
      <c r="D25" s="396" t="s">
        <v>164</v>
      </c>
      <c r="E25" s="392" t="s">
        <v>178</v>
      </c>
      <c r="F25" s="359">
        <v>0</v>
      </c>
      <c r="G25" s="359">
        <v>0</v>
      </c>
      <c r="H25" s="359">
        <v>0</v>
      </c>
      <c r="I25" s="359">
        <v>0</v>
      </c>
      <c r="J25" s="359">
        <v>0</v>
      </c>
      <c r="K25" s="359">
        <v>0</v>
      </c>
      <c r="L25" s="359">
        <v>0</v>
      </c>
      <c r="M25" s="359">
        <v>0</v>
      </c>
      <c r="N25" s="359">
        <v>0</v>
      </c>
      <c r="O25" s="359">
        <v>0</v>
      </c>
      <c r="P25" s="359">
        <v>0</v>
      </c>
      <c r="Q25" s="359">
        <v>0</v>
      </c>
      <c r="R25" s="359">
        <v>0</v>
      </c>
      <c r="S25" s="359">
        <v>0</v>
      </c>
      <c r="T25" s="359">
        <v>0</v>
      </c>
      <c r="U25" s="356"/>
      <c r="V25" s="356"/>
    </row>
    <row r="26" spans="2:22" x14ac:dyDescent="0.2">
      <c r="B26" s="392" t="str">
        <f t="shared" si="1"/>
        <v>Air cavity lubrication-Applicable Newbuild</v>
      </c>
      <c r="C26" s="392" t="s">
        <v>621</v>
      </c>
      <c r="D26" s="396" t="s">
        <v>146</v>
      </c>
      <c r="E26" s="392" t="s">
        <v>622</v>
      </c>
      <c r="F26" s="356">
        <v>1</v>
      </c>
      <c r="G26" s="356">
        <v>1</v>
      </c>
      <c r="H26" s="356">
        <v>1</v>
      </c>
      <c r="I26" s="356">
        <v>1</v>
      </c>
      <c r="J26" s="356">
        <v>1</v>
      </c>
      <c r="K26" s="356">
        <v>1</v>
      </c>
      <c r="L26" s="356">
        <v>1</v>
      </c>
      <c r="M26" s="356">
        <v>1</v>
      </c>
      <c r="N26" s="356">
        <v>1</v>
      </c>
      <c r="O26" s="356">
        <v>1</v>
      </c>
      <c r="P26" s="356">
        <v>1</v>
      </c>
      <c r="Q26" s="356">
        <v>1</v>
      </c>
      <c r="R26" s="356">
        <v>1</v>
      </c>
      <c r="S26" s="356">
        <v>1</v>
      </c>
      <c r="T26" s="356">
        <v>1</v>
      </c>
      <c r="U26" s="356" t="s">
        <v>624</v>
      </c>
      <c r="V26" s="356"/>
    </row>
    <row r="27" spans="2:22" x14ac:dyDescent="0.2">
      <c r="B27" s="392" t="str">
        <f t="shared" si="1"/>
        <v>Air cavity lubrication-Applicable Retrofit</v>
      </c>
      <c r="C27" s="392" t="s">
        <v>629</v>
      </c>
      <c r="D27" s="396" t="s">
        <v>146</v>
      </c>
      <c r="E27" s="392" t="s">
        <v>622</v>
      </c>
      <c r="F27" s="356">
        <v>1</v>
      </c>
      <c r="G27" s="356">
        <v>1</v>
      </c>
      <c r="H27" s="356">
        <v>1</v>
      </c>
      <c r="I27" s="356">
        <v>1</v>
      </c>
      <c r="J27" s="356">
        <v>1</v>
      </c>
      <c r="K27" s="356">
        <v>1</v>
      </c>
      <c r="L27" s="356">
        <v>1</v>
      </c>
      <c r="M27" s="356">
        <v>1</v>
      </c>
      <c r="N27" s="356">
        <v>1</v>
      </c>
      <c r="O27" s="356">
        <v>1</v>
      </c>
      <c r="P27" s="356">
        <v>1</v>
      </c>
      <c r="Q27" s="356">
        <v>1</v>
      </c>
      <c r="R27" s="356">
        <v>1</v>
      </c>
      <c r="S27" s="356">
        <v>1</v>
      </c>
      <c r="T27" s="356">
        <v>1</v>
      </c>
      <c r="U27" s="356" t="s">
        <v>624</v>
      </c>
      <c r="V27" s="356"/>
    </row>
    <row r="28" spans="2:22" x14ac:dyDescent="0.2">
      <c r="B28" s="392" t="str">
        <f t="shared" si="1"/>
        <v>Air cavity lubrication-Installation cost</v>
      </c>
      <c r="C28" s="392" t="s">
        <v>452</v>
      </c>
      <c r="D28" s="396" t="s">
        <v>146</v>
      </c>
      <c r="E28" s="392" t="s">
        <v>635</v>
      </c>
      <c r="F28" s="585">
        <v>1000000</v>
      </c>
      <c r="G28" s="585">
        <v>1500000</v>
      </c>
      <c r="H28" s="585">
        <v>2500000</v>
      </c>
      <c r="I28" s="585">
        <v>1000000</v>
      </c>
      <c r="J28" s="585">
        <v>150000</v>
      </c>
      <c r="K28" s="585">
        <v>2000000</v>
      </c>
      <c r="L28" s="585">
        <v>1000000</v>
      </c>
      <c r="M28" s="585">
        <v>2000000</v>
      </c>
      <c r="N28" s="585">
        <v>3000000</v>
      </c>
      <c r="O28" s="585">
        <v>1000000</v>
      </c>
      <c r="P28" s="585">
        <v>1500000</v>
      </c>
      <c r="Q28" s="585">
        <v>2000000</v>
      </c>
      <c r="R28" s="585">
        <v>1000000</v>
      </c>
      <c r="S28" s="585">
        <v>2000000</v>
      </c>
      <c r="T28" s="585">
        <v>2500000</v>
      </c>
      <c r="U28" s="356" t="s">
        <v>624</v>
      </c>
      <c r="V28" s="356"/>
    </row>
    <row r="29" spans="2:22" x14ac:dyDescent="0.2">
      <c r="B29" s="392" t="str">
        <f t="shared" si="1"/>
        <v>Air cavity lubrication-Lifetime</v>
      </c>
      <c r="C29" s="392" t="s">
        <v>520</v>
      </c>
      <c r="D29" s="396" t="s">
        <v>146</v>
      </c>
      <c r="E29" s="392" t="s">
        <v>176</v>
      </c>
      <c r="F29" s="356">
        <v>25</v>
      </c>
      <c r="G29" s="356">
        <v>25</v>
      </c>
      <c r="H29" s="356">
        <v>25</v>
      </c>
      <c r="I29" s="356">
        <v>25</v>
      </c>
      <c r="J29" s="356">
        <v>25</v>
      </c>
      <c r="K29" s="356">
        <v>25</v>
      </c>
      <c r="L29" s="356">
        <v>25</v>
      </c>
      <c r="M29" s="356">
        <v>25</v>
      </c>
      <c r="N29" s="356">
        <v>25</v>
      </c>
      <c r="O29" s="356">
        <v>25</v>
      </c>
      <c r="P29" s="356">
        <v>25</v>
      </c>
      <c r="Q29" s="356">
        <v>25</v>
      </c>
      <c r="R29" s="356">
        <v>25</v>
      </c>
      <c r="S29" s="356">
        <v>25</v>
      </c>
      <c r="T29" s="356">
        <v>25</v>
      </c>
      <c r="U29" s="356" t="s">
        <v>624</v>
      </c>
      <c r="V29" s="356"/>
    </row>
    <row r="30" spans="2:22" x14ac:dyDescent="0.2">
      <c r="B30" s="392" t="str">
        <f t="shared" si="1"/>
        <v>Air cavity lubrication-OPEX</v>
      </c>
      <c r="C30" s="392" t="s">
        <v>319</v>
      </c>
      <c r="D30" s="396" t="s">
        <v>146</v>
      </c>
      <c r="E30" s="392" t="s">
        <v>630</v>
      </c>
      <c r="F30" s="585">
        <v>15000</v>
      </c>
      <c r="G30" s="585">
        <v>20000</v>
      </c>
      <c r="H30" s="585">
        <v>30000</v>
      </c>
      <c r="I30" s="585">
        <v>15000</v>
      </c>
      <c r="J30" s="585">
        <v>20000</v>
      </c>
      <c r="K30" s="585">
        <v>30000</v>
      </c>
      <c r="L30" s="585">
        <v>15000</v>
      </c>
      <c r="M30" s="585">
        <v>20000</v>
      </c>
      <c r="N30" s="585">
        <v>30000</v>
      </c>
      <c r="O30" s="585">
        <v>15000</v>
      </c>
      <c r="P30" s="585">
        <v>20000</v>
      </c>
      <c r="Q30" s="585">
        <v>30000</v>
      </c>
      <c r="R30" s="585">
        <v>15000</v>
      </c>
      <c r="S30" s="585">
        <v>20000</v>
      </c>
      <c r="T30" s="585">
        <v>30000</v>
      </c>
      <c r="U30" s="356" t="s">
        <v>628</v>
      </c>
      <c r="V30" s="356"/>
    </row>
    <row r="31" spans="2:22" x14ac:dyDescent="0.2">
      <c r="B31" s="392" t="str">
        <f t="shared" si="1"/>
        <v>Air cavity lubrication-Saving</v>
      </c>
      <c r="C31" s="392" t="s">
        <v>458</v>
      </c>
      <c r="D31" s="396" t="s">
        <v>146</v>
      </c>
      <c r="E31" s="392" t="s">
        <v>178</v>
      </c>
      <c r="F31" s="359">
        <v>0.04</v>
      </c>
      <c r="G31" s="359">
        <v>0.04</v>
      </c>
      <c r="H31" s="359">
        <v>0.04</v>
      </c>
      <c r="I31" s="359">
        <v>0.04</v>
      </c>
      <c r="J31" s="359">
        <v>0.04</v>
      </c>
      <c r="K31" s="359">
        <v>0.04</v>
      </c>
      <c r="L31" s="359">
        <v>0.04</v>
      </c>
      <c r="M31" s="359">
        <v>0.04</v>
      </c>
      <c r="N31" s="359">
        <v>0.04</v>
      </c>
      <c r="O31" s="359">
        <v>0.05</v>
      </c>
      <c r="P31" s="359">
        <v>0.05</v>
      </c>
      <c r="Q31" s="359">
        <v>0.05</v>
      </c>
      <c r="R31" s="359">
        <v>0.04</v>
      </c>
      <c r="S31" s="359">
        <v>0.04</v>
      </c>
      <c r="T31" s="359">
        <v>0.04</v>
      </c>
      <c r="U31" s="356" t="s">
        <v>628</v>
      </c>
      <c r="V31" s="356"/>
    </row>
    <row r="32" spans="2:22" x14ac:dyDescent="0.2">
      <c r="B32" s="392" t="str">
        <f t="shared" si="1"/>
        <v>Air cavity lubrication-CAPEX</v>
      </c>
      <c r="C32" s="392" t="s">
        <v>50</v>
      </c>
      <c r="D32" s="396" t="s">
        <v>146</v>
      </c>
      <c r="E32" s="392" t="s">
        <v>630</v>
      </c>
      <c r="F32" s="585" cm="1">
        <f t="array" aca="1" ref="F32" ca="1">IFERROR(
_xlfn.IFS(NewBuild_Retrofit_selector="Newbuild",INDEX($B$1:$V$408,MATCH($D32&amp;"-"&amp;"Installation cost",$B$1:$B$408,0),MATCH(F$3,$B$3:$V$3,0))/INDEX($B$1:$V$408,MATCH($D32&amp;"-"&amp;"Lifetime",$B$1:$B$408,0),MATCH(F$3,$B$3:$V$3,0)),
NewBuild_Retrofit_selector="Retrofit",(INDEX($B$1:$V$408,MATCH($D32&amp;"-"&amp;"Installation cost",$B$1:$B$408,0),MATCH(F$3,$B$3:$V$3,0))+INDEX($B$1:$V$408,MATCH($D32&amp;"-"&amp;"Extra retrofit cost",$B$1:$B$408,0),MATCH(F$3,$B$3:$V$3,0)))/INDEX($B$1:$V$408,MATCH($D32&amp;"-"&amp;"Lifetime",$B$1:$B$408,0),MATCH(F$3,$B$3:$V$3,0))),0)</f>
        <v>0</v>
      </c>
      <c r="G32" s="585" cm="1">
        <f t="array" aca="1" ref="G32" ca="1">IFERROR(
_xlfn.IFS(NewBuild_Retrofit_selector="Newbuild",INDEX($B$1:$V$408,MATCH($D32&amp;"-"&amp;"Installation cost",$B$1:$B$408,0),MATCH(G$3,$B$3:$V$3,0))/INDEX($B$1:$V$408,MATCH($D32&amp;"-"&amp;"Lifetime",$B$1:$B$408,0),MATCH(G$3,$B$3:$V$3,0)),
NewBuild_Retrofit_selector="Retrofit",(INDEX($B$1:$V$408,MATCH($D32&amp;"-"&amp;"Installation cost",$B$1:$B$408,0),MATCH(G$3,$B$3:$V$3,0))+INDEX($B$1:$V$408,MATCH($D32&amp;"-"&amp;"Extra retrofit cost",$B$1:$B$408,0),MATCH(G$3,$B$3:$V$3,0)))/INDEX($B$1:$V$408,MATCH($D32&amp;"-"&amp;"Lifetime",$B$1:$B$408,0),MATCH(G$3,$B$3:$V$3,0))),0)</f>
        <v>0</v>
      </c>
      <c r="H32" s="585" cm="1">
        <f t="array" aca="1" ref="H32" ca="1">IFERROR(
_xlfn.IFS(NewBuild_Retrofit_selector="Newbuild",INDEX($B$1:$V$408,MATCH($D32&amp;"-"&amp;"Installation cost",$B$1:$B$408,0),MATCH(H$3,$B$3:$V$3,0))/INDEX($B$1:$V$408,MATCH($D32&amp;"-"&amp;"Lifetime",$B$1:$B$408,0),MATCH(H$3,$B$3:$V$3,0)),
NewBuild_Retrofit_selector="Retrofit",(INDEX($B$1:$V$408,MATCH($D32&amp;"-"&amp;"Installation cost",$B$1:$B$408,0),MATCH(H$3,$B$3:$V$3,0))+INDEX($B$1:$V$408,MATCH($D32&amp;"-"&amp;"Extra retrofit cost",$B$1:$B$408,0),MATCH(H$3,$B$3:$V$3,0)))/INDEX($B$1:$V$408,MATCH($D32&amp;"-"&amp;"Lifetime",$B$1:$B$408,0),MATCH(H$3,$B$3:$V$3,0))),0)</f>
        <v>0</v>
      </c>
      <c r="I32" s="585" cm="1">
        <f t="array" aca="1" ref="I32" ca="1">IFERROR(
_xlfn.IFS(NewBuild_Retrofit_selector="Newbuild",INDEX($B$1:$V$408,MATCH($D32&amp;"-"&amp;"Installation cost",$B$1:$B$408,0),MATCH(I$3,$B$3:$V$3,0))/INDEX($B$1:$V$408,MATCH($D32&amp;"-"&amp;"Lifetime",$B$1:$B$408,0),MATCH(I$3,$B$3:$V$3,0)),
NewBuild_Retrofit_selector="Retrofit",(INDEX($B$1:$V$408,MATCH($D32&amp;"-"&amp;"Installation cost",$B$1:$B$408,0),MATCH(I$3,$B$3:$V$3,0))+INDEX($B$1:$V$408,MATCH($D32&amp;"-"&amp;"Extra retrofit cost",$B$1:$B$408,0),MATCH(I$3,$B$3:$V$3,0)))/INDEX($B$1:$V$408,MATCH($D32&amp;"-"&amp;"Lifetime",$B$1:$B$408,0),MATCH(I$3,$B$3:$V$3,0))),0)</f>
        <v>0</v>
      </c>
      <c r="J32" s="585" cm="1">
        <f t="array" aca="1" ref="J32" ca="1">IFERROR(
_xlfn.IFS(NewBuild_Retrofit_selector="Newbuild",INDEX($B$1:$V$408,MATCH($D32&amp;"-"&amp;"Installation cost",$B$1:$B$408,0),MATCH(J$3,$B$3:$V$3,0))/INDEX($B$1:$V$408,MATCH($D32&amp;"-"&amp;"Lifetime",$B$1:$B$408,0),MATCH(J$3,$B$3:$V$3,0)),
NewBuild_Retrofit_selector="Retrofit",(INDEX($B$1:$V$408,MATCH($D32&amp;"-"&amp;"Installation cost",$B$1:$B$408,0),MATCH(J$3,$B$3:$V$3,0))+INDEX($B$1:$V$408,MATCH($D32&amp;"-"&amp;"Extra retrofit cost",$B$1:$B$408,0),MATCH(J$3,$B$3:$V$3,0)))/INDEX($B$1:$V$408,MATCH($D32&amp;"-"&amp;"Lifetime",$B$1:$B$408,0),MATCH(J$3,$B$3:$V$3,0))),0)</f>
        <v>0</v>
      </c>
      <c r="K32" s="585" cm="1">
        <f t="array" aca="1" ref="K32" ca="1">IFERROR(
_xlfn.IFS(NewBuild_Retrofit_selector="Newbuild",INDEX($B$1:$V$408,MATCH($D32&amp;"-"&amp;"Installation cost",$B$1:$B$408,0),MATCH(K$3,$B$3:$V$3,0))/INDEX($B$1:$V$408,MATCH($D32&amp;"-"&amp;"Lifetime",$B$1:$B$408,0),MATCH(K$3,$B$3:$V$3,0)),
NewBuild_Retrofit_selector="Retrofit",(INDEX($B$1:$V$408,MATCH($D32&amp;"-"&amp;"Installation cost",$B$1:$B$408,0),MATCH(K$3,$B$3:$V$3,0))+INDEX($B$1:$V$408,MATCH($D32&amp;"-"&amp;"Extra retrofit cost",$B$1:$B$408,0),MATCH(K$3,$B$3:$V$3,0)))/INDEX($B$1:$V$408,MATCH($D32&amp;"-"&amp;"Lifetime",$B$1:$B$408,0),MATCH(K$3,$B$3:$V$3,0))),0)</f>
        <v>0</v>
      </c>
      <c r="L32" s="585" cm="1">
        <f t="array" aca="1" ref="L32" ca="1">IFERROR(
_xlfn.IFS(NewBuild_Retrofit_selector="Newbuild",INDEX($B$1:$V$408,MATCH($D32&amp;"-"&amp;"Installation cost",$B$1:$B$408,0),MATCH(L$3,$B$3:$V$3,0))/INDEX($B$1:$V$408,MATCH($D32&amp;"-"&amp;"Lifetime",$B$1:$B$408,0),MATCH(L$3,$B$3:$V$3,0)),
NewBuild_Retrofit_selector="Retrofit",(INDEX($B$1:$V$408,MATCH($D32&amp;"-"&amp;"Installation cost",$B$1:$B$408,0),MATCH(L$3,$B$3:$V$3,0))+INDEX($B$1:$V$408,MATCH($D32&amp;"-"&amp;"Extra retrofit cost",$B$1:$B$408,0),MATCH(L$3,$B$3:$V$3,0)))/INDEX($B$1:$V$408,MATCH($D32&amp;"-"&amp;"Lifetime",$B$1:$B$408,0),MATCH(L$3,$B$3:$V$3,0))),0)</f>
        <v>0</v>
      </c>
      <c r="M32" s="585" cm="1">
        <f t="array" aca="1" ref="M32" ca="1">IFERROR(
_xlfn.IFS(NewBuild_Retrofit_selector="Newbuild",INDEX($B$1:$V$408,MATCH($D32&amp;"-"&amp;"Installation cost",$B$1:$B$408,0),MATCH(M$3,$B$3:$V$3,0))/INDEX($B$1:$V$408,MATCH($D32&amp;"-"&amp;"Lifetime",$B$1:$B$408,0),MATCH(M$3,$B$3:$V$3,0)),
NewBuild_Retrofit_selector="Retrofit",(INDEX($B$1:$V$408,MATCH($D32&amp;"-"&amp;"Installation cost",$B$1:$B$408,0),MATCH(M$3,$B$3:$V$3,0))+INDEX($B$1:$V$408,MATCH($D32&amp;"-"&amp;"Extra retrofit cost",$B$1:$B$408,0),MATCH(M$3,$B$3:$V$3,0)))/INDEX($B$1:$V$408,MATCH($D32&amp;"-"&amp;"Lifetime",$B$1:$B$408,0),MATCH(M$3,$B$3:$V$3,0))),0)</f>
        <v>0</v>
      </c>
      <c r="N32" s="585" cm="1">
        <f t="array" aca="1" ref="N32" ca="1">IFERROR(
_xlfn.IFS(NewBuild_Retrofit_selector="Newbuild",INDEX($B$1:$V$408,MATCH($D32&amp;"-"&amp;"Installation cost",$B$1:$B$408,0),MATCH(N$3,$B$3:$V$3,0))/INDEX($B$1:$V$408,MATCH($D32&amp;"-"&amp;"Lifetime",$B$1:$B$408,0),MATCH(N$3,$B$3:$V$3,0)),
NewBuild_Retrofit_selector="Retrofit",(INDEX($B$1:$V$408,MATCH($D32&amp;"-"&amp;"Installation cost",$B$1:$B$408,0),MATCH(N$3,$B$3:$V$3,0))+INDEX($B$1:$V$408,MATCH($D32&amp;"-"&amp;"Extra retrofit cost",$B$1:$B$408,0),MATCH(N$3,$B$3:$V$3,0)))/INDEX($B$1:$V$408,MATCH($D32&amp;"-"&amp;"Lifetime",$B$1:$B$408,0),MATCH(N$3,$B$3:$V$3,0))),0)</f>
        <v>0</v>
      </c>
      <c r="O32" s="585" cm="1">
        <f t="array" aca="1" ref="O32" ca="1">IFERROR(
_xlfn.IFS(NewBuild_Retrofit_selector="Newbuild",INDEX($B$1:$V$408,MATCH($D32&amp;"-"&amp;"Installation cost",$B$1:$B$408,0),MATCH(O$3,$B$3:$V$3,0))/INDEX($B$1:$V$408,MATCH($D32&amp;"-"&amp;"Lifetime",$B$1:$B$408,0),MATCH(O$3,$B$3:$V$3,0)),
NewBuild_Retrofit_selector="Retrofit",(INDEX($B$1:$V$408,MATCH($D32&amp;"-"&amp;"Installation cost",$B$1:$B$408,0),MATCH(O$3,$B$3:$V$3,0))+INDEX($B$1:$V$408,MATCH($D32&amp;"-"&amp;"Extra retrofit cost",$B$1:$B$408,0),MATCH(O$3,$B$3:$V$3,0)))/INDEX($B$1:$V$408,MATCH($D32&amp;"-"&amp;"Lifetime",$B$1:$B$408,0),MATCH(O$3,$B$3:$V$3,0))),0)</f>
        <v>0</v>
      </c>
      <c r="P32" s="585" cm="1">
        <f t="array" aca="1" ref="P32" ca="1">IFERROR(
_xlfn.IFS(NewBuild_Retrofit_selector="Newbuild",INDEX($B$1:$V$408,MATCH($D32&amp;"-"&amp;"Installation cost",$B$1:$B$408,0),MATCH(P$3,$B$3:$V$3,0))/INDEX($B$1:$V$408,MATCH($D32&amp;"-"&amp;"Lifetime",$B$1:$B$408,0),MATCH(P$3,$B$3:$V$3,0)),
NewBuild_Retrofit_selector="Retrofit",(INDEX($B$1:$V$408,MATCH($D32&amp;"-"&amp;"Installation cost",$B$1:$B$408,0),MATCH(P$3,$B$3:$V$3,0))+INDEX($B$1:$V$408,MATCH($D32&amp;"-"&amp;"Extra retrofit cost",$B$1:$B$408,0),MATCH(P$3,$B$3:$V$3,0)))/INDEX($B$1:$V$408,MATCH($D32&amp;"-"&amp;"Lifetime",$B$1:$B$408,0),MATCH(P$3,$B$3:$V$3,0))),0)</f>
        <v>0</v>
      </c>
      <c r="Q32" s="585" cm="1">
        <f t="array" aca="1" ref="Q32" ca="1">IFERROR(
_xlfn.IFS(NewBuild_Retrofit_selector="Newbuild",INDEX($B$1:$V$408,MATCH($D32&amp;"-"&amp;"Installation cost",$B$1:$B$408,0),MATCH(Q$3,$B$3:$V$3,0))/INDEX($B$1:$V$408,MATCH($D32&amp;"-"&amp;"Lifetime",$B$1:$B$408,0),MATCH(Q$3,$B$3:$V$3,0)),
NewBuild_Retrofit_selector="Retrofit",(INDEX($B$1:$V$408,MATCH($D32&amp;"-"&amp;"Installation cost",$B$1:$B$408,0),MATCH(Q$3,$B$3:$V$3,0))+INDEX($B$1:$V$408,MATCH($D32&amp;"-"&amp;"Extra retrofit cost",$B$1:$B$408,0),MATCH(Q$3,$B$3:$V$3,0)))/INDEX($B$1:$V$408,MATCH($D32&amp;"-"&amp;"Lifetime",$B$1:$B$408,0),MATCH(Q$3,$B$3:$V$3,0))),0)</f>
        <v>0</v>
      </c>
      <c r="R32" s="585" cm="1">
        <f t="array" aca="1" ref="R32" ca="1">IFERROR(
_xlfn.IFS(NewBuild_Retrofit_selector="Newbuild",INDEX($B$1:$V$408,MATCH($D32&amp;"-"&amp;"Installation cost",$B$1:$B$408,0),MATCH(R$3,$B$3:$V$3,0))/INDEX($B$1:$V$408,MATCH($D32&amp;"-"&amp;"Lifetime",$B$1:$B$408,0),MATCH(R$3,$B$3:$V$3,0)),
NewBuild_Retrofit_selector="Retrofit",(INDEX($B$1:$V$408,MATCH($D32&amp;"-"&amp;"Installation cost",$B$1:$B$408,0),MATCH(R$3,$B$3:$V$3,0))+INDEX($B$1:$V$408,MATCH($D32&amp;"-"&amp;"Extra retrofit cost",$B$1:$B$408,0),MATCH(R$3,$B$3:$V$3,0)))/INDEX($B$1:$V$408,MATCH($D32&amp;"-"&amp;"Lifetime",$B$1:$B$408,0),MATCH(R$3,$B$3:$V$3,0))),0)</f>
        <v>0</v>
      </c>
      <c r="S32" s="585" cm="1">
        <f t="array" aca="1" ref="S32" ca="1">IFERROR(
_xlfn.IFS(NewBuild_Retrofit_selector="Newbuild",INDEX($B$1:$V$408,MATCH($D32&amp;"-"&amp;"Installation cost",$B$1:$B$408,0),MATCH(S$3,$B$3:$V$3,0))/INDEX($B$1:$V$408,MATCH($D32&amp;"-"&amp;"Lifetime",$B$1:$B$408,0),MATCH(S$3,$B$3:$V$3,0)),
NewBuild_Retrofit_selector="Retrofit",(INDEX($B$1:$V$408,MATCH($D32&amp;"-"&amp;"Installation cost",$B$1:$B$408,0),MATCH(S$3,$B$3:$V$3,0))+INDEX($B$1:$V$408,MATCH($D32&amp;"-"&amp;"Extra retrofit cost",$B$1:$B$408,0),MATCH(S$3,$B$3:$V$3,0)))/INDEX($B$1:$V$408,MATCH($D32&amp;"-"&amp;"Lifetime",$B$1:$B$408,0),MATCH(S$3,$B$3:$V$3,0))),0)</f>
        <v>0</v>
      </c>
      <c r="T32" s="585" cm="1">
        <f t="array" aca="1" ref="T32" ca="1">IFERROR(
_xlfn.IFS(NewBuild_Retrofit_selector="Newbuild",INDEX($B$1:$V$408,MATCH($D32&amp;"-"&amp;"Installation cost",$B$1:$B$408,0),MATCH(T$3,$B$3:$V$3,0))/INDEX($B$1:$V$408,MATCH($D32&amp;"-"&amp;"Lifetime",$B$1:$B$408,0),MATCH(T$3,$B$3:$V$3,0)),
NewBuild_Retrofit_selector="Retrofit",(INDEX($B$1:$V$408,MATCH($D32&amp;"-"&amp;"Installation cost",$B$1:$B$408,0),MATCH(T$3,$B$3:$V$3,0))+INDEX($B$1:$V$408,MATCH($D32&amp;"-"&amp;"Extra retrofit cost",$B$1:$B$408,0),MATCH(T$3,$B$3:$V$3,0)))/INDEX($B$1:$V$408,MATCH($D32&amp;"-"&amp;"Lifetime",$B$1:$B$408,0),MATCH(T$3,$B$3:$V$3,0))),0)</f>
        <v>0</v>
      </c>
      <c r="U32" s="356"/>
      <c r="V32" s="356"/>
    </row>
    <row r="33" spans="2:22" x14ac:dyDescent="0.2">
      <c r="B33" s="392" t="str">
        <f t="shared" si="1"/>
        <v>Air cavity lubrication-UptakeFleetAvg2020</v>
      </c>
      <c r="C33" s="392" t="s">
        <v>650</v>
      </c>
      <c r="D33" s="396" t="s">
        <v>146</v>
      </c>
      <c r="E33" s="392" t="s">
        <v>178</v>
      </c>
      <c r="F33" s="359">
        <v>0</v>
      </c>
      <c r="G33" s="359">
        <v>0</v>
      </c>
      <c r="H33" s="359">
        <v>0</v>
      </c>
      <c r="I33" s="359">
        <v>0</v>
      </c>
      <c r="J33" s="359">
        <v>0</v>
      </c>
      <c r="K33" s="359">
        <v>0</v>
      </c>
      <c r="L33" s="359">
        <v>0</v>
      </c>
      <c r="M33" s="359">
        <v>0</v>
      </c>
      <c r="N33" s="359">
        <v>0</v>
      </c>
      <c r="O33" s="359">
        <v>0</v>
      </c>
      <c r="P33" s="359">
        <v>0</v>
      </c>
      <c r="Q33" s="359">
        <v>0</v>
      </c>
      <c r="R33" s="359">
        <v>0</v>
      </c>
      <c r="S33" s="359">
        <v>0</v>
      </c>
      <c r="T33" s="359">
        <v>0</v>
      </c>
      <c r="U33" s="356" t="s">
        <v>627</v>
      </c>
      <c r="V33" s="356"/>
    </row>
    <row r="34" spans="2:22" x14ac:dyDescent="0.2">
      <c r="B34" s="392" t="str">
        <f t="shared" si="1"/>
        <v>Air cavity lubrication-Extra retrofit cost</v>
      </c>
      <c r="C34" s="392" t="s">
        <v>634</v>
      </c>
      <c r="D34" s="396" t="s">
        <v>146</v>
      </c>
      <c r="E34" s="392" t="s">
        <v>635</v>
      </c>
      <c r="F34" s="585">
        <v>500000</v>
      </c>
      <c r="G34" s="585">
        <v>500000</v>
      </c>
      <c r="H34" s="585">
        <v>500000</v>
      </c>
      <c r="I34" s="585">
        <v>500000</v>
      </c>
      <c r="J34" s="585">
        <v>500000</v>
      </c>
      <c r="K34" s="585">
        <v>500000</v>
      </c>
      <c r="L34" s="585">
        <v>500000</v>
      </c>
      <c r="M34" s="585">
        <v>500000</v>
      </c>
      <c r="N34" s="585">
        <v>500000</v>
      </c>
      <c r="O34" s="585">
        <v>500000</v>
      </c>
      <c r="P34" s="585">
        <v>500000</v>
      </c>
      <c r="Q34" s="585">
        <v>500000</v>
      </c>
      <c r="R34" s="585">
        <v>500000</v>
      </c>
      <c r="S34" s="585">
        <v>500000</v>
      </c>
      <c r="T34" s="585">
        <v>500000</v>
      </c>
      <c r="U34" s="356" t="s">
        <v>628</v>
      </c>
      <c r="V34" s="356"/>
    </row>
    <row r="35" spans="2:22" x14ac:dyDescent="0.2">
      <c r="B35" s="392" t="str">
        <f t="shared" si="1"/>
        <v>Air cavity lubrication-UptakeNewbuild2020</v>
      </c>
      <c r="C35" s="392" t="s">
        <v>652</v>
      </c>
      <c r="D35" s="396" t="s">
        <v>146</v>
      </c>
      <c r="E35" s="392" t="s">
        <v>178</v>
      </c>
      <c r="F35" s="359">
        <v>0</v>
      </c>
      <c r="G35" s="359">
        <v>0</v>
      </c>
      <c r="H35" s="359">
        <v>0</v>
      </c>
      <c r="I35" s="359">
        <v>0</v>
      </c>
      <c r="J35" s="359">
        <v>0</v>
      </c>
      <c r="K35" s="359">
        <v>0</v>
      </c>
      <c r="L35" s="359">
        <v>0</v>
      </c>
      <c r="M35" s="359">
        <v>0</v>
      </c>
      <c r="N35" s="359">
        <v>0</v>
      </c>
      <c r="O35" s="359">
        <v>0</v>
      </c>
      <c r="P35" s="359">
        <v>0</v>
      </c>
      <c r="Q35" s="359">
        <v>0</v>
      </c>
      <c r="R35" s="359">
        <v>0</v>
      </c>
      <c r="S35" s="359">
        <v>0</v>
      </c>
      <c r="T35" s="359">
        <v>0</v>
      </c>
      <c r="U35" s="356" t="s">
        <v>651</v>
      </c>
      <c r="V35" s="356"/>
    </row>
    <row r="36" spans="2:22" x14ac:dyDescent="0.2">
      <c r="B36" s="392" t="str">
        <f t="shared" si="1"/>
        <v>Cargo systems (e.g. Cargo pumps)-Applicable Newbuild</v>
      </c>
      <c r="C36" s="392" t="s">
        <v>621</v>
      </c>
      <c r="D36" s="397" t="s">
        <v>167</v>
      </c>
      <c r="E36" s="392" t="s">
        <v>622</v>
      </c>
      <c r="F36" s="356">
        <v>0</v>
      </c>
      <c r="G36" s="356">
        <v>0</v>
      </c>
      <c r="H36" s="356">
        <v>0</v>
      </c>
      <c r="I36" s="356">
        <v>0</v>
      </c>
      <c r="J36" s="356">
        <v>0</v>
      </c>
      <c r="K36" s="356">
        <v>0</v>
      </c>
      <c r="L36" s="356">
        <v>1</v>
      </c>
      <c r="M36" s="356">
        <v>1</v>
      </c>
      <c r="N36" s="356">
        <v>1</v>
      </c>
      <c r="O36" s="356">
        <v>0</v>
      </c>
      <c r="P36" s="356">
        <v>0</v>
      </c>
      <c r="Q36" s="356">
        <v>0</v>
      </c>
      <c r="R36" s="356">
        <v>1</v>
      </c>
      <c r="S36" s="356">
        <v>1</v>
      </c>
      <c r="T36" s="356">
        <v>1</v>
      </c>
      <c r="U36" s="356" t="s">
        <v>625</v>
      </c>
      <c r="V36" s="356"/>
    </row>
    <row r="37" spans="2:22" x14ac:dyDescent="0.2">
      <c r="B37" s="392" t="str">
        <f t="shared" si="1"/>
        <v>Cargo systems (e.g. Cargo pumps)-Applicable Retrofit</v>
      </c>
      <c r="C37" s="392" t="s">
        <v>629</v>
      </c>
      <c r="D37" s="397" t="s">
        <v>167</v>
      </c>
      <c r="E37" s="392" t="s">
        <v>622</v>
      </c>
      <c r="F37" s="356">
        <v>0</v>
      </c>
      <c r="G37" s="356">
        <v>0</v>
      </c>
      <c r="H37" s="356">
        <v>0</v>
      </c>
      <c r="I37" s="356">
        <v>0</v>
      </c>
      <c r="J37" s="356">
        <v>0</v>
      </c>
      <c r="K37" s="356">
        <v>0</v>
      </c>
      <c r="L37" s="356">
        <v>1</v>
      </c>
      <c r="M37" s="356">
        <v>1</v>
      </c>
      <c r="N37" s="356">
        <v>1</v>
      </c>
      <c r="O37" s="356">
        <v>0</v>
      </c>
      <c r="P37" s="356">
        <v>0</v>
      </c>
      <c r="Q37" s="356">
        <v>0</v>
      </c>
      <c r="R37" s="356">
        <v>1</v>
      </c>
      <c r="S37" s="356">
        <v>1</v>
      </c>
      <c r="T37" s="356">
        <v>1</v>
      </c>
      <c r="U37" s="356" t="s">
        <v>625</v>
      </c>
      <c r="V37" s="356"/>
    </row>
    <row r="38" spans="2:22" x14ac:dyDescent="0.2">
      <c r="B38" s="392" t="str">
        <f t="shared" si="1"/>
        <v>Cargo systems (e.g. Cargo pumps)-CAPEX</v>
      </c>
      <c r="C38" s="392" t="s">
        <v>50</v>
      </c>
      <c r="D38" s="397" t="s">
        <v>167</v>
      </c>
      <c r="E38" s="392" t="s">
        <v>630</v>
      </c>
      <c r="F38" s="585" cm="1">
        <f t="array" aca="1" ref="F38" ca="1">IFERROR(
_xlfn.IFS(NewBuild_Retrofit_selector="Newbuild",INDEX($B$1:$V$408,MATCH($D38&amp;"-"&amp;"Installation cost",$B$1:$B$408,0),MATCH(F$3,$B$3:$V$3,0))/INDEX($B$1:$V$408,MATCH($D38&amp;"-"&amp;"Lifetime",$B$1:$B$408,0),MATCH(F$3,$B$3:$V$3,0)),
NewBuild_Retrofit_selector="Retrofit",(INDEX($B$1:$V$408,MATCH($D38&amp;"-"&amp;"Installation cost",$B$1:$B$408,0),MATCH(F$3,$B$3:$V$3,0))+INDEX($B$1:$V$408,MATCH($D38&amp;"-"&amp;"Extra retrofit cost",$B$1:$B$408,0),MATCH(F$3,$B$3:$V$3,0)))/INDEX($B$1:$V$408,MATCH($D38&amp;"-"&amp;"Lifetime",$B$1:$B$408,0),MATCH(F$3,$B$3:$V$3,0))),0)</f>
        <v>0</v>
      </c>
      <c r="G38" s="585" cm="1">
        <f t="array" aca="1" ref="G38" ca="1">IFERROR(
_xlfn.IFS(NewBuild_Retrofit_selector="Newbuild",INDEX($B$1:$V$408,MATCH($D38&amp;"-"&amp;"Installation cost",$B$1:$B$408,0),MATCH(G$3,$B$3:$V$3,0))/INDEX($B$1:$V$408,MATCH($D38&amp;"-"&amp;"Lifetime",$B$1:$B$408,0),MATCH(G$3,$B$3:$V$3,0)),
NewBuild_Retrofit_selector="Retrofit",(INDEX($B$1:$V$408,MATCH($D38&amp;"-"&amp;"Installation cost",$B$1:$B$408,0),MATCH(G$3,$B$3:$V$3,0))+INDEX($B$1:$V$408,MATCH($D38&amp;"-"&amp;"Extra retrofit cost",$B$1:$B$408,0),MATCH(G$3,$B$3:$V$3,0)))/INDEX($B$1:$V$408,MATCH($D38&amp;"-"&amp;"Lifetime",$B$1:$B$408,0),MATCH(G$3,$B$3:$V$3,0))),0)</f>
        <v>0</v>
      </c>
      <c r="H38" s="585" cm="1">
        <f t="array" aca="1" ref="H38" ca="1">IFERROR(
_xlfn.IFS(NewBuild_Retrofit_selector="Newbuild",INDEX($B$1:$V$408,MATCH($D38&amp;"-"&amp;"Installation cost",$B$1:$B$408,0),MATCH(H$3,$B$3:$V$3,0))/INDEX($B$1:$V$408,MATCH($D38&amp;"-"&amp;"Lifetime",$B$1:$B$408,0),MATCH(H$3,$B$3:$V$3,0)),
NewBuild_Retrofit_selector="Retrofit",(INDEX($B$1:$V$408,MATCH($D38&amp;"-"&amp;"Installation cost",$B$1:$B$408,0),MATCH(H$3,$B$3:$V$3,0))+INDEX($B$1:$V$408,MATCH($D38&amp;"-"&amp;"Extra retrofit cost",$B$1:$B$408,0),MATCH(H$3,$B$3:$V$3,0)))/INDEX($B$1:$V$408,MATCH($D38&amp;"-"&amp;"Lifetime",$B$1:$B$408,0),MATCH(H$3,$B$3:$V$3,0))),0)</f>
        <v>0</v>
      </c>
      <c r="I38" s="585" cm="1">
        <f t="array" aca="1" ref="I38" ca="1">IFERROR(
_xlfn.IFS(NewBuild_Retrofit_selector="Newbuild",INDEX($B$1:$V$408,MATCH($D38&amp;"-"&amp;"Installation cost",$B$1:$B$408,0),MATCH(I$3,$B$3:$V$3,0))/INDEX($B$1:$V$408,MATCH($D38&amp;"-"&amp;"Lifetime",$B$1:$B$408,0),MATCH(I$3,$B$3:$V$3,0)),
NewBuild_Retrofit_selector="Retrofit",(INDEX($B$1:$V$408,MATCH($D38&amp;"-"&amp;"Installation cost",$B$1:$B$408,0),MATCH(I$3,$B$3:$V$3,0))+INDEX($B$1:$V$408,MATCH($D38&amp;"-"&amp;"Extra retrofit cost",$B$1:$B$408,0),MATCH(I$3,$B$3:$V$3,0)))/INDEX($B$1:$V$408,MATCH($D38&amp;"-"&amp;"Lifetime",$B$1:$B$408,0),MATCH(I$3,$B$3:$V$3,0))),0)</f>
        <v>0</v>
      </c>
      <c r="J38" s="585" cm="1">
        <f t="array" aca="1" ref="J38" ca="1">IFERROR(
_xlfn.IFS(NewBuild_Retrofit_selector="Newbuild",INDEX($B$1:$V$408,MATCH($D38&amp;"-"&amp;"Installation cost",$B$1:$B$408,0),MATCH(J$3,$B$3:$V$3,0))/INDEX($B$1:$V$408,MATCH($D38&amp;"-"&amp;"Lifetime",$B$1:$B$408,0),MATCH(J$3,$B$3:$V$3,0)),
NewBuild_Retrofit_selector="Retrofit",(INDEX($B$1:$V$408,MATCH($D38&amp;"-"&amp;"Installation cost",$B$1:$B$408,0),MATCH(J$3,$B$3:$V$3,0))+INDEX($B$1:$V$408,MATCH($D38&amp;"-"&amp;"Extra retrofit cost",$B$1:$B$408,0),MATCH(J$3,$B$3:$V$3,0)))/INDEX($B$1:$V$408,MATCH($D38&amp;"-"&amp;"Lifetime",$B$1:$B$408,0),MATCH(J$3,$B$3:$V$3,0))),0)</f>
        <v>0</v>
      </c>
      <c r="K38" s="585" cm="1">
        <f t="array" aca="1" ref="K38" ca="1">IFERROR(
_xlfn.IFS(NewBuild_Retrofit_selector="Newbuild",INDEX($B$1:$V$408,MATCH($D38&amp;"-"&amp;"Installation cost",$B$1:$B$408,0),MATCH(K$3,$B$3:$V$3,0))/INDEX($B$1:$V$408,MATCH($D38&amp;"-"&amp;"Lifetime",$B$1:$B$408,0),MATCH(K$3,$B$3:$V$3,0)),
NewBuild_Retrofit_selector="Retrofit",(INDEX($B$1:$V$408,MATCH($D38&amp;"-"&amp;"Installation cost",$B$1:$B$408,0),MATCH(K$3,$B$3:$V$3,0))+INDEX($B$1:$V$408,MATCH($D38&amp;"-"&amp;"Extra retrofit cost",$B$1:$B$408,0),MATCH(K$3,$B$3:$V$3,0)))/INDEX($B$1:$V$408,MATCH($D38&amp;"-"&amp;"Lifetime",$B$1:$B$408,0),MATCH(K$3,$B$3:$V$3,0))),0)</f>
        <v>0</v>
      </c>
      <c r="L38" s="585" cm="1">
        <f t="array" aca="1" ref="L38" ca="1">IFERROR(
_xlfn.IFS(NewBuild_Retrofit_selector="Newbuild",INDEX($B$1:$V$408,MATCH($D38&amp;"-"&amp;"Installation cost",$B$1:$B$408,0),MATCH(L$3,$B$3:$V$3,0))/INDEX($B$1:$V$408,MATCH($D38&amp;"-"&amp;"Lifetime",$B$1:$B$408,0),MATCH(L$3,$B$3:$V$3,0)),
NewBuild_Retrofit_selector="Retrofit",(INDEX($B$1:$V$408,MATCH($D38&amp;"-"&amp;"Installation cost",$B$1:$B$408,0),MATCH(L$3,$B$3:$V$3,0))+INDEX($B$1:$V$408,MATCH($D38&amp;"-"&amp;"Extra retrofit cost",$B$1:$B$408,0),MATCH(L$3,$B$3:$V$3,0)))/INDEX($B$1:$V$408,MATCH($D38&amp;"-"&amp;"Lifetime",$B$1:$B$408,0),MATCH(L$3,$B$3:$V$3,0))),0)</f>
        <v>0</v>
      </c>
      <c r="M38" s="585" cm="1">
        <f t="array" aca="1" ref="M38" ca="1">IFERROR(
_xlfn.IFS(NewBuild_Retrofit_selector="Newbuild",INDEX($B$1:$V$408,MATCH($D38&amp;"-"&amp;"Installation cost",$B$1:$B$408,0),MATCH(M$3,$B$3:$V$3,0))/INDEX($B$1:$V$408,MATCH($D38&amp;"-"&amp;"Lifetime",$B$1:$B$408,0),MATCH(M$3,$B$3:$V$3,0)),
NewBuild_Retrofit_selector="Retrofit",(INDEX($B$1:$V$408,MATCH($D38&amp;"-"&amp;"Installation cost",$B$1:$B$408,0),MATCH(M$3,$B$3:$V$3,0))+INDEX($B$1:$V$408,MATCH($D38&amp;"-"&amp;"Extra retrofit cost",$B$1:$B$408,0),MATCH(M$3,$B$3:$V$3,0)))/INDEX($B$1:$V$408,MATCH($D38&amp;"-"&amp;"Lifetime",$B$1:$B$408,0),MATCH(M$3,$B$3:$V$3,0))),0)</f>
        <v>0</v>
      </c>
      <c r="N38" s="585" cm="1">
        <f t="array" aca="1" ref="N38" ca="1">IFERROR(
_xlfn.IFS(NewBuild_Retrofit_selector="Newbuild",INDEX($B$1:$V$408,MATCH($D38&amp;"-"&amp;"Installation cost",$B$1:$B$408,0),MATCH(N$3,$B$3:$V$3,0))/INDEX($B$1:$V$408,MATCH($D38&amp;"-"&amp;"Lifetime",$B$1:$B$408,0),MATCH(N$3,$B$3:$V$3,0)),
NewBuild_Retrofit_selector="Retrofit",(INDEX($B$1:$V$408,MATCH($D38&amp;"-"&amp;"Installation cost",$B$1:$B$408,0),MATCH(N$3,$B$3:$V$3,0))+INDEX($B$1:$V$408,MATCH($D38&amp;"-"&amp;"Extra retrofit cost",$B$1:$B$408,0),MATCH(N$3,$B$3:$V$3,0)))/INDEX($B$1:$V$408,MATCH($D38&amp;"-"&amp;"Lifetime",$B$1:$B$408,0),MATCH(N$3,$B$3:$V$3,0))),0)</f>
        <v>0</v>
      </c>
      <c r="O38" s="585" cm="1">
        <f t="array" aca="1" ref="O38" ca="1">IFERROR(
_xlfn.IFS(NewBuild_Retrofit_selector="Newbuild",INDEX($B$1:$V$408,MATCH($D38&amp;"-"&amp;"Installation cost",$B$1:$B$408,0),MATCH(O$3,$B$3:$V$3,0))/INDEX($B$1:$V$408,MATCH($D38&amp;"-"&amp;"Lifetime",$B$1:$B$408,0),MATCH(O$3,$B$3:$V$3,0)),
NewBuild_Retrofit_selector="Retrofit",(INDEX($B$1:$V$408,MATCH($D38&amp;"-"&amp;"Installation cost",$B$1:$B$408,0),MATCH(O$3,$B$3:$V$3,0))+INDEX($B$1:$V$408,MATCH($D38&amp;"-"&amp;"Extra retrofit cost",$B$1:$B$408,0),MATCH(O$3,$B$3:$V$3,0)))/INDEX($B$1:$V$408,MATCH($D38&amp;"-"&amp;"Lifetime",$B$1:$B$408,0),MATCH(O$3,$B$3:$V$3,0))),0)</f>
        <v>0</v>
      </c>
      <c r="P38" s="585" cm="1">
        <f t="array" aca="1" ref="P38" ca="1">IFERROR(
_xlfn.IFS(NewBuild_Retrofit_selector="Newbuild",INDEX($B$1:$V$408,MATCH($D38&amp;"-"&amp;"Installation cost",$B$1:$B$408,0),MATCH(P$3,$B$3:$V$3,0))/INDEX($B$1:$V$408,MATCH($D38&amp;"-"&amp;"Lifetime",$B$1:$B$408,0),MATCH(P$3,$B$3:$V$3,0)),
NewBuild_Retrofit_selector="Retrofit",(INDEX($B$1:$V$408,MATCH($D38&amp;"-"&amp;"Installation cost",$B$1:$B$408,0),MATCH(P$3,$B$3:$V$3,0))+INDEX($B$1:$V$408,MATCH($D38&amp;"-"&amp;"Extra retrofit cost",$B$1:$B$408,0),MATCH(P$3,$B$3:$V$3,0)))/INDEX($B$1:$V$408,MATCH($D38&amp;"-"&amp;"Lifetime",$B$1:$B$408,0),MATCH(P$3,$B$3:$V$3,0))),0)</f>
        <v>0</v>
      </c>
      <c r="Q38" s="585" cm="1">
        <f t="array" aca="1" ref="Q38" ca="1">IFERROR(
_xlfn.IFS(NewBuild_Retrofit_selector="Newbuild",INDEX($B$1:$V$408,MATCH($D38&amp;"-"&amp;"Installation cost",$B$1:$B$408,0),MATCH(Q$3,$B$3:$V$3,0))/INDEX($B$1:$V$408,MATCH($D38&amp;"-"&amp;"Lifetime",$B$1:$B$408,0),MATCH(Q$3,$B$3:$V$3,0)),
NewBuild_Retrofit_selector="Retrofit",(INDEX($B$1:$V$408,MATCH($D38&amp;"-"&amp;"Installation cost",$B$1:$B$408,0),MATCH(Q$3,$B$3:$V$3,0))+INDEX($B$1:$V$408,MATCH($D38&amp;"-"&amp;"Extra retrofit cost",$B$1:$B$408,0),MATCH(Q$3,$B$3:$V$3,0)))/INDEX($B$1:$V$408,MATCH($D38&amp;"-"&amp;"Lifetime",$B$1:$B$408,0),MATCH(Q$3,$B$3:$V$3,0))),0)</f>
        <v>0</v>
      </c>
      <c r="R38" s="585" cm="1">
        <f t="array" aca="1" ref="R38" ca="1">IFERROR(
_xlfn.IFS(NewBuild_Retrofit_selector="Newbuild",INDEX($B$1:$V$408,MATCH($D38&amp;"-"&amp;"Installation cost",$B$1:$B$408,0),MATCH(R$3,$B$3:$V$3,0))/INDEX($B$1:$V$408,MATCH($D38&amp;"-"&amp;"Lifetime",$B$1:$B$408,0),MATCH(R$3,$B$3:$V$3,0)),
NewBuild_Retrofit_selector="Retrofit",(INDEX($B$1:$V$408,MATCH($D38&amp;"-"&amp;"Installation cost",$B$1:$B$408,0),MATCH(R$3,$B$3:$V$3,0))+INDEX($B$1:$V$408,MATCH($D38&amp;"-"&amp;"Extra retrofit cost",$B$1:$B$408,0),MATCH(R$3,$B$3:$V$3,0)))/INDEX($B$1:$V$408,MATCH($D38&amp;"-"&amp;"Lifetime",$B$1:$B$408,0),MATCH(R$3,$B$3:$V$3,0))),0)</f>
        <v>0</v>
      </c>
      <c r="S38" s="585" cm="1">
        <f t="array" aca="1" ref="S38" ca="1">IFERROR(
_xlfn.IFS(NewBuild_Retrofit_selector="Newbuild",INDEX($B$1:$V$408,MATCH($D38&amp;"-"&amp;"Installation cost",$B$1:$B$408,0),MATCH(S$3,$B$3:$V$3,0))/INDEX($B$1:$V$408,MATCH($D38&amp;"-"&amp;"Lifetime",$B$1:$B$408,0),MATCH(S$3,$B$3:$V$3,0)),
NewBuild_Retrofit_selector="Retrofit",(INDEX($B$1:$V$408,MATCH($D38&amp;"-"&amp;"Installation cost",$B$1:$B$408,0),MATCH(S$3,$B$3:$V$3,0))+INDEX($B$1:$V$408,MATCH($D38&amp;"-"&amp;"Extra retrofit cost",$B$1:$B$408,0),MATCH(S$3,$B$3:$V$3,0)))/INDEX($B$1:$V$408,MATCH($D38&amp;"-"&amp;"Lifetime",$B$1:$B$408,0),MATCH(S$3,$B$3:$V$3,0))),0)</f>
        <v>0</v>
      </c>
      <c r="T38" s="585" cm="1">
        <f t="array" aca="1" ref="T38" ca="1">IFERROR(
_xlfn.IFS(NewBuild_Retrofit_selector="Newbuild",INDEX($B$1:$V$408,MATCH($D38&amp;"-"&amp;"Installation cost",$B$1:$B$408,0),MATCH(T$3,$B$3:$V$3,0))/INDEX($B$1:$V$408,MATCH($D38&amp;"-"&amp;"Lifetime",$B$1:$B$408,0),MATCH(T$3,$B$3:$V$3,0)),
NewBuild_Retrofit_selector="Retrofit",(INDEX($B$1:$V$408,MATCH($D38&amp;"-"&amp;"Installation cost",$B$1:$B$408,0),MATCH(T$3,$B$3:$V$3,0))+INDEX($B$1:$V$408,MATCH($D38&amp;"-"&amp;"Extra retrofit cost",$B$1:$B$408,0),MATCH(T$3,$B$3:$V$3,0)))/INDEX($B$1:$V$408,MATCH($D38&amp;"-"&amp;"Lifetime",$B$1:$B$408,0),MATCH(T$3,$B$3:$V$3,0))),0)</f>
        <v>0</v>
      </c>
      <c r="U38" s="356"/>
      <c r="V38" s="356"/>
    </row>
    <row r="39" spans="2:22" x14ac:dyDescent="0.2">
      <c r="B39" s="392" t="str">
        <f t="shared" si="1"/>
        <v>Cargo systems (e.g. Cargo pumps)-Extra retrofit cost</v>
      </c>
      <c r="C39" s="392" t="s">
        <v>634</v>
      </c>
      <c r="D39" s="397" t="s">
        <v>167</v>
      </c>
      <c r="E39" s="392" t="s">
        <v>635</v>
      </c>
      <c r="F39" s="585">
        <v>0</v>
      </c>
      <c r="G39" s="585">
        <v>0</v>
      </c>
      <c r="H39" s="585">
        <v>0</v>
      </c>
      <c r="I39" s="585">
        <v>0</v>
      </c>
      <c r="J39" s="585">
        <v>0</v>
      </c>
      <c r="K39" s="585">
        <v>0</v>
      </c>
      <c r="L39" s="585">
        <v>0</v>
      </c>
      <c r="M39" s="585">
        <v>0</v>
      </c>
      <c r="N39" s="585">
        <v>0</v>
      </c>
      <c r="O39" s="585">
        <v>0</v>
      </c>
      <c r="P39" s="585">
        <v>0</v>
      </c>
      <c r="Q39" s="585">
        <v>0</v>
      </c>
      <c r="R39" s="585">
        <v>0</v>
      </c>
      <c r="S39" s="585">
        <v>0</v>
      </c>
      <c r="T39" s="585">
        <v>0</v>
      </c>
      <c r="U39" s="356"/>
      <c r="V39" s="356"/>
    </row>
    <row r="40" spans="2:22" x14ac:dyDescent="0.2">
      <c r="B40" s="392" t="str">
        <f t="shared" si="1"/>
        <v>Cargo systems (e.g. Cargo pumps)-Installation cost</v>
      </c>
      <c r="C40" s="392" t="s">
        <v>452</v>
      </c>
      <c r="D40" s="397" t="s">
        <v>167</v>
      </c>
      <c r="E40" s="392" t="s">
        <v>635</v>
      </c>
      <c r="F40" s="585">
        <v>0</v>
      </c>
      <c r="G40" s="585">
        <v>0</v>
      </c>
      <c r="H40" s="585">
        <v>0</v>
      </c>
      <c r="I40" s="585">
        <v>0</v>
      </c>
      <c r="J40" s="585">
        <v>0</v>
      </c>
      <c r="K40" s="585">
        <v>0</v>
      </c>
      <c r="L40" s="585">
        <v>15000</v>
      </c>
      <c r="M40" s="585">
        <v>20000</v>
      </c>
      <c r="N40" s="585">
        <v>25000</v>
      </c>
      <c r="O40" s="585">
        <v>0</v>
      </c>
      <c r="P40" s="585">
        <v>0</v>
      </c>
      <c r="Q40" s="585">
        <v>0</v>
      </c>
      <c r="R40" s="585">
        <v>15000</v>
      </c>
      <c r="S40" s="585">
        <v>20000</v>
      </c>
      <c r="T40" s="585">
        <v>25000</v>
      </c>
      <c r="U40" s="356" t="s">
        <v>625</v>
      </c>
      <c r="V40" s="356"/>
    </row>
    <row r="41" spans="2:22" x14ac:dyDescent="0.2">
      <c r="B41" s="392" t="str">
        <f t="shared" si="1"/>
        <v>Cargo systems (e.g. Cargo pumps)-Lifetime</v>
      </c>
      <c r="C41" s="392" t="s">
        <v>520</v>
      </c>
      <c r="D41" s="397" t="s">
        <v>167</v>
      </c>
      <c r="E41" s="392" t="s">
        <v>176</v>
      </c>
      <c r="F41" s="356">
        <v>0</v>
      </c>
      <c r="G41" s="356">
        <v>0</v>
      </c>
      <c r="H41" s="356">
        <v>0</v>
      </c>
      <c r="I41" s="356">
        <v>0</v>
      </c>
      <c r="J41" s="356">
        <v>0</v>
      </c>
      <c r="K41" s="356">
        <v>0</v>
      </c>
      <c r="L41" s="356">
        <v>25</v>
      </c>
      <c r="M41" s="356">
        <v>25</v>
      </c>
      <c r="N41" s="356">
        <v>25</v>
      </c>
      <c r="O41" s="356">
        <v>0</v>
      </c>
      <c r="P41" s="356">
        <v>0</v>
      </c>
      <c r="Q41" s="356">
        <v>0</v>
      </c>
      <c r="R41" s="356">
        <v>25</v>
      </c>
      <c r="S41" s="356">
        <v>25</v>
      </c>
      <c r="T41" s="356">
        <v>25</v>
      </c>
      <c r="U41" s="356"/>
      <c r="V41" s="356"/>
    </row>
    <row r="42" spans="2:22" x14ac:dyDescent="0.2">
      <c r="B42" s="392" t="str">
        <f t="shared" si="1"/>
        <v>Cargo systems (e.g. Cargo pumps)-OPEX</v>
      </c>
      <c r="C42" s="392" t="s">
        <v>319</v>
      </c>
      <c r="D42" s="397" t="s">
        <v>167</v>
      </c>
      <c r="E42" s="392" t="s">
        <v>630</v>
      </c>
      <c r="F42" s="585">
        <v>0</v>
      </c>
      <c r="G42" s="585">
        <v>0</v>
      </c>
      <c r="H42" s="585">
        <v>0</v>
      </c>
      <c r="I42" s="585">
        <v>0</v>
      </c>
      <c r="J42" s="585">
        <v>0</v>
      </c>
      <c r="K42" s="585">
        <v>0</v>
      </c>
      <c r="L42" s="585">
        <v>0</v>
      </c>
      <c r="M42" s="585">
        <v>0</v>
      </c>
      <c r="N42" s="585">
        <v>0</v>
      </c>
      <c r="O42" s="585">
        <v>0</v>
      </c>
      <c r="P42" s="585">
        <v>0</v>
      </c>
      <c r="Q42" s="585">
        <v>0</v>
      </c>
      <c r="R42" s="585">
        <v>0</v>
      </c>
      <c r="S42" s="585">
        <v>0</v>
      </c>
      <c r="T42" s="585">
        <v>0</v>
      </c>
      <c r="U42" s="356"/>
      <c r="V42" s="356"/>
    </row>
    <row r="43" spans="2:22" x14ac:dyDescent="0.2">
      <c r="B43" s="392" t="str">
        <f t="shared" si="1"/>
        <v>Cargo systems (e.g. Cargo pumps)-Saving</v>
      </c>
      <c r="C43" s="392" t="s">
        <v>458</v>
      </c>
      <c r="D43" s="397" t="s">
        <v>167</v>
      </c>
      <c r="E43" s="392" t="s">
        <v>178</v>
      </c>
      <c r="F43" s="359">
        <v>0</v>
      </c>
      <c r="G43" s="359">
        <v>0</v>
      </c>
      <c r="H43" s="359">
        <v>0</v>
      </c>
      <c r="I43" s="359">
        <v>0</v>
      </c>
      <c r="J43" s="359">
        <v>0</v>
      </c>
      <c r="K43" s="359">
        <v>0</v>
      </c>
      <c r="L43" s="359">
        <v>0.1</v>
      </c>
      <c r="M43" s="359">
        <v>0.1</v>
      </c>
      <c r="N43" s="359">
        <v>0.1</v>
      </c>
      <c r="O43" s="359">
        <v>0</v>
      </c>
      <c r="P43" s="359">
        <v>0</v>
      </c>
      <c r="Q43" s="359">
        <v>0</v>
      </c>
      <c r="R43" s="359">
        <v>0.1</v>
      </c>
      <c r="S43" s="359">
        <v>0.1</v>
      </c>
      <c r="T43" s="359">
        <v>0.1</v>
      </c>
      <c r="U43" s="356" t="s">
        <v>625</v>
      </c>
      <c r="V43" s="356"/>
    </row>
    <row r="44" spans="2:22" x14ac:dyDescent="0.2">
      <c r="B44" s="392" t="str">
        <f t="shared" si="1"/>
        <v>Cargo systems (e.g. Cargo pumps)-UptakeFleetAvg2020</v>
      </c>
      <c r="C44" s="392" t="s">
        <v>650</v>
      </c>
      <c r="D44" s="397" t="s">
        <v>167</v>
      </c>
      <c r="E44" s="392" t="s">
        <v>178</v>
      </c>
      <c r="F44" s="359">
        <v>0</v>
      </c>
      <c r="G44" s="359">
        <v>0</v>
      </c>
      <c r="H44" s="359">
        <v>0</v>
      </c>
      <c r="I44" s="359">
        <v>0</v>
      </c>
      <c r="J44" s="359">
        <v>0</v>
      </c>
      <c r="K44" s="359">
        <v>0</v>
      </c>
      <c r="L44" s="359">
        <v>0</v>
      </c>
      <c r="M44" s="359">
        <v>0</v>
      </c>
      <c r="N44" s="359">
        <v>0</v>
      </c>
      <c r="O44" s="359">
        <v>0</v>
      </c>
      <c r="P44" s="359">
        <v>0</v>
      </c>
      <c r="Q44" s="359">
        <v>0</v>
      </c>
      <c r="R44" s="359">
        <v>0</v>
      </c>
      <c r="S44" s="359">
        <v>0</v>
      </c>
      <c r="T44" s="359">
        <v>0</v>
      </c>
      <c r="U44" s="356"/>
      <c r="V44" s="356"/>
    </row>
    <row r="45" spans="2:22" x14ac:dyDescent="0.2">
      <c r="B45" s="392" t="str">
        <f t="shared" si="1"/>
        <v>Cargo systems (e.g. Cargo pumps)-UptakeNewbuild2020</v>
      </c>
      <c r="C45" s="392" t="s">
        <v>652</v>
      </c>
      <c r="D45" s="397" t="s">
        <v>167</v>
      </c>
      <c r="E45" s="392" t="s">
        <v>178</v>
      </c>
      <c r="F45" s="359">
        <v>0</v>
      </c>
      <c r="G45" s="359">
        <v>0</v>
      </c>
      <c r="H45" s="359">
        <v>0</v>
      </c>
      <c r="I45" s="359">
        <v>0</v>
      </c>
      <c r="J45" s="359">
        <v>0</v>
      </c>
      <c r="K45" s="359">
        <v>0</v>
      </c>
      <c r="L45" s="359">
        <v>0</v>
      </c>
      <c r="M45" s="359">
        <v>0</v>
      </c>
      <c r="N45" s="359">
        <v>0</v>
      </c>
      <c r="O45" s="359">
        <v>0</v>
      </c>
      <c r="P45" s="359">
        <v>0</v>
      </c>
      <c r="Q45" s="359">
        <v>0</v>
      </c>
      <c r="R45" s="359">
        <v>0</v>
      </c>
      <c r="S45" s="359">
        <v>0</v>
      </c>
      <c r="T45" s="359">
        <v>0</v>
      </c>
      <c r="U45" s="356"/>
      <c r="V45" s="356"/>
    </row>
    <row r="46" spans="2:22" x14ac:dyDescent="0.2">
      <c r="B46" s="392" t="str">
        <f t="shared" si="1"/>
        <v>Charter-CharterShareOfFleet</v>
      </c>
      <c r="C46" s="392" t="s">
        <v>631</v>
      </c>
      <c r="D46" s="396" t="s">
        <v>632</v>
      </c>
      <c r="E46" s="392" t="s">
        <v>178</v>
      </c>
      <c r="F46" s="352">
        <v>0.7</v>
      </c>
      <c r="G46" s="352">
        <v>0.7</v>
      </c>
      <c r="H46" s="352">
        <v>0.7</v>
      </c>
      <c r="I46" s="352">
        <v>0.9</v>
      </c>
      <c r="J46" s="352">
        <v>0.9</v>
      </c>
      <c r="K46" s="352">
        <v>0.9</v>
      </c>
      <c r="L46" s="352">
        <v>0.9</v>
      </c>
      <c r="M46" s="352">
        <v>0.9</v>
      </c>
      <c r="N46" s="352">
        <v>0.9</v>
      </c>
      <c r="O46" s="352"/>
      <c r="P46" s="352"/>
      <c r="Q46" s="352"/>
      <c r="R46" s="352"/>
      <c r="S46" s="352"/>
      <c r="T46" s="352"/>
      <c r="U46" s="356" t="s">
        <v>620</v>
      </c>
      <c r="V46" s="356" t="s">
        <v>633</v>
      </c>
    </row>
    <row r="47" spans="2:22" x14ac:dyDescent="0.2">
      <c r="B47" s="392" t="str">
        <f t="shared" si="1"/>
        <v>Engine de-rating-Applicable Newbuild</v>
      </c>
      <c r="C47" s="392" t="s">
        <v>621</v>
      </c>
      <c r="D47" s="401" t="s">
        <v>139</v>
      </c>
      <c r="E47" s="392" t="s">
        <v>622</v>
      </c>
      <c r="F47" s="356">
        <v>0</v>
      </c>
      <c r="G47" s="356">
        <v>0</v>
      </c>
      <c r="H47" s="356">
        <v>0</v>
      </c>
      <c r="I47" s="356">
        <v>0</v>
      </c>
      <c r="J47" s="356">
        <v>0</v>
      </c>
      <c r="K47" s="356">
        <v>0</v>
      </c>
      <c r="L47" s="356">
        <v>0</v>
      </c>
      <c r="M47" s="356">
        <v>0</v>
      </c>
      <c r="N47" s="356">
        <v>0</v>
      </c>
      <c r="O47" s="356">
        <v>0</v>
      </c>
      <c r="P47" s="356">
        <v>0</v>
      </c>
      <c r="Q47" s="356">
        <v>0</v>
      </c>
      <c r="R47" s="356">
        <v>0</v>
      </c>
      <c r="S47" s="356">
        <v>0</v>
      </c>
      <c r="T47" s="356">
        <v>0</v>
      </c>
      <c r="U47" s="356" t="s">
        <v>625</v>
      </c>
      <c r="V47" s="356"/>
    </row>
    <row r="48" spans="2:22" x14ac:dyDescent="0.2">
      <c r="B48" s="392" t="str">
        <f t="shared" si="1"/>
        <v>Engine de-rating-Applicable Retrofit</v>
      </c>
      <c r="C48" s="392" t="s">
        <v>629</v>
      </c>
      <c r="D48" s="396" t="s">
        <v>139</v>
      </c>
      <c r="E48" s="392" t="s">
        <v>622</v>
      </c>
      <c r="F48" s="356">
        <v>1</v>
      </c>
      <c r="G48" s="356">
        <v>1</v>
      </c>
      <c r="H48" s="356">
        <v>1</v>
      </c>
      <c r="I48" s="356">
        <v>1</v>
      </c>
      <c r="J48" s="356">
        <v>1</v>
      </c>
      <c r="K48" s="356">
        <v>1</v>
      </c>
      <c r="L48" s="356">
        <v>1</v>
      </c>
      <c r="M48" s="356">
        <v>1</v>
      </c>
      <c r="N48" s="356">
        <v>1</v>
      </c>
      <c r="O48" s="356">
        <v>1</v>
      </c>
      <c r="P48" s="356">
        <v>1</v>
      </c>
      <c r="Q48" s="356">
        <v>1</v>
      </c>
      <c r="R48" s="356">
        <v>1</v>
      </c>
      <c r="S48" s="356">
        <v>1</v>
      </c>
      <c r="T48" s="356">
        <v>1</v>
      </c>
      <c r="U48" s="356" t="s">
        <v>625</v>
      </c>
      <c r="V48" s="356"/>
    </row>
    <row r="49" spans="2:22" x14ac:dyDescent="0.2">
      <c r="B49" s="392" t="str">
        <f t="shared" si="1"/>
        <v>Engine de-rating-CAPEX</v>
      </c>
      <c r="C49" s="392" t="s">
        <v>50</v>
      </c>
      <c r="D49" s="392" t="s">
        <v>139</v>
      </c>
      <c r="E49" s="392" t="s">
        <v>630</v>
      </c>
      <c r="F49" s="585" cm="1">
        <f t="array" aca="1" ref="F49" ca="1">IFERROR(
_xlfn.IFS(NewBuild_Retrofit_selector="Newbuild",INDEX($B$1:$V$408,MATCH($D49&amp;"-"&amp;"Installation cost",$B$1:$B$408,0),MATCH(F$3,$B$3:$V$3,0))/INDEX($B$1:$V$408,MATCH($D49&amp;"-"&amp;"Lifetime",$B$1:$B$408,0),MATCH(F$3,$B$3:$V$3,0)),
NewBuild_Retrofit_selector="Retrofit",(INDEX($B$1:$V$408,MATCH($D49&amp;"-"&amp;"Installation cost",$B$1:$B$408,0),MATCH(F$3,$B$3:$V$3,0))+INDEX($B$1:$V$408,MATCH($D49&amp;"-"&amp;"Extra retrofit cost",$B$1:$B$408,0),MATCH(F$3,$B$3:$V$3,0)))/INDEX($B$1:$V$408,MATCH($D49&amp;"-"&amp;"Lifetime",$B$1:$B$408,0),MATCH(F$3,$B$3:$V$3,0))),0)</f>
        <v>0</v>
      </c>
      <c r="G49" s="585" cm="1">
        <f t="array" aca="1" ref="G49" ca="1">IFERROR(
_xlfn.IFS(NewBuild_Retrofit_selector="Newbuild",INDEX($B$1:$V$408,MATCH($D49&amp;"-"&amp;"Installation cost",$B$1:$B$408,0),MATCH(G$3,$B$3:$V$3,0))/INDEX($B$1:$V$408,MATCH($D49&amp;"-"&amp;"Lifetime",$B$1:$B$408,0),MATCH(G$3,$B$3:$V$3,0)),
NewBuild_Retrofit_selector="Retrofit",(INDEX($B$1:$V$408,MATCH($D49&amp;"-"&amp;"Installation cost",$B$1:$B$408,0),MATCH(G$3,$B$3:$V$3,0))+INDEX($B$1:$V$408,MATCH($D49&amp;"-"&amp;"Extra retrofit cost",$B$1:$B$408,0),MATCH(G$3,$B$3:$V$3,0)))/INDEX($B$1:$V$408,MATCH($D49&amp;"-"&amp;"Lifetime",$B$1:$B$408,0),MATCH(G$3,$B$3:$V$3,0))),0)</f>
        <v>0</v>
      </c>
      <c r="H49" s="585" cm="1">
        <f t="array" aca="1" ref="H49" ca="1">IFERROR(
_xlfn.IFS(NewBuild_Retrofit_selector="Newbuild",INDEX($B$1:$V$408,MATCH($D49&amp;"-"&amp;"Installation cost",$B$1:$B$408,0),MATCH(H$3,$B$3:$V$3,0))/INDEX($B$1:$V$408,MATCH($D49&amp;"-"&amp;"Lifetime",$B$1:$B$408,0),MATCH(H$3,$B$3:$V$3,0)),
NewBuild_Retrofit_selector="Retrofit",(INDEX($B$1:$V$408,MATCH($D49&amp;"-"&amp;"Installation cost",$B$1:$B$408,0),MATCH(H$3,$B$3:$V$3,0))+INDEX($B$1:$V$408,MATCH($D49&amp;"-"&amp;"Extra retrofit cost",$B$1:$B$408,0),MATCH(H$3,$B$3:$V$3,0)))/INDEX($B$1:$V$408,MATCH($D49&amp;"-"&amp;"Lifetime",$B$1:$B$408,0),MATCH(H$3,$B$3:$V$3,0))),0)</f>
        <v>0</v>
      </c>
      <c r="I49" s="585" cm="1">
        <f t="array" aca="1" ref="I49" ca="1">IFERROR(
_xlfn.IFS(NewBuild_Retrofit_selector="Newbuild",INDEX($B$1:$V$408,MATCH($D49&amp;"-"&amp;"Installation cost",$B$1:$B$408,0),MATCH(I$3,$B$3:$V$3,0))/INDEX($B$1:$V$408,MATCH($D49&amp;"-"&amp;"Lifetime",$B$1:$B$408,0),MATCH(I$3,$B$3:$V$3,0)),
NewBuild_Retrofit_selector="Retrofit",(INDEX($B$1:$V$408,MATCH($D49&amp;"-"&amp;"Installation cost",$B$1:$B$408,0),MATCH(I$3,$B$3:$V$3,0))+INDEX($B$1:$V$408,MATCH($D49&amp;"-"&amp;"Extra retrofit cost",$B$1:$B$408,0),MATCH(I$3,$B$3:$V$3,0)))/INDEX($B$1:$V$408,MATCH($D49&amp;"-"&amp;"Lifetime",$B$1:$B$408,0),MATCH(I$3,$B$3:$V$3,0))),0)</f>
        <v>0</v>
      </c>
      <c r="J49" s="585" cm="1">
        <f t="array" aca="1" ref="J49" ca="1">IFERROR(
_xlfn.IFS(NewBuild_Retrofit_selector="Newbuild",INDEX($B$1:$V$408,MATCH($D49&amp;"-"&amp;"Installation cost",$B$1:$B$408,0),MATCH(J$3,$B$3:$V$3,0))/INDEX($B$1:$V$408,MATCH($D49&amp;"-"&amp;"Lifetime",$B$1:$B$408,0),MATCH(J$3,$B$3:$V$3,0)),
NewBuild_Retrofit_selector="Retrofit",(INDEX($B$1:$V$408,MATCH($D49&amp;"-"&amp;"Installation cost",$B$1:$B$408,0),MATCH(J$3,$B$3:$V$3,0))+INDEX($B$1:$V$408,MATCH($D49&amp;"-"&amp;"Extra retrofit cost",$B$1:$B$408,0),MATCH(J$3,$B$3:$V$3,0)))/INDEX($B$1:$V$408,MATCH($D49&amp;"-"&amp;"Lifetime",$B$1:$B$408,0),MATCH(J$3,$B$3:$V$3,0))),0)</f>
        <v>0</v>
      </c>
      <c r="K49" s="585" cm="1">
        <f t="array" aca="1" ref="K49" ca="1">IFERROR(
_xlfn.IFS(NewBuild_Retrofit_selector="Newbuild",INDEX($B$1:$V$408,MATCH($D49&amp;"-"&amp;"Installation cost",$B$1:$B$408,0),MATCH(K$3,$B$3:$V$3,0))/INDEX($B$1:$V$408,MATCH($D49&amp;"-"&amp;"Lifetime",$B$1:$B$408,0),MATCH(K$3,$B$3:$V$3,0)),
NewBuild_Retrofit_selector="Retrofit",(INDEX($B$1:$V$408,MATCH($D49&amp;"-"&amp;"Installation cost",$B$1:$B$408,0),MATCH(K$3,$B$3:$V$3,0))+INDEX($B$1:$V$408,MATCH($D49&amp;"-"&amp;"Extra retrofit cost",$B$1:$B$408,0),MATCH(K$3,$B$3:$V$3,0)))/INDEX($B$1:$V$408,MATCH($D49&amp;"-"&amp;"Lifetime",$B$1:$B$408,0),MATCH(K$3,$B$3:$V$3,0))),0)</f>
        <v>0</v>
      </c>
      <c r="L49" s="585" cm="1">
        <f t="array" aca="1" ref="L49" ca="1">IFERROR(
_xlfn.IFS(NewBuild_Retrofit_selector="Newbuild",INDEX($B$1:$V$408,MATCH($D49&amp;"-"&amp;"Installation cost",$B$1:$B$408,0),MATCH(L$3,$B$3:$V$3,0))/INDEX($B$1:$V$408,MATCH($D49&amp;"-"&amp;"Lifetime",$B$1:$B$408,0),MATCH(L$3,$B$3:$V$3,0)),
NewBuild_Retrofit_selector="Retrofit",(INDEX($B$1:$V$408,MATCH($D49&amp;"-"&amp;"Installation cost",$B$1:$B$408,0),MATCH(L$3,$B$3:$V$3,0))+INDEX($B$1:$V$408,MATCH($D49&amp;"-"&amp;"Extra retrofit cost",$B$1:$B$408,0),MATCH(L$3,$B$3:$V$3,0)))/INDEX($B$1:$V$408,MATCH($D49&amp;"-"&amp;"Lifetime",$B$1:$B$408,0),MATCH(L$3,$B$3:$V$3,0))),0)</f>
        <v>0</v>
      </c>
      <c r="M49" s="585" cm="1">
        <f t="array" aca="1" ref="M49" ca="1">IFERROR(
_xlfn.IFS(NewBuild_Retrofit_selector="Newbuild",INDEX($B$1:$V$408,MATCH($D49&amp;"-"&amp;"Installation cost",$B$1:$B$408,0),MATCH(M$3,$B$3:$V$3,0))/INDEX($B$1:$V$408,MATCH($D49&amp;"-"&amp;"Lifetime",$B$1:$B$408,0),MATCH(M$3,$B$3:$V$3,0)),
NewBuild_Retrofit_selector="Retrofit",(INDEX($B$1:$V$408,MATCH($D49&amp;"-"&amp;"Installation cost",$B$1:$B$408,0),MATCH(M$3,$B$3:$V$3,0))+INDEX($B$1:$V$408,MATCH($D49&amp;"-"&amp;"Extra retrofit cost",$B$1:$B$408,0),MATCH(M$3,$B$3:$V$3,0)))/INDEX($B$1:$V$408,MATCH($D49&amp;"-"&amp;"Lifetime",$B$1:$B$408,0),MATCH(M$3,$B$3:$V$3,0))),0)</f>
        <v>0</v>
      </c>
      <c r="N49" s="585" cm="1">
        <f t="array" aca="1" ref="N49" ca="1">IFERROR(
_xlfn.IFS(NewBuild_Retrofit_selector="Newbuild",INDEX($B$1:$V$408,MATCH($D49&amp;"-"&amp;"Installation cost",$B$1:$B$408,0),MATCH(N$3,$B$3:$V$3,0))/INDEX($B$1:$V$408,MATCH($D49&amp;"-"&amp;"Lifetime",$B$1:$B$408,0),MATCH(N$3,$B$3:$V$3,0)),
NewBuild_Retrofit_selector="Retrofit",(INDEX($B$1:$V$408,MATCH($D49&amp;"-"&amp;"Installation cost",$B$1:$B$408,0),MATCH(N$3,$B$3:$V$3,0))+INDEX($B$1:$V$408,MATCH($D49&amp;"-"&amp;"Extra retrofit cost",$B$1:$B$408,0),MATCH(N$3,$B$3:$V$3,0)))/INDEX($B$1:$V$408,MATCH($D49&amp;"-"&amp;"Lifetime",$B$1:$B$408,0),MATCH(N$3,$B$3:$V$3,0))),0)</f>
        <v>0</v>
      </c>
      <c r="O49" s="585" cm="1">
        <f t="array" aca="1" ref="O49" ca="1">IFERROR(
_xlfn.IFS(NewBuild_Retrofit_selector="Newbuild",INDEX($B$1:$V$408,MATCH($D49&amp;"-"&amp;"Installation cost",$B$1:$B$408,0),MATCH(O$3,$B$3:$V$3,0))/INDEX($B$1:$V$408,MATCH($D49&amp;"-"&amp;"Lifetime",$B$1:$B$408,0),MATCH(O$3,$B$3:$V$3,0)),
NewBuild_Retrofit_selector="Retrofit",(INDEX($B$1:$V$408,MATCH($D49&amp;"-"&amp;"Installation cost",$B$1:$B$408,0),MATCH(O$3,$B$3:$V$3,0))+INDEX($B$1:$V$408,MATCH($D49&amp;"-"&amp;"Extra retrofit cost",$B$1:$B$408,0),MATCH(O$3,$B$3:$V$3,0)))/INDEX($B$1:$V$408,MATCH($D49&amp;"-"&amp;"Lifetime",$B$1:$B$408,0),MATCH(O$3,$B$3:$V$3,0))),0)</f>
        <v>0</v>
      </c>
      <c r="P49" s="585" cm="1">
        <f t="array" aca="1" ref="P49" ca="1">IFERROR(
_xlfn.IFS(NewBuild_Retrofit_selector="Newbuild",INDEX($B$1:$V$408,MATCH($D49&amp;"-"&amp;"Installation cost",$B$1:$B$408,0),MATCH(P$3,$B$3:$V$3,0))/INDEX($B$1:$V$408,MATCH($D49&amp;"-"&amp;"Lifetime",$B$1:$B$408,0),MATCH(P$3,$B$3:$V$3,0)),
NewBuild_Retrofit_selector="Retrofit",(INDEX($B$1:$V$408,MATCH($D49&amp;"-"&amp;"Installation cost",$B$1:$B$408,0),MATCH(P$3,$B$3:$V$3,0))+INDEX($B$1:$V$408,MATCH($D49&amp;"-"&amp;"Extra retrofit cost",$B$1:$B$408,0),MATCH(P$3,$B$3:$V$3,0)))/INDEX($B$1:$V$408,MATCH($D49&amp;"-"&amp;"Lifetime",$B$1:$B$408,0),MATCH(P$3,$B$3:$V$3,0))),0)</f>
        <v>0</v>
      </c>
      <c r="Q49" s="585" cm="1">
        <f t="array" aca="1" ref="Q49" ca="1">IFERROR(
_xlfn.IFS(NewBuild_Retrofit_selector="Newbuild",INDEX($B$1:$V$408,MATCH($D49&amp;"-"&amp;"Installation cost",$B$1:$B$408,0),MATCH(Q$3,$B$3:$V$3,0))/INDEX($B$1:$V$408,MATCH($D49&amp;"-"&amp;"Lifetime",$B$1:$B$408,0),MATCH(Q$3,$B$3:$V$3,0)),
NewBuild_Retrofit_selector="Retrofit",(INDEX($B$1:$V$408,MATCH($D49&amp;"-"&amp;"Installation cost",$B$1:$B$408,0),MATCH(Q$3,$B$3:$V$3,0))+INDEX($B$1:$V$408,MATCH($D49&amp;"-"&amp;"Extra retrofit cost",$B$1:$B$408,0),MATCH(Q$3,$B$3:$V$3,0)))/INDEX($B$1:$V$408,MATCH($D49&amp;"-"&amp;"Lifetime",$B$1:$B$408,0),MATCH(Q$3,$B$3:$V$3,0))),0)</f>
        <v>0</v>
      </c>
      <c r="R49" s="585" cm="1">
        <f t="array" aca="1" ref="R49" ca="1">IFERROR(
_xlfn.IFS(NewBuild_Retrofit_selector="Newbuild",INDEX($B$1:$V$408,MATCH($D49&amp;"-"&amp;"Installation cost",$B$1:$B$408,0),MATCH(R$3,$B$3:$V$3,0))/INDEX($B$1:$V$408,MATCH($D49&amp;"-"&amp;"Lifetime",$B$1:$B$408,0),MATCH(R$3,$B$3:$V$3,0)),
NewBuild_Retrofit_selector="Retrofit",(INDEX($B$1:$V$408,MATCH($D49&amp;"-"&amp;"Installation cost",$B$1:$B$408,0),MATCH(R$3,$B$3:$V$3,0))+INDEX($B$1:$V$408,MATCH($D49&amp;"-"&amp;"Extra retrofit cost",$B$1:$B$408,0),MATCH(R$3,$B$3:$V$3,0)))/INDEX($B$1:$V$408,MATCH($D49&amp;"-"&amp;"Lifetime",$B$1:$B$408,0),MATCH(R$3,$B$3:$V$3,0))),0)</f>
        <v>0</v>
      </c>
      <c r="S49" s="585" cm="1">
        <f t="array" aca="1" ref="S49" ca="1">IFERROR(
_xlfn.IFS(NewBuild_Retrofit_selector="Newbuild",INDEX($B$1:$V$408,MATCH($D49&amp;"-"&amp;"Installation cost",$B$1:$B$408,0),MATCH(S$3,$B$3:$V$3,0))/INDEX($B$1:$V$408,MATCH($D49&amp;"-"&amp;"Lifetime",$B$1:$B$408,0),MATCH(S$3,$B$3:$V$3,0)),
NewBuild_Retrofit_selector="Retrofit",(INDEX($B$1:$V$408,MATCH($D49&amp;"-"&amp;"Installation cost",$B$1:$B$408,0),MATCH(S$3,$B$3:$V$3,0))+INDEX($B$1:$V$408,MATCH($D49&amp;"-"&amp;"Extra retrofit cost",$B$1:$B$408,0),MATCH(S$3,$B$3:$V$3,0)))/INDEX($B$1:$V$408,MATCH($D49&amp;"-"&amp;"Lifetime",$B$1:$B$408,0),MATCH(S$3,$B$3:$V$3,0))),0)</f>
        <v>0</v>
      </c>
      <c r="T49" s="585" cm="1">
        <f t="array" aca="1" ref="T49" ca="1">IFERROR(
_xlfn.IFS(NewBuild_Retrofit_selector="Newbuild",INDEX($B$1:$V$408,MATCH($D49&amp;"-"&amp;"Installation cost",$B$1:$B$408,0),MATCH(T$3,$B$3:$V$3,0))/INDEX($B$1:$V$408,MATCH($D49&amp;"-"&amp;"Lifetime",$B$1:$B$408,0),MATCH(T$3,$B$3:$V$3,0)),
NewBuild_Retrofit_selector="Retrofit",(INDEX($B$1:$V$408,MATCH($D49&amp;"-"&amp;"Installation cost",$B$1:$B$408,0),MATCH(T$3,$B$3:$V$3,0))+INDEX($B$1:$V$408,MATCH($D49&amp;"-"&amp;"Extra retrofit cost",$B$1:$B$408,0),MATCH(T$3,$B$3:$V$3,0)))/INDEX($B$1:$V$408,MATCH($D49&amp;"-"&amp;"Lifetime",$B$1:$B$408,0),MATCH(T$3,$B$3:$V$3,0))),0)</f>
        <v>0</v>
      </c>
      <c r="U49" s="356"/>
      <c r="V49" s="356"/>
    </row>
    <row r="50" spans="2:22" x14ac:dyDescent="0.2">
      <c r="B50" s="392" t="str">
        <f t="shared" si="1"/>
        <v>Engine de-rating-Extra retrofit cost</v>
      </c>
      <c r="C50" s="392" t="s">
        <v>634</v>
      </c>
      <c r="D50" s="392" t="s">
        <v>139</v>
      </c>
      <c r="E50" s="392" t="s">
        <v>635</v>
      </c>
      <c r="F50" s="585">
        <v>119999.99999999997</v>
      </c>
      <c r="G50" s="585">
        <v>119999.99999999997</v>
      </c>
      <c r="H50" s="585">
        <v>119999.99999999997</v>
      </c>
      <c r="I50" s="585">
        <v>119999.99999999997</v>
      </c>
      <c r="J50" s="585">
        <v>119999.99999999997</v>
      </c>
      <c r="K50" s="585">
        <v>119999.99999999997</v>
      </c>
      <c r="L50" s="585">
        <v>119999.99999999997</v>
      </c>
      <c r="M50" s="585">
        <v>119999.99999999997</v>
      </c>
      <c r="N50" s="585">
        <v>119999.99999999997</v>
      </c>
      <c r="O50" s="585">
        <v>119999.99999999997</v>
      </c>
      <c r="P50" s="585">
        <v>119999.99999999997</v>
      </c>
      <c r="Q50" s="585">
        <v>119999.99999999997</v>
      </c>
      <c r="R50" s="585">
        <v>119999.99999999997</v>
      </c>
      <c r="S50" s="585">
        <v>119999.99999999997</v>
      </c>
      <c r="T50" s="585">
        <v>119999.99999999997</v>
      </c>
      <c r="U50" s="356"/>
      <c r="V50" s="356"/>
    </row>
    <row r="51" spans="2:22" x14ac:dyDescent="0.2">
      <c r="B51" s="392" t="str">
        <f t="shared" si="1"/>
        <v>Engine de-rating-Installation cost</v>
      </c>
      <c r="C51" s="392" t="s">
        <v>452</v>
      </c>
      <c r="D51" s="392" t="s">
        <v>139</v>
      </c>
      <c r="E51" s="392" t="s">
        <v>635</v>
      </c>
      <c r="F51" s="585">
        <v>300000</v>
      </c>
      <c r="G51" s="585">
        <v>400000</v>
      </c>
      <c r="H51" s="585">
        <v>400000</v>
      </c>
      <c r="I51" s="585">
        <v>300000</v>
      </c>
      <c r="J51" s="585">
        <v>400000</v>
      </c>
      <c r="K51" s="585">
        <v>400000</v>
      </c>
      <c r="L51" s="585">
        <v>300000</v>
      </c>
      <c r="M51" s="585">
        <v>400000</v>
      </c>
      <c r="N51" s="585">
        <v>400000</v>
      </c>
      <c r="O51" s="585">
        <v>300000</v>
      </c>
      <c r="P51" s="585">
        <v>400000</v>
      </c>
      <c r="Q51" s="585">
        <v>400000</v>
      </c>
      <c r="R51" s="585">
        <v>300000</v>
      </c>
      <c r="S51" s="585">
        <v>400000</v>
      </c>
      <c r="T51" s="585">
        <v>400000</v>
      </c>
      <c r="U51" s="356" t="s">
        <v>628</v>
      </c>
      <c r="V51" s="356"/>
    </row>
    <row r="52" spans="2:22" x14ac:dyDescent="0.2">
      <c r="B52" s="392" t="str">
        <f t="shared" si="1"/>
        <v>Engine de-rating-Lifetime</v>
      </c>
      <c r="C52" s="392" t="s">
        <v>520</v>
      </c>
      <c r="D52" s="392" t="s">
        <v>139</v>
      </c>
      <c r="E52" s="392" t="s">
        <v>176</v>
      </c>
      <c r="F52" s="356">
        <v>25</v>
      </c>
      <c r="G52" s="356">
        <v>25</v>
      </c>
      <c r="H52" s="356">
        <v>25</v>
      </c>
      <c r="I52" s="356">
        <v>25</v>
      </c>
      <c r="J52" s="356">
        <v>25</v>
      </c>
      <c r="K52" s="356">
        <v>25</v>
      </c>
      <c r="L52" s="356">
        <v>25</v>
      </c>
      <c r="M52" s="356">
        <v>25</v>
      </c>
      <c r="N52" s="356">
        <v>25</v>
      </c>
      <c r="O52" s="356">
        <v>25</v>
      </c>
      <c r="P52" s="356">
        <v>25</v>
      </c>
      <c r="Q52" s="356">
        <v>25</v>
      </c>
      <c r="R52" s="356">
        <v>25</v>
      </c>
      <c r="S52" s="356">
        <v>25</v>
      </c>
      <c r="T52" s="356">
        <v>25</v>
      </c>
      <c r="U52" s="356" t="s">
        <v>625</v>
      </c>
      <c r="V52" s="356"/>
    </row>
    <row r="53" spans="2:22" x14ac:dyDescent="0.2">
      <c r="B53" s="392" t="str">
        <f t="shared" si="1"/>
        <v>Engine de-rating-OPEX</v>
      </c>
      <c r="C53" s="392" t="s">
        <v>319</v>
      </c>
      <c r="D53" s="396" t="s">
        <v>139</v>
      </c>
      <c r="E53" s="392" t="s">
        <v>630</v>
      </c>
      <c r="F53" s="585">
        <v>0</v>
      </c>
      <c r="G53" s="585">
        <v>0</v>
      </c>
      <c r="H53" s="585">
        <v>0</v>
      </c>
      <c r="I53" s="585">
        <v>0</v>
      </c>
      <c r="J53" s="585">
        <v>0</v>
      </c>
      <c r="K53" s="585">
        <v>0</v>
      </c>
      <c r="L53" s="585">
        <v>0</v>
      </c>
      <c r="M53" s="585">
        <v>0</v>
      </c>
      <c r="N53" s="585">
        <v>0</v>
      </c>
      <c r="O53" s="585">
        <v>0</v>
      </c>
      <c r="P53" s="585">
        <v>0</v>
      </c>
      <c r="Q53" s="585">
        <v>0</v>
      </c>
      <c r="R53" s="585">
        <v>0</v>
      </c>
      <c r="S53" s="585">
        <v>0</v>
      </c>
      <c r="T53" s="585">
        <v>0</v>
      </c>
      <c r="U53" s="356" t="s">
        <v>625</v>
      </c>
      <c r="V53" s="356"/>
    </row>
    <row r="54" spans="2:22" x14ac:dyDescent="0.2">
      <c r="B54" s="392" t="str">
        <f t="shared" si="1"/>
        <v>Engine de-rating-Saving</v>
      </c>
      <c r="C54" s="392" t="s">
        <v>458</v>
      </c>
      <c r="D54" s="396" t="s">
        <v>139</v>
      </c>
      <c r="E54" s="392" t="s">
        <v>178</v>
      </c>
      <c r="F54" s="359">
        <v>0.01</v>
      </c>
      <c r="G54" s="359">
        <v>0.01</v>
      </c>
      <c r="H54" s="359">
        <v>0.01</v>
      </c>
      <c r="I54" s="359">
        <v>0.01</v>
      </c>
      <c r="J54" s="359">
        <v>0.01</v>
      </c>
      <c r="K54" s="359">
        <v>0.01</v>
      </c>
      <c r="L54" s="359">
        <v>0.01</v>
      </c>
      <c r="M54" s="359">
        <v>0.01</v>
      </c>
      <c r="N54" s="359">
        <v>0.01</v>
      </c>
      <c r="O54" s="359">
        <v>0.01</v>
      </c>
      <c r="P54" s="359">
        <v>0.01</v>
      </c>
      <c r="Q54" s="359">
        <v>0.01</v>
      </c>
      <c r="R54" s="359">
        <v>0.01</v>
      </c>
      <c r="S54" s="359">
        <v>0.01</v>
      </c>
      <c r="T54" s="359">
        <v>0.01</v>
      </c>
      <c r="U54" s="356" t="s">
        <v>628</v>
      </c>
      <c r="V54" s="356"/>
    </row>
    <row r="55" spans="2:22" x14ac:dyDescent="0.2">
      <c r="B55" s="392" t="str">
        <f t="shared" si="1"/>
        <v>Engine de-rating-UptakeFleetAvg2020</v>
      </c>
      <c r="C55" s="392" t="s">
        <v>650</v>
      </c>
      <c r="D55" s="396" t="s">
        <v>139</v>
      </c>
      <c r="E55" s="392" t="s">
        <v>178</v>
      </c>
      <c r="F55" s="359">
        <v>0</v>
      </c>
      <c r="G55" s="359">
        <v>0</v>
      </c>
      <c r="H55" s="359">
        <v>0</v>
      </c>
      <c r="I55" s="359">
        <v>0</v>
      </c>
      <c r="J55" s="359">
        <v>0</v>
      </c>
      <c r="K55" s="359">
        <v>0</v>
      </c>
      <c r="L55" s="359">
        <v>0</v>
      </c>
      <c r="M55" s="359">
        <v>0</v>
      </c>
      <c r="N55" s="359">
        <v>0</v>
      </c>
      <c r="O55" s="359">
        <v>0</v>
      </c>
      <c r="P55" s="359">
        <v>0</v>
      </c>
      <c r="Q55" s="359">
        <v>0</v>
      </c>
      <c r="R55" s="359">
        <v>0</v>
      </c>
      <c r="S55" s="359">
        <v>0</v>
      </c>
      <c r="T55" s="359">
        <v>0</v>
      </c>
      <c r="U55" s="356"/>
      <c r="V55" s="356"/>
    </row>
    <row r="56" spans="2:22" x14ac:dyDescent="0.2">
      <c r="B56" s="392" t="str">
        <f t="shared" si="1"/>
        <v>Engine de-rating-UptakeNewbuild2020</v>
      </c>
      <c r="C56" s="392" t="s">
        <v>652</v>
      </c>
      <c r="D56" s="396" t="s">
        <v>139</v>
      </c>
      <c r="E56" s="392" t="s">
        <v>178</v>
      </c>
      <c r="F56" s="359">
        <v>0</v>
      </c>
      <c r="G56" s="359">
        <v>0</v>
      </c>
      <c r="H56" s="359">
        <v>0</v>
      </c>
      <c r="I56" s="359">
        <v>0</v>
      </c>
      <c r="J56" s="359">
        <v>0</v>
      </c>
      <c r="K56" s="359">
        <v>0</v>
      </c>
      <c r="L56" s="359">
        <v>0</v>
      </c>
      <c r="M56" s="359">
        <v>0</v>
      </c>
      <c r="N56" s="359">
        <v>0</v>
      </c>
      <c r="O56" s="359">
        <v>0</v>
      </c>
      <c r="P56" s="359">
        <v>0</v>
      </c>
      <c r="Q56" s="359">
        <v>0</v>
      </c>
      <c r="R56" s="359">
        <v>0</v>
      </c>
      <c r="S56" s="359">
        <v>0</v>
      </c>
      <c r="T56" s="359">
        <v>0</v>
      </c>
      <c r="U56" s="356"/>
      <c r="V56" s="356"/>
    </row>
    <row r="57" spans="2:22" x14ac:dyDescent="0.2">
      <c r="B57" s="392" t="str">
        <f t="shared" si="1"/>
        <v>Engine tuning-Applicable Newbuild</v>
      </c>
      <c r="C57" s="392" t="s">
        <v>621</v>
      </c>
      <c r="D57" s="399" t="s">
        <v>140</v>
      </c>
      <c r="E57" s="392" t="s">
        <v>622</v>
      </c>
      <c r="F57" s="356">
        <v>0</v>
      </c>
      <c r="G57" s="356">
        <v>0</v>
      </c>
      <c r="H57" s="356">
        <v>0</v>
      </c>
      <c r="I57" s="356">
        <v>0</v>
      </c>
      <c r="J57" s="356">
        <v>0</v>
      </c>
      <c r="K57" s="356">
        <v>0</v>
      </c>
      <c r="L57" s="356">
        <v>0</v>
      </c>
      <c r="M57" s="356">
        <v>0</v>
      </c>
      <c r="N57" s="356">
        <v>0</v>
      </c>
      <c r="O57" s="356">
        <v>0</v>
      </c>
      <c r="P57" s="356">
        <v>0</v>
      </c>
      <c r="Q57" s="356">
        <v>0</v>
      </c>
      <c r="R57" s="356">
        <v>0</v>
      </c>
      <c r="S57" s="356">
        <v>0</v>
      </c>
      <c r="T57" s="356">
        <v>0</v>
      </c>
      <c r="U57" s="356" t="s">
        <v>625</v>
      </c>
      <c r="V57" s="356"/>
    </row>
    <row r="58" spans="2:22" x14ac:dyDescent="0.2">
      <c r="B58" s="392" t="str">
        <f t="shared" si="1"/>
        <v>Engine tuning-Applicable Retrofit</v>
      </c>
      <c r="C58" s="392" t="s">
        <v>629</v>
      </c>
      <c r="D58" s="397" t="s">
        <v>140</v>
      </c>
      <c r="E58" s="392" t="s">
        <v>622</v>
      </c>
      <c r="F58" s="356">
        <v>0</v>
      </c>
      <c r="G58" s="356">
        <v>0</v>
      </c>
      <c r="H58" s="356">
        <v>0</v>
      </c>
      <c r="I58" s="356">
        <v>0</v>
      </c>
      <c r="J58" s="356">
        <v>0</v>
      </c>
      <c r="K58" s="356">
        <v>0</v>
      </c>
      <c r="L58" s="356">
        <v>0</v>
      </c>
      <c r="M58" s="356">
        <v>0</v>
      </c>
      <c r="N58" s="356">
        <v>0</v>
      </c>
      <c r="O58" s="356">
        <v>0</v>
      </c>
      <c r="P58" s="356">
        <v>0</v>
      </c>
      <c r="Q58" s="356">
        <v>0</v>
      </c>
      <c r="R58" s="356">
        <v>0</v>
      </c>
      <c r="S58" s="356">
        <v>0</v>
      </c>
      <c r="T58" s="356">
        <v>0</v>
      </c>
      <c r="U58" s="356" t="s">
        <v>625</v>
      </c>
      <c r="V58" s="356"/>
    </row>
    <row r="59" spans="2:22" x14ac:dyDescent="0.2">
      <c r="B59" s="392" t="str">
        <f t="shared" si="1"/>
        <v>Engine tuning-CAPEX</v>
      </c>
      <c r="C59" s="392" t="s">
        <v>50</v>
      </c>
      <c r="D59" s="397" t="s">
        <v>140</v>
      </c>
      <c r="E59" s="392" t="s">
        <v>630</v>
      </c>
      <c r="F59" s="585" cm="1">
        <f t="array" aca="1" ref="F59" ca="1">IFERROR(
_xlfn.IFS(NewBuild_Retrofit_selector="Newbuild",INDEX($B$1:$V$408,MATCH($D59&amp;"-"&amp;"Installation cost",$B$1:$B$408,0),MATCH(F$3,$B$3:$V$3,0))/INDEX($B$1:$V$408,MATCH($D59&amp;"-"&amp;"Lifetime",$B$1:$B$408,0),MATCH(F$3,$B$3:$V$3,0)),
NewBuild_Retrofit_selector="Retrofit",(INDEX($B$1:$V$408,MATCH($D59&amp;"-"&amp;"Installation cost",$B$1:$B$408,0),MATCH(F$3,$B$3:$V$3,0))+INDEX($B$1:$V$408,MATCH($D59&amp;"-"&amp;"Extra retrofit cost",$B$1:$B$408,0),MATCH(F$3,$B$3:$V$3,0)))/INDEX($B$1:$V$408,MATCH($D59&amp;"-"&amp;"Lifetime",$B$1:$B$408,0),MATCH(F$3,$B$3:$V$3,0))),0)</f>
        <v>0</v>
      </c>
      <c r="G59" s="585" cm="1">
        <f t="array" aca="1" ref="G59" ca="1">IFERROR(
_xlfn.IFS(NewBuild_Retrofit_selector="Newbuild",INDEX($B$1:$V$408,MATCH($D59&amp;"-"&amp;"Installation cost",$B$1:$B$408,0),MATCH(G$3,$B$3:$V$3,0))/INDEX($B$1:$V$408,MATCH($D59&amp;"-"&amp;"Lifetime",$B$1:$B$408,0),MATCH(G$3,$B$3:$V$3,0)),
NewBuild_Retrofit_selector="Retrofit",(INDEX($B$1:$V$408,MATCH($D59&amp;"-"&amp;"Installation cost",$B$1:$B$408,0),MATCH(G$3,$B$3:$V$3,0))+INDEX($B$1:$V$408,MATCH($D59&amp;"-"&amp;"Extra retrofit cost",$B$1:$B$408,0),MATCH(G$3,$B$3:$V$3,0)))/INDEX($B$1:$V$408,MATCH($D59&amp;"-"&amp;"Lifetime",$B$1:$B$408,0),MATCH(G$3,$B$3:$V$3,0))),0)</f>
        <v>0</v>
      </c>
      <c r="H59" s="585" cm="1">
        <f t="array" aca="1" ref="H59" ca="1">IFERROR(
_xlfn.IFS(NewBuild_Retrofit_selector="Newbuild",INDEX($B$1:$V$408,MATCH($D59&amp;"-"&amp;"Installation cost",$B$1:$B$408,0),MATCH(H$3,$B$3:$V$3,0))/INDEX($B$1:$V$408,MATCH($D59&amp;"-"&amp;"Lifetime",$B$1:$B$408,0),MATCH(H$3,$B$3:$V$3,0)),
NewBuild_Retrofit_selector="Retrofit",(INDEX($B$1:$V$408,MATCH($D59&amp;"-"&amp;"Installation cost",$B$1:$B$408,0),MATCH(H$3,$B$3:$V$3,0))+INDEX($B$1:$V$408,MATCH($D59&amp;"-"&amp;"Extra retrofit cost",$B$1:$B$408,0),MATCH(H$3,$B$3:$V$3,0)))/INDEX($B$1:$V$408,MATCH($D59&amp;"-"&amp;"Lifetime",$B$1:$B$408,0),MATCH(H$3,$B$3:$V$3,0))),0)</f>
        <v>0</v>
      </c>
      <c r="I59" s="585" cm="1">
        <f t="array" aca="1" ref="I59" ca="1">IFERROR(
_xlfn.IFS(NewBuild_Retrofit_selector="Newbuild",INDEX($B$1:$V$408,MATCH($D59&amp;"-"&amp;"Installation cost",$B$1:$B$408,0),MATCH(I$3,$B$3:$V$3,0))/INDEX($B$1:$V$408,MATCH($D59&amp;"-"&amp;"Lifetime",$B$1:$B$408,0),MATCH(I$3,$B$3:$V$3,0)),
NewBuild_Retrofit_selector="Retrofit",(INDEX($B$1:$V$408,MATCH($D59&amp;"-"&amp;"Installation cost",$B$1:$B$408,0),MATCH(I$3,$B$3:$V$3,0))+INDEX($B$1:$V$408,MATCH($D59&amp;"-"&amp;"Extra retrofit cost",$B$1:$B$408,0),MATCH(I$3,$B$3:$V$3,0)))/INDEX($B$1:$V$408,MATCH($D59&amp;"-"&amp;"Lifetime",$B$1:$B$408,0),MATCH(I$3,$B$3:$V$3,0))),0)</f>
        <v>0</v>
      </c>
      <c r="J59" s="585" cm="1">
        <f t="array" aca="1" ref="J59" ca="1">IFERROR(
_xlfn.IFS(NewBuild_Retrofit_selector="Newbuild",INDEX($B$1:$V$408,MATCH($D59&amp;"-"&amp;"Installation cost",$B$1:$B$408,0),MATCH(J$3,$B$3:$V$3,0))/INDEX($B$1:$V$408,MATCH($D59&amp;"-"&amp;"Lifetime",$B$1:$B$408,0),MATCH(J$3,$B$3:$V$3,0)),
NewBuild_Retrofit_selector="Retrofit",(INDEX($B$1:$V$408,MATCH($D59&amp;"-"&amp;"Installation cost",$B$1:$B$408,0),MATCH(J$3,$B$3:$V$3,0))+INDEX($B$1:$V$408,MATCH($D59&amp;"-"&amp;"Extra retrofit cost",$B$1:$B$408,0),MATCH(J$3,$B$3:$V$3,0)))/INDEX($B$1:$V$408,MATCH($D59&amp;"-"&amp;"Lifetime",$B$1:$B$408,0),MATCH(J$3,$B$3:$V$3,0))),0)</f>
        <v>0</v>
      </c>
      <c r="K59" s="585" cm="1">
        <f t="array" aca="1" ref="K59" ca="1">IFERROR(
_xlfn.IFS(NewBuild_Retrofit_selector="Newbuild",INDEX($B$1:$V$408,MATCH($D59&amp;"-"&amp;"Installation cost",$B$1:$B$408,0),MATCH(K$3,$B$3:$V$3,0))/INDEX($B$1:$V$408,MATCH($D59&amp;"-"&amp;"Lifetime",$B$1:$B$408,0),MATCH(K$3,$B$3:$V$3,0)),
NewBuild_Retrofit_selector="Retrofit",(INDEX($B$1:$V$408,MATCH($D59&amp;"-"&amp;"Installation cost",$B$1:$B$408,0),MATCH(K$3,$B$3:$V$3,0))+INDEX($B$1:$V$408,MATCH($D59&amp;"-"&amp;"Extra retrofit cost",$B$1:$B$408,0),MATCH(K$3,$B$3:$V$3,0)))/INDEX($B$1:$V$408,MATCH($D59&amp;"-"&amp;"Lifetime",$B$1:$B$408,0),MATCH(K$3,$B$3:$V$3,0))),0)</f>
        <v>0</v>
      </c>
      <c r="L59" s="585" cm="1">
        <f t="array" aca="1" ref="L59" ca="1">IFERROR(
_xlfn.IFS(NewBuild_Retrofit_selector="Newbuild",INDEX($B$1:$V$408,MATCH($D59&amp;"-"&amp;"Installation cost",$B$1:$B$408,0),MATCH(L$3,$B$3:$V$3,0))/INDEX($B$1:$V$408,MATCH($D59&amp;"-"&amp;"Lifetime",$B$1:$B$408,0),MATCH(L$3,$B$3:$V$3,0)),
NewBuild_Retrofit_selector="Retrofit",(INDEX($B$1:$V$408,MATCH($D59&amp;"-"&amp;"Installation cost",$B$1:$B$408,0),MATCH(L$3,$B$3:$V$3,0))+INDEX($B$1:$V$408,MATCH($D59&amp;"-"&amp;"Extra retrofit cost",$B$1:$B$408,0),MATCH(L$3,$B$3:$V$3,0)))/INDEX($B$1:$V$408,MATCH($D59&amp;"-"&amp;"Lifetime",$B$1:$B$408,0),MATCH(L$3,$B$3:$V$3,0))),0)</f>
        <v>0</v>
      </c>
      <c r="M59" s="585" cm="1">
        <f t="array" aca="1" ref="M59" ca="1">IFERROR(
_xlfn.IFS(NewBuild_Retrofit_selector="Newbuild",INDEX($B$1:$V$408,MATCH($D59&amp;"-"&amp;"Installation cost",$B$1:$B$408,0),MATCH(M$3,$B$3:$V$3,0))/INDEX($B$1:$V$408,MATCH($D59&amp;"-"&amp;"Lifetime",$B$1:$B$408,0),MATCH(M$3,$B$3:$V$3,0)),
NewBuild_Retrofit_selector="Retrofit",(INDEX($B$1:$V$408,MATCH($D59&amp;"-"&amp;"Installation cost",$B$1:$B$408,0),MATCH(M$3,$B$3:$V$3,0))+INDEX($B$1:$V$408,MATCH($D59&amp;"-"&amp;"Extra retrofit cost",$B$1:$B$408,0),MATCH(M$3,$B$3:$V$3,0)))/INDEX($B$1:$V$408,MATCH($D59&amp;"-"&amp;"Lifetime",$B$1:$B$408,0),MATCH(M$3,$B$3:$V$3,0))),0)</f>
        <v>0</v>
      </c>
      <c r="N59" s="585" cm="1">
        <f t="array" aca="1" ref="N59" ca="1">IFERROR(
_xlfn.IFS(NewBuild_Retrofit_selector="Newbuild",INDEX($B$1:$V$408,MATCH($D59&amp;"-"&amp;"Installation cost",$B$1:$B$408,0),MATCH(N$3,$B$3:$V$3,0))/INDEX($B$1:$V$408,MATCH($D59&amp;"-"&amp;"Lifetime",$B$1:$B$408,0),MATCH(N$3,$B$3:$V$3,0)),
NewBuild_Retrofit_selector="Retrofit",(INDEX($B$1:$V$408,MATCH($D59&amp;"-"&amp;"Installation cost",$B$1:$B$408,0),MATCH(N$3,$B$3:$V$3,0))+INDEX($B$1:$V$408,MATCH($D59&amp;"-"&amp;"Extra retrofit cost",$B$1:$B$408,0),MATCH(N$3,$B$3:$V$3,0)))/INDEX($B$1:$V$408,MATCH($D59&amp;"-"&amp;"Lifetime",$B$1:$B$408,0),MATCH(N$3,$B$3:$V$3,0))),0)</f>
        <v>0</v>
      </c>
      <c r="O59" s="585" cm="1">
        <f t="array" aca="1" ref="O59" ca="1">IFERROR(
_xlfn.IFS(NewBuild_Retrofit_selector="Newbuild",INDEX($B$1:$V$408,MATCH($D59&amp;"-"&amp;"Installation cost",$B$1:$B$408,0),MATCH(O$3,$B$3:$V$3,0))/INDEX($B$1:$V$408,MATCH($D59&amp;"-"&amp;"Lifetime",$B$1:$B$408,0),MATCH(O$3,$B$3:$V$3,0)),
NewBuild_Retrofit_selector="Retrofit",(INDEX($B$1:$V$408,MATCH($D59&amp;"-"&amp;"Installation cost",$B$1:$B$408,0),MATCH(O$3,$B$3:$V$3,0))+INDEX($B$1:$V$408,MATCH($D59&amp;"-"&amp;"Extra retrofit cost",$B$1:$B$408,0),MATCH(O$3,$B$3:$V$3,0)))/INDEX($B$1:$V$408,MATCH($D59&amp;"-"&amp;"Lifetime",$B$1:$B$408,0),MATCH(O$3,$B$3:$V$3,0))),0)</f>
        <v>0</v>
      </c>
      <c r="P59" s="585" cm="1">
        <f t="array" aca="1" ref="P59" ca="1">IFERROR(
_xlfn.IFS(NewBuild_Retrofit_selector="Newbuild",INDEX($B$1:$V$408,MATCH($D59&amp;"-"&amp;"Installation cost",$B$1:$B$408,0),MATCH(P$3,$B$3:$V$3,0))/INDEX($B$1:$V$408,MATCH($D59&amp;"-"&amp;"Lifetime",$B$1:$B$408,0),MATCH(P$3,$B$3:$V$3,0)),
NewBuild_Retrofit_selector="Retrofit",(INDEX($B$1:$V$408,MATCH($D59&amp;"-"&amp;"Installation cost",$B$1:$B$408,0),MATCH(P$3,$B$3:$V$3,0))+INDEX($B$1:$V$408,MATCH($D59&amp;"-"&amp;"Extra retrofit cost",$B$1:$B$408,0),MATCH(P$3,$B$3:$V$3,0)))/INDEX($B$1:$V$408,MATCH($D59&amp;"-"&amp;"Lifetime",$B$1:$B$408,0),MATCH(P$3,$B$3:$V$3,0))),0)</f>
        <v>0</v>
      </c>
      <c r="Q59" s="585" cm="1">
        <f t="array" aca="1" ref="Q59" ca="1">IFERROR(
_xlfn.IFS(NewBuild_Retrofit_selector="Newbuild",INDEX($B$1:$V$408,MATCH($D59&amp;"-"&amp;"Installation cost",$B$1:$B$408,0),MATCH(Q$3,$B$3:$V$3,0))/INDEX($B$1:$V$408,MATCH($D59&amp;"-"&amp;"Lifetime",$B$1:$B$408,0),MATCH(Q$3,$B$3:$V$3,0)),
NewBuild_Retrofit_selector="Retrofit",(INDEX($B$1:$V$408,MATCH($D59&amp;"-"&amp;"Installation cost",$B$1:$B$408,0),MATCH(Q$3,$B$3:$V$3,0))+INDEX($B$1:$V$408,MATCH($D59&amp;"-"&amp;"Extra retrofit cost",$B$1:$B$408,0),MATCH(Q$3,$B$3:$V$3,0)))/INDEX($B$1:$V$408,MATCH($D59&amp;"-"&amp;"Lifetime",$B$1:$B$408,0),MATCH(Q$3,$B$3:$V$3,0))),0)</f>
        <v>0</v>
      </c>
      <c r="R59" s="585" cm="1">
        <f t="array" aca="1" ref="R59" ca="1">IFERROR(
_xlfn.IFS(NewBuild_Retrofit_selector="Newbuild",INDEX($B$1:$V$408,MATCH($D59&amp;"-"&amp;"Installation cost",$B$1:$B$408,0),MATCH(R$3,$B$3:$V$3,0))/INDEX($B$1:$V$408,MATCH($D59&amp;"-"&amp;"Lifetime",$B$1:$B$408,0),MATCH(R$3,$B$3:$V$3,0)),
NewBuild_Retrofit_selector="Retrofit",(INDEX($B$1:$V$408,MATCH($D59&amp;"-"&amp;"Installation cost",$B$1:$B$408,0),MATCH(R$3,$B$3:$V$3,0))+INDEX($B$1:$V$408,MATCH($D59&amp;"-"&amp;"Extra retrofit cost",$B$1:$B$408,0),MATCH(R$3,$B$3:$V$3,0)))/INDEX($B$1:$V$408,MATCH($D59&amp;"-"&amp;"Lifetime",$B$1:$B$408,0),MATCH(R$3,$B$3:$V$3,0))),0)</f>
        <v>0</v>
      </c>
      <c r="S59" s="585" cm="1">
        <f t="array" aca="1" ref="S59" ca="1">IFERROR(
_xlfn.IFS(NewBuild_Retrofit_selector="Newbuild",INDEX($B$1:$V$408,MATCH($D59&amp;"-"&amp;"Installation cost",$B$1:$B$408,0),MATCH(S$3,$B$3:$V$3,0))/INDEX($B$1:$V$408,MATCH($D59&amp;"-"&amp;"Lifetime",$B$1:$B$408,0),MATCH(S$3,$B$3:$V$3,0)),
NewBuild_Retrofit_selector="Retrofit",(INDEX($B$1:$V$408,MATCH($D59&amp;"-"&amp;"Installation cost",$B$1:$B$408,0),MATCH(S$3,$B$3:$V$3,0))+INDEX($B$1:$V$408,MATCH($D59&amp;"-"&amp;"Extra retrofit cost",$B$1:$B$408,0),MATCH(S$3,$B$3:$V$3,0)))/INDEX($B$1:$V$408,MATCH($D59&amp;"-"&amp;"Lifetime",$B$1:$B$408,0),MATCH(S$3,$B$3:$V$3,0))),0)</f>
        <v>0</v>
      </c>
      <c r="T59" s="585" cm="1">
        <f t="array" aca="1" ref="T59" ca="1">IFERROR(
_xlfn.IFS(NewBuild_Retrofit_selector="Newbuild",INDEX($B$1:$V$408,MATCH($D59&amp;"-"&amp;"Installation cost",$B$1:$B$408,0),MATCH(T$3,$B$3:$V$3,0))/INDEX($B$1:$V$408,MATCH($D59&amp;"-"&amp;"Lifetime",$B$1:$B$408,0),MATCH(T$3,$B$3:$V$3,0)),
NewBuild_Retrofit_selector="Retrofit",(INDEX($B$1:$V$408,MATCH($D59&amp;"-"&amp;"Installation cost",$B$1:$B$408,0),MATCH(T$3,$B$3:$V$3,0))+INDEX($B$1:$V$408,MATCH($D59&amp;"-"&amp;"Extra retrofit cost",$B$1:$B$408,0),MATCH(T$3,$B$3:$V$3,0)))/INDEX($B$1:$V$408,MATCH($D59&amp;"-"&amp;"Lifetime",$B$1:$B$408,0),MATCH(T$3,$B$3:$V$3,0))),0)</f>
        <v>0</v>
      </c>
      <c r="U59" s="356"/>
      <c r="V59" s="356"/>
    </row>
    <row r="60" spans="2:22" x14ac:dyDescent="0.2">
      <c r="B60" s="392" t="str">
        <f t="shared" si="1"/>
        <v>Engine tuning-Extra retrofit cost</v>
      </c>
      <c r="C60" s="392" t="s">
        <v>634</v>
      </c>
      <c r="D60" s="397" t="s">
        <v>140</v>
      </c>
      <c r="E60" s="392" t="s">
        <v>635</v>
      </c>
      <c r="F60" s="585">
        <v>19999.999999999996</v>
      </c>
      <c r="G60" s="585">
        <v>19999.999999999996</v>
      </c>
      <c r="H60" s="585">
        <v>19999.999999999996</v>
      </c>
      <c r="I60" s="585">
        <v>19999.999999999996</v>
      </c>
      <c r="J60" s="585">
        <v>19999.999999999996</v>
      </c>
      <c r="K60" s="585">
        <v>19999.999999999996</v>
      </c>
      <c r="L60" s="585">
        <v>19999.999999999996</v>
      </c>
      <c r="M60" s="585">
        <v>19999.999999999996</v>
      </c>
      <c r="N60" s="585">
        <v>19999.999999999996</v>
      </c>
      <c r="O60" s="585">
        <v>19999.999999999996</v>
      </c>
      <c r="P60" s="585">
        <v>19999.999999999996</v>
      </c>
      <c r="Q60" s="585">
        <v>19999.999999999996</v>
      </c>
      <c r="R60" s="585">
        <v>19999.999999999996</v>
      </c>
      <c r="S60" s="585">
        <v>19999.999999999996</v>
      </c>
      <c r="T60" s="585">
        <v>19999.999999999996</v>
      </c>
      <c r="U60" s="356"/>
      <c r="V60" s="356"/>
    </row>
    <row r="61" spans="2:22" x14ac:dyDescent="0.2">
      <c r="B61" s="392" t="str">
        <f t="shared" si="1"/>
        <v>Engine tuning-Installation cost</v>
      </c>
      <c r="C61" s="392" t="s">
        <v>452</v>
      </c>
      <c r="D61" s="397" t="s">
        <v>140</v>
      </c>
      <c r="E61" s="392" t="s">
        <v>635</v>
      </c>
      <c r="F61" s="585">
        <v>50000</v>
      </c>
      <c r="G61" s="585">
        <v>50000</v>
      </c>
      <c r="H61" s="585">
        <v>50000</v>
      </c>
      <c r="I61" s="585">
        <v>50000</v>
      </c>
      <c r="J61" s="585">
        <v>50000</v>
      </c>
      <c r="K61" s="585">
        <v>50000</v>
      </c>
      <c r="L61" s="585">
        <v>50000</v>
      </c>
      <c r="M61" s="585">
        <v>50000</v>
      </c>
      <c r="N61" s="585">
        <v>50000</v>
      </c>
      <c r="O61" s="585">
        <v>50000</v>
      </c>
      <c r="P61" s="585">
        <v>50000</v>
      </c>
      <c r="Q61" s="585">
        <v>50000</v>
      </c>
      <c r="R61" s="585">
        <v>50000</v>
      </c>
      <c r="S61" s="585">
        <v>50000</v>
      </c>
      <c r="T61" s="585">
        <v>50000</v>
      </c>
      <c r="U61" s="356" t="s">
        <v>625</v>
      </c>
      <c r="V61" s="356"/>
    </row>
    <row r="62" spans="2:22" x14ac:dyDescent="0.2">
      <c r="B62" s="392" t="str">
        <f t="shared" si="1"/>
        <v>Engine tuning-Lifetime</v>
      </c>
      <c r="C62" s="392" t="s">
        <v>520</v>
      </c>
      <c r="D62" s="397" t="s">
        <v>140</v>
      </c>
      <c r="E62" s="392" t="s">
        <v>176</v>
      </c>
      <c r="F62" s="356">
        <v>25</v>
      </c>
      <c r="G62" s="356">
        <v>25</v>
      </c>
      <c r="H62" s="356">
        <v>25</v>
      </c>
      <c r="I62" s="356">
        <v>25</v>
      </c>
      <c r="J62" s="356">
        <v>25</v>
      </c>
      <c r="K62" s="356">
        <v>25</v>
      </c>
      <c r="L62" s="356">
        <v>25</v>
      </c>
      <c r="M62" s="356">
        <v>25</v>
      </c>
      <c r="N62" s="356">
        <v>25</v>
      </c>
      <c r="O62" s="356">
        <v>25</v>
      </c>
      <c r="P62" s="356">
        <v>25</v>
      </c>
      <c r="Q62" s="356">
        <v>25</v>
      </c>
      <c r="R62" s="356">
        <v>25</v>
      </c>
      <c r="S62" s="356">
        <v>25</v>
      </c>
      <c r="T62" s="356">
        <v>25</v>
      </c>
      <c r="U62" s="356" t="s">
        <v>625</v>
      </c>
      <c r="V62" s="356"/>
    </row>
    <row r="63" spans="2:22" x14ac:dyDescent="0.2">
      <c r="B63" s="392" t="str">
        <f t="shared" si="1"/>
        <v>Engine tuning-OPEX</v>
      </c>
      <c r="C63" s="392" t="s">
        <v>319</v>
      </c>
      <c r="D63" s="397" t="s">
        <v>140</v>
      </c>
      <c r="E63" s="392" t="s">
        <v>630</v>
      </c>
      <c r="F63" s="585">
        <v>5000</v>
      </c>
      <c r="G63" s="585">
        <v>5000</v>
      </c>
      <c r="H63" s="585">
        <v>5000</v>
      </c>
      <c r="I63" s="585">
        <v>5000</v>
      </c>
      <c r="J63" s="585">
        <v>5000</v>
      </c>
      <c r="K63" s="585">
        <v>5000</v>
      </c>
      <c r="L63" s="585">
        <v>5000</v>
      </c>
      <c r="M63" s="585">
        <v>5000</v>
      </c>
      <c r="N63" s="585">
        <v>5000</v>
      </c>
      <c r="O63" s="585">
        <v>5000</v>
      </c>
      <c r="P63" s="585">
        <v>5000</v>
      </c>
      <c r="Q63" s="585">
        <v>5000</v>
      </c>
      <c r="R63" s="585">
        <v>5000</v>
      </c>
      <c r="S63" s="585">
        <v>5000</v>
      </c>
      <c r="T63" s="585">
        <v>5000</v>
      </c>
      <c r="U63" s="356" t="s">
        <v>625</v>
      </c>
      <c r="V63" s="356"/>
    </row>
    <row r="64" spans="2:22" x14ac:dyDescent="0.2">
      <c r="B64" s="392" t="str">
        <f t="shared" si="1"/>
        <v>Engine tuning-Saving</v>
      </c>
      <c r="C64" s="392" t="s">
        <v>458</v>
      </c>
      <c r="D64" s="397" t="s">
        <v>140</v>
      </c>
      <c r="E64" s="392" t="s">
        <v>178</v>
      </c>
      <c r="F64" s="359">
        <v>0.01</v>
      </c>
      <c r="G64" s="359">
        <v>0.01</v>
      </c>
      <c r="H64" s="359">
        <v>0.01</v>
      </c>
      <c r="I64" s="359">
        <v>0.01</v>
      </c>
      <c r="J64" s="359">
        <v>0.01</v>
      </c>
      <c r="K64" s="359">
        <v>0.01</v>
      </c>
      <c r="L64" s="359">
        <v>0.01</v>
      </c>
      <c r="M64" s="359">
        <v>0.01</v>
      </c>
      <c r="N64" s="359">
        <v>0.01</v>
      </c>
      <c r="O64" s="359">
        <v>0.01</v>
      </c>
      <c r="P64" s="359">
        <v>0.01</v>
      </c>
      <c r="Q64" s="359">
        <v>0.01</v>
      </c>
      <c r="R64" s="359">
        <v>0.01</v>
      </c>
      <c r="S64" s="359">
        <v>0.01</v>
      </c>
      <c r="T64" s="359">
        <v>0.01</v>
      </c>
      <c r="U64" s="356" t="s">
        <v>628</v>
      </c>
      <c r="V64" s="356"/>
    </row>
    <row r="65" spans="2:22" x14ac:dyDescent="0.2">
      <c r="B65" s="392" t="str">
        <f t="shared" si="1"/>
        <v>Engine tuning-UptakeFleetAvg2020</v>
      </c>
      <c r="C65" s="392" t="s">
        <v>650</v>
      </c>
      <c r="D65" s="397" t="s">
        <v>140</v>
      </c>
      <c r="E65" s="392" t="s">
        <v>178</v>
      </c>
      <c r="F65" s="359">
        <v>0.85</v>
      </c>
      <c r="G65" s="359">
        <v>0.85</v>
      </c>
      <c r="H65" s="359">
        <v>0.85</v>
      </c>
      <c r="I65" s="359">
        <v>0.65</v>
      </c>
      <c r="J65" s="359">
        <v>0.65</v>
      </c>
      <c r="K65" s="359">
        <v>0.65</v>
      </c>
      <c r="L65" s="359">
        <v>0.65</v>
      </c>
      <c r="M65" s="359">
        <v>0.65</v>
      </c>
      <c r="N65" s="359">
        <v>0.65</v>
      </c>
      <c r="O65" s="359">
        <v>0.65</v>
      </c>
      <c r="P65" s="359">
        <v>0.65</v>
      </c>
      <c r="Q65" s="359">
        <v>0.65</v>
      </c>
      <c r="R65" s="359">
        <v>0.65</v>
      </c>
      <c r="S65" s="359">
        <v>0.65</v>
      </c>
      <c r="T65" s="359">
        <v>0.65</v>
      </c>
      <c r="U65" s="356" t="s">
        <v>651</v>
      </c>
      <c r="V65" s="356"/>
    </row>
    <row r="66" spans="2:22" x14ac:dyDescent="0.2">
      <c r="B66" s="392" t="str">
        <f t="shared" si="1"/>
        <v>Engine tuning-UptakeNewbuild2020</v>
      </c>
      <c r="C66" s="392" t="s">
        <v>652</v>
      </c>
      <c r="D66" s="397" t="s">
        <v>140</v>
      </c>
      <c r="E66" s="392" t="s">
        <v>178</v>
      </c>
      <c r="F66" s="359">
        <v>0</v>
      </c>
      <c r="G66" s="359">
        <v>0</v>
      </c>
      <c r="H66" s="359">
        <v>0</v>
      </c>
      <c r="I66" s="359">
        <v>0</v>
      </c>
      <c r="J66" s="359">
        <v>0</v>
      </c>
      <c r="K66" s="359">
        <v>0</v>
      </c>
      <c r="L66" s="359">
        <v>0</v>
      </c>
      <c r="M66" s="359">
        <v>0</v>
      </c>
      <c r="N66" s="359">
        <v>0</v>
      </c>
      <c r="O66" s="359">
        <v>0</v>
      </c>
      <c r="P66" s="359">
        <v>0</v>
      </c>
      <c r="Q66" s="359">
        <v>0</v>
      </c>
      <c r="R66" s="359">
        <v>0</v>
      </c>
      <c r="S66" s="359">
        <v>0</v>
      </c>
      <c r="T66" s="359">
        <v>0</v>
      </c>
      <c r="U66" s="356" t="s">
        <v>651</v>
      </c>
      <c r="V66" s="356"/>
    </row>
    <row r="67" spans="2:22" x14ac:dyDescent="0.2">
      <c r="B67" s="392" t="str">
        <f t="shared" si="1"/>
        <v>Exhaust gas boiler on AE-Applicable Newbuild</v>
      </c>
      <c r="C67" s="392" t="s">
        <v>621</v>
      </c>
      <c r="D67" s="396" t="s">
        <v>168</v>
      </c>
      <c r="E67" s="392" t="s">
        <v>622</v>
      </c>
      <c r="F67" s="356">
        <v>1</v>
      </c>
      <c r="G67" s="356">
        <v>1</v>
      </c>
      <c r="H67" s="356">
        <v>1</v>
      </c>
      <c r="I67" s="356">
        <v>1</v>
      </c>
      <c r="J67" s="356">
        <v>1</v>
      </c>
      <c r="K67" s="356">
        <v>1</v>
      </c>
      <c r="L67" s="356">
        <v>1</v>
      </c>
      <c r="M67" s="356">
        <v>1</v>
      </c>
      <c r="N67" s="356">
        <v>1</v>
      </c>
      <c r="O67" s="356">
        <v>1</v>
      </c>
      <c r="P67" s="356">
        <v>1</v>
      </c>
      <c r="Q67" s="356">
        <v>1</v>
      </c>
      <c r="R67" s="356">
        <v>1</v>
      </c>
      <c r="S67" s="356">
        <v>1</v>
      </c>
      <c r="T67" s="356">
        <v>1</v>
      </c>
      <c r="U67" s="356" t="s">
        <v>625</v>
      </c>
      <c r="V67" s="356"/>
    </row>
    <row r="68" spans="2:22" x14ac:dyDescent="0.2">
      <c r="B68" s="392" t="str">
        <f t="shared" si="1"/>
        <v>Exhaust gas boiler on AE-Applicable Retrofit</v>
      </c>
      <c r="C68" s="392" t="s">
        <v>629</v>
      </c>
      <c r="D68" s="396" t="s">
        <v>168</v>
      </c>
      <c r="E68" s="392" t="s">
        <v>622</v>
      </c>
      <c r="F68" s="356">
        <v>1</v>
      </c>
      <c r="G68" s="356">
        <v>1</v>
      </c>
      <c r="H68" s="356">
        <v>1</v>
      </c>
      <c r="I68" s="356">
        <v>1</v>
      </c>
      <c r="J68" s="356">
        <v>1</v>
      </c>
      <c r="K68" s="356">
        <v>1</v>
      </c>
      <c r="L68" s="356">
        <v>1</v>
      </c>
      <c r="M68" s="356">
        <v>1</v>
      </c>
      <c r="N68" s="356">
        <v>1</v>
      </c>
      <c r="O68" s="356">
        <v>1</v>
      </c>
      <c r="P68" s="356">
        <v>1</v>
      </c>
      <c r="Q68" s="356">
        <v>1</v>
      </c>
      <c r="R68" s="356">
        <v>1</v>
      </c>
      <c r="S68" s="356">
        <v>1</v>
      </c>
      <c r="T68" s="356">
        <v>1</v>
      </c>
      <c r="U68" s="356" t="s">
        <v>625</v>
      </c>
      <c r="V68" s="356"/>
    </row>
    <row r="69" spans="2:22" x14ac:dyDescent="0.2">
      <c r="B69" s="392" t="str">
        <f t="shared" si="1"/>
        <v>Exhaust gas boiler on AE-CAPEX</v>
      </c>
      <c r="C69" s="392" t="s">
        <v>50</v>
      </c>
      <c r="D69" s="396" t="s">
        <v>168</v>
      </c>
      <c r="E69" s="392" t="s">
        <v>630</v>
      </c>
      <c r="F69" s="585" cm="1">
        <f t="array" aca="1" ref="F69" ca="1">IFERROR(
_xlfn.IFS(NewBuild_Retrofit_selector="Newbuild",INDEX($B$1:$V$408,MATCH($D69&amp;"-"&amp;"Installation cost",$B$1:$B$408,0),MATCH(F$3,$B$3:$V$3,0))/INDEX($B$1:$V$408,MATCH($D69&amp;"-"&amp;"Lifetime",$B$1:$B$408,0),MATCH(F$3,$B$3:$V$3,0)),
NewBuild_Retrofit_selector="Retrofit",(INDEX($B$1:$V$408,MATCH($D69&amp;"-"&amp;"Installation cost",$B$1:$B$408,0),MATCH(F$3,$B$3:$V$3,0))+INDEX($B$1:$V$408,MATCH($D69&amp;"-"&amp;"Extra retrofit cost",$B$1:$B$408,0),MATCH(F$3,$B$3:$V$3,0)))/INDEX($B$1:$V$408,MATCH($D69&amp;"-"&amp;"Lifetime",$B$1:$B$408,0),MATCH(F$3,$B$3:$V$3,0))),0)</f>
        <v>0</v>
      </c>
      <c r="G69" s="585" cm="1">
        <f t="array" aca="1" ref="G69" ca="1">IFERROR(
_xlfn.IFS(NewBuild_Retrofit_selector="Newbuild",INDEX($B$1:$V$408,MATCH($D69&amp;"-"&amp;"Installation cost",$B$1:$B$408,0),MATCH(G$3,$B$3:$V$3,0))/INDEX($B$1:$V$408,MATCH($D69&amp;"-"&amp;"Lifetime",$B$1:$B$408,0),MATCH(G$3,$B$3:$V$3,0)),
NewBuild_Retrofit_selector="Retrofit",(INDEX($B$1:$V$408,MATCH($D69&amp;"-"&amp;"Installation cost",$B$1:$B$408,0),MATCH(G$3,$B$3:$V$3,0))+INDEX($B$1:$V$408,MATCH($D69&amp;"-"&amp;"Extra retrofit cost",$B$1:$B$408,0),MATCH(G$3,$B$3:$V$3,0)))/INDEX($B$1:$V$408,MATCH($D69&amp;"-"&amp;"Lifetime",$B$1:$B$408,0),MATCH(G$3,$B$3:$V$3,0))),0)</f>
        <v>0</v>
      </c>
      <c r="H69" s="585" cm="1">
        <f t="array" aca="1" ref="H69" ca="1">IFERROR(
_xlfn.IFS(NewBuild_Retrofit_selector="Newbuild",INDEX($B$1:$V$408,MATCH($D69&amp;"-"&amp;"Installation cost",$B$1:$B$408,0),MATCH(H$3,$B$3:$V$3,0))/INDEX($B$1:$V$408,MATCH($D69&amp;"-"&amp;"Lifetime",$B$1:$B$408,0),MATCH(H$3,$B$3:$V$3,0)),
NewBuild_Retrofit_selector="Retrofit",(INDEX($B$1:$V$408,MATCH($D69&amp;"-"&amp;"Installation cost",$B$1:$B$408,0),MATCH(H$3,$B$3:$V$3,0))+INDEX($B$1:$V$408,MATCH($D69&amp;"-"&amp;"Extra retrofit cost",$B$1:$B$408,0),MATCH(H$3,$B$3:$V$3,0)))/INDEX($B$1:$V$408,MATCH($D69&amp;"-"&amp;"Lifetime",$B$1:$B$408,0),MATCH(H$3,$B$3:$V$3,0))),0)</f>
        <v>0</v>
      </c>
      <c r="I69" s="585" cm="1">
        <f t="array" aca="1" ref="I69" ca="1">IFERROR(
_xlfn.IFS(NewBuild_Retrofit_selector="Newbuild",INDEX($B$1:$V$408,MATCH($D69&amp;"-"&amp;"Installation cost",$B$1:$B$408,0),MATCH(I$3,$B$3:$V$3,0))/INDEX($B$1:$V$408,MATCH($D69&amp;"-"&amp;"Lifetime",$B$1:$B$408,0),MATCH(I$3,$B$3:$V$3,0)),
NewBuild_Retrofit_selector="Retrofit",(INDEX($B$1:$V$408,MATCH($D69&amp;"-"&amp;"Installation cost",$B$1:$B$408,0),MATCH(I$3,$B$3:$V$3,0))+INDEX($B$1:$V$408,MATCH($D69&amp;"-"&amp;"Extra retrofit cost",$B$1:$B$408,0),MATCH(I$3,$B$3:$V$3,0)))/INDEX($B$1:$V$408,MATCH($D69&amp;"-"&amp;"Lifetime",$B$1:$B$408,0),MATCH(I$3,$B$3:$V$3,0))),0)</f>
        <v>0</v>
      </c>
      <c r="J69" s="585" cm="1">
        <f t="array" aca="1" ref="J69" ca="1">IFERROR(
_xlfn.IFS(NewBuild_Retrofit_selector="Newbuild",INDEX($B$1:$V$408,MATCH($D69&amp;"-"&amp;"Installation cost",$B$1:$B$408,0),MATCH(J$3,$B$3:$V$3,0))/INDEX($B$1:$V$408,MATCH($D69&amp;"-"&amp;"Lifetime",$B$1:$B$408,0),MATCH(J$3,$B$3:$V$3,0)),
NewBuild_Retrofit_selector="Retrofit",(INDEX($B$1:$V$408,MATCH($D69&amp;"-"&amp;"Installation cost",$B$1:$B$408,0),MATCH(J$3,$B$3:$V$3,0))+INDEX($B$1:$V$408,MATCH($D69&amp;"-"&amp;"Extra retrofit cost",$B$1:$B$408,0),MATCH(J$3,$B$3:$V$3,0)))/INDEX($B$1:$V$408,MATCH($D69&amp;"-"&amp;"Lifetime",$B$1:$B$408,0),MATCH(J$3,$B$3:$V$3,0))),0)</f>
        <v>0</v>
      </c>
      <c r="K69" s="585" cm="1">
        <f t="array" aca="1" ref="K69" ca="1">IFERROR(
_xlfn.IFS(NewBuild_Retrofit_selector="Newbuild",INDEX($B$1:$V$408,MATCH($D69&amp;"-"&amp;"Installation cost",$B$1:$B$408,0),MATCH(K$3,$B$3:$V$3,0))/INDEX($B$1:$V$408,MATCH($D69&amp;"-"&amp;"Lifetime",$B$1:$B$408,0),MATCH(K$3,$B$3:$V$3,0)),
NewBuild_Retrofit_selector="Retrofit",(INDEX($B$1:$V$408,MATCH($D69&amp;"-"&amp;"Installation cost",$B$1:$B$408,0),MATCH(K$3,$B$3:$V$3,0))+INDEX($B$1:$V$408,MATCH($D69&amp;"-"&amp;"Extra retrofit cost",$B$1:$B$408,0),MATCH(K$3,$B$3:$V$3,0)))/INDEX($B$1:$V$408,MATCH($D69&amp;"-"&amp;"Lifetime",$B$1:$B$408,0),MATCH(K$3,$B$3:$V$3,0))),0)</f>
        <v>0</v>
      </c>
      <c r="L69" s="585" cm="1">
        <f t="array" aca="1" ref="L69" ca="1">IFERROR(
_xlfn.IFS(NewBuild_Retrofit_selector="Newbuild",INDEX($B$1:$V$408,MATCH($D69&amp;"-"&amp;"Installation cost",$B$1:$B$408,0),MATCH(L$3,$B$3:$V$3,0))/INDEX($B$1:$V$408,MATCH($D69&amp;"-"&amp;"Lifetime",$B$1:$B$408,0),MATCH(L$3,$B$3:$V$3,0)),
NewBuild_Retrofit_selector="Retrofit",(INDEX($B$1:$V$408,MATCH($D69&amp;"-"&amp;"Installation cost",$B$1:$B$408,0),MATCH(L$3,$B$3:$V$3,0))+INDEX($B$1:$V$408,MATCH($D69&amp;"-"&amp;"Extra retrofit cost",$B$1:$B$408,0),MATCH(L$3,$B$3:$V$3,0)))/INDEX($B$1:$V$408,MATCH($D69&amp;"-"&amp;"Lifetime",$B$1:$B$408,0),MATCH(L$3,$B$3:$V$3,0))),0)</f>
        <v>0</v>
      </c>
      <c r="M69" s="585" cm="1">
        <f t="array" aca="1" ref="M69" ca="1">IFERROR(
_xlfn.IFS(NewBuild_Retrofit_selector="Newbuild",INDEX($B$1:$V$408,MATCH($D69&amp;"-"&amp;"Installation cost",$B$1:$B$408,0),MATCH(M$3,$B$3:$V$3,0))/INDEX($B$1:$V$408,MATCH($D69&amp;"-"&amp;"Lifetime",$B$1:$B$408,0),MATCH(M$3,$B$3:$V$3,0)),
NewBuild_Retrofit_selector="Retrofit",(INDEX($B$1:$V$408,MATCH($D69&amp;"-"&amp;"Installation cost",$B$1:$B$408,0),MATCH(M$3,$B$3:$V$3,0))+INDEX($B$1:$V$408,MATCH($D69&amp;"-"&amp;"Extra retrofit cost",$B$1:$B$408,0),MATCH(M$3,$B$3:$V$3,0)))/INDEX($B$1:$V$408,MATCH($D69&amp;"-"&amp;"Lifetime",$B$1:$B$408,0),MATCH(M$3,$B$3:$V$3,0))),0)</f>
        <v>0</v>
      </c>
      <c r="N69" s="585" cm="1">
        <f t="array" aca="1" ref="N69" ca="1">IFERROR(
_xlfn.IFS(NewBuild_Retrofit_selector="Newbuild",INDEX($B$1:$V$408,MATCH($D69&amp;"-"&amp;"Installation cost",$B$1:$B$408,0),MATCH(N$3,$B$3:$V$3,0))/INDEX($B$1:$V$408,MATCH($D69&amp;"-"&amp;"Lifetime",$B$1:$B$408,0),MATCH(N$3,$B$3:$V$3,0)),
NewBuild_Retrofit_selector="Retrofit",(INDEX($B$1:$V$408,MATCH($D69&amp;"-"&amp;"Installation cost",$B$1:$B$408,0),MATCH(N$3,$B$3:$V$3,0))+INDEX($B$1:$V$408,MATCH($D69&amp;"-"&amp;"Extra retrofit cost",$B$1:$B$408,0),MATCH(N$3,$B$3:$V$3,0)))/INDEX($B$1:$V$408,MATCH($D69&amp;"-"&amp;"Lifetime",$B$1:$B$408,0),MATCH(N$3,$B$3:$V$3,0))),0)</f>
        <v>0</v>
      </c>
      <c r="O69" s="585" cm="1">
        <f t="array" aca="1" ref="O69" ca="1">IFERROR(
_xlfn.IFS(NewBuild_Retrofit_selector="Newbuild",INDEX($B$1:$V$408,MATCH($D69&amp;"-"&amp;"Installation cost",$B$1:$B$408,0),MATCH(O$3,$B$3:$V$3,0))/INDEX($B$1:$V$408,MATCH($D69&amp;"-"&amp;"Lifetime",$B$1:$B$408,0),MATCH(O$3,$B$3:$V$3,0)),
NewBuild_Retrofit_selector="Retrofit",(INDEX($B$1:$V$408,MATCH($D69&amp;"-"&amp;"Installation cost",$B$1:$B$408,0),MATCH(O$3,$B$3:$V$3,0))+INDEX($B$1:$V$408,MATCH($D69&amp;"-"&amp;"Extra retrofit cost",$B$1:$B$408,0),MATCH(O$3,$B$3:$V$3,0)))/INDEX($B$1:$V$408,MATCH($D69&amp;"-"&amp;"Lifetime",$B$1:$B$408,0),MATCH(O$3,$B$3:$V$3,0))),0)</f>
        <v>0</v>
      </c>
      <c r="P69" s="585" cm="1">
        <f t="array" aca="1" ref="P69" ca="1">IFERROR(
_xlfn.IFS(NewBuild_Retrofit_selector="Newbuild",INDEX($B$1:$V$408,MATCH($D69&amp;"-"&amp;"Installation cost",$B$1:$B$408,0),MATCH(P$3,$B$3:$V$3,0))/INDEX($B$1:$V$408,MATCH($D69&amp;"-"&amp;"Lifetime",$B$1:$B$408,0),MATCH(P$3,$B$3:$V$3,0)),
NewBuild_Retrofit_selector="Retrofit",(INDEX($B$1:$V$408,MATCH($D69&amp;"-"&amp;"Installation cost",$B$1:$B$408,0),MATCH(P$3,$B$3:$V$3,0))+INDEX($B$1:$V$408,MATCH($D69&amp;"-"&amp;"Extra retrofit cost",$B$1:$B$408,0),MATCH(P$3,$B$3:$V$3,0)))/INDEX($B$1:$V$408,MATCH($D69&amp;"-"&amp;"Lifetime",$B$1:$B$408,0),MATCH(P$3,$B$3:$V$3,0))),0)</f>
        <v>0</v>
      </c>
      <c r="Q69" s="585" cm="1">
        <f t="array" aca="1" ref="Q69" ca="1">IFERROR(
_xlfn.IFS(NewBuild_Retrofit_selector="Newbuild",INDEX($B$1:$V$408,MATCH($D69&amp;"-"&amp;"Installation cost",$B$1:$B$408,0),MATCH(Q$3,$B$3:$V$3,0))/INDEX($B$1:$V$408,MATCH($D69&amp;"-"&amp;"Lifetime",$B$1:$B$408,0),MATCH(Q$3,$B$3:$V$3,0)),
NewBuild_Retrofit_selector="Retrofit",(INDEX($B$1:$V$408,MATCH($D69&amp;"-"&amp;"Installation cost",$B$1:$B$408,0),MATCH(Q$3,$B$3:$V$3,0))+INDEX($B$1:$V$408,MATCH($D69&amp;"-"&amp;"Extra retrofit cost",$B$1:$B$408,0),MATCH(Q$3,$B$3:$V$3,0)))/INDEX($B$1:$V$408,MATCH($D69&amp;"-"&amp;"Lifetime",$B$1:$B$408,0),MATCH(Q$3,$B$3:$V$3,0))),0)</f>
        <v>0</v>
      </c>
      <c r="R69" s="585" cm="1">
        <f t="array" aca="1" ref="R69" ca="1">IFERROR(
_xlfn.IFS(NewBuild_Retrofit_selector="Newbuild",INDEX($B$1:$V$408,MATCH($D69&amp;"-"&amp;"Installation cost",$B$1:$B$408,0),MATCH(R$3,$B$3:$V$3,0))/INDEX($B$1:$V$408,MATCH($D69&amp;"-"&amp;"Lifetime",$B$1:$B$408,0),MATCH(R$3,$B$3:$V$3,0)),
NewBuild_Retrofit_selector="Retrofit",(INDEX($B$1:$V$408,MATCH($D69&amp;"-"&amp;"Installation cost",$B$1:$B$408,0),MATCH(R$3,$B$3:$V$3,0))+INDEX($B$1:$V$408,MATCH($D69&amp;"-"&amp;"Extra retrofit cost",$B$1:$B$408,0),MATCH(R$3,$B$3:$V$3,0)))/INDEX($B$1:$V$408,MATCH($D69&amp;"-"&amp;"Lifetime",$B$1:$B$408,0),MATCH(R$3,$B$3:$V$3,0))),0)</f>
        <v>0</v>
      </c>
      <c r="S69" s="585" cm="1">
        <f t="array" aca="1" ref="S69" ca="1">IFERROR(
_xlfn.IFS(NewBuild_Retrofit_selector="Newbuild",INDEX($B$1:$V$408,MATCH($D69&amp;"-"&amp;"Installation cost",$B$1:$B$408,0),MATCH(S$3,$B$3:$V$3,0))/INDEX($B$1:$V$408,MATCH($D69&amp;"-"&amp;"Lifetime",$B$1:$B$408,0),MATCH(S$3,$B$3:$V$3,0)),
NewBuild_Retrofit_selector="Retrofit",(INDEX($B$1:$V$408,MATCH($D69&amp;"-"&amp;"Installation cost",$B$1:$B$408,0),MATCH(S$3,$B$3:$V$3,0))+INDEX($B$1:$V$408,MATCH($D69&amp;"-"&amp;"Extra retrofit cost",$B$1:$B$408,0),MATCH(S$3,$B$3:$V$3,0)))/INDEX($B$1:$V$408,MATCH($D69&amp;"-"&amp;"Lifetime",$B$1:$B$408,0),MATCH(S$3,$B$3:$V$3,0))),0)</f>
        <v>0</v>
      </c>
      <c r="T69" s="585" cm="1">
        <f t="array" aca="1" ref="T69" ca="1">IFERROR(
_xlfn.IFS(NewBuild_Retrofit_selector="Newbuild",INDEX($B$1:$V$408,MATCH($D69&amp;"-"&amp;"Installation cost",$B$1:$B$408,0),MATCH(T$3,$B$3:$V$3,0))/INDEX($B$1:$V$408,MATCH($D69&amp;"-"&amp;"Lifetime",$B$1:$B$408,0),MATCH(T$3,$B$3:$V$3,0)),
NewBuild_Retrofit_selector="Retrofit",(INDEX($B$1:$V$408,MATCH($D69&amp;"-"&amp;"Installation cost",$B$1:$B$408,0),MATCH(T$3,$B$3:$V$3,0))+INDEX($B$1:$V$408,MATCH($D69&amp;"-"&amp;"Extra retrofit cost",$B$1:$B$408,0),MATCH(T$3,$B$3:$V$3,0)))/INDEX($B$1:$V$408,MATCH($D69&amp;"-"&amp;"Lifetime",$B$1:$B$408,0),MATCH(T$3,$B$3:$V$3,0))),0)</f>
        <v>0</v>
      </c>
      <c r="U69" s="356"/>
      <c r="V69" s="356"/>
    </row>
    <row r="70" spans="2:22" x14ac:dyDescent="0.2">
      <c r="B70" s="392" t="str">
        <f t="shared" ref="B70:B133" si="2">D70&amp;"-"&amp;C70</f>
        <v>Exhaust gas boiler on AE-Extra retrofit cost</v>
      </c>
      <c r="C70" s="392" t="s">
        <v>634</v>
      </c>
      <c r="D70" s="396" t="s">
        <v>168</v>
      </c>
      <c r="E70" s="392" t="s">
        <v>635</v>
      </c>
      <c r="F70" s="585">
        <v>29999.999999999993</v>
      </c>
      <c r="G70" s="585">
        <v>29999.999999999993</v>
      </c>
      <c r="H70" s="585">
        <v>29999.999999999993</v>
      </c>
      <c r="I70" s="585">
        <v>29999.999999999993</v>
      </c>
      <c r="J70" s="585">
        <v>29999.999999999993</v>
      </c>
      <c r="K70" s="585">
        <v>29999.999999999993</v>
      </c>
      <c r="L70" s="585">
        <v>29999.999999999993</v>
      </c>
      <c r="M70" s="585">
        <v>29999.999999999993</v>
      </c>
      <c r="N70" s="585">
        <v>29999.999999999993</v>
      </c>
      <c r="O70" s="585">
        <v>29999.999999999993</v>
      </c>
      <c r="P70" s="585">
        <v>29999.999999999993</v>
      </c>
      <c r="Q70" s="585">
        <v>29999.999999999993</v>
      </c>
      <c r="R70" s="585">
        <v>29999.999999999993</v>
      </c>
      <c r="S70" s="585">
        <v>29999.999999999993</v>
      </c>
      <c r="T70" s="585">
        <v>29999.999999999993</v>
      </c>
      <c r="U70" s="356"/>
      <c r="V70" s="356"/>
    </row>
    <row r="71" spans="2:22" x14ac:dyDescent="0.2">
      <c r="B71" s="392" t="str">
        <f t="shared" si="2"/>
        <v>Exhaust gas boiler on AE-Installation cost</v>
      </c>
      <c r="C71" s="392" t="s">
        <v>452</v>
      </c>
      <c r="D71" s="396" t="s">
        <v>168</v>
      </c>
      <c r="E71" s="392" t="s">
        <v>635</v>
      </c>
      <c r="F71" s="585">
        <v>75000</v>
      </c>
      <c r="G71" s="585">
        <v>100000</v>
      </c>
      <c r="H71" s="585">
        <v>100000</v>
      </c>
      <c r="I71" s="585">
        <v>75000</v>
      </c>
      <c r="J71" s="585">
        <v>100000</v>
      </c>
      <c r="K71" s="585">
        <v>100000</v>
      </c>
      <c r="L71" s="585">
        <v>75000</v>
      </c>
      <c r="M71" s="585">
        <v>100000</v>
      </c>
      <c r="N71" s="585">
        <v>100000</v>
      </c>
      <c r="O71" s="585">
        <v>75000</v>
      </c>
      <c r="P71" s="585">
        <v>100000</v>
      </c>
      <c r="Q71" s="585">
        <v>100000</v>
      </c>
      <c r="R71" s="585">
        <v>75000</v>
      </c>
      <c r="S71" s="585">
        <v>100000</v>
      </c>
      <c r="T71" s="585">
        <v>100000</v>
      </c>
      <c r="U71" s="356" t="s">
        <v>628</v>
      </c>
      <c r="V71" s="356"/>
    </row>
    <row r="72" spans="2:22" x14ac:dyDescent="0.2">
      <c r="B72" s="392" t="str">
        <f t="shared" si="2"/>
        <v>Exhaust gas boiler on AE-Lifetime</v>
      </c>
      <c r="C72" s="392" t="s">
        <v>520</v>
      </c>
      <c r="D72" s="396" t="s">
        <v>168</v>
      </c>
      <c r="E72" s="392" t="s">
        <v>176</v>
      </c>
      <c r="F72" s="356">
        <v>0</v>
      </c>
      <c r="G72" s="356">
        <v>0</v>
      </c>
      <c r="H72" s="356">
        <v>0</v>
      </c>
      <c r="I72" s="356">
        <v>0</v>
      </c>
      <c r="J72" s="356">
        <v>0</v>
      </c>
      <c r="K72" s="356">
        <v>0</v>
      </c>
      <c r="L72" s="356">
        <v>25</v>
      </c>
      <c r="M72" s="356">
        <v>25</v>
      </c>
      <c r="N72" s="356">
        <v>25</v>
      </c>
      <c r="O72" s="356">
        <v>0</v>
      </c>
      <c r="P72" s="356">
        <v>0</v>
      </c>
      <c r="Q72" s="356">
        <v>0</v>
      </c>
      <c r="R72" s="356">
        <v>25</v>
      </c>
      <c r="S72" s="356">
        <v>25</v>
      </c>
      <c r="T72" s="356">
        <v>25</v>
      </c>
      <c r="U72" s="356" t="s">
        <v>624</v>
      </c>
      <c r="V72" s="356"/>
    </row>
    <row r="73" spans="2:22" x14ac:dyDescent="0.2">
      <c r="B73" s="392" t="str">
        <f t="shared" si="2"/>
        <v>Exhaust gas boiler on AE-OPEX</v>
      </c>
      <c r="C73" s="392" t="s">
        <v>319</v>
      </c>
      <c r="D73" s="396" t="s">
        <v>168</v>
      </c>
      <c r="E73" s="392" t="s">
        <v>630</v>
      </c>
      <c r="F73" s="585">
        <v>10000</v>
      </c>
      <c r="G73" s="585">
        <v>10000</v>
      </c>
      <c r="H73" s="585">
        <v>10000</v>
      </c>
      <c r="I73" s="585">
        <v>10000</v>
      </c>
      <c r="J73" s="585">
        <v>10000</v>
      </c>
      <c r="K73" s="585">
        <v>10000</v>
      </c>
      <c r="L73" s="585">
        <v>10000</v>
      </c>
      <c r="M73" s="585">
        <v>10000</v>
      </c>
      <c r="N73" s="585">
        <v>10000</v>
      </c>
      <c r="O73" s="585">
        <v>10000</v>
      </c>
      <c r="P73" s="585">
        <v>10000</v>
      </c>
      <c r="Q73" s="585">
        <v>10000</v>
      </c>
      <c r="R73" s="585">
        <v>10000</v>
      </c>
      <c r="S73" s="585">
        <v>10000</v>
      </c>
      <c r="T73" s="585">
        <v>10000</v>
      </c>
      <c r="U73" s="356" t="s">
        <v>624</v>
      </c>
      <c r="V73" s="356"/>
    </row>
    <row r="74" spans="2:22" x14ac:dyDescent="0.2">
      <c r="B74" s="392" t="str">
        <f t="shared" si="2"/>
        <v>Exhaust gas boiler on AE-Saving</v>
      </c>
      <c r="C74" s="392" t="s">
        <v>458</v>
      </c>
      <c r="D74" s="396" t="s">
        <v>168</v>
      </c>
      <c r="E74" s="392" t="s">
        <v>178</v>
      </c>
      <c r="F74" s="359">
        <v>0.05</v>
      </c>
      <c r="G74" s="359">
        <v>0.1</v>
      </c>
      <c r="H74" s="359">
        <v>0.1</v>
      </c>
      <c r="I74" s="359">
        <v>0.01</v>
      </c>
      <c r="J74" s="359">
        <v>0.01</v>
      </c>
      <c r="K74" s="359">
        <v>0.01</v>
      </c>
      <c r="L74" s="359">
        <v>0.05</v>
      </c>
      <c r="M74" s="359">
        <v>0.05</v>
      </c>
      <c r="N74" s="359">
        <v>0.05</v>
      </c>
      <c r="O74" s="359">
        <v>0.05</v>
      </c>
      <c r="P74" s="359">
        <v>0.05</v>
      </c>
      <c r="Q74" s="359">
        <v>0.05</v>
      </c>
      <c r="R74" s="359">
        <v>0.05</v>
      </c>
      <c r="S74" s="359">
        <v>0.05</v>
      </c>
      <c r="T74" s="359">
        <v>0.05</v>
      </c>
      <c r="U74" s="356" t="s">
        <v>624</v>
      </c>
      <c r="V74" s="356"/>
    </row>
    <row r="75" spans="2:22" x14ac:dyDescent="0.2">
      <c r="B75" s="392" t="str">
        <f t="shared" si="2"/>
        <v>Exhaust gas boiler on AE-UptakeFleetAvg2020</v>
      </c>
      <c r="C75" s="392" t="s">
        <v>650</v>
      </c>
      <c r="D75" s="396" t="s">
        <v>168</v>
      </c>
      <c r="E75" s="392" t="s">
        <v>178</v>
      </c>
      <c r="F75" s="359">
        <v>0.125</v>
      </c>
      <c r="G75" s="359">
        <v>0.125</v>
      </c>
      <c r="H75" s="359">
        <v>0.125</v>
      </c>
      <c r="I75" s="359">
        <v>0.125</v>
      </c>
      <c r="J75" s="359">
        <v>0.125</v>
      </c>
      <c r="K75" s="359">
        <v>0.125</v>
      </c>
      <c r="L75" s="359">
        <v>0.125</v>
      </c>
      <c r="M75" s="359">
        <v>0.125</v>
      </c>
      <c r="N75" s="359">
        <v>0.125</v>
      </c>
      <c r="O75" s="359">
        <v>0.125</v>
      </c>
      <c r="P75" s="359">
        <v>0.125</v>
      </c>
      <c r="Q75" s="359">
        <v>0.125</v>
      </c>
      <c r="R75" s="359">
        <v>0.125</v>
      </c>
      <c r="S75" s="359">
        <v>0.125</v>
      </c>
      <c r="T75" s="359">
        <v>0.125</v>
      </c>
      <c r="U75" s="356" t="s">
        <v>651</v>
      </c>
      <c r="V75" s="356"/>
    </row>
    <row r="76" spans="2:22" x14ac:dyDescent="0.2">
      <c r="B76" s="392" t="str">
        <f t="shared" si="2"/>
        <v>Exhaust gas boiler on AE-UptakeNewbuild2020</v>
      </c>
      <c r="C76" s="392" t="s">
        <v>652</v>
      </c>
      <c r="D76" s="396" t="s">
        <v>168</v>
      </c>
      <c r="E76" s="392" t="s">
        <v>178</v>
      </c>
      <c r="F76" s="359">
        <v>0</v>
      </c>
      <c r="G76" s="359">
        <v>0</v>
      </c>
      <c r="H76" s="359">
        <v>0</v>
      </c>
      <c r="I76" s="359">
        <v>0</v>
      </c>
      <c r="J76" s="359">
        <v>0</v>
      </c>
      <c r="K76" s="359">
        <v>0</v>
      </c>
      <c r="L76" s="359">
        <v>0</v>
      </c>
      <c r="M76" s="359">
        <v>0</v>
      </c>
      <c r="N76" s="359">
        <v>0</v>
      </c>
      <c r="O76" s="359">
        <v>0</v>
      </c>
      <c r="P76" s="359">
        <v>0</v>
      </c>
      <c r="Q76" s="359">
        <v>0</v>
      </c>
      <c r="R76" s="359">
        <v>0</v>
      </c>
      <c r="S76" s="359">
        <v>0</v>
      </c>
      <c r="T76" s="359">
        <v>0</v>
      </c>
      <c r="U76" s="356" t="s">
        <v>651</v>
      </c>
      <c r="V76" s="356"/>
    </row>
    <row r="77" spans="2:22" x14ac:dyDescent="0.2">
      <c r="B77" s="392" t="str">
        <f t="shared" si="2"/>
        <v>Flettner rotors-Applicable Newbuild</v>
      </c>
      <c r="C77" s="392" t="s">
        <v>621</v>
      </c>
      <c r="D77" s="397" t="s">
        <v>153</v>
      </c>
      <c r="E77" s="392" t="s">
        <v>622</v>
      </c>
      <c r="F77" s="356">
        <v>0</v>
      </c>
      <c r="G77" s="356">
        <v>0</v>
      </c>
      <c r="H77" s="356">
        <v>0</v>
      </c>
      <c r="I77" s="356">
        <v>1</v>
      </c>
      <c r="J77" s="356">
        <v>1</v>
      </c>
      <c r="K77" s="356">
        <v>1</v>
      </c>
      <c r="L77" s="356">
        <v>1</v>
      </c>
      <c r="M77" s="356">
        <v>1</v>
      </c>
      <c r="N77" s="356">
        <v>1</v>
      </c>
      <c r="O77" s="356">
        <v>1</v>
      </c>
      <c r="P77" s="356">
        <v>1</v>
      </c>
      <c r="Q77" s="356">
        <v>1</v>
      </c>
      <c r="R77" s="356">
        <v>1</v>
      </c>
      <c r="S77" s="356">
        <v>1</v>
      </c>
      <c r="T77" s="356">
        <v>1</v>
      </c>
      <c r="U77" s="356" t="s">
        <v>625</v>
      </c>
      <c r="V77" s="356" t="s">
        <v>626</v>
      </c>
    </row>
    <row r="78" spans="2:22" x14ac:dyDescent="0.2">
      <c r="B78" s="392" t="str">
        <f t="shared" si="2"/>
        <v>Flettner rotors-Installation cost</v>
      </c>
      <c r="C78" s="392" t="s">
        <v>452</v>
      </c>
      <c r="D78" s="397" t="s">
        <v>153</v>
      </c>
      <c r="E78" s="392" t="s">
        <v>635</v>
      </c>
      <c r="F78" s="585">
        <v>0</v>
      </c>
      <c r="G78" s="585">
        <v>0</v>
      </c>
      <c r="H78" s="585">
        <v>0</v>
      </c>
      <c r="I78" s="585">
        <v>1000000</v>
      </c>
      <c r="J78" s="585">
        <v>2000000</v>
      </c>
      <c r="K78" s="585">
        <v>3000000</v>
      </c>
      <c r="L78" s="585">
        <v>1000000</v>
      </c>
      <c r="M78" s="585">
        <v>2000000</v>
      </c>
      <c r="N78" s="585">
        <v>3000000</v>
      </c>
      <c r="O78" s="585">
        <v>1000000</v>
      </c>
      <c r="P78" s="585">
        <v>2000000</v>
      </c>
      <c r="Q78" s="585">
        <v>3000000</v>
      </c>
      <c r="R78" s="585">
        <v>1000000</v>
      </c>
      <c r="S78" s="585">
        <v>2000000</v>
      </c>
      <c r="T78" s="585">
        <v>3000000</v>
      </c>
      <c r="U78" s="356" t="s">
        <v>628</v>
      </c>
      <c r="V78" s="356"/>
    </row>
    <row r="79" spans="2:22" x14ac:dyDescent="0.2">
      <c r="B79" s="392" t="str">
        <f t="shared" si="2"/>
        <v>Flettner rotors-Applicable Retrofit</v>
      </c>
      <c r="C79" s="392" t="s">
        <v>629</v>
      </c>
      <c r="D79" s="397" t="s">
        <v>153</v>
      </c>
      <c r="E79" s="392" t="s">
        <v>622</v>
      </c>
      <c r="F79" s="356">
        <v>0</v>
      </c>
      <c r="G79" s="356">
        <v>0</v>
      </c>
      <c r="H79" s="356">
        <v>0</v>
      </c>
      <c r="I79" s="356">
        <v>1</v>
      </c>
      <c r="J79" s="356">
        <v>1</v>
      </c>
      <c r="K79" s="356">
        <v>1</v>
      </c>
      <c r="L79" s="356">
        <v>1</v>
      </c>
      <c r="M79" s="356">
        <v>1</v>
      </c>
      <c r="N79" s="356">
        <v>1</v>
      </c>
      <c r="O79" s="356">
        <v>1</v>
      </c>
      <c r="P79" s="356">
        <v>1</v>
      </c>
      <c r="Q79" s="356">
        <v>1</v>
      </c>
      <c r="R79" s="356">
        <v>1</v>
      </c>
      <c r="S79" s="356">
        <v>1</v>
      </c>
      <c r="T79" s="356">
        <v>1</v>
      </c>
      <c r="U79" s="356" t="s">
        <v>625</v>
      </c>
      <c r="V79" s="356" t="s">
        <v>626</v>
      </c>
    </row>
    <row r="80" spans="2:22" x14ac:dyDescent="0.2">
      <c r="B80" s="392" t="str">
        <f t="shared" si="2"/>
        <v>Flettner rotors-CAPEX</v>
      </c>
      <c r="C80" s="392" t="s">
        <v>50</v>
      </c>
      <c r="D80" s="397" t="s">
        <v>153</v>
      </c>
      <c r="E80" s="392" t="s">
        <v>630</v>
      </c>
      <c r="F80" s="585" cm="1">
        <f t="array" aca="1" ref="F80" ca="1">IFERROR(
_xlfn.IFS(NewBuild_Retrofit_selector="Newbuild",INDEX($B$1:$V$408,MATCH($D80&amp;"-"&amp;"Installation cost",$B$1:$B$408,0),MATCH(F$3,$B$3:$V$3,0))/INDEX($B$1:$V$408,MATCH($D80&amp;"-"&amp;"Lifetime",$B$1:$B$408,0),MATCH(F$3,$B$3:$V$3,0)),
NewBuild_Retrofit_selector="Retrofit",(INDEX($B$1:$V$408,MATCH($D80&amp;"-"&amp;"Installation cost",$B$1:$B$408,0),MATCH(F$3,$B$3:$V$3,0))+INDEX($B$1:$V$408,MATCH($D80&amp;"-"&amp;"Extra retrofit cost",$B$1:$B$408,0),MATCH(F$3,$B$3:$V$3,0)))/INDEX($B$1:$V$408,MATCH($D80&amp;"-"&amp;"Lifetime",$B$1:$B$408,0),MATCH(F$3,$B$3:$V$3,0))),0)</f>
        <v>0</v>
      </c>
      <c r="G80" s="585" cm="1">
        <f t="array" aca="1" ref="G80" ca="1">IFERROR(
_xlfn.IFS(NewBuild_Retrofit_selector="Newbuild",INDEX($B$1:$V$408,MATCH($D80&amp;"-"&amp;"Installation cost",$B$1:$B$408,0),MATCH(G$3,$B$3:$V$3,0))/INDEX($B$1:$V$408,MATCH($D80&amp;"-"&amp;"Lifetime",$B$1:$B$408,0),MATCH(G$3,$B$3:$V$3,0)),
NewBuild_Retrofit_selector="Retrofit",(INDEX($B$1:$V$408,MATCH($D80&amp;"-"&amp;"Installation cost",$B$1:$B$408,0),MATCH(G$3,$B$3:$V$3,0))+INDEX($B$1:$V$408,MATCH($D80&amp;"-"&amp;"Extra retrofit cost",$B$1:$B$408,0),MATCH(G$3,$B$3:$V$3,0)))/INDEX($B$1:$V$408,MATCH($D80&amp;"-"&amp;"Lifetime",$B$1:$B$408,0),MATCH(G$3,$B$3:$V$3,0))),0)</f>
        <v>0</v>
      </c>
      <c r="H80" s="585" cm="1">
        <f t="array" aca="1" ref="H80" ca="1">IFERROR(
_xlfn.IFS(NewBuild_Retrofit_selector="Newbuild",INDEX($B$1:$V$408,MATCH($D80&amp;"-"&amp;"Installation cost",$B$1:$B$408,0),MATCH(H$3,$B$3:$V$3,0))/INDEX($B$1:$V$408,MATCH($D80&amp;"-"&amp;"Lifetime",$B$1:$B$408,0),MATCH(H$3,$B$3:$V$3,0)),
NewBuild_Retrofit_selector="Retrofit",(INDEX($B$1:$V$408,MATCH($D80&amp;"-"&amp;"Installation cost",$B$1:$B$408,0),MATCH(H$3,$B$3:$V$3,0))+INDEX($B$1:$V$408,MATCH($D80&amp;"-"&amp;"Extra retrofit cost",$B$1:$B$408,0),MATCH(H$3,$B$3:$V$3,0)))/INDEX($B$1:$V$408,MATCH($D80&amp;"-"&amp;"Lifetime",$B$1:$B$408,0),MATCH(H$3,$B$3:$V$3,0))),0)</f>
        <v>0</v>
      </c>
      <c r="I80" s="585">
        <v>40000</v>
      </c>
      <c r="J80" s="585">
        <v>80000</v>
      </c>
      <c r="K80" s="585">
        <v>120000</v>
      </c>
      <c r="L80" s="585" cm="1">
        <f t="array" aca="1" ref="L80" ca="1">IFERROR(
_xlfn.IFS(NewBuild_Retrofit_selector="Newbuild",INDEX($B$1:$V$408,MATCH($D80&amp;"-"&amp;"Installation cost",$B$1:$B$408,0),MATCH(L$3,$B$3:$V$3,0))/INDEX($B$1:$V$408,MATCH($D80&amp;"-"&amp;"Lifetime",$B$1:$B$408,0),MATCH(L$3,$B$3:$V$3,0)),
NewBuild_Retrofit_selector="Retrofit",(INDEX($B$1:$V$408,MATCH($D80&amp;"-"&amp;"Installation cost",$B$1:$B$408,0),MATCH(L$3,$B$3:$V$3,0))+INDEX($B$1:$V$408,MATCH($D80&amp;"-"&amp;"Extra retrofit cost",$B$1:$B$408,0),MATCH(L$3,$B$3:$V$3,0)))/INDEX($B$1:$V$408,MATCH($D80&amp;"-"&amp;"Lifetime",$B$1:$B$408,0),MATCH(L$3,$B$3:$V$3,0))),0)</f>
        <v>0</v>
      </c>
      <c r="M80" s="585" cm="1">
        <f t="array" aca="1" ref="M80" ca="1">IFERROR(
_xlfn.IFS(NewBuild_Retrofit_selector="Newbuild",INDEX($B$1:$V$408,MATCH($D80&amp;"-"&amp;"Installation cost",$B$1:$B$408,0),MATCH(M$3,$B$3:$V$3,0))/INDEX($B$1:$V$408,MATCH($D80&amp;"-"&amp;"Lifetime",$B$1:$B$408,0),MATCH(M$3,$B$3:$V$3,0)),
NewBuild_Retrofit_selector="Retrofit",(INDEX($B$1:$V$408,MATCH($D80&amp;"-"&amp;"Installation cost",$B$1:$B$408,0),MATCH(M$3,$B$3:$V$3,0))+INDEX($B$1:$V$408,MATCH($D80&amp;"-"&amp;"Extra retrofit cost",$B$1:$B$408,0),MATCH(M$3,$B$3:$V$3,0)))/INDEX($B$1:$V$408,MATCH($D80&amp;"-"&amp;"Lifetime",$B$1:$B$408,0),MATCH(M$3,$B$3:$V$3,0))),0)</f>
        <v>0</v>
      </c>
      <c r="N80" s="585" cm="1">
        <f t="array" aca="1" ref="N80" ca="1">IFERROR(
_xlfn.IFS(NewBuild_Retrofit_selector="Newbuild",INDEX($B$1:$V$408,MATCH($D80&amp;"-"&amp;"Installation cost",$B$1:$B$408,0),MATCH(N$3,$B$3:$V$3,0))/INDEX($B$1:$V$408,MATCH($D80&amp;"-"&amp;"Lifetime",$B$1:$B$408,0),MATCH(N$3,$B$3:$V$3,0)),
NewBuild_Retrofit_selector="Retrofit",(INDEX($B$1:$V$408,MATCH($D80&amp;"-"&amp;"Installation cost",$B$1:$B$408,0),MATCH(N$3,$B$3:$V$3,0))+INDEX($B$1:$V$408,MATCH($D80&amp;"-"&amp;"Extra retrofit cost",$B$1:$B$408,0),MATCH(N$3,$B$3:$V$3,0)))/INDEX($B$1:$V$408,MATCH($D80&amp;"-"&amp;"Lifetime",$B$1:$B$408,0),MATCH(N$3,$B$3:$V$3,0))),0)</f>
        <v>0</v>
      </c>
      <c r="O80" s="585" cm="1">
        <f t="array" aca="1" ref="O80" ca="1">IFERROR(
_xlfn.IFS(NewBuild_Retrofit_selector="Newbuild",INDEX($B$1:$V$408,MATCH($D80&amp;"-"&amp;"Installation cost",$B$1:$B$408,0),MATCH(O$3,$B$3:$V$3,0))/INDEX($B$1:$V$408,MATCH($D80&amp;"-"&amp;"Lifetime",$B$1:$B$408,0),MATCH(O$3,$B$3:$V$3,0)),
NewBuild_Retrofit_selector="Retrofit",(INDEX($B$1:$V$408,MATCH($D80&amp;"-"&amp;"Installation cost",$B$1:$B$408,0),MATCH(O$3,$B$3:$V$3,0))+INDEX($B$1:$V$408,MATCH($D80&amp;"-"&amp;"Extra retrofit cost",$B$1:$B$408,0),MATCH(O$3,$B$3:$V$3,0)))/INDEX($B$1:$V$408,MATCH($D80&amp;"-"&amp;"Lifetime",$B$1:$B$408,0),MATCH(O$3,$B$3:$V$3,0))),0)</f>
        <v>0</v>
      </c>
      <c r="P80" s="585" cm="1">
        <f t="array" aca="1" ref="P80" ca="1">IFERROR(
_xlfn.IFS(NewBuild_Retrofit_selector="Newbuild",INDEX($B$1:$V$408,MATCH($D80&amp;"-"&amp;"Installation cost",$B$1:$B$408,0),MATCH(P$3,$B$3:$V$3,0))/INDEX($B$1:$V$408,MATCH($D80&amp;"-"&amp;"Lifetime",$B$1:$B$408,0),MATCH(P$3,$B$3:$V$3,0)),
NewBuild_Retrofit_selector="Retrofit",(INDEX($B$1:$V$408,MATCH($D80&amp;"-"&amp;"Installation cost",$B$1:$B$408,0),MATCH(P$3,$B$3:$V$3,0))+INDEX($B$1:$V$408,MATCH($D80&amp;"-"&amp;"Extra retrofit cost",$B$1:$B$408,0),MATCH(P$3,$B$3:$V$3,0)))/INDEX($B$1:$V$408,MATCH($D80&amp;"-"&amp;"Lifetime",$B$1:$B$408,0),MATCH(P$3,$B$3:$V$3,0))),0)</f>
        <v>0</v>
      </c>
      <c r="Q80" s="585" cm="1">
        <f t="array" aca="1" ref="Q80" ca="1">IFERROR(
_xlfn.IFS(NewBuild_Retrofit_selector="Newbuild",INDEX($B$1:$V$408,MATCH($D80&amp;"-"&amp;"Installation cost",$B$1:$B$408,0),MATCH(Q$3,$B$3:$V$3,0))/INDEX($B$1:$V$408,MATCH($D80&amp;"-"&amp;"Lifetime",$B$1:$B$408,0),MATCH(Q$3,$B$3:$V$3,0)),
NewBuild_Retrofit_selector="Retrofit",(INDEX($B$1:$V$408,MATCH($D80&amp;"-"&amp;"Installation cost",$B$1:$B$408,0),MATCH(Q$3,$B$3:$V$3,0))+INDEX($B$1:$V$408,MATCH($D80&amp;"-"&amp;"Extra retrofit cost",$B$1:$B$408,0),MATCH(Q$3,$B$3:$V$3,0)))/INDEX($B$1:$V$408,MATCH($D80&amp;"-"&amp;"Lifetime",$B$1:$B$408,0),MATCH(Q$3,$B$3:$V$3,0))),0)</f>
        <v>0</v>
      </c>
      <c r="R80" s="585" cm="1">
        <f t="array" aca="1" ref="R80" ca="1">IFERROR(
_xlfn.IFS(NewBuild_Retrofit_selector="Newbuild",INDEX($B$1:$V$408,MATCH($D80&amp;"-"&amp;"Installation cost",$B$1:$B$408,0),MATCH(R$3,$B$3:$V$3,0))/INDEX($B$1:$V$408,MATCH($D80&amp;"-"&amp;"Lifetime",$B$1:$B$408,0),MATCH(R$3,$B$3:$V$3,0)),
NewBuild_Retrofit_selector="Retrofit",(INDEX($B$1:$V$408,MATCH($D80&amp;"-"&amp;"Installation cost",$B$1:$B$408,0),MATCH(R$3,$B$3:$V$3,0))+INDEX($B$1:$V$408,MATCH($D80&amp;"-"&amp;"Extra retrofit cost",$B$1:$B$408,0),MATCH(R$3,$B$3:$V$3,0)))/INDEX($B$1:$V$408,MATCH($D80&amp;"-"&amp;"Lifetime",$B$1:$B$408,0),MATCH(R$3,$B$3:$V$3,0))),0)</f>
        <v>0</v>
      </c>
      <c r="S80" s="585" cm="1">
        <f t="array" aca="1" ref="S80" ca="1">IFERROR(
_xlfn.IFS(NewBuild_Retrofit_selector="Newbuild",INDEX($B$1:$V$408,MATCH($D80&amp;"-"&amp;"Installation cost",$B$1:$B$408,0),MATCH(S$3,$B$3:$V$3,0))/INDEX($B$1:$V$408,MATCH($D80&amp;"-"&amp;"Lifetime",$B$1:$B$408,0),MATCH(S$3,$B$3:$V$3,0)),
NewBuild_Retrofit_selector="Retrofit",(INDEX($B$1:$V$408,MATCH($D80&amp;"-"&amp;"Installation cost",$B$1:$B$408,0),MATCH(S$3,$B$3:$V$3,0))+INDEX($B$1:$V$408,MATCH($D80&amp;"-"&amp;"Extra retrofit cost",$B$1:$B$408,0),MATCH(S$3,$B$3:$V$3,0)))/INDEX($B$1:$V$408,MATCH($D80&amp;"-"&amp;"Lifetime",$B$1:$B$408,0),MATCH(S$3,$B$3:$V$3,0))),0)</f>
        <v>0</v>
      </c>
      <c r="T80" s="585" cm="1">
        <f t="array" aca="1" ref="T80" ca="1">IFERROR(
_xlfn.IFS(NewBuild_Retrofit_selector="Newbuild",INDEX($B$1:$V$408,MATCH($D80&amp;"-"&amp;"Installation cost",$B$1:$B$408,0),MATCH(T$3,$B$3:$V$3,0))/INDEX($B$1:$V$408,MATCH($D80&amp;"-"&amp;"Lifetime",$B$1:$B$408,0),MATCH(T$3,$B$3:$V$3,0)),
NewBuild_Retrofit_selector="Retrofit",(INDEX($B$1:$V$408,MATCH($D80&amp;"-"&amp;"Installation cost",$B$1:$B$408,0),MATCH(T$3,$B$3:$V$3,0))+INDEX($B$1:$V$408,MATCH($D80&amp;"-"&amp;"Extra retrofit cost",$B$1:$B$408,0),MATCH(T$3,$B$3:$V$3,0)))/INDEX($B$1:$V$408,MATCH($D80&amp;"-"&amp;"Lifetime",$B$1:$B$408,0),MATCH(T$3,$B$3:$V$3,0))),0)</f>
        <v>0</v>
      </c>
      <c r="U80" s="356"/>
      <c r="V80" s="356"/>
    </row>
    <row r="81" spans="2:22" x14ac:dyDescent="0.2">
      <c r="B81" s="392" t="str">
        <f t="shared" si="2"/>
        <v>Flettner rotors-Extra retrofit cost</v>
      </c>
      <c r="C81" s="392" t="s">
        <v>634</v>
      </c>
      <c r="D81" s="397" t="s">
        <v>153</v>
      </c>
      <c r="E81" s="392" t="s">
        <v>635</v>
      </c>
      <c r="F81" s="585">
        <v>0</v>
      </c>
      <c r="G81" s="585">
        <v>0</v>
      </c>
      <c r="H81" s="585">
        <v>0</v>
      </c>
      <c r="I81" s="585">
        <v>150000</v>
      </c>
      <c r="J81" s="585">
        <v>200000</v>
      </c>
      <c r="K81" s="585">
        <v>250000</v>
      </c>
      <c r="L81" s="585">
        <v>150000</v>
      </c>
      <c r="M81" s="585">
        <v>200000</v>
      </c>
      <c r="N81" s="585">
        <v>250000</v>
      </c>
      <c r="O81" s="585">
        <v>150000</v>
      </c>
      <c r="P81" s="585">
        <v>200000</v>
      </c>
      <c r="Q81" s="585">
        <v>200000</v>
      </c>
      <c r="R81" s="585">
        <v>300000</v>
      </c>
      <c r="S81" s="585">
        <v>500000</v>
      </c>
      <c r="T81" s="585">
        <v>500000</v>
      </c>
      <c r="U81" s="356" t="s">
        <v>628</v>
      </c>
      <c r="V81" s="356"/>
    </row>
    <row r="82" spans="2:22" x14ac:dyDescent="0.2">
      <c r="B82" s="392" t="str">
        <f t="shared" si="2"/>
        <v>Flettner rotors-Lifetime</v>
      </c>
      <c r="C82" s="392" t="s">
        <v>520</v>
      </c>
      <c r="D82" s="397" t="s">
        <v>153</v>
      </c>
      <c r="E82" s="392" t="s">
        <v>176</v>
      </c>
      <c r="F82" s="356">
        <v>25</v>
      </c>
      <c r="G82" s="356">
        <v>25</v>
      </c>
      <c r="H82" s="356">
        <v>25</v>
      </c>
      <c r="I82" s="356">
        <v>25</v>
      </c>
      <c r="J82" s="356">
        <v>25</v>
      </c>
      <c r="K82" s="356">
        <v>25</v>
      </c>
      <c r="L82" s="356">
        <v>25</v>
      </c>
      <c r="M82" s="356">
        <v>25</v>
      </c>
      <c r="N82" s="356">
        <v>25</v>
      </c>
      <c r="O82" s="356">
        <v>25</v>
      </c>
      <c r="P82" s="356">
        <v>25</v>
      </c>
      <c r="Q82" s="356">
        <v>25</v>
      </c>
      <c r="R82" s="356">
        <v>25</v>
      </c>
      <c r="S82" s="356">
        <v>25</v>
      </c>
      <c r="T82" s="356">
        <v>25</v>
      </c>
      <c r="U82" s="356" t="s">
        <v>623</v>
      </c>
      <c r="V82" s="356"/>
    </row>
    <row r="83" spans="2:22" x14ac:dyDescent="0.2">
      <c r="B83" s="392" t="str">
        <f t="shared" si="2"/>
        <v>Flettner rotors-OPEX</v>
      </c>
      <c r="C83" s="392" t="s">
        <v>319</v>
      </c>
      <c r="D83" s="397" t="s">
        <v>153</v>
      </c>
      <c r="E83" s="392" t="s">
        <v>630</v>
      </c>
      <c r="F83" s="585">
        <v>0</v>
      </c>
      <c r="G83" s="585">
        <v>0</v>
      </c>
      <c r="H83" s="585">
        <v>0</v>
      </c>
      <c r="I83" s="585">
        <v>30000</v>
      </c>
      <c r="J83" s="585">
        <v>40000</v>
      </c>
      <c r="K83" s="585">
        <v>50000</v>
      </c>
      <c r="L83" s="585">
        <v>30000</v>
      </c>
      <c r="M83" s="585">
        <v>40000</v>
      </c>
      <c r="N83" s="585">
        <v>50000</v>
      </c>
      <c r="O83" s="585">
        <v>30000</v>
      </c>
      <c r="P83" s="585">
        <v>40000</v>
      </c>
      <c r="Q83" s="585">
        <v>50000</v>
      </c>
      <c r="R83" s="585">
        <v>30000</v>
      </c>
      <c r="S83" s="585">
        <v>40000</v>
      </c>
      <c r="T83" s="585">
        <v>50000</v>
      </c>
      <c r="U83" s="356" t="s">
        <v>623</v>
      </c>
      <c r="V83" s="356"/>
    </row>
    <row r="84" spans="2:22" x14ac:dyDescent="0.2">
      <c r="B84" s="392" t="str">
        <f t="shared" si="2"/>
        <v>Flettner rotors-Saving</v>
      </c>
      <c r="C84" s="392" t="s">
        <v>458</v>
      </c>
      <c r="D84" s="398" t="s">
        <v>153</v>
      </c>
      <c r="E84" s="392" t="s">
        <v>178</v>
      </c>
      <c r="F84" s="359">
        <v>0</v>
      </c>
      <c r="G84" s="359">
        <v>0</v>
      </c>
      <c r="H84" s="359">
        <v>0</v>
      </c>
      <c r="I84" s="359">
        <v>7.0000000000000007E-2</v>
      </c>
      <c r="J84" s="359">
        <v>0.08</v>
      </c>
      <c r="K84" s="359">
        <v>0.1</v>
      </c>
      <c r="L84" s="359">
        <v>7.0000000000000007E-2</v>
      </c>
      <c r="M84" s="359">
        <v>0.08</v>
      </c>
      <c r="N84" s="359">
        <v>0.1</v>
      </c>
      <c r="O84" s="359">
        <v>0.06</v>
      </c>
      <c r="P84" s="359">
        <v>0.06</v>
      </c>
      <c r="Q84" s="359">
        <v>0.06</v>
      </c>
      <c r="R84" s="359">
        <v>0.06</v>
      </c>
      <c r="S84" s="359">
        <v>0.06</v>
      </c>
      <c r="T84" s="359">
        <v>0.06</v>
      </c>
      <c r="U84" s="356" t="s">
        <v>628</v>
      </c>
      <c r="V84" s="356"/>
    </row>
    <row r="85" spans="2:22" x14ac:dyDescent="0.2">
      <c r="B85" s="392" t="str">
        <f t="shared" si="2"/>
        <v>Flettner rotors-UptakeFleetAvg2020</v>
      </c>
      <c r="C85" s="392" t="s">
        <v>650</v>
      </c>
      <c r="D85" s="397" t="s">
        <v>153</v>
      </c>
      <c r="E85" s="392" t="s">
        <v>178</v>
      </c>
      <c r="F85" s="359">
        <v>0</v>
      </c>
      <c r="G85" s="359">
        <v>0</v>
      </c>
      <c r="H85" s="359">
        <v>0</v>
      </c>
      <c r="I85" s="359">
        <v>0</v>
      </c>
      <c r="J85" s="359">
        <v>0</v>
      </c>
      <c r="K85" s="359">
        <v>0</v>
      </c>
      <c r="L85" s="359">
        <v>0</v>
      </c>
      <c r="M85" s="359">
        <v>0</v>
      </c>
      <c r="N85" s="359">
        <v>0</v>
      </c>
      <c r="O85" s="359">
        <v>0</v>
      </c>
      <c r="P85" s="359">
        <v>0</v>
      </c>
      <c r="Q85" s="359">
        <v>0</v>
      </c>
      <c r="R85" s="359">
        <v>0</v>
      </c>
      <c r="S85" s="359">
        <v>0</v>
      </c>
      <c r="T85" s="359">
        <v>0</v>
      </c>
      <c r="U85" s="356" t="s">
        <v>628</v>
      </c>
      <c r="V85" s="356"/>
    </row>
    <row r="86" spans="2:22" x14ac:dyDescent="0.2">
      <c r="B86" s="392" t="str">
        <f t="shared" si="2"/>
        <v>Flettner rotors-UptakeNewbuild2020</v>
      </c>
      <c r="C86" s="392" t="s">
        <v>652</v>
      </c>
      <c r="D86" s="395" t="s">
        <v>153</v>
      </c>
      <c r="E86" s="392" t="s">
        <v>178</v>
      </c>
      <c r="F86" s="359">
        <v>0</v>
      </c>
      <c r="G86" s="359">
        <v>0</v>
      </c>
      <c r="H86" s="359">
        <v>0</v>
      </c>
      <c r="I86" s="359">
        <v>0</v>
      </c>
      <c r="J86" s="359">
        <v>0</v>
      </c>
      <c r="K86" s="359">
        <v>0</v>
      </c>
      <c r="L86" s="359">
        <v>0</v>
      </c>
      <c r="M86" s="359">
        <v>0</v>
      </c>
      <c r="N86" s="359">
        <v>0</v>
      </c>
      <c r="O86" s="359">
        <v>0</v>
      </c>
      <c r="P86" s="359">
        <v>0</v>
      </c>
      <c r="Q86" s="359">
        <v>0</v>
      </c>
      <c r="R86" s="359">
        <v>0</v>
      </c>
      <c r="S86" s="359">
        <v>0</v>
      </c>
      <c r="T86" s="359">
        <v>0</v>
      </c>
      <c r="U86" s="356" t="s">
        <v>651</v>
      </c>
      <c r="V86" s="356"/>
    </row>
    <row r="87" spans="2:22" x14ac:dyDescent="0.2">
      <c r="B87" s="392" t="str">
        <f t="shared" si="2"/>
        <v>Hull cleaning-Applicable Newbuild</v>
      </c>
      <c r="C87" s="392" t="s">
        <v>621</v>
      </c>
      <c r="D87" s="395" t="s">
        <v>145</v>
      </c>
      <c r="E87" s="392" t="s">
        <v>622</v>
      </c>
      <c r="F87" s="356">
        <v>0</v>
      </c>
      <c r="G87" s="356">
        <v>0</v>
      </c>
      <c r="H87" s="356">
        <v>0</v>
      </c>
      <c r="I87" s="356">
        <v>0</v>
      </c>
      <c r="J87" s="356">
        <v>0</v>
      </c>
      <c r="K87" s="356">
        <v>0</v>
      </c>
      <c r="L87" s="356">
        <v>0</v>
      </c>
      <c r="M87" s="356">
        <v>0</v>
      </c>
      <c r="N87" s="356">
        <v>0</v>
      </c>
      <c r="O87" s="356">
        <v>0</v>
      </c>
      <c r="P87" s="356">
        <v>0</v>
      </c>
      <c r="Q87" s="356">
        <v>0</v>
      </c>
      <c r="R87" s="356">
        <v>0</v>
      </c>
      <c r="S87" s="356">
        <v>0</v>
      </c>
      <c r="T87" s="356">
        <v>0</v>
      </c>
      <c r="U87" s="356"/>
      <c r="V87" s="356"/>
    </row>
    <row r="88" spans="2:22" x14ac:dyDescent="0.2">
      <c r="B88" s="392" t="str">
        <f t="shared" si="2"/>
        <v>Hull cleaning-CAPEX</v>
      </c>
      <c r="C88" s="392" t="s">
        <v>50</v>
      </c>
      <c r="D88" s="395" t="s">
        <v>145</v>
      </c>
      <c r="E88" s="392" t="s">
        <v>630</v>
      </c>
      <c r="F88" s="585" cm="1">
        <f t="array" aca="1" ref="F88" ca="1">IFERROR(
_xlfn.IFS(NewBuild_Retrofit_selector="Newbuild",INDEX($B$1:$V$408,MATCH($D88&amp;"-"&amp;"Installation cost",$B$1:$B$408,0),MATCH(F$3,$B$3:$V$3,0))/INDEX($B$1:$V$408,MATCH($D88&amp;"-"&amp;"Lifetime",$B$1:$B$408,0),MATCH(F$3,$B$3:$V$3,0)),
NewBuild_Retrofit_selector="Retrofit",(INDEX($B$1:$V$408,MATCH($D88&amp;"-"&amp;"Installation cost",$B$1:$B$408,0),MATCH(F$3,$B$3:$V$3,0))+INDEX($B$1:$V$408,MATCH($D88&amp;"-"&amp;"Extra retrofit cost",$B$1:$B$408,0),MATCH(F$3,$B$3:$V$3,0)))/INDEX($B$1:$V$408,MATCH($D88&amp;"-"&amp;"Lifetime",$B$1:$B$408,0),MATCH(F$3,$B$3:$V$3,0))),0)</f>
        <v>0</v>
      </c>
      <c r="G88" s="585" cm="1">
        <f t="array" aca="1" ref="G88" ca="1">IFERROR(
_xlfn.IFS(NewBuild_Retrofit_selector="Newbuild",INDEX($B$1:$V$408,MATCH($D88&amp;"-"&amp;"Installation cost",$B$1:$B$408,0),MATCH(G$3,$B$3:$V$3,0))/INDEX($B$1:$V$408,MATCH($D88&amp;"-"&amp;"Lifetime",$B$1:$B$408,0),MATCH(G$3,$B$3:$V$3,0)),
NewBuild_Retrofit_selector="Retrofit",(INDEX($B$1:$V$408,MATCH($D88&amp;"-"&amp;"Installation cost",$B$1:$B$408,0),MATCH(G$3,$B$3:$V$3,0))+INDEX($B$1:$V$408,MATCH($D88&amp;"-"&amp;"Extra retrofit cost",$B$1:$B$408,0),MATCH(G$3,$B$3:$V$3,0)))/INDEX($B$1:$V$408,MATCH($D88&amp;"-"&amp;"Lifetime",$B$1:$B$408,0),MATCH(G$3,$B$3:$V$3,0))),0)</f>
        <v>0</v>
      </c>
      <c r="H88" s="585" cm="1">
        <f t="array" aca="1" ref="H88" ca="1">IFERROR(
_xlfn.IFS(NewBuild_Retrofit_selector="Newbuild",INDEX($B$1:$V$408,MATCH($D88&amp;"-"&amp;"Installation cost",$B$1:$B$408,0),MATCH(H$3,$B$3:$V$3,0))/INDEX($B$1:$V$408,MATCH($D88&amp;"-"&amp;"Lifetime",$B$1:$B$408,0),MATCH(H$3,$B$3:$V$3,0)),
NewBuild_Retrofit_selector="Retrofit",(INDEX($B$1:$V$408,MATCH($D88&amp;"-"&amp;"Installation cost",$B$1:$B$408,0),MATCH(H$3,$B$3:$V$3,0))+INDEX($B$1:$V$408,MATCH($D88&amp;"-"&amp;"Extra retrofit cost",$B$1:$B$408,0),MATCH(H$3,$B$3:$V$3,0)))/INDEX($B$1:$V$408,MATCH($D88&amp;"-"&amp;"Lifetime",$B$1:$B$408,0),MATCH(H$3,$B$3:$V$3,0))),0)</f>
        <v>0</v>
      </c>
      <c r="I88" s="585" cm="1">
        <f t="array" aca="1" ref="I88" ca="1">IFERROR(
_xlfn.IFS(NewBuild_Retrofit_selector="Newbuild",INDEX($B$1:$V$408,MATCH($D88&amp;"-"&amp;"Installation cost",$B$1:$B$408,0),MATCH(I$3,$B$3:$V$3,0))/INDEX($B$1:$V$408,MATCH($D88&amp;"-"&amp;"Lifetime",$B$1:$B$408,0),MATCH(I$3,$B$3:$V$3,0)),
NewBuild_Retrofit_selector="Retrofit",(INDEX($B$1:$V$408,MATCH($D88&amp;"-"&amp;"Installation cost",$B$1:$B$408,0),MATCH(I$3,$B$3:$V$3,0))+INDEX($B$1:$V$408,MATCH($D88&amp;"-"&amp;"Extra retrofit cost",$B$1:$B$408,0),MATCH(I$3,$B$3:$V$3,0)))/INDEX($B$1:$V$408,MATCH($D88&amp;"-"&amp;"Lifetime",$B$1:$B$408,0),MATCH(I$3,$B$3:$V$3,0))),0)</f>
        <v>0</v>
      </c>
      <c r="J88" s="585" cm="1">
        <f t="array" aca="1" ref="J88" ca="1">IFERROR(
_xlfn.IFS(NewBuild_Retrofit_selector="Newbuild",INDEX($B$1:$V$408,MATCH($D88&amp;"-"&amp;"Installation cost",$B$1:$B$408,0),MATCH(J$3,$B$3:$V$3,0))/INDEX($B$1:$V$408,MATCH($D88&amp;"-"&amp;"Lifetime",$B$1:$B$408,0),MATCH(J$3,$B$3:$V$3,0)),
NewBuild_Retrofit_selector="Retrofit",(INDEX($B$1:$V$408,MATCH($D88&amp;"-"&amp;"Installation cost",$B$1:$B$408,0),MATCH(J$3,$B$3:$V$3,0))+INDEX($B$1:$V$408,MATCH($D88&amp;"-"&amp;"Extra retrofit cost",$B$1:$B$408,0),MATCH(J$3,$B$3:$V$3,0)))/INDEX($B$1:$V$408,MATCH($D88&amp;"-"&amp;"Lifetime",$B$1:$B$408,0),MATCH(J$3,$B$3:$V$3,0))),0)</f>
        <v>0</v>
      </c>
      <c r="K88" s="585" cm="1">
        <f t="array" aca="1" ref="K88" ca="1">IFERROR(
_xlfn.IFS(NewBuild_Retrofit_selector="Newbuild",INDEX($B$1:$V$408,MATCH($D88&amp;"-"&amp;"Installation cost",$B$1:$B$408,0),MATCH(K$3,$B$3:$V$3,0))/INDEX($B$1:$V$408,MATCH($D88&amp;"-"&amp;"Lifetime",$B$1:$B$408,0),MATCH(K$3,$B$3:$V$3,0)),
NewBuild_Retrofit_selector="Retrofit",(INDEX($B$1:$V$408,MATCH($D88&amp;"-"&amp;"Installation cost",$B$1:$B$408,0),MATCH(K$3,$B$3:$V$3,0))+INDEX($B$1:$V$408,MATCH($D88&amp;"-"&amp;"Extra retrofit cost",$B$1:$B$408,0),MATCH(K$3,$B$3:$V$3,0)))/INDEX($B$1:$V$408,MATCH($D88&amp;"-"&amp;"Lifetime",$B$1:$B$408,0),MATCH(K$3,$B$3:$V$3,0))),0)</f>
        <v>0</v>
      </c>
      <c r="L88" s="585" cm="1">
        <f t="array" aca="1" ref="L88" ca="1">IFERROR(
_xlfn.IFS(NewBuild_Retrofit_selector="Newbuild",INDEX($B$1:$V$408,MATCH($D88&amp;"-"&amp;"Installation cost",$B$1:$B$408,0),MATCH(L$3,$B$3:$V$3,0))/INDEX($B$1:$V$408,MATCH($D88&amp;"-"&amp;"Lifetime",$B$1:$B$408,0),MATCH(L$3,$B$3:$V$3,0)),
NewBuild_Retrofit_selector="Retrofit",(INDEX($B$1:$V$408,MATCH($D88&amp;"-"&amp;"Installation cost",$B$1:$B$408,0),MATCH(L$3,$B$3:$V$3,0))+INDEX($B$1:$V$408,MATCH($D88&amp;"-"&amp;"Extra retrofit cost",$B$1:$B$408,0),MATCH(L$3,$B$3:$V$3,0)))/INDEX($B$1:$V$408,MATCH($D88&amp;"-"&amp;"Lifetime",$B$1:$B$408,0),MATCH(L$3,$B$3:$V$3,0))),0)</f>
        <v>0</v>
      </c>
      <c r="M88" s="585" cm="1">
        <f t="array" aca="1" ref="M88" ca="1">IFERROR(
_xlfn.IFS(NewBuild_Retrofit_selector="Newbuild",INDEX($B$1:$V$408,MATCH($D88&amp;"-"&amp;"Installation cost",$B$1:$B$408,0),MATCH(M$3,$B$3:$V$3,0))/INDEX($B$1:$V$408,MATCH($D88&amp;"-"&amp;"Lifetime",$B$1:$B$408,0),MATCH(M$3,$B$3:$V$3,0)),
NewBuild_Retrofit_selector="Retrofit",(INDEX($B$1:$V$408,MATCH($D88&amp;"-"&amp;"Installation cost",$B$1:$B$408,0),MATCH(M$3,$B$3:$V$3,0))+INDEX($B$1:$V$408,MATCH($D88&amp;"-"&amp;"Extra retrofit cost",$B$1:$B$408,0),MATCH(M$3,$B$3:$V$3,0)))/INDEX($B$1:$V$408,MATCH($D88&amp;"-"&amp;"Lifetime",$B$1:$B$408,0),MATCH(M$3,$B$3:$V$3,0))),0)</f>
        <v>0</v>
      </c>
      <c r="N88" s="585" cm="1">
        <f t="array" aca="1" ref="N88" ca="1">IFERROR(
_xlfn.IFS(NewBuild_Retrofit_selector="Newbuild",INDEX($B$1:$V$408,MATCH($D88&amp;"-"&amp;"Installation cost",$B$1:$B$408,0),MATCH(N$3,$B$3:$V$3,0))/INDEX($B$1:$V$408,MATCH($D88&amp;"-"&amp;"Lifetime",$B$1:$B$408,0),MATCH(N$3,$B$3:$V$3,0)),
NewBuild_Retrofit_selector="Retrofit",(INDEX($B$1:$V$408,MATCH($D88&amp;"-"&amp;"Installation cost",$B$1:$B$408,0),MATCH(N$3,$B$3:$V$3,0))+INDEX($B$1:$V$408,MATCH($D88&amp;"-"&amp;"Extra retrofit cost",$B$1:$B$408,0),MATCH(N$3,$B$3:$V$3,0)))/INDEX($B$1:$V$408,MATCH($D88&amp;"-"&amp;"Lifetime",$B$1:$B$408,0),MATCH(N$3,$B$3:$V$3,0))),0)</f>
        <v>0</v>
      </c>
      <c r="O88" s="585" cm="1">
        <f t="array" aca="1" ref="O88" ca="1">IFERROR(
_xlfn.IFS(NewBuild_Retrofit_selector="Newbuild",INDEX($B$1:$V$408,MATCH($D88&amp;"-"&amp;"Installation cost",$B$1:$B$408,0),MATCH(O$3,$B$3:$V$3,0))/INDEX($B$1:$V$408,MATCH($D88&amp;"-"&amp;"Lifetime",$B$1:$B$408,0),MATCH(O$3,$B$3:$V$3,0)),
NewBuild_Retrofit_selector="Retrofit",(INDEX($B$1:$V$408,MATCH($D88&amp;"-"&amp;"Installation cost",$B$1:$B$408,0),MATCH(O$3,$B$3:$V$3,0))+INDEX($B$1:$V$408,MATCH($D88&amp;"-"&amp;"Extra retrofit cost",$B$1:$B$408,0),MATCH(O$3,$B$3:$V$3,0)))/INDEX($B$1:$V$408,MATCH($D88&amp;"-"&amp;"Lifetime",$B$1:$B$408,0),MATCH(O$3,$B$3:$V$3,0))),0)</f>
        <v>0</v>
      </c>
      <c r="P88" s="585" cm="1">
        <f t="array" aca="1" ref="P88" ca="1">IFERROR(
_xlfn.IFS(NewBuild_Retrofit_selector="Newbuild",INDEX($B$1:$V$408,MATCH($D88&amp;"-"&amp;"Installation cost",$B$1:$B$408,0),MATCH(P$3,$B$3:$V$3,0))/INDEX($B$1:$V$408,MATCH($D88&amp;"-"&amp;"Lifetime",$B$1:$B$408,0),MATCH(P$3,$B$3:$V$3,0)),
NewBuild_Retrofit_selector="Retrofit",(INDEX($B$1:$V$408,MATCH($D88&amp;"-"&amp;"Installation cost",$B$1:$B$408,0),MATCH(P$3,$B$3:$V$3,0))+INDEX($B$1:$V$408,MATCH($D88&amp;"-"&amp;"Extra retrofit cost",$B$1:$B$408,0),MATCH(P$3,$B$3:$V$3,0)))/INDEX($B$1:$V$408,MATCH($D88&amp;"-"&amp;"Lifetime",$B$1:$B$408,0),MATCH(P$3,$B$3:$V$3,0))),0)</f>
        <v>0</v>
      </c>
      <c r="Q88" s="585" cm="1">
        <f t="array" aca="1" ref="Q88" ca="1">IFERROR(
_xlfn.IFS(NewBuild_Retrofit_selector="Newbuild",INDEX($B$1:$V$408,MATCH($D88&amp;"-"&amp;"Installation cost",$B$1:$B$408,0),MATCH(Q$3,$B$3:$V$3,0))/INDEX($B$1:$V$408,MATCH($D88&amp;"-"&amp;"Lifetime",$B$1:$B$408,0),MATCH(Q$3,$B$3:$V$3,0)),
NewBuild_Retrofit_selector="Retrofit",(INDEX($B$1:$V$408,MATCH($D88&amp;"-"&amp;"Installation cost",$B$1:$B$408,0),MATCH(Q$3,$B$3:$V$3,0))+INDEX($B$1:$V$408,MATCH($D88&amp;"-"&amp;"Extra retrofit cost",$B$1:$B$408,0),MATCH(Q$3,$B$3:$V$3,0)))/INDEX($B$1:$V$408,MATCH($D88&amp;"-"&amp;"Lifetime",$B$1:$B$408,0),MATCH(Q$3,$B$3:$V$3,0))),0)</f>
        <v>0</v>
      </c>
      <c r="R88" s="585" cm="1">
        <f t="array" aca="1" ref="R88" ca="1">IFERROR(
_xlfn.IFS(NewBuild_Retrofit_selector="Newbuild",INDEX($B$1:$V$408,MATCH($D88&amp;"-"&amp;"Installation cost",$B$1:$B$408,0),MATCH(R$3,$B$3:$V$3,0))/INDEX($B$1:$V$408,MATCH($D88&amp;"-"&amp;"Lifetime",$B$1:$B$408,0),MATCH(R$3,$B$3:$V$3,0)),
NewBuild_Retrofit_selector="Retrofit",(INDEX($B$1:$V$408,MATCH($D88&amp;"-"&amp;"Installation cost",$B$1:$B$408,0),MATCH(R$3,$B$3:$V$3,0))+INDEX($B$1:$V$408,MATCH($D88&amp;"-"&amp;"Extra retrofit cost",$B$1:$B$408,0),MATCH(R$3,$B$3:$V$3,0)))/INDEX($B$1:$V$408,MATCH($D88&amp;"-"&amp;"Lifetime",$B$1:$B$408,0),MATCH(R$3,$B$3:$V$3,0))),0)</f>
        <v>0</v>
      </c>
      <c r="S88" s="585" cm="1">
        <f t="array" aca="1" ref="S88" ca="1">IFERROR(
_xlfn.IFS(NewBuild_Retrofit_selector="Newbuild",INDEX($B$1:$V$408,MATCH($D88&amp;"-"&amp;"Installation cost",$B$1:$B$408,0),MATCH(S$3,$B$3:$V$3,0))/INDEX($B$1:$V$408,MATCH($D88&amp;"-"&amp;"Lifetime",$B$1:$B$408,0),MATCH(S$3,$B$3:$V$3,0)),
NewBuild_Retrofit_selector="Retrofit",(INDEX($B$1:$V$408,MATCH($D88&amp;"-"&amp;"Installation cost",$B$1:$B$408,0),MATCH(S$3,$B$3:$V$3,0))+INDEX($B$1:$V$408,MATCH($D88&amp;"-"&amp;"Extra retrofit cost",$B$1:$B$408,0),MATCH(S$3,$B$3:$V$3,0)))/INDEX($B$1:$V$408,MATCH($D88&amp;"-"&amp;"Lifetime",$B$1:$B$408,0),MATCH(S$3,$B$3:$V$3,0))),0)</f>
        <v>0</v>
      </c>
      <c r="T88" s="585" cm="1">
        <f t="array" aca="1" ref="T88" ca="1">IFERROR(
_xlfn.IFS(NewBuild_Retrofit_selector="Newbuild",INDEX($B$1:$V$408,MATCH($D88&amp;"-"&amp;"Installation cost",$B$1:$B$408,0),MATCH(T$3,$B$3:$V$3,0))/INDEX($B$1:$V$408,MATCH($D88&amp;"-"&amp;"Lifetime",$B$1:$B$408,0),MATCH(T$3,$B$3:$V$3,0)),
NewBuild_Retrofit_selector="Retrofit",(INDEX($B$1:$V$408,MATCH($D88&amp;"-"&amp;"Installation cost",$B$1:$B$408,0),MATCH(T$3,$B$3:$V$3,0))+INDEX($B$1:$V$408,MATCH($D88&amp;"-"&amp;"Extra retrofit cost",$B$1:$B$408,0),MATCH(T$3,$B$3:$V$3,0)))/INDEX($B$1:$V$408,MATCH($D88&amp;"-"&amp;"Lifetime",$B$1:$B$408,0),MATCH(T$3,$B$3:$V$3,0))),0)</f>
        <v>0</v>
      </c>
      <c r="U88" s="356"/>
      <c r="V88" s="356"/>
    </row>
    <row r="89" spans="2:22" x14ac:dyDescent="0.2">
      <c r="B89" s="392" t="str">
        <f t="shared" si="2"/>
        <v>Hull cleaning-Extra retrofit cost</v>
      </c>
      <c r="C89" s="392" t="s">
        <v>634</v>
      </c>
      <c r="D89" s="395" t="s">
        <v>145</v>
      </c>
      <c r="E89" s="392" t="s">
        <v>635</v>
      </c>
      <c r="F89" s="585">
        <v>0</v>
      </c>
      <c r="G89" s="585">
        <v>0</v>
      </c>
      <c r="H89" s="585">
        <v>0</v>
      </c>
      <c r="I89" s="585">
        <v>0</v>
      </c>
      <c r="J89" s="585">
        <v>0</v>
      </c>
      <c r="K89" s="585">
        <v>0</v>
      </c>
      <c r="L89" s="585">
        <v>0</v>
      </c>
      <c r="M89" s="585">
        <v>0</v>
      </c>
      <c r="N89" s="585">
        <v>0</v>
      </c>
      <c r="O89" s="585">
        <v>0</v>
      </c>
      <c r="P89" s="585">
        <v>0</v>
      </c>
      <c r="Q89" s="585">
        <v>0</v>
      </c>
      <c r="R89" s="585">
        <v>0</v>
      </c>
      <c r="S89" s="585">
        <v>0</v>
      </c>
      <c r="T89" s="585">
        <v>0</v>
      </c>
      <c r="U89" s="356"/>
      <c r="V89" s="356"/>
    </row>
    <row r="90" spans="2:22" x14ac:dyDescent="0.2">
      <c r="B90" s="392" t="str">
        <f t="shared" si="2"/>
        <v>Hull cleaning-Applicable Retrofit</v>
      </c>
      <c r="C90" s="392" t="s">
        <v>629</v>
      </c>
      <c r="D90" s="397" t="s">
        <v>145</v>
      </c>
      <c r="E90" s="392" t="s">
        <v>622</v>
      </c>
      <c r="F90" s="356">
        <v>0</v>
      </c>
      <c r="G90" s="356">
        <v>0</v>
      </c>
      <c r="H90" s="356">
        <v>0</v>
      </c>
      <c r="I90" s="356">
        <v>0</v>
      </c>
      <c r="J90" s="356">
        <v>0</v>
      </c>
      <c r="K90" s="356">
        <v>0</v>
      </c>
      <c r="L90" s="356">
        <v>0</v>
      </c>
      <c r="M90" s="356">
        <v>0</v>
      </c>
      <c r="N90" s="356">
        <v>0</v>
      </c>
      <c r="O90" s="356">
        <v>0</v>
      </c>
      <c r="P90" s="356">
        <v>0</v>
      </c>
      <c r="Q90" s="356">
        <v>0</v>
      </c>
      <c r="R90" s="356">
        <v>0</v>
      </c>
      <c r="S90" s="356">
        <v>0</v>
      </c>
      <c r="T90" s="356">
        <v>0</v>
      </c>
      <c r="U90" s="356"/>
      <c r="V90" s="356"/>
    </row>
    <row r="91" spans="2:22" x14ac:dyDescent="0.2">
      <c r="B91" s="392" t="str">
        <f t="shared" si="2"/>
        <v>Hull cleaning-UptakeNewbuild2020</v>
      </c>
      <c r="C91" s="392" t="s">
        <v>652</v>
      </c>
      <c r="D91" s="397" t="s">
        <v>145</v>
      </c>
      <c r="E91" s="392" t="s">
        <v>178</v>
      </c>
      <c r="F91" s="359">
        <v>0</v>
      </c>
      <c r="G91" s="359">
        <v>0</v>
      </c>
      <c r="H91" s="359">
        <v>0</v>
      </c>
      <c r="I91" s="359">
        <v>0</v>
      </c>
      <c r="J91" s="359">
        <v>0</v>
      </c>
      <c r="K91" s="359">
        <v>0</v>
      </c>
      <c r="L91" s="359">
        <v>0</v>
      </c>
      <c r="M91" s="359">
        <v>0</v>
      </c>
      <c r="N91" s="359">
        <v>0</v>
      </c>
      <c r="O91" s="359">
        <v>0</v>
      </c>
      <c r="P91" s="359">
        <v>0</v>
      </c>
      <c r="Q91" s="359">
        <v>0</v>
      </c>
      <c r="R91" s="359">
        <v>0</v>
      </c>
      <c r="S91" s="359">
        <v>0</v>
      </c>
      <c r="T91" s="359">
        <v>0</v>
      </c>
      <c r="U91" s="356" t="s">
        <v>651</v>
      </c>
      <c r="V91" s="356"/>
    </row>
    <row r="92" spans="2:22" x14ac:dyDescent="0.2">
      <c r="B92" s="392" t="str">
        <f t="shared" si="2"/>
        <v>Hull cleaning-Installation cost</v>
      </c>
      <c r="C92" s="392" t="s">
        <v>452</v>
      </c>
      <c r="D92" s="397" t="s">
        <v>145</v>
      </c>
      <c r="E92" s="392" t="s">
        <v>635</v>
      </c>
      <c r="F92" s="585">
        <v>0</v>
      </c>
      <c r="G92" s="585">
        <v>0</v>
      </c>
      <c r="H92" s="585">
        <v>0</v>
      </c>
      <c r="I92" s="585">
        <v>0</v>
      </c>
      <c r="J92" s="585">
        <v>0</v>
      </c>
      <c r="K92" s="585">
        <v>0</v>
      </c>
      <c r="L92" s="585">
        <v>0</v>
      </c>
      <c r="M92" s="585">
        <v>0</v>
      </c>
      <c r="N92" s="585">
        <v>0</v>
      </c>
      <c r="O92" s="585">
        <v>0</v>
      </c>
      <c r="P92" s="585">
        <v>0</v>
      </c>
      <c r="Q92" s="585">
        <v>0</v>
      </c>
      <c r="R92" s="585">
        <v>0</v>
      </c>
      <c r="S92" s="585">
        <v>0</v>
      </c>
      <c r="T92" s="585">
        <v>0</v>
      </c>
      <c r="U92" s="356" t="s">
        <v>625</v>
      </c>
      <c r="V92" s="356"/>
    </row>
    <row r="93" spans="2:22" x14ac:dyDescent="0.2">
      <c r="B93" s="392" t="str">
        <f t="shared" si="2"/>
        <v>Hull cleaning-Lifetime</v>
      </c>
      <c r="C93" s="392" t="s">
        <v>520</v>
      </c>
      <c r="D93" s="397" t="s">
        <v>145</v>
      </c>
      <c r="E93" s="392" t="s">
        <v>176</v>
      </c>
      <c r="F93" s="356">
        <v>1</v>
      </c>
      <c r="G93" s="356">
        <v>1</v>
      </c>
      <c r="H93" s="356">
        <v>1</v>
      </c>
      <c r="I93" s="356">
        <v>1</v>
      </c>
      <c r="J93" s="356">
        <v>1</v>
      </c>
      <c r="K93" s="356">
        <v>1</v>
      </c>
      <c r="L93" s="356">
        <v>1</v>
      </c>
      <c r="M93" s="356">
        <v>1</v>
      </c>
      <c r="N93" s="356">
        <v>1</v>
      </c>
      <c r="O93" s="356">
        <v>1</v>
      </c>
      <c r="P93" s="356">
        <v>1</v>
      </c>
      <c r="Q93" s="356">
        <v>1</v>
      </c>
      <c r="R93" s="356">
        <v>1</v>
      </c>
      <c r="S93" s="356">
        <v>1</v>
      </c>
      <c r="T93" s="356">
        <v>1</v>
      </c>
      <c r="U93" s="356" t="s">
        <v>625</v>
      </c>
      <c r="V93" s="356"/>
    </row>
    <row r="94" spans="2:22" x14ac:dyDescent="0.2">
      <c r="B94" s="392" t="str">
        <f t="shared" si="2"/>
        <v>Hull cleaning-OPEX</v>
      </c>
      <c r="C94" s="392" t="s">
        <v>319</v>
      </c>
      <c r="D94" s="399" t="s">
        <v>145</v>
      </c>
      <c r="E94" s="392" t="s">
        <v>630</v>
      </c>
      <c r="F94" s="585">
        <v>20000</v>
      </c>
      <c r="G94" s="585">
        <v>35000</v>
      </c>
      <c r="H94" s="585">
        <v>50000</v>
      </c>
      <c r="I94" s="585">
        <v>20000</v>
      </c>
      <c r="J94" s="585">
        <v>35000</v>
      </c>
      <c r="K94" s="585">
        <v>50000</v>
      </c>
      <c r="L94" s="585">
        <v>20000</v>
      </c>
      <c r="M94" s="585">
        <v>35000</v>
      </c>
      <c r="N94" s="585">
        <v>50000</v>
      </c>
      <c r="O94" s="585">
        <v>20000</v>
      </c>
      <c r="P94" s="585">
        <v>35000</v>
      </c>
      <c r="Q94" s="585">
        <v>50000</v>
      </c>
      <c r="R94" s="585">
        <v>20000</v>
      </c>
      <c r="S94" s="585">
        <v>35000</v>
      </c>
      <c r="T94" s="585">
        <v>50000</v>
      </c>
      <c r="U94" s="356" t="s">
        <v>625</v>
      </c>
      <c r="V94" s="356"/>
    </row>
    <row r="95" spans="2:22" x14ac:dyDescent="0.2">
      <c r="B95" s="392" t="str">
        <f t="shared" si="2"/>
        <v>Hull cleaning-Saving</v>
      </c>
      <c r="C95" s="392" t="s">
        <v>458</v>
      </c>
      <c r="D95" s="397" t="s">
        <v>145</v>
      </c>
      <c r="E95" s="392" t="s">
        <v>178</v>
      </c>
      <c r="F95" s="359">
        <v>0.03</v>
      </c>
      <c r="G95" s="359">
        <v>0.03</v>
      </c>
      <c r="H95" s="359">
        <v>0.03</v>
      </c>
      <c r="I95" s="359">
        <v>0.03</v>
      </c>
      <c r="J95" s="359">
        <v>0.03</v>
      </c>
      <c r="K95" s="359">
        <v>0.03</v>
      </c>
      <c r="L95" s="359">
        <v>0.03</v>
      </c>
      <c r="M95" s="359">
        <v>0.03</v>
      </c>
      <c r="N95" s="359">
        <v>0.03</v>
      </c>
      <c r="O95" s="359">
        <v>0.03</v>
      </c>
      <c r="P95" s="359">
        <v>0.03</v>
      </c>
      <c r="Q95" s="359">
        <v>0.03</v>
      </c>
      <c r="R95" s="359">
        <v>0.03</v>
      </c>
      <c r="S95" s="359">
        <v>0.03</v>
      </c>
      <c r="T95" s="359">
        <v>0.03</v>
      </c>
      <c r="U95" s="356" t="s">
        <v>625</v>
      </c>
      <c r="V95" s="356"/>
    </row>
    <row r="96" spans="2:22" x14ac:dyDescent="0.2">
      <c r="B96" s="392" t="str">
        <f t="shared" si="2"/>
        <v>Hull cleaning-UptakeFleetAvg2020</v>
      </c>
      <c r="C96" s="392" t="s">
        <v>650</v>
      </c>
      <c r="D96" s="397" t="s">
        <v>145</v>
      </c>
      <c r="E96" s="392" t="s">
        <v>178</v>
      </c>
      <c r="F96" s="359">
        <v>1</v>
      </c>
      <c r="G96" s="359">
        <v>1</v>
      </c>
      <c r="H96" s="359">
        <v>1</v>
      </c>
      <c r="I96" s="359">
        <v>1</v>
      </c>
      <c r="J96" s="359">
        <v>1</v>
      </c>
      <c r="K96" s="359">
        <v>1</v>
      </c>
      <c r="L96" s="359">
        <v>1</v>
      </c>
      <c r="M96" s="359">
        <v>1</v>
      </c>
      <c r="N96" s="359">
        <v>1</v>
      </c>
      <c r="O96" s="359">
        <v>1</v>
      </c>
      <c r="P96" s="359">
        <v>1</v>
      </c>
      <c r="Q96" s="359">
        <v>1</v>
      </c>
      <c r="R96" s="359">
        <v>1</v>
      </c>
      <c r="S96" s="359">
        <v>1</v>
      </c>
      <c r="T96" s="359">
        <v>1</v>
      </c>
      <c r="U96" s="356" t="s">
        <v>627</v>
      </c>
      <c r="V96" s="356"/>
    </row>
    <row r="97" spans="2:22" x14ac:dyDescent="0.2">
      <c r="B97" s="392" t="str">
        <f t="shared" si="2"/>
        <v>Hull paint/coating-Applicable Newbuild</v>
      </c>
      <c r="C97" s="392" t="s">
        <v>621</v>
      </c>
      <c r="D97" s="396" t="s">
        <v>144</v>
      </c>
      <c r="E97" s="392" t="s">
        <v>622</v>
      </c>
      <c r="F97" s="356">
        <v>1</v>
      </c>
      <c r="G97" s="356">
        <v>1</v>
      </c>
      <c r="H97" s="356">
        <v>1</v>
      </c>
      <c r="I97" s="356">
        <v>1</v>
      </c>
      <c r="J97" s="356">
        <v>1</v>
      </c>
      <c r="K97" s="356">
        <v>1</v>
      </c>
      <c r="L97" s="356">
        <v>1</v>
      </c>
      <c r="M97" s="356">
        <v>1</v>
      </c>
      <c r="N97" s="356">
        <v>1</v>
      </c>
      <c r="O97" s="356">
        <v>1</v>
      </c>
      <c r="P97" s="356">
        <v>1</v>
      </c>
      <c r="Q97" s="356">
        <v>1</v>
      </c>
      <c r="R97" s="356">
        <v>1</v>
      </c>
      <c r="S97" s="356">
        <v>1</v>
      </c>
      <c r="T97" s="356">
        <v>1</v>
      </c>
      <c r="U97" s="356" t="s">
        <v>627</v>
      </c>
      <c r="V97" s="356"/>
    </row>
    <row r="98" spans="2:22" x14ac:dyDescent="0.2">
      <c r="B98" s="392" t="str">
        <f t="shared" si="2"/>
        <v>Hull paint/coating-Applicable Retrofit</v>
      </c>
      <c r="C98" s="392" t="s">
        <v>629</v>
      </c>
      <c r="D98" s="396" t="s">
        <v>144</v>
      </c>
      <c r="E98" s="392" t="s">
        <v>622</v>
      </c>
      <c r="F98" s="356">
        <v>1</v>
      </c>
      <c r="G98" s="356">
        <v>1</v>
      </c>
      <c r="H98" s="356">
        <v>1</v>
      </c>
      <c r="I98" s="356">
        <v>1</v>
      </c>
      <c r="J98" s="356">
        <v>1</v>
      </c>
      <c r="K98" s="356">
        <v>1</v>
      </c>
      <c r="L98" s="356">
        <v>1</v>
      </c>
      <c r="M98" s="356">
        <v>1</v>
      </c>
      <c r="N98" s="356">
        <v>1</v>
      </c>
      <c r="O98" s="356">
        <v>1</v>
      </c>
      <c r="P98" s="356">
        <v>1</v>
      </c>
      <c r="Q98" s="356">
        <v>1</v>
      </c>
      <c r="R98" s="356">
        <v>1</v>
      </c>
      <c r="S98" s="356">
        <v>1</v>
      </c>
      <c r="T98" s="356">
        <v>1</v>
      </c>
      <c r="U98" s="356" t="s">
        <v>627</v>
      </c>
      <c r="V98" s="356"/>
    </row>
    <row r="99" spans="2:22" x14ac:dyDescent="0.2">
      <c r="B99" s="392" t="str">
        <f t="shared" si="2"/>
        <v>Hull paint/coating-CAPEX</v>
      </c>
      <c r="C99" s="392" t="s">
        <v>50</v>
      </c>
      <c r="D99" s="396" t="s">
        <v>144</v>
      </c>
      <c r="E99" s="392" t="s">
        <v>630</v>
      </c>
      <c r="F99" s="585" cm="1">
        <f t="array" aca="1" ref="F99" ca="1">IFERROR(
_xlfn.IFS(NewBuild_Retrofit_selector="Newbuild",INDEX($B$1:$V$408,MATCH($D99&amp;"-"&amp;"Installation cost",$B$1:$B$408,0),MATCH(F$3,$B$3:$V$3,0))/INDEX($B$1:$V$408,MATCH($D99&amp;"-"&amp;"Lifetime",$B$1:$B$408,0),MATCH(F$3,$B$3:$V$3,0)),
NewBuild_Retrofit_selector="Retrofit",(INDEX($B$1:$V$408,MATCH($D99&amp;"-"&amp;"Installation cost",$B$1:$B$408,0),MATCH(F$3,$B$3:$V$3,0))+INDEX($B$1:$V$408,MATCH($D99&amp;"-"&amp;"Extra retrofit cost",$B$1:$B$408,0),MATCH(F$3,$B$3:$V$3,0)))/INDEX($B$1:$V$408,MATCH($D99&amp;"-"&amp;"Lifetime",$B$1:$B$408,0),MATCH(F$3,$B$3:$V$3,0))),0)</f>
        <v>0</v>
      </c>
      <c r="G99" s="585" cm="1">
        <f t="array" aca="1" ref="G99" ca="1">IFERROR(
_xlfn.IFS(NewBuild_Retrofit_selector="Newbuild",INDEX($B$1:$V$408,MATCH($D99&amp;"-"&amp;"Installation cost",$B$1:$B$408,0),MATCH(G$3,$B$3:$V$3,0))/INDEX($B$1:$V$408,MATCH($D99&amp;"-"&amp;"Lifetime",$B$1:$B$408,0),MATCH(G$3,$B$3:$V$3,0)),
NewBuild_Retrofit_selector="Retrofit",(INDEX($B$1:$V$408,MATCH($D99&amp;"-"&amp;"Installation cost",$B$1:$B$408,0),MATCH(G$3,$B$3:$V$3,0))+INDEX($B$1:$V$408,MATCH($D99&amp;"-"&amp;"Extra retrofit cost",$B$1:$B$408,0),MATCH(G$3,$B$3:$V$3,0)))/INDEX($B$1:$V$408,MATCH($D99&amp;"-"&amp;"Lifetime",$B$1:$B$408,0),MATCH(G$3,$B$3:$V$3,0))),0)</f>
        <v>0</v>
      </c>
      <c r="H99" s="585" cm="1">
        <f t="array" aca="1" ref="H99" ca="1">IFERROR(
_xlfn.IFS(NewBuild_Retrofit_selector="Newbuild",INDEX($B$1:$V$408,MATCH($D99&amp;"-"&amp;"Installation cost",$B$1:$B$408,0),MATCH(H$3,$B$3:$V$3,0))/INDEX($B$1:$V$408,MATCH($D99&amp;"-"&amp;"Lifetime",$B$1:$B$408,0),MATCH(H$3,$B$3:$V$3,0)),
NewBuild_Retrofit_selector="Retrofit",(INDEX($B$1:$V$408,MATCH($D99&amp;"-"&amp;"Installation cost",$B$1:$B$408,0),MATCH(H$3,$B$3:$V$3,0))+INDEX($B$1:$V$408,MATCH($D99&amp;"-"&amp;"Extra retrofit cost",$B$1:$B$408,0),MATCH(H$3,$B$3:$V$3,0)))/INDEX($B$1:$V$408,MATCH($D99&amp;"-"&amp;"Lifetime",$B$1:$B$408,0),MATCH(H$3,$B$3:$V$3,0))),0)</f>
        <v>0</v>
      </c>
      <c r="I99" s="585" cm="1">
        <f t="array" aca="1" ref="I99" ca="1">IFERROR(
_xlfn.IFS(NewBuild_Retrofit_selector="Newbuild",INDEX($B$1:$V$408,MATCH($D99&amp;"-"&amp;"Installation cost",$B$1:$B$408,0),MATCH(I$3,$B$3:$V$3,0))/INDEX($B$1:$V$408,MATCH($D99&amp;"-"&amp;"Lifetime",$B$1:$B$408,0),MATCH(I$3,$B$3:$V$3,0)),
NewBuild_Retrofit_selector="Retrofit",(INDEX($B$1:$V$408,MATCH($D99&amp;"-"&amp;"Installation cost",$B$1:$B$408,0),MATCH(I$3,$B$3:$V$3,0))+INDEX($B$1:$V$408,MATCH($D99&amp;"-"&amp;"Extra retrofit cost",$B$1:$B$408,0),MATCH(I$3,$B$3:$V$3,0)))/INDEX($B$1:$V$408,MATCH($D99&amp;"-"&amp;"Lifetime",$B$1:$B$408,0),MATCH(I$3,$B$3:$V$3,0))),0)</f>
        <v>0</v>
      </c>
      <c r="J99" s="585" cm="1">
        <f t="array" aca="1" ref="J99" ca="1">IFERROR(
_xlfn.IFS(NewBuild_Retrofit_selector="Newbuild",INDEX($B$1:$V$408,MATCH($D99&amp;"-"&amp;"Installation cost",$B$1:$B$408,0),MATCH(J$3,$B$3:$V$3,0))/INDEX($B$1:$V$408,MATCH($D99&amp;"-"&amp;"Lifetime",$B$1:$B$408,0),MATCH(J$3,$B$3:$V$3,0)),
NewBuild_Retrofit_selector="Retrofit",(INDEX($B$1:$V$408,MATCH($D99&amp;"-"&amp;"Installation cost",$B$1:$B$408,0),MATCH(J$3,$B$3:$V$3,0))+INDEX($B$1:$V$408,MATCH($D99&amp;"-"&amp;"Extra retrofit cost",$B$1:$B$408,0),MATCH(J$3,$B$3:$V$3,0)))/INDEX($B$1:$V$408,MATCH($D99&amp;"-"&amp;"Lifetime",$B$1:$B$408,0),MATCH(J$3,$B$3:$V$3,0))),0)</f>
        <v>0</v>
      </c>
      <c r="K99" s="585" cm="1">
        <f t="array" aca="1" ref="K99" ca="1">IFERROR(
_xlfn.IFS(NewBuild_Retrofit_selector="Newbuild",INDEX($B$1:$V$408,MATCH($D99&amp;"-"&amp;"Installation cost",$B$1:$B$408,0),MATCH(K$3,$B$3:$V$3,0))/INDEX($B$1:$V$408,MATCH($D99&amp;"-"&amp;"Lifetime",$B$1:$B$408,0),MATCH(K$3,$B$3:$V$3,0)),
NewBuild_Retrofit_selector="Retrofit",(INDEX($B$1:$V$408,MATCH($D99&amp;"-"&amp;"Installation cost",$B$1:$B$408,0),MATCH(K$3,$B$3:$V$3,0))+INDEX($B$1:$V$408,MATCH($D99&amp;"-"&amp;"Extra retrofit cost",$B$1:$B$408,0),MATCH(K$3,$B$3:$V$3,0)))/INDEX($B$1:$V$408,MATCH($D99&amp;"-"&amp;"Lifetime",$B$1:$B$408,0),MATCH(K$3,$B$3:$V$3,0))),0)</f>
        <v>0</v>
      </c>
      <c r="L99" s="585" cm="1">
        <f t="array" aca="1" ref="L99" ca="1">IFERROR(
_xlfn.IFS(NewBuild_Retrofit_selector="Newbuild",INDEX($B$1:$V$408,MATCH($D99&amp;"-"&amp;"Installation cost",$B$1:$B$408,0),MATCH(L$3,$B$3:$V$3,0))/INDEX($B$1:$V$408,MATCH($D99&amp;"-"&amp;"Lifetime",$B$1:$B$408,0),MATCH(L$3,$B$3:$V$3,0)),
NewBuild_Retrofit_selector="Retrofit",(INDEX($B$1:$V$408,MATCH($D99&amp;"-"&amp;"Installation cost",$B$1:$B$408,0),MATCH(L$3,$B$3:$V$3,0))+INDEX($B$1:$V$408,MATCH($D99&amp;"-"&amp;"Extra retrofit cost",$B$1:$B$408,0),MATCH(L$3,$B$3:$V$3,0)))/INDEX($B$1:$V$408,MATCH($D99&amp;"-"&amp;"Lifetime",$B$1:$B$408,0),MATCH(L$3,$B$3:$V$3,0))),0)</f>
        <v>0</v>
      </c>
      <c r="M99" s="585" cm="1">
        <f t="array" aca="1" ref="M99" ca="1">IFERROR(
_xlfn.IFS(NewBuild_Retrofit_selector="Newbuild",INDEX($B$1:$V$408,MATCH($D99&amp;"-"&amp;"Installation cost",$B$1:$B$408,0),MATCH(M$3,$B$3:$V$3,0))/INDEX($B$1:$V$408,MATCH($D99&amp;"-"&amp;"Lifetime",$B$1:$B$408,0),MATCH(M$3,$B$3:$V$3,0)),
NewBuild_Retrofit_selector="Retrofit",(INDEX($B$1:$V$408,MATCH($D99&amp;"-"&amp;"Installation cost",$B$1:$B$408,0),MATCH(M$3,$B$3:$V$3,0))+INDEX($B$1:$V$408,MATCH($D99&amp;"-"&amp;"Extra retrofit cost",$B$1:$B$408,0),MATCH(M$3,$B$3:$V$3,0)))/INDEX($B$1:$V$408,MATCH($D99&amp;"-"&amp;"Lifetime",$B$1:$B$408,0),MATCH(M$3,$B$3:$V$3,0))),0)</f>
        <v>0</v>
      </c>
      <c r="N99" s="585" cm="1">
        <f t="array" aca="1" ref="N99" ca="1">IFERROR(
_xlfn.IFS(NewBuild_Retrofit_selector="Newbuild",INDEX($B$1:$V$408,MATCH($D99&amp;"-"&amp;"Installation cost",$B$1:$B$408,0),MATCH(N$3,$B$3:$V$3,0))/INDEX($B$1:$V$408,MATCH($D99&amp;"-"&amp;"Lifetime",$B$1:$B$408,0),MATCH(N$3,$B$3:$V$3,0)),
NewBuild_Retrofit_selector="Retrofit",(INDEX($B$1:$V$408,MATCH($D99&amp;"-"&amp;"Installation cost",$B$1:$B$408,0),MATCH(N$3,$B$3:$V$3,0))+INDEX($B$1:$V$408,MATCH($D99&amp;"-"&amp;"Extra retrofit cost",$B$1:$B$408,0),MATCH(N$3,$B$3:$V$3,0)))/INDEX($B$1:$V$408,MATCH($D99&amp;"-"&amp;"Lifetime",$B$1:$B$408,0),MATCH(N$3,$B$3:$V$3,0))),0)</f>
        <v>0</v>
      </c>
      <c r="O99" s="585" cm="1">
        <f t="array" aca="1" ref="O99" ca="1">IFERROR(
_xlfn.IFS(NewBuild_Retrofit_selector="Newbuild",INDEX($B$1:$V$408,MATCH($D99&amp;"-"&amp;"Installation cost",$B$1:$B$408,0),MATCH(O$3,$B$3:$V$3,0))/INDEX($B$1:$V$408,MATCH($D99&amp;"-"&amp;"Lifetime",$B$1:$B$408,0),MATCH(O$3,$B$3:$V$3,0)),
NewBuild_Retrofit_selector="Retrofit",(INDEX($B$1:$V$408,MATCH($D99&amp;"-"&amp;"Installation cost",$B$1:$B$408,0),MATCH(O$3,$B$3:$V$3,0))+INDEX($B$1:$V$408,MATCH($D99&amp;"-"&amp;"Extra retrofit cost",$B$1:$B$408,0),MATCH(O$3,$B$3:$V$3,0)))/INDEX($B$1:$V$408,MATCH($D99&amp;"-"&amp;"Lifetime",$B$1:$B$408,0),MATCH(O$3,$B$3:$V$3,0))),0)</f>
        <v>0</v>
      </c>
      <c r="P99" s="585" cm="1">
        <f t="array" aca="1" ref="P99" ca="1">IFERROR(
_xlfn.IFS(NewBuild_Retrofit_selector="Newbuild",INDEX($B$1:$V$408,MATCH($D99&amp;"-"&amp;"Installation cost",$B$1:$B$408,0),MATCH(P$3,$B$3:$V$3,0))/INDEX($B$1:$V$408,MATCH($D99&amp;"-"&amp;"Lifetime",$B$1:$B$408,0),MATCH(P$3,$B$3:$V$3,0)),
NewBuild_Retrofit_selector="Retrofit",(INDEX($B$1:$V$408,MATCH($D99&amp;"-"&amp;"Installation cost",$B$1:$B$408,0),MATCH(P$3,$B$3:$V$3,0))+INDEX($B$1:$V$408,MATCH($D99&amp;"-"&amp;"Extra retrofit cost",$B$1:$B$408,0),MATCH(P$3,$B$3:$V$3,0)))/INDEX($B$1:$V$408,MATCH($D99&amp;"-"&amp;"Lifetime",$B$1:$B$408,0),MATCH(P$3,$B$3:$V$3,0))),0)</f>
        <v>0</v>
      </c>
      <c r="Q99" s="585" cm="1">
        <f t="array" aca="1" ref="Q99" ca="1">IFERROR(
_xlfn.IFS(NewBuild_Retrofit_selector="Newbuild",INDEX($B$1:$V$408,MATCH($D99&amp;"-"&amp;"Installation cost",$B$1:$B$408,0),MATCH(Q$3,$B$3:$V$3,0))/INDEX($B$1:$V$408,MATCH($D99&amp;"-"&amp;"Lifetime",$B$1:$B$408,0),MATCH(Q$3,$B$3:$V$3,0)),
NewBuild_Retrofit_selector="Retrofit",(INDEX($B$1:$V$408,MATCH($D99&amp;"-"&amp;"Installation cost",$B$1:$B$408,0),MATCH(Q$3,$B$3:$V$3,0))+INDEX($B$1:$V$408,MATCH($D99&amp;"-"&amp;"Extra retrofit cost",$B$1:$B$408,0),MATCH(Q$3,$B$3:$V$3,0)))/INDEX($B$1:$V$408,MATCH($D99&amp;"-"&amp;"Lifetime",$B$1:$B$408,0),MATCH(Q$3,$B$3:$V$3,0))),0)</f>
        <v>0</v>
      </c>
      <c r="R99" s="585" cm="1">
        <f t="array" aca="1" ref="R99" ca="1">IFERROR(
_xlfn.IFS(NewBuild_Retrofit_selector="Newbuild",INDEX($B$1:$V$408,MATCH($D99&amp;"-"&amp;"Installation cost",$B$1:$B$408,0),MATCH(R$3,$B$3:$V$3,0))/INDEX($B$1:$V$408,MATCH($D99&amp;"-"&amp;"Lifetime",$B$1:$B$408,0),MATCH(R$3,$B$3:$V$3,0)),
NewBuild_Retrofit_selector="Retrofit",(INDEX($B$1:$V$408,MATCH($D99&amp;"-"&amp;"Installation cost",$B$1:$B$408,0),MATCH(R$3,$B$3:$V$3,0))+INDEX($B$1:$V$408,MATCH($D99&amp;"-"&amp;"Extra retrofit cost",$B$1:$B$408,0),MATCH(R$3,$B$3:$V$3,0)))/INDEX($B$1:$V$408,MATCH($D99&amp;"-"&amp;"Lifetime",$B$1:$B$408,0),MATCH(R$3,$B$3:$V$3,0))),0)</f>
        <v>0</v>
      </c>
      <c r="S99" s="585" cm="1">
        <f t="array" aca="1" ref="S99" ca="1">IFERROR(
_xlfn.IFS(NewBuild_Retrofit_selector="Newbuild",INDEX($B$1:$V$408,MATCH($D99&amp;"-"&amp;"Installation cost",$B$1:$B$408,0),MATCH(S$3,$B$3:$V$3,0))/INDEX($B$1:$V$408,MATCH($D99&amp;"-"&amp;"Lifetime",$B$1:$B$408,0),MATCH(S$3,$B$3:$V$3,0)),
NewBuild_Retrofit_selector="Retrofit",(INDEX($B$1:$V$408,MATCH($D99&amp;"-"&amp;"Installation cost",$B$1:$B$408,0),MATCH(S$3,$B$3:$V$3,0))+INDEX($B$1:$V$408,MATCH($D99&amp;"-"&amp;"Extra retrofit cost",$B$1:$B$408,0),MATCH(S$3,$B$3:$V$3,0)))/INDEX($B$1:$V$408,MATCH($D99&amp;"-"&amp;"Lifetime",$B$1:$B$408,0),MATCH(S$3,$B$3:$V$3,0))),0)</f>
        <v>0</v>
      </c>
      <c r="T99" s="585" cm="1">
        <f t="array" aca="1" ref="T99" ca="1">IFERROR(
_xlfn.IFS(NewBuild_Retrofit_selector="Newbuild",INDEX($B$1:$V$408,MATCH($D99&amp;"-"&amp;"Installation cost",$B$1:$B$408,0),MATCH(T$3,$B$3:$V$3,0))/INDEX($B$1:$V$408,MATCH($D99&amp;"-"&amp;"Lifetime",$B$1:$B$408,0),MATCH(T$3,$B$3:$V$3,0)),
NewBuild_Retrofit_selector="Retrofit",(INDEX($B$1:$V$408,MATCH($D99&amp;"-"&amp;"Installation cost",$B$1:$B$408,0),MATCH(T$3,$B$3:$V$3,0))+INDEX($B$1:$V$408,MATCH($D99&amp;"-"&amp;"Extra retrofit cost",$B$1:$B$408,0),MATCH(T$3,$B$3:$V$3,0)))/INDEX($B$1:$V$408,MATCH($D99&amp;"-"&amp;"Lifetime",$B$1:$B$408,0),MATCH(T$3,$B$3:$V$3,0))),0)</f>
        <v>0</v>
      </c>
      <c r="U99" s="356"/>
      <c r="V99" s="356"/>
    </row>
    <row r="100" spans="2:22" x14ac:dyDescent="0.2">
      <c r="B100" s="392" t="str">
        <f t="shared" si="2"/>
        <v>Hull paint/coating-Extra retrofit cost</v>
      </c>
      <c r="C100" s="392" t="s">
        <v>634</v>
      </c>
      <c r="D100" s="396" t="s">
        <v>144</v>
      </c>
      <c r="E100" s="392" t="s">
        <v>635</v>
      </c>
      <c r="F100" s="585">
        <v>0</v>
      </c>
      <c r="G100" s="585">
        <v>0</v>
      </c>
      <c r="H100" s="585">
        <v>0</v>
      </c>
      <c r="I100" s="585">
        <v>0</v>
      </c>
      <c r="J100" s="585">
        <v>0</v>
      </c>
      <c r="K100" s="585">
        <v>0</v>
      </c>
      <c r="L100" s="585">
        <v>0</v>
      </c>
      <c r="M100" s="585">
        <v>0</v>
      </c>
      <c r="N100" s="585">
        <v>0</v>
      </c>
      <c r="O100" s="585">
        <v>0</v>
      </c>
      <c r="P100" s="585">
        <v>0</v>
      </c>
      <c r="Q100" s="585">
        <v>0</v>
      </c>
      <c r="R100" s="585">
        <v>0</v>
      </c>
      <c r="S100" s="585">
        <v>0</v>
      </c>
      <c r="T100" s="585">
        <v>0</v>
      </c>
      <c r="U100" s="356"/>
      <c r="V100" s="356"/>
    </row>
    <row r="101" spans="2:22" x14ac:dyDescent="0.2">
      <c r="B101" s="392" t="str">
        <f t="shared" si="2"/>
        <v>Hull paint/coating-UptakeNewbuild2020</v>
      </c>
      <c r="C101" s="392" t="s">
        <v>652</v>
      </c>
      <c r="D101" s="396" t="s">
        <v>144</v>
      </c>
      <c r="E101" s="392" t="s">
        <v>178</v>
      </c>
      <c r="F101" s="359">
        <v>0</v>
      </c>
      <c r="G101" s="359">
        <v>0</v>
      </c>
      <c r="H101" s="359">
        <v>0</v>
      </c>
      <c r="I101" s="359">
        <v>0</v>
      </c>
      <c r="J101" s="359">
        <v>0</v>
      </c>
      <c r="K101" s="359">
        <v>0</v>
      </c>
      <c r="L101" s="359">
        <v>0</v>
      </c>
      <c r="M101" s="359">
        <v>0</v>
      </c>
      <c r="N101" s="359">
        <v>0</v>
      </c>
      <c r="O101" s="359">
        <v>0</v>
      </c>
      <c r="P101" s="359">
        <v>0</v>
      </c>
      <c r="Q101" s="359">
        <v>0</v>
      </c>
      <c r="R101" s="359">
        <v>0</v>
      </c>
      <c r="S101" s="359">
        <v>0</v>
      </c>
      <c r="T101" s="359">
        <v>0</v>
      </c>
      <c r="U101" s="356" t="s">
        <v>651</v>
      </c>
      <c r="V101" s="356"/>
    </row>
    <row r="102" spans="2:22" x14ac:dyDescent="0.2">
      <c r="B102" s="392" t="str">
        <f t="shared" si="2"/>
        <v>Hull paint/coating-Installation cost</v>
      </c>
      <c r="C102" s="392" t="s">
        <v>452</v>
      </c>
      <c r="D102" s="396" t="s">
        <v>144</v>
      </c>
      <c r="E102" s="392" t="s">
        <v>635</v>
      </c>
      <c r="F102" s="585">
        <v>150000</v>
      </c>
      <c r="G102" s="585">
        <v>200000</v>
      </c>
      <c r="H102" s="585">
        <v>350000</v>
      </c>
      <c r="I102" s="585">
        <v>150000</v>
      </c>
      <c r="J102" s="585">
        <v>200000</v>
      </c>
      <c r="K102" s="585">
        <v>350000</v>
      </c>
      <c r="L102" s="585">
        <v>150000</v>
      </c>
      <c r="M102" s="585">
        <v>200000</v>
      </c>
      <c r="N102" s="585">
        <v>350000</v>
      </c>
      <c r="O102" s="585">
        <v>150000</v>
      </c>
      <c r="P102" s="585">
        <v>200000</v>
      </c>
      <c r="Q102" s="585">
        <v>350000</v>
      </c>
      <c r="R102" s="585">
        <v>150000</v>
      </c>
      <c r="S102" s="585">
        <v>200000</v>
      </c>
      <c r="T102" s="585">
        <v>350000</v>
      </c>
      <c r="U102" s="356" t="s">
        <v>628</v>
      </c>
      <c r="V102" s="356"/>
    </row>
    <row r="103" spans="2:22" x14ac:dyDescent="0.2">
      <c r="B103" s="392" t="str">
        <f t="shared" si="2"/>
        <v>Hull paint/coating-Lifetime</v>
      </c>
      <c r="C103" s="392" t="s">
        <v>520</v>
      </c>
      <c r="D103" s="396" t="s">
        <v>144</v>
      </c>
      <c r="E103" s="392" t="s">
        <v>176</v>
      </c>
      <c r="F103" s="356">
        <v>5</v>
      </c>
      <c r="G103" s="356">
        <v>5</v>
      </c>
      <c r="H103" s="356">
        <v>5</v>
      </c>
      <c r="I103" s="356">
        <v>5</v>
      </c>
      <c r="J103" s="356">
        <v>5</v>
      </c>
      <c r="K103" s="356">
        <v>5</v>
      </c>
      <c r="L103" s="356">
        <v>5</v>
      </c>
      <c r="M103" s="356">
        <v>5</v>
      </c>
      <c r="N103" s="356">
        <v>5</v>
      </c>
      <c r="O103" s="356">
        <v>5</v>
      </c>
      <c r="P103" s="356">
        <v>5</v>
      </c>
      <c r="Q103" s="356">
        <v>5</v>
      </c>
      <c r="R103" s="356">
        <v>5</v>
      </c>
      <c r="S103" s="356">
        <v>5</v>
      </c>
      <c r="T103" s="356">
        <v>5</v>
      </c>
      <c r="U103" s="356" t="s">
        <v>628</v>
      </c>
      <c r="V103" s="356"/>
    </row>
    <row r="104" spans="2:22" x14ac:dyDescent="0.2">
      <c r="B104" s="392" t="str">
        <f t="shared" si="2"/>
        <v>Hull paint/coating-OPEX</v>
      </c>
      <c r="C104" s="392" t="s">
        <v>319</v>
      </c>
      <c r="D104" s="396" t="s">
        <v>144</v>
      </c>
      <c r="E104" s="392" t="s">
        <v>630</v>
      </c>
      <c r="F104" s="585">
        <v>18000</v>
      </c>
      <c r="G104" s="585">
        <v>18000</v>
      </c>
      <c r="H104" s="585">
        <v>18000</v>
      </c>
      <c r="I104" s="585">
        <v>24000</v>
      </c>
      <c r="J104" s="585">
        <v>24000</v>
      </c>
      <c r="K104" s="585">
        <v>24000</v>
      </c>
      <c r="L104" s="585">
        <v>24000</v>
      </c>
      <c r="M104" s="585">
        <v>24000</v>
      </c>
      <c r="N104" s="585">
        <v>24000</v>
      </c>
      <c r="O104" s="585">
        <v>18000</v>
      </c>
      <c r="P104" s="585">
        <v>18000</v>
      </c>
      <c r="Q104" s="585">
        <v>18000</v>
      </c>
      <c r="R104" s="585">
        <v>18000</v>
      </c>
      <c r="S104" s="585">
        <v>18000</v>
      </c>
      <c r="T104" s="585">
        <v>18000</v>
      </c>
      <c r="U104" s="356" t="s">
        <v>628</v>
      </c>
      <c r="V104" s="356"/>
    </row>
    <row r="105" spans="2:22" x14ac:dyDescent="0.2">
      <c r="B105" s="392" t="str">
        <f t="shared" si="2"/>
        <v>Hull paint/coating-Saving</v>
      </c>
      <c r="C105" s="392" t="s">
        <v>458</v>
      </c>
      <c r="D105" s="396" t="s">
        <v>144</v>
      </c>
      <c r="E105" s="392" t="s">
        <v>178</v>
      </c>
      <c r="F105" s="359">
        <v>0.03</v>
      </c>
      <c r="G105" s="359">
        <v>0.03</v>
      </c>
      <c r="H105" s="359">
        <v>0.03</v>
      </c>
      <c r="I105" s="359">
        <v>0.05</v>
      </c>
      <c r="J105" s="359">
        <v>0.05</v>
      </c>
      <c r="K105" s="359">
        <v>0.05</v>
      </c>
      <c r="L105" s="359">
        <v>0.05</v>
      </c>
      <c r="M105" s="359">
        <v>0.05</v>
      </c>
      <c r="N105" s="359">
        <v>0.05</v>
      </c>
      <c r="O105" s="359">
        <v>0.03</v>
      </c>
      <c r="P105" s="359">
        <v>0.03</v>
      </c>
      <c r="Q105" s="359">
        <v>0.03</v>
      </c>
      <c r="R105" s="359">
        <v>0.03</v>
      </c>
      <c r="S105" s="359">
        <v>0.03</v>
      </c>
      <c r="T105" s="359">
        <v>0.03</v>
      </c>
      <c r="U105" s="356" t="s">
        <v>628</v>
      </c>
      <c r="V105" s="356"/>
    </row>
    <row r="106" spans="2:22" x14ac:dyDescent="0.2">
      <c r="B106" s="392" t="str">
        <f t="shared" si="2"/>
        <v>Hull paint/coating-UptakeFleetAvg2020</v>
      </c>
      <c r="C106" s="392" t="s">
        <v>650</v>
      </c>
      <c r="D106" s="396" t="s">
        <v>144</v>
      </c>
      <c r="E106" s="392" t="s">
        <v>178</v>
      </c>
      <c r="F106" s="359">
        <v>0.35</v>
      </c>
      <c r="G106" s="359">
        <v>0.35</v>
      </c>
      <c r="H106" s="359">
        <v>0.35</v>
      </c>
      <c r="I106" s="359">
        <v>0.15</v>
      </c>
      <c r="J106" s="359">
        <v>0.15</v>
      </c>
      <c r="K106" s="359">
        <v>0.15</v>
      </c>
      <c r="L106" s="359">
        <v>0.15</v>
      </c>
      <c r="M106" s="359">
        <v>0.15</v>
      </c>
      <c r="N106" s="359">
        <v>0.15</v>
      </c>
      <c r="O106" s="359">
        <v>0.35</v>
      </c>
      <c r="P106" s="359">
        <v>0.35</v>
      </c>
      <c r="Q106" s="359">
        <v>0.35</v>
      </c>
      <c r="R106" s="359">
        <v>0.15</v>
      </c>
      <c r="S106" s="359">
        <v>0.15</v>
      </c>
      <c r="T106" s="359">
        <v>0.15</v>
      </c>
      <c r="U106" s="356" t="s">
        <v>628</v>
      </c>
      <c r="V106" s="356"/>
    </row>
    <row r="107" spans="2:22" x14ac:dyDescent="0.2">
      <c r="B107" s="392" t="str">
        <f t="shared" si="2"/>
        <v>Hull retrofit-Applicable Newbuild</v>
      </c>
      <c r="C107" s="392" t="s">
        <v>621</v>
      </c>
      <c r="D107" s="396" t="s">
        <v>148</v>
      </c>
      <c r="E107" s="392" t="s">
        <v>622</v>
      </c>
      <c r="F107" s="356">
        <v>0</v>
      </c>
      <c r="G107" s="356">
        <v>0</v>
      </c>
      <c r="H107" s="356">
        <v>0</v>
      </c>
      <c r="I107" s="356">
        <v>0</v>
      </c>
      <c r="J107" s="356">
        <v>0</v>
      </c>
      <c r="K107" s="356">
        <v>0</v>
      </c>
      <c r="L107" s="356">
        <v>0</v>
      </c>
      <c r="M107" s="356">
        <v>0</v>
      </c>
      <c r="N107" s="356">
        <v>0</v>
      </c>
      <c r="O107" s="356">
        <v>0</v>
      </c>
      <c r="P107" s="356">
        <v>0</v>
      </c>
      <c r="Q107" s="356">
        <v>0</v>
      </c>
      <c r="R107" s="356">
        <v>0</v>
      </c>
      <c r="S107" s="356">
        <v>0</v>
      </c>
      <c r="T107" s="356">
        <v>0</v>
      </c>
      <c r="U107" s="356" t="s">
        <v>625</v>
      </c>
      <c r="V107" s="356"/>
    </row>
    <row r="108" spans="2:22" x14ac:dyDescent="0.2">
      <c r="B108" s="392" t="str">
        <f t="shared" si="2"/>
        <v>Hull retrofit-Applicable Retrofit</v>
      </c>
      <c r="C108" s="392" t="s">
        <v>629</v>
      </c>
      <c r="D108" s="396" t="s">
        <v>148</v>
      </c>
      <c r="E108" s="392" t="s">
        <v>622</v>
      </c>
      <c r="F108" s="356">
        <v>1</v>
      </c>
      <c r="G108" s="356">
        <v>1</v>
      </c>
      <c r="H108" s="356">
        <v>1</v>
      </c>
      <c r="I108" s="356">
        <v>1</v>
      </c>
      <c r="J108" s="356">
        <v>1</v>
      </c>
      <c r="K108" s="356">
        <v>1</v>
      </c>
      <c r="L108" s="356">
        <v>1</v>
      </c>
      <c r="M108" s="356">
        <v>1</v>
      </c>
      <c r="N108" s="356">
        <v>1</v>
      </c>
      <c r="O108" s="356">
        <v>1</v>
      </c>
      <c r="P108" s="356">
        <v>1</v>
      </c>
      <c r="Q108" s="356">
        <v>1</v>
      </c>
      <c r="R108" s="356">
        <v>1</v>
      </c>
      <c r="S108" s="356">
        <v>1</v>
      </c>
      <c r="T108" s="356">
        <v>1</v>
      </c>
      <c r="U108" s="356" t="s">
        <v>625</v>
      </c>
      <c r="V108" s="356"/>
    </row>
    <row r="109" spans="2:22" x14ac:dyDescent="0.2">
      <c r="B109" s="392" t="str">
        <f t="shared" si="2"/>
        <v>Hull retrofit-CAPEX</v>
      </c>
      <c r="C109" s="392" t="s">
        <v>50</v>
      </c>
      <c r="D109" s="396" t="s">
        <v>148</v>
      </c>
      <c r="E109" s="392" t="s">
        <v>630</v>
      </c>
      <c r="F109" s="585" cm="1">
        <f t="array" aca="1" ref="F109" ca="1">IFERROR(
_xlfn.IFS(NewBuild_Retrofit_selector="Newbuild",INDEX($B$1:$V$408,MATCH($D109&amp;"-"&amp;"Installation cost",$B$1:$B$408,0),MATCH(F$3,$B$3:$V$3,0))/INDEX($B$1:$V$408,MATCH($D109&amp;"-"&amp;"Lifetime",$B$1:$B$408,0),MATCH(F$3,$B$3:$V$3,0)),
NewBuild_Retrofit_selector="Retrofit",(INDEX($B$1:$V$408,MATCH($D109&amp;"-"&amp;"Installation cost",$B$1:$B$408,0),MATCH(F$3,$B$3:$V$3,0))+INDEX($B$1:$V$408,MATCH($D109&amp;"-"&amp;"Extra retrofit cost",$B$1:$B$408,0),MATCH(F$3,$B$3:$V$3,0)))/INDEX($B$1:$V$408,MATCH($D109&amp;"-"&amp;"Lifetime",$B$1:$B$408,0),MATCH(F$3,$B$3:$V$3,0))),0)</f>
        <v>0</v>
      </c>
      <c r="G109" s="585" cm="1">
        <f t="array" aca="1" ref="G109" ca="1">IFERROR(
_xlfn.IFS(NewBuild_Retrofit_selector="Newbuild",INDEX($B$1:$V$408,MATCH($D109&amp;"-"&amp;"Installation cost",$B$1:$B$408,0),MATCH(G$3,$B$3:$V$3,0))/INDEX($B$1:$V$408,MATCH($D109&amp;"-"&amp;"Lifetime",$B$1:$B$408,0),MATCH(G$3,$B$3:$V$3,0)),
NewBuild_Retrofit_selector="Retrofit",(INDEX($B$1:$V$408,MATCH($D109&amp;"-"&amp;"Installation cost",$B$1:$B$408,0),MATCH(G$3,$B$3:$V$3,0))+INDEX($B$1:$V$408,MATCH($D109&amp;"-"&amp;"Extra retrofit cost",$B$1:$B$408,0),MATCH(G$3,$B$3:$V$3,0)))/INDEX($B$1:$V$408,MATCH($D109&amp;"-"&amp;"Lifetime",$B$1:$B$408,0),MATCH(G$3,$B$3:$V$3,0))),0)</f>
        <v>0</v>
      </c>
      <c r="H109" s="585" cm="1">
        <f t="array" aca="1" ref="H109" ca="1">IFERROR(
_xlfn.IFS(NewBuild_Retrofit_selector="Newbuild",INDEX($B$1:$V$408,MATCH($D109&amp;"-"&amp;"Installation cost",$B$1:$B$408,0),MATCH(H$3,$B$3:$V$3,0))/INDEX($B$1:$V$408,MATCH($D109&amp;"-"&amp;"Lifetime",$B$1:$B$408,0),MATCH(H$3,$B$3:$V$3,0)),
NewBuild_Retrofit_selector="Retrofit",(INDEX($B$1:$V$408,MATCH($D109&amp;"-"&amp;"Installation cost",$B$1:$B$408,0),MATCH(H$3,$B$3:$V$3,0))+INDEX($B$1:$V$408,MATCH($D109&amp;"-"&amp;"Extra retrofit cost",$B$1:$B$408,0),MATCH(H$3,$B$3:$V$3,0)))/INDEX($B$1:$V$408,MATCH($D109&amp;"-"&amp;"Lifetime",$B$1:$B$408,0),MATCH(H$3,$B$3:$V$3,0))),0)</f>
        <v>0</v>
      </c>
      <c r="I109" s="585" cm="1">
        <f t="array" aca="1" ref="I109" ca="1">IFERROR(
_xlfn.IFS(NewBuild_Retrofit_selector="Newbuild",INDEX($B$1:$V$408,MATCH($D109&amp;"-"&amp;"Installation cost",$B$1:$B$408,0),MATCH(I$3,$B$3:$V$3,0))/INDEX($B$1:$V$408,MATCH($D109&amp;"-"&amp;"Lifetime",$B$1:$B$408,0),MATCH(I$3,$B$3:$V$3,0)),
NewBuild_Retrofit_selector="Retrofit",(INDEX($B$1:$V$408,MATCH($D109&amp;"-"&amp;"Installation cost",$B$1:$B$408,0),MATCH(I$3,$B$3:$V$3,0))+INDEX($B$1:$V$408,MATCH($D109&amp;"-"&amp;"Extra retrofit cost",$B$1:$B$408,0),MATCH(I$3,$B$3:$V$3,0)))/INDEX($B$1:$V$408,MATCH($D109&amp;"-"&amp;"Lifetime",$B$1:$B$408,0),MATCH(I$3,$B$3:$V$3,0))),0)</f>
        <v>0</v>
      </c>
      <c r="J109" s="585" cm="1">
        <f t="array" aca="1" ref="J109" ca="1">IFERROR(
_xlfn.IFS(NewBuild_Retrofit_selector="Newbuild",INDEX($B$1:$V$408,MATCH($D109&amp;"-"&amp;"Installation cost",$B$1:$B$408,0),MATCH(J$3,$B$3:$V$3,0))/INDEX($B$1:$V$408,MATCH($D109&amp;"-"&amp;"Lifetime",$B$1:$B$408,0),MATCH(J$3,$B$3:$V$3,0)),
NewBuild_Retrofit_selector="Retrofit",(INDEX($B$1:$V$408,MATCH($D109&amp;"-"&amp;"Installation cost",$B$1:$B$408,0),MATCH(J$3,$B$3:$V$3,0))+INDEX($B$1:$V$408,MATCH($D109&amp;"-"&amp;"Extra retrofit cost",$B$1:$B$408,0),MATCH(J$3,$B$3:$V$3,0)))/INDEX($B$1:$V$408,MATCH($D109&amp;"-"&amp;"Lifetime",$B$1:$B$408,0),MATCH(J$3,$B$3:$V$3,0))),0)</f>
        <v>0</v>
      </c>
      <c r="K109" s="585" cm="1">
        <f t="array" aca="1" ref="K109" ca="1">IFERROR(
_xlfn.IFS(NewBuild_Retrofit_selector="Newbuild",INDEX($B$1:$V$408,MATCH($D109&amp;"-"&amp;"Installation cost",$B$1:$B$408,0),MATCH(K$3,$B$3:$V$3,0))/INDEX($B$1:$V$408,MATCH($D109&amp;"-"&amp;"Lifetime",$B$1:$B$408,0),MATCH(K$3,$B$3:$V$3,0)),
NewBuild_Retrofit_selector="Retrofit",(INDEX($B$1:$V$408,MATCH($D109&amp;"-"&amp;"Installation cost",$B$1:$B$408,0),MATCH(K$3,$B$3:$V$3,0))+INDEX($B$1:$V$408,MATCH($D109&amp;"-"&amp;"Extra retrofit cost",$B$1:$B$408,0),MATCH(K$3,$B$3:$V$3,0)))/INDEX($B$1:$V$408,MATCH($D109&amp;"-"&amp;"Lifetime",$B$1:$B$408,0),MATCH(K$3,$B$3:$V$3,0))),0)</f>
        <v>0</v>
      </c>
      <c r="L109" s="585" cm="1">
        <f t="array" aca="1" ref="L109" ca="1">IFERROR(
_xlfn.IFS(NewBuild_Retrofit_selector="Newbuild",INDEX($B$1:$V$408,MATCH($D109&amp;"-"&amp;"Installation cost",$B$1:$B$408,0),MATCH(L$3,$B$3:$V$3,0))/INDEX($B$1:$V$408,MATCH($D109&amp;"-"&amp;"Lifetime",$B$1:$B$408,0),MATCH(L$3,$B$3:$V$3,0)),
NewBuild_Retrofit_selector="Retrofit",(INDEX($B$1:$V$408,MATCH($D109&amp;"-"&amp;"Installation cost",$B$1:$B$408,0),MATCH(L$3,$B$3:$V$3,0))+INDEX($B$1:$V$408,MATCH($D109&amp;"-"&amp;"Extra retrofit cost",$B$1:$B$408,0),MATCH(L$3,$B$3:$V$3,0)))/INDEX($B$1:$V$408,MATCH($D109&amp;"-"&amp;"Lifetime",$B$1:$B$408,0),MATCH(L$3,$B$3:$V$3,0))),0)</f>
        <v>0</v>
      </c>
      <c r="M109" s="585" cm="1">
        <f t="array" aca="1" ref="M109" ca="1">IFERROR(
_xlfn.IFS(NewBuild_Retrofit_selector="Newbuild",INDEX($B$1:$V$408,MATCH($D109&amp;"-"&amp;"Installation cost",$B$1:$B$408,0),MATCH(M$3,$B$3:$V$3,0))/INDEX($B$1:$V$408,MATCH($D109&amp;"-"&amp;"Lifetime",$B$1:$B$408,0),MATCH(M$3,$B$3:$V$3,0)),
NewBuild_Retrofit_selector="Retrofit",(INDEX($B$1:$V$408,MATCH($D109&amp;"-"&amp;"Installation cost",$B$1:$B$408,0),MATCH(M$3,$B$3:$V$3,0))+INDEX($B$1:$V$408,MATCH($D109&amp;"-"&amp;"Extra retrofit cost",$B$1:$B$408,0),MATCH(M$3,$B$3:$V$3,0)))/INDEX($B$1:$V$408,MATCH($D109&amp;"-"&amp;"Lifetime",$B$1:$B$408,0),MATCH(M$3,$B$3:$V$3,0))),0)</f>
        <v>0</v>
      </c>
      <c r="N109" s="585" cm="1">
        <f t="array" aca="1" ref="N109" ca="1">IFERROR(
_xlfn.IFS(NewBuild_Retrofit_selector="Newbuild",INDEX($B$1:$V$408,MATCH($D109&amp;"-"&amp;"Installation cost",$B$1:$B$408,0),MATCH(N$3,$B$3:$V$3,0))/INDEX($B$1:$V$408,MATCH($D109&amp;"-"&amp;"Lifetime",$B$1:$B$408,0),MATCH(N$3,$B$3:$V$3,0)),
NewBuild_Retrofit_selector="Retrofit",(INDEX($B$1:$V$408,MATCH($D109&amp;"-"&amp;"Installation cost",$B$1:$B$408,0),MATCH(N$3,$B$3:$V$3,0))+INDEX($B$1:$V$408,MATCH($D109&amp;"-"&amp;"Extra retrofit cost",$B$1:$B$408,0),MATCH(N$3,$B$3:$V$3,0)))/INDEX($B$1:$V$408,MATCH($D109&amp;"-"&amp;"Lifetime",$B$1:$B$408,0),MATCH(N$3,$B$3:$V$3,0))),0)</f>
        <v>0</v>
      </c>
      <c r="O109" s="585" cm="1">
        <f t="array" aca="1" ref="O109" ca="1">IFERROR(
_xlfn.IFS(NewBuild_Retrofit_selector="Newbuild",INDEX($B$1:$V$408,MATCH($D109&amp;"-"&amp;"Installation cost",$B$1:$B$408,0),MATCH(O$3,$B$3:$V$3,0))/INDEX($B$1:$V$408,MATCH($D109&amp;"-"&amp;"Lifetime",$B$1:$B$408,0),MATCH(O$3,$B$3:$V$3,0)),
NewBuild_Retrofit_selector="Retrofit",(INDEX($B$1:$V$408,MATCH($D109&amp;"-"&amp;"Installation cost",$B$1:$B$408,0),MATCH(O$3,$B$3:$V$3,0))+INDEX($B$1:$V$408,MATCH($D109&amp;"-"&amp;"Extra retrofit cost",$B$1:$B$408,0),MATCH(O$3,$B$3:$V$3,0)))/INDEX($B$1:$V$408,MATCH($D109&amp;"-"&amp;"Lifetime",$B$1:$B$408,0),MATCH(O$3,$B$3:$V$3,0))),0)</f>
        <v>0</v>
      </c>
      <c r="P109" s="585" cm="1">
        <f t="array" aca="1" ref="P109" ca="1">IFERROR(
_xlfn.IFS(NewBuild_Retrofit_selector="Newbuild",INDEX($B$1:$V$408,MATCH($D109&amp;"-"&amp;"Installation cost",$B$1:$B$408,0),MATCH(P$3,$B$3:$V$3,0))/INDEX($B$1:$V$408,MATCH($D109&amp;"-"&amp;"Lifetime",$B$1:$B$408,0),MATCH(P$3,$B$3:$V$3,0)),
NewBuild_Retrofit_selector="Retrofit",(INDEX($B$1:$V$408,MATCH($D109&amp;"-"&amp;"Installation cost",$B$1:$B$408,0),MATCH(P$3,$B$3:$V$3,0))+INDEX($B$1:$V$408,MATCH($D109&amp;"-"&amp;"Extra retrofit cost",$B$1:$B$408,0),MATCH(P$3,$B$3:$V$3,0)))/INDEX($B$1:$V$408,MATCH($D109&amp;"-"&amp;"Lifetime",$B$1:$B$408,0),MATCH(P$3,$B$3:$V$3,0))),0)</f>
        <v>0</v>
      </c>
      <c r="Q109" s="585" cm="1">
        <f t="array" aca="1" ref="Q109" ca="1">IFERROR(
_xlfn.IFS(NewBuild_Retrofit_selector="Newbuild",INDEX($B$1:$V$408,MATCH($D109&amp;"-"&amp;"Installation cost",$B$1:$B$408,0),MATCH(Q$3,$B$3:$V$3,0))/INDEX($B$1:$V$408,MATCH($D109&amp;"-"&amp;"Lifetime",$B$1:$B$408,0),MATCH(Q$3,$B$3:$V$3,0)),
NewBuild_Retrofit_selector="Retrofit",(INDEX($B$1:$V$408,MATCH($D109&amp;"-"&amp;"Installation cost",$B$1:$B$408,0),MATCH(Q$3,$B$3:$V$3,0))+INDEX($B$1:$V$408,MATCH($D109&amp;"-"&amp;"Extra retrofit cost",$B$1:$B$408,0),MATCH(Q$3,$B$3:$V$3,0)))/INDEX($B$1:$V$408,MATCH($D109&amp;"-"&amp;"Lifetime",$B$1:$B$408,0),MATCH(Q$3,$B$3:$V$3,0))),0)</f>
        <v>0</v>
      </c>
      <c r="R109" s="585" cm="1">
        <f t="array" aca="1" ref="R109" ca="1">IFERROR(
_xlfn.IFS(NewBuild_Retrofit_selector="Newbuild",INDEX($B$1:$V$408,MATCH($D109&amp;"-"&amp;"Installation cost",$B$1:$B$408,0),MATCH(R$3,$B$3:$V$3,0))/INDEX($B$1:$V$408,MATCH($D109&amp;"-"&amp;"Lifetime",$B$1:$B$408,0),MATCH(R$3,$B$3:$V$3,0)),
NewBuild_Retrofit_selector="Retrofit",(INDEX($B$1:$V$408,MATCH($D109&amp;"-"&amp;"Installation cost",$B$1:$B$408,0),MATCH(R$3,$B$3:$V$3,0))+INDEX($B$1:$V$408,MATCH($D109&amp;"-"&amp;"Extra retrofit cost",$B$1:$B$408,0),MATCH(R$3,$B$3:$V$3,0)))/INDEX($B$1:$V$408,MATCH($D109&amp;"-"&amp;"Lifetime",$B$1:$B$408,0),MATCH(R$3,$B$3:$V$3,0))),0)</f>
        <v>0</v>
      </c>
      <c r="S109" s="585" cm="1">
        <f t="array" aca="1" ref="S109" ca="1">IFERROR(
_xlfn.IFS(NewBuild_Retrofit_selector="Newbuild",INDEX($B$1:$V$408,MATCH($D109&amp;"-"&amp;"Installation cost",$B$1:$B$408,0),MATCH(S$3,$B$3:$V$3,0))/INDEX($B$1:$V$408,MATCH($D109&amp;"-"&amp;"Lifetime",$B$1:$B$408,0),MATCH(S$3,$B$3:$V$3,0)),
NewBuild_Retrofit_selector="Retrofit",(INDEX($B$1:$V$408,MATCH($D109&amp;"-"&amp;"Installation cost",$B$1:$B$408,0),MATCH(S$3,$B$3:$V$3,0))+INDEX($B$1:$V$408,MATCH($D109&amp;"-"&amp;"Extra retrofit cost",$B$1:$B$408,0),MATCH(S$3,$B$3:$V$3,0)))/INDEX($B$1:$V$408,MATCH($D109&amp;"-"&amp;"Lifetime",$B$1:$B$408,0),MATCH(S$3,$B$3:$V$3,0))),0)</f>
        <v>0</v>
      </c>
      <c r="T109" s="585" cm="1">
        <f t="array" aca="1" ref="T109" ca="1">IFERROR(
_xlfn.IFS(NewBuild_Retrofit_selector="Newbuild",INDEX($B$1:$V$408,MATCH($D109&amp;"-"&amp;"Installation cost",$B$1:$B$408,0),MATCH(T$3,$B$3:$V$3,0))/INDEX($B$1:$V$408,MATCH($D109&amp;"-"&amp;"Lifetime",$B$1:$B$408,0),MATCH(T$3,$B$3:$V$3,0)),
NewBuild_Retrofit_selector="Retrofit",(INDEX($B$1:$V$408,MATCH($D109&amp;"-"&amp;"Installation cost",$B$1:$B$408,0),MATCH(T$3,$B$3:$V$3,0))+INDEX($B$1:$V$408,MATCH($D109&amp;"-"&amp;"Extra retrofit cost",$B$1:$B$408,0),MATCH(T$3,$B$3:$V$3,0)))/INDEX($B$1:$V$408,MATCH($D109&amp;"-"&amp;"Lifetime",$B$1:$B$408,0),MATCH(T$3,$B$3:$V$3,0))),0)</f>
        <v>0</v>
      </c>
      <c r="U109" s="356"/>
      <c r="V109" s="356"/>
    </row>
    <row r="110" spans="2:22" x14ac:dyDescent="0.2">
      <c r="B110" s="392" t="str">
        <f t="shared" si="2"/>
        <v>Hull retrofit-Extra retrofit cost</v>
      </c>
      <c r="C110" s="392" t="s">
        <v>634</v>
      </c>
      <c r="D110" s="396" t="s">
        <v>148</v>
      </c>
      <c r="E110" s="392" t="s">
        <v>635</v>
      </c>
      <c r="F110" s="585">
        <v>0</v>
      </c>
      <c r="G110" s="585">
        <v>0</v>
      </c>
      <c r="H110" s="585">
        <v>0</v>
      </c>
      <c r="I110" s="585">
        <v>0</v>
      </c>
      <c r="J110" s="585">
        <v>0</v>
      </c>
      <c r="K110" s="585">
        <v>0</v>
      </c>
      <c r="L110" s="585">
        <v>0</v>
      </c>
      <c r="M110" s="585">
        <v>0</v>
      </c>
      <c r="N110" s="585">
        <v>0</v>
      </c>
      <c r="O110" s="585">
        <v>0</v>
      </c>
      <c r="P110" s="585">
        <v>0</v>
      </c>
      <c r="Q110" s="585">
        <v>0</v>
      </c>
      <c r="R110" s="585">
        <v>0</v>
      </c>
      <c r="S110" s="585">
        <v>0</v>
      </c>
      <c r="T110" s="585">
        <v>0</v>
      </c>
      <c r="U110" s="356"/>
      <c r="V110" s="356"/>
    </row>
    <row r="111" spans="2:22" x14ac:dyDescent="0.2">
      <c r="B111" s="392" t="str">
        <f t="shared" si="2"/>
        <v>Hull retrofit-Installation cost</v>
      </c>
      <c r="C111" s="392" t="s">
        <v>452</v>
      </c>
      <c r="D111" s="396" t="s">
        <v>148</v>
      </c>
      <c r="E111" s="392" t="s">
        <v>635</v>
      </c>
      <c r="F111" s="585">
        <v>500000</v>
      </c>
      <c r="G111" s="585">
        <v>1000000</v>
      </c>
      <c r="H111" s="585">
        <v>1500000</v>
      </c>
      <c r="I111" s="585">
        <v>500000</v>
      </c>
      <c r="J111" s="585">
        <v>1000000</v>
      </c>
      <c r="K111" s="585">
        <v>1500000</v>
      </c>
      <c r="L111" s="585">
        <v>500000</v>
      </c>
      <c r="M111" s="585">
        <v>1000000</v>
      </c>
      <c r="N111" s="585">
        <v>1500000</v>
      </c>
      <c r="O111" s="585">
        <v>500000</v>
      </c>
      <c r="P111" s="585">
        <v>1000000</v>
      </c>
      <c r="Q111" s="585">
        <v>1500000</v>
      </c>
      <c r="R111" s="585">
        <v>500000</v>
      </c>
      <c r="S111" s="585">
        <v>1000000</v>
      </c>
      <c r="T111" s="585">
        <v>1500000</v>
      </c>
      <c r="U111" s="356" t="s">
        <v>628</v>
      </c>
      <c r="V111" s="356"/>
    </row>
    <row r="112" spans="2:22" x14ac:dyDescent="0.2">
      <c r="B112" s="392" t="str">
        <f t="shared" si="2"/>
        <v>Hull retrofit-Lifetime</v>
      </c>
      <c r="C112" s="392" t="s">
        <v>520</v>
      </c>
      <c r="D112" s="396" t="s">
        <v>148</v>
      </c>
      <c r="E112" s="392" t="s">
        <v>176</v>
      </c>
      <c r="F112" s="356">
        <v>25</v>
      </c>
      <c r="G112" s="356">
        <v>25</v>
      </c>
      <c r="H112" s="356">
        <v>25</v>
      </c>
      <c r="I112" s="356">
        <v>25</v>
      </c>
      <c r="J112" s="356">
        <v>25</v>
      </c>
      <c r="K112" s="356">
        <v>25</v>
      </c>
      <c r="L112" s="356">
        <v>25</v>
      </c>
      <c r="M112" s="356">
        <v>25</v>
      </c>
      <c r="N112" s="356">
        <v>25</v>
      </c>
      <c r="O112" s="356">
        <v>25</v>
      </c>
      <c r="P112" s="356">
        <v>25</v>
      </c>
      <c r="Q112" s="356">
        <v>25</v>
      </c>
      <c r="R112" s="356">
        <v>25</v>
      </c>
      <c r="S112" s="356">
        <v>25</v>
      </c>
      <c r="T112" s="356">
        <v>25</v>
      </c>
      <c r="U112" s="356" t="s">
        <v>625</v>
      </c>
      <c r="V112" s="356"/>
    </row>
    <row r="113" spans="2:30" x14ac:dyDescent="0.2">
      <c r="B113" s="392" t="str">
        <f t="shared" si="2"/>
        <v>Hull retrofit-OPEX</v>
      </c>
      <c r="C113" s="392" t="s">
        <v>319</v>
      </c>
      <c r="D113" s="396" t="s">
        <v>148</v>
      </c>
      <c r="E113" s="392" t="s">
        <v>630</v>
      </c>
      <c r="F113" s="585">
        <v>0</v>
      </c>
      <c r="G113" s="585">
        <v>0</v>
      </c>
      <c r="H113" s="585">
        <v>0</v>
      </c>
      <c r="I113" s="585">
        <v>0</v>
      </c>
      <c r="J113" s="585">
        <v>0</v>
      </c>
      <c r="K113" s="585">
        <v>0</v>
      </c>
      <c r="L113" s="585">
        <v>0</v>
      </c>
      <c r="M113" s="585">
        <v>0</v>
      </c>
      <c r="N113" s="585">
        <v>0</v>
      </c>
      <c r="O113" s="585">
        <v>0</v>
      </c>
      <c r="P113" s="585">
        <v>0</v>
      </c>
      <c r="Q113" s="585">
        <v>0</v>
      </c>
      <c r="R113" s="585">
        <v>0</v>
      </c>
      <c r="S113" s="585">
        <v>0</v>
      </c>
      <c r="T113" s="585">
        <v>0</v>
      </c>
      <c r="U113" s="356" t="s">
        <v>625</v>
      </c>
      <c r="V113" s="356"/>
    </row>
    <row r="114" spans="2:30" x14ac:dyDescent="0.2">
      <c r="B114" s="392" t="str">
        <f t="shared" si="2"/>
        <v>Hull retrofit-Saving</v>
      </c>
      <c r="C114" s="392" t="s">
        <v>458</v>
      </c>
      <c r="D114" s="396" t="s">
        <v>148</v>
      </c>
      <c r="E114" s="392" t="s">
        <v>178</v>
      </c>
      <c r="F114" s="359">
        <v>0.04</v>
      </c>
      <c r="G114" s="359">
        <v>0.04</v>
      </c>
      <c r="H114" s="359">
        <v>0.04</v>
      </c>
      <c r="I114" s="359">
        <v>0.01</v>
      </c>
      <c r="J114" s="359">
        <v>0.01</v>
      </c>
      <c r="K114" s="359">
        <v>0.01</v>
      </c>
      <c r="L114" s="359">
        <v>0.01</v>
      </c>
      <c r="M114" s="359">
        <v>0.01</v>
      </c>
      <c r="N114" s="359">
        <v>0.01</v>
      </c>
      <c r="O114" s="359">
        <v>0.04</v>
      </c>
      <c r="P114" s="359">
        <v>0.04</v>
      </c>
      <c r="Q114" s="359">
        <v>0.04</v>
      </c>
      <c r="R114" s="359">
        <v>0.04</v>
      </c>
      <c r="S114" s="359">
        <v>0.04</v>
      </c>
      <c r="T114" s="359">
        <v>0.04</v>
      </c>
      <c r="U114" s="356" t="s">
        <v>628</v>
      </c>
      <c r="V114" s="356"/>
    </row>
    <row r="115" spans="2:30" x14ac:dyDescent="0.2">
      <c r="B115" s="392" t="str">
        <f t="shared" si="2"/>
        <v>Hull retrofit-UptakeFleetAvg2020</v>
      </c>
      <c r="C115" s="392" t="s">
        <v>650</v>
      </c>
      <c r="D115" s="396" t="s">
        <v>148</v>
      </c>
      <c r="E115" s="392" t="s">
        <v>178</v>
      </c>
      <c r="F115" s="359">
        <v>0.05</v>
      </c>
      <c r="G115" s="359">
        <v>0.05</v>
      </c>
      <c r="H115" s="359">
        <v>0.05</v>
      </c>
      <c r="I115" s="359">
        <v>0</v>
      </c>
      <c r="J115" s="359">
        <v>0</v>
      </c>
      <c r="K115" s="359">
        <v>0</v>
      </c>
      <c r="L115" s="359">
        <v>0</v>
      </c>
      <c r="M115" s="359">
        <v>0</v>
      </c>
      <c r="N115" s="359">
        <v>0</v>
      </c>
      <c r="O115" s="359">
        <v>0.05</v>
      </c>
      <c r="P115" s="359">
        <v>0.05</v>
      </c>
      <c r="Q115" s="359">
        <v>0.05</v>
      </c>
      <c r="R115" s="359">
        <v>0</v>
      </c>
      <c r="S115" s="359">
        <v>0</v>
      </c>
      <c r="T115" s="359">
        <v>0</v>
      </c>
      <c r="U115" s="356" t="s">
        <v>628</v>
      </c>
      <c r="V115" s="356"/>
    </row>
    <row r="116" spans="2:30" x14ac:dyDescent="0.2">
      <c r="B116" s="392" t="str">
        <f t="shared" si="2"/>
        <v>Hull retrofit-UptakeNewbuild2020</v>
      </c>
      <c r="C116" s="392" t="s">
        <v>652</v>
      </c>
      <c r="D116" s="396" t="s">
        <v>148</v>
      </c>
      <c r="E116" s="392" t="s">
        <v>178</v>
      </c>
      <c r="F116" s="359">
        <v>0</v>
      </c>
      <c r="G116" s="359">
        <v>0</v>
      </c>
      <c r="H116" s="359">
        <v>0</v>
      </c>
      <c r="I116" s="359">
        <v>0</v>
      </c>
      <c r="J116" s="359">
        <v>0</v>
      </c>
      <c r="K116" s="359">
        <v>0</v>
      </c>
      <c r="L116" s="359">
        <v>0</v>
      </c>
      <c r="M116" s="359">
        <v>0</v>
      </c>
      <c r="N116" s="359">
        <v>0</v>
      </c>
      <c r="O116" s="359">
        <v>0</v>
      </c>
      <c r="P116" s="359">
        <v>0</v>
      </c>
      <c r="Q116" s="359">
        <v>0</v>
      </c>
      <c r="R116" s="359">
        <v>0</v>
      </c>
      <c r="S116" s="359">
        <v>0</v>
      </c>
      <c r="T116" s="359">
        <v>0</v>
      </c>
      <c r="U116" s="356"/>
      <c r="V116" s="356"/>
    </row>
    <row r="117" spans="2:30" x14ac:dyDescent="0.2">
      <c r="B117" s="392" t="str">
        <f t="shared" si="2"/>
        <v>Hull shape optimisation-Applicable Newbuild</v>
      </c>
      <c r="C117" s="392" t="s">
        <v>621</v>
      </c>
      <c r="D117" s="734" t="s">
        <v>142</v>
      </c>
      <c r="E117" s="392" t="s">
        <v>622</v>
      </c>
      <c r="F117" s="356">
        <v>1</v>
      </c>
      <c r="G117" s="356">
        <v>1</v>
      </c>
      <c r="H117" s="356">
        <v>1</v>
      </c>
      <c r="I117" s="356">
        <v>1</v>
      </c>
      <c r="J117" s="356">
        <v>1</v>
      </c>
      <c r="K117" s="356">
        <v>1</v>
      </c>
      <c r="L117" s="356">
        <v>1</v>
      </c>
      <c r="M117" s="356">
        <v>1</v>
      </c>
      <c r="N117" s="356">
        <v>1</v>
      </c>
      <c r="O117" s="356">
        <v>1</v>
      </c>
      <c r="P117" s="356">
        <v>1</v>
      </c>
      <c r="Q117" s="356">
        <v>1</v>
      </c>
      <c r="R117" s="356">
        <v>1</v>
      </c>
      <c r="S117" s="356">
        <v>1</v>
      </c>
      <c r="T117" s="356">
        <v>1</v>
      </c>
      <c r="U117" s="356" t="s">
        <v>625</v>
      </c>
      <c r="V117" s="356"/>
    </row>
    <row r="118" spans="2:30" x14ac:dyDescent="0.2">
      <c r="B118" s="392" t="str">
        <f t="shared" si="2"/>
        <v>Hull shape optimisation-Applicable Retrofit</v>
      </c>
      <c r="C118" s="392" t="s">
        <v>629</v>
      </c>
      <c r="D118" s="734" t="s">
        <v>142</v>
      </c>
      <c r="E118" s="392" t="s">
        <v>622</v>
      </c>
      <c r="F118" s="356">
        <v>0</v>
      </c>
      <c r="G118" s="356">
        <v>0</v>
      </c>
      <c r="H118" s="356">
        <v>0</v>
      </c>
      <c r="I118" s="356">
        <v>0</v>
      </c>
      <c r="J118" s="356">
        <v>0</v>
      </c>
      <c r="K118" s="356">
        <v>0</v>
      </c>
      <c r="L118" s="356">
        <v>0</v>
      </c>
      <c r="M118" s="356">
        <v>0</v>
      </c>
      <c r="N118" s="356">
        <v>0</v>
      </c>
      <c r="O118" s="356">
        <v>0</v>
      </c>
      <c r="P118" s="356">
        <v>0</v>
      </c>
      <c r="Q118" s="356">
        <v>0</v>
      </c>
      <c r="R118" s="356">
        <v>0</v>
      </c>
      <c r="S118" s="356">
        <v>0</v>
      </c>
      <c r="T118" s="356">
        <v>0</v>
      </c>
      <c r="U118" s="356" t="s">
        <v>625</v>
      </c>
      <c r="V118" s="356"/>
      <c r="AC118" s="26"/>
      <c r="AD118" s="26"/>
    </row>
    <row r="119" spans="2:30" x14ac:dyDescent="0.2">
      <c r="B119" s="392" t="str">
        <f t="shared" si="2"/>
        <v>Hull shape optimisation-CAPEX</v>
      </c>
      <c r="C119" s="392" t="s">
        <v>50</v>
      </c>
      <c r="D119" s="734" t="s">
        <v>142</v>
      </c>
      <c r="E119" s="392" t="s">
        <v>630</v>
      </c>
      <c r="F119" s="585" cm="1">
        <f t="array" aca="1" ref="F119" ca="1">IFERROR(
_xlfn.IFS(NewBuild_Retrofit_selector="Newbuild",INDEX($B$1:$V$408,MATCH($D119&amp;"-"&amp;"Installation cost",$B$1:$B$408,0),MATCH(F$3,$B$3:$V$3,0))/INDEX($B$1:$V$408,MATCH($D119&amp;"-"&amp;"Lifetime",$B$1:$B$408,0),MATCH(F$3,$B$3:$V$3,0)),
NewBuild_Retrofit_selector="Retrofit",(INDEX($B$1:$V$408,MATCH($D119&amp;"-"&amp;"Installation cost",$B$1:$B$408,0),MATCH(F$3,$B$3:$V$3,0))+INDEX($B$1:$V$408,MATCH($D119&amp;"-"&amp;"Extra retrofit cost",$B$1:$B$408,0),MATCH(F$3,$B$3:$V$3,0)))/INDEX($B$1:$V$408,MATCH($D119&amp;"-"&amp;"Lifetime",$B$1:$B$408,0),MATCH(F$3,$B$3:$V$3,0))),0)</f>
        <v>0</v>
      </c>
      <c r="G119" s="585" cm="1">
        <f t="array" aca="1" ref="G119" ca="1">IFERROR(
_xlfn.IFS(NewBuild_Retrofit_selector="Newbuild",INDEX($B$1:$V$408,MATCH($D119&amp;"-"&amp;"Installation cost",$B$1:$B$408,0),MATCH(G$3,$B$3:$V$3,0))/INDEX($B$1:$V$408,MATCH($D119&amp;"-"&amp;"Lifetime",$B$1:$B$408,0),MATCH(G$3,$B$3:$V$3,0)),
NewBuild_Retrofit_selector="Retrofit",(INDEX($B$1:$V$408,MATCH($D119&amp;"-"&amp;"Installation cost",$B$1:$B$408,0),MATCH(G$3,$B$3:$V$3,0))+INDEX($B$1:$V$408,MATCH($D119&amp;"-"&amp;"Extra retrofit cost",$B$1:$B$408,0),MATCH(G$3,$B$3:$V$3,0)))/INDEX($B$1:$V$408,MATCH($D119&amp;"-"&amp;"Lifetime",$B$1:$B$408,0),MATCH(G$3,$B$3:$V$3,0))),0)</f>
        <v>0</v>
      </c>
      <c r="H119" s="585" cm="1">
        <f t="array" aca="1" ref="H119" ca="1">IFERROR(
_xlfn.IFS(NewBuild_Retrofit_selector="Newbuild",INDEX($B$1:$V$408,MATCH($D119&amp;"-"&amp;"Installation cost",$B$1:$B$408,0),MATCH(H$3,$B$3:$V$3,0))/INDEX($B$1:$V$408,MATCH($D119&amp;"-"&amp;"Lifetime",$B$1:$B$408,0),MATCH(H$3,$B$3:$V$3,0)),
NewBuild_Retrofit_selector="Retrofit",(INDEX($B$1:$V$408,MATCH($D119&amp;"-"&amp;"Installation cost",$B$1:$B$408,0),MATCH(H$3,$B$3:$V$3,0))+INDEX($B$1:$V$408,MATCH($D119&amp;"-"&amp;"Extra retrofit cost",$B$1:$B$408,0),MATCH(H$3,$B$3:$V$3,0)))/INDEX($B$1:$V$408,MATCH($D119&amp;"-"&amp;"Lifetime",$B$1:$B$408,0),MATCH(H$3,$B$3:$V$3,0))),0)</f>
        <v>0</v>
      </c>
      <c r="I119" s="585" cm="1">
        <f t="array" aca="1" ref="I119" ca="1">IFERROR(
_xlfn.IFS(NewBuild_Retrofit_selector="Newbuild",INDEX($B$1:$V$408,MATCH($D119&amp;"-"&amp;"Installation cost",$B$1:$B$408,0),MATCH(I$3,$B$3:$V$3,0))/INDEX($B$1:$V$408,MATCH($D119&amp;"-"&amp;"Lifetime",$B$1:$B$408,0),MATCH(I$3,$B$3:$V$3,0)),
NewBuild_Retrofit_selector="Retrofit",(INDEX($B$1:$V$408,MATCH($D119&amp;"-"&amp;"Installation cost",$B$1:$B$408,0),MATCH(I$3,$B$3:$V$3,0))+INDEX($B$1:$V$408,MATCH($D119&amp;"-"&amp;"Extra retrofit cost",$B$1:$B$408,0),MATCH(I$3,$B$3:$V$3,0)))/INDEX($B$1:$V$408,MATCH($D119&amp;"-"&amp;"Lifetime",$B$1:$B$408,0),MATCH(I$3,$B$3:$V$3,0))),0)</f>
        <v>0</v>
      </c>
      <c r="J119" s="585" cm="1">
        <f t="array" aca="1" ref="J119" ca="1">IFERROR(
_xlfn.IFS(NewBuild_Retrofit_selector="Newbuild",INDEX($B$1:$V$408,MATCH($D119&amp;"-"&amp;"Installation cost",$B$1:$B$408,0),MATCH(J$3,$B$3:$V$3,0))/INDEX($B$1:$V$408,MATCH($D119&amp;"-"&amp;"Lifetime",$B$1:$B$408,0),MATCH(J$3,$B$3:$V$3,0)),
NewBuild_Retrofit_selector="Retrofit",(INDEX($B$1:$V$408,MATCH($D119&amp;"-"&amp;"Installation cost",$B$1:$B$408,0),MATCH(J$3,$B$3:$V$3,0))+INDEX($B$1:$V$408,MATCH($D119&amp;"-"&amp;"Extra retrofit cost",$B$1:$B$408,0),MATCH(J$3,$B$3:$V$3,0)))/INDEX($B$1:$V$408,MATCH($D119&amp;"-"&amp;"Lifetime",$B$1:$B$408,0),MATCH(J$3,$B$3:$V$3,0))),0)</f>
        <v>0</v>
      </c>
      <c r="K119" s="585" cm="1">
        <f t="array" aca="1" ref="K119" ca="1">IFERROR(
_xlfn.IFS(NewBuild_Retrofit_selector="Newbuild",INDEX($B$1:$V$408,MATCH($D119&amp;"-"&amp;"Installation cost",$B$1:$B$408,0),MATCH(K$3,$B$3:$V$3,0))/INDEX($B$1:$V$408,MATCH($D119&amp;"-"&amp;"Lifetime",$B$1:$B$408,0),MATCH(K$3,$B$3:$V$3,0)),
NewBuild_Retrofit_selector="Retrofit",(INDEX($B$1:$V$408,MATCH($D119&amp;"-"&amp;"Installation cost",$B$1:$B$408,0),MATCH(K$3,$B$3:$V$3,0))+INDEX($B$1:$V$408,MATCH($D119&amp;"-"&amp;"Extra retrofit cost",$B$1:$B$408,0),MATCH(K$3,$B$3:$V$3,0)))/INDEX($B$1:$V$408,MATCH($D119&amp;"-"&amp;"Lifetime",$B$1:$B$408,0),MATCH(K$3,$B$3:$V$3,0))),0)</f>
        <v>0</v>
      </c>
      <c r="L119" s="585" cm="1">
        <f t="array" aca="1" ref="L119" ca="1">IFERROR(
_xlfn.IFS(NewBuild_Retrofit_selector="Newbuild",INDEX($B$1:$V$408,MATCH($D119&amp;"-"&amp;"Installation cost",$B$1:$B$408,0),MATCH(L$3,$B$3:$V$3,0))/INDEX($B$1:$V$408,MATCH($D119&amp;"-"&amp;"Lifetime",$B$1:$B$408,0),MATCH(L$3,$B$3:$V$3,0)),
NewBuild_Retrofit_selector="Retrofit",(INDEX($B$1:$V$408,MATCH($D119&amp;"-"&amp;"Installation cost",$B$1:$B$408,0),MATCH(L$3,$B$3:$V$3,0))+INDEX($B$1:$V$408,MATCH($D119&amp;"-"&amp;"Extra retrofit cost",$B$1:$B$408,0),MATCH(L$3,$B$3:$V$3,0)))/INDEX($B$1:$V$408,MATCH($D119&amp;"-"&amp;"Lifetime",$B$1:$B$408,0),MATCH(L$3,$B$3:$V$3,0))),0)</f>
        <v>0</v>
      </c>
      <c r="M119" s="585" cm="1">
        <f t="array" aca="1" ref="M119" ca="1">IFERROR(
_xlfn.IFS(NewBuild_Retrofit_selector="Newbuild",INDEX($B$1:$V$408,MATCH($D119&amp;"-"&amp;"Installation cost",$B$1:$B$408,0),MATCH(M$3,$B$3:$V$3,0))/INDEX($B$1:$V$408,MATCH($D119&amp;"-"&amp;"Lifetime",$B$1:$B$408,0),MATCH(M$3,$B$3:$V$3,0)),
NewBuild_Retrofit_selector="Retrofit",(INDEX($B$1:$V$408,MATCH($D119&amp;"-"&amp;"Installation cost",$B$1:$B$408,0),MATCH(M$3,$B$3:$V$3,0))+INDEX($B$1:$V$408,MATCH($D119&amp;"-"&amp;"Extra retrofit cost",$B$1:$B$408,0),MATCH(M$3,$B$3:$V$3,0)))/INDEX($B$1:$V$408,MATCH($D119&amp;"-"&amp;"Lifetime",$B$1:$B$408,0),MATCH(M$3,$B$3:$V$3,0))),0)</f>
        <v>0</v>
      </c>
      <c r="N119" s="585" cm="1">
        <f t="array" aca="1" ref="N119" ca="1">IFERROR(
_xlfn.IFS(NewBuild_Retrofit_selector="Newbuild",INDEX($B$1:$V$408,MATCH($D119&amp;"-"&amp;"Installation cost",$B$1:$B$408,0),MATCH(N$3,$B$3:$V$3,0))/INDEX($B$1:$V$408,MATCH($D119&amp;"-"&amp;"Lifetime",$B$1:$B$408,0),MATCH(N$3,$B$3:$V$3,0)),
NewBuild_Retrofit_selector="Retrofit",(INDEX($B$1:$V$408,MATCH($D119&amp;"-"&amp;"Installation cost",$B$1:$B$408,0),MATCH(N$3,$B$3:$V$3,0))+INDEX($B$1:$V$408,MATCH($D119&amp;"-"&amp;"Extra retrofit cost",$B$1:$B$408,0),MATCH(N$3,$B$3:$V$3,0)))/INDEX($B$1:$V$408,MATCH($D119&amp;"-"&amp;"Lifetime",$B$1:$B$408,0),MATCH(N$3,$B$3:$V$3,0))),0)</f>
        <v>0</v>
      </c>
      <c r="O119" s="585" cm="1">
        <f t="array" aca="1" ref="O119" ca="1">IFERROR(
_xlfn.IFS(NewBuild_Retrofit_selector="Newbuild",INDEX($B$1:$V$408,MATCH($D119&amp;"-"&amp;"Installation cost",$B$1:$B$408,0),MATCH(O$3,$B$3:$V$3,0))/INDEX($B$1:$V$408,MATCH($D119&amp;"-"&amp;"Lifetime",$B$1:$B$408,0),MATCH(O$3,$B$3:$V$3,0)),
NewBuild_Retrofit_selector="Retrofit",(INDEX($B$1:$V$408,MATCH($D119&amp;"-"&amp;"Installation cost",$B$1:$B$408,0),MATCH(O$3,$B$3:$V$3,0))+INDEX($B$1:$V$408,MATCH($D119&amp;"-"&amp;"Extra retrofit cost",$B$1:$B$408,0),MATCH(O$3,$B$3:$V$3,0)))/INDEX($B$1:$V$408,MATCH($D119&amp;"-"&amp;"Lifetime",$B$1:$B$408,0),MATCH(O$3,$B$3:$V$3,0))),0)</f>
        <v>0</v>
      </c>
      <c r="P119" s="585" cm="1">
        <f t="array" aca="1" ref="P119" ca="1">IFERROR(
_xlfn.IFS(NewBuild_Retrofit_selector="Newbuild",INDEX($B$1:$V$408,MATCH($D119&amp;"-"&amp;"Installation cost",$B$1:$B$408,0),MATCH(P$3,$B$3:$V$3,0))/INDEX($B$1:$V$408,MATCH($D119&amp;"-"&amp;"Lifetime",$B$1:$B$408,0),MATCH(P$3,$B$3:$V$3,0)),
NewBuild_Retrofit_selector="Retrofit",(INDEX($B$1:$V$408,MATCH($D119&amp;"-"&amp;"Installation cost",$B$1:$B$408,0),MATCH(P$3,$B$3:$V$3,0))+INDEX($B$1:$V$408,MATCH($D119&amp;"-"&amp;"Extra retrofit cost",$B$1:$B$408,0),MATCH(P$3,$B$3:$V$3,0)))/INDEX($B$1:$V$408,MATCH($D119&amp;"-"&amp;"Lifetime",$B$1:$B$408,0),MATCH(P$3,$B$3:$V$3,0))),0)</f>
        <v>0</v>
      </c>
      <c r="Q119" s="585" cm="1">
        <f t="array" aca="1" ref="Q119" ca="1">IFERROR(
_xlfn.IFS(NewBuild_Retrofit_selector="Newbuild",INDEX($B$1:$V$408,MATCH($D119&amp;"-"&amp;"Installation cost",$B$1:$B$408,0),MATCH(Q$3,$B$3:$V$3,0))/INDEX($B$1:$V$408,MATCH($D119&amp;"-"&amp;"Lifetime",$B$1:$B$408,0),MATCH(Q$3,$B$3:$V$3,0)),
NewBuild_Retrofit_selector="Retrofit",(INDEX($B$1:$V$408,MATCH($D119&amp;"-"&amp;"Installation cost",$B$1:$B$408,0),MATCH(Q$3,$B$3:$V$3,0))+INDEX($B$1:$V$408,MATCH($D119&amp;"-"&amp;"Extra retrofit cost",$B$1:$B$408,0),MATCH(Q$3,$B$3:$V$3,0)))/INDEX($B$1:$V$408,MATCH($D119&amp;"-"&amp;"Lifetime",$B$1:$B$408,0),MATCH(Q$3,$B$3:$V$3,0))),0)</f>
        <v>0</v>
      </c>
      <c r="R119" s="585" cm="1">
        <f t="array" aca="1" ref="R119" ca="1">IFERROR(
_xlfn.IFS(NewBuild_Retrofit_selector="Newbuild",INDEX($B$1:$V$408,MATCH($D119&amp;"-"&amp;"Installation cost",$B$1:$B$408,0),MATCH(R$3,$B$3:$V$3,0))/INDEX($B$1:$V$408,MATCH($D119&amp;"-"&amp;"Lifetime",$B$1:$B$408,0),MATCH(R$3,$B$3:$V$3,0)),
NewBuild_Retrofit_selector="Retrofit",(INDEX($B$1:$V$408,MATCH($D119&amp;"-"&amp;"Installation cost",$B$1:$B$408,0),MATCH(R$3,$B$3:$V$3,0))+INDEX($B$1:$V$408,MATCH($D119&amp;"-"&amp;"Extra retrofit cost",$B$1:$B$408,0),MATCH(R$3,$B$3:$V$3,0)))/INDEX($B$1:$V$408,MATCH($D119&amp;"-"&amp;"Lifetime",$B$1:$B$408,0),MATCH(R$3,$B$3:$V$3,0))),0)</f>
        <v>0</v>
      </c>
      <c r="S119" s="585" cm="1">
        <f t="array" aca="1" ref="S119" ca="1">IFERROR(
_xlfn.IFS(NewBuild_Retrofit_selector="Newbuild",INDEX($B$1:$V$408,MATCH($D119&amp;"-"&amp;"Installation cost",$B$1:$B$408,0),MATCH(S$3,$B$3:$V$3,0))/INDEX($B$1:$V$408,MATCH($D119&amp;"-"&amp;"Lifetime",$B$1:$B$408,0),MATCH(S$3,$B$3:$V$3,0)),
NewBuild_Retrofit_selector="Retrofit",(INDEX($B$1:$V$408,MATCH($D119&amp;"-"&amp;"Installation cost",$B$1:$B$408,0),MATCH(S$3,$B$3:$V$3,0))+INDEX($B$1:$V$408,MATCH($D119&amp;"-"&amp;"Extra retrofit cost",$B$1:$B$408,0),MATCH(S$3,$B$3:$V$3,0)))/INDEX($B$1:$V$408,MATCH($D119&amp;"-"&amp;"Lifetime",$B$1:$B$408,0),MATCH(S$3,$B$3:$V$3,0))),0)</f>
        <v>0</v>
      </c>
      <c r="T119" s="585" cm="1">
        <f t="array" aca="1" ref="T119" ca="1">IFERROR(
_xlfn.IFS(NewBuild_Retrofit_selector="Newbuild",INDEX($B$1:$V$408,MATCH($D119&amp;"-"&amp;"Installation cost",$B$1:$B$408,0),MATCH(T$3,$B$3:$V$3,0))/INDEX($B$1:$V$408,MATCH($D119&amp;"-"&amp;"Lifetime",$B$1:$B$408,0),MATCH(T$3,$B$3:$V$3,0)),
NewBuild_Retrofit_selector="Retrofit",(INDEX($B$1:$V$408,MATCH($D119&amp;"-"&amp;"Installation cost",$B$1:$B$408,0),MATCH(T$3,$B$3:$V$3,0))+INDEX($B$1:$V$408,MATCH($D119&amp;"-"&amp;"Extra retrofit cost",$B$1:$B$408,0),MATCH(T$3,$B$3:$V$3,0)))/INDEX($B$1:$V$408,MATCH($D119&amp;"-"&amp;"Lifetime",$B$1:$B$408,0),MATCH(T$3,$B$3:$V$3,0))),0)</f>
        <v>0</v>
      </c>
      <c r="U119" s="356"/>
      <c r="V119" s="356"/>
      <c r="AC119" s="336"/>
      <c r="AD119" s="336"/>
    </row>
    <row r="120" spans="2:30" x14ac:dyDescent="0.2">
      <c r="B120" s="392" t="str">
        <f t="shared" si="2"/>
        <v>Hull shape optimisation-Extra retrofit cost</v>
      </c>
      <c r="C120" s="392" t="s">
        <v>634</v>
      </c>
      <c r="D120" s="734" t="s">
        <v>142</v>
      </c>
      <c r="E120" s="392" t="s">
        <v>635</v>
      </c>
      <c r="F120" s="585">
        <v>129999.99999999997</v>
      </c>
      <c r="G120" s="585">
        <v>129999.99999999997</v>
      </c>
      <c r="H120" s="585">
        <v>129999.99999999997</v>
      </c>
      <c r="I120" s="585">
        <v>129999.99999999997</v>
      </c>
      <c r="J120" s="585">
        <v>129999.99999999997</v>
      </c>
      <c r="K120" s="585">
        <v>129999.99999999997</v>
      </c>
      <c r="L120" s="585">
        <v>129999.99999999997</v>
      </c>
      <c r="M120" s="585">
        <v>129999.99999999997</v>
      </c>
      <c r="N120" s="585">
        <v>129999.99999999997</v>
      </c>
      <c r="O120" s="585">
        <v>129999.99999999997</v>
      </c>
      <c r="P120" s="585">
        <v>129999.99999999997</v>
      </c>
      <c r="Q120" s="585">
        <v>129999.99999999997</v>
      </c>
      <c r="R120" s="585">
        <v>129999.99999999997</v>
      </c>
      <c r="S120" s="585">
        <v>129999.99999999997</v>
      </c>
      <c r="T120" s="585">
        <v>129999.99999999997</v>
      </c>
      <c r="U120" s="356"/>
      <c r="V120" s="356"/>
      <c r="AC120" s="336"/>
      <c r="AD120" s="336"/>
    </row>
    <row r="121" spans="2:30" x14ac:dyDescent="0.2">
      <c r="B121" s="392" t="str">
        <f t="shared" si="2"/>
        <v>Hull shape optimisation-Installation cost</v>
      </c>
      <c r="C121" s="392" t="s">
        <v>452</v>
      </c>
      <c r="D121" s="769" t="s">
        <v>142</v>
      </c>
      <c r="E121" s="392" t="s">
        <v>635</v>
      </c>
      <c r="F121" s="585">
        <v>325000</v>
      </c>
      <c r="G121" s="585">
        <v>325000</v>
      </c>
      <c r="H121" s="585">
        <v>325000</v>
      </c>
      <c r="I121" s="585">
        <v>325000</v>
      </c>
      <c r="J121" s="585">
        <v>325000</v>
      </c>
      <c r="K121" s="585">
        <v>325000</v>
      </c>
      <c r="L121" s="585">
        <v>325000</v>
      </c>
      <c r="M121" s="585">
        <v>325000</v>
      </c>
      <c r="N121" s="585">
        <v>325000</v>
      </c>
      <c r="O121" s="585">
        <v>325000</v>
      </c>
      <c r="P121" s="585">
        <v>325000</v>
      </c>
      <c r="Q121" s="585">
        <v>325000</v>
      </c>
      <c r="R121" s="585">
        <v>325000</v>
      </c>
      <c r="S121" s="585">
        <v>325000</v>
      </c>
      <c r="T121" s="585">
        <v>325000</v>
      </c>
      <c r="U121" s="356" t="s">
        <v>625</v>
      </c>
      <c r="V121" s="356"/>
      <c r="AC121" s="26"/>
      <c r="AD121" s="26"/>
    </row>
    <row r="122" spans="2:30" x14ac:dyDescent="0.2">
      <c r="B122" s="392" t="str">
        <f t="shared" si="2"/>
        <v>Hull shape optimisation-Lifetime</v>
      </c>
      <c r="C122" s="392" t="s">
        <v>520</v>
      </c>
      <c r="D122" s="734" t="s">
        <v>142</v>
      </c>
      <c r="E122" s="392" t="s">
        <v>176</v>
      </c>
      <c r="F122" s="356">
        <v>25</v>
      </c>
      <c r="G122" s="356">
        <v>25</v>
      </c>
      <c r="H122" s="356">
        <v>25</v>
      </c>
      <c r="I122" s="356">
        <v>25</v>
      </c>
      <c r="J122" s="356">
        <v>25</v>
      </c>
      <c r="K122" s="356">
        <v>25</v>
      </c>
      <c r="L122" s="356">
        <v>25</v>
      </c>
      <c r="M122" s="356">
        <v>25</v>
      </c>
      <c r="N122" s="356">
        <v>25</v>
      </c>
      <c r="O122" s="356">
        <v>25</v>
      </c>
      <c r="P122" s="356">
        <v>25</v>
      </c>
      <c r="Q122" s="356">
        <v>25</v>
      </c>
      <c r="R122" s="356">
        <v>25</v>
      </c>
      <c r="S122" s="356">
        <v>25</v>
      </c>
      <c r="T122" s="356">
        <v>25</v>
      </c>
      <c r="U122" s="356" t="s">
        <v>625</v>
      </c>
      <c r="V122" s="356"/>
    </row>
    <row r="123" spans="2:30" x14ac:dyDescent="0.2">
      <c r="B123" s="392" t="str">
        <f t="shared" si="2"/>
        <v>Hull shape optimisation-OPEX</v>
      </c>
      <c r="C123" s="392" t="s">
        <v>319</v>
      </c>
      <c r="D123" s="736" t="s">
        <v>142</v>
      </c>
      <c r="E123" s="392" t="s">
        <v>630</v>
      </c>
      <c r="F123" s="585">
        <v>0</v>
      </c>
      <c r="G123" s="585">
        <v>0</v>
      </c>
      <c r="H123" s="585">
        <v>0</v>
      </c>
      <c r="I123" s="585">
        <v>0</v>
      </c>
      <c r="J123" s="585">
        <v>0</v>
      </c>
      <c r="K123" s="585">
        <v>0</v>
      </c>
      <c r="L123" s="585">
        <v>0</v>
      </c>
      <c r="M123" s="585">
        <v>0</v>
      </c>
      <c r="N123" s="585">
        <v>0</v>
      </c>
      <c r="O123" s="585">
        <v>0</v>
      </c>
      <c r="P123" s="585">
        <v>0</v>
      </c>
      <c r="Q123" s="585">
        <v>0</v>
      </c>
      <c r="R123" s="585">
        <v>0</v>
      </c>
      <c r="S123" s="585">
        <v>0</v>
      </c>
      <c r="T123" s="585">
        <v>0</v>
      </c>
      <c r="U123" s="356" t="s">
        <v>625</v>
      </c>
      <c r="V123" s="356"/>
    </row>
    <row r="124" spans="2:30" x14ac:dyDescent="0.2">
      <c r="B124" s="392" t="str">
        <f t="shared" si="2"/>
        <v>Hull shape optimisation-Saving</v>
      </c>
      <c r="C124" s="392" t="s">
        <v>458</v>
      </c>
      <c r="D124" s="736" t="s">
        <v>142</v>
      </c>
      <c r="E124" s="392" t="s">
        <v>178</v>
      </c>
      <c r="F124" s="359">
        <v>0.06</v>
      </c>
      <c r="G124" s="359">
        <v>0.06</v>
      </c>
      <c r="H124" s="359">
        <v>0.06</v>
      </c>
      <c r="I124" s="359">
        <v>0.06</v>
      </c>
      <c r="J124" s="359">
        <v>0.06</v>
      </c>
      <c r="K124" s="359">
        <v>0.06</v>
      </c>
      <c r="L124" s="359">
        <v>0.06</v>
      </c>
      <c r="M124" s="359">
        <v>0.06</v>
      </c>
      <c r="N124" s="359">
        <v>0.06</v>
      </c>
      <c r="O124" s="359">
        <v>0.06</v>
      </c>
      <c r="P124" s="359">
        <v>0.06</v>
      </c>
      <c r="Q124" s="359">
        <v>0.06</v>
      </c>
      <c r="R124" s="359">
        <v>0.06</v>
      </c>
      <c r="S124" s="359">
        <v>0.06</v>
      </c>
      <c r="T124" s="359">
        <v>0.06</v>
      </c>
      <c r="U124" s="356" t="s">
        <v>625</v>
      </c>
      <c r="V124" s="356"/>
    </row>
    <row r="125" spans="2:30" x14ac:dyDescent="0.2">
      <c r="B125" s="392" t="str">
        <f t="shared" si="2"/>
        <v>Hull shape optimisation-UptakeFleetAvg2020</v>
      </c>
      <c r="C125" s="392" t="s">
        <v>650</v>
      </c>
      <c r="D125" s="736" t="s">
        <v>142</v>
      </c>
      <c r="E125" s="392" t="s">
        <v>178</v>
      </c>
      <c r="F125" s="359">
        <v>1</v>
      </c>
      <c r="G125" s="359">
        <v>1</v>
      </c>
      <c r="H125" s="359">
        <v>1</v>
      </c>
      <c r="I125" s="359">
        <v>1</v>
      </c>
      <c r="J125" s="359">
        <v>1</v>
      </c>
      <c r="K125" s="359">
        <v>1</v>
      </c>
      <c r="L125" s="359">
        <v>1</v>
      </c>
      <c r="M125" s="359">
        <v>1</v>
      </c>
      <c r="N125" s="359">
        <v>1</v>
      </c>
      <c r="O125" s="359">
        <v>1</v>
      </c>
      <c r="P125" s="359">
        <v>1</v>
      </c>
      <c r="Q125" s="359">
        <v>1</v>
      </c>
      <c r="R125" s="359">
        <v>1</v>
      </c>
      <c r="S125" s="359">
        <v>1</v>
      </c>
      <c r="T125" s="359">
        <v>1</v>
      </c>
      <c r="U125" s="356" t="s">
        <v>628</v>
      </c>
      <c r="V125" s="356"/>
    </row>
    <row r="126" spans="2:30" x14ac:dyDescent="0.2">
      <c r="B126" s="392" t="str">
        <f t="shared" si="2"/>
        <v>Hull shape optimisation-UptakeNewbuild2020</v>
      </c>
      <c r="C126" s="392" t="s">
        <v>652</v>
      </c>
      <c r="D126" s="736" t="s">
        <v>142</v>
      </c>
      <c r="E126" s="392" t="s">
        <v>178</v>
      </c>
      <c r="F126" s="359">
        <v>0</v>
      </c>
      <c r="G126" s="359">
        <v>0</v>
      </c>
      <c r="H126" s="359">
        <v>0</v>
      </c>
      <c r="I126" s="359">
        <v>0</v>
      </c>
      <c r="J126" s="359">
        <v>0</v>
      </c>
      <c r="K126" s="359">
        <v>0</v>
      </c>
      <c r="L126" s="359">
        <v>0</v>
      </c>
      <c r="M126" s="359">
        <v>0</v>
      </c>
      <c r="N126" s="359">
        <v>0</v>
      </c>
      <c r="O126" s="359">
        <v>0</v>
      </c>
      <c r="P126" s="359">
        <v>0</v>
      </c>
      <c r="Q126" s="359">
        <v>0</v>
      </c>
      <c r="R126" s="359">
        <v>0</v>
      </c>
      <c r="S126" s="359">
        <v>0</v>
      </c>
      <c r="T126" s="359">
        <v>0</v>
      </c>
      <c r="U126" s="356"/>
      <c r="V126" s="356"/>
    </row>
    <row r="127" spans="2:30" x14ac:dyDescent="0.2">
      <c r="B127" s="392" t="str">
        <f t="shared" si="2"/>
        <v>Kites-Applicable Retrofit</v>
      </c>
      <c r="C127" s="392" t="s">
        <v>629</v>
      </c>
      <c r="D127" s="395" t="s">
        <v>155</v>
      </c>
      <c r="E127" s="392" t="s">
        <v>622</v>
      </c>
      <c r="F127" s="356">
        <v>1</v>
      </c>
      <c r="G127" s="356">
        <v>1</v>
      </c>
      <c r="H127" s="356">
        <v>1</v>
      </c>
      <c r="I127" s="356">
        <v>1</v>
      </c>
      <c r="J127" s="356">
        <v>1</v>
      </c>
      <c r="K127" s="356">
        <v>1</v>
      </c>
      <c r="L127" s="356">
        <v>1</v>
      </c>
      <c r="M127" s="356">
        <v>1</v>
      </c>
      <c r="N127" s="356">
        <v>1</v>
      </c>
      <c r="O127" s="356">
        <v>1</v>
      </c>
      <c r="P127" s="356">
        <v>1</v>
      </c>
      <c r="Q127" s="356">
        <v>1</v>
      </c>
      <c r="R127" s="356">
        <v>1</v>
      </c>
      <c r="S127" s="356">
        <v>1</v>
      </c>
      <c r="T127" s="356">
        <v>1</v>
      </c>
      <c r="U127" s="356" t="s">
        <v>627</v>
      </c>
      <c r="V127" s="356" t="s">
        <v>626</v>
      </c>
    </row>
    <row r="128" spans="2:30" x14ac:dyDescent="0.2">
      <c r="B128" s="392" t="str">
        <f t="shared" si="2"/>
        <v>Kites-CAPEX</v>
      </c>
      <c r="C128" s="392" t="s">
        <v>50</v>
      </c>
      <c r="D128" s="395" t="s">
        <v>155</v>
      </c>
      <c r="E128" s="392" t="s">
        <v>630</v>
      </c>
      <c r="F128" s="585" cm="1">
        <f t="array" aca="1" ref="F128" ca="1">IFERROR(
_xlfn.IFS(NewBuild_Retrofit_selector="Newbuild",INDEX($B$1:$V$408,MATCH($D128&amp;"-"&amp;"Installation cost",$B$1:$B$408,0),MATCH(F$3,$B$3:$V$3,0))/INDEX($B$1:$V$408,MATCH($D128&amp;"-"&amp;"Lifetime",$B$1:$B$408,0),MATCH(F$3,$B$3:$V$3,0)),
NewBuild_Retrofit_selector="Retrofit",(INDEX($B$1:$V$408,MATCH($D128&amp;"-"&amp;"Installation cost",$B$1:$B$408,0),MATCH(F$3,$B$3:$V$3,0))+INDEX($B$1:$V$408,MATCH($D128&amp;"-"&amp;"Extra retrofit cost",$B$1:$B$408,0),MATCH(F$3,$B$3:$V$3,0)))/INDEX($B$1:$V$408,MATCH($D128&amp;"-"&amp;"Lifetime",$B$1:$B$408,0),MATCH(F$3,$B$3:$V$3,0))),0)</f>
        <v>0</v>
      </c>
      <c r="G128" s="585" cm="1">
        <f t="array" aca="1" ref="G128" ca="1">IFERROR(
_xlfn.IFS(NewBuild_Retrofit_selector="Newbuild",INDEX($B$1:$V$408,MATCH($D128&amp;"-"&amp;"Installation cost",$B$1:$B$408,0),MATCH(G$3,$B$3:$V$3,0))/INDEX($B$1:$V$408,MATCH($D128&amp;"-"&amp;"Lifetime",$B$1:$B$408,0),MATCH(G$3,$B$3:$V$3,0)),
NewBuild_Retrofit_selector="Retrofit",(INDEX($B$1:$V$408,MATCH($D128&amp;"-"&amp;"Installation cost",$B$1:$B$408,0),MATCH(G$3,$B$3:$V$3,0))+INDEX($B$1:$V$408,MATCH($D128&amp;"-"&amp;"Extra retrofit cost",$B$1:$B$408,0),MATCH(G$3,$B$3:$V$3,0)))/INDEX($B$1:$V$408,MATCH($D128&amp;"-"&amp;"Lifetime",$B$1:$B$408,0),MATCH(G$3,$B$3:$V$3,0))),0)</f>
        <v>0</v>
      </c>
      <c r="H128" s="585" cm="1">
        <f t="array" aca="1" ref="H128" ca="1">IFERROR(
_xlfn.IFS(NewBuild_Retrofit_selector="Newbuild",INDEX($B$1:$V$408,MATCH($D128&amp;"-"&amp;"Installation cost",$B$1:$B$408,0),MATCH(H$3,$B$3:$V$3,0))/INDEX($B$1:$V$408,MATCH($D128&amp;"-"&amp;"Lifetime",$B$1:$B$408,0),MATCH(H$3,$B$3:$V$3,0)),
NewBuild_Retrofit_selector="Retrofit",(INDEX($B$1:$V$408,MATCH($D128&amp;"-"&amp;"Installation cost",$B$1:$B$408,0),MATCH(H$3,$B$3:$V$3,0))+INDEX($B$1:$V$408,MATCH($D128&amp;"-"&amp;"Extra retrofit cost",$B$1:$B$408,0),MATCH(H$3,$B$3:$V$3,0)))/INDEX($B$1:$V$408,MATCH($D128&amp;"-"&amp;"Lifetime",$B$1:$B$408,0),MATCH(H$3,$B$3:$V$3,0))),0)</f>
        <v>0</v>
      </c>
      <c r="I128" s="585" cm="1">
        <f t="array" aca="1" ref="I128" ca="1">IFERROR(
_xlfn.IFS(NewBuild_Retrofit_selector="Newbuild",INDEX($B$1:$V$408,MATCH($D128&amp;"-"&amp;"Installation cost",$B$1:$B$408,0),MATCH(I$3,$B$3:$V$3,0))/INDEX($B$1:$V$408,MATCH($D128&amp;"-"&amp;"Lifetime",$B$1:$B$408,0),MATCH(I$3,$B$3:$V$3,0)),
NewBuild_Retrofit_selector="Retrofit",(INDEX($B$1:$V$408,MATCH($D128&amp;"-"&amp;"Installation cost",$B$1:$B$408,0),MATCH(I$3,$B$3:$V$3,0))+INDEX($B$1:$V$408,MATCH($D128&amp;"-"&amp;"Extra retrofit cost",$B$1:$B$408,0),MATCH(I$3,$B$3:$V$3,0)))/INDEX($B$1:$V$408,MATCH($D128&amp;"-"&amp;"Lifetime",$B$1:$B$408,0),MATCH(I$3,$B$3:$V$3,0))),0)</f>
        <v>0</v>
      </c>
      <c r="J128" s="585" cm="1">
        <f t="array" aca="1" ref="J128" ca="1">IFERROR(
_xlfn.IFS(NewBuild_Retrofit_selector="Newbuild",INDEX($B$1:$V$408,MATCH($D128&amp;"-"&amp;"Installation cost",$B$1:$B$408,0),MATCH(J$3,$B$3:$V$3,0))/INDEX($B$1:$V$408,MATCH($D128&amp;"-"&amp;"Lifetime",$B$1:$B$408,0),MATCH(J$3,$B$3:$V$3,0)),
NewBuild_Retrofit_selector="Retrofit",(INDEX($B$1:$V$408,MATCH($D128&amp;"-"&amp;"Installation cost",$B$1:$B$408,0),MATCH(J$3,$B$3:$V$3,0))+INDEX($B$1:$V$408,MATCH($D128&amp;"-"&amp;"Extra retrofit cost",$B$1:$B$408,0),MATCH(J$3,$B$3:$V$3,0)))/INDEX($B$1:$V$408,MATCH($D128&amp;"-"&amp;"Lifetime",$B$1:$B$408,0),MATCH(J$3,$B$3:$V$3,0))),0)</f>
        <v>0</v>
      </c>
      <c r="K128" s="585" cm="1">
        <f t="array" aca="1" ref="K128" ca="1">IFERROR(
_xlfn.IFS(NewBuild_Retrofit_selector="Newbuild",INDEX($B$1:$V$408,MATCH($D128&amp;"-"&amp;"Installation cost",$B$1:$B$408,0),MATCH(K$3,$B$3:$V$3,0))/INDEX($B$1:$V$408,MATCH($D128&amp;"-"&amp;"Lifetime",$B$1:$B$408,0),MATCH(K$3,$B$3:$V$3,0)),
NewBuild_Retrofit_selector="Retrofit",(INDEX($B$1:$V$408,MATCH($D128&amp;"-"&amp;"Installation cost",$B$1:$B$408,0),MATCH(K$3,$B$3:$V$3,0))+INDEX($B$1:$V$408,MATCH($D128&amp;"-"&amp;"Extra retrofit cost",$B$1:$B$408,0),MATCH(K$3,$B$3:$V$3,0)))/INDEX($B$1:$V$408,MATCH($D128&amp;"-"&amp;"Lifetime",$B$1:$B$408,0),MATCH(K$3,$B$3:$V$3,0))),0)</f>
        <v>0</v>
      </c>
      <c r="L128" s="585" cm="1">
        <f t="array" aca="1" ref="L128" ca="1">IFERROR(
_xlfn.IFS(NewBuild_Retrofit_selector="Newbuild",INDEX($B$1:$V$408,MATCH($D128&amp;"-"&amp;"Installation cost",$B$1:$B$408,0),MATCH(L$3,$B$3:$V$3,0))/INDEX($B$1:$V$408,MATCH($D128&amp;"-"&amp;"Lifetime",$B$1:$B$408,0),MATCH(L$3,$B$3:$V$3,0)),
NewBuild_Retrofit_selector="Retrofit",(INDEX($B$1:$V$408,MATCH($D128&amp;"-"&amp;"Installation cost",$B$1:$B$408,0),MATCH(L$3,$B$3:$V$3,0))+INDEX($B$1:$V$408,MATCH($D128&amp;"-"&amp;"Extra retrofit cost",$B$1:$B$408,0),MATCH(L$3,$B$3:$V$3,0)))/INDEX($B$1:$V$408,MATCH($D128&amp;"-"&amp;"Lifetime",$B$1:$B$408,0),MATCH(L$3,$B$3:$V$3,0))),0)</f>
        <v>0</v>
      </c>
      <c r="M128" s="585" cm="1">
        <f t="array" aca="1" ref="M128" ca="1">IFERROR(
_xlfn.IFS(NewBuild_Retrofit_selector="Newbuild",INDEX($B$1:$V$408,MATCH($D128&amp;"-"&amp;"Installation cost",$B$1:$B$408,0),MATCH(M$3,$B$3:$V$3,0))/INDEX($B$1:$V$408,MATCH($D128&amp;"-"&amp;"Lifetime",$B$1:$B$408,0),MATCH(M$3,$B$3:$V$3,0)),
NewBuild_Retrofit_selector="Retrofit",(INDEX($B$1:$V$408,MATCH($D128&amp;"-"&amp;"Installation cost",$B$1:$B$408,0),MATCH(M$3,$B$3:$V$3,0))+INDEX($B$1:$V$408,MATCH($D128&amp;"-"&amp;"Extra retrofit cost",$B$1:$B$408,0),MATCH(M$3,$B$3:$V$3,0)))/INDEX($B$1:$V$408,MATCH($D128&amp;"-"&amp;"Lifetime",$B$1:$B$408,0),MATCH(M$3,$B$3:$V$3,0))),0)</f>
        <v>0</v>
      </c>
      <c r="N128" s="585" cm="1">
        <f t="array" aca="1" ref="N128" ca="1">IFERROR(
_xlfn.IFS(NewBuild_Retrofit_selector="Newbuild",INDEX($B$1:$V$408,MATCH($D128&amp;"-"&amp;"Installation cost",$B$1:$B$408,0),MATCH(N$3,$B$3:$V$3,0))/INDEX($B$1:$V$408,MATCH($D128&amp;"-"&amp;"Lifetime",$B$1:$B$408,0),MATCH(N$3,$B$3:$V$3,0)),
NewBuild_Retrofit_selector="Retrofit",(INDEX($B$1:$V$408,MATCH($D128&amp;"-"&amp;"Installation cost",$B$1:$B$408,0),MATCH(N$3,$B$3:$V$3,0))+INDEX($B$1:$V$408,MATCH($D128&amp;"-"&amp;"Extra retrofit cost",$B$1:$B$408,0),MATCH(N$3,$B$3:$V$3,0)))/INDEX($B$1:$V$408,MATCH($D128&amp;"-"&amp;"Lifetime",$B$1:$B$408,0),MATCH(N$3,$B$3:$V$3,0))),0)</f>
        <v>0</v>
      </c>
      <c r="O128" s="585" cm="1">
        <f t="array" aca="1" ref="O128" ca="1">IFERROR(
_xlfn.IFS(NewBuild_Retrofit_selector="Newbuild",INDEX($B$1:$V$408,MATCH($D128&amp;"-"&amp;"Installation cost",$B$1:$B$408,0),MATCH(O$3,$B$3:$V$3,0))/INDEX($B$1:$V$408,MATCH($D128&amp;"-"&amp;"Lifetime",$B$1:$B$408,0),MATCH(O$3,$B$3:$V$3,0)),
NewBuild_Retrofit_selector="Retrofit",(INDEX($B$1:$V$408,MATCH($D128&amp;"-"&amp;"Installation cost",$B$1:$B$408,0),MATCH(O$3,$B$3:$V$3,0))+INDEX($B$1:$V$408,MATCH($D128&amp;"-"&amp;"Extra retrofit cost",$B$1:$B$408,0),MATCH(O$3,$B$3:$V$3,0)))/INDEX($B$1:$V$408,MATCH($D128&amp;"-"&amp;"Lifetime",$B$1:$B$408,0),MATCH(O$3,$B$3:$V$3,0))),0)</f>
        <v>0</v>
      </c>
      <c r="P128" s="585" cm="1">
        <f t="array" aca="1" ref="P128" ca="1">IFERROR(
_xlfn.IFS(NewBuild_Retrofit_selector="Newbuild",INDEX($B$1:$V$408,MATCH($D128&amp;"-"&amp;"Installation cost",$B$1:$B$408,0),MATCH(P$3,$B$3:$V$3,0))/INDEX($B$1:$V$408,MATCH($D128&amp;"-"&amp;"Lifetime",$B$1:$B$408,0),MATCH(P$3,$B$3:$V$3,0)),
NewBuild_Retrofit_selector="Retrofit",(INDEX($B$1:$V$408,MATCH($D128&amp;"-"&amp;"Installation cost",$B$1:$B$408,0),MATCH(P$3,$B$3:$V$3,0))+INDEX($B$1:$V$408,MATCH($D128&amp;"-"&amp;"Extra retrofit cost",$B$1:$B$408,0),MATCH(P$3,$B$3:$V$3,0)))/INDEX($B$1:$V$408,MATCH($D128&amp;"-"&amp;"Lifetime",$B$1:$B$408,0),MATCH(P$3,$B$3:$V$3,0))),0)</f>
        <v>0</v>
      </c>
      <c r="Q128" s="585" cm="1">
        <f t="array" aca="1" ref="Q128" ca="1">IFERROR(
_xlfn.IFS(NewBuild_Retrofit_selector="Newbuild",INDEX($B$1:$V$408,MATCH($D128&amp;"-"&amp;"Installation cost",$B$1:$B$408,0),MATCH(Q$3,$B$3:$V$3,0))/INDEX($B$1:$V$408,MATCH($D128&amp;"-"&amp;"Lifetime",$B$1:$B$408,0),MATCH(Q$3,$B$3:$V$3,0)),
NewBuild_Retrofit_selector="Retrofit",(INDEX($B$1:$V$408,MATCH($D128&amp;"-"&amp;"Installation cost",$B$1:$B$408,0),MATCH(Q$3,$B$3:$V$3,0))+INDEX($B$1:$V$408,MATCH($D128&amp;"-"&amp;"Extra retrofit cost",$B$1:$B$408,0),MATCH(Q$3,$B$3:$V$3,0)))/INDEX($B$1:$V$408,MATCH($D128&amp;"-"&amp;"Lifetime",$B$1:$B$408,0),MATCH(Q$3,$B$3:$V$3,0))),0)</f>
        <v>0</v>
      </c>
      <c r="R128" s="585" cm="1">
        <f t="array" aca="1" ref="R128" ca="1">IFERROR(
_xlfn.IFS(NewBuild_Retrofit_selector="Newbuild",INDEX($B$1:$V$408,MATCH($D128&amp;"-"&amp;"Installation cost",$B$1:$B$408,0),MATCH(R$3,$B$3:$V$3,0))/INDEX($B$1:$V$408,MATCH($D128&amp;"-"&amp;"Lifetime",$B$1:$B$408,0),MATCH(R$3,$B$3:$V$3,0)),
NewBuild_Retrofit_selector="Retrofit",(INDEX($B$1:$V$408,MATCH($D128&amp;"-"&amp;"Installation cost",$B$1:$B$408,0),MATCH(R$3,$B$3:$V$3,0))+INDEX($B$1:$V$408,MATCH($D128&amp;"-"&amp;"Extra retrofit cost",$B$1:$B$408,0),MATCH(R$3,$B$3:$V$3,0)))/INDEX($B$1:$V$408,MATCH($D128&amp;"-"&amp;"Lifetime",$B$1:$B$408,0),MATCH(R$3,$B$3:$V$3,0))),0)</f>
        <v>0</v>
      </c>
      <c r="S128" s="585" cm="1">
        <f t="array" aca="1" ref="S128" ca="1">IFERROR(
_xlfn.IFS(NewBuild_Retrofit_selector="Newbuild",INDEX($B$1:$V$408,MATCH($D128&amp;"-"&amp;"Installation cost",$B$1:$B$408,0),MATCH(S$3,$B$3:$V$3,0))/INDEX($B$1:$V$408,MATCH($D128&amp;"-"&amp;"Lifetime",$B$1:$B$408,0),MATCH(S$3,$B$3:$V$3,0)),
NewBuild_Retrofit_selector="Retrofit",(INDEX($B$1:$V$408,MATCH($D128&amp;"-"&amp;"Installation cost",$B$1:$B$408,0),MATCH(S$3,$B$3:$V$3,0))+INDEX($B$1:$V$408,MATCH($D128&amp;"-"&amp;"Extra retrofit cost",$B$1:$B$408,0),MATCH(S$3,$B$3:$V$3,0)))/INDEX($B$1:$V$408,MATCH($D128&amp;"-"&amp;"Lifetime",$B$1:$B$408,0),MATCH(S$3,$B$3:$V$3,0))),0)</f>
        <v>0</v>
      </c>
      <c r="T128" s="585" cm="1">
        <f t="array" aca="1" ref="T128" ca="1">IFERROR(
_xlfn.IFS(NewBuild_Retrofit_selector="Newbuild",INDEX($B$1:$V$408,MATCH($D128&amp;"-"&amp;"Installation cost",$B$1:$B$408,0),MATCH(T$3,$B$3:$V$3,0))/INDEX($B$1:$V$408,MATCH($D128&amp;"-"&amp;"Lifetime",$B$1:$B$408,0),MATCH(T$3,$B$3:$V$3,0)),
NewBuild_Retrofit_selector="Retrofit",(INDEX($B$1:$V$408,MATCH($D128&amp;"-"&amp;"Installation cost",$B$1:$B$408,0),MATCH(T$3,$B$3:$V$3,0))+INDEX($B$1:$V$408,MATCH($D128&amp;"-"&amp;"Extra retrofit cost",$B$1:$B$408,0),MATCH(T$3,$B$3:$V$3,0)))/INDEX($B$1:$V$408,MATCH($D128&amp;"-"&amp;"Lifetime",$B$1:$B$408,0),MATCH(T$3,$B$3:$V$3,0))),0)</f>
        <v>0</v>
      </c>
      <c r="U128" s="356"/>
      <c r="V128" s="356"/>
    </row>
    <row r="129" spans="2:22" x14ac:dyDescent="0.2">
      <c r="B129" s="392" t="str">
        <f t="shared" si="2"/>
        <v>Kites-Extra retrofit cost</v>
      </c>
      <c r="C129" s="392" t="s">
        <v>634</v>
      </c>
      <c r="D129" s="397" t="s">
        <v>155</v>
      </c>
      <c r="E129" s="392" t="s">
        <v>635</v>
      </c>
      <c r="F129" s="585">
        <v>0</v>
      </c>
      <c r="G129" s="585">
        <v>0</v>
      </c>
      <c r="H129" s="585">
        <v>0</v>
      </c>
      <c r="I129" s="585">
        <v>0</v>
      </c>
      <c r="J129" s="585">
        <v>0</v>
      </c>
      <c r="K129" s="585">
        <v>0</v>
      </c>
      <c r="L129" s="585">
        <v>0</v>
      </c>
      <c r="M129" s="585">
        <v>0</v>
      </c>
      <c r="N129" s="585">
        <v>0</v>
      </c>
      <c r="O129" s="585">
        <v>0</v>
      </c>
      <c r="P129" s="585">
        <v>0</v>
      </c>
      <c r="Q129" s="585">
        <v>0</v>
      </c>
      <c r="R129" s="585">
        <v>0</v>
      </c>
      <c r="S129" s="585">
        <v>0</v>
      </c>
      <c r="T129" s="585">
        <v>0</v>
      </c>
      <c r="U129" s="356" t="s">
        <v>627</v>
      </c>
      <c r="V129" s="356"/>
    </row>
    <row r="130" spans="2:22" x14ac:dyDescent="0.2">
      <c r="B130" s="392" t="str">
        <f t="shared" si="2"/>
        <v>Kites-Applicable Newbuild</v>
      </c>
      <c r="C130" s="392" t="s">
        <v>621</v>
      </c>
      <c r="D130" s="397" t="s">
        <v>155</v>
      </c>
      <c r="E130" s="392" t="s">
        <v>622</v>
      </c>
      <c r="F130" s="356">
        <v>1</v>
      </c>
      <c r="G130" s="356">
        <v>1</v>
      </c>
      <c r="H130" s="356">
        <v>1</v>
      </c>
      <c r="I130" s="356">
        <v>0</v>
      </c>
      <c r="J130" s="356">
        <v>0</v>
      </c>
      <c r="K130" s="356">
        <v>0</v>
      </c>
      <c r="L130" s="356">
        <v>0</v>
      </c>
      <c r="M130" s="356">
        <v>0</v>
      </c>
      <c r="N130" s="356">
        <v>0</v>
      </c>
      <c r="O130" s="356">
        <v>0</v>
      </c>
      <c r="P130" s="356">
        <v>0</v>
      </c>
      <c r="Q130" s="356">
        <v>0</v>
      </c>
      <c r="R130" s="356">
        <v>0</v>
      </c>
      <c r="S130" s="356">
        <v>0</v>
      </c>
      <c r="T130" s="356">
        <v>0</v>
      </c>
      <c r="U130" s="356" t="s">
        <v>627</v>
      </c>
      <c r="V130" s="356" t="s">
        <v>626</v>
      </c>
    </row>
    <row r="131" spans="2:22" x14ac:dyDescent="0.2">
      <c r="B131" s="392" t="str">
        <f t="shared" si="2"/>
        <v>Kites-Installation cost</v>
      </c>
      <c r="C131" s="392" t="s">
        <v>452</v>
      </c>
      <c r="D131" s="397" t="s">
        <v>155</v>
      </c>
      <c r="E131" s="392" t="s">
        <v>635</v>
      </c>
      <c r="F131" s="585">
        <v>2000000</v>
      </c>
      <c r="G131" s="585">
        <v>2000000</v>
      </c>
      <c r="H131" s="585">
        <v>2000000</v>
      </c>
      <c r="I131" s="585">
        <v>1500000</v>
      </c>
      <c r="J131" s="585">
        <v>150000</v>
      </c>
      <c r="K131" s="585">
        <v>2000000</v>
      </c>
      <c r="L131" s="585">
        <v>1500000</v>
      </c>
      <c r="M131" s="585">
        <v>150000</v>
      </c>
      <c r="N131" s="585">
        <v>2000000</v>
      </c>
      <c r="O131" s="585">
        <v>1500000</v>
      </c>
      <c r="P131" s="585">
        <v>150000</v>
      </c>
      <c r="Q131" s="585">
        <v>2000000</v>
      </c>
      <c r="R131" s="585">
        <v>1500000</v>
      </c>
      <c r="S131" s="585">
        <v>150000</v>
      </c>
      <c r="T131" s="585">
        <v>2000000</v>
      </c>
      <c r="U131" s="356" t="s">
        <v>636</v>
      </c>
      <c r="V131" s="356"/>
    </row>
    <row r="132" spans="2:22" x14ac:dyDescent="0.2">
      <c r="B132" s="392" t="str">
        <f t="shared" si="2"/>
        <v>Kites-Lifetime</v>
      </c>
      <c r="C132" s="392" t="s">
        <v>520</v>
      </c>
      <c r="D132" s="397" t="s">
        <v>155</v>
      </c>
      <c r="E132" s="392" t="s">
        <v>176</v>
      </c>
      <c r="F132" s="356">
        <v>25</v>
      </c>
      <c r="G132" s="356">
        <v>25</v>
      </c>
      <c r="H132" s="356">
        <v>25</v>
      </c>
      <c r="I132" s="356">
        <v>25</v>
      </c>
      <c r="J132" s="356">
        <v>25</v>
      </c>
      <c r="K132" s="356">
        <v>25</v>
      </c>
      <c r="L132" s="356">
        <v>25</v>
      </c>
      <c r="M132" s="356">
        <v>25</v>
      </c>
      <c r="N132" s="356">
        <v>25</v>
      </c>
      <c r="O132" s="356">
        <v>25</v>
      </c>
      <c r="P132" s="356">
        <v>25</v>
      </c>
      <c r="Q132" s="356">
        <v>25</v>
      </c>
      <c r="R132" s="356">
        <v>25</v>
      </c>
      <c r="S132" s="356">
        <v>25</v>
      </c>
      <c r="T132" s="356">
        <v>25</v>
      </c>
      <c r="U132" s="356" t="s">
        <v>624</v>
      </c>
      <c r="V132" s="356"/>
    </row>
    <row r="133" spans="2:22" x14ac:dyDescent="0.2">
      <c r="B133" s="392" t="str">
        <f t="shared" si="2"/>
        <v>Kites-OPEX</v>
      </c>
      <c r="C133" s="392" t="s">
        <v>319</v>
      </c>
      <c r="D133" s="399" t="s">
        <v>155</v>
      </c>
      <c r="E133" s="392" t="s">
        <v>630</v>
      </c>
      <c r="F133" s="585">
        <v>75000</v>
      </c>
      <c r="G133" s="585">
        <v>75000</v>
      </c>
      <c r="H133" s="585">
        <v>75000</v>
      </c>
      <c r="I133" s="585">
        <v>75000</v>
      </c>
      <c r="J133" s="585">
        <v>75000</v>
      </c>
      <c r="K133" s="585">
        <v>75000</v>
      </c>
      <c r="L133" s="585">
        <v>75000</v>
      </c>
      <c r="M133" s="585">
        <v>75000</v>
      </c>
      <c r="N133" s="585">
        <v>75000</v>
      </c>
      <c r="O133" s="585">
        <v>75000</v>
      </c>
      <c r="P133" s="585">
        <v>75000</v>
      </c>
      <c r="Q133" s="585">
        <v>75000</v>
      </c>
      <c r="R133" s="585">
        <v>75000</v>
      </c>
      <c r="S133" s="585">
        <v>75000</v>
      </c>
      <c r="T133" s="585">
        <v>75000</v>
      </c>
      <c r="U133" s="356" t="s">
        <v>624</v>
      </c>
      <c r="V133" s="356"/>
    </row>
    <row r="134" spans="2:22" x14ac:dyDescent="0.2">
      <c r="B134" s="392" t="str">
        <f t="shared" ref="B134:B197" si="3">D134&amp;"-"&amp;C134</f>
        <v>Kites-Saving</v>
      </c>
      <c r="C134" s="392" t="s">
        <v>458</v>
      </c>
      <c r="D134" s="397" t="s">
        <v>155</v>
      </c>
      <c r="E134" s="392" t="s">
        <v>178</v>
      </c>
      <c r="F134" s="359">
        <v>0.06</v>
      </c>
      <c r="G134" s="359">
        <v>0.04</v>
      </c>
      <c r="H134" s="359">
        <v>0.02</v>
      </c>
      <c r="I134" s="359">
        <v>0.08</v>
      </c>
      <c r="J134" s="359">
        <v>7.0000000000000007E-2</v>
      </c>
      <c r="K134" s="359">
        <v>0.06</v>
      </c>
      <c r="L134" s="359">
        <v>0.08</v>
      </c>
      <c r="M134" s="359">
        <v>7.0000000000000007E-2</v>
      </c>
      <c r="N134" s="359">
        <v>0.06</v>
      </c>
      <c r="O134" s="359">
        <v>0.06</v>
      </c>
      <c r="P134" s="359">
        <v>0.04</v>
      </c>
      <c r="Q134" s="359">
        <v>0.02</v>
      </c>
      <c r="R134" s="359">
        <v>0.06</v>
      </c>
      <c r="S134" s="359">
        <v>0.04</v>
      </c>
      <c r="T134" s="359">
        <v>0.02</v>
      </c>
      <c r="U134" s="356" t="s">
        <v>627</v>
      </c>
      <c r="V134" s="356"/>
    </row>
    <row r="135" spans="2:22" x14ac:dyDescent="0.2">
      <c r="B135" s="392" t="str">
        <f t="shared" si="3"/>
        <v>Kites-UptakeFleetAvg2020</v>
      </c>
      <c r="C135" s="392" t="s">
        <v>650</v>
      </c>
      <c r="D135" s="397" t="s">
        <v>155</v>
      </c>
      <c r="E135" s="392" t="s">
        <v>178</v>
      </c>
      <c r="F135" s="359">
        <v>0</v>
      </c>
      <c r="G135" s="359">
        <v>0</v>
      </c>
      <c r="H135" s="359">
        <v>0</v>
      </c>
      <c r="I135" s="359">
        <v>0</v>
      </c>
      <c r="J135" s="359">
        <v>0</v>
      </c>
      <c r="K135" s="359">
        <v>0</v>
      </c>
      <c r="L135" s="359">
        <v>0</v>
      </c>
      <c r="M135" s="359">
        <v>0</v>
      </c>
      <c r="N135" s="359">
        <v>0</v>
      </c>
      <c r="O135" s="359">
        <v>0</v>
      </c>
      <c r="P135" s="359">
        <v>0</v>
      </c>
      <c r="Q135" s="359">
        <v>0</v>
      </c>
      <c r="R135" s="359">
        <v>0</v>
      </c>
      <c r="S135" s="359">
        <v>0</v>
      </c>
      <c r="T135" s="359">
        <v>0</v>
      </c>
      <c r="U135" s="356" t="s">
        <v>627</v>
      </c>
      <c r="V135" s="356"/>
    </row>
    <row r="136" spans="2:22" x14ac:dyDescent="0.2">
      <c r="B136" s="392" t="str">
        <f t="shared" si="3"/>
        <v>Kites-UptakeNewbuild2020</v>
      </c>
      <c r="C136" s="392" t="s">
        <v>652</v>
      </c>
      <c r="D136" s="397" t="s">
        <v>155</v>
      </c>
      <c r="E136" s="392" t="s">
        <v>178</v>
      </c>
      <c r="F136" s="359">
        <v>0</v>
      </c>
      <c r="G136" s="359">
        <v>0</v>
      </c>
      <c r="H136" s="359">
        <v>0</v>
      </c>
      <c r="I136" s="359">
        <v>0</v>
      </c>
      <c r="J136" s="359">
        <v>0</v>
      </c>
      <c r="K136" s="359">
        <v>0</v>
      </c>
      <c r="L136" s="359">
        <v>0</v>
      </c>
      <c r="M136" s="359">
        <v>0</v>
      </c>
      <c r="N136" s="359">
        <v>0</v>
      </c>
      <c r="O136" s="359">
        <v>0</v>
      </c>
      <c r="P136" s="359">
        <v>0</v>
      </c>
      <c r="Q136" s="359">
        <v>0</v>
      </c>
      <c r="R136" s="359">
        <v>0</v>
      </c>
      <c r="S136" s="359">
        <v>0</v>
      </c>
      <c r="T136" s="359">
        <v>0</v>
      </c>
      <c r="U136" s="356" t="s">
        <v>651</v>
      </c>
      <c r="V136" s="356"/>
    </row>
    <row r="137" spans="2:22" x14ac:dyDescent="0.2">
      <c r="B137" s="392" t="str">
        <f t="shared" si="3"/>
        <v>Lighting systems-Applicable Newbuild</v>
      </c>
      <c r="C137" s="392" t="s">
        <v>621</v>
      </c>
      <c r="D137" s="397" t="s">
        <v>161</v>
      </c>
      <c r="E137" s="392" t="s">
        <v>622</v>
      </c>
      <c r="F137" s="356">
        <v>1</v>
      </c>
      <c r="G137" s="356">
        <v>1</v>
      </c>
      <c r="H137" s="356">
        <v>1</v>
      </c>
      <c r="I137" s="356">
        <v>1</v>
      </c>
      <c r="J137" s="356">
        <v>1</v>
      </c>
      <c r="K137" s="356">
        <v>1</v>
      </c>
      <c r="L137" s="356">
        <v>1</v>
      </c>
      <c r="M137" s="356">
        <v>1</v>
      </c>
      <c r="N137" s="356">
        <v>1</v>
      </c>
      <c r="O137" s="356">
        <v>1</v>
      </c>
      <c r="P137" s="356">
        <v>1</v>
      </c>
      <c r="Q137" s="356">
        <v>1</v>
      </c>
      <c r="R137" s="356">
        <v>1</v>
      </c>
      <c r="S137" s="356">
        <v>1</v>
      </c>
      <c r="T137" s="356">
        <v>1</v>
      </c>
      <c r="U137" s="356" t="s">
        <v>624</v>
      </c>
      <c r="V137" s="356"/>
    </row>
    <row r="138" spans="2:22" x14ac:dyDescent="0.2">
      <c r="B138" s="392" t="str">
        <f t="shared" si="3"/>
        <v>Lighting systems-Applicable Retrofit</v>
      </c>
      <c r="C138" s="392" t="s">
        <v>629</v>
      </c>
      <c r="D138" s="397" t="s">
        <v>161</v>
      </c>
      <c r="E138" s="392" t="s">
        <v>622</v>
      </c>
      <c r="F138" s="356">
        <v>1</v>
      </c>
      <c r="G138" s="356">
        <v>1</v>
      </c>
      <c r="H138" s="356">
        <v>1</v>
      </c>
      <c r="I138" s="356">
        <v>1</v>
      </c>
      <c r="J138" s="356">
        <v>1</v>
      </c>
      <c r="K138" s="356">
        <v>1</v>
      </c>
      <c r="L138" s="356">
        <v>1</v>
      </c>
      <c r="M138" s="356">
        <v>1</v>
      </c>
      <c r="N138" s="356">
        <v>1</v>
      </c>
      <c r="O138" s="356">
        <v>1</v>
      </c>
      <c r="P138" s="356">
        <v>1</v>
      </c>
      <c r="Q138" s="356">
        <v>1</v>
      </c>
      <c r="R138" s="356">
        <v>1</v>
      </c>
      <c r="S138" s="356">
        <v>1</v>
      </c>
      <c r="T138" s="356">
        <v>1</v>
      </c>
      <c r="U138" s="356" t="s">
        <v>624</v>
      </c>
      <c r="V138" s="356"/>
    </row>
    <row r="139" spans="2:22" x14ac:dyDescent="0.2">
      <c r="B139" s="392" t="str">
        <f t="shared" si="3"/>
        <v>Lighting systems-CAPEX</v>
      </c>
      <c r="C139" s="392" t="s">
        <v>50</v>
      </c>
      <c r="D139" s="397" t="s">
        <v>161</v>
      </c>
      <c r="E139" s="392" t="s">
        <v>630</v>
      </c>
      <c r="F139" s="585" cm="1">
        <f t="array" aca="1" ref="F139" ca="1">IFERROR(
_xlfn.IFS(NewBuild_Retrofit_selector="Newbuild",INDEX($B$1:$V$408,MATCH($D139&amp;"-"&amp;"Installation cost",$B$1:$B$408,0),MATCH(F$3,$B$3:$V$3,0))/INDEX($B$1:$V$408,MATCH($D139&amp;"-"&amp;"Lifetime",$B$1:$B$408,0),MATCH(F$3,$B$3:$V$3,0)),
NewBuild_Retrofit_selector="Retrofit",(INDEX($B$1:$V$408,MATCH($D139&amp;"-"&amp;"Installation cost",$B$1:$B$408,0),MATCH(F$3,$B$3:$V$3,0))+INDEX($B$1:$V$408,MATCH($D139&amp;"-"&amp;"Extra retrofit cost",$B$1:$B$408,0),MATCH(F$3,$B$3:$V$3,0)))/INDEX($B$1:$V$408,MATCH($D139&amp;"-"&amp;"Lifetime",$B$1:$B$408,0),MATCH(F$3,$B$3:$V$3,0))),0)</f>
        <v>0</v>
      </c>
      <c r="G139" s="585" cm="1">
        <f t="array" aca="1" ref="G139" ca="1">IFERROR(
_xlfn.IFS(NewBuild_Retrofit_selector="Newbuild",INDEX($B$1:$V$408,MATCH($D139&amp;"-"&amp;"Installation cost",$B$1:$B$408,0),MATCH(G$3,$B$3:$V$3,0))/INDEX($B$1:$V$408,MATCH($D139&amp;"-"&amp;"Lifetime",$B$1:$B$408,0),MATCH(G$3,$B$3:$V$3,0)),
NewBuild_Retrofit_selector="Retrofit",(INDEX($B$1:$V$408,MATCH($D139&amp;"-"&amp;"Installation cost",$B$1:$B$408,0),MATCH(G$3,$B$3:$V$3,0))+INDEX($B$1:$V$408,MATCH($D139&amp;"-"&amp;"Extra retrofit cost",$B$1:$B$408,0),MATCH(G$3,$B$3:$V$3,0)))/INDEX($B$1:$V$408,MATCH($D139&amp;"-"&amp;"Lifetime",$B$1:$B$408,0),MATCH(G$3,$B$3:$V$3,0))),0)</f>
        <v>0</v>
      </c>
      <c r="H139" s="585" cm="1">
        <f t="array" aca="1" ref="H139" ca="1">IFERROR(
_xlfn.IFS(NewBuild_Retrofit_selector="Newbuild",INDEX($B$1:$V$408,MATCH($D139&amp;"-"&amp;"Installation cost",$B$1:$B$408,0),MATCH(H$3,$B$3:$V$3,0))/INDEX($B$1:$V$408,MATCH($D139&amp;"-"&amp;"Lifetime",$B$1:$B$408,0),MATCH(H$3,$B$3:$V$3,0)),
NewBuild_Retrofit_selector="Retrofit",(INDEX($B$1:$V$408,MATCH($D139&amp;"-"&amp;"Installation cost",$B$1:$B$408,0),MATCH(H$3,$B$3:$V$3,0))+INDEX($B$1:$V$408,MATCH($D139&amp;"-"&amp;"Extra retrofit cost",$B$1:$B$408,0),MATCH(H$3,$B$3:$V$3,0)))/INDEX($B$1:$V$408,MATCH($D139&amp;"-"&amp;"Lifetime",$B$1:$B$408,0),MATCH(H$3,$B$3:$V$3,0))),0)</f>
        <v>0</v>
      </c>
      <c r="I139" s="585" cm="1">
        <f t="array" aca="1" ref="I139" ca="1">IFERROR(
_xlfn.IFS(NewBuild_Retrofit_selector="Newbuild",INDEX($B$1:$V$408,MATCH($D139&amp;"-"&amp;"Installation cost",$B$1:$B$408,0),MATCH(I$3,$B$3:$V$3,0))/INDEX($B$1:$V$408,MATCH($D139&amp;"-"&amp;"Lifetime",$B$1:$B$408,0),MATCH(I$3,$B$3:$V$3,0)),
NewBuild_Retrofit_selector="Retrofit",(INDEX($B$1:$V$408,MATCH($D139&amp;"-"&amp;"Installation cost",$B$1:$B$408,0),MATCH(I$3,$B$3:$V$3,0))+INDEX($B$1:$V$408,MATCH($D139&amp;"-"&amp;"Extra retrofit cost",$B$1:$B$408,0),MATCH(I$3,$B$3:$V$3,0)))/INDEX($B$1:$V$408,MATCH($D139&amp;"-"&amp;"Lifetime",$B$1:$B$408,0),MATCH(I$3,$B$3:$V$3,0))),0)</f>
        <v>0</v>
      </c>
      <c r="J139" s="585" cm="1">
        <f t="array" aca="1" ref="J139" ca="1">IFERROR(
_xlfn.IFS(NewBuild_Retrofit_selector="Newbuild",INDEX($B$1:$V$408,MATCH($D139&amp;"-"&amp;"Installation cost",$B$1:$B$408,0),MATCH(J$3,$B$3:$V$3,0))/INDEX($B$1:$V$408,MATCH($D139&amp;"-"&amp;"Lifetime",$B$1:$B$408,0),MATCH(J$3,$B$3:$V$3,0)),
NewBuild_Retrofit_selector="Retrofit",(INDEX($B$1:$V$408,MATCH($D139&amp;"-"&amp;"Installation cost",$B$1:$B$408,0),MATCH(J$3,$B$3:$V$3,0))+INDEX($B$1:$V$408,MATCH($D139&amp;"-"&amp;"Extra retrofit cost",$B$1:$B$408,0),MATCH(J$3,$B$3:$V$3,0)))/INDEX($B$1:$V$408,MATCH($D139&amp;"-"&amp;"Lifetime",$B$1:$B$408,0),MATCH(J$3,$B$3:$V$3,0))),0)</f>
        <v>0</v>
      </c>
      <c r="K139" s="585" cm="1">
        <f t="array" aca="1" ref="K139" ca="1">IFERROR(
_xlfn.IFS(NewBuild_Retrofit_selector="Newbuild",INDEX($B$1:$V$408,MATCH($D139&amp;"-"&amp;"Installation cost",$B$1:$B$408,0),MATCH(K$3,$B$3:$V$3,0))/INDEX($B$1:$V$408,MATCH($D139&amp;"-"&amp;"Lifetime",$B$1:$B$408,0),MATCH(K$3,$B$3:$V$3,0)),
NewBuild_Retrofit_selector="Retrofit",(INDEX($B$1:$V$408,MATCH($D139&amp;"-"&amp;"Installation cost",$B$1:$B$408,0),MATCH(K$3,$B$3:$V$3,0))+INDEX($B$1:$V$408,MATCH($D139&amp;"-"&amp;"Extra retrofit cost",$B$1:$B$408,0),MATCH(K$3,$B$3:$V$3,0)))/INDEX($B$1:$V$408,MATCH($D139&amp;"-"&amp;"Lifetime",$B$1:$B$408,0),MATCH(K$3,$B$3:$V$3,0))),0)</f>
        <v>0</v>
      </c>
      <c r="L139" s="585" cm="1">
        <f t="array" aca="1" ref="L139" ca="1">IFERROR(
_xlfn.IFS(NewBuild_Retrofit_selector="Newbuild",INDEX($B$1:$V$408,MATCH($D139&amp;"-"&amp;"Installation cost",$B$1:$B$408,0),MATCH(L$3,$B$3:$V$3,0))/INDEX($B$1:$V$408,MATCH($D139&amp;"-"&amp;"Lifetime",$B$1:$B$408,0),MATCH(L$3,$B$3:$V$3,0)),
NewBuild_Retrofit_selector="Retrofit",(INDEX($B$1:$V$408,MATCH($D139&amp;"-"&amp;"Installation cost",$B$1:$B$408,0),MATCH(L$3,$B$3:$V$3,0))+INDEX($B$1:$V$408,MATCH($D139&amp;"-"&amp;"Extra retrofit cost",$B$1:$B$408,0),MATCH(L$3,$B$3:$V$3,0)))/INDEX($B$1:$V$408,MATCH($D139&amp;"-"&amp;"Lifetime",$B$1:$B$408,0),MATCH(L$3,$B$3:$V$3,0))),0)</f>
        <v>0</v>
      </c>
      <c r="M139" s="585" cm="1">
        <f t="array" aca="1" ref="M139" ca="1">IFERROR(
_xlfn.IFS(NewBuild_Retrofit_selector="Newbuild",INDEX($B$1:$V$408,MATCH($D139&amp;"-"&amp;"Installation cost",$B$1:$B$408,0),MATCH(M$3,$B$3:$V$3,0))/INDEX($B$1:$V$408,MATCH($D139&amp;"-"&amp;"Lifetime",$B$1:$B$408,0),MATCH(M$3,$B$3:$V$3,0)),
NewBuild_Retrofit_selector="Retrofit",(INDEX($B$1:$V$408,MATCH($D139&amp;"-"&amp;"Installation cost",$B$1:$B$408,0),MATCH(M$3,$B$3:$V$3,0))+INDEX($B$1:$V$408,MATCH($D139&amp;"-"&amp;"Extra retrofit cost",$B$1:$B$408,0),MATCH(M$3,$B$3:$V$3,0)))/INDEX($B$1:$V$408,MATCH($D139&amp;"-"&amp;"Lifetime",$B$1:$B$408,0),MATCH(M$3,$B$3:$V$3,0))),0)</f>
        <v>0</v>
      </c>
      <c r="N139" s="585" cm="1">
        <f t="array" aca="1" ref="N139" ca="1">IFERROR(
_xlfn.IFS(NewBuild_Retrofit_selector="Newbuild",INDEX($B$1:$V$408,MATCH($D139&amp;"-"&amp;"Installation cost",$B$1:$B$408,0),MATCH(N$3,$B$3:$V$3,0))/INDEX($B$1:$V$408,MATCH($D139&amp;"-"&amp;"Lifetime",$B$1:$B$408,0),MATCH(N$3,$B$3:$V$3,0)),
NewBuild_Retrofit_selector="Retrofit",(INDEX($B$1:$V$408,MATCH($D139&amp;"-"&amp;"Installation cost",$B$1:$B$408,0),MATCH(N$3,$B$3:$V$3,0))+INDEX($B$1:$V$408,MATCH($D139&amp;"-"&amp;"Extra retrofit cost",$B$1:$B$408,0),MATCH(N$3,$B$3:$V$3,0)))/INDEX($B$1:$V$408,MATCH($D139&amp;"-"&amp;"Lifetime",$B$1:$B$408,0),MATCH(N$3,$B$3:$V$3,0))),0)</f>
        <v>0</v>
      </c>
      <c r="O139" s="585" cm="1">
        <f t="array" aca="1" ref="O139" ca="1">IFERROR(
_xlfn.IFS(NewBuild_Retrofit_selector="Newbuild",INDEX($B$1:$V$408,MATCH($D139&amp;"-"&amp;"Installation cost",$B$1:$B$408,0),MATCH(O$3,$B$3:$V$3,0))/INDEX($B$1:$V$408,MATCH($D139&amp;"-"&amp;"Lifetime",$B$1:$B$408,0),MATCH(O$3,$B$3:$V$3,0)),
NewBuild_Retrofit_selector="Retrofit",(INDEX($B$1:$V$408,MATCH($D139&amp;"-"&amp;"Installation cost",$B$1:$B$408,0),MATCH(O$3,$B$3:$V$3,0))+INDEX($B$1:$V$408,MATCH($D139&amp;"-"&amp;"Extra retrofit cost",$B$1:$B$408,0),MATCH(O$3,$B$3:$V$3,0)))/INDEX($B$1:$V$408,MATCH($D139&amp;"-"&amp;"Lifetime",$B$1:$B$408,0),MATCH(O$3,$B$3:$V$3,0))),0)</f>
        <v>0</v>
      </c>
      <c r="P139" s="585" cm="1">
        <f t="array" aca="1" ref="P139" ca="1">IFERROR(
_xlfn.IFS(NewBuild_Retrofit_selector="Newbuild",INDEX($B$1:$V$408,MATCH($D139&amp;"-"&amp;"Installation cost",$B$1:$B$408,0),MATCH(P$3,$B$3:$V$3,0))/INDEX($B$1:$V$408,MATCH($D139&amp;"-"&amp;"Lifetime",$B$1:$B$408,0),MATCH(P$3,$B$3:$V$3,0)),
NewBuild_Retrofit_selector="Retrofit",(INDEX($B$1:$V$408,MATCH($D139&amp;"-"&amp;"Installation cost",$B$1:$B$408,0),MATCH(P$3,$B$3:$V$3,0))+INDEX($B$1:$V$408,MATCH($D139&amp;"-"&amp;"Extra retrofit cost",$B$1:$B$408,0),MATCH(P$3,$B$3:$V$3,0)))/INDEX($B$1:$V$408,MATCH($D139&amp;"-"&amp;"Lifetime",$B$1:$B$408,0),MATCH(P$3,$B$3:$V$3,0))),0)</f>
        <v>0</v>
      </c>
      <c r="Q139" s="585" cm="1">
        <f t="array" aca="1" ref="Q139" ca="1">IFERROR(
_xlfn.IFS(NewBuild_Retrofit_selector="Newbuild",INDEX($B$1:$V$408,MATCH($D139&amp;"-"&amp;"Installation cost",$B$1:$B$408,0),MATCH(Q$3,$B$3:$V$3,0))/INDEX($B$1:$V$408,MATCH($D139&amp;"-"&amp;"Lifetime",$B$1:$B$408,0),MATCH(Q$3,$B$3:$V$3,0)),
NewBuild_Retrofit_selector="Retrofit",(INDEX($B$1:$V$408,MATCH($D139&amp;"-"&amp;"Installation cost",$B$1:$B$408,0),MATCH(Q$3,$B$3:$V$3,0))+INDEX($B$1:$V$408,MATCH($D139&amp;"-"&amp;"Extra retrofit cost",$B$1:$B$408,0),MATCH(Q$3,$B$3:$V$3,0)))/INDEX($B$1:$V$408,MATCH($D139&amp;"-"&amp;"Lifetime",$B$1:$B$408,0),MATCH(Q$3,$B$3:$V$3,0))),0)</f>
        <v>0</v>
      </c>
      <c r="R139" s="585" cm="1">
        <f t="array" aca="1" ref="R139" ca="1">IFERROR(
_xlfn.IFS(NewBuild_Retrofit_selector="Newbuild",INDEX($B$1:$V$408,MATCH($D139&amp;"-"&amp;"Installation cost",$B$1:$B$408,0),MATCH(R$3,$B$3:$V$3,0))/INDEX($B$1:$V$408,MATCH($D139&amp;"-"&amp;"Lifetime",$B$1:$B$408,0),MATCH(R$3,$B$3:$V$3,0)),
NewBuild_Retrofit_selector="Retrofit",(INDEX($B$1:$V$408,MATCH($D139&amp;"-"&amp;"Installation cost",$B$1:$B$408,0),MATCH(R$3,$B$3:$V$3,0))+INDEX($B$1:$V$408,MATCH($D139&amp;"-"&amp;"Extra retrofit cost",$B$1:$B$408,0),MATCH(R$3,$B$3:$V$3,0)))/INDEX($B$1:$V$408,MATCH($D139&amp;"-"&amp;"Lifetime",$B$1:$B$408,0),MATCH(R$3,$B$3:$V$3,0))),0)</f>
        <v>0</v>
      </c>
      <c r="S139" s="585" cm="1">
        <f t="array" aca="1" ref="S139" ca="1">IFERROR(
_xlfn.IFS(NewBuild_Retrofit_selector="Newbuild",INDEX($B$1:$V$408,MATCH($D139&amp;"-"&amp;"Installation cost",$B$1:$B$408,0),MATCH(S$3,$B$3:$V$3,0))/INDEX($B$1:$V$408,MATCH($D139&amp;"-"&amp;"Lifetime",$B$1:$B$408,0),MATCH(S$3,$B$3:$V$3,0)),
NewBuild_Retrofit_selector="Retrofit",(INDEX($B$1:$V$408,MATCH($D139&amp;"-"&amp;"Installation cost",$B$1:$B$408,0),MATCH(S$3,$B$3:$V$3,0))+INDEX($B$1:$V$408,MATCH($D139&amp;"-"&amp;"Extra retrofit cost",$B$1:$B$408,0),MATCH(S$3,$B$3:$V$3,0)))/INDEX($B$1:$V$408,MATCH($D139&amp;"-"&amp;"Lifetime",$B$1:$B$408,0),MATCH(S$3,$B$3:$V$3,0))),0)</f>
        <v>0</v>
      </c>
      <c r="T139" s="585" cm="1">
        <f t="array" aca="1" ref="T139" ca="1">IFERROR(
_xlfn.IFS(NewBuild_Retrofit_selector="Newbuild",INDEX($B$1:$V$408,MATCH($D139&amp;"-"&amp;"Installation cost",$B$1:$B$408,0),MATCH(T$3,$B$3:$V$3,0))/INDEX($B$1:$V$408,MATCH($D139&amp;"-"&amp;"Lifetime",$B$1:$B$408,0),MATCH(T$3,$B$3:$V$3,0)),
NewBuild_Retrofit_selector="Retrofit",(INDEX($B$1:$V$408,MATCH($D139&amp;"-"&amp;"Installation cost",$B$1:$B$408,0),MATCH(T$3,$B$3:$V$3,0))+INDEX($B$1:$V$408,MATCH($D139&amp;"-"&amp;"Extra retrofit cost",$B$1:$B$408,0),MATCH(T$3,$B$3:$V$3,0)))/INDEX($B$1:$V$408,MATCH($D139&amp;"-"&amp;"Lifetime",$B$1:$B$408,0),MATCH(T$3,$B$3:$V$3,0))),0)</f>
        <v>0</v>
      </c>
      <c r="U139" s="356"/>
      <c r="V139" s="356"/>
    </row>
    <row r="140" spans="2:22" x14ac:dyDescent="0.2">
      <c r="B140" s="392" t="str">
        <f t="shared" si="3"/>
        <v>Lighting systems-Extra retrofit cost</v>
      </c>
      <c r="C140" s="392" t="s">
        <v>634</v>
      </c>
      <c r="D140" s="397" t="s">
        <v>161</v>
      </c>
      <c r="E140" s="392" t="s">
        <v>635</v>
      </c>
      <c r="F140" s="585">
        <v>39999.999999999993</v>
      </c>
      <c r="G140" s="585">
        <v>39999.999999999993</v>
      </c>
      <c r="H140" s="585">
        <v>39999.999999999993</v>
      </c>
      <c r="I140" s="585">
        <v>39999.999999999993</v>
      </c>
      <c r="J140" s="585">
        <v>39999.999999999993</v>
      </c>
      <c r="K140" s="585">
        <v>39999.999999999993</v>
      </c>
      <c r="L140" s="585">
        <v>39999.999999999993</v>
      </c>
      <c r="M140" s="585">
        <v>39999.999999999993</v>
      </c>
      <c r="N140" s="585">
        <v>39999.999999999993</v>
      </c>
      <c r="O140" s="585">
        <v>39999.999999999993</v>
      </c>
      <c r="P140" s="585">
        <v>39999.999999999993</v>
      </c>
      <c r="Q140" s="585">
        <v>39999.999999999993</v>
      </c>
      <c r="R140" s="585">
        <v>39999.999999999993</v>
      </c>
      <c r="S140" s="585">
        <v>39999.999999999993</v>
      </c>
      <c r="T140" s="585">
        <v>39999.999999999993</v>
      </c>
      <c r="U140" s="356"/>
      <c r="V140" s="356"/>
    </row>
    <row r="141" spans="2:22" x14ac:dyDescent="0.2">
      <c r="B141" s="392" t="str">
        <f t="shared" si="3"/>
        <v>Lighting systems-Installation cost</v>
      </c>
      <c r="C141" s="392" t="s">
        <v>452</v>
      </c>
      <c r="D141" s="397" t="s">
        <v>161</v>
      </c>
      <c r="E141" s="392" t="s">
        <v>635</v>
      </c>
      <c r="F141" s="585">
        <v>100000</v>
      </c>
      <c r="G141" s="585">
        <v>100000</v>
      </c>
      <c r="H141" s="585">
        <v>100000</v>
      </c>
      <c r="I141" s="585">
        <v>100000</v>
      </c>
      <c r="J141" s="585">
        <v>100000</v>
      </c>
      <c r="K141" s="585">
        <v>100000</v>
      </c>
      <c r="L141" s="585">
        <v>100000</v>
      </c>
      <c r="M141" s="585">
        <v>100000</v>
      </c>
      <c r="N141" s="585">
        <v>100000</v>
      </c>
      <c r="O141" s="585">
        <v>100000</v>
      </c>
      <c r="P141" s="585">
        <v>100000</v>
      </c>
      <c r="Q141" s="585">
        <v>100000</v>
      </c>
      <c r="R141" s="585">
        <v>100000</v>
      </c>
      <c r="S141" s="585">
        <v>100000</v>
      </c>
      <c r="T141" s="585">
        <v>100000</v>
      </c>
      <c r="U141" s="356" t="s">
        <v>624</v>
      </c>
      <c r="V141" s="356"/>
    </row>
    <row r="142" spans="2:22" x14ac:dyDescent="0.2">
      <c r="B142" s="392" t="str">
        <f t="shared" si="3"/>
        <v>Lighting systems-Lifetime</v>
      </c>
      <c r="C142" s="392" t="s">
        <v>520</v>
      </c>
      <c r="D142" s="397" t="s">
        <v>161</v>
      </c>
      <c r="E142" s="392" t="s">
        <v>176</v>
      </c>
      <c r="F142" s="356">
        <v>25</v>
      </c>
      <c r="G142" s="356">
        <v>25</v>
      </c>
      <c r="H142" s="356">
        <v>25</v>
      </c>
      <c r="I142" s="356">
        <v>25</v>
      </c>
      <c r="J142" s="356">
        <v>25</v>
      </c>
      <c r="K142" s="356">
        <v>25</v>
      </c>
      <c r="L142" s="356">
        <v>25</v>
      </c>
      <c r="M142" s="356">
        <v>25</v>
      </c>
      <c r="N142" s="356">
        <v>25</v>
      </c>
      <c r="O142" s="356">
        <v>25</v>
      </c>
      <c r="P142" s="356">
        <v>25</v>
      </c>
      <c r="Q142" s="356">
        <v>25</v>
      </c>
      <c r="R142" s="356">
        <v>25</v>
      </c>
      <c r="S142" s="356">
        <v>25</v>
      </c>
      <c r="T142" s="356">
        <v>25</v>
      </c>
      <c r="U142" s="356" t="s">
        <v>624</v>
      </c>
      <c r="V142" s="356"/>
    </row>
    <row r="143" spans="2:22" x14ac:dyDescent="0.2">
      <c r="B143" s="392" t="str">
        <f t="shared" si="3"/>
        <v>Lighting systems-OPEX</v>
      </c>
      <c r="C143" s="392" t="s">
        <v>319</v>
      </c>
      <c r="D143" s="397" t="s">
        <v>161</v>
      </c>
      <c r="E143" s="392" t="s">
        <v>630</v>
      </c>
      <c r="F143" s="585">
        <v>0</v>
      </c>
      <c r="G143" s="585">
        <v>0</v>
      </c>
      <c r="H143" s="585">
        <v>0</v>
      </c>
      <c r="I143" s="585">
        <v>0</v>
      </c>
      <c r="J143" s="585">
        <v>0</v>
      </c>
      <c r="K143" s="585">
        <v>0</v>
      </c>
      <c r="L143" s="585">
        <v>0</v>
      </c>
      <c r="M143" s="585">
        <v>0</v>
      </c>
      <c r="N143" s="585">
        <v>0</v>
      </c>
      <c r="O143" s="585">
        <v>0</v>
      </c>
      <c r="P143" s="585">
        <v>0</v>
      </c>
      <c r="Q143" s="585">
        <v>0</v>
      </c>
      <c r="R143" s="585">
        <v>0</v>
      </c>
      <c r="S143" s="585">
        <v>0</v>
      </c>
      <c r="T143" s="585">
        <v>0</v>
      </c>
      <c r="U143" s="356" t="s">
        <v>624</v>
      </c>
      <c r="V143" s="356"/>
    </row>
    <row r="144" spans="2:22" x14ac:dyDescent="0.2">
      <c r="B144" s="392" t="str">
        <f t="shared" si="3"/>
        <v>Lighting systems-Saving</v>
      </c>
      <c r="C144" s="392" t="s">
        <v>458</v>
      </c>
      <c r="D144" s="397" t="s">
        <v>161</v>
      </c>
      <c r="E144" s="392" t="s">
        <v>178</v>
      </c>
      <c r="F144" s="359">
        <v>2.5000000000000001E-2</v>
      </c>
      <c r="G144" s="359">
        <v>2.5000000000000001E-2</v>
      </c>
      <c r="H144" s="359">
        <v>2.5000000000000001E-2</v>
      </c>
      <c r="I144" s="359">
        <v>2.5000000000000001E-2</v>
      </c>
      <c r="J144" s="359">
        <v>2.5000000000000001E-2</v>
      </c>
      <c r="K144" s="359">
        <v>2.5000000000000001E-2</v>
      </c>
      <c r="L144" s="359">
        <v>2.5000000000000001E-2</v>
      </c>
      <c r="M144" s="359">
        <v>2.5000000000000001E-2</v>
      </c>
      <c r="N144" s="359">
        <v>2.5000000000000001E-2</v>
      </c>
      <c r="O144" s="359">
        <v>2.5000000000000001E-2</v>
      </c>
      <c r="P144" s="359">
        <v>2.5000000000000001E-2</v>
      </c>
      <c r="Q144" s="359">
        <v>2.5000000000000001E-2</v>
      </c>
      <c r="R144" s="359">
        <v>2.5000000000000001E-2</v>
      </c>
      <c r="S144" s="359">
        <v>2.5000000000000001E-2</v>
      </c>
      <c r="T144" s="359">
        <v>2.5000000000000001E-2</v>
      </c>
      <c r="U144" s="356" t="s">
        <v>624</v>
      </c>
      <c r="V144" s="356"/>
    </row>
    <row r="145" spans="2:22" x14ac:dyDescent="0.2">
      <c r="B145" s="392" t="str">
        <f t="shared" si="3"/>
        <v>Lighting systems-UptakeFleetAvg2020</v>
      </c>
      <c r="C145" s="392" t="s">
        <v>650</v>
      </c>
      <c r="D145" s="397" t="s">
        <v>161</v>
      </c>
      <c r="E145" s="392" t="s">
        <v>178</v>
      </c>
      <c r="F145" s="359">
        <v>0.5</v>
      </c>
      <c r="G145" s="359">
        <v>0.5</v>
      </c>
      <c r="H145" s="359">
        <v>0.5</v>
      </c>
      <c r="I145" s="359">
        <v>0.5</v>
      </c>
      <c r="J145" s="359">
        <v>0.5</v>
      </c>
      <c r="K145" s="359">
        <v>0.5</v>
      </c>
      <c r="L145" s="359">
        <v>0.5</v>
      </c>
      <c r="M145" s="359">
        <v>0.5</v>
      </c>
      <c r="N145" s="359">
        <v>0.5</v>
      </c>
      <c r="O145" s="359">
        <v>0.5</v>
      </c>
      <c r="P145" s="359">
        <v>0.5</v>
      </c>
      <c r="Q145" s="359">
        <v>0.5</v>
      </c>
      <c r="R145" s="359">
        <v>0.5</v>
      </c>
      <c r="S145" s="359">
        <v>0.5</v>
      </c>
      <c r="T145" s="359">
        <v>0.5</v>
      </c>
      <c r="U145" s="356" t="s">
        <v>651</v>
      </c>
      <c r="V145" s="356"/>
    </row>
    <row r="146" spans="2:22" x14ac:dyDescent="0.2">
      <c r="B146" s="392" t="str">
        <f t="shared" si="3"/>
        <v>Lighting systems-UptakeNewbuild2020</v>
      </c>
      <c r="C146" s="392" t="s">
        <v>652</v>
      </c>
      <c r="D146" s="397" t="s">
        <v>161</v>
      </c>
      <c r="E146" s="392" t="s">
        <v>178</v>
      </c>
      <c r="F146" s="359">
        <v>0</v>
      </c>
      <c r="G146" s="359">
        <v>0</v>
      </c>
      <c r="H146" s="359">
        <v>0</v>
      </c>
      <c r="I146" s="359">
        <v>0</v>
      </c>
      <c r="J146" s="359">
        <v>0</v>
      </c>
      <c r="K146" s="359">
        <v>0</v>
      </c>
      <c r="L146" s="359">
        <v>0</v>
      </c>
      <c r="M146" s="359">
        <v>0</v>
      </c>
      <c r="N146" s="359">
        <v>0</v>
      </c>
      <c r="O146" s="359">
        <v>0</v>
      </c>
      <c r="P146" s="359">
        <v>0</v>
      </c>
      <c r="Q146" s="359">
        <v>0</v>
      </c>
      <c r="R146" s="359">
        <v>0</v>
      </c>
      <c r="S146" s="359">
        <v>0</v>
      </c>
      <c r="T146" s="359">
        <v>0</v>
      </c>
      <c r="U146" s="356" t="s">
        <v>651</v>
      </c>
      <c r="V146" s="356"/>
    </row>
    <row r="147" spans="2:22" x14ac:dyDescent="0.2">
      <c r="B147" s="392" t="str">
        <f t="shared" si="3"/>
        <v>Lightweight hull-Applicable Newbuild</v>
      </c>
      <c r="C147" s="392" t="s">
        <v>621</v>
      </c>
      <c r="D147" s="734" t="s">
        <v>143</v>
      </c>
      <c r="E147" s="392" t="s">
        <v>622</v>
      </c>
      <c r="F147" s="356">
        <v>1</v>
      </c>
      <c r="G147" s="356">
        <v>1</v>
      </c>
      <c r="H147" s="356">
        <v>1</v>
      </c>
      <c r="I147" s="356">
        <v>1</v>
      </c>
      <c r="J147" s="356">
        <v>1</v>
      </c>
      <c r="K147" s="356">
        <v>1</v>
      </c>
      <c r="L147" s="356">
        <v>1</v>
      </c>
      <c r="M147" s="356">
        <v>1</v>
      </c>
      <c r="N147" s="356">
        <v>1</v>
      </c>
      <c r="O147" s="356">
        <v>1</v>
      </c>
      <c r="P147" s="356">
        <v>1</v>
      </c>
      <c r="Q147" s="356">
        <v>1</v>
      </c>
      <c r="R147" s="356">
        <v>1</v>
      </c>
      <c r="S147" s="356">
        <v>1</v>
      </c>
      <c r="T147" s="356">
        <v>1</v>
      </c>
      <c r="U147" s="356"/>
      <c r="V147" s="356"/>
    </row>
    <row r="148" spans="2:22" x14ac:dyDescent="0.2">
      <c r="B148" s="392" t="str">
        <f t="shared" si="3"/>
        <v>Lightweight hull-Applicable Retrofit</v>
      </c>
      <c r="C148" s="392" t="s">
        <v>629</v>
      </c>
      <c r="D148" s="734" t="s">
        <v>143</v>
      </c>
      <c r="E148" s="392"/>
      <c r="F148" s="356"/>
      <c r="G148" s="356"/>
      <c r="H148" s="356"/>
      <c r="I148" s="356"/>
      <c r="J148" s="356"/>
      <c r="K148" s="356"/>
      <c r="L148" s="356"/>
      <c r="M148" s="356"/>
      <c r="N148" s="356"/>
      <c r="O148" s="356"/>
      <c r="P148" s="356"/>
      <c r="Q148" s="356"/>
      <c r="R148" s="356"/>
      <c r="S148" s="356"/>
      <c r="T148" s="356"/>
      <c r="U148" s="356"/>
      <c r="V148" s="356"/>
    </row>
    <row r="149" spans="2:22" x14ac:dyDescent="0.2">
      <c r="B149" s="392" t="str">
        <f t="shared" si="3"/>
        <v>Lightweight hull-CAPEX</v>
      </c>
      <c r="C149" s="392" t="s">
        <v>50</v>
      </c>
      <c r="D149" s="734" t="s">
        <v>143</v>
      </c>
      <c r="E149" s="392" t="s">
        <v>630</v>
      </c>
      <c r="F149" s="585" cm="1">
        <f t="array" aca="1" ref="F149" ca="1">IFERROR(
_xlfn.IFS(NewBuild_Retrofit_selector="Newbuild",INDEX($B$1:$V$408,MATCH($D149&amp;"-"&amp;"Installation cost",$B$1:$B$408,0),MATCH(F$3,$B$3:$V$3,0))/INDEX($B$1:$V$408,MATCH($D149&amp;"-"&amp;"Lifetime",$B$1:$B$408,0),MATCH(F$3,$B$3:$V$3,0)),
NewBuild_Retrofit_selector="Retrofit",(INDEX($B$1:$V$408,MATCH($D149&amp;"-"&amp;"Installation cost",$B$1:$B$408,0),MATCH(F$3,$B$3:$V$3,0))+INDEX($B$1:$V$408,MATCH($D149&amp;"-"&amp;"Extra retrofit cost",$B$1:$B$408,0),MATCH(F$3,$B$3:$V$3,0)))/INDEX($B$1:$V$408,MATCH($D149&amp;"-"&amp;"Lifetime",$B$1:$B$408,0),MATCH(F$3,$B$3:$V$3,0))),0)</f>
        <v>0</v>
      </c>
      <c r="G149" s="585" cm="1">
        <f t="array" aca="1" ref="G149" ca="1">IFERROR(
_xlfn.IFS(NewBuild_Retrofit_selector="Newbuild",INDEX($B$1:$V$408,MATCH($D149&amp;"-"&amp;"Installation cost",$B$1:$B$408,0),MATCH(G$3,$B$3:$V$3,0))/INDEX($B$1:$V$408,MATCH($D149&amp;"-"&amp;"Lifetime",$B$1:$B$408,0),MATCH(G$3,$B$3:$V$3,0)),
NewBuild_Retrofit_selector="Retrofit",(INDEX($B$1:$V$408,MATCH($D149&amp;"-"&amp;"Installation cost",$B$1:$B$408,0),MATCH(G$3,$B$3:$V$3,0))+INDEX($B$1:$V$408,MATCH($D149&amp;"-"&amp;"Extra retrofit cost",$B$1:$B$408,0),MATCH(G$3,$B$3:$V$3,0)))/INDEX($B$1:$V$408,MATCH($D149&amp;"-"&amp;"Lifetime",$B$1:$B$408,0),MATCH(G$3,$B$3:$V$3,0))),0)</f>
        <v>0</v>
      </c>
      <c r="H149" s="585" cm="1">
        <f t="array" aca="1" ref="H149" ca="1">IFERROR(
_xlfn.IFS(NewBuild_Retrofit_selector="Newbuild",INDEX($B$1:$V$408,MATCH($D149&amp;"-"&amp;"Installation cost",$B$1:$B$408,0),MATCH(H$3,$B$3:$V$3,0))/INDEX($B$1:$V$408,MATCH($D149&amp;"-"&amp;"Lifetime",$B$1:$B$408,0),MATCH(H$3,$B$3:$V$3,0)),
NewBuild_Retrofit_selector="Retrofit",(INDEX($B$1:$V$408,MATCH($D149&amp;"-"&amp;"Installation cost",$B$1:$B$408,0),MATCH(H$3,$B$3:$V$3,0))+INDEX($B$1:$V$408,MATCH($D149&amp;"-"&amp;"Extra retrofit cost",$B$1:$B$408,0),MATCH(H$3,$B$3:$V$3,0)))/INDEX($B$1:$V$408,MATCH($D149&amp;"-"&amp;"Lifetime",$B$1:$B$408,0),MATCH(H$3,$B$3:$V$3,0))),0)</f>
        <v>0</v>
      </c>
      <c r="I149" s="585" cm="1">
        <f t="array" aca="1" ref="I149" ca="1">IFERROR(
_xlfn.IFS(NewBuild_Retrofit_selector="Newbuild",INDEX($B$1:$V$408,MATCH($D149&amp;"-"&amp;"Installation cost",$B$1:$B$408,0),MATCH(I$3,$B$3:$V$3,0))/INDEX($B$1:$V$408,MATCH($D149&amp;"-"&amp;"Lifetime",$B$1:$B$408,0),MATCH(I$3,$B$3:$V$3,0)),
NewBuild_Retrofit_selector="Retrofit",(INDEX($B$1:$V$408,MATCH($D149&amp;"-"&amp;"Installation cost",$B$1:$B$408,0),MATCH(I$3,$B$3:$V$3,0))+INDEX($B$1:$V$408,MATCH($D149&amp;"-"&amp;"Extra retrofit cost",$B$1:$B$408,0),MATCH(I$3,$B$3:$V$3,0)))/INDEX($B$1:$V$408,MATCH($D149&amp;"-"&amp;"Lifetime",$B$1:$B$408,0),MATCH(I$3,$B$3:$V$3,0))),0)</f>
        <v>0</v>
      </c>
      <c r="J149" s="585" cm="1">
        <f t="array" aca="1" ref="J149" ca="1">IFERROR(
_xlfn.IFS(NewBuild_Retrofit_selector="Newbuild",INDEX($B$1:$V$408,MATCH($D149&amp;"-"&amp;"Installation cost",$B$1:$B$408,0),MATCH(J$3,$B$3:$V$3,0))/INDEX($B$1:$V$408,MATCH($D149&amp;"-"&amp;"Lifetime",$B$1:$B$408,0),MATCH(J$3,$B$3:$V$3,0)),
NewBuild_Retrofit_selector="Retrofit",(INDEX($B$1:$V$408,MATCH($D149&amp;"-"&amp;"Installation cost",$B$1:$B$408,0),MATCH(J$3,$B$3:$V$3,0))+INDEX($B$1:$V$408,MATCH($D149&amp;"-"&amp;"Extra retrofit cost",$B$1:$B$408,0),MATCH(J$3,$B$3:$V$3,0)))/INDEX($B$1:$V$408,MATCH($D149&amp;"-"&amp;"Lifetime",$B$1:$B$408,0),MATCH(J$3,$B$3:$V$3,0))),0)</f>
        <v>0</v>
      </c>
      <c r="K149" s="585" cm="1">
        <f t="array" aca="1" ref="K149" ca="1">IFERROR(
_xlfn.IFS(NewBuild_Retrofit_selector="Newbuild",INDEX($B$1:$V$408,MATCH($D149&amp;"-"&amp;"Installation cost",$B$1:$B$408,0),MATCH(K$3,$B$3:$V$3,0))/INDEX($B$1:$V$408,MATCH($D149&amp;"-"&amp;"Lifetime",$B$1:$B$408,0),MATCH(K$3,$B$3:$V$3,0)),
NewBuild_Retrofit_selector="Retrofit",(INDEX($B$1:$V$408,MATCH($D149&amp;"-"&amp;"Installation cost",$B$1:$B$408,0),MATCH(K$3,$B$3:$V$3,0))+INDEX($B$1:$V$408,MATCH($D149&amp;"-"&amp;"Extra retrofit cost",$B$1:$B$408,0),MATCH(K$3,$B$3:$V$3,0)))/INDEX($B$1:$V$408,MATCH($D149&amp;"-"&amp;"Lifetime",$B$1:$B$408,0),MATCH(K$3,$B$3:$V$3,0))),0)</f>
        <v>0</v>
      </c>
      <c r="L149" s="585" cm="1">
        <f t="array" aca="1" ref="L149" ca="1">IFERROR(
_xlfn.IFS(NewBuild_Retrofit_selector="Newbuild",INDEX($B$1:$V$408,MATCH($D149&amp;"-"&amp;"Installation cost",$B$1:$B$408,0),MATCH(L$3,$B$3:$V$3,0))/INDEX($B$1:$V$408,MATCH($D149&amp;"-"&amp;"Lifetime",$B$1:$B$408,0),MATCH(L$3,$B$3:$V$3,0)),
NewBuild_Retrofit_selector="Retrofit",(INDEX($B$1:$V$408,MATCH($D149&amp;"-"&amp;"Installation cost",$B$1:$B$408,0),MATCH(L$3,$B$3:$V$3,0))+INDEX($B$1:$V$408,MATCH($D149&amp;"-"&amp;"Extra retrofit cost",$B$1:$B$408,0),MATCH(L$3,$B$3:$V$3,0)))/INDEX($B$1:$V$408,MATCH($D149&amp;"-"&amp;"Lifetime",$B$1:$B$408,0),MATCH(L$3,$B$3:$V$3,0))),0)</f>
        <v>0</v>
      </c>
      <c r="M149" s="585" cm="1">
        <f t="array" aca="1" ref="M149" ca="1">IFERROR(
_xlfn.IFS(NewBuild_Retrofit_selector="Newbuild",INDEX($B$1:$V$408,MATCH($D149&amp;"-"&amp;"Installation cost",$B$1:$B$408,0),MATCH(M$3,$B$3:$V$3,0))/INDEX($B$1:$V$408,MATCH($D149&amp;"-"&amp;"Lifetime",$B$1:$B$408,0),MATCH(M$3,$B$3:$V$3,0)),
NewBuild_Retrofit_selector="Retrofit",(INDEX($B$1:$V$408,MATCH($D149&amp;"-"&amp;"Installation cost",$B$1:$B$408,0),MATCH(M$3,$B$3:$V$3,0))+INDEX($B$1:$V$408,MATCH($D149&amp;"-"&amp;"Extra retrofit cost",$B$1:$B$408,0),MATCH(M$3,$B$3:$V$3,0)))/INDEX($B$1:$V$408,MATCH($D149&amp;"-"&amp;"Lifetime",$B$1:$B$408,0),MATCH(M$3,$B$3:$V$3,0))),0)</f>
        <v>0</v>
      </c>
      <c r="N149" s="585" cm="1">
        <f t="array" aca="1" ref="N149" ca="1">IFERROR(
_xlfn.IFS(NewBuild_Retrofit_selector="Newbuild",INDEX($B$1:$V$408,MATCH($D149&amp;"-"&amp;"Installation cost",$B$1:$B$408,0),MATCH(N$3,$B$3:$V$3,0))/INDEX($B$1:$V$408,MATCH($D149&amp;"-"&amp;"Lifetime",$B$1:$B$408,0),MATCH(N$3,$B$3:$V$3,0)),
NewBuild_Retrofit_selector="Retrofit",(INDEX($B$1:$V$408,MATCH($D149&amp;"-"&amp;"Installation cost",$B$1:$B$408,0),MATCH(N$3,$B$3:$V$3,0))+INDEX($B$1:$V$408,MATCH($D149&amp;"-"&amp;"Extra retrofit cost",$B$1:$B$408,0),MATCH(N$3,$B$3:$V$3,0)))/INDEX($B$1:$V$408,MATCH($D149&amp;"-"&amp;"Lifetime",$B$1:$B$408,0),MATCH(N$3,$B$3:$V$3,0))),0)</f>
        <v>0</v>
      </c>
      <c r="O149" s="585" cm="1">
        <f t="array" aca="1" ref="O149" ca="1">IFERROR(
_xlfn.IFS(NewBuild_Retrofit_selector="Newbuild",INDEX($B$1:$V$408,MATCH($D149&amp;"-"&amp;"Installation cost",$B$1:$B$408,0),MATCH(O$3,$B$3:$V$3,0))/INDEX($B$1:$V$408,MATCH($D149&amp;"-"&amp;"Lifetime",$B$1:$B$408,0),MATCH(O$3,$B$3:$V$3,0)),
NewBuild_Retrofit_selector="Retrofit",(INDEX($B$1:$V$408,MATCH($D149&amp;"-"&amp;"Installation cost",$B$1:$B$408,0),MATCH(O$3,$B$3:$V$3,0))+INDEX($B$1:$V$408,MATCH($D149&amp;"-"&amp;"Extra retrofit cost",$B$1:$B$408,0),MATCH(O$3,$B$3:$V$3,0)))/INDEX($B$1:$V$408,MATCH($D149&amp;"-"&amp;"Lifetime",$B$1:$B$408,0),MATCH(O$3,$B$3:$V$3,0))),0)</f>
        <v>0</v>
      </c>
      <c r="P149" s="585" cm="1">
        <f t="array" aca="1" ref="P149" ca="1">IFERROR(
_xlfn.IFS(NewBuild_Retrofit_selector="Newbuild",INDEX($B$1:$V$408,MATCH($D149&amp;"-"&amp;"Installation cost",$B$1:$B$408,0),MATCH(P$3,$B$3:$V$3,0))/INDEX($B$1:$V$408,MATCH($D149&amp;"-"&amp;"Lifetime",$B$1:$B$408,0),MATCH(P$3,$B$3:$V$3,0)),
NewBuild_Retrofit_selector="Retrofit",(INDEX($B$1:$V$408,MATCH($D149&amp;"-"&amp;"Installation cost",$B$1:$B$408,0),MATCH(P$3,$B$3:$V$3,0))+INDEX($B$1:$V$408,MATCH($D149&amp;"-"&amp;"Extra retrofit cost",$B$1:$B$408,0),MATCH(P$3,$B$3:$V$3,0)))/INDEX($B$1:$V$408,MATCH($D149&amp;"-"&amp;"Lifetime",$B$1:$B$408,0),MATCH(P$3,$B$3:$V$3,0))),0)</f>
        <v>0</v>
      </c>
      <c r="Q149" s="585" cm="1">
        <f t="array" aca="1" ref="Q149" ca="1">IFERROR(
_xlfn.IFS(NewBuild_Retrofit_selector="Newbuild",INDEX($B$1:$V$408,MATCH($D149&amp;"-"&amp;"Installation cost",$B$1:$B$408,0),MATCH(Q$3,$B$3:$V$3,0))/INDEX($B$1:$V$408,MATCH($D149&amp;"-"&amp;"Lifetime",$B$1:$B$408,0),MATCH(Q$3,$B$3:$V$3,0)),
NewBuild_Retrofit_selector="Retrofit",(INDEX($B$1:$V$408,MATCH($D149&amp;"-"&amp;"Installation cost",$B$1:$B$408,0),MATCH(Q$3,$B$3:$V$3,0))+INDEX($B$1:$V$408,MATCH($D149&amp;"-"&amp;"Extra retrofit cost",$B$1:$B$408,0),MATCH(Q$3,$B$3:$V$3,0)))/INDEX($B$1:$V$408,MATCH($D149&amp;"-"&amp;"Lifetime",$B$1:$B$408,0),MATCH(Q$3,$B$3:$V$3,0))),0)</f>
        <v>0</v>
      </c>
      <c r="R149" s="585" cm="1">
        <f t="array" aca="1" ref="R149" ca="1">IFERROR(
_xlfn.IFS(NewBuild_Retrofit_selector="Newbuild",INDEX($B$1:$V$408,MATCH($D149&amp;"-"&amp;"Installation cost",$B$1:$B$408,0),MATCH(R$3,$B$3:$V$3,0))/INDEX($B$1:$V$408,MATCH($D149&amp;"-"&amp;"Lifetime",$B$1:$B$408,0),MATCH(R$3,$B$3:$V$3,0)),
NewBuild_Retrofit_selector="Retrofit",(INDEX($B$1:$V$408,MATCH($D149&amp;"-"&amp;"Installation cost",$B$1:$B$408,0),MATCH(R$3,$B$3:$V$3,0))+INDEX($B$1:$V$408,MATCH($D149&amp;"-"&amp;"Extra retrofit cost",$B$1:$B$408,0),MATCH(R$3,$B$3:$V$3,0)))/INDEX($B$1:$V$408,MATCH($D149&amp;"-"&amp;"Lifetime",$B$1:$B$408,0),MATCH(R$3,$B$3:$V$3,0))),0)</f>
        <v>0</v>
      </c>
      <c r="S149" s="585" cm="1">
        <f t="array" aca="1" ref="S149" ca="1">IFERROR(
_xlfn.IFS(NewBuild_Retrofit_selector="Newbuild",INDEX($B$1:$V$408,MATCH($D149&amp;"-"&amp;"Installation cost",$B$1:$B$408,0),MATCH(S$3,$B$3:$V$3,0))/INDEX($B$1:$V$408,MATCH($D149&amp;"-"&amp;"Lifetime",$B$1:$B$408,0),MATCH(S$3,$B$3:$V$3,0)),
NewBuild_Retrofit_selector="Retrofit",(INDEX($B$1:$V$408,MATCH($D149&amp;"-"&amp;"Installation cost",$B$1:$B$408,0),MATCH(S$3,$B$3:$V$3,0))+INDEX($B$1:$V$408,MATCH($D149&amp;"-"&amp;"Extra retrofit cost",$B$1:$B$408,0),MATCH(S$3,$B$3:$V$3,0)))/INDEX($B$1:$V$408,MATCH($D149&amp;"-"&amp;"Lifetime",$B$1:$B$408,0),MATCH(S$3,$B$3:$V$3,0))),0)</f>
        <v>0</v>
      </c>
      <c r="T149" s="585" cm="1">
        <f t="array" aca="1" ref="T149" ca="1">IFERROR(
_xlfn.IFS(NewBuild_Retrofit_selector="Newbuild",INDEX($B$1:$V$408,MATCH($D149&amp;"-"&amp;"Installation cost",$B$1:$B$408,0),MATCH(T$3,$B$3:$V$3,0))/INDEX($B$1:$V$408,MATCH($D149&amp;"-"&amp;"Lifetime",$B$1:$B$408,0),MATCH(T$3,$B$3:$V$3,0)),
NewBuild_Retrofit_selector="Retrofit",(INDEX($B$1:$V$408,MATCH($D149&amp;"-"&amp;"Installation cost",$B$1:$B$408,0),MATCH(T$3,$B$3:$V$3,0))+INDEX($B$1:$V$408,MATCH($D149&amp;"-"&amp;"Extra retrofit cost",$B$1:$B$408,0),MATCH(T$3,$B$3:$V$3,0)))/INDEX($B$1:$V$408,MATCH($D149&amp;"-"&amp;"Lifetime",$B$1:$B$408,0),MATCH(T$3,$B$3:$V$3,0))),0)</f>
        <v>0</v>
      </c>
      <c r="U149" s="356"/>
      <c r="V149" s="356"/>
    </row>
    <row r="150" spans="2:22" x14ac:dyDescent="0.2">
      <c r="B150" s="392" t="str">
        <f t="shared" si="3"/>
        <v>Lightweight hull-Extra retrofit cost</v>
      </c>
      <c r="C150" s="392" t="s">
        <v>634</v>
      </c>
      <c r="D150" s="734" t="s">
        <v>143</v>
      </c>
      <c r="E150" s="392"/>
      <c r="F150" s="585">
        <v>0</v>
      </c>
      <c r="G150" s="585">
        <v>0</v>
      </c>
      <c r="H150" s="585">
        <v>0</v>
      </c>
      <c r="I150" s="585">
        <v>0</v>
      </c>
      <c r="J150" s="585">
        <v>0</v>
      </c>
      <c r="K150" s="585">
        <v>0</v>
      </c>
      <c r="L150" s="585">
        <v>0</v>
      </c>
      <c r="M150" s="585">
        <v>0</v>
      </c>
      <c r="N150" s="585">
        <v>0</v>
      </c>
      <c r="O150" s="585">
        <v>0</v>
      </c>
      <c r="P150" s="585">
        <v>0</v>
      </c>
      <c r="Q150" s="585">
        <v>0</v>
      </c>
      <c r="R150" s="585">
        <v>0</v>
      </c>
      <c r="S150" s="585">
        <v>0</v>
      </c>
      <c r="T150" s="585">
        <v>0</v>
      </c>
      <c r="U150" s="356"/>
      <c r="V150" s="356"/>
    </row>
    <row r="151" spans="2:22" x14ac:dyDescent="0.2">
      <c r="B151" s="392" t="str">
        <f t="shared" si="3"/>
        <v>Lightweight hull-Installation cost</v>
      </c>
      <c r="C151" s="392" t="s">
        <v>452</v>
      </c>
      <c r="D151" s="734" t="s">
        <v>143</v>
      </c>
      <c r="E151" s="392"/>
      <c r="F151" s="585"/>
      <c r="G151" s="585"/>
      <c r="H151" s="585"/>
      <c r="I151" s="585"/>
      <c r="J151" s="585"/>
      <c r="K151" s="585"/>
      <c r="L151" s="585"/>
      <c r="M151" s="585"/>
      <c r="N151" s="585"/>
      <c r="O151" s="585"/>
      <c r="P151" s="585"/>
      <c r="Q151" s="585"/>
      <c r="R151" s="585"/>
      <c r="S151" s="585"/>
      <c r="T151" s="585"/>
      <c r="U151" s="356"/>
      <c r="V151" s="356"/>
    </row>
    <row r="152" spans="2:22" x14ac:dyDescent="0.2">
      <c r="B152" s="392" t="str">
        <f t="shared" si="3"/>
        <v>Lightweight hull-Lifetime</v>
      </c>
      <c r="C152" s="392" t="s">
        <v>520</v>
      </c>
      <c r="D152" s="734" t="s">
        <v>143</v>
      </c>
      <c r="E152" s="392"/>
      <c r="F152" s="356"/>
      <c r="G152" s="356"/>
      <c r="H152" s="356"/>
      <c r="I152" s="356"/>
      <c r="J152" s="356"/>
      <c r="K152" s="356"/>
      <c r="L152" s="356"/>
      <c r="M152" s="356"/>
      <c r="N152" s="356"/>
      <c r="O152" s="356"/>
      <c r="P152" s="356"/>
      <c r="Q152" s="356"/>
      <c r="R152" s="356"/>
      <c r="S152" s="356"/>
      <c r="T152" s="356"/>
      <c r="U152" s="356"/>
      <c r="V152" s="356"/>
    </row>
    <row r="153" spans="2:22" x14ac:dyDescent="0.2">
      <c r="B153" s="392" t="str">
        <f t="shared" si="3"/>
        <v>Lightweight hull-OPEX</v>
      </c>
      <c r="C153" s="392" t="s">
        <v>319</v>
      </c>
      <c r="D153" s="734" t="s">
        <v>143</v>
      </c>
      <c r="E153" s="392"/>
      <c r="F153" s="585"/>
      <c r="G153" s="585"/>
      <c r="H153" s="585"/>
      <c r="I153" s="585"/>
      <c r="J153" s="585"/>
      <c r="K153" s="585"/>
      <c r="L153" s="585"/>
      <c r="M153" s="585"/>
      <c r="N153" s="585"/>
      <c r="O153" s="585"/>
      <c r="P153" s="585"/>
      <c r="Q153" s="585"/>
      <c r="R153" s="585"/>
      <c r="S153" s="585"/>
      <c r="T153" s="585"/>
      <c r="U153" s="356"/>
      <c r="V153" s="356"/>
    </row>
    <row r="154" spans="2:22" x14ac:dyDescent="0.2">
      <c r="B154" s="392" t="str">
        <f t="shared" si="3"/>
        <v>Lightweight hull-Saving</v>
      </c>
      <c r="C154" s="392" t="s">
        <v>458</v>
      </c>
      <c r="D154" s="734" t="s">
        <v>143</v>
      </c>
      <c r="E154" s="392"/>
      <c r="F154" s="359"/>
      <c r="G154" s="359"/>
      <c r="H154" s="359"/>
      <c r="I154" s="359"/>
      <c r="J154" s="359"/>
      <c r="K154" s="359"/>
      <c r="L154" s="359"/>
      <c r="M154" s="359"/>
      <c r="N154" s="359"/>
      <c r="O154" s="359"/>
      <c r="P154" s="359"/>
      <c r="Q154" s="359"/>
      <c r="R154" s="359"/>
      <c r="S154" s="359"/>
      <c r="T154" s="359"/>
      <c r="U154" s="356"/>
      <c r="V154" s="356"/>
    </row>
    <row r="155" spans="2:22" x14ac:dyDescent="0.2">
      <c r="B155" s="392" t="str">
        <f t="shared" si="3"/>
        <v>Lightweight hull-UptakeFleetAvg2020</v>
      </c>
      <c r="C155" s="392" t="s">
        <v>650</v>
      </c>
      <c r="D155" s="734" t="s">
        <v>143</v>
      </c>
      <c r="E155" s="392"/>
      <c r="F155" s="359">
        <v>0</v>
      </c>
      <c r="G155" s="359">
        <v>0</v>
      </c>
      <c r="H155" s="359">
        <v>0</v>
      </c>
      <c r="I155" s="359">
        <v>0</v>
      </c>
      <c r="J155" s="359">
        <v>0</v>
      </c>
      <c r="K155" s="359">
        <v>0</v>
      </c>
      <c r="L155" s="359">
        <v>0</v>
      </c>
      <c r="M155" s="359">
        <v>0</v>
      </c>
      <c r="N155" s="359">
        <v>0</v>
      </c>
      <c r="O155" s="359">
        <v>0</v>
      </c>
      <c r="P155" s="359">
        <v>0</v>
      </c>
      <c r="Q155" s="359">
        <v>0</v>
      </c>
      <c r="R155" s="359">
        <v>0</v>
      </c>
      <c r="S155" s="359">
        <v>0</v>
      </c>
      <c r="T155" s="359">
        <v>0</v>
      </c>
      <c r="U155" s="356"/>
      <c r="V155" s="356"/>
    </row>
    <row r="156" spans="2:22" x14ac:dyDescent="0.2">
      <c r="B156" s="392" t="str">
        <f t="shared" si="3"/>
        <v>Lightweight hull-UptakeNewbuild2020</v>
      </c>
      <c r="C156" s="392" t="s">
        <v>652</v>
      </c>
      <c r="D156" s="734" t="s">
        <v>143</v>
      </c>
      <c r="E156" s="392"/>
      <c r="F156" s="359"/>
      <c r="G156" s="359"/>
      <c r="H156" s="359"/>
      <c r="I156" s="359"/>
      <c r="J156" s="359"/>
      <c r="K156" s="359"/>
      <c r="L156" s="359"/>
      <c r="M156" s="359"/>
      <c r="N156" s="359"/>
      <c r="O156" s="359"/>
      <c r="P156" s="359"/>
      <c r="Q156" s="359"/>
      <c r="R156" s="359"/>
      <c r="S156" s="359"/>
      <c r="T156" s="359"/>
      <c r="U156" s="356"/>
      <c r="V156" s="356"/>
    </row>
    <row r="157" spans="2:22" x14ac:dyDescent="0.2">
      <c r="B157" s="392" t="str">
        <f t="shared" si="3"/>
        <v>Load optimization-Applicable Newbuild</v>
      </c>
      <c r="C157" s="392" t="s">
        <v>621</v>
      </c>
      <c r="D157" s="397" t="s">
        <v>165</v>
      </c>
      <c r="E157" s="392" t="s">
        <v>622</v>
      </c>
      <c r="F157" s="356">
        <v>1</v>
      </c>
      <c r="G157" s="356">
        <v>1</v>
      </c>
      <c r="H157" s="356">
        <v>1</v>
      </c>
      <c r="I157" s="356">
        <v>1</v>
      </c>
      <c r="J157" s="356">
        <v>1</v>
      </c>
      <c r="K157" s="356">
        <v>1</v>
      </c>
      <c r="L157" s="356">
        <v>1</v>
      </c>
      <c r="M157" s="356">
        <v>1</v>
      </c>
      <c r="N157" s="356">
        <v>1</v>
      </c>
      <c r="O157" s="356">
        <v>1</v>
      </c>
      <c r="P157" s="356">
        <v>1</v>
      </c>
      <c r="Q157" s="356">
        <v>1</v>
      </c>
      <c r="R157" s="356">
        <v>1</v>
      </c>
      <c r="S157" s="356">
        <v>1</v>
      </c>
      <c r="T157" s="356">
        <v>1</v>
      </c>
      <c r="U157" s="356"/>
      <c r="V157" s="356"/>
    </row>
    <row r="158" spans="2:22" x14ac:dyDescent="0.2">
      <c r="B158" s="392" t="str">
        <f t="shared" si="3"/>
        <v>Load optimization-Applicable Retrofit</v>
      </c>
      <c r="C158" s="392" t="s">
        <v>629</v>
      </c>
      <c r="D158" s="397" t="s">
        <v>165</v>
      </c>
      <c r="E158" s="392" t="s">
        <v>622</v>
      </c>
      <c r="F158" s="356">
        <v>1</v>
      </c>
      <c r="G158" s="356">
        <v>1</v>
      </c>
      <c r="H158" s="356">
        <v>1</v>
      </c>
      <c r="I158" s="356">
        <v>1</v>
      </c>
      <c r="J158" s="356">
        <v>1</v>
      </c>
      <c r="K158" s="356">
        <v>1</v>
      </c>
      <c r="L158" s="356">
        <v>1</v>
      </c>
      <c r="M158" s="356">
        <v>1</v>
      </c>
      <c r="N158" s="356">
        <v>1</v>
      </c>
      <c r="O158" s="356">
        <v>1</v>
      </c>
      <c r="P158" s="356">
        <v>1</v>
      </c>
      <c r="Q158" s="356">
        <v>1</v>
      </c>
      <c r="R158" s="356">
        <v>1</v>
      </c>
      <c r="S158" s="356">
        <v>1</v>
      </c>
      <c r="T158" s="356">
        <v>1</v>
      </c>
      <c r="U158" s="356"/>
      <c r="V158" s="356"/>
    </row>
    <row r="159" spans="2:22" x14ac:dyDescent="0.2">
      <c r="B159" s="392" t="str">
        <f t="shared" si="3"/>
        <v>Load optimization-CAPEX</v>
      </c>
      <c r="C159" s="392" t="s">
        <v>50</v>
      </c>
      <c r="D159" s="397" t="s">
        <v>165</v>
      </c>
      <c r="E159" s="392" t="s">
        <v>630</v>
      </c>
      <c r="F159" s="585" cm="1">
        <f t="array" aca="1" ref="F159" ca="1">IFERROR(
_xlfn.IFS(NewBuild_Retrofit_selector="Newbuild",INDEX($B$1:$V$408,MATCH($D159&amp;"-"&amp;"Installation cost",$B$1:$B$408,0),MATCH(F$3,$B$3:$V$3,0))/INDEX($B$1:$V$408,MATCH($D159&amp;"-"&amp;"Lifetime",$B$1:$B$408,0),MATCH(F$3,$B$3:$V$3,0)),
NewBuild_Retrofit_selector="Retrofit",(INDEX($B$1:$V$408,MATCH($D159&amp;"-"&amp;"Installation cost",$B$1:$B$408,0),MATCH(F$3,$B$3:$V$3,0))+INDEX($B$1:$V$408,MATCH($D159&amp;"-"&amp;"Extra retrofit cost",$B$1:$B$408,0),MATCH(F$3,$B$3:$V$3,0)))/INDEX($B$1:$V$408,MATCH($D159&amp;"-"&amp;"Lifetime",$B$1:$B$408,0),MATCH(F$3,$B$3:$V$3,0))),0)</f>
        <v>0</v>
      </c>
      <c r="G159" s="585" cm="1">
        <f t="array" aca="1" ref="G159" ca="1">IFERROR(
_xlfn.IFS(NewBuild_Retrofit_selector="Newbuild",INDEX($B$1:$V$408,MATCH($D159&amp;"-"&amp;"Installation cost",$B$1:$B$408,0),MATCH(G$3,$B$3:$V$3,0))/INDEX($B$1:$V$408,MATCH($D159&amp;"-"&amp;"Lifetime",$B$1:$B$408,0),MATCH(G$3,$B$3:$V$3,0)),
NewBuild_Retrofit_selector="Retrofit",(INDEX($B$1:$V$408,MATCH($D159&amp;"-"&amp;"Installation cost",$B$1:$B$408,0),MATCH(G$3,$B$3:$V$3,0))+INDEX($B$1:$V$408,MATCH($D159&amp;"-"&amp;"Extra retrofit cost",$B$1:$B$408,0),MATCH(G$3,$B$3:$V$3,0)))/INDEX($B$1:$V$408,MATCH($D159&amp;"-"&amp;"Lifetime",$B$1:$B$408,0),MATCH(G$3,$B$3:$V$3,0))),0)</f>
        <v>0</v>
      </c>
      <c r="H159" s="585" cm="1">
        <f t="array" aca="1" ref="H159" ca="1">IFERROR(
_xlfn.IFS(NewBuild_Retrofit_selector="Newbuild",INDEX($B$1:$V$408,MATCH($D159&amp;"-"&amp;"Installation cost",$B$1:$B$408,0),MATCH(H$3,$B$3:$V$3,0))/INDEX($B$1:$V$408,MATCH($D159&amp;"-"&amp;"Lifetime",$B$1:$B$408,0),MATCH(H$3,$B$3:$V$3,0)),
NewBuild_Retrofit_selector="Retrofit",(INDEX($B$1:$V$408,MATCH($D159&amp;"-"&amp;"Installation cost",$B$1:$B$408,0),MATCH(H$3,$B$3:$V$3,0))+INDEX($B$1:$V$408,MATCH($D159&amp;"-"&amp;"Extra retrofit cost",$B$1:$B$408,0),MATCH(H$3,$B$3:$V$3,0)))/INDEX($B$1:$V$408,MATCH($D159&amp;"-"&amp;"Lifetime",$B$1:$B$408,0),MATCH(H$3,$B$3:$V$3,0))),0)</f>
        <v>0</v>
      </c>
      <c r="I159" s="585" cm="1">
        <f t="array" aca="1" ref="I159" ca="1">IFERROR(
_xlfn.IFS(NewBuild_Retrofit_selector="Newbuild",INDEX($B$1:$V$408,MATCH($D159&amp;"-"&amp;"Installation cost",$B$1:$B$408,0),MATCH(I$3,$B$3:$V$3,0))/INDEX($B$1:$V$408,MATCH($D159&amp;"-"&amp;"Lifetime",$B$1:$B$408,0),MATCH(I$3,$B$3:$V$3,0)),
NewBuild_Retrofit_selector="Retrofit",(INDEX($B$1:$V$408,MATCH($D159&amp;"-"&amp;"Installation cost",$B$1:$B$408,0),MATCH(I$3,$B$3:$V$3,0))+INDEX($B$1:$V$408,MATCH($D159&amp;"-"&amp;"Extra retrofit cost",$B$1:$B$408,0),MATCH(I$3,$B$3:$V$3,0)))/INDEX($B$1:$V$408,MATCH($D159&amp;"-"&amp;"Lifetime",$B$1:$B$408,0),MATCH(I$3,$B$3:$V$3,0))),0)</f>
        <v>0</v>
      </c>
      <c r="J159" s="585" cm="1">
        <f t="array" aca="1" ref="J159" ca="1">IFERROR(
_xlfn.IFS(NewBuild_Retrofit_selector="Newbuild",INDEX($B$1:$V$408,MATCH($D159&amp;"-"&amp;"Installation cost",$B$1:$B$408,0),MATCH(J$3,$B$3:$V$3,0))/INDEX($B$1:$V$408,MATCH($D159&amp;"-"&amp;"Lifetime",$B$1:$B$408,0),MATCH(J$3,$B$3:$V$3,0)),
NewBuild_Retrofit_selector="Retrofit",(INDEX($B$1:$V$408,MATCH($D159&amp;"-"&amp;"Installation cost",$B$1:$B$408,0),MATCH(J$3,$B$3:$V$3,0))+INDEX($B$1:$V$408,MATCH($D159&amp;"-"&amp;"Extra retrofit cost",$B$1:$B$408,0),MATCH(J$3,$B$3:$V$3,0)))/INDEX($B$1:$V$408,MATCH($D159&amp;"-"&amp;"Lifetime",$B$1:$B$408,0),MATCH(J$3,$B$3:$V$3,0))),0)</f>
        <v>0</v>
      </c>
      <c r="K159" s="585" cm="1">
        <f t="array" aca="1" ref="K159" ca="1">IFERROR(
_xlfn.IFS(NewBuild_Retrofit_selector="Newbuild",INDEX($B$1:$V$408,MATCH($D159&amp;"-"&amp;"Installation cost",$B$1:$B$408,0),MATCH(K$3,$B$3:$V$3,0))/INDEX($B$1:$V$408,MATCH($D159&amp;"-"&amp;"Lifetime",$B$1:$B$408,0),MATCH(K$3,$B$3:$V$3,0)),
NewBuild_Retrofit_selector="Retrofit",(INDEX($B$1:$V$408,MATCH($D159&amp;"-"&amp;"Installation cost",$B$1:$B$408,0),MATCH(K$3,$B$3:$V$3,0))+INDEX($B$1:$V$408,MATCH($D159&amp;"-"&amp;"Extra retrofit cost",$B$1:$B$408,0),MATCH(K$3,$B$3:$V$3,0)))/INDEX($B$1:$V$408,MATCH($D159&amp;"-"&amp;"Lifetime",$B$1:$B$408,0),MATCH(K$3,$B$3:$V$3,0))),0)</f>
        <v>0</v>
      </c>
      <c r="L159" s="585" cm="1">
        <f t="array" aca="1" ref="L159" ca="1">IFERROR(
_xlfn.IFS(NewBuild_Retrofit_selector="Newbuild",INDEX($B$1:$V$408,MATCH($D159&amp;"-"&amp;"Installation cost",$B$1:$B$408,0),MATCH(L$3,$B$3:$V$3,0))/INDEX($B$1:$V$408,MATCH($D159&amp;"-"&amp;"Lifetime",$B$1:$B$408,0),MATCH(L$3,$B$3:$V$3,0)),
NewBuild_Retrofit_selector="Retrofit",(INDEX($B$1:$V$408,MATCH($D159&amp;"-"&amp;"Installation cost",$B$1:$B$408,0),MATCH(L$3,$B$3:$V$3,0))+INDEX($B$1:$V$408,MATCH($D159&amp;"-"&amp;"Extra retrofit cost",$B$1:$B$408,0),MATCH(L$3,$B$3:$V$3,0)))/INDEX($B$1:$V$408,MATCH($D159&amp;"-"&amp;"Lifetime",$B$1:$B$408,0),MATCH(L$3,$B$3:$V$3,0))),0)</f>
        <v>0</v>
      </c>
      <c r="M159" s="585" cm="1">
        <f t="array" aca="1" ref="M159" ca="1">IFERROR(
_xlfn.IFS(NewBuild_Retrofit_selector="Newbuild",INDEX($B$1:$V$408,MATCH($D159&amp;"-"&amp;"Installation cost",$B$1:$B$408,0),MATCH(M$3,$B$3:$V$3,0))/INDEX($B$1:$V$408,MATCH($D159&amp;"-"&amp;"Lifetime",$B$1:$B$408,0),MATCH(M$3,$B$3:$V$3,0)),
NewBuild_Retrofit_selector="Retrofit",(INDEX($B$1:$V$408,MATCH($D159&amp;"-"&amp;"Installation cost",$B$1:$B$408,0),MATCH(M$3,$B$3:$V$3,0))+INDEX($B$1:$V$408,MATCH($D159&amp;"-"&amp;"Extra retrofit cost",$B$1:$B$408,0),MATCH(M$3,$B$3:$V$3,0)))/INDEX($B$1:$V$408,MATCH($D159&amp;"-"&amp;"Lifetime",$B$1:$B$408,0),MATCH(M$3,$B$3:$V$3,0))),0)</f>
        <v>0</v>
      </c>
      <c r="N159" s="585" cm="1">
        <f t="array" aca="1" ref="N159" ca="1">IFERROR(
_xlfn.IFS(NewBuild_Retrofit_selector="Newbuild",INDEX($B$1:$V$408,MATCH($D159&amp;"-"&amp;"Installation cost",$B$1:$B$408,0),MATCH(N$3,$B$3:$V$3,0))/INDEX($B$1:$V$408,MATCH($D159&amp;"-"&amp;"Lifetime",$B$1:$B$408,0),MATCH(N$3,$B$3:$V$3,0)),
NewBuild_Retrofit_selector="Retrofit",(INDEX($B$1:$V$408,MATCH($D159&amp;"-"&amp;"Installation cost",$B$1:$B$408,0),MATCH(N$3,$B$3:$V$3,0))+INDEX($B$1:$V$408,MATCH($D159&amp;"-"&amp;"Extra retrofit cost",$B$1:$B$408,0),MATCH(N$3,$B$3:$V$3,0)))/INDEX($B$1:$V$408,MATCH($D159&amp;"-"&amp;"Lifetime",$B$1:$B$408,0),MATCH(N$3,$B$3:$V$3,0))),0)</f>
        <v>0</v>
      </c>
      <c r="O159" s="585" cm="1">
        <f t="array" aca="1" ref="O159" ca="1">IFERROR(
_xlfn.IFS(NewBuild_Retrofit_selector="Newbuild",INDEX($B$1:$V$408,MATCH($D159&amp;"-"&amp;"Installation cost",$B$1:$B$408,0),MATCH(O$3,$B$3:$V$3,0))/INDEX($B$1:$V$408,MATCH($D159&amp;"-"&amp;"Lifetime",$B$1:$B$408,0),MATCH(O$3,$B$3:$V$3,0)),
NewBuild_Retrofit_selector="Retrofit",(INDEX($B$1:$V$408,MATCH($D159&amp;"-"&amp;"Installation cost",$B$1:$B$408,0),MATCH(O$3,$B$3:$V$3,0))+INDEX($B$1:$V$408,MATCH($D159&amp;"-"&amp;"Extra retrofit cost",$B$1:$B$408,0),MATCH(O$3,$B$3:$V$3,0)))/INDEX($B$1:$V$408,MATCH($D159&amp;"-"&amp;"Lifetime",$B$1:$B$408,0),MATCH(O$3,$B$3:$V$3,0))),0)</f>
        <v>0</v>
      </c>
      <c r="P159" s="585" cm="1">
        <f t="array" aca="1" ref="P159" ca="1">IFERROR(
_xlfn.IFS(NewBuild_Retrofit_selector="Newbuild",INDEX($B$1:$V$408,MATCH($D159&amp;"-"&amp;"Installation cost",$B$1:$B$408,0),MATCH(P$3,$B$3:$V$3,0))/INDEX($B$1:$V$408,MATCH($D159&amp;"-"&amp;"Lifetime",$B$1:$B$408,0),MATCH(P$3,$B$3:$V$3,0)),
NewBuild_Retrofit_selector="Retrofit",(INDEX($B$1:$V$408,MATCH($D159&amp;"-"&amp;"Installation cost",$B$1:$B$408,0),MATCH(P$3,$B$3:$V$3,0))+INDEX($B$1:$V$408,MATCH($D159&amp;"-"&amp;"Extra retrofit cost",$B$1:$B$408,0),MATCH(P$3,$B$3:$V$3,0)))/INDEX($B$1:$V$408,MATCH($D159&amp;"-"&amp;"Lifetime",$B$1:$B$408,0),MATCH(P$3,$B$3:$V$3,0))),0)</f>
        <v>0</v>
      </c>
      <c r="Q159" s="585" cm="1">
        <f t="array" aca="1" ref="Q159" ca="1">IFERROR(
_xlfn.IFS(NewBuild_Retrofit_selector="Newbuild",INDEX($B$1:$V$408,MATCH($D159&amp;"-"&amp;"Installation cost",$B$1:$B$408,0),MATCH(Q$3,$B$3:$V$3,0))/INDEX($B$1:$V$408,MATCH($D159&amp;"-"&amp;"Lifetime",$B$1:$B$408,0),MATCH(Q$3,$B$3:$V$3,0)),
NewBuild_Retrofit_selector="Retrofit",(INDEX($B$1:$V$408,MATCH($D159&amp;"-"&amp;"Installation cost",$B$1:$B$408,0),MATCH(Q$3,$B$3:$V$3,0))+INDEX($B$1:$V$408,MATCH($D159&amp;"-"&amp;"Extra retrofit cost",$B$1:$B$408,0),MATCH(Q$3,$B$3:$V$3,0)))/INDEX($B$1:$V$408,MATCH($D159&amp;"-"&amp;"Lifetime",$B$1:$B$408,0),MATCH(Q$3,$B$3:$V$3,0))),0)</f>
        <v>0</v>
      </c>
      <c r="R159" s="585" cm="1">
        <f t="array" aca="1" ref="R159" ca="1">IFERROR(
_xlfn.IFS(NewBuild_Retrofit_selector="Newbuild",INDEX($B$1:$V$408,MATCH($D159&amp;"-"&amp;"Installation cost",$B$1:$B$408,0),MATCH(R$3,$B$3:$V$3,0))/INDEX($B$1:$V$408,MATCH($D159&amp;"-"&amp;"Lifetime",$B$1:$B$408,0),MATCH(R$3,$B$3:$V$3,0)),
NewBuild_Retrofit_selector="Retrofit",(INDEX($B$1:$V$408,MATCH($D159&amp;"-"&amp;"Installation cost",$B$1:$B$408,0),MATCH(R$3,$B$3:$V$3,0))+INDEX($B$1:$V$408,MATCH($D159&amp;"-"&amp;"Extra retrofit cost",$B$1:$B$408,0),MATCH(R$3,$B$3:$V$3,0)))/INDEX($B$1:$V$408,MATCH($D159&amp;"-"&amp;"Lifetime",$B$1:$B$408,0),MATCH(R$3,$B$3:$V$3,0))),0)</f>
        <v>0</v>
      </c>
      <c r="S159" s="585" cm="1">
        <f t="array" aca="1" ref="S159" ca="1">IFERROR(
_xlfn.IFS(NewBuild_Retrofit_selector="Newbuild",INDEX($B$1:$V$408,MATCH($D159&amp;"-"&amp;"Installation cost",$B$1:$B$408,0),MATCH(S$3,$B$3:$V$3,0))/INDEX($B$1:$V$408,MATCH($D159&amp;"-"&amp;"Lifetime",$B$1:$B$408,0),MATCH(S$3,$B$3:$V$3,0)),
NewBuild_Retrofit_selector="Retrofit",(INDEX($B$1:$V$408,MATCH($D159&amp;"-"&amp;"Installation cost",$B$1:$B$408,0),MATCH(S$3,$B$3:$V$3,0))+INDEX($B$1:$V$408,MATCH($D159&amp;"-"&amp;"Extra retrofit cost",$B$1:$B$408,0),MATCH(S$3,$B$3:$V$3,0)))/INDEX($B$1:$V$408,MATCH($D159&amp;"-"&amp;"Lifetime",$B$1:$B$408,0),MATCH(S$3,$B$3:$V$3,0))),0)</f>
        <v>0</v>
      </c>
      <c r="T159" s="585" cm="1">
        <f t="array" aca="1" ref="T159" ca="1">IFERROR(
_xlfn.IFS(NewBuild_Retrofit_selector="Newbuild",INDEX($B$1:$V$408,MATCH($D159&amp;"-"&amp;"Installation cost",$B$1:$B$408,0),MATCH(T$3,$B$3:$V$3,0))/INDEX($B$1:$V$408,MATCH($D159&amp;"-"&amp;"Lifetime",$B$1:$B$408,0),MATCH(T$3,$B$3:$V$3,0)),
NewBuild_Retrofit_selector="Retrofit",(INDEX($B$1:$V$408,MATCH($D159&amp;"-"&amp;"Installation cost",$B$1:$B$408,0),MATCH(T$3,$B$3:$V$3,0))+INDEX($B$1:$V$408,MATCH($D159&amp;"-"&amp;"Extra retrofit cost",$B$1:$B$408,0),MATCH(T$3,$B$3:$V$3,0)))/INDEX($B$1:$V$408,MATCH($D159&amp;"-"&amp;"Lifetime",$B$1:$B$408,0),MATCH(T$3,$B$3:$V$3,0))),0)</f>
        <v>0</v>
      </c>
      <c r="U159" s="356"/>
      <c r="V159" s="356"/>
    </row>
    <row r="160" spans="2:22" x14ac:dyDescent="0.2">
      <c r="B160" s="392" t="str">
        <f t="shared" si="3"/>
        <v>Load optimization-Extra retrofit cost</v>
      </c>
      <c r="C160" s="392" t="s">
        <v>634</v>
      </c>
      <c r="D160" s="398" t="s">
        <v>165</v>
      </c>
      <c r="E160" s="392" t="s">
        <v>635</v>
      </c>
      <c r="F160" s="585">
        <v>0</v>
      </c>
      <c r="G160" s="585">
        <v>0</v>
      </c>
      <c r="H160" s="585">
        <v>0</v>
      </c>
      <c r="I160" s="585">
        <v>0</v>
      </c>
      <c r="J160" s="585">
        <v>0</v>
      </c>
      <c r="K160" s="585">
        <v>0</v>
      </c>
      <c r="L160" s="585">
        <v>0</v>
      </c>
      <c r="M160" s="585">
        <v>0</v>
      </c>
      <c r="N160" s="585">
        <v>0</v>
      </c>
      <c r="O160" s="585">
        <v>0</v>
      </c>
      <c r="P160" s="585">
        <v>0</v>
      </c>
      <c r="Q160" s="585">
        <v>0</v>
      </c>
      <c r="R160" s="585">
        <v>0</v>
      </c>
      <c r="S160" s="585">
        <v>0</v>
      </c>
      <c r="T160" s="585">
        <v>0</v>
      </c>
      <c r="U160" s="356"/>
      <c r="V160" s="356"/>
    </row>
    <row r="161" spans="2:22" x14ac:dyDescent="0.2">
      <c r="B161" s="392" t="str">
        <f t="shared" si="3"/>
        <v>Load optimization-Installation cost</v>
      </c>
      <c r="C161" s="392" t="s">
        <v>452</v>
      </c>
      <c r="D161" s="397" t="s">
        <v>165</v>
      </c>
      <c r="E161" s="392" t="s">
        <v>635</v>
      </c>
      <c r="F161" s="585">
        <v>0</v>
      </c>
      <c r="G161" s="585">
        <v>0</v>
      </c>
      <c r="H161" s="585">
        <v>0</v>
      </c>
      <c r="I161" s="585">
        <v>0</v>
      </c>
      <c r="J161" s="585">
        <v>0</v>
      </c>
      <c r="K161" s="585">
        <v>0</v>
      </c>
      <c r="L161" s="585">
        <v>0</v>
      </c>
      <c r="M161" s="585">
        <v>0</v>
      </c>
      <c r="N161" s="585">
        <v>0</v>
      </c>
      <c r="O161" s="585">
        <v>0</v>
      </c>
      <c r="P161" s="585">
        <v>0</v>
      </c>
      <c r="Q161" s="585">
        <v>0</v>
      </c>
      <c r="R161" s="585">
        <v>0</v>
      </c>
      <c r="S161" s="585">
        <v>0</v>
      </c>
      <c r="T161" s="585">
        <v>0</v>
      </c>
      <c r="U161" s="356" t="s">
        <v>625</v>
      </c>
      <c r="V161" s="356"/>
    </row>
    <row r="162" spans="2:22" x14ac:dyDescent="0.2">
      <c r="B162" s="392" t="str">
        <f t="shared" si="3"/>
        <v>Load optimization-Lifetime</v>
      </c>
      <c r="C162" s="392" t="s">
        <v>520</v>
      </c>
      <c r="D162" s="395" t="s">
        <v>165</v>
      </c>
      <c r="E162" s="392" t="s">
        <v>176</v>
      </c>
      <c r="F162" s="356">
        <v>25</v>
      </c>
      <c r="G162" s="356">
        <v>25</v>
      </c>
      <c r="H162" s="356">
        <v>25</v>
      </c>
      <c r="I162" s="356">
        <v>25</v>
      </c>
      <c r="J162" s="356">
        <v>25</v>
      </c>
      <c r="K162" s="356">
        <v>25</v>
      </c>
      <c r="L162" s="356">
        <v>25</v>
      </c>
      <c r="M162" s="356">
        <v>25</v>
      </c>
      <c r="N162" s="356">
        <v>25</v>
      </c>
      <c r="O162" s="356">
        <v>25</v>
      </c>
      <c r="P162" s="356">
        <v>25</v>
      </c>
      <c r="Q162" s="356">
        <v>25</v>
      </c>
      <c r="R162" s="356">
        <v>25</v>
      </c>
      <c r="S162" s="356">
        <v>25</v>
      </c>
      <c r="T162" s="356">
        <v>25</v>
      </c>
      <c r="U162" s="356"/>
      <c r="V162" s="356"/>
    </row>
    <row r="163" spans="2:22" x14ac:dyDescent="0.2">
      <c r="B163" s="392" t="str">
        <f t="shared" si="3"/>
        <v>Load optimization-OPEX</v>
      </c>
      <c r="C163" s="392" t="s">
        <v>319</v>
      </c>
      <c r="D163" s="395" t="s">
        <v>165</v>
      </c>
      <c r="E163" s="392" t="s">
        <v>630</v>
      </c>
      <c r="F163" s="585">
        <v>0</v>
      </c>
      <c r="G163" s="585">
        <v>0</v>
      </c>
      <c r="H163" s="585">
        <v>0</v>
      </c>
      <c r="I163" s="585">
        <v>0</v>
      </c>
      <c r="J163" s="585">
        <v>0</v>
      </c>
      <c r="K163" s="585">
        <v>0</v>
      </c>
      <c r="L163" s="585">
        <v>0</v>
      </c>
      <c r="M163" s="585">
        <v>0</v>
      </c>
      <c r="N163" s="585">
        <v>0</v>
      </c>
      <c r="O163" s="585">
        <v>0</v>
      </c>
      <c r="P163" s="585">
        <v>0</v>
      </c>
      <c r="Q163" s="585">
        <v>0</v>
      </c>
      <c r="R163" s="585">
        <v>0</v>
      </c>
      <c r="S163" s="585">
        <v>0</v>
      </c>
      <c r="T163" s="585">
        <v>0</v>
      </c>
      <c r="U163" s="356"/>
      <c r="V163" s="356"/>
    </row>
    <row r="164" spans="2:22" x14ac:dyDescent="0.2">
      <c r="B164" s="392" t="str">
        <f t="shared" si="3"/>
        <v>Load optimization-Saving</v>
      </c>
      <c r="C164" s="392" t="s">
        <v>458</v>
      </c>
      <c r="D164" s="395" t="s">
        <v>165</v>
      </c>
      <c r="E164" s="392" t="s">
        <v>178</v>
      </c>
      <c r="F164" s="359">
        <v>0.05</v>
      </c>
      <c r="G164" s="359">
        <v>0.05</v>
      </c>
      <c r="H164" s="359">
        <v>0.05</v>
      </c>
      <c r="I164" s="359">
        <v>0.05</v>
      </c>
      <c r="J164" s="359">
        <v>0.05</v>
      </c>
      <c r="K164" s="359">
        <v>0.05</v>
      </c>
      <c r="L164" s="359">
        <v>0.05</v>
      </c>
      <c r="M164" s="359">
        <v>0.05</v>
      </c>
      <c r="N164" s="359">
        <v>0.05</v>
      </c>
      <c r="O164" s="359">
        <v>0.05</v>
      </c>
      <c r="P164" s="359">
        <v>0.05</v>
      </c>
      <c r="Q164" s="359">
        <v>0.05</v>
      </c>
      <c r="R164" s="359">
        <v>0.05</v>
      </c>
      <c r="S164" s="359">
        <v>0.05</v>
      </c>
      <c r="T164" s="359">
        <v>0.05</v>
      </c>
      <c r="U164" s="356" t="s">
        <v>625</v>
      </c>
      <c r="V164" s="356"/>
    </row>
    <row r="165" spans="2:22" x14ac:dyDescent="0.2">
      <c r="B165" s="392" t="str">
        <f t="shared" si="3"/>
        <v>Load optimization-UptakeFleetAvg2020</v>
      </c>
      <c r="C165" s="392" t="s">
        <v>650</v>
      </c>
      <c r="D165" s="395" t="s">
        <v>165</v>
      </c>
      <c r="E165" s="392" t="s">
        <v>178</v>
      </c>
      <c r="F165" s="359">
        <v>0.75</v>
      </c>
      <c r="G165" s="359">
        <v>0.75</v>
      </c>
      <c r="H165" s="359">
        <v>0.75</v>
      </c>
      <c r="I165" s="359">
        <v>0.2</v>
      </c>
      <c r="J165" s="359">
        <v>0.2</v>
      </c>
      <c r="K165" s="359">
        <v>0.2</v>
      </c>
      <c r="L165" s="359">
        <v>0.2</v>
      </c>
      <c r="M165" s="359">
        <v>0.2</v>
      </c>
      <c r="N165" s="359">
        <v>0.2</v>
      </c>
      <c r="O165" s="359">
        <v>0.5</v>
      </c>
      <c r="P165" s="359">
        <v>0.5</v>
      </c>
      <c r="Q165" s="359">
        <v>0.5</v>
      </c>
      <c r="R165" s="359">
        <v>0.2</v>
      </c>
      <c r="S165" s="359">
        <v>0.2</v>
      </c>
      <c r="T165" s="359">
        <v>0.2</v>
      </c>
      <c r="U165" s="356" t="s">
        <v>628</v>
      </c>
      <c r="V165" s="356"/>
    </row>
    <row r="166" spans="2:22" x14ac:dyDescent="0.2">
      <c r="B166" s="392" t="str">
        <f t="shared" si="3"/>
        <v>Load optimization-UptakeNewbuild2020</v>
      </c>
      <c r="C166" s="392" t="s">
        <v>652</v>
      </c>
      <c r="D166" s="395" t="s">
        <v>165</v>
      </c>
      <c r="E166" s="392" t="s">
        <v>178</v>
      </c>
      <c r="F166" s="359">
        <v>0</v>
      </c>
      <c r="G166" s="359">
        <v>0</v>
      </c>
      <c r="H166" s="359">
        <v>0</v>
      </c>
      <c r="I166" s="359">
        <v>0</v>
      </c>
      <c r="J166" s="359">
        <v>0</v>
      </c>
      <c r="K166" s="359">
        <v>0</v>
      </c>
      <c r="L166" s="359">
        <v>0</v>
      </c>
      <c r="M166" s="359">
        <v>0</v>
      </c>
      <c r="N166" s="359">
        <v>0</v>
      </c>
      <c r="O166" s="359">
        <v>0</v>
      </c>
      <c r="P166" s="359">
        <v>0</v>
      </c>
      <c r="Q166" s="359">
        <v>0</v>
      </c>
      <c r="R166" s="359">
        <v>0</v>
      </c>
      <c r="S166" s="359">
        <v>0</v>
      </c>
      <c r="T166" s="359">
        <v>0</v>
      </c>
      <c r="U166" s="356"/>
      <c r="V166" s="356"/>
    </row>
    <row r="167" spans="2:22" x14ac:dyDescent="0.2">
      <c r="B167" s="392" t="str">
        <f t="shared" si="3"/>
        <v>Maneuvering equipment (e.g. Thrusters)-Applicable Newbuild</v>
      </c>
      <c r="C167" s="392" t="s">
        <v>621</v>
      </c>
      <c r="D167" s="397" t="s">
        <v>454</v>
      </c>
      <c r="E167" s="392" t="s">
        <v>622</v>
      </c>
      <c r="F167" s="356">
        <v>0</v>
      </c>
      <c r="G167" s="356">
        <v>0</v>
      </c>
      <c r="H167" s="356">
        <v>0</v>
      </c>
      <c r="I167" s="356">
        <v>0</v>
      </c>
      <c r="J167" s="356">
        <v>0</v>
      </c>
      <c r="K167" s="356">
        <v>0</v>
      </c>
      <c r="L167" s="356">
        <v>0</v>
      </c>
      <c r="M167" s="356">
        <v>0</v>
      </c>
      <c r="N167" s="356">
        <v>0</v>
      </c>
      <c r="O167" s="356">
        <v>0</v>
      </c>
      <c r="P167" s="356">
        <v>0</v>
      </c>
      <c r="Q167" s="356">
        <v>0</v>
      </c>
      <c r="R167" s="356">
        <v>0</v>
      </c>
      <c r="S167" s="356">
        <v>0</v>
      </c>
      <c r="T167" s="356">
        <v>0</v>
      </c>
      <c r="U167" s="356" t="s">
        <v>623</v>
      </c>
      <c r="V167" s="356"/>
    </row>
    <row r="168" spans="2:22" x14ac:dyDescent="0.2">
      <c r="B168" s="392" t="str">
        <f t="shared" si="3"/>
        <v>Maneuvering equipment (e.g. Thrusters)-Applicable Retrofit</v>
      </c>
      <c r="C168" s="392" t="s">
        <v>629</v>
      </c>
      <c r="D168" s="397" t="s">
        <v>454</v>
      </c>
      <c r="E168" s="392" t="s">
        <v>622</v>
      </c>
      <c r="F168" s="356">
        <v>0</v>
      </c>
      <c r="G168" s="356">
        <v>0</v>
      </c>
      <c r="H168" s="356">
        <v>0</v>
      </c>
      <c r="I168" s="356">
        <v>0</v>
      </c>
      <c r="J168" s="356">
        <v>0</v>
      </c>
      <c r="K168" s="356">
        <v>0</v>
      </c>
      <c r="L168" s="356">
        <v>0</v>
      </c>
      <c r="M168" s="356">
        <v>0</v>
      </c>
      <c r="N168" s="356">
        <v>0</v>
      </c>
      <c r="O168" s="356">
        <v>0</v>
      </c>
      <c r="P168" s="356">
        <v>0</v>
      </c>
      <c r="Q168" s="356">
        <v>0</v>
      </c>
      <c r="R168" s="356">
        <v>0</v>
      </c>
      <c r="S168" s="356">
        <v>0</v>
      </c>
      <c r="T168" s="356">
        <v>0</v>
      </c>
      <c r="U168" s="356" t="s">
        <v>623</v>
      </c>
      <c r="V168" s="356"/>
    </row>
    <row r="169" spans="2:22" x14ac:dyDescent="0.2">
      <c r="B169" s="392" t="str">
        <f t="shared" si="3"/>
        <v>Maneuvering equipment (e.g. Thrusters)-CAPEX</v>
      </c>
      <c r="C169" s="392" t="s">
        <v>50</v>
      </c>
      <c r="D169" s="397" t="s">
        <v>454</v>
      </c>
      <c r="E169" s="392" t="s">
        <v>630</v>
      </c>
      <c r="F169" s="585" cm="1">
        <f t="array" aca="1" ref="F169" ca="1">IFERROR(
_xlfn.IFS(NewBuild_Retrofit_selector="Newbuild",INDEX($B$1:$V$408,MATCH($D169&amp;"-"&amp;"Installation cost",$B$1:$B$408,0),MATCH(F$3,$B$3:$V$3,0))/INDEX($B$1:$V$408,MATCH($D169&amp;"-"&amp;"Lifetime",$B$1:$B$408,0),MATCH(F$3,$B$3:$V$3,0)),
NewBuild_Retrofit_selector="Retrofit",(INDEX($B$1:$V$408,MATCH($D169&amp;"-"&amp;"Installation cost",$B$1:$B$408,0),MATCH(F$3,$B$3:$V$3,0))+INDEX($B$1:$V$408,MATCH($D169&amp;"-"&amp;"Extra retrofit cost",$B$1:$B$408,0),MATCH(F$3,$B$3:$V$3,0)))/INDEX($B$1:$V$408,MATCH($D169&amp;"-"&amp;"Lifetime",$B$1:$B$408,0),MATCH(F$3,$B$3:$V$3,0))),0)</f>
        <v>0</v>
      </c>
      <c r="G169" s="585" cm="1">
        <f t="array" aca="1" ref="G169" ca="1">IFERROR(
_xlfn.IFS(NewBuild_Retrofit_selector="Newbuild",INDEX($B$1:$V$408,MATCH($D169&amp;"-"&amp;"Installation cost",$B$1:$B$408,0),MATCH(G$3,$B$3:$V$3,0))/INDEX($B$1:$V$408,MATCH($D169&amp;"-"&amp;"Lifetime",$B$1:$B$408,0),MATCH(G$3,$B$3:$V$3,0)),
NewBuild_Retrofit_selector="Retrofit",(INDEX($B$1:$V$408,MATCH($D169&amp;"-"&amp;"Installation cost",$B$1:$B$408,0),MATCH(G$3,$B$3:$V$3,0))+INDEX($B$1:$V$408,MATCH($D169&amp;"-"&amp;"Extra retrofit cost",$B$1:$B$408,0),MATCH(G$3,$B$3:$V$3,0)))/INDEX($B$1:$V$408,MATCH($D169&amp;"-"&amp;"Lifetime",$B$1:$B$408,0),MATCH(G$3,$B$3:$V$3,0))),0)</f>
        <v>0</v>
      </c>
      <c r="H169" s="585" cm="1">
        <f t="array" aca="1" ref="H169" ca="1">IFERROR(
_xlfn.IFS(NewBuild_Retrofit_selector="Newbuild",INDEX($B$1:$V$408,MATCH($D169&amp;"-"&amp;"Installation cost",$B$1:$B$408,0),MATCH(H$3,$B$3:$V$3,0))/INDEX($B$1:$V$408,MATCH($D169&amp;"-"&amp;"Lifetime",$B$1:$B$408,0),MATCH(H$3,$B$3:$V$3,0)),
NewBuild_Retrofit_selector="Retrofit",(INDEX($B$1:$V$408,MATCH($D169&amp;"-"&amp;"Installation cost",$B$1:$B$408,0),MATCH(H$3,$B$3:$V$3,0))+INDEX($B$1:$V$408,MATCH($D169&amp;"-"&amp;"Extra retrofit cost",$B$1:$B$408,0),MATCH(H$3,$B$3:$V$3,0)))/INDEX($B$1:$V$408,MATCH($D169&amp;"-"&amp;"Lifetime",$B$1:$B$408,0),MATCH(H$3,$B$3:$V$3,0))),0)</f>
        <v>0</v>
      </c>
      <c r="I169" s="585" cm="1">
        <f t="array" aca="1" ref="I169" ca="1">IFERROR(
_xlfn.IFS(NewBuild_Retrofit_selector="Newbuild",INDEX($B$1:$V$408,MATCH($D169&amp;"-"&amp;"Installation cost",$B$1:$B$408,0),MATCH(I$3,$B$3:$V$3,0))/INDEX($B$1:$V$408,MATCH($D169&amp;"-"&amp;"Lifetime",$B$1:$B$408,0),MATCH(I$3,$B$3:$V$3,0)),
NewBuild_Retrofit_selector="Retrofit",(INDEX($B$1:$V$408,MATCH($D169&amp;"-"&amp;"Installation cost",$B$1:$B$408,0),MATCH(I$3,$B$3:$V$3,0))+INDEX($B$1:$V$408,MATCH($D169&amp;"-"&amp;"Extra retrofit cost",$B$1:$B$408,0),MATCH(I$3,$B$3:$V$3,0)))/INDEX($B$1:$V$408,MATCH($D169&amp;"-"&amp;"Lifetime",$B$1:$B$408,0),MATCH(I$3,$B$3:$V$3,0))),0)</f>
        <v>0</v>
      </c>
      <c r="J169" s="585" cm="1">
        <f t="array" aca="1" ref="J169" ca="1">IFERROR(
_xlfn.IFS(NewBuild_Retrofit_selector="Newbuild",INDEX($B$1:$V$408,MATCH($D169&amp;"-"&amp;"Installation cost",$B$1:$B$408,0),MATCH(J$3,$B$3:$V$3,0))/INDEX($B$1:$V$408,MATCH($D169&amp;"-"&amp;"Lifetime",$B$1:$B$408,0),MATCH(J$3,$B$3:$V$3,0)),
NewBuild_Retrofit_selector="Retrofit",(INDEX($B$1:$V$408,MATCH($D169&amp;"-"&amp;"Installation cost",$B$1:$B$408,0),MATCH(J$3,$B$3:$V$3,0))+INDEX($B$1:$V$408,MATCH($D169&amp;"-"&amp;"Extra retrofit cost",$B$1:$B$408,0),MATCH(J$3,$B$3:$V$3,0)))/INDEX($B$1:$V$408,MATCH($D169&amp;"-"&amp;"Lifetime",$B$1:$B$408,0),MATCH(J$3,$B$3:$V$3,0))),0)</f>
        <v>0</v>
      </c>
      <c r="K169" s="585" cm="1">
        <f t="array" aca="1" ref="K169" ca="1">IFERROR(
_xlfn.IFS(NewBuild_Retrofit_selector="Newbuild",INDEX($B$1:$V$408,MATCH($D169&amp;"-"&amp;"Installation cost",$B$1:$B$408,0),MATCH(K$3,$B$3:$V$3,0))/INDEX($B$1:$V$408,MATCH($D169&amp;"-"&amp;"Lifetime",$B$1:$B$408,0),MATCH(K$3,$B$3:$V$3,0)),
NewBuild_Retrofit_selector="Retrofit",(INDEX($B$1:$V$408,MATCH($D169&amp;"-"&amp;"Installation cost",$B$1:$B$408,0),MATCH(K$3,$B$3:$V$3,0))+INDEX($B$1:$V$408,MATCH($D169&amp;"-"&amp;"Extra retrofit cost",$B$1:$B$408,0),MATCH(K$3,$B$3:$V$3,0)))/INDEX($B$1:$V$408,MATCH($D169&amp;"-"&amp;"Lifetime",$B$1:$B$408,0),MATCH(K$3,$B$3:$V$3,0))),0)</f>
        <v>0</v>
      </c>
      <c r="L169" s="585" cm="1">
        <f t="array" aca="1" ref="L169" ca="1">IFERROR(
_xlfn.IFS(NewBuild_Retrofit_selector="Newbuild",INDEX($B$1:$V$408,MATCH($D169&amp;"-"&amp;"Installation cost",$B$1:$B$408,0),MATCH(L$3,$B$3:$V$3,0))/INDEX($B$1:$V$408,MATCH($D169&amp;"-"&amp;"Lifetime",$B$1:$B$408,0),MATCH(L$3,$B$3:$V$3,0)),
NewBuild_Retrofit_selector="Retrofit",(INDEX($B$1:$V$408,MATCH($D169&amp;"-"&amp;"Installation cost",$B$1:$B$408,0),MATCH(L$3,$B$3:$V$3,0))+INDEX($B$1:$V$408,MATCH($D169&amp;"-"&amp;"Extra retrofit cost",$B$1:$B$408,0),MATCH(L$3,$B$3:$V$3,0)))/INDEX($B$1:$V$408,MATCH($D169&amp;"-"&amp;"Lifetime",$B$1:$B$408,0),MATCH(L$3,$B$3:$V$3,0))),0)</f>
        <v>0</v>
      </c>
      <c r="M169" s="585" cm="1">
        <f t="array" aca="1" ref="M169" ca="1">IFERROR(
_xlfn.IFS(NewBuild_Retrofit_selector="Newbuild",INDEX($B$1:$V$408,MATCH($D169&amp;"-"&amp;"Installation cost",$B$1:$B$408,0),MATCH(M$3,$B$3:$V$3,0))/INDEX($B$1:$V$408,MATCH($D169&amp;"-"&amp;"Lifetime",$B$1:$B$408,0),MATCH(M$3,$B$3:$V$3,0)),
NewBuild_Retrofit_selector="Retrofit",(INDEX($B$1:$V$408,MATCH($D169&amp;"-"&amp;"Installation cost",$B$1:$B$408,0),MATCH(M$3,$B$3:$V$3,0))+INDEX($B$1:$V$408,MATCH($D169&amp;"-"&amp;"Extra retrofit cost",$B$1:$B$408,0),MATCH(M$3,$B$3:$V$3,0)))/INDEX($B$1:$V$408,MATCH($D169&amp;"-"&amp;"Lifetime",$B$1:$B$408,0),MATCH(M$3,$B$3:$V$3,0))),0)</f>
        <v>0</v>
      </c>
      <c r="N169" s="585" cm="1">
        <f t="array" aca="1" ref="N169" ca="1">IFERROR(
_xlfn.IFS(NewBuild_Retrofit_selector="Newbuild",INDEX($B$1:$V$408,MATCH($D169&amp;"-"&amp;"Installation cost",$B$1:$B$408,0),MATCH(N$3,$B$3:$V$3,0))/INDEX($B$1:$V$408,MATCH($D169&amp;"-"&amp;"Lifetime",$B$1:$B$408,0),MATCH(N$3,$B$3:$V$3,0)),
NewBuild_Retrofit_selector="Retrofit",(INDEX($B$1:$V$408,MATCH($D169&amp;"-"&amp;"Installation cost",$B$1:$B$408,0),MATCH(N$3,$B$3:$V$3,0))+INDEX($B$1:$V$408,MATCH($D169&amp;"-"&amp;"Extra retrofit cost",$B$1:$B$408,0),MATCH(N$3,$B$3:$V$3,0)))/INDEX($B$1:$V$408,MATCH($D169&amp;"-"&amp;"Lifetime",$B$1:$B$408,0),MATCH(N$3,$B$3:$V$3,0))),0)</f>
        <v>0</v>
      </c>
      <c r="O169" s="585" cm="1">
        <f t="array" aca="1" ref="O169" ca="1">IFERROR(
_xlfn.IFS(NewBuild_Retrofit_selector="Newbuild",INDEX($B$1:$V$408,MATCH($D169&amp;"-"&amp;"Installation cost",$B$1:$B$408,0),MATCH(O$3,$B$3:$V$3,0))/INDEX($B$1:$V$408,MATCH($D169&amp;"-"&amp;"Lifetime",$B$1:$B$408,0),MATCH(O$3,$B$3:$V$3,0)),
NewBuild_Retrofit_selector="Retrofit",(INDEX($B$1:$V$408,MATCH($D169&amp;"-"&amp;"Installation cost",$B$1:$B$408,0),MATCH(O$3,$B$3:$V$3,0))+INDEX($B$1:$V$408,MATCH($D169&amp;"-"&amp;"Extra retrofit cost",$B$1:$B$408,0),MATCH(O$3,$B$3:$V$3,0)))/INDEX($B$1:$V$408,MATCH($D169&amp;"-"&amp;"Lifetime",$B$1:$B$408,0),MATCH(O$3,$B$3:$V$3,0))),0)</f>
        <v>0</v>
      </c>
      <c r="P169" s="585" cm="1">
        <f t="array" aca="1" ref="P169" ca="1">IFERROR(
_xlfn.IFS(NewBuild_Retrofit_selector="Newbuild",INDEX($B$1:$V$408,MATCH($D169&amp;"-"&amp;"Installation cost",$B$1:$B$408,0),MATCH(P$3,$B$3:$V$3,0))/INDEX($B$1:$V$408,MATCH($D169&amp;"-"&amp;"Lifetime",$B$1:$B$408,0),MATCH(P$3,$B$3:$V$3,0)),
NewBuild_Retrofit_selector="Retrofit",(INDEX($B$1:$V$408,MATCH($D169&amp;"-"&amp;"Installation cost",$B$1:$B$408,0),MATCH(P$3,$B$3:$V$3,0))+INDEX($B$1:$V$408,MATCH($D169&amp;"-"&amp;"Extra retrofit cost",$B$1:$B$408,0),MATCH(P$3,$B$3:$V$3,0)))/INDEX($B$1:$V$408,MATCH($D169&amp;"-"&amp;"Lifetime",$B$1:$B$408,0),MATCH(P$3,$B$3:$V$3,0))),0)</f>
        <v>0</v>
      </c>
      <c r="Q169" s="585" cm="1">
        <f t="array" aca="1" ref="Q169" ca="1">IFERROR(
_xlfn.IFS(NewBuild_Retrofit_selector="Newbuild",INDEX($B$1:$V$408,MATCH($D169&amp;"-"&amp;"Installation cost",$B$1:$B$408,0),MATCH(Q$3,$B$3:$V$3,0))/INDEX($B$1:$V$408,MATCH($D169&amp;"-"&amp;"Lifetime",$B$1:$B$408,0),MATCH(Q$3,$B$3:$V$3,0)),
NewBuild_Retrofit_selector="Retrofit",(INDEX($B$1:$V$408,MATCH($D169&amp;"-"&amp;"Installation cost",$B$1:$B$408,0),MATCH(Q$3,$B$3:$V$3,0))+INDEX($B$1:$V$408,MATCH($D169&amp;"-"&amp;"Extra retrofit cost",$B$1:$B$408,0),MATCH(Q$3,$B$3:$V$3,0)))/INDEX($B$1:$V$408,MATCH($D169&amp;"-"&amp;"Lifetime",$B$1:$B$408,0),MATCH(Q$3,$B$3:$V$3,0))),0)</f>
        <v>0</v>
      </c>
      <c r="R169" s="585" cm="1">
        <f t="array" aca="1" ref="R169" ca="1">IFERROR(
_xlfn.IFS(NewBuild_Retrofit_selector="Newbuild",INDEX($B$1:$V$408,MATCH($D169&amp;"-"&amp;"Installation cost",$B$1:$B$408,0),MATCH(R$3,$B$3:$V$3,0))/INDEX($B$1:$V$408,MATCH($D169&amp;"-"&amp;"Lifetime",$B$1:$B$408,0),MATCH(R$3,$B$3:$V$3,0)),
NewBuild_Retrofit_selector="Retrofit",(INDEX($B$1:$V$408,MATCH($D169&amp;"-"&amp;"Installation cost",$B$1:$B$408,0),MATCH(R$3,$B$3:$V$3,0))+INDEX($B$1:$V$408,MATCH($D169&amp;"-"&amp;"Extra retrofit cost",$B$1:$B$408,0),MATCH(R$3,$B$3:$V$3,0)))/INDEX($B$1:$V$408,MATCH($D169&amp;"-"&amp;"Lifetime",$B$1:$B$408,0),MATCH(R$3,$B$3:$V$3,0))),0)</f>
        <v>0</v>
      </c>
      <c r="S169" s="585" cm="1">
        <f t="array" aca="1" ref="S169" ca="1">IFERROR(
_xlfn.IFS(NewBuild_Retrofit_selector="Newbuild",INDEX($B$1:$V$408,MATCH($D169&amp;"-"&amp;"Installation cost",$B$1:$B$408,0),MATCH(S$3,$B$3:$V$3,0))/INDEX($B$1:$V$408,MATCH($D169&amp;"-"&amp;"Lifetime",$B$1:$B$408,0),MATCH(S$3,$B$3:$V$3,0)),
NewBuild_Retrofit_selector="Retrofit",(INDEX($B$1:$V$408,MATCH($D169&amp;"-"&amp;"Installation cost",$B$1:$B$408,0),MATCH(S$3,$B$3:$V$3,0))+INDEX($B$1:$V$408,MATCH($D169&amp;"-"&amp;"Extra retrofit cost",$B$1:$B$408,0),MATCH(S$3,$B$3:$V$3,0)))/INDEX($B$1:$V$408,MATCH($D169&amp;"-"&amp;"Lifetime",$B$1:$B$408,0),MATCH(S$3,$B$3:$V$3,0))),0)</f>
        <v>0</v>
      </c>
      <c r="T169" s="585" cm="1">
        <f t="array" aca="1" ref="T169" ca="1">IFERROR(
_xlfn.IFS(NewBuild_Retrofit_selector="Newbuild",INDEX($B$1:$V$408,MATCH($D169&amp;"-"&amp;"Installation cost",$B$1:$B$408,0),MATCH(T$3,$B$3:$V$3,0))/INDEX($B$1:$V$408,MATCH($D169&amp;"-"&amp;"Lifetime",$B$1:$B$408,0),MATCH(T$3,$B$3:$V$3,0)),
NewBuild_Retrofit_selector="Retrofit",(INDEX($B$1:$V$408,MATCH($D169&amp;"-"&amp;"Installation cost",$B$1:$B$408,0),MATCH(T$3,$B$3:$V$3,0))+INDEX($B$1:$V$408,MATCH($D169&amp;"-"&amp;"Extra retrofit cost",$B$1:$B$408,0),MATCH(T$3,$B$3:$V$3,0)))/INDEX($B$1:$V$408,MATCH($D169&amp;"-"&amp;"Lifetime",$B$1:$B$408,0),MATCH(T$3,$B$3:$V$3,0))),0)</f>
        <v>0</v>
      </c>
      <c r="U169" s="356"/>
      <c r="V169" s="356"/>
    </row>
    <row r="170" spans="2:22" x14ac:dyDescent="0.2">
      <c r="B170" s="392" t="str">
        <f t="shared" si="3"/>
        <v>Maneuvering equipment (e.g. Thrusters)-Extra retrofit cost</v>
      </c>
      <c r="C170" s="392" t="s">
        <v>634</v>
      </c>
      <c r="D170" s="397" t="s">
        <v>454</v>
      </c>
      <c r="E170" s="392" t="s">
        <v>635</v>
      </c>
      <c r="F170" s="585">
        <v>0</v>
      </c>
      <c r="G170" s="585">
        <v>0</v>
      </c>
      <c r="H170" s="585">
        <v>0</v>
      </c>
      <c r="I170" s="585">
        <v>0</v>
      </c>
      <c r="J170" s="585">
        <v>0</v>
      </c>
      <c r="K170" s="585">
        <v>0</v>
      </c>
      <c r="L170" s="585">
        <v>0</v>
      </c>
      <c r="M170" s="585">
        <v>0</v>
      </c>
      <c r="N170" s="585">
        <v>0</v>
      </c>
      <c r="O170" s="585">
        <v>0</v>
      </c>
      <c r="P170" s="585">
        <v>0</v>
      </c>
      <c r="Q170" s="585">
        <v>0</v>
      </c>
      <c r="R170" s="585">
        <v>0</v>
      </c>
      <c r="S170" s="585">
        <v>0</v>
      </c>
      <c r="T170" s="585">
        <v>0</v>
      </c>
      <c r="U170" s="356"/>
      <c r="V170" s="356"/>
    </row>
    <row r="171" spans="2:22" x14ac:dyDescent="0.2">
      <c r="B171" s="392" t="str">
        <f t="shared" si="3"/>
        <v>Maneuvering equipment (e.g. Thrusters)-Installation cost</v>
      </c>
      <c r="C171" s="392" t="s">
        <v>452</v>
      </c>
      <c r="D171" s="399" t="s">
        <v>454</v>
      </c>
      <c r="E171" s="392" t="s">
        <v>635</v>
      </c>
      <c r="F171" s="585">
        <v>0</v>
      </c>
      <c r="G171" s="585">
        <v>0</v>
      </c>
      <c r="H171" s="585">
        <v>0</v>
      </c>
      <c r="I171" s="585">
        <v>0</v>
      </c>
      <c r="J171" s="585">
        <v>0</v>
      </c>
      <c r="K171" s="585">
        <v>0</v>
      </c>
      <c r="L171" s="585">
        <v>0</v>
      </c>
      <c r="M171" s="585">
        <v>0</v>
      </c>
      <c r="N171" s="585">
        <v>0</v>
      </c>
      <c r="O171" s="585">
        <v>0</v>
      </c>
      <c r="P171" s="585">
        <v>0</v>
      </c>
      <c r="Q171" s="585">
        <v>0</v>
      </c>
      <c r="R171" s="585">
        <v>0</v>
      </c>
      <c r="S171" s="585">
        <v>0</v>
      </c>
      <c r="T171" s="585">
        <v>0</v>
      </c>
      <c r="U171" s="356" t="s">
        <v>623</v>
      </c>
      <c r="V171" s="356"/>
    </row>
    <row r="172" spans="2:22" x14ac:dyDescent="0.2">
      <c r="B172" s="392" t="str">
        <f t="shared" si="3"/>
        <v>Maneuvering equipment (e.g. Thrusters)-Lifetime</v>
      </c>
      <c r="C172" s="392" t="s">
        <v>520</v>
      </c>
      <c r="D172" s="397" t="s">
        <v>454</v>
      </c>
      <c r="E172" s="392" t="s">
        <v>176</v>
      </c>
      <c r="F172" s="356">
        <v>0</v>
      </c>
      <c r="G172" s="356">
        <v>0</v>
      </c>
      <c r="H172" s="356">
        <v>0</v>
      </c>
      <c r="I172" s="356">
        <v>0</v>
      </c>
      <c r="J172" s="356">
        <v>0</v>
      </c>
      <c r="K172" s="356">
        <v>0</v>
      </c>
      <c r="L172" s="356">
        <v>0</v>
      </c>
      <c r="M172" s="356">
        <v>0</v>
      </c>
      <c r="N172" s="356">
        <v>0</v>
      </c>
      <c r="O172" s="356">
        <v>0</v>
      </c>
      <c r="P172" s="356">
        <v>0</v>
      </c>
      <c r="Q172" s="356">
        <v>0</v>
      </c>
      <c r="R172" s="356">
        <v>0</v>
      </c>
      <c r="S172" s="356">
        <v>0</v>
      </c>
      <c r="T172" s="356">
        <v>0</v>
      </c>
      <c r="U172" s="356" t="s">
        <v>623</v>
      </c>
      <c r="V172" s="356"/>
    </row>
    <row r="173" spans="2:22" x14ac:dyDescent="0.2">
      <c r="B173" s="392" t="str">
        <f t="shared" si="3"/>
        <v>Maneuvering equipment (e.g. Thrusters)-OPEX</v>
      </c>
      <c r="C173" s="392" t="s">
        <v>319</v>
      </c>
      <c r="D173" s="397" t="s">
        <v>454</v>
      </c>
      <c r="E173" s="392" t="s">
        <v>630</v>
      </c>
      <c r="F173" s="585">
        <v>0</v>
      </c>
      <c r="G173" s="585">
        <v>0</v>
      </c>
      <c r="H173" s="585">
        <v>0</v>
      </c>
      <c r="I173" s="585">
        <v>0</v>
      </c>
      <c r="J173" s="585">
        <v>0</v>
      </c>
      <c r="K173" s="585">
        <v>0</v>
      </c>
      <c r="L173" s="585">
        <v>0</v>
      </c>
      <c r="M173" s="585">
        <v>0</v>
      </c>
      <c r="N173" s="585">
        <v>0</v>
      </c>
      <c r="O173" s="585">
        <v>0</v>
      </c>
      <c r="P173" s="585">
        <v>0</v>
      </c>
      <c r="Q173" s="585">
        <v>0</v>
      </c>
      <c r="R173" s="585">
        <v>0</v>
      </c>
      <c r="S173" s="585">
        <v>0</v>
      </c>
      <c r="T173" s="585">
        <v>0</v>
      </c>
      <c r="U173" s="356" t="s">
        <v>623</v>
      </c>
      <c r="V173" s="356"/>
    </row>
    <row r="174" spans="2:22" x14ac:dyDescent="0.2">
      <c r="B174" s="392" t="str">
        <f t="shared" si="3"/>
        <v>Maneuvering equipment (e.g. Thrusters)-Saving</v>
      </c>
      <c r="C174" s="392" t="s">
        <v>458</v>
      </c>
      <c r="D174" s="397" t="s">
        <v>454</v>
      </c>
      <c r="E174" s="392" t="s">
        <v>178</v>
      </c>
      <c r="F174" s="359">
        <v>0</v>
      </c>
      <c r="G174" s="359">
        <v>0</v>
      </c>
      <c r="H174" s="359">
        <v>0</v>
      </c>
      <c r="I174" s="359">
        <v>0</v>
      </c>
      <c r="J174" s="359">
        <v>0</v>
      </c>
      <c r="K174" s="359">
        <v>0</v>
      </c>
      <c r="L174" s="359">
        <v>0</v>
      </c>
      <c r="M174" s="359">
        <v>0</v>
      </c>
      <c r="N174" s="359">
        <v>0</v>
      </c>
      <c r="O174" s="359">
        <v>0</v>
      </c>
      <c r="P174" s="359">
        <v>0</v>
      </c>
      <c r="Q174" s="359">
        <v>0</v>
      </c>
      <c r="R174" s="359">
        <v>0</v>
      </c>
      <c r="S174" s="359">
        <v>0</v>
      </c>
      <c r="T174" s="359">
        <v>0</v>
      </c>
      <c r="U174" s="356" t="s">
        <v>623</v>
      </c>
      <c r="V174" s="356"/>
    </row>
    <row r="175" spans="2:22" x14ac:dyDescent="0.2">
      <c r="B175" s="392" t="str">
        <f t="shared" si="3"/>
        <v>Maneuvering equipment (e.g. Thrusters)-UptakeFleetAvg2020</v>
      </c>
      <c r="C175" s="392" t="s">
        <v>650</v>
      </c>
      <c r="D175" s="397" t="s">
        <v>454</v>
      </c>
      <c r="E175" s="392" t="s">
        <v>178</v>
      </c>
      <c r="F175" s="359">
        <v>0</v>
      </c>
      <c r="G175" s="359">
        <v>0</v>
      </c>
      <c r="H175" s="359">
        <v>0</v>
      </c>
      <c r="I175" s="359">
        <v>0</v>
      </c>
      <c r="J175" s="359">
        <v>0</v>
      </c>
      <c r="K175" s="359">
        <v>0</v>
      </c>
      <c r="L175" s="359">
        <v>0</v>
      </c>
      <c r="M175" s="359">
        <v>0</v>
      </c>
      <c r="N175" s="359">
        <v>0</v>
      </c>
      <c r="O175" s="359">
        <v>0</v>
      </c>
      <c r="P175" s="359">
        <v>0</v>
      </c>
      <c r="Q175" s="359">
        <v>0</v>
      </c>
      <c r="R175" s="359">
        <v>0</v>
      </c>
      <c r="S175" s="359">
        <v>0</v>
      </c>
      <c r="T175" s="359">
        <v>0</v>
      </c>
      <c r="U175" s="356"/>
      <c r="V175" s="356"/>
    </row>
    <row r="176" spans="2:22" x14ac:dyDescent="0.2">
      <c r="B176" s="392" t="str">
        <f t="shared" si="3"/>
        <v>Maneuvering equipment (e.g. Thrusters)-UptakeNewbuild2020</v>
      </c>
      <c r="C176" s="392" t="s">
        <v>652</v>
      </c>
      <c r="D176" s="397" t="s">
        <v>454</v>
      </c>
      <c r="E176" s="392" t="s">
        <v>178</v>
      </c>
      <c r="F176" s="359">
        <v>0</v>
      </c>
      <c r="G176" s="359">
        <v>0</v>
      </c>
      <c r="H176" s="359">
        <v>0</v>
      </c>
      <c r="I176" s="359">
        <v>0</v>
      </c>
      <c r="J176" s="359">
        <v>0</v>
      </c>
      <c r="K176" s="359">
        <v>0</v>
      </c>
      <c r="L176" s="359">
        <v>0</v>
      </c>
      <c r="M176" s="359">
        <v>0</v>
      </c>
      <c r="N176" s="359">
        <v>0</v>
      </c>
      <c r="O176" s="359">
        <v>0</v>
      </c>
      <c r="P176" s="359">
        <v>0</v>
      </c>
      <c r="Q176" s="359">
        <v>0</v>
      </c>
      <c r="R176" s="359">
        <v>0</v>
      </c>
      <c r="S176" s="359">
        <v>0</v>
      </c>
      <c r="T176" s="359">
        <v>0</v>
      </c>
      <c r="U176" s="356"/>
      <c r="V176" s="356"/>
    </row>
    <row r="177" spans="2:22" x14ac:dyDescent="0.2">
      <c r="B177" s="392" t="str">
        <f t="shared" si="3"/>
        <v>ME Hybridization -Applicable Newbuild</v>
      </c>
      <c r="C177" s="392" t="s">
        <v>621</v>
      </c>
      <c r="D177" s="734" t="s">
        <v>137</v>
      </c>
      <c r="E177" s="392" t="s">
        <v>622</v>
      </c>
      <c r="F177" s="356">
        <v>0</v>
      </c>
      <c r="G177" s="356">
        <v>0</v>
      </c>
      <c r="H177" s="356">
        <v>0</v>
      </c>
      <c r="I177" s="356">
        <v>0</v>
      </c>
      <c r="J177" s="356">
        <v>0</v>
      </c>
      <c r="K177" s="356">
        <v>0</v>
      </c>
      <c r="L177" s="356">
        <v>0</v>
      </c>
      <c r="M177" s="356">
        <v>0</v>
      </c>
      <c r="N177" s="356">
        <v>0</v>
      </c>
      <c r="O177" s="356">
        <v>0</v>
      </c>
      <c r="P177" s="356">
        <v>0</v>
      </c>
      <c r="Q177" s="356">
        <v>0</v>
      </c>
      <c r="R177" s="356">
        <v>0</v>
      </c>
      <c r="S177" s="356">
        <v>0</v>
      </c>
      <c r="T177" s="356">
        <v>0</v>
      </c>
      <c r="U177" s="356" t="s">
        <v>625</v>
      </c>
      <c r="V177" s="356"/>
    </row>
    <row r="178" spans="2:22" x14ac:dyDescent="0.2">
      <c r="B178" s="392" t="str">
        <f t="shared" si="3"/>
        <v>ME Hybridization -Applicable Retrofit</v>
      </c>
      <c r="C178" s="392" t="s">
        <v>629</v>
      </c>
      <c r="D178" s="734" t="s">
        <v>137</v>
      </c>
      <c r="E178" s="392" t="s">
        <v>622</v>
      </c>
      <c r="F178" s="356">
        <v>0</v>
      </c>
      <c r="G178" s="356">
        <v>0</v>
      </c>
      <c r="H178" s="356">
        <v>0</v>
      </c>
      <c r="I178" s="356">
        <v>0</v>
      </c>
      <c r="J178" s="356">
        <v>0</v>
      </c>
      <c r="K178" s="356">
        <v>0</v>
      </c>
      <c r="L178" s="356">
        <v>0</v>
      </c>
      <c r="M178" s="356">
        <v>0</v>
      </c>
      <c r="N178" s="356">
        <v>0</v>
      </c>
      <c r="O178" s="356">
        <v>0</v>
      </c>
      <c r="P178" s="356">
        <v>0</v>
      </c>
      <c r="Q178" s="356">
        <v>0</v>
      </c>
      <c r="R178" s="356">
        <v>0</v>
      </c>
      <c r="S178" s="356">
        <v>0</v>
      </c>
      <c r="T178" s="356">
        <v>0</v>
      </c>
      <c r="U178" s="356" t="s">
        <v>625</v>
      </c>
      <c r="V178" s="356"/>
    </row>
    <row r="179" spans="2:22" x14ac:dyDescent="0.2">
      <c r="B179" s="392" t="str">
        <f t="shared" si="3"/>
        <v>ME Hybridization -CAPEX</v>
      </c>
      <c r="C179" s="392" t="s">
        <v>50</v>
      </c>
      <c r="D179" s="734" t="s">
        <v>137</v>
      </c>
      <c r="E179" s="392" t="s">
        <v>630</v>
      </c>
      <c r="F179" s="585" cm="1">
        <f t="array" aca="1" ref="F179" ca="1">IFERROR(
_xlfn.IFS(NewBuild_Retrofit_selector="Newbuild",INDEX($B$1:$V$408,MATCH($D179&amp;"-"&amp;"Installation cost",$B$1:$B$408,0),MATCH(F$3,$B$3:$V$3,0))/INDEX($B$1:$V$408,MATCH($D179&amp;"-"&amp;"Lifetime",$B$1:$B$408,0),MATCH(F$3,$B$3:$V$3,0)),
NewBuild_Retrofit_selector="Retrofit",(INDEX($B$1:$V$408,MATCH($D179&amp;"-"&amp;"Installation cost",$B$1:$B$408,0),MATCH(F$3,$B$3:$V$3,0))+INDEX($B$1:$V$408,MATCH($D179&amp;"-"&amp;"Extra retrofit cost",$B$1:$B$408,0),MATCH(F$3,$B$3:$V$3,0)))/INDEX($B$1:$V$408,MATCH($D179&amp;"-"&amp;"Lifetime",$B$1:$B$408,0),MATCH(F$3,$B$3:$V$3,0))),0)</f>
        <v>0</v>
      </c>
      <c r="G179" s="585" cm="1">
        <f t="array" aca="1" ref="G179" ca="1">IFERROR(
_xlfn.IFS(NewBuild_Retrofit_selector="Newbuild",INDEX($B$1:$V$408,MATCH($D179&amp;"-"&amp;"Installation cost",$B$1:$B$408,0),MATCH(G$3,$B$3:$V$3,0))/INDEX($B$1:$V$408,MATCH($D179&amp;"-"&amp;"Lifetime",$B$1:$B$408,0),MATCH(G$3,$B$3:$V$3,0)),
NewBuild_Retrofit_selector="Retrofit",(INDEX($B$1:$V$408,MATCH($D179&amp;"-"&amp;"Installation cost",$B$1:$B$408,0),MATCH(G$3,$B$3:$V$3,0))+INDEX($B$1:$V$408,MATCH($D179&amp;"-"&amp;"Extra retrofit cost",$B$1:$B$408,0),MATCH(G$3,$B$3:$V$3,0)))/INDEX($B$1:$V$408,MATCH($D179&amp;"-"&amp;"Lifetime",$B$1:$B$408,0),MATCH(G$3,$B$3:$V$3,0))),0)</f>
        <v>0</v>
      </c>
      <c r="H179" s="585" cm="1">
        <f t="array" aca="1" ref="H179" ca="1">IFERROR(
_xlfn.IFS(NewBuild_Retrofit_selector="Newbuild",INDEX($B$1:$V$408,MATCH($D179&amp;"-"&amp;"Installation cost",$B$1:$B$408,0),MATCH(H$3,$B$3:$V$3,0))/INDEX($B$1:$V$408,MATCH($D179&amp;"-"&amp;"Lifetime",$B$1:$B$408,0),MATCH(H$3,$B$3:$V$3,0)),
NewBuild_Retrofit_selector="Retrofit",(INDEX($B$1:$V$408,MATCH($D179&amp;"-"&amp;"Installation cost",$B$1:$B$408,0),MATCH(H$3,$B$3:$V$3,0))+INDEX($B$1:$V$408,MATCH($D179&amp;"-"&amp;"Extra retrofit cost",$B$1:$B$408,0),MATCH(H$3,$B$3:$V$3,0)))/INDEX($B$1:$V$408,MATCH($D179&amp;"-"&amp;"Lifetime",$B$1:$B$408,0),MATCH(H$3,$B$3:$V$3,0))),0)</f>
        <v>0</v>
      </c>
      <c r="I179" s="585" cm="1">
        <f t="array" aca="1" ref="I179" ca="1">IFERROR(
_xlfn.IFS(NewBuild_Retrofit_selector="Newbuild",INDEX($B$1:$V$408,MATCH($D179&amp;"-"&amp;"Installation cost",$B$1:$B$408,0),MATCH(I$3,$B$3:$V$3,0))/INDEX($B$1:$V$408,MATCH($D179&amp;"-"&amp;"Lifetime",$B$1:$B$408,0),MATCH(I$3,$B$3:$V$3,0)),
NewBuild_Retrofit_selector="Retrofit",(INDEX($B$1:$V$408,MATCH($D179&amp;"-"&amp;"Installation cost",$B$1:$B$408,0),MATCH(I$3,$B$3:$V$3,0))+INDEX($B$1:$V$408,MATCH($D179&amp;"-"&amp;"Extra retrofit cost",$B$1:$B$408,0),MATCH(I$3,$B$3:$V$3,0)))/INDEX($B$1:$V$408,MATCH($D179&amp;"-"&amp;"Lifetime",$B$1:$B$408,0),MATCH(I$3,$B$3:$V$3,0))),0)</f>
        <v>0</v>
      </c>
      <c r="J179" s="585" cm="1">
        <f t="array" aca="1" ref="J179" ca="1">IFERROR(
_xlfn.IFS(NewBuild_Retrofit_selector="Newbuild",INDEX($B$1:$V$408,MATCH($D179&amp;"-"&amp;"Installation cost",$B$1:$B$408,0),MATCH(J$3,$B$3:$V$3,0))/INDEX($B$1:$V$408,MATCH($D179&amp;"-"&amp;"Lifetime",$B$1:$B$408,0),MATCH(J$3,$B$3:$V$3,0)),
NewBuild_Retrofit_selector="Retrofit",(INDEX($B$1:$V$408,MATCH($D179&amp;"-"&amp;"Installation cost",$B$1:$B$408,0),MATCH(J$3,$B$3:$V$3,0))+INDEX($B$1:$V$408,MATCH($D179&amp;"-"&amp;"Extra retrofit cost",$B$1:$B$408,0),MATCH(J$3,$B$3:$V$3,0)))/INDEX($B$1:$V$408,MATCH($D179&amp;"-"&amp;"Lifetime",$B$1:$B$408,0),MATCH(J$3,$B$3:$V$3,0))),0)</f>
        <v>0</v>
      </c>
      <c r="K179" s="585" cm="1">
        <f t="array" aca="1" ref="K179" ca="1">IFERROR(
_xlfn.IFS(NewBuild_Retrofit_selector="Newbuild",INDEX($B$1:$V$408,MATCH($D179&amp;"-"&amp;"Installation cost",$B$1:$B$408,0),MATCH(K$3,$B$3:$V$3,0))/INDEX($B$1:$V$408,MATCH($D179&amp;"-"&amp;"Lifetime",$B$1:$B$408,0),MATCH(K$3,$B$3:$V$3,0)),
NewBuild_Retrofit_selector="Retrofit",(INDEX($B$1:$V$408,MATCH($D179&amp;"-"&amp;"Installation cost",$B$1:$B$408,0),MATCH(K$3,$B$3:$V$3,0))+INDEX($B$1:$V$408,MATCH($D179&amp;"-"&amp;"Extra retrofit cost",$B$1:$B$408,0),MATCH(K$3,$B$3:$V$3,0)))/INDEX($B$1:$V$408,MATCH($D179&amp;"-"&amp;"Lifetime",$B$1:$B$408,0),MATCH(K$3,$B$3:$V$3,0))),0)</f>
        <v>0</v>
      </c>
      <c r="L179" s="585" cm="1">
        <f t="array" aca="1" ref="L179" ca="1">IFERROR(
_xlfn.IFS(NewBuild_Retrofit_selector="Newbuild",INDEX($B$1:$V$408,MATCH($D179&amp;"-"&amp;"Installation cost",$B$1:$B$408,0),MATCH(L$3,$B$3:$V$3,0))/INDEX($B$1:$V$408,MATCH($D179&amp;"-"&amp;"Lifetime",$B$1:$B$408,0),MATCH(L$3,$B$3:$V$3,0)),
NewBuild_Retrofit_selector="Retrofit",(INDEX($B$1:$V$408,MATCH($D179&amp;"-"&amp;"Installation cost",$B$1:$B$408,0),MATCH(L$3,$B$3:$V$3,0))+INDEX($B$1:$V$408,MATCH($D179&amp;"-"&amp;"Extra retrofit cost",$B$1:$B$408,0),MATCH(L$3,$B$3:$V$3,0)))/INDEX($B$1:$V$408,MATCH($D179&amp;"-"&amp;"Lifetime",$B$1:$B$408,0),MATCH(L$3,$B$3:$V$3,0))),0)</f>
        <v>0</v>
      </c>
      <c r="M179" s="585" cm="1">
        <f t="array" aca="1" ref="M179" ca="1">IFERROR(
_xlfn.IFS(NewBuild_Retrofit_selector="Newbuild",INDEX($B$1:$V$408,MATCH($D179&amp;"-"&amp;"Installation cost",$B$1:$B$408,0),MATCH(M$3,$B$3:$V$3,0))/INDEX($B$1:$V$408,MATCH($D179&amp;"-"&amp;"Lifetime",$B$1:$B$408,0),MATCH(M$3,$B$3:$V$3,0)),
NewBuild_Retrofit_selector="Retrofit",(INDEX($B$1:$V$408,MATCH($D179&amp;"-"&amp;"Installation cost",$B$1:$B$408,0),MATCH(M$3,$B$3:$V$3,0))+INDEX($B$1:$V$408,MATCH($D179&amp;"-"&amp;"Extra retrofit cost",$B$1:$B$408,0),MATCH(M$3,$B$3:$V$3,0)))/INDEX($B$1:$V$408,MATCH($D179&amp;"-"&amp;"Lifetime",$B$1:$B$408,0),MATCH(M$3,$B$3:$V$3,0))),0)</f>
        <v>0</v>
      </c>
      <c r="N179" s="585" cm="1">
        <f t="array" aca="1" ref="N179" ca="1">IFERROR(
_xlfn.IFS(NewBuild_Retrofit_selector="Newbuild",INDEX($B$1:$V$408,MATCH($D179&amp;"-"&amp;"Installation cost",$B$1:$B$408,0),MATCH(N$3,$B$3:$V$3,0))/INDEX($B$1:$V$408,MATCH($D179&amp;"-"&amp;"Lifetime",$B$1:$B$408,0),MATCH(N$3,$B$3:$V$3,0)),
NewBuild_Retrofit_selector="Retrofit",(INDEX($B$1:$V$408,MATCH($D179&amp;"-"&amp;"Installation cost",$B$1:$B$408,0),MATCH(N$3,$B$3:$V$3,0))+INDEX($B$1:$V$408,MATCH($D179&amp;"-"&amp;"Extra retrofit cost",$B$1:$B$408,0),MATCH(N$3,$B$3:$V$3,0)))/INDEX($B$1:$V$408,MATCH($D179&amp;"-"&amp;"Lifetime",$B$1:$B$408,0),MATCH(N$3,$B$3:$V$3,0))),0)</f>
        <v>0</v>
      </c>
      <c r="O179" s="585" cm="1">
        <f t="array" aca="1" ref="O179" ca="1">IFERROR(
_xlfn.IFS(NewBuild_Retrofit_selector="Newbuild",INDEX($B$1:$V$408,MATCH($D179&amp;"-"&amp;"Installation cost",$B$1:$B$408,0),MATCH(O$3,$B$3:$V$3,0))/INDEX($B$1:$V$408,MATCH($D179&amp;"-"&amp;"Lifetime",$B$1:$B$408,0),MATCH(O$3,$B$3:$V$3,0)),
NewBuild_Retrofit_selector="Retrofit",(INDEX($B$1:$V$408,MATCH($D179&amp;"-"&amp;"Installation cost",$B$1:$B$408,0),MATCH(O$3,$B$3:$V$3,0))+INDEX($B$1:$V$408,MATCH($D179&amp;"-"&amp;"Extra retrofit cost",$B$1:$B$408,0),MATCH(O$3,$B$3:$V$3,0)))/INDEX($B$1:$V$408,MATCH($D179&amp;"-"&amp;"Lifetime",$B$1:$B$408,0),MATCH(O$3,$B$3:$V$3,0))),0)</f>
        <v>0</v>
      </c>
      <c r="P179" s="585" cm="1">
        <f t="array" aca="1" ref="P179" ca="1">IFERROR(
_xlfn.IFS(NewBuild_Retrofit_selector="Newbuild",INDEX($B$1:$V$408,MATCH($D179&amp;"-"&amp;"Installation cost",$B$1:$B$408,0),MATCH(P$3,$B$3:$V$3,0))/INDEX($B$1:$V$408,MATCH($D179&amp;"-"&amp;"Lifetime",$B$1:$B$408,0),MATCH(P$3,$B$3:$V$3,0)),
NewBuild_Retrofit_selector="Retrofit",(INDEX($B$1:$V$408,MATCH($D179&amp;"-"&amp;"Installation cost",$B$1:$B$408,0),MATCH(P$3,$B$3:$V$3,0))+INDEX($B$1:$V$408,MATCH($D179&amp;"-"&amp;"Extra retrofit cost",$B$1:$B$408,0),MATCH(P$3,$B$3:$V$3,0)))/INDEX($B$1:$V$408,MATCH($D179&amp;"-"&amp;"Lifetime",$B$1:$B$408,0),MATCH(P$3,$B$3:$V$3,0))),0)</f>
        <v>0</v>
      </c>
      <c r="Q179" s="585" cm="1">
        <f t="array" aca="1" ref="Q179" ca="1">IFERROR(
_xlfn.IFS(NewBuild_Retrofit_selector="Newbuild",INDEX($B$1:$V$408,MATCH($D179&amp;"-"&amp;"Installation cost",$B$1:$B$408,0),MATCH(Q$3,$B$3:$V$3,0))/INDEX($B$1:$V$408,MATCH($D179&amp;"-"&amp;"Lifetime",$B$1:$B$408,0),MATCH(Q$3,$B$3:$V$3,0)),
NewBuild_Retrofit_selector="Retrofit",(INDEX($B$1:$V$408,MATCH($D179&amp;"-"&amp;"Installation cost",$B$1:$B$408,0),MATCH(Q$3,$B$3:$V$3,0))+INDEX($B$1:$V$408,MATCH($D179&amp;"-"&amp;"Extra retrofit cost",$B$1:$B$408,0),MATCH(Q$3,$B$3:$V$3,0)))/INDEX($B$1:$V$408,MATCH($D179&amp;"-"&amp;"Lifetime",$B$1:$B$408,0),MATCH(Q$3,$B$3:$V$3,0))),0)</f>
        <v>0</v>
      </c>
      <c r="R179" s="585" cm="1">
        <f t="array" aca="1" ref="R179" ca="1">IFERROR(
_xlfn.IFS(NewBuild_Retrofit_selector="Newbuild",INDEX($B$1:$V$408,MATCH($D179&amp;"-"&amp;"Installation cost",$B$1:$B$408,0),MATCH(R$3,$B$3:$V$3,0))/INDEX($B$1:$V$408,MATCH($D179&amp;"-"&amp;"Lifetime",$B$1:$B$408,0),MATCH(R$3,$B$3:$V$3,0)),
NewBuild_Retrofit_selector="Retrofit",(INDEX($B$1:$V$408,MATCH($D179&amp;"-"&amp;"Installation cost",$B$1:$B$408,0),MATCH(R$3,$B$3:$V$3,0))+INDEX($B$1:$V$408,MATCH($D179&amp;"-"&amp;"Extra retrofit cost",$B$1:$B$408,0),MATCH(R$3,$B$3:$V$3,0)))/INDEX($B$1:$V$408,MATCH($D179&amp;"-"&amp;"Lifetime",$B$1:$B$408,0),MATCH(R$3,$B$3:$V$3,0))),0)</f>
        <v>0</v>
      </c>
      <c r="S179" s="585" cm="1">
        <f t="array" aca="1" ref="S179" ca="1">IFERROR(
_xlfn.IFS(NewBuild_Retrofit_selector="Newbuild",INDEX($B$1:$V$408,MATCH($D179&amp;"-"&amp;"Installation cost",$B$1:$B$408,0),MATCH(S$3,$B$3:$V$3,0))/INDEX($B$1:$V$408,MATCH($D179&amp;"-"&amp;"Lifetime",$B$1:$B$408,0),MATCH(S$3,$B$3:$V$3,0)),
NewBuild_Retrofit_selector="Retrofit",(INDEX($B$1:$V$408,MATCH($D179&amp;"-"&amp;"Installation cost",$B$1:$B$408,0),MATCH(S$3,$B$3:$V$3,0))+INDEX($B$1:$V$408,MATCH($D179&amp;"-"&amp;"Extra retrofit cost",$B$1:$B$408,0),MATCH(S$3,$B$3:$V$3,0)))/INDEX($B$1:$V$408,MATCH($D179&amp;"-"&amp;"Lifetime",$B$1:$B$408,0),MATCH(S$3,$B$3:$V$3,0))),0)</f>
        <v>0</v>
      </c>
      <c r="T179" s="585" cm="1">
        <f t="array" aca="1" ref="T179" ca="1">IFERROR(
_xlfn.IFS(NewBuild_Retrofit_selector="Newbuild",INDEX($B$1:$V$408,MATCH($D179&amp;"-"&amp;"Installation cost",$B$1:$B$408,0),MATCH(T$3,$B$3:$V$3,0))/INDEX($B$1:$V$408,MATCH($D179&amp;"-"&amp;"Lifetime",$B$1:$B$408,0),MATCH(T$3,$B$3:$V$3,0)),
NewBuild_Retrofit_selector="Retrofit",(INDEX($B$1:$V$408,MATCH($D179&amp;"-"&amp;"Installation cost",$B$1:$B$408,0),MATCH(T$3,$B$3:$V$3,0))+INDEX($B$1:$V$408,MATCH($D179&amp;"-"&amp;"Extra retrofit cost",$B$1:$B$408,0),MATCH(T$3,$B$3:$V$3,0)))/INDEX($B$1:$V$408,MATCH($D179&amp;"-"&amp;"Lifetime",$B$1:$B$408,0),MATCH(T$3,$B$3:$V$3,0))),0)</f>
        <v>0</v>
      </c>
      <c r="U179" s="356"/>
      <c r="V179" s="356"/>
    </row>
    <row r="180" spans="2:22" x14ac:dyDescent="0.2">
      <c r="B180" s="392" t="str">
        <f t="shared" si="3"/>
        <v>ME Hybridization -Extra retrofit cost</v>
      </c>
      <c r="C180" s="392" t="s">
        <v>634</v>
      </c>
      <c r="D180" s="734" t="s">
        <v>137</v>
      </c>
      <c r="E180" s="392" t="s">
        <v>635</v>
      </c>
      <c r="F180" s="585">
        <v>239999.99999999994</v>
      </c>
      <c r="G180" s="585">
        <v>239999.99999999994</v>
      </c>
      <c r="H180" s="585">
        <v>239999.99999999994</v>
      </c>
      <c r="I180" s="585">
        <v>239999.99999999994</v>
      </c>
      <c r="J180" s="585">
        <v>239999.99999999994</v>
      </c>
      <c r="K180" s="585">
        <v>239999.99999999994</v>
      </c>
      <c r="L180" s="585">
        <v>239999.99999999994</v>
      </c>
      <c r="M180" s="585">
        <v>239999.99999999994</v>
      </c>
      <c r="N180" s="585">
        <v>239999.99999999994</v>
      </c>
      <c r="O180" s="585">
        <v>239999.99999999994</v>
      </c>
      <c r="P180" s="585">
        <v>239999.99999999994</v>
      </c>
      <c r="Q180" s="585">
        <v>239999.99999999994</v>
      </c>
      <c r="R180" s="585">
        <v>239999.99999999994</v>
      </c>
      <c r="S180" s="585">
        <v>239999.99999999994</v>
      </c>
      <c r="T180" s="585">
        <v>239999.99999999994</v>
      </c>
      <c r="U180" s="356"/>
      <c r="V180" s="356"/>
    </row>
    <row r="181" spans="2:22" x14ac:dyDescent="0.2">
      <c r="B181" s="392" t="str">
        <f t="shared" si="3"/>
        <v>ME Hybridization -Installation cost</v>
      </c>
      <c r="C181" s="392" t="s">
        <v>452</v>
      </c>
      <c r="D181" s="734" t="s">
        <v>137</v>
      </c>
      <c r="E181" s="392" t="s">
        <v>635</v>
      </c>
      <c r="F181" s="585">
        <v>600000</v>
      </c>
      <c r="G181" s="585">
        <v>1300000</v>
      </c>
      <c r="H181" s="585">
        <v>2000000</v>
      </c>
      <c r="I181" s="585">
        <v>600000</v>
      </c>
      <c r="J181" s="585">
        <v>1300000</v>
      </c>
      <c r="K181" s="585">
        <v>2000000</v>
      </c>
      <c r="L181" s="585">
        <v>600000</v>
      </c>
      <c r="M181" s="585">
        <v>1300000</v>
      </c>
      <c r="N181" s="585">
        <v>2000000</v>
      </c>
      <c r="O181" s="585">
        <v>600000</v>
      </c>
      <c r="P181" s="585">
        <v>1300000</v>
      </c>
      <c r="Q181" s="585">
        <v>2000000</v>
      </c>
      <c r="R181" s="585">
        <v>600000</v>
      </c>
      <c r="S181" s="585">
        <v>1300000</v>
      </c>
      <c r="T181" s="585">
        <v>2000000</v>
      </c>
      <c r="U181" s="356" t="s">
        <v>625</v>
      </c>
      <c r="V181" s="356"/>
    </row>
    <row r="182" spans="2:22" x14ac:dyDescent="0.2">
      <c r="B182" s="392" t="str">
        <f t="shared" si="3"/>
        <v>ME Hybridization -Lifetime</v>
      </c>
      <c r="C182" s="392" t="s">
        <v>520</v>
      </c>
      <c r="D182" s="734" t="s">
        <v>137</v>
      </c>
      <c r="E182" s="392" t="s">
        <v>176</v>
      </c>
      <c r="F182" s="356">
        <v>25</v>
      </c>
      <c r="G182" s="356">
        <v>25</v>
      </c>
      <c r="H182" s="356">
        <v>25</v>
      </c>
      <c r="I182" s="356">
        <v>25</v>
      </c>
      <c r="J182" s="356">
        <v>25</v>
      </c>
      <c r="K182" s="356">
        <v>25</v>
      </c>
      <c r="L182" s="356">
        <v>25</v>
      </c>
      <c r="M182" s="356">
        <v>25</v>
      </c>
      <c r="N182" s="356">
        <v>25</v>
      </c>
      <c r="O182" s="356">
        <v>25</v>
      </c>
      <c r="P182" s="356">
        <v>25</v>
      </c>
      <c r="Q182" s="356">
        <v>25</v>
      </c>
      <c r="R182" s="356">
        <v>25</v>
      </c>
      <c r="S182" s="356">
        <v>25</v>
      </c>
      <c r="T182" s="356">
        <v>25</v>
      </c>
      <c r="U182" s="356" t="s">
        <v>625</v>
      </c>
      <c r="V182" s="356"/>
    </row>
    <row r="183" spans="2:22" x14ac:dyDescent="0.2">
      <c r="B183" s="392" t="str">
        <f t="shared" si="3"/>
        <v>ME Hybridization -OPEX</v>
      </c>
      <c r="C183" s="392" t="s">
        <v>319</v>
      </c>
      <c r="D183" s="734" t="s">
        <v>137</v>
      </c>
      <c r="E183" s="392" t="s">
        <v>630</v>
      </c>
      <c r="F183" s="585">
        <v>15000</v>
      </c>
      <c r="G183" s="585">
        <v>15000</v>
      </c>
      <c r="H183" s="585">
        <v>15000</v>
      </c>
      <c r="I183" s="585">
        <v>15000</v>
      </c>
      <c r="J183" s="585">
        <v>15000</v>
      </c>
      <c r="K183" s="585">
        <v>15000</v>
      </c>
      <c r="L183" s="585">
        <v>15000</v>
      </c>
      <c r="M183" s="585">
        <v>15000</v>
      </c>
      <c r="N183" s="585">
        <v>15000</v>
      </c>
      <c r="O183" s="585">
        <v>15000</v>
      </c>
      <c r="P183" s="585">
        <v>15000</v>
      </c>
      <c r="Q183" s="585">
        <v>15000</v>
      </c>
      <c r="R183" s="585">
        <v>15000</v>
      </c>
      <c r="S183" s="585">
        <v>15000</v>
      </c>
      <c r="T183" s="585">
        <v>15000</v>
      </c>
      <c r="U183" s="356" t="s">
        <v>625</v>
      </c>
      <c r="V183" s="356"/>
    </row>
    <row r="184" spans="2:22" x14ac:dyDescent="0.2">
      <c r="B184" s="392" t="str">
        <f t="shared" si="3"/>
        <v>ME Hybridization -Saving</v>
      </c>
      <c r="C184" s="392" t="s">
        <v>458</v>
      </c>
      <c r="D184" s="734" t="s">
        <v>137</v>
      </c>
      <c r="E184" s="392" t="s">
        <v>178</v>
      </c>
      <c r="F184" s="359">
        <v>0.05</v>
      </c>
      <c r="G184" s="359">
        <v>0.05</v>
      </c>
      <c r="H184" s="359">
        <v>0.05</v>
      </c>
      <c r="I184" s="359">
        <v>0.05</v>
      </c>
      <c r="J184" s="359">
        <v>0.05</v>
      </c>
      <c r="K184" s="359">
        <v>0.05</v>
      </c>
      <c r="L184" s="359">
        <v>0.05</v>
      </c>
      <c r="M184" s="359">
        <v>0.05</v>
      </c>
      <c r="N184" s="359">
        <v>0.05</v>
      </c>
      <c r="O184" s="359">
        <v>0.05</v>
      </c>
      <c r="P184" s="359">
        <v>0.05</v>
      </c>
      <c r="Q184" s="359">
        <v>0.05</v>
      </c>
      <c r="R184" s="359">
        <v>0.05</v>
      </c>
      <c r="S184" s="359">
        <v>0.05</v>
      </c>
      <c r="T184" s="359">
        <v>0.05</v>
      </c>
      <c r="U184" s="356" t="s">
        <v>625</v>
      </c>
      <c r="V184" s="356"/>
    </row>
    <row r="185" spans="2:22" x14ac:dyDescent="0.2">
      <c r="B185" s="392" t="str">
        <f t="shared" si="3"/>
        <v>ME Hybridization -UptakeFleetAvg2020</v>
      </c>
      <c r="C185" s="392" t="s">
        <v>650</v>
      </c>
      <c r="D185" s="734" t="s">
        <v>137</v>
      </c>
      <c r="E185" s="392" t="s">
        <v>178</v>
      </c>
      <c r="F185" s="359">
        <v>0</v>
      </c>
      <c r="G185" s="359">
        <v>0</v>
      </c>
      <c r="H185" s="359">
        <v>0</v>
      </c>
      <c r="I185" s="359">
        <v>0</v>
      </c>
      <c r="J185" s="359">
        <v>0</v>
      </c>
      <c r="K185" s="359">
        <v>0</v>
      </c>
      <c r="L185" s="359">
        <v>0</v>
      </c>
      <c r="M185" s="359">
        <v>0</v>
      </c>
      <c r="N185" s="359">
        <v>0</v>
      </c>
      <c r="O185" s="359">
        <v>0</v>
      </c>
      <c r="P185" s="359">
        <v>0</v>
      </c>
      <c r="Q185" s="359">
        <v>0</v>
      </c>
      <c r="R185" s="359">
        <v>0</v>
      </c>
      <c r="S185" s="359">
        <v>0</v>
      </c>
      <c r="T185" s="359">
        <v>0</v>
      </c>
      <c r="U185" s="356"/>
      <c r="V185" s="356"/>
    </row>
    <row r="186" spans="2:22" x14ac:dyDescent="0.2">
      <c r="B186" s="392" t="str">
        <f t="shared" si="3"/>
        <v>ME Hybridization -UptakeNewbuild2020</v>
      </c>
      <c r="C186" s="392" t="s">
        <v>652</v>
      </c>
      <c r="D186" s="734" t="s">
        <v>137</v>
      </c>
      <c r="E186" s="392" t="s">
        <v>178</v>
      </c>
      <c r="F186" s="359">
        <v>0</v>
      </c>
      <c r="G186" s="359">
        <v>0</v>
      </c>
      <c r="H186" s="359">
        <v>0</v>
      </c>
      <c r="I186" s="359">
        <v>0</v>
      </c>
      <c r="J186" s="359">
        <v>0</v>
      </c>
      <c r="K186" s="359">
        <v>0</v>
      </c>
      <c r="L186" s="359">
        <v>0</v>
      </c>
      <c r="M186" s="359">
        <v>0</v>
      </c>
      <c r="N186" s="359">
        <v>0</v>
      </c>
      <c r="O186" s="359">
        <v>0</v>
      </c>
      <c r="P186" s="359">
        <v>0</v>
      </c>
      <c r="Q186" s="359">
        <v>0</v>
      </c>
      <c r="R186" s="359">
        <v>0</v>
      </c>
      <c r="S186" s="359">
        <v>0</v>
      </c>
      <c r="T186" s="359">
        <v>0</v>
      </c>
      <c r="U186" s="356"/>
      <c r="V186" s="356"/>
    </row>
    <row r="187" spans="2:22" x14ac:dyDescent="0.2">
      <c r="B187" s="392" t="str">
        <f t="shared" si="3"/>
        <v>PentA-PenetrationShare</v>
      </c>
      <c r="C187" s="392" t="s">
        <v>638</v>
      </c>
      <c r="D187" s="396" t="s">
        <v>639</v>
      </c>
      <c r="E187" s="392" t="s">
        <v>178</v>
      </c>
      <c r="F187" s="352">
        <v>1</v>
      </c>
      <c r="G187" s="352">
        <v>1</v>
      </c>
      <c r="H187" s="352">
        <v>1</v>
      </c>
      <c r="I187" s="352">
        <v>1</v>
      </c>
      <c r="J187" s="352">
        <v>1</v>
      </c>
      <c r="K187" s="352">
        <v>1</v>
      </c>
      <c r="L187" s="352">
        <v>1</v>
      </c>
      <c r="M187" s="352">
        <v>1</v>
      </c>
      <c r="N187" s="352">
        <v>1</v>
      </c>
      <c r="O187" s="352">
        <v>1</v>
      </c>
      <c r="P187" s="352">
        <v>1</v>
      </c>
      <c r="Q187" s="352">
        <v>1</v>
      </c>
      <c r="R187" s="352">
        <v>1</v>
      </c>
      <c r="S187" s="352">
        <v>1</v>
      </c>
      <c r="T187" s="352">
        <v>1</v>
      </c>
      <c r="U187" s="356" t="s">
        <v>640</v>
      </c>
      <c r="V187" s="737"/>
    </row>
    <row r="188" spans="2:22" x14ac:dyDescent="0.2">
      <c r="B188" s="392" t="str">
        <f t="shared" si="3"/>
        <v>PentB-PenetrationShare</v>
      </c>
      <c r="C188" s="392" t="s">
        <v>638</v>
      </c>
      <c r="D188" s="396" t="s">
        <v>641</v>
      </c>
      <c r="E188" s="392" t="s">
        <v>178</v>
      </c>
      <c r="F188" s="352">
        <v>1</v>
      </c>
      <c r="G188" s="352">
        <v>1</v>
      </c>
      <c r="H188" s="352">
        <v>1</v>
      </c>
      <c r="I188" s="352">
        <v>1</v>
      </c>
      <c r="J188" s="352">
        <v>1</v>
      </c>
      <c r="K188" s="352">
        <v>1</v>
      </c>
      <c r="L188" s="352">
        <v>1</v>
      </c>
      <c r="M188" s="352">
        <v>1</v>
      </c>
      <c r="N188" s="352">
        <v>1</v>
      </c>
      <c r="O188" s="352">
        <v>1</v>
      </c>
      <c r="P188" s="352">
        <v>1</v>
      </c>
      <c r="Q188" s="352">
        <v>1</v>
      </c>
      <c r="R188" s="352">
        <v>1</v>
      </c>
      <c r="S188" s="352">
        <v>1</v>
      </c>
      <c r="T188" s="352">
        <v>1</v>
      </c>
      <c r="U188" s="356" t="s">
        <v>640</v>
      </c>
      <c r="V188" s="737"/>
    </row>
    <row r="189" spans="2:22" x14ac:dyDescent="0.2">
      <c r="B189" s="392" t="str">
        <f t="shared" si="3"/>
        <v>PentC-PenetrationShare</v>
      </c>
      <c r="C189" s="392" t="s">
        <v>638</v>
      </c>
      <c r="D189" s="396" t="s">
        <v>642</v>
      </c>
      <c r="E189" s="392" t="s">
        <v>178</v>
      </c>
      <c r="F189" s="352">
        <v>0</v>
      </c>
      <c r="G189" s="352">
        <v>0</v>
      </c>
      <c r="H189" s="352">
        <v>0</v>
      </c>
      <c r="I189" s="352">
        <v>0</v>
      </c>
      <c r="J189" s="352">
        <v>0</v>
      </c>
      <c r="K189" s="352">
        <v>0</v>
      </c>
      <c r="L189" s="352">
        <v>0</v>
      </c>
      <c r="M189" s="352">
        <v>0</v>
      </c>
      <c r="N189" s="352">
        <v>0</v>
      </c>
      <c r="O189" s="352">
        <v>0</v>
      </c>
      <c r="P189" s="352">
        <v>0</v>
      </c>
      <c r="Q189" s="352">
        <v>0</v>
      </c>
      <c r="R189" s="352">
        <v>0</v>
      </c>
      <c r="S189" s="352">
        <v>0</v>
      </c>
      <c r="T189" s="352">
        <v>0</v>
      </c>
      <c r="U189" s="356" t="s">
        <v>640</v>
      </c>
      <c r="V189" s="737"/>
    </row>
    <row r="190" spans="2:22" x14ac:dyDescent="0.2">
      <c r="B190" s="392" t="str">
        <f t="shared" si="3"/>
        <v>PentOps-PenetrationShare</v>
      </c>
      <c r="C190" s="392" t="s">
        <v>638</v>
      </c>
      <c r="D190" s="396" t="s">
        <v>643</v>
      </c>
      <c r="E190" s="392" t="s">
        <v>178</v>
      </c>
      <c r="F190" s="352">
        <v>1</v>
      </c>
      <c r="G190" s="352">
        <v>1</v>
      </c>
      <c r="H190" s="352">
        <v>1</v>
      </c>
      <c r="I190" s="352">
        <v>1</v>
      </c>
      <c r="J190" s="352">
        <v>1</v>
      </c>
      <c r="K190" s="352">
        <v>1</v>
      </c>
      <c r="L190" s="352">
        <v>1</v>
      </c>
      <c r="M190" s="352">
        <v>1</v>
      </c>
      <c r="N190" s="352">
        <v>1</v>
      </c>
      <c r="O190" s="352">
        <v>1</v>
      </c>
      <c r="P190" s="352">
        <v>1</v>
      </c>
      <c r="Q190" s="352">
        <v>1</v>
      </c>
      <c r="R190" s="352">
        <v>1</v>
      </c>
      <c r="S190" s="352">
        <v>1</v>
      </c>
      <c r="T190" s="352">
        <v>1</v>
      </c>
      <c r="U190" s="356" t="s">
        <v>640</v>
      </c>
      <c r="V190" s="737"/>
    </row>
    <row r="191" spans="2:22" x14ac:dyDescent="0.2">
      <c r="B191" s="392" t="str">
        <f t="shared" si="3"/>
        <v>Propeller cleaning-Applicable Newbuild</v>
      </c>
      <c r="C191" s="392" t="s">
        <v>621</v>
      </c>
      <c r="D191" s="397" t="s">
        <v>149</v>
      </c>
      <c r="E191" s="392" t="s">
        <v>622</v>
      </c>
      <c r="F191" s="356">
        <v>1</v>
      </c>
      <c r="G191" s="356">
        <v>1</v>
      </c>
      <c r="H191" s="356">
        <v>1</v>
      </c>
      <c r="I191" s="356">
        <v>1</v>
      </c>
      <c r="J191" s="356">
        <v>1</v>
      </c>
      <c r="K191" s="356">
        <v>1</v>
      </c>
      <c r="L191" s="356">
        <v>1</v>
      </c>
      <c r="M191" s="356">
        <v>1</v>
      </c>
      <c r="N191" s="356">
        <v>1</v>
      </c>
      <c r="O191" s="356">
        <v>1</v>
      </c>
      <c r="P191" s="356">
        <v>1</v>
      </c>
      <c r="Q191" s="356">
        <v>1</v>
      </c>
      <c r="R191" s="356">
        <v>1</v>
      </c>
      <c r="S191" s="356">
        <v>1</v>
      </c>
      <c r="T191" s="356">
        <v>1</v>
      </c>
      <c r="U191" s="356" t="s">
        <v>625</v>
      </c>
      <c r="V191" s="356"/>
    </row>
    <row r="192" spans="2:22" x14ac:dyDescent="0.2">
      <c r="B192" s="392" t="str">
        <f t="shared" si="3"/>
        <v>Propeller cleaning-Applicable Retrofit</v>
      </c>
      <c r="C192" s="392" t="s">
        <v>629</v>
      </c>
      <c r="D192" s="397" t="s">
        <v>149</v>
      </c>
      <c r="E192" s="392" t="s">
        <v>622</v>
      </c>
      <c r="F192" s="356">
        <v>1</v>
      </c>
      <c r="G192" s="356">
        <v>1</v>
      </c>
      <c r="H192" s="356">
        <v>1</v>
      </c>
      <c r="I192" s="356">
        <v>1</v>
      </c>
      <c r="J192" s="356">
        <v>1</v>
      </c>
      <c r="K192" s="356">
        <v>1</v>
      </c>
      <c r="L192" s="356">
        <v>1</v>
      </c>
      <c r="M192" s="356">
        <v>1</v>
      </c>
      <c r="N192" s="356">
        <v>1</v>
      </c>
      <c r="O192" s="356">
        <v>1</v>
      </c>
      <c r="P192" s="356">
        <v>1</v>
      </c>
      <c r="Q192" s="356">
        <v>1</v>
      </c>
      <c r="R192" s="356">
        <v>1</v>
      </c>
      <c r="S192" s="356">
        <v>1</v>
      </c>
      <c r="T192" s="356">
        <v>1</v>
      </c>
      <c r="U192" s="356" t="s">
        <v>625</v>
      </c>
      <c r="V192" s="356"/>
    </row>
    <row r="193" spans="2:22" x14ac:dyDescent="0.2">
      <c r="B193" s="392" t="str">
        <f t="shared" si="3"/>
        <v>Propeller cleaning-CAPEX</v>
      </c>
      <c r="C193" s="392" t="s">
        <v>50</v>
      </c>
      <c r="D193" s="397" t="s">
        <v>149</v>
      </c>
      <c r="E193" s="392" t="s">
        <v>630</v>
      </c>
      <c r="F193" s="585" cm="1">
        <f t="array" aca="1" ref="F193" ca="1">IFERROR(
_xlfn.IFS(NewBuild_Retrofit_selector="Newbuild",INDEX($B$1:$V$408,MATCH($D193&amp;"-"&amp;"Installation cost",$B$1:$B$408,0),MATCH(F$3,$B$3:$V$3,0))/INDEX($B$1:$V$408,MATCH($D193&amp;"-"&amp;"Lifetime",$B$1:$B$408,0),MATCH(F$3,$B$3:$V$3,0)),
NewBuild_Retrofit_selector="Retrofit",(INDEX($B$1:$V$408,MATCH($D193&amp;"-"&amp;"Installation cost",$B$1:$B$408,0),MATCH(F$3,$B$3:$V$3,0))+INDEX($B$1:$V$408,MATCH($D193&amp;"-"&amp;"Extra retrofit cost",$B$1:$B$408,0),MATCH(F$3,$B$3:$V$3,0)))/INDEX($B$1:$V$408,MATCH($D193&amp;"-"&amp;"Lifetime",$B$1:$B$408,0),MATCH(F$3,$B$3:$V$3,0))),0)</f>
        <v>0</v>
      </c>
      <c r="G193" s="585" cm="1">
        <f t="array" aca="1" ref="G193" ca="1">IFERROR(
_xlfn.IFS(NewBuild_Retrofit_selector="Newbuild",INDEX($B$1:$V$408,MATCH($D193&amp;"-"&amp;"Installation cost",$B$1:$B$408,0),MATCH(G$3,$B$3:$V$3,0))/INDEX($B$1:$V$408,MATCH($D193&amp;"-"&amp;"Lifetime",$B$1:$B$408,0),MATCH(G$3,$B$3:$V$3,0)),
NewBuild_Retrofit_selector="Retrofit",(INDEX($B$1:$V$408,MATCH($D193&amp;"-"&amp;"Installation cost",$B$1:$B$408,0),MATCH(G$3,$B$3:$V$3,0))+INDEX($B$1:$V$408,MATCH($D193&amp;"-"&amp;"Extra retrofit cost",$B$1:$B$408,0),MATCH(G$3,$B$3:$V$3,0)))/INDEX($B$1:$V$408,MATCH($D193&amp;"-"&amp;"Lifetime",$B$1:$B$408,0),MATCH(G$3,$B$3:$V$3,0))),0)</f>
        <v>0</v>
      </c>
      <c r="H193" s="585" cm="1">
        <f t="array" aca="1" ref="H193" ca="1">IFERROR(
_xlfn.IFS(NewBuild_Retrofit_selector="Newbuild",INDEX($B$1:$V$408,MATCH($D193&amp;"-"&amp;"Installation cost",$B$1:$B$408,0),MATCH(H$3,$B$3:$V$3,0))/INDEX($B$1:$V$408,MATCH($D193&amp;"-"&amp;"Lifetime",$B$1:$B$408,0),MATCH(H$3,$B$3:$V$3,0)),
NewBuild_Retrofit_selector="Retrofit",(INDEX($B$1:$V$408,MATCH($D193&amp;"-"&amp;"Installation cost",$B$1:$B$408,0),MATCH(H$3,$B$3:$V$3,0))+INDEX($B$1:$V$408,MATCH($D193&amp;"-"&amp;"Extra retrofit cost",$B$1:$B$408,0),MATCH(H$3,$B$3:$V$3,0)))/INDEX($B$1:$V$408,MATCH($D193&amp;"-"&amp;"Lifetime",$B$1:$B$408,0),MATCH(H$3,$B$3:$V$3,0))),0)</f>
        <v>0</v>
      </c>
      <c r="I193" s="585" cm="1">
        <f t="array" aca="1" ref="I193" ca="1">IFERROR(
_xlfn.IFS(NewBuild_Retrofit_selector="Newbuild",INDEX($B$1:$V$408,MATCH($D193&amp;"-"&amp;"Installation cost",$B$1:$B$408,0),MATCH(I$3,$B$3:$V$3,0))/INDEX($B$1:$V$408,MATCH($D193&amp;"-"&amp;"Lifetime",$B$1:$B$408,0),MATCH(I$3,$B$3:$V$3,0)),
NewBuild_Retrofit_selector="Retrofit",(INDEX($B$1:$V$408,MATCH($D193&amp;"-"&amp;"Installation cost",$B$1:$B$408,0),MATCH(I$3,$B$3:$V$3,0))+INDEX($B$1:$V$408,MATCH($D193&amp;"-"&amp;"Extra retrofit cost",$B$1:$B$408,0),MATCH(I$3,$B$3:$V$3,0)))/INDEX($B$1:$V$408,MATCH($D193&amp;"-"&amp;"Lifetime",$B$1:$B$408,0),MATCH(I$3,$B$3:$V$3,0))),0)</f>
        <v>0</v>
      </c>
      <c r="J193" s="585" cm="1">
        <f t="array" aca="1" ref="J193" ca="1">IFERROR(
_xlfn.IFS(NewBuild_Retrofit_selector="Newbuild",INDEX($B$1:$V$408,MATCH($D193&amp;"-"&amp;"Installation cost",$B$1:$B$408,0),MATCH(J$3,$B$3:$V$3,0))/INDEX($B$1:$V$408,MATCH($D193&amp;"-"&amp;"Lifetime",$B$1:$B$408,0),MATCH(J$3,$B$3:$V$3,0)),
NewBuild_Retrofit_selector="Retrofit",(INDEX($B$1:$V$408,MATCH($D193&amp;"-"&amp;"Installation cost",$B$1:$B$408,0),MATCH(J$3,$B$3:$V$3,0))+INDEX($B$1:$V$408,MATCH($D193&amp;"-"&amp;"Extra retrofit cost",$B$1:$B$408,0),MATCH(J$3,$B$3:$V$3,0)))/INDEX($B$1:$V$408,MATCH($D193&amp;"-"&amp;"Lifetime",$B$1:$B$408,0),MATCH(J$3,$B$3:$V$3,0))),0)</f>
        <v>0</v>
      </c>
      <c r="K193" s="585" cm="1">
        <f t="array" aca="1" ref="K193" ca="1">IFERROR(
_xlfn.IFS(NewBuild_Retrofit_selector="Newbuild",INDEX($B$1:$V$408,MATCH($D193&amp;"-"&amp;"Installation cost",$B$1:$B$408,0),MATCH(K$3,$B$3:$V$3,0))/INDEX($B$1:$V$408,MATCH($D193&amp;"-"&amp;"Lifetime",$B$1:$B$408,0),MATCH(K$3,$B$3:$V$3,0)),
NewBuild_Retrofit_selector="Retrofit",(INDEX($B$1:$V$408,MATCH($D193&amp;"-"&amp;"Installation cost",$B$1:$B$408,0),MATCH(K$3,$B$3:$V$3,0))+INDEX($B$1:$V$408,MATCH($D193&amp;"-"&amp;"Extra retrofit cost",$B$1:$B$408,0),MATCH(K$3,$B$3:$V$3,0)))/INDEX($B$1:$V$408,MATCH($D193&amp;"-"&amp;"Lifetime",$B$1:$B$408,0),MATCH(K$3,$B$3:$V$3,0))),0)</f>
        <v>0</v>
      </c>
      <c r="L193" s="585" cm="1">
        <f t="array" aca="1" ref="L193" ca="1">IFERROR(
_xlfn.IFS(NewBuild_Retrofit_selector="Newbuild",INDEX($B$1:$V$408,MATCH($D193&amp;"-"&amp;"Installation cost",$B$1:$B$408,0),MATCH(L$3,$B$3:$V$3,0))/INDEX($B$1:$V$408,MATCH($D193&amp;"-"&amp;"Lifetime",$B$1:$B$408,0),MATCH(L$3,$B$3:$V$3,0)),
NewBuild_Retrofit_selector="Retrofit",(INDEX($B$1:$V$408,MATCH($D193&amp;"-"&amp;"Installation cost",$B$1:$B$408,0),MATCH(L$3,$B$3:$V$3,0))+INDEX($B$1:$V$408,MATCH($D193&amp;"-"&amp;"Extra retrofit cost",$B$1:$B$408,0),MATCH(L$3,$B$3:$V$3,0)))/INDEX($B$1:$V$408,MATCH($D193&amp;"-"&amp;"Lifetime",$B$1:$B$408,0),MATCH(L$3,$B$3:$V$3,0))),0)</f>
        <v>0</v>
      </c>
      <c r="M193" s="585" cm="1">
        <f t="array" aca="1" ref="M193" ca="1">IFERROR(
_xlfn.IFS(NewBuild_Retrofit_selector="Newbuild",INDEX($B$1:$V$408,MATCH($D193&amp;"-"&amp;"Installation cost",$B$1:$B$408,0),MATCH(M$3,$B$3:$V$3,0))/INDEX($B$1:$V$408,MATCH($D193&amp;"-"&amp;"Lifetime",$B$1:$B$408,0),MATCH(M$3,$B$3:$V$3,0)),
NewBuild_Retrofit_selector="Retrofit",(INDEX($B$1:$V$408,MATCH($D193&amp;"-"&amp;"Installation cost",$B$1:$B$408,0),MATCH(M$3,$B$3:$V$3,0))+INDEX($B$1:$V$408,MATCH($D193&amp;"-"&amp;"Extra retrofit cost",$B$1:$B$408,0),MATCH(M$3,$B$3:$V$3,0)))/INDEX($B$1:$V$408,MATCH($D193&amp;"-"&amp;"Lifetime",$B$1:$B$408,0),MATCH(M$3,$B$3:$V$3,0))),0)</f>
        <v>0</v>
      </c>
      <c r="N193" s="585" cm="1">
        <f t="array" aca="1" ref="N193" ca="1">IFERROR(
_xlfn.IFS(NewBuild_Retrofit_selector="Newbuild",INDEX($B$1:$V$408,MATCH($D193&amp;"-"&amp;"Installation cost",$B$1:$B$408,0),MATCH(N$3,$B$3:$V$3,0))/INDEX($B$1:$V$408,MATCH($D193&amp;"-"&amp;"Lifetime",$B$1:$B$408,0),MATCH(N$3,$B$3:$V$3,0)),
NewBuild_Retrofit_selector="Retrofit",(INDEX($B$1:$V$408,MATCH($D193&amp;"-"&amp;"Installation cost",$B$1:$B$408,0),MATCH(N$3,$B$3:$V$3,0))+INDEX($B$1:$V$408,MATCH($D193&amp;"-"&amp;"Extra retrofit cost",$B$1:$B$408,0),MATCH(N$3,$B$3:$V$3,0)))/INDEX($B$1:$V$408,MATCH($D193&amp;"-"&amp;"Lifetime",$B$1:$B$408,0),MATCH(N$3,$B$3:$V$3,0))),0)</f>
        <v>0</v>
      </c>
      <c r="O193" s="585" cm="1">
        <f t="array" aca="1" ref="O193" ca="1">IFERROR(
_xlfn.IFS(NewBuild_Retrofit_selector="Newbuild",INDEX($B$1:$V$408,MATCH($D193&amp;"-"&amp;"Installation cost",$B$1:$B$408,0),MATCH(O$3,$B$3:$V$3,0))/INDEX($B$1:$V$408,MATCH($D193&amp;"-"&amp;"Lifetime",$B$1:$B$408,0),MATCH(O$3,$B$3:$V$3,0)),
NewBuild_Retrofit_selector="Retrofit",(INDEX($B$1:$V$408,MATCH($D193&amp;"-"&amp;"Installation cost",$B$1:$B$408,0),MATCH(O$3,$B$3:$V$3,0))+INDEX($B$1:$V$408,MATCH($D193&amp;"-"&amp;"Extra retrofit cost",$B$1:$B$408,0),MATCH(O$3,$B$3:$V$3,0)))/INDEX($B$1:$V$408,MATCH($D193&amp;"-"&amp;"Lifetime",$B$1:$B$408,0),MATCH(O$3,$B$3:$V$3,0))),0)</f>
        <v>0</v>
      </c>
      <c r="P193" s="585" cm="1">
        <f t="array" aca="1" ref="P193" ca="1">IFERROR(
_xlfn.IFS(NewBuild_Retrofit_selector="Newbuild",INDEX($B$1:$V$408,MATCH($D193&amp;"-"&amp;"Installation cost",$B$1:$B$408,0),MATCH(P$3,$B$3:$V$3,0))/INDEX($B$1:$V$408,MATCH($D193&amp;"-"&amp;"Lifetime",$B$1:$B$408,0),MATCH(P$3,$B$3:$V$3,0)),
NewBuild_Retrofit_selector="Retrofit",(INDEX($B$1:$V$408,MATCH($D193&amp;"-"&amp;"Installation cost",$B$1:$B$408,0),MATCH(P$3,$B$3:$V$3,0))+INDEX($B$1:$V$408,MATCH($D193&amp;"-"&amp;"Extra retrofit cost",$B$1:$B$408,0),MATCH(P$3,$B$3:$V$3,0)))/INDEX($B$1:$V$408,MATCH($D193&amp;"-"&amp;"Lifetime",$B$1:$B$408,0),MATCH(P$3,$B$3:$V$3,0))),0)</f>
        <v>0</v>
      </c>
      <c r="Q193" s="585" cm="1">
        <f t="array" aca="1" ref="Q193" ca="1">IFERROR(
_xlfn.IFS(NewBuild_Retrofit_selector="Newbuild",INDEX($B$1:$V$408,MATCH($D193&amp;"-"&amp;"Installation cost",$B$1:$B$408,0),MATCH(Q$3,$B$3:$V$3,0))/INDEX($B$1:$V$408,MATCH($D193&amp;"-"&amp;"Lifetime",$B$1:$B$408,0),MATCH(Q$3,$B$3:$V$3,0)),
NewBuild_Retrofit_selector="Retrofit",(INDEX($B$1:$V$408,MATCH($D193&amp;"-"&amp;"Installation cost",$B$1:$B$408,0),MATCH(Q$3,$B$3:$V$3,0))+INDEX($B$1:$V$408,MATCH($D193&amp;"-"&amp;"Extra retrofit cost",$B$1:$B$408,0),MATCH(Q$3,$B$3:$V$3,0)))/INDEX($B$1:$V$408,MATCH($D193&amp;"-"&amp;"Lifetime",$B$1:$B$408,0),MATCH(Q$3,$B$3:$V$3,0))),0)</f>
        <v>0</v>
      </c>
      <c r="R193" s="585" cm="1">
        <f t="array" aca="1" ref="R193" ca="1">IFERROR(
_xlfn.IFS(NewBuild_Retrofit_selector="Newbuild",INDEX($B$1:$V$408,MATCH($D193&amp;"-"&amp;"Installation cost",$B$1:$B$408,0),MATCH(R$3,$B$3:$V$3,0))/INDEX($B$1:$V$408,MATCH($D193&amp;"-"&amp;"Lifetime",$B$1:$B$408,0),MATCH(R$3,$B$3:$V$3,0)),
NewBuild_Retrofit_selector="Retrofit",(INDEX($B$1:$V$408,MATCH($D193&amp;"-"&amp;"Installation cost",$B$1:$B$408,0),MATCH(R$3,$B$3:$V$3,0))+INDEX($B$1:$V$408,MATCH($D193&amp;"-"&amp;"Extra retrofit cost",$B$1:$B$408,0),MATCH(R$3,$B$3:$V$3,0)))/INDEX($B$1:$V$408,MATCH($D193&amp;"-"&amp;"Lifetime",$B$1:$B$408,0),MATCH(R$3,$B$3:$V$3,0))),0)</f>
        <v>0</v>
      </c>
      <c r="S193" s="585" cm="1">
        <f t="array" aca="1" ref="S193" ca="1">IFERROR(
_xlfn.IFS(NewBuild_Retrofit_selector="Newbuild",INDEX($B$1:$V$408,MATCH($D193&amp;"-"&amp;"Installation cost",$B$1:$B$408,0),MATCH(S$3,$B$3:$V$3,0))/INDEX($B$1:$V$408,MATCH($D193&amp;"-"&amp;"Lifetime",$B$1:$B$408,0),MATCH(S$3,$B$3:$V$3,0)),
NewBuild_Retrofit_selector="Retrofit",(INDEX($B$1:$V$408,MATCH($D193&amp;"-"&amp;"Installation cost",$B$1:$B$408,0),MATCH(S$3,$B$3:$V$3,0))+INDEX($B$1:$V$408,MATCH($D193&amp;"-"&amp;"Extra retrofit cost",$B$1:$B$408,0),MATCH(S$3,$B$3:$V$3,0)))/INDEX($B$1:$V$408,MATCH($D193&amp;"-"&amp;"Lifetime",$B$1:$B$408,0),MATCH(S$3,$B$3:$V$3,0))),0)</f>
        <v>0</v>
      </c>
      <c r="T193" s="585" cm="1">
        <f t="array" aca="1" ref="T193" ca="1">IFERROR(
_xlfn.IFS(NewBuild_Retrofit_selector="Newbuild",INDEX($B$1:$V$408,MATCH($D193&amp;"-"&amp;"Installation cost",$B$1:$B$408,0),MATCH(T$3,$B$3:$V$3,0))/INDEX($B$1:$V$408,MATCH($D193&amp;"-"&amp;"Lifetime",$B$1:$B$408,0),MATCH(T$3,$B$3:$V$3,0)),
NewBuild_Retrofit_selector="Retrofit",(INDEX($B$1:$V$408,MATCH($D193&amp;"-"&amp;"Installation cost",$B$1:$B$408,0),MATCH(T$3,$B$3:$V$3,0))+INDEX($B$1:$V$408,MATCH($D193&amp;"-"&amp;"Extra retrofit cost",$B$1:$B$408,0),MATCH(T$3,$B$3:$V$3,0)))/INDEX($B$1:$V$408,MATCH($D193&amp;"-"&amp;"Lifetime",$B$1:$B$408,0),MATCH(T$3,$B$3:$V$3,0))),0)</f>
        <v>0</v>
      </c>
      <c r="U193" s="356"/>
      <c r="V193" s="356"/>
    </row>
    <row r="194" spans="2:22" x14ac:dyDescent="0.2">
      <c r="B194" s="392" t="str">
        <f t="shared" si="3"/>
        <v>Propeller cleaning-Extra retrofit cost</v>
      </c>
      <c r="C194" s="392" t="s">
        <v>634</v>
      </c>
      <c r="D194" s="397" t="s">
        <v>149</v>
      </c>
      <c r="E194" s="392" t="s">
        <v>635</v>
      </c>
      <c r="F194" s="585">
        <v>0</v>
      </c>
      <c r="G194" s="585">
        <v>0</v>
      </c>
      <c r="H194" s="585">
        <v>0</v>
      </c>
      <c r="I194" s="585">
        <v>0</v>
      </c>
      <c r="J194" s="585">
        <v>0</v>
      </c>
      <c r="K194" s="585">
        <v>0</v>
      </c>
      <c r="L194" s="585">
        <v>0</v>
      </c>
      <c r="M194" s="585">
        <v>0</v>
      </c>
      <c r="N194" s="585">
        <v>0</v>
      </c>
      <c r="O194" s="585">
        <v>0</v>
      </c>
      <c r="P194" s="585">
        <v>0</v>
      </c>
      <c r="Q194" s="585">
        <v>0</v>
      </c>
      <c r="R194" s="585">
        <v>0</v>
      </c>
      <c r="S194" s="585">
        <v>0</v>
      </c>
      <c r="T194" s="585">
        <v>0</v>
      </c>
      <c r="U194" s="356"/>
      <c r="V194" s="356"/>
    </row>
    <row r="195" spans="2:22" x14ac:dyDescent="0.2">
      <c r="B195" s="392" t="str">
        <f t="shared" si="3"/>
        <v>Propeller cleaning-Installation cost</v>
      </c>
      <c r="C195" s="392" t="s">
        <v>452</v>
      </c>
      <c r="D195" s="397" t="s">
        <v>149</v>
      </c>
      <c r="E195" s="392" t="s">
        <v>635</v>
      </c>
      <c r="F195" s="585">
        <v>0</v>
      </c>
      <c r="G195" s="585">
        <v>0</v>
      </c>
      <c r="H195" s="585">
        <v>0</v>
      </c>
      <c r="I195" s="585">
        <v>0</v>
      </c>
      <c r="J195" s="585">
        <v>0</v>
      </c>
      <c r="K195" s="585">
        <v>0</v>
      </c>
      <c r="L195" s="585">
        <v>0</v>
      </c>
      <c r="M195" s="585">
        <v>0</v>
      </c>
      <c r="N195" s="585">
        <v>0</v>
      </c>
      <c r="O195" s="585">
        <v>0</v>
      </c>
      <c r="P195" s="585">
        <v>0</v>
      </c>
      <c r="Q195" s="585">
        <v>0</v>
      </c>
      <c r="R195" s="585">
        <v>0</v>
      </c>
      <c r="S195" s="585">
        <v>0</v>
      </c>
      <c r="T195" s="585">
        <v>0</v>
      </c>
      <c r="U195" s="356" t="s">
        <v>625</v>
      </c>
      <c r="V195" s="356"/>
    </row>
    <row r="196" spans="2:22" x14ac:dyDescent="0.2">
      <c r="B196" s="392" t="str">
        <f t="shared" si="3"/>
        <v>Propeller cleaning-Lifetime</v>
      </c>
      <c r="C196" s="392" t="s">
        <v>520</v>
      </c>
      <c r="D196" s="397" t="s">
        <v>149</v>
      </c>
      <c r="E196" s="392" t="s">
        <v>176</v>
      </c>
      <c r="F196" s="356">
        <v>0.5</v>
      </c>
      <c r="G196" s="356">
        <v>0.5</v>
      </c>
      <c r="H196" s="356">
        <v>0.5</v>
      </c>
      <c r="I196" s="356">
        <v>0.5</v>
      </c>
      <c r="J196" s="356">
        <v>0.5</v>
      </c>
      <c r="K196" s="356">
        <v>0.5</v>
      </c>
      <c r="L196" s="356">
        <v>0.5</v>
      </c>
      <c r="M196" s="356">
        <v>0.5</v>
      </c>
      <c r="N196" s="356">
        <v>0.5</v>
      </c>
      <c r="O196" s="356">
        <v>0.5</v>
      </c>
      <c r="P196" s="356">
        <v>0.5</v>
      </c>
      <c r="Q196" s="356">
        <v>0.5</v>
      </c>
      <c r="R196" s="356">
        <v>0.5</v>
      </c>
      <c r="S196" s="356">
        <v>0.5</v>
      </c>
      <c r="T196" s="356">
        <v>0.5</v>
      </c>
      <c r="U196" s="356" t="s">
        <v>625</v>
      </c>
      <c r="V196" s="356"/>
    </row>
    <row r="197" spans="2:22" x14ac:dyDescent="0.2">
      <c r="B197" s="392" t="str">
        <f t="shared" si="3"/>
        <v>Propeller cleaning-OPEX</v>
      </c>
      <c r="C197" s="392" t="s">
        <v>319</v>
      </c>
      <c r="D197" s="397" t="s">
        <v>149</v>
      </c>
      <c r="E197" s="392" t="s">
        <v>630</v>
      </c>
      <c r="F197" s="585">
        <v>10000</v>
      </c>
      <c r="G197" s="585">
        <v>10000</v>
      </c>
      <c r="H197" s="585">
        <v>10000</v>
      </c>
      <c r="I197" s="585">
        <v>10000</v>
      </c>
      <c r="J197" s="585">
        <v>10000</v>
      </c>
      <c r="K197" s="585">
        <v>10000</v>
      </c>
      <c r="L197" s="585">
        <v>10000</v>
      </c>
      <c r="M197" s="585">
        <v>10000</v>
      </c>
      <c r="N197" s="585">
        <v>10000</v>
      </c>
      <c r="O197" s="585">
        <v>10000</v>
      </c>
      <c r="P197" s="585">
        <v>10000</v>
      </c>
      <c r="Q197" s="585">
        <v>10000</v>
      </c>
      <c r="R197" s="585">
        <v>10000</v>
      </c>
      <c r="S197" s="585">
        <v>10000</v>
      </c>
      <c r="T197" s="585">
        <v>10000</v>
      </c>
      <c r="U197" s="356" t="s">
        <v>627</v>
      </c>
      <c r="V197" s="356"/>
    </row>
    <row r="198" spans="2:22" x14ac:dyDescent="0.2">
      <c r="B198" s="392" t="str">
        <f t="shared" ref="B198:B261" si="4">D198&amp;"-"&amp;C198</f>
        <v>Propeller cleaning-Saving</v>
      </c>
      <c r="C198" s="392" t="s">
        <v>458</v>
      </c>
      <c r="D198" s="398" t="s">
        <v>149</v>
      </c>
      <c r="E198" s="392" t="s">
        <v>178</v>
      </c>
      <c r="F198" s="359">
        <v>5.0000000000000001E-3</v>
      </c>
      <c r="G198" s="359">
        <v>5.0000000000000001E-3</v>
      </c>
      <c r="H198" s="359">
        <v>5.0000000000000001E-3</v>
      </c>
      <c r="I198" s="359">
        <v>0.01</v>
      </c>
      <c r="J198" s="359">
        <v>0.01</v>
      </c>
      <c r="K198" s="359">
        <v>0.01</v>
      </c>
      <c r="L198" s="359">
        <v>0.01</v>
      </c>
      <c r="M198" s="359">
        <v>0.01</v>
      </c>
      <c r="N198" s="359">
        <v>0.01</v>
      </c>
      <c r="O198" s="359">
        <v>5.0000000000000001E-3</v>
      </c>
      <c r="P198" s="359">
        <v>5.0000000000000001E-3</v>
      </c>
      <c r="Q198" s="359">
        <v>5.0000000000000001E-3</v>
      </c>
      <c r="R198" s="359">
        <v>5.0000000000000001E-3</v>
      </c>
      <c r="S198" s="359">
        <v>5.0000000000000001E-3</v>
      </c>
      <c r="T198" s="359">
        <v>5.0000000000000001E-3</v>
      </c>
      <c r="U198" s="356" t="s">
        <v>627</v>
      </c>
      <c r="V198" s="356"/>
    </row>
    <row r="199" spans="2:22" x14ac:dyDescent="0.2">
      <c r="B199" s="392" t="str">
        <f t="shared" si="4"/>
        <v>Propeller cleaning-UptakeNewbuild2020</v>
      </c>
      <c r="C199" s="392" t="s">
        <v>652</v>
      </c>
      <c r="D199" s="397" t="s">
        <v>149</v>
      </c>
      <c r="E199" s="392" t="s">
        <v>178</v>
      </c>
      <c r="F199" s="359">
        <v>0</v>
      </c>
      <c r="G199" s="359">
        <v>0</v>
      </c>
      <c r="H199" s="359">
        <v>0</v>
      </c>
      <c r="I199" s="359">
        <v>0</v>
      </c>
      <c r="J199" s="359">
        <v>0</v>
      </c>
      <c r="K199" s="359">
        <v>0</v>
      </c>
      <c r="L199" s="359">
        <v>0</v>
      </c>
      <c r="M199" s="359">
        <v>0</v>
      </c>
      <c r="N199" s="359">
        <v>0</v>
      </c>
      <c r="O199" s="359">
        <v>0</v>
      </c>
      <c r="P199" s="359">
        <v>0</v>
      </c>
      <c r="Q199" s="359">
        <v>0</v>
      </c>
      <c r="R199" s="359">
        <v>0</v>
      </c>
      <c r="S199" s="359">
        <v>0</v>
      </c>
      <c r="T199" s="359">
        <v>0</v>
      </c>
      <c r="U199" s="356" t="s">
        <v>651</v>
      </c>
      <c r="V199" s="356"/>
    </row>
    <row r="200" spans="2:22" x14ac:dyDescent="0.2">
      <c r="B200" s="392" t="str">
        <f t="shared" si="4"/>
        <v>Propeller cleaning-UptakeFleetAvg2020</v>
      </c>
      <c r="C200" s="392" t="s">
        <v>650</v>
      </c>
      <c r="D200" s="395" t="s">
        <v>149</v>
      </c>
      <c r="E200" s="392" t="s">
        <v>178</v>
      </c>
      <c r="F200" s="359">
        <v>0.25</v>
      </c>
      <c r="G200" s="359">
        <v>0.25</v>
      </c>
      <c r="H200" s="359">
        <v>0.25</v>
      </c>
      <c r="I200" s="359">
        <v>0.25</v>
      </c>
      <c r="J200" s="359">
        <v>0.25</v>
      </c>
      <c r="K200" s="359">
        <v>0.5</v>
      </c>
      <c r="L200" s="359">
        <v>0.5</v>
      </c>
      <c r="M200" s="359">
        <v>0.5</v>
      </c>
      <c r="N200" s="359">
        <v>0.5</v>
      </c>
      <c r="O200" s="359">
        <v>0.25</v>
      </c>
      <c r="P200" s="359">
        <v>0.25</v>
      </c>
      <c r="Q200" s="359">
        <v>0.25</v>
      </c>
      <c r="R200" s="359">
        <v>0.25</v>
      </c>
      <c r="S200" s="359">
        <v>0.25</v>
      </c>
      <c r="T200" s="359">
        <v>0.25</v>
      </c>
      <c r="U200" s="356" t="s">
        <v>627</v>
      </c>
      <c r="V200" s="356"/>
    </row>
    <row r="201" spans="2:22" x14ac:dyDescent="0.2">
      <c r="B201" s="392" t="str">
        <f t="shared" si="4"/>
        <v>Propeller improvement devices-Applicable Newbuild</v>
      </c>
      <c r="C201" s="392" t="s">
        <v>621</v>
      </c>
      <c r="D201" s="395" t="s">
        <v>151</v>
      </c>
      <c r="E201" s="392" t="s">
        <v>622</v>
      </c>
      <c r="F201" s="356">
        <v>1</v>
      </c>
      <c r="G201" s="356">
        <v>1</v>
      </c>
      <c r="H201" s="356">
        <v>1</v>
      </c>
      <c r="I201" s="356">
        <v>1</v>
      </c>
      <c r="J201" s="356">
        <v>1</v>
      </c>
      <c r="K201" s="356">
        <v>1</v>
      </c>
      <c r="L201" s="356">
        <v>1</v>
      </c>
      <c r="M201" s="356">
        <v>1</v>
      </c>
      <c r="N201" s="356">
        <v>1</v>
      </c>
      <c r="O201" s="356">
        <v>1</v>
      </c>
      <c r="P201" s="356">
        <v>1</v>
      </c>
      <c r="Q201" s="356">
        <v>1</v>
      </c>
      <c r="R201" s="356">
        <v>1</v>
      </c>
      <c r="S201" s="356">
        <v>1</v>
      </c>
      <c r="T201" s="356">
        <v>1</v>
      </c>
      <c r="U201" s="356" t="s">
        <v>624</v>
      </c>
      <c r="V201" s="356"/>
    </row>
    <row r="202" spans="2:22" x14ac:dyDescent="0.2">
      <c r="B202" s="392" t="str">
        <f t="shared" si="4"/>
        <v>Propeller improvement devices-Applicable Retrofit</v>
      </c>
      <c r="C202" s="392" t="s">
        <v>629</v>
      </c>
      <c r="D202" s="395" t="s">
        <v>151</v>
      </c>
      <c r="E202" s="392" t="s">
        <v>622</v>
      </c>
      <c r="F202" s="356">
        <v>1</v>
      </c>
      <c r="G202" s="356">
        <v>1</v>
      </c>
      <c r="H202" s="356">
        <v>1</v>
      </c>
      <c r="I202" s="356">
        <v>1</v>
      </c>
      <c r="J202" s="356">
        <v>1</v>
      </c>
      <c r="K202" s="356">
        <v>1</v>
      </c>
      <c r="L202" s="356">
        <v>1</v>
      </c>
      <c r="M202" s="356">
        <v>1</v>
      </c>
      <c r="N202" s="356">
        <v>1</v>
      </c>
      <c r="O202" s="356">
        <v>1</v>
      </c>
      <c r="P202" s="356">
        <v>1</v>
      </c>
      <c r="Q202" s="356">
        <v>1</v>
      </c>
      <c r="R202" s="356">
        <v>1</v>
      </c>
      <c r="S202" s="356">
        <v>1</v>
      </c>
      <c r="T202" s="356">
        <v>1</v>
      </c>
      <c r="U202" s="356" t="s">
        <v>624</v>
      </c>
      <c r="V202" s="356"/>
    </row>
    <row r="203" spans="2:22" x14ac:dyDescent="0.2">
      <c r="B203" s="392" t="str">
        <f t="shared" si="4"/>
        <v>Propeller improvement devices-CAPEX</v>
      </c>
      <c r="C203" s="392" t="s">
        <v>50</v>
      </c>
      <c r="D203" s="395" t="s">
        <v>151</v>
      </c>
      <c r="E203" s="392" t="s">
        <v>630</v>
      </c>
      <c r="F203" s="585" cm="1">
        <f t="array" aca="1" ref="F203" ca="1">IFERROR(
_xlfn.IFS(NewBuild_Retrofit_selector="Newbuild",INDEX($B$1:$V$408,MATCH($D203&amp;"-"&amp;"Installation cost",$B$1:$B$408,0),MATCH(F$3,$B$3:$V$3,0))/INDEX($B$1:$V$408,MATCH($D203&amp;"-"&amp;"Lifetime",$B$1:$B$408,0),MATCH(F$3,$B$3:$V$3,0)),
NewBuild_Retrofit_selector="Retrofit",(INDEX($B$1:$V$408,MATCH($D203&amp;"-"&amp;"Installation cost",$B$1:$B$408,0),MATCH(F$3,$B$3:$V$3,0))+INDEX($B$1:$V$408,MATCH($D203&amp;"-"&amp;"Extra retrofit cost",$B$1:$B$408,0),MATCH(F$3,$B$3:$V$3,0)))/INDEX($B$1:$V$408,MATCH($D203&amp;"-"&amp;"Lifetime",$B$1:$B$408,0),MATCH(F$3,$B$3:$V$3,0))),0)</f>
        <v>0</v>
      </c>
      <c r="G203" s="585" cm="1">
        <f t="array" aca="1" ref="G203" ca="1">IFERROR(
_xlfn.IFS(NewBuild_Retrofit_selector="Newbuild",INDEX($B$1:$V$408,MATCH($D203&amp;"-"&amp;"Installation cost",$B$1:$B$408,0),MATCH(G$3,$B$3:$V$3,0))/INDEX($B$1:$V$408,MATCH($D203&amp;"-"&amp;"Lifetime",$B$1:$B$408,0),MATCH(G$3,$B$3:$V$3,0)),
NewBuild_Retrofit_selector="Retrofit",(INDEX($B$1:$V$408,MATCH($D203&amp;"-"&amp;"Installation cost",$B$1:$B$408,0),MATCH(G$3,$B$3:$V$3,0))+INDEX($B$1:$V$408,MATCH($D203&amp;"-"&amp;"Extra retrofit cost",$B$1:$B$408,0),MATCH(G$3,$B$3:$V$3,0)))/INDEX($B$1:$V$408,MATCH($D203&amp;"-"&amp;"Lifetime",$B$1:$B$408,0),MATCH(G$3,$B$3:$V$3,0))),0)</f>
        <v>0</v>
      </c>
      <c r="H203" s="585" cm="1">
        <f t="array" aca="1" ref="H203" ca="1">IFERROR(
_xlfn.IFS(NewBuild_Retrofit_selector="Newbuild",INDEX($B$1:$V$408,MATCH($D203&amp;"-"&amp;"Installation cost",$B$1:$B$408,0),MATCH(H$3,$B$3:$V$3,0))/INDEX($B$1:$V$408,MATCH($D203&amp;"-"&amp;"Lifetime",$B$1:$B$408,0),MATCH(H$3,$B$3:$V$3,0)),
NewBuild_Retrofit_selector="Retrofit",(INDEX($B$1:$V$408,MATCH($D203&amp;"-"&amp;"Installation cost",$B$1:$B$408,0),MATCH(H$3,$B$3:$V$3,0))+INDEX($B$1:$V$408,MATCH($D203&amp;"-"&amp;"Extra retrofit cost",$B$1:$B$408,0),MATCH(H$3,$B$3:$V$3,0)))/INDEX($B$1:$V$408,MATCH($D203&amp;"-"&amp;"Lifetime",$B$1:$B$408,0),MATCH(H$3,$B$3:$V$3,0))),0)</f>
        <v>0</v>
      </c>
      <c r="I203" s="585" cm="1">
        <f t="array" aca="1" ref="I203" ca="1">IFERROR(
_xlfn.IFS(NewBuild_Retrofit_selector="Newbuild",INDEX($B$1:$V$408,MATCH($D203&amp;"-"&amp;"Installation cost",$B$1:$B$408,0),MATCH(I$3,$B$3:$V$3,0))/INDEX($B$1:$V$408,MATCH($D203&amp;"-"&amp;"Lifetime",$B$1:$B$408,0),MATCH(I$3,$B$3:$V$3,0)),
NewBuild_Retrofit_selector="Retrofit",(INDEX($B$1:$V$408,MATCH($D203&amp;"-"&amp;"Installation cost",$B$1:$B$408,0),MATCH(I$3,$B$3:$V$3,0))+INDEX($B$1:$V$408,MATCH($D203&amp;"-"&amp;"Extra retrofit cost",$B$1:$B$408,0),MATCH(I$3,$B$3:$V$3,0)))/INDEX($B$1:$V$408,MATCH($D203&amp;"-"&amp;"Lifetime",$B$1:$B$408,0),MATCH(I$3,$B$3:$V$3,0))),0)</f>
        <v>0</v>
      </c>
      <c r="J203" s="585" cm="1">
        <f t="array" aca="1" ref="J203" ca="1">IFERROR(
_xlfn.IFS(NewBuild_Retrofit_selector="Newbuild",INDEX($B$1:$V$408,MATCH($D203&amp;"-"&amp;"Installation cost",$B$1:$B$408,0),MATCH(J$3,$B$3:$V$3,0))/INDEX($B$1:$V$408,MATCH($D203&amp;"-"&amp;"Lifetime",$B$1:$B$408,0),MATCH(J$3,$B$3:$V$3,0)),
NewBuild_Retrofit_selector="Retrofit",(INDEX($B$1:$V$408,MATCH($D203&amp;"-"&amp;"Installation cost",$B$1:$B$408,0),MATCH(J$3,$B$3:$V$3,0))+INDEX($B$1:$V$408,MATCH($D203&amp;"-"&amp;"Extra retrofit cost",$B$1:$B$408,0),MATCH(J$3,$B$3:$V$3,0)))/INDEX($B$1:$V$408,MATCH($D203&amp;"-"&amp;"Lifetime",$B$1:$B$408,0),MATCH(J$3,$B$3:$V$3,0))),0)</f>
        <v>0</v>
      </c>
      <c r="K203" s="585" cm="1">
        <f t="array" aca="1" ref="K203" ca="1">IFERROR(
_xlfn.IFS(NewBuild_Retrofit_selector="Newbuild",INDEX($B$1:$V$408,MATCH($D203&amp;"-"&amp;"Installation cost",$B$1:$B$408,0),MATCH(K$3,$B$3:$V$3,0))/INDEX($B$1:$V$408,MATCH($D203&amp;"-"&amp;"Lifetime",$B$1:$B$408,0),MATCH(K$3,$B$3:$V$3,0)),
NewBuild_Retrofit_selector="Retrofit",(INDEX($B$1:$V$408,MATCH($D203&amp;"-"&amp;"Installation cost",$B$1:$B$408,0),MATCH(K$3,$B$3:$V$3,0))+INDEX($B$1:$V$408,MATCH($D203&amp;"-"&amp;"Extra retrofit cost",$B$1:$B$408,0),MATCH(K$3,$B$3:$V$3,0)))/INDEX($B$1:$V$408,MATCH($D203&amp;"-"&amp;"Lifetime",$B$1:$B$408,0),MATCH(K$3,$B$3:$V$3,0))),0)</f>
        <v>0</v>
      </c>
      <c r="L203" s="585" cm="1">
        <f t="array" aca="1" ref="L203" ca="1">IFERROR(
_xlfn.IFS(NewBuild_Retrofit_selector="Newbuild",INDEX($B$1:$V$408,MATCH($D203&amp;"-"&amp;"Installation cost",$B$1:$B$408,0),MATCH(L$3,$B$3:$V$3,0))/INDEX($B$1:$V$408,MATCH($D203&amp;"-"&amp;"Lifetime",$B$1:$B$408,0),MATCH(L$3,$B$3:$V$3,0)),
NewBuild_Retrofit_selector="Retrofit",(INDEX($B$1:$V$408,MATCH($D203&amp;"-"&amp;"Installation cost",$B$1:$B$408,0),MATCH(L$3,$B$3:$V$3,0))+INDEX($B$1:$V$408,MATCH($D203&amp;"-"&amp;"Extra retrofit cost",$B$1:$B$408,0),MATCH(L$3,$B$3:$V$3,0)))/INDEX($B$1:$V$408,MATCH($D203&amp;"-"&amp;"Lifetime",$B$1:$B$408,0),MATCH(L$3,$B$3:$V$3,0))),0)</f>
        <v>0</v>
      </c>
      <c r="M203" s="585" cm="1">
        <f t="array" aca="1" ref="M203" ca="1">IFERROR(
_xlfn.IFS(NewBuild_Retrofit_selector="Newbuild",INDEX($B$1:$V$408,MATCH($D203&amp;"-"&amp;"Installation cost",$B$1:$B$408,0),MATCH(M$3,$B$3:$V$3,0))/INDEX($B$1:$V$408,MATCH($D203&amp;"-"&amp;"Lifetime",$B$1:$B$408,0),MATCH(M$3,$B$3:$V$3,0)),
NewBuild_Retrofit_selector="Retrofit",(INDEX($B$1:$V$408,MATCH($D203&amp;"-"&amp;"Installation cost",$B$1:$B$408,0),MATCH(M$3,$B$3:$V$3,0))+INDEX($B$1:$V$408,MATCH($D203&amp;"-"&amp;"Extra retrofit cost",$B$1:$B$408,0),MATCH(M$3,$B$3:$V$3,0)))/INDEX($B$1:$V$408,MATCH($D203&amp;"-"&amp;"Lifetime",$B$1:$B$408,0),MATCH(M$3,$B$3:$V$3,0))),0)</f>
        <v>0</v>
      </c>
      <c r="N203" s="585" cm="1">
        <f t="array" aca="1" ref="N203" ca="1">IFERROR(
_xlfn.IFS(NewBuild_Retrofit_selector="Newbuild",INDEX($B$1:$V$408,MATCH($D203&amp;"-"&amp;"Installation cost",$B$1:$B$408,0),MATCH(N$3,$B$3:$V$3,0))/INDEX($B$1:$V$408,MATCH($D203&amp;"-"&amp;"Lifetime",$B$1:$B$408,0),MATCH(N$3,$B$3:$V$3,0)),
NewBuild_Retrofit_selector="Retrofit",(INDEX($B$1:$V$408,MATCH($D203&amp;"-"&amp;"Installation cost",$B$1:$B$408,0),MATCH(N$3,$B$3:$V$3,0))+INDEX($B$1:$V$408,MATCH($D203&amp;"-"&amp;"Extra retrofit cost",$B$1:$B$408,0),MATCH(N$3,$B$3:$V$3,0)))/INDEX($B$1:$V$408,MATCH($D203&amp;"-"&amp;"Lifetime",$B$1:$B$408,0),MATCH(N$3,$B$3:$V$3,0))),0)</f>
        <v>0</v>
      </c>
      <c r="O203" s="585" cm="1">
        <f t="array" aca="1" ref="O203" ca="1">IFERROR(
_xlfn.IFS(NewBuild_Retrofit_selector="Newbuild",INDEX($B$1:$V$408,MATCH($D203&amp;"-"&amp;"Installation cost",$B$1:$B$408,0),MATCH(O$3,$B$3:$V$3,0))/INDEX($B$1:$V$408,MATCH($D203&amp;"-"&amp;"Lifetime",$B$1:$B$408,0),MATCH(O$3,$B$3:$V$3,0)),
NewBuild_Retrofit_selector="Retrofit",(INDEX($B$1:$V$408,MATCH($D203&amp;"-"&amp;"Installation cost",$B$1:$B$408,0),MATCH(O$3,$B$3:$V$3,0))+INDEX($B$1:$V$408,MATCH($D203&amp;"-"&amp;"Extra retrofit cost",$B$1:$B$408,0),MATCH(O$3,$B$3:$V$3,0)))/INDEX($B$1:$V$408,MATCH($D203&amp;"-"&amp;"Lifetime",$B$1:$B$408,0),MATCH(O$3,$B$3:$V$3,0))),0)</f>
        <v>0</v>
      </c>
      <c r="P203" s="585" cm="1">
        <f t="array" aca="1" ref="P203" ca="1">IFERROR(
_xlfn.IFS(NewBuild_Retrofit_selector="Newbuild",INDEX($B$1:$V$408,MATCH($D203&amp;"-"&amp;"Installation cost",$B$1:$B$408,0),MATCH(P$3,$B$3:$V$3,0))/INDEX($B$1:$V$408,MATCH($D203&amp;"-"&amp;"Lifetime",$B$1:$B$408,0),MATCH(P$3,$B$3:$V$3,0)),
NewBuild_Retrofit_selector="Retrofit",(INDEX($B$1:$V$408,MATCH($D203&amp;"-"&amp;"Installation cost",$B$1:$B$408,0),MATCH(P$3,$B$3:$V$3,0))+INDEX($B$1:$V$408,MATCH($D203&amp;"-"&amp;"Extra retrofit cost",$B$1:$B$408,0),MATCH(P$3,$B$3:$V$3,0)))/INDEX($B$1:$V$408,MATCH($D203&amp;"-"&amp;"Lifetime",$B$1:$B$408,0),MATCH(P$3,$B$3:$V$3,0))),0)</f>
        <v>0</v>
      </c>
      <c r="Q203" s="585" cm="1">
        <f t="array" aca="1" ref="Q203" ca="1">IFERROR(
_xlfn.IFS(NewBuild_Retrofit_selector="Newbuild",INDEX($B$1:$V$408,MATCH($D203&amp;"-"&amp;"Installation cost",$B$1:$B$408,0),MATCH(Q$3,$B$3:$V$3,0))/INDEX($B$1:$V$408,MATCH($D203&amp;"-"&amp;"Lifetime",$B$1:$B$408,0),MATCH(Q$3,$B$3:$V$3,0)),
NewBuild_Retrofit_selector="Retrofit",(INDEX($B$1:$V$408,MATCH($D203&amp;"-"&amp;"Installation cost",$B$1:$B$408,0),MATCH(Q$3,$B$3:$V$3,0))+INDEX($B$1:$V$408,MATCH($D203&amp;"-"&amp;"Extra retrofit cost",$B$1:$B$408,0),MATCH(Q$3,$B$3:$V$3,0)))/INDEX($B$1:$V$408,MATCH($D203&amp;"-"&amp;"Lifetime",$B$1:$B$408,0),MATCH(Q$3,$B$3:$V$3,0))),0)</f>
        <v>0</v>
      </c>
      <c r="R203" s="585" cm="1">
        <f t="array" aca="1" ref="R203" ca="1">IFERROR(
_xlfn.IFS(NewBuild_Retrofit_selector="Newbuild",INDEX($B$1:$V$408,MATCH($D203&amp;"-"&amp;"Installation cost",$B$1:$B$408,0),MATCH(R$3,$B$3:$V$3,0))/INDEX($B$1:$V$408,MATCH($D203&amp;"-"&amp;"Lifetime",$B$1:$B$408,0),MATCH(R$3,$B$3:$V$3,0)),
NewBuild_Retrofit_selector="Retrofit",(INDEX($B$1:$V$408,MATCH($D203&amp;"-"&amp;"Installation cost",$B$1:$B$408,0),MATCH(R$3,$B$3:$V$3,0))+INDEX($B$1:$V$408,MATCH($D203&amp;"-"&amp;"Extra retrofit cost",$B$1:$B$408,0),MATCH(R$3,$B$3:$V$3,0)))/INDEX($B$1:$V$408,MATCH($D203&amp;"-"&amp;"Lifetime",$B$1:$B$408,0),MATCH(R$3,$B$3:$V$3,0))),0)</f>
        <v>0</v>
      </c>
      <c r="S203" s="585" cm="1">
        <f t="array" aca="1" ref="S203" ca="1">IFERROR(
_xlfn.IFS(NewBuild_Retrofit_selector="Newbuild",INDEX($B$1:$V$408,MATCH($D203&amp;"-"&amp;"Installation cost",$B$1:$B$408,0),MATCH(S$3,$B$3:$V$3,0))/INDEX($B$1:$V$408,MATCH($D203&amp;"-"&amp;"Lifetime",$B$1:$B$408,0),MATCH(S$3,$B$3:$V$3,0)),
NewBuild_Retrofit_selector="Retrofit",(INDEX($B$1:$V$408,MATCH($D203&amp;"-"&amp;"Installation cost",$B$1:$B$408,0),MATCH(S$3,$B$3:$V$3,0))+INDEX($B$1:$V$408,MATCH($D203&amp;"-"&amp;"Extra retrofit cost",$B$1:$B$408,0),MATCH(S$3,$B$3:$V$3,0)))/INDEX($B$1:$V$408,MATCH($D203&amp;"-"&amp;"Lifetime",$B$1:$B$408,0),MATCH(S$3,$B$3:$V$3,0))),0)</f>
        <v>0</v>
      </c>
      <c r="T203" s="585" cm="1">
        <f t="array" aca="1" ref="T203" ca="1">IFERROR(
_xlfn.IFS(NewBuild_Retrofit_selector="Newbuild",INDEX($B$1:$V$408,MATCH($D203&amp;"-"&amp;"Installation cost",$B$1:$B$408,0),MATCH(T$3,$B$3:$V$3,0))/INDEX($B$1:$V$408,MATCH($D203&amp;"-"&amp;"Lifetime",$B$1:$B$408,0),MATCH(T$3,$B$3:$V$3,0)),
NewBuild_Retrofit_selector="Retrofit",(INDEX($B$1:$V$408,MATCH($D203&amp;"-"&amp;"Installation cost",$B$1:$B$408,0),MATCH(T$3,$B$3:$V$3,0))+INDEX($B$1:$V$408,MATCH($D203&amp;"-"&amp;"Extra retrofit cost",$B$1:$B$408,0),MATCH(T$3,$B$3:$V$3,0)))/INDEX($B$1:$V$408,MATCH($D203&amp;"-"&amp;"Lifetime",$B$1:$B$408,0),MATCH(T$3,$B$3:$V$3,0))),0)</f>
        <v>0</v>
      </c>
      <c r="U203" s="356"/>
      <c r="V203" s="356"/>
    </row>
    <row r="204" spans="2:22" x14ac:dyDescent="0.2">
      <c r="B204" s="392" t="str">
        <f t="shared" si="4"/>
        <v>Propeller improvement devices-Extra retrofit cost</v>
      </c>
      <c r="C204" s="392" t="s">
        <v>634</v>
      </c>
      <c r="D204" s="395" t="s">
        <v>151</v>
      </c>
      <c r="E204" s="392" t="s">
        <v>635</v>
      </c>
      <c r="F204" s="585">
        <v>39999.999999999993</v>
      </c>
      <c r="G204" s="585">
        <v>39999.999999999993</v>
      </c>
      <c r="H204" s="585">
        <v>39999.999999999993</v>
      </c>
      <c r="I204" s="585">
        <v>39999.999999999993</v>
      </c>
      <c r="J204" s="585">
        <v>39999.999999999993</v>
      </c>
      <c r="K204" s="585">
        <v>39999.999999999993</v>
      </c>
      <c r="L204" s="585">
        <v>39999.999999999993</v>
      </c>
      <c r="M204" s="585">
        <v>39999.999999999993</v>
      </c>
      <c r="N204" s="585">
        <v>39999.999999999993</v>
      </c>
      <c r="O204" s="585">
        <v>39999.999999999993</v>
      </c>
      <c r="P204" s="585">
        <v>39999.999999999993</v>
      </c>
      <c r="Q204" s="585">
        <v>39999.999999999993</v>
      </c>
      <c r="R204" s="585">
        <v>39999.999999999993</v>
      </c>
      <c r="S204" s="585">
        <v>39999.999999999993</v>
      </c>
      <c r="T204" s="585">
        <v>39999.999999999993</v>
      </c>
      <c r="U204" s="356"/>
      <c r="V204" s="356"/>
    </row>
    <row r="205" spans="2:22" x14ac:dyDescent="0.2">
      <c r="B205" s="392" t="str">
        <f t="shared" si="4"/>
        <v>Propeller improvement devices-Installation cost</v>
      </c>
      <c r="C205" s="392" t="s">
        <v>452</v>
      </c>
      <c r="D205" s="395" t="s">
        <v>151</v>
      </c>
      <c r="E205" s="392" t="s">
        <v>635</v>
      </c>
      <c r="F205" s="585">
        <v>100000</v>
      </c>
      <c r="G205" s="585">
        <v>150000</v>
      </c>
      <c r="H205" s="585">
        <v>200000</v>
      </c>
      <c r="I205" s="585">
        <v>100000</v>
      </c>
      <c r="J205" s="585">
        <v>150000</v>
      </c>
      <c r="K205" s="585">
        <v>200000</v>
      </c>
      <c r="L205" s="585">
        <v>100000</v>
      </c>
      <c r="M205" s="585">
        <v>150000</v>
      </c>
      <c r="N205" s="585">
        <v>200000</v>
      </c>
      <c r="O205" s="585">
        <v>100000</v>
      </c>
      <c r="P205" s="585">
        <v>150000</v>
      </c>
      <c r="Q205" s="585">
        <v>200000</v>
      </c>
      <c r="R205" s="585">
        <v>100000</v>
      </c>
      <c r="S205" s="585">
        <v>150000</v>
      </c>
      <c r="T205" s="585">
        <v>200000</v>
      </c>
      <c r="U205" s="356" t="s">
        <v>628</v>
      </c>
      <c r="V205" s="356"/>
    </row>
    <row r="206" spans="2:22" x14ac:dyDescent="0.2">
      <c r="B206" s="392" t="str">
        <f t="shared" si="4"/>
        <v>Propeller improvement devices-Lifetime</v>
      </c>
      <c r="C206" s="392" t="s">
        <v>520</v>
      </c>
      <c r="D206" s="395" t="s">
        <v>151</v>
      </c>
      <c r="E206" s="392" t="s">
        <v>176</v>
      </c>
      <c r="F206" s="356">
        <v>25</v>
      </c>
      <c r="G206" s="356">
        <v>25</v>
      </c>
      <c r="H206" s="356">
        <v>25</v>
      </c>
      <c r="I206" s="356">
        <v>25</v>
      </c>
      <c r="J206" s="356">
        <v>25</v>
      </c>
      <c r="K206" s="356">
        <v>25</v>
      </c>
      <c r="L206" s="356">
        <v>25</v>
      </c>
      <c r="M206" s="356">
        <v>25</v>
      </c>
      <c r="N206" s="356">
        <v>25</v>
      </c>
      <c r="O206" s="356">
        <v>25</v>
      </c>
      <c r="P206" s="356">
        <v>25</v>
      </c>
      <c r="Q206" s="356">
        <v>25</v>
      </c>
      <c r="R206" s="356">
        <v>25</v>
      </c>
      <c r="S206" s="356">
        <v>25</v>
      </c>
      <c r="T206" s="356">
        <v>25</v>
      </c>
      <c r="U206" s="356" t="s">
        <v>625</v>
      </c>
      <c r="V206" s="356"/>
    </row>
    <row r="207" spans="2:22" x14ac:dyDescent="0.2">
      <c r="B207" s="392" t="str">
        <f t="shared" si="4"/>
        <v>Propeller improvement devices-OPEX</v>
      </c>
      <c r="C207" s="392" t="s">
        <v>319</v>
      </c>
      <c r="D207" s="395" t="s">
        <v>151</v>
      </c>
      <c r="E207" s="392" t="s">
        <v>630</v>
      </c>
      <c r="F207" s="585">
        <v>0</v>
      </c>
      <c r="G207" s="585">
        <v>0</v>
      </c>
      <c r="H207" s="585">
        <v>0</v>
      </c>
      <c r="I207" s="585">
        <v>0</v>
      </c>
      <c r="J207" s="585">
        <v>0</v>
      </c>
      <c r="K207" s="585">
        <v>0</v>
      </c>
      <c r="L207" s="585">
        <v>0</v>
      </c>
      <c r="M207" s="585">
        <v>0</v>
      </c>
      <c r="N207" s="585">
        <v>0</v>
      </c>
      <c r="O207" s="585">
        <v>0</v>
      </c>
      <c r="P207" s="585">
        <v>0</v>
      </c>
      <c r="Q207" s="585">
        <v>0</v>
      </c>
      <c r="R207" s="585">
        <v>0</v>
      </c>
      <c r="S207" s="585">
        <v>0</v>
      </c>
      <c r="T207" s="585">
        <v>0</v>
      </c>
      <c r="U207" s="356"/>
      <c r="V207" s="356"/>
    </row>
    <row r="208" spans="2:22" x14ac:dyDescent="0.2">
      <c r="B208" s="392" t="str">
        <f t="shared" si="4"/>
        <v>Propeller improvement devices-Saving</v>
      </c>
      <c r="C208" s="392" t="s">
        <v>458</v>
      </c>
      <c r="D208" s="397" t="s">
        <v>151</v>
      </c>
      <c r="E208" s="392" t="s">
        <v>178</v>
      </c>
      <c r="F208" s="359">
        <v>0.03</v>
      </c>
      <c r="G208" s="359">
        <v>0.03</v>
      </c>
      <c r="H208" s="359">
        <v>0.03</v>
      </c>
      <c r="I208" s="359">
        <v>0.02</v>
      </c>
      <c r="J208" s="359">
        <v>0.02</v>
      </c>
      <c r="K208" s="359">
        <v>0.02</v>
      </c>
      <c r="L208" s="359">
        <v>0.02</v>
      </c>
      <c r="M208" s="359">
        <v>0.02</v>
      </c>
      <c r="N208" s="359">
        <v>0.02</v>
      </c>
      <c r="O208" s="359">
        <v>0.03</v>
      </c>
      <c r="P208" s="359">
        <v>0.03</v>
      </c>
      <c r="Q208" s="359">
        <v>0.03</v>
      </c>
      <c r="R208" s="359">
        <v>0.03</v>
      </c>
      <c r="S208" s="359">
        <v>0.03</v>
      </c>
      <c r="T208" s="359">
        <v>0.03</v>
      </c>
      <c r="U208" s="356" t="s">
        <v>628</v>
      </c>
      <c r="V208" s="356"/>
    </row>
    <row r="209" spans="2:22" x14ac:dyDescent="0.2">
      <c r="B209" s="392" t="str">
        <f t="shared" si="4"/>
        <v>Propeller improvement devices-UptakeFleetAvg2020</v>
      </c>
      <c r="C209" s="392" t="s">
        <v>650</v>
      </c>
      <c r="D209" s="397" t="s">
        <v>151</v>
      </c>
      <c r="E209" s="392" t="s">
        <v>178</v>
      </c>
      <c r="F209" s="359">
        <v>0.25</v>
      </c>
      <c r="G209" s="359">
        <v>0.25</v>
      </c>
      <c r="H209" s="359">
        <v>0.25</v>
      </c>
      <c r="I209" s="359">
        <v>0.25</v>
      </c>
      <c r="J209" s="359">
        <v>0.25</v>
      </c>
      <c r="K209" s="359">
        <v>0.25</v>
      </c>
      <c r="L209" s="359">
        <v>0.25</v>
      </c>
      <c r="M209" s="359">
        <v>0.25</v>
      </c>
      <c r="N209" s="359">
        <v>0.25</v>
      </c>
      <c r="O209" s="359">
        <v>0.25</v>
      </c>
      <c r="P209" s="359">
        <v>0.25</v>
      </c>
      <c r="Q209" s="359">
        <v>0.25</v>
      </c>
      <c r="R209" s="359">
        <v>0.25</v>
      </c>
      <c r="S209" s="359">
        <v>0.25</v>
      </c>
      <c r="T209" s="359">
        <v>0.25</v>
      </c>
      <c r="U209" s="356" t="s">
        <v>628</v>
      </c>
      <c r="V209" s="356"/>
    </row>
    <row r="210" spans="2:22" x14ac:dyDescent="0.2">
      <c r="B210" s="392" t="str">
        <f t="shared" si="4"/>
        <v>Propeller improvement devices-UptakeNewbuild2020</v>
      </c>
      <c r="C210" s="392" t="s">
        <v>652</v>
      </c>
      <c r="D210" s="397" t="s">
        <v>151</v>
      </c>
      <c r="E210" s="392" t="s">
        <v>178</v>
      </c>
      <c r="F210" s="359">
        <v>0</v>
      </c>
      <c r="G210" s="359">
        <v>0</v>
      </c>
      <c r="H210" s="359">
        <v>0</v>
      </c>
      <c r="I210" s="359">
        <v>0</v>
      </c>
      <c r="J210" s="359">
        <v>0</v>
      </c>
      <c r="K210" s="359">
        <v>0</v>
      </c>
      <c r="L210" s="359">
        <v>0</v>
      </c>
      <c r="M210" s="359">
        <v>0</v>
      </c>
      <c r="N210" s="359">
        <v>0</v>
      </c>
      <c r="O210" s="359">
        <v>0</v>
      </c>
      <c r="P210" s="359">
        <v>0</v>
      </c>
      <c r="Q210" s="359">
        <v>0</v>
      </c>
      <c r="R210" s="359">
        <v>0</v>
      </c>
      <c r="S210" s="359">
        <v>0</v>
      </c>
      <c r="T210" s="359">
        <v>0</v>
      </c>
      <c r="U210" s="356" t="s">
        <v>651</v>
      </c>
      <c r="V210" s="356"/>
    </row>
    <row r="211" spans="2:22" x14ac:dyDescent="0.2">
      <c r="B211" s="392" t="str">
        <f t="shared" si="4"/>
        <v>Propeller re-fitting-Applicable Newbuild</v>
      </c>
      <c r="C211" s="392" t="s">
        <v>621</v>
      </c>
      <c r="D211" s="396" t="s">
        <v>150</v>
      </c>
      <c r="E211" s="392" t="s">
        <v>622</v>
      </c>
      <c r="F211" s="356">
        <v>0</v>
      </c>
      <c r="G211" s="356">
        <v>0</v>
      </c>
      <c r="H211" s="356">
        <v>0</v>
      </c>
      <c r="I211" s="356">
        <v>0</v>
      </c>
      <c r="J211" s="356">
        <v>0</v>
      </c>
      <c r="K211" s="356">
        <v>0</v>
      </c>
      <c r="L211" s="356">
        <v>0</v>
      </c>
      <c r="M211" s="356">
        <v>0</v>
      </c>
      <c r="N211" s="356">
        <v>0</v>
      </c>
      <c r="O211" s="356">
        <v>0</v>
      </c>
      <c r="P211" s="356">
        <v>0</v>
      </c>
      <c r="Q211" s="356">
        <v>0</v>
      </c>
      <c r="R211" s="356">
        <v>0</v>
      </c>
      <c r="S211" s="356">
        <v>0</v>
      </c>
      <c r="T211" s="356">
        <v>0</v>
      </c>
      <c r="U211" s="356" t="s">
        <v>625</v>
      </c>
      <c r="V211" s="356"/>
    </row>
    <row r="212" spans="2:22" x14ac:dyDescent="0.2">
      <c r="B212" s="392" t="str">
        <f t="shared" si="4"/>
        <v>Propeller re-fitting-Applicable Retrofit</v>
      </c>
      <c r="C212" s="392" t="s">
        <v>629</v>
      </c>
      <c r="D212" s="400" t="s">
        <v>150</v>
      </c>
      <c r="E212" s="392" t="s">
        <v>622</v>
      </c>
      <c r="F212" s="356">
        <v>1</v>
      </c>
      <c r="G212" s="356">
        <v>1</v>
      </c>
      <c r="H212" s="356">
        <v>1</v>
      </c>
      <c r="I212" s="356">
        <v>1</v>
      </c>
      <c r="J212" s="356">
        <v>1</v>
      </c>
      <c r="K212" s="356">
        <v>1</v>
      </c>
      <c r="L212" s="356">
        <v>1</v>
      </c>
      <c r="M212" s="356">
        <v>1</v>
      </c>
      <c r="N212" s="356">
        <v>1</v>
      </c>
      <c r="O212" s="356">
        <v>1</v>
      </c>
      <c r="P212" s="356">
        <v>1</v>
      </c>
      <c r="Q212" s="356">
        <v>1</v>
      </c>
      <c r="R212" s="356">
        <v>1</v>
      </c>
      <c r="S212" s="356">
        <v>1</v>
      </c>
      <c r="T212" s="356">
        <v>1</v>
      </c>
      <c r="U212" s="356" t="s">
        <v>625</v>
      </c>
      <c r="V212" s="356"/>
    </row>
    <row r="213" spans="2:22" x14ac:dyDescent="0.2">
      <c r="B213" s="392" t="str">
        <f t="shared" si="4"/>
        <v>Propeller re-fitting-CAPEX</v>
      </c>
      <c r="C213" s="392" t="s">
        <v>50</v>
      </c>
      <c r="D213" s="396" t="s">
        <v>150</v>
      </c>
      <c r="E213" s="392" t="s">
        <v>630</v>
      </c>
      <c r="F213" s="585" cm="1">
        <f t="array" aca="1" ref="F213" ca="1">IFERROR(
_xlfn.IFS(NewBuild_Retrofit_selector="Newbuild",INDEX($B$1:$V$408,MATCH($D213&amp;"-"&amp;"Installation cost",$B$1:$B$408,0),MATCH(F$3,$B$3:$V$3,0))/INDEX($B$1:$V$408,MATCH($D213&amp;"-"&amp;"Lifetime",$B$1:$B$408,0),MATCH(F$3,$B$3:$V$3,0)),
NewBuild_Retrofit_selector="Retrofit",(INDEX($B$1:$V$408,MATCH($D213&amp;"-"&amp;"Installation cost",$B$1:$B$408,0),MATCH(F$3,$B$3:$V$3,0))+INDEX($B$1:$V$408,MATCH($D213&amp;"-"&amp;"Extra retrofit cost",$B$1:$B$408,0),MATCH(F$3,$B$3:$V$3,0)))/INDEX($B$1:$V$408,MATCH($D213&amp;"-"&amp;"Lifetime",$B$1:$B$408,0),MATCH(F$3,$B$3:$V$3,0))),0)</f>
        <v>0</v>
      </c>
      <c r="G213" s="585" cm="1">
        <f t="array" aca="1" ref="G213" ca="1">IFERROR(
_xlfn.IFS(NewBuild_Retrofit_selector="Newbuild",INDEX($B$1:$V$408,MATCH($D213&amp;"-"&amp;"Installation cost",$B$1:$B$408,0),MATCH(G$3,$B$3:$V$3,0))/INDEX($B$1:$V$408,MATCH($D213&amp;"-"&amp;"Lifetime",$B$1:$B$408,0),MATCH(G$3,$B$3:$V$3,0)),
NewBuild_Retrofit_selector="Retrofit",(INDEX($B$1:$V$408,MATCH($D213&amp;"-"&amp;"Installation cost",$B$1:$B$408,0),MATCH(G$3,$B$3:$V$3,0))+INDEX($B$1:$V$408,MATCH($D213&amp;"-"&amp;"Extra retrofit cost",$B$1:$B$408,0),MATCH(G$3,$B$3:$V$3,0)))/INDEX($B$1:$V$408,MATCH($D213&amp;"-"&amp;"Lifetime",$B$1:$B$408,0),MATCH(G$3,$B$3:$V$3,0))),0)</f>
        <v>0</v>
      </c>
      <c r="H213" s="585" cm="1">
        <f t="array" aca="1" ref="H213" ca="1">IFERROR(
_xlfn.IFS(NewBuild_Retrofit_selector="Newbuild",INDEX($B$1:$V$408,MATCH($D213&amp;"-"&amp;"Installation cost",$B$1:$B$408,0),MATCH(H$3,$B$3:$V$3,0))/INDEX($B$1:$V$408,MATCH($D213&amp;"-"&amp;"Lifetime",$B$1:$B$408,0),MATCH(H$3,$B$3:$V$3,0)),
NewBuild_Retrofit_selector="Retrofit",(INDEX($B$1:$V$408,MATCH($D213&amp;"-"&amp;"Installation cost",$B$1:$B$408,0),MATCH(H$3,$B$3:$V$3,0))+INDEX($B$1:$V$408,MATCH($D213&amp;"-"&amp;"Extra retrofit cost",$B$1:$B$408,0),MATCH(H$3,$B$3:$V$3,0)))/INDEX($B$1:$V$408,MATCH($D213&amp;"-"&amp;"Lifetime",$B$1:$B$408,0),MATCH(H$3,$B$3:$V$3,0))),0)</f>
        <v>0</v>
      </c>
      <c r="I213" s="585" cm="1">
        <f t="array" aca="1" ref="I213" ca="1">IFERROR(
_xlfn.IFS(NewBuild_Retrofit_selector="Newbuild",INDEX($B$1:$V$408,MATCH($D213&amp;"-"&amp;"Installation cost",$B$1:$B$408,0),MATCH(I$3,$B$3:$V$3,0))/INDEX($B$1:$V$408,MATCH($D213&amp;"-"&amp;"Lifetime",$B$1:$B$408,0),MATCH(I$3,$B$3:$V$3,0)),
NewBuild_Retrofit_selector="Retrofit",(INDEX($B$1:$V$408,MATCH($D213&amp;"-"&amp;"Installation cost",$B$1:$B$408,0),MATCH(I$3,$B$3:$V$3,0))+INDEX($B$1:$V$408,MATCH($D213&amp;"-"&amp;"Extra retrofit cost",$B$1:$B$408,0),MATCH(I$3,$B$3:$V$3,0)))/INDEX($B$1:$V$408,MATCH($D213&amp;"-"&amp;"Lifetime",$B$1:$B$408,0),MATCH(I$3,$B$3:$V$3,0))),0)</f>
        <v>0</v>
      </c>
      <c r="J213" s="585" cm="1">
        <f t="array" aca="1" ref="J213" ca="1">IFERROR(
_xlfn.IFS(NewBuild_Retrofit_selector="Newbuild",INDEX($B$1:$V$408,MATCH($D213&amp;"-"&amp;"Installation cost",$B$1:$B$408,0),MATCH(J$3,$B$3:$V$3,0))/INDEX($B$1:$V$408,MATCH($D213&amp;"-"&amp;"Lifetime",$B$1:$B$408,0),MATCH(J$3,$B$3:$V$3,0)),
NewBuild_Retrofit_selector="Retrofit",(INDEX($B$1:$V$408,MATCH($D213&amp;"-"&amp;"Installation cost",$B$1:$B$408,0),MATCH(J$3,$B$3:$V$3,0))+INDEX($B$1:$V$408,MATCH($D213&amp;"-"&amp;"Extra retrofit cost",$B$1:$B$408,0),MATCH(J$3,$B$3:$V$3,0)))/INDEX($B$1:$V$408,MATCH($D213&amp;"-"&amp;"Lifetime",$B$1:$B$408,0),MATCH(J$3,$B$3:$V$3,0))),0)</f>
        <v>0</v>
      </c>
      <c r="K213" s="585" cm="1">
        <f t="array" aca="1" ref="K213" ca="1">IFERROR(
_xlfn.IFS(NewBuild_Retrofit_selector="Newbuild",INDEX($B$1:$V$408,MATCH($D213&amp;"-"&amp;"Installation cost",$B$1:$B$408,0),MATCH(K$3,$B$3:$V$3,0))/INDEX($B$1:$V$408,MATCH($D213&amp;"-"&amp;"Lifetime",$B$1:$B$408,0),MATCH(K$3,$B$3:$V$3,0)),
NewBuild_Retrofit_selector="Retrofit",(INDEX($B$1:$V$408,MATCH($D213&amp;"-"&amp;"Installation cost",$B$1:$B$408,0),MATCH(K$3,$B$3:$V$3,0))+INDEX($B$1:$V$408,MATCH($D213&amp;"-"&amp;"Extra retrofit cost",$B$1:$B$408,0),MATCH(K$3,$B$3:$V$3,0)))/INDEX($B$1:$V$408,MATCH($D213&amp;"-"&amp;"Lifetime",$B$1:$B$408,0),MATCH(K$3,$B$3:$V$3,0))),0)</f>
        <v>0</v>
      </c>
      <c r="L213" s="585" cm="1">
        <f t="array" aca="1" ref="L213" ca="1">IFERROR(
_xlfn.IFS(NewBuild_Retrofit_selector="Newbuild",INDEX($B$1:$V$408,MATCH($D213&amp;"-"&amp;"Installation cost",$B$1:$B$408,0),MATCH(L$3,$B$3:$V$3,0))/INDEX($B$1:$V$408,MATCH($D213&amp;"-"&amp;"Lifetime",$B$1:$B$408,0),MATCH(L$3,$B$3:$V$3,0)),
NewBuild_Retrofit_selector="Retrofit",(INDEX($B$1:$V$408,MATCH($D213&amp;"-"&amp;"Installation cost",$B$1:$B$408,0),MATCH(L$3,$B$3:$V$3,0))+INDEX($B$1:$V$408,MATCH($D213&amp;"-"&amp;"Extra retrofit cost",$B$1:$B$408,0),MATCH(L$3,$B$3:$V$3,0)))/INDEX($B$1:$V$408,MATCH($D213&amp;"-"&amp;"Lifetime",$B$1:$B$408,0),MATCH(L$3,$B$3:$V$3,0))),0)</f>
        <v>0</v>
      </c>
      <c r="M213" s="585" cm="1">
        <f t="array" aca="1" ref="M213" ca="1">IFERROR(
_xlfn.IFS(NewBuild_Retrofit_selector="Newbuild",INDEX($B$1:$V$408,MATCH($D213&amp;"-"&amp;"Installation cost",$B$1:$B$408,0),MATCH(M$3,$B$3:$V$3,0))/INDEX($B$1:$V$408,MATCH($D213&amp;"-"&amp;"Lifetime",$B$1:$B$408,0),MATCH(M$3,$B$3:$V$3,0)),
NewBuild_Retrofit_selector="Retrofit",(INDEX($B$1:$V$408,MATCH($D213&amp;"-"&amp;"Installation cost",$B$1:$B$408,0),MATCH(M$3,$B$3:$V$3,0))+INDEX($B$1:$V$408,MATCH($D213&amp;"-"&amp;"Extra retrofit cost",$B$1:$B$408,0),MATCH(M$3,$B$3:$V$3,0)))/INDEX($B$1:$V$408,MATCH($D213&amp;"-"&amp;"Lifetime",$B$1:$B$408,0),MATCH(M$3,$B$3:$V$3,0))),0)</f>
        <v>0</v>
      </c>
      <c r="N213" s="585" cm="1">
        <f t="array" aca="1" ref="N213" ca="1">IFERROR(
_xlfn.IFS(NewBuild_Retrofit_selector="Newbuild",INDEX($B$1:$V$408,MATCH($D213&amp;"-"&amp;"Installation cost",$B$1:$B$408,0),MATCH(N$3,$B$3:$V$3,0))/INDEX($B$1:$V$408,MATCH($D213&amp;"-"&amp;"Lifetime",$B$1:$B$408,0),MATCH(N$3,$B$3:$V$3,0)),
NewBuild_Retrofit_selector="Retrofit",(INDEX($B$1:$V$408,MATCH($D213&amp;"-"&amp;"Installation cost",$B$1:$B$408,0),MATCH(N$3,$B$3:$V$3,0))+INDEX($B$1:$V$408,MATCH($D213&amp;"-"&amp;"Extra retrofit cost",$B$1:$B$408,0),MATCH(N$3,$B$3:$V$3,0)))/INDEX($B$1:$V$408,MATCH($D213&amp;"-"&amp;"Lifetime",$B$1:$B$408,0),MATCH(N$3,$B$3:$V$3,0))),0)</f>
        <v>0</v>
      </c>
      <c r="O213" s="585" cm="1">
        <f t="array" aca="1" ref="O213" ca="1">IFERROR(
_xlfn.IFS(NewBuild_Retrofit_selector="Newbuild",INDEX($B$1:$V$408,MATCH($D213&amp;"-"&amp;"Installation cost",$B$1:$B$408,0),MATCH(O$3,$B$3:$V$3,0))/INDEX($B$1:$V$408,MATCH($D213&amp;"-"&amp;"Lifetime",$B$1:$B$408,0),MATCH(O$3,$B$3:$V$3,0)),
NewBuild_Retrofit_selector="Retrofit",(INDEX($B$1:$V$408,MATCH($D213&amp;"-"&amp;"Installation cost",$B$1:$B$408,0),MATCH(O$3,$B$3:$V$3,0))+INDEX($B$1:$V$408,MATCH($D213&amp;"-"&amp;"Extra retrofit cost",$B$1:$B$408,0),MATCH(O$3,$B$3:$V$3,0)))/INDEX($B$1:$V$408,MATCH($D213&amp;"-"&amp;"Lifetime",$B$1:$B$408,0),MATCH(O$3,$B$3:$V$3,0))),0)</f>
        <v>0</v>
      </c>
      <c r="P213" s="585" cm="1">
        <f t="array" aca="1" ref="P213" ca="1">IFERROR(
_xlfn.IFS(NewBuild_Retrofit_selector="Newbuild",INDEX($B$1:$V$408,MATCH($D213&amp;"-"&amp;"Installation cost",$B$1:$B$408,0),MATCH(P$3,$B$3:$V$3,0))/INDEX($B$1:$V$408,MATCH($D213&amp;"-"&amp;"Lifetime",$B$1:$B$408,0),MATCH(P$3,$B$3:$V$3,0)),
NewBuild_Retrofit_selector="Retrofit",(INDEX($B$1:$V$408,MATCH($D213&amp;"-"&amp;"Installation cost",$B$1:$B$408,0),MATCH(P$3,$B$3:$V$3,0))+INDEX($B$1:$V$408,MATCH($D213&amp;"-"&amp;"Extra retrofit cost",$B$1:$B$408,0),MATCH(P$3,$B$3:$V$3,0)))/INDEX($B$1:$V$408,MATCH($D213&amp;"-"&amp;"Lifetime",$B$1:$B$408,0),MATCH(P$3,$B$3:$V$3,0))),0)</f>
        <v>0</v>
      </c>
      <c r="Q213" s="585" cm="1">
        <f t="array" aca="1" ref="Q213" ca="1">IFERROR(
_xlfn.IFS(NewBuild_Retrofit_selector="Newbuild",INDEX($B$1:$V$408,MATCH($D213&amp;"-"&amp;"Installation cost",$B$1:$B$408,0),MATCH(Q$3,$B$3:$V$3,0))/INDEX($B$1:$V$408,MATCH($D213&amp;"-"&amp;"Lifetime",$B$1:$B$408,0),MATCH(Q$3,$B$3:$V$3,0)),
NewBuild_Retrofit_selector="Retrofit",(INDEX($B$1:$V$408,MATCH($D213&amp;"-"&amp;"Installation cost",$B$1:$B$408,0),MATCH(Q$3,$B$3:$V$3,0))+INDEX($B$1:$V$408,MATCH($D213&amp;"-"&amp;"Extra retrofit cost",$B$1:$B$408,0),MATCH(Q$3,$B$3:$V$3,0)))/INDEX($B$1:$V$408,MATCH($D213&amp;"-"&amp;"Lifetime",$B$1:$B$408,0),MATCH(Q$3,$B$3:$V$3,0))),0)</f>
        <v>0</v>
      </c>
      <c r="R213" s="585" cm="1">
        <f t="array" aca="1" ref="R213" ca="1">IFERROR(
_xlfn.IFS(NewBuild_Retrofit_selector="Newbuild",INDEX($B$1:$V$408,MATCH($D213&amp;"-"&amp;"Installation cost",$B$1:$B$408,0),MATCH(R$3,$B$3:$V$3,0))/INDEX($B$1:$V$408,MATCH($D213&amp;"-"&amp;"Lifetime",$B$1:$B$408,0),MATCH(R$3,$B$3:$V$3,0)),
NewBuild_Retrofit_selector="Retrofit",(INDEX($B$1:$V$408,MATCH($D213&amp;"-"&amp;"Installation cost",$B$1:$B$408,0),MATCH(R$3,$B$3:$V$3,0))+INDEX($B$1:$V$408,MATCH($D213&amp;"-"&amp;"Extra retrofit cost",$B$1:$B$408,0),MATCH(R$3,$B$3:$V$3,0)))/INDEX($B$1:$V$408,MATCH($D213&amp;"-"&amp;"Lifetime",$B$1:$B$408,0),MATCH(R$3,$B$3:$V$3,0))),0)</f>
        <v>0</v>
      </c>
      <c r="S213" s="585" cm="1">
        <f t="array" aca="1" ref="S213" ca="1">IFERROR(
_xlfn.IFS(NewBuild_Retrofit_selector="Newbuild",INDEX($B$1:$V$408,MATCH($D213&amp;"-"&amp;"Installation cost",$B$1:$B$408,0),MATCH(S$3,$B$3:$V$3,0))/INDEX($B$1:$V$408,MATCH($D213&amp;"-"&amp;"Lifetime",$B$1:$B$408,0),MATCH(S$3,$B$3:$V$3,0)),
NewBuild_Retrofit_selector="Retrofit",(INDEX($B$1:$V$408,MATCH($D213&amp;"-"&amp;"Installation cost",$B$1:$B$408,0),MATCH(S$3,$B$3:$V$3,0))+INDEX($B$1:$V$408,MATCH($D213&amp;"-"&amp;"Extra retrofit cost",$B$1:$B$408,0),MATCH(S$3,$B$3:$V$3,0)))/INDEX($B$1:$V$408,MATCH($D213&amp;"-"&amp;"Lifetime",$B$1:$B$408,0),MATCH(S$3,$B$3:$V$3,0))),0)</f>
        <v>0</v>
      </c>
      <c r="T213" s="585" cm="1">
        <f t="array" aca="1" ref="T213" ca="1">IFERROR(
_xlfn.IFS(NewBuild_Retrofit_selector="Newbuild",INDEX($B$1:$V$408,MATCH($D213&amp;"-"&amp;"Installation cost",$B$1:$B$408,0),MATCH(T$3,$B$3:$V$3,0))/INDEX($B$1:$V$408,MATCH($D213&amp;"-"&amp;"Lifetime",$B$1:$B$408,0),MATCH(T$3,$B$3:$V$3,0)),
NewBuild_Retrofit_selector="Retrofit",(INDEX($B$1:$V$408,MATCH($D213&amp;"-"&amp;"Installation cost",$B$1:$B$408,0),MATCH(T$3,$B$3:$V$3,0))+INDEX($B$1:$V$408,MATCH($D213&amp;"-"&amp;"Extra retrofit cost",$B$1:$B$408,0),MATCH(T$3,$B$3:$V$3,0)))/INDEX($B$1:$V$408,MATCH($D213&amp;"-"&amp;"Lifetime",$B$1:$B$408,0),MATCH(T$3,$B$3:$V$3,0))),0)</f>
        <v>0</v>
      </c>
      <c r="U213" s="356"/>
      <c r="V213" s="356"/>
    </row>
    <row r="214" spans="2:22" x14ac:dyDescent="0.2">
      <c r="B214" s="392" t="str">
        <f t="shared" si="4"/>
        <v>Propeller re-fitting-Extra retrofit cost</v>
      </c>
      <c r="C214" s="392" t="s">
        <v>634</v>
      </c>
      <c r="D214" s="396" t="s">
        <v>150</v>
      </c>
      <c r="E214" s="392" t="s">
        <v>635</v>
      </c>
      <c r="F214" s="585">
        <v>0</v>
      </c>
      <c r="G214" s="585">
        <v>0</v>
      </c>
      <c r="H214" s="585">
        <v>0</v>
      </c>
      <c r="I214" s="585">
        <v>0</v>
      </c>
      <c r="J214" s="585">
        <v>0</v>
      </c>
      <c r="K214" s="585">
        <v>0</v>
      </c>
      <c r="L214" s="585">
        <v>0</v>
      </c>
      <c r="M214" s="585">
        <v>0</v>
      </c>
      <c r="N214" s="585">
        <v>0</v>
      </c>
      <c r="O214" s="585">
        <v>0</v>
      </c>
      <c r="P214" s="585">
        <v>0</v>
      </c>
      <c r="Q214" s="585">
        <v>0</v>
      </c>
      <c r="R214" s="585">
        <v>0</v>
      </c>
      <c r="S214" s="585">
        <v>0</v>
      </c>
      <c r="T214" s="585">
        <v>0</v>
      </c>
      <c r="U214" s="356"/>
      <c r="V214" s="356"/>
    </row>
    <row r="215" spans="2:22" x14ac:dyDescent="0.2">
      <c r="B215" s="392" t="str">
        <f t="shared" si="4"/>
        <v>Propeller re-fitting-Installation cost</v>
      </c>
      <c r="C215" s="392" t="s">
        <v>452</v>
      </c>
      <c r="D215" s="396" t="s">
        <v>150</v>
      </c>
      <c r="E215" s="392" t="s">
        <v>635</v>
      </c>
      <c r="F215" s="585">
        <v>500000</v>
      </c>
      <c r="G215" s="585">
        <v>800000</v>
      </c>
      <c r="H215" s="585">
        <v>1000000</v>
      </c>
      <c r="I215" s="585">
        <v>500000</v>
      </c>
      <c r="J215" s="585">
        <v>500000</v>
      </c>
      <c r="K215" s="585">
        <v>800000</v>
      </c>
      <c r="L215" s="585">
        <v>500000</v>
      </c>
      <c r="M215" s="585">
        <v>500000</v>
      </c>
      <c r="N215" s="585">
        <v>1000000</v>
      </c>
      <c r="O215" s="585">
        <v>500000</v>
      </c>
      <c r="P215" s="585">
        <v>500000</v>
      </c>
      <c r="Q215" s="585">
        <v>800000</v>
      </c>
      <c r="R215" s="585">
        <v>500000</v>
      </c>
      <c r="S215" s="585">
        <v>800000</v>
      </c>
      <c r="T215" s="585">
        <v>1000000</v>
      </c>
      <c r="U215" s="356" t="s">
        <v>628</v>
      </c>
      <c r="V215" s="356"/>
    </row>
    <row r="216" spans="2:22" x14ac:dyDescent="0.2">
      <c r="B216" s="392" t="str">
        <f t="shared" si="4"/>
        <v>Propeller re-fitting-Lifetime</v>
      </c>
      <c r="C216" s="392" t="s">
        <v>520</v>
      </c>
      <c r="D216" s="396" t="s">
        <v>150</v>
      </c>
      <c r="E216" s="392" t="s">
        <v>176</v>
      </c>
      <c r="F216" s="356">
        <v>25</v>
      </c>
      <c r="G216" s="356">
        <v>25</v>
      </c>
      <c r="H216" s="356">
        <v>25</v>
      </c>
      <c r="I216" s="356">
        <v>25</v>
      </c>
      <c r="J216" s="356">
        <v>25</v>
      </c>
      <c r="K216" s="356">
        <v>25</v>
      </c>
      <c r="L216" s="356">
        <v>25</v>
      </c>
      <c r="M216" s="356">
        <v>25</v>
      </c>
      <c r="N216" s="356">
        <v>25</v>
      </c>
      <c r="O216" s="356">
        <v>25</v>
      </c>
      <c r="P216" s="356">
        <v>25</v>
      </c>
      <c r="Q216" s="356">
        <v>25</v>
      </c>
      <c r="R216" s="356">
        <v>25</v>
      </c>
      <c r="S216" s="356">
        <v>25</v>
      </c>
      <c r="T216" s="356">
        <v>25</v>
      </c>
      <c r="U216" s="356" t="s">
        <v>625</v>
      </c>
      <c r="V216" s="356"/>
    </row>
    <row r="217" spans="2:22" x14ac:dyDescent="0.2">
      <c r="B217" s="392" t="str">
        <f t="shared" si="4"/>
        <v>Propeller re-fitting-OPEX</v>
      </c>
      <c r="C217" s="392" t="s">
        <v>319</v>
      </c>
      <c r="D217" s="396" t="s">
        <v>150</v>
      </c>
      <c r="E217" s="392" t="s">
        <v>630</v>
      </c>
      <c r="F217" s="585">
        <v>0</v>
      </c>
      <c r="G217" s="585">
        <v>0</v>
      </c>
      <c r="H217" s="585">
        <v>0</v>
      </c>
      <c r="I217" s="585">
        <v>0</v>
      </c>
      <c r="J217" s="585">
        <v>0</v>
      </c>
      <c r="K217" s="585">
        <v>0</v>
      </c>
      <c r="L217" s="585">
        <v>0</v>
      </c>
      <c r="M217" s="585">
        <v>0</v>
      </c>
      <c r="N217" s="585">
        <v>0</v>
      </c>
      <c r="O217" s="585">
        <v>0</v>
      </c>
      <c r="P217" s="585">
        <v>0</v>
      </c>
      <c r="Q217" s="585">
        <v>0</v>
      </c>
      <c r="R217" s="585">
        <v>0</v>
      </c>
      <c r="S217" s="585">
        <v>0</v>
      </c>
      <c r="T217" s="585">
        <v>0</v>
      </c>
      <c r="U217" s="356"/>
      <c r="V217" s="356"/>
    </row>
    <row r="218" spans="2:22" x14ac:dyDescent="0.2">
      <c r="B218" s="392" t="str">
        <f t="shared" si="4"/>
        <v>Propeller re-fitting-Saving</v>
      </c>
      <c r="C218" s="392" t="s">
        <v>458</v>
      </c>
      <c r="D218" s="396" t="s">
        <v>150</v>
      </c>
      <c r="E218" s="392" t="s">
        <v>178</v>
      </c>
      <c r="F218" s="359">
        <v>0.05</v>
      </c>
      <c r="G218" s="359">
        <v>0.05</v>
      </c>
      <c r="H218" s="359">
        <v>0.05</v>
      </c>
      <c r="I218" s="359">
        <v>0.03</v>
      </c>
      <c r="J218" s="359">
        <v>0.03</v>
      </c>
      <c r="K218" s="359">
        <v>0.03</v>
      </c>
      <c r="L218" s="359">
        <v>0.03</v>
      </c>
      <c r="M218" s="359">
        <v>0.03</v>
      </c>
      <c r="N218" s="359">
        <v>0.03</v>
      </c>
      <c r="O218" s="359">
        <v>0.05</v>
      </c>
      <c r="P218" s="359">
        <v>0.05</v>
      </c>
      <c r="Q218" s="359">
        <v>0.05</v>
      </c>
      <c r="R218" s="359">
        <v>0.05</v>
      </c>
      <c r="S218" s="359">
        <v>0.05</v>
      </c>
      <c r="T218" s="359">
        <v>0.05</v>
      </c>
      <c r="U218" s="356" t="s">
        <v>628</v>
      </c>
      <c r="V218" s="356"/>
    </row>
    <row r="219" spans="2:22" x14ac:dyDescent="0.2">
      <c r="B219" s="392" t="str">
        <f t="shared" si="4"/>
        <v>Propeller re-fitting-UptakeFleetAvg2020</v>
      </c>
      <c r="C219" s="392" t="s">
        <v>650</v>
      </c>
      <c r="D219" s="396" t="s">
        <v>150</v>
      </c>
      <c r="E219" s="392" t="s">
        <v>178</v>
      </c>
      <c r="F219" s="359">
        <v>0.1</v>
      </c>
      <c r="G219" s="359">
        <v>0.2</v>
      </c>
      <c r="H219" s="359">
        <v>0.2</v>
      </c>
      <c r="I219" s="359">
        <v>0</v>
      </c>
      <c r="J219" s="359">
        <v>0</v>
      </c>
      <c r="K219" s="359">
        <v>0</v>
      </c>
      <c r="L219" s="359">
        <v>0</v>
      </c>
      <c r="M219" s="359">
        <v>0</v>
      </c>
      <c r="N219" s="359">
        <v>0</v>
      </c>
      <c r="O219" s="359">
        <v>0.1</v>
      </c>
      <c r="P219" s="359">
        <v>0.1</v>
      </c>
      <c r="Q219" s="359">
        <v>0.1</v>
      </c>
      <c r="R219" s="359">
        <v>0</v>
      </c>
      <c r="S219" s="359">
        <v>0</v>
      </c>
      <c r="T219" s="359">
        <v>0</v>
      </c>
      <c r="U219" s="356" t="s">
        <v>628</v>
      </c>
      <c r="V219" s="356"/>
    </row>
    <row r="220" spans="2:22" x14ac:dyDescent="0.2">
      <c r="B220" s="392" t="str">
        <f t="shared" si="4"/>
        <v>Propeller re-fitting-UptakeNewbuild2020</v>
      </c>
      <c r="C220" s="392" t="s">
        <v>652</v>
      </c>
      <c r="D220" s="396" t="s">
        <v>150</v>
      </c>
      <c r="E220" s="392" t="s">
        <v>178</v>
      </c>
      <c r="F220" s="359">
        <v>0</v>
      </c>
      <c r="G220" s="359">
        <v>0</v>
      </c>
      <c r="H220" s="359">
        <v>0</v>
      </c>
      <c r="I220" s="359">
        <v>0</v>
      </c>
      <c r="J220" s="359">
        <v>0</v>
      </c>
      <c r="K220" s="359">
        <v>0</v>
      </c>
      <c r="L220" s="359">
        <v>0</v>
      </c>
      <c r="M220" s="359">
        <v>0</v>
      </c>
      <c r="N220" s="359">
        <v>0</v>
      </c>
      <c r="O220" s="359">
        <v>0</v>
      </c>
      <c r="P220" s="359">
        <v>0</v>
      </c>
      <c r="Q220" s="359">
        <v>0</v>
      </c>
      <c r="R220" s="359">
        <v>0</v>
      </c>
      <c r="S220" s="359">
        <v>0</v>
      </c>
      <c r="T220" s="359">
        <v>0</v>
      </c>
      <c r="U220" s="356"/>
      <c r="V220" s="356"/>
    </row>
    <row r="221" spans="2:22" x14ac:dyDescent="0.2">
      <c r="B221" s="392" t="str">
        <f t="shared" si="4"/>
        <v>Retro_EquipmentCostShare_Install-Retro_EquipmentCostShare_Install</v>
      </c>
      <c r="C221" s="392" t="s">
        <v>644</v>
      </c>
      <c r="D221" s="396" t="s">
        <v>644</v>
      </c>
      <c r="E221" s="392" t="s">
        <v>178</v>
      </c>
      <c r="F221" s="352">
        <f t="shared" ref="F221:T221" si="5">1-F220</f>
        <v>1</v>
      </c>
      <c r="G221" s="352">
        <f t="shared" si="5"/>
        <v>1</v>
      </c>
      <c r="H221" s="352">
        <f t="shared" si="5"/>
        <v>1</v>
      </c>
      <c r="I221" s="352">
        <f t="shared" si="5"/>
        <v>1</v>
      </c>
      <c r="J221" s="352">
        <f t="shared" si="5"/>
        <v>1</v>
      </c>
      <c r="K221" s="352">
        <f t="shared" si="5"/>
        <v>1</v>
      </c>
      <c r="L221" s="352">
        <f t="shared" si="5"/>
        <v>1</v>
      </c>
      <c r="M221" s="352">
        <f t="shared" si="5"/>
        <v>1</v>
      </c>
      <c r="N221" s="352">
        <f t="shared" si="5"/>
        <v>1</v>
      </c>
      <c r="O221" s="352">
        <f t="shared" si="5"/>
        <v>1</v>
      </c>
      <c r="P221" s="352">
        <f t="shared" si="5"/>
        <v>1</v>
      </c>
      <c r="Q221" s="352">
        <f t="shared" si="5"/>
        <v>1</v>
      </c>
      <c r="R221" s="352">
        <f t="shared" si="5"/>
        <v>1</v>
      </c>
      <c r="S221" s="352">
        <f t="shared" si="5"/>
        <v>1</v>
      </c>
      <c r="T221" s="352">
        <f t="shared" si="5"/>
        <v>1</v>
      </c>
      <c r="U221" s="356" t="s">
        <v>628</v>
      </c>
      <c r="V221" s="737" t="s">
        <v>645</v>
      </c>
    </row>
    <row r="222" spans="2:22" x14ac:dyDescent="0.2">
      <c r="B222" s="392" t="str">
        <f t="shared" si="4"/>
        <v>Retro_ExtraCost-Retro_ExtraCost</v>
      </c>
      <c r="C222" s="392" t="s">
        <v>646</v>
      </c>
      <c r="D222" s="396" t="s">
        <v>646</v>
      </c>
      <c r="E222" s="392" t="s">
        <v>178</v>
      </c>
      <c r="F222" s="352">
        <f t="shared" ref="F222:T222" si="6">(F220+F219*F221)-1</f>
        <v>-0.9</v>
      </c>
      <c r="G222" s="352">
        <f t="shared" si="6"/>
        <v>-0.8</v>
      </c>
      <c r="H222" s="352">
        <f t="shared" si="6"/>
        <v>-0.8</v>
      </c>
      <c r="I222" s="352">
        <f t="shared" si="6"/>
        <v>-1</v>
      </c>
      <c r="J222" s="352">
        <f t="shared" si="6"/>
        <v>-1</v>
      </c>
      <c r="K222" s="352">
        <f t="shared" si="6"/>
        <v>-1</v>
      </c>
      <c r="L222" s="352">
        <f t="shared" si="6"/>
        <v>-1</v>
      </c>
      <c r="M222" s="352">
        <f t="shared" si="6"/>
        <v>-1</v>
      </c>
      <c r="N222" s="352">
        <f t="shared" si="6"/>
        <v>-1</v>
      </c>
      <c r="O222" s="352">
        <f t="shared" si="6"/>
        <v>-0.9</v>
      </c>
      <c r="P222" s="352">
        <f t="shared" si="6"/>
        <v>-0.9</v>
      </c>
      <c r="Q222" s="352">
        <f t="shared" si="6"/>
        <v>-0.9</v>
      </c>
      <c r="R222" s="352">
        <f t="shared" si="6"/>
        <v>-1</v>
      </c>
      <c r="S222" s="352">
        <f t="shared" si="6"/>
        <v>-1</v>
      </c>
      <c r="T222" s="352">
        <f t="shared" si="6"/>
        <v>-1</v>
      </c>
      <c r="U222" s="356"/>
      <c r="V222" s="737" t="s">
        <v>645</v>
      </c>
    </row>
    <row r="223" spans="2:22" x14ac:dyDescent="0.2">
      <c r="B223" s="392" t="str">
        <f t="shared" si="4"/>
        <v>Retro_WorkCostShare_Install-Retro_WorkCostShare_Install</v>
      </c>
      <c r="C223" s="392" t="s">
        <v>647</v>
      </c>
      <c r="D223" s="396" t="s">
        <v>647</v>
      </c>
      <c r="E223" s="392" t="s">
        <v>178</v>
      </c>
      <c r="F223" s="352">
        <v>0.4</v>
      </c>
      <c r="G223" s="352">
        <v>0.4</v>
      </c>
      <c r="H223" s="352">
        <v>0.4</v>
      </c>
      <c r="I223" s="352">
        <v>0.4</v>
      </c>
      <c r="J223" s="352">
        <v>0.4</v>
      </c>
      <c r="K223" s="352">
        <v>0.4</v>
      </c>
      <c r="L223" s="352">
        <v>0.4</v>
      </c>
      <c r="M223" s="352">
        <v>0.4</v>
      </c>
      <c r="N223" s="352">
        <v>0.4</v>
      </c>
      <c r="O223" s="352">
        <v>0.4</v>
      </c>
      <c r="P223" s="352">
        <v>0.4</v>
      </c>
      <c r="Q223" s="352">
        <v>0.4</v>
      </c>
      <c r="R223" s="352">
        <v>0.4</v>
      </c>
      <c r="S223" s="352">
        <v>0.4</v>
      </c>
      <c r="T223" s="352">
        <v>0.4</v>
      </c>
      <c r="U223" s="356" t="s">
        <v>628</v>
      </c>
      <c r="V223" s="737" t="s">
        <v>645</v>
      </c>
    </row>
    <row r="224" spans="2:22" x14ac:dyDescent="0.2">
      <c r="B224" s="392" t="str">
        <f t="shared" si="4"/>
        <v>Retro_WorkCostVsNB-Retro_WorkCostVsNB</v>
      </c>
      <c r="C224" s="392" t="s">
        <v>648</v>
      </c>
      <c r="D224" s="396" t="s">
        <v>648</v>
      </c>
      <c r="E224" s="392" t="s">
        <v>649</v>
      </c>
      <c r="F224" s="351">
        <v>2</v>
      </c>
      <c r="G224" s="351">
        <v>2</v>
      </c>
      <c r="H224" s="351">
        <v>2</v>
      </c>
      <c r="I224" s="351">
        <v>2</v>
      </c>
      <c r="J224" s="351">
        <v>2</v>
      </c>
      <c r="K224" s="351">
        <v>2</v>
      </c>
      <c r="L224" s="351">
        <v>2</v>
      </c>
      <c r="M224" s="351">
        <v>2</v>
      </c>
      <c r="N224" s="351">
        <v>2</v>
      </c>
      <c r="O224" s="351">
        <v>2</v>
      </c>
      <c r="P224" s="351">
        <v>2</v>
      </c>
      <c r="Q224" s="351">
        <v>2</v>
      </c>
      <c r="R224" s="351">
        <v>2</v>
      </c>
      <c r="S224" s="351">
        <v>2</v>
      </c>
      <c r="T224" s="351">
        <v>2</v>
      </c>
      <c r="U224" s="356"/>
      <c r="V224" s="737" t="s">
        <v>645</v>
      </c>
    </row>
    <row r="225" spans="2:22" x14ac:dyDescent="0.2">
      <c r="B225" s="392" t="str">
        <f t="shared" si="4"/>
        <v>Rudder autopilot-Applicable Newbuild</v>
      </c>
      <c r="C225" s="392" t="s">
        <v>621</v>
      </c>
      <c r="D225" s="396" t="s">
        <v>152</v>
      </c>
      <c r="E225" s="392" t="s">
        <v>622</v>
      </c>
      <c r="F225" s="356">
        <v>1</v>
      </c>
      <c r="G225" s="356">
        <v>1</v>
      </c>
      <c r="H225" s="356">
        <v>1</v>
      </c>
      <c r="I225" s="356">
        <v>1</v>
      </c>
      <c r="J225" s="356">
        <v>1</v>
      </c>
      <c r="K225" s="356">
        <v>1</v>
      </c>
      <c r="L225" s="356">
        <v>1</v>
      </c>
      <c r="M225" s="356">
        <v>1</v>
      </c>
      <c r="N225" s="356">
        <v>1</v>
      </c>
      <c r="O225" s="356">
        <v>1</v>
      </c>
      <c r="P225" s="356">
        <v>1</v>
      </c>
      <c r="Q225" s="356">
        <v>1</v>
      </c>
      <c r="R225" s="356">
        <v>1</v>
      </c>
      <c r="S225" s="356">
        <v>1</v>
      </c>
      <c r="T225" s="356">
        <v>1</v>
      </c>
      <c r="U225" s="356" t="s">
        <v>625</v>
      </c>
      <c r="V225" s="356"/>
    </row>
    <row r="226" spans="2:22" x14ac:dyDescent="0.2">
      <c r="B226" s="392" t="str">
        <f t="shared" si="4"/>
        <v>Rudder autopilot-Applicable Retrofit</v>
      </c>
      <c r="C226" s="392" t="s">
        <v>629</v>
      </c>
      <c r="D226" s="396" t="s">
        <v>152</v>
      </c>
      <c r="E226" s="392" t="s">
        <v>622</v>
      </c>
      <c r="F226" s="356">
        <v>1</v>
      </c>
      <c r="G226" s="356">
        <v>1</v>
      </c>
      <c r="H226" s="356">
        <v>1</v>
      </c>
      <c r="I226" s="356">
        <v>1</v>
      </c>
      <c r="J226" s="356">
        <v>1</v>
      </c>
      <c r="K226" s="356">
        <v>1</v>
      </c>
      <c r="L226" s="356">
        <v>1</v>
      </c>
      <c r="M226" s="356">
        <v>1</v>
      </c>
      <c r="N226" s="356">
        <v>1</v>
      </c>
      <c r="O226" s="356">
        <v>1</v>
      </c>
      <c r="P226" s="356">
        <v>1</v>
      </c>
      <c r="Q226" s="356">
        <v>1</v>
      </c>
      <c r="R226" s="356">
        <v>1</v>
      </c>
      <c r="S226" s="356">
        <v>1</v>
      </c>
      <c r="T226" s="356">
        <v>1</v>
      </c>
      <c r="U226" s="356" t="s">
        <v>625</v>
      </c>
      <c r="V226" s="356"/>
    </row>
    <row r="227" spans="2:22" x14ac:dyDescent="0.2">
      <c r="B227" s="392" t="str">
        <f t="shared" si="4"/>
        <v>Rudder autopilot-CAPEX</v>
      </c>
      <c r="C227" s="392" t="s">
        <v>50</v>
      </c>
      <c r="D227" s="396" t="s">
        <v>152</v>
      </c>
      <c r="E227" s="392" t="s">
        <v>630</v>
      </c>
      <c r="F227" s="585" cm="1">
        <f t="array" aca="1" ref="F227" ca="1">IFERROR(
_xlfn.IFS(NewBuild_Retrofit_selector="Newbuild",INDEX($B$1:$V$408,MATCH($D227&amp;"-"&amp;"Installation cost",$B$1:$B$408,0),MATCH(F$3,$B$3:$V$3,0))/INDEX($B$1:$V$408,MATCH($D227&amp;"-"&amp;"Lifetime",$B$1:$B$408,0),MATCH(F$3,$B$3:$V$3,0)),
NewBuild_Retrofit_selector="Retrofit",(INDEX($B$1:$V$408,MATCH($D227&amp;"-"&amp;"Installation cost",$B$1:$B$408,0),MATCH(F$3,$B$3:$V$3,0))+INDEX($B$1:$V$408,MATCH($D227&amp;"-"&amp;"Extra retrofit cost",$B$1:$B$408,0),MATCH(F$3,$B$3:$V$3,0)))/INDEX($B$1:$V$408,MATCH($D227&amp;"-"&amp;"Lifetime",$B$1:$B$408,0),MATCH(F$3,$B$3:$V$3,0))),0)</f>
        <v>0</v>
      </c>
      <c r="G227" s="585" cm="1">
        <f t="array" aca="1" ref="G227" ca="1">IFERROR(
_xlfn.IFS(NewBuild_Retrofit_selector="Newbuild",INDEX($B$1:$V$408,MATCH($D227&amp;"-"&amp;"Installation cost",$B$1:$B$408,0),MATCH(G$3,$B$3:$V$3,0))/INDEX($B$1:$V$408,MATCH($D227&amp;"-"&amp;"Lifetime",$B$1:$B$408,0),MATCH(G$3,$B$3:$V$3,0)),
NewBuild_Retrofit_selector="Retrofit",(INDEX($B$1:$V$408,MATCH($D227&amp;"-"&amp;"Installation cost",$B$1:$B$408,0),MATCH(G$3,$B$3:$V$3,0))+INDEX($B$1:$V$408,MATCH($D227&amp;"-"&amp;"Extra retrofit cost",$B$1:$B$408,0),MATCH(G$3,$B$3:$V$3,0)))/INDEX($B$1:$V$408,MATCH($D227&amp;"-"&amp;"Lifetime",$B$1:$B$408,0),MATCH(G$3,$B$3:$V$3,0))),0)</f>
        <v>0</v>
      </c>
      <c r="H227" s="585" cm="1">
        <f t="array" aca="1" ref="H227" ca="1">IFERROR(
_xlfn.IFS(NewBuild_Retrofit_selector="Newbuild",INDEX($B$1:$V$408,MATCH($D227&amp;"-"&amp;"Installation cost",$B$1:$B$408,0),MATCH(H$3,$B$3:$V$3,0))/INDEX($B$1:$V$408,MATCH($D227&amp;"-"&amp;"Lifetime",$B$1:$B$408,0),MATCH(H$3,$B$3:$V$3,0)),
NewBuild_Retrofit_selector="Retrofit",(INDEX($B$1:$V$408,MATCH($D227&amp;"-"&amp;"Installation cost",$B$1:$B$408,0),MATCH(H$3,$B$3:$V$3,0))+INDEX($B$1:$V$408,MATCH($D227&amp;"-"&amp;"Extra retrofit cost",$B$1:$B$408,0),MATCH(H$3,$B$3:$V$3,0)))/INDEX($B$1:$V$408,MATCH($D227&amp;"-"&amp;"Lifetime",$B$1:$B$408,0),MATCH(H$3,$B$3:$V$3,0))),0)</f>
        <v>0</v>
      </c>
      <c r="I227" s="585" cm="1">
        <f t="array" aca="1" ref="I227" ca="1">IFERROR(
_xlfn.IFS(NewBuild_Retrofit_selector="Newbuild",INDEX($B$1:$V$408,MATCH($D227&amp;"-"&amp;"Installation cost",$B$1:$B$408,0),MATCH(I$3,$B$3:$V$3,0))/INDEX($B$1:$V$408,MATCH($D227&amp;"-"&amp;"Lifetime",$B$1:$B$408,0),MATCH(I$3,$B$3:$V$3,0)),
NewBuild_Retrofit_selector="Retrofit",(INDEX($B$1:$V$408,MATCH($D227&amp;"-"&amp;"Installation cost",$B$1:$B$408,0),MATCH(I$3,$B$3:$V$3,0))+INDEX($B$1:$V$408,MATCH($D227&amp;"-"&amp;"Extra retrofit cost",$B$1:$B$408,0),MATCH(I$3,$B$3:$V$3,0)))/INDEX($B$1:$V$408,MATCH($D227&amp;"-"&amp;"Lifetime",$B$1:$B$408,0),MATCH(I$3,$B$3:$V$3,0))),0)</f>
        <v>0</v>
      </c>
      <c r="J227" s="585" cm="1">
        <f t="array" aca="1" ref="J227" ca="1">IFERROR(
_xlfn.IFS(NewBuild_Retrofit_selector="Newbuild",INDEX($B$1:$V$408,MATCH($D227&amp;"-"&amp;"Installation cost",$B$1:$B$408,0),MATCH(J$3,$B$3:$V$3,0))/INDEX($B$1:$V$408,MATCH($D227&amp;"-"&amp;"Lifetime",$B$1:$B$408,0),MATCH(J$3,$B$3:$V$3,0)),
NewBuild_Retrofit_selector="Retrofit",(INDEX($B$1:$V$408,MATCH($D227&amp;"-"&amp;"Installation cost",$B$1:$B$408,0),MATCH(J$3,$B$3:$V$3,0))+INDEX($B$1:$V$408,MATCH($D227&amp;"-"&amp;"Extra retrofit cost",$B$1:$B$408,0),MATCH(J$3,$B$3:$V$3,0)))/INDEX($B$1:$V$408,MATCH($D227&amp;"-"&amp;"Lifetime",$B$1:$B$408,0),MATCH(J$3,$B$3:$V$3,0))),0)</f>
        <v>0</v>
      </c>
      <c r="K227" s="585" cm="1">
        <f t="array" aca="1" ref="K227" ca="1">IFERROR(
_xlfn.IFS(NewBuild_Retrofit_selector="Newbuild",INDEX($B$1:$V$408,MATCH($D227&amp;"-"&amp;"Installation cost",$B$1:$B$408,0),MATCH(K$3,$B$3:$V$3,0))/INDEX($B$1:$V$408,MATCH($D227&amp;"-"&amp;"Lifetime",$B$1:$B$408,0),MATCH(K$3,$B$3:$V$3,0)),
NewBuild_Retrofit_selector="Retrofit",(INDEX($B$1:$V$408,MATCH($D227&amp;"-"&amp;"Installation cost",$B$1:$B$408,0),MATCH(K$3,$B$3:$V$3,0))+INDEX($B$1:$V$408,MATCH($D227&amp;"-"&amp;"Extra retrofit cost",$B$1:$B$408,0),MATCH(K$3,$B$3:$V$3,0)))/INDEX($B$1:$V$408,MATCH($D227&amp;"-"&amp;"Lifetime",$B$1:$B$408,0),MATCH(K$3,$B$3:$V$3,0))),0)</f>
        <v>0</v>
      </c>
      <c r="L227" s="585" cm="1">
        <f t="array" aca="1" ref="L227" ca="1">IFERROR(
_xlfn.IFS(NewBuild_Retrofit_selector="Newbuild",INDEX($B$1:$V$408,MATCH($D227&amp;"-"&amp;"Installation cost",$B$1:$B$408,0),MATCH(L$3,$B$3:$V$3,0))/INDEX($B$1:$V$408,MATCH($D227&amp;"-"&amp;"Lifetime",$B$1:$B$408,0),MATCH(L$3,$B$3:$V$3,0)),
NewBuild_Retrofit_selector="Retrofit",(INDEX($B$1:$V$408,MATCH($D227&amp;"-"&amp;"Installation cost",$B$1:$B$408,0),MATCH(L$3,$B$3:$V$3,0))+INDEX($B$1:$V$408,MATCH($D227&amp;"-"&amp;"Extra retrofit cost",$B$1:$B$408,0),MATCH(L$3,$B$3:$V$3,0)))/INDEX($B$1:$V$408,MATCH($D227&amp;"-"&amp;"Lifetime",$B$1:$B$408,0),MATCH(L$3,$B$3:$V$3,0))),0)</f>
        <v>0</v>
      </c>
      <c r="M227" s="585" cm="1">
        <f t="array" aca="1" ref="M227" ca="1">IFERROR(
_xlfn.IFS(NewBuild_Retrofit_selector="Newbuild",INDEX($B$1:$V$408,MATCH($D227&amp;"-"&amp;"Installation cost",$B$1:$B$408,0),MATCH(M$3,$B$3:$V$3,0))/INDEX($B$1:$V$408,MATCH($D227&amp;"-"&amp;"Lifetime",$B$1:$B$408,0),MATCH(M$3,$B$3:$V$3,0)),
NewBuild_Retrofit_selector="Retrofit",(INDEX($B$1:$V$408,MATCH($D227&amp;"-"&amp;"Installation cost",$B$1:$B$408,0),MATCH(M$3,$B$3:$V$3,0))+INDEX($B$1:$V$408,MATCH($D227&amp;"-"&amp;"Extra retrofit cost",$B$1:$B$408,0),MATCH(M$3,$B$3:$V$3,0)))/INDEX($B$1:$V$408,MATCH($D227&amp;"-"&amp;"Lifetime",$B$1:$B$408,0),MATCH(M$3,$B$3:$V$3,0))),0)</f>
        <v>0</v>
      </c>
      <c r="N227" s="585" cm="1">
        <f t="array" aca="1" ref="N227" ca="1">IFERROR(
_xlfn.IFS(NewBuild_Retrofit_selector="Newbuild",INDEX($B$1:$V$408,MATCH($D227&amp;"-"&amp;"Installation cost",$B$1:$B$408,0),MATCH(N$3,$B$3:$V$3,0))/INDEX($B$1:$V$408,MATCH($D227&amp;"-"&amp;"Lifetime",$B$1:$B$408,0),MATCH(N$3,$B$3:$V$3,0)),
NewBuild_Retrofit_selector="Retrofit",(INDEX($B$1:$V$408,MATCH($D227&amp;"-"&amp;"Installation cost",$B$1:$B$408,0),MATCH(N$3,$B$3:$V$3,0))+INDEX($B$1:$V$408,MATCH($D227&amp;"-"&amp;"Extra retrofit cost",$B$1:$B$408,0),MATCH(N$3,$B$3:$V$3,0)))/INDEX($B$1:$V$408,MATCH($D227&amp;"-"&amp;"Lifetime",$B$1:$B$408,0),MATCH(N$3,$B$3:$V$3,0))),0)</f>
        <v>0</v>
      </c>
      <c r="O227" s="585" cm="1">
        <f t="array" aca="1" ref="O227" ca="1">IFERROR(
_xlfn.IFS(NewBuild_Retrofit_selector="Newbuild",INDEX($B$1:$V$408,MATCH($D227&amp;"-"&amp;"Installation cost",$B$1:$B$408,0),MATCH(O$3,$B$3:$V$3,0))/INDEX($B$1:$V$408,MATCH($D227&amp;"-"&amp;"Lifetime",$B$1:$B$408,0),MATCH(O$3,$B$3:$V$3,0)),
NewBuild_Retrofit_selector="Retrofit",(INDEX($B$1:$V$408,MATCH($D227&amp;"-"&amp;"Installation cost",$B$1:$B$408,0),MATCH(O$3,$B$3:$V$3,0))+INDEX($B$1:$V$408,MATCH($D227&amp;"-"&amp;"Extra retrofit cost",$B$1:$B$408,0),MATCH(O$3,$B$3:$V$3,0)))/INDEX($B$1:$V$408,MATCH($D227&amp;"-"&amp;"Lifetime",$B$1:$B$408,0),MATCH(O$3,$B$3:$V$3,0))),0)</f>
        <v>0</v>
      </c>
      <c r="P227" s="585" cm="1">
        <f t="array" aca="1" ref="P227" ca="1">IFERROR(
_xlfn.IFS(NewBuild_Retrofit_selector="Newbuild",INDEX($B$1:$V$408,MATCH($D227&amp;"-"&amp;"Installation cost",$B$1:$B$408,0),MATCH(P$3,$B$3:$V$3,0))/INDEX($B$1:$V$408,MATCH($D227&amp;"-"&amp;"Lifetime",$B$1:$B$408,0),MATCH(P$3,$B$3:$V$3,0)),
NewBuild_Retrofit_selector="Retrofit",(INDEX($B$1:$V$408,MATCH($D227&amp;"-"&amp;"Installation cost",$B$1:$B$408,0),MATCH(P$3,$B$3:$V$3,0))+INDEX($B$1:$V$408,MATCH($D227&amp;"-"&amp;"Extra retrofit cost",$B$1:$B$408,0),MATCH(P$3,$B$3:$V$3,0)))/INDEX($B$1:$V$408,MATCH($D227&amp;"-"&amp;"Lifetime",$B$1:$B$408,0),MATCH(P$3,$B$3:$V$3,0))),0)</f>
        <v>0</v>
      </c>
      <c r="Q227" s="585" cm="1">
        <f t="array" aca="1" ref="Q227" ca="1">IFERROR(
_xlfn.IFS(NewBuild_Retrofit_selector="Newbuild",INDEX($B$1:$V$408,MATCH($D227&amp;"-"&amp;"Installation cost",$B$1:$B$408,0),MATCH(Q$3,$B$3:$V$3,0))/INDEX($B$1:$V$408,MATCH($D227&amp;"-"&amp;"Lifetime",$B$1:$B$408,0),MATCH(Q$3,$B$3:$V$3,0)),
NewBuild_Retrofit_selector="Retrofit",(INDEX($B$1:$V$408,MATCH($D227&amp;"-"&amp;"Installation cost",$B$1:$B$408,0),MATCH(Q$3,$B$3:$V$3,0))+INDEX($B$1:$V$408,MATCH($D227&amp;"-"&amp;"Extra retrofit cost",$B$1:$B$408,0),MATCH(Q$3,$B$3:$V$3,0)))/INDEX($B$1:$V$408,MATCH($D227&amp;"-"&amp;"Lifetime",$B$1:$B$408,0),MATCH(Q$3,$B$3:$V$3,0))),0)</f>
        <v>0</v>
      </c>
      <c r="R227" s="585" cm="1">
        <f t="array" aca="1" ref="R227" ca="1">IFERROR(
_xlfn.IFS(NewBuild_Retrofit_selector="Newbuild",INDEX($B$1:$V$408,MATCH($D227&amp;"-"&amp;"Installation cost",$B$1:$B$408,0),MATCH(R$3,$B$3:$V$3,0))/INDEX($B$1:$V$408,MATCH($D227&amp;"-"&amp;"Lifetime",$B$1:$B$408,0),MATCH(R$3,$B$3:$V$3,0)),
NewBuild_Retrofit_selector="Retrofit",(INDEX($B$1:$V$408,MATCH($D227&amp;"-"&amp;"Installation cost",$B$1:$B$408,0),MATCH(R$3,$B$3:$V$3,0))+INDEX($B$1:$V$408,MATCH($D227&amp;"-"&amp;"Extra retrofit cost",$B$1:$B$408,0),MATCH(R$3,$B$3:$V$3,0)))/INDEX($B$1:$V$408,MATCH($D227&amp;"-"&amp;"Lifetime",$B$1:$B$408,0),MATCH(R$3,$B$3:$V$3,0))),0)</f>
        <v>0</v>
      </c>
      <c r="S227" s="585" cm="1">
        <f t="array" aca="1" ref="S227" ca="1">IFERROR(
_xlfn.IFS(NewBuild_Retrofit_selector="Newbuild",INDEX($B$1:$V$408,MATCH($D227&amp;"-"&amp;"Installation cost",$B$1:$B$408,0),MATCH(S$3,$B$3:$V$3,0))/INDEX($B$1:$V$408,MATCH($D227&amp;"-"&amp;"Lifetime",$B$1:$B$408,0),MATCH(S$3,$B$3:$V$3,0)),
NewBuild_Retrofit_selector="Retrofit",(INDEX($B$1:$V$408,MATCH($D227&amp;"-"&amp;"Installation cost",$B$1:$B$408,0),MATCH(S$3,$B$3:$V$3,0))+INDEX($B$1:$V$408,MATCH($D227&amp;"-"&amp;"Extra retrofit cost",$B$1:$B$408,0),MATCH(S$3,$B$3:$V$3,0)))/INDEX($B$1:$V$408,MATCH($D227&amp;"-"&amp;"Lifetime",$B$1:$B$408,0),MATCH(S$3,$B$3:$V$3,0))),0)</f>
        <v>0</v>
      </c>
      <c r="T227" s="585" cm="1">
        <f t="array" aca="1" ref="T227" ca="1">IFERROR(
_xlfn.IFS(NewBuild_Retrofit_selector="Newbuild",INDEX($B$1:$V$408,MATCH($D227&amp;"-"&amp;"Installation cost",$B$1:$B$408,0),MATCH(T$3,$B$3:$V$3,0))/INDEX($B$1:$V$408,MATCH($D227&amp;"-"&amp;"Lifetime",$B$1:$B$408,0),MATCH(T$3,$B$3:$V$3,0)),
NewBuild_Retrofit_selector="Retrofit",(INDEX($B$1:$V$408,MATCH($D227&amp;"-"&amp;"Installation cost",$B$1:$B$408,0),MATCH(T$3,$B$3:$V$3,0))+INDEX($B$1:$V$408,MATCH($D227&amp;"-"&amp;"Extra retrofit cost",$B$1:$B$408,0),MATCH(T$3,$B$3:$V$3,0)))/INDEX($B$1:$V$408,MATCH($D227&amp;"-"&amp;"Lifetime",$B$1:$B$408,0),MATCH(T$3,$B$3:$V$3,0))),0)</f>
        <v>0</v>
      </c>
      <c r="U227" s="356"/>
      <c r="V227" s="356"/>
    </row>
    <row r="228" spans="2:22" x14ac:dyDescent="0.2">
      <c r="B228" s="392" t="str">
        <f t="shared" si="4"/>
        <v>Rudder autopilot-Extra retrofit cost</v>
      </c>
      <c r="C228" s="392" t="s">
        <v>634</v>
      </c>
      <c r="D228" s="396" t="s">
        <v>152</v>
      </c>
      <c r="E228" s="392" t="s">
        <v>635</v>
      </c>
      <c r="F228" s="585">
        <v>0</v>
      </c>
      <c r="G228" s="585">
        <v>0</v>
      </c>
      <c r="H228" s="585">
        <v>0</v>
      </c>
      <c r="I228" s="585">
        <v>0</v>
      </c>
      <c r="J228" s="585">
        <v>0</v>
      </c>
      <c r="K228" s="585">
        <v>0</v>
      </c>
      <c r="L228" s="585">
        <v>0</v>
      </c>
      <c r="M228" s="585">
        <v>0</v>
      </c>
      <c r="N228" s="585">
        <v>0</v>
      </c>
      <c r="O228" s="585">
        <v>0</v>
      </c>
      <c r="P228" s="585">
        <v>0</v>
      </c>
      <c r="Q228" s="585">
        <v>0</v>
      </c>
      <c r="R228" s="585">
        <v>0</v>
      </c>
      <c r="S228" s="585">
        <v>0</v>
      </c>
      <c r="T228" s="585">
        <v>0</v>
      </c>
      <c r="U228" s="356"/>
      <c r="V228" s="356"/>
    </row>
    <row r="229" spans="2:22" x14ac:dyDescent="0.2">
      <c r="B229" s="392" t="str">
        <f t="shared" si="4"/>
        <v>Rudder autopilot-Installation cost</v>
      </c>
      <c r="C229" s="392" t="s">
        <v>452</v>
      </c>
      <c r="D229" s="396" t="s">
        <v>152</v>
      </c>
      <c r="E229" s="392" t="s">
        <v>635</v>
      </c>
      <c r="F229" s="585">
        <v>0</v>
      </c>
      <c r="G229" s="585">
        <v>0</v>
      </c>
      <c r="H229" s="585">
        <v>0</v>
      </c>
      <c r="I229" s="585">
        <v>0</v>
      </c>
      <c r="J229" s="585">
        <v>0</v>
      </c>
      <c r="K229" s="585">
        <v>0</v>
      </c>
      <c r="L229" s="585">
        <v>0</v>
      </c>
      <c r="M229" s="585">
        <v>0</v>
      </c>
      <c r="N229" s="585">
        <v>0</v>
      </c>
      <c r="O229" s="585">
        <v>0</v>
      </c>
      <c r="P229" s="585">
        <v>0</v>
      </c>
      <c r="Q229" s="585">
        <v>0</v>
      </c>
      <c r="R229" s="585">
        <v>0</v>
      </c>
      <c r="S229" s="585">
        <v>0</v>
      </c>
      <c r="T229" s="585">
        <v>0</v>
      </c>
      <c r="U229" s="356" t="s">
        <v>625</v>
      </c>
      <c r="V229" s="356"/>
    </row>
    <row r="230" spans="2:22" x14ac:dyDescent="0.2">
      <c r="B230" s="392" t="str">
        <f t="shared" si="4"/>
        <v>Rudder autopilot-Lifetime</v>
      </c>
      <c r="C230" s="392" t="s">
        <v>520</v>
      </c>
      <c r="D230" s="396" t="s">
        <v>152</v>
      </c>
      <c r="E230" s="392" t="s">
        <v>176</v>
      </c>
      <c r="F230" s="356">
        <v>25</v>
      </c>
      <c r="G230" s="356">
        <v>25</v>
      </c>
      <c r="H230" s="356">
        <v>25</v>
      </c>
      <c r="I230" s="356">
        <v>25</v>
      </c>
      <c r="J230" s="356">
        <v>25</v>
      </c>
      <c r="K230" s="356">
        <v>25</v>
      </c>
      <c r="L230" s="356">
        <v>25</v>
      </c>
      <c r="M230" s="356">
        <v>25</v>
      </c>
      <c r="N230" s="356">
        <v>25</v>
      </c>
      <c r="O230" s="356">
        <v>25</v>
      </c>
      <c r="P230" s="356">
        <v>25</v>
      </c>
      <c r="Q230" s="356">
        <v>25</v>
      </c>
      <c r="R230" s="356">
        <v>25</v>
      </c>
      <c r="S230" s="356">
        <v>25</v>
      </c>
      <c r="T230" s="356">
        <v>25</v>
      </c>
      <c r="U230" s="356" t="s">
        <v>625</v>
      </c>
      <c r="V230" s="356"/>
    </row>
    <row r="231" spans="2:22" x14ac:dyDescent="0.2">
      <c r="B231" s="392" t="str">
        <f t="shared" si="4"/>
        <v>Rudder autopilot-OPEX</v>
      </c>
      <c r="C231" s="392" t="s">
        <v>319</v>
      </c>
      <c r="D231" s="396" t="s">
        <v>152</v>
      </c>
      <c r="E231" s="392" t="s">
        <v>630</v>
      </c>
      <c r="F231" s="585">
        <v>0</v>
      </c>
      <c r="G231" s="585">
        <v>0</v>
      </c>
      <c r="H231" s="585">
        <v>0</v>
      </c>
      <c r="I231" s="585">
        <v>0</v>
      </c>
      <c r="J231" s="585">
        <v>0</v>
      </c>
      <c r="K231" s="585">
        <v>0</v>
      </c>
      <c r="L231" s="585">
        <v>0</v>
      </c>
      <c r="M231" s="585">
        <v>0</v>
      </c>
      <c r="N231" s="585">
        <v>0</v>
      </c>
      <c r="O231" s="585">
        <v>0</v>
      </c>
      <c r="P231" s="585">
        <v>0</v>
      </c>
      <c r="Q231" s="585">
        <v>0</v>
      </c>
      <c r="R231" s="585">
        <v>0</v>
      </c>
      <c r="S231" s="585">
        <v>0</v>
      </c>
      <c r="T231" s="585">
        <v>0</v>
      </c>
      <c r="U231" s="356" t="s">
        <v>625</v>
      </c>
      <c r="V231" s="356"/>
    </row>
    <row r="232" spans="2:22" x14ac:dyDescent="0.2">
      <c r="B232" s="392" t="str">
        <f t="shared" si="4"/>
        <v>Rudder autopilot-Saving</v>
      </c>
      <c r="C232" s="392" t="s">
        <v>458</v>
      </c>
      <c r="D232" s="396" t="s">
        <v>152</v>
      </c>
      <c r="E232" s="392" t="s">
        <v>178</v>
      </c>
      <c r="F232" s="359">
        <v>5.0000000000000001E-3</v>
      </c>
      <c r="G232" s="359">
        <v>5.0000000000000001E-3</v>
      </c>
      <c r="H232" s="359">
        <v>5.0000000000000001E-3</v>
      </c>
      <c r="I232" s="359">
        <v>5.0000000000000001E-3</v>
      </c>
      <c r="J232" s="359">
        <v>5.0000000000000001E-3</v>
      </c>
      <c r="K232" s="359">
        <v>5.0000000000000001E-3</v>
      </c>
      <c r="L232" s="359">
        <v>5.0000000000000001E-3</v>
      </c>
      <c r="M232" s="359">
        <v>5.0000000000000001E-3</v>
      </c>
      <c r="N232" s="359">
        <v>5.0000000000000001E-3</v>
      </c>
      <c r="O232" s="359">
        <v>5.0000000000000001E-3</v>
      </c>
      <c r="P232" s="359">
        <v>5.0000000000000001E-3</v>
      </c>
      <c r="Q232" s="359">
        <v>5.0000000000000001E-3</v>
      </c>
      <c r="R232" s="359">
        <v>5.0000000000000001E-3</v>
      </c>
      <c r="S232" s="359">
        <v>5.0000000000000001E-3</v>
      </c>
      <c r="T232" s="359">
        <v>5.0000000000000001E-3</v>
      </c>
      <c r="U232" s="356" t="s">
        <v>627</v>
      </c>
      <c r="V232" s="356"/>
    </row>
    <row r="233" spans="2:22" x14ac:dyDescent="0.2">
      <c r="B233" s="392" t="str">
        <f t="shared" si="4"/>
        <v>Rudder autopilot-UptakeFleetAvg2020</v>
      </c>
      <c r="C233" s="392" t="s">
        <v>650</v>
      </c>
      <c r="D233" s="396" t="s">
        <v>152</v>
      </c>
      <c r="E233" s="392" t="s">
        <v>178</v>
      </c>
      <c r="F233" s="359">
        <v>0.75</v>
      </c>
      <c r="G233" s="359">
        <v>0.75</v>
      </c>
      <c r="H233" s="359">
        <v>0.75</v>
      </c>
      <c r="I233" s="359">
        <v>0.5</v>
      </c>
      <c r="J233" s="359">
        <v>0.5</v>
      </c>
      <c r="K233" s="359">
        <v>0.5</v>
      </c>
      <c r="L233" s="359">
        <v>0.5</v>
      </c>
      <c r="M233" s="359">
        <v>0.5</v>
      </c>
      <c r="N233" s="359">
        <v>0.5</v>
      </c>
      <c r="O233" s="359">
        <v>0.5</v>
      </c>
      <c r="P233" s="359">
        <v>0.5</v>
      </c>
      <c r="Q233" s="359">
        <v>0.5</v>
      </c>
      <c r="R233" s="359">
        <v>0.5</v>
      </c>
      <c r="S233" s="359">
        <v>0.5</v>
      </c>
      <c r="T233" s="359">
        <v>0.5</v>
      </c>
      <c r="U233" s="356" t="s">
        <v>628</v>
      </c>
      <c r="V233" s="356"/>
    </row>
    <row r="234" spans="2:22" x14ac:dyDescent="0.2">
      <c r="B234" s="392" t="str">
        <f t="shared" si="4"/>
        <v>Rudder autopilot-UptakeNewbuild2020</v>
      </c>
      <c r="C234" s="392" t="s">
        <v>652</v>
      </c>
      <c r="D234" s="396" t="s">
        <v>152</v>
      </c>
      <c r="E234" s="392" t="s">
        <v>178</v>
      </c>
      <c r="F234" s="359">
        <v>0</v>
      </c>
      <c r="G234" s="359">
        <v>0</v>
      </c>
      <c r="H234" s="359">
        <v>0</v>
      </c>
      <c r="I234" s="359">
        <v>0</v>
      </c>
      <c r="J234" s="359">
        <v>0</v>
      </c>
      <c r="K234" s="359">
        <v>0</v>
      </c>
      <c r="L234" s="359">
        <v>0</v>
      </c>
      <c r="M234" s="359">
        <v>0</v>
      </c>
      <c r="N234" s="359">
        <v>0</v>
      </c>
      <c r="O234" s="359">
        <v>0</v>
      </c>
      <c r="P234" s="359">
        <v>0</v>
      </c>
      <c r="Q234" s="359">
        <v>0</v>
      </c>
      <c r="R234" s="359">
        <v>0</v>
      </c>
      <c r="S234" s="359">
        <v>0</v>
      </c>
      <c r="T234" s="359">
        <v>0</v>
      </c>
      <c r="U234" s="356"/>
      <c r="V234" s="356"/>
    </row>
    <row r="235" spans="2:22" x14ac:dyDescent="0.2">
      <c r="B235" s="392" t="str">
        <f t="shared" si="4"/>
        <v>Sails-Applicable Newbuild</v>
      </c>
      <c r="C235" s="392" t="s">
        <v>621</v>
      </c>
      <c r="D235" s="396" t="s">
        <v>154</v>
      </c>
      <c r="E235" s="392" t="s">
        <v>622</v>
      </c>
      <c r="F235" s="356">
        <v>0</v>
      </c>
      <c r="G235" s="356">
        <v>0</v>
      </c>
      <c r="H235" s="356">
        <v>0</v>
      </c>
      <c r="I235" s="356">
        <v>0</v>
      </c>
      <c r="J235" s="356">
        <v>0</v>
      </c>
      <c r="K235" s="356">
        <v>0</v>
      </c>
      <c r="L235" s="356">
        <v>0</v>
      </c>
      <c r="M235" s="356">
        <v>0</v>
      </c>
      <c r="N235" s="356">
        <v>0</v>
      </c>
      <c r="O235" s="356">
        <v>0</v>
      </c>
      <c r="P235" s="356">
        <v>0</v>
      </c>
      <c r="Q235" s="356">
        <v>0</v>
      </c>
      <c r="R235" s="356">
        <v>0</v>
      </c>
      <c r="S235" s="356">
        <v>0</v>
      </c>
      <c r="T235" s="356">
        <v>0</v>
      </c>
      <c r="U235" s="356" t="s">
        <v>624</v>
      </c>
      <c r="V235" s="356" t="s">
        <v>626</v>
      </c>
    </row>
    <row r="236" spans="2:22" x14ac:dyDescent="0.2">
      <c r="B236" s="392" t="str">
        <f t="shared" si="4"/>
        <v>Sails-Applicable Retrofit</v>
      </c>
      <c r="C236" s="392" t="s">
        <v>629</v>
      </c>
      <c r="D236" s="396" t="s">
        <v>154</v>
      </c>
      <c r="E236" s="392" t="s">
        <v>622</v>
      </c>
      <c r="F236" s="356">
        <v>0</v>
      </c>
      <c r="G236" s="356">
        <v>0</v>
      </c>
      <c r="H236" s="356">
        <v>0</v>
      </c>
      <c r="I236" s="356">
        <v>0</v>
      </c>
      <c r="J236" s="356">
        <v>0</v>
      </c>
      <c r="K236" s="356">
        <v>0</v>
      </c>
      <c r="L236" s="356">
        <v>1</v>
      </c>
      <c r="M236" s="356">
        <v>1</v>
      </c>
      <c r="N236" s="356">
        <v>1</v>
      </c>
      <c r="O236" s="356">
        <v>1</v>
      </c>
      <c r="P236" s="356">
        <v>1</v>
      </c>
      <c r="Q236" s="356">
        <v>1</v>
      </c>
      <c r="R236" s="356">
        <v>1</v>
      </c>
      <c r="S236" s="356">
        <v>1</v>
      </c>
      <c r="T236" s="356">
        <v>1</v>
      </c>
      <c r="U236" s="356" t="s">
        <v>624</v>
      </c>
      <c r="V236" s="356" t="s">
        <v>626</v>
      </c>
    </row>
    <row r="237" spans="2:22" x14ac:dyDescent="0.2">
      <c r="B237" s="392" t="str">
        <f t="shared" si="4"/>
        <v>Sails-CAPEX</v>
      </c>
      <c r="C237" s="392" t="s">
        <v>50</v>
      </c>
      <c r="D237" s="396" t="s">
        <v>154</v>
      </c>
      <c r="E237" s="392" t="s">
        <v>630</v>
      </c>
      <c r="F237" s="585" cm="1">
        <f t="array" aca="1" ref="F237" ca="1">IFERROR(
_xlfn.IFS(NewBuild_Retrofit_selector="Newbuild",INDEX($B$1:$V$408,MATCH($D237&amp;"-"&amp;"Installation cost",$B$1:$B$408,0),MATCH(F$3,$B$3:$V$3,0))/INDEX($B$1:$V$408,MATCH($D237&amp;"-"&amp;"Lifetime",$B$1:$B$408,0),MATCH(F$3,$B$3:$V$3,0)),
NewBuild_Retrofit_selector="Retrofit",(INDEX($B$1:$V$408,MATCH($D237&amp;"-"&amp;"Installation cost",$B$1:$B$408,0),MATCH(F$3,$B$3:$V$3,0))+INDEX($B$1:$V$408,MATCH($D237&amp;"-"&amp;"Extra retrofit cost",$B$1:$B$408,0),MATCH(F$3,$B$3:$V$3,0)))/INDEX($B$1:$V$408,MATCH($D237&amp;"-"&amp;"Lifetime",$B$1:$B$408,0),MATCH(F$3,$B$3:$V$3,0))),0)</f>
        <v>0</v>
      </c>
      <c r="G237" s="585" cm="1">
        <f t="array" aca="1" ref="G237" ca="1">IFERROR(
_xlfn.IFS(NewBuild_Retrofit_selector="Newbuild",INDEX($B$1:$V$408,MATCH($D237&amp;"-"&amp;"Installation cost",$B$1:$B$408,0),MATCH(G$3,$B$3:$V$3,0))/INDEX($B$1:$V$408,MATCH($D237&amp;"-"&amp;"Lifetime",$B$1:$B$408,0),MATCH(G$3,$B$3:$V$3,0)),
NewBuild_Retrofit_selector="Retrofit",(INDEX($B$1:$V$408,MATCH($D237&amp;"-"&amp;"Installation cost",$B$1:$B$408,0),MATCH(G$3,$B$3:$V$3,0))+INDEX($B$1:$V$408,MATCH($D237&amp;"-"&amp;"Extra retrofit cost",$B$1:$B$408,0),MATCH(G$3,$B$3:$V$3,0)))/INDEX($B$1:$V$408,MATCH($D237&amp;"-"&amp;"Lifetime",$B$1:$B$408,0),MATCH(G$3,$B$3:$V$3,0))),0)</f>
        <v>0</v>
      </c>
      <c r="H237" s="585" cm="1">
        <f t="array" aca="1" ref="H237" ca="1">IFERROR(
_xlfn.IFS(NewBuild_Retrofit_selector="Newbuild",INDEX($B$1:$V$408,MATCH($D237&amp;"-"&amp;"Installation cost",$B$1:$B$408,0),MATCH(H$3,$B$3:$V$3,0))/INDEX($B$1:$V$408,MATCH($D237&amp;"-"&amp;"Lifetime",$B$1:$B$408,0),MATCH(H$3,$B$3:$V$3,0)),
NewBuild_Retrofit_selector="Retrofit",(INDEX($B$1:$V$408,MATCH($D237&amp;"-"&amp;"Installation cost",$B$1:$B$408,0),MATCH(H$3,$B$3:$V$3,0))+INDEX($B$1:$V$408,MATCH($D237&amp;"-"&amp;"Extra retrofit cost",$B$1:$B$408,0),MATCH(H$3,$B$3:$V$3,0)))/INDEX($B$1:$V$408,MATCH($D237&amp;"-"&amp;"Lifetime",$B$1:$B$408,0),MATCH(H$3,$B$3:$V$3,0))),0)</f>
        <v>0</v>
      </c>
      <c r="I237" s="585" cm="1">
        <f t="array" aca="1" ref="I237" ca="1">IFERROR(
_xlfn.IFS(NewBuild_Retrofit_selector="Newbuild",INDEX($B$1:$V$408,MATCH($D237&amp;"-"&amp;"Installation cost",$B$1:$B$408,0),MATCH(I$3,$B$3:$V$3,0))/INDEX($B$1:$V$408,MATCH($D237&amp;"-"&amp;"Lifetime",$B$1:$B$408,0),MATCH(I$3,$B$3:$V$3,0)),
NewBuild_Retrofit_selector="Retrofit",(INDEX($B$1:$V$408,MATCH($D237&amp;"-"&amp;"Installation cost",$B$1:$B$408,0),MATCH(I$3,$B$3:$V$3,0))+INDEX($B$1:$V$408,MATCH($D237&amp;"-"&amp;"Extra retrofit cost",$B$1:$B$408,0),MATCH(I$3,$B$3:$V$3,0)))/INDEX($B$1:$V$408,MATCH($D237&amp;"-"&amp;"Lifetime",$B$1:$B$408,0),MATCH(I$3,$B$3:$V$3,0))),0)</f>
        <v>0</v>
      </c>
      <c r="J237" s="585" cm="1">
        <f t="array" aca="1" ref="J237" ca="1">IFERROR(
_xlfn.IFS(NewBuild_Retrofit_selector="Newbuild",INDEX($B$1:$V$408,MATCH($D237&amp;"-"&amp;"Installation cost",$B$1:$B$408,0),MATCH(J$3,$B$3:$V$3,0))/INDEX($B$1:$V$408,MATCH($D237&amp;"-"&amp;"Lifetime",$B$1:$B$408,0),MATCH(J$3,$B$3:$V$3,0)),
NewBuild_Retrofit_selector="Retrofit",(INDEX($B$1:$V$408,MATCH($D237&amp;"-"&amp;"Installation cost",$B$1:$B$408,0),MATCH(J$3,$B$3:$V$3,0))+INDEX($B$1:$V$408,MATCH($D237&amp;"-"&amp;"Extra retrofit cost",$B$1:$B$408,0),MATCH(J$3,$B$3:$V$3,0)))/INDEX($B$1:$V$408,MATCH($D237&amp;"-"&amp;"Lifetime",$B$1:$B$408,0),MATCH(J$3,$B$3:$V$3,0))),0)</f>
        <v>0</v>
      </c>
      <c r="K237" s="585" cm="1">
        <f t="array" aca="1" ref="K237" ca="1">IFERROR(
_xlfn.IFS(NewBuild_Retrofit_selector="Newbuild",INDEX($B$1:$V$408,MATCH($D237&amp;"-"&amp;"Installation cost",$B$1:$B$408,0),MATCH(K$3,$B$3:$V$3,0))/INDEX($B$1:$V$408,MATCH($D237&amp;"-"&amp;"Lifetime",$B$1:$B$408,0),MATCH(K$3,$B$3:$V$3,0)),
NewBuild_Retrofit_selector="Retrofit",(INDEX($B$1:$V$408,MATCH($D237&amp;"-"&amp;"Installation cost",$B$1:$B$408,0),MATCH(K$3,$B$3:$V$3,0))+INDEX($B$1:$V$408,MATCH($D237&amp;"-"&amp;"Extra retrofit cost",$B$1:$B$408,0),MATCH(K$3,$B$3:$V$3,0)))/INDEX($B$1:$V$408,MATCH($D237&amp;"-"&amp;"Lifetime",$B$1:$B$408,0),MATCH(K$3,$B$3:$V$3,0))),0)</f>
        <v>0</v>
      </c>
      <c r="L237" s="585" cm="1">
        <f t="array" aca="1" ref="L237" ca="1">IFERROR(
_xlfn.IFS(NewBuild_Retrofit_selector="Newbuild",INDEX($B$1:$V$408,MATCH($D237&amp;"-"&amp;"Installation cost",$B$1:$B$408,0),MATCH(L$3,$B$3:$V$3,0))/INDEX($B$1:$V$408,MATCH($D237&amp;"-"&amp;"Lifetime",$B$1:$B$408,0),MATCH(L$3,$B$3:$V$3,0)),
NewBuild_Retrofit_selector="Retrofit",(INDEX($B$1:$V$408,MATCH($D237&amp;"-"&amp;"Installation cost",$B$1:$B$408,0),MATCH(L$3,$B$3:$V$3,0))+INDEX($B$1:$V$408,MATCH($D237&amp;"-"&amp;"Extra retrofit cost",$B$1:$B$408,0),MATCH(L$3,$B$3:$V$3,0)))/INDEX($B$1:$V$408,MATCH($D237&amp;"-"&amp;"Lifetime",$B$1:$B$408,0),MATCH(L$3,$B$3:$V$3,0))),0)</f>
        <v>0</v>
      </c>
      <c r="M237" s="585" cm="1">
        <f t="array" aca="1" ref="M237" ca="1">IFERROR(
_xlfn.IFS(NewBuild_Retrofit_selector="Newbuild",INDEX($B$1:$V$408,MATCH($D237&amp;"-"&amp;"Installation cost",$B$1:$B$408,0),MATCH(M$3,$B$3:$V$3,0))/INDEX($B$1:$V$408,MATCH($D237&amp;"-"&amp;"Lifetime",$B$1:$B$408,0),MATCH(M$3,$B$3:$V$3,0)),
NewBuild_Retrofit_selector="Retrofit",(INDEX($B$1:$V$408,MATCH($D237&amp;"-"&amp;"Installation cost",$B$1:$B$408,0),MATCH(M$3,$B$3:$V$3,0))+INDEX($B$1:$V$408,MATCH($D237&amp;"-"&amp;"Extra retrofit cost",$B$1:$B$408,0),MATCH(M$3,$B$3:$V$3,0)))/INDEX($B$1:$V$408,MATCH($D237&amp;"-"&amp;"Lifetime",$B$1:$B$408,0),MATCH(M$3,$B$3:$V$3,0))),0)</f>
        <v>0</v>
      </c>
      <c r="N237" s="585" cm="1">
        <f t="array" aca="1" ref="N237" ca="1">IFERROR(
_xlfn.IFS(NewBuild_Retrofit_selector="Newbuild",INDEX($B$1:$V$408,MATCH($D237&amp;"-"&amp;"Installation cost",$B$1:$B$408,0),MATCH(N$3,$B$3:$V$3,0))/INDEX($B$1:$V$408,MATCH($D237&amp;"-"&amp;"Lifetime",$B$1:$B$408,0),MATCH(N$3,$B$3:$V$3,0)),
NewBuild_Retrofit_selector="Retrofit",(INDEX($B$1:$V$408,MATCH($D237&amp;"-"&amp;"Installation cost",$B$1:$B$408,0),MATCH(N$3,$B$3:$V$3,0))+INDEX($B$1:$V$408,MATCH($D237&amp;"-"&amp;"Extra retrofit cost",$B$1:$B$408,0),MATCH(N$3,$B$3:$V$3,0)))/INDEX($B$1:$V$408,MATCH($D237&amp;"-"&amp;"Lifetime",$B$1:$B$408,0),MATCH(N$3,$B$3:$V$3,0))),0)</f>
        <v>0</v>
      </c>
      <c r="O237" s="585" cm="1">
        <f t="array" aca="1" ref="O237" ca="1">IFERROR(
_xlfn.IFS(NewBuild_Retrofit_selector="Newbuild",INDEX($B$1:$V$408,MATCH($D237&amp;"-"&amp;"Installation cost",$B$1:$B$408,0),MATCH(O$3,$B$3:$V$3,0))/INDEX($B$1:$V$408,MATCH($D237&amp;"-"&amp;"Lifetime",$B$1:$B$408,0),MATCH(O$3,$B$3:$V$3,0)),
NewBuild_Retrofit_selector="Retrofit",(INDEX($B$1:$V$408,MATCH($D237&amp;"-"&amp;"Installation cost",$B$1:$B$408,0),MATCH(O$3,$B$3:$V$3,0))+INDEX($B$1:$V$408,MATCH($D237&amp;"-"&amp;"Extra retrofit cost",$B$1:$B$408,0),MATCH(O$3,$B$3:$V$3,0)))/INDEX($B$1:$V$408,MATCH($D237&amp;"-"&amp;"Lifetime",$B$1:$B$408,0),MATCH(O$3,$B$3:$V$3,0))),0)</f>
        <v>0</v>
      </c>
      <c r="P237" s="585" cm="1">
        <f t="array" aca="1" ref="P237" ca="1">IFERROR(
_xlfn.IFS(NewBuild_Retrofit_selector="Newbuild",INDEX($B$1:$V$408,MATCH($D237&amp;"-"&amp;"Installation cost",$B$1:$B$408,0),MATCH(P$3,$B$3:$V$3,0))/INDEX($B$1:$V$408,MATCH($D237&amp;"-"&amp;"Lifetime",$B$1:$B$408,0),MATCH(P$3,$B$3:$V$3,0)),
NewBuild_Retrofit_selector="Retrofit",(INDEX($B$1:$V$408,MATCH($D237&amp;"-"&amp;"Installation cost",$B$1:$B$408,0),MATCH(P$3,$B$3:$V$3,0))+INDEX($B$1:$V$408,MATCH($D237&amp;"-"&amp;"Extra retrofit cost",$B$1:$B$408,0),MATCH(P$3,$B$3:$V$3,0)))/INDEX($B$1:$V$408,MATCH($D237&amp;"-"&amp;"Lifetime",$B$1:$B$408,0),MATCH(P$3,$B$3:$V$3,0))),0)</f>
        <v>0</v>
      </c>
      <c r="Q237" s="585" cm="1">
        <f t="array" aca="1" ref="Q237" ca="1">IFERROR(
_xlfn.IFS(NewBuild_Retrofit_selector="Newbuild",INDEX($B$1:$V$408,MATCH($D237&amp;"-"&amp;"Installation cost",$B$1:$B$408,0),MATCH(Q$3,$B$3:$V$3,0))/INDEX($B$1:$V$408,MATCH($D237&amp;"-"&amp;"Lifetime",$B$1:$B$408,0),MATCH(Q$3,$B$3:$V$3,0)),
NewBuild_Retrofit_selector="Retrofit",(INDEX($B$1:$V$408,MATCH($D237&amp;"-"&amp;"Installation cost",$B$1:$B$408,0),MATCH(Q$3,$B$3:$V$3,0))+INDEX($B$1:$V$408,MATCH($D237&amp;"-"&amp;"Extra retrofit cost",$B$1:$B$408,0),MATCH(Q$3,$B$3:$V$3,0)))/INDEX($B$1:$V$408,MATCH($D237&amp;"-"&amp;"Lifetime",$B$1:$B$408,0),MATCH(Q$3,$B$3:$V$3,0))),0)</f>
        <v>0</v>
      </c>
      <c r="R237" s="585" cm="1">
        <f t="array" aca="1" ref="R237" ca="1">IFERROR(
_xlfn.IFS(NewBuild_Retrofit_selector="Newbuild",INDEX($B$1:$V$408,MATCH($D237&amp;"-"&amp;"Installation cost",$B$1:$B$408,0),MATCH(R$3,$B$3:$V$3,0))/INDEX($B$1:$V$408,MATCH($D237&amp;"-"&amp;"Lifetime",$B$1:$B$408,0),MATCH(R$3,$B$3:$V$3,0)),
NewBuild_Retrofit_selector="Retrofit",(INDEX($B$1:$V$408,MATCH($D237&amp;"-"&amp;"Installation cost",$B$1:$B$408,0),MATCH(R$3,$B$3:$V$3,0))+INDEX($B$1:$V$408,MATCH($D237&amp;"-"&amp;"Extra retrofit cost",$B$1:$B$408,0),MATCH(R$3,$B$3:$V$3,0)))/INDEX($B$1:$V$408,MATCH($D237&amp;"-"&amp;"Lifetime",$B$1:$B$408,0),MATCH(R$3,$B$3:$V$3,0))),0)</f>
        <v>0</v>
      </c>
      <c r="S237" s="585" cm="1">
        <f t="array" aca="1" ref="S237" ca="1">IFERROR(
_xlfn.IFS(NewBuild_Retrofit_selector="Newbuild",INDEX($B$1:$V$408,MATCH($D237&amp;"-"&amp;"Installation cost",$B$1:$B$408,0),MATCH(S$3,$B$3:$V$3,0))/INDEX($B$1:$V$408,MATCH($D237&amp;"-"&amp;"Lifetime",$B$1:$B$408,0),MATCH(S$3,$B$3:$V$3,0)),
NewBuild_Retrofit_selector="Retrofit",(INDEX($B$1:$V$408,MATCH($D237&amp;"-"&amp;"Installation cost",$B$1:$B$408,0),MATCH(S$3,$B$3:$V$3,0))+INDEX($B$1:$V$408,MATCH($D237&amp;"-"&amp;"Extra retrofit cost",$B$1:$B$408,0),MATCH(S$3,$B$3:$V$3,0)))/INDEX($B$1:$V$408,MATCH($D237&amp;"-"&amp;"Lifetime",$B$1:$B$408,0),MATCH(S$3,$B$3:$V$3,0))),0)</f>
        <v>0</v>
      </c>
      <c r="T237" s="585" cm="1">
        <f t="array" aca="1" ref="T237" ca="1">IFERROR(
_xlfn.IFS(NewBuild_Retrofit_selector="Newbuild",INDEX($B$1:$V$408,MATCH($D237&amp;"-"&amp;"Installation cost",$B$1:$B$408,0),MATCH(T$3,$B$3:$V$3,0))/INDEX($B$1:$V$408,MATCH($D237&amp;"-"&amp;"Lifetime",$B$1:$B$408,0),MATCH(T$3,$B$3:$V$3,0)),
NewBuild_Retrofit_selector="Retrofit",(INDEX($B$1:$V$408,MATCH($D237&amp;"-"&amp;"Installation cost",$B$1:$B$408,0),MATCH(T$3,$B$3:$V$3,0))+INDEX($B$1:$V$408,MATCH($D237&amp;"-"&amp;"Extra retrofit cost",$B$1:$B$408,0),MATCH(T$3,$B$3:$V$3,0)))/INDEX($B$1:$V$408,MATCH($D237&amp;"-"&amp;"Lifetime",$B$1:$B$408,0),MATCH(T$3,$B$3:$V$3,0))),0)</f>
        <v>0</v>
      </c>
      <c r="U237" s="356"/>
      <c r="V237" s="356"/>
    </row>
    <row r="238" spans="2:22" x14ac:dyDescent="0.2">
      <c r="B238" s="392" t="str">
        <f t="shared" si="4"/>
        <v>Sails-Extra retrofit cost</v>
      </c>
      <c r="C238" s="392" t="s">
        <v>634</v>
      </c>
      <c r="D238" s="396" t="s">
        <v>154</v>
      </c>
      <c r="E238" s="392" t="s">
        <v>635</v>
      </c>
      <c r="F238" s="585">
        <v>0</v>
      </c>
      <c r="G238" s="585">
        <v>0</v>
      </c>
      <c r="H238" s="585">
        <v>0</v>
      </c>
      <c r="I238" s="585">
        <v>0</v>
      </c>
      <c r="J238" s="585">
        <v>0</v>
      </c>
      <c r="K238" s="585">
        <v>0</v>
      </c>
      <c r="L238" s="585">
        <v>0</v>
      </c>
      <c r="M238" s="585">
        <v>0</v>
      </c>
      <c r="N238" s="585">
        <v>0</v>
      </c>
      <c r="O238" s="585">
        <v>0</v>
      </c>
      <c r="P238" s="585">
        <v>0</v>
      </c>
      <c r="Q238" s="585">
        <v>0</v>
      </c>
      <c r="R238" s="585">
        <v>0</v>
      </c>
      <c r="S238" s="585">
        <v>0</v>
      </c>
      <c r="T238" s="585">
        <v>0</v>
      </c>
      <c r="U238" s="356"/>
      <c r="V238" s="356"/>
    </row>
    <row r="239" spans="2:22" x14ac:dyDescent="0.2">
      <c r="B239" s="392" t="str">
        <f t="shared" si="4"/>
        <v>Sails-Installation cost</v>
      </c>
      <c r="C239" s="392" t="s">
        <v>452</v>
      </c>
      <c r="D239" s="401" t="s">
        <v>154</v>
      </c>
      <c r="E239" s="392" t="s">
        <v>635</v>
      </c>
      <c r="F239" s="585">
        <v>0</v>
      </c>
      <c r="G239" s="585">
        <v>0</v>
      </c>
      <c r="H239" s="585">
        <v>0</v>
      </c>
      <c r="I239" s="585">
        <v>0</v>
      </c>
      <c r="J239" s="585">
        <v>0</v>
      </c>
      <c r="K239" s="585">
        <v>0</v>
      </c>
      <c r="L239" s="585">
        <v>800000</v>
      </c>
      <c r="M239" s="585">
        <v>900000</v>
      </c>
      <c r="N239" s="585">
        <v>1000000</v>
      </c>
      <c r="O239" s="585">
        <v>800000</v>
      </c>
      <c r="P239" s="585">
        <v>900000</v>
      </c>
      <c r="Q239" s="585">
        <v>1000000</v>
      </c>
      <c r="R239" s="585">
        <v>800000</v>
      </c>
      <c r="S239" s="585">
        <v>900000</v>
      </c>
      <c r="T239" s="585">
        <v>1000000</v>
      </c>
      <c r="U239" s="356" t="s">
        <v>624</v>
      </c>
      <c r="V239" s="356"/>
    </row>
    <row r="240" spans="2:22" x14ac:dyDescent="0.2">
      <c r="B240" s="392" t="str">
        <f t="shared" si="4"/>
        <v>Sails-Lifetime</v>
      </c>
      <c r="C240" s="392" t="s">
        <v>520</v>
      </c>
      <c r="D240" s="396" t="s">
        <v>154</v>
      </c>
      <c r="E240" s="392" t="s">
        <v>176</v>
      </c>
      <c r="F240" s="356">
        <v>0</v>
      </c>
      <c r="G240" s="356">
        <v>0</v>
      </c>
      <c r="H240" s="356">
        <v>0</v>
      </c>
      <c r="I240" s="356">
        <v>0</v>
      </c>
      <c r="J240" s="356">
        <v>0</v>
      </c>
      <c r="K240" s="356">
        <v>0</v>
      </c>
      <c r="L240" s="356">
        <v>10</v>
      </c>
      <c r="M240" s="356">
        <v>10</v>
      </c>
      <c r="N240" s="356">
        <v>10</v>
      </c>
      <c r="O240" s="356">
        <v>10</v>
      </c>
      <c r="P240" s="356">
        <v>10</v>
      </c>
      <c r="Q240" s="356">
        <v>10</v>
      </c>
      <c r="R240" s="356">
        <v>10</v>
      </c>
      <c r="S240" s="356">
        <v>10</v>
      </c>
      <c r="T240" s="356">
        <v>10</v>
      </c>
      <c r="U240" s="356" t="s">
        <v>624</v>
      </c>
      <c r="V240" s="356"/>
    </row>
    <row r="241" spans="2:22" x14ac:dyDescent="0.2">
      <c r="B241" s="392" t="str">
        <f t="shared" si="4"/>
        <v>Sails-OPEX</v>
      </c>
      <c r="C241" s="392" t="s">
        <v>319</v>
      </c>
      <c r="D241" s="392" t="s">
        <v>154</v>
      </c>
      <c r="E241" s="392" t="s">
        <v>630</v>
      </c>
      <c r="F241" s="585">
        <v>0</v>
      </c>
      <c r="G241" s="585">
        <v>0</v>
      </c>
      <c r="H241" s="585">
        <v>0</v>
      </c>
      <c r="I241" s="585">
        <v>0</v>
      </c>
      <c r="J241" s="585">
        <v>0</v>
      </c>
      <c r="K241" s="585">
        <v>0</v>
      </c>
      <c r="L241" s="585">
        <v>80000</v>
      </c>
      <c r="M241" s="585">
        <v>90000</v>
      </c>
      <c r="N241" s="585">
        <v>100000</v>
      </c>
      <c r="O241" s="585">
        <v>80000</v>
      </c>
      <c r="P241" s="585">
        <v>90000</v>
      </c>
      <c r="Q241" s="585">
        <v>100000</v>
      </c>
      <c r="R241" s="585">
        <v>80000</v>
      </c>
      <c r="S241" s="585">
        <v>90000</v>
      </c>
      <c r="T241" s="585">
        <v>100000</v>
      </c>
      <c r="U241" s="356" t="s">
        <v>624</v>
      </c>
      <c r="V241" s="356"/>
    </row>
    <row r="242" spans="2:22" x14ac:dyDescent="0.2">
      <c r="B242" s="392" t="str">
        <f t="shared" si="4"/>
        <v>Sails-Saving</v>
      </c>
      <c r="C242" s="392" t="s">
        <v>458</v>
      </c>
      <c r="D242" s="392" t="s">
        <v>154</v>
      </c>
      <c r="E242" s="392" t="s">
        <v>178</v>
      </c>
      <c r="F242" s="359">
        <v>0</v>
      </c>
      <c r="G242" s="359">
        <v>0</v>
      </c>
      <c r="H242" s="359">
        <v>0</v>
      </c>
      <c r="I242" s="359">
        <v>0</v>
      </c>
      <c r="J242" s="359">
        <v>0</v>
      </c>
      <c r="K242" s="359">
        <v>0</v>
      </c>
      <c r="L242" s="359">
        <v>0.04</v>
      </c>
      <c r="M242" s="359">
        <v>0.04</v>
      </c>
      <c r="N242" s="359">
        <v>0.03</v>
      </c>
      <c r="O242" s="359">
        <v>0.04</v>
      </c>
      <c r="P242" s="359">
        <v>0.04</v>
      </c>
      <c r="Q242" s="359">
        <v>0.03</v>
      </c>
      <c r="R242" s="359">
        <v>0.04</v>
      </c>
      <c r="S242" s="359">
        <v>0.04</v>
      </c>
      <c r="T242" s="359">
        <v>0.03</v>
      </c>
      <c r="U242" s="356" t="s">
        <v>627</v>
      </c>
      <c r="V242" s="356"/>
    </row>
    <row r="243" spans="2:22" x14ac:dyDescent="0.2">
      <c r="B243" s="392" t="str">
        <f t="shared" si="4"/>
        <v>Sails-UptakeFleetAvg2020</v>
      </c>
      <c r="C243" s="392" t="s">
        <v>650</v>
      </c>
      <c r="D243" s="392" t="s">
        <v>154</v>
      </c>
      <c r="E243" s="392" t="s">
        <v>178</v>
      </c>
      <c r="F243" s="359">
        <v>0</v>
      </c>
      <c r="G243" s="359">
        <v>0</v>
      </c>
      <c r="H243" s="359">
        <v>0</v>
      </c>
      <c r="I243" s="359">
        <v>0</v>
      </c>
      <c r="J243" s="359">
        <v>0</v>
      </c>
      <c r="K243" s="359">
        <v>0</v>
      </c>
      <c r="L243" s="359">
        <v>0</v>
      </c>
      <c r="M243" s="359">
        <v>0</v>
      </c>
      <c r="N243" s="359">
        <v>0</v>
      </c>
      <c r="O243" s="359">
        <v>0</v>
      </c>
      <c r="P243" s="359">
        <v>0</v>
      </c>
      <c r="Q243" s="359">
        <v>0</v>
      </c>
      <c r="R243" s="359">
        <v>0</v>
      </c>
      <c r="S243" s="359">
        <v>0</v>
      </c>
      <c r="T243" s="359">
        <v>0</v>
      </c>
      <c r="U243" s="356"/>
      <c r="V243" s="356"/>
    </row>
    <row r="244" spans="2:22" x14ac:dyDescent="0.2">
      <c r="B244" s="392" t="str">
        <f t="shared" si="4"/>
        <v>Sails-UptakeNewbuild2020</v>
      </c>
      <c r="C244" s="392" t="s">
        <v>652</v>
      </c>
      <c r="D244" s="392" t="s">
        <v>154</v>
      </c>
      <c r="E244" s="392" t="s">
        <v>178</v>
      </c>
      <c r="F244" s="359">
        <v>0</v>
      </c>
      <c r="G244" s="359">
        <v>0</v>
      </c>
      <c r="H244" s="359">
        <v>0</v>
      </c>
      <c r="I244" s="359">
        <v>0</v>
      </c>
      <c r="J244" s="359">
        <v>0</v>
      </c>
      <c r="K244" s="359">
        <v>0</v>
      </c>
      <c r="L244" s="359">
        <v>0</v>
      </c>
      <c r="M244" s="359">
        <v>0</v>
      </c>
      <c r="N244" s="359">
        <v>0</v>
      </c>
      <c r="O244" s="359">
        <v>0</v>
      </c>
      <c r="P244" s="359">
        <v>0</v>
      </c>
      <c r="Q244" s="359">
        <v>0</v>
      </c>
      <c r="R244" s="359">
        <v>0</v>
      </c>
      <c r="S244" s="359">
        <v>0</v>
      </c>
      <c r="T244" s="359">
        <v>0</v>
      </c>
      <c r="U244" s="356" t="s">
        <v>651</v>
      </c>
      <c r="V244" s="356"/>
    </row>
    <row r="245" spans="2:22" x14ac:dyDescent="0.2">
      <c r="B245" s="392" t="str">
        <f t="shared" si="4"/>
        <v>Shaft generator-Applicable Newbuild</v>
      </c>
      <c r="C245" s="392" t="s">
        <v>621</v>
      </c>
      <c r="D245" s="395" t="s">
        <v>157</v>
      </c>
      <c r="E245" s="392" t="s">
        <v>622</v>
      </c>
      <c r="F245" s="356">
        <v>0</v>
      </c>
      <c r="G245" s="356">
        <v>0</v>
      </c>
      <c r="H245" s="356">
        <v>0</v>
      </c>
      <c r="I245" s="356">
        <v>0</v>
      </c>
      <c r="J245" s="356">
        <v>0</v>
      </c>
      <c r="K245" s="356">
        <v>0</v>
      </c>
      <c r="L245" s="356">
        <v>0</v>
      </c>
      <c r="M245" s="356">
        <v>0</v>
      </c>
      <c r="N245" s="356">
        <v>0</v>
      </c>
      <c r="O245" s="356">
        <v>0</v>
      </c>
      <c r="P245" s="356">
        <v>0</v>
      </c>
      <c r="Q245" s="356">
        <v>0</v>
      </c>
      <c r="R245" s="356">
        <v>0</v>
      </c>
      <c r="S245" s="356">
        <v>0</v>
      </c>
      <c r="T245" s="356">
        <v>0</v>
      </c>
      <c r="U245" s="356"/>
      <c r="V245" s="356"/>
    </row>
    <row r="246" spans="2:22" x14ac:dyDescent="0.2">
      <c r="B246" s="392" t="str">
        <f t="shared" si="4"/>
        <v>Shaft generator-Applicable Retrofit</v>
      </c>
      <c r="C246" s="392" t="s">
        <v>629</v>
      </c>
      <c r="D246" s="397" t="s">
        <v>157</v>
      </c>
      <c r="E246" s="392" t="s">
        <v>622</v>
      </c>
      <c r="F246" s="356">
        <v>0</v>
      </c>
      <c r="G246" s="356">
        <v>0</v>
      </c>
      <c r="H246" s="356">
        <v>0</v>
      </c>
      <c r="I246" s="356">
        <v>0</v>
      </c>
      <c r="J246" s="356">
        <v>0</v>
      </c>
      <c r="K246" s="356">
        <v>0</v>
      </c>
      <c r="L246" s="356">
        <v>0</v>
      </c>
      <c r="M246" s="356">
        <v>0</v>
      </c>
      <c r="N246" s="356">
        <v>0</v>
      </c>
      <c r="O246" s="356">
        <v>0</v>
      </c>
      <c r="P246" s="356">
        <v>0</v>
      </c>
      <c r="Q246" s="356">
        <v>0</v>
      </c>
      <c r="R246" s="356">
        <v>0</v>
      </c>
      <c r="S246" s="356">
        <v>0</v>
      </c>
      <c r="T246" s="356">
        <v>0</v>
      </c>
      <c r="U246" s="356" t="s">
        <v>625</v>
      </c>
      <c r="V246" s="356"/>
    </row>
    <row r="247" spans="2:22" x14ac:dyDescent="0.2">
      <c r="B247" s="392" t="str">
        <f t="shared" si="4"/>
        <v>Shaft generator-CAPEX</v>
      </c>
      <c r="C247" s="392" t="s">
        <v>50</v>
      </c>
      <c r="D247" s="397" t="s">
        <v>157</v>
      </c>
      <c r="E247" s="392" t="s">
        <v>630</v>
      </c>
      <c r="F247" s="585" cm="1">
        <f t="array" aca="1" ref="F247" ca="1">IFERROR(
_xlfn.IFS(NewBuild_Retrofit_selector="Newbuild",INDEX($B$1:$V$408,MATCH($D247&amp;"-"&amp;"Installation cost",$B$1:$B$408,0),MATCH(F$3,$B$3:$V$3,0))/INDEX($B$1:$V$408,MATCH($D247&amp;"-"&amp;"Lifetime",$B$1:$B$408,0),MATCH(F$3,$B$3:$V$3,0)),
NewBuild_Retrofit_selector="Retrofit",(INDEX($B$1:$V$408,MATCH($D247&amp;"-"&amp;"Installation cost",$B$1:$B$408,0),MATCH(F$3,$B$3:$V$3,0))+INDEX($B$1:$V$408,MATCH($D247&amp;"-"&amp;"Extra retrofit cost",$B$1:$B$408,0),MATCH(F$3,$B$3:$V$3,0)))/INDEX($B$1:$V$408,MATCH($D247&amp;"-"&amp;"Lifetime",$B$1:$B$408,0),MATCH(F$3,$B$3:$V$3,0))),0)</f>
        <v>0</v>
      </c>
      <c r="G247" s="585" cm="1">
        <f t="array" aca="1" ref="G247" ca="1">IFERROR(
_xlfn.IFS(NewBuild_Retrofit_selector="Newbuild",INDEX($B$1:$V$408,MATCH($D247&amp;"-"&amp;"Installation cost",$B$1:$B$408,0),MATCH(G$3,$B$3:$V$3,0))/INDEX($B$1:$V$408,MATCH($D247&amp;"-"&amp;"Lifetime",$B$1:$B$408,0),MATCH(G$3,$B$3:$V$3,0)),
NewBuild_Retrofit_selector="Retrofit",(INDEX($B$1:$V$408,MATCH($D247&amp;"-"&amp;"Installation cost",$B$1:$B$408,0),MATCH(G$3,$B$3:$V$3,0))+INDEX($B$1:$V$408,MATCH($D247&amp;"-"&amp;"Extra retrofit cost",$B$1:$B$408,0),MATCH(G$3,$B$3:$V$3,0)))/INDEX($B$1:$V$408,MATCH($D247&amp;"-"&amp;"Lifetime",$B$1:$B$408,0),MATCH(G$3,$B$3:$V$3,0))),0)</f>
        <v>0</v>
      </c>
      <c r="H247" s="585" cm="1">
        <f t="array" aca="1" ref="H247" ca="1">IFERROR(
_xlfn.IFS(NewBuild_Retrofit_selector="Newbuild",INDEX($B$1:$V$408,MATCH($D247&amp;"-"&amp;"Installation cost",$B$1:$B$408,0),MATCH(H$3,$B$3:$V$3,0))/INDEX($B$1:$V$408,MATCH($D247&amp;"-"&amp;"Lifetime",$B$1:$B$408,0),MATCH(H$3,$B$3:$V$3,0)),
NewBuild_Retrofit_selector="Retrofit",(INDEX($B$1:$V$408,MATCH($D247&amp;"-"&amp;"Installation cost",$B$1:$B$408,0),MATCH(H$3,$B$3:$V$3,0))+INDEX($B$1:$V$408,MATCH($D247&amp;"-"&amp;"Extra retrofit cost",$B$1:$B$408,0),MATCH(H$3,$B$3:$V$3,0)))/INDEX($B$1:$V$408,MATCH($D247&amp;"-"&amp;"Lifetime",$B$1:$B$408,0),MATCH(H$3,$B$3:$V$3,0))),0)</f>
        <v>0</v>
      </c>
      <c r="I247" s="585" cm="1">
        <f t="array" aca="1" ref="I247" ca="1">IFERROR(
_xlfn.IFS(NewBuild_Retrofit_selector="Newbuild",INDEX($B$1:$V$408,MATCH($D247&amp;"-"&amp;"Installation cost",$B$1:$B$408,0),MATCH(I$3,$B$3:$V$3,0))/INDEX($B$1:$V$408,MATCH($D247&amp;"-"&amp;"Lifetime",$B$1:$B$408,0),MATCH(I$3,$B$3:$V$3,0)),
NewBuild_Retrofit_selector="Retrofit",(INDEX($B$1:$V$408,MATCH($D247&amp;"-"&amp;"Installation cost",$B$1:$B$408,0),MATCH(I$3,$B$3:$V$3,0))+INDEX($B$1:$V$408,MATCH($D247&amp;"-"&amp;"Extra retrofit cost",$B$1:$B$408,0),MATCH(I$3,$B$3:$V$3,0)))/INDEX($B$1:$V$408,MATCH($D247&amp;"-"&amp;"Lifetime",$B$1:$B$408,0),MATCH(I$3,$B$3:$V$3,0))),0)</f>
        <v>0</v>
      </c>
      <c r="J247" s="585" cm="1">
        <f t="array" aca="1" ref="J247" ca="1">IFERROR(
_xlfn.IFS(NewBuild_Retrofit_selector="Newbuild",INDEX($B$1:$V$408,MATCH($D247&amp;"-"&amp;"Installation cost",$B$1:$B$408,0),MATCH(J$3,$B$3:$V$3,0))/INDEX($B$1:$V$408,MATCH($D247&amp;"-"&amp;"Lifetime",$B$1:$B$408,0),MATCH(J$3,$B$3:$V$3,0)),
NewBuild_Retrofit_selector="Retrofit",(INDEX($B$1:$V$408,MATCH($D247&amp;"-"&amp;"Installation cost",$B$1:$B$408,0),MATCH(J$3,$B$3:$V$3,0))+INDEX($B$1:$V$408,MATCH($D247&amp;"-"&amp;"Extra retrofit cost",$B$1:$B$408,0),MATCH(J$3,$B$3:$V$3,0)))/INDEX($B$1:$V$408,MATCH($D247&amp;"-"&amp;"Lifetime",$B$1:$B$408,0),MATCH(J$3,$B$3:$V$3,0))),0)</f>
        <v>0</v>
      </c>
      <c r="K247" s="585" cm="1">
        <f t="array" aca="1" ref="K247" ca="1">IFERROR(
_xlfn.IFS(NewBuild_Retrofit_selector="Newbuild",INDEX($B$1:$V$408,MATCH($D247&amp;"-"&amp;"Installation cost",$B$1:$B$408,0),MATCH(K$3,$B$3:$V$3,0))/INDEX($B$1:$V$408,MATCH($D247&amp;"-"&amp;"Lifetime",$B$1:$B$408,0),MATCH(K$3,$B$3:$V$3,0)),
NewBuild_Retrofit_selector="Retrofit",(INDEX($B$1:$V$408,MATCH($D247&amp;"-"&amp;"Installation cost",$B$1:$B$408,0),MATCH(K$3,$B$3:$V$3,0))+INDEX($B$1:$V$408,MATCH($D247&amp;"-"&amp;"Extra retrofit cost",$B$1:$B$408,0),MATCH(K$3,$B$3:$V$3,0)))/INDEX($B$1:$V$408,MATCH($D247&amp;"-"&amp;"Lifetime",$B$1:$B$408,0),MATCH(K$3,$B$3:$V$3,0))),0)</f>
        <v>0</v>
      </c>
      <c r="L247" s="585" cm="1">
        <f t="array" aca="1" ref="L247" ca="1">IFERROR(
_xlfn.IFS(NewBuild_Retrofit_selector="Newbuild",INDEX($B$1:$V$408,MATCH($D247&amp;"-"&amp;"Installation cost",$B$1:$B$408,0),MATCH(L$3,$B$3:$V$3,0))/INDEX($B$1:$V$408,MATCH($D247&amp;"-"&amp;"Lifetime",$B$1:$B$408,0),MATCH(L$3,$B$3:$V$3,0)),
NewBuild_Retrofit_selector="Retrofit",(INDEX($B$1:$V$408,MATCH($D247&amp;"-"&amp;"Installation cost",$B$1:$B$408,0),MATCH(L$3,$B$3:$V$3,0))+INDEX($B$1:$V$408,MATCH($D247&amp;"-"&amp;"Extra retrofit cost",$B$1:$B$408,0),MATCH(L$3,$B$3:$V$3,0)))/INDEX($B$1:$V$408,MATCH($D247&amp;"-"&amp;"Lifetime",$B$1:$B$408,0),MATCH(L$3,$B$3:$V$3,0))),0)</f>
        <v>0</v>
      </c>
      <c r="M247" s="585" cm="1">
        <f t="array" aca="1" ref="M247" ca="1">IFERROR(
_xlfn.IFS(NewBuild_Retrofit_selector="Newbuild",INDEX($B$1:$V$408,MATCH($D247&amp;"-"&amp;"Installation cost",$B$1:$B$408,0),MATCH(M$3,$B$3:$V$3,0))/INDEX($B$1:$V$408,MATCH($D247&amp;"-"&amp;"Lifetime",$B$1:$B$408,0),MATCH(M$3,$B$3:$V$3,0)),
NewBuild_Retrofit_selector="Retrofit",(INDEX($B$1:$V$408,MATCH($D247&amp;"-"&amp;"Installation cost",$B$1:$B$408,0),MATCH(M$3,$B$3:$V$3,0))+INDEX($B$1:$V$408,MATCH($D247&amp;"-"&amp;"Extra retrofit cost",$B$1:$B$408,0),MATCH(M$3,$B$3:$V$3,0)))/INDEX($B$1:$V$408,MATCH($D247&amp;"-"&amp;"Lifetime",$B$1:$B$408,0),MATCH(M$3,$B$3:$V$3,0))),0)</f>
        <v>0</v>
      </c>
      <c r="N247" s="585" cm="1">
        <f t="array" aca="1" ref="N247" ca="1">IFERROR(
_xlfn.IFS(NewBuild_Retrofit_selector="Newbuild",INDEX($B$1:$V$408,MATCH($D247&amp;"-"&amp;"Installation cost",$B$1:$B$408,0),MATCH(N$3,$B$3:$V$3,0))/INDEX($B$1:$V$408,MATCH($D247&amp;"-"&amp;"Lifetime",$B$1:$B$408,0),MATCH(N$3,$B$3:$V$3,0)),
NewBuild_Retrofit_selector="Retrofit",(INDEX($B$1:$V$408,MATCH($D247&amp;"-"&amp;"Installation cost",$B$1:$B$408,0),MATCH(N$3,$B$3:$V$3,0))+INDEX($B$1:$V$408,MATCH($D247&amp;"-"&amp;"Extra retrofit cost",$B$1:$B$408,0),MATCH(N$3,$B$3:$V$3,0)))/INDEX($B$1:$V$408,MATCH($D247&amp;"-"&amp;"Lifetime",$B$1:$B$408,0),MATCH(N$3,$B$3:$V$3,0))),0)</f>
        <v>0</v>
      </c>
      <c r="O247" s="585" cm="1">
        <f t="array" aca="1" ref="O247" ca="1">IFERROR(
_xlfn.IFS(NewBuild_Retrofit_selector="Newbuild",INDEX($B$1:$V$408,MATCH($D247&amp;"-"&amp;"Installation cost",$B$1:$B$408,0),MATCH(O$3,$B$3:$V$3,0))/INDEX($B$1:$V$408,MATCH($D247&amp;"-"&amp;"Lifetime",$B$1:$B$408,0),MATCH(O$3,$B$3:$V$3,0)),
NewBuild_Retrofit_selector="Retrofit",(INDEX($B$1:$V$408,MATCH($D247&amp;"-"&amp;"Installation cost",$B$1:$B$408,0),MATCH(O$3,$B$3:$V$3,0))+INDEX($B$1:$V$408,MATCH($D247&amp;"-"&amp;"Extra retrofit cost",$B$1:$B$408,0),MATCH(O$3,$B$3:$V$3,0)))/INDEX($B$1:$V$408,MATCH($D247&amp;"-"&amp;"Lifetime",$B$1:$B$408,0),MATCH(O$3,$B$3:$V$3,0))),0)</f>
        <v>0</v>
      </c>
      <c r="P247" s="585" cm="1">
        <f t="array" aca="1" ref="P247" ca="1">IFERROR(
_xlfn.IFS(NewBuild_Retrofit_selector="Newbuild",INDEX($B$1:$V$408,MATCH($D247&amp;"-"&amp;"Installation cost",$B$1:$B$408,0),MATCH(P$3,$B$3:$V$3,0))/INDEX($B$1:$V$408,MATCH($D247&amp;"-"&amp;"Lifetime",$B$1:$B$408,0),MATCH(P$3,$B$3:$V$3,0)),
NewBuild_Retrofit_selector="Retrofit",(INDEX($B$1:$V$408,MATCH($D247&amp;"-"&amp;"Installation cost",$B$1:$B$408,0),MATCH(P$3,$B$3:$V$3,0))+INDEX($B$1:$V$408,MATCH($D247&amp;"-"&amp;"Extra retrofit cost",$B$1:$B$408,0),MATCH(P$3,$B$3:$V$3,0)))/INDEX($B$1:$V$408,MATCH($D247&amp;"-"&amp;"Lifetime",$B$1:$B$408,0),MATCH(P$3,$B$3:$V$3,0))),0)</f>
        <v>0</v>
      </c>
      <c r="Q247" s="585" cm="1">
        <f t="array" aca="1" ref="Q247" ca="1">IFERROR(
_xlfn.IFS(NewBuild_Retrofit_selector="Newbuild",INDEX($B$1:$V$408,MATCH($D247&amp;"-"&amp;"Installation cost",$B$1:$B$408,0),MATCH(Q$3,$B$3:$V$3,0))/INDEX($B$1:$V$408,MATCH($D247&amp;"-"&amp;"Lifetime",$B$1:$B$408,0),MATCH(Q$3,$B$3:$V$3,0)),
NewBuild_Retrofit_selector="Retrofit",(INDEX($B$1:$V$408,MATCH($D247&amp;"-"&amp;"Installation cost",$B$1:$B$408,0),MATCH(Q$3,$B$3:$V$3,0))+INDEX($B$1:$V$408,MATCH($D247&amp;"-"&amp;"Extra retrofit cost",$B$1:$B$408,0),MATCH(Q$3,$B$3:$V$3,0)))/INDEX($B$1:$V$408,MATCH($D247&amp;"-"&amp;"Lifetime",$B$1:$B$408,0),MATCH(Q$3,$B$3:$V$3,0))),0)</f>
        <v>0</v>
      </c>
      <c r="R247" s="585" cm="1">
        <f t="array" aca="1" ref="R247" ca="1">IFERROR(
_xlfn.IFS(NewBuild_Retrofit_selector="Newbuild",INDEX($B$1:$V$408,MATCH($D247&amp;"-"&amp;"Installation cost",$B$1:$B$408,0),MATCH(R$3,$B$3:$V$3,0))/INDEX($B$1:$V$408,MATCH($D247&amp;"-"&amp;"Lifetime",$B$1:$B$408,0),MATCH(R$3,$B$3:$V$3,0)),
NewBuild_Retrofit_selector="Retrofit",(INDEX($B$1:$V$408,MATCH($D247&amp;"-"&amp;"Installation cost",$B$1:$B$408,0),MATCH(R$3,$B$3:$V$3,0))+INDEX($B$1:$V$408,MATCH($D247&amp;"-"&amp;"Extra retrofit cost",$B$1:$B$408,0),MATCH(R$3,$B$3:$V$3,0)))/INDEX($B$1:$V$408,MATCH($D247&amp;"-"&amp;"Lifetime",$B$1:$B$408,0),MATCH(R$3,$B$3:$V$3,0))),0)</f>
        <v>0</v>
      </c>
      <c r="S247" s="585" cm="1">
        <f t="array" aca="1" ref="S247" ca="1">IFERROR(
_xlfn.IFS(NewBuild_Retrofit_selector="Newbuild",INDEX($B$1:$V$408,MATCH($D247&amp;"-"&amp;"Installation cost",$B$1:$B$408,0),MATCH(S$3,$B$3:$V$3,0))/INDEX($B$1:$V$408,MATCH($D247&amp;"-"&amp;"Lifetime",$B$1:$B$408,0),MATCH(S$3,$B$3:$V$3,0)),
NewBuild_Retrofit_selector="Retrofit",(INDEX($B$1:$V$408,MATCH($D247&amp;"-"&amp;"Installation cost",$B$1:$B$408,0),MATCH(S$3,$B$3:$V$3,0))+INDEX($B$1:$V$408,MATCH($D247&amp;"-"&amp;"Extra retrofit cost",$B$1:$B$408,0),MATCH(S$3,$B$3:$V$3,0)))/INDEX($B$1:$V$408,MATCH($D247&amp;"-"&amp;"Lifetime",$B$1:$B$408,0),MATCH(S$3,$B$3:$V$3,0))),0)</f>
        <v>0</v>
      </c>
      <c r="T247" s="585" cm="1">
        <f t="array" aca="1" ref="T247" ca="1">IFERROR(
_xlfn.IFS(NewBuild_Retrofit_selector="Newbuild",INDEX($B$1:$V$408,MATCH($D247&amp;"-"&amp;"Installation cost",$B$1:$B$408,0),MATCH(T$3,$B$3:$V$3,0))/INDEX($B$1:$V$408,MATCH($D247&amp;"-"&amp;"Lifetime",$B$1:$B$408,0),MATCH(T$3,$B$3:$V$3,0)),
NewBuild_Retrofit_selector="Retrofit",(INDEX($B$1:$V$408,MATCH($D247&amp;"-"&amp;"Installation cost",$B$1:$B$408,0),MATCH(T$3,$B$3:$V$3,0))+INDEX($B$1:$V$408,MATCH($D247&amp;"-"&amp;"Extra retrofit cost",$B$1:$B$408,0),MATCH(T$3,$B$3:$V$3,0)))/INDEX($B$1:$V$408,MATCH($D247&amp;"-"&amp;"Lifetime",$B$1:$B$408,0),MATCH(T$3,$B$3:$V$3,0))),0)</f>
        <v>0</v>
      </c>
      <c r="U247" s="356"/>
      <c r="V247" s="356"/>
    </row>
    <row r="248" spans="2:22" x14ac:dyDescent="0.2">
      <c r="B248" s="392" t="str">
        <f t="shared" si="4"/>
        <v>Shaft generator-Extra retrofit cost</v>
      </c>
      <c r="C248" s="392" t="s">
        <v>634</v>
      </c>
      <c r="D248" s="397" t="s">
        <v>157</v>
      </c>
      <c r="E248" s="392" t="s">
        <v>635</v>
      </c>
      <c r="F248" s="585">
        <v>799999.99999999977</v>
      </c>
      <c r="G248" s="585">
        <v>799999.99999999977</v>
      </c>
      <c r="H248" s="585">
        <v>799999.99999999977</v>
      </c>
      <c r="I248" s="585">
        <v>799999.99999999977</v>
      </c>
      <c r="J248" s="585">
        <v>799999.99999999977</v>
      </c>
      <c r="K248" s="585">
        <v>799999.99999999977</v>
      </c>
      <c r="L248" s="585">
        <v>799999.99999999977</v>
      </c>
      <c r="M248" s="585">
        <v>799999.99999999977</v>
      </c>
      <c r="N248" s="585">
        <v>799999.99999999977</v>
      </c>
      <c r="O248" s="585">
        <v>799999.99999999977</v>
      </c>
      <c r="P248" s="585">
        <v>799999.99999999977</v>
      </c>
      <c r="Q248" s="585">
        <v>799999.99999999977</v>
      </c>
      <c r="R248" s="585">
        <v>799999.99999999977</v>
      </c>
      <c r="S248" s="585">
        <v>799999.99999999977</v>
      </c>
      <c r="T248" s="585">
        <v>799999.99999999977</v>
      </c>
      <c r="U248" s="356"/>
      <c r="V248" s="356"/>
    </row>
    <row r="249" spans="2:22" x14ac:dyDescent="0.2">
      <c r="B249" s="392" t="str">
        <f t="shared" si="4"/>
        <v>Shaft generator-Installation cost</v>
      </c>
      <c r="C249" s="392" t="s">
        <v>452</v>
      </c>
      <c r="D249" s="397" t="s">
        <v>157</v>
      </c>
      <c r="E249" s="392" t="s">
        <v>635</v>
      </c>
      <c r="F249" s="585">
        <v>2000000</v>
      </c>
      <c r="G249" s="585">
        <v>2500000</v>
      </c>
      <c r="H249" s="585">
        <v>2500000</v>
      </c>
      <c r="I249" s="585">
        <v>1500000</v>
      </c>
      <c r="J249" s="585">
        <v>2500000</v>
      </c>
      <c r="K249" s="585">
        <v>2500000</v>
      </c>
      <c r="L249" s="585">
        <v>1500000</v>
      </c>
      <c r="M249" s="585">
        <v>2500000</v>
      </c>
      <c r="N249" s="585">
        <v>2500000</v>
      </c>
      <c r="O249" s="585">
        <v>300000</v>
      </c>
      <c r="P249" s="585">
        <v>2500000</v>
      </c>
      <c r="Q249" s="585">
        <v>2500000</v>
      </c>
      <c r="R249" s="585">
        <v>1500000</v>
      </c>
      <c r="S249" s="585">
        <v>2500000</v>
      </c>
      <c r="T249" s="585">
        <v>2500000</v>
      </c>
      <c r="U249" s="356" t="s">
        <v>628</v>
      </c>
      <c r="V249" s="356"/>
    </row>
    <row r="250" spans="2:22" x14ac:dyDescent="0.2">
      <c r="B250" s="392" t="str">
        <f t="shared" si="4"/>
        <v>Shaft generator-Lifetime</v>
      </c>
      <c r="C250" s="392" t="s">
        <v>520</v>
      </c>
      <c r="D250" s="399" t="s">
        <v>157</v>
      </c>
      <c r="E250" s="392" t="s">
        <v>176</v>
      </c>
      <c r="F250" s="356">
        <v>25</v>
      </c>
      <c r="G250" s="356">
        <v>25</v>
      </c>
      <c r="H250" s="356">
        <v>25</v>
      </c>
      <c r="I250" s="356">
        <v>25</v>
      </c>
      <c r="J250" s="356">
        <v>25</v>
      </c>
      <c r="K250" s="356">
        <v>25</v>
      </c>
      <c r="L250" s="356">
        <v>25</v>
      </c>
      <c r="M250" s="356">
        <v>25</v>
      </c>
      <c r="N250" s="356">
        <v>25</v>
      </c>
      <c r="O250" s="356">
        <v>25</v>
      </c>
      <c r="P250" s="356">
        <v>25</v>
      </c>
      <c r="Q250" s="356">
        <v>25</v>
      </c>
      <c r="R250" s="356">
        <v>25</v>
      </c>
      <c r="S250" s="356">
        <v>25</v>
      </c>
      <c r="T250" s="356">
        <v>25</v>
      </c>
      <c r="U250" s="356"/>
      <c r="V250" s="356"/>
    </row>
    <row r="251" spans="2:22" x14ac:dyDescent="0.2">
      <c r="B251" s="392" t="str">
        <f t="shared" si="4"/>
        <v>Shaft generator-OPEX</v>
      </c>
      <c r="C251" s="392" t="s">
        <v>319</v>
      </c>
      <c r="D251" s="397" t="s">
        <v>157</v>
      </c>
      <c r="E251" s="392" t="s">
        <v>630</v>
      </c>
      <c r="F251" s="585">
        <v>3000</v>
      </c>
      <c r="G251" s="585">
        <v>4500</v>
      </c>
      <c r="H251" s="585">
        <v>6000</v>
      </c>
      <c r="I251" s="585">
        <v>3000</v>
      </c>
      <c r="J251" s="585">
        <v>4500</v>
      </c>
      <c r="K251" s="585">
        <v>6000</v>
      </c>
      <c r="L251" s="585">
        <v>3000</v>
      </c>
      <c r="M251" s="585">
        <v>4500</v>
      </c>
      <c r="N251" s="585">
        <v>6000</v>
      </c>
      <c r="O251" s="585">
        <v>3000</v>
      </c>
      <c r="P251" s="585">
        <v>4500</v>
      </c>
      <c r="Q251" s="585">
        <v>6000</v>
      </c>
      <c r="R251" s="585">
        <v>3000</v>
      </c>
      <c r="S251" s="585">
        <v>4500</v>
      </c>
      <c r="T251" s="585">
        <v>6000</v>
      </c>
      <c r="U251" s="356"/>
      <c r="V251" s="356"/>
    </row>
    <row r="252" spans="2:22" x14ac:dyDescent="0.2">
      <c r="B252" s="392" t="str">
        <f t="shared" si="4"/>
        <v>Shaft generator-Saving</v>
      </c>
      <c r="C252" s="392" t="s">
        <v>458</v>
      </c>
      <c r="D252" s="397" t="s">
        <v>157</v>
      </c>
      <c r="E252" s="392" t="s">
        <v>178</v>
      </c>
      <c r="F252" s="359">
        <v>3.5000000000000003E-2</v>
      </c>
      <c r="G252" s="359">
        <v>7.0000000000000007E-2</v>
      </c>
      <c r="H252" s="359">
        <v>0.1</v>
      </c>
      <c r="I252" s="359">
        <v>3.5000000000000003E-2</v>
      </c>
      <c r="J252" s="359">
        <v>3.5000000000000003E-2</v>
      </c>
      <c r="K252" s="359">
        <v>3.5000000000000003E-2</v>
      </c>
      <c r="L252" s="359">
        <v>3.5000000000000003E-2</v>
      </c>
      <c r="M252" s="359">
        <v>3.5000000000000003E-2</v>
      </c>
      <c r="N252" s="359">
        <v>3.5000000000000003E-2</v>
      </c>
      <c r="O252" s="359">
        <v>3.5000000000000003E-2</v>
      </c>
      <c r="P252" s="359">
        <v>3.5000000000000003E-2</v>
      </c>
      <c r="Q252" s="359">
        <v>3.5000000000000003E-2</v>
      </c>
      <c r="R252" s="359">
        <v>3.5000000000000003E-2</v>
      </c>
      <c r="S252" s="359">
        <v>3.5000000000000003E-2</v>
      </c>
      <c r="T252" s="359">
        <v>3.5000000000000003E-2</v>
      </c>
      <c r="U252" s="356" t="s">
        <v>625</v>
      </c>
      <c r="V252" s="356"/>
    </row>
    <row r="253" spans="2:22" x14ac:dyDescent="0.2">
      <c r="B253" s="392" t="str">
        <f t="shared" si="4"/>
        <v>Shaft generator-UptakeFleetAvg2020</v>
      </c>
      <c r="C253" s="392" t="s">
        <v>650</v>
      </c>
      <c r="D253" s="397" t="s">
        <v>157</v>
      </c>
      <c r="E253" s="392" t="s">
        <v>178</v>
      </c>
      <c r="F253" s="359">
        <v>0.75</v>
      </c>
      <c r="G253" s="359">
        <v>0.75</v>
      </c>
      <c r="H253" s="359">
        <v>0.75</v>
      </c>
      <c r="I253" s="359">
        <v>0</v>
      </c>
      <c r="J253" s="359">
        <v>0</v>
      </c>
      <c r="K253" s="359">
        <v>0</v>
      </c>
      <c r="L253" s="359">
        <v>0</v>
      </c>
      <c r="M253" s="359">
        <v>0</v>
      </c>
      <c r="N253" s="359">
        <v>0</v>
      </c>
      <c r="O253" s="359">
        <v>0</v>
      </c>
      <c r="P253" s="359">
        <v>0</v>
      </c>
      <c r="Q253" s="359">
        <v>0</v>
      </c>
      <c r="R253" s="359">
        <v>0</v>
      </c>
      <c r="S253" s="359">
        <v>0</v>
      </c>
      <c r="T253" s="359">
        <v>0</v>
      </c>
      <c r="U253" s="356"/>
      <c r="V253" s="356"/>
    </row>
    <row r="254" spans="2:22" x14ac:dyDescent="0.2">
      <c r="B254" s="392" t="str">
        <f t="shared" si="4"/>
        <v>Shaft generator-UptakeNewbuild2020</v>
      </c>
      <c r="C254" s="392" t="s">
        <v>652</v>
      </c>
      <c r="D254" s="397" t="s">
        <v>157</v>
      </c>
      <c r="E254" s="392" t="s">
        <v>178</v>
      </c>
      <c r="F254" s="359">
        <v>0</v>
      </c>
      <c r="G254" s="359">
        <v>0</v>
      </c>
      <c r="H254" s="359">
        <v>0</v>
      </c>
      <c r="I254" s="359">
        <v>0</v>
      </c>
      <c r="J254" s="359">
        <v>0</v>
      </c>
      <c r="K254" s="359">
        <v>0</v>
      </c>
      <c r="L254" s="359">
        <v>0</v>
      </c>
      <c r="M254" s="359">
        <v>0</v>
      </c>
      <c r="N254" s="359">
        <v>0</v>
      </c>
      <c r="O254" s="359">
        <v>0</v>
      </c>
      <c r="P254" s="359">
        <v>0</v>
      </c>
      <c r="Q254" s="359">
        <v>0</v>
      </c>
      <c r="R254" s="359">
        <v>0</v>
      </c>
      <c r="S254" s="359">
        <v>0</v>
      </c>
      <c r="T254" s="359">
        <v>0</v>
      </c>
      <c r="U254" s="356"/>
      <c r="V254" s="356"/>
    </row>
    <row r="255" spans="2:22" x14ac:dyDescent="0.2">
      <c r="B255" s="392" t="str">
        <f t="shared" si="4"/>
        <v>Shaft motor (Driven by WHR)-Applicable Newbuild</v>
      </c>
      <c r="C255" s="392" t="s">
        <v>621</v>
      </c>
      <c r="D255" s="735" t="s">
        <v>141</v>
      </c>
      <c r="E255" s="392" t="s">
        <v>622</v>
      </c>
      <c r="F255" s="356">
        <v>0</v>
      </c>
      <c r="G255" s="356">
        <v>1</v>
      </c>
      <c r="H255" s="356">
        <v>1</v>
      </c>
      <c r="I255" s="356">
        <v>0</v>
      </c>
      <c r="J255" s="356">
        <v>0</v>
      </c>
      <c r="K255" s="356">
        <v>1</v>
      </c>
      <c r="L255" s="356">
        <v>0</v>
      </c>
      <c r="M255" s="356">
        <v>0</v>
      </c>
      <c r="N255" s="356">
        <v>1</v>
      </c>
      <c r="O255" s="356">
        <v>0</v>
      </c>
      <c r="P255" s="356">
        <v>0</v>
      </c>
      <c r="Q255" s="356">
        <v>0</v>
      </c>
      <c r="R255" s="356">
        <v>0</v>
      </c>
      <c r="S255" s="356">
        <v>0</v>
      </c>
      <c r="T255" s="356">
        <v>0</v>
      </c>
      <c r="U255" s="356" t="s">
        <v>628</v>
      </c>
      <c r="V255" s="356"/>
    </row>
    <row r="256" spans="2:22" x14ac:dyDescent="0.2">
      <c r="B256" s="392" t="str">
        <f t="shared" si="4"/>
        <v>Shaft motor (Driven by WHR)-Applicable Retrofit</v>
      </c>
      <c r="C256" s="392" t="s">
        <v>629</v>
      </c>
      <c r="D256" s="735" t="s">
        <v>141</v>
      </c>
      <c r="E256" s="392" t="s">
        <v>622</v>
      </c>
      <c r="F256" s="356">
        <v>0</v>
      </c>
      <c r="G256" s="356">
        <v>0</v>
      </c>
      <c r="H256" s="356">
        <v>0</v>
      </c>
      <c r="I256" s="356">
        <v>0</v>
      </c>
      <c r="J256" s="356">
        <v>0</v>
      </c>
      <c r="K256" s="356">
        <v>0</v>
      </c>
      <c r="L256" s="356">
        <v>0</v>
      </c>
      <c r="M256" s="356">
        <v>0</v>
      </c>
      <c r="N256" s="356">
        <v>0</v>
      </c>
      <c r="O256" s="356">
        <v>0</v>
      </c>
      <c r="P256" s="356">
        <v>0</v>
      </c>
      <c r="Q256" s="356">
        <v>0</v>
      </c>
      <c r="R256" s="356">
        <v>0</v>
      </c>
      <c r="S256" s="356">
        <v>0</v>
      </c>
      <c r="T256" s="356">
        <v>0</v>
      </c>
      <c r="U256" s="356" t="s">
        <v>628</v>
      </c>
      <c r="V256" s="356"/>
    </row>
    <row r="257" spans="2:22" x14ac:dyDescent="0.2">
      <c r="B257" s="392" t="str">
        <f t="shared" si="4"/>
        <v>Shaft motor (Driven by WHR)-CAPEX</v>
      </c>
      <c r="C257" s="392" t="s">
        <v>50</v>
      </c>
      <c r="D257" s="735" t="s">
        <v>141</v>
      </c>
      <c r="E257" s="392" t="s">
        <v>630</v>
      </c>
      <c r="F257" s="585" cm="1">
        <f t="array" aca="1" ref="F257" ca="1">IFERROR(
_xlfn.IFS(NewBuild_Retrofit_selector="Newbuild",INDEX($B$1:$V$408,MATCH($D257&amp;"-"&amp;"Installation cost",$B$1:$B$408,0),MATCH(F$3,$B$3:$V$3,0))/INDEX($B$1:$V$408,MATCH($D257&amp;"-"&amp;"Lifetime",$B$1:$B$408,0),MATCH(F$3,$B$3:$V$3,0)),
NewBuild_Retrofit_selector="Retrofit",(INDEX($B$1:$V$408,MATCH($D257&amp;"-"&amp;"Installation cost",$B$1:$B$408,0),MATCH(F$3,$B$3:$V$3,0))+INDEX($B$1:$V$408,MATCH($D257&amp;"-"&amp;"Extra retrofit cost",$B$1:$B$408,0),MATCH(F$3,$B$3:$V$3,0)))/INDEX($B$1:$V$408,MATCH($D257&amp;"-"&amp;"Lifetime",$B$1:$B$408,0),MATCH(F$3,$B$3:$V$3,0))),0)</f>
        <v>0</v>
      </c>
      <c r="G257" s="585" cm="1">
        <f t="array" aca="1" ref="G257" ca="1">IFERROR(
_xlfn.IFS(NewBuild_Retrofit_selector="Newbuild",INDEX($B$1:$V$408,MATCH($D257&amp;"-"&amp;"Installation cost",$B$1:$B$408,0),MATCH(G$3,$B$3:$V$3,0))/INDEX($B$1:$V$408,MATCH($D257&amp;"-"&amp;"Lifetime",$B$1:$B$408,0),MATCH(G$3,$B$3:$V$3,0)),
NewBuild_Retrofit_selector="Retrofit",(INDEX($B$1:$V$408,MATCH($D257&amp;"-"&amp;"Installation cost",$B$1:$B$408,0),MATCH(G$3,$B$3:$V$3,0))+INDEX($B$1:$V$408,MATCH($D257&amp;"-"&amp;"Extra retrofit cost",$B$1:$B$408,0),MATCH(G$3,$B$3:$V$3,0)))/INDEX($B$1:$V$408,MATCH($D257&amp;"-"&amp;"Lifetime",$B$1:$B$408,0),MATCH(G$3,$B$3:$V$3,0))),0)</f>
        <v>0</v>
      </c>
      <c r="H257" s="585" cm="1">
        <f t="array" aca="1" ref="H257" ca="1">IFERROR(
_xlfn.IFS(NewBuild_Retrofit_selector="Newbuild",INDEX($B$1:$V$408,MATCH($D257&amp;"-"&amp;"Installation cost",$B$1:$B$408,0),MATCH(H$3,$B$3:$V$3,0))/INDEX($B$1:$V$408,MATCH($D257&amp;"-"&amp;"Lifetime",$B$1:$B$408,0),MATCH(H$3,$B$3:$V$3,0)),
NewBuild_Retrofit_selector="Retrofit",(INDEX($B$1:$V$408,MATCH($D257&amp;"-"&amp;"Installation cost",$B$1:$B$408,0),MATCH(H$3,$B$3:$V$3,0))+INDEX($B$1:$V$408,MATCH($D257&amp;"-"&amp;"Extra retrofit cost",$B$1:$B$408,0),MATCH(H$3,$B$3:$V$3,0)))/INDEX($B$1:$V$408,MATCH($D257&amp;"-"&amp;"Lifetime",$B$1:$B$408,0),MATCH(H$3,$B$3:$V$3,0))),0)</f>
        <v>0</v>
      </c>
      <c r="I257" s="585" cm="1">
        <f t="array" aca="1" ref="I257" ca="1">IFERROR(
_xlfn.IFS(NewBuild_Retrofit_selector="Newbuild",INDEX($B$1:$V$408,MATCH($D257&amp;"-"&amp;"Installation cost",$B$1:$B$408,0),MATCH(I$3,$B$3:$V$3,0))/INDEX($B$1:$V$408,MATCH($D257&amp;"-"&amp;"Lifetime",$B$1:$B$408,0),MATCH(I$3,$B$3:$V$3,0)),
NewBuild_Retrofit_selector="Retrofit",(INDEX($B$1:$V$408,MATCH($D257&amp;"-"&amp;"Installation cost",$B$1:$B$408,0),MATCH(I$3,$B$3:$V$3,0))+INDEX($B$1:$V$408,MATCH($D257&amp;"-"&amp;"Extra retrofit cost",$B$1:$B$408,0),MATCH(I$3,$B$3:$V$3,0)))/INDEX($B$1:$V$408,MATCH($D257&amp;"-"&amp;"Lifetime",$B$1:$B$408,0),MATCH(I$3,$B$3:$V$3,0))),0)</f>
        <v>0</v>
      </c>
      <c r="J257" s="585" cm="1">
        <f t="array" aca="1" ref="J257" ca="1">IFERROR(
_xlfn.IFS(NewBuild_Retrofit_selector="Newbuild",INDEX($B$1:$V$408,MATCH($D257&amp;"-"&amp;"Installation cost",$B$1:$B$408,0),MATCH(J$3,$B$3:$V$3,0))/INDEX($B$1:$V$408,MATCH($D257&amp;"-"&amp;"Lifetime",$B$1:$B$408,0),MATCH(J$3,$B$3:$V$3,0)),
NewBuild_Retrofit_selector="Retrofit",(INDEX($B$1:$V$408,MATCH($D257&amp;"-"&amp;"Installation cost",$B$1:$B$408,0),MATCH(J$3,$B$3:$V$3,0))+INDEX($B$1:$V$408,MATCH($D257&amp;"-"&amp;"Extra retrofit cost",$B$1:$B$408,0),MATCH(J$3,$B$3:$V$3,0)))/INDEX($B$1:$V$408,MATCH($D257&amp;"-"&amp;"Lifetime",$B$1:$B$408,0),MATCH(J$3,$B$3:$V$3,0))),0)</f>
        <v>0</v>
      </c>
      <c r="K257" s="585" cm="1">
        <f t="array" aca="1" ref="K257" ca="1">IFERROR(
_xlfn.IFS(NewBuild_Retrofit_selector="Newbuild",INDEX($B$1:$V$408,MATCH($D257&amp;"-"&amp;"Installation cost",$B$1:$B$408,0),MATCH(K$3,$B$3:$V$3,0))/INDEX($B$1:$V$408,MATCH($D257&amp;"-"&amp;"Lifetime",$B$1:$B$408,0),MATCH(K$3,$B$3:$V$3,0)),
NewBuild_Retrofit_selector="Retrofit",(INDEX($B$1:$V$408,MATCH($D257&amp;"-"&amp;"Installation cost",$B$1:$B$408,0),MATCH(K$3,$B$3:$V$3,0))+INDEX($B$1:$V$408,MATCH($D257&amp;"-"&amp;"Extra retrofit cost",$B$1:$B$408,0),MATCH(K$3,$B$3:$V$3,0)))/INDEX($B$1:$V$408,MATCH($D257&amp;"-"&amp;"Lifetime",$B$1:$B$408,0),MATCH(K$3,$B$3:$V$3,0))),0)</f>
        <v>0</v>
      </c>
      <c r="L257" s="585" cm="1">
        <f t="array" aca="1" ref="L257" ca="1">IFERROR(
_xlfn.IFS(NewBuild_Retrofit_selector="Newbuild",INDEX($B$1:$V$408,MATCH($D257&amp;"-"&amp;"Installation cost",$B$1:$B$408,0),MATCH(L$3,$B$3:$V$3,0))/INDEX($B$1:$V$408,MATCH($D257&amp;"-"&amp;"Lifetime",$B$1:$B$408,0),MATCH(L$3,$B$3:$V$3,0)),
NewBuild_Retrofit_selector="Retrofit",(INDEX($B$1:$V$408,MATCH($D257&amp;"-"&amp;"Installation cost",$B$1:$B$408,0),MATCH(L$3,$B$3:$V$3,0))+INDEX($B$1:$V$408,MATCH($D257&amp;"-"&amp;"Extra retrofit cost",$B$1:$B$408,0),MATCH(L$3,$B$3:$V$3,0)))/INDEX($B$1:$V$408,MATCH($D257&amp;"-"&amp;"Lifetime",$B$1:$B$408,0),MATCH(L$3,$B$3:$V$3,0))),0)</f>
        <v>0</v>
      </c>
      <c r="M257" s="585" cm="1">
        <f t="array" aca="1" ref="M257" ca="1">IFERROR(
_xlfn.IFS(NewBuild_Retrofit_selector="Newbuild",INDEX($B$1:$V$408,MATCH($D257&amp;"-"&amp;"Installation cost",$B$1:$B$408,0),MATCH(M$3,$B$3:$V$3,0))/INDEX($B$1:$V$408,MATCH($D257&amp;"-"&amp;"Lifetime",$B$1:$B$408,0),MATCH(M$3,$B$3:$V$3,0)),
NewBuild_Retrofit_selector="Retrofit",(INDEX($B$1:$V$408,MATCH($D257&amp;"-"&amp;"Installation cost",$B$1:$B$408,0),MATCH(M$3,$B$3:$V$3,0))+INDEX($B$1:$V$408,MATCH($D257&amp;"-"&amp;"Extra retrofit cost",$B$1:$B$408,0),MATCH(M$3,$B$3:$V$3,0)))/INDEX($B$1:$V$408,MATCH($D257&amp;"-"&amp;"Lifetime",$B$1:$B$408,0),MATCH(M$3,$B$3:$V$3,0))),0)</f>
        <v>0</v>
      </c>
      <c r="N257" s="585" cm="1">
        <f t="array" aca="1" ref="N257" ca="1">IFERROR(
_xlfn.IFS(NewBuild_Retrofit_selector="Newbuild",INDEX($B$1:$V$408,MATCH($D257&amp;"-"&amp;"Installation cost",$B$1:$B$408,0),MATCH(N$3,$B$3:$V$3,0))/INDEX($B$1:$V$408,MATCH($D257&amp;"-"&amp;"Lifetime",$B$1:$B$408,0),MATCH(N$3,$B$3:$V$3,0)),
NewBuild_Retrofit_selector="Retrofit",(INDEX($B$1:$V$408,MATCH($D257&amp;"-"&amp;"Installation cost",$B$1:$B$408,0),MATCH(N$3,$B$3:$V$3,0))+INDEX($B$1:$V$408,MATCH($D257&amp;"-"&amp;"Extra retrofit cost",$B$1:$B$408,0),MATCH(N$3,$B$3:$V$3,0)))/INDEX($B$1:$V$408,MATCH($D257&amp;"-"&amp;"Lifetime",$B$1:$B$408,0),MATCH(N$3,$B$3:$V$3,0))),0)</f>
        <v>0</v>
      </c>
      <c r="O257" s="585" cm="1">
        <f t="array" aca="1" ref="O257" ca="1">IFERROR(
_xlfn.IFS(NewBuild_Retrofit_selector="Newbuild",INDEX($B$1:$V$408,MATCH($D257&amp;"-"&amp;"Installation cost",$B$1:$B$408,0),MATCH(O$3,$B$3:$V$3,0))/INDEX($B$1:$V$408,MATCH($D257&amp;"-"&amp;"Lifetime",$B$1:$B$408,0),MATCH(O$3,$B$3:$V$3,0)),
NewBuild_Retrofit_selector="Retrofit",(INDEX($B$1:$V$408,MATCH($D257&amp;"-"&amp;"Installation cost",$B$1:$B$408,0),MATCH(O$3,$B$3:$V$3,0))+INDEX($B$1:$V$408,MATCH($D257&amp;"-"&amp;"Extra retrofit cost",$B$1:$B$408,0),MATCH(O$3,$B$3:$V$3,0)))/INDEX($B$1:$V$408,MATCH($D257&amp;"-"&amp;"Lifetime",$B$1:$B$408,0),MATCH(O$3,$B$3:$V$3,0))),0)</f>
        <v>0</v>
      </c>
      <c r="P257" s="585" cm="1">
        <f t="array" aca="1" ref="P257" ca="1">IFERROR(
_xlfn.IFS(NewBuild_Retrofit_selector="Newbuild",INDEX($B$1:$V$408,MATCH($D257&amp;"-"&amp;"Installation cost",$B$1:$B$408,0),MATCH(P$3,$B$3:$V$3,0))/INDEX($B$1:$V$408,MATCH($D257&amp;"-"&amp;"Lifetime",$B$1:$B$408,0),MATCH(P$3,$B$3:$V$3,0)),
NewBuild_Retrofit_selector="Retrofit",(INDEX($B$1:$V$408,MATCH($D257&amp;"-"&amp;"Installation cost",$B$1:$B$408,0),MATCH(P$3,$B$3:$V$3,0))+INDEX($B$1:$V$408,MATCH($D257&amp;"-"&amp;"Extra retrofit cost",$B$1:$B$408,0),MATCH(P$3,$B$3:$V$3,0)))/INDEX($B$1:$V$408,MATCH($D257&amp;"-"&amp;"Lifetime",$B$1:$B$408,0),MATCH(P$3,$B$3:$V$3,0))),0)</f>
        <v>0</v>
      </c>
      <c r="Q257" s="585" cm="1">
        <f t="array" aca="1" ref="Q257" ca="1">IFERROR(
_xlfn.IFS(NewBuild_Retrofit_selector="Newbuild",INDEX($B$1:$V$408,MATCH($D257&amp;"-"&amp;"Installation cost",$B$1:$B$408,0),MATCH(Q$3,$B$3:$V$3,0))/INDEX($B$1:$V$408,MATCH($D257&amp;"-"&amp;"Lifetime",$B$1:$B$408,0),MATCH(Q$3,$B$3:$V$3,0)),
NewBuild_Retrofit_selector="Retrofit",(INDEX($B$1:$V$408,MATCH($D257&amp;"-"&amp;"Installation cost",$B$1:$B$408,0),MATCH(Q$3,$B$3:$V$3,0))+INDEX($B$1:$V$408,MATCH($D257&amp;"-"&amp;"Extra retrofit cost",$B$1:$B$408,0),MATCH(Q$3,$B$3:$V$3,0)))/INDEX($B$1:$V$408,MATCH($D257&amp;"-"&amp;"Lifetime",$B$1:$B$408,0),MATCH(Q$3,$B$3:$V$3,0))),0)</f>
        <v>0</v>
      </c>
      <c r="R257" s="585" cm="1">
        <f t="array" aca="1" ref="R257" ca="1">IFERROR(
_xlfn.IFS(NewBuild_Retrofit_selector="Newbuild",INDEX($B$1:$V$408,MATCH($D257&amp;"-"&amp;"Installation cost",$B$1:$B$408,0),MATCH(R$3,$B$3:$V$3,0))/INDEX($B$1:$V$408,MATCH($D257&amp;"-"&amp;"Lifetime",$B$1:$B$408,0),MATCH(R$3,$B$3:$V$3,0)),
NewBuild_Retrofit_selector="Retrofit",(INDEX($B$1:$V$408,MATCH($D257&amp;"-"&amp;"Installation cost",$B$1:$B$408,0),MATCH(R$3,$B$3:$V$3,0))+INDEX($B$1:$V$408,MATCH($D257&amp;"-"&amp;"Extra retrofit cost",$B$1:$B$408,0),MATCH(R$3,$B$3:$V$3,0)))/INDEX($B$1:$V$408,MATCH($D257&amp;"-"&amp;"Lifetime",$B$1:$B$408,0),MATCH(R$3,$B$3:$V$3,0))),0)</f>
        <v>0</v>
      </c>
      <c r="S257" s="585" cm="1">
        <f t="array" aca="1" ref="S257" ca="1">IFERROR(
_xlfn.IFS(NewBuild_Retrofit_selector="Newbuild",INDEX($B$1:$V$408,MATCH($D257&amp;"-"&amp;"Installation cost",$B$1:$B$408,0),MATCH(S$3,$B$3:$V$3,0))/INDEX($B$1:$V$408,MATCH($D257&amp;"-"&amp;"Lifetime",$B$1:$B$408,0),MATCH(S$3,$B$3:$V$3,0)),
NewBuild_Retrofit_selector="Retrofit",(INDEX($B$1:$V$408,MATCH($D257&amp;"-"&amp;"Installation cost",$B$1:$B$408,0),MATCH(S$3,$B$3:$V$3,0))+INDEX($B$1:$V$408,MATCH($D257&amp;"-"&amp;"Extra retrofit cost",$B$1:$B$408,0),MATCH(S$3,$B$3:$V$3,0)))/INDEX($B$1:$V$408,MATCH($D257&amp;"-"&amp;"Lifetime",$B$1:$B$408,0),MATCH(S$3,$B$3:$V$3,0))),0)</f>
        <v>0</v>
      </c>
      <c r="T257" s="585" cm="1">
        <f t="array" aca="1" ref="T257" ca="1">IFERROR(
_xlfn.IFS(NewBuild_Retrofit_selector="Newbuild",INDEX($B$1:$V$408,MATCH($D257&amp;"-"&amp;"Installation cost",$B$1:$B$408,0),MATCH(T$3,$B$3:$V$3,0))/INDEX($B$1:$V$408,MATCH($D257&amp;"-"&amp;"Lifetime",$B$1:$B$408,0),MATCH(T$3,$B$3:$V$3,0)),
NewBuild_Retrofit_selector="Retrofit",(INDEX($B$1:$V$408,MATCH($D257&amp;"-"&amp;"Installation cost",$B$1:$B$408,0),MATCH(T$3,$B$3:$V$3,0))+INDEX($B$1:$V$408,MATCH($D257&amp;"-"&amp;"Extra retrofit cost",$B$1:$B$408,0),MATCH(T$3,$B$3:$V$3,0)))/INDEX($B$1:$V$408,MATCH($D257&amp;"-"&amp;"Lifetime",$B$1:$B$408,0),MATCH(T$3,$B$3:$V$3,0))),0)</f>
        <v>0</v>
      </c>
      <c r="U257" s="356"/>
      <c r="V257" s="356"/>
    </row>
    <row r="258" spans="2:22" x14ac:dyDescent="0.2">
      <c r="B258" s="392" t="str">
        <f t="shared" si="4"/>
        <v>Shaft motor (Driven by WHR)-Extra retrofit cost</v>
      </c>
      <c r="C258" s="392" t="s">
        <v>634</v>
      </c>
      <c r="D258" s="735" t="s">
        <v>141</v>
      </c>
      <c r="E258" s="392" t="s">
        <v>635</v>
      </c>
      <c r="F258" s="585">
        <v>0</v>
      </c>
      <c r="G258" s="585">
        <v>0</v>
      </c>
      <c r="H258" s="585">
        <v>0</v>
      </c>
      <c r="I258" s="585">
        <v>0</v>
      </c>
      <c r="J258" s="585">
        <v>0</v>
      </c>
      <c r="K258" s="585">
        <v>0</v>
      </c>
      <c r="L258" s="585">
        <v>0</v>
      </c>
      <c r="M258" s="585">
        <v>0</v>
      </c>
      <c r="N258" s="585">
        <v>0</v>
      </c>
      <c r="O258" s="585">
        <v>0</v>
      </c>
      <c r="P258" s="585">
        <v>0</v>
      </c>
      <c r="Q258" s="585">
        <v>0</v>
      </c>
      <c r="R258" s="585">
        <v>0</v>
      </c>
      <c r="S258" s="585">
        <v>0</v>
      </c>
      <c r="T258" s="585">
        <v>0</v>
      </c>
      <c r="U258" s="356"/>
      <c r="V258" s="356"/>
    </row>
    <row r="259" spans="2:22" x14ac:dyDescent="0.2">
      <c r="B259" s="392" t="str">
        <f t="shared" si="4"/>
        <v>Shaft motor (Driven by WHR)-Installation cost</v>
      </c>
      <c r="C259" s="392" t="s">
        <v>452</v>
      </c>
      <c r="D259" s="735" t="s">
        <v>141</v>
      </c>
      <c r="E259" s="392" t="s">
        <v>635</v>
      </c>
      <c r="F259" s="585">
        <v>0</v>
      </c>
      <c r="G259" s="585">
        <v>3500000</v>
      </c>
      <c r="H259" s="585">
        <v>3500000</v>
      </c>
      <c r="I259" s="585">
        <v>0</v>
      </c>
      <c r="J259" s="585">
        <v>0</v>
      </c>
      <c r="K259" s="585">
        <v>3500000</v>
      </c>
      <c r="L259" s="585">
        <v>0</v>
      </c>
      <c r="M259" s="585">
        <v>0</v>
      </c>
      <c r="N259" s="585">
        <v>3500000</v>
      </c>
      <c r="O259" s="585">
        <v>0</v>
      </c>
      <c r="P259" s="585">
        <v>0</v>
      </c>
      <c r="Q259" s="585">
        <v>0</v>
      </c>
      <c r="R259" s="585">
        <v>0</v>
      </c>
      <c r="S259" s="585">
        <v>0</v>
      </c>
      <c r="T259" s="585">
        <v>0</v>
      </c>
      <c r="U259" s="356" t="s">
        <v>628</v>
      </c>
      <c r="V259" s="356"/>
    </row>
    <row r="260" spans="2:22" x14ac:dyDescent="0.2">
      <c r="B260" s="392" t="str">
        <f t="shared" si="4"/>
        <v>Shaft motor (Driven by WHR)-Lifetime</v>
      </c>
      <c r="C260" s="392" t="s">
        <v>520</v>
      </c>
      <c r="D260" s="735" t="s">
        <v>141</v>
      </c>
      <c r="E260" s="392" t="s">
        <v>176</v>
      </c>
      <c r="F260" s="356">
        <v>0</v>
      </c>
      <c r="G260" s="356">
        <v>25</v>
      </c>
      <c r="H260" s="356">
        <v>25</v>
      </c>
      <c r="I260" s="356">
        <v>0</v>
      </c>
      <c r="J260" s="356">
        <v>0</v>
      </c>
      <c r="K260" s="356">
        <v>25</v>
      </c>
      <c r="L260" s="356">
        <v>0</v>
      </c>
      <c r="M260" s="356">
        <v>0</v>
      </c>
      <c r="N260" s="356">
        <v>25</v>
      </c>
      <c r="O260" s="356">
        <v>0</v>
      </c>
      <c r="P260" s="356">
        <v>0</v>
      </c>
      <c r="Q260" s="356">
        <v>0</v>
      </c>
      <c r="R260" s="356">
        <v>0</v>
      </c>
      <c r="S260" s="356">
        <v>0</v>
      </c>
      <c r="T260" s="356">
        <v>0</v>
      </c>
      <c r="U260" s="356" t="s">
        <v>628</v>
      </c>
      <c r="V260" s="356"/>
    </row>
    <row r="261" spans="2:22" x14ac:dyDescent="0.2">
      <c r="B261" s="392" t="str">
        <f t="shared" si="4"/>
        <v>Shaft motor (Driven by WHR)-OPEX</v>
      </c>
      <c r="C261" s="392" t="s">
        <v>319</v>
      </c>
      <c r="D261" s="735" t="s">
        <v>141</v>
      </c>
      <c r="E261" s="392" t="s">
        <v>630</v>
      </c>
      <c r="F261" s="585">
        <v>0</v>
      </c>
      <c r="G261" s="585">
        <v>10000</v>
      </c>
      <c r="H261" s="585">
        <v>10000</v>
      </c>
      <c r="I261" s="585">
        <v>0</v>
      </c>
      <c r="J261" s="585">
        <v>0</v>
      </c>
      <c r="K261" s="585">
        <v>10000</v>
      </c>
      <c r="L261" s="585">
        <v>0</v>
      </c>
      <c r="M261" s="585">
        <v>0</v>
      </c>
      <c r="N261" s="585">
        <v>10000</v>
      </c>
      <c r="O261" s="585">
        <v>0</v>
      </c>
      <c r="P261" s="585">
        <v>0</v>
      </c>
      <c r="Q261" s="585">
        <v>0</v>
      </c>
      <c r="R261" s="585">
        <v>0</v>
      </c>
      <c r="S261" s="585">
        <v>0</v>
      </c>
      <c r="T261" s="585">
        <v>0</v>
      </c>
      <c r="U261" s="356" t="s">
        <v>628</v>
      </c>
      <c r="V261" s="356"/>
    </row>
    <row r="262" spans="2:22" x14ac:dyDescent="0.2">
      <c r="B262" s="392" t="str">
        <f t="shared" ref="B262:B325" si="7">D262&amp;"-"&amp;C262</f>
        <v>Shaft motor (Driven by WHR)-Saving</v>
      </c>
      <c r="C262" s="392" t="s">
        <v>458</v>
      </c>
      <c r="D262" s="735" t="s">
        <v>141</v>
      </c>
      <c r="E262" s="392" t="s">
        <v>178</v>
      </c>
      <c r="F262" s="359">
        <v>0</v>
      </c>
      <c r="G262" s="359">
        <v>0.01</v>
      </c>
      <c r="H262" s="359">
        <v>0.01</v>
      </c>
      <c r="I262" s="359">
        <v>0</v>
      </c>
      <c r="J262" s="359">
        <v>0</v>
      </c>
      <c r="K262" s="359">
        <v>0.01</v>
      </c>
      <c r="L262" s="359">
        <v>0</v>
      </c>
      <c r="M262" s="359">
        <v>0</v>
      </c>
      <c r="N262" s="359">
        <v>0.01</v>
      </c>
      <c r="O262" s="359">
        <v>0</v>
      </c>
      <c r="P262" s="359">
        <v>0</v>
      </c>
      <c r="Q262" s="359">
        <v>0</v>
      </c>
      <c r="R262" s="359">
        <v>0</v>
      </c>
      <c r="S262" s="359">
        <v>0</v>
      </c>
      <c r="T262" s="359">
        <v>0</v>
      </c>
      <c r="U262" s="356" t="s">
        <v>628</v>
      </c>
      <c r="V262" s="356"/>
    </row>
    <row r="263" spans="2:22" x14ac:dyDescent="0.2">
      <c r="B263" s="392" t="str">
        <f t="shared" si="7"/>
        <v>Shaft motor (Driven by WHR)-UptakeFleetAvg2020</v>
      </c>
      <c r="C263" s="392" t="s">
        <v>650</v>
      </c>
      <c r="D263" s="735" t="s">
        <v>141</v>
      </c>
      <c r="E263" s="392" t="s">
        <v>178</v>
      </c>
      <c r="F263" s="359">
        <v>0</v>
      </c>
      <c r="G263" s="359">
        <v>0.1</v>
      </c>
      <c r="H263" s="359">
        <v>0.3</v>
      </c>
      <c r="I263" s="359">
        <v>0</v>
      </c>
      <c r="J263" s="359">
        <v>0</v>
      </c>
      <c r="K263" s="359">
        <v>0</v>
      </c>
      <c r="L263" s="359">
        <v>0</v>
      </c>
      <c r="M263" s="359">
        <v>0</v>
      </c>
      <c r="N263" s="359">
        <v>0</v>
      </c>
      <c r="O263" s="359">
        <v>0</v>
      </c>
      <c r="P263" s="359">
        <v>0</v>
      </c>
      <c r="Q263" s="359">
        <v>0</v>
      </c>
      <c r="R263" s="359">
        <v>0</v>
      </c>
      <c r="S263" s="359">
        <v>0</v>
      </c>
      <c r="T263" s="359">
        <v>0</v>
      </c>
      <c r="U263" s="356" t="s">
        <v>628</v>
      </c>
      <c r="V263" s="356"/>
    </row>
    <row r="264" spans="2:22" x14ac:dyDescent="0.2">
      <c r="B264" s="392" t="str">
        <f t="shared" si="7"/>
        <v>Shaft motor (Driven by WHR)-UptakeNewbuild2020</v>
      </c>
      <c r="C264" s="392" t="s">
        <v>652</v>
      </c>
      <c r="D264" s="735" t="s">
        <v>141</v>
      </c>
      <c r="E264" s="392" t="s">
        <v>178</v>
      </c>
      <c r="F264" s="359">
        <v>0</v>
      </c>
      <c r="G264" s="359">
        <v>0</v>
      </c>
      <c r="H264" s="359">
        <v>0</v>
      </c>
      <c r="I264" s="359">
        <v>0</v>
      </c>
      <c r="J264" s="359">
        <v>0</v>
      </c>
      <c r="K264" s="359">
        <v>0</v>
      </c>
      <c r="L264" s="359">
        <v>0</v>
      </c>
      <c r="M264" s="359">
        <v>0</v>
      </c>
      <c r="N264" s="359">
        <v>0</v>
      </c>
      <c r="O264" s="359">
        <v>0</v>
      </c>
      <c r="P264" s="359">
        <v>0</v>
      </c>
      <c r="Q264" s="359">
        <v>0</v>
      </c>
      <c r="R264" s="359">
        <v>0</v>
      </c>
      <c r="S264" s="359">
        <v>0</v>
      </c>
      <c r="T264" s="359">
        <v>0</v>
      </c>
      <c r="U264" s="356"/>
      <c r="V264" s="356"/>
    </row>
    <row r="265" spans="2:22" x14ac:dyDescent="0.2">
      <c r="B265" s="392" t="str">
        <f t="shared" si="7"/>
        <v>Shore power-Applicable Newbuild</v>
      </c>
      <c r="C265" s="392" t="s">
        <v>621</v>
      </c>
      <c r="D265" s="397" t="s">
        <v>159</v>
      </c>
      <c r="E265" s="392" t="s">
        <v>622</v>
      </c>
      <c r="F265" s="356">
        <v>0</v>
      </c>
      <c r="G265" s="356">
        <v>0</v>
      </c>
      <c r="H265" s="356">
        <v>0</v>
      </c>
      <c r="I265" s="356">
        <v>0</v>
      </c>
      <c r="J265" s="356">
        <v>0</v>
      </c>
      <c r="K265" s="356">
        <v>0</v>
      </c>
      <c r="L265" s="356">
        <v>0</v>
      </c>
      <c r="M265" s="356">
        <v>0</v>
      </c>
      <c r="N265" s="356">
        <v>0</v>
      </c>
      <c r="O265" s="356">
        <v>0</v>
      </c>
      <c r="P265" s="356">
        <v>0</v>
      </c>
      <c r="Q265" s="356">
        <v>0</v>
      </c>
      <c r="R265" s="356">
        <v>0</v>
      </c>
      <c r="S265" s="356">
        <v>0</v>
      </c>
      <c r="T265" s="356">
        <v>0</v>
      </c>
      <c r="U265" s="356" t="s">
        <v>627</v>
      </c>
      <c r="V265" s="356"/>
    </row>
    <row r="266" spans="2:22" x14ac:dyDescent="0.2">
      <c r="B266" s="392" t="str">
        <f t="shared" si="7"/>
        <v>Shore power-Applicable Retrofit</v>
      </c>
      <c r="C266" s="392" t="s">
        <v>629</v>
      </c>
      <c r="D266" s="397" t="s">
        <v>159</v>
      </c>
      <c r="E266" s="392" t="s">
        <v>622</v>
      </c>
      <c r="F266" s="356">
        <v>0</v>
      </c>
      <c r="G266" s="356">
        <v>0</v>
      </c>
      <c r="H266" s="356">
        <v>0</v>
      </c>
      <c r="I266" s="356">
        <v>0</v>
      </c>
      <c r="J266" s="356">
        <v>0</v>
      </c>
      <c r="K266" s="356">
        <v>0</v>
      </c>
      <c r="L266" s="356">
        <v>0</v>
      </c>
      <c r="M266" s="356">
        <v>0</v>
      </c>
      <c r="N266" s="356">
        <v>0</v>
      </c>
      <c r="O266" s="356">
        <v>0</v>
      </c>
      <c r="P266" s="356">
        <v>0</v>
      </c>
      <c r="Q266" s="356">
        <v>0</v>
      </c>
      <c r="R266" s="356">
        <v>0</v>
      </c>
      <c r="S266" s="356">
        <v>0</v>
      </c>
      <c r="T266" s="356">
        <v>0</v>
      </c>
      <c r="U266" s="356" t="s">
        <v>627</v>
      </c>
      <c r="V266" s="356"/>
    </row>
    <row r="267" spans="2:22" x14ac:dyDescent="0.2">
      <c r="B267" s="392" t="str">
        <f t="shared" si="7"/>
        <v>Shore power-CAPEX</v>
      </c>
      <c r="C267" s="392" t="s">
        <v>50</v>
      </c>
      <c r="D267" s="397" t="s">
        <v>159</v>
      </c>
      <c r="E267" s="392" t="s">
        <v>630</v>
      </c>
      <c r="F267" s="585" cm="1">
        <f t="array" aca="1" ref="F267" ca="1">IFERROR(
_xlfn.IFS(NewBuild_Retrofit_selector="Newbuild",INDEX($B$1:$V$408,MATCH($D267&amp;"-"&amp;"Installation cost",$B$1:$B$408,0),MATCH(F$3,$B$3:$V$3,0))/INDEX($B$1:$V$408,MATCH($D267&amp;"-"&amp;"Lifetime",$B$1:$B$408,0),MATCH(F$3,$B$3:$V$3,0)),
NewBuild_Retrofit_selector="Retrofit",(INDEX($B$1:$V$408,MATCH($D267&amp;"-"&amp;"Installation cost",$B$1:$B$408,0),MATCH(F$3,$B$3:$V$3,0))+INDEX($B$1:$V$408,MATCH($D267&amp;"-"&amp;"Extra retrofit cost",$B$1:$B$408,0),MATCH(F$3,$B$3:$V$3,0)))/INDEX($B$1:$V$408,MATCH($D267&amp;"-"&amp;"Lifetime",$B$1:$B$408,0),MATCH(F$3,$B$3:$V$3,0))),0)</f>
        <v>0</v>
      </c>
      <c r="G267" s="585" cm="1">
        <f t="array" aca="1" ref="G267" ca="1">IFERROR(
_xlfn.IFS(NewBuild_Retrofit_selector="Newbuild",INDEX($B$1:$V$408,MATCH($D267&amp;"-"&amp;"Installation cost",$B$1:$B$408,0),MATCH(G$3,$B$3:$V$3,0))/INDEX($B$1:$V$408,MATCH($D267&amp;"-"&amp;"Lifetime",$B$1:$B$408,0),MATCH(G$3,$B$3:$V$3,0)),
NewBuild_Retrofit_selector="Retrofit",(INDEX($B$1:$V$408,MATCH($D267&amp;"-"&amp;"Installation cost",$B$1:$B$408,0),MATCH(G$3,$B$3:$V$3,0))+INDEX($B$1:$V$408,MATCH($D267&amp;"-"&amp;"Extra retrofit cost",$B$1:$B$408,0),MATCH(G$3,$B$3:$V$3,0)))/INDEX($B$1:$V$408,MATCH($D267&amp;"-"&amp;"Lifetime",$B$1:$B$408,0),MATCH(G$3,$B$3:$V$3,0))),0)</f>
        <v>0</v>
      </c>
      <c r="H267" s="585" cm="1">
        <f t="array" aca="1" ref="H267" ca="1">IFERROR(
_xlfn.IFS(NewBuild_Retrofit_selector="Newbuild",INDEX($B$1:$V$408,MATCH($D267&amp;"-"&amp;"Installation cost",$B$1:$B$408,0),MATCH(H$3,$B$3:$V$3,0))/INDEX($B$1:$V$408,MATCH($D267&amp;"-"&amp;"Lifetime",$B$1:$B$408,0),MATCH(H$3,$B$3:$V$3,0)),
NewBuild_Retrofit_selector="Retrofit",(INDEX($B$1:$V$408,MATCH($D267&amp;"-"&amp;"Installation cost",$B$1:$B$408,0),MATCH(H$3,$B$3:$V$3,0))+INDEX($B$1:$V$408,MATCH($D267&amp;"-"&amp;"Extra retrofit cost",$B$1:$B$408,0),MATCH(H$3,$B$3:$V$3,0)))/INDEX($B$1:$V$408,MATCH($D267&amp;"-"&amp;"Lifetime",$B$1:$B$408,0),MATCH(H$3,$B$3:$V$3,0))),0)</f>
        <v>0</v>
      </c>
      <c r="I267" s="585" cm="1">
        <f t="array" aca="1" ref="I267" ca="1">IFERROR(
_xlfn.IFS(NewBuild_Retrofit_selector="Newbuild",INDEX($B$1:$V$408,MATCH($D267&amp;"-"&amp;"Installation cost",$B$1:$B$408,0),MATCH(I$3,$B$3:$V$3,0))/INDEX($B$1:$V$408,MATCH($D267&amp;"-"&amp;"Lifetime",$B$1:$B$408,0),MATCH(I$3,$B$3:$V$3,0)),
NewBuild_Retrofit_selector="Retrofit",(INDEX($B$1:$V$408,MATCH($D267&amp;"-"&amp;"Installation cost",$B$1:$B$408,0),MATCH(I$3,$B$3:$V$3,0))+INDEX($B$1:$V$408,MATCH($D267&amp;"-"&amp;"Extra retrofit cost",$B$1:$B$408,0),MATCH(I$3,$B$3:$V$3,0)))/INDEX($B$1:$V$408,MATCH($D267&amp;"-"&amp;"Lifetime",$B$1:$B$408,0),MATCH(I$3,$B$3:$V$3,0))),0)</f>
        <v>0</v>
      </c>
      <c r="J267" s="585" cm="1">
        <f t="array" aca="1" ref="J267" ca="1">IFERROR(
_xlfn.IFS(NewBuild_Retrofit_selector="Newbuild",INDEX($B$1:$V$408,MATCH($D267&amp;"-"&amp;"Installation cost",$B$1:$B$408,0),MATCH(J$3,$B$3:$V$3,0))/INDEX($B$1:$V$408,MATCH($D267&amp;"-"&amp;"Lifetime",$B$1:$B$408,0),MATCH(J$3,$B$3:$V$3,0)),
NewBuild_Retrofit_selector="Retrofit",(INDEX($B$1:$V$408,MATCH($D267&amp;"-"&amp;"Installation cost",$B$1:$B$408,0),MATCH(J$3,$B$3:$V$3,0))+INDEX($B$1:$V$408,MATCH($D267&amp;"-"&amp;"Extra retrofit cost",$B$1:$B$408,0),MATCH(J$3,$B$3:$V$3,0)))/INDEX($B$1:$V$408,MATCH($D267&amp;"-"&amp;"Lifetime",$B$1:$B$408,0),MATCH(J$3,$B$3:$V$3,0))),0)</f>
        <v>0</v>
      </c>
      <c r="K267" s="585" cm="1">
        <f t="array" aca="1" ref="K267" ca="1">IFERROR(
_xlfn.IFS(NewBuild_Retrofit_selector="Newbuild",INDEX($B$1:$V$408,MATCH($D267&amp;"-"&amp;"Installation cost",$B$1:$B$408,0),MATCH(K$3,$B$3:$V$3,0))/INDEX($B$1:$V$408,MATCH($D267&amp;"-"&amp;"Lifetime",$B$1:$B$408,0),MATCH(K$3,$B$3:$V$3,0)),
NewBuild_Retrofit_selector="Retrofit",(INDEX($B$1:$V$408,MATCH($D267&amp;"-"&amp;"Installation cost",$B$1:$B$408,0),MATCH(K$3,$B$3:$V$3,0))+INDEX($B$1:$V$408,MATCH($D267&amp;"-"&amp;"Extra retrofit cost",$B$1:$B$408,0),MATCH(K$3,$B$3:$V$3,0)))/INDEX($B$1:$V$408,MATCH($D267&amp;"-"&amp;"Lifetime",$B$1:$B$408,0),MATCH(K$3,$B$3:$V$3,0))),0)</f>
        <v>0</v>
      </c>
      <c r="L267" s="585" cm="1">
        <f t="array" aca="1" ref="L267" ca="1">IFERROR(
_xlfn.IFS(NewBuild_Retrofit_selector="Newbuild",INDEX($B$1:$V$408,MATCH($D267&amp;"-"&amp;"Installation cost",$B$1:$B$408,0),MATCH(L$3,$B$3:$V$3,0))/INDEX($B$1:$V$408,MATCH($D267&amp;"-"&amp;"Lifetime",$B$1:$B$408,0),MATCH(L$3,$B$3:$V$3,0)),
NewBuild_Retrofit_selector="Retrofit",(INDEX($B$1:$V$408,MATCH($D267&amp;"-"&amp;"Installation cost",$B$1:$B$408,0),MATCH(L$3,$B$3:$V$3,0))+INDEX($B$1:$V$408,MATCH($D267&amp;"-"&amp;"Extra retrofit cost",$B$1:$B$408,0),MATCH(L$3,$B$3:$V$3,0)))/INDEX($B$1:$V$408,MATCH($D267&amp;"-"&amp;"Lifetime",$B$1:$B$408,0),MATCH(L$3,$B$3:$V$3,0))),0)</f>
        <v>0</v>
      </c>
      <c r="M267" s="585" cm="1">
        <f t="array" aca="1" ref="M267" ca="1">IFERROR(
_xlfn.IFS(NewBuild_Retrofit_selector="Newbuild",INDEX($B$1:$V$408,MATCH($D267&amp;"-"&amp;"Installation cost",$B$1:$B$408,0),MATCH(M$3,$B$3:$V$3,0))/INDEX($B$1:$V$408,MATCH($D267&amp;"-"&amp;"Lifetime",$B$1:$B$408,0),MATCH(M$3,$B$3:$V$3,0)),
NewBuild_Retrofit_selector="Retrofit",(INDEX($B$1:$V$408,MATCH($D267&amp;"-"&amp;"Installation cost",$B$1:$B$408,0),MATCH(M$3,$B$3:$V$3,0))+INDEX($B$1:$V$408,MATCH($D267&amp;"-"&amp;"Extra retrofit cost",$B$1:$B$408,0),MATCH(M$3,$B$3:$V$3,0)))/INDEX($B$1:$V$408,MATCH($D267&amp;"-"&amp;"Lifetime",$B$1:$B$408,0),MATCH(M$3,$B$3:$V$3,0))),0)</f>
        <v>0</v>
      </c>
      <c r="N267" s="585" cm="1">
        <f t="array" aca="1" ref="N267" ca="1">IFERROR(
_xlfn.IFS(NewBuild_Retrofit_selector="Newbuild",INDEX($B$1:$V$408,MATCH($D267&amp;"-"&amp;"Installation cost",$B$1:$B$408,0),MATCH(N$3,$B$3:$V$3,0))/INDEX($B$1:$V$408,MATCH($D267&amp;"-"&amp;"Lifetime",$B$1:$B$408,0),MATCH(N$3,$B$3:$V$3,0)),
NewBuild_Retrofit_selector="Retrofit",(INDEX($B$1:$V$408,MATCH($D267&amp;"-"&amp;"Installation cost",$B$1:$B$408,0),MATCH(N$3,$B$3:$V$3,0))+INDEX($B$1:$V$408,MATCH($D267&amp;"-"&amp;"Extra retrofit cost",$B$1:$B$408,0),MATCH(N$3,$B$3:$V$3,0)))/INDEX($B$1:$V$408,MATCH($D267&amp;"-"&amp;"Lifetime",$B$1:$B$408,0),MATCH(N$3,$B$3:$V$3,0))),0)</f>
        <v>0</v>
      </c>
      <c r="O267" s="585" cm="1">
        <f t="array" aca="1" ref="O267" ca="1">IFERROR(
_xlfn.IFS(NewBuild_Retrofit_selector="Newbuild",INDEX($B$1:$V$408,MATCH($D267&amp;"-"&amp;"Installation cost",$B$1:$B$408,0),MATCH(O$3,$B$3:$V$3,0))/INDEX($B$1:$V$408,MATCH($D267&amp;"-"&amp;"Lifetime",$B$1:$B$408,0),MATCH(O$3,$B$3:$V$3,0)),
NewBuild_Retrofit_selector="Retrofit",(INDEX($B$1:$V$408,MATCH($D267&amp;"-"&amp;"Installation cost",$B$1:$B$408,0),MATCH(O$3,$B$3:$V$3,0))+INDEX($B$1:$V$408,MATCH($D267&amp;"-"&amp;"Extra retrofit cost",$B$1:$B$408,0),MATCH(O$3,$B$3:$V$3,0)))/INDEX($B$1:$V$408,MATCH($D267&amp;"-"&amp;"Lifetime",$B$1:$B$408,0),MATCH(O$3,$B$3:$V$3,0))),0)</f>
        <v>0</v>
      </c>
      <c r="P267" s="585" cm="1">
        <f t="array" aca="1" ref="P267" ca="1">IFERROR(
_xlfn.IFS(NewBuild_Retrofit_selector="Newbuild",INDEX($B$1:$V$408,MATCH($D267&amp;"-"&amp;"Installation cost",$B$1:$B$408,0),MATCH(P$3,$B$3:$V$3,0))/INDEX($B$1:$V$408,MATCH($D267&amp;"-"&amp;"Lifetime",$B$1:$B$408,0),MATCH(P$3,$B$3:$V$3,0)),
NewBuild_Retrofit_selector="Retrofit",(INDEX($B$1:$V$408,MATCH($D267&amp;"-"&amp;"Installation cost",$B$1:$B$408,0),MATCH(P$3,$B$3:$V$3,0))+INDEX($B$1:$V$408,MATCH($D267&amp;"-"&amp;"Extra retrofit cost",$B$1:$B$408,0),MATCH(P$3,$B$3:$V$3,0)))/INDEX($B$1:$V$408,MATCH($D267&amp;"-"&amp;"Lifetime",$B$1:$B$408,0),MATCH(P$3,$B$3:$V$3,0))),0)</f>
        <v>0</v>
      </c>
      <c r="Q267" s="585" cm="1">
        <f t="array" aca="1" ref="Q267" ca="1">IFERROR(
_xlfn.IFS(NewBuild_Retrofit_selector="Newbuild",INDEX($B$1:$V$408,MATCH($D267&amp;"-"&amp;"Installation cost",$B$1:$B$408,0),MATCH(Q$3,$B$3:$V$3,0))/INDEX($B$1:$V$408,MATCH($D267&amp;"-"&amp;"Lifetime",$B$1:$B$408,0),MATCH(Q$3,$B$3:$V$3,0)),
NewBuild_Retrofit_selector="Retrofit",(INDEX($B$1:$V$408,MATCH($D267&amp;"-"&amp;"Installation cost",$B$1:$B$408,0),MATCH(Q$3,$B$3:$V$3,0))+INDEX($B$1:$V$408,MATCH($D267&amp;"-"&amp;"Extra retrofit cost",$B$1:$B$408,0),MATCH(Q$3,$B$3:$V$3,0)))/INDEX($B$1:$V$408,MATCH($D267&amp;"-"&amp;"Lifetime",$B$1:$B$408,0),MATCH(Q$3,$B$3:$V$3,0))),0)</f>
        <v>0</v>
      </c>
      <c r="R267" s="585" cm="1">
        <f t="array" aca="1" ref="R267" ca="1">IFERROR(
_xlfn.IFS(NewBuild_Retrofit_selector="Newbuild",INDEX($B$1:$V$408,MATCH($D267&amp;"-"&amp;"Installation cost",$B$1:$B$408,0),MATCH(R$3,$B$3:$V$3,0))/INDEX($B$1:$V$408,MATCH($D267&amp;"-"&amp;"Lifetime",$B$1:$B$408,0),MATCH(R$3,$B$3:$V$3,0)),
NewBuild_Retrofit_selector="Retrofit",(INDEX($B$1:$V$408,MATCH($D267&amp;"-"&amp;"Installation cost",$B$1:$B$408,0),MATCH(R$3,$B$3:$V$3,0))+INDEX($B$1:$V$408,MATCH($D267&amp;"-"&amp;"Extra retrofit cost",$B$1:$B$408,0),MATCH(R$3,$B$3:$V$3,0)))/INDEX($B$1:$V$408,MATCH($D267&amp;"-"&amp;"Lifetime",$B$1:$B$408,0),MATCH(R$3,$B$3:$V$3,0))),0)</f>
        <v>0</v>
      </c>
      <c r="S267" s="585" cm="1">
        <f t="array" aca="1" ref="S267" ca="1">IFERROR(
_xlfn.IFS(NewBuild_Retrofit_selector="Newbuild",INDEX($B$1:$V$408,MATCH($D267&amp;"-"&amp;"Installation cost",$B$1:$B$408,0),MATCH(S$3,$B$3:$V$3,0))/INDEX($B$1:$V$408,MATCH($D267&amp;"-"&amp;"Lifetime",$B$1:$B$408,0),MATCH(S$3,$B$3:$V$3,0)),
NewBuild_Retrofit_selector="Retrofit",(INDEX($B$1:$V$408,MATCH($D267&amp;"-"&amp;"Installation cost",$B$1:$B$408,0),MATCH(S$3,$B$3:$V$3,0))+INDEX($B$1:$V$408,MATCH($D267&amp;"-"&amp;"Extra retrofit cost",$B$1:$B$408,0),MATCH(S$3,$B$3:$V$3,0)))/INDEX($B$1:$V$408,MATCH($D267&amp;"-"&amp;"Lifetime",$B$1:$B$408,0),MATCH(S$3,$B$3:$V$3,0))),0)</f>
        <v>0</v>
      </c>
      <c r="T267" s="585" cm="1">
        <f t="array" aca="1" ref="T267" ca="1">IFERROR(
_xlfn.IFS(NewBuild_Retrofit_selector="Newbuild",INDEX($B$1:$V$408,MATCH($D267&amp;"-"&amp;"Installation cost",$B$1:$B$408,0),MATCH(T$3,$B$3:$V$3,0))/INDEX($B$1:$V$408,MATCH($D267&amp;"-"&amp;"Lifetime",$B$1:$B$408,0),MATCH(T$3,$B$3:$V$3,0)),
NewBuild_Retrofit_selector="Retrofit",(INDEX($B$1:$V$408,MATCH($D267&amp;"-"&amp;"Installation cost",$B$1:$B$408,0),MATCH(T$3,$B$3:$V$3,0))+INDEX($B$1:$V$408,MATCH($D267&amp;"-"&amp;"Extra retrofit cost",$B$1:$B$408,0),MATCH(T$3,$B$3:$V$3,0)))/INDEX($B$1:$V$408,MATCH($D267&amp;"-"&amp;"Lifetime",$B$1:$B$408,0),MATCH(T$3,$B$3:$V$3,0))),0)</f>
        <v>0</v>
      </c>
      <c r="U267" s="356"/>
      <c r="V267" s="356"/>
    </row>
    <row r="268" spans="2:22" x14ac:dyDescent="0.2">
      <c r="B268" s="392" t="str">
        <f t="shared" si="7"/>
        <v>Shore power-Extra retrofit cost</v>
      </c>
      <c r="C268" s="392" t="s">
        <v>634</v>
      </c>
      <c r="D268" s="397" t="s">
        <v>159</v>
      </c>
      <c r="E268" s="392" t="s">
        <v>635</v>
      </c>
      <c r="F268" s="585">
        <v>199999.99999999994</v>
      </c>
      <c r="G268" s="585">
        <v>199999.99999999994</v>
      </c>
      <c r="H268" s="585">
        <v>199999.99999999994</v>
      </c>
      <c r="I268" s="585">
        <v>199999.99999999994</v>
      </c>
      <c r="J268" s="585">
        <v>199999.99999999994</v>
      </c>
      <c r="K268" s="585">
        <v>199999.99999999994</v>
      </c>
      <c r="L268" s="585">
        <v>199999.99999999994</v>
      </c>
      <c r="M268" s="585">
        <v>199999.99999999994</v>
      </c>
      <c r="N268" s="585">
        <v>199999.99999999994</v>
      </c>
      <c r="O268" s="585">
        <v>199999.99999999994</v>
      </c>
      <c r="P268" s="585">
        <v>199999.99999999994</v>
      </c>
      <c r="Q268" s="585">
        <v>199999.99999999994</v>
      </c>
      <c r="R268" s="585">
        <v>199999.99999999994</v>
      </c>
      <c r="S268" s="585">
        <v>199999.99999999994</v>
      </c>
      <c r="T268" s="585">
        <v>199999.99999999994</v>
      </c>
      <c r="U268" s="356"/>
      <c r="V268" s="356"/>
    </row>
    <row r="269" spans="2:22" x14ac:dyDescent="0.2">
      <c r="B269" s="392" t="str">
        <f t="shared" si="7"/>
        <v>Shore power-Installation cost</v>
      </c>
      <c r="C269" s="392" t="s">
        <v>452</v>
      </c>
      <c r="D269" s="397" t="s">
        <v>159</v>
      </c>
      <c r="E269" s="392" t="s">
        <v>635</v>
      </c>
      <c r="F269" s="585">
        <v>500000</v>
      </c>
      <c r="G269" s="585">
        <v>750000</v>
      </c>
      <c r="H269" s="585">
        <v>750000</v>
      </c>
      <c r="I269" s="585">
        <v>500000</v>
      </c>
      <c r="J269" s="585">
        <v>750000</v>
      </c>
      <c r="K269" s="585">
        <v>750000</v>
      </c>
      <c r="L269" s="585">
        <v>500000</v>
      </c>
      <c r="M269" s="585">
        <v>750000</v>
      </c>
      <c r="N269" s="585">
        <v>750000</v>
      </c>
      <c r="O269" s="585">
        <v>500000</v>
      </c>
      <c r="P269" s="585">
        <v>750000</v>
      </c>
      <c r="Q269" s="585">
        <v>750000</v>
      </c>
      <c r="R269" s="585">
        <v>500000</v>
      </c>
      <c r="S269" s="585">
        <v>750000</v>
      </c>
      <c r="T269" s="585">
        <v>750000</v>
      </c>
      <c r="U269" s="356" t="s">
        <v>628</v>
      </c>
      <c r="V269" s="356"/>
    </row>
    <row r="270" spans="2:22" x14ac:dyDescent="0.2">
      <c r="B270" s="392" t="str">
        <f t="shared" si="7"/>
        <v>Shore power-Lifetime</v>
      </c>
      <c r="C270" s="392" t="s">
        <v>520</v>
      </c>
      <c r="D270" s="397" t="s">
        <v>159</v>
      </c>
      <c r="E270" s="392" t="s">
        <v>176</v>
      </c>
      <c r="F270" s="356">
        <v>25</v>
      </c>
      <c r="G270" s="356">
        <v>25</v>
      </c>
      <c r="H270" s="356">
        <v>25</v>
      </c>
      <c r="I270" s="356">
        <v>25</v>
      </c>
      <c r="J270" s="356">
        <v>25</v>
      </c>
      <c r="K270" s="356">
        <v>25</v>
      </c>
      <c r="L270" s="356">
        <v>25</v>
      </c>
      <c r="M270" s="356">
        <v>25</v>
      </c>
      <c r="N270" s="356">
        <v>25</v>
      </c>
      <c r="O270" s="356">
        <v>25</v>
      </c>
      <c r="P270" s="356">
        <v>25</v>
      </c>
      <c r="Q270" s="356">
        <v>25</v>
      </c>
      <c r="R270" s="356">
        <v>25</v>
      </c>
      <c r="S270" s="356">
        <v>25</v>
      </c>
      <c r="T270" s="356">
        <v>25</v>
      </c>
      <c r="U270" s="356"/>
      <c r="V270" s="356"/>
    </row>
    <row r="271" spans="2:22" x14ac:dyDescent="0.2">
      <c r="B271" s="392" t="str">
        <f t="shared" si="7"/>
        <v>Shore power-OPEX</v>
      </c>
      <c r="C271" s="392" t="s">
        <v>319</v>
      </c>
      <c r="D271" s="397" t="s">
        <v>159</v>
      </c>
      <c r="E271" s="392" t="s">
        <v>630</v>
      </c>
      <c r="F271" s="585">
        <v>5000</v>
      </c>
      <c r="G271" s="585">
        <v>5000</v>
      </c>
      <c r="H271" s="585">
        <v>5000</v>
      </c>
      <c r="I271" s="585">
        <v>5000</v>
      </c>
      <c r="J271" s="585">
        <v>5000</v>
      </c>
      <c r="K271" s="585">
        <v>5000</v>
      </c>
      <c r="L271" s="585">
        <v>5000</v>
      </c>
      <c r="M271" s="585">
        <v>5000</v>
      </c>
      <c r="N271" s="585">
        <v>5000</v>
      </c>
      <c r="O271" s="585">
        <v>5000</v>
      </c>
      <c r="P271" s="585">
        <v>5000</v>
      </c>
      <c r="Q271" s="585">
        <v>5000</v>
      </c>
      <c r="R271" s="585">
        <v>5000</v>
      </c>
      <c r="S271" s="585">
        <v>5000</v>
      </c>
      <c r="T271" s="585">
        <v>5000</v>
      </c>
      <c r="U271" s="356"/>
      <c r="V271" s="356"/>
    </row>
    <row r="272" spans="2:22" x14ac:dyDescent="0.2">
      <c r="B272" s="392" t="str">
        <f t="shared" si="7"/>
        <v>Shore power-Saving</v>
      </c>
      <c r="C272" s="392" t="s">
        <v>458</v>
      </c>
      <c r="D272" s="397" t="s">
        <v>159</v>
      </c>
      <c r="E272" s="392" t="s">
        <v>178</v>
      </c>
      <c r="F272" s="359">
        <v>0.1</v>
      </c>
      <c r="G272" s="359">
        <v>0.1</v>
      </c>
      <c r="H272" s="359">
        <v>0.1</v>
      </c>
      <c r="I272" s="359">
        <v>0.1</v>
      </c>
      <c r="J272" s="359">
        <v>0.1</v>
      </c>
      <c r="K272" s="359">
        <v>0.1</v>
      </c>
      <c r="L272" s="359">
        <v>0.2</v>
      </c>
      <c r="M272" s="359">
        <v>0.2</v>
      </c>
      <c r="N272" s="359">
        <v>0.2</v>
      </c>
      <c r="O272" s="359">
        <v>0.1</v>
      </c>
      <c r="P272" s="359">
        <v>0.1</v>
      </c>
      <c r="Q272" s="359">
        <v>0.1</v>
      </c>
      <c r="R272" s="359">
        <v>0.2</v>
      </c>
      <c r="S272" s="359">
        <v>0.2</v>
      </c>
      <c r="T272" s="359">
        <v>0.2</v>
      </c>
      <c r="U272" s="356" t="s">
        <v>628</v>
      </c>
      <c r="V272" s="356"/>
    </row>
    <row r="273" spans="2:22" x14ac:dyDescent="0.2">
      <c r="B273" s="392" t="str">
        <f t="shared" si="7"/>
        <v>Shore power-UptakeFleetAvg2020</v>
      </c>
      <c r="C273" s="392" t="s">
        <v>650</v>
      </c>
      <c r="D273" s="397" t="s">
        <v>159</v>
      </c>
      <c r="E273" s="392" t="s">
        <v>178</v>
      </c>
      <c r="F273" s="359">
        <v>0</v>
      </c>
      <c r="G273" s="359">
        <v>0</v>
      </c>
      <c r="H273" s="359">
        <v>0</v>
      </c>
      <c r="I273" s="359">
        <v>0</v>
      </c>
      <c r="J273" s="359">
        <v>0</v>
      </c>
      <c r="K273" s="359">
        <v>0</v>
      </c>
      <c r="L273" s="359">
        <v>0</v>
      </c>
      <c r="M273" s="359">
        <v>0</v>
      </c>
      <c r="N273" s="359">
        <v>0</v>
      </c>
      <c r="O273" s="359">
        <v>0</v>
      </c>
      <c r="P273" s="359">
        <v>0</v>
      </c>
      <c r="Q273" s="359">
        <v>0</v>
      </c>
      <c r="R273" s="359">
        <v>0</v>
      </c>
      <c r="S273" s="359">
        <v>0</v>
      </c>
      <c r="T273" s="359">
        <v>0</v>
      </c>
      <c r="U273" s="356"/>
      <c r="V273" s="356"/>
    </row>
    <row r="274" spans="2:22" x14ac:dyDescent="0.2">
      <c r="B274" s="392" t="str">
        <f t="shared" si="7"/>
        <v>Shore power-UptakeNewbuild2020</v>
      </c>
      <c r="C274" s="392" t="s">
        <v>652</v>
      </c>
      <c r="D274" s="397" t="s">
        <v>159</v>
      </c>
      <c r="E274" s="392" t="s">
        <v>178</v>
      </c>
      <c r="F274" s="359">
        <v>0</v>
      </c>
      <c r="G274" s="359">
        <v>0</v>
      </c>
      <c r="H274" s="359">
        <v>0</v>
      </c>
      <c r="I274" s="359">
        <v>0</v>
      </c>
      <c r="J274" s="359">
        <v>0</v>
      </c>
      <c r="K274" s="359">
        <v>0</v>
      </c>
      <c r="L274" s="359">
        <v>0</v>
      </c>
      <c r="M274" s="359">
        <v>0</v>
      </c>
      <c r="N274" s="359">
        <v>0</v>
      </c>
      <c r="O274" s="359">
        <v>0</v>
      </c>
      <c r="P274" s="359">
        <v>0</v>
      </c>
      <c r="Q274" s="359">
        <v>0</v>
      </c>
      <c r="R274" s="359">
        <v>0</v>
      </c>
      <c r="S274" s="359">
        <v>0</v>
      </c>
      <c r="T274" s="359">
        <v>0</v>
      </c>
      <c r="U274" s="356"/>
      <c r="V274" s="356"/>
    </row>
    <row r="275" spans="2:22" x14ac:dyDescent="0.2">
      <c r="B275" s="392" t="str">
        <f t="shared" si="7"/>
        <v>Solar power-Applicable Newbuild</v>
      </c>
      <c r="C275" s="392" t="s">
        <v>621</v>
      </c>
      <c r="D275" s="396" t="s">
        <v>158</v>
      </c>
      <c r="E275" s="392" t="s">
        <v>622</v>
      </c>
      <c r="F275" s="356">
        <v>0</v>
      </c>
      <c r="G275" s="356">
        <v>0</v>
      </c>
      <c r="H275" s="356">
        <v>0</v>
      </c>
      <c r="I275" s="356">
        <v>0</v>
      </c>
      <c r="J275" s="356">
        <v>1</v>
      </c>
      <c r="K275" s="356">
        <v>1</v>
      </c>
      <c r="L275" s="356">
        <v>0</v>
      </c>
      <c r="M275" s="356">
        <v>1</v>
      </c>
      <c r="N275" s="356">
        <v>1</v>
      </c>
      <c r="O275" s="356">
        <v>0</v>
      </c>
      <c r="P275" s="356">
        <v>0</v>
      </c>
      <c r="Q275" s="356">
        <v>0</v>
      </c>
      <c r="R275" s="356">
        <v>0</v>
      </c>
      <c r="S275" s="356">
        <v>1</v>
      </c>
      <c r="T275" s="356">
        <v>1</v>
      </c>
      <c r="U275" s="356" t="s">
        <v>624</v>
      </c>
      <c r="V275" s="356"/>
    </row>
    <row r="276" spans="2:22" x14ac:dyDescent="0.2">
      <c r="B276" s="392" t="str">
        <f t="shared" si="7"/>
        <v>Solar power-Applicable Retrofit</v>
      </c>
      <c r="C276" s="392" t="s">
        <v>629</v>
      </c>
      <c r="D276" s="396" t="s">
        <v>158</v>
      </c>
      <c r="E276" s="392" t="s">
        <v>622</v>
      </c>
      <c r="F276" s="356">
        <v>0</v>
      </c>
      <c r="G276" s="356">
        <v>0</v>
      </c>
      <c r="H276" s="356">
        <v>0</v>
      </c>
      <c r="I276" s="356">
        <v>0</v>
      </c>
      <c r="J276" s="356">
        <v>1</v>
      </c>
      <c r="K276" s="356">
        <v>1</v>
      </c>
      <c r="L276" s="356">
        <v>0</v>
      </c>
      <c r="M276" s="356">
        <v>1</v>
      </c>
      <c r="N276" s="356">
        <v>1</v>
      </c>
      <c r="O276" s="356">
        <v>0</v>
      </c>
      <c r="P276" s="356">
        <v>0</v>
      </c>
      <c r="Q276" s="356">
        <v>0</v>
      </c>
      <c r="R276" s="356">
        <v>0</v>
      </c>
      <c r="S276" s="356">
        <v>1</v>
      </c>
      <c r="T276" s="356">
        <v>1</v>
      </c>
      <c r="U276" s="356" t="s">
        <v>624</v>
      </c>
      <c r="V276" s="356"/>
    </row>
    <row r="277" spans="2:22" x14ac:dyDescent="0.2">
      <c r="B277" s="392" t="str">
        <f t="shared" si="7"/>
        <v>Solar power-CAPEX</v>
      </c>
      <c r="C277" s="392" t="s">
        <v>50</v>
      </c>
      <c r="D277" s="401" t="s">
        <v>158</v>
      </c>
      <c r="E277" s="392" t="s">
        <v>630</v>
      </c>
      <c r="F277" s="585" cm="1">
        <f t="array" aca="1" ref="F277" ca="1">IFERROR(
_xlfn.IFS(NewBuild_Retrofit_selector="Newbuild",INDEX($B$1:$V$408,MATCH($D277&amp;"-"&amp;"Installation cost",$B$1:$B$408,0),MATCH(F$3,$B$3:$V$3,0))/INDEX($B$1:$V$408,MATCH($D277&amp;"-"&amp;"Lifetime",$B$1:$B$408,0),MATCH(F$3,$B$3:$V$3,0)),
NewBuild_Retrofit_selector="Retrofit",(INDEX($B$1:$V$408,MATCH($D277&amp;"-"&amp;"Installation cost",$B$1:$B$408,0),MATCH(F$3,$B$3:$V$3,0))+INDEX($B$1:$V$408,MATCH($D277&amp;"-"&amp;"Extra retrofit cost",$B$1:$B$408,0),MATCH(F$3,$B$3:$V$3,0)))/INDEX($B$1:$V$408,MATCH($D277&amp;"-"&amp;"Lifetime",$B$1:$B$408,0),MATCH(F$3,$B$3:$V$3,0))),0)</f>
        <v>0</v>
      </c>
      <c r="G277" s="585" cm="1">
        <f t="array" aca="1" ref="G277" ca="1">IFERROR(
_xlfn.IFS(NewBuild_Retrofit_selector="Newbuild",INDEX($B$1:$V$408,MATCH($D277&amp;"-"&amp;"Installation cost",$B$1:$B$408,0),MATCH(G$3,$B$3:$V$3,0))/INDEX($B$1:$V$408,MATCH($D277&amp;"-"&amp;"Lifetime",$B$1:$B$408,0),MATCH(G$3,$B$3:$V$3,0)),
NewBuild_Retrofit_selector="Retrofit",(INDEX($B$1:$V$408,MATCH($D277&amp;"-"&amp;"Installation cost",$B$1:$B$408,0),MATCH(G$3,$B$3:$V$3,0))+INDEX($B$1:$V$408,MATCH($D277&amp;"-"&amp;"Extra retrofit cost",$B$1:$B$408,0),MATCH(G$3,$B$3:$V$3,0)))/INDEX($B$1:$V$408,MATCH($D277&amp;"-"&amp;"Lifetime",$B$1:$B$408,0),MATCH(G$3,$B$3:$V$3,0))),0)</f>
        <v>0</v>
      </c>
      <c r="H277" s="585" cm="1">
        <f t="array" aca="1" ref="H277" ca="1">IFERROR(
_xlfn.IFS(NewBuild_Retrofit_selector="Newbuild",INDEX($B$1:$V$408,MATCH($D277&amp;"-"&amp;"Installation cost",$B$1:$B$408,0),MATCH(H$3,$B$3:$V$3,0))/INDEX($B$1:$V$408,MATCH($D277&amp;"-"&amp;"Lifetime",$B$1:$B$408,0),MATCH(H$3,$B$3:$V$3,0)),
NewBuild_Retrofit_selector="Retrofit",(INDEX($B$1:$V$408,MATCH($D277&amp;"-"&amp;"Installation cost",$B$1:$B$408,0),MATCH(H$3,$B$3:$V$3,0))+INDEX($B$1:$V$408,MATCH($D277&amp;"-"&amp;"Extra retrofit cost",$B$1:$B$408,0),MATCH(H$3,$B$3:$V$3,0)))/INDEX($B$1:$V$408,MATCH($D277&amp;"-"&amp;"Lifetime",$B$1:$B$408,0),MATCH(H$3,$B$3:$V$3,0))),0)</f>
        <v>0</v>
      </c>
      <c r="I277" s="585" cm="1">
        <f t="array" aca="1" ref="I277" ca="1">IFERROR(
_xlfn.IFS(NewBuild_Retrofit_selector="Newbuild",INDEX($B$1:$V$408,MATCH($D277&amp;"-"&amp;"Installation cost",$B$1:$B$408,0),MATCH(I$3,$B$3:$V$3,0))/INDEX($B$1:$V$408,MATCH($D277&amp;"-"&amp;"Lifetime",$B$1:$B$408,0),MATCH(I$3,$B$3:$V$3,0)),
NewBuild_Retrofit_selector="Retrofit",(INDEX($B$1:$V$408,MATCH($D277&amp;"-"&amp;"Installation cost",$B$1:$B$408,0),MATCH(I$3,$B$3:$V$3,0))+INDEX($B$1:$V$408,MATCH($D277&amp;"-"&amp;"Extra retrofit cost",$B$1:$B$408,0),MATCH(I$3,$B$3:$V$3,0)))/INDEX($B$1:$V$408,MATCH($D277&amp;"-"&amp;"Lifetime",$B$1:$B$408,0),MATCH(I$3,$B$3:$V$3,0))),0)</f>
        <v>0</v>
      </c>
      <c r="J277" s="585" cm="1">
        <f t="array" aca="1" ref="J277" ca="1">IFERROR(
_xlfn.IFS(NewBuild_Retrofit_selector="Newbuild",INDEX($B$1:$V$408,MATCH($D277&amp;"-"&amp;"Installation cost",$B$1:$B$408,0),MATCH(J$3,$B$3:$V$3,0))/INDEX($B$1:$V$408,MATCH($D277&amp;"-"&amp;"Lifetime",$B$1:$B$408,0),MATCH(J$3,$B$3:$V$3,0)),
NewBuild_Retrofit_selector="Retrofit",(INDEX($B$1:$V$408,MATCH($D277&amp;"-"&amp;"Installation cost",$B$1:$B$408,0),MATCH(J$3,$B$3:$V$3,0))+INDEX($B$1:$V$408,MATCH($D277&amp;"-"&amp;"Extra retrofit cost",$B$1:$B$408,0),MATCH(J$3,$B$3:$V$3,0)))/INDEX($B$1:$V$408,MATCH($D277&amp;"-"&amp;"Lifetime",$B$1:$B$408,0),MATCH(J$3,$B$3:$V$3,0))),0)</f>
        <v>0</v>
      </c>
      <c r="K277" s="585" cm="1">
        <f t="array" aca="1" ref="K277" ca="1">IFERROR(
_xlfn.IFS(NewBuild_Retrofit_selector="Newbuild",INDEX($B$1:$V$408,MATCH($D277&amp;"-"&amp;"Installation cost",$B$1:$B$408,0),MATCH(K$3,$B$3:$V$3,0))/INDEX($B$1:$V$408,MATCH($D277&amp;"-"&amp;"Lifetime",$B$1:$B$408,0),MATCH(K$3,$B$3:$V$3,0)),
NewBuild_Retrofit_selector="Retrofit",(INDEX($B$1:$V$408,MATCH($D277&amp;"-"&amp;"Installation cost",$B$1:$B$408,0),MATCH(K$3,$B$3:$V$3,0))+INDEX($B$1:$V$408,MATCH($D277&amp;"-"&amp;"Extra retrofit cost",$B$1:$B$408,0),MATCH(K$3,$B$3:$V$3,0)))/INDEX($B$1:$V$408,MATCH($D277&amp;"-"&amp;"Lifetime",$B$1:$B$408,0),MATCH(K$3,$B$3:$V$3,0))),0)</f>
        <v>0</v>
      </c>
      <c r="L277" s="585" cm="1">
        <f t="array" aca="1" ref="L277" ca="1">IFERROR(
_xlfn.IFS(NewBuild_Retrofit_selector="Newbuild",INDEX($B$1:$V$408,MATCH($D277&amp;"-"&amp;"Installation cost",$B$1:$B$408,0),MATCH(L$3,$B$3:$V$3,0))/INDEX($B$1:$V$408,MATCH($D277&amp;"-"&amp;"Lifetime",$B$1:$B$408,0),MATCH(L$3,$B$3:$V$3,0)),
NewBuild_Retrofit_selector="Retrofit",(INDEX($B$1:$V$408,MATCH($D277&amp;"-"&amp;"Installation cost",$B$1:$B$408,0),MATCH(L$3,$B$3:$V$3,0))+INDEX($B$1:$V$408,MATCH($D277&amp;"-"&amp;"Extra retrofit cost",$B$1:$B$408,0),MATCH(L$3,$B$3:$V$3,0)))/INDEX($B$1:$V$408,MATCH($D277&amp;"-"&amp;"Lifetime",$B$1:$B$408,0),MATCH(L$3,$B$3:$V$3,0))),0)</f>
        <v>0</v>
      </c>
      <c r="M277" s="585" cm="1">
        <f t="array" aca="1" ref="M277" ca="1">IFERROR(
_xlfn.IFS(NewBuild_Retrofit_selector="Newbuild",INDEX($B$1:$V$408,MATCH($D277&amp;"-"&amp;"Installation cost",$B$1:$B$408,0),MATCH(M$3,$B$3:$V$3,0))/INDEX($B$1:$V$408,MATCH($D277&amp;"-"&amp;"Lifetime",$B$1:$B$408,0),MATCH(M$3,$B$3:$V$3,0)),
NewBuild_Retrofit_selector="Retrofit",(INDEX($B$1:$V$408,MATCH($D277&amp;"-"&amp;"Installation cost",$B$1:$B$408,0),MATCH(M$3,$B$3:$V$3,0))+INDEX($B$1:$V$408,MATCH($D277&amp;"-"&amp;"Extra retrofit cost",$B$1:$B$408,0),MATCH(M$3,$B$3:$V$3,0)))/INDEX($B$1:$V$408,MATCH($D277&amp;"-"&amp;"Lifetime",$B$1:$B$408,0),MATCH(M$3,$B$3:$V$3,0))),0)</f>
        <v>0</v>
      </c>
      <c r="N277" s="585" cm="1">
        <f t="array" aca="1" ref="N277" ca="1">IFERROR(
_xlfn.IFS(NewBuild_Retrofit_selector="Newbuild",INDEX($B$1:$V$408,MATCH($D277&amp;"-"&amp;"Installation cost",$B$1:$B$408,0),MATCH(N$3,$B$3:$V$3,0))/INDEX($B$1:$V$408,MATCH($D277&amp;"-"&amp;"Lifetime",$B$1:$B$408,0),MATCH(N$3,$B$3:$V$3,0)),
NewBuild_Retrofit_selector="Retrofit",(INDEX($B$1:$V$408,MATCH($D277&amp;"-"&amp;"Installation cost",$B$1:$B$408,0),MATCH(N$3,$B$3:$V$3,0))+INDEX($B$1:$V$408,MATCH($D277&amp;"-"&amp;"Extra retrofit cost",$B$1:$B$408,0),MATCH(N$3,$B$3:$V$3,0)))/INDEX($B$1:$V$408,MATCH($D277&amp;"-"&amp;"Lifetime",$B$1:$B$408,0),MATCH(N$3,$B$3:$V$3,0))),0)</f>
        <v>0</v>
      </c>
      <c r="O277" s="585" cm="1">
        <f t="array" aca="1" ref="O277" ca="1">IFERROR(
_xlfn.IFS(NewBuild_Retrofit_selector="Newbuild",INDEX($B$1:$V$408,MATCH($D277&amp;"-"&amp;"Installation cost",$B$1:$B$408,0),MATCH(O$3,$B$3:$V$3,0))/INDEX($B$1:$V$408,MATCH($D277&amp;"-"&amp;"Lifetime",$B$1:$B$408,0),MATCH(O$3,$B$3:$V$3,0)),
NewBuild_Retrofit_selector="Retrofit",(INDEX($B$1:$V$408,MATCH($D277&amp;"-"&amp;"Installation cost",$B$1:$B$408,0),MATCH(O$3,$B$3:$V$3,0))+INDEX($B$1:$V$408,MATCH($D277&amp;"-"&amp;"Extra retrofit cost",$B$1:$B$408,0),MATCH(O$3,$B$3:$V$3,0)))/INDEX($B$1:$V$408,MATCH($D277&amp;"-"&amp;"Lifetime",$B$1:$B$408,0),MATCH(O$3,$B$3:$V$3,0))),0)</f>
        <v>0</v>
      </c>
      <c r="P277" s="585" cm="1">
        <f t="array" aca="1" ref="P277" ca="1">IFERROR(
_xlfn.IFS(NewBuild_Retrofit_selector="Newbuild",INDEX($B$1:$V$408,MATCH($D277&amp;"-"&amp;"Installation cost",$B$1:$B$408,0),MATCH(P$3,$B$3:$V$3,0))/INDEX($B$1:$V$408,MATCH($D277&amp;"-"&amp;"Lifetime",$B$1:$B$408,0),MATCH(P$3,$B$3:$V$3,0)),
NewBuild_Retrofit_selector="Retrofit",(INDEX($B$1:$V$408,MATCH($D277&amp;"-"&amp;"Installation cost",$B$1:$B$408,0),MATCH(P$3,$B$3:$V$3,0))+INDEX($B$1:$V$408,MATCH($D277&amp;"-"&amp;"Extra retrofit cost",$B$1:$B$408,0),MATCH(P$3,$B$3:$V$3,0)))/INDEX($B$1:$V$408,MATCH($D277&amp;"-"&amp;"Lifetime",$B$1:$B$408,0),MATCH(P$3,$B$3:$V$3,0))),0)</f>
        <v>0</v>
      </c>
      <c r="Q277" s="585" cm="1">
        <f t="array" aca="1" ref="Q277" ca="1">IFERROR(
_xlfn.IFS(NewBuild_Retrofit_selector="Newbuild",INDEX($B$1:$V$408,MATCH($D277&amp;"-"&amp;"Installation cost",$B$1:$B$408,0),MATCH(Q$3,$B$3:$V$3,0))/INDEX($B$1:$V$408,MATCH($D277&amp;"-"&amp;"Lifetime",$B$1:$B$408,0),MATCH(Q$3,$B$3:$V$3,0)),
NewBuild_Retrofit_selector="Retrofit",(INDEX($B$1:$V$408,MATCH($D277&amp;"-"&amp;"Installation cost",$B$1:$B$408,0),MATCH(Q$3,$B$3:$V$3,0))+INDEX($B$1:$V$408,MATCH($D277&amp;"-"&amp;"Extra retrofit cost",$B$1:$B$408,0),MATCH(Q$3,$B$3:$V$3,0)))/INDEX($B$1:$V$408,MATCH($D277&amp;"-"&amp;"Lifetime",$B$1:$B$408,0),MATCH(Q$3,$B$3:$V$3,0))),0)</f>
        <v>0</v>
      </c>
      <c r="R277" s="585" cm="1">
        <f t="array" aca="1" ref="R277" ca="1">IFERROR(
_xlfn.IFS(NewBuild_Retrofit_selector="Newbuild",INDEX($B$1:$V$408,MATCH($D277&amp;"-"&amp;"Installation cost",$B$1:$B$408,0),MATCH(R$3,$B$3:$V$3,0))/INDEX($B$1:$V$408,MATCH($D277&amp;"-"&amp;"Lifetime",$B$1:$B$408,0),MATCH(R$3,$B$3:$V$3,0)),
NewBuild_Retrofit_selector="Retrofit",(INDEX($B$1:$V$408,MATCH($D277&amp;"-"&amp;"Installation cost",$B$1:$B$408,0),MATCH(R$3,$B$3:$V$3,0))+INDEX($B$1:$V$408,MATCH($D277&amp;"-"&amp;"Extra retrofit cost",$B$1:$B$408,0),MATCH(R$3,$B$3:$V$3,0)))/INDEX($B$1:$V$408,MATCH($D277&amp;"-"&amp;"Lifetime",$B$1:$B$408,0),MATCH(R$3,$B$3:$V$3,0))),0)</f>
        <v>0</v>
      </c>
      <c r="S277" s="585" cm="1">
        <f t="array" aca="1" ref="S277" ca="1">IFERROR(
_xlfn.IFS(NewBuild_Retrofit_selector="Newbuild",INDEX($B$1:$V$408,MATCH($D277&amp;"-"&amp;"Installation cost",$B$1:$B$408,0),MATCH(S$3,$B$3:$V$3,0))/INDEX($B$1:$V$408,MATCH($D277&amp;"-"&amp;"Lifetime",$B$1:$B$408,0),MATCH(S$3,$B$3:$V$3,0)),
NewBuild_Retrofit_selector="Retrofit",(INDEX($B$1:$V$408,MATCH($D277&amp;"-"&amp;"Installation cost",$B$1:$B$408,0),MATCH(S$3,$B$3:$V$3,0))+INDEX($B$1:$V$408,MATCH($D277&amp;"-"&amp;"Extra retrofit cost",$B$1:$B$408,0),MATCH(S$3,$B$3:$V$3,0)))/INDEX($B$1:$V$408,MATCH($D277&amp;"-"&amp;"Lifetime",$B$1:$B$408,0),MATCH(S$3,$B$3:$V$3,0))),0)</f>
        <v>0</v>
      </c>
      <c r="T277" s="585" cm="1">
        <f t="array" aca="1" ref="T277" ca="1">IFERROR(
_xlfn.IFS(NewBuild_Retrofit_selector="Newbuild",INDEX($B$1:$V$408,MATCH($D277&amp;"-"&amp;"Installation cost",$B$1:$B$408,0),MATCH(T$3,$B$3:$V$3,0))/INDEX($B$1:$V$408,MATCH($D277&amp;"-"&amp;"Lifetime",$B$1:$B$408,0),MATCH(T$3,$B$3:$V$3,0)),
NewBuild_Retrofit_selector="Retrofit",(INDEX($B$1:$V$408,MATCH($D277&amp;"-"&amp;"Installation cost",$B$1:$B$408,0),MATCH(T$3,$B$3:$V$3,0))+INDEX($B$1:$V$408,MATCH($D277&amp;"-"&amp;"Extra retrofit cost",$B$1:$B$408,0),MATCH(T$3,$B$3:$V$3,0)))/INDEX($B$1:$V$408,MATCH($D277&amp;"-"&amp;"Lifetime",$B$1:$B$408,0),MATCH(T$3,$B$3:$V$3,0))),0)</f>
        <v>0</v>
      </c>
      <c r="U277" s="356"/>
      <c r="V277" s="356"/>
    </row>
    <row r="278" spans="2:22" x14ac:dyDescent="0.2">
      <c r="B278" s="392" t="str">
        <f t="shared" si="7"/>
        <v>Solar power-Extra retrofit cost</v>
      </c>
      <c r="C278" s="392" t="s">
        <v>634</v>
      </c>
      <c r="D278" s="396" t="s">
        <v>158</v>
      </c>
      <c r="E278" s="392" t="s">
        <v>635</v>
      </c>
      <c r="F278" s="585">
        <v>0</v>
      </c>
      <c r="G278" s="585">
        <v>0</v>
      </c>
      <c r="H278" s="585">
        <v>0</v>
      </c>
      <c r="I278" s="585">
        <v>0</v>
      </c>
      <c r="J278" s="585">
        <v>0</v>
      </c>
      <c r="K278" s="585">
        <v>0</v>
      </c>
      <c r="L278" s="585">
        <v>0</v>
      </c>
      <c r="M278" s="585">
        <v>0</v>
      </c>
      <c r="N278" s="585">
        <v>0</v>
      </c>
      <c r="O278" s="585">
        <v>0</v>
      </c>
      <c r="P278" s="585">
        <v>0</v>
      </c>
      <c r="Q278" s="585">
        <v>0</v>
      </c>
      <c r="R278" s="585">
        <v>0</v>
      </c>
      <c r="S278" s="585">
        <v>0</v>
      </c>
      <c r="T278" s="585">
        <v>0</v>
      </c>
      <c r="U278" s="356"/>
      <c r="V278" s="356"/>
    </row>
    <row r="279" spans="2:22" x14ac:dyDescent="0.2">
      <c r="B279" s="392" t="str">
        <f t="shared" si="7"/>
        <v>Solar power-Installation cost</v>
      </c>
      <c r="C279" s="392" t="s">
        <v>452</v>
      </c>
      <c r="D279" s="392" t="s">
        <v>158</v>
      </c>
      <c r="E279" s="392" t="s">
        <v>635</v>
      </c>
      <c r="F279" s="585">
        <v>0</v>
      </c>
      <c r="G279" s="585">
        <v>0</v>
      </c>
      <c r="H279" s="585">
        <v>0</v>
      </c>
      <c r="I279" s="585">
        <v>0</v>
      </c>
      <c r="J279" s="585">
        <v>1370000</v>
      </c>
      <c r="K279" s="585">
        <v>1370000</v>
      </c>
      <c r="L279" s="585">
        <v>1370000</v>
      </c>
      <c r="M279" s="585">
        <v>1370000</v>
      </c>
      <c r="N279" s="585">
        <v>1370000</v>
      </c>
      <c r="O279" s="585">
        <v>0</v>
      </c>
      <c r="P279" s="585">
        <v>0</v>
      </c>
      <c r="Q279" s="585">
        <v>0</v>
      </c>
      <c r="R279" s="585">
        <v>1370000</v>
      </c>
      <c r="S279" s="585">
        <v>1370000</v>
      </c>
      <c r="T279" s="585">
        <v>1370000</v>
      </c>
      <c r="U279" s="356" t="s">
        <v>624</v>
      </c>
      <c r="V279" s="356"/>
    </row>
    <row r="280" spans="2:22" x14ac:dyDescent="0.2">
      <c r="B280" s="392" t="str">
        <f t="shared" si="7"/>
        <v>Solar power-Lifetime</v>
      </c>
      <c r="C280" s="392" t="s">
        <v>520</v>
      </c>
      <c r="D280" s="392" t="s">
        <v>158</v>
      </c>
      <c r="E280" s="392" t="s">
        <v>176</v>
      </c>
      <c r="F280" s="356">
        <v>0</v>
      </c>
      <c r="G280" s="356">
        <v>0</v>
      </c>
      <c r="H280" s="356">
        <v>0</v>
      </c>
      <c r="I280" s="356">
        <v>0</v>
      </c>
      <c r="J280" s="356">
        <v>10</v>
      </c>
      <c r="K280" s="356">
        <v>10</v>
      </c>
      <c r="L280" s="356">
        <v>10</v>
      </c>
      <c r="M280" s="356">
        <v>10</v>
      </c>
      <c r="N280" s="356">
        <v>10</v>
      </c>
      <c r="O280" s="356">
        <v>0</v>
      </c>
      <c r="P280" s="356">
        <v>0</v>
      </c>
      <c r="Q280" s="356">
        <v>0</v>
      </c>
      <c r="R280" s="356">
        <v>10</v>
      </c>
      <c r="S280" s="356">
        <v>10</v>
      </c>
      <c r="T280" s="356">
        <v>10</v>
      </c>
      <c r="U280" s="356" t="s">
        <v>624</v>
      </c>
      <c r="V280" s="356"/>
    </row>
    <row r="281" spans="2:22" x14ac:dyDescent="0.2">
      <c r="B281" s="392" t="str">
        <f t="shared" si="7"/>
        <v>Solar power-OPEX</v>
      </c>
      <c r="C281" s="392" t="s">
        <v>319</v>
      </c>
      <c r="D281" s="392" t="s">
        <v>158</v>
      </c>
      <c r="E281" s="392" t="s">
        <v>630</v>
      </c>
      <c r="F281" s="585">
        <v>0</v>
      </c>
      <c r="G281" s="585">
        <v>0</v>
      </c>
      <c r="H281" s="585">
        <v>0</v>
      </c>
      <c r="I281" s="585">
        <v>0</v>
      </c>
      <c r="J281" s="585">
        <v>0</v>
      </c>
      <c r="K281" s="585">
        <v>0</v>
      </c>
      <c r="L281" s="585">
        <v>0</v>
      </c>
      <c r="M281" s="585">
        <v>0</v>
      </c>
      <c r="N281" s="585">
        <v>0</v>
      </c>
      <c r="O281" s="585">
        <v>0</v>
      </c>
      <c r="P281" s="585">
        <v>0</v>
      </c>
      <c r="Q281" s="585">
        <v>0</v>
      </c>
      <c r="R281" s="585">
        <v>0</v>
      </c>
      <c r="S281" s="585">
        <v>0</v>
      </c>
      <c r="T281" s="585">
        <v>0</v>
      </c>
      <c r="U281" s="356" t="s">
        <v>624</v>
      </c>
      <c r="V281" s="356"/>
    </row>
    <row r="282" spans="2:22" x14ac:dyDescent="0.2">
      <c r="B282" s="392" t="str">
        <f t="shared" si="7"/>
        <v>Solar power-Saving</v>
      </c>
      <c r="C282" s="392" t="s">
        <v>458</v>
      </c>
      <c r="D282" s="392" t="s">
        <v>158</v>
      </c>
      <c r="E282" s="392" t="s">
        <v>178</v>
      </c>
      <c r="F282" s="359">
        <v>0</v>
      </c>
      <c r="G282" s="359">
        <v>0</v>
      </c>
      <c r="H282" s="359">
        <v>0</v>
      </c>
      <c r="I282" s="359">
        <v>0</v>
      </c>
      <c r="J282" s="359">
        <v>0.01</v>
      </c>
      <c r="K282" s="359">
        <v>0.01</v>
      </c>
      <c r="L282" s="359">
        <v>0.01</v>
      </c>
      <c r="M282" s="359">
        <v>0.01</v>
      </c>
      <c r="N282" s="359">
        <v>0.01</v>
      </c>
      <c r="O282" s="359">
        <v>0</v>
      </c>
      <c r="P282" s="359">
        <v>0</v>
      </c>
      <c r="Q282" s="359">
        <v>0</v>
      </c>
      <c r="R282" s="359">
        <v>0.01</v>
      </c>
      <c r="S282" s="359">
        <v>0.01</v>
      </c>
      <c r="T282" s="359">
        <v>0.01</v>
      </c>
      <c r="U282" s="356" t="s">
        <v>624</v>
      </c>
      <c r="V282" s="356"/>
    </row>
    <row r="283" spans="2:22" x14ac:dyDescent="0.2">
      <c r="B283" s="392" t="str">
        <f t="shared" si="7"/>
        <v>Solar power-UptakeFleetAvg2020</v>
      </c>
      <c r="C283" s="392" t="s">
        <v>650</v>
      </c>
      <c r="D283" s="392" t="s">
        <v>158</v>
      </c>
      <c r="E283" s="392" t="s">
        <v>178</v>
      </c>
      <c r="F283" s="359">
        <v>0</v>
      </c>
      <c r="G283" s="359">
        <v>0</v>
      </c>
      <c r="H283" s="359">
        <v>0</v>
      </c>
      <c r="I283" s="359">
        <v>0</v>
      </c>
      <c r="J283" s="359">
        <v>0</v>
      </c>
      <c r="K283" s="359">
        <v>0</v>
      </c>
      <c r="L283" s="359">
        <v>0</v>
      </c>
      <c r="M283" s="359">
        <v>0</v>
      </c>
      <c r="N283" s="359">
        <v>0</v>
      </c>
      <c r="O283" s="359">
        <v>0</v>
      </c>
      <c r="P283" s="359">
        <v>0</v>
      </c>
      <c r="Q283" s="359">
        <v>0</v>
      </c>
      <c r="R283" s="359">
        <v>0</v>
      </c>
      <c r="S283" s="359">
        <v>0</v>
      </c>
      <c r="T283" s="359">
        <v>0</v>
      </c>
      <c r="U283" s="356" t="s">
        <v>651</v>
      </c>
      <c r="V283" s="356"/>
    </row>
    <row r="284" spans="2:22" x14ac:dyDescent="0.2">
      <c r="B284" s="392" t="str">
        <f t="shared" si="7"/>
        <v>Solar power-UptakeNewbuild2020</v>
      </c>
      <c r="C284" s="392" t="s">
        <v>652</v>
      </c>
      <c r="D284" s="392" t="s">
        <v>158</v>
      </c>
      <c r="E284" s="392" t="s">
        <v>178</v>
      </c>
      <c r="F284" s="359">
        <v>0</v>
      </c>
      <c r="G284" s="359">
        <v>0</v>
      </c>
      <c r="H284" s="359">
        <v>0</v>
      </c>
      <c r="I284" s="359">
        <v>0</v>
      </c>
      <c r="J284" s="359">
        <v>0</v>
      </c>
      <c r="K284" s="359">
        <v>0</v>
      </c>
      <c r="L284" s="359">
        <v>0</v>
      </c>
      <c r="M284" s="359">
        <v>0</v>
      </c>
      <c r="N284" s="359">
        <v>0</v>
      </c>
      <c r="O284" s="359">
        <v>0</v>
      </c>
      <c r="P284" s="359">
        <v>0</v>
      </c>
      <c r="Q284" s="359">
        <v>0</v>
      </c>
      <c r="R284" s="359">
        <v>0</v>
      </c>
      <c r="S284" s="359">
        <v>0</v>
      </c>
      <c r="T284" s="359">
        <v>0</v>
      </c>
      <c r="U284" s="356" t="s">
        <v>651</v>
      </c>
      <c r="V284" s="356"/>
    </row>
    <row r="285" spans="2:22" x14ac:dyDescent="0.2">
      <c r="B285" s="392" t="str">
        <f t="shared" si="7"/>
        <v>Speed management-Applicable Newbuild</v>
      </c>
      <c r="C285" s="392" t="s">
        <v>621</v>
      </c>
      <c r="D285" s="395" t="s">
        <v>134</v>
      </c>
      <c r="E285" s="392" t="s">
        <v>622</v>
      </c>
      <c r="F285" s="356">
        <v>1</v>
      </c>
      <c r="G285" s="356">
        <v>1</v>
      </c>
      <c r="H285" s="356">
        <v>1</v>
      </c>
      <c r="I285" s="356">
        <v>1</v>
      </c>
      <c r="J285" s="356">
        <v>1</v>
      </c>
      <c r="K285" s="356">
        <v>1</v>
      </c>
      <c r="L285" s="356">
        <v>1</v>
      </c>
      <c r="M285" s="356">
        <v>1</v>
      </c>
      <c r="N285" s="356">
        <v>1</v>
      </c>
      <c r="O285" s="356">
        <v>1</v>
      </c>
      <c r="P285" s="356">
        <v>1</v>
      </c>
      <c r="Q285" s="356">
        <v>1</v>
      </c>
      <c r="R285" s="356">
        <v>1</v>
      </c>
      <c r="S285" s="356">
        <v>1</v>
      </c>
      <c r="T285" s="356">
        <v>1</v>
      </c>
      <c r="U285" s="356" t="s">
        <v>627</v>
      </c>
      <c r="V285" s="356"/>
    </row>
    <row r="286" spans="2:22" x14ac:dyDescent="0.2">
      <c r="B286" s="392" t="str">
        <f t="shared" si="7"/>
        <v>Speed management-Applicable Retrofit</v>
      </c>
      <c r="C286" s="392" t="s">
        <v>629</v>
      </c>
      <c r="D286" s="395" t="s">
        <v>134</v>
      </c>
      <c r="E286" s="392" t="s">
        <v>622</v>
      </c>
      <c r="F286" s="356">
        <v>1</v>
      </c>
      <c r="G286" s="356">
        <v>1</v>
      </c>
      <c r="H286" s="356">
        <v>1</v>
      </c>
      <c r="I286" s="356">
        <v>1</v>
      </c>
      <c r="J286" s="356">
        <v>1</v>
      </c>
      <c r="K286" s="356">
        <v>1</v>
      </c>
      <c r="L286" s="356">
        <v>1</v>
      </c>
      <c r="M286" s="356">
        <v>1</v>
      </c>
      <c r="N286" s="356">
        <v>1</v>
      </c>
      <c r="O286" s="356">
        <v>1</v>
      </c>
      <c r="P286" s="356">
        <v>1</v>
      </c>
      <c r="Q286" s="356">
        <v>1</v>
      </c>
      <c r="R286" s="356">
        <v>1</v>
      </c>
      <c r="S286" s="356">
        <v>1</v>
      </c>
      <c r="T286" s="356">
        <v>1</v>
      </c>
      <c r="U286" s="356" t="s">
        <v>627</v>
      </c>
      <c r="V286" s="356"/>
    </row>
    <row r="287" spans="2:22" x14ac:dyDescent="0.2">
      <c r="B287" s="392" t="str">
        <f t="shared" si="7"/>
        <v>Speed management-CAPEX</v>
      </c>
      <c r="C287" s="392" t="s">
        <v>50</v>
      </c>
      <c r="D287" s="395" t="s">
        <v>134</v>
      </c>
      <c r="E287" s="392" t="s">
        <v>630</v>
      </c>
      <c r="F287" s="585" cm="1">
        <f t="array" aca="1" ref="F287" ca="1">IFERROR(
_xlfn.IFS(NewBuild_Retrofit_selector="Newbuild",INDEX($B$1:$V$408,MATCH($D287&amp;"-"&amp;"Installation cost",$B$1:$B$408,0),MATCH(F$3,$B$3:$V$3,0))/INDEX($B$1:$V$408,MATCH($D287&amp;"-"&amp;"Lifetime",$B$1:$B$408,0),MATCH(F$3,$B$3:$V$3,0)),
NewBuild_Retrofit_selector="Retrofit",(INDEX($B$1:$V$408,MATCH($D287&amp;"-"&amp;"Installation cost",$B$1:$B$408,0),MATCH(F$3,$B$3:$V$3,0))+INDEX($B$1:$V$408,MATCH($D287&amp;"-"&amp;"Extra retrofit cost",$B$1:$B$408,0),MATCH(F$3,$B$3:$V$3,0)))/INDEX($B$1:$V$408,MATCH($D287&amp;"-"&amp;"Lifetime",$B$1:$B$408,0),MATCH(F$3,$B$3:$V$3,0))),0)</f>
        <v>0</v>
      </c>
      <c r="G287" s="585" cm="1">
        <f t="array" aca="1" ref="G287" ca="1">IFERROR(
_xlfn.IFS(NewBuild_Retrofit_selector="Newbuild",INDEX($B$1:$V$408,MATCH($D287&amp;"-"&amp;"Installation cost",$B$1:$B$408,0),MATCH(G$3,$B$3:$V$3,0))/INDEX($B$1:$V$408,MATCH($D287&amp;"-"&amp;"Lifetime",$B$1:$B$408,0),MATCH(G$3,$B$3:$V$3,0)),
NewBuild_Retrofit_selector="Retrofit",(INDEX($B$1:$V$408,MATCH($D287&amp;"-"&amp;"Installation cost",$B$1:$B$408,0),MATCH(G$3,$B$3:$V$3,0))+INDEX($B$1:$V$408,MATCH($D287&amp;"-"&amp;"Extra retrofit cost",$B$1:$B$408,0),MATCH(G$3,$B$3:$V$3,0)))/INDEX($B$1:$V$408,MATCH($D287&amp;"-"&amp;"Lifetime",$B$1:$B$408,0),MATCH(G$3,$B$3:$V$3,0))),0)</f>
        <v>0</v>
      </c>
      <c r="H287" s="585" cm="1">
        <f t="array" aca="1" ref="H287" ca="1">IFERROR(
_xlfn.IFS(NewBuild_Retrofit_selector="Newbuild",INDEX($B$1:$V$408,MATCH($D287&amp;"-"&amp;"Installation cost",$B$1:$B$408,0),MATCH(H$3,$B$3:$V$3,0))/INDEX($B$1:$V$408,MATCH($D287&amp;"-"&amp;"Lifetime",$B$1:$B$408,0),MATCH(H$3,$B$3:$V$3,0)),
NewBuild_Retrofit_selector="Retrofit",(INDEX($B$1:$V$408,MATCH($D287&amp;"-"&amp;"Installation cost",$B$1:$B$408,0),MATCH(H$3,$B$3:$V$3,0))+INDEX($B$1:$V$408,MATCH($D287&amp;"-"&amp;"Extra retrofit cost",$B$1:$B$408,0),MATCH(H$3,$B$3:$V$3,0)))/INDEX($B$1:$V$408,MATCH($D287&amp;"-"&amp;"Lifetime",$B$1:$B$408,0),MATCH(H$3,$B$3:$V$3,0))),0)</f>
        <v>0</v>
      </c>
      <c r="I287" s="585" cm="1">
        <f t="array" aca="1" ref="I287" ca="1">IFERROR(
_xlfn.IFS(NewBuild_Retrofit_selector="Newbuild",INDEX($B$1:$V$408,MATCH($D287&amp;"-"&amp;"Installation cost",$B$1:$B$408,0),MATCH(I$3,$B$3:$V$3,0))/INDEX($B$1:$V$408,MATCH($D287&amp;"-"&amp;"Lifetime",$B$1:$B$408,0),MATCH(I$3,$B$3:$V$3,0)),
NewBuild_Retrofit_selector="Retrofit",(INDEX($B$1:$V$408,MATCH($D287&amp;"-"&amp;"Installation cost",$B$1:$B$408,0),MATCH(I$3,$B$3:$V$3,0))+INDEX($B$1:$V$408,MATCH($D287&amp;"-"&amp;"Extra retrofit cost",$B$1:$B$408,0),MATCH(I$3,$B$3:$V$3,0)))/INDEX($B$1:$V$408,MATCH($D287&amp;"-"&amp;"Lifetime",$B$1:$B$408,0),MATCH(I$3,$B$3:$V$3,0))),0)</f>
        <v>0</v>
      </c>
      <c r="J287" s="585" cm="1">
        <f t="array" aca="1" ref="J287" ca="1">IFERROR(
_xlfn.IFS(NewBuild_Retrofit_selector="Newbuild",INDEX($B$1:$V$408,MATCH($D287&amp;"-"&amp;"Installation cost",$B$1:$B$408,0),MATCH(J$3,$B$3:$V$3,0))/INDEX($B$1:$V$408,MATCH($D287&amp;"-"&amp;"Lifetime",$B$1:$B$408,0),MATCH(J$3,$B$3:$V$3,0)),
NewBuild_Retrofit_selector="Retrofit",(INDEX($B$1:$V$408,MATCH($D287&amp;"-"&amp;"Installation cost",$B$1:$B$408,0),MATCH(J$3,$B$3:$V$3,0))+INDEX($B$1:$V$408,MATCH($D287&amp;"-"&amp;"Extra retrofit cost",$B$1:$B$408,0),MATCH(J$3,$B$3:$V$3,0)))/INDEX($B$1:$V$408,MATCH($D287&amp;"-"&amp;"Lifetime",$B$1:$B$408,0),MATCH(J$3,$B$3:$V$3,0))),0)</f>
        <v>0</v>
      </c>
      <c r="K287" s="585" cm="1">
        <f t="array" aca="1" ref="K287" ca="1">IFERROR(
_xlfn.IFS(NewBuild_Retrofit_selector="Newbuild",INDEX($B$1:$V$408,MATCH($D287&amp;"-"&amp;"Installation cost",$B$1:$B$408,0),MATCH(K$3,$B$3:$V$3,0))/INDEX($B$1:$V$408,MATCH($D287&amp;"-"&amp;"Lifetime",$B$1:$B$408,0),MATCH(K$3,$B$3:$V$3,0)),
NewBuild_Retrofit_selector="Retrofit",(INDEX($B$1:$V$408,MATCH($D287&amp;"-"&amp;"Installation cost",$B$1:$B$408,0),MATCH(K$3,$B$3:$V$3,0))+INDEX($B$1:$V$408,MATCH($D287&amp;"-"&amp;"Extra retrofit cost",$B$1:$B$408,0),MATCH(K$3,$B$3:$V$3,0)))/INDEX($B$1:$V$408,MATCH($D287&amp;"-"&amp;"Lifetime",$B$1:$B$408,0),MATCH(K$3,$B$3:$V$3,0))),0)</f>
        <v>0</v>
      </c>
      <c r="L287" s="585" cm="1">
        <f t="array" aca="1" ref="L287" ca="1">IFERROR(
_xlfn.IFS(NewBuild_Retrofit_selector="Newbuild",INDEX($B$1:$V$408,MATCH($D287&amp;"-"&amp;"Installation cost",$B$1:$B$408,0),MATCH(L$3,$B$3:$V$3,0))/INDEX($B$1:$V$408,MATCH($D287&amp;"-"&amp;"Lifetime",$B$1:$B$408,0),MATCH(L$3,$B$3:$V$3,0)),
NewBuild_Retrofit_selector="Retrofit",(INDEX($B$1:$V$408,MATCH($D287&amp;"-"&amp;"Installation cost",$B$1:$B$408,0),MATCH(L$3,$B$3:$V$3,0))+INDEX($B$1:$V$408,MATCH($D287&amp;"-"&amp;"Extra retrofit cost",$B$1:$B$408,0),MATCH(L$3,$B$3:$V$3,0)))/INDEX($B$1:$V$408,MATCH($D287&amp;"-"&amp;"Lifetime",$B$1:$B$408,0),MATCH(L$3,$B$3:$V$3,0))),0)</f>
        <v>0</v>
      </c>
      <c r="M287" s="585" cm="1">
        <f t="array" aca="1" ref="M287" ca="1">IFERROR(
_xlfn.IFS(NewBuild_Retrofit_selector="Newbuild",INDEX($B$1:$V$408,MATCH($D287&amp;"-"&amp;"Installation cost",$B$1:$B$408,0),MATCH(M$3,$B$3:$V$3,0))/INDEX($B$1:$V$408,MATCH($D287&amp;"-"&amp;"Lifetime",$B$1:$B$408,0),MATCH(M$3,$B$3:$V$3,0)),
NewBuild_Retrofit_selector="Retrofit",(INDEX($B$1:$V$408,MATCH($D287&amp;"-"&amp;"Installation cost",$B$1:$B$408,0),MATCH(M$3,$B$3:$V$3,0))+INDEX($B$1:$V$408,MATCH($D287&amp;"-"&amp;"Extra retrofit cost",$B$1:$B$408,0),MATCH(M$3,$B$3:$V$3,0)))/INDEX($B$1:$V$408,MATCH($D287&amp;"-"&amp;"Lifetime",$B$1:$B$408,0),MATCH(M$3,$B$3:$V$3,0))),0)</f>
        <v>0</v>
      </c>
      <c r="N287" s="585" cm="1">
        <f t="array" aca="1" ref="N287" ca="1">IFERROR(
_xlfn.IFS(NewBuild_Retrofit_selector="Newbuild",INDEX($B$1:$V$408,MATCH($D287&amp;"-"&amp;"Installation cost",$B$1:$B$408,0),MATCH(N$3,$B$3:$V$3,0))/INDEX($B$1:$V$408,MATCH($D287&amp;"-"&amp;"Lifetime",$B$1:$B$408,0),MATCH(N$3,$B$3:$V$3,0)),
NewBuild_Retrofit_selector="Retrofit",(INDEX($B$1:$V$408,MATCH($D287&amp;"-"&amp;"Installation cost",$B$1:$B$408,0),MATCH(N$3,$B$3:$V$3,0))+INDEX($B$1:$V$408,MATCH($D287&amp;"-"&amp;"Extra retrofit cost",$B$1:$B$408,0),MATCH(N$3,$B$3:$V$3,0)))/INDEX($B$1:$V$408,MATCH($D287&amp;"-"&amp;"Lifetime",$B$1:$B$408,0),MATCH(N$3,$B$3:$V$3,0))),0)</f>
        <v>0</v>
      </c>
      <c r="O287" s="585" cm="1">
        <f t="array" aca="1" ref="O287" ca="1">IFERROR(
_xlfn.IFS(NewBuild_Retrofit_selector="Newbuild",INDEX($B$1:$V$408,MATCH($D287&amp;"-"&amp;"Installation cost",$B$1:$B$408,0),MATCH(O$3,$B$3:$V$3,0))/INDEX($B$1:$V$408,MATCH($D287&amp;"-"&amp;"Lifetime",$B$1:$B$408,0),MATCH(O$3,$B$3:$V$3,0)),
NewBuild_Retrofit_selector="Retrofit",(INDEX($B$1:$V$408,MATCH($D287&amp;"-"&amp;"Installation cost",$B$1:$B$408,0),MATCH(O$3,$B$3:$V$3,0))+INDEX($B$1:$V$408,MATCH($D287&amp;"-"&amp;"Extra retrofit cost",$B$1:$B$408,0),MATCH(O$3,$B$3:$V$3,0)))/INDEX($B$1:$V$408,MATCH($D287&amp;"-"&amp;"Lifetime",$B$1:$B$408,0),MATCH(O$3,$B$3:$V$3,0))),0)</f>
        <v>0</v>
      </c>
      <c r="P287" s="585" cm="1">
        <f t="array" aca="1" ref="P287" ca="1">IFERROR(
_xlfn.IFS(NewBuild_Retrofit_selector="Newbuild",INDEX($B$1:$V$408,MATCH($D287&amp;"-"&amp;"Installation cost",$B$1:$B$408,0),MATCH(P$3,$B$3:$V$3,0))/INDEX($B$1:$V$408,MATCH($D287&amp;"-"&amp;"Lifetime",$B$1:$B$408,0),MATCH(P$3,$B$3:$V$3,0)),
NewBuild_Retrofit_selector="Retrofit",(INDEX($B$1:$V$408,MATCH($D287&amp;"-"&amp;"Installation cost",$B$1:$B$408,0),MATCH(P$3,$B$3:$V$3,0))+INDEX($B$1:$V$408,MATCH($D287&amp;"-"&amp;"Extra retrofit cost",$B$1:$B$408,0),MATCH(P$3,$B$3:$V$3,0)))/INDEX($B$1:$V$408,MATCH($D287&amp;"-"&amp;"Lifetime",$B$1:$B$408,0),MATCH(P$3,$B$3:$V$3,0))),0)</f>
        <v>0</v>
      </c>
      <c r="Q287" s="585" cm="1">
        <f t="array" aca="1" ref="Q287" ca="1">IFERROR(
_xlfn.IFS(NewBuild_Retrofit_selector="Newbuild",INDEX($B$1:$V$408,MATCH($D287&amp;"-"&amp;"Installation cost",$B$1:$B$408,0),MATCH(Q$3,$B$3:$V$3,0))/INDEX($B$1:$V$408,MATCH($D287&amp;"-"&amp;"Lifetime",$B$1:$B$408,0),MATCH(Q$3,$B$3:$V$3,0)),
NewBuild_Retrofit_selector="Retrofit",(INDEX($B$1:$V$408,MATCH($D287&amp;"-"&amp;"Installation cost",$B$1:$B$408,0),MATCH(Q$3,$B$3:$V$3,0))+INDEX($B$1:$V$408,MATCH($D287&amp;"-"&amp;"Extra retrofit cost",$B$1:$B$408,0),MATCH(Q$3,$B$3:$V$3,0)))/INDEX($B$1:$V$408,MATCH($D287&amp;"-"&amp;"Lifetime",$B$1:$B$408,0),MATCH(Q$3,$B$3:$V$3,0))),0)</f>
        <v>0</v>
      </c>
      <c r="R287" s="585" cm="1">
        <f t="array" aca="1" ref="R287" ca="1">IFERROR(
_xlfn.IFS(NewBuild_Retrofit_selector="Newbuild",INDEX($B$1:$V$408,MATCH($D287&amp;"-"&amp;"Installation cost",$B$1:$B$408,0),MATCH(R$3,$B$3:$V$3,0))/INDEX($B$1:$V$408,MATCH($D287&amp;"-"&amp;"Lifetime",$B$1:$B$408,0),MATCH(R$3,$B$3:$V$3,0)),
NewBuild_Retrofit_selector="Retrofit",(INDEX($B$1:$V$408,MATCH($D287&amp;"-"&amp;"Installation cost",$B$1:$B$408,0),MATCH(R$3,$B$3:$V$3,0))+INDEX($B$1:$V$408,MATCH($D287&amp;"-"&amp;"Extra retrofit cost",$B$1:$B$408,0),MATCH(R$3,$B$3:$V$3,0)))/INDEX($B$1:$V$408,MATCH($D287&amp;"-"&amp;"Lifetime",$B$1:$B$408,0),MATCH(R$3,$B$3:$V$3,0))),0)</f>
        <v>0</v>
      </c>
      <c r="S287" s="585" cm="1">
        <f t="array" aca="1" ref="S287" ca="1">IFERROR(
_xlfn.IFS(NewBuild_Retrofit_selector="Newbuild",INDEX($B$1:$V$408,MATCH($D287&amp;"-"&amp;"Installation cost",$B$1:$B$408,0),MATCH(S$3,$B$3:$V$3,0))/INDEX($B$1:$V$408,MATCH($D287&amp;"-"&amp;"Lifetime",$B$1:$B$408,0),MATCH(S$3,$B$3:$V$3,0)),
NewBuild_Retrofit_selector="Retrofit",(INDEX($B$1:$V$408,MATCH($D287&amp;"-"&amp;"Installation cost",$B$1:$B$408,0),MATCH(S$3,$B$3:$V$3,0))+INDEX($B$1:$V$408,MATCH($D287&amp;"-"&amp;"Extra retrofit cost",$B$1:$B$408,0),MATCH(S$3,$B$3:$V$3,0)))/INDEX($B$1:$V$408,MATCH($D287&amp;"-"&amp;"Lifetime",$B$1:$B$408,0),MATCH(S$3,$B$3:$V$3,0))),0)</f>
        <v>0</v>
      </c>
      <c r="T287" s="585" cm="1">
        <f t="array" aca="1" ref="T287" ca="1">IFERROR(
_xlfn.IFS(NewBuild_Retrofit_selector="Newbuild",INDEX($B$1:$V$408,MATCH($D287&amp;"-"&amp;"Installation cost",$B$1:$B$408,0),MATCH(T$3,$B$3:$V$3,0))/INDEX($B$1:$V$408,MATCH($D287&amp;"-"&amp;"Lifetime",$B$1:$B$408,0),MATCH(T$3,$B$3:$V$3,0)),
NewBuild_Retrofit_selector="Retrofit",(INDEX($B$1:$V$408,MATCH($D287&amp;"-"&amp;"Installation cost",$B$1:$B$408,0),MATCH(T$3,$B$3:$V$3,0))+INDEX($B$1:$V$408,MATCH($D287&amp;"-"&amp;"Extra retrofit cost",$B$1:$B$408,0),MATCH(T$3,$B$3:$V$3,0)))/INDEX($B$1:$V$408,MATCH($D287&amp;"-"&amp;"Lifetime",$B$1:$B$408,0),MATCH(T$3,$B$3:$V$3,0))),0)</f>
        <v>0</v>
      </c>
      <c r="U287" s="356"/>
      <c r="V287" s="356"/>
    </row>
    <row r="288" spans="2:22" x14ac:dyDescent="0.2">
      <c r="B288" s="392" t="str">
        <f t="shared" si="7"/>
        <v>Speed management-Extra retrofit cost</v>
      </c>
      <c r="C288" s="392" t="s">
        <v>634</v>
      </c>
      <c r="D288" s="395" t="s">
        <v>134</v>
      </c>
      <c r="E288" s="392" t="s">
        <v>635</v>
      </c>
      <c r="F288" s="585">
        <v>0</v>
      </c>
      <c r="G288" s="585">
        <v>0</v>
      </c>
      <c r="H288" s="585">
        <v>0</v>
      </c>
      <c r="I288" s="585">
        <v>0</v>
      </c>
      <c r="J288" s="585">
        <v>0</v>
      </c>
      <c r="K288" s="585">
        <v>0</v>
      </c>
      <c r="L288" s="585">
        <v>0</v>
      </c>
      <c r="M288" s="585">
        <v>0</v>
      </c>
      <c r="N288" s="585">
        <v>0</v>
      </c>
      <c r="O288" s="585">
        <v>0</v>
      </c>
      <c r="P288" s="585">
        <v>0</v>
      </c>
      <c r="Q288" s="585">
        <v>0</v>
      </c>
      <c r="R288" s="585">
        <v>0</v>
      </c>
      <c r="S288" s="585">
        <v>0</v>
      </c>
      <c r="T288" s="585">
        <v>0</v>
      </c>
      <c r="U288" s="356" t="s">
        <v>627</v>
      </c>
      <c r="V288" s="356"/>
    </row>
    <row r="289" spans="2:22" x14ac:dyDescent="0.2">
      <c r="B289" s="392" t="str">
        <f t="shared" si="7"/>
        <v>Speed management-Installation cost</v>
      </c>
      <c r="C289" s="392" t="s">
        <v>452</v>
      </c>
      <c r="D289" s="395" t="s">
        <v>134</v>
      </c>
      <c r="E289" s="392" t="s">
        <v>635</v>
      </c>
      <c r="F289" s="585">
        <v>40000</v>
      </c>
      <c r="G289" s="585">
        <v>40000</v>
      </c>
      <c r="H289" s="585">
        <v>40000</v>
      </c>
      <c r="I289" s="585">
        <v>40000</v>
      </c>
      <c r="J289" s="585">
        <v>40000</v>
      </c>
      <c r="K289" s="585">
        <v>40000</v>
      </c>
      <c r="L289" s="585">
        <v>40000</v>
      </c>
      <c r="M289" s="585">
        <v>40000</v>
      </c>
      <c r="N289" s="585">
        <v>40000</v>
      </c>
      <c r="O289" s="585">
        <v>40000</v>
      </c>
      <c r="P289" s="585">
        <v>40000</v>
      </c>
      <c r="Q289" s="585">
        <v>40000</v>
      </c>
      <c r="R289" s="585">
        <v>40000</v>
      </c>
      <c r="S289" s="585">
        <v>40000</v>
      </c>
      <c r="T289" s="585">
        <v>40000</v>
      </c>
      <c r="U289" s="356" t="s">
        <v>627</v>
      </c>
      <c r="V289" s="356"/>
    </row>
    <row r="290" spans="2:22" x14ac:dyDescent="0.2">
      <c r="B290" s="392" t="str">
        <f t="shared" si="7"/>
        <v>Speed management-Lifetime</v>
      </c>
      <c r="C290" s="392" t="s">
        <v>520</v>
      </c>
      <c r="D290" s="397" t="s">
        <v>134</v>
      </c>
      <c r="E290" s="392" t="s">
        <v>176</v>
      </c>
      <c r="F290" s="356">
        <v>10</v>
      </c>
      <c r="G290" s="356">
        <v>10</v>
      </c>
      <c r="H290" s="356">
        <v>10</v>
      </c>
      <c r="I290" s="356">
        <v>10</v>
      </c>
      <c r="J290" s="356">
        <v>10</v>
      </c>
      <c r="K290" s="356">
        <v>10</v>
      </c>
      <c r="L290" s="356">
        <v>10</v>
      </c>
      <c r="M290" s="356">
        <v>10</v>
      </c>
      <c r="N290" s="356">
        <v>10</v>
      </c>
      <c r="O290" s="356">
        <v>10</v>
      </c>
      <c r="P290" s="356">
        <v>10</v>
      </c>
      <c r="Q290" s="356">
        <v>10</v>
      </c>
      <c r="R290" s="356">
        <v>10</v>
      </c>
      <c r="S290" s="356">
        <v>10</v>
      </c>
      <c r="T290" s="356">
        <v>10</v>
      </c>
      <c r="U290" s="356" t="s">
        <v>627</v>
      </c>
      <c r="V290" s="356"/>
    </row>
    <row r="291" spans="2:22" x14ac:dyDescent="0.2">
      <c r="B291" s="392" t="str">
        <f t="shared" si="7"/>
        <v>Speed management-OPEX</v>
      </c>
      <c r="C291" s="392" t="s">
        <v>319</v>
      </c>
      <c r="D291" s="397" t="s">
        <v>134</v>
      </c>
      <c r="E291" s="392" t="s">
        <v>630</v>
      </c>
      <c r="F291" s="585">
        <v>10000</v>
      </c>
      <c r="G291" s="585">
        <v>10000</v>
      </c>
      <c r="H291" s="585">
        <v>10000</v>
      </c>
      <c r="I291" s="585">
        <v>10000</v>
      </c>
      <c r="J291" s="585">
        <v>10000</v>
      </c>
      <c r="K291" s="585">
        <v>10000</v>
      </c>
      <c r="L291" s="585">
        <v>10000</v>
      </c>
      <c r="M291" s="585">
        <v>10000</v>
      </c>
      <c r="N291" s="585">
        <v>10000</v>
      </c>
      <c r="O291" s="585">
        <v>10000</v>
      </c>
      <c r="P291" s="585">
        <v>10000</v>
      </c>
      <c r="Q291" s="585">
        <v>10000</v>
      </c>
      <c r="R291" s="585">
        <v>10000</v>
      </c>
      <c r="S291" s="585">
        <v>10000</v>
      </c>
      <c r="T291" s="585">
        <v>10000</v>
      </c>
      <c r="U291" s="356" t="s">
        <v>627</v>
      </c>
      <c r="V291" s="356"/>
    </row>
    <row r="292" spans="2:22" x14ac:dyDescent="0.2">
      <c r="B292" s="392" t="str">
        <f t="shared" si="7"/>
        <v>Speed management-Saving</v>
      </c>
      <c r="C292" s="392" t="s">
        <v>458</v>
      </c>
      <c r="D292" s="397" t="s">
        <v>134</v>
      </c>
      <c r="E292" s="392" t="s">
        <v>178</v>
      </c>
      <c r="F292" s="359">
        <v>0.02</v>
      </c>
      <c r="G292" s="359">
        <v>0.02</v>
      </c>
      <c r="H292" s="359">
        <v>0.02</v>
      </c>
      <c r="I292" s="359">
        <v>0.02</v>
      </c>
      <c r="J292" s="359">
        <v>0.02</v>
      </c>
      <c r="K292" s="359">
        <v>0.02</v>
      </c>
      <c r="L292" s="359">
        <v>0.02</v>
      </c>
      <c r="M292" s="359">
        <v>0.02</v>
      </c>
      <c r="N292" s="359">
        <v>0.02</v>
      </c>
      <c r="O292" s="359">
        <v>0.02</v>
      </c>
      <c r="P292" s="359">
        <v>0.02</v>
      </c>
      <c r="Q292" s="359">
        <v>0.02</v>
      </c>
      <c r="R292" s="359">
        <v>0.02</v>
      </c>
      <c r="S292" s="359">
        <v>0.02</v>
      </c>
      <c r="T292" s="359">
        <v>0.02</v>
      </c>
      <c r="U292" s="356" t="s">
        <v>627</v>
      </c>
      <c r="V292" s="356"/>
    </row>
    <row r="293" spans="2:22" x14ac:dyDescent="0.2">
      <c r="B293" s="392" t="str">
        <f t="shared" si="7"/>
        <v>Speed management-UptakeFleetAvg2020</v>
      </c>
      <c r="C293" s="392" t="s">
        <v>650</v>
      </c>
      <c r="D293" s="397" t="s">
        <v>134</v>
      </c>
      <c r="E293" s="392" t="s">
        <v>178</v>
      </c>
      <c r="F293" s="359">
        <v>0.5</v>
      </c>
      <c r="G293" s="359">
        <v>0.5</v>
      </c>
      <c r="H293" s="359">
        <v>0.5</v>
      </c>
      <c r="I293" s="359">
        <v>0.25</v>
      </c>
      <c r="J293" s="359">
        <v>0.25</v>
      </c>
      <c r="K293" s="359">
        <v>0.25</v>
      </c>
      <c r="L293" s="359">
        <v>0.25</v>
      </c>
      <c r="M293" s="359">
        <v>0.25</v>
      </c>
      <c r="N293" s="359">
        <v>0.25</v>
      </c>
      <c r="O293" s="359">
        <v>0.5</v>
      </c>
      <c r="P293" s="359">
        <v>0.5</v>
      </c>
      <c r="Q293" s="359">
        <v>0.5</v>
      </c>
      <c r="R293" s="359">
        <v>0.25</v>
      </c>
      <c r="S293" s="359">
        <v>0.25</v>
      </c>
      <c r="T293" s="359">
        <v>0.25</v>
      </c>
      <c r="U293" s="356" t="s">
        <v>627</v>
      </c>
      <c r="V293" s="356"/>
    </row>
    <row r="294" spans="2:22" x14ac:dyDescent="0.2">
      <c r="B294" s="392" t="str">
        <f t="shared" si="7"/>
        <v>Speed management-UptakeNewbuild2020</v>
      </c>
      <c r="C294" s="392" t="s">
        <v>652</v>
      </c>
      <c r="D294" s="399" t="s">
        <v>134</v>
      </c>
      <c r="E294" s="392" t="s">
        <v>178</v>
      </c>
      <c r="F294" s="359">
        <v>0</v>
      </c>
      <c r="G294" s="359">
        <v>0</v>
      </c>
      <c r="H294" s="359">
        <v>0</v>
      </c>
      <c r="I294" s="359">
        <v>0</v>
      </c>
      <c r="J294" s="359">
        <v>0</v>
      </c>
      <c r="K294" s="359">
        <v>0</v>
      </c>
      <c r="L294" s="359">
        <v>0</v>
      </c>
      <c r="M294" s="359">
        <v>0</v>
      </c>
      <c r="N294" s="359">
        <v>0</v>
      </c>
      <c r="O294" s="359">
        <v>0</v>
      </c>
      <c r="P294" s="359">
        <v>0</v>
      </c>
      <c r="Q294" s="359">
        <v>0</v>
      </c>
      <c r="R294" s="359">
        <v>0</v>
      </c>
      <c r="S294" s="359">
        <v>0</v>
      </c>
      <c r="T294" s="359">
        <v>0</v>
      </c>
      <c r="U294" s="356"/>
      <c r="V294" s="356"/>
    </row>
    <row r="295" spans="2:22" x14ac:dyDescent="0.2">
      <c r="B295" s="392" t="str">
        <f t="shared" si="7"/>
        <v>Steam system efficiency-Applicable Newbuild</v>
      </c>
      <c r="C295" s="392" t="s">
        <v>621</v>
      </c>
      <c r="D295" s="396" t="s">
        <v>166</v>
      </c>
      <c r="E295" s="392" t="s">
        <v>622</v>
      </c>
      <c r="F295" s="356">
        <v>0</v>
      </c>
      <c r="G295" s="356">
        <v>0</v>
      </c>
      <c r="H295" s="356">
        <v>0</v>
      </c>
      <c r="I295" s="356">
        <v>0</v>
      </c>
      <c r="J295" s="356">
        <v>0</v>
      </c>
      <c r="K295" s="356">
        <v>0</v>
      </c>
      <c r="L295" s="356">
        <v>1</v>
      </c>
      <c r="M295" s="356">
        <v>1</v>
      </c>
      <c r="N295" s="356">
        <v>1</v>
      </c>
      <c r="O295" s="356">
        <v>0</v>
      </c>
      <c r="P295" s="356">
        <v>0</v>
      </c>
      <c r="Q295" s="356">
        <v>0</v>
      </c>
      <c r="R295" s="356">
        <v>1</v>
      </c>
      <c r="S295" s="356">
        <v>1</v>
      </c>
      <c r="T295" s="356">
        <v>1</v>
      </c>
      <c r="U295" s="356" t="s">
        <v>624</v>
      </c>
      <c r="V295" s="356"/>
    </row>
    <row r="296" spans="2:22" x14ac:dyDescent="0.2">
      <c r="B296" s="392" t="str">
        <f t="shared" si="7"/>
        <v>Steam system efficiency-Applicable Retrofit</v>
      </c>
      <c r="C296" s="392" t="s">
        <v>629</v>
      </c>
      <c r="D296" s="396" t="s">
        <v>166</v>
      </c>
      <c r="E296" s="392" t="s">
        <v>622</v>
      </c>
      <c r="F296" s="356">
        <v>0</v>
      </c>
      <c r="G296" s="356">
        <v>0</v>
      </c>
      <c r="H296" s="356">
        <v>0</v>
      </c>
      <c r="I296" s="356">
        <v>0</v>
      </c>
      <c r="J296" s="356">
        <v>0</v>
      </c>
      <c r="K296" s="356">
        <v>0</v>
      </c>
      <c r="L296" s="356">
        <v>1</v>
      </c>
      <c r="M296" s="356">
        <v>1</v>
      </c>
      <c r="N296" s="356">
        <v>1</v>
      </c>
      <c r="O296" s="356">
        <v>0</v>
      </c>
      <c r="P296" s="356">
        <v>0</v>
      </c>
      <c r="Q296" s="356">
        <v>0</v>
      </c>
      <c r="R296" s="356">
        <v>1</v>
      </c>
      <c r="S296" s="356">
        <v>1</v>
      </c>
      <c r="T296" s="356">
        <v>1</v>
      </c>
      <c r="U296" s="356" t="s">
        <v>624</v>
      </c>
      <c r="V296" s="356"/>
    </row>
    <row r="297" spans="2:22" x14ac:dyDescent="0.2">
      <c r="B297" s="392" t="str">
        <f t="shared" si="7"/>
        <v>Steam system efficiency-CAPEX</v>
      </c>
      <c r="C297" s="392" t="s">
        <v>50</v>
      </c>
      <c r="D297" s="396" t="s">
        <v>166</v>
      </c>
      <c r="E297" s="392" t="s">
        <v>630</v>
      </c>
      <c r="F297" s="585" cm="1">
        <f t="array" aca="1" ref="F297" ca="1">IFERROR(
_xlfn.IFS(NewBuild_Retrofit_selector="Newbuild",INDEX($B$1:$V$408,MATCH($D297&amp;"-"&amp;"Installation cost",$B$1:$B$408,0),MATCH(F$3,$B$3:$V$3,0))/INDEX($B$1:$V$408,MATCH($D297&amp;"-"&amp;"Lifetime",$B$1:$B$408,0),MATCH(F$3,$B$3:$V$3,0)),
NewBuild_Retrofit_selector="Retrofit",(INDEX($B$1:$V$408,MATCH($D297&amp;"-"&amp;"Installation cost",$B$1:$B$408,0),MATCH(F$3,$B$3:$V$3,0))+INDEX($B$1:$V$408,MATCH($D297&amp;"-"&amp;"Extra retrofit cost",$B$1:$B$408,0),MATCH(F$3,$B$3:$V$3,0)))/INDEX($B$1:$V$408,MATCH($D297&amp;"-"&amp;"Lifetime",$B$1:$B$408,0),MATCH(F$3,$B$3:$V$3,0))),0)</f>
        <v>0</v>
      </c>
      <c r="G297" s="585" cm="1">
        <f t="array" aca="1" ref="G297" ca="1">IFERROR(
_xlfn.IFS(NewBuild_Retrofit_selector="Newbuild",INDEX($B$1:$V$408,MATCH($D297&amp;"-"&amp;"Installation cost",$B$1:$B$408,0),MATCH(G$3,$B$3:$V$3,0))/INDEX($B$1:$V$408,MATCH($D297&amp;"-"&amp;"Lifetime",$B$1:$B$408,0),MATCH(G$3,$B$3:$V$3,0)),
NewBuild_Retrofit_selector="Retrofit",(INDEX($B$1:$V$408,MATCH($D297&amp;"-"&amp;"Installation cost",$B$1:$B$408,0),MATCH(G$3,$B$3:$V$3,0))+INDEX($B$1:$V$408,MATCH($D297&amp;"-"&amp;"Extra retrofit cost",$B$1:$B$408,0),MATCH(G$3,$B$3:$V$3,0)))/INDEX($B$1:$V$408,MATCH($D297&amp;"-"&amp;"Lifetime",$B$1:$B$408,0),MATCH(G$3,$B$3:$V$3,0))),0)</f>
        <v>0</v>
      </c>
      <c r="H297" s="585" cm="1">
        <f t="array" aca="1" ref="H297" ca="1">IFERROR(
_xlfn.IFS(NewBuild_Retrofit_selector="Newbuild",INDEX($B$1:$V$408,MATCH($D297&amp;"-"&amp;"Installation cost",$B$1:$B$408,0),MATCH(H$3,$B$3:$V$3,0))/INDEX($B$1:$V$408,MATCH($D297&amp;"-"&amp;"Lifetime",$B$1:$B$408,0),MATCH(H$3,$B$3:$V$3,0)),
NewBuild_Retrofit_selector="Retrofit",(INDEX($B$1:$V$408,MATCH($D297&amp;"-"&amp;"Installation cost",$B$1:$B$408,0),MATCH(H$3,$B$3:$V$3,0))+INDEX($B$1:$V$408,MATCH($D297&amp;"-"&amp;"Extra retrofit cost",$B$1:$B$408,0),MATCH(H$3,$B$3:$V$3,0)))/INDEX($B$1:$V$408,MATCH($D297&amp;"-"&amp;"Lifetime",$B$1:$B$408,0),MATCH(H$3,$B$3:$V$3,0))),0)</f>
        <v>0</v>
      </c>
      <c r="I297" s="585" cm="1">
        <f t="array" aca="1" ref="I297" ca="1">IFERROR(
_xlfn.IFS(NewBuild_Retrofit_selector="Newbuild",INDEX($B$1:$V$408,MATCH($D297&amp;"-"&amp;"Installation cost",$B$1:$B$408,0),MATCH(I$3,$B$3:$V$3,0))/INDEX($B$1:$V$408,MATCH($D297&amp;"-"&amp;"Lifetime",$B$1:$B$408,0),MATCH(I$3,$B$3:$V$3,0)),
NewBuild_Retrofit_selector="Retrofit",(INDEX($B$1:$V$408,MATCH($D297&amp;"-"&amp;"Installation cost",$B$1:$B$408,0),MATCH(I$3,$B$3:$V$3,0))+INDEX($B$1:$V$408,MATCH($D297&amp;"-"&amp;"Extra retrofit cost",$B$1:$B$408,0),MATCH(I$3,$B$3:$V$3,0)))/INDEX($B$1:$V$408,MATCH($D297&amp;"-"&amp;"Lifetime",$B$1:$B$408,0),MATCH(I$3,$B$3:$V$3,0))),0)</f>
        <v>0</v>
      </c>
      <c r="J297" s="585" cm="1">
        <f t="array" aca="1" ref="J297" ca="1">IFERROR(
_xlfn.IFS(NewBuild_Retrofit_selector="Newbuild",INDEX($B$1:$V$408,MATCH($D297&amp;"-"&amp;"Installation cost",$B$1:$B$408,0),MATCH(J$3,$B$3:$V$3,0))/INDEX($B$1:$V$408,MATCH($D297&amp;"-"&amp;"Lifetime",$B$1:$B$408,0),MATCH(J$3,$B$3:$V$3,0)),
NewBuild_Retrofit_selector="Retrofit",(INDEX($B$1:$V$408,MATCH($D297&amp;"-"&amp;"Installation cost",$B$1:$B$408,0),MATCH(J$3,$B$3:$V$3,0))+INDEX($B$1:$V$408,MATCH($D297&amp;"-"&amp;"Extra retrofit cost",$B$1:$B$408,0),MATCH(J$3,$B$3:$V$3,0)))/INDEX($B$1:$V$408,MATCH($D297&amp;"-"&amp;"Lifetime",$B$1:$B$408,0),MATCH(J$3,$B$3:$V$3,0))),0)</f>
        <v>0</v>
      </c>
      <c r="K297" s="585" cm="1">
        <f t="array" aca="1" ref="K297" ca="1">IFERROR(
_xlfn.IFS(NewBuild_Retrofit_selector="Newbuild",INDEX($B$1:$V$408,MATCH($D297&amp;"-"&amp;"Installation cost",$B$1:$B$408,0),MATCH(K$3,$B$3:$V$3,0))/INDEX($B$1:$V$408,MATCH($D297&amp;"-"&amp;"Lifetime",$B$1:$B$408,0),MATCH(K$3,$B$3:$V$3,0)),
NewBuild_Retrofit_selector="Retrofit",(INDEX($B$1:$V$408,MATCH($D297&amp;"-"&amp;"Installation cost",$B$1:$B$408,0),MATCH(K$3,$B$3:$V$3,0))+INDEX($B$1:$V$408,MATCH($D297&amp;"-"&amp;"Extra retrofit cost",$B$1:$B$408,0),MATCH(K$3,$B$3:$V$3,0)))/INDEX($B$1:$V$408,MATCH($D297&amp;"-"&amp;"Lifetime",$B$1:$B$408,0),MATCH(K$3,$B$3:$V$3,0))),0)</f>
        <v>0</v>
      </c>
      <c r="L297" s="585" cm="1">
        <f t="array" aca="1" ref="L297" ca="1">IFERROR(
_xlfn.IFS(NewBuild_Retrofit_selector="Newbuild",INDEX($B$1:$V$408,MATCH($D297&amp;"-"&amp;"Installation cost",$B$1:$B$408,0),MATCH(L$3,$B$3:$V$3,0))/INDEX($B$1:$V$408,MATCH($D297&amp;"-"&amp;"Lifetime",$B$1:$B$408,0),MATCH(L$3,$B$3:$V$3,0)),
NewBuild_Retrofit_selector="Retrofit",(INDEX($B$1:$V$408,MATCH($D297&amp;"-"&amp;"Installation cost",$B$1:$B$408,0),MATCH(L$3,$B$3:$V$3,0))+INDEX($B$1:$V$408,MATCH($D297&amp;"-"&amp;"Extra retrofit cost",$B$1:$B$408,0),MATCH(L$3,$B$3:$V$3,0)))/INDEX($B$1:$V$408,MATCH($D297&amp;"-"&amp;"Lifetime",$B$1:$B$408,0),MATCH(L$3,$B$3:$V$3,0))),0)</f>
        <v>0</v>
      </c>
      <c r="M297" s="585" cm="1">
        <f t="array" aca="1" ref="M297" ca="1">IFERROR(
_xlfn.IFS(NewBuild_Retrofit_selector="Newbuild",INDEX($B$1:$V$408,MATCH($D297&amp;"-"&amp;"Installation cost",$B$1:$B$408,0),MATCH(M$3,$B$3:$V$3,0))/INDEX($B$1:$V$408,MATCH($D297&amp;"-"&amp;"Lifetime",$B$1:$B$408,0),MATCH(M$3,$B$3:$V$3,0)),
NewBuild_Retrofit_selector="Retrofit",(INDEX($B$1:$V$408,MATCH($D297&amp;"-"&amp;"Installation cost",$B$1:$B$408,0),MATCH(M$3,$B$3:$V$3,0))+INDEX($B$1:$V$408,MATCH($D297&amp;"-"&amp;"Extra retrofit cost",$B$1:$B$408,0),MATCH(M$3,$B$3:$V$3,0)))/INDEX($B$1:$V$408,MATCH($D297&amp;"-"&amp;"Lifetime",$B$1:$B$408,0),MATCH(M$3,$B$3:$V$3,0))),0)</f>
        <v>0</v>
      </c>
      <c r="N297" s="585" cm="1">
        <f t="array" aca="1" ref="N297" ca="1">IFERROR(
_xlfn.IFS(NewBuild_Retrofit_selector="Newbuild",INDEX($B$1:$V$408,MATCH($D297&amp;"-"&amp;"Installation cost",$B$1:$B$408,0),MATCH(N$3,$B$3:$V$3,0))/INDEX($B$1:$V$408,MATCH($D297&amp;"-"&amp;"Lifetime",$B$1:$B$408,0),MATCH(N$3,$B$3:$V$3,0)),
NewBuild_Retrofit_selector="Retrofit",(INDEX($B$1:$V$408,MATCH($D297&amp;"-"&amp;"Installation cost",$B$1:$B$408,0),MATCH(N$3,$B$3:$V$3,0))+INDEX($B$1:$V$408,MATCH($D297&amp;"-"&amp;"Extra retrofit cost",$B$1:$B$408,0),MATCH(N$3,$B$3:$V$3,0)))/INDEX($B$1:$V$408,MATCH($D297&amp;"-"&amp;"Lifetime",$B$1:$B$408,0),MATCH(N$3,$B$3:$V$3,0))),0)</f>
        <v>0</v>
      </c>
      <c r="O297" s="585" cm="1">
        <f t="array" aca="1" ref="O297" ca="1">IFERROR(
_xlfn.IFS(NewBuild_Retrofit_selector="Newbuild",INDEX($B$1:$V$408,MATCH($D297&amp;"-"&amp;"Installation cost",$B$1:$B$408,0),MATCH(O$3,$B$3:$V$3,0))/INDEX($B$1:$V$408,MATCH($D297&amp;"-"&amp;"Lifetime",$B$1:$B$408,0),MATCH(O$3,$B$3:$V$3,0)),
NewBuild_Retrofit_selector="Retrofit",(INDEX($B$1:$V$408,MATCH($D297&amp;"-"&amp;"Installation cost",$B$1:$B$408,0),MATCH(O$3,$B$3:$V$3,0))+INDEX($B$1:$V$408,MATCH($D297&amp;"-"&amp;"Extra retrofit cost",$B$1:$B$408,0),MATCH(O$3,$B$3:$V$3,0)))/INDEX($B$1:$V$408,MATCH($D297&amp;"-"&amp;"Lifetime",$B$1:$B$408,0),MATCH(O$3,$B$3:$V$3,0))),0)</f>
        <v>0</v>
      </c>
      <c r="P297" s="585" cm="1">
        <f t="array" aca="1" ref="P297" ca="1">IFERROR(
_xlfn.IFS(NewBuild_Retrofit_selector="Newbuild",INDEX($B$1:$V$408,MATCH($D297&amp;"-"&amp;"Installation cost",$B$1:$B$408,0),MATCH(P$3,$B$3:$V$3,0))/INDEX($B$1:$V$408,MATCH($D297&amp;"-"&amp;"Lifetime",$B$1:$B$408,0),MATCH(P$3,$B$3:$V$3,0)),
NewBuild_Retrofit_selector="Retrofit",(INDEX($B$1:$V$408,MATCH($D297&amp;"-"&amp;"Installation cost",$B$1:$B$408,0),MATCH(P$3,$B$3:$V$3,0))+INDEX($B$1:$V$408,MATCH($D297&amp;"-"&amp;"Extra retrofit cost",$B$1:$B$408,0),MATCH(P$3,$B$3:$V$3,0)))/INDEX($B$1:$V$408,MATCH($D297&amp;"-"&amp;"Lifetime",$B$1:$B$408,0),MATCH(P$3,$B$3:$V$3,0))),0)</f>
        <v>0</v>
      </c>
      <c r="Q297" s="585" cm="1">
        <f t="array" aca="1" ref="Q297" ca="1">IFERROR(
_xlfn.IFS(NewBuild_Retrofit_selector="Newbuild",INDEX($B$1:$V$408,MATCH($D297&amp;"-"&amp;"Installation cost",$B$1:$B$408,0),MATCH(Q$3,$B$3:$V$3,0))/INDEX($B$1:$V$408,MATCH($D297&amp;"-"&amp;"Lifetime",$B$1:$B$408,0),MATCH(Q$3,$B$3:$V$3,0)),
NewBuild_Retrofit_selector="Retrofit",(INDEX($B$1:$V$408,MATCH($D297&amp;"-"&amp;"Installation cost",$B$1:$B$408,0),MATCH(Q$3,$B$3:$V$3,0))+INDEX($B$1:$V$408,MATCH($D297&amp;"-"&amp;"Extra retrofit cost",$B$1:$B$408,0),MATCH(Q$3,$B$3:$V$3,0)))/INDEX($B$1:$V$408,MATCH($D297&amp;"-"&amp;"Lifetime",$B$1:$B$408,0),MATCH(Q$3,$B$3:$V$3,0))),0)</f>
        <v>0</v>
      </c>
      <c r="R297" s="585" cm="1">
        <f t="array" aca="1" ref="R297" ca="1">IFERROR(
_xlfn.IFS(NewBuild_Retrofit_selector="Newbuild",INDEX($B$1:$V$408,MATCH($D297&amp;"-"&amp;"Installation cost",$B$1:$B$408,0),MATCH(R$3,$B$3:$V$3,0))/INDEX($B$1:$V$408,MATCH($D297&amp;"-"&amp;"Lifetime",$B$1:$B$408,0),MATCH(R$3,$B$3:$V$3,0)),
NewBuild_Retrofit_selector="Retrofit",(INDEX($B$1:$V$408,MATCH($D297&amp;"-"&amp;"Installation cost",$B$1:$B$408,0),MATCH(R$3,$B$3:$V$3,0))+INDEX($B$1:$V$408,MATCH($D297&amp;"-"&amp;"Extra retrofit cost",$B$1:$B$408,0),MATCH(R$3,$B$3:$V$3,0)))/INDEX($B$1:$V$408,MATCH($D297&amp;"-"&amp;"Lifetime",$B$1:$B$408,0),MATCH(R$3,$B$3:$V$3,0))),0)</f>
        <v>0</v>
      </c>
      <c r="S297" s="585" cm="1">
        <f t="array" aca="1" ref="S297" ca="1">IFERROR(
_xlfn.IFS(NewBuild_Retrofit_selector="Newbuild",INDEX($B$1:$V$408,MATCH($D297&amp;"-"&amp;"Installation cost",$B$1:$B$408,0),MATCH(S$3,$B$3:$V$3,0))/INDEX($B$1:$V$408,MATCH($D297&amp;"-"&amp;"Lifetime",$B$1:$B$408,0),MATCH(S$3,$B$3:$V$3,0)),
NewBuild_Retrofit_selector="Retrofit",(INDEX($B$1:$V$408,MATCH($D297&amp;"-"&amp;"Installation cost",$B$1:$B$408,0),MATCH(S$3,$B$3:$V$3,0))+INDEX($B$1:$V$408,MATCH($D297&amp;"-"&amp;"Extra retrofit cost",$B$1:$B$408,0),MATCH(S$3,$B$3:$V$3,0)))/INDEX($B$1:$V$408,MATCH($D297&amp;"-"&amp;"Lifetime",$B$1:$B$408,0),MATCH(S$3,$B$3:$V$3,0))),0)</f>
        <v>0</v>
      </c>
      <c r="T297" s="585" cm="1">
        <f t="array" aca="1" ref="T297" ca="1">IFERROR(
_xlfn.IFS(NewBuild_Retrofit_selector="Newbuild",INDEX($B$1:$V$408,MATCH($D297&amp;"-"&amp;"Installation cost",$B$1:$B$408,0),MATCH(T$3,$B$3:$V$3,0))/INDEX($B$1:$V$408,MATCH($D297&amp;"-"&amp;"Lifetime",$B$1:$B$408,0),MATCH(T$3,$B$3:$V$3,0)),
NewBuild_Retrofit_selector="Retrofit",(INDEX($B$1:$V$408,MATCH($D297&amp;"-"&amp;"Installation cost",$B$1:$B$408,0),MATCH(T$3,$B$3:$V$3,0))+INDEX($B$1:$V$408,MATCH($D297&amp;"-"&amp;"Extra retrofit cost",$B$1:$B$408,0),MATCH(T$3,$B$3:$V$3,0)))/INDEX($B$1:$V$408,MATCH($D297&amp;"-"&amp;"Lifetime",$B$1:$B$408,0),MATCH(T$3,$B$3:$V$3,0))),0)</f>
        <v>0</v>
      </c>
      <c r="U297" s="356"/>
      <c r="V297" s="356"/>
    </row>
    <row r="298" spans="2:22" x14ac:dyDescent="0.2">
      <c r="B298" s="392" t="str">
        <f t="shared" si="7"/>
        <v>Steam system efficiency-Extra retrofit cost</v>
      </c>
      <c r="C298" s="392" t="s">
        <v>634</v>
      </c>
      <c r="D298" s="396" t="s">
        <v>166</v>
      </c>
      <c r="E298" s="392" t="s">
        <v>635</v>
      </c>
      <c r="F298" s="585">
        <v>0</v>
      </c>
      <c r="G298" s="585">
        <v>0</v>
      </c>
      <c r="H298" s="585">
        <v>0</v>
      </c>
      <c r="I298" s="585">
        <v>0</v>
      </c>
      <c r="J298" s="585">
        <v>0</v>
      </c>
      <c r="K298" s="585">
        <v>0</v>
      </c>
      <c r="L298" s="585">
        <v>0</v>
      </c>
      <c r="M298" s="585">
        <v>0</v>
      </c>
      <c r="N298" s="585">
        <v>0</v>
      </c>
      <c r="O298" s="585">
        <v>0</v>
      </c>
      <c r="P298" s="585">
        <v>0</v>
      </c>
      <c r="Q298" s="585">
        <v>0</v>
      </c>
      <c r="R298" s="585">
        <v>0</v>
      </c>
      <c r="S298" s="585">
        <v>0</v>
      </c>
      <c r="T298" s="585">
        <v>0</v>
      </c>
      <c r="U298" s="356"/>
      <c r="V298" s="356"/>
    </row>
    <row r="299" spans="2:22" x14ac:dyDescent="0.2">
      <c r="B299" s="392" t="str">
        <f t="shared" si="7"/>
        <v>Steam system efficiency-Installation cost</v>
      </c>
      <c r="C299" s="392" t="s">
        <v>452</v>
      </c>
      <c r="D299" s="396" t="s">
        <v>166</v>
      </c>
      <c r="E299" s="392" t="s">
        <v>635</v>
      </c>
      <c r="F299" s="585">
        <v>0</v>
      </c>
      <c r="G299" s="585">
        <v>0</v>
      </c>
      <c r="H299" s="585">
        <v>0</v>
      </c>
      <c r="I299" s="585">
        <v>0</v>
      </c>
      <c r="J299" s="585">
        <v>0</v>
      </c>
      <c r="K299" s="585">
        <v>0</v>
      </c>
      <c r="L299" s="585">
        <v>0</v>
      </c>
      <c r="M299" s="585">
        <v>0</v>
      </c>
      <c r="N299" s="585">
        <v>0</v>
      </c>
      <c r="O299" s="585">
        <v>0</v>
      </c>
      <c r="P299" s="585">
        <v>0</v>
      </c>
      <c r="Q299" s="585">
        <v>0</v>
      </c>
      <c r="R299" s="585">
        <v>0</v>
      </c>
      <c r="S299" s="585">
        <v>0</v>
      </c>
      <c r="T299" s="585">
        <v>0</v>
      </c>
      <c r="U299" s="356" t="s">
        <v>624</v>
      </c>
      <c r="V299" s="356"/>
    </row>
    <row r="300" spans="2:22" x14ac:dyDescent="0.2">
      <c r="B300" s="392" t="str">
        <f t="shared" si="7"/>
        <v>Steam system efficiency-Lifetime</v>
      </c>
      <c r="C300" s="392" t="s">
        <v>520</v>
      </c>
      <c r="D300" s="396" t="s">
        <v>166</v>
      </c>
      <c r="E300" s="392" t="s">
        <v>176</v>
      </c>
      <c r="F300" s="356">
        <v>0</v>
      </c>
      <c r="G300" s="356">
        <v>0</v>
      </c>
      <c r="H300" s="356">
        <v>0</v>
      </c>
      <c r="I300" s="356">
        <v>0</v>
      </c>
      <c r="J300" s="356">
        <v>0</v>
      </c>
      <c r="K300" s="356">
        <v>0</v>
      </c>
      <c r="L300" s="356">
        <v>1</v>
      </c>
      <c r="M300" s="356">
        <v>1</v>
      </c>
      <c r="N300" s="356">
        <v>1</v>
      </c>
      <c r="O300" s="356">
        <v>0</v>
      </c>
      <c r="P300" s="356">
        <v>0</v>
      </c>
      <c r="Q300" s="356">
        <v>0</v>
      </c>
      <c r="R300" s="356">
        <v>1</v>
      </c>
      <c r="S300" s="356">
        <v>1</v>
      </c>
      <c r="T300" s="356">
        <v>1</v>
      </c>
      <c r="U300" s="356" t="s">
        <v>624</v>
      </c>
      <c r="V300" s="356"/>
    </row>
    <row r="301" spans="2:22" x14ac:dyDescent="0.2">
      <c r="B301" s="392" t="str">
        <f t="shared" si="7"/>
        <v>Steam system efficiency-OPEX</v>
      </c>
      <c r="C301" s="392" t="s">
        <v>319</v>
      </c>
      <c r="D301" s="396" t="s">
        <v>166</v>
      </c>
      <c r="E301" s="392" t="s">
        <v>630</v>
      </c>
      <c r="F301" s="585">
        <v>0</v>
      </c>
      <c r="G301" s="585">
        <v>0</v>
      </c>
      <c r="H301" s="585">
        <v>0</v>
      </c>
      <c r="I301" s="585">
        <v>0</v>
      </c>
      <c r="J301" s="585">
        <v>0</v>
      </c>
      <c r="K301" s="585">
        <v>0</v>
      </c>
      <c r="L301" s="585">
        <v>20000</v>
      </c>
      <c r="M301" s="585">
        <v>20000</v>
      </c>
      <c r="N301" s="585">
        <v>20000</v>
      </c>
      <c r="O301" s="585">
        <v>0</v>
      </c>
      <c r="P301" s="585">
        <v>0</v>
      </c>
      <c r="Q301" s="585">
        <v>0</v>
      </c>
      <c r="R301" s="585">
        <v>20000</v>
      </c>
      <c r="S301" s="585">
        <v>20000</v>
      </c>
      <c r="T301" s="585">
        <v>20000</v>
      </c>
      <c r="U301" s="356" t="s">
        <v>624</v>
      </c>
      <c r="V301" s="356"/>
    </row>
    <row r="302" spans="2:22" x14ac:dyDescent="0.2">
      <c r="B302" s="392" t="str">
        <f t="shared" si="7"/>
        <v>Steam system efficiency-Saving</v>
      </c>
      <c r="C302" s="392" t="s">
        <v>458</v>
      </c>
      <c r="D302" s="396" t="s">
        <v>166</v>
      </c>
      <c r="E302" s="392" t="s">
        <v>178</v>
      </c>
      <c r="F302" s="359">
        <v>0</v>
      </c>
      <c r="G302" s="359">
        <v>0</v>
      </c>
      <c r="H302" s="359">
        <v>0</v>
      </c>
      <c r="I302" s="359">
        <v>0</v>
      </c>
      <c r="J302" s="359">
        <v>0</v>
      </c>
      <c r="K302" s="359">
        <v>0</v>
      </c>
      <c r="L302" s="359">
        <v>0.2</v>
      </c>
      <c r="M302" s="359">
        <v>0.2</v>
      </c>
      <c r="N302" s="359">
        <v>0.15</v>
      </c>
      <c r="O302" s="359">
        <v>0</v>
      </c>
      <c r="P302" s="359">
        <v>0</v>
      </c>
      <c r="Q302" s="359">
        <v>0</v>
      </c>
      <c r="R302" s="359">
        <v>0.2</v>
      </c>
      <c r="S302" s="359">
        <v>0.2</v>
      </c>
      <c r="T302" s="359">
        <v>0.15</v>
      </c>
      <c r="U302" s="356" t="s">
        <v>625</v>
      </c>
      <c r="V302" s="356"/>
    </row>
    <row r="303" spans="2:22" x14ac:dyDescent="0.2">
      <c r="B303" s="392" t="str">
        <f t="shared" si="7"/>
        <v>Steam system efficiency-UptakeFleetAvg2020</v>
      </c>
      <c r="C303" s="392" t="s">
        <v>650</v>
      </c>
      <c r="D303" s="396" t="s">
        <v>166</v>
      </c>
      <c r="E303" s="392" t="s">
        <v>178</v>
      </c>
      <c r="F303" s="359">
        <v>0</v>
      </c>
      <c r="G303" s="359">
        <v>0</v>
      </c>
      <c r="H303" s="359">
        <v>0</v>
      </c>
      <c r="I303" s="359">
        <v>0</v>
      </c>
      <c r="J303" s="359">
        <v>0</v>
      </c>
      <c r="K303" s="359">
        <v>0</v>
      </c>
      <c r="L303" s="359">
        <v>0.75</v>
      </c>
      <c r="M303" s="359">
        <v>0.75</v>
      </c>
      <c r="N303" s="359">
        <v>0.75</v>
      </c>
      <c r="O303" s="359">
        <v>0</v>
      </c>
      <c r="P303" s="359">
        <v>0</v>
      </c>
      <c r="Q303" s="359">
        <v>0</v>
      </c>
      <c r="R303" s="359">
        <v>0.75</v>
      </c>
      <c r="S303" s="359">
        <v>0.75</v>
      </c>
      <c r="T303" s="359">
        <v>0.75</v>
      </c>
      <c r="U303" s="356" t="s">
        <v>651</v>
      </c>
      <c r="V303" s="356"/>
    </row>
    <row r="304" spans="2:22" x14ac:dyDescent="0.2">
      <c r="B304" s="392" t="str">
        <f t="shared" si="7"/>
        <v>Steam system efficiency-UptakeNewbuild2020</v>
      </c>
      <c r="C304" s="392" t="s">
        <v>652</v>
      </c>
      <c r="D304" s="396" t="s">
        <v>166</v>
      </c>
      <c r="E304" s="392" t="s">
        <v>178</v>
      </c>
      <c r="F304" s="359">
        <v>0</v>
      </c>
      <c r="G304" s="359">
        <v>0</v>
      </c>
      <c r="H304" s="359">
        <v>0</v>
      </c>
      <c r="I304" s="359">
        <v>0</v>
      </c>
      <c r="J304" s="359">
        <v>0</v>
      </c>
      <c r="K304" s="359">
        <v>0</v>
      </c>
      <c r="L304" s="359">
        <v>0</v>
      </c>
      <c r="M304" s="359">
        <v>0</v>
      </c>
      <c r="N304" s="359">
        <v>0</v>
      </c>
      <c r="O304" s="359">
        <v>0</v>
      </c>
      <c r="P304" s="359">
        <v>0</v>
      </c>
      <c r="Q304" s="359">
        <v>0</v>
      </c>
      <c r="R304" s="359">
        <v>0</v>
      </c>
      <c r="S304" s="359">
        <v>0</v>
      </c>
      <c r="T304" s="359">
        <v>0</v>
      </c>
      <c r="U304" s="356" t="s">
        <v>651</v>
      </c>
      <c r="V304" s="356"/>
    </row>
    <row r="305" spans="2:22" x14ac:dyDescent="0.2">
      <c r="B305" s="392" t="str">
        <f t="shared" si="7"/>
        <v>Trim and draft optimization-Applicable Newbuild</v>
      </c>
      <c r="C305" s="392" t="s">
        <v>621</v>
      </c>
      <c r="D305" s="397" t="s">
        <v>147</v>
      </c>
      <c r="E305" s="392" t="s">
        <v>622</v>
      </c>
      <c r="F305" s="356">
        <v>1</v>
      </c>
      <c r="G305" s="356">
        <v>1</v>
      </c>
      <c r="H305" s="356">
        <v>1</v>
      </c>
      <c r="I305" s="356">
        <v>1</v>
      </c>
      <c r="J305" s="356">
        <v>1</v>
      </c>
      <c r="K305" s="356">
        <v>1</v>
      </c>
      <c r="L305" s="356">
        <v>1</v>
      </c>
      <c r="M305" s="356">
        <v>1</v>
      </c>
      <c r="N305" s="356">
        <v>1</v>
      </c>
      <c r="O305" s="356">
        <v>1</v>
      </c>
      <c r="P305" s="356">
        <v>1</v>
      </c>
      <c r="Q305" s="356">
        <v>1</v>
      </c>
      <c r="R305" s="356">
        <v>1</v>
      </c>
      <c r="S305" s="356">
        <v>1</v>
      </c>
      <c r="T305" s="356">
        <v>1</v>
      </c>
      <c r="U305" s="356" t="s">
        <v>624</v>
      </c>
      <c r="V305" s="356"/>
    </row>
    <row r="306" spans="2:22" x14ac:dyDescent="0.2">
      <c r="B306" s="392" t="str">
        <f t="shared" si="7"/>
        <v>Trim and draft optimization-Applicable Retrofit</v>
      </c>
      <c r="C306" s="392" t="s">
        <v>629</v>
      </c>
      <c r="D306" s="397" t="s">
        <v>147</v>
      </c>
      <c r="E306" s="392" t="s">
        <v>622</v>
      </c>
      <c r="F306" s="356">
        <v>1</v>
      </c>
      <c r="G306" s="356">
        <v>1</v>
      </c>
      <c r="H306" s="356">
        <v>1</v>
      </c>
      <c r="I306" s="356">
        <v>1</v>
      </c>
      <c r="J306" s="356">
        <v>1</v>
      </c>
      <c r="K306" s="356">
        <v>1</v>
      </c>
      <c r="L306" s="356">
        <v>1</v>
      </c>
      <c r="M306" s="356">
        <v>1</v>
      </c>
      <c r="N306" s="356">
        <v>1</v>
      </c>
      <c r="O306" s="356">
        <v>1</v>
      </c>
      <c r="P306" s="356">
        <v>1</v>
      </c>
      <c r="Q306" s="356">
        <v>1</v>
      </c>
      <c r="R306" s="356">
        <v>1</v>
      </c>
      <c r="S306" s="356">
        <v>1</v>
      </c>
      <c r="T306" s="356">
        <v>1</v>
      </c>
      <c r="U306" s="356" t="s">
        <v>624</v>
      </c>
      <c r="V306" s="356"/>
    </row>
    <row r="307" spans="2:22" x14ac:dyDescent="0.2">
      <c r="B307" s="392" t="str">
        <f t="shared" si="7"/>
        <v>Trim and draft optimization-CAPEX</v>
      </c>
      <c r="C307" s="392" t="s">
        <v>50</v>
      </c>
      <c r="D307" s="397" t="s">
        <v>147</v>
      </c>
      <c r="E307" s="392" t="s">
        <v>630</v>
      </c>
      <c r="F307" s="585" cm="1">
        <f t="array" aca="1" ref="F307" ca="1">IFERROR(
_xlfn.IFS(NewBuild_Retrofit_selector="Newbuild",INDEX($B$1:$V$408,MATCH($D307&amp;"-"&amp;"Installation cost",$B$1:$B$408,0),MATCH(F$3,$B$3:$V$3,0))/INDEX($B$1:$V$408,MATCH($D307&amp;"-"&amp;"Lifetime",$B$1:$B$408,0),MATCH(F$3,$B$3:$V$3,0)),
NewBuild_Retrofit_selector="Retrofit",(INDEX($B$1:$V$408,MATCH($D307&amp;"-"&amp;"Installation cost",$B$1:$B$408,0),MATCH(F$3,$B$3:$V$3,0))+INDEX($B$1:$V$408,MATCH($D307&amp;"-"&amp;"Extra retrofit cost",$B$1:$B$408,0),MATCH(F$3,$B$3:$V$3,0)))/INDEX($B$1:$V$408,MATCH($D307&amp;"-"&amp;"Lifetime",$B$1:$B$408,0),MATCH(F$3,$B$3:$V$3,0))),0)</f>
        <v>0</v>
      </c>
      <c r="G307" s="585" cm="1">
        <f t="array" aca="1" ref="G307" ca="1">IFERROR(
_xlfn.IFS(NewBuild_Retrofit_selector="Newbuild",INDEX($B$1:$V$408,MATCH($D307&amp;"-"&amp;"Installation cost",$B$1:$B$408,0),MATCH(G$3,$B$3:$V$3,0))/INDEX($B$1:$V$408,MATCH($D307&amp;"-"&amp;"Lifetime",$B$1:$B$408,0),MATCH(G$3,$B$3:$V$3,0)),
NewBuild_Retrofit_selector="Retrofit",(INDEX($B$1:$V$408,MATCH($D307&amp;"-"&amp;"Installation cost",$B$1:$B$408,0),MATCH(G$3,$B$3:$V$3,0))+INDEX($B$1:$V$408,MATCH($D307&amp;"-"&amp;"Extra retrofit cost",$B$1:$B$408,0),MATCH(G$3,$B$3:$V$3,0)))/INDEX($B$1:$V$408,MATCH($D307&amp;"-"&amp;"Lifetime",$B$1:$B$408,0),MATCH(G$3,$B$3:$V$3,0))),0)</f>
        <v>0</v>
      </c>
      <c r="H307" s="585" cm="1">
        <f t="array" aca="1" ref="H307" ca="1">IFERROR(
_xlfn.IFS(NewBuild_Retrofit_selector="Newbuild",INDEX($B$1:$V$408,MATCH($D307&amp;"-"&amp;"Installation cost",$B$1:$B$408,0),MATCH(H$3,$B$3:$V$3,0))/INDEX($B$1:$V$408,MATCH($D307&amp;"-"&amp;"Lifetime",$B$1:$B$408,0),MATCH(H$3,$B$3:$V$3,0)),
NewBuild_Retrofit_selector="Retrofit",(INDEX($B$1:$V$408,MATCH($D307&amp;"-"&amp;"Installation cost",$B$1:$B$408,0),MATCH(H$3,$B$3:$V$3,0))+INDEX($B$1:$V$408,MATCH($D307&amp;"-"&amp;"Extra retrofit cost",$B$1:$B$408,0),MATCH(H$3,$B$3:$V$3,0)))/INDEX($B$1:$V$408,MATCH($D307&amp;"-"&amp;"Lifetime",$B$1:$B$408,0),MATCH(H$3,$B$3:$V$3,0))),0)</f>
        <v>0</v>
      </c>
      <c r="I307" s="585" cm="1">
        <f t="array" aca="1" ref="I307" ca="1">IFERROR(
_xlfn.IFS(NewBuild_Retrofit_selector="Newbuild",INDEX($B$1:$V$408,MATCH($D307&amp;"-"&amp;"Installation cost",$B$1:$B$408,0),MATCH(I$3,$B$3:$V$3,0))/INDEX($B$1:$V$408,MATCH($D307&amp;"-"&amp;"Lifetime",$B$1:$B$408,0),MATCH(I$3,$B$3:$V$3,0)),
NewBuild_Retrofit_selector="Retrofit",(INDEX($B$1:$V$408,MATCH($D307&amp;"-"&amp;"Installation cost",$B$1:$B$408,0),MATCH(I$3,$B$3:$V$3,0))+INDEX($B$1:$V$408,MATCH($D307&amp;"-"&amp;"Extra retrofit cost",$B$1:$B$408,0),MATCH(I$3,$B$3:$V$3,0)))/INDEX($B$1:$V$408,MATCH($D307&amp;"-"&amp;"Lifetime",$B$1:$B$408,0),MATCH(I$3,$B$3:$V$3,0))),0)</f>
        <v>0</v>
      </c>
      <c r="J307" s="585" cm="1">
        <f t="array" aca="1" ref="J307" ca="1">IFERROR(
_xlfn.IFS(NewBuild_Retrofit_selector="Newbuild",INDEX($B$1:$V$408,MATCH($D307&amp;"-"&amp;"Installation cost",$B$1:$B$408,0),MATCH(J$3,$B$3:$V$3,0))/INDEX($B$1:$V$408,MATCH($D307&amp;"-"&amp;"Lifetime",$B$1:$B$408,0),MATCH(J$3,$B$3:$V$3,0)),
NewBuild_Retrofit_selector="Retrofit",(INDEX($B$1:$V$408,MATCH($D307&amp;"-"&amp;"Installation cost",$B$1:$B$408,0),MATCH(J$3,$B$3:$V$3,0))+INDEX($B$1:$V$408,MATCH($D307&amp;"-"&amp;"Extra retrofit cost",$B$1:$B$408,0),MATCH(J$3,$B$3:$V$3,0)))/INDEX($B$1:$V$408,MATCH($D307&amp;"-"&amp;"Lifetime",$B$1:$B$408,0),MATCH(J$3,$B$3:$V$3,0))),0)</f>
        <v>0</v>
      </c>
      <c r="K307" s="585" cm="1">
        <f t="array" aca="1" ref="K307" ca="1">IFERROR(
_xlfn.IFS(NewBuild_Retrofit_selector="Newbuild",INDEX($B$1:$V$408,MATCH($D307&amp;"-"&amp;"Installation cost",$B$1:$B$408,0),MATCH(K$3,$B$3:$V$3,0))/INDEX($B$1:$V$408,MATCH($D307&amp;"-"&amp;"Lifetime",$B$1:$B$408,0),MATCH(K$3,$B$3:$V$3,0)),
NewBuild_Retrofit_selector="Retrofit",(INDEX($B$1:$V$408,MATCH($D307&amp;"-"&amp;"Installation cost",$B$1:$B$408,0),MATCH(K$3,$B$3:$V$3,0))+INDEX($B$1:$V$408,MATCH($D307&amp;"-"&amp;"Extra retrofit cost",$B$1:$B$408,0),MATCH(K$3,$B$3:$V$3,0)))/INDEX($B$1:$V$408,MATCH($D307&amp;"-"&amp;"Lifetime",$B$1:$B$408,0),MATCH(K$3,$B$3:$V$3,0))),0)</f>
        <v>0</v>
      </c>
      <c r="L307" s="585" cm="1">
        <f t="array" aca="1" ref="L307" ca="1">IFERROR(
_xlfn.IFS(NewBuild_Retrofit_selector="Newbuild",INDEX($B$1:$V$408,MATCH($D307&amp;"-"&amp;"Installation cost",$B$1:$B$408,0),MATCH(L$3,$B$3:$V$3,0))/INDEX($B$1:$V$408,MATCH($D307&amp;"-"&amp;"Lifetime",$B$1:$B$408,0),MATCH(L$3,$B$3:$V$3,0)),
NewBuild_Retrofit_selector="Retrofit",(INDEX($B$1:$V$408,MATCH($D307&amp;"-"&amp;"Installation cost",$B$1:$B$408,0),MATCH(L$3,$B$3:$V$3,0))+INDEX($B$1:$V$408,MATCH($D307&amp;"-"&amp;"Extra retrofit cost",$B$1:$B$408,0),MATCH(L$3,$B$3:$V$3,0)))/INDEX($B$1:$V$408,MATCH($D307&amp;"-"&amp;"Lifetime",$B$1:$B$408,0),MATCH(L$3,$B$3:$V$3,0))),0)</f>
        <v>0</v>
      </c>
      <c r="M307" s="585" cm="1">
        <f t="array" aca="1" ref="M307" ca="1">IFERROR(
_xlfn.IFS(NewBuild_Retrofit_selector="Newbuild",INDEX($B$1:$V$408,MATCH($D307&amp;"-"&amp;"Installation cost",$B$1:$B$408,0),MATCH(M$3,$B$3:$V$3,0))/INDEX($B$1:$V$408,MATCH($D307&amp;"-"&amp;"Lifetime",$B$1:$B$408,0),MATCH(M$3,$B$3:$V$3,0)),
NewBuild_Retrofit_selector="Retrofit",(INDEX($B$1:$V$408,MATCH($D307&amp;"-"&amp;"Installation cost",$B$1:$B$408,0),MATCH(M$3,$B$3:$V$3,0))+INDEX($B$1:$V$408,MATCH($D307&amp;"-"&amp;"Extra retrofit cost",$B$1:$B$408,0),MATCH(M$3,$B$3:$V$3,0)))/INDEX($B$1:$V$408,MATCH($D307&amp;"-"&amp;"Lifetime",$B$1:$B$408,0),MATCH(M$3,$B$3:$V$3,0))),0)</f>
        <v>0</v>
      </c>
      <c r="N307" s="585" cm="1">
        <f t="array" aca="1" ref="N307" ca="1">IFERROR(
_xlfn.IFS(NewBuild_Retrofit_selector="Newbuild",INDEX($B$1:$V$408,MATCH($D307&amp;"-"&amp;"Installation cost",$B$1:$B$408,0),MATCH(N$3,$B$3:$V$3,0))/INDEX($B$1:$V$408,MATCH($D307&amp;"-"&amp;"Lifetime",$B$1:$B$408,0),MATCH(N$3,$B$3:$V$3,0)),
NewBuild_Retrofit_selector="Retrofit",(INDEX($B$1:$V$408,MATCH($D307&amp;"-"&amp;"Installation cost",$B$1:$B$408,0),MATCH(N$3,$B$3:$V$3,0))+INDEX($B$1:$V$408,MATCH($D307&amp;"-"&amp;"Extra retrofit cost",$B$1:$B$408,0),MATCH(N$3,$B$3:$V$3,0)))/INDEX($B$1:$V$408,MATCH($D307&amp;"-"&amp;"Lifetime",$B$1:$B$408,0),MATCH(N$3,$B$3:$V$3,0))),0)</f>
        <v>0</v>
      </c>
      <c r="O307" s="585" cm="1">
        <f t="array" aca="1" ref="O307" ca="1">IFERROR(
_xlfn.IFS(NewBuild_Retrofit_selector="Newbuild",INDEX($B$1:$V$408,MATCH($D307&amp;"-"&amp;"Installation cost",$B$1:$B$408,0),MATCH(O$3,$B$3:$V$3,0))/INDEX($B$1:$V$408,MATCH($D307&amp;"-"&amp;"Lifetime",$B$1:$B$408,0),MATCH(O$3,$B$3:$V$3,0)),
NewBuild_Retrofit_selector="Retrofit",(INDEX($B$1:$V$408,MATCH($D307&amp;"-"&amp;"Installation cost",$B$1:$B$408,0),MATCH(O$3,$B$3:$V$3,0))+INDEX($B$1:$V$408,MATCH($D307&amp;"-"&amp;"Extra retrofit cost",$B$1:$B$408,0),MATCH(O$3,$B$3:$V$3,0)))/INDEX($B$1:$V$408,MATCH($D307&amp;"-"&amp;"Lifetime",$B$1:$B$408,0),MATCH(O$3,$B$3:$V$3,0))),0)</f>
        <v>0</v>
      </c>
      <c r="P307" s="585" cm="1">
        <f t="array" aca="1" ref="P307" ca="1">IFERROR(
_xlfn.IFS(NewBuild_Retrofit_selector="Newbuild",INDEX($B$1:$V$408,MATCH($D307&amp;"-"&amp;"Installation cost",$B$1:$B$408,0),MATCH(P$3,$B$3:$V$3,0))/INDEX($B$1:$V$408,MATCH($D307&amp;"-"&amp;"Lifetime",$B$1:$B$408,0),MATCH(P$3,$B$3:$V$3,0)),
NewBuild_Retrofit_selector="Retrofit",(INDEX($B$1:$V$408,MATCH($D307&amp;"-"&amp;"Installation cost",$B$1:$B$408,0),MATCH(P$3,$B$3:$V$3,0))+INDEX($B$1:$V$408,MATCH($D307&amp;"-"&amp;"Extra retrofit cost",$B$1:$B$408,0),MATCH(P$3,$B$3:$V$3,0)))/INDEX($B$1:$V$408,MATCH($D307&amp;"-"&amp;"Lifetime",$B$1:$B$408,0),MATCH(P$3,$B$3:$V$3,0))),0)</f>
        <v>0</v>
      </c>
      <c r="Q307" s="585" cm="1">
        <f t="array" aca="1" ref="Q307" ca="1">IFERROR(
_xlfn.IFS(NewBuild_Retrofit_selector="Newbuild",INDEX($B$1:$V$408,MATCH($D307&amp;"-"&amp;"Installation cost",$B$1:$B$408,0),MATCH(Q$3,$B$3:$V$3,0))/INDEX($B$1:$V$408,MATCH($D307&amp;"-"&amp;"Lifetime",$B$1:$B$408,0),MATCH(Q$3,$B$3:$V$3,0)),
NewBuild_Retrofit_selector="Retrofit",(INDEX($B$1:$V$408,MATCH($D307&amp;"-"&amp;"Installation cost",$B$1:$B$408,0),MATCH(Q$3,$B$3:$V$3,0))+INDEX($B$1:$V$408,MATCH($D307&amp;"-"&amp;"Extra retrofit cost",$B$1:$B$408,0),MATCH(Q$3,$B$3:$V$3,0)))/INDEX($B$1:$V$408,MATCH($D307&amp;"-"&amp;"Lifetime",$B$1:$B$408,0),MATCH(Q$3,$B$3:$V$3,0))),0)</f>
        <v>0</v>
      </c>
      <c r="R307" s="585" cm="1">
        <f t="array" aca="1" ref="R307" ca="1">IFERROR(
_xlfn.IFS(NewBuild_Retrofit_selector="Newbuild",INDEX($B$1:$V$408,MATCH($D307&amp;"-"&amp;"Installation cost",$B$1:$B$408,0),MATCH(R$3,$B$3:$V$3,0))/INDEX($B$1:$V$408,MATCH($D307&amp;"-"&amp;"Lifetime",$B$1:$B$408,0),MATCH(R$3,$B$3:$V$3,0)),
NewBuild_Retrofit_selector="Retrofit",(INDEX($B$1:$V$408,MATCH($D307&amp;"-"&amp;"Installation cost",$B$1:$B$408,0),MATCH(R$3,$B$3:$V$3,0))+INDEX($B$1:$V$408,MATCH($D307&amp;"-"&amp;"Extra retrofit cost",$B$1:$B$408,0),MATCH(R$3,$B$3:$V$3,0)))/INDEX($B$1:$V$408,MATCH($D307&amp;"-"&amp;"Lifetime",$B$1:$B$408,0),MATCH(R$3,$B$3:$V$3,0))),0)</f>
        <v>0</v>
      </c>
      <c r="S307" s="585" cm="1">
        <f t="array" aca="1" ref="S307" ca="1">IFERROR(
_xlfn.IFS(NewBuild_Retrofit_selector="Newbuild",INDEX($B$1:$V$408,MATCH($D307&amp;"-"&amp;"Installation cost",$B$1:$B$408,0),MATCH(S$3,$B$3:$V$3,0))/INDEX($B$1:$V$408,MATCH($D307&amp;"-"&amp;"Lifetime",$B$1:$B$408,0),MATCH(S$3,$B$3:$V$3,0)),
NewBuild_Retrofit_selector="Retrofit",(INDEX($B$1:$V$408,MATCH($D307&amp;"-"&amp;"Installation cost",$B$1:$B$408,0),MATCH(S$3,$B$3:$V$3,0))+INDEX($B$1:$V$408,MATCH($D307&amp;"-"&amp;"Extra retrofit cost",$B$1:$B$408,0),MATCH(S$3,$B$3:$V$3,0)))/INDEX($B$1:$V$408,MATCH($D307&amp;"-"&amp;"Lifetime",$B$1:$B$408,0),MATCH(S$3,$B$3:$V$3,0))),0)</f>
        <v>0</v>
      </c>
      <c r="T307" s="585" cm="1">
        <f t="array" aca="1" ref="T307" ca="1">IFERROR(
_xlfn.IFS(NewBuild_Retrofit_selector="Newbuild",INDEX($B$1:$V$408,MATCH($D307&amp;"-"&amp;"Installation cost",$B$1:$B$408,0),MATCH(T$3,$B$3:$V$3,0))/INDEX($B$1:$V$408,MATCH($D307&amp;"-"&amp;"Lifetime",$B$1:$B$408,0),MATCH(T$3,$B$3:$V$3,0)),
NewBuild_Retrofit_selector="Retrofit",(INDEX($B$1:$V$408,MATCH($D307&amp;"-"&amp;"Installation cost",$B$1:$B$408,0),MATCH(T$3,$B$3:$V$3,0))+INDEX($B$1:$V$408,MATCH($D307&amp;"-"&amp;"Extra retrofit cost",$B$1:$B$408,0),MATCH(T$3,$B$3:$V$3,0)))/INDEX($B$1:$V$408,MATCH($D307&amp;"-"&amp;"Lifetime",$B$1:$B$408,0),MATCH(T$3,$B$3:$V$3,0))),0)</f>
        <v>0</v>
      </c>
      <c r="U307" s="356"/>
      <c r="V307" s="356"/>
    </row>
    <row r="308" spans="2:22" x14ac:dyDescent="0.2">
      <c r="B308" s="392" t="str">
        <f t="shared" si="7"/>
        <v>Trim and draft optimization-Extra retrofit cost</v>
      </c>
      <c r="C308" s="392" t="s">
        <v>634</v>
      </c>
      <c r="D308" s="397" t="s">
        <v>147</v>
      </c>
      <c r="E308" s="392" t="s">
        <v>635</v>
      </c>
      <c r="F308" s="585">
        <v>11999.999999999998</v>
      </c>
      <c r="G308" s="585">
        <v>11999.999999999998</v>
      </c>
      <c r="H308" s="585">
        <v>11999.999999999998</v>
      </c>
      <c r="I308" s="585">
        <v>11999.999999999998</v>
      </c>
      <c r="J308" s="585">
        <v>11999.999999999998</v>
      </c>
      <c r="K308" s="585">
        <v>11999.999999999998</v>
      </c>
      <c r="L308" s="585">
        <v>11999.999999999998</v>
      </c>
      <c r="M308" s="585">
        <v>11999.999999999998</v>
      </c>
      <c r="N308" s="585">
        <v>11999.999999999998</v>
      </c>
      <c r="O308" s="585">
        <v>11999.999999999998</v>
      </c>
      <c r="P308" s="585">
        <v>11999.999999999998</v>
      </c>
      <c r="Q308" s="585">
        <v>11999.999999999998</v>
      </c>
      <c r="R308" s="585">
        <v>11999.999999999998</v>
      </c>
      <c r="S308" s="585">
        <v>11999.999999999998</v>
      </c>
      <c r="T308" s="585">
        <v>11999.999999999998</v>
      </c>
      <c r="U308" s="356"/>
      <c r="V308" s="356"/>
    </row>
    <row r="309" spans="2:22" x14ac:dyDescent="0.2">
      <c r="B309" s="392" t="str">
        <f t="shared" si="7"/>
        <v>Trim and draft optimization-Installation cost</v>
      </c>
      <c r="C309" s="392" t="s">
        <v>452</v>
      </c>
      <c r="D309" s="397" t="s">
        <v>147</v>
      </c>
      <c r="E309" s="392" t="s">
        <v>635</v>
      </c>
      <c r="F309" s="585">
        <v>30000</v>
      </c>
      <c r="G309" s="585">
        <v>30000</v>
      </c>
      <c r="H309" s="585">
        <v>30000</v>
      </c>
      <c r="I309" s="585">
        <v>30000</v>
      </c>
      <c r="J309" s="585">
        <v>30000</v>
      </c>
      <c r="K309" s="585">
        <v>30000</v>
      </c>
      <c r="L309" s="585">
        <v>30000</v>
      </c>
      <c r="M309" s="585">
        <v>30000</v>
      </c>
      <c r="N309" s="585">
        <v>30000</v>
      </c>
      <c r="O309" s="585">
        <v>30000</v>
      </c>
      <c r="P309" s="585">
        <v>30000</v>
      </c>
      <c r="Q309" s="585">
        <v>30000</v>
      </c>
      <c r="R309" s="585">
        <v>30000</v>
      </c>
      <c r="S309" s="585">
        <v>30000</v>
      </c>
      <c r="T309" s="585">
        <v>30000</v>
      </c>
      <c r="U309" s="356" t="s">
        <v>627</v>
      </c>
      <c r="V309" s="356"/>
    </row>
    <row r="310" spans="2:22" x14ac:dyDescent="0.2">
      <c r="B310" s="392" t="str">
        <f t="shared" si="7"/>
        <v>Trim and draft optimization-Lifetime</v>
      </c>
      <c r="C310" s="392" t="s">
        <v>520</v>
      </c>
      <c r="D310" s="397" t="s">
        <v>147</v>
      </c>
      <c r="E310" s="392" t="s">
        <v>176</v>
      </c>
      <c r="F310" s="356">
        <v>25</v>
      </c>
      <c r="G310" s="356">
        <v>25</v>
      </c>
      <c r="H310" s="356">
        <v>25</v>
      </c>
      <c r="I310" s="356">
        <v>25</v>
      </c>
      <c r="J310" s="356">
        <v>25</v>
      </c>
      <c r="K310" s="356">
        <v>25</v>
      </c>
      <c r="L310" s="356">
        <v>25</v>
      </c>
      <c r="M310" s="356">
        <v>25</v>
      </c>
      <c r="N310" s="356">
        <v>25</v>
      </c>
      <c r="O310" s="356">
        <v>25</v>
      </c>
      <c r="P310" s="356">
        <v>25</v>
      </c>
      <c r="Q310" s="356">
        <v>25</v>
      </c>
      <c r="R310" s="356">
        <v>25</v>
      </c>
      <c r="S310" s="356">
        <v>25</v>
      </c>
      <c r="T310" s="356">
        <v>25</v>
      </c>
      <c r="U310" s="356"/>
      <c r="V310" s="356"/>
    </row>
    <row r="311" spans="2:22" x14ac:dyDescent="0.2">
      <c r="B311" s="392" t="str">
        <f t="shared" si="7"/>
        <v>Trim and draft optimization-OPEX</v>
      </c>
      <c r="C311" s="392" t="s">
        <v>319</v>
      </c>
      <c r="D311" s="397" t="s">
        <v>147</v>
      </c>
      <c r="E311" s="392" t="s">
        <v>630</v>
      </c>
      <c r="F311" s="585">
        <v>0</v>
      </c>
      <c r="G311" s="585">
        <v>0</v>
      </c>
      <c r="H311" s="585">
        <v>0</v>
      </c>
      <c r="I311" s="585">
        <v>0</v>
      </c>
      <c r="J311" s="585">
        <v>0</v>
      </c>
      <c r="K311" s="585">
        <v>0</v>
      </c>
      <c r="L311" s="585">
        <v>0</v>
      </c>
      <c r="M311" s="585">
        <v>0</v>
      </c>
      <c r="N311" s="585">
        <v>0</v>
      </c>
      <c r="O311" s="585">
        <v>0</v>
      </c>
      <c r="P311" s="585">
        <v>0</v>
      </c>
      <c r="Q311" s="585">
        <v>0</v>
      </c>
      <c r="R311" s="585">
        <v>0</v>
      </c>
      <c r="S311" s="585">
        <v>0</v>
      </c>
      <c r="T311" s="585">
        <v>0</v>
      </c>
      <c r="U311" s="356"/>
      <c r="V311" s="356"/>
    </row>
    <row r="312" spans="2:22" x14ac:dyDescent="0.2">
      <c r="B312" s="392" t="str">
        <f t="shared" si="7"/>
        <v>Trim and draft optimization-Saving</v>
      </c>
      <c r="C312" s="392" t="s">
        <v>458</v>
      </c>
      <c r="D312" s="397" t="s">
        <v>147</v>
      </c>
      <c r="E312" s="392" t="s">
        <v>178</v>
      </c>
      <c r="F312" s="359">
        <v>0.02</v>
      </c>
      <c r="G312" s="359">
        <v>0.04</v>
      </c>
      <c r="H312" s="359">
        <v>0.04</v>
      </c>
      <c r="I312" s="359">
        <v>1.4999999999999999E-2</v>
      </c>
      <c r="J312" s="359">
        <v>1.4999999999999999E-2</v>
      </c>
      <c r="K312" s="359">
        <v>1.4999999999999999E-2</v>
      </c>
      <c r="L312" s="359">
        <v>1.4999999999999999E-2</v>
      </c>
      <c r="M312" s="359">
        <v>1.4999999999999999E-2</v>
      </c>
      <c r="N312" s="359">
        <v>1.4999999999999999E-2</v>
      </c>
      <c r="O312" s="359">
        <v>0.02</v>
      </c>
      <c r="P312" s="359">
        <v>0.04</v>
      </c>
      <c r="Q312" s="359">
        <v>0.04</v>
      </c>
      <c r="R312" s="359">
        <v>1.4999999999999999E-2</v>
      </c>
      <c r="S312" s="359">
        <v>1.4999999999999999E-2</v>
      </c>
      <c r="T312" s="359">
        <v>1.4999999999999999E-2</v>
      </c>
      <c r="U312" s="356" t="s">
        <v>627</v>
      </c>
      <c r="V312" s="356"/>
    </row>
    <row r="313" spans="2:22" x14ac:dyDescent="0.2">
      <c r="B313" s="392" t="str">
        <f t="shared" si="7"/>
        <v>Trim and draft optimization-UptakeFleetAvg2020</v>
      </c>
      <c r="C313" s="392" t="s">
        <v>650</v>
      </c>
      <c r="D313" s="397" t="s">
        <v>147</v>
      </c>
      <c r="E313" s="392" t="s">
        <v>178</v>
      </c>
      <c r="F313" s="359">
        <v>0.5</v>
      </c>
      <c r="G313" s="359">
        <v>0.5</v>
      </c>
      <c r="H313" s="359">
        <v>0.5</v>
      </c>
      <c r="I313" s="359">
        <v>0.5</v>
      </c>
      <c r="J313" s="359">
        <v>0.5</v>
      </c>
      <c r="K313" s="359">
        <v>0.5</v>
      </c>
      <c r="L313" s="359">
        <v>0.5</v>
      </c>
      <c r="M313" s="359">
        <v>0.5</v>
      </c>
      <c r="N313" s="359">
        <v>0.5</v>
      </c>
      <c r="O313" s="359">
        <v>0.5</v>
      </c>
      <c r="P313" s="359">
        <v>0.5</v>
      </c>
      <c r="Q313" s="359">
        <v>0.5</v>
      </c>
      <c r="R313" s="359">
        <v>0.5</v>
      </c>
      <c r="S313" s="359">
        <v>0.5</v>
      </c>
      <c r="T313" s="359">
        <v>0.5</v>
      </c>
      <c r="U313" s="356" t="s">
        <v>627</v>
      </c>
      <c r="V313" s="356"/>
    </row>
    <row r="314" spans="2:22" x14ac:dyDescent="0.2">
      <c r="B314" s="392" t="str">
        <f t="shared" si="7"/>
        <v>Trim and draft optimization-UptakeNewbuild2020</v>
      </c>
      <c r="C314" s="392" t="s">
        <v>652</v>
      </c>
      <c r="D314" s="397" t="s">
        <v>147</v>
      </c>
      <c r="E314" s="392" t="s">
        <v>178</v>
      </c>
      <c r="F314" s="359">
        <v>0</v>
      </c>
      <c r="G314" s="359">
        <v>0</v>
      </c>
      <c r="H314" s="359">
        <v>0</v>
      </c>
      <c r="I314" s="359">
        <v>0</v>
      </c>
      <c r="J314" s="359">
        <v>0</v>
      </c>
      <c r="K314" s="359">
        <v>0</v>
      </c>
      <c r="L314" s="359">
        <v>0</v>
      </c>
      <c r="M314" s="359">
        <v>0</v>
      </c>
      <c r="N314" s="359">
        <v>0</v>
      </c>
      <c r="O314" s="359">
        <v>0</v>
      </c>
      <c r="P314" s="359">
        <v>0</v>
      </c>
      <c r="Q314" s="359">
        <v>0</v>
      </c>
      <c r="R314" s="359">
        <v>0</v>
      </c>
      <c r="S314" s="359">
        <v>0</v>
      </c>
      <c r="T314" s="359">
        <v>0</v>
      </c>
      <c r="U314" s="356"/>
      <c r="V314" s="356"/>
    </row>
    <row r="315" spans="2:22" x14ac:dyDescent="0.2">
      <c r="B315" s="392" t="str">
        <f t="shared" si="7"/>
        <v>Variable frequency drive-Applicable Newbuild</v>
      </c>
      <c r="C315" s="392" t="s">
        <v>621</v>
      </c>
      <c r="D315" s="396" t="s">
        <v>160</v>
      </c>
      <c r="E315" s="392" t="s">
        <v>622</v>
      </c>
      <c r="F315" s="356">
        <v>1</v>
      </c>
      <c r="G315" s="356">
        <v>1</v>
      </c>
      <c r="H315" s="356">
        <v>1</v>
      </c>
      <c r="I315" s="356">
        <v>1</v>
      </c>
      <c r="J315" s="356">
        <v>1</v>
      </c>
      <c r="K315" s="356">
        <v>1</v>
      </c>
      <c r="L315" s="356">
        <v>1</v>
      </c>
      <c r="M315" s="356">
        <v>1</v>
      </c>
      <c r="N315" s="356">
        <v>1</v>
      </c>
      <c r="O315" s="356">
        <v>1</v>
      </c>
      <c r="P315" s="356">
        <v>1</v>
      </c>
      <c r="Q315" s="356">
        <v>1</v>
      </c>
      <c r="R315" s="356">
        <v>1</v>
      </c>
      <c r="S315" s="356">
        <v>1</v>
      </c>
      <c r="T315" s="356">
        <v>1</v>
      </c>
      <c r="U315" s="356" t="s">
        <v>624</v>
      </c>
      <c r="V315" s="356"/>
    </row>
    <row r="316" spans="2:22" x14ac:dyDescent="0.2">
      <c r="B316" s="392" t="str">
        <f t="shared" si="7"/>
        <v>Variable frequency drive-Applicable Retrofit</v>
      </c>
      <c r="C316" s="392" t="s">
        <v>629</v>
      </c>
      <c r="D316" s="396" t="s">
        <v>160</v>
      </c>
      <c r="E316" s="392" t="s">
        <v>622</v>
      </c>
      <c r="F316" s="356">
        <v>1</v>
      </c>
      <c r="G316" s="356">
        <v>1</v>
      </c>
      <c r="H316" s="356">
        <v>1</v>
      </c>
      <c r="I316" s="356">
        <v>1</v>
      </c>
      <c r="J316" s="356">
        <v>1</v>
      </c>
      <c r="K316" s="356">
        <v>1</v>
      </c>
      <c r="L316" s="356">
        <v>1</v>
      </c>
      <c r="M316" s="356">
        <v>1</v>
      </c>
      <c r="N316" s="356">
        <v>1</v>
      </c>
      <c r="O316" s="356">
        <v>1</v>
      </c>
      <c r="P316" s="356">
        <v>1</v>
      </c>
      <c r="Q316" s="356">
        <v>1</v>
      </c>
      <c r="R316" s="356">
        <v>1</v>
      </c>
      <c r="S316" s="356">
        <v>1</v>
      </c>
      <c r="T316" s="356">
        <v>1</v>
      </c>
      <c r="U316" s="356" t="s">
        <v>624</v>
      </c>
      <c r="V316" s="356"/>
    </row>
    <row r="317" spans="2:22" x14ac:dyDescent="0.2">
      <c r="B317" s="392" t="str">
        <f t="shared" si="7"/>
        <v>Variable frequency drive-CAPEX</v>
      </c>
      <c r="C317" s="392" t="s">
        <v>50</v>
      </c>
      <c r="D317" s="396" t="s">
        <v>160</v>
      </c>
      <c r="E317" s="392" t="s">
        <v>630</v>
      </c>
      <c r="F317" s="585" cm="1">
        <f t="array" aca="1" ref="F317" ca="1">IFERROR(
_xlfn.IFS(NewBuild_Retrofit_selector="Newbuild",INDEX($B$1:$V$408,MATCH($D317&amp;"-"&amp;"Installation cost",$B$1:$B$408,0),MATCH(F$3,$B$3:$V$3,0))/INDEX($B$1:$V$408,MATCH($D317&amp;"-"&amp;"Lifetime",$B$1:$B$408,0),MATCH(F$3,$B$3:$V$3,0)),
NewBuild_Retrofit_selector="Retrofit",(INDEX($B$1:$V$408,MATCH($D317&amp;"-"&amp;"Installation cost",$B$1:$B$408,0),MATCH(F$3,$B$3:$V$3,0))+INDEX($B$1:$V$408,MATCH($D317&amp;"-"&amp;"Extra retrofit cost",$B$1:$B$408,0),MATCH(F$3,$B$3:$V$3,0)))/INDEX($B$1:$V$408,MATCH($D317&amp;"-"&amp;"Lifetime",$B$1:$B$408,0),MATCH(F$3,$B$3:$V$3,0))),0)</f>
        <v>0</v>
      </c>
      <c r="G317" s="585" cm="1">
        <f t="array" aca="1" ref="G317" ca="1">IFERROR(
_xlfn.IFS(NewBuild_Retrofit_selector="Newbuild",INDEX($B$1:$V$408,MATCH($D317&amp;"-"&amp;"Installation cost",$B$1:$B$408,0),MATCH(G$3,$B$3:$V$3,0))/INDEX($B$1:$V$408,MATCH($D317&amp;"-"&amp;"Lifetime",$B$1:$B$408,0),MATCH(G$3,$B$3:$V$3,0)),
NewBuild_Retrofit_selector="Retrofit",(INDEX($B$1:$V$408,MATCH($D317&amp;"-"&amp;"Installation cost",$B$1:$B$408,0),MATCH(G$3,$B$3:$V$3,0))+INDEX($B$1:$V$408,MATCH($D317&amp;"-"&amp;"Extra retrofit cost",$B$1:$B$408,0),MATCH(G$3,$B$3:$V$3,0)))/INDEX($B$1:$V$408,MATCH($D317&amp;"-"&amp;"Lifetime",$B$1:$B$408,0),MATCH(G$3,$B$3:$V$3,0))),0)</f>
        <v>0</v>
      </c>
      <c r="H317" s="585" cm="1">
        <f t="array" aca="1" ref="H317" ca="1">IFERROR(
_xlfn.IFS(NewBuild_Retrofit_selector="Newbuild",INDEX($B$1:$V$408,MATCH($D317&amp;"-"&amp;"Installation cost",$B$1:$B$408,0),MATCH(H$3,$B$3:$V$3,0))/INDEX($B$1:$V$408,MATCH($D317&amp;"-"&amp;"Lifetime",$B$1:$B$408,0),MATCH(H$3,$B$3:$V$3,0)),
NewBuild_Retrofit_selector="Retrofit",(INDEX($B$1:$V$408,MATCH($D317&amp;"-"&amp;"Installation cost",$B$1:$B$408,0),MATCH(H$3,$B$3:$V$3,0))+INDEX($B$1:$V$408,MATCH($D317&amp;"-"&amp;"Extra retrofit cost",$B$1:$B$408,0),MATCH(H$3,$B$3:$V$3,0)))/INDEX($B$1:$V$408,MATCH($D317&amp;"-"&amp;"Lifetime",$B$1:$B$408,0),MATCH(H$3,$B$3:$V$3,0))),0)</f>
        <v>0</v>
      </c>
      <c r="I317" s="585" cm="1">
        <f t="array" aca="1" ref="I317" ca="1">IFERROR(
_xlfn.IFS(NewBuild_Retrofit_selector="Newbuild",INDEX($B$1:$V$408,MATCH($D317&amp;"-"&amp;"Installation cost",$B$1:$B$408,0),MATCH(I$3,$B$3:$V$3,0))/INDEX($B$1:$V$408,MATCH($D317&amp;"-"&amp;"Lifetime",$B$1:$B$408,0),MATCH(I$3,$B$3:$V$3,0)),
NewBuild_Retrofit_selector="Retrofit",(INDEX($B$1:$V$408,MATCH($D317&amp;"-"&amp;"Installation cost",$B$1:$B$408,0),MATCH(I$3,$B$3:$V$3,0))+INDEX($B$1:$V$408,MATCH($D317&amp;"-"&amp;"Extra retrofit cost",$B$1:$B$408,0),MATCH(I$3,$B$3:$V$3,0)))/INDEX($B$1:$V$408,MATCH($D317&amp;"-"&amp;"Lifetime",$B$1:$B$408,0),MATCH(I$3,$B$3:$V$3,0))),0)</f>
        <v>0</v>
      </c>
      <c r="J317" s="585" cm="1">
        <f t="array" aca="1" ref="J317" ca="1">IFERROR(
_xlfn.IFS(NewBuild_Retrofit_selector="Newbuild",INDEX($B$1:$V$408,MATCH($D317&amp;"-"&amp;"Installation cost",$B$1:$B$408,0),MATCH(J$3,$B$3:$V$3,0))/INDEX($B$1:$V$408,MATCH($D317&amp;"-"&amp;"Lifetime",$B$1:$B$408,0),MATCH(J$3,$B$3:$V$3,0)),
NewBuild_Retrofit_selector="Retrofit",(INDEX($B$1:$V$408,MATCH($D317&amp;"-"&amp;"Installation cost",$B$1:$B$408,0),MATCH(J$3,$B$3:$V$3,0))+INDEX($B$1:$V$408,MATCH($D317&amp;"-"&amp;"Extra retrofit cost",$B$1:$B$408,0),MATCH(J$3,$B$3:$V$3,0)))/INDEX($B$1:$V$408,MATCH($D317&amp;"-"&amp;"Lifetime",$B$1:$B$408,0),MATCH(J$3,$B$3:$V$3,0))),0)</f>
        <v>0</v>
      </c>
      <c r="K317" s="585" cm="1">
        <f t="array" aca="1" ref="K317" ca="1">IFERROR(
_xlfn.IFS(NewBuild_Retrofit_selector="Newbuild",INDEX($B$1:$V$408,MATCH($D317&amp;"-"&amp;"Installation cost",$B$1:$B$408,0),MATCH(K$3,$B$3:$V$3,0))/INDEX($B$1:$V$408,MATCH($D317&amp;"-"&amp;"Lifetime",$B$1:$B$408,0),MATCH(K$3,$B$3:$V$3,0)),
NewBuild_Retrofit_selector="Retrofit",(INDEX($B$1:$V$408,MATCH($D317&amp;"-"&amp;"Installation cost",$B$1:$B$408,0),MATCH(K$3,$B$3:$V$3,0))+INDEX($B$1:$V$408,MATCH($D317&amp;"-"&amp;"Extra retrofit cost",$B$1:$B$408,0),MATCH(K$3,$B$3:$V$3,0)))/INDEX($B$1:$V$408,MATCH($D317&amp;"-"&amp;"Lifetime",$B$1:$B$408,0),MATCH(K$3,$B$3:$V$3,0))),0)</f>
        <v>0</v>
      </c>
      <c r="L317" s="585" cm="1">
        <f t="array" aca="1" ref="L317" ca="1">IFERROR(
_xlfn.IFS(NewBuild_Retrofit_selector="Newbuild",INDEX($B$1:$V$408,MATCH($D317&amp;"-"&amp;"Installation cost",$B$1:$B$408,0),MATCH(L$3,$B$3:$V$3,0))/INDEX($B$1:$V$408,MATCH($D317&amp;"-"&amp;"Lifetime",$B$1:$B$408,0),MATCH(L$3,$B$3:$V$3,0)),
NewBuild_Retrofit_selector="Retrofit",(INDEX($B$1:$V$408,MATCH($D317&amp;"-"&amp;"Installation cost",$B$1:$B$408,0),MATCH(L$3,$B$3:$V$3,0))+INDEX($B$1:$V$408,MATCH($D317&amp;"-"&amp;"Extra retrofit cost",$B$1:$B$408,0),MATCH(L$3,$B$3:$V$3,0)))/INDEX($B$1:$V$408,MATCH($D317&amp;"-"&amp;"Lifetime",$B$1:$B$408,0),MATCH(L$3,$B$3:$V$3,0))),0)</f>
        <v>0</v>
      </c>
      <c r="M317" s="585" cm="1">
        <f t="array" aca="1" ref="M317" ca="1">IFERROR(
_xlfn.IFS(NewBuild_Retrofit_selector="Newbuild",INDEX($B$1:$V$408,MATCH($D317&amp;"-"&amp;"Installation cost",$B$1:$B$408,0),MATCH(M$3,$B$3:$V$3,0))/INDEX($B$1:$V$408,MATCH($D317&amp;"-"&amp;"Lifetime",$B$1:$B$408,0),MATCH(M$3,$B$3:$V$3,0)),
NewBuild_Retrofit_selector="Retrofit",(INDEX($B$1:$V$408,MATCH($D317&amp;"-"&amp;"Installation cost",$B$1:$B$408,0),MATCH(M$3,$B$3:$V$3,0))+INDEX($B$1:$V$408,MATCH($D317&amp;"-"&amp;"Extra retrofit cost",$B$1:$B$408,0),MATCH(M$3,$B$3:$V$3,0)))/INDEX($B$1:$V$408,MATCH($D317&amp;"-"&amp;"Lifetime",$B$1:$B$408,0),MATCH(M$3,$B$3:$V$3,0))),0)</f>
        <v>0</v>
      </c>
      <c r="N317" s="585" cm="1">
        <f t="array" aca="1" ref="N317" ca="1">IFERROR(
_xlfn.IFS(NewBuild_Retrofit_selector="Newbuild",INDEX($B$1:$V$408,MATCH($D317&amp;"-"&amp;"Installation cost",$B$1:$B$408,0),MATCH(N$3,$B$3:$V$3,0))/INDEX($B$1:$V$408,MATCH($D317&amp;"-"&amp;"Lifetime",$B$1:$B$408,0),MATCH(N$3,$B$3:$V$3,0)),
NewBuild_Retrofit_selector="Retrofit",(INDEX($B$1:$V$408,MATCH($D317&amp;"-"&amp;"Installation cost",$B$1:$B$408,0),MATCH(N$3,$B$3:$V$3,0))+INDEX($B$1:$V$408,MATCH($D317&amp;"-"&amp;"Extra retrofit cost",$B$1:$B$408,0),MATCH(N$3,$B$3:$V$3,0)))/INDEX($B$1:$V$408,MATCH($D317&amp;"-"&amp;"Lifetime",$B$1:$B$408,0),MATCH(N$3,$B$3:$V$3,0))),0)</f>
        <v>0</v>
      </c>
      <c r="O317" s="585" cm="1">
        <f t="array" aca="1" ref="O317" ca="1">IFERROR(
_xlfn.IFS(NewBuild_Retrofit_selector="Newbuild",INDEX($B$1:$V$408,MATCH($D317&amp;"-"&amp;"Installation cost",$B$1:$B$408,0),MATCH(O$3,$B$3:$V$3,0))/INDEX($B$1:$V$408,MATCH($D317&amp;"-"&amp;"Lifetime",$B$1:$B$408,0),MATCH(O$3,$B$3:$V$3,0)),
NewBuild_Retrofit_selector="Retrofit",(INDEX($B$1:$V$408,MATCH($D317&amp;"-"&amp;"Installation cost",$B$1:$B$408,0),MATCH(O$3,$B$3:$V$3,0))+INDEX($B$1:$V$408,MATCH($D317&amp;"-"&amp;"Extra retrofit cost",$B$1:$B$408,0),MATCH(O$3,$B$3:$V$3,0)))/INDEX($B$1:$V$408,MATCH($D317&amp;"-"&amp;"Lifetime",$B$1:$B$408,0),MATCH(O$3,$B$3:$V$3,0))),0)</f>
        <v>0</v>
      </c>
      <c r="P317" s="585" cm="1">
        <f t="array" aca="1" ref="P317" ca="1">IFERROR(
_xlfn.IFS(NewBuild_Retrofit_selector="Newbuild",INDEX($B$1:$V$408,MATCH($D317&amp;"-"&amp;"Installation cost",$B$1:$B$408,0),MATCH(P$3,$B$3:$V$3,0))/INDEX($B$1:$V$408,MATCH($D317&amp;"-"&amp;"Lifetime",$B$1:$B$408,0),MATCH(P$3,$B$3:$V$3,0)),
NewBuild_Retrofit_selector="Retrofit",(INDEX($B$1:$V$408,MATCH($D317&amp;"-"&amp;"Installation cost",$B$1:$B$408,0),MATCH(P$3,$B$3:$V$3,0))+INDEX($B$1:$V$408,MATCH($D317&amp;"-"&amp;"Extra retrofit cost",$B$1:$B$408,0),MATCH(P$3,$B$3:$V$3,0)))/INDEX($B$1:$V$408,MATCH($D317&amp;"-"&amp;"Lifetime",$B$1:$B$408,0),MATCH(P$3,$B$3:$V$3,0))),0)</f>
        <v>0</v>
      </c>
      <c r="Q317" s="585" cm="1">
        <f t="array" aca="1" ref="Q317" ca="1">IFERROR(
_xlfn.IFS(NewBuild_Retrofit_selector="Newbuild",INDEX($B$1:$V$408,MATCH($D317&amp;"-"&amp;"Installation cost",$B$1:$B$408,0),MATCH(Q$3,$B$3:$V$3,0))/INDEX($B$1:$V$408,MATCH($D317&amp;"-"&amp;"Lifetime",$B$1:$B$408,0),MATCH(Q$3,$B$3:$V$3,0)),
NewBuild_Retrofit_selector="Retrofit",(INDEX($B$1:$V$408,MATCH($D317&amp;"-"&amp;"Installation cost",$B$1:$B$408,0),MATCH(Q$3,$B$3:$V$3,0))+INDEX($B$1:$V$408,MATCH($D317&amp;"-"&amp;"Extra retrofit cost",$B$1:$B$408,0),MATCH(Q$3,$B$3:$V$3,0)))/INDEX($B$1:$V$408,MATCH($D317&amp;"-"&amp;"Lifetime",$B$1:$B$408,0),MATCH(Q$3,$B$3:$V$3,0))),0)</f>
        <v>0</v>
      </c>
      <c r="R317" s="585" cm="1">
        <f t="array" aca="1" ref="R317" ca="1">IFERROR(
_xlfn.IFS(NewBuild_Retrofit_selector="Newbuild",INDEX($B$1:$V$408,MATCH($D317&amp;"-"&amp;"Installation cost",$B$1:$B$408,0),MATCH(R$3,$B$3:$V$3,0))/INDEX($B$1:$V$408,MATCH($D317&amp;"-"&amp;"Lifetime",$B$1:$B$408,0),MATCH(R$3,$B$3:$V$3,0)),
NewBuild_Retrofit_selector="Retrofit",(INDEX($B$1:$V$408,MATCH($D317&amp;"-"&amp;"Installation cost",$B$1:$B$408,0),MATCH(R$3,$B$3:$V$3,0))+INDEX($B$1:$V$408,MATCH($D317&amp;"-"&amp;"Extra retrofit cost",$B$1:$B$408,0),MATCH(R$3,$B$3:$V$3,0)))/INDEX($B$1:$V$408,MATCH($D317&amp;"-"&amp;"Lifetime",$B$1:$B$408,0),MATCH(R$3,$B$3:$V$3,0))),0)</f>
        <v>0</v>
      </c>
      <c r="S317" s="585" cm="1">
        <f t="array" aca="1" ref="S317" ca="1">IFERROR(
_xlfn.IFS(NewBuild_Retrofit_selector="Newbuild",INDEX($B$1:$V$408,MATCH($D317&amp;"-"&amp;"Installation cost",$B$1:$B$408,0),MATCH(S$3,$B$3:$V$3,0))/INDEX($B$1:$V$408,MATCH($D317&amp;"-"&amp;"Lifetime",$B$1:$B$408,0),MATCH(S$3,$B$3:$V$3,0)),
NewBuild_Retrofit_selector="Retrofit",(INDEX($B$1:$V$408,MATCH($D317&amp;"-"&amp;"Installation cost",$B$1:$B$408,0),MATCH(S$3,$B$3:$V$3,0))+INDEX($B$1:$V$408,MATCH($D317&amp;"-"&amp;"Extra retrofit cost",$B$1:$B$408,0),MATCH(S$3,$B$3:$V$3,0)))/INDEX($B$1:$V$408,MATCH($D317&amp;"-"&amp;"Lifetime",$B$1:$B$408,0),MATCH(S$3,$B$3:$V$3,0))),0)</f>
        <v>0</v>
      </c>
      <c r="T317" s="585" cm="1">
        <f t="array" aca="1" ref="T317" ca="1">IFERROR(
_xlfn.IFS(NewBuild_Retrofit_selector="Newbuild",INDEX($B$1:$V$408,MATCH($D317&amp;"-"&amp;"Installation cost",$B$1:$B$408,0),MATCH(T$3,$B$3:$V$3,0))/INDEX($B$1:$V$408,MATCH($D317&amp;"-"&amp;"Lifetime",$B$1:$B$408,0),MATCH(T$3,$B$3:$V$3,0)),
NewBuild_Retrofit_selector="Retrofit",(INDEX($B$1:$V$408,MATCH($D317&amp;"-"&amp;"Installation cost",$B$1:$B$408,0),MATCH(T$3,$B$3:$V$3,0))+INDEX($B$1:$V$408,MATCH($D317&amp;"-"&amp;"Extra retrofit cost",$B$1:$B$408,0),MATCH(T$3,$B$3:$V$3,0)))/INDEX($B$1:$V$408,MATCH($D317&amp;"-"&amp;"Lifetime",$B$1:$B$408,0),MATCH(T$3,$B$3:$V$3,0))),0)</f>
        <v>0</v>
      </c>
      <c r="U317" s="356"/>
      <c r="V317" s="356"/>
    </row>
    <row r="318" spans="2:22" x14ac:dyDescent="0.2">
      <c r="B318" s="392" t="str">
        <f t="shared" si="7"/>
        <v>Variable frequency drive-Extra retrofit cost</v>
      </c>
      <c r="C318" s="392" t="s">
        <v>634</v>
      </c>
      <c r="D318" s="396" t="s">
        <v>160</v>
      </c>
      <c r="E318" s="392" t="s">
        <v>635</v>
      </c>
      <c r="F318" s="585">
        <v>29999.999999999993</v>
      </c>
      <c r="G318" s="585">
        <v>29999.999999999993</v>
      </c>
      <c r="H318" s="585">
        <v>29999.999999999993</v>
      </c>
      <c r="I318" s="585">
        <v>29999.999999999993</v>
      </c>
      <c r="J318" s="585">
        <v>29999.999999999993</v>
      </c>
      <c r="K318" s="585">
        <v>29999.999999999993</v>
      </c>
      <c r="L318" s="585">
        <v>29999.999999999993</v>
      </c>
      <c r="M318" s="585">
        <v>29999.999999999993</v>
      </c>
      <c r="N318" s="585">
        <v>29999.999999999993</v>
      </c>
      <c r="O318" s="585">
        <v>29999.999999999993</v>
      </c>
      <c r="P318" s="585">
        <v>29999.999999999993</v>
      </c>
      <c r="Q318" s="585">
        <v>29999.999999999993</v>
      </c>
      <c r="R318" s="585">
        <v>29999.999999999993</v>
      </c>
      <c r="S318" s="585">
        <v>29999.999999999993</v>
      </c>
      <c r="T318" s="585">
        <v>29999.999999999993</v>
      </c>
      <c r="U318" s="356"/>
      <c r="V318" s="356"/>
    </row>
    <row r="319" spans="2:22" x14ac:dyDescent="0.2">
      <c r="B319" s="392" t="str">
        <f t="shared" si="7"/>
        <v>Variable frequency drive-Installation cost</v>
      </c>
      <c r="C319" s="392" t="s">
        <v>452</v>
      </c>
      <c r="D319" s="396" t="s">
        <v>160</v>
      </c>
      <c r="E319" s="392" t="s">
        <v>635</v>
      </c>
      <c r="F319" s="585">
        <v>75000</v>
      </c>
      <c r="G319" s="585">
        <v>100000</v>
      </c>
      <c r="H319" s="585">
        <v>125000</v>
      </c>
      <c r="I319" s="585">
        <v>75000</v>
      </c>
      <c r="J319" s="585">
        <v>100000</v>
      </c>
      <c r="K319" s="585">
        <v>125000</v>
      </c>
      <c r="L319" s="585">
        <v>75000</v>
      </c>
      <c r="M319" s="585">
        <v>100000</v>
      </c>
      <c r="N319" s="585">
        <v>125000</v>
      </c>
      <c r="O319" s="585">
        <v>75000</v>
      </c>
      <c r="P319" s="585">
        <v>100000</v>
      </c>
      <c r="Q319" s="585">
        <v>125000</v>
      </c>
      <c r="R319" s="585">
        <v>75000</v>
      </c>
      <c r="S319" s="585">
        <v>100000</v>
      </c>
      <c r="T319" s="585">
        <v>125000</v>
      </c>
      <c r="U319" s="356" t="s">
        <v>637</v>
      </c>
      <c r="V319" s="356"/>
    </row>
    <row r="320" spans="2:22" x14ac:dyDescent="0.2">
      <c r="B320" s="392" t="str">
        <f t="shared" si="7"/>
        <v>Variable frequency drive-Lifetime</v>
      </c>
      <c r="C320" s="392" t="s">
        <v>520</v>
      </c>
      <c r="D320" s="396" t="s">
        <v>160</v>
      </c>
      <c r="E320" s="392" t="s">
        <v>176</v>
      </c>
      <c r="F320" s="356">
        <v>25</v>
      </c>
      <c r="G320" s="356">
        <v>25</v>
      </c>
      <c r="H320" s="356">
        <v>25</v>
      </c>
      <c r="I320" s="356">
        <v>25</v>
      </c>
      <c r="J320" s="356">
        <v>25</v>
      </c>
      <c r="K320" s="356">
        <v>25</v>
      </c>
      <c r="L320" s="356">
        <v>25</v>
      </c>
      <c r="M320" s="356">
        <v>25</v>
      </c>
      <c r="N320" s="356">
        <v>25</v>
      </c>
      <c r="O320" s="356">
        <v>25</v>
      </c>
      <c r="P320" s="356">
        <v>25</v>
      </c>
      <c r="Q320" s="356">
        <v>25</v>
      </c>
      <c r="R320" s="356">
        <v>25</v>
      </c>
      <c r="S320" s="356">
        <v>25</v>
      </c>
      <c r="T320" s="356">
        <v>25</v>
      </c>
      <c r="U320" s="356" t="s">
        <v>624</v>
      </c>
      <c r="V320" s="356"/>
    </row>
    <row r="321" spans="2:22" x14ac:dyDescent="0.2">
      <c r="B321" s="392" t="str">
        <f t="shared" si="7"/>
        <v>Variable frequency drive-OPEX</v>
      </c>
      <c r="C321" s="392" t="s">
        <v>319</v>
      </c>
      <c r="D321" s="401" t="s">
        <v>160</v>
      </c>
      <c r="E321" s="392" t="s">
        <v>630</v>
      </c>
      <c r="F321" s="585">
        <v>5</v>
      </c>
      <c r="G321" s="585">
        <v>5</v>
      </c>
      <c r="H321" s="585">
        <v>5</v>
      </c>
      <c r="I321" s="585">
        <v>5</v>
      </c>
      <c r="J321" s="585">
        <v>5</v>
      </c>
      <c r="K321" s="585">
        <v>5</v>
      </c>
      <c r="L321" s="585">
        <v>5</v>
      </c>
      <c r="M321" s="585">
        <v>5</v>
      </c>
      <c r="N321" s="585">
        <v>5</v>
      </c>
      <c r="O321" s="585">
        <v>5</v>
      </c>
      <c r="P321" s="585">
        <v>5</v>
      </c>
      <c r="Q321" s="585">
        <v>5</v>
      </c>
      <c r="R321" s="585">
        <v>5</v>
      </c>
      <c r="S321" s="585">
        <v>5</v>
      </c>
      <c r="T321" s="585">
        <v>5</v>
      </c>
      <c r="U321" s="356" t="s">
        <v>624</v>
      </c>
      <c r="V321" s="356"/>
    </row>
    <row r="322" spans="2:22" x14ac:dyDescent="0.2">
      <c r="B322" s="392" t="str">
        <f t="shared" si="7"/>
        <v>Variable frequency drive-Saving</v>
      </c>
      <c r="C322" s="392" t="s">
        <v>458</v>
      </c>
      <c r="D322" s="396" t="s">
        <v>160</v>
      </c>
      <c r="E322" s="392" t="s">
        <v>178</v>
      </c>
      <c r="F322" s="359">
        <v>0.08</v>
      </c>
      <c r="G322" s="359">
        <v>0.08</v>
      </c>
      <c r="H322" s="359">
        <v>0.08</v>
      </c>
      <c r="I322" s="359">
        <v>0.1</v>
      </c>
      <c r="J322" s="359">
        <v>0.1</v>
      </c>
      <c r="K322" s="359">
        <v>0.1</v>
      </c>
      <c r="L322" s="359">
        <v>0.1</v>
      </c>
      <c r="M322" s="359">
        <v>0.1</v>
      </c>
      <c r="N322" s="359">
        <v>0.1</v>
      </c>
      <c r="O322" s="359">
        <v>0.1</v>
      </c>
      <c r="P322" s="359">
        <v>0.1</v>
      </c>
      <c r="Q322" s="359">
        <v>0.1</v>
      </c>
      <c r="R322" s="359">
        <v>0.1</v>
      </c>
      <c r="S322" s="359">
        <v>0.1</v>
      </c>
      <c r="T322" s="359">
        <v>0.1</v>
      </c>
      <c r="U322" s="356" t="s">
        <v>628</v>
      </c>
      <c r="V322" s="356"/>
    </row>
    <row r="323" spans="2:22" x14ac:dyDescent="0.2">
      <c r="B323" s="392" t="str">
        <f t="shared" si="7"/>
        <v>Variable frequency drive-UptakeFleetAvg2020</v>
      </c>
      <c r="C323" s="392" t="s">
        <v>650</v>
      </c>
      <c r="D323" s="392" t="s">
        <v>160</v>
      </c>
      <c r="E323" s="392" t="s">
        <v>178</v>
      </c>
      <c r="F323" s="359">
        <v>0.3</v>
      </c>
      <c r="G323" s="359">
        <v>0.3</v>
      </c>
      <c r="H323" s="359">
        <v>0.3</v>
      </c>
      <c r="I323" s="359">
        <v>0.25</v>
      </c>
      <c r="J323" s="359">
        <v>0.25</v>
      </c>
      <c r="K323" s="359">
        <v>0.25</v>
      </c>
      <c r="L323" s="359">
        <v>0.25</v>
      </c>
      <c r="M323" s="359">
        <v>0.25</v>
      </c>
      <c r="N323" s="359">
        <v>0.25</v>
      </c>
      <c r="O323" s="359">
        <v>0.5</v>
      </c>
      <c r="P323" s="359">
        <v>0.75</v>
      </c>
      <c r="Q323" s="359">
        <v>0.75</v>
      </c>
      <c r="R323" s="359">
        <v>1</v>
      </c>
      <c r="S323" s="359">
        <v>1</v>
      </c>
      <c r="T323" s="359">
        <v>1</v>
      </c>
      <c r="U323" s="356" t="s">
        <v>628</v>
      </c>
      <c r="V323" s="356"/>
    </row>
    <row r="324" spans="2:22" x14ac:dyDescent="0.2">
      <c r="B324" s="392" t="str">
        <f t="shared" si="7"/>
        <v>Variable frequency drive-UptakeNewbuild2020</v>
      </c>
      <c r="C324" s="392" t="s">
        <v>652</v>
      </c>
      <c r="D324" s="392" t="s">
        <v>160</v>
      </c>
      <c r="E324" s="392" t="s">
        <v>178</v>
      </c>
      <c r="F324" s="359">
        <v>0</v>
      </c>
      <c r="G324" s="359">
        <v>0</v>
      </c>
      <c r="H324" s="359">
        <v>0</v>
      </c>
      <c r="I324" s="359">
        <v>0</v>
      </c>
      <c r="J324" s="359">
        <v>0</v>
      </c>
      <c r="K324" s="359">
        <v>0</v>
      </c>
      <c r="L324" s="359">
        <v>0</v>
      </c>
      <c r="M324" s="359">
        <v>0</v>
      </c>
      <c r="N324" s="359">
        <v>0</v>
      </c>
      <c r="O324" s="359">
        <v>0</v>
      </c>
      <c r="P324" s="359">
        <v>0</v>
      </c>
      <c r="Q324" s="359">
        <v>0</v>
      </c>
      <c r="R324" s="359">
        <v>0</v>
      </c>
      <c r="S324" s="359">
        <v>0</v>
      </c>
      <c r="T324" s="359">
        <v>0</v>
      </c>
      <c r="U324" s="356" t="s">
        <v>651</v>
      </c>
      <c r="V324" s="356"/>
    </row>
    <row r="325" spans="2:22" x14ac:dyDescent="0.2">
      <c r="B325" s="392" t="str">
        <f t="shared" si="7"/>
        <v>Waste heat recovery system-Applicable Retrofit</v>
      </c>
      <c r="C325" s="392" t="s">
        <v>629</v>
      </c>
      <c r="D325" s="392" t="s">
        <v>156</v>
      </c>
      <c r="E325" s="392" t="s">
        <v>622</v>
      </c>
      <c r="F325" s="356">
        <v>0</v>
      </c>
      <c r="G325" s="356">
        <v>1</v>
      </c>
      <c r="H325" s="356">
        <v>1</v>
      </c>
      <c r="I325" s="356">
        <v>0</v>
      </c>
      <c r="J325" s="356">
        <v>0</v>
      </c>
      <c r="K325" s="356">
        <v>1</v>
      </c>
      <c r="L325" s="356">
        <v>0</v>
      </c>
      <c r="M325" s="356">
        <v>0</v>
      </c>
      <c r="N325" s="356">
        <v>1</v>
      </c>
      <c r="O325" s="356">
        <v>0</v>
      </c>
      <c r="P325" s="356">
        <v>0</v>
      </c>
      <c r="Q325" s="356">
        <v>0</v>
      </c>
      <c r="R325" s="356">
        <v>0</v>
      </c>
      <c r="S325" s="356">
        <v>0</v>
      </c>
      <c r="T325" s="356">
        <v>0</v>
      </c>
      <c r="U325" s="356" t="s">
        <v>628</v>
      </c>
      <c r="V325" s="356"/>
    </row>
    <row r="326" spans="2:22" x14ac:dyDescent="0.2">
      <c r="B326" s="392" t="str">
        <f t="shared" ref="B326:B389" si="8">D326&amp;"-"&amp;C326</f>
        <v>Waste heat recovery system-CAPEX</v>
      </c>
      <c r="C326" s="392" t="s">
        <v>50</v>
      </c>
      <c r="D326" s="392" t="s">
        <v>156</v>
      </c>
      <c r="E326" s="392" t="s">
        <v>630</v>
      </c>
      <c r="F326" s="585" cm="1">
        <f t="array" aca="1" ref="F326" ca="1">IFERROR(
_xlfn.IFS(NewBuild_Retrofit_selector="Newbuild",INDEX($B$1:$V$408,MATCH($D326&amp;"-"&amp;"Installation cost",$B$1:$B$408,0),MATCH(F$3,$B$3:$V$3,0))/INDEX($B$1:$V$408,MATCH($D326&amp;"-"&amp;"Lifetime",$B$1:$B$408,0),MATCH(F$3,$B$3:$V$3,0)),
NewBuild_Retrofit_selector="Retrofit",(INDEX($B$1:$V$408,MATCH($D326&amp;"-"&amp;"Installation cost",$B$1:$B$408,0),MATCH(F$3,$B$3:$V$3,0))+INDEX($B$1:$V$408,MATCH($D326&amp;"-"&amp;"Extra retrofit cost",$B$1:$B$408,0),MATCH(F$3,$B$3:$V$3,0)))/INDEX($B$1:$V$408,MATCH($D326&amp;"-"&amp;"Lifetime",$B$1:$B$408,0),MATCH(F$3,$B$3:$V$3,0))),0)</f>
        <v>0</v>
      </c>
      <c r="G326" s="585" cm="1">
        <f t="array" aca="1" ref="G326" ca="1">IFERROR(
_xlfn.IFS(NewBuild_Retrofit_selector="Newbuild",INDEX($B$1:$V$408,MATCH($D326&amp;"-"&amp;"Installation cost",$B$1:$B$408,0),MATCH(G$3,$B$3:$V$3,0))/INDEX($B$1:$V$408,MATCH($D326&amp;"-"&amp;"Lifetime",$B$1:$B$408,0),MATCH(G$3,$B$3:$V$3,0)),
NewBuild_Retrofit_selector="Retrofit",(INDEX($B$1:$V$408,MATCH($D326&amp;"-"&amp;"Installation cost",$B$1:$B$408,0),MATCH(G$3,$B$3:$V$3,0))+INDEX($B$1:$V$408,MATCH($D326&amp;"-"&amp;"Extra retrofit cost",$B$1:$B$408,0),MATCH(G$3,$B$3:$V$3,0)))/INDEX($B$1:$V$408,MATCH($D326&amp;"-"&amp;"Lifetime",$B$1:$B$408,0),MATCH(G$3,$B$3:$V$3,0))),0)</f>
        <v>0</v>
      </c>
      <c r="H326" s="585" cm="1">
        <f t="array" aca="1" ref="H326" ca="1">IFERROR(
_xlfn.IFS(NewBuild_Retrofit_selector="Newbuild",INDEX($B$1:$V$408,MATCH($D326&amp;"-"&amp;"Installation cost",$B$1:$B$408,0),MATCH(H$3,$B$3:$V$3,0))/INDEX($B$1:$V$408,MATCH($D326&amp;"-"&amp;"Lifetime",$B$1:$B$408,0),MATCH(H$3,$B$3:$V$3,0)),
NewBuild_Retrofit_selector="Retrofit",(INDEX($B$1:$V$408,MATCH($D326&amp;"-"&amp;"Installation cost",$B$1:$B$408,0),MATCH(H$3,$B$3:$V$3,0))+INDEX($B$1:$V$408,MATCH($D326&amp;"-"&amp;"Extra retrofit cost",$B$1:$B$408,0),MATCH(H$3,$B$3:$V$3,0)))/INDEX($B$1:$V$408,MATCH($D326&amp;"-"&amp;"Lifetime",$B$1:$B$408,0),MATCH(H$3,$B$3:$V$3,0))),0)</f>
        <v>0</v>
      </c>
      <c r="I326" s="585" cm="1">
        <f t="array" aca="1" ref="I326" ca="1">IFERROR(
_xlfn.IFS(NewBuild_Retrofit_selector="Newbuild",INDEX($B$1:$V$408,MATCH($D326&amp;"-"&amp;"Installation cost",$B$1:$B$408,0),MATCH(I$3,$B$3:$V$3,0))/INDEX($B$1:$V$408,MATCH($D326&amp;"-"&amp;"Lifetime",$B$1:$B$408,0),MATCH(I$3,$B$3:$V$3,0)),
NewBuild_Retrofit_selector="Retrofit",(INDEX($B$1:$V$408,MATCH($D326&amp;"-"&amp;"Installation cost",$B$1:$B$408,0),MATCH(I$3,$B$3:$V$3,0))+INDEX($B$1:$V$408,MATCH($D326&amp;"-"&amp;"Extra retrofit cost",$B$1:$B$408,0),MATCH(I$3,$B$3:$V$3,0)))/INDEX($B$1:$V$408,MATCH($D326&amp;"-"&amp;"Lifetime",$B$1:$B$408,0),MATCH(I$3,$B$3:$V$3,0))),0)</f>
        <v>0</v>
      </c>
      <c r="J326" s="585" cm="1">
        <f t="array" aca="1" ref="J326" ca="1">IFERROR(
_xlfn.IFS(NewBuild_Retrofit_selector="Newbuild",INDEX($B$1:$V$408,MATCH($D326&amp;"-"&amp;"Installation cost",$B$1:$B$408,0),MATCH(J$3,$B$3:$V$3,0))/INDEX($B$1:$V$408,MATCH($D326&amp;"-"&amp;"Lifetime",$B$1:$B$408,0),MATCH(J$3,$B$3:$V$3,0)),
NewBuild_Retrofit_selector="Retrofit",(INDEX($B$1:$V$408,MATCH($D326&amp;"-"&amp;"Installation cost",$B$1:$B$408,0),MATCH(J$3,$B$3:$V$3,0))+INDEX($B$1:$V$408,MATCH($D326&amp;"-"&amp;"Extra retrofit cost",$B$1:$B$408,0),MATCH(J$3,$B$3:$V$3,0)))/INDEX($B$1:$V$408,MATCH($D326&amp;"-"&amp;"Lifetime",$B$1:$B$408,0),MATCH(J$3,$B$3:$V$3,0))),0)</f>
        <v>0</v>
      </c>
      <c r="K326" s="585" cm="1">
        <f t="array" aca="1" ref="K326" ca="1">IFERROR(
_xlfn.IFS(NewBuild_Retrofit_selector="Newbuild",INDEX($B$1:$V$408,MATCH($D326&amp;"-"&amp;"Installation cost",$B$1:$B$408,0),MATCH(K$3,$B$3:$V$3,0))/INDEX($B$1:$V$408,MATCH($D326&amp;"-"&amp;"Lifetime",$B$1:$B$408,0),MATCH(K$3,$B$3:$V$3,0)),
NewBuild_Retrofit_selector="Retrofit",(INDEX($B$1:$V$408,MATCH($D326&amp;"-"&amp;"Installation cost",$B$1:$B$408,0),MATCH(K$3,$B$3:$V$3,0))+INDEX($B$1:$V$408,MATCH($D326&amp;"-"&amp;"Extra retrofit cost",$B$1:$B$408,0),MATCH(K$3,$B$3:$V$3,0)))/INDEX($B$1:$V$408,MATCH($D326&amp;"-"&amp;"Lifetime",$B$1:$B$408,0),MATCH(K$3,$B$3:$V$3,0))),0)</f>
        <v>0</v>
      </c>
      <c r="L326" s="585" cm="1">
        <f t="array" aca="1" ref="L326" ca="1">IFERROR(
_xlfn.IFS(NewBuild_Retrofit_selector="Newbuild",INDEX($B$1:$V$408,MATCH($D326&amp;"-"&amp;"Installation cost",$B$1:$B$408,0),MATCH(L$3,$B$3:$V$3,0))/INDEX($B$1:$V$408,MATCH($D326&amp;"-"&amp;"Lifetime",$B$1:$B$408,0),MATCH(L$3,$B$3:$V$3,0)),
NewBuild_Retrofit_selector="Retrofit",(INDEX($B$1:$V$408,MATCH($D326&amp;"-"&amp;"Installation cost",$B$1:$B$408,0),MATCH(L$3,$B$3:$V$3,0))+INDEX($B$1:$V$408,MATCH($D326&amp;"-"&amp;"Extra retrofit cost",$B$1:$B$408,0),MATCH(L$3,$B$3:$V$3,0)))/INDEX($B$1:$V$408,MATCH($D326&amp;"-"&amp;"Lifetime",$B$1:$B$408,0),MATCH(L$3,$B$3:$V$3,0))),0)</f>
        <v>0</v>
      </c>
      <c r="M326" s="585" cm="1">
        <f t="array" aca="1" ref="M326" ca="1">IFERROR(
_xlfn.IFS(NewBuild_Retrofit_selector="Newbuild",INDEX($B$1:$V$408,MATCH($D326&amp;"-"&amp;"Installation cost",$B$1:$B$408,0),MATCH(M$3,$B$3:$V$3,0))/INDEX($B$1:$V$408,MATCH($D326&amp;"-"&amp;"Lifetime",$B$1:$B$408,0),MATCH(M$3,$B$3:$V$3,0)),
NewBuild_Retrofit_selector="Retrofit",(INDEX($B$1:$V$408,MATCH($D326&amp;"-"&amp;"Installation cost",$B$1:$B$408,0),MATCH(M$3,$B$3:$V$3,0))+INDEX($B$1:$V$408,MATCH($D326&amp;"-"&amp;"Extra retrofit cost",$B$1:$B$408,0),MATCH(M$3,$B$3:$V$3,0)))/INDEX($B$1:$V$408,MATCH($D326&amp;"-"&amp;"Lifetime",$B$1:$B$408,0),MATCH(M$3,$B$3:$V$3,0))),0)</f>
        <v>0</v>
      </c>
      <c r="N326" s="585" cm="1">
        <f t="array" aca="1" ref="N326" ca="1">IFERROR(
_xlfn.IFS(NewBuild_Retrofit_selector="Newbuild",INDEX($B$1:$V$408,MATCH($D326&amp;"-"&amp;"Installation cost",$B$1:$B$408,0),MATCH(N$3,$B$3:$V$3,0))/INDEX($B$1:$V$408,MATCH($D326&amp;"-"&amp;"Lifetime",$B$1:$B$408,0),MATCH(N$3,$B$3:$V$3,0)),
NewBuild_Retrofit_selector="Retrofit",(INDEX($B$1:$V$408,MATCH($D326&amp;"-"&amp;"Installation cost",$B$1:$B$408,0),MATCH(N$3,$B$3:$V$3,0))+INDEX($B$1:$V$408,MATCH($D326&amp;"-"&amp;"Extra retrofit cost",$B$1:$B$408,0),MATCH(N$3,$B$3:$V$3,0)))/INDEX($B$1:$V$408,MATCH($D326&amp;"-"&amp;"Lifetime",$B$1:$B$408,0),MATCH(N$3,$B$3:$V$3,0))),0)</f>
        <v>0</v>
      </c>
      <c r="O326" s="585" cm="1">
        <f t="array" aca="1" ref="O326" ca="1">IFERROR(
_xlfn.IFS(NewBuild_Retrofit_selector="Newbuild",INDEX($B$1:$V$408,MATCH($D326&amp;"-"&amp;"Installation cost",$B$1:$B$408,0),MATCH(O$3,$B$3:$V$3,0))/INDEX($B$1:$V$408,MATCH($D326&amp;"-"&amp;"Lifetime",$B$1:$B$408,0),MATCH(O$3,$B$3:$V$3,0)),
NewBuild_Retrofit_selector="Retrofit",(INDEX($B$1:$V$408,MATCH($D326&amp;"-"&amp;"Installation cost",$B$1:$B$408,0),MATCH(O$3,$B$3:$V$3,0))+INDEX($B$1:$V$408,MATCH($D326&amp;"-"&amp;"Extra retrofit cost",$B$1:$B$408,0),MATCH(O$3,$B$3:$V$3,0)))/INDEX($B$1:$V$408,MATCH($D326&amp;"-"&amp;"Lifetime",$B$1:$B$408,0),MATCH(O$3,$B$3:$V$3,0))),0)</f>
        <v>0</v>
      </c>
      <c r="P326" s="585" cm="1">
        <f t="array" aca="1" ref="P326" ca="1">IFERROR(
_xlfn.IFS(NewBuild_Retrofit_selector="Newbuild",INDEX($B$1:$V$408,MATCH($D326&amp;"-"&amp;"Installation cost",$B$1:$B$408,0),MATCH(P$3,$B$3:$V$3,0))/INDEX($B$1:$V$408,MATCH($D326&amp;"-"&amp;"Lifetime",$B$1:$B$408,0),MATCH(P$3,$B$3:$V$3,0)),
NewBuild_Retrofit_selector="Retrofit",(INDEX($B$1:$V$408,MATCH($D326&amp;"-"&amp;"Installation cost",$B$1:$B$408,0),MATCH(P$3,$B$3:$V$3,0))+INDEX($B$1:$V$408,MATCH($D326&amp;"-"&amp;"Extra retrofit cost",$B$1:$B$408,0),MATCH(P$3,$B$3:$V$3,0)))/INDEX($B$1:$V$408,MATCH($D326&amp;"-"&amp;"Lifetime",$B$1:$B$408,0),MATCH(P$3,$B$3:$V$3,0))),0)</f>
        <v>0</v>
      </c>
      <c r="Q326" s="585" cm="1">
        <f t="array" aca="1" ref="Q326" ca="1">IFERROR(
_xlfn.IFS(NewBuild_Retrofit_selector="Newbuild",INDEX($B$1:$V$408,MATCH($D326&amp;"-"&amp;"Installation cost",$B$1:$B$408,0),MATCH(Q$3,$B$3:$V$3,0))/INDEX($B$1:$V$408,MATCH($D326&amp;"-"&amp;"Lifetime",$B$1:$B$408,0),MATCH(Q$3,$B$3:$V$3,0)),
NewBuild_Retrofit_selector="Retrofit",(INDEX($B$1:$V$408,MATCH($D326&amp;"-"&amp;"Installation cost",$B$1:$B$408,0),MATCH(Q$3,$B$3:$V$3,0))+INDEX($B$1:$V$408,MATCH($D326&amp;"-"&amp;"Extra retrofit cost",$B$1:$B$408,0),MATCH(Q$3,$B$3:$V$3,0)))/INDEX($B$1:$V$408,MATCH($D326&amp;"-"&amp;"Lifetime",$B$1:$B$408,0),MATCH(Q$3,$B$3:$V$3,0))),0)</f>
        <v>0</v>
      </c>
      <c r="R326" s="585" cm="1">
        <f t="array" aca="1" ref="R326" ca="1">IFERROR(
_xlfn.IFS(NewBuild_Retrofit_selector="Newbuild",INDEX($B$1:$V$408,MATCH($D326&amp;"-"&amp;"Installation cost",$B$1:$B$408,0),MATCH(R$3,$B$3:$V$3,0))/INDEX($B$1:$V$408,MATCH($D326&amp;"-"&amp;"Lifetime",$B$1:$B$408,0),MATCH(R$3,$B$3:$V$3,0)),
NewBuild_Retrofit_selector="Retrofit",(INDEX($B$1:$V$408,MATCH($D326&amp;"-"&amp;"Installation cost",$B$1:$B$408,0),MATCH(R$3,$B$3:$V$3,0))+INDEX($B$1:$V$408,MATCH($D326&amp;"-"&amp;"Extra retrofit cost",$B$1:$B$408,0),MATCH(R$3,$B$3:$V$3,0)))/INDEX($B$1:$V$408,MATCH($D326&amp;"-"&amp;"Lifetime",$B$1:$B$408,0),MATCH(R$3,$B$3:$V$3,0))),0)</f>
        <v>0</v>
      </c>
      <c r="S326" s="585" cm="1">
        <f t="array" aca="1" ref="S326" ca="1">IFERROR(
_xlfn.IFS(NewBuild_Retrofit_selector="Newbuild",INDEX($B$1:$V$408,MATCH($D326&amp;"-"&amp;"Installation cost",$B$1:$B$408,0),MATCH(S$3,$B$3:$V$3,0))/INDEX($B$1:$V$408,MATCH($D326&amp;"-"&amp;"Lifetime",$B$1:$B$408,0),MATCH(S$3,$B$3:$V$3,0)),
NewBuild_Retrofit_selector="Retrofit",(INDEX($B$1:$V$408,MATCH($D326&amp;"-"&amp;"Installation cost",$B$1:$B$408,0),MATCH(S$3,$B$3:$V$3,0))+INDEX($B$1:$V$408,MATCH($D326&amp;"-"&amp;"Extra retrofit cost",$B$1:$B$408,0),MATCH(S$3,$B$3:$V$3,0)))/INDEX($B$1:$V$408,MATCH($D326&amp;"-"&amp;"Lifetime",$B$1:$B$408,0),MATCH(S$3,$B$3:$V$3,0))),0)</f>
        <v>0</v>
      </c>
      <c r="T326" s="585" cm="1">
        <f t="array" aca="1" ref="T326" ca="1">IFERROR(
_xlfn.IFS(NewBuild_Retrofit_selector="Newbuild",INDEX($B$1:$V$408,MATCH($D326&amp;"-"&amp;"Installation cost",$B$1:$B$408,0),MATCH(T$3,$B$3:$V$3,0))/INDEX($B$1:$V$408,MATCH($D326&amp;"-"&amp;"Lifetime",$B$1:$B$408,0),MATCH(T$3,$B$3:$V$3,0)),
NewBuild_Retrofit_selector="Retrofit",(INDEX($B$1:$V$408,MATCH($D326&amp;"-"&amp;"Installation cost",$B$1:$B$408,0),MATCH(T$3,$B$3:$V$3,0))+INDEX($B$1:$V$408,MATCH($D326&amp;"-"&amp;"Extra retrofit cost",$B$1:$B$408,0),MATCH(T$3,$B$3:$V$3,0)))/INDEX($B$1:$V$408,MATCH($D326&amp;"-"&amp;"Lifetime",$B$1:$B$408,0),MATCH(T$3,$B$3:$V$3,0))),0)</f>
        <v>0</v>
      </c>
      <c r="U326" s="356"/>
      <c r="V326" s="356"/>
    </row>
    <row r="327" spans="2:22" x14ac:dyDescent="0.2">
      <c r="B327" s="392" t="str">
        <f t="shared" si="8"/>
        <v>Waste heat recovery system-Extra retrofit cost</v>
      </c>
      <c r="C327" s="392" t="s">
        <v>634</v>
      </c>
      <c r="D327" s="392" t="s">
        <v>156</v>
      </c>
      <c r="E327" s="392" t="s">
        <v>635</v>
      </c>
      <c r="F327" s="585">
        <v>0</v>
      </c>
      <c r="G327" s="585">
        <v>2400000</v>
      </c>
      <c r="H327" s="585">
        <v>2400000</v>
      </c>
      <c r="I327" s="585">
        <v>0</v>
      </c>
      <c r="J327" s="585">
        <v>0</v>
      </c>
      <c r="K327" s="585">
        <v>2400000</v>
      </c>
      <c r="L327" s="585">
        <v>0</v>
      </c>
      <c r="M327" s="585">
        <v>0</v>
      </c>
      <c r="N327" s="585">
        <v>2400000</v>
      </c>
      <c r="O327" s="585">
        <v>0</v>
      </c>
      <c r="P327" s="585">
        <v>0</v>
      </c>
      <c r="Q327" s="585">
        <v>0</v>
      </c>
      <c r="R327" s="585">
        <v>0</v>
      </c>
      <c r="S327" s="585">
        <v>0</v>
      </c>
      <c r="T327" s="585">
        <v>0</v>
      </c>
      <c r="U327" s="356" t="s">
        <v>628</v>
      </c>
      <c r="V327" s="356"/>
    </row>
    <row r="328" spans="2:22" x14ac:dyDescent="0.2">
      <c r="B328" s="392" t="str">
        <f t="shared" si="8"/>
        <v>Waste heat recovery system-Applicable Newbuild</v>
      </c>
      <c r="C328" s="392" t="s">
        <v>621</v>
      </c>
      <c r="D328" s="392" t="s">
        <v>156</v>
      </c>
      <c r="E328" s="392" t="s">
        <v>622</v>
      </c>
      <c r="F328" s="356">
        <v>0</v>
      </c>
      <c r="G328" s="356">
        <v>1</v>
      </c>
      <c r="H328" s="356">
        <v>1</v>
      </c>
      <c r="I328" s="356">
        <v>0</v>
      </c>
      <c r="J328" s="356">
        <v>0</v>
      </c>
      <c r="K328" s="356">
        <v>1</v>
      </c>
      <c r="L328" s="356">
        <v>0</v>
      </c>
      <c r="M328" s="356">
        <v>0</v>
      </c>
      <c r="N328" s="356">
        <v>1</v>
      </c>
      <c r="O328" s="356">
        <v>0</v>
      </c>
      <c r="P328" s="356">
        <v>0</v>
      </c>
      <c r="Q328" s="356">
        <v>0</v>
      </c>
      <c r="R328" s="356">
        <v>0</v>
      </c>
      <c r="S328" s="356">
        <v>0</v>
      </c>
      <c r="T328" s="356">
        <v>0</v>
      </c>
      <c r="U328" s="356" t="s">
        <v>628</v>
      </c>
      <c r="V328" s="356"/>
    </row>
    <row r="329" spans="2:22" x14ac:dyDescent="0.2">
      <c r="B329" s="392" t="str">
        <f t="shared" si="8"/>
        <v>Waste heat recovery system-Installation cost</v>
      </c>
      <c r="C329" s="392" t="s">
        <v>452</v>
      </c>
      <c r="D329" s="392" t="s">
        <v>156</v>
      </c>
      <c r="E329" s="392" t="s">
        <v>635</v>
      </c>
      <c r="F329" s="585">
        <v>0</v>
      </c>
      <c r="G329" s="585">
        <v>7500000</v>
      </c>
      <c r="H329" s="585">
        <v>9500000</v>
      </c>
      <c r="I329" s="585">
        <v>0</v>
      </c>
      <c r="J329" s="585">
        <v>0</v>
      </c>
      <c r="K329" s="585">
        <v>7500000</v>
      </c>
      <c r="L329" s="585">
        <v>0</v>
      </c>
      <c r="M329" s="585">
        <v>0</v>
      </c>
      <c r="N329" s="585">
        <v>7500000</v>
      </c>
      <c r="O329" s="585">
        <v>0</v>
      </c>
      <c r="P329" s="585">
        <v>0</v>
      </c>
      <c r="Q329" s="585">
        <v>0</v>
      </c>
      <c r="R329" s="585">
        <v>0</v>
      </c>
      <c r="S329" s="585">
        <v>0</v>
      </c>
      <c r="T329" s="585">
        <v>0</v>
      </c>
      <c r="U329" s="356" t="s">
        <v>628</v>
      </c>
      <c r="V329" s="356"/>
    </row>
    <row r="330" spans="2:22" x14ac:dyDescent="0.2">
      <c r="B330" s="392" t="str">
        <f t="shared" si="8"/>
        <v>Waste heat recovery system-Lifetime</v>
      </c>
      <c r="C330" s="392" t="s">
        <v>520</v>
      </c>
      <c r="D330" s="392" t="s">
        <v>156</v>
      </c>
      <c r="E330" s="392" t="s">
        <v>176</v>
      </c>
      <c r="F330" s="356">
        <v>0</v>
      </c>
      <c r="G330" s="356">
        <v>25</v>
      </c>
      <c r="H330" s="356">
        <v>25</v>
      </c>
      <c r="I330" s="356">
        <v>0</v>
      </c>
      <c r="J330" s="356">
        <v>0</v>
      </c>
      <c r="K330" s="356">
        <v>25</v>
      </c>
      <c r="L330" s="356">
        <v>0</v>
      </c>
      <c r="M330" s="356">
        <v>0</v>
      </c>
      <c r="N330" s="356">
        <v>25</v>
      </c>
      <c r="O330" s="356">
        <v>0</v>
      </c>
      <c r="P330" s="356">
        <v>0</v>
      </c>
      <c r="Q330" s="356">
        <v>0</v>
      </c>
      <c r="R330" s="356">
        <v>0</v>
      </c>
      <c r="S330" s="356">
        <v>0</v>
      </c>
      <c r="T330" s="356">
        <v>0</v>
      </c>
      <c r="U330" s="356" t="s">
        <v>628</v>
      </c>
      <c r="V330" s="356"/>
    </row>
    <row r="331" spans="2:22" x14ac:dyDescent="0.2">
      <c r="B331" s="392" t="str">
        <f t="shared" si="8"/>
        <v>Waste heat recovery system-OPEX</v>
      </c>
      <c r="C331" s="392" t="s">
        <v>319</v>
      </c>
      <c r="D331" s="396" t="s">
        <v>156</v>
      </c>
      <c r="E331" s="392" t="s">
        <v>630</v>
      </c>
      <c r="F331" s="585">
        <v>0</v>
      </c>
      <c r="G331" s="585">
        <v>10000</v>
      </c>
      <c r="H331" s="585">
        <v>10000</v>
      </c>
      <c r="I331" s="585">
        <v>0</v>
      </c>
      <c r="J331" s="585">
        <v>0</v>
      </c>
      <c r="K331" s="585">
        <v>10000</v>
      </c>
      <c r="L331" s="585">
        <v>0</v>
      </c>
      <c r="M331" s="585">
        <v>0</v>
      </c>
      <c r="N331" s="585">
        <v>10000</v>
      </c>
      <c r="O331" s="585">
        <v>0</v>
      </c>
      <c r="P331" s="585">
        <v>0</v>
      </c>
      <c r="Q331" s="585">
        <v>0</v>
      </c>
      <c r="R331" s="585">
        <v>0</v>
      </c>
      <c r="S331" s="585">
        <v>0</v>
      </c>
      <c r="T331" s="585">
        <v>0</v>
      </c>
      <c r="U331" s="356" t="s">
        <v>628</v>
      </c>
      <c r="V331" s="356"/>
    </row>
    <row r="332" spans="2:22" x14ac:dyDescent="0.2">
      <c r="B332" s="392" t="str">
        <f t="shared" si="8"/>
        <v>Waste heat recovery system-Saving</v>
      </c>
      <c r="C332" s="392" t="s">
        <v>458</v>
      </c>
      <c r="D332" s="396" t="s">
        <v>156</v>
      </c>
      <c r="E332" s="392" t="s">
        <v>178</v>
      </c>
      <c r="F332" s="359">
        <v>0</v>
      </c>
      <c r="G332" s="359">
        <v>0.6</v>
      </c>
      <c r="H332" s="359">
        <v>0.6</v>
      </c>
      <c r="I332" s="359">
        <v>0</v>
      </c>
      <c r="J332" s="359">
        <v>0</v>
      </c>
      <c r="K332" s="359">
        <v>0.45</v>
      </c>
      <c r="L332" s="359">
        <v>0</v>
      </c>
      <c r="M332" s="359">
        <v>0</v>
      </c>
      <c r="N332" s="359">
        <v>0.5</v>
      </c>
      <c r="O332" s="359">
        <v>0</v>
      </c>
      <c r="P332" s="359">
        <v>0</v>
      </c>
      <c r="Q332" s="359">
        <v>0</v>
      </c>
      <c r="R332" s="359">
        <v>0</v>
      </c>
      <c r="S332" s="359">
        <v>0</v>
      </c>
      <c r="T332" s="359">
        <v>0</v>
      </c>
      <c r="U332" s="356" t="s">
        <v>628</v>
      </c>
      <c r="V332" s="356"/>
    </row>
    <row r="333" spans="2:22" x14ac:dyDescent="0.2">
      <c r="B333" s="392" t="str">
        <f t="shared" si="8"/>
        <v>Waste heat recovery system-UptakeFleetAvg2020</v>
      </c>
      <c r="C333" s="392" t="s">
        <v>650</v>
      </c>
      <c r="D333" s="396" t="s">
        <v>156</v>
      </c>
      <c r="E333" s="392" t="s">
        <v>178</v>
      </c>
      <c r="F333" s="359">
        <v>0</v>
      </c>
      <c r="G333" s="359">
        <v>0.15</v>
      </c>
      <c r="H333" s="359">
        <v>0.15</v>
      </c>
      <c r="I333" s="359">
        <v>0</v>
      </c>
      <c r="J333" s="359">
        <v>0</v>
      </c>
      <c r="K333" s="359">
        <v>0.05</v>
      </c>
      <c r="L333" s="359">
        <v>0</v>
      </c>
      <c r="M333" s="359">
        <v>0</v>
      </c>
      <c r="N333" s="359">
        <v>0.05</v>
      </c>
      <c r="O333" s="359">
        <v>0</v>
      </c>
      <c r="P333" s="359">
        <v>0</v>
      </c>
      <c r="Q333" s="359">
        <v>0</v>
      </c>
      <c r="R333" s="359">
        <v>0</v>
      </c>
      <c r="S333" s="359">
        <v>0</v>
      </c>
      <c r="T333" s="359">
        <v>0</v>
      </c>
      <c r="U333" s="356" t="s">
        <v>628</v>
      </c>
      <c r="V333" s="356"/>
    </row>
    <row r="334" spans="2:22" x14ac:dyDescent="0.2">
      <c r="B334" s="392" t="str">
        <f t="shared" si="8"/>
        <v>Waste heat recovery system-UptakeNewbuild2020</v>
      </c>
      <c r="C334" s="392" t="s">
        <v>652</v>
      </c>
      <c r="D334" s="396" t="s">
        <v>156</v>
      </c>
      <c r="E334" s="392" t="s">
        <v>178</v>
      </c>
      <c r="F334" s="359">
        <v>0</v>
      </c>
      <c r="G334" s="359">
        <v>0</v>
      </c>
      <c r="H334" s="359">
        <v>0</v>
      </c>
      <c r="I334" s="359">
        <v>0</v>
      </c>
      <c r="J334" s="359">
        <v>0</v>
      </c>
      <c r="K334" s="359">
        <v>0</v>
      </c>
      <c r="L334" s="359">
        <v>0</v>
      </c>
      <c r="M334" s="359">
        <v>0</v>
      </c>
      <c r="N334" s="359">
        <v>0</v>
      </c>
      <c r="O334" s="359">
        <v>0</v>
      </c>
      <c r="P334" s="359">
        <v>0</v>
      </c>
      <c r="Q334" s="359">
        <v>0</v>
      </c>
      <c r="R334" s="359">
        <v>0</v>
      </c>
      <c r="S334" s="359">
        <v>0</v>
      </c>
      <c r="T334" s="359">
        <v>0</v>
      </c>
      <c r="U334" s="356" t="s">
        <v>651</v>
      </c>
      <c r="V334" s="356"/>
    </row>
    <row r="335" spans="2:22" x14ac:dyDescent="0.2">
      <c r="B335" s="392" t="str">
        <f t="shared" si="8"/>
        <v>Weather routing-CAPEX</v>
      </c>
      <c r="C335" s="392" t="s">
        <v>50</v>
      </c>
      <c r="D335" s="400" t="s">
        <v>136</v>
      </c>
      <c r="E335" s="392" t="s">
        <v>630</v>
      </c>
      <c r="F335" s="585" cm="1">
        <f t="array" aca="1" ref="F335" ca="1">IFERROR(
_xlfn.IFS(NewBuild_Retrofit_selector="Newbuild",INDEX($B$1:$V$408,MATCH($D335&amp;"-"&amp;"Installation cost",$B$1:$B$408,0),MATCH(F$3,$B$3:$V$3,0))/INDEX($B$1:$V$408,MATCH($D335&amp;"-"&amp;"Lifetime",$B$1:$B$408,0),MATCH(F$3,$B$3:$V$3,0)),
NewBuild_Retrofit_selector="Retrofit",(INDEX($B$1:$V$408,MATCH($D335&amp;"-"&amp;"Installation cost",$B$1:$B$408,0),MATCH(F$3,$B$3:$V$3,0))+INDEX($B$1:$V$408,MATCH($D335&amp;"-"&amp;"Extra retrofit cost",$B$1:$B$408,0),MATCH(F$3,$B$3:$V$3,0)))/INDEX($B$1:$V$408,MATCH($D335&amp;"-"&amp;"Lifetime",$B$1:$B$408,0),MATCH(F$3,$B$3:$V$3,0))),0)</f>
        <v>0</v>
      </c>
      <c r="G335" s="585" cm="1">
        <f t="array" aca="1" ref="G335" ca="1">IFERROR(
_xlfn.IFS(NewBuild_Retrofit_selector="Newbuild",INDEX($B$1:$V$408,MATCH($D335&amp;"-"&amp;"Installation cost",$B$1:$B$408,0),MATCH(G$3,$B$3:$V$3,0))/INDEX($B$1:$V$408,MATCH($D335&amp;"-"&amp;"Lifetime",$B$1:$B$408,0),MATCH(G$3,$B$3:$V$3,0)),
NewBuild_Retrofit_selector="Retrofit",(INDEX($B$1:$V$408,MATCH($D335&amp;"-"&amp;"Installation cost",$B$1:$B$408,0),MATCH(G$3,$B$3:$V$3,0))+INDEX($B$1:$V$408,MATCH($D335&amp;"-"&amp;"Extra retrofit cost",$B$1:$B$408,0),MATCH(G$3,$B$3:$V$3,0)))/INDEX($B$1:$V$408,MATCH($D335&amp;"-"&amp;"Lifetime",$B$1:$B$408,0),MATCH(G$3,$B$3:$V$3,0))),0)</f>
        <v>0</v>
      </c>
      <c r="H335" s="585" cm="1">
        <f t="array" aca="1" ref="H335" ca="1">IFERROR(
_xlfn.IFS(NewBuild_Retrofit_selector="Newbuild",INDEX($B$1:$V$408,MATCH($D335&amp;"-"&amp;"Installation cost",$B$1:$B$408,0),MATCH(H$3,$B$3:$V$3,0))/INDEX($B$1:$V$408,MATCH($D335&amp;"-"&amp;"Lifetime",$B$1:$B$408,0),MATCH(H$3,$B$3:$V$3,0)),
NewBuild_Retrofit_selector="Retrofit",(INDEX($B$1:$V$408,MATCH($D335&amp;"-"&amp;"Installation cost",$B$1:$B$408,0),MATCH(H$3,$B$3:$V$3,0))+INDEX($B$1:$V$408,MATCH($D335&amp;"-"&amp;"Extra retrofit cost",$B$1:$B$408,0),MATCH(H$3,$B$3:$V$3,0)))/INDEX($B$1:$V$408,MATCH($D335&amp;"-"&amp;"Lifetime",$B$1:$B$408,0),MATCH(H$3,$B$3:$V$3,0))),0)</f>
        <v>0</v>
      </c>
      <c r="I335" s="585" cm="1">
        <f t="array" aca="1" ref="I335" ca="1">IFERROR(
_xlfn.IFS(NewBuild_Retrofit_selector="Newbuild",INDEX($B$1:$V$408,MATCH($D335&amp;"-"&amp;"Installation cost",$B$1:$B$408,0),MATCH(I$3,$B$3:$V$3,0))/INDEX($B$1:$V$408,MATCH($D335&amp;"-"&amp;"Lifetime",$B$1:$B$408,0),MATCH(I$3,$B$3:$V$3,0)),
NewBuild_Retrofit_selector="Retrofit",(INDEX($B$1:$V$408,MATCH($D335&amp;"-"&amp;"Installation cost",$B$1:$B$408,0),MATCH(I$3,$B$3:$V$3,0))+INDEX($B$1:$V$408,MATCH($D335&amp;"-"&amp;"Extra retrofit cost",$B$1:$B$408,0),MATCH(I$3,$B$3:$V$3,0)))/INDEX($B$1:$V$408,MATCH($D335&amp;"-"&amp;"Lifetime",$B$1:$B$408,0),MATCH(I$3,$B$3:$V$3,0))),0)</f>
        <v>0</v>
      </c>
      <c r="J335" s="585" cm="1">
        <f t="array" aca="1" ref="J335" ca="1">IFERROR(
_xlfn.IFS(NewBuild_Retrofit_selector="Newbuild",INDEX($B$1:$V$408,MATCH($D335&amp;"-"&amp;"Installation cost",$B$1:$B$408,0),MATCH(J$3,$B$3:$V$3,0))/INDEX($B$1:$V$408,MATCH($D335&amp;"-"&amp;"Lifetime",$B$1:$B$408,0),MATCH(J$3,$B$3:$V$3,0)),
NewBuild_Retrofit_selector="Retrofit",(INDEX($B$1:$V$408,MATCH($D335&amp;"-"&amp;"Installation cost",$B$1:$B$408,0),MATCH(J$3,$B$3:$V$3,0))+INDEX($B$1:$V$408,MATCH($D335&amp;"-"&amp;"Extra retrofit cost",$B$1:$B$408,0),MATCH(J$3,$B$3:$V$3,0)))/INDEX($B$1:$V$408,MATCH($D335&amp;"-"&amp;"Lifetime",$B$1:$B$408,0),MATCH(J$3,$B$3:$V$3,0))),0)</f>
        <v>0</v>
      </c>
      <c r="K335" s="585" cm="1">
        <f t="array" aca="1" ref="K335" ca="1">IFERROR(
_xlfn.IFS(NewBuild_Retrofit_selector="Newbuild",INDEX($B$1:$V$408,MATCH($D335&amp;"-"&amp;"Installation cost",$B$1:$B$408,0),MATCH(K$3,$B$3:$V$3,0))/INDEX($B$1:$V$408,MATCH($D335&amp;"-"&amp;"Lifetime",$B$1:$B$408,0),MATCH(K$3,$B$3:$V$3,0)),
NewBuild_Retrofit_selector="Retrofit",(INDEX($B$1:$V$408,MATCH($D335&amp;"-"&amp;"Installation cost",$B$1:$B$408,0),MATCH(K$3,$B$3:$V$3,0))+INDEX($B$1:$V$408,MATCH($D335&amp;"-"&amp;"Extra retrofit cost",$B$1:$B$408,0),MATCH(K$3,$B$3:$V$3,0)))/INDEX($B$1:$V$408,MATCH($D335&amp;"-"&amp;"Lifetime",$B$1:$B$408,0),MATCH(K$3,$B$3:$V$3,0))),0)</f>
        <v>0</v>
      </c>
      <c r="L335" s="585" cm="1">
        <f t="array" aca="1" ref="L335" ca="1">IFERROR(
_xlfn.IFS(NewBuild_Retrofit_selector="Newbuild",INDEX($B$1:$V$408,MATCH($D335&amp;"-"&amp;"Installation cost",$B$1:$B$408,0),MATCH(L$3,$B$3:$V$3,0))/INDEX($B$1:$V$408,MATCH($D335&amp;"-"&amp;"Lifetime",$B$1:$B$408,0),MATCH(L$3,$B$3:$V$3,0)),
NewBuild_Retrofit_selector="Retrofit",(INDEX($B$1:$V$408,MATCH($D335&amp;"-"&amp;"Installation cost",$B$1:$B$408,0),MATCH(L$3,$B$3:$V$3,0))+INDEX($B$1:$V$408,MATCH($D335&amp;"-"&amp;"Extra retrofit cost",$B$1:$B$408,0),MATCH(L$3,$B$3:$V$3,0)))/INDEX($B$1:$V$408,MATCH($D335&amp;"-"&amp;"Lifetime",$B$1:$B$408,0),MATCH(L$3,$B$3:$V$3,0))),0)</f>
        <v>0</v>
      </c>
      <c r="M335" s="585" cm="1">
        <f t="array" aca="1" ref="M335" ca="1">IFERROR(
_xlfn.IFS(NewBuild_Retrofit_selector="Newbuild",INDEX($B$1:$V$408,MATCH($D335&amp;"-"&amp;"Installation cost",$B$1:$B$408,0),MATCH(M$3,$B$3:$V$3,0))/INDEX($B$1:$V$408,MATCH($D335&amp;"-"&amp;"Lifetime",$B$1:$B$408,0),MATCH(M$3,$B$3:$V$3,0)),
NewBuild_Retrofit_selector="Retrofit",(INDEX($B$1:$V$408,MATCH($D335&amp;"-"&amp;"Installation cost",$B$1:$B$408,0),MATCH(M$3,$B$3:$V$3,0))+INDEX($B$1:$V$408,MATCH($D335&amp;"-"&amp;"Extra retrofit cost",$B$1:$B$408,0),MATCH(M$3,$B$3:$V$3,0)))/INDEX($B$1:$V$408,MATCH($D335&amp;"-"&amp;"Lifetime",$B$1:$B$408,0),MATCH(M$3,$B$3:$V$3,0))),0)</f>
        <v>0</v>
      </c>
      <c r="N335" s="585" cm="1">
        <f t="array" aca="1" ref="N335" ca="1">IFERROR(
_xlfn.IFS(NewBuild_Retrofit_selector="Newbuild",INDEX($B$1:$V$408,MATCH($D335&amp;"-"&amp;"Installation cost",$B$1:$B$408,0),MATCH(N$3,$B$3:$V$3,0))/INDEX($B$1:$V$408,MATCH($D335&amp;"-"&amp;"Lifetime",$B$1:$B$408,0),MATCH(N$3,$B$3:$V$3,0)),
NewBuild_Retrofit_selector="Retrofit",(INDEX($B$1:$V$408,MATCH($D335&amp;"-"&amp;"Installation cost",$B$1:$B$408,0),MATCH(N$3,$B$3:$V$3,0))+INDEX($B$1:$V$408,MATCH($D335&amp;"-"&amp;"Extra retrofit cost",$B$1:$B$408,0),MATCH(N$3,$B$3:$V$3,0)))/INDEX($B$1:$V$408,MATCH($D335&amp;"-"&amp;"Lifetime",$B$1:$B$408,0),MATCH(N$3,$B$3:$V$3,0))),0)</f>
        <v>0</v>
      </c>
      <c r="O335" s="585" cm="1">
        <f t="array" aca="1" ref="O335" ca="1">IFERROR(
_xlfn.IFS(NewBuild_Retrofit_selector="Newbuild",INDEX($B$1:$V$408,MATCH($D335&amp;"-"&amp;"Installation cost",$B$1:$B$408,0),MATCH(O$3,$B$3:$V$3,0))/INDEX($B$1:$V$408,MATCH($D335&amp;"-"&amp;"Lifetime",$B$1:$B$408,0),MATCH(O$3,$B$3:$V$3,0)),
NewBuild_Retrofit_selector="Retrofit",(INDEX($B$1:$V$408,MATCH($D335&amp;"-"&amp;"Installation cost",$B$1:$B$408,0),MATCH(O$3,$B$3:$V$3,0))+INDEX($B$1:$V$408,MATCH($D335&amp;"-"&amp;"Extra retrofit cost",$B$1:$B$408,0),MATCH(O$3,$B$3:$V$3,0)))/INDEX($B$1:$V$408,MATCH($D335&amp;"-"&amp;"Lifetime",$B$1:$B$408,0),MATCH(O$3,$B$3:$V$3,0))),0)</f>
        <v>0</v>
      </c>
      <c r="P335" s="585" cm="1">
        <f t="array" aca="1" ref="P335" ca="1">IFERROR(
_xlfn.IFS(NewBuild_Retrofit_selector="Newbuild",INDEX($B$1:$V$408,MATCH($D335&amp;"-"&amp;"Installation cost",$B$1:$B$408,0),MATCH(P$3,$B$3:$V$3,0))/INDEX($B$1:$V$408,MATCH($D335&amp;"-"&amp;"Lifetime",$B$1:$B$408,0),MATCH(P$3,$B$3:$V$3,0)),
NewBuild_Retrofit_selector="Retrofit",(INDEX($B$1:$V$408,MATCH($D335&amp;"-"&amp;"Installation cost",$B$1:$B$408,0),MATCH(P$3,$B$3:$V$3,0))+INDEX($B$1:$V$408,MATCH($D335&amp;"-"&amp;"Extra retrofit cost",$B$1:$B$408,0),MATCH(P$3,$B$3:$V$3,0)))/INDEX($B$1:$V$408,MATCH($D335&amp;"-"&amp;"Lifetime",$B$1:$B$408,0),MATCH(P$3,$B$3:$V$3,0))),0)</f>
        <v>0</v>
      </c>
      <c r="Q335" s="585" cm="1">
        <f t="array" aca="1" ref="Q335" ca="1">IFERROR(
_xlfn.IFS(NewBuild_Retrofit_selector="Newbuild",INDEX($B$1:$V$408,MATCH($D335&amp;"-"&amp;"Installation cost",$B$1:$B$408,0),MATCH(Q$3,$B$3:$V$3,0))/INDEX($B$1:$V$408,MATCH($D335&amp;"-"&amp;"Lifetime",$B$1:$B$408,0),MATCH(Q$3,$B$3:$V$3,0)),
NewBuild_Retrofit_selector="Retrofit",(INDEX($B$1:$V$408,MATCH($D335&amp;"-"&amp;"Installation cost",$B$1:$B$408,0),MATCH(Q$3,$B$3:$V$3,0))+INDEX($B$1:$V$408,MATCH($D335&amp;"-"&amp;"Extra retrofit cost",$B$1:$B$408,0),MATCH(Q$3,$B$3:$V$3,0)))/INDEX($B$1:$V$408,MATCH($D335&amp;"-"&amp;"Lifetime",$B$1:$B$408,0),MATCH(Q$3,$B$3:$V$3,0))),0)</f>
        <v>0</v>
      </c>
      <c r="R335" s="585" cm="1">
        <f t="array" aca="1" ref="R335" ca="1">IFERROR(
_xlfn.IFS(NewBuild_Retrofit_selector="Newbuild",INDEX($B$1:$V$408,MATCH($D335&amp;"-"&amp;"Installation cost",$B$1:$B$408,0),MATCH(R$3,$B$3:$V$3,0))/INDEX($B$1:$V$408,MATCH($D335&amp;"-"&amp;"Lifetime",$B$1:$B$408,0),MATCH(R$3,$B$3:$V$3,0)),
NewBuild_Retrofit_selector="Retrofit",(INDEX($B$1:$V$408,MATCH($D335&amp;"-"&amp;"Installation cost",$B$1:$B$408,0),MATCH(R$3,$B$3:$V$3,0))+INDEX($B$1:$V$408,MATCH($D335&amp;"-"&amp;"Extra retrofit cost",$B$1:$B$408,0),MATCH(R$3,$B$3:$V$3,0)))/INDEX($B$1:$V$408,MATCH($D335&amp;"-"&amp;"Lifetime",$B$1:$B$408,0),MATCH(R$3,$B$3:$V$3,0))),0)</f>
        <v>0</v>
      </c>
      <c r="S335" s="585" cm="1">
        <f t="array" aca="1" ref="S335" ca="1">IFERROR(
_xlfn.IFS(NewBuild_Retrofit_selector="Newbuild",INDEX($B$1:$V$408,MATCH($D335&amp;"-"&amp;"Installation cost",$B$1:$B$408,0),MATCH(S$3,$B$3:$V$3,0))/INDEX($B$1:$V$408,MATCH($D335&amp;"-"&amp;"Lifetime",$B$1:$B$408,0),MATCH(S$3,$B$3:$V$3,0)),
NewBuild_Retrofit_selector="Retrofit",(INDEX($B$1:$V$408,MATCH($D335&amp;"-"&amp;"Installation cost",$B$1:$B$408,0),MATCH(S$3,$B$3:$V$3,0))+INDEX($B$1:$V$408,MATCH($D335&amp;"-"&amp;"Extra retrofit cost",$B$1:$B$408,0),MATCH(S$3,$B$3:$V$3,0)))/INDEX($B$1:$V$408,MATCH($D335&amp;"-"&amp;"Lifetime",$B$1:$B$408,0),MATCH(S$3,$B$3:$V$3,0))),0)</f>
        <v>0</v>
      </c>
      <c r="T335" s="585" cm="1">
        <f t="array" aca="1" ref="T335" ca="1">IFERROR(
_xlfn.IFS(NewBuild_Retrofit_selector="Newbuild",INDEX($B$1:$V$408,MATCH($D335&amp;"-"&amp;"Installation cost",$B$1:$B$408,0),MATCH(T$3,$B$3:$V$3,0))/INDEX($B$1:$V$408,MATCH($D335&amp;"-"&amp;"Lifetime",$B$1:$B$408,0),MATCH(T$3,$B$3:$V$3,0)),
NewBuild_Retrofit_selector="Retrofit",(INDEX($B$1:$V$408,MATCH($D335&amp;"-"&amp;"Installation cost",$B$1:$B$408,0),MATCH(T$3,$B$3:$V$3,0))+INDEX($B$1:$V$408,MATCH($D335&amp;"-"&amp;"Extra retrofit cost",$B$1:$B$408,0),MATCH(T$3,$B$3:$V$3,0)))/INDEX($B$1:$V$408,MATCH($D335&amp;"-"&amp;"Lifetime",$B$1:$B$408,0),MATCH(T$3,$B$3:$V$3,0))),0)</f>
        <v>0</v>
      </c>
      <c r="U335" s="356"/>
      <c r="V335" s="356"/>
    </row>
    <row r="336" spans="2:22" x14ac:dyDescent="0.2">
      <c r="B336" s="392" t="str">
        <f t="shared" si="8"/>
        <v>Weather routing-Extra retrofit cost</v>
      </c>
      <c r="C336" s="392" t="s">
        <v>634</v>
      </c>
      <c r="D336" s="396" t="s">
        <v>136</v>
      </c>
      <c r="E336" s="392" t="s">
        <v>635</v>
      </c>
      <c r="F336" s="585">
        <v>0</v>
      </c>
      <c r="G336" s="585">
        <v>0</v>
      </c>
      <c r="H336" s="585">
        <v>0</v>
      </c>
      <c r="I336" s="585">
        <v>0</v>
      </c>
      <c r="J336" s="585">
        <v>0</v>
      </c>
      <c r="K336" s="585">
        <v>0</v>
      </c>
      <c r="L336" s="585">
        <v>0</v>
      </c>
      <c r="M336" s="585">
        <v>0</v>
      </c>
      <c r="N336" s="585">
        <v>0</v>
      </c>
      <c r="O336" s="585">
        <v>0</v>
      </c>
      <c r="P336" s="585">
        <v>0</v>
      </c>
      <c r="Q336" s="585">
        <v>0</v>
      </c>
      <c r="R336" s="585">
        <v>0</v>
      </c>
      <c r="S336" s="585">
        <v>0</v>
      </c>
      <c r="T336" s="585">
        <v>0</v>
      </c>
      <c r="U336" s="356" t="s">
        <v>627</v>
      </c>
      <c r="V336" s="356"/>
    </row>
    <row r="337" spans="2:22" x14ac:dyDescent="0.2">
      <c r="B337" s="392" t="str">
        <f t="shared" si="8"/>
        <v>Weather routing-Applicable Retrofit</v>
      </c>
      <c r="C337" s="392" t="s">
        <v>629</v>
      </c>
      <c r="D337" s="396" t="s">
        <v>136</v>
      </c>
      <c r="E337" s="392" t="s">
        <v>622</v>
      </c>
      <c r="F337" s="356">
        <v>1</v>
      </c>
      <c r="G337" s="356">
        <v>1</v>
      </c>
      <c r="H337" s="356">
        <v>1</v>
      </c>
      <c r="I337" s="356">
        <v>1</v>
      </c>
      <c r="J337" s="356">
        <v>1</v>
      </c>
      <c r="K337" s="356">
        <v>1</v>
      </c>
      <c r="L337" s="356">
        <v>1</v>
      </c>
      <c r="M337" s="356">
        <v>1</v>
      </c>
      <c r="N337" s="356">
        <v>1</v>
      </c>
      <c r="O337" s="356">
        <v>1</v>
      </c>
      <c r="P337" s="356">
        <v>1</v>
      </c>
      <c r="Q337" s="356">
        <v>1</v>
      </c>
      <c r="R337" s="356">
        <v>1</v>
      </c>
      <c r="S337" s="356">
        <v>1</v>
      </c>
      <c r="T337" s="356">
        <v>1</v>
      </c>
      <c r="U337" s="356" t="s">
        <v>627</v>
      </c>
      <c r="V337" s="356"/>
    </row>
    <row r="338" spans="2:22" x14ac:dyDescent="0.2">
      <c r="B338" s="392" t="str">
        <f t="shared" si="8"/>
        <v>Weather routing-Applicable Newbuild</v>
      </c>
      <c r="C338" s="392" t="s">
        <v>621</v>
      </c>
      <c r="D338" s="396" t="s">
        <v>136</v>
      </c>
      <c r="E338" s="392" t="s">
        <v>622</v>
      </c>
      <c r="F338" s="356">
        <v>1</v>
      </c>
      <c r="G338" s="356">
        <v>1</v>
      </c>
      <c r="H338" s="356">
        <v>1</v>
      </c>
      <c r="I338" s="356">
        <v>1</v>
      </c>
      <c r="J338" s="356">
        <v>1</v>
      </c>
      <c r="K338" s="356">
        <v>1</v>
      </c>
      <c r="L338" s="356">
        <v>1</v>
      </c>
      <c r="M338" s="356">
        <v>1</v>
      </c>
      <c r="N338" s="356">
        <v>1</v>
      </c>
      <c r="O338" s="356">
        <v>1</v>
      </c>
      <c r="P338" s="356">
        <v>1</v>
      </c>
      <c r="Q338" s="356">
        <v>1</v>
      </c>
      <c r="R338" s="356">
        <v>1</v>
      </c>
      <c r="S338" s="356">
        <v>1</v>
      </c>
      <c r="T338" s="356">
        <v>1</v>
      </c>
      <c r="U338" s="356" t="s">
        <v>627</v>
      </c>
      <c r="V338" s="356"/>
    </row>
    <row r="339" spans="2:22" x14ac:dyDescent="0.2">
      <c r="B339" s="392" t="str">
        <f t="shared" si="8"/>
        <v>Weather routing-Installation cost</v>
      </c>
      <c r="C339" s="392" t="s">
        <v>452</v>
      </c>
      <c r="D339" s="396" t="s">
        <v>136</v>
      </c>
      <c r="E339" s="392" t="s">
        <v>635</v>
      </c>
      <c r="F339" s="585">
        <v>0</v>
      </c>
      <c r="G339" s="585">
        <v>0</v>
      </c>
      <c r="H339" s="585">
        <v>0</v>
      </c>
      <c r="I339" s="585">
        <v>0</v>
      </c>
      <c r="J339" s="585">
        <v>0</v>
      </c>
      <c r="K339" s="585">
        <v>0</v>
      </c>
      <c r="L339" s="585">
        <v>0</v>
      </c>
      <c r="M339" s="585">
        <v>0</v>
      </c>
      <c r="N339" s="585">
        <v>0</v>
      </c>
      <c r="O339" s="585">
        <v>0</v>
      </c>
      <c r="P339" s="585">
        <v>0</v>
      </c>
      <c r="Q339" s="585">
        <v>0</v>
      </c>
      <c r="R339" s="585">
        <v>0</v>
      </c>
      <c r="S339" s="585">
        <v>0</v>
      </c>
      <c r="T339" s="585">
        <v>0</v>
      </c>
      <c r="U339" s="356" t="s">
        <v>627</v>
      </c>
      <c r="V339" s="356"/>
    </row>
    <row r="340" spans="2:22" x14ac:dyDescent="0.2">
      <c r="B340" s="392" t="str">
        <f t="shared" si="8"/>
        <v>Weather routing-Lifetime</v>
      </c>
      <c r="C340" s="392" t="s">
        <v>520</v>
      </c>
      <c r="D340" s="396" t="s">
        <v>136</v>
      </c>
      <c r="E340" s="392" t="s">
        <v>176</v>
      </c>
      <c r="F340" s="356">
        <v>25</v>
      </c>
      <c r="G340" s="356">
        <v>25</v>
      </c>
      <c r="H340" s="356">
        <v>25</v>
      </c>
      <c r="I340" s="356">
        <v>25</v>
      </c>
      <c r="J340" s="356">
        <v>25</v>
      </c>
      <c r="K340" s="356">
        <v>25</v>
      </c>
      <c r="L340" s="356">
        <v>25</v>
      </c>
      <c r="M340" s="356">
        <v>25</v>
      </c>
      <c r="N340" s="356">
        <v>25</v>
      </c>
      <c r="O340" s="356">
        <v>25</v>
      </c>
      <c r="P340" s="356">
        <v>25</v>
      </c>
      <c r="Q340" s="356">
        <v>25</v>
      </c>
      <c r="R340" s="356">
        <v>25</v>
      </c>
      <c r="S340" s="356">
        <v>25</v>
      </c>
      <c r="T340" s="356">
        <v>25</v>
      </c>
      <c r="U340" s="356" t="s">
        <v>627</v>
      </c>
      <c r="V340" s="356"/>
    </row>
    <row r="341" spans="2:22" x14ac:dyDescent="0.2">
      <c r="B341" s="392" t="str">
        <f t="shared" si="8"/>
        <v>Weather routing-OPEX</v>
      </c>
      <c r="C341" s="392" t="s">
        <v>319</v>
      </c>
      <c r="D341" s="396" t="s">
        <v>136</v>
      </c>
      <c r="E341" s="392" t="s">
        <v>630</v>
      </c>
      <c r="F341" s="585">
        <v>10000</v>
      </c>
      <c r="G341" s="585">
        <v>10000</v>
      </c>
      <c r="H341" s="585">
        <v>10000</v>
      </c>
      <c r="I341" s="585">
        <v>10000</v>
      </c>
      <c r="J341" s="585">
        <v>10000</v>
      </c>
      <c r="K341" s="585">
        <v>10000</v>
      </c>
      <c r="L341" s="585">
        <v>10000</v>
      </c>
      <c r="M341" s="585">
        <v>10000</v>
      </c>
      <c r="N341" s="585">
        <v>10000</v>
      </c>
      <c r="O341" s="585">
        <v>10000</v>
      </c>
      <c r="P341" s="585">
        <v>10000</v>
      </c>
      <c r="Q341" s="585">
        <v>10000</v>
      </c>
      <c r="R341" s="585">
        <v>10000</v>
      </c>
      <c r="S341" s="585">
        <v>10000</v>
      </c>
      <c r="T341" s="585">
        <v>10000</v>
      </c>
      <c r="U341" s="356" t="s">
        <v>627</v>
      </c>
      <c r="V341" s="356"/>
    </row>
    <row r="342" spans="2:22" x14ac:dyDescent="0.2">
      <c r="B342" s="392" t="str">
        <f t="shared" si="8"/>
        <v>Weather routing-Saving</v>
      </c>
      <c r="C342" s="392" t="s">
        <v>458</v>
      </c>
      <c r="D342" s="396" t="s">
        <v>136</v>
      </c>
      <c r="E342" s="392" t="s">
        <v>178</v>
      </c>
      <c r="F342" s="359">
        <v>0.02</v>
      </c>
      <c r="G342" s="359">
        <v>0.02</v>
      </c>
      <c r="H342" s="359">
        <v>0.02</v>
      </c>
      <c r="I342" s="359">
        <v>0.02</v>
      </c>
      <c r="J342" s="359">
        <v>0.02</v>
      </c>
      <c r="K342" s="359">
        <v>0.02</v>
      </c>
      <c r="L342" s="359">
        <v>0.02</v>
      </c>
      <c r="M342" s="359">
        <v>0.02</v>
      </c>
      <c r="N342" s="359">
        <v>0.02</v>
      </c>
      <c r="O342" s="359">
        <v>0.02</v>
      </c>
      <c r="P342" s="359">
        <v>0.02</v>
      </c>
      <c r="Q342" s="359">
        <v>0.02</v>
      </c>
      <c r="R342" s="359">
        <v>0.02</v>
      </c>
      <c r="S342" s="359">
        <v>0.02</v>
      </c>
      <c r="T342" s="359">
        <v>0.02</v>
      </c>
      <c r="U342" s="356" t="s">
        <v>627</v>
      </c>
      <c r="V342" s="356"/>
    </row>
    <row r="343" spans="2:22" x14ac:dyDescent="0.2">
      <c r="B343" s="392" t="str">
        <f t="shared" si="8"/>
        <v>Weather routing-UptakeFleetAvg2020</v>
      </c>
      <c r="C343" s="392" t="s">
        <v>650</v>
      </c>
      <c r="D343" s="396" t="s">
        <v>136</v>
      </c>
      <c r="E343" s="392" t="s">
        <v>178</v>
      </c>
      <c r="F343" s="359">
        <v>0.5</v>
      </c>
      <c r="G343" s="359">
        <v>0.5</v>
      </c>
      <c r="H343" s="359">
        <v>0.5</v>
      </c>
      <c r="I343" s="359">
        <v>0.5</v>
      </c>
      <c r="J343" s="359">
        <v>0.5</v>
      </c>
      <c r="K343" s="359">
        <v>0.5</v>
      </c>
      <c r="L343" s="359">
        <v>0.5</v>
      </c>
      <c r="M343" s="359">
        <v>0.5</v>
      </c>
      <c r="N343" s="359">
        <v>0.5</v>
      </c>
      <c r="O343" s="359">
        <v>0.5</v>
      </c>
      <c r="P343" s="359">
        <v>0.5</v>
      </c>
      <c r="Q343" s="359">
        <v>0.5</v>
      </c>
      <c r="R343" s="359">
        <v>0.5</v>
      </c>
      <c r="S343" s="359">
        <v>0.5</v>
      </c>
      <c r="T343" s="359">
        <v>0.5</v>
      </c>
      <c r="U343" s="356" t="s">
        <v>627</v>
      </c>
      <c r="V343" s="356"/>
    </row>
    <row r="344" spans="2:22" x14ac:dyDescent="0.2">
      <c r="B344" s="392" t="str">
        <f t="shared" si="8"/>
        <v>Weather routing-UptakeNewbuild2020</v>
      </c>
      <c r="C344" s="392" t="s">
        <v>652</v>
      </c>
      <c r="D344" s="396" t="s">
        <v>136</v>
      </c>
      <c r="E344" s="392" t="s">
        <v>178</v>
      </c>
      <c r="F344" s="359">
        <v>0</v>
      </c>
      <c r="G344" s="359">
        <v>0</v>
      </c>
      <c r="H344" s="359">
        <v>0</v>
      </c>
      <c r="I344" s="359">
        <v>0</v>
      </c>
      <c r="J344" s="359">
        <v>0</v>
      </c>
      <c r="K344" s="359">
        <v>0</v>
      </c>
      <c r="L344" s="359">
        <v>0</v>
      </c>
      <c r="M344" s="359">
        <v>0</v>
      </c>
      <c r="N344" s="359">
        <v>0</v>
      </c>
      <c r="O344" s="359">
        <v>0</v>
      </c>
      <c r="P344" s="359">
        <v>0</v>
      </c>
      <c r="Q344" s="359">
        <v>0</v>
      </c>
      <c r="R344" s="359">
        <v>0</v>
      </c>
      <c r="S344" s="359">
        <v>0</v>
      </c>
      <c r="T344" s="359">
        <v>0</v>
      </c>
      <c r="U344" s="356"/>
      <c r="V344" s="356"/>
    </row>
    <row r="345" spans="2:22" ht="15" x14ac:dyDescent="0.25">
      <c r="B345" s="392" t="str">
        <f t="shared" si="8"/>
        <v>-</v>
      </c>
      <c r="C345" s="402"/>
      <c r="D345" s="403"/>
      <c r="E345" s="402"/>
      <c r="F345" s="352"/>
      <c r="G345" s="352"/>
      <c r="H345" s="352"/>
      <c r="I345" s="352"/>
      <c r="J345" s="352"/>
      <c r="K345" s="352"/>
      <c r="L345" s="352"/>
      <c r="M345" s="352"/>
      <c r="N345" s="352"/>
      <c r="O345" s="352"/>
      <c r="P345" s="352"/>
      <c r="Q345" s="352"/>
      <c r="R345" s="352"/>
      <c r="S345" s="352"/>
      <c r="T345" s="352"/>
      <c r="U345" s="356"/>
      <c r="V345" s="737"/>
    </row>
    <row r="346" spans="2:22" x14ac:dyDescent="0.2">
      <c r="B346" s="392" t="str">
        <f t="shared" si="8"/>
        <v>-</v>
      </c>
      <c r="C346" s="392"/>
      <c r="D346" s="396"/>
      <c r="E346" s="392"/>
      <c r="F346" s="356"/>
      <c r="G346" s="356"/>
      <c r="H346" s="356"/>
      <c r="I346" s="356"/>
      <c r="J346" s="356"/>
      <c r="K346" s="356"/>
      <c r="L346" s="356"/>
      <c r="M346" s="356"/>
      <c r="N346" s="356"/>
      <c r="O346" s="356"/>
      <c r="P346" s="356"/>
      <c r="Q346" s="356"/>
      <c r="R346" s="356"/>
      <c r="S346" s="356"/>
      <c r="T346" s="356"/>
      <c r="U346" s="356"/>
      <c r="V346" s="356"/>
    </row>
    <row r="347" spans="2:22" x14ac:dyDescent="0.2">
      <c r="B347" s="392" t="str">
        <f t="shared" si="8"/>
        <v>-</v>
      </c>
      <c r="C347" s="392"/>
      <c r="D347" s="396"/>
      <c r="E347" s="392"/>
      <c r="F347" s="356"/>
      <c r="G347" s="356"/>
      <c r="H347" s="356"/>
      <c r="I347" s="356"/>
      <c r="J347" s="356"/>
      <c r="K347" s="356"/>
      <c r="L347" s="356"/>
      <c r="M347" s="356"/>
      <c r="N347" s="356"/>
      <c r="O347" s="356"/>
      <c r="P347" s="356"/>
      <c r="Q347" s="356"/>
      <c r="R347" s="356"/>
      <c r="S347" s="356"/>
      <c r="T347" s="356"/>
      <c r="U347" s="356"/>
      <c r="V347" s="356"/>
    </row>
    <row r="348" spans="2:22" x14ac:dyDescent="0.2">
      <c r="B348" s="392" t="str">
        <f t="shared" si="8"/>
        <v>-</v>
      </c>
      <c r="C348" s="392"/>
      <c r="D348" s="396"/>
      <c r="E348" s="392"/>
      <c r="F348" s="356"/>
      <c r="G348" s="356"/>
      <c r="H348" s="356"/>
      <c r="I348" s="356"/>
      <c r="J348" s="356"/>
      <c r="K348" s="356"/>
      <c r="L348" s="356"/>
      <c r="M348" s="356"/>
      <c r="N348" s="356"/>
      <c r="O348" s="356"/>
      <c r="P348" s="356"/>
      <c r="Q348" s="356"/>
      <c r="R348" s="356"/>
      <c r="S348" s="356"/>
      <c r="T348" s="356"/>
      <c r="U348" s="356"/>
      <c r="V348" s="356"/>
    </row>
    <row r="349" spans="2:22" ht="15" x14ac:dyDescent="0.25">
      <c r="B349" s="392" t="str">
        <f t="shared" si="8"/>
        <v>-</v>
      </c>
      <c r="C349" s="402"/>
      <c r="D349" s="403"/>
      <c r="E349" s="402"/>
      <c r="F349" s="352"/>
      <c r="G349" s="352"/>
      <c r="H349" s="352"/>
      <c r="I349" s="352"/>
      <c r="J349" s="352"/>
      <c r="K349" s="352"/>
      <c r="L349" s="352"/>
      <c r="M349" s="352"/>
      <c r="N349" s="352"/>
      <c r="O349" s="352"/>
      <c r="P349" s="352"/>
      <c r="Q349" s="352"/>
      <c r="R349" s="352"/>
      <c r="S349" s="352"/>
      <c r="T349" s="352"/>
      <c r="U349" s="356"/>
      <c r="V349" s="737"/>
    </row>
    <row r="350" spans="2:22" x14ac:dyDescent="0.2">
      <c r="B350" s="392" t="str">
        <f t="shared" si="8"/>
        <v>-</v>
      </c>
      <c r="C350" s="392"/>
      <c r="D350" s="396"/>
      <c r="E350" s="392"/>
      <c r="F350" s="356"/>
      <c r="G350" s="356"/>
      <c r="H350" s="356"/>
      <c r="I350" s="356"/>
      <c r="J350" s="356"/>
      <c r="K350" s="356"/>
      <c r="L350" s="356"/>
      <c r="M350" s="356"/>
      <c r="N350" s="356"/>
      <c r="O350" s="356"/>
      <c r="P350" s="356"/>
      <c r="Q350" s="356"/>
      <c r="R350" s="356"/>
      <c r="S350" s="356"/>
      <c r="T350" s="356"/>
      <c r="U350" s="356"/>
      <c r="V350" s="356"/>
    </row>
    <row r="351" spans="2:22" x14ac:dyDescent="0.2">
      <c r="B351" s="392" t="str">
        <f t="shared" si="8"/>
        <v>-</v>
      </c>
      <c r="C351" s="392"/>
      <c r="D351" s="396"/>
      <c r="E351" s="392"/>
      <c r="F351" s="356"/>
      <c r="G351" s="356"/>
      <c r="H351" s="356"/>
      <c r="I351" s="356"/>
      <c r="J351" s="356"/>
      <c r="K351" s="356"/>
      <c r="L351" s="356"/>
      <c r="M351" s="356"/>
      <c r="N351" s="356"/>
      <c r="O351" s="356"/>
      <c r="P351" s="356"/>
      <c r="Q351" s="356"/>
      <c r="R351" s="356"/>
      <c r="S351" s="356"/>
      <c r="T351" s="356"/>
      <c r="U351" s="356"/>
      <c r="V351" s="356"/>
    </row>
    <row r="352" spans="2:22" x14ac:dyDescent="0.2">
      <c r="B352" s="392" t="str">
        <f t="shared" si="8"/>
        <v>-</v>
      </c>
      <c r="C352" s="392"/>
      <c r="D352" s="396"/>
      <c r="E352" s="392"/>
      <c r="F352" s="356"/>
      <c r="G352" s="356"/>
      <c r="H352" s="356"/>
      <c r="I352" s="356"/>
      <c r="J352" s="356"/>
      <c r="K352" s="356"/>
      <c r="L352" s="356"/>
      <c r="M352" s="356"/>
      <c r="N352" s="356"/>
      <c r="O352" s="356"/>
      <c r="P352" s="356"/>
      <c r="Q352" s="356"/>
      <c r="R352" s="356"/>
      <c r="S352" s="356"/>
      <c r="T352" s="356"/>
      <c r="U352" s="356"/>
      <c r="V352" s="356"/>
    </row>
    <row r="353" spans="2:22" ht="15" x14ac:dyDescent="0.25">
      <c r="B353" s="392" t="str">
        <f t="shared" si="8"/>
        <v>-</v>
      </c>
      <c r="C353" s="402"/>
      <c r="D353" s="403"/>
      <c r="E353" s="402"/>
      <c r="F353" s="352"/>
      <c r="G353" s="352"/>
      <c r="H353" s="352"/>
      <c r="I353" s="352"/>
      <c r="J353" s="352"/>
      <c r="K353" s="352"/>
      <c r="L353" s="352"/>
      <c r="M353" s="352"/>
      <c r="N353" s="352"/>
      <c r="O353" s="352"/>
      <c r="P353" s="352"/>
      <c r="Q353" s="352"/>
      <c r="R353" s="352"/>
      <c r="S353" s="352"/>
      <c r="T353" s="352"/>
      <c r="U353" s="356"/>
      <c r="V353" s="737"/>
    </row>
    <row r="354" spans="2:22" x14ac:dyDescent="0.2">
      <c r="B354" s="392" t="str">
        <f t="shared" si="8"/>
        <v>-</v>
      </c>
      <c r="C354" s="392"/>
      <c r="D354" s="396"/>
      <c r="E354" s="392"/>
      <c r="F354" s="585"/>
      <c r="G354" s="585"/>
      <c r="H354" s="585"/>
      <c r="I354" s="585"/>
      <c r="J354" s="585"/>
      <c r="K354" s="585"/>
      <c r="L354" s="585"/>
      <c r="M354" s="585"/>
      <c r="N354" s="585"/>
      <c r="O354" s="585"/>
      <c r="P354" s="585"/>
      <c r="Q354" s="585"/>
      <c r="R354" s="585"/>
      <c r="S354" s="585"/>
      <c r="T354" s="585"/>
      <c r="U354" s="356"/>
      <c r="V354" s="356"/>
    </row>
    <row r="355" spans="2:22" x14ac:dyDescent="0.2">
      <c r="B355" s="392" t="str">
        <f t="shared" si="8"/>
        <v>-</v>
      </c>
      <c r="C355" s="392"/>
      <c r="D355" s="396"/>
      <c r="E355" s="392"/>
      <c r="F355" s="585"/>
      <c r="G355" s="585"/>
      <c r="H355" s="585"/>
      <c r="I355" s="585"/>
      <c r="J355" s="585"/>
      <c r="K355" s="585"/>
      <c r="L355" s="585"/>
      <c r="M355" s="585"/>
      <c r="N355" s="585"/>
      <c r="O355" s="585"/>
      <c r="P355" s="585"/>
      <c r="Q355" s="585"/>
      <c r="R355" s="585"/>
      <c r="S355" s="585"/>
      <c r="T355" s="585"/>
      <c r="U355" s="356"/>
      <c r="V355" s="356"/>
    </row>
    <row r="356" spans="2:22" x14ac:dyDescent="0.2">
      <c r="B356" s="392" t="str">
        <f t="shared" si="8"/>
        <v>-</v>
      </c>
      <c r="C356" s="392"/>
      <c r="D356" s="396"/>
      <c r="E356" s="392"/>
      <c r="F356" s="585"/>
      <c r="G356" s="585"/>
      <c r="H356" s="585"/>
      <c r="I356" s="585"/>
      <c r="J356" s="585"/>
      <c r="K356" s="585"/>
      <c r="L356" s="585"/>
      <c r="M356" s="585"/>
      <c r="N356" s="585"/>
      <c r="O356" s="585"/>
      <c r="P356" s="585"/>
      <c r="Q356" s="585"/>
      <c r="R356" s="585"/>
      <c r="S356" s="585"/>
      <c r="T356" s="585"/>
      <c r="U356" s="356"/>
      <c r="V356" s="356"/>
    </row>
    <row r="357" spans="2:22" x14ac:dyDescent="0.2">
      <c r="B357" s="392" t="str">
        <f t="shared" si="8"/>
        <v>-</v>
      </c>
      <c r="C357" s="392"/>
      <c r="D357" s="396"/>
      <c r="E357" s="392"/>
      <c r="F357" s="585"/>
      <c r="G357" s="585"/>
      <c r="H357" s="585"/>
      <c r="I357" s="585"/>
      <c r="J357" s="585"/>
      <c r="K357" s="585"/>
      <c r="L357" s="585"/>
      <c r="M357" s="585"/>
      <c r="N357" s="585"/>
      <c r="O357" s="585"/>
      <c r="P357" s="585"/>
      <c r="Q357" s="585"/>
      <c r="R357" s="585"/>
      <c r="S357" s="585"/>
      <c r="T357" s="585"/>
      <c r="U357" s="356"/>
      <c r="V357" s="356"/>
    </row>
    <row r="358" spans="2:22" x14ac:dyDescent="0.2">
      <c r="B358" s="392" t="str">
        <f t="shared" si="8"/>
        <v>-</v>
      </c>
      <c r="C358" s="392"/>
      <c r="D358" s="396"/>
      <c r="E358" s="392"/>
      <c r="F358" s="585"/>
      <c r="G358" s="585"/>
      <c r="H358" s="585"/>
      <c r="I358" s="585"/>
      <c r="J358" s="585"/>
      <c r="K358" s="585"/>
      <c r="L358" s="585"/>
      <c r="M358" s="585"/>
      <c r="N358" s="585"/>
      <c r="O358" s="585"/>
      <c r="P358" s="585"/>
      <c r="Q358" s="585"/>
      <c r="R358" s="585"/>
      <c r="S358" s="585"/>
      <c r="T358" s="585"/>
      <c r="U358" s="356"/>
      <c r="V358" s="356"/>
    </row>
    <row r="359" spans="2:22" ht="15" x14ac:dyDescent="0.25">
      <c r="B359" s="392" t="str">
        <f t="shared" si="8"/>
        <v>-</v>
      </c>
      <c r="C359" s="402"/>
      <c r="D359" s="403"/>
      <c r="E359" s="402"/>
      <c r="F359" s="352"/>
      <c r="G359" s="352"/>
      <c r="H359" s="352"/>
      <c r="I359" s="352"/>
      <c r="J359" s="352"/>
      <c r="K359" s="352"/>
      <c r="L359" s="352"/>
      <c r="M359" s="352"/>
      <c r="N359" s="352"/>
      <c r="O359" s="352"/>
      <c r="P359" s="352"/>
      <c r="Q359" s="352"/>
      <c r="R359" s="352"/>
      <c r="S359" s="352"/>
      <c r="T359" s="352"/>
      <c r="U359" s="356"/>
      <c r="V359" s="737"/>
    </row>
    <row r="360" spans="2:22" x14ac:dyDescent="0.2">
      <c r="B360" s="392" t="str">
        <f t="shared" si="8"/>
        <v>-</v>
      </c>
      <c r="C360" s="392"/>
      <c r="D360" s="396"/>
      <c r="E360" s="392"/>
      <c r="F360" s="585"/>
      <c r="G360" s="585"/>
      <c r="H360" s="585"/>
      <c r="I360" s="585"/>
      <c r="J360" s="585"/>
      <c r="K360" s="585"/>
      <c r="L360" s="585"/>
      <c r="M360" s="585"/>
      <c r="N360" s="585"/>
      <c r="O360" s="585"/>
      <c r="P360" s="585"/>
      <c r="Q360" s="585"/>
      <c r="R360" s="585"/>
      <c r="S360" s="585"/>
      <c r="T360" s="585"/>
      <c r="U360" s="356"/>
      <c r="V360" s="356"/>
    </row>
    <row r="361" spans="2:22" x14ac:dyDescent="0.2">
      <c r="B361" s="392" t="str">
        <f t="shared" si="8"/>
        <v>-</v>
      </c>
      <c r="C361" s="392"/>
      <c r="D361" s="396"/>
      <c r="E361" s="392"/>
      <c r="F361" s="585"/>
      <c r="G361" s="585"/>
      <c r="H361" s="585"/>
      <c r="I361" s="585"/>
      <c r="J361" s="585"/>
      <c r="K361" s="585"/>
      <c r="L361" s="585"/>
      <c r="M361" s="585"/>
      <c r="N361" s="585"/>
      <c r="O361" s="585"/>
      <c r="P361" s="585"/>
      <c r="Q361" s="585"/>
      <c r="R361" s="585"/>
      <c r="S361" s="585"/>
      <c r="T361" s="585"/>
      <c r="U361" s="356"/>
      <c r="V361" s="356"/>
    </row>
    <row r="362" spans="2:22" x14ac:dyDescent="0.2">
      <c r="B362" s="392" t="str">
        <f t="shared" si="8"/>
        <v>-</v>
      </c>
      <c r="C362" s="392"/>
      <c r="D362" s="401"/>
      <c r="E362" s="392"/>
      <c r="F362" s="585"/>
      <c r="G362" s="585"/>
      <c r="H362" s="585"/>
      <c r="I362" s="585"/>
      <c r="J362" s="585"/>
      <c r="K362" s="585"/>
      <c r="L362" s="585"/>
      <c r="M362" s="585"/>
      <c r="N362" s="585"/>
      <c r="O362" s="585"/>
      <c r="P362" s="585"/>
      <c r="Q362" s="585"/>
      <c r="R362" s="585"/>
      <c r="S362" s="585"/>
      <c r="T362" s="585"/>
      <c r="U362" s="356"/>
      <c r="V362" s="356"/>
    </row>
    <row r="363" spans="2:22" x14ac:dyDescent="0.2">
      <c r="B363" s="392" t="str">
        <f t="shared" si="8"/>
        <v>-</v>
      </c>
      <c r="C363" s="392"/>
      <c r="D363" s="396"/>
      <c r="E363" s="392"/>
      <c r="F363" s="585"/>
      <c r="G363" s="585"/>
      <c r="H363" s="585"/>
      <c r="I363" s="585"/>
      <c r="J363" s="585"/>
      <c r="K363" s="585"/>
      <c r="L363" s="585"/>
      <c r="M363" s="585"/>
      <c r="N363" s="585"/>
      <c r="O363" s="585"/>
      <c r="P363" s="585"/>
      <c r="Q363" s="585"/>
      <c r="R363" s="585"/>
      <c r="S363" s="585"/>
      <c r="T363" s="585"/>
      <c r="U363" s="356"/>
      <c r="V363" s="356"/>
    </row>
    <row r="364" spans="2:22" ht="15" x14ac:dyDescent="0.25">
      <c r="B364" s="392" t="str">
        <f t="shared" si="8"/>
        <v>-</v>
      </c>
      <c r="C364" s="402"/>
      <c r="D364" s="404"/>
      <c r="E364" s="402"/>
      <c r="F364" s="352"/>
      <c r="G364" s="352"/>
      <c r="H364" s="352"/>
      <c r="I364" s="352"/>
      <c r="J364" s="352"/>
      <c r="K364" s="352"/>
      <c r="L364" s="352"/>
      <c r="M364" s="352"/>
      <c r="N364" s="352"/>
      <c r="O364" s="352"/>
      <c r="P364" s="352"/>
      <c r="Q364" s="352"/>
      <c r="R364" s="352"/>
      <c r="S364" s="352"/>
      <c r="T364" s="352"/>
      <c r="U364" s="356"/>
      <c r="V364" s="737"/>
    </row>
    <row r="365" spans="2:22" x14ac:dyDescent="0.2">
      <c r="B365" s="392" t="str">
        <f t="shared" si="8"/>
        <v>-</v>
      </c>
      <c r="C365" s="392"/>
      <c r="D365" s="392"/>
      <c r="E365" s="392"/>
      <c r="F365" s="585"/>
      <c r="G365" s="585"/>
      <c r="H365" s="585"/>
      <c r="I365" s="585"/>
      <c r="J365" s="585"/>
      <c r="K365" s="585"/>
      <c r="L365" s="585"/>
      <c r="M365" s="585"/>
      <c r="N365" s="585"/>
      <c r="O365" s="585"/>
      <c r="P365" s="585"/>
      <c r="Q365" s="585"/>
      <c r="R365" s="585"/>
      <c r="S365" s="585"/>
      <c r="T365" s="585"/>
      <c r="U365" s="356"/>
      <c r="V365" s="356"/>
    </row>
    <row r="366" spans="2:22" x14ac:dyDescent="0.2">
      <c r="B366" s="392" t="str">
        <f t="shared" si="8"/>
        <v>-</v>
      </c>
      <c r="C366" s="392"/>
      <c r="D366" s="392"/>
      <c r="E366" s="392"/>
      <c r="F366" s="585"/>
      <c r="G366" s="585"/>
      <c r="H366" s="585"/>
      <c r="I366" s="585"/>
      <c r="J366" s="585"/>
      <c r="K366" s="585"/>
      <c r="L366" s="585"/>
      <c r="M366" s="585"/>
      <c r="N366" s="585"/>
      <c r="O366" s="585"/>
      <c r="P366" s="585"/>
      <c r="Q366" s="585"/>
      <c r="R366" s="585"/>
      <c r="S366" s="585"/>
      <c r="T366" s="585"/>
      <c r="U366" s="356"/>
      <c r="V366" s="356"/>
    </row>
    <row r="367" spans="2:22" x14ac:dyDescent="0.2">
      <c r="B367" s="392" t="str">
        <f t="shared" si="8"/>
        <v>-</v>
      </c>
      <c r="C367" s="392"/>
      <c r="D367" s="392"/>
      <c r="E367" s="392"/>
      <c r="F367" s="585"/>
      <c r="G367" s="585"/>
      <c r="H367" s="585"/>
      <c r="I367" s="585"/>
      <c r="J367" s="585"/>
      <c r="K367" s="585"/>
      <c r="L367" s="585"/>
      <c r="M367" s="585"/>
      <c r="N367" s="585"/>
      <c r="O367" s="585"/>
      <c r="P367" s="585"/>
      <c r="Q367" s="585"/>
      <c r="R367" s="585"/>
      <c r="S367" s="585"/>
      <c r="T367" s="585"/>
      <c r="U367" s="356"/>
      <c r="V367" s="356"/>
    </row>
    <row r="368" spans="2:22" x14ac:dyDescent="0.2">
      <c r="B368" s="392" t="str">
        <f t="shared" si="8"/>
        <v>-</v>
      </c>
      <c r="C368" s="392"/>
      <c r="D368" s="392"/>
      <c r="E368" s="392"/>
      <c r="F368" s="585"/>
      <c r="G368" s="585"/>
      <c r="H368" s="585"/>
      <c r="I368" s="585"/>
      <c r="J368" s="585"/>
      <c r="K368" s="585"/>
      <c r="L368" s="585"/>
      <c r="M368" s="585"/>
      <c r="N368" s="585"/>
      <c r="O368" s="585"/>
      <c r="P368" s="585"/>
      <c r="Q368" s="585"/>
      <c r="R368" s="585"/>
      <c r="S368" s="585"/>
      <c r="T368" s="585"/>
      <c r="U368" s="356"/>
      <c r="V368" s="356"/>
    </row>
    <row r="369" spans="2:28" ht="15" x14ac:dyDescent="0.25">
      <c r="B369" s="392" t="str">
        <f t="shared" si="8"/>
        <v>-</v>
      </c>
      <c r="C369" s="392"/>
      <c r="D369" s="392"/>
      <c r="E369" s="392"/>
      <c r="F369" s="585"/>
      <c r="G369" s="585"/>
      <c r="H369" s="585"/>
      <c r="I369" s="585"/>
      <c r="J369" s="585"/>
      <c r="K369" s="585"/>
      <c r="L369" s="585"/>
      <c r="M369" s="585"/>
      <c r="N369" s="585"/>
      <c r="O369" s="585"/>
      <c r="P369" s="585"/>
      <c r="Q369" s="585"/>
      <c r="R369" s="585"/>
      <c r="S369" s="585"/>
      <c r="T369" s="585"/>
      <c r="U369" s="356"/>
      <c r="V369" s="356"/>
      <c r="X369" s="30" t="s">
        <v>651</v>
      </c>
    </row>
    <row r="370" spans="2:28" ht="15" x14ac:dyDescent="0.25">
      <c r="B370" s="392" t="str">
        <f t="shared" si="8"/>
        <v>-</v>
      </c>
      <c r="C370" s="392"/>
      <c r="D370" s="392"/>
      <c r="E370" s="392"/>
      <c r="F370" s="585"/>
      <c r="G370" s="585"/>
      <c r="H370" s="585"/>
      <c r="I370" s="585"/>
      <c r="J370" s="585"/>
      <c r="K370" s="585"/>
      <c r="L370" s="585"/>
      <c r="M370" s="585"/>
      <c r="N370" s="585"/>
      <c r="O370" s="585"/>
      <c r="P370" s="585"/>
      <c r="Q370" s="585"/>
      <c r="R370" s="585"/>
      <c r="S370" s="585"/>
      <c r="T370" s="585"/>
      <c r="U370" s="356"/>
      <c r="V370" s="356"/>
      <c r="X370" s="405">
        <v>2020</v>
      </c>
      <c r="Y370" s="405">
        <v>2030</v>
      </c>
      <c r="Z370" s="405">
        <v>2050</v>
      </c>
      <c r="AA370" s="405">
        <v>2030</v>
      </c>
      <c r="AB370" s="405">
        <v>2050</v>
      </c>
    </row>
    <row r="371" spans="2:28" ht="15" x14ac:dyDescent="0.25">
      <c r="B371" s="392" t="str">
        <f t="shared" si="8"/>
        <v>-</v>
      </c>
      <c r="C371" s="392"/>
      <c r="D371" s="392"/>
      <c r="E371" s="392"/>
      <c r="F371" s="585"/>
      <c r="G371" s="585"/>
      <c r="H371" s="585"/>
      <c r="I371" s="585"/>
      <c r="J371" s="585"/>
      <c r="K371" s="585"/>
      <c r="L371" s="585"/>
      <c r="M371" s="585"/>
      <c r="N371" s="585"/>
      <c r="O371" s="585"/>
      <c r="P371" s="585"/>
      <c r="Q371" s="585"/>
      <c r="R371" s="585"/>
      <c r="S371" s="585"/>
      <c r="T371" s="585"/>
      <c r="U371" s="356"/>
      <c r="V371" s="356"/>
      <c r="X371" s="406" t="s">
        <v>653</v>
      </c>
      <c r="Y371" s="406" t="s">
        <v>654</v>
      </c>
      <c r="Z371" s="406" t="s">
        <v>655</v>
      </c>
      <c r="AA371" s="406" t="s">
        <v>654</v>
      </c>
      <c r="AB371" s="406" t="s">
        <v>655</v>
      </c>
    </row>
    <row r="372" spans="2:28" ht="15" x14ac:dyDescent="0.25">
      <c r="B372" s="392" t="str">
        <f t="shared" si="8"/>
        <v>-</v>
      </c>
      <c r="C372" s="402"/>
      <c r="D372" s="403"/>
      <c r="E372" s="402"/>
      <c r="F372" s="352"/>
      <c r="G372" s="352"/>
      <c r="H372" s="352"/>
      <c r="I372" s="352"/>
      <c r="J372" s="352"/>
      <c r="K372" s="352"/>
      <c r="L372" s="352"/>
      <c r="M372" s="352"/>
      <c r="N372" s="352"/>
      <c r="O372" s="352"/>
      <c r="P372" s="352"/>
      <c r="Q372" s="352"/>
      <c r="R372" s="352"/>
      <c r="S372" s="352"/>
      <c r="T372" s="352"/>
      <c r="U372" s="356"/>
      <c r="V372" s="737"/>
      <c r="X372" s="75"/>
      <c r="Y372" s="75"/>
      <c r="Z372" s="75"/>
      <c r="AA372" s="75"/>
      <c r="AB372" s="75"/>
    </row>
    <row r="373" spans="2:28" x14ac:dyDescent="0.2">
      <c r="B373" s="392" t="str">
        <f t="shared" si="8"/>
        <v>-</v>
      </c>
      <c r="C373" s="392"/>
      <c r="D373" s="396"/>
      <c r="E373" s="392"/>
      <c r="F373" s="585"/>
      <c r="G373" s="585"/>
      <c r="H373" s="585"/>
      <c r="I373" s="585"/>
      <c r="J373" s="585"/>
      <c r="K373" s="585"/>
      <c r="L373" s="585"/>
      <c r="M373" s="585"/>
      <c r="N373" s="585"/>
      <c r="O373" s="585"/>
      <c r="P373" s="585"/>
      <c r="Q373" s="585"/>
      <c r="R373" s="585"/>
      <c r="S373" s="585"/>
      <c r="T373" s="585"/>
      <c r="U373" s="356"/>
      <c r="V373" s="356"/>
      <c r="X373" s="75"/>
      <c r="Y373" s="75"/>
      <c r="Z373" s="75"/>
      <c r="AA373" s="75"/>
      <c r="AB373" s="75"/>
    </row>
    <row r="374" spans="2:28" x14ac:dyDescent="0.2">
      <c r="B374" s="392" t="str">
        <f t="shared" si="8"/>
        <v>-</v>
      </c>
      <c r="C374" s="392"/>
      <c r="D374" s="396"/>
      <c r="E374" s="392"/>
      <c r="F374" s="585"/>
      <c r="G374" s="585"/>
      <c r="H374" s="585"/>
      <c r="I374" s="585"/>
      <c r="J374" s="585"/>
      <c r="K374" s="585"/>
      <c r="L374" s="585"/>
      <c r="M374" s="585"/>
      <c r="N374" s="585"/>
      <c r="O374" s="585"/>
      <c r="P374" s="585"/>
      <c r="Q374" s="585"/>
      <c r="R374" s="585"/>
      <c r="S374" s="585"/>
      <c r="T374" s="585"/>
      <c r="U374" s="356"/>
      <c r="V374" s="356"/>
      <c r="X374" s="75"/>
      <c r="Y374" s="75"/>
      <c r="Z374" s="75"/>
      <c r="AA374" s="75"/>
      <c r="AB374" s="75"/>
    </row>
    <row r="375" spans="2:28" x14ac:dyDescent="0.2">
      <c r="B375" s="392" t="str">
        <f t="shared" si="8"/>
        <v>-</v>
      </c>
      <c r="C375" s="392"/>
      <c r="D375" s="396"/>
      <c r="E375" s="392"/>
      <c r="F375" s="585"/>
      <c r="G375" s="585"/>
      <c r="H375" s="585"/>
      <c r="I375" s="585"/>
      <c r="J375" s="585"/>
      <c r="K375" s="585"/>
      <c r="L375" s="585"/>
      <c r="M375" s="585"/>
      <c r="N375" s="585"/>
      <c r="O375" s="585"/>
      <c r="P375" s="585"/>
      <c r="Q375" s="585"/>
      <c r="R375" s="585"/>
      <c r="S375" s="585"/>
      <c r="T375" s="585"/>
      <c r="U375" s="356"/>
      <c r="V375" s="356"/>
      <c r="X375" s="75"/>
      <c r="Y375" s="75"/>
      <c r="Z375" s="75"/>
      <c r="AA375" s="75"/>
      <c r="AB375" s="75"/>
    </row>
    <row r="376" spans="2:28" x14ac:dyDescent="0.2">
      <c r="B376" s="392" t="str">
        <f t="shared" si="8"/>
        <v>-</v>
      </c>
      <c r="C376" s="392"/>
      <c r="D376" s="400"/>
      <c r="E376" s="392"/>
      <c r="F376" s="585"/>
      <c r="G376" s="585"/>
      <c r="H376" s="585"/>
      <c r="I376" s="585"/>
      <c r="J376" s="585"/>
      <c r="K376" s="585"/>
      <c r="L376" s="585"/>
      <c r="M376" s="585"/>
      <c r="N376" s="585"/>
      <c r="O376" s="585"/>
      <c r="P376" s="585"/>
      <c r="Q376" s="585"/>
      <c r="R376" s="585"/>
      <c r="S376" s="585"/>
      <c r="T376" s="585"/>
      <c r="U376" s="356"/>
      <c r="V376" s="356"/>
      <c r="X376" s="75">
        <v>0.75</v>
      </c>
      <c r="Y376" s="75">
        <v>1</v>
      </c>
      <c r="Z376" s="75">
        <v>1</v>
      </c>
      <c r="AA376" s="75">
        <v>0.8</v>
      </c>
      <c r="AB376" s="75">
        <v>1</v>
      </c>
    </row>
    <row r="377" spans="2:28" x14ac:dyDescent="0.2">
      <c r="B377" s="392" t="str">
        <f t="shared" si="8"/>
        <v>-</v>
      </c>
      <c r="C377" s="392"/>
      <c r="D377" s="396"/>
      <c r="E377" s="392"/>
      <c r="F377" s="585"/>
      <c r="G377" s="585"/>
      <c r="H377" s="585"/>
      <c r="I377" s="585"/>
      <c r="J377" s="585"/>
      <c r="K377" s="585"/>
      <c r="L377" s="585"/>
      <c r="M377" s="585"/>
      <c r="N377" s="585"/>
      <c r="O377" s="585"/>
      <c r="P377" s="585"/>
      <c r="Q377" s="585"/>
      <c r="R377" s="585"/>
      <c r="S377" s="585"/>
      <c r="T377" s="585"/>
      <c r="U377" s="356"/>
      <c r="V377" s="356"/>
      <c r="X377" s="75"/>
      <c r="Y377" s="75"/>
      <c r="Z377" s="75"/>
      <c r="AA377" s="75"/>
      <c r="AB377" s="75"/>
    </row>
    <row r="378" spans="2:28" x14ac:dyDescent="0.2">
      <c r="B378" s="392" t="str">
        <f t="shared" si="8"/>
        <v>-</v>
      </c>
      <c r="C378" s="392"/>
      <c r="D378" s="396"/>
      <c r="E378" s="392"/>
      <c r="F378" s="585"/>
      <c r="G378" s="585"/>
      <c r="H378" s="585"/>
      <c r="I378" s="585"/>
      <c r="J378" s="585"/>
      <c r="K378" s="585"/>
      <c r="L378" s="585"/>
      <c r="M378" s="585"/>
      <c r="N378" s="585"/>
      <c r="O378" s="585"/>
      <c r="P378" s="585"/>
      <c r="Q378" s="585"/>
      <c r="R378" s="585"/>
      <c r="S378" s="585"/>
      <c r="T378" s="585"/>
      <c r="U378" s="356"/>
      <c r="V378" s="356"/>
      <c r="X378" s="75"/>
      <c r="Y378" s="75"/>
      <c r="Z378" s="75"/>
      <c r="AA378" s="75"/>
      <c r="AB378" s="75"/>
    </row>
    <row r="379" spans="2:28" x14ac:dyDescent="0.2">
      <c r="B379" s="392" t="str">
        <f t="shared" si="8"/>
        <v>-</v>
      </c>
      <c r="C379" s="392"/>
      <c r="D379" s="396"/>
      <c r="E379" s="392"/>
      <c r="F379" s="585"/>
      <c r="G379" s="585"/>
      <c r="H379" s="585"/>
      <c r="I379" s="585"/>
      <c r="J379" s="585"/>
      <c r="K379" s="585"/>
      <c r="L379" s="585"/>
      <c r="M379" s="585"/>
      <c r="N379" s="585"/>
      <c r="O379" s="585"/>
      <c r="P379" s="585"/>
      <c r="Q379" s="585"/>
      <c r="R379" s="585"/>
      <c r="S379" s="585"/>
      <c r="T379" s="585"/>
      <c r="U379" s="356"/>
      <c r="V379" s="356"/>
      <c r="X379" s="75"/>
      <c r="Y379" s="75"/>
      <c r="Z379" s="75"/>
      <c r="AA379" s="75"/>
      <c r="AB379" s="75"/>
    </row>
    <row r="380" spans="2:28" x14ac:dyDescent="0.2">
      <c r="B380" s="392" t="str">
        <f t="shared" si="8"/>
        <v>-</v>
      </c>
      <c r="C380" s="392"/>
      <c r="D380" s="396"/>
      <c r="E380" s="392"/>
      <c r="F380" s="585"/>
      <c r="G380" s="585"/>
      <c r="H380" s="585"/>
      <c r="I380" s="585"/>
      <c r="J380" s="585"/>
      <c r="K380" s="585"/>
      <c r="L380" s="585"/>
      <c r="M380" s="585"/>
      <c r="N380" s="585"/>
      <c r="O380" s="585"/>
      <c r="P380" s="585"/>
      <c r="Q380" s="585"/>
      <c r="R380" s="585"/>
      <c r="S380" s="585"/>
      <c r="T380" s="585"/>
      <c r="U380" s="356"/>
      <c r="V380" s="356"/>
      <c r="X380" s="75">
        <v>0.125</v>
      </c>
      <c r="Y380" s="75">
        <v>0.66500000000000004</v>
      </c>
      <c r="Z380" s="75">
        <v>1</v>
      </c>
      <c r="AA380" s="75">
        <v>0.17499999999999999</v>
      </c>
      <c r="AB380" s="75">
        <v>0.42499999999999999</v>
      </c>
    </row>
    <row r="381" spans="2:28" x14ac:dyDescent="0.2">
      <c r="B381" s="392" t="str">
        <f t="shared" si="8"/>
        <v>-</v>
      </c>
      <c r="C381" s="392"/>
      <c r="D381" s="396"/>
      <c r="E381" s="392"/>
      <c r="F381" s="585"/>
      <c r="G381" s="585"/>
      <c r="H381" s="585"/>
      <c r="I381" s="585"/>
      <c r="J381" s="585"/>
      <c r="K381" s="585"/>
      <c r="L381" s="585"/>
      <c r="M381" s="585"/>
      <c r="N381" s="585"/>
      <c r="O381" s="585"/>
      <c r="P381" s="585"/>
      <c r="Q381" s="585"/>
      <c r="R381" s="585"/>
      <c r="S381" s="585"/>
      <c r="T381" s="585"/>
      <c r="U381" s="356"/>
      <c r="V381" s="356"/>
      <c r="X381" s="75">
        <v>0.125</v>
      </c>
      <c r="Y381" s="75">
        <v>0.66500000000000004</v>
      </c>
      <c r="Z381" s="75">
        <v>1</v>
      </c>
      <c r="AA381" s="75">
        <v>0.17499999999999999</v>
      </c>
      <c r="AB381" s="75">
        <v>0.42499999999999999</v>
      </c>
    </row>
    <row r="382" spans="2:28" x14ac:dyDescent="0.2">
      <c r="B382" s="392" t="str">
        <f t="shared" si="8"/>
        <v>-</v>
      </c>
      <c r="C382" s="392"/>
      <c r="D382" s="396"/>
      <c r="E382" s="392"/>
      <c r="F382" s="585"/>
      <c r="G382" s="585"/>
      <c r="H382" s="585"/>
      <c r="I382" s="585"/>
      <c r="J382" s="585"/>
      <c r="K382" s="585"/>
      <c r="L382" s="585"/>
      <c r="M382" s="585"/>
      <c r="N382" s="585"/>
      <c r="O382" s="585"/>
      <c r="P382" s="585"/>
      <c r="Q382" s="585"/>
      <c r="R382" s="585"/>
      <c r="S382" s="585"/>
      <c r="T382" s="585"/>
      <c r="U382" s="356"/>
      <c r="V382" s="356"/>
      <c r="X382" s="75">
        <v>0</v>
      </c>
      <c r="Y382" s="75">
        <v>1</v>
      </c>
      <c r="Z382" s="75">
        <v>1</v>
      </c>
      <c r="AA382" s="75">
        <v>0.05</v>
      </c>
      <c r="AB382" s="75">
        <v>0.3</v>
      </c>
    </row>
    <row r="383" spans="2:28" x14ac:dyDescent="0.2">
      <c r="B383" s="392" t="str">
        <f t="shared" si="8"/>
        <v>-</v>
      </c>
      <c r="C383" s="392"/>
      <c r="D383" s="396"/>
      <c r="E383" s="392"/>
      <c r="F383" s="585"/>
      <c r="G383" s="585"/>
      <c r="H383" s="585"/>
      <c r="I383" s="585"/>
      <c r="J383" s="585"/>
      <c r="K383" s="585"/>
      <c r="L383" s="585"/>
      <c r="M383" s="585"/>
      <c r="N383" s="585"/>
      <c r="O383" s="585"/>
      <c r="P383" s="585"/>
      <c r="Q383" s="585"/>
      <c r="R383" s="585"/>
      <c r="S383" s="585"/>
      <c r="T383" s="585"/>
      <c r="U383" s="356"/>
      <c r="V383" s="356"/>
      <c r="X383" s="75"/>
      <c r="Y383" s="75"/>
      <c r="Z383" s="75"/>
      <c r="AA383" s="75"/>
      <c r="AB383" s="75"/>
    </row>
    <row r="384" spans="2:28" x14ac:dyDescent="0.2">
      <c r="B384" s="392" t="str">
        <f t="shared" si="8"/>
        <v>-</v>
      </c>
      <c r="C384" s="392"/>
      <c r="D384" s="396"/>
      <c r="E384" s="392"/>
      <c r="F384" s="585"/>
      <c r="G384" s="585"/>
      <c r="H384" s="585"/>
      <c r="I384" s="585"/>
      <c r="J384" s="585"/>
      <c r="K384" s="585"/>
      <c r="L384" s="585"/>
      <c r="M384" s="585"/>
      <c r="N384" s="585"/>
      <c r="O384" s="585"/>
      <c r="P384" s="585"/>
      <c r="Q384" s="585"/>
      <c r="R384" s="585"/>
      <c r="S384" s="585"/>
      <c r="T384" s="585"/>
      <c r="U384" s="356"/>
      <c r="V384" s="356"/>
      <c r="X384" s="75"/>
      <c r="Y384" s="75"/>
      <c r="Z384" s="75"/>
      <c r="AA384" s="75"/>
      <c r="AB384" s="75"/>
    </row>
    <row r="385" spans="2:28" x14ac:dyDescent="0.2">
      <c r="B385" s="392" t="str">
        <f t="shared" si="8"/>
        <v>-</v>
      </c>
      <c r="C385" s="392"/>
      <c r="D385" s="396"/>
      <c r="E385" s="392"/>
      <c r="F385" s="585"/>
      <c r="G385" s="585"/>
      <c r="H385" s="585"/>
      <c r="I385" s="585"/>
      <c r="J385" s="585"/>
      <c r="K385" s="585"/>
      <c r="L385" s="585"/>
      <c r="M385" s="585"/>
      <c r="N385" s="585"/>
      <c r="O385" s="585"/>
      <c r="P385" s="585"/>
      <c r="Q385" s="585"/>
      <c r="R385" s="585"/>
      <c r="S385" s="585"/>
      <c r="T385" s="585"/>
      <c r="U385" s="356"/>
      <c r="V385" s="356"/>
      <c r="X385" s="75">
        <v>0.75</v>
      </c>
      <c r="Y385" s="75">
        <v>1</v>
      </c>
      <c r="Z385" s="75">
        <v>1</v>
      </c>
      <c r="AA385" s="75">
        <v>0.8</v>
      </c>
      <c r="AB385" s="75">
        <v>1</v>
      </c>
    </row>
    <row r="386" spans="2:28" x14ac:dyDescent="0.2">
      <c r="B386" s="392" t="str">
        <f t="shared" si="8"/>
        <v>-</v>
      </c>
      <c r="C386" s="392"/>
      <c r="D386" s="396"/>
      <c r="E386" s="392"/>
      <c r="F386" s="585"/>
      <c r="G386" s="585"/>
      <c r="H386" s="585"/>
      <c r="I386" s="585"/>
      <c r="J386" s="585"/>
      <c r="K386" s="585"/>
      <c r="L386" s="585"/>
      <c r="M386" s="585"/>
      <c r="N386" s="585"/>
      <c r="O386" s="585"/>
      <c r="P386" s="585"/>
      <c r="Q386" s="585"/>
      <c r="R386" s="585"/>
      <c r="S386" s="585"/>
      <c r="T386" s="585"/>
      <c r="U386" s="356"/>
      <c r="V386" s="356"/>
      <c r="X386" s="392"/>
      <c r="Y386" s="392"/>
      <c r="Z386" s="392"/>
      <c r="AA386" s="392"/>
      <c r="AB386" s="392"/>
    </row>
    <row r="387" spans="2:28" x14ac:dyDescent="0.2">
      <c r="B387" s="392" t="str">
        <f t="shared" si="8"/>
        <v>-</v>
      </c>
      <c r="C387" s="392"/>
      <c r="D387" s="396"/>
      <c r="E387" s="392"/>
      <c r="F387" s="585"/>
      <c r="G387" s="585"/>
      <c r="H387" s="585"/>
      <c r="I387" s="585"/>
      <c r="J387" s="585"/>
      <c r="K387" s="585"/>
      <c r="L387" s="585"/>
      <c r="M387" s="585"/>
      <c r="N387" s="585"/>
      <c r="O387" s="585"/>
      <c r="P387" s="585"/>
      <c r="Q387" s="585"/>
      <c r="R387" s="585"/>
      <c r="S387" s="585"/>
      <c r="T387" s="585"/>
      <c r="U387" s="356"/>
      <c r="V387" s="356"/>
      <c r="X387" s="75">
        <v>0.125</v>
      </c>
      <c r="Y387" s="75">
        <v>0.66500000000000004</v>
      </c>
      <c r="Z387" s="75">
        <v>1</v>
      </c>
      <c r="AA387" s="75">
        <v>0.17499999999999999</v>
      </c>
      <c r="AB387" s="75">
        <v>0.42499999999999999</v>
      </c>
    </row>
    <row r="388" spans="2:28" ht="15" x14ac:dyDescent="0.25">
      <c r="B388" s="392" t="str">
        <f t="shared" si="8"/>
        <v>-</v>
      </c>
      <c r="C388" s="402"/>
      <c r="D388" s="403"/>
      <c r="E388" s="402"/>
      <c r="F388" s="352"/>
      <c r="G388" s="352"/>
      <c r="H388" s="352"/>
      <c r="I388" s="352"/>
      <c r="J388" s="352"/>
      <c r="K388" s="352"/>
      <c r="L388" s="352"/>
      <c r="M388" s="352"/>
      <c r="N388" s="352"/>
      <c r="O388" s="352"/>
      <c r="P388" s="352"/>
      <c r="Q388" s="352"/>
      <c r="R388" s="352"/>
      <c r="S388" s="352"/>
      <c r="T388" s="352"/>
      <c r="U388" s="356"/>
      <c r="V388" s="737"/>
      <c r="X388" s="75"/>
      <c r="Y388" s="75"/>
      <c r="Z388" s="75"/>
      <c r="AA388" s="75"/>
      <c r="AB388" s="75"/>
    </row>
    <row r="389" spans="2:28" x14ac:dyDescent="0.2">
      <c r="B389" s="392" t="str">
        <f t="shared" si="8"/>
        <v>-</v>
      </c>
      <c r="C389" s="392"/>
      <c r="D389" s="396"/>
      <c r="E389" s="392"/>
      <c r="F389" s="585"/>
      <c r="G389" s="585"/>
      <c r="H389" s="585"/>
      <c r="I389" s="585"/>
      <c r="J389" s="585"/>
      <c r="K389" s="585"/>
      <c r="L389" s="585"/>
      <c r="M389" s="585"/>
      <c r="N389" s="585"/>
      <c r="O389" s="585"/>
      <c r="P389" s="585"/>
      <c r="Q389" s="585"/>
      <c r="R389" s="585"/>
      <c r="S389" s="585"/>
      <c r="T389" s="585"/>
      <c r="U389" s="356"/>
      <c r="V389" s="356"/>
      <c r="X389" s="75">
        <v>0</v>
      </c>
      <c r="Y389" s="75">
        <v>1</v>
      </c>
      <c r="Z389" s="75">
        <v>1</v>
      </c>
      <c r="AA389" s="75">
        <v>0.05</v>
      </c>
      <c r="AB389" s="75">
        <v>0.3</v>
      </c>
    </row>
    <row r="390" spans="2:28" x14ac:dyDescent="0.2">
      <c r="B390" s="392" t="str">
        <f t="shared" ref="B390:B404" si="9">D390&amp;"-"&amp;C390</f>
        <v>-</v>
      </c>
      <c r="C390" s="392"/>
      <c r="D390" s="396"/>
      <c r="E390" s="392"/>
      <c r="F390" s="585"/>
      <c r="G390" s="585"/>
      <c r="H390" s="585"/>
      <c r="I390" s="585"/>
      <c r="J390" s="585"/>
      <c r="K390" s="585"/>
      <c r="L390" s="585"/>
      <c r="M390" s="585"/>
      <c r="N390" s="585"/>
      <c r="O390" s="585"/>
      <c r="P390" s="585"/>
      <c r="Q390" s="585"/>
      <c r="R390" s="585"/>
      <c r="S390" s="585"/>
      <c r="T390" s="585"/>
      <c r="U390" s="356"/>
      <c r="V390" s="356"/>
      <c r="X390" s="75">
        <v>0</v>
      </c>
      <c r="Y390" s="75">
        <v>1</v>
      </c>
      <c r="Z390" s="75">
        <v>1</v>
      </c>
      <c r="AA390" s="75">
        <v>0.05</v>
      </c>
      <c r="AB390" s="75">
        <v>0.3</v>
      </c>
    </row>
    <row r="391" spans="2:28" x14ac:dyDescent="0.2">
      <c r="B391" s="392" t="str">
        <f t="shared" si="9"/>
        <v>-</v>
      </c>
      <c r="C391" s="392"/>
      <c r="D391" s="396"/>
      <c r="E391" s="392"/>
      <c r="F391" s="585"/>
      <c r="G391" s="585"/>
      <c r="H391" s="585"/>
      <c r="I391" s="585"/>
      <c r="J391" s="585"/>
      <c r="K391" s="585"/>
      <c r="L391" s="585"/>
      <c r="M391" s="585"/>
      <c r="N391" s="585"/>
      <c r="O391" s="585"/>
      <c r="P391" s="585"/>
      <c r="Q391" s="585"/>
      <c r="R391" s="585"/>
      <c r="S391" s="585"/>
      <c r="T391" s="585"/>
      <c r="U391" s="356"/>
      <c r="V391" s="356"/>
      <c r="X391" s="75">
        <v>0</v>
      </c>
      <c r="Y391" s="75">
        <v>1</v>
      </c>
      <c r="Z391" s="75">
        <v>1</v>
      </c>
      <c r="AA391" s="75">
        <v>1.4999999999999999E-2</v>
      </c>
      <c r="AB391" s="75">
        <v>0.3</v>
      </c>
    </row>
    <row r="392" spans="2:28" x14ac:dyDescent="0.2">
      <c r="B392" s="392" t="str">
        <f t="shared" si="9"/>
        <v>-</v>
      </c>
      <c r="C392" s="392"/>
      <c r="D392" s="396"/>
      <c r="E392" s="392"/>
      <c r="F392" s="585"/>
      <c r="G392" s="585"/>
      <c r="H392" s="585"/>
      <c r="I392" s="585"/>
      <c r="J392" s="585"/>
      <c r="K392" s="585"/>
      <c r="L392" s="585"/>
      <c r="M392" s="585"/>
      <c r="N392" s="585"/>
      <c r="O392" s="585"/>
      <c r="P392" s="585"/>
      <c r="Q392" s="585"/>
      <c r="R392" s="585"/>
      <c r="S392" s="585"/>
      <c r="T392" s="585"/>
      <c r="U392" s="356"/>
      <c r="V392" s="356"/>
      <c r="X392" s="407">
        <v>0.125</v>
      </c>
      <c r="Y392" s="407">
        <v>0.66500000000000004</v>
      </c>
      <c r="Z392" s="407">
        <v>1</v>
      </c>
      <c r="AA392" s="407">
        <v>0.17499999999999999</v>
      </c>
      <c r="AB392" s="407">
        <v>0.42499999999999999</v>
      </c>
    </row>
    <row r="393" spans="2:28" x14ac:dyDescent="0.2">
      <c r="B393" s="392" t="str">
        <f t="shared" si="9"/>
        <v>-</v>
      </c>
      <c r="C393" s="392"/>
      <c r="D393" s="396"/>
      <c r="E393" s="392"/>
      <c r="F393" s="585"/>
      <c r="G393" s="585"/>
      <c r="H393" s="585"/>
      <c r="I393" s="585"/>
      <c r="J393" s="585"/>
      <c r="K393" s="585"/>
      <c r="L393" s="585"/>
      <c r="M393" s="585"/>
      <c r="N393" s="585"/>
      <c r="O393" s="585"/>
      <c r="P393" s="585"/>
      <c r="Q393" s="585"/>
      <c r="R393" s="585"/>
      <c r="S393" s="585"/>
      <c r="T393" s="585"/>
      <c r="U393" s="356"/>
      <c r="V393" s="356"/>
      <c r="X393" s="75"/>
      <c r="Y393" s="75"/>
      <c r="Z393" s="75"/>
      <c r="AA393" s="75"/>
      <c r="AB393" s="75"/>
    </row>
    <row r="394" spans="2:28" x14ac:dyDescent="0.2">
      <c r="B394" s="392" t="str">
        <f t="shared" si="9"/>
        <v>-</v>
      </c>
      <c r="C394" s="392"/>
      <c r="D394" s="396"/>
      <c r="E394" s="392"/>
      <c r="F394" s="585"/>
      <c r="G394" s="585"/>
      <c r="H394" s="585"/>
      <c r="I394" s="585"/>
      <c r="J394" s="585"/>
      <c r="K394" s="585"/>
      <c r="L394" s="585"/>
      <c r="M394" s="585"/>
      <c r="N394" s="585"/>
      <c r="O394" s="585"/>
      <c r="P394" s="585"/>
      <c r="Q394" s="585"/>
      <c r="R394" s="585"/>
      <c r="S394" s="585"/>
      <c r="T394" s="585"/>
      <c r="U394" s="356"/>
      <c r="V394" s="356"/>
      <c r="X394" s="75">
        <v>0</v>
      </c>
      <c r="Y394" s="75">
        <v>1</v>
      </c>
      <c r="Z394" s="75">
        <v>1</v>
      </c>
      <c r="AA394" s="75">
        <v>0.05</v>
      </c>
      <c r="AB394" s="75">
        <v>0.3</v>
      </c>
    </row>
    <row r="395" spans="2:28" x14ac:dyDescent="0.2">
      <c r="B395" s="392" t="str">
        <f t="shared" si="9"/>
        <v>-</v>
      </c>
      <c r="C395" s="392"/>
      <c r="D395" s="396"/>
      <c r="E395" s="392"/>
      <c r="F395" s="585"/>
      <c r="G395" s="585"/>
      <c r="H395" s="585"/>
      <c r="I395" s="585"/>
      <c r="J395" s="585"/>
      <c r="K395" s="585"/>
      <c r="L395" s="585"/>
      <c r="M395" s="585"/>
      <c r="N395" s="585"/>
      <c r="O395" s="585"/>
      <c r="P395" s="585"/>
      <c r="Q395" s="585"/>
      <c r="R395" s="585"/>
      <c r="S395" s="585"/>
      <c r="T395" s="585"/>
      <c r="U395" s="356"/>
      <c r="V395" s="356"/>
      <c r="X395" s="75"/>
      <c r="Y395" s="75"/>
      <c r="Z395" s="75"/>
      <c r="AA395" s="75"/>
      <c r="AB395" s="75"/>
    </row>
    <row r="396" spans="2:28" ht="15" x14ac:dyDescent="0.25">
      <c r="B396" s="392" t="str">
        <f t="shared" si="9"/>
        <v>-</v>
      </c>
      <c r="C396" s="402"/>
      <c r="D396" s="403"/>
      <c r="E396" s="402"/>
      <c r="F396" s="352"/>
      <c r="G396" s="352"/>
      <c r="H396" s="352"/>
      <c r="I396" s="352"/>
      <c r="J396" s="352"/>
      <c r="K396" s="352"/>
      <c r="L396" s="352"/>
      <c r="M396" s="352"/>
      <c r="N396" s="352"/>
      <c r="O396" s="352"/>
      <c r="P396" s="352"/>
      <c r="Q396" s="352"/>
      <c r="R396" s="352"/>
      <c r="S396" s="352"/>
      <c r="T396" s="352"/>
      <c r="U396" s="356"/>
      <c r="V396" s="737"/>
      <c r="X396" s="75">
        <v>0.125</v>
      </c>
      <c r="Y396" s="75">
        <v>0.66500000000000004</v>
      </c>
      <c r="Z396" s="75">
        <v>1</v>
      </c>
      <c r="AA396" s="75">
        <v>0.17499999999999999</v>
      </c>
      <c r="AB396" s="75">
        <v>0.42499999999999999</v>
      </c>
    </row>
    <row r="397" spans="2:28" x14ac:dyDescent="0.2">
      <c r="B397" s="392" t="str">
        <f t="shared" si="9"/>
        <v>-</v>
      </c>
      <c r="C397" s="392"/>
      <c r="D397" s="396"/>
      <c r="E397" s="392"/>
      <c r="F397" s="585"/>
      <c r="G397" s="585"/>
      <c r="H397" s="585"/>
      <c r="I397" s="585"/>
      <c r="J397" s="585"/>
      <c r="K397" s="585"/>
      <c r="L397" s="585"/>
      <c r="M397" s="585"/>
      <c r="N397" s="585"/>
      <c r="O397" s="585"/>
      <c r="P397" s="585"/>
      <c r="Q397" s="585"/>
      <c r="R397" s="585"/>
      <c r="S397" s="585"/>
      <c r="T397" s="585"/>
      <c r="U397" s="356"/>
      <c r="V397" s="356"/>
      <c r="X397" s="75">
        <v>0.5</v>
      </c>
      <c r="Y397" s="75">
        <v>1</v>
      </c>
      <c r="Z397" s="75">
        <v>1</v>
      </c>
      <c r="AA397" s="75">
        <v>0.55000000000000004</v>
      </c>
      <c r="AB397" s="75">
        <v>0.8</v>
      </c>
    </row>
    <row r="398" spans="2:28" x14ac:dyDescent="0.2">
      <c r="B398" s="392" t="str">
        <f t="shared" si="9"/>
        <v>-</v>
      </c>
      <c r="C398" s="392"/>
      <c r="D398" s="396"/>
      <c r="E398" s="392"/>
      <c r="F398" s="585"/>
      <c r="G398" s="585"/>
      <c r="H398" s="585"/>
      <c r="I398" s="585"/>
      <c r="J398" s="585"/>
      <c r="K398" s="585"/>
      <c r="L398" s="585"/>
      <c r="M398" s="585"/>
      <c r="N398" s="585"/>
      <c r="O398" s="585"/>
      <c r="P398" s="585"/>
      <c r="Q398" s="585"/>
      <c r="R398" s="585"/>
      <c r="S398" s="585"/>
      <c r="T398" s="585"/>
      <c r="U398" s="356"/>
      <c r="V398" s="356"/>
      <c r="X398" s="75"/>
      <c r="Y398" s="75"/>
      <c r="Z398" s="75"/>
      <c r="AA398" s="75"/>
      <c r="AB398" s="75"/>
    </row>
    <row r="399" spans="2:28" x14ac:dyDescent="0.2">
      <c r="B399" s="392" t="str">
        <f t="shared" si="9"/>
        <v>-</v>
      </c>
      <c r="C399" s="392"/>
      <c r="D399" s="396"/>
      <c r="E399" s="392"/>
      <c r="F399" s="585"/>
      <c r="G399" s="585"/>
      <c r="H399" s="585"/>
      <c r="I399" s="585"/>
      <c r="J399" s="585"/>
      <c r="K399" s="585"/>
      <c r="L399" s="585"/>
      <c r="M399" s="585"/>
      <c r="N399" s="585"/>
      <c r="O399" s="585"/>
      <c r="P399" s="585"/>
      <c r="Q399" s="585"/>
      <c r="R399" s="585"/>
      <c r="S399" s="585"/>
      <c r="T399" s="585"/>
      <c r="U399" s="356"/>
      <c r="V399" s="356"/>
      <c r="X399" s="75"/>
      <c r="Y399" s="75"/>
      <c r="Z399" s="75"/>
      <c r="AA399" s="75"/>
      <c r="AB399" s="75"/>
    </row>
    <row r="400" spans="2:28" x14ac:dyDescent="0.2">
      <c r="B400" s="392" t="str">
        <f t="shared" si="9"/>
        <v>-</v>
      </c>
      <c r="C400" s="392"/>
      <c r="D400" s="396"/>
      <c r="E400" s="392"/>
      <c r="F400" s="585"/>
      <c r="G400" s="585"/>
      <c r="H400" s="585"/>
      <c r="I400" s="585"/>
      <c r="J400" s="585"/>
      <c r="K400" s="585"/>
      <c r="L400" s="585"/>
      <c r="M400" s="585"/>
      <c r="N400" s="585"/>
      <c r="O400" s="585"/>
      <c r="P400" s="585"/>
      <c r="Q400" s="585"/>
      <c r="R400" s="585"/>
      <c r="S400" s="585"/>
      <c r="T400" s="585"/>
      <c r="U400" s="356"/>
      <c r="V400" s="356"/>
      <c r="X400" s="75"/>
      <c r="Y400" s="75"/>
      <c r="Z400" s="75"/>
      <c r="AA400" s="75"/>
      <c r="AB400" s="75"/>
    </row>
    <row r="401" spans="2:28" x14ac:dyDescent="0.2">
      <c r="B401" s="392" t="str">
        <f t="shared" si="9"/>
        <v>-</v>
      </c>
      <c r="C401" s="392"/>
      <c r="D401" s="396"/>
      <c r="E401" s="392"/>
      <c r="F401" s="585"/>
      <c r="G401" s="585"/>
      <c r="H401" s="585"/>
      <c r="I401" s="585"/>
      <c r="J401" s="585"/>
      <c r="K401" s="585"/>
      <c r="L401" s="585"/>
      <c r="M401" s="585"/>
      <c r="N401" s="585"/>
      <c r="O401" s="585"/>
      <c r="P401" s="585"/>
      <c r="Q401" s="585"/>
      <c r="R401" s="585"/>
      <c r="S401" s="585"/>
      <c r="T401" s="585"/>
      <c r="U401" s="356"/>
      <c r="V401" s="356"/>
      <c r="X401" s="75"/>
      <c r="Y401" s="75"/>
      <c r="Z401" s="75"/>
      <c r="AA401" s="75"/>
      <c r="AB401" s="75"/>
    </row>
    <row r="402" spans="2:28" x14ac:dyDescent="0.2">
      <c r="B402" s="392" t="str">
        <f t="shared" si="9"/>
        <v>-</v>
      </c>
      <c r="C402" s="392"/>
      <c r="D402" s="396"/>
      <c r="E402" s="392"/>
      <c r="F402" s="585"/>
      <c r="G402" s="585"/>
      <c r="H402" s="585"/>
      <c r="I402" s="585"/>
      <c r="J402" s="585"/>
      <c r="K402" s="585"/>
      <c r="L402" s="585"/>
      <c r="M402" s="585"/>
      <c r="N402" s="585"/>
      <c r="O402" s="585"/>
      <c r="P402" s="585"/>
      <c r="Q402" s="585"/>
      <c r="R402" s="585"/>
      <c r="S402" s="585"/>
      <c r="T402" s="585"/>
      <c r="U402" s="356"/>
      <c r="V402" s="356"/>
      <c r="X402" s="75">
        <v>0.75</v>
      </c>
      <c r="Y402" s="75">
        <v>1</v>
      </c>
      <c r="Z402" s="75">
        <v>1</v>
      </c>
      <c r="AA402" s="75">
        <v>0.8</v>
      </c>
      <c r="AB402" s="75">
        <v>1</v>
      </c>
    </row>
    <row r="403" spans="2:28" x14ac:dyDescent="0.2">
      <c r="B403" s="392" t="str">
        <f t="shared" si="9"/>
        <v>-</v>
      </c>
      <c r="C403" s="392"/>
      <c r="D403" s="401"/>
      <c r="E403" s="392"/>
      <c r="F403" s="585"/>
      <c r="G403" s="585"/>
      <c r="H403" s="585"/>
      <c r="I403" s="585"/>
      <c r="J403" s="585"/>
      <c r="K403" s="585"/>
      <c r="L403" s="585"/>
      <c r="M403" s="585"/>
      <c r="N403" s="585"/>
      <c r="O403" s="585"/>
      <c r="P403" s="585"/>
      <c r="Q403" s="585"/>
      <c r="R403" s="585"/>
      <c r="S403" s="585"/>
      <c r="T403" s="585"/>
      <c r="U403" s="356"/>
      <c r="V403" s="356"/>
      <c r="X403" s="392"/>
      <c r="Y403" s="392"/>
      <c r="Z403" s="392"/>
      <c r="AA403" s="392"/>
      <c r="AB403" s="392"/>
    </row>
    <row r="404" spans="2:28" ht="15" x14ac:dyDescent="0.25">
      <c r="B404" s="392" t="str">
        <f t="shared" si="9"/>
        <v>-</v>
      </c>
      <c r="C404" s="402"/>
      <c r="D404" s="403"/>
      <c r="E404" s="402"/>
      <c r="F404" s="352"/>
      <c r="G404" s="352"/>
      <c r="H404" s="352"/>
      <c r="I404" s="352"/>
      <c r="J404" s="352"/>
      <c r="K404" s="352"/>
      <c r="L404" s="352"/>
      <c r="M404" s="352"/>
      <c r="N404" s="352"/>
      <c r="O404" s="352"/>
      <c r="P404" s="352"/>
      <c r="Q404" s="352"/>
      <c r="R404" s="352"/>
      <c r="S404" s="352"/>
      <c r="T404" s="352"/>
      <c r="U404" s="356"/>
      <c r="V404" s="737"/>
      <c r="X404" s="407">
        <v>0.125</v>
      </c>
      <c r="Y404" s="407">
        <v>0.66500000000000004</v>
      </c>
      <c r="Z404" s="407">
        <v>1</v>
      </c>
      <c r="AA404" s="407">
        <v>0.17499999999999999</v>
      </c>
      <c r="AB404" s="407">
        <v>0.42499999999999999</v>
      </c>
    </row>
  </sheetData>
  <autoFilter ref="B5:V404" xr:uid="{FF9D93FD-FCF7-41CB-888E-45ADA3761986}">
    <sortState xmlns:xlrd2="http://schemas.microsoft.com/office/spreadsheetml/2017/richdata2" ref="B6:V404">
      <sortCondition ref="D5:D404"/>
    </sortState>
  </autoFilter>
  <conditionalFormatting sqref="U16:U17 U37 U74 U76 U102:U107 U111 U113 U150 U152 U188 U190 U229 U231 U313 U54:U62 U91:U99 U130:U138 U169:U170 U209:U217 U220:U222 U65 U28:U30 U179:U184 U302:U305 U116:U120 U316:U320 U42:U46 U79:U83 U193:U197 U234:U236 U240 V404 U85:V88 U49:V50 V16:V21 V73:V83 V290:V320 V53:V54 U39 U19:U25 U32 V48 U141:U146 U155:U165 U292:U296 U245:V245 V51 U67:U69 U172:U176 U224:U225 U238 U260:V260 U265:U266 U270:V272 U274:V274 U276:V277 U279:V280 U282:V286 V281 V287 U298:U299 U307 V24:V39 V41 V43:V46 V57:V69 V90:V120 U122:V127 V170:V199 U206:V206 V208:V240 U259 U246:U257 U269 U261:U263 V270:V278 V129:V157">
    <cfRule type="containsText" dxfId="119" priority="157" operator="containsText" text="No source">
      <formula>NOT(ISERROR(SEARCH("No source",U16)))</formula>
    </cfRule>
  </conditionalFormatting>
  <conditionalFormatting sqref="U314:U315 U312 U309:U310 U301 U290 U233 U230 U226:U228 U218:U219 U208 U191:U192 U189 U185:U187 U177:U178 U167 U153:U154 U151 U147:U149 U140 U129 U114:U115 U112 U108:U110 U100:U101 U90 U77:U78 U75 U73 U63 U53 U40:U41 U34:U36 U26:U27">
    <cfRule type="containsText" dxfId="118" priority="155" operator="containsText" text="No source">
      <formula>NOT(ISERROR(SEARCH("No source",U26)))</formula>
    </cfRule>
  </conditionalFormatting>
  <conditionalFormatting sqref="U47:V47">
    <cfRule type="containsText" dxfId="117" priority="154" operator="containsText" text="No source">
      <formula>NOT(ISERROR(SEARCH("No source",U47)))</formula>
    </cfRule>
  </conditionalFormatting>
  <conditionalFormatting sqref="U84:V84">
    <cfRule type="containsText" dxfId="116" priority="153" operator="containsText" text="No source">
      <formula>NOT(ISERROR(SEARCH("No source",U84)))</formula>
    </cfRule>
  </conditionalFormatting>
  <conditionalFormatting sqref="U121:V121">
    <cfRule type="containsText" dxfId="115" priority="152" operator="containsText" text="No source">
      <formula>NOT(ISERROR(SEARCH("No source",U121)))</formula>
    </cfRule>
  </conditionalFormatting>
  <conditionalFormatting sqref="U198">
    <cfRule type="containsText" dxfId="114" priority="151" operator="containsText" text="No source">
      <formula>NOT(ISERROR(SEARCH("No source",U198)))</formula>
    </cfRule>
  </conditionalFormatting>
  <conditionalFormatting sqref="U239">
    <cfRule type="containsText" dxfId="113" priority="150" operator="containsText" text="No source">
      <formula>NOT(ISERROR(SEARCH("No source",U239)))</formula>
    </cfRule>
  </conditionalFormatting>
  <conditionalFormatting sqref="U321:V321">
    <cfRule type="containsText" dxfId="112" priority="149" operator="containsText" text="No source">
      <formula>NOT(ISERROR(SEARCH("No source",U321)))</formula>
    </cfRule>
  </conditionalFormatting>
  <conditionalFormatting sqref="U401 V401:V403 U322:V322 U403">
    <cfRule type="containsText" dxfId="111" priority="148" operator="containsText" text="No source">
      <formula>NOT(ISERROR(SEARCH("No source",U322)))</formula>
    </cfRule>
  </conditionalFormatting>
  <conditionalFormatting sqref="U400:V400">
    <cfRule type="containsText" dxfId="110" priority="147" operator="containsText" text="No source">
      <formula>NOT(ISERROR(SEARCH("No source",U400)))</formula>
    </cfRule>
  </conditionalFormatting>
  <conditionalFormatting sqref="U398:U399 V397:V399">
    <cfRule type="containsText" dxfId="109" priority="146" operator="containsText" text="No source">
      <formula>NOT(ISERROR(SEARCH("No source",U397)))</formula>
    </cfRule>
  </conditionalFormatting>
  <conditionalFormatting sqref="V396">
    <cfRule type="containsText" dxfId="108" priority="145" operator="containsText" text="No source">
      <formula>NOT(ISERROR(SEARCH("No source",V396)))</formula>
    </cfRule>
  </conditionalFormatting>
  <conditionalFormatting sqref="U393 V393:V395 U395">
    <cfRule type="containsText" dxfId="107" priority="144" operator="containsText" text="No source">
      <formula>NOT(ISERROR(SEARCH("No source",U393)))</formula>
    </cfRule>
  </conditionalFormatting>
  <conditionalFormatting sqref="V392">
    <cfRule type="containsText" dxfId="106" priority="143" operator="containsText" text="No source">
      <formula>NOT(ISERROR(SEARCH("No source",V392)))</formula>
    </cfRule>
  </conditionalFormatting>
  <conditionalFormatting sqref="V389:V391">
    <cfRule type="containsText" dxfId="105" priority="142" operator="containsText" text="No source">
      <formula>NOT(ISERROR(SEARCH("No source",V389)))</formula>
    </cfRule>
  </conditionalFormatting>
  <conditionalFormatting sqref="U388:V388">
    <cfRule type="containsText" dxfId="104" priority="141" operator="containsText" text="No source">
      <formula>NOT(ISERROR(SEARCH("No source",U388)))</formula>
    </cfRule>
  </conditionalFormatting>
  <conditionalFormatting sqref="U386 V385:V387">
    <cfRule type="containsText" dxfId="103" priority="140" operator="containsText" text="No source">
      <formula>NOT(ISERROR(SEARCH("No source",U385)))</formula>
    </cfRule>
  </conditionalFormatting>
  <conditionalFormatting sqref="U384:V384">
    <cfRule type="containsText" dxfId="102" priority="139" operator="containsText" text="No source">
      <formula>NOT(ISERROR(SEARCH("No source",U384)))</formula>
    </cfRule>
  </conditionalFormatting>
  <conditionalFormatting sqref="U383 V381:V383">
    <cfRule type="containsText" dxfId="101" priority="138" operator="containsText" text="No source">
      <formula>NOT(ISERROR(SEARCH("No source",U381)))</formula>
    </cfRule>
  </conditionalFormatting>
  <conditionalFormatting sqref="V380">
    <cfRule type="containsText" dxfId="100" priority="137" operator="containsText" text="No source">
      <formula>NOT(ISERROR(SEARCH("No source",V380)))</formula>
    </cfRule>
  </conditionalFormatting>
  <conditionalFormatting sqref="U377:U379 V376:V379">
    <cfRule type="containsText" dxfId="99" priority="136" operator="containsText" text="No source">
      <formula>NOT(ISERROR(SEARCH("No source",U376)))</formula>
    </cfRule>
  </conditionalFormatting>
  <conditionalFormatting sqref="U375:V375">
    <cfRule type="containsText" dxfId="98" priority="135" operator="containsText" text="No source">
      <formula>NOT(ISERROR(SEARCH("No source",U375)))</formula>
    </cfRule>
  </conditionalFormatting>
  <conditionalFormatting sqref="U372:V374">
    <cfRule type="containsText" dxfId="97" priority="134" operator="containsText" text="No source">
      <formula>NOT(ISERROR(SEARCH("No source",U372)))</formula>
    </cfRule>
  </conditionalFormatting>
  <conditionalFormatting sqref="V363">
    <cfRule type="containsText" dxfId="96" priority="133" operator="containsText" text="No source">
      <formula>NOT(ISERROR(SEARCH("No source",V363)))</formula>
    </cfRule>
  </conditionalFormatting>
  <conditionalFormatting sqref="U360 V360:V362 U362">
    <cfRule type="containsText" dxfId="95" priority="132" operator="containsText" text="No source">
      <formula>NOT(ISERROR(SEARCH("No source",U360)))</formula>
    </cfRule>
  </conditionalFormatting>
  <conditionalFormatting sqref="U359:V359">
    <cfRule type="containsText" dxfId="94" priority="131" operator="containsText" text="No source">
      <formula>NOT(ISERROR(SEARCH("No source",U359)))</formula>
    </cfRule>
  </conditionalFormatting>
  <conditionalFormatting sqref="U357:U358 V356:V358">
    <cfRule type="containsText" dxfId="93" priority="130" operator="containsText" text="No source">
      <formula>NOT(ISERROR(SEARCH("No source",U356)))</formula>
    </cfRule>
  </conditionalFormatting>
  <conditionalFormatting sqref="V355">
    <cfRule type="containsText" dxfId="92" priority="129" operator="containsText" text="No source">
      <formula>NOT(ISERROR(SEARCH("No source",V355)))</formula>
    </cfRule>
  </conditionalFormatting>
  <conditionalFormatting sqref="U352 V352:V354 U354">
    <cfRule type="containsText" dxfId="91" priority="128" operator="containsText" text="No source">
      <formula>NOT(ISERROR(SEARCH("No source",U352)))</formula>
    </cfRule>
  </conditionalFormatting>
  <conditionalFormatting sqref="V351">
    <cfRule type="containsText" dxfId="90" priority="127" operator="containsText" text="No source">
      <formula>NOT(ISERROR(SEARCH("No source",V351)))</formula>
    </cfRule>
  </conditionalFormatting>
  <conditionalFormatting sqref="V348:V350">
    <cfRule type="containsText" dxfId="89" priority="126" operator="containsText" text="No source">
      <formula>NOT(ISERROR(SEARCH("No source",V348)))</formula>
    </cfRule>
  </conditionalFormatting>
  <conditionalFormatting sqref="U347:V347">
    <cfRule type="containsText" dxfId="88" priority="125" operator="containsText" text="No source">
      <formula>NOT(ISERROR(SEARCH("No source",U347)))</formula>
    </cfRule>
  </conditionalFormatting>
  <conditionalFormatting sqref="U345 V344:V346">
    <cfRule type="containsText" dxfId="87" priority="124" operator="containsText" text="No source">
      <formula>NOT(ISERROR(SEARCH("No source",U344)))</formula>
    </cfRule>
  </conditionalFormatting>
  <conditionalFormatting sqref="U343:V343">
    <cfRule type="containsText" dxfId="86" priority="123" operator="containsText" text="No source">
      <formula>NOT(ISERROR(SEARCH("No source",U343)))</formula>
    </cfRule>
  </conditionalFormatting>
  <conditionalFormatting sqref="U342 V340:V342">
    <cfRule type="containsText" dxfId="85" priority="122" operator="containsText" text="No source">
      <formula>NOT(ISERROR(SEARCH("No source",U340)))</formula>
    </cfRule>
  </conditionalFormatting>
  <conditionalFormatting sqref="V339">
    <cfRule type="containsText" dxfId="84" priority="121" operator="containsText" text="No source">
      <formula>NOT(ISERROR(SEARCH("No source",V339)))</formula>
    </cfRule>
  </conditionalFormatting>
  <conditionalFormatting sqref="U335:V338">
    <cfRule type="containsText" dxfId="83" priority="120" operator="containsText" text="No source">
      <formula>NOT(ISERROR(SEARCH("No source",U335)))</formula>
    </cfRule>
  </conditionalFormatting>
  <conditionalFormatting sqref="U334:V334">
    <cfRule type="containsText" dxfId="82" priority="119" operator="containsText" text="No source">
      <formula>NOT(ISERROR(SEARCH("No source",U334)))</formula>
    </cfRule>
  </conditionalFormatting>
  <conditionalFormatting sqref="U331:V333">
    <cfRule type="containsText" dxfId="81" priority="118" operator="containsText" text="No source">
      <formula>NOT(ISERROR(SEARCH("No source",U331)))</formula>
    </cfRule>
  </conditionalFormatting>
  <conditionalFormatting sqref="U339">
    <cfRule type="containsText" dxfId="80" priority="116" operator="containsText" text="No source">
      <formula>NOT(ISERROR(SEARCH("No source",U339)))</formula>
    </cfRule>
  </conditionalFormatting>
  <conditionalFormatting sqref="U340">
    <cfRule type="containsText" dxfId="79" priority="115" operator="containsText" text="No source">
      <formula>NOT(ISERROR(SEARCH("No source",U340)))</formula>
    </cfRule>
  </conditionalFormatting>
  <conditionalFormatting sqref="U341">
    <cfRule type="containsText" dxfId="78" priority="114" operator="containsText" text="No source">
      <formula>NOT(ISERROR(SEARCH("No source",U341)))</formula>
    </cfRule>
  </conditionalFormatting>
  <conditionalFormatting sqref="U344">
    <cfRule type="containsText" dxfId="77" priority="113" operator="containsText" text="No source">
      <formula>NOT(ISERROR(SEARCH("No source",U344)))</formula>
    </cfRule>
  </conditionalFormatting>
  <conditionalFormatting sqref="U346">
    <cfRule type="containsText" dxfId="76" priority="112" operator="containsText" text="No source">
      <formula>NOT(ISERROR(SEARCH("No source",U346)))</formula>
    </cfRule>
  </conditionalFormatting>
  <conditionalFormatting sqref="U348">
    <cfRule type="containsText" dxfId="75" priority="111" operator="containsText" text="No source">
      <formula>NOT(ISERROR(SEARCH("No source",U348)))</formula>
    </cfRule>
  </conditionalFormatting>
  <conditionalFormatting sqref="U349:U351">
    <cfRule type="containsText" dxfId="74" priority="110" operator="containsText" text="No source">
      <formula>NOT(ISERROR(SEARCH("No source",U349)))</formula>
    </cfRule>
  </conditionalFormatting>
  <conditionalFormatting sqref="U353">
    <cfRule type="containsText" dxfId="73" priority="109" operator="containsText" text="No source">
      <formula>NOT(ISERROR(SEARCH("No source",U353)))</formula>
    </cfRule>
  </conditionalFormatting>
  <conditionalFormatting sqref="U355">
    <cfRule type="containsText" dxfId="72" priority="108" operator="containsText" text="No source">
      <formula>NOT(ISERROR(SEARCH("No source",U355)))</formula>
    </cfRule>
  </conditionalFormatting>
  <conditionalFormatting sqref="U356">
    <cfRule type="containsText" dxfId="71" priority="107" operator="containsText" text="No source">
      <formula>NOT(ISERROR(SEARCH("No source",U356)))</formula>
    </cfRule>
  </conditionalFormatting>
  <conditionalFormatting sqref="U361">
    <cfRule type="containsText" dxfId="70" priority="106" operator="containsText" text="No source">
      <formula>NOT(ISERROR(SEARCH("No source",U361)))</formula>
    </cfRule>
  </conditionalFormatting>
  <conditionalFormatting sqref="U363">
    <cfRule type="containsText" dxfId="69" priority="105" operator="containsText" text="No source">
      <formula>NOT(ISERROR(SEARCH("No source",U363)))</formula>
    </cfRule>
  </conditionalFormatting>
  <conditionalFormatting sqref="U376">
    <cfRule type="containsText" dxfId="68" priority="104" operator="containsText" text="No source">
      <formula>NOT(ISERROR(SEARCH("No source",U376)))</formula>
    </cfRule>
  </conditionalFormatting>
  <conditionalFormatting sqref="U380">
    <cfRule type="containsText" dxfId="67" priority="103" operator="containsText" text="No source">
      <formula>NOT(ISERROR(SEARCH("No source",U380)))</formula>
    </cfRule>
  </conditionalFormatting>
  <conditionalFormatting sqref="U381">
    <cfRule type="containsText" dxfId="66" priority="102" operator="containsText" text="No source">
      <formula>NOT(ISERROR(SEARCH("No source",U381)))</formula>
    </cfRule>
  </conditionalFormatting>
  <conditionalFormatting sqref="U382">
    <cfRule type="containsText" dxfId="65" priority="101" operator="containsText" text="No source">
      <formula>NOT(ISERROR(SEARCH("No source",U382)))</formula>
    </cfRule>
  </conditionalFormatting>
  <conditionalFormatting sqref="U385">
    <cfRule type="containsText" dxfId="64" priority="100" operator="containsText" text="No source">
      <formula>NOT(ISERROR(SEARCH("No source",U385)))</formula>
    </cfRule>
  </conditionalFormatting>
  <conditionalFormatting sqref="U387">
    <cfRule type="containsText" dxfId="63" priority="99" operator="containsText" text="No source">
      <formula>NOT(ISERROR(SEARCH("No source",U387)))</formula>
    </cfRule>
  </conditionalFormatting>
  <conditionalFormatting sqref="U389:U392">
    <cfRule type="containsText" dxfId="62" priority="98" operator="containsText" text="No source">
      <formula>NOT(ISERROR(SEARCH("No source",U389)))</formula>
    </cfRule>
  </conditionalFormatting>
  <conditionalFormatting sqref="U394">
    <cfRule type="containsText" dxfId="61" priority="97" operator="containsText" text="No source">
      <formula>NOT(ISERROR(SEARCH("No source",U394)))</formula>
    </cfRule>
  </conditionalFormatting>
  <conditionalFormatting sqref="U396:U397">
    <cfRule type="containsText" dxfId="60" priority="96" operator="containsText" text="No source">
      <formula>NOT(ISERROR(SEARCH("No source",U396)))</formula>
    </cfRule>
  </conditionalFormatting>
  <conditionalFormatting sqref="U402">
    <cfRule type="containsText" dxfId="59" priority="95" operator="containsText" text="No source">
      <formula>NOT(ISERROR(SEARCH("No source",U402)))</formula>
    </cfRule>
  </conditionalFormatting>
  <conditionalFormatting sqref="U404">
    <cfRule type="containsText" dxfId="58" priority="94" operator="containsText" text="No source">
      <formula>NOT(ISERROR(SEARCH("No source",U404)))</formula>
    </cfRule>
  </conditionalFormatting>
  <conditionalFormatting sqref="U70 V70:V72">
    <cfRule type="containsText" dxfId="57" priority="93" operator="containsText" text="No source">
      <formula>NOT(ISERROR(SEARCH("No source",U70)))</formula>
    </cfRule>
  </conditionalFormatting>
  <conditionalFormatting sqref="U72">
    <cfRule type="containsText" dxfId="56" priority="92" operator="containsText" text="No source">
      <formula>NOT(ISERROR(SEARCH("No source",U72)))</formula>
    </cfRule>
  </conditionalFormatting>
  <conditionalFormatting sqref="V204:V205">
    <cfRule type="containsText" dxfId="55" priority="88" operator="containsText" text="No source">
      <formula>NOT(ISERROR(SEARCH("No source",V204)))</formula>
    </cfRule>
  </conditionalFormatting>
  <conditionalFormatting sqref="U203:V203 U202">
    <cfRule type="containsText" dxfId="54" priority="85" operator="containsText" text="No source">
      <formula>NOT(ISERROR(SEARCH("No source",U202)))</formula>
    </cfRule>
  </conditionalFormatting>
  <conditionalFormatting sqref="U200:V201">
    <cfRule type="containsText" dxfId="53" priority="82" operator="containsText" text="No source">
      <formula>NOT(ISERROR(SEARCH("No source",U200)))</formula>
    </cfRule>
  </conditionalFormatting>
  <conditionalFormatting sqref="U288:V288">
    <cfRule type="containsText" dxfId="52" priority="79" operator="containsText" text="No source">
      <formula>NOT(ISERROR(SEARCH("No source",U288)))</formula>
    </cfRule>
  </conditionalFormatting>
  <conditionalFormatting sqref="U243:V243 V244">
    <cfRule type="containsText" dxfId="51" priority="76" operator="containsText" text="No source">
      <formula>NOT(ISERROR(SEARCH("No source",U243)))</formula>
    </cfRule>
  </conditionalFormatting>
  <conditionalFormatting sqref="U241:V241 V241:V245">
    <cfRule type="containsText" dxfId="50" priority="73" operator="containsText" text="No source">
      <formula>NOT(ISERROR(SEARCH("No source",U241)))</formula>
    </cfRule>
  </conditionalFormatting>
  <conditionalFormatting sqref="U329:V329">
    <cfRule type="containsText" dxfId="49" priority="70" operator="containsText" text="No source">
      <formula>NOT(ISERROR(SEARCH("No source",U329)))</formula>
    </cfRule>
  </conditionalFormatting>
  <conditionalFormatting sqref="U327:V328">
    <cfRule type="containsText" dxfId="48" priority="67" operator="containsText" text="No source">
      <formula>NOT(ISERROR(SEARCH("No source",U327)))</formula>
    </cfRule>
  </conditionalFormatting>
  <conditionalFormatting sqref="U325:V326">
    <cfRule type="containsText" dxfId="47" priority="64" operator="containsText" text="No source">
      <formula>NOT(ISERROR(SEARCH("No source",U325)))</formula>
    </cfRule>
  </conditionalFormatting>
  <conditionalFormatting sqref="U323:V324">
    <cfRule type="containsText" dxfId="46" priority="61" operator="containsText" text="No source">
      <formula>NOT(ISERROR(SEARCH("No source",U323)))</formula>
    </cfRule>
  </conditionalFormatting>
  <conditionalFormatting sqref="U370:V370">
    <cfRule type="containsText" dxfId="45" priority="58" operator="containsText" text="No source">
      <formula>NOT(ISERROR(SEARCH("No source",U370)))</formula>
    </cfRule>
  </conditionalFormatting>
  <conditionalFormatting sqref="U368:V369">
    <cfRule type="containsText" dxfId="44" priority="55" operator="containsText" text="No source">
      <formula>NOT(ISERROR(SEARCH("No source",U368)))</formula>
    </cfRule>
  </conditionalFormatting>
  <conditionalFormatting sqref="U366:V367">
    <cfRule type="containsText" dxfId="43" priority="52" operator="containsText" text="No source">
      <formula>NOT(ISERROR(SEARCH("No source",U366)))</formula>
    </cfRule>
  </conditionalFormatting>
  <conditionalFormatting sqref="U364:V365">
    <cfRule type="containsText" dxfId="42" priority="49" operator="containsText" text="No source">
      <formula>NOT(ISERROR(SEARCH("No source",U364)))</formula>
    </cfRule>
  </conditionalFormatting>
  <conditionalFormatting sqref="U15">
    <cfRule type="containsText" dxfId="41" priority="46" operator="containsText" text="No source">
      <formula>NOT(ISERROR(SEARCH("No source",U15)))</formula>
    </cfRule>
  </conditionalFormatting>
  <conditionalFormatting sqref="U273">
    <cfRule type="containsText" dxfId="40" priority="14" operator="containsText" text="No source">
      <formula>NOT(ISERROR(SEARCH("No source",U273)))</formula>
    </cfRule>
  </conditionalFormatting>
  <conditionalFormatting sqref="U311">
    <cfRule type="containsText" dxfId="39" priority="5" operator="containsText" text="No source">
      <formula>NOT(ISERROR(SEARCH("No source",U311)))</formula>
    </cfRule>
  </conditionalFormatting>
  <conditionalFormatting sqref="U139">
    <cfRule type="containsText" dxfId="38" priority="40" operator="containsText" text="No source">
      <formula>NOT(ISERROR(SEARCH("No source",U139)))</formula>
    </cfRule>
  </conditionalFormatting>
  <conditionalFormatting sqref="U205">
    <cfRule type="containsText" dxfId="37" priority="39" operator="containsText" text="No source">
      <formula>NOT(ISERROR(SEARCH("No source",U205)))</formula>
    </cfRule>
  </conditionalFormatting>
  <conditionalFormatting sqref="U242">
    <cfRule type="containsText" dxfId="36" priority="38" operator="containsText" text="No source">
      <formula>NOT(ISERROR(SEARCH("No source",U242)))</formula>
    </cfRule>
  </conditionalFormatting>
  <conditionalFormatting sqref="U244">
    <cfRule type="containsText" dxfId="35" priority="37" operator="containsText" text="No source">
      <formula>NOT(ISERROR(SEARCH("No source",U244)))</formula>
    </cfRule>
  </conditionalFormatting>
  <conditionalFormatting sqref="U300">
    <cfRule type="containsText" dxfId="34" priority="36" operator="containsText" text="No source">
      <formula>NOT(ISERROR(SEARCH("No source",U300)))</formula>
    </cfRule>
  </conditionalFormatting>
  <conditionalFormatting sqref="U18">
    <cfRule type="containsText" dxfId="33" priority="35" operator="containsText" text="No source">
      <formula>NOT(ISERROR(SEARCH("No source",U18)))</formula>
    </cfRule>
  </conditionalFormatting>
  <conditionalFormatting sqref="U31">
    <cfRule type="containsText" dxfId="32" priority="34" operator="containsText" text="No source">
      <formula>NOT(ISERROR(SEARCH("No source",U31)))</formula>
    </cfRule>
  </conditionalFormatting>
  <conditionalFormatting sqref="U33">
    <cfRule type="containsText" dxfId="31" priority="33" operator="containsText" text="No source">
      <formula>NOT(ISERROR(SEARCH("No source",U33)))</formula>
    </cfRule>
  </conditionalFormatting>
  <conditionalFormatting sqref="U38">
    <cfRule type="containsText" dxfId="30" priority="32" operator="containsText" text="No source">
      <formula>NOT(ISERROR(SEARCH("No source",U38)))</formula>
    </cfRule>
  </conditionalFormatting>
  <conditionalFormatting sqref="U48">
    <cfRule type="containsText" dxfId="29" priority="31" operator="containsText" text="No source">
      <formula>NOT(ISERROR(SEARCH("No source",U48)))</formula>
    </cfRule>
  </conditionalFormatting>
  <conditionalFormatting sqref="U51">
    <cfRule type="containsText" dxfId="28" priority="30" operator="containsText" text="No source">
      <formula>NOT(ISERROR(SEARCH("No source",U51)))</formula>
    </cfRule>
  </conditionalFormatting>
  <conditionalFormatting sqref="U64">
    <cfRule type="containsText" dxfId="27" priority="29" operator="containsText" text="No source">
      <formula>NOT(ISERROR(SEARCH("No source",U64)))</formula>
    </cfRule>
  </conditionalFormatting>
  <conditionalFormatting sqref="U66">
    <cfRule type="containsText" dxfId="26" priority="28" operator="containsText" text="No source">
      <formula>NOT(ISERROR(SEARCH("No source",U66)))</formula>
    </cfRule>
  </conditionalFormatting>
  <conditionalFormatting sqref="U71">
    <cfRule type="containsText" dxfId="25" priority="27" operator="containsText" text="No source">
      <formula>NOT(ISERROR(SEARCH("No source",U71)))</formula>
    </cfRule>
  </conditionalFormatting>
  <conditionalFormatting sqref="U166">
    <cfRule type="containsText" dxfId="24" priority="26" operator="containsText" text="No source">
      <formula>NOT(ISERROR(SEARCH("No source",U166)))</formula>
    </cfRule>
  </conditionalFormatting>
  <conditionalFormatting sqref="U168">
    <cfRule type="containsText" dxfId="23" priority="25" operator="containsText" text="No source">
      <formula>NOT(ISERROR(SEARCH("No source",U168)))</formula>
    </cfRule>
  </conditionalFormatting>
  <conditionalFormatting sqref="U171">
    <cfRule type="containsText" dxfId="22" priority="24" operator="containsText" text="No source">
      <formula>NOT(ISERROR(SEARCH("No source",U171)))</formula>
    </cfRule>
  </conditionalFormatting>
  <conditionalFormatting sqref="U199">
    <cfRule type="containsText" dxfId="21" priority="23" operator="containsText" text="No source">
      <formula>NOT(ISERROR(SEARCH("No source",U199)))</formula>
    </cfRule>
  </conditionalFormatting>
  <conditionalFormatting sqref="U204">
    <cfRule type="containsText" dxfId="20" priority="22" operator="containsText" text="No source">
      <formula>NOT(ISERROR(SEARCH("No source",U204)))</formula>
    </cfRule>
  </conditionalFormatting>
  <conditionalFormatting sqref="U223">
    <cfRule type="containsText" dxfId="19" priority="21" operator="containsText" text="No source">
      <formula>NOT(ISERROR(SEARCH("No source",U223)))</formula>
    </cfRule>
  </conditionalFormatting>
  <conditionalFormatting sqref="U232">
    <cfRule type="containsText" dxfId="18" priority="20" operator="containsText" text="No source">
      <formula>NOT(ISERROR(SEARCH("No source",U232)))</formula>
    </cfRule>
  </conditionalFormatting>
  <conditionalFormatting sqref="U237">
    <cfRule type="containsText" dxfId="17" priority="19" operator="containsText" text="No source">
      <formula>NOT(ISERROR(SEARCH("No source",U237)))</formula>
    </cfRule>
  </conditionalFormatting>
  <conditionalFormatting sqref="U258">
    <cfRule type="containsText" dxfId="16" priority="18" operator="containsText" text="No source">
      <formula>NOT(ISERROR(SEARCH("No source",U258)))</formula>
    </cfRule>
  </conditionalFormatting>
  <conditionalFormatting sqref="U264">
    <cfRule type="containsText" dxfId="15" priority="17" operator="containsText" text="No source">
      <formula>NOT(ISERROR(SEARCH("No source",U264)))</formula>
    </cfRule>
  </conditionalFormatting>
  <conditionalFormatting sqref="U267">
    <cfRule type="containsText" dxfId="14" priority="16" operator="containsText" text="No source">
      <formula>NOT(ISERROR(SEARCH("No source",U267)))</formula>
    </cfRule>
  </conditionalFormatting>
  <conditionalFormatting sqref="U268">
    <cfRule type="containsText" dxfId="13" priority="15" operator="containsText" text="No source">
      <formula>NOT(ISERROR(SEARCH("No source",U268)))</formula>
    </cfRule>
  </conditionalFormatting>
  <conditionalFormatting sqref="U275">
    <cfRule type="containsText" dxfId="12" priority="13" operator="containsText" text="No source">
      <formula>NOT(ISERROR(SEARCH("No source",U275)))</formula>
    </cfRule>
  </conditionalFormatting>
  <conditionalFormatting sqref="U278">
    <cfRule type="containsText" dxfId="11" priority="12" operator="containsText" text="No source">
      <formula>NOT(ISERROR(SEARCH("No source",U278)))</formula>
    </cfRule>
  </conditionalFormatting>
  <conditionalFormatting sqref="U281">
    <cfRule type="containsText" dxfId="10" priority="11" operator="containsText" text="No source">
      <formula>NOT(ISERROR(SEARCH("No source",U281)))</formula>
    </cfRule>
  </conditionalFormatting>
  <conditionalFormatting sqref="U287">
    <cfRule type="containsText" dxfId="9" priority="10" operator="containsText" text="No source">
      <formula>NOT(ISERROR(SEARCH("No source",U287)))</formula>
    </cfRule>
  </conditionalFormatting>
  <conditionalFormatting sqref="U291">
    <cfRule type="containsText" dxfId="8" priority="9" operator="containsText" text="No source">
      <formula>NOT(ISERROR(SEARCH("No source",U291)))</formula>
    </cfRule>
  </conditionalFormatting>
  <conditionalFormatting sqref="U297">
    <cfRule type="containsText" dxfId="7" priority="8" operator="containsText" text="No source">
      <formula>NOT(ISERROR(SEARCH("No source",U297)))</formula>
    </cfRule>
  </conditionalFormatting>
  <conditionalFormatting sqref="U306">
    <cfRule type="containsText" dxfId="6" priority="7" operator="containsText" text="No source">
      <formula>NOT(ISERROR(SEARCH("No source",U306)))</formula>
    </cfRule>
  </conditionalFormatting>
  <conditionalFormatting sqref="U308">
    <cfRule type="containsText" dxfId="5" priority="6" operator="containsText" text="No source">
      <formula>NOT(ISERROR(SEARCH("No source",U308)))</formula>
    </cfRule>
  </conditionalFormatting>
  <conditionalFormatting sqref="V158:V169">
    <cfRule type="containsText" dxfId="4" priority="4" operator="containsText" text="No source">
      <formula>NOT(ISERROR(SEARCH("No source",V158)))</formula>
    </cfRule>
  </conditionalFormatting>
  <conditionalFormatting sqref="V202">
    <cfRule type="containsText" dxfId="3" priority="3" operator="containsText" text="No source">
      <formula>NOT(ISERROR(SEARCH("No source",V202)))</formula>
    </cfRule>
  </conditionalFormatting>
  <conditionalFormatting sqref="V246:V259">
    <cfRule type="containsText" dxfId="2" priority="2" operator="containsText" text="No source">
      <formula>NOT(ISERROR(SEARCH("No source",V246)))</formula>
    </cfRule>
  </conditionalFormatting>
  <conditionalFormatting sqref="V261:V269">
    <cfRule type="containsText" dxfId="1" priority="1" operator="containsText" text="No source">
      <formula>NOT(ISERROR(SEARCH("No source",V261)))</formula>
    </cfRule>
  </conditionalFormatting>
  <pageMargins left="0.7" right="0.7" top="0.75" bottom="0.75" header="0.3" footer="0.3"/>
  <pageSetup orientation="portrait" r:id="rId1"/>
  <headerFooter>
    <oddFooter>&amp;C_x000D_&amp;1#&amp;"Calibri"&amp;10&amp;K000000 Business External</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2BB42-2321-4038-BEAB-2D3E1142E8DD}">
  <sheetPr codeName="Sheet14">
    <tabColor theme="3" tint="0.59999389629810485"/>
  </sheetPr>
  <dimension ref="A1:Y137"/>
  <sheetViews>
    <sheetView showGridLines="0" topLeftCell="A26" zoomScale="115" zoomScaleNormal="115" workbookViewId="0"/>
  </sheetViews>
  <sheetFormatPr defaultColWidth="0" defaultRowHeight="12.75" zeroHeight="1" x14ac:dyDescent="0.2"/>
  <cols>
    <col min="1" max="1" width="9.140625" customWidth="1"/>
    <col min="2" max="2" width="24.85546875" customWidth="1"/>
    <col min="3" max="3" width="36.5703125" customWidth="1"/>
    <col min="4" max="4" width="8.42578125" customWidth="1"/>
    <col min="5" max="5" width="48" style="48" customWidth="1"/>
    <col min="6" max="7" width="15.42578125" customWidth="1"/>
    <col min="8" max="12" width="11.42578125" customWidth="1"/>
    <col min="13" max="13" width="6.140625" customWidth="1"/>
    <col min="14" max="14" width="27.5703125" bestFit="1" customWidth="1"/>
    <col min="15" max="20" width="9.140625"/>
    <col min="21" max="21" width="9.140625" customWidth="1"/>
    <col min="22" max="24" width="9.140625"/>
    <col min="25" max="25" width="8.5703125" hidden="1" customWidth="1"/>
    <col min="26" max="26" width="0" hidden="1" customWidth="1"/>
  </cols>
  <sheetData>
    <row r="1" spans="1:15" s="265" customFormat="1" ht="38.1" customHeight="1" x14ac:dyDescent="0.2">
      <c r="E1" s="265" t="str" cm="1">
        <f t="array" aca="1" ref="E1" ca="1">MID(CELL("filename",A1),FIND("]",CELL("filename",A1))+1,255)</f>
        <v>Vessel Profiles - Input</v>
      </c>
    </row>
    <row r="2" spans="1:15" x14ac:dyDescent="0.2">
      <c r="G2" s="632" t="s">
        <v>656</v>
      </c>
      <c r="H2" s="632"/>
      <c r="I2" s="632"/>
      <c r="J2" s="632"/>
      <c r="K2" s="632"/>
      <c r="L2" s="632"/>
      <c r="M2" s="31"/>
      <c r="N2" s="31" t="s">
        <v>657</v>
      </c>
      <c r="O2" s="577"/>
    </row>
    <row r="3" spans="1:15" x14ac:dyDescent="0.2">
      <c r="B3" s="223"/>
      <c r="C3" s="223" t="s">
        <v>618</v>
      </c>
      <c r="D3" s="223" t="s">
        <v>658</v>
      </c>
      <c r="E3" s="225" t="s">
        <v>659</v>
      </c>
      <c r="F3" s="222" t="s">
        <v>86</v>
      </c>
      <c r="G3" s="222" t="s">
        <v>105</v>
      </c>
      <c r="H3" s="222" t="s">
        <v>547</v>
      </c>
      <c r="I3" s="222" t="s">
        <v>541</v>
      </c>
      <c r="J3" s="222" t="s">
        <v>553</v>
      </c>
      <c r="K3" s="222" t="s">
        <v>548</v>
      </c>
      <c r="L3" s="222" t="s">
        <v>555</v>
      </c>
      <c r="M3" s="269"/>
      <c r="N3" s="223" t="s">
        <v>478</v>
      </c>
    </row>
    <row r="4" spans="1:15" x14ac:dyDescent="0.2">
      <c r="B4" s="633" t="s">
        <v>660</v>
      </c>
      <c r="C4" s="634"/>
      <c r="D4" s="634"/>
      <c r="E4" s="635"/>
      <c r="F4" s="636"/>
      <c r="G4" s="636"/>
      <c r="H4" s="636"/>
      <c r="I4" s="636"/>
      <c r="J4" s="636"/>
      <c r="K4" s="636"/>
      <c r="L4" s="636"/>
      <c r="M4" s="637"/>
      <c r="N4" s="638"/>
    </row>
    <row r="5" spans="1:15" x14ac:dyDescent="0.2">
      <c r="A5" s="266"/>
      <c r="C5" s="4"/>
      <c r="D5" s="4"/>
      <c r="E5" s="625" t="s">
        <v>520</v>
      </c>
      <c r="F5" s="281" t="s">
        <v>176</v>
      </c>
      <c r="G5" s="357">
        <v>25</v>
      </c>
      <c r="H5" s="639">
        <f>G5</f>
        <v>25</v>
      </c>
      <c r="I5" s="639">
        <f t="shared" ref="I5:L5" si="0">H5</f>
        <v>25</v>
      </c>
      <c r="J5" s="639">
        <f t="shared" si="0"/>
        <v>25</v>
      </c>
      <c r="K5" s="639">
        <f t="shared" si="0"/>
        <v>25</v>
      </c>
      <c r="L5" s="639">
        <f t="shared" si="0"/>
        <v>25</v>
      </c>
      <c r="N5" t="s">
        <v>661</v>
      </c>
    </row>
    <row r="6" spans="1:15" x14ac:dyDescent="0.2">
      <c r="C6" s="4" t="s">
        <v>308</v>
      </c>
      <c r="D6" s="4"/>
      <c r="E6" s="625" t="s">
        <v>308</v>
      </c>
      <c r="F6" s="281" t="s">
        <v>662</v>
      </c>
      <c r="G6" s="357">
        <v>240</v>
      </c>
      <c r="H6" s="357">
        <v>225</v>
      </c>
      <c r="I6" s="357">
        <v>240</v>
      </c>
      <c r="J6" s="357">
        <v>224</v>
      </c>
      <c r="K6" s="357">
        <v>250</v>
      </c>
      <c r="L6" s="357">
        <v>219</v>
      </c>
      <c r="N6" t="s">
        <v>663</v>
      </c>
    </row>
    <row r="7" spans="1:15" x14ac:dyDescent="0.2">
      <c r="C7" s="4" t="s">
        <v>664</v>
      </c>
      <c r="D7" s="4"/>
      <c r="E7" s="625" t="s">
        <v>664</v>
      </c>
      <c r="F7" s="281" t="s">
        <v>665</v>
      </c>
      <c r="G7" s="354">
        <f t="shared" ref="G7:L7" si="1">G6*G15*24</f>
        <v>103680</v>
      </c>
      <c r="H7" s="354">
        <f t="shared" si="1"/>
        <v>64800</v>
      </c>
      <c r="I7" s="354">
        <f t="shared" si="1"/>
        <v>69120</v>
      </c>
      <c r="J7" s="354">
        <f t="shared" si="1"/>
        <v>86016</v>
      </c>
      <c r="K7" s="354">
        <f t="shared" si="1"/>
        <v>102000</v>
      </c>
      <c r="L7" s="354">
        <f t="shared" si="1"/>
        <v>89352</v>
      </c>
      <c r="N7" t="s">
        <v>661</v>
      </c>
    </row>
    <row r="8" spans="1:15" x14ac:dyDescent="0.2">
      <c r="C8" s="640"/>
      <c r="D8" s="640"/>
      <c r="E8" s="641" t="s">
        <v>666</v>
      </c>
      <c r="F8" s="642" t="s">
        <v>342</v>
      </c>
      <c r="G8" s="354">
        <f t="shared" ref="G8:L8" si="2">G6*24</f>
        <v>5760</v>
      </c>
      <c r="H8" s="354">
        <f t="shared" si="2"/>
        <v>5400</v>
      </c>
      <c r="I8" s="354">
        <f t="shared" si="2"/>
        <v>5760</v>
      </c>
      <c r="J8" s="354">
        <f t="shared" si="2"/>
        <v>5376</v>
      </c>
      <c r="K8" s="354">
        <f t="shared" si="2"/>
        <v>6000</v>
      </c>
      <c r="L8" s="354">
        <f t="shared" si="2"/>
        <v>5256</v>
      </c>
      <c r="N8" t="s">
        <v>661</v>
      </c>
    </row>
    <row r="9" spans="1:15" x14ac:dyDescent="0.2">
      <c r="C9" s="640"/>
      <c r="D9" s="640"/>
      <c r="E9" s="641" t="s">
        <v>667</v>
      </c>
      <c r="F9" s="642" t="s">
        <v>342</v>
      </c>
      <c r="G9" s="354">
        <f t="shared" ref="G9:L9" si="3">365*24-G8</f>
        <v>3000</v>
      </c>
      <c r="H9" s="354">
        <f t="shared" si="3"/>
        <v>3360</v>
      </c>
      <c r="I9" s="354">
        <f t="shared" si="3"/>
        <v>3000</v>
      </c>
      <c r="J9" s="354">
        <f t="shared" si="3"/>
        <v>3384</v>
      </c>
      <c r="K9" s="354">
        <f t="shared" si="3"/>
        <v>2760</v>
      </c>
      <c r="L9" s="354">
        <f t="shared" si="3"/>
        <v>3504</v>
      </c>
      <c r="N9" t="s">
        <v>661</v>
      </c>
    </row>
    <row r="10" spans="1:15" x14ac:dyDescent="0.2">
      <c r="C10" s="640"/>
      <c r="D10" s="640"/>
      <c r="E10" s="641" t="s">
        <v>372</v>
      </c>
      <c r="F10" s="642" t="s">
        <v>668</v>
      </c>
      <c r="G10" s="357">
        <v>100</v>
      </c>
      <c r="H10" s="357">
        <v>40</v>
      </c>
      <c r="I10" s="357">
        <v>40</v>
      </c>
      <c r="J10" s="357">
        <v>120</v>
      </c>
      <c r="K10" s="357">
        <v>50</v>
      </c>
      <c r="L10" s="357">
        <v>208</v>
      </c>
      <c r="N10" t="s">
        <v>663</v>
      </c>
    </row>
    <row r="11" spans="1:15" x14ac:dyDescent="0.2">
      <c r="C11" s="4" t="s">
        <v>306</v>
      </c>
      <c r="D11" s="4"/>
      <c r="E11" s="625" t="s">
        <v>306</v>
      </c>
      <c r="F11" s="281" t="s">
        <v>305</v>
      </c>
      <c r="G11" s="354"/>
      <c r="H11" s="354"/>
      <c r="I11" s="354"/>
      <c r="J11" s="357">
        <v>45</v>
      </c>
      <c r="K11" s="357">
        <v>50</v>
      </c>
      <c r="L11" s="357">
        <v>14</v>
      </c>
      <c r="N11" t="s">
        <v>521</v>
      </c>
    </row>
    <row r="12" spans="1:15" x14ac:dyDescent="0.2">
      <c r="C12" s="4"/>
      <c r="D12" s="4"/>
      <c r="E12" s="625" t="s">
        <v>669</v>
      </c>
      <c r="F12" s="281" t="s">
        <v>670</v>
      </c>
      <c r="G12" s="357">
        <v>17000</v>
      </c>
      <c r="H12" s="357">
        <v>20000</v>
      </c>
      <c r="I12" s="357">
        <v>22000</v>
      </c>
      <c r="J12" s="357">
        <v>18000</v>
      </c>
      <c r="K12" s="357">
        <f>K11*K15*24</f>
        <v>20400</v>
      </c>
      <c r="L12" s="357">
        <v>7400</v>
      </c>
      <c r="N12" t="s">
        <v>663</v>
      </c>
    </row>
    <row r="13" spans="1:15" x14ac:dyDescent="0.2">
      <c r="C13" s="625" t="s">
        <v>671</v>
      </c>
      <c r="D13" s="4"/>
      <c r="E13" s="625" t="s">
        <v>671</v>
      </c>
      <c r="F13" s="281" t="s">
        <v>672</v>
      </c>
      <c r="G13" s="354"/>
      <c r="H13" s="587">
        <v>13</v>
      </c>
      <c r="I13" s="587">
        <v>11.5</v>
      </c>
      <c r="J13" s="354"/>
      <c r="K13" s="354"/>
      <c r="L13" s="354"/>
      <c r="N13" t="s">
        <v>663</v>
      </c>
    </row>
    <row r="14" spans="1:15" x14ac:dyDescent="0.2">
      <c r="C14" s="4"/>
      <c r="D14" s="4"/>
      <c r="E14" s="625" t="s">
        <v>673</v>
      </c>
      <c r="F14" s="281" t="s">
        <v>178</v>
      </c>
      <c r="G14" s="354"/>
      <c r="H14" s="352">
        <v>0.6</v>
      </c>
      <c r="I14" s="352">
        <v>0.5</v>
      </c>
      <c r="J14" s="354"/>
      <c r="K14" s="354"/>
      <c r="L14" s="354"/>
      <c r="N14" t="s">
        <v>663</v>
      </c>
    </row>
    <row r="15" spans="1:15" x14ac:dyDescent="0.2">
      <c r="C15" s="625" t="s">
        <v>674</v>
      </c>
      <c r="D15" s="4"/>
      <c r="E15" s="625" t="s">
        <v>674</v>
      </c>
      <c r="F15" s="281" t="s">
        <v>672</v>
      </c>
      <c r="G15" s="357">
        <v>18</v>
      </c>
      <c r="H15" s="357">
        <v>12</v>
      </c>
      <c r="I15" s="357">
        <v>12</v>
      </c>
      <c r="J15" s="357">
        <v>16</v>
      </c>
      <c r="K15" s="357">
        <v>17</v>
      </c>
      <c r="L15" s="357">
        <v>17</v>
      </c>
      <c r="N15" t="s">
        <v>663</v>
      </c>
    </row>
    <row r="16" spans="1:15" x14ac:dyDescent="0.2">
      <c r="C16" s="4"/>
      <c r="D16" s="4"/>
      <c r="E16" s="625" t="s">
        <v>673</v>
      </c>
      <c r="F16" s="281" t="s">
        <v>178</v>
      </c>
      <c r="G16" s="352">
        <v>1</v>
      </c>
      <c r="H16" s="352">
        <v>0.4</v>
      </c>
      <c r="I16" s="352">
        <v>0.5</v>
      </c>
      <c r="J16" s="352">
        <v>1</v>
      </c>
      <c r="K16" s="352">
        <v>1</v>
      </c>
      <c r="L16" s="352">
        <v>1</v>
      </c>
      <c r="N16" t="s">
        <v>663</v>
      </c>
    </row>
    <row r="17" spans="2:14" x14ac:dyDescent="0.2">
      <c r="C17" s="4" t="s">
        <v>675</v>
      </c>
      <c r="D17" s="4"/>
      <c r="E17" s="625" t="str">
        <f>C17</f>
        <v>Average combined speed</v>
      </c>
      <c r="F17" s="281" t="s">
        <v>426</v>
      </c>
      <c r="G17" s="354">
        <f t="shared" ref="G17:L17" si="4">G13*G14+G15*G16</f>
        <v>18</v>
      </c>
      <c r="H17" s="354">
        <f t="shared" si="4"/>
        <v>12.600000000000001</v>
      </c>
      <c r="I17" s="354">
        <f t="shared" si="4"/>
        <v>11.75</v>
      </c>
      <c r="J17" s="354">
        <f t="shared" si="4"/>
        <v>16</v>
      </c>
      <c r="K17" s="354">
        <f t="shared" si="4"/>
        <v>17</v>
      </c>
      <c r="L17" s="354">
        <f t="shared" si="4"/>
        <v>17</v>
      </c>
    </row>
    <row r="18" spans="2:14" x14ac:dyDescent="0.2">
      <c r="B18" s="643" t="s">
        <v>676</v>
      </c>
      <c r="C18" s="626"/>
      <c r="D18" s="627"/>
      <c r="E18" s="628"/>
      <c r="F18" s="627"/>
      <c r="G18" s="644"/>
      <c r="H18" s="644"/>
      <c r="I18" s="644"/>
      <c r="J18" s="644"/>
      <c r="K18" s="644"/>
      <c r="L18" s="644"/>
      <c r="M18" s="476"/>
      <c r="N18" s="476" t="s">
        <v>521</v>
      </c>
    </row>
    <row r="19" spans="2:14" x14ac:dyDescent="0.2">
      <c r="B19" s="266"/>
      <c r="C19" s="4" t="str">
        <f>E19</f>
        <v>Power Requirement Average</v>
      </c>
      <c r="D19" s="280"/>
      <c r="E19" s="625" t="s">
        <v>677</v>
      </c>
      <c r="F19" s="281" t="s">
        <v>336</v>
      </c>
      <c r="G19" s="354">
        <f t="shared" ref="G19:L19" si="5">SUM(G72,G44,G81)</f>
        <v>137697.49853658536</v>
      </c>
      <c r="H19" s="354">
        <f t="shared" si="5"/>
        <v>29029.375609756098</v>
      </c>
      <c r="I19" s="354">
        <f t="shared" si="5"/>
        <v>15110.751219512194</v>
      </c>
      <c r="J19" s="354">
        <f t="shared" si="5"/>
        <v>45161.41014634147</v>
      </c>
      <c r="K19" s="354">
        <f t="shared" si="5"/>
        <v>83619.121951219509</v>
      </c>
      <c r="L19" s="354">
        <f t="shared" si="5"/>
        <v>171489.71707317073</v>
      </c>
      <c r="N19" t="s">
        <v>521</v>
      </c>
    </row>
    <row r="20" spans="2:14" x14ac:dyDescent="0.2">
      <c r="B20" s="266"/>
      <c r="C20" s="4"/>
      <c r="D20" s="280"/>
      <c r="E20" s="625"/>
      <c r="F20" s="281"/>
      <c r="G20" s="354"/>
      <c r="H20" s="354"/>
      <c r="I20" s="354"/>
      <c r="J20" s="354"/>
      <c r="K20" s="354"/>
      <c r="L20" s="354"/>
    </row>
    <row r="21" spans="2:14" x14ac:dyDescent="0.2">
      <c r="B21" s="266"/>
      <c r="C21" s="4" t="s">
        <v>678</v>
      </c>
      <c r="D21" s="280"/>
      <c r="E21" s="625" t="s">
        <v>679</v>
      </c>
      <c r="F21" s="281" t="s">
        <v>680</v>
      </c>
      <c r="G21" s="357">
        <v>175</v>
      </c>
      <c r="H21" s="639">
        <f>G21</f>
        <v>175</v>
      </c>
      <c r="I21" s="639">
        <f t="shared" ref="I21:L21" si="6">H21</f>
        <v>175</v>
      </c>
      <c r="J21" s="639">
        <f t="shared" si="6"/>
        <v>175</v>
      </c>
      <c r="K21" s="639">
        <f t="shared" si="6"/>
        <v>175</v>
      </c>
      <c r="L21" s="639">
        <f t="shared" si="6"/>
        <v>175</v>
      </c>
    </row>
    <row r="22" spans="2:14" x14ac:dyDescent="0.2">
      <c r="B22" s="266"/>
      <c r="C22" s="4" t="s">
        <v>681</v>
      </c>
      <c r="D22" s="280"/>
      <c r="E22" s="625" t="s">
        <v>679</v>
      </c>
      <c r="F22" s="281" t="s">
        <v>680</v>
      </c>
      <c r="G22" s="357">
        <v>210</v>
      </c>
      <c r="H22" s="639">
        <f t="shared" ref="H22:L22" si="7">G22</f>
        <v>210</v>
      </c>
      <c r="I22" s="639">
        <f t="shared" si="7"/>
        <v>210</v>
      </c>
      <c r="J22" s="639">
        <f t="shared" si="7"/>
        <v>210</v>
      </c>
      <c r="K22" s="639">
        <f t="shared" si="7"/>
        <v>210</v>
      </c>
      <c r="L22" s="639">
        <f t="shared" si="7"/>
        <v>210</v>
      </c>
    </row>
    <row r="23" spans="2:14" x14ac:dyDescent="0.2">
      <c r="B23" s="266"/>
      <c r="C23" s="4" t="s">
        <v>682</v>
      </c>
      <c r="D23" s="280"/>
      <c r="E23" s="625" t="s">
        <v>679</v>
      </c>
      <c r="F23" s="281" t="s">
        <v>680</v>
      </c>
      <c r="G23" s="357">
        <v>82</v>
      </c>
      <c r="H23" s="639">
        <f t="shared" ref="H23:L23" si="8">G23</f>
        <v>82</v>
      </c>
      <c r="I23" s="639">
        <f t="shared" si="8"/>
        <v>82</v>
      </c>
      <c r="J23" s="639">
        <f t="shared" si="8"/>
        <v>82</v>
      </c>
      <c r="K23" s="639">
        <f t="shared" si="8"/>
        <v>82</v>
      </c>
      <c r="L23" s="639">
        <f t="shared" si="8"/>
        <v>82</v>
      </c>
      <c r="N23" t="s">
        <v>663</v>
      </c>
    </row>
    <row r="24" spans="2:14" x14ac:dyDescent="0.2">
      <c r="B24" s="643" t="s">
        <v>111</v>
      </c>
      <c r="C24" s="626"/>
      <c r="D24" s="627"/>
      <c r="E24" s="628"/>
      <c r="F24" s="627"/>
      <c r="G24" s="644"/>
      <c r="H24" s="644"/>
      <c r="I24" s="644"/>
      <c r="J24" s="644"/>
      <c r="K24" s="644"/>
      <c r="L24" s="644"/>
      <c r="M24" s="476"/>
      <c r="N24" s="476"/>
    </row>
    <row r="25" spans="2:14" x14ac:dyDescent="0.2">
      <c r="C25" s="4" t="s">
        <v>276</v>
      </c>
      <c r="D25" s="4"/>
      <c r="E25" s="625" t="s">
        <v>276</v>
      </c>
      <c r="F25" s="281" t="s">
        <v>277</v>
      </c>
      <c r="G25" s="587">
        <v>50</v>
      </c>
      <c r="H25" s="587">
        <v>12</v>
      </c>
      <c r="I25" s="587">
        <v>8.1999999999999993</v>
      </c>
      <c r="J25" s="587">
        <v>11.3</v>
      </c>
      <c r="K25" s="587">
        <v>12</v>
      </c>
      <c r="L25" s="587">
        <v>38.4</v>
      </c>
      <c r="N25" t="s">
        <v>663</v>
      </c>
    </row>
    <row r="26" spans="2:14" x14ac:dyDescent="0.2">
      <c r="B26" s="645"/>
      <c r="C26" s="4" t="str">
        <f>_xlfn.CONCAT("ME - MCR - BALLAST/NORMAL ",E26," knots")</f>
        <v>ME - MCR - BALLAST/NORMAL 10 knots</v>
      </c>
      <c r="D26" s="4"/>
      <c r="E26" s="625">
        <v>10</v>
      </c>
      <c r="F26" s="281" t="s">
        <v>178</v>
      </c>
      <c r="G26" s="352">
        <v>0.06</v>
      </c>
      <c r="H26" s="352">
        <v>0.28999999999999998</v>
      </c>
      <c r="I26" s="352">
        <v>0.27</v>
      </c>
      <c r="J26" s="352">
        <v>0.14000000000000001</v>
      </c>
      <c r="K26" s="352">
        <v>0.17</v>
      </c>
      <c r="L26" s="352">
        <v>9.7000000000000003E-2</v>
      </c>
      <c r="M26" s="9"/>
      <c r="N26" t="s">
        <v>663</v>
      </c>
    </row>
    <row r="27" spans="2:14" x14ac:dyDescent="0.2">
      <c r="B27" s="645"/>
      <c r="C27" s="4" t="str">
        <f t="shared" ref="C27:C40" si="9">_xlfn.CONCAT("ME - MCR - BALLAST/NORMAL ",E27," knots")</f>
        <v>ME - MCR - BALLAST/NORMAL 11 knots</v>
      </c>
      <c r="D27" s="4"/>
      <c r="E27" s="625">
        <v>11</v>
      </c>
      <c r="F27" s="281" t="s">
        <v>178</v>
      </c>
      <c r="G27" s="352">
        <v>0.08</v>
      </c>
      <c r="H27" s="352">
        <v>0.34</v>
      </c>
      <c r="I27" s="352">
        <v>0.36</v>
      </c>
      <c r="J27" s="352">
        <v>0.19</v>
      </c>
      <c r="K27" s="352">
        <v>0.23</v>
      </c>
      <c r="L27" s="352">
        <v>0.13</v>
      </c>
      <c r="M27" s="9"/>
      <c r="N27" t="s">
        <v>663</v>
      </c>
    </row>
    <row r="28" spans="2:14" x14ac:dyDescent="0.2">
      <c r="B28" s="645"/>
      <c r="C28" s="4" t="str">
        <f t="shared" si="9"/>
        <v>ME - MCR - BALLAST/NORMAL 12 knots</v>
      </c>
      <c r="D28" s="4"/>
      <c r="E28" s="625">
        <v>12</v>
      </c>
      <c r="F28" s="281" t="s">
        <v>178</v>
      </c>
      <c r="G28" s="352">
        <v>0.12</v>
      </c>
      <c r="H28" s="352">
        <v>0.42</v>
      </c>
      <c r="I28" s="352">
        <v>0.46</v>
      </c>
      <c r="J28" s="352">
        <v>0.24</v>
      </c>
      <c r="K28" s="352">
        <v>0.3</v>
      </c>
      <c r="L28" s="352">
        <v>0.16</v>
      </c>
      <c r="M28" s="9"/>
      <c r="N28" t="s">
        <v>663</v>
      </c>
    </row>
    <row r="29" spans="2:14" x14ac:dyDescent="0.2">
      <c r="B29" s="645"/>
      <c r="C29" s="4" t="str">
        <f t="shared" si="9"/>
        <v>ME - MCR - BALLAST/NORMAL 13 knots</v>
      </c>
      <c r="D29" s="4"/>
      <c r="E29" s="625">
        <v>13</v>
      </c>
      <c r="F29" s="281" t="s">
        <v>178</v>
      </c>
      <c r="G29" s="352">
        <v>0.15</v>
      </c>
      <c r="H29" s="352">
        <v>0.49</v>
      </c>
      <c r="I29" s="352">
        <v>0.6</v>
      </c>
      <c r="J29" s="352">
        <v>0.31</v>
      </c>
      <c r="K29" s="352">
        <v>0.38</v>
      </c>
      <c r="L29" s="352">
        <v>0.2</v>
      </c>
      <c r="M29" s="9"/>
      <c r="N29" t="s">
        <v>663</v>
      </c>
    </row>
    <row r="30" spans="2:14" x14ac:dyDescent="0.2">
      <c r="B30" s="645"/>
      <c r="C30" s="4" t="str">
        <f t="shared" si="9"/>
        <v>ME - MCR - BALLAST/NORMAL 14 knots</v>
      </c>
      <c r="D30" s="4"/>
      <c r="E30" s="625">
        <v>14</v>
      </c>
      <c r="F30" s="281" t="s">
        <v>178</v>
      </c>
      <c r="G30" s="352">
        <v>0.19</v>
      </c>
      <c r="H30" s="352">
        <v>0.64</v>
      </c>
      <c r="I30" s="352">
        <v>0.78</v>
      </c>
      <c r="J30" s="352">
        <v>0.39</v>
      </c>
      <c r="K30" s="352">
        <v>0.48</v>
      </c>
      <c r="L30" s="352">
        <v>0.24</v>
      </c>
      <c r="M30" s="9"/>
      <c r="N30" t="s">
        <v>663</v>
      </c>
    </row>
    <row r="31" spans="2:14" x14ac:dyDescent="0.2">
      <c r="B31" s="645"/>
      <c r="C31" s="4" t="str">
        <f t="shared" si="9"/>
        <v>ME - MCR - BALLAST/NORMAL 15 knots</v>
      </c>
      <c r="D31" s="4"/>
      <c r="E31" s="625">
        <v>15</v>
      </c>
      <c r="F31" s="281" t="s">
        <v>178</v>
      </c>
      <c r="G31" s="352">
        <v>0.23</v>
      </c>
      <c r="H31" s="352">
        <v>0.8</v>
      </c>
      <c r="I31" s="645"/>
      <c r="J31" s="352">
        <v>0.48</v>
      </c>
      <c r="K31" s="352">
        <v>0.57999999999999996</v>
      </c>
      <c r="L31" s="352">
        <v>0.28999999999999998</v>
      </c>
      <c r="M31" s="9"/>
      <c r="N31" t="s">
        <v>663</v>
      </c>
    </row>
    <row r="32" spans="2:14" x14ac:dyDescent="0.2">
      <c r="B32" s="645"/>
      <c r="C32" s="4" t="str">
        <f t="shared" si="9"/>
        <v>ME - MCR - BALLAST/NORMAL 16 knots</v>
      </c>
      <c r="D32" s="4"/>
      <c r="E32" s="625">
        <v>16</v>
      </c>
      <c r="F32" s="281" t="s">
        <v>178</v>
      </c>
      <c r="G32" s="352">
        <v>0.28000000000000003</v>
      </c>
      <c r="H32" s="645"/>
      <c r="I32" s="645"/>
      <c r="J32" s="352">
        <v>0.57999999999999996</v>
      </c>
      <c r="K32" s="352">
        <v>0.71</v>
      </c>
      <c r="L32" s="352">
        <v>0.34</v>
      </c>
      <c r="M32" s="9"/>
      <c r="N32" t="s">
        <v>663</v>
      </c>
    </row>
    <row r="33" spans="2:14" x14ac:dyDescent="0.2">
      <c r="B33" s="645"/>
      <c r="C33" s="4" t="str">
        <f t="shared" si="9"/>
        <v>ME - MCR - BALLAST/NORMAL 17 knots</v>
      </c>
      <c r="D33" s="4"/>
      <c r="E33" s="625">
        <v>17</v>
      </c>
      <c r="F33" s="281" t="s">
        <v>178</v>
      </c>
      <c r="G33" s="352">
        <v>0.34</v>
      </c>
      <c r="H33" s="645"/>
      <c r="I33" s="645"/>
      <c r="J33" s="352">
        <v>0.71</v>
      </c>
      <c r="K33" s="352">
        <v>0.85</v>
      </c>
      <c r="L33" s="352">
        <v>0.42</v>
      </c>
      <c r="M33" s="9"/>
      <c r="N33" t="s">
        <v>663</v>
      </c>
    </row>
    <row r="34" spans="2:14" x14ac:dyDescent="0.2">
      <c r="B34" s="645"/>
      <c r="C34" s="4" t="str">
        <f t="shared" si="9"/>
        <v>ME - MCR - BALLAST/NORMAL 18 knots</v>
      </c>
      <c r="D34" s="4"/>
      <c r="E34" s="625">
        <v>18</v>
      </c>
      <c r="F34" s="281" t="s">
        <v>178</v>
      </c>
      <c r="G34" s="352">
        <v>0.41</v>
      </c>
      <c r="H34" s="645"/>
      <c r="I34" s="645"/>
      <c r="J34" s="352">
        <v>0.86</v>
      </c>
      <c r="K34" s="352">
        <v>1</v>
      </c>
      <c r="L34" s="352">
        <v>0.49</v>
      </c>
      <c r="M34" s="9"/>
      <c r="N34" t="s">
        <v>663</v>
      </c>
    </row>
    <row r="35" spans="2:14" x14ac:dyDescent="0.2">
      <c r="B35" s="645"/>
      <c r="C35" s="4" t="str">
        <f t="shared" si="9"/>
        <v>ME - MCR - BALLAST/NORMAL 19 knots</v>
      </c>
      <c r="D35" s="4"/>
      <c r="E35" s="625">
        <v>19</v>
      </c>
      <c r="F35" s="281" t="s">
        <v>178</v>
      </c>
      <c r="G35" s="352">
        <v>0.48</v>
      </c>
      <c r="H35" s="645"/>
      <c r="I35" s="645"/>
      <c r="J35" s="352">
        <v>1</v>
      </c>
      <c r="K35" s="645"/>
      <c r="L35" s="352">
        <v>0.56999999999999995</v>
      </c>
      <c r="M35" s="9"/>
      <c r="N35" t="s">
        <v>663</v>
      </c>
    </row>
    <row r="36" spans="2:14" x14ac:dyDescent="0.2">
      <c r="B36" s="645"/>
      <c r="C36" s="4" t="str">
        <f t="shared" si="9"/>
        <v>ME - MCR - BALLAST/NORMAL 20 knots</v>
      </c>
      <c r="D36" s="4"/>
      <c r="E36" s="625">
        <v>20</v>
      </c>
      <c r="F36" s="281" t="s">
        <v>178</v>
      </c>
      <c r="G36" s="352">
        <v>0.56000000000000005</v>
      </c>
      <c r="H36" s="645"/>
      <c r="I36" s="645"/>
      <c r="J36" s="645"/>
      <c r="K36" s="645"/>
      <c r="L36" s="352">
        <v>0.67</v>
      </c>
      <c r="M36" s="9"/>
      <c r="N36" t="s">
        <v>663</v>
      </c>
    </row>
    <row r="37" spans="2:14" x14ac:dyDescent="0.2">
      <c r="B37" s="645"/>
      <c r="C37" s="4" t="str">
        <f t="shared" si="9"/>
        <v>ME - MCR - BALLAST/NORMAL 21 knots</v>
      </c>
      <c r="D37" s="4"/>
      <c r="E37" s="625">
        <v>21</v>
      </c>
      <c r="F37" s="281" t="s">
        <v>178</v>
      </c>
      <c r="G37" s="352">
        <v>0.66</v>
      </c>
      <c r="H37" s="645"/>
      <c r="I37" s="645"/>
      <c r="J37" s="645"/>
      <c r="K37" s="645"/>
      <c r="L37" s="352">
        <v>0.79</v>
      </c>
      <c r="M37" s="9"/>
      <c r="N37" t="s">
        <v>663</v>
      </c>
    </row>
    <row r="38" spans="2:14" x14ac:dyDescent="0.2">
      <c r="B38" s="645"/>
      <c r="C38" s="4" t="str">
        <f t="shared" si="9"/>
        <v>ME - MCR - BALLAST/NORMAL 22 knots</v>
      </c>
      <c r="D38" s="4"/>
      <c r="E38" s="625">
        <v>22</v>
      </c>
      <c r="F38" s="281" t="s">
        <v>178</v>
      </c>
      <c r="G38" s="352">
        <v>0.78</v>
      </c>
      <c r="H38" s="645"/>
      <c r="I38" s="645"/>
      <c r="J38" s="645"/>
      <c r="K38" s="645"/>
      <c r="L38" s="352">
        <v>0.92</v>
      </c>
      <c r="M38" s="9"/>
      <c r="N38" t="s">
        <v>663</v>
      </c>
    </row>
    <row r="39" spans="2:14" x14ac:dyDescent="0.2">
      <c r="B39" s="266"/>
      <c r="C39" s="4" t="str">
        <f t="shared" si="9"/>
        <v>ME - MCR - BALLAST/NORMAL 34 knots</v>
      </c>
      <c r="D39" s="4"/>
      <c r="E39" s="625">
        <v>34</v>
      </c>
      <c r="F39" s="281" t="s">
        <v>178</v>
      </c>
      <c r="G39" s="645"/>
      <c r="H39" s="645"/>
      <c r="I39" s="645"/>
      <c r="J39" s="645"/>
      <c r="K39" s="645"/>
      <c r="L39" s="645"/>
      <c r="M39" s="9"/>
      <c r="N39" t="s">
        <v>663</v>
      </c>
    </row>
    <row r="40" spans="2:14" x14ac:dyDescent="0.2">
      <c r="B40" s="266"/>
      <c r="C40" s="4" t="str">
        <f t="shared" si="9"/>
        <v>ME - MCR - BALLAST/NORMAL 36 knots</v>
      </c>
      <c r="D40" s="4"/>
      <c r="E40" s="625">
        <v>36</v>
      </c>
      <c r="F40" s="281" t="s">
        <v>178</v>
      </c>
      <c r="G40" s="645"/>
      <c r="H40" s="645"/>
      <c r="I40" s="645"/>
      <c r="J40" s="645"/>
      <c r="K40" s="645"/>
      <c r="L40" s="645"/>
      <c r="M40" s="9"/>
      <c r="N40" t="s">
        <v>663</v>
      </c>
    </row>
    <row r="41" spans="2:14" x14ac:dyDescent="0.2">
      <c r="B41" s="313"/>
      <c r="C41" s="4"/>
      <c r="D41" s="4"/>
      <c r="E41" s="625"/>
      <c r="F41" s="281"/>
      <c r="G41" s="645"/>
      <c r="H41" s="645"/>
      <c r="I41" s="645"/>
      <c r="J41" s="645"/>
      <c r="K41" s="645"/>
      <c r="L41" s="645"/>
    </row>
    <row r="42" spans="2:14" x14ac:dyDescent="0.2">
      <c r="B42" s="266"/>
      <c r="C42" s="4" t="str">
        <f t="shared" ref="C42:C43" si="10">E42</f>
        <v>ME - MCR - average - BALLAST/NORMAL</v>
      </c>
      <c r="D42" s="4"/>
      <c r="E42" s="625" t="s">
        <v>683</v>
      </c>
      <c r="F42" s="281" t="s">
        <v>178</v>
      </c>
      <c r="G42" s="646">
        <f t="shared" ref="G42:J42" si="11">INDEX(G$26:G$40,MATCH(_xlfn.CONCAT("ME - MCR - BALLAST/NORMAL ",G15," knots"),$C$26:$C$40,0))</f>
        <v>0.41</v>
      </c>
      <c r="H42" s="646">
        <f t="shared" si="11"/>
        <v>0.42</v>
      </c>
      <c r="I42" s="646">
        <f t="shared" si="11"/>
        <v>0.46</v>
      </c>
      <c r="J42" s="646">
        <f t="shared" si="11"/>
        <v>0.57999999999999996</v>
      </c>
      <c r="K42" s="646">
        <f t="shared" ref="K42:L42" si="12">INDEX(K$26:K$40,MATCH(_xlfn.CONCAT("ME - MCR - BALLAST/NORMAL ",K15," knots"),$C$26:$C$40,0))</f>
        <v>0.85</v>
      </c>
      <c r="L42" s="646">
        <f t="shared" si="12"/>
        <v>0.42</v>
      </c>
      <c r="N42" t="s">
        <v>521</v>
      </c>
    </row>
    <row r="43" spans="2:14" x14ac:dyDescent="0.2">
      <c r="B43" s="266"/>
      <c r="C43" s="4" t="str">
        <f t="shared" si="10"/>
        <v>ME - operational hours - BALLAST/NORMAL</v>
      </c>
      <c r="D43" s="4"/>
      <c r="E43" s="625" t="s">
        <v>684</v>
      </c>
      <c r="F43" s="281" t="s">
        <v>342</v>
      </c>
      <c r="G43" s="389">
        <f>G8</f>
        <v>5760</v>
      </c>
      <c r="H43" s="389">
        <f>H8*H16</f>
        <v>2160</v>
      </c>
      <c r="I43" s="389">
        <f>I8*I16</f>
        <v>2880</v>
      </c>
      <c r="J43" s="389">
        <f t="shared" ref="J43:L43" si="13">J8</f>
        <v>5376</v>
      </c>
      <c r="K43" s="389">
        <f t="shared" si="13"/>
        <v>6000</v>
      </c>
      <c r="L43" s="389">
        <f t="shared" si="13"/>
        <v>5256</v>
      </c>
      <c r="N43" t="s">
        <v>521</v>
      </c>
    </row>
    <row r="44" spans="2:14" x14ac:dyDescent="0.2">
      <c r="B44" s="266"/>
      <c r="C44" s="4" t="str">
        <f>E44</f>
        <v>ME - Power Requirement Average - BALLAST/NORMAL</v>
      </c>
      <c r="D44" s="4"/>
      <c r="E44" s="625" t="s">
        <v>685</v>
      </c>
      <c r="F44" s="281" t="s">
        <v>336</v>
      </c>
      <c r="G44" s="389">
        <f t="shared" ref="G44:H44" si="14">G43*G42*G25</f>
        <v>118080</v>
      </c>
      <c r="H44" s="389">
        <f t="shared" si="14"/>
        <v>10886.4</v>
      </c>
      <c r="I44" s="389">
        <f t="shared" ref="I44:L44" si="15">I43*I42*I25</f>
        <v>10863.359999999999</v>
      </c>
      <c r="J44" s="389">
        <f t="shared" si="15"/>
        <v>35234.304000000004</v>
      </c>
      <c r="K44" s="389">
        <f t="shared" si="15"/>
        <v>61200</v>
      </c>
      <c r="L44" s="389">
        <f t="shared" si="15"/>
        <v>84768.767999999996</v>
      </c>
      <c r="N44" t="s">
        <v>521</v>
      </c>
    </row>
    <row r="45" spans="2:14" x14ac:dyDescent="0.2">
      <c r="B45" s="643" t="s">
        <v>111</v>
      </c>
      <c r="C45" s="626"/>
      <c r="D45" s="627"/>
      <c r="E45" s="628"/>
      <c r="F45" s="627"/>
      <c r="G45" s="644"/>
      <c r="H45" s="644"/>
      <c r="I45" s="644"/>
      <c r="J45" s="644"/>
      <c r="K45" s="644"/>
      <c r="L45" s="644"/>
      <c r="M45" s="476"/>
      <c r="N45" s="476"/>
    </row>
    <row r="46" spans="2:14" x14ac:dyDescent="0.2">
      <c r="B46" s="266"/>
      <c r="C46" s="4" t="str">
        <f>_xlfn.CONCAT("ME - MCR - LADEN FOR BULK/TANK ",E46," knots")</f>
        <v>ME - MCR - LADEN FOR BULK/TANK 10 knots</v>
      </c>
      <c r="D46" s="4"/>
      <c r="E46" s="625">
        <v>10</v>
      </c>
      <c r="F46" s="281" t="s">
        <v>178</v>
      </c>
      <c r="G46" s="645"/>
      <c r="H46" s="352">
        <v>0.35</v>
      </c>
      <c r="I46" s="352">
        <v>0.36</v>
      </c>
      <c r="J46" s="645"/>
      <c r="K46" s="645"/>
      <c r="L46" s="645"/>
      <c r="N46" t="s">
        <v>663</v>
      </c>
    </row>
    <row r="47" spans="2:14" x14ac:dyDescent="0.2">
      <c r="B47" s="266"/>
      <c r="C47" s="4" t="str">
        <f t="shared" ref="C47:C61" si="16">_xlfn.CONCAT("ME - MCR - LADEN FOR BULK/TANK ",E47," knots")</f>
        <v>ME - MCR - LADEN FOR BULK/TANK 11 knots</v>
      </c>
      <c r="D47" s="4"/>
      <c r="E47" s="625">
        <v>11</v>
      </c>
      <c r="F47" s="281" t="s">
        <v>178</v>
      </c>
      <c r="G47" s="645"/>
      <c r="H47" s="352">
        <v>0.43</v>
      </c>
      <c r="I47" s="352">
        <v>0.39</v>
      </c>
      <c r="J47" s="645"/>
      <c r="K47" s="645"/>
      <c r="L47" s="645"/>
      <c r="N47" t="s">
        <v>663</v>
      </c>
    </row>
    <row r="48" spans="2:14" x14ac:dyDescent="0.2">
      <c r="B48" s="266"/>
      <c r="C48" s="4" t="str">
        <f t="shared" si="16"/>
        <v>ME - MCR - LADEN FOR BULK/TANK 11.5 knots</v>
      </c>
      <c r="D48" s="4"/>
      <c r="E48" s="625">
        <v>11.5</v>
      </c>
      <c r="F48" s="281" t="s">
        <v>178</v>
      </c>
      <c r="G48" s="645"/>
      <c r="H48" s="352">
        <f>AVERAGE(H47,H49)</f>
        <v>0.47499999999999998</v>
      </c>
      <c r="I48" s="352">
        <f>AVERAGE(I47,I49)</f>
        <v>0.45</v>
      </c>
      <c r="J48" s="645"/>
      <c r="K48" s="645"/>
      <c r="L48" s="645"/>
      <c r="N48" t="s">
        <v>663</v>
      </c>
    </row>
    <row r="49" spans="2:14" x14ac:dyDescent="0.2">
      <c r="B49" s="266"/>
      <c r="C49" s="4" t="str">
        <f t="shared" si="16"/>
        <v>ME - MCR - LADEN FOR BULK/TANK 12 knots</v>
      </c>
      <c r="D49" s="4"/>
      <c r="E49" s="625">
        <v>12</v>
      </c>
      <c r="F49" s="281" t="s">
        <v>178</v>
      </c>
      <c r="G49" s="645"/>
      <c r="H49" s="352">
        <v>0.52</v>
      </c>
      <c r="I49" s="352">
        <v>0.51</v>
      </c>
      <c r="J49" s="645"/>
      <c r="K49" s="645"/>
      <c r="L49" s="645"/>
      <c r="N49" t="s">
        <v>663</v>
      </c>
    </row>
    <row r="50" spans="2:14" x14ac:dyDescent="0.2">
      <c r="B50" s="266"/>
      <c r="C50" s="4" t="str">
        <f t="shared" si="16"/>
        <v>ME - MCR - LADEN FOR BULK/TANK 13 knots</v>
      </c>
      <c r="D50" s="4"/>
      <c r="E50" s="625">
        <v>13</v>
      </c>
      <c r="F50" s="281" t="s">
        <v>178</v>
      </c>
      <c r="G50" s="645"/>
      <c r="H50" s="352">
        <v>0.63</v>
      </c>
      <c r="I50" s="352">
        <v>0.66</v>
      </c>
      <c r="J50" s="645"/>
      <c r="K50" s="645"/>
      <c r="L50" s="645"/>
      <c r="N50" t="s">
        <v>663</v>
      </c>
    </row>
    <row r="51" spans="2:14" x14ac:dyDescent="0.2">
      <c r="B51" s="266"/>
      <c r="C51" s="4" t="str">
        <f t="shared" si="16"/>
        <v>ME - MCR - LADEN FOR BULK/TANK 14 knots</v>
      </c>
      <c r="D51" s="4"/>
      <c r="E51" s="625">
        <v>14</v>
      </c>
      <c r="F51" s="281" t="s">
        <v>178</v>
      </c>
      <c r="G51" s="645"/>
      <c r="H51" s="352">
        <v>0.77</v>
      </c>
      <c r="I51" s="352">
        <v>0.83</v>
      </c>
      <c r="J51" s="645"/>
      <c r="K51" s="645"/>
      <c r="L51" s="645"/>
      <c r="N51" t="s">
        <v>663</v>
      </c>
    </row>
    <row r="52" spans="2:14" x14ac:dyDescent="0.2">
      <c r="B52" s="266"/>
      <c r="C52" s="4" t="str">
        <f t="shared" si="16"/>
        <v>ME - MCR - LADEN FOR BULK/TANK 15 knots</v>
      </c>
      <c r="D52" s="4"/>
      <c r="E52" s="625">
        <v>15</v>
      </c>
      <c r="F52" s="281" t="s">
        <v>178</v>
      </c>
      <c r="G52" s="645"/>
      <c r="H52" s="352">
        <v>0.99</v>
      </c>
      <c r="I52" s="645"/>
      <c r="J52" s="645"/>
      <c r="K52" s="645"/>
      <c r="L52" s="645"/>
      <c r="N52" t="s">
        <v>663</v>
      </c>
    </row>
    <row r="53" spans="2:14" x14ac:dyDescent="0.2">
      <c r="B53" s="266"/>
      <c r="C53" s="4" t="str">
        <f t="shared" si="16"/>
        <v>ME - MCR - LADEN FOR BULK/TANK 16 knots</v>
      </c>
      <c r="D53" s="4"/>
      <c r="E53" s="625">
        <v>16</v>
      </c>
      <c r="F53" s="281" t="s">
        <v>178</v>
      </c>
      <c r="G53" s="645"/>
      <c r="H53" s="645"/>
      <c r="I53" s="645"/>
      <c r="J53" s="645"/>
      <c r="K53" s="645"/>
      <c r="L53" s="645"/>
      <c r="N53" t="s">
        <v>663</v>
      </c>
    </row>
    <row r="54" spans="2:14" x14ac:dyDescent="0.2">
      <c r="B54" s="266"/>
      <c r="C54" s="4" t="str">
        <f t="shared" si="16"/>
        <v>ME - MCR - LADEN FOR BULK/TANK 17 knots</v>
      </c>
      <c r="D54" s="4"/>
      <c r="E54" s="625">
        <v>17</v>
      </c>
      <c r="F54" s="281" t="s">
        <v>178</v>
      </c>
      <c r="G54" s="645"/>
      <c r="H54" s="645"/>
      <c r="I54" s="645"/>
      <c r="J54" s="645"/>
      <c r="K54" s="645"/>
      <c r="L54" s="645"/>
      <c r="N54" t="s">
        <v>663</v>
      </c>
    </row>
    <row r="55" spans="2:14" x14ac:dyDescent="0.2">
      <c r="B55" s="266"/>
      <c r="C55" s="4" t="str">
        <f t="shared" si="16"/>
        <v>ME - MCR - LADEN FOR BULK/TANK 18 knots</v>
      </c>
      <c r="D55" s="4"/>
      <c r="E55" s="625">
        <v>18</v>
      </c>
      <c r="F55" s="281" t="s">
        <v>178</v>
      </c>
      <c r="G55" s="645"/>
      <c r="H55" s="645"/>
      <c r="I55" s="645"/>
      <c r="J55" s="645"/>
      <c r="K55" s="645"/>
      <c r="L55" s="645"/>
      <c r="N55" t="s">
        <v>663</v>
      </c>
    </row>
    <row r="56" spans="2:14" x14ac:dyDescent="0.2">
      <c r="B56" s="266"/>
      <c r="C56" s="4" t="str">
        <f t="shared" si="16"/>
        <v>ME - MCR - LADEN FOR BULK/TANK 19 knots</v>
      </c>
      <c r="D56" s="4"/>
      <c r="E56" s="625">
        <v>19</v>
      </c>
      <c r="F56" s="281" t="s">
        <v>178</v>
      </c>
      <c r="G56" s="645"/>
      <c r="H56" s="645"/>
      <c r="I56" s="645"/>
      <c r="J56" s="645"/>
      <c r="K56" s="645"/>
      <c r="L56" s="645"/>
      <c r="N56" t="s">
        <v>663</v>
      </c>
    </row>
    <row r="57" spans="2:14" x14ac:dyDescent="0.2">
      <c r="B57" s="266"/>
      <c r="C57" s="4" t="str">
        <f t="shared" si="16"/>
        <v>ME - MCR - LADEN FOR BULK/TANK 20 knots</v>
      </c>
      <c r="D57" s="4"/>
      <c r="E57" s="625">
        <v>20</v>
      </c>
      <c r="F57" s="281" t="s">
        <v>178</v>
      </c>
      <c r="G57" s="645"/>
      <c r="H57" s="645"/>
      <c r="I57" s="645"/>
      <c r="J57" s="645"/>
      <c r="K57" s="645"/>
      <c r="L57" s="645"/>
      <c r="N57" t="s">
        <v>663</v>
      </c>
    </row>
    <row r="58" spans="2:14" x14ac:dyDescent="0.2">
      <c r="B58" s="266"/>
      <c r="C58" s="4" t="str">
        <f t="shared" si="16"/>
        <v>ME - MCR - LADEN FOR BULK/TANK 21 knots</v>
      </c>
      <c r="D58" s="4"/>
      <c r="E58" s="625">
        <v>21</v>
      </c>
      <c r="F58" s="281" t="s">
        <v>178</v>
      </c>
      <c r="G58" s="645"/>
      <c r="H58" s="645"/>
      <c r="I58" s="645"/>
      <c r="J58" s="645"/>
      <c r="K58" s="645"/>
      <c r="L58" s="645"/>
      <c r="N58" t="s">
        <v>663</v>
      </c>
    </row>
    <row r="59" spans="2:14" x14ac:dyDescent="0.2">
      <c r="B59" s="266"/>
      <c r="C59" s="4" t="str">
        <f t="shared" si="16"/>
        <v>ME - MCR - LADEN FOR BULK/TANK 22 knots</v>
      </c>
      <c r="D59" s="4"/>
      <c r="E59" s="625">
        <v>22</v>
      </c>
      <c r="F59" s="281" t="s">
        <v>178</v>
      </c>
      <c r="G59" s="645"/>
      <c r="H59" s="645"/>
      <c r="I59" s="645"/>
      <c r="J59" s="645"/>
      <c r="K59" s="645"/>
      <c r="L59" s="645"/>
      <c r="N59" t="s">
        <v>663</v>
      </c>
    </row>
    <row r="60" spans="2:14" x14ac:dyDescent="0.2">
      <c r="B60" s="266"/>
      <c r="C60" s="4" t="str">
        <f t="shared" si="16"/>
        <v>ME - MCR - LADEN FOR BULK/TANK 34 knots</v>
      </c>
      <c r="D60" s="4"/>
      <c r="E60" s="625">
        <v>34</v>
      </c>
      <c r="F60" s="281" t="s">
        <v>178</v>
      </c>
      <c r="G60" s="645"/>
      <c r="H60" s="645"/>
      <c r="I60" s="645"/>
      <c r="J60" s="645"/>
      <c r="K60" s="645"/>
      <c r="L60" s="645"/>
      <c r="N60" t="s">
        <v>663</v>
      </c>
    </row>
    <row r="61" spans="2:14" x14ac:dyDescent="0.2">
      <c r="B61" s="266"/>
      <c r="C61" s="4" t="str">
        <f t="shared" si="16"/>
        <v>ME - MCR - LADEN FOR BULK/TANK 36 knots</v>
      </c>
      <c r="D61" s="4"/>
      <c r="E61" s="625">
        <v>36</v>
      </c>
      <c r="F61" s="281" t="s">
        <v>178</v>
      </c>
      <c r="G61" s="645"/>
      <c r="H61" s="645"/>
      <c r="I61" s="645"/>
      <c r="J61" s="645"/>
      <c r="K61" s="645"/>
      <c r="L61" s="645"/>
      <c r="N61" t="s">
        <v>663</v>
      </c>
    </row>
    <row r="62" spans="2:14" x14ac:dyDescent="0.2">
      <c r="B62" s="313"/>
      <c r="C62" s="4"/>
      <c r="D62" s="4"/>
      <c r="E62" s="625"/>
      <c r="F62" s="281"/>
      <c r="G62" s="645"/>
      <c r="H62" s="645"/>
      <c r="I62" s="645"/>
      <c r="J62" s="645"/>
      <c r="K62" s="645"/>
      <c r="L62" s="645"/>
    </row>
    <row r="63" spans="2:14" x14ac:dyDescent="0.2">
      <c r="B63" s="266"/>
      <c r="C63" s="4" t="s">
        <v>686</v>
      </c>
      <c r="D63" s="4"/>
      <c r="E63" s="625" t="s">
        <v>687</v>
      </c>
      <c r="F63" s="281" t="s">
        <v>178</v>
      </c>
      <c r="G63" s="645">
        <v>0</v>
      </c>
      <c r="H63" s="645">
        <f>INDEX(H$46:H$58,MATCH(_xlfn.CONCAT("ME - MCR - LADEN FOR BULK/TANK ",H13," knots"),$C$46:$C$58,0))</f>
        <v>0.63</v>
      </c>
      <c r="I63" s="645">
        <f>INDEX(I$46:I$58,MATCH(_xlfn.CONCAT("ME - MCR - LADEN FOR BULK/TANK ",I13," knots"),$C$46:$C$58,0))</f>
        <v>0.45</v>
      </c>
      <c r="J63" s="645">
        <v>0</v>
      </c>
      <c r="K63" s="645">
        <v>0</v>
      </c>
      <c r="L63" s="645">
        <v>0</v>
      </c>
      <c r="N63" t="s">
        <v>521</v>
      </c>
    </row>
    <row r="64" spans="2:14" x14ac:dyDescent="0.2">
      <c r="B64" s="266"/>
      <c r="C64" s="4" t="s">
        <v>688</v>
      </c>
      <c r="D64" s="4"/>
      <c r="E64" s="625" t="s">
        <v>689</v>
      </c>
      <c r="F64" s="281" t="s">
        <v>342</v>
      </c>
      <c r="G64" s="389">
        <f>G28</f>
        <v>0.12</v>
      </c>
      <c r="H64" s="389">
        <f>H8*H14</f>
        <v>3240</v>
      </c>
      <c r="I64" s="389">
        <f>I8*I14</f>
        <v>2880</v>
      </c>
      <c r="J64" s="389">
        <f t="shared" ref="J64:L64" si="17">J28</f>
        <v>0.24</v>
      </c>
      <c r="K64" s="389">
        <f t="shared" si="17"/>
        <v>0.3</v>
      </c>
      <c r="L64" s="389">
        <f t="shared" si="17"/>
        <v>0.16</v>
      </c>
      <c r="N64" t="s">
        <v>521</v>
      </c>
    </row>
    <row r="65" spans="2:14" x14ac:dyDescent="0.2">
      <c r="B65" s="266"/>
      <c r="C65" s="4" t="str">
        <f>E65</f>
        <v>ME - Power Requirement Average - LADEN FOR BULK/TANKER</v>
      </c>
      <c r="D65" s="4"/>
      <c r="E65" s="625" t="s">
        <v>690</v>
      </c>
      <c r="F65" s="281" t="s">
        <v>336</v>
      </c>
      <c r="G65" s="389">
        <f t="shared" ref="G65" si="18">G64*G63*G25</f>
        <v>0</v>
      </c>
      <c r="H65" s="389">
        <f t="shared" ref="H65:L65" si="19">H64*H63*H25</f>
        <v>24494.400000000001</v>
      </c>
      <c r="I65" s="389">
        <f t="shared" si="19"/>
        <v>10627.199999999999</v>
      </c>
      <c r="J65" s="389">
        <f t="shared" si="19"/>
        <v>0</v>
      </c>
      <c r="K65" s="389">
        <f t="shared" si="19"/>
        <v>0</v>
      </c>
      <c r="L65" s="389">
        <f t="shared" si="19"/>
        <v>0</v>
      </c>
      <c r="N65" t="s">
        <v>521</v>
      </c>
    </row>
    <row r="66" spans="2:14" x14ac:dyDescent="0.2">
      <c r="B66" s="643" t="s">
        <v>691</v>
      </c>
      <c r="C66" s="626"/>
      <c r="D66" s="627"/>
      <c r="E66" s="628"/>
      <c r="F66" s="627"/>
      <c r="G66" s="644"/>
      <c r="H66" s="644"/>
      <c r="I66" s="644"/>
      <c r="J66" s="644"/>
      <c r="K66" s="644"/>
      <c r="L66" s="644"/>
      <c r="M66" s="476"/>
      <c r="N66" s="476" t="s">
        <v>521</v>
      </c>
    </row>
    <row r="67" spans="2:14" x14ac:dyDescent="0.2">
      <c r="C67" s="4" t="s">
        <v>284</v>
      </c>
      <c r="D67" s="4"/>
      <c r="E67" s="625" t="s">
        <v>284</v>
      </c>
      <c r="F67" s="281" t="s">
        <v>277</v>
      </c>
      <c r="G67" s="587">
        <v>12.4</v>
      </c>
      <c r="H67" s="587">
        <v>3</v>
      </c>
      <c r="I67" s="587">
        <v>2</v>
      </c>
      <c r="J67" s="587">
        <v>2.9</v>
      </c>
      <c r="K67" s="587">
        <v>3</v>
      </c>
      <c r="L67" s="587">
        <v>9.6</v>
      </c>
      <c r="N67" t="s">
        <v>663</v>
      </c>
    </row>
    <row r="68" spans="2:14" x14ac:dyDescent="0.2">
      <c r="B68" s="266"/>
      <c r="C68" s="4" t="s">
        <v>344</v>
      </c>
      <c r="D68" s="4"/>
      <c r="E68" s="625" t="s">
        <v>344</v>
      </c>
      <c r="F68" s="281" t="s">
        <v>178</v>
      </c>
      <c r="G68" s="352">
        <v>0.16</v>
      </c>
      <c r="H68" s="352">
        <v>0.25</v>
      </c>
      <c r="I68" s="352">
        <v>0.17199999999999999</v>
      </c>
      <c r="J68" s="352">
        <v>0.21</v>
      </c>
      <c r="K68" s="352">
        <v>0.2</v>
      </c>
      <c r="L68" s="352">
        <v>1</v>
      </c>
      <c r="N68" t="s">
        <v>663</v>
      </c>
    </row>
    <row r="69" spans="2:14" x14ac:dyDescent="0.2">
      <c r="B69" s="266"/>
      <c r="C69" s="4" t="s">
        <v>345</v>
      </c>
      <c r="D69" s="4"/>
      <c r="E69" s="625" t="s">
        <v>345</v>
      </c>
      <c r="F69" s="281" t="s">
        <v>178</v>
      </c>
      <c r="G69" s="352">
        <v>0.13</v>
      </c>
      <c r="H69" s="352">
        <v>0.4</v>
      </c>
      <c r="I69" s="352">
        <v>0.14899999999999999</v>
      </c>
      <c r="J69" s="352">
        <v>0.33</v>
      </c>
      <c r="K69" s="352">
        <v>0.8</v>
      </c>
      <c r="L69" s="352">
        <v>0.73</v>
      </c>
      <c r="N69" t="s">
        <v>663</v>
      </c>
    </row>
    <row r="70" spans="2:14" x14ac:dyDescent="0.2">
      <c r="B70" s="266"/>
      <c r="C70" s="4" t="s">
        <v>341</v>
      </c>
      <c r="D70" s="4"/>
      <c r="E70" s="625" t="s">
        <v>341</v>
      </c>
      <c r="F70" s="281" t="s">
        <v>342</v>
      </c>
      <c r="G70" s="389">
        <f t="shared" ref="G70:L70" si="20">G8</f>
        <v>5760</v>
      </c>
      <c r="H70" s="389">
        <f t="shared" si="20"/>
        <v>5400</v>
      </c>
      <c r="I70" s="389">
        <f t="shared" si="20"/>
        <v>5760</v>
      </c>
      <c r="J70" s="389">
        <f t="shared" si="20"/>
        <v>5376</v>
      </c>
      <c r="K70" s="389">
        <f t="shared" si="20"/>
        <v>6000</v>
      </c>
      <c r="L70" s="389">
        <f t="shared" si="20"/>
        <v>5256</v>
      </c>
      <c r="N70" t="s">
        <v>521</v>
      </c>
    </row>
    <row r="71" spans="2:14" x14ac:dyDescent="0.2">
      <c r="B71" s="266"/>
      <c r="C71" s="4" t="s">
        <v>343</v>
      </c>
      <c r="D71" s="4"/>
      <c r="E71" s="625" t="s">
        <v>343</v>
      </c>
      <c r="F71" s="281" t="s">
        <v>342</v>
      </c>
      <c r="G71" s="389">
        <f t="shared" ref="G71:L71" si="21">G9</f>
        <v>3000</v>
      </c>
      <c r="H71" s="389">
        <f t="shared" si="21"/>
        <v>3360</v>
      </c>
      <c r="I71" s="389">
        <f t="shared" si="21"/>
        <v>3000</v>
      </c>
      <c r="J71" s="389">
        <f t="shared" si="21"/>
        <v>3384</v>
      </c>
      <c r="K71" s="389">
        <f t="shared" si="21"/>
        <v>2760</v>
      </c>
      <c r="L71" s="389">
        <f t="shared" si="21"/>
        <v>3504</v>
      </c>
      <c r="N71" t="s">
        <v>521</v>
      </c>
    </row>
    <row r="72" spans="2:14" x14ac:dyDescent="0.2">
      <c r="B72" s="266"/>
      <c r="C72" s="4" t="str">
        <f>E72</f>
        <v>AE - Power Requirement Average</v>
      </c>
      <c r="D72" s="4"/>
      <c r="E72" s="625" t="s">
        <v>692</v>
      </c>
      <c r="F72" s="281" t="s">
        <v>336</v>
      </c>
      <c r="G72" s="389">
        <f>G67*(G68*G70+G69*G71)</f>
        <v>16263.84</v>
      </c>
      <c r="H72" s="389">
        <f t="shared" ref="H72:L72" si="22">H67*(H68*H70+H69*H71)</f>
        <v>8082</v>
      </c>
      <c r="I72" s="389">
        <f t="shared" si="22"/>
        <v>2875.4399999999996</v>
      </c>
      <c r="J72" s="389">
        <f t="shared" si="22"/>
        <v>6512.4720000000007</v>
      </c>
      <c r="K72" s="389">
        <f t="shared" si="22"/>
        <v>10224</v>
      </c>
      <c r="L72" s="389">
        <f t="shared" si="22"/>
        <v>75013.631999999998</v>
      </c>
      <c r="N72" t="s">
        <v>521</v>
      </c>
    </row>
    <row r="73" spans="2:14" x14ac:dyDescent="0.2">
      <c r="B73" s="643" t="s">
        <v>693</v>
      </c>
      <c r="C73" s="626"/>
      <c r="D73" s="627"/>
      <c r="E73" s="628"/>
      <c r="F73" s="627"/>
      <c r="G73" s="644"/>
      <c r="H73" s="644"/>
      <c r="I73" s="644"/>
      <c r="J73" s="644"/>
      <c r="K73" s="644"/>
      <c r="L73" s="644"/>
      <c r="M73" s="476"/>
      <c r="N73" s="476"/>
    </row>
    <row r="74" spans="2:14" x14ac:dyDescent="0.2">
      <c r="C74" s="4" t="s">
        <v>694</v>
      </c>
      <c r="D74" s="4"/>
      <c r="E74" s="625" t="s">
        <v>694</v>
      </c>
      <c r="F74" s="281" t="s">
        <v>277</v>
      </c>
      <c r="G74" s="647"/>
      <c r="H74" s="647"/>
      <c r="I74" s="647"/>
      <c r="J74" s="647"/>
      <c r="K74" s="364">
        <v>2.0997110797554255</v>
      </c>
      <c r="L74" s="647"/>
      <c r="N74" t="s">
        <v>663</v>
      </c>
    </row>
    <row r="75" spans="2:14" x14ac:dyDescent="0.2">
      <c r="B75" s="266"/>
      <c r="C75" s="4" t="s">
        <v>695</v>
      </c>
      <c r="D75" s="280"/>
      <c r="E75" s="625" t="s">
        <v>695</v>
      </c>
      <c r="F75" s="281" t="s">
        <v>178</v>
      </c>
      <c r="G75" s="645"/>
      <c r="H75" s="645"/>
      <c r="I75" s="645"/>
      <c r="J75" s="645"/>
      <c r="K75" s="352">
        <v>0.6</v>
      </c>
      <c r="L75" s="645"/>
      <c r="N75" t="s">
        <v>663</v>
      </c>
    </row>
    <row r="76" spans="2:14" x14ac:dyDescent="0.2">
      <c r="B76" s="266"/>
      <c r="C76" s="4" t="s">
        <v>696</v>
      </c>
      <c r="D76" s="280"/>
      <c r="E76" s="625" t="s">
        <v>696</v>
      </c>
      <c r="F76" s="281" t="s">
        <v>178</v>
      </c>
      <c r="G76" s="645"/>
      <c r="H76" s="645"/>
      <c r="I76" s="645"/>
      <c r="J76" s="645"/>
      <c r="K76" s="352">
        <v>0.8</v>
      </c>
      <c r="L76" s="645"/>
      <c r="N76" t="s">
        <v>663</v>
      </c>
    </row>
    <row r="77" spans="2:14" x14ac:dyDescent="0.2">
      <c r="B77" s="266"/>
      <c r="C77" s="4" t="str">
        <f>E77</f>
        <v>Boiler consumption - Sea</v>
      </c>
      <c r="D77" s="280"/>
      <c r="E77" s="4" t="s">
        <v>697</v>
      </c>
      <c r="F77" s="281" t="s">
        <v>698</v>
      </c>
      <c r="G77" s="624">
        <v>1.1000000000000001</v>
      </c>
      <c r="H77" s="624">
        <v>3.3</v>
      </c>
      <c r="I77" s="624">
        <v>0</v>
      </c>
      <c r="J77" s="624">
        <v>1.1200000000000001</v>
      </c>
      <c r="K77" s="645"/>
      <c r="L77" s="624">
        <v>3.84</v>
      </c>
      <c r="N77" t="s">
        <v>663</v>
      </c>
    </row>
    <row r="78" spans="2:14" x14ac:dyDescent="0.2">
      <c r="B78" s="266"/>
      <c r="C78" s="4" t="str">
        <f>E78</f>
        <v>Boiler consumption - Port</v>
      </c>
      <c r="D78" s="280"/>
      <c r="E78" s="4" t="s">
        <v>699</v>
      </c>
      <c r="F78" s="281" t="s">
        <v>698</v>
      </c>
      <c r="G78" s="624">
        <v>1.1000000000000001</v>
      </c>
      <c r="H78" s="624">
        <v>3.3</v>
      </c>
      <c r="I78" s="624">
        <v>0.9</v>
      </c>
      <c r="J78" s="624">
        <v>1.1200000000000001</v>
      </c>
      <c r="K78" s="645"/>
      <c r="L78" s="624">
        <v>3.84</v>
      </c>
      <c r="N78" t="s">
        <v>663</v>
      </c>
    </row>
    <row r="79" spans="2:14" x14ac:dyDescent="0.2">
      <c r="B79" s="266"/>
      <c r="C79" s="4" t="s">
        <v>700</v>
      </c>
      <c r="D79" s="280"/>
      <c r="E79" s="625" t="s">
        <v>700</v>
      </c>
      <c r="F79" s="281" t="s">
        <v>342</v>
      </c>
      <c r="G79" s="389">
        <f t="shared" ref="G79:L79" si="23">G8</f>
        <v>5760</v>
      </c>
      <c r="H79" s="389">
        <f t="shared" si="23"/>
        <v>5400</v>
      </c>
      <c r="I79" s="389">
        <f t="shared" si="23"/>
        <v>5760</v>
      </c>
      <c r="J79" s="389">
        <f t="shared" si="23"/>
        <v>5376</v>
      </c>
      <c r="K79" s="389">
        <f t="shared" si="23"/>
        <v>6000</v>
      </c>
      <c r="L79" s="389">
        <f t="shared" si="23"/>
        <v>5256</v>
      </c>
      <c r="N79" t="s">
        <v>521</v>
      </c>
    </row>
    <row r="80" spans="2:14" x14ac:dyDescent="0.2">
      <c r="B80" s="266"/>
      <c r="C80" s="4" t="s">
        <v>701</v>
      </c>
      <c r="D80" s="280"/>
      <c r="E80" s="625" t="s">
        <v>701</v>
      </c>
      <c r="F80" s="281" t="s">
        <v>342</v>
      </c>
      <c r="G80" s="389">
        <f t="shared" ref="G80:L80" si="24">G9</f>
        <v>3000</v>
      </c>
      <c r="H80" s="389">
        <f t="shared" si="24"/>
        <v>3360</v>
      </c>
      <c r="I80" s="389">
        <f t="shared" si="24"/>
        <v>3000</v>
      </c>
      <c r="J80" s="389">
        <f t="shared" si="24"/>
        <v>3384</v>
      </c>
      <c r="K80" s="389">
        <f t="shared" si="24"/>
        <v>2760</v>
      </c>
      <c r="L80" s="389">
        <f t="shared" si="24"/>
        <v>3504</v>
      </c>
      <c r="N80" t="s">
        <v>521</v>
      </c>
    </row>
    <row r="81" spans="2:14" x14ac:dyDescent="0.2">
      <c r="B81" s="266"/>
      <c r="C81" s="4" t="str">
        <f>E81</f>
        <v>Boiler - Power Requirement Average</v>
      </c>
      <c r="D81" s="280"/>
      <c r="E81" s="625" t="s">
        <v>702</v>
      </c>
      <c r="F81" s="281" t="s">
        <v>336</v>
      </c>
      <c r="G81" s="389">
        <f>G78*125*1000000/(G23*1000)+G77*125*1000000/(G23*1000)</f>
        <v>3353.6585365853657</v>
      </c>
      <c r="H81" s="389">
        <f>H78*125*1000000/(H23*1000)+H77*125*1000000/(H23*1000)</f>
        <v>10060.975609756097</v>
      </c>
      <c r="I81" s="389">
        <f>I78*125*1000000/(I23*1000)+I77*125*1000000/(I23*1000)</f>
        <v>1371.9512195121952</v>
      </c>
      <c r="J81" s="389">
        <f>J78*125*1000000/(J23*1000)+J77*125*1000000/(J23*1000)</f>
        <v>3414.6341463414633</v>
      </c>
      <c r="K81" s="389">
        <f t="shared" ref="K81" si="25">K74*(K75*K79+K76*K80)</f>
        <v>12195.121951219511</v>
      </c>
      <c r="L81" s="389">
        <f>L78*125*1000000/(L23*1000)+L77*125*1000000/(L23*1000)</f>
        <v>11707.317073170732</v>
      </c>
      <c r="N81" t="s">
        <v>521</v>
      </c>
    </row>
    <row r="82" spans="2:14" x14ac:dyDescent="0.2">
      <c r="C82" s="629"/>
      <c r="D82" s="4"/>
      <c r="E82" s="625"/>
      <c r="F82" s="640"/>
      <c r="G82" s="369"/>
      <c r="H82" s="369"/>
      <c r="I82" s="369"/>
      <c r="J82" s="369"/>
      <c r="K82" s="369"/>
      <c r="L82" s="369"/>
    </row>
    <row r="83" spans="2:14" x14ac:dyDescent="0.2">
      <c r="B83" s="643" t="s">
        <v>107</v>
      </c>
      <c r="C83" s="626"/>
      <c r="D83" s="627"/>
      <c r="E83" s="628"/>
      <c r="F83" s="627"/>
      <c r="G83" s="644"/>
      <c r="H83" s="644"/>
      <c r="I83" s="644"/>
      <c r="J83" s="644"/>
      <c r="K83" s="644"/>
      <c r="L83" s="644"/>
      <c r="M83" s="476"/>
      <c r="N83" s="476" t="s">
        <v>521</v>
      </c>
    </row>
    <row r="84" spans="2:14" x14ac:dyDescent="0.2">
      <c r="C84" s="4" t="str">
        <f t="shared" ref="C84:C97" si="26">_xlfn.CONCAT(E84," - ",D84)</f>
        <v>Size definition - Medium</v>
      </c>
      <c r="D84" s="4" t="str">
        <f t="shared" ref="D84:D97" si="27">$B$83</f>
        <v>Medium</v>
      </c>
      <c r="E84" s="625" t="s">
        <v>703</v>
      </c>
      <c r="F84" s="281"/>
      <c r="G84" s="354" t="s">
        <v>704</v>
      </c>
      <c r="H84" s="647" t="s">
        <v>705</v>
      </c>
      <c r="I84" s="354" t="s">
        <v>706</v>
      </c>
      <c r="J84" s="354" t="s">
        <v>707</v>
      </c>
      <c r="K84" s="647" t="str">
        <f>H84</f>
        <v>100k dwt</v>
      </c>
      <c r="L84" s="354" t="s">
        <v>708</v>
      </c>
      <c r="N84" t="s">
        <v>521</v>
      </c>
    </row>
    <row r="85" spans="2:14" s="93" customFormat="1" x14ac:dyDescent="0.2">
      <c r="B85" s="430"/>
      <c r="C85" s="629" t="str">
        <f t="shared" si="26"/>
        <v>ME - Engine power max - Medium</v>
      </c>
      <c r="D85" s="4" t="str">
        <f t="shared" si="27"/>
        <v>Medium</v>
      </c>
      <c r="E85" s="630" t="s">
        <v>276</v>
      </c>
      <c r="F85" s="648" t="s">
        <v>277</v>
      </c>
      <c r="G85" s="649">
        <f t="shared" ref="G85:L85" si="28">G25</f>
        <v>50</v>
      </c>
      <c r="H85" s="649">
        <f t="shared" si="28"/>
        <v>12</v>
      </c>
      <c r="I85" s="649">
        <f t="shared" si="28"/>
        <v>8.1999999999999993</v>
      </c>
      <c r="J85" s="649">
        <f t="shared" si="28"/>
        <v>11.3</v>
      </c>
      <c r="K85" s="649">
        <f t="shared" si="28"/>
        <v>12</v>
      </c>
      <c r="L85" s="649">
        <f t="shared" si="28"/>
        <v>38.4</v>
      </c>
      <c r="M85"/>
      <c r="N85" t="s">
        <v>709</v>
      </c>
    </row>
    <row r="86" spans="2:14" s="93" customFormat="1" x14ac:dyDescent="0.2">
      <c r="B86" s="430"/>
      <c r="C86" s="629" t="str">
        <f t="shared" si="26"/>
        <v>AE - Engine power max - Medium</v>
      </c>
      <c r="D86" s="4" t="str">
        <f t="shared" si="27"/>
        <v>Medium</v>
      </c>
      <c r="E86" s="630" t="s">
        <v>284</v>
      </c>
      <c r="F86" s="648" t="s">
        <v>277</v>
      </c>
      <c r="G86" s="649">
        <f t="shared" ref="G86:L86" si="29">G67</f>
        <v>12.4</v>
      </c>
      <c r="H86" s="649">
        <f t="shared" si="29"/>
        <v>3</v>
      </c>
      <c r="I86" s="649">
        <f t="shared" si="29"/>
        <v>2</v>
      </c>
      <c r="J86" s="649">
        <f t="shared" si="29"/>
        <v>2.9</v>
      </c>
      <c r="K86" s="649">
        <f t="shared" si="29"/>
        <v>3</v>
      </c>
      <c r="L86" s="649">
        <f t="shared" si="29"/>
        <v>9.6</v>
      </c>
      <c r="M86"/>
      <c r="N86" t="s">
        <v>709</v>
      </c>
    </row>
    <row r="87" spans="2:14" s="93" customFormat="1" x14ac:dyDescent="0.2">
      <c r="B87" s="430"/>
      <c r="C87" s="629" t="str">
        <f t="shared" si="26"/>
        <v>Boiler - Engine power max - Medium</v>
      </c>
      <c r="D87" s="4" t="str">
        <f t="shared" si="27"/>
        <v>Medium</v>
      </c>
      <c r="E87" s="630" t="s">
        <v>694</v>
      </c>
      <c r="F87" s="648" t="s">
        <v>277</v>
      </c>
      <c r="G87" s="653">
        <f t="shared" ref="G87:L87" si="30">G74</f>
        <v>0</v>
      </c>
      <c r="H87" s="653">
        <f t="shared" si="30"/>
        <v>0</v>
      </c>
      <c r="I87" s="653">
        <f t="shared" si="30"/>
        <v>0</v>
      </c>
      <c r="J87" s="653">
        <f t="shared" si="30"/>
        <v>0</v>
      </c>
      <c r="K87" s="653">
        <f t="shared" si="30"/>
        <v>2.0997110797554255</v>
      </c>
      <c r="L87" s="653">
        <f t="shared" si="30"/>
        <v>0</v>
      </c>
      <c r="M87"/>
      <c r="N87"/>
    </row>
    <row r="88" spans="2:14" x14ac:dyDescent="0.2">
      <c r="B88" s="430"/>
      <c r="C88" s="629" t="str">
        <f t="shared" si="26"/>
        <v>Boiler Fuel Consumption - Medium</v>
      </c>
      <c r="D88" s="4" t="str">
        <f t="shared" si="27"/>
        <v>Medium</v>
      </c>
      <c r="E88" s="625" t="s">
        <v>710</v>
      </c>
      <c r="F88" s="4" t="s">
        <v>247</v>
      </c>
      <c r="G88" s="354">
        <f>(G77*G79+G78*G80)/24</f>
        <v>401.50000000000006</v>
      </c>
      <c r="H88" s="354">
        <f>(H77*H79+H78*H80)/24</f>
        <v>1204.5</v>
      </c>
      <c r="I88" s="354">
        <f>(I77*I79+I78*I80)/24</f>
        <v>112.5</v>
      </c>
      <c r="J88" s="354"/>
      <c r="K88" s="354"/>
      <c r="L88" s="354"/>
      <c r="N88" t="s">
        <v>711</v>
      </c>
    </row>
    <row r="89" spans="2:14" x14ac:dyDescent="0.2">
      <c r="B89" s="266"/>
      <c r="C89" s="629" t="str">
        <f t="shared" si="26"/>
        <v>Annual vessel cargo value - Medium</v>
      </c>
      <c r="D89" s="4" t="str">
        <f t="shared" si="27"/>
        <v>Medium</v>
      </c>
      <c r="E89" s="625" t="s">
        <v>712</v>
      </c>
      <c r="F89" s="4" t="s">
        <v>294</v>
      </c>
      <c r="G89" s="357">
        <v>70</v>
      </c>
      <c r="H89" s="357">
        <v>64</v>
      </c>
      <c r="I89" s="357">
        <v>51.138933333333334</v>
      </c>
      <c r="J89" s="357">
        <v>15.497776088719686</v>
      </c>
      <c r="K89" s="357">
        <v>136</v>
      </c>
      <c r="L89" s="357">
        <v>3000</v>
      </c>
      <c r="N89" t="s">
        <v>521</v>
      </c>
    </row>
    <row r="90" spans="2:14" x14ac:dyDescent="0.2">
      <c r="B90" s="266"/>
      <c r="C90" s="629" t="str">
        <f t="shared" si="26"/>
        <v>Standard tank size - Medium</v>
      </c>
      <c r="D90" s="4" t="str">
        <f t="shared" si="27"/>
        <v>Medium</v>
      </c>
      <c r="E90" s="625" t="s">
        <v>713</v>
      </c>
      <c r="F90" s="4" t="s">
        <v>714</v>
      </c>
      <c r="G90" s="357">
        <v>5500</v>
      </c>
      <c r="H90" s="357">
        <v>2000</v>
      </c>
      <c r="I90" s="357">
        <v>3000</v>
      </c>
      <c r="J90" s="357">
        <v>2400</v>
      </c>
      <c r="K90" s="357">
        <v>2000</v>
      </c>
      <c r="L90" s="357">
        <v>2500</v>
      </c>
      <c r="N90" t="s">
        <v>663</v>
      </c>
    </row>
    <row r="91" spans="2:14" x14ac:dyDescent="0.2">
      <c r="B91" s="266"/>
      <c r="C91" s="629" t="str">
        <f t="shared" si="26"/>
        <v>Available free space for tanks - Medium</v>
      </c>
      <c r="D91" s="4" t="str">
        <f t="shared" si="27"/>
        <v>Medium</v>
      </c>
      <c r="E91" s="625" t="s">
        <v>715</v>
      </c>
      <c r="F91" s="4" t="s">
        <v>714</v>
      </c>
      <c r="G91" s="357">
        <v>0</v>
      </c>
      <c r="H91" s="357">
        <v>0</v>
      </c>
      <c r="I91" s="357">
        <v>0</v>
      </c>
      <c r="J91" s="357">
        <v>0</v>
      </c>
      <c r="K91" s="357">
        <v>500</v>
      </c>
      <c r="L91" s="357">
        <v>0</v>
      </c>
      <c r="N91" t="s">
        <v>663</v>
      </c>
    </row>
    <row r="92" spans="2:14" x14ac:dyDescent="0.2">
      <c r="B92" s="266"/>
      <c r="C92" s="629" t="str">
        <f>_xlfn.CONCAT(E92," - ",D92)</f>
        <v>ME - Power Requirement Average - Medium</v>
      </c>
      <c r="D92" s="4" t="str">
        <f t="shared" si="27"/>
        <v>Medium</v>
      </c>
      <c r="E92" s="625" t="s">
        <v>716</v>
      </c>
      <c r="F92" s="640" t="s">
        <v>336</v>
      </c>
      <c r="G92" s="354">
        <f>G44+G65</f>
        <v>118080</v>
      </c>
      <c r="H92" s="354">
        <f>H44+H65</f>
        <v>35380.800000000003</v>
      </c>
      <c r="I92" s="354">
        <f>I44+I65</f>
        <v>21490.559999999998</v>
      </c>
      <c r="J92" s="354">
        <f>J44+J65</f>
        <v>35234.304000000004</v>
      </c>
      <c r="K92" s="354">
        <f>K43*K42*K85</f>
        <v>61200</v>
      </c>
      <c r="L92" s="354">
        <f>L44+L65</f>
        <v>84768.767999999996</v>
      </c>
      <c r="M92" s="345"/>
      <c r="N92" t="s">
        <v>521</v>
      </c>
    </row>
    <row r="93" spans="2:14" x14ac:dyDescent="0.2">
      <c r="B93" s="266"/>
      <c r="C93" s="629" t="str">
        <f t="shared" si="26"/>
        <v>AE - Power Requirement Average - Medium</v>
      </c>
      <c r="D93" s="4" t="str">
        <f t="shared" si="27"/>
        <v>Medium</v>
      </c>
      <c r="E93" s="625" t="s">
        <v>692</v>
      </c>
      <c r="F93" s="640" t="s">
        <v>336</v>
      </c>
      <c r="G93" s="354">
        <f t="shared" ref="G93:L93" si="31">G86*(G68*G70+G69*G71)</f>
        <v>16263.84</v>
      </c>
      <c r="H93" s="354">
        <f t="shared" si="31"/>
        <v>8082</v>
      </c>
      <c r="I93" s="354">
        <f t="shared" si="31"/>
        <v>2875.4399999999996</v>
      </c>
      <c r="J93" s="354">
        <f t="shared" si="31"/>
        <v>6512.4720000000007</v>
      </c>
      <c r="K93" s="354">
        <f t="shared" si="31"/>
        <v>10224</v>
      </c>
      <c r="L93" s="354">
        <f t="shared" si="31"/>
        <v>75013.631999999998</v>
      </c>
      <c r="M93" s="345"/>
      <c r="N93" t="s">
        <v>521</v>
      </c>
    </row>
    <row r="94" spans="2:14" x14ac:dyDescent="0.2">
      <c r="B94" s="266"/>
      <c r="C94" s="629" t="str">
        <f t="shared" si="26"/>
        <v>Boiler - Power Requirement Average - Medium</v>
      </c>
      <c r="D94" s="4" t="str">
        <f t="shared" si="27"/>
        <v>Medium</v>
      </c>
      <c r="E94" s="625" t="s">
        <v>702</v>
      </c>
      <c r="F94" s="640" t="s">
        <v>336</v>
      </c>
      <c r="G94" s="354">
        <f>G81</f>
        <v>3353.6585365853657</v>
      </c>
      <c r="H94" s="354">
        <f>H81</f>
        <v>10060.975609756097</v>
      </c>
      <c r="I94" s="354">
        <f>I81</f>
        <v>1371.9512195121952</v>
      </c>
      <c r="J94" s="354">
        <f>J81</f>
        <v>3414.6341463414633</v>
      </c>
      <c r="K94" s="354">
        <f>K87*(K75*K79+K76*K80)</f>
        <v>12195.121951219511</v>
      </c>
      <c r="L94" s="354">
        <f>L81</f>
        <v>11707.317073170732</v>
      </c>
      <c r="N94" t="s">
        <v>521</v>
      </c>
    </row>
    <row r="95" spans="2:14" x14ac:dyDescent="0.2">
      <c r="B95" s="266"/>
      <c r="C95" s="629" t="s">
        <v>298</v>
      </c>
      <c r="D95" s="4" t="s">
        <v>107</v>
      </c>
      <c r="E95" s="625" t="str">
        <f>C95&amp;" - "&amp;D95</f>
        <v>Fuel tank size - Medium</v>
      </c>
      <c r="F95" s="640" t="s">
        <v>296</v>
      </c>
      <c r="G95" s="357">
        <v>9000</v>
      </c>
      <c r="H95" s="357">
        <v>3000</v>
      </c>
      <c r="I95" s="357">
        <v>3000</v>
      </c>
      <c r="J95" s="357">
        <v>2400</v>
      </c>
      <c r="K95" s="357">
        <v>2000</v>
      </c>
      <c r="L95" s="357">
        <v>2500</v>
      </c>
      <c r="N95" t="s">
        <v>663</v>
      </c>
    </row>
    <row r="96" spans="2:14" x14ac:dyDescent="0.2">
      <c r="C96" s="629" t="str">
        <f t="shared" si="26"/>
        <v>Cost per port call - Medium</v>
      </c>
      <c r="D96" s="4" t="str">
        <f t="shared" si="27"/>
        <v>Medium</v>
      </c>
      <c r="E96" s="625" t="s">
        <v>374</v>
      </c>
      <c r="F96" s="640" t="s">
        <v>375</v>
      </c>
      <c r="G96" s="357">
        <v>35000</v>
      </c>
      <c r="H96" s="357">
        <v>75000</v>
      </c>
      <c r="I96" s="357">
        <v>60000</v>
      </c>
      <c r="J96" s="357">
        <v>30000</v>
      </c>
      <c r="K96" s="357">
        <v>30000</v>
      </c>
      <c r="L96" s="357">
        <v>62500</v>
      </c>
      <c r="N96" t="s">
        <v>663</v>
      </c>
    </row>
    <row r="97" spans="3:14" x14ac:dyDescent="0.2">
      <c r="C97" s="629" t="str">
        <f t="shared" si="26"/>
        <v>Canal crossing cost - Medium</v>
      </c>
      <c r="D97" s="4" t="str">
        <f t="shared" si="27"/>
        <v>Medium</v>
      </c>
      <c r="E97" s="625" t="s">
        <v>378</v>
      </c>
      <c r="F97" s="640" t="s">
        <v>379</v>
      </c>
      <c r="G97" s="357">
        <v>400000</v>
      </c>
      <c r="H97" s="357">
        <v>300000</v>
      </c>
      <c r="I97" s="357">
        <v>240000</v>
      </c>
      <c r="J97" s="357">
        <v>400000</v>
      </c>
      <c r="K97" s="357">
        <v>400000</v>
      </c>
      <c r="L97" s="357">
        <v>0</v>
      </c>
      <c r="N97" t="s">
        <v>663</v>
      </c>
    </row>
    <row r="98" spans="3:14" x14ac:dyDescent="0.2">
      <c r="C98" s="629"/>
      <c r="D98" s="4"/>
      <c r="E98" s="625"/>
      <c r="F98" s="640"/>
      <c r="G98" s="650"/>
      <c r="H98" s="650"/>
      <c r="I98" s="650"/>
      <c r="J98" s="650"/>
      <c r="K98" s="650"/>
      <c r="L98" s="650"/>
      <c r="N98" t="s">
        <v>521</v>
      </c>
    </row>
    <row r="99" spans="3:14" x14ac:dyDescent="0.2">
      <c r="C99" s="629" t="str">
        <f>_xlfn.CONCAT(E99," - ",D99)</f>
        <v>Ton-mileage - Medium</v>
      </c>
      <c r="D99" s="4" t="str">
        <f>D97</f>
        <v>Medium</v>
      </c>
      <c r="E99" s="625" t="s">
        <v>717</v>
      </c>
      <c r="F99" s="640" t="s">
        <v>718</v>
      </c>
      <c r="G99" s="651">
        <v>1869.3483506203029</v>
      </c>
      <c r="H99" s="651">
        <v>2088.0753928847535</v>
      </c>
      <c r="I99" s="651">
        <v>2380.1086022307604</v>
      </c>
      <c r="J99" s="651">
        <v>597.42376251935605</v>
      </c>
      <c r="K99" s="651">
        <v>4013.6945881461174</v>
      </c>
      <c r="L99" s="651">
        <v>215.49258399146285</v>
      </c>
      <c r="N99" t="s">
        <v>709</v>
      </c>
    </row>
    <row r="100" spans="3:14" x14ac:dyDescent="0.2">
      <c r="C100" s="629" t="str">
        <f>_xlfn.CONCAT(E100," - ",D100)</f>
        <v>Average DWT - Medium</v>
      </c>
      <c r="D100" s="4" t="str">
        <f>D99</f>
        <v>Medium</v>
      </c>
      <c r="E100" s="625" t="s">
        <v>421</v>
      </c>
      <c r="F100" s="640" t="s">
        <v>422</v>
      </c>
      <c r="G100" s="651">
        <v>53975.333333333336</v>
      </c>
      <c r="H100" s="651">
        <v>60671.666666666664</v>
      </c>
      <c r="I100" s="651">
        <v>76147</v>
      </c>
      <c r="J100" s="651">
        <v>12836</v>
      </c>
      <c r="K100" s="651">
        <v>68317.5</v>
      </c>
      <c r="L100" s="651">
        <v>6133.5</v>
      </c>
      <c r="N100" t="s">
        <v>709</v>
      </c>
    </row>
    <row r="101" spans="3:14" x14ac:dyDescent="0.2">
      <c r="C101" s="629" t="str">
        <f>_xlfn.CONCAT(E101," - ",D101)</f>
        <v>Load factor - Medium</v>
      </c>
      <c r="D101" s="4" t="str">
        <f>D100</f>
        <v>Medium</v>
      </c>
      <c r="E101" s="625" t="s">
        <v>423</v>
      </c>
      <c r="F101" s="640" t="s">
        <v>178</v>
      </c>
      <c r="G101" s="652">
        <v>0.6</v>
      </c>
      <c r="H101" s="652">
        <v>0.56666666666666665</v>
      </c>
      <c r="I101" s="652">
        <v>0.54</v>
      </c>
      <c r="J101" s="652">
        <v>0.5</v>
      </c>
      <c r="K101" s="652">
        <v>0.55000000000000004</v>
      </c>
      <c r="L101" s="652">
        <v>0.8</v>
      </c>
      <c r="N101" t="s">
        <v>709</v>
      </c>
    </row>
    <row r="102" spans="3:14" x14ac:dyDescent="0.2">
      <c r="C102" s="629" t="str">
        <f>_xlfn.CONCAT(E102," - ",D102)</f>
        <v>Load factor EEDI - Medium</v>
      </c>
      <c r="D102" s="4" t="str">
        <f>D101</f>
        <v>Medium</v>
      </c>
      <c r="E102" s="625" t="s">
        <v>424</v>
      </c>
      <c r="F102" s="640" t="s">
        <v>178</v>
      </c>
      <c r="G102" s="352">
        <v>0.7</v>
      </c>
      <c r="H102" s="352">
        <v>1</v>
      </c>
      <c r="I102" s="352">
        <v>1</v>
      </c>
      <c r="J102" s="352">
        <v>1</v>
      </c>
      <c r="K102" s="352">
        <v>1</v>
      </c>
      <c r="L102" s="352">
        <v>1</v>
      </c>
      <c r="N102" t="s">
        <v>719</v>
      </c>
    </row>
    <row r="103" spans="3:14" x14ac:dyDescent="0.2">
      <c r="C103" s="629"/>
      <c r="D103" s="4"/>
      <c r="E103" s="625"/>
      <c r="F103" s="640"/>
      <c r="G103" s="354"/>
      <c r="H103" s="354"/>
      <c r="I103" s="354"/>
      <c r="J103" s="369"/>
      <c r="K103" s="369"/>
      <c r="L103" s="369"/>
    </row>
    <row r="104" spans="3:14" x14ac:dyDescent="0.2">
      <c r="C104" s="629" t="str">
        <f>_xlfn.CONCAT(E104," - ",D104)</f>
        <v>Fuel consumption - Medium</v>
      </c>
      <c r="D104" s="4" t="str">
        <f>D102</f>
        <v>Medium</v>
      </c>
      <c r="E104" s="625" t="s">
        <v>405</v>
      </c>
      <c r="F104" s="640" t="s">
        <v>720</v>
      </c>
      <c r="G104" s="354">
        <f>SUMPRODUCT(G92:G94,G$21:G$23)/1000</f>
        <v>24354.4064</v>
      </c>
      <c r="H104" s="354">
        <f t="shared" ref="H104:L104" si="32">SUMPRODUCT(H92:H94,H$21:H$23)/1000</f>
        <v>8713.86</v>
      </c>
      <c r="I104" s="354">
        <f t="shared" si="32"/>
        <v>4477.1903999999995</v>
      </c>
      <c r="J104" s="354">
        <f t="shared" si="32"/>
        <v>7813.6223200000013</v>
      </c>
      <c r="K104" s="354">
        <f t="shared" si="32"/>
        <v>13857.04</v>
      </c>
      <c r="L104" s="354">
        <f t="shared" si="32"/>
        <v>31547.397119999998</v>
      </c>
    </row>
    <row r="105" spans="3:14" x14ac:dyDescent="0.2">
      <c r="C105" s="629"/>
      <c r="D105" s="4"/>
      <c r="E105" s="625"/>
      <c r="F105" s="640"/>
      <c r="G105" s="369"/>
      <c r="H105" s="369"/>
      <c r="I105" s="369"/>
      <c r="J105" s="369"/>
      <c r="K105" s="369"/>
      <c r="L105" s="369"/>
    </row>
    <row r="106" spans="3:14" x14ac:dyDescent="0.2"/>
    <row r="107" spans="3:14" x14ac:dyDescent="0.2"/>
    <row r="108" spans="3:14" x14ac:dyDescent="0.2"/>
    <row r="109" spans="3:14" x14ac:dyDescent="0.2"/>
    <row r="110" spans="3:14" x14ac:dyDescent="0.2"/>
    <row r="111" spans="3:14" x14ac:dyDescent="0.2"/>
    <row r="112" spans="3:14"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sheetData>
  <conditionalFormatting sqref="M1:N1">
    <cfRule type="colorScale" priority="647">
      <colorScale>
        <cfvo type="min"/>
        <cfvo type="percentile" val="50"/>
        <cfvo type="max"/>
        <color rgb="FFF8696B"/>
        <color rgb="FFFFEB84"/>
        <color rgb="FF63BE7B"/>
      </colorScale>
    </cfRule>
  </conditionalFormatting>
  <conditionalFormatting sqref="O49 O51 O53 O55 O57 O59:O65 O45:O46">
    <cfRule type="colorScale" priority="753">
      <colorScale>
        <cfvo type="min"/>
        <cfvo type="percentile" val="50"/>
        <cfvo type="max"/>
        <color rgb="FFF8696B"/>
        <color rgb="FFFFEB84"/>
        <color rgb="FF63BE7B"/>
      </colorScale>
    </cfRule>
  </conditionalFormatting>
  <conditionalFormatting sqref="O92:O95">
    <cfRule type="colorScale" priority="760">
      <colorScale>
        <cfvo type="min"/>
        <cfvo type="percentile" val="50"/>
        <cfvo type="max"/>
        <color rgb="FFF8696B"/>
        <color rgb="FFFFEB84"/>
        <color rgb="FF63BE7B"/>
      </colorScale>
    </cfRule>
  </conditionalFormatting>
  <conditionalFormatting sqref="O27">
    <cfRule type="colorScale" priority="761">
      <colorScale>
        <cfvo type="min"/>
        <cfvo type="percentile" val="50"/>
        <cfvo type="max"/>
        <color rgb="FFF8696B"/>
        <color rgb="FFFFEB84"/>
        <color rgb="FF63BE7B"/>
      </colorScale>
    </cfRule>
  </conditionalFormatting>
  <conditionalFormatting sqref="O29">
    <cfRule type="colorScale" priority="762">
      <colorScale>
        <cfvo type="min"/>
        <cfvo type="percentile" val="50"/>
        <cfvo type="max"/>
        <color rgb="FFF8696B"/>
        <color rgb="FFFFEB84"/>
        <color rgb="FF63BE7B"/>
      </colorScale>
    </cfRule>
  </conditionalFormatting>
  <conditionalFormatting sqref="O31">
    <cfRule type="colorScale" priority="763">
      <colorScale>
        <cfvo type="min"/>
        <cfvo type="percentile" val="50"/>
        <cfvo type="max"/>
        <color rgb="FFF8696B"/>
        <color rgb="FFFFEB84"/>
        <color rgb="FF63BE7B"/>
      </colorScale>
    </cfRule>
  </conditionalFormatting>
  <conditionalFormatting sqref="O33">
    <cfRule type="colorScale" priority="764">
      <colorScale>
        <cfvo type="min"/>
        <cfvo type="percentile" val="50"/>
        <cfvo type="max"/>
        <color rgb="FFF8696B"/>
        <color rgb="FFFFEB84"/>
        <color rgb="FF63BE7B"/>
      </colorScale>
    </cfRule>
  </conditionalFormatting>
  <conditionalFormatting sqref="O35">
    <cfRule type="colorScale" priority="765">
      <colorScale>
        <cfvo type="min"/>
        <cfvo type="percentile" val="50"/>
        <cfvo type="max"/>
        <color rgb="FFF8696B"/>
        <color rgb="FFFFEB84"/>
        <color rgb="FF63BE7B"/>
      </colorScale>
    </cfRule>
  </conditionalFormatting>
  <conditionalFormatting sqref="O37">
    <cfRule type="colorScale" priority="766">
      <colorScale>
        <cfvo type="min"/>
        <cfvo type="percentile" val="50"/>
        <cfvo type="max"/>
        <color rgb="FFF8696B"/>
        <color rgb="FFFFEB84"/>
        <color rgb="FF63BE7B"/>
      </colorScale>
    </cfRule>
  </conditionalFormatting>
  <conditionalFormatting sqref="O96">
    <cfRule type="colorScale" priority="767">
      <colorScale>
        <cfvo type="min"/>
        <cfvo type="percentile" val="50"/>
        <cfvo type="max"/>
        <color rgb="FFF8696B"/>
        <color rgb="FFFFEB84"/>
        <color rgb="FF63BE7B"/>
      </colorScale>
    </cfRule>
  </conditionalFormatting>
  <conditionalFormatting sqref="O97:O98">
    <cfRule type="colorScale" priority="768">
      <colorScale>
        <cfvo type="min"/>
        <cfvo type="percentile" val="50"/>
        <cfvo type="max"/>
        <color rgb="FFF8696B"/>
        <color rgb="FFFFEB84"/>
        <color rgb="FF63BE7B"/>
      </colorScale>
    </cfRule>
  </conditionalFormatting>
  <conditionalFormatting sqref="O99">
    <cfRule type="colorScale" priority="769">
      <colorScale>
        <cfvo type="min"/>
        <cfvo type="percentile" val="50"/>
        <cfvo type="max"/>
        <color rgb="FFF8696B"/>
        <color rgb="FFFFEB84"/>
        <color rgb="FF63BE7B"/>
      </colorScale>
    </cfRule>
  </conditionalFormatting>
  <conditionalFormatting sqref="O100">
    <cfRule type="colorScale" priority="770">
      <colorScale>
        <cfvo type="min"/>
        <cfvo type="percentile" val="50"/>
        <cfvo type="max"/>
        <color rgb="FFF8696B"/>
        <color rgb="FFFFEB84"/>
        <color rgb="FF63BE7B"/>
      </colorScale>
    </cfRule>
  </conditionalFormatting>
  <conditionalFormatting sqref="O101">
    <cfRule type="colorScale" priority="771">
      <colorScale>
        <cfvo type="min"/>
        <cfvo type="percentile" val="50"/>
        <cfvo type="max"/>
        <color rgb="FFF8696B"/>
        <color rgb="FFFFEB84"/>
        <color rgb="FF63BE7B"/>
      </colorScale>
    </cfRule>
  </conditionalFormatting>
  <conditionalFormatting sqref="O102:O103 O105">
    <cfRule type="colorScale" priority="772">
      <colorScale>
        <cfvo type="min"/>
        <cfvo type="percentile" val="50"/>
        <cfvo type="max"/>
        <color rgb="FFF8696B"/>
        <color rgb="FFFFEB84"/>
        <color rgb="FF63BE7B"/>
      </colorScale>
    </cfRule>
  </conditionalFormatting>
  <conditionalFormatting sqref="O104">
    <cfRule type="colorScale" priority="774">
      <colorScale>
        <cfvo type="min"/>
        <cfvo type="percentile" val="50"/>
        <cfvo type="max"/>
        <color rgb="FFF8696B"/>
        <color rgb="FFFFEB84"/>
        <color rgb="FF63BE7B"/>
      </colorScale>
    </cfRule>
  </conditionalFormatting>
  <conditionalFormatting sqref="O13:O14">
    <cfRule type="colorScale" priority="775">
      <colorScale>
        <cfvo type="min"/>
        <cfvo type="percentile" val="50"/>
        <cfvo type="max"/>
        <color rgb="FFF8696B"/>
        <color rgb="FFFFEB84"/>
        <color rgb="FF63BE7B"/>
      </colorScale>
    </cfRule>
  </conditionalFormatting>
  <conditionalFormatting sqref="O47:O48">
    <cfRule type="colorScale" priority="776">
      <colorScale>
        <cfvo type="min"/>
        <cfvo type="percentile" val="50"/>
        <cfvo type="max"/>
        <color rgb="FFF8696B"/>
        <color rgb="FFFFEB84"/>
        <color rgb="FF63BE7B"/>
      </colorScale>
    </cfRule>
  </conditionalFormatting>
  <conditionalFormatting sqref="O50">
    <cfRule type="colorScale" priority="777">
      <colorScale>
        <cfvo type="min"/>
        <cfvo type="percentile" val="50"/>
        <cfvo type="max"/>
        <color rgb="FFF8696B"/>
        <color rgb="FFFFEB84"/>
        <color rgb="FF63BE7B"/>
      </colorScale>
    </cfRule>
  </conditionalFormatting>
  <conditionalFormatting sqref="O52">
    <cfRule type="colorScale" priority="778">
      <colorScale>
        <cfvo type="min"/>
        <cfvo type="percentile" val="50"/>
        <cfvo type="max"/>
        <color rgb="FFF8696B"/>
        <color rgb="FFFFEB84"/>
        <color rgb="FF63BE7B"/>
      </colorScale>
    </cfRule>
  </conditionalFormatting>
  <conditionalFormatting sqref="O54">
    <cfRule type="colorScale" priority="779">
      <colorScale>
        <cfvo type="min"/>
        <cfvo type="percentile" val="50"/>
        <cfvo type="max"/>
        <color rgb="FFF8696B"/>
        <color rgb="FFFFEB84"/>
        <color rgb="FF63BE7B"/>
      </colorScale>
    </cfRule>
  </conditionalFormatting>
  <conditionalFormatting sqref="O56">
    <cfRule type="colorScale" priority="780">
      <colorScale>
        <cfvo type="min"/>
        <cfvo type="percentile" val="50"/>
        <cfvo type="max"/>
        <color rgb="FFF8696B"/>
        <color rgb="FFFFEB84"/>
        <color rgb="FF63BE7B"/>
      </colorScale>
    </cfRule>
  </conditionalFormatting>
  <conditionalFormatting sqref="O58">
    <cfRule type="colorScale" priority="781">
      <colorScale>
        <cfvo type="min"/>
        <cfvo type="percentile" val="50"/>
        <cfvo type="max"/>
        <color rgb="FFF8696B"/>
        <color rgb="FFFFEB84"/>
        <color rgb="FF63BE7B"/>
      </colorScale>
    </cfRule>
  </conditionalFormatting>
  <conditionalFormatting sqref="O82">
    <cfRule type="colorScale" priority="782">
      <colorScale>
        <cfvo type="min"/>
        <cfvo type="percentile" val="50"/>
        <cfvo type="max"/>
        <color rgb="FFF8696B"/>
        <color rgb="FFFFEB84"/>
        <color rgb="FF63BE7B"/>
      </colorScale>
    </cfRule>
  </conditionalFormatting>
  <conditionalFormatting sqref="O28 O30 O32 O34 O36 O38:O44 O83:O91 O66:O81 O2:O11 O15:O26">
    <cfRule type="colorScale" priority="787">
      <colorScale>
        <cfvo type="min"/>
        <cfvo type="percentile" val="50"/>
        <cfvo type="max"/>
        <color rgb="FFF8696B"/>
        <color rgb="FFFFEB84"/>
        <color rgb="FF63BE7B"/>
      </colorScale>
    </cfRule>
  </conditionalFormatting>
  <pageMargins left="0.7" right="0.7" top="0.75" bottom="0.75" header="0.3" footer="0.3"/>
  <pageSetup paperSize="9" orientation="portrait" r:id="rId1"/>
  <headerFooter>
    <oddFooter>&amp;C_x000D_&amp;1#&amp;"Calibri"&amp;10&amp;K000000 Business External</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61D3A-0AF2-48CB-8C14-4981D29E7C1C}">
  <sheetPr codeName="Sheet18">
    <tabColor theme="2"/>
  </sheetPr>
  <dimension ref="A1:V529"/>
  <sheetViews>
    <sheetView showGridLines="0" zoomScale="55" zoomScaleNormal="55" workbookViewId="0"/>
  </sheetViews>
  <sheetFormatPr defaultColWidth="9" defaultRowHeight="14.25" x14ac:dyDescent="0.2"/>
  <cols>
    <col min="1" max="1" width="12.5703125" style="29" customWidth="1"/>
    <col min="2" max="2" width="73" style="29" customWidth="1"/>
    <col min="3" max="3" width="19.5703125" style="29" customWidth="1"/>
    <col min="4" max="4" width="32.5703125" style="29" customWidth="1"/>
    <col min="5" max="5" width="19.5703125" style="29" customWidth="1"/>
    <col min="6" max="6" width="16" style="29" customWidth="1"/>
    <col min="7" max="7" width="25.5703125" style="29" customWidth="1"/>
    <col min="8" max="8" width="34" style="29" customWidth="1"/>
    <col min="9" max="9" width="25.140625" style="29" customWidth="1"/>
    <col min="10" max="10" width="19.5703125" style="29" customWidth="1"/>
    <col min="11" max="22" width="21.140625" style="29" customWidth="1"/>
    <col min="23" max="16384" width="9" style="29"/>
  </cols>
  <sheetData>
    <row r="1" spans="1:22" s="28" customFormat="1" ht="38.1" customHeight="1" x14ac:dyDescent="0.2">
      <c r="E1" s="28" t="str" cm="1">
        <f t="array" aca="1" ref="E1" ca="1">MID(CELL("filename",A1),FIND("]",CELL("filename",A1))+1,255)</f>
        <v>Fuel Selector</v>
      </c>
    </row>
    <row r="3" spans="1:22" ht="15" x14ac:dyDescent="0.25">
      <c r="B3" s="30" t="s">
        <v>721</v>
      </c>
    </row>
    <row r="4" spans="1:22" x14ac:dyDescent="0.2">
      <c r="B4" s="144" t="s">
        <v>618</v>
      </c>
      <c r="C4" s="144" t="s">
        <v>49</v>
      </c>
      <c r="D4" s="408"/>
      <c r="E4" s="144" t="s">
        <v>722</v>
      </c>
      <c r="F4" s="144" t="s">
        <v>208</v>
      </c>
      <c r="G4" s="144"/>
      <c r="H4" s="144"/>
      <c r="I4" s="144" t="s">
        <v>86</v>
      </c>
      <c r="J4" s="56"/>
      <c r="K4" s="56">
        <v>2020</v>
      </c>
      <c r="L4" s="56">
        <f>K4+5</f>
        <v>2025</v>
      </c>
      <c r="M4" s="56">
        <f t="shared" ref="M4:V4" si="0">L4+5</f>
        <v>2030</v>
      </c>
      <c r="N4" s="56">
        <f t="shared" si="0"/>
        <v>2035</v>
      </c>
      <c r="O4" s="56">
        <f t="shared" si="0"/>
        <v>2040</v>
      </c>
      <c r="P4" s="56">
        <f t="shared" si="0"/>
        <v>2045</v>
      </c>
      <c r="Q4" s="56">
        <f t="shared" si="0"/>
        <v>2050</v>
      </c>
      <c r="R4" s="56">
        <f t="shared" si="0"/>
        <v>2055</v>
      </c>
      <c r="S4" s="56">
        <f t="shared" si="0"/>
        <v>2060</v>
      </c>
      <c r="T4" s="56">
        <f t="shared" si="0"/>
        <v>2065</v>
      </c>
      <c r="U4" s="56">
        <f t="shared" si="0"/>
        <v>2070</v>
      </c>
      <c r="V4" s="56">
        <f t="shared" si="0"/>
        <v>2075</v>
      </c>
    </row>
    <row r="5" spans="1:22" x14ac:dyDescent="0.2">
      <c r="A5" s="29">
        <v>1</v>
      </c>
      <c r="B5" s="334" t="str">
        <f t="shared" ref="B5:B24" si="1">_xlfn.TEXTJOIN(keydelim,TRUE,C5:G5)</f>
        <v>LSFO - Europe - Fuel cost total - USD/GJ</v>
      </c>
      <c r="C5" t="str" cm="1">
        <f t="array" ref="C5">INDEX(list_ME_fuel,A5)</f>
        <v>LSFO</v>
      </c>
      <c r="D5"/>
      <c r="E5" t="s">
        <v>195</v>
      </c>
      <c r="F5" t="str">
        <f t="shared" ref="F5:F24" si="2">"Fuel cost total"  &amp;keydelim &amp;I5</f>
        <v>Fuel cost total - USD/GJ</v>
      </c>
      <c r="G5" s="128"/>
      <c r="H5" s="409"/>
      <c r="I5" t="s">
        <v>324</v>
      </c>
      <c r="K5" s="68">
        <f>K114+K221</f>
        <v>21.473621920116738</v>
      </c>
      <c r="L5" s="68">
        <f t="shared" ref="L5:V5" si="3">L114+L221</f>
        <v>15.404989638344617</v>
      </c>
      <c r="M5" s="68">
        <f t="shared" si="3"/>
        <v>13.444354593464393</v>
      </c>
      <c r="N5" s="68">
        <f t="shared" si="3"/>
        <v>13.444354593464393</v>
      </c>
      <c r="O5" s="68">
        <f t="shared" si="3"/>
        <v>13.444354593464393</v>
      </c>
      <c r="P5" s="68">
        <f t="shared" si="3"/>
        <v>13.444354593464393</v>
      </c>
      <c r="Q5" s="68">
        <f t="shared" si="3"/>
        <v>13.444354593464393</v>
      </c>
      <c r="R5" s="68">
        <f t="shared" si="3"/>
        <v>13.444354593464393</v>
      </c>
      <c r="S5" s="68">
        <f t="shared" si="3"/>
        <v>13.444354593464393</v>
      </c>
      <c r="T5" s="68">
        <f t="shared" si="3"/>
        <v>13.444354593464393</v>
      </c>
      <c r="U5" s="68">
        <f t="shared" si="3"/>
        <v>13.444354593464393</v>
      </c>
      <c r="V5" s="68">
        <f t="shared" si="3"/>
        <v>13.444354593464393</v>
      </c>
    </row>
    <row r="6" spans="1:22" x14ac:dyDescent="0.2">
      <c r="A6" s="29">
        <f>A5+1</f>
        <v>2</v>
      </c>
      <c r="B6" s="334" t="str">
        <f t="shared" si="1"/>
        <v>LNG - Europe - Fuel cost total - USD/GJ</v>
      </c>
      <c r="C6" t="str" cm="1">
        <f t="array" ref="C6">INDEX(list_ME_fuel,A6)</f>
        <v>LNG</v>
      </c>
      <c r="D6"/>
      <c r="E6" t="str">
        <f t="shared" ref="E6:E15" si="4">E5</f>
        <v>Europe</v>
      </c>
      <c r="F6" t="str">
        <f t="shared" si="2"/>
        <v>Fuel cost total - USD/GJ</v>
      </c>
      <c r="G6" s="128"/>
      <c r="H6" s="409"/>
      <c r="I6" t="s">
        <v>324</v>
      </c>
      <c r="K6" s="68">
        <f t="shared" ref="K6:V6" si="5">K115+K222</f>
        <v>42.238746025334514</v>
      </c>
      <c r="L6" s="68">
        <f t="shared" si="5"/>
        <v>20.132646443951888</v>
      </c>
      <c r="M6" s="68">
        <f t="shared" si="5"/>
        <v>15.24176515489564</v>
      </c>
      <c r="N6" s="68">
        <f t="shared" si="5"/>
        <v>15.103159219481784</v>
      </c>
      <c r="O6" s="68">
        <f t="shared" si="5"/>
        <v>14.984656842230997</v>
      </c>
      <c r="P6" s="68">
        <f t="shared" si="5"/>
        <v>14.866442505632683</v>
      </c>
      <c r="Q6" s="68">
        <f t="shared" si="5"/>
        <v>14.757996087713781</v>
      </c>
      <c r="R6" s="68">
        <f t="shared" si="5"/>
        <v>14.757996087713781</v>
      </c>
      <c r="S6" s="68">
        <f t="shared" si="5"/>
        <v>14.757996087713781</v>
      </c>
      <c r="T6" s="68">
        <f t="shared" si="5"/>
        <v>14.757996087713781</v>
      </c>
      <c r="U6" s="68">
        <f t="shared" si="5"/>
        <v>14.757996087713781</v>
      </c>
      <c r="V6" s="68">
        <f t="shared" si="5"/>
        <v>14.757996087713781</v>
      </c>
    </row>
    <row r="7" spans="1:22" x14ac:dyDescent="0.2">
      <c r="A7" s="29">
        <f t="shared" ref="A7:A24" si="6">A6+1</f>
        <v>3</v>
      </c>
      <c r="B7" s="334" t="str">
        <f t="shared" si="1"/>
        <v>LPG - Europe - Fuel cost total - USD/GJ</v>
      </c>
      <c r="C7" t="str" cm="1">
        <f t="array" ref="C7">INDEX(list_ME_fuel,A7)</f>
        <v>LPG</v>
      </c>
      <c r="D7"/>
      <c r="E7" t="str">
        <f t="shared" si="4"/>
        <v>Europe</v>
      </c>
      <c r="F7" t="str">
        <f t="shared" si="2"/>
        <v>Fuel cost total - USD/GJ</v>
      </c>
      <c r="G7" s="128"/>
      <c r="H7" s="409"/>
      <c r="I7" t="s">
        <v>324</v>
      </c>
      <c r="K7" s="68">
        <f t="shared" ref="K7:V7" si="7">K116+K223</f>
        <v>16.525069073439496</v>
      </c>
      <c r="L7" s="68">
        <f t="shared" si="7"/>
        <v>11.854940857032684</v>
      </c>
      <c r="M7" s="68">
        <f t="shared" si="7"/>
        <v>10.34613020250125</v>
      </c>
      <c r="N7" s="68">
        <f t="shared" si="7"/>
        <v>10.34613020250125</v>
      </c>
      <c r="O7" s="68">
        <f t="shared" si="7"/>
        <v>10.34613020250125</v>
      </c>
      <c r="P7" s="68">
        <f t="shared" si="7"/>
        <v>10.34613020250125</v>
      </c>
      <c r="Q7" s="68">
        <f t="shared" si="7"/>
        <v>10.34613020250125</v>
      </c>
      <c r="R7" s="68">
        <f t="shared" si="7"/>
        <v>10.34613020250125</v>
      </c>
      <c r="S7" s="68">
        <f t="shared" si="7"/>
        <v>10.34613020250125</v>
      </c>
      <c r="T7" s="68">
        <f t="shared" si="7"/>
        <v>10.34613020250125</v>
      </c>
      <c r="U7" s="68">
        <f t="shared" si="7"/>
        <v>10.34613020250125</v>
      </c>
      <c r="V7" s="68">
        <f t="shared" si="7"/>
        <v>10.34613020250125</v>
      </c>
    </row>
    <row r="8" spans="1:22" x14ac:dyDescent="0.2">
      <c r="A8" s="29">
        <f t="shared" si="6"/>
        <v>4</v>
      </c>
      <c r="B8" s="334" t="str">
        <f t="shared" si="1"/>
        <v>Electricity - Europe - Fuel cost total - USD/GJ</v>
      </c>
      <c r="C8" t="str" cm="1">
        <f t="array" ref="C8">INDEX(list_ME_fuel,A8)</f>
        <v>Electricity</v>
      </c>
      <c r="D8"/>
      <c r="E8" t="str">
        <f t="shared" si="4"/>
        <v>Europe</v>
      </c>
      <c r="F8" t="str">
        <f t="shared" si="2"/>
        <v>Fuel cost total - USD/GJ</v>
      </c>
      <c r="G8" s="128"/>
      <c r="H8" s="409"/>
      <c r="I8" t="s">
        <v>324</v>
      </c>
      <c r="K8" s="68">
        <f t="shared" ref="K8:V8" si="8">K117+K224</f>
        <v>33.948308209952124</v>
      </c>
      <c r="L8" s="68">
        <f t="shared" si="8"/>
        <v>31.0543207591544</v>
      </c>
      <c r="M8" s="68">
        <f t="shared" si="8"/>
        <v>28.715961410704608</v>
      </c>
      <c r="N8" s="68">
        <f t="shared" si="8"/>
        <v>27.744373585233539</v>
      </c>
      <c r="O8" s="68">
        <f t="shared" si="8"/>
        <v>27.164286270127683</v>
      </c>
      <c r="P8" s="68">
        <f t="shared" si="8"/>
        <v>26.543697571584122</v>
      </c>
      <c r="Q8" s="68">
        <f t="shared" si="8"/>
        <v>26.090903276551931</v>
      </c>
      <c r="R8" s="68">
        <f t="shared" si="8"/>
        <v>26.090903276551931</v>
      </c>
      <c r="S8" s="68">
        <f t="shared" si="8"/>
        <v>26.090903276551931</v>
      </c>
      <c r="T8" s="68">
        <f t="shared" si="8"/>
        <v>26.090903276551931</v>
      </c>
      <c r="U8" s="68">
        <f t="shared" si="8"/>
        <v>26.090903276551931</v>
      </c>
      <c r="V8" s="68">
        <f t="shared" si="8"/>
        <v>26.090903276551931</v>
      </c>
    </row>
    <row r="9" spans="1:22" x14ac:dyDescent="0.2">
      <c r="A9" s="29">
        <f t="shared" si="6"/>
        <v>5</v>
      </c>
      <c r="B9" s="334" t="str">
        <f t="shared" si="1"/>
        <v>e-Ammonia - Europe - Fuel cost total - USD/GJ</v>
      </c>
      <c r="C9" t="str" cm="1">
        <f t="array" ref="C9">INDEX(list_ME_fuel,A9)</f>
        <v>e-Ammonia</v>
      </c>
      <c r="D9"/>
      <c r="E9" t="str">
        <f t="shared" si="4"/>
        <v>Europe</v>
      </c>
      <c r="F9" t="str">
        <f t="shared" si="2"/>
        <v>Fuel cost total - USD/GJ</v>
      </c>
      <c r="G9" s="226"/>
      <c r="H9" s="409"/>
      <c r="I9" t="s">
        <v>324</v>
      </c>
      <c r="K9" s="68">
        <f t="shared" ref="K9:V9" si="9">K118+K225</f>
        <v>70.297680012845831</v>
      </c>
      <c r="L9" s="68">
        <f t="shared" si="9"/>
        <v>53.046404277541093</v>
      </c>
      <c r="M9" s="68">
        <f t="shared" si="9"/>
        <v>37.372442682577805</v>
      </c>
      <c r="N9" s="68">
        <f t="shared" si="9"/>
        <v>34.374160703222906</v>
      </c>
      <c r="O9" s="68">
        <f t="shared" si="9"/>
        <v>30.565657115733533</v>
      </c>
      <c r="P9" s="68">
        <f t="shared" si="9"/>
        <v>25.758583937417363</v>
      </c>
      <c r="Q9" s="68">
        <f t="shared" si="9"/>
        <v>21.262390275891789</v>
      </c>
      <c r="R9" s="68">
        <f t="shared" si="9"/>
        <v>21.262390275891789</v>
      </c>
      <c r="S9" s="68">
        <f t="shared" si="9"/>
        <v>21.262390275891789</v>
      </c>
      <c r="T9" s="68">
        <f t="shared" si="9"/>
        <v>21.262390275891789</v>
      </c>
      <c r="U9" s="68">
        <f t="shared" si="9"/>
        <v>21.262390275891789</v>
      </c>
      <c r="V9" s="68">
        <f t="shared" si="9"/>
        <v>21.262390275891789</v>
      </c>
    </row>
    <row r="10" spans="1:22" x14ac:dyDescent="0.2">
      <c r="A10" s="29">
        <f t="shared" si="6"/>
        <v>6</v>
      </c>
      <c r="B10" s="334" t="str">
        <f t="shared" si="1"/>
        <v>Blue ammonia - Europe - Fuel cost total - USD/GJ</v>
      </c>
      <c r="C10" t="str" cm="1">
        <f t="array" ref="C10">INDEX(list_ME_fuel,A10)</f>
        <v>Blue ammonia</v>
      </c>
      <c r="D10"/>
      <c r="E10" t="str">
        <f t="shared" si="4"/>
        <v>Europe</v>
      </c>
      <c r="F10" t="str">
        <f t="shared" si="2"/>
        <v>Fuel cost total - USD/GJ</v>
      </c>
      <c r="G10" s="226"/>
      <c r="H10" s="409"/>
      <c r="I10" t="s">
        <v>324</v>
      </c>
      <c r="K10" s="68">
        <f t="shared" ref="K10:V10" si="10">K119+K226</f>
        <v>79.644233104222565</v>
      </c>
      <c r="L10" s="68">
        <f t="shared" si="10"/>
        <v>42.316211660813167</v>
      </c>
      <c r="M10" s="68">
        <f t="shared" si="10"/>
        <v>33.092830996295632</v>
      </c>
      <c r="N10" s="68">
        <f t="shared" si="10"/>
        <v>32.657227091878916</v>
      </c>
      <c r="O10" s="68">
        <f t="shared" si="10"/>
        <v>32.235387296832052</v>
      </c>
      <c r="P10" s="68">
        <f t="shared" si="10"/>
        <v>31.812123581620316</v>
      </c>
      <c r="Q10" s="68">
        <f t="shared" si="10"/>
        <v>31.394759068224246</v>
      </c>
      <c r="R10" s="68">
        <f t="shared" si="10"/>
        <v>31.394759068224246</v>
      </c>
      <c r="S10" s="68">
        <f t="shared" si="10"/>
        <v>31.394759068224246</v>
      </c>
      <c r="T10" s="68">
        <f t="shared" si="10"/>
        <v>31.394759068224246</v>
      </c>
      <c r="U10" s="68">
        <f t="shared" si="10"/>
        <v>31.394759068224246</v>
      </c>
      <c r="V10" s="68">
        <f t="shared" si="10"/>
        <v>31.394759068224246</v>
      </c>
    </row>
    <row r="11" spans="1:22" x14ac:dyDescent="0.2">
      <c r="A11" s="29">
        <f t="shared" si="6"/>
        <v>7</v>
      </c>
      <c r="B11" s="334" t="str">
        <f t="shared" si="1"/>
        <v>Biomethane - Europe - Fuel cost total - USD/GJ</v>
      </c>
      <c r="C11" t="str" cm="1">
        <f t="array" ref="C11">INDEX(list_ME_fuel,A11)</f>
        <v>Biomethane</v>
      </c>
      <c r="D11"/>
      <c r="E11" t="str">
        <f t="shared" si="4"/>
        <v>Europe</v>
      </c>
      <c r="F11" t="str">
        <f t="shared" si="2"/>
        <v>Fuel cost total - USD/GJ</v>
      </c>
      <c r="G11"/>
      <c r="H11" s="409"/>
      <c r="I11" t="s">
        <v>324</v>
      </c>
      <c r="K11" s="68">
        <f t="shared" ref="K11:V11" si="11">K120+K227</f>
        <v>26.208209405044727</v>
      </c>
      <c r="L11" s="68">
        <f t="shared" si="11"/>
        <v>24.036084986877469</v>
      </c>
      <c r="M11" s="68">
        <f t="shared" si="11"/>
        <v>22.448613283251294</v>
      </c>
      <c r="N11" s="68">
        <f t="shared" si="11"/>
        <v>21.091540763228949</v>
      </c>
      <c r="O11" s="68">
        <f t="shared" si="11"/>
        <v>19.768083094552253</v>
      </c>
      <c r="P11" s="68">
        <f t="shared" si="11"/>
        <v>18.44011412816505</v>
      </c>
      <c r="Q11" s="68">
        <f t="shared" si="11"/>
        <v>17.12649859406153</v>
      </c>
      <c r="R11" s="68">
        <f t="shared" si="11"/>
        <v>17.12649859406153</v>
      </c>
      <c r="S11" s="68">
        <f t="shared" si="11"/>
        <v>17.12649859406153</v>
      </c>
      <c r="T11" s="68">
        <f t="shared" si="11"/>
        <v>17.12649859406153</v>
      </c>
      <c r="U11" s="68">
        <f t="shared" si="11"/>
        <v>17.12649859406153</v>
      </c>
      <c r="V11" s="68">
        <f t="shared" si="11"/>
        <v>17.12649859406153</v>
      </c>
    </row>
    <row r="12" spans="1:22" x14ac:dyDescent="0.2">
      <c r="A12" s="29">
        <f t="shared" si="6"/>
        <v>8</v>
      </c>
      <c r="B12" s="334" t="str">
        <f t="shared" si="1"/>
        <v>e-Methane (DAC) - Europe - Fuel cost total - USD/GJ</v>
      </c>
      <c r="C12" t="str" cm="1">
        <f t="array" ref="C12">INDEX(list_ME_fuel,A12)</f>
        <v>e-Methane (DAC)</v>
      </c>
      <c r="D12"/>
      <c r="E12" t="str">
        <f t="shared" si="4"/>
        <v>Europe</v>
      </c>
      <c r="F12" t="str">
        <f t="shared" si="2"/>
        <v>Fuel cost total - USD/GJ</v>
      </c>
      <c r="G12" s="226"/>
      <c r="H12" s="409"/>
      <c r="I12" t="s">
        <v>324</v>
      </c>
      <c r="K12" s="68">
        <f t="shared" ref="K12:V12" si="12">K121+K228</f>
        <v>76.558486945979737</v>
      </c>
      <c r="L12" s="68">
        <f t="shared" si="12"/>
        <v>62.501495687530984</v>
      </c>
      <c r="M12" s="68">
        <f t="shared" si="12"/>
        <v>51.408741838200271</v>
      </c>
      <c r="N12" s="68">
        <f t="shared" si="12"/>
        <v>46.455829030504141</v>
      </c>
      <c r="O12" s="68">
        <f t="shared" si="12"/>
        <v>41.076664926499021</v>
      </c>
      <c r="P12" s="68">
        <f t="shared" si="12"/>
        <v>34.589599000927905</v>
      </c>
      <c r="Q12" s="68">
        <f t="shared" si="12"/>
        <v>28.644833812073077</v>
      </c>
      <c r="R12" s="68">
        <f t="shared" si="12"/>
        <v>28.644833812073077</v>
      </c>
      <c r="S12" s="68">
        <f t="shared" si="12"/>
        <v>28.644833812073077</v>
      </c>
      <c r="T12" s="68">
        <f t="shared" si="12"/>
        <v>28.644833812073077</v>
      </c>
      <c r="U12" s="68">
        <f t="shared" si="12"/>
        <v>28.644833812073077</v>
      </c>
      <c r="V12" s="68">
        <f t="shared" si="12"/>
        <v>28.644833812073077</v>
      </c>
    </row>
    <row r="13" spans="1:22" x14ac:dyDescent="0.2">
      <c r="A13" s="29">
        <f t="shared" si="6"/>
        <v>9</v>
      </c>
      <c r="B13" s="334" t="str">
        <f t="shared" si="1"/>
        <v>e-Methane (PS) - Europe - Fuel cost total - USD/GJ</v>
      </c>
      <c r="C13" t="str" cm="1">
        <f t="array" ref="C13">INDEX(list_ME_fuel,A13)</f>
        <v>e-Methane (PS)</v>
      </c>
      <c r="D13"/>
      <c r="E13" t="str">
        <f t="shared" si="4"/>
        <v>Europe</v>
      </c>
      <c r="F13" t="str">
        <f t="shared" si="2"/>
        <v>Fuel cost total - USD/GJ</v>
      </c>
      <c r="G13" s="226"/>
      <c r="H13" s="409"/>
      <c r="I13" t="s">
        <v>324</v>
      </c>
      <c r="K13" s="68">
        <f t="shared" ref="K13:V13" si="13">K122+K229</f>
        <v>69.778308284486243</v>
      </c>
      <c r="L13" s="68">
        <f t="shared" si="13"/>
        <v>57.497844683265278</v>
      </c>
      <c r="M13" s="68">
        <f t="shared" si="13"/>
        <v>47.447280465010792</v>
      </c>
      <c r="N13" s="68">
        <f t="shared" si="13"/>
        <v>43.539005485690055</v>
      </c>
      <c r="O13" s="68">
        <f t="shared" si="13"/>
        <v>38.815922081698467</v>
      </c>
      <c r="P13" s="68">
        <f t="shared" si="13"/>
        <v>32.813243860067153</v>
      </c>
      <c r="Q13" s="68">
        <f t="shared" si="13"/>
        <v>27.149835322682577</v>
      </c>
      <c r="R13" s="68">
        <f t="shared" si="13"/>
        <v>27.149835322682577</v>
      </c>
      <c r="S13" s="68">
        <f t="shared" si="13"/>
        <v>27.149835322682577</v>
      </c>
      <c r="T13" s="68">
        <f t="shared" si="13"/>
        <v>27.149835322682577</v>
      </c>
      <c r="U13" s="68">
        <f t="shared" si="13"/>
        <v>27.149835322682577</v>
      </c>
      <c r="V13" s="68">
        <f t="shared" si="13"/>
        <v>27.149835322682577</v>
      </c>
    </row>
    <row r="14" spans="1:22" x14ac:dyDescent="0.2">
      <c r="A14" s="29">
        <f t="shared" si="6"/>
        <v>10</v>
      </c>
      <c r="B14" s="334" t="str">
        <f t="shared" si="1"/>
        <v>Biomethanol - Europe - Fuel cost total - USD/GJ</v>
      </c>
      <c r="C14" t="str" cm="1">
        <f t="array" ref="C14">INDEX(list_ME_fuel,A14)</f>
        <v>Biomethanol</v>
      </c>
      <c r="D14"/>
      <c r="E14" t="str">
        <f t="shared" si="4"/>
        <v>Europe</v>
      </c>
      <c r="F14" t="str">
        <f t="shared" si="2"/>
        <v>Fuel cost total - USD/GJ</v>
      </c>
      <c r="G14"/>
      <c r="H14" s="409"/>
      <c r="I14" t="s">
        <v>324</v>
      </c>
      <c r="K14" s="68">
        <f t="shared" ref="K14:V14" si="14">K123+K230</f>
        <v>51.434431290061902</v>
      </c>
      <c r="L14" s="68">
        <f t="shared" si="14"/>
        <v>36.555089131562283</v>
      </c>
      <c r="M14" s="68">
        <f t="shared" si="14"/>
        <v>31.043120295642179</v>
      </c>
      <c r="N14" s="68">
        <f t="shared" si="14"/>
        <v>28.829749086320582</v>
      </c>
      <c r="O14" s="68">
        <f t="shared" si="14"/>
        <v>26.593070556117802</v>
      </c>
      <c r="P14" s="68">
        <f t="shared" si="14"/>
        <v>25.34547035201301</v>
      </c>
      <c r="Q14" s="68">
        <f t="shared" si="14"/>
        <v>24.113961056230373</v>
      </c>
      <c r="R14" s="68">
        <f t="shared" si="14"/>
        <v>24.113961056230373</v>
      </c>
      <c r="S14" s="68">
        <f t="shared" si="14"/>
        <v>24.113961056230373</v>
      </c>
      <c r="T14" s="68">
        <f t="shared" si="14"/>
        <v>24.113961056230373</v>
      </c>
      <c r="U14" s="68">
        <f t="shared" si="14"/>
        <v>24.113961056230373</v>
      </c>
      <c r="V14" s="68">
        <f t="shared" si="14"/>
        <v>24.113961056230373</v>
      </c>
    </row>
    <row r="15" spans="1:22" x14ac:dyDescent="0.2">
      <c r="A15" s="29">
        <f t="shared" si="6"/>
        <v>11</v>
      </c>
      <c r="B15" s="334" t="str">
        <f t="shared" si="1"/>
        <v>e-Methanol (DAC) - Europe - Fuel cost total - USD/GJ</v>
      </c>
      <c r="C15" t="str" cm="1">
        <f t="array" ref="C15">INDEX(list_ME_fuel,A15)</f>
        <v>e-Methanol (DAC)</v>
      </c>
      <c r="D15"/>
      <c r="E15" t="str">
        <f t="shared" si="4"/>
        <v>Europe</v>
      </c>
      <c r="F15" t="str">
        <f t="shared" si="2"/>
        <v>Fuel cost total - USD/GJ</v>
      </c>
      <c r="G15"/>
      <c r="H15" s="409"/>
      <c r="I15" t="s">
        <v>324</v>
      </c>
      <c r="K15" s="68">
        <f t="shared" ref="K15:V15" si="15">K124+K231</f>
        <v>93.659351635533127</v>
      </c>
      <c r="L15" s="68">
        <f t="shared" si="15"/>
        <v>75.485585557609738</v>
      </c>
      <c r="M15" s="68">
        <f t="shared" si="15"/>
        <v>59.985445779281676</v>
      </c>
      <c r="N15" s="68">
        <f t="shared" si="15"/>
        <v>53.477890974059207</v>
      </c>
      <c r="O15" s="68">
        <f t="shared" si="15"/>
        <v>46.788432939941309</v>
      </c>
      <c r="P15" s="68">
        <f t="shared" si="15"/>
        <v>38.828388609696809</v>
      </c>
      <c r="Q15" s="68">
        <f t="shared" si="15"/>
        <v>31.488281489683899</v>
      </c>
      <c r="R15" s="68">
        <f t="shared" si="15"/>
        <v>31.488281489683899</v>
      </c>
      <c r="S15" s="68">
        <f t="shared" si="15"/>
        <v>31.488281489683899</v>
      </c>
      <c r="T15" s="68">
        <f t="shared" si="15"/>
        <v>31.488281489683899</v>
      </c>
      <c r="U15" s="68">
        <f t="shared" si="15"/>
        <v>31.488281489683899</v>
      </c>
      <c r="V15" s="68">
        <f t="shared" si="15"/>
        <v>31.488281489683899</v>
      </c>
    </row>
    <row r="16" spans="1:22" x14ac:dyDescent="0.2">
      <c r="A16" s="29">
        <f t="shared" si="6"/>
        <v>12</v>
      </c>
      <c r="B16" s="334" t="str">
        <f t="shared" si="1"/>
        <v>e-Methanol (PS) - Europe - Fuel cost total - USD/GJ</v>
      </c>
      <c r="C16" t="str" cm="1">
        <f t="array" ref="C16">INDEX(list_ME_fuel,A16)</f>
        <v>e-Methanol (PS)</v>
      </c>
      <c r="D16"/>
      <c r="E16" t="str">
        <f>E15</f>
        <v>Europe</v>
      </c>
      <c r="F16" t="str">
        <f t="shared" si="2"/>
        <v>Fuel cost total - USD/GJ</v>
      </c>
      <c r="G16"/>
      <c r="H16" s="409"/>
      <c r="I16" t="s">
        <v>324</v>
      </c>
      <c r="K16" s="68">
        <f t="shared" ref="K16:V16" si="16">K125+K232</f>
        <v>85.130374271991229</v>
      </c>
      <c r="L16" s="68">
        <f t="shared" si="16"/>
        <v>69.191352281307616</v>
      </c>
      <c r="M16" s="68">
        <f t="shared" si="16"/>
        <v>55.002212141152704</v>
      </c>
      <c r="N16" s="68">
        <f t="shared" si="16"/>
        <v>49.808736630317249</v>
      </c>
      <c r="O16" s="68">
        <f t="shared" si="16"/>
        <v>43.944580954506172</v>
      </c>
      <c r="P16" s="68">
        <f t="shared" si="16"/>
        <v>36.593861535645438</v>
      </c>
      <c r="Q16" s="68">
        <f t="shared" si="16"/>
        <v>29.607680857881039</v>
      </c>
      <c r="R16" s="68">
        <f t="shared" si="16"/>
        <v>29.607680857881039</v>
      </c>
      <c r="S16" s="68">
        <f t="shared" si="16"/>
        <v>29.607680857881039</v>
      </c>
      <c r="T16" s="68">
        <f t="shared" si="16"/>
        <v>29.607680857881039</v>
      </c>
      <c r="U16" s="68">
        <f t="shared" si="16"/>
        <v>29.607680857881039</v>
      </c>
      <c r="V16" s="68">
        <f t="shared" si="16"/>
        <v>29.607680857881039</v>
      </c>
    </row>
    <row r="17" spans="1:22" x14ac:dyDescent="0.2">
      <c r="A17" s="29">
        <f t="shared" si="6"/>
        <v>13</v>
      </c>
      <c r="B17" s="334" t="str">
        <f t="shared" si="1"/>
        <v>Biodiesel (HtL) - Europe - Fuel cost total - USD/GJ</v>
      </c>
      <c r="C17" t="str" cm="1">
        <f t="array" ref="C17">INDEX(list_AE_fuel,A17)</f>
        <v>Biodiesel (HtL)</v>
      </c>
      <c r="D17"/>
      <c r="E17" t="str">
        <f>E16</f>
        <v>Europe</v>
      </c>
      <c r="F17" t="str">
        <f t="shared" si="2"/>
        <v>Fuel cost total - USD/GJ</v>
      </c>
      <c r="G17"/>
      <c r="H17" s="409"/>
      <c r="I17" t="s">
        <v>324</v>
      </c>
      <c r="K17" s="68">
        <f t="shared" ref="K17:V17" si="17">K126+K233</f>
        <v>161.26958803758401</v>
      </c>
      <c r="L17" s="68">
        <f t="shared" si="17"/>
        <v>53.16347870957248</v>
      </c>
      <c r="M17" s="68">
        <f t="shared" si="17"/>
        <v>24.662663007680088</v>
      </c>
      <c r="N17" s="68">
        <f t="shared" si="17"/>
        <v>24.265090403929698</v>
      </c>
      <c r="O17" s="68">
        <f t="shared" si="17"/>
        <v>23.771536164412808</v>
      </c>
      <c r="P17" s="68">
        <f t="shared" si="17"/>
        <v>23.123164140182489</v>
      </c>
      <c r="Q17" s="68">
        <f t="shared" si="17"/>
        <v>21.904460882997867</v>
      </c>
      <c r="R17" s="68">
        <f t="shared" si="17"/>
        <v>21.904460882997867</v>
      </c>
      <c r="S17" s="68">
        <f t="shared" si="17"/>
        <v>21.904460882997867</v>
      </c>
      <c r="T17" s="68">
        <f t="shared" si="17"/>
        <v>21.904460882997867</v>
      </c>
      <c r="U17" s="68">
        <f t="shared" si="17"/>
        <v>21.904460882997867</v>
      </c>
      <c r="V17" s="68">
        <f t="shared" si="17"/>
        <v>21.904460882997867</v>
      </c>
    </row>
    <row r="18" spans="1:22" x14ac:dyDescent="0.2">
      <c r="A18" s="29">
        <f t="shared" si="6"/>
        <v>14</v>
      </c>
      <c r="B18" s="334" t="str">
        <f t="shared" si="1"/>
        <v>Biodiesel (Pyr) - Europe - Fuel cost total - USD/GJ</v>
      </c>
      <c r="C18" t="str" cm="1">
        <f t="array" ref="C18">INDEX(list_AE_fuel,A18)</f>
        <v>Biodiesel (Pyr)</v>
      </c>
      <c r="D18"/>
      <c r="E18" t="str">
        <f>E17</f>
        <v>Europe</v>
      </c>
      <c r="F18" t="str">
        <f t="shared" si="2"/>
        <v>Fuel cost total - USD/GJ</v>
      </c>
      <c r="G18"/>
      <c r="H18" s="409"/>
      <c r="I18" t="s">
        <v>324</v>
      </c>
      <c r="K18" s="68">
        <f t="shared" ref="K18:V18" si="18">K127+K234</f>
        <v>65.314547324872592</v>
      </c>
      <c r="L18" s="68">
        <f t="shared" si="18"/>
        <v>40.501949235323835</v>
      </c>
      <c r="M18" s="68">
        <f t="shared" si="18"/>
        <v>24.657040375941243</v>
      </c>
      <c r="N18" s="68">
        <f t="shared" si="18"/>
        <v>25.132999679253494</v>
      </c>
      <c r="O18" s="68">
        <f t="shared" si="18"/>
        <v>24.943359601604424</v>
      </c>
      <c r="P18" s="68">
        <f t="shared" si="18"/>
        <v>24.47426936293742</v>
      </c>
      <c r="Q18" s="68">
        <f t="shared" si="18"/>
        <v>22.803385993677281</v>
      </c>
      <c r="R18" s="68">
        <f t="shared" si="18"/>
        <v>22.803385993677281</v>
      </c>
      <c r="S18" s="68">
        <f t="shared" si="18"/>
        <v>22.803385993677281</v>
      </c>
      <c r="T18" s="68">
        <f t="shared" si="18"/>
        <v>22.803385993677281</v>
      </c>
      <c r="U18" s="68">
        <f t="shared" si="18"/>
        <v>22.803385993677281</v>
      </c>
      <c r="V18" s="68">
        <f t="shared" si="18"/>
        <v>22.803385993677281</v>
      </c>
    </row>
    <row r="19" spans="1:22" x14ac:dyDescent="0.2">
      <c r="A19" s="29">
        <f t="shared" si="6"/>
        <v>15</v>
      </c>
      <c r="B19" s="334" t="str">
        <f t="shared" si="1"/>
        <v>e-Diesel (DAC) - Europe - Fuel cost total - USD/GJ</v>
      </c>
      <c r="C19" t="str" cm="1">
        <f t="array" ref="C19">INDEX(list_AE_fuel,A19)</f>
        <v>e-Diesel (DAC)</v>
      </c>
      <c r="D19"/>
      <c r="E19" t="str">
        <f>E18</f>
        <v>Europe</v>
      </c>
      <c r="F19" t="str">
        <f t="shared" si="2"/>
        <v>Fuel cost total - USD/GJ</v>
      </c>
      <c r="G19"/>
      <c r="H19" s="409"/>
      <c r="I19" t="s">
        <v>324</v>
      </c>
      <c r="K19" s="68">
        <f t="shared" ref="K19:V19" si="19">K128+K235</f>
        <v>107.53205657288964</v>
      </c>
      <c r="L19" s="68">
        <f t="shared" si="19"/>
        <v>86.233958141241004</v>
      </c>
      <c r="M19" s="68">
        <f t="shared" si="19"/>
        <v>68.646763647366868</v>
      </c>
      <c r="N19" s="68">
        <f t="shared" si="19"/>
        <v>61.899662496485625</v>
      </c>
      <c r="O19" s="68">
        <f t="shared" si="19"/>
        <v>54.829417671831663</v>
      </c>
      <c r="P19" s="68">
        <f t="shared" si="19"/>
        <v>44.791494469094033</v>
      </c>
      <c r="Q19" s="68">
        <f t="shared" si="19"/>
        <v>35.742447348879644</v>
      </c>
      <c r="R19" s="68">
        <f t="shared" si="19"/>
        <v>35.742447348879644</v>
      </c>
      <c r="S19" s="68">
        <f t="shared" si="19"/>
        <v>35.742447348879644</v>
      </c>
      <c r="T19" s="68">
        <f t="shared" si="19"/>
        <v>35.742447348879644</v>
      </c>
      <c r="U19" s="68">
        <f t="shared" si="19"/>
        <v>35.742447348879644</v>
      </c>
      <c r="V19" s="68">
        <f t="shared" si="19"/>
        <v>35.742447348879644</v>
      </c>
    </row>
    <row r="20" spans="1:22" x14ac:dyDescent="0.2">
      <c r="A20" s="29">
        <f t="shared" si="6"/>
        <v>16</v>
      </c>
      <c r="B20" s="334" t="str">
        <f t="shared" si="1"/>
        <v>e-Diesel (PS) - Europe - Fuel cost total - USD/GJ</v>
      </c>
      <c r="C20" t="str" cm="1">
        <f t="array" ref="C20">INDEX(list_AE_fuel,A20)</f>
        <v>e-Diesel (PS)</v>
      </c>
      <c r="D20"/>
      <c r="E20" t="str">
        <f>E19</f>
        <v>Europe</v>
      </c>
      <c r="F20" t="str">
        <f t="shared" si="2"/>
        <v>Fuel cost total - USD/GJ</v>
      </c>
      <c r="G20"/>
      <c r="H20" s="409"/>
      <c r="I20" t="s">
        <v>324</v>
      </c>
      <c r="K20" s="68">
        <f t="shared" ref="K20:V20" si="20">K129+K236</f>
        <v>97.461124780585621</v>
      </c>
      <c r="L20" s="68">
        <f t="shared" si="20"/>
        <v>78.801789979856082</v>
      </c>
      <c r="M20" s="68">
        <f t="shared" si="20"/>
        <v>62.76261084268986</v>
      </c>
      <c r="N20" s="68">
        <f t="shared" si="20"/>
        <v>57.567161475997992</v>
      </c>
      <c r="O20" s="68">
        <f t="shared" si="20"/>
        <v>51.47142548215232</v>
      </c>
      <c r="P20" s="68">
        <f t="shared" si="20"/>
        <v>42.152987085193246</v>
      </c>
      <c r="Q20" s="68">
        <f t="shared" si="20"/>
        <v>33.521852794084708</v>
      </c>
      <c r="R20" s="68">
        <f t="shared" si="20"/>
        <v>33.521852794084708</v>
      </c>
      <c r="S20" s="68">
        <f t="shared" si="20"/>
        <v>33.521852794084708</v>
      </c>
      <c r="T20" s="68">
        <f t="shared" si="20"/>
        <v>33.521852794084708</v>
      </c>
      <c r="U20" s="68">
        <f t="shared" si="20"/>
        <v>33.521852794084708</v>
      </c>
      <c r="V20" s="68">
        <f t="shared" si="20"/>
        <v>33.521852794084708</v>
      </c>
    </row>
    <row r="21" spans="1:22" x14ac:dyDescent="0.2">
      <c r="A21" s="29">
        <f t="shared" si="6"/>
        <v>17</v>
      </c>
      <c r="B21" s="334" t="str">
        <f t="shared" si="1"/>
        <v>Biodiesel (HtL blend) - Europe - Fuel cost total - USD/GJ</v>
      </c>
      <c r="C21" t="str" cm="1">
        <f t="array" ref="C21">INDEX(list_AE_fuel,A21)</f>
        <v>Biodiesel (HtL blend)</v>
      </c>
      <c r="D21"/>
      <c r="E21" t="str">
        <f>E17</f>
        <v>Europe</v>
      </c>
      <c r="F21" t="str">
        <f t="shared" si="2"/>
        <v>Fuel cost total - USD/GJ</v>
      </c>
      <c r="G21"/>
      <c r="H21" s="409"/>
      <c r="I21" t="s">
        <v>324</v>
      </c>
      <c r="K21" s="68">
        <f t="shared" ref="K21:V21" si="21">K130+K237</f>
        <v>39.611830557393844</v>
      </c>
      <c r="L21" s="68">
        <f t="shared" si="21"/>
        <v>26.417600957821556</v>
      </c>
      <c r="M21" s="68">
        <f t="shared" si="21"/>
        <v>15.866120516072719</v>
      </c>
      <c r="N21" s="68">
        <f t="shared" si="21"/>
        <v>15.510762450008697</v>
      </c>
      <c r="O21" s="68">
        <f t="shared" si="21"/>
        <v>15.353072751369321</v>
      </c>
      <c r="P21" s="68">
        <f t="shared" si="21"/>
        <v>15.209514768038431</v>
      </c>
      <c r="Q21" s="68">
        <f t="shared" si="21"/>
        <v>15.069844847555952</v>
      </c>
      <c r="R21" s="68">
        <f t="shared" si="21"/>
        <v>15.069844847555952</v>
      </c>
      <c r="S21" s="68">
        <f t="shared" si="21"/>
        <v>15.069844847555952</v>
      </c>
      <c r="T21" s="68">
        <f t="shared" si="21"/>
        <v>15.069844847555952</v>
      </c>
      <c r="U21" s="68">
        <f t="shared" si="21"/>
        <v>15.069844847555952</v>
      </c>
      <c r="V21" s="68">
        <f t="shared" si="21"/>
        <v>15.069844847555952</v>
      </c>
    </row>
    <row r="22" spans="1:22" x14ac:dyDescent="0.2">
      <c r="A22" s="29">
        <f t="shared" si="6"/>
        <v>18</v>
      </c>
      <c r="B22" s="334" t="str">
        <f t="shared" si="1"/>
        <v>Biodiesel (Pyr blend) - Europe - Fuel cost total - USD/GJ</v>
      </c>
      <c r="C22" t="str" cm="1">
        <f t="array" ref="C22">INDEX(list_AE_fuel,A22)</f>
        <v>Biodiesel (Pyr blend)</v>
      </c>
      <c r="D22"/>
      <c r="E22" t="str">
        <f>E18</f>
        <v>Europe</v>
      </c>
      <c r="F22" t="str">
        <f t="shared" si="2"/>
        <v>Fuel cost total - USD/GJ</v>
      </c>
      <c r="G22"/>
      <c r="H22" s="409"/>
      <c r="I22" t="s">
        <v>324</v>
      </c>
      <c r="K22" s="68">
        <f t="shared" ref="K22:V22" si="22">K131+K238</f>
        <v>24.478480547105558</v>
      </c>
      <c r="L22" s="68">
        <f t="shared" si="22"/>
        <v>17.525638394759635</v>
      </c>
      <c r="M22" s="68">
        <f t="shared" si="22"/>
        <v>14.029776795293081</v>
      </c>
      <c r="N22" s="68">
        <f t="shared" si="22"/>
        <v>14.014807613109502</v>
      </c>
      <c r="O22" s="68">
        <f t="shared" si="22"/>
        <v>14.048077249201759</v>
      </c>
      <c r="P22" s="68">
        <f t="shared" si="22"/>
        <v>14.097855297626049</v>
      </c>
      <c r="Q22" s="68">
        <f t="shared" si="22"/>
        <v>14.147903384755955</v>
      </c>
      <c r="R22" s="68">
        <f t="shared" si="22"/>
        <v>14.147903384755955</v>
      </c>
      <c r="S22" s="68">
        <f t="shared" si="22"/>
        <v>14.147903384755955</v>
      </c>
      <c r="T22" s="68">
        <f t="shared" si="22"/>
        <v>14.147903384755955</v>
      </c>
      <c r="U22" s="68">
        <f t="shared" si="22"/>
        <v>14.147903384755955</v>
      </c>
      <c r="V22" s="68">
        <f t="shared" si="22"/>
        <v>14.147903384755955</v>
      </c>
    </row>
    <row r="23" spans="1:22" x14ac:dyDescent="0.2">
      <c r="A23" s="29">
        <f t="shared" si="6"/>
        <v>19</v>
      </c>
      <c r="B23" s="334" t="str">
        <f t="shared" si="1"/>
        <v>Blue hydrogen (liquid) - Europe - Fuel cost total - USD/GJ</v>
      </c>
      <c r="C23" t="str" cm="1">
        <f t="array" ref="C23">INDEX(list_AE_fuel,A23)</f>
        <v>Blue hydrogen (liquid)</v>
      </c>
      <c r="D23"/>
      <c r="E23" t="str">
        <f>E19</f>
        <v>Europe</v>
      </c>
      <c r="F23" t="str">
        <f t="shared" si="2"/>
        <v>Fuel cost total - USD/GJ</v>
      </c>
      <c r="G23"/>
      <c r="H23" s="409"/>
      <c r="I23" t="s">
        <v>324</v>
      </c>
      <c r="K23" s="68">
        <f t="shared" ref="K23:V23" si="23">K132+K239</f>
        <v>91.487292016397362</v>
      </c>
      <c r="L23" s="68">
        <f t="shared" si="23"/>
        <v>56.640804469483228</v>
      </c>
      <c r="M23" s="68">
        <f t="shared" si="23"/>
        <v>48.160765707109597</v>
      </c>
      <c r="N23" s="68">
        <f t="shared" si="23"/>
        <v>47.045975531785963</v>
      </c>
      <c r="O23" s="68">
        <f t="shared" si="23"/>
        <v>46.121740557219624</v>
      </c>
      <c r="P23" s="68">
        <f t="shared" si="23"/>
        <v>45.243242259963225</v>
      </c>
      <c r="Q23" s="68">
        <f t="shared" si="23"/>
        <v>44.467863366465131</v>
      </c>
      <c r="R23" s="68">
        <f t="shared" si="23"/>
        <v>44.467863366465131</v>
      </c>
      <c r="S23" s="68">
        <f t="shared" si="23"/>
        <v>44.467863366465131</v>
      </c>
      <c r="T23" s="68">
        <f t="shared" si="23"/>
        <v>44.467863366465131</v>
      </c>
      <c r="U23" s="68">
        <f t="shared" si="23"/>
        <v>44.467863366465131</v>
      </c>
      <c r="V23" s="68">
        <f t="shared" si="23"/>
        <v>44.467863366465131</v>
      </c>
    </row>
    <row r="24" spans="1:22" x14ac:dyDescent="0.2">
      <c r="A24" s="29">
        <f t="shared" si="6"/>
        <v>20</v>
      </c>
      <c r="B24" s="334" t="str">
        <f t="shared" si="1"/>
        <v>e-Hydrogen (liquid) - Europe - Fuel cost total - USD/GJ</v>
      </c>
      <c r="C24" t="str" cm="1">
        <f t="array" ref="C24">INDEX(list_AE_fuel,A24)</f>
        <v>e-Hydrogen (liquid)</v>
      </c>
      <c r="D24"/>
      <c r="E24" t="str">
        <f>E20</f>
        <v>Europe</v>
      </c>
      <c r="F24" t="str">
        <f t="shared" si="2"/>
        <v>Fuel cost total - USD/GJ</v>
      </c>
      <c r="G24"/>
      <c r="H24" s="409"/>
      <c r="I24" t="s">
        <v>324</v>
      </c>
      <c r="K24" s="68">
        <f t="shared" ref="K24:V24" si="24">K133+K240</f>
        <v>66.297667324028453</v>
      </c>
      <c r="L24" s="68">
        <f t="shared" si="24"/>
        <v>57.863845092224544</v>
      </c>
      <c r="M24" s="68">
        <f t="shared" si="24"/>
        <v>50.97858778192824</v>
      </c>
      <c r="N24" s="68">
        <f t="shared" si="24"/>
        <v>48.323405360777812</v>
      </c>
      <c r="O24" s="68">
        <f t="shared" si="24"/>
        <v>45.011579018795075</v>
      </c>
      <c r="P24" s="68">
        <f t="shared" si="24"/>
        <v>40.783211276342939</v>
      </c>
      <c r="Q24" s="68">
        <f t="shared" si="24"/>
        <v>36.87200855116474</v>
      </c>
      <c r="R24" s="68">
        <f t="shared" si="24"/>
        <v>36.87200855116474</v>
      </c>
      <c r="S24" s="68">
        <f t="shared" si="24"/>
        <v>36.87200855116474</v>
      </c>
      <c r="T24" s="68">
        <f t="shared" si="24"/>
        <v>36.87200855116474</v>
      </c>
      <c r="U24" s="68">
        <f t="shared" si="24"/>
        <v>36.87200855116474</v>
      </c>
      <c r="V24" s="68">
        <f t="shared" si="24"/>
        <v>36.87200855116474</v>
      </c>
    </row>
    <row r="25" spans="1:22" x14ac:dyDescent="0.2">
      <c r="B25"/>
      <c r="C25"/>
      <c r="D25"/>
      <c r="E25"/>
      <c r="F25"/>
      <c r="G25"/>
      <c r="H25" s="409"/>
      <c r="I25"/>
    </row>
    <row r="26" spans="1:22" x14ac:dyDescent="0.2">
      <c r="A26" s="29">
        <v>1</v>
      </c>
      <c r="B26" s="334" t="str">
        <f t="shared" ref="B26:B45" si="25">_xlfn.TEXTJOIN(keydelim,TRUE,C26:G26)</f>
        <v>LSFO - Middle East - Fuel cost total - USD/GJ</v>
      </c>
      <c r="C26" t="str">
        <f t="shared" ref="C26:C37" si="26">C5</f>
        <v>LSFO</v>
      </c>
      <c r="D26"/>
      <c r="E26" t="s">
        <v>197</v>
      </c>
      <c r="F26" t="str">
        <f t="shared" ref="F26:F45" si="27">"Fuel cost total"  &amp;keydelim &amp;I26</f>
        <v>Fuel cost total - USD/GJ</v>
      </c>
      <c r="G26" s="128"/>
      <c r="H26" s="409"/>
      <c r="I26" t="s">
        <v>324</v>
      </c>
      <c r="K26" s="68">
        <f>K135+K242</f>
        <v>21.473621920116738</v>
      </c>
      <c r="L26" s="68">
        <f t="shared" ref="L26:V26" si="28">L135+L242</f>
        <v>15.404989638344617</v>
      </c>
      <c r="M26" s="68">
        <f t="shared" si="28"/>
        <v>13.444354593464393</v>
      </c>
      <c r="N26" s="68">
        <f t="shared" si="28"/>
        <v>13.444354593464393</v>
      </c>
      <c r="O26" s="68">
        <f t="shared" si="28"/>
        <v>13.444354593464393</v>
      </c>
      <c r="P26" s="68">
        <f t="shared" si="28"/>
        <v>13.444354593464393</v>
      </c>
      <c r="Q26" s="68">
        <f t="shared" si="28"/>
        <v>13.444354593464393</v>
      </c>
      <c r="R26" s="68">
        <f t="shared" si="28"/>
        <v>13.444354593464393</v>
      </c>
      <c r="S26" s="68">
        <f t="shared" si="28"/>
        <v>13.444354593464393</v>
      </c>
      <c r="T26" s="68">
        <f t="shared" si="28"/>
        <v>13.444354593464393</v>
      </c>
      <c r="U26" s="68">
        <f t="shared" si="28"/>
        <v>13.444354593464393</v>
      </c>
      <c r="V26" s="68">
        <f t="shared" si="28"/>
        <v>13.444354593464393</v>
      </c>
    </row>
    <row r="27" spans="1:22" x14ac:dyDescent="0.2">
      <c r="A27" s="29">
        <f>A26+1</f>
        <v>2</v>
      </c>
      <c r="B27" s="334" t="str">
        <f t="shared" si="25"/>
        <v>LNG - Middle East - Fuel cost total - USD/GJ</v>
      </c>
      <c r="C27" t="str">
        <f t="shared" si="26"/>
        <v>LNG</v>
      </c>
      <c r="D27"/>
      <c r="E27" t="str">
        <f t="shared" ref="E27:E36" si="29">E26</f>
        <v>Middle East</v>
      </c>
      <c r="F27" t="str">
        <f t="shared" si="27"/>
        <v>Fuel cost total - USD/GJ</v>
      </c>
      <c r="G27" s="128"/>
      <c r="H27" s="409"/>
      <c r="I27" t="s">
        <v>324</v>
      </c>
      <c r="K27" s="68">
        <f t="shared" ref="K27:V27" si="30">K136+K243</f>
        <v>34.785993419210058</v>
      </c>
      <c r="L27" s="68">
        <f t="shared" si="30"/>
        <v>16.354325129747412</v>
      </c>
      <c r="M27" s="68">
        <f t="shared" si="30"/>
        <v>8.2725310889390968</v>
      </c>
      <c r="N27" s="68">
        <f t="shared" si="30"/>
        <v>8.1299149065645349</v>
      </c>
      <c r="O27" s="68">
        <f t="shared" si="30"/>
        <v>8.0136540794340032</v>
      </c>
      <c r="P27" s="68">
        <f t="shared" si="30"/>
        <v>7.8919679740150119</v>
      </c>
      <c r="Q27" s="68">
        <f t="shared" si="30"/>
        <v>7.7893238322991651</v>
      </c>
      <c r="R27" s="68">
        <f t="shared" si="30"/>
        <v>7.7893238322991651</v>
      </c>
      <c r="S27" s="68">
        <f t="shared" si="30"/>
        <v>7.7893238322991651</v>
      </c>
      <c r="T27" s="68">
        <f t="shared" si="30"/>
        <v>7.7893238322991651</v>
      </c>
      <c r="U27" s="68">
        <f t="shared" si="30"/>
        <v>7.7893238322991651</v>
      </c>
      <c r="V27" s="68">
        <f t="shared" si="30"/>
        <v>7.7893238322991651</v>
      </c>
    </row>
    <row r="28" spans="1:22" x14ac:dyDescent="0.2">
      <c r="A28" s="29">
        <f t="shared" ref="A28:A45" si="31">A27+1</f>
        <v>3</v>
      </c>
      <c r="B28" s="334" t="str">
        <f t="shared" si="25"/>
        <v>LPG - Middle East - Fuel cost total - USD/GJ</v>
      </c>
      <c r="C28" t="str">
        <f t="shared" si="26"/>
        <v>LPG</v>
      </c>
      <c r="D28"/>
      <c r="E28" t="str">
        <f t="shared" si="29"/>
        <v>Middle East</v>
      </c>
      <c r="F28" t="str">
        <f t="shared" si="27"/>
        <v>Fuel cost total - USD/GJ</v>
      </c>
      <c r="G28" s="128"/>
      <c r="H28" s="409"/>
      <c r="I28" t="s">
        <v>324</v>
      </c>
      <c r="K28" s="68">
        <f t="shared" ref="K28:V28" si="32">K137+K244</f>
        <v>16.525069073439496</v>
      </c>
      <c r="L28" s="68">
        <f t="shared" si="32"/>
        <v>11.854940857032684</v>
      </c>
      <c r="M28" s="68">
        <f t="shared" si="32"/>
        <v>10.34613020250125</v>
      </c>
      <c r="N28" s="68">
        <f t="shared" si="32"/>
        <v>10.34613020250125</v>
      </c>
      <c r="O28" s="68">
        <f t="shared" si="32"/>
        <v>10.34613020250125</v>
      </c>
      <c r="P28" s="68">
        <f t="shared" si="32"/>
        <v>10.34613020250125</v>
      </c>
      <c r="Q28" s="68">
        <f t="shared" si="32"/>
        <v>10.34613020250125</v>
      </c>
      <c r="R28" s="68">
        <f t="shared" si="32"/>
        <v>10.34613020250125</v>
      </c>
      <c r="S28" s="68">
        <f t="shared" si="32"/>
        <v>10.34613020250125</v>
      </c>
      <c r="T28" s="68">
        <f t="shared" si="32"/>
        <v>10.34613020250125</v>
      </c>
      <c r="U28" s="68">
        <f t="shared" si="32"/>
        <v>10.34613020250125</v>
      </c>
      <c r="V28" s="68">
        <f t="shared" si="32"/>
        <v>10.34613020250125</v>
      </c>
    </row>
    <row r="29" spans="1:22" x14ac:dyDescent="0.2">
      <c r="A29" s="29">
        <f t="shared" si="31"/>
        <v>4</v>
      </c>
      <c r="B29" s="334" t="str">
        <f t="shared" si="25"/>
        <v>Electricity - Middle East - Fuel cost total - USD/GJ</v>
      </c>
      <c r="C29" t="str">
        <f t="shared" si="26"/>
        <v>Electricity</v>
      </c>
      <c r="D29"/>
      <c r="E29" t="str">
        <f t="shared" si="29"/>
        <v>Middle East</v>
      </c>
      <c r="F29" t="str">
        <f t="shared" si="27"/>
        <v>Fuel cost total - USD/GJ</v>
      </c>
      <c r="G29" s="128"/>
      <c r="H29" s="409"/>
      <c r="I29" t="s">
        <v>324</v>
      </c>
      <c r="K29" s="68">
        <f t="shared" ref="K29:V29" si="33">K138+K245</f>
        <v>30.427374804361712</v>
      </c>
      <c r="L29" s="68">
        <f t="shared" si="33"/>
        <v>28.158466786681089</v>
      </c>
      <c r="M29" s="68">
        <f t="shared" si="33"/>
        <v>26.656241785963878</v>
      </c>
      <c r="N29" s="68">
        <f t="shared" si="33"/>
        <v>25.59700005018794</v>
      </c>
      <c r="O29" s="68">
        <f t="shared" si="33"/>
        <v>25.065907381823287</v>
      </c>
      <c r="P29" s="68">
        <f t="shared" si="33"/>
        <v>24.369434550509567</v>
      </c>
      <c r="Q29" s="68">
        <f t="shared" si="33"/>
        <v>24.043463416956044</v>
      </c>
      <c r="R29" s="68">
        <f t="shared" si="33"/>
        <v>24.043463416956044</v>
      </c>
      <c r="S29" s="68">
        <f t="shared" si="33"/>
        <v>24.043463416956044</v>
      </c>
      <c r="T29" s="68">
        <f t="shared" si="33"/>
        <v>24.043463416956044</v>
      </c>
      <c r="U29" s="68">
        <f t="shared" si="33"/>
        <v>24.043463416956044</v>
      </c>
      <c r="V29" s="68">
        <f t="shared" si="33"/>
        <v>24.043463416956044</v>
      </c>
    </row>
    <row r="30" spans="1:22" x14ac:dyDescent="0.2">
      <c r="A30" s="29">
        <f t="shared" si="31"/>
        <v>5</v>
      </c>
      <c r="B30" s="334" t="str">
        <f t="shared" si="25"/>
        <v>e-Ammonia - Middle East - Fuel cost total - USD/GJ</v>
      </c>
      <c r="C30" t="str">
        <f t="shared" si="26"/>
        <v>e-Ammonia</v>
      </c>
      <c r="D30"/>
      <c r="E30" t="str">
        <f t="shared" si="29"/>
        <v>Middle East</v>
      </c>
      <c r="F30" t="str">
        <f t="shared" si="27"/>
        <v>Fuel cost total - USD/GJ</v>
      </c>
      <c r="G30" s="226"/>
      <c r="H30" s="409"/>
      <c r="I30" t="s">
        <v>324</v>
      </c>
      <c r="K30" s="68">
        <f t="shared" ref="K30:V30" si="34">K139+K246</f>
        <v>63.420944816836133</v>
      </c>
      <c r="L30" s="68">
        <f t="shared" si="34"/>
        <v>47.415977277121719</v>
      </c>
      <c r="M30" s="68">
        <f t="shared" si="34"/>
        <v>33.418612575251942</v>
      </c>
      <c r="N30" s="68">
        <f t="shared" si="34"/>
        <v>30.39300402857479</v>
      </c>
      <c r="O30" s="68">
        <f t="shared" si="34"/>
        <v>26.840720999309944</v>
      </c>
      <c r="P30" s="68">
        <f t="shared" si="34"/>
        <v>22.127086916386656</v>
      </c>
      <c r="Q30" s="68">
        <f t="shared" si="34"/>
        <v>18.011953423638015</v>
      </c>
      <c r="R30" s="68">
        <f t="shared" si="34"/>
        <v>18.011953423638015</v>
      </c>
      <c r="S30" s="68">
        <f t="shared" si="34"/>
        <v>18.011953423638015</v>
      </c>
      <c r="T30" s="68">
        <f t="shared" si="34"/>
        <v>18.011953423638015</v>
      </c>
      <c r="U30" s="68">
        <f t="shared" si="34"/>
        <v>18.011953423638015</v>
      </c>
      <c r="V30" s="68">
        <f t="shared" si="34"/>
        <v>18.011953423638015</v>
      </c>
    </row>
    <row r="31" spans="1:22" x14ac:dyDescent="0.2">
      <c r="A31" s="29">
        <f t="shared" si="31"/>
        <v>6</v>
      </c>
      <c r="B31" s="334" t="str">
        <f t="shared" si="25"/>
        <v>Blue ammonia - Middle East - Fuel cost total - USD/GJ</v>
      </c>
      <c r="C31" t="str">
        <f t="shared" si="26"/>
        <v>Blue ammonia</v>
      </c>
      <c r="D31"/>
      <c r="E31" t="str">
        <f t="shared" si="29"/>
        <v>Middle East</v>
      </c>
      <c r="F31" t="str">
        <f t="shared" si="27"/>
        <v>Fuel cost total - USD/GJ</v>
      </c>
      <c r="G31" s="226"/>
      <c r="H31" s="409"/>
      <c r="I31" t="s">
        <v>324</v>
      </c>
      <c r="K31" s="68">
        <f t="shared" ref="K31:V31" si="35">K140+K247</f>
        <v>67.605552898945461</v>
      </c>
      <c r="L31" s="68">
        <f t="shared" si="35"/>
        <v>36.256954382734868</v>
      </c>
      <c r="M31" s="68">
        <f t="shared" si="35"/>
        <v>21.786374217744068</v>
      </c>
      <c r="N31" s="68">
        <f t="shared" si="35"/>
        <v>21.347688636608694</v>
      </c>
      <c r="O31" s="68">
        <f t="shared" si="35"/>
        <v>20.927571362116542</v>
      </c>
      <c r="P31" s="68">
        <f t="shared" si="35"/>
        <v>20.501639764040718</v>
      </c>
      <c r="Q31" s="68">
        <f t="shared" si="35"/>
        <v>20.088734013325684</v>
      </c>
      <c r="R31" s="68">
        <f t="shared" si="35"/>
        <v>20.088734013325684</v>
      </c>
      <c r="S31" s="68">
        <f t="shared" si="35"/>
        <v>20.088734013325684</v>
      </c>
      <c r="T31" s="68">
        <f t="shared" si="35"/>
        <v>20.088734013325684</v>
      </c>
      <c r="U31" s="68">
        <f t="shared" si="35"/>
        <v>20.088734013325684</v>
      </c>
      <c r="V31" s="68">
        <f t="shared" si="35"/>
        <v>20.088734013325684</v>
      </c>
    </row>
    <row r="32" spans="1:22" x14ac:dyDescent="0.2">
      <c r="A32" s="29">
        <f t="shared" si="31"/>
        <v>7</v>
      </c>
      <c r="B32" s="334" t="str">
        <f t="shared" si="25"/>
        <v>Biomethane - Middle East - Fuel cost total - USD/GJ</v>
      </c>
      <c r="C32" t="str">
        <f t="shared" si="26"/>
        <v>Biomethane</v>
      </c>
      <c r="D32"/>
      <c r="E32" t="str">
        <f t="shared" si="29"/>
        <v>Middle East</v>
      </c>
      <c r="F32" t="str">
        <f t="shared" si="27"/>
        <v>Fuel cost total - USD/GJ</v>
      </c>
      <c r="G32"/>
      <c r="H32" s="409"/>
      <c r="I32" t="s">
        <v>324</v>
      </c>
      <c r="K32" s="68">
        <f t="shared" ref="K32:V32" si="36">K141+K248</f>
        <v>25.693394771866249</v>
      </c>
      <c r="L32" s="68">
        <f t="shared" si="36"/>
        <v>23.695749043223795</v>
      </c>
      <c r="M32" s="68">
        <f t="shared" si="36"/>
        <v>22.135260833155758</v>
      </c>
      <c r="N32" s="68">
        <f t="shared" si="36"/>
        <v>20.801886900799307</v>
      </c>
      <c r="O32" s="68">
        <f t="shared" si="36"/>
        <v>19.514231605525833</v>
      </c>
      <c r="P32" s="68">
        <f t="shared" si="36"/>
        <v>18.210865758208175</v>
      </c>
      <c r="Q32" s="68">
        <f t="shared" si="36"/>
        <v>16.940187215302046</v>
      </c>
      <c r="R32" s="68">
        <f t="shared" si="36"/>
        <v>16.940187215302046</v>
      </c>
      <c r="S32" s="68">
        <f t="shared" si="36"/>
        <v>16.940187215302046</v>
      </c>
      <c r="T32" s="68">
        <f t="shared" si="36"/>
        <v>16.940187215302046</v>
      </c>
      <c r="U32" s="68">
        <f t="shared" si="36"/>
        <v>16.940187215302046</v>
      </c>
      <c r="V32" s="68">
        <f t="shared" si="36"/>
        <v>16.940187215302046</v>
      </c>
    </row>
    <row r="33" spans="1:22" x14ac:dyDescent="0.2">
      <c r="A33" s="29">
        <f t="shared" si="31"/>
        <v>8</v>
      </c>
      <c r="B33" s="334" t="str">
        <f t="shared" si="25"/>
        <v>e-Methane (DAC) - Middle East - Fuel cost total - USD/GJ</v>
      </c>
      <c r="C33" t="str">
        <f t="shared" si="26"/>
        <v>e-Methane (DAC)</v>
      </c>
      <c r="D33"/>
      <c r="E33" t="str">
        <f t="shared" si="29"/>
        <v>Middle East</v>
      </c>
      <c r="F33" t="str">
        <f t="shared" si="27"/>
        <v>Fuel cost total - USD/GJ</v>
      </c>
      <c r="G33" s="226"/>
      <c r="H33" s="409"/>
      <c r="I33" t="s">
        <v>324</v>
      </c>
      <c r="K33" s="68">
        <f t="shared" ref="K33:V33" si="37">K142+K249</f>
        <v>67.342516333113778</v>
      </c>
      <c r="L33" s="68">
        <f t="shared" si="37"/>
        <v>55.05974444697241</v>
      </c>
      <c r="M33" s="68">
        <f t="shared" si="37"/>
        <v>46.242980021982248</v>
      </c>
      <c r="N33" s="68">
        <f t="shared" si="37"/>
        <v>41.289691737784047</v>
      </c>
      <c r="O33" s="68">
        <f t="shared" si="37"/>
        <v>36.267153618208397</v>
      </c>
      <c r="P33" s="68">
        <f t="shared" si="37"/>
        <v>29.908398723788032</v>
      </c>
      <c r="Q33" s="68">
        <f t="shared" si="37"/>
        <v>24.469747953541145</v>
      </c>
      <c r="R33" s="68">
        <f t="shared" si="37"/>
        <v>24.469747953541145</v>
      </c>
      <c r="S33" s="68">
        <f t="shared" si="37"/>
        <v>24.469747953541145</v>
      </c>
      <c r="T33" s="68">
        <f t="shared" si="37"/>
        <v>24.469747953541145</v>
      </c>
      <c r="U33" s="68">
        <f t="shared" si="37"/>
        <v>24.469747953541145</v>
      </c>
      <c r="V33" s="68">
        <f t="shared" si="37"/>
        <v>24.469747953541145</v>
      </c>
    </row>
    <row r="34" spans="1:22" x14ac:dyDescent="0.2">
      <c r="A34" s="29">
        <f t="shared" si="31"/>
        <v>9</v>
      </c>
      <c r="B34" s="334" t="str">
        <f t="shared" si="25"/>
        <v>e-Methane (PS) - Middle East - Fuel cost total - USD/GJ</v>
      </c>
      <c r="C34" t="str">
        <f t="shared" si="26"/>
        <v>e-Methane (PS)</v>
      </c>
      <c r="D34"/>
      <c r="E34" t="str">
        <f t="shared" si="29"/>
        <v>Middle East</v>
      </c>
      <c r="F34" t="str">
        <f t="shared" si="27"/>
        <v>Fuel cost total - USD/GJ</v>
      </c>
      <c r="G34" s="226"/>
      <c r="H34" s="409"/>
      <c r="I34" t="s">
        <v>324</v>
      </c>
      <c r="K34" s="68">
        <f t="shared" ref="K34:V34" si="38">K143+K250</f>
        <v>62.33226498142588</v>
      </c>
      <c r="L34" s="68">
        <f t="shared" si="38"/>
        <v>51.400311959050725</v>
      </c>
      <c r="M34" s="68">
        <f t="shared" si="38"/>
        <v>43.163476425962962</v>
      </c>
      <c r="N34" s="68">
        <f t="shared" si="38"/>
        <v>39.22009614488794</v>
      </c>
      <c r="O34" s="68">
        <f t="shared" si="38"/>
        <v>34.76828998740212</v>
      </c>
      <c r="P34" s="68">
        <f t="shared" si="38"/>
        <v>28.857520903852841</v>
      </c>
      <c r="Q34" s="68">
        <f t="shared" si="38"/>
        <v>23.601606067407278</v>
      </c>
      <c r="R34" s="68">
        <f t="shared" si="38"/>
        <v>23.601606067407278</v>
      </c>
      <c r="S34" s="68">
        <f t="shared" si="38"/>
        <v>23.601606067407278</v>
      </c>
      <c r="T34" s="68">
        <f t="shared" si="38"/>
        <v>23.601606067407278</v>
      </c>
      <c r="U34" s="68">
        <f t="shared" si="38"/>
        <v>23.601606067407278</v>
      </c>
      <c r="V34" s="68">
        <f t="shared" si="38"/>
        <v>23.601606067407278</v>
      </c>
    </row>
    <row r="35" spans="1:22" x14ac:dyDescent="0.2">
      <c r="A35" s="29">
        <f t="shared" si="31"/>
        <v>10</v>
      </c>
      <c r="B35" s="334" t="str">
        <f t="shared" si="25"/>
        <v>Biomethanol - Middle East - Fuel cost total - USD/GJ</v>
      </c>
      <c r="C35" t="str">
        <f t="shared" si="26"/>
        <v>Biomethanol</v>
      </c>
      <c r="D35"/>
      <c r="E35" t="str">
        <f t="shared" si="29"/>
        <v>Middle East</v>
      </c>
      <c r="F35" t="str">
        <f t="shared" si="27"/>
        <v>Fuel cost total - USD/GJ</v>
      </c>
      <c r="G35"/>
      <c r="H35" s="409"/>
      <c r="I35" t="s">
        <v>324</v>
      </c>
      <c r="K35" s="68">
        <f t="shared" ref="K35:V35" si="39">K144+K251</f>
        <v>52.072091765155278</v>
      </c>
      <c r="L35" s="68">
        <f t="shared" si="39"/>
        <v>37.191448985816812</v>
      </c>
      <c r="M35" s="68">
        <f t="shared" si="39"/>
        <v>31.6988782740282</v>
      </c>
      <c r="N35" s="68">
        <f t="shared" si="39"/>
        <v>29.417023427636746</v>
      </c>
      <c r="O35" s="68">
        <f t="shared" si="39"/>
        <v>27.246400606237124</v>
      </c>
      <c r="P35" s="68">
        <f t="shared" si="39"/>
        <v>25.931486438316433</v>
      </c>
      <c r="Q35" s="68">
        <f t="shared" si="39"/>
        <v>24.651703751155662</v>
      </c>
      <c r="R35" s="68">
        <f t="shared" si="39"/>
        <v>24.651703751155662</v>
      </c>
      <c r="S35" s="68">
        <f t="shared" si="39"/>
        <v>24.651703751155662</v>
      </c>
      <c r="T35" s="68">
        <f t="shared" si="39"/>
        <v>24.651703751155662</v>
      </c>
      <c r="U35" s="68">
        <f t="shared" si="39"/>
        <v>24.651703751155662</v>
      </c>
      <c r="V35" s="68">
        <f t="shared" si="39"/>
        <v>24.651703751155662</v>
      </c>
    </row>
    <row r="36" spans="1:22" x14ac:dyDescent="0.2">
      <c r="A36" s="29">
        <f t="shared" si="31"/>
        <v>11</v>
      </c>
      <c r="B36" s="334" t="str">
        <f t="shared" si="25"/>
        <v>e-Methanol (DAC) - Middle East - Fuel cost total - USD/GJ</v>
      </c>
      <c r="C36" t="str">
        <f t="shared" si="26"/>
        <v>e-Methanol (DAC)</v>
      </c>
      <c r="D36"/>
      <c r="E36" t="str">
        <f t="shared" si="29"/>
        <v>Middle East</v>
      </c>
      <c r="F36" t="str">
        <f t="shared" si="27"/>
        <v>Fuel cost total - USD/GJ</v>
      </c>
      <c r="G36"/>
      <c r="H36" s="409"/>
      <c r="I36" t="s">
        <v>324</v>
      </c>
      <c r="K36" s="68">
        <f t="shared" ref="K36:V36" si="40">K145+K252</f>
        <v>83.433511058982958</v>
      </c>
      <c r="L36" s="68">
        <f t="shared" si="40"/>
        <v>67.240635518250514</v>
      </c>
      <c r="M36" s="68">
        <f t="shared" si="40"/>
        <v>54.264781569575746</v>
      </c>
      <c r="N36" s="68">
        <f t="shared" si="40"/>
        <v>47.74429519983142</v>
      </c>
      <c r="O36" s="68">
        <f t="shared" si="40"/>
        <v>41.432543032199064</v>
      </c>
      <c r="P36" s="68">
        <f t="shared" si="40"/>
        <v>33.585275692369393</v>
      </c>
      <c r="Q36" s="68">
        <f t="shared" si="40"/>
        <v>26.789478941216895</v>
      </c>
      <c r="R36" s="68">
        <f t="shared" si="40"/>
        <v>26.789478941216895</v>
      </c>
      <c r="S36" s="68">
        <f t="shared" si="40"/>
        <v>26.789478941216895</v>
      </c>
      <c r="T36" s="68">
        <f t="shared" si="40"/>
        <v>26.789478941216895</v>
      </c>
      <c r="U36" s="68">
        <f t="shared" si="40"/>
        <v>26.789478941216895</v>
      </c>
      <c r="V36" s="68">
        <f t="shared" si="40"/>
        <v>26.789478941216895</v>
      </c>
    </row>
    <row r="37" spans="1:22" x14ac:dyDescent="0.2">
      <c r="A37" s="29">
        <f t="shared" si="31"/>
        <v>12</v>
      </c>
      <c r="B37" s="334" t="str">
        <f t="shared" si="25"/>
        <v>e-Methanol (PS) - Middle East - Fuel cost total - USD/GJ</v>
      </c>
      <c r="C37" t="str">
        <f t="shared" si="26"/>
        <v>e-Methanol (PS)</v>
      </c>
      <c r="D37"/>
      <c r="E37" t="str">
        <f>E36</f>
        <v>Middle East</v>
      </c>
      <c r="F37" t="str">
        <f t="shared" si="27"/>
        <v>Fuel cost total - USD/GJ</v>
      </c>
      <c r="G37"/>
      <c r="H37" s="409"/>
      <c r="I37" t="s">
        <v>324</v>
      </c>
      <c r="K37" s="68">
        <f t="shared" ref="K37:V37" si="41">K146+K253</f>
        <v>77.130975020089195</v>
      </c>
      <c r="L37" s="68">
        <f t="shared" si="41"/>
        <v>62.637332506465441</v>
      </c>
      <c r="M37" s="68">
        <f t="shared" si="41"/>
        <v>50.390987415660504</v>
      </c>
      <c r="N37" s="68">
        <f t="shared" si="41"/>
        <v>45.1408927166867</v>
      </c>
      <c r="O37" s="68">
        <f t="shared" si="41"/>
        <v>39.547080330340549</v>
      </c>
      <c r="P37" s="68">
        <f t="shared" si="41"/>
        <v>32.263346937161458</v>
      </c>
      <c r="Q37" s="68">
        <f t="shared" si="41"/>
        <v>25.697418854772604</v>
      </c>
      <c r="R37" s="68">
        <f t="shared" si="41"/>
        <v>25.697418854772604</v>
      </c>
      <c r="S37" s="68">
        <f t="shared" si="41"/>
        <v>25.697418854772604</v>
      </c>
      <c r="T37" s="68">
        <f t="shared" si="41"/>
        <v>25.697418854772604</v>
      </c>
      <c r="U37" s="68">
        <f t="shared" si="41"/>
        <v>25.697418854772604</v>
      </c>
      <c r="V37" s="68">
        <f t="shared" si="41"/>
        <v>25.697418854772604</v>
      </c>
    </row>
    <row r="38" spans="1:22" x14ac:dyDescent="0.2">
      <c r="A38" s="29">
        <f t="shared" si="31"/>
        <v>13</v>
      </c>
      <c r="B38" s="334" t="str">
        <f t="shared" si="25"/>
        <v>Biodiesel (HtL) - Middle East - Fuel cost total - USD/GJ</v>
      </c>
      <c r="C38" t="str" cm="1">
        <f t="array" ref="C38">INDEX(list_AE_fuel,A38)</f>
        <v>Biodiesel (HtL)</v>
      </c>
      <c r="D38"/>
      <c r="E38" t="str">
        <f>E37</f>
        <v>Middle East</v>
      </c>
      <c r="F38" t="str">
        <f t="shared" si="27"/>
        <v>Fuel cost total - USD/GJ</v>
      </c>
      <c r="G38"/>
      <c r="H38" s="409"/>
      <c r="I38" t="s">
        <v>324</v>
      </c>
      <c r="K38" s="68">
        <f t="shared" ref="K38:V38" si="42">K147+K254</f>
        <v>159.62011284018877</v>
      </c>
      <c r="L38" s="68">
        <f t="shared" si="42"/>
        <v>52.465487327591056</v>
      </c>
      <c r="M38" s="68">
        <f t="shared" si="42"/>
        <v>23.238795846802795</v>
      </c>
      <c r="N38" s="68">
        <f t="shared" si="42"/>
        <v>22.840206206896234</v>
      </c>
      <c r="O38" s="68">
        <f t="shared" si="42"/>
        <v>22.518476591304513</v>
      </c>
      <c r="P38" s="68">
        <f t="shared" si="42"/>
        <v>22.079448747807206</v>
      </c>
      <c r="Q38" s="68">
        <f t="shared" si="42"/>
        <v>21.4057634503354</v>
      </c>
      <c r="R38" s="68">
        <f t="shared" si="42"/>
        <v>21.4057634503354</v>
      </c>
      <c r="S38" s="68">
        <f t="shared" si="42"/>
        <v>21.4057634503354</v>
      </c>
      <c r="T38" s="68">
        <f t="shared" si="42"/>
        <v>21.4057634503354</v>
      </c>
      <c r="U38" s="68">
        <f t="shared" si="42"/>
        <v>21.4057634503354</v>
      </c>
      <c r="V38" s="68">
        <f t="shared" si="42"/>
        <v>21.4057634503354</v>
      </c>
    </row>
    <row r="39" spans="1:22" x14ac:dyDescent="0.2">
      <c r="A39" s="29">
        <f t="shared" si="31"/>
        <v>14</v>
      </c>
      <c r="B39" s="334" t="str">
        <f t="shared" si="25"/>
        <v>Biodiesel (Pyr) - Middle East - Fuel cost total - USD/GJ</v>
      </c>
      <c r="C39" t="str" cm="1">
        <f t="array" ref="C39">INDEX(list_AE_fuel,A39)</f>
        <v>Biodiesel (Pyr)</v>
      </c>
      <c r="D39"/>
      <c r="E39" t="str">
        <f>E38</f>
        <v>Middle East</v>
      </c>
      <c r="F39" t="str">
        <f t="shared" si="27"/>
        <v>Fuel cost total - USD/GJ</v>
      </c>
      <c r="G39"/>
      <c r="H39" s="409"/>
      <c r="I39" t="s">
        <v>324</v>
      </c>
      <c r="K39" s="68">
        <f t="shared" ref="K39:V39" si="43">K148+K255</f>
        <v>62.837555768224767</v>
      </c>
      <c r="L39" s="68">
        <f t="shared" si="43"/>
        <v>39.907498899732481</v>
      </c>
      <c r="M39" s="68">
        <f t="shared" si="43"/>
        <v>22.43592395679649</v>
      </c>
      <c r="N39" s="68">
        <f t="shared" si="43"/>
        <v>22.877054059537635</v>
      </c>
      <c r="O39" s="68">
        <f t="shared" si="43"/>
        <v>23.078872503948663</v>
      </c>
      <c r="P39" s="68">
        <f t="shared" si="43"/>
        <v>23.011345657902421</v>
      </c>
      <c r="Q39" s="68">
        <f t="shared" si="43"/>
        <v>22.422189085947643</v>
      </c>
      <c r="R39" s="68">
        <f t="shared" si="43"/>
        <v>22.422189085947643</v>
      </c>
      <c r="S39" s="68">
        <f t="shared" si="43"/>
        <v>22.422189085947643</v>
      </c>
      <c r="T39" s="68">
        <f t="shared" si="43"/>
        <v>22.422189085947643</v>
      </c>
      <c r="U39" s="68">
        <f t="shared" si="43"/>
        <v>22.422189085947643</v>
      </c>
      <c r="V39" s="68">
        <f t="shared" si="43"/>
        <v>22.422189085947643</v>
      </c>
    </row>
    <row r="40" spans="1:22" x14ac:dyDescent="0.2">
      <c r="A40" s="29">
        <f t="shared" si="31"/>
        <v>15</v>
      </c>
      <c r="B40" s="334" t="str">
        <f t="shared" si="25"/>
        <v>e-Diesel (DAC) - Middle East - Fuel cost total - USD/GJ</v>
      </c>
      <c r="C40" t="str" cm="1">
        <f t="array" ref="C40">INDEX(list_AE_fuel,A40)</f>
        <v>e-Diesel (DAC)</v>
      </c>
      <c r="D40"/>
      <c r="E40" t="str">
        <f>E39</f>
        <v>Middle East</v>
      </c>
      <c r="F40" t="str">
        <f t="shared" si="27"/>
        <v>Fuel cost total - USD/GJ</v>
      </c>
      <c r="G40"/>
      <c r="H40" s="409"/>
      <c r="I40" t="s">
        <v>324</v>
      </c>
      <c r="K40" s="68">
        <f t="shared" ref="K40:V40" si="44">K149+K256</f>
        <v>96.739244186967753</v>
      </c>
      <c r="L40" s="68">
        <f t="shared" si="44"/>
        <v>77.560882275542838</v>
      </c>
      <c r="M40" s="68">
        <f t="shared" si="44"/>
        <v>62.652273527803324</v>
      </c>
      <c r="N40" s="68">
        <f t="shared" si="44"/>
        <v>55.924909609169099</v>
      </c>
      <c r="O40" s="68">
        <f t="shared" si="44"/>
        <v>49.284094135227576</v>
      </c>
      <c r="P40" s="68">
        <f t="shared" si="44"/>
        <v>39.407582671077172</v>
      </c>
      <c r="Q40" s="68">
        <f t="shared" si="44"/>
        <v>30.954804126093734</v>
      </c>
      <c r="R40" s="68">
        <f t="shared" si="44"/>
        <v>30.954804126093734</v>
      </c>
      <c r="S40" s="68">
        <f t="shared" si="44"/>
        <v>30.954804126093734</v>
      </c>
      <c r="T40" s="68">
        <f t="shared" si="44"/>
        <v>30.954804126093734</v>
      </c>
      <c r="U40" s="68">
        <f t="shared" si="44"/>
        <v>30.954804126093734</v>
      </c>
      <c r="V40" s="68">
        <f t="shared" si="44"/>
        <v>30.954804126093734</v>
      </c>
    </row>
    <row r="41" spans="1:22" x14ac:dyDescent="0.2">
      <c r="A41" s="29">
        <f t="shared" si="31"/>
        <v>16</v>
      </c>
      <c r="B41" s="334" t="str">
        <f t="shared" si="25"/>
        <v>e-Diesel (PS) - Middle East - Fuel cost total - USD/GJ</v>
      </c>
      <c r="C41" t="str" cm="1">
        <f t="array" ref="C41">INDEX(list_AE_fuel,A41)</f>
        <v>e-Diesel (PS)</v>
      </c>
      <c r="D41"/>
      <c r="E41" t="str">
        <f>E40</f>
        <v>Middle East</v>
      </c>
      <c r="F41" t="str">
        <f t="shared" si="27"/>
        <v>Fuel cost total - USD/GJ</v>
      </c>
      <c r="G41"/>
      <c r="H41" s="409"/>
      <c r="I41" t="s">
        <v>324</v>
      </c>
      <c r="K41" s="68">
        <f t="shared" ref="K41:V41" si="45">K150+K257</f>
        <v>89.297272205947237</v>
      </c>
      <c r="L41" s="68">
        <f t="shared" si="45"/>
        <v>72.125347782373183</v>
      </c>
      <c r="M41" s="68">
        <f t="shared" si="45"/>
        <v>58.078135851196187</v>
      </c>
      <c r="N41" s="68">
        <f t="shared" si="45"/>
        <v>52.850837804530471</v>
      </c>
      <c r="O41" s="68">
        <f t="shared" si="45"/>
        <v>47.057758496383201</v>
      </c>
      <c r="P41" s="68">
        <f t="shared" si="45"/>
        <v>37.846662321482547</v>
      </c>
      <c r="Q41" s="68">
        <f t="shared" si="45"/>
        <v>29.665310418361486</v>
      </c>
      <c r="R41" s="68">
        <f t="shared" si="45"/>
        <v>29.665310418361486</v>
      </c>
      <c r="S41" s="68">
        <f t="shared" si="45"/>
        <v>29.665310418361486</v>
      </c>
      <c r="T41" s="68">
        <f t="shared" si="45"/>
        <v>29.665310418361486</v>
      </c>
      <c r="U41" s="68">
        <f t="shared" si="45"/>
        <v>29.665310418361486</v>
      </c>
      <c r="V41" s="68">
        <f t="shared" si="45"/>
        <v>29.665310418361486</v>
      </c>
    </row>
    <row r="42" spans="1:22" x14ac:dyDescent="0.2">
      <c r="A42" s="29">
        <f t="shared" si="31"/>
        <v>17</v>
      </c>
      <c r="B42" s="334" t="str">
        <f t="shared" si="25"/>
        <v>Biodiesel (HtL blend) - Middle East - Fuel cost total - USD/GJ</v>
      </c>
      <c r="C42" t="str" cm="1">
        <f t="array" ref="C42">INDEX(list_AE_fuel,A42)</f>
        <v>Biodiesel (HtL blend)</v>
      </c>
      <c r="D42"/>
      <c r="E42" t="str">
        <f>E38</f>
        <v>Middle East</v>
      </c>
      <c r="F42" t="str">
        <f t="shared" si="27"/>
        <v>Fuel cost total - USD/GJ</v>
      </c>
      <c r="G42"/>
      <c r="H42" s="409"/>
      <c r="I42" t="s">
        <v>324</v>
      </c>
      <c r="K42" s="68">
        <f t="shared" ref="K42:V42" si="46">K151+K258</f>
        <v>39.770169052364537</v>
      </c>
      <c r="L42" s="68">
        <f t="shared" si="46"/>
        <v>26.57534669562699</v>
      </c>
      <c r="M42" s="68">
        <f t="shared" si="46"/>
        <v>16.028294547379293</v>
      </c>
      <c r="N42" s="68">
        <f t="shared" si="46"/>
        <v>15.656159943832831</v>
      </c>
      <c r="O42" s="68">
        <f t="shared" si="46"/>
        <v>15.51471469093722</v>
      </c>
      <c r="P42" s="68">
        <f t="shared" si="46"/>
        <v>15.354664547990222</v>
      </c>
      <c r="Q42" s="68">
        <f t="shared" si="46"/>
        <v>15.203086269025318</v>
      </c>
      <c r="R42" s="68">
        <f t="shared" si="46"/>
        <v>15.203086269025318</v>
      </c>
      <c r="S42" s="68">
        <f t="shared" si="46"/>
        <v>15.203086269025318</v>
      </c>
      <c r="T42" s="68">
        <f t="shared" si="46"/>
        <v>15.203086269025318</v>
      </c>
      <c r="U42" s="68">
        <f t="shared" si="46"/>
        <v>15.203086269025318</v>
      </c>
      <c r="V42" s="68">
        <f t="shared" si="46"/>
        <v>15.203086269025318</v>
      </c>
    </row>
    <row r="43" spans="1:22" x14ac:dyDescent="0.2">
      <c r="A43" s="29">
        <f t="shared" si="31"/>
        <v>18</v>
      </c>
      <c r="B43" s="334" t="str">
        <f t="shared" si="25"/>
        <v>Biodiesel (Pyr blend) - Middle East - Fuel cost total - USD/GJ</v>
      </c>
      <c r="C43" t="str" cm="1">
        <f t="array" ref="C43">INDEX(list_AE_fuel,A43)</f>
        <v>Biodiesel (Pyr blend)</v>
      </c>
      <c r="D43"/>
      <c r="E43" t="str">
        <f>E39</f>
        <v>Middle East</v>
      </c>
      <c r="F43" t="str">
        <f t="shared" si="27"/>
        <v>Fuel cost total - USD/GJ</v>
      </c>
      <c r="G43"/>
      <c r="H43" s="409"/>
      <c r="I43" t="s">
        <v>324</v>
      </c>
      <c r="K43" s="68">
        <f t="shared" ref="K43:V43" si="47">K152+K259</f>
        <v>24.737991645513468</v>
      </c>
      <c r="L43" s="68">
        <f t="shared" si="47"/>
        <v>17.769581867277488</v>
      </c>
      <c r="M43" s="68">
        <f t="shared" si="47"/>
        <v>14.258492301616094</v>
      </c>
      <c r="N43" s="68">
        <f t="shared" si="47"/>
        <v>14.226808461308513</v>
      </c>
      <c r="O43" s="68">
        <f t="shared" si="47"/>
        <v>14.276730539519503</v>
      </c>
      <c r="P43" s="68">
        <f t="shared" si="47"/>
        <v>14.30981287142586</v>
      </c>
      <c r="Q43" s="68">
        <f t="shared" si="47"/>
        <v>14.343491467550781</v>
      </c>
      <c r="R43" s="68">
        <f t="shared" si="47"/>
        <v>14.343491467550781</v>
      </c>
      <c r="S43" s="68">
        <f t="shared" si="47"/>
        <v>14.343491467550781</v>
      </c>
      <c r="T43" s="68">
        <f t="shared" si="47"/>
        <v>14.343491467550781</v>
      </c>
      <c r="U43" s="68">
        <f t="shared" si="47"/>
        <v>14.343491467550781</v>
      </c>
      <c r="V43" s="68">
        <f t="shared" si="47"/>
        <v>14.343491467550781</v>
      </c>
    </row>
    <row r="44" spans="1:22" x14ac:dyDescent="0.2">
      <c r="A44" s="29">
        <f t="shared" si="31"/>
        <v>19</v>
      </c>
      <c r="B44" s="334" t="str">
        <f t="shared" si="25"/>
        <v>Blue hydrogen (liquid) - Middle East - Fuel cost total - USD/GJ</v>
      </c>
      <c r="C44" t="str" cm="1">
        <f t="array" ref="C44">INDEX(list_AE_fuel,A44)</f>
        <v>Blue hydrogen (liquid)</v>
      </c>
      <c r="D44"/>
      <c r="E44" t="str">
        <f>E40</f>
        <v>Middle East</v>
      </c>
      <c r="F44" t="str">
        <f t="shared" si="27"/>
        <v>Fuel cost total - USD/GJ</v>
      </c>
      <c r="G44"/>
      <c r="H44" s="409"/>
      <c r="I44" t="s">
        <v>324</v>
      </c>
      <c r="K44" s="68">
        <f t="shared" ref="K44:V44" si="48">K153+K260</f>
        <v>79.453674659178091</v>
      </c>
      <c r="L44" s="68">
        <f t="shared" si="48"/>
        <v>50.399100082446168</v>
      </c>
      <c r="M44" s="68">
        <f t="shared" si="48"/>
        <v>37.698112152004633</v>
      </c>
      <c r="N44" s="68">
        <f t="shared" si="48"/>
        <v>36.791252207472915</v>
      </c>
      <c r="O44" s="68">
        <f t="shared" si="48"/>
        <v>36.112141669423693</v>
      </c>
      <c r="P44" s="68">
        <f t="shared" si="48"/>
        <v>35.434108562392602</v>
      </c>
      <c r="Q44" s="68">
        <f t="shared" si="48"/>
        <v>34.917365970481818</v>
      </c>
      <c r="R44" s="68">
        <f t="shared" si="48"/>
        <v>34.917365970481818</v>
      </c>
      <c r="S44" s="68">
        <f t="shared" si="48"/>
        <v>34.917365970481818</v>
      </c>
      <c r="T44" s="68">
        <f t="shared" si="48"/>
        <v>34.917365970481818</v>
      </c>
      <c r="U44" s="68">
        <f t="shared" si="48"/>
        <v>34.917365970481818</v>
      </c>
      <c r="V44" s="68">
        <f t="shared" si="48"/>
        <v>34.917365970481818</v>
      </c>
    </row>
    <row r="45" spans="1:22" x14ac:dyDescent="0.2">
      <c r="A45" s="29">
        <f t="shared" si="31"/>
        <v>20</v>
      </c>
      <c r="B45" s="334" t="str">
        <f t="shared" si="25"/>
        <v>e-Hydrogen (liquid) - Middle East - Fuel cost total - USD/GJ</v>
      </c>
      <c r="C45" t="str" cm="1">
        <f t="array" ref="C45">INDEX(list_AE_fuel,A45)</f>
        <v>e-Hydrogen (liquid)</v>
      </c>
      <c r="D45"/>
      <c r="E45" t="str">
        <f>E41</f>
        <v>Middle East</v>
      </c>
      <c r="F45" t="str">
        <f t="shared" si="27"/>
        <v>Fuel cost total - USD/GJ</v>
      </c>
      <c r="G45"/>
      <c r="H45" s="409"/>
      <c r="I45" t="s">
        <v>324</v>
      </c>
      <c r="K45" s="68">
        <f t="shared" ref="K45:V45" si="49">K154+K261</f>
        <v>59.321005467496299</v>
      </c>
      <c r="L45" s="68">
        <f t="shared" si="49"/>
        <v>52.148927954992985</v>
      </c>
      <c r="M45" s="68">
        <f t="shared" si="49"/>
        <v>46.960058624855016</v>
      </c>
      <c r="N45" s="68">
        <f t="shared" si="49"/>
        <v>44.262047021798118</v>
      </c>
      <c r="O45" s="68">
        <f t="shared" si="49"/>
        <v>41.19330980282173</v>
      </c>
      <c r="P45" s="68">
        <f t="shared" si="49"/>
        <v>37.034367278543414</v>
      </c>
      <c r="Q45" s="68">
        <f t="shared" si="49"/>
        <v>33.495759748292514</v>
      </c>
      <c r="R45" s="68">
        <f t="shared" si="49"/>
        <v>33.495759748292514</v>
      </c>
      <c r="S45" s="68">
        <f t="shared" si="49"/>
        <v>33.495759748292514</v>
      </c>
      <c r="T45" s="68">
        <f t="shared" si="49"/>
        <v>33.495759748292514</v>
      </c>
      <c r="U45" s="68">
        <f t="shared" si="49"/>
        <v>33.495759748292514</v>
      </c>
      <c r="V45" s="68">
        <f t="shared" si="49"/>
        <v>33.495759748292514</v>
      </c>
    </row>
    <row r="46" spans="1:22" x14ac:dyDescent="0.2">
      <c r="B46"/>
      <c r="C46"/>
      <c r="D46"/>
      <c r="E46"/>
      <c r="F46"/>
      <c r="G46"/>
      <c r="H46" s="409"/>
      <c r="I46"/>
    </row>
    <row r="47" spans="1:22" x14ac:dyDescent="0.2">
      <c r="A47" s="29">
        <v>1</v>
      </c>
      <c r="B47" s="334" t="str">
        <f t="shared" ref="B47:B66" si="50">_xlfn.TEXTJOIN(keydelim,TRUE,C47:G47)</f>
        <v>LSFO - Asia - Fuel cost total - USD/GJ</v>
      </c>
      <c r="C47" t="str">
        <f t="shared" ref="C47:C58" si="51">C5</f>
        <v>LSFO</v>
      </c>
      <c r="D47"/>
      <c r="E47" t="s">
        <v>198</v>
      </c>
      <c r="F47" t="str">
        <f t="shared" ref="F47:F66" si="52">"Fuel cost total"  &amp;keydelim &amp;I47</f>
        <v>Fuel cost total - USD/GJ</v>
      </c>
      <c r="G47" s="128"/>
      <c r="H47" s="409"/>
      <c r="I47" t="s">
        <v>324</v>
      </c>
      <c r="K47" s="68">
        <f>K156+K263</f>
        <v>21.473621920116738</v>
      </c>
      <c r="L47" s="68">
        <f t="shared" ref="L47:V47" si="53">L156+L263</f>
        <v>15.404989638344617</v>
      </c>
      <c r="M47" s="68">
        <f t="shared" si="53"/>
        <v>13.444354593464393</v>
      </c>
      <c r="N47" s="68">
        <f t="shared" si="53"/>
        <v>13.444354593464393</v>
      </c>
      <c r="O47" s="68">
        <f t="shared" si="53"/>
        <v>13.444354593464393</v>
      </c>
      <c r="P47" s="68">
        <f t="shared" si="53"/>
        <v>13.444354593464393</v>
      </c>
      <c r="Q47" s="68">
        <f t="shared" si="53"/>
        <v>13.444354593464393</v>
      </c>
      <c r="R47" s="68">
        <f t="shared" si="53"/>
        <v>13.444354593464393</v>
      </c>
      <c r="S47" s="68">
        <f t="shared" si="53"/>
        <v>13.444354593464393</v>
      </c>
      <c r="T47" s="68">
        <f t="shared" si="53"/>
        <v>13.444354593464393</v>
      </c>
      <c r="U47" s="68">
        <f t="shared" si="53"/>
        <v>13.444354593464393</v>
      </c>
      <c r="V47" s="68">
        <f t="shared" si="53"/>
        <v>13.444354593464393</v>
      </c>
    </row>
    <row r="48" spans="1:22" x14ac:dyDescent="0.2">
      <c r="A48" s="29">
        <f>A47+1</f>
        <v>2</v>
      </c>
      <c r="B48" s="334" t="str">
        <f t="shared" si="50"/>
        <v>LNG - Asia - Fuel cost total - USD/GJ</v>
      </c>
      <c r="C48" t="str">
        <f t="shared" si="51"/>
        <v>LNG</v>
      </c>
      <c r="D48"/>
      <c r="E48" t="str">
        <f t="shared" ref="E48:E57" si="54">E47</f>
        <v>Asia</v>
      </c>
      <c r="F48" t="str">
        <f t="shared" si="52"/>
        <v>Fuel cost total - USD/GJ</v>
      </c>
      <c r="G48" s="128"/>
      <c r="H48" s="409"/>
      <c r="I48" t="s">
        <v>324</v>
      </c>
      <c r="K48" s="68">
        <f t="shared" ref="K48:V48" si="55">K157+K264</f>
        <v>39.462789546173269</v>
      </c>
      <c r="L48" s="68">
        <f t="shared" si="55"/>
        <v>20.772305715965476</v>
      </c>
      <c r="M48" s="68">
        <f t="shared" si="55"/>
        <v>12.733337673163692</v>
      </c>
      <c r="N48" s="68">
        <f t="shared" si="55"/>
        <v>12.550776393834383</v>
      </c>
      <c r="O48" s="68">
        <f t="shared" si="55"/>
        <v>12.413865598970046</v>
      </c>
      <c r="P48" s="68">
        <f t="shared" si="55"/>
        <v>12.276995487868456</v>
      </c>
      <c r="Q48" s="68">
        <f t="shared" si="55"/>
        <v>12.167689108506201</v>
      </c>
      <c r="R48" s="68">
        <f t="shared" si="55"/>
        <v>12.167689108506201</v>
      </c>
      <c r="S48" s="68">
        <f t="shared" si="55"/>
        <v>12.167689108506201</v>
      </c>
      <c r="T48" s="68">
        <f t="shared" si="55"/>
        <v>12.167689108506201</v>
      </c>
      <c r="U48" s="68">
        <f t="shared" si="55"/>
        <v>12.167689108506201</v>
      </c>
      <c r="V48" s="68">
        <f t="shared" si="55"/>
        <v>12.167689108506201</v>
      </c>
    </row>
    <row r="49" spans="1:22" x14ac:dyDescent="0.2">
      <c r="A49" s="29">
        <f t="shared" ref="A49:A66" si="56">A48+1</f>
        <v>3</v>
      </c>
      <c r="B49" s="334" t="str">
        <f t="shared" si="50"/>
        <v>LPG - Asia - Fuel cost total - USD/GJ</v>
      </c>
      <c r="C49" t="str">
        <f t="shared" si="51"/>
        <v>LPG</v>
      </c>
      <c r="D49"/>
      <c r="E49" t="str">
        <f t="shared" si="54"/>
        <v>Asia</v>
      </c>
      <c r="F49" t="str">
        <f t="shared" si="52"/>
        <v>Fuel cost total - USD/GJ</v>
      </c>
      <c r="G49" s="128"/>
      <c r="H49" s="409"/>
      <c r="I49" t="s">
        <v>324</v>
      </c>
      <c r="K49" s="68">
        <f t="shared" ref="K49:V49" si="57">K158+K265</f>
        <v>16.525069073439496</v>
      </c>
      <c r="L49" s="68">
        <f t="shared" si="57"/>
        <v>11.854940857032684</v>
      </c>
      <c r="M49" s="68">
        <f t="shared" si="57"/>
        <v>10.34613020250125</v>
      </c>
      <c r="N49" s="68">
        <f t="shared" si="57"/>
        <v>10.34613020250125</v>
      </c>
      <c r="O49" s="68">
        <f t="shared" si="57"/>
        <v>10.34613020250125</v>
      </c>
      <c r="P49" s="68">
        <f t="shared" si="57"/>
        <v>10.34613020250125</v>
      </c>
      <c r="Q49" s="68">
        <f t="shared" si="57"/>
        <v>10.34613020250125</v>
      </c>
      <c r="R49" s="68">
        <f t="shared" si="57"/>
        <v>10.34613020250125</v>
      </c>
      <c r="S49" s="68">
        <f t="shared" si="57"/>
        <v>10.34613020250125</v>
      </c>
      <c r="T49" s="68">
        <f t="shared" si="57"/>
        <v>10.34613020250125</v>
      </c>
      <c r="U49" s="68">
        <f t="shared" si="57"/>
        <v>10.34613020250125</v>
      </c>
      <c r="V49" s="68">
        <f t="shared" si="57"/>
        <v>10.34613020250125</v>
      </c>
    </row>
    <row r="50" spans="1:22" x14ac:dyDescent="0.2">
      <c r="A50" s="29">
        <f t="shared" si="56"/>
        <v>4</v>
      </c>
      <c r="B50" s="334" t="str">
        <f t="shared" si="50"/>
        <v>Electricity - Asia - Fuel cost total - USD/GJ</v>
      </c>
      <c r="C50" t="str">
        <f t="shared" si="51"/>
        <v>Electricity</v>
      </c>
      <c r="D50"/>
      <c r="E50" t="str">
        <f t="shared" si="54"/>
        <v>Asia</v>
      </c>
      <c r="F50" t="str">
        <f t="shared" si="52"/>
        <v>Fuel cost total - USD/GJ</v>
      </c>
      <c r="G50" s="128"/>
      <c r="H50" s="409"/>
      <c r="I50" t="s">
        <v>324</v>
      </c>
      <c r="K50" s="68">
        <f t="shared" ref="K50:V50" si="58">K159+K266</f>
        <v>41.577521514742742</v>
      </c>
      <c r="L50" s="68">
        <f t="shared" si="58"/>
        <v>33.651556857836852</v>
      </c>
      <c r="M50" s="68">
        <f t="shared" si="58"/>
        <v>30.808579150001325</v>
      </c>
      <c r="N50" s="68">
        <f t="shared" si="58"/>
        <v>28.876238081465964</v>
      </c>
      <c r="O50" s="68">
        <f t="shared" si="58"/>
        <v>27.893789065905231</v>
      </c>
      <c r="P50" s="68">
        <f t="shared" si="58"/>
        <v>26.865432067553204</v>
      </c>
      <c r="Q50" s="68">
        <f t="shared" si="58"/>
        <v>26.393841178705237</v>
      </c>
      <c r="R50" s="68">
        <f t="shared" si="58"/>
        <v>26.393841178705237</v>
      </c>
      <c r="S50" s="68">
        <f t="shared" si="58"/>
        <v>26.393841178705237</v>
      </c>
      <c r="T50" s="68">
        <f t="shared" si="58"/>
        <v>26.393841178705237</v>
      </c>
      <c r="U50" s="68">
        <f t="shared" si="58"/>
        <v>26.393841178705237</v>
      </c>
      <c r="V50" s="68">
        <f t="shared" si="58"/>
        <v>26.393841178705237</v>
      </c>
    </row>
    <row r="51" spans="1:22" x14ac:dyDescent="0.2">
      <c r="A51" s="29">
        <f t="shared" si="56"/>
        <v>5</v>
      </c>
      <c r="B51" s="334" t="str">
        <f t="shared" si="50"/>
        <v>e-Ammonia - Asia - Fuel cost total - USD/GJ</v>
      </c>
      <c r="C51" t="str">
        <f t="shared" si="51"/>
        <v>e-Ammonia</v>
      </c>
      <c r="D51"/>
      <c r="E51" t="str">
        <f t="shared" si="54"/>
        <v>Asia</v>
      </c>
      <c r="F51" t="str">
        <f t="shared" si="52"/>
        <v>Fuel cost total - USD/GJ</v>
      </c>
      <c r="G51" s="226"/>
      <c r="H51" s="409"/>
      <c r="I51" t="s">
        <v>324</v>
      </c>
      <c r="K51" s="68">
        <f t="shared" ref="K51:V51" si="59">K160+K267</f>
        <v>85.19829686848378</v>
      </c>
      <c r="L51" s="68">
        <f t="shared" si="59"/>
        <v>58.096226677251302</v>
      </c>
      <c r="M51" s="68">
        <f t="shared" si="59"/>
        <v>41.389423887870272</v>
      </c>
      <c r="N51" s="68">
        <f t="shared" si="59"/>
        <v>36.472598548540411</v>
      </c>
      <c r="O51" s="68">
        <f t="shared" si="59"/>
        <v>31.8606335978976</v>
      </c>
      <c r="P51" s="68">
        <f t="shared" si="59"/>
        <v>26.295951244109222</v>
      </c>
      <c r="Q51" s="68">
        <f t="shared" si="59"/>
        <v>21.743322849558645</v>
      </c>
      <c r="R51" s="68">
        <f t="shared" si="59"/>
        <v>21.743322849558645</v>
      </c>
      <c r="S51" s="68">
        <f t="shared" si="59"/>
        <v>21.743322849558645</v>
      </c>
      <c r="T51" s="68">
        <f t="shared" si="59"/>
        <v>21.743322849558645</v>
      </c>
      <c r="U51" s="68">
        <f t="shared" si="59"/>
        <v>21.743322849558645</v>
      </c>
      <c r="V51" s="68">
        <f t="shared" si="59"/>
        <v>21.743322849558645</v>
      </c>
    </row>
    <row r="52" spans="1:22" x14ac:dyDescent="0.2">
      <c r="A52" s="29">
        <f t="shared" si="56"/>
        <v>6</v>
      </c>
      <c r="B52" s="334" t="str">
        <f t="shared" si="50"/>
        <v>Blue ammonia - Asia - Fuel cost total - USD/GJ</v>
      </c>
      <c r="C52" t="str">
        <f t="shared" si="51"/>
        <v>Blue ammonia</v>
      </c>
      <c r="D52"/>
      <c r="E52" t="str">
        <f t="shared" si="54"/>
        <v>Asia</v>
      </c>
      <c r="F52" t="str">
        <f t="shared" si="52"/>
        <v>Fuel cost total - USD/GJ</v>
      </c>
      <c r="G52" s="226"/>
      <c r="H52" s="409"/>
      <c r="I52" t="s">
        <v>324</v>
      </c>
      <c r="K52" s="68">
        <f t="shared" ref="K52:V52" si="60">K161+K268</f>
        <v>74.806072831607906</v>
      </c>
      <c r="L52" s="68">
        <f t="shared" si="60"/>
        <v>43.258587355528121</v>
      </c>
      <c r="M52" s="68">
        <f t="shared" si="60"/>
        <v>28.911082682314738</v>
      </c>
      <c r="N52" s="68">
        <f t="shared" si="60"/>
        <v>28.44170126710334</v>
      </c>
      <c r="O52" s="68">
        <f t="shared" si="60"/>
        <v>28.005715512333115</v>
      </c>
      <c r="P52" s="68">
        <f t="shared" si="60"/>
        <v>27.568115755845493</v>
      </c>
      <c r="Q52" s="68">
        <f t="shared" si="60"/>
        <v>27.150090404554675</v>
      </c>
      <c r="R52" s="68">
        <f t="shared" si="60"/>
        <v>27.150090404554675</v>
      </c>
      <c r="S52" s="68">
        <f t="shared" si="60"/>
        <v>27.150090404554675</v>
      </c>
      <c r="T52" s="68">
        <f t="shared" si="60"/>
        <v>27.150090404554675</v>
      </c>
      <c r="U52" s="68">
        <f t="shared" si="60"/>
        <v>27.150090404554675</v>
      </c>
      <c r="V52" s="68">
        <f t="shared" si="60"/>
        <v>27.150090404554675</v>
      </c>
    </row>
    <row r="53" spans="1:22" x14ac:dyDescent="0.2">
      <c r="A53" s="29">
        <f t="shared" si="56"/>
        <v>7</v>
      </c>
      <c r="B53" s="334" t="str">
        <f t="shared" si="50"/>
        <v>Biomethane - Asia - Fuel cost total - USD/GJ</v>
      </c>
      <c r="C53" t="str">
        <f t="shared" si="51"/>
        <v>Biomethane</v>
      </c>
      <c r="D53"/>
      <c r="E53" t="str">
        <f t="shared" si="54"/>
        <v>Asia</v>
      </c>
      <c r="F53" t="str">
        <f t="shared" si="52"/>
        <v>Fuel cost total - USD/GJ</v>
      </c>
      <c r="G53"/>
      <c r="H53" s="409"/>
      <c r="I53" t="s">
        <v>324</v>
      </c>
      <c r="K53" s="68">
        <f t="shared" ref="K53:V53" si="61">K162+K269</f>
        <v>26.778686496502281</v>
      </c>
      <c r="L53" s="68">
        <f t="shared" si="61"/>
        <v>24.275348713965855</v>
      </c>
      <c r="M53" s="68">
        <f t="shared" si="61"/>
        <v>22.582862318691056</v>
      </c>
      <c r="N53" s="68">
        <f t="shared" si="61"/>
        <v>21.154532985207041</v>
      </c>
      <c r="O53" s="68">
        <f t="shared" si="61"/>
        <v>19.80838978782845</v>
      </c>
      <c r="P53" s="68">
        <f t="shared" si="61"/>
        <v>18.456653793458912</v>
      </c>
      <c r="Q53" s="68">
        <f t="shared" si="61"/>
        <v>17.154065107414372</v>
      </c>
      <c r="R53" s="68">
        <f t="shared" si="61"/>
        <v>17.154065107414372</v>
      </c>
      <c r="S53" s="68">
        <f t="shared" si="61"/>
        <v>17.154065107414372</v>
      </c>
      <c r="T53" s="68">
        <f t="shared" si="61"/>
        <v>17.154065107414372</v>
      </c>
      <c r="U53" s="68">
        <f t="shared" si="61"/>
        <v>17.154065107414372</v>
      </c>
      <c r="V53" s="68">
        <f t="shared" si="61"/>
        <v>17.154065107414372</v>
      </c>
    </row>
    <row r="54" spans="1:22" x14ac:dyDescent="0.2">
      <c r="A54" s="29">
        <f t="shared" si="56"/>
        <v>8</v>
      </c>
      <c r="B54" s="334" t="str">
        <f t="shared" si="50"/>
        <v>e-Methane (DAC) - Asia - Fuel cost total - USD/GJ</v>
      </c>
      <c r="C54" t="str">
        <f t="shared" si="51"/>
        <v>e-Methane (DAC)</v>
      </c>
      <c r="D54"/>
      <c r="E54" t="str">
        <f t="shared" si="54"/>
        <v>Asia</v>
      </c>
      <c r="F54" t="str">
        <f t="shared" si="52"/>
        <v>Fuel cost total - USD/GJ</v>
      </c>
      <c r="G54" s="226"/>
      <c r="H54" s="409"/>
      <c r="I54" t="s">
        <v>324</v>
      </c>
      <c r="K54" s="68">
        <f t="shared" ref="K54:V54" si="62">K163+K270</f>
        <v>96.527795511884378</v>
      </c>
      <c r="L54" s="68">
        <f t="shared" si="62"/>
        <v>69.175860190408812</v>
      </c>
      <c r="M54" s="68">
        <f t="shared" si="62"/>
        <v>56.657011886100676</v>
      </c>
      <c r="N54" s="68">
        <f t="shared" si="62"/>
        <v>49.178861278439513</v>
      </c>
      <c r="O54" s="68">
        <f t="shared" si="62"/>
        <v>42.748694684936424</v>
      </c>
      <c r="P54" s="68">
        <f t="shared" si="62"/>
        <v>35.282295145367499</v>
      </c>
      <c r="Q54" s="68">
        <f t="shared" si="62"/>
        <v>29.262576865851106</v>
      </c>
      <c r="R54" s="68">
        <f t="shared" si="62"/>
        <v>29.262576865851106</v>
      </c>
      <c r="S54" s="68">
        <f t="shared" si="62"/>
        <v>29.262576865851106</v>
      </c>
      <c r="T54" s="68">
        <f t="shared" si="62"/>
        <v>29.262576865851106</v>
      </c>
      <c r="U54" s="68">
        <f t="shared" si="62"/>
        <v>29.262576865851106</v>
      </c>
      <c r="V54" s="68">
        <f t="shared" si="62"/>
        <v>29.262576865851106</v>
      </c>
    </row>
    <row r="55" spans="1:22" x14ac:dyDescent="0.2">
      <c r="A55" s="29">
        <f t="shared" si="56"/>
        <v>9</v>
      </c>
      <c r="B55" s="334" t="str">
        <f t="shared" si="50"/>
        <v>e-Methane (PS) - Asia - Fuel cost total - USD/GJ</v>
      </c>
      <c r="C55" t="str">
        <f t="shared" si="51"/>
        <v>e-Methane (PS)</v>
      </c>
      <c r="D55"/>
      <c r="E55" t="str">
        <f t="shared" si="54"/>
        <v>Asia</v>
      </c>
      <c r="F55" t="str">
        <f t="shared" si="52"/>
        <v>Fuel cost total - USD/GJ</v>
      </c>
      <c r="G55" s="226"/>
      <c r="H55" s="409"/>
      <c r="I55" t="s">
        <v>324</v>
      </c>
      <c r="K55" s="68">
        <f t="shared" ref="K55:V55" si="63">K164+K271</f>
        <v>85.912510807475854</v>
      </c>
      <c r="L55" s="68">
        <f t="shared" si="63"/>
        <v>62.9666052819572</v>
      </c>
      <c r="M55" s="68">
        <f t="shared" si="63"/>
        <v>51.799505989351672</v>
      </c>
      <c r="N55" s="68">
        <f t="shared" si="63"/>
        <v>45.815470229955736</v>
      </c>
      <c r="O55" s="68">
        <f t="shared" si="63"/>
        <v>40.223084032062019</v>
      </c>
      <c r="P55" s="68">
        <f t="shared" si="63"/>
        <v>33.398588190157433</v>
      </c>
      <c r="Q55" s="68">
        <f t="shared" si="63"/>
        <v>27.674829071297133</v>
      </c>
      <c r="R55" s="68">
        <f t="shared" si="63"/>
        <v>27.674829071297133</v>
      </c>
      <c r="S55" s="68">
        <f t="shared" si="63"/>
        <v>27.674829071297133</v>
      </c>
      <c r="T55" s="68">
        <f t="shared" si="63"/>
        <v>27.674829071297133</v>
      </c>
      <c r="U55" s="68">
        <f t="shared" si="63"/>
        <v>27.674829071297133</v>
      </c>
      <c r="V55" s="68">
        <f t="shared" si="63"/>
        <v>27.674829071297133</v>
      </c>
    </row>
    <row r="56" spans="1:22" x14ac:dyDescent="0.2">
      <c r="A56" s="29">
        <f t="shared" si="56"/>
        <v>10</v>
      </c>
      <c r="B56" s="334" t="str">
        <f t="shared" si="50"/>
        <v>Biomethanol - Asia - Fuel cost total - USD/GJ</v>
      </c>
      <c r="C56" t="str">
        <f t="shared" si="51"/>
        <v>Biomethanol</v>
      </c>
      <c r="D56"/>
      <c r="E56" t="str">
        <f t="shared" si="54"/>
        <v>Asia</v>
      </c>
      <c r="F56" t="str">
        <f t="shared" si="52"/>
        <v>Fuel cost total - USD/GJ</v>
      </c>
      <c r="G56"/>
      <c r="H56" s="409"/>
      <c r="I56" t="s">
        <v>324</v>
      </c>
      <c r="K56" s="68">
        <f t="shared" ref="K56:V56" si="64">K165+K272</f>
        <v>50.519022186851963</v>
      </c>
      <c r="L56" s="68">
        <f t="shared" si="64"/>
        <v>35.160696047404159</v>
      </c>
      <c r="M56" s="68">
        <f t="shared" si="64"/>
        <v>29.539274318293401</v>
      </c>
      <c r="N56" s="68">
        <f t="shared" si="64"/>
        <v>27.23440032382387</v>
      </c>
      <c r="O56" s="68">
        <f t="shared" si="64"/>
        <v>25.020244710838195</v>
      </c>
      <c r="P56" s="68">
        <f t="shared" si="64"/>
        <v>23.673295648521428</v>
      </c>
      <c r="Q56" s="68">
        <f t="shared" si="64"/>
        <v>22.439929819708691</v>
      </c>
      <c r="R56" s="68">
        <f t="shared" si="64"/>
        <v>22.439929819708691</v>
      </c>
      <c r="S56" s="68">
        <f t="shared" si="64"/>
        <v>22.439929819708691</v>
      </c>
      <c r="T56" s="68">
        <f t="shared" si="64"/>
        <v>22.439929819708691</v>
      </c>
      <c r="U56" s="68">
        <f t="shared" si="64"/>
        <v>22.439929819708691</v>
      </c>
      <c r="V56" s="68">
        <f t="shared" si="64"/>
        <v>22.439929819708691</v>
      </c>
    </row>
    <row r="57" spans="1:22" x14ac:dyDescent="0.2">
      <c r="A57" s="29">
        <f t="shared" si="56"/>
        <v>11</v>
      </c>
      <c r="B57" s="334" t="str">
        <f t="shared" si="50"/>
        <v>e-Methanol (DAC) - Asia - Fuel cost total - USD/GJ</v>
      </c>
      <c r="C57" t="str">
        <f t="shared" si="51"/>
        <v>e-Methanol (DAC)</v>
      </c>
      <c r="D57"/>
      <c r="E57" t="str">
        <f t="shared" si="54"/>
        <v>Asia</v>
      </c>
      <c r="F57" t="str">
        <f t="shared" si="52"/>
        <v>Fuel cost total - USD/GJ</v>
      </c>
      <c r="G57"/>
      <c r="H57" s="409"/>
      <c r="I57" t="s">
        <v>324</v>
      </c>
      <c r="K57" s="68">
        <f t="shared" ref="K57:V57" si="65">K166+K273</f>
        <v>115.81686215686668</v>
      </c>
      <c r="L57" s="68">
        <f t="shared" si="65"/>
        <v>82.880323716926398</v>
      </c>
      <c r="M57" s="68">
        <f t="shared" si="65"/>
        <v>65.797481195168601</v>
      </c>
      <c r="N57" s="68">
        <f t="shared" si="65"/>
        <v>56.500026334621367</v>
      </c>
      <c r="O57" s="68">
        <f t="shared" si="65"/>
        <v>48.650411576569653</v>
      </c>
      <c r="P57" s="68">
        <f t="shared" si="65"/>
        <v>39.604233240918859</v>
      </c>
      <c r="Q57" s="68">
        <f t="shared" si="65"/>
        <v>32.183513332511346</v>
      </c>
      <c r="R57" s="68">
        <f t="shared" si="65"/>
        <v>32.183513332511346</v>
      </c>
      <c r="S57" s="68">
        <f t="shared" si="65"/>
        <v>32.183513332511346</v>
      </c>
      <c r="T57" s="68">
        <f t="shared" si="65"/>
        <v>32.183513332511346</v>
      </c>
      <c r="U57" s="68">
        <f t="shared" si="65"/>
        <v>32.183513332511346</v>
      </c>
      <c r="V57" s="68">
        <f t="shared" si="65"/>
        <v>32.183513332511346</v>
      </c>
    </row>
    <row r="58" spans="1:22" x14ac:dyDescent="0.2">
      <c r="A58" s="29">
        <f t="shared" si="56"/>
        <v>12</v>
      </c>
      <c r="B58" s="334" t="str">
        <f t="shared" si="50"/>
        <v>e-Methanol (PS) - Asia - Fuel cost total - USD/GJ</v>
      </c>
      <c r="C58" t="str">
        <f t="shared" si="51"/>
        <v>e-Methanol (PS)</v>
      </c>
      <c r="D58"/>
      <c r="E58" t="str">
        <f>E57</f>
        <v>Asia</v>
      </c>
      <c r="F58" t="str">
        <f t="shared" si="52"/>
        <v>Fuel cost total - USD/GJ</v>
      </c>
      <c r="G58"/>
      <c r="H58" s="409"/>
      <c r="I58" t="s">
        <v>324</v>
      </c>
      <c r="K58" s="68">
        <f t="shared" ref="K58:V58" si="66">K167+K274</f>
        <v>102.46359707763797</v>
      </c>
      <c r="L58" s="68">
        <f t="shared" si="66"/>
        <v>75.06952739390151</v>
      </c>
      <c r="M58" s="68">
        <f t="shared" si="66"/>
        <v>59.687087958492775</v>
      </c>
      <c r="N58" s="68">
        <f t="shared" si="66"/>
        <v>52.269122172733276</v>
      </c>
      <c r="O58" s="68">
        <f t="shared" si="66"/>
        <v>45.473374928579439</v>
      </c>
      <c r="P58" s="68">
        <f t="shared" si="66"/>
        <v>37.234665301392887</v>
      </c>
      <c r="Q58" s="68">
        <f t="shared" si="66"/>
        <v>30.186240742089442</v>
      </c>
      <c r="R58" s="68">
        <f t="shared" si="66"/>
        <v>30.186240742089442</v>
      </c>
      <c r="S58" s="68">
        <f t="shared" si="66"/>
        <v>30.186240742089442</v>
      </c>
      <c r="T58" s="68">
        <f t="shared" si="66"/>
        <v>30.186240742089442</v>
      </c>
      <c r="U58" s="68">
        <f t="shared" si="66"/>
        <v>30.186240742089442</v>
      </c>
      <c r="V58" s="68">
        <f t="shared" si="66"/>
        <v>30.186240742089442</v>
      </c>
    </row>
    <row r="59" spans="1:22" x14ac:dyDescent="0.2">
      <c r="A59" s="29">
        <f t="shared" si="56"/>
        <v>13</v>
      </c>
      <c r="B59" s="334" t="str">
        <f t="shared" si="50"/>
        <v>Biodiesel (HtL) - Asia - Fuel cost total - USD/GJ</v>
      </c>
      <c r="C59" t="str" cm="1">
        <f t="array" ref="C59">INDEX(list_AE_fuel,A59)</f>
        <v>Biodiesel (HtL)</v>
      </c>
      <c r="D59"/>
      <c r="E59" t="str">
        <f>E58</f>
        <v>Asia</v>
      </c>
      <c r="F59" t="str">
        <f t="shared" si="52"/>
        <v>Fuel cost total - USD/GJ</v>
      </c>
      <c r="G59"/>
      <c r="H59" s="409"/>
      <c r="I59" t="s">
        <v>324</v>
      </c>
      <c r="K59" s="68">
        <f t="shared" ref="K59:V59" si="67">K168+K275</f>
        <v>160.33266712927582</v>
      </c>
      <c r="L59" s="68">
        <f t="shared" si="67"/>
        <v>52.796443566704085</v>
      </c>
      <c r="M59" s="68">
        <f t="shared" si="67"/>
        <v>23.478677204372801</v>
      </c>
      <c r="N59" s="68">
        <f t="shared" si="67"/>
        <v>23.02133380593709</v>
      </c>
      <c r="O59" s="68">
        <f t="shared" si="67"/>
        <v>22.618621547257447</v>
      </c>
      <c r="P59" s="68">
        <f t="shared" si="67"/>
        <v>22.051104717306217</v>
      </c>
      <c r="Q59" s="68">
        <f t="shared" si="67"/>
        <v>21.155938549921764</v>
      </c>
      <c r="R59" s="68">
        <f t="shared" si="67"/>
        <v>21.155938549921764</v>
      </c>
      <c r="S59" s="68">
        <f t="shared" si="67"/>
        <v>21.155938549921764</v>
      </c>
      <c r="T59" s="68">
        <f t="shared" si="67"/>
        <v>21.155938549921764</v>
      </c>
      <c r="U59" s="68">
        <f t="shared" si="67"/>
        <v>21.155938549921764</v>
      </c>
      <c r="V59" s="68">
        <f t="shared" si="67"/>
        <v>21.155938549921764</v>
      </c>
    </row>
    <row r="60" spans="1:22" x14ac:dyDescent="0.2">
      <c r="A60" s="29">
        <f t="shared" si="56"/>
        <v>14</v>
      </c>
      <c r="B60" s="334" t="str">
        <f t="shared" si="50"/>
        <v>Biodiesel (Pyr) - Asia - Fuel cost total - USD/GJ</v>
      </c>
      <c r="C60" t="str" cm="1">
        <f t="array" ref="C60">INDEX(list_AE_fuel,A60)</f>
        <v>Biodiesel (Pyr)</v>
      </c>
      <c r="D60"/>
      <c r="E60" t="str">
        <f>E59</f>
        <v>Asia</v>
      </c>
      <c r="F60" t="str">
        <f t="shared" si="52"/>
        <v>Fuel cost total - USD/GJ</v>
      </c>
      <c r="G60"/>
      <c r="H60" s="409"/>
      <c r="I60" t="s">
        <v>324</v>
      </c>
      <c r="K60" s="68">
        <f t="shared" ref="K60:V60" si="68">K169+K276</f>
        <v>61.602157094929424</v>
      </c>
      <c r="L60" s="68">
        <f t="shared" si="68"/>
        <v>38.433681024188083</v>
      </c>
      <c r="M60" s="68">
        <f t="shared" si="68"/>
        <v>20.8970375426122</v>
      </c>
      <c r="N60" s="68">
        <f t="shared" si="68"/>
        <v>21.336352240615508</v>
      </c>
      <c r="O60" s="68">
        <f t="shared" si="68"/>
        <v>21.41186504879223</v>
      </c>
      <c r="P60" s="68">
        <f t="shared" si="68"/>
        <v>21.108109073132464</v>
      </c>
      <c r="Q60" s="68">
        <f t="shared" si="68"/>
        <v>20.112013470231418</v>
      </c>
      <c r="R60" s="68">
        <f t="shared" si="68"/>
        <v>20.112013470231418</v>
      </c>
      <c r="S60" s="68">
        <f t="shared" si="68"/>
        <v>20.112013470231418</v>
      </c>
      <c r="T60" s="68">
        <f t="shared" si="68"/>
        <v>20.112013470231418</v>
      </c>
      <c r="U60" s="68">
        <f t="shared" si="68"/>
        <v>20.112013470231418</v>
      </c>
      <c r="V60" s="68">
        <f t="shared" si="68"/>
        <v>20.112013470231418</v>
      </c>
    </row>
    <row r="61" spans="1:22" x14ac:dyDescent="0.2">
      <c r="A61" s="29">
        <f t="shared" si="56"/>
        <v>15</v>
      </c>
      <c r="B61" s="334" t="str">
        <f t="shared" si="50"/>
        <v>e-Diesel (DAC) - Asia - Fuel cost total - USD/GJ</v>
      </c>
      <c r="C61" t="str" cm="1">
        <f t="array" ref="C61">INDEX(list_AE_fuel,A61)</f>
        <v>e-Diesel (DAC)</v>
      </c>
      <c r="D61"/>
      <c r="E61" t="str">
        <f>E60</f>
        <v>Asia</v>
      </c>
      <c r="F61" t="str">
        <f t="shared" si="52"/>
        <v>Fuel cost total - USD/GJ</v>
      </c>
      <c r="G61"/>
      <c r="H61" s="409"/>
      <c r="I61" t="s">
        <v>324</v>
      </c>
      <c r="K61" s="68">
        <f t="shared" ref="K61:V61" si="69">K170+K277</f>
        <v>130.91809043540079</v>
      </c>
      <c r="L61" s="68">
        <f t="shared" si="69"/>
        <v>94.012674174274792</v>
      </c>
      <c r="M61" s="68">
        <f t="shared" si="69"/>
        <v>74.736998556798568</v>
      </c>
      <c r="N61" s="68">
        <f t="shared" si="69"/>
        <v>65.048909963937589</v>
      </c>
      <c r="O61" s="68">
        <f t="shared" si="69"/>
        <v>56.757253033686915</v>
      </c>
      <c r="P61" s="68">
        <f t="shared" si="69"/>
        <v>45.588173680342763</v>
      </c>
      <c r="Q61" s="68">
        <f t="shared" si="69"/>
        <v>36.450824001493771</v>
      </c>
      <c r="R61" s="68">
        <f t="shared" si="69"/>
        <v>36.450824001493771</v>
      </c>
      <c r="S61" s="68">
        <f t="shared" si="69"/>
        <v>36.450824001493771</v>
      </c>
      <c r="T61" s="68">
        <f t="shared" si="69"/>
        <v>36.450824001493771</v>
      </c>
      <c r="U61" s="68">
        <f t="shared" si="69"/>
        <v>36.450824001493771</v>
      </c>
      <c r="V61" s="68">
        <f t="shared" si="69"/>
        <v>36.450824001493771</v>
      </c>
    </row>
    <row r="62" spans="1:22" x14ac:dyDescent="0.2">
      <c r="A62" s="29">
        <f t="shared" si="56"/>
        <v>16</v>
      </c>
      <c r="B62" s="334" t="str">
        <f t="shared" si="50"/>
        <v>e-Diesel (PS) - Asia - Fuel cost total - USD/GJ</v>
      </c>
      <c r="C62" t="str" cm="1">
        <f t="array" ref="C62">INDEX(list_AE_fuel,A62)</f>
        <v>e-Diesel (PS)</v>
      </c>
      <c r="D62"/>
      <c r="E62" t="str">
        <f>E61</f>
        <v>Asia</v>
      </c>
      <c r="F62" t="str">
        <f t="shared" si="52"/>
        <v>Fuel cost total - USD/GJ</v>
      </c>
      <c r="G62"/>
      <c r="H62" s="409"/>
      <c r="I62" t="s">
        <v>324</v>
      </c>
      <c r="K62" s="68">
        <f t="shared" ref="K62:V62" si="70">K171+K278</f>
        <v>115.1506876055707</v>
      </c>
      <c r="L62" s="68">
        <f t="shared" si="70"/>
        <v>84.789763424269495</v>
      </c>
      <c r="M62" s="68">
        <f t="shared" si="70"/>
        <v>67.521906888978407</v>
      </c>
      <c r="N62" s="68">
        <f t="shared" si="70"/>
        <v>60.053100335424844</v>
      </c>
      <c r="O62" s="68">
        <f t="shared" si="70"/>
        <v>53.005839702432333</v>
      </c>
      <c r="P62" s="68">
        <f t="shared" si="70"/>
        <v>42.790211383220864</v>
      </c>
      <c r="Q62" s="68">
        <f t="shared" si="70"/>
        <v>34.092464356320058</v>
      </c>
      <c r="R62" s="68">
        <f t="shared" si="70"/>
        <v>34.092464356320058</v>
      </c>
      <c r="S62" s="68">
        <f t="shared" si="70"/>
        <v>34.092464356320058</v>
      </c>
      <c r="T62" s="68">
        <f t="shared" si="70"/>
        <v>34.092464356320058</v>
      </c>
      <c r="U62" s="68">
        <f t="shared" si="70"/>
        <v>34.092464356320058</v>
      </c>
      <c r="V62" s="68">
        <f t="shared" si="70"/>
        <v>34.092464356320058</v>
      </c>
    </row>
    <row r="63" spans="1:22" x14ac:dyDescent="0.2">
      <c r="A63" s="29">
        <f t="shared" si="56"/>
        <v>17</v>
      </c>
      <c r="B63" s="334" t="str">
        <f t="shared" si="50"/>
        <v>Biodiesel (HtL blend) - Asia - Fuel cost total - USD/GJ</v>
      </c>
      <c r="C63" t="str" cm="1">
        <f t="array" ref="C63">INDEX(list_AE_fuel,A63)</f>
        <v>Biodiesel (HtL blend)</v>
      </c>
      <c r="D63"/>
      <c r="E63" t="str">
        <f>E59</f>
        <v>Asia</v>
      </c>
      <c r="F63" t="str">
        <f t="shared" si="52"/>
        <v>Fuel cost total - USD/GJ</v>
      </c>
      <c r="G63"/>
      <c r="H63" s="409"/>
      <c r="I63" t="s">
        <v>324</v>
      </c>
      <c r="K63" s="68">
        <f t="shared" ref="K63:V63" si="71">K172+K279</f>
        <v>39.383399663749394</v>
      </c>
      <c r="L63" s="68">
        <f t="shared" si="71"/>
        <v>26.073584749982437</v>
      </c>
      <c r="M63" s="68">
        <f t="shared" si="71"/>
        <v>15.495386363305496</v>
      </c>
      <c r="N63" s="68">
        <f t="shared" si="71"/>
        <v>15.117945263822271</v>
      </c>
      <c r="O63" s="68">
        <f t="shared" si="71"/>
        <v>14.965970505041275</v>
      </c>
      <c r="P63" s="68">
        <f t="shared" si="71"/>
        <v>14.798170850649541</v>
      </c>
      <c r="Q63" s="68">
        <f t="shared" si="71"/>
        <v>14.65805003062848</v>
      </c>
      <c r="R63" s="68">
        <f t="shared" si="71"/>
        <v>14.65805003062848</v>
      </c>
      <c r="S63" s="68">
        <f t="shared" si="71"/>
        <v>14.65805003062848</v>
      </c>
      <c r="T63" s="68">
        <f t="shared" si="71"/>
        <v>14.65805003062848</v>
      </c>
      <c r="U63" s="68">
        <f t="shared" si="71"/>
        <v>14.65805003062848</v>
      </c>
      <c r="V63" s="68">
        <f t="shared" si="71"/>
        <v>14.65805003062848</v>
      </c>
    </row>
    <row r="64" spans="1:22" x14ac:dyDescent="0.2">
      <c r="A64" s="29">
        <f t="shared" si="56"/>
        <v>18</v>
      </c>
      <c r="B64" s="334" t="str">
        <f t="shared" si="50"/>
        <v>Biodiesel (Pyr blend) - Asia - Fuel cost total - USD/GJ</v>
      </c>
      <c r="C64" t="str" cm="1">
        <f t="array" ref="C64">INDEX(list_AE_fuel,A64)</f>
        <v>Biodiesel (Pyr blend)</v>
      </c>
      <c r="D64"/>
      <c r="E64" t="str">
        <f>E60</f>
        <v>Asia</v>
      </c>
      <c r="F64" t="str">
        <f t="shared" si="52"/>
        <v>Fuel cost total - USD/GJ</v>
      </c>
      <c r="G64"/>
      <c r="H64" s="409"/>
      <c r="I64" t="s">
        <v>324</v>
      </c>
      <c r="K64" s="68">
        <f t="shared" ref="K64:V64" si="72">K173+K280</f>
        <v>24.04327155680464</v>
      </c>
      <c r="L64" s="68">
        <f t="shared" si="72"/>
        <v>17.082331228459019</v>
      </c>
      <c r="M64" s="68">
        <f t="shared" si="72"/>
        <v>13.569083932158239</v>
      </c>
      <c r="N64" s="68">
        <f t="shared" si="72"/>
        <v>13.552568568715099</v>
      </c>
      <c r="O64" s="68">
        <f t="shared" si="72"/>
        <v>13.601764259864213</v>
      </c>
      <c r="P64" s="68">
        <f t="shared" si="72"/>
        <v>13.634312476394822</v>
      </c>
      <c r="Q64" s="68">
        <f t="shared" si="72"/>
        <v>13.684330313362873</v>
      </c>
      <c r="R64" s="68">
        <f t="shared" si="72"/>
        <v>13.684330313362873</v>
      </c>
      <c r="S64" s="68">
        <f t="shared" si="72"/>
        <v>13.684330313362873</v>
      </c>
      <c r="T64" s="68">
        <f t="shared" si="72"/>
        <v>13.684330313362873</v>
      </c>
      <c r="U64" s="68">
        <f t="shared" si="72"/>
        <v>13.684330313362873</v>
      </c>
      <c r="V64" s="68">
        <f t="shared" si="72"/>
        <v>13.684330313362873</v>
      </c>
    </row>
    <row r="65" spans="1:22" x14ac:dyDescent="0.2">
      <c r="A65" s="29">
        <f t="shared" si="56"/>
        <v>19</v>
      </c>
      <c r="B65" s="334" t="str">
        <f t="shared" si="50"/>
        <v>Blue hydrogen (liquid) - Asia - Fuel cost total - USD/GJ</v>
      </c>
      <c r="C65" t="str" cm="1">
        <f t="array" ref="C65">INDEX(list_AE_fuel,A65)</f>
        <v>Blue hydrogen (liquid)</v>
      </c>
      <c r="D65"/>
      <c r="E65" t="str">
        <f>E61</f>
        <v>Asia</v>
      </c>
      <c r="F65" t="str">
        <f t="shared" si="52"/>
        <v>Fuel cost total - USD/GJ</v>
      </c>
      <c r="G65"/>
      <c r="H65" s="409"/>
      <c r="I65" t="s">
        <v>324</v>
      </c>
      <c r="K65" s="68">
        <f t="shared" ref="K65:V65" si="73">K174+K281</f>
        <v>89.194848358349219</v>
      </c>
      <c r="L65" s="68">
        <f t="shared" si="73"/>
        <v>58.217017153086843</v>
      </c>
      <c r="M65" s="68">
        <f t="shared" si="73"/>
        <v>45.098266727186413</v>
      </c>
      <c r="N65" s="68">
        <f t="shared" si="73"/>
        <v>43.771450763068366</v>
      </c>
      <c r="O65" s="68">
        <f t="shared" si="73"/>
        <v>42.808107446456305</v>
      </c>
      <c r="P65" s="68">
        <f t="shared" si="73"/>
        <v>41.886718812152658</v>
      </c>
      <c r="Q65" s="68">
        <f t="shared" si="73"/>
        <v>41.18835523212352</v>
      </c>
      <c r="R65" s="68">
        <f t="shared" si="73"/>
        <v>41.18835523212352</v>
      </c>
      <c r="S65" s="68">
        <f t="shared" si="73"/>
        <v>41.18835523212352</v>
      </c>
      <c r="T65" s="68">
        <f t="shared" si="73"/>
        <v>41.18835523212352</v>
      </c>
      <c r="U65" s="68">
        <f t="shared" si="73"/>
        <v>41.18835523212352</v>
      </c>
      <c r="V65" s="68">
        <f t="shared" si="73"/>
        <v>41.18835523212352</v>
      </c>
    </row>
    <row r="66" spans="1:22" x14ac:dyDescent="0.2">
      <c r="A66" s="29">
        <f t="shared" si="56"/>
        <v>20</v>
      </c>
      <c r="B66" s="334" t="str">
        <f t="shared" si="50"/>
        <v>e-Hydrogen (liquid) - Asia - Fuel cost total - USD/GJ</v>
      </c>
      <c r="C66" t="str" cm="1">
        <f t="array" ref="C66">INDEX(list_AE_fuel,A66)</f>
        <v>e-Hydrogen (liquid)</v>
      </c>
      <c r="D66"/>
      <c r="E66" t="str">
        <f>E62</f>
        <v>Asia</v>
      </c>
      <c r="F66" t="str">
        <f t="shared" si="52"/>
        <v>Fuel cost total - USD/GJ</v>
      </c>
      <c r="G66"/>
      <c r="H66" s="409"/>
      <c r="I66" t="s">
        <v>324</v>
      </c>
      <c r="K66" s="68">
        <f t="shared" ref="K66:V66" si="74">K175+K282</f>
        <v>81.414806822994649</v>
      </c>
      <c r="L66" s="68">
        <f t="shared" si="74"/>
        <v>62.989445081342637</v>
      </c>
      <c r="M66" s="68">
        <f t="shared" si="74"/>
        <v>55.061301418756862</v>
      </c>
      <c r="N66" s="68">
        <f t="shared" si="74"/>
        <v>50.464116902270746</v>
      </c>
      <c r="O66" s="68">
        <f t="shared" si="74"/>
        <v>46.339002814187282</v>
      </c>
      <c r="P66" s="68">
        <f t="shared" si="74"/>
        <v>41.337942889955478</v>
      </c>
      <c r="Q66" s="68">
        <f t="shared" si="74"/>
        <v>37.371556181194563</v>
      </c>
      <c r="R66" s="68">
        <f t="shared" si="74"/>
        <v>37.371556181194563</v>
      </c>
      <c r="S66" s="68">
        <f t="shared" si="74"/>
        <v>37.371556181194563</v>
      </c>
      <c r="T66" s="68">
        <f t="shared" si="74"/>
        <v>37.371556181194563</v>
      </c>
      <c r="U66" s="68">
        <f t="shared" si="74"/>
        <v>37.371556181194563</v>
      </c>
      <c r="V66" s="68">
        <f t="shared" si="74"/>
        <v>37.371556181194563</v>
      </c>
    </row>
    <row r="67" spans="1:22" x14ac:dyDescent="0.2">
      <c r="B67"/>
      <c r="C67"/>
      <c r="D67"/>
      <c r="E67"/>
      <c r="F67"/>
      <c r="G67"/>
      <c r="H67" s="409"/>
      <c r="I67"/>
    </row>
    <row r="68" spans="1:22" x14ac:dyDescent="0.2">
      <c r="A68" s="29">
        <v>1</v>
      </c>
      <c r="B68" s="334" t="str">
        <f t="shared" ref="B68:B87" si="75">_xlfn.TEXTJOIN(keydelim,TRUE,C68:G68)</f>
        <v>LSFO - Americas - Fuel cost total - USD/GJ</v>
      </c>
      <c r="C68" t="str">
        <f t="shared" ref="C68:C79" si="76">C26</f>
        <v>LSFO</v>
      </c>
      <c r="D68"/>
      <c r="E68" t="s">
        <v>199</v>
      </c>
      <c r="F68" t="str">
        <f t="shared" ref="F68:F87" si="77">"Fuel cost total"  &amp;keydelim &amp;I68</f>
        <v>Fuel cost total - USD/GJ</v>
      </c>
      <c r="G68" s="128"/>
      <c r="H68" s="409"/>
      <c r="I68" t="s">
        <v>324</v>
      </c>
      <c r="K68" s="68">
        <f>K177+K284</f>
        <v>21.473621920116738</v>
      </c>
      <c r="L68" s="68">
        <f t="shared" ref="L68:V68" si="78">L177+L284</f>
        <v>15.404989638344617</v>
      </c>
      <c r="M68" s="68">
        <f t="shared" si="78"/>
        <v>13.444354593464393</v>
      </c>
      <c r="N68" s="68">
        <f t="shared" si="78"/>
        <v>13.444354593464393</v>
      </c>
      <c r="O68" s="68">
        <f t="shared" si="78"/>
        <v>13.444354593464393</v>
      </c>
      <c r="P68" s="68">
        <f t="shared" si="78"/>
        <v>13.444354593464393</v>
      </c>
      <c r="Q68" s="68">
        <f t="shared" si="78"/>
        <v>13.444354593464393</v>
      </c>
      <c r="R68" s="68">
        <f t="shared" si="78"/>
        <v>13.444354593464393</v>
      </c>
      <c r="S68" s="68">
        <f t="shared" si="78"/>
        <v>13.444354593464393</v>
      </c>
      <c r="T68" s="68">
        <f t="shared" si="78"/>
        <v>13.444354593464393</v>
      </c>
      <c r="U68" s="68">
        <f t="shared" si="78"/>
        <v>13.444354593464393</v>
      </c>
      <c r="V68" s="68">
        <f t="shared" si="78"/>
        <v>13.444354593464393</v>
      </c>
    </row>
    <row r="69" spans="1:22" x14ac:dyDescent="0.2">
      <c r="A69" s="29">
        <f>A68+1</f>
        <v>2</v>
      </c>
      <c r="B69" s="334" t="str">
        <f t="shared" si="75"/>
        <v>LNG - Americas - Fuel cost total - USD/GJ</v>
      </c>
      <c r="C69" t="str">
        <f t="shared" si="76"/>
        <v>LNG</v>
      </c>
      <c r="D69"/>
      <c r="E69" t="str">
        <f t="shared" ref="E69:E78" si="79">E68</f>
        <v>Americas</v>
      </c>
      <c r="F69" t="str">
        <f t="shared" si="77"/>
        <v>Fuel cost total - USD/GJ</v>
      </c>
      <c r="G69" s="128"/>
      <c r="H69" s="409"/>
      <c r="I69" t="s">
        <v>324</v>
      </c>
      <c r="K69" s="68">
        <f t="shared" ref="K69:V69" si="80">K178+K285</f>
        <v>12.873442687834986</v>
      </c>
      <c r="L69" s="68">
        <f t="shared" si="80"/>
        <v>10.226469551918509</v>
      </c>
      <c r="M69" s="68">
        <f t="shared" si="80"/>
        <v>9.8401313848846801</v>
      </c>
      <c r="N69" s="68">
        <f t="shared" si="80"/>
        <v>10.33170589513348</v>
      </c>
      <c r="O69" s="68">
        <f t="shared" si="80"/>
        <v>10.207909339206351</v>
      </c>
      <c r="P69" s="68">
        <f t="shared" si="80"/>
        <v>10.105262718802512</v>
      </c>
      <c r="Q69" s="68">
        <f t="shared" si="80"/>
        <v>10.007856661887102</v>
      </c>
      <c r="R69" s="68">
        <f t="shared" si="80"/>
        <v>10.007856661887102</v>
      </c>
      <c r="S69" s="68">
        <f t="shared" si="80"/>
        <v>10.007856661887102</v>
      </c>
      <c r="T69" s="68">
        <f t="shared" si="80"/>
        <v>10.007856661887102</v>
      </c>
      <c r="U69" s="68">
        <f t="shared" si="80"/>
        <v>10.007856661887102</v>
      </c>
      <c r="V69" s="68">
        <f t="shared" si="80"/>
        <v>10.007856661887102</v>
      </c>
    </row>
    <row r="70" spans="1:22" x14ac:dyDescent="0.2">
      <c r="A70" s="29">
        <f t="shared" ref="A70:A87" si="81">A69+1</f>
        <v>3</v>
      </c>
      <c r="B70" s="334" t="str">
        <f t="shared" si="75"/>
        <v>LPG - Americas - Fuel cost total - USD/GJ</v>
      </c>
      <c r="C70" t="str">
        <f t="shared" si="76"/>
        <v>LPG</v>
      </c>
      <c r="D70"/>
      <c r="E70" t="str">
        <f t="shared" si="79"/>
        <v>Americas</v>
      </c>
      <c r="F70" t="str">
        <f t="shared" si="77"/>
        <v>Fuel cost total - USD/GJ</v>
      </c>
      <c r="G70" s="128"/>
      <c r="H70" s="409"/>
      <c r="I70" t="s">
        <v>324</v>
      </c>
      <c r="K70" s="68">
        <f t="shared" ref="K70:V70" si="82">K179+K286</f>
        <v>16.525069073439496</v>
      </c>
      <c r="L70" s="68">
        <f t="shared" si="82"/>
        <v>11.854940857032684</v>
      </c>
      <c r="M70" s="68">
        <f t="shared" si="82"/>
        <v>10.34613020250125</v>
      </c>
      <c r="N70" s="68">
        <f t="shared" si="82"/>
        <v>10.34613020250125</v>
      </c>
      <c r="O70" s="68">
        <f t="shared" si="82"/>
        <v>10.34613020250125</v>
      </c>
      <c r="P70" s="68">
        <f t="shared" si="82"/>
        <v>10.34613020250125</v>
      </c>
      <c r="Q70" s="68">
        <f t="shared" si="82"/>
        <v>10.34613020250125</v>
      </c>
      <c r="R70" s="68">
        <f t="shared" si="82"/>
        <v>10.34613020250125</v>
      </c>
      <c r="S70" s="68">
        <f t="shared" si="82"/>
        <v>10.34613020250125</v>
      </c>
      <c r="T70" s="68">
        <f t="shared" si="82"/>
        <v>10.34613020250125</v>
      </c>
      <c r="U70" s="68">
        <f t="shared" si="82"/>
        <v>10.34613020250125</v>
      </c>
      <c r="V70" s="68">
        <f t="shared" si="82"/>
        <v>10.34613020250125</v>
      </c>
    </row>
    <row r="71" spans="1:22" x14ac:dyDescent="0.2">
      <c r="A71" s="29">
        <f t="shared" si="81"/>
        <v>4</v>
      </c>
      <c r="B71" s="334" t="str">
        <f t="shared" si="75"/>
        <v>Electricity - Americas - Fuel cost total - USD/GJ</v>
      </c>
      <c r="C71" t="str">
        <f t="shared" si="76"/>
        <v>Electricity</v>
      </c>
      <c r="D71"/>
      <c r="E71" t="str">
        <f t="shared" si="79"/>
        <v>Americas</v>
      </c>
      <c r="F71" t="str">
        <f t="shared" si="77"/>
        <v>Fuel cost total - USD/GJ</v>
      </c>
      <c r="G71" s="128"/>
      <c r="H71" s="409"/>
      <c r="I71" t="s">
        <v>324</v>
      </c>
      <c r="K71" s="68">
        <f t="shared" ref="K71:V71" si="83">K180+K287</f>
        <v>29.606610279860774</v>
      </c>
      <c r="L71" s="68">
        <f t="shared" si="83"/>
        <v>28.551415296812699</v>
      </c>
      <c r="M71" s="68">
        <f t="shared" si="83"/>
        <v>26.767721424929555</v>
      </c>
      <c r="N71" s="68">
        <f t="shared" si="83"/>
        <v>25.909365109613198</v>
      </c>
      <c r="O71" s="68">
        <f t="shared" si="83"/>
        <v>25.213560366782488</v>
      </c>
      <c r="P71" s="68">
        <f t="shared" si="83"/>
        <v>24.933242781797102</v>
      </c>
      <c r="Q71" s="68">
        <f t="shared" si="83"/>
        <v>24.721763004952003</v>
      </c>
      <c r="R71" s="68">
        <f t="shared" si="83"/>
        <v>24.721763004952003</v>
      </c>
      <c r="S71" s="68">
        <f t="shared" si="83"/>
        <v>24.721763004952003</v>
      </c>
      <c r="T71" s="68">
        <f t="shared" si="83"/>
        <v>24.721763004952003</v>
      </c>
      <c r="U71" s="68">
        <f t="shared" si="83"/>
        <v>24.721763004952003</v>
      </c>
      <c r="V71" s="68">
        <f t="shared" si="83"/>
        <v>24.721763004952003</v>
      </c>
    </row>
    <row r="72" spans="1:22" x14ac:dyDescent="0.2">
      <c r="A72" s="29">
        <f t="shared" si="81"/>
        <v>5</v>
      </c>
      <c r="B72" s="334" t="str">
        <f t="shared" si="75"/>
        <v>e-Ammonia - Americas - Fuel cost total - USD/GJ</v>
      </c>
      <c r="C72" t="str">
        <f t="shared" si="76"/>
        <v>e-Ammonia</v>
      </c>
      <c r="D72"/>
      <c r="E72" t="str">
        <f t="shared" si="79"/>
        <v>Americas</v>
      </c>
      <c r="F72" t="str">
        <f t="shared" si="77"/>
        <v>Fuel cost total - USD/GJ</v>
      </c>
      <c r="G72" s="226"/>
      <c r="H72" s="409"/>
      <c r="I72" t="s">
        <v>324</v>
      </c>
      <c r="K72" s="68">
        <f t="shared" ref="K72:V72" si="84">K181+K288</f>
        <v>61.817909586374178</v>
      </c>
      <c r="L72" s="68">
        <f t="shared" si="84"/>
        <v>48.179989524372552</v>
      </c>
      <c r="M72" s="68">
        <f t="shared" si="84"/>
        <v>33.632608474306316</v>
      </c>
      <c r="N72" s="68">
        <f t="shared" si="84"/>
        <v>30.972118104892825</v>
      </c>
      <c r="O72" s="68">
        <f t="shared" si="84"/>
        <v>27.102827113433456</v>
      </c>
      <c r="P72" s="68">
        <f t="shared" si="84"/>
        <v>23.068770554708113</v>
      </c>
      <c r="Q72" s="68">
        <f t="shared" si="84"/>
        <v>19.088795787215808</v>
      </c>
      <c r="R72" s="68">
        <f t="shared" si="84"/>
        <v>19.088795787215808</v>
      </c>
      <c r="S72" s="68">
        <f t="shared" si="84"/>
        <v>19.088795787215808</v>
      </c>
      <c r="T72" s="68">
        <f t="shared" si="84"/>
        <v>19.088795787215808</v>
      </c>
      <c r="U72" s="68">
        <f t="shared" si="84"/>
        <v>19.088795787215808</v>
      </c>
      <c r="V72" s="68">
        <f t="shared" si="84"/>
        <v>19.088795787215808</v>
      </c>
    </row>
    <row r="73" spans="1:22" x14ac:dyDescent="0.2">
      <c r="A73" s="29">
        <f t="shared" si="81"/>
        <v>6</v>
      </c>
      <c r="B73" s="334" t="str">
        <f t="shared" si="75"/>
        <v>Blue ammonia - Americas - Fuel cost total - USD/GJ</v>
      </c>
      <c r="C73" t="str">
        <f t="shared" si="76"/>
        <v>Blue ammonia</v>
      </c>
      <c r="D73"/>
      <c r="E73" t="str">
        <f t="shared" si="79"/>
        <v>Americas</v>
      </c>
      <c r="F73" t="str">
        <f t="shared" si="77"/>
        <v>Fuel cost total - USD/GJ</v>
      </c>
      <c r="G73" s="226"/>
      <c r="H73" s="409"/>
      <c r="I73" t="s">
        <v>324</v>
      </c>
      <c r="K73" s="68">
        <f t="shared" ref="K73:V73" si="85">K182+K289</f>
        <v>31.832016165493137</v>
      </c>
      <c r="L73" s="68">
        <f t="shared" si="85"/>
        <v>26.228216208408899</v>
      </c>
      <c r="M73" s="68">
        <f t="shared" si="85"/>
        <v>24.343485032630539</v>
      </c>
      <c r="N73" s="68">
        <f t="shared" si="85"/>
        <v>24.933138640582158</v>
      </c>
      <c r="O73" s="68">
        <f t="shared" si="85"/>
        <v>24.507230530708025</v>
      </c>
      <c r="P73" s="68">
        <f t="shared" si="85"/>
        <v>24.095929836484558</v>
      </c>
      <c r="Q73" s="68">
        <f t="shared" si="85"/>
        <v>23.687049295223705</v>
      </c>
      <c r="R73" s="68">
        <f t="shared" si="85"/>
        <v>23.687049295223705</v>
      </c>
      <c r="S73" s="68">
        <f t="shared" si="85"/>
        <v>23.687049295223705</v>
      </c>
      <c r="T73" s="68">
        <f t="shared" si="85"/>
        <v>23.687049295223705</v>
      </c>
      <c r="U73" s="68">
        <f t="shared" si="85"/>
        <v>23.687049295223705</v>
      </c>
      <c r="V73" s="68">
        <f t="shared" si="85"/>
        <v>23.687049295223705</v>
      </c>
    </row>
    <row r="74" spans="1:22" x14ac:dyDescent="0.2">
      <c r="A74" s="29">
        <f t="shared" si="81"/>
        <v>7</v>
      </c>
      <c r="B74" s="334" t="str">
        <f t="shared" si="75"/>
        <v>Biomethane - Americas - Fuel cost total - USD/GJ</v>
      </c>
      <c r="C74" t="str">
        <f t="shared" si="76"/>
        <v>Biomethane</v>
      </c>
      <c r="D74"/>
      <c r="E74" t="str">
        <f t="shared" si="79"/>
        <v>Americas</v>
      </c>
      <c r="F74" t="str">
        <f t="shared" si="77"/>
        <v>Fuel cost total - USD/GJ</v>
      </c>
      <c r="G74"/>
      <c r="H74" s="409"/>
      <c r="I74" t="s">
        <v>324</v>
      </c>
      <c r="K74" s="68">
        <f t="shared" ref="K74:V74" si="86">K183+K290</f>
        <v>24.992339455379884</v>
      </c>
      <c r="L74" s="68">
        <f t="shared" si="86"/>
        <v>23.582557232901461</v>
      </c>
      <c r="M74" s="68">
        <f t="shared" si="86"/>
        <v>22.175076298046879</v>
      </c>
      <c r="N74" s="68">
        <f t="shared" si="86"/>
        <v>20.861120131229672</v>
      </c>
      <c r="O74" s="68">
        <f t="shared" si="86"/>
        <v>19.54844982518977</v>
      </c>
      <c r="P74" s="68">
        <f t="shared" si="86"/>
        <v>18.272254930900708</v>
      </c>
      <c r="Q74" s="68">
        <f t="shared" si="86"/>
        <v>17.001910606521193</v>
      </c>
      <c r="R74" s="68">
        <f t="shared" si="86"/>
        <v>17.001910606521193</v>
      </c>
      <c r="S74" s="68">
        <f t="shared" si="86"/>
        <v>17.001910606521193</v>
      </c>
      <c r="T74" s="68">
        <f t="shared" si="86"/>
        <v>17.001910606521193</v>
      </c>
      <c r="U74" s="68">
        <f t="shared" si="86"/>
        <v>17.001910606521193</v>
      </c>
      <c r="V74" s="68">
        <f t="shared" si="86"/>
        <v>17.001910606521193</v>
      </c>
    </row>
    <row r="75" spans="1:22" x14ac:dyDescent="0.2">
      <c r="A75" s="29">
        <f t="shared" si="81"/>
        <v>8</v>
      </c>
      <c r="B75" s="334" t="str">
        <f t="shared" si="75"/>
        <v>e-Methane (DAC) - Americas - Fuel cost total - USD/GJ</v>
      </c>
      <c r="C75" t="str">
        <f t="shared" si="76"/>
        <v>e-Methane (DAC)</v>
      </c>
      <c r="D75"/>
      <c r="E75" t="str">
        <f t="shared" si="79"/>
        <v>Americas</v>
      </c>
      <c r="F75" t="str">
        <f t="shared" si="77"/>
        <v>Fuel cost total - USD/GJ</v>
      </c>
      <c r="G75" s="226"/>
      <c r="H75" s="409"/>
      <c r="I75" t="s">
        <v>324</v>
      </c>
      <c r="K75" s="68">
        <f t="shared" ref="K75:V75" si="87">K184+K291</f>
        <v>65.194182108480746</v>
      </c>
      <c r="L75" s="68">
        <f t="shared" si="87"/>
        <v>56.069541588176328</v>
      </c>
      <c r="M75" s="68">
        <f t="shared" si="87"/>
        <v>46.52257014451029</v>
      </c>
      <c r="N75" s="68">
        <f t="shared" si="87"/>
        <v>42.041177567381588</v>
      </c>
      <c r="O75" s="68">
        <f t="shared" si="87"/>
        <v>36.605576152299939</v>
      </c>
      <c r="P75" s="68">
        <f t="shared" si="87"/>
        <v>31.122280955594817</v>
      </c>
      <c r="Q75" s="68">
        <f t="shared" si="87"/>
        <v>25.852918748237371</v>
      </c>
      <c r="R75" s="68">
        <f t="shared" si="87"/>
        <v>25.852918748237371</v>
      </c>
      <c r="S75" s="68">
        <f t="shared" si="87"/>
        <v>25.852918748237371</v>
      </c>
      <c r="T75" s="68">
        <f t="shared" si="87"/>
        <v>25.852918748237371</v>
      </c>
      <c r="U75" s="68">
        <f t="shared" si="87"/>
        <v>25.852918748237371</v>
      </c>
      <c r="V75" s="68">
        <f t="shared" si="87"/>
        <v>25.852918748237371</v>
      </c>
    </row>
    <row r="76" spans="1:22" x14ac:dyDescent="0.2">
      <c r="A76" s="29">
        <f t="shared" si="81"/>
        <v>9</v>
      </c>
      <c r="B76" s="334" t="str">
        <f t="shared" si="75"/>
        <v>e-Methane (PS) - Americas - Fuel cost total - USD/GJ</v>
      </c>
      <c r="C76" t="str">
        <f t="shared" si="76"/>
        <v>e-Methane (PS)</v>
      </c>
      <c r="D76"/>
      <c r="E76" t="str">
        <f t="shared" si="79"/>
        <v>Americas</v>
      </c>
      <c r="F76" t="str">
        <f t="shared" si="77"/>
        <v>Fuel cost total - USD/GJ</v>
      </c>
      <c r="G76" s="226"/>
      <c r="H76" s="409"/>
      <c r="I76" t="s">
        <v>324</v>
      </c>
      <c r="K76" s="68">
        <f t="shared" ref="K76:V76" si="88">K185+K292</f>
        <v>60.596518380440408</v>
      </c>
      <c r="L76" s="68">
        <f t="shared" si="88"/>
        <v>52.227707408625982</v>
      </c>
      <c r="M76" s="68">
        <f t="shared" si="88"/>
        <v>43.395331733809968</v>
      </c>
      <c r="N76" s="68">
        <f t="shared" si="88"/>
        <v>39.848340998833805</v>
      </c>
      <c r="O76" s="68">
        <f t="shared" si="88"/>
        <v>35.053102689279079</v>
      </c>
      <c r="P76" s="68">
        <f t="shared" si="88"/>
        <v>29.883279582443826</v>
      </c>
      <c r="Q76" s="68">
        <f t="shared" si="88"/>
        <v>24.777104546978485</v>
      </c>
      <c r="R76" s="68">
        <f t="shared" si="88"/>
        <v>24.777104546978485</v>
      </c>
      <c r="S76" s="68">
        <f t="shared" si="88"/>
        <v>24.777104546978485</v>
      </c>
      <c r="T76" s="68">
        <f t="shared" si="88"/>
        <v>24.777104546978485</v>
      </c>
      <c r="U76" s="68">
        <f t="shared" si="88"/>
        <v>24.777104546978485</v>
      </c>
      <c r="V76" s="68">
        <f t="shared" si="88"/>
        <v>24.777104546978485</v>
      </c>
    </row>
    <row r="77" spans="1:22" x14ac:dyDescent="0.2">
      <c r="A77" s="29">
        <f t="shared" si="81"/>
        <v>10</v>
      </c>
      <c r="B77" s="334" t="str">
        <f t="shared" si="75"/>
        <v>Biomethanol - Americas - Fuel cost total - USD/GJ</v>
      </c>
      <c r="C77" t="str">
        <f t="shared" si="76"/>
        <v>Biomethanol</v>
      </c>
      <c r="D77"/>
      <c r="E77" t="str">
        <f t="shared" si="79"/>
        <v>Americas</v>
      </c>
      <c r="F77" t="str">
        <f t="shared" si="77"/>
        <v>Fuel cost total - USD/GJ</v>
      </c>
      <c r="G77"/>
      <c r="H77" s="409"/>
      <c r="I77" t="s">
        <v>324</v>
      </c>
      <c r="K77" s="68">
        <f t="shared" ref="K77:V77" si="89">K186+K293</f>
        <v>50.413146644858799</v>
      </c>
      <c r="L77" s="68">
        <f t="shared" si="89"/>
        <v>35.64803481433929</v>
      </c>
      <c r="M77" s="68">
        <f t="shared" si="89"/>
        <v>30.189439381861785</v>
      </c>
      <c r="N77" s="68">
        <f t="shared" si="89"/>
        <v>27.926554707652151</v>
      </c>
      <c r="O77" s="68">
        <f t="shared" si="89"/>
        <v>25.67950630101631</v>
      </c>
      <c r="P77" s="68">
        <f t="shared" si="89"/>
        <v>24.464470128207164</v>
      </c>
      <c r="Q77" s="68">
        <f t="shared" si="89"/>
        <v>23.195249772405049</v>
      </c>
      <c r="R77" s="68">
        <f t="shared" si="89"/>
        <v>23.195249772405049</v>
      </c>
      <c r="S77" s="68">
        <f t="shared" si="89"/>
        <v>23.195249772405049</v>
      </c>
      <c r="T77" s="68">
        <f t="shared" si="89"/>
        <v>23.195249772405049</v>
      </c>
      <c r="U77" s="68">
        <f t="shared" si="89"/>
        <v>23.195249772405049</v>
      </c>
      <c r="V77" s="68">
        <f t="shared" si="89"/>
        <v>23.195249772405049</v>
      </c>
    </row>
    <row r="78" spans="1:22" x14ac:dyDescent="0.2">
      <c r="A78" s="29">
        <f t="shared" si="81"/>
        <v>11</v>
      </c>
      <c r="B78" s="334" t="str">
        <f t="shared" si="75"/>
        <v>e-Methanol (DAC) - Americas - Fuel cost total - USD/GJ</v>
      </c>
      <c r="C78" t="str">
        <f t="shared" si="76"/>
        <v>e-Methanol (DAC)</v>
      </c>
      <c r="D78"/>
      <c r="E78" t="str">
        <f t="shared" si="79"/>
        <v>Americas</v>
      </c>
      <c r="F78" t="str">
        <f t="shared" si="77"/>
        <v>Fuel cost total - USD/GJ</v>
      </c>
      <c r="G78"/>
      <c r="H78" s="409"/>
      <c r="I78" t="s">
        <v>324</v>
      </c>
      <c r="K78" s="68">
        <f t="shared" ref="K78:V78" si="90">K187+K294</f>
        <v>81.049766122169189</v>
      </c>
      <c r="L78" s="68">
        <f t="shared" si="90"/>
        <v>68.359421501546706</v>
      </c>
      <c r="M78" s="68">
        <f t="shared" si="90"/>
        <v>54.574405060599268</v>
      </c>
      <c r="N78" s="68">
        <f t="shared" si="90"/>
        <v>48.578325681956656</v>
      </c>
      <c r="O78" s="68">
        <f t="shared" si="90"/>
        <v>41.809411640818183</v>
      </c>
      <c r="P78" s="68">
        <f t="shared" si="90"/>
        <v>34.944867513462974</v>
      </c>
      <c r="Q78" s="68">
        <f t="shared" si="90"/>
        <v>28.34615266609427</v>
      </c>
      <c r="R78" s="68">
        <f t="shared" si="90"/>
        <v>28.34615266609427</v>
      </c>
      <c r="S78" s="68">
        <f t="shared" si="90"/>
        <v>28.34615266609427</v>
      </c>
      <c r="T78" s="68">
        <f t="shared" si="90"/>
        <v>28.34615266609427</v>
      </c>
      <c r="U78" s="68">
        <f t="shared" si="90"/>
        <v>28.34615266609427</v>
      </c>
      <c r="V78" s="68">
        <f t="shared" si="90"/>
        <v>28.34615266609427</v>
      </c>
    </row>
    <row r="79" spans="1:22" x14ac:dyDescent="0.2">
      <c r="A79" s="29">
        <f t="shared" si="81"/>
        <v>12</v>
      </c>
      <c r="B79" s="334" t="str">
        <f t="shared" si="75"/>
        <v>e-Methanol (PS) - Americas - Fuel cost total - USD/GJ</v>
      </c>
      <c r="C79" t="str">
        <f t="shared" si="76"/>
        <v>e-Methanol (PS)</v>
      </c>
      <c r="D79"/>
      <c r="E79" t="str">
        <f>E78</f>
        <v>Americas</v>
      </c>
      <c r="F79" t="str">
        <f t="shared" si="77"/>
        <v>Fuel cost total - USD/GJ</v>
      </c>
      <c r="G79"/>
      <c r="H79" s="409"/>
      <c r="I79" t="s">
        <v>324</v>
      </c>
      <c r="K79" s="68">
        <f t="shared" ref="K79:V79" si="91">K188+K295</f>
        <v>75.26623565499473</v>
      </c>
      <c r="L79" s="68">
        <f t="shared" si="91"/>
        <v>63.526670273624227</v>
      </c>
      <c r="M79" s="68">
        <f t="shared" si="91"/>
        <v>50.640563941228727</v>
      </c>
      <c r="N79" s="68">
        <f t="shared" si="91"/>
        <v>45.81989491061011</v>
      </c>
      <c r="O79" s="68">
        <f t="shared" si="91"/>
        <v>39.856511623772349</v>
      </c>
      <c r="P79" s="68">
        <f t="shared" si="91"/>
        <v>33.38629285155659</v>
      </c>
      <c r="Q79" s="68">
        <f t="shared" si="91"/>
        <v>26.992855735730963</v>
      </c>
      <c r="R79" s="68">
        <f t="shared" si="91"/>
        <v>26.992855735730963</v>
      </c>
      <c r="S79" s="68">
        <f t="shared" si="91"/>
        <v>26.992855735730963</v>
      </c>
      <c r="T79" s="68">
        <f t="shared" si="91"/>
        <v>26.992855735730963</v>
      </c>
      <c r="U79" s="68">
        <f t="shared" si="91"/>
        <v>26.992855735730963</v>
      </c>
      <c r="V79" s="68">
        <f t="shared" si="91"/>
        <v>26.992855735730963</v>
      </c>
    </row>
    <row r="80" spans="1:22" x14ac:dyDescent="0.2">
      <c r="A80" s="29">
        <f t="shared" si="81"/>
        <v>13</v>
      </c>
      <c r="B80" s="334" t="str">
        <f t="shared" si="75"/>
        <v>Biodiesel (HtL) - Americas - Fuel cost total - USD/GJ</v>
      </c>
      <c r="C80" t="str" cm="1">
        <f t="array" ref="C80">INDEX(list_AE_fuel,A80)</f>
        <v>Biodiesel (HtL)</v>
      </c>
      <c r="D80"/>
      <c r="E80" t="str">
        <f>E79</f>
        <v>Americas</v>
      </c>
      <c r="F80" t="str">
        <f t="shared" si="77"/>
        <v>Fuel cost total - USD/GJ</v>
      </c>
      <c r="G80"/>
      <c r="H80" s="409"/>
      <c r="I80" t="s">
        <v>324</v>
      </c>
      <c r="K80" s="68">
        <f t="shared" ref="K80:V80" si="92">K189+K296</f>
        <v>153.39459156703819</v>
      </c>
      <c r="L80" s="68">
        <f t="shared" si="92"/>
        <v>50.321861070478889</v>
      </c>
      <c r="M80" s="68">
        <f t="shared" si="92"/>
        <v>22.987766650574166</v>
      </c>
      <c r="N80" s="68">
        <f t="shared" si="92"/>
        <v>22.740020369429736</v>
      </c>
      <c r="O80" s="68">
        <f t="shared" si="92"/>
        <v>22.323315429814144</v>
      </c>
      <c r="P80" s="68">
        <f t="shared" si="92"/>
        <v>21.865211242877635</v>
      </c>
      <c r="Q80" s="68">
        <f t="shared" si="92"/>
        <v>21.034263448343211</v>
      </c>
      <c r="R80" s="68">
        <f t="shared" si="92"/>
        <v>21.034263448343211</v>
      </c>
      <c r="S80" s="68">
        <f t="shared" si="92"/>
        <v>21.034263448343211</v>
      </c>
      <c r="T80" s="68">
        <f t="shared" si="92"/>
        <v>21.034263448343211</v>
      </c>
      <c r="U80" s="68">
        <f t="shared" si="92"/>
        <v>21.034263448343211</v>
      </c>
      <c r="V80" s="68">
        <f t="shared" si="92"/>
        <v>21.034263448343211</v>
      </c>
    </row>
    <row r="81" spans="1:22" x14ac:dyDescent="0.2">
      <c r="A81" s="29">
        <f t="shared" si="81"/>
        <v>14</v>
      </c>
      <c r="B81" s="334" t="str">
        <f t="shared" si="75"/>
        <v>Biodiesel (Pyr) - Americas - Fuel cost total - USD/GJ</v>
      </c>
      <c r="C81" t="str" cm="1">
        <f t="array" ref="C81">INDEX(list_AE_fuel,A81)</f>
        <v>Biodiesel (Pyr)</v>
      </c>
      <c r="D81"/>
      <c r="E81" t="str">
        <f>E80</f>
        <v>Americas</v>
      </c>
      <c r="F81" t="str">
        <f t="shared" si="77"/>
        <v>Fuel cost total - USD/GJ</v>
      </c>
      <c r="G81"/>
      <c r="H81" s="409"/>
      <c r="I81" t="s">
        <v>324</v>
      </c>
      <c r="K81" s="68">
        <f t="shared" ref="K81:V81" si="93">K190+K297</f>
        <v>48.934808962777126</v>
      </c>
      <c r="L81" s="68">
        <f t="shared" si="93"/>
        <v>34.38444089360484</v>
      </c>
      <c r="M81" s="68">
        <f t="shared" si="93"/>
        <v>20.914743616313462</v>
      </c>
      <c r="N81" s="68">
        <f t="shared" si="93"/>
        <v>21.65157697613958</v>
      </c>
      <c r="O81" s="68">
        <f t="shared" si="93"/>
        <v>21.631212679571671</v>
      </c>
      <c r="P81" s="68">
        <f t="shared" si="93"/>
        <v>21.526554618708289</v>
      </c>
      <c r="Q81" s="68">
        <f t="shared" si="93"/>
        <v>20.600437504046997</v>
      </c>
      <c r="R81" s="68">
        <f t="shared" si="93"/>
        <v>20.600437504046997</v>
      </c>
      <c r="S81" s="68">
        <f t="shared" si="93"/>
        <v>20.600437504046997</v>
      </c>
      <c r="T81" s="68">
        <f t="shared" si="93"/>
        <v>20.600437504046997</v>
      </c>
      <c r="U81" s="68">
        <f t="shared" si="93"/>
        <v>20.600437504046997</v>
      </c>
      <c r="V81" s="68">
        <f t="shared" si="93"/>
        <v>20.600437504046997</v>
      </c>
    </row>
    <row r="82" spans="1:22" x14ac:dyDescent="0.2">
      <c r="A82" s="29">
        <f t="shared" si="81"/>
        <v>15</v>
      </c>
      <c r="B82" s="334" t="str">
        <f t="shared" si="75"/>
        <v>e-Diesel (DAC) - Americas - Fuel cost total - USD/GJ</v>
      </c>
      <c r="C82" t="str" cm="1">
        <f t="array" ref="C82">INDEX(list_AE_fuel,A82)</f>
        <v>e-Diesel (DAC)</v>
      </c>
      <c r="D82"/>
      <c r="E82" t="str">
        <f>E81</f>
        <v>Americas</v>
      </c>
      <c r="F82" t="str">
        <f t="shared" si="77"/>
        <v>Fuel cost total - USD/GJ</v>
      </c>
      <c r="G82"/>
      <c r="H82" s="409"/>
      <c r="I82" t="s">
        <v>324</v>
      </c>
      <c r="K82" s="68">
        <f t="shared" ref="K82:V82" si="94">K191+K298</f>
        <v>94.223332493808755</v>
      </c>
      <c r="L82" s="68">
        <f t="shared" si="94"/>
        <v>78.737762143132883</v>
      </c>
      <c r="M82" s="68">
        <f t="shared" si="94"/>
        <v>62.97671748914896</v>
      </c>
      <c r="N82" s="68">
        <f t="shared" si="94"/>
        <v>56.794019715184362</v>
      </c>
      <c r="O82" s="68">
        <f t="shared" si="94"/>
        <v>49.674292291198235</v>
      </c>
      <c r="P82" s="68">
        <f t="shared" si="94"/>
        <v>40.803685055575158</v>
      </c>
      <c r="Q82" s="68">
        <f t="shared" si="94"/>
        <v>32.540910018419332</v>
      </c>
      <c r="R82" s="68">
        <f t="shared" si="94"/>
        <v>32.540910018419332</v>
      </c>
      <c r="S82" s="68">
        <f t="shared" si="94"/>
        <v>32.540910018419332</v>
      </c>
      <c r="T82" s="68">
        <f t="shared" si="94"/>
        <v>32.540910018419332</v>
      </c>
      <c r="U82" s="68">
        <f t="shared" si="94"/>
        <v>32.540910018419332</v>
      </c>
      <c r="V82" s="68">
        <f t="shared" si="94"/>
        <v>32.540910018419332</v>
      </c>
    </row>
    <row r="83" spans="1:22" x14ac:dyDescent="0.2">
      <c r="A83" s="29">
        <f t="shared" si="81"/>
        <v>16</v>
      </c>
      <c r="B83" s="334" t="str">
        <f t="shared" si="75"/>
        <v>e-Diesel (PS) - Americas - Fuel cost total - USD/GJ</v>
      </c>
      <c r="C83" t="str" cm="1">
        <f t="array" ref="C83">INDEX(list_AE_fuel,A83)</f>
        <v>e-Diesel (PS)</v>
      </c>
      <c r="D83"/>
      <c r="E83" t="str">
        <f>E82</f>
        <v>Americas</v>
      </c>
      <c r="F83" t="str">
        <f t="shared" si="77"/>
        <v>Fuel cost total - USD/GJ</v>
      </c>
      <c r="G83"/>
      <c r="H83" s="409"/>
      <c r="I83" t="s">
        <v>324</v>
      </c>
      <c r="K83" s="68">
        <f t="shared" ref="K83:V83" si="95">K192+K299</f>
        <v>87.394197139011894</v>
      </c>
      <c r="L83" s="68">
        <f t="shared" si="95"/>
        <v>73.031297474387529</v>
      </c>
      <c r="M83" s="68">
        <f t="shared" si="95"/>
        <v>58.33167695189875</v>
      </c>
      <c r="N83" s="68">
        <f t="shared" si="95"/>
        <v>53.536892047010184</v>
      </c>
      <c r="O83" s="68">
        <f t="shared" si="95"/>
        <v>47.368327340121098</v>
      </c>
      <c r="P83" s="68">
        <f t="shared" si="95"/>
        <v>38.963335568851448</v>
      </c>
      <c r="Q83" s="68">
        <f t="shared" si="95"/>
        <v>30.942950439035073</v>
      </c>
      <c r="R83" s="68">
        <f t="shared" si="95"/>
        <v>30.942950439035073</v>
      </c>
      <c r="S83" s="68">
        <f t="shared" si="95"/>
        <v>30.942950439035073</v>
      </c>
      <c r="T83" s="68">
        <f t="shared" si="95"/>
        <v>30.942950439035073</v>
      </c>
      <c r="U83" s="68">
        <f t="shared" si="95"/>
        <v>30.942950439035073</v>
      </c>
      <c r="V83" s="68">
        <f t="shared" si="95"/>
        <v>30.942950439035073</v>
      </c>
    </row>
    <row r="84" spans="1:22" x14ac:dyDescent="0.2">
      <c r="A84" s="29">
        <f t="shared" si="81"/>
        <v>17</v>
      </c>
      <c r="B84" s="334" t="str">
        <f t="shared" si="75"/>
        <v>Biodiesel (HtL blend) - Americas - Fuel cost total - USD/GJ</v>
      </c>
      <c r="C84" t="str" cm="1">
        <f t="array" ref="C84">INDEX(list_AE_fuel,A84)</f>
        <v>Biodiesel (HtL blend)</v>
      </c>
      <c r="D84"/>
      <c r="E84" t="str">
        <f>E80</f>
        <v>Americas</v>
      </c>
      <c r="F84" t="str">
        <f t="shared" si="77"/>
        <v>Fuel cost total - USD/GJ</v>
      </c>
      <c r="G84"/>
      <c r="H84" s="409"/>
      <c r="I84" t="s">
        <v>324</v>
      </c>
      <c r="K84" s="68">
        <f t="shared" ref="K84:V84" si="96">K193+K300</f>
        <v>39.362591759164751</v>
      </c>
      <c r="L84" s="68">
        <f t="shared" si="96"/>
        <v>26.195648583254943</v>
      </c>
      <c r="M84" s="68">
        <f t="shared" si="96"/>
        <v>15.657072613212451</v>
      </c>
      <c r="N84" s="68">
        <f t="shared" si="96"/>
        <v>15.289509249296463</v>
      </c>
      <c r="O84" s="68">
        <f t="shared" si="96"/>
        <v>15.129344877992319</v>
      </c>
      <c r="P84" s="68">
        <f t="shared" si="96"/>
        <v>14.99365252582653</v>
      </c>
      <c r="Q84" s="68">
        <f t="shared" si="96"/>
        <v>14.844608646947602</v>
      </c>
      <c r="R84" s="68">
        <f t="shared" si="96"/>
        <v>14.844608646947602</v>
      </c>
      <c r="S84" s="68">
        <f t="shared" si="96"/>
        <v>14.844608646947602</v>
      </c>
      <c r="T84" s="68">
        <f t="shared" si="96"/>
        <v>14.844608646947602</v>
      </c>
      <c r="U84" s="68">
        <f t="shared" si="96"/>
        <v>14.844608646947602</v>
      </c>
      <c r="V84" s="68">
        <f t="shared" si="96"/>
        <v>14.844608646947602</v>
      </c>
    </row>
    <row r="85" spans="1:22" x14ac:dyDescent="0.2">
      <c r="A85" s="29">
        <f t="shared" si="81"/>
        <v>18</v>
      </c>
      <c r="B85" s="334" t="str">
        <f t="shared" si="75"/>
        <v>Biodiesel (Pyr blend) - Americas - Fuel cost total - USD/GJ</v>
      </c>
      <c r="C85" t="str" cm="1">
        <f t="array" ref="C85">INDEX(list_AE_fuel,A85)</f>
        <v>Biodiesel (Pyr blend)</v>
      </c>
      <c r="D85"/>
      <c r="E85" t="str">
        <f>E81</f>
        <v>Americas</v>
      </c>
      <c r="F85" t="str">
        <f t="shared" si="77"/>
        <v>Fuel cost total - USD/GJ</v>
      </c>
      <c r="G85"/>
      <c r="H85" s="409"/>
      <c r="I85" t="s">
        <v>324</v>
      </c>
      <c r="K85" s="68">
        <f t="shared" ref="K85:V85" si="97">K194+K301</f>
        <v>24.305757337653841</v>
      </c>
      <c r="L85" s="68">
        <f t="shared" si="97"/>
        <v>17.339300839682259</v>
      </c>
      <c r="M85" s="68">
        <f t="shared" si="97"/>
        <v>13.844331887075223</v>
      </c>
      <c r="N85" s="68">
        <f t="shared" si="97"/>
        <v>13.812971340261239</v>
      </c>
      <c r="O85" s="68">
        <f t="shared" si="97"/>
        <v>13.846054747350944</v>
      </c>
      <c r="P85" s="68">
        <f t="shared" si="97"/>
        <v>13.8963804086225</v>
      </c>
      <c r="Q85" s="68">
        <f t="shared" si="97"/>
        <v>13.930243260581481</v>
      </c>
      <c r="R85" s="68">
        <f t="shared" si="97"/>
        <v>13.930243260581481</v>
      </c>
      <c r="S85" s="68">
        <f t="shared" si="97"/>
        <v>13.930243260581481</v>
      </c>
      <c r="T85" s="68">
        <f t="shared" si="97"/>
        <v>13.930243260581481</v>
      </c>
      <c r="U85" s="68">
        <f t="shared" si="97"/>
        <v>13.930243260581481</v>
      </c>
      <c r="V85" s="68">
        <f t="shared" si="97"/>
        <v>13.930243260581481</v>
      </c>
    </row>
    <row r="86" spans="1:22" x14ac:dyDescent="0.2">
      <c r="A86" s="29">
        <f t="shared" si="81"/>
        <v>19</v>
      </c>
      <c r="B86" s="334" t="str">
        <f t="shared" si="75"/>
        <v>Blue hydrogen (liquid) - Americas - Fuel cost total - USD/GJ</v>
      </c>
      <c r="C86" t="str" cm="1">
        <f t="array" ref="C86">INDEX(list_AE_fuel,A86)</f>
        <v>Blue hydrogen (liquid)</v>
      </c>
      <c r="D86"/>
      <c r="E86" t="str">
        <f>E82</f>
        <v>Americas</v>
      </c>
      <c r="F86" t="str">
        <f t="shared" si="77"/>
        <v>Fuel cost total - USD/GJ</v>
      </c>
      <c r="G86"/>
      <c r="H86" s="409"/>
      <c r="I86" t="s">
        <v>324</v>
      </c>
      <c r="K86" s="68">
        <f t="shared" ref="K86:V86" si="98">K195+K302</f>
        <v>46.406950777047044</v>
      </c>
      <c r="L86" s="68">
        <f t="shared" si="98"/>
        <v>41.530935273705765</v>
      </c>
      <c r="M86" s="68">
        <f t="shared" si="98"/>
        <v>39.964181803535993</v>
      </c>
      <c r="N86" s="68">
        <f t="shared" si="98"/>
        <v>39.937844655763357</v>
      </c>
      <c r="O86" s="68">
        <f t="shared" si="98"/>
        <v>39.133989959489654</v>
      </c>
      <c r="P86" s="68">
        <f t="shared" si="98"/>
        <v>38.51506770123062</v>
      </c>
      <c r="Q86" s="68">
        <f t="shared" si="98"/>
        <v>37.964575391318554</v>
      </c>
      <c r="R86" s="68">
        <f t="shared" si="98"/>
        <v>37.964575391318554</v>
      </c>
      <c r="S86" s="68">
        <f t="shared" si="98"/>
        <v>37.964575391318554</v>
      </c>
      <c r="T86" s="68">
        <f t="shared" si="98"/>
        <v>37.964575391318554</v>
      </c>
      <c r="U86" s="68">
        <f t="shared" si="98"/>
        <v>37.964575391318554</v>
      </c>
      <c r="V86" s="68">
        <f t="shared" si="98"/>
        <v>37.964575391318554</v>
      </c>
    </row>
    <row r="87" spans="1:22" x14ac:dyDescent="0.2">
      <c r="A87" s="29">
        <f t="shared" si="81"/>
        <v>20</v>
      </c>
      <c r="B87" s="334" t="str">
        <f t="shared" si="75"/>
        <v>e-Hydrogen (liquid) - Americas - Fuel cost total - USD/GJ</v>
      </c>
      <c r="C87" t="str" cm="1">
        <f t="array" ref="C87">INDEX(list_AE_fuel,A87)</f>
        <v>e-Hydrogen (liquid)</v>
      </c>
      <c r="D87"/>
      <c r="E87" t="str">
        <f>E83</f>
        <v>Americas</v>
      </c>
      <c r="F87" t="str">
        <f t="shared" si="77"/>
        <v>Fuel cost total - USD/GJ</v>
      </c>
      <c r="G87"/>
      <c r="H87" s="409"/>
      <c r="I87" t="s">
        <v>324</v>
      </c>
      <c r="K87" s="68">
        <f t="shared" ref="K87:V87" si="99">K196+K303</f>
        <v>57.694676340626522</v>
      </c>
      <c r="L87" s="68">
        <f t="shared" si="99"/>
        <v>52.924404963138784</v>
      </c>
      <c r="M87" s="68">
        <f t="shared" si="99"/>
        <v>47.177556275614137</v>
      </c>
      <c r="N87" s="68">
        <f t="shared" si="99"/>
        <v>44.8528275349219</v>
      </c>
      <c r="O87" s="68">
        <f t="shared" si="99"/>
        <v>41.46198332515776</v>
      </c>
      <c r="P87" s="68">
        <f t="shared" si="99"/>
        <v>38.006480166122053</v>
      </c>
      <c r="Q87" s="68">
        <f t="shared" si="99"/>
        <v>34.614282551893737</v>
      </c>
      <c r="R87" s="68">
        <f t="shared" si="99"/>
        <v>34.614282551893737</v>
      </c>
      <c r="S87" s="68">
        <f t="shared" si="99"/>
        <v>34.614282551893737</v>
      </c>
      <c r="T87" s="68">
        <f t="shared" si="99"/>
        <v>34.614282551893737</v>
      </c>
      <c r="U87" s="68">
        <f t="shared" si="99"/>
        <v>34.614282551893737</v>
      </c>
      <c r="V87" s="68">
        <f t="shared" si="99"/>
        <v>34.614282551893737</v>
      </c>
    </row>
    <row r="88" spans="1:22" x14ac:dyDescent="0.2">
      <c r="B88"/>
      <c r="C88"/>
      <c r="D88"/>
      <c r="E88"/>
      <c r="F88"/>
      <c r="G88"/>
      <c r="H88" s="409"/>
      <c r="I88"/>
    </row>
    <row r="89" spans="1:22" x14ac:dyDescent="0.2">
      <c r="A89" s="29">
        <v>1</v>
      </c>
      <c r="B89" s="334" t="str">
        <f t="shared" ref="B89:B100" si="100">_xlfn.TEXTJOIN(keydelim,TRUE,C89:G89)</f>
        <v>LSFO - Africa&amp;Other - Fuel cost total - USD/GJ</v>
      </c>
      <c r="C89" t="str" cm="1">
        <f t="array" ref="C89">INDEX(list_AE_fuel,A89)</f>
        <v>LSFO</v>
      </c>
      <c r="D89"/>
      <c r="E89" t="s">
        <v>498</v>
      </c>
      <c r="F89" t="str">
        <f t="shared" ref="F89:F100" si="101">"Fuel cost total"  &amp;keydelim &amp;I89</f>
        <v>Fuel cost total - USD/GJ</v>
      </c>
      <c r="G89" s="128"/>
      <c r="H89" s="409"/>
      <c r="I89" t="s">
        <v>324</v>
      </c>
      <c r="K89" s="68">
        <f>K198+K305</f>
        <v>21.473621920116738</v>
      </c>
      <c r="L89" s="68">
        <f t="shared" ref="L89:V89" si="102">L198+L305</f>
        <v>15.404989638344617</v>
      </c>
      <c r="M89" s="68">
        <f t="shared" si="102"/>
        <v>13.444354593464393</v>
      </c>
      <c r="N89" s="68">
        <f t="shared" si="102"/>
        <v>13.444354593464393</v>
      </c>
      <c r="O89" s="68">
        <f t="shared" si="102"/>
        <v>13.444354593464393</v>
      </c>
      <c r="P89" s="68">
        <f t="shared" si="102"/>
        <v>13.444354593464393</v>
      </c>
      <c r="Q89" s="68">
        <f t="shared" si="102"/>
        <v>13.444354593464393</v>
      </c>
      <c r="R89" s="68">
        <f t="shared" si="102"/>
        <v>13.444354593464393</v>
      </c>
      <c r="S89" s="68">
        <f t="shared" si="102"/>
        <v>13.444354593464393</v>
      </c>
      <c r="T89" s="68">
        <f t="shared" si="102"/>
        <v>13.444354593464393</v>
      </c>
      <c r="U89" s="68">
        <f t="shared" si="102"/>
        <v>13.444354593464393</v>
      </c>
      <c r="V89" s="68">
        <f t="shared" si="102"/>
        <v>13.444354593464393</v>
      </c>
    </row>
    <row r="90" spans="1:22" x14ac:dyDescent="0.2">
      <c r="A90" s="29">
        <f>A89+1</f>
        <v>2</v>
      </c>
      <c r="B90" s="334" t="str">
        <f t="shared" si="100"/>
        <v>LNG - Africa&amp;Other - Fuel cost total - USD/GJ</v>
      </c>
      <c r="C90" t="str" cm="1">
        <f t="array" ref="C90">INDEX(list_AE_fuel,A90)</f>
        <v>LNG</v>
      </c>
      <c r="D90"/>
      <c r="E90" t="str">
        <f t="shared" ref="E90:E99" si="103">E89</f>
        <v>Africa&amp;Other</v>
      </c>
      <c r="F90" t="str">
        <f t="shared" si="101"/>
        <v>Fuel cost total - USD/GJ</v>
      </c>
      <c r="G90" s="128"/>
      <c r="H90" s="409"/>
      <c r="I90" t="s">
        <v>324</v>
      </c>
      <c r="K90" s="68">
        <f t="shared" ref="K90:V90" si="104">K199+K306</f>
        <v>42.548363092240251</v>
      </c>
      <c r="L90" s="68">
        <f t="shared" si="104"/>
        <v>20.138983227518654</v>
      </c>
      <c r="M90" s="68">
        <f t="shared" si="104"/>
        <v>15.233630532281694</v>
      </c>
      <c r="N90" s="68">
        <f t="shared" si="104"/>
        <v>15.071680136426432</v>
      </c>
      <c r="O90" s="68">
        <f t="shared" si="104"/>
        <v>14.947807060849962</v>
      </c>
      <c r="P90" s="68">
        <f t="shared" si="104"/>
        <v>14.825172862642763</v>
      </c>
      <c r="Q90" s="68">
        <f t="shared" si="104"/>
        <v>14.721337012406533</v>
      </c>
      <c r="R90" s="68">
        <f t="shared" si="104"/>
        <v>14.721337012406533</v>
      </c>
      <c r="S90" s="68">
        <f t="shared" si="104"/>
        <v>14.721337012406533</v>
      </c>
      <c r="T90" s="68">
        <f t="shared" si="104"/>
        <v>14.721337012406533</v>
      </c>
      <c r="U90" s="68">
        <f t="shared" si="104"/>
        <v>14.721337012406533</v>
      </c>
      <c r="V90" s="68">
        <f t="shared" si="104"/>
        <v>14.721337012406533</v>
      </c>
    </row>
    <row r="91" spans="1:22" x14ac:dyDescent="0.2">
      <c r="A91" s="29">
        <f t="shared" ref="A91:A108" si="105">A90+1</f>
        <v>3</v>
      </c>
      <c r="B91" s="334" t="str">
        <f t="shared" si="100"/>
        <v>LPG - Africa&amp;Other - Fuel cost total - USD/GJ</v>
      </c>
      <c r="C91" t="str" cm="1">
        <f t="array" ref="C91">INDEX(list_AE_fuel,A91)</f>
        <v>LPG</v>
      </c>
      <c r="D91"/>
      <c r="E91" t="str">
        <f t="shared" si="103"/>
        <v>Africa&amp;Other</v>
      </c>
      <c r="F91" t="str">
        <f t="shared" si="101"/>
        <v>Fuel cost total - USD/GJ</v>
      </c>
      <c r="G91" s="128"/>
      <c r="H91" s="409"/>
      <c r="I91" t="s">
        <v>324</v>
      </c>
      <c r="K91" s="68">
        <f t="shared" ref="K91:V91" si="106">K200+K307</f>
        <v>16.525069073439496</v>
      </c>
      <c r="L91" s="68">
        <f t="shared" si="106"/>
        <v>11.854940857032684</v>
      </c>
      <c r="M91" s="68">
        <f t="shared" si="106"/>
        <v>10.34613020250125</v>
      </c>
      <c r="N91" s="68">
        <f t="shared" si="106"/>
        <v>10.34613020250125</v>
      </c>
      <c r="O91" s="68">
        <f t="shared" si="106"/>
        <v>10.34613020250125</v>
      </c>
      <c r="P91" s="68">
        <f t="shared" si="106"/>
        <v>10.34613020250125</v>
      </c>
      <c r="Q91" s="68">
        <f t="shared" si="106"/>
        <v>10.34613020250125</v>
      </c>
      <c r="R91" s="68">
        <f t="shared" si="106"/>
        <v>10.34613020250125</v>
      </c>
      <c r="S91" s="68">
        <f t="shared" si="106"/>
        <v>10.34613020250125</v>
      </c>
      <c r="T91" s="68">
        <f t="shared" si="106"/>
        <v>10.34613020250125</v>
      </c>
      <c r="U91" s="68">
        <f t="shared" si="106"/>
        <v>10.34613020250125</v>
      </c>
      <c r="V91" s="68">
        <f t="shared" si="106"/>
        <v>10.34613020250125</v>
      </c>
    </row>
    <row r="92" spans="1:22" x14ac:dyDescent="0.2">
      <c r="A92" s="29">
        <f t="shared" si="105"/>
        <v>4</v>
      </c>
      <c r="B92" s="334" t="str">
        <f t="shared" si="100"/>
        <v>Electricity - Africa&amp;Other - Fuel cost total - USD/GJ</v>
      </c>
      <c r="C92" t="str" cm="1">
        <f t="array" ref="C92">INDEX(list_AE_fuel,A92)</f>
        <v>Electricity</v>
      </c>
      <c r="D92"/>
      <c r="E92" t="str">
        <f t="shared" si="103"/>
        <v>Africa&amp;Other</v>
      </c>
      <c r="F92" t="str">
        <f t="shared" si="101"/>
        <v>Fuel cost total - USD/GJ</v>
      </c>
      <c r="G92" s="128"/>
      <c r="H92" s="409"/>
      <c r="I92" t="s">
        <v>324</v>
      </c>
      <c r="K92" s="68">
        <f t="shared" ref="K92:V92" si="107">K201+K308</f>
        <v>40.715758413729787</v>
      </c>
      <c r="L92" s="68">
        <f t="shared" si="107"/>
        <v>31.19282690698649</v>
      </c>
      <c r="M92" s="68">
        <f t="shared" si="107"/>
        <v>28.538159023980356</v>
      </c>
      <c r="N92" s="68">
        <f t="shared" si="107"/>
        <v>27.056320019043902</v>
      </c>
      <c r="O92" s="68">
        <f t="shared" si="107"/>
        <v>26.358842749172954</v>
      </c>
      <c r="P92" s="68">
        <f t="shared" si="107"/>
        <v>25.641646994549788</v>
      </c>
      <c r="Q92" s="68">
        <f t="shared" si="107"/>
        <v>25.289628110626168</v>
      </c>
      <c r="R92" s="68">
        <f t="shared" si="107"/>
        <v>25.289628110626168</v>
      </c>
      <c r="S92" s="68">
        <f t="shared" si="107"/>
        <v>25.289628110626168</v>
      </c>
      <c r="T92" s="68">
        <f t="shared" si="107"/>
        <v>25.289628110626168</v>
      </c>
      <c r="U92" s="68">
        <f t="shared" si="107"/>
        <v>25.289628110626168</v>
      </c>
      <c r="V92" s="68">
        <f t="shared" si="107"/>
        <v>25.289628110626168</v>
      </c>
    </row>
    <row r="93" spans="1:22" x14ac:dyDescent="0.2">
      <c r="A93" s="29">
        <f t="shared" si="105"/>
        <v>5</v>
      </c>
      <c r="B93" s="334" t="str">
        <f t="shared" si="100"/>
        <v>e-Ammonia - Africa&amp;Other - Fuel cost total - USD/GJ</v>
      </c>
      <c r="C93" t="str" cm="1">
        <f t="array" ref="C93">INDEX(list_AE_fuel,A93)</f>
        <v>e-Ammonia</v>
      </c>
      <c r="D93"/>
      <c r="E93" t="str">
        <f t="shared" si="103"/>
        <v>Africa&amp;Other</v>
      </c>
      <c r="F93" t="str">
        <f t="shared" si="101"/>
        <v>Fuel cost total - USD/GJ</v>
      </c>
      <c r="G93" s="226"/>
      <c r="H93" s="409"/>
      <c r="I93" t="s">
        <v>324</v>
      </c>
      <c r="K93" s="68">
        <f t="shared" ref="K93:V93" si="108">K202+K309</f>
        <v>83.515187316355082</v>
      </c>
      <c r="L93" s="68">
        <f t="shared" si="108"/>
        <v>53.315702647517881</v>
      </c>
      <c r="M93" s="68">
        <f t="shared" si="108"/>
        <v>37.031133884360564</v>
      </c>
      <c r="N93" s="68">
        <f t="shared" si="108"/>
        <v>33.098533057242278</v>
      </c>
      <c r="O93" s="68">
        <f t="shared" si="108"/>
        <v>29.135874497510567</v>
      </c>
      <c r="P93" s="68">
        <f t="shared" si="108"/>
        <v>24.251961255815452</v>
      </c>
      <c r="Q93" s="68">
        <f t="shared" si="108"/>
        <v>19.990316609886811</v>
      </c>
      <c r="R93" s="68">
        <f t="shared" si="108"/>
        <v>19.990316609886811</v>
      </c>
      <c r="S93" s="68">
        <f t="shared" si="108"/>
        <v>19.990316609886811</v>
      </c>
      <c r="T93" s="68">
        <f t="shared" si="108"/>
        <v>19.990316609886811</v>
      </c>
      <c r="U93" s="68">
        <f t="shared" si="108"/>
        <v>19.990316609886811</v>
      </c>
      <c r="V93" s="68">
        <f t="shared" si="108"/>
        <v>19.990316609886811</v>
      </c>
    </row>
    <row r="94" spans="1:22" x14ac:dyDescent="0.2">
      <c r="A94" s="29">
        <f t="shared" si="105"/>
        <v>6</v>
      </c>
      <c r="B94" s="334" t="str">
        <f t="shared" si="100"/>
        <v>Blue ammonia - Africa&amp;Other - Fuel cost total - USD/GJ</v>
      </c>
      <c r="C94" t="str" cm="1">
        <f t="array" ref="C94">INDEX(list_AE_fuel,A94)</f>
        <v>Blue ammonia</v>
      </c>
      <c r="D94"/>
      <c r="E94" t="str">
        <f t="shared" si="103"/>
        <v>Africa&amp;Other</v>
      </c>
      <c r="F94" t="str">
        <f t="shared" si="101"/>
        <v>Fuel cost total - USD/GJ</v>
      </c>
      <c r="G94" s="226"/>
      <c r="H94" s="409"/>
      <c r="I94" t="s">
        <v>324</v>
      </c>
      <c r="K94" s="68">
        <f t="shared" ref="K94:V94" si="109">K203+K310</f>
        <v>79.882158527801124</v>
      </c>
      <c r="L94" s="68">
        <f t="shared" si="109"/>
        <v>42.321081166003275</v>
      </c>
      <c r="M94" s="68">
        <f t="shared" si="109"/>
        <v>33.086579940595072</v>
      </c>
      <c r="N94" s="68">
        <f t="shared" si="109"/>
        <v>32.633036971338534</v>
      </c>
      <c r="O94" s="68">
        <f t="shared" si="109"/>
        <v>32.207070059893269</v>
      </c>
      <c r="P94" s="68">
        <f t="shared" si="109"/>
        <v>31.780409899337087</v>
      </c>
      <c r="Q94" s="68">
        <f t="shared" si="109"/>
        <v>31.366588379483979</v>
      </c>
      <c r="R94" s="68">
        <f t="shared" si="109"/>
        <v>31.366588379483979</v>
      </c>
      <c r="S94" s="68">
        <f t="shared" si="109"/>
        <v>31.366588379483979</v>
      </c>
      <c r="T94" s="68">
        <f t="shared" si="109"/>
        <v>31.366588379483979</v>
      </c>
      <c r="U94" s="68">
        <f t="shared" si="109"/>
        <v>31.366588379483979</v>
      </c>
      <c r="V94" s="68">
        <f t="shared" si="109"/>
        <v>31.366588379483979</v>
      </c>
    </row>
    <row r="95" spans="1:22" x14ac:dyDescent="0.2">
      <c r="A95" s="29">
        <f t="shared" si="105"/>
        <v>7</v>
      </c>
      <c r="B95" s="334" t="str">
        <f t="shared" si="100"/>
        <v>Biomethane - Africa&amp;Other - Fuel cost total - USD/GJ</v>
      </c>
      <c r="C95" t="str" cm="1">
        <f t="array" ref="C95">INDEX(list_AE_fuel,A95)</f>
        <v>Biomethane</v>
      </c>
      <c r="D95"/>
      <c r="E95" t="str">
        <f t="shared" si="103"/>
        <v>Africa&amp;Other</v>
      </c>
      <c r="F95" t="str">
        <f t="shared" si="101"/>
        <v>Fuel cost total - USD/GJ</v>
      </c>
      <c r="G95"/>
      <c r="H95" s="409"/>
      <c r="I95" t="s">
        <v>324</v>
      </c>
      <c r="K95" s="68">
        <f t="shared" ref="K95:V95" si="110">K204+K311</f>
        <v>26.794081846750903</v>
      </c>
      <c r="L95" s="68">
        <f t="shared" si="110"/>
        <v>24.048177907626183</v>
      </c>
      <c r="M95" s="68">
        <f t="shared" si="110"/>
        <v>22.432958289203576</v>
      </c>
      <c r="N95" s="68">
        <f t="shared" si="110"/>
        <v>21.03045215064634</v>
      </c>
      <c r="O95" s="68">
        <f t="shared" si="110"/>
        <v>19.695978020687214</v>
      </c>
      <c r="P95" s="68">
        <f t="shared" si="110"/>
        <v>18.358695296291547</v>
      </c>
      <c r="Q95" s="68">
        <f t="shared" si="110"/>
        <v>17.053584764514991</v>
      </c>
      <c r="R95" s="68">
        <f t="shared" si="110"/>
        <v>17.053584764514991</v>
      </c>
      <c r="S95" s="68">
        <f t="shared" si="110"/>
        <v>17.053584764514991</v>
      </c>
      <c r="T95" s="68">
        <f t="shared" si="110"/>
        <v>17.053584764514991</v>
      </c>
      <c r="U95" s="68">
        <f t="shared" si="110"/>
        <v>17.053584764514991</v>
      </c>
      <c r="V95" s="68">
        <f t="shared" si="110"/>
        <v>17.053584764514991</v>
      </c>
    </row>
    <row r="96" spans="1:22" x14ac:dyDescent="0.2">
      <c r="A96" s="29">
        <f t="shared" si="105"/>
        <v>8</v>
      </c>
      <c r="B96" s="334" t="str">
        <f t="shared" si="100"/>
        <v>e-Methane (DAC) - Africa&amp;Other - Fuel cost total - USD/GJ</v>
      </c>
      <c r="C96" t="str" cm="1">
        <f t="array" ref="C96">INDEX(list_AE_fuel,A96)</f>
        <v>e-Methane (DAC)</v>
      </c>
      <c r="D96"/>
      <c r="E96" t="str">
        <f t="shared" si="103"/>
        <v>Africa&amp;Other</v>
      </c>
      <c r="F96" t="str">
        <f t="shared" si="101"/>
        <v>Fuel cost total - USD/GJ</v>
      </c>
      <c r="G96" s="226"/>
      <c r="H96" s="409"/>
      <c r="I96" t="s">
        <v>324</v>
      </c>
      <c r="K96" s="68">
        <f t="shared" ref="K96:V96" si="111">K205+K312</f>
        <v>94.272148358326262</v>
      </c>
      <c r="L96" s="68">
        <f t="shared" si="111"/>
        <v>62.857428102373731</v>
      </c>
      <c r="M96" s="68">
        <f t="shared" si="111"/>
        <v>50.962814747376839</v>
      </c>
      <c r="N96" s="68">
        <f t="shared" si="111"/>
        <v>44.800514233301953</v>
      </c>
      <c r="O96" s="68">
        <f t="shared" si="111"/>
        <v>39.230578052573499</v>
      </c>
      <c r="P96" s="68">
        <f t="shared" si="111"/>
        <v>32.647479133056358</v>
      </c>
      <c r="Q96" s="68">
        <f t="shared" si="111"/>
        <v>27.01089443242763</v>
      </c>
      <c r="R96" s="68">
        <f t="shared" si="111"/>
        <v>27.01089443242763</v>
      </c>
      <c r="S96" s="68">
        <f t="shared" si="111"/>
        <v>27.01089443242763</v>
      </c>
      <c r="T96" s="68">
        <f t="shared" si="111"/>
        <v>27.01089443242763</v>
      </c>
      <c r="U96" s="68">
        <f t="shared" si="111"/>
        <v>27.01089443242763</v>
      </c>
      <c r="V96" s="68">
        <f t="shared" si="111"/>
        <v>27.01089443242763</v>
      </c>
    </row>
    <row r="97" spans="1:22" x14ac:dyDescent="0.2">
      <c r="A97" s="29">
        <f t="shared" si="105"/>
        <v>9</v>
      </c>
      <c r="B97" s="334" t="str">
        <f t="shared" si="100"/>
        <v>e-Methane (PS) - Africa&amp;Other - Fuel cost total - USD/GJ</v>
      </c>
      <c r="C97" t="str" cm="1">
        <f t="array" ref="C97">INDEX(list_AE_fuel,A97)</f>
        <v>e-Methane (PS)</v>
      </c>
      <c r="D97"/>
      <c r="E97" t="str">
        <f t="shared" si="103"/>
        <v>Africa&amp;Other</v>
      </c>
      <c r="F97" t="str">
        <f t="shared" si="101"/>
        <v>Fuel cost total - USD/GJ</v>
      </c>
      <c r="G97" s="226"/>
      <c r="H97" s="409"/>
      <c r="I97" t="s">
        <v>324</v>
      </c>
      <c r="K97" s="68">
        <f t="shared" ref="K97:V97" si="112">K206+K313</f>
        <v>84.090060727353972</v>
      </c>
      <c r="L97" s="68">
        <f t="shared" si="112"/>
        <v>57.789484309067845</v>
      </c>
      <c r="M97" s="68">
        <f t="shared" si="112"/>
        <v>47.077487133310349</v>
      </c>
      <c r="N97" s="68">
        <f t="shared" si="112"/>
        <v>42.155156366991882</v>
      </c>
      <c r="O97" s="68">
        <f t="shared" si="112"/>
        <v>37.262275567367695</v>
      </c>
      <c r="P97" s="68">
        <f t="shared" si="112"/>
        <v>31.172107465502712</v>
      </c>
      <c r="Q97" s="68">
        <f t="shared" si="112"/>
        <v>25.761219206835097</v>
      </c>
      <c r="R97" s="68">
        <f t="shared" si="112"/>
        <v>25.761219206835097</v>
      </c>
      <c r="S97" s="68">
        <f t="shared" si="112"/>
        <v>25.761219206835097</v>
      </c>
      <c r="T97" s="68">
        <f t="shared" si="112"/>
        <v>25.761219206835097</v>
      </c>
      <c r="U97" s="68">
        <f t="shared" si="112"/>
        <v>25.761219206835097</v>
      </c>
      <c r="V97" s="68">
        <f t="shared" si="112"/>
        <v>25.761219206835097</v>
      </c>
    </row>
    <row r="98" spans="1:22" x14ac:dyDescent="0.2">
      <c r="A98" s="29">
        <f t="shared" si="105"/>
        <v>10</v>
      </c>
      <c r="B98" s="334" t="str">
        <f t="shared" si="100"/>
        <v>Biomethanol - Africa&amp;Other - Fuel cost total - USD/GJ</v>
      </c>
      <c r="C98" t="str" cm="1">
        <f t="array" ref="C98">INDEX(list_AE_fuel,A98)</f>
        <v>Biomethanol</v>
      </c>
      <c r="D98"/>
      <c r="E98" t="str">
        <f t="shared" si="103"/>
        <v>Africa&amp;Other</v>
      </c>
      <c r="F98" t="str">
        <f t="shared" si="101"/>
        <v>Fuel cost total - USD/GJ</v>
      </c>
      <c r="G98"/>
      <c r="H98" s="409"/>
      <c r="I98" t="s">
        <v>324</v>
      </c>
      <c r="K98" s="68">
        <f t="shared" ref="K98:V98" si="113">K207+K314</f>
        <v>53.3554261927017</v>
      </c>
      <c r="L98" s="68">
        <f t="shared" si="113"/>
        <v>37.845087930017542</v>
      </c>
      <c r="M98" s="68">
        <f t="shared" si="113"/>
        <v>32.303062866453502</v>
      </c>
      <c r="N98" s="68">
        <f t="shared" si="113"/>
        <v>30.102276766492533</v>
      </c>
      <c r="O98" s="68">
        <f t="shared" si="113"/>
        <v>27.915532302274741</v>
      </c>
      <c r="P98" s="68">
        <f t="shared" si="113"/>
        <v>26.659088575204375</v>
      </c>
      <c r="Q98" s="68">
        <f t="shared" si="113"/>
        <v>25.437289590302058</v>
      </c>
      <c r="R98" s="68">
        <f t="shared" si="113"/>
        <v>25.437289590302058</v>
      </c>
      <c r="S98" s="68">
        <f t="shared" si="113"/>
        <v>25.437289590302058</v>
      </c>
      <c r="T98" s="68">
        <f t="shared" si="113"/>
        <v>25.437289590302058</v>
      </c>
      <c r="U98" s="68">
        <f t="shared" si="113"/>
        <v>25.437289590302058</v>
      </c>
      <c r="V98" s="68">
        <f t="shared" si="113"/>
        <v>25.437289590302058</v>
      </c>
    </row>
    <row r="99" spans="1:22" x14ac:dyDescent="0.2">
      <c r="A99" s="29">
        <f t="shared" si="105"/>
        <v>11</v>
      </c>
      <c r="B99" s="334" t="str">
        <f t="shared" si="100"/>
        <v>e-Methanol (DAC) - Africa&amp;Other - Fuel cost total - USD/GJ</v>
      </c>
      <c r="C99" t="str" cm="1">
        <f t="array" ref="C99">INDEX(list_AE_fuel,A99)</f>
        <v>e-Methanol (DAC)</v>
      </c>
      <c r="D99"/>
      <c r="E99" t="str">
        <f t="shared" si="103"/>
        <v>Africa&amp;Other</v>
      </c>
      <c r="F99" t="str">
        <f t="shared" si="101"/>
        <v>Fuel cost total - USD/GJ</v>
      </c>
      <c r="G99"/>
      <c r="H99" s="409"/>
      <c r="I99" t="s">
        <v>324</v>
      </c>
      <c r="K99" s="68">
        <f t="shared" ref="K99:V99" si="114">K208+K315</f>
        <v>113.31404512780267</v>
      </c>
      <c r="L99" s="68">
        <f t="shared" si="114"/>
        <v>75.879934264372864</v>
      </c>
      <c r="M99" s="68">
        <f t="shared" si="114"/>
        <v>59.491617523282137</v>
      </c>
      <c r="N99" s="68">
        <f t="shared" si="114"/>
        <v>51.640753207776974</v>
      </c>
      <c r="O99" s="68">
        <f t="shared" si="114"/>
        <v>44.732623643926296</v>
      </c>
      <c r="P99" s="68">
        <f t="shared" si="114"/>
        <v>36.653144406631647</v>
      </c>
      <c r="Q99" s="68">
        <f t="shared" si="114"/>
        <v>29.649383133754455</v>
      </c>
      <c r="R99" s="68">
        <f t="shared" si="114"/>
        <v>29.649383133754455</v>
      </c>
      <c r="S99" s="68">
        <f t="shared" si="114"/>
        <v>29.649383133754455</v>
      </c>
      <c r="T99" s="68">
        <f t="shared" si="114"/>
        <v>29.649383133754455</v>
      </c>
      <c r="U99" s="68">
        <f t="shared" si="114"/>
        <v>29.649383133754455</v>
      </c>
      <c r="V99" s="68">
        <f t="shared" si="114"/>
        <v>29.649383133754455</v>
      </c>
    </row>
    <row r="100" spans="1:22" x14ac:dyDescent="0.2">
      <c r="A100" s="29">
        <f t="shared" si="105"/>
        <v>12</v>
      </c>
      <c r="B100" s="334" t="str">
        <f t="shared" si="100"/>
        <v>e-Methanol (PS) - Africa&amp;Other - Fuel cost total - USD/GJ</v>
      </c>
      <c r="C100" t="str" cm="1">
        <f t="array" ref="C100">INDEX(list_AE_fuel,A100)</f>
        <v>e-Methanol (PS)</v>
      </c>
      <c r="D100"/>
      <c r="E100" t="str">
        <f>E99</f>
        <v>Africa&amp;Other</v>
      </c>
      <c r="F100" t="str">
        <f t="shared" si="101"/>
        <v>Fuel cost total - USD/GJ</v>
      </c>
      <c r="G100"/>
      <c r="H100" s="409"/>
      <c r="I100" t="s">
        <v>324</v>
      </c>
      <c r="K100" s="68">
        <f t="shared" ref="K100:V100" si="115">K209+K316</f>
        <v>100.50571082661874</v>
      </c>
      <c r="L100" s="68">
        <f t="shared" si="115"/>
        <v>69.504825281140356</v>
      </c>
      <c r="M100" s="68">
        <f t="shared" si="115"/>
        <v>54.604154681260511</v>
      </c>
      <c r="N100" s="68">
        <f t="shared" si="115"/>
        <v>48.313083173303824</v>
      </c>
      <c r="O100" s="68">
        <f t="shared" si="115"/>
        <v>42.256640608808794</v>
      </c>
      <c r="P100" s="68">
        <f t="shared" si="115"/>
        <v>34.797232905826995</v>
      </c>
      <c r="Q100" s="68">
        <f t="shared" si="115"/>
        <v>28.07738153276566</v>
      </c>
      <c r="R100" s="68">
        <f t="shared" si="115"/>
        <v>28.07738153276566</v>
      </c>
      <c r="S100" s="68">
        <f t="shared" si="115"/>
        <v>28.07738153276566</v>
      </c>
      <c r="T100" s="68">
        <f t="shared" si="115"/>
        <v>28.07738153276566</v>
      </c>
      <c r="U100" s="68">
        <f t="shared" si="115"/>
        <v>28.07738153276566</v>
      </c>
      <c r="V100" s="68">
        <f t="shared" si="115"/>
        <v>28.07738153276566</v>
      </c>
    </row>
    <row r="101" spans="1:22" x14ac:dyDescent="0.2">
      <c r="A101" s="29">
        <f t="shared" si="105"/>
        <v>13</v>
      </c>
      <c r="B101" s="334" t="str">
        <f t="shared" ref="B101:B108" si="116">_xlfn.TEXTJOIN(keydelim,TRUE,C101:G101)</f>
        <v>Biodiesel (HtL) - Africa&amp;Other - Fuel cost total - USD/GJ</v>
      </c>
      <c r="C101" t="str" cm="1">
        <f t="array" ref="C101">INDEX(list_AE_fuel,A101)</f>
        <v>Biodiesel (HtL)</v>
      </c>
      <c r="D101"/>
      <c r="E101" t="str">
        <f>E100</f>
        <v>Africa&amp;Other</v>
      </c>
      <c r="F101" t="str">
        <f t="shared" ref="F101:F108" si="117">"Fuel cost total"  &amp;keydelim &amp;I101</f>
        <v>Fuel cost total - USD/GJ</v>
      </c>
      <c r="G101"/>
      <c r="H101" s="409"/>
      <c r="I101" t="s">
        <v>324</v>
      </c>
      <c r="K101" s="68">
        <f t="shared" ref="K101:V101" si="118">K210+K317</f>
        <v>162.27821622869061</v>
      </c>
      <c r="L101" s="68">
        <f t="shared" si="118"/>
        <v>53.718825108102699</v>
      </c>
      <c r="M101" s="68">
        <f t="shared" si="118"/>
        <v>25.192755254059833</v>
      </c>
      <c r="N101" s="68">
        <f t="shared" si="118"/>
        <v>24.776505557094964</v>
      </c>
      <c r="O101" s="68">
        <f t="shared" si="118"/>
        <v>24.280237530542593</v>
      </c>
      <c r="P101" s="68">
        <f t="shared" si="118"/>
        <v>23.581864677154634</v>
      </c>
      <c r="Q101" s="68">
        <f t="shared" si="118"/>
        <v>22.290334207607913</v>
      </c>
      <c r="R101" s="68">
        <f t="shared" si="118"/>
        <v>22.290334207607913</v>
      </c>
      <c r="S101" s="68">
        <f t="shared" si="118"/>
        <v>22.290334207607913</v>
      </c>
      <c r="T101" s="68">
        <f t="shared" si="118"/>
        <v>22.290334207607913</v>
      </c>
      <c r="U101" s="68">
        <f t="shared" si="118"/>
        <v>22.290334207607913</v>
      </c>
      <c r="V101" s="68">
        <f t="shared" si="118"/>
        <v>22.290334207607913</v>
      </c>
    </row>
    <row r="102" spans="1:22" x14ac:dyDescent="0.2">
      <c r="A102" s="29">
        <f t="shared" si="105"/>
        <v>14</v>
      </c>
      <c r="B102" s="334" t="str">
        <f t="shared" si="116"/>
        <v>Biodiesel (Pyr) - Africa&amp;Other - Fuel cost total - USD/GJ</v>
      </c>
      <c r="C102" t="str" cm="1">
        <f t="array" ref="C102">INDEX(list_AE_fuel,A102)</f>
        <v>Biodiesel (Pyr)</v>
      </c>
      <c r="D102"/>
      <c r="E102" t="str">
        <f>E101</f>
        <v>Africa&amp;Other</v>
      </c>
      <c r="F102" t="str">
        <f t="shared" si="117"/>
        <v>Fuel cost total - USD/GJ</v>
      </c>
      <c r="G102"/>
      <c r="H102" s="409"/>
      <c r="I102" t="s">
        <v>324</v>
      </c>
      <c r="K102" s="68">
        <f t="shared" ref="K102:V102" si="119">K211+K318</f>
        <v>67.626217286413308</v>
      </c>
      <c r="L102" s="68">
        <f t="shared" si="119"/>
        <v>42.475146342557558</v>
      </c>
      <c r="M102" s="68">
        <f t="shared" si="119"/>
        <v>26.606455029754102</v>
      </c>
      <c r="N102" s="68">
        <f t="shared" si="119"/>
        <v>27.129026976691506</v>
      </c>
      <c r="O102" s="68">
        <f t="shared" si="119"/>
        <v>26.983467687743616</v>
      </c>
      <c r="P102" s="68">
        <f t="shared" si="119"/>
        <v>26.418571226631464</v>
      </c>
      <c r="Q102" s="68">
        <f t="shared" si="119"/>
        <v>24.586815205212453</v>
      </c>
      <c r="R102" s="68">
        <f t="shared" si="119"/>
        <v>24.586815205212453</v>
      </c>
      <c r="S102" s="68">
        <f t="shared" si="119"/>
        <v>24.586815205212453</v>
      </c>
      <c r="T102" s="68">
        <f t="shared" si="119"/>
        <v>24.586815205212453</v>
      </c>
      <c r="U102" s="68">
        <f t="shared" si="119"/>
        <v>24.586815205212453</v>
      </c>
      <c r="V102" s="68">
        <f t="shared" si="119"/>
        <v>24.586815205212453</v>
      </c>
    </row>
    <row r="103" spans="1:22" x14ac:dyDescent="0.2">
      <c r="A103" s="29">
        <f t="shared" si="105"/>
        <v>15</v>
      </c>
      <c r="B103" s="334" t="str">
        <f t="shared" si="116"/>
        <v>e-Diesel (DAC) - Africa&amp;Other - Fuel cost total - USD/GJ</v>
      </c>
      <c r="C103" t="str" cm="1">
        <f t="array" ref="C103">INDEX(list_AE_fuel,A103)</f>
        <v>e-Diesel (DAC)</v>
      </c>
      <c r="D103"/>
      <c r="E103" t="str">
        <f>E102</f>
        <v>Africa&amp;Other</v>
      </c>
      <c r="F103" t="str">
        <f t="shared" si="117"/>
        <v>Fuel cost total - USD/GJ</v>
      </c>
      <c r="G103"/>
      <c r="H103" s="409"/>
      <c r="I103" t="s">
        <v>324</v>
      </c>
      <c r="K103" s="68">
        <f t="shared" ref="K103:V103" si="120">K212+K319</f>
        <v>128.27650469692148</v>
      </c>
      <c r="L103" s="68">
        <f t="shared" si="120"/>
        <v>86.648783729627709</v>
      </c>
      <c r="M103" s="68">
        <f t="shared" si="120"/>
        <v>68.129297756548112</v>
      </c>
      <c r="N103" s="68">
        <f t="shared" si="120"/>
        <v>59.985254050945819</v>
      </c>
      <c r="O103" s="68">
        <f t="shared" si="120"/>
        <v>52.700896012063794</v>
      </c>
      <c r="P103" s="68">
        <f t="shared" si="120"/>
        <v>42.557836122780948</v>
      </c>
      <c r="Q103" s="68">
        <f t="shared" si="120"/>
        <v>33.868780779504405</v>
      </c>
      <c r="R103" s="68">
        <f t="shared" si="120"/>
        <v>33.868780779504405</v>
      </c>
      <c r="S103" s="68">
        <f t="shared" si="120"/>
        <v>33.868780779504405</v>
      </c>
      <c r="T103" s="68">
        <f t="shared" si="120"/>
        <v>33.868780779504405</v>
      </c>
      <c r="U103" s="68">
        <f t="shared" si="120"/>
        <v>33.868780779504405</v>
      </c>
      <c r="V103" s="68">
        <f t="shared" si="120"/>
        <v>33.868780779504405</v>
      </c>
    </row>
    <row r="104" spans="1:22" x14ac:dyDescent="0.2">
      <c r="A104" s="29">
        <f t="shared" si="105"/>
        <v>16</v>
      </c>
      <c r="B104" s="334" t="str">
        <f t="shared" si="116"/>
        <v>e-Diesel (PS) - Africa&amp;Other - Fuel cost total - USD/GJ</v>
      </c>
      <c r="C104" t="str" cm="1">
        <f t="array" ref="C104">INDEX(list_AE_fuel,A104)</f>
        <v>e-Diesel (PS)</v>
      </c>
      <c r="D104"/>
      <c r="E104" t="str">
        <f>E103</f>
        <v>Africa&amp;Other</v>
      </c>
      <c r="F104" t="str">
        <f t="shared" si="117"/>
        <v>Fuel cost total - USD/GJ</v>
      </c>
      <c r="G104"/>
      <c r="H104" s="409"/>
      <c r="I104" t="s">
        <v>324</v>
      </c>
      <c r="K104" s="68">
        <f t="shared" ref="K104:V104" si="121">K213+K320</f>
        <v>113.15255071954992</v>
      </c>
      <c r="L104" s="68">
        <f t="shared" si="121"/>
        <v>79.121118336460711</v>
      </c>
      <c r="M104" s="68">
        <f t="shared" si="121"/>
        <v>62.358230157069848</v>
      </c>
      <c r="N104" s="68">
        <f t="shared" si="121"/>
        <v>56.055974312471307</v>
      </c>
      <c r="O104" s="68">
        <f t="shared" si="121"/>
        <v>49.777279826592412</v>
      </c>
      <c r="P104" s="68">
        <f t="shared" si="121"/>
        <v>40.366394248746673</v>
      </c>
      <c r="Q104" s="68">
        <f t="shared" si="121"/>
        <v>32.012576896419368</v>
      </c>
      <c r="R104" s="68">
        <f t="shared" si="121"/>
        <v>32.012576896419368</v>
      </c>
      <c r="S104" s="68">
        <f t="shared" si="121"/>
        <v>32.012576896419368</v>
      </c>
      <c r="T104" s="68">
        <f t="shared" si="121"/>
        <v>32.012576896419368</v>
      </c>
      <c r="U104" s="68">
        <f t="shared" si="121"/>
        <v>32.012576896419368</v>
      </c>
      <c r="V104" s="68">
        <f t="shared" si="121"/>
        <v>32.012576896419368</v>
      </c>
    </row>
    <row r="105" spans="1:22" x14ac:dyDescent="0.2">
      <c r="A105" s="29">
        <f t="shared" si="105"/>
        <v>17</v>
      </c>
      <c r="B105" s="334" t="str">
        <f t="shared" si="116"/>
        <v>Biodiesel (HtL blend) - Africa&amp;Other - Fuel cost total - USD/GJ</v>
      </c>
      <c r="C105" t="str" cm="1">
        <f t="array" ref="C105">INDEX(list_AE_fuel,A105)</f>
        <v>Biodiesel (HtL blend)</v>
      </c>
      <c r="D105"/>
      <c r="E105" t="str">
        <f>E101</f>
        <v>Africa&amp;Other</v>
      </c>
      <c r="F105" t="str">
        <f t="shared" si="117"/>
        <v>Fuel cost total - USD/GJ</v>
      </c>
      <c r="G105"/>
      <c r="H105" s="409"/>
      <c r="I105" t="s">
        <v>324</v>
      </c>
      <c r="K105" s="68">
        <f t="shared" ref="K105:V105" si="122">K214+K321</f>
        <v>81.315514785336788</v>
      </c>
      <c r="L105" s="68">
        <f t="shared" si="122"/>
        <v>31.820375991541983</v>
      </c>
      <c r="M105" s="68">
        <f t="shared" si="122"/>
        <v>18.46697349217666</v>
      </c>
      <c r="N105" s="68">
        <f t="shared" si="122"/>
        <v>18.170787322592162</v>
      </c>
      <c r="O105" s="68">
        <f t="shared" si="122"/>
        <v>18.061064520928571</v>
      </c>
      <c r="P105" s="68">
        <f t="shared" si="122"/>
        <v>17.950913908125141</v>
      </c>
      <c r="Q105" s="68">
        <f t="shared" si="122"/>
        <v>17.851625148962395</v>
      </c>
      <c r="R105" s="68">
        <f t="shared" si="122"/>
        <v>17.851625148962395</v>
      </c>
      <c r="S105" s="68">
        <f t="shared" si="122"/>
        <v>17.851625148962395</v>
      </c>
      <c r="T105" s="68">
        <f t="shared" si="122"/>
        <v>17.851625148962395</v>
      </c>
      <c r="U105" s="68">
        <f t="shared" si="122"/>
        <v>17.851625148962395</v>
      </c>
      <c r="V105" s="68">
        <f t="shared" si="122"/>
        <v>17.851625148962395</v>
      </c>
    </row>
    <row r="106" spans="1:22" x14ac:dyDescent="0.2">
      <c r="A106" s="29">
        <f t="shared" si="105"/>
        <v>18</v>
      </c>
      <c r="B106" s="334" t="str">
        <f t="shared" si="116"/>
        <v>Biodiesel (Pyr blend) - Africa&amp;Other - Fuel cost total - USD/GJ</v>
      </c>
      <c r="C106" t="str" cm="1">
        <f t="array" ref="C106">INDEX(list_AE_fuel,A106)</f>
        <v>Biodiesel (Pyr blend)</v>
      </c>
      <c r="D106"/>
      <c r="E106" t="str">
        <f>E102</f>
        <v>Africa&amp;Other</v>
      </c>
      <c r="F106" t="str">
        <f t="shared" si="117"/>
        <v>Fuel cost total - USD/GJ</v>
      </c>
      <c r="G106"/>
      <c r="H106" s="409"/>
      <c r="I106" t="s">
        <v>324</v>
      </c>
      <c r="K106" s="68">
        <f t="shared" ref="K106:V106" si="123">K215+K322</f>
        <v>24.837417145710386</v>
      </c>
      <c r="L106" s="68">
        <f t="shared" si="123"/>
        <v>17.873906750354134</v>
      </c>
      <c r="M106" s="68">
        <f t="shared" si="123"/>
        <v>14.377536102042939</v>
      </c>
      <c r="N106" s="68">
        <f t="shared" si="123"/>
        <v>14.378319343766121</v>
      </c>
      <c r="O106" s="68">
        <f t="shared" si="123"/>
        <v>14.427973652126125</v>
      </c>
      <c r="P106" s="68">
        <f t="shared" si="123"/>
        <v>14.47759622668579</v>
      </c>
      <c r="Q106" s="68">
        <f t="shared" si="123"/>
        <v>14.527806495992236</v>
      </c>
      <c r="R106" s="68">
        <f t="shared" si="123"/>
        <v>14.527806495992236</v>
      </c>
      <c r="S106" s="68">
        <f t="shared" si="123"/>
        <v>14.527806495992236</v>
      </c>
      <c r="T106" s="68">
        <f t="shared" si="123"/>
        <v>14.527806495992236</v>
      </c>
      <c r="U106" s="68">
        <f t="shared" si="123"/>
        <v>14.527806495992236</v>
      </c>
      <c r="V106" s="68">
        <f t="shared" si="123"/>
        <v>14.527806495992236</v>
      </c>
    </row>
    <row r="107" spans="1:22" x14ac:dyDescent="0.2">
      <c r="A107" s="29">
        <f t="shared" si="105"/>
        <v>19</v>
      </c>
      <c r="B107" s="334" t="str">
        <f t="shared" si="116"/>
        <v>Blue hydrogen (liquid) - Africa&amp;Other - Fuel cost total - USD/GJ</v>
      </c>
      <c r="C107" t="str" cm="1">
        <f t="array" ref="C107">INDEX(list_AE_fuel,A107)</f>
        <v>Blue hydrogen (liquid)</v>
      </c>
      <c r="D107"/>
      <c r="E107" t="str">
        <f>E103</f>
        <v>Africa&amp;Other</v>
      </c>
      <c r="F107" t="str">
        <f t="shared" si="117"/>
        <v>Fuel cost total - USD/GJ</v>
      </c>
      <c r="G107"/>
      <c r="H107" s="409"/>
      <c r="I107" t="s">
        <v>324</v>
      </c>
      <c r="K107" s="68">
        <f t="shared" ref="K107:V107" si="124">K216+K323</f>
        <v>93.608887655281649</v>
      </c>
      <c r="L107" s="68">
        <f t="shared" si="124"/>
        <v>56.684226146828593</v>
      </c>
      <c r="M107" s="68">
        <f t="shared" si="124"/>
        <v>48.105024658871542</v>
      </c>
      <c r="N107" s="68">
        <f t="shared" si="124"/>
        <v>46.830270738785508</v>
      </c>
      <c r="O107" s="68">
        <f t="shared" si="124"/>
        <v>45.869234013400309</v>
      </c>
      <c r="P107" s="68">
        <f t="shared" si="124"/>
        <v>44.96044940406297</v>
      </c>
      <c r="Q107" s="68">
        <f t="shared" si="124"/>
        <v>44.216663601947403</v>
      </c>
      <c r="R107" s="68">
        <f t="shared" si="124"/>
        <v>44.216663601947403</v>
      </c>
      <c r="S107" s="68">
        <f t="shared" si="124"/>
        <v>44.216663601947403</v>
      </c>
      <c r="T107" s="68">
        <f t="shared" si="124"/>
        <v>44.216663601947403</v>
      </c>
      <c r="U107" s="68">
        <f t="shared" si="124"/>
        <v>44.216663601947403</v>
      </c>
      <c r="V107" s="68">
        <f t="shared" si="124"/>
        <v>44.216663601947403</v>
      </c>
    </row>
    <row r="108" spans="1:22" x14ac:dyDescent="0.2">
      <c r="A108" s="29">
        <f t="shared" si="105"/>
        <v>20</v>
      </c>
      <c r="B108" s="334" t="str">
        <f t="shared" si="116"/>
        <v>e-Hydrogen (liquid) - Africa&amp;Other - Fuel cost total - USD/GJ</v>
      </c>
      <c r="C108" t="str" cm="1">
        <f t="array" ref="C108">INDEX(list_AE_fuel,A108)</f>
        <v>e-Hydrogen (liquid)</v>
      </c>
      <c r="D108"/>
      <c r="E108" t="str">
        <f>E104</f>
        <v>Africa&amp;Other</v>
      </c>
      <c r="F108" t="str">
        <f t="shared" si="117"/>
        <v>Fuel cost total - USD/GJ</v>
      </c>
      <c r="G108"/>
      <c r="H108" s="409"/>
      <c r="I108" t="s">
        <v>324</v>
      </c>
      <c r="K108" s="68">
        <f t="shared" ref="K108:V108" si="125">K217+K324</f>
        <v>79.707239804925521</v>
      </c>
      <c r="L108" s="68">
        <f t="shared" si="125"/>
        <v>58.137184551113585</v>
      </c>
      <c r="M108" s="68">
        <f t="shared" si="125"/>
        <v>50.631693929645536</v>
      </c>
      <c r="N108" s="68">
        <f t="shared" si="125"/>
        <v>47.022079791144371</v>
      </c>
      <c r="O108" s="68">
        <f t="shared" si="125"/>
        <v>43.54597134498183</v>
      </c>
      <c r="P108" s="68">
        <f t="shared" si="125"/>
        <v>39.227904094714333</v>
      </c>
      <c r="Q108" s="68">
        <f t="shared" si="125"/>
        <v>35.55069778980149</v>
      </c>
      <c r="R108" s="68">
        <f t="shared" si="125"/>
        <v>35.55069778980149</v>
      </c>
      <c r="S108" s="68">
        <f t="shared" si="125"/>
        <v>35.55069778980149</v>
      </c>
      <c r="T108" s="68">
        <f t="shared" si="125"/>
        <v>35.55069778980149</v>
      </c>
      <c r="U108" s="68">
        <f t="shared" si="125"/>
        <v>35.55069778980149</v>
      </c>
      <c r="V108" s="68">
        <f t="shared" si="125"/>
        <v>35.55069778980149</v>
      </c>
    </row>
    <row r="112" spans="1:22" ht="15" x14ac:dyDescent="0.25">
      <c r="B112" s="30" t="s">
        <v>723</v>
      </c>
    </row>
    <row r="113" spans="1:22" x14ac:dyDescent="0.2">
      <c r="B113" s="144" t="s">
        <v>618</v>
      </c>
      <c r="C113" s="144" t="s">
        <v>49</v>
      </c>
      <c r="D113" s="408"/>
      <c r="E113" s="144" t="s">
        <v>722</v>
      </c>
      <c r="F113" s="144"/>
      <c r="G113" s="144"/>
      <c r="H113" s="144" t="s">
        <v>724</v>
      </c>
      <c r="I113" s="144"/>
      <c r="J113" s="56"/>
      <c r="K113" s="56">
        <v>2020</v>
      </c>
      <c r="L113" s="56">
        <f>K113+5</f>
        <v>2025</v>
      </c>
      <c r="M113" s="56">
        <f t="shared" ref="M113:V113" si="126">L113+5</f>
        <v>2030</v>
      </c>
      <c r="N113" s="56">
        <f t="shared" si="126"/>
        <v>2035</v>
      </c>
      <c r="O113" s="56">
        <f t="shared" si="126"/>
        <v>2040</v>
      </c>
      <c r="P113" s="56">
        <f t="shared" si="126"/>
        <v>2045</v>
      </c>
      <c r="Q113" s="56">
        <f t="shared" si="126"/>
        <v>2050</v>
      </c>
      <c r="R113" s="56">
        <f t="shared" si="126"/>
        <v>2055</v>
      </c>
      <c r="S113" s="56">
        <f t="shared" si="126"/>
        <v>2060</v>
      </c>
      <c r="T113" s="56">
        <f t="shared" si="126"/>
        <v>2065</v>
      </c>
      <c r="U113" s="56">
        <f t="shared" si="126"/>
        <v>2070</v>
      </c>
      <c r="V113" s="56">
        <f t="shared" si="126"/>
        <v>2075</v>
      </c>
    </row>
    <row r="114" spans="1:22" x14ac:dyDescent="0.2">
      <c r="A114" s="29">
        <v>1</v>
      </c>
      <c r="B114" s="334" t="str">
        <f t="shared" ref="B114:B133" si="127">_xlfn.TEXTJOIN(keydelim,TRUE,C114:G114)</f>
        <v>LSFO - Europe - Fuel cost - USD/GJ</v>
      </c>
      <c r="C114" t="str" cm="1">
        <f t="array" ref="C114">INDEX(list_AE_fuel,A114)</f>
        <v>LSFO</v>
      </c>
      <c r="D114"/>
      <c r="E114" t="s">
        <v>195</v>
      </c>
      <c r="F114" t="str">
        <f t="shared" ref="F114:F133" si="128">"Fuel cost"  &amp;keydelim &amp;I114</f>
        <v>Fuel cost - USD/GJ</v>
      </c>
      <c r="G114" s="128"/>
      <c r="H114" s="128" t="str" cm="1">
        <f t="array" ref="H114">INDEX('Configurator Specs.'!$CG$5:$CG$24,A114)</f>
        <v>External</v>
      </c>
      <c r="I114" t="s">
        <v>324</v>
      </c>
      <c r="K114" s="89">
        <f>IF(K$113&gt;2050,J114,
IF($H114="Modeled", INDEX('Fuel Model - Summary'!H:H,MATCH('Fuel Selector'!$B114,'Fuel Model - Summary'!$B:$B,0)),
IF($H114 = "External", INDEX('Fuel Cost - External'!H:H,MATCH('Fuel Selector'!$B114,'Fuel Cost - External'!$B:$B,0)),0)
))</f>
        <v>21.473621920116738</v>
      </c>
      <c r="L114" s="89">
        <f>IF(L$113&gt;2050,K114,
IF($H114="Modeled", INDEX('Fuel Model - Summary'!I:I,MATCH('Fuel Selector'!$B114,'Fuel Model - Summary'!$B:$B,0)),
IF($H114 = "External", INDEX('Fuel Cost - External'!I:I,MATCH('Fuel Selector'!$B114,'Fuel Cost - External'!$B:$B,0)),0)
))</f>
        <v>15.404989638344617</v>
      </c>
      <c r="M114" s="89">
        <f>IF(M$113&gt;2050,L114,
IF($H114="Modeled", INDEX('Fuel Model - Summary'!J:J,MATCH('Fuel Selector'!$B114,'Fuel Model - Summary'!$B:$B,0)),
IF($H114 = "External", INDEX('Fuel Cost - External'!J:J,MATCH('Fuel Selector'!$B114,'Fuel Cost - External'!$B:$B,0)),0)
))</f>
        <v>13.444354593464393</v>
      </c>
      <c r="N114" s="89">
        <f>IF(N$113&gt;2050,M114,
IF($H114="Modeled", INDEX('Fuel Model - Summary'!K:K,MATCH('Fuel Selector'!$B114,'Fuel Model - Summary'!$B:$B,0)),
IF($H114 = "External", INDEX('Fuel Cost - External'!K:K,MATCH('Fuel Selector'!$B114,'Fuel Cost - External'!$B:$B,0)),0)
))</f>
        <v>13.444354593464393</v>
      </c>
      <c r="O114" s="89">
        <f>IF(O$113&gt;2050,N114,
IF($H114="Modeled", INDEX('Fuel Model - Summary'!L:L,MATCH('Fuel Selector'!$B114,'Fuel Model - Summary'!$B:$B,0)),
IF($H114 = "External", INDEX('Fuel Cost - External'!L:L,MATCH('Fuel Selector'!$B114,'Fuel Cost - External'!$B:$B,0)),0)
))</f>
        <v>13.444354593464393</v>
      </c>
      <c r="P114" s="89">
        <f>IF(P$113&gt;2050,O114,
IF($H114="Modeled", INDEX('Fuel Model - Summary'!M:M,MATCH('Fuel Selector'!$B114,'Fuel Model - Summary'!$B:$B,0)),
IF($H114 = "External", INDEX('Fuel Cost - External'!M:M,MATCH('Fuel Selector'!$B114,'Fuel Cost - External'!$B:$B,0)),0)
))</f>
        <v>13.444354593464393</v>
      </c>
      <c r="Q114" s="89">
        <f>IF(Q$113&gt;2050,P114,
IF($H114="Modeled", INDEX('Fuel Model - Summary'!N:N,MATCH('Fuel Selector'!$B114,'Fuel Model - Summary'!$B:$B,0)),
IF($H114 = "External", INDEX('Fuel Cost - External'!N:N,MATCH('Fuel Selector'!$B114,'Fuel Cost - External'!$B:$B,0)),0)
))</f>
        <v>13.444354593464393</v>
      </c>
      <c r="R114" s="89">
        <f>IF(R$113&gt;2050,Q114,
IF($H114="Modeled", INDEX('Fuel Model - Summary'!O:O,MATCH('Fuel Selector'!$B114,'Fuel Model - Summary'!$B:$B,0)),
IF($H114 = "External", INDEX('Fuel Cost - External'!O:O,MATCH('Fuel Selector'!$B114,'Fuel Cost - External'!$B:$B,0)),0)
))</f>
        <v>13.444354593464393</v>
      </c>
      <c r="S114" s="89">
        <f>IF(S$113&gt;2050,R114,
IF($H114="Modeled", INDEX('Fuel Model - Summary'!P:P,MATCH('Fuel Selector'!$B114,'Fuel Model - Summary'!$B:$B,0)),
IF($H114 = "External", INDEX('Fuel Cost - External'!P:P,MATCH('Fuel Selector'!$B114,'Fuel Cost - External'!$B:$B,0)),0)
))</f>
        <v>13.444354593464393</v>
      </c>
      <c r="T114" s="89">
        <f>IF(T$113&gt;2050,S114,
IF($H114="Modeled", INDEX('Fuel Model - Summary'!Q:Q,MATCH('Fuel Selector'!$B114,'Fuel Model - Summary'!$B:$B,0)),
IF($H114 = "External", INDEX('Fuel Cost - External'!Q:Q,MATCH('Fuel Selector'!$B114,'Fuel Cost - External'!$B:$B,0)),0)
))</f>
        <v>13.444354593464393</v>
      </c>
      <c r="U114" s="89">
        <f>IF(U$113&gt;2050,T114,
IF($H114="Modeled", INDEX('Fuel Model - Summary'!R:R,MATCH('Fuel Selector'!$B114,'Fuel Model - Summary'!$B:$B,0)),
IF($H114 = "External", INDEX('Fuel Cost - External'!R:R,MATCH('Fuel Selector'!$B114,'Fuel Cost - External'!$B:$B,0)),0)
))</f>
        <v>13.444354593464393</v>
      </c>
      <c r="V114" s="89">
        <f>IF(V$113&gt;2050,U114,
IF($H114="Modeled", INDEX('Fuel Model - Summary'!S:S,MATCH('Fuel Selector'!$B114,'Fuel Model - Summary'!$B:$B,0)),
IF($H114 = "External", INDEX('Fuel Cost - External'!S:S,MATCH('Fuel Selector'!$B114,'Fuel Cost - External'!$B:$B,0)),0)
))</f>
        <v>13.444354593464393</v>
      </c>
    </row>
    <row r="115" spans="1:22" x14ac:dyDescent="0.2">
      <c r="A115" s="29">
        <f>A114+1</f>
        <v>2</v>
      </c>
      <c r="B115" s="334" t="str">
        <f t="shared" si="127"/>
        <v>LNG - Europe - Fuel cost - USD/GJ</v>
      </c>
      <c r="C115" t="str" cm="1">
        <f t="array" ref="C115">INDEX(list_AE_fuel,A115)</f>
        <v>LNG</v>
      </c>
      <c r="D115"/>
      <c r="E115" t="str">
        <f t="shared" ref="E115:E124" si="129">E114</f>
        <v>Europe</v>
      </c>
      <c r="F115" t="str">
        <f t="shared" si="128"/>
        <v>Fuel cost - USD/GJ</v>
      </c>
      <c r="G115" s="128"/>
      <c r="H115" s="128" t="str" cm="1">
        <f t="array" ref="H115">INDEX('Configurator Specs.'!$CG$5:$CG$24,A115)</f>
        <v>Modeled</v>
      </c>
      <c r="I115" t="s">
        <v>324</v>
      </c>
      <c r="K115" s="89">
        <f>IF(K$113&gt;2050,J115,
IF($H115="Modeled", INDEX('Fuel Model - Summary'!H:H,MATCH('Fuel Selector'!$B115,'Fuel Model - Summary'!$B:$B,0)),
IF($H115 = "External", INDEX('Fuel Cost - External'!H:H,MATCH('Fuel Selector'!$B115,'Fuel Cost - External'!$B:$B,0)),0)
))</f>
        <v>41.380111807070527</v>
      </c>
      <c r="L115" s="89">
        <f>IF(L$113&gt;2050,K115,
IF($H115="Modeled", INDEX('Fuel Model - Summary'!I:I,MATCH('Fuel Selector'!$B115,'Fuel Model - Summary'!$B:$B,0)),
IF($H115 = "External", INDEX('Fuel Cost - External'!I:I,MATCH('Fuel Selector'!$B115,'Fuel Cost - External'!$B:$B,0)),0)
))</f>
        <v>19.276185376190934</v>
      </c>
      <c r="M115" s="89">
        <f>IF(M$113&gt;2050,L115,
IF($H115="Modeled", INDEX('Fuel Model - Summary'!J:J,MATCH('Fuel Selector'!$B115,'Fuel Model - Summary'!$B:$B,0)),
IF($H115 = "External", INDEX('Fuel Cost - External'!J:J,MATCH('Fuel Selector'!$B115,'Fuel Cost - External'!$B:$B,0)),0)
))</f>
        <v>14.387060005873366</v>
      </c>
      <c r="N115" s="89">
        <f>IF(N$113&gt;2050,M115,
IF($H115="Modeled", INDEX('Fuel Model - Summary'!K:K,MATCH('Fuel Selector'!$B115,'Fuel Model - Summary'!$B:$B,0)),
IF($H115 = "External", INDEX('Fuel Cost - External'!K:K,MATCH('Fuel Selector'!$B115,'Fuel Cost - External'!$B:$B,0)),0)
))</f>
        <v>14.249183654332128</v>
      </c>
      <c r="O115" s="89">
        <f>IF(O$113&gt;2050,N115,
IF($H115="Modeled", INDEX('Fuel Model - Summary'!L:L,MATCH('Fuel Selector'!$B115,'Fuel Model - Summary'!$B:$B,0)),
IF($H115 = "External", INDEX('Fuel Cost - External'!L:L,MATCH('Fuel Selector'!$B115,'Fuel Cost - External'!$B:$B,0)),0)
))</f>
        <v>14.13111687573616</v>
      </c>
      <c r="P115" s="89">
        <f>IF(P$113&gt;2050,O115,
IF($H115="Modeled", INDEX('Fuel Model - Summary'!M:M,MATCH('Fuel Selector'!$B115,'Fuel Model - Summary'!$B:$B,0)),
IF($H115 = "External", INDEX('Fuel Cost - External'!M:M,MATCH('Fuel Selector'!$B115,'Fuel Cost - External'!$B:$B,0)),0)
))</f>
        <v>14.013368551055779</v>
      </c>
      <c r="Q115" s="89">
        <f>IF(Q$113&gt;2050,P115,
IF($H115="Modeled", INDEX('Fuel Model - Summary'!N:N,MATCH('Fuel Selector'!$B115,'Fuel Model - Summary'!$B:$B,0)),
IF($H115 = "External", INDEX('Fuel Cost - External'!N:N,MATCH('Fuel Selector'!$B115,'Fuel Cost - External'!$B:$B,0)),0)
))</f>
        <v>13.905262145029377</v>
      </c>
      <c r="R115" s="89">
        <f>IF(R$113&gt;2050,Q115,
IF($H115="Modeled", INDEX('Fuel Model - Summary'!O:O,MATCH('Fuel Selector'!$B115,'Fuel Model - Summary'!$B:$B,0)),
IF($H115 = "External", INDEX('Fuel Cost - External'!O:O,MATCH('Fuel Selector'!$B115,'Fuel Cost - External'!$B:$B,0)),0)
))</f>
        <v>13.905262145029377</v>
      </c>
      <c r="S115" s="89">
        <f>IF(S$113&gt;2050,R115,
IF($H115="Modeled", INDEX('Fuel Model - Summary'!P:P,MATCH('Fuel Selector'!$B115,'Fuel Model - Summary'!$B:$B,0)),
IF($H115 = "External", INDEX('Fuel Cost - External'!P:P,MATCH('Fuel Selector'!$B115,'Fuel Cost - External'!$B:$B,0)),0)
))</f>
        <v>13.905262145029377</v>
      </c>
      <c r="T115" s="89">
        <f>IF(T$113&gt;2050,S115,
IF($H115="Modeled", INDEX('Fuel Model - Summary'!Q:Q,MATCH('Fuel Selector'!$B115,'Fuel Model - Summary'!$B:$B,0)),
IF($H115 = "External", INDEX('Fuel Cost - External'!Q:Q,MATCH('Fuel Selector'!$B115,'Fuel Cost - External'!$B:$B,0)),0)
))</f>
        <v>13.905262145029377</v>
      </c>
      <c r="U115" s="89">
        <f>IF(U$113&gt;2050,T115,
IF($H115="Modeled", INDEX('Fuel Model - Summary'!R:R,MATCH('Fuel Selector'!$B115,'Fuel Model - Summary'!$B:$B,0)),
IF($H115 = "External", INDEX('Fuel Cost - External'!R:R,MATCH('Fuel Selector'!$B115,'Fuel Cost - External'!$B:$B,0)),0)
))</f>
        <v>13.905262145029377</v>
      </c>
      <c r="V115" s="89">
        <f>IF(V$113&gt;2050,U115,
IF($H115="Modeled", INDEX('Fuel Model - Summary'!S:S,MATCH('Fuel Selector'!$B115,'Fuel Model - Summary'!$B:$B,0)),
IF($H115 = "External", INDEX('Fuel Cost - External'!S:S,MATCH('Fuel Selector'!$B115,'Fuel Cost - External'!$B:$B,0)),0)
))</f>
        <v>13.905262145029377</v>
      </c>
    </row>
    <row r="116" spans="1:22" x14ac:dyDescent="0.2">
      <c r="A116" s="29">
        <f t="shared" ref="A116:A133" si="130">A115+1</f>
        <v>3</v>
      </c>
      <c r="B116" s="334" t="str">
        <f t="shared" si="127"/>
        <v>LPG - Europe - Fuel cost - USD/GJ</v>
      </c>
      <c r="C116" t="str" cm="1">
        <f t="array" ref="C116">INDEX(list_AE_fuel,A116)</f>
        <v>LPG</v>
      </c>
      <c r="D116"/>
      <c r="E116" t="str">
        <f t="shared" si="129"/>
        <v>Europe</v>
      </c>
      <c r="F116" t="str">
        <f t="shared" si="128"/>
        <v>Fuel cost - USD/GJ</v>
      </c>
      <c r="G116" s="128"/>
      <c r="H116" s="128" t="str" cm="1">
        <f t="array" ref="H116">INDEX('Configurator Specs.'!$CG$5:$CG$24,A116)</f>
        <v>External</v>
      </c>
      <c r="I116" t="s">
        <v>324</v>
      </c>
      <c r="K116" s="89">
        <f>IF(K$113&gt;2050,J116,
IF($H116="Modeled", INDEX('Fuel Model - Summary'!H:H,MATCH('Fuel Selector'!$B116,'Fuel Model - Summary'!$B:$B,0)),
IF($H116 = "External", INDEX('Fuel Cost - External'!H:H,MATCH('Fuel Selector'!$B116,'Fuel Cost - External'!$B:$B,0)),0)
))</f>
        <v>16.525069073439496</v>
      </c>
      <c r="L116" s="89">
        <f>IF(L$113&gt;2050,K116,
IF($H116="Modeled", INDEX('Fuel Model - Summary'!I:I,MATCH('Fuel Selector'!$B116,'Fuel Model - Summary'!$B:$B,0)),
IF($H116 = "External", INDEX('Fuel Cost - External'!I:I,MATCH('Fuel Selector'!$B116,'Fuel Cost - External'!$B:$B,0)),0)
))</f>
        <v>11.854940857032684</v>
      </c>
      <c r="M116" s="89">
        <f>IF(M$113&gt;2050,L116,
IF($H116="Modeled", INDEX('Fuel Model - Summary'!J:J,MATCH('Fuel Selector'!$B116,'Fuel Model - Summary'!$B:$B,0)),
IF($H116 = "External", INDEX('Fuel Cost - External'!J:J,MATCH('Fuel Selector'!$B116,'Fuel Cost - External'!$B:$B,0)),0)
))</f>
        <v>10.34613020250125</v>
      </c>
      <c r="N116" s="89">
        <f>IF(N$113&gt;2050,M116,
IF($H116="Modeled", INDEX('Fuel Model - Summary'!K:K,MATCH('Fuel Selector'!$B116,'Fuel Model - Summary'!$B:$B,0)),
IF($H116 = "External", INDEX('Fuel Cost - External'!K:K,MATCH('Fuel Selector'!$B116,'Fuel Cost - External'!$B:$B,0)),0)
))</f>
        <v>10.34613020250125</v>
      </c>
      <c r="O116" s="89">
        <f>IF(O$113&gt;2050,N116,
IF($H116="Modeled", INDEX('Fuel Model - Summary'!L:L,MATCH('Fuel Selector'!$B116,'Fuel Model - Summary'!$B:$B,0)),
IF($H116 = "External", INDEX('Fuel Cost - External'!L:L,MATCH('Fuel Selector'!$B116,'Fuel Cost - External'!$B:$B,0)),0)
))</f>
        <v>10.34613020250125</v>
      </c>
      <c r="P116" s="89">
        <f>IF(P$113&gt;2050,O116,
IF($H116="Modeled", INDEX('Fuel Model - Summary'!M:M,MATCH('Fuel Selector'!$B116,'Fuel Model - Summary'!$B:$B,0)),
IF($H116 = "External", INDEX('Fuel Cost - External'!M:M,MATCH('Fuel Selector'!$B116,'Fuel Cost - External'!$B:$B,0)),0)
))</f>
        <v>10.34613020250125</v>
      </c>
      <c r="Q116" s="89">
        <f>IF(Q$113&gt;2050,P116,
IF($H116="Modeled", INDEX('Fuel Model - Summary'!N:N,MATCH('Fuel Selector'!$B116,'Fuel Model - Summary'!$B:$B,0)),
IF($H116 = "External", INDEX('Fuel Cost - External'!N:N,MATCH('Fuel Selector'!$B116,'Fuel Cost - External'!$B:$B,0)),0)
))</f>
        <v>10.34613020250125</v>
      </c>
      <c r="R116" s="89">
        <f>IF(R$113&gt;2050,Q116,
IF($H116="Modeled", INDEX('Fuel Model - Summary'!O:O,MATCH('Fuel Selector'!$B116,'Fuel Model - Summary'!$B:$B,0)),
IF($H116 = "External", INDEX('Fuel Cost - External'!O:O,MATCH('Fuel Selector'!$B116,'Fuel Cost - External'!$B:$B,0)),0)
))</f>
        <v>10.34613020250125</v>
      </c>
      <c r="S116" s="89">
        <f>IF(S$113&gt;2050,R116,
IF($H116="Modeled", INDEX('Fuel Model - Summary'!P:P,MATCH('Fuel Selector'!$B116,'Fuel Model - Summary'!$B:$B,0)),
IF($H116 = "External", INDEX('Fuel Cost - External'!P:P,MATCH('Fuel Selector'!$B116,'Fuel Cost - External'!$B:$B,0)),0)
))</f>
        <v>10.34613020250125</v>
      </c>
      <c r="T116" s="89">
        <f>IF(T$113&gt;2050,S116,
IF($H116="Modeled", INDEX('Fuel Model - Summary'!Q:Q,MATCH('Fuel Selector'!$B116,'Fuel Model - Summary'!$B:$B,0)),
IF($H116 = "External", INDEX('Fuel Cost - External'!Q:Q,MATCH('Fuel Selector'!$B116,'Fuel Cost - External'!$B:$B,0)),0)
))</f>
        <v>10.34613020250125</v>
      </c>
      <c r="U116" s="89">
        <f>IF(U$113&gt;2050,T116,
IF($H116="Modeled", INDEX('Fuel Model - Summary'!R:R,MATCH('Fuel Selector'!$B116,'Fuel Model - Summary'!$B:$B,0)),
IF($H116 = "External", INDEX('Fuel Cost - External'!R:R,MATCH('Fuel Selector'!$B116,'Fuel Cost - External'!$B:$B,0)),0)
))</f>
        <v>10.34613020250125</v>
      </c>
      <c r="V116" s="89">
        <f>IF(V$113&gt;2050,U116,
IF($H116="Modeled", INDEX('Fuel Model - Summary'!S:S,MATCH('Fuel Selector'!$B116,'Fuel Model - Summary'!$B:$B,0)),
IF($H116 = "External", INDEX('Fuel Cost - External'!S:S,MATCH('Fuel Selector'!$B116,'Fuel Cost - External'!$B:$B,0)),0)
))</f>
        <v>10.34613020250125</v>
      </c>
    </row>
    <row r="117" spans="1:22" x14ac:dyDescent="0.2">
      <c r="A117" s="29">
        <f t="shared" si="130"/>
        <v>4</v>
      </c>
      <c r="B117" s="334" t="str">
        <f t="shared" si="127"/>
        <v>Electricity - Europe - Fuel cost - USD/GJ</v>
      </c>
      <c r="C117" t="str" cm="1">
        <f t="array" ref="C117">INDEX(list_AE_fuel,A117)</f>
        <v>Electricity</v>
      </c>
      <c r="D117"/>
      <c r="E117" t="str">
        <f t="shared" si="129"/>
        <v>Europe</v>
      </c>
      <c r="F117" t="str">
        <f t="shared" si="128"/>
        <v>Fuel cost - USD/GJ</v>
      </c>
      <c r="G117" s="128"/>
      <c r="H117" s="128" t="str" cm="1">
        <f t="array" ref="H117">INDEX('Configurator Specs.'!$CG$5:$CG$24,A117)</f>
        <v>External</v>
      </c>
      <c r="I117" t="s">
        <v>324</v>
      </c>
      <c r="K117" s="89">
        <f>IF(K$113&gt;2050,J117,
IF($H117="Modeled", INDEX('Fuel Model - Summary'!H:H,MATCH('Fuel Selector'!$B117,'Fuel Model - Summary'!$B:$B,0)),
IF($H117 = "External", INDEX('Fuel Cost - External'!H:H,MATCH('Fuel Selector'!$B117,'Fuel Cost - External'!$B:$B,0)),0)
))</f>
        <v>15.16569951429995</v>
      </c>
      <c r="L117" s="89">
        <f>IF(L$113&gt;2050,K117,
IF($H117="Modeled", INDEX('Fuel Model - Summary'!I:I,MATCH('Fuel Selector'!$B117,'Fuel Model - Summary'!$B:$B,0)),
IF($H117 = "External", INDEX('Fuel Cost - External'!I:I,MATCH('Fuel Selector'!$B117,'Fuel Cost - External'!$B:$B,0)),0)
))</f>
        <v>12.271712063502227</v>
      </c>
      <c r="M117" s="89">
        <f>IF(M$113&gt;2050,L117,
IF($H117="Modeled", INDEX('Fuel Model - Summary'!J:J,MATCH('Fuel Selector'!$B117,'Fuel Model - Summary'!$B:$B,0)),
IF($H117 = "External", INDEX('Fuel Cost - External'!J:J,MATCH('Fuel Selector'!$B117,'Fuel Cost - External'!$B:$B,0)),0)
))</f>
        <v>9.9333527150524326</v>
      </c>
      <c r="N117" s="89">
        <f>IF(N$113&gt;2050,M117,
IF($H117="Modeled", INDEX('Fuel Model - Summary'!K:K,MATCH('Fuel Selector'!$B117,'Fuel Model - Summary'!$B:$B,0)),
IF($H117 = "External", INDEX('Fuel Cost - External'!K:K,MATCH('Fuel Selector'!$B117,'Fuel Cost - External'!$B:$B,0)),0)
))</f>
        <v>8.9617648895813655</v>
      </c>
      <c r="O117" s="89">
        <f>IF(O$113&gt;2050,N117,
IF($H117="Modeled", INDEX('Fuel Model - Summary'!L:L,MATCH('Fuel Selector'!$B117,'Fuel Model - Summary'!$B:$B,0)),
IF($H117 = "External", INDEX('Fuel Cost - External'!L:L,MATCH('Fuel Selector'!$B117,'Fuel Cost - External'!$B:$B,0)),0)
))</f>
        <v>8.3816775744755088</v>
      </c>
      <c r="P117" s="89">
        <f>IF(P$113&gt;2050,O117,
IF($H117="Modeled", INDEX('Fuel Model - Summary'!M:M,MATCH('Fuel Selector'!$B117,'Fuel Model - Summary'!$B:$B,0)),
IF($H117 = "External", INDEX('Fuel Cost - External'!M:M,MATCH('Fuel Selector'!$B117,'Fuel Cost - External'!$B:$B,0)),0)
))</f>
        <v>7.7610888759319465</v>
      </c>
      <c r="Q117" s="89">
        <f>IF(Q$113&gt;2050,P117,
IF($H117="Modeled", INDEX('Fuel Model - Summary'!N:N,MATCH('Fuel Selector'!$B117,'Fuel Model - Summary'!$B:$B,0)),
IF($H117 = "External", INDEX('Fuel Cost - External'!N:N,MATCH('Fuel Selector'!$B117,'Fuel Cost - External'!$B:$B,0)),0)
))</f>
        <v>7.3082945808997541</v>
      </c>
      <c r="R117" s="89">
        <f>IF(R$113&gt;2050,Q117,
IF($H117="Modeled", INDEX('Fuel Model - Summary'!O:O,MATCH('Fuel Selector'!$B117,'Fuel Model - Summary'!$B:$B,0)),
IF($H117 = "External", INDEX('Fuel Cost - External'!O:O,MATCH('Fuel Selector'!$B117,'Fuel Cost - External'!$B:$B,0)),0)
))</f>
        <v>7.3082945808997541</v>
      </c>
      <c r="S117" s="89">
        <f>IF(S$113&gt;2050,R117,
IF($H117="Modeled", INDEX('Fuel Model - Summary'!P:P,MATCH('Fuel Selector'!$B117,'Fuel Model - Summary'!$B:$B,0)),
IF($H117 = "External", INDEX('Fuel Cost - External'!P:P,MATCH('Fuel Selector'!$B117,'Fuel Cost - External'!$B:$B,0)),0)
))</f>
        <v>7.3082945808997541</v>
      </c>
      <c r="T117" s="89">
        <f>IF(T$113&gt;2050,S117,
IF($H117="Modeled", INDEX('Fuel Model - Summary'!Q:Q,MATCH('Fuel Selector'!$B117,'Fuel Model - Summary'!$B:$B,0)),
IF($H117 = "External", INDEX('Fuel Cost - External'!Q:Q,MATCH('Fuel Selector'!$B117,'Fuel Cost - External'!$B:$B,0)),0)
))</f>
        <v>7.3082945808997541</v>
      </c>
      <c r="U117" s="89">
        <f>IF(U$113&gt;2050,T117,
IF($H117="Modeled", INDEX('Fuel Model - Summary'!R:R,MATCH('Fuel Selector'!$B117,'Fuel Model - Summary'!$B:$B,0)),
IF($H117 = "External", INDEX('Fuel Cost - External'!R:R,MATCH('Fuel Selector'!$B117,'Fuel Cost - External'!$B:$B,0)),0)
))</f>
        <v>7.3082945808997541</v>
      </c>
      <c r="V117" s="89">
        <f>IF(V$113&gt;2050,U117,
IF($H117="Modeled", INDEX('Fuel Model - Summary'!S:S,MATCH('Fuel Selector'!$B117,'Fuel Model - Summary'!$B:$B,0)),
IF($H117 = "External", INDEX('Fuel Cost - External'!S:S,MATCH('Fuel Selector'!$B117,'Fuel Cost - External'!$B:$B,0)),0)
))</f>
        <v>7.3082945808997541</v>
      </c>
    </row>
    <row r="118" spans="1:22" x14ac:dyDescent="0.2">
      <c r="A118" s="29">
        <f t="shared" si="130"/>
        <v>5</v>
      </c>
      <c r="B118" s="334" t="str">
        <f t="shared" si="127"/>
        <v>e-Ammonia - Europe - Fuel cost - USD/GJ</v>
      </c>
      <c r="C118" t="str" cm="1">
        <f t="array" ref="C118">INDEX(list_AE_fuel,A118)</f>
        <v>e-Ammonia</v>
      </c>
      <c r="D118"/>
      <c r="E118" t="str">
        <f t="shared" si="129"/>
        <v>Europe</v>
      </c>
      <c r="F118" t="str">
        <f t="shared" si="128"/>
        <v>Fuel cost - USD/GJ</v>
      </c>
      <c r="G118" s="226"/>
      <c r="H118" s="128" t="str" cm="1">
        <f t="array" ref="H118">INDEX('Configurator Specs.'!$CG$5:$CG$24,A118)</f>
        <v>Modeled</v>
      </c>
      <c r="I118" t="s">
        <v>324</v>
      </c>
      <c r="K118" s="89">
        <f>IF(K$113&gt;2050,J118,
IF($H118="Modeled", INDEX('Fuel Model - Summary'!H:H,MATCH('Fuel Selector'!$B118,'Fuel Model - Summary'!$B:$B,0)),
IF($H118 = "External", INDEX('Fuel Cost - External'!H:H,MATCH('Fuel Selector'!$B118,'Fuel Cost - External'!$B:$B,0)),0)
))</f>
        <v>69.147679227801092</v>
      </c>
      <c r="L118" s="89">
        <f>IF(L$113&gt;2050,K118,
IF($H118="Modeled", INDEX('Fuel Model - Summary'!I:I,MATCH('Fuel Selector'!$B118,'Fuel Model - Summary'!$B:$B,0)),
IF($H118 = "External", INDEX('Fuel Cost - External'!I:I,MATCH('Fuel Selector'!$B118,'Fuel Cost - External'!$B:$B,0)),0)
))</f>
        <v>51.907043152241933</v>
      </c>
      <c r="M118" s="89">
        <f>IF(M$113&gt;2050,L118,
IF($H118="Modeled", INDEX('Fuel Model - Summary'!J:J,MATCH('Fuel Selector'!$B118,'Fuel Model - Summary'!$B:$B,0)),
IF($H118 = "External", INDEX('Fuel Cost - External'!J:J,MATCH('Fuel Selector'!$B118,'Fuel Cost - External'!$B:$B,0)),0)
))</f>
        <v>36.241678466647947</v>
      </c>
      <c r="N118" s="89">
        <f>IF(N$113&gt;2050,M118,
IF($H118="Modeled", INDEX('Fuel Model - Summary'!K:K,MATCH('Fuel Selector'!$B118,'Fuel Model - Summary'!$B:$B,0)),
IF($H118 = "External", INDEX('Fuel Cost - External'!K:K,MATCH('Fuel Selector'!$B118,'Fuel Cost - External'!$B:$B,0)),0)
))</f>
        <v>33.24696850135728</v>
      </c>
      <c r="O118" s="89">
        <f>IF(O$113&gt;2050,N118,
IF($H118="Modeled", INDEX('Fuel Model - Summary'!L:L,MATCH('Fuel Selector'!$B118,'Fuel Model - Summary'!$B:$B,0)),
IF($H118 = "External", INDEX('Fuel Cost - External'!L:L,MATCH('Fuel Selector'!$B118,'Fuel Cost - External'!$B:$B,0)),0)
))</f>
        <v>29.440597587820502</v>
      </c>
      <c r="P118" s="89">
        <f>IF(P$113&gt;2050,O118,
IF($H118="Modeled", INDEX('Fuel Model - Summary'!M:M,MATCH('Fuel Selector'!$B118,'Fuel Model - Summary'!$B:$B,0)),
IF($H118 = "External", INDEX('Fuel Cost - External'!M:M,MATCH('Fuel Selector'!$B118,'Fuel Cost - External'!$B:$B,0)),0)
))</f>
        <v>24.63580598560192</v>
      </c>
      <c r="Q118" s="89">
        <f>IF(Q$113&gt;2050,P118,
IF($H118="Modeled", INDEX('Fuel Model - Summary'!N:N,MATCH('Fuel Selector'!$B118,'Fuel Model - Summary'!$B:$B,0)),
IF($H118 = "External", INDEX('Fuel Cost - External'!N:N,MATCH('Fuel Selector'!$B118,'Fuel Cost - External'!$B:$B,0)),0)
))</f>
        <v>20.141277008984552</v>
      </c>
      <c r="R118" s="89">
        <f>IF(R$113&gt;2050,Q118,
IF($H118="Modeled", INDEX('Fuel Model - Summary'!O:O,MATCH('Fuel Selector'!$B118,'Fuel Model - Summary'!$B:$B,0)),
IF($H118 = "External", INDEX('Fuel Cost - External'!O:O,MATCH('Fuel Selector'!$B118,'Fuel Cost - External'!$B:$B,0)),0)
))</f>
        <v>20.141277008984552</v>
      </c>
      <c r="S118" s="89">
        <f>IF(S$113&gt;2050,R118,
IF($H118="Modeled", INDEX('Fuel Model - Summary'!P:P,MATCH('Fuel Selector'!$B118,'Fuel Model - Summary'!$B:$B,0)),
IF($H118 = "External", INDEX('Fuel Cost - External'!P:P,MATCH('Fuel Selector'!$B118,'Fuel Cost - External'!$B:$B,0)),0)
))</f>
        <v>20.141277008984552</v>
      </c>
      <c r="T118" s="89">
        <f>IF(T$113&gt;2050,S118,
IF($H118="Modeled", INDEX('Fuel Model - Summary'!Q:Q,MATCH('Fuel Selector'!$B118,'Fuel Model - Summary'!$B:$B,0)),
IF($H118 = "External", INDEX('Fuel Cost - External'!Q:Q,MATCH('Fuel Selector'!$B118,'Fuel Cost - External'!$B:$B,0)),0)
))</f>
        <v>20.141277008984552</v>
      </c>
      <c r="U118" s="89">
        <f>IF(U$113&gt;2050,T118,
IF($H118="Modeled", INDEX('Fuel Model - Summary'!R:R,MATCH('Fuel Selector'!$B118,'Fuel Model - Summary'!$B:$B,0)),
IF($H118 = "External", INDEX('Fuel Cost - External'!R:R,MATCH('Fuel Selector'!$B118,'Fuel Cost - External'!$B:$B,0)),0)
))</f>
        <v>20.141277008984552</v>
      </c>
      <c r="V118" s="89">
        <f>IF(V$113&gt;2050,U118,
IF($H118="Modeled", INDEX('Fuel Model - Summary'!S:S,MATCH('Fuel Selector'!$B118,'Fuel Model - Summary'!$B:$B,0)),
IF($H118 = "External", INDEX('Fuel Cost - External'!S:S,MATCH('Fuel Selector'!$B118,'Fuel Cost - External'!$B:$B,0)),0)
))</f>
        <v>20.141277008984552</v>
      </c>
    </row>
    <row r="119" spans="1:22" x14ac:dyDescent="0.2">
      <c r="A119" s="29">
        <f t="shared" si="130"/>
        <v>6</v>
      </c>
      <c r="B119" s="334" t="str">
        <f t="shared" si="127"/>
        <v>Blue ammonia - Europe - Fuel cost - USD/GJ</v>
      </c>
      <c r="C119" t="str" cm="1">
        <f t="array" ref="C119">INDEX(list_AE_fuel,A119)</f>
        <v>Blue ammonia</v>
      </c>
      <c r="D119"/>
      <c r="E119" t="str">
        <f t="shared" si="129"/>
        <v>Europe</v>
      </c>
      <c r="F119" t="str">
        <f t="shared" si="128"/>
        <v>Fuel cost - USD/GJ</v>
      </c>
      <c r="G119" s="226"/>
      <c r="H119" s="128" t="str" cm="1">
        <f t="array" ref="H119">INDEX('Configurator Specs.'!$CG$5:$CG$24,A119)</f>
        <v>Modeled</v>
      </c>
      <c r="I119" t="s">
        <v>324</v>
      </c>
      <c r="K119" s="89">
        <f>IF(K$113&gt;2050,J119,
IF($H119="Modeled", INDEX('Fuel Model - Summary'!H:H,MATCH('Fuel Selector'!$B119,'Fuel Model - Summary'!$B:$B,0)),
IF($H119 = "External", INDEX('Fuel Cost - External'!H:H,MATCH('Fuel Selector'!$B119,'Fuel Cost - External'!$B:$B,0)),0)
))</f>
        <v>78.494232319177826</v>
      </c>
      <c r="L119" s="89">
        <f>IF(L$113&gt;2050,K119,
IF($H119="Modeled", INDEX('Fuel Model - Summary'!I:I,MATCH('Fuel Selector'!$B119,'Fuel Model - Summary'!$B:$B,0)),
IF($H119 = "External", INDEX('Fuel Cost - External'!I:I,MATCH('Fuel Selector'!$B119,'Fuel Cost - External'!$B:$B,0)),0)
))</f>
        <v>41.176850535514006</v>
      </c>
      <c r="M119" s="89">
        <f>IF(M$113&gt;2050,L119,
IF($H119="Modeled", INDEX('Fuel Model - Summary'!J:J,MATCH('Fuel Selector'!$B119,'Fuel Model - Summary'!$B:$B,0)),
IF($H119 = "External", INDEX('Fuel Cost - External'!J:J,MATCH('Fuel Selector'!$B119,'Fuel Cost - External'!$B:$B,0)),0)
))</f>
        <v>31.962066780365777</v>
      </c>
      <c r="N119" s="89">
        <f>IF(N$113&gt;2050,M119,
IF($H119="Modeled", INDEX('Fuel Model - Summary'!K:K,MATCH('Fuel Selector'!$B119,'Fuel Model - Summary'!$B:$B,0)),
IF($H119 = "External", INDEX('Fuel Cost - External'!K:K,MATCH('Fuel Selector'!$B119,'Fuel Cost - External'!$B:$B,0)),0)
))</f>
        <v>31.53003489001329</v>
      </c>
      <c r="O119" s="89">
        <f>IF(O$113&gt;2050,N119,
IF($H119="Modeled", INDEX('Fuel Model - Summary'!L:L,MATCH('Fuel Selector'!$B119,'Fuel Model - Summary'!$B:$B,0)),
IF($H119 = "External", INDEX('Fuel Cost - External'!L:L,MATCH('Fuel Selector'!$B119,'Fuel Cost - External'!$B:$B,0)),0)
))</f>
        <v>31.110327768919021</v>
      </c>
      <c r="P119" s="89">
        <f>IF(P$113&gt;2050,O119,
IF($H119="Modeled", INDEX('Fuel Model - Summary'!M:M,MATCH('Fuel Selector'!$B119,'Fuel Model - Summary'!$B:$B,0)),
IF($H119 = "External", INDEX('Fuel Cost - External'!M:M,MATCH('Fuel Selector'!$B119,'Fuel Cost - External'!$B:$B,0)),0)
))</f>
        <v>30.689345629804873</v>
      </c>
      <c r="Q119" s="89">
        <f>IF(Q$113&gt;2050,P119,
IF($H119="Modeled", INDEX('Fuel Model - Summary'!N:N,MATCH('Fuel Selector'!$B119,'Fuel Model - Summary'!$B:$B,0)),
IF($H119 = "External", INDEX('Fuel Cost - External'!N:N,MATCH('Fuel Selector'!$B119,'Fuel Cost - External'!$B:$B,0)),0)
))</f>
        <v>30.273645801317009</v>
      </c>
      <c r="R119" s="89">
        <f>IF(R$113&gt;2050,Q119,
IF($H119="Modeled", INDEX('Fuel Model - Summary'!O:O,MATCH('Fuel Selector'!$B119,'Fuel Model - Summary'!$B:$B,0)),
IF($H119 = "External", INDEX('Fuel Cost - External'!O:O,MATCH('Fuel Selector'!$B119,'Fuel Cost - External'!$B:$B,0)),0)
))</f>
        <v>30.273645801317009</v>
      </c>
      <c r="S119" s="89">
        <f>IF(S$113&gt;2050,R119,
IF($H119="Modeled", INDEX('Fuel Model - Summary'!P:P,MATCH('Fuel Selector'!$B119,'Fuel Model - Summary'!$B:$B,0)),
IF($H119 = "External", INDEX('Fuel Cost - External'!P:P,MATCH('Fuel Selector'!$B119,'Fuel Cost - External'!$B:$B,0)),0)
))</f>
        <v>30.273645801317009</v>
      </c>
      <c r="T119" s="89">
        <f>IF(T$113&gt;2050,S119,
IF($H119="Modeled", INDEX('Fuel Model - Summary'!Q:Q,MATCH('Fuel Selector'!$B119,'Fuel Model - Summary'!$B:$B,0)),
IF($H119 = "External", INDEX('Fuel Cost - External'!Q:Q,MATCH('Fuel Selector'!$B119,'Fuel Cost - External'!$B:$B,0)),0)
))</f>
        <v>30.273645801317009</v>
      </c>
      <c r="U119" s="89">
        <f>IF(U$113&gt;2050,T119,
IF($H119="Modeled", INDEX('Fuel Model - Summary'!R:R,MATCH('Fuel Selector'!$B119,'Fuel Model - Summary'!$B:$B,0)),
IF($H119 = "External", INDEX('Fuel Cost - External'!R:R,MATCH('Fuel Selector'!$B119,'Fuel Cost - External'!$B:$B,0)),0)
))</f>
        <v>30.273645801317009</v>
      </c>
      <c r="V119" s="89">
        <f>IF(V$113&gt;2050,U119,
IF($H119="Modeled", INDEX('Fuel Model - Summary'!S:S,MATCH('Fuel Selector'!$B119,'Fuel Model - Summary'!$B:$B,0)),
IF($H119 = "External", INDEX('Fuel Cost - External'!S:S,MATCH('Fuel Selector'!$B119,'Fuel Cost - External'!$B:$B,0)),0)
))</f>
        <v>30.273645801317009</v>
      </c>
    </row>
    <row r="120" spans="1:22" x14ac:dyDescent="0.2">
      <c r="A120" s="29">
        <f t="shared" si="130"/>
        <v>7</v>
      </c>
      <c r="B120" s="334" t="str">
        <f t="shared" si="127"/>
        <v>Biomethane - Europe - Fuel cost - USD/GJ</v>
      </c>
      <c r="C120" t="str" cm="1">
        <f t="array" ref="C120">INDEX(list_AE_fuel,A120)</f>
        <v>Biomethane</v>
      </c>
      <c r="D120"/>
      <c r="E120" t="str">
        <f t="shared" si="129"/>
        <v>Europe</v>
      </c>
      <c r="F120" t="str">
        <f t="shared" si="128"/>
        <v>Fuel cost - USD/GJ</v>
      </c>
      <c r="G120"/>
      <c r="H120" s="128" t="str" cm="1">
        <f t="array" ref="H120">INDEX('Configurator Specs.'!$CG$5:$CG$24,A120)</f>
        <v>Modeled</v>
      </c>
      <c r="I120" t="s">
        <v>324</v>
      </c>
      <c r="K120" s="89">
        <f>IF(K$113&gt;2050,J120,
IF($H120="Modeled", INDEX('Fuel Model - Summary'!H:H,MATCH('Fuel Selector'!$B120,'Fuel Model - Summary'!$B:$B,0)),
IF($H120 = "External", INDEX('Fuel Cost - External'!H:H,MATCH('Fuel Selector'!$B120,'Fuel Cost - External'!$B:$B,0)),0)
))</f>
        <v>25.090378481147305</v>
      </c>
      <c r="L120" s="89">
        <f>IF(L$113&gt;2050,K120,
IF($H120="Modeled", INDEX('Fuel Model - Summary'!I:I,MATCH('Fuel Selector'!$B120,'Fuel Model - Summary'!$B:$B,0)),
IF($H120 = "External", INDEX('Fuel Cost - External'!I:I,MATCH('Fuel Selector'!$B120,'Fuel Cost - External'!$B:$B,0)),0)
))</f>
        <v>22.920340287462963</v>
      </c>
      <c r="M120" s="89">
        <f>IF(M$113&gt;2050,L120,
IF($H120="Modeled", INDEX('Fuel Model - Summary'!J:J,MATCH('Fuel Selector'!$B120,'Fuel Model - Summary'!$B:$B,0)),
IF($H120 = "External", INDEX('Fuel Cost - External'!J:J,MATCH('Fuel Selector'!$B120,'Fuel Cost - External'!$B:$B,0)),0)
))</f>
        <v>21.334554265825918</v>
      </c>
      <c r="N120" s="89">
        <f>IF(N$113&gt;2050,M120,
IF($H120="Modeled", INDEX('Fuel Model - Summary'!K:K,MATCH('Fuel Selector'!$B120,'Fuel Model - Summary'!$B:$B,0)),
IF($H120 = "External", INDEX('Fuel Cost - External'!K:K,MATCH('Fuel Selector'!$B120,'Fuel Cost - External'!$B:$B,0)),0)
))</f>
        <v>19.978182146321288</v>
      </c>
      <c r="O120" s="89">
        <f>IF(O$113&gt;2050,N120,
IF($H120="Modeled", INDEX('Fuel Model - Summary'!L:L,MATCH('Fuel Selector'!$B120,'Fuel Model - Summary'!$B:$B,0)),
IF($H120 = "External", INDEX('Fuel Cost - External'!L:L,MATCH('Fuel Selector'!$B120,'Fuel Cost - External'!$B:$B,0)),0)
))</f>
        <v>18.655142652353216</v>
      </c>
      <c r="P120" s="89">
        <f>IF(P$113&gt;2050,O120,
IF($H120="Modeled", INDEX('Fuel Model - Summary'!M:M,MATCH('Fuel Selector'!$B120,'Fuel Model - Summary'!$B:$B,0)),
IF($H120 = "External", INDEX('Fuel Cost - External'!M:M,MATCH('Fuel Selector'!$B120,'Fuel Cost - External'!$B:$B,0)),0)
))</f>
        <v>17.327621057407228</v>
      </c>
      <c r="Q120" s="89">
        <f>IF(Q$113&gt;2050,P120,
IF($H120="Modeled", INDEX('Fuel Model - Summary'!N:N,MATCH('Fuel Selector'!$B120,'Fuel Model - Summary'!$B:$B,0)),
IF($H120 = "External", INDEX('Fuel Cost - External'!N:N,MATCH('Fuel Selector'!$B120,'Fuel Cost - External'!$B:$B,0)),0)
))</f>
        <v>16.014331934720509</v>
      </c>
      <c r="R120" s="89">
        <f>IF(R$113&gt;2050,Q120,
IF($H120="Modeled", INDEX('Fuel Model - Summary'!O:O,MATCH('Fuel Selector'!$B120,'Fuel Model - Summary'!$B:$B,0)),
IF($H120 = "External", INDEX('Fuel Cost - External'!O:O,MATCH('Fuel Selector'!$B120,'Fuel Cost - External'!$B:$B,0)),0)
))</f>
        <v>16.014331934720509</v>
      </c>
      <c r="S120" s="89">
        <f>IF(S$113&gt;2050,R120,
IF($H120="Modeled", INDEX('Fuel Model - Summary'!P:P,MATCH('Fuel Selector'!$B120,'Fuel Model - Summary'!$B:$B,0)),
IF($H120 = "External", INDEX('Fuel Cost - External'!P:P,MATCH('Fuel Selector'!$B120,'Fuel Cost - External'!$B:$B,0)),0)
))</f>
        <v>16.014331934720509</v>
      </c>
      <c r="T120" s="89">
        <f>IF(T$113&gt;2050,S120,
IF($H120="Modeled", INDEX('Fuel Model - Summary'!Q:Q,MATCH('Fuel Selector'!$B120,'Fuel Model - Summary'!$B:$B,0)),
IF($H120 = "External", INDEX('Fuel Cost - External'!Q:Q,MATCH('Fuel Selector'!$B120,'Fuel Cost - External'!$B:$B,0)),0)
))</f>
        <v>16.014331934720509</v>
      </c>
      <c r="U120" s="89">
        <f>IF(U$113&gt;2050,T120,
IF($H120="Modeled", INDEX('Fuel Model - Summary'!R:R,MATCH('Fuel Selector'!$B120,'Fuel Model - Summary'!$B:$B,0)),
IF($H120 = "External", INDEX('Fuel Cost - External'!R:R,MATCH('Fuel Selector'!$B120,'Fuel Cost - External'!$B:$B,0)),0)
))</f>
        <v>16.014331934720509</v>
      </c>
      <c r="V120" s="89">
        <f>IF(V$113&gt;2050,U120,
IF($H120="Modeled", INDEX('Fuel Model - Summary'!S:S,MATCH('Fuel Selector'!$B120,'Fuel Model - Summary'!$B:$B,0)),
IF($H120 = "External", INDEX('Fuel Cost - External'!S:S,MATCH('Fuel Selector'!$B120,'Fuel Cost - External'!$B:$B,0)),0)
))</f>
        <v>16.014331934720509</v>
      </c>
    </row>
    <row r="121" spans="1:22" x14ac:dyDescent="0.2">
      <c r="A121" s="29">
        <f t="shared" si="130"/>
        <v>8</v>
      </c>
      <c r="B121" s="334" t="str">
        <f t="shared" si="127"/>
        <v>e-Methane (DAC) - Europe - Fuel cost - USD/GJ</v>
      </c>
      <c r="C121" t="str" cm="1">
        <f t="array" ref="C121">INDEX(list_AE_fuel,A121)</f>
        <v>e-Methane (DAC)</v>
      </c>
      <c r="D121"/>
      <c r="E121" t="str">
        <f t="shared" si="129"/>
        <v>Europe</v>
      </c>
      <c r="F121" t="str">
        <f t="shared" si="128"/>
        <v>Fuel cost - USD/GJ</v>
      </c>
      <c r="G121" s="226"/>
      <c r="H121" s="128" t="str" cm="1">
        <f t="array" ref="H121">INDEX('Configurator Specs.'!$CG$5:$CG$24,A121)</f>
        <v>Modeled</v>
      </c>
      <c r="I121" t="s">
        <v>324</v>
      </c>
      <c r="K121" s="89">
        <f>IF(K$113&gt;2050,J121,
IF($H121="Modeled", INDEX('Fuel Model - Summary'!H:H,MATCH('Fuel Selector'!$B121,'Fuel Model - Summary'!$B:$B,0)),
IF($H121 = "External", INDEX('Fuel Cost - External'!H:H,MATCH('Fuel Selector'!$B121,'Fuel Cost - External'!$B:$B,0)),0)
))</f>
        <v>75.734198096446306</v>
      </c>
      <c r="L121" s="89">
        <f>IF(L$113&gt;2050,K121,
IF($H121="Modeled", INDEX('Fuel Model - Summary'!I:I,MATCH('Fuel Selector'!$B121,'Fuel Model - Summary'!$B:$B,0)),
IF($H121 = "External", INDEX('Fuel Cost - External'!I:I,MATCH('Fuel Selector'!$B121,'Fuel Cost - External'!$B:$B,0)),0)
))</f>
        <v>61.679293062480468</v>
      </c>
      <c r="M121" s="89">
        <f>IF(M$113&gt;2050,L121,
IF($H121="Modeled", INDEX('Fuel Model - Summary'!J:J,MATCH('Fuel Selector'!$B121,'Fuel Model - Summary'!$B:$B,0)),
IF($H121 = "External", INDEX('Fuel Cost - External'!J:J,MATCH('Fuel Selector'!$B121,'Fuel Cost - External'!$B:$B,0)),0)
))</f>
        <v>50.588224895138886</v>
      </c>
      <c r="N121" s="89">
        <f>IF(N$113&gt;2050,M121,
IF($H121="Modeled", INDEX('Fuel Model - Summary'!K:K,MATCH('Fuel Selector'!$B121,'Fuel Model - Summary'!$B:$B,0)),
IF($H121 = "External", INDEX('Fuel Cost - External'!K:K,MATCH('Fuel Selector'!$B121,'Fuel Cost - External'!$B:$B,0)),0)
))</f>
        <v>45.636012487960471</v>
      </c>
      <c r="O121" s="89">
        <f>IF(O$113&gt;2050,N121,
IF($H121="Modeled", INDEX('Fuel Model - Summary'!L:L,MATCH('Fuel Selector'!$B121,'Fuel Model - Summary'!$B:$B,0)),
IF($H121 = "External", INDEX('Fuel Cost - External'!L:L,MATCH('Fuel Selector'!$B121,'Fuel Cost - External'!$B:$B,0)),0)
))</f>
        <v>40.257266558663979</v>
      </c>
      <c r="P121" s="89">
        <f>IF(P$113&gt;2050,O121,
IF($H121="Modeled", INDEX('Fuel Model - Summary'!M:M,MATCH('Fuel Selector'!$B121,'Fuel Model - Summary'!$B:$B,0)),
IF($H121 = "External", INDEX('Fuel Cost - External'!M:M,MATCH('Fuel Selector'!$B121,'Fuel Cost - External'!$B:$B,0)),0)
))</f>
        <v>33.770648004534074</v>
      </c>
      <c r="Q121" s="89">
        <f>IF(Q$113&gt;2050,P121,
IF($H121="Modeled", INDEX('Fuel Model - Summary'!N:N,MATCH('Fuel Selector'!$B121,'Fuel Model - Summary'!$B:$B,0)),
IF($H121 = "External", INDEX('Fuel Cost - External'!N:N,MATCH('Fuel Selector'!$B121,'Fuel Cost - External'!$B:$B,0)),0)
))</f>
        <v>27.826209227096051</v>
      </c>
      <c r="R121" s="89">
        <f>IF(R$113&gt;2050,Q121,
IF($H121="Modeled", INDEX('Fuel Model - Summary'!O:O,MATCH('Fuel Selector'!$B121,'Fuel Model - Summary'!$B:$B,0)),
IF($H121 = "External", INDEX('Fuel Cost - External'!O:O,MATCH('Fuel Selector'!$B121,'Fuel Cost - External'!$B:$B,0)),0)
))</f>
        <v>27.826209227096051</v>
      </c>
      <c r="S121" s="89">
        <f>IF(S$113&gt;2050,R121,
IF($H121="Modeled", INDEX('Fuel Model - Summary'!P:P,MATCH('Fuel Selector'!$B121,'Fuel Model - Summary'!$B:$B,0)),
IF($H121 = "External", INDEX('Fuel Cost - External'!P:P,MATCH('Fuel Selector'!$B121,'Fuel Cost - External'!$B:$B,0)),0)
))</f>
        <v>27.826209227096051</v>
      </c>
      <c r="T121" s="89">
        <f>IF(T$113&gt;2050,S121,
IF($H121="Modeled", INDEX('Fuel Model - Summary'!Q:Q,MATCH('Fuel Selector'!$B121,'Fuel Model - Summary'!$B:$B,0)),
IF($H121 = "External", INDEX('Fuel Cost - External'!Q:Q,MATCH('Fuel Selector'!$B121,'Fuel Cost - External'!$B:$B,0)),0)
))</f>
        <v>27.826209227096051</v>
      </c>
      <c r="U121" s="89">
        <f>IF(U$113&gt;2050,T121,
IF($H121="Modeled", INDEX('Fuel Model - Summary'!R:R,MATCH('Fuel Selector'!$B121,'Fuel Model - Summary'!$B:$B,0)),
IF($H121 = "External", INDEX('Fuel Cost - External'!R:R,MATCH('Fuel Selector'!$B121,'Fuel Cost - External'!$B:$B,0)),0)
))</f>
        <v>27.826209227096051</v>
      </c>
      <c r="V121" s="89">
        <f>IF(V$113&gt;2050,U121,
IF($H121="Modeled", INDEX('Fuel Model - Summary'!S:S,MATCH('Fuel Selector'!$B121,'Fuel Model - Summary'!$B:$B,0)),
IF($H121 = "External", INDEX('Fuel Cost - External'!S:S,MATCH('Fuel Selector'!$B121,'Fuel Cost - External'!$B:$B,0)),0)
))</f>
        <v>27.826209227096051</v>
      </c>
    </row>
    <row r="122" spans="1:22" x14ac:dyDescent="0.2">
      <c r="A122" s="29">
        <f t="shared" si="130"/>
        <v>9</v>
      </c>
      <c r="B122" s="334" t="str">
        <f t="shared" si="127"/>
        <v>e-Methane (PS) - Europe - Fuel cost - USD/GJ</v>
      </c>
      <c r="C122" t="str" cm="1">
        <f t="array" ref="C122">INDEX(list_AE_fuel,A122)</f>
        <v>e-Methane (PS)</v>
      </c>
      <c r="D122"/>
      <c r="E122" t="str">
        <f t="shared" si="129"/>
        <v>Europe</v>
      </c>
      <c r="F122" t="str">
        <f t="shared" si="128"/>
        <v>Fuel cost - USD/GJ</v>
      </c>
      <c r="G122" s="226"/>
      <c r="H122" s="128" t="str" cm="1">
        <f t="array" ref="H122">INDEX('Configurator Specs.'!$CG$5:$CG$24,A122)</f>
        <v>Modeled</v>
      </c>
      <c r="I122" t="s">
        <v>324</v>
      </c>
      <c r="K122" s="89">
        <f>IF(K$113&gt;2050,J122,
IF($H122="Modeled", INDEX('Fuel Model - Summary'!H:H,MATCH('Fuel Selector'!$B122,'Fuel Model - Summary'!$B:$B,0)),
IF($H122 = "External", INDEX('Fuel Cost - External'!H:H,MATCH('Fuel Selector'!$B122,'Fuel Cost - External'!$B:$B,0)),0)
))</f>
        <v>68.954019434952812</v>
      </c>
      <c r="L122" s="89">
        <f>IF(L$113&gt;2050,K122,
IF($H122="Modeled", INDEX('Fuel Model - Summary'!I:I,MATCH('Fuel Selector'!$B122,'Fuel Model - Summary'!$B:$B,0)),
IF($H122 = "External", INDEX('Fuel Cost - External'!I:I,MATCH('Fuel Selector'!$B122,'Fuel Cost - External'!$B:$B,0)),0)
))</f>
        <v>56.675642058214763</v>
      </c>
      <c r="M122" s="89">
        <f>IF(M$113&gt;2050,L122,
IF($H122="Modeled", INDEX('Fuel Model - Summary'!J:J,MATCH('Fuel Selector'!$B122,'Fuel Model - Summary'!$B:$B,0)),
IF($H122 = "External", INDEX('Fuel Cost - External'!J:J,MATCH('Fuel Selector'!$B122,'Fuel Cost - External'!$B:$B,0)),0)
))</f>
        <v>46.626763521949407</v>
      </c>
      <c r="N122" s="89">
        <f>IF(N$113&gt;2050,M122,
IF($H122="Modeled", INDEX('Fuel Model - Summary'!K:K,MATCH('Fuel Selector'!$B122,'Fuel Model - Summary'!$B:$B,0)),
IF($H122 = "External", INDEX('Fuel Cost - External'!K:K,MATCH('Fuel Selector'!$B122,'Fuel Cost - External'!$B:$B,0)),0)
))</f>
        <v>42.719188943146385</v>
      </c>
      <c r="O122" s="89">
        <f>IF(O$113&gt;2050,N122,
IF($H122="Modeled", INDEX('Fuel Model - Summary'!L:L,MATCH('Fuel Selector'!$B122,'Fuel Model - Summary'!$B:$B,0)),
IF($H122 = "External", INDEX('Fuel Cost - External'!L:L,MATCH('Fuel Selector'!$B122,'Fuel Cost - External'!$B:$B,0)),0)
))</f>
        <v>37.996523713863425</v>
      </c>
      <c r="P122" s="89">
        <f>IF(P$113&gt;2050,O122,
IF($H122="Modeled", INDEX('Fuel Model - Summary'!M:M,MATCH('Fuel Selector'!$B122,'Fuel Model - Summary'!$B:$B,0)),
IF($H122 = "External", INDEX('Fuel Cost - External'!M:M,MATCH('Fuel Selector'!$B122,'Fuel Cost - External'!$B:$B,0)),0)
))</f>
        <v>31.994292863673326</v>
      </c>
      <c r="Q122" s="89">
        <f>IF(Q$113&gt;2050,P122,
IF($H122="Modeled", INDEX('Fuel Model - Summary'!N:N,MATCH('Fuel Selector'!$B122,'Fuel Model - Summary'!$B:$B,0)),
IF($H122 = "External", INDEX('Fuel Cost - External'!N:N,MATCH('Fuel Selector'!$B122,'Fuel Cost - External'!$B:$B,0)),0)
))</f>
        <v>26.33121073770555</v>
      </c>
      <c r="R122" s="89">
        <f>IF(R$113&gt;2050,Q122,
IF($H122="Modeled", INDEX('Fuel Model - Summary'!O:O,MATCH('Fuel Selector'!$B122,'Fuel Model - Summary'!$B:$B,0)),
IF($H122 = "External", INDEX('Fuel Cost - External'!O:O,MATCH('Fuel Selector'!$B122,'Fuel Cost - External'!$B:$B,0)),0)
))</f>
        <v>26.33121073770555</v>
      </c>
      <c r="S122" s="89">
        <f>IF(S$113&gt;2050,R122,
IF($H122="Modeled", INDEX('Fuel Model - Summary'!P:P,MATCH('Fuel Selector'!$B122,'Fuel Model - Summary'!$B:$B,0)),
IF($H122 = "External", INDEX('Fuel Cost - External'!P:P,MATCH('Fuel Selector'!$B122,'Fuel Cost - External'!$B:$B,0)),0)
))</f>
        <v>26.33121073770555</v>
      </c>
      <c r="T122" s="89">
        <f>IF(T$113&gt;2050,S122,
IF($H122="Modeled", INDEX('Fuel Model - Summary'!Q:Q,MATCH('Fuel Selector'!$B122,'Fuel Model - Summary'!$B:$B,0)),
IF($H122 = "External", INDEX('Fuel Cost - External'!Q:Q,MATCH('Fuel Selector'!$B122,'Fuel Cost - External'!$B:$B,0)),0)
))</f>
        <v>26.33121073770555</v>
      </c>
      <c r="U122" s="89">
        <f>IF(U$113&gt;2050,T122,
IF($H122="Modeled", INDEX('Fuel Model - Summary'!R:R,MATCH('Fuel Selector'!$B122,'Fuel Model - Summary'!$B:$B,0)),
IF($H122 = "External", INDEX('Fuel Cost - External'!R:R,MATCH('Fuel Selector'!$B122,'Fuel Cost - External'!$B:$B,0)),0)
))</f>
        <v>26.33121073770555</v>
      </c>
      <c r="V122" s="89">
        <f>IF(V$113&gt;2050,U122,
IF($H122="Modeled", INDEX('Fuel Model - Summary'!S:S,MATCH('Fuel Selector'!$B122,'Fuel Model - Summary'!$B:$B,0)),
IF($H122 = "External", INDEX('Fuel Cost - External'!S:S,MATCH('Fuel Selector'!$B122,'Fuel Cost - External'!$B:$B,0)),0)
))</f>
        <v>26.33121073770555</v>
      </c>
    </row>
    <row r="123" spans="1:22" x14ac:dyDescent="0.2">
      <c r="A123" s="29">
        <f t="shared" si="130"/>
        <v>10</v>
      </c>
      <c r="B123" s="334" t="str">
        <f t="shared" si="127"/>
        <v>Biomethanol - Europe - Fuel cost - USD/GJ</v>
      </c>
      <c r="C123" t="str" cm="1">
        <f t="array" ref="C123">INDEX(list_AE_fuel,A123)</f>
        <v>Biomethanol</v>
      </c>
      <c r="D123"/>
      <c r="E123" t="str">
        <f t="shared" si="129"/>
        <v>Europe</v>
      </c>
      <c r="F123" t="str">
        <f t="shared" si="128"/>
        <v>Fuel cost - USD/GJ</v>
      </c>
      <c r="G123"/>
      <c r="H123" s="128" t="str" cm="1">
        <f t="array" ref="H123">INDEX('Configurator Specs.'!$CG$5:$CG$24,A123)</f>
        <v>Modeled</v>
      </c>
      <c r="I123" t="s">
        <v>324</v>
      </c>
      <c r="K123" s="89">
        <f>IF(K$113&gt;2050,J123,
IF($H123="Modeled", INDEX('Fuel Model - Summary'!H:H,MATCH('Fuel Selector'!$B123,'Fuel Model - Summary'!$B:$B,0)),
IF($H123 = "External", INDEX('Fuel Cost - External'!H:H,MATCH('Fuel Selector'!$B123,'Fuel Cost - External'!$B:$B,0)),0)
))</f>
        <v>50.510950596153727</v>
      </c>
      <c r="L123" s="89">
        <f>IF(L$113&gt;2050,K123,
IF($H123="Modeled", INDEX('Fuel Model - Summary'!I:I,MATCH('Fuel Selector'!$B123,'Fuel Model - Summary'!$B:$B,0)),
IF($H123 = "External", INDEX('Fuel Cost - External'!I:I,MATCH('Fuel Selector'!$B123,'Fuel Cost - External'!$B:$B,0)),0)
))</f>
        <v>35.631608437654108</v>
      </c>
      <c r="M123" s="89">
        <f>IF(M$113&gt;2050,L123,
IF($H123="Modeled", INDEX('Fuel Model - Summary'!J:J,MATCH('Fuel Selector'!$B123,'Fuel Model - Summary'!$B:$B,0)),
IF($H123 = "External", INDEX('Fuel Cost - External'!J:J,MATCH('Fuel Selector'!$B123,'Fuel Cost - External'!$B:$B,0)),0)
))</f>
        <v>30.119639601734004</v>
      </c>
      <c r="N123" s="89">
        <f>IF(N$113&gt;2050,M123,
IF($H123="Modeled", INDEX('Fuel Model - Summary'!K:K,MATCH('Fuel Selector'!$B123,'Fuel Model - Summary'!$B:$B,0)),
IF($H123 = "External", INDEX('Fuel Cost - External'!K:K,MATCH('Fuel Selector'!$B123,'Fuel Cost - External'!$B:$B,0)),0)
))</f>
        <v>27.906268392412407</v>
      </c>
      <c r="O123" s="89">
        <f>IF(O$113&gt;2050,N123,
IF($H123="Modeled", INDEX('Fuel Model - Summary'!L:L,MATCH('Fuel Selector'!$B123,'Fuel Model - Summary'!$B:$B,0)),
IF($H123 = "External", INDEX('Fuel Cost - External'!L:L,MATCH('Fuel Selector'!$B123,'Fuel Cost - External'!$B:$B,0)),0)
))</f>
        <v>25.669589862209627</v>
      </c>
      <c r="P123" s="89">
        <f>IF(P$113&gt;2050,O123,
IF($H123="Modeled", INDEX('Fuel Model - Summary'!M:M,MATCH('Fuel Selector'!$B123,'Fuel Model - Summary'!$B:$B,0)),
IF($H123 = "External", INDEX('Fuel Cost - External'!M:M,MATCH('Fuel Selector'!$B123,'Fuel Cost - External'!$B:$B,0)),0)
))</f>
        <v>24.421989658104835</v>
      </c>
      <c r="Q123" s="89">
        <f>IF(Q$113&gt;2050,P123,
IF($H123="Modeled", INDEX('Fuel Model - Summary'!N:N,MATCH('Fuel Selector'!$B123,'Fuel Model - Summary'!$B:$B,0)),
IF($H123 = "External", INDEX('Fuel Cost - External'!N:N,MATCH('Fuel Selector'!$B123,'Fuel Cost - External'!$B:$B,0)),0)
))</f>
        <v>23.190480362322198</v>
      </c>
      <c r="R123" s="89">
        <f>IF(R$113&gt;2050,Q123,
IF($H123="Modeled", INDEX('Fuel Model - Summary'!O:O,MATCH('Fuel Selector'!$B123,'Fuel Model - Summary'!$B:$B,0)),
IF($H123 = "External", INDEX('Fuel Cost - External'!O:O,MATCH('Fuel Selector'!$B123,'Fuel Cost - External'!$B:$B,0)),0)
))</f>
        <v>23.190480362322198</v>
      </c>
      <c r="S123" s="89">
        <f>IF(S$113&gt;2050,R123,
IF($H123="Modeled", INDEX('Fuel Model - Summary'!P:P,MATCH('Fuel Selector'!$B123,'Fuel Model - Summary'!$B:$B,0)),
IF($H123 = "External", INDEX('Fuel Cost - External'!P:P,MATCH('Fuel Selector'!$B123,'Fuel Cost - External'!$B:$B,0)),0)
))</f>
        <v>23.190480362322198</v>
      </c>
      <c r="T123" s="89">
        <f>IF(T$113&gt;2050,S123,
IF($H123="Modeled", INDEX('Fuel Model - Summary'!Q:Q,MATCH('Fuel Selector'!$B123,'Fuel Model - Summary'!$B:$B,0)),
IF($H123 = "External", INDEX('Fuel Cost - External'!Q:Q,MATCH('Fuel Selector'!$B123,'Fuel Cost - External'!$B:$B,0)),0)
))</f>
        <v>23.190480362322198</v>
      </c>
      <c r="U123" s="89">
        <f>IF(U$113&gt;2050,T123,
IF($H123="Modeled", INDEX('Fuel Model - Summary'!R:R,MATCH('Fuel Selector'!$B123,'Fuel Model - Summary'!$B:$B,0)),
IF($H123 = "External", INDEX('Fuel Cost - External'!R:R,MATCH('Fuel Selector'!$B123,'Fuel Cost - External'!$B:$B,0)),0)
))</f>
        <v>23.190480362322198</v>
      </c>
      <c r="V123" s="89">
        <f>IF(V$113&gt;2050,U123,
IF($H123="Modeled", INDEX('Fuel Model - Summary'!S:S,MATCH('Fuel Selector'!$B123,'Fuel Model - Summary'!$B:$B,0)),
IF($H123 = "External", INDEX('Fuel Cost - External'!S:S,MATCH('Fuel Selector'!$B123,'Fuel Cost - External'!$B:$B,0)),0)
))</f>
        <v>23.190480362322198</v>
      </c>
    </row>
    <row r="124" spans="1:22" x14ac:dyDescent="0.2">
      <c r="A124" s="29">
        <f t="shared" si="130"/>
        <v>11</v>
      </c>
      <c r="B124" s="334" t="str">
        <f t="shared" si="127"/>
        <v>e-Methanol (DAC) - Europe - Fuel cost - USD/GJ</v>
      </c>
      <c r="C124" t="str" cm="1">
        <f t="array" ref="C124">INDEX(list_AE_fuel,A124)</f>
        <v>e-Methanol (DAC)</v>
      </c>
      <c r="D124"/>
      <c r="E124" t="str">
        <f t="shared" si="129"/>
        <v>Europe</v>
      </c>
      <c r="F124" t="str">
        <f t="shared" si="128"/>
        <v>Fuel cost - USD/GJ</v>
      </c>
      <c r="G124"/>
      <c r="H124" s="128" t="str" cm="1">
        <f t="array" ref="H124">INDEX('Configurator Specs.'!$CG$5:$CG$24,A124)</f>
        <v>Modeled</v>
      </c>
      <c r="I124" t="s">
        <v>324</v>
      </c>
      <c r="K124" s="89">
        <f>IF(K$113&gt;2050,J124,
IF($H124="Modeled", INDEX('Fuel Model - Summary'!H:H,MATCH('Fuel Selector'!$B124,'Fuel Model - Summary'!$B:$B,0)),
IF($H124 = "External", INDEX('Fuel Cost - External'!H:H,MATCH('Fuel Selector'!$B124,'Fuel Cost - External'!$B:$B,0)),0)
))</f>
        <v>92.996618431669617</v>
      </c>
      <c r="L124" s="89">
        <f>IF(L$113&gt;2050,K124,
IF($H124="Modeled", INDEX('Fuel Model - Summary'!I:I,MATCH('Fuel Selector'!$B124,'Fuel Model - Summary'!$B:$B,0)),
IF($H124 = "External", INDEX('Fuel Cost - External'!I:I,MATCH('Fuel Selector'!$B124,'Fuel Cost - External'!$B:$B,0)),0)
))</f>
        <v>74.822852353746228</v>
      </c>
      <c r="M124" s="89">
        <f>IF(M$113&gt;2050,L124,
IF($H124="Modeled", INDEX('Fuel Model - Summary'!J:J,MATCH('Fuel Selector'!$B124,'Fuel Model - Summary'!$B:$B,0)),
IF($H124 = "External", INDEX('Fuel Cost - External'!J:J,MATCH('Fuel Selector'!$B124,'Fuel Cost - External'!$B:$B,0)),0)
))</f>
        <v>59.322712575418166</v>
      </c>
      <c r="N124" s="89">
        <f>IF(N$113&gt;2050,M124,
IF($H124="Modeled", INDEX('Fuel Model - Summary'!K:K,MATCH('Fuel Selector'!$B124,'Fuel Model - Summary'!$B:$B,0)),
IF($H124 = "External", INDEX('Fuel Cost - External'!K:K,MATCH('Fuel Selector'!$B124,'Fuel Cost - External'!$B:$B,0)),0)
))</f>
        <v>52.815157770195697</v>
      </c>
      <c r="O124" s="89">
        <f>IF(O$113&gt;2050,N124,
IF($H124="Modeled", INDEX('Fuel Model - Summary'!L:L,MATCH('Fuel Selector'!$B124,'Fuel Model - Summary'!$B:$B,0)),
IF($H124 = "External", INDEX('Fuel Cost - External'!L:L,MATCH('Fuel Selector'!$B124,'Fuel Cost - External'!$B:$B,0)),0)
))</f>
        <v>46.125699736077799</v>
      </c>
      <c r="P124" s="89">
        <f>IF(P$113&gt;2050,O124,
IF($H124="Modeled", INDEX('Fuel Model - Summary'!M:M,MATCH('Fuel Selector'!$B124,'Fuel Model - Summary'!$B:$B,0)),
IF($H124 = "External", INDEX('Fuel Cost - External'!M:M,MATCH('Fuel Selector'!$B124,'Fuel Cost - External'!$B:$B,0)),0)
))</f>
        <v>38.165655405833299</v>
      </c>
      <c r="Q124" s="89">
        <f>IF(Q$113&gt;2050,P124,
IF($H124="Modeled", INDEX('Fuel Model - Summary'!N:N,MATCH('Fuel Selector'!$B124,'Fuel Model - Summary'!$B:$B,0)),
IF($H124 = "External", INDEX('Fuel Cost - External'!N:N,MATCH('Fuel Selector'!$B124,'Fuel Cost - External'!$B:$B,0)),0)
))</f>
        <v>30.825548285820386</v>
      </c>
      <c r="R124" s="89">
        <f>IF(R$113&gt;2050,Q124,
IF($H124="Modeled", INDEX('Fuel Model - Summary'!O:O,MATCH('Fuel Selector'!$B124,'Fuel Model - Summary'!$B:$B,0)),
IF($H124 = "External", INDEX('Fuel Cost - External'!O:O,MATCH('Fuel Selector'!$B124,'Fuel Cost - External'!$B:$B,0)),0)
))</f>
        <v>30.825548285820386</v>
      </c>
      <c r="S124" s="89">
        <f>IF(S$113&gt;2050,R124,
IF($H124="Modeled", INDEX('Fuel Model - Summary'!P:P,MATCH('Fuel Selector'!$B124,'Fuel Model - Summary'!$B:$B,0)),
IF($H124 = "External", INDEX('Fuel Cost - External'!P:P,MATCH('Fuel Selector'!$B124,'Fuel Cost - External'!$B:$B,0)),0)
))</f>
        <v>30.825548285820386</v>
      </c>
      <c r="T124" s="89">
        <f>IF(T$113&gt;2050,S124,
IF($H124="Modeled", INDEX('Fuel Model - Summary'!Q:Q,MATCH('Fuel Selector'!$B124,'Fuel Model - Summary'!$B:$B,0)),
IF($H124 = "External", INDEX('Fuel Cost - External'!Q:Q,MATCH('Fuel Selector'!$B124,'Fuel Cost - External'!$B:$B,0)),0)
))</f>
        <v>30.825548285820386</v>
      </c>
      <c r="U124" s="89">
        <f>IF(U$113&gt;2050,T124,
IF($H124="Modeled", INDEX('Fuel Model - Summary'!R:R,MATCH('Fuel Selector'!$B124,'Fuel Model - Summary'!$B:$B,0)),
IF($H124 = "External", INDEX('Fuel Cost - External'!R:R,MATCH('Fuel Selector'!$B124,'Fuel Cost - External'!$B:$B,0)),0)
))</f>
        <v>30.825548285820386</v>
      </c>
      <c r="V124" s="89">
        <f>IF(V$113&gt;2050,U124,
IF($H124="Modeled", INDEX('Fuel Model - Summary'!S:S,MATCH('Fuel Selector'!$B124,'Fuel Model - Summary'!$B:$B,0)),
IF($H124 = "External", INDEX('Fuel Cost - External'!S:S,MATCH('Fuel Selector'!$B124,'Fuel Cost - External'!$B:$B,0)),0)
))</f>
        <v>30.825548285820386</v>
      </c>
    </row>
    <row r="125" spans="1:22" x14ac:dyDescent="0.2">
      <c r="A125" s="29">
        <f t="shared" si="130"/>
        <v>12</v>
      </c>
      <c r="B125" s="334" t="str">
        <f t="shared" si="127"/>
        <v>e-Methanol (PS) - Europe - Fuel cost - USD/GJ</v>
      </c>
      <c r="C125" t="str" cm="1">
        <f t="array" ref="C125">INDEX(list_AE_fuel,A125)</f>
        <v>e-Methanol (PS)</v>
      </c>
      <c r="D125"/>
      <c r="E125" t="str">
        <f>E124</f>
        <v>Europe</v>
      </c>
      <c r="F125" t="str">
        <f t="shared" si="128"/>
        <v>Fuel cost - USD/GJ</v>
      </c>
      <c r="G125"/>
      <c r="H125" s="128" t="str" cm="1">
        <f t="array" ref="H125">INDEX('Configurator Specs.'!$CG$5:$CG$24,A125)</f>
        <v>Modeled</v>
      </c>
      <c r="I125" t="s">
        <v>324</v>
      </c>
      <c r="K125" s="89">
        <f>IF(K$113&gt;2050,J125,
IF($H125="Modeled", INDEX('Fuel Model - Summary'!H:H,MATCH('Fuel Selector'!$B125,'Fuel Model - Summary'!$B:$B,0)),
IF($H125 = "External", INDEX('Fuel Cost - External'!H:H,MATCH('Fuel Selector'!$B125,'Fuel Cost - External'!$B:$B,0)),0)
))</f>
        <v>84.467641068127719</v>
      </c>
      <c r="L125" s="89">
        <f>IF(L$113&gt;2050,K125,
IF($H125="Modeled", INDEX('Fuel Model - Summary'!I:I,MATCH('Fuel Selector'!$B125,'Fuel Model - Summary'!$B:$B,0)),
IF($H125 = "External", INDEX('Fuel Cost - External'!I:I,MATCH('Fuel Selector'!$B125,'Fuel Cost - External'!$B:$B,0)),0)
))</f>
        <v>68.528619077444105</v>
      </c>
      <c r="M125" s="89">
        <f>IF(M$113&gt;2050,L125,
IF($H125="Modeled", INDEX('Fuel Model - Summary'!J:J,MATCH('Fuel Selector'!$B125,'Fuel Model - Summary'!$B:$B,0)),
IF($H125 = "External", INDEX('Fuel Cost - External'!J:J,MATCH('Fuel Selector'!$B125,'Fuel Cost - External'!$B:$B,0)),0)
))</f>
        <v>54.339478937289194</v>
      </c>
      <c r="N125" s="89">
        <f>IF(N$113&gt;2050,M125,
IF($H125="Modeled", INDEX('Fuel Model - Summary'!K:K,MATCH('Fuel Selector'!$B125,'Fuel Model - Summary'!$B:$B,0)),
IF($H125 = "External", INDEX('Fuel Cost - External'!K:K,MATCH('Fuel Selector'!$B125,'Fuel Cost - External'!$B:$B,0)),0)
))</f>
        <v>49.146003426453738</v>
      </c>
      <c r="O125" s="89">
        <f>IF(O$113&gt;2050,N125,
IF($H125="Modeled", INDEX('Fuel Model - Summary'!L:L,MATCH('Fuel Selector'!$B125,'Fuel Model - Summary'!$B:$B,0)),
IF($H125 = "External", INDEX('Fuel Cost - External'!L:L,MATCH('Fuel Selector'!$B125,'Fuel Cost - External'!$B:$B,0)),0)
))</f>
        <v>43.281847750642662</v>
      </c>
      <c r="P125" s="89">
        <f>IF(P$113&gt;2050,O125,
IF($H125="Modeled", INDEX('Fuel Model - Summary'!M:M,MATCH('Fuel Selector'!$B125,'Fuel Model - Summary'!$B:$B,0)),
IF($H125 = "External", INDEX('Fuel Cost - External'!M:M,MATCH('Fuel Selector'!$B125,'Fuel Cost - External'!$B:$B,0)),0)
))</f>
        <v>35.931128331781927</v>
      </c>
      <c r="Q125" s="89">
        <f>IF(Q$113&gt;2050,P125,
IF($H125="Modeled", INDEX('Fuel Model - Summary'!N:N,MATCH('Fuel Selector'!$B125,'Fuel Model - Summary'!$B:$B,0)),
IF($H125 = "External", INDEX('Fuel Cost - External'!N:N,MATCH('Fuel Selector'!$B125,'Fuel Cost - External'!$B:$B,0)),0)
))</f>
        <v>28.944947654017525</v>
      </c>
      <c r="R125" s="89">
        <f>IF(R$113&gt;2050,Q125,
IF($H125="Modeled", INDEX('Fuel Model - Summary'!O:O,MATCH('Fuel Selector'!$B125,'Fuel Model - Summary'!$B:$B,0)),
IF($H125 = "External", INDEX('Fuel Cost - External'!O:O,MATCH('Fuel Selector'!$B125,'Fuel Cost - External'!$B:$B,0)),0)
))</f>
        <v>28.944947654017525</v>
      </c>
      <c r="S125" s="89">
        <f>IF(S$113&gt;2050,R125,
IF($H125="Modeled", INDEX('Fuel Model - Summary'!P:P,MATCH('Fuel Selector'!$B125,'Fuel Model - Summary'!$B:$B,0)),
IF($H125 = "External", INDEX('Fuel Cost - External'!P:P,MATCH('Fuel Selector'!$B125,'Fuel Cost - External'!$B:$B,0)),0)
))</f>
        <v>28.944947654017525</v>
      </c>
      <c r="T125" s="89">
        <f>IF(T$113&gt;2050,S125,
IF($H125="Modeled", INDEX('Fuel Model - Summary'!Q:Q,MATCH('Fuel Selector'!$B125,'Fuel Model - Summary'!$B:$B,0)),
IF($H125 = "External", INDEX('Fuel Cost - External'!Q:Q,MATCH('Fuel Selector'!$B125,'Fuel Cost - External'!$B:$B,0)),0)
))</f>
        <v>28.944947654017525</v>
      </c>
      <c r="U125" s="89">
        <f>IF(U$113&gt;2050,T125,
IF($H125="Modeled", INDEX('Fuel Model - Summary'!R:R,MATCH('Fuel Selector'!$B125,'Fuel Model - Summary'!$B:$B,0)),
IF($H125 = "External", INDEX('Fuel Cost - External'!R:R,MATCH('Fuel Selector'!$B125,'Fuel Cost - External'!$B:$B,0)),0)
))</f>
        <v>28.944947654017525</v>
      </c>
      <c r="V125" s="89">
        <f>IF(V$113&gt;2050,U125,
IF($H125="Modeled", INDEX('Fuel Model - Summary'!S:S,MATCH('Fuel Selector'!$B125,'Fuel Model - Summary'!$B:$B,0)),
IF($H125 = "External", INDEX('Fuel Cost - External'!S:S,MATCH('Fuel Selector'!$B125,'Fuel Cost - External'!$B:$B,0)),0)
))</f>
        <v>28.944947654017525</v>
      </c>
    </row>
    <row r="126" spans="1:22" x14ac:dyDescent="0.2">
      <c r="A126" s="29">
        <f t="shared" si="130"/>
        <v>13</v>
      </c>
      <c r="B126" s="334" t="str">
        <f t="shared" si="127"/>
        <v>Biodiesel (HtL) - Europe - Fuel cost - USD/GJ</v>
      </c>
      <c r="C126" t="str" cm="1">
        <f t="array" ref="C126">INDEX(list_AE_fuel,A126)</f>
        <v>Biodiesel (HtL)</v>
      </c>
      <c r="D126"/>
      <c r="E126" t="str">
        <f t="shared" ref="E126:E133" si="131">E125</f>
        <v>Europe</v>
      </c>
      <c r="F126" t="str">
        <f t="shared" si="128"/>
        <v>Fuel cost - USD/GJ</v>
      </c>
      <c r="G126"/>
      <c r="H126" s="128" t="str" cm="1">
        <f t="array" ref="H126">INDEX('Configurator Specs.'!$CG$5:$CG$24,A126)</f>
        <v>Modeled</v>
      </c>
      <c r="I126" t="s">
        <v>324</v>
      </c>
      <c r="K126" s="89">
        <f>IF(K$113&gt;2050,J126,
IF($H126="Modeled", INDEX('Fuel Model - Summary'!H:H,MATCH('Fuel Selector'!$B126,'Fuel Model - Summary'!$B:$B,0)),
IF($H126 = "External", INDEX('Fuel Cost - External'!H:H,MATCH('Fuel Selector'!$B126,'Fuel Cost - External'!$B:$B,0)),0)
))</f>
        <v>160.89809334344167</v>
      </c>
      <c r="L126" s="89">
        <f>IF(L$113&gt;2050,K126,
IF($H126="Modeled", INDEX('Fuel Model - Summary'!I:I,MATCH('Fuel Selector'!$B126,'Fuel Model - Summary'!$B:$B,0)),
IF($H126 = "External", INDEX('Fuel Cost - External'!I:I,MATCH('Fuel Selector'!$B126,'Fuel Cost - External'!$B:$B,0)),0)
))</f>
        <v>52.791984015430131</v>
      </c>
      <c r="M126" s="89">
        <f>IF(M$113&gt;2050,L126,
IF($H126="Modeled", INDEX('Fuel Model - Summary'!J:J,MATCH('Fuel Selector'!$B126,'Fuel Model - Summary'!$B:$B,0)),
IF($H126 = "External", INDEX('Fuel Cost - External'!J:J,MATCH('Fuel Selector'!$B126,'Fuel Cost - External'!$B:$B,0)),0)
))</f>
        <v>24.291168313537742</v>
      </c>
      <c r="N126" s="89">
        <f>IF(N$113&gt;2050,M126,
IF($H126="Modeled", INDEX('Fuel Model - Summary'!K:K,MATCH('Fuel Selector'!$B126,'Fuel Model - Summary'!$B:$B,0)),
IF($H126 = "External", INDEX('Fuel Cost - External'!K:K,MATCH('Fuel Selector'!$B126,'Fuel Cost - External'!$B:$B,0)),0)
))</f>
        <v>23.893595709787352</v>
      </c>
      <c r="O126" s="89">
        <f>IF(O$113&gt;2050,N126,
IF($H126="Modeled", INDEX('Fuel Model - Summary'!L:L,MATCH('Fuel Selector'!$B126,'Fuel Model - Summary'!$B:$B,0)),
IF($H126 = "External", INDEX('Fuel Cost - External'!L:L,MATCH('Fuel Selector'!$B126,'Fuel Cost - External'!$B:$B,0)),0)
))</f>
        <v>23.400041470270459</v>
      </c>
      <c r="P126" s="89">
        <f>IF(P$113&gt;2050,O126,
IF($H126="Modeled", INDEX('Fuel Model - Summary'!M:M,MATCH('Fuel Selector'!$B126,'Fuel Model - Summary'!$B:$B,0)),
IF($H126 = "External", INDEX('Fuel Cost - External'!M:M,MATCH('Fuel Selector'!$B126,'Fuel Cost - External'!$B:$B,0)),0)
))</f>
        <v>22.75166944604014</v>
      </c>
      <c r="Q126" s="89">
        <f>IF(Q$113&gt;2050,P126,
IF($H126="Modeled", INDEX('Fuel Model - Summary'!N:N,MATCH('Fuel Selector'!$B126,'Fuel Model - Summary'!$B:$B,0)),
IF($H126 = "External", INDEX('Fuel Cost - External'!N:N,MATCH('Fuel Selector'!$B126,'Fuel Cost - External'!$B:$B,0)),0)
))</f>
        <v>21.532966188855521</v>
      </c>
      <c r="R126" s="89">
        <f>IF(R$113&gt;2050,Q126,
IF($H126="Modeled", INDEX('Fuel Model - Summary'!O:O,MATCH('Fuel Selector'!$B126,'Fuel Model - Summary'!$B:$B,0)),
IF($H126 = "External", INDEX('Fuel Cost - External'!O:O,MATCH('Fuel Selector'!$B126,'Fuel Cost - External'!$B:$B,0)),0)
))</f>
        <v>21.532966188855521</v>
      </c>
      <c r="S126" s="89">
        <f>IF(S$113&gt;2050,R126,
IF($H126="Modeled", INDEX('Fuel Model - Summary'!P:P,MATCH('Fuel Selector'!$B126,'Fuel Model - Summary'!$B:$B,0)),
IF($H126 = "External", INDEX('Fuel Cost - External'!P:P,MATCH('Fuel Selector'!$B126,'Fuel Cost - External'!$B:$B,0)),0)
))</f>
        <v>21.532966188855521</v>
      </c>
      <c r="T126" s="89">
        <f>IF(T$113&gt;2050,S126,
IF($H126="Modeled", INDEX('Fuel Model - Summary'!Q:Q,MATCH('Fuel Selector'!$B126,'Fuel Model - Summary'!$B:$B,0)),
IF($H126 = "External", INDEX('Fuel Cost - External'!Q:Q,MATCH('Fuel Selector'!$B126,'Fuel Cost - External'!$B:$B,0)),0)
))</f>
        <v>21.532966188855521</v>
      </c>
      <c r="U126" s="89">
        <f>IF(U$113&gt;2050,T126,
IF($H126="Modeled", INDEX('Fuel Model - Summary'!R:R,MATCH('Fuel Selector'!$B126,'Fuel Model - Summary'!$B:$B,0)),
IF($H126 = "External", INDEX('Fuel Cost - External'!R:R,MATCH('Fuel Selector'!$B126,'Fuel Cost - External'!$B:$B,0)),0)
))</f>
        <v>21.532966188855521</v>
      </c>
      <c r="V126" s="89">
        <f>IF(V$113&gt;2050,U126,
IF($H126="Modeled", INDEX('Fuel Model - Summary'!S:S,MATCH('Fuel Selector'!$B126,'Fuel Model - Summary'!$B:$B,0)),
IF($H126 = "External", INDEX('Fuel Cost - External'!S:S,MATCH('Fuel Selector'!$B126,'Fuel Cost - External'!$B:$B,0)),0)
))</f>
        <v>21.532966188855521</v>
      </c>
    </row>
    <row r="127" spans="1:22" x14ac:dyDescent="0.2">
      <c r="A127" s="29">
        <f t="shared" si="130"/>
        <v>14</v>
      </c>
      <c r="B127" s="334" t="str">
        <f t="shared" si="127"/>
        <v>Biodiesel (Pyr) - Europe - Fuel cost - USD/GJ</v>
      </c>
      <c r="C127" t="str" cm="1">
        <f t="array" ref="C127">INDEX(list_AE_fuel,A127)</f>
        <v>Biodiesel (Pyr)</v>
      </c>
      <c r="D127"/>
      <c r="E127" t="str">
        <f t="shared" si="131"/>
        <v>Europe</v>
      </c>
      <c r="F127" t="str">
        <f t="shared" si="128"/>
        <v>Fuel cost - USD/GJ</v>
      </c>
      <c r="G127"/>
      <c r="H127" s="128" t="str" cm="1">
        <f t="array" ref="H127">INDEX('Configurator Specs.'!$CG$5:$CG$24,A127)</f>
        <v>Modeled</v>
      </c>
      <c r="I127" t="s">
        <v>324</v>
      </c>
      <c r="K127" s="89">
        <f>IF(K$113&gt;2050,J127,
IF($H127="Modeled", INDEX('Fuel Model - Summary'!H:H,MATCH('Fuel Selector'!$B127,'Fuel Model - Summary'!$B:$B,0)),
IF($H127 = "External", INDEX('Fuel Cost - External'!H:H,MATCH('Fuel Selector'!$B127,'Fuel Cost - External'!$B:$B,0)),0)
))</f>
        <v>65.314547324872592</v>
      </c>
      <c r="L127" s="89">
        <f>IF(L$113&gt;2050,K127,
IF($H127="Modeled", INDEX('Fuel Model - Summary'!I:I,MATCH('Fuel Selector'!$B127,'Fuel Model - Summary'!$B:$B,0)),
IF($H127 = "External", INDEX('Fuel Cost - External'!I:I,MATCH('Fuel Selector'!$B127,'Fuel Cost - External'!$B:$B,0)),0)
))</f>
        <v>40.501949235323835</v>
      </c>
      <c r="M127" s="89">
        <f>IF(M$113&gt;2050,L127,
IF($H127="Modeled", INDEX('Fuel Model - Summary'!J:J,MATCH('Fuel Selector'!$B127,'Fuel Model - Summary'!$B:$B,0)),
IF($H127 = "External", INDEX('Fuel Cost - External'!J:J,MATCH('Fuel Selector'!$B127,'Fuel Cost - External'!$B:$B,0)),0)
))</f>
        <v>24.657040375941243</v>
      </c>
      <c r="N127" s="89">
        <f>IF(N$113&gt;2050,M127,
IF($H127="Modeled", INDEX('Fuel Model - Summary'!K:K,MATCH('Fuel Selector'!$B127,'Fuel Model - Summary'!$B:$B,0)),
IF($H127 = "External", INDEX('Fuel Cost - External'!K:K,MATCH('Fuel Selector'!$B127,'Fuel Cost - External'!$B:$B,0)),0)
))</f>
        <v>25.132999679253494</v>
      </c>
      <c r="O127" s="89">
        <f>IF(O$113&gt;2050,N127,
IF($H127="Modeled", INDEX('Fuel Model - Summary'!L:L,MATCH('Fuel Selector'!$B127,'Fuel Model - Summary'!$B:$B,0)),
IF($H127 = "External", INDEX('Fuel Cost - External'!L:L,MATCH('Fuel Selector'!$B127,'Fuel Cost - External'!$B:$B,0)),0)
))</f>
        <v>24.943359601604424</v>
      </c>
      <c r="P127" s="89">
        <f>IF(P$113&gt;2050,O127,
IF($H127="Modeled", INDEX('Fuel Model - Summary'!M:M,MATCH('Fuel Selector'!$B127,'Fuel Model - Summary'!$B:$B,0)),
IF($H127 = "External", INDEX('Fuel Cost - External'!M:M,MATCH('Fuel Selector'!$B127,'Fuel Cost - External'!$B:$B,0)),0)
))</f>
        <v>24.47426936293742</v>
      </c>
      <c r="Q127" s="89">
        <f>IF(Q$113&gt;2050,P127,
IF($H127="Modeled", INDEX('Fuel Model - Summary'!N:N,MATCH('Fuel Selector'!$B127,'Fuel Model - Summary'!$B:$B,0)),
IF($H127 = "External", INDEX('Fuel Cost - External'!N:N,MATCH('Fuel Selector'!$B127,'Fuel Cost - External'!$B:$B,0)),0)
))</f>
        <v>22.803385993677281</v>
      </c>
      <c r="R127" s="89">
        <f>IF(R$113&gt;2050,Q127,
IF($H127="Modeled", INDEX('Fuel Model - Summary'!O:O,MATCH('Fuel Selector'!$B127,'Fuel Model - Summary'!$B:$B,0)),
IF($H127 = "External", INDEX('Fuel Cost - External'!O:O,MATCH('Fuel Selector'!$B127,'Fuel Cost - External'!$B:$B,0)),0)
))</f>
        <v>22.803385993677281</v>
      </c>
      <c r="S127" s="89">
        <f>IF(S$113&gt;2050,R127,
IF($H127="Modeled", INDEX('Fuel Model - Summary'!P:P,MATCH('Fuel Selector'!$B127,'Fuel Model - Summary'!$B:$B,0)),
IF($H127 = "External", INDEX('Fuel Cost - External'!P:P,MATCH('Fuel Selector'!$B127,'Fuel Cost - External'!$B:$B,0)),0)
))</f>
        <v>22.803385993677281</v>
      </c>
      <c r="T127" s="89">
        <f>IF(T$113&gt;2050,S127,
IF($H127="Modeled", INDEX('Fuel Model - Summary'!Q:Q,MATCH('Fuel Selector'!$B127,'Fuel Model - Summary'!$B:$B,0)),
IF($H127 = "External", INDEX('Fuel Cost - External'!Q:Q,MATCH('Fuel Selector'!$B127,'Fuel Cost - External'!$B:$B,0)),0)
))</f>
        <v>22.803385993677281</v>
      </c>
      <c r="U127" s="89">
        <f>IF(U$113&gt;2050,T127,
IF($H127="Modeled", INDEX('Fuel Model - Summary'!R:R,MATCH('Fuel Selector'!$B127,'Fuel Model - Summary'!$B:$B,0)),
IF($H127 = "External", INDEX('Fuel Cost - External'!R:R,MATCH('Fuel Selector'!$B127,'Fuel Cost - External'!$B:$B,0)),0)
))</f>
        <v>22.803385993677281</v>
      </c>
      <c r="V127" s="89">
        <f>IF(V$113&gt;2050,U127,
IF($H127="Modeled", INDEX('Fuel Model - Summary'!S:S,MATCH('Fuel Selector'!$B127,'Fuel Model - Summary'!$B:$B,0)),
IF($H127 = "External", INDEX('Fuel Cost - External'!S:S,MATCH('Fuel Selector'!$B127,'Fuel Cost - External'!$B:$B,0)),0)
))</f>
        <v>22.803385993677281</v>
      </c>
    </row>
    <row r="128" spans="1:22" x14ac:dyDescent="0.2">
      <c r="A128" s="29">
        <f t="shared" si="130"/>
        <v>15</v>
      </c>
      <c r="B128" s="334" t="str">
        <f t="shared" si="127"/>
        <v>e-Diesel (DAC) - Europe - Fuel cost - USD/GJ</v>
      </c>
      <c r="C128" t="str" cm="1">
        <f t="array" ref="C128">INDEX(list_AE_fuel,A128)</f>
        <v>e-Diesel (DAC)</v>
      </c>
      <c r="D128"/>
      <c r="E128" t="str">
        <f t="shared" si="131"/>
        <v>Europe</v>
      </c>
      <c r="F128" t="str">
        <f t="shared" si="128"/>
        <v>Fuel cost - USD/GJ</v>
      </c>
      <c r="G128"/>
      <c r="H128" s="128" t="str" cm="1">
        <f t="array" ref="H128">INDEX('Configurator Specs.'!$CG$5:$CG$24,A128)</f>
        <v>Modeled</v>
      </c>
      <c r="I128" t="s">
        <v>324</v>
      </c>
      <c r="K128" s="89">
        <f>IF(K$113&gt;2050,J128,
IF($H128="Modeled", INDEX('Fuel Model - Summary'!H:H,MATCH('Fuel Selector'!$B128,'Fuel Model - Summary'!$B:$B,0)),
IF($H128 = "External", INDEX('Fuel Cost - External'!H:H,MATCH('Fuel Selector'!$B128,'Fuel Cost - External'!$B:$B,0)),0)
))</f>
        <v>107.1605618787473</v>
      </c>
      <c r="L128" s="89">
        <f>IF(L$113&gt;2050,K128,
IF($H128="Modeled", INDEX('Fuel Model - Summary'!I:I,MATCH('Fuel Selector'!$B128,'Fuel Model - Summary'!$B:$B,0)),
IF($H128 = "External", INDEX('Fuel Cost - External'!I:I,MATCH('Fuel Selector'!$B128,'Fuel Cost - External'!$B:$B,0)),0)
))</f>
        <v>85.862463447098662</v>
      </c>
      <c r="M128" s="89">
        <f>IF(M$113&gt;2050,L128,
IF($H128="Modeled", INDEX('Fuel Model - Summary'!J:J,MATCH('Fuel Selector'!$B128,'Fuel Model - Summary'!$B:$B,0)),
IF($H128 = "External", INDEX('Fuel Cost - External'!J:J,MATCH('Fuel Selector'!$B128,'Fuel Cost - External'!$B:$B,0)),0)
))</f>
        <v>68.275268953224526</v>
      </c>
      <c r="N128" s="89">
        <f>IF(N$113&gt;2050,M128,
IF($H128="Modeled", INDEX('Fuel Model - Summary'!K:K,MATCH('Fuel Selector'!$B128,'Fuel Model - Summary'!$B:$B,0)),
IF($H128 = "External", INDEX('Fuel Cost - External'!K:K,MATCH('Fuel Selector'!$B128,'Fuel Cost - External'!$B:$B,0)),0)
))</f>
        <v>61.528167802343276</v>
      </c>
      <c r="O128" s="89">
        <f>IF(O$113&gt;2050,N128,
IF($H128="Modeled", INDEX('Fuel Model - Summary'!L:L,MATCH('Fuel Selector'!$B128,'Fuel Model - Summary'!$B:$B,0)),
IF($H128 = "External", INDEX('Fuel Cost - External'!L:L,MATCH('Fuel Selector'!$B128,'Fuel Cost - External'!$B:$B,0)),0)
))</f>
        <v>54.457922977689314</v>
      </c>
      <c r="P128" s="89">
        <f>IF(P$113&gt;2050,O128,
IF($H128="Modeled", INDEX('Fuel Model - Summary'!M:M,MATCH('Fuel Selector'!$B128,'Fuel Model - Summary'!$B:$B,0)),
IF($H128 = "External", INDEX('Fuel Cost - External'!M:M,MATCH('Fuel Selector'!$B128,'Fuel Cost - External'!$B:$B,0)),0)
))</f>
        <v>44.419999774951684</v>
      </c>
      <c r="Q128" s="89">
        <f>IF(Q$113&gt;2050,P128,
IF($H128="Modeled", INDEX('Fuel Model - Summary'!N:N,MATCH('Fuel Selector'!$B128,'Fuel Model - Summary'!$B:$B,0)),
IF($H128 = "External", INDEX('Fuel Cost - External'!N:N,MATCH('Fuel Selector'!$B128,'Fuel Cost - External'!$B:$B,0)),0)
))</f>
        <v>35.370952654737295</v>
      </c>
      <c r="R128" s="89">
        <f>IF(R$113&gt;2050,Q128,
IF($H128="Modeled", INDEX('Fuel Model - Summary'!O:O,MATCH('Fuel Selector'!$B128,'Fuel Model - Summary'!$B:$B,0)),
IF($H128 = "External", INDEX('Fuel Cost - External'!O:O,MATCH('Fuel Selector'!$B128,'Fuel Cost - External'!$B:$B,0)),0)
))</f>
        <v>35.370952654737295</v>
      </c>
      <c r="S128" s="89">
        <f>IF(S$113&gt;2050,R128,
IF($H128="Modeled", INDEX('Fuel Model - Summary'!P:P,MATCH('Fuel Selector'!$B128,'Fuel Model - Summary'!$B:$B,0)),
IF($H128 = "External", INDEX('Fuel Cost - External'!P:P,MATCH('Fuel Selector'!$B128,'Fuel Cost - External'!$B:$B,0)),0)
))</f>
        <v>35.370952654737295</v>
      </c>
      <c r="T128" s="89">
        <f>IF(T$113&gt;2050,S128,
IF($H128="Modeled", INDEX('Fuel Model - Summary'!Q:Q,MATCH('Fuel Selector'!$B128,'Fuel Model - Summary'!$B:$B,0)),
IF($H128 = "External", INDEX('Fuel Cost - External'!Q:Q,MATCH('Fuel Selector'!$B128,'Fuel Cost - External'!$B:$B,0)),0)
))</f>
        <v>35.370952654737295</v>
      </c>
      <c r="U128" s="89">
        <f>IF(U$113&gt;2050,T128,
IF($H128="Modeled", INDEX('Fuel Model - Summary'!R:R,MATCH('Fuel Selector'!$B128,'Fuel Model - Summary'!$B:$B,0)),
IF($H128 = "External", INDEX('Fuel Cost - External'!R:R,MATCH('Fuel Selector'!$B128,'Fuel Cost - External'!$B:$B,0)),0)
))</f>
        <v>35.370952654737295</v>
      </c>
      <c r="V128" s="89">
        <f>IF(V$113&gt;2050,U128,
IF($H128="Modeled", INDEX('Fuel Model - Summary'!S:S,MATCH('Fuel Selector'!$B128,'Fuel Model - Summary'!$B:$B,0)),
IF($H128 = "External", INDEX('Fuel Cost - External'!S:S,MATCH('Fuel Selector'!$B128,'Fuel Cost - External'!$B:$B,0)),0)
))</f>
        <v>35.370952654737295</v>
      </c>
    </row>
    <row r="129" spans="1:22" x14ac:dyDescent="0.2">
      <c r="A129" s="29">
        <f t="shared" si="130"/>
        <v>16</v>
      </c>
      <c r="B129" s="334" t="str">
        <f t="shared" si="127"/>
        <v>e-Diesel (PS) - Europe - Fuel cost - USD/GJ</v>
      </c>
      <c r="C129" t="str" cm="1">
        <f t="array" ref="C129">INDEX(list_AE_fuel,A129)</f>
        <v>e-Diesel (PS)</v>
      </c>
      <c r="D129"/>
      <c r="E129" t="str">
        <f t="shared" si="131"/>
        <v>Europe</v>
      </c>
      <c r="F129" t="str">
        <f t="shared" si="128"/>
        <v>Fuel cost - USD/GJ</v>
      </c>
      <c r="G129"/>
      <c r="H129" s="128" t="str" cm="1">
        <f t="array" ref="H129">INDEX('Configurator Specs.'!$CG$5:$CG$24,A129)</f>
        <v>Modeled</v>
      </c>
      <c r="I129" t="s">
        <v>324</v>
      </c>
      <c r="K129" s="89">
        <f>IF(K$113&gt;2050,J129,
IF($H129="Modeled", INDEX('Fuel Model - Summary'!H:H,MATCH('Fuel Selector'!$B129,'Fuel Model - Summary'!$B:$B,0)),
IF($H129 = "External", INDEX('Fuel Cost - External'!H:H,MATCH('Fuel Selector'!$B129,'Fuel Cost - External'!$B:$B,0)),0)
))</f>
        <v>97.089630086443279</v>
      </c>
      <c r="L129" s="89">
        <f>IF(L$113&gt;2050,K129,
IF($H129="Modeled", INDEX('Fuel Model - Summary'!I:I,MATCH('Fuel Selector'!$B129,'Fuel Model - Summary'!$B:$B,0)),
IF($H129 = "External", INDEX('Fuel Cost - External'!I:I,MATCH('Fuel Selector'!$B129,'Fuel Cost - External'!$B:$B,0)),0)
))</f>
        <v>78.43029528571374</v>
      </c>
      <c r="M129" s="89">
        <f>IF(M$113&gt;2050,L129,
IF($H129="Modeled", INDEX('Fuel Model - Summary'!J:J,MATCH('Fuel Selector'!$B129,'Fuel Model - Summary'!$B:$B,0)),
IF($H129 = "External", INDEX('Fuel Cost - External'!J:J,MATCH('Fuel Selector'!$B129,'Fuel Cost - External'!$B:$B,0)),0)
))</f>
        <v>62.391116148547511</v>
      </c>
      <c r="N129" s="89">
        <f>IF(N$113&gt;2050,M129,
IF($H129="Modeled", INDEX('Fuel Model - Summary'!K:K,MATCH('Fuel Selector'!$B129,'Fuel Model - Summary'!$B:$B,0)),
IF($H129 = "External", INDEX('Fuel Cost - External'!K:K,MATCH('Fuel Selector'!$B129,'Fuel Cost - External'!$B:$B,0)),0)
))</f>
        <v>57.195666781855643</v>
      </c>
      <c r="O129" s="89">
        <f>IF(O$113&gt;2050,N129,
IF($H129="Modeled", INDEX('Fuel Model - Summary'!L:L,MATCH('Fuel Selector'!$B129,'Fuel Model - Summary'!$B:$B,0)),
IF($H129 = "External", INDEX('Fuel Cost - External'!L:L,MATCH('Fuel Selector'!$B129,'Fuel Cost - External'!$B:$B,0)),0)
))</f>
        <v>51.099930788009971</v>
      </c>
      <c r="P129" s="89">
        <f>IF(P$113&gt;2050,O129,
IF($H129="Modeled", INDEX('Fuel Model - Summary'!M:M,MATCH('Fuel Selector'!$B129,'Fuel Model - Summary'!$B:$B,0)),
IF($H129 = "External", INDEX('Fuel Cost - External'!M:M,MATCH('Fuel Selector'!$B129,'Fuel Cost - External'!$B:$B,0)),0)
))</f>
        <v>41.781492391050897</v>
      </c>
      <c r="Q129" s="89">
        <f>IF(Q$113&gt;2050,P129,
IF($H129="Modeled", INDEX('Fuel Model - Summary'!N:N,MATCH('Fuel Selector'!$B129,'Fuel Model - Summary'!$B:$B,0)),
IF($H129 = "External", INDEX('Fuel Cost - External'!N:N,MATCH('Fuel Selector'!$B129,'Fuel Cost - External'!$B:$B,0)),0)
))</f>
        <v>33.150358099942359</v>
      </c>
      <c r="R129" s="89">
        <f>IF(R$113&gt;2050,Q129,
IF($H129="Modeled", INDEX('Fuel Model - Summary'!O:O,MATCH('Fuel Selector'!$B129,'Fuel Model - Summary'!$B:$B,0)),
IF($H129 = "External", INDEX('Fuel Cost - External'!O:O,MATCH('Fuel Selector'!$B129,'Fuel Cost - External'!$B:$B,0)),0)
))</f>
        <v>33.150358099942359</v>
      </c>
      <c r="S129" s="89">
        <f>IF(S$113&gt;2050,R129,
IF($H129="Modeled", INDEX('Fuel Model - Summary'!P:P,MATCH('Fuel Selector'!$B129,'Fuel Model - Summary'!$B:$B,0)),
IF($H129 = "External", INDEX('Fuel Cost - External'!P:P,MATCH('Fuel Selector'!$B129,'Fuel Cost - External'!$B:$B,0)),0)
))</f>
        <v>33.150358099942359</v>
      </c>
      <c r="T129" s="89">
        <f>IF(T$113&gt;2050,S129,
IF($H129="Modeled", INDEX('Fuel Model - Summary'!Q:Q,MATCH('Fuel Selector'!$B129,'Fuel Model - Summary'!$B:$B,0)),
IF($H129 = "External", INDEX('Fuel Cost - External'!Q:Q,MATCH('Fuel Selector'!$B129,'Fuel Cost - External'!$B:$B,0)),0)
))</f>
        <v>33.150358099942359</v>
      </c>
      <c r="U129" s="89">
        <f>IF(U$113&gt;2050,T129,
IF($H129="Modeled", INDEX('Fuel Model - Summary'!R:R,MATCH('Fuel Selector'!$B129,'Fuel Model - Summary'!$B:$B,0)),
IF($H129 = "External", INDEX('Fuel Cost - External'!R:R,MATCH('Fuel Selector'!$B129,'Fuel Cost - External'!$B:$B,0)),0)
))</f>
        <v>33.150358099942359</v>
      </c>
      <c r="V129" s="89">
        <f>IF(V$113&gt;2050,U129,
IF($H129="Modeled", INDEX('Fuel Model - Summary'!S:S,MATCH('Fuel Selector'!$B129,'Fuel Model - Summary'!$B:$B,0)),
IF($H129 = "External", INDEX('Fuel Cost - External'!S:S,MATCH('Fuel Selector'!$B129,'Fuel Cost - External'!$B:$B,0)),0)
))</f>
        <v>33.150358099942359</v>
      </c>
    </row>
    <row r="130" spans="1:22" x14ac:dyDescent="0.2">
      <c r="A130" s="29">
        <f t="shared" si="130"/>
        <v>17</v>
      </c>
      <c r="B130" s="334" t="str">
        <f t="shared" si="127"/>
        <v>Biodiesel (HtL blend) - Europe - Fuel cost - USD/GJ</v>
      </c>
      <c r="C130" t="str" cm="1">
        <f t="array" ref="C130">INDEX(list_AE_fuel,A130)</f>
        <v>Biodiesel (HtL blend)</v>
      </c>
      <c r="D130"/>
      <c r="E130" t="str">
        <f t="shared" si="131"/>
        <v>Europe</v>
      </c>
      <c r="F130" t="str">
        <f t="shared" si="128"/>
        <v>Fuel cost - USD/GJ</v>
      </c>
      <c r="G130"/>
      <c r="H130" s="128" t="str" cm="1">
        <f t="array" ref="H130">INDEX('Configurator Specs.'!$CG$5:$CG$24,A130)</f>
        <v>Modeled</v>
      </c>
      <c r="I130" t="s">
        <v>324</v>
      </c>
      <c r="K130" s="89">
        <f>IF(K$113&gt;2050,J130,
IF($H130="Modeled", INDEX('Fuel Model - Summary'!H:H,MATCH('Fuel Selector'!$B130,'Fuel Model - Summary'!$B:$B,0)),
IF($H130 = "External", INDEX('Fuel Cost - External'!H:H,MATCH('Fuel Selector'!$B130,'Fuel Cost - External'!$B:$B,0)),0)
))</f>
        <v>39.611830557393844</v>
      </c>
      <c r="L130" s="89">
        <f>IF(L$113&gt;2050,K130,
IF($H130="Modeled", INDEX('Fuel Model - Summary'!I:I,MATCH('Fuel Selector'!$B130,'Fuel Model - Summary'!$B:$B,0)),
IF($H130 = "External", INDEX('Fuel Cost - External'!I:I,MATCH('Fuel Selector'!$B130,'Fuel Cost - External'!$B:$B,0)),0)
))</f>
        <v>26.417600957821556</v>
      </c>
      <c r="M130" s="89">
        <f>IF(M$113&gt;2050,L130,
IF($H130="Modeled", INDEX('Fuel Model - Summary'!J:J,MATCH('Fuel Selector'!$B130,'Fuel Model - Summary'!$B:$B,0)),
IF($H130 = "External", INDEX('Fuel Cost - External'!J:J,MATCH('Fuel Selector'!$B130,'Fuel Cost - External'!$B:$B,0)),0)
))</f>
        <v>15.866120516072719</v>
      </c>
      <c r="N130" s="89">
        <f>IF(N$113&gt;2050,M130,
IF($H130="Modeled", INDEX('Fuel Model - Summary'!K:K,MATCH('Fuel Selector'!$B130,'Fuel Model - Summary'!$B:$B,0)),
IF($H130 = "External", INDEX('Fuel Cost - External'!K:K,MATCH('Fuel Selector'!$B130,'Fuel Cost - External'!$B:$B,0)),0)
))</f>
        <v>15.510762450008697</v>
      </c>
      <c r="O130" s="89">
        <f>IF(O$113&gt;2050,N130,
IF($H130="Modeled", INDEX('Fuel Model - Summary'!L:L,MATCH('Fuel Selector'!$B130,'Fuel Model - Summary'!$B:$B,0)),
IF($H130 = "External", INDEX('Fuel Cost - External'!L:L,MATCH('Fuel Selector'!$B130,'Fuel Cost - External'!$B:$B,0)),0)
))</f>
        <v>15.353072751369321</v>
      </c>
      <c r="P130" s="89">
        <f>IF(P$113&gt;2050,O130,
IF($H130="Modeled", INDEX('Fuel Model - Summary'!M:M,MATCH('Fuel Selector'!$B130,'Fuel Model - Summary'!$B:$B,0)),
IF($H130 = "External", INDEX('Fuel Cost - External'!M:M,MATCH('Fuel Selector'!$B130,'Fuel Cost - External'!$B:$B,0)),0)
))</f>
        <v>15.209514768038431</v>
      </c>
      <c r="Q130" s="89">
        <f>IF(Q$113&gt;2050,P130,
IF($H130="Modeled", INDEX('Fuel Model - Summary'!N:N,MATCH('Fuel Selector'!$B130,'Fuel Model - Summary'!$B:$B,0)),
IF($H130 = "External", INDEX('Fuel Cost - External'!N:N,MATCH('Fuel Selector'!$B130,'Fuel Cost - External'!$B:$B,0)),0)
))</f>
        <v>15.069844847555952</v>
      </c>
      <c r="R130" s="89">
        <f>IF(R$113&gt;2050,Q130,
IF($H130="Modeled", INDEX('Fuel Model - Summary'!O:O,MATCH('Fuel Selector'!$B130,'Fuel Model - Summary'!$B:$B,0)),
IF($H130 = "External", INDEX('Fuel Cost - External'!O:O,MATCH('Fuel Selector'!$B130,'Fuel Cost - External'!$B:$B,0)),0)
))</f>
        <v>15.069844847555952</v>
      </c>
      <c r="S130" s="89">
        <f>IF(S$113&gt;2050,R130,
IF($H130="Modeled", INDEX('Fuel Model - Summary'!P:P,MATCH('Fuel Selector'!$B130,'Fuel Model - Summary'!$B:$B,0)),
IF($H130 = "External", INDEX('Fuel Cost - External'!P:P,MATCH('Fuel Selector'!$B130,'Fuel Cost - External'!$B:$B,0)),0)
))</f>
        <v>15.069844847555952</v>
      </c>
      <c r="T130" s="89">
        <f>IF(T$113&gt;2050,S130,
IF($H130="Modeled", INDEX('Fuel Model - Summary'!Q:Q,MATCH('Fuel Selector'!$B130,'Fuel Model - Summary'!$B:$B,0)),
IF($H130 = "External", INDEX('Fuel Cost - External'!Q:Q,MATCH('Fuel Selector'!$B130,'Fuel Cost - External'!$B:$B,0)),0)
))</f>
        <v>15.069844847555952</v>
      </c>
      <c r="U130" s="89">
        <f>IF(U$113&gt;2050,T130,
IF($H130="Modeled", INDEX('Fuel Model - Summary'!R:R,MATCH('Fuel Selector'!$B130,'Fuel Model - Summary'!$B:$B,0)),
IF($H130 = "External", INDEX('Fuel Cost - External'!R:R,MATCH('Fuel Selector'!$B130,'Fuel Cost - External'!$B:$B,0)),0)
))</f>
        <v>15.069844847555952</v>
      </c>
      <c r="V130" s="89">
        <f>IF(V$113&gt;2050,U130,
IF($H130="Modeled", INDEX('Fuel Model - Summary'!S:S,MATCH('Fuel Selector'!$B130,'Fuel Model - Summary'!$B:$B,0)),
IF($H130 = "External", INDEX('Fuel Cost - External'!S:S,MATCH('Fuel Selector'!$B130,'Fuel Cost - External'!$B:$B,0)),0)
))</f>
        <v>15.069844847555952</v>
      </c>
    </row>
    <row r="131" spans="1:22" x14ac:dyDescent="0.2">
      <c r="A131" s="29">
        <f t="shared" si="130"/>
        <v>18</v>
      </c>
      <c r="B131" s="334" t="str">
        <f t="shared" si="127"/>
        <v>Biodiesel (Pyr blend) - Europe - Fuel cost - USD/GJ</v>
      </c>
      <c r="C131" t="str" cm="1">
        <f t="array" ref="C131">INDEX(list_AE_fuel,A131)</f>
        <v>Biodiesel (Pyr blend)</v>
      </c>
      <c r="D131"/>
      <c r="E131" t="str">
        <f t="shared" si="131"/>
        <v>Europe</v>
      </c>
      <c r="F131" t="str">
        <f t="shared" si="128"/>
        <v>Fuel cost - USD/GJ</v>
      </c>
      <c r="G131"/>
      <c r="H131" s="128" t="str" cm="1">
        <f t="array" ref="H131">INDEX('Configurator Specs.'!$CG$5:$CG$24,A131)</f>
        <v>Modeled</v>
      </c>
      <c r="I131" t="s">
        <v>324</v>
      </c>
      <c r="K131" s="89">
        <f>IF(K$113&gt;2050,J131,
IF($H131="Modeled", INDEX('Fuel Model - Summary'!H:H,MATCH('Fuel Selector'!$B131,'Fuel Model - Summary'!$B:$B,0)),
IF($H131 = "External", INDEX('Fuel Cost - External'!H:H,MATCH('Fuel Selector'!$B131,'Fuel Cost - External'!$B:$B,0)),0)
))</f>
        <v>24.478480547105558</v>
      </c>
      <c r="L131" s="89">
        <f>IF(L$113&gt;2050,K131,
IF($H131="Modeled", INDEX('Fuel Model - Summary'!I:I,MATCH('Fuel Selector'!$B131,'Fuel Model - Summary'!$B:$B,0)),
IF($H131 = "External", INDEX('Fuel Cost - External'!I:I,MATCH('Fuel Selector'!$B131,'Fuel Cost - External'!$B:$B,0)),0)
))</f>
        <v>17.525638394759635</v>
      </c>
      <c r="M131" s="89">
        <f>IF(M$113&gt;2050,L131,
IF($H131="Modeled", INDEX('Fuel Model - Summary'!J:J,MATCH('Fuel Selector'!$B131,'Fuel Model - Summary'!$B:$B,0)),
IF($H131 = "External", INDEX('Fuel Cost - External'!J:J,MATCH('Fuel Selector'!$B131,'Fuel Cost - External'!$B:$B,0)),0)
))</f>
        <v>14.029776795293081</v>
      </c>
      <c r="N131" s="89">
        <f>IF(N$113&gt;2050,M131,
IF($H131="Modeled", INDEX('Fuel Model - Summary'!K:K,MATCH('Fuel Selector'!$B131,'Fuel Model - Summary'!$B:$B,0)),
IF($H131 = "External", INDEX('Fuel Cost - External'!K:K,MATCH('Fuel Selector'!$B131,'Fuel Cost - External'!$B:$B,0)),0)
))</f>
        <v>14.014807613109502</v>
      </c>
      <c r="O131" s="89">
        <f>IF(O$113&gt;2050,N131,
IF($H131="Modeled", INDEX('Fuel Model - Summary'!L:L,MATCH('Fuel Selector'!$B131,'Fuel Model - Summary'!$B:$B,0)),
IF($H131 = "External", INDEX('Fuel Cost - External'!L:L,MATCH('Fuel Selector'!$B131,'Fuel Cost - External'!$B:$B,0)),0)
))</f>
        <v>14.048077249201759</v>
      </c>
      <c r="P131" s="89">
        <f>IF(P$113&gt;2050,O131,
IF($H131="Modeled", INDEX('Fuel Model - Summary'!M:M,MATCH('Fuel Selector'!$B131,'Fuel Model - Summary'!$B:$B,0)),
IF($H131 = "External", INDEX('Fuel Cost - External'!M:M,MATCH('Fuel Selector'!$B131,'Fuel Cost - External'!$B:$B,0)),0)
))</f>
        <v>14.097855297626049</v>
      </c>
      <c r="Q131" s="89">
        <f>IF(Q$113&gt;2050,P131,
IF($H131="Modeled", INDEX('Fuel Model - Summary'!N:N,MATCH('Fuel Selector'!$B131,'Fuel Model - Summary'!$B:$B,0)),
IF($H131 = "External", INDEX('Fuel Cost - External'!N:N,MATCH('Fuel Selector'!$B131,'Fuel Cost - External'!$B:$B,0)),0)
))</f>
        <v>14.147903384755955</v>
      </c>
      <c r="R131" s="89">
        <f>IF(R$113&gt;2050,Q131,
IF($H131="Modeled", INDEX('Fuel Model - Summary'!O:O,MATCH('Fuel Selector'!$B131,'Fuel Model - Summary'!$B:$B,0)),
IF($H131 = "External", INDEX('Fuel Cost - External'!O:O,MATCH('Fuel Selector'!$B131,'Fuel Cost - External'!$B:$B,0)),0)
))</f>
        <v>14.147903384755955</v>
      </c>
      <c r="S131" s="89">
        <f>IF(S$113&gt;2050,R131,
IF($H131="Modeled", INDEX('Fuel Model - Summary'!P:P,MATCH('Fuel Selector'!$B131,'Fuel Model - Summary'!$B:$B,0)),
IF($H131 = "External", INDEX('Fuel Cost - External'!P:P,MATCH('Fuel Selector'!$B131,'Fuel Cost - External'!$B:$B,0)),0)
))</f>
        <v>14.147903384755955</v>
      </c>
      <c r="T131" s="89">
        <f>IF(T$113&gt;2050,S131,
IF($H131="Modeled", INDEX('Fuel Model - Summary'!Q:Q,MATCH('Fuel Selector'!$B131,'Fuel Model - Summary'!$B:$B,0)),
IF($H131 = "External", INDEX('Fuel Cost - External'!Q:Q,MATCH('Fuel Selector'!$B131,'Fuel Cost - External'!$B:$B,0)),0)
))</f>
        <v>14.147903384755955</v>
      </c>
      <c r="U131" s="89">
        <f>IF(U$113&gt;2050,T131,
IF($H131="Modeled", INDEX('Fuel Model - Summary'!R:R,MATCH('Fuel Selector'!$B131,'Fuel Model - Summary'!$B:$B,0)),
IF($H131 = "External", INDEX('Fuel Cost - External'!R:R,MATCH('Fuel Selector'!$B131,'Fuel Cost - External'!$B:$B,0)),0)
))</f>
        <v>14.147903384755955</v>
      </c>
      <c r="V131" s="89">
        <f>IF(V$113&gt;2050,U131,
IF($H131="Modeled", INDEX('Fuel Model - Summary'!S:S,MATCH('Fuel Selector'!$B131,'Fuel Model - Summary'!$B:$B,0)),
IF($H131 = "External", INDEX('Fuel Cost - External'!S:S,MATCH('Fuel Selector'!$B131,'Fuel Cost - External'!$B:$B,0)),0)
))</f>
        <v>14.147903384755955</v>
      </c>
    </row>
    <row r="132" spans="1:22" x14ac:dyDescent="0.2">
      <c r="A132" s="29">
        <f t="shared" si="130"/>
        <v>19</v>
      </c>
      <c r="B132" s="334" t="str">
        <f t="shared" si="127"/>
        <v>Blue hydrogen (liquid) - Europe - Fuel cost - USD/GJ</v>
      </c>
      <c r="C132" t="str" cm="1">
        <f t="array" ref="C132">INDEX(list_AE_fuel,A132)</f>
        <v>Blue hydrogen (liquid)</v>
      </c>
      <c r="D132"/>
      <c r="E132" t="str">
        <f t="shared" si="131"/>
        <v>Europe</v>
      </c>
      <c r="F132" t="str">
        <f t="shared" si="128"/>
        <v>Fuel cost - USD/GJ</v>
      </c>
      <c r="G132"/>
      <c r="H132" s="128" t="str" cm="1">
        <f t="array" ref="H132">INDEX('Configurator Specs.'!$CG$5:$CG$24,A132)</f>
        <v>Modeled</v>
      </c>
      <c r="I132" t="s">
        <v>324</v>
      </c>
      <c r="K132" s="89">
        <f>IF(K$113&gt;2050,J132,
IF($H132="Modeled", INDEX('Fuel Model - Summary'!H:H,MATCH('Fuel Selector'!$B132,'Fuel Model - Summary'!$B:$B,0)),
IF($H132 = "External", INDEX('Fuel Cost - External'!H:H,MATCH('Fuel Selector'!$B132,'Fuel Cost - External'!$B:$B,0)),0)
))</f>
        <v>77.056601383242821</v>
      </c>
      <c r="L132" s="89">
        <f>IF(L$113&gt;2050,K132,
IF($H132="Modeled", INDEX('Fuel Model - Summary'!I:I,MATCH('Fuel Selector'!$B132,'Fuel Model - Summary'!$B:$B,0)),
IF($H132 = "External", INDEX('Fuel Cost - External'!I:I,MATCH('Fuel Selector'!$B132,'Fuel Cost - External'!$B:$B,0)),0)
))</f>
        <v>43.710680285717338</v>
      </c>
      <c r="M132" s="89">
        <f>IF(M$113&gt;2050,L132,
IF($H132="Modeled", INDEX('Fuel Model - Summary'!J:J,MATCH('Fuel Selector'!$B132,'Fuel Model - Summary'!$B:$B,0)),
IF($H132 = "External", INDEX('Fuel Cost - External'!J:J,MATCH('Fuel Selector'!$B132,'Fuel Cost - External'!$B:$B,0)),0)
))</f>
        <v>35.595810656651665</v>
      </c>
      <c r="N132" s="89">
        <f>IF(N$113&gt;2050,M132,
IF($H132="Modeled", INDEX('Fuel Model - Summary'!K:K,MATCH('Fuel Selector'!$B132,'Fuel Model - Summary'!$B:$B,0)),
IF($H132 = "External", INDEX('Fuel Cost - External'!K:K,MATCH('Fuel Selector'!$B132,'Fuel Cost - External'!$B:$B,0)),0)
))</f>
        <v>34.529025799882632</v>
      </c>
      <c r="O132" s="89">
        <f>IF(O$113&gt;2050,N132,
IF($H132="Modeled", INDEX('Fuel Model - Summary'!L:L,MATCH('Fuel Selector'!$B132,'Fuel Model - Summary'!$B:$B,0)),
IF($H132 = "External", INDEX('Fuel Cost - External'!L:L,MATCH('Fuel Selector'!$B132,'Fuel Cost - External'!$B:$B,0)),0)
))</f>
        <v>33.644590417522501</v>
      </c>
      <c r="P132" s="89">
        <f>IF(P$113&gt;2050,O132,
IF($H132="Modeled", INDEX('Fuel Model - Summary'!M:M,MATCH('Fuel Selector'!$B132,'Fuel Model - Summary'!$B:$B,0)),
IF($H132 = "External", INDEX('Fuel Cost - External'!M:M,MATCH('Fuel Selector'!$B132,'Fuel Cost - External'!$B:$B,0)),0)
))</f>
        <v>32.803922190482886</v>
      </c>
      <c r="Q132" s="89">
        <f>IF(Q$113&gt;2050,P132,
IF($H132="Modeled", INDEX('Fuel Model - Summary'!N:N,MATCH('Fuel Selector'!$B132,'Fuel Model - Summary'!$B:$B,0)),
IF($H132 = "External", INDEX('Fuel Cost - External'!N:N,MATCH('Fuel Selector'!$B132,'Fuel Cost - External'!$B:$B,0)),0)
))</f>
        <v>32.061932818714375</v>
      </c>
      <c r="R132" s="89">
        <f>IF(R$113&gt;2050,Q132,
IF($H132="Modeled", INDEX('Fuel Model - Summary'!O:O,MATCH('Fuel Selector'!$B132,'Fuel Model - Summary'!$B:$B,0)),
IF($H132 = "External", INDEX('Fuel Cost - External'!O:O,MATCH('Fuel Selector'!$B132,'Fuel Cost - External'!$B:$B,0)),0)
))</f>
        <v>32.061932818714375</v>
      </c>
      <c r="S132" s="89">
        <f>IF(S$113&gt;2050,R132,
IF($H132="Modeled", INDEX('Fuel Model - Summary'!P:P,MATCH('Fuel Selector'!$B132,'Fuel Model - Summary'!$B:$B,0)),
IF($H132 = "External", INDEX('Fuel Cost - External'!P:P,MATCH('Fuel Selector'!$B132,'Fuel Cost - External'!$B:$B,0)),0)
))</f>
        <v>32.061932818714375</v>
      </c>
      <c r="T132" s="89">
        <f>IF(T$113&gt;2050,S132,
IF($H132="Modeled", INDEX('Fuel Model - Summary'!Q:Q,MATCH('Fuel Selector'!$B132,'Fuel Model - Summary'!$B:$B,0)),
IF($H132 = "External", INDEX('Fuel Cost - External'!Q:Q,MATCH('Fuel Selector'!$B132,'Fuel Cost - External'!$B:$B,0)),0)
))</f>
        <v>32.061932818714375</v>
      </c>
      <c r="U132" s="89">
        <f>IF(U$113&gt;2050,T132,
IF($H132="Modeled", INDEX('Fuel Model - Summary'!R:R,MATCH('Fuel Selector'!$B132,'Fuel Model - Summary'!$B:$B,0)),
IF($H132 = "External", INDEX('Fuel Cost - External'!R:R,MATCH('Fuel Selector'!$B132,'Fuel Cost - External'!$B:$B,0)),0)
))</f>
        <v>32.061932818714375</v>
      </c>
      <c r="V132" s="89">
        <f>IF(V$113&gt;2050,U132,
IF($H132="Modeled", INDEX('Fuel Model - Summary'!S:S,MATCH('Fuel Selector'!$B132,'Fuel Model - Summary'!$B:$B,0)),
IF($H132 = "External", INDEX('Fuel Cost - External'!S:S,MATCH('Fuel Selector'!$B132,'Fuel Cost - External'!$B:$B,0)),0)
))</f>
        <v>32.061932818714375</v>
      </c>
    </row>
    <row r="133" spans="1:22" x14ac:dyDescent="0.2">
      <c r="A133" s="29">
        <f t="shared" si="130"/>
        <v>20</v>
      </c>
      <c r="B133" s="334" t="str">
        <f t="shared" si="127"/>
        <v>e-Hydrogen (liquid) - Europe - Fuel cost - USD/GJ</v>
      </c>
      <c r="C133" t="str" cm="1">
        <f t="array" ref="C133">INDEX(list_AE_fuel,A133)</f>
        <v>e-Hydrogen (liquid)</v>
      </c>
      <c r="D133"/>
      <c r="E133" t="str">
        <f t="shared" si="131"/>
        <v>Europe</v>
      </c>
      <c r="F133" t="str">
        <f t="shared" si="128"/>
        <v>Fuel cost - USD/GJ</v>
      </c>
      <c r="G133"/>
      <c r="H133" s="128" t="str" cm="1">
        <f t="array" ref="H133">INDEX('Configurator Specs.'!$CG$5:$CG$24,A133)</f>
        <v>Modeled</v>
      </c>
      <c r="I133" t="s">
        <v>324</v>
      </c>
      <c r="K133" s="89">
        <f>IF(K$113&gt;2050,J133,
IF($H133="Modeled", INDEX('Fuel Model - Summary'!H:H,MATCH('Fuel Selector'!$B133,'Fuel Model - Summary'!$B:$B,0)),
IF($H133 = "External", INDEX('Fuel Cost - External'!H:H,MATCH('Fuel Selector'!$B133,'Fuel Cost - External'!$B:$B,0)),0)
))</f>
        <v>52.951697371406553</v>
      </c>
      <c r="L133" s="89">
        <f>IF(L$113&gt;2050,K133,
IF($H133="Modeled", INDEX('Fuel Model - Summary'!I:I,MATCH('Fuel Selector'!$B133,'Fuel Model - Summary'!$B:$B,0)),
IF($H133 = "External", INDEX('Fuel Cost - External'!I:I,MATCH('Fuel Selector'!$B133,'Fuel Cost - External'!$B:$B,0)),0)
))</f>
        <v>44.881054087383667</v>
      </c>
      <c r="M133" s="89">
        <f>IF(M$113&gt;2050,L133,
IF($H133="Modeled", INDEX('Fuel Model - Summary'!J:J,MATCH('Fuel Selector'!$B133,'Fuel Model - Summary'!$B:$B,0)),
IF($H133 = "External", INDEX('Fuel Cost - External'!J:J,MATCH('Fuel Selector'!$B133,'Fuel Cost - External'!$B:$B,0)),0)
))</f>
        <v>38.292291111023573</v>
      </c>
      <c r="N133" s="89">
        <f>IF(N$113&gt;2050,M133,
IF($H133="Modeled", INDEX('Fuel Model - Summary'!K:K,MATCH('Fuel Selector'!$B133,'Fuel Model - Summary'!$B:$B,0)),
IF($H133 = "External", INDEX('Fuel Cost - External'!K:K,MATCH('Fuel Selector'!$B133,'Fuel Cost - External'!$B:$B,0)),0)
))</f>
        <v>35.751446688870054</v>
      </c>
      <c r="O133" s="89">
        <f>IF(O$113&gt;2050,N133,
IF($H133="Modeled", INDEX('Fuel Model - Summary'!L:L,MATCH('Fuel Selector'!$B133,'Fuel Model - Summary'!$B:$B,0)),
IF($H133 = "External", INDEX('Fuel Cost - External'!L:L,MATCH('Fuel Selector'!$B133,'Fuel Cost - External'!$B:$B,0)),0)
))</f>
        <v>32.582234878360254</v>
      </c>
      <c r="P133" s="89">
        <f>IF(P$113&gt;2050,O133,
IF($H133="Modeled", INDEX('Fuel Model - Summary'!M:M,MATCH('Fuel Selector'!$B133,'Fuel Model - Summary'!$B:$B,0)),
IF($H133 = "External", INDEX('Fuel Cost - External'!M:M,MATCH('Fuel Selector'!$B133,'Fuel Cost - External'!$B:$B,0)),0)
))</f>
        <v>28.535949957353427</v>
      </c>
      <c r="Q133" s="89">
        <f>IF(Q$113&gt;2050,P133,
IF($H133="Modeled", INDEX('Fuel Model - Summary'!N:N,MATCH('Fuel Selector'!$B133,'Fuel Model - Summary'!$B:$B,0)),
IF($H133 = "External", INDEX('Fuel Cost - External'!N:N,MATCH('Fuel Selector'!$B133,'Fuel Cost - External'!$B:$B,0)),0)
))</f>
        <v>24.793172229910169</v>
      </c>
      <c r="R133" s="89">
        <f>IF(R$113&gt;2050,Q133,
IF($H133="Modeled", INDEX('Fuel Model - Summary'!O:O,MATCH('Fuel Selector'!$B133,'Fuel Model - Summary'!$B:$B,0)),
IF($H133 = "External", INDEX('Fuel Cost - External'!O:O,MATCH('Fuel Selector'!$B133,'Fuel Cost - External'!$B:$B,0)),0)
))</f>
        <v>24.793172229910169</v>
      </c>
      <c r="S133" s="89">
        <f>IF(S$113&gt;2050,R133,
IF($H133="Modeled", INDEX('Fuel Model - Summary'!P:P,MATCH('Fuel Selector'!$B133,'Fuel Model - Summary'!$B:$B,0)),
IF($H133 = "External", INDEX('Fuel Cost - External'!P:P,MATCH('Fuel Selector'!$B133,'Fuel Cost - External'!$B:$B,0)),0)
))</f>
        <v>24.793172229910169</v>
      </c>
      <c r="T133" s="89">
        <f>IF(T$113&gt;2050,S133,
IF($H133="Modeled", INDEX('Fuel Model - Summary'!Q:Q,MATCH('Fuel Selector'!$B133,'Fuel Model - Summary'!$B:$B,0)),
IF($H133 = "External", INDEX('Fuel Cost - External'!Q:Q,MATCH('Fuel Selector'!$B133,'Fuel Cost - External'!$B:$B,0)),0)
))</f>
        <v>24.793172229910169</v>
      </c>
      <c r="U133" s="89">
        <f>IF(U$113&gt;2050,T133,
IF($H133="Modeled", INDEX('Fuel Model - Summary'!R:R,MATCH('Fuel Selector'!$B133,'Fuel Model - Summary'!$B:$B,0)),
IF($H133 = "External", INDEX('Fuel Cost - External'!R:R,MATCH('Fuel Selector'!$B133,'Fuel Cost - External'!$B:$B,0)),0)
))</f>
        <v>24.793172229910169</v>
      </c>
      <c r="V133" s="89">
        <f>IF(V$113&gt;2050,U133,
IF($H133="Modeled", INDEX('Fuel Model - Summary'!S:S,MATCH('Fuel Selector'!$B133,'Fuel Model - Summary'!$B:$B,0)),
IF($H133 = "External", INDEX('Fuel Cost - External'!S:S,MATCH('Fuel Selector'!$B133,'Fuel Cost - External'!$B:$B,0)),0)
))</f>
        <v>24.793172229910169</v>
      </c>
    </row>
    <row r="134" spans="1:22" x14ac:dyDescent="0.2">
      <c r="B134"/>
      <c r="C134"/>
      <c r="D134"/>
      <c r="E134"/>
      <c r="F134"/>
      <c r="G134"/>
      <c r="H134" s="128"/>
      <c r="I134"/>
    </row>
    <row r="135" spans="1:22" x14ac:dyDescent="0.2">
      <c r="A135" s="29">
        <v>1</v>
      </c>
      <c r="B135" s="334" t="str">
        <f t="shared" ref="B135:B154" si="132">_xlfn.TEXTJOIN(keydelim,TRUE,C135:G135)</f>
        <v>LSFO - Middle East - Fuel cost - USD/GJ</v>
      </c>
      <c r="C135" t="str" cm="1">
        <f t="array" ref="C135">INDEX(list_AE_fuel,A135)</f>
        <v>LSFO</v>
      </c>
      <c r="D135"/>
      <c r="E135" t="s">
        <v>197</v>
      </c>
      <c r="F135" t="str">
        <f t="shared" ref="F135:F154" si="133">"Fuel cost"  &amp;keydelim &amp;I135</f>
        <v>Fuel cost - USD/GJ</v>
      </c>
      <c r="G135" s="128"/>
      <c r="H135" s="128" t="str" cm="1">
        <f t="array" ref="H135">INDEX('Configurator Specs.'!$CG$5:$CG$24,A135)</f>
        <v>External</v>
      </c>
      <c r="I135" t="s">
        <v>324</v>
      </c>
      <c r="K135" s="89">
        <f>IF(K$113&gt;2050,J135,
IF($H135="Modeled", INDEX('Fuel Model - Summary'!H:H,MATCH('Fuel Selector'!$B135,'Fuel Model - Summary'!$B:$B,0)),
IF($H135 = "External", INDEX('Fuel Cost - External'!H:H,MATCH('Fuel Selector'!$B135,'Fuel Cost - External'!$B:$B,0)),0)
))</f>
        <v>21.473621920116738</v>
      </c>
      <c r="L135" s="89">
        <f>IF(L$113&gt;2050,K135,
IF($H135="Modeled", INDEX('Fuel Model - Summary'!I:I,MATCH('Fuel Selector'!$B135,'Fuel Model - Summary'!$B:$B,0)),
IF($H135 = "External", INDEX('Fuel Cost - External'!I:I,MATCH('Fuel Selector'!$B135,'Fuel Cost - External'!$B:$B,0)),0)
))</f>
        <v>15.404989638344617</v>
      </c>
      <c r="M135" s="89">
        <f>IF(M$113&gt;2050,L135,
IF($H135="Modeled", INDEX('Fuel Model - Summary'!J:J,MATCH('Fuel Selector'!$B135,'Fuel Model - Summary'!$B:$B,0)),
IF($H135 = "External", INDEX('Fuel Cost - External'!J:J,MATCH('Fuel Selector'!$B135,'Fuel Cost - External'!$B:$B,0)),0)
))</f>
        <v>13.444354593464393</v>
      </c>
      <c r="N135" s="89">
        <f>IF(N$113&gt;2050,M135,
IF($H135="Modeled", INDEX('Fuel Model - Summary'!K:K,MATCH('Fuel Selector'!$B135,'Fuel Model - Summary'!$B:$B,0)),
IF($H135 = "External", INDEX('Fuel Cost - External'!K:K,MATCH('Fuel Selector'!$B135,'Fuel Cost - External'!$B:$B,0)),0)
))</f>
        <v>13.444354593464393</v>
      </c>
      <c r="O135" s="89">
        <f>IF(O$113&gt;2050,N135,
IF($H135="Modeled", INDEX('Fuel Model - Summary'!L:L,MATCH('Fuel Selector'!$B135,'Fuel Model - Summary'!$B:$B,0)),
IF($H135 = "External", INDEX('Fuel Cost - External'!L:L,MATCH('Fuel Selector'!$B135,'Fuel Cost - External'!$B:$B,0)),0)
))</f>
        <v>13.444354593464393</v>
      </c>
      <c r="P135" s="89">
        <f>IF(P$113&gt;2050,O135,
IF($H135="Modeled", INDEX('Fuel Model - Summary'!M:M,MATCH('Fuel Selector'!$B135,'Fuel Model - Summary'!$B:$B,0)),
IF($H135 = "External", INDEX('Fuel Cost - External'!M:M,MATCH('Fuel Selector'!$B135,'Fuel Cost - External'!$B:$B,0)),0)
))</f>
        <v>13.444354593464393</v>
      </c>
      <c r="Q135" s="89">
        <f>IF(Q$113&gt;2050,P135,
IF($H135="Modeled", INDEX('Fuel Model - Summary'!N:N,MATCH('Fuel Selector'!$B135,'Fuel Model - Summary'!$B:$B,0)),
IF($H135 = "External", INDEX('Fuel Cost - External'!N:N,MATCH('Fuel Selector'!$B135,'Fuel Cost - External'!$B:$B,0)),0)
))</f>
        <v>13.444354593464393</v>
      </c>
      <c r="R135" s="89">
        <f>IF(R$113&gt;2050,Q135,
IF($H135="Modeled", INDEX('Fuel Model - Summary'!O:O,MATCH('Fuel Selector'!$B135,'Fuel Model - Summary'!$B:$B,0)),
IF($H135 = "External", INDEX('Fuel Cost - External'!O:O,MATCH('Fuel Selector'!$B135,'Fuel Cost - External'!$B:$B,0)),0)
))</f>
        <v>13.444354593464393</v>
      </c>
      <c r="S135" s="89">
        <f>IF(S$113&gt;2050,R135,
IF($H135="Modeled", INDEX('Fuel Model - Summary'!P:P,MATCH('Fuel Selector'!$B135,'Fuel Model - Summary'!$B:$B,0)),
IF($H135 = "External", INDEX('Fuel Cost - External'!P:P,MATCH('Fuel Selector'!$B135,'Fuel Cost - External'!$B:$B,0)),0)
))</f>
        <v>13.444354593464393</v>
      </c>
      <c r="T135" s="89">
        <f>IF(T$113&gt;2050,S135,
IF($H135="Modeled", INDEX('Fuel Model - Summary'!Q:Q,MATCH('Fuel Selector'!$B135,'Fuel Model - Summary'!$B:$B,0)),
IF($H135 = "External", INDEX('Fuel Cost - External'!Q:Q,MATCH('Fuel Selector'!$B135,'Fuel Cost - External'!$B:$B,0)),0)
))</f>
        <v>13.444354593464393</v>
      </c>
      <c r="U135" s="89">
        <f>IF(U$113&gt;2050,T135,
IF($H135="Modeled", INDEX('Fuel Model - Summary'!R:R,MATCH('Fuel Selector'!$B135,'Fuel Model - Summary'!$B:$B,0)),
IF($H135 = "External", INDEX('Fuel Cost - External'!R:R,MATCH('Fuel Selector'!$B135,'Fuel Cost - External'!$B:$B,0)),0)
))</f>
        <v>13.444354593464393</v>
      </c>
      <c r="V135" s="89">
        <f>IF(V$113&gt;2050,U135,
IF($H135="Modeled", INDEX('Fuel Model - Summary'!S:S,MATCH('Fuel Selector'!$B135,'Fuel Model - Summary'!$B:$B,0)),
IF($H135 = "External", INDEX('Fuel Cost - External'!S:S,MATCH('Fuel Selector'!$B135,'Fuel Cost - External'!$B:$B,0)),0)
))</f>
        <v>13.444354593464393</v>
      </c>
    </row>
    <row r="136" spans="1:22" x14ac:dyDescent="0.2">
      <c r="A136" s="29">
        <f>A135+1</f>
        <v>2</v>
      </c>
      <c r="B136" s="334" t="str">
        <f t="shared" si="132"/>
        <v>LNG - Middle East - Fuel cost - USD/GJ</v>
      </c>
      <c r="C136" t="str" cm="1">
        <f t="array" ref="C136">INDEX(list_AE_fuel,A136)</f>
        <v>LNG</v>
      </c>
      <c r="D136"/>
      <c r="E136" t="str">
        <f t="shared" ref="E136:E145" si="134">E135</f>
        <v>Middle East</v>
      </c>
      <c r="F136" t="str">
        <f t="shared" si="133"/>
        <v>Fuel cost - USD/GJ</v>
      </c>
      <c r="G136" s="128"/>
      <c r="H136" s="128" t="str" cm="1">
        <f t="array" ref="H136">INDEX('Configurator Specs.'!$CG$5:$CG$24,A136)</f>
        <v>Modeled</v>
      </c>
      <c r="I136" t="s">
        <v>324</v>
      </c>
      <c r="K136" s="89">
        <f>IF(K$113&gt;2050,J136,
IF($H136="Modeled", INDEX('Fuel Model - Summary'!H:H,MATCH('Fuel Selector'!$B136,'Fuel Model - Summary'!$B:$B,0)),
IF($H136 = "External", INDEX('Fuel Cost - External'!H:H,MATCH('Fuel Selector'!$B136,'Fuel Cost - External'!$B:$B,0)),0)
))</f>
        <v>33.930003137152291</v>
      </c>
      <c r="L136" s="89">
        <f>IF(L$113&gt;2050,K136,
IF($H136="Modeled", INDEX('Fuel Model - Summary'!I:I,MATCH('Fuel Selector'!$B136,'Fuel Model - Summary'!$B:$B,0)),
IF($H136 = "External", INDEX('Fuel Cost - External'!I:I,MATCH('Fuel Selector'!$B136,'Fuel Cost - External'!$B:$B,0)),0)
))</f>
        <v>15.500038614096303</v>
      </c>
      <c r="M136" s="89">
        <f>IF(M$113&gt;2050,L136,
IF($H136="Modeled", INDEX('Fuel Model - Summary'!J:J,MATCH('Fuel Selector'!$B136,'Fuel Model - Summary'!$B:$B,0)),
IF($H136 = "External", INDEX('Fuel Cost - External'!J:J,MATCH('Fuel Selector'!$B136,'Fuel Cost - External'!$B:$B,0)),0)
))</f>
        <v>7.4193726227600338</v>
      </c>
      <c r="N136" s="89">
        <f>IF(N$113&gt;2050,M136,
IF($H136="Modeled", INDEX('Fuel Model - Summary'!K:K,MATCH('Fuel Selector'!$B136,'Fuel Model - Summary'!$B:$B,0)),
IF($H136 = "External", INDEX('Fuel Cost - External'!K:K,MATCH('Fuel Selector'!$B136,'Fuel Cost - External'!$B:$B,0)),0)
))</f>
        <v>7.2775518452550756</v>
      </c>
      <c r="O136" s="89">
        <f>IF(O$113&gt;2050,N136,
IF($H136="Modeled", INDEX('Fuel Model - Summary'!L:L,MATCH('Fuel Selector'!$B136,'Fuel Model - Summary'!$B:$B,0)),
IF($H136 = "External", INDEX('Fuel Cost - External'!L:L,MATCH('Fuel Selector'!$B136,'Fuel Cost - External'!$B:$B,0)),0)
))</f>
        <v>7.161689825762461</v>
      </c>
      <c r="P136" s="89">
        <f>IF(P$113&gt;2050,O136,
IF($H136="Modeled", INDEX('Fuel Model - Summary'!M:M,MATCH('Fuel Selector'!$B136,'Fuel Model - Summary'!$B:$B,0)),
IF($H136 = "External", INDEX('Fuel Cost - External'!M:M,MATCH('Fuel Selector'!$B136,'Fuel Cost - External'!$B:$B,0)),0)
))</f>
        <v>7.0405267151074247</v>
      </c>
      <c r="Q136" s="89">
        <f>IF(Q$113&gt;2050,P136,
IF($H136="Modeled", INDEX('Fuel Model - Summary'!N:N,MATCH('Fuel Selector'!$B136,'Fuel Model - Summary'!$B:$B,0)),
IF($H136 = "External", INDEX('Fuel Cost - External'!N:N,MATCH('Fuel Selector'!$B136,'Fuel Cost - External'!$B:$B,0)),0)
))</f>
        <v>6.9381273513475641</v>
      </c>
      <c r="R136" s="89">
        <f>IF(R$113&gt;2050,Q136,
IF($H136="Modeled", INDEX('Fuel Model - Summary'!O:O,MATCH('Fuel Selector'!$B136,'Fuel Model - Summary'!$B:$B,0)),
IF($H136 = "External", INDEX('Fuel Cost - External'!O:O,MATCH('Fuel Selector'!$B136,'Fuel Cost - External'!$B:$B,0)),0)
))</f>
        <v>6.9381273513475641</v>
      </c>
      <c r="S136" s="89">
        <f>IF(S$113&gt;2050,R136,
IF($H136="Modeled", INDEX('Fuel Model - Summary'!P:P,MATCH('Fuel Selector'!$B136,'Fuel Model - Summary'!$B:$B,0)),
IF($H136 = "External", INDEX('Fuel Cost - External'!P:P,MATCH('Fuel Selector'!$B136,'Fuel Cost - External'!$B:$B,0)),0)
))</f>
        <v>6.9381273513475641</v>
      </c>
      <c r="T136" s="89">
        <f>IF(T$113&gt;2050,S136,
IF($H136="Modeled", INDEX('Fuel Model - Summary'!Q:Q,MATCH('Fuel Selector'!$B136,'Fuel Model - Summary'!$B:$B,0)),
IF($H136 = "External", INDEX('Fuel Cost - External'!Q:Q,MATCH('Fuel Selector'!$B136,'Fuel Cost - External'!$B:$B,0)),0)
))</f>
        <v>6.9381273513475641</v>
      </c>
      <c r="U136" s="89">
        <f>IF(U$113&gt;2050,T136,
IF($H136="Modeled", INDEX('Fuel Model - Summary'!R:R,MATCH('Fuel Selector'!$B136,'Fuel Model - Summary'!$B:$B,0)),
IF($H136 = "External", INDEX('Fuel Cost - External'!R:R,MATCH('Fuel Selector'!$B136,'Fuel Cost - External'!$B:$B,0)),0)
))</f>
        <v>6.9381273513475641</v>
      </c>
      <c r="V136" s="89">
        <f>IF(V$113&gt;2050,U136,
IF($H136="Modeled", INDEX('Fuel Model - Summary'!S:S,MATCH('Fuel Selector'!$B136,'Fuel Model - Summary'!$B:$B,0)),
IF($H136 = "External", INDEX('Fuel Cost - External'!S:S,MATCH('Fuel Selector'!$B136,'Fuel Cost - External'!$B:$B,0)),0)
))</f>
        <v>6.9381273513475641</v>
      </c>
    </row>
    <row r="137" spans="1:22" x14ac:dyDescent="0.2">
      <c r="A137" s="29">
        <f t="shared" ref="A137:A154" si="135">A136+1</f>
        <v>3</v>
      </c>
      <c r="B137" s="334" t="str">
        <f t="shared" si="132"/>
        <v>LPG - Middle East - Fuel cost - USD/GJ</v>
      </c>
      <c r="C137" t="str" cm="1">
        <f t="array" ref="C137">INDEX(list_AE_fuel,A137)</f>
        <v>LPG</v>
      </c>
      <c r="D137"/>
      <c r="E137" t="str">
        <f t="shared" si="134"/>
        <v>Middle East</v>
      </c>
      <c r="F137" t="str">
        <f t="shared" si="133"/>
        <v>Fuel cost - USD/GJ</v>
      </c>
      <c r="G137" s="128"/>
      <c r="H137" s="128" t="str" cm="1">
        <f t="array" ref="H137">INDEX('Configurator Specs.'!$CG$5:$CG$24,A137)</f>
        <v>External</v>
      </c>
      <c r="I137" t="s">
        <v>324</v>
      </c>
      <c r="K137" s="89">
        <f>IF(K$113&gt;2050,J137,
IF($H137="Modeled", INDEX('Fuel Model - Summary'!H:H,MATCH('Fuel Selector'!$B137,'Fuel Model - Summary'!$B:$B,0)),
IF($H137 = "External", INDEX('Fuel Cost - External'!H:H,MATCH('Fuel Selector'!$B137,'Fuel Cost - External'!$B:$B,0)),0)
))</f>
        <v>16.525069073439496</v>
      </c>
      <c r="L137" s="89">
        <f>IF(L$113&gt;2050,K137,
IF($H137="Modeled", INDEX('Fuel Model - Summary'!I:I,MATCH('Fuel Selector'!$B137,'Fuel Model - Summary'!$B:$B,0)),
IF($H137 = "External", INDEX('Fuel Cost - External'!I:I,MATCH('Fuel Selector'!$B137,'Fuel Cost - External'!$B:$B,0)),0)
))</f>
        <v>11.854940857032684</v>
      </c>
      <c r="M137" s="89">
        <f>IF(M$113&gt;2050,L137,
IF($H137="Modeled", INDEX('Fuel Model - Summary'!J:J,MATCH('Fuel Selector'!$B137,'Fuel Model - Summary'!$B:$B,0)),
IF($H137 = "External", INDEX('Fuel Cost - External'!J:J,MATCH('Fuel Selector'!$B137,'Fuel Cost - External'!$B:$B,0)),0)
))</f>
        <v>10.34613020250125</v>
      </c>
      <c r="N137" s="89">
        <f>IF(N$113&gt;2050,M137,
IF($H137="Modeled", INDEX('Fuel Model - Summary'!K:K,MATCH('Fuel Selector'!$B137,'Fuel Model - Summary'!$B:$B,0)),
IF($H137 = "External", INDEX('Fuel Cost - External'!K:K,MATCH('Fuel Selector'!$B137,'Fuel Cost - External'!$B:$B,0)),0)
))</f>
        <v>10.34613020250125</v>
      </c>
      <c r="O137" s="89">
        <f>IF(O$113&gt;2050,N137,
IF($H137="Modeled", INDEX('Fuel Model - Summary'!L:L,MATCH('Fuel Selector'!$B137,'Fuel Model - Summary'!$B:$B,0)),
IF($H137 = "External", INDEX('Fuel Cost - External'!L:L,MATCH('Fuel Selector'!$B137,'Fuel Cost - External'!$B:$B,0)),0)
))</f>
        <v>10.34613020250125</v>
      </c>
      <c r="P137" s="89">
        <f>IF(P$113&gt;2050,O137,
IF($H137="Modeled", INDEX('Fuel Model - Summary'!M:M,MATCH('Fuel Selector'!$B137,'Fuel Model - Summary'!$B:$B,0)),
IF($H137 = "External", INDEX('Fuel Cost - External'!M:M,MATCH('Fuel Selector'!$B137,'Fuel Cost - External'!$B:$B,0)),0)
))</f>
        <v>10.34613020250125</v>
      </c>
      <c r="Q137" s="89">
        <f>IF(Q$113&gt;2050,P137,
IF($H137="Modeled", INDEX('Fuel Model - Summary'!N:N,MATCH('Fuel Selector'!$B137,'Fuel Model - Summary'!$B:$B,0)),
IF($H137 = "External", INDEX('Fuel Cost - External'!N:N,MATCH('Fuel Selector'!$B137,'Fuel Cost - External'!$B:$B,0)),0)
))</f>
        <v>10.34613020250125</v>
      </c>
      <c r="R137" s="89">
        <f>IF(R$113&gt;2050,Q137,
IF($H137="Modeled", INDEX('Fuel Model - Summary'!O:O,MATCH('Fuel Selector'!$B137,'Fuel Model - Summary'!$B:$B,0)),
IF($H137 = "External", INDEX('Fuel Cost - External'!O:O,MATCH('Fuel Selector'!$B137,'Fuel Cost - External'!$B:$B,0)),0)
))</f>
        <v>10.34613020250125</v>
      </c>
      <c r="S137" s="89">
        <f>IF(S$113&gt;2050,R137,
IF($H137="Modeled", INDEX('Fuel Model - Summary'!P:P,MATCH('Fuel Selector'!$B137,'Fuel Model - Summary'!$B:$B,0)),
IF($H137 = "External", INDEX('Fuel Cost - External'!P:P,MATCH('Fuel Selector'!$B137,'Fuel Cost - External'!$B:$B,0)),0)
))</f>
        <v>10.34613020250125</v>
      </c>
      <c r="T137" s="89">
        <f>IF(T$113&gt;2050,S137,
IF($H137="Modeled", INDEX('Fuel Model - Summary'!Q:Q,MATCH('Fuel Selector'!$B137,'Fuel Model - Summary'!$B:$B,0)),
IF($H137 = "External", INDEX('Fuel Cost - External'!Q:Q,MATCH('Fuel Selector'!$B137,'Fuel Cost - External'!$B:$B,0)),0)
))</f>
        <v>10.34613020250125</v>
      </c>
      <c r="U137" s="89">
        <f>IF(U$113&gt;2050,T137,
IF($H137="Modeled", INDEX('Fuel Model - Summary'!R:R,MATCH('Fuel Selector'!$B137,'Fuel Model - Summary'!$B:$B,0)),
IF($H137 = "External", INDEX('Fuel Cost - External'!R:R,MATCH('Fuel Selector'!$B137,'Fuel Cost - External'!$B:$B,0)),0)
))</f>
        <v>10.34613020250125</v>
      </c>
      <c r="V137" s="89">
        <f>IF(V$113&gt;2050,U137,
IF($H137="Modeled", INDEX('Fuel Model - Summary'!S:S,MATCH('Fuel Selector'!$B137,'Fuel Model - Summary'!$B:$B,0)),
IF($H137 = "External", INDEX('Fuel Cost - External'!S:S,MATCH('Fuel Selector'!$B137,'Fuel Cost - External'!$B:$B,0)),0)
))</f>
        <v>10.34613020250125</v>
      </c>
    </row>
    <row r="138" spans="1:22" x14ac:dyDescent="0.2">
      <c r="A138" s="29">
        <f t="shared" si="135"/>
        <v>4</v>
      </c>
      <c r="B138" s="334" t="str">
        <f t="shared" si="132"/>
        <v>Electricity - Middle East - Fuel cost - USD/GJ</v>
      </c>
      <c r="C138" t="str" cm="1">
        <f t="array" ref="C138">INDEX(list_AE_fuel,A138)</f>
        <v>Electricity</v>
      </c>
      <c r="D138"/>
      <c r="E138" t="str">
        <f t="shared" si="134"/>
        <v>Middle East</v>
      </c>
      <c r="F138" t="str">
        <f t="shared" si="133"/>
        <v>Fuel cost - USD/GJ</v>
      </c>
      <c r="G138" s="128"/>
      <c r="H138" s="128" t="str" cm="1">
        <f t="array" ref="H138">INDEX('Configurator Specs.'!$CG$5:$CG$24,A138)</f>
        <v>External</v>
      </c>
      <c r="I138" t="s">
        <v>324</v>
      </c>
      <c r="K138" s="89">
        <f>IF(K$113&gt;2050,J138,
IF($H138="Modeled", INDEX('Fuel Model - Summary'!H:H,MATCH('Fuel Selector'!$B138,'Fuel Model - Summary'!$B:$B,0)),
IF($H138 = "External", INDEX('Fuel Cost - External'!H:H,MATCH('Fuel Selector'!$B138,'Fuel Cost - External'!$B:$B,0)),0)
))</f>
        <v>11.644766108709534</v>
      </c>
      <c r="L138" s="89">
        <f>IF(L$113&gt;2050,K138,
IF($H138="Modeled", INDEX('Fuel Model - Summary'!I:I,MATCH('Fuel Selector'!$B138,'Fuel Model - Summary'!$B:$B,0)),
IF($H138 = "External", INDEX('Fuel Cost - External'!I:I,MATCH('Fuel Selector'!$B138,'Fuel Cost - External'!$B:$B,0)),0)
))</f>
        <v>9.3758580910289115</v>
      </c>
      <c r="M138" s="89">
        <f>IF(M$113&gt;2050,L138,
IF($H138="Modeled", INDEX('Fuel Model - Summary'!J:J,MATCH('Fuel Selector'!$B138,'Fuel Model - Summary'!$B:$B,0)),
IF($H138 = "External", INDEX('Fuel Cost - External'!J:J,MATCH('Fuel Selector'!$B138,'Fuel Cost - External'!$B:$B,0)),0)
))</f>
        <v>7.8736330903117038</v>
      </c>
      <c r="N138" s="89">
        <f>IF(N$113&gt;2050,M138,
IF($H138="Modeled", INDEX('Fuel Model - Summary'!K:K,MATCH('Fuel Selector'!$B138,'Fuel Model - Summary'!$B:$B,0)),
IF($H138 = "External", INDEX('Fuel Cost - External'!K:K,MATCH('Fuel Selector'!$B138,'Fuel Cost - External'!$B:$B,0)),0)
))</f>
        <v>6.8143913545357639</v>
      </c>
      <c r="O138" s="89">
        <f>IF(O$113&gt;2050,N138,
IF($H138="Modeled", INDEX('Fuel Model - Summary'!L:L,MATCH('Fuel Selector'!$B138,'Fuel Model - Summary'!$B:$B,0)),
IF($H138 = "External", INDEX('Fuel Cost - External'!L:L,MATCH('Fuel Selector'!$B138,'Fuel Cost - External'!$B:$B,0)),0)
))</f>
        <v>6.2832986861711122</v>
      </c>
      <c r="P138" s="89">
        <f>IF(P$113&gt;2050,O138,
IF($H138="Modeled", INDEX('Fuel Model - Summary'!M:M,MATCH('Fuel Selector'!$B138,'Fuel Model - Summary'!$B:$B,0)),
IF($H138 = "External", INDEX('Fuel Cost - External'!M:M,MATCH('Fuel Selector'!$B138,'Fuel Cost - External'!$B:$B,0)),0)
))</f>
        <v>5.5868258548573895</v>
      </c>
      <c r="Q138" s="89">
        <f>IF(Q$113&gt;2050,P138,
IF($H138="Modeled", INDEX('Fuel Model - Summary'!N:N,MATCH('Fuel Selector'!$B138,'Fuel Model - Summary'!$B:$B,0)),
IF($H138 = "External", INDEX('Fuel Cost - External'!N:N,MATCH('Fuel Selector'!$B138,'Fuel Cost - External'!$B:$B,0)),0)
))</f>
        <v>5.2608547213038674</v>
      </c>
      <c r="R138" s="89">
        <f>IF(R$113&gt;2050,Q138,
IF($H138="Modeled", INDEX('Fuel Model - Summary'!O:O,MATCH('Fuel Selector'!$B138,'Fuel Model - Summary'!$B:$B,0)),
IF($H138 = "External", INDEX('Fuel Cost - External'!O:O,MATCH('Fuel Selector'!$B138,'Fuel Cost - External'!$B:$B,0)),0)
))</f>
        <v>5.2608547213038674</v>
      </c>
      <c r="S138" s="89">
        <f>IF(S$113&gt;2050,R138,
IF($H138="Modeled", INDEX('Fuel Model - Summary'!P:P,MATCH('Fuel Selector'!$B138,'Fuel Model - Summary'!$B:$B,0)),
IF($H138 = "External", INDEX('Fuel Cost - External'!P:P,MATCH('Fuel Selector'!$B138,'Fuel Cost - External'!$B:$B,0)),0)
))</f>
        <v>5.2608547213038674</v>
      </c>
      <c r="T138" s="89">
        <f>IF(T$113&gt;2050,S138,
IF($H138="Modeled", INDEX('Fuel Model - Summary'!Q:Q,MATCH('Fuel Selector'!$B138,'Fuel Model - Summary'!$B:$B,0)),
IF($H138 = "External", INDEX('Fuel Cost - External'!Q:Q,MATCH('Fuel Selector'!$B138,'Fuel Cost - External'!$B:$B,0)),0)
))</f>
        <v>5.2608547213038674</v>
      </c>
      <c r="U138" s="89">
        <f>IF(U$113&gt;2050,T138,
IF($H138="Modeled", INDEX('Fuel Model - Summary'!R:R,MATCH('Fuel Selector'!$B138,'Fuel Model - Summary'!$B:$B,0)),
IF($H138 = "External", INDEX('Fuel Cost - External'!R:R,MATCH('Fuel Selector'!$B138,'Fuel Cost - External'!$B:$B,0)),0)
))</f>
        <v>5.2608547213038674</v>
      </c>
      <c r="V138" s="89">
        <f>IF(V$113&gt;2050,U138,
IF($H138="Modeled", INDEX('Fuel Model - Summary'!S:S,MATCH('Fuel Selector'!$B138,'Fuel Model - Summary'!$B:$B,0)),
IF($H138 = "External", INDEX('Fuel Cost - External'!S:S,MATCH('Fuel Selector'!$B138,'Fuel Cost - External'!$B:$B,0)),0)
))</f>
        <v>5.2608547213038674</v>
      </c>
    </row>
    <row r="139" spans="1:22" x14ac:dyDescent="0.2">
      <c r="A139" s="29">
        <f t="shared" si="135"/>
        <v>5</v>
      </c>
      <c r="B139" s="334" t="str">
        <f t="shared" si="132"/>
        <v>e-Ammonia - Middle East - Fuel cost - USD/GJ</v>
      </c>
      <c r="C139" t="str" cm="1">
        <f t="array" ref="C139">INDEX(list_AE_fuel,A139)</f>
        <v>e-Ammonia</v>
      </c>
      <c r="D139"/>
      <c r="E139" t="str">
        <f t="shared" si="134"/>
        <v>Middle East</v>
      </c>
      <c r="F139" t="str">
        <f t="shared" si="133"/>
        <v>Fuel cost - USD/GJ</v>
      </c>
      <c r="G139" s="226"/>
      <c r="H139" s="128" t="str" cm="1">
        <f t="array" ref="H139">INDEX('Configurator Specs.'!$CG$5:$CG$24,A139)</f>
        <v>Modeled</v>
      </c>
      <c r="I139" t="s">
        <v>324</v>
      </c>
      <c r="K139" s="89">
        <f>IF(K$113&gt;2050,J139,
IF($H139="Modeled", INDEX('Fuel Model - Summary'!H:H,MATCH('Fuel Selector'!$B139,'Fuel Model - Summary'!$B:$B,0)),
IF($H139 = "External", INDEX('Fuel Cost - External'!H:H,MATCH('Fuel Selector'!$B139,'Fuel Cost - External'!$B:$B,0)),0)
))</f>
        <v>62.283888639900184</v>
      </c>
      <c r="L139" s="89">
        <f>IF(L$113&gt;2050,K139,
IF($H139="Modeled", INDEX('Fuel Model - Summary'!I:I,MATCH('Fuel Selector'!$B139,'Fuel Model - Summary'!$B:$B,0)),
IF($H139 = "External", INDEX('Fuel Cost - External'!I:I,MATCH('Fuel Selector'!$B139,'Fuel Cost - External'!$B:$B,0)),0)
))</f>
        <v>46.287262673780184</v>
      </c>
      <c r="M139" s="89">
        <f>IF(M$113&gt;2050,L139,
IF($H139="Modeled", INDEX('Fuel Model - Summary'!J:J,MATCH('Fuel Selector'!$B139,'Fuel Model - Summary'!$B:$B,0)),
IF($H139 = "External", INDEX('Fuel Cost - External'!J:J,MATCH('Fuel Selector'!$B139,'Fuel Cost - External'!$B:$B,0)),0)
))</f>
        <v>32.295420857942453</v>
      </c>
      <c r="N139" s="89">
        <f>IF(N$113&gt;2050,M139,
IF($H139="Modeled", INDEX('Fuel Model - Summary'!K:K,MATCH('Fuel Selector'!$B139,'Fuel Model - Summary'!$B:$B,0)),
IF($H139 = "External", INDEX('Fuel Cost - External'!K:K,MATCH('Fuel Selector'!$B139,'Fuel Cost - External'!$B:$B,0)),0)
))</f>
        <v>29.273706582352716</v>
      </c>
      <c r="O139" s="89">
        <f>IF(O$113&gt;2050,N139,
IF($H139="Modeled", INDEX('Fuel Model - Summary'!L:L,MATCH('Fuel Selector'!$B139,'Fuel Model - Summary'!$B:$B,0)),
IF($H139 = "External", INDEX('Fuel Cost - External'!L:L,MATCH('Fuel Selector'!$B139,'Fuel Cost - External'!$B:$B,0)),0)
))</f>
        <v>25.72337609966274</v>
      </c>
      <c r="P139" s="89">
        <f>IF(P$113&gt;2050,O139,
IF($H139="Modeled", INDEX('Fuel Model - Summary'!M:M,MATCH('Fuel Selector'!$B139,'Fuel Model - Summary'!$B:$B,0)),
IF($H139 = "External", INDEX('Fuel Cost - External'!M:M,MATCH('Fuel Selector'!$B139,'Fuel Cost - External'!$B:$B,0)),0)
))</f>
        <v>21.012302578619281</v>
      </c>
      <c r="Q139" s="89">
        <f>IF(Q$113&gt;2050,P139,
IF($H139="Modeled", INDEX('Fuel Model - Summary'!N:N,MATCH('Fuel Selector'!$B139,'Fuel Model - Summary'!$B:$B,0)),
IF($H139 = "External", INDEX('Fuel Cost - External'!N:N,MATCH('Fuel Selector'!$B139,'Fuel Cost - External'!$B:$B,0)),0)
))</f>
        <v>16.898367509155761</v>
      </c>
      <c r="R139" s="89">
        <f>IF(R$113&gt;2050,Q139,
IF($H139="Modeled", INDEX('Fuel Model - Summary'!O:O,MATCH('Fuel Selector'!$B139,'Fuel Model - Summary'!$B:$B,0)),
IF($H139 = "External", INDEX('Fuel Cost - External'!O:O,MATCH('Fuel Selector'!$B139,'Fuel Cost - External'!$B:$B,0)),0)
))</f>
        <v>16.898367509155761</v>
      </c>
      <c r="S139" s="89">
        <f>IF(S$113&gt;2050,R139,
IF($H139="Modeled", INDEX('Fuel Model - Summary'!P:P,MATCH('Fuel Selector'!$B139,'Fuel Model - Summary'!$B:$B,0)),
IF($H139 = "External", INDEX('Fuel Cost - External'!P:P,MATCH('Fuel Selector'!$B139,'Fuel Cost - External'!$B:$B,0)),0)
))</f>
        <v>16.898367509155761</v>
      </c>
      <c r="T139" s="89">
        <f>IF(T$113&gt;2050,S139,
IF($H139="Modeled", INDEX('Fuel Model - Summary'!Q:Q,MATCH('Fuel Selector'!$B139,'Fuel Model - Summary'!$B:$B,0)),
IF($H139 = "External", INDEX('Fuel Cost - External'!Q:Q,MATCH('Fuel Selector'!$B139,'Fuel Cost - External'!$B:$B,0)),0)
))</f>
        <v>16.898367509155761</v>
      </c>
      <c r="U139" s="89">
        <f>IF(U$113&gt;2050,T139,
IF($H139="Modeled", INDEX('Fuel Model - Summary'!R:R,MATCH('Fuel Selector'!$B139,'Fuel Model - Summary'!$B:$B,0)),
IF($H139 = "External", INDEX('Fuel Cost - External'!R:R,MATCH('Fuel Selector'!$B139,'Fuel Cost - External'!$B:$B,0)),0)
))</f>
        <v>16.898367509155761</v>
      </c>
      <c r="V139" s="89">
        <f>IF(V$113&gt;2050,U139,
IF($H139="Modeled", INDEX('Fuel Model - Summary'!S:S,MATCH('Fuel Selector'!$B139,'Fuel Model - Summary'!$B:$B,0)),
IF($H139 = "External", INDEX('Fuel Cost - External'!S:S,MATCH('Fuel Selector'!$B139,'Fuel Cost - External'!$B:$B,0)),0)
))</f>
        <v>16.898367509155761</v>
      </c>
    </row>
    <row r="140" spans="1:22" x14ac:dyDescent="0.2">
      <c r="A140" s="29">
        <f t="shared" si="135"/>
        <v>6</v>
      </c>
      <c r="B140" s="334" t="str">
        <f t="shared" si="132"/>
        <v>Blue ammonia - Middle East - Fuel cost - USD/GJ</v>
      </c>
      <c r="C140" t="str" cm="1">
        <f t="array" ref="C140">INDEX(list_AE_fuel,A140)</f>
        <v>Blue ammonia</v>
      </c>
      <c r="D140"/>
      <c r="E140" t="str">
        <f t="shared" si="134"/>
        <v>Middle East</v>
      </c>
      <c r="F140" t="str">
        <f t="shared" si="133"/>
        <v>Fuel cost - USD/GJ</v>
      </c>
      <c r="G140" s="226"/>
      <c r="H140" s="128" t="str" cm="1">
        <f t="array" ref="H140">INDEX('Configurator Specs.'!$CG$5:$CG$24,A140)</f>
        <v>Modeled</v>
      </c>
      <c r="I140" t="s">
        <v>324</v>
      </c>
      <c r="K140" s="89">
        <f>IF(K$113&gt;2050,J140,
IF($H140="Modeled", INDEX('Fuel Model - Summary'!H:H,MATCH('Fuel Selector'!$B140,'Fuel Model - Summary'!$B:$B,0)),
IF($H140 = "External", INDEX('Fuel Cost - External'!H:H,MATCH('Fuel Selector'!$B140,'Fuel Cost - External'!$B:$B,0)),0)
))</f>
        <v>66.468496722009505</v>
      </c>
      <c r="L140" s="89">
        <f>IF(L$113&gt;2050,K140,
IF($H140="Modeled", INDEX('Fuel Model - Summary'!I:I,MATCH('Fuel Selector'!$B140,'Fuel Model - Summary'!$B:$B,0)),
IF($H140 = "External", INDEX('Fuel Cost - External'!I:I,MATCH('Fuel Selector'!$B140,'Fuel Cost - External'!$B:$B,0)),0)
))</f>
        <v>35.128239779393333</v>
      </c>
      <c r="M140" s="89">
        <f>IF(M$113&gt;2050,L140,
IF($H140="Modeled", INDEX('Fuel Model - Summary'!J:J,MATCH('Fuel Selector'!$B140,'Fuel Model - Summary'!$B:$B,0)),
IF($H140 = "External", INDEX('Fuel Cost - External'!J:J,MATCH('Fuel Selector'!$B140,'Fuel Cost - External'!$B:$B,0)),0)
))</f>
        <v>20.66318250043458</v>
      </c>
      <c r="N140" s="89">
        <f>IF(N$113&gt;2050,M140,
IF($H140="Modeled", INDEX('Fuel Model - Summary'!K:K,MATCH('Fuel Selector'!$B140,'Fuel Model - Summary'!$B:$B,0)),
IF($H140 = "External", INDEX('Fuel Cost - External'!K:K,MATCH('Fuel Selector'!$B140,'Fuel Cost - External'!$B:$B,0)),0)
))</f>
        <v>20.22839119038662</v>
      </c>
      <c r="O140" s="89">
        <f>IF(O$113&gt;2050,N140,
IF($H140="Modeled", INDEX('Fuel Model - Summary'!L:L,MATCH('Fuel Selector'!$B140,'Fuel Model - Summary'!$B:$B,0)),
IF($H140 = "External", INDEX('Fuel Cost - External'!L:L,MATCH('Fuel Selector'!$B140,'Fuel Cost - External'!$B:$B,0)),0)
))</f>
        <v>19.810226462469338</v>
      </c>
      <c r="P140" s="89">
        <f>IF(P$113&gt;2050,O140,
IF($H140="Modeled", INDEX('Fuel Model - Summary'!M:M,MATCH('Fuel Selector'!$B140,'Fuel Model - Summary'!$B:$B,0)),
IF($H140 = "External", INDEX('Fuel Cost - External'!M:M,MATCH('Fuel Selector'!$B140,'Fuel Cost - External'!$B:$B,0)),0)
))</f>
        <v>19.386855426273343</v>
      </c>
      <c r="Q140" s="89">
        <f>IF(Q$113&gt;2050,P140,
IF($H140="Modeled", INDEX('Fuel Model - Summary'!N:N,MATCH('Fuel Selector'!$B140,'Fuel Model - Summary'!$B:$B,0)),
IF($H140 = "External", INDEX('Fuel Cost - External'!N:N,MATCH('Fuel Selector'!$B140,'Fuel Cost - External'!$B:$B,0)),0)
))</f>
        <v>18.97514809884343</v>
      </c>
      <c r="R140" s="89">
        <f>IF(R$113&gt;2050,Q140,
IF($H140="Modeled", INDEX('Fuel Model - Summary'!O:O,MATCH('Fuel Selector'!$B140,'Fuel Model - Summary'!$B:$B,0)),
IF($H140 = "External", INDEX('Fuel Cost - External'!O:O,MATCH('Fuel Selector'!$B140,'Fuel Cost - External'!$B:$B,0)),0)
))</f>
        <v>18.97514809884343</v>
      </c>
      <c r="S140" s="89">
        <f>IF(S$113&gt;2050,R140,
IF($H140="Modeled", INDEX('Fuel Model - Summary'!P:P,MATCH('Fuel Selector'!$B140,'Fuel Model - Summary'!$B:$B,0)),
IF($H140 = "External", INDEX('Fuel Cost - External'!P:P,MATCH('Fuel Selector'!$B140,'Fuel Cost - External'!$B:$B,0)),0)
))</f>
        <v>18.97514809884343</v>
      </c>
      <c r="T140" s="89">
        <f>IF(T$113&gt;2050,S140,
IF($H140="Modeled", INDEX('Fuel Model - Summary'!Q:Q,MATCH('Fuel Selector'!$B140,'Fuel Model - Summary'!$B:$B,0)),
IF($H140 = "External", INDEX('Fuel Cost - External'!Q:Q,MATCH('Fuel Selector'!$B140,'Fuel Cost - External'!$B:$B,0)),0)
))</f>
        <v>18.97514809884343</v>
      </c>
      <c r="U140" s="89">
        <f>IF(U$113&gt;2050,T140,
IF($H140="Modeled", INDEX('Fuel Model - Summary'!R:R,MATCH('Fuel Selector'!$B140,'Fuel Model - Summary'!$B:$B,0)),
IF($H140 = "External", INDEX('Fuel Cost - External'!R:R,MATCH('Fuel Selector'!$B140,'Fuel Cost - External'!$B:$B,0)),0)
))</f>
        <v>18.97514809884343</v>
      </c>
      <c r="V140" s="89">
        <f>IF(V$113&gt;2050,U140,
IF($H140="Modeled", INDEX('Fuel Model - Summary'!S:S,MATCH('Fuel Selector'!$B140,'Fuel Model - Summary'!$B:$B,0)),
IF($H140 = "External", INDEX('Fuel Cost - External'!S:S,MATCH('Fuel Selector'!$B140,'Fuel Cost - External'!$B:$B,0)),0)
))</f>
        <v>18.97514809884343</v>
      </c>
    </row>
    <row r="141" spans="1:22" x14ac:dyDescent="0.2">
      <c r="A141" s="29">
        <f t="shared" si="135"/>
        <v>7</v>
      </c>
      <c r="B141" s="334" t="str">
        <f t="shared" si="132"/>
        <v>Biomethane - Middle East - Fuel cost - USD/GJ</v>
      </c>
      <c r="C141" t="str" cm="1">
        <f t="array" ref="C141">INDEX(list_AE_fuel,A141)</f>
        <v>Biomethane</v>
      </c>
      <c r="D141"/>
      <c r="E141" t="str">
        <f t="shared" si="134"/>
        <v>Middle East</v>
      </c>
      <c r="F141" t="str">
        <f t="shared" si="133"/>
        <v>Fuel cost - USD/GJ</v>
      </c>
      <c r="G141"/>
      <c r="H141" s="128" t="str" cm="1">
        <f t="array" ref="H141">INDEX('Configurator Specs.'!$CG$5:$CG$24,A141)</f>
        <v>Modeled</v>
      </c>
      <c r="I141" t="s">
        <v>324</v>
      </c>
      <c r="K141" s="89">
        <f>IF(K$113&gt;2050,J141,
IF($H141="Modeled", INDEX('Fuel Model - Summary'!H:H,MATCH('Fuel Selector'!$B141,'Fuel Model - Summary'!$B:$B,0)),
IF($H141 = "External", INDEX('Fuel Cost - External'!H:H,MATCH('Fuel Selector'!$B141,'Fuel Cost - External'!$B:$B,0)),0)
))</f>
        <v>24.5781020267268</v>
      </c>
      <c r="L141" s="89">
        <f>IF(L$113&gt;2050,K141,
IF($H141="Modeled", INDEX('Fuel Model - Summary'!I:I,MATCH('Fuel Selector'!$B141,'Fuel Model - Summary'!$B:$B,0)),
IF($H141 = "External", INDEX('Fuel Cost - External'!I:I,MATCH('Fuel Selector'!$B141,'Fuel Cost - External'!$B:$B,0)),0)
))</f>
        <v>22.582091913834738</v>
      </c>
      <c r="M141" s="89">
        <f>IF(M$113&gt;2050,L141,
IF($H141="Modeled", INDEX('Fuel Model - Summary'!J:J,MATCH('Fuel Selector'!$B141,'Fuel Model - Summary'!$B:$B,0)),
IF($H141 = "External", INDEX('Fuel Cost - External'!J:J,MATCH('Fuel Selector'!$B141,'Fuel Cost - External'!$B:$B,0)),0)
))</f>
        <v>21.022686631259866</v>
      </c>
      <c r="N141" s="89">
        <f>IF(N$113&gt;2050,M141,
IF($H141="Modeled", INDEX('Fuel Model - Summary'!K:K,MATCH('Fuel Selector'!$B141,'Fuel Model - Summary'!$B:$B,0)),
IF($H141 = "External", INDEX('Fuel Cost - External'!K:K,MATCH('Fuel Selector'!$B141,'Fuel Cost - External'!$B:$B,0)),0)
))</f>
        <v>19.690076287578233</v>
      </c>
      <c r="O141" s="89">
        <f>IF(O$113&gt;2050,N141,
IF($H141="Modeled", INDEX('Fuel Model - Summary'!L:L,MATCH('Fuel Selector'!$B141,'Fuel Model - Summary'!$B:$B,0)),
IF($H141 = "External", INDEX('Fuel Cost - External'!L:L,MATCH('Fuel Selector'!$B141,'Fuel Cost - External'!$B:$B,0)),0)
))</f>
        <v>18.402803847637159</v>
      </c>
      <c r="P141" s="89">
        <f>IF(P$113&gt;2050,O141,
IF($H141="Modeled", INDEX('Fuel Model - Summary'!M:M,MATCH('Fuel Selector'!$B141,'Fuel Model - Summary'!$B:$B,0)),
IF($H141 = "External", INDEX('Fuel Cost - External'!M:M,MATCH('Fuel Selector'!$B141,'Fuel Cost - External'!$B:$B,0)),0)
))</f>
        <v>17.099940075292899</v>
      </c>
      <c r="Q141" s="89">
        <f>IF(Q$113&gt;2050,P141,
IF($H141="Modeled", INDEX('Fuel Model - Summary'!N:N,MATCH('Fuel Selector'!$B141,'Fuel Model - Summary'!$B:$B,0)),
IF($H141 = "External", INDEX('Fuel Cost - External'!N:N,MATCH('Fuel Selector'!$B141,'Fuel Cost - External'!$B:$B,0)),0)
))</f>
        <v>15.829496519224517</v>
      </c>
      <c r="R141" s="89">
        <f>IF(R$113&gt;2050,Q141,
IF($H141="Modeled", INDEX('Fuel Model - Summary'!O:O,MATCH('Fuel Selector'!$B141,'Fuel Model - Summary'!$B:$B,0)),
IF($H141 = "External", INDEX('Fuel Cost - External'!O:O,MATCH('Fuel Selector'!$B141,'Fuel Cost - External'!$B:$B,0)),0)
))</f>
        <v>15.829496519224517</v>
      </c>
      <c r="S141" s="89">
        <f>IF(S$113&gt;2050,R141,
IF($H141="Modeled", INDEX('Fuel Model - Summary'!P:P,MATCH('Fuel Selector'!$B141,'Fuel Model - Summary'!$B:$B,0)),
IF($H141 = "External", INDEX('Fuel Cost - External'!P:P,MATCH('Fuel Selector'!$B141,'Fuel Cost - External'!$B:$B,0)),0)
))</f>
        <v>15.829496519224517</v>
      </c>
      <c r="T141" s="89">
        <f>IF(T$113&gt;2050,S141,
IF($H141="Modeled", INDEX('Fuel Model - Summary'!Q:Q,MATCH('Fuel Selector'!$B141,'Fuel Model - Summary'!$B:$B,0)),
IF($H141 = "External", INDEX('Fuel Cost - External'!Q:Q,MATCH('Fuel Selector'!$B141,'Fuel Cost - External'!$B:$B,0)),0)
))</f>
        <v>15.829496519224517</v>
      </c>
      <c r="U141" s="89">
        <f>IF(U$113&gt;2050,T141,
IF($H141="Modeled", INDEX('Fuel Model - Summary'!R:R,MATCH('Fuel Selector'!$B141,'Fuel Model - Summary'!$B:$B,0)),
IF($H141 = "External", INDEX('Fuel Cost - External'!R:R,MATCH('Fuel Selector'!$B141,'Fuel Cost - External'!$B:$B,0)),0)
))</f>
        <v>15.829496519224517</v>
      </c>
      <c r="V141" s="89">
        <f>IF(V$113&gt;2050,U141,
IF($H141="Modeled", INDEX('Fuel Model - Summary'!S:S,MATCH('Fuel Selector'!$B141,'Fuel Model - Summary'!$B:$B,0)),
IF($H141 = "External", INDEX('Fuel Cost - External'!S:S,MATCH('Fuel Selector'!$B141,'Fuel Cost - External'!$B:$B,0)),0)
))</f>
        <v>15.829496519224517</v>
      </c>
    </row>
    <row r="142" spans="1:22" x14ac:dyDescent="0.2">
      <c r="A142" s="29">
        <f t="shared" si="135"/>
        <v>8</v>
      </c>
      <c r="B142" s="334" t="str">
        <f t="shared" si="132"/>
        <v>e-Methane (DAC) - Middle East - Fuel cost - USD/GJ</v>
      </c>
      <c r="C142" t="str" cm="1">
        <f t="array" ref="C142">INDEX(list_AE_fuel,A142)</f>
        <v>e-Methane (DAC)</v>
      </c>
      <c r="D142"/>
      <c r="E142" t="str">
        <f t="shared" si="134"/>
        <v>Middle East</v>
      </c>
      <c r="F142" t="str">
        <f t="shared" si="133"/>
        <v>Fuel cost - USD/GJ</v>
      </c>
      <c r="G142" s="226"/>
      <c r="H142" s="128" t="str" cm="1">
        <f t="array" ref="H142">INDEX('Configurator Specs.'!$CG$5:$CG$24,A142)</f>
        <v>Modeled</v>
      </c>
      <c r="I142" t="s">
        <v>324</v>
      </c>
      <c r="K142" s="89">
        <f>IF(K$113&gt;2050,J142,
IF($H142="Modeled", INDEX('Fuel Model - Summary'!H:H,MATCH('Fuel Selector'!$B142,'Fuel Model - Summary'!$B:$B,0)),
IF($H142 = "External", INDEX('Fuel Cost - External'!H:H,MATCH('Fuel Selector'!$B142,'Fuel Cost - External'!$B:$B,0)),0)
))</f>
        <v>66.52076566233832</v>
      </c>
      <c r="L142" s="89">
        <f>IF(L$113&gt;2050,K142,
IF($H142="Modeled", INDEX('Fuel Model - Summary'!I:I,MATCH('Fuel Selector'!$B142,'Fuel Model - Summary'!$B:$B,0)),
IF($H142 = "External", INDEX('Fuel Cost - External'!I:I,MATCH('Fuel Selector'!$B142,'Fuel Cost - External'!$B:$B,0)),0)
))</f>
        <v>54.239629391947346</v>
      </c>
      <c r="M142" s="89">
        <f>IF(M$113&gt;2050,L142,
IF($H142="Modeled", INDEX('Fuel Model - Summary'!J:J,MATCH('Fuel Selector'!$B142,'Fuel Model - Summary'!$B:$B,0)),
IF($H142 = "External", INDEX('Fuel Cost - External'!J:J,MATCH('Fuel Selector'!$B142,'Fuel Cost - External'!$B:$B,0)),0)
))</f>
        <v>45.42394789445035</v>
      </c>
      <c r="N142" s="89">
        <f>IF(N$113&gt;2050,M142,
IF($H142="Modeled", INDEX('Fuel Model - Summary'!K:K,MATCH('Fuel Selector'!$B142,'Fuel Model - Summary'!$B:$B,0)),
IF($H142 = "External", INDEX('Fuel Cost - External'!K:K,MATCH('Fuel Selector'!$B142,'Fuel Cost - External'!$B:$B,0)),0)
))</f>
        <v>40.471423198926963</v>
      </c>
      <c r="O142" s="89">
        <f>IF(O$113&gt;2050,N142,
IF($H142="Modeled", INDEX('Fuel Model - Summary'!L:L,MATCH('Fuel Selector'!$B142,'Fuel Model - Summary'!$B:$B,0)),
IF($H142 = "External", INDEX('Fuel Cost - External'!L:L,MATCH('Fuel Selector'!$B142,'Fuel Cost - External'!$B:$B,0)),0)
))</f>
        <v>35.449267934683718</v>
      </c>
      <c r="P142" s="89">
        <f>IF(P$113&gt;2050,O142,
IF($H142="Modeled", INDEX('Fuel Model - Summary'!M:M,MATCH('Fuel Selector'!$B142,'Fuel Model - Summary'!$B:$B,0)),
IF($H142 = "External", INDEX('Fuel Cost - External'!M:M,MATCH('Fuel Selector'!$B142,'Fuel Cost - External'!$B:$B,0)),0)
))</f>
        <v>29.091015115236747</v>
      </c>
      <c r="Q142" s="89">
        <f>IF(Q$113&gt;2050,P142,
IF($H142="Modeled", INDEX('Fuel Model - Summary'!N:N,MATCH('Fuel Selector'!$B142,'Fuel Model - Summary'!$B:$B,0)),
IF($H142 = "External", INDEX('Fuel Cost - External'!N:N,MATCH('Fuel Selector'!$B142,'Fuel Cost - External'!$B:$B,0)),0)
))</f>
        <v>23.652599331827609</v>
      </c>
      <c r="R142" s="89">
        <f>IF(R$113&gt;2050,Q142,
IF($H142="Modeled", INDEX('Fuel Model - Summary'!O:O,MATCH('Fuel Selector'!$B142,'Fuel Model - Summary'!$B:$B,0)),
IF($H142 = "External", INDEX('Fuel Cost - External'!O:O,MATCH('Fuel Selector'!$B142,'Fuel Cost - External'!$B:$B,0)),0)
))</f>
        <v>23.652599331827609</v>
      </c>
      <c r="S142" s="89">
        <f>IF(S$113&gt;2050,R142,
IF($H142="Modeled", INDEX('Fuel Model - Summary'!P:P,MATCH('Fuel Selector'!$B142,'Fuel Model - Summary'!$B:$B,0)),
IF($H142 = "External", INDEX('Fuel Cost - External'!P:P,MATCH('Fuel Selector'!$B142,'Fuel Cost - External'!$B:$B,0)),0)
))</f>
        <v>23.652599331827609</v>
      </c>
      <c r="T142" s="89">
        <f>IF(T$113&gt;2050,S142,
IF($H142="Modeled", INDEX('Fuel Model - Summary'!Q:Q,MATCH('Fuel Selector'!$B142,'Fuel Model - Summary'!$B:$B,0)),
IF($H142 = "External", INDEX('Fuel Cost - External'!Q:Q,MATCH('Fuel Selector'!$B142,'Fuel Cost - External'!$B:$B,0)),0)
))</f>
        <v>23.652599331827609</v>
      </c>
      <c r="U142" s="89">
        <f>IF(U$113&gt;2050,T142,
IF($H142="Modeled", INDEX('Fuel Model - Summary'!R:R,MATCH('Fuel Selector'!$B142,'Fuel Model - Summary'!$B:$B,0)),
IF($H142 = "External", INDEX('Fuel Cost - External'!R:R,MATCH('Fuel Selector'!$B142,'Fuel Cost - External'!$B:$B,0)),0)
))</f>
        <v>23.652599331827609</v>
      </c>
      <c r="V142" s="89">
        <f>IF(V$113&gt;2050,U142,
IF($H142="Modeled", INDEX('Fuel Model - Summary'!S:S,MATCH('Fuel Selector'!$B142,'Fuel Model - Summary'!$B:$B,0)),
IF($H142 = "External", INDEX('Fuel Cost - External'!S:S,MATCH('Fuel Selector'!$B142,'Fuel Cost - External'!$B:$B,0)),0)
))</f>
        <v>23.652599331827609</v>
      </c>
    </row>
    <row r="143" spans="1:22" x14ac:dyDescent="0.2">
      <c r="A143" s="29">
        <f t="shared" si="135"/>
        <v>9</v>
      </c>
      <c r="B143" s="334" t="str">
        <f t="shared" si="132"/>
        <v>e-Methane (PS) - Middle East - Fuel cost - USD/GJ</v>
      </c>
      <c r="C143" t="str" cm="1">
        <f t="array" ref="C143">INDEX(list_AE_fuel,A143)</f>
        <v>e-Methane (PS)</v>
      </c>
      <c r="D143"/>
      <c r="E143" t="str">
        <f t="shared" si="134"/>
        <v>Middle East</v>
      </c>
      <c r="F143" t="str">
        <f t="shared" si="133"/>
        <v>Fuel cost - USD/GJ</v>
      </c>
      <c r="G143" s="226"/>
      <c r="H143" s="128" t="str" cm="1">
        <f t="array" ref="H143">INDEX('Configurator Specs.'!$CG$5:$CG$24,A143)</f>
        <v>Modeled</v>
      </c>
      <c r="I143" t="s">
        <v>324</v>
      </c>
      <c r="K143" s="89">
        <f>IF(K$113&gt;2050,J143,
IF($H143="Modeled", INDEX('Fuel Model - Summary'!H:H,MATCH('Fuel Selector'!$B143,'Fuel Model - Summary'!$B:$B,0)),
IF($H143 = "External", INDEX('Fuel Cost - External'!H:H,MATCH('Fuel Selector'!$B143,'Fuel Cost - External'!$B:$B,0)),0)
))</f>
        <v>61.510514310650422</v>
      </c>
      <c r="L143" s="89">
        <f>IF(L$113&gt;2050,K143,
IF($H143="Modeled", INDEX('Fuel Model - Summary'!I:I,MATCH('Fuel Selector'!$B143,'Fuel Model - Summary'!$B:$B,0)),
IF($H143 = "External", INDEX('Fuel Cost - External'!I:I,MATCH('Fuel Selector'!$B143,'Fuel Cost - External'!$B:$B,0)),0)
))</f>
        <v>50.580196904025662</v>
      </c>
      <c r="M143" s="89">
        <f>IF(M$113&gt;2050,L143,
IF($H143="Modeled", INDEX('Fuel Model - Summary'!J:J,MATCH('Fuel Selector'!$B143,'Fuel Model - Summary'!$B:$B,0)),
IF($H143 = "External", INDEX('Fuel Cost - External'!J:J,MATCH('Fuel Selector'!$B143,'Fuel Cost - External'!$B:$B,0)),0)
))</f>
        <v>42.344444298431064</v>
      </c>
      <c r="N143" s="89">
        <f>IF(N$113&gt;2050,M143,
IF($H143="Modeled", INDEX('Fuel Model - Summary'!K:K,MATCH('Fuel Selector'!$B143,'Fuel Model - Summary'!$B:$B,0)),
IF($H143 = "External", INDEX('Fuel Cost - External'!K:K,MATCH('Fuel Selector'!$B143,'Fuel Cost - External'!$B:$B,0)),0)
))</f>
        <v>38.401827606030857</v>
      </c>
      <c r="O143" s="89">
        <f>IF(O$113&gt;2050,N143,
IF($H143="Modeled", INDEX('Fuel Model - Summary'!L:L,MATCH('Fuel Selector'!$B143,'Fuel Model - Summary'!$B:$B,0)),
IF($H143 = "External", INDEX('Fuel Cost - External'!L:L,MATCH('Fuel Selector'!$B143,'Fuel Cost - External'!$B:$B,0)),0)
))</f>
        <v>33.950404303877441</v>
      </c>
      <c r="P143" s="89">
        <f>IF(P$113&gt;2050,O143,
IF($H143="Modeled", INDEX('Fuel Model - Summary'!M:M,MATCH('Fuel Selector'!$B143,'Fuel Model - Summary'!$B:$B,0)),
IF($H143 = "External", INDEX('Fuel Cost - External'!M:M,MATCH('Fuel Selector'!$B143,'Fuel Cost - External'!$B:$B,0)),0)
))</f>
        <v>28.040137295301555</v>
      </c>
      <c r="Q143" s="89">
        <f>IF(Q$113&gt;2050,P143,
IF($H143="Modeled", INDEX('Fuel Model - Summary'!N:N,MATCH('Fuel Selector'!$B143,'Fuel Model - Summary'!$B:$B,0)),
IF($H143 = "External", INDEX('Fuel Cost - External'!N:N,MATCH('Fuel Selector'!$B143,'Fuel Cost - External'!$B:$B,0)),0)
))</f>
        <v>22.784457445693743</v>
      </c>
      <c r="R143" s="89">
        <f>IF(R$113&gt;2050,Q143,
IF($H143="Modeled", INDEX('Fuel Model - Summary'!O:O,MATCH('Fuel Selector'!$B143,'Fuel Model - Summary'!$B:$B,0)),
IF($H143 = "External", INDEX('Fuel Cost - External'!O:O,MATCH('Fuel Selector'!$B143,'Fuel Cost - External'!$B:$B,0)),0)
))</f>
        <v>22.784457445693743</v>
      </c>
      <c r="S143" s="89">
        <f>IF(S$113&gt;2050,R143,
IF($H143="Modeled", INDEX('Fuel Model - Summary'!P:P,MATCH('Fuel Selector'!$B143,'Fuel Model - Summary'!$B:$B,0)),
IF($H143 = "External", INDEX('Fuel Cost - External'!P:P,MATCH('Fuel Selector'!$B143,'Fuel Cost - External'!$B:$B,0)),0)
))</f>
        <v>22.784457445693743</v>
      </c>
      <c r="T143" s="89">
        <f>IF(T$113&gt;2050,S143,
IF($H143="Modeled", INDEX('Fuel Model - Summary'!Q:Q,MATCH('Fuel Selector'!$B143,'Fuel Model - Summary'!$B:$B,0)),
IF($H143 = "External", INDEX('Fuel Cost - External'!Q:Q,MATCH('Fuel Selector'!$B143,'Fuel Cost - External'!$B:$B,0)),0)
))</f>
        <v>22.784457445693743</v>
      </c>
      <c r="U143" s="89">
        <f>IF(U$113&gt;2050,T143,
IF($H143="Modeled", INDEX('Fuel Model - Summary'!R:R,MATCH('Fuel Selector'!$B143,'Fuel Model - Summary'!$B:$B,0)),
IF($H143 = "External", INDEX('Fuel Cost - External'!R:R,MATCH('Fuel Selector'!$B143,'Fuel Cost - External'!$B:$B,0)),0)
))</f>
        <v>22.784457445693743</v>
      </c>
      <c r="V143" s="89">
        <f>IF(V$113&gt;2050,U143,
IF($H143="Modeled", INDEX('Fuel Model - Summary'!S:S,MATCH('Fuel Selector'!$B143,'Fuel Model - Summary'!$B:$B,0)),
IF($H143 = "External", INDEX('Fuel Cost - External'!S:S,MATCH('Fuel Selector'!$B143,'Fuel Cost - External'!$B:$B,0)),0)
))</f>
        <v>22.784457445693743</v>
      </c>
    </row>
    <row r="144" spans="1:22" x14ac:dyDescent="0.2">
      <c r="A144" s="29">
        <f t="shared" si="135"/>
        <v>10</v>
      </c>
      <c r="B144" s="334" t="str">
        <f t="shared" si="132"/>
        <v>Biomethanol - Middle East - Fuel cost - USD/GJ</v>
      </c>
      <c r="C144" t="str" cm="1">
        <f t="array" ref="C144">INDEX(list_AE_fuel,A144)</f>
        <v>Biomethanol</v>
      </c>
      <c r="D144"/>
      <c r="E144" t="str">
        <f t="shared" si="134"/>
        <v>Middle East</v>
      </c>
      <c r="F144" t="str">
        <f t="shared" si="133"/>
        <v>Fuel cost - USD/GJ</v>
      </c>
      <c r="G144"/>
      <c r="H144" s="128" t="str" cm="1">
        <f t="array" ref="H144">INDEX('Configurator Specs.'!$CG$5:$CG$24,A144)</f>
        <v>Modeled</v>
      </c>
      <c r="I144" t="s">
        <v>324</v>
      </c>
      <c r="K144" s="89">
        <f>IF(K$113&gt;2050,J144,
IF($H144="Modeled", INDEX('Fuel Model - Summary'!H:H,MATCH('Fuel Selector'!$B144,'Fuel Model - Summary'!$B:$B,0)),
IF($H144 = "External", INDEX('Fuel Cost - External'!H:H,MATCH('Fuel Selector'!$B144,'Fuel Cost - External'!$B:$B,0)),0)
))</f>
        <v>51.148611071247103</v>
      </c>
      <c r="L144" s="89">
        <f>IF(L$113&gt;2050,K144,
IF($H144="Modeled", INDEX('Fuel Model - Summary'!I:I,MATCH('Fuel Selector'!$B144,'Fuel Model - Summary'!$B:$B,0)),
IF($H144 = "External", INDEX('Fuel Cost - External'!I:I,MATCH('Fuel Selector'!$B144,'Fuel Cost - External'!$B:$B,0)),0)
))</f>
        <v>36.267968291908637</v>
      </c>
      <c r="M144" s="89">
        <f>IF(M$113&gt;2050,L144,
IF($H144="Modeled", INDEX('Fuel Model - Summary'!J:J,MATCH('Fuel Selector'!$B144,'Fuel Model - Summary'!$B:$B,0)),
IF($H144 = "External", INDEX('Fuel Cost - External'!J:J,MATCH('Fuel Selector'!$B144,'Fuel Cost - External'!$B:$B,0)),0)
))</f>
        <v>30.775397580120025</v>
      </c>
      <c r="N144" s="89">
        <f>IF(N$113&gt;2050,M144,
IF($H144="Modeled", INDEX('Fuel Model - Summary'!K:K,MATCH('Fuel Selector'!$B144,'Fuel Model - Summary'!$B:$B,0)),
IF($H144 = "External", INDEX('Fuel Cost - External'!K:K,MATCH('Fuel Selector'!$B144,'Fuel Cost - External'!$B:$B,0)),0)
))</f>
        <v>28.493542733728571</v>
      </c>
      <c r="O144" s="89">
        <f>IF(O$113&gt;2050,N144,
IF($H144="Modeled", INDEX('Fuel Model - Summary'!L:L,MATCH('Fuel Selector'!$B144,'Fuel Model - Summary'!$B:$B,0)),
IF($H144 = "External", INDEX('Fuel Cost - External'!L:L,MATCH('Fuel Selector'!$B144,'Fuel Cost - External'!$B:$B,0)),0)
))</f>
        <v>26.322919912328949</v>
      </c>
      <c r="P144" s="89">
        <f>IF(P$113&gt;2050,O144,
IF($H144="Modeled", INDEX('Fuel Model - Summary'!M:M,MATCH('Fuel Selector'!$B144,'Fuel Model - Summary'!$B:$B,0)),
IF($H144 = "External", INDEX('Fuel Cost - External'!M:M,MATCH('Fuel Selector'!$B144,'Fuel Cost - External'!$B:$B,0)),0)
))</f>
        <v>25.008005744408258</v>
      </c>
      <c r="Q144" s="89">
        <f>IF(Q$113&gt;2050,P144,
IF($H144="Modeled", INDEX('Fuel Model - Summary'!N:N,MATCH('Fuel Selector'!$B144,'Fuel Model - Summary'!$B:$B,0)),
IF($H144 = "External", INDEX('Fuel Cost - External'!N:N,MATCH('Fuel Selector'!$B144,'Fuel Cost - External'!$B:$B,0)),0)
))</f>
        <v>23.728223057247487</v>
      </c>
      <c r="R144" s="89">
        <f>IF(R$113&gt;2050,Q144,
IF($H144="Modeled", INDEX('Fuel Model - Summary'!O:O,MATCH('Fuel Selector'!$B144,'Fuel Model - Summary'!$B:$B,0)),
IF($H144 = "External", INDEX('Fuel Cost - External'!O:O,MATCH('Fuel Selector'!$B144,'Fuel Cost - External'!$B:$B,0)),0)
))</f>
        <v>23.728223057247487</v>
      </c>
      <c r="S144" s="89">
        <f>IF(S$113&gt;2050,R144,
IF($H144="Modeled", INDEX('Fuel Model - Summary'!P:P,MATCH('Fuel Selector'!$B144,'Fuel Model - Summary'!$B:$B,0)),
IF($H144 = "External", INDEX('Fuel Cost - External'!P:P,MATCH('Fuel Selector'!$B144,'Fuel Cost - External'!$B:$B,0)),0)
))</f>
        <v>23.728223057247487</v>
      </c>
      <c r="T144" s="89">
        <f>IF(T$113&gt;2050,S144,
IF($H144="Modeled", INDEX('Fuel Model - Summary'!Q:Q,MATCH('Fuel Selector'!$B144,'Fuel Model - Summary'!$B:$B,0)),
IF($H144 = "External", INDEX('Fuel Cost - External'!Q:Q,MATCH('Fuel Selector'!$B144,'Fuel Cost - External'!$B:$B,0)),0)
))</f>
        <v>23.728223057247487</v>
      </c>
      <c r="U144" s="89">
        <f>IF(U$113&gt;2050,T144,
IF($H144="Modeled", INDEX('Fuel Model - Summary'!R:R,MATCH('Fuel Selector'!$B144,'Fuel Model - Summary'!$B:$B,0)),
IF($H144 = "External", INDEX('Fuel Cost - External'!R:R,MATCH('Fuel Selector'!$B144,'Fuel Cost - External'!$B:$B,0)),0)
))</f>
        <v>23.728223057247487</v>
      </c>
      <c r="V144" s="89">
        <f>IF(V$113&gt;2050,U144,
IF($H144="Modeled", INDEX('Fuel Model - Summary'!S:S,MATCH('Fuel Selector'!$B144,'Fuel Model - Summary'!$B:$B,0)),
IF($H144 = "External", INDEX('Fuel Cost - External'!S:S,MATCH('Fuel Selector'!$B144,'Fuel Cost - External'!$B:$B,0)),0)
))</f>
        <v>23.728223057247487</v>
      </c>
    </row>
    <row r="145" spans="1:22" x14ac:dyDescent="0.2">
      <c r="A145" s="29">
        <f t="shared" si="135"/>
        <v>11</v>
      </c>
      <c r="B145" s="334" t="str">
        <f t="shared" si="132"/>
        <v>e-Methanol (DAC) - Middle East - Fuel cost - USD/GJ</v>
      </c>
      <c r="C145" t="str" cm="1">
        <f t="array" ref="C145">INDEX(list_AE_fuel,A145)</f>
        <v>e-Methanol (DAC)</v>
      </c>
      <c r="D145"/>
      <c r="E145" t="str">
        <f t="shared" si="134"/>
        <v>Middle East</v>
      </c>
      <c r="F145" t="str">
        <f t="shared" si="133"/>
        <v>Fuel cost - USD/GJ</v>
      </c>
      <c r="G145"/>
      <c r="H145" s="128" t="str" cm="1">
        <f t="array" ref="H145">INDEX('Configurator Specs.'!$CG$5:$CG$24,A145)</f>
        <v>Modeled</v>
      </c>
      <c r="I145" t="s">
        <v>324</v>
      </c>
      <c r="K145" s="89">
        <f>IF(K$113&gt;2050,J145,
IF($H145="Modeled", INDEX('Fuel Model - Summary'!H:H,MATCH('Fuel Selector'!$B145,'Fuel Model - Summary'!$B:$B,0)),
IF($H145 = "External", INDEX('Fuel Cost - External'!H:H,MATCH('Fuel Selector'!$B145,'Fuel Cost - External'!$B:$B,0)),0)
))</f>
        <v>82.770777855119448</v>
      </c>
      <c r="L145" s="89">
        <f>IF(L$113&gt;2050,K145,
IF($H145="Modeled", INDEX('Fuel Model - Summary'!I:I,MATCH('Fuel Selector'!$B145,'Fuel Model - Summary'!$B:$B,0)),
IF($H145 = "External", INDEX('Fuel Cost - External'!I:I,MATCH('Fuel Selector'!$B145,'Fuel Cost - External'!$B:$B,0)),0)
))</f>
        <v>66.577902314387003</v>
      </c>
      <c r="M145" s="89">
        <f>IF(M$113&gt;2050,L145,
IF($H145="Modeled", INDEX('Fuel Model - Summary'!J:J,MATCH('Fuel Selector'!$B145,'Fuel Model - Summary'!$B:$B,0)),
IF($H145 = "External", INDEX('Fuel Cost - External'!J:J,MATCH('Fuel Selector'!$B145,'Fuel Cost - External'!$B:$B,0)),0)
))</f>
        <v>53.602048365712236</v>
      </c>
      <c r="N145" s="89">
        <f>IF(N$113&gt;2050,M145,
IF($H145="Modeled", INDEX('Fuel Model - Summary'!K:K,MATCH('Fuel Selector'!$B145,'Fuel Model - Summary'!$B:$B,0)),
IF($H145 = "External", INDEX('Fuel Cost - External'!K:K,MATCH('Fuel Selector'!$B145,'Fuel Cost - External'!$B:$B,0)),0)
))</f>
        <v>47.08156199596791</v>
      </c>
      <c r="O145" s="89">
        <f>IF(O$113&gt;2050,N145,
IF($H145="Modeled", INDEX('Fuel Model - Summary'!L:L,MATCH('Fuel Selector'!$B145,'Fuel Model - Summary'!$B:$B,0)),
IF($H145 = "External", INDEX('Fuel Cost - External'!L:L,MATCH('Fuel Selector'!$B145,'Fuel Cost - External'!$B:$B,0)),0)
))</f>
        <v>40.769809828335553</v>
      </c>
      <c r="P145" s="89">
        <f>IF(P$113&gt;2050,O145,
IF($H145="Modeled", INDEX('Fuel Model - Summary'!M:M,MATCH('Fuel Selector'!$B145,'Fuel Model - Summary'!$B:$B,0)),
IF($H145 = "External", INDEX('Fuel Cost - External'!M:M,MATCH('Fuel Selector'!$B145,'Fuel Cost - External'!$B:$B,0)),0)
))</f>
        <v>32.922542488505883</v>
      </c>
      <c r="Q145" s="89">
        <f>IF(Q$113&gt;2050,P145,
IF($H145="Modeled", INDEX('Fuel Model - Summary'!N:N,MATCH('Fuel Selector'!$B145,'Fuel Model - Summary'!$B:$B,0)),
IF($H145 = "External", INDEX('Fuel Cost - External'!N:N,MATCH('Fuel Selector'!$B145,'Fuel Cost - External'!$B:$B,0)),0)
))</f>
        <v>26.126745737353382</v>
      </c>
      <c r="R145" s="89">
        <f>IF(R$113&gt;2050,Q145,
IF($H145="Modeled", INDEX('Fuel Model - Summary'!O:O,MATCH('Fuel Selector'!$B145,'Fuel Model - Summary'!$B:$B,0)),
IF($H145 = "External", INDEX('Fuel Cost - External'!O:O,MATCH('Fuel Selector'!$B145,'Fuel Cost - External'!$B:$B,0)),0)
))</f>
        <v>26.126745737353382</v>
      </c>
      <c r="S145" s="89">
        <f>IF(S$113&gt;2050,R145,
IF($H145="Modeled", INDEX('Fuel Model - Summary'!P:P,MATCH('Fuel Selector'!$B145,'Fuel Model - Summary'!$B:$B,0)),
IF($H145 = "External", INDEX('Fuel Cost - External'!P:P,MATCH('Fuel Selector'!$B145,'Fuel Cost - External'!$B:$B,0)),0)
))</f>
        <v>26.126745737353382</v>
      </c>
      <c r="T145" s="89">
        <f>IF(T$113&gt;2050,S145,
IF($H145="Modeled", INDEX('Fuel Model - Summary'!Q:Q,MATCH('Fuel Selector'!$B145,'Fuel Model - Summary'!$B:$B,0)),
IF($H145 = "External", INDEX('Fuel Cost - External'!Q:Q,MATCH('Fuel Selector'!$B145,'Fuel Cost - External'!$B:$B,0)),0)
))</f>
        <v>26.126745737353382</v>
      </c>
      <c r="U145" s="89">
        <f>IF(U$113&gt;2050,T145,
IF($H145="Modeled", INDEX('Fuel Model - Summary'!R:R,MATCH('Fuel Selector'!$B145,'Fuel Model - Summary'!$B:$B,0)),
IF($H145 = "External", INDEX('Fuel Cost - External'!R:R,MATCH('Fuel Selector'!$B145,'Fuel Cost - External'!$B:$B,0)),0)
))</f>
        <v>26.126745737353382</v>
      </c>
      <c r="V145" s="89">
        <f>IF(V$113&gt;2050,U145,
IF($H145="Modeled", INDEX('Fuel Model - Summary'!S:S,MATCH('Fuel Selector'!$B145,'Fuel Model - Summary'!$B:$B,0)),
IF($H145 = "External", INDEX('Fuel Cost - External'!S:S,MATCH('Fuel Selector'!$B145,'Fuel Cost - External'!$B:$B,0)),0)
))</f>
        <v>26.126745737353382</v>
      </c>
    </row>
    <row r="146" spans="1:22" x14ac:dyDescent="0.2">
      <c r="A146" s="29">
        <f t="shared" si="135"/>
        <v>12</v>
      </c>
      <c r="B146" s="334" t="str">
        <f t="shared" si="132"/>
        <v>e-Methanol (PS) - Middle East - Fuel cost - USD/GJ</v>
      </c>
      <c r="C146" t="str" cm="1">
        <f t="array" ref="C146">INDEX(list_AE_fuel,A146)</f>
        <v>e-Methanol (PS)</v>
      </c>
      <c r="D146"/>
      <c r="E146" t="str">
        <f>E145</f>
        <v>Middle East</v>
      </c>
      <c r="F146" t="str">
        <f t="shared" si="133"/>
        <v>Fuel cost - USD/GJ</v>
      </c>
      <c r="G146"/>
      <c r="H146" s="128" t="str" cm="1">
        <f t="array" ref="H146">INDEX('Configurator Specs.'!$CG$5:$CG$24,A146)</f>
        <v>Modeled</v>
      </c>
      <c r="I146" t="s">
        <v>324</v>
      </c>
      <c r="K146" s="89">
        <f>IF(K$113&gt;2050,J146,
IF($H146="Modeled", INDEX('Fuel Model - Summary'!H:H,MATCH('Fuel Selector'!$B146,'Fuel Model - Summary'!$B:$B,0)),
IF($H146 = "External", INDEX('Fuel Cost - External'!H:H,MATCH('Fuel Selector'!$B146,'Fuel Cost - External'!$B:$B,0)),0)
))</f>
        <v>76.468241816225685</v>
      </c>
      <c r="L146" s="89">
        <f>IF(L$113&gt;2050,K146,
IF($H146="Modeled", INDEX('Fuel Model - Summary'!I:I,MATCH('Fuel Selector'!$B146,'Fuel Model - Summary'!$B:$B,0)),
IF($H146 = "External", INDEX('Fuel Cost - External'!I:I,MATCH('Fuel Selector'!$B146,'Fuel Cost - External'!$B:$B,0)),0)
))</f>
        <v>61.974599302601931</v>
      </c>
      <c r="M146" s="89">
        <f>IF(M$113&gt;2050,L146,
IF($H146="Modeled", INDEX('Fuel Model - Summary'!J:J,MATCH('Fuel Selector'!$B146,'Fuel Model - Summary'!$B:$B,0)),
IF($H146 = "External", INDEX('Fuel Cost - External'!J:J,MATCH('Fuel Selector'!$B146,'Fuel Cost - External'!$B:$B,0)),0)
))</f>
        <v>49.728254211796994</v>
      </c>
      <c r="N146" s="89">
        <f>IF(N$113&gt;2050,M146,
IF($H146="Modeled", INDEX('Fuel Model - Summary'!K:K,MATCH('Fuel Selector'!$B146,'Fuel Model - Summary'!$B:$B,0)),
IF($H146 = "External", INDEX('Fuel Cost - External'!K:K,MATCH('Fuel Selector'!$B146,'Fuel Cost - External'!$B:$B,0)),0)
))</f>
        <v>44.47815951282319</v>
      </c>
      <c r="O146" s="89">
        <f>IF(O$113&gt;2050,N146,
IF($H146="Modeled", INDEX('Fuel Model - Summary'!L:L,MATCH('Fuel Selector'!$B146,'Fuel Model - Summary'!$B:$B,0)),
IF($H146 = "External", INDEX('Fuel Cost - External'!L:L,MATCH('Fuel Selector'!$B146,'Fuel Cost - External'!$B:$B,0)),0)
))</f>
        <v>38.884347126477039</v>
      </c>
      <c r="P146" s="89">
        <f>IF(P$113&gt;2050,O146,
IF($H146="Modeled", INDEX('Fuel Model - Summary'!M:M,MATCH('Fuel Selector'!$B146,'Fuel Model - Summary'!$B:$B,0)),
IF($H146 = "External", INDEX('Fuel Cost - External'!M:M,MATCH('Fuel Selector'!$B146,'Fuel Cost - External'!$B:$B,0)),0)
))</f>
        <v>31.600613733297944</v>
      </c>
      <c r="Q146" s="89">
        <f>IF(Q$113&gt;2050,P146,
IF($H146="Modeled", INDEX('Fuel Model - Summary'!N:N,MATCH('Fuel Selector'!$B146,'Fuel Model - Summary'!$B:$B,0)),
IF($H146 = "External", INDEX('Fuel Cost - External'!N:N,MATCH('Fuel Selector'!$B146,'Fuel Cost - External'!$B:$B,0)),0)
))</f>
        <v>25.03468565090909</v>
      </c>
      <c r="R146" s="89">
        <f>IF(R$113&gt;2050,Q146,
IF($H146="Modeled", INDEX('Fuel Model - Summary'!O:O,MATCH('Fuel Selector'!$B146,'Fuel Model - Summary'!$B:$B,0)),
IF($H146 = "External", INDEX('Fuel Cost - External'!O:O,MATCH('Fuel Selector'!$B146,'Fuel Cost - External'!$B:$B,0)),0)
))</f>
        <v>25.03468565090909</v>
      </c>
      <c r="S146" s="89">
        <f>IF(S$113&gt;2050,R146,
IF($H146="Modeled", INDEX('Fuel Model - Summary'!P:P,MATCH('Fuel Selector'!$B146,'Fuel Model - Summary'!$B:$B,0)),
IF($H146 = "External", INDEX('Fuel Cost - External'!P:P,MATCH('Fuel Selector'!$B146,'Fuel Cost - External'!$B:$B,0)),0)
))</f>
        <v>25.03468565090909</v>
      </c>
      <c r="T146" s="89">
        <f>IF(T$113&gt;2050,S146,
IF($H146="Modeled", INDEX('Fuel Model - Summary'!Q:Q,MATCH('Fuel Selector'!$B146,'Fuel Model - Summary'!$B:$B,0)),
IF($H146 = "External", INDEX('Fuel Cost - External'!Q:Q,MATCH('Fuel Selector'!$B146,'Fuel Cost - External'!$B:$B,0)),0)
))</f>
        <v>25.03468565090909</v>
      </c>
      <c r="U146" s="89">
        <f>IF(U$113&gt;2050,T146,
IF($H146="Modeled", INDEX('Fuel Model - Summary'!R:R,MATCH('Fuel Selector'!$B146,'Fuel Model - Summary'!$B:$B,0)),
IF($H146 = "External", INDEX('Fuel Cost - External'!R:R,MATCH('Fuel Selector'!$B146,'Fuel Cost - External'!$B:$B,0)),0)
))</f>
        <v>25.03468565090909</v>
      </c>
      <c r="V146" s="89">
        <f>IF(V$113&gt;2050,U146,
IF($H146="Modeled", INDEX('Fuel Model - Summary'!S:S,MATCH('Fuel Selector'!$B146,'Fuel Model - Summary'!$B:$B,0)),
IF($H146 = "External", INDEX('Fuel Cost - External'!S:S,MATCH('Fuel Selector'!$B146,'Fuel Cost - External'!$B:$B,0)),0)
))</f>
        <v>25.03468565090909</v>
      </c>
    </row>
    <row r="147" spans="1:22" x14ac:dyDescent="0.2">
      <c r="A147" s="29">
        <f t="shared" si="135"/>
        <v>13</v>
      </c>
      <c r="B147" s="334" t="str">
        <f t="shared" si="132"/>
        <v>Biodiesel (HtL) - Middle East - Fuel cost - USD/GJ</v>
      </c>
      <c r="C147" t="str" cm="1">
        <f t="array" ref="C147">INDEX(list_AE_fuel,A147)</f>
        <v>Biodiesel (HtL)</v>
      </c>
      <c r="D147"/>
      <c r="E147" t="str">
        <f t="shared" ref="E147:E154" si="136">E146</f>
        <v>Middle East</v>
      </c>
      <c r="F147" t="str">
        <f t="shared" si="133"/>
        <v>Fuel cost - USD/GJ</v>
      </c>
      <c r="G147"/>
      <c r="H147" s="128" t="str" cm="1">
        <f t="array" ref="H147">INDEX('Configurator Specs.'!$CG$5:$CG$24,A147)</f>
        <v>Modeled</v>
      </c>
      <c r="I147" t="s">
        <v>324</v>
      </c>
      <c r="K147" s="89">
        <f>IF(K$113&gt;2050,J147,
IF($H147="Modeled", INDEX('Fuel Model - Summary'!H:H,MATCH('Fuel Selector'!$B147,'Fuel Model - Summary'!$B:$B,0)),
IF($H147 = "External", INDEX('Fuel Cost - External'!H:H,MATCH('Fuel Selector'!$B147,'Fuel Cost - External'!$B:$B,0)),0)
))</f>
        <v>159.24861814604643</v>
      </c>
      <c r="L147" s="89">
        <f>IF(L$113&gt;2050,K147,
IF($H147="Modeled", INDEX('Fuel Model - Summary'!I:I,MATCH('Fuel Selector'!$B147,'Fuel Model - Summary'!$B:$B,0)),
IF($H147 = "External", INDEX('Fuel Cost - External'!I:I,MATCH('Fuel Selector'!$B147,'Fuel Cost - External'!$B:$B,0)),0)
))</f>
        <v>52.093992633448707</v>
      </c>
      <c r="M147" s="89">
        <f>IF(M$113&gt;2050,L147,
IF($H147="Modeled", INDEX('Fuel Model - Summary'!J:J,MATCH('Fuel Selector'!$B147,'Fuel Model - Summary'!$B:$B,0)),
IF($H147 = "External", INDEX('Fuel Cost - External'!J:J,MATCH('Fuel Selector'!$B147,'Fuel Cost - External'!$B:$B,0)),0)
))</f>
        <v>22.867301152660449</v>
      </c>
      <c r="N147" s="89">
        <f>IF(N$113&gt;2050,M147,
IF($H147="Modeled", INDEX('Fuel Model - Summary'!K:K,MATCH('Fuel Selector'!$B147,'Fuel Model - Summary'!$B:$B,0)),
IF($H147 = "External", INDEX('Fuel Cost - External'!K:K,MATCH('Fuel Selector'!$B147,'Fuel Cost - External'!$B:$B,0)),0)
))</f>
        <v>22.468711512753888</v>
      </c>
      <c r="O147" s="89">
        <f>IF(O$113&gt;2050,N147,
IF($H147="Modeled", INDEX('Fuel Model - Summary'!L:L,MATCH('Fuel Selector'!$B147,'Fuel Model - Summary'!$B:$B,0)),
IF($H147 = "External", INDEX('Fuel Cost - External'!L:L,MATCH('Fuel Selector'!$B147,'Fuel Cost - External'!$B:$B,0)),0)
))</f>
        <v>22.146981897162163</v>
      </c>
      <c r="P147" s="89">
        <f>IF(P$113&gt;2050,O147,
IF($H147="Modeled", INDEX('Fuel Model - Summary'!M:M,MATCH('Fuel Selector'!$B147,'Fuel Model - Summary'!$B:$B,0)),
IF($H147 = "External", INDEX('Fuel Cost - External'!M:M,MATCH('Fuel Selector'!$B147,'Fuel Cost - External'!$B:$B,0)),0)
))</f>
        <v>21.70795405366486</v>
      </c>
      <c r="Q147" s="89">
        <f>IF(Q$113&gt;2050,P147,
IF($H147="Modeled", INDEX('Fuel Model - Summary'!N:N,MATCH('Fuel Selector'!$B147,'Fuel Model - Summary'!$B:$B,0)),
IF($H147 = "External", INDEX('Fuel Cost - External'!N:N,MATCH('Fuel Selector'!$B147,'Fuel Cost - External'!$B:$B,0)),0)
))</f>
        <v>21.03426875619305</v>
      </c>
      <c r="R147" s="89">
        <f>IF(R$113&gt;2050,Q147,
IF($H147="Modeled", INDEX('Fuel Model - Summary'!O:O,MATCH('Fuel Selector'!$B147,'Fuel Model - Summary'!$B:$B,0)),
IF($H147 = "External", INDEX('Fuel Cost - External'!O:O,MATCH('Fuel Selector'!$B147,'Fuel Cost - External'!$B:$B,0)),0)
))</f>
        <v>21.03426875619305</v>
      </c>
      <c r="S147" s="89">
        <f>IF(S$113&gt;2050,R147,
IF($H147="Modeled", INDEX('Fuel Model - Summary'!P:P,MATCH('Fuel Selector'!$B147,'Fuel Model - Summary'!$B:$B,0)),
IF($H147 = "External", INDEX('Fuel Cost - External'!P:P,MATCH('Fuel Selector'!$B147,'Fuel Cost - External'!$B:$B,0)),0)
))</f>
        <v>21.03426875619305</v>
      </c>
      <c r="T147" s="89">
        <f>IF(T$113&gt;2050,S147,
IF($H147="Modeled", INDEX('Fuel Model - Summary'!Q:Q,MATCH('Fuel Selector'!$B147,'Fuel Model - Summary'!$B:$B,0)),
IF($H147 = "External", INDEX('Fuel Cost - External'!Q:Q,MATCH('Fuel Selector'!$B147,'Fuel Cost - External'!$B:$B,0)),0)
))</f>
        <v>21.03426875619305</v>
      </c>
      <c r="U147" s="89">
        <f>IF(U$113&gt;2050,T147,
IF($H147="Modeled", INDEX('Fuel Model - Summary'!R:R,MATCH('Fuel Selector'!$B147,'Fuel Model - Summary'!$B:$B,0)),
IF($H147 = "External", INDEX('Fuel Cost - External'!R:R,MATCH('Fuel Selector'!$B147,'Fuel Cost - External'!$B:$B,0)),0)
))</f>
        <v>21.03426875619305</v>
      </c>
      <c r="V147" s="89">
        <f>IF(V$113&gt;2050,U147,
IF($H147="Modeled", INDEX('Fuel Model - Summary'!S:S,MATCH('Fuel Selector'!$B147,'Fuel Model - Summary'!$B:$B,0)),
IF($H147 = "External", INDEX('Fuel Cost - External'!S:S,MATCH('Fuel Selector'!$B147,'Fuel Cost - External'!$B:$B,0)),0)
))</f>
        <v>21.03426875619305</v>
      </c>
    </row>
    <row r="148" spans="1:22" x14ac:dyDescent="0.2">
      <c r="A148" s="29">
        <f t="shared" si="135"/>
        <v>14</v>
      </c>
      <c r="B148" s="334" t="str">
        <f t="shared" si="132"/>
        <v>Biodiesel (Pyr) - Middle East - Fuel cost - USD/GJ</v>
      </c>
      <c r="C148" t="str" cm="1">
        <f t="array" ref="C148">INDEX(list_AE_fuel,A148)</f>
        <v>Biodiesel (Pyr)</v>
      </c>
      <c r="D148"/>
      <c r="E148" t="str">
        <f t="shared" si="136"/>
        <v>Middle East</v>
      </c>
      <c r="F148" t="str">
        <f t="shared" si="133"/>
        <v>Fuel cost - USD/GJ</v>
      </c>
      <c r="G148"/>
      <c r="H148" s="128" t="str" cm="1">
        <f t="array" ref="H148">INDEX('Configurator Specs.'!$CG$5:$CG$24,A148)</f>
        <v>Modeled</v>
      </c>
      <c r="I148" t="s">
        <v>324</v>
      </c>
      <c r="K148" s="89">
        <f>IF(K$113&gt;2050,J148,
IF($H148="Modeled", INDEX('Fuel Model - Summary'!H:H,MATCH('Fuel Selector'!$B148,'Fuel Model - Summary'!$B:$B,0)),
IF($H148 = "External", INDEX('Fuel Cost - External'!H:H,MATCH('Fuel Selector'!$B148,'Fuel Cost - External'!$B:$B,0)),0)
))</f>
        <v>62.837555768224767</v>
      </c>
      <c r="L148" s="89">
        <f>IF(L$113&gt;2050,K148,
IF($H148="Modeled", INDEX('Fuel Model - Summary'!I:I,MATCH('Fuel Selector'!$B148,'Fuel Model - Summary'!$B:$B,0)),
IF($H148 = "External", INDEX('Fuel Cost - External'!I:I,MATCH('Fuel Selector'!$B148,'Fuel Cost - External'!$B:$B,0)),0)
))</f>
        <v>39.907498899732481</v>
      </c>
      <c r="M148" s="89">
        <f>IF(M$113&gt;2050,L148,
IF($H148="Modeled", INDEX('Fuel Model - Summary'!J:J,MATCH('Fuel Selector'!$B148,'Fuel Model - Summary'!$B:$B,0)),
IF($H148 = "External", INDEX('Fuel Cost - External'!J:J,MATCH('Fuel Selector'!$B148,'Fuel Cost - External'!$B:$B,0)),0)
))</f>
        <v>22.43592395679649</v>
      </c>
      <c r="N148" s="89">
        <f>IF(N$113&gt;2050,M148,
IF($H148="Modeled", INDEX('Fuel Model - Summary'!K:K,MATCH('Fuel Selector'!$B148,'Fuel Model - Summary'!$B:$B,0)),
IF($H148 = "External", INDEX('Fuel Cost - External'!K:K,MATCH('Fuel Selector'!$B148,'Fuel Cost - External'!$B:$B,0)),0)
))</f>
        <v>22.877054059537635</v>
      </c>
      <c r="O148" s="89">
        <f>IF(O$113&gt;2050,N148,
IF($H148="Modeled", INDEX('Fuel Model - Summary'!L:L,MATCH('Fuel Selector'!$B148,'Fuel Model - Summary'!$B:$B,0)),
IF($H148 = "External", INDEX('Fuel Cost - External'!L:L,MATCH('Fuel Selector'!$B148,'Fuel Cost - External'!$B:$B,0)),0)
))</f>
        <v>23.078872503948663</v>
      </c>
      <c r="P148" s="89">
        <f>IF(P$113&gt;2050,O148,
IF($H148="Modeled", INDEX('Fuel Model - Summary'!M:M,MATCH('Fuel Selector'!$B148,'Fuel Model - Summary'!$B:$B,0)),
IF($H148 = "External", INDEX('Fuel Cost - External'!M:M,MATCH('Fuel Selector'!$B148,'Fuel Cost - External'!$B:$B,0)),0)
))</f>
        <v>23.011345657902421</v>
      </c>
      <c r="Q148" s="89">
        <f>IF(Q$113&gt;2050,P148,
IF($H148="Modeled", INDEX('Fuel Model - Summary'!N:N,MATCH('Fuel Selector'!$B148,'Fuel Model - Summary'!$B:$B,0)),
IF($H148 = "External", INDEX('Fuel Cost - External'!N:N,MATCH('Fuel Selector'!$B148,'Fuel Cost - External'!$B:$B,0)),0)
))</f>
        <v>22.422189085947643</v>
      </c>
      <c r="R148" s="89">
        <f>IF(R$113&gt;2050,Q148,
IF($H148="Modeled", INDEX('Fuel Model - Summary'!O:O,MATCH('Fuel Selector'!$B148,'Fuel Model - Summary'!$B:$B,0)),
IF($H148 = "External", INDEX('Fuel Cost - External'!O:O,MATCH('Fuel Selector'!$B148,'Fuel Cost - External'!$B:$B,0)),0)
))</f>
        <v>22.422189085947643</v>
      </c>
      <c r="S148" s="89">
        <f>IF(S$113&gt;2050,R148,
IF($H148="Modeled", INDEX('Fuel Model - Summary'!P:P,MATCH('Fuel Selector'!$B148,'Fuel Model - Summary'!$B:$B,0)),
IF($H148 = "External", INDEX('Fuel Cost - External'!P:P,MATCH('Fuel Selector'!$B148,'Fuel Cost - External'!$B:$B,0)),0)
))</f>
        <v>22.422189085947643</v>
      </c>
      <c r="T148" s="89">
        <f>IF(T$113&gt;2050,S148,
IF($H148="Modeled", INDEX('Fuel Model - Summary'!Q:Q,MATCH('Fuel Selector'!$B148,'Fuel Model - Summary'!$B:$B,0)),
IF($H148 = "External", INDEX('Fuel Cost - External'!Q:Q,MATCH('Fuel Selector'!$B148,'Fuel Cost - External'!$B:$B,0)),0)
))</f>
        <v>22.422189085947643</v>
      </c>
      <c r="U148" s="89">
        <f>IF(U$113&gt;2050,T148,
IF($H148="Modeled", INDEX('Fuel Model - Summary'!R:R,MATCH('Fuel Selector'!$B148,'Fuel Model - Summary'!$B:$B,0)),
IF($H148 = "External", INDEX('Fuel Cost - External'!R:R,MATCH('Fuel Selector'!$B148,'Fuel Cost - External'!$B:$B,0)),0)
))</f>
        <v>22.422189085947643</v>
      </c>
      <c r="V148" s="89">
        <f>IF(V$113&gt;2050,U148,
IF($H148="Modeled", INDEX('Fuel Model - Summary'!S:S,MATCH('Fuel Selector'!$B148,'Fuel Model - Summary'!$B:$B,0)),
IF($H148 = "External", INDEX('Fuel Cost - External'!S:S,MATCH('Fuel Selector'!$B148,'Fuel Cost - External'!$B:$B,0)),0)
))</f>
        <v>22.422189085947643</v>
      </c>
    </row>
    <row r="149" spans="1:22" x14ac:dyDescent="0.2">
      <c r="A149" s="29">
        <f t="shared" si="135"/>
        <v>15</v>
      </c>
      <c r="B149" s="334" t="str">
        <f t="shared" si="132"/>
        <v>e-Diesel (DAC) - Middle East - Fuel cost - USD/GJ</v>
      </c>
      <c r="C149" t="str" cm="1">
        <f t="array" ref="C149">INDEX(list_AE_fuel,A149)</f>
        <v>e-Diesel (DAC)</v>
      </c>
      <c r="D149"/>
      <c r="E149" t="str">
        <f t="shared" si="136"/>
        <v>Middle East</v>
      </c>
      <c r="F149" t="str">
        <f t="shared" si="133"/>
        <v>Fuel cost - USD/GJ</v>
      </c>
      <c r="G149"/>
      <c r="H149" s="128" t="str" cm="1">
        <f t="array" ref="H149">INDEX('Configurator Specs.'!$CG$5:$CG$24,A149)</f>
        <v>Modeled</v>
      </c>
      <c r="I149" t="s">
        <v>324</v>
      </c>
      <c r="K149" s="89">
        <f>IF(K$113&gt;2050,J149,
IF($H149="Modeled", INDEX('Fuel Model - Summary'!H:H,MATCH('Fuel Selector'!$B149,'Fuel Model - Summary'!$B:$B,0)),
IF($H149 = "External", INDEX('Fuel Cost - External'!H:H,MATCH('Fuel Selector'!$B149,'Fuel Cost - External'!$B:$B,0)),0)
))</f>
        <v>96.367749492825411</v>
      </c>
      <c r="L149" s="89">
        <f>IF(L$113&gt;2050,K149,
IF($H149="Modeled", INDEX('Fuel Model - Summary'!I:I,MATCH('Fuel Selector'!$B149,'Fuel Model - Summary'!$B:$B,0)),
IF($H149 = "External", INDEX('Fuel Cost - External'!I:I,MATCH('Fuel Selector'!$B149,'Fuel Cost - External'!$B:$B,0)),0)
))</f>
        <v>77.189387581400496</v>
      </c>
      <c r="M149" s="89">
        <f>IF(M$113&gt;2050,L149,
IF($H149="Modeled", INDEX('Fuel Model - Summary'!J:J,MATCH('Fuel Selector'!$B149,'Fuel Model - Summary'!$B:$B,0)),
IF($H149 = "External", INDEX('Fuel Cost - External'!J:J,MATCH('Fuel Selector'!$B149,'Fuel Cost - External'!$B:$B,0)),0)
))</f>
        <v>62.280778833660975</v>
      </c>
      <c r="N149" s="89">
        <f>IF(N$113&gt;2050,M149,
IF($H149="Modeled", INDEX('Fuel Model - Summary'!K:K,MATCH('Fuel Selector'!$B149,'Fuel Model - Summary'!$B:$B,0)),
IF($H149 = "External", INDEX('Fuel Cost - External'!K:K,MATCH('Fuel Selector'!$B149,'Fuel Cost - External'!$B:$B,0)),0)
))</f>
        <v>55.55341491502675</v>
      </c>
      <c r="O149" s="89">
        <f>IF(O$113&gt;2050,N149,
IF($H149="Modeled", INDEX('Fuel Model - Summary'!L:L,MATCH('Fuel Selector'!$B149,'Fuel Model - Summary'!$B:$B,0)),
IF($H149 = "External", INDEX('Fuel Cost - External'!L:L,MATCH('Fuel Selector'!$B149,'Fuel Cost - External'!$B:$B,0)),0)
))</f>
        <v>48.912599441085227</v>
      </c>
      <c r="P149" s="89">
        <f>IF(P$113&gt;2050,O149,
IF($H149="Modeled", INDEX('Fuel Model - Summary'!M:M,MATCH('Fuel Selector'!$B149,'Fuel Model - Summary'!$B:$B,0)),
IF($H149 = "External", INDEX('Fuel Cost - External'!M:M,MATCH('Fuel Selector'!$B149,'Fuel Cost - External'!$B:$B,0)),0)
))</f>
        <v>39.036087976934823</v>
      </c>
      <c r="Q149" s="89">
        <f>IF(Q$113&gt;2050,P149,
IF($H149="Modeled", INDEX('Fuel Model - Summary'!N:N,MATCH('Fuel Selector'!$B149,'Fuel Model - Summary'!$B:$B,0)),
IF($H149 = "External", INDEX('Fuel Cost - External'!N:N,MATCH('Fuel Selector'!$B149,'Fuel Cost - External'!$B:$B,0)),0)
))</f>
        <v>30.583309431951388</v>
      </c>
      <c r="R149" s="89">
        <f>IF(R$113&gt;2050,Q149,
IF($H149="Modeled", INDEX('Fuel Model - Summary'!O:O,MATCH('Fuel Selector'!$B149,'Fuel Model - Summary'!$B:$B,0)),
IF($H149 = "External", INDEX('Fuel Cost - External'!O:O,MATCH('Fuel Selector'!$B149,'Fuel Cost - External'!$B:$B,0)),0)
))</f>
        <v>30.583309431951388</v>
      </c>
      <c r="S149" s="89">
        <f>IF(S$113&gt;2050,R149,
IF($H149="Modeled", INDEX('Fuel Model - Summary'!P:P,MATCH('Fuel Selector'!$B149,'Fuel Model - Summary'!$B:$B,0)),
IF($H149 = "External", INDEX('Fuel Cost - External'!P:P,MATCH('Fuel Selector'!$B149,'Fuel Cost - External'!$B:$B,0)),0)
))</f>
        <v>30.583309431951388</v>
      </c>
      <c r="T149" s="89">
        <f>IF(T$113&gt;2050,S149,
IF($H149="Modeled", INDEX('Fuel Model - Summary'!Q:Q,MATCH('Fuel Selector'!$B149,'Fuel Model - Summary'!$B:$B,0)),
IF($H149 = "External", INDEX('Fuel Cost - External'!Q:Q,MATCH('Fuel Selector'!$B149,'Fuel Cost - External'!$B:$B,0)),0)
))</f>
        <v>30.583309431951388</v>
      </c>
      <c r="U149" s="89">
        <f>IF(U$113&gt;2050,T149,
IF($H149="Modeled", INDEX('Fuel Model - Summary'!R:R,MATCH('Fuel Selector'!$B149,'Fuel Model - Summary'!$B:$B,0)),
IF($H149 = "External", INDEX('Fuel Cost - External'!R:R,MATCH('Fuel Selector'!$B149,'Fuel Cost - External'!$B:$B,0)),0)
))</f>
        <v>30.583309431951388</v>
      </c>
      <c r="V149" s="89">
        <f>IF(V$113&gt;2050,U149,
IF($H149="Modeled", INDEX('Fuel Model - Summary'!S:S,MATCH('Fuel Selector'!$B149,'Fuel Model - Summary'!$B:$B,0)),
IF($H149 = "External", INDEX('Fuel Cost - External'!S:S,MATCH('Fuel Selector'!$B149,'Fuel Cost - External'!$B:$B,0)),0)
))</f>
        <v>30.583309431951388</v>
      </c>
    </row>
    <row r="150" spans="1:22" x14ac:dyDescent="0.2">
      <c r="A150" s="29">
        <f t="shared" si="135"/>
        <v>16</v>
      </c>
      <c r="B150" s="334" t="str">
        <f t="shared" si="132"/>
        <v>e-Diesel (PS) - Middle East - Fuel cost - USD/GJ</v>
      </c>
      <c r="C150" t="str" cm="1">
        <f t="array" ref="C150">INDEX(list_AE_fuel,A150)</f>
        <v>e-Diesel (PS)</v>
      </c>
      <c r="D150"/>
      <c r="E150" t="str">
        <f t="shared" si="136"/>
        <v>Middle East</v>
      </c>
      <c r="F150" t="str">
        <f t="shared" si="133"/>
        <v>Fuel cost - USD/GJ</v>
      </c>
      <c r="G150"/>
      <c r="H150" s="128" t="str" cm="1">
        <f t="array" ref="H150">INDEX('Configurator Specs.'!$CG$5:$CG$24,A150)</f>
        <v>Modeled</v>
      </c>
      <c r="I150" t="s">
        <v>324</v>
      </c>
      <c r="K150" s="89">
        <f>IF(K$113&gt;2050,J150,
IF($H150="Modeled", INDEX('Fuel Model - Summary'!H:H,MATCH('Fuel Selector'!$B150,'Fuel Model - Summary'!$B:$B,0)),
IF($H150 = "External", INDEX('Fuel Cost - External'!H:H,MATCH('Fuel Selector'!$B150,'Fuel Cost - External'!$B:$B,0)),0)
))</f>
        <v>88.925777511804895</v>
      </c>
      <c r="L150" s="89">
        <f>IF(L$113&gt;2050,K150,
IF($H150="Modeled", INDEX('Fuel Model - Summary'!I:I,MATCH('Fuel Selector'!$B150,'Fuel Model - Summary'!$B:$B,0)),
IF($H150 = "External", INDEX('Fuel Cost - External'!I:I,MATCH('Fuel Selector'!$B150,'Fuel Cost - External'!$B:$B,0)),0)
))</f>
        <v>71.753853088230841</v>
      </c>
      <c r="M150" s="89">
        <f>IF(M$113&gt;2050,L150,
IF($H150="Modeled", INDEX('Fuel Model - Summary'!J:J,MATCH('Fuel Selector'!$B150,'Fuel Model - Summary'!$B:$B,0)),
IF($H150 = "External", INDEX('Fuel Cost - External'!J:J,MATCH('Fuel Selector'!$B150,'Fuel Cost - External'!$B:$B,0)),0)
))</f>
        <v>57.706641157053838</v>
      </c>
      <c r="N150" s="89">
        <f>IF(N$113&gt;2050,M150,
IF($H150="Modeled", INDEX('Fuel Model - Summary'!K:K,MATCH('Fuel Selector'!$B150,'Fuel Model - Summary'!$B:$B,0)),
IF($H150 = "External", INDEX('Fuel Cost - External'!K:K,MATCH('Fuel Selector'!$B150,'Fuel Cost - External'!$B:$B,0)),0)
))</f>
        <v>52.479343110388122</v>
      </c>
      <c r="O150" s="89">
        <f>IF(O$113&gt;2050,N150,
IF($H150="Modeled", INDEX('Fuel Model - Summary'!L:L,MATCH('Fuel Selector'!$B150,'Fuel Model - Summary'!$B:$B,0)),
IF($H150 = "External", INDEX('Fuel Cost - External'!L:L,MATCH('Fuel Selector'!$B150,'Fuel Cost - External'!$B:$B,0)),0)
))</f>
        <v>46.686263802240852</v>
      </c>
      <c r="P150" s="89">
        <f>IF(P$113&gt;2050,O150,
IF($H150="Modeled", INDEX('Fuel Model - Summary'!M:M,MATCH('Fuel Selector'!$B150,'Fuel Model - Summary'!$B:$B,0)),
IF($H150 = "External", INDEX('Fuel Cost - External'!M:M,MATCH('Fuel Selector'!$B150,'Fuel Cost - External'!$B:$B,0)),0)
))</f>
        <v>37.475167627340198</v>
      </c>
      <c r="Q150" s="89">
        <f>IF(Q$113&gt;2050,P150,
IF($H150="Modeled", INDEX('Fuel Model - Summary'!N:N,MATCH('Fuel Selector'!$B150,'Fuel Model - Summary'!$B:$B,0)),
IF($H150 = "External", INDEX('Fuel Cost - External'!N:N,MATCH('Fuel Selector'!$B150,'Fuel Cost - External'!$B:$B,0)),0)
))</f>
        <v>29.293815724219137</v>
      </c>
      <c r="R150" s="89">
        <f>IF(R$113&gt;2050,Q150,
IF($H150="Modeled", INDEX('Fuel Model - Summary'!O:O,MATCH('Fuel Selector'!$B150,'Fuel Model - Summary'!$B:$B,0)),
IF($H150 = "External", INDEX('Fuel Cost - External'!O:O,MATCH('Fuel Selector'!$B150,'Fuel Cost - External'!$B:$B,0)),0)
))</f>
        <v>29.293815724219137</v>
      </c>
      <c r="S150" s="89">
        <f>IF(S$113&gt;2050,R150,
IF($H150="Modeled", INDEX('Fuel Model - Summary'!P:P,MATCH('Fuel Selector'!$B150,'Fuel Model - Summary'!$B:$B,0)),
IF($H150 = "External", INDEX('Fuel Cost - External'!P:P,MATCH('Fuel Selector'!$B150,'Fuel Cost - External'!$B:$B,0)),0)
))</f>
        <v>29.293815724219137</v>
      </c>
      <c r="T150" s="89">
        <f>IF(T$113&gt;2050,S150,
IF($H150="Modeled", INDEX('Fuel Model - Summary'!Q:Q,MATCH('Fuel Selector'!$B150,'Fuel Model - Summary'!$B:$B,0)),
IF($H150 = "External", INDEX('Fuel Cost - External'!Q:Q,MATCH('Fuel Selector'!$B150,'Fuel Cost - External'!$B:$B,0)),0)
))</f>
        <v>29.293815724219137</v>
      </c>
      <c r="U150" s="89">
        <f>IF(U$113&gt;2050,T150,
IF($H150="Modeled", INDEX('Fuel Model - Summary'!R:R,MATCH('Fuel Selector'!$B150,'Fuel Model - Summary'!$B:$B,0)),
IF($H150 = "External", INDEX('Fuel Cost - External'!R:R,MATCH('Fuel Selector'!$B150,'Fuel Cost - External'!$B:$B,0)),0)
))</f>
        <v>29.293815724219137</v>
      </c>
      <c r="V150" s="89">
        <f>IF(V$113&gt;2050,U150,
IF($H150="Modeled", INDEX('Fuel Model - Summary'!S:S,MATCH('Fuel Selector'!$B150,'Fuel Model - Summary'!$B:$B,0)),
IF($H150 = "External", INDEX('Fuel Cost - External'!S:S,MATCH('Fuel Selector'!$B150,'Fuel Cost - External'!$B:$B,0)),0)
))</f>
        <v>29.293815724219137</v>
      </c>
    </row>
    <row r="151" spans="1:22" x14ac:dyDescent="0.2">
      <c r="A151" s="29">
        <f t="shared" si="135"/>
        <v>17</v>
      </c>
      <c r="B151" s="334" t="str">
        <f t="shared" si="132"/>
        <v>Biodiesel (HtL blend) - Middle East - Fuel cost - USD/GJ</v>
      </c>
      <c r="C151" t="str" cm="1">
        <f t="array" ref="C151">INDEX(list_AE_fuel,A151)</f>
        <v>Biodiesel (HtL blend)</v>
      </c>
      <c r="D151"/>
      <c r="E151" t="str">
        <f t="shared" si="136"/>
        <v>Middle East</v>
      </c>
      <c r="F151" t="str">
        <f t="shared" si="133"/>
        <v>Fuel cost - USD/GJ</v>
      </c>
      <c r="G151"/>
      <c r="H151" s="128" t="str" cm="1">
        <f t="array" ref="H151">INDEX('Configurator Specs.'!$CG$5:$CG$24,A151)</f>
        <v>Modeled</v>
      </c>
      <c r="I151" t="s">
        <v>324</v>
      </c>
      <c r="K151" s="89">
        <f>IF(K$113&gt;2050,J151,
IF($H151="Modeled", INDEX('Fuel Model - Summary'!H:H,MATCH('Fuel Selector'!$B151,'Fuel Model - Summary'!$B:$B,0)),
IF($H151 = "External", INDEX('Fuel Cost - External'!H:H,MATCH('Fuel Selector'!$B151,'Fuel Cost - External'!$B:$B,0)),0)
))</f>
        <v>39.770169052364537</v>
      </c>
      <c r="L151" s="89">
        <f>IF(L$113&gt;2050,K151,
IF($H151="Modeled", INDEX('Fuel Model - Summary'!I:I,MATCH('Fuel Selector'!$B151,'Fuel Model - Summary'!$B:$B,0)),
IF($H151 = "External", INDEX('Fuel Cost - External'!I:I,MATCH('Fuel Selector'!$B151,'Fuel Cost - External'!$B:$B,0)),0)
))</f>
        <v>26.57534669562699</v>
      </c>
      <c r="M151" s="89">
        <f>IF(M$113&gt;2050,L151,
IF($H151="Modeled", INDEX('Fuel Model - Summary'!J:J,MATCH('Fuel Selector'!$B151,'Fuel Model - Summary'!$B:$B,0)),
IF($H151 = "External", INDEX('Fuel Cost - External'!J:J,MATCH('Fuel Selector'!$B151,'Fuel Cost - External'!$B:$B,0)),0)
))</f>
        <v>16.028294547379293</v>
      </c>
      <c r="N151" s="89">
        <f>IF(N$113&gt;2050,M151,
IF($H151="Modeled", INDEX('Fuel Model - Summary'!K:K,MATCH('Fuel Selector'!$B151,'Fuel Model - Summary'!$B:$B,0)),
IF($H151 = "External", INDEX('Fuel Cost - External'!K:K,MATCH('Fuel Selector'!$B151,'Fuel Cost - External'!$B:$B,0)),0)
))</f>
        <v>15.656159943832831</v>
      </c>
      <c r="O151" s="89">
        <f>IF(O$113&gt;2050,N151,
IF($H151="Modeled", INDEX('Fuel Model - Summary'!L:L,MATCH('Fuel Selector'!$B151,'Fuel Model - Summary'!$B:$B,0)),
IF($H151 = "External", INDEX('Fuel Cost - External'!L:L,MATCH('Fuel Selector'!$B151,'Fuel Cost - External'!$B:$B,0)),0)
))</f>
        <v>15.51471469093722</v>
      </c>
      <c r="P151" s="89">
        <f>IF(P$113&gt;2050,O151,
IF($H151="Modeled", INDEX('Fuel Model - Summary'!M:M,MATCH('Fuel Selector'!$B151,'Fuel Model - Summary'!$B:$B,0)),
IF($H151 = "External", INDEX('Fuel Cost - External'!M:M,MATCH('Fuel Selector'!$B151,'Fuel Cost - External'!$B:$B,0)),0)
))</f>
        <v>15.354664547990222</v>
      </c>
      <c r="Q151" s="89">
        <f>IF(Q$113&gt;2050,P151,
IF($H151="Modeled", INDEX('Fuel Model - Summary'!N:N,MATCH('Fuel Selector'!$B151,'Fuel Model - Summary'!$B:$B,0)),
IF($H151 = "External", INDEX('Fuel Cost - External'!N:N,MATCH('Fuel Selector'!$B151,'Fuel Cost - External'!$B:$B,0)),0)
))</f>
        <v>15.203086269025318</v>
      </c>
      <c r="R151" s="89">
        <f>IF(R$113&gt;2050,Q151,
IF($H151="Modeled", INDEX('Fuel Model - Summary'!O:O,MATCH('Fuel Selector'!$B151,'Fuel Model - Summary'!$B:$B,0)),
IF($H151 = "External", INDEX('Fuel Cost - External'!O:O,MATCH('Fuel Selector'!$B151,'Fuel Cost - External'!$B:$B,0)),0)
))</f>
        <v>15.203086269025318</v>
      </c>
      <c r="S151" s="89">
        <f>IF(S$113&gt;2050,R151,
IF($H151="Modeled", INDEX('Fuel Model - Summary'!P:P,MATCH('Fuel Selector'!$B151,'Fuel Model - Summary'!$B:$B,0)),
IF($H151 = "External", INDEX('Fuel Cost - External'!P:P,MATCH('Fuel Selector'!$B151,'Fuel Cost - External'!$B:$B,0)),0)
))</f>
        <v>15.203086269025318</v>
      </c>
      <c r="T151" s="89">
        <f>IF(T$113&gt;2050,S151,
IF($H151="Modeled", INDEX('Fuel Model - Summary'!Q:Q,MATCH('Fuel Selector'!$B151,'Fuel Model - Summary'!$B:$B,0)),
IF($H151 = "External", INDEX('Fuel Cost - External'!Q:Q,MATCH('Fuel Selector'!$B151,'Fuel Cost - External'!$B:$B,0)),0)
))</f>
        <v>15.203086269025318</v>
      </c>
      <c r="U151" s="89">
        <f>IF(U$113&gt;2050,T151,
IF($H151="Modeled", INDEX('Fuel Model - Summary'!R:R,MATCH('Fuel Selector'!$B151,'Fuel Model - Summary'!$B:$B,0)),
IF($H151 = "External", INDEX('Fuel Cost - External'!R:R,MATCH('Fuel Selector'!$B151,'Fuel Cost - External'!$B:$B,0)),0)
))</f>
        <v>15.203086269025318</v>
      </c>
      <c r="V151" s="89">
        <f>IF(V$113&gt;2050,U151,
IF($H151="Modeled", INDEX('Fuel Model - Summary'!S:S,MATCH('Fuel Selector'!$B151,'Fuel Model - Summary'!$B:$B,0)),
IF($H151 = "External", INDEX('Fuel Cost - External'!S:S,MATCH('Fuel Selector'!$B151,'Fuel Cost - External'!$B:$B,0)),0)
))</f>
        <v>15.203086269025318</v>
      </c>
    </row>
    <row r="152" spans="1:22" x14ac:dyDescent="0.2">
      <c r="A152" s="29">
        <f t="shared" si="135"/>
        <v>18</v>
      </c>
      <c r="B152" s="334" t="str">
        <f t="shared" si="132"/>
        <v>Biodiesel (Pyr blend) - Middle East - Fuel cost - USD/GJ</v>
      </c>
      <c r="C152" t="str" cm="1">
        <f t="array" ref="C152">INDEX(list_AE_fuel,A152)</f>
        <v>Biodiesel (Pyr blend)</v>
      </c>
      <c r="D152"/>
      <c r="E152" t="str">
        <f t="shared" si="136"/>
        <v>Middle East</v>
      </c>
      <c r="F152" t="str">
        <f t="shared" si="133"/>
        <v>Fuel cost - USD/GJ</v>
      </c>
      <c r="G152"/>
      <c r="H152" s="128" t="str" cm="1">
        <f t="array" ref="H152">INDEX('Configurator Specs.'!$CG$5:$CG$24,A152)</f>
        <v>Modeled</v>
      </c>
      <c r="I152" t="s">
        <v>324</v>
      </c>
      <c r="K152" s="89">
        <f>IF(K$113&gt;2050,J152,
IF($H152="Modeled", INDEX('Fuel Model - Summary'!H:H,MATCH('Fuel Selector'!$B152,'Fuel Model - Summary'!$B:$B,0)),
IF($H152 = "External", INDEX('Fuel Cost - External'!H:H,MATCH('Fuel Selector'!$B152,'Fuel Cost - External'!$B:$B,0)),0)
))</f>
        <v>24.737991645513468</v>
      </c>
      <c r="L152" s="89">
        <f>IF(L$113&gt;2050,K152,
IF($H152="Modeled", INDEX('Fuel Model - Summary'!I:I,MATCH('Fuel Selector'!$B152,'Fuel Model - Summary'!$B:$B,0)),
IF($H152 = "External", INDEX('Fuel Cost - External'!I:I,MATCH('Fuel Selector'!$B152,'Fuel Cost - External'!$B:$B,0)),0)
))</f>
        <v>17.769581867277488</v>
      </c>
      <c r="M152" s="89">
        <f>IF(M$113&gt;2050,L152,
IF($H152="Modeled", INDEX('Fuel Model - Summary'!J:J,MATCH('Fuel Selector'!$B152,'Fuel Model - Summary'!$B:$B,0)),
IF($H152 = "External", INDEX('Fuel Cost - External'!J:J,MATCH('Fuel Selector'!$B152,'Fuel Cost - External'!$B:$B,0)),0)
))</f>
        <v>14.258492301616094</v>
      </c>
      <c r="N152" s="89">
        <f>IF(N$113&gt;2050,M152,
IF($H152="Modeled", INDEX('Fuel Model - Summary'!K:K,MATCH('Fuel Selector'!$B152,'Fuel Model - Summary'!$B:$B,0)),
IF($H152 = "External", INDEX('Fuel Cost - External'!K:K,MATCH('Fuel Selector'!$B152,'Fuel Cost - External'!$B:$B,0)),0)
))</f>
        <v>14.226808461308513</v>
      </c>
      <c r="O152" s="89">
        <f>IF(O$113&gt;2050,N152,
IF($H152="Modeled", INDEX('Fuel Model - Summary'!L:L,MATCH('Fuel Selector'!$B152,'Fuel Model - Summary'!$B:$B,0)),
IF($H152 = "External", INDEX('Fuel Cost - External'!L:L,MATCH('Fuel Selector'!$B152,'Fuel Cost - External'!$B:$B,0)),0)
))</f>
        <v>14.276730539519503</v>
      </c>
      <c r="P152" s="89">
        <f>IF(P$113&gt;2050,O152,
IF($H152="Modeled", INDEX('Fuel Model - Summary'!M:M,MATCH('Fuel Selector'!$B152,'Fuel Model - Summary'!$B:$B,0)),
IF($H152 = "External", INDEX('Fuel Cost - External'!M:M,MATCH('Fuel Selector'!$B152,'Fuel Cost - External'!$B:$B,0)),0)
))</f>
        <v>14.30981287142586</v>
      </c>
      <c r="Q152" s="89">
        <f>IF(Q$113&gt;2050,P152,
IF($H152="Modeled", INDEX('Fuel Model - Summary'!N:N,MATCH('Fuel Selector'!$B152,'Fuel Model - Summary'!$B:$B,0)),
IF($H152 = "External", INDEX('Fuel Cost - External'!N:N,MATCH('Fuel Selector'!$B152,'Fuel Cost - External'!$B:$B,0)),0)
))</f>
        <v>14.343491467550781</v>
      </c>
      <c r="R152" s="89">
        <f>IF(R$113&gt;2050,Q152,
IF($H152="Modeled", INDEX('Fuel Model - Summary'!O:O,MATCH('Fuel Selector'!$B152,'Fuel Model - Summary'!$B:$B,0)),
IF($H152 = "External", INDEX('Fuel Cost - External'!O:O,MATCH('Fuel Selector'!$B152,'Fuel Cost - External'!$B:$B,0)),0)
))</f>
        <v>14.343491467550781</v>
      </c>
      <c r="S152" s="89">
        <f>IF(S$113&gt;2050,R152,
IF($H152="Modeled", INDEX('Fuel Model - Summary'!P:P,MATCH('Fuel Selector'!$B152,'Fuel Model - Summary'!$B:$B,0)),
IF($H152 = "External", INDEX('Fuel Cost - External'!P:P,MATCH('Fuel Selector'!$B152,'Fuel Cost - External'!$B:$B,0)),0)
))</f>
        <v>14.343491467550781</v>
      </c>
      <c r="T152" s="89">
        <f>IF(T$113&gt;2050,S152,
IF($H152="Modeled", INDEX('Fuel Model - Summary'!Q:Q,MATCH('Fuel Selector'!$B152,'Fuel Model - Summary'!$B:$B,0)),
IF($H152 = "External", INDEX('Fuel Cost - External'!Q:Q,MATCH('Fuel Selector'!$B152,'Fuel Cost - External'!$B:$B,0)),0)
))</f>
        <v>14.343491467550781</v>
      </c>
      <c r="U152" s="89">
        <f>IF(U$113&gt;2050,T152,
IF($H152="Modeled", INDEX('Fuel Model - Summary'!R:R,MATCH('Fuel Selector'!$B152,'Fuel Model - Summary'!$B:$B,0)),
IF($H152 = "External", INDEX('Fuel Cost - External'!R:R,MATCH('Fuel Selector'!$B152,'Fuel Cost - External'!$B:$B,0)),0)
))</f>
        <v>14.343491467550781</v>
      </c>
      <c r="V152" s="89">
        <f>IF(V$113&gt;2050,U152,
IF($H152="Modeled", INDEX('Fuel Model - Summary'!S:S,MATCH('Fuel Selector'!$B152,'Fuel Model - Summary'!$B:$B,0)),
IF($H152 = "External", INDEX('Fuel Cost - External'!S:S,MATCH('Fuel Selector'!$B152,'Fuel Cost - External'!$B:$B,0)),0)
))</f>
        <v>14.343491467550781</v>
      </c>
    </row>
    <row r="153" spans="1:22" x14ac:dyDescent="0.2">
      <c r="A153" s="29">
        <f t="shared" si="135"/>
        <v>19</v>
      </c>
      <c r="B153" s="334" t="str">
        <f t="shared" si="132"/>
        <v>Blue hydrogen (liquid) - Middle East - Fuel cost - USD/GJ</v>
      </c>
      <c r="C153" t="str" cm="1">
        <f t="array" ref="C153">INDEX(list_AE_fuel,A153)</f>
        <v>Blue hydrogen (liquid)</v>
      </c>
      <c r="D153"/>
      <c r="E153" t="str">
        <f t="shared" si="136"/>
        <v>Middle East</v>
      </c>
      <c r="F153" t="str">
        <f t="shared" si="133"/>
        <v>Fuel cost - USD/GJ</v>
      </c>
      <c r="G153"/>
      <c r="H153" s="128" t="str" cm="1">
        <f t="array" ref="H153">INDEX('Configurator Specs.'!$CG$5:$CG$24,A153)</f>
        <v>Modeled</v>
      </c>
      <c r="I153" t="s">
        <v>324</v>
      </c>
      <c r="K153" s="89">
        <f>IF(K$113&gt;2050,J153,
IF($H153="Modeled", INDEX('Fuel Model - Summary'!H:H,MATCH('Fuel Selector'!$B153,'Fuel Model - Summary'!$B:$B,0)),
IF($H153 = "External", INDEX('Fuel Cost - External'!H:H,MATCH('Fuel Selector'!$B153,'Fuel Cost - External'!$B:$B,0)),0)
))</f>
        <v>65.541178074899022</v>
      </c>
      <c r="L153" s="89">
        <f>IF(L$113&gt;2050,K153,
IF($H153="Modeled", INDEX('Fuel Model - Summary'!I:I,MATCH('Fuel Selector'!$B153,'Fuel Model - Summary'!$B:$B,0)),
IF($H153 = "External", INDEX('Fuel Cost - External'!I:I,MATCH('Fuel Selector'!$B153,'Fuel Cost - External'!$B:$B,0)),0)
))</f>
        <v>37.737757427308672</v>
      </c>
      <c r="M153" s="89">
        <f>IF(M$113&gt;2050,L153,
IF($H153="Modeled", INDEX('Fuel Model - Summary'!J:J,MATCH('Fuel Selector'!$B153,'Fuel Model - Summary'!$B:$B,0)),
IF($H153 = "External", INDEX('Fuel Cost - External'!J:J,MATCH('Fuel Selector'!$B153,'Fuel Cost - External'!$B:$B,0)),0)
))</f>
        <v>25.583701991479447</v>
      </c>
      <c r="N153" s="89">
        <f>IF(N$113&gt;2050,M153,
IF($H153="Modeled", INDEX('Fuel Model - Summary'!K:K,MATCH('Fuel Selector'!$B153,'Fuel Model - Summary'!$B:$B,0)),
IF($H153 = "External", INDEX('Fuel Cost - External'!K:K,MATCH('Fuel Selector'!$B153,'Fuel Cost - External'!$B:$B,0)),0)
))</f>
        <v>24.715893432118953</v>
      </c>
      <c r="O153" s="89">
        <f>IF(O$113&gt;2050,N153,
IF($H153="Modeled", INDEX('Fuel Model - Summary'!L:L,MATCH('Fuel Selector'!$B153,'Fuel Model - Summary'!$B:$B,0)),
IF($H153 = "External", INDEX('Fuel Cost - External'!L:L,MATCH('Fuel Selector'!$B153,'Fuel Cost - External'!$B:$B,0)),0)
))</f>
        <v>24.066026888531177</v>
      </c>
      <c r="P153" s="89">
        <f>IF(P$113&gt;2050,O153,
IF($H153="Modeled", INDEX('Fuel Model - Summary'!M:M,MATCH('Fuel Selector'!$B153,'Fuel Model - Summary'!$B:$B,0)),
IF($H153 = "External", INDEX('Fuel Cost - External'!M:M,MATCH('Fuel Selector'!$B153,'Fuel Cost - External'!$B:$B,0)),0)
))</f>
        <v>23.417191379410518</v>
      </c>
      <c r="Q153" s="89">
        <f>IF(Q$113&gt;2050,P153,
IF($H153="Modeled", INDEX('Fuel Model - Summary'!N:N,MATCH('Fuel Selector'!$B153,'Fuel Model - Summary'!$B:$B,0)),
IF($H153 = "External", INDEX('Fuel Cost - External'!N:N,MATCH('Fuel Selector'!$B153,'Fuel Cost - External'!$B:$B,0)),0)
))</f>
        <v>22.922700860835608</v>
      </c>
      <c r="R153" s="89">
        <f>IF(R$113&gt;2050,Q153,
IF($H153="Modeled", INDEX('Fuel Model - Summary'!O:O,MATCH('Fuel Selector'!$B153,'Fuel Model - Summary'!$B:$B,0)),
IF($H153 = "External", INDEX('Fuel Cost - External'!O:O,MATCH('Fuel Selector'!$B153,'Fuel Cost - External'!$B:$B,0)),0)
))</f>
        <v>22.922700860835608</v>
      </c>
      <c r="S153" s="89">
        <f>IF(S$113&gt;2050,R153,
IF($H153="Modeled", INDEX('Fuel Model - Summary'!P:P,MATCH('Fuel Selector'!$B153,'Fuel Model - Summary'!$B:$B,0)),
IF($H153 = "External", INDEX('Fuel Cost - External'!P:P,MATCH('Fuel Selector'!$B153,'Fuel Cost - External'!$B:$B,0)),0)
))</f>
        <v>22.922700860835608</v>
      </c>
      <c r="T153" s="89">
        <f>IF(T$113&gt;2050,S153,
IF($H153="Modeled", INDEX('Fuel Model - Summary'!Q:Q,MATCH('Fuel Selector'!$B153,'Fuel Model - Summary'!$B:$B,0)),
IF($H153 = "External", INDEX('Fuel Cost - External'!Q:Q,MATCH('Fuel Selector'!$B153,'Fuel Cost - External'!$B:$B,0)),0)
))</f>
        <v>22.922700860835608</v>
      </c>
      <c r="U153" s="89">
        <f>IF(U$113&gt;2050,T153,
IF($H153="Modeled", INDEX('Fuel Model - Summary'!R:R,MATCH('Fuel Selector'!$B153,'Fuel Model - Summary'!$B:$B,0)),
IF($H153 = "External", INDEX('Fuel Cost - External'!R:R,MATCH('Fuel Selector'!$B153,'Fuel Cost - External'!$B:$B,0)),0)
))</f>
        <v>22.922700860835608</v>
      </c>
      <c r="V153" s="89">
        <f>IF(V$113&gt;2050,U153,
IF($H153="Modeled", INDEX('Fuel Model - Summary'!S:S,MATCH('Fuel Selector'!$B153,'Fuel Model - Summary'!$B:$B,0)),
IF($H153 = "External", INDEX('Fuel Cost - External'!S:S,MATCH('Fuel Selector'!$B153,'Fuel Cost - External'!$B:$B,0)),0)
))</f>
        <v>22.922700860835608</v>
      </c>
    </row>
    <row r="154" spans="1:22" x14ac:dyDescent="0.2">
      <c r="A154" s="29">
        <f t="shared" si="135"/>
        <v>20</v>
      </c>
      <c r="B154" s="334" t="str">
        <f t="shared" si="132"/>
        <v>e-Hydrogen (liquid) - Middle East - Fuel cost - USD/GJ</v>
      </c>
      <c r="C154" t="str" cm="1">
        <f t="array" ref="C154">INDEX(list_AE_fuel,A154)</f>
        <v>e-Hydrogen (liquid)</v>
      </c>
      <c r="D154"/>
      <c r="E154" t="str">
        <f t="shared" si="136"/>
        <v>Middle East</v>
      </c>
      <c r="F154" t="str">
        <f t="shared" si="133"/>
        <v>Fuel cost - USD/GJ</v>
      </c>
      <c r="G154"/>
      <c r="H154" s="128" t="str" cm="1">
        <f t="array" ref="H154">INDEX('Configurator Specs.'!$CG$5:$CG$24,A154)</f>
        <v>Modeled</v>
      </c>
      <c r="I154" t="s">
        <v>324</v>
      </c>
      <c r="K154" s="89">
        <f>IF(K$113&gt;2050,J154,
IF($H154="Modeled", INDEX('Fuel Model - Summary'!H:H,MATCH('Fuel Selector'!$B154,'Fuel Model - Summary'!$B:$B,0)),
IF($H154 = "External", INDEX('Fuel Cost - External'!H:H,MATCH('Fuel Selector'!$B154,'Fuel Cost - External'!$B:$B,0)),0)
))</f>
        <v>46.275465929748982</v>
      </c>
      <c r="L154" s="89">
        <f>IF(L$113&gt;2050,K154,
IF($H154="Modeled", INDEX('Fuel Model - Summary'!I:I,MATCH('Fuel Selector'!$B154,'Fuel Model - Summary'!$B:$B,0)),
IF($H154 = "External", INDEX('Fuel Cost - External'!I:I,MATCH('Fuel Selector'!$B154,'Fuel Cost - External'!$B:$B,0)),0)
))</f>
        <v>39.41223386036782</v>
      </c>
      <c r="M154" s="89">
        <f>IF(M$113&gt;2050,L154,
IF($H154="Modeled", INDEX('Fuel Model - Summary'!J:J,MATCH('Fuel Selector'!$B154,'Fuel Model - Summary'!$B:$B,0)),
IF($H154 = "External", INDEX('Fuel Cost - External'!J:J,MATCH('Fuel Selector'!$B154,'Fuel Cost - External'!$B:$B,0)),0)
))</f>
        <v>34.446808664063546</v>
      </c>
      <c r="N154" s="89">
        <f>IF(N$113&gt;2050,M154,
IF($H154="Modeled", INDEX('Fuel Model - Summary'!K:K,MATCH('Fuel Selector'!$B154,'Fuel Model - Summary'!$B:$B,0)),
IF($H154 = "External", INDEX('Fuel Cost - External'!K:K,MATCH('Fuel Selector'!$B154,'Fuel Cost - External'!$B:$B,0)),0)
))</f>
        <v>31.864979378841635</v>
      </c>
      <c r="O154" s="89">
        <f>IF(O$113&gt;2050,N154,
IF($H154="Modeled", INDEX('Fuel Model - Summary'!L:L,MATCH('Fuel Selector'!$B154,'Fuel Model - Summary'!$B:$B,0)),
IF($H154 = "External", INDEX('Fuel Cost - External'!L:L,MATCH('Fuel Selector'!$B154,'Fuel Cost - External'!$B:$B,0)),0)
))</f>
        <v>28.92838873867284</v>
      </c>
      <c r="P154" s="89">
        <f>IF(P$113&gt;2050,O154,
IF($H154="Modeled", INDEX('Fuel Model - Summary'!M:M,MATCH('Fuel Selector'!$B154,'Fuel Model - Summary'!$B:$B,0)),
IF($H154 = "External", INDEX('Fuel Cost - External'!M:M,MATCH('Fuel Selector'!$B154,'Fuel Cost - External'!$B:$B,0)),0)
))</f>
        <v>24.948539433143353</v>
      </c>
      <c r="Q154" s="89">
        <f>IF(Q$113&gt;2050,P154,
IF($H154="Modeled", INDEX('Fuel Model - Summary'!N:N,MATCH('Fuel Selector'!$B154,'Fuel Model - Summary'!$B:$B,0)),
IF($H154 = "External", INDEX('Fuel Cost - External'!N:N,MATCH('Fuel Selector'!$B154,'Fuel Cost - External'!$B:$B,0)),0)
))</f>
        <v>21.562312131467856</v>
      </c>
      <c r="R154" s="89">
        <f>IF(R$113&gt;2050,Q154,
IF($H154="Modeled", INDEX('Fuel Model - Summary'!O:O,MATCH('Fuel Selector'!$B154,'Fuel Model - Summary'!$B:$B,0)),
IF($H154 = "External", INDEX('Fuel Cost - External'!O:O,MATCH('Fuel Selector'!$B154,'Fuel Cost - External'!$B:$B,0)),0)
))</f>
        <v>21.562312131467856</v>
      </c>
      <c r="S154" s="89">
        <f>IF(S$113&gt;2050,R154,
IF($H154="Modeled", INDEX('Fuel Model - Summary'!P:P,MATCH('Fuel Selector'!$B154,'Fuel Model - Summary'!$B:$B,0)),
IF($H154 = "External", INDEX('Fuel Cost - External'!P:P,MATCH('Fuel Selector'!$B154,'Fuel Cost - External'!$B:$B,0)),0)
))</f>
        <v>21.562312131467856</v>
      </c>
      <c r="T154" s="89">
        <f>IF(T$113&gt;2050,S154,
IF($H154="Modeled", INDEX('Fuel Model - Summary'!Q:Q,MATCH('Fuel Selector'!$B154,'Fuel Model - Summary'!$B:$B,0)),
IF($H154 = "External", INDEX('Fuel Cost - External'!Q:Q,MATCH('Fuel Selector'!$B154,'Fuel Cost - External'!$B:$B,0)),0)
))</f>
        <v>21.562312131467856</v>
      </c>
      <c r="U154" s="89">
        <f>IF(U$113&gt;2050,T154,
IF($H154="Modeled", INDEX('Fuel Model - Summary'!R:R,MATCH('Fuel Selector'!$B154,'Fuel Model - Summary'!$B:$B,0)),
IF($H154 = "External", INDEX('Fuel Cost - External'!R:R,MATCH('Fuel Selector'!$B154,'Fuel Cost - External'!$B:$B,0)),0)
))</f>
        <v>21.562312131467856</v>
      </c>
      <c r="V154" s="89">
        <f>IF(V$113&gt;2050,U154,
IF($H154="Modeled", INDEX('Fuel Model - Summary'!S:S,MATCH('Fuel Selector'!$B154,'Fuel Model - Summary'!$B:$B,0)),
IF($H154 = "External", INDEX('Fuel Cost - External'!S:S,MATCH('Fuel Selector'!$B154,'Fuel Cost - External'!$B:$B,0)),0)
))</f>
        <v>21.562312131467856</v>
      </c>
    </row>
    <row r="155" spans="1:22" x14ac:dyDescent="0.2">
      <c r="B155"/>
      <c r="C155"/>
      <c r="D155"/>
      <c r="E155"/>
      <c r="F155"/>
      <c r="G155"/>
      <c r="H155" s="128"/>
      <c r="I155"/>
      <c r="R155" s="32"/>
      <c r="S155" s="32"/>
      <c r="T155" s="32"/>
      <c r="U155" s="32"/>
      <c r="V155" s="32"/>
    </row>
    <row r="156" spans="1:22" x14ac:dyDescent="0.2">
      <c r="A156" s="29">
        <v>1</v>
      </c>
      <c r="B156" s="334" t="str">
        <f t="shared" ref="B156:B175" si="137">_xlfn.TEXTJOIN(keydelim,TRUE,C156:G156)</f>
        <v>LSFO - Asia - Fuel cost - USD/GJ</v>
      </c>
      <c r="C156" t="str" cm="1">
        <f t="array" ref="C156">INDEX(list_AE_fuel,A156)</f>
        <v>LSFO</v>
      </c>
      <c r="D156"/>
      <c r="E156" t="s">
        <v>198</v>
      </c>
      <c r="F156" t="str">
        <f t="shared" ref="F156:F175" si="138">"Fuel cost"  &amp;keydelim &amp;I156</f>
        <v>Fuel cost - USD/GJ</v>
      </c>
      <c r="G156" s="128"/>
      <c r="H156" s="128" t="str" cm="1">
        <f t="array" ref="H156">INDEX('Configurator Specs.'!$CG$5:$CG$24,A156)</f>
        <v>External</v>
      </c>
      <c r="I156" t="s">
        <v>324</v>
      </c>
      <c r="K156" s="89">
        <f>IF(K$113&gt;2050,J156,
IF($H156="Modeled", INDEX('Fuel Model - Summary'!H:H,MATCH('Fuel Selector'!$B156,'Fuel Model - Summary'!$B:$B,0)),
IF($H156 = "External", INDEX('Fuel Cost - External'!H:H,MATCH('Fuel Selector'!$B156,'Fuel Cost - External'!$B:$B,0)),0)
))</f>
        <v>21.473621920116738</v>
      </c>
      <c r="L156" s="89">
        <f>IF(L$113&gt;2050,K156,
IF($H156="Modeled", INDEX('Fuel Model - Summary'!I:I,MATCH('Fuel Selector'!$B156,'Fuel Model - Summary'!$B:$B,0)),
IF($H156 = "External", INDEX('Fuel Cost - External'!I:I,MATCH('Fuel Selector'!$B156,'Fuel Cost - External'!$B:$B,0)),0)
))</f>
        <v>15.404989638344617</v>
      </c>
      <c r="M156" s="89">
        <f>IF(M$113&gt;2050,L156,
IF($H156="Modeled", INDEX('Fuel Model - Summary'!J:J,MATCH('Fuel Selector'!$B156,'Fuel Model - Summary'!$B:$B,0)),
IF($H156 = "External", INDEX('Fuel Cost - External'!J:J,MATCH('Fuel Selector'!$B156,'Fuel Cost - External'!$B:$B,0)),0)
))</f>
        <v>13.444354593464393</v>
      </c>
      <c r="N156" s="89">
        <f>IF(N$113&gt;2050,M156,
IF($H156="Modeled", INDEX('Fuel Model - Summary'!K:K,MATCH('Fuel Selector'!$B156,'Fuel Model - Summary'!$B:$B,0)),
IF($H156 = "External", INDEX('Fuel Cost - External'!K:K,MATCH('Fuel Selector'!$B156,'Fuel Cost - External'!$B:$B,0)),0)
))</f>
        <v>13.444354593464393</v>
      </c>
      <c r="O156" s="89">
        <f>IF(O$113&gt;2050,N156,
IF($H156="Modeled", INDEX('Fuel Model - Summary'!L:L,MATCH('Fuel Selector'!$B156,'Fuel Model - Summary'!$B:$B,0)),
IF($H156 = "External", INDEX('Fuel Cost - External'!L:L,MATCH('Fuel Selector'!$B156,'Fuel Cost - External'!$B:$B,0)),0)
))</f>
        <v>13.444354593464393</v>
      </c>
      <c r="P156" s="89">
        <f>IF(P$113&gt;2050,O156,
IF($H156="Modeled", INDEX('Fuel Model - Summary'!M:M,MATCH('Fuel Selector'!$B156,'Fuel Model - Summary'!$B:$B,0)),
IF($H156 = "External", INDEX('Fuel Cost - External'!M:M,MATCH('Fuel Selector'!$B156,'Fuel Cost - External'!$B:$B,0)),0)
))</f>
        <v>13.444354593464393</v>
      </c>
      <c r="Q156" s="89">
        <f>IF(Q$113&gt;2050,P156,
IF($H156="Modeled", INDEX('Fuel Model - Summary'!N:N,MATCH('Fuel Selector'!$B156,'Fuel Model - Summary'!$B:$B,0)),
IF($H156 = "External", INDEX('Fuel Cost - External'!N:N,MATCH('Fuel Selector'!$B156,'Fuel Cost - External'!$B:$B,0)),0)
))</f>
        <v>13.444354593464393</v>
      </c>
      <c r="R156" s="89">
        <f>IF(R$113&gt;2050,Q156,
IF($H156="Modeled", INDEX('Fuel Model - Summary'!O:O,MATCH('Fuel Selector'!$B156,'Fuel Model - Summary'!$B:$B,0)),
IF($H156 = "External", INDEX('Fuel Cost - External'!O:O,MATCH('Fuel Selector'!$B156,'Fuel Cost - External'!$B:$B,0)),0)
))</f>
        <v>13.444354593464393</v>
      </c>
      <c r="S156" s="89">
        <f>IF(S$113&gt;2050,R156,
IF($H156="Modeled", INDEX('Fuel Model - Summary'!P:P,MATCH('Fuel Selector'!$B156,'Fuel Model - Summary'!$B:$B,0)),
IF($H156 = "External", INDEX('Fuel Cost - External'!P:P,MATCH('Fuel Selector'!$B156,'Fuel Cost - External'!$B:$B,0)),0)
))</f>
        <v>13.444354593464393</v>
      </c>
      <c r="T156" s="89">
        <f>IF(T$113&gt;2050,S156,
IF($H156="Modeled", INDEX('Fuel Model - Summary'!Q:Q,MATCH('Fuel Selector'!$B156,'Fuel Model - Summary'!$B:$B,0)),
IF($H156 = "External", INDEX('Fuel Cost - External'!Q:Q,MATCH('Fuel Selector'!$B156,'Fuel Cost - External'!$B:$B,0)),0)
))</f>
        <v>13.444354593464393</v>
      </c>
      <c r="U156" s="89">
        <f>IF(U$113&gt;2050,T156,
IF($H156="Modeled", INDEX('Fuel Model - Summary'!R:R,MATCH('Fuel Selector'!$B156,'Fuel Model - Summary'!$B:$B,0)),
IF($H156 = "External", INDEX('Fuel Cost - External'!R:R,MATCH('Fuel Selector'!$B156,'Fuel Cost - External'!$B:$B,0)),0)
))</f>
        <v>13.444354593464393</v>
      </c>
      <c r="V156" s="89">
        <f>IF(V$113&gt;2050,U156,
IF($H156="Modeled", INDEX('Fuel Model - Summary'!S:S,MATCH('Fuel Selector'!$B156,'Fuel Model - Summary'!$B:$B,0)),
IF($H156 = "External", INDEX('Fuel Cost - External'!S:S,MATCH('Fuel Selector'!$B156,'Fuel Cost - External'!$B:$B,0)),0)
))</f>
        <v>13.444354593464393</v>
      </c>
    </row>
    <row r="157" spans="1:22" x14ac:dyDescent="0.2">
      <c r="A157" s="29">
        <f>A156+1</f>
        <v>2</v>
      </c>
      <c r="B157" s="334" t="str">
        <f t="shared" si="137"/>
        <v>LNG - Asia - Fuel cost - USD/GJ</v>
      </c>
      <c r="C157" t="str" cm="1">
        <f t="array" ref="C157">INDEX(list_AE_fuel,A157)</f>
        <v>LNG</v>
      </c>
      <c r="D157"/>
      <c r="E157" t="str">
        <f t="shared" ref="E157:E166" si="139">E156</f>
        <v>Asia</v>
      </c>
      <c r="F157" t="str">
        <f t="shared" si="138"/>
        <v>Fuel cost - USD/GJ</v>
      </c>
      <c r="G157" s="128"/>
      <c r="H157" s="128" t="str" cm="1">
        <f t="array" ref="H157">INDEX('Configurator Specs.'!$CG$5:$CG$24,A157)</f>
        <v>Modeled</v>
      </c>
      <c r="I157" t="s">
        <v>324</v>
      </c>
      <c r="K157" s="89">
        <f>IF(K$113&gt;2050,J157,
IF($H157="Modeled", INDEX('Fuel Model - Summary'!H:H,MATCH('Fuel Selector'!$B157,'Fuel Model - Summary'!$B:$B,0)),
IF($H157 = "External", INDEX('Fuel Cost - External'!H:H,MATCH('Fuel Selector'!$B157,'Fuel Cost - External'!$B:$B,0)),0)
))</f>
        <v>38.598426405786107</v>
      </c>
      <c r="L157" s="89">
        <f>IF(L$113&gt;2050,K157,
IF($H157="Modeled", INDEX('Fuel Model - Summary'!I:I,MATCH('Fuel Selector'!$B157,'Fuel Model - Summary'!$B:$B,0)),
IF($H157 = "External", INDEX('Fuel Cost - External'!I:I,MATCH('Fuel Selector'!$B157,'Fuel Cost - External'!$B:$B,0)),0)
))</f>
        <v>19.913894333964979</v>
      </c>
      <c r="M157" s="89">
        <f>IF(M$113&gt;2050,L157,
IF($H157="Modeled", INDEX('Fuel Model - Summary'!J:J,MATCH('Fuel Selector'!$B157,'Fuel Model - Summary'!$B:$B,0)),
IF($H157 = "External", INDEX('Fuel Cost - External'!J:J,MATCH('Fuel Selector'!$B157,'Fuel Cost - External'!$B:$B,0)),0)
))</f>
        <v>11.877061137475053</v>
      </c>
      <c r="N157" s="89">
        <f>IF(N$113&gt;2050,M157,
IF($H157="Modeled", INDEX('Fuel Model - Summary'!K:K,MATCH('Fuel Selector'!$B157,'Fuel Model - Summary'!$B:$B,0)),
IF($H157 = "External", INDEX('Fuel Cost - External'!K:K,MATCH('Fuel Selector'!$B157,'Fuel Cost - External'!$B:$B,0)),0)
))</f>
        <v>11.69595088999592</v>
      </c>
      <c r="O157" s="89">
        <f>IF(O$113&gt;2050,N157,
IF($H157="Modeled", INDEX('Fuel Model - Summary'!L:L,MATCH('Fuel Selector'!$B157,'Fuel Model - Summary'!$B:$B,0)),
IF($H157 = "External", INDEX('Fuel Cost - External'!L:L,MATCH('Fuel Selector'!$B157,'Fuel Cost - External'!$B:$B,0)),0)
))</f>
        <v>11.559777834879483</v>
      </c>
      <c r="P157" s="89">
        <f>IF(P$113&gt;2050,O157,
IF($H157="Modeled", INDEX('Fuel Model - Summary'!M:M,MATCH('Fuel Selector'!$B157,'Fuel Model - Summary'!$B:$B,0)),
IF($H157 = "External", INDEX('Fuel Cost - External'!M:M,MATCH('Fuel Selector'!$B157,'Fuel Cost - External'!$B:$B,0)),0)
))</f>
        <v>11.423679936707721</v>
      </c>
      <c r="Q157" s="89">
        <f>IF(Q$113&gt;2050,P157,
IF($H157="Modeled", INDEX('Fuel Model - Summary'!N:N,MATCH('Fuel Selector'!$B157,'Fuel Model - Summary'!$B:$B,0)),
IF($H157 = "External", INDEX('Fuel Cost - External'!N:N,MATCH('Fuel Selector'!$B157,'Fuel Cost - External'!$B:$B,0)),0)
))</f>
        <v>11.31472768395961</v>
      </c>
      <c r="R157" s="89">
        <f>IF(R$113&gt;2050,Q157,
IF($H157="Modeled", INDEX('Fuel Model - Summary'!O:O,MATCH('Fuel Selector'!$B157,'Fuel Model - Summary'!$B:$B,0)),
IF($H157 = "External", INDEX('Fuel Cost - External'!O:O,MATCH('Fuel Selector'!$B157,'Fuel Cost - External'!$B:$B,0)),0)
))</f>
        <v>11.31472768395961</v>
      </c>
      <c r="S157" s="89">
        <f>IF(S$113&gt;2050,R157,
IF($H157="Modeled", INDEX('Fuel Model - Summary'!P:P,MATCH('Fuel Selector'!$B157,'Fuel Model - Summary'!$B:$B,0)),
IF($H157 = "External", INDEX('Fuel Cost - External'!P:P,MATCH('Fuel Selector'!$B157,'Fuel Cost - External'!$B:$B,0)),0)
))</f>
        <v>11.31472768395961</v>
      </c>
      <c r="T157" s="89">
        <f>IF(T$113&gt;2050,S157,
IF($H157="Modeled", INDEX('Fuel Model - Summary'!Q:Q,MATCH('Fuel Selector'!$B157,'Fuel Model - Summary'!$B:$B,0)),
IF($H157 = "External", INDEX('Fuel Cost - External'!Q:Q,MATCH('Fuel Selector'!$B157,'Fuel Cost - External'!$B:$B,0)),0)
))</f>
        <v>11.31472768395961</v>
      </c>
      <c r="U157" s="89">
        <f>IF(U$113&gt;2050,T157,
IF($H157="Modeled", INDEX('Fuel Model - Summary'!R:R,MATCH('Fuel Selector'!$B157,'Fuel Model - Summary'!$B:$B,0)),
IF($H157 = "External", INDEX('Fuel Cost - External'!R:R,MATCH('Fuel Selector'!$B157,'Fuel Cost - External'!$B:$B,0)),0)
))</f>
        <v>11.31472768395961</v>
      </c>
      <c r="V157" s="89">
        <f>IF(V$113&gt;2050,U157,
IF($H157="Modeled", INDEX('Fuel Model - Summary'!S:S,MATCH('Fuel Selector'!$B157,'Fuel Model - Summary'!$B:$B,0)),
IF($H157 = "External", INDEX('Fuel Cost - External'!S:S,MATCH('Fuel Selector'!$B157,'Fuel Cost - External'!$B:$B,0)),0)
))</f>
        <v>11.31472768395961</v>
      </c>
    </row>
    <row r="158" spans="1:22" x14ac:dyDescent="0.2">
      <c r="A158" s="29">
        <f t="shared" ref="A158:A175" si="140">A157+1</f>
        <v>3</v>
      </c>
      <c r="B158" s="334" t="str">
        <f t="shared" si="137"/>
        <v>LPG - Asia - Fuel cost - USD/GJ</v>
      </c>
      <c r="C158" t="str" cm="1">
        <f t="array" ref="C158">INDEX(list_AE_fuel,A158)</f>
        <v>LPG</v>
      </c>
      <c r="D158"/>
      <c r="E158" t="str">
        <f t="shared" si="139"/>
        <v>Asia</v>
      </c>
      <c r="F158" t="str">
        <f t="shared" si="138"/>
        <v>Fuel cost - USD/GJ</v>
      </c>
      <c r="G158" s="128"/>
      <c r="H158" s="128" t="str" cm="1">
        <f t="array" ref="H158">INDEX('Configurator Specs.'!$CG$5:$CG$24,A158)</f>
        <v>External</v>
      </c>
      <c r="I158" t="s">
        <v>324</v>
      </c>
      <c r="K158" s="89">
        <f>IF(K$113&gt;2050,J158,
IF($H158="Modeled", INDEX('Fuel Model - Summary'!H:H,MATCH('Fuel Selector'!$B158,'Fuel Model - Summary'!$B:$B,0)),
IF($H158 = "External", INDEX('Fuel Cost - External'!H:H,MATCH('Fuel Selector'!$B158,'Fuel Cost - External'!$B:$B,0)),0)
))</f>
        <v>16.525069073439496</v>
      </c>
      <c r="L158" s="89">
        <f>IF(L$113&gt;2050,K158,
IF($H158="Modeled", INDEX('Fuel Model - Summary'!I:I,MATCH('Fuel Selector'!$B158,'Fuel Model - Summary'!$B:$B,0)),
IF($H158 = "External", INDEX('Fuel Cost - External'!I:I,MATCH('Fuel Selector'!$B158,'Fuel Cost - External'!$B:$B,0)),0)
))</f>
        <v>11.854940857032684</v>
      </c>
      <c r="M158" s="89">
        <f>IF(M$113&gt;2050,L158,
IF($H158="Modeled", INDEX('Fuel Model - Summary'!J:J,MATCH('Fuel Selector'!$B158,'Fuel Model - Summary'!$B:$B,0)),
IF($H158 = "External", INDEX('Fuel Cost - External'!J:J,MATCH('Fuel Selector'!$B158,'Fuel Cost - External'!$B:$B,0)),0)
))</f>
        <v>10.34613020250125</v>
      </c>
      <c r="N158" s="89">
        <f>IF(N$113&gt;2050,M158,
IF($H158="Modeled", INDEX('Fuel Model - Summary'!K:K,MATCH('Fuel Selector'!$B158,'Fuel Model - Summary'!$B:$B,0)),
IF($H158 = "External", INDEX('Fuel Cost - External'!K:K,MATCH('Fuel Selector'!$B158,'Fuel Cost - External'!$B:$B,0)),0)
))</f>
        <v>10.34613020250125</v>
      </c>
      <c r="O158" s="89">
        <f>IF(O$113&gt;2050,N158,
IF($H158="Modeled", INDEX('Fuel Model - Summary'!L:L,MATCH('Fuel Selector'!$B158,'Fuel Model - Summary'!$B:$B,0)),
IF($H158 = "External", INDEX('Fuel Cost - External'!L:L,MATCH('Fuel Selector'!$B158,'Fuel Cost - External'!$B:$B,0)),0)
))</f>
        <v>10.34613020250125</v>
      </c>
      <c r="P158" s="89">
        <f>IF(P$113&gt;2050,O158,
IF($H158="Modeled", INDEX('Fuel Model - Summary'!M:M,MATCH('Fuel Selector'!$B158,'Fuel Model - Summary'!$B:$B,0)),
IF($H158 = "External", INDEX('Fuel Cost - External'!M:M,MATCH('Fuel Selector'!$B158,'Fuel Cost - External'!$B:$B,0)),0)
))</f>
        <v>10.34613020250125</v>
      </c>
      <c r="Q158" s="89">
        <f>IF(Q$113&gt;2050,P158,
IF($H158="Modeled", INDEX('Fuel Model - Summary'!N:N,MATCH('Fuel Selector'!$B158,'Fuel Model - Summary'!$B:$B,0)),
IF($H158 = "External", INDEX('Fuel Cost - External'!N:N,MATCH('Fuel Selector'!$B158,'Fuel Cost - External'!$B:$B,0)),0)
))</f>
        <v>10.34613020250125</v>
      </c>
      <c r="R158" s="89">
        <f>IF(R$113&gt;2050,Q158,
IF($H158="Modeled", INDEX('Fuel Model - Summary'!O:O,MATCH('Fuel Selector'!$B158,'Fuel Model - Summary'!$B:$B,0)),
IF($H158 = "External", INDEX('Fuel Cost - External'!O:O,MATCH('Fuel Selector'!$B158,'Fuel Cost - External'!$B:$B,0)),0)
))</f>
        <v>10.34613020250125</v>
      </c>
      <c r="S158" s="89">
        <f>IF(S$113&gt;2050,R158,
IF($H158="Modeled", INDEX('Fuel Model - Summary'!P:P,MATCH('Fuel Selector'!$B158,'Fuel Model - Summary'!$B:$B,0)),
IF($H158 = "External", INDEX('Fuel Cost - External'!P:P,MATCH('Fuel Selector'!$B158,'Fuel Cost - External'!$B:$B,0)),0)
))</f>
        <v>10.34613020250125</v>
      </c>
      <c r="T158" s="89">
        <f>IF(T$113&gt;2050,S158,
IF($H158="Modeled", INDEX('Fuel Model - Summary'!Q:Q,MATCH('Fuel Selector'!$B158,'Fuel Model - Summary'!$B:$B,0)),
IF($H158 = "External", INDEX('Fuel Cost - External'!Q:Q,MATCH('Fuel Selector'!$B158,'Fuel Cost - External'!$B:$B,0)),0)
))</f>
        <v>10.34613020250125</v>
      </c>
      <c r="U158" s="89">
        <f>IF(U$113&gt;2050,T158,
IF($H158="Modeled", INDEX('Fuel Model - Summary'!R:R,MATCH('Fuel Selector'!$B158,'Fuel Model - Summary'!$B:$B,0)),
IF($H158 = "External", INDEX('Fuel Cost - External'!R:R,MATCH('Fuel Selector'!$B158,'Fuel Cost - External'!$B:$B,0)),0)
))</f>
        <v>10.34613020250125</v>
      </c>
      <c r="V158" s="89">
        <f>IF(V$113&gt;2050,U158,
IF($H158="Modeled", INDEX('Fuel Model - Summary'!S:S,MATCH('Fuel Selector'!$B158,'Fuel Model - Summary'!$B:$B,0)),
IF($H158 = "External", INDEX('Fuel Cost - External'!S:S,MATCH('Fuel Selector'!$B158,'Fuel Cost - External'!$B:$B,0)),0)
))</f>
        <v>10.34613020250125</v>
      </c>
    </row>
    <row r="159" spans="1:22" x14ac:dyDescent="0.2">
      <c r="A159" s="29">
        <f t="shared" si="140"/>
        <v>4</v>
      </c>
      <c r="B159" s="334" t="str">
        <f t="shared" si="137"/>
        <v>Electricity - Asia - Fuel cost - USD/GJ</v>
      </c>
      <c r="C159" t="str" cm="1">
        <f t="array" ref="C159">INDEX(list_AE_fuel,A159)</f>
        <v>Electricity</v>
      </c>
      <c r="D159"/>
      <c r="E159" t="str">
        <f t="shared" si="139"/>
        <v>Asia</v>
      </c>
      <c r="F159" t="str">
        <f t="shared" si="138"/>
        <v>Fuel cost - USD/GJ</v>
      </c>
      <c r="G159" s="128"/>
      <c r="H159" s="128" t="str" cm="1">
        <f t="array" ref="H159">INDEX('Configurator Specs.'!$CG$5:$CG$24,A159)</f>
        <v>External</v>
      </c>
      <c r="I159" t="s">
        <v>324</v>
      </c>
      <c r="K159" s="89">
        <f>IF(K$113&gt;2050,J159,
IF($H159="Modeled", INDEX('Fuel Model - Summary'!H:H,MATCH('Fuel Selector'!$B159,'Fuel Model - Summary'!$B:$B,0)),
IF($H159 = "External", INDEX('Fuel Cost - External'!H:H,MATCH('Fuel Selector'!$B159,'Fuel Cost - External'!$B:$B,0)),0)
))</f>
        <v>22.79491281909057</v>
      </c>
      <c r="L159" s="89">
        <f>IF(L$113&gt;2050,K159,
IF($H159="Modeled", INDEX('Fuel Model - Summary'!I:I,MATCH('Fuel Selector'!$B159,'Fuel Model - Summary'!$B:$B,0)),
IF($H159 = "External", INDEX('Fuel Cost - External'!I:I,MATCH('Fuel Selector'!$B159,'Fuel Cost - External'!$B:$B,0)),0)
))</f>
        <v>14.868948162184678</v>
      </c>
      <c r="M159" s="89">
        <f>IF(M$113&gt;2050,L159,
IF($H159="Modeled", INDEX('Fuel Model - Summary'!J:J,MATCH('Fuel Selector'!$B159,'Fuel Model - Summary'!$B:$B,0)),
IF($H159 = "External", INDEX('Fuel Cost - External'!J:J,MATCH('Fuel Selector'!$B159,'Fuel Cost - External'!$B:$B,0)),0)
))</f>
        <v>12.025970454349149</v>
      </c>
      <c r="N159" s="89">
        <f>IF(N$113&gt;2050,M159,
IF($H159="Modeled", INDEX('Fuel Model - Summary'!K:K,MATCH('Fuel Selector'!$B159,'Fuel Model - Summary'!$B:$B,0)),
IF($H159 = "External", INDEX('Fuel Cost - External'!K:K,MATCH('Fuel Selector'!$B159,'Fuel Cost - External'!$B:$B,0)),0)
))</f>
        <v>10.093629385813786</v>
      </c>
      <c r="O159" s="89">
        <f>IF(O$113&gt;2050,N159,
IF($H159="Modeled", INDEX('Fuel Model - Summary'!L:L,MATCH('Fuel Selector'!$B159,'Fuel Model - Summary'!$B:$B,0)),
IF($H159 = "External", INDEX('Fuel Cost - External'!L:L,MATCH('Fuel Selector'!$B159,'Fuel Cost - External'!$B:$B,0)),0)
))</f>
        <v>9.1111803702530558</v>
      </c>
      <c r="P159" s="89">
        <f>IF(P$113&gt;2050,O159,
IF($H159="Modeled", INDEX('Fuel Model - Summary'!M:M,MATCH('Fuel Selector'!$B159,'Fuel Model - Summary'!$B:$B,0)),
IF($H159 = "External", INDEX('Fuel Cost - External'!M:M,MATCH('Fuel Selector'!$B159,'Fuel Cost - External'!$B:$B,0)),0)
))</f>
        <v>8.0828233719010285</v>
      </c>
      <c r="Q159" s="89">
        <f>IF(Q$113&gt;2050,P159,
IF($H159="Modeled", INDEX('Fuel Model - Summary'!N:N,MATCH('Fuel Selector'!$B159,'Fuel Model - Summary'!$B:$B,0)),
IF($H159 = "External", INDEX('Fuel Cost - External'!N:N,MATCH('Fuel Selector'!$B159,'Fuel Cost - External'!$B:$B,0)),0)
))</f>
        <v>7.6112324830530635</v>
      </c>
      <c r="R159" s="89">
        <f>IF(R$113&gt;2050,Q159,
IF($H159="Modeled", INDEX('Fuel Model - Summary'!O:O,MATCH('Fuel Selector'!$B159,'Fuel Model - Summary'!$B:$B,0)),
IF($H159 = "External", INDEX('Fuel Cost - External'!O:O,MATCH('Fuel Selector'!$B159,'Fuel Cost - External'!$B:$B,0)),0)
))</f>
        <v>7.6112324830530635</v>
      </c>
      <c r="S159" s="89">
        <f>IF(S$113&gt;2050,R159,
IF($H159="Modeled", INDEX('Fuel Model - Summary'!P:P,MATCH('Fuel Selector'!$B159,'Fuel Model - Summary'!$B:$B,0)),
IF($H159 = "External", INDEX('Fuel Cost - External'!P:P,MATCH('Fuel Selector'!$B159,'Fuel Cost - External'!$B:$B,0)),0)
))</f>
        <v>7.6112324830530635</v>
      </c>
      <c r="T159" s="89">
        <f>IF(T$113&gt;2050,S159,
IF($H159="Modeled", INDEX('Fuel Model - Summary'!Q:Q,MATCH('Fuel Selector'!$B159,'Fuel Model - Summary'!$B:$B,0)),
IF($H159 = "External", INDEX('Fuel Cost - External'!Q:Q,MATCH('Fuel Selector'!$B159,'Fuel Cost - External'!$B:$B,0)),0)
))</f>
        <v>7.6112324830530635</v>
      </c>
      <c r="U159" s="89">
        <f>IF(U$113&gt;2050,T159,
IF($H159="Modeled", INDEX('Fuel Model - Summary'!R:R,MATCH('Fuel Selector'!$B159,'Fuel Model - Summary'!$B:$B,0)),
IF($H159 = "External", INDEX('Fuel Cost - External'!R:R,MATCH('Fuel Selector'!$B159,'Fuel Cost - External'!$B:$B,0)),0)
))</f>
        <v>7.6112324830530635</v>
      </c>
      <c r="V159" s="89">
        <f>IF(V$113&gt;2050,U159,
IF($H159="Modeled", INDEX('Fuel Model - Summary'!S:S,MATCH('Fuel Selector'!$B159,'Fuel Model - Summary'!$B:$B,0)),
IF($H159 = "External", INDEX('Fuel Cost - External'!S:S,MATCH('Fuel Selector'!$B159,'Fuel Cost - External'!$B:$B,0)),0)
))</f>
        <v>7.6112324830530635</v>
      </c>
    </row>
    <row r="160" spans="1:22" x14ac:dyDescent="0.2">
      <c r="A160" s="29">
        <f t="shared" si="140"/>
        <v>5</v>
      </c>
      <c r="B160" s="334" t="str">
        <f t="shared" si="137"/>
        <v>e-Ammonia - Asia - Fuel cost - USD/GJ</v>
      </c>
      <c r="C160" t="str" cm="1">
        <f t="array" ref="C160">INDEX(list_AE_fuel,A160)</f>
        <v>e-Ammonia</v>
      </c>
      <c r="D160"/>
      <c r="E160" t="str">
        <f t="shared" si="139"/>
        <v>Asia</v>
      </c>
      <c r="F160" t="str">
        <f t="shared" si="138"/>
        <v>Fuel cost - USD/GJ</v>
      </c>
      <c r="G160" s="226"/>
      <c r="H160" s="128" t="str" cm="1">
        <f t="array" ref="H160">INDEX('Configurator Specs.'!$CG$5:$CG$24,A160)</f>
        <v>Modeled</v>
      </c>
      <c r="I160" t="s">
        <v>324</v>
      </c>
      <c r="K160" s="89">
        <f>IF(K$113&gt;2050,J160,
IF($H160="Modeled", INDEX('Fuel Model - Summary'!H:H,MATCH('Fuel Selector'!$B160,'Fuel Model - Summary'!$B:$B,0)),
IF($H160 = "External", INDEX('Fuel Cost - External'!H:H,MATCH('Fuel Selector'!$B160,'Fuel Cost - External'!$B:$B,0)),0)
))</f>
        <v>84.020247505112607</v>
      </c>
      <c r="L160" s="89">
        <f>IF(L$113&gt;2050,K160,
IF($H160="Modeled", INDEX('Fuel Model - Summary'!I:I,MATCH('Fuel Selector'!$B160,'Fuel Model - Summary'!$B:$B,0)),
IF($H160 = "External", INDEX('Fuel Cost - External'!I:I,MATCH('Fuel Selector'!$B160,'Fuel Cost - External'!$B:$B,0)),0)
))</f>
        <v>56.947316889824634</v>
      </c>
      <c r="M160" s="89">
        <f>IF(M$113&gt;2050,L160,
IF($H160="Modeled", INDEX('Fuel Model - Summary'!J:J,MATCH('Fuel Selector'!$B160,'Fuel Model - Summary'!$B:$B,0)),
IF($H160 = "External", INDEX('Fuel Cost - External'!J:J,MATCH('Fuel Selector'!$B160,'Fuel Cost - External'!$B:$B,0)),0)
))</f>
        <v>40.250966224369471</v>
      </c>
      <c r="N160" s="89">
        <f>IF(N$113&gt;2050,M160,
IF($H160="Modeled", INDEX('Fuel Model - Summary'!K:K,MATCH('Fuel Selector'!$B160,'Fuel Model - Summary'!$B:$B,0)),
IF($H160 = "External", INDEX('Fuel Cost - External'!K:K,MATCH('Fuel Selector'!$B160,'Fuel Cost - External'!$B:$B,0)),0)
))</f>
        <v>35.341245080144517</v>
      </c>
      <c r="O160" s="89">
        <f>IF(O$113&gt;2050,N160,
IF($H160="Modeled", INDEX('Fuel Model - Summary'!L:L,MATCH('Fuel Selector'!$B160,'Fuel Model - Summary'!$B:$B,0)),
IF($H160 = "External", INDEX('Fuel Cost - External'!L:L,MATCH('Fuel Selector'!$B160,'Fuel Cost - External'!$B:$B,0)),0)
))</f>
        <v>30.732892074411858</v>
      </c>
      <c r="P160" s="89">
        <f>IF(P$113&gt;2050,O160,
IF($H160="Modeled", INDEX('Fuel Model - Summary'!M:M,MATCH('Fuel Selector'!$B160,'Fuel Model - Summary'!$B:$B,0)),
IF($H160 = "External", INDEX('Fuel Cost - External'!M:M,MATCH('Fuel Selector'!$B160,'Fuel Cost - External'!$B:$B,0)),0)
))</f>
        <v>25.171990444882127</v>
      </c>
      <c r="Q160" s="89">
        <f>IF(Q$113&gt;2050,P160,
IF($H160="Modeled", INDEX('Fuel Model - Summary'!N:N,MATCH('Fuel Selector'!$B160,'Fuel Model - Summary'!$B:$B,0)),
IF($H160 = "External", INDEX('Fuel Cost - External'!N:N,MATCH('Fuel Selector'!$B160,'Fuel Cost - External'!$B:$B,0)),0)
))</f>
        <v>20.621095840364077</v>
      </c>
      <c r="R160" s="89">
        <f>IF(R$113&gt;2050,Q160,
IF($H160="Modeled", INDEX('Fuel Model - Summary'!O:O,MATCH('Fuel Selector'!$B160,'Fuel Model - Summary'!$B:$B,0)),
IF($H160 = "External", INDEX('Fuel Cost - External'!O:O,MATCH('Fuel Selector'!$B160,'Fuel Cost - External'!$B:$B,0)),0)
))</f>
        <v>20.621095840364077</v>
      </c>
      <c r="S160" s="89">
        <f>IF(S$113&gt;2050,R160,
IF($H160="Modeled", INDEX('Fuel Model - Summary'!P:P,MATCH('Fuel Selector'!$B160,'Fuel Model - Summary'!$B:$B,0)),
IF($H160 = "External", INDEX('Fuel Cost - External'!P:P,MATCH('Fuel Selector'!$B160,'Fuel Cost - External'!$B:$B,0)),0)
))</f>
        <v>20.621095840364077</v>
      </c>
      <c r="T160" s="89">
        <f>IF(T$113&gt;2050,S160,
IF($H160="Modeled", INDEX('Fuel Model - Summary'!Q:Q,MATCH('Fuel Selector'!$B160,'Fuel Model - Summary'!$B:$B,0)),
IF($H160 = "External", INDEX('Fuel Cost - External'!Q:Q,MATCH('Fuel Selector'!$B160,'Fuel Cost - External'!$B:$B,0)),0)
))</f>
        <v>20.621095840364077</v>
      </c>
      <c r="U160" s="89">
        <f>IF(U$113&gt;2050,T160,
IF($H160="Modeled", INDEX('Fuel Model - Summary'!R:R,MATCH('Fuel Selector'!$B160,'Fuel Model - Summary'!$B:$B,0)),
IF($H160 = "External", INDEX('Fuel Cost - External'!R:R,MATCH('Fuel Selector'!$B160,'Fuel Cost - External'!$B:$B,0)),0)
))</f>
        <v>20.621095840364077</v>
      </c>
      <c r="V160" s="89">
        <f>IF(V$113&gt;2050,U160,
IF($H160="Modeled", INDEX('Fuel Model - Summary'!S:S,MATCH('Fuel Selector'!$B160,'Fuel Model - Summary'!$B:$B,0)),
IF($H160 = "External", INDEX('Fuel Cost - External'!S:S,MATCH('Fuel Selector'!$B160,'Fuel Cost - External'!$B:$B,0)),0)
))</f>
        <v>20.621095840364077</v>
      </c>
    </row>
    <row r="161" spans="1:22" x14ac:dyDescent="0.2">
      <c r="A161" s="29">
        <f t="shared" si="140"/>
        <v>6</v>
      </c>
      <c r="B161" s="334" t="str">
        <f t="shared" si="137"/>
        <v>Blue ammonia - Asia - Fuel cost - USD/GJ</v>
      </c>
      <c r="C161" t="str" cm="1">
        <f t="array" ref="C161">INDEX(list_AE_fuel,A161)</f>
        <v>Blue ammonia</v>
      </c>
      <c r="D161"/>
      <c r="E161" t="str">
        <f t="shared" si="139"/>
        <v>Asia</v>
      </c>
      <c r="F161" t="str">
        <f t="shared" si="138"/>
        <v>Fuel cost - USD/GJ</v>
      </c>
      <c r="G161" s="226"/>
      <c r="H161" s="128" t="str" cm="1">
        <f t="array" ref="H161">INDEX('Configurator Specs.'!$CG$5:$CG$24,A161)</f>
        <v>Modeled</v>
      </c>
      <c r="I161" t="s">
        <v>324</v>
      </c>
      <c r="K161" s="89">
        <f>IF(K$113&gt;2050,J161,
IF($H161="Modeled", INDEX('Fuel Model - Summary'!H:H,MATCH('Fuel Selector'!$B161,'Fuel Model - Summary'!$B:$B,0)),
IF($H161 = "External", INDEX('Fuel Cost - External'!H:H,MATCH('Fuel Selector'!$B161,'Fuel Cost - External'!$B:$B,0)),0)
))</f>
        <v>73.628023468236734</v>
      </c>
      <c r="L161" s="89">
        <f>IF(L$113&gt;2050,K161,
IF($H161="Modeled", INDEX('Fuel Model - Summary'!I:I,MATCH('Fuel Selector'!$B161,'Fuel Model - Summary'!$B:$B,0)),
IF($H161 = "External", INDEX('Fuel Cost - External'!I:I,MATCH('Fuel Selector'!$B161,'Fuel Cost - External'!$B:$B,0)),0)
))</f>
        <v>42.109677568101453</v>
      </c>
      <c r="M161" s="89">
        <f>IF(M$113&gt;2050,L161,
IF($H161="Modeled", INDEX('Fuel Model - Summary'!J:J,MATCH('Fuel Selector'!$B161,'Fuel Model - Summary'!$B:$B,0)),
IF($H161 = "External", INDEX('Fuel Cost - External'!J:J,MATCH('Fuel Selector'!$B161,'Fuel Cost - External'!$B:$B,0)),0)
))</f>
        <v>27.772625018813937</v>
      </c>
      <c r="N161" s="89">
        <f>IF(N$113&gt;2050,M161,
IF($H161="Modeled", INDEX('Fuel Model - Summary'!K:K,MATCH('Fuel Selector'!$B161,'Fuel Model - Summary'!$B:$B,0)),
IF($H161 = "External", INDEX('Fuel Cost - External'!K:K,MATCH('Fuel Selector'!$B161,'Fuel Cost - External'!$B:$B,0)),0)
))</f>
        <v>27.310347798707447</v>
      </c>
      <c r="O161" s="89">
        <f>IF(O$113&gt;2050,N161,
IF($H161="Modeled", INDEX('Fuel Model - Summary'!L:L,MATCH('Fuel Selector'!$B161,'Fuel Model - Summary'!$B:$B,0)),
IF($H161 = "External", INDEX('Fuel Cost - External'!L:L,MATCH('Fuel Selector'!$B161,'Fuel Cost - External'!$B:$B,0)),0)
))</f>
        <v>26.877973988847373</v>
      </c>
      <c r="P161" s="89">
        <f>IF(P$113&gt;2050,O161,
IF($H161="Modeled", INDEX('Fuel Model - Summary'!M:M,MATCH('Fuel Selector'!$B161,'Fuel Model - Summary'!$B:$B,0)),
IF($H161 = "External", INDEX('Fuel Cost - External'!M:M,MATCH('Fuel Selector'!$B161,'Fuel Cost - External'!$B:$B,0)),0)
))</f>
        <v>26.444154956618398</v>
      </c>
      <c r="Q161" s="89">
        <f>IF(Q$113&gt;2050,P161,
IF($H161="Modeled", INDEX('Fuel Model - Summary'!N:N,MATCH('Fuel Selector'!$B161,'Fuel Model - Summary'!$B:$B,0)),
IF($H161 = "External", INDEX('Fuel Cost - External'!N:N,MATCH('Fuel Selector'!$B161,'Fuel Cost - External'!$B:$B,0)),0)
))</f>
        <v>26.027863395360111</v>
      </c>
      <c r="R161" s="89">
        <f>IF(R$113&gt;2050,Q161,
IF($H161="Modeled", INDEX('Fuel Model - Summary'!O:O,MATCH('Fuel Selector'!$B161,'Fuel Model - Summary'!$B:$B,0)),
IF($H161 = "External", INDEX('Fuel Cost - External'!O:O,MATCH('Fuel Selector'!$B161,'Fuel Cost - External'!$B:$B,0)),0)
))</f>
        <v>26.027863395360111</v>
      </c>
      <c r="S161" s="89">
        <f>IF(S$113&gt;2050,R161,
IF($H161="Modeled", INDEX('Fuel Model - Summary'!P:P,MATCH('Fuel Selector'!$B161,'Fuel Model - Summary'!$B:$B,0)),
IF($H161 = "External", INDEX('Fuel Cost - External'!P:P,MATCH('Fuel Selector'!$B161,'Fuel Cost - External'!$B:$B,0)),0)
))</f>
        <v>26.027863395360111</v>
      </c>
      <c r="T161" s="89">
        <f>IF(T$113&gt;2050,S161,
IF($H161="Modeled", INDEX('Fuel Model - Summary'!Q:Q,MATCH('Fuel Selector'!$B161,'Fuel Model - Summary'!$B:$B,0)),
IF($H161 = "External", INDEX('Fuel Cost - External'!Q:Q,MATCH('Fuel Selector'!$B161,'Fuel Cost - External'!$B:$B,0)),0)
))</f>
        <v>26.027863395360111</v>
      </c>
      <c r="U161" s="89">
        <f>IF(U$113&gt;2050,T161,
IF($H161="Modeled", INDEX('Fuel Model - Summary'!R:R,MATCH('Fuel Selector'!$B161,'Fuel Model - Summary'!$B:$B,0)),
IF($H161 = "External", INDEX('Fuel Cost - External'!R:R,MATCH('Fuel Selector'!$B161,'Fuel Cost - External'!$B:$B,0)),0)
))</f>
        <v>26.027863395360111</v>
      </c>
      <c r="V161" s="89">
        <f>IF(V$113&gt;2050,U161,
IF($H161="Modeled", INDEX('Fuel Model - Summary'!S:S,MATCH('Fuel Selector'!$B161,'Fuel Model - Summary'!$B:$B,0)),
IF($H161 = "External", INDEX('Fuel Cost - External'!S:S,MATCH('Fuel Selector'!$B161,'Fuel Cost - External'!$B:$B,0)),0)
))</f>
        <v>26.027863395360111</v>
      </c>
    </row>
    <row r="162" spans="1:22" x14ac:dyDescent="0.2">
      <c r="A162" s="29">
        <f t="shared" si="140"/>
        <v>7</v>
      </c>
      <c r="B162" s="334" t="str">
        <f t="shared" si="137"/>
        <v>Biomethane - Asia - Fuel cost - USD/GJ</v>
      </c>
      <c r="C162" t="str" cm="1">
        <f t="array" ref="C162">INDEX(list_AE_fuel,A162)</f>
        <v>Biomethane</v>
      </c>
      <c r="D162"/>
      <c r="E162" t="str">
        <f t="shared" si="139"/>
        <v>Asia</v>
      </c>
      <c r="F162" t="str">
        <f t="shared" si="138"/>
        <v>Fuel cost - USD/GJ</v>
      </c>
      <c r="G162"/>
      <c r="H162" s="128" t="str" cm="1">
        <f t="array" ref="H162">INDEX('Configurator Specs.'!$CG$5:$CG$24,A162)</f>
        <v>Modeled</v>
      </c>
      <c r="I162" t="s">
        <v>324</v>
      </c>
      <c r="K162" s="89">
        <f>IF(K$113&gt;2050,J162,
IF($H162="Modeled", INDEX('Fuel Model - Summary'!H:H,MATCH('Fuel Selector'!$B162,'Fuel Model - Summary'!$B:$B,0)),
IF($H162 = "External", INDEX('Fuel Cost - External'!H:H,MATCH('Fuel Selector'!$B162,'Fuel Cost - External'!$B:$B,0)),0)
))</f>
        <v>25.655355807366615</v>
      </c>
      <c r="L162" s="89">
        <f>IF(L$113&gt;2050,K162,
IF($H162="Modeled", INDEX('Fuel Model - Summary'!I:I,MATCH('Fuel Selector'!$B162,'Fuel Model - Summary'!$B:$B,0)),
IF($H162 = "External", INDEX('Fuel Cost - External'!I:I,MATCH('Fuel Selector'!$B162,'Fuel Cost - External'!$B:$B,0)),0)
))</f>
        <v>23.157731712881386</v>
      </c>
      <c r="M162" s="89">
        <f>IF(M$113&gt;2050,L162,
IF($H162="Modeled", INDEX('Fuel Model - Summary'!J:J,MATCH('Fuel Selector'!$B162,'Fuel Model - Summary'!$B:$B,0)),
IF($H162 = "External", INDEX('Fuel Cost - External'!J:J,MATCH('Fuel Selector'!$B162,'Fuel Cost - External'!$B:$B,0)),0)
))</f>
        <v>21.467294770065969</v>
      </c>
      <c r="N162" s="89">
        <f>IF(N$113&gt;2050,M162,
IF($H162="Modeled", INDEX('Fuel Model - Summary'!K:K,MATCH('Fuel Selector'!$B162,'Fuel Model - Summary'!$B:$B,0)),
IF($H162 = "External", INDEX('Fuel Cost - External'!K:K,MATCH('Fuel Selector'!$B162,'Fuel Cost - External'!$B:$B,0)),0)
))</f>
        <v>20.040358427158125</v>
      </c>
      <c r="O162" s="89">
        <f>IF(O$113&gt;2050,N162,
IF($H162="Modeled", INDEX('Fuel Model - Summary'!L:L,MATCH('Fuel Selector'!$B162,'Fuel Model - Summary'!$B:$B,0)),
IF($H162 = "External", INDEX('Fuel Cost - External'!L:L,MATCH('Fuel Selector'!$B162,'Fuel Cost - External'!$B:$B,0)),0)
))</f>
        <v>18.694923459937517</v>
      </c>
      <c r="P162" s="89">
        <f>IF(P$113&gt;2050,O162,
IF($H162="Modeled", INDEX('Fuel Model - Summary'!M:M,MATCH('Fuel Selector'!$B162,'Fuel Model - Summary'!$B:$B,0)),
IF($H162 = "External", INDEX('Fuel Cost - External'!M:M,MATCH('Fuel Selector'!$B162,'Fuel Cost - External'!$B:$B,0)),0)
))</f>
        <v>17.343928789980616</v>
      </c>
      <c r="Q162" s="89">
        <f>IF(Q$113&gt;2050,P162,
IF($H162="Modeled", INDEX('Fuel Model - Summary'!N:N,MATCH('Fuel Selector'!$B162,'Fuel Model - Summary'!$B:$B,0)),
IF($H162 = "External", INDEX('Fuel Cost - External'!N:N,MATCH('Fuel Selector'!$B162,'Fuel Cost - External'!$B:$B,0)),0)
))</f>
        <v>16.041680065485654</v>
      </c>
      <c r="R162" s="89">
        <f>IF(R$113&gt;2050,Q162,
IF($H162="Modeled", INDEX('Fuel Model - Summary'!O:O,MATCH('Fuel Selector'!$B162,'Fuel Model - Summary'!$B:$B,0)),
IF($H162 = "External", INDEX('Fuel Cost - External'!O:O,MATCH('Fuel Selector'!$B162,'Fuel Cost - External'!$B:$B,0)),0)
))</f>
        <v>16.041680065485654</v>
      </c>
      <c r="S162" s="89">
        <f>IF(S$113&gt;2050,R162,
IF($H162="Modeled", INDEX('Fuel Model - Summary'!P:P,MATCH('Fuel Selector'!$B162,'Fuel Model - Summary'!$B:$B,0)),
IF($H162 = "External", INDEX('Fuel Cost - External'!P:P,MATCH('Fuel Selector'!$B162,'Fuel Cost - External'!$B:$B,0)),0)
))</f>
        <v>16.041680065485654</v>
      </c>
      <c r="T162" s="89">
        <f>IF(T$113&gt;2050,S162,
IF($H162="Modeled", INDEX('Fuel Model - Summary'!Q:Q,MATCH('Fuel Selector'!$B162,'Fuel Model - Summary'!$B:$B,0)),
IF($H162 = "External", INDEX('Fuel Cost - External'!Q:Q,MATCH('Fuel Selector'!$B162,'Fuel Cost - External'!$B:$B,0)),0)
))</f>
        <v>16.041680065485654</v>
      </c>
      <c r="U162" s="89">
        <f>IF(U$113&gt;2050,T162,
IF($H162="Modeled", INDEX('Fuel Model - Summary'!R:R,MATCH('Fuel Selector'!$B162,'Fuel Model - Summary'!$B:$B,0)),
IF($H162 = "External", INDEX('Fuel Cost - External'!R:R,MATCH('Fuel Selector'!$B162,'Fuel Cost - External'!$B:$B,0)),0)
))</f>
        <v>16.041680065485654</v>
      </c>
      <c r="V162" s="89">
        <f>IF(V$113&gt;2050,U162,
IF($H162="Modeled", INDEX('Fuel Model - Summary'!S:S,MATCH('Fuel Selector'!$B162,'Fuel Model - Summary'!$B:$B,0)),
IF($H162 = "External", INDEX('Fuel Cost - External'!S:S,MATCH('Fuel Selector'!$B162,'Fuel Cost - External'!$B:$B,0)),0)
))</f>
        <v>16.041680065485654</v>
      </c>
    </row>
    <row r="163" spans="1:22" x14ac:dyDescent="0.2">
      <c r="A163" s="29">
        <f t="shared" si="140"/>
        <v>8</v>
      </c>
      <c r="B163" s="334" t="str">
        <f t="shared" si="137"/>
        <v>e-Methane (DAC) - Asia - Fuel cost - USD/GJ</v>
      </c>
      <c r="C163" t="str" cm="1">
        <f t="array" ref="C163">INDEX(list_AE_fuel,A163)</f>
        <v>e-Methane (DAC)</v>
      </c>
      <c r="D163"/>
      <c r="E163" t="str">
        <f t="shared" si="139"/>
        <v>Asia</v>
      </c>
      <c r="F163" t="str">
        <f t="shared" si="138"/>
        <v>Fuel cost - USD/GJ</v>
      </c>
      <c r="G163" s="226"/>
      <c r="H163" s="128" t="str" cm="1">
        <f t="array" ref="H163">INDEX('Configurator Specs.'!$CG$5:$CG$24,A163)</f>
        <v>Modeled</v>
      </c>
      <c r="I163" t="s">
        <v>324</v>
      </c>
      <c r="K163" s="89">
        <f>IF(K$113&gt;2050,J163,
IF($H163="Modeled", INDEX('Fuel Model - Summary'!H:H,MATCH('Fuel Selector'!$B163,'Fuel Model - Summary'!$B:$B,0)),
IF($H163 = "External", INDEX('Fuel Cost - External'!H:H,MATCH('Fuel Selector'!$B163,'Fuel Cost - External'!$B:$B,0)),0)
))</f>
        <v>95.698006897112705</v>
      </c>
      <c r="L163" s="89">
        <f>IF(L$113&gt;2050,K163,
IF($H163="Modeled", INDEX('Fuel Model - Summary'!I:I,MATCH('Fuel Selector'!$B163,'Fuel Model - Summary'!$B:$B,0)),
IF($H163 = "External", INDEX('Fuel Cost - External'!I:I,MATCH('Fuel Selector'!$B163,'Fuel Cost - External'!$B:$B,0)),0)
))</f>
        <v>68.351785263688328</v>
      </c>
      <c r="M163" s="89">
        <f>IF(M$113&gt;2050,L163,
IF($H163="Modeled", INDEX('Fuel Model - Summary'!J:J,MATCH('Fuel Selector'!$B163,'Fuel Model - Summary'!$B:$B,0)),
IF($H163 = "External", INDEX('Fuel Cost - External'!J:J,MATCH('Fuel Selector'!$B163,'Fuel Cost - External'!$B:$B,0)),0)
))</f>
        <v>55.83498641183958</v>
      </c>
      <c r="N163" s="89">
        <f>IF(N$113&gt;2050,M163,
IF($H163="Modeled", INDEX('Fuel Model - Summary'!K:K,MATCH('Fuel Selector'!$B163,'Fuel Model - Summary'!$B:$B,0)),
IF($H163 = "External", INDEX('Fuel Cost - External'!K:K,MATCH('Fuel Selector'!$B163,'Fuel Cost - External'!$B:$B,0)),0)
))</f>
        <v>48.358228794754588</v>
      </c>
      <c r="O163" s="89">
        <f>IF(O$113&gt;2050,N163,
IF($H163="Modeled", INDEX('Fuel Model - Summary'!L:L,MATCH('Fuel Selector'!$B163,'Fuel Model - Summary'!$B:$B,0)),
IF($H163 = "External", INDEX('Fuel Cost - External'!L:L,MATCH('Fuel Selector'!$B163,'Fuel Cost - External'!$B:$B,0)),0)
))</f>
        <v>41.928770431409482</v>
      </c>
      <c r="P163" s="89">
        <f>IF(P$113&gt;2050,O163,
IF($H163="Modeled", INDEX('Fuel Model - Summary'!M:M,MATCH('Fuel Selector'!$B163,'Fuel Model - Summary'!$B:$B,0)),
IF($H163 = "External", INDEX('Fuel Cost - External'!M:M,MATCH('Fuel Selector'!$B163,'Fuel Cost - External'!$B:$B,0)),0)
))</f>
        <v>34.463112216253194</v>
      </c>
      <c r="Q163" s="89">
        <f>IF(Q$113&gt;2050,P163,
IF($H163="Modeled", INDEX('Fuel Model - Summary'!N:N,MATCH('Fuel Selector'!$B163,'Fuel Model - Summary'!$B:$B,0)),
IF($H163 = "External", INDEX('Fuel Cost - External'!N:N,MATCH('Fuel Selector'!$B163,'Fuel Cost - External'!$B:$B,0)),0)
))</f>
        <v>28.443733898286379</v>
      </c>
      <c r="R163" s="89">
        <f>IF(R$113&gt;2050,Q163,
IF($H163="Modeled", INDEX('Fuel Model - Summary'!O:O,MATCH('Fuel Selector'!$B163,'Fuel Model - Summary'!$B:$B,0)),
IF($H163 = "External", INDEX('Fuel Cost - External'!O:O,MATCH('Fuel Selector'!$B163,'Fuel Cost - External'!$B:$B,0)),0)
))</f>
        <v>28.443733898286379</v>
      </c>
      <c r="S163" s="89">
        <f>IF(S$113&gt;2050,R163,
IF($H163="Modeled", INDEX('Fuel Model - Summary'!P:P,MATCH('Fuel Selector'!$B163,'Fuel Model - Summary'!$B:$B,0)),
IF($H163 = "External", INDEX('Fuel Cost - External'!P:P,MATCH('Fuel Selector'!$B163,'Fuel Cost - External'!$B:$B,0)),0)
))</f>
        <v>28.443733898286379</v>
      </c>
      <c r="T163" s="89">
        <f>IF(T$113&gt;2050,S163,
IF($H163="Modeled", INDEX('Fuel Model - Summary'!Q:Q,MATCH('Fuel Selector'!$B163,'Fuel Model - Summary'!$B:$B,0)),
IF($H163 = "External", INDEX('Fuel Cost - External'!Q:Q,MATCH('Fuel Selector'!$B163,'Fuel Cost - External'!$B:$B,0)),0)
))</f>
        <v>28.443733898286379</v>
      </c>
      <c r="U163" s="89">
        <f>IF(U$113&gt;2050,T163,
IF($H163="Modeled", INDEX('Fuel Model - Summary'!R:R,MATCH('Fuel Selector'!$B163,'Fuel Model - Summary'!$B:$B,0)),
IF($H163 = "External", INDEX('Fuel Cost - External'!R:R,MATCH('Fuel Selector'!$B163,'Fuel Cost - External'!$B:$B,0)),0)
))</f>
        <v>28.443733898286379</v>
      </c>
      <c r="V163" s="89">
        <f>IF(V$113&gt;2050,U163,
IF($H163="Modeled", INDEX('Fuel Model - Summary'!S:S,MATCH('Fuel Selector'!$B163,'Fuel Model - Summary'!$B:$B,0)),
IF($H163 = "External", INDEX('Fuel Cost - External'!S:S,MATCH('Fuel Selector'!$B163,'Fuel Cost - External'!$B:$B,0)),0)
))</f>
        <v>28.443733898286379</v>
      </c>
    </row>
    <row r="164" spans="1:22" x14ac:dyDescent="0.2">
      <c r="A164" s="29">
        <f t="shared" si="140"/>
        <v>9</v>
      </c>
      <c r="B164" s="334" t="str">
        <f t="shared" si="137"/>
        <v>e-Methane (PS) - Asia - Fuel cost - USD/GJ</v>
      </c>
      <c r="C164" t="str" cm="1">
        <f t="array" ref="C164">INDEX(list_AE_fuel,A164)</f>
        <v>e-Methane (PS)</v>
      </c>
      <c r="D164"/>
      <c r="E164" t="str">
        <f t="shared" si="139"/>
        <v>Asia</v>
      </c>
      <c r="F164" t="str">
        <f t="shared" si="138"/>
        <v>Fuel cost - USD/GJ</v>
      </c>
      <c r="G164" s="226"/>
      <c r="H164" s="128" t="str" cm="1">
        <f t="array" ref="H164">INDEX('Configurator Specs.'!$CG$5:$CG$24,A164)</f>
        <v>Modeled</v>
      </c>
      <c r="I164" t="s">
        <v>324</v>
      </c>
      <c r="K164" s="89">
        <f>IF(K$113&gt;2050,J164,
IF($H164="Modeled", INDEX('Fuel Model - Summary'!H:H,MATCH('Fuel Selector'!$B164,'Fuel Model - Summary'!$B:$B,0)),
IF($H164 = "External", INDEX('Fuel Cost - External'!H:H,MATCH('Fuel Selector'!$B164,'Fuel Cost - External'!$B:$B,0)),0)
))</f>
        <v>85.082722192704182</v>
      </c>
      <c r="L164" s="89">
        <f>IF(L$113&gt;2050,K164,
IF($H164="Modeled", INDEX('Fuel Model - Summary'!I:I,MATCH('Fuel Selector'!$B164,'Fuel Model - Summary'!$B:$B,0)),
IF($H164 = "External", INDEX('Fuel Cost - External'!I:I,MATCH('Fuel Selector'!$B164,'Fuel Cost - External'!$B:$B,0)),0)
))</f>
        <v>62.142530355236723</v>
      </c>
      <c r="M164" s="89">
        <f>IF(M$113&gt;2050,L164,
IF($H164="Modeled", INDEX('Fuel Model - Summary'!J:J,MATCH('Fuel Selector'!$B164,'Fuel Model - Summary'!$B:$B,0)),
IF($H164 = "External", INDEX('Fuel Cost - External'!J:J,MATCH('Fuel Selector'!$B164,'Fuel Cost - External'!$B:$B,0)),0)
))</f>
        <v>50.977480515090576</v>
      </c>
      <c r="N164" s="89">
        <f>IF(N$113&gt;2050,M164,
IF($H164="Modeled", INDEX('Fuel Model - Summary'!K:K,MATCH('Fuel Selector'!$B164,'Fuel Model - Summary'!$B:$B,0)),
IF($H164 = "External", INDEX('Fuel Cost - External'!K:K,MATCH('Fuel Selector'!$B164,'Fuel Cost - External'!$B:$B,0)),0)
))</f>
        <v>44.994837746270811</v>
      </c>
      <c r="O164" s="89">
        <f>IF(O$113&gt;2050,N164,
IF($H164="Modeled", INDEX('Fuel Model - Summary'!L:L,MATCH('Fuel Selector'!$B164,'Fuel Model - Summary'!$B:$B,0)),
IF($H164 = "External", INDEX('Fuel Cost - External'!L:L,MATCH('Fuel Selector'!$B164,'Fuel Cost - External'!$B:$B,0)),0)
))</f>
        <v>39.403159778535077</v>
      </c>
      <c r="P164" s="89">
        <f>IF(P$113&gt;2050,O164,
IF($H164="Modeled", INDEX('Fuel Model - Summary'!M:M,MATCH('Fuel Selector'!$B164,'Fuel Model - Summary'!$B:$B,0)),
IF($H164 = "External", INDEX('Fuel Cost - External'!M:M,MATCH('Fuel Selector'!$B164,'Fuel Cost - External'!$B:$B,0)),0)
))</f>
        <v>32.579405261043128</v>
      </c>
      <c r="Q164" s="89">
        <f>IF(Q$113&gt;2050,P164,
IF($H164="Modeled", INDEX('Fuel Model - Summary'!N:N,MATCH('Fuel Selector'!$B164,'Fuel Model - Summary'!$B:$B,0)),
IF($H164 = "External", INDEX('Fuel Cost - External'!N:N,MATCH('Fuel Selector'!$B164,'Fuel Cost - External'!$B:$B,0)),0)
))</f>
        <v>26.855986103732405</v>
      </c>
      <c r="R164" s="89">
        <f>IF(R$113&gt;2050,Q164,
IF($H164="Modeled", INDEX('Fuel Model - Summary'!O:O,MATCH('Fuel Selector'!$B164,'Fuel Model - Summary'!$B:$B,0)),
IF($H164 = "External", INDEX('Fuel Cost - External'!O:O,MATCH('Fuel Selector'!$B164,'Fuel Cost - External'!$B:$B,0)),0)
))</f>
        <v>26.855986103732405</v>
      </c>
      <c r="S164" s="89">
        <f>IF(S$113&gt;2050,R164,
IF($H164="Modeled", INDEX('Fuel Model - Summary'!P:P,MATCH('Fuel Selector'!$B164,'Fuel Model - Summary'!$B:$B,0)),
IF($H164 = "External", INDEX('Fuel Cost - External'!P:P,MATCH('Fuel Selector'!$B164,'Fuel Cost - External'!$B:$B,0)),0)
))</f>
        <v>26.855986103732405</v>
      </c>
      <c r="T164" s="89">
        <f>IF(T$113&gt;2050,S164,
IF($H164="Modeled", INDEX('Fuel Model - Summary'!Q:Q,MATCH('Fuel Selector'!$B164,'Fuel Model - Summary'!$B:$B,0)),
IF($H164 = "External", INDEX('Fuel Cost - External'!Q:Q,MATCH('Fuel Selector'!$B164,'Fuel Cost - External'!$B:$B,0)),0)
))</f>
        <v>26.855986103732405</v>
      </c>
      <c r="U164" s="89">
        <f>IF(U$113&gt;2050,T164,
IF($H164="Modeled", INDEX('Fuel Model - Summary'!R:R,MATCH('Fuel Selector'!$B164,'Fuel Model - Summary'!$B:$B,0)),
IF($H164 = "External", INDEX('Fuel Cost - External'!R:R,MATCH('Fuel Selector'!$B164,'Fuel Cost - External'!$B:$B,0)),0)
))</f>
        <v>26.855986103732405</v>
      </c>
      <c r="V164" s="89">
        <f>IF(V$113&gt;2050,U164,
IF($H164="Modeled", INDEX('Fuel Model - Summary'!S:S,MATCH('Fuel Selector'!$B164,'Fuel Model - Summary'!$B:$B,0)),
IF($H164 = "External", INDEX('Fuel Cost - External'!S:S,MATCH('Fuel Selector'!$B164,'Fuel Cost - External'!$B:$B,0)),0)
))</f>
        <v>26.855986103732405</v>
      </c>
    </row>
    <row r="165" spans="1:22" x14ac:dyDescent="0.2">
      <c r="A165" s="29">
        <f t="shared" si="140"/>
        <v>10</v>
      </c>
      <c r="B165" s="334" t="str">
        <f t="shared" si="137"/>
        <v>Biomethanol - Asia - Fuel cost - USD/GJ</v>
      </c>
      <c r="C165" t="str" cm="1">
        <f t="array" ref="C165">INDEX(list_AE_fuel,A165)</f>
        <v>Biomethanol</v>
      </c>
      <c r="D165"/>
      <c r="E165" t="str">
        <f t="shared" si="139"/>
        <v>Asia</v>
      </c>
      <c r="F165" t="str">
        <f t="shared" si="138"/>
        <v>Fuel cost - USD/GJ</v>
      </c>
      <c r="G165"/>
      <c r="H165" s="128" t="str" cm="1">
        <f t="array" ref="H165">INDEX('Configurator Specs.'!$CG$5:$CG$24,A165)</f>
        <v>Modeled</v>
      </c>
      <c r="I165" t="s">
        <v>324</v>
      </c>
      <c r="K165" s="89">
        <f>IF(K$113&gt;2050,J165,
IF($H165="Modeled", INDEX('Fuel Model - Summary'!H:H,MATCH('Fuel Selector'!$B165,'Fuel Model - Summary'!$B:$B,0)),
IF($H165 = "External", INDEX('Fuel Cost - External'!H:H,MATCH('Fuel Selector'!$B165,'Fuel Cost - External'!$B:$B,0)),0)
))</f>
        <v>49.595541492943788</v>
      </c>
      <c r="L165" s="89">
        <f>IF(L$113&gt;2050,K165,
IF($H165="Modeled", INDEX('Fuel Model - Summary'!I:I,MATCH('Fuel Selector'!$B165,'Fuel Model - Summary'!$B:$B,0)),
IF($H165 = "External", INDEX('Fuel Cost - External'!I:I,MATCH('Fuel Selector'!$B165,'Fuel Cost - External'!$B:$B,0)),0)
))</f>
        <v>34.237215353495984</v>
      </c>
      <c r="M165" s="89">
        <f>IF(M$113&gt;2050,L165,
IF($H165="Modeled", INDEX('Fuel Model - Summary'!J:J,MATCH('Fuel Selector'!$B165,'Fuel Model - Summary'!$B:$B,0)),
IF($H165 = "External", INDEX('Fuel Cost - External'!J:J,MATCH('Fuel Selector'!$B165,'Fuel Cost - External'!$B:$B,0)),0)
))</f>
        <v>28.615793624385226</v>
      </c>
      <c r="N165" s="89">
        <f>IF(N$113&gt;2050,M165,
IF($H165="Modeled", INDEX('Fuel Model - Summary'!K:K,MATCH('Fuel Selector'!$B165,'Fuel Model - Summary'!$B:$B,0)),
IF($H165 = "External", INDEX('Fuel Cost - External'!K:K,MATCH('Fuel Selector'!$B165,'Fuel Cost - External'!$B:$B,0)),0)
))</f>
        <v>26.310919629915695</v>
      </c>
      <c r="O165" s="89">
        <f>IF(O$113&gt;2050,N165,
IF($H165="Modeled", INDEX('Fuel Model - Summary'!L:L,MATCH('Fuel Selector'!$B165,'Fuel Model - Summary'!$B:$B,0)),
IF($H165 = "External", INDEX('Fuel Cost - External'!L:L,MATCH('Fuel Selector'!$B165,'Fuel Cost - External'!$B:$B,0)),0)
))</f>
        <v>24.09676401693002</v>
      </c>
      <c r="P165" s="89">
        <f>IF(P$113&gt;2050,O165,
IF($H165="Modeled", INDEX('Fuel Model - Summary'!M:M,MATCH('Fuel Selector'!$B165,'Fuel Model - Summary'!$B:$B,0)),
IF($H165 = "External", INDEX('Fuel Cost - External'!M:M,MATCH('Fuel Selector'!$B165,'Fuel Cost - External'!$B:$B,0)),0)
))</f>
        <v>22.749814954613253</v>
      </c>
      <c r="Q165" s="89">
        <f>IF(Q$113&gt;2050,P165,
IF($H165="Modeled", INDEX('Fuel Model - Summary'!N:N,MATCH('Fuel Selector'!$B165,'Fuel Model - Summary'!$B:$B,0)),
IF($H165 = "External", INDEX('Fuel Cost - External'!N:N,MATCH('Fuel Selector'!$B165,'Fuel Cost - External'!$B:$B,0)),0)
))</f>
        <v>21.516449125800516</v>
      </c>
      <c r="R165" s="89">
        <f>IF(R$113&gt;2050,Q165,
IF($H165="Modeled", INDEX('Fuel Model - Summary'!O:O,MATCH('Fuel Selector'!$B165,'Fuel Model - Summary'!$B:$B,0)),
IF($H165 = "External", INDEX('Fuel Cost - External'!O:O,MATCH('Fuel Selector'!$B165,'Fuel Cost - External'!$B:$B,0)),0)
))</f>
        <v>21.516449125800516</v>
      </c>
      <c r="S165" s="89">
        <f>IF(S$113&gt;2050,R165,
IF($H165="Modeled", INDEX('Fuel Model - Summary'!P:P,MATCH('Fuel Selector'!$B165,'Fuel Model - Summary'!$B:$B,0)),
IF($H165 = "External", INDEX('Fuel Cost - External'!P:P,MATCH('Fuel Selector'!$B165,'Fuel Cost - External'!$B:$B,0)),0)
))</f>
        <v>21.516449125800516</v>
      </c>
      <c r="T165" s="89">
        <f>IF(T$113&gt;2050,S165,
IF($H165="Modeled", INDEX('Fuel Model - Summary'!Q:Q,MATCH('Fuel Selector'!$B165,'Fuel Model - Summary'!$B:$B,0)),
IF($H165 = "External", INDEX('Fuel Cost - External'!Q:Q,MATCH('Fuel Selector'!$B165,'Fuel Cost - External'!$B:$B,0)),0)
))</f>
        <v>21.516449125800516</v>
      </c>
      <c r="U165" s="89">
        <f>IF(U$113&gt;2050,T165,
IF($H165="Modeled", INDEX('Fuel Model - Summary'!R:R,MATCH('Fuel Selector'!$B165,'Fuel Model - Summary'!$B:$B,0)),
IF($H165 = "External", INDEX('Fuel Cost - External'!R:R,MATCH('Fuel Selector'!$B165,'Fuel Cost - External'!$B:$B,0)),0)
))</f>
        <v>21.516449125800516</v>
      </c>
      <c r="V165" s="89">
        <f>IF(V$113&gt;2050,U165,
IF($H165="Modeled", INDEX('Fuel Model - Summary'!S:S,MATCH('Fuel Selector'!$B165,'Fuel Model - Summary'!$B:$B,0)),
IF($H165 = "External", INDEX('Fuel Cost - External'!S:S,MATCH('Fuel Selector'!$B165,'Fuel Cost - External'!$B:$B,0)),0)
))</f>
        <v>21.516449125800516</v>
      </c>
    </row>
    <row r="166" spans="1:22" x14ac:dyDescent="0.2">
      <c r="A166" s="29">
        <f t="shared" si="140"/>
        <v>11</v>
      </c>
      <c r="B166" s="334" t="str">
        <f t="shared" si="137"/>
        <v>e-Methanol (DAC) - Asia - Fuel cost - USD/GJ</v>
      </c>
      <c r="C166" t="str" cm="1">
        <f t="array" ref="C166">INDEX(list_AE_fuel,A166)</f>
        <v>e-Methanol (DAC)</v>
      </c>
      <c r="D166"/>
      <c r="E166" t="str">
        <f t="shared" si="139"/>
        <v>Asia</v>
      </c>
      <c r="F166" t="str">
        <f t="shared" si="138"/>
        <v>Fuel cost - USD/GJ</v>
      </c>
      <c r="G166"/>
      <c r="H166" s="128" t="str" cm="1">
        <f t="array" ref="H166">INDEX('Configurator Specs.'!$CG$5:$CG$24,A166)</f>
        <v>Modeled</v>
      </c>
      <c r="I166" t="s">
        <v>324</v>
      </c>
      <c r="K166" s="89">
        <f>IF(K$113&gt;2050,J166,
IF($H166="Modeled", INDEX('Fuel Model - Summary'!H:H,MATCH('Fuel Selector'!$B166,'Fuel Model - Summary'!$B:$B,0)),
IF($H166 = "External", INDEX('Fuel Cost - External'!H:H,MATCH('Fuel Selector'!$B166,'Fuel Cost - External'!$B:$B,0)),0)
))</f>
        <v>115.15412895300317</v>
      </c>
      <c r="L166" s="89">
        <f>IF(L$113&gt;2050,K166,
IF($H166="Modeled", INDEX('Fuel Model - Summary'!I:I,MATCH('Fuel Selector'!$B166,'Fuel Model - Summary'!$B:$B,0)),
IF($H166 = "External", INDEX('Fuel Cost - External'!I:I,MATCH('Fuel Selector'!$B166,'Fuel Cost - External'!$B:$B,0)),0)
))</f>
        <v>82.217590513062888</v>
      </c>
      <c r="M166" s="89">
        <f>IF(M$113&gt;2050,L166,
IF($H166="Modeled", INDEX('Fuel Model - Summary'!J:J,MATCH('Fuel Selector'!$B166,'Fuel Model - Summary'!$B:$B,0)),
IF($H166 = "External", INDEX('Fuel Cost - External'!J:J,MATCH('Fuel Selector'!$B166,'Fuel Cost - External'!$B:$B,0)),0)
))</f>
        <v>65.13474799130509</v>
      </c>
      <c r="N166" s="89">
        <f>IF(N$113&gt;2050,M166,
IF($H166="Modeled", INDEX('Fuel Model - Summary'!K:K,MATCH('Fuel Selector'!$B166,'Fuel Model - Summary'!$B:$B,0)),
IF($H166 = "External", INDEX('Fuel Cost - External'!K:K,MATCH('Fuel Selector'!$B166,'Fuel Cost - External'!$B:$B,0)),0)
))</f>
        <v>55.837293130757857</v>
      </c>
      <c r="O166" s="89">
        <f>IF(O$113&gt;2050,N166,
IF($H166="Modeled", INDEX('Fuel Model - Summary'!L:L,MATCH('Fuel Selector'!$B166,'Fuel Model - Summary'!$B:$B,0)),
IF($H166 = "External", INDEX('Fuel Cost - External'!L:L,MATCH('Fuel Selector'!$B166,'Fuel Cost - External'!$B:$B,0)),0)
))</f>
        <v>47.987678372706142</v>
      </c>
      <c r="P166" s="89">
        <f>IF(P$113&gt;2050,O166,
IF($H166="Modeled", INDEX('Fuel Model - Summary'!M:M,MATCH('Fuel Selector'!$B166,'Fuel Model - Summary'!$B:$B,0)),
IF($H166 = "External", INDEX('Fuel Cost - External'!M:M,MATCH('Fuel Selector'!$B166,'Fuel Cost - External'!$B:$B,0)),0)
))</f>
        <v>38.941500037055349</v>
      </c>
      <c r="Q166" s="89">
        <f>IF(Q$113&gt;2050,P166,
IF($H166="Modeled", INDEX('Fuel Model - Summary'!N:N,MATCH('Fuel Selector'!$B166,'Fuel Model - Summary'!$B:$B,0)),
IF($H166 = "External", INDEX('Fuel Cost - External'!N:N,MATCH('Fuel Selector'!$B166,'Fuel Cost - External'!$B:$B,0)),0)
))</f>
        <v>31.520780128647832</v>
      </c>
      <c r="R166" s="89">
        <f>IF(R$113&gt;2050,Q166,
IF($H166="Modeled", INDEX('Fuel Model - Summary'!O:O,MATCH('Fuel Selector'!$B166,'Fuel Model - Summary'!$B:$B,0)),
IF($H166 = "External", INDEX('Fuel Cost - External'!O:O,MATCH('Fuel Selector'!$B166,'Fuel Cost - External'!$B:$B,0)),0)
))</f>
        <v>31.520780128647832</v>
      </c>
      <c r="S166" s="89">
        <f>IF(S$113&gt;2050,R166,
IF($H166="Modeled", INDEX('Fuel Model - Summary'!P:P,MATCH('Fuel Selector'!$B166,'Fuel Model - Summary'!$B:$B,0)),
IF($H166 = "External", INDEX('Fuel Cost - External'!P:P,MATCH('Fuel Selector'!$B166,'Fuel Cost - External'!$B:$B,0)),0)
))</f>
        <v>31.520780128647832</v>
      </c>
      <c r="T166" s="89">
        <f>IF(T$113&gt;2050,S166,
IF($H166="Modeled", INDEX('Fuel Model - Summary'!Q:Q,MATCH('Fuel Selector'!$B166,'Fuel Model - Summary'!$B:$B,0)),
IF($H166 = "External", INDEX('Fuel Cost - External'!Q:Q,MATCH('Fuel Selector'!$B166,'Fuel Cost - External'!$B:$B,0)),0)
))</f>
        <v>31.520780128647832</v>
      </c>
      <c r="U166" s="89">
        <f>IF(U$113&gt;2050,T166,
IF($H166="Modeled", INDEX('Fuel Model - Summary'!R:R,MATCH('Fuel Selector'!$B166,'Fuel Model - Summary'!$B:$B,0)),
IF($H166 = "External", INDEX('Fuel Cost - External'!R:R,MATCH('Fuel Selector'!$B166,'Fuel Cost - External'!$B:$B,0)),0)
))</f>
        <v>31.520780128647832</v>
      </c>
      <c r="V166" s="89">
        <f>IF(V$113&gt;2050,U166,
IF($H166="Modeled", INDEX('Fuel Model - Summary'!S:S,MATCH('Fuel Selector'!$B166,'Fuel Model - Summary'!$B:$B,0)),
IF($H166 = "External", INDEX('Fuel Cost - External'!S:S,MATCH('Fuel Selector'!$B166,'Fuel Cost - External'!$B:$B,0)),0)
))</f>
        <v>31.520780128647832</v>
      </c>
    </row>
    <row r="167" spans="1:22" x14ac:dyDescent="0.2">
      <c r="A167" s="29">
        <f t="shared" si="140"/>
        <v>12</v>
      </c>
      <c r="B167" s="334" t="str">
        <f t="shared" si="137"/>
        <v>e-Methanol (PS) - Asia - Fuel cost - USD/GJ</v>
      </c>
      <c r="C167" t="str" cm="1">
        <f t="array" ref="C167">INDEX(list_AE_fuel,A167)</f>
        <v>e-Methanol (PS)</v>
      </c>
      <c r="D167"/>
      <c r="E167" t="str">
        <f>E166</f>
        <v>Asia</v>
      </c>
      <c r="F167" t="str">
        <f t="shared" si="138"/>
        <v>Fuel cost - USD/GJ</v>
      </c>
      <c r="G167"/>
      <c r="H167" s="128" t="str" cm="1">
        <f t="array" ref="H167">INDEX('Configurator Specs.'!$CG$5:$CG$24,A167)</f>
        <v>Modeled</v>
      </c>
      <c r="I167" t="s">
        <v>324</v>
      </c>
      <c r="K167" s="89">
        <f>IF(K$113&gt;2050,J167,
IF($H167="Modeled", INDEX('Fuel Model - Summary'!H:H,MATCH('Fuel Selector'!$B167,'Fuel Model - Summary'!$B:$B,0)),
IF($H167 = "External", INDEX('Fuel Cost - External'!H:H,MATCH('Fuel Selector'!$B167,'Fuel Cost - External'!$B:$B,0)),0)
))</f>
        <v>101.80086387377446</v>
      </c>
      <c r="L167" s="89">
        <f>IF(L$113&gt;2050,K167,
IF($H167="Modeled", INDEX('Fuel Model - Summary'!I:I,MATCH('Fuel Selector'!$B167,'Fuel Model - Summary'!$B:$B,0)),
IF($H167 = "External", INDEX('Fuel Cost - External'!I:I,MATCH('Fuel Selector'!$B167,'Fuel Cost - External'!$B:$B,0)),0)
))</f>
        <v>74.406794190037999</v>
      </c>
      <c r="M167" s="89">
        <f>IF(M$113&gt;2050,L167,
IF($H167="Modeled", INDEX('Fuel Model - Summary'!J:J,MATCH('Fuel Selector'!$B167,'Fuel Model - Summary'!$B:$B,0)),
IF($H167 = "External", INDEX('Fuel Cost - External'!J:J,MATCH('Fuel Selector'!$B167,'Fuel Cost - External'!$B:$B,0)),0)
))</f>
        <v>59.024354754629265</v>
      </c>
      <c r="N167" s="89">
        <f>IF(N$113&gt;2050,M167,
IF($H167="Modeled", INDEX('Fuel Model - Summary'!K:K,MATCH('Fuel Selector'!$B167,'Fuel Model - Summary'!$B:$B,0)),
IF($H167 = "External", INDEX('Fuel Cost - External'!K:K,MATCH('Fuel Selector'!$B167,'Fuel Cost - External'!$B:$B,0)),0)
))</f>
        <v>51.606388968869766</v>
      </c>
      <c r="O167" s="89">
        <f>IF(O$113&gt;2050,N167,
IF($H167="Modeled", INDEX('Fuel Model - Summary'!L:L,MATCH('Fuel Selector'!$B167,'Fuel Model - Summary'!$B:$B,0)),
IF($H167 = "External", INDEX('Fuel Cost - External'!L:L,MATCH('Fuel Selector'!$B167,'Fuel Cost - External'!$B:$B,0)),0)
))</f>
        <v>44.810641724715929</v>
      </c>
      <c r="P167" s="89">
        <f>IF(P$113&gt;2050,O167,
IF($H167="Modeled", INDEX('Fuel Model - Summary'!M:M,MATCH('Fuel Selector'!$B167,'Fuel Model - Summary'!$B:$B,0)),
IF($H167 = "External", INDEX('Fuel Cost - External'!M:M,MATCH('Fuel Selector'!$B167,'Fuel Cost - External'!$B:$B,0)),0)
))</f>
        <v>36.571932097529377</v>
      </c>
      <c r="Q167" s="89">
        <f>IF(Q$113&gt;2050,P167,
IF($H167="Modeled", INDEX('Fuel Model - Summary'!N:N,MATCH('Fuel Selector'!$B167,'Fuel Model - Summary'!$B:$B,0)),
IF($H167 = "External", INDEX('Fuel Cost - External'!N:N,MATCH('Fuel Selector'!$B167,'Fuel Cost - External'!$B:$B,0)),0)
))</f>
        <v>29.523507538225928</v>
      </c>
      <c r="R167" s="89">
        <f>IF(R$113&gt;2050,Q167,
IF($H167="Modeled", INDEX('Fuel Model - Summary'!O:O,MATCH('Fuel Selector'!$B167,'Fuel Model - Summary'!$B:$B,0)),
IF($H167 = "External", INDEX('Fuel Cost - External'!O:O,MATCH('Fuel Selector'!$B167,'Fuel Cost - External'!$B:$B,0)),0)
))</f>
        <v>29.523507538225928</v>
      </c>
      <c r="S167" s="89">
        <f>IF(S$113&gt;2050,R167,
IF($H167="Modeled", INDEX('Fuel Model - Summary'!P:P,MATCH('Fuel Selector'!$B167,'Fuel Model - Summary'!$B:$B,0)),
IF($H167 = "External", INDEX('Fuel Cost - External'!P:P,MATCH('Fuel Selector'!$B167,'Fuel Cost - External'!$B:$B,0)),0)
))</f>
        <v>29.523507538225928</v>
      </c>
      <c r="T167" s="89">
        <f>IF(T$113&gt;2050,S167,
IF($H167="Modeled", INDEX('Fuel Model - Summary'!Q:Q,MATCH('Fuel Selector'!$B167,'Fuel Model - Summary'!$B:$B,0)),
IF($H167 = "External", INDEX('Fuel Cost - External'!Q:Q,MATCH('Fuel Selector'!$B167,'Fuel Cost - External'!$B:$B,0)),0)
))</f>
        <v>29.523507538225928</v>
      </c>
      <c r="U167" s="89">
        <f>IF(U$113&gt;2050,T167,
IF($H167="Modeled", INDEX('Fuel Model - Summary'!R:R,MATCH('Fuel Selector'!$B167,'Fuel Model - Summary'!$B:$B,0)),
IF($H167 = "External", INDEX('Fuel Cost - External'!R:R,MATCH('Fuel Selector'!$B167,'Fuel Cost - External'!$B:$B,0)),0)
))</f>
        <v>29.523507538225928</v>
      </c>
      <c r="V167" s="89">
        <f>IF(V$113&gt;2050,U167,
IF($H167="Modeled", INDEX('Fuel Model - Summary'!S:S,MATCH('Fuel Selector'!$B167,'Fuel Model - Summary'!$B:$B,0)),
IF($H167 = "External", INDEX('Fuel Cost - External'!S:S,MATCH('Fuel Selector'!$B167,'Fuel Cost - External'!$B:$B,0)),0)
))</f>
        <v>29.523507538225928</v>
      </c>
    </row>
    <row r="168" spans="1:22" x14ac:dyDescent="0.2">
      <c r="A168" s="29">
        <f t="shared" si="140"/>
        <v>13</v>
      </c>
      <c r="B168" s="334" t="str">
        <f t="shared" si="137"/>
        <v>Biodiesel (HtL) - Asia - Fuel cost - USD/GJ</v>
      </c>
      <c r="C168" t="str" cm="1">
        <f t="array" ref="C168">INDEX(list_AE_fuel,A168)</f>
        <v>Biodiesel (HtL)</v>
      </c>
      <c r="D168"/>
      <c r="E168" t="str">
        <f t="shared" ref="E168:E175" si="141">E167</f>
        <v>Asia</v>
      </c>
      <c r="F168" t="str">
        <f t="shared" si="138"/>
        <v>Fuel cost - USD/GJ</v>
      </c>
      <c r="G168"/>
      <c r="H168" s="128" t="str" cm="1">
        <f t="array" ref="H168">INDEX('Configurator Specs.'!$CG$5:$CG$24,A168)</f>
        <v>Modeled</v>
      </c>
      <c r="I168" t="s">
        <v>324</v>
      </c>
      <c r="K168" s="89">
        <f>IF(K$113&gt;2050,J168,
IF($H168="Modeled", INDEX('Fuel Model - Summary'!H:H,MATCH('Fuel Selector'!$B168,'Fuel Model - Summary'!$B:$B,0)),
IF($H168 = "External", INDEX('Fuel Cost - External'!H:H,MATCH('Fuel Selector'!$B168,'Fuel Cost - External'!$B:$B,0)),0)
))</f>
        <v>159.96117243513348</v>
      </c>
      <c r="L168" s="89">
        <f>IF(L$113&gt;2050,K168,
IF($H168="Modeled", INDEX('Fuel Model - Summary'!I:I,MATCH('Fuel Selector'!$B168,'Fuel Model - Summary'!$B:$B,0)),
IF($H168 = "External", INDEX('Fuel Cost - External'!I:I,MATCH('Fuel Selector'!$B168,'Fuel Cost - External'!$B:$B,0)),0)
))</f>
        <v>52.424948872561735</v>
      </c>
      <c r="M168" s="89">
        <f>IF(M$113&gt;2050,L168,
IF($H168="Modeled", INDEX('Fuel Model - Summary'!J:J,MATCH('Fuel Selector'!$B168,'Fuel Model - Summary'!$B:$B,0)),
IF($H168 = "External", INDEX('Fuel Cost - External'!J:J,MATCH('Fuel Selector'!$B168,'Fuel Cost - External'!$B:$B,0)),0)
))</f>
        <v>23.107182510230455</v>
      </c>
      <c r="N168" s="89">
        <f>IF(N$113&gt;2050,M168,
IF($H168="Modeled", INDEX('Fuel Model - Summary'!K:K,MATCH('Fuel Selector'!$B168,'Fuel Model - Summary'!$B:$B,0)),
IF($H168 = "External", INDEX('Fuel Cost - External'!K:K,MATCH('Fuel Selector'!$B168,'Fuel Cost - External'!$B:$B,0)),0)
))</f>
        <v>22.649839111794744</v>
      </c>
      <c r="O168" s="89">
        <f>IF(O$113&gt;2050,N168,
IF($H168="Modeled", INDEX('Fuel Model - Summary'!L:L,MATCH('Fuel Selector'!$B168,'Fuel Model - Summary'!$B:$B,0)),
IF($H168 = "External", INDEX('Fuel Cost - External'!L:L,MATCH('Fuel Selector'!$B168,'Fuel Cost - External'!$B:$B,0)),0)
))</f>
        <v>22.247126853115102</v>
      </c>
      <c r="P168" s="89">
        <f>IF(P$113&gt;2050,O168,
IF($H168="Modeled", INDEX('Fuel Model - Summary'!M:M,MATCH('Fuel Selector'!$B168,'Fuel Model - Summary'!$B:$B,0)),
IF($H168 = "External", INDEX('Fuel Cost - External'!M:M,MATCH('Fuel Selector'!$B168,'Fuel Cost - External'!$B:$B,0)),0)
))</f>
        <v>21.679610023163871</v>
      </c>
      <c r="Q168" s="89">
        <f>IF(Q$113&gt;2050,P168,
IF($H168="Modeled", INDEX('Fuel Model - Summary'!N:N,MATCH('Fuel Selector'!$B168,'Fuel Model - Summary'!$B:$B,0)),
IF($H168 = "External", INDEX('Fuel Cost - External'!N:N,MATCH('Fuel Selector'!$B168,'Fuel Cost - External'!$B:$B,0)),0)
))</f>
        <v>20.784443855779418</v>
      </c>
      <c r="R168" s="89">
        <f>IF(R$113&gt;2050,Q168,
IF($H168="Modeled", INDEX('Fuel Model - Summary'!O:O,MATCH('Fuel Selector'!$B168,'Fuel Model - Summary'!$B:$B,0)),
IF($H168 = "External", INDEX('Fuel Cost - External'!O:O,MATCH('Fuel Selector'!$B168,'Fuel Cost - External'!$B:$B,0)),0)
))</f>
        <v>20.784443855779418</v>
      </c>
      <c r="S168" s="89">
        <f>IF(S$113&gt;2050,R168,
IF($H168="Modeled", INDEX('Fuel Model - Summary'!P:P,MATCH('Fuel Selector'!$B168,'Fuel Model - Summary'!$B:$B,0)),
IF($H168 = "External", INDEX('Fuel Cost - External'!P:P,MATCH('Fuel Selector'!$B168,'Fuel Cost - External'!$B:$B,0)),0)
))</f>
        <v>20.784443855779418</v>
      </c>
      <c r="T168" s="89">
        <f>IF(T$113&gt;2050,S168,
IF($H168="Modeled", INDEX('Fuel Model - Summary'!Q:Q,MATCH('Fuel Selector'!$B168,'Fuel Model - Summary'!$B:$B,0)),
IF($H168 = "External", INDEX('Fuel Cost - External'!Q:Q,MATCH('Fuel Selector'!$B168,'Fuel Cost - External'!$B:$B,0)),0)
))</f>
        <v>20.784443855779418</v>
      </c>
      <c r="U168" s="89">
        <f>IF(U$113&gt;2050,T168,
IF($H168="Modeled", INDEX('Fuel Model - Summary'!R:R,MATCH('Fuel Selector'!$B168,'Fuel Model - Summary'!$B:$B,0)),
IF($H168 = "External", INDEX('Fuel Cost - External'!R:R,MATCH('Fuel Selector'!$B168,'Fuel Cost - External'!$B:$B,0)),0)
))</f>
        <v>20.784443855779418</v>
      </c>
      <c r="V168" s="89">
        <f>IF(V$113&gt;2050,U168,
IF($H168="Modeled", INDEX('Fuel Model - Summary'!S:S,MATCH('Fuel Selector'!$B168,'Fuel Model - Summary'!$B:$B,0)),
IF($H168 = "External", INDEX('Fuel Cost - External'!S:S,MATCH('Fuel Selector'!$B168,'Fuel Cost - External'!$B:$B,0)),0)
))</f>
        <v>20.784443855779418</v>
      </c>
    </row>
    <row r="169" spans="1:22" x14ac:dyDescent="0.2">
      <c r="A169" s="29">
        <f t="shared" si="140"/>
        <v>14</v>
      </c>
      <c r="B169" s="334" t="str">
        <f t="shared" si="137"/>
        <v>Biodiesel (Pyr) - Asia - Fuel cost - USD/GJ</v>
      </c>
      <c r="C169" t="str" cm="1">
        <f t="array" ref="C169">INDEX(list_AE_fuel,A169)</f>
        <v>Biodiesel (Pyr)</v>
      </c>
      <c r="D169"/>
      <c r="E169" t="str">
        <f t="shared" si="141"/>
        <v>Asia</v>
      </c>
      <c r="F169" t="str">
        <f t="shared" si="138"/>
        <v>Fuel cost - USD/GJ</v>
      </c>
      <c r="G169"/>
      <c r="H169" s="128" t="str" cm="1">
        <f t="array" ref="H169">INDEX('Configurator Specs.'!$CG$5:$CG$24,A169)</f>
        <v>Modeled</v>
      </c>
      <c r="I169" t="s">
        <v>324</v>
      </c>
      <c r="K169" s="89">
        <f>IF(K$113&gt;2050,J169,
IF($H169="Modeled", INDEX('Fuel Model - Summary'!H:H,MATCH('Fuel Selector'!$B169,'Fuel Model - Summary'!$B:$B,0)),
IF($H169 = "External", INDEX('Fuel Cost - External'!H:H,MATCH('Fuel Selector'!$B169,'Fuel Cost - External'!$B:$B,0)),0)
))</f>
        <v>61.602157094929424</v>
      </c>
      <c r="L169" s="89">
        <f>IF(L$113&gt;2050,K169,
IF($H169="Modeled", INDEX('Fuel Model - Summary'!I:I,MATCH('Fuel Selector'!$B169,'Fuel Model - Summary'!$B:$B,0)),
IF($H169 = "External", INDEX('Fuel Cost - External'!I:I,MATCH('Fuel Selector'!$B169,'Fuel Cost - External'!$B:$B,0)),0)
))</f>
        <v>38.433681024188083</v>
      </c>
      <c r="M169" s="89">
        <f>IF(M$113&gt;2050,L169,
IF($H169="Modeled", INDEX('Fuel Model - Summary'!J:J,MATCH('Fuel Selector'!$B169,'Fuel Model - Summary'!$B:$B,0)),
IF($H169 = "External", INDEX('Fuel Cost - External'!J:J,MATCH('Fuel Selector'!$B169,'Fuel Cost - External'!$B:$B,0)),0)
))</f>
        <v>20.8970375426122</v>
      </c>
      <c r="N169" s="89">
        <f>IF(N$113&gt;2050,M169,
IF($H169="Modeled", INDEX('Fuel Model - Summary'!K:K,MATCH('Fuel Selector'!$B169,'Fuel Model - Summary'!$B:$B,0)),
IF($H169 = "External", INDEX('Fuel Cost - External'!K:K,MATCH('Fuel Selector'!$B169,'Fuel Cost - External'!$B:$B,0)),0)
))</f>
        <v>21.336352240615508</v>
      </c>
      <c r="O169" s="89">
        <f>IF(O$113&gt;2050,N169,
IF($H169="Modeled", INDEX('Fuel Model - Summary'!L:L,MATCH('Fuel Selector'!$B169,'Fuel Model - Summary'!$B:$B,0)),
IF($H169 = "External", INDEX('Fuel Cost - External'!L:L,MATCH('Fuel Selector'!$B169,'Fuel Cost - External'!$B:$B,0)),0)
))</f>
        <v>21.41186504879223</v>
      </c>
      <c r="P169" s="89">
        <f>IF(P$113&gt;2050,O169,
IF($H169="Modeled", INDEX('Fuel Model - Summary'!M:M,MATCH('Fuel Selector'!$B169,'Fuel Model - Summary'!$B:$B,0)),
IF($H169 = "External", INDEX('Fuel Cost - External'!M:M,MATCH('Fuel Selector'!$B169,'Fuel Cost - External'!$B:$B,0)),0)
))</f>
        <v>21.108109073132464</v>
      </c>
      <c r="Q169" s="89">
        <f>IF(Q$113&gt;2050,P169,
IF($H169="Modeled", INDEX('Fuel Model - Summary'!N:N,MATCH('Fuel Selector'!$B169,'Fuel Model - Summary'!$B:$B,0)),
IF($H169 = "External", INDEX('Fuel Cost - External'!N:N,MATCH('Fuel Selector'!$B169,'Fuel Cost - External'!$B:$B,0)),0)
))</f>
        <v>20.112013470231418</v>
      </c>
      <c r="R169" s="89">
        <f>IF(R$113&gt;2050,Q169,
IF($H169="Modeled", INDEX('Fuel Model - Summary'!O:O,MATCH('Fuel Selector'!$B169,'Fuel Model - Summary'!$B:$B,0)),
IF($H169 = "External", INDEX('Fuel Cost - External'!O:O,MATCH('Fuel Selector'!$B169,'Fuel Cost - External'!$B:$B,0)),0)
))</f>
        <v>20.112013470231418</v>
      </c>
      <c r="S169" s="89">
        <f>IF(S$113&gt;2050,R169,
IF($H169="Modeled", INDEX('Fuel Model - Summary'!P:P,MATCH('Fuel Selector'!$B169,'Fuel Model - Summary'!$B:$B,0)),
IF($H169 = "External", INDEX('Fuel Cost - External'!P:P,MATCH('Fuel Selector'!$B169,'Fuel Cost - External'!$B:$B,0)),0)
))</f>
        <v>20.112013470231418</v>
      </c>
      <c r="T169" s="89">
        <f>IF(T$113&gt;2050,S169,
IF($H169="Modeled", INDEX('Fuel Model - Summary'!Q:Q,MATCH('Fuel Selector'!$B169,'Fuel Model - Summary'!$B:$B,0)),
IF($H169 = "External", INDEX('Fuel Cost - External'!Q:Q,MATCH('Fuel Selector'!$B169,'Fuel Cost - External'!$B:$B,0)),0)
))</f>
        <v>20.112013470231418</v>
      </c>
      <c r="U169" s="89">
        <f>IF(U$113&gt;2050,T169,
IF($H169="Modeled", INDEX('Fuel Model - Summary'!R:R,MATCH('Fuel Selector'!$B169,'Fuel Model - Summary'!$B:$B,0)),
IF($H169 = "External", INDEX('Fuel Cost - External'!R:R,MATCH('Fuel Selector'!$B169,'Fuel Cost - External'!$B:$B,0)),0)
))</f>
        <v>20.112013470231418</v>
      </c>
      <c r="V169" s="89">
        <f>IF(V$113&gt;2050,U169,
IF($H169="Modeled", INDEX('Fuel Model - Summary'!S:S,MATCH('Fuel Selector'!$B169,'Fuel Model - Summary'!$B:$B,0)),
IF($H169 = "External", INDEX('Fuel Cost - External'!S:S,MATCH('Fuel Selector'!$B169,'Fuel Cost - External'!$B:$B,0)),0)
))</f>
        <v>20.112013470231418</v>
      </c>
    </row>
    <row r="170" spans="1:22" x14ac:dyDescent="0.2">
      <c r="A170" s="29">
        <f t="shared" si="140"/>
        <v>15</v>
      </c>
      <c r="B170" s="334" t="str">
        <f t="shared" si="137"/>
        <v>e-Diesel (DAC) - Asia - Fuel cost - USD/GJ</v>
      </c>
      <c r="C170" t="str" cm="1">
        <f t="array" ref="C170">INDEX(list_AE_fuel,A170)</f>
        <v>e-Diesel (DAC)</v>
      </c>
      <c r="D170"/>
      <c r="E170" t="str">
        <f t="shared" si="141"/>
        <v>Asia</v>
      </c>
      <c r="F170" t="str">
        <f t="shared" si="138"/>
        <v>Fuel cost - USD/GJ</v>
      </c>
      <c r="G170"/>
      <c r="H170" s="128" t="str" cm="1">
        <f t="array" ref="H170">INDEX('Configurator Specs.'!$CG$5:$CG$24,A170)</f>
        <v>Modeled</v>
      </c>
      <c r="I170" t="s">
        <v>324</v>
      </c>
      <c r="K170" s="89">
        <f>IF(K$113&gt;2050,J170,
IF($H170="Modeled", INDEX('Fuel Model - Summary'!H:H,MATCH('Fuel Selector'!$B170,'Fuel Model - Summary'!$B:$B,0)),
IF($H170 = "External", INDEX('Fuel Cost - External'!H:H,MATCH('Fuel Selector'!$B170,'Fuel Cost - External'!$B:$B,0)),0)
))</f>
        <v>130.54659574125844</v>
      </c>
      <c r="L170" s="89">
        <f>IF(L$113&gt;2050,K170,
IF($H170="Modeled", INDEX('Fuel Model - Summary'!I:I,MATCH('Fuel Selector'!$B170,'Fuel Model - Summary'!$B:$B,0)),
IF($H170 = "External", INDEX('Fuel Cost - External'!I:I,MATCH('Fuel Selector'!$B170,'Fuel Cost - External'!$B:$B,0)),0)
))</f>
        <v>93.64117948013245</v>
      </c>
      <c r="M170" s="89">
        <f>IF(M$113&gt;2050,L170,
IF($H170="Modeled", INDEX('Fuel Model - Summary'!J:J,MATCH('Fuel Selector'!$B170,'Fuel Model - Summary'!$B:$B,0)),
IF($H170 = "External", INDEX('Fuel Cost - External'!J:J,MATCH('Fuel Selector'!$B170,'Fuel Cost - External'!$B:$B,0)),0)
))</f>
        <v>74.365503862656226</v>
      </c>
      <c r="N170" s="89">
        <f>IF(N$113&gt;2050,M170,
IF($H170="Modeled", INDEX('Fuel Model - Summary'!K:K,MATCH('Fuel Selector'!$B170,'Fuel Model - Summary'!$B:$B,0)),
IF($H170 = "External", INDEX('Fuel Cost - External'!K:K,MATCH('Fuel Selector'!$B170,'Fuel Cost - External'!$B:$B,0)),0)
))</f>
        <v>64.677415269795247</v>
      </c>
      <c r="O170" s="89">
        <f>IF(O$113&gt;2050,N170,
IF($H170="Modeled", INDEX('Fuel Model - Summary'!L:L,MATCH('Fuel Selector'!$B170,'Fuel Model - Summary'!$B:$B,0)),
IF($H170 = "External", INDEX('Fuel Cost - External'!L:L,MATCH('Fuel Selector'!$B170,'Fuel Cost - External'!$B:$B,0)),0)
))</f>
        <v>56.385758339544566</v>
      </c>
      <c r="P170" s="89">
        <f>IF(P$113&gt;2050,O170,
IF($H170="Modeled", INDEX('Fuel Model - Summary'!M:M,MATCH('Fuel Selector'!$B170,'Fuel Model - Summary'!$B:$B,0)),
IF($H170 = "External", INDEX('Fuel Cost - External'!M:M,MATCH('Fuel Selector'!$B170,'Fuel Cost - External'!$B:$B,0)),0)
))</f>
        <v>45.216678986200414</v>
      </c>
      <c r="Q170" s="89">
        <f>IF(Q$113&gt;2050,P170,
IF($H170="Modeled", INDEX('Fuel Model - Summary'!N:N,MATCH('Fuel Selector'!$B170,'Fuel Model - Summary'!$B:$B,0)),
IF($H170 = "External", INDEX('Fuel Cost - External'!N:N,MATCH('Fuel Selector'!$B170,'Fuel Cost - External'!$B:$B,0)),0)
))</f>
        <v>36.079329307351422</v>
      </c>
      <c r="R170" s="89">
        <f>IF(R$113&gt;2050,Q170,
IF($H170="Modeled", INDEX('Fuel Model - Summary'!O:O,MATCH('Fuel Selector'!$B170,'Fuel Model - Summary'!$B:$B,0)),
IF($H170 = "External", INDEX('Fuel Cost - External'!O:O,MATCH('Fuel Selector'!$B170,'Fuel Cost - External'!$B:$B,0)),0)
))</f>
        <v>36.079329307351422</v>
      </c>
      <c r="S170" s="89">
        <f>IF(S$113&gt;2050,R170,
IF($H170="Modeled", INDEX('Fuel Model - Summary'!P:P,MATCH('Fuel Selector'!$B170,'Fuel Model - Summary'!$B:$B,0)),
IF($H170 = "External", INDEX('Fuel Cost - External'!P:P,MATCH('Fuel Selector'!$B170,'Fuel Cost - External'!$B:$B,0)),0)
))</f>
        <v>36.079329307351422</v>
      </c>
      <c r="T170" s="89">
        <f>IF(T$113&gt;2050,S170,
IF($H170="Modeled", INDEX('Fuel Model - Summary'!Q:Q,MATCH('Fuel Selector'!$B170,'Fuel Model - Summary'!$B:$B,0)),
IF($H170 = "External", INDEX('Fuel Cost - External'!Q:Q,MATCH('Fuel Selector'!$B170,'Fuel Cost - External'!$B:$B,0)),0)
))</f>
        <v>36.079329307351422</v>
      </c>
      <c r="U170" s="89">
        <f>IF(U$113&gt;2050,T170,
IF($H170="Modeled", INDEX('Fuel Model - Summary'!R:R,MATCH('Fuel Selector'!$B170,'Fuel Model - Summary'!$B:$B,0)),
IF($H170 = "External", INDEX('Fuel Cost - External'!R:R,MATCH('Fuel Selector'!$B170,'Fuel Cost - External'!$B:$B,0)),0)
))</f>
        <v>36.079329307351422</v>
      </c>
      <c r="V170" s="89">
        <f>IF(V$113&gt;2050,U170,
IF($H170="Modeled", INDEX('Fuel Model - Summary'!S:S,MATCH('Fuel Selector'!$B170,'Fuel Model - Summary'!$B:$B,0)),
IF($H170 = "External", INDEX('Fuel Cost - External'!S:S,MATCH('Fuel Selector'!$B170,'Fuel Cost - External'!$B:$B,0)),0)
))</f>
        <v>36.079329307351422</v>
      </c>
    </row>
    <row r="171" spans="1:22" x14ac:dyDescent="0.2">
      <c r="A171" s="29">
        <f t="shared" si="140"/>
        <v>16</v>
      </c>
      <c r="B171" s="334" t="str">
        <f t="shared" si="137"/>
        <v>e-Diesel (PS) - Asia - Fuel cost - USD/GJ</v>
      </c>
      <c r="C171" t="str" cm="1">
        <f t="array" ref="C171">INDEX(list_AE_fuel,A171)</f>
        <v>e-Diesel (PS)</v>
      </c>
      <c r="D171"/>
      <c r="E171" t="str">
        <f t="shared" si="141"/>
        <v>Asia</v>
      </c>
      <c r="F171" t="str">
        <f t="shared" si="138"/>
        <v>Fuel cost - USD/GJ</v>
      </c>
      <c r="G171"/>
      <c r="H171" s="128" t="str" cm="1">
        <f t="array" ref="H171">INDEX('Configurator Specs.'!$CG$5:$CG$24,A171)</f>
        <v>Modeled</v>
      </c>
      <c r="I171" t="s">
        <v>324</v>
      </c>
      <c r="K171" s="89">
        <f>IF(K$113&gt;2050,J171,
IF($H171="Modeled", INDEX('Fuel Model - Summary'!H:H,MATCH('Fuel Selector'!$B171,'Fuel Model - Summary'!$B:$B,0)),
IF($H171 = "External", INDEX('Fuel Cost - External'!H:H,MATCH('Fuel Selector'!$B171,'Fuel Cost - External'!$B:$B,0)),0)
))</f>
        <v>114.77919291142835</v>
      </c>
      <c r="L171" s="89">
        <f>IF(L$113&gt;2050,K171,
IF($H171="Modeled", INDEX('Fuel Model - Summary'!I:I,MATCH('Fuel Selector'!$B171,'Fuel Model - Summary'!$B:$B,0)),
IF($H171 = "External", INDEX('Fuel Cost - External'!I:I,MATCH('Fuel Selector'!$B171,'Fuel Cost - External'!$B:$B,0)),0)
))</f>
        <v>84.418268730127153</v>
      </c>
      <c r="M171" s="89">
        <f>IF(M$113&gt;2050,L171,
IF($H171="Modeled", INDEX('Fuel Model - Summary'!J:J,MATCH('Fuel Selector'!$B171,'Fuel Model - Summary'!$B:$B,0)),
IF($H171 = "External", INDEX('Fuel Cost - External'!J:J,MATCH('Fuel Selector'!$B171,'Fuel Cost - External'!$B:$B,0)),0)
))</f>
        <v>67.150412194836065</v>
      </c>
      <c r="N171" s="89">
        <f>IF(N$113&gt;2050,M171,
IF($H171="Modeled", INDEX('Fuel Model - Summary'!K:K,MATCH('Fuel Selector'!$B171,'Fuel Model - Summary'!$B:$B,0)),
IF($H171 = "External", INDEX('Fuel Cost - External'!K:K,MATCH('Fuel Selector'!$B171,'Fuel Cost - External'!$B:$B,0)),0)
))</f>
        <v>59.681605641282495</v>
      </c>
      <c r="O171" s="89">
        <f>IF(O$113&gt;2050,N171,
IF($H171="Modeled", INDEX('Fuel Model - Summary'!L:L,MATCH('Fuel Selector'!$B171,'Fuel Model - Summary'!$B:$B,0)),
IF($H171 = "External", INDEX('Fuel Cost - External'!L:L,MATCH('Fuel Selector'!$B171,'Fuel Cost - External'!$B:$B,0)),0)
))</f>
        <v>52.634345008289984</v>
      </c>
      <c r="P171" s="89">
        <f>IF(P$113&gt;2050,O171,
IF($H171="Modeled", INDEX('Fuel Model - Summary'!M:M,MATCH('Fuel Selector'!$B171,'Fuel Model - Summary'!$B:$B,0)),
IF($H171 = "External", INDEX('Fuel Cost - External'!M:M,MATCH('Fuel Selector'!$B171,'Fuel Cost - External'!$B:$B,0)),0)
))</f>
        <v>42.418716689078515</v>
      </c>
      <c r="Q171" s="89">
        <f>IF(Q$113&gt;2050,P171,
IF($H171="Modeled", INDEX('Fuel Model - Summary'!N:N,MATCH('Fuel Selector'!$B171,'Fuel Model - Summary'!$B:$B,0)),
IF($H171 = "External", INDEX('Fuel Cost - External'!N:N,MATCH('Fuel Selector'!$B171,'Fuel Cost - External'!$B:$B,0)),0)
))</f>
        <v>33.720969662177708</v>
      </c>
      <c r="R171" s="89">
        <f>IF(R$113&gt;2050,Q171,
IF($H171="Modeled", INDEX('Fuel Model - Summary'!O:O,MATCH('Fuel Selector'!$B171,'Fuel Model - Summary'!$B:$B,0)),
IF($H171 = "External", INDEX('Fuel Cost - External'!O:O,MATCH('Fuel Selector'!$B171,'Fuel Cost - External'!$B:$B,0)),0)
))</f>
        <v>33.720969662177708</v>
      </c>
      <c r="S171" s="89">
        <f>IF(S$113&gt;2050,R171,
IF($H171="Modeled", INDEX('Fuel Model - Summary'!P:P,MATCH('Fuel Selector'!$B171,'Fuel Model - Summary'!$B:$B,0)),
IF($H171 = "External", INDEX('Fuel Cost - External'!P:P,MATCH('Fuel Selector'!$B171,'Fuel Cost - External'!$B:$B,0)),0)
))</f>
        <v>33.720969662177708</v>
      </c>
      <c r="T171" s="89">
        <f>IF(T$113&gt;2050,S171,
IF($H171="Modeled", INDEX('Fuel Model - Summary'!Q:Q,MATCH('Fuel Selector'!$B171,'Fuel Model - Summary'!$B:$B,0)),
IF($H171 = "External", INDEX('Fuel Cost - External'!Q:Q,MATCH('Fuel Selector'!$B171,'Fuel Cost - External'!$B:$B,0)),0)
))</f>
        <v>33.720969662177708</v>
      </c>
      <c r="U171" s="89">
        <f>IF(U$113&gt;2050,T171,
IF($H171="Modeled", INDEX('Fuel Model - Summary'!R:R,MATCH('Fuel Selector'!$B171,'Fuel Model - Summary'!$B:$B,0)),
IF($H171 = "External", INDEX('Fuel Cost - External'!R:R,MATCH('Fuel Selector'!$B171,'Fuel Cost - External'!$B:$B,0)),0)
))</f>
        <v>33.720969662177708</v>
      </c>
      <c r="V171" s="89">
        <f>IF(V$113&gt;2050,U171,
IF($H171="Modeled", INDEX('Fuel Model - Summary'!S:S,MATCH('Fuel Selector'!$B171,'Fuel Model - Summary'!$B:$B,0)),
IF($H171 = "External", INDEX('Fuel Cost - External'!S:S,MATCH('Fuel Selector'!$B171,'Fuel Cost - External'!$B:$B,0)),0)
))</f>
        <v>33.720969662177708</v>
      </c>
    </row>
    <row r="172" spans="1:22" x14ac:dyDescent="0.2">
      <c r="A172" s="29">
        <f t="shared" si="140"/>
        <v>17</v>
      </c>
      <c r="B172" s="334" t="str">
        <f t="shared" si="137"/>
        <v>Biodiesel (HtL blend) - Asia - Fuel cost - USD/GJ</v>
      </c>
      <c r="C172" t="str" cm="1">
        <f t="array" ref="C172">INDEX(list_AE_fuel,A172)</f>
        <v>Biodiesel (HtL blend)</v>
      </c>
      <c r="D172"/>
      <c r="E172" t="str">
        <f t="shared" si="141"/>
        <v>Asia</v>
      </c>
      <c r="F172" t="str">
        <f t="shared" si="138"/>
        <v>Fuel cost - USD/GJ</v>
      </c>
      <c r="G172"/>
      <c r="H172" s="128" t="str" cm="1">
        <f t="array" ref="H172">INDEX('Configurator Specs.'!$CG$5:$CG$24,A172)</f>
        <v>Modeled</v>
      </c>
      <c r="I172" t="s">
        <v>324</v>
      </c>
      <c r="K172" s="89">
        <f>IF(K$113&gt;2050,J172,
IF($H172="Modeled", INDEX('Fuel Model - Summary'!H:H,MATCH('Fuel Selector'!$B172,'Fuel Model - Summary'!$B:$B,0)),
IF($H172 = "External", INDEX('Fuel Cost - External'!H:H,MATCH('Fuel Selector'!$B172,'Fuel Cost - External'!$B:$B,0)),0)
))</f>
        <v>39.383399663749394</v>
      </c>
      <c r="L172" s="89">
        <f>IF(L$113&gt;2050,K172,
IF($H172="Modeled", INDEX('Fuel Model - Summary'!I:I,MATCH('Fuel Selector'!$B172,'Fuel Model - Summary'!$B:$B,0)),
IF($H172 = "External", INDEX('Fuel Cost - External'!I:I,MATCH('Fuel Selector'!$B172,'Fuel Cost - External'!$B:$B,0)),0)
))</f>
        <v>26.073584749982437</v>
      </c>
      <c r="M172" s="89">
        <f>IF(M$113&gt;2050,L172,
IF($H172="Modeled", INDEX('Fuel Model - Summary'!J:J,MATCH('Fuel Selector'!$B172,'Fuel Model - Summary'!$B:$B,0)),
IF($H172 = "External", INDEX('Fuel Cost - External'!J:J,MATCH('Fuel Selector'!$B172,'Fuel Cost - External'!$B:$B,0)),0)
))</f>
        <v>15.495386363305496</v>
      </c>
      <c r="N172" s="89">
        <f>IF(N$113&gt;2050,M172,
IF($H172="Modeled", INDEX('Fuel Model - Summary'!K:K,MATCH('Fuel Selector'!$B172,'Fuel Model - Summary'!$B:$B,0)),
IF($H172 = "External", INDEX('Fuel Cost - External'!K:K,MATCH('Fuel Selector'!$B172,'Fuel Cost - External'!$B:$B,0)),0)
))</f>
        <v>15.117945263822271</v>
      </c>
      <c r="O172" s="89">
        <f>IF(O$113&gt;2050,N172,
IF($H172="Modeled", INDEX('Fuel Model - Summary'!L:L,MATCH('Fuel Selector'!$B172,'Fuel Model - Summary'!$B:$B,0)),
IF($H172 = "External", INDEX('Fuel Cost - External'!L:L,MATCH('Fuel Selector'!$B172,'Fuel Cost - External'!$B:$B,0)),0)
))</f>
        <v>14.965970505041275</v>
      </c>
      <c r="P172" s="89">
        <f>IF(P$113&gt;2050,O172,
IF($H172="Modeled", INDEX('Fuel Model - Summary'!M:M,MATCH('Fuel Selector'!$B172,'Fuel Model - Summary'!$B:$B,0)),
IF($H172 = "External", INDEX('Fuel Cost - External'!M:M,MATCH('Fuel Selector'!$B172,'Fuel Cost - External'!$B:$B,0)),0)
))</f>
        <v>14.798170850649541</v>
      </c>
      <c r="Q172" s="89">
        <f>IF(Q$113&gt;2050,P172,
IF($H172="Modeled", INDEX('Fuel Model - Summary'!N:N,MATCH('Fuel Selector'!$B172,'Fuel Model - Summary'!$B:$B,0)),
IF($H172 = "External", INDEX('Fuel Cost - External'!N:N,MATCH('Fuel Selector'!$B172,'Fuel Cost - External'!$B:$B,0)),0)
))</f>
        <v>14.65805003062848</v>
      </c>
      <c r="R172" s="89">
        <f>IF(R$113&gt;2050,Q172,
IF($H172="Modeled", INDEX('Fuel Model - Summary'!O:O,MATCH('Fuel Selector'!$B172,'Fuel Model - Summary'!$B:$B,0)),
IF($H172 = "External", INDEX('Fuel Cost - External'!O:O,MATCH('Fuel Selector'!$B172,'Fuel Cost - External'!$B:$B,0)),0)
))</f>
        <v>14.65805003062848</v>
      </c>
      <c r="S172" s="89">
        <f>IF(S$113&gt;2050,R172,
IF($H172="Modeled", INDEX('Fuel Model - Summary'!P:P,MATCH('Fuel Selector'!$B172,'Fuel Model - Summary'!$B:$B,0)),
IF($H172 = "External", INDEX('Fuel Cost - External'!P:P,MATCH('Fuel Selector'!$B172,'Fuel Cost - External'!$B:$B,0)),0)
))</f>
        <v>14.65805003062848</v>
      </c>
      <c r="T172" s="89">
        <f>IF(T$113&gt;2050,S172,
IF($H172="Modeled", INDEX('Fuel Model - Summary'!Q:Q,MATCH('Fuel Selector'!$B172,'Fuel Model - Summary'!$B:$B,0)),
IF($H172 = "External", INDEX('Fuel Cost - External'!Q:Q,MATCH('Fuel Selector'!$B172,'Fuel Cost - External'!$B:$B,0)),0)
))</f>
        <v>14.65805003062848</v>
      </c>
      <c r="U172" s="89">
        <f>IF(U$113&gt;2050,T172,
IF($H172="Modeled", INDEX('Fuel Model - Summary'!R:R,MATCH('Fuel Selector'!$B172,'Fuel Model - Summary'!$B:$B,0)),
IF($H172 = "External", INDEX('Fuel Cost - External'!R:R,MATCH('Fuel Selector'!$B172,'Fuel Cost - External'!$B:$B,0)),0)
))</f>
        <v>14.65805003062848</v>
      </c>
      <c r="V172" s="89">
        <f>IF(V$113&gt;2050,U172,
IF($H172="Modeled", INDEX('Fuel Model - Summary'!S:S,MATCH('Fuel Selector'!$B172,'Fuel Model - Summary'!$B:$B,0)),
IF($H172 = "External", INDEX('Fuel Cost - External'!S:S,MATCH('Fuel Selector'!$B172,'Fuel Cost - External'!$B:$B,0)),0)
))</f>
        <v>14.65805003062848</v>
      </c>
    </row>
    <row r="173" spans="1:22" x14ac:dyDescent="0.2">
      <c r="A173" s="29">
        <f t="shared" si="140"/>
        <v>18</v>
      </c>
      <c r="B173" s="334" t="str">
        <f t="shared" si="137"/>
        <v>Biodiesel (Pyr blend) - Asia - Fuel cost - USD/GJ</v>
      </c>
      <c r="C173" t="str" cm="1">
        <f t="array" ref="C173">INDEX(list_AE_fuel,A173)</f>
        <v>Biodiesel (Pyr blend)</v>
      </c>
      <c r="D173"/>
      <c r="E173" t="str">
        <f t="shared" si="141"/>
        <v>Asia</v>
      </c>
      <c r="F173" t="str">
        <f t="shared" si="138"/>
        <v>Fuel cost - USD/GJ</v>
      </c>
      <c r="G173"/>
      <c r="H173" s="128" t="str" cm="1">
        <f t="array" ref="H173">INDEX('Configurator Specs.'!$CG$5:$CG$24,A173)</f>
        <v>Modeled</v>
      </c>
      <c r="I173" t="s">
        <v>324</v>
      </c>
      <c r="K173" s="89">
        <f>IF(K$113&gt;2050,J173,
IF($H173="Modeled", INDEX('Fuel Model - Summary'!H:H,MATCH('Fuel Selector'!$B173,'Fuel Model - Summary'!$B:$B,0)),
IF($H173 = "External", INDEX('Fuel Cost - External'!H:H,MATCH('Fuel Selector'!$B173,'Fuel Cost - External'!$B:$B,0)),0)
))</f>
        <v>24.04327155680464</v>
      </c>
      <c r="L173" s="89">
        <f>IF(L$113&gt;2050,K173,
IF($H173="Modeled", INDEX('Fuel Model - Summary'!I:I,MATCH('Fuel Selector'!$B173,'Fuel Model - Summary'!$B:$B,0)),
IF($H173 = "External", INDEX('Fuel Cost - External'!I:I,MATCH('Fuel Selector'!$B173,'Fuel Cost - External'!$B:$B,0)),0)
))</f>
        <v>17.082331228459019</v>
      </c>
      <c r="M173" s="89">
        <f>IF(M$113&gt;2050,L173,
IF($H173="Modeled", INDEX('Fuel Model - Summary'!J:J,MATCH('Fuel Selector'!$B173,'Fuel Model - Summary'!$B:$B,0)),
IF($H173 = "External", INDEX('Fuel Cost - External'!J:J,MATCH('Fuel Selector'!$B173,'Fuel Cost - External'!$B:$B,0)),0)
))</f>
        <v>13.569083932158239</v>
      </c>
      <c r="N173" s="89">
        <f>IF(N$113&gt;2050,M173,
IF($H173="Modeled", INDEX('Fuel Model - Summary'!K:K,MATCH('Fuel Selector'!$B173,'Fuel Model - Summary'!$B:$B,0)),
IF($H173 = "External", INDEX('Fuel Cost - External'!K:K,MATCH('Fuel Selector'!$B173,'Fuel Cost - External'!$B:$B,0)),0)
))</f>
        <v>13.552568568715099</v>
      </c>
      <c r="O173" s="89">
        <f>IF(O$113&gt;2050,N173,
IF($H173="Modeled", INDEX('Fuel Model - Summary'!L:L,MATCH('Fuel Selector'!$B173,'Fuel Model - Summary'!$B:$B,0)),
IF($H173 = "External", INDEX('Fuel Cost - External'!L:L,MATCH('Fuel Selector'!$B173,'Fuel Cost - External'!$B:$B,0)),0)
))</f>
        <v>13.601764259864213</v>
      </c>
      <c r="P173" s="89">
        <f>IF(P$113&gt;2050,O173,
IF($H173="Modeled", INDEX('Fuel Model - Summary'!M:M,MATCH('Fuel Selector'!$B173,'Fuel Model - Summary'!$B:$B,0)),
IF($H173 = "External", INDEX('Fuel Cost - External'!M:M,MATCH('Fuel Selector'!$B173,'Fuel Cost - External'!$B:$B,0)),0)
))</f>
        <v>13.634312476394822</v>
      </c>
      <c r="Q173" s="89">
        <f>IF(Q$113&gt;2050,P173,
IF($H173="Modeled", INDEX('Fuel Model - Summary'!N:N,MATCH('Fuel Selector'!$B173,'Fuel Model - Summary'!$B:$B,0)),
IF($H173 = "External", INDEX('Fuel Cost - External'!N:N,MATCH('Fuel Selector'!$B173,'Fuel Cost - External'!$B:$B,0)),0)
))</f>
        <v>13.684330313362873</v>
      </c>
      <c r="R173" s="89">
        <f>IF(R$113&gt;2050,Q173,
IF($H173="Modeled", INDEX('Fuel Model - Summary'!O:O,MATCH('Fuel Selector'!$B173,'Fuel Model - Summary'!$B:$B,0)),
IF($H173 = "External", INDEX('Fuel Cost - External'!O:O,MATCH('Fuel Selector'!$B173,'Fuel Cost - External'!$B:$B,0)),0)
))</f>
        <v>13.684330313362873</v>
      </c>
      <c r="S173" s="89">
        <f>IF(S$113&gt;2050,R173,
IF($H173="Modeled", INDEX('Fuel Model - Summary'!P:P,MATCH('Fuel Selector'!$B173,'Fuel Model - Summary'!$B:$B,0)),
IF($H173 = "External", INDEX('Fuel Cost - External'!P:P,MATCH('Fuel Selector'!$B173,'Fuel Cost - External'!$B:$B,0)),0)
))</f>
        <v>13.684330313362873</v>
      </c>
      <c r="T173" s="89">
        <f>IF(T$113&gt;2050,S173,
IF($H173="Modeled", INDEX('Fuel Model - Summary'!Q:Q,MATCH('Fuel Selector'!$B173,'Fuel Model - Summary'!$B:$B,0)),
IF($H173 = "External", INDEX('Fuel Cost - External'!Q:Q,MATCH('Fuel Selector'!$B173,'Fuel Cost - External'!$B:$B,0)),0)
))</f>
        <v>13.684330313362873</v>
      </c>
      <c r="U173" s="89">
        <f>IF(U$113&gt;2050,T173,
IF($H173="Modeled", INDEX('Fuel Model - Summary'!R:R,MATCH('Fuel Selector'!$B173,'Fuel Model - Summary'!$B:$B,0)),
IF($H173 = "External", INDEX('Fuel Cost - External'!R:R,MATCH('Fuel Selector'!$B173,'Fuel Cost - External'!$B:$B,0)),0)
))</f>
        <v>13.684330313362873</v>
      </c>
      <c r="V173" s="89">
        <f>IF(V$113&gt;2050,U173,
IF($H173="Modeled", INDEX('Fuel Model - Summary'!S:S,MATCH('Fuel Selector'!$B173,'Fuel Model - Summary'!$B:$B,0)),
IF($H173 = "External", INDEX('Fuel Cost - External'!S:S,MATCH('Fuel Selector'!$B173,'Fuel Cost - External'!$B:$B,0)),0)
))</f>
        <v>13.684330313362873</v>
      </c>
    </row>
    <row r="174" spans="1:22" x14ac:dyDescent="0.2">
      <c r="A174" s="29">
        <f t="shared" si="140"/>
        <v>19</v>
      </c>
      <c r="B174" s="334" t="str">
        <f t="shared" si="137"/>
        <v>Blue hydrogen (liquid) - Asia - Fuel cost - USD/GJ</v>
      </c>
      <c r="C174" t="str" cm="1">
        <f t="array" ref="C174">INDEX(list_AE_fuel,A174)</f>
        <v>Blue hydrogen (liquid)</v>
      </c>
      <c r="D174"/>
      <c r="E174" t="str">
        <f t="shared" si="141"/>
        <v>Asia</v>
      </c>
      <c r="F174" t="str">
        <f t="shared" si="138"/>
        <v>Fuel cost - USD/GJ</v>
      </c>
      <c r="G174"/>
      <c r="H174" s="128" t="str" cm="1">
        <f t="array" ref="H174">INDEX('Configurator Specs.'!$CG$5:$CG$24,A174)</f>
        <v>Modeled</v>
      </c>
      <c r="I174" t="s">
        <v>324</v>
      </c>
      <c r="K174" s="89">
        <f>IF(K$113&gt;2050,J174,
IF($H174="Modeled", INDEX('Fuel Model - Summary'!H:H,MATCH('Fuel Selector'!$B174,'Fuel Model - Summary'!$B:$B,0)),
IF($H174 = "External", INDEX('Fuel Cost - External'!H:H,MATCH('Fuel Selector'!$B174,'Fuel Cost - External'!$B:$B,0)),0)
))</f>
        <v>74.862875394680003</v>
      </c>
      <c r="L174" s="89">
        <f>IF(L$113&gt;2050,K174,
IF($H174="Modeled", INDEX('Fuel Model - Summary'!I:I,MATCH('Fuel Selector'!$B174,'Fuel Model - Summary'!$B:$B,0)),
IF($H174 = "External", INDEX('Fuel Cost - External'!I:I,MATCH('Fuel Selector'!$B174,'Fuel Cost - External'!$B:$B,0)),0)
))</f>
        <v>45.21901778198874</v>
      </c>
      <c r="M174" s="89">
        <f>IF(M$113&gt;2050,L174,
IF($H174="Modeled", INDEX('Fuel Model - Summary'!J:J,MATCH('Fuel Selector'!$B174,'Fuel Model - Summary'!$B:$B,0)),
IF($H174 = "External", INDEX('Fuel Cost - External'!J:J,MATCH('Fuel Selector'!$B174,'Fuel Cost - External'!$B:$B,0)),0)
))</f>
        <v>32.665189623232351</v>
      </c>
      <c r="N174" s="89">
        <f>IF(N$113&gt;2050,M174,
IF($H174="Modeled", INDEX('Fuel Model - Summary'!K:K,MATCH('Fuel Selector'!$B174,'Fuel Model - Summary'!$B:$B,0)),
IF($H174 = "External", INDEX('Fuel Cost - External'!K:K,MATCH('Fuel Selector'!$B174,'Fuel Cost - External'!$B:$B,0)),0)
))</f>
        <v>31.395509274794026</v>
      </c>
      <c r="O174" s="89">
        <f>IF(O$113&gt;2050,N174,
IF($H174="Modeled", INDEX('Fuel Model - Summary'!L:L,MATCH('Fuel Selector'!$B174,'Fuel Model - Summary'!$B:$B,0)),
IF($H174 = "External", INDEX('Fuel Cost - External'!L:L,MATCH('Fuel Selector'!$B174,'Fuel Cost - External'!$B:$B,0)),0)
))</f>
        <v>30.473649641672431</v>
      </c>
      <c r="P174" s="89">
        <f>IF(P$113&gt;2050,O174,
IF($H174="Modeled", INDEX('Fuel Model - Summary'!M:M,MATCH('Fuel Selector'!$B174,'Fuel Model - Summary'!$B:$B,0)),
IF($H174 = "External", INDEX('Fuel Cost - External'!M:M,MATCH('Fuel Selector'!$B174,'Fuel Cost - External'!$B:$B,0)),0)
))</f>
        <v>29.591938029898611</v>
      </c>
      <c r="Q174" s="89">
        <f>IF(Q$113&gt;2050,P174,
IF($H174="Modeled", INDEX('Fuel Model - Summary'!N:N,MATCH('Fuel Selector'!$B174,'Fuel Model - Summary'!$B:$B,0)),
IF($H174 = "External", INDEX('Fuel Cost - External'!N:N,MATCH('Fuel Selector'!$B174,'Fuel Cost - External'!$B:$B,0)),0)
))</f>
        <v>28.923647522693695</v>
      </c>
      <c r="R174" s="89">
        <f>IF(R$113&gt;2050,Q174,
IF($H174="Modeled", INDEX('Fuel Model - Summary'!O:O,MATCH('Fuel Selector'!$B174,'Fuel Model - Summary'!$B:$B,0)),
IF($H174 = "External", INDEX('Fuel Cost - External'!O:O,MATCH('Fuel Selector'!$B174,'Fuel Cost - External'!$B:$B,0)),0)
))</f>
        <v>28.923647522693695</v>
      </c>
      <c r="S174" s="89">
        <f>IF(S$113&gt;2050,R174,
IF($H174="Modeled", INDEX('Fuel Model - Summary'!P:P,MATCH('Fuel Selector'!$B174,'Fuel Model - Summary'!$B:$B,0)),
IF($H174 = "External", INDEX('Fuel Cost - External'!P:P,MATCH('Fuel Selector'!$B174,'Fuel Cost - External'!$B:$B,0)),0)
))</f>
        <v>28.923647522693695</v>
      </c>
      <c r="T174" s="89">
        <f>IF(T$113&gt;2050,S174,
IF($H174="Modeled", INDEX('Fuel Model - Summary'!Q:Q,MATCH('Fuel Selector'!$B174,'Fuel Model - Summary'!$B:$B,0)),
IF($H174 = "External", INDEX('Fuel Cost - External'!Q:Q,MATCH('Fuel Selector'!$B174,'Fuel Cost - External'!$B:$B,0)),0)
))</f>
        <v>28.923647522693695</v>
      </c>
      <c r="U174" s="89">
        <f>IF(U$113&gt;2050,T174,
IF($H174="Modeled", INDEX('Fuel Model - Summary'!R:R,MATCH('Fuel Selector'!$B174,'Fuel Model - Summary'!$B:$B,0)),
IF($H174 = "External", INDEX('Fuel Cost - External'!R:R,MATCH('Fuel Selector'!$B174,'Fuel Cost - External'!$B:$B,0)),0)
))</f>
        <v>28.923647522693695</v>
      </c>
      <c r="V174" s="89">
        <f>IF(V$113&gt;2050,U174,
IF($H174="Modeled", INDEX('Fuel Model - Summary'!S:S,MATCH('Fuel Selector'!$B174,'Fuel Model - Summary'!$B:$B,0)),
IF($H174 = "External", INDEX('Fuel Cost - External'!S:S,MATCH('Fuel Selector'!$B174,'Fuel Cost - External'!$B:$B,0)),0)
))</f>
        <v>28.923647522693695</v>
      </c>
    </row>
    <row r="175" spans="1:22" x14ac:dyDescent="0.2">
      <c r="A175" s="29">
        <f t="shared" si="140"/>
        <v>20</v>
      </c>
      <c r="B175" s="334" t="str">
        <f t="shared" si="137"/>
        <v>e-Hydrogen (liquid) - Asia - Fuel cost - USD/GJ</v>
      </c>
      <c r="C175" t="str" cm="1">
        <f t="array" ref="C175">INDEX(list_AE_fuel,A175)</f>
        <v>e-Hydrogen (liquid)</v>
      </c>
      <c r="D175"/>
      <c r="E175" t="str">
        <f t="shared" si="141"/>
        <v>Asia</v>
      </c>
      <c r="F175" t="str">
        <f t="shared" si="138"/>
        <v>Fuel cost - USD/GJ</v>
      </c>
      <c r="G175"/>
      <c r="H175" s="128" t="str" cm="1">
        <f t="array" ref="H175">INDEX('Configurator Specs.'!$CG$5:$CG$24,A175)</f>
        <v>Modeled</v>
      </c>
      <c r="I175" t="s">
        <v>324</v>
      </c>
      <c r="K175" s="89">
        <f>IF(K$113&gt;2050,J175,
IF($H175="Modeled", INDEX('Fuel Model - Summary'!H:H,MATCH('Fuel Selector'!$B175,'Fuel Model - Summary'!$B:$B,0)),
IF($H175 = "External", INDEX('Fuel Cost - External'!H:H,MATCH('Fuel Selector'!$B175,'Fuel Cost - External'!$B:$B,0)),0)
))</f>
        <v>67.417859571374194</v>
      </c>
      <c r="L175" s="89">
        <f>IF(L$113&gt;2050,K175,
IF($H175="Modeled", INDEX('Fuel Model - Summary'!I:I,MATCH('Fuel Selector'!$B175,'Fuel Model - Summary'!$B:$B,0)),
IF($H175 = "External", INDEX('Fuel Cost - External'!I:I,MATCH('Fuel Selector'!$B175,'Fuel Cost - External'!$B:$B,0)),0)
))</f>
        <v>49.785934459745484</v>
      </c>
      <c r="M175" s="89">
        <f>IF(M$113&gt;2050,L175,
IF($H175="Modeled", INDEX('Fuel Model - Summary'!J:J,MATCH('Fuel Selector'!$B175,'Fuel Model - Summary'!$B:$B,0)),
IF($H175 = "External", INDEX('Fuel Cost - External'!J:J,MATCH('Fuel Selector'!$B175,'Fuel Cost - External'!$B:$B,0)),0)
))</f>
        <v>42.199194112773448</v>
      </c>
      <c r="N175" s="89">
        <f>IF(N$113&gt;2050,M175,
IF($H175="Modeled", INDEX('Fuel Model - Summary'!K:K,MATCH('Fuel Selector'!$B175,'Fuel Model - Summary'!$B:$B,0)),
IF($H175 = "External", INDEX('Fuel Cost - External'!K:K,MATCH('Fuel Selector'!$B175,'Fuel Cost - External'!$B:$B,0)),0)
))</f>
        <v>37.799974479772381</v>
      </c>
      <c r="O175" s="89">
        <f>IF(O$113&gt;2050,N175,
IF($H175="Modeled", INDEX('Fuel Model - Summary'!L:L,MATCH('Fuel Selector'!$B175,'Fuel Model - Summary'!$B:$B,0)),
IF($H175 = "External", INDEX('Fuel Cost - External'!L:L,MATCH('Fuel Selector'!$B175,'Fuel Cost - External'!$B:$B,0)),0)
))</f>
        <v>33.85249688352026</v>
      </c>
      <c r="P175" s="89">
        <f>IF(P$113&gt;2050,O175,
IF($H175="Modeled", INDEX('Fuel Model - Summary'!M:M,MATCH('Fuel Selector'!$B175,'Fuel Model - Summary'!$B:$B,0)),
IF($H175 = "External", INDEX('Fuel Cost - External'!M:M,MATCH('Fuel Selector'!$B175,'Fuel Cost - External'!$B:$B,0)),0)
))</f>
        <v>29.066793606743413</v>
      </c>
      <c r="Q175" s="89">
        <f>IF(Q$113&gt;2050,P175,
IF($H175="Modeled", INDEX('Fuel Model - Summary'!N:N,MATCH('Fuel Selector'!$B175,'Fuel Model - Summary'!$B:$B,0)),
IF($H175 = "External", INDEX('Fuel Cost - External'!N:N,MATCH('Fuel Selector'!$B175,'Fuel Cost - External'!$B:$B,0)),0)
))</f>
        <v>25.271208239508088</v>
      </c>
      <c r="R175" s="89">
        <f>IF(R$113&gt;2050,Q175,
IF($H175="Modeled", INDEX('Fuel Model - Summary'!O:O,MATCH('Fuel Selector'!$B175,'Fuel Model - Summary'!$B:$B,0)),
IF($H175 = "External", INDEX('Fuel Cost - External'!O:O,MATCH('Fuel Selector'!$B175,'Fuel Cost - External'!$B:$B,0)),0)
))</f>
        <v>25.271208239508088</v>
      </c>
      <c r="S175" s="89">
        <f>IF(S$113&gt;2050,R175,
IF($H175="Modeled", INDEX('Fuel Model - Summary'!P:P,MATCH('Fuel Selector'!$B175,'Fuel Model - Summary'!$B:$B,0)),
IF($H175 = "External", INDEX('Fuel Cost - External'!P:P,MATCH('Fuel Selector'!$B175,'Fuel Cost - External'!$B:$B,0)),0)
))</f>
        <v>25.271208239508088</v>
      </c>
      <c r="T175" s="89">
        <f>IF(T$113&gt;2050,S175,
IF($H175="Modeled", INDEX('Fuel Model - Summary'!Q:Q,MATCH('Fuel Selector'!$B175,'Fuel Model - Summary'!$B:$B,0)),
IF($H175 = "External", INDEX('Fuel Cost - External'!Q:Q,MATCH('Fuel Selector'!$B175,'Fuel Cost - External'!$B:$B,0)),0)
))</f>
        <v>25.271208239508088</v>
      </c>
      <c r="U175" s="89">
        <f>IF(U$113&gt;2050,T175,
IF($H175="Modeled", INDEX('Fuel Model - Summary'!R:R,MATCH('Fuel Selector'!$B175,'Fuel Model - Summary'!$B:$B,0)),
IF($H175 = "External", INDEX('Fuel Cost - External'!R:R,MATCH('Fuel Selector'!$B175,'Fuel Cost - External'!$B:$B,0)),0)
))</f>
        <v>25.271208239508088</v>
      </c>
      <c r="V175" s="89">
        <f>IF(V$113&gt;2050,U175,
IF($H175="Modeled", INDEX('Fuel Model - Summary'!S:S,MATCH('Fuel Selector'!$B175,'Fuel Model - Summary'!$B:$B,0)),
IF($H175 = "External", INDEX('Fuel Cost - External'!S:S,MATCH('Fuel Selector'!$B175,'Fuel Cost - External'!$B:$B,0)),0)
))</f>
        <v>25.271208239508088</v>
      </c>
    </row>
    <row r="176" spans="1:22" x14ac:dyDescent="0.2">
      <c r="B176"/>
      <c r="C176"/>
      <c r="D176"/>
      <c r="E176"/>
      <c r="F176"/>
      <c r="G176"/>
      <c r="H176" s="128"/>
      <c r="I176"/>
      <c r="R176" s="32"/>
      <c r="S176" s="32"/>
      <c r="T176" s="32"/>
      <c r="U176" s="32"/>
      <c r="V176" s="32"/>
    </row>
    <row r="177" spans="1:22" x14ac:dyDescent="0.2">
      <c r="A177" s="29">
        <v>1</v>
      </c>
      <c r="B177" s="334" t="str">
        <f t="shared" ref="B177:B196" si="142">_xlfn.TEXTJOIN(keydelim,TRUE,C177:G177)</f>
        <v>LSFO - Americas - Fuel cost - USD/GJ</v>
      </c>
      <c r="C177" t="str" cm="1">
        <f t="array" ref="C177">INDEX(list_AE_fuel,A177)</f>
        <v>LSFO</v>
      </c>
      <c r="D177"/>
      <c r="E177" t="s">
        <v>199</v>
      </c>
      <c r="F177" t="str">
        <f t="shared" ref="F177:F196" si="143">"Fuel cost"  &amp;keydelim &amp;I177</f>
        <v>Fuel cost - USD/GJ</v>
      </c>
      <c r="G177" s="128"/>
      <c r="H177" s="128" t="str" cm="1">
        <f t="array" ref="H177">INDEX('Configurator Specs.'!$CG$5:$CG$24,A177)</f>
        <v>External</v>
      </c>
      <c r="I177" t="s">
        <v>324</v>
      </c>
      <c r="K177" s="89">
        <f>IF(K$113&gt;2050,J177,
IF($H177="Modeled", INDEX('Fuel Model - Summary'!H:H,MATCH('Fuel Selector'!$B177,'Fuel Model - Summary'!$B:$B,0)),
IF($H177 = "External", INDEX('Fuel Cost - External'!H:H,MATCH('Fuel Selector'!$B177,'Fuel Cost - External'!$B:$B,0)),0)
))</f>
        <v>21.473621920116738</v>
      </c>
      <c r="L177" s="89">
        <f>IF(L$113&gt;2050,K177,
IF($H177="Modeled", INDEX('Fuel Model - Summary'!I:I,MATCH('Fuel Selector'!$B177,'Fuel Model - Summary'!$B:$B,0)),
IF($H177 = "External", INDEX('Fuel Cost - External'!I:I,MATCH('Fuel Selector'!$B177,'Fuel Cost - External'!$B:$B,0)),0)
))</f>
        <v>15.404989638344617</v>
      </c>
      <c r="M177" s="89">
        <f>IF(M$113&gt;2050,L177,
IF($H177="Modeled", INDEX('Fuel Model - Summary'!J:J,MATCH('Fuel Selector'!$B177,'Fuel Model - Summary'!$B:$B,0)),
IF($H177 = "External", INDEX('Fuel Cost - External'!J:J,MATCH('Fuel Selector'!$B177,'Fuel Cost - External'!$B:$B,0)),0)
))</f>
        <v>13.444354593464393</v>
      </c>
      <c r="N177" s="89">
        <f>IF(N$113&gt;2050,M177,
IF($H177="Modeled", INDEX('Fuel Model - Summary'!K:K,MATCH('Fuel Selector'!$B177,'Fuel Model - Summary'!$B:$B,0)),
IF($H177 = "External", INDEX('Fuel Cost - External'!K:K,MATCH('Fuel Selector'!$B177,'Fuel Cost - External'!$B:$B,0)),0)
))</f>
        <v>13.444354593464393</v>
      </c>
      <c r="O177" s="89">
        <f>IF(O$113&gt;2050,N177,
IF($H177="Modeled", INDEX('Fuel Model - Summary'!L:L,MATCH('Fuel Selector'!$B177,'Fuel Model - Summary'!$B:$B,0)),
IF($H177 = "External", INDEX('Fuel Cost - External'!L:L,MATCH('Fuel Selector'!$B177,'Fuel Cost - External'!$B:$B,0)),0)
))</f>
        <v>13.444354593464393</v>
      </c>
      <c r="P177" s="89">
        <f>IF(P$113&gt;2050,O177,
IF($H177="Modeled", INDEX('Fuel Model - Summary'!M:M,MATCH('Fuel Selector'!$B177,'Fuel Model - Summary'!$B:$B,0)),
IF($H177 = "External", INDEX('Fuel Cost - External'!M:M,MATCH('Fuel Selector'!$B177,'Fuel Cost - External'!$B:$B,0)),0)
))</f>
        <v>13.444354593464393</v>
      </c>
      <c r="Q177" s="89">
        <f>IF(Q$113&gt;2050,P177,
IF($H177="Modeled", INDEX('Fuel Model - Summary'!N:N,MATCH('Fuel Selector'!$B177,'Fuel Model - Summary'!$B:$B,0)),
IF($H177 = "External", INDEX('Fuel Cost - External'!N:N,MATCH('Fuel Selector'!$B177,'Fuel Cost - External'!$B:$B,0)),0)
))</f>
        <v>13.444354593464393</v>
      </c>
      <c r="R177" s="89">
        <f>IF(R$113&gt;2050,Q177,
IF($H177="Modeled", INDEX('Fuel Model - Summary'!O:O,MATCH('Fuel Selector'!$B177,'Fuel Model - Summary'!$B:$B,0)),
IF($H177 = "External", INDEX('Fuel Cost - External'!O:O,MATCH('Fuel Selector'!$B177,'Fuel Cost - External'!$B:$B,0)),0)
))</f>
        <v>13.444354593464393</v>
      </c>
      <c r="S177" s="89">
        <f>IF(S$113&gt;2050,R177,
IF($H177="Modeled", INDEX('Fuel Model - Summary'!P:P,MATCH('Fuel Selector'!$B177,'Fuel Model - Summary'!$B:$B,0)),
IF($H177 = "External", INDEX('Fuel Cost - External'!P:P,MATCH('Fuel Selector'!$B177,'Fuel Cost - External'!$B:$B,0)),0)
))</f>
        <v>13.444354593464393</v>
      </c>
      <c r="T177" s="89">
        <f>IF(T$113&gt;2050,S177,
IF($H177="Modeled", INDEX('Fuel Model - Summary'!Q:Q,MATCH('Fuel Selector'!$B177,'Fuel Model - Summary'!$B:$B,0)),
IF($H177 = "External", INDEX('Fuel Cost - External'!Q:Q,MATCH('Fuel Selector'!$B177,'Fuel Cost - External'!$B:$B,0)),0)
))</f>
        <v>13.444354593464393</v>
      </c>
      <c r="U177" s="89">
        <f>IF(U$113&gt;2050,T177,
IF($H177="Modeled", INDEX('Fuel Model - Summary'!R:R,MATCH('Fuel Selector'!$B177,'Fuel Model - Summary'!$B:$B,0)),
IF($H177 = "External", INDEX('Fuel Cost - External'!R:R,MATCH('Fuel Selector'!$B177,'Fuel Cost - External'!$B:$B,0)),0)
))</f>
        <v>13.444354593464393</v>
      </c>
      <c r="V177" s="89">
        <f>IF(V$113&gt;2050,U177,
IF($H177="Modeled", INDEX('Fuel Model - Summary'!S:S,MATCH('Fuel Selector'!$B177,'Fuel Model - Summary'!$B:$B,0)),
IF($H177 = "External", INDEX('Fuel Cost - External'!S:S,MATCH('Fuel Selector'!$B177,'Fuel Cost - External'!$B:$B,0)),0)
))</f>
        <v>13.444354593464393</v>
      </c>
    </row>
    <row r="178" spans="1:22" x14ac:dyDescent="0.2">
      <c r="A178" s="29">
        <f>A177+1</f>
        <v>2</v>
      </c>
      <c r="B178" s="334" t="str">
        <f t="shared" si="142"/>
        <v>LNG - Americas - Fuel cost - USD/GJ</v>
      </c>
      <c r="C178" t="str" cm="1">
        <f t="array" ref="C178">INDEX(list_AE_fuel,A178)</f>
        <v>LNG</v>
      </c>
      <c r="D178"/>
      <c r="E178" t="str">
        <f t="shared" ref="E178:E187" si="144">E177</f>
        <v>Americas</v>
      </c>
      <c r="F178" t="str">
        <f t="shared" si="143"/>
        <v>Fuel cost - USD/GJ</v>
      </c>
      <c r="G178" s="128"/>
      <c r="H178" s="128" t="str" cm="1">
        <f t="array" ref="H178">INDEX('Configurator Specs.'!$CG$5:$CG$24,A178)</f>
        <v>Modeled</v>
      </c>
      <c r="I178" t="s">
        <v>324</v>
      </c>
      <c r="K178" s="89">
        <f>IF(K$113&gt;2050,J178,
IF($H178="Modeled", INDEX('Fuel Model - Summary'!H:H,MATCH('Fuel Selector'!$B178,'Fuel Model - Summary'!$B:$B,0)),
IF($H178 = "External", INDEX('Fuel Cost - External'!H:H,MATCH('Fuel Selector'!$B178,'Fuel Cost - External'!$B:$B,0)),0)
))</f>
        <v>12.018068733549752</v>
      </c>
      <c r="L178" s="89">
        <f>IF(L$113&gt;2050,K178,
IF($H178="Modeled", INDEX('Fuel Model - Summary'!I:I,MATCH('Fuel Selector'!$B178,'Fuel Model - Summary'!$B:$B,0)),
IF($H178 = "External", INDEX('Fuel Cost - External'!I:I,MATCH('Fuel Selector'!$B178,'Fuel Cost - External'!$B:$B,0)),0)
))</f>
        <v>9.3718879637188905</v>
      </c>
      <c r="M178" s="89">
        <f>IF(M$113&gt;2050,L178,
IF($H178="Modeled", INDEX('Fuel Model - Summary'!J:J,MATCH('Fuel Selector'!$B178,'Fuel Model - Summary'!$B:$B,0)),
IF($H178 = "External", INDEX('Fuel Cost - External'!J:J,MATCH('Fuel Selector'!$B178,'Fuel Cost - External'!$B:$B,0)),0)
))</f>
        <v>8.9868892065134887</v>
      </c>
      <c r="N178" s="89">
        <f>IF(N$113&gt;2050,M178,
IF($H178="Modeled", INDEX('Fuel Model - Summary'!K:K,MATCH('Fuel Selector'!$B178,'Fuel Model - Summary'!$B:$B,0)),
IF($H178 = "External", INDEX('Fuel Cost - External'!K:K,MATCH('Fuel Selector'!$B178,'Fuel Cost - External'!$B:$B,0)),0)
))</f>
        <v>9.4791082729292118</v>
      </c>
      <c r="O178" s="89">
        <f>IF(O$113&gt;2050,N178,
IF($H178="Modeled", INDEX('Fuel Model - Summary'!L:L,MATCH('Fuel Selector'!$B178,'Fuel Model - Summary'!$B:$B,0)),
IF($H178 = "External", INDEX('Fuel Cost - External'!L:L,MATCH('Fuel Selector'!$B178,'Fuel Cost - External'!$B:$B,0)),0)
))</f>
        <v>9.3558342100856251</v>
      </c>
      <c r="P178" s="89">
        <f>IF(P$113&gt;2050,O178,
IF($H178="Modeled", INDEX('Fuel Model - Summary'!M:M,MATCH('Fuel Selector'!$B178,'Fuel Model - Summary'!$B:$B,0)),
IF($H178 = "External", INDEX('Fuel Cost - External'!M:M,MATCH('Fuel Selector'!$B178,'Fuel Cost - External'!$B:$B,0)),0)
))</f>
        <v>9.2533980855153644</v>
      </c>
      <c r="Q178" s="89">
        <f>IF(Q$113&gt;2050,P178,
IF($H178="Modeled", INDEX('Fuel Model - Summary'!N:N,MATCH('Fuel Selector'!$B178,'Fuel Model - Summary'!$B:$B,0)),
IF($H178 = "External", INDEX('Fuel Cost - External'!N:N,MATCH('Fuel Selector'!$B178,'Fuel Cost - External'!$B:$B,0)),0)
))</f>
        <v>9.1561508328073824</v>
      </c>
      <c r="R178" s="89">
        <f>IF(R$113&gt;2050,Q178,
IF($H178="Modeled", INDEX('Fuel Model - Summary'!O:O,MATCH('Fuel Selector'!$B178,'Fuel Model - Summary'!$B:$B,0)),
IF($H178 = "External", INDEX('Fuel Cost - External'!O:O,MATCH('Fuel Selector'!$B178,'Fuel Cost - External'!$B:$B,0)),0)
))</f>
        <v>9.1561508328073824</v>
      </c>
      <c r="S178" s="89">
        <f>IF(S$113&gt;2050,R178,
IF($H178="Modeled", INDEX('Fuel Model - Summary'!P:P,MATCH('Fuel Selector'!$B178,'Fuel Model - Summary'!$B:$B,0)),
IF($H178 = "External", INDEX('Fuel Cost - External'!P:P,MATCH('Fuel Selector'!$B178,'Fuel Cost - External'!$B:$B,0)),0)
))</f>
        <v>9.1561508328073824</v>
      </c>
      <c r="T178" s="89">
        <f>IF(T$113&gt;2050,S178,
IF($H178="Modeled", INDEX('Fuel Model - Summary'!Q:Q,MATCH('Fuel Selector'!$B178,'Fuel Model - Summary'!$B:$B,0)),
IF($H178 = "External", INDEX('Fuel Cost - External'!Q:Q,MATCH('Fuel Selector'!$B178,'Fuel Cost - External'!$B:$B,0)),0)
))</f>
        <v>9.1561508328073824</v>
      </c>
      <c r="U178" s="89">
        <f>IF(U$113&gt;2050,T178,
IF($H178="Modeled", INDEX('Fuel Model - Summary'!R:R,MATCH('Fuel Selector'!$B178,'Fuel Model - Summary'!$B:$B,0)),
IF($H178 = "External", INDEX('Fuel Cost - External'!R:R,MATCH('Fuel Selector'!$B178,'Fuel Cost - External'!$B:$B,0)),0)
))</f>
        <v>9.1561508328073824</v>
      </c>
      <c r="V178" s="89">
        <f>IF(V$113&gt;2050,U178,
IF($H178="Modeled", INDEX('Fuel Model - Summary'!S:S,MATCH('Fuel Selector'!$B178,'Fuel Model - Summary'!$B:$B,0)),
IF($H178 = "External", INDEX('Fuel Cost - External'!S:S,MATCH('Fuel Selector'!$B178,'Fuel Cost - External'!$B:$B,0)),0)
))</f>
        <v>9.1561508328073824</v>
      </c>
    </row>
    <row r="179" spans="1:22" x14ac:dyDescent="0.2">
      <c r="A179" s="29">
        <f t="shared" ref="A179:A196" si="145">A178+1</f>
        <v>3</v>
      </c>
      <c r="B179" s="334" t="str">
        <f t="shared" si="142"/>
        <v>LPG - Americas - Fuel cost - USD/GJ</v>
      </c>
      <c r="C179" t="str" cm="1">
        <f t="array" ref="C179">INDEX(list_AE_fuel,A179)</f>
        <v>LPG</v>
      </c>
      <c r="D179"/>
      <c r="E179" t="str">
        <f t="shared" si="144"/>
        <v>Americas</v>
      </c>
      <c r="F179" t="str">
        <f t="shared" si="143"/>
        <v>Fuel cost - USD/GJ</v>
      </c>
      <c r="G179" s="128"/>
      <c r="H179" s="128" t="str" cm="1">
        <f t="array" ref="H179">INDEX('Configurator Specs.'!$CG$5:$CG$24,A179)</f>
        <v>External</v>
      </c>
      <c r="I179" t="s">
        <v>324</v>
      </c>
      <c r="K179" s="89">
        <f>IF(K$113&gt;2050,J179,
IF($H179="Modeled", INDEX('Fuel Model - Summary'!H:H,MATCH('Fuel Selector'!$B179,'Fuel Model - Summary'!$B:$B,0)),
IF($H179 = "External", INDEX('Fuel Cost - External'!H:H,MATCH('Fuel Selector'!$B179,'Fuel Cost - External'!$B:$B,0)),0)
))</f>
        <v>16.525069073439496</v>
      </c>
      <c r="L179" s="89">
        <f>IF(L$113&gt;2050,K179,
IF($H179="Modeled", INDEX('Fuel Model - Summary'!I:I,MATCH('Fuel Selector'!$B179,'Fuel Model - Summary'!$B:$B,0)),
IF($H179 = "External", INDEX('Fuel Cost - External'!I:I,MATCH('Fuel Selector'!$B179,'Fuel Cost - External'!$B:$B,0)),0)
))</f>
        <v>11.854940857032684</v>
      </c>
      <c r="M179" s="89">
        <f>IF(M$113&gt;2050,L179,
IF($H179="Modeled", INDEX('Fuel Model - Summary'!J:J,MATCH('Fuel Selector'!$B179,'Fuel Model - Summary'!$B:$B,0)),
IF($H179 = "External", INDEX('Fuel Cost - External'!J:J,MATCH('Fuel Selector'!$B179,'Fuel Cost - External'!$B:$B,0)),0)
))</f>
        <v>10.34613020250125</v>
      </c>
      <c r="N179" s="89">
        <f>IF(N$113&gt;2050,M179,
IF($H179="Modeled", INDEX('Fuel Model - Summary'!K:K,MATCH('Fuel Selector'!$B179,'Fuel Model - Summary'!$B:$B,0)),
IF($H179 = "External", INDEX('Fuel Cost - External'!K:K,MATCH('Fuel Selector'!$B179,'Fuel Cost - External'!$B:$B,0)),0)
))</f>
        <v>10.34613020250125</v>
      </c>
      <c r="O179" s="89">
        <f>IF(O$113&gt;2050,N179,
IF($H179="Modeled", INDEX('Fuel Model - Summary'!L:L,MATCH('Fuel Selector'!$B179,'Fuel Model - Summary'!$B:$B,0)),
IF($H179 = "External", INDEX('Fuel Cost - External'!L:L,MATCH('Fuel Selector'!$B179,'Fuel Cost - External'!$B:$B,0)),0)
))</f>
        <v>10.34613020250125</v>
      </c>
      <c r="P179" s="89">
        <f>IF(P$113&gt;2050,O179,
IF($H179="Modeled", INDEX('Fuel Model - Summary'!M:M,MATCH('Fuel Selector'!$B179,'Fuel Model - Summary'!$B:$B,0)),
IF($H179 = "External", INDEX('Fuel Cost - External'!M:M,MATCH('Fuel Selector'!$B179,'Fuel Cost - External'!$B:$B,0)),0)
))</f>
        <v>10.34613020250125</v>
      </c>
      <c r="Q179" s="89">
        <f>IF(Q$113&gt;2050,P179,
IF($H179="Modeled", INDEX('Fuel Model - Summary'!N:N,MATCH('Fuel Selector'!$B179,'Fuel Model - Summary'!$B:$B,0)),
IF($H179 = "External", INDEX('Fuel Cost - External'!N:N,MATCH('Fuel Selector'!$B179,'Fuel Cost - External'!$B:$B,0)),0)
))</f>
        <v>10.34613020250125</v>
      </c>
      <c r="R179" s="89">
        <f>IF(R$113&gt;2050,Q179,
IF($H179="Modeled", INDEX('Fuel Model - Summary'!O:O,MATCH('Fuel Selector'!$B179,'Fuel Model - Summary'!$B:$B,0)),
IF($H179 = "External", INDEX('Fuel Cost - External'!O:O,MATCH('Fuel Selector'!$B179,'Fuel Cost - External'!$B:$B,0)),0)
))</f>
        <v>10.34613020250125</v>
      </c>
      <c r="S179" s="89">
        <f>IF(S$113&gt;2050,R179,
IF($H179="Modeled", INDEX('Fuel Model - Summary'!P:P,MATCH('Fuel Selector'!$B179,'Fuel Model - Summary'!$B:$B,0)),
IF($H179 = "External", INDEX('Fuel Cost - External'!P:P,MATCH('Fuel Selector'!$B179,'Fuel Cost - External'!$B:$B,0)),0)
))</f>
        <v>10.34613020250125</v>
      </c>
      <c r="T179" s="89">
        <f>IF(T$113&gt;2050,S179,
IF($H179="Modeled", INDEX('Fuel Model - Summary'!Q:Q,MATCH('Fuel Selector'!$B179,'Fuel Model - Summary'!$B:$B,0)),
IF($H179 = "External", INDEX('Fuel Cost - External'!Q:Q,MATCH('Fuel Selector'!$B179,'Fuel Cost - External'!$B:$B,0)),0)
))</f>
        <v>10.34613020250125</v>
      </c>
      <c r="U179" s="89">
        <f>IF(U$113&gt;2050,T179,
IF($H179="Modeled", INDEX('Fuel Model - Summary'!R:R,MATCH('Fuel Selector'!$B179,'Fuel Model - Summary'!$B:$B,0)),
IF($H179 = "External", INDEX('Fuel Cost - External'!R:R,MATCH('Fuel Selector'!$B179,'Fuel Cost - External'!$B:$B,0)),0)
))</f>
        <v>10.34613020250125</v>
      </c>
      <c r="V179" s="89">
        <f>IF(V$113&gt;2050,U179,
IF($H179="Modeled", INDEX('Fuel Model - Summary'!S:S,MATCH('Fuel Selector'!$B179,'Fuel Model - Summary'!$B:$B,0)),
IF($H179 = "External", INDEX('Fuel Cost - External'!S:S,MATCH('Fuel Selector'!$B179,'Fuel Cost - External'!$B:$B,0)),0)
))</f>
        <v>10.34613020250125</v>
      </c>
    </row>
    <row r="180" spans="1:22" x14ac:dyDescent="0.2">
      <c r="A180" s="29">
        <f t="shared" si="145"/>
        <v>4</v>
      </c>
      <c r="B180" s="334" t="str">
        <f t="shared" si="142"/>
        <v>Electricity - Americas - Fuel cost - USD/GJ</v>
      </c>
      <c r="C180" t="str" cm="1">
        <f t="array" ref="C180">INDEX(list_AE_fuel,A180)</f>
        <v>Electricity</v>
      </c>
      <c r="D180"/>
      <c r="E180" t="str">
        <f t="shared" si="144"/>
        <v>Americas</v>
      </c>
      <c r="F180" t="str">
        <f t="shared" si="143"/>
        <v>Fuel cost - USD/GJ</v>
      </c>
      <c r="G180" s="128"/>
      <c r="H180" s="128" t="str" cm="1">
        <f t="array" ref="H180">INDEX('Configurator Specs.'!$CG$5:$CG$24,A180)</f>
        <v>External</v>
      </c>
      <c r="I180" t="s">
        <v>324</v>
      </c>
      <c r="K180" s="89">
        <f>IF(K$113&gt;2050,J180,
IF($H180="Modeled", INDEX('Fuel Model - Summary'!H:H,MATCH('Fuel Selector'!$B180,'Fuel Model - Summary'!$B:$B,0)),
IF($H180 = "External", INDEX('Fuel Cost - External'!H:H,MATCH('Fuel Selector'!$B180,'Fuel Cost - External'!$B:$B,0)),0)
))</f>
        <v>10.824001584208597</v>
      </c>
      <c r="L180" s="89">
        <f>IF(L$113&gt;2050,K180,
IF($H180="Modeled", INDEX('Fuel Model - Summary'!I:I,MATCH('Fuel Selector'!$B180,'Fuel Model - Summary'!$B:$B,0)),
IF($H180 = "External", INDEX('Fuel Cost - External'!I:I,MATCH('Fuel Selector'!$B180,'Fuel Cost - External'!$B:$B,0)),0)
))</f>
        <v>9.7688066011605219</v>
      </c>
      <c r="M180" s="89">
        <f>IF(M$113&gt;2050,L180,
IF($H180="Modeled", INDEX('Fuel Model - Summary'!J:J,MATCH('Fuel Selector'!$B180,'Fuel Model - Summary'!$B:$B,0)),
IF($H180 = "External", INDEX('Fuel Cost - External'!J:J,MATCH('Fuel Selector'!$B180,'Fuel Cost - External'!$B:$B,0)),0)
))</f>
        <v>7.9851127292773789</v>
      </c>
      <c r="N180" s="89">
        <f>IF(N$113&gt;2050,M180,
IF($H180="Modeled", INDEX('Fuel Model - Summary'!K:K,MATCH('Fuel Selector'!$B180,'Fuel Model - Summary'!$B:$B,0)),
IF($H180 = "External", INDEX('Fuel Cost - External'!K:K,MATCH('Fuel Selector'!$B180,'Fuel Cost - External'!$B:$B,0)),0)
))</f>
        <v>7.1267564139610222</v>
      </c>
      <c r="O180" s="89">
        <f>IF(O$113&gt;2050,N180,
IF($H180="Modeled", INDEX('Fuel Model - Summary'!L:L,MATCH('Fuel Selector'!$B180,'Fuel Model - Summary'!$B:$B,0)),
IF($H180 = "External", INDEX('Fuel Cost - External'!L:L,MATCH('Fuel Selector'!$B180,'Fuel Cost - External'!$B:$B,0)),0)
))</f>
        <v>6.4309516711303143</v>
      </c>
      <c r="P180" s="89">
        <f>IF(P$113&gt;2050,O180,
IF($H180="Modeled", INDEX('Fuel Model - Summary'!M:M,MATCH('Fuel Selector'!$B180,'Fuel Model - Summary'!$B:$B,0)),
IF($H180 = "External", INDEX('Fuel Cost - External'!M:M,MATCH('Fuel Selector'!$B180,'Fuel Cost - External'!$B:$B,0)),0)
))</f>
        <v>6.1506340861449269</v>
      </c>
      <c r="Q180" s="89">
        <f>IF(Q$113&gt;2050,P180,
IF($H180="Modeled", INDEX('Fuel Model - Summary'!N:N,MATCH('Fuel Selector'!$B180,'Fuel Model - Summary'!$B:$B,0)),
IF($H180 = "External", INDEX('Fuel Cost - External'!N:N,MATCH('Fuel Selector'!$B180,'Fuel Cost - External'!$B:$B,0)),0)
))</f>
        <v>5.9391543092998287</v>
      </c>
      <c r="R180" s="89">
        <f>IF(R$113&gt;2050,Q180,
IF($H180="Modeled", INDEX('Fuel Model - Summary'!O:O,MATCH('Fuel Selector'!$B180,'Fuel Model - Summary'!$B:$B,0)),
IF($H180 = "External", INDEX('Fuel Cost - External'!O:O,MATCH('Fuel Selector'!$B180,'Fuel Cost - External'!$B:$B,0)),0)
))</f>
        <v>5.9391543092998287</v>
      </c>
      <c r="S180" s="89">
        <f>IF(S$113&gt;2050,R180,
IF($H180="Modeled", INDEX('Fuel Model - Summary'!P:P,MATCH('Fuel Selector'!$B180,'Fuel Model - Summary'!$B:$B,0)),
IF($H180 = "External", INDEX('Fuel Cost - External'!P:P,MATCH('Fuel Selector'!$B180,'Fuel Cost - External'!$B:$B,0)),0)
))</f>
        <v>5.9391543092998287</v>
      </c>
      <c r="T180" s="89">
        <f>IF(T$113&gt;2050,S180,
IF($H180="Modeled", INDEX('Fuel Model - Summary'!Q:Q,MATCH('Fuel Selector'!$B180,'Fuel Model - Summary'!$B:$B,0)),
IF($H180 = "External", INDEX('Fuel Cost - External'!Q:Q,MATCH('Fuel Selector'!$B180,'Fuel Cost - External'!$B:$B,0)),0)
))</f>
        <v>5.9391543092998287</v>
      </c>
      <c r="U180" s="89">
        <f>IF(U$113&gt;2050,T180,
IF($H180="Modeled", INDEX('Fuel Model - Summary'!R:R,MATCH('Fuel Selector'!$B180,'Fuel Model - Summary'!$B:$B,0)),
IF($H180 = "External", INDEX('Fuel Cost - External'!R:R,MATCH('Fuel Selector'!$B180,'Fuel Cost - External'!$B:$B,0)),0)
))</f>
        <v>5.9391543092998287</v>
      </c>
      <c r="V180" s="89">
        <f>IF(V$113&gt;2050,U180,
IF($H180="Modeled", INDEX('Fuel Model - Summary'!S:S,MATCH('Fuel Selector'!$B180,'Fuel Model - Summary'!$B:$B,0)),
IF($H180 = "External", INDEX('Fuel Cost - External'!S:S,MATCH('Fuel Selector'!$B180,'Fuel Cost - External'!$B:$B,0)),0)
))</f>
        <v>5.9391543092998287</v>
      </c>
    </row>
    <row r="181" spans="1:22" x14ac:dyDescent="0.2">
      <c r="A181" s="29">
        <f t="shared" si="145"/>
        <v>5</v>
      </c>
      <c r="B181" s="334" t="str">
        <f t="shared" si="142"/>
        <v>e-Ammonia - Americas - Fuel cost - USD/GJ</v>
      </c>
      <c r="C181" t="str" cm="1">
        <f t="array" ref="C181">INDEX(list_AE_fuel,A181)</f>
        <v>e-Ammonia</v>
      </c>
      <c r="D181"/>
      <c r="E181" t="str">
        <f t="shared" si="144"/>
        <v>Americas</v>
      </c>
      <c r="F181" t="str">
        <f t="shared" si="143"/>
        <v>Fuel cost - USD/GJ</v>
      </c>
      <c r="G181" s="226"/>
      <c r="H181" s="128" t="str" cm="1">
        <f t="array" ref="H181">INDEX('Configurator Specs.'!$CG$5:$CG$24,A181)</f>
        <v>Modeled</v>
      </c>
      <c r="I181" t="s">
        <v>324</v>
      </c>
      <c r="K181" s="89">
        <f>IF(K$113&gt;2050,J181,
IF($H181="Modeled", INDEX('Fuel Model - Summary'!H:H,MATCH('Fuel Selector'!$B181,'Fuel Model - Summary'!$B:$B,0)),
IF($H181 = "External", INDEX('Fuel Cost - External'!H:H,MATCH('Fuel Selector'!$B181,'Fuel Cost - External'!$B:$B,0)),0)
))</f>
        <v>60.683870926072423</v>
      </c>
      <c r="L181" s="89">
        <f>IF(L$113&gt;2050,K181,
IF($H181="Modeled", INDEX('Fuel Model - Summary'!I:I,MATCH('Fuel Selector'!$B181,'Fuel Model - Summary'!$B:$B,0)),
IF($H181 = "External", INDEX('Fuel Cost - External'!I:I,MATCH('Fuel Selector'!$B181,'Fuel Cost - External'!$B:$B,0)),0)
))</f>
        <v>47.049830257390823</v>
      </c>
      <c r="M181" s="89">
        <f>IF(M$113&gt;2050,L181,
IF($H181="Modeled", INDEX('Fuel Model - Summary'!J:J,MATCH('Fuel Selector'!$B181,'Fuel Model - Summary'!$B:$B,0)),
IF($H181 = "External", INDEX('Fuel Cost - External'!J:J,MATCH('Fuel Selector'!$B181,'Fuel Cost - External'!$B:$B,0)),0)
))</f>
        <v>32.509006905382982</v>
      </c>
      <c r="N181" s="89">
        <f>IF(N$113&gt;2050,M181,
IF($H181="Modeled", INDEX('Fuel Model - Summary'!K:K,MATCH('Fuel Selector'!$B181,'Fuel Model - Summary'!$B:$B,0)),
IF($H181 = "External", INDEX('Fuel Cost - External'!K:K,MATCH('Fuel Selector'!$B181,'Fuel Cost - External'!$B:$B,0)),0)
))</f>
        <v>29.851672257716981</v>
      </c>
      <c r="O181" s="89">
        <f>IF(O$113&gt;2050,N181,
IF($H181="Modeled", INDEX('Fuel Model - Summary'!L:L,MATCH('Fuel Selector'!$B181,'Fuel Model - Summary'!$B:$B,0)),
IF($H181 = "External", INDEX('Fuel Cost - External'!L:L,MATCH('Fuel Selector'!$B181,'Fuel Cost - External'!$B:$B,0)),0)
))</f>
        <v>25.984939371929784</v>
      </c>
      <c r="P181" s="89">
        <f>IF(P$113&gt;2050,O181,
IF($H181="Modeled", INDEX('Fuel Model - Summary'!M:M,MATCH('Fuel Selector'!$B181,'Fuel Model - Summary'!$B:$B,0)),
IF($H181 = "External", INDEX('Fuel Cost - External'!M:M,MATCH('Fuel Selector'!$B181,'Fuel Cost - External'!$B:$B,0)),0)
))</f>
        <v>21.951913392561003</v>
      </c>
      <c r="Q181" s="89">
        <f>IF(Q$113&gt;2050,P181,
IF($H181="Modeled", INDEX('Fuel Model - Summary'!N:N,MATCH('Fuel Selector'!$B181,'Fuel Model - Summary'!$B:$B,0)),
IF($H181 = "External", INDEX('Fuel Cost - External'!N:N,MATCH('Fuel Selector'!$B181,'Fuel Cost - External'!$B:$B,0)),0)
))</f>
        <v>17.972716124248276</v>
      </c>
      <c r="R181" s="89">
        <f>IF(R$113&gt;2050,Q181,
IF($H181="Modeled", INDEX('Fuel Model - Summary'!O:O,MATCH('Fuel Selector'!$B181,'Fuel Model - Summary'!$B:$B,0)),
IF($H181 = "External", INDEX('Fuel Cost - External'!O:O,MATCH('Fuel Selector'!$B181,'Fuel Cost - External'!$B:$B,0)),0)
))</f>
        <v>17.972716124248276</v>
      </c>
      <c r="S181" s="89">
        <f>IF(S$113&gt;2050,R181,
IF($H181="Modeled", INDEX('Fuel Model - Summary'!P:P,MATCH('Fuel Selector'!$B181,'Fuel Model - Summary'!$B:$B,0)),
IF($H181 = "External", INDEX('Fuel Cost - External'!P:P,MATCH('Fuel Selector'!$B181,'Fuel Cost - External'!$B:$B,0)),0)
))</f>
        <v>17.972716124248276</v>
      </c>
      <c r="T181" s="89">
        <f>IF(T$113&gt;2050,S181,
IF($H181="Modeled", INDEX('Fuel Model - Summary'!Q:Q,MATCH('Fuel Selector'!$B181,'Fuel Model - Summary'!$B:$B,0)),
IF($H181 = "External", INDEX('Fuel Cost - External'!Q:Q,MATCH('Fuel Selector'!$B181,'Fuel Cost - External'!$B:$B,0)),0)
))</f>
        <v>17.972716124248276</v>
      </c>
      <c r="U181" s="89">
        <f>IF(U$113&gt;2050,T181,
IF($H181="Modeled", INDEX('Fuel Model - Summary'!R:R,MATCH('Fuel Selector'!$B181,'Fuel Model - Summary'!$B:$B,0)),
IF($H181 = "External", INDEX('Fuel Cost - External'!R:R,MATCH('Fuel Selector'!$B181,'Fuel Cost - External'!$B:$B,0)),0)
))</f>
        <v>17.972716124248276</v>
      </c>
      <c r="V181" s="89">
        <f>IF(V$113&gt;2050,U181,
IF($H181="Modeled", INDEX('Fuel Model - Summary'!S:S,MATCH('Fuel Selector'!$B181,'Fuel Model - Summary'!$B:$B,0)),
IF($H181 = "External", INDEX('Fuel Cost - External'!S:S,MATCH('Fuel Selector'!$B181,'Fuel Cost - External'!$B:$B,0)),0)
))</f>
        <v>17.972716124248276</v>
      </c>
    </row>
    <row r="182" spans="1:22" x14ac:dyDescent="0.2">
      <c r="A182" s="29">
        <f t="shared" si="145"/>
        <v>6</v>
      </c>
      <c r="B182" s="334" t="str">
        <f t="shared" si="142"/>
        <v>Blue ammonia - Americas - Fuel cost - USD/GJ</v>
      </c>
      <c r="C182" t="str" cm="1">
        <f t="array" ref="C182">INDEX(list_AE_fuel,A182)</f>
        <v>Blue ammonia</v>
      </c>
      <c r="D182"/>
      <c r="E182" t="str">
        <f t="shared" si="144"/>
        <v>Americas</v>
      </c>
      <c r="F182" t="str">
        <f t="shared" si="143"/>
        <v>Fuel cost - USD/GJ</v>
      </c>
      <c r="G182" s="226"/>
      <c r="H182" s="128" t="str" cm="1">
        <f t="array" ref="H182">INDEX('Configurator Specs.'!$CG$5:$CG$24,A182)</f>
        <v>Modeled</v>
      </c>
      <c r="I182" t="s">
        <v>324</v>
      </c>
      <c r="K182" s="89">
        <f>IF(K$113&gt;2050,J182,
IF($H182="Modeled", INDEX('Fuel Model - Summary'!H:H,MATCH('Fuel Selector'!$B182,'Fuel Model - Summary'!$B:$B,0)),
IF($H182 = "External", INDEX('Fuel Cost - External'!H:H,MATCH('Fuel Selector'!$B182,'Fuel Cost - External'!$B:$B,0)),0)
))</f>
        <v>30.697977505191382</v>
      </c>
      <c r="L182" s="89">
        <f>IF(L$113&gt;2050,K182,
IF($H182="Modeled", INDEX('Fuel Model - Summary'!I:I,MATCH('Fuel Selector'!$B182,'Fuel Model - Summary'!$B:$B,0)),
IF($H182 = "External", INDEX('Fuel Cost - External'!I:I,MATCH('Fuel Selector'!$B182,'Fuel Cost - External'!$B:$B,0)),0)
))</f>
        <v>25.098056941427174</v>
      </c>
      <c r="M182" s="89">
        <f>IF(M$113&gt;2050,L182,
IF($H182="Modeled", INDEX('Fuel Model - Summary'!J:J,MATCH('Fuel Selector'!$B182,'Fuel Model - Summary'!$B:$B,0)),
IF($H182 = "External", INDEX('Fuel Cost - External'!J:J,MATCH('Fuel Selector'!$B182,'Fuel Cost - External'!$B:$B,0)),0)
))</f>
        <v>23.219883463707209</v>
      </c>
      <c r="N182" s="89">
        <f>IF(N$113&gt;2050,M182,
IF($H182="Modeled", INDEX('Fuel Model - Summary'!K:K,MATCH('Fuel Selector'!$B182,'Fuel Model - Summary'!$B:$B,0)),
IF($H182 = "External", INDEX('Fuel Cost - External'!K:K,MATCH('Fuel Selector'!$B182,'Fuel Cost - External'!$B:$B,0)),0)
))</f>
        <v>23.812692793406313</v>
      </c>
      <c r="O182" s="89">
        <f>IF(O$113&gt;2050,N182,
IF($H182="Modeled", INDEX('Fuel Model - Summary'!L:L,MATCH('Fuel Selector'!$B182,'Fuel Model - Summary'!$B:$B,0)),
IF($H182 = "External", INDEX('Fuel Cost - External'!L:L,MATCH('Fuel Selector'!$B182,'Fuel Cost - External'!$B:$B,0)),0)
))</f>
        <v>23.389342789204353</v>
      </c>
      <c r="P182" s="89">
        <f>IF(P$113&gt;2050,O182,
IF($H182="Modeled", INDEX('Fuel Model - Summary'!M:M,MATCH('Fuel Selector'!$B182,'Fuel Model - Summary'!$B:$B,0)),
IF($H182 = "External", INDEX('Fuel Cost - External'!M:M,MATCH('Fuel Selector'!$B182,'Fuel Cost - External'!$B:$B,0)),0)
))</f>
        <v>22.979072674337448</v>
      </c>
      <c r="Q182" s="89">
        <f>IF(Q$113&gt;2050,P182,
IF($H182="Modeled", INDEX('Fuel Model - Summary'!N:N,MATCH('Fuel Selector'!$B182,'Fuel Model - Summary'!$B:$B,0)),
IF($H182 = "External", INDEX('Fuel Cost - External'!N:N,MATCH('Fuel Selector'!$B182,'Fuel Cost - External'!$B:$B,0)),0)
))</f>
        <v>22.570969632256173</v>
      </c>
      <c r="R182" s="89">
        <f>IF(R$113&gt;2050,Q182,
IF($H182="Modeled", INDEX('Fuel Model - Summary'!O:O,MATCH('Fuel Selector'!$B182,'Fuel Model - Summary'!$B:$B,0)),
IF($H182 = "External", INDEX('Fuel Cost - External'!O:O,MATCH('Fuel Selector'!$B182,'Fuel Cost - External'!$B:$B,0)),0)
))</f>
        <v>22.570969632256173</v>
      </c>
      <c r="S182" s="89">
        <f>IF(S$113&gt;2050,R182,
IF($H182="Modeled", INDEX('Fuel Model - Summary'!P:P,MATCH('Fuel Selector'!$B182,'Fuel Model - Summary'!$B:$B,0)),
IF($H182 = "External", INDEX('Fuel Cost - External'!P:P,MATCH('Fuel Selector'!$B182,'Fuel Cost - External'!$B:$B,0)),0)
))</f>
        <v>22.570969632256173</v>
      </c>
      <c r="T182" s="89">
        <f>IF(T$113&gt;2050,S182,
IF($H182="Modeled", INDEX('Fuel Model - Summary'!Q:Q,MATCH('Fuel Selector'!$B182,'Fuel Model - Summary'!$B:$B,0)),
IF($H182 = "External", INDEX('Fuel Cost - External'!Q:Q,MATCH('Fuel Selector'!$B182,'Fuel Cost - External'!$B:$B,0)),0)
))</f>
        <v>22.570969632256173</v>
      </c>
      <c r="U182" s="89">
        <f>IF(U$113&gt;2050,T182,
IF($H182="Modeled", INDEX('Fuel Model - Summary'!R:R,MATCH('Fuel Selector'!$B182,'Fuel Model - Summary'!$B:$B,0)),
IF($H182 = "External", INDEX('Fuel Cost - External'!R:R,MATCH('Fuel Selector'!$B182,'Fuel Cost - External'!$B:$B,0)),0)
))</f>
        <v>22.570969632256173</v>
      </c>
      <c r="V182" s="89">
        <f>IF(V$113&gt;2050,U182,
IF($H182="Modeled", INDEX('Fuel Model - Summary'!S:S,MATCH('Fuel Selector'!$B182,'Fuel Model - Summary'!$B:$B,0)),
IF($H182 = "External", INDEX('Fuel Cost - External'!S:S,MATCH('Fuel Selector'!$B182,'Fuel Cost - External'!$B:$B,0)),0)
))</f>
        <v>22.570969632256173</v>
      </c>
    </row>
    <row r="183" spans="1:22" x14ac:dyDescent="0.2">
      <c r="A183" s="29">
        <f t="shared" si="145"/>
        <v>7</v>
      </c>
      <c r="B183" s="334" t="str">
        <f t="shared" si="142"/>
        <v>Biomethane - Americas - Fuel cost - USD/GJ</v>
      </c>
      <c r="C183" t="str" cm="1">
        <f t="array" ref="C183">INDEX(list_AE_fuel,A183)</f>
        <v>Biomethane</v>
      </c>
      <c r="D183"/>
      <c r="E183" t="str">
        <f t="shared" si="144"/>
        <v>Americas</v>
      </c>
      <c r="F183" t="str">
        <f t="shared" si="143"/>
        <v>Fuel cost - USD/GJ</v>
      </c>
      <c r="G183"/>
      <c r="H183" s="128" t="str" cm="1">
        <f t="array" ref="H183">INDEX('Configurator Specs.'!$CG$5:$CG$24,A183)</f>
        <v>Modeled</v>
      </c>
      <c r="I183" t="s">
        <v>324</v>
      </c>
      <c r="K183" s="89">
        <f>IF(K$113&gt;2050,J183,
IF($H183="Modeled", INDEX('Fuel Model - Summary'!H:H,MATCH('Fuel Selector'!$B183,'Fuel Model - Summary'!$B:$B,0)),
IF($H183 = "External", INDEX('Fuel Cost - External'!H:H,MATCH('Fuel Selector'!$B183,'Fuel Cost - External'!$B:$B,0)),0)
))</f>
        <v>23.877638384902067</v>
      </c>
      <c r="L183" s="89">
        <f>IF(L$113&gt;2050,K183,
IF($H183="Modeled", INDEX('Fuel Model - Summary'!I:I,MATCH('Fuel Selector'!$B183,'Fuel Model - Summary'!$B:$B,0)),
IF($H183 = "External", INDEX('Fuel Cost - External'!I:I,MATCH('Fuel Selector'!$B183,'Fuel Cost - External'!$B:$B,0)),0)
))</f>
        <v>22.468616833865834</v>
      </c>
      <c r="M183" s="89">
        <f>IF(M$113&gt;2050,L183,
IF($H183="Modeled", INDEX('Fuel Model - Summary'!J:J,MATCH('Fuel Selector'!$B183,'Fuel Model - Summary'!$B:$B,0)),
IF($H183 = "External", INDEX('Fuel Cost - External'!J:J,MATCH('Fuel Selector'!$B183,'Fuel Cost - External'!$B:$B,0)),0)
))</f>
        <v>21.062421732446541</v>
      </c>
      <c r="N183" s="89">
        <f>IF(N$113&gt;2050,M183,
IF($H183="Modeled", INDEX('Fuel Model - Summary'!K:K,MATCH('Fuel Selector'!$B183,'Fuel Model - Summary'!$B:$B,0)),
IF($H183 = "External", INDEX('Fuel Cost - External'!K:K,MATCH('Fuel Selector'!$B183,'Fuel Cost - External'!$B:$B,0)),0)
))</f>
        <v>19.749084339549583</v>
      </c>
      <c r="O183" s="89">
        <f>IF(O$113&gt;2050,N183,
IF($H183="Modeled", INDEX('Fuel Model - Summary'!L:L,MATCH('Fuel Selector'!$B183,'Fuel Model - Summary'!$B:$B,0)),
IF($H183 = "External", INDEX('Fuel Cost - External'!L:L,MATCH('Fuel Selector'!$B183,'Fuel Cost - External'!$B:$B,0)),0)
))</f>
        <v>18.436915626869883</v>
      </c>
      <c r="P183" s="89">
        <f>IF(P$113&gt;2050,O183,
IF($H183="Modeled", INDEX('Fuel Model - Summary'!M:M,MATCH('Fuel Selector'!$B183,'Fuel Model - Summary'!$B:$B,0)),
IF($H183 = "External", INDEX('Fuel Cost - External'!M:M,MATCH('Fuel Selector'!$B183,'Fuel Cost - External'!$B:$B,0)),0)
))</f>
        <v>17.160922808581052</v>
      </c>
      <c r="Q183" s="89">
        <f>IF(Q$113&gt;2050,P183,
IF($H183="Modeled", INDEX('Fuel Model - Summary'!N:N,MATCH('Fuel Selector'!$B183,'Fuel Model - Summary'!$B:$B,0)),
IF($H183 = "External", INDEX('Fuel Cost - External'!N:N,MATCH('Fuel Selector'!$B183,'Fuel Cost - External'!$B:$B,0)),0)
))</f>
        <v>15.890730936240672</v>
      </c>
      <c r="R183" s="89">
        <f>IF(R$113&gt;2050,Q183,
IF($H183="Modeled", INDEX('Fuel Model - Summary'!O:O,MATCH('Fuel Selector'!$B183,'Fuel Model - Summary'!$B:$B,0)),
IF($H183 = "External", INDEX('Fuel Cost - External'!O:O,MATCH('Fuel Selector'!$B183,'Fuel Cost - External'!$B:$B,0)),0)
))</f>
        <v>15.890730936240672</v>
      </c>
      <c r="S183" s="89">
        <f>IF(S$113&gt;2050,R183,
IF($H183="Modeled", INDEX('Fuel Model - Summary'!P:P,MATCH('Fuel Selector'!$B183,'Fuel Model - Summary'!$B:$B,0)),
IF($H183 = "External", INDEX('Fuel Cost - External'!P:P,MATCH('Fuel Selector'!$B183,'Fuel Cost - External'!$B:$B,0)),0)
))</f>
        <v>15.890730936240672</v>
      </c>
      <c r="T183" s="89">
        <f>IF(T$113&gt;2050,S183,
IF($H183="Modeled", INDEX('Fuel Model - Summary'!Q:Q,MATCH('Fuel Selector'!$B183,'Fuel Model - Summary'!$B:$B,0)),
IF($H183 = "External", INDEX('Fuel Cost - External'!Q:Q,MATCH('Fuel Selector'!$B183,'Fuel Cost - External'!$B:$B,0)),0)
))</f>
        <v>15.890730936240672</v>
      </c>
      <c r="U183" s="89">
        <f>IF(U$113&gt;2050,T183,
IF($H183="Modeled", INDEX('Fuel Model - Summary'!R:R,MATCH('Fuel Selector'!$B183,'Fuel Model - Summary'!$B:$B,0)),
IF($H183 = "External", INDEX('Fuel Cost - External'!R:R,MATCH('Fuel Selector'!$B183,'Fuel Cost - External'!$B:$B,0)),0)
))</f>
        <v>15.890730936240672</v>
      </c>
      <c r="V183" s="89">
        <f>IF(V$113&gt;2050,U183,
IF($H183="Modeled", INDEX('Fuel Model - Summary'!S:S,MATCH('Fuel Selector'!$B183,'Fuel Model - Summary'!$B:$B,0)),
IF($H183 = "External", INDEX('Fuel Cost - External'!S:S,MATCH('Fuel Selector'!$B183,'Fuel Cost - External'!$B:$B,0)),0)
))</f>
        <v>15.890730936240672</v>
      </c>
    </row>
    <row r="184" spans="1:22" x14ac:dyDescent="0.2">
      <c r="A184" s="29">
        <f t="shared" si="145"/>
        <v>8</v>
      </c>
      <c r="B184" s="334" t="str">
        <f t="shared" si="142"/>
        <v>e-Methane (DAC) - Americas - Fuel cost - USD/GJ</v>
      </c>
      <c r="C184" t="str" cm="1">
        <f t="array" ref="C184">INDEX(list_AE_fuel,A184)</f>
        <v>e-Methane (DAC)</v>
      </c>
      <c r="D184"/>
      <c r="E184" t="str">
        <f t="shared" si="144"/>
        <v>Americas</v>
      </c>
      <c r="F184" t="str">
        <f t="shared" si="143"/>
        <v>Fuel cost - USD/GJ</v>
      </c>
      <c r="G184" s="226"/>
      <c r="H184" s="128" t="str" cm="1">
        <f t="array" ref="H184">INDEX('Configurator Specs.'!$CG$5:$CG$24,A184)</f>
        <v>Modeled</v>
      </c>
      <c r="I184" t="s">
        <v>324</v>
      </c>
      <c r="K184" s="89">
        <f>IF(K$113&gt;2050,J184,
IF($H184="Modeled", INDEX('Fuel Model - Summary'!H:H,MATCH('Fuel Selector'!$B184,'Fuel Model - Summary'!$B:$B,0)),
IF($H184 = "External", INDEX('Fuel Cost - External'!H:H,MATCH('Fuel Selector'!$B184,'Fuel Cost - External'!$B:$B,0)),0)
))</f>
        <v>64.373023112366923</v>
      </c>
      <c r="L184" s="89">
        <f>IF(L$113&gt;2050,K184,
IF($H184="Modeled", INDEX('Fuel Model - Summary'!I:I,MATCH('Fuel Selector'!$B184,'Fuel Model - Summary'!$B:$B,0)),
IF($H184 = "External", INDEX('Fuel Cost - External'!I:I,MATCH('Fuel Selector'!$B184,'Fuel Cost - External'!$B:$B,0)),0)
))</f>
        <v>55.249143263504692</v>
      </c>
      <c r="M184" s="89">
        <f>IF(M$113&gt;2050,L184,
IF($H184="Modeled", INDEX('Fuel Model - Summary'!J:J,MATCH('Fuel Selector'!$B184,'Fuel Model - Summary'!$B:$B,0)),
IF($H184 = "External", INDEX('Fuel Cost - External'!J:J,MATCH('Fuel Selector'!$B184,'Fuel Cost - External'!$B:$B,0)),0)
))</f>
        <v>45.703457653273944</v>
      </c>
      <c r="N184" s="89">
        <f>IF(N$113&gt;2050,M184,
IF($H184="Modeled", INDEX('Fuel Model - Summary'!K:K,MATCH('Fuel Selector'!$B184,'Fuel Model - Summary'!$B:$B,0)),
IF($H184 = "External", INDEX('Fuel Cost - External'!K:K,MATCH('Fuel Selector'!$B184,'Fuel Cost - External'!$B:$B,0)),0)
))</f>
        <v>41.222683850065494</v>
      </c>
      <c r="O184" s="89">
        <f>IF(O$113&gt;2050,N184,
IF($H184="Modeled", INDEX('Fuel Model - Summary'!L:L,MATCH('Fuel Selector'!$B184,'Fuel Model - Summary'!$B:$B,0)),
IF($H184 = "External", INDEX('Fuel Cost - External'!L:L,MATCH('Fuel Selector'!$B184,'Fuel Cost - External'!$B:$B,0)),0)
))</f>
        <v>35.787584028344043</v>
      </c>
      <c r="P184" s="89">
        <f>IF(P$113&gt;2050,O184,
IF($H184="Modeled", INDEX('Fuel Model - Summary'!M:M,MATCH('Fuel Selector'!$B184,'Fuel Model - Summary'!$B:$B,0)),
IF($H184 = "External", INDEX('Fuel Cost - External'!M:M,MATCH('Fuel Selector'!$B184,'Fuel Cost - External'!$B:$B,0)),0)
))</f>
        <v>30.304490907639156</v>
      </c>
      <c r="Q184" s="89">
        <f>IF(Q$113&gt;2050,P184,
IF($H184="Modeled", INDEX('Fuel Model - Summary'!N:N,MATCH('Fuel Selector'!$B184,'Fuel Model - Summary'!$B:$B,0)),
IF($H184 = "External", INDEX('Fuel Cost - External'!N:N,MATCH('Fuel Selector'!$B184,'Fuel Cost - External'!$B:$B,0)),0)
))</f>
        <v>25.035281152320842</v>
      </c>
      <c r="R184" s="89">
        <f>IF(R$113&gt;2050,Q184,
IF($H184="Modeled", INDEX('Fuel Model - Summary'!O:O,MATCH('Fuel Selector'!$B184,'Fuel Model - Summary'!$B:$B,0)),
IF($H184 = "External", INDEX('Fuel Cost - External'!O:O,MATCH('Fuel Selector'!$B184,'Fuel Cost - External'!$B:$B,0)),0)
))</f>
        <v>25.035281152320842</v>
      </c>
      <c r="S184" s="89">
        <f>IF(S$113&gt;2050,R184,
IF($H184="Modeled", INDEX('Fuel Model - Summary'!P:P,MATCH('Fuel Selector'!$B184,'Fuel Model - Summary'!$B:$B,0)),
IF($H184 = "External", INDEX('Fuel Cost - External'!P:P,MATCH('Fuel Selector'!$B184,'Fuel Cost - External'!$B:$B,0)),0)
))</f>
        <v>25.035281152320842</v>
      </c>
      <c r="T184" s="89">
        <f>IF(T$113&gt;2050,S184,
IF($H184="Modeled", INDEX('Fuel Model - Summary'!Q:Q,MATCH('Fuel Selector'!$B184,'Fuel Model - Summary'!$B:$B,0)),
IF($H184 = "External", INDEX('Fuel Cost - External'!Q:Q,MATCH('Fuel Selector'!$B184,'Fuel Cost - External'!$B:$B,0)),0)
))</f>
        <v>25.035281152320842</v>
      </c>
      <c r="U184" s="89">
        <f>IF(U$113&gt;2050,T184,
IF($H184="Modeled", INDEX('Fuel Model - Summary'!R:R,MATCH('Fuel Selector'!$B184,'Fuel Model - Summary'!$B:$B,0)),
IF($H184 = "External", INDEX('Fuel Cost - External'!R:R,MATCH('Fuel Selector'!$B184,'Fuel Cost - External'!$B:$B,0)),0)
))</f>
        <v>25.035281152320842</v>
      </c>
      <c r="V184" s="89">
        <f>IF(V$113&gt;2050,U184,
IF($H184="Modeled", INDEX('Fuel Model - Summary'!S:S,MATCH('Fuel Selector'!$B184,'Fuel Model - Summary'!$B:$B,0)),
IF($H184 = "External", INDEX('Fuel Cost - External'!S:S,MATCH('Fuel Selector'!$B184,'Fuel Cost - External'!$B:$B,0)),0)
))</f>
        <v>25.035281152320842</v>
      </c>
    </row>
    <row r="185" spans="1:22" x14ac:dyDescent="0.2">
      <c r="A185" s="29">
        <f t="shared" si="145"/>
        <v>9</v>
      </c>
      <c r="B185" s="334" t="str">
        <f t="shared" si="142"/>
        <v>e-Methane (PS) - Americas - Fuel cost - USD/GJ</v>
      </c>
      <c r="C185" t="str" cm="1">
        <f t="array" ref="C185">INDEX(list_AE_fuel,A185)</f>
        <v>e-Methane (PS)</v>
      </c>
      <c r="D185"/>
      <c r="E185" t="str">
        <f t="shared" si="144"/>
        <v>Americas</v>
      </c>
      <c r="F185" t="str">
        <f t="shared" si="143"/>
        <v>Fuel cost - USD/GJ</v>
      </c>
      <c r="G185" s="226"/>
      <c r="H185" s="128" t="str" cm="1">
        <f t="array" ref="H185">INDEX('Configurator Specs.'!$CG$5:$CG$24,A185)</f>
        <v>Modeled</v>
      </c>
      <c r="I185" t="s">
        <v>324</v>
      </c>
      <c r="K185" s="89">
        <f>IF(K$113&gt;2050,J185,
IF($H185="Modeled", INDEX('Fuel Model - Summary'!H:H,MATCH('Fuel Selector'!$B185,'Fuel Model - Summary'!$B:$B,0)),
IF($H185 = "External", INDEX('Fuel Cost - External'!H:H,MATCH('Fuel Selector'!$B185,'Fuel Cost - External'!$B:$B,0)),0)
))</f>
        <v>59.775359384326585</v>
      </c>
      <c r="L185" s="89">
        <f>IF(L$113&gt;2050,K185,
IF($H185="Modeled", INDEX('Fuel Model - Summary'!I:I,MATCH('Fuel Selector'!$B185,'Fuel Model - Summary'!$B:$B,0)),
IF($H185 = "External", INDEX('Fuel Cost - External'!I:I,MATCH('Fuel Selector'!$B185,'Fuel Cost - External'!$B:$B,0)),0)
))</f>
        <v>51.407309083954345</v>
      </c>
      <c r="M185" s="89">
        <f>IF(M$113&gt;2050,L185,
IF($H185="Modeled", INDEX('Fuel Model - Summary'!J:J,MATCH('Fuel Selector'!$B185,'Fuel Model - Summary'!$B:$B,0)),
IF($H185 = "External", INDEX('Fuel Cost - External'!J:J,MATCH('Fuel Selector'!$B185,'Fuel Cost - External'!$B:$B,0)),0)
))</f>
        <v>42.576219242573622</v>
      </c>
      <c r="N185" s="89">
        <f>IF(N$113&gt;2050,M185,
IF($H185="Modeled", INDEX('Fuel Model - Summary'!K:K,MATCH('Fuel Selector'!$B185,'Fuel Model - Summary'!$B:$B,0)),
IF($H185 = "External", INDEX('Fuel Cost - External'!K:K,MATCH('Fuel Selector'!$B185,'Fuel Cost - External'!$B:$B,0)),0)
))</f>
        <v>39.029847281517711</v>
      </c>
      <c r="O185" s="89">
        <f>IF(O$113&gt;2050,N185,
IF($H185="Modeled", INDEX('Fuel Model - Summary'!L:L,MATCH('Fuel Selector'!$B185,'Fuel Model - Summary'!$B:$B,0)),
IF($H185 = "External", INDEX('Fuel Cost - External'!L:L,MATCH('Fuel Selector'!$B185,'Fuel Cost - External'!$B:$B,0)),0)
))</f>
        <v>34.235110565323183</v>
      </c>
      <c r="P185" s="89">
        <f>IF(P$113&gt;2050,O185,
IF($H185="Modeled", INDEX('Fuel Model - Summary'!M:M,MATCH('Fuel Selector'!$B185,'Fuel Model - Summary'!$B:$B,0)),
IF($H185 = "External", INDEX('Fuel Cost - External'!M:M,MATCH('Fuel Selector'!$B185,'Fuel Cost - External'!$B:$B,0)),0)
))</f>
        <v>29.065489534488165</v>
      </c>
      <c r="Q185" s="89">
        <f>IF(Q$113&gt;2050,P185,
IF($H185="Modeled", INDEX('Fuel Model - Summary'!N:N,MATCH('Fuel Selector'!$B185,'Fuel Model - Summary'!$B:$B,0)),
IF($H185 = "External", INDEX('Fuel Cost - External'!N:N,MATCH('Fuel Selector'!$B185,'Fuel Cost - External'!$B:$B,0)),0)
))</f>
        <v>23.959466951061955</v>
      </c>
      <c r="R185" s="89">
        <f>IF(R$113&gt;2050,Q185,
IF($H185="Modeled", INDEX('Fuel Model - Summary'!O:O,MATCH('Fuel Selector'!$B185,'Fuel Model - Summary'!$B:$B,0)),
IF($H185 = "External", INDEX('Fuel Cost - External'!O:O,MATCH('Fuel Selector'!$B185,'Fuel Cost - External'!$B:$B,0)),0)
))</f>
        <v>23.959466951061955</v>
      </c>
      <c r="S185" s="89">
        <f>IF(S$113&gt;2050,R185,
IF($H185="Modeled", INDEX('Fuel Model - Summary'!P:P,MATCH('Fuel Selector'!$B185,'Fuel Model - Summary'!$B:$B,0)),
IF($H185 = "External", INDEX('Fuel Cost - External'!P:P,MATCH('Fuel Selector'!$B185,'Fuel Cost - External'!$B:$B,0)),0)
))</f>
        <v>23.959466951061955</v>
      </c>
      <c r="T185" s="89">
        <f>IF(T$113&gt;2050,S185,
IF($H185="Modeled", INDEX('Fuel Model - Summary'!Q:Q,MATCH('Fuel Selector'!$B185,'Fuel Model - Summary'!$B:$B,0)),
IF($H185 = "External", INDEX('Fuel Cost - External'!Q:Q,MATCH('Fuel Selector'!$B185,'Fuel Cost - External'!$B:$B,0)),0)
))</f>
        <v>23.959466951061955</v>
      </c>
      <c r="U185" s="89">
        <f>IF(U$113&gt;2050,T185,
IF($H185="Modeled", INDEX('Fuel Model - Summary'!R:R,MATCH('Fuel Selector'!$B185,'Fuel Model - Summary'!$B:$B,0)),
IF($H185 = "External", INDEX('Fuel Cost - External'!R:R,MATCH('Fuel Selector'!$B185,'Fuel Cost - External'!$B:$B,0)),0)
))</f>
        <v>23.959466951061955</v>
      </c>
      <c r="V185" s="89">
        <f>IF(V$113&gt;2050,U185,
IF($H185="Modeled", INDEX('Fuel Model - Summary'!S:S,MATCH('Fuel Selector'!$B185,'Fuel Model - Summary'!$B:$B,0)),
IF($H185 = "External", INDEX('Fuel Cost - External'!S:S,MATCH('Fuel Selector'!$B185,'Fuel Cost - External'!$B:$B,0)),0)
))</f>
        <v>23.959466951061955</v>
      </c>
    </row>
    <row r="186" spans="1:22" x14ac:dyDescent="0.2">
      <c r="A186" s="29">
        <f t="shared" si="145"/>
        <v>10</v>
      </c>
      <c r="B186" s="334" t="str">
        <f t="shared" si="142"/>
        <v>Biomethanol - Americas - Fuel cost - USD/GJ</v>
      </c>
      <c r="C186" t="str" cm="1">
        <f t="array" ref="C186">INDEX(list_AE_fuel,A186)</f>
        <v>Biomethanol</v>
      </c>
      <c r="D186"/>
      <c r="E186" t="str">
        <f t="shared" si="144"/>
        <v>Americas</v>
      </c>
      <c r="F186" t="str">
        <f t="shared" si="143"/>
        <v>Fuel cost - USD/GJ</v>
      </c>
      <c r="G186"/>
      <c r="H186" s="128" t="str" cm="1">
        <f t="array" ref="H186">INDEX('Configurator Specs.'!$CG$5:$CG$24,A186)</f>
        <v>Modeled</v>
      </c>
      <c r="I186" t="s">
        <v>324</v>
      </c>
      <c r="K186" s="89">
        <f>IF(K$113&gt;2050,J186,
IF($H186="Modeled", INDEX('Fuel Model - Summary'!H:H,MATCH('Fuel Selector'!$B186,'Fuel Model - Summary'!$B:$B,0)),
IF($H186 = "External", INDEX('Fuel Cost - External'!H:H,MATCH('Fuel Selector'!$B186,'Fuel Cost - External'!$B:$B,0)),0)
))</f>
        <v>49.489665950950624</v>
      </c>
      <c r="L186" s="89">
        <f>IF(L$113&gt;2050,K186,
IF($H186="Modeled", INDEX('Fuel Model - Summary'!I:I,MATCH('Fuel Selector'!$B186,'Fuel Model - Summary'!$B:$B,0)),
IF($H186 = "External", INDEX('Fuel Cost - External'!I:I,MATCH('Fuel Selector'!$B186,'Fuel Cost - External'!$B:$B,0)),0)
))</f>
        <v>34.724554120431115</v>
      </c>
      <c r="M186" s="89">
        <f>IF(M$113&gt;2050,L186,
IF($H186="Modeled", INDEX('Fuel Model - Summary'!J:J,MATCH('Fuel Selector'!$B186,'Fuel Model - Summary'!$B:$B,0)),
IF($H186 = "External", INDEX('Fuel Cost - External'!J:J,MATCH('Fuel Selector'!$B186,'Fuel Cost - External'!$B:$B,0)),0)
))</f>
        <v>29.26595868795361</v>
      </c>
      <c r="N186" s="89">
        <f>IF(N$113&gt;2050,M186,
IF($H186="Modeled", INDEX('Fuel Model - Summary'!K:K,MATCH('Fuel Selector'!$B186,'Fuel Model - Summary'!$B:$B,0)),
IF($H186 = "External", INDEX('Fuel Cost - External'!K:K,MATCH('Fuel Selector'!$B186,'Fuel Cost - External'!$B:$B,0)),0)
))</f>
        <v>27.003074013743976</v>
      </c>
      <c r="O186" s="89">
        <f>IF(O$113&gt;2050,N186,
IF($H186="Modeled", INDEX('Fuel Model - Summary'!L:L,MATCH('Fuel Selector'!$B186,'Fuel Model - Summary'!$B:$B,0)),
IF($H186 = "External", INDEX('Fuel Cost - External'!L:L,MATCH('Fuel Selector'!$B186,'Fuel Cost - External'!$B:$B,0)),0)
))</f>
        <v>24.756025607108135</v>
      </c>
      <c r="P186" s="89">
        <f>IF(P$113&gt;2050,O186,
IF($H186="Modeled", INDEX('Fuel Model - Summary'!M:M,MATCH('Fuel Selector'!$B186,'Fuel Model - Summary'!$B:$B,0)),
IF($H186 = "External", INDEX('Fuel Cost - External'!M:M,MATCH('Fuel Selector'!$B186,'Fuel Cost - External'!$B:$B,0)),0)
))</f>
        <v>23.540989434298989</v>
      </c>
      <c r="Q186" s="89">
        <f>IF(Q$113&gt;2050,P186,
IF($H186="Modeled", INDEX('Fuel Model - Summary'!N:N,MATCH('Fuel Selector'!$B186,'Fuel Model - Summary'!$B:$B,0)),
IF($H186 = "External", INDEX('Fuel Cost - External'!N:N,MATCH('Fuel Selector'!$B186,'Fuel Cost - External'!$B:$B,0)),0)
))</f>
        <v>22.271769078496874</v>
      </c>
      <c r="R186" s="89">
        <f>IF(R$113&gt;2050,Q186,
IF($H186="Modeled", INDEX('Fuel Model - Summary'!O:O,MATCH('Fuel Selector'!$B186,'Fuel Model - Summary'!$B:$B,0)),
IF($H186 = "External", INDEX('Fuel Cost - External'!O:O,MATCH('Fuel Selector'!$B186,'Fuel Cost - External'!$B:$B,0)),0)
))</f>
        <v>22.271769078496874</v>
      </c>
      <c r="S186" s="89">
        <f>IF(S$113&gt;2050,R186,
IF($H186="Modeled", INDEX('Fuel Model - Summary'!P:P,MATCH('Fuel Selector'!$B186,'Fuel Model - Summary'!$B:$B,0)),
IF($H186 = "External", INDEX('Fuel Cost - External'!P:P,MATCH('Fuel Selector'!$B186,'Fuel Cost - External'!$B:$B,0)),0)
))</f>
        <v>22.271769078496874</v>
      </c>
      <c r="T186" s="89">
        <f>IF(T$113&gt;2050,S186,
IF($H186="Modeled", INDEX('Fuel Model - Summary'!Q:Q,MATCH('Fuel Selector'!$B186,'Fuel Model - Summary'!$B:$B,0)),
IF($H186 = "External", INDEX('Fuel Cost - External'!Q:Q,MATCH('Fuel Selector'!$B186,'Fuel Cost - External'!$B:$B,0)),0)
))</f>
        <v>22.271769078496874</v>
      </c>
      <c r="U186" s="89">
        <f>IF(U$113&gt;2050,T186,
IF($H186="Modeled", INDEX('Fuel Model - Summary'!R:R,MATCH('Fuel Selector'!$B186,'Fuel Model - Summary'!$B:$B,0)),
IF($H186 = "External", INDEX('Fuel Cost - External'!R:R,MATCH('Fuel Selector'!$B186,'Fuel Cost - External'!$B:$B,0)),0)
))</f>
        <v>22.271769078496874</v>
      </c>
      <c r="V186" s="89">
        <f>IF(V$113&gt;2050,U186,
IF($H186="Modeled", INDEX('Fuel Model - Summary'!S:S,MATCH('Fuel Selector'!$B186,'Fuel Model - Summary'!$B:$B,0)),
IF($H186 = "External", INDEX('Fuel Cost - External'!S:S,MATCH('Fuel Selector'!$B186,'Fuel Cost - External'!$B:$B,0)),0)
))</f>
        <v>22.271769078496874</v>
      </c>
    </row>
    <row r="187" spans="1:22" x14ac:dyDescent="0.2">
      <c r="A187" s="29">
        <f t="shared" si="145"/>
        <v>11</v>
      </c>
      <c r="B187" s="334" t="str">
        <f t="shared" si="142"/>
        <v>e-Methanol (DAC) - Americas - Fuel cost - USD/GJ</v>
      </c>
      <c r="C187" t="str" cm="1">
        <f t="array" ref="C187">INDEX(list_AE_fuel,A187)</f>
        <v>e-Methanol (DAC)</v>
      </c>
      <c r="D187"/>
      <c r="E187" t="str">
        <f t="shared" si="144"/>
        <v>Americas</v>
      </c>
      <c r="F187" t="str">
        <f t="shared" si="143"/>
        <v>Fuel cost - USD/GJ</v>
      </c>
      <c r="G187"/>
      <c r="H187" s="128" t="str" cm="1">
        <f t="array" ref="H187">INDEX('Configurator Specs.'!$CG$5:$CG$24,A187)</f>
        <v>Modeled</v>
      </c>
      <c r="I187" t="s">
        <v>324</v>
      </c>
      <c r="K187" s="89">
        <f>IF(K$113&gt;2050,J187,
IF($H187="Modeled", INDEX('Fuel Model - Summary'!H:H,MATCH('Fuel Selector'!$B187,'Fuel Model - Summary'!$B:$B,0)),
IF($H187 = "External", INDEX('Fuel Cost - External'!H:H,MATCH('Fuel Selector'!$B187,'Fuel Cost - External'!$B:$B,0)),0)
))</f>
        <v>80.387032918305678</v>
      </c>
      <c r="L187" s="89">
        <f>IF(L$113&gt;2050,K187,
IF($H187="Modeled", INDEX('Fuel Model - Summary'!I:I,MATCH('Fuel Selector'!$B187,'Fuel Model - Summary'!$B:$B,0)),
IF($H187 = "External", INDEX('Fuel Cost - External'!I:I,MATCH('Fuel Selector'!$B187,'Fuel Cost - External'!$B:$B,0)),0)
))</f>
        <v>67.696688297683195</v>
      </c>
      <c r="M187" s="89">
        <f>IF(M$113&gt;2050,L187,
IF($H187="Modeled", INDEX('Fuel Model - Summary'!J:J,MATCH('Fuel Selector'!$B187,'Fuel Model - Summary'!$B:$B,0)),
IF($H187 = "External", INDEX('Fuel Cost - External'!J:J,MATCH('Fuel Selector'!$B187,'Fuel Cost - External'!$B:$B,0)),0)
))</f>
        <v>53.911671856735758</v>
      </c>
      <c r="N187" s="89">
        <f>IF(N$113&gt;2050,M187,
IF($H187="Modeled", INDEX('Fuel Model - Summary'!K:K,MATCH('Fuel Selector'!$B187,'Fuel Model - Summary'!$B:$B,0)),
IF($H187 = "External", INDEX('Fuel Cost - External'!K:K,MATCH('Fuel Selector'!$B187,'Fuel Cost - External'!$B:$B,0)),0)
))</f>
        <v>47.915592478093146</v>
      </c>
      <c r="O187" s="89">
        <f>IF(O$113&gt;2050,N187,
IF($H187="Modeled", INDEX('Fuel Model - Summary'!L:L,MATCH('Fuel Selector'!$B187,'Fuel Model - Summary'!$B:$B,0)),
IF($H187 = "External", INDEX('Fuel Cost - External'!L:L,MATCH('Fuel Selector'!$B187,'Fuel Cost - External'!$B:$B,0)),0)
))</f>
        <v>41.146678436954673</v>
      </c>
      <c r="P187" s="89">
        <f>IF(P$113&gt;2050,O187,
IF($H187="Modeled", INDEX('Fuel Model - Summary'!M:M,MATCH('Fuel Selector'!$B187,'Fuel Model - Summary'!$B:$B,0)),
IF($H187 = "External", INDEX('Fuel Cost - External'!M:M,MATCH('Fuel Selector'!$B187,'Fuel Cost - External'!$B:$B,0)),0)
))</f>
        <v>34.282134309599464</v>
      </c>
      <c r="Q187" s="89">
        <f>IF(Q$113&gt;2050,P187,
IF($H187="Modeled", INDEX('Fuel Model - Summary'!N:N,MATCH('Fuel Selector'!$B187,'Fuel Model - Summary'!$B:$B,0)),
IF($H187 = "External", INDEX('Fuel Cost - External'!N:N,MATCH('Fuel Selector'!$B187,'Fuel Cost - External'!$B:$B,0)),0)
))</f>
        <v>27.683419462230756</v>
      </c>
      <c r="R187" s="89">
        <f>IF(R$113&gt;2050,Q187,
IF($H187="Modeled", INDEX('Fuel Model - Summary'!O:O,MATCH('Fuel Selector'!$B187,'Fuel Model - Summary'!$B:$B,0)),
IF($H187 = "External", INDEX('Fuel Cost - External'!O:O,MATCH('Fuel Selector'!$B187,'Fuel Cost - External'!$B:$B,0)),0)
))</f>
        <v>27.683419462230756</v>
      </c>
      <c r="S187" s="89">
        <f>IF(S$113&gt;2050,R187,
IF($H187="Modeled", INDEX('Fuel Model - Summary'!P:P,MATCH('Fuel Selector'!$B187,'Fuel Model - Summary'!$B:$B,0)),
IF($H187 = "External", INDEX('Fuel Cost - External'!P:P,MATCH('Fuel Selector'!$B187,'Fuel Cost - External'!$B:$B,0)),0)
))</f>
        <v>27.683419462230756</v>
      </c>
      <c r="T187" s="89">
        <f>IF(T$113&gt;2050,S187,
IF($H187="Modeled", INDEX('Fuel Model - Summary'!Q:Q,MATCH('Fuel Selector'!$B187,'Fuel Model - Summary'!$B:$B,0)),
IF($H187 = "External", INDEX('Fuel Cost - External'!Q:Q,MATCH('Fuel Selector'!$B187,'Fuel Cost - External'!$B:$B,0)),0)
))</f>
        <v>27.683419462230756</v>
      </c>
      <c r="U187" s="89">
        <f>IF(U$113&gt;2050,T187,
IF($H187="Modeled", INDEX('Fuel Model - Summary'!R:R,MATCH('Fuel Selector'!$B187,'Fuel Model - Summary'!$B:$B,0)),
IF($H187 = "External", INDEX('Fuel Cost - External'!R:R,MATCH('Fuel Selector'!$B187,'Fuel Cost - External'!$B:$B,0)),0)
))</f>
        <v>27.683419462230756</v>
      </c>
      <c r="V187" s="89">
        <f>IF(V$113&gt;2050,U187,
IF($H187="Modeled", INDEX('Fuel Model - Summary'!S:S,MATCH('Fuel Selector'!$B187,'Fuel Model - Summary'!$B:$B,0)),
IF($H187 = "External", INDEX('Fuel Cost - External'!S:S,MATCH('Fuel Selector'!$B187,'Fuel Cost - External'!$B:$B,0)),0)
))</f>
        <v>27.683419462230756</v>
      </c>
    </row>
    <row r="188" spans="1:22" x14ac:dyDescent="0.2">
      <c r="A188" s="29">
        <f t="shared" si="145"/>
        <v>12</v>
      </c>
      <c r="B188" s="334" t="str">
        <f t="shared" si="142"/>
        <v>e-Methanol (PS) - Americas - Fuel cost - USD/GJ</v>
      </c>
      <c r="C188" t="str" cm="1">
        <f t="array" ref="C188">INDEX(list_AE_fuel,A188)</f>
        <v>e-Methanol (PS)</v>
      </c>
      <c r="D188"/>
      <c r="E188" t="str">
        <f>E187</f>
        <v>Americas</v>
      </c>
      <c r="F188" t="str">
        <f t="shared" si="143"/>
        <v>Fuel cost - USD/GJ</v>
      </c>
      <c r="G188"/>
      <c r="H188" s="128" t="str" cm="1">
        <f t="array" ref="H188">INDEX('Configurator Specs.'!$CG$5:$CG$24,A188)</f>
        <v>Modeled</v>
      </c>
      <c r="I188" t="s">
        <v>324</v>
      </c>
      <c r="K188" s="89">
        <f>IF(K$113&gt;2050,J188,
IF($H188="Modeled", INDEX('Fuel Model - Summary'!H:H,MATCH('Fuel Selector'!$B188,'Fuel Model - Summary'!$B:$B,0)),
IF($H188 = "External", INDEX('Fuel Cost - External'!H:H,MATCH('Fuel Selector'!$B188,'Fuel Cost - External'!$B:$B,0)),0)
))</f>
        <v>74.60350245113122</v>
      </c>
      <c r="L188" s="89">
        <f>IF(L$113&gt;2050,K188,
IF($H188="Modeled", INDEX('Fuel Model - Summary'!I:I,MATCH('Fuel Selector'!$B188,'Fuel Model - Summary'!$B:$B,0)),
IF($H188 = "External", INDEX('Fuel Cost - External'!I:I,MATCH('Fuel Selector'!$B188,'Fuel Cost - External'!$B:$B,0)),0)
))</f>
        <v>62.863937069760716</v>
      </c>
      <c r="M188" s="89">
        <f>IF(M$113&gt;2050,L188,
IF($H188="Modeled", INDEX('Fuel Model - Summary'!J:J,MATCH('Fuel Selector'!$B188,'Fuel Model - Summary'!$B:$B,0)),
IF($H188 = "External", INDEX('Fuel Cost - External'!J:J,MATCH('Fuel Selector'!$B188,'Fuel Cost - External'!$B:$B,0)),0)
))</f>
        <v>49.977830737365217</v>
      </c>
      <c r="N188" s="89">
        <f>IF(N$113&gt;2050,M188,
IF($H188="Modeled", INDEX('Fuel Model - Summary'!K:K,MATCH('Fuel Selector'!$B188,'Fuel Model - Summary'!$B:$B,0)),
IF($H188 = "External", INDEX('Fuel Cost - External'!K:K,MATCH('Fuel Selector'!$B188,'Fuel Cost - External'!$B:$B,0)),0)
))</f>
        <v>45.157161706746599</v>
      </c>
      <c r="O188" s="89">
        <f>IF(O$113&gt;2050,N188,
IF($H188="Modeled", INDEX('Fuel Model - Summary'!L:L,MATCH('Fuel Selector'!$B188,'Fuel Model - Summary'!$B:$B,0)),
IF($H188 = "External", INDEX('Fuel Cost - External'!L:L,MATCH('Fuel Selector'!$B188,'Fuel Cost - External'!$B:$B,0)),0)
))</f>
        <v>39.193778419908838</v>
      </c>
      <c r="P188" s="89">
        <f>IF(P$113&gt;2050,O188,
IF($H188="Modeled", INDEX('Fuel Model - Summary'!M:M,MATCH('Fuel Selector'!$B188,'Fuel Model - Summary'!$B:$B,0)),
IF($H188 = "External", INDEX('Fuel Cost - External'!M:M,MATCH('Fuel Selector'!$B188,'Fuel Cost - External'!$B:$B,0)),0)
))</f>
        <v>32.723559647693079</v>
      </c>
      <c r="Q188" s="89">
        <f>IF(Q$113&gt;2050,P188,
IF($H188="Modeled", INDEX('Fuel Model - Summary'!N:N,MATCH('Fuel Selector'!$B188,'Fuel Model - Summary'!$B:$B,0)),
IF($H188 = "External", INDEX('Fuel Cost - External'!N:N,MATCH('Fuel Selector'!$B188,'Fuel Cost - External'!$B:$B,0)),0)
))</f>
        <v>26.330122531867449</v>
      </c>
      <c r="R188" s="89">
        <f>IF(R$113&gt;2050,Q188,
IF($H188="Modeled", INDEX('Fuel Model - Summary'!O:O,MATCH('Fuel Selector'!$B188,'Fuel Model - Summary'!$B:$B,0)),
IF($H188 = "External", INDEX('Fuel Cost - External'!O:O,MATCH('Fuel Selector'!$B188,'Fuel Cost - External'!$B:$B,0)),0)
))</f>
        <v>26.330122531867449</v>
      </c>
      <c r="S188" s="89">
        <f>IF(S$113&gt;2050,R188,
IF($H188="Modeled", INDEX('Fuel Model - Summary'!P:P,MATCH('Fuel Selector'!$B188,'Fuel Model - Summary'!$B:$B,0)),
IF($H188 = "External", INDEX('Fuel Cost - External'!P:P,MATCH('Fuel Selector'!$B188,'Fuel Cost - External'!$B:$B,0)),0)
))</f>
        <v>26.330122531867449</v>
      </c>
      <c r="T188" s="89">
        <f>IF(T$113&gt;2050,S188,
IF($H188="Modeled", INDEX('Fuel Model - Summary'!Q:Q,MATCH('Fuel Selector'!$B188,'Fuel Model - Summary'!$B:$B,0)),
IF($H188 = "External", INDEX('Fuel Cost - External'!Q:Q,MATCH('Fuel Selector'!$B188,'Fuel Cost - External'!$B:$B,0)),0)
))</f>
        <v>26.330122531867449</v>
      </c>
      <c r="U188" s="89">
        <f>IF(U$113&gt;2050,T188,
IF($H188="Modeled", INDEX('Fuel Model - Summary'!R:R,MATCH('Fuel Selector'!$B188,'Fuel Model - Summary'!$B:$B,0)),
IF($H188 = "External", INDEX('Fuel Cost - External'!R:R,MATCH('Fuel Selector'!$B188,'Fuel Cost - External'!$B:$B,0)),0)
))</f>
        <v>26.330122531867449</v>
      </c>
      <c r="V188" s="89">
        <f>IF(V$113&gt;2050,U188,
IF($H188="Modeled", INDEX('Fuel Model - Summary'!S:S,MATCH('Fuel Selector'!$B188,'Fuel Model - Summary'!$B:$B,0)),
IF($H188 = "External", INDEX('Fuel Cost - External'!S:S,MATCH('Fuel Selector'!$B188,'Fuel Cost - External'!$B:$B,0)),0)
))</f>
        <v>26.330122531867449</v>
      </c>
    </row>
    <row r="189" spans="1:22" x14ac:dyDescent="0.2">
      <c r="A189" s="29">
        <f t="shared" si="145"/>
        <v>13</v>
      </c>
      <c r="B189" s="334" t="str">
        <f t="shared" si="142"/>
        <v>Biodiesel (HtL) - Americas - Fuel cost - USD/GJ</v>
      </c>
      <c r="C189" t="str" cm="1">
        <f t="array" ref="C189">INDEX(list_AE_fuel,A189)</f>
        <v>Biodiesel (HtL)</v>
      </c>
      <c r="D189"/>
      <c r="E189" t="str">
        <f t="shared" ref="E189:E196" si="146">E188</f>
        <v>Americas</v>
      </c>
      <c r="F189" t="str">
        <f t="shared" si="143"/>
        <v>Fuel cost - USD/GJ</v>
      </c>
      <c r="G189"/>
      <c r="H189" s="128" t="str" cm="1">
        <f t="array" ref="H189">INDEX('Configurator Specs.'!$CG$5:$CG$24,A189)</f>
        <v>Modeled</v>
      </c>
      <c r="I189" t="s">
        <v>324</v>
      </c>
      <c r="K189" s="89">
        <f>IF(K$113&gt;2050,J189,
IF($H189="Modeled", INDEX('Fuel Model - Summary'!H:H,MATCH('Fuel Selector'!$B189,'Fuel Model - Summary'!$B:$B,0)),
IF($H189 = "External", INDEX('Fuel Cost - External'!H:H,MATCH('Fuel Selector'!$B189,'Fuel Cost - External'!$B:$B,0)),0)
))</f>
        <v>153.02309687289585</v>
      </c>
      <c r="L189" s="89">
        <f>IF(L$113&gt;2050,K189,
IF($H189="Modeled", INDEX('Fuel Model - Summary'!I:I,MATCH('Fuel Selector'!$B189,'Fuel Model - Summary'!$B:$B,0)),
IF($H189 = "External", INDEX('Fuel Cost - External'!I:I,MATCH('Fuel Selector'!$B189,'Fuel Cost - External'!$B:$B,0)),0)
))</f>
        <v>49.95036637633654</v>
      </c>
      <c r="M189" s="89">
        <f>IF(M$113&gt;2050,L189,
IF($H189="Modeled", INDEX('Fuel Model - Summary'!J:J,MATCH('Fuel Selector'!$B189,'Fuel Model - Summary'!$B:$B,0)),
IF($H189 = "External", INDEX('Fuel Cost - External'!J:J,MATCH('Fuel Selector'!$B189,'Fuel Cost - External'!$B:$B,0)),0)
))</f>
        <v>22.616271956431817</v>
      </c>
      <c r="N189" s="89">
        <f>IF(N$113&gt;2050,M189,
IF($H189="Modeled", INDEX('Fuel Model - Summary'!K:K,MATCH('Fuel Selector'!$B189,'Fuel Model - Summary'!$B:$B,0)),
IF($H189 = "External", INDEX('Fuel Cost - External'!K:K,MATCH('Fuel Selector'!$B189,'Fuel Cost - External'!$B:$B,0)),0)
))</f>
        <v>22.368525675287387</v>
      </c>
      <c r="O189" s="89">
        <f>IF(O$113&gt;2050,N189,
IF($H189="Modeled", INDEX('Fuel Model - Summary'!L:L,MATCH('Fuel Selector'!$B189,'Fuel Model - Summary'!$B:$B,0)),
IF($H189 = "External", INDEX('Fuel Cost - External'!L:L,MATCH('Fuel Selector'!$B189,'Fuel Cost - External'!$B:$B,0)),0)
))</f>
        <v>21.951820735671799</v>
      </c>
      <c r="P189" s="89">
        <f>IF(P$113&gt;2050,O189,
IF($H189="Modeled", INDEX('Fuel Model - Summary'!M:M,MATCH('Fuel Selector'!$B189,'Fuel Model - Summary'!$B:$B,0)),
IF($H189 = "External", INDEX('Fuel Cost - External'!M:M,MATCH('Fuel Selector'!$B189,'Fuel Cost - External'!$B:$B,0)),0)
))</f>
        <v>21.493716548735286</v>
      </c>
      <c r="Q189" s="89">
        <f>IF(Q$113&gt;2050,P189,
IF($H189="Modeled", INDEX('Fuel Model - Summary'!N:N,MATCH('Fuel Selector'!$B189,'Fuel Model - Summary'!$B:$B,0)),
IF($H189 = "External", INDEX('Fuel Cost - External'!N:N,MATCH('Fuel Selector'!$B189,'Fuel Cost - External'!$B:$B,0)),0)
))</f>
        <v>20.662768754200862</v>
      </c>
      <c r="R189" s="89">
        <f>IF(R$113&gt;2050,Q189,
IF($H189="Modeled", INDEX('Fuel Model - Summary'!O:O,MATCH('Fuel Selector'!$B189,'Fuel Model - Summary'!$B:$B,0)),
IF($H189 = "External", INDEX('Fuel Cost - External'!O:O,MATCH('Fuel Selector'!$B189,'Fuel Cost - External'!$B:$B,0)),0)
))</f>
        <v>20.662768754200862</v>
      </c>
      <c r="S189" s="89">
        <f>IF(S$113&gt;2050,R189,
IF($H189="Modeled", INDEX('Fuel Model - Summary'!P:P,MATCH('Fuel Selector'!$B189,'Fuel Model - Summary'!$B:$B,0)),
IF($H189 = "External", INDEX('Fuel Cost - External'!P:P,MATCH('Fuel Selector'!$B189,'Fuel Cost - External'!$B:$B,0)),0)
))</f>
        <v>20.662768754200862</v>
      </c>
      <c r="T189" s="89">
        <f>IF(T$113&gt;2050,S189,
IF($H189="Modeled", INDEX('Fuel Model - Summary'!Q:Q,MATCH('Fuel Selector'!$B189,'Fuel Model - Summary'!$B:$B,0)),
IF($H189 = "External", INDEX('Fuel Cost - External'!Q:Q,MATCH('Fuel Selector'!$B189,'Fuel Cost - External'!$B:$B,0)),0)
))</f>
        <v>20.662768754200862</v>
      </c>
      <c r="U189" s="89">
        <f>IF(U$113&gt;2050,T189,
IF($H189="Modeled", INDEX('Fuel Model - Summary'!R:R,MATCH('Fuel Selector'!$B189,'Fuel Model - Summary'!$B:$B,0)),
IF($H189 = "External", INDEX('Fuel Cost - External'!R:R,MATCH('Fuel Selector'!$B189,'Fuel Cost - External'!$B:$B,0)),0)
))</f>
        <v>20.662768754200862</v>
      </c>
      <c r="V189" s="89">
        <f>IF(V$113&gt;2050,U189,
IF($H189="Modeled", INDEX('Fuel Model - Summary'!S:S,MATCH('Fuel Selector'!$B189,'Fuel Model - Summary'!$B:$B,0)),
IF($H189 = "External", INDEX('Fuel Cost - External'!S:S,MATCH('Fuel Selector'!$B189,'Fuel Cost - External'!$B:$B,0)),0)
))</f>
        <v>20.662768754200862</v>
      </c>
    </row>
    <row r="190" spans="1:22" x14ac:dyDescent="0.2">
      <c r="A190" s="29">
        <f t="shared" si="145"/>
        <v>14</v>
      </c>
      <c r="B190" s="334" t="str">
        <f t="shared" si="142"/>
        <v>Biodiesel (Pyr) - Americas - Fuel cost - USD/GJ</v>
      </c>
      <c r="C190" t="str" cm="1">
        <f t="array" ref="C190">INDEX(list_AE_fuel,A190)</f>
        <v>Biodiesel (Pyr)</v>
      </c>
      <c r="D190"/>
      <c r="E190" t="str">
        <f t="shared" si="146"/>
        <v>Americas</v>
      </c>
      <c r="F190" t="str">
        <f t="shared" si="143"/>
        <v>Fuel cost - USD/GJ</v>
      </c>
      <c r="G190"/>
      <c r="H190" s="128" t="str" cm="1">
        <f t="array" ref="H190">INDEX('Configurator Specs.'!$CG$5:$CG$24,A190)</f>
        <v>Modeled</v>
      </c>
      <c r="I190" t="s">
        <v>324</v>
      </c>
      <c r="K190" s="89">
        <f>IF(K$113&gt;2050,J190,
IF($H190="Modeled", INDEX('Fuel Model - Summary'!H:H,MATCH('Fuel Selector'!$B190,'Fuel Model - Summary'!$B:$B,0)),
IF($H190 = "External", INDEX('Fuel Cost - External'!H:H,MATCH('Fuel Selector'!$B190,'Fuel Cost - External'!$B:$B,0)),0)
))</f>
        <v>48.934808962777126</v>
      </c>
      <c r="L190" s="89">
        <f>IF(L$113&gt;2050,K190,
IF($H190="Modeled", INDEX('Fuel Model - Summary'!I:I,MATCH('Fuel Selector'!$B190,'Fuel Model - Summary'!$B:$B,0)),
IF($H190 = "External", INDEX('Fuel Cost - External'!I:I,MATCH('Fuel Selector'!$B190,'Fuel Cost - External'!$B:$B,0)),0)
))</f>
        <v>34.38444089360484</v>
      </c>
      <c r="M190" s="89">
        <f>IF(M$113&gt;2050,L190,
IF($H190="Modeled", INDEX('Fuel Model - Summary'!J:J,MATCH('Fuel Selector'!$B190,'Fuel Model - Summary'!$B:$B,0)),
IF($H190 = "External", INDEX('Fuel Cost - External'!J:J,MATCH('Fuel Selector'!$B190,'Fuel Cost - External'!$B:$B,0)),0)
))</f>
        <v>20.914743616313462</v>
      </c>
      <c r="N190" s="89">
        <f>IF(N$113&gt;2050,M190,
IF($H190="Modeled", INDEX('Fuel Model - Summary'!K:K,MATCH('Fuel Selector'!$B190,'Fuel Model - Summary'!$B:$B,0)),
IF($H190 = "External", INDEX('Fuel Cost - External'!K:K,MATCH('Fuel Selector'!$B190,'Fuel Cost - External'!$B:$B,0)),0)
))</f>
        <v>21.65157697613958</v>
      </c>
      <c r="O190" s="89">
        <f>IF(O$113&gt;2050,N190,
IF($H190="Modeled", INDEX('Fuel Model - Summary'!L:L,MATCH('Fuel Selector'!$B190,'Fuel Model - Summary'!$B:$B,0)),
IF($H190 = "External", INDEX('Fuel Cost - External'!L:L,MATCH('Fuel Selector'!$B190,'Fuel Cost - External'!$B:$B,0)),0)
))</f>
        <v>21.631212679571671</v>
      </c>
      <c r="P190" s="89">
        <f>IF(P$113&gt;2050,O190,
IF($H190="Modeled", INDEX('Fuel Model - Summary'!M:M,MATCH('Fuel Selector'!$B190,'Fuel Model - Summary'!$B:$B,0)),
IF($H190 = "External", INDEX('Fuel Cost - External'!M:M,MATCH('Fuel Selector'!$B190,'Fuel Cost - External'!$B:$B,0)),0)
))</f>
        <v>21.526554618708289</v>
      </c>
      <c r="Q190" s="89">
        <f>IF(Q$113&gt;2050,P190,
IF($H190="Modeled", INDEX('Fuel Model - Summary'!N:N,MATCH('Fuel Selector'!$B190,'Fuel Model - Summary'!$B:$B,0)),
IF($H190 = "External", INDEX('Fuel Cost - External'!N:N,MATCH('Fuel Selector'!$B190,'Fuel Cost - External'!$B:$B,0)),0)
))</f>
        <v>20.600437504046997</v>
      </c>
      <c r="R190" s="89">
        <f>IF(R$113&gt;2050,Q190,
IF($H190="Modeled", INDEX('Fuel Model - Summary'!O:O,MATCH('Fuel Selector'!$B190,'Fuel Model - Summary'!$B:$B,0)),
IF($H190 = "External", INDEX('Fuel Cost - External'!O:O,MATCH('Fuel Selector'!$B190,'Fuel Cost - External'!$B:$B,0)),0)
))</f>
        <v>20.600437504046997</v>
      </c>
      <c r="S190" s="89">
        <f>IF(S$113&gt;2050,R190,
IF($H190="Modeled", INDEX('Fuel Model - Summary'!P:P,MATCH('Fuel Selector'!$B190,'Fuel Model - Summary'!$B:$B,0)),
IF($H190 = "External", INDEX('Fuel Cost - External'!P:P,MATCH('Fuel Selector'!$B190,'Fuel Cost - External'!$B:$B,0)),0)
))</f>
        <v>20.600437504046997</v>
      </c>
      <c r="T190" s="89">
        <f>IF(T$113&gt;2050,S190,
IF($H190="Modeled", INDEX('Fuel Model - Summary'!Q:Q,MATCH('Fuel Selector'!$B190,'Fuel Model - Summary'!$B:$B,0)),
IF($H190 = "External", INDEX('Fuel Cost - External'!Q:Q,MATCH('Fuel Selector'!$B190,'Fuel Cost - External'!$B:$B,0)),0)
))</f>
        <v>20.600437504046997</v>
      </c>
      <c r="U190" s="89">
        <f>IF(U$113&gt;2050,T190,
IF($H190="Modeled", INDEX('Fuel Model - Summary'!R:R,MATCH('Fuel Selector'!$B190,'Fuel Model - Summary'!$B:$B,0)),
IF($H190 = "External", INDEX('Fuel Cost - External'!R:R,MATCH('Fuel Selector'!$B190,'Fuel Cost - External'!$B:$B,0)),0)
))</f>
        <v>20.600437504046997</v>
      </c>
      <c r="V190" s="89">
        <f>IF(V$113&gt;2050,U190,
IF($H190="Modeled", INDEX('Fuel Model - Summary'!S:S,MATCH('Fuel Selector'!$B190,'Fuel Model - Summary'!$B:$B,0)),
IF($H190 = "External", INDEX('Fuel Cost - External'!S:S,MATCH('Fuel Selector'!$B190,'Fuel Cost - External'!$B:$B,0)),0)
))</f>
        <v>20.600437504046997</v>
      </c>
    </row>
    <row r="191" spans="1:22" x14ac:dyDescent="0.2">
      <c r="A191" s="29">
        <f t="shared" si="145"/>
        <v>15</v>
      </c>
      <c r="B191" s="334" t="str">
        <f t="shared" si="142"/>
        <v>e-Diesel (DAC) - Americas - Fuel cost - USD/GJ</v>
      </c>
      <c r="C191" t="str" cm="1">
        <f t="array" ref="C191">INDEX(list_AE_fuel,A191)</f>
        <v>e-Diesel (DAC)</v>
      </c>
      <c r="D191"/>
      <c r="E191" t="str">
        <f t="shared" si="146"/>
        <v>Americas</v>
      </c>
      <c r="F191" t="str">
        <f t="shared" si="143"/>
        <v>Fuel cost - USD/GJ</v>
      </c>
      <c r="G191"/>
      <c r="H191" s="128" t="str" cm="1">
        <f t="array" ref="H191">INDEX('Configurator Specs.'!$CG$5:$CG$24,A191)</f>
        <v>Modeled</v>
      </c>
      <c r="I191" t="s">
        <v>324</v>
      </c>
      <c r="K191" s="89">
        <f>IF(K$113&gt;2050,J191,
IF($H191="Modeled", INDEX('Fuel Model - Summary'!H:H,MATCH('Fuel Selector'!$B191,'Fuel Model - Summary'!$B:$B,0)),
IF($H191 = "External", INDEX('Fuel Cost - External'!H:H,MATCH('Fuel Selector'!$B191,'Fuel Cost - External'!$B:$B,0)),0)
))</f>
        <v>93.851837799666413</v>
      </c>
      <c r="L191" s="89">
        <f>IF(L$113&gt;2050,K191,
IF($H191="Modeled", INDEX('Fuel Model - Summary'!I:I,MATCH('Fuel Selector'!$B191,'Fuel Model - Summary'!$B:$B,0)),
IF($H191 = "External", INDEX('Fuel Cost - External'!I:I,MATCH('Fuel Selector'!$B191,'Fuel Cost - External'!$B:$B,0)),0)
))</f>
        <v>78.366267448990541</v>
      </c>
      <c r="M191" s="89">
        <f>IF(M$113&gt;2050,L191,
IF($H191="Modeled", INDEX('Fuel Model - Summary'!J:J,MATCH('Fuel Selector'!$B191,'Fuel Model - Summary'!$B:$B,0)),
IF($H191 = "External", INDEX('Fuel Cost - External'!J:J,MATCH('Fuel Selector'!$B191,'Fuel Cost - External'!$B:$B,0)),0)
))</f>
        <v>62.605222795006611</v>
      </c>
      <c r="N191" s="89">
        <f>IF(N$113&gt;2050,M191,
IF($H191="Modeled", INDEX('Fuel Model - Summary'!K:K,MATCH('Fuel Selector'!$B191,'Fuel Model - Summary'!$B:$B,0)),
IF($H191 = "External", INDEX('Fuel Cost - External'!K:K,MATCH('Fuel Selector'!$B191,'Fuel Cost - External'!$B:$B,0)),0)
))</f>
        <v>56.422525021042013</v>
      </c>
      <c r="O191" s="89">
        <f>IF(O$113&gt;2050,N191,
IF($H191="Modeled", INDEX('Fuel Model - Summary'!L:L,MATCH('Fuel Selector'!$B191,'Fuel Model - Summary'!$B:$B,0)),
IF($H191 = "External", INDEX('Fuel Cost - External'!L:L,MATCH('Fuel Selector'!$B191,'Fuel Cost - External'!$B:$B,0)),0)
))</f>
        <v>49.302797597055886</v>
      </c>
      <c r="P191" s="89">
        <f>IF(P$113&gt;2050,O191,
IF($H191="Modeled", INDEX('Fuel Model - Summary'!M:M,MATCH('Fuel Selector'!$B191,'Fuel Model - Summary'!$B:$B,0)),
IF($H191 = "External", INDEX('Fuel Cost - External'!M:M,MATCH('Fuel Selector'!$B191,'Fuel Cost - External'!$B:$B,0)),0)
))</f>
        <v>40.432190361432809</v>
      </c>
      <c r="Q191" s="89">
        <f>IF(Q$113&gt;2050,P191,
IF($H191="Modeled", INDEX('Fuel Model - Summary'!N:N,MATCH('Fuel Selector'!$B191,'Fuel Model - Summary'!$B:$B,0)),
IF($H191 = "External", INDEX('Fuel Cost - External'!N:N,MATCH('Fuel Selector'!$B191,'Fuel Cost - External'!$B:$B,0)),0)
))</f>
        <v>32.169415324276983</v>
      </c>
      <c r="R191" s="89">
        <f>IF(R$113&gt;2050,Q191,
IF($H191="Modeled", INDEX('Fuel Model - Summary'!O:O,MATCH('Fuel Selector'!$B191,'Fuel Model - Summary'!$B:$B,0)),
IF($H191 = "External", INDEX('Fuel Cost - External'!O:O,MATCH('Fuel Selector'!$B191,'Fuel Cost - External'!$B:$B,0)),0)
))</f>
        <v>32.169415324276983</v>
      </c>
      <c r="S191" s="89">
        <f>IF(S$113&gt;2050,R191,
IF($H191="Modeled", INDEX('Fuel Model - Summary'!P:P,MATCH('Fuel Selector'!$B191,'Fuel Model - Summary'!$B:$B,0)),
IF($H191 = "External", INDEX('Fuel Cost - External'!P:P,MATCH('Fuel Selector'!$B191,'Fuel Cost - External'!$B:$B,0)),0)
))</f>
        <v>32.169415324276983</v>
      </c>
      <c r="T191" s="89">
        <f>IF(T$113&gt;2050,S191,
IF($H191="Modeled", INDEX('Fuel Model - Summary'!Q:Q,MATCH('Fuel Selector'!$B191,'Fuel Model - Summary'!$B:$B,0)),
IF($H191 = "External", INDEX('Fuel Cost - External'!Q:Q,MATCH('Fuel Selector'!$B191,'Fuel Cost - External'!$B:$B,0)),0)
))</f>
        <v>32.169415324276983</v>
      </c>
      <c r="U191" s="89">
        <f>IF(U$113&gt;2050,T191,
IF($H191="Modeled", INDEX('Fuel Model - Summary'!R:R,MATCH('Fuel Selector'!$B191,'Fuel Model - Summary'!$B:$B,0)),
IF($H191 = "External", INDEX('Fuel Cost - External'!R:R,MATCH('Fuel Selector'!$B191,'Fuel Cost - External'!$B:$B,0)),0)
))</f>
        <v>32.169415324276983</v>
      </c>
      <c r="V191" s="89">
        <f>IF(V$113&gt;2050,U191,
IF($H191="Modeled", INDEX('Fuel Model - Summary'!S:S,MATCH('Fuel Selector'!$B191,'Fuel Model - Summary'!$B:$B,0)),
IF($H191 = "External", INDEX('Fuel Cost - External'!S:S,MATCH('Fuel Selector'!$B191,'Fuel Cost - External'!$B:$B,0)),0)
))</f>
        <v>32.169415324276983</v>
      </c>
    </row>
    <row r="192" spans="1:22" x14ac:dyDescent="0.2">
      <c r="A192" s="29">
        <f t="shared" si="145"/>
        <v>16</v>
      </c>
      <c r="B192" s="334" t="str">
        <f t="shared" si="142"/>
        <v>e-Diesel (PS) - Americas - Fuel cost - USD/GJ</v>
      </c>
      <c r="C192" t="str" cm="1">
        <f t="array" ref="C192">INDEX(list_AE_fuel,A192)</f>
        <v>e-Diesel (PS)</v>
      </c>
      <c r="D192"/>
      <c r="E192" t="str">
        <f t="shared" si="146"/>
        <v>Americas</v>
      </c>
      <c r="F192" t="str">
        <f t="shared" si="143"/>
        <v>Fuel cost - USD/GJ</v>
      </c>
      <c r="G192"/>
      <c r="H192" s="128" t="str" cm="1">
        <f t="array" ref="H192">INDEX('Configurator Specs.'!$CG$5:$CG$24,A192)</f>
        <v>Modeled</v>
      </c>
      <c r="I192" t="s">
        <v>324</v>
      </c>
      <c r="K192" s="89">
        <f>IF(K$113&gt;2050,J192,
IF($H192="Modeled", INDEX('Fuel Model - Summary'!H:H,MATCH('Fuel Selector'!$B192,'Fuel Model - Summary'!$B:$B,0)),
IF($H192 = "External", INDEX('Fuel Cost - External'!H:H,MATCH('Fuel Selector'!$B192,'Fuel Cost - External'!$B:$B,0)),0)
))</f>
        <v>87.022702444869552</v>
      </c>
      <c r="L192" s="89">
        <f>IF(L$113&gt;2050,K192,
IF($H192="Modeled", INDEX('Fuel Model - Summary'!I:I,MATCH('Fuel Selector'!$B192,'Fuel Model - Summary'!$B:$B,0)),
IF($H192 = "External", INDEX('Fuel Cost - External'!I:I,MATCH('Fuel Selector'!$B192,'Fuel Cost - External'!$B:$B,0)),0)
))</f>
        <v>72.659802780245187</v>
      </c>
      <c r="M192" s="89">
        <f>IF(M$113&gt;2050,L192,
IF($H192="Modeled", INDEX('Fuel Model - Summary'!J:J,MATCH('Fuel Selector'!$B192,'Fuel Model - Summary'!$B:$B,0)),
IF($H192 = "External", INDEX('Fuel Cost - External'!J:J,MATCH('Fuel Selector'!$B192,'Fuel Cost - External'!$B:$B,0)),0)
))</f>
        <v>57.960182257756401</v>
      </c>
      <c r="N192" s="89">
        <f>IF(N$113&gt;2050,M192,
IF($H192="Modeled", INDEX('Fuel Model - Summary'!K:K,MATCH('Fuel Selector'!$B192,'Fuel Model - Summary'!$B:$B,0)),
IF($H192 = "External", INDEX('Fuel Cost - External'!K:K,MATCH('Fuel Selector'!$B192,'Fuel Cost - External'!$B:$B,0)),0)
))</f>
        <v>53.165397352867835</v>
      </c>
      <c r="O192" s="89">
        <f>IF(O$113&gt;2050,N192,
IF($H192="Modeled", INDEX('Fuel Model - Summary'!L:L,MATCH('Fuel Selector'!$B192,'Fuel Model - Summary'!$B:$B,0)),
IF($H192 = "External", INDEX('Fuel Cost - External'!L:L,MATCH('Fuel Selector'!$B192,'Fuel Cost - External'!$B:$B,0)),0)
))</f>
        <v>46.996832645978749</v>
      </c>
      <c r="P192" s="89">
        <f>IF(P$113&gt;2050,O192,
IF($H192="Modeled", INDEX('Fuel Model - Summary'!M:M,MATCH('Fuel Selector'!$B192,'Fuel Model - Summary'!$B:$B,0)),
IF($H192 = "External", INDEX('Fuel Cost - External'!M:M,MATCH('Fuel Selector'!$B192,'Fuel Cost - External'!$B:$B,0)),0)
))</f>
        <v>38.591840874709099</v>
      </c>
      <c r="Q192" s="89">
        <f>IF(Q$113&gt;2050,P192,
IF($H192="Modeled", INDEX('Fuel Model - Summary'!N:N,MATCH('Fuel Selector'!$B192,'Fuel Model - Summary'!$B:$B,0)),
IF($H192 = "External", INDEX('Fuel Cost - External'!N:N,MATCH('Fuel Selector'!$B192,'Fuel Cost - External'!$B:$B,0)),0)
))</f>
        <v>30.571455744892724</v>
      </c>
      <c r="R192" s="89">
        <f>IF(R$113&gt;2050,Q192,
IF($H192="Modeled", INDEX('Fuel Model - Summary'!O:O,MATCH('Fuel Selector'!$B192,'Fuel Model - Summary'!$B:$B,0)),
IF($H192 = "External", INDEX('Fuel Cost - External'!O:O,MATCH('Fuel Selector'!$B192,'Fuel Cost - External'!$B:$B,0)),0)
))</f>
        <v>30.571455744892724</v>
      </c>
      <c r="S192" s="89">
        <f>IF(S$113&gt;2050,R192,
IF($H192="Modeled", INDEX('Fuel Model - Summary'!P:P,MATCH('Fuel Selector'!$B192,'Fuel Model - Summary'!$B:$B,0)),
IF($H192 = "External", INDEX('Fuel Cost - External'!P:P,MATCH('Fuel Selector'!$B192,'Fuel Cost - External'!$B:$B,0)),0)
))</f>
        <v>30.571455744892724</v>
      </c>
      <c r="T192" s="89">
        <f>IF(T$113&gt;2050,S192,
IF($H192="Modeled", INDEX('Fuel Model - Summary'!Q:Q,MATCH('Fuel Selector'!$B192,'Fuel Model - Summary'!$B:$B,0)),
IF($H192 = "External", INDEX('Fuel Cost - External'!Q:Q,MATCH('Fuel Selector'!$B192,'Fuel Cost - External'!$B:$B,0)),0)
))</f>
        <v>30.571455744892724</v>
      </c>
      <c r="U192" s="89">
        <f>IF(U$113&gt;2050,T192,
IF($H192="Modeled", INDEX('Fuel Model - Summary'!R:R,MATCH('Fuel Selector'!$B192,'Fuel Model - Summary'!$B:$B,0)),
IF($H192 = "External", INDEX('Fuel Cost - External'!R:R,MATCH('Fuel Selector'!$B192,'Fuel Cost - External'!$B:$B,0)),0)
))</f>
        <v>30.571455744892724</v>
      </c>
      <c r="V192" s="89">
        <f>IF(V$113&gt;2050,U192,
IF($H192="Modeled", INDEX('Fuel Model - Summary'!S:S,MATCH('Fuel Selector'!$B192,'Fuel Model - Summary'!$B:$B,0)),
IF($H192 = "External", INDEX('Fuel Cost - External'!S:S,MATCH('Fuel Selector'!$B192,'Fuel Cost - External'!$B:$B,0)),0)
))</f>
        <v>30.571455744892724</v>
      </c>
    </row>
    <row r="193" spans="1:22" x14ac:dyDescent="0.2">
      <c r="A193" s="29">
        <f t="shared" si="145"/>
        <v>17</v>
      </c>
      <c r="B193" s="334" t="str">
        <f t="shared" si="142"/>
        <v>Biodiesel (HtL blend) - Americas - Fuel cost - USD/GJ</v>
      </c>
      <c r="C193" t="str" cm="1">
        <f t="array" ref="C193">INDEX(list_AE_fuel,A193)</f>
        <v>Biodiesel (HtL blend)</v>
      </c>
      <c r="D193"/>
      <c r="E193" t="str">
        <f t="shared" si="146"/>
        <v>Americas</v>
      </c>
      <c r="F193" t="str">
        <f t="shared" si="143"/>
        <v>Fuel cost - USD/GJ</v>
      </c>
      <c r="G193"/>
      <c r="H193" s="128" t="str" cm="1">
        <f t="array" ref="H193">INDEX('Configurator Specs.'!$CG$5:$CG$24,A193)</f>
        <v>Modeled</v>
      </c>
      <c r="I193" t="s">
        <v>324</v>
      </c>
      <c r="K193" s="89">
        <f>IF(K$113&gt;2050,J193,
IF($H193="Modeled", INDEX('Fuel Model - Summary'!H:H,MATCH('Fuel Selector'!$B193,'Fuel Model - Summary'!$B:$B,0)),
IF($H193 = "External", INDEX('Fuel Cost - External'!H:H,MATCH('Fuel Selector'!$B193,'Fuel Cost - External'!$B:$B,0)),0)
))</f>
        <v>39.362591759164751</v>
      </c>
      <c r="L193" s="89">
        <f>IF(L$113&gt;2050,K193,
IF($H193="Modeled", INDEX('Fuel Model - Summary'!I:I,MATCH('Fuel Selector'!$B193,'Fuel Model - Summary'!$B:$B,0)),
IF($H193 = "External", INDEX('Fuel Cost - External'!I:I,MATCH('Fuel Selector'!$B193,'Fuel Cost - External'!$B:$B,0)),0)
))</f>
        <v>26.195648583254943</v>
      </c>
      <c r="M193" s="89">
        <f>IF(M$113&gt;2050,L193,
IF($H193="Modeled", INDEX('Fuel Model - Summary'!J:J,MATCH('Fuel Selector'!$B193,'Fuel Model - Summary'!$B:$B,0)),
IF($H193 = "External", INDEX('Fuel Cost - External'!J:J,MATCH('Fuel Selector'!$B193,'Fuel Cost - External'!$B:$B,0)),0)
))</f>
        <v>15.657072613212451</v>
      </c>
      <c r="N193" s="89">
        <f>IF(N$113&gt;2050,M193,
IF($H193="Modeled", INDEX('Fuel Model - Summary'!K:K,MATCH('Fuel Selector'!$B193,'Fuel Model - Summary'!$B:$B,0)),
IF($H193 = "External", INDEX('Fuel Cost - External'!K:K,MATCH('Fuel Selector'!$B193,'Fuel Cost - External'!$B:$B,0)),0)
))</f>
        <v>15.289509249296463</v>
      </c>
      <c r="O193" s="89">
        <f>IF(O$113&gt;2050,N193,
IF($H193="Modeled", INDEX('Fuel Model - Summary'!L:L,MATCH('Fuel Selector'!$B193,'Fuel Model - Summary'!$B:$B,0)),
IF($H193 = "External", INDEX('Fuel Cost - External'!L:L,MATCH('Fuel Selector'!$B193,'Fuel Cost - External'!$B:$B,0)),0)
))</f>
        <v>15.129344877992319</v>
      </c>
      <c r="P193" s="89">
        <f>IF(P$113&gt;2050,O193,
IF($H193="Modeled", INDEX('Fuel Model - Summary'!M:M,MATCH('Fuel Selector'!$B193,'Fuel Model - Summary'!$B:$B,0)),
IF($H193 = "External", INDEX('Fuel Cost - External'!M:M,MATCH('Fuel Selector'!$B193,'Fuel Cost - External'!$B:$B,0)),0)
))</f>
        <v>14.99365252582653</v>
      </c>
      <c r="Q193" s="89">
        <f>IF(Q$113&gt;2050,P193,
IF($H193="Modeled", INDEX('Fuel Model - Summary'!N:N,MATCH('Fuel Selector'!$B193,'Fuel Model - Summary'!$B:$B,0)),
IF($H193 = "External", INDEX('Fuel Cost - External'!N:N,MATCH('Fuel Selector'!$B193,'Fuel Cost - External'!$B:$B,0)),0)
))</f>
        <v>14.844608646947602</v>
      </c>
      <c r="R193" s="89">
        <f>IF(R$113&gt;2050,Q193,
IF($H193="Modeled", INDEX('Fuel Model - Summary'!O:O,MATCH('Fuel Selector'!$B193,'Fuel Model - Summary'!$B:$B,0)),
IF($H193 = "External", INDEX('Fuel Cost - External'!O:O,MATCH('Fuel Selector'!$B193,'Fuel Cost - External'!$B:$B,0)),0)
))</f>
        <v>14.844608646947602</v>
      </c>
      <c r="S193" s="89">
        <f>IF(S$113&gt;2050,R193,
IF($H193="Modeled", INDEX('Fuel Model - Summary'!P:P,MATCH('Fuel Selector'!$B193,'Fuel Model - Summary'!$B:$B,0)),
IF($H193 = "External", INDEX('Fuel Cost - External'!P:P,MATCH('Fuel Selector'!$B193,'Fuel Cost - External'!$B:$B,0)),0)
))</f>
        <v>14.844608646947602</v>
      </c>
      <c r="T193" s="89">
        <f>IF(T$113&gt;2050,S193,
IF($H193="Modeled", INDEX('Fuel Model - Summary'!Q:Q,MATCH('Fuel Selector'!$B193,'Fuel Model - Summary'!$B:$B,0)),
IF($H193 = "External", INDEX('Fuel Cost - External'!Q:Q,MATCH('Fuel Selector'!$B193,'Fuel Cost - External'!$B:$B,0)),0)
))</f>
        <v>14.844608646947602</v>
      </c>
      <c r="U193" s="89">
        <f>IF(U$113&gt;2050,T193,
IF($H193="Modeled", INDEX('Fuel Model - Summary'!R:R,MATCH('Fuel Selector'!$B193,'Fuel Model - Summary'!$B:$B,0)),
IF($H193 = "External", INDEX('Fuel Cost - External'!R:R,MATCH('Fuel Selector'!$B193,'Fuel Cost - External'!$B:$B,0)),0)
))</f>
        <v>14.844608646947602</v>
      </c>
      <c r="V193" s="89">
        <f>IF(V$113&gt;2050,U193,
IF($H193="Modeled", INDEX('Fuel Model - Summary'!S:S,MATCH('Fuel Selector'!$B193,'Fuel Model - Summary'!$B:$B,0)),
IF($H193 = "External", INDEX('Fuel Cost - External'!S:S,MATCH('Fuel Selector'!$B193,'Fuel Cost - External'!$B:$B,0)),0)
))</f>
        <v>14.844608646947602</v>
      </c>
    </row>
    <row r="194" spans="1:22" x14ac:dyDescent="0.2">
      <c r="A194" s="29">
        <f t="shared" si="145"/>
        <v>18</v>
      </c>
      <c r="B194" s="334" t="str">
        <f t="shared" si="142"/>
        <v>Biodiesel (Pyr blend) - Americas - Fuel cost - USD/GJ</v>
      </c>
      <c r="C194" t="str" cm="1">
        <f t="array" ref="C194">INDEX(list_AE_fuel,A194)</f>
        <v>Biodiesel (Pyr blend)</v>
      </c>
      <c r="D194"/>
      <c r="E194" t="str">
        <f t="shared" si="146"/>
        <v>Americas</v>
      </c>
      <c r="F194" t="str">
        <f t="shared" si="143"/>
        <v>Fuel cost - USD/GJ</v>
      </c>
      <c r="G194"/>
      <c r="H194" s="128" t="str" cm="1">
        <f t="array" ref="H194">INDEX('Configurator Specs.'!$CG$5:$CG$24,A194)</f>
        <v>Modeled</v>
      </c>
      <c r="I194" t="s">
        <v>324</v>
      </c>
      <c r="K194" s="89">
        <f>IF(K$113&gt;2050,J194,
IF($H194="Modeled", INDEX('Fuel Model - Summary'!H:H,MATCH('Fuel Selector'!$B194,'Fuel Model - Summary'!$B:$B,0)),
IF($H194 = "External", INDEX('Fuel Cost - External'!H:H,MATCH('Fuel Selector'!$B194,'Fuel Cost - External'!$B:$B,0)),0)
))</f>
        <v>24.305757337653841</v>
      </c>
      <c r="L194" s="89">
        <f>IF(L$113&gt;2050,K194,
IF($H194="Modeled", INDEX('Fuel Model - Summary'!I:I,MATCH('Fuel Selector'!$B194,'Fuel Model - Summary'!$B:$B,0)),
IF($H194 = "External", INDEX('Fuel Cost - External'!I:I,MATCH('Fuel Selector'!$B194,'Fuel Cost - External'!$B:$B,0)),0)
))</f>
        <v>17.339300839682259</v>
      </c>
      <c r="M194" s="89">
        <f>IF(M$113&gt;2050,L194,
IF($H194="Modeled", INDEX('Fuel Model - Summary'!J:J,MATCH('Fuel Selector'!$B194,'Fuel Model - Summary'!$B:$B,0)),
IF($H194 = "External", INDEX('Fuel Cost - External'!J:J,MATCH('Fuel Selector'!$B194,'Fuel Cost - External'!$B:$B,0)),0)
))</f>
        <v>13.844331887075223</v>
      </c>
      <c r="N194" s="89">
        <f>IF(N$113&gt;2050,M194,
IF($H194="Modeled", INDEX('Fuel Model - Summary'!K:K,MATCH('Fuel Selector'!$B194,'Fuel Model - Summary'!$B:$B,0)),
IF($H194 = "External", INDEX('Fuel Cost - External'!K:K,MATCH('Fuel Selector'!$B194,'Fuel Cost - External'!$B:$B,0)),0)
))</f>
        <v>13.812971340261239</v>
      </c>
      <c r="O194" s="89">
        <f>IF(O$113&gt;2050,N194,
IF($H194="Modeled", INDEX('Fuel Model - Summary'!L:L,MATCH('Fuel Selector'!$B194,'Fuel Model - Summary'!$B:$B,0)),
IF($H194 = "External", INDEX('Fuel Cost - External'!L:L,MATCH('Fuel Selector'!$B194,'Fuel Cost - External'!$B:$B,0)),0)
))</f>
        <v>13.846054747350944</v>
      </c>
      <c r="P194" s="89">
        <f>IF(P$113&gt;2050,O194,
IF($H194="Modeled", INDEX('Fuel Model - Summary'!M:M,MATCH('Fuel Selector'!$B194,'Fuel Model - Summary'!$B:$B,0)),
IF($H194 = "External", INDEX('Fuel Cost - External'!M:M,MATCH('Fuel Selector'!$B194,'Fuel Cost - External'!$B:$B,0)),0)
))</f>
        <v>13.8963804086225</v>
      </c>
      <c r="Q194" s="89">
        <f>IF(Q$113&gt;2050,P194,
IF($H194="Modeled", INDEX('Fuel Model - Summary'!N:N,MATCH('Fuel Selector'!$B194,'Fuel Model - Summary'!$B:$B,0)),
IF($H194 = "External", INDEX('Fuel Cost - External'!N:N,MATCH('Fuel Selector'!$B194,'Fuel Cost - External'!$B:$B,0)),0)
))</f>
        <v>13.930243260581481</v>
      </c>
      <c r="R194" s="89">
        <f>IF(R$113&gt;2050,Q194,
IF($H194="Modeled", INDEX('Fuel Model - Summary'!O:O,MATCH('Fuel Selector'!$B194,'Fuel Model - Summary'!$B:$B,0)),
IF($H194 = "External", INDEX('Fuel Cost - External'!O:O,MATCH('Fuel Selector'!$B194,'Fuel Cost - External'!$B:$B,0)),0)
))</f>
        <v>13.930243260581481</v>
      </c>
      <c r="S194" s="89">
        <f>IF(S$113&gt;2050,R194,
IF($H194="Modeled", INDEX('Fuel Model - Summary'!P:P,MATCH('Fuel Selector'!$B194,'Fuel Model - Summary'!$B:$B,0)),
IF($H194 = "External", INDEX('Fuel Cost - External'!P:P,MATCH('Fuel Selector'!$B194,'Fuel Cost - External'!$B:$B,0)),0)
))</f>
        <v>13.930243260581481</v>
      </c>
      <c r="T194" s="89">
        <f>IF(T$113&gt;2050,S194,
IF($H194="Modeled", INDEX('Fuel Model - Summary'!Q:Q,MATCH('Fuel Selector'!$B194,'Fuel Model - Summary'!$B:$B,0)),
IF($H194 = "External", INDEX('Fuel Cost - External'!Q:Q,MATCH('Fuel Selector'!$B194,'Fuel Cost - External'!$B:$B,0)),0)
))</f>
        <v>13.930243260581481</v>
      </c>
      <c r="U194" s="89">
        <f>IF(U$113&gt;2050,T194,
IF($H194="Modeled", INDEX('Fuel Model - Summary'!R:R,MATCH('Fuel Selector'!$B194,'Fuel Model - Summary'!$B:$B,0)),
IF($H194 = "External", INDEX('Fuel Cost - External'!R:R,MATCH('Fuel Selector'!$B194,'Fuel Cost - External'!$B:$B,0)),0)
))</f>
        <v>13.930243260581481</v>
      </c>
      <c r="V194" s="89">
        <f>IF(V$113&gt;2050,U194,
IF($H194="Modeled", INDEX('Fuel Model - Summary'!S:S,MATCH('Fuel Selector'!$B194,'Fuel Model - Summary'!$B:$B,0)),
IF($H194 = "External", INDEX('Fuel Cost - External'!S:S,MATCH('Fuel Selector'!$B194,'Fuel Cost - External'!$B:$B,0)),0)
))</f>
        <v>13.930243260581481</v>
      </c>
    </row>
    <row r="195" spans="1:22" x14ac:dyDescent="0.2">
      <c r="A195" s="29">
        <f t="shared" si="145"/>
        <v>19</v>
      </c>
      <c r="B195" s="334" t="str">
        <f t="shared" si="142"/>
        <v>Blue hydrogen (liquid) - Americas - Fuel cost - USD/GJ</v>
      </c>
      <c r="C195" t="str" cm="1">
        <f t="array" ref="C195">INDEX(list_AE_fuel,A195)</f>
        <v>Blue hydrogen (liquid)</v>
      </c>
      <c r="D195"/>
      <c r="E195" t="str">
        <f t="shared" si="146"/>
        <v>Americas</v>
      </c>
      <c r="F195" t="str">
        <f t="shared" si="143"/>
        <v>Fuel cost - USD/GJ</v>
      </c>
      <c r="G195"/>
      <c r="H195" s="128" t="str" cm="1">
        <f t="array" ref="H195">INDEX('Configurator Specs.'!$CG$5:$CG$24,A195)</f>
        <v>Modeled</v>
      </c>
      <c r="I195" t="s">
        <v>324</v>
      </c>
      <c r="K195" s="89">
        <f>IF(K$113&gt;2050,J195,
IF($H195="Modeled", INDEX('Fuel Model - Summary'!H:H,MATCH('Fuel Selector'!$B195,'Fuel Model - Summary'!$B:$B,0)),
IF($H195 = "External", INDEX('Fuel Cost - External'!H:H,MATCH('Fuel Selector'!$B195,'Fuel Cost - External'!$B:$B,0)),0)
))</f>
        <v>33.917518857548743</v>
      </c>
      <c r="L195" s="89">
        <f>IF(L$113&gt;2050,K195,
IF($H195="Modeled", INDEX('Fuel Model - Summary'!I:I,MATCH('Fuel Selector'!$B195,'Fuel Model - Summary'!$B:$B,0)),
IF($H195 = "External", INDEX('Fuel Cost - External'!I:I,MATCH('Fuel Selector'!$B195,'Fuel Cost - External'!$B:$B,0)),0)
))</f>
        <v>29.251475313681492</v>
      </c>
      <c r="M195" s="89">
        <f>IF(M$113&gt;2050,L195,
IF($H195="Modeled", INDEX('Fuel Model - Summary'!J:J,MATCH('Fuel Selector'!$B195,'Fuel Model - Summary'!$B:$B,0)),
IF($H195 = "External", INDEX('Fuel Cost - External'!J:J,MATCH('Fuel Selector'!$B195,'Fuel Cost - External'!$B:$B,0)),0)
))</f>
        <v>27.752189696294149</v>
      </c>
      <c r="N195" s="89">
        <f>IF(N$113&gt;2050,M195,
IF($H195="Modeled", INDEX('Fuel Model - Summary'!K:K,MATCH('Fuel Selector'!$B195,'Fuel Model - Summary'!$B:$B,0)),
IF($H195 = "External", INDEX('Fuel Cost - External'!K:K,MATCH('Fuel Selector'!$B195,'Fuel Cost - External'!$B:$B,0)),0)
))</f>
        <v>27.72698668407153</v>
      </c>
      <c r="O195" s="89">
        <f>IF(O$113&gt;2050,N195,
IF($H195="Modeled", INDEX('Fuel Model - Summary'!L:L,MATCH('Fuel Selector'!$B195,'Fuel Model - Summary'!$B:$B,0)),
IF($H195 = "External", INDEX('Fuel Cost - External'!L:L,MATCH('Fuel Selector'!$B195,'Fuel Cost - External'!$B:$B,0)),0)
))</f>
        <v>26.957747740268939</v>
      </c>
      <c r="P195" s="89">
        <f>IF(P$113&gt;2050,O195,
IF($H195="Modeled", INDEX('Fuel Model - Summary'!M:M,MATCH('Fuel Selector'!$B195,'Fuel Model - Summary'!$B:$B,0)),
IF($H195 = "External", INDEX('Fuel Cost - External'!M:M,MATCH('Fuel Selector'!$B195,'Fuel Cost - External'!$B:$B,0)),0)
))</f>
        <v>26.36547763667178</v>
      </c>
      <c r="Q195" s="89">
        <f>IF(Q$113&gt;2050,P195,
IF($H195="Modeled", INDEX('Fuel Model - Summary'!N:N,MATCH('Fuel Selector'!$B195,'Fuel Model - Summary'!$B:$B,0)),
IF($H195 = "External", INDEX('Fuel Cost - External'!N:N,MATCH('Fuel Selector'!$B195,'Fuel Cost - External'!$B:$B,0)),0)
))</f>
        <v>25.838690737234394</v>
      </c>
      <c r="R195" s="89">
        <f>IF(R$113&gt;2050,Q195,
IF($H195="Modeled", INDEX('Fuel Model - Summary'!O:O,MATCH('Fuel Selector'!$B195,'Fuel Model - Summary'!$B:$B,0)),
IF($H195 = "External", INDEX('Fuel Cost - External'!O:O,MATCH('Fuel Selector'!$B195,'Fuel Cost - External'!$B:$B,0)),0)
))</f>
        <v>25.838690737234394</v>
      </c>
      <c r="S195" s="89">
        <f>IF(S$113&gt;2050,R195,
IF($H195="Modeled", INDEX('Fuel Model - Summary'!P:P,MATCH('Fuel Selector'!$B195,'Fuel Model - Summary'!$B:$B,0)),
IF($H195 = "External", INDEX('Fuel Cost - External'!P:P,MATCH('Fuel Selector'!$B195,'Fuel Cost - External'!$B:$B,0)),0)
))</f>
        <v>25.838690737234394</v>
      </c>
      <c r="T195" s="89">
        <f>IF(T$113&gt;2050,S195,
IF($H195="Modeled", INDEX('Fuel Model - Summary'!Q:Q,MATCH('Fuel Selector'!$B195,'Fuel Model - Summary'!$B:$B,0)),
IF($H195 = "External", INDEX('Fuel Cost - External'!Q:Q,MATCH('Fuel Selector'!$B195,'Fuel Cost - External'!$B:$B,0)),0)
))</f>
        <v>25.838690737234394</v>
      </c>
      <c r="U195" s="89">
        <f>IF(U$113&gt;2050,T195,
IF($H195="Modeled", INDEX('Fuel Model - Summary'!R:R,MATCH('Fuel Selector'!$B195,'Fuel Model - Summary'!$B:$B,0)),
IF($H195 = "External", INDEX('Fuel Cost - External'!R:R,MATCH('Fuel Selector'!$B195,'Fuel Cost - External'!$B:$B,0)),0)
))</f>
        <v>25.838690737234394</v>
      </c>
      <c r="V195" s="89">
        <f>IF(V$113&gt;2050,U195,
IF($H195="Modeled", INDEX('Fuel Model - Summary'!S:S,MATCH('Fuel Selector'!$B195,'Fuel Model - Summary'!$B:$B,0)),
IF($H195 = "External", INDEX('Fuel Cost - External'!S:S,MATCH('Fuel Selector'!$B195,'Fuel Cost - External'!$B:$B,0)),0)
))</f>
        <v>25.838690737234394</v>
      </c>
    </row>
    <row r="196" spans="1:22" x14ac:dyDescent="0.2">
      <c r="A196" s="29">
        <f t="shared" si="145"/>
        <v>20</v>
      </c>
      <c r="B196" s="334" t="str">
        <f t="shared" si="142"/>
        <v>e-Hydrogen (liquid) - Americas - Fuel cost - USD/GJ</v>
      </c>
      <c r="C196" t="str" cm="1">
        <f t="array" ref="C196">INDEX(list_AE_fuel,A196)</f>
        <v>e-Hydrogen (liquid)</v>
      </c>
      <c r="D196"/>
      <c r="E196" t="str">
        <f t="shared" si="146"/>
        <v>Americas</v>
      </c>
      <c r="F196" t="str">
        <f t="shared" si="143"/>
        <v>Fuel cost - USD/GJ</v>
      </c>
      <c r="G196"/>
      <c r="H196" s="128" t="str" cm="1">
        <f t="array" ref="H196">INDEX('Configurator Specs.'!$CG$5:$CG$24,A196)</f>
        <v>Modeled</v>
      </c>
      <c r="I196" t="s">
        <v>324</v>
      </c>
      <c r="K196" s="89">
        <f>IF(K$113&gt;2050,J196,
IF($H196="Modeled", INDEX('Fuel Model - Summary'!H:H,MATCH('Fuel Selector'!$B196,'Fuel Model - Summary'!$B:$B,0)),
IF($H196 = "External", INDEX('Fuel Cost - External'!H:H,MATCH('Fuel Selector'!$B196,'Fuel Cost - External'!$B:$B,0)),0)
))</f>
        <v>44.719170114562594</v>
      </c>
      <c r="L196" s="89">
        <f>IF(L$113&gt;2050,K196,
IF($H196="Modeled", INDEX('Fuel Model - Summary'!I:I,MATCH('Fuel Selector'!$B196,'Fuel Model - Summary'!$B:$B,0)),
IF($H196 = "External", INDEX('Fuel Cost - External'!I:I,MATCH('Fuel Selector'!$B196,'Fuel Cost - External'!$B:$B,0)),0)
))</f>
        <v>40.154317121751362</v>
      </c>
      <c r="M196" s="89">
        <f>IF(M$113&gt;2050,L196,
IF($H196="Modeled", INDEX('Fuel Model - Summary'!J:J,MATCH('Fuel Selector'!$B196,'Fuel Model - Summary'!$B:$B,0)),
IF($H196 = "External", INDEX('Fuel Cost - External'!J:J,MATCH('Fuel Selector'!$B196,'Fuel Cost - External'!$B:$B,0)),0)
))</f>
        <v>34.654940387278018</v>
      </c>
      <c r="N196" s="89">
        <f>IF(N$113&gt;2050,M196,
IF($H196="Modeled", INDEX('Fuel Model - Summary'!K:K,MATCH('Fuel Selector'!$B196,'Fuel Model - Summary'!$B:$B,0)),
IF($H196 = "External", INDEX('Fuel Cost - External'!K:K,MATCH('Fuel Selector'!$B196,'Fuel Cost - External'!$B:$B,0)),0)
))</f>
        <v>32.430319582787838</v>
      </c>
      <c r="O196" s="89">
        <f>IF(O$113&gt;2050,N196,
IF($H196="Modeled", INDEX('Fuel Model - Summary'!L:L,MATCH('Fuel Selector'!$B196,'Fuel Model - Summary'!$B:$B,0)),
IF($H196 = "External", INDEX('Fuel Cost - External'!L:L,MATCH('Fuel Selector'!$B196,'Fuel Cost - External'!$B:$B,0)),0)
))</f>
        <v>29.185492587798226</v>
      </c>
      <c r="P196" s="89">
        <f>IF(P$113&gt;2050,O196,
IF($H196="Modeled", INDEX('Fuel Model - Summary'!M:M,MATCH('Fuel Selector'!$B196,'Fuel Model - Summary'!$B:$B,0)),
IF($H196 = "External", INDEX('Fuel Cost - External'!M:M,MATCH('Fuel Selector'!$B196,'Fuel Cost - External'!$B:$B,0)),0)
))</f>
        <v>25.878791000204252</v>
      </c>
      <c r="Q196" s="89">
        <f>IF(Q$113&gt;2050,P196,
IF($H196="Modeled", INDEX('Fuel Model - Summary'!N:N,MATCH('Fuel Selector'!$B196,'Fuel Model - Summary'!$B:$B,0)),
IF($H196 = "External", INDEX('Fuel Cost - External'!N:N,MATCH('Fuel Selector'!$B196,'Fuel Cost - External'!$B:$B,0)),0)
))</f>
        <v>22.632668881325479</v>
      </c>
      <c r="R196" s="89">
        <f>IF(R$113&gt;2050,Q196,
IF($H196="Modeled", INDEX('Fuel Model - Summary'!O:O,MATCH('Fuel Selector'!$B196,'Fuel Model - Summary'!$B:$B,0)),
IF($H196 = "External", INDEX('Fuel Cost - External'!O:O,MATCH('Fuel Selector'!$B196,'Fuel Cost - External'!$B:$B,0)),0)
))</f>
        <v>22.632668881325479</v>
      </c>
      <c r="S196" s="89">
        <f>IF(S$113&gt;2050,R196,
IF($H196="Modeled", INDEX('Fuel Model - Summary'!P:P,MATCH('Fuel Selector'!$B196,'Fuel Model - Summary'!$B:$B,0)),
IF($H196 = "External", INDEX('Fuel Cost - External'!P:P,MATCH('Fuel Selector'!$B196,'Fuel Cost - External'!$B:$B,0)),0)
))</f>
        <v>22.632668881325479</v>
      </c>
      <c r="T196" s="89">
        <f>IF(T$113&gt;2050,S196,
IF($H196="Modeled", INDEX('Fuel Model - Summary'!Q:Q,MATCH('Fuel Selector'!$B196,'Fuel Model - Summary'!$B:$B,0)),
IF($H196 = "External", INDEX('Fuel Cost - External'!Q:Q,MATCH('Fuel Selector'!$B196,'Fuel Cost - External'!$B:$B,0)),0)
))</f>
        <v>22.632668881325479</v>
      </c>
      <c r="U196" s="89">
        <f>IF(U$113&gt;2050,T196,
IF($H196="Modeled", INDEX('Fuel Model - Summary'!R:R,MATCH('Fuel Selector'!$B196,'Fuel Model - Summary'!$B:$B,0)),
IF($H196 = "External", INDEX('Fuel Cost - External'!R:R,MATCH('Fuel Selector'!$B196,'Fuel Cost - External'!$B:$B,0)),0)
))</f>
        <v>22.632668881325479</v>
      </c>
      <c r="V196" s="89">
        <f>IF(V$113&gt;2050,U196,
IF($H196="Modeled", INDEX('Fuel Model - Summary'!S:S,MATCH('Fuel Selector'!$B196,'Fuel Model - Summary'!$B:$B,0)),
IF($H196 = "External", INDEX('Fuel Cost - External'!S:S,MATCH('Fuel Selector'!$B196,'Fuel Cost - External'!$B:$B,0)),0)
))</f>
        <v>22.632668881325479</v>
      </c>
    </row>
    <row r="197" spans="1:22" x14ac:dyDescent="0.2">
      <c r="B197"/>
      <c r="C197"/>
      <c r="D197"/>
      <c r="E197"/>
      <c r="F197"/>
      <c r="G197"/>
      <c r="H197" s="128"/>
      <c r="I197"/>
      <c r="R197" s="32"/>
      <c r="S197" s="32"/>
      <c r="T197" s="32"/>
      <c r="U197" s="32"/>
      <c r="V197" s="32"/>
    </row>
    <row r="198" spans="1:22" x14ac:dyDescent="0.2">
      <c r="A198" s="29">
        <v>1</v>
      </c>
      <c r="B198" s="334" t="str">
        <f t="shared" ref="B198:B209" si="147">_xlfn.TEXTJOIN(keydelim,TRUE,C198:G198)</f>
        <v>LSFO - Africa&amp;Other - Fuel cost - USD/GJ</v>
      </c>
      <c r="C198" t="str" cm="1">
        <f t="array" ref="C198">INDEX(list_AE_fuel,A198)</f>
        <v>LSFO</v>
      </c>
      <c r="D198"/>
      <c r="E198" t="s">
        <v>498</v>
      </c>
      <c r="F198" t="str">
        <f t="shared" ref="F198:F209" si="148">"Fuel cost"  &amp;keydelim &amp;I198</f>
        <v>Fuel cost - USD/GJ</v>
      </c>
      <c r="G198" s="128"/>
      <c r="H198" s="128" t="str" cm="1">
        <f t="array" ref="H198">INDEX('Configurator Specs.'!$CG$5:$CG$24,A198)</f>
        <v>External</v>
      </c>
      <c r="I198" t="s">
        <v>324</v>
      </c>
      <c r="K198" s="89">
        <f>IF(K$113&gt;2050,J198,
IF($H198="Modeled", INDEX('Fuel Model - Summary'!H:H,MATCH('Fuel Selector'!$B198,'Fuel Model - Summary'!$B:$B,0)),
IF($H198 = "External", INDEX('Fuel Cost - External'!H:H,MATCH('Fuel Selector'!$B198,'Fuel Cost - External'!$B:$B,0)),0)
))</f>
        <v>21.473621920116738</v>
      </c>
      <c r="L198" s="89">
        <f>IF(L$113&gt;2050,K198,
IF($H198="Modeled", INDEX('Fuel Model - Summary'!I:I,MATCH('Fuel Selector'!$B198,'Fuel Model - Summary'!$B:$B,0)),
IF($H198 = "External", INDEX('Fuel Cost - External'!I:I,MATCH('Fuel Selector'!$B198,'Fuel Cost - External'!$B:$B,0)),0)
))</f>
        <v>15.404989638344617</v>
      </c>
      <c r="M198" s="89">
        <f>IF(M$113&gt;2050,L198,
IF($H198="Modeled", INDEX('Fuel Model - Summary'!J:J,MATCH('Fuel Selector'!$B198,'Fuel Model - Summary'!$B:$B,0)),
IF($H198 = "External", INDEX('Fuel Cost - External'!J:J,MATCH('Fuel Selector'!$B198,'Fuel Cost - External'!$B:$B,0)),0)
))</f>
        <v>13.444354593464393</v>
      </c>
      <c r="N198" s="89">
        <f>IF(N$113&gt;2050,M198,
IF($H198="Modeled", INDEX('Fuel Model - Summary'!K:K,MATCH('Fuel Selector'!$B198,'Fuel Model - Summary'!$B:$B,0)),
IF($H198 = "External", INDEX('Fuel Cost - External'!K:K,MATCH('Fuel Selector'!$B198,'Fuel Cost - External'!$B:$B,0)),0)
))</f>
        <v>13.444354593464393</v>
      </c>
      <c r="O198" s="89">
        <f>IF(O$113&gt;2050,N198,
IF($H198="Modeled", INDEX('Fuel Model - Summary'!L:L,MATCH('Fuel Selector'!$B198,'Fuel Model - Summary'!$B:$B,0)),
IF($H198 = "External", INDEX('Fuel Cost - External'!L:L,MATCH('Fuel Selector'!$B198,'Fuel Cost - External'!$B:$B,0)),0)
))</f>
        <v>13.444354593464393</v>
      </c>
      <c r="P198" s="89">
        <f>IF(P$113&gt;2050,O198,
IF($H198="Modeled", INDEX('Fuel Model - Summary'!M:M,MATCH('Fuel Selector'!$B198,'Fuel Model - Summary'!$B:$B,0)),
IF($H198 = "External", INDEX('Fuel Cost - External'!M:M,MATCH('Fuel Selector'!$B198,'Fuel Cost - External'!$B:$B,0)),0)
))</f>
        <v>13.444354593464393</v>
      </c>
      <c r="Q198" s="89">
        <f>IF(Q$113&gt;2050,P198,
IF($H198="Modeled", INDEX('Fuel Model - Summary'!N:N,MATCH('Fuel Selector'!$B198,'Fuel Model - Summary'!$B:$B,0)),
IF($H198 = "External", INDEX('Fuel Cost - External'!N:N,MATCH('Fuel Selector'!$B198,'Fuel Cost - External'!$B:$B,0)),0)
))</f>
        <v>13.444354593464393</v>
      </c>
      <c r="R198" s="89">
        <f>IF(R$113&gt;2050,Q198,
IF($H198="Modeled", INDEX('Fuel Model - Summary'!O:O,MATCH('Fuel Selector'!$B198,'Fuel Model - Summary'!$B:$B,0)),
IF($H198 = "External", INDEX('Fuel Cost - External'!O:O,MATCH('Fuel Selector'!$B198,'Fuel Cost - External'!$B:$B,0)),0)
))</f>
        <v>13.444354593464393</v>
      </c>
      <c r="S198" s="89">
        <f>IF(S$113&gt;2050,R198,
IF($H198="Modeled", INDEX('Fuel Model - Summary'!P:P,MATCH('Fuel Selector'!$B198,'Fuel Model - Summary'!$B:$B,0)),
IF($H198 = "External", INDEX('Fuel Cost - External'!P:P,MATCH('Fuel Selector'!$B198,'Fuel Cost - External'!$B:$B,0)),0)
))</f>
        <v>13.444354593464393</v>
      </c>
      <c r="T198" s="89">
        <f>IF(T$113&gt;2050,S198,
IF($H198="Modeled", INDEX('Fuel Model - Summary'!Q:Q,MATCH('Fuel Selector'!$B198,'Fuel Model - Summary'!$B:$B,0)),
IF($H198 = "External", INDEX('Fuel Cost - External'!Q:Q,MATCH('Fuel Selector'!$B198,'Fuel Cost - External'!$B:$B,0)),0)
))</f>
        <v>13.444354593464393</v>
      </c>
      <c r="U198" s="89">
        <f>IF(U$113&gt;2050,T198,
IF($H198="Modeled", INDEX('Fuel Model - Summary'!R:R,MATCH('Fuel Selector'!$B198,'Fuel Model - Summary'!$B:$B,0)),
IF($H198 = "External", INDEX('Fuel Cost - External'!R:R,MATCH('Fuel Selector'!$B198,'Fuel Cost - External'!$B:$B,0)),0)
))</f>
        <v>13.444354593464393</v>
      </c>
      <c r="V198" s="89">
        <f>IF(V$113&gt;2050,U198,
IF($H198="Modeled", INDEX('Fuel Model - Summary'!S:S,MATCH('Fuel Selector'!$B198,'Fuel Model - Summary'!$B:$B,0)),
IF($H198 = "External", INDEX('Fuel Cost - External'!S:S,MATCH('Fuel Selector'!$B198,'Fuel Cost - External'!$B:$B,0)),0)
))</f>
        <v>13.444354593464393</v>
      </c>
    </row>
    <row r="199" spans="1:22" x14ac:dyDescent="0.2">
      <c r="A199" s="29">
        <f>A198+1</f>
        <v>2</v>
      </c>
      <c r="B199" s="334" t="str">
        <f t="shared" si="147"/>
        <v>LNG - Africa&amp;Other - Fuel cost - USD/GJ</v>
      </c>
      <c r="C199" t="str" cm="1">
        <f t="array" ref="C199">INDEX(list_AE_fuel,A199)</f>
        <v>LNG</v>
      </c>
      <c r="D199"/>
      <c r="E199" t="str">
        <f t="shared" ref="E199:E208" si="149">E198</f>
        <v>Africa&amp;Other</v>
      </c>
      <c r="F199" t="str">
        <f t="shared" si="148"/>
        <v>Fuel cost - USD/GJ</v>
      </c>
      <c r="G199" s="128"/>
      <c r="H199" s="128" t="str" cm="1">
        <f t="array" ref="H199">INDEX('Configurator Specs.'!$CG$5:$CG$24,A199)</f>
        <v>Modeled</v>
      </c>
      <c r="I199" t="s">
        <v>324</v>
      </c>
      <c r="K199" s="89">
        <f>IF(K$113&gt;2050,J199,
IF($H199="Modeled", INDEX('Fuel Model - Summary'!H:H,MATCH('Fuel Selector'!$B199,'Fuel Model - Summary'!$B:$B,0)),
IF($H199 = "External", INDEX('Fuel Cost - External'!H:H,MATCH('Fuel Selector'!$B199,'Fuel Cost - External'!$B:$B,0)),0)
))</f>
        <v>41.684647066240522</v>
      </c>
      <c r="L199" s="89">
        <f>IF(L$113&gt;2050,K199,
IF($H199="Modeled", INDEX('Fuel Model - Summary'!I:I,MATCH('Fuel Selector'!$B199,'Fuel Model - Summary'!$B:$B,0)),
IF($H199 = "External", INDEX('Fuel Cost - External'!I:I,MATCH('Fuel Selector'!$B199,'Fuel Cost - External'!$B:$B,0)),0)
))</f>
        <v>19.28241815284338</v>
      </c>
      <c r="M199" s="89">
        <f>IF(M$113&gt;2050,L199,
IF($H199="Modeled", INDEX('Fuel Model - Summary'!J:J,MATCH('Fuel Selector'!$B199,'Fuel Model - Summary'!$B:$B,0)),
IF($H199 = "External", INDEX('Fuel Cost - External'!J:J,MATCH('Fuel Selector'!$B199,'Fuel Cost - External'!$B:$B,0)),0)
))</f>
        <v>14.379058898470774</v>
      </c>
      <c r="N199" s="89">
        <f>IF(N$113&gt;2050,M199,
IF($H199="Modeled", INDEX('Fuel Model - Summary'!K:K,MATCH('Fuel Selector'!$B199,'Fuel Model - Summary'!$B:$B,0)),
IF($H199 = "External", INDEX('Fuel Cost - External'!K:K,MATCH('Fuel Selector'!$B199,'Fuel Cost - External'!$B:$B,0)),0)
))</f>
        <v>14.218221243853593</v>
      </c>
      <c r="O199" s="89">
        <f>IF(O$113&gt;2050,N199,
IF($H199="Modeled", INDEX('Fuel Model - Summary'!L:L,MATCH('Fuel Selector'!$B199,'Fuel Model - Summary'!$B:$B,0)),
IF($H199 = "External", INDEX('Fuel Cost - External'!L:L,MATCH('Fuel Selector'!$B199,'Fuel Cost - External'!$B:$B,0)),0)
))</f>
        <v>14.094871917293196</v>
      </c>
      <c r="P199" s="89">
        <f>IF(P$113&gt;2050,O199,
IF($H199="Modeled", INDEX('Fuel Model - Summary'!M:M,MATCH('Fuel Selector'!$B199,'Fuel Model - Summary'!$B:$B,0)),
IF($H199 = "External", INDEX('Fuel Cost - External'!M:M,MATCH('Fuel Selector'!$B199,'Fuel Cost - External'!$B:$B,0)),0)
))</f>
        <v>13.972776275089236</v>
      </c>
      <c r="Q199" s="89">
        <f>IF(Q$113&gt;2050,P199,
IF($H199="Modeled", INDEX('Fuel Model - Summary'!N:N,MATCH('Fuel Selector'!$B199,'Fuel Model - Summary'!$B:$B,0)),
IF($H199 = "External", INDEX('Fuel Cost - External'!N:N,MATCH('Fuel Selector'!$B199,'Fuel Cost - External'!$B:$B,0)),0)
))</f>
        <v>13.869204762562719</v>
      </c>
      <c r="R199" s="89">
        <f>IF(R$113&gt;2050,Q199,
IF($H199="Modeled", INDEX('Fuel Model - Summary'!O:O,MATCH('Fuel Selector'!$B199,'Fuel Model - Summary'!$B:$B,0)),
IF($H199 = "External", INDEX('Fuel Cost - External'!O:O,MATCH('Fuel Selector'!$B199,'Fuel Cost - External'!$B:$B,0)),0)
))</f>
        <v>13.869204762562719</v>
      </c>
      <c r="S199" s="89">
        <f>IF(S$113&gt;2050,R199,
IF($H199="Modeled", INDEX('Fuel Model - Summary'!P:P,MATCH('Fuel Selector'!$B199,'Fuel Model - Summary'!$B:$B,0)),
IF($H199 = "External", INDEX('Fuel Cost - External'!P:P,MATCH('Fuel Selector'!$B199,'Fuel Cost - External'!$B:$B,0)),0)
))</f>
        <v>13.869204762562719</v>
      </c>
      <c r="T199" s="89">
        <f>IF(T$113&gt;2050,S199,
IF($H199="Modeled", INDEX('Fuel Model - Summary'!Q:Q,MATCH('Fuel Selector'!$B199,'Fuel Model - Summary'!$B:$B,0)),
IF($H199 = "External", INDEX('Fuel Cost - External'!Q:Q,MATCH('Fuel Selector'!$B199,'Fuel Cost - External'!$B:$B,0)),0)
))</f>
        <v>13.869204762562719</v>
      </c>
      <c r="U199" s="89">
        <f>IF(U$113&gt;2050,T199,
IF($H199="Modeled", INDEX('Fuel Model - Summary'!R:R,MATCH('Fuel Selector'!$B199,'Fuel Model - Summary'!$B:$B,0)),
IF($H199 = "External", INDEX('Fuel Cost - External'!R:R,MATCH('Fuel Selector'!$B199,'Fuel Cost - External'!$B:$B,0)),0)
))</f>
        <v>13.869204762562719</v>
      </c>
      <c r="V199" s="89">
        <f>IF(V$113&gt;2050,U199,
IF($H199="Modeled", INDEX('Fuel Model - Summary'!S:S,MATCH('Fuel Selector'!$B199,'Fuel Model - Summary'!$B:$B,0)),
IF($H199 = "External", INDEX('Fuel Cost - External'!S:S,MATCH('Fuel Selector'!$B199,'Fuel Cost - External'!$B:$B,0)),0)
))</f>
        <v>13.869204762562719</v>
      </c>
    </row>
    <row r="200" spans="1:22" x14ac:dyDescent="0.2">
      <c r="A200" s="29">
        <f t="shared" ref="A200:A217" si="150">A199+1</f>
        <v>3</v>
      </c>
      <c r="B200" s="334" t="str">
        <f t="shared" si="147"/>
        <v>LPG - Africa&amp;Other - Fuel cost - USD/GJ</v>
      </c>
      <c r="C200" t="str" cm="1">
        <f t="array" ref="C200">INDEX(list_AE_fuel,A200)</f>
        <v>LPG</v>
      </c>
      <c r="D200"/>
      <c r="E200" t="str">
        <f t="shared" si="149"/>
        <v>Africa&amp;Other</v>
      </c>
      <c r="F200" t="str">
        <f t="shared" si="148"/>
        <v>Fuel cost - USD/GJ</v>
      </c>
      <c r="G200" s="128"/>
      <c r="H200" s="128" t="str" cm="1">
        <f t="array" ref="H200">INDEX('Configurator Specs.'!$CG$5:$CG$24,A200)</f>
        <v>External</v>
      </c>
      <c r="I200" t="s">
        <v>324</v>
      </c>
      <c r="K200" s="89">
        <f>IF(K$113&gt;2050,J200,
IF($H200="Modeled", INDEX('Fuel Model - Summary'!H:H,MATCH('Fuel Selector'!$B200,'Fuel Model - Summary'!$B:$B,0)),
IF($H200 = "External", INDEX('Fuel Cost - External'!H:H,MATCH('Fuel Selector'!$B200,'Fuel Cost - External'!$B:$B,0)),0)
))</f>
        <v>16.525069073439496</v>
      </c>
      <c r="L200" s="89">
        <f>IF(L$113&gt;2050,K200,
IF($H200="Modeled", INDEX('Fuel Model - Summary'!I:I,MATCH('Fuel Selector'!$B200,'Fuel Model - Summary'!$B:$B,0)),
IF($H200 = "External", INDEX('Fuel Cost - External'!I:I,MATCH('Fuel Selector'!$B200,'Fuel Cost - External'!$B:$B,0)),0)
))</f>
        <v>11.854940857032684</v>
      </c>
      <c r="M200" s="89">
        <f>IF(M$113&gt;2050,L200,
IF($H200="Modeled", INDEX('Fuel Model - Summary'!J:J,MATCH('Fuel Selector'!$B200,'Fuel Model - Summary'!$B:$B,0)),
IF($H200 = "External", INDEX('Fuel Cost - External'!J:J,MATCH('Fuel Selector'!$B200,'Fuel Cost - External'!$B:$B,0)),0)
))</f>
        <v>10.34613020250125</v>
      </c>
      <c r="N200" s="89">
        <f>IF(N$113&gt;2050,M200,
IF($H200="Modeled", INDEX('Fuel Model - Summary'!K:K,MATCH('Fuel Selector'!$B200,'Fuel Model - Summary'!$B:$B,0)),
IF($H200 = "External", INDEX('Fuel Cost - External'!K:K,MATCH('Fuel Selector'!$B200,'Fuel Cost - External'!$B:$B,0)),0)
))</f>
        <v>10.34613020250125</v>
      </c>
      <c r="O200" s="89">
        <f>IF(O$113&gt;2050,N200,
IF($H200="Modeled", INDEX('Fuel Model - Summary'!L:L,MATCH('Fuel Selector'!$B200,'Fuel Model - Summary'!$B:$B,0)),
IF($H200 = "External", INDEX('Fuel Cost - External'!L:L,MATCH('Fuel Selector'!$B200,'Fuel Cost - External'!$B:$B,0)),0)
))</f>
        <v>10.34613020250125</v>
      </c>
      <c r="P200" s="89">
        <f>IF(P$113&gt;2050,O200,
IF($H200="Modeled", INDEX('Fuel Model - Summary'!M:M,MATCH('Fuel Selector'!$B200,'Fuel Model - Summary'!$B:$B,0)),
IF($H200 = "External", INDEX('Fuel Cost - External'!M:M,MATCH('Fuel Selector'!$B200,'Fuel Cost - External'!$B:$B,0)),0)
))</f>
        <v>10.34613020250125</v>
      </c>
      <c r="Q200" s="89">
        <f>IF(Q$113&gt;2050,P200,
IF($H200="Modeled", INDEX('Fuel Model - Summary'!N:N,MATCH('Fuel Selector'!$B200,'Fuel Model - Summary'!$B:$B,0)),
IF($H200 = "External", INDEX('Fuel Cost - External'!N:N,MATCH('Fuel Selector'!$B200,'Fuel Cost - External'!$B:$B,0)),0)
))</f>
        <v>10.34613020250125</v>
      </c>
      <c r="R200" s="89">
        <f>IF(R$113&gt;2050,Q200,
IF($H200="Modeled", INDEX('Fuel Model - Summary'!O:O,MATCH('Fuel Selector'!$B200,'Fuel Model - Summary'!$B:$B,0)),
IF($H200 = "External", INDEX('Fuel Cost - External'!O:O,MATCH('Fuel Selector'!$B200,'Fuel Cost - External'!$B:$B,0)),0)
))</f>
        <v>10.34613020250125</v>
      </c>
      <c r="S200" s="89">
        <f>IF(S$113&gt;2050,R200,
IF($H200="Modeled", INDEX('Fuel Model - Summary'!P:P,MATCH('Fuel Selector'!$B200,'Fuel Model - Summary'!$B:$B,0)),
IF($H200 = "External", INDEX('Fuel Cost - External'!P:P,MATCH('Fuel Selector'!$B200,'Fuel Cost - External'!$B:$B,0)),0)
))</f>
        <v>10.34613020250125</v>
      </c>
      <c r="T200" s="89">
        <f>IF(T$113&gt;2050,S200,
IF($H200="Modeled", INDEX('Fuel Model - Summary'!Q:Q,MATCH('Fuel Selector'!$B200,'Fuel Model - Summary'!$B:$B,0)),
IF($H200 = "External", INDEX('Fuel Cost - External'!Q:Q,MATCH('Fuel Selector'!$B200,'Fuel Cost - External'!$B:$B,0)),0)
))</f>
        <v>10.34613020250125</v>
      </c>
      <c r="U200" s="89">
        <f>IF(U$113&gt;2050,T200,
IF($H200="Modeled", INDEX('Fuel Model - Summary'!R:R,MATCH('Fuel Selector'!$B200,'Fuel Model - Summary'!$B:$B,0)),
IF($H200 = "External", INDEX('Fuel Cost - External'!R:R,MATCH('Fuel Selector'!$B200,'Fuel Cost - External'!$B:$B,0)),0)
))</f>
        <v>10.34613020250125</v>
      </c>
      <c r="V200" s="89">
        <f>IF(V$113&gt;2050,U200,
IF($H200="Modeled", INDEX('Fuel Model - Summary'!S:S,MATCH('Fuel Selector'!$B200,'Fuel Model - Summary'!$B:$B,0)),
IF($H200 = "External", INDEX('Fuel Cost - External'!S:S,MATCH('Fuel Selector'!$B200,'Fuel Cost - External'!$B:$B,0)),0)
))</f>
        <v>10.34613020250125</v>
      </c>
    </row>
    <row r="201" spans="1:22" x14ac:dyDescent="0.2">
      <c r="A201" s="29">
        <f t="shared" si="150"/>
        <v>4</v>
      </c>
      <c r="B201" s="334" t="str">
        <f t="shared" si="147"/>
        <v>Electricity - Africa&amp;Other - Fuel cost - USD/GJ</v>
      </c>
      <c r="C201" t="str" cm="1">
        <f t="array" ref="C201">INDEX(list_AE_fuel,A201)</f>
        <v>Electricity</v>
      </c>
      <c r="D201"/>
      <c r="E201" t="str">
        <f t="shared" si="149"/>
        <v>Africa&amp;Other</v>
      </c>
      <c r="F201" t="str">
        <f t="shared" si="148"/>
        <v>Fuel cost - USD/GJ</v>
      </c>
      <c r="G201" s="128"/>
      <c r="H201" s="128" t="str" cm="1">
        <f t="array" ref="H201">INDEX('Configurator Specs.'!$CG$5:$CG$24,A201)</f>
        <v>External</v>
      </c>
      <c r="I201" t="s">
        <v>324</v>
      </c>
      <c r="K201" s="89">
        <f>IF(K$113&gt;2050,J201,
IF($H201="Modeled", INDEX('Fuel Model - Summary'!H:H,MATCH('Fuel Selector'!$B201,'Fuel Model - Summary'!$B:$B,0)),
IF($H201 = "External", INDEX('Fuel Cost - External'!H:H,MATCH('Fuel Selector'!$B201,'Fuel Cost - External'!$B:$B,0)),0)
))</f>
        <v>21.933149718077615</v>
      </c>
      <c r="L201" s="89">
        <f>IF(L$113&gt;2050,K201,
IF($H201="Modeled", INDEX('Fuel Model - Summary'!I:I,MATCH('Fuel Selector'!$B201,'Fuel Model - Summary'!$B:$B,0)),
IF($H201 = "External", INDEX('Fuel Cost - External'!I:I,MATCH('Fuel Selector'!$B201,'Fuel Cost - External'!$B:$B,0)),0)
))</f>
        <v>12.410218211334312</v>
      </c>
      <c r="M201" s="89">
        <f>IF(M$113&gt;2050,L201,
IF($H201="Modeled", INDEX('Fuel Model - Summary'!J:J,MATCH('Fuel Selector'!$B201,'Fuel Model - Summary'!$B:$B,0)),
IF($H201 = "External", INDEX('Fuel Cost - External'!J:J,MATCH('Fuel Selector'!$B201,'Fuel Cost - External'!$B:$B,0)),0)
))</f>
        <v>9.7555503283281819</v>
      </c>
      <c r="N201" s="89">
        <f>IF(N$113&gt;2050,M201,
IF($H201="Modeled", INDEX('Fuel Model - Summary'!K:K,MATCH('Fuel Selector'!$B201,'Fuel Model - Summary'!$B:$B,0)),
IF($H201 = "External", INDEX('Fuel Cost - External'!K:K,MATCH('Fuel Selector'!$B201,'Fuel Cost - External'!$B:$B,0)),0)
))</f>
        <v>8.2737113233917281</v>
      </c>
      <c r="O201" s="89">
        <f>IF(O$113&gt;2050,N201,
IF($H201="Modeled", INDEX('Fuel Model - Summary'!L:L,MATCH('Fuel Selector'!$B201,'Fuel Model - Summary'!$B:$B,0)),
IF($H201 = "External", INDEX('Fuel Cost - External'!L:L,MATCH('Fuel Selector'!$B201,'Fuel Cost - External'!$B:$B,0)),0)
))</f>
        <v>7.5762340535207775</v>
      </c>
      <c r="P201" s="89">
        <f>IF(P$113&gt;2050,O201,
IF($H201="Modeled", INDEX('Fuel Model - Summary'!M:M,MATCH('Fuel Selector'!$B201,'Fuel Model - Summary'!$B:$B,0)),
IF($H201 = "External", INDEX('Fuel Cost - External'!M:M,MATCH('Fuel Selector'!$B201,'Fuel Cost - External'!$B:$B,0)),0)
))</f>
        <v>6.8590382988976106</v>
      </c>
      <c r="Q201" s="89">
        <f>IF(Q$113&gt;2050,P201,
IF($H201="Modeled", INDEX('Fuel Model - Summary'!N:N,MATCH('Fuel Selector'!$B201,'Fuel Model - Summary'!$B:$B,0)),
IF($H201 = "External", INDEX('Fuel Cost - External'!N:N,MATCH('Fuel Selector'!$B201,'Fuel Cost - External'!$B:$B,0)),0)
))</f>
        <v>6.5070194149739917</v>
      </c>
      <c r="R201" s="89">
        <f>IF(R$113&gt;2050,Q201,
IF($H201="Modeled", INDEX('Fuel Model - Summary'!O:O,MATCH('Fuel Selector'!$B201,'Fuel Model - Summary'!$B:$B,0)),
IF($H201 = "External", INDEX('Fuel Cost - External'!O:O,MATCH('Fuel Selector'!$B201,'Fuel Cost - External'!$B:$B,0)),0)
))</f>
        <v>6.5070194149739917</v>
      </c>
      <c r="S201" s="89">
        <f>IF(S$113&gt;2050,R201,
IF($H201="Modeled", INDEX('Fuel Model - Summary'!P:P,MATCH('Fuel Selector'!$B201,'Fuel Model - Summary'!$B:$B,0)),
IF($H201 = "External", INDEX('Fuel Cost - External'!P:P,MATCH('Fuel Selector'!$B201,'Fuel Cost - External'!$B:$B,0)),0)
))</f>
        <v>6.5070194149739917</v>
      </c>
      <c r="T201" s="89">
        <f>IF(T$113&gt;2050,S201,
IF($H201="Modeled", INDEX('Fuel Model - Summary'!Q:Q,MATCH('Fuel Selector'!$B201,'Fuel Model - Summary'!$B:$B,0)),
IF($H201 = "External", INDEX('Fuel Cost - External'!Q:Q,MATCH('Fuel Selector'!$B201,'Fuel Cost - External'!$B:$B,0)),0)
))</f>
        <v>6.5070194149739917</v>
      </c>
      <c r="U201" s="89">
        <f>IF(U$113&gt;2050,T201,
IF($H201="Modeled", INDEX('Fuel Model - Summary'!R:R,MATCH('Fuel Selector'!$B201,'Fuel Model - Summary'!$B:$B,0)),
IF($H201 = "External", INDEX('Fuel Cost - External'!R:R,MATCH('Fuel Selector'!$B201,'Fuel Cost - External'!$B:$B,0)),0)
))</f>
        <v>6.5070194149739917</v>
      </c>
      <c r="V201" s="89">
        <f>IF(V$113&gt;2050,U201,
IF($H201="Modeled", INDEX('Fuel Model - Summary'!S:S,MATCH('Fuel Selector'!$B201,'Fuel Model - Summary'!$B:$B,0)),
IF($H201 = "External", INDEX('Fuel Cost - External'!S:S,MATCH('Fuel Selector'!$B201,'Fuel Cost - External'!$B:$B,0)),0)
))</f>
        <v>6.5070194149739917</v>
      </c>
    </row>
    <row r="202" spans="1:22" x14ac:dyDescent="0.2">
      <c r="A202" s="29">
        <f t="shared" si="150"/>
        <v>5</v>
      </c>
      <c r="B202" s="334" t="str">
        <f t="shared" si="147"/>
        <v>e-Ammonia - Africa&amp;Other - Fuel cost - USD/GJ</v>
      </c>
      <c r="C202" t="str" cm="1">
        <f t="array" ref="C202">INDEX(list_AE_fuel,A202)</f>
        <v>e-Ammonia</v>
      </c>
      <c r="D202"/>
      <c r="E202" t="str">
        <f t="shared" si="149"/>
        <v>Africa&amp;Other</v>
      </c>
      <c r="F202" t="str">
        <f t="shared" si="148"/>
        <v>Fuel cost - USD/GJ</v>
      </c>
      <c r="G202" s="226"/>
      <c r="H202" s="128" t="str" cm="1">
        <f t="array" ref="H202">INDEX('Configurator Specs.'!$CG$5:$CG$24,A202)</f>
        <v>Modeled</v>
      </c>
      <c r="I202" t="s">
        <v>324</v>
      </c>
      <c r="K202" s="89">
        <f>IF(K$113&gt;2050,J202,
IF($H202="Modeled", INDEX('Fuel Model - Summary'!H:H,MATCH('Fuel Selector'!$B202,'Fuel Model - Summary'!$B:$B,0)),
IF($H202 = "External", INDEX('Fuel Cost - External'!H:H,MATCH('Fuel Selector'!$B202,'Fuel Cost - External'!$B:$B,0)),0)
))</f>
        <v>82.340306199678807</v>
      </c>
      <c r="L202" s="89">
        <f>IF(L$113&gt;2050,K202,
IF($H202="Modeled", INDEX('Fuel Model - Summary'!I:I,MATCH('Fuel Selector'!$B202,'Fuel Model - Summary'!$B:$B,0)),
IF($H202 = "External", INDEX('Fuel Cost - External'!I:I,MATCH('Fuel Selector'!$B202,'Fuel Cost - External'!$B:$B,0)),0)
))</f>
        <v>52.175832308439929</v>
      </c>
      <c r="M202" s="89">
        <f>IF(M$113&gt;2050,L202,
IF($H202="Modeled", INDEX('Fuel Model - Summary'!J:J,MATCH('Fuel Selector'!$B202,'Fuel Model - Summary'!$B:$B,0)),
IF($H202 = "External", INDEX('Fuel Cost - External'!J:J,MATCH('Fuel Selector'!$B202,'Fuel Cost - External'!$B:$B,0)),0)
))</f>
        <v>35.901023353676017</v>
      </c>
      <c r="N202" s="89">
        <f>IF(N$113&gt;2050,M202,
IF($H202="Modeled", INDEX('Fuel Model - Summary'!K:K,MATCH('Fuel Selector'!$B202,'Fuel Model - Summary'!$B:$B,0)),
IF($H202 = "External", INDEX('Fuel Cost - External'!K:K,MATCH('Fuel Selector'!$B202,'Fuel Cost - External'!$B:$B,0)),0)
))</f>
        <v>31.97387046407588</v>
      </c>
      <c r="O202" s="89">
        <f>IF(O$113&gt;2050,N202,
IF($H202="Modeled", INDEX('Fuel Model - Summary'!L:L,MATCH('Fuel Selector'!$B202,'Fuel Model - Summary'!$B:$B,0)),
IF($H202 = "External", INDEX('Fuel Cost - External'!L:L,MATCH('Fuel Selector'!$B202,'Fuel Cost - External'!$B:$B,0)),0)
))</f>
        <v>28.01377615901281</v>
      </c>
      <c r="P202" s="89">
        <f>IF(P$113&gt;2050,O202,
IF($H202="Modeled", INDEX('Fuel Model - Summary'!M:M,MATCH('Fuel Selector'!$B202,'Fuel Model - Summary'!$B:$B,0)),
IF($H202 = "External", INDEX('Fuel Cost - External'!M:M,MATCH('Fuel Selector'!$B202,'Fuel Cost - External'!$B:$B,0)),0)
))</f>
        <v>23.132499666415576</v>
      </c>
      <c r="Q202" s="89">
        <f>IF(Q$113&gt;2050,P202,
IF($H202="Modeled", INDEX('Fuel Model - Summary'!N:N,MATCH('Fuel Selector'!$B202,'Fuel Model - Summary'!$B:$B,0)),
IF($H202 = "External", INDEX('Fuel Cost - External'!N:N,MATCH('Fuel Selector'!$B202,'Fuel Cost - External'!$B:$B,0)),0)
))</f>
        <v>18.872149207560184</v>
      </c>
      <c r="R202" s="89">
        <f>IF(R$113&gt;2050,Q202,
IF($H202="Modeled", INDEX('Fuel Model - Summary'!O:O,MATCH('Fuel Selector'!$B202,'Fuel Model - Summary'!$B:$B,0)),
IF($H202 = "External", INDEX('Fuel Cost - External'!O:O,MATCH('Fuel Selector'!$B202,'Fuel Cost - External'!$B:$B,0)),0)
))</f>
        <v>18.872149207560184</v>
      </c>
      <c r="S202" s="89">
        <f>IF(S$113&gt;2050,R202,
IF($H202="Modeled", INDEX('Fuel Model - Summary'!P:P,MATCH('Fuel Selector'!$B202,'Fuel Model - Summary'!$B:$B,0)),
IF($H202 = "External", INDEX('Fuel Cost - External'!P:P,MATCH('Fuel Selector'!$B202,'Fuel Cost - External'!$B:$B,0)),0)
))</f>
        <v>18.872149207560184</v>
      </c>
      <c r="T202" s="89">
        <f>IF(T$113&gt;2050,S202,
IF($H202="Modeled", INDEX('Fuel Model - Summary'!Q:Q,MATCH('Fuel Selector'!$B202,'Fuel Model - Summary'!$B:$B,0)),
IF($H202 = "External", INDEX('Fuel Cost - External'!Q:Q,MATCH('Fuel Selector'!$B202,'Fuel Cost - External'!$B:$B,0)),0)
))</f>
        <v>18.872149207560184</v>
      </c>
      <c r="U202" s="89">
        <f>IF(U$113&gt;2050,T202,
IF($H202="Modeled", INDEX('Fuel Model - Summary'!R:R,MATCH('Fuel Selector'!$B202,'Fuel Model - Summary'!$B:$B,0)),
IF($H202 = "External", INDEX('Fuel Cost - External'!R:R,MATCH('Fuel Selector'!$B202,'Fuel Cost - External'!$B:$B,0)),0)
))</f>
        <v>18.872149207560184</v>
      </c>
      <c r="V202" s="89">
        <f>IF(V$113&gt;2050,U202,
IF($H202="Modeled", INDEX('Fuel Model - Summary'!S:S,MATCH('Fuel Selector'!$B202,'Fuel Model - Summary'!$B:$B,0)),
IF($H202 = "External", INDEX('Fuel Cost - External'!S:S,MATCH('Fuel Selector'!$B202,'Fuel Cost - External'!$B:$B,0)),0)
))</f>
        <v>18.872149207560184</v>
      </c>
    </row>
    <row r="203" spans="1:22" x14ac:dyDescent="0.2">
      <c r="A203" s="29">
        <f t="shared" si="150"/>
        <v>6</v>
      </c>
      <c r="B203" s="334" t="str">
        <f t="shared" si="147"/>
        <v>Blue ammonia - Africa&amp;Other - Fuel cost - USD/GJ</v>
      </c>
      <c r="C203" t="str" cm="1">
        <f t="array" ref="C203">INDEX(list_AE_fuel,A203)</f>
        <v>Blue ammonia</v>
      </c>
      <c r="D203"/>
      <c r="E203" t="str">
        <f t="shared" si="149"/>
        <v>Africa&amp;Other</v>
      </c>
      <c r="F203" t="str">
        <f t="shared" si="148"/>
        <v>Fuel cost - USD/GJ</v>
      </c>
      <c r="G203" s="226"/>
      <c r="H203" s="128" t="str" cm="1">
        <f t="array" ref="H203">INDEX('Configurator Specs.'!$CG$5:$CG$24,A203)</f>
        <v>Modeled</v>
      </c>
      <c r="I203" t="s">
        <v>324</v>
      </c>
      <c r="K203" s="89">
        <f>IF(K$113&gt;2050,J203,
IF($H203="Modeled", INDEX('Fuel Model - Summary'!H:H,MATCH('Fuel Selector'!$B203,'Fuel Model - Summary'!$B:$B,0)),
IF($H203 = "External", INDEX('Fuel Cost - External'!H:H,MATCH('Fuel Selector'!$B203,'Fuel Cost - External'!$B:$B,0)),0)
))</f>
        <v>78.707277411124849</v>
      </c>
      <c r="L203" s="89">
        <f>IF(L$113&gt;2050,K203,
IF($H203="Modeled", INDEX('Fuel Model - Summary'!I:I,MATCH('Fuel Selector'!$B203,'Fuel Model - Summary'!$B:$B,0)),
IF($H203 = "External", INDEX('Fuel Cost - External'!I:I,MATCH('Fuel Selector'!$B203,'Fuel Cost - External'!$B:$B,0)),0)
))</f>
        <v>41.181210826925323</v>
      </c>
      <c r="M203" s="89">
        <f>IF(M$113&gt;2050,L203,
IF($H203="Modeled", INDEX('Fuel Model - Summary'!J:J,MATCH('Fuel Selector'!$B203,'Fuel Model - Summary'!$B:$B,0)),
IF($H203 = "External", INDEX('Fuel Cost - External'!J:J,MATCH('Fuel Selector'!$B203,'Fuel Cost - External'!$B:$B,0)),0)
))</f>
        <v>31.956469409910522</v>
      </c>
      <c r="N203" s="89">
        <f>IF(N$113&gt;2050,M203,
IF($H203="Modeled", INDEX('Fuel Model - Summary'!K:K,MATCH('Fuel Selector'!$B203,'Fuel Model - Summary'!$B:$B,0)),
IF($H203 = "External", INDEX('Fuel Cost - External'!K:K,MATCH('Fuel Selector'!$B203,'Fuel Cost - External'!$B:$B,0)),0)
))</f>
        <v>31.508374378172132</v>
      </c>
      <c r="O203" s="89">
        <f>IF(O$113&gt;2050,N203,
IF($H203="Modeled", INDEX('Fuel Model - Summary'!L:L,MATCH('Fuel Selector'!$B203,'Fuel Model - Summary'!$B:$B,0)),
IF($H203 = "External", INDEX('Fuel Cost - External'!L:L,MATCH('Fuel Selector'!$B203,'Fuel Cost - External'!$B:$B,0)),0)
))</f>
        <v>31.084971721395515</v>
      </c>
      <c r="P203" s="89">
        <f>IF(P$113&gt;2050,O203,
IF($H203="Modeled", INDEX('Fuel Model - Summary'!M:M,MATCH('Fuel Selector'!$B203,'Fuel Model - Summary'!$B:$B,0)),
IF($H203 = "External", INDEX('Fuel Cost - External'!M:M,MATCH('Fuel Selector'!$B203,'Fuel Cost - External'!$B:$B,0)),0)
))</f>
        <v>30.660948309937211</v>
      </c>
      <c r="Q203" s="89">
        <f>IF(Q$113&gt;2050,P203,
IF($H203="Modeled", INDEX('Fuel Model - Summary'!N:N,MATCH('Fuel Selector'!$B203,'Fuel Model - Summary'!$B:$B,0)),
IF($H203 = "External", INDEX('Fuel Cost - External'!N:N,MATCH('Fuel Selector'!$B203,'Fuel Cost - External'!$B:$B,0)),0)
))</f>
        <v>30.248420977157352</v>
      </c>
      <c r="R203" s="89">
        <f>IF(R$113&gt;2050,Q203,
IF($H203="Modeled", INDEX('Fuel Model - Summary'!O:O,MATCH('Fuel Selector'!$B203,'Fuel Model - Summary'!$B:$B,0)),
IF($H203 = "External", INDEX('Fuel Cost - External'!O:O,MATCH('Fuel Selector'!$B203,'Fuel Cost - External'!$B:$B,0)),0)
))</f>
        <v>30.248420977157352</v>
      </c>
      <c r="S203" s="89">
        <f>IF(S$113&gt;2050,R203,
IF($H203="Modeled", INDEX('Fuel Model - Summary'!P:P,MATCH('Fuel Selector'!$B203,'Fuel Model - Summary'!$B:$B,0)),
IF($H203 = "External", INDEX('Fuel Cost - External'!P:P,MATCH('Fuel Selector'!$B203,'Fuel Cost - External'!$B:$B,0)),0)
))</f>
        <v>30.248420977157352</v>
      </c>
      <c r="T203" s="89">
        <f>IF(T$113&gt;2050,S203,
IF($H203="Modeled", INDEX('Fuel Model - Summary'!Q:Q,MATCH('Fuel Selector'!$B203,'Fuel Model - Summary'!$B:$B,0)),
IF($H203 = "External", INDEX('Fuel Cost - External'!Q:Q,MATCH('Fuel Selector'!$B203,'Fuel Cost - External'!$B:$B,0)),0)
))</f>
        <v>30.248420977157352</v>
      </c>
      <c r="U203" s="89">
        <f>IF(U$113&gt;2050,T203,
IF($H203="Modeled", INDEX('Fuel Model - Summary'!R:R,MATCH('Fuel Selector'!$B203,'Fuel Model - Summary'!$B:$B,0)),
IF($H203 = "External", INDEX('Fuel Cost - External'!R:R,MATCH('Fuel Selector'!$B203,'Fuel Cost - External'!$B:$B,0)),0)
))</f>
        <v>30.248420977157352</v>
      </c>
      <c r="V203" s="89">
        <f>IF(V$113&gt;2050,U203,
IF($H203="Modeled", INDEX('Fuel Model - Summary'!S:S,MATCH('Fuel Selector'!$B203,'Fuel Model - Summary'!$B:$B,0)),
IF($H203 = "External", INDEX('Fuel Cost - External'!S:S,MATCH('Fuel Selector'!$B203,'Fuel Cost - External'!$B:$B,0)),0)
))</f>
        <v>30.248420977157352</v>
      </c>
    </row>
    <row r="204" spans="1:22" x14ac:dyDescent="0.2">
      <c r="A204" s="29">
        <f t="shared" si="150"/>
        <v>7</v>
      </c>
      <c r="B204" s="334" t="str">
        <f t="shared" si="147"/>
        <v>Biomethane - Africa&amp;Other - Fuel cost - USD/GJ</v>
      </c>
      <c r="C204" t="str" cm="1">
        <f t="array" ref="C204">INDEX(list_AE_fuel,A204)</f>
        <v>Biomethane</v>
      </c>
      <c r="D204"/>
      <c r="E204" t="str">
        <f t="shared" si="149"/>
        <v>Africa&amp;Other</v>
      </c>
      <c r="F204" t="str">
        <f t="shared" si="148"/>
        <v>Fuel cost - USD/GJ</v>
      </c>
      <c r="G204"/>
      <c r="H204" s="128" t="str" cm="1">
        <f t="array" ref="H204">INDEX('Configurator Specs.'!$CG$5:$CG$24,A204)</f>
        <v>Modeled</v>
      </c>
      <c r="I204" t="s">
        <v>324</v>
      </c>
      <c r="K204" s="89">
        <f>IF(K$113&gt;2050,J204,
IF($H204="Modeled", INDEX('Fuel Model - Summary'!H:H,MATCH('Fuel Selector'!$B204,'Fuel Model - Summary'!$B:$B,0)),
IF($H204 = "External", INDEX('Fuel Cost - External'!H:H,MATCH('Fuel Selector'!$B204,'Fuel Cost - External'!$B:$B,0)),0)
))</f>
        <v>25.671372387427169</v>
      </c>
      <c r="L204" s="89">
        <f>IF(L$113&gt;2050,K204,
IF($H204="Modeled", INDEX('Fuel Model - Summary'!I:I,MATCH('Fuel Selector'!$B204,'Fuel Model - Summary'!$B:$B,0)),
IF($H204 = "External", INDEX('Fuel Cost - External'!I:I,MATCH('Fuel Selector'!$B204,'Fuel Cost - External'!$B:$B,0)),0)
))</f>
        <v>22.932333361573928</v>
      </c>
      <c r="M204" s="89">
        <f>IF(M$113&gt;2050,L204,
IF($H204="Modeled", INDEX('Fuel Model - Summary'!J:J,MATCH('Fuel Selector'!$B204,'Fuel Model - Summary'!$B:$B,0)),
IF($H204 = "External", INDEX('Fuel Cost - External'!J:J,MATCH('Fuel Selector'!$B204,'Fuel Cost - External'!$B:$B,0)),0)
))</f>
        <v>21.319027446381099</v>
      </c>
      <c r="N204" s="89">
        <f>IF(N$113&gt;2050,M204,
IF($H204="Modeled", INDEX('Fuel Model - Summary'!K:K,MATCH('Fuel Selector'!$B204,'Fuel Model - Summary'!$B:$B,0)),
IF($H204 = "External", INDEX('Fuel Cost - External'!K:K,MATCH('Fuel Selector'!$B204,'Fuel Cost - External'!$B:$B,0)),0)
))</f>
        <v>19.917589539412425</v>
      </c>
      <c r="O204" s="89">
        <f>IF(O$113&gt;2050,N204,
IF($H204="Modeled", INDEX('Fuel Model - Summary'!L:L,MATCH('Fuel Selector'!$B204,'Fuel Model - Summary'!$B:$B,0)),
IF($H204 = "External", INDEX('Fuel Cost - External'!L:L,MATCH('Fuel Selector'!$B204,'Fuel Cost - External'!$B:$B,0)),0)
))</f>
        <v>18.583618208508724</v>
      </c>
      <c r="P204" s="89">
        <f>IF(P$113&gt;2050,O204,
IF($H204="Modeled", INDEX('Fuel Model - Summary'!M:M,MATCH('Fuel Selector'!$B204,'Fuel Model - Summary'!$B:$B,0)),
IF($H204 = "External", INDEX('Fuel Cost - External'!M:M,MATCH('Fuel Selector'!$B204,'Fuel Cost - External'!$B:$B,0)),0)
))</f>
        <v>17.246852497876169</v>
      </c>
      <c r="Q204" s="89">
        <f>IF(Q$113&gt;2050,P204,
IF($H204="Modeled", INDEX('Fuel Model - Summary'!N:N,MATCH('Fuel Selector'!$B204,'Fuel Model - Summary'!$B:$B,0)),
IF($H204 = "External", INDEX('Fuel Cost - External'!N:N,MATCH('Fuel Selector'!$B204,'Fuel Cost - External'!$B:$B,0)),0)
))</f>
        <v>15.941995730300937</v>
      </c>
      <c r="R204" s="89">
        <f>IF(R$113&gt;2050,Q204,
IF($H204="Modeled", INDEX('Fuel Model - Summary'!O:O,MATCH('Fuel Selector'!$B204,'Fuel Model - Summary'!$B:$B,0)),
IF($H204 = "External", INDEX('Fuel Cost - External'!O:O,MATCH('Fuel Selector'!$B204,'Fuel Cost - External'!$B:$B,0)),0)
))</f>
        <v>15.941995730300937</v>
      </c>
      <c r="S204" s="89">
        <f>IF(S$113&gt;2050,R204,
IF($H204="Modeled", INDEX('Fuel Model - Summary'!P:P,MATCH('Fuel Selector'!$B204,'Fuel Model - Summary'!$B:$B,0)),
IF($H204 = "External", INDEX('Fuel Cost - External'!P:P,MATCH('Fuel Selector'!$B204,'Fuel Cost - External'!$B:$B,0)),0)
))</f>
        <v>15.941995730300937</v>
      </c>
      <c r="T204" s="89">
        <f>IF(T$113&gt;2050,S204,
IF($H204="Modeled", INDEX('Fuel Model - Summary'!Q:Q,MATCH('Fuel Selector'!$B204,'Fuel Model - Summary'!$B:$B,0)),
IF($H204 = "External", INDEX('Fuel Cost - External'!Q:Q,MATCH('Fuel Selector'!$B204,'Fuel Cost - External'!$B:$B,0)),0)
))</f>
        <v>15.941995730300937</v>
      </c>
      <c r="U204" s="89">
        <f>IF(U$113&gt;2050,T204,
IF($H204="Modeled", INDEX('Fuel Model - Summary'!R:R,MATCH('Fuel Selector'!$B204,'Fuel Model - Summary'!$B:$B,0)),
IF($H204 = "External", INDEX('Fuel Cost - External'!R:R,MATCH('Fuel Selector'!$B204,'Fuel Cost - External'!$B:$B,0)),0)
))</f>
        <v>15.941995730300937</v>
      </c>
      <c r="V204" s="89">
        <f>IF(V$113&gt;2050,U204,
IF($H204="Modeled", INDEX('Fuel Model - Summary'!S:S,MATCH('Fuel Selector'!$B204,'Fuel Model - Summary'!$B:$B,0)),
IF($H204 = "External", INDEX('Fuel Cost - External'!S:S,MATCH('Fuel Selector'!$B204,'Fuel Cost - External'!$B:$B,0)),0)
))</f>
        <v>15.941995730300937</v>
      </c>
    </row>
    <row r="205" spans="1:22" x14ac:dyDescent="0.2">
      <c r="A205" s="29">
        <f t="shared" si="150"/>
        <v>8</v>
      </c>
      <c r="B205" s="334" t="str">
        <f t="shared" si="147"/>
        <v>e-Methane (DAC) - Africa&amp;Other - Fuel cost - USD/GJ</v>
      </c>
      <c r="C205" t="str" cm="1">
        <f t="array" ref="C205">INDEX(list_AE_fuel,A205)</f>
        <v>e-Methane (DAC)</v>
      </c>
      <c r="D205"/>
      <c r="E205" t="str">
        <f t="shared" si="149"/>
        <v>Africa&amp;Other</v>
      </c>
      <c r="F205" t="str">
        <f t="shared" si="148"/>
        <v>Fuel cost - USD/GJ</v>
      </c>
      <c r="G205" s="226"/>
      <c r="H205" s="128" t="str" cm="1">
        <f t="array" ref="H205">INDEX('Configurator Specs.'!$CG$5:$CG$24,A205)</f>
        <v>Modeled</v>
      </c>
      <c r="I205" t="s">
        <v>324</v>
      </c>
      <c r="K205" s="89">
        <f>IF(K$113&gt;2050,J205,
IF($H205="Modeled", INDEX('Fuel Model - Summary'!H:H,MATCH('Fuel Selector'!$B205,'Fuel Model - Summary'!$B:$B,0)),
IF($H205 = "External", INDEX('Fuel Cost - External'!H:H,MATCH('Fuel Selector'!$B205,'Fuel Cost - External'!$B:$B,0)),0)
))</f>
        <v>93.442980973366517</v>
      </c>
      <c r="L205" s="89">
        <f>IF(L$113&gt;2050,K205,
IF($H205="Modeled", INDEX('Fuel Model - Summary'!I:I,MATCH('Fuel Selector'!$B205,'Fuel Model - Summary'!$B:$B,0)),
IF($H205 = "External", INDEX('Fuel Cost - External'!I:I,MATCH('Fuel Selector'!$B205,'Fuel Cost - External'!$B:$B,0)),0)
))</f>
        <v>62.035125630685471</v>
      </c>
      <c r="M205" s="89">
        <f>IF(M$113&gt;2050,L205,
IF($H205="Modeled", INDEX('Fuel Model - Summary'!J:J,MATCH('Fuel Selector'!$B205,'Fuel Model - Summary'!$B:$B,0)),
IF($H205 = "External", INDEX('Fuel Cost - External'!J:J,MATCH('Fuel Selector'!$B205,'Fuel Cost - External'!$B:$B,0)),0)
))</f>
        <v>50.142425978918354</v>
      </c>
      <c r="N205" s="89">
        <f>IF(N$113&gt;2050,M205,
IF($H205="Modeled", INDEX('Fuel Model - Summary'!K:K,MATCH('Fuel Selector'!$B205,'Fuel Model - Summary'!$B:$B,0)),
IF($H205 = "External", INDEX('Fuel Cost - External'!K:K,MATCH('Fuel Selector'!$B205,'Fuel Cost - External'!$B:$B,0)),0)
))</f>
        <v>43.98119369643203</v>
      </c>
      <c r="O205" s="89">
        <f>IF(O$113&gt;2050,N205,
IF($H205="Modeled", INDEX('Fuel Model - Summary'!L:L,MATCH('Fuel Selector'!$B205,'Fuel Model - Summary'!$B:$B,0)),
IF($H205 = "External", INDEX('Fuel Cost - External'!L:L,MATCH('Fuel Selector'!$B205,'Fuel Cost - External'!$B:$B,0)),0)
))</f>
        <v>38.411760314759</v>
      </c>
      <c r="P205" s="89">
        <f>IF(P$113&gt;2050,O205,
IF($H205="Modeled", INDEX('Fuel Model - Summary'!M:M,MATCH('Fuel Selector'!$B205,'Fuel Model - Summary'!$B:$B,0)),
IF($H205 = "External", INDEX('Fuel Cost - External'!M:M,MATCH('Fuel Selector'!$B205,'Fuel Cost - External'!$B:$B,0)),0)
))</f>
        <v>31.829178409004971</v>
      </c>
      <c r="Q205" s="89">
        <f>IF(Q$113&gt;2050,P205,
IF($H205="Modeled", INDEX('Fuel Model - Summary'!N:N,MATCH('Fuel Selector'!$B205,'Fuel Model - Summary'!$B:$B,0)),
IF($H205 = "External", INDEX('Fuel Cost - External'!N:N,MATCH('Fuel Selector'!$B205,'Fuel Cost - External'!$B:$B,0)),0)
))</f>
        <v>26.192847472577569</v>
      </c>
      <c r="R205" s="89">
        <f>IF(R$113&gt;2050,Q205,
IF($H205="Modeled", INDEX('Fuel Model - Summary'!O:O,MATCH('Fuel Selector'!$B205,'Fuel Model - Summary'!$B:$B,0)),
IF($H205 = "External", INDEX('Fuel Cost - External'!O:O,MATCH('Fuel Selector'!$B205,'Fuel Cost - External'!$B:$B,0)),0)
))</f>
        <v>26.192847472577569</v>
      </c>
      <c r="S205" s="89">
        <f>IF(S$113&gt;2050,R205,
IF($H205="Modeled", INDEX('Fuel Model - Summary'!P:P,MATCH('Fuel Selector'!$B205,'Fuel Model - Summary'!$B:$B,0)),
IF($H205 = "External", INDEX('Fuel Cost - External'!P:P,MATCH('Fuel Selector'!$B205,'Fuel Cost - External'!$B:$B,0)),0)
))</f>
        <v>26.192847472577569</v>
      </c>
      <c r="T205" s="89">
        <f>IF(T$113&gt;2050,S205,
IF($H205="Modeled", INDEX('Fuel Model - Summary'!Q:Q,MATCH('Fuel Selector'!$B205,'Fuel Model - Summary'!$B:$B,0)),
IF($H205 = "External", INDEX('Fuel Cost - External'!Q:Q,MATCH('Fuel Selector'!$B205,'Fuel Cost - External'!$B:$B,0)),0)
))</f>
        <v>26.192847472577569</v>
      </c>
      <c r="U205" s="89">
        <f>IF(U$113&gt;2050,T205,
IF($H205="Modeled", INDEX('Fuel Model - Summary'!R:R,MATCH('Fuel Selector'!$B205,'Fuel Model - Summary'!$B:$B,0)),
IF($H205 = "External", INDEX('Fuel Cost - External'!R:R,MATCH('Fuel Selector'!$B205,'Fuel Cost - External'!$B:$B,0)),0)
))</f>
        <v>26.192847472577569</v>
      </c>
      <c r="V205" s="89">
        <f>IF(V$113&gt;2050,U205,
IF($H205="Modeled", INDEX('Fuel Model - Summary'!S:S,MATCH('Fuel Selector'!$B205,'Fuel Model - Summary'!$B:$B,0)),
IF($H205 = "External", INDEX('Fuel Cost - External'!S:S,MATCH('Fuel Selector'!$B205,'Fuel Cost - External'!$B:$B,0)),0)
))</f>
        <v>26.192847472577569</v>
      </c>
    </row>
    <row r="206" spans="1:22" x14ac:dyDescent="0.2">
      <c r="A206" s="29">
        <f t="shared" si="150"/>
        <v>9</v>
      </c>
      <c r="B206" s="334" t="str">
        <f t="shared" si="147"/>
        <v>e-Methane (PS) - Africa&amp;Other - Fuel cost - USD/GJ</v>
      </c>
      <c r="C206" t="str" cm="1">
        <f t="array" ref="C206">INDEX(list_AE_fuel,A206)</f>
        <v>e-Methane (PS)</v>
      </c>
      <c r="D206"/>
      <c r="E206" t="str">
        <f t="shared" si="149"/>
        <v>Africa&amp;Other</v>
      </c>
      <c r="F206" t="str">
        <f t="shared" si="148"/>
        <v>Fuel cost - USD/GJ</v>
      </c>
      <c r="G206" s="226"/>
      <c r="H206" s="128" t="str" cm="1">
        <f t="array" ref="H206">INDEX('Configurator Specs.'!$CG$5:$CG$24,A206)</f>
        <v>Modeled</v>
      </c>
      <c r="I206" t="s">
        <v>324</v>
      </c>
      <c r="K206" s="89">
        <f>IF(K$113&gt;2050,J206,
IF($H206="Modeled", INDEX('Fuel Model - Summary'!H:H,MATCH('Fuel Selector'!$B206,'Fuel Model - Summary'!$B:$B,0)),
IF($H206 = "External", INDEX('Fuel Cost - External'!H:H,MATCH('Fuel Selector'!$B206,'Fuel Cost - External'!$B:$B,0)),0)
))</f>
        <v>83.260893342394226</v>
      </c>
      <c r="L206" s="89">
        <f>IF(L$113&gt;2050,K206,
IF($H206="Modeled", INDEX('Fuel Model - Summary'!I:I,MATCH('Fuel Selector'!$B206,'Fuel Model - Summary'!$B:$B,0)),
IF($H206 = "External", INDEX('Fuel Cost - External'!I:I,MATCH('Fuel Selector'!$B206,'Fuel Cost - External'!$B:$B,0)),0)
))</f>
        <v>56.967181837379584</v>
      </c>
      <c r="M206" s="89">
        <f>IF(M$113&gt;2050,L206,
IF($H206="Modeled", INDEX('Fuel Model - Summary'!J:J,MATCH('Fuel Selector'!$B206,'Fuel Model - Summary'!$B:$B,0)),
IF($H206 = "External", INDEX('Fuel Cost - External'!J:J,MATCH('Fuel Selector'!$B206,'Fuel Cost - External'!$B:$B,0)),0)
))</f>
        <v>46.257098364851863</v>
      </c>
      <c r="N206" s="89">
        <f>IF(N$113&gt;2050,M206,
IF($H206="Modeled", INDEX('Fuel Model - Summary'!K:K,MATCH('Fuel Selector'!$B206,'Fuel Model - Summary'!$B:$B,0)),
IF($H206 = "External", INDEX('Fuel Cost - External'!K:K,MATCH('Fuel Selector'!$B206,'Fuel Cost - External'!$B:$B,0)),0)
))</f>
        <v>41.335835830121958</v>
      </c>
      <c r="O206" s="89">
        <f>IF(O$113&gt;2050,N206,
IF($H206="Modeled", INDEX('Fuel Model - Summary'!L:L,MATCH('Fuel Selector'!$B206,'Fuel Model - Summary'!$B:$B,0)),
IF($H206 = "External", INDEX('Fuel Cost - External'!L:L,MATCH('Fuel Selector'!$B206,'Fuel Cost - External'!$B:$B,0)),0)
))</f>
        <v>36.443457829553196</v>
      </c>
      <c r="P206" s="89">
        <f>IF(P$113&gt;2050,O206,
IF($H206="Modeled", INDEX('Fuel Model - Summary'!M:M,MATCH('Fuel Selector'!$B206,'Fuel Model - Summary'!$B:$B,0)),
IF($H206 = "External", INDEX('Fuel Cost - External'!M:M,MATCH('Fuel Selector'!$B206,'Fuel Cost - External'!$B:$B,0)),0)
))</f>
        <v>30.353806741451329</v>
      </c>
      <c r="Q206" s="89">
        <f>IF(Q$113&gt;2050,P206,
IF($H206="Modeled", INDEX('Fuel Model - Summary'!N:N,MATCH('Fuel Selector'!$B206,'Fuel Model - Summary'!$B:$B,0)),
IF($H206 = "External", INDEX('Fuel Cost - External'!N:N,MATCH('Fuel Selector'!$B206,'Fuel Cost - External'!$B:$B,0)),0)
))</f>
        <v>24.943172246985036</v>
      </c>
      <c r="R206" s="89">
        <f>IF(R$113&gt;2050,Q206,
IF($H206="Modeled", INDEX('Fuel Model - Summary'!O:O,MATCH('Fuel Selector'!$B206,'Fuel Model - Summary'!$B:$B,0)),
IF($H206 = "External", INDEX('Fuel Cost - External'!O:O,MATCH('Fuel Selector'!$B206,'Fuel Cost - External'!$B:$B,0)),0)
))</f>
        <v>24.943172246985036</v>
      </c>
      <c r="S206" s="89">
        <f>IF(S$113&gt;2050,R206,
IF($H206="Modeled", INDEX('Fuel Model - Summary'!P:P,MATCH('Fuel Selector'!$B206,'Fuel Model - Summary'!$B:$B,0)),
IF($H206 = "External", INDEX('Fuel Cost - External'!P:P,MATCH('Fuel Selector'!$B206,'Fuel Cost - External'!$B:$B,0)),0)
))</f>
        <v>24.943172246985036</v>
      </c>
      <c r="T206" s="89">
        <f>IF(T$113&gt;2050,S206,
IF($H206="Modeled", INDEX('Fuel Model - Summary'!Q:Q,MATCH('Fuel Selector'!$B206,'Fuel Model - Summary'!$B:$B,0)),
IF($H206 = "External", INDEX('Fuel Cost - External'!Q:Q,MATCH('Fuel Selector'!$B206,'Fuel Cost - External'!$B:$B,0)),0)
))</f>
        <v>24.943172246985036</v>
      </c>
      <c r="U206" s="89">
        <f>IF(U$113&gt;2050,T206,
IF($H206="Modeled", INDEX('Fuel Model - Summary'!R:R,MATCH('Fuel Selector'!$B206,'Fuel Model - Summary'!$B:$B,0)),
IF($H206 = "External", INDEX('Fuel Cost - External'!R:R,MATCH('Fuel Selector'!$B206,'Fuel Cost - External'!$B:$B,0)),0)
))</f>
        <v>24.943172246985036</v>
      </c>
      <c r="V206" s="89">
        <f>IF(V$113&gt;2050,U206,
IF($H206="Modeled", INDEX('Fuel Model - Summary'!S:S,MATCH('Fuel Selector'!$B206,'Fuel Model - Summary'!$B:$B,0)),
IF($H206 = "External", INDEX('Fuel Cost - External'!S:S,MATCH('Fuel Selector'!$B206,'Fuel Cost - External'!$B:$B,0)),0)
))</f>
        <v>24.943172246985036</v>
      </c>
    </row>
    <row r="207" spans="1:22" x14ac:dyDescent="0.2">
      <c r="A207" s="29">
        <f t="shared" si="150"/>
        <v>10</v>
      </c>
      <c r="B207" s="334" t="str">
        <f t="shared" si="147"/>
        <v>Biomethanol - Africa&amp;Other - Fuel cost - USD/GJ</v>
      </c>
      <c r="C207" t="str" cm="1">
        <f t="array" ref="C207">INDEX(list_AE_fuel,A207)</f>
        <v>Biomethanol</v>
      </c>
      <c r="D207"/>
      <c r="E207" t="str">
        <f t="shared" si="149"/>
        <v>Africa&amp;Other</v>
      </c>
      <c r="F207" t="str">
        <f t="shared" si="148"/>
        <v>Fuel cost - USD/GJ</v>
      </c>
      <c r="G207"/>
      <c r="H207" s="128" t="str" cm="1">
        <f t="array" ref="H207">INDEX('Configurator Specs.'!$CG$5:$CG$24,A207)</f>
        <v>Modeled</v>
      </c>
      <c r="I207" t="s">
        <v>324</v>
      </c>
      <c r="K207" s="89">
        <f>IF(K$113&gt;2050,J207,
IF($H207="Modeled", INDEX('Fuel Model - Summary'!H:H,MATCH('Fuel Selector'!$B207,'Fuel Model - Summary'!$B:$B,0)),
IF($H207 = "External", INDEX('Fuel Cost - External'!H:H,MATCH('Fuel Selector'!$B207,'Fuel Cost - External'!$B:$B,0)),0)
))</f>
        <v>52.431945498793525</v>
      </c>
      <c r="L207" s="89">
        <f>IF(L$113&gt;2050,K207,
IF($H207="Modeled", INDEX('Fuel Model - Summary'!I:I,MATCH('Fuel Selector'!$B207,'Fuel Model - Summary'!$B:$B,0)),
IF($H207 = "External", INDEX('Fuel Cost - External'!I:I,MATCH('Fuel Selector'!$B207,'Fuel Cost - External'!$B:$B,0)),0)
))</f>
        <v>36.921607236109367</v>
      </c>
      <c r="M207" s="89">
        <f>IF(M$113&gt;2050,L207,
IF($H207="Modeled", INDEX('Fuel Model - Summary'!J:J,MATCH('Fuel Selector'!$B207,'Fuel Model - Summary'!$B:$B,0)),
IF($H207 = "External", INDEX('Fuel Cost - External'!J:J,MATCH('Fuel Selector'!$B207,'Fuel Cost - External'!$B:$B,0)),0)
))</f>
        <v>31.379582172545327</v>
      </c>
      <c r="N207" s="89">
        <f>IF(N$113&gt;2050,M207,
IF($H207="Modeled", INDEX('Fuel Model - Summary'!K:K,MATCH('Fuel Selector'!$B207,'Fuel Model - Summary'!$B:$B,0)),
IF($H207 = "External", INDEX('Fuel Cost - External'!K:K,MATCH('Fuel Selector'!$B207,'Fuel Cost - External'!$B:$B,0)),0)
))</f>
        <v>29.178796072584358</v>
      </c>
      <c r="O207" s="89">
        <f>IF(O$113&gt;2050,N207,
IF($H207="Modeled", INDEX('Fuel Model - Summary'!L:L,MATCH('Fuel Selector'!$B207,'Fuel Model - Summary'!$B:$B,0)),
IF($H207 = "External", INDEX('Fuel Cost - External'!L:L,MATCH('Fuel Selector'!$B207,'Fuel Cost - External'!$B:$B,0)),0)
))</f>
        <v>26.992051608366566</v>
      </c>
      <c r="P207" s="89">
        <f>IF(P$113&gt;2050,O207,
IF($H207="Modeled", INDEX('Fuel Model - Summary'!M:M,MATCH('Fuel Selector'!$B207,'Fuel Model - Summary'!$B:$B,0)),
IF($H207 = "External", INDEX('Fuel Cost - External'!M:M,MATCH('Fuel Selector'!$B207,'Fuel Cost - External'!$B:$B,0)),0)
))</f>
        <v>25.7356078812962</v>
      </c>
      <c r="Q207" s="89">
        <f>IF(Q$113&gt;2050,P207,
IF($H207="Modeled", INDEX('Fuel Model - Summary'!N:N,MATCH('Fuel Selector'!$B207,'Fuel Model - Summary'!$B:$B,0)),
IF($H207 = "External", INDEX('Fuel Cost - External'!N:N,MATCH('Fuel Selector'!$B207,'Fuel Cost - External'!$B:$B,0)),0)
))</f>
        <v>24.513808896393883</v>
      </c>
      <c r="R207" s="89">
        <f>IF(R$113&gt;2050,Q207,
IF($H207="Modeled", INDEX('Fuel Model - Summary'!O:O,MATCH('Fuel Selector'!$B207,'Fuel Model - Summary'!$B:$B,0)),
IF($H207 = "External", INDEX('Fuel Cost - External'!O:O,MATCH('Fuel Selector'!$B207,'Fuel Cost - External'!$B:$B,0)),0)
))</f>
        <v>24.513808896393883</v>
      </c>
      <c r="S207" s="89">
        <f>IF(S$113&gt;2050,R207,
IF($H207="Modeled", INDEX('Fuel Model - Summary'!P:P,MATCH('Fuel Selector'!$B207,'Fuel Model - Summary'!$B:$B,0)),
IF($H207 = "External", INDEX('Fuel Cost - External'!P:P,MATCH('Fuel Selector'!$B207,'Fuel Cost - External'!$B:$B,0)),0)
))</f>
        <v>24.513808896393883</v>
      </c>
      <c r="T207" s="89">
        <f>IF(T$113&gt;2050,S207,
IF($H207="Modeled", INDEX('Fuel Model - Summary'!Q:Q,MATCH('Fuel Selector'!$B207,'Fuel Model - Summary'!$B:$B,0)),
IF($H207 = "External", INDEX('Fuel Cost - External'!Q:Q,MATCH('Fuel Selector'!$B207,'Fuel Cost - External'!$B:$B,0)),0)
))</f>
        <v>24.513808896393883</v>
      </c>
      <c r="U207" s="89">
        <f>IF(U$113&gt;2050,T207,
IF($H207="Modeled", INDEX('Fuel Model - Summary'!R:R,MATCH('Fuel Selector'!$B207,'Fuel Model - Summary'!$B:$B,0)),
IF($H207 = "External", INDEX('Fuel Cost - External'!R:R,MATCH('Fuel Selector'!$B207,'Fuel Cost - External'!$B:$B,0)),0)
))</f>
        <v>24.513808896393883</v>
      </c>
      <c r="V207" s="89">
        <f>IF(V$113&gt;2050,U207,
IF($H207="Modeled", INDEX('Fuel Model - Summary'!S:S,MATCH('Fuel Selector'!$B207,'Fuel Model - Summary'!$B:$B,0)),
IF($H207 = "External", INDEX('Fuel Cost - External'!S:S,MATCH('Fuel Selector'!$B207,'Fuel Cost - External'!$B:$B,0)),0)
))</f>
        <v>24.513808896393883</v>
      </c>
    </row>
    <row r="208" spans="1:22" x14ac:dyDescent="0.2">
      <c r="A208" s="29">
        <f t="shared" si="150"/>
        <v>11</v>
      </c>
      <c r="B208" s="334" t="str">
        <f t="shared" si="147"/>
        <v>e-Methanol (DAC) - Africa&amp;Other - Fuel cost - USD/GJ</v>
      </c>
      <c r="C208" t="str" cm="1">
        <f t="array" ref="C208">INDEX(list_AE_fuel,A208)</f>
        <v>e-Methanol (DAC)</v>
      </c>
      <c r="D208"/>
      <c r="E208" t="str">
        <f t="shared" si="149"/>
        <v>Africa&amp;Other</v>
      </c>
      <c r="F208" t="str">
        <f t="shared" si="148"/>
        <v>Fuel cost - USD/GJ</v>
      </c>
      <c r="G208"/>
      <c r="H208" s="128" t="str" cm="1">
        <f t="array" ref="H208">INDEX('Configurator Specs.'!$CG$5:$CG$24,A208)</f>
        <v>Modeled</v>
      </c>
      <c r="I208" t="s">
        <v>324</v>
      </c>
      <c r="K208" s="89">
        <f>IF(K$113&gt;2050,J208,
IF($H208="Modeled", INDEX('Fuel Model - Summary'!H:H,MATCH('Fuel Selector'!$B208,'Fuel Model - Summary'!$B:$B,0)),
IF($H208 = "External", INDEX('Fuel Cost - External'!H:H,MATCH('Fuel Selector'!$B208,'Fuel Cost - External'!$B:$B,0)),0)
))</f>
        <v>112.65131192393916</v>
      </c>
      <c r="L208" s="89">
        <f>IF(L$113&gt;2050,K208,
IF($H208="Modeled", INDEX('Fuel Model - Summary'!I:I,MATCH('Fuel Selector'!$B208,'Fuel Model - Summary'!$B:$B,0)),
IF($H208 = "External", INDEX('Fuel Cost - External'!I:I,MATCH('Fuel Selector'!$B208,'Fuel Cost - External'!$B:$B,0)),0)
))</f>
        <v>75.217201060509353</v>
      </c>
      <c r="M208" s="89">
        <f>IF(M$113&gt;2050,L208,
IF($H208="Modeled", INDEX('Fuel Model - Summary'!J:J,MATCH('Fuel Selector'!$B208,'Fuel Model - Summary'!$B:$B,0)),
IF($H208 = "External", INDEX('Fuel Cost - External'!J:J,MATCH('Fuel Selector'!$B208,'Fuel Cost - External'!$B:$B,0)),0)
))</f>
        <v>58.828884319418627</v>
      </c>
      <c r="N208" s="89">
        <f>IF(N$113&gt;2050,M208,
IF($H208="Modeled", INDEX('Fuel Model - Summary'!K:K,MATCH('Fuel Selector'!$B208,'Fuel Model - Summary'!$B:$B,0)),
IF($H208 = "External", INDEX('Fuel Cost - External'!K:K,MATCH('Fuel Selector'!$B208,'Fuel Cost - External'!$B:$B,0)),0)
))</f>
        <v>50.978020003913464</v>
      </c>
      <c r="O208" s="89">
        <f>IF(O$113&gt;2050,N208,
IF($H208="Modeled", INDEX('Fuel Model - Summary'!L:L,MATCH('Fuel Selector'!$B208,'Fuel Model - Summary'!$B:$B,0)),
IF($H208 = "External", INDEX('Fuel Cost - External'!L:L,MATCH('Fuel Selector'!$B208,'Fuel Cost - External'!$B:$B,0)),0)
))</f>
        <v>44.069890440062785</v>
      </c>
      <c r="P208" s="89">
        <f>IF(P$113&gt;2050,O208,
IF($H208="Modeled", INDEX('Fuel Model - Summary'!M:M,MATCH('Fuel Selector'!$B208,'Fuel Model - Summary'!$B:$B,0)),
IF($H208 = "External", INDEX('Fuel Cost - External'!M:M,MATCH('Fuel Selector'!$B208,'Fuel Cost - External'!$B:$B,0)),0)
))</f>
        <v>35.990411202768136</v>
      </c>
      <c r="Q208" s="89">
        <f>IF(Q$113&gt;2050,P208,
IF($H208="Modeled", INDEX('Fuel Model - Summary'!N:N,MATCH('Fuel Selector'!$B208,'Fuel Model - Summary'!$B:$B,0)),
IF($H208 = "External", INDEX('Fuel Cost - External'!N:N,MATCH('Fuel Selector'!$B208,'Fuel Cost - External'!$B:$B,0)),0)
))</f>
        <v>28.986649929890941</v>
      </c>
      <c r="R208" s="89">
        <f>IF(R$113&gt;2050,Q208,
IF($H208="Modeled", INDEX('Fuel Model - Summary'!O:O,MATCH('Fuel Selector'!$B208,'Fuel Model - Summary'!$B:$B,0)),
IF($H208 = "External", INDEX('Fuel Cost - External'!O:O,MATCH('Fuel Selector'!$B208,'Fuel Cost - External'!$B:$B,0)),0)
))</f>
        <v>28.986649929890941</v>
      </c>
      <c r="S208" s="89">
        <f>IF(S$113&gt;2050,R208,
IF($H208="Modeled", INDEX('Fuel Model - Summary'!P:P,MATCH('Fuel Selector'!$B208,'Fuel Model - Summary'!$B:$B,0)),
IF($H208 = "External", INDEX('Fuel Cost - External'!P:P,MATCH('Fuel Selector'!$B208,'Fuel Cost - External'!$B:$B,0)),0)
))</f>
        <v>28.986649929890941</v>
      </c>
      <c r="T208" s="89">
        <f>IF(T$113&gt;2050,S208,
IF($H208="Modeled", INDEX('Fuel Model - Summary'!Q:Q,MATCH('Fuel Selector'!$B208,'Fuel Model - Summary'!$B:$B,0)),
IF($H208 = "External", INDEX('Fuel Cost - External'!Q:Q,MATCH('Fuel Selector'!$B208,'Fuel Cost - External'!$B:$B,0)),0)
))</f>
        <v>28.986649929890941</v>
      </c>
      <c r="U208" s="89">
        <f>IF(U$113&gt;2050,T208,
IF($H208="Modeled", INDEX('Fuel Model - Summary'!R:R,MATCH('Fuel Selector'!$B208,'Fuel Model - Summary'!$B:$B,0)),
IF($H208 = "External", INDEX('Fuel Cost - External'!R:R,MATCH('Fuel Selector'!$B208,'Fuel Cost - External'!$B:$B,0)),0)
))</f>
        <v>28.986649929890941</v>
      </c>
      <c r="V208" s="89">
        <f>IF(V$113&gt;2050,U208,
IF($H208="Modeled", INDEX('Fuel Model - Summary'!S:S,MATCH('Fuel Selector'!$B208,'Fuel Model - Summary'!$B:$B,0)),
IF($H208 = "External", INDEX('Fuel Cost - External'!S:S,MATCH('Fuel Selector'!$B208,'Fuel Cost - External'!$B:$B,0)),0)
))</f>
        <v>28.986649929890941</v>
      </c>
    </row>
    <row r="209" spans="1:22" x14ac:dyDescent="0.2">
      <c r="A209" s="29">
        <f t="shared" si="150"/>
        <v>12</v>
      </c>
      <c r="B209" s="334" t="str">
        <f t="shared" si="147"/>
        <v>e-Methanol (PS) - Africa&amp;Other - Fuel cost - USD/GJ</v>
      </c>
      <c r="C209" t="str" cm="1">
        <f t="array" ref="C209">INDEX(list_AE_fuel,A209)</f>
        <v>e-Methanol (PS)</v>
      </c>
      <c r="D209"/>
      <c r="E209" t="str">
        <f>E208</f>
        <v>Africa&amp;Other</v>
      </c>
      <c r="F209" t="str">
        <f t="shared" si="148"/>
        <v>Fuel cost - USD/GJ</v>
      </c>
      <c r="G209"/>
      <c r="H209" s="128" t="str" cm="1">
        <f t="array" ref="H209">INDEX('Configurator Specs.'!$CG$5:$CG$24,A209)</f>
        <v>Modeled</v>
      </c>
      <c r="I209" t="s">
        <v>324</v>
      </c>
      <c r="K209" s="89">
        <f>IF(K$113&gt;2050,J209,
IF($H209="Modeled", INDEX('Fuel Model - Summary'!H:H,MATCH('Fuel Selector'!$B209,'Fuel Model - Summary'!$B:$B,0)),
IF($H209 = "External", INDEX('Fuel Cost - External'!H:H,MATCH('Fuel Selector'!$B209,'Fuel Cost - External'!$B:$B,0)),0)
))</f>
        <v>99.842977622755228</v>
      </c>
      <c r="L209" s="89">
        <f>IF(L$113&gt;2050,K209,
IF($H209="Modeled", INDEX('Fuel Model - Summary'!I:I,MATCH('Fuel Selector'!$B209,'Fuel Model - Summary'!$B:$B,0)),
IF($H209 = "External", INDEX('Fuel Cost - External'!I:I,MATCH('Fuel Selector'!$B209,'Fuel Cost - External'!$B:$B,0)),0)
))</f>
        <v>68.842092077276845</v>
      </c>
      <c r="M209" s="89">
        <f>IF(M$113&gt;2050,L209,
IF($H209="Modeled", INDEX('Fuel Model - Summary'!J:J,MATCH('Fuel Selector'!$B209,'Fuel Model - Summary'!$B:$B,0)),
IF($H209 = "External", INDEX('Fuel Cost - External'!J:J,MATCH('Fuel Selector'!$B209,'Fuel Cost - External'!$B:$B,0)),0)
))</f>
        <v>53.941421477397</v>
      </c>
      <c r="N209" s="89">
        <f>IF(N$113&gt;2050,M209,
IF($H209="Modeled", INDEX('Fuel Model - Summary'!K:K,MATCH('Fuel Selector'!$B209,'Fuel Model - Summary'!$B:$B,0)),
IF($H209 = "External", INDEX('Fuel Cost - External'!K:K,MATCH('Fuel Selector'!$B209,'Fuel Cost - External'!$B:$B,0)),0)
))</f>
        <v>47.650349969440313</v>
      </c>
      <c r="O209" s="89">
        <f>IF(O$113&gt;2050,N209,
IF($H209="Modeled", INDEX('Fuel Model - Summary'!L:L,MATCH('Fuel Selector'!$B209,'Fuel Model - Summary'!$B:$B,0)),
IF($H209 = "External", INDEX('Fuel Cost - External'!L:L,MATCH('Fuel Selector'!$B209,'Fuel Cost - External'!$B:$B,0)),0)
))</f>
        <v>41.593907404945284</v>
      </c>
      <c r="P209" s="89">
        <f>IF(P$113&gt;2050,O209,
IF($H209="Modeled", INDEX('Fuel Model - Summary'!M:M,MATCH('Fuel Selector'!$B209,'Fuel Model - Summary'!$B:$B,0)),
IF($H209 = "External", INDEX('Fuel Cost - External'!M:M,MATCH('Fuel Selector'!$B209,'Fuel Cost - External'!$B:$B,0)),0)
))</f>
        <v>34.134499701963485</v>
      </c>
      <c r="Q209" s="89">
        <f>IF(Q$113&gt;2050,P209,
IF($H209="Modeled", INDEX('Fuel Model - Summary'!N:N,MATCH('Fuel Selector'!$B209,'Fuel Model - Summary'!$B:$B,0)),
IF($H209 = "External", INDEX('Fuel Cost - External'!N:N,MATCH('Fuel Selector'!$B209,'Fuel Cost - External'!$B:$B,0)),0)
))</f>
        <v>27.414648328902146</v>
      </c>
      <c r="R209" s="89">
        <f>IF(R$113&gt;2050,Q209,
IF($H209="Modeled", INDEX('Fuel Model - Summary'!O:O,MATCH('Fuel Selector'!$B209,'Fuel Model - Summary'!$B:$B,0)),
IF($H209 = "External", INDEX('Fuel Cost - External'!O:O,MATCH('Fuel Selector'!$B209,'Fuel Cost - External'!$B:$B,0)),0)
))</f>
        <v>27.414648328902146</v>
      </c>
      <c r="S209" s="89">
        <f>IF(S$113&gt;2050,R209,
IF($H209="Modeled", INDEX('Fuel Model - Summary'!P:P,MATCH('Fuel Selector'!$B209,'Fuel Model - Summary'!$B:$B,0)),
IF($H209 = "External", INDEX('Fuel Cost - External'!P:P,MATCH('Fuel Selector'!$B209,'Fuel Cost - External'!$B:$B,0)),0)
))</f>
        <v>27.414648328902146</v>
      </c>
      <c r="T209" s="89">
        <f>IF(T$113&gt;2050,S209,
IF($H209="Modeled", INDEX('Fuel Model - Summary'!Q:Q,MATCH('Fuel Selector'!$B209,'Fuel Model - Summary'!$B:$B,0)),
IF($H209 = "External", INDEX('Fuel Cost - External'!Q:Q,MATCH('Fuel Selector'!$B209,'Fuel Cost - External'!$B:$B,0)),0)
))</f>
        <v>27.414648328902146</v>
      </c>
      <c r="U209" s="89">
        <f>IF(U$113&gt;2050,T209,
IF($H209="Modeled", INDEX('Fuel Model - Summary'!R:R,MATCH('Fuel Selector'!$B209,'Fuel Model - Summary'!$B:$B,0)),
IF($H209 = "External", INDEX('Fuel Cost - External'!R:R,MATCH('Fuel Selector'!$B209,'Fuel Cost - External'!$B:$B,0)),0)
))</f>
        <v>27.414648328902146</v>
      </c>
      <c r="V209" s="89">
        <f>IF(V$113&gt;2050,U209,
IF($H209="Modeled", INDEX('Fuel Model - Summary'!S:S,MATCH('Fuel Selector'!$B209,'Fuel Model - Summary'!$B:$B,0)),
IF($H209 = "External", INDEX('Fuel Cost - External'!S:S,MATCH('Fuel Selector'!$B209,'Fuel Cost - External'!$B:$B,0)),0)
))</f>
        <v>27.414648328902146</v>
      </c>
    </row>
    <row r="210" spans="1:22" x14ac:dyDescent="0.2">
      <c r="A210" s="29">
        <f t="shared" si="150"/>
        <v>13</v>
      </c>
      <c r="B210" s="334" t="str">
        <f t="shared" ref="B210:B215" si="151">_xlfn.TEXTJOIN(keydelim,TRUE,C210:G210)</f>
        <v>Biodiesel (HtL) - Africa&amp;Other - Fuel cost - USD/GJ</v>
      </c>
      <c r="C210" t="str" cm="1">
        <f t="array" ref="C210">INDEX(list_AE_fuel,A210)</f>
        <v>Biodiesel (HtL)</v>
      </c>
      <c r="D210"/>
      <c r="E210" t="str">
        <f t="shared" ref="E210:E215" si="152">E209</f>
        <v>Africa&amp;Other</v>
      </c>
      <c r="F210" t="str">
        <f t="shared" ref="F210:F215" si="153">"Fuel cost"  &amp;keydelim &amp;I210</f>
        <v>Fuel cost - USD/GJ</v>
      </c>
      <c r="G210"/>
      <c r="H210" s="128" t="str" cm="1">
        <f t="array" ref="H210">INDEX('Configurator Specs.'!$CG$5:$CG$24,A210)</f>
        <v>Modeled</v>
      </c>
      <c r="I210" t="s">
        <v>324</v>
      </c>
      <c r="K210" s="89">
        <f>IF(K$113&gt;2050,J210,
IF($H210="Modeled", INDEX('Fuel Model - Summary'!H:H,MATCH('Fuel Selector'!$B210,'Fuel Model - Summary'!$B:$B,0)),
IF($H210 = "External", INDEX('Fuel Cost - External'!H:H,MATCH('Fuel Selector'!$B210,'Fuel Cost - External'!$B:$B,0)),0)
))</f>
        <v>161.90672153454827</v>
      </c>
      <c r="L210" s="89">
        <f>IF(L$113&gt;2050,K210,
IF($H210="Modeled", INDEX('Fuel Model - Summary'!I:I,MATCH('Fuel Selector'!$B210,'Fuel Model - Summary'!$B:$B,0)),
IF($H210 = "External", INDEX('Fuel Cost - External'!I:I,MATCH('Fuel Selector'!$B210,'Fuel Cost - External'!$B:$B,0)),0)
))</f>
        <v>53.34733041396035</v>
      </c>
      <c r="M210" s="89">
        <f>IF(M$113&gt;2050,L210,
IF($H210="Modeled", INDEX('Fuel Model - Summary'!J:J,MATCH('Fuel Selector'!$B210,'Fuel Model - Summary'!$B:$B,0)),
IF($H210 = "External", INDEX('Fuel Cost - External'!J:J,MATCH('Fuel Selector'!$B210,'Fuel Cost - External'!$B:$B,0)),0)
))</f>
        <v>24.821260559917484</v>
      </c>
      <c r="N210" s="89">
        <f>IF(N$113&gt;2050,M210,
IF($H210="Modeled", INDEX('Fuel Model - Summary'!K:K,MATCH('Fuel Selector'!$B210,'Fuel Model - Summary'!$B:$B,0)),
IF($H210 = "External", INDEX('Fuel Cost - External'!K:K,MATCH('Fuel Selector'!$B210,'Fuel Cost - External'!$B:$B,0)),0)
))</f>
        <v>24.405010862952615</v>
      </c>
      <c r="O210" s="89">
        <f>IF(O$113&gt;2050,N210,
IF($H210="Modeled", INDEX('Fuel Model - Summary'!L:L,MATCH('Fuel Selector'!$B210,'Fuel Model - Summary'!$B:$B,0)),
IF($H210 = "External", INDEX('Fuel Cost - External'!L:L,MATCH('Fuel Selector'!$B210,'Fuel Cost - External'!$B:$B,0)),0)
))</f>
        <v>23.908742836400243</v>
      </c>
      <c r="P210" s="89">
        <f>IF(P$113&gt;2050,O210,
IF($H210="Modeled", INDEX('Fuel Model - Summary'!M:M,MATCH('Fuel Selector'!$B210,'Fuel Model - Summary'!$B:$B,0)),
IF($H210 = "External", INDEX('Fuel Cost - External'!M:M,MATCH('Fuel Selector'!$B210,'Fuel Cost - External'!$B:$B,0)),0)
))</f>
        <v>23.210369983012285</v>
      </c>
      <c r="Q210" s="89">
        <f>IF(Q$113&gt;2050,P210,
IF($H210="Modeled", INDEX('Fuel Model - Summary'!N:N,MATCH('Fuel Selector'!$B210,'Fuel Model - Summary'!$B:$B,0)),
IF($H210 = "External", INDEX('Fuel Cost - External'!N:N,MATCH('Fuel Selector'!$B210,'Fuel Cost - External'!$B:$B,0)),0)
))</f>
        <v>21.918839513465564</v>
      </c>
      <c r="R210" s="89">
        <f>IF(R$113&gt;2050,Q210,
IF($H210="Modeled", INDEX('Fuel Model - Summary'!O:O,MATCH('Fuel Selector'!$B210,'Fuel Model - Summary'!$B:$B,0)),
IF($H210 = "External", INDEX('Fuel Cost - External'!O:O,MATCH('Fuel Selector'!$B210,'Fuel Cost - External'!$B:$B,0)),0)
))</f>
        <v>21.918839513465564</v>
      </c>
      <c r="S210" s="89">
        <f>IF(S$113&gt;2050,R210,
IF($H210="Modeled", INDEX('Fuel Model - Summary'!P:P,MATCH('Fuel Selector'!$B210,'Fuel Model - Summary'!$B:$B,0)),
IF($H210 = "External", INDEX('Fuel Cost - External'!P:P,MATCH('Fuel Selector'!$B210,'Fuel Cost - External'!$B:$B,0)),0)
))</f>
        <v>21.918839513465564</v>
      </c>
      <c r="T210" s="89">
        <f>IF(T$113&gt;2050,S210,
IF($H210="Modeled", INDEX('Fuel Model - Summary'!Q:Q,MATCH('Fuel Selector'!$B210,'Fuel Model - Summary'!$B:$B,0)),
IF($H210 = "External", INDEX('Fuel Cost - External'!Q:Q,MATCH('Fuel Selector'!$B210,'Fuel Cost - External'!$B:$B,0)),0)
))</f>
        <v>21.918839513465564</v>
      </c>
      <c r="U210" s="89">
        <f>IF(U$113&gt;2050,T210,
IF($H210="Modeled", INDEX('Fuel Model - Summary'!R:R,MATCH('Fuel Selector'!$B210,'Fuel Model - Summary'!$B:$B,0)),
IF($H210 = "External", INDEX('Fuel Cost - External'!R:R,MATCH('Fuel Selector'!$B210,'Fuel Cost - External'!$B:$B,0)),0)
))</f>
        <v>21.918839513465564</v>
      </c>
      <c r="V210" s="89">
        <f>IF(V$113&gt;2050,U210,
IF($H210="Modeled", INDEX('Fuel Model - Summary'!S:S,MATCH('Fuel Selector'!$B210,'Fuel Model - Summary'!$B:$B,0)),
IF($H210 = "External", INDEX('Fuel Cost - External'!S:S,MATCH('Fuel Selector'!$B210,'Fuel Cost - External'!$B:$B,0)),0)
))</f>
        <v>21.918839513465564</v>
      </c>
    </row>
    <row r="211" spans="1:22" x14ac:dyDescent="0.2">
      <c r="A211" s="29">
        <f t="shared" si="150"/>
        <v>14</v>
      </c>
      <c r="B211" s="334" t="str">
        <f t="shared" si="151"/>
        <v>Biodiesel (Pyr) - Africa&amp;Other - Fuel cost - USD/GJ</v>
      </c>
      <c r="C211" t="str" cm="1">
        <f t="array" ref="C211">INDEX(list_AE_fuel,A211)</f>
        <v>Biodiesel (Pyr)</v>
      </c>
      <c r="D211"/>
      <c r="E211" t="str">
        <f t="shared" si="152"/>
        <v>Africa&amp;Other</v>
      </c>
      <c r="F211" t="str">
        <f t="shared" si="153"/>
        <v>Fuel cost - USD/GJ</v>
      </c>
      <c r="G211"/>
      <c r="H211" s="128" t="str" cm="1">
        <f t="array" ref="H211">INDEX('Configurator Specs.'!$CG$5:$CG$24,A211)</f>
        <v>Modeled</v>
      </c>
      <c r="I211" t="s">
        <v>324</v>
      </c>
      <c r="K211" s="89">
        <f>IF(K$113&gt;2050,J211,
IF($H211="Modeled", INDEX('Fuel Model - Summary'!H:H,MATCH('Fuel Selector'!$B211,'Fuel Model - Summary'!$B:$B,0)),
IF($H211 = "External", INDEX('Fuel Cost - External'!H:H,MATCH('Fuel Selector'!$B211,'Fuel Cost - External'!$B:$B,0)),0)
))</f>
        <v>67.626217286413308</v>
      </c>
      <c r="L211" s="89">
        <f>IF(L$113&gt;2050,K211,
IF($H211="Modeled", INDEX('Fuel Model - Summary'!I:I,MATCH('Fuel Selector'!$B211,'Fuel Model - Summary'!$B:$B,0)),
IF($H211 = "External", INDEX('Fuel Cost - External'!I:I,MATCH('Fuel Selector'!$B211,'Fuel Cost - External'!$B:$B,0)),0)
))</f>
        <v>42.475146342557558</v>
      </c>
      <c r="M211" s="89">
        <f>IF(M$113&gt;2050,L211,
IF($H211="Modeled", INDEX('Fuel Model - Summary'!J:J,MATCH('Fuel Selector'!$B211,'Fuel Model - Summary'!$B:$B,0)),
IF($H211 = "External", INDEX('Fuel Cost - External'!J:J,MATCH('Fuel Selector'!$B211,'Fuel Cost - External'!$B:$B,0)),0)
))</f>
        <v>26.606455029754102</v>
      </c>
      <c r="N211" s="89">
        <f>IF(N$113&gt;2050,M211,
IF($H211="Modeled", INDEX('Fuel Model - Summary'!K:K,MATCH('Fuel Selector'!$B211,'Fuel Model - Summary'!$B:$B,0)),
IF($H211 = "External", INDEX('Fuel Cost - External'!K:K,MATCH('Fuel Selector'!$B211,'Fuel Cost - External'!$B:$B,0)),0)
))</f>
        <v>27.129026976691506</v>
      </c>
      <c r="O211" s="89">
        <f>IF(O$113&gt;2050,N211,
IF($H211="Modeled", INDEX('Fuel Model - Summary'!L:L,MATCH('Fuel Selector'!$B211,'Fuel Model - Summary'!$B:$B,0)),
IF($H211 = "External", INDEX('Fuel Cost - External'!L:L,MATCH('Fuel Selector'!$B211,'Fuel Cost - External'!$B:$B,0)),0)
))</f>
        <v>26.983467687743616</v>
      </c>
      <c r="P211" s="89">
        <f>IF(P$113&gt;2050,O211,
IF($H211="Modeled", INDEX('Fuel Model - Summary'!M:M,MATCH('Fuel Selector'!$B211,'Fuel Model - Summary'!$B:$B,0)),
IF($H211 = "External", INDEX('Fuel Cost - External'!M:M,MATCH('Fuel Selector'!$B211,'Fuel Cost - External'!$B:$B,0)),0)
))</f>
        <v>26.418571226631464</v>
      </c>
      <c r="Q211" s="89">
        <f>IF(Q$113&gt;2050,P211,
IF($H211="Modeled", INDEX('Fuel Model - Summary'!N:N,MATCH('Fuel Selector'!$B211,'Fuel Model - Summary'!$B:$B,0)),
IF($H211 = "External", INDEX('Fuel Cost - External'!N:N,MATCH('Fuel Selector'!$B211,'Fuel Cost - External'!$B:$B,0)),0)
))</f>
        <v>24.586815205212453</v>
      </c>
      <c r="R211" s="89">
        <f>IF(R$113&gt;2050,Q211,
IF($H211="Modeled", INDEX('Fuel Model - Summary'!O:O,MATCH('Fuel Selector'!$B211,'Fuel Model - Summary'!$B:$B,0)),
IF($H211 = "External", INDEX('Fuel Cost - External'!O:O,MATCH('Fuel Selector'!$B211,'Fuel Cost - External'!$B:$B,0)),0)
))</f>
        <v>24.586815205212453</v>
      </c>
      <c r="S211" s="89">
        <f>IF(S$113&gt;2050,R211,
IF($H211="Modeled", INDEX('Fuel Model - Summary'!P:P,MATCH('Fuel Selector'!$B211,'Fuel Model - Summary'!$B:$B,0)),
IF($H211 = "External", INDEX('Fuel Cost - External'!P:P,MATCH('Fuel Selector'!$B211,'Fuel Cost - External'!$B:$B,0)),0)
))</f>
        <v>24.586815205212453</v>
      </c>
      <c r="T211" s="89">
        <f>IF(T$113&gt;2050,S211,
IF($H211="Modeled", INDEX('Fuel Model - Summary'!Q:Q,MATCH('Fuel Selector'!$B211,'Fuel Model - Summary'!$B:$B,0)),
IF($H211 = "External", INDEX('Fuel Cost - External'!Q:Q,MATCH('Fuel Selector'!$B211,'Fuel Cost - External'!$B:$B,0)),0)
))</f>
        <v>24.586815205212453</v>
      </c>
      <c r="U211" s="89">
        <f>IF(U$113&gt;2050,T211,
IF($H211="Modeled", INDEX('Fuel Model - Summary'!R:R,MATCH('Fuel Selector'!$B211,'Fuel Model - Summary'!$B:$B,0)),
IF($H211 = "External", INDEX('Fuel Cost - External'!R:R,MATCH('Fuel Selector'!$B211,'Fuel Cost - External'!$B:$B,0)),0)
))</f>
        <v>24.586815205212453</v>
      </c>
      <c r="V211" s="89">
        <f>IF(V$113&gt;2050,U211,
IF($H211="Modeled", INDEX('Fuel Model - Summary'!S:S,MATCH('Fuel Selector'!$B211,'Fuel Model - Summary'!$B:$B,0)),
IF($H211 = "External", INDEX('Fuel Cost - External'!S:S,MATCH('Fuel Selector'!$B211,'Fuel Cost - External'!$B:$B,0)),0)
))</f>
        <v>24.586815205212453</v>
      </c>
    </row>
    <row r="212" spans="1:22" x14ac:dyDescent="0.2">
      <c r="A212" s="29">
        <f t="shared" si="150"/>
        <v>15</v>
      </c>
      <c r="B212" s="334" t="str">
        <f t="shared" si="151"/>
        <v>e-Diesel (DAC) - Africa&amp;Other - Fuel cost - USD/GJ</v>
      </c>
      <c r="C212" t="str" cm="1">
        <f t="array" ref="C212">INDEX(list_AE_fuel,A212)</f>
        <v>e-Diesel (DAC)</v>
      </c>
      <c r="D212"/>
      <c r="E212" t="str">
        <f t="shared" si="152"/>
        <v>Africa&amp;Other</v>
      </c>
      <c r="F212" t="str">
        <f t="shared" si="153"/>
        <v>Fuel cost - USD/GJ</v>
      </c>
      <c r="G212"/>
      <c r="H212" s="128" t="str" cm="1">
        <f t="array" ref="H212">INDEX('Configurator Specs.'!$CG$5:$CG$24,A212)</f>
        <v>Modeled</v>
      </c>
      <c r="I212" t="s">
        <v>324</v>
      </c>
      <c r="K212" s="89">
        <f>IF(K$113&gt;2050,J212,
IF($H212="Modeled", INDEX('Fuel Model - Summary'!H:H,MATCH('Fuel Selector'!$B212,'Fuel Model - Summary'!$B:$B,0)),
IF($H212 = "External", INDEX('Fuel Cost - External'!H:H,MATCH('Fuel Selector'!$B212,'Fuel Cost - External'!$B:$B,0)),0)
))</f>
        <v>127.90501000277912</v>
      </c>
      <c r="L212" s="89">
        <f>IF(L$113&gt;2050,K212,
IF($H212="Modeled", INDEX('Fuel Model - Summary'!I:I,MATCH('Fuel Selector'!$B212,'Fuel Model - Summary'!$B:$B,0)),
IF($H212 = "External", INDEX('Fuel Cost - External'!I:I,MATCH('Fuel Selector'!$B212,'Fuel Cost - External'!$B:$B,0)),0)
))</f>
        <v>86.277289035485367</v>
      </c>
      <c r="M212" s="89">
        <f>IF(M$113&gt;2050,L212,
IF($H212="Modeled", INDEX('Fuel Model - Summary'!J:J,MATCH('Fuel Selector'!$B212,'Fuel Model - Summary'!$B:$B,0)),
IF($H212 = "External", INDEX('Fuel Cost - External'!J:J,MATCH('Fuel Selector'!$B212,'Fuel Cost - External'!$B:$B,0)),0)
))</f>
        <v>67.75780306240577</v>
      </c>
      <c r="N212" s="89">
        <f>IF(N$113&gt;2050,M212,
IF($H212="Modeled", INDEX('Fuel Model - Summary'!K:K,MATCH('Fuel Selector'!$B212,'Fuel Model - Summary'!$B:$B,0)),
IF($H212 = "External", INDEX('Fuel Cost - External'!K:K,MATCH('Fuel Selector'!$B212,'Fuel Cost - External'!$B:$B,0)),0)
))</f>
        <v>59.61375935680347</v>
      </c>
      <c r="O212" s="89">
        <f>IF(O$113&gt;2050,N212,
IF($H212="Modeled", INDEX('Fuel Model - Summary'!L:L,MATCH('Fuel Selector'!$B212,'Fuel Model - Summary'!$B:$B,0)),
IF($H212 = "External", INDEX('Fuel Cost - External'!L:L,MATCH('Fuel Selector'!$B212,'Fuel Cost - External'!$B:$B,0)),0)
))</f>
        <v>52.329401317921445</v>
      </c>
      <c r="P212" s="89">
        <f>IF(P$113&gt;2050,O212,
IF($H212="Modeled", INDEX('Fuel Model - Summary'!M:M,MATCH('Fuel Selector'!$B212,'Fuel Model - Summary'!$B:$B,0)),
IF($H212 = "External", INDEX('Fuel Cost - External'!M:M,MATCH('Fuel Selector'!$B212,'Fuel Cost - External'!$B:$B,0)),0)
))</f>
        <v>42.186341428638599</v>
      </c>
      <c r="Q212" s="89">
        <f>IF(Q$113&gt;2050,P212,
IF($H212="Modeled", INDEX('Fuel Model - Summary'!N:N,MATCH('Fuel Selector'!$B212,'Fuel Model - Summary'!$B:$B,0)),
IF($H212 = "External", INDEX('Fuel Cost - External'!N:N,MATCH('Fuel Selector'!$B212,'Fuel Cost - External'!$B:$B,0)),0)
))</f>
        <v>33.497286085362056</v>
      </c>
      <c r="R212" s="89">
        <f>IF(R$113&gt;2050,Q212,
IF($H212="Modeled", INDEX('Fuel Model - Summary'!O:O,MATCH('Fuel Selector'!$B212,'Fuel Model - Summary'!$B:$B,0)),
IF($H212 = "External", INDEX('Fuel Cost - External'!O:O,MATCH('Fuel Selector'!$B212,'Fuel Cost - External'!$B:$B,0)),0)
))</f>
        <v>33.497286085362056</v>
      </c>
      <c r="S212" s="89">
        <f>IF(S$113&gt;2050,R212,
IF($H212="Modeled", INDEX('Fuel Model - Summary'!P:P,MATCH('Fuel Selector'!$B212,'Fuel Model - Summary'!$B:$B,0)),
IF($H212 = "External", INDEX('Fuel Cost - External'!P:P,MATCH('Fuel Selector'!$B212,'Fuel Cost - External'!$B:$B,0)),0)
))</f>
        <v>33.497286085362056</v>
      </c>
      <c r="T212" s="89">
        <f>IF(T$113&gt;2050,S212,
IF($H212="Modeled", INDEX('Fuel Model - Summary'!Q:Q,MATCH('Fuel Selector'!$B212,'Fuel Model - Summary'!$B:$B,0)),
IF($H212 = "External", INDEX('Fuel Cost - External'!Q:Q,MATCH('Fuel Selector'!$B212,'Fuel Cost - External'!$B:$B,0)),0)
))</f>
        <v>33.497286085362056</v>
      </c>
      <c r="U212" s="89">
        <f>IF(U$113&gt;2050,T212,
IF($H212="Modeled", INDEX('Fuel Model - Summary'!R:R,MATCH('Fuel Selector'!$B212,'Fuel Model - Summary'!$B:$B,0)),
IF($H212 = "External", INDEX('Fuel Cost - External'!R:R,MATCH('Fuel Selector'!$B212,'Fuel Cost - External'!$B:$B,0)),0)
))</f>
        <v>33.497286085362056</v>
      </c>
      <c r="V212" s="89">
        <f>IF(V$113&gt;2050,U212,
IF($H212="Modeled", INDEX('Fuel Model - Summary'!S:S,MATCH('Fuel Selector'!$B212,'Fuel Model - Summary'!$B:$B,0)),
IF($H212 = "External", INDEX('Fuel Cost - External'!S:S,MATCH('Fuel Selector'!$B212,'Fuel Cost - External'!$B:$B,0)),0)
))</f>
        <v>33.497286085362056</v>
      </c>
    </row>
    <row r="213" spans="1:22" x14ac:dyDescent="0.2">
      <c r="A213" s="29">
        <f t="shared" si="150"/>
        <v>16</v>
      </c>
      <c r="B213" s="334" t="str">
        <f t="shared" si="151"/>
        <v>e-Diesel (PS) - Africa&amp;Other - Fuel cost - USD/GJ</v>
      </c>
      <c r="C213" t="str" cm="1">
        <f t="array" ref="C213">INDEX(list_AE_fuel,A213)</f>
        <v>e-Diesel (PS)</v>
      </c>
      <c r="D213"/>
      <c r="E213" t="str">
        <f t="shared" si="152"/>
        <v>Africa&amp;Other</v>
      </c>
      <c r="F213" t="str">
        <f t="shared" si="153"/>
        <v>Fuel cost - USD/GJ</v>
      </c>
      <c r="G213"/>
      <c r="H213" s="128" t="str" cm="1">
        <f t="array" ref="H213">INDEX('Configurator Specs.'!$CG$5:$CG$24,A213)</f>
        <v>Modeled</v>
      </c>
      <c r="I213" t="s">
        <v>324</v>
      </c>
      <c r="K213" s="89">
        <f>IF(K$113&gt;2050,J213,
IF($H213="Modeled", INDEX('Fuel Model - Summary'!H:H,MATCH('Fuel Selector'!$B213,'Fuel Model - Summary'!$B:$B,0)),
IF($H213 = "External", INDEX('Fuel Cost - External'!H:H,MATCH('Fuel Selector'!$B213,'Fuel Cost - External'!$B:$B,0)),0)
))</f>
        <v>112.78105602540758</v>
      </c>
      <c r="L213" s="89">
        <f>IF(L$113&gt;2050,K213,
IF($H213="Modeled", INDEX('Fuel Model - Summary'!I:I,MATCH('Fuel Selector'!$B213,'Fuel Model - Summary'!$B:$B,0)),
IF($H213 = "External", INDEX('Fuel Cost - External'!I:I,MATCH('Fuel Selector'!$B213,'Fuel Cost - External'!$B:$B,0)),0)
))</f>
        <v>78.749623642318369</v>
      </c>
      <c r="M213" s="89">
        <f>IF(M$113&gt;2050,L213,
IF($H213="Modeled", INDEX('Fuel Model - Summary'!J:J,MATCH('Fuel Selector'!$B213,'Fuel Model - Summary'!$B:$B,0)),
IF($H213 = "External", INDEX('Fuel Cost - External'!J:J,MATCH('Fuel Selector'!$B213,'Fuel Cost - External'!$B:$B,0)),0)
))</f>
        <v>61.986735462927498</v>
      </c>
      <c r="N213" s="89">
        <f>IF(N$113&gt;2050,M213,
IF($H213="Modeled", INDEX('Fuel Model - Summary'!K:K,MATCH('Fuel Selector'!$B213,'Fuel Model - Summary'!$B:$B,0)),
IF($H213 = "External", INDEX('Fuel Cost - External'!K:K,MATCH('Fuel Selector'!$B213,'Fuel Cost - External'!$B:$B,0)),0)
))</f>
        <v>55.684479618328957</v>
      </c>
      <c r="O213" s="89">
        <f>IF(O$113&gt;2050,N213,
IF($H213="Modeled", INDEX('Fuel Model - Summary'!L:L,MATCH('Fuel Selector'!$B213,'Fuel Model - Summary'!$B:$B,0)),
IF($H213 = "External", INDEX('Fuel Cost - External'!L:L,MATCH('Fuel Selector'!$B213,'Fuel Cost - External'!$B:$B,0)),0)
))</f>
        <v>49.405785132450063</v>
      </c>
      <c r="P213" s="89">
        <f>IF(P$113&gt;2050,O213,
IF($H213="Modeled", INDEX('Fuel Model - Summary'!M:M,MATCH('Fuel Selector'!$B213,'Fuel Model - Summary'!$B:$B,0)),
IF($H213 = "External", INDEX('Fuel Cost - External'!M:M,MATCH('Fuel Selector'!$B213,'Fuel Cost - External'!$B:$B,0)),0)
))</f>
        <v>39.994899554604324</v>
      </c>
      <c r="Q213" s="89">
        <f>IF(Q$113&gt;2050,P213,
IF($H213="Modeled", INDEX('Fuel Model - Summary'!N:N,MATCH('Fuel Selector'!$B213,'Fuel Model - Summary'!$B:$B,0)),
IF($H213 = "External", INDEX('Fuel Cost - External'!N:N,MATCH('Fuel Selector'!$B213,'Fuel Cost - External'!$B:$B,0)),0)
))</f>
        <v>31.641082202277023</v>
      </c>
      <c r="R213" s="89">
        <f>IF(R$113&gt;2050,Q213,
IF($H213="Modeled", INDEX('Fuel Model - Summary'!O:O,MATCH('Fuel Selector'!$B213,'Fuel Model - Summary'!$B:$B,0)),
IF($H213 = "External", INDEX('Fuel Cost - External'!O:O,MATCH('Fuel Selector'!$B213,'Fuel Cost - External'!$B:$B,0)),0)
))</f>
        <v>31.641082202277023</v>
      </c>
      <c r="S213" s="89">
        <f>IF(S$113&gt;2050,R213,
IF($H213="Modeled", INDEX('Fuel Model - Summary'!P:P,MATCH('Fuel Selector'!$B213,'Fuel Model - Summary'!$B:$B,0)),
IF($H213 = "External", INDEX('Fuel Cost - External'!P:P,MATCH('Fuel Selector'!$B213,'Fuel Cost - External'!$B:$B,0)),0)
))</f>
        <v>31.641082202277023</v>
      </c>
      <c r="T213" s="89">
        <f>IF(T$113&gt;2050,S213,
IF($H213="Modeled", INDEX('Fuel Model - Summary'!Q:Q,MATCH('Fuel Selector'!$B213,'Fuel Model - Summary'!$B:$B,0)),
IF($H213 = "External", INDEX('Fuel Cost - External'!Q:Q,MATCH('Fuel Selector'!$B213,'Fuel Cost - External'!$B:$B,0)),0)
))</f>
        <v>31.641082202277023</v>
      </c>
      <c r="U213" s="89">
        <f>IF(U$113&gt;2050,T213,
IF($H213="Modeled", INDEX('Fuel Model - Summary'!R:R,MATCH('Fuel Selector'!$B213,'Fuel Model - Summary'!$B:$B,0)),
IF($H213 = "External", INDEX('Fuel Cost - External'!R:R,MATCH('Fuel Selector'!$B213,'Fuel Cost - External'!$B:$B,0)),0)
))</f>
        <v>31.641082202277023</v>
      </c>
      <c r="V213" s="89">
        <f>IF(V$113&gt;2050,U213,
IF($H213="Modeled", INDEX('Fuel Model - Summary'!S:S,MATCH('Fuel Selector'!$B213,'Fuel Model - Summary'!$B:$B,0)),
IF($H213 = "External", INDEX('Fuel Cost - External'!S:S,MATCH('Fuel Selector'!$B213,'Fuel Cost - External'!$B:$B,0)),0)
))</f>
        <v>31.641082202277023</v>
      </c>
    </row>
    <row r="214" spans="1:22" x14ac:dyDescent="0.2">
      <c r="A214" s="29">
        <f t="shared" si="150"/>
        <v>17</v>
      </c>
      <c r="B214" s="334" t="str">
        <f t="shared" si="151"/>
        <v>Biodiesel (HtL blend) - Africa&amp;Other - Fuel cost - USD/GJ</v>
      </c>
      <c r="C214" t="str" cm="1">
        <f t="array" ref="C214">INDEX(list_AE_fuel,A214)</f>
        <v>Biodiesel (HtL blend)</v>
      </c>
      <c r="D214"/>
      <c r="E214" t="str">
        <f t="shared" si="152"/>
        <v>Africa&amp;Other</v>
      </c>
      <c r="F214" t="str">
        <f t="shared" si="153"/>
        <v>Fuel cost - USD/GJ</v>
      </c>
      <c r="G214"/>
      <c r="H214" s="128" t="str" cm="1">
        <f t="array" ref="H214">INDEX('Configurator Specs.'!$CG$5:$CG$24,A214)</f>
        <v>Modeled</v>
      </c>
      <c r="I214" t="s">
        <v>324</v>
      </c>
      <c r="K214" s="89">
        <f>IF(K$113&gt;2050,J214,
IF($H214="Modeled", INDEX('Fuel Model - Summary'!H:H,MATCH('Fuel Selector'!$B214,'Fuel Model - Summary'!$B:$B,0)),
IF($H214 = "External", INDEX('Fuel Cost - External'!H:H,MATCH('Fuel Selector'!$B214,'Fuel Cost - External'!$B:$B,0)),0)
))</f>
        <v>81.315514785336788</v>
      </c>
      <c r="L214" s="89">
        <f>IF(L$113&gt;2050,K214,
IF($H214="Modeled", INDEX('Fuel Model - Summary'!I:I,MATCH('Fuel Selector'!$B214,'Fuel Model - Summary'!$B:$B,0)),
IF($H214 = "External", INDEX('Fuel Cost - External'!I:I,MATCH('Fuel Selector'!$B214,'Fuel Cost - External'!$B:$B,0)),0)
))</f>
        <v>31.820375991541983</v>
      </c>
      <c r="M214" s="89">
        <f>IF(M$113&gt;2050,L214,
IF($H214="Modeled", INDEX('Fuel Model - Summary'!J:J,MATCH('Fuel Selector'!$B214,'Fuel Model - Summary'!$B:$B,0)),
IF($H214 = "External", INDEX('Fuel Cost - External'!J:J,MATCH('Fuel Selector'!$B214,'Fuel Cost - External'!$B:$B,0)),0)
))</f>
        <v>18.46697349217666</v>
      </c>
      <c r="N214" s="89">
        <f>IF(N$113&gt;2050,M214,
IF($H214="Modeled", INDEX('Fuel Model - Summary'!K:K,MATCH('Fuel Selector'!$B214,'Fuel Model - Summary'!$B:$B,0)),
IF($H214 = "External", INDEX('Fuel Cost - External'!K:K,MATCH('Fuel Selector'!$B214,'Fuel Cost - External'!$B:$B,0)),0)
))</f>
        <v>18.170787322592162</v>
      </c>
      <c r="O214" s="89">
        <f>IF(O$113&gt;2050,N214,
IF($H214="Modeled", INDEX('Fuel Model - Summary'!L:L,MATCH('Fuel Selector'!$B214,'Fuel Model - Summary'!$B:$B,0)),
IF($H214 = "External", INDEX('Fuel Cost - External'!L:L,MATCH('Fuel Selector'!$B214,'Fuel Cost - External'!$B:$B,0)),0)
))</f>
        <v>18.061064520928571</v>
      </c>
      <c r="P214" s="89">
        <f>IF(P$113&gt;2050,O214,
IF($H214="Modeled", INDEX('Fuel Model - Summary'!M:M,MATCH('Fuel Selector'!$B214,'Fuel Model - Summary'!$B:$B,0)),
IF($H214 = "External", INDEX('Fuel Cost - External'!M:M,MATCH('Fuel Selector'!$B214,'Fuel Cost - External'!$B:$B,0)),0)
))</f>
        <v>17.950913908125141</v>
      </c>
      <c r="Q214" s="89">
        <f>IF(Q$113&gt;2050,P214,
IF($H214="Modeled", INDEX('Fuel Model - Summary'!N:N,MATCH('Fuel Selector'!$B214,'Fuel Model - Summary'!$B:$B,0)),
IF($H214 = "External", INDEX('Fuel Cost - External'!N:N,MATCH('Fuel Selector'!$B214,'Fuel Cost - External'!$B:$B,0)),0)
))</f>
        <v>17.851625148962395</v>
      </c>
      <c r="R214" s="89">
        <f>IF(R$113&gt;2050,Q214,
IF($H214="Modeled", INDEX('Fuel Model - Summary'!O:O,MATCH('Fuel Selector'!$B214,'Fuel Model - Summary'!$B:$B,0)),
IF($H214 = "External", INDEX('Fuel Cost - External'!O:O,MATCH('Fuel Selector'!$B214,'Fuel Cost - External'!$B:$B,0)),0)
))</f>
        <v>17.851625148962395</v>
      </c>
      <c r="S214" s="89">
        <f>IF(S$113&gt;2050,R214,
IF($H214="Modeled", INDEX('Fuel Model - Summary'!P:P,MATCH('Fuel Selector'!$B214,'Fuel Model - Summary'!$B:$B,0)),
IF($H214 = "External", INDEX('Fuel Cost - External'!P:P,MATCH('Fuel Selector'!$B214,'Fuel Cost - External'!$B:$B,0)),0)
))</f>
        <v>17.851625148962395</v>
      </c>
      <c r="T214" s="89">
        <f>IF(T$113&gt;2050,S214,
IF($H214="Modeled", INDEX('Fuel Model - Summary'!Q:Q,MATCH('Fuel Selector'!$B214,'Fuel Model - Summary'!$B:$B,0)),
IF($H214 = "External", INDEX('Fuel Cost - External'!Q:Q,MATCH('Fuel Selector'!$B214,'Fuel Cost - External'!$B:$B,0)),0)
))</f>
        <v>17.851625148962395</v>
      </c>
      <c r="U214" s="89">
        <f>IF(U$113&gt;2050,T214,
IF($H214="Modeled", INDEX('Fuel Model - Summary'!R:R,MATCH('Fuel Selector'!$B214,'Fuel Model - Summary'!$B:$B,0)),
IF($H214 = "External", INDEX('Fuel Cost - External'!R:R,MATCH('Fuel Selector'!$B214,'Fuel Cost - External'!$B:$B,0)),0)
))</f>
        <v>17.851625148962395</v>
      </c>
      <c r="V214" s="89">
        <f>IF(V$113&gt;2050,U214,
IF($H214="Modeled", INDEX('Fuel Model - Summary'!S:S,MATCH('Fuel Selector'!$B214,'Fuel Model - Summary'!$B:$B,0)),
IF($H214 = "External", INDEX('Fuel Cost - External'!S:S,MATCH('Fuel Selector'!$B214,'Fuel Cost - External'!$B:$B,0)),0)
))</f>
        <v>17.851625148962395</v>
      </c>
    </row>
    <row r="215" spans="1:22" x14ac:dyDescent="0.2">
      <c r="A215" s="29">
        <f t="shared" si="150"/>
        <v>18</v>
      </c>
      <c r="B215" s="334" t="str">
        <f t="shared" si="151"/>
        <v>Biodiesel (Pyr blend) - Africa&amp;Other - Fuel cost - USD/GJ</v>
      </c>
      <c r="C215" t="str" cm="1">
        <f t="array" ref="C215">INDEX(list_AE_fuel,A215)</f>
        <v>Biodiesel (Pyr blend)</v>
      </c>
      <c r="D215"/>
      <c r="E215" t="str">
        <f t="shared" si="152"/>
        <v>Africa&amp;Other</v>
      </c>
      <c r="F215" t="str">
        <f t="shared" si="153"/>
        <v>Fuel cost - USD/GJ</v>
      </c>
      <c r="G215"/>
      <c r="H215" s="128" t="str" cm="1">
        <f t="array" ref="H215">INDEX('Configurator Specs.'!$CG$5:$CG$24,A215)</f>
        <v>Modeled</v>
      </c>
      <c r="I215" t="s">
        <v>324</v>
      </c>
      <c r="K215" s="89">
        <f>IF(K$113&gt;2050,J215,
IF($H215="Modeled", INDEX('Fuel Model - Summary'!H:H,MATCH('Fuel Selector'!$B215,'Fuel Model - Summary'!$B:$B,0)),
IF($H215 = "External", INDEX('Fuel Cost - External'!H:H,MATCH('Fuel Selector'!$B215,'Fuel Cost - External'!$B:$B,0)),0)
))</f>
        <v>24.837417145710386</v>
      </c>
      <c r="L215" s="89">
        <f>IF(L$113&gt;2050,K215,
IF($H215="Modeled", INDEX('Fuel Model - Summary'!I:I,MATCH('Fuel Selector'!$B215,'Fuel Model - Summary'!$B:$B,0)),
IF($H215 = "External", INDEX('Fuel Cost - External'!I:I,MATCH('Fuel Selector'!$B215,'Fuel Cost - External'!$B:$B,0)),0)
))</f>
        <v>17.873906750354134</v>
      </c>
      <c r="M215" s="89">
        <f>IF(M$113&gt;2050,L215,
IF($H215="Modeled", INDEX('Fuel Model - Summary'!J:J,MATCH('Fuel Selector'!$B215,'Fuel Model - Summary'!$B:$B,0)),
IF($H215 = "External", INDEX('Fuel Cost - External'!J:J,MATCH('Fuel Selector'!$B215,'Fuel Cost - External'!$B:$B,0)),0)
))</f>
        <v>14.377536102042939</v>
      </c>
      <c r="N215" s="89">
        <f>IF(N$113&gt;2050,M215,
IF($H215="Modeled", INDEX('Fuel Model - Summary'!K:K,MATCH('Fuel Selector'!$B215,'Fuel Model - Summary'!$B:$B,0)),
IF($H215 = "External", INDEX('Fuel Cost - External'!K:K,MATCH('Fuel Selector'!$B215,'Fuel Cost - External'!$B:$B,0)),0)
))</f>
        <v>14.378319343766121</v>
      </c>
      <c r="O215" s="89">
        <f>IF(O$113&gt;2050,N215,
IF($H215="Modeled", INDEX('Fuel Model - Summary'!L:L,MATCH('Fuel Selector'!$B215,'Fuel Model - Summary'!$B:$B,0)),
IF($H215 = "External", INDEX('Fuel Cost - External'!L:L,MATCH('Fuel Selector'!$B215,'Fuel Cost - External'!$B:$B,0)),0)
))</f>
        <v>14.427973652126125</v>
      </c>
      <c r="P215" s="89">
        <f>IF(P$113&gt;2050,O215,
IF($H215="Modeled", INDEX('Fuel Model - Summary'!M:M,MATCH('Fuel Selector'!$B215,'Fuel Model - Summary'!$B:$B,0)),
IF($H215 = "External", INDEX('Fuel Cost - External'!M:M,MATCH('Fuel Selector'!$B215,'Fuel Cost - External'!$B:$B,0)),0)
))</f>
        <v>14.47759622668579</v>
      </c>
      <c r="Q215" s="89">
        <f>IF(Q$113&gt;2050,P215,
IF($H215="Modeled", INDEX('Fuel Model - Summary'!N:N,MATCH('Fuel Selector'!$B215,'Fuel Model - Summary'!$B:$B,0)),
IF($H215 = "External", INDEX('Fuel Cost - External'!N:N,MATCH('Fuel Selector'!$B215,'Fuel Cost - External'!$B:$B,0)),0)
))</f>
        <v>14.527806495992236</v>
      </c>
      <c r="R215" s="89">
        <f>IF(R$113&gt;2050,Q215,
IF($H215="Modeled", INDEX('Fuel Model - Summary'!O:O,MATCH('Fuel Selector'!$B215,'Fuel Model - Summary'!$B:$B,0)),
IF($H215 = "External", INDEX('Fuel Cost - External'!O:O,MATCH('Fuel Selector'!$B215,'Fuel Cost - External'!$B:$B,0)),0)
))</f>
        <v>14.527806495992236</v>
      </c>
      <c r="S215" s="89">
        <f>IF(S$113&gt;2050,R215,
IF($H215="Modeled", INDEX('Fuel Model - Summary'!P:P,MATCH('Fuel Selector'!$B215,'Fuel Model - Summary'!$B:$B,0)),
IF($H215 = "External", INDEX('Fuel Cost - External'!P:P,MATCH('Fuel Selector'!$B215,'Fuel Cost - External'!$B:$B,0)),0)
))</f>
        <v>14.527806495992236</v>
      </c>
      <c r="T215" s="89">
        <f>IF(T$113&gt;2050,S215,
IF($H215="Modeled", INDEX('Fuel Model - Summary'!Q:Q,MATCH('Fuel Selector'!$B215,'Fuel Model - Summary'!$B:$B,0)),
IF($H215 = "External", INDEX('Fuel Cost - External'!Q:Q,MATCH('Fuel Selector'!$B215,'Fuel Cost - External'!$B:$B,0)),0)
))</f>
        <v>14.527806495992236</v>
      </c>
      <c r="U215" s="89">
        <f>IF(U$113&gt;2050,T215,
IF($H215="Modeled", INDEX('Fuel Model - Summary'!R:R,MATCH('Fuel Selector'!$B215,'Fuel Model - Summary'!$B:$B,0)),
IF($H215 = "External", INDEX('Fuel Cost - External'!R:R,MATCH('Fuel Selector'!$B215,'Fuel Cost - External'!$B:$B,0)),0)
))</f>
        <v>14.527806495992236</v>
      </c>
      <c r="V215" s="89">
        <f>IF(V$113&gt;2050,U215,
IF($H215="Modeled", INDEX('Fuel Model - Summary'!S:S,MATCH('Fuel Selector'!$B215,'Fuel Model - Summary'!$B:$B,0)),
IF($H215 = "External", INDEX('Fuel Cost - External'!S:S,MATCH('Fuel Selector'!$B215,'Fuel Cost - External'!$B:$B,0)),0)
))</f>
        <v>14.527806495992236</v>
      </c>
    </row>
    <row r="216" spans="1:22" x14ac:dyDescent="0.2">
      <c r="A216" s="29">
        <f t="shared" si="150"/>
        <v>19</v>
      </c>
      <c r="B216" s="334" t="str">
        <f>_xlfn.TEXTJOIN(keydelim,TRUE,C216:G216)</f>
        <v>Blue hydrogen (liquid) - Africa&amp;Other - Fuel cost - USD/GJ</v>
      </c>
      <c r="C216" t="str" cm="1">
        <f t="array" ref="C216">INDEX(list_AE_fuel,A216)</f>
        <v>Blue hydrogen (liquid)</v>
      </c>
      <c r="D216"/>
      <c r="E216" t="str">
        <f>E215</f>
        <v>Africa&amp;Other</v>
      </c>
      <c r="F216" t="str">
        <f>"Fuel cost"  &amp;keydelim &amp;I216</f>
        <v>Fuel cost - USD/GJ</v>
      </c>
      <c r="G216"/>
      <c r="H216" s="128" t="str" cm="1">
        <f t="array" ref="H216">INDEX('Configurator Specs.'!$CG$5:$CG$24,A216)</f>
        <v>Modeled</v>
      </c>
      <c r="I216" t="s">
        <v>324</v>
      </c>
      <c r="K216" s="89">
        <f>IF(K$113&gt;2050,J216,
IF($H216="Modeled", INDEX('Fuel Model - Summary'!H:H,MATCH('Fuel Selector'!$B216,'Fuel Model - Summary'!$B:$B,0)),
IF($H216 = "External", INDEX('Fuel Cost - External'!H:H,MATCH('Fuel Selector'!$B216,'Fuel Cost - External'!$B:$B,0)),0)
))</f>
        <v>79.086836444376118</v>
      </c>
      <c r="L216" s="89">
        <f>IF(L$113&gt;2050,K216,
IF($H216="Modeled", INDEX('Fuel Model - Summary'!I:I,MATCH('Fuel Selector'!$B216,'Fuel Model - Summary'!$B:$B,0)),
IF($H216 = "External", INDEX('Fuel Cost - External'!I:I,MATCH('Fuel Selector'!$B216,'Fuel Cost - External'!$B:$B,0)),0)
))</f>
        <v>43.752232130066965</v>
      </c>
      <c r="M216" s="89">
        <f>IF(M$113&gt;2050,L216,
IF($H216="Modeled", INDEX('Fuel Model - Summary'!J:J,MATCH('Fuel Selector'!$B216,'Fuel Model - Summary'!$B:$B,0)),
IF($H216 = "External", INDEX('Fuel Cost - External'!J:J,MATCH('Fuel Selector'!$B216,'Fuel Cost - External'!$B:$B,0)),0)
))</f>
        <v>35.54246994063439</v>
      </c>
      <c r="N216" s="89">
        <f>IF(N$113&gt;2050,M216,
IF($H216="Modeled", INDEX('Fuel Model - Summary'!K:K,MATCH('Fuel Selector'!$B216,'Fuel Model - Summary'!$B:$B,0)),
IF($H216 = "External", INDEX('Fuel Cost - External'!K:K,MATCH('Fuel Selector'!$B216,'Fuel Cost - External'!$B:$B,0)),0)
))</f>
        <v>34.322609730025739</v>
      </c>
      <c r="O216" s="89">
        <f>IF(O$113&gt;2050,N216,
IF($H216="Modeled", INDEX('Fuel Model - Summary'!L:L,MATCH('Fuel Selector'!$B216,'Fuel Model - Summary'!$B:$B,0)),
IF($H216 = "External", INDEX('Fuel Cost - External'!L:L,MATCH('Fuel Selector'!$B216,'Fuel Cost - External'!$B:$B,0)),0)
))</f>
        <v>33.402957361236076</v>
      </c>
      <c r="P216" s="89">
        <f>IF(P$113&gt;2050,O216,
IF($H216="Modeled", INDEX('Fuel Model - Summary'!M:M,MATCH('Fuel Selector'!$B216,'Fuel Model - Summary'!$B:$B,0)),
IF($H216 = "External", INDEX('Fuel Cost - External'!M:M,MATCH('Fuel Selector'!$B216,'Fuel Cost - External'!$B:$B,0)),0)
))</f>
        <v>32.533307017372593</v>
      </c>
      <c r="Q216" s="89">
        <f>IF(Q$113&gt;2050,P216,
IF($H216="Modeled", INDEX('Fuel Model - Summary'!N:N,MATCH('Fuel Selector'!$B216,'Fuel Model - Summary'!$B:$B,0)),
IF($H216 = "External", INDEX('Fuel Cost - External'!N:N,MATCH('Fuel Selector'!$B216,'Fuel Cost - External'!$B:$B,0)),0)
))</f>
        <v>31.821550268936644</v>
      </c>
      <c r="R216" s="89">
        <f>IF(R$113&gt;2050,Q216,
IF($H216="Modeled", INDEX('Fuel Model - Summary'!O:O,MATCH('Fuel Selector'!$B216,'Fuel Model - Summary'!$B:$B,0)),
IF($H216 = "External", INDEX('Fuel Cost - External'!O:O,MATCH('Fuel Selector'!$B216,'Fuel Cost - External'!$B:$B,0)),0)
))</f>
        <v>31.821550268936644</v>
      </c>
      <c r="S216" s="89">
        <f>IF(S$113&gt;2050,R216,
IF($H216="Modeled", INDEX('Fuel Model - Summary'!P:P,MATCH('Fuel Selector'!$B216,'Fuel Model - Summary'!$B:$B,0)),
IF($H216 = "External", INDEX('Fuel Cost - External'!P:P,MATCH('Fuel Selector'!$B216,'Fuel Cost - External'!$B:$B,0)),0)
))</f>
        <v>31.821550268936644</v>
      </c>
      <c r="T216" s="89">
        <f>IF(T$113&gt;2050,S216,
IF($H216="Modeled", INDEX('Fuel Model - Summary'!Q:Q,MATCH('Fuel Selector'!$B216,'Fuel Model - Summary'!$B:$B,0)),
IF($H216 = "External", INDEX('Fuel Cost - External'!Q:Q,MATCH('Fuel Selector'!$B216,'Fuel Cost - External'!$B:$B,0)),0)
))</f>
        <v>31.821550268936644</v>
      </c>
      <c r="U216" s="89">
        <f>IF(U$113&gt;2050,T216,
IF($H216="Modeled", INDEX('Fuel Model - Summary'!R:R,MATCH('Fuel Selector'!$B216,'Fuel Model - Summary'!$B:$B,0)),
IF($H216 = "External", INDEX('Fuel Cost - External'!R:R,MATCH('Fuel Selector'!$B216,'Fuel Cost - External'!$B:$B,0)),0)
))</f>
        <v>31.821550268936644</v>
      </c>
      <c r="V216" s="89">
        <f>IF(V$113&gt;2050,U216,
IF($H216="Modeled", INDEX('Fuel Model - Summary'!S:S,MATCH('Fuel Selector'!$B216,'Fuel Model - Summary'!$B:$B,0)),
IF($H216 = "External", INDEX('Fuel Cost - External'!S:S,MATCH('Fuel Selector'!$B216,'Fuel Cost - External'!$B:$B,0)),0)
))</f>
        <v>31.821550268936644</v>
      </c>
    </row>
    <row r="217" spans="1:22" x14ac:dyDescent="0.2">
      <c r="A217" s="29">
        <f t="shared" si="150"/>
        <v>20</v>
      </c>
      <c r="B217" s="334" t="str">
        <f>_xlfn.TEXTJOIN(keydelim,TRUE,C217:G217)</f>
        <v>e-Hydrogen (liquid) - Africa&amp;Other - Fuel cost - USD/GJ</v>
      </c>
      <c r="C217" t="str" cm="1">
        <f t="array" ref="C217">INDEX(list_AE_fuel,A217)</f>
        <v>e-Hydrogen (liquid)</v>
      </c>
      <c r="D217"/>
      <c r="E217" t="str">
        <f>E216</f>
        <v>Africa&amp;Other</v>
      </c>
      <c r="F217" t="str">
        <f>"Fuel cost"  &amp;keydelim &amp;I217</f>
        <v>Fuel cost - USD/GJ</v>
      </c>
      <c r="G217"/>
      <c r="H217" s="128" t="str" cm="1">
        <f t="array" ref="H217">INDEX('Configurator Specs.'!$CG$5:$CG$24,A217)</f>
        <v>Modeled</v>
      </c>
      <c r="I217" t="s">
        <v>324</v>
      </c>
      <c r="K217" s="89">
        <f>IF(K$113&gt;2050,J217,
IF($H217="Modeled", INDEX('Fuel Model - Summary'!H:H,MATCH('Fuel Selector'!$B217,'Fuel Model - Summary'!$B:$B,0)),
IF($H217 = "External", INDEX('Fuel Cost - External'!H:H,MATCH('Fuel Selector'!$B217,'Fuel Cost - External'!$B:$B,0)),0)
))</f>
        <v>65.783824147384607</v>
      </c>
      <c r="L217" s="89">
        <f>IF(L$113&gt;2050,K217,
IF($H217="Modeled", INDEX('Fuel Model - Summary'!I:I,MATCH('Fuel Selector'!$B217,'Fuel Model - Summary'!$B:$B,0)),
IF($H217 = "External", INDEX('Fuel Cost - External'!I:I,MATCH('Fuel Selector'!$B217,'Fuel Cost - External'!$B:$B,0)),0)
))</f>
        <v>45.142622947564568</v>
      </c>
      <c r="M217" s="89">
        <f>IF(M$113&gt;2050,L217,
IF($H217="Modeled", INDEX('Fuel Model - Summary'!J:J,MATCH('Fuel Selector'!$B217,'Fuel Model - Summary'!$B:$B,0)),
IF($H217 = "External", INDEX('Fuel Cost - External'!J:J,MATCH('Fuel Selector'!$B217,'Fuel Cost - External'!$B:$B,0)),0)
))</f>
        <v>37.960335271518588</v>
      </c>
      <c r="N217" s="89">
        <f>IF(N$113&gt;2050,M217,
IF($H217="Modeled", INDEX('Fuel Model - Summary'!K:K,MATCH('Fuel Selector'!$B217,'Fuel Model - Summary'!$B:$B,0)),
IF($H217 = "External", INDEX('Fuel Cost - External'!K:K,MATCH('Fuel Selector'!$B217,'Fuel Cost - External'!$B:$B,0)),0)
))</f>
        <v>34.506159062426569</v>
      </c>
      <c r="O217" s="89">
        <f>IF(O$113&gt;2050,N217,
IF($H217="Modeled", INDEX('Fuel Model - Summary'!L:L,MATCH('Fuel Selector'!$B217,'Fuel Model - Summary'!$B:$B,0)),
IF($H217 = "External", INDEX('Fuel Cost - External'!L:L,MATCH('Fuel Selector'!$B217,'Fuel Cost - External'!$B:$B,0)),0)
))</f>
        <v>31.179739496720785</v>
      </c>
      <c r="P217" s="89">
        <f>IF(P$113&gt;2050,O217,
IF($H217="Modeled", INDEX('Fuel Model - Summary'!M:M,MATCH('Fuel Selector'!$B217,'Fuel Model - Summary'!$B:$B,0)),
IF($H217 = "External", INDEX('Fuel Cost - External'!M:M,MATCH('Fuel Selector'!$B217,'Fuel Cost - External'!$B:$B,0)),0)
))</f>
        <v>27.047617726129882</v>
      </c>
      <c r="Q217" s="89">
        <f>IF(Q$113&gt;2050,P217,
IF($H217="Modeled", INDEX('Fuel Model - Summary'!N:N,MATCH('Fuel Selector'!$B217,'Fuel Model - Summary'!$B:$B,0)),
IF($H217 = "External", INDEX('Fuel Cost - External'!N:N,MATCH('Fuel Selector'!$B217,'Fuel Cost - External'!$B:$B,0)),0)
))</f>
        <v>23.528760018079311</v>
      </c>
      <c r="R217" s="89">
        <f>IF(R$113&gt;2050,Q217,
IF($H217="Modeled", INDEX('Fuel Model - Summary'!O:O,MATCH('Fuel Selector'!$B217,'Fuel Model - Summary'!$B:$B,0)),
IF($H217 = "External", INDEX('Fuel Cost - External'!O:O,MATCH('Fuel Selector'!$B217,'Fuel Cost - External'!$B:$B,0)),0)
))</f>
        <v>23.528760018079311</v>
      </c>
      <c r="S217" s="89">
        <f>IF(S$113&gt;2050,R217,
IF($H217="Modeled", INDEX('Fuel Model - Summary'!P:P,MATCH('Fuel Selector'!$B217,'Fuel Model - Summary'!$B:$B,0)),
IF($H217 = "External", INDEX('Fuel Cost - External'!P:P,MATCH('Fuel Selector'!$B217,'Fuel Cost - External'!$B:$B,0)),0)
))</f>
        <v>23.528760018079311</v>
      </c>
      <c r="T217" s="89">
        <f>IF(T$113&gt;2050,S217,
IF($H217="Modeled", INDEX('Fuel Model - Summary'!Q:Q,MATCH('Fuel Selector'!$B217,'Fuel Model - Summary'!$B:$B,0)),
IF($H217 = "External", INDEX('Fuel Cost - External'!Q:Q,MATCH('Fuel Selector'!$B217,'Fuel Cost - External'!$B:$B,0)),0)
))</f>
        <v>23.528760018079311</v>
      </c>
      <c r="U217" s="89">
        <f>IF(U$113&gt;2050,T217,
IF($H217="Modeled", INDEX('Fuel Model - Summary'!R:R,MATCH('Fuel Selector'!$B217,'Fuel Model - Summary'!$B:$B,0)),
IF($H217 = "External", INDEX('Fuel Cost - External'!R:R,MATCH('Fuel Selector'!$B217,'Fuel Cost - External'!$B:$B,0)),0)
))</f>
        <v>23.528760018079311</v>
      </c>
      <c r="V217" s="89">
        <f>IF(V$113&gt;2050,U217,
IF($H217="Modeled", INDEX('Fuel Model - Summary'!S:S,MATCH('Fuel Selector'!$B217,'Fuel Model - Summary'!$B:$B,0)),
IF($H217 = "External", INDEX('Fuel Cost - External'!S:S,MATCH('Fuel Selector'!$B217,'Fuel Cost - External'!$B:$B,0)),0)
))</f>
        <v>23.528760018079311</v>
      </c>
    </row>
    <row r="218" spans="1:22" x14ac:dyDescent="0.2">
      <c r="R218" s="32"/>
      <c r="S218" s="32"/>
      <c r="T218" s="32"/>
      <c r="U218" s="32"/>
      <c r="V218" s="32"/>
    </row>
    <row r="219" spans="1:22" ht="15" x14ac:dyDescent="0.25">
      <c r="B219" s="30" t="s">
        <v>725</v>
      </c>
    </row>
    <row r="220" spans="1:22" x14ac:dyDescent="0.2">
      <c r="B220" s="144" t="s">
        <v>618</v>
      </c>
      <c r="C220" s="144" t="s">
        <v>49</v>
      </c>
      <c r="D220" s="408" t="s">
        <v>470</v>
      </c>
      <c r="E220" s="144" t="s">
        <v>722</v>
      </c>
      <c r="F220" s="144"/>
      <c r="G220" s="144"/>
      <c r="H220" s="144" t="s">
        <v>724</v>
      </c>
      <c r="I220" s="144"/>
      <c r="J220" s="56"/>
      <c r="K220" s="56">
        <v>2020</v>
      </c>
      <c r="L220" s="56">
        <f>K220+5</f>
        <v>2025</v>
      </c>
      <c r="M220" s="56">
        <f t="shared" ref="M220:V220" si="154">L220+5</f>
        <v>2030</v>
      </c>
      <c r="N220" s="56">
        <f t="shared" si="154"/>
        <v>2035</v>
      </c>
      <c r="O220" s="56">
        <f t="shared" si="154"/>
        <v>2040</v>
      </c>
      <c r="P220" s="56">
        <f t="shared" si="154"/>
        <v>2045</v>
      </c>
      <c r="Q220" s="56">
        <f t="shared" si="154"/>
        <v>2050</v>
      </c>
      <c r="R220" s="56">
        <f t="shared" si="154"/>
        <v>2055</v>
      </c>
      <c r="S220" s="56">
        <f t="shared" si="154"/>
        <v>2060</v>
      </c>
      <c r="T220" s="56">
        <f t="shared" si="154"/>
        <v>2065</v>
      </c>
      <c r="U220" s="56">
        <f t="shared" si="154"/>
        <v>2070</v>
      </c>
      <c r="V220" s="56">
        <f t="shared" si="154"/>
        <v>2075</v>
      </c>
    </row>
    <row r="221" spans="1:22" x14ac:dyDescent="0.2">
      <c r="A221" s="29">
        <v>1</v>
      </c>
      <c r="B221" s="334" t="str">
        <f t="shared" ref="B221:B240" si="155">_xlfn.TEXTJOIN(keydelim,TRUE,C221,E221,F221)</f>
        <v>LSFO - Europe - Logistics cost - USD/GJ</v>
      </c>
      <c r="C221" t="str" cm="1">
        <f t="array" ref="C221">INDEX(list_AE_fuel,A221)</f>
        <v>LSFO</v>
      </c>
      <c r="D221" t="str">
        <f>INDEX('Configurator Specs.'!$AH:$AH,MATCH($C221,'Configurator Specs.'!$AE:$AE,0))</f>
        <v>HFO</v>
      </c>
      <c r="E221" t="s">
        <v>195</v>
      </c>
      <c r="F221" t="str">
        <f t="shared" ref="F221:F240" si="156">"Logistics cost"  &amp;keydelim &amp;I221</f>
        <v>Logistics cost - USD/GJ</v>
      </c>
      <c r="G221" s="128"/>
      <c r="H221" s="128" t="str">
        <f>+D221&amp;" - "&amp;E221&amp;" - "&amp;"Logistics total - USD/ton"</f>
        <v>HFO - Europe - Logistics total - USD/ton</v>
      </c>
      <c r="I221" t="s">
        <v>324</v>
      </c>
      <c r="K221" s="112">
        <f>SUMIFS('Fuel Logistics'!I:I,'Fuel Logistics'!$C:$C,$E221,'Fuel Logistics'!$D:$D,$D221,'Fuel Logistics'!$E:$E,"Logistics total")*IF($C221="Electricity",1,1/INDEX('TCO - Input'!$R$291:$R$321,MATCH($C221,'TCO - Input'!$F$291:$F$4010,0)))*1000</f>
        <v>0</v>
      </c>
      <c r="L221" s="112">
        <f>SUMIFS('Fuel Logistics'!J:J,'Fuel Logistics'!$C:$C,$E221,'Fuel Logistics'!$D:$D,$D221,'Fuel Logistics'!$E:$E,"Logistics total")*IF($C221="Electricity",1,1/INDEX('TCO - Input'!$R$291:$R$321,MATCH($C221,'TCO - Input'!$F$291:$F$4010,0)))*1000</f>
        <v>0</v>
      </c>
      <c r="M221" s="112">
        <f>SUMIFS('Fuel Logistics'!K:K,'Fuel Logistics'!$C:$C,$E221,'Fuel Logistics'!$D:$D,$D221,'Fuel Logistics'!$E:$E,"Logistics total")*IF($C221="Electricity",1,1/INDEX('TCO - Input'!$R$291:$R$321,MATCH($C221,'TCO - Input'!$F$291:$F$4010,0)))*1000</f>
        <v>0</v>
      </c>
      <c r="N221" s="112">
        <f>SUMIFS('Fuel Logistics'!L:L,'Fuel Logistics'!$C:$C,$E221,'Fuel Logistics'!$D:$D,$D221,'Fuel Logistics'!$E:$E,"Logistics total")*IF($C221="Electricity",1,1/INDEX('TCO - Input'!$R$291:$R$321,MATCH($C221,'TCO - Input'!$F$291:$F$4010,0)))*1000</f>
        <v>0</v>
      </c>
      <c r="O221" s="112">
        <f>SUMIFS('Fuel Logistics'!M:M,'Fuel Logistics'!$C:$C,$E221,'Fuel Logistics'!$D:$D,$D221,'Fuel Logistics'!$E:$E,"Logistics total")*IF($C221="Electricity",1,1/INDEX('TCO - Input'!$R$291:$R$321,MATCH($C221,'TCO - Input'!$F$291:$F$4010,0)))*1000</f>
        <v>0</v>
      </c>
      <c r="P221" s="112">
        <f>SUMIFS('Fuel Logistics'!N:N,'Fuel Logistics'!$C:$C,$E221,'Fuel Logistics'!$D:$D,$D221,'Fuel Logistics'!$E:$E,"Logistics total")*IF($C221="Electricity",1,1/INDEX('TCO - Input'!$R$291:$R$321,MATCH($C221,'TCO - Input'!$F$291:$F$4010,0)))*1000</f>
        <v>0</v>
      </c>
      <c r="Q221" s="112">
        <f>SUMIFS('Fuel Logistics'!O:O,'Fuel Logistics'!$C:$C,$E221,'Fuel Logistics'!$D:$D,$D221,'Fuel Logistics'!$E:$E,"Logistics total")*IF($C221="Electricity",1,1/INDEX('TCO - Input'!$R$291:$R$321,MATCH($C221,'TCO - Input'!$F$291:$F$4010,0)))*1000</f>
        <v>0</v>
      </c>
      <c r="R221" s="112">
        <f>SUMIFS('Fuel Logistics'!P:P,'Fuel Logistics'!$C:$C,$E221,'Fuel Logistics'!$D:$D,$D221,'Fuel Logistics'!$E:$E,"Logistics total")*IF($C221="Electricity",1,1/INDEX('TCO - Input'!$R$291:$R$321,MATCH($C221,'TCO - Input'!$F$291:$F$4010,0)))*1000</f>
        <v>0</v>
      </c>
      <c r="S221" s="112">
        <f>SUMIFS('Fuel Logistics'!Q:Q,'Fuel Logistics'!$C:$C,$E221,'Fuel Logistics'!$D:$D,$D221,'Fuel Logistics'!$E:$E,"Logistics total")*IF($C221="Electricity",1,1/INDEX('TCO - Input'!$R$291:$R$321,MATCH($C221,'TCO - Input'!$F$291:$F$4010,0)))*1000</f>
        <v>0</v>
      </c>
      <c r="T221" s="112">
        <f>SUMIFS('Fuel Logistics'!R:R,'Fuel Logistics'!$C:$C,$E221,'Fuel Logistics'!$D:$D,$D221,'Fuel Logistics'!$E:$E,"Logistics total")*IF($C221="Electricity",1,1/INDEX('TCO - Input'!$R$291:$R$321,MATCH($C221,'TCO - Input'!$F$291:$F$4010,0)))*1000</f>
        <v>0</v>
      </c>
      <c r="U221" s="112">
        <f>SUMIFS('Fuel Logistics'!S:S,'Fuel Logistics'!$C:$C,$E221,'Fuel Logistics'!$D:$D,$D221,'Fuel Logistics'!$E:$E,"Logistics total")*IF($C221="Electricity",1,1/INDEX('TCO - Input'!$R$291:$R$321,MATCH($C221,'TCO - Input'!$F$291:$F$4010,0)))*1000</f>
        <v>0</v>
      </c>
      <c r="V221" s="112">
        <f>SUMIFS('Fuel Logistics'!T:T,'Fuel Logistics'!$C:$C,$E221,'Fuel Logistics'!$D:$D,$D221,'Fuel Logistics'!$E:$E,"Logistics total")*IF($C221="Electricity",1,1/INDEX('TCO - Input'!$R$291:$R$321,MATCH($C221,'TCO - Input'!$F$291:$F$4010,0)))*1000</f>
        <v>0</v>
      </c>
    </row>
    <row r="222" spans="1:22" x14ac:dyDescent="0.2">
      <c r="A222" s="29">
        <f>A221+1</f>
        <v>2</v>
      </c>
      <c r="B222" s="334" t="str">
        <f t="shared" si="155"/>
        <v>LNG - Europe - Logistics cost - USD/GJ</v>
      </c>
      <c r="C222" t="str" cm="1">
        <f t="array" ref="C222">INDEX(list_AE_fuel,A222)</f>
        <v>LNG</v>
      </c>
      <c r="D222" t="str">
        <f>INDEX('Configurator Specs.'!$AH:$AH,MATCH($C222,'Configurator Specs.'!$AE:$AE,0))</f>
        <v>LNG &amp; e-Methane</v>
      </c>
      <c r="E222" t="str">
        <f t="shared" ref="E222:E231" si="157">E221</f>
        <v>Europe</v>
      </c>
      <c r="F222" t="str">
        <f t="shared" si="156"/>
        <v>Logistics cost - USD/GJ</v>
      </c>
      <c r="G222" s="128"/>
      <c r="H222" s="128"/>
      <c r="I222" t="s">
        <v>324</v>
      </c>
      <c r="K222" s="112">
        <f>SUMIFS('Fuel Logistics'!I:I,'Fuel Logistics'!$C:$C,$E222,'Fuel Logistics'!$D:$D,$D222,'Fuel Logistics'!$E:$E,"Logistics total")*IF($C222="Electricity",1,1/INDEX('TCO - Input'!$R$291:$R$321,MATCH($C222,'TCO - Input'!$F$291:$F$4010,0)))*1000</f>
        <v>0.85863421826398856</v>
      </c>
      <c r="L222" s="112">
        <f>SUMIFS('Fuel Logistics'!J:J,'Fuel Logistics'!$C:$C,$E222,'Fuel Logistics'!$D:$D,$D222,'Fuel Logistics'!$E:$E,"Logistics total")*IF($C222="Electricity",1,1/INDEX('TCO - Input'!$R$291:$R$321,MATCH($C222,'TCO - Input'!$F$291:$F$4010,0)))*1000</f>
        <v>0.85646106776095399</v>
      </c>
      <c r="M222" s="112">
        <f>SUMIFS('Fuel Logistics'!K:K,'Fuel Logistics'!$C:$C,$E222,'Fuel Logistics'!$D:$D,$D222,'Fuel Logistics'!$E:$E,"Logistics total")*IF($C222="Electricity",1,1/INDEX('TCO - Input'!$R$291:$R$321,MATCH($C222,'TCO - Input'!$F$291:$F$4010,0)))*1000</f>
        <v>0.85470514902227424</v>
      </c>
      <c r="N222" s="112">
        <f>SUMIFS('Fuel Logistics'!L:L,'Fuel Logistics'!$C:$C,$E222,'Fuel Logistics'!$D:$D,$D222,'Fuel Logistics'!$E:$E,"Logistics total")*IF($C222="Electricity",1,1/INDEX('TCO - Input'!$R$291:$R$321,MATCH($C222,'TCO - Input'!$F$291:$F$4010,0)))*1000</f>
        <v>0.85397556514965489</v>
      </c>
      <c r="O222" s="112">
        <f>SUMIFS('Fuel Logistics'!M:M,'Fuel Logistics'!$C:$C,$E222,'Fuel Logistics'!$D:$D,$D222,'Fuel Logistics'!$E:$E,"Logistics total")*IF($C222="Electricity",1,1/INDEX('TCO - Input'!$R$291:$R$321,MATCH($C222,'TCO - Input'!$F$291:$F$4010,0)))*1000</f>
        <v>0.85353996649483721</v>
      </c>
      <c r="P222" s="112">
        <f>SUMIFS('Fuel Logistics'!N:N,'Fuel Logistics'!$C:$C,$E222,'Fuel Logistics'!$D:$D,$D222,'Fuel Logistics'!$E:$E,"Logistics total")*IF($C222="Electricity",1,1/INDEX('TCO - Input'!$R$291:$R$321,MATCH($C222,'TCO - Input'!$F$291:$F$4010,0)))*1000</f>
        <v>0.85307395457690527</v>
      </c>
      <c r="Q222" s="112">
        <f>SUMIFS('Fuel Logistics'!O:O,'Fuel Logistics'!$C:$C,$E222,'Fuel Logistics'!$D:$D,$D222,'Fuel Logistics'!$E:$E,"Logistics total")*IF($C222="Electricity",1,1/INDEX('TCO - Input'!$R$291:$R$321,MATCH($C222,'TCO - Input'!$F$291:$F$4010,0)))*1000</f>
        <v>0.85273394268440406</v>
      </c>
      <c r="R222" s="112">
        <f>SUMIFS('Fuel Logistics'!P:P,'Fuel Logistics'!$C:$C,$E222,'Fuel Logistics'!$D:$D,$D222,'Fuel Logistics'!$E:$E,"Logistics total")*IF($C222="Electricity",1,1/INDEX('TCO - Input'!$R$291:$R$321,MATCH($C222,'TCO - Input'!$F$291:$F$4010,0)))*1000</f>
        <v>0.85273394268440406</v>
      </c>
      <c r="S222" s="112">
        <f>SUMIFS('Fuel Logistics'!Q:Q,'Fuel Logistics'!$C:$C,$E222,'Fuel Logistics'!$D:$D,$D222,'Fuel Logistics'!$E:$E,"Logistics total")*IF($C222="Electricity",1,1/INDEX('TCO - Input'!$R$291:$R$321,MATCH($C222,'TCO - Input'!$F$291:$F$4010,0)))*1000</f>
        <v>0.85273394268440406</v>
      </c>
      <c r="T222" s="112">
        <f>SUMIFS('Fuel Logistics'!R:R,'Fuel Logistics'!$C:$C,$E222,'Fuel Logistics'!$D:$D,$D222,'Fuel Logistics'!$E:$E,"Logistics total")*IF($C222="Electricity",1,1/INDEX('TCO - Input'!$R$291:$R$321,MATCH($C222,'TCO - Input'!$F$291:$F$4010,0)))*1000</f>
        <v>0.85273394268440406</v>
      </c>
      <c r="U222" s="112">
        <f>SUMIFS('Fuel Logistics'!S:S,'Fuel Logistics'!$C:$C,$E222,'Fuel Logistics'!$D:$D,$D222,'Fuel Logistics'!$E:$E,"Logistics total")*IF($C222="Electricity",1,1/INDEX('TCO - Input'!$R$291:$R$321,MATCH($C222,'TCO - Input'!$F$291:$F$4010,0)))*1000</f>
        <v>0.85273394268440406</v>
      </c>
      <c r="V222" s="112">
        <f>SUMIFS('Fuel Logistics'!T:T,'Fuel Logistics'!$C:$C,$E222,'Fuel Logistics'!$D:$D,$D222,'Fuel Logistics'!$E:$E,"Logistics total")*IF($C222="Electricity",1,1/INDEX('TCO - Input'!$R$291:$R$321,MATCH($C222,'TCO - Input'!$F$291:$F$4010,0)))*1000</f>
        <v>0.85273394268440406</v>
      </c>
    </row>
    <row r="223" spans="1:22" x14ac:dyDescent="0.2">
      <c r="A223" s="29">
        <f t="shared" ref="A223:A240" si="158">A222+1</f>
        <v>3</v>
      </c>
      <c r="B223" s="334" t="str">
        <f t="shared" si="155"/>
        <v>LPG - Europe - Logistics cost - USD/GJ</v>
      </c>
      <c r="C223" t="str" cm="1">
        <f t="array" ref="C223">INDEX(list_AE_fuel,A223)</f>
        <v>LPG</v>
      </c>
      <c r="D223" t="str">
        <f>INDEX('Configurator Specs.'!$AH:$AH,MATCH($C223,'Configurator Specs.'!$AE:$AE,0))</f>
        <v>LPG</v>
      </c>
      <c r="E223" t="str">
        <f t="shared" si="157"/>
        <v>Europe</v>
      </c>
      <c r="F223" t="str">
        <f t="shared" si="156"/>
        <v>Logistics cost - USD/GJ</v>
      </c>
      <c r="G223" s="128"/>
      <c r="H223" s="128"/>
      <c r="I223" t="s">
        <v>324</v>
      </c>
      <c r="K223" s="112">
        <f>SUMIFS('Fuel Logistics'!I:I,'Fuel Logistics'!$C:$C,$E223,'Fuel Logistics'!$D:$D,$D223,'Fuel Logistics'!$E:$E,"Logistics total")*IF($C223="Electricity",1,1/INDEX('TCO - Input'!$R$291:$R$321,MATCH($C223,'TCO - Input'!$F$291:$F$4010,0)))*1000</f>
        <v>0</v>
      </c>
      <c r="L223" s="112">
        <f>SUMIFS('Fuel Logistics'!J:J,'Fuel Logistics'!$C:$C,$E223,'Fuel Logistics'!$D:$D,$D223,'Fuel Logistics'!$E:$E,"Logistics total")*IF($C223="Electricity",1,1/INDEX('TCO - Input'!$R$291:$R$321,MATCH($C223,'TCO - Input'!$F$291:$F$4010,0)))*1000</f>
        <v>0</v>
      </c>
      <c r="M223" s="112">
        <f>SUMIFS('Fuel Logistics'!K:K,'Fuel Logistics'!$C:$C,$E223,'Fuel Logistics'!$D:$D,$D223,'Fuel Logistics'!$E:$E,"Logistics total")*IF($C223="Electricity",1,1/INDEX('TCO - Input'!$R$291:$R$321,MATCH($C223,'TCO - Input'!$F$291:$F$4010,0)))*1000</f>
        <v>0</v>
      </c>
      <c r="N223" s="112">
        <f>SUMIFS('Fuel Logistics'!L:L,'Fuel Logistics'!$C:$C,$E223,'Fuel Logistics'!$D:$D,$D223,'Fuel Logistics'!$E:$E,"Logistics total")*IF($C223="Electricity",1,1/INDEX('TCO - Input'!$R$291:$R$321,MATCH($C223,'TCO - Input'!$F$291:$F$4010,0)))*1000</f>
        <v>0</v>
      </c>
      <c r="O223" s="112">
        <f>SUMIFS('Fuel Logistics'!M:M,'Fuel Logistics'!$C:$C,$E223,'Fuel Logistics'!$D:$D,$D223,'Fuel Logistics'!$E:$E,"Logistics total")*IF($C223="Electricity",1,1/INDEX('TCO - Input'!$R$291:$R$321,MATCH($C223,'TCO - Input'!$F$291:$F$4010,0)))*1000</f>
        <v>0</v>
      </c>
      <c r="P223" s="112">
        <f>SUMIFS('Fuel Logistics'!N:N,'Fuel Logistics'!$C:$C,$E223,'Fuel Logistics'!$D:$D,$D223,'Fuel Logistics'!$E:$E,"Logistics total")*IF($C223="Electricity",1,1/INDEX('TCO - Input'!$R$291:$R$321,MATCH($C223,'TCO - Input'!$F$291:$F$4010,0)))*1000</f>
        <v>0</v>
      </c>
      <c r="Q223" s="112">
        <f>SUMIFS('Fuel Logistics'!O:O,'Fuel Logistics'!$C:$C,$E223,'Fuel Logistics'!$D:$D,$D223,'Fuel Logistics'!$E:$E,"Logistics total")*IF($C223="Electricity",1,1/INDEX('TCO - Input'!$R$291:$R$321,MATCH($C223,'TCO - Input'!$F$291:$F$4010,0)))*1000</f>
        <v>0</v>
      </c>
      <c r="R223" s="112">
        <f>SUMIFS('Fuel Logistics'!P:P,'Fuel Logistics'!$C:$C,$E223,'Fuel Logistics'!$D:$D,$D223,'Fuel Logistics'!$E:$E,"Logistics total")*IF($C223="Electricity",1,1/INDEX('TCO - Input'!$R$291:$R$321,MATCH($C223,'TCO - Input'!$F$291:$F$4010,0)))*1000</f>
        <v>0</v>
      </c>
      <c r="S223" s="112">
        <f>SUMIFS('Fuel Logistics'!Q:Q,'Fuel Logistics'!$C:$C,$E223,'Fuel Logistics'!$D:$D,$D223,'Fuel Logistics'!$E:$E,"Logistics total")*IF($C223="Electricity",1,1/INDEX('TCO - Input'!$R$291:$R$321,MATCH($C223,'TCO - Input'!$F$291:$F$4010,0)))*1000</f>
        <v>0</v>
      </c>
      <c r="T223" s="112">
        <f>SUMIFS('Fuel Logistics'!R:R,'Fuel Logistics'!$C:$C,$E223,'Fuel Logistics'!$D:$D,$D223,'Fuel Logistics'!$E:$E,"Logistics total")*IF($C223="Electricity",1,1/INDEX('TCO - Input'!$R$291:$R$321,MATCH($C223,'TCO - Input'!$F$291:$F$4010,0)))*1000</f>
        <v>0</v>
      </c>
      <c r="U223" s="112">
        <f>SUMIFS('Fuel Logistics'!S:S,'Fuel Logistics'!$C:$C,$E223,'Fuel Logistics'!$D:$D,$D223,'Fuel Logistics'!$E:$E,"Logistics total")*IF($C223="Electricity",1,1/INDEX('TCO - Input'!$R$291:$R$321,MATCH($C223,'TCO - Input'!$F$291:$F$4010,0)))*1000</f>
        <v>0</v>
      </c>
      <c r="V223" s="112">
        <f>SUMIFS('Fuel Logistics'!T:T,'Fuel Logistics'!$C:$C,$E223,'Fuel Logistics'!$D:$D,$D223,'Fuel Logistics'!$E:$E,"Logistics total")*IF($C223="Electricity",1,1/INDEX('TCO - Input'!$R$291:$R$321,MATCH($C223,'TCO - Input'!$F$291:$F$4010,0)))*1000</f>
        <v>0</v>
      </c>
    </row>
    <row r="224" spans="1:22" x14ac:dyDescent="0.2">
      <c r="A224" s="29">
        <f t="shared" si="158"/>
        <v>4</v>
      </c>
      <c r="B224" s="334" t="str">
        <f t="shared" si="155"/>
        <v>Electricity - Europe - Logistics cost - USD/GJ</v>
      </c>
      <c r="C224" t="str" cm="1">
        <f t="array" ref="C224">INDEX(list_AE_fuel,A224)</f>
        <v>Electricity</v>
      </c>
      <c r="D224" t="str">
        <f>INDEX('Configurator Specs.'!$AH:$AH,MATCH($C224,'Configurator Specs.'!$AE:$AE,0))</f>
        <v>Electricity</v>
      </c>
      <c r="E224" t="str">
        <f t="shared" si="157"/>
        <v>Europe</v>
      </c>
      <c r="F224" t="str">
        <f t="shared" si="156"/>
        <v>Logistics cost - USD/GJ</v>
      </c>
      <c r="G224" s="128"/>
      <c r="H224" s="128"/>
      <c r="I224" t="s">
        <v>324</v>
      </c>
      <c r="K224" s="112">
        <f>SUMIFS('Fuel Logistics'!I:I,'Fuel Logistics'!$C:$C,$E224,'Fuel Logistics'!$D:$D,$D224,'Fuel Logistics'!$E:$E,"Logistics total")*IF($C224="Electricity",1,1/INDEX('TCO - Input'!$R$291:$R$321,MATCH($C224,'TCO - Input'!$F$291:$F$4010,0)))*1000</f>
        <v>18.782608695652176</v>
      </c>
      <c r="L224" s="112">
        <f>SUMIFS('Fuel Logistics'!J:J,'Fuel Logistics'!$C:$C,$E224,'Fuel Logistics'!$D:$D,$D224,'Fuel Logistics'!$E:$E,"Logistics total")*IF($C224="Electricity",1,1/INDEX('TCO - Input'!$R$291:$R$321,MATCH($C224,'TCO - Input'!$F$291:$F$4010,0)))*1000</f>
        <v>18.782608695652176</v>
      </c>
      <c r="M224" s="112">
        <f>SUMIFS('Fuel Logistics'!K:K,'Fuel Logistics'!$C:$C,$E224,'Fuel Logistics'!$D:$D,$D224,'Fuel Logistics'!$E:$E,"Logistics total")*IF($C224="Electricity",1,1/INDEX('TCO - Input'!$R$291:$R$321,MATCH($C224,'TCO - Input'!$F$291:$F$4010,0)))*1000</f>
        <v>18.782608695652176</v>
      </c>
      <c r="N224" s="112">
        <f>SUMIFS('Fuel Logistics'!L:L,'Fuel Logistics'!$C:$C,$E224,'Fuel Logistics'!$D:$D,$D224,'Fuel Logistics'!$E:$E,"Logistics total")*IF($C224="Electricity",1,1/INDEX('TCO - Input'!$R$291:$R$321,MATCH($C224,'TCO - Input'!$F$291:$F$4010,0)))*1000</f>
        <v>18.782608695652176</v>
      </c>
      <c r="O224" s="112">
        <f>SUMIFS('Fuel Logistics'!M:M,'Fuel Logistics'!$C:$C,$E224,'Fuel Logistics'!$D:$D,$D224,'Fuel Logistics'!$E:$E,"Logistics total")*IF($C224="Electricity",1,1/INDEX('TCO - Input'!$R$291:$R$321,MATCH($C224,'TCO - Input'!$F$291:$F$4010,0)))*1000</f>
        <v>18.782608695652176</v>
      </c>
      <c r="P224" s="112">
        <f>SUMIFS('Fuel Logistics'!N:N,'Fuel Logistics'!$C:$C,$E224,'Fuel Logistics'!$D:$D,$D224,'Fuel Logistics'!$E:$E,"Logistics total")*IF($C224="Electricity",1,1/INDEX('TCO - Input'!$R$291:$R$321,MATCH($C224,'TCO - Input'!$F$291:$F$4010,0)))*1000</f>
        <v>18.782608695652176</v>
      </c>
      <c r="Q224" s="112">
        <f>SUMIFS('Fuel Logistics'!O:O,'Fuel Logistics'!$C:$C,$E224,'Fuel Logistics'!$D:$D,$D224,'Fuel Logistics'!$E:$E,"Logistics total")*IF($C224="Electricity",1,1/INDEX('TCO - Input'!$R$291:$R$321,MATCH($C224,'TCO - Input'!$F$291:$F$4010,0)))*1000</f>
        <v>18.782608695652176</v>
      </c>
      <c r="R224" s="112">
        <f>SUMIFS('Fuel Logistics'!P:P,'Fuel Logistics'!$C:$C,$E224,'Fuel Logistics'!$D:$D,$D224,'Fuel Logistics'!$E:$E,"Logistics total")*IF($C224="Electricity",1,1/INDEX('TCO - Input'!$R$291:$R$321,MATCH($C224,'TCO - Input'!$F$291:$F$4010,0)))*1000</f>
        <v>18.782608695652176</v>
      </c>
      <c r="S224" s="112">
        <f>SUMIFS('Fuel Logistics'!Q:Q,'Fuel Logistics'!$C:$C,$E224,'Fuel Logistics'!$D:$D,$D224,'Fuel Logistics'!$E:$E,"Logistics total")*IF($C224="Electricity",1,1/INDEX('TCO - Input'!$R$291:$R$321,MATCH($C224,'TCO - Input'!$F$291:$F$4010,0)))*1000</f>
        <v>18.782608695652176</v>
      </c>
      <c r="T224" s="112">
        <f>SUMIFS('Fuel Logistics'!R:R,'Fuel Logistics'!$C:$C,$E224,'Fuel Logistics'!$D:$D,$D224,'Fuel Logistics'!$E:$E,"Logistics total")*IF($C224="Electricity",1,1/INDEX('TCO - Input'!$R$291:$R$321,MATCH($C224,'TCO - Input'!$F$291:$F$4010,0)))*1000</f>
        <v>18.782608695652176</v>
      </c>
      <c r="U224" s="112">
        <f>SUMIFS('Fuel Logistics'!S:S,'Fuel Logistics'!$C:$C,$E224,'Fuel Logistics'!$D:$D,$D224,'Fuel Logistics'!$E:$E,"Logistics total")*IF($C224="Electricity",1,1/INDEX('TCO - Input'!$R$291:$R$321,MATCH($C224,'TCO - Input'!$F$291:$F$4010,0)))*1000</f>
        <v>18.782608695652176</v>
      </c>
      <c r="V224" s="112">
        <f>SUMIFS('Fuel Logistics'!T:T,'Fuel Logistics'!$C:$C,$E224,'Fuel Logistics'!$D:$D,$D224,'Fuel Logistics'!$E:$E,"Logistics total")*IF($C224="Electricity",1,1/INDEX('TCO - Input'!$R$291:$R$321,MATCH($C224,'TCO - Input'!$F$291:$F$4010,0)))*1000</f>
        <v>18.782608695652176</v>
      </c>
    </row>
    <row r="225" spans="1:22" x14ac:dyDescent="0.2">
      <c r="A225" s="29">
        <f t="shared" si="158"/>
        <v>5</v>
      </c>
      <c r="B225" s="334" t="str">
        <f t="shared" si="155"/>
        <v>e-Ammonia - Europe - Logistics cost - USD/GJ</v>
      </c>
      <c r="C225" t="str" cm="1">
        <f t="array" ref="C225">INDEX(list_AE_fuel,A225)</f>
        <v>e-Ammonia</v>
      </c>
      <c r="D225" t="str">
        <f>INDEX('Configurator Specs.'!$AH:$AH,MATCH($C225,'Configurator Specs.'!$AE:$AE,0))</f>
        <v>Ammonia</v>
      </c>
      <c r="E225" t="str">
        <f t="shared" si="157"/>
        <v>Europe</v>
      </c>
      <c r="F225" t="str">
        <f t="shared" si="156"/>
        <v>Logistics cost - USD/GJ</v>
      </c>
      <c r="G225" s="226"/>
      <c r="H225" s="128"/>
      <c r="I225" t="s">
        <v>324</v>
      </c>
      <c r="K225" s="112">
        <f>SUMIFS('Fuel Logistics'!I:I,'Fuel Logistics'!$C:$C,$E225,'Fuel Logistics'!$D:$D,$D225,'Fuel Logistics'!$E:$E,"Logistics total")*IF($C225="Electricity",1,1/INDEX('TCO - Input'!$R$291:$R$321,MATCH($C225,'TCO - Input'!$F$291:$F$4010,0)))*1000</f>
        <v>1.1500007850447382</v>
      </c>
      <c r="L225" s="112">
        <f>SUMIFS('Fuel Logistics'!J:J,'Fuel Logistics'!$C:$C,$E225,'Fuel Logistics'!$D:$D,$D225,'Fuel Logistics'!$E:$E,"Logistics total")*IF($C225="Electricity",1,1/INDEX('TCO - Input'!$R$291:$R$321,MATCH($C225,'TCO - Input'!$F$291:$F$4010,0)))*1000</f>
        <v>1.1393611252991582</v>
      </c>
      <c r="M225" s="112">
        <f>SUMIFS('Fuel Logistics'!K:K,'Fuel Logistics'!$C:$C,$E225,'Fuel Logistics'!$D:$D,$D225,'Fuel Logistics'!$E:$E,"Logistics total")*IF($C225="Electricity",1,1/INDEX('TCO - Input'!$R$291:$R$321,MATCH($C225,'TCO - Input'!$F$291:$F$4010,0)))*1000</f>
        <v>1.1307642159298577</v>
      </c>
      <c r="N225" s="112">
        <f>SUMIFS('Fuel Logistics'!L:L,'Fuel Logistics'!$C:$C,$E225,'Fuel Logistics'!$D:$D,$D225,'Fuel Logistics'!$E:$E,"Logistics total")*IF($C225="Electricity",1,1/INDEX('TCO - Input'!$R$291:$R$321,MATCH($C225,'TCO - Input'!$F$291:$F$4010,0)))*1000</f>
        <v>1.1271922018656257</v>
      </c>
      <c r="O225" s="112">
        <f>SUMIFS('Fuel Logistics'!M:M,'Fuel Logistics'!$C:$C,$E225,'Fuel Logistics'!$D:$D,$D225,'Fuel Logistics'!$E:$E,"Logistics total")*IF($C225="Electricity",1,1/INDEX('TCO - Input'!$R$291:$R$321,MATCH($C225,'TCO - Input'!$F$291:$F$4010,0)))*1000</f>
        <v>1.1250595279130307</v>
      </c>
      <c r="P225" s="112">
        <f>SUMIFS('Fuel Logistics'!N:N,'Fuel Logistics'!$C:$C,$E225,'Fuel Logistics'!$D:$D,$D225,'Fuel Logistics'!$E:$E,"Logistics total")*IF($C225="Electricity",1,1/INDEX('TCO - Input'!$R$291:$R$321,MATCH($C225,'TCO - Input'!$F$291:$F$4010,0)))*1000</f>
        <v>1.1227779518154439</v>
      </c>
      <c r="Q225" s="112">
        <f>SUMIFS('Fuel Logistics'!O:O,'Fuel Logistics'!$C:$C,$E225,'Fuel Logistics'!$D:$D,$D225,'Fuel Logistics'!$E:$E,"Logistics total")*IF($C225="Electricity",1,1/INDEX('TCO - Input'!$R$291:$R$321,MATCH($C225,'TCO - Input'!$F$291:$F$4010,0)))*1000</f>
        <v>1.1211132669072374</v>
      </c>
      <c r="R225" s="112">
        <f>SUMIFS('Fuel Logistics'!P:P,'Fuel Logistics'!$C:$C,$E225,'Fuel Logistics'!$D:$D,$D225,'Fuel Logistics'!$E:$E,"Logistics total")*IF($C225="Electricity",1,1/INDEX('TCO - Input'!$R$291:$R$321,MATCH($C225,'TCO - Input'!$F$291:$F$4010,0)))*1000</f>
        <v>1.1211132669072374</v>
      </c>
      <c r="S225" s="112">
        <f>SUMIFS('Fuel Logistics'!Q:Q,'Fuel Logistics'!$C:$C,$E225,'Fuel Logistics'!$D:$D,$D225,'Fuel Logistics'!$E:$E,"Logistics total")*IF($C225="Electricity",1,1/INDEX('TCO - Input'!$R$291:$R$321,MATCH($C225,'TCO - Input'!$F$291:$F$4010,0)))*1000</f>
        <v>1.1211132669072374</v>
      </c>
      <c r="T225" s="112">
        <f>SUMIFS('Fuel Logistics'!R:R,'Fuel Logistics'!$C:$C,$E225,'Fuel Logistics'!$D:$D,$D225,'Fuel Logistics'!$E:$E,"Logistics total")*IF($C225="Electricity",1,1/INDEX('TCO - Input'!$R$291:$R$321,MATCH($C225,'TCO - Input'!$F$291:$F$4010,0)))*1000</f>
        <v>1.1211132669072374</v>
      </c>
      <c r="U225" s="112">
        <f>SUMIFS('Fuel Logistics'!S:S,'Fuel Logistics'!$C:$C,$E225,'Fuel Logistics'!$D:$D,$D225,'Fuel Logistics'!$E:$E,"Logistics total")*IF($C225="Electricity",1,1/INDEX('TCO - Input'!$R$291:$R$321,MATCH($C225,'TCO - Input'!$F$291:$F$4010,0)))*1000</f>
        <v>1.1211132669072374</v>
      </c>
      <c r="V225" s="112">
        <f>SUMIFS('Fuel Logistics'!T:T,'Fuel Logistics'!$C:$C,$E225,'Fuel Logistics'!$D:$D,$D225,'Fuel Logistics'!$E:$E,"Logistics total")*IF($C225="Electricity",1,1/INDEX('TCO - Input'!$R$291:$R$321,MATCH($C225,'TCO - Input'!$F$291:$F$4010,0)))*1000</f>
        <v>1.1211132669072374</v>
      </c>
    </row>
    <row r="226" spans="1:22" x14ac:dyDescent="0.2">
      <c r="A226" s="29">
        <f t="shared" si="158"/>
        <v>6</v>
      </c>
      <c r="B226" s="334" t="str">
        <f t="shared" si="155"/>
        <v>Blue ammonia - Europe - Logistics cost - USD/GJ</v>
      </c>
      <c r="C226" t="str" cm="1">
        <f t="array" ref="C226">INDEX(list_AE_fuel,A226)</f>
        <v>Blue ammonia</v>
      </c>
      <c r="D226" t="str">
        <f>INDEX('Configurator Specs.'!$AH:$AH,MATCH($C226,'Configurator Specs.'!$AE:$AE,0))</f>
        <v>Ammonia</v>
      </c>
      <c r="E226" t="str">
        <f t="shared" si="157"/>
        <v>Europe</v>
      </c>
      <c r="F226" t="str">
        <f t="shared" si="156"/>
        <v>Logistics cost - USD/GJ</v>
      </c>
      <c r="G226" s="226"/>
      <c r="H226" s="128"/>
      <c r="I226" t="s">
        <v>324</v>
      </c>
      <c r="K226" s="112">
        <f>SUMIFS('Fuel Logistics'!I:I,'Fuel Logistics'!$C:$C,$E226,'Fuel Logistics'!$D:$D,$D226,'Fuel Logistics'!$E:$E,"Logistics total")*IF($C226="Electricity",1,1/INDEX('TCO - Input'!$R$291:$R$321,MATCH($C226,'TCO - Input'!$F$291:$F$4010,0)))*1000</f>
        <v>1.1500007850447382</v>
      </c>
      <c r="L226" s="112">
        <f>SUMIFS('Fuel Logistics'!J:J,'Fuel Logistics'!$C:$C,$E226,'Fuel Logistics'!$D:$D,$D226,'Fuel Logistics'!$E:$E,"Logistics total")*IF($C226="Electricity",1,1/INDEX('TCO - Input'!$R$291:$R$321,MATCH($C226,'TCO - Input'!$F$291:$F$4010,0)))*1000</f>
        <v>1.1393611252991582</v>
      </c>
      <c r="M226" s="112">
        <f>SUMIFS('Fuel Logistics'!K:K,'Fuel Logistics'!$C:$C,$E226,'Fuel Logistics'!$D:$D,$D226,'Fuel Logistics'!$E:$E,"Logistics total")*IF($C226="Electricity",1,1/INDEX('TCO - Input'!$R$291:$R$321,MATCH($C226,'TCO - Input'!$F$291:$F$4010,0)))*1000</f>
        <v>1.1307642159298577</v>
      </c>
      <c r="N226" s="112">
        <f>SUMIFS('Fuel Logistics'!L:L,'Fuel Logistics'!$C:$C,$E226,'Fuel Logistics'!$D:$D,$D226,'Fuel Logistics'!$E:$E,"Logistics total")*IF($C226="Electricity",1,1/INDEX('TCO - Input'!$R$291:$R$321,MATCH($C226,'TCO - Input'!$F$291:$F$4010,0)))*1000</f>
        <v>1.1271922018656257</v>
      </c>
      <c r="O226" s="112">
        <f>SUMIFS('Fuel Logistics'!M:M,'Fuel Logistics'!$C:$C,$E226,'Fuel Logistics'!$D:$D,$D226,'Fuel Logistics'!$E:$E,"Logistics total")*IF($C226="Electricity",1,1/INDEX('TCO - Input'!$R$291:$R$321,MATCH($C226,'TCO - Input'!$F$291:$F$4010,0)))*1000</f>
        <v>1.1250595279130307</v>
      </c>
      <c r="P226" s="112">
        <f>SUMIFS('Fuel Logistics'!N:N,'Fuel Logistics'!$C:$C,$E226,'Fuel Logistics'!$D:$D,$D226,'Fuel Logistics'!$E:$E,"Logistics total")*IF($C226="Electricity",1,1/INDEX('TCO - Input'!$R$291:$R$321,MATCH($C226,'TCO - Input'!$F$291:$F$4010,0)))*1000</f>
        <v>1.1227779518154439</v>
      </c>
      <c r="Q226" s="112">
        <f>SUMIFS('Fuel Logistics'!O:O,'Fuel Logistics'!$C:$C,$E226,'Fuel Logistics'!$D:$D,$D226,'Fuel Logistics'!$E:$E,"Logistics total")*IF($C226="Electricity",1,1/INDEX('TCO - Input'!$R$291:$R$321,MATCH($C226,'TCO - Input'!$F$291:$F$4010,0)))*1000</f>
        <v>1.1211132669072374</v>
      </c>
      <c r="R226" s="112">
        <f>SUMIFS('Fuel Logistics'!P:P,'Fuel Logistics'!$C:$C,$E226,'Fuel Logistics'!$D:$D,$D226,'Fuel Logistics'!$E:$E,"Logistics total")*IF($C226="Electricity",1,1/INDEX('TCO - Input'!$R$291:$R$321,MATCH($C226,'TCO - Input'!$F$291:$F$4010,0)))*1000</f>
        <v>1.1211132669072374</v>
      </c>
      <c r="S226" s="112">
        <f>SUMIFS('Fuel Logistics'!Q:Q,'Fuel Logistics'!$C:$C,$E226,'Fuel Logistics'!$D:$D,$D226,'Fuel Logistics'!$E:$E,"Logistics total")*IF($C226="Electricity",1,1/INDEX('TCO - Input'!$R$291:$R$321,MATCH($C226,'TCO - Input'!$F$291:$F$4010,0)))*1000</f>
        <v>1.1211132669072374</v>
      </c>
      <c r="T226" s="112">
        <f>SUMIFS('Fuel Logistics'!R:R,'Fuel Logistics'!$C:$C,$E226,'Fuel Logistics'!$D:$D,$D226,'Fuel Logistics'!$E:$E,"Logistics total")*IF($C226="Electricity",1,1/INDEX('TCO - Input'!$R$291:$R$321,MATCH($C226,'TCO - Input'!$F$291:$F$4010,0)))*1000</f>
        <v>1.1211132669072374</v>
      </c>
      <c r="U226" s="112">
        <f>SUMIFS('Fuel Logistics'!S:S,'Fuel Logistics'!$C:$C,$E226,'Fuel Logistics'!$D:$D,$D226,'Fuel Logistics'!$E:$E,"Logistics total")*IF($C226="Electricity",1,1/INDEX('TCO - Input'!$R$291:$R$321,MATCH($C226,'TCO - Input'!$F$291:$F$4010,0)))*1000</f>
        <v>1.1211132669072374</v>
      </c>
      <c r="V226" s="112">
        <f>SUMIFS('Fuel Logistics'!T:T,'Fuel Logistics'!$C:$C,$E226,'Fuel Logistics'!$D:$D,$D226,'Fuel Logistics'!$E:$E,"Logistics total")*IF($C226="Electricity",1,1/INDEX('TCO - Input'!$R$291:$R$321,MATCH($C226,'TCO - Input'!$F$291:$F$4010,0)))*1000</f>
        <v>1.1211132669072374</v>
      </c>
    </row>
    <row r="227" spans="1:22" x14ac:dyDescent="0.2">
      <c r="A227" s="29">
        <f t="shared" si="158"/>
        <v>7</v>
      </c>
      <c r="B227" s="334" t="str">
        <f t="shared" si="155"/>
        <v>Biomethane - Europe - Logistics cost - USD/GJ</v>
      </c>
      <c r="C227" t="str" cm="1">
        <f t="array" ref="C227">INDEX(list_AE_fuel,A227)</f>
        <v>Biomethane</v>
      </c>
      <c r="D227" t="str">
        <f>INDEX('Configurator Specs.'!$AH:$AH,MATCH($C227,'Configurator Specs.'!$AE:$AE,0))</f>
        <v>Biomethane</v>
      </c>
      <c r="E227" t="str">
        <f t="shared" si="157"/>
        <v>Europe</v>
      </c>
      <c r="F227" t="str">
        <f t="shared" si="156"/>
        <v>Logistics cost - USD/GJ</v>
      </c>
      <c r="G227"/>
      <c r="H227" s="128"/>
      <c r="I227" t="s">
        <v>324</v>
      </c>
      <c r="K227" s="112">
        <f>SUMIFS('Fuel Logistics'!I:I,'Fuel Logistics'!$C:$C,$E227,'Fuel Logistics'!$D:$D,$D227,'Fuel Logistics'!$E:$E,"Logistics total")*IF($C227="Electricity",1,1/INDEX('TCO - Input'!$R$291:$R$321,MATCH($C227,'TCO - Input'!$F$291:$F$4010,0)))*1000</f>
        <v>1.1178309238974211</v>
      </c>
      <c r="L227" s="112">
        <f>SUMIFS('Fuel Logistics'!J:J,'Fuel Logistics'!$C:$C,$E227,'Fuel Logistics'!$D:$D,$D227,'Fuel Logistics'!$E:$E,"Logistics total")*IF($C227="Electricity",1,1/INDEX('TCO - Input'!$R$291:$R$321,MATCH($C227,'TCO - Input'!$F$291:$F$4010,0)))*1000</f>
        <v>1.1157446994145077</v>
      </c>
      <c r="M227" s="112">
        <f>SUMIFS('Fuel Logistics'!K:K,'Fuel Logistics'!$C:$C,$E227,'Fuel Logistics'!$D:$D,$D227,'Fuel Logistics'!$E:$E,"Logistics total")*IF($C227="Electricity",1,1/INDEX('TCO - Input'!$R$291:$R$321,MATCH($C227,'TCO - Input'!$F$291:$F$4010,0)))*1000</f>
        <v>1.1140590174253753</v>
      </c>
      <c r="N227" s="112">
        <f>SUMIFS('Fuel Logistics'!L:L,'Fuel Logistics'!$C:$C,$E227,'Fuel Logistics'!$D:$D,$D227,'Fuel Logistics'!$E:$E,"Logistics total")*IF($C227="Electricity",1,1/INDEX('TCO - Input'!$R$291:$R$321,MATCH($C227,'TCO - Input'!$F$291:$F$4010,0)))*1000</f>
        <v>1.1133586169076606</v>
      </c>
      <c r="O227" s="112">
        <f>SUMIFS('Fuel Logistics'!M:M,'Fuel Logistics'!$C:$C,$E227,'Fuel Logistics'!$D:$D,$D227,'Fuel Logistics'!$E:$E,"Logistics total")*IF($C227="Electricity",1,1/INDEX('TCO - Input'!$R$291:$R$321,MATCH($C227,'TCO - Input'!$F$291:$F$4010,0)))*1000</f>
        <v>1.1129404421990359</v>
      </c>
      <c r="P227" s="112">
        <f>SUMIFS('Fuel Logistics'!N:N,'Fuel Logistics'!$C:$C,$E227,'Fuel Logistics'!$D:$D,$D227,'Fuel Logistics'!$E:$E,"Logistics total")*IF($C227="Electricity",1,1/INDEX('TCO - Input'!$R$291:$R$321,MATCH($C227,'TCO - Input'!$F$291:$F$4010,0)))*1000</f>
        <v>1.1124930707578211</v>
      </c>
      <c r="Q227" s="112">
        <f>SUMIFS('Fuel Logistics'!O:O,'Fuel Logistics'!$C:$C,$E227,'Fuel Logistics'!$D:$D,$D227,'Fuel Logistics'!$E:$E,"Logistics total")*IF($C227="Electricity",1,1/INDEX('TCO - Input'!$R$291:$R$321,MATCH($C227,'TCO - Input'!$F$291:$F$4010,0)))*1000</f>
        <v>1.1121666593410198</v>
      </c>
      <c r="R227" s="112">
        <f>SUMIFS('Fuel Logistics'!P:P,'Fuel Logistics'!$C:$C,$E227,'Fuel Logistics'!$D:$D,$D227,'Fuel Logistics'!$E:$E,"Logistics total")*IF($C227="Electricity",1,1/INDEX('TCO - Input'!$R$291:$R$321,MATCH($C227,'TCO - Input'!$F$291:$F$4010,0)))*1000</f>
        <v>1.1121666593410198</v>
      </c>
      <c r="S227" s="112">
        <f>SUMIFS('Fuel Logistics'!Q:Q,'Fuel Logistics'!$C:$C,$E227,'Fuel Logistics'!$D:$D,$D227,'Fuel Logistics'!$E:$E,"Logistics total")*IF($C227="Electricity",1,1/INDEX('TCO - Input'!$R$291:$R$321,MATCH($C227,'TCO - Input'!$F$291:$F$4010,0)))*1000</f>
        <v>1.1121666593410198</v>
      </c>
      <c r="T227" s="112">
        <f>SUMIFS('Fuel Logistics'!R:R,'Fuel Logistics'!$C:$C,$E227,'Fuel Logistics'!$D:$D,$D227,'Fuel Logistics'!$E:$E,"Logistics total")*IF($C227="Electricity",1,1/INDEX('TCO - Input'!$R$291:$R$321,MATCH($C227,'TCO - Input'!$F$291:$F$4010,0)))*1000</f>
        <v>1.1121666593410198</v>
      </c>
      <c r="U227" s="112">
        <f>SUMIFS('Fuel Logistics'!S:S,'Fuel Logistics'!$C:$C,$E227,'Fuel Logistics'!$D:$D,$D227,'Fuel Logistics'!$E:$E,"Logistics total")*IF($C227="Electricity",1,1/INDEX('TCO - Input'!$R$291:$R$321,MATCH($C227,'TCO - Input'!$F$291:$F$4010,0)))*1000</f>
        <v>1.1121666593410198</v>
      </c>
      <c r="V227" s="112">
        <f>SUMIFS('Fuel Logistics'!T:T,'Fuel Logistics'!$C:$C,$E227,'Fuel Logistics'!$D:$D,$D227,'Fuel Logistics'!$E:$E,"Logistics total")*IF($C227="Electricity",1,1/INDEX('TCO - Input'!$R$291:$R$321,MATCH($C227,'TCO - Input'!$F$291:$F$4010,0)))*1000</f>
        <v>1.1121666593410198</v>
      </c>
    </row>
    <row r="228" spans="1:22" x14ac:dyDescent="0.2">
      <c r="A228" s="29">
        <f t="shared" si="158"/>
        <v>8</v>
      </c>
      <c r="B228" s="334" t="str">
        <f t="shared" si="155"/>
        <v>e-Methane (DAC) - Europe - Logistics cost - USD/GJ</v>
      </c>
      <c r="C228" t="str" cm="1">
        <f t="array" ref="C228">INDEX(list_AE_fuel,A228)</f>
        <v>e-Methane (DAC)</v>
      </c>
      <c r="D228" t="str">
        <f>INDEX('Configurator Specs.'!$AH:$AH,MATCH($C228,'Configurator Specs.'!$AE:$AE,0))</f>
        <v>LNG &amp; e-Methane</v>
      </c>
      <c r="E228" t="str">
        <f t="shared" si="157"/>
        <v>Europe</v>
      </c>
      <c r="F228" t="str">
        <f t="shared" si="156"/>
        <v>Logistics cost - USD/GJ</v>
      </c>
      <c r="G228" s="226"/>
      <c r="H228" s="128"/>
      <c r="I228" t="s">
        <v>324</v>
      </c>
      <c r="K228" s="112">
        <f>SUMIFS('Fuel Logistics'!I:I,'Fuel Logistics'!$C:$C,$E228,'Fuel Logistics'!$D:$D,$D228,'Fuel Logistics'!$E:$E,"Logistics total")*IF($C228="Electricity",1,1/INDEX('TCO - Input'!$R$291:$R$321,MATCH($C228,'TCO - Input'!$F$291:$F$4010,0)))*1000</f>
        <v>0.82428884953342907</v>
      </c>
      <c r="L228" s="112">
        <f>SUMIFS('Fuel Logistics'!J:J,'Fuel Logistics'!$C:$C,$E228,'Fuel Logistics'!$D:$D,$D228,'Fuel Logistics'!$E:$E,"Logistics total")*IF($C228="Electricity",1,1/INDEX('TCO - Input'!$R$291:$R$321,MATCH($C228,'TCO - Input'!$F$291:$F$4010,0)))*1000</f>
        <v>0.82220262505051589</v>
      </c>
      <c r="M228" s="112">
        <f>SUMIFS('Fuel Logistics'!K:K,'Fuel Logistics'!$C:$C,$E228,'Fuel Logistics'!$D:$D,$D228,'Fuel Logistics'!$E:$E,"Logistics total")*IF($C228="Electricity",1,1/INDEX('TCO - Input'!$R$291:$R$321,MATCH($C228,'TCO - Input'!$F$291:$F$4010,0)))*1000</f>
        <v>0.82051694306138345</v>
      </c>
      <c r="N228" s="112">
        <f>SUMIFS('Fuel Logistics'!L:L,'Fuel Logistics'!$C:$C,$E228,'Fuel Logistics'!$D:$D,$D228,'Fuel Logistics'!$E:$E,"Logistics total")*IF($C228="Electricity",1,1/INDEX('TCO - Input'!$R$291:$R$321,MATCH($C228,'TCO - Input'!$F$291:$F$4010,0)))*1000</f>
        <v>0.81981654254366876</v>
      </c>
      <c r="O228" s="112">
        <f>SUMIFS('Fuel Logistics'!M:M,'Fuel Logistics'!$C:$C,$E228,'Fuel Logistics'!$D:$D,$D228,'Fuel Logistics'!$E:$E,"Logistics total")*IF($C228="Electricity",1,1/INDEX('TCO - Input'!$R$291:$R$321,MATCH($C228,'TCO - Input'!$F$291:$F$4010,0)))*1000</f>
        <v>0.81939836783504383</v>
      </c>
      <c r="P228" s="112">
        <f>SUMIFS('Fuel Logistics'!N:N,'Fuel Logistics'!$C:$C,$E228,'Fuel Logistics'!$D:$D,$D228,'Fuel Logistics'!$E:$E,"Logistics total")*IF($C228="Electricity",1,1/INDEX('TCO - Input'!$R$291:$R$321,MATCH($C228,'TCO - Input'!$F$291:$F$4010,0)))*1000</f>
        <v>0.81895099639382918</v>
      </c>
      <c r="Q228" s="112">
        <f>SUMIFS('Fuel Logistics'!O:O,'Fuel Logistics'!$C:$C,$E228,'Fuel Logistics'!$D:$D,$D228,'Fuel Logistics'!$E:$E,"Logistics total")*IF($C228="Electricity",1,1/INDEX('TCO - Input'!$R$291:$R$321,MATCH($C228,'TCO - Input'!$F$291:$F$4010,0)))*1000</f>
        <v>0.81862458497702795</v>
      </c>
      <c r="R228" s="112">
        <f>SUMIFS('Fuel Logistics'!P:P,'Fuel Logistics'!$C:$C,$E228,'Fuel Logistics'!$D:$D,$D228,'Fuel Logistics'!$E:$E,"Logistics total")*IF($C228="Electricity",1,1/INDEX('TCO - Input'!$R$291:$R$321,MATCH($C228,'TCO - Input'!$F$291:$F$4010,0)))*1000</f>
        <v>0.81862458497702795</v>
      </c>
      <c r="S228" s="112">
        <f>SUMIFS('Fuel Logistics'!Q:Q,'Fuel Logistics'!$C:$C,$E228,'Fuel Logistics'!$D:$D,$D228,'Fuel Logistics'!$E:$E,"Logistics total")*IF($C228="Electricity",1,1/INDEX('TCO - Input'!$R$291:$R$321,MATCH($C228,'TCO - Input'!$F$291:$F$4010,0)))*1000</f>
        <v>0.81862458497702795</v>
      </c>
      <c r="T228" s="112">
        <f>SUMIFS('Fuel Logistics'!R:R,'Fuel Logistics'!$C:$C,$E228,'Fuel Logistics'!$D:$D,$D228,'Fuel Logistics'!$E:$E,"Logistics total")*IF($C228="Electricity",1,1/INDEX('TCO - Input'!$R$291:$R$321,MATCH($C228,'TCO - Input'!$F$291:$F$4010,0)))*1000</f>
        <v>0.81862458497702795</v>
      </c>
      <c r="U228" s="112">
        <f>SUMIFS('Fuel Logistics'!S:S,'Fuel Logistics'!$C:$C,$E228,'Fuel Logistics'!$D:$D,$D228,'Fuel Logistics'!$E:$E,"Logistics total")*IF($C228="Electricity",1,1/INDEX('TCO - Input'!$R$291:$R$321,MATCH($C228,'TCO - Input'!$F$291:$F$4010,0)))*1000</f>
        <v>0.81862458497702795</v>
      </c>
      <c r="V228" s="112">
        <f>SUMIFS('Fuel Logistics'!T:T,'Fuel Logistics'!$C:$C,$E228,'Fuel Logistics'!$D:$D,$D228,'Fuel Logistics'!$E:$E,"Logistics total")*IF($C228="Electricity",1,1/INDEX('TCO - Input'!$R$291:$R$321,MATCH($C228,'TCO - Input'!$F$291:$F$4010,0)))*1000</f>
        <v>0.81862458497702795</v>
      </c>
    </row>
    <row r="229" spans="1:22" x14ac:dyDescent="0.2">
      <c r="A229" s="29">
        <f t="shared" si="158"/>
        <v>9</v>
      </c>
      <c r="B229" s="334" t="str">
        <f t="shared" si="155"/>
        <v>e-Methane (PS) - Europe - Logistics cost - USD/GJ</v>
      </c>
      <c r="C229" t="str" cm="1">
        <f t="array" ref="C229">INDEX(list_AE_fuel,A229)</f>
        <v>e-Methane (PS)</v>
      </c>
      <c r="D229" t="str">
        <f>INDEX('Configurator Specs.'!$AH:$AH,MATCH($C229,'Configurator Specs.'!$AE:$AE,0))</f>
        <v>LNG &amp; e-Methane</v>
      </c>
      <c r="E229" t="str">
        <f t="shared" si="157"/>
        <v>Europe</v>
      </c>
      <c r="F229" t="str">
        <f t="shared" si="156"/>
        <v>Logistics cost - USD/GJ</v>
      </c>
      <c r="G229" s="226"/>
      <c r="H229" s="128"/>
      <c r="I229" t="s">
        <v>324</v>
      </c>
      <c r="K229" s="112">
        <f>SUMIFS('Fuel Logistics'!I:I,'Fuel Logistics'!$C:$C,$E229,'Fuel Logistics'!$D:$D,$D229,'Fuel Logistics'!$E:$E,"Logistics total")*IF($C229="Electricity",1,1/INDEX('TCO - Input'!$R$291:$R$321,MATCH($C229,'TCO - Input'!$F$291:$F$4010,0)))*1000</f>
        <v>0.82428884953342907</v>
      </c>
      <c r="L229" s="112">
        <f>SUMIFS('Fuel Logistics'!J:J,'Fuel Logistics'!$C:$C,$E229,'Fuel Logistics'!$D:$D,$D229,'Fuel Logistics'!$E:$E,"Logistics total")*IF($C229="Electricity",1,1/INDEX('TCO - Input'!$R$291:$R$321,MATCH($C229,'TCO - Input'!$F$291:$F$4010,0)))*1000</f>
        <v>0.82220262505051589</v>
      </c>
      <c r="M229" s="112">
        <f>SUMIFS('Fuel Logistics'!K:K,'Fuel Logistics'!$C:$C,$E229,'Fuel Logistics'!$D:$D,$D229,'Fuel Logistics'!$E:$E,"Logistics total")*IF($C229="Electricity",1,1/INDEX('TCO - Input'!$R$291:$R$321,MATCH($C229,'TCO - Input'!$F$291:$F$4010,0)))*1000</f>
        <v>0.82051694306138345</v>
      </c>
      <c r="N229" s="112">
        <f>SUMIFS('Fuel Logistics'!L:L,'Fuel Logistics'!$C:$C,$E229,'Fuel Logistics'!$D:$D,$D229,'Fuel Logistics'!$E:$E,"Logistics total")*IF($C229="Electricity",1,1/INDEX('TCO - Input'!$R$291:$R$321,MATCH($C229,'TCO - Input'!$F$291:$F$4010,0)))*1000</f>
        <v>0.81981654254366876</v>
      </c>
      <c r="O229" s="112">
        <f>SUMIFS('Fuel Logistics'!M:M,'Fuel Logistics'!$C:$C,$E229,'Fuel Logistics'!$D:$D,$D229,'Fuel Logistics'!$E:$E,"Logistics total")*IF($C229="Electricity",1,1/INDEX('TCO - Input'!$R$291:$R$321,MATCH($C229,'TCO - Input'!$F$291:$F$4010,0)))*1000</f>
        <v>0.81939836783504383</v>
      </c>
      <c r="P229" s="112">
        <f>SUMIFS('Fuel Logistics'!N:N,'Fuel Logistics'!$C:$C,$E229,'Fuel Logistics'!$D:$D,$D229,'Fuel Logistics'!$E:$E,"Logistics total")*IF($C229="Electricity",1,1/INDEX('TCO - Input'!$R$291:$R$321,MATCH($C229,'TCO - Input'!$F$291:$F$4010,0)))*1000</f>
        <v>0.81895099639382918</v>
      </c>
      <c r="Q229" s="112">
        <f>SUMIFS('Fuel Logistics'!O:O,'Fuel Logistics'!$C:$C,$E229,'Fuel Logistics'!$D:$D,$D229,'Fuel Logistics'!$E:$E,"Logistics total")*IF($C229="Electricity",1,1/INDEX('TCO - Input'!$R$291:$R$321,MATCH($C229,'TCO - Input'!$F$291:$F$4010,0)))*1000</f>
        <v>0.81862458497702795</v>
      </c>
      <c r="R229" s="112">
        <f>SUMIFS('Fuel Logistics'!P:P,'Fuel Logistics'!$C:$C,$E229,'Fuel Logistics'!$D:$D,$D229,'Fuel Logistics'!$E:$E,"Logistics total")*IF($C229="Electricity",1,1/INDEX('TCO - Input'!$R$291:$R$321,MATCH($C229,'TCO - Input'!$F$291:$F$4010,0)))*1000</f>
        <v>0.81862458497702795</v>
      </c>
      <c r="S229" s="112">
        <f>SUMIFS('Fuel Logistics'!Q:Q,'Fuel Logistics'!$C:$C,$E229,'Fuel Logistics'!$D:$D,$D229,'Fuel Logistics'!$E:$E,"Logistics total")*IF($C229="Electricity",1,1/INDEX('TCO - Input'!$R$291:$R$321,MATCH($C229,'TCO - Input'!$F$291:$F$4010,0)))*1000</f>
        <v>0.81862458497702795</v>
      </c>
      <c r="T229" s="112">
        <f>SUMIFS('Fuel Logistics'!R:R,'Fuel Logistics'!$C:$C,$E229,'Fuel Logistics'!$D:$D,$D229,'Fuel Logistics'!$E:$E,"Logistics total")*IF($C229="Electricity",1,1/INDEX('TCO - Input'!$R$291:$R$321,MATCH($C229,'TCO - Input'!$F$291:$F$4010,0)))*1000</f>
        <v>0.81862458497702795</v>
      </c>
      <c r="U229" s="112">
        <f>SUMIFS('Fuel Logistics'!S:S,'Fuel Logistics'!$C:$C,$E229,'Fuel Logistics'!$D:$D,$D229,'Fuel Logistics'!$E:$E,"Logistics total")*IF($C229="Electricity",1,1/INDEX('TCO - Input'!$R$291:$R$321,MATCH($C229,'TCO - Input'!$F$291:$F$4010,0)))*1000</f>
        <v>0.81862458497702795</v>
      </c>
      <c r="V229" s="112">
        <f>SUMIFS('Fuel Logistics'!T:T,'Fuel Logistics'!$C:$C,$E229,'Fuel Logistics'!$D:$D,$D229,'Fuel Logistics'!$E:$E,"Logistics total")*IF($C229="Electricity",1,1/INDEX('TCO - Input'!$R$291:$R$321,MATCH($C229,'TCO - Input'!$F$291:$F$4010,0)))*1000</f>
        <v>0.81862458497702795</v>
      </c>
    </row>
    <row r="230" spans="1:22" x14ac:dyDescent="0.2">
      <c r="A230" s="29">
        <f t="shared" si="158"/>
        <v>10</v>
      </c>
      <c r="B230" s="334" t="str">
        <f t="shared" si="155"/>
        <v>Biomethanol - Europe - Logistics cost - USD/GJ</v>
      </c>
      <c r="C230" t="str" cm="1">
        <f t="array" ref="C230">INDEX(list_AE_fuel,A230)</f>
        <v>Biomethanol</v>
      </c>
      <c r="D230" t="str">
        <f>INDEX('Configurator Specs.'!$AH:$AH,MATCH($C230,'Configurator Specs.'!$AE:$AE,0))</f>
        <v>Biomethanol</v>
      </c>
      <c r="E230" t="str">
        <f t="shared" si="157"/>
        <v>Europe</v>
      </c>
      <c r="F230" t="str">
        <f t="shared" si="156"/>
        <v>Logistics cost - USD/GJ</v>
      </c>
      <c r="G230"/>
      <c r="H230" s="128"/>
      <c r="I230" t="s">
        <v>324</v>
      </c>
      <c r="K230" s="112">
        <f>SUMIFS('Fuel Logistics'!I:I,'Fuel Logistics'!$C:$C,$E230,'Fuel Logistics'!$D:$D,$D230,'Fuel Logistics'!$E:$E,"Logistics total")*IF($C230="Electricity",1,1/INDEX('TCO - Input'!$R$291:$R$321,MATCH($C230,'TCO - Input'!$F$291:$F$4010,0)))*1000</f>
        <v>0.92348069390817367</v>
      </c>
      <c r="L230" s="112">
        <f>SUMIFS('Fuel Logistics'!J:J,'Fuel Logistics'!$C:$C,$E230,'Fuel Logistics'!$D:$D,$D230,'Fuel Logistics'!$E:$E,"Logistics total")*IF($C230="Electricity",1,1/INDEX('TCO - Input'!$R$291:$R$321,MATCH($C230,'TCO - Input'!$F$291:$F$4010,0)))*1000</f>
        <v>0.92348069390817367</v>
      </c>
      <c r="M230" s="112">
        <f>SUMIFS('Fuel Logistics'!K:K,'Fuel Logistics'!$C:$C,$E230,'Fuel Logistics'!$D:$D,$D230,'Fuel Logistics'!$E:$E,"Logistics total")*IF($C230="Electricity",1,1/INDEX('TCO - Input'!$R$291:$R$321,MATCH($C230,'TCO - Input'!$F$291:$F$4010,0)))*1000</f>
        <v>0.92348069390817367</v>
      </c>
      <c r="N230" s="112">
        <f>SUMIFS('Fuel Logistics'!L:L,'Fuel Logistics'!$C:$C,$E230,'Fuel Logistics'!$D:$D,$D230,'Fuel Logistics'!$E:$E,"Logistics total")*IF($C230="Electricity",1,1/INDEX('TCO - Input'!$R$291:$R$321,MATCH($C230,'TCO - Input'!$F$291:$F$4010,0)))*1000</f>
        <v>0.92348069390817367</v>
      </c>
      <c r="O230" s="112">
        <f>SUMIFS('Fuel Logistics'!M:M,'Fuel Logistics'!$C:$C,$E230,'Fuel Logistics'!$D:$D,$D230,'Fuel Logistics'!$E:$E,"Logistics total")*IF($C230="Electricity",1,1/INDEX('TCO - Input'!$R$291:$R$321,MATCH($C230,'TCO - Input'!$F$291:$F$4010,0)))*1000</f>
        <v>0.92348069390817367</v>
      </c>
      <c r="P230" s="112">
        <f>SUMIFS('Fuel Logistics'!N:N,'Fuel Logistics'!$C:$C,$E230,'Fuel Logistics'!$D:$D,$D230,'Fuel Logistics'!$E:$E,"Logistics total")*IF($C230="Electricity",1,1/INDEX('TCO - Input'!$R$291:$R$321,MATCH($C230,'TCO - Input'!$F$291:$F$4010,0)))*1000</f>
        <v>0.92348069390817367</v>
      </c>
      <c r="Q230" s="112">
        <f>SUMIFS('Fuel Logistics'!O:O,'Fuel Logistics'!$C:$C,$E230,'Fuel Logistics'!$D:$D,$D230,'Fuel Logistics'!$E:$E,"Logistics total")*IF($C230="Electricity",1,1/INDEX('TCO - Input'!$R$291:$R$321,MATCH($C230,'TCO - Input'!$F$291:$F$4010,0)))*1000</f>
        <v>0.92348069390817367</v>
      </c>
      <c r="R230" s="112">
        <f>SUMIFS('Fuel Logistics'!P:P,'Fuel Logistics'!$C:$C,$E230,'Fuel Logistics'!$D:$D,$D230,'Fuel Logistics'!$E:$E,"Logistics total")*IF($C230="Electricity",1,1/INDEX('TCO - Input'!$R$291:$R$321,MATCH($C230,'TCO - Input'!$F$291:$F$4010,0)))*1000</f>
        <v>0.92348069390817367</v>
      </c>
      <c r="S230" s="112">
        <f>SUMIFS('Fuel Logistics'!Q:Q,'Fuel Logistics'!$C:$C,$E230,'Fuel Logistics'!$D:$D,$D230,'Fuel Logistics'!$E:$E,"Logistics total")*IF($C230="Electricity",1,1/INDEX('TCO - Input'!$R$291:$R$321,MATCH($C230,'TCO - Input'!$F$291:$F$4010,0)))*1000</f>
        <v>0.92348069390817367</v>
      </c>
      <c r="T230" s="112">
        <f>SUMIFS('Fuel Logistics'!R:R,'Fuel Logistics'!$C:$C,$E230,'Fuel Logistics'!$D:$D,$D230,'Fuel Logistics'!$E:$E,"Logistics total")*IF($C230="Electricity",1,1/INDEX('TCO - Input'!$R$291:$R$321,MATCH($C230,'TCO - Input'!$F$291:$F$4010,0)))*1000</f>
        <v>0.92348069390817367</v>
      </c>
      <c r="U230" s="112">
        <f>SUMIFS('Fuel Logistics'!S:S,'Fuel Logistics'!$C:$C,$E230,'Fuel Logistics'!$D:$D,$D230,'Fuel Logistics'!$E:$E,"Logistics total")*IF($C230="Electricity",1,1/INDEX('TCO - Input'!$R$291:$R$321,MATCH($C230,'TCO - Input'!$F$291:$F$4010,0)))*1000</f>
        <v>0.92348069390817367</v>
      </c>
      <c r="V230" s="112">
        <f>SUMIFS('Fuel Logistics'!T:T,'Fuel Logistics'!$C:$C,$E230,'Fuel Logistics'!$D:$D,$D230,'Fuel Logistics'!$E:$E,"Logistics total")*IF($C230="Electricity",1,1/INDEX('TCO - Input'!$R$291:$R$321,MATCH($C230,'TCO - Input'!$F$291:$F$4010,0)))*1000</f>
        <v>0.92348069390817367</v>
      </c>
    </row>
    <row r="231" spans="1:22" x14ac:dyDescent="0.2">
      <c r="A231" s="29">
        <f t="shared" si="158"/>
        <v>11</v>
      </c>
      <c r="B231" s="334" t="str">
        <f t="shared" si="155"/>
        <v>e-Methanol (DAC) - Europe - Logistics cost - USD/GJ</v>
      </c>
      <c r="C231" t="str" cm="1">
        <f t="array" ref="C231">INDEX(list_AE_fuel,A231)</f>
        <v>e-Methanol (DAC)</v>
      </c>
      <c r="D231" t="str">
        <f>INDEX('Configurator Specs.'!$AH:$AH,MATCH($C231,'Configurator Specs.'!$AE:$AE,0))</f>
        <v>Grey and e-Methanol</v>
      </c>
      <c r="E231" t="str">
        <f t="shared" si="157"/>
        <v>Europe</v>
      </c>
      <c r="F231" t="str">
        <f t="shared" si="156"/>
        <v>Logistics cost - USD/GJ</v>
      </c>
      <c r="G231"/>
      <c r="H231" s="128"/>
      <c r="I231" t="s">
        <v>324</v>
      </c>
      <c r="K231" s="112">
        <f>SUMIFS('Fuel Logistics'!I:I,'Fuel Logistics'!$C:$C,$E231,'Fuel Logistics'!$D:$D,$D231,'Fuel Logistics'!$E:$E,"Logistics total")*IF($C231="Electricity",1,1/INDEX('TCO - Input'!$R$291:$R$321,MATCH($C231,'TCO - Input'!$F$291:$F$4010,0)))*1000</f>
        <v>0.66273320386351287</v>
      </c>
      <c r="L231" s="112">
        <f>SUMIFS('Fuel Logistics'!J:J,'Fuel Logistics'!$C:$C,$E231,'Fuel Logistics'!$D:$D,$D231,'Fuel Logistics'!$E:$E,"Logistics total")*IF($C231="Electricity",1,1/INDEX('TCO - Input'!$R$291:$R$321,MATCH($C231,'TCO - Input'!$F$291:$F$4010,0)))*1000</f>
        <v>0.66273320386351287</v>
      </c>
      <c r="M231" s="112">
        <f>SUMIFS('Fuel Logistics'!K:K,'Fuel Logistics'!$C:$C,$E231,'Fuel Logistics'!$D:$D,$D231,'Fuel Logistics'!$E:$E,"Logistics total")*IF($C231="Electricity",1,1/INDEX('TCO - Input'!$R$291:$R$321,MATCH($C231,'TCO - Input'!$F$291:$F$4010,0)))*1000</f>
        <v>0.66273320386351287</v>
      </c>
      <c r="N231" s="112">
        <f>SUMIFS('Fuel Logistics'!L:L,'Fuel Logistics'!$C:$C,$E231,'Fuel Logistics'!$D:$D,$D231,'Fuel Logistics'!$E:$E,"Logistics total")*IF($C231="Electricity",1,1/INDEX('TCO - Input'!$R$291:$R$321,MATCH($C231,'TCO - Input'!$F$291:$F$4010,0)))*1000</f>
        <v>0.66273320386351287</v>
      </c>
      <c r="O231" s="112">
        <f>SUMIFS('Fuel Logistics'!M:M,'Fuel Logistics'!$C:$C,$E231,'Fuel Logistics'!$D:$D,$D231,'Fuel Logistics'!$E:$E,"Logistics total")*IF($C231="Electricity",1,1/INDEX('TCO - Input'!$R$291:$R$321,MATCH($C231,'TCO - Input'!$F$291:$F$4010,0)))*1000</f>
        <v>0.66273320386351287</v>
      </c>
      <c r="P231" s="112">
        <f>SUMIFS('Fuel Logistics'!N:N,'Fuel Logistics'!$C:$C,$E231,'Fuel Logistics'!$D:$D,$D231,'Fuel Logistics'!$E:$E,"Logistics total")*IF($C231="Electricity",1,1/INDEX('TCO - Input'!$R$291:$R$321,MATCH($C231,'TCO - Input'!$F$291:$F$4010,0)))*1000</f>
        <v>0.66273320386351287</v>
      </c>
      <c r="Q231" s="112">
        <f>SUMIFS('Fuel Logistics'!O:O,'Fuel Logistics'!$C:$C,$E231,'Fuel Logistics'!$D:$D,$D231,'Fuel Logistics'!$E:$E,"Logistics total")*IF($C231="Electricity",1,1/INDEX('TCO - Input'!$R$291:$R$321,MATCH($C231,'TCO - Input'!$F$291:$F$4010,0)))*1000</f>
        <v>0.66273320386351287</v>
      </c>
      <c r="R231" s="112">
        <f>SUMIFS('Fuel Logistics'!P:P,'Fuel Logistics'!$C:$C,$E231,'Fuel Logistics'!$D:$D,$D231,'Fuel Logistics'!$E:$E,"Logistics total")*IF($C231="Electricity",1,1/INDEX('TCO - Input'!$R$291:$R$321,MATCH($C231,'TCO - Input'!$F$291:$F$4010,0)))*1000</f>
        <v>0.66273320386351287</v>
      </c>
      <c r="S231" s="112">
        <f>SUMIFS('Fuel Logistics'!Q:Q,'Fuel Logistics'!$C:$C,$E231,'Fuel Logistics'!$D:$D,$D231,'Fuel Logistics'!$E:$E,"Logistics total")*IF($C231="Electricity",1,1/INDEX('TCO - Input'!$R$291:$R$321,MATCH($C231,'TCO - Input'!$F$291:$F$4010,0)))*1000</f>
        <v>0.66273320386351287</v>
      </c>
      <c r="T231" s="112">
        <f>SUMIFS('Fuel Logistics'!R:R,'Fuel Logistics'!$C:$C,$E231,'Fuel Logistics'!$D:$D,$D231,'Fuel Logistics'!$E:$E,"Logistics total")*IF($C231="Electricity",1,1/INDEX('TCO - Input'!$R$291:$R$321,MATCH($C231,'TCO - Input'!$F$291:$F$4010,0)))*1000</f>
        <v>0.66273320386351287</v>
      </c>
      <c r="U231" s="112">
        <f>SUMIFS('Fuel Logistics'!S:S,'Fuel Logistics'!$C:$C,$E231,'Fuel Logistics'!$D:$D,$D231,'Fuel Logistics'!$E:$E,"Logistics total")*IF($C231="Electricity",1,1/INDEX('TCO - Input'!$R$291:$R$321,MATCH($C231,'TCO - Input'!$F$291:$F$4010,0)))*1000</f>
        <v>0.66273320386351287</v>
      </c>
      <c r="V231" s="112">
        <f>SUMIFS('Fuel Logistics'!T:T,'Fuel Logistics'!$C:$C,$E231,'Fuel Logistics'!$D:$D,$D231,'Fuel Logistics'!$E:$E,"Logistics total")*IF($C231="Electricity",1,1/INDEX('TCO - Input'!$R$291:$R$321,MATCH($C231,'TCO - Input'!$F$291:$F$4010,0)))*1000</f>
        <v>0.66273320386351287</v>
      </c>
    </row>
    <row r="232" spans="1:22" x14ac:dyDescent="0.2">
      <c r="A232" s="29">
        <f t="shared" si="158"/>
        <v>12</v>
      </c>
      <c r="B232" s="334" t="str">
        <f t="shared" si="155"/>
        <v>e-Methanol (PS) - Europe - Logistics cost - USD/GJ</v>
      </c>
      <c r="C232" t="str" cm="1">
        <f t="array" ref="C232">INDEX(list_AE_fuel,A232)</f>
        <v>e-Methanol (PS)</v>
      </c>
      <c r="D232" t="str">
        <f>INDEX('Configurator Specs.'!$AH:$AH,MATCH($C232,'Configurator Specs.'!$AE:$AE,0))</f>
        <v>Grey and e-Methanol</v>
      </c>
      <c r="E232" t="str">
        <f>E231</f>
        <v>Europe</v>
      </c>
      <c r="F232" t="str">
        <f t="shared" si="156"/>
        <v>Logistics cost - USD/GJ</v>
      </c>
      <c r="G232"/>
      <c r="H232" s="128"/>
      <c r="I232" t="s">
        <v>324</v>
      </c>
      <c r="K232" s="112">
        <f>SUMIFS('Fuel Logistics'!I:I,'Fuel Logistics'!$C:$C,$E232,'Fuel Logistics'!$D:$D,$D232,'Fuel Logistics'!$E:$E,"Logistics total")*IF($C232="Electricity",1,1/INDEX('TCO - Input'!$R$291:$R$321,MATCH($C232,'TCO - Input'!$F$291:$F$4010,0)))*1000</f>
        <v>0.66273320386351287</v>
      </c>
      <c r="L232" s="112">
        <f>SUMIFS('Fuel Logistics'!J:J,'Fuel Logistics'!$C:$C,$E232,'Fuel Logistics'!$D:$D,$D232,'Fuel Logistics'!$E:$E,"Logistics total")*IF($C232="Electricity",1,1/INDEX('TCO - Input'!$R$291:$R$321,MATCH($C232,'TCO - Input'!$F$291:$F$4010,0)))*1000</f>
        <v>0.66273320386351287</v>
      </c>
      <c r="M232" s="112">
        <f>SUMIFS('Fuel Logistics'!K:K,'Fuel Logistics'!$C:$C,$E232,'Fuel Logistics'!$D:$D,$D232,'Fuel Logistics'!$E:$E,"Logistics total")*IF($C232="Electricity",1,1/INDEX('TCO - Input'!$R$291:$R$321,MATCH($C232,'TCO - Input'!$F$291:$F$4010,0)))*1000</f>
        <v>0.66273320386351287</v>
      </c>
      <c r="N232" s="112">
        <f>SUMIFS('Fuel Logistics'!L:L,'Fuel Logistics'!$C:$C,$E232,'Fuel Logistics'!$D:$D,$D232,'Fuel Logistics'!$E:$E,"Logistics total")*IF($C232="Electricity",1,1/INDEX('TCO - Input'!$R$291:$R$321,MATCH($C232,'TCO - Input'!$F$291:$F$4010,0)))*1000</f>
        <v>0.66273320386351287</v>
      </c>
      <c r="O232" s="112">
        <f>SUMIFS('Fuel Logistics'!M:M,'Fuel Logistics'!$C:$C,$E232,'Fuel Logistics'!$D:$D,$D232,'Fuel Logistics'!$E:$E,"Logistics total")*IF($C232="Electricity",1,1/INDEX('TCO - Input'!$R$291:$R$321,MATCH($C232,'TCO - Input'!$F$291:$F$4010,0)))*1000</f>
        <v>0.66273320386351287</v>
      </c>
      <c r="P232" s="112">
        <f>SUMIFS('Fuel Logistics'!N:N,'Fuel Logistics'!$C:$C,$E232,'Fuel Logistics'!$D:$D,$D232,'Fuel Logistics'!$E:$E,"Logistics total")*IF($C232="Electricity",1,1/INDEX('TCO - Input'!$R$291:$R$321,MATCH($C232,'TCO - Input'!$F$291:$F$4010,0)))*1000</f>
        <v>0.66273320386351287</v>
      </c>
      <c r="Q232" s="112">
        <f>SUMIFS('Fuel Logistics'!O:O,'Fuel Logistics'!$C:$C,$E232,'Fuel Logistics'!$D:$D,$D232,'Fuel Logistics'!$E:$E,"Logistics total")*IF($C232="Electricity",1,1/INDEX('TCO - Input'!$R$291:$R$321,MATCH($C232,'TCO - Input'!$F$291:$F$4010,0)))*1000</f>
        <v>0.66273320386351287</v>
      </c>
      <c r="R232" s="112">
        <f>SUMIFS('Fuel Logistics'!P:P,'Fuel Logistics'!$C:$C,$E232,'Fuel Logistics'!$D:$D,$D232,'Fuel Logistics'!$E:$E,"Logistics total")*IF($C232="Electricity",1,1/INDEX('TCO - Input'!$R$291:$R$321,MATCH($C232,'TCO - Input'!$F$291:$F$4010,0)))*1000</f>
        <v>0.66273320386351287</v>
      </c>
      <c r="S232" s="112">
        <f>SUMIFS('Fuel Logistics'!Q:Q,'Fuel Logistics'!$C:$C,$E232,'Fuel Logistics'!$D:$D,$D232,'Fuel Logistics'!$E:$E,"Logistics total")*IF($C232="Electricity",1,1/INDEX('TCO - Input'!$R$291:$R$321,MATCH($C232,'TCO - Input'!$F$291:$F$4010,0)))*1000</f>
        <v>0.66273320386351287</v>
      </c>
      <c r="T232" s="112">
        <f>SUMIFS('Fuel Logistics'!R:R,'Fuel Logistics'!$C:$C,$E232,'Fuel Logistics'!$D:$D,$D232,'Fuel Logistics'!$E:$E,"Logistics total")*IF($C232="Electricity",1,1/INDEX('TCO - Input'!$R$291:$R$321,MATCH($C232,'TCO - Input'!$F$291:$F$4010,0)))*1000</f>
        <v>0.66273320386351287</v>
      </c>
      <c r="U232" s="112">
        <f>SUMIFS('Fuel Logistics'!S:S,'Fuel Logistics'!$C:$C,$E232,'Fuel Logistics'!$D:$D,$D232,'Fuel Logistics'!$E:$E,"Logistics total")*IF($C232="Electricity",1,1/INDEX('TCO - Input'!$R$291:$R$321,MATCH($C232,'TCO - Input'!$F$291:$F$4010,0)))*1000</f>
        <v>0.66273320386351287</v>
      </c>
      <c r="V232" s="112">
        <f>SUMIFS('Fuel Logistics'!T:T,'Fuel Logistics'!$C:$C,$E232,'Fuel Logistics'!$D:$D,$D232,'Fuel Logistics'!$E:$E,"Logistics total")*IF($C232="Electricity",1,1/INDEX('TCO - Input'!$R$291:$R$321,MATCH($C232,'TCO - Input'!$F$291:$F$4010,0)))*1000</f>
        <v>0.66273320386351287</v>
      </c>
    </row>
    <row r="233" spans="1:22" x14ac:dyDescent="0.2">
      <c r="A233" s="29">
        <f t="shared" si="158"/>
        <v>13</v>
      </c>
      <c r="B233" s="334" t="str">
        <f t="shared" si="155"/>
        <v>Biodiesel (HtL) - Europe - Logistics cost - USD/GJ</v>
      </c>
      <c r="C233" t="str" cm="1">
        <f t="array" ref="C233">INDEX(list_AE_fuel,A233)</f>
        <v>Biodiesel (HtL)</v>
      </c>
      <c r="D233" t="str">
        <f>INDEX('Configurator Specs.'!$AH:$AH,MATCH($C233,'Configurator Specs.'!$AE:$AE,0))</f>
        <v>Bio-oils</v>
      </c>
      <c r="E233" t="str">
        <f t="shared" ref="E233:E240" si="159">E232</f>
        <v>Europe</v>
      </c>
      <c r="F233" t="str">
        <f t="shared" si="156"/>
        <v>Logistics cost - USD/GJ</v>
      </c>
      <c r="G233"/>
      <c r="H233" s="128"/>
      <c r="I233" t="s">
        <v>324</v>
      </c>
      <c r="K233" s="112">
        <f>SUMIFS('Fuel Logistics'!I:I,'Fuel Logistics'!$C:$C,$E233,'Fuel Logistics'!$D:$D,$D233,'Fuel Logistics'!$E:$E,"Logistics total")*IF($C233="Electricity",1,1/INDEX('TCO - Input'!$R$291:$R$321,MATCH($C233,'TCO - Input'!$F$291:$F$4010,0)))*1000</f>
        <v>0.37149469414234737</v>
      </c>
      <c r="L233" s="112">
        <f>SUMIFS('Fuel Logistics'!J:J,'Fuel Logistics'!$C:$C,$E233,'Fuel Logistics'!$D:$D,$D233,'Fuel Logistics'!$E:$E,"Logistics total")*IF($C233="Electricity",1,1/INDEX('TCO - Input'!$R$291:$R$321,MATCH($C233,'TCO - Input'!$F$291:$F$4010,0)))*1000</f>
        <v>0.37149469414234737</v>
      </c>
      <c r="M233" s="112">
        <f>SUMIFS('Fuel Logistics'!K:K,'Fuel Logistics'!$C:$C,$E233,'Fuel Logistics'!$D:$D,$D233,'Fuel Logistics'!$E:$E,"Logistics total")*IF($C233="Electricity",1,1/INDEX('TCO - Input'!$R$291:$R$321,MATCH($C233,'TCO - Input'!$F$291:$F$4010,0)))*1000</f>
        <v>0.37149469414234737</v>
      </c>
      <c r="N233" s="112">
        <f>SUMIFS('Fuel Logistics'!L:L,'Fuel Logistics'!$C:$C,$E233,'Fuel Logistics'!$D:$D,$D233,'Fuel Logistics'!$E:$E,"Logistics total")*IF($C233="Electricity",1,1/INDEX('TCO - Input'!$R$291:$R$321,MATCH($C233,'TCO - Input'!$F$291:$F$4010,0)))*1000</f>
        <v>0.37149469414234737</v>
      </c>
      <c r="O233" s="112">
        <f>SUMIFS('Fuel Logistics'!M:M,'Fuel Logistics'!$C:$C,$E233,'Fuel Logistics'!$D:$D,$D233,'Fuel Logistics'!$E:$E,"Logistics total")*IF($C233="Electricity",1,1/INDEX('TCO - Input'!$R$291:$R$321,MATCH($C233,'TCO - Input'!$F$291:$F$4010,0)))*1000</f>
        <v>0.37149469414234737</v>
      </c>
      <c r="P233" s="112">
        <f>SUMIFS('Fuel Logistics'!N:N,'Fuel Logistics'!$C:$C,$E233,'Fuel Logistics'!$D:$D,$D233,'Fuel Logistics'!$E:$E,"Logistics total")*IF($C233="Electricity",1,1/INDEX('TCO - Input'!$R$291:$R$321,MATCH($C233,'TCO - Input'!$F$291:$F$4010,0)))*1000</f>
        <v>0.37149469414234737</v>
      </c>
      <c r="Q233" s="112">
        <f>SUMIFS('Fuel Logistics'!O:O,'Fuel Logistics'!$C:$C,$E233,'Fuel Logistics'!$D:$D,$D233,'Fuel Logistics'!$E:$E,"Logistics total")*IF($C233="Electricity",1,1/INDEX('TCO - Input'!$R$291:$R$321,MATCH($C233,'TCO - Input'!$F$291:$F$4010,0)))*1000</f>
        <v>0.37149469414234737</v>
      </c>
      <c r="R233" s="112">
        <f>SUMIFS('Fuel Logistics'!P:P,'Fuel Logistics'!$C:$C,$E233,'Fuel Logistics'!$D:$D,$D233,'Fuel Logistics'!$E:$E,"Logistics total")*IF($C233="Electricity",1,1/INDEX('TCO - Input'!$R$291:$R$321,MATCH($C233,'TCO - Input'!$F$291:$F$4010,0)))*1000</f>
        <v>0.37149469414234737</v>
      </c>
      <c r="S233" s="112">
        <f>SUMIFS('Fuel Logistics'!Q:Q,'Fuel Logistics'!$C:$C,$E233,'Fuel Logistics'!$D:$D,$D233,'Fuel Logistics'!$E:$E,"Logistics total")*IF($C233="Electricity",1,1/INDEX('TCO - Input'!$R$291:$R$321,MATCH($C233,'TCO - Input'!$F$291:$F$4010,0)))*1000</f>
        <v>0.37149469414234737</v>
      </c>
      <c r="T233" s="112">
        <f>SUMIFS('Fuel Logistics'!R:R,'Fuel Logistics'!$C:$C,$E233,'Fuel Logistics'!$D:$D,$D233,'Fuel Logistics'!$E:$E,"Logistics total")*IF($C233="Electricity",1,1/INDEX('TCO - Input'!$R$291:$R$321,MATCH($C233,'TCO - Input'!$F$291:$F$4010,0)))*1000</f>
        <v>0.37149469414234737</v>
      </c>
      <c r="U233" s="112">
        <f>SUMIFS('Fuel Logistics'!S:S,'Fuel Logistics'!$C:$C,$E233,'Fuel Logistics'!$D:$D,$D233,'Fuel Logistics'!$E:$E,"Logistics total")*IF($C233="Electricity",1,1/INDEX('TCO - Input'!$R$291:$R$321,MATCH($C233,'TCO - Input'!$F$291:$F$4010,0)))*1000</f>
        <v>0.37149469414234737</v>
      </c>
      <c r="V233" s="112">
        <f>SUMIFS('Fuel Logistics'!T:T,'Fuel Logistics'!$C:$C,$E233,'Fuel Logistics'!$D:$D,$D233,'Fuel Logistics'!$E:$E,"Logistics total")*IF($C233="Electricity",1,1/INDEX('TCO - Input'!$R$291:$R$321,MATCH($C233,'TCO - Input'!$F$291:$F$4010,0)))*1000</f>
        <v>0.37149469414234737</v>
      </c>
    </row>
    <row r="234" spans="1:22" x14ac:dyDescent="0.2">
      <c r="A234" s="29">
        <f t="shared" si="158"/>
        <v>14</v>
      </c>
      <c r="B234" s="334" t="str">
        <f t="shared" si="155"/>
        <v>Biodiesel (Pyr) - Europe - Logistics cost - USD/GJ</v>
      </c>
      <c r="C234" t="str" cm="1">
        <f t="array" ref="C234">INDEX(list_AE_fuel,A234)</f>
        <v>Biodiesel (Pyr)</v>
      </c>
      <c r="D234" t="str">
        <f>INDEX('Configurator Specs.'!$AH:$AH,MATCH($C234,'Configurator Specs.'!$AE:$AE,0))</f>
        <v>Bio</v>
      </c>
      <c r="E234" t="str">
        <f t="shared" si="159"/>
        <v>Europe</v>
      </c>
      <c r="F234" t="str">
        <f t="shared" si="156"/>
        <v>Logistics cost - USD/GJ</v>
      </c>
      <c r="G234"/>
      <c r="H234" s="128"/>
      <c r="I234" t="s">
        <v>324</v>
      </c>
      <c r="K234" s="112">
        <f>SUMIFS('Fuel Logistics'!I:I,'Fuel Logistics'!$C:$C,$E234,'Fuel Logistics'!$D:$D,$D234,'Fuel Logistics'!$E:$E,"Logistics total")*IF($C234="Electricity",1,1/INDEX('TCO - Input'!$R$291:$R$321,MATCH($C234,'TCO - Input'!$F$291:$F$4010,0)))*1000</f>
        <v>0</v>
      </c>
      <c r="L234" s="112">
        <f>SUMIFS('Fuel Logistics'!J:J,'Fuel Logistics'!$C:$C,$E234,'Fuel Logistics'!$D:$D,$D234,'Fuel Logistics'!$E:$E,"Logistics total")*IF($C234="Electricity",1,1/INDEX('TCO - Input'!$R$291:$R$321,MATCH($C234,'TCO - Input'!$F$291:$F$4010,0)))*1000</f>
        <v>0</v>
      </c>
      <c r="M234" s="112">
        <f>SUMIFS('Fuel Logistics'!K:K,'Fuel Logistics'!$C:$C,$E234,'Fuel Logistics'!$D:$D,$D234,'Fuel Logistics'!$E:$E,"Logistics total")*IF($C234="Electricity",1,1/INDEX('TCO - Input'!$R$291:$R$321,MATCH($C234,'TCO - Input'!$F$291:$F$4010,0)))*1000</f>
        <v>0</v>
      </c>
      <c r="N234" s="112">
        <f>SUMIFS('Fuel Logistics'!L:L,'Fuel Logistics'!$C:$C,$E234,'Fuel Logistics'!$D:$D,$D234,'Fuel Logistics'!$E:$E,"Logistics total")*IF($C234="Electricity",1,1/INDEX('TCO - Input'!$R$291:$R$321,MATCH($C234,'TCO - Input'!$F$291:$F$4010,0)))*1000</f>
        <v>0</v>
      </c>
      <c r="O234" s="112">
        <f>SUMIFS('Fuel Logistics'!M:M,'Fuel Logistics'!$C:$C,$E234,'Fuel Logistics'!$D:$D,$D234,'Fuel Logistics'!$E:$E,"Logistics total")*IF($C234="Electricity",1,1/INDEX('TCO - Input'!$R$291:$R$321,MATCH($C234,'TCO - Input'!$F$291:$F$4010,0)))*1000</f>
        <v>0</v>
      </c>
      <c r="P234" s="112">
        <f>SUMIFS('Fuel Logistics'!N:N,'Fuel Logistics'!$C:$C,$E234,'Fuel Logistics'!$D:$D,$D234,'Fuel Logistics'!$E:$E,"Logistics total")*IF($C234="Electricity",1,1/INDEX('TCO - Input'!$R$291:$R$321,MATCH($C234,'TCO - Input'!$F$291:$F$4010,0)))*1000</f>
        <v>0</v>
      </c>
      <c r="Q234" s="112">
        <f>SUMIFS('Fuel Logistics'!O:O,'Fuel Logistics'!$C:$C,$E234,'Fuel Logistics'!$D:$D,$D234,'Fuel Logistics'!$E:$E,"Logistics total")*IF($C234="Electricity",1,1/INDEX('TCO - Input'!$R$291:$R$321,MATCH($C234,'TCO - Input'!$F$291:$F$4010,0)))*1000</f>
        <v>0</v>
      </c>
      <c r="R234" s="112">
        <f>SUMIFS('Fuel Logistics'!P:P,'Fuel Logistics'!$C:$C,$E234,'Fuel Logistics'!$D:$D,$D234,'Fuel Logistics'!$E:$E,"Logistics total")*IF($C234="Electricity",1,1/INDEX('TCO - Input'!$R$291:$R$321,MATCH($C234,'TCO - Input'!$F$291:$F$4010,0)))*1000</f>
        <v>0</v>
      </c>
      <c r="S234" s="112">
        <f>SUMIFS('Fuel Logistics'!Q:Q,'Fuel Logistics'!$C:$C,$E234,'Fuel Logistics'!$D:$D,$D234,'Fuel Logistics'!$E:$E,"Logistics total")*IF($C234="Electricity",1,1/INDEX('TCO - Input'!$R$291:$R$321,MATCH($C234,'TCO - Input'!$F$291:$F$4010,0)))*1000</f>
        <v>0</v>
      </c>
      <c r="T234" s="112">
        <f>SUMIFS('Fuel Logistics'!R:R,'Fuel Logistics'!$C:$C,$E234,'Fuel Logistics'!$D:$D,$D234,'Fuel Logistics'!$E:$E,"Logistics total")*IF($C234="Electricity",1,1/INDEX('TCO - Input'!$R$291:$R$321,MATCH($C234,'TCO - Input'!$F$291:$F$4010,0)))*1000</f>
        <v>0</v>
      </c>
      <c r="U234" s="112">
        <f>SUMIFS('Fuel Logistics'!S:S,'Fuel Logistics'!$C:$C,$E234,'Fuel Logistics'!$D:$D,$D234,'Fuel Logistics'!$E:$E,"Logistics total")*IF($C234="Electricity",1,1/INDEX('TCO - Input'!$R$291:$R$321,MATCH($C234,'TCO - Input'!$F$291:$F$4010,0)))*1000</f>
        <v>0</v>
      </c>
      <c r="V234" s="112">
        <f>SUMIFS('Fuel Logistics'!T:T,'Fuel Logistics'!$C:$C,$E234,'Fuel Logistics'!$D:$D,$D234,'Fuel Logistics'!$E:$E,"Logistics total")*IF($C234="Electricity",1,1/INDEX('TCO - Input'!$R$291:$R$321,MATCH($C234,'TCO - Input'!$F$291:$F$4010,0)))*1000</f>
        <v>0</v>
      </c>
    </row>
    <row r="235" spans="1:22" x14ac:dyDescent="0.2">
      <c r="A235" s="29">
        <f t="shared" si="158"/>
        <v>15</v>
      </c>
      <c r="B235" s="334" t="str">
        <f t="shared" si="155"/>
        <v>e-Diesel (DAC) - Europe - Logistics cost - USD/GJ</v>
      </c>
      <c r="C235" t="str" cm="1">
        <f t="array" ref="C235">INDEX(list_AE_fuel,A235)</f>
        <v>e-Diesel (DAC)</v>
      </c>
      <c r="D235" t="str">
        <f>INDEX('Configurator Specs.'!$AH:$AH,MATCH($C235,'Configurator Specs.'!$AE:$AE,0))</f>
        <v>Bio-oils</v>
      </c>
      <c r="E235" t="str">
        <f t="shared" si="159"/>
        <v>Europe</v>
      </c>
      <c r="F235" t="str">
        <f t="shared" si="156"/>
        <v>Logistics cost - USD/GJ</v>
      </c>
      <c r="G235"/>
      <c r="H235" s="128"/>
      <c r="I235" t="s">
        <v>324</v>
      </c>
      <c r="K235" s="112">
        <f>SUMIFS('Fuel Logistics'!I:I,'Fuel Logistics'!$C:$C,$E235,'Fuel Logistics'!$D:$D,$D235,'Fuel Logistics'!$E:$E,"Logistics total")*IF($C235="Electricity",1,1/INDEX('TCO - Input'!$R$291:$R$321,MATCH($C235,'TCO - Input'!$F$291:$F$4010,0)))*1000</f>
        <v>0.37149469414234737</v>
      </c>
      <c r="L235" s="112">
        <f>SUMIFS('Fuel Logistics'!J:J,'Fuel Logistics'!$C:$C,$E235,'Fuel Logistics'!$D:$D,$D235,'Fuel Logistics'!$E:$E,"Logistics total")*IF($C235="Electricity",1,1/INDEX('TCO - Input'!$R$291:$R$321,MATCH($C235,'TCO - Input'!$F$291:$F$4010,0)))*1000</f>
        <v>0.37149469414234737</v>
      </c>
      <c r="M235" s="112">
        <f>SUMIFS('Fuel Logistics'!K:K,'Fuel Logistics'!$C:$C,$E235,'Fuel Logistics'!$D:$D,$D235,'Fuel Logistics'!$E:$E,"Logistics total")*IF($C235="Electricity",1,1/INDEX('TCO - Input'!$R$291:$R$321,MATCH($C235,'TCO - Input'!$F$291:$F$4010,0)))*1000</f>
        <v>0.37149469414234737</v>
      </c>
      <c r="N235" s="112">
        <f>SUMIFS('Fuel Logistics'!L:L,'Fuel Logistics'!$C:$C,$E235,'Fuel Logistics'!$D:$D,$D235,'Fuel Logistics'!$E:$E,"Logistics total")*IF($C235="Electricity",1,1/INDEX('TCO - Input'!$R$291:$R$321,MATCH($C235,'TCO - Input'!$F$291:$F$4010,0)))*1000</f>
        <v>0.37149469414234737</v>
      </c>
      <c r="O235" s="112">
        <f>SUMIFS('Fuel Logistics'!M:M,'Fuel Logistics'!$C:$C,$E235,'Fuel Logistics'!$D:$D,$D235,'Fuel Logistics'!$E:$E,"Logistics total")*IF($C235="Electricity",1,1/INDEX('TCO - Input'!$R$291:$R$321,MATCH($C235,'TCO - Input'!$F$291:$F$4010,0)))*1000</f>
        <v>0.37149469414234737</v>
      </c>
      <c r="P235" s="112">
        <f>SUMIFS('Fuel Logistics'!N:N,'Fuel Logistics'!$C:$C,$E235,'Fuel Logistics'!$D:$D,$D235,'Fuel Logistics'!$E:$E,"Logistics total")*IF($C235="Electricity",1,1/INDEX('TCO - Input'!$R$291:$R$321,MATCH($C235,'TCO - Input'!$F$291:$F$4010,0)))*1000</f>
        <v>0.37149469414234737</v>
      </c>
      <c r="Q235" s="112">
        <f>SUMIFS('Fuel Logistics'!O:O,'Fuel Logistics'!$C:$C,$E235,'Fuel Logistics'!$D:$D,$D235,'Fuel Logistics'!$E:$E,"Logistics total")*IF($C235="Electricity",1,1/INDEX('TCO - Input'!$R$291:$R$321,MATCH($C235,'TCO - Input'!$F$291:$F$4010,0)))*1000</f>
        <v>0.37149469414234737</v>
      </c>
      <c r="R235" s="112">
        <f>SUMIFS('Fuel Logistics'!P:P,'Fuel Logistics'!$C:$C,$E235,'Fuel Logistics'!$D:$D,$D235,'Fuel Logistics'!$E:$E,"Logistics total")*IF($C235="Electricity",1,1/INDEX('TCO - Input'!$R$291:$R$321,MATCH($C235,'TCO - Input'!$F$291:$F$4010,0)))*1000</f>
        <v>0.37149469414234737</v>
      </c>
      <c r="S235" s="112">
        <f>SUMIFS('Fuel Logistics'!Q:Q,'Fuel Logistics'!$C:$C,$E235,'Fuel Logistics'!$D:$D,$D235,'Fuel Logistics'!$E:$E,"Logistics total")*IF($C235="Electricity",1,1/INDEX('TCO - Input'!$R$291:$R$321,MATCH($C235,'TCO - Input'!$F$291:$F$4010,0)))*1000</f>
        <v>0.37149469414234737</v>
      </c>
      <c r="T235" s="112">
        <f>SUMIFS('Fuel Logistics'!R:R,'Fuel Logistics'!$C:$C,$E235,'Fuel Logistics'!$D:$D,$D235,'Fuel Logistics'!$E:$E,"Logistics total")*IF($C235="Electricity",1,1/INDEX('TCO - Input'!$R$291:$R$321,MATCH($C235,'TCO - Input'!$F$291:$F$4010,0)))*1000</f>
        <v>0.37149469414234737</v>
      </c>
      <c r="U235" s="112">
        <f>SUMIFS('Fuel Logistics'!S:S,'Fuel Logistics'!$C:$C,$E235,'Fuel Logistics'!$D:$D,$D235,'Fuel Logistics'!$E:$E,"Logistics total")*IF($C235="Electricity",1,1/INDEX('TCO - Input'!$R$291:$R$321,MATCH($C235,'TCO - Input'!$F$291:$F$4010,0)))*1000</f>
        <v>0.37149469414234737</v>
      </c>
      <c r="V235" s="112">
        <f>SUMIFS('Fuel Logistics'!T:T,'Fuel Logistics'!$C:$C,$E235,'Fuel Logistics'!$D:$D,$D235,'Fuel Logistics'!$E:$E,"Logistics total")*IF($C235="Electricity",1,1/INDEX('TCO - Input'!$R$291:$R$321,MATCH($C235,'TCO - Input'!$F$291:$F$4010,0)))*1000</f>
        <v>0.37149469414234737</v>
      </c>
    </row>
    <row r="236" spans="1:22" x14ac:dyDescent="0.2">
      <c r="A236" s="29">
        <f t="shared" si="158"/>
        <v>16</v>
      </c>
      <c r="B236" s="334" t="str">
        <f t="shared" si="155"/>
        <v>e-Diesel (PS) - Europe - Logistics cost - USD/GJ</v>
      </c>
      <c r="C236" t="str" cm="1">
        <f t="array" ref="C236">INDEX(list_AE_fuel,A236)</f>
        <v>e-Diesel (PS)</v>
      </c>
      <c r="D236" t="str">
        <f>INDEX('Configurator Specs.'!$AH:$AH,MATCH($C236,'Configurator Specs.'!$AE:$AE,0))</f>
        <v>Bio-oils</v>
      </c>
      <c r="E236" t="str">
        <f t="shared" si="159"/>
        <v>Europe</v>
      </c>
      <c r="F236" t="str">
        <f t="shared" si="156"/>
        <v>Logistics cost - USD/GJ</v>
      </c>
      <c r="G236"/>
      <c r="H236" s="128"/>
      <c r="I236" t="s">
        <v>324</v>
      </c>
      <c r="K236" s="112">
        <f>SUMIFS('Fuel Logistics'!I:I,'Fuel Logistics'!$C:$C,$E236,'Fuel Logistics'!$D:$D,$D236,'Fuel Logistics'!$E:$E,"Logistics total")*IF($C236="Electricity",1,1/INDEX('TCO - Input'!$R$291:$R$321,MATCH($C236,'TCO - Input'!$F$291:$F$4010,0)))*1000</f>
        <v>0.37149469414234737</v>
      </c>
      <c r="L236" s="112">
        <f>SUMIFS('Fuel Logistics'!J:J,'Fuel Logistics'!$C:$C,$E236,'Fuel Logistics'!$D:$D,$D236,'Fuel Logistics'!$E:$E,"Logistics total")*IF($C236="Electricity",1,1/INDEX('TCO - Input'!$R$291:$R$321,MATCH($C236,'TCO - Input'!$F$291:$F$4010,0)))*1000</f>
        <v>0.37149469414234737</v>
      </c>
      <c r="M236" s="112">
        <f>SUMIFS('Fuel Logistics'!K:K,'Fuel Logistics'!$C:$C,$E236,'Fuel Logistics'!$D:$D,$D236,'Fuel Logistics'!$E:$E,"Logistics total")*IF($C236="Electricity",1,1/INDEX('TCO - Input'!$R$291:$R$321,MATCH($C236,'TCO - Input'!$F$291:$F$4010,0)))*1000</f>
        <v>0.37149469414234737</v>
      </c>
      <c r="N236" s="112">
        <f>SUMIFS('Fuel Logistics'!L:L,'Fuel Logistics'!$C:$C,$E236,'Fuel Logistics'!$D:$D,$D236,'Fuel Logistics'!$E:$E,"Logistics total")*IF($C236="Electricity",1,1/INDEX('TCO - Input'!$R$291:$R$321,MATCH($C236,'TCO - Input'!$F$291:$F$4010,0)))*1000</f>
        <v>0.37149469414234737</v>
      </c>
      <c r="O236" s="112">
        <f>SUMIFS('Fuel Logistics'!M:M,'Fuel Logistics'!$C:$C,$E236,'Fuel Logistics'!$D:$D,$D236,'Fuel Logistics'!$E:$E,"Logistics total")*IF($C236="Electricity",1,1/INDEX('TCO - Input'!$R$291:$R$321,MATCH($C236,'TCO - Input'!$F$291:$F$4010,0)))*1000</f>
        <v>0.37149469414234737</v>
      </c>
      <c r="P236" s="112">
        <f>SUMIFS('Fuel Logistics'!N:N,'Fuel Logistics'!$C:$C,$E236,'Fuel Logistics'!$D:$D,$D236,'Fuel Logistics'!$E:$E,"Logistics total")*IF($C236="Electricity",1,1/INDEX('TCO - Input'!$R$291:$R$321,MATCH($C236,'TCO - Input'!$F$291:$F$4010,0)))*1000</f>
        <v>0.37149469414234737</v>
      </c>
      <c r="Q236" s="112">
        <f>SUMIFS('Fuel Logistics'!O:O,'Fuel Logistics'!$C:$C,$E236,'Fuel Logistics'!$D:$D,$D236,'Fuel Logistics'!$E:$E,"Logistics total")*IF($C236="Electricity",1,1/INDEX('TCO - Input'!$R$291:$R$321,MATCH($C236,'TCO - Input'!$F$291:$F$4010,0)))*1000</f>
        <v>0.37149469414234737</v>
      </c>
      <c r="R236" s="112">
        <f>SUMIFS('Fuel Logistics'!P:P,'Fuel Logistics'!$C:$C,$E236,'Fuel Logistics'!$D:$D,$D236,'Fuel Logistics'!$E:$E,"Logistics total")*IF($C236="Electricity",1,1/INDEX('TCO - Input'!$R$291:$R$321,MATCH($C236,'TCO - Input'!$F$291:$F$4010,0)))*1000</f>
        <v>0.37149469414234737</v>
      </c>
      <c r="S236" s="112">
        <f>SUMIFS('Fuel Logistics'!Q:Q,'Fuel Logistics'!$C:$C,$E236,'Fuel Logistics'!$D:$D,$D236,'Fuel Logistics'!$E:$E,"Logistics total")*IF($C236="Electricity",1,1/INDEX('TCO - Input'!$R$291:$R$321,MATCH($C236,'TCO - Input'!$F$291:$F$4010,0)))*1000</f>
        <v>0.37149469414234737</v>
      </c>
      <c r="T236" s="112">
        <f>SUMIFS('Fuel Logistics'!R:R,'Fuel Logistics'!$C:$C,$E236,'Fuel Logistics'!$D:$D,$D236,'Fuel Logistics'!$E:$E,"Logistics total")*IF($C236="Electricity",1,1/INDEX('TCO - Input'!$R$291:$R$321,MATCH($C236,'TCO - Input'!$F$291:$F$4010,0)))*1000</f>
        <v>0.37149469414234737</v>
      </c>
      <c r="U236" s="112">
        <f>SUMIFS('Fuel Logistics'!S:S,'Fuel Logistics'!$C:$C,$E236,'Fuel Logistics'!$D:$D,$D236,'Fuel Logistics'!$E:$E,"Logistics total")*IF($C236="Electricity",1,1/INDEX('TCO - Input'!$R$291:$R$321,MATCH($C236,'TCO - Input'!$F$291:$F$4010,0)))*1000</f>
        <v>0.37149469414234737</v>
      </c>
      <c r="V236" s="112">
        <f>SUMIFS('Fuel Logistics'!T:T,'Fuel Logistics'!$C:$C,$E236,'Fuel Logistics'!$D:$D,$D236,'Fuel Logistics'!$E:$E,"Logistics total")*IF($C236="Electricity",1,1/INDEX('TCO - Input'!$R$291:$R$321,MATCH($C236,'TCO - Input'!$F$291:$F$4010,0)))*1000</f>
        <v>0.37149469414234737</v>
      </c>
    </row>
    <row r="237" spans="1:22" x14ac:dyDescent="0.2">
      <c r="A237" s="29">
        <f t="shared" si="158"/>
        <v>17</v>
      </c>
      <c r="B237" s="334" t="str">
        <f t="shared" si="155"/>
        <v>Biodiesel (HtL blend) - Europe - Logistics cost - USD/GJ</v>
      </c>
      <c r="C237" t="str" cm="1">
        <f t="array" ref="C237">INDEX(list_AE_fuel,A237)</f>
        <v>Biodiesel (HtL blend)</v>
      </c>
      <c r="D237" t="str">
        <f>INDEX('Configurator Specs.'!$AH:$AH,MATCH($C237,'Configurator Specs.'!$AE:$AE,0))</f>
        <v>Bio</v>
      </c>
      <c r="E237" t="str">
        <f t="shared" si="159"/>
        <v>Europe</v>
      </c>
      <c r="F237" t="str">
        <f t="shared" si="156"/>
        <v>Logistics cost - USD/GJ</v>
      </c>
      <c r="G237"/>
      <c r="H237" s="128"/>
      <c r="I237" t="s">
        <v>324</v>
      </c>
      <c r="K237" s="112">
        <f>SUMIFS('Fuel Logistics'!I:I,'Fuel Logistics'!$C:$C,$E237,'Fuel Logistics'!$D:$D,$D237,'Fuel Logistics'!$E:$E,"Logistics total")*IF($C237="Electricity",1,1/INDEX('TCO - Input'!$R$291:$R$321,MATCH($C237,'TCO - Input'!$F$291:$F$4010,0)))*1000</f>
        <v>0</v>
      </c>
      <c r="L237" s="112">
        <f>SUMIFS('Fuel Logistics'!J:J,'Fuel Logistics'!$C:$C,$E237,'Fuel Logistics'!$D:$D,$D237,'Fuel Logistics'!$E:$E,"Logistics total")*IF($C237="Electricity",1,1/INDEX('TCO - Input'!$R$291:$R$321,MATCH($C237,'TCO - Input'!$F$291:$F$4010,0)))*1000</f>
        <v>0</v>
      </c>
      <c r="M237" s="112">
        <f>SUMIFS('Fuel Logistics'!K:K,'Fuel Logistics'!$C:$C,$E237,'Fuel Logistics'!$D:$D,$D237,'Fuel Logistics'!$E:$E,"Logistics total")*IF($C237="Electricity",1,1/INDEX('TCO - Input'!$R$291:$R$321,MATCH($C237,'TCO - Input'!$F$291:$F$4010,0)))*1000</f>
        <v>0</v>
      </c>
      <c r="N237" s="112">
        <f>SUMIFS('Fuel Logistics'!L:L,'Fuel Logistics'!$C:$C,$E237,'Fuel Logistics'!$D:$D,$D237,'Fuel Logistics'!$E:$E,"Logistics total")*IF($C237="Electricity",1,1/INDEX('TCO - Input'!$R$291:$R$321,MATCH($C237,'TCO - Input'!$F$291:$F$4010,0)))*1000</f>
        <v>0</v>
      </c>
      <c r="O237" s="112">
        <f>SUMIFS('Fuel Logistics'!M:M,'Fuel Logistics'!$C:$C,$E237,'Fuel Logistics'!$D:$D,$D237,'Fuel Logistics'!$E:$E,"Logistics total")*IF($C237="Electricity",1,1/INDEX('TCO - Input'!$R$291:$R$321,MATCH($C237,'TCO - Input'!$F$291:$F$4010,0)))*1000</f>
        <v>0</v>
      </c>
      <c r="P237" s="112">
        <f>SUMIFS('Fuel Logistics'!N:N,'Fuel Logistics'!$C:$C,$E237,'Fuel Logistics'!$D:$D,$D237,'Fuel Logistics'!$E:$E,"Logistics total")*IF($C237="Electricity",1,1/INDEX('TCO - Input'!$R$291:$R$321,MATCH($C237,'TCO - Input'!$F$291:$F$4010,0)))*1000</f>
        <v>0</v>
      </c>
      <c r="Q237" s="112">
        <f>SUMIFS('Fuel Logistics'!O:O,'Fuel Logistics'!$C:$C,$E237,'Fuel Logistics'!$D:$D,$D237,'Fuel Logistics'!$E:$E,"Logistics total")*IF($C237="Electricity",1,1/INDEX('TCO - Input'!$R$291:$R$321,MATCH($C237,'TCO - Input'!$F$291:$F$4010,0)))*1000</f>
        <v>0</v>
      </c>
      <c r="R237" s="112">
        <f>SUMIFS('Fuel Logistics'!P:P,'Fuel Logistics'!$C:$C,$E237,'Fuel Logistics'!$D:$D,$D237,'Fuel Logistics'!$E:$E,"Logistics total")*IF($C237="Electricity",1,1/INDEX('TCO - Input'!$R$291:$R$321,MATCH($C237,'TCO - Input'!$F$291:$F$4010,0)))*1000</f>
        <v>0</v>
      </c>
      <c r="S237" s="112">
        <f>SUMIFS('Fuel Logistics'!Q:Q,'Fuel Logistics'!$C:$C,$E237,'Fuel Logistics'!$D:$D,$D237,'Fuel Logistics'!$E:$E,"Logistics total")*IF($C237="Electricity",1,1/INDEX('TCO - Input'!$R$291:$R$321,MATCH($C237,'TCO - Input'!$F$291:$F$4010,0)))*1000</f>
        <v>0</v>
      </c>
      <c r="T237" s="112">
        <f>SUMIFS('Fuel Logistics'!R:R,'Fuel Logistics'!$C:$C,$E237,'Fuel Logistics'!$D:$D,$D237,'Fuel Logistics'!$E:$E,"Logistics total")*IF($C237="Electricity",1,1/INDEX('TCO - Input'!$R$291:$R$321,MATCH($C237,'TCO - Input'!$F$291:$F$4010,0)))*1000</f>
        <v>0</v>
      </c>
      <c r="U237" s="112">
        <f>SUMIFS('Fuel Logistics'!S:S,'Fuel Logistics'!$C:$C,$E237,'Fuel Logistics'!$D:$D,$D237,'Fuel Logistics'!$E:$E,"Logistics total")*IF($C237="Electricity",1,1/INDEX('TCO - Input'!$R$291:$R$321,MATCH($C237,'TCO - Input'!$F$291:$F$4010,0)))*1000</f>
        <v>0</v>
      </c>
      <c r="V237" s="112">
        <f>SUMIFS('Fuel Logistics'!T:T,'Fuel Logistics'!$C:$C,$E237,'Fuel Logistics'!$D:$D,$D237,'Fuel Logistics'!$E:$E,"Logistics total")*IF($C237="Electricity",1,1/INDEX('TCO - Input'!$R$291:$R$321,MATCH($C237,'TCO - Input'!$F$291:$F$4010,0)))*1000</f>
        <v>0</v>
      </c>
    </row>
    <row r="238" spans="1:22" x14ac:dyDescent="0.2">
      <c r="A238" s="29">
        <f t="shared" si="158"/>
        <v>18</v>
      </c>
      <c r="B238" s="334" t="str">
        <f t="shared" si="155"/>
        <v>Biodiesel (Pyr blend) - Europe - Logistics cost - USD/GJ</v>
      </c>
      <c r="C238" t="str" cm="1">
        <f t="array" ref="C238">INDEX(list_AE_fuel,A238)</f>
        <v>Biodiesel (Pyr blend)</v>
      </c>
      <c r="D238" t="str">
        <f>INDEX('Configurator Specs.'!$AH:$AH,MATCH($C238,'Configurator Specs.'!$AE:$AE,0))</f>
        <v>Bio</v>
      </c>
      <c r="E238" t="str">
        <f t="shared" si="159"/>
        <v>Europe</v>
      </c>
      <c r="F238" t="str">
        <f t="shared" si="156"/>
        <v>Logistics cost - USD/GJ</v>
      </c>
      <c r="G238"/>
      <c r="H238" s="128"/>
      <c r="I238" t="s">
        <v>324</v>
      </c>
      <c r="K238" s="112">
        <f>SUMIFS('Fuel Logistics'!I:I,'Fuel Logistics'!$C:$C,$E238,'Fuel Logistics'!$D:$D,$D238,'Fuel Logistics'!$E:$E,"Logistics total")*IF($C238="Electricity",1,1/INDEX('TCO - Input'!$R$291:$R$321,MATCH($C238,'TCO - Input'!$F$291:$F$4010,0)))*1000</f>
        <v>0</v>
      </c>
      <c r="L238" s="112">
        <f>SUMIFS('Fuel Logistics'!J:J,'Fuel Logistics'!$C:$C,$E238,'Fuel Logistics'!$D:$D,$D238,'Fuel Logistics'!$E:$E,"Logistics total")*IF($C238="Electricity",1,1/INDEX('TCO - Input'!$R$291:$R$321,MATCH($C238,'TCO - Input'!$F$291:$F$4010,0)))*1000</f>
        <v>0</v>
      </c>
      <c r="M238" s="112">
        <f>SUMIFS('Fuel Logistics'!K:K,'Fuel Logistics'!$C:$C,$E238,'Fuel Logistics'!$D:$D,$D238,'Fuel Logistics'!$E:$E,"Logistics total")*IF($C238="Electricity",1,1/INDEX('TCO - Input'!$R$291:$R$321,MATCH($C238,'TCO - Input'!$F$291:$F$4010,0)))*1000</f>
        <v>0</v>
      </c>
      <c r="N238" s="112">
        <f>SUMIFS('Fuel Logistics'!L:L,'Fuel Logistics'!$C:$C,$E238,'Fuel Logistics'!$D:$D,$D238,'Fuel Logistics'!$E:$E,"Logistics total")*IF($C238="Electricity",1,1/INDEX('TCO - Input'!$R$291:$R$321,MATCH($C238,'TCO - Input'!$F$291:$F$4010,0)))*1000</f>
        <v>0</v>
      </c>
      <c r="O238" s="112">
        <f>SUMIFS('Fuel Logistics'!M:M,'Fuel Logistics'!$C:$C,$E238,'Fuel Logistics'!$D:$D,$D238,'Fuel Logistics'!$E:$E,"Logistics total")*IF($C238="Electricity",1,1/INDEX('TCO - Input'!$R$291:$R$321,MATCH($C238,'TCO - Input'!$F$291:$F$4010,0)))*1000</f>
        <v>0</v>
      </c>
      <c r="P238" s="112">
        <f>SUMIFS('Fuel Logistics'!N:N,'Fuel Logistics'!$C:$C,$E238,'Fuel Logistics'!$D:$D,$D238,'Fuel Logistics'!$E:$E,"Logistics total")*IF($C238="Electricity",1,1/INDEX('TCO - Input'!$R$291:$R$321,MATCH($C238,'TCO - Input'!$F$291:$F$4010,0)))*1000</f>
        <v>0</v>
      </c>
      <c r="Q238" s="112">
        <f>SUMIFS('Fuel Logistics'!O:O,'Fuel Logistics'!$C:$C,$E238,'Fuel Logistics'!$D:$D,$D238,'Fuel Logistics'!$E:$E,"Logistics total")*IF($C238="Electricity",1,1/INDEX('TCO - Input'!$R$291:$R$321,MATCH($C238,'TCO - Input'!$F$291:$F$4010,0)))*1000</f>
        <v>0</v>
      </c>
      <c r="R238" s="112">
        <f>SUMIFS('Fuel Logistics'!P:P,'Fuel Logistics'!$C:$C,$E238,'Fuel Logistics'!$D:$D,$D238,'Fuel Logistics'!$E:$E,"Logistics total")*IF($C238="Electricity",1,1/INDEX('TCO - Input'!$R$291:$R$321,MATCH($C238,'TCO - Input'!$F$291:$F$4010,0)))*1000</f>
        <v>0</v>
      </c>
      <c r="S238" s="112">
        <f>SUMIFS('Fuel Logistics'!Q:Q,'Fuel Logistics'!$C:$C,$E238,'Fuel Logistics'!$D:$D,$D238,'Fuel Logistics'!$E:$E,"Logistics total")*IF($C238="Electricity",1,1/INDEX('TCO - Input'!$R$291:$R$321,MATCH($C238,'TCO - Input'!$F$291:$F$4010,0)))*1000</f>
        <v>0</v>
      </c>
      <c r="T238" s="112">
        <f>SUMIFS('Fuel Logistics'!R:R,'Fuel Logistics'!$C:$C,$E238,'Fuel Logistics'!$D:$D,$D238,'Fuel Logistics'!$E:$E,"Logistics total")*IF($C238="Electricity",1,1/INDEX('TCO - Input'!$R$291:$R$321,MATCH($C238,'TCO - Input'!$F$291:$F$4010,0)))*1000</f>
        <v>0</v>
      </c>
      <c r="U238" s="112">
        <f>SUMIFS('Fuel Logistics'!S:S,'Fuel Logistics'!$C:$C,$E238,'Fuel Logistics'!$D:$D,$D238,'Fuel Logistics'!$E:$E,"Logistics total")*IF($C238="Electricity",1,1/INDEX('TCO - Input'!$R$291:$R$321,MATCH($C238,'TCO - Input'!$F$291:$F$4010,0)))*1000</f>
        <v>0</v>
      </c>
      <c r="V238" s="112">
        <f>SUMIFS('Fuel Logistics'!T:T,'Fuel Logistics'!$C:$C,$E238,'Fuel Logistics'!$D:$D,$D238,'Fuel Logistics'!$E:$E,"Logistics total")*IF($C238="Electricity",1,1/INDEX('TCO - Input'!$R$291:$R$321,MATCH($C238,'TCO - Input'!$F$291:$F$4010,0)))*1000</f>
        <v>0</v>
      </c>
    </row>
    <row r="239" spans="1:22" x14ac:dyDescent="0.2">
      <c r="A239" s="29">
        <f t="shared" si="158"/>
        <v>19</v>
      </c>
      <c r="B239" s="334" t="str">
        <f t="shared" si="155"/>
        <v>Blue hydrogen (liquid) - Europe - Logistics cost - USD/GJ</v>
      </c>
      <c r="C239" t="str" cm="1">
        <f t="array" ref="C239">INDEX(list_AE_fuel,A239)</f>
        <v>Blue hydrogen (liquid)</v>
      </c>
      <c r="D239" t="str">
        <f>INDEX('Configurator Specs.'!$AH:$AH,MATCH($C239,'Configurator Specs.'!$AE:$AE,0))</f>
        <v>Blue hydrogen (liquid)</v>
      </c>
      <c r="E239" t="str">
        <f t="shared" si="159"/>
        <v>Europe</v>
      </c>
      <c r="F239" t="str">
        <f t="shared" si="156"/>
        <v>Logistics cost - USD/GJ</v>
      </c>
      <c r="G239"/>
      <c r="H239" s="128"/>
      <c r="I239" t="s">
        <v>324</v>
      </c>
      <c r="K239" s="112">
        <f>SUMIFS('Fuel Logistics'!I:I,'Fuel Logistics'!$C:$C,$E239,'Fuel Logistics'!$D:$D,$D239,'Fuel Logistics'!$E:$E,"Logistics total")*IF($C239="Electricity",1,1/INDEX('TCO - Input'!$R$291:$R$321,MATCH($C239,'TCO - Input'!$F$291:$F$4010,0)))*1000</f>
        <v>14.430690633154537</v>
      </c>
      <c r="L239" s="112">
        <f>SUMIFS('Fuel Logistics'!J:J,'Fuel Logistics'!$C:$C,$E239,'Fuel Logistics'!$D:$D,$D239,'Fuel Logistics'!$E:$E,"Logistics total")*IF($C239="Electricity",1,1/INDEX('TCO - Input'!$R$291:$R$321,MATCH($C239,'TCO - Input'!$F$291:$F$4010,0)))*1000</f>
        <v>12.930124183765889</v>
      </c>
      <c r="M239" s="112">
        <f>SUMIFS('Fuel Logistics'!K:K,'Fuel Logistics'!$C:$C,$E239,'Fuel Logistics'!$D:$D,$D239,'Fuel Logistics'!$E:$E,"Logistics total")*IF($C239="Electricity",1,1/INDEX('TCO - Input'!$R$291:$R$321,MATCH($C239,'TCO - Input'!$F$291:$F$4010,0)))*1000</f>
        <v>12.564955050457934</v>
      </c>
      <c r="N239" s="112">
        <f>SUMIFS('Fuel Logistics'!L:L,'Fuel Logistics'!$C:$C,$E239,'Fuel Logistics'!$D:$D,$D239,'Fuel Logistics'!$E:$E,"Logistics total")*IF($C239="Electricity",1,1/INDEX('TCO - Input'!$R$291:$R$321,MATCH($C239,'TCO - Input'!$F$291:$F$4010,0)))*1000</f>
        <v>12.516949731903329</v>
      </c>
      <c r="O239" s="112">
        <f>SUMIFS('Fuel Logistics'!M:M,'Fuel Logistics'!$C:$C,$E239,'Fuel Logistics'!$D:$D,$D239,'Fuel Logistics'!$E:$E,"Logistics total")*IF($C239="Electricity",1,1/INDEX('TCO - Input'!$R$291:$R$321,MATCH($C239,'TCO - Input'!$F$291:$F$4010,0)))*1000</f>
        <v>12.477150139697123</v>
      </c>
      <c r="P239" s="112">
        <f>SUMIFS('Fuel Logistics'!N:N,'Fuel Logistics'!$C:$C,$E239,'Fuel Logistics'!$D:$D,$D239,'Fuel Logistics'!$E:$E,"Logistics total")*IF($C239="Electricity",1,1/INDEX('TCO - Input'!$R$291:$R$321,MATCH($C239,'TCO - Input'!$F$291:$F$4010,0)))*1000</f>
        <v>12.43932006948034</v>
      </c>
      <c r="Q239" s="112">
        <f>SUMIFS('Fuel Logistics'!O:O,'Fuel Logistics'!$C:$C,$E239,'Fuel Logistics'!$D:$D,$D239,'Fuel Logistics'!$E:$E,"Logistics total")*IF($C239="Electricity",1,1/INDEX('TCO - Input'!$R$291:$R$321,MATCH($C239,'TCO - Input'!$F$291:$F$4010,0)))*1000</f>
        <v>12.405930547750756</v>
      </c>
      <c r="R239" s="112">
        <f>SUMIFS('Fuel Logistics'!P:P,'Fuel Logistics'!$C:$C,$E239,'Fuel Logistics'!$D:$D,$D239,'Fuel Logistics'!$E:$E,"Logistics total")*IF($C239="Electricity",1,1/INDEX('TCO - Input'!$R$291:$R$321,MATCH($C239,'TCO - Input'!$F$291:$F$4010,0)))*1000</f>
        <v>12.405930547750756</v>
      </c>
      <c r="S239" s="112">
        <f>SUMIFS('Fuel Logistics'!Q:Q,'Fuel Logistics'!$C:$C,$E239,'Fuel Logistics'!$D:$D,$D239,'Fuel Logistics'!$E:$E,"Logistics total")*IF($C239="Electricity",1,1/INDEX('TCO - Input'!$R$291:$R$321,MATCH($C239,'TCO - Input'!$F$291:$F$4010,0)))*1000</f>
        <v>12.405930547750756</v>
      </c>
      <c r="T239" s="112">
        <f>SUMIFS('Fuel Logistics'!R:R,'Fuel Logistics'!$C:$C,$E239,'Fuel Logistics'!$D:$D,$D239,'Fuel Logistics'!$E:$E,"Logistics total")*IF($C239="Electricity",1,1/INDEX('TCO - Input'!$R$291:$R$321,MATCH($C239,'TCO - Input'!$F$291:$F$4010,0)))*1000</f>
        <v>12.405930547750756</v>
      </c>
      <c r="U239" s="112">
        <f>SUMIFS('Fuel Logistics'!S:S,'Fuel Logistics'!$C:$C,$E239,'Fuel Logistics'!$D:$D,$D239,'Fuel Logistics'!$E:$E,"Logistics total")*IF($C239="Electricity",1,1/INDEX('TCO - Input'!$R$291:$R$321,MATCH($C239,'TCO - Input'!$F$291:$F$4010,0)))*1000</f>
        <v>12.405930547750756</v>
      </c>
      <c r="V239" s="112">
        <f>SUMIFS('Fuel Logistics'!T:T,'Fuel Logistics'!$C:$C,$E239,'Fuel Logistics'!$D:$D,$D239,'Fuel Logistics'!$E:$E,"Logistics total")*IF($C239="Electricity",1,1/INDEX('TCO - Input'!$R$291:$R$321,MATCH($C239,'TCO - Input'!$F$291:$F$4010,0)))*1000</f>
        <v>12.405930547750756</v>
      </c>
    </row>
    <row r="240" spans="1:22" x14ac:dyDescent="0.2">
      <c r="A240" s="29">
        <f t="shared" si="158"/>
        <v>20</v>
      </c>
      <c r="B240" s="334" t="str">
        <f t="shared" si="155"/>
        <v>e-Hydrogen (liquid) - Europe - Logistics cost - USD/GJ</v>
      </c>
      <c r="C240" t="str" cm="1">
        <f t="array" ref="C240">INDEX(list_AE_fuel,A240)</f>
        <v>e-Hydrogen (liquid)</v>
      </c>
      <c r="D240" t="str">
        <f>INDEX('Configurator Specs.'!$AH:$AH,MATCH($C240,'Configurator Specs.'!$AE:$AE,0))</f>
        <v>e-Hydrogen (liquid)</v>
      </c>
      <c r="E240" t="str">
        <f t="shared" si="159"/>
        <v>Europe</v>
      </c>
      <c r="F240" t="str">
        <f t="shared" si="156"/>
        <v>Logistics cost - USD/GJ</v>
      </c>
      <c r="G240"/>
      <c r="H240" s="128"/>
      <c r="I240" t="s">
        <v>324</v>
      </c>
      <c r="K240" s="112">
        <f>SUMIFS('Fuel Logistics'!I:I,'Fuel Logistics'!$C:$C,$E240,'Fuel Logistics'!$D:$D,$D240,'Fuel Logistics'!$E:$E,"Logistics total")*IF($C240="Electricity",1,1/INDEX('TCO - Input'!$R$291:$R$321,MATCH($C240,'TCO - Input'!$F$291:$F$4010,0)))*1000</f>
        <v>13.345969952621905</v>
      </c>
      <c r="L240" s="112">
        <f>SUMIFS('Fuel Logistics'!J:J,'Fuel Logistics'!$C:$C,$E240,'Fuel Logistics'!$D:$D,$D240,'Fuel Logistics'!$E:$E,"Logistics total")*IF($C240="Electricity",1,1/INDEX('TCO - Input'!$R$291:$R$321,MATCH($C240,'TCO - Input'!$F$291:$F$4010,0)))*1000</f>
        <v>12.982791004840875</v>
      </c>
      <c r="M240" s="112">
        <f>SUMIFS('Fuel Logistics'!K:K,'Fuel Logistics'!$C:$C,$E240,'Fuel Logistics'!$D:$D,$D240,'Fuel Logistics'!$E:$E,"Logistics total")*IF($C240="Electricity",1,1/INDEX('TCO - Input'!$R$291:$R$321,MATCH($C240,'TCO - Input'!$F$291:$F$4010,0)))*1000</f>
        <v>12.686296670904669</v>
      </c>
      <c r="N240" s="112">
        <f>SUMIFS('Fuel Logistics'!L:L,'Fuel Logistics'!$C:$C,$E240,'Fuel Logistics'!$D:$D,$D240,'Fuel Logistics'!$E:$E,"Logistics total")*IF($C240="Electricity",1,1/INDEX('TCO - Input'!$R$291:$R$321,MATCH($C240,'TCO - Input'!$F$291:$F$4010,0)))*1000</f>
        <v>12.571958671907762</v>
      </c>
      <c r="O240" s="112">
        <f>SUMIFS('Fuel Logistics'!M:M,'Fuel Logistics'!$C:$C,$E240,'Fuel Logistics'!$D:$D,$D240,'Fuel Logistics'!$E:$E,"Logistics total")*IF($C240="Electricity",1,1/INDEX('TCO - Input'!$R$291:$R$321,MATCH($C240,'TCO - Input'!$F$291:$F$4010,0)))*1000</f>
        <v>12.429344140434821</v>
      </c>
      <c r="P240" s="112">
        <f>SUMIFS('Fuel Logistics'!N:N,'Fuel Logistics'!$C:$C,$E240,'Fuel Logistics'!$D:$D,$D240,'Fuel Logistics'!$E:$E,"Logistics total")*IF($C240="Electricity",1,1/INDEX('TCO - Input'!$R$291:$R$321,MATCH($C240,'TCO - Input'!$F$291:$F$4010,0)))*1000</f>
        <v>12.247261318989514</v>
      </c>
      <c r="Q240" s="112">
        <f>SUMIFS('Fuel Logistics'!O:O,'Fuel Logistics'!$C:$C,$E240,'Fuel Logistics'!$D:$D,$D240,'Fuel Logistics'!$E:$E,"Logistics total")*IF($C240="Electricity",1,1/INDEX('TCO - Input'!$R$291:$R$321,MATCH($C240,'TCO - Input'!$F$291:$F$4010,0)))*1000</f>
        <v>12.078836321254569</v>
      </c>
      <c r="R240" s="112">
        <f>SUMIFS('Fuel Logistics'!P:P,'Fuel Logistics'!$C:$C,$E240,'Fuel Logistics'!$D:$D,$D240,'Fuel Logistics'!$E:$E,"Logistics total")*IF($C240="Electricity",1,1/INDEX('TCO - Input'!$R$291:$R$321,MATCH($C240,'TCO - Input'!$F$291:$F$4010,0)))*1000</f>
        <v>12.078836321254569</v>
      </c>
      <c r="S240" s="112">
        <f>SUMIFS('Fuel Logistics'!Q:Q,'Fuel Logistics'!$C:$C,$E240,'Fuel Logistics'!$D:$D,$D240,'Fuel Logistics'!$E:$E,"Logistics total")*IF($C240="Electricity",1,1/INDEX('TCO - Input'!$R$291:$R$321,MATCH($C240,'TCO - Input'!$F$291:$F$4010,0)))*1000</f>
        <v>12.078836321254569</v>
      </c>
      <c r="T240" s="112">
        <f>SUMIFS('Fuel Logistics'!R:R,'Fuel Logistics'!$C:$C,$E240,'Fuel Logistics'!$D:$D,$D240,'Fuel Logistics'!$E:$E,"Logistics total")*IF($C240="Electricity",1,1/INDEX('TCO - Input'!$R$291:$R$321,MATCH($C240,'TCO - Input'!$F$291:$F$4010,0)))*1000</f>
        <v>12.078836321254569</v>
      </c>
      <c r="U240" s="112">
        <f>SUMIFS('Fuel Logistics'!S:S,'Fuel Logistics'!$C:$C,$E240,'Fuel Logistics'!$D:$D,$D240,'Fuel Logistics'!$E:$E,"Logistics total")*IF($C240="Electricity",1,1/INDEX('TCO - Input'!$R$291:$R$321,MATCH($C240,'TCO - Input'!$F$291:$F$4010,0)))*1000</f>
        <v>12.078836321254569</v>
      </c>
      <c r="V240" s="112">
        <f>SUMIFS('Fuel Logistics'!T:T,'Fuel Logistics'!$C:$C,$E240,'Fuel Logistics'!$D:$D,$D240,'Fuel Logistics'!$E:$E,"Logistics total")*IF($C240="Electricity",1,1/INDEX('TCO - Input'!$R$291:$R$321,MATCH($C240,'TCO - Input'!$F$291:$F$4010,0)))*1000</f>
        <v>12.078836321254569</v>
      </c>
    </row>
    <row r="241" spans="1:22" x14ac:dyDescent="0.2">
      <c r="B241"/>
      <c r="C241"/>
      <c r="D241"/>
      <c r="E241"/>
      <c r="F241"/>
      <c r="G241"/>
      <c r="H241"/>
      <c r="I241"/>
    </row>
    <row r="242" spans="1:22" x14ac:dyDescent="0.2">
      <c r="A242" s="29">
        <v>1</v>
      </c>
      <c r="B242" s="334" t="str">
        <f t="shared" ref="B242:B261" si="160">_xlfn.TEXTJOIN(keydelim,TRUE,C242,E242,F242)</f>
        <v>LSFO - Middle East - Logistics cost - USD/GJ</v>
      </c>
      <c r="C242" t="str" cm="1">
        <f t="array" ref="C242">INDEX(list_AE_fuel,A242)</f>
        <v>LSFO</v>
      </c>
      <c r="D242" t="str">
        <f>INDEX('Configurator Specs.'!$AH:$AH,MATCH($C242,'Configurator Specs.'!$AE:$AE,0))</f>
        <v>HFO</v>
      </c>
      <c r="E242" t="s">
        <v>197</v>
      </c>
      <c r="F242" t="str">
        <f t="shared" ref="F242:F261" si="161">"Logistics cost"  &amp;keydelim &amp;I242</f>
        <v>Logistics cost - USD/GJ</v>
      </c>
      <c r="G242" s="128"/>
      <c r="H242" s="128"/>
      <c r="I242" t="s">
        <v>324</v>
      </c>
      <c r="K242" s="112">
        <f>SUMIFS('Fuel Logistics'!I:I,'Fuel Logistics'!$C:$C,$E242,'Fuel Logistics'!$D:$D,$D242,'Fuel Logistics'!$E:$E,"Logistics total")*IF($C242="Electricity",1,1/INDEX('TCO - Input'!$R$291:$R$321,MATCH($C242,'TCO - Input'!$F$291:$F$4010,0)))*1000</f>
        <v>0</v>
      </c>
      <c r="L242" s="112">
        <f>SUMIFS('Fuel Logistics'!J:J,'Fuel Logistics'!$C:$C,$E242,'Fuel Logistics'!$D:$D,$D242,'Fuel Logistics'!$E:$E,"Logistics total")*IF($C242="Electricity",1,1/INDEX('TCO - Input'!$R$291:$R$321,MATCH($C242,'TCO - Input'!$F$291:$F$4010,0)))*1000</f>
        <v>0</v>
      </c>
      <c r="M242" s="112">
        <f>SUMIFS('Fuel Logistics'!K:K,'Fuel Logistics'!$C:$C,$E242,'Fuel Logistics'!$D:$D,$D242,'Fuel Logistics'!$E:$E,"Logistics total")*IF($C242="Electricity",1,1/INDEX('TCO - Input'!$R$291:$R$321,MATCH($C242,'TCO - Input'!$F$291:$F$4010,0)))*1000</f>
        <v>0</v>
      </c>
      <c r="N242" s="112">
        <f>SUMIFS('Fuel Logistics'!L:L,'Fuel Logistics'!$C:$C,$E242,'Fuel Logistics'!$D:$D,$D242,'Fuel Logistics'!$E:$E,"Logistics total")*IF($C242="Electricity",1,1/INDEX('TCO - Input'!$R$291:$R$321,MATCH($C242,'TCO - Input'!$F$291:$F$4010,0)))*1000</f>
        <v>0</v>
      </c>
      <c r="O242" s="112">
        <f>SUMIFS('Fuel Logistics'!M:M,'Fuel Logistics'!$C:$C,$E242,'Fuel Logistics'!$D:$D,$D242,'Fuel Logistics'!$E:$E,"Logistics total")*IF($C242="Electricity",1,1/INDEX('TCO - Input'!$R$291:$R$321,MATCH($C242,'TCO - Input'!$F$291:$F$4010,0)))*1000</f>
        <v>0</v>
      </c>
      <c r="P242" s="112">
        <f>SUMIFS('Fuel Logistics'!N:N,'Fuel Logistics'!$C:$C,$E242,'Fuel Logistics'!$D:$D,$D242,'Fuel Logistics'!$E:$E,"Logistics total")*IF($C242="Electricity",1,1/INDEX('TCO - Input'!$R$291:$R$321,MATCH($C242,'TCO - Input'!$F$291:$F$4010,0)))*1000</f>
        <v>0</v>
      </c>
      <c r="Q242" s="112">
        <f>SUMIFS('Fuel Logistics'!O:O,'Fuel Logistics'!$C:$C,$E242,'Fuel Logistics'!$D:$D,$D242,'Fuel Logistics'!$E:$E,"Logistics total")*IF($C242="Electricity",1,1/INDEX('TCO - Input'!$R$291:$R$321,MATCH($C242,'TCO - Input'!$F$291:$F$4010,0)))*1000</f>
        <v>0</v>
      </c>
      <c r="R242" s="112">
        <f>SUMIFS('Fuel Logistics'!P:P,'Fuel Logistics'!$C:$C,$E242,'Fuel Logistics'!$D:$D,$D242,'Fuel Logistics'!$E:$E,"Logistics total")*IF($C242="Electricity",1,1/INDEX('TCO - Input'!$R$291:$R$321,MATCH($C242,'TCO - Input'!$F$291:$F$4010,0)))*1000</f>
        <v>0</v>
      </c>
      <c r="S242" s="112">
        <f>SUMIFS('Fuel Logistics'!Q:Q,'Fuel Logistics'!$C:$C,$E242,'Fuel Logistics'!$D:$D,$D242,'Fuel Logistics'!$E:$E,"Logistics total")*IF($C242="Electricity",1,1/INDEX('TCO - Input'!$R$291:$R$321,MATCH($C242,'TCO - Input'!$F$291:$F$4010,0)))*1000</f>
        <v>0</v>
      </c>
      <c r="T242" s="112">
        <f>SUMIFS('Fuel Logistics'!R:R,'Fuel Logistics'!$C:$C,$E242,'Fuel Logistics'!$D:$D,$D242,'Fuel Logistics'!$E:$E,"Logistics total")*IF($C242="Electricity",1,1/INDEX('TCO - Input'!$R$291:$R$321,MATCH($C242,'TCO - Input'!$F$291:$F$4010,0)))*1000</f>
        <v>0</v>
      </c>
      <c r="U242" s="112">
        <f>SUMIFS('Fuel Logistics'!S:S,'Fuel Logistics'!$C:$C,$E242,'Fuel Logistics'!$D:$D,$D242,'Fuel Logistics'!$E:$E,"Logistics total")*IF($C242="Electricity",1,1/INDEX('TCO - Input'!$R$291:$R$321,MATCH($C242,'TCO - Input'!$F$291:$F$4010,0)))*1000</f>
        <v>0</v>
      </c>
      <c r="V242" s="112">
        <f>SUMIFS('Fuel Logistics'!T:T,'Fuel Logistics'!$C:$C,$E242,'Fuel Logistics'!$D:$D,$D242,'Fuel Logistics'!$E:$E,"Logistics total")*IF($C242="Electricity",1,1/INDEX('TCO - Input'!$R$291:$R$321,MATCH($C242,'TCO - Input'!$F$291:$F$4010,0)))*1000</f>
        <v>0</v>
      </c>
    </row>
    <row r="243" spans="1:22" x14ac:dyDescent="0.2">
      <c r="A243" s="29">
        <f>A242+1</f>
        <v>2</v>
      </c>
      <c r="B243" s="334" t="str">
        <f t="shared" si="160"/>
        <v>LNG - Middle East - Logistics cost - USD/GJ</v>
      </c>
      <c r="C243" t="str" cm="1">
        <f t="array" ref="C243">INDEX(list_AE_fuel,A243)</f>
        <v>LNG</v>
      </c>
      <c r="D243" t="str">
        <f>INDEX('Configurator Specs.'!$AH:$AH,MATCH($C243,'Configurator Specs.'!$AE:$AE,0))</f>
        <v>LNG &amp; e-Methane</v>
      </c>
      <c r="E243" t="str">
        <f t="shared" ref="E243:E252" si="162">E242</f>
        <v>Middle East</v>
      </c>
      <c r="F243" t="str">
        <f t="shared" si="161"/>
        <v>Logistics cost - USD/GJ</v>
      </c>
      <c r="G243" s="128"/>
      <c r="H243" s="128"/>
      <c r="I243" t="s">
        <v>324</v>
      </c>
      <c r="K243" s="112">
        <f>SUMIFS('Fuel Logistics'!I:I,'Fuel Logistics'!$C:$C,$E243,'Fuel Logistics'!$D:$D,$D243,'Fuel Logistics'!$E:$E,"Logistics total")*IF($C243="Electricity",1,1/INDEX('TCO - Input'!$R$291:$R$321,MATCH($C243,'TCO - Input'!$F$291:$F$4010,0)))*1000</f>
        <v>0.8559902820577685</v>
      </c>
      <c r="L243" s="112">
        <f>SUMIFS('Fuel Logistics'!J:J,'Fuel Logistics'!$C:$C,$E243,'Fuel Logistics'!$D:$D,$D243,'Fuel Logistics'!$E:$E,"Logistics total")*IF($C243="Electricity",1,1/INDEX('TCO - Input'!$R$291:$R$321,MATCH($C243,'TCO - Input'!$F$291:$F$4010,0)))*1000</f>
        <v>0.85428651565110947</v>
      </c>
      <c r="M243" s="112">
        <f>SUMIFS('Fuel Logistics'!K:K,'Fuel Logistics'!$C:$C,$E243,'Fuel Logistics'!$D:$D,$D243,'Fuel Logistics'!$E:$E,"Logistics total")*IF($C243="Electricity",1,1/INDEX('TCO - Input'!$R$291:$R$321,MATCH($C243,'TCO - Input'!$F$291:$F$4010,0)))*1000</f>
        <v>0.85315846617906355</v>
      </c>
      <c r="N243" s="112">
        <f>SUMIFS('Fuel Logistics'!L:L,'Fuel Logistics'!$C:$C,$E243,'Fuel Logistics'!$D:$D,$D243,'Fuel Logistics'!$E:$E,"Logistics total")*IF($C243="Electricity",1,1/INDEX('TCO - Input'!$R$291:$R$321,MATCH($C243,'TCO - Input'!$F$291:$F$4010,0)))*1000</f>
        <v>0.85236306130945982</v>
      </c>
      <c r="O243" s="112">
        <f>SUMIFS('Fuel Logistics'!M:M,'Fuel Logistics'!$C:$C,$E243,'Fuel Logistics'!$D:$D,$D243,'Fuel Logistics'!$E:$E,"Logistics total")*IF($C243="Electricity",1,1/INDEX('TCO - Input'!$R$291:$R$321,MATCH($C243,'TCO - Input'!$F$291:$F$4010,0)))*1000</f>
        <v>0.8519642536715426</v>
      </c>
      <c r="P243" s="112">
        <f>SUMIFS('Fuel Logistics'!N:N,'Fuel Logistics'!$C:$C,$E243,'Fuel Logistics'!$D:$D,$D243,'Fuel Logistics'!$E:$E,"Logistics total")*IF($C243="Electricity",1,1/INDEX('TCO - Input'!$R$291:$R$321,MATCH($C243,'TCO - Input'!$F$291:$F$4010,0)))*1000</f>
        <v>0.85144125890758715</v>
      </c>
      <c r="Q243" s="112">
        <f>SUMIFS('Fuel Logistics'!O:O,'Fuel Logistics'!$C:$C,$E243,'Fuel Logistics'!$D:$D,$D243,'Fuel Logistics'!$E:$E,"Logistics total")*IF($C243="Electricity",1,1/INDEX('TCO - Input'!$R$291:$R$321,MATCH($C243,'TCO - Input'!$F$291:$F$4010,0)))*1000</f>
        <v>0.85119648095160083</v>
      </c>
      <c r="R243" s="112">
        <f>SUMIFS('Fuel Logistics'!P:P,'Fuel Logistics'!$C:$C,$E243,'Fuel Logistics'!$D:$D,$D243,'Fuel Logistics'!$E:$E,"Logistics total")*IF($C243="Electricity",1,1/INDEX('TCO - Input'!$R$291:$R$321,MATCH($C243,'TCO - Input'!$F$291:$F$4010,0)))*1000</f>
        <v>0.85119648095160083</v>
      </c>
      <c r="S243" s="112">
        <f>SUMIFS('Fuel Logistics'!Q:Q,'Fuel Logistics'!$C:$C,$E243,'Fuel Logistics'!$D:$D,$D243,'Fuel Logistics'!$E:$E,"Logistics total")*IF($C243="Electricity",1,1/INDEX('TCO - Input'!$R$291:$R$321,MATCH($C243,'TCO - Input'!$F$291:$F$4010,0)))*1000</f>
        <v>0.85119648095160083</v>
      </c>
      <c r="T243" s="112">
        <f>SUMIFS('Fuel Logistics'!R:R,'Fuel Logistics'!$C:$C,$E243,'Fuel Logistics'!$D:$D,$D243,'Fuel Logistics'!$E:$E,"Logistics total")*IF($C243="Electricity",1,1/INDEX('TCO - Input'!$R$291:$R$321,MATCH($C243,'TCO - Input'!$F$291:$F$4010,0)))*1000</f>
        <v>0.85119648095160083</v>
      </c>
      <c r="U243" s="112">
        <f>SUMIFS('Fuel Logistics'!S:S,'Fuel Logistics'!$C:$C,$E243,'Fuel Logistics'!$D:$D,$D243,'Fuel Logistics'!$E:$E,"Logistics total")*IF($C243="Electricity",1,1/INDEX('TCO - Input'!$R$291:$R$321,MATCH($C243,'TCO - Input'!$F$291:$F$4010,0)))*1000</f>
        <v>0.85119648095160083</v>
      </c>
      <c r="V243" s="112">
        <f>SUMIFS('Fuel Logistics'!T:T,'Fuel Logistics'!$C:$C,$E243,'Fuel Logistics'!$D:$D,$D243,'Fuel Logistics'!$E:$E,"Logistics total")*IF($C243="Electricity",1,1/INDEX('TCO - Input'!$R$291:$R$321,MATCH($C243,'TCO - Input'!$F$291:$F$4010,0)))*1000</f>
        <v>0.85119648095160083</v>
      </c>
    </row>
    <row r="244" spans="1:22" x14ac:dyDescent="0.2">
      <c r="A244" s="29">
        <f t="shared" ref="A244:A261" si="163">A243+1</f>
        <v>3</v>
      </c>
      <c r="B244" s="334" t="str">
        <f t="shared" si="160"/>
        <v>LPG - Middle East - Logistics cost - USD/GJ</v>
      </c>
      <c r="C244" t="str" cm="1">
        <f t="array" ref="C244">INDEX(list_AE_fuel,A244)</f>
        <v>LPG</v>
      </c>
      <c r="D244" t="str">
        <f>INDEX('Configurator Specs.'!$AH:$AH,MATCH($C244,'Configurator Specs.'!$AE:$AE,0))</f>
        <v>LPG</v>
      </c>
      <c r="E244" t="str">
        <f t="shared" si="162"/>
        <v>Middle East</v>
      </c>
      <c r="F244" t="str">
        <f t="shared" si="161"/>
        <v>Logistics cost - USD/GJ</v>
      </c>
      <c r="G244" s="128"/>
      <c r="H244" s="128"/>
      <c r="I244" t="s">
        <v>324</v>
      </c>
      <c r="K244" s="112">
        <f>SUMIFS('Fuel Logistics'!I:I,'Fuel Logistics'!$C:$C,$E244,'Fuel Logistics'!$D:$D,$D244,'Fuel Logistics'!$E:$E,"Logistics total")*IF($C244="Electricity",1,1/INDEX('TCO - Input'!$R$291:$R$321,MATCH($C244,'TCO - Input'!$F$291:$F$4010,0)))*1000</f>
        <v>0</v>
      </c>
      <c r="L244" s="112">
        <f>SUMIFS('Fuel Logistics'!J:J,'Fuel Logistics'!$C:$C,$E244,'Fuel Logistics'!$D:$D,$D244,'Fuel Logistics'!$E:$E,"Logistics total")*IF($C244="Electricity",1,1/INDEX('TCO - Input'!$R$291:$R$321,MATCH($C244,'TCO - Input'!$F$291:$F$4010,0)))*1000</f>
        <v>0</v>
      </c>
      <c r="M244" s="112">
        <f>SUMIFS('Fuel Logistics'!K:K,'Fuel Logistics'!$C:$C,$E244,'Fuel Logistics'!$D:$D,$D244,'Fuel Logistics'!$E:$E,"Logistics total")*IF($C244="Electricity",1,1/INDEX('TCO - Input'!$R$291:$R$321,MATCH($C244,'TCO - Input'!$F$291:$F$4010,0)))*1000</f>
        <v>0</v>
      </c>
      <c r="N244" s="112">
        <f>SUMIFS('Fuel Logistics'!L:L,'Fuel Logistics'!$C:$C,$E244,'Fuel Logistics'!$D:$D,$D244,'Fuel Logistics'!$E:$E,"Logistics total")*IF($C244="Electricity",1,1/INDEX('TCO - Input'!$R$291:$R$321,MATCH($C244,'TCO - Input'!$F$291:$F$4010,0)))*1000</f>
        <v>0</v>
      </c>
      <c r="O244" s="112">
        <f>SUMIFS('Fuel Logistics'!M:M,'Fuel Logistics'!$C:$C,$E244,'Fuel Logistics'!$D:$D,$D244,'Fuel Logistics'!$E:$E,"Logistics total")*IF($C244="Electricity",1,1/INDEX('TCO - Input'!$R$291:$R$321,MATCH($C244,'TCO - Input'!$F$291:$F$4010,0)))*1000</f>
        <v>0</v>
      </c>
      <c r="P244" s="112">
        <f>SUMIFS('Fuel Logistics'!N:N,'Fuel Logistics'!$C:$C,$E244,'Fuel Logistics'!$D:$D,$D244,'Fuel Logistics'!$E:$E,"Logistics total")*IF($C244="Electricity",1,1/INDEX('TCO - Input'!$R$291:$R$321,MATCH($C244,'TCO - Input'!$F$291:$F$4010,0)))*1000</f>
        <v>0</v>
      </c>
      <c r="Q244" s="112">
        <f>SUMIFS('Fuel Logistics'!O:O,'Fuel Logistics'!$C:$C,$E244,'Fuel Logistics'!$D:$D,$D244,'Fuel Logistics'!$E:$E,"Logistics total")*IF($C244="Electricity",1,1/INDEX('TCO - Input'!$R$291:$R$321,MATCH($C244,'TCO - Input'!$F$291:$F$4010,0)))*1000</f>
        <v>0</v>
      </c>
      <c r="R244" s="112">
        <f>SUMIFS('Fuel Logistics'!P:P,'Fuel Logistics'!$C:$C,$E244,'Fuel Logistics'!$D:$D,$D244,'Fuel Logistics'!$E:$E,"Logistics total")*IF($C244="Electricity",1,1/INDEX('TCO - Input'!$R$291:$R$321,MATCH($C244,'TCO - Input'!$F$291:$F$4010,0)))*1000</f>
        <v>0</v>
      </c>
      <c r="S244" s="112">
        <f>SUMIFS('Fuel Logistics'!Q:Q,'Fuel Logistics'!$C:$C,$E244,'Fuel Logistics'!$D:$D,$D244,'Fuel Logistics'!$E:$E,"Logistics total")*IF($C244="Electricity",1,1/INDEX('TCO - Input'!$R$291:$R$321,MATCH($C244,'TCO - Input'!$F$291:$F$4010,0)))*1000</f>
        <v>0</v>
      </c>
      <c r="T244" s="112">
        <f>SUMIFS('Fuel Logistics'!R:R,'Fuel Logistics'!$C:$C,$E244,'Fuel Logistics'!$D:$D,$D244,'Fuel Logistics'!$E:$E,"Logistics total")*IF($C244="Electricity",1,1/INDEX('TCO - Input'!$R$291:$R$321,MATCH($C244,'TCO - Input'!$F$291:$F$4010,0)))*1000</f>
        <v>0</v>
      </c>
      <c r="U244" s="112">
        <f>SUMIFS('Fuel Logistics'!S:S,'Fuel Logistics'!$C:$C,$E244,'Fuel Logistics'!$D:$D,$D244,'Fuel Logistics'!$E:$E,"Logistics total")*IF($C244="Electricity",1,1/INDEX('TCO - Input'!$R$291:$R$321,MATCH($C244,'TCO - Input'!$F$291:$F$4010,0)))*1000</f>
        <v>0</v>
      </c>
      <c r="V244" s="112">
        <f>SUMIFS('Fuel Logistics'!T:T,'Fuel Logistics'!$C:$C,$E244,'Fuel Logistics'!$D:$D,$D244,'Fuel Logistics'!$E:$E,"Logistics total")*IF($C244="Electricity",1,1/INDEX('TCO - Input'!$R$291:$R$321,MATCH($C244,'TCO - Input'!$F$291:$F$4010,0)))*1000</f>
        <v>0</v>
      </c>
    </row>
    <row r="245" spans="1:22" x14ac:dyDescent="0.2">
      <c r="A245" s="29">
        <f t="shared" si="163"/>
        <v>4</v>
      </c>
      <c r="B245" s="334" t="str">
        <f t="shared" si="160"/>
        <v>Electricity - Middle East - Logistics cost - USD/GJ</v>
      </c>
      <c r="C245" t="str" cm="1">
        <f t="array" ref="C245">INDEX(list_AE_fuel,A245)</f>
        <v>Electricity</v>
      </c>
      <c r="D245" t="str">
        <f>INDEX('Configurator Specs.'!$AH:$AH,MATCH($C245,'Configurator Specs.'!$AE:$AE,0))</f>
        <v>Electricity</v>
      </c>
      <c r="E245" t="str">
        <f t="shared" si="162"/>
        <v>Middle East</v>
      </c>
      <c r="F245" t="str">
        <f t="shared" si="161"/>
        <v>Logistics cost - USD/GJ</v>
      </c>
      <c r="G245" s="128"/>
      <c r="H245" s="128"/>
      <c r="I245" t="s">
        <v>324</v>
      </c>
      <c r="K245" s="112">
        <f>SUMIFS('Fuel Logistics'!I:I,'Fuel Logistics'!$C:$C,$E245,'Fuel Logistics'!$D:$D,$D245,'Fuel Logistics'!$E:$E,"Logistics total")*IF($C245="Electricity",1,1/INDEX('TCO - Input'!$R$291:$R$321,MATCH($C245,'TCO - Input'!$F$291:$F$4010,0)))*1000</f>
        <v>18.782608695652176</v>
      </c>
      <c r="L245" s="112">
        <f>SUMIFS('Fuel Logistics'!J:J,'Fuel Logistics'!$C:$C,$E245,'Fuel Logistics'!$D:$D,$D245,'Fuel Logistics'!$E:$E,"Logistics total")*IF($C245="Electricity",1,1/INDEX('TCO - Input'!$R$291:$R$321,MATCH($C245,'TCO - Input'!$F$291:$F$4010,0)))*1000</f>
        <v>18.782608695652176</v>
      </c>
      <c r="M245" s="112">
        <f>SUMIFS('Fuel Logistics'!K:K,'Fuel Logistics'!$C:$C,$E245,'Fuel Logistics'!$D:$D,$D245,'Fuel Logistics'!$E:$E,"Logistics total")*IF($C245="Electricity",1,1/INDEX('TCO - Input'!$R$291:$R$321,MATCH($C245,'TCO - Input'!$F$291:$F$4010,0)))*1000</f>
        <v>18.782608695652176</v>
      </c>
      <c r="N245" s="112">
        <f>SUMIFS('Fuel Logistics'!L:L,'Fuel Logistics'!$C:$C,$E245,'Fuel Logistics'!$D:$D,$D245,'Fuel Logistics'!$E:$E,"Logistics total")*IF($C245="Electricity",1,1/INDEX('TCO - Input'!$R$291:$R$321,MATCH($C245,'TCO - Input'!$F$291:$F$4010,0)))*1000</f>
        <v>18.782608695652176</v>
      </c>
      <c r="O245" s="112">
        <f>SUMIFS('Fuel Logistics'!M:M,'Fuel Logistics'!$C:$C,$E245,'Fuel Logistics'!$D:$D,$D245,'Fuel Logistics'!$E:$E,"Logistics total")*IF($C245="Electricity",1,1/INDEX('TCO - Input'!$R$291:$R$321,MATCH($C245,'TCO - Input'!$F$291:$F$4010,0)))*1000</f>
        <v>18.782608695652176</v>
      </c>
      <c r="P245" s="112">
        <f>SUMIFS('Fuel Logistics'!N:N,'Fuel Logistics'!$C:$C,$E245,'Fuel Logistics'!$D:$D,$D245,'Fuel Logistics'!$E:$E,"Logistics total")*IF($C245="Electricity",1,1/INDEX('TCO - Input'!$R$291:$R$321,MATCH($C245,'TCO - Input'!$F$291:$F$4010,0)))*1000</f>
        <v>18.782608695652176</v>
      </c>
      <c r="Q245" s="112">
        <f>SUMIFS('Fuel Logistics'!O:O,'Fuel Logistics'!$C:$C,$E245,'Fuel Logistics'!$D:$D,$D245,'Fuel Logistics'!$E:$E,"Logistics total")*IF($C245="Electricity",1,1/INDEX('TCO - Input'!$R$291:$R$321,MATCH($C245,'TCO - Input'!$F$291:$F$4010,0)))*1000</f>
        <v>18.782608695652176</v>
      </c>
      <c r="R245" s="112">
        <f>SUMIFS('Fuel Logistics'!P:P,'Fuel Logistics'!$C:$C,$E245,'Fuel Logistics'!$D:$D,$D245,'Fuel Logistics'!$E:$E,"Logistics total")*IF($C245="Electricity",1,1/INDEX('TCO - Input'!$R$291:$R$321,MATCH($C245,'TCO - Input'!$F$291:$F$4010,0)))*1000</f>
        <v>18.782608695652176</v>
      </c>
      <c r="S245" s="112">
        <f>SUMIFS('Fuel Logistics'!Q:Q,'Fuel Logistics'!$C:$C,$E245,'Fuel Logistics'!$D:$D,$D245,'Fuel Logistics'!$E:$E,"Logistics total")*IF($C245="Electricity",1,1/INDEX('TCO - Input'!$R$291:$R$321,MATCH($C245,'TCO - Input'!$F$291:$F$4010,0)))*1000</f>
        <v>18.782608695652176</v>
      </c>
      <c r="T245" s="112">
        <f>SUMIFS('Fuel Logistics'!R:R,'Fuel Logistics'!$C:$C,$E245,'Fuel Logistics'!$D:$D,$D245,'Fuel Logistics'!$E:$E,"Logistics total")*IF($C245="Electricity",1,1/INDEX('TCO - Input'!$R$291:$R$321,MATCH($C245,'TCO - Input'!$F$291:$F$4010,0)))*1000</f>
        <v>18.782608695652176</v>
      </c>
      <c r="U245" s="112">
        <f>SUMIFS('Fuel Logistics'!S:S,'Fuel Logistics'!$C:$C,$E245,'Fuel Logistics'!$D:$D,$D245,'Fuel Logistics'!$E:$E,"Logistics total")*IF($C245="Electricity",1,1/INDEX('TCO - Input'!$R$291:$R$321,MATCH($C245,'TCO - Input'!$F$291:$F$4010,0)))*1000</f>
        <v>18.782608695652176</v>
      </c>
      <c r="V245" s="112">
        <f>SUMIFS('Fuel Logistics'!T:T,'Fuel Logistics'!$C:$C,$E245,'Fuel Logistics'!$D:$D,$D245,'Fuel Logistics'!$E:$E,"Logistics total")*IF($C245="Electricity",1,1/INDEX('TCO - Input'!$R$291:$R$321,MATCH($C245,'TCO - Input'!$F$291:$F$4010,0)))*1000</f>
        <v>18.782608695652176</v>
      </c>
    </row>
    <row r="246" spans="1:22" x14ac:dyDescent="0.2">
      <c r="A246" s="29">
        <f t="shared" si="163"/>
        <v>5</v>
      </c>
      <c r="B246" s="334" t="str">
        <f t="shared" si="160"/>
        <v>e-Ammonia - Middle East - Logistics cost - USD/GJ</v>
      </c>
      <c r="C246" t="str" cm="1">
        <f t="array" ref="C246">INDEX(list_AE_fuel,A246)</f>
        <v>e-Ammonia</v>
      </c>
      <c r="D246" t="str">
        <f>INDEX('Configurator Specs.'!$AH:$AH,MATCH($C246,'Configurator Specs.'!$AE:$AE,0))</f>
        <v>Ammonia</v>
      </c>
      <c r="E246" t="str">
        <f t="shared" si="162"/>
        <v>Middle East</v>
      </c>
      <c r="F246" t="str">
        <f t="shared" si="161"/>
        <v>Logistics cost - USD/GJ</v>
      </c>
      <c r="G246" s="226"/>
      <c r="H246" s="128"/>
      <c r="I246" t="s">
        <v>324</v>
      </c>
      <c r="K246" s="112">
        <f>SUMIFS('Fuel Logistics'!I:I,'Fuel Logistics'!$C:$C,$E246,'Fuel Logistics'!$D:$D,$D246,'Fuel Logistics'!$E:$E,"Logistics total")*IF($C246="Electricity",1,1/INDEX('TCO - Input'!$R$291:$R$321,MATCH($C246,'TCO - Input'!$F$291:$F$4010,0)))*1000</f>
        <v>1.1370561769359497</v>
      </c>
      <c r="L246" s="112">
        <f>SUMIFS('Fuel Logistics'!J:J,'Fuel Logistics'!$C:$C,$E246,'Fuel Logistics'!$D:$D,$D246,'Fuel Logistics'!$E:$E,"Logistics total")*IF($C246="Electricity",1,1/INDEX('TCO - Input'!$R$291:$R$321,MATCH($C246,'TCO - Input'!$F$291:$F$4010,0)))*1000</f>
        <v>1.1287146033415358</v>
      </c>
      <c r="M246" s="112">
        <f>SUMIFS('Fuel Logistics'!K:K,'Fuel Logistics'!$C:$C,$E246,'Fuel Logistics'!$D:$D,$D246,'Fuel Logistics'!$E:$E,"Logistics total")*IF($C246="Electricity",1,1/INDEX('TCO - Input'!$R$291:$R$321,MATCH($C246,'TCO - Input'!$F$291:$F$4010,0)))*1000</f>
        <v>1.1231917173094872</v>
      </c>
      <c r="N246" s="112">
        <f>SUMIFS('Fuel Logistics'!L:L,'Fuel Logistics'!$C:$C,$E246,'Fuel Logistics'!$D:$D,$D246,'Fuel Logistics'!$E:$E,"Logistics total")*IF($C246="Electricity",1,1/INDEX('TCO - Input'!$R$291:$R$321,MATCH($C246,'TCO - Input'!$F$291:$F$4010,0)))*1000</f>
        <v>1.1192974462220755</v>
      </c>
      <c r="O246" s="112">
        <f>SUMIFS('Fuel Logistics'!M:M,'Fuel Logistics'!$C:$C,$E246,'Fuel Logistics'!$D:$D,$D246,'Fuel Logistics'!$E:$E,"Logistics total")*IF($C246="Electricity",1,1/INDEX('TCO - Input'!$R$291:$R$321,MATCH($C246,'TCO - Input'!$F$291:$F$4010,0)))*1000</f>
        <v>1.1173448996472055</v>
      </c>
      <c r="P246" s="112">
        <f>SUMIFS('Fuel Logistics'!N:N,'Fuel Logistics'!$C:$C,$E246,'Fuel Logistics'!$D:$D,$D246,'Fuel Logistics'!$E:$E,"Logistics total")*IF($C246="Electricity",1,1/INDEX('TCO - Input'!$R$291:$R$321,MATCH($C246,'TCO - Input'!$F$291:$F$4010,0)))*1000</f>
        <v>1.1147843377673758</v>
      </c>
      <c r="Q246" s="112">
        <f>SUMIFS('Fuel Logistics'!O:O,'Fuel Logistics'!$C:$C,$E246,'Fuel Logistics'!$D:$D,$D246,'Fuel Logistics'!$E:$E,"Logistics total")*IF($C246="Electricity",1,1/INDEX('TCO - Input'!$R$291:$R$321,MATCH($C246,'TCO - Input'!$F$291:$F$4010,0)))*1000</f>
        <v>1.1135859144822526</v>
      </c>
      <c r="R246" s="112">
        <f>SUMIFS('Fuel Logistics'!P:P,'Fuel Logistics'!$C:$C,$E246,'Fuel Logistics'!$D:$D,$D246,'Fuel Logistics'!$E:$E,"Logistics total")*IF($C246="Electricity",1,1/INDEX('TCO - Input'!$R$291:$R$321,MATCH($C246,'TCO - Input'!$F$291:$F$4010,0)))*1000</f>
        <v>1.1135859144822526</v>
      </c>
      <c r="S246" s="112">
        <f>SUMIFS('Fuel Logistics'!Q:Q,'Fuel Logistics'!$C:$C,$E246,'Fuel Logistics'!$D:$D,$D246,'Fuel Logistics'!$E:$E,"Logistics total")*IF($C246="Electricity",1,1/INDEX('TCO - Input'!$R$291:$R$321,MATCH($C246,'TCO - Input'!$F$291:$F$4010,0)))*1000</f>
        <v>1.1135859144822526</v>
      </c>
      <c r="T246" s="112">
        <f>SUMIFS('Fuel Logistics'!R:R,'Fuel Logistics'!$C:$C,$E246,'Fuel Logistics'!$D:$D,$D246,'Fuel Logistics'!$E:$E,"Logistics total")*IF($C246="Electricity",1,1/INDEX('TCO - Input'!$R$291:$R$321,MATCH($C246,'TCO - Input'!$F$291:$F$4010,0)))*1000</f>
        <v>1.1135859144822526</v>
      </c>
      <c r="U246" s="112">
        <f>SUMIFS('Fuel Logistics'!S:S,'Fuel Logistics'!$C:$C,$E246,'Fuel Logistics'!$D:$D,$D246,'Fuel Logistics'!$E:$E,"Logistics total")*IF($C246="Electricity",1,1/INDEX('TCO - Input'!$R$291:$R$321,MATCH($C246,'TCO - Input'!$F$291:$F$4010,0)))*1000</f>
        <v>1.1135859144822526</v>
      </c>
      <c r="V246" s="112">
        <f>SUMIFS('Fuel Logistics'!T:T,'Fuel Logistics'!$C:$C,$E246,'Fuel Logistics'!$D:$D,$D246,'Fuel Logistics'!$E:$E,"Logistics total")*IF($C246="Electricity",1,1/INDEX('TCO - Input'!$R$291:$R$321,MATCH($C246,'TCO - Input'!$F$291:$F$4010,0)))*1000</f>
        <v>1.1135859144822526</v>
      </c>
    </row>
    <row r="247" spans="1:22" x14ac:dyDescent="0.2">
      <c r="A247" s="29">
        <f t="shared" si="163"/>
        <v>6</v>
      </c>
      <c r="B247" s="334" t="str">
        <f t="shared" si="160"/>
        <v>Blue ammonia - Middle East - Logistics cost - USD/GJ</v>
      </c>
      <c r="C247" t="str" cm="1">
        <f t="array" ref="C247">INDEX(list_AE_fuel,A247)</f>
        <v>Blue ammonia</v>
      </c>
      <c r="D247" t="str">
        <f>INDEX('Configurator Specs.'!$AH:$AH,MATCH($C247,'Configurator Specs.'!$AE:$AE,0))</f>
        <v>Ammonia</v>
      </c>
      <c r="E247" t="str">
        <f t="shared" si="162"/>
        <v>Middle East</v>
      </c>
      <c r="F247" t="str">
        <f t="shared" si="161"/>
        <v>Logistics cost - USD/GJ</v>
      </c>
      <c r="G247" s="226"/>
      <c r="H247" s="128"/>
      <c r="I247" t="s">
        <v>324</v>
      </c>
      <c r="K247" s="112">
        <f>SUMIFS('Fuel Logistics'!I:I,'Fuel Logistics'!$C:$C,$E247,'Fuel Logistics'!$D:$D,$D247,'Fuel Logistics'!$E:$E,"Logistics total")*IF($C247="Electricity",1,1/INDEX('TCO - Input'!$R$291:$R$321,MATCH($C247,'TCO - Input'!$F$291:$F$4010,0)))*1000</f>
        <v>1.1370561769359497</v>
      </c>
      <c r="L247" s="112">
        <f>SUMIFS('Fuel Logistics'!J:J,'Fuel Logistics'!$C:$C,$E247,'Fuel Logistics'!$D:$D,$D247,'Fuel Logistics'!$E:$E,"Logistics total")*IF($C247="Electricity",1,1/INDEX('TCO - Input'!$R$291:$R$321,MATCH($C247,'TCO - Input'!$F$291:$F$4010,0)))*1000</f>
        <v>1.1287146033415358</v>
      </c>
      <c r="M247" s="112">
        <f>SUMIFS('Fuel Logistics'!K:K,'Fuel Logistics'!$C:$C,$E247,'Fuel Logistics'!$D:$D,$D247,'Fuel Logistics'!$E:$E,"Logistics total")*IF($C247="Electricity",1,1/INDEX('TCO - Input'!$R$291:$R$321,MATCH($C247,'TCO - Input'!$F$291:$F$4010,0)))*1000</f>
        <v>1.1231917173094872</v>
      </c>
      <c r="N247" s="112">
        <f>SUMIFS('Fuel Logistics'!L:L,'Fuel Logistics'!$C:$C,$E247,'Fuel Logistics'!$D:$D,$D247,'Fuel Logistics'!$E:$E,"Logistics total")*IF($C247="Electricity",1,1/INDEX('TCO - Input'!$R$291:$R$321,MATCH($C247,'TCO - Input'!$F$291:$F$4010,0)))*1000</f>
        <v>1.1192974462220755</v>
      </c>
      <c r="O247" s="112">
        <f>SUMIFS('Fuel Logistics'!M:M,'Fuel Logistics'!$C:$C,$E247,'Fuel Logistics'!$D:$D,$D247,'Fuel Logistics'!$E:$E,"Logistics total")*IF($C247="Electricity",1,1/INDEX('TCO - Input'!$R$291:$R$321,MATCH($C247,'TCO - Input'!$F$291:$F$4010,0)))*1000</f>
        <v>1.1173448996472055</v>
      </c>
      <c r="P247" s="112">
        <f>SUMIFS('Fuel Logistics'!N:N,'Fuel Logistics'!$C:$C,$E247,'Fuel Logistics'!$D:$D,$D247,'Fuel Logistics'!$E:$E,"Logistics total")*IF($C247="Electricity",1,1/INDEX('TCO - Input'!$R$291:$R$321,MATCH($C247,'TCO - Input'!$F$291:$F$4010,0)))*1000</f>
        <v>1.1147843377673758</v>
      </c>
      <c r="Q247" s="112">
        <f>SUMIFS('Fuel Logistics'!O:O,'Fuel Logistics'!$C:$C,$E247,'Fuel Logistics'!$D:$D,$D247,'Fuel Logistics'!$E:$E,"Logistics total")*IF($C247="Electricity",1,1/INDEX('TCO - Input'!$R$291:$R$321,MATCH($C247,'TCO - Input'!$F$291:$F$4010,0)))*1000</f>
        <v>1.1135859144822526</v>
      </c>
      <c r="R247" s="112">
        <f>SUMIFS('Fuel Logistics'!P:P,'Fuel Logistics'!$C:$C,$E247,'Fuel Logistics'!$D:$D,$D247,'Fuel Logistics'!$E:$E,"Logistics total")*IF($C247="Electricity",1,1/INDEX('TCO - Input'!$R$291:$R$321,MATCH($C247,'TCO - Input'!$F$291:$F$4010,0)))*1000</f>
        <v>1.1135859144822526</v>
      </c>
      <c r="S247" s="112">
        <f>SUMIFS('Fuel Logistics'!Q:Q,'Fuel Logistics'!$C:$C,$E247,'Fuel Logistics'!$D:$D,$D247,'Fuel Logistics'!$E:$E,"Logistics total")*IF($C247="Electricity",1,1/INDEX('TCO - Input'!$R$291:$R$321,MATCH($C247,'TCO - Input'!$F$291:$F$4010,0)))*1000</f>
        <v>1.1135859144822526</v>
      </c>
      <c r="T247" s="112">
        <f>SUMIFS('Fuel Logistics'!R:R,'Fuel Logistics'!$C:$C,$E247,'Fuel Logistics'!$D:$D,$D247,'Fuel Logistics'!$E:$E,"Logistics total")*IF($C247="Electricity",1,1/INDEX('TCO - Input'!$R$291:$R$321,MATCH($C247,'TCO - Input'!$F$291:$F$4010,0)))*1000</f>
        <v>1.1135859144822526</v>
      </c>
      <c r="U247" s="112">
        <f>SUMIFS('Fuel Logistics'!S:S,'Fuel Logistics'!$C:$C,$E247,'Fuel Logistics'!$D:$D,$D247,'Fuel Logistics'!$E:$E,"Logistics total")*IF($C247="Electricity",1,1/INDEX('TCO - Input'!$R$291:$R$321,MATCH($C247,'TCO - Input'!$F$291:$F$4010,0)))*1000</f>
        <v>1.1135859144822526</v>
      </c>
      <c r="V247" s="112">
        <f>SUMIFS('Fuel Logistics'!T:T,'Fuel Logistics'!$C:$C,$E247,'Fuel Logistics'!$D:$D,$D247,'Fuel Logistics'!$E:$E,"Logistics total")*IF($C247="Electricity",1,1/INDEX('TCO - Input'!$R$291:$R$321,MATCH($C247,'TCO - Input'!$F$291:$F$4010,0)))*1000</f>
        <v>1.1135859144822526</v>
      </c>
    </row>
    <row r="248" spans="1:22" x14ac:dyDescent="0.2">
      <c r="A248" s="29">
        <f t="shared" si="163"/>
        <v>7</v>
      </c>
      <c r="B248" s="334" t="str">
        <f t="shared" si="160"/>
        <v>Biomethane - Middle East - Logistics cost - USD/GJ</v>
      </c>
      <c r="C248" t="str" cm="1">
        <f t="array" ref="C248">INDEX(list_AE_fuel,A248)</f>
        <v>Biomethane</v>
      </c>
      <c r="D248" t="str">
        <f>INDEX('Configurator Specs.'!$AH:$AH,MATCH($C248,'Configurator Specs.'!$AE:$AE,0))</f>
        <v>Biomethane</v>
      </c>
      <c r="E248" t="str">
        <f t="shared" si="162"/>
        <v>Middle East</v>
      </c>
      <c r="F248" t="str">
        <f t="shared" si="161"/>
        <v>Logistics cost - USD/GJ</v>
      </c>
      <c r="G248"/>
      <c r="H248" s="128"/>
      <c r="I248" t="s">
        <v>324</v>
      </c>
      <c r="K248" s="112">
        <f>SUMIFS('Fuel Logistics'!I:I,'Fuel Logistics'!$C:$C,$E248,'Fuel Logistics'!$D:$D,$D248,'Fuel Logistics'!$E:$E,"Logistics total")*IF($C248="Electricity",1,1/INDEX('TCO - Input'!$R$291:$R$321,MATCH($C248,'TCO - Input'!$F$291:$F$4010,0)))*1000</f>
        <v>1.1152927451394499</v>
      </c>
      <c r="L248" s="112">
        <f>SUMIFS('Fuel Logistics'!J:J,'Fuel Logistics'!$C:$C,$E248,'Fuel Logistics'!$D:$D,$D248,'Fuel Logistics'!$E:$E,"Logistics total")*IF($C248="Electricity",1,1/INDEX('TCO - Input'!$R$291:$R$321,MATCH($C248,'TCO - Input'!$F$291:$F$4010,0)))*1000</f>
        <v>1.1136571293890571</v>
      </c>
      <c r="M248" s="112">
        <f>SUMIFS('Fuel Logistics'!K:K,'Fuel Logistics'!$C:$C,$E248,'Fuel Logistics'!$D:$D,$D248,'Fuel Logistics'!$E:$E,"Logistics total")*IF($C248="Electricity",1,1/INDEX('TCO - Input'!$R$291:$R$321,MATCH($C248,'TCO - Input'!$F$291:$F$4010,0)))*1000</f>
        <v>1.1125742018958931</v>
      </c>
      <c r="N248" s="112">
        <f>SUMIFS('Fuel Logistics'!L:L,'Fuel Logistics'!$C:$C,$E248,'Fuel Logistics'!$D:$D,$D248,'Fuel Logistics'!$E:$E,"Logistics total")*IF($C248="Electricity",1,1/INDEX('TCO - Input'!$R$291:$R$321,MATCH($C248,'TCO - Input'!$F$291:$F$4010,0)))*1000</f>
        <v>1.1118106132210732</v>
      </c>
      <c r="O248" s="112">
        <f>SUMIFS('Fuel Logistics'!M:M,'Fuel Logistics'!$C:$C,$E248,'Fuel Logistics'!$D:$D,$D248,'Fuel Logistics'!$E:$E,"Logistics total")*IF($C248="Electricity",1,1/INDEX('TCO - Input'!$R$291:$R$321,MATCH($C248,'TCO - Input'!$F$291:$F$4010,0)))*1000</f>
        <v>1.1114277578886729</v>
      </c>
      <c r="P248" s="112">
        <f>SUMIFS('Fuel Logistics'!N:N,'Fuel Logistics'!$C:$C,$E248,'Fuel Logistics'!$D:$D,$D248,'Fuel Logistics'!$E:$E,"Logistics total")*IF($C248="Electricity",1,1/INDEX('TCO - Input'!$R$291:$R$321,MATCH($C248,'TCO - Input'!$F$291:$F$4010,0)))*1000</f>
        <v>1.1109256829152758</v>
      </c>
      <c r="Q248" s="112">
        <f>SUMIFS('Fuel Logistics'!O:O,'Fuel Logistics'!$C:$C,$E248,'Fuel Logistics'!$D:$D,$D248,'Fuel Logistics'!$E:$E,"Logistics total")*IF($C248="Electricity",1,1/INDEX('TCO - Input'!$R$291:$R$321,MATCH($C248,'TCO - Input'!$F$291:$F$4010,0)))*1000</f>
        <v>1.1106906960775289</v>
      </c>
      <c r="R248" s="112">
        <f>SUMIFS('Fuel Logistics'!P:P,'Fuel Logistics'!$C:$C,$E248,'Fuel Logistics'!$D:$D,$D248,'Fuel Logistics'!$E:$E,"Logistics total")*IF($C248="Electricity",1,1/INDEX('TCO - Input'!$R$291:$R$321,MATCH($C248,'TCO - Input'!$F$291:$F$4010,0)))*1000</f>
        <v>1.1106906960775289</v>
      </c>
      <c r="S248" s="112">
        <f>SUMIFS('Fuel Logistics'!Q:Q,'Fuel Logistics'!$C:$C,$E248,'Fuel Logistics'!$D:$D,$D248,'Fuel Logistics'!$E:$E,"Logistics total")*IF($C248="Electricity",1,1/INDEX('TCO - Input'!$R$291:$R$321,MATCH($C248,'TCO - Input'!$F$291:$F$4010,0)))*1000</f>
        <v>1.1106906960775289</v>
      </c>
      <c r="T248" s="112">
        <f>SUMIFS('Fuel Logistics'!R:R,'Fuel Logistics'!$C:$C,$E248,'Fuel Logistics'!$D:$D,$D248,'Fuel Logistics'!$E:$E,"Logistics total")*IF($C248="Electricity",1,1/INDEX('TCO - Input'!$R$291:$R$321,MATCH($C248,'TCO - Input'!$F$291:$F$4010,0)))*1000</f>
        <v>1.1106906960775289</v>
      </c>
      <c r="U248" s="112">
        <f>SUMIFS('Fuel Logistics'!S:S,'Fuel Logistics'!$C:$C,$E248,'Fuel Logistics'!$D:$D,$D248,'Fuel Logistics'!$E:$E,"Logistics total")*IF($C248="Electricity",1,1/INDEX('TCO - Input'!$R$291:$R$321,MATCH($C248,'TCO - Input'!$F$291:$F$4010,0)))*1000</f>
        <v>1.1106906960775289</v>
      </c>
      <c r="V248" s="112">
        <f>SUMIFS('Fuel Logistics'!T:T,'Fuel Logistics'!$C:$C,$E248,'Fuel Logistics'!$D:$D,$D248,'Fuel Logistics'!$E:$E,"Logistics total")*IF($C248="Electricity",1,1/INDEX('TCO - Input'!$R$291:$R$321,MATCH($C248,'TCO - Input'!$F$291:$F$4010,0)))*1000</f>
        <v>1.1106906960775289</v>
      </c>
    </row>
    <row r="249" spans="1:22" x14ac:dyDescent="0.2">
      <c r="A249" s="29">
        <f t="shared" si="163"/>
        <v>8</v>
      </c>
      <c r="B249" s="334" t="str">
        <f t="shared" si="160"/>
        <v>e-Methane (DAC) - Middle East - Logistics cost - USD/GJ</v>
      </c>
      <c r="C249" t="str" cm="1">
        <f t="array" ref="C249">INDEX(list_AE_fuel,A249)</f>
        <v>e-Methane (DAC)</v>
      </c>
      <c r="D249" t="str">
        <f>INDEX('Configurator Specs.'!$AH:$AH,MATCH($C249,'Configurator Specs.'!$AE:$AE,0))</f>
        <v>LNG &amp; e-Methane</v>
      </c>
      <c r="E249" t="str">
        <f t="shared" si="162"/>
        <v>Middle East</v>
      </c>
      <c r="F249" t="str">
        <f t="shared" si="161"/>
        <v>Logistics cost - USD/GJ</v>
      </c>
      <c r="G249" s="226"/>
      <c r="H249" s="128"/>
      <c r="I249" t="s">
        <v>324</v>
      </c>
      <c r="K249" s="112">
        <f>SUMIFS('Fuel Logistics'!I:I,'Fuel Logistics'!$C:$C,$E249,'Fuel Logistics'!$D:$D,$D249,'Fuel Logistics'!$E:$E,"Logistics total")*IF($C249="Electricity",1,1/INDEX('TCO - Input'!$R$291:$R$321,MATCH($C249,'TCO - Input'!$F$291:$F$4010,0)))*1000</f>
        <v>0.82175067077545783</v>
      </c>
      <c r="L249" s="112">
        <f>SUMIFS('Fuel Logistics'!J:J,'Fuel Logistics'!$C:$C,$E249,'Fuel Logistics'!$D:$D,$D249,'Fuel Logistics'!$E:$E,"Logistics total")*IF($C249="Electricity",1,1/INDEX('TCO - Input'!$R$291:$R$321,MATCH($C249,'TCO - Input'!$F$291:$F$4010,0)))*1000</f>
        <v>0.82011505502506521</v>
      </c>
      <c r="M249" s="112">
        <f>SUMIFS('Fuel Logistics'!K:K,'Fuel Logistics'!$C:$C,$E249,'Fuel Logistics'!$D:$D,$D249,'Fuel Logistics'!$E:$E,"Logistics total")*IF($C249="Electricity",1,1/INDEX('TCO - Input'!$R$291:$R$321,MATCH($C249,'TCO - Input'!$F$291:$F$4010,0)))*1000</f>
        <v>0.81903212753190113</v>
      </c>
      <c r="N249" s="112">
        <f>SUMIFS('Fuel Logistics'!L:L,'Fuel Logistics'!$C:$C,$E249,'Fuel Logistics'!$D:$D,$D249,'Fuel Logistics'!$E:$E,"Logistics total")*IF($C249="Electricity",1,1/INDEX('TCO - Input'!$R$291:$R$321,MATCH($C249,'TCO - Input'!$F$291:$F$4010,0)))*1000</f>
        <v>0.81826853885708151</v>
      </c>
      <c r="O249" s="112">
        <f>SUMIFS('Fuel Logistics'!M:M,'Fuel Logistics'!$C:$C,$E249,'Fuel Logistics'!$D:$D,$D249,'Fuel Logistics'!$E:$E,"Logistics total")*IF($C249="Electricity",1,1/INDEX('TCO - Input'!$R$291:$R$321,MATCH($C249,'TCO - Input'!$F$291:$F$4010,0)))*1000</f>
        <v>0.81788568352468094</v>
      </c>
      <c r="P249" s="112">
        <f>SUMIFS('Fuel Logistics'!N:N,'Fuel Logistics'!$C:$C,$E249,'Fuel Logistics'!$D:$D,$D249,'Fuel Logistics'!$E:$E,"Logistics total")*IF($C249="Electricity",1,1/INDEX('TCO - Input'!$R$291:$R$321,MATCH($C249,'TCO - Input'!$F$291:$F$4010,0)))*1000</f>
        <v>0.81738360855128389</v>
      </c>
      <c r="Q249" s="112">
        <f>SUMIFS('Fuel Logistics'!O:O,'Fuel Logistics'!$C:$C,$E249,'Fuel Logistics'!$D:$D,$D249,'Fuel Logistics'!$E:$E,"Logistics total")*IF($C249="Electricity",1,1/INDEX('TCO - Input'!$R$291:$R$321,MATCH($C249,'TCO - Input'!$F$291:$F$4010,0)))*1000</f>
        <v>0.81714862171353697</v>
      </c>
      <c r="R249" s="112">
        <f>SUMIFS('Fuel Logistics'!P:P,'Fuel Logistics'!$C:$C,$E249,'Fuel Logistics'!$D:$D,$D249,'Fuel Logistics'!$E:$E,"Logistics total")*IF($C249="Electricity",1,1/INDEX('TCO - Input'!$R$291:$R$321,MATCH($C249,'TCO - Input'!$F$291:$F$4010,0)))*1000</f>
        <v>0.81714862171353697</v>
      </c>
      <c r="S249" s="112">
        <f>SUMIFS('Fuel Logistics'!Q:Q,'Fuel Logistics'!$C:$C,$E249,'Fuel Logistics'!$D:$D,$D249,'Fuel Logistics'!$E:$E,"Logistics total")*IF($C249="Electricity",1,1/INDEX('TCO - Input'!$R$291:$R$321,MATCH($C249,'TCO - Input'!$F$291:$F$4010,0)))*1000</f>
        <v>0.81714862171353697</v>
      </c>
      <c r="T249" s="112">
        <f>SUMIFS('Fuel Logistics'!R:R,'Fuel Logistics'!$C:$C,$E249,'Fuel Logistics'!$D:$D,$D249,'Fuel Logistics'!$E:$E,"Logistics total")*IF($C249="Electricity",1,1/INDEX('TCO - Input'!$R$291:$R$321,MATCH($C249,'TCO - Input'!$F$291:$F$4010,0)))*1000</f>
        <v>0.81714862171353697</v>
      </c>
      <c r="U249" s="112">
        <f>SUMIFS('Fuel Logistics'!S:S,'Fuel Logistics'!$C:$C,$E249,'Fuel Logistics'!$D:$D,$D249,'Fuel Logistics'!$E:$E,"Logistics total")*IF($C249="Electricity",1,1/INDEX('TCO - Input'!$R$291:$R$321,MATCH($C249,'TCO - Input'!$F$291:$F$4010,0)))*1000</f>
        <v>0.81714862171353697</v>
      </c>
      <c r="V249" s="112">
        <f>SUMIFS('Fuel Logistics'!T:T,'Fuel Logistics'!$C:$C,$E249,'Fuel Logistics'!$D:$D,$D249,'Fuel Logistics'!$E:$E,"Logistics total")*IF($C249="Electricity",1,1/INDEX('TCO - Input'!$R$291:$R$321,MATCH($C249,'TCO - Input'!$F$291:$F$4010,0)))*1000</f>
        <v>0.81714862171353697</v>
      </c>
    </row>
    <row r="250" spans="1:22" x14ac:dyDescent="0.2">
      <c r="A250" s="29">
        <f t="shared" si="163"/>
        <v>9</v>
      </c>
      <c r="B250" s="334" t="str">
        <f t="shared" si="160"/>
        <v>e-Methane (PS) - Middle East - Logistics cost - USD/GJ</v>
      </c>
      <c r="C250" t="str" cm="1">
        <f t="array" ref="C250">INDEX(list_AE_fuel,A250)</f>
        <v>e-Methane (PS)</v>
      </c>
      <c r="D250" t="str">
        <f>INDEX('Configurator Specs.'!$AH:$AH,MATCH($C250,'Configurator Specs.'!$AE:$AE,0))</f>
        <v>LNG &amp; e-Methane</v>
      </c>
      <c r="E250" t="str">
        <f t="shared" si="162"/>
        <v>Middle East</v>
      </c>
      <c r="F250" t="str">
        <f t="shared" si="161"/>
        <v>Logistics cost - USD/GJ</v>
      </c>
      <c r="G250" s="226"/>
      <c r="H250" s="128"/>
      <c r="I250" t="s">
        <v>324</v>
      </c>
      <c r="K250" s="112">
        <f>SUMIFS('Fuel Logistics'!I:I,'Fuel Logistics'!$C:$C,$E250,'Fuel Logistics'!$D:$D,$D250,'Fuel Logistics'!$E:$E,"Logistics total")*IF($C250="Electricity",1,1/INDEX('TCO - Input'!$R$291:$R$321,MATCH($C250,'TCO - Input'!$F$291:$F$4010,0)))*1000</f>
        <v>0.82175067077545783</v>
      </c>
      <c r="L250" s="112">
        <f>SUMIFS('Fuel Logistics'!J:J,'Fuel Logistics'!$C:$C,$E250,'Fuel Logistics'!$D:$D,$D250,'Fuel Logistics'!$E:$E,"Logistics total")*IF($C250="Electricity",1,1/INDEX('TCO - Input'!$R$291:$R$321,MATCH($C250,'TCO - Input'!$F$291:$F$4010,0)))*1000</f>
        <v>0.82011505502506521</v>
      </c>
      <c r="M250" s="112">
        <f>SUMIFS('Fuel Logistics'!K:K,'Fuel Logistics'!$C:$C,$E250,'Fuel Logistics'!$D:$D,$D250,'Fuel Logistics'!$E:$E,"Logistics total")*IF($C250="Electricity",1,1/INDEX('TCO - Input'!$R$291:$R$321,MATCH($C250,'TCO - Input'!$F$291:$F$4010,0)))*1000</f>
        <v>0.81903212753190113</v>
      </c>
      <c r="N250" s="112">
        <f>SUMIFS('Fuel Logistics'!L:L,'Fuel Logistics'!$C:$C,$E250,'Fuel Logistics'!$D:$D,$D250,'Fuel Logistics'!$E:$E,"Logistics total")*IF($C250="Electricity",1,1/INDEX('TCO - Input'!$R$291:$R$321,MATCH($C250,'TCO - Input'!$F$291:$F$4010,0)))*1000</f>
        <v>0.81826853885708151</v>
      </c>
      <c r="O250" s="112">
        <f>SUMIFS('Fuel Logistics'!M:M,'Fuel Logistics'!$C:$C,$E250,'Fuel Logistics'!$D:$D,$D250,'Fuel Logistics'!$E:$E,"Logistics total")*IF($C250="Electricity",1,1/INDEX('TCO - Input'!$R$291:$R$321,MATCH($C250,'TCO - Input'!$F$291:$F$4010,0)))*1000</f>
        <v>0.81788568352468094</v>
      </c>
      <c r="P250" s="112">
        <f>SUMIFS('Fuel Logistics'!N:N,'Fuel Logistics'!$C:$C,$E250,'Fuel Logistics'!$D:$D,$D250,'Fuel Logistics'!$E:$E,"Logistics total")*IF($C250="Electricity",1,1/INDEX('TCO - Input'!$R$291:$R$321,MATCH($C250,'TCO - Input'!$F$291:$F$4010,0)))*1000</f>
        <v>0.81738360855128389</v>
      </c>
      <c r="Q250" s="112">
        <f>SUMIFS('Fuel Logistics'!O:O,'Fuel Logistics'!$C:$C,$E250,'Fuel Logistics'!$D:$D,$D250,'Fuel Logistics'!$E:$E,"Logistics total")*IF($C250="Electricity",1,1/INDEX('TCO - Input'!$R$291:$R$321,MATCH($C250,'TCO - Input'!$F$291:$F$4010,0)))*1000</f>
        <v>0.81714862171353697</v>
      </c>
      <c r="R250" s="112">
        <f>SUMIFS('Fuel Logistics'!P:P,'Fuel Logistics'!$C:$C,$E250,'Fuel Logistics'!$D:$D,$D250,'Fuel Logistics'!$E:$E,"Logistics total")*IF($C250="Electricity",1,1/INDEX('TCO - Input'!$R$291:$R$321,MATCH($C250,'TCO - Input'!$F$291:$F$4010,0)))*1000</f>
        <v>0.81714862171353697</v>
      </c>
      <c r="S250" s="112">
        <f>SUMIFS('Fuel Logistics'!Q:Q,'Fuel Logistics'!$C:$C,$E250,'Fuel Logistics'!$D:$D,$D250,'Fuel Logistics'!$E:$E,"Logistics total")*IF($C250="Electricity",1,1/INDEX('TCO - Input'!$R$291:$R$321,MATCH($C250,'TCO - Input'!$F$291:$F$4010,0)))*1000</f>
        <v>0.81714862171353697</v>
      </c>
      <c r="T250" s="112">
        <f>SUMIFS('Fuel Logistics'!R:R,'Fuel Logistics'!$C:$C,$E250,'Fuel Logistics'!$D:$D,$D250,'Fuel Logistics'!$E:$E,"Logistics total")*IF($C250="Electricity",1,1/INDEX('TCO - Input'!$R$291:$R$321,MATCH($C250,'TCO - Input'!$F$291:$F$4010,0)))*1000</f>
        <v>0.81714862171353697</v>
      </c>
      <c r="U250" s="112">
        <f>SUMIFS('Fuel Logistics'!S:S,'Fuel Logistics'!$C:$C,$E250,'Fuel Logistics'!$D:$D,$D250,'Fuel Logistics'!$E:$E,"Logistics total")*IF($C250="Electricity",1,1/INDEX('TCO - Input'!$R$291:$R$321,MATCH($C250,'TCO - Input'!$F$291:$F$4010,0)))*1000</f>
        <v>0.81714862171353697</v>
      </c>
      <c r="V250" s="112">
        <f>SUMIFS('Fuel Logistics'!T:T,'Fuel Logistics'!$C:$C,$E250,'Fuel Logistics'!$D:$D,$D250,'Fuel Logistics'!$E:$E,"Logistics total")*IF($C250="Electricity",1,1/INDEX('TCO - Input'!$R$291:$R$321,MATCH($C250,'TCO - Input'!$F$291:$F$4010,0)))*1000</f>
        <v>0.81714862171353697</v>
      </c>
    </row>
    <row r="251" spans="1:22" x14ac:dyDescent="0.2">
      <c r="A251" s="29">
        <f t="shared" si="163"/>
        <v>10</v>
      </c>
      <c r="B251" s="334" t="str">
        <f t="shared" si="160"/>
        <v>Biomethanol - Middle East - Logistics cost - USD/GJ</v>
      </c>
      <c r="C251" t="str" cm="1">
        <f t="array" ref="C251">INDEX(list_AE_fuel,A251)</f>
        <v>Biomethanol</v>
      </c>
      <c r="D251" t="str">
        <f>INDEX('Configurator Specs.'!$AH:$AH,MATCH($C251,'Configurator Specs.'!$AE:$AE,0))</f>
        <v>Biomethanol</v>
      </c>
      <c r="E251" t="str">
        <f t="shared" si="162"/>
        <v>Middle East</v>
      </c>
      <c r="F251" t="str">
        <f t="shared" si="161"/>
        <v>Logistics cost - USD/GJ</v>
      </c>
      <c r="G251"/>
      <c r="H251" s="128"/>
      <c r="I251" t="s">
        <v>324</v>
      </c>
      <c r="K251" s="112">
        <f>SUMIFS('Fuel Logistics'!I:I,'Fuel Logistics'!$C:$C,$E251,'Fuel Logistics'!$D:$D,$D251,'Fuel Logistics'!$E:$E,"Logistics total")*IF($C251="Electricity",1,1/INDEX('TCO - Input'!$R$291:$R$321,MATCH($C251,'TCO - Input'!$F$291:$F$4010,0)))*1000</f>
        <v>0.92348069390817367</v>
      </c>
      <c r="L251" s="112">
        <f>SUMIFS('Fuel Logistics'!J:J,'Fuel Logistics'!$C:$C,$E251,'Fuel Logistics'!$D:$D,$D251,'Fuel Logistics'!$E:$E,"Logistics total")*IF($C251="Electricity",1,1/INDEX('TCO - Input'!$R$291:$R$321,MATCH($C251,'TCO - Input'!$F$291:$F$4010,0)))*1000</f>
        <v>0.92348069390817367</v>
      </c>
      <c r="M251" s="112">
        <f>SUMIFS('Fuel Logistics'!K:K,'Fuel Logistics'!$C:$C,$E251,'Fuel Logistics'!$D:$D,$D251,'Fuel Logistics'!$E:$E,"Logistics total")*IF($C251="Electricity",1,1/INDEX('TCO - Input'!$R$291:$R$321,MATCH($C251,'TCO - Input'!$F$291:$F$4010,0)))*1000</f>
        <v>0.92348069390817367</v>
      </c>
      <c r="N251" s="112">
        <f>SUMIFS('Fuel Logistics'!L:L,'Fuel Logistics'!$C:$C,$E251,'Fuel Logistics'!$D:$D,$D251,'Fuel Logistics'!$E:$E,"Logistics total")*IF($C251="Electricity",1,1/INDEX('TCO - Input'!$R$291:$R$321,MATCH($C251,'TCO - Input'!$F$291:$F$4010,0)))*1000</f>
        <v>0.92348069390817367</v>
      </c>
      <c r="O251" s="112">
        <f>SUMIFS('Fuel Logistics'!M:M,'Fuel Logistics'!$C:$C,$E251,'Fuel Logistics'!$D:$D,$D251,'Fuel Logistics'!$E:$E,"Logistics total")*IF($C251="Electricity",1,1/INDEX('TCO - Input'!$R$291:$R$321,MATCH($C251,'TCO - Input'!$F$291:$F$4010,0)))*1000</f>
        <v>0.92348069390817367</v>
      </c>
      <c r="P251" s="112">
        <f>SUMIFS('Fuel Logistics'!N:N,'Fuel Logistics'!$C:$C,$E251,'Fuel Logistics'!$D:$D,$D251,'Fuel Logistics'!$E:$E,"Logistics total")*IF($C251="Electricity",1,1/INDEX('TCO - Input'!$R$291:$R$321,MATCH($C251,'TCO - Input'!$F$291:$F$4010,0)))*1000</f>
        <v>0.92348069390817367</v>
      </c>
      <c r="Q251" s="112">
        <f>SUMIFS('Fuel Logistics'!O:O,'Fuel Logistics'!$C:$C,$E251,'Fuel Logistics'!$D:$D,$D251,'Fuel Logistics'!$E:$E,"Logistics total")*IF($C251="Electricity",1,1/INDEX('TCO - Input'!$R$291:$R$321,MATCH($C251,'TCO - Input'!$F$291:$F$4010,0)))*1000</f>
        <v>0.92348069390817367</v>
      </c>
      <c r="R251" s="112">
        <f>SUMIFS('Fuel Logistics'!P:P,'Fuel Logistics'!$C:$C,$E251,'Fuel Logistics'!$D:$D,$D251,'Fuel Logistics'!$E:$E,"Logistics total")*IF($C251="Electricity",1,1/INDEX('TCO - Input'!$R$291:$R$321,MATCH($C251,'TCO - Input'!$F$291:$F$4010,0)))*1000</f>
        <v>0.92348069390817367</v>
      </c>
      <c r="S251" s="112">
        <f>SUMIFS('Fuel Logistics'!Q:Q,'Fuel Logistics'!$C:$C,$E251,'Fuel Logistics'!$D:$D,$D251,'Fuel Logistics'!$E:$E,"Logistics total")*IF($C251="Electricity",1,1/INDEX('TCO - Input'!$R$291:$R$321,MATCH($C251,'TCO - Input'!$F$291:$F$4010,0)))*1000</f>
        <v>0.92348069390817367</v>
      </c>
      <c r="T251" s="112">
        <f>SUMIFS('Fuel Logistics'!R:R,'Fuel Logistics'!$C:$C,$E251,'Fuel Logistics'!$D:$D,$D251,'Fuel Logistics'!$E:$E,"Logistics total")*IF($C251="Electricity",1,1/INDEX('TCO - Input'!$R$291:$R$321,MATCH($C251,'TCO - Input'!$F$291:$F$4010,0)))*1000</f>
        <v>0.92348069390817367</v>
      </c>
      <c r="U251" s="112">
        <f>SUMIFS('Fuel Logistics'!S:S,'Fuel Logistics'!$C:$C,$E251,'Fuel Logistics'!$D:$D,$D251,'Fuel Logistics'!$E:$E,"Logistics total")*IF($C251="Electricity",1,1/INDEX('TCO - Input'!$R$291:$R$321,MATCH($C251,'TCO - Input'!$F$291:$F$4010,0)))*1000</f>
        <v>0.92348069390817367</v>
      </c>
      <c r="V251" s="112">
        <f>SUMIFS('Fuel Logistics'!T:T,'Fuel Logistics'!$C:$C,$E251,'Fuel Logistics'!$D:$D,$D251,'Fuel Logistics'!$E:$E,"Logistics total")*IF($C251="Electricity",1,1/INDEX('TCO - Input'!$R$291:$R$321,MATCH($C251,'TCO - Input'!$F$291:$F$4010,0)))*1000</f>
        <v>0.92348069390817367</v>
      </c>
    </row>
    <row r="252" spans="1:22" x14ac:dyDescent="0.2">
      <c r="A252" s="29">
        <f t="shared" si="163"/>
        <v>11</v>
      </c>
      <c r="B252" s="334" t="str">
        <f t="shared" si="160"/>
        <v>e-Methanol (DAC) - Middle East - Logistics cost - USD/GJ</v>
      </c>
      <c r="C252" t="str" cm="1">
        <f t="array" ref="C252">INDEX(list_AE_fuel,A252)</f>
        <v>e-Methanol (DAC)</v>
      </c>
      <c r="D252" t="str">
        <f>INDEX('Configurator Specs.'!$AH:$AH,MATCH($C252,'Configurator Specs.'!$AE:$AE,0))</f>
        <v>Grey and e-Methanol</v>
      </c>
      <c r="E252" t="str">
        <f t="shared" si="162"/>
        <v>Middle East</v>
      </c>
      <c r="F252" t="str">
        <f t="shared" si="161"/>
        <v>Logistics cost - USD/GJ</v>
      </c>
      <c r="G252"/>
      <c r="H252" s="128"/>
      <c r="I252" t="s">
        <v>324</v>
      </c>
      <c r="K252" s="112">
        <f>SUMIFS('Fuel Logistics'!I:I,'Fuel Logistics'!$C:$C,$E252,'Fuel Logistics'!$D:$D,$D252,'Fuel Logistics'!$E:$E,"Logistics total")*IF($C252="Electricity",1,1/INDEX('TCO - Input'!$R$291:$R$321,MATCH($C252,'TCO - Input'!$F$291:$F$4010,0)))*1000</f>
        <v>0.66273320386351287</v>
      </c>
      <c r="L252" s="112">
        <f>SUMIFS('Fuel Logistics'!J:J,'Fuel Logistics'!$C:$C,$E252,'Fuel Logistics'!$D:$D,$D252,'Fuel Logistics'!$E:$E,"Logistics total")*IF($C252="Electricity",1,1/INDEX('TCO - Input'!$R$291:$R$321,MATCH($C252,'TCO - Input'!$F$291:$F$4010,0)))*1000</f>
        <v>0.66273320386351287</v>
      </c>
      <c r="M252" s="112">
        <f>SUMIFS('Fuel Logistics'!K:K,'Fuel Logistics'!$C:$C,$E252,'Fuel Logistics'!$D:$D,$D252,'Fuel Logistics'!$E:$E,"Logistics total")*IF($C252="Electricity",1,1/INDEX('TCO - Input'!$R$291:$R$321,MATCH($C252,'TCO - Input'!$F$291:$F$4010,0)))*1000</f>
        <v>0.66273320386351287</v>
      </c>
      <c r="N252" s="112">
        <f>SUMIFS('Fuel Logistics'!L:L,'Fuel Logistics'!$C:$C,$E252,'Fuel Logistics'!$D:$D,$D252,'Fuel Logistics'!$E:$E,"Logistics total")*IF($C252="Electricity",1,1/INDEX('TCO - Input'!$R$291:$R$321,MATCH($C252,'TCO - Input'!$F$291:$F$4010,0)))*1000</f>
        <v>0.66273320386351287</v>
      </c>
      <c r="O252" s="112">
        <f>SUMIFS('Fuel Logistics'!M:M,'Fuel Logistics'!$C:$C,$E252,'Fuel Logistics'!$D:$D,$D252,'Fuel Logistics'!$E:$E,"Logistics total")*IF($C252="Electricity",1,1/INDEX('TCO - Input'!$R$291:$R$321,MATCH($C252,'TCO - Input'!$F$291:$F$4010,0)))*1000</f>
        <v>0.66273320386351287</v>
      </c>
      <c r="P252" s="112">
        <f>SUMIFS('Fuel Logistics'!N:N,'Fuel Logistics'!$C:$C,$E252,'Fuel Logistics'!$D:$D,$D252,'Fuel Logistics'!$E:$E,"Logistics total")*IF($C252="Electricity",1,1/INDEX('TCO - Input'!$R$291:$R$321,MATCH($C252,'TCO - Input'!$F$291:$F$4010,0)))*1000</f>
        <v>0.66273320386351287</v>
      </c>
      <c r="Q252" s="112">
        <f>SUMIFS('Fuel Logistics'!O:O,'Fuel Logistics'!$C:$C,$E252,'Fuel Logistics'!$D:$D,$D252,'Fuel Logistics'!$E:$E,"Logistics total")*IF($C252="Electricity",1,1/INDEX('TCO - Input'!$R$291:$R$321,MATCH($C252,'TCO - Input'!$F$291:$F$4010,0)))*1000</f>
        <v>0.66273320386351287</v>
      </c>
      <c r="R252" s="112">
        <f>SUMIFS('Fuel Logistics'!P:P,'Fuel Logistics'!$C:$C,$E252,'Fuel Logistics'!$D:$D,$D252,'Fuel Logistics'!$E:$E,"Logistics total")*IF($C252="Electricity",1,1/INDEX('TCO - Input'!$R$291:$R$321,MATCH($C252,'TCO - Input'!$F$291:$F$4010,0)))*1000</f>
        <v>0.66273320386351287</v>
      </c>
      <c r="S252" s="112">
        <f>SUMIFS('Fuel Logistics'!Q:Q,'Fuel Logistics'!$C:$C,$E252,'Fuel Logistics'!$D:$D,$D252,'Fuel Logistics'!$E:$E,"Logistics total")*IF($C252="Electricity",1,1/INDEX('TCO - Input'!$R$291:$R$321,MATCH($C252,'TCO - Input'!$F$291:$F$4010,0)))*1000</f>
        <v>0.66273320386351287</v>
      </c>
      <c r="T252" s="112">
        <f>SUMIFS('Fuel Logistics'!R:R,'Fuel Logistics'!$C:$C,$E252,'Fuel Logistics'!$D:$D,$D252,'Fuel Logistics'!$E:$E,"Logistics total")*IF($C252="Electricity",1,1/INDEX('TCO - Input'!$R$291:$R$321,MATCH($C252,'TCO - Input'!$F$291:$F$4010,0)))*1000</f>
        <v>0.66273320386351287</v>
      </c>
      <c r="U252" s="112">
        <f>SUMIFS('Fuel Logistics'!S:S,'Fuel Logistics'!$C:$C,$E252,'Fuel Logistics'!$D:$D,$D252,'Fuel Logistics'!$E:$E,"Logistics total")*IF($C252="Electricity",1,1/INDEX('TCO - Input'!$R$291:$R$321,MATCH($C252,'TCO - Input'!$F$291:$F$4010,0)))*1000</f>
        <v>0.66273320386351287</v>
      </c>
      <c r="V252" s="112">
        <f>SUMIFS('Fuel Logistics'!T:T,'Fuel Logistics'!$C:$C,$E252,'Fuel Logistics'!$D:$D,$D252,'Fuel Logistics'!$E:$E,"Logistics total")*IF($C252="Electricity",1,1/INDEX('TCO - Input'!$R$291:$R$321,MATCH($C252,'TCO - Input'!$F$291:$F$4010,0)))*1000</f>
        <v>0.66273320386351287</v>
      </c>
    </row>
    <row r="253" spans="1:22" x14ac:dyDescent="0.2">
      <c r="A253" s="29">
        <f t="shared" si="163"/>
        <v>12</v>
      </c>
      <c r="B253" s="334" t="str">
        <f t="shared" si="160"/>
        <v>e-Methanol (PS) - Middle East - Logistics cost - USD/GJ</v>
      </c>
      <c r="C253" t="str" cm="1">
        <f t="array" ref="C253">INDEX(list_AE_fuel,A253)</f>
        <v>e-Methanol (PS)</v>
      </c>
      <c r="D253" t="str">
        <f>INDEX('Configurator Specs.'!$AH:$AH,MATCH($C253,'Configurator Specs.'!$AE:$AE,0))</f>
        <v>Grey and e-Methanol</v>
      </c>
      <c r="E253" t="str">
        <f>E252</f>
        <v>Middle East</v>
      </c>
      <c r="F253" t="str">
        <f t="shared" si="161"/>
        <v>Logistics cost - USD/GJ</v>
      </c>
      <c r="G253"/>
      <c r="H253" s="128"/>
      <c r="I253" t="s">
        <v>324</v>
      </c>
      <c r="K253" s="112">
        <f>SUMIFS('Fuel Logistics'!I:I,'Fuel Logistics'!$C:$C,$E253,'Fuel Logistics'!$D:$D,$D253,'Fuel Logistics'!$E:$E,"Logistics total")*IF($C253="Electricity",1,1/INDEX('TCO - Input'!$R$291:$R$321,MATCH($C253,'TCO - Input'!$F$291:$F$4010,0)))*1000</f>
        <v>0.66273320386351287</v>
      </c>
      <c r="L253" s="112">
        <f>SUMIFS('Fuel Logistics'!J:J,'Fuel Logistics'!$C:$C,$E253,'Fuel Logistics'!$D:$D,$D253,'Fuel Logistics'!$E:$E,"Logistics total")*IF($C253="Electricity",1,1/INDEX('TCO - Input'!$R$291:$R$321,MATCH($C253,'TCO - Input'!$F$291:$F$4010,0)))*1000</f>
        <v>0.66273320386351287</v>
      </c>
      <c r="M253" s="112">
        <f>SUMIFS('Fuel Logistics'!K:K,'Fuel Logistics'!$C:$C,$E253,'Fuel Logistics'!$D:$D,$D253,'Fuel Logistics'!$E:$E,"Logistics total")*IF($C253="Electricity",1,1/INDEX('TCO - Input'!$R$291:$R$321,MATCH($C253,'TCO - Input'!$F$291:$F$4010,0)))*1000</f>
        <v>0.66273320386351287</v>
      </c>
      <c r="N253" s="112">
        <f>SUMIFS('Fuel Logistics'!L:L,'Fuel Logistics'!$C:$C,$E253,'Fuel Logistics'!$D:$D,$D253,'Fuel Logistics'!$E:$E,"Logistics total")*IF($C253="Electricity",1,1/INDEX('TCO - Input'!$R$291:$R$321,MATCH($C253,'TCO - Input'!$F$291:$F$4010,0)))*1000</f>
        <v>0.66273320386351287</v>
      </c>
      <c r="O253" s="112">
        <f>SUMIFS('Fuel Logistics'!M:M,'Fuel Logistics'!$C:$C,$E253,'Fuel Logistics'!$D:$D,$D253,'Fuel Logistics'!$E:$E,"Logistics total")*IF($C253="Electricity",1,1/INDEX('TCO - Input'!$R$291:$R$321,MATCH($C253,'TCO - Input'!$F$291:$F$4010,0)))*1000</f>
        <v>0.66273320386351287</v>
      </c>
      <c r="P253" s="112">
        <f>SUMIFS('Fuel Logistics'!N:N,'Fuel Logistics'!$C:$C,$E253,'Fuel Logistics'!$D:$D,$D253,'Fuel Logistics'!$E:$E,"Logistics total")*IF($C253="Electricity",1,1/INDEX('TCO - Input'!$R$291:$R$321,MATCH($C253,'TCO - Input'!$F$291:$F$4010,0)))*1000</f>
        <v>0.66273320386351287</v>
      </c>
      <c r="Q253" s="112">
        <f>SUMIFS('Fuel Logistics'!O:O,'Fuel Logistics'!$C:$C,$E253,'Fuel Logistics'!$D:$D,$D253,'Fuel Logistics'!$E:$E,"Logistics total")*IF($C253="Electricity",1,1/INDEX('TCO - Input'!$R$291:$R$321,MATCH($C253,'TCO - Input'!$F$291:$F$4010,0)))*1000</f>
        <v>0.66273320386351287</v>
      </c>
      <c r="R253" s="112">
        <f>SUMIFS('Fuel Logistics'!P:P,'Fuel Logistics'!$C:$C,$E253,'Fuel Logistics'!$D:$D,$D253,'Fuel Logistics'!$E:$E,"Logistics total")*IF($C253="Electricity",1,1/INDEX('TCO - Input'!$R$291:$R$321,MATCH($C253,'TCO - Input'!$F$291:$F$4010,0)))*1000</f>
        <v>0.66273320386351287</v>
      </c>
      <c r="S253" s="112">
        <f>SUMIFS('Fuel Logistics'!Q:Q,'Fuel Logistics'!$C:$C,$E253,'Fuel Logistics'!$D:$D,$D253,'Fuel Logistics'!$E:$E,"Logistics total")*IF($C253="Electricity",1,1/INDEX('TCO - Input'!$R$291:$R$321,MATCH($C253,'TCO - Input'!$F$291:$F$4010,0)))*1000</f>
        <v>0.66273320386351287</v>
      </c>
      <c r="T253" s="112">
        <f>SUMIFS('Fuel Logistics'!R:R,'Fuel Logistics'!$C:$C,$E253,'Fuel Logistics'!$D:$D,$D253,'Fuel Logistics'!$E:$E,"Logistics total")*IF($C253="Electricity",1,1/INDEX('TCO - Input'!$R$291:$R$321,MATCH($C253,'TCO - Input'!$F$291:$F$4010,0)))*1000</f>
        <v>0.66273320386351287</v>
      </c>
      <c r="U253" s="112">
        <f>SUMIFS('Fuel Logistics'!S:S,'Fuel Logistics'!$C:$C,$E253,'Fuel Logistics'!$D:$D,$D253,'Fuel Logistics'!$E:$E,"Logistics total")*IF($C253="Electricity",1,1/INDEX('TCO - Input'!$R$291:$R$321,MATCH($C253,'TCO - Input'!$F$291:$F$4010,0)))*1000</f>
        <v>0.66273320386351287</v>
      </c>
      <c r="V253" s="112">
        <f>SUMIFS('Fuel Logistics'!T:T,'Fuel Logistics'!$C:$C,$E253,'Fuel Logistics'!$D:$D,$D253,'Fuel Logistics'!$E:$E,"Logistics total")*IF($C253="Electricity",1,1/INDEX('TCO - Input'!$R$291:$R$321,MATCH($C253,'TCO - Input'!$F$291:$F$4010,0)))*1000</f>
        <v>0.66273320386351287</v>
      </c>
    </row>
    <row r="254" spans="1:22" x14ac:dyDescent="0.2">
      <c r="A254" s="29">
        <f t="shared" si="163"/>
        <v>13</v>
      </c>
      <c r="B254" s="334" t="str">
        <f t="shared" si="160"/>
        <v>Biodiesel (HtL) - Middle East - Logistics cost - USD/GJ</v>
      </c>
      <c r="C254" t="str" cm="1">
        <f t="array" ref="C254">INDEX(list_AE_fuel,A254)</f>
        <v>Biodiesel (HtL)</v>
      </c>
      <c r="D254" t="str">
        <f>INDEX('Configurator Specs.'!$AH:$AH,MATCH($C254,'Configurator Specs.'!$AE:$AE,0))</f>
        <v>Bio-oils</v>
      </c>
      <c r="E254" t="str">
        <f t="shared" ref="E254:E261" si="164">E253</f>
        <v>Middle East</v>
      </c>
      <c r="F254" t="str">
        <f t="shared" si="161"/>
        <v>Logistics cost - USD/GJ</v>
      </c>
      <c r="G254"/>
      <c r="H254" s="128"/>
      <c r="I254" t="s">
        <v>324</v>
      </c>
      <c r="K254" s="112">
        <f>SUMIFS('Fuel Logistics'!I:I,'Fuel Logistics'!$C:$C,$E254,'Fuel Logistics'!$D:$D,$D254,'Fuel Logistics'!$E:$E,"Logistics total")*IF($C254="Electricity",1,1/INDEX('TCO - Input'!$R$291:$R$321,MATCH($C254,'TCO - Input'!$F$291:$F$4010,0)))*1000</f>
        <v>0.37149469414234737</v>
      </c>
      <c r="L254" s="112">
        <f>SUMIFS('Fuel Logistics'!J:J,'Fuel Logistics'!$C:$C,$E254,'Fuel Logistics'!$D:$D,$D254,'Fuel Logistics'!$E:$E,"Logistics total")*IF($C254="Electricity",1,1/INDEX('TCO - Input'!$R$291:$R$321,MATCH($C254,'TCO - Input'!$F$291:$F$4010,0)))*1000</f>
        <v>0.37149469414234737</v>
      </c>
      <c r="M254" s="112">
        <f>SUMIFS('Fuel Logistics'!K:K,'Fuel Logistics'!$C:$C,$E254,'Fuel Logistics'!$D:$D,$D254,'Fuel Logistics'!$E:$E,"Logistics total")*IF($C254="Electricity",1,1/INDEX('TCO - Input'!$R$291:$R$321,MATCH($C254,'TCO - Input'!$F$291:$F$4010,0)))*1000</f>
        <v>0.37149469414234737</v>
      </c>
      <c r="N254" s="112">
        <f>SUMIFS('Fuel Logistics'!L:L,'Fuel Logistics'!$C:$C,$E254,'Fuel Logistics'!$D:$D,$D254,'Fuel Logistics'!$E:$E,"Logistics total")*IF($C254="Electricity",1,1/INDEX('TCO - Input'!$R$291:$R$321,MATCH($C254,'TCO - Input'!$F$291:$F$4010,0)))*1000</f>
        <v>0.37149469414234737</v>
      </c>
      <c r="O254" s="112">
        <f>SUMIFS('Fuel Logistics'!M:M,'Fuel Logistics'!$C:$C,$E254,'Fuel Logistics'!$D:$D,$D254,'Fuel Logistics'!$E:$E,"Logistics total")*IF($C254="Electricity",1,1/INDEX('TCO - Input'!$R$291:$R$321,MATCH($C254,'TCO - Input'!$F$291:$F$4010,0)))*1000</f>
        <v>0.37149469414234737</v>
      </c>
      <c r="P254" s="112">
        <f>SUMIFS('Fuel Logistics'!N:N,'Fuel Logistics'!$C:$C,$E254,'Fuel Logistics'!$D:$D,$D254,'Fuel Logistics'!$E:$E,"Logistics total")*IF($C254="Electricity",1,1/INDEX('TCO - Input'!$R$291:$R$321,MATCH($C254,'TCO - Input'!$F$291:$F$4010,0)))*1000</f>
        <v>0.37149469414234737</v>
      </c>
      <c r="Q254" s="112">
        <f>SUMIFS('Fuel Logistics'!O:O,'Fuel Logistics'!$C:$C,$E254,'Fuel Logistics'!$D:$D,$D254,'Fuel Logistics'!$E:$E,"Logistics total")*IF($C254="Electricity",1,1/INDEX('TCO - Input'!$R$291:$R$321,MATCH($C254,'TCO - Input'!$F$291:$F$4010,0)))*1000</f>
        <v>0.37149469414234737</v>
      </c>
      <c r="R254" s="112">
        <f>SUMIFS('Fuel Logistics'!P:P,'Fuel Logistics'!$C:$C,$E254,'Fuel Logistics'!$D:$D,$D254,'Fuel Logistics'!$E:$E,"Logistics total")*IF($C254="Electricity",1,1/INDEX('TCO - Input'!$R$291:$R$321,MATCH($C254,'TCO - Input'!$F$291:$F$4010,0)))*1000</f>
        <v>0.37149469414234737</v>
      </c>
      <c r="S254" s="112">
        <f>SUMIFS('Fuel Logistics'!Q:Q,'Fuel Logistics'!$C:$C,$E254,'Fuel Logistics'!$D:$D,$D254,'Fuel Logistics'!$E:$E,"Logistics total")*IF($C254="Electricity",1,1/INDEX('TCO - Input'!$R$291:$R$321,MATCH($C254,'TCO - Input'!$F$291:$F$4010,0)))*1000</f>
        <v>0.37149469414234737</v>
      </c>
      <c r="T254" s="112">
        <f>SUMIFS('Fuel Logistics'!R:R,'Fuel Logistics'!$C:$C,$E254,'Fuel Logistics'!$D:$D,$D254,'Fuel Logistics'!$E:$E,"Logistics total")*IF($C254="Electricity",1,1/INDEX('TCO - Input'!$R$291:$R$321,MATCH($C254,'TCO - Input'!$F$291:$F$4010,0)))*1000</f>
        <v>0.37149469414234737</v>
      </c>
      <c r="U254" s="112">
        <f>SUMIFS('Fuel Logistics'!S:S,'Fuel Logistics'!$C:$C,$E254,'Fuel Logistics'!$D:$D,$D254,'Fuel Logistics'!$E:$E,"Logistics total")*IF($C254="Electricity",1,1/INDEX('TCO - Input'!$R$291:$R$321,MATCH($C254,'TCO - Input'!$F$291:$F$4010,0)))*1000</f>
        <v>0.37149469414234737</v>
      </c>
      <c r="V254" s="112">
        <f>SUMIFS('Fuel Logistics'!T:T,'Fuel Logistics'!$C:$C,$E254,'Fuel Logistics'!$D:$D,$D254,'Fuel Logistics'!$E:$E,"Logistics total")*IF($C254="Electricity",1,1/INDEX('TCO - Input'!$R$291:$R$321,MATCH($C254,'TCO - Input'!$F$291:$F$4010,0)))*1000</f>
        <v>0.37149469414234737</v>
      </c>
    </row>
    <row r="255" spans="1:22" x14ac:dyDescent="0.2">
      <c r="A255" s="29">
        <f t="shared" si="163"/>
        <v>14</v>
      </c>
      <c r="B255" s="334" t="str">
        <f t="shared" si="160"/>
        <v>Biodiesel (Pyr) - Middle East - Logistics cost - USD/GJ</v>
      </c>
      <c r="C255" t="str" cm="1">
        <f t="array" ref="C255">INDEX(list_AE_fuel,A255)</f>
        <v>Biodiesel (Pyr)</v>
      </c>
      <c r="D255" t="str">
        <f>INDEX('Configurator Specs.'!$AH:$AH,MATCH($C255,'Configurator Specs.'!$AE:$AE,0))</f>
        <v>Bio</v>
      </c>
      <c r="E255" t="str">
        <f t="shared" si="164"/>
        <v>Middle East</v>
      </c>
      <c r="F255" t="str">
        <f t="shared" si="161"/>
        <v>Logistics cost - USD/GJ</v>
      </c>
      <c r="G255"/>
      <c r="H255" s="128"/>
      <c r="I255" t="s">
        <v>324</v>
      </c>
      <c r="K255" s="112">
        <f>SUMIFS('Fuel Logistics'!I:I,'Fuel Logistics'!$C:$C,$E255,'Fuel Logistics'!$D:$D,$D255,'Fuel Logistics'!$E:$E,"Logistics total")*IF($C255="Electricity",1,1/INDEX('TCO - Input'!$R$291:$R$321,MATCH($C255,'TCO - Input'!$F$291:$F$4010,0)))*1000</f>
        <v>0</v>
      </c>
      <c r="L255" s="112">
        <f>SUMIFS('Fuel Logistics'!J:J,'Fuel Logistics'!$C:$C,$E255,'Fuel Logistics'!$D:$D,$D255,'Fuel Logistics'!$E:$E,"Logistics total")*IF($C255="Electricity",1,1/INDEX('TCO - Input'!$R$291:$R$321,MATCH($C255,'TCO - Input'!$F$291:$F$4010,0)))*1000</f>
        <v>0</v>
      </c>
      <c r="M255" s="112">
        <f>SUMIFS('Fuel Logistics'!K:K,'Fuel Logistics'!$C:$C,$E255,'Fuel Logistics'!$D:$D,$D255,'Fuel Logistics'!$E:$E,"Logistics total")*IF($C255="Electricity",1,1/INDEX('TCO - Input'!$R$291:$R$321,MATCH($C255,'TCO - Input'!$F$291:$F$4010,0)))*1000</f>
        <v>0</v>
      </c>
      <c r="N255" s="112">
        <f>SUMIFS('Fuel Logistics'!L:L,'Fuel Logistics'!$C:$C,$E255,'Fuel Logistics'!$D:$D,$D255,'Fuel Logistics'!$E:$E,"Logistics total")*IF($C255="Electricity",1,1/INDEX('TCO - Input'!$R$291:$R$321,MATCH($C255,'TCO - Input'!$F$291:$F$4010,0)))*1000</f>
        <v>0</v>
      </c>
      <c r="O255" s="112">
        <f>SUMIFS('Fuel Logistics'!M:M,'Fuel Logistics'!$C:$C,$E255,'Fuel Logistics'!$D:$D,$D255,'Fuel Logistics'!$E:$E,"Logistics total")*IF($C255="Electricity",1,1/INDEX('TCO - Input'!$R$291:$R$321,MATCH($C255,'TCO - Input'!$F$291:$F$4010,0)))*1000</f>
        <v>0</v>
      </c>
      <c r="P255" s="112">
        <f>SUMIFS('Fuel Logistics'!N:N,'Fuel Logistics'!$C:$C,$E255,'Fuel Logistics'!$D:$D,$D255,'Fuel Logistics'!$E:$E,"Logistics total")*IF($C255="Electricity",1,1/INDEX('TCO - Input'!$R$291:$R$321,MATCH($C255,'TCO - Input'!$F$291:$F$4010,0)))*1000</f>
        <v>0</v>
      </c>
      <c r="Q255" s="112">
        <f>SUMIFS('Fuel Logistics'!O:O,'Fuel Logistics'!$C:$C,$E255,'Fuel Logistics'!$D:$D,$D255,'Fuel Logistics'!$E:$E,"Logistics total")*IF($C255="Electricity",1,1/INDEX('TCO - Input'!$R$291:$R$321,MATCH($C255,'TCO - Input'!$F$291:$F$4010,0)))*1000</f>
        <v>0</v>
      </c>
      <c r="R255" s="112">
        <f>SUMIFS('Fuel Logistics'!P:P,'Fuel Logistics'!$C:$C,$E255,'Fuel Logistics'!$D:$D,$D255,'Fuel Logistics'!$E:$E,"Logistics total")*IF($C255="Electricity",1,1/INDEX('TCO - Input'!$R$291:$R$321,MATCH($C255,'TCO - Input'!$F$291:$F$4010,0)))*1000</f>
        <v>0</v>
      </c>
      <c r="S255" s="112">
        <f>SUMIFS('Fuel Logistics'!Q:Q,'Fuel Logistics'!$C:$C,$E255,'Fuel Logistics'!$D:$D,$D255,'Fuel Logistics'!$E:$E,"Logistics total")*IF($C255="Electricity",1,1/INDEX('TCO - Input'!$R$291:$R$321,MATCH($C255,'TCO - Input'!$F$291:$F$4010,0)))*1000</f>
        <v>0</v>
      </c>
      <c r="T255" s="112">
        <f>SUMIFS('Fuel Logistics'!R:R,'Fuel Logistics'!$C:$C,$E255,'Fuel Logistics'!$D:$D,$D255,'Fuel Logistics'!$E:$E,"Logistics total")*IF($C255="Electricity",1,1/INDEX('TCO - Input'!$R$291:$R$321,MATCH($C255,'TCO - Input'!$F$291:$F$4010,0)))*1000</f>
        <v>0</v>
      </c>
      <c r="U255" s="112">
        <f>SUMIFS('Fuel Logistics'!S:S,'Fuel Logistics'!$C:$C,$E255,'Fuel Logistics'!$D:$D,$D255,'Fuel Logistics'!$E:$E,"Logistics total")*IF($C255="Electricity",1,1/INDEX('TCO - Input'!$R$291:$R$321,MATCH($C255,'TCO - Input'!$F$291:$F$4010,0)))*1000</f>
        <v>0</v>
      </c>
      <c r="V255" s="112">
        <f>SUMIFS('Fuel Logistics'!T:T,'Fuel Logistics'!$C:$C,$E255,'Fuel Logistics'!$D:$D,$D255,'Fuel Logistics'!$E:$E,"Logistics total")*IF($C255="Electricity",1,1/INDEX('TCO - Input'!$R$291:$R$321,MATCH($C255,'TCO - Input'!$F$291:$F$4010,0)))*1000</f>
        <v>0</v>
      </c>
    </row>
    <row r="256" spans="1:22" x14ac:dyDescent="0.2">
      <c r="A256" s="29">
        <f t="shared" si="163"/>
        <v>15</v>
      </c>
      <c r="B256" s="334" t="str">
        <f t="shared" si="160"/>
        <v>e-Diesel (DAC) - Middle East - Logistics cost - USD/GJ</v>
      </c>
      <c r="C256" t="str" cm="1">
        <f t="array" ref="C256">INDEX(list_AE_fuel,A256)</f>
        <v>e-Diesel (DAC)</v>
      </c>
      <c r="D256" t="str">
        <f>INDEX('Configurator Specs.'!$AH:$AH,MATCH($C256,'Configurator Specs.'!$AE:$AE,0))</f>
        <v>Bio-oils</v>
      </c>
      <c r="E256" t="str">
        <f t="shared" si="164"/>
        <v>Middle East</v>
      </c>
      <c r="F256" t="str">
        <f t="shared" si="161"/>
        <v>Logistics cost - USD/GJ</v>
      </c>
      <c r="G256"/>
      <c r="H256" s="128"/>
      <c r="I256" t="s">
        <v>324</v>
      </c>
      <c r="K256" s="112">
        <f>SUMIFS('Fuel Logistics'!I:I,'Fuel Logistics'!$C:$C,$E256,'Fuel Logistics'!$D:$D,$D256,'Fuel Logistics'!$E:$E,"Logistics total")*IF($C256="Electricity",1,1/INDEX('TCO - Input'!$R$291:$R$321,MATCH($C256,'TCO - Input'!$F$291:$F$4010,0)))*1000</f>
        <v>0.37149469414234737</v>
      </c>
      <c r="L256" s="112">
        <f>SUMIFS('Fuel Logistics'!J:J,'Fuel Logistics'!$C:$C,$E256,'Fuel Logistics'!$D:$D,$D256,'Fuel Logistics'!$E:$E,"Logistics total")*IF($C256="Electricity",1,1/INDEX('TCO - Input'!$R$291:$R$321,MATCH($C256,'TCO - Input'!$F$291:$F$4010,0)))*1000</f>
        <v>0.37149469414234737</v>
      </c>
      <c r="M256" s="112">
        <f>SUMIFS('Fuel Logistics'!K:K,'Fuel Logistics'!$C:$C,$E256,'Fuel Logistics'!$D:$D,$D256,'Fuel Logistics'!$E:$E,"Logistics total")*IF($C256="Electricity",1,1/INDEX('TCO - Input'!$R$291:$R$321,MATCH($C256,'TCO - Input'!$F$291:$F$4010,0)))*1000</f>
        <v>0.37149469414234737</v>
      </c>
      <c r="N256" s="112">
        <f>SUMIFS('Fuel Logistics'!L:L,'Fuel Logistics'!$C:$C,$E256,'Fuel Logistics'!$D:$D,$D256,'Fuel Logistics'!$E:$E,"Logistics total")*IF($C256="Electricity",1,1/INDEX('TCO - Input'!$R$291:$R$321,MATCH($C256,'TCO - Input'!$F$291:$F$4010,0)))*1000</f>
        <v>0.37149469414234737</v>
      </c>
      <c r="O256" s="112">
        <f>SUMIFS('Fuel Logistics'!M:M,'Fuel Logistics'!$C:$C,$E256,'Fuel Logistics'!$D:$D,$D256,'Fuel Logistics'!$E:$E,"Logistics total")*IF($C256="Electricity",1,1/INDEX('TCO - Input'!$R$291:$R$321,MATCH($C256,'TCO - Input'!$F$291:$F$4010,0)))*1000</f>
        <v>0.37149469414234737</v>
      </c>
      <c r="P256" s="112">
        <f>SUMIFS('Fuel Logistics'!N:N,'Fuel Logistics'!$C:$C,$E256,'Fuel Logistics'!$D:$D,$D256,'Fuel Logistics'!$E:$E,"Logistics total")*IF($C256="Electricity",1,1/INDEX('TCO - Input'!$R$291:$R$321,MATCH($C256,'TCO - Input'!$F$291:$F$4010,0)))*1000</f>
        <v>0.37149469414234737</v>
      </c>
      <c r="Q256" s="112">
        <f>SUMIFS('Fuel Logistics'!O:O,'Fuel Logistics'!$C:$C,$E256,'Fuel Logistics'!$D:$D,$D256,'Fuel Logistics'!$E:$E,"Logistics total")*IF($C256="Electricity",1,1/INDEX('TCO - Input'!$R$291:$R$321,MATCH($C256,'TCO - Input'!$F$291:$F$4010,0)))*1000</f>
        <v>0.37149469414234737</v>
      </c>
      <c r="R256" s="112">
        <f>SUMIFS('Fuel Logistics'!P:P,'Fuel Logistics'!$C:$C,$E256,'Fuel Logistics'!$D:$D,$D256,'Fuel Logistics'!$E:$E,"Logistics total")*IF($C256="Electricity",1,1/INDEX('TCO - Input'!$R$291:$R$321,MATCH($C256,'TCO - Input'!$F$291:$F$4010,0)))*1000</f>
        <v>0.37149469414234737</v>
      </c>
      <c r="S256" s="112">
        <f>SUMIFS('Fuel Logistics'!Q:Q,'Fuel Logistics'!$C:$C,$E256,'Fuel Logistics'!$D:$D,$D256,'Fuel Logistics'!$E:$E,"Logistics total")*IF($C256="Electricity",1,1/INDEX('TCO - Input'!$R$291:$R$321,MATCH($C256,'TCO - Input'!$F$291:$F$4010,0)))*1000</f>
        <v>0.37149469414234737</v>
      </c>
      <c r="T256" s="112">
        <f>SUMIFS('Fuel Logistics'!R:R,'Fuel Logistics'!$C:$C,$E256,'Fuel Logistics'!$D:$D,$D256,'Fuel Logistics'!$E:$E,"Logistics total")*IF($C256="Electricity",1,1/INDEX('TCO - Input'!$R$291:$R$321,MATCH($C256,'TCO - Input'!$F$291:$F$4010,0)))*1000</f>
        <v>0.37149469414234737</v>
      </c>
      <c r="U256" s="112">
        <f>SUMIFS('Fuel Logistics'!S:S,'Fuel Logistics'!$C:$C,$E256,'Fuel Logistics'!$D:$D,$D256,'Fuel Logistics'!$E:$E,"Logistics total")*IF($C256="Electricity",1,1/INDEX('TCO - Input'!$R$291:$R$321,MATCH($C256,'TCO - Input'!$F$291:$F$4010,0)))*1000</f>
        <v>0.37149469414234737</v>
      </c>
      <c r="V256" s="112">
        <f>SUMIFS('Fuel Logistics'!T:T,'Fuel Logistics'!$C:$C,$E256,'Fuel Logistics'!$D:$D,$D256,'Fuel Logistics'!$E:$E,"Logistics total")*IF($C256="Electricity",1,1/INDEX('TCO - Input'!$R$291:$R$321,MATCH($C256,'TCO - Input'!$F$291:$F$4010,0)))*1000</f>
        <v>0.37149469414234737</v>
      </c>
    </row>
    <row r="257" spans="1:22" x14ac:dyDescent="0.2">
      <c r="A257" s="29">
        <f t="shared" si="163"/>
        <v>16</v>
      </c>
      <c r="B257" s="334" t="str">
        <f t="shared" si="160"/>
        <v>e-Diesel (PS) - Middle East - Logistics cost - USD/GJ</v>
      </c>
      <c r="C257" t="str" cm="1">
        <f t="array" ref="C257">INDEX(list_AE_fuel,A257)</f>
        <v>e-Diesel (PS)</v>
      </c>
      <c r="D257" t="str">
        <f>INDEX('Configurator Specs.'!$AH:$AH,MATCH($C257,'Configurator Specs.'!$AE:$AE,0))</f>
        <v>Bio-oils</v>
      </c>
      <c r="E257" t="str">
        <f t="shared" si="164"/>
        <v>Middle East</v>
      </c>
      <c r="F257" t="str">
        <f t="shared" si="161"/>
        <v>Logistics cost - USD/GJ</v>
      </c>
      <c r="G257"/>
      <c r="H257" s="128"/>
      <c r="I257" t="s">
        <v>324</v>
      </c>
      <c r="K257" s="112">
        <f>SUMIFS('Fuel Logistics'!I:I,'Fuel Logistics'!$C:$C,$E257,'Fuel Logistics'!$D:$D,$D257,'Fuel Logistics'!$E:$E,"Logistics total")*IF($C257="Electricity",1,1/INDEX('TCO - Input'!$R$291:$R$321,MATCH($C257,'TCO - Input'!$F$291:$F$4010,0)))*1000</f>
        <v>0.37149469414234737</v>
      </c>
      <c r="L257" s="112">
        <f>SUMIFS('Fuel Logistics'!J:J,'Fuel Logistics'!$C:$C,$E257,'Fuel Logistics'!$D:$D,$D257,'Fuel Logistics'!$E:$E,"Logistics total")*IF($C257="Electricity",1,1/INDEX('TCO - Input'!$R$291:$R$321,MATCH($C257,'TCO - Input'!$F$291:$F$4010,0)))*1000</f>
        <v>0.37149469414234737</v>
      </c>
      <c r="M257" s="112">
        <f>SUMIFS('Fuel Logistics'!K:K,'Fuel Logistics'!$C:$C,$E257,'Fuel Logistics'!$D:$D,$D257,'Fuel Logistics'!$E:$E,"Logistics total")*IF($C257="Electricity",1,1/INDEX('TCO - Input'!$R$291:$R$321,MATCH($C257,'TCO - Input'!$F$291:$F$4010,0)))*1000</f>
        <v>0.37149469414234737</v>
      </c>
      <c r="N257" s="112">
        <f>SUMIFS('Fuel Logistics'!L:L,'Fuel Logistics'!$C:$C,$E257,'Fuel Logistics'!$D:$D,$D257,'Fuel Logistics'!$E:$E,"Logistics total")*IF($C257="Electricity",1,1/INDEX('TCO - Input'!$R$291:$R$321,MATCH($C257,'TCO - Input'!$F$291:$F$4010,0)))*1000</f>
        <v>0.37149469414234737</v>
      </c>
      <c r="O257" s="112">
        <f>SUMIFS('Fuel Logistics'!M:M,'Fuel Logistics'!$C:$C,$E257,'Fuel Logistics'!$D:$D,$D257,'Fuel Logistics'!$E:$E,"Logistics total")*IF($C257="Electricity",1,1/INDEX('TCO - Input'!$R$291:$R$321,MATCH($C257,'TCO - Input'!$F$291:$F$4010,0)))*1000</f>
        <v>0.37149469414234737</v>
      </c>
      <c r="P257" s="112">
        <f>SUMIFS('Fuel Logistics'!N:N,'Fuel Logistics'!$C:$C,$E257,'Fuel Logistics'!$D:$D,$D257,'Fuel Logistics'!$E:$E,"Logistics total")*IF($C257="Electricity",1,1/INDEX('TCO - Input'!$R$291:$R$321,MATCH($C257,'TCO - Input'!$F$291:$F$4010,0)))*1000</f>
        <v>0.37149469414234737</v>
      </c>
      <c r="Q257" s="112">
        <f>SUMIFS('Fuel Logistics'!O:O,'Fuel Logistics'!$C:$C,$E257,'Fuel Logistics'!$D:$D,$D257,'Fuel Logistics'!$E:$E,"Logistics total")*IF($C257="Electricity",1,1/INDEX('TCO - Input'!$R$291:$R$321,MATCH($C257,'TCO - Input'!$F$291:$F$4010,0)))*1000</f>
        <v>0.37149469414234737</v>
      </c>
      <c r="R257" s="112">
        <f>SUMIFS('Fuel Logistics'!P:P,'Fuel Logistics'!$C:$C,$E257,'Fuel Logistics'!$D:$D,$D257,'Fuel Logistics'!$E:$E,"Logistics total")*IF($C257="Electricity",1,1/INDEX('TCO - Input'!$R$291:$R$321,MATCH($C257,'TCO - Input'!$F$291:$F$4010,0)))*1000</f>
        <v>0.37149469414234737</v>
      </c>
      <c r="S257" s="112">
        <f>SUMIFS('Fuel Logistics'!Q:Q,'Fuel Logistics'!$C:$C,$E257,'Fuel Logistics'!$D:$D,$D257,'Fuel Logistics'!$E:$E,"Logistics total")*IF($C257="Electricity",1,1/INDEX('TCO - Input'!$R$291:$R$321,MATCH($C257,'TCO - Input'!$F$291:$F$4010,0)))*1000</f>
        <v>0.37149469414234737</v>
      </c>
      <c r="T257" s="112">
        <f>SUMIFS('Fuel Logistics'!R:R,'Fuel Logistics'!$C:$C,$E257,'Fuel Logistics'!$D:$D,$D257,'Fuel Logistics'!$E:$E,"Logistics total")*IF($C257="Electricity",1,1/INDEX('TCO - Input'!$R$291:$R$321,MATCH($C257,'TCO - Input'!$F$291:$F$4010,0)))*1000</f>
        <v>0.37149469414234737</v>
      </c>
      <c r="U257" s="112">
        <f>SUMIFS('Fuel Logistics'!S:S,'Fuel Logistics'!$C:$C,$E257,'Fuel Logistics'!$D:$D,$D257,'Fuel Logistics'!$E:$E,"Logistics total")*IF($C257="Electricity",1,1/INDEX('TCO - Input'!$R$291:$R$321,MATCH($C257,'TCO - Input'!$F$291:$F$4010,0)))*1000</f>
        <v>0.37149469414234737</v>
      </c>
      <c r="V257" s="112">
        <f>SUMIFS('Fuel Logistics'!T:T,'Fuel Logistics'!$C:$C,$E257,'Fuel Logistics'!$D:$D,$D257,'Fuel Logistics'!$E:$E,"Logistics total")*IF($C257="Electricity",1,1/INDEX('TCO - Input'!$R$291:$R$321,MATCH($C257,'TCO - Input'!$F$291:$F$4010,0)))*1000</f>
        <v>0.37149469414234737</v>
      </c>
    </row>
    <row r="258" spans="1:22" x14ac:dyDescent="0.2">
      <c r="A258" s="29">
        <f t="shared" si="163"/>
        <v>17</v>
      </c>
      <c r="B258" s="334" t="str">
        <f t="shared" si="160"/>
        <v>Biodiesel (HtL blend) - Middle East - Logistics cost - USD/GJ</v>
      </c>
      <c r="C258" t="str" cm="1">
        <f t="array" ref="C258">INDEX(list_AE_fuel,A258)</f>
        <v>Biodiesel (HtL blend)</v>
      </c>
      <c r="D258" t="str">
        <f>INDEX('Configurator Specs.'!$AH:$AH,MATCH($C258,'Configurator Specs.'!$AE:$AE,0))</f>
        <v>Bio</v>
      </c>
      <c r="E258" t="str">
        <f t="shared" si="164"/>
        <v>Middle East</v>
      </c>
      <c r="F258" t="str">
        <f t="shared" si="161"/>
        <v>Logistics cost - USD/GJ</v>
      </c>
      <c r="G258"/>
      <c r="H258" s="128"/>
      <c r="I258" t="s">
        <v>324</v>
      </c>
      <c r="K258" s="112">
        <f>SUMIFS('Fuel Logistics'!I:I,'Fuel Logistics'!$C:$C,$E258,'Fuel Logistics'!$D:$D,$D258,'Fuel Logistics'!$E:$E,"Logistics total")*IF($C258="Electricity",1,1/INDEX('TCO - Input'!$R$291:$R$321,MATCH($C258,'TCO - Input'!$F$291:$F$4010,0)))*1000</f>
        <v>0</v>
      </c>
      <c r="L258" s="112">
        <f>SUMIFS('Fuel Logistics'!J:J,'Fuel Logistics'!$C:$C,$E258,'Fuel Logistics'!$D:$D,$D258,'Fuel Logistics'!$E:$E,"Logistics total")*IF($C258="Electricity",1,1/INDEX('TCO - Input'!$R$291:$R$321,MATCH($C258,'TCO - Input'!$F$291:$F$4010,0)))*1000</f>
        <v>0</v>
      </c>
      <c r="M258" s="112">
        <f>SUMIFS('Fuel Logistics'!K:K,'Fuel Logistics'!$C:$C,$E258,'Fuel Logistics'!$D:$D,$D258,'Fuel Logistics'!$E:$E,"Logistics total")*IF($C258="Electricity",1,1/INDEX('TCO - Input'!$R$291:$R$321,MATCH($C258,'TCO - Input'!$F$291:$F$4010,0)))*1000</f>
        <v>0</v>
      </c>
      <c r="N258" s="112">
        <f>SUMIFS('Fuel Logistics'!L:L,'Fuel Logistics'!$C:$C,$E258,'Fuel Logistics'!$D:$D,$D258,'Fuel Logistics'!$E:$E,"Logistics total")*IF($C258="Electricity",1,1/INDEX('TCO - Input'!$R$291:$R$321,MATCH($C258,'TCO - Input'!$F$291:$F$4010,0)))*1000</f>
        <v>0</v>
      </c>
      <c r="O258" s="112">
        <f>SUMIFS('Fuel Logistics'!M:M,'Fuel Logistics'!$C:$C,$E258,'Fuel Logistics'!$D:$D,$D258,'Fuel Logistics'!$E:$E,"Logistics total")*IF($C258="Electricity",1,1/INDEX('TCO - Input'!$R$291:$R$321,MATCH($C258,'TCO - Input'!$F$291:$F$4010,0)))*1000</f>
        <v>0</v>
      </c>
      <c r="P258" s="112">
        <f>SUMIFS('Fuel Logistics'!N:N,'Fuel Logistics'!$C:$C,$E258,'Fuel Logistics'!$D:$D,$D258,'Fuel Logistics'!$E:$E,"Logistics total")*IF($C258="Electricity",1,1/INDEX('TCO - Input'!$R$291:$R$321,MATCH($C258,'TCO - Input'!$F$291:$F$4010,0)))*1000</f>
        <v>0</v>
      </c>
      <c r="Q258" s="112">
        <f>SUMIFS('Fuel Logistics'!O:O,'Fuel Logistics'!$C:$C,$E258,'Fuel Logistics'!$D:$D,$D258,'Fuel Logistics'!$E:$E,"Logistics total")*IF($C258="Electricity",1,1/INDEX('TCO - Input'!$R$291:$R$321,MATCH($C258,'TCO - Input'!$F$291:$F$4010,0)))*1000</f>
        <v>0</v>
      </c>
      <c r="R258" s="112">
        <f>SUMIFS('Fuel Logistics'!P:P,'Fuel Logistics'!$C:$C,$E258,'Fuel Logistics'!$D:$D,$D258,'Fuel Logistics'!$E:$E,"Logistics total")*IF($C258="Electricity",1,1/INDEX('TCO - Input'!$R$291:$R$321,MATCH($C258,'TCO - Input'!$F$291:$F$4010,0)))*1000</f>
        <v>0</v>
      </c>
      <c r="S258" s="112">
        <f>SUMIFS('Fuel Logistics'!Q:Q,'Fuel Logistics'!$C:$C,$E258,'Fuel Logistics'!$D:$D,$D258,'Fuel Logistics'!$E:$E,"Logistics total")*IF($C258="Electricity",1,1/INDEX('TCO - Input'!$R$291:$R$321,MATCH($C258,'TCO - Input'!$F$291:$F$4010,0)))*1000</f>
        <v>0</v>
      </c>
      <c r="T258" s="112">
        <f>SUMIFS('Fuel Logistics'!R:R,'Fuel Logistics'!$C:$C,$E258,'Fuel Logistics'!$D:$D,$D258,'Fuel Logistics'!$E:$E,"Logistics total")*IF($C258="Electricity",1,1/INDEX('TCO - Input'!$R$291:$R$321,MATCH($C258,'TCO - Input'!$F$291:$F$4010,0)))*1000</f>
        <v>0</v>
      </c>
      <c r="U258" s="112">
        <f>SUMIFS('Fuel Logistics'!S:S,'Fuel Logistics'!$C:$C,$E258,'Fuel Logistics'!$D:$D,$D258,'Fuel Logistics'!$E:$E,"Logistics total")*IF($C258="Electricity",1,1/INDEX('TCO - Input'!$R$291:$R$321,MATCH($C258,'TCO - Input'!$F$291:$F$4010,0)))*1000</f>
        <v>0</v>
      </c>
      <c r="V258" s="112">
        <f>SUMIFS('Fuel Logistics'!T:T,'Fuel Logistics'!$C:$C,$E258,'Fuel Logistics'!$D:$D,$D258,'Fuel Logistics'!$E:$E,"Logistics total")*IF($C258="Electricity",1,1/INDEX('TCO - Input'!$R$291:$R$321,MATCH($C258,'TCO - Input'!$F$291:$F$4010,0)))*1000</f>
        <v>0</v>
      </c>
    </row>
    <row r="259" spans="1:22" x14ac:dyDescent="0.2">
      <c r="A259" s="29">
        <f t="shared" si="163"/>
        <v>18</v>
      </c>
      <c r="B259" s="334" t="str">
        <f t="shared" si="160"/>
        <v>Biodiesel (Pyr blend) - Middle East - Logistics cost - USD/GJ</v>
      </c>
      <c r="C259" t="str" cm="1">
        <f t="array" ref="C259">INDEX(list_AE_fuel,A259)</f>
        <v>Biodiesel (Pyr blend)</v>
      </c>
      <c r="D259" t="str">
        <f>INDEX('Configurator Specs.'!$AH:$AH,MATCH($C259,'Configurator Specs.'!$AE:$AE,0))</f>
        <v>Bio</v>
      </c>
      <c r="E259" t="str">
        <f t="shared" si="164"/>
        <v>Middle East</v>
      </c>
      <c r="F259" t="str">
        <f t="shared" si="161"/>
        <v>Logistics cost - USD/GJ</v>
      </c>
      <c r="G259"/>
      <c r="H259" s="128"/>
      <c r="I259" t="s">
        <v>324</v>
      </c>
      <c r="K259" s="112">
        <f>SUMIFS('Fuel Logistics'!I:I,'Fuel Logistics'!$C:$C,$E259,'Fuel Logistics'!$D:$D,$D259,'Fuel Logistics'!$E:$E,"Logistics total")*IF($C259="Electricity",1,1/INDEX('TCO - Input'!$R$291:$R$321,MATCH($C259,'TCO - Input'!$F$291:$F$4010,0)))*1000</f>
        <v>0</v>
      </c>
      <c r="L259" s="112">
        <f>SUMIFS('Fuel Logistics'!J:J,'Fuel Logistics'!$C:$C,$E259,'Fuel Logistics'!$D:$D,$D259,'Fuel Logistics'!$E:$E,"Logistics total")*IF($C259="Electricity",1,1/INDEX('TCO - Input'!$R$291:$R$321,MATCH($C259,'TCO - Input'!$F$291:$F$4010,0)))*1000</f>
        <v>0</v>
      </c>
      <c r="M259" s="112">
        <f>SUMIFS('Fuel Logistics'!K:K,'Fuel Logistics'!$C:$C,$E259,'Fuel Logistics'!$D:$D,$D259,'Fuel Logistics'!$E:$E,"Logistics total")*IF($C259="Electricity",1,1/INDEX('TCO - Input'!$R$291:$R$321,MATCH($C259,'TCO - Input'!$F$291:$F$4010,0)))*1000</f>
        <v>0</v>
      </c>
      <c r="N259" s="112">
        <f>SUMIFS('Fuel Logistics'!L:L,'Fuel Logistics'!$C:$C,$E259,'Fuel Logistics'!$D:$D,$D259,'Fuel Logistics'!$E:$E,"Logistics total")*IF($C259="Electricity",1,1/INDEX('TCO - Input'!$R$291:$R$321,MATCH($C259,'TCO - Input'!$F$291:$F$4010,0)))*1000</f>
        <v>0</v>
      </c>
      <c r="O259" s="112">
        <f>SUMIFS('Fuel Logistics'!M:M,'Fuel Logistics'!$C:$C,$E259,'Fuel Logistics'!$D:$D,$D259,'Fuel Logistics'!$E:$E,"Logistics total")*IF($C259="Electricity",1,1/INDEX('TCO - Input'!$R$291:$R$321,MATCH($C259,'TCO - Input'!$F$291:$F$4010,0)))*1000</f>
        <v>0</v>
      </c>
      <c r="P259" s="112">
        <f>SUMIFS('Fuel Logistics'!N:N,'Fuel Logistics'!$C:$C,$E259,'Fuel Logistics'!$D:$D,$D259,'Fuel Logistics'!$E:$E,"Logistics total")*IF($C259="Electricity",1,1/INDEX('TCO - Input'!$R$291:$R$321,MATCH($C259,'TCO - Input'!$F$291:$F$4010,0)))*1000</f>
        <v>0</v>
      </c>
      <c r="Q259" s="112">
        <f>SUMIFS('Fuel Logistics'!O:O,'Fuel Logistics'!$C:$C,$E259,'Fuel Logistics'!$D:$D,$D259,'Fuel Logistics'!$E:$E,"Logistics total")*IF($C259="Electricity",1,1/INDEX('TCO - Input'!$R$291:$R$321,MATCH($C259,'TCO - Input'!$F$291:$F$4010,0)))*1000</f>
        <v>0</v>
      </c>
      <c r="R259" s="112">
        <f>SUMIFS('Fuel Logistics'!P:P,'Fuel Logistics'!$C:$C,$E259,'Fuel Logistics'!$D:$D,$D259,'Fuel Logistics'!$E:$E,"Logistics total")*IF($C259="Electricity",1,1/INDEX('TCO - Input'!$R$291:$R$321,MATCH($C259,'TCO - Input'!$F$291:$F$4010,0)))*1000</f>
        <v>0</v>
      </c>
      <c r="S259" s="112">
        <f>SUMIFS('Fuel Logistics'!Q:Q,'Fuel Logistics'!$C:$C,$E259,'Fuel Logistics'!$D:$D,$D259,'Fuel Logistics'!$E:$E,"Logistics total")*IF($C259="Electricity",1,1/INDEX('TCO - Input'!$R$291:$R$321,MATCH($C259,'TCO - Input'!$F$291:$F$4010,0)))*1000</f>
        <v>0</v>
      </c>
      <c r="T259" s="112">
        <f>SUMIFS('Fuel Logistics'!R:R,'Fuel Logistics'!$C:$C,$E259,'Fuel Logistics'!$D:$D,$D259,'Fuel Logistics'!$E:$E,"Logistics total")*IF($C259="Electricity",1,1/INDEX('TCO - Input'!$R$291:$R$321,MATCH($C259,'TCO - Input'!$F$291:$F$4010,0)))*1000</f>
        <v>0</v>
      </c>
      <c r="U259" s="112">
        <f>SUMIFS('Fuel Logistics'!S:S,'Fuel Logistics'!$C:$C,$E259,'Fuel Logistics'!$D:$D,$D259,'Fuel Logistics'!$E:$E,"Logistics total")*IF($C259="Electricity",1,1/INDEX('TCO - Input'!$R$291:$R$321,MATCH($C259,'TCO - Input'!$F$291:$F$4010,0)))*1000</f>
        <v>0</v>
      </c>
      <c r="V259" s="112">
        <f>SUMIFS('Fuel Logistics'!T:T,'Fuel Logistics'!$C:$C,$E259,'Fuel Logistics'!$D:$D,$D259,'Fuel Logistics'!$E:$E,"Logistics total")*IF($C259="Electricity",1,1/INDEX('TCO - Input'!$R$291:$R$321,MATCH($C259,'TCO - Input'!$F$291:$F$4010,0)))*1000</f>
        <v>0</v>
      </c>
    </row>
    <row r="260" spans="1:22" x14ac:dyDescent="0.2">
      <c r="A260" s="29">
        <f t="shared" si="163"/>
        <v>19</v>
      </c>
      <c r="B260" s="334" t="str">
        <f t="shared" si="160"/>
        <v>Blue hydrogen (liquid) - Middle East - Logistics cost - USD/GJ</v>
      </c>
      <c r="C260" t="str" cm="1">
        <f t="array" ref="C260">INDEX(list_AE_fuel,A260)</f>
        <v>Blue hydrogen (liquid)</v>
      </c>
      <c r="D260" t="str">
        <f>INDEX('Configurator Specs.'!$AH:$AH,MATCH($C260,'Configurator Specs.'!$AE:$AE,0))</f>
        <v>Blue hydrogen (liquid)</v>
      </c>
      <c r="E260" t="str">
        <f t="shared" si="164"/>
        <v>Middle East</v>
      </c>
      <c r="F260" t="str">
        <f t="shared" si="161"/>
        <v>Logistics cost - USD/GJ</v>
      </c>
      <c r="G260"/>
      <c r="H260" s="128"/>
      <c r="I260" t="s">
        <v>324</v>
      </c>
      <c r="K260" s="112">
        <f>SUMIFS('Fuel Logistics'!I:I,'Fuel Logistics'!$C:$C,$E260,'Fuel Logistics'!$D:$D,$D260,'Fuel Logistics'!$E:$E,"Logistics total")*IF($C260="Electricity",1,1/INDEX('TCO - Input'!$R$291:$R$321,MATCH($C260,'TCO - Input'!$F$291:$F$4010,0)))*1000</f>
        <v>13.912496584279065</v>
      </c>
      <c r="L260" s="112">
        <f>SUMIFS('Fuel Logistics'!J:J,'Fuel Logistics'!$C:$C,$E260,'Fuel Logistics'!$D:$D,$D260,'Fuel Logistics'!$E:$E,"Logistics total")*IF($C260="Electricity",1,1/INDEX('TCO - Input'!$R$291:$R$321,MATCH($C260,'TCO - Input'!$F$291:$F$4010,0)))*1000</f>
        <v>12.661342655137499</v>
      </c>
      <c r="M260" s="112">
        <f>SUMIFS('Fuel Logistics'!K:K,'Fuel Logistics'!$C:$C,$E260,'Fuel Logistics'!$D:$D,$D260,'Fuel Logistics'!$E:$E,"Logistics total")*IF($C260="Electricity",1,1/INDEX('TCO - Input'!$R$291:$R$321,MATCH($C260,'TCO - Input'!$F$291:$F$4010,0)))*1000</f>
        <v>12.114410160525184</v>
      </c>
      <c r="N260" s="112">
        <f>SUMIFS('Fuel Logistics'!L:L,'Fuel Logistics'!$C:$C,$E260,'Fuel Logistics'!$D:$D,$D260,'Fuel Logistics'!$E:$E,"Logistics total")*IF($C260="Electricity",1,1/INDEX('TCO - Input'!$R$291:$R$321,MATCH($C260,'TCO - Input'!$F$291:$F$4010,0)))*1000</f>
        <v>12.075358775353964</v>
      </c>
      <c r="O260" s="112">
        <f>SUMIFS('Fuel Logistics'!M:M,'Fuel Logistics'!$C:$C,$E260,'Fuel Logistics'!$D:$D,$D260,'Fuel Logistics'!$E:$E,"Logistics total")*IF($C260="Electricity",1,1/INDEX('TCO - Input'!$R$291:$R$321,MATCH($C260,'TCO - Input'!$F$291:$F$4010,0)))*1000</f>
        <v>12.046114780892514</v>
      </c>
      <c r="P260" s="112">
        <f>SUMIFS('Fuel Logistics'!N:N,'Fuel Logistics'!$C:$C,$E260,'Fuel Logistics'!$D:$D,$D260,'Fuel Logistics'!$E:$E,"Logistics total")*IF($C260="Electricity",1,1/INDEX('TCO - Input'!$R$291:$R$321,MATCH($C260,'TCO - Input'!$F$291:$F$4010,0)))*1000</f>
        <v>12.016917182982082</v>
      </c>
      <c r="Q260" s="112">
        <f>SUMIFS('Fuel Logistics'!O:O,'Fuel Logistics'!$C:$C,$E260,'Fuel Logistics'!$D:$D,$D260,'Fuel Logistics'!$E:$E,"Logistics total")*IF($C260="Electricity",1,1/INDEX('TCO - Input'!$R$291:$R$321,MATCH($C260,'TCO - Input'!$F$291:$F$4010,0)))*1000</f>
        <v>11.994665109646212</v>
      </c>
      <c r="R260" s="112">
        <f>SUMIFS('Fuel Logistics'!P:P,'Fuel Logistics'!$C:$C,$E260,'Fuel Logistics'!$D:$D,$D260,'Fuel Logistics'!$E:$E,"Logistics total")*IF($C260="Electricity",1,1/INDEX('TCO - Input'!$R$291:$R$321,MATCH($C260,'TCO - Input'!$F$291:$F$4010,0)))*1000</f>
        <v>11.994665109646212</v>
      </c>
      <c r="S260" s="112">
        <f>SUMIFS('Fuel Logistics'!Q:Q,'Fuel Logistics'!$C:$C,$E260,'Fuel Logistics'!$D:$D,$D260,'Fuel Logistics'!$E:$E,"Logistics total")*IF($C260="Electricity",1,1/INDEX('TCO - Input'!$R$291:$R$321,MATCH($C260,'TCO - Input'!$F$291:$F$4010,0)))*1000</f>
        <v>11.994665109646212</v>
      </c>
      <c r="T260" s="112">
        <f>SUMIFS('Fuel Logistics'!R:R,'Fuel Logistics'!$C:$C,$E260,'Fuel Logistics'!$D:$D,$D260,'Fuel Logistics'!$E:$E,"Logistics total")*IF($C260="Electricity",1,1/INDEX('TCO - Input'!$R$291:$R$321,MATCH($C260,'TCO - Input'!$F$291:$F$4010,0)))*1000</f>
        <v>11.994665109646212</v>
      </c>
      <c r="U260" s="112">
        <f>SUMIFS('Fuel Logistics'!S:S,'Fuel Logistics'!$C:$C,$E260,'Fuel Logistics'!$D:$D,$D260,'Fuel Logistics'!$E:$E,"Logistics total")*IF($C260="Electricity",1,1/INDEX('TCO - Input'!$R$291:$R$321,MATCH($C260,'TCO - Input'!$F$291:$F$4010,0)))*1000</f>
        <v>11.994665109646212</v>
      </c>
      <c r="V260" s="112">
        <f>SUMIFS('Fuel Logistics'!T:T,'Fuel Logistics'!$C:$C,$E260,'Fuel Logistics'!$D:$D,$D260,'Fuel Logistics'!$E:$E,"Logistics total")*IF($C260="Electricity",1,1/INDEX('TCO - Input'!$R$291:$R$321,MATCH($C260,'TCO - Input'!$F$291:$F$4010,0)))*1000</f>
        <v>11.994665109646212</v>
      </c>
    </row>
    <row r="261" spans="1:22" x14ac:dyDescent="0.2">
      <c r="A261" s="29">
        <f t="shared" si="163"/>
        <v>20</v>
      </c>
      <c r="B261" s="334" t="str">
        <f t="shared" si="160"/>
        <v>e-Hydrogen (liquid) - Middle East - Logistics cost - USD/GJ</v>
      </c>
      <c r="C261" t="str" cm="1">
        <f t="array" ref="C261">INDEX(list_AE_fuel,A261)</f>
        <v>e-Hydrogen (liquid)</v>
      </c>
      <c r="D261" t="str">
        <f>INDEX('Configurator Specs.'!$AH:$AH,MATCH($C261,'Configurator Specs.'!$AE:$AE,0))</f>
        <v>e-Hydrogen (liquid)</v>
      </c>
      <c r="E261" t="str">
        <f t="shared" si="164"/>
        <v>Middle East</v>
      </c>
      <c r="F261" t="str">
        <f t="shared" si="161"/>
        <v>Logistics cost - USD/GJ</v>
      </c>
      <c r="G261"/>
      <c r="H261" s="128"/>
      <c r="I261" t="s">
        <v>324</v>
      </c>
      <c r="K261" s="112">
        <f>SUMIFS('Fuel Logistics'!I:I,'Fuel Logistics'!$C:$C,$E261,'Fuel Logistics'!$D:$D,$D261,'Fuel Logistics'!$E:$E,"Logistics total")*IF($C261="Electricity",1,1/INDEX('TCO - Input'!$R$291:$R$321,MATCH($C261,'TCO - Input'!$F$291:$F$4010,0)))*1000</f>
        <v>13.045539537747315</v>
      </c>
      <c r="L261" s="112">
        <f>SUMIFS('Fuel Logistics'!J:J,'Fuel Logistics'!$C:$C,$E261,'Fuel Logistics'!$D:$D,$D261,'Fuel Logistics'!$E:$E,"Logistics total")*IF($C261="Electricity",1,1/INDEX('TCO - Input'!$R$291:$R$321,MATCH($C261,'TCO - Input'!$F$291:$F$4010,0)))*1000</f>
        <v>12.736694094625163</v>
      </c>
      <c r="M261" s="112">
        <f>SUMIFS('Fuel Logistics'!K:K,'Fuel Logistics'!$C:$C,$E261,'Fuel Logistics'!$D:$D,$D261,'Fuel Logistics'!$E:$E,"Logistics total")*IF($C261="Electricity",1,1/INDEX('TCO - Input'!$R$291:$R$321,MATCH($C261,'TCO - Input'!$F$291:$F$4010,0)))*1000</f>
        <v>12.51324996079147</v>
      </c>
      <c r="N261" s="112">
        <f>SUMIFS('Fuel Logistics'!L:L,'Fuel Logistics'!$C:$C,$E261,'Fuel Logistics'!$D:$D,$D261,'Fuel Logistics'!$E:$E,"Logistics total")*IF($C261="Electricity",1,1/INDEX('TCO - Input'!$R$291:$R$321,MATCH($C261,'TCO - Input'!$F$291:$F$4010,0)))*1000</f>
        <v>12.397067642956484</v>
      </c>
      <c r="O261" s="112">
        <f>SUMIFS('Fuel Logistics'!M:M,'Fuel Logistics'!$C:$C,$E261,'Fuel Logistics'!$D:$D,$D261,'Fuel Logistics'!$E:$E,"Logistics total")*IF($C261="Electricity",1,1/INDEX('TCO - Input'!$R$291:$R$321,MATCH($C261,'TCO - Input'!$F$291:$F$4010,0)))*1000</f>
        <v>12.26492106414889</v>
      </c>
      <c r="P261" s="112">
        <f>SUMIFS('Fuel Logistics'!N:N,'Fuel Logistics'!$C:$C,$E261,'Fuel Logistics'!$D:$D,$D261,'Fuel Logistics'!$E:$E,"Logistics total")*IF($C261="Electricity",1,1/INDEX('TCO - Input'!$R$291:$R$321,MATCH($C261,'TCO - Input'!$F$291:$F$4010,0)))*1000</f>
        <v>12.085827845400061</v>
      </c>
      <c r="Q261" s="112">
        <f>SUMIFS('Fuel Logistics'!O:O,'Fuel Logistics'!$C:$C,$E261,'Fuel Logistics'!$D:$D,$D261,'Fuel Logistics'!$E:$E,"Logistics total")*IF($C261="Electricity",1,1/INDEX('TCO - Input'!$R$291:$R$321,MATCH($C261,'TCO - Input'!$F$291:$F$4010,0)))*1000</f>
        <v>11.933447616824662</v>
      </c>
      <c r="R261" s="112">
        <f>SUMIFS('Fuel Logistics'!P:P,'Fuel Logistics'!$C:$C,$E261,'Fuel Logistics'!$D:$D,$D261,'Fuel Logistics'!$E:$E,"Logistics total")*IF($C261="Electricity",1,1/INDEX('TCO - Input'!$R$291:$R$321,MATCH($C261,'TCO - Input'!$F$291:$F$4010,0)))*1000</f>
        <v>11.933447616824662</v>
      </c>
      <c r="S261" s="112">
        <f>SUMIFS('Fuel Logistics'!Q:Q,'Fuel Logistics'!$C:$C,$E261,'Fuel Logistics'!$D:$D,$D261,'Fuel Logistics'!$E:$E,"Logistics total")*IF($C261="Electricity",1,1/INDEX('TCO - Input'!$R$291:$R$321,MATCH($C261,'TCO - Input'!$F$291:$F$4010,0)))*1000</f>
        <v>11.933447616824662</v>
      </c>
      <c r="T261" s="112">
        <f>SUMIFS('Fuel Logistics'!R:R,'Fuel Logistics'!$C:$C,$E261,'Fuel Logistics'!$D:$D,$D261,'Fuel Logistics'!$E:$E,"Logistics total")*IF($C261="Electricity",1,1/INDEX('TCO - Input'!$R$291:$R$321,MATCH($C261,'TCO - Input'!$F$291:$F$4010,0)))*1000</f>
        <v>11.933447616824662</v>
      </c>
      <c r="U261" s="112">
        <f>SUMIFS('Fuel Logistics'!S:S,'Fuel Logistics'!$C:$C,$E261,'Fuel Logistics'!$D:$D,$D261,'Fuel Logistics'!$E:$E,"Logistics total")*IF($C261="Electricity",1,1/INDEX('TCO - Input'!$R$291:$R$321,MATCH($C261,'TCO - Input'!$F$291:$F$4010,0)))*1000</f>
        <v>11.933447616824662</v>
      </c>
      <c r="V261" s="112">
        <f>SUMIFS('Fuel Logistics'!T:T,'Fuel Logistics'!$C:$C,$E261,'Fuel Logistics'!$D:$D,$D261,'Fuel Logistics'!$E:$E,"Logistics total")*IF($C261="Electricity",1,1/INDEX('TCO - Input'!$R$291:$R$321,MATCH($C261,'TCO - Input'!$F$291:$F$4010,0)))*1000</f>
        <v>11.933447616824662</v>
      </c>
    </row>
    <row r="262" spans="1:22" x14ac:dyDescent="0.2">
      <c r="B262"/>
      <c r="C262"/>
      <c r="D262"/>
      <c r="E262"/>
      <c r="F262"/>
      <c r="G262"/>
      <c r="H262"/>
      <c r="I262"/>
      <c r="K262" s="57"/>
      <c r="L262" s="57"/>
      <c r="M262" s="57"/>
      <c r="N262" s="57"/>
      <c r="O262" s="57"/>
      <c r="P262" s="57"/>
      <c r="Q262" s="57"/>
      <c r="R262" s="57"/>
      <c r="S262" s="57"/>
      <c r="T262" s="57"/>
      <c r="U262" s="57"/>
      <c r="V262" s="57"/>
    </row>
    <row r="263" spans="1:22" x14ac:dyDescent="0.2">
      <c r="A263" s="29">
        <v>1</v>
      </c>
      <c r="B263" s="334" t="str">
        <f t="shared" ref="B263:B282" si="165">_xlfn.TEXTJOIN(keydelim,TRUE,C263,E263,F263)</f>
        <v>LSFO - Asia - Logistics cost - USD/GJ</v>
      </c>
      <c r="C263" t="str" cm="1">
        <f t="array" ref="C263">INDEX(list_AE_fuel,A263)</f>
        <v>LSFO</v>
      </c>
      <c r="D263" t="str">
        <f>INDEX('Configurator Specs.'!$AH:$AH,MATCH($C263,'Configurator Specs.'!$AE:$AE,0))</f>
        <v>HFO</v>
      </c>
      <c r="E263" t="s">
        <v>198</v>
      </c>
      <c r="F263" t="str">
        <f t="shared" ref="F263:F282" si="166">"Logistics cost"  &amp;keydelim &amp;I263</f>
        <v>Logistics cost - USD/GJ</v>
      </c>
      <c r="G263" s="128"/>
      <c r="H263" s="128"/>
      <c r="I263" t="s">
        <v>324</v>
      </c>
      <c r="K263" s="112">
        <f>SUMIFS('Fuel Logistics'!I:I,'Fuel Logistics'!$C:$C,$E263,'Fuel Logistics'!$D:$D,$D263,'Fuel Logistics'!$E:$E,"Logistics total")*IF($C263="Electricity",1,1/INDEX('TCO - Input'!$R$291:$R$321,MATCH($C263,'TCO - Input'!$F$291:$F$4010,0)))*1000</f>
        <v>0</v>
      </c>
      <c r="L263" s="112">
        <f>SUMIFS('Fuel Logistics'!J:J,'Fuel Logistics'!$C:$C,$E263,'Fuel Logistics'!$D:$D,$D263,'Fuel Logistics'!$E:$E,"Logistics total")*IF($C263="Electricity",1,1/INDEX('TCO - Input'!$R$291:$R$321,MATCH($C263,'TCO - Input'!$F$291:$F$4010,0)))*1000</f>
        <v>0</v>
      </c>
      <c r="M263" s="112">
        <f>SUMIFS('Fuel Logistics'!K:K,'Fuel Logistics'!$C:$C,$E263,'Fuel Logistics'!$D:$D,$D263,'Fuel Logistics'!$E:$E,"Logistics total")*IF($C263="Electricity",1,1/INDEX('TCO - Input'!$R$291:$R$321,MATCH($C263,'TCO - Input'!$F$291:$F$4010,0)))*1000</f>
        <v>0</v>
      </c>
      <c r="N263" s="112">
        <f>SUMIFS('Fuel Logistics'!L:L,'Fuel Logistics'!$C:$C,$E263,'Fuel Logistics'!$D:$D,$D263,'Fuel Logistics'!$E:$E,"Logistics total")*IF($C263="Electricity",1,1/INDEX('TCO - Input'!$R$291:$R$321,MATCH($C263,'TCO - Input'!$F$291:$F$4010,0)))*1000</f>
        <v>0</v>
      </c>
      <c r="O263" s="112">
        <f>SUMIFS('Fuel Logistics'!M:M,'Fuel Logistics'!$C:$C,$E263,'Fuel Logistics'!$D:$D,$D263,'Fuel Logistics'!$E:$E,"Logistics total")*IF($C263="Electricity",1,1/INDEX('TCO - Input'!$R$291:$R$321,MATCH($C263,'TCO - Input'!$F$291:$F$4010,0)))*1000</f>
        <v>0</v>
      </c>
      <c r="P263" s="112">
        <f>SUMIFS('Fuel Logistics'!N:N,'Fuel Logistics'!$C:$C,$E263,'Fuel Logistics'!$D:$D,$D263,'Fuel Logistics'!$E:$E,"Logistics total")*IF($C263="Electricity",1,1/INDEX('TCO - Input'!$R$291:$R$321,MATCH($C263,'TCO - Input'!$F$291:$F$4010,0)))*1000</f>
        <v>0</v>
      </c>
      <c r="Q263" s="112">
        <f>SUMIFS('Fuel Logistics'!O:O,'Fuel Logistics'!$C:$C,$E263,'Fuel Logistics'!$D:$D,$D263,'Fuel Logistics'!$E:$E,"Logistics total")*IF($C263="Electricity",1,1/INDEX('TCO - Input'!$R$291:$R$321,MATCH($C263,'TCO - Input'!$F$291:$F$4010,0)))*1000</f>
        <v>0</v>
      </c>
      <c r="R263" s="112">
        <f>SUMIFS('Fuel Logistics'!P:P,'Fuel Logistics'!$C:$C,$E263,'Fuel Logistics'!$D:$D,$D263,'Fuel Logistics'!$E:$E,"Logistics total")*IF($C263="Electricity",1,1/INDEX('TCO - Input'!$R$291:$R$321,MATCH($C263,'TCO - Input'!$F$291:$F$4010,0)))*1000</f>
        <v>0</v>
      </c>
      <c r="S263" s="112">
        <f>SUMIFS('Fuel Logistics'!Q:Q,'Fuel Logistics'!$C:$C,$E263,'Fuel Logistics'!$D:$D,$D263,'Fuel Logistics'!$E:$E,"Logistics total")*IF($C263="Electricity",1,1/INDEX('TCO - Input'!$R$291:$R$321,MATCH($C263,'TCO - Input'!$F$291:$F$4010,0)))*1000</f>
        <v>0</v>
      </c>
      <c r="T263" s="112">
        <f>SUMIFS('Fuel Logistics'!R:R,'Fuel Logistics'!$C:$C,$E263,'Fuel Logistics'!$D:$D,$D263,'Fuel Logistics'!$E:$E,"Logistics total")*IF($C263="Electricity",1,1/INDEX('TCO - Input'!$R$291:$R$321,MATCH($C263,'TCO - Input'!$F$291:$F$4010,0)))*1000</f>
        <v>0</v>
      </c>
      <c r="U263" s="112">
        <f>SUMIFS('Fuel Logistics'!S:S,'Fuel Logistics'!$C:$C,$E263,'Fuel Logistics'!$D:$D,$D263,'Fuel Logistics'!$E:$E,"Logistics total")*IF($C263="Electricity",1,1/INDEX('TCO - Input'!$R$291:$R$321,MATCH($C263,'TCO - Input'!$F$291:$F$4010,0)))*1000</f>
        <v>0</v>
      </c>
      <c r="V263" s="112">
        <f>SUMIFS('Fuel Logistics'!T:T,'Fuel Logistics'!$C:$C,$E263,'Fuel Logistics'!$D:$D,$D263,'Fuel Logistics'!$E:$E,"Logistics total")*IF($C263="Electricity",1,1/INDEX('TCO - Input'!$R$291:$R$321,MATCH($C263,'TCO - Input'!$F$291:$F$4010,0)))*1000</f>
        <v>0</v>
      </c>
    </row>
    <row r="264" spans="1:22" x14ac:dyDescent="0.2">
      <c r="A264" s="29">
        <f>A263+1</f>
        <v>2</v>
      </c>
      <c r="B264" s="334" t="str">
        <f t="shared" si="165"/>
        <v>LNG - Asia - Logistics cost - USD/GJ</v>
      </c>
      <c r="C264" t="str" cm="1">
        <f t="array" ref="C264">INDEX(list_AE_fuel,A264)</f>
        <v>LNG</v>
      </c>
      <c r="D264" t="str">
        <f>INDEX('Configurator Specs.'!$AH:$AH,MATCH($C264,'Configurator Specs.'!$AE:$AE,0))</f>
        <v>LNG &amp; e-Methane</v>
      </c>
      <c r="E264" t="s">
        <v>198</v>
      </c>
      <c r="F264" t="str">
        <f t="shared" si="166"/>
        <v>Logistics cost - USD/GJ</v>
      </c>
      <c r="G264" s="128"/>
      <c r="H264" s="128"/>
      <c r="I264" t="s">
        <v>324</v>
      </c>
      <c r="K264" s="112">
        <f>SUMIFS('Fuel Logistics'!I:I,'Fuel Logistics'!$C:$C,$E264,'Fuel Logistics'!$D:$D,$D264,'Fuel Logistics'!$E:$E,"Logistics total")*IF($C264="Electricity",1,1/INDEX('TCO - Input'!$R$291:$R$321,MATCH($C264,'TCO - Input'!$F$291:$F$4010,0)))*1000</f>
        <v>0.86436314038716322</v>
      </c>
      <c r="L264" s="112">
        <f>SUMIFS('Fuel Logistics'!J:J,'Fuel Logistics'!$C:$C,$E264,'Fuel Logistics'!$D:$D,$D264,'Fuel Logistics'!$E:$E,"Logistics total")*IF($C264="Electricity",1,1/INDEX('TCO - Input'!$R$291:$R$321,MATCH($C264,'TCO - Input'!$F$291:$F$4010,0)))*1000</f>
        <v>0.85841138200049749</v>
      </c>
      <c r="M264" s="112">
        <f>SUMIFS('Fuel Logistics'!K:K,'Fuel Logistics'!$C:$C,$E264,'Fuel Logistics'!$D:$D,$D264,'Fuel Logistics'!$E:$E,"Logistics total")*IF($C264="Electricity",1,1/INDEX('TCO - Input'!$R$291:$R$321,MATCH($C264,'TCO - Input'!$F$291:$F$4010,0)))*1000</f>
        <v>0.85627653568863948</v>
      </c>
      <c r="N264" s="112">
        <f>SUMIFS('Fuel Logistics'!L:L,'Fuel Logistics'!$C:$C,$E264,'Fuel Logistics'!$D:$D,$D264,'Fuel Logistics'!$E:$E,"Logistics total")*IF($C264="Electricity",1,1/INDEX('TCO - Input'!$R$291:$R$321,MATCH($C264,'TCO - Input'!$F$291:$F$4010,0)))*1000</f>
        <v>0.85482550383846168</v>
      </c>
      <c r="O264" s="112">
        <f>SUMIFS('Fuel Logistics'!M:M,'Fuel Logistics'!$C:$C,$E264,'Fuel Logistics'!$D:$D,$D264,'Fuel Logistics'!$E:$E,"Logistics total")*IF($C264="Electricity",1,1/INDEX('TCO - Input'!$R$291:$R$321,MATCH($C264,'TCO - Input'!$F$291:$F$4010,0)))*1000</f>
        <v>0.85408776409056364</v>
      </c>
      <c r="P264" s="112">
        <f>SUMIFS('Fuel Logistics'!N:N,'Fuel Logistics'!$C:$C,$E264,'Fuel Logistics'!$D:$D,$D264,'Fuel Logistics'!$E:$E,"Logistics total")*IF($C264="Electricity",1,1/INDEX('TCO - Input'!$R$291:$R$321,MATCH($C264,'TCO - Input'!$F$291:$F$4010,0)))*1000</f>
        <v>0.85331555116073488</v>
      </c>
      <c r="Q264" s="112">
        <f>SUMIFS('Fuel Logistics'!O:O,'Fuel Logistics'!$C:$C,$E264,'Fuel Logistics'!$D:$D,$D264,'Fuel Logistics'!$E:$E,"Logistics total")*IF($C264="Electricity",1,1/INDEX('TCO - Input'!$R$291:$R$321,MATCH($C264,'TCO - Input'!$F$291:$F$4010,0)))*1000</f>
        <v>0.85296142454659085</v>
      </c>
      <c r="R264" s="112">
        <f>SUMIFS('Fuel Logistics'!P:P,'Fuel Logistics'!$C:$C,$E264,'Fuel Logistics'!$D:$D,$D264,'Fuel Logistics'!$E:$E,"Logistics total")*IF($C264="Electricity",1,1/INDEX('TCO - Input'!$R$291:$R$321,MATCH($C264,'TCO - Input'!$F$291:$F$4010,0)))*1000</f>
        <v>0.85296142454659085</v>
      </c>
      <c r="S264" s="112">
        <f>SUMIFS('Fuel Logistics'!Q:Q,'Fuel Logistics'!$C:$C,$E264,'Fuel Logistics'!$D:$D,$D264,'Fuel Logistics'!$E:$E,"Logistics total")*IF($C264="Electricity",1,1/INDEX('TCO - Input'!$R$291:$R$321,MATCH($C264,'TCO - Input'!$F$291:$F$4010,0)))*1000</f>
        <v>0.85296142454659085</v>
      </c>
      <c r="T264" s="112">
        <f>SUMIFS('Fuel Logistics'!R:R,'Fuel Logistics'!$C:$C,$E264,'Fuel Logistics'!$D:$D,$D264,'Fuel Logistics'!$E:$E,"Logistics total")*IF($C264="Electricity",1,1/INDEX('TCO - Input'!$R$291:$R$321,MATCH($C264,'TCO - Input'!$F$291:$F$4010,0)))*1000</f>
        <v>0.85296142454659085</v>
      </c>
      <c r="U264" s="112">
        <f>SUMIFS('Fuel Logistics'!S:S,'Fuel Logistics'!$C:$C,$E264,'Fuel Logistics'!$D:$D,$D264,'Fuel Logistics'!$E:$E,"Logistics total")*IF($C264="Electricity",1,1/INDEX('TCO - Input'!$R$291:$R$321,MATCH($C264,'TCO - Input'!$F$291:$F$4010,0)))*1000</f>
        <v>0.85296142454659085</v>
      </c>
      <c r="V264" s="112">
        <f>SUMIFS('Fuel Logistics'!T:T,'Fuel Logistics'!$C:$C,$E264,'Fuel Logistics'!$D:$D,$D264,'Fuel Logistics'!$E:$E,"Logistics total")*IF($C264="Electricity",1,1/INDEX('TCO - Input'!$R$291:$R$321,MATCH($C264,'TCO - Input'!$F$291:$F$4010,0)))*1000</f>
        <v>0.85296142454659085</v>
      </c>
    </row>
    <row r="265" spans="1:22" x14ac:dyDescent="0.2">
      <c r="A265" s="29">
        <f t="shared" ref="A265:A282" si="167">A264+1</f>
        <v>3</v>
      </c>
      <c r="B265" s="334" t="str">
        <f t="shared" si="165"/>
        <v>LPG - Asia - Logistics cost - USD/GJ</v>
      </c>
      <c r="C265" t="str" cm="1">
        <f t="array" ref="C265">INDEX(list_AE_fuel,A265)</f>
        <v>LPG</v>
      </c>
      <c r="D265" t="str">
        <f>INDEX('Configurator Specs.'!$AH:$AH,MATCH($C265,'Configurator Specs.'!$AE:$AE,0))</f>
        <v>LPG</v>
      </c>
      <c r="E265" t="s">
        <v>198</v>
      </c>
      <c r="F265" t="str">
        <f t="shared" si="166"/>
        <v>Logistics cost - USD/GJ</v>
      </c>
      <c r="G265" s="128"/>
      <c r="H265" s="128"/>
      <c r="I265" t="s">
        <v>324</v>
      </c>
      <c r="K265" s="112">
        <f>SUMIFS('Fuel Logistics'!I:I,'Fuel Logistics'!$C:$C,$E265,'Fuel Logistics'!$D:$D,$D265,'Fuel Logistics'!$E:$E,"Logistics total")*IF($C265="Electricity",1,1/INDEX('TCO - Input'!$R$291:$R$321,MATCH($C265,'TCO - Input'!$F$291:$F$4010,0)))*1000</f>
        <v>0</v>
      </c>
      <c r="L265" s="112">
        <f>SUMIFS('Fuel Logistics'!J:J,'Fuel Logistics'!$C:$C,$E265,'Fuel Logistics'!$D:$D,$D265,'Fuel Logistics'!$E:$E,"Logistics total")*IF($C265="Electricity",1,1/INDEX('TCO - Input'!$R$291:$R$321,MATCH($C265,'TCO - Input'!$F$291:$F$4010,0)))*1000</f>
        <v>0</v>
      </c>
      <c r="M265" s="112">
        <f>SUMIFS('Fuel Logistics'!K:K,'Fuel Logistics'!$C:$C,$E265,'Fuel Logistics'!$D:$D,$D265,'Fuel Logistics'!$E:$E,"Logistics total")*IF($C265="Electricity",1,1/INDEX('TCO - Input'!$R$291:$R$321,MATCH($C265,'TCO - Input'!$F$291:$F$4010,0)))*1000</f>
        <v>0</v>
      </c>
      <c r="N265" s="112">
        <f>SUMIFS('Fuel Logistics'!L:L,'Fuel Logistics'!$C:$C,$E265,'Fuel Logistics'!$D:$D,$D265,'Fuel Logistics'!$E:$E,"Logistics total")*IF($C265="Electricity",1,1/INDEX('TCO - Input'!$R$291:$R$321,MATCH($C265,'TCO - Input'!$F$291:$F$4010,0)))*1000</f>
        <v>0</v>
      </c>
      <c r="O265" s="112">
        <f>SUMIFS('Fuel Logistics'!M:M,'Fuel Logistics'!$C:$C,$E265,'Fuel Logistics'!$D:$D,$D265,'Fuel Logistics'!$E:$E,"Logistics total")*IF($C265="Electricity",1,1/INDEX('TCO - Input'!$R$291:$R$321,MATCH($C265,'TCO - Input'!$F$291:$F$4010,0)))*1000</f>
        <v>0</v>
      </c>
      <c r="P265" s="112">
        <f>SUMIFS('Fuel Logistics'!N:N,'Fuel Logistics'!$C:$C,$E265,'Fuel Logistics'!$D:$D,$D265,'Fuel Logistics'!$E:$E,"Logistics total")*IF($C265="Electricity",1,1/INDEX('TCO - Input'!$R$291:$R$321,MATCH($C265,'TCO - Input'!$F$291:$F$4010,0)))*1000</f>
        <v>0</v>
      </c>
      <c r="Q265" s="112">
        <f>SUMIFS('Fuel Logistics'!O:O,'Fuel Logistics'!$C:$C,$E265,'Fuel Logistics'!$D:$D,$D265,'Fuel Logistics'!$E:$E,"Logistics total")*IF($C265="Electricity",1,1/INDEX('TCO - Input'!$R$291:$R$321,MATCH($C265,'TCO - Input'!$F$291:$F$4010,0)))*1000</f>
        <v>0</v>
      </c>
      <c r="R265" s="112">
        <f>SUMIFS('Fuel Logistics'!P:P,'Fuel Logistics'!$C:$C,$E265,'Fuel Logistics'!$D:$D,$D265,'Fuel Logistics'!$E:$E,"Logistics total")*IF($C265="Electricity",1,1/INDEX('TCO - Input'!$R$291:$R$321,MATCH($C265,'TCO - Input'!$F$291:$F$4010,0)))*1000</f>
        <v>0</v>
      </c>
      <c r="S265" s="112">
        <f>SUMIFS('Fuel Logistics'!Q:Q,'Fuel Logistics'!$C:$C,$E265,'Fuel Logistics'!$D:$D,$D265,'Fuel Logistics'!$E:$E,"Logistics total")*IF($C265="Electricity",1,1/INDEX('TCO - Input'!$R$291:$R$321,MATCH($C265,'TCO - Input'!$F$291:$F$4010,0)))*1000</f>
        <v>0</v>
      </c>
      <c r="T265" s="112">
        <f>SUMIFS('Fuel Logistics'!R:R,'Fuel Logistics'!$C:$C,$E265,'Fuel Logistics'!$D:$D,$D265,'Fuel Logistics'!$E:$E,"Logistics total")*IF($C265="Electricity",1,1/INDEX('TCO - Input'!$R$291:$R$321,MATCH($C265,'TCO - Input'!$F$291:$F$4010,0)))*1000</f>
        <v>0</v>
      </c>
      <c r="U265" s="112">
        <f>SUMIFS('Fuel Logistics'!S:S,'Fuel Logistics'!$C:$C,$E265,'Fuel Logistics'!$D:$D,$D265,'Fuel Logistics'!$E:$E,"Logistics total")*IF($C265="Electricity",1,1/INDEX('TCO - Input'!$R$291:$R$321,MATCH($C265,'TCO - Input'!$F$291:$F$4010,0)))*1000</f>
        <v>0</v>
      </c>
      <c r="V265" s="112">
        <f>SUMIFS('Fuel Logistics'!T:T,'Fuel Logistics'!$C:$C,$E265,'Fuel Logistics'!$D:$D,$D265,'Fuel Logistics'!$E:$E,"Logistics total")*IF($C265="Electricity",1,1/INDEX('TCO - Input'!$R$291:$R$321,MATCH($C265,'TCO - Input'!$F$291:$F$4010,0)))*1000</f>
        <v>0</v>
      </c>
    </row>
    <row r="266" spans="1:22" x14ac:dyDescent="0.2">
      <c r="A266" s="29">
        <f t="shared" si="167"/>
        <v>4</v>
      </c>
      <c r="B266" s="334" t="str">
        <f t="shared" si="165"/>
        <v>Electricity - Asia - Logistics cost - USD/GJ</v>
      </c>
      <c r="C266" t="str" cm="1">
        <f t="array" ref="C266">INDEX(list_AE_fuel,A266)</f>
        <v>Electricity</v>
      </c>
      <c r="D266" t="str">
        <f>INDEX('Configurator Specs.'!$AH:$AH,MATCH($C266,'Configurator Specs.'!$AE:$AE,0))</f>
        <v>Electricity</v>
      </c>
      <c r="E266" t="s">
        <v>198</v>
      </c>
      <c r="F266" t="str">
        <f t="shared" si="166"/>
        <v>Logistics cost - USD/GJ</v>
      </c>
      <c r="G266" s="128"/>
      <c r="H266" s="128"/>
      <c r="I266" t="s">
        <v>324</v>
      </c>
      <c r="K266" s="112">
        <f>SUMIFS('Fuel Logistics'!I:I,'Fuel Logistics'!$C:$C,$E266,'Fuel Logistics'!$D:$D,$D266,'Fuel Logistics'!$E:$E,"Logistics total")*IF($C266="Electricity",1,1/INDEX('TCO - Input'!$R$291:$R$321,MATCH($C266,'TCO - Input'!$F$291:$F$4010,0)))*1000</f>
        <v>18.782608695652176</v>
      </c>
      <c r="L266" s="112">
        <f>SUMIFS('Fuel Logistics'!J:J,'Fuel Logistics'!$C:$C,$E266,'Fuel Logistics'!$D:$D,$D266,'Fuel Logistics'!$E:$E,"Logistics total")*IF($C266="Electricity",1,1/INDEX('TCO - Input'!$R$291:$R$321,MATCH($C266,'TCO - Input'!$F$291:$F$4010,0)))*1000</f>
        <v>18.782608695652176</v>
      </c>
      <c r="M266" s="112">
        <f>SUMIFS('Fuel Logistics'!K:K,'Fuel Logistics'!$C:$C,$E266,'Fuel Logistics'!$D:$D,$D266,'Fuel Logistics'!$E:$E,"Logistics total")*IF($C266="Electricity",1,1/INDEX('TCO - Input'!$R$291:$R$321,MATCH($C266,'TCO - Input'!$F$291:$F$4010,0)))*1000</f>
        <v>18.782608695652176</v>
      </c>
      <c r="N266" s="112">
        <f>SUMIFS('Fuel Logistics'!L:L,'Fuel Logistics'!$C:$C,$E266,'Fuel Logistics'!$D:$D,$D266,'Fuel Logistics'!$E:$E,"Logistics total")*IF($C266="Electricity",1,1/INDEX('TCO - Input'!$R$291:$R$321,MATCH($C266,'TCO - Input'!$F$291:$F$4010,0)))*1000</f>
        <v>18.782608695652176</v>
      </c>
      <c r="O266" s="112">
        <f>SUMIFS('Fuel Logistics'!M:M,'Fuel Logistics'!$C:$C,$E266,'Fuel Logistics'!$D:$D,$D266,'Fuel Logistics'!$E:$E,"Logistics total")*IF($C266="Electricity",1,1/INDEX('TCO - Input'!$R$291:$R$321,MATCH($C266,'TCO - Input'!$F$291:$F$4010,0)))*1000</f>
        <v>18.782608695652176</v>
      </c>
      <c r="P266" s="112">
        <f>SUMIFS('Fuel Logistics'!N:N,'Fuel Logistics'!$C:$C,$E266,'Fuel Logistics'!$D:$D,$D266,'Fuel Logistics'!$E:$E,"Logistics total")*IF($C266="Electricity",1,1/INDEX('TCO - Input'!$R$291:$R$321,MATCH($C266,'TCO - Input'!$F$291:$F$4010,0)))*1000</f>
        <v>18.782608695652176</v>
      </c>
      <c r="Q266" s="112">
        <f>SUMIFS('Fuel Logistics'!O:O,'Fuel Logistics'!$C:$C,$E266,'Fuel Logistics'!$D:$D,$D266,'Fuel Logistics'!$E:$E,"Logistics total")*IF($C266="Electricity",1,1/INDEX('TCO - Input'!$R$291:$R$321,MATCH($C266,'TCO - Input'!$F$291:$F$4010,0)))*1000</f>
        <v>18.782608695652176</v>
      </c>
      <c r="R266" s="112">
        <f>SUMIFS('Fuel Logistics'!P:P,'Fuel Logistics'!$C:$C,$E266,'Fuel Logistics'!$D:$D,$D266,'Fuel Logistics'!$E:$E,"Logistics total")*IF($C266="Electricity",1,1/INDEX('TCO - Input'!$R$291:$R$321,MATCH($C266,'TCO - Input'!$F$291:$F$4010,0)))*1000</f>
        <v>18.782608695652176</v>
      </c>
      <c r="S266" s="112">
        <f>SUMIFS('Fuel Logistics'!Q:Q,'Fuel Logistics'!$C:$C,$E266,'Fuel Logistics'!$D:$D,$D266,'Fuel Logistics'!$E:$E,"Logistics total")*IF($C266="Electricity",1,1/INDEX('TCO - Input'!$R$291:$R$321,MATCH($C266,'TCO - Input'!$F$291:$F$4010,0)))*1000</f>
        <v>18.782608695652176</v>
      </c>
      <c r="T266" s="112">
        <f>SUMIFS('Fuel Logistics'!R:R,'Fuel Logistics'!$C:$C,$E266,'Fuel Logistics'!$D:$D,$D266,'Fuel Logistics'!$E:$E,"Logistics total")*IF($C266="Electricity",1,1/INDEX('TCO - Input'!$R$291:$R$321,MATCH($C266,'TCO - Input'!$F$291:$F$4010,0)))*1000</f>
        <v>18.782608695652176</v>
      </c>
      <c r="U266" s="112">
        <f>SUMIFS('Fuel Logistics'!S:S,'Fuel Logistics'!$C:$C,$E266,'Fuel Logistics'!$D:$D,$D266,'Fuel Logistics'!$E:$E,"Logistics total")*IF($C266="Electricity",1,1/INDEX('TCO - Input'!$R$291:$R$321,MATCH($C266,'TCO - Input'!$F$291:$F$4010,0)))*1000</f>
        <v>18.782608695652176</v>
      </c>
      <c r="V266" s="112">
        <f>SUMIFS('Fuel Logistics'!T:T,'Fuel Logistics'!$C:$C,$E266,'Fuel Logistics'!$D:$D,$D266,'Fuel Logistics'!$E:$E,"Logistics total")*IF($C266="Electricity",1,1/INDEX('TCO - Input'!$R$291:$R$321,MATCH($C266,'TCO - Input'!$F$291:$F$4010,0)))*1000</f>
        <v>18.782608695652176</v>
      </c>
    </row>
    <row r="267" spans="1:22" x14ac:dyDescent="0.2">
      <c r="A267" s="29">
        <f t="shared" si="167"/>
        <v>5</v>
      </c>
      <c r="B267" s="334" t="str">
        <f t="shared" si="165"/>
        <v>e-Ammonia - Asia - Logistics cost - USD/GJ</v>
      </c>
      <c r="C267" t="str" cm="1">
        <f t="array" ref="C267">INDEX(list_AE_fuel,A267)</f>
        <v>e-Ammonia</v>
      </c>
      <c r="D267" t="str">
        <f>INDEX('Configurator Specs.'!$AH:$AH,MATCH($C267,'Configurator Specs.'!$AE:$AE,0))</f>
        <v>Ammonia</v>
      </c>
      <c r="E267" t="s">
        <v>198</v>
      </c>
      <c r="F267" t="str">
        <f t="shared" si="166"/>
        <v>Logistics cost - USD/GJ</v>
      </c>
      <c r="G267" s="226"/>
      <c r="H267" s="128"/>
      <c r="I267" t="s">
        <v>324</v>
      </c>
      <c r="K267" s="112">
        <f>SUMIFS('Fuel Logistics'!I:I,'Fuel Logistics'!$C:$C,$E267,'Fuel Logistics'!$D:$D,$D267,'Fuel Logistics'!$E:$E,"Logistics total")*IF($C267="Electricity",1,1/INDEX('TCO - Input'!$R$291:$R$321,MATCH($C267,'TCO - Input'!$F$291:$F$4010,0)))*1000</f>
        <v>1.1780493633711742</v>
      </c>
      <c r="L267" s="112">
        <f>SUMIFS('Fuel Logistics'!J:J,'Fuel Logistics'!$C:$C,$E267,'Fuel Logistics'!$D:$D,$D267,'Fuel Logistics'!$E:$E,"Logistics total")*IF($C267="Electricity",1,1/INDEX('TCO - Input'!$R$291:$R$321,MATCH($C267,'TCO - Input'!$F$291:$F$4010,0)))*1000</f>
        <v>1.1489097874266674</v>
      </c>
      <c r="M267" s="112">
        <f>SUMIFS('Fuel Logistics'!K:K,'Fuel Logistics'!$C:$C,$E267,'Fuel Logistics'!$D:$D,$D267,'Fuel Logistics'!$E:$E,"Logistics total")*IF($C267="Electricity",1,1/INDEX('TCO - Input'!$R$291:$R$321,MATCH($C267,'TCO - Input'!$F$291:$F$4010,0)))*1000</f>
        <v>1.1384576635008012</v>
      </c>
      <c r="N267" s="112">
        <f>SUMIFS('Fuel Logistics'!L:L,'Fuel Logistics'!$C:$C,$E267,'Fuel Logistics'!$D:$D,$D267,'Fuel Logistics'!$E:$E,"Logistics total")*IF($C267="Electricity",1,1/INDEX('TCO - Input'!$R$291:$R$321,MATCH($C267,'TCO - Input'!$F$291:$F$4010,0)))*1000</f>
        <v>1.1313534683958919</v>
      </c>
      <c r="O267" s="112">
        <f>SUMIFS('Fuel Logistics'!M:M,'Fuel Logistics'!$C:$C,$E267,'Fuel Logistics'!$D:$D,$D267,'Fuel Logistics'!$E:$E,"Logistics total")*IF($C267="Electricity",1,1/INDEX('TCO - Input'!$R$291:$R$321,MATCH($C267,'TCO - Input'!$F$291:$F$4010,0)))*1000</f>
        <v>1.1277415234857422</v>
      </c>
      <c r="P267" s="112">
        <f>SUMIFS('Fuel Logistics'!N:N,'Fuel Logistics'!$C:$C,$E267,'Fuel Logistics'!$D:$D,$D267,'Fuel Logistics'!$E:$E,"Logistics total")*IF($C267="Electricity",1,1/INDEX('TCO - Input'!$R$291:$R$321,MATCH($C267,'TCO - Input'!$F$291:$F$4010,0)))*1000</f>
        <v>1.1239607992270948</v>
      </c>
      <c r="Q267" s="112">
        <f>SUMIFS('Fuel Logistics'!O:O,'Fuel Logistics'!$C:$C,$E267,'Fuel Logistics'!$D:$D,$D267,'Fuel Logistics'!$E:$E,"Logistics total")*IF($C267="Electricity",1,1/INDEX('TCO - Input'!$R$291:$R$321,MATCH($C267,'TCO - Input'!$F$291:$F$4010,0)))*1000</f>
        <v>1.1222270091945656</v>
      </c>
      <c r="R267" s="112">
        <f>SUMIFS('Fuel Logistics'!P:P,'Fuel Logistics'!$C:$C,$E267,'Fuel Logistics'!$D:$D,$D267,'Fuel Logistics'!$E:$E,"Logistics total")*IF($C267="Electricity",1,1/INDEX('TCO - Input'!$R$291:$R$321,MATCH($C267,'TCO - Input'!$F$291:$F$4010,0)))*1000</f>
        <v>1.1222270091945656</v>
      </c>
      <c r="S267" s="112">
        <f>SUMIFS('Fuel Logistics'!Q:Q,'Fuel Logistics'!$C:$C,$E267,'Fuel Logistics'!$D:$D,$D267,'Fuel Logistics'!$E:$E,"Logistics total")*IF($C267="Electricity",1,1/INDEX('TCO - Input'!$R$291:$R$321,MATCH($C267,'TCO - Input'!$F$291:$F$4010,0)))*1000</f>
        <v>1.1222270091945656</v>
      </c>
      <c r="T267" s="112">
        <f>SUMIFS('Fuel Logistics'!R:R,'Fuel Logistics'!$C:$C,$E267,'Fuel Logistics'!$D:$D,$D267,'Fuel Logistics'!$E:$E,"Logistics total")*IF($C267="Electricity",1,1/INDEX('TCO - Input'!$R$291:$R$321,MATCH($C267,'TCO - Input'!$F$291:$F$4010,0)))*1000</f>
        <v>1.1222270091945656</v>
      </c>
      <c r="U267" s="112">
        <f>SUMIFS('Fuel Logistics'!S:S,'Fuel Logistics'!$C:$C,$E267,'Fuel Logistics'!$D:$D,$D267,'Fuel Logistics'!$E:$E,"Logistics total")*IF($C267="Electricity",1,1/INDEX('TCO - Input'!$R$291:$R$321,MATCH($C267,'TCO - Input'!$F$291:$F$4010,0)))*1000</f>
        <v>1.1222270091945656</v>
      </c>
      <c r="V267" s="112">
        <f>SUMIFS('Fuel Logistics'!T:T,'Fuel Logistics'!$C:$C,$E267,'Fuel Logistics'!$D:$D,$D267,'Fuel Logistics'!$E:$E,"Logistics total")*IF($C267="Electricity",1,1/INDEX('TCO - Input'!$R$291:$R$321,MATCH($C267,'TCO - Input'!$F$291:$F$4010,0)))*1000</f>
        <v>1.1222270091945656</v>
      </c>
    </row>
    <row r="268" spans="1:22" x14ac:dyDescent="0.2">
      <c r="A268" s="29">
        <f t="shared" si="167"/>
        <v>6</v>
      </c>
      <c r="B268" s="334" t="str">
        <f t="shared" si="165"/>
        <v>Blue ammonia - Asia - Logistics cost - USD/GJ</v>
      </c>
      <c r="C268" t="str" cm="1">
        <f t="array" ref="C268">INDEX(list_AE_fuel,A268)</f>
        <v>Blue ammonia</v>
      </c>
      <c r="D268" t="str">
        <f>INDEX('Configurator Specs.'!$AH:$AH,MATCH($C268,'Configurator Specs.'!$AE:$AE,0))</f>
        <v>Ammonia</v>
      </c>
      <c r="E268" t="s">
        <v>198</v>
      </c>
      <c r="F268" t="str">
        <f t="shared" si="166"/>
        <v>Logistics cost - USD/GJ</v>
      </c>
      <c r="G268" s="226"/>
      <c r="H268" s="128"/>
      <c r="I268" t="s">
        <v>324</v>
      </c>
      <c r="K268" s="112">
        <f>SUMIFS('Fuel Logistics'!I:I,'Fuel Logistics'!$C:$C,$E268,'Fuel Logistics'!$D:$D,$D268,'Fuel Logistics'!$E:$E,"Logistics total")*IF($C268="Electricity",1,1/INDEX('TCO - Input'!$R$291:$R$321,MATCH($C268,'TCO - Input'!$F$291:$F$4010,0)))*1000</f>
        <v>1.1780493633711742</v>
      </c>
      <c r="L268" s="112">
        <f>SUMIFS('Fuel Logistics'!J:J,'Fuel Logistics'!$C:$C,$E268,'Fuel Logistics'!$D:$D,$D268,'Fuel Logistics'!$E:$E,"Logistics total")*IF($C268="Electricity",1,1/INDEX('TCO - Input'!$R$291:$R$321,MATCH($C268,'TCO - Input'!$F$291:$F$4010,0)))*1000</f>
        <v>1.1489097874266674</v>
      </c>
      <c r="M268" s="112">
        <f>SUMIFS('Fuel Logistics'!K:K,'Fuel Logistics'!$C:$C,$E268,'Fuel Logistics'!$D:$D,$D268,'Fuel Logistics'!$E:$E,"Logistics total")*IF($C268="Electricity",1,1/INDEX('TCO - Input'!$R$291:$R$321,MATCH($C268,'TCO - Input'!$F$291:$F$4010,0)))*1000</f>
        <v>1.1384576635008012</v>
      </c>
      <c r="N268" s="112">
        <f>SUMIFS('Fuel Logistics'!L:L,'Fuel Logistics'!$C:$C,$E268,'Fuel Logistics'!$D:$D,$D268,'Fuel Logistics'!$E:$E,"Logistics total")*IF($C268="Electricity",1,1/INDEX('TCO - Input'!$R$291:$R$321,MATCH($C268,'TCO - Input'!$F$291:$F$4010,0)))*1000</f>
        <v>1.1313534683958919</v>
      </c>
      <c r="O268" s="112">
        <f>SUMIFS('Fuel Logistics'!M:M,'Fuel Logistics'!$C:$C,$E268,'Fuel Logistics'!$D:$D,$D268,'Fuel Logistics'!$E:$E,"Logistics total")*IF($C268="Electricity",1,1/INDEX('TCO - Input'!$R$291:$R$321,MATCH($C268,'TCO - Input'!$F$291:$F$4010,0)))*1000</f>
        <v>1.1277415234857422</v>
      </c>
      <c r="P268" s="112">
        <f>SUMIFS('Fuel Logistics'!N:N,'Fuel Logistics'!$C:$C,$E268,'Fuel Logistics'!$D:$D,$D268,'Fuel Logistics'!$E:$E,"Logistics total")*IF($C268="Electricity",1,1/INDEX('TCO - Input'!$R$291:$R$321,MATCH($C268,'TCO - Input'!$F$291:$F$4010,0)))*1000</f>
        <v>1.1239607992270948</v>
      </c>
      <c r="Q268" s="112">
        <f>SUMIFS('Fuel Logistics'!O:O,'Fuel Logistics'!$C:$C,$E268,'Fuel Logistics'!$D:$D,$D268,'Fuel Logistics'!$E:$E,"Logistics total")*IF($C268="Electricity",1,1/INDEX('TCO - Input'!$R$291:$R$321,MATCH($C268,'TCO - Input'!$F$291:$F$4010,0)))*1000</f>
        <v>1.1222270091945656</v>
      </c>
      <c r="R268" s="112">
        <f>SUMIFS('Fuel Logistics'!P:P,'Fuel Logistics'!$C:$C,$E268,'Fuel Logistics'!$D:$D,$D268,'Fuel Logistics'!$E:$E,"Logistics total")*IF($C268="Electricity",1,1/INDEX('TCO - Input'!$R$291:$R$321,MATCH($C268,'TCO - Input'!$F$291:$F$4010,0)))*1000</f>
        <v>1.1222270091945656</v>
      </c>
      <c r="S268" s="112">
        <f>SUMIFS('Fuel Logistics'!Q:Q,'Fuel Logistics'!$C:$C,$E268,'Fuel Logistics'!$D:$D,$D268,'Fuel Logistics'!$E:$E,"Logistics total")*IF($C268="Electricity",1,1/INDEX('TCO - Input'!$R$291:$R$321,MATCH($C268,'TCO - Input'!$F$291:$F$4010,0)))*1000</f>
        <v>1.1222270091945656</v>
      </c>
      <c r="T268" s="112">
        <f>SUMIFS('Fuel Logistics'!R:R,'Fuel Logistics'!$C:$C,$E268,'Fuel Logistics'!$D:$D,$D268,'Fuel Logistics'!$E:$E,"Logistics total")*IF($C268="Electricity",1,1/INDEX('TCO - Input'!$R$291:$R$321,MATCH($C268,'TCO - Input'!$F$291:$F$4010,0)))*1000</f>
        <v>1.1222270091945656</v>
      </c>
      <c r="U268" s="112">
        <f>SUMIFS('Fuel Logistics'!S:S,'Fuel Logistics'!$C:$C,$E268,'Fuel Logistics'!$D:$D,$D268,'Fuel Logistics'!$E:$E,"Logistics total")*IF($C268="Electricity",1,1/INDEX('TCO - Input'!$R$291:$R$321,MATCH($C268,'TCO - Input'!$F$291:$F$4010,0)))*1000</f>
        <v>1.1222270091945656</v>
      </c>
      <c r="V268" s="112">
        <f>SUMIFS('Fuel Logistics'!T:T,'Fuel Logistics'!$C:$C,$E268,'Fuel Logistics'!$D:$D,$D268,'Fuel Logistics'!$E:$E,"Logistics total")*IF($C268="Electricity",1,1/INDEX('TCO - Input'!$R$291:$R$321,MATCH($C268,'TCO - Input'!$F$291:$F$4010,0)))*1000</f>
        <v>1.1222270091945656</v>
      </c>
    </row>
    <row r="269" spans="1:22" x14ac:dyDescent="0.2">
      <c r="A269" s="29">
        <f t="shared" si="167"/>
        <v>7</v>
      </c>
      <c r="B269" s="334" t="str">
        <f t="shared" si="165"/>
        <v>Biomethane - Asia - Logistics cost - USD/GJ</v>
      </c>
      <c r="C269" t="str" cm="1">
        <f t="array" ref="C269">INDEX(list_AE_fuel,A269)</f>
        <v>Biomethane</v>
      </c>
      <c r="D269" t="str">
        <f>INDEX('Configurator Specs.'!$AH:$AH,MATCH($C269,'Configurator Specs.'!$AE:$AE,0))</f>
        <v>Biomethane</v>
      </c>
      <c r="E269" t="s">
        <v>198</v>
      </c>
      <c r="F269" t="str">
        <f t="shared" si="166"/>
        <v>Logistics cost - USD/GJ</v>
      </c>
      <c r="G269"/>
      <c r="H269" s="128"/>
      <c r="I269" t="s">
        <v>324</v>
      </c>
      <c r="K269" s="112">
        <f>SUMIFS('Fuel Logistics'!I:I,'Fuel Logistics'!$C:$C,$E269,'Fuel Logistics'!$D:$D,$D269,'Fuel Logistics'!$E:$E,"Logistics total")*IF($C269="Electricity",1,1/INDEX('TCO - Input'!$R$291:$R$321,MATCH($C269,'TCO - Input'!$F$291:$F$4010,0)))*1000</f>
        <v>1.1233306891356687</v>
      </c>
      <c r="L269" s="112">
        <f>SUMIFS('Fuel Logistics'!J:J,'Fuel Logistics'!$C:$C,$E269,'Fuel Logistics'!$D:$D,$D269,'Fuel Logistics'!$E:$E,"Logistics total")*IF($C269="Electricity",1,1/INDEX('TCO - Input'!$R$291:$R$321,MATCH($C269,'TCO - Input'!$F$291:$F$4010,0)))*1000</f>
        <v>1.1176170010844697</v>
      </c>
      <c r="M269" s="112">
        <f>SUMIFS('Fuel Logistics'!K:K,'Fuel Logistics'!$C:$C,$E269,'Fuel Logistics'!$D:$D,$D269,'Fuel Logistics'!$E:$E,"Logistics total")*IF($C269="Electricity",1,1/INDEX('TCO - Input'!$R$291:$R$321,MATCH($C269,'TCO - Input'!$F$291:$F$4010,0)))*1000</f>
        <v>1.115567548625086</v>
      </c>
      <c r="N269" s="112">
        <f>SUMIFS('Fuel Logistics'!L:L,'Fuel Logistics'!$C:$C,$E269,'Fuel Logistics'!$D:$D,$D269,'Fuel Logistics'!$E:$E,"Logistics total")*IF($C269="Electricity",1,1/INDEX('TCO - Input'!$R$291:$R$321,MATCH($C269,'TCO - Input'!$F$291:$F$4010,0)))*1000</f>
        <v>1.1141745580489153</v>
      </c>
      <c r="O269" s="112">
        <f>SUMIFS('Fuel Logistics'!M:M,'Fuel Logistics'!$C:$C,$E269,'Fuel Logistics'!$D:$D,$D269,'Fuel Logistics'!$E:$E,"Logistics total")*IF($C269="Electricity",1,1/INDEX('TCO - Input'!$R$291:$R$321,MATCH($C269,'TCO - Input'!$F$291:$F$4010,0)))*1000</f>
        <v>1.1134663278909331</v>
      </c>
      <c r="P269" s="112">
        <f>SUMIFS('Fuel Logistics'!N:N,'Fuel Logistics'!$C:$C,$E269,'Fuel Logistics'!$D:$D,$D269,'Fuel Logistics'!$E:$E,"Logistics total")*IF($C269="Electricity",1,1/INDEX('TCO - Input'!$R$291:$R$321,MATCH($C269,'TCO - Input'!$F$291:$F$4010,0)))*1000</f>
        <v>1.1127250034782974</v>
      </c>
      <c r="Q269" s="112">
        <f>SUMIFS('Fuel Logistics'!O:O,'Fuel Logistics'!$C:$C,$E269,'Fuel Logistics'!$D:$D,$D269,'Fuel Logistics'!$E:$E,"Logistics total")*IF($C269="Electricity",1,1/INDEX('TCO - Input'!$R$291:$R$321,MATCH($C269,'TCO - Input'!$F$291:$F$4010,0)))*1000</f>
        <v>1.1123850419287191</v>
      </c>
      <c r="R269" s="112">
        <f>SUMIFS('Fuel Logistics'!P:P,'Fuel Logistics'!$C:$C,$E269,'Fuel Logistics'!$D:$D,$D269,'Fuel Logistics'!$E:$E,"Logistics total")*IF($C269="Electricity",1,1/INDEX('TCO - Input'!$R$291:$R$321,MATCH($C269,'TCO - Input'!$F$291:$F$4010,0)))*1000</f>
        <v>1.1123850419287191</v>
      </c>
      <c r="S269" s="112">
        <f>SUMIFS('Fuel Logistics'!Q:Q,'Fuel Logistics'!$C:$C,$E269,'Fuel Logistics'!$D:$D,$D269,'Fuel Logistics'!$E:$E,"Logistics total")*IF($C269="Electricity",1,1/INDEX('TCO - Input'!$R$291:$R$321,MATCH($C269,'TCO - Input'!$F$291:$F$4010,0)))*1000</f>
        <v>1.1123850419287191</v>
      </c>
      <c r="T269" s="112">
        <f>SUMIFS('Fuel Logistics'!R:R,'Fuel Logistics'!$C:$C,$E269,'Fuel Logistics'!$D:$D,$D269,'Fuel Logistics'!$E:$E,"Logistics total")*IF($C269="Electricity",1,1/INDEX('TCO - Input'!$R$291:$R$321,MATCH($C269,'TCO - Input'!$F$291:$F$4010,0)))*1000</f>
        <v>1.1123850419287191</v>
      </c>
      <c r="U269" s="112">
        <f>SUMIFS('Fuel Logistics'!S:S,'Fuel Logistics'!$C:$C,$E269,'Fuel Logistics'!$D:$D,$D269,'Fuel Logistics'!$E:$E,"Logistics total")*IF($C269="Electricity",1,1/INDEX('TCO - Input'!$R$291:$R$321,MATCH($C269,'TCO - Input'!$F$291:$F$4010,0)))*1000</f>
        <v>1.1123850419287191</v>
      </c>
      <c r="V269" s="112">
        <f>SUMIFS('Fuel Logistics'!T:T,'Fuel Logistics'!$C:$C,$E269,'Fuel Logistics'!$D:$D,$D269,'Fuel Logistics'!$E:$E,"Logistics total")*IF($C269="Electricity",1,1/INDEX('TCO - Input'!$R$291:$R$321,MATCH($C269,'TCO - Input'!$F$291:$F$4010,0)))*1000</f>
        <v>1.1123850419287191</v>
      </c>
    </row>
    <row r="270" spans="1:22" x14ac:dyDescent="0.2">
      <c r="A270" s="29">
        <f t="shared" si="167"/>
        <v>8</v>
      </c>
      <c r="B270" s="334" t="str">
        <f t="shared" si="165"/>
        <v>e-Methane (DAC) - Asia - Logistics cost - USD/GJ</v>
      </c>
      <c r="C270" t="str" cm="1">
        <f t="array" ref="C270">INDEX(list_AE_fuel,A270)</f>
        <v>e-Methane (DAC)</v>
      </c>
      <c r="D270" t="str">
        <f>INDEX('Configurator Specs.'!$AH:$AH,MATCH($C270,'Configurator Specs.'!$AE:$AE,0))</f>
        <v>LNG &amp; e-Methane</v>
      </c>
      <c r="E270" t="s">
        <v>198</v>
      </c>
      <c r="F270" t="str">
        <f t="shared" si="166"/>
        <v>Logistics cost - USD/GJ</v>
      </c>
      <c r="G270" s="226"/>
      <c r="H270" s="128"/>
      <c r="I270" t="s">
        <v>324</v>
      </c>
      <c r="K270" s="112">
        <f>SUMIFS('Fuel Logistics'!I:I,'Fuel Logistics'!$C:$C,$E270,'Fuel Logistics'!$D:$D,$D270,'Fuel Logistics'!$E:$E,"Logistics total")*IF($C270="Electricity",1,1/INDEX('TCO - Input'!$R$291:$R$321,MATCH($C270,'TCO - Input'!$F$291:$F$4010,0)))*1000</f>
        <v>0.82978861477167676</v>
      </c>
      <c r="L270" s="112">
        <f>SUMIFS('Fuel Logistics'!J:J,'Fuel Logistics'!$C:$C,$E270,'Fuel Logistics'!$D:$D,$D270,'Fuel Logistics'!$E:$E,"Logistics total")*IF($C270="Electricity",1,1/INDEX('TCO - Input'!$R$291:$R$321,MATCH($C270,'TCO - Input'!$F$291:$F$4010,0)))*1000</f>
        <v>0.82407492672047777</v>
      </c>
      <c r="M270" s="112">
        <f>SUMIFS('Fuel Logistics'!K:K,'Fuel Logistics'!$C:$C,$E270,'Fuel Logistics'!$D:$D,$D270,'Fuel Logistics'!$E:$E,"Logistics total")*IF($C270="Electricity",1,1/INDEX('TCO - Input'!$R$291:$R$321,MATCH($C270,'TCO - Input'!$F$291:$F$4010,0)))*1000</f>
        <v>0.82202547426109396</v>
      </c>
      <c r="N270" s="112">
        <f>SUMIFS('Fuel Logistics'!L:L,'Fuel Logistics'!$C:$C,$E270,'Fuel Logistics'!$D:$D,$D270,'Fuel Logistics'!$E:$E,"Logistics total")*IF($C270="Electricity",1,1/INDEX('TCO - Input'!$R$291:$R$321,MATCH($C270,'TCO - Input'!$F$291:$F$4010,0)))*1000</f>
        <v>0.82063248368492336</v>
      </c>
      <c r="O270" s="112">
        <f>SUMIFS('Fuel Logistics'!M:M,'Fuel Logistics'!$C:$C,$E270,'Fuel Logistics'!$D:$D,$D270,'Fuel Logistics'!$E:$E,"Logistics total")*IF($C270="Electricity",1,1/INDEX('TCO - Input'!$R$291:$R$321,MATCH($C270,'TCO - Input'!$F$291:$F$4010,0)))*1000</f>
        <v>0.8199242535269412</v>
      </c>
      <c r="P270" s="112">
        <f>SUMIFS('Fuel Logistics'!N:N,'Fuel Logistics'!$C:$C,$E270,'Fuel Logistics'!$D:$D,$D270,'Fuel Logistics'!$E:$E,"Logistics total")*IF($C270="Electricity",1,1/INDEX('TCO - Input'!$R$291:$R$321,MATCH($C270,'TCO - Input'!$F$291:$F$4010,0)))*1000</f>
        <v>0.81918292911430557</v>
      </c>
      <c r="Q270" s="112">
        <f>SUMIFS('Fuel Logistics'!O:O,'Fuel Logistics'!$C:$C,$E270,'Fuel Logistics'!$D:$D,$D270,'Fuel Logistics'!$E:$E,"Logistics total")*IF($C270="Electricity",1,1/INDEX('TCO - Input'!$R$291:$R$321,MATCH($C270,'TCO - Input'!$F$291:$F$4010,0)))*1000</f>
        <v>0.8188429675647273</v>
      </c>
      <c r="R270" s="112">
        <f>SUMIFS('Fuel Logistics'!P:P,'Fuel Logistics'!$C:$C,$E270,'Fuel Logistics'!$D:$D,$D270,'Fuel Logistics'!$E:$E,"Logistics total")*IF($C270="Electricity",1,1/INDEX('TCO - Input'!$R$291:$R$321,MATCH($C270,'TCO - Input'!$F$291:$F$4010,0)))*1000</f>
        <v>0.8188429675647273</v>
      </c>
      <c r="S270" s="112">
        <f>SUMIFS('Fuel Logistics'!Q:Q,'Fuel Logistics'!$C:$C,$E270,'Fuel Logistics'!$D:$D,$D270,'Fuel Logistics'!$E:$E,"Logistics total")*IF($C270="Electricity",1,1/INDEX('TCO - Input'!$R$291:$R$321,MATCH($C270,'TCO - Input'!$F$291:$F$4010,0)))*1000</f>
        <v>0.8188429675647273</v>
      </c>
      <c r="T270" s="112">
        <f>SUMIFS('Fuel Logistics'!R:R,'Fuel Logistics'!$C:$C,$E270,'Fuel Logistics'!$D:$D,$D270,'Fuel Logistics'!$E:$E,"Logistics total")*IF($C270="Electricity",1,1/INDEX('TCO - Input'!$R$291:$R$321,MATCH($C270,'TCO - Input'!$F$291:$F$4010,0)))*1000</f>
        <v>0.8188429675647273</v>
      </c>
      <c r="U270" s="112">
        <f>SUMIFS('Fuel Logistics'!S:S,'Fuel Logistics'!$C:$C,$E270,'Fuel Logistics'!$D:$D,$D270,'Fuel Logistics'!$E:$E,"Logistics total")*IF($C270="Electricity",1,1/INDEX('TCO - Input'!$R$291:$R$321,MATCH($C270,'TCO - Input'!$F$291:$F$4010,0)))*1000</f>
        <v>0.8188429675647273</v>
      </c>
      <c r="V270" s="112">
        <f>SUMIFS('Fuel Logistics'!T:T,'Fuel Logistics'!$C:$C,$E270,'Fuel Logistics'!$D:$D,$D270,'Fuel Logistics'!$E:$E,"Logistics total")*IF($C270="Electricity",1,1/INDEX('TCO - Input'!$R$291:$R$321,MATCH($C270,'TCO - Input'!$F$291:$F$4010,0)))*1000</f>
        <v>0.8188429675647273</v>
      </c>
    </row>
    <row r="271" spans="1:22" x14ac:dyDescent="0.2">
      <c r="A271" s="29">
        <f t="shared" si="167"/>
        <v>9</v>
      </c>
      <c r="B271" s="334" t="str">
        <f t="shared" si="165"/>
        <v>e-Methane (PS) - Asia - Logistics cost - USD/GJ</v>
      </c>
      <c r="C271" t="str" cm="1">
        <f t="array" ref="C271">INDEX(list_AE_fuel,A271)</f>
        <v>e-Methane (PS)</v>
      </c>
      <c r="D271" t="str">
        <f>INDEX('Configurator Specs.'!$AH:$AH,MATCH($C271,'Configurator Specs.'!$AE:$AE,0))</f>
        <v>LNG &amp; e-Methane</v>
      </c>
      <c r="E271" t="s">
        <v>198</v>
      </c>
      <c r="F271" t="str">
        <f t="shared" si="166"/>
        <v>Logistics cost - USD/GJ</v>
      </c>
      <c r="G271" s="226"/>
      <c r="H271" s="128"/>
      <c r="I271" t="s">
        <v>324</v>
      </c>
      <c r="K271" s="112">
        <f>SUMIFS('Fuel Logistics'!I:I,'Fuel Logistics'!$C:$C,$E271,'Fuel Logistics'!$D:$D,$D271,'Fuel Logistics'!$E:$E,"Logistics total")*IF($C271="Electricity",1,1/INDEX('TCO - Input'!$R$291:$R$321,MATCH($C271,'TCO - Input'!$F$291:$F$4010,0)))*1000</f>
        <v>0.82978861477167676</v>
      </c>
      <c r="L271" s="112">
        <f>SUMIFS('Fuel Logistics'!J:J,'Fuel Logistics'!$C:$C,$E271,'Fuel Logistics'!$D:$D,$D271,'Fuel Logistics'!$E:$E,"Logistics total")*IF($C271="Electricity",1,1/INDEX('TCO - Input'!$R$291:$R$321,MATCH($C271,'TCO - Input'!$F$291:$F$4010,0)))*1000</f>
        <v>0.82407492672047777</v>
      </c>
      <c r="M271" s="112">
        <f>SUMIFS('Fuel Logistics'!K:K,'Fuel Logistics'!$C:$C,$E271,'Fuel Logistics'!$D:$D,$D271,'Fuel Logistics'!$E:$E,"Logistics total")*IF($C271="Electricity",1,1/INDEX('TCO - Input'!$R$291:$R$321,MATCH($C271,'TCO - Input'!$F$291:$F$4010,0)))*1000</f>
        <v>0.82202547426109396</v>
      </c>
      <c r="N271" s="112">
        <f>SUMIFS('Fuel Logistics'!L:L,'Fuel Logistics'!$C:$C,$E271,'Fuel Logistics'!$D:$D,$D271,'Fuel Logistics'!$E:$E,"Logistics total")*IF($C271="Electricity",1,1/INDEX('TCO - Input'!$R$291:$R$321,MATCH($C271,'TCO - Input'!$F$291:$F$4010,0)))*1000</f>
        <v>0.82063248368492336</v>
      </c>
      <c r="O271" s="112">
        <f>SUMIFS('Fuel Logistics'!M:M,'Fuel Logistics'!$C:$C,$E271,'Fuel Logistics'!$D:$D,$D271,'Fuel Logistics'!$E:$E,"Logistics total")*IF($C271="Electricity",1,1/INDEX('TCO - Input'!$R$291:$R$321,MATCH($C271,'TCO - Input'!$F$291:$F$4010,0)))*1000</f>
        <v>0.8199242535269412</v>
      </c>
      <c r="P271" s="112">
        <f>SUMIFS('Fuel Logistics'!N:N,'Fuel Logistics'!$C:$C,$E271,'Fuel Logistics'!$D:$D,$D271,'Fuel Logistics'!$E:$E,"Logistics total")*IF($C271="Electricity",1,1/INDEX('TCO - Input'!$R$291:$R$321,MATCH($C271,'TCO - Input'!$F$291:$F$4010,0)))*1000</f>
        <v>0.81918292911430557</v>
      </c>
      <c r="Q271" s="112">
        <f>SUMIFS('Fuel Logistics'!O:O,'Fuel Logistics'!$C:$C,$E271,'Fuel Logistics'!$D:$D,$D271,'Fuel Logistics'!$E:$E,"Logistics total")*IF($C271="Electricity",1,1/INDEX('TCO - Input'!$R$291:$R$321,MATCH($C271,'TCO - Input'!$F$291:$F$4010,0)))*1000</f>
        <v>0.8188429675647273</v>
      </c>
      <c r="R271" s="112">
        <f>SUMIFS('Fuel Logistics'!P:P,'Fuel Logistics'!$C:$C,$E271,'Fuel Logistics'!$D:$D,$D271,'Fuel Logistics'!$E:$E,"Logistics total")*IF($C271="Electricity",1,1/INDEX('TCO - Input'!$R$291:$R$321,MATCH($C271,'TCO - Input'!$F$291:$F$4010,0)))*1000</f>
        <v>0.8188429675647273</v>
      </c>
      <c r="S271" s="112">
        <f>SUMIFS('Fuel Logistics'!Q:Q,'Fuel Logistics'!$C:$C,$E271,'Fuel Logistics'!$D:$D,$D271,'Fuel Logistics'!$E:$E,"Logistics total")*IF($C271="Electricity",1,1/INDEX('TCO - Input'!$R$291:$R$321,MATCH($C271,'TCO - Input'!$F$291:$F$4010,0)))*1000</f>
        <v>0.8188429675647273</v>
      </c>
      <c r="T271" s="112">
        <f>SUMIFS('Fuel Logistics'!R:R,'Fuel Logistics'!$C:$C,$E271,'Fuel Logistics'!$D:$D,$D271,'Fuel Logistics'!$E:$E,"Logistics total")*IF($C271="Electricity",1,1/INDEX('TCO - Input'!$R$291:$R$321,MATCH($C271,'TCO - Input'!$F$291:$F$4010,0)))*1000</f>
        <v>0.8188429675647273</v>
      </c>
      <c r="U271" s="112">
        <f>SUMIFS('Fuel Logistics'!S:S,'Fuel Logistics'!$C:$C,$E271,'Fuel Logistics'!$D:$D,$D271,'Fuel Logistics'!$E:$E,"Logistics total")*IF($C271="Electricity",1,1/INDEX('TCO - Input'!$R$291:$R$321,MATCH($C271,'TCO - Input'!$F$291:$F$4010,0)))*1000</f>
        <v>0.8188429675647273</v>
      </c>
      <c r="V271" s="112">
        <f>SUMIFS('Fuel Logistics'!T:T,'Fuel Logistics'!$C:$C,$E271,'Fuel Logistics'!$D:$D,$D271,'Fuel Logistics'!$E:$E,"Logistics total")*IF($C271="Electricity",1,1/INDEX('TCO - Input'!$R$291:$R$321,MATCH($C271,'TCO - Input'!$F$291:$F$4010,0)))*1000</f>
        <v>0.8188429675647273</v>
      </c>
    </row>
    <row r="272" spans="1:22" x14ac:dyDescent="0.2">
      <c r="A272" s="29">
        <f t="shared" si="167"/>
        <v>10</v>
      </c>
      <c r="B272" s="334" t="str">
        <f t="shared" si="165"/>
        <v>Biomethanol - Asia - Logistics cost - USD/GJ</v>
      </c>
      <c r="C272" t="str" cm="1">
        <f t="array" ref="C272">INDEX(list_AE_fuel,A272)</f>
        <v>Biomethanol</v>
      </c>
      <c r="D272" t="str">
        <f>INDEX('Configurator Specs.'!$AH:$AH,MATCH($C272,'Configurator Specs.'!$AE:$AE,0))</f>
        <v>Biomethanol</v>
      </c>
      <c r="E272" t="s">
        <v>198</v>
      </c>
      <c r="F272" t="str">
        <f t="shared" si="166"/>
        <v>Logistics cost - USD/GJ</v>
      </c>
      <c r="G272"/>
      <c r="H272" s="128"/>
      <c r="I272" t="s">
        <v>324</v>
      </c>
      <c r="K272" s="112">
        <f>SUMIFS('Fuel Logistics'!I:I,'Fuel Logistics'!$C:$C,$E272,'Fuel Logistics'!$D:$D,$D272,'Fuel Logistics'!$E:$E,"Logistics total")*IF($C272="Electricity",1,1/INDEX('TCO - Input'!$R$291:$R$321,MATCH($C272,'TCO - Input'!$F$291:$F$4010,0)))*1000</f>
        <v>0.92348069390817367</v>
      </c>
      <c r="L272" s="112">
        <f>SUMIFS('Fuel Logistics'!J:J,'Fuel Logistics'!$C:$C,$E272,'Fuel Logistics'!$D:$D,$D272,'Fuel Logistics'!$E:$E,"Logistics total")*IF($C272="Electricity",1,1/INDEX('TCO - Input'!$R$291:$R$321,MATCH($C272,'TCO - Input'!$F$291:$F$4010,0)))*1000</f>
        <v>0.92348069390817367</v>
      </c>
      <c r="M272" s="112">
        <f>SUMIFS('Fuel Logistics'!K:K,'Fuel Logistics'!$C:$C,$E272,'Fuel Logistics'!$D:$D,$D272,'Fuel Logistics'!$E:$E,"Logistics total")*IF($C272="Electricity",1,1/INDEX('TCO - Input'!$R$291:$R$321,MATCH($C272,'TCO - Input'!$F$291:$F$4010,0)))*1000</f>
        <v>0.92348069390817367</v>
      </c>
      <c r="N272" s="112">
        <f>SUMIFS('Fuel Logistics'!L:L,'Fuel Logistics'!$C:$C,$E272,'Fuel Logistics'!$D:$D,$D272,'Fuel Logistics'!$E:$E,"Logistics total")*IF($C272="Electricity",1,1/INDEX('TCO - Input'!$R$291:$R$321,MATCH($C272,'TCO - Input'!$F$291:$F$4010,0)))*1000</f>
        <v>0.92348069390817367</v>
      </c>
      <c r="O272" s="112">
        <f>SUMIFS('Fuel Logistics'!M:M,'Fuel Logistics'!$C:$C,$E272,'Fuel Logistics'!$D:$D,$D272,'Fuel Logistics'!$E:$E,"Logistics total")*IF($C272="Electricity",1,1/INDEX('TCO - Input'!$R$291:$R$321,MATCH($C272,'TCO - Input'!$F$291:$F$4010,0)))*1000</f>
        <v>0.92348069390817367</v>
      </c>
      <c r="P272" s="112">
        <f>SUMIFS('Fuel Logistics'!N:N,'Fuel Logistics'!$C:$C,$E272,'Fuel Logistics'!$D:$D,$D272,'Fuel Logistics'!$E:$E,"Logistics total")*IF($C272="Electricity",1,1/INDEX('TCO - Input'!$R$291:$R$321,MATCH($C272,'TCO - Input'!$F$291:$F$4010,0)))*1000</f>
        <v>0.92348069390817367</v>
      </c>
      <c r="Q272" s="112">
        <f>SUMIFS('Fuel Logistics'!O:O,'Fuel Logistics'!$C:$C,$E272,'Fuel Logistics'!$D:$D,$D272,'Fuel Logistics'!$E:$E,"Logistics total")*IF($C272="Electricity",1,1/INDEX('TCO - Input'!$R$291:$R$321,MATCH($C272,'TCO - Input'!$F$291:$F$4010,0)))*1000</f>
        <v>0.92348069390817367</v>
      </c>
      <c r="R272" s="112">
        <f>SUMIFS('Fuel Logistics'!P:P,'Fuel Logistics'!$C:$C,$E272,'Fuel Logistics'!$D:$D,$D272,'Fuel Logistics'!$E:$E,"Logistics total")*IF($C272="Electricity",1,1/INDEX('TCO - Input'!$R$291:$R$321,MATCH($C272,'TCO - Input'!$F$291:$F$4010,0)))*1000</f>
        <v>0.92348069390817367</v>
      </c>
      <c r="S272" s="112">
        <f>SUMIFS('Fuel Logistics'!Q:Q,'Fuel Logistics'!$C:$C,$E272,'Fuel Logistics'!$D:$D,$D272,'Fuel Logistics'!$E:$E,"Logistics total")*IF($C272="Electricity",1,1/INDEX('TCO - Input'!$R$291:$R$321,MATCH($C272,'TCO - Input'!$F$291:$F$4010,0)))*1000</f>
        <v>0.92348069390817367</v>
      </c>
      <c r="T272" s="112">
        <f>SUMIFS('Fuel Logistics'!R:R,'Fuel Logistics'!$C:$C,$E272,'Fuel Logistics'!$D:$D,$D272,'Fuel Logistics'!$E:$E,"Logistics total")*IF($C272="Electricity",1,1/INDEX('TCO - Input'!$R$291:$R$321,MATCH($C272,'TCO - Input'!$F$291:$F$4010,0)))*1000</f>
        <v>0.92348069390817367</v>
      </c>
      <c r="U272" s="112">
        <f>SUMIFS('Fuel Logistics'!S:S,'Fuel Logistics'!$C:$C,$E272,'Fuel Logistics'!$D:$D,$D272,'Fuel Logistics'!$E:$E,"Logistics total")*IF($C272="Electricity",1,1/INDEX('TCO - Input'!$R$291:$R$321,MATCH($C272,'TCO - Input'!$F$291:$F$4010,0)))*1000</f>
        <v>0.92348069390817367</v>
      </c>
      <c r="V272" s="112">
        <f>SUMIFS('Fuel Logistics'!T:T,'Fuel Logistics'!$C:$C,$E272,'Fuel Logistics'!$D:$D,$D272,'Fuel Logistics'!$E:$E,"Logistics total")*IF($C272="Electricity",1,1/INDEX('TCO - Input'!$R$291:$R$321,MATCH($C272,'TCO - Input'!$F$291:$F$4010,0)))*1000</f>
        <v>0.92348069390817367</v>
      </c>
    </row>
    <row r="273" spans="1:22" x14ac:dyDescent="0.2">
      <c r="A273" s="29">
        <f t="shared" si="167"/>
        <v>11</v>
      </c>
      <c r="B273" s="334" t="str">
        <f t="shared" si="165"/>
        <v>e-Methanol (DAC) - Asia - Logistics cost - USD/GJ</v>
      </c>
      <c r="C273" t="str" cm="1">
        <f t="array" ref="C273">INDEX(list_AE_fuel,A273)</f>
        <v>e-Methanol (DAC)</v>
      </c>
      <c r="D273" t="str">
        <f>INDEX('Configurator Specs.'!$AH:$AH,MATCH($C273,'Configurator Specs.'!$AE:$AE,0))</f>
        <v>Grey and e-Methanol</v>
      </c>
      <c r="E273" t="s">
        <v>198</v>
      </c>
      <c r="F273" t="str">
        <f t="shared" si="166"/>
        <v>Logistics cost - USD/GJ</v>
      </c>
      <c r="G273"/>
      <c r="H273" s="128"/>
      <c r="I273" t="s">
        <v>324</v>
      </c>
      <c r="K273" s="112">
        <f>SUMIFS('Fuel Logistics'!I:I,'Fuel Logistics'!$C:$C,$E273,'Fuel Logistics'!$D:$D,$D273,'Fuel Logistics'!$E:$E,"Logistics total")*IF($C273="Electricity",1,1/INDEX('TCO - Input'!$R$291:$R$321,MATCH($C273,'TCO - Input'!$F$291:$F$4010,0)))*1000</f>
        <v>0.66273320386351287</v>
      </c>
      <c r="L273" s="112">
        <f>SUMIFS('Fuel Logistics'!J:J,'Fuel Logistics'!$C:$C,$E273,'Fuel Logistics'!$D:$D,$D273,'Fuel Logistics'!$E:$E,"Logistics total")*IF($C273="Electricity",1,1/INDEX('TCO - Input'!$R$291:$R$321,MATCH($C273,'TCO - Input'!$F$291:$F$4010,0)))*1000</f>
        <v>0.66273320386351287</v>
      </c>
      <c r="M273" s="112">
        <f>SUMIFS('Fuel Logistics'!K:K,'Fuel Logistics'!$C:$C,$E273,'Fuel Logistics'!$D:$D,$D273,'Fuel Logistics'!$E:$E,"Logistics total")*IF($C273="Electricity",1,1/INDEX('TCO - Input'!$R$291:$R$321,MATCH($C273,'TCO - Input'!$F$291:$F$4010,0)))*1000</f>
        <v>0.66273320386351287</v>
      </c>
      <c r="N273" s="112">
        <f>SUMIFS('Fuel Logistics'!L:L,'Fuel Logistics'!$C:$C,$E273,'Fuel Logistics'!$D:$D,$D273,'Fuel Logistics'!$E:$E,"Logistics total")*IF($C273="Electricity",1,1/INDEX('TCO - Input'!$R$291:$R$321,MATCH($C273,'TCO - Input'!$F$291:$F$4010,0)))*1000</f>
        <v>0.66273320386351287</v>
      </c>
      <c r="O273" s="112">
        <f>SUMIFS('Fuel Logistics'!M:M,'Fuel Logistics'!$C:$C,$E273,'Fuel Logistics'!$D:$D,$D273,'Fuel Logistics'!$E:$E,"Logistics total")*IF($C273="Electricity",1,1/INDEX('TCO - Input'!$R$291:$R$321,MATCH($C273,'TCO - Input'!$F$291:$F$4010,0)))*1000</f>
        <v>0.66273320386351287</v>
      </c>
      <c r="P273" s="112">
        <f>SUMIFS('Fuel Logistics'!N:N,'Fuel Logistics'!$C:$C,$E273,'Fuel Logistics'!$D:$D,$D273,'Fuel Logistics'!$E:$E,"Logistics total")*IF($C273="Electricity",1,1/INDEX('TCO - Input'!$R$291:$R$321,MATCH($C273,'TCO - Input'!$F$291:$F$4010,0)))*1000</f>
        <v>0.66273320386351287</v>
      </c>
      <c r="Q273" s="112">
        <f>SUMIFS('Fuel Logistics'!O:O,'Fuel Logistics'!$C:$C,$E273,'Fuel Logistics'!$D:$D,$D273,'Fuel Logistics'!$E:$E,"Logistics total")*IF($C273="Electricity",1,1/INDEX('TCO - Input'!$R$291:$R$321,MATCH($C273,'TCO - Input'!$F$291:$F$4010,0)))*1000</f>
        <v>0.66273320386351287</v>
      </c>
      <c r="R273" s="112">
        <f>SUMIFS('Fuel Logistics'!P:P,'Fuel Logistics'!$C:$C,$E273,'Fuel Logistics'!$D:$D,$D273,'Fuel Logistics'!$E:$E,"Logistics total")*IF($C273="Electricity",1,1/INDEX('TCO - Input'!$R$291:$R$321,MATCH($C273,'TCO - Input'!$F$291:$F$4010,0)))*1000</f>
        <v>0.66273320386351287</v>
      </c>
      <c r="S273" s="112">
        <f>SUMIFS('Fuel Logistics'!Q:Q,'Fuel Logistics'!$C:$C,$E273,'Fuel Logistics'!$D:$D,$D273,'Fuel Logistics'!$E:$E,"Logistics total")*IF($C273="Electricity",1,1/INDEX('TCO - Input'!$R$291:$R$321,MATCH($C273,'TCO - Input'!$F$291:$F$4010,0)))*1000</f>
        <v>0.66273320386351287</v>
      </c>
      <c r="T273" s="112">
        <f>SUMIFS('Fuel Logistics'!R:R,'Fuel Logistics'!$C:$C,$E273,'Fuel Logistics'!$D:$D,$D273,'Fuel Logistics'!$E:$E,"Logistics total")*IF($C273="Electricity",1,1/INDEX('TCO - Input'!$R$291:$R$321,MATCH($C273,'TCO - Input'!$F$291:$F$4010,0)))*1000</f>
        <v>0.66273320386351287</v>
      </c>
      <c r="U273" s="112">
        <f>SUMIFS('Fuel Logistics'!S:S,'Fuel Logistics'!$C:$C,$E273,'Fuel Logistics'!$D:$D,$D273,'Fuel Logistics'!$E:$E,"Logistics total")*IF($C273="Electricity",1,1/INDEX('TCO - Input'!$R$291:$R$321,MATCH($C273,'TCO - Input'!$F$291:$F$4010,0)))*1000</f>
        <v>0.66273320386351287</v>
      </c>
      <c r="V273" s="112">
        <f>SUMIFS('Fuel Logistics'!T:T,'Fuel Logistics'!$C:$C,$E273,'Fuel Logistics'!$D:$D,$D273,'Fuel Logistics'!$E:$E,"Logistics total")*IF($C273="Electricity",1,1/INDEX('TCO - Input'!$R$291:$R$321,MATCH($C273,'TCO - Input'!$F$291:$F$4010,0)))*1000</f>
        <v>0.66273320386351287</v>
      </c>
    </row>
    <row r="274" spans="1:22" x14ac:dyDescent="0.2">
      <c r="A274" s="29">
        <f t="shared" si="167"/>
        <v>12</v>
      </c>
      <c r="B274" s="334" t="str">
        <f t="shared" si="165"/>
        <v>e-Methanol (PS) - Asia - Logistics cost - USD/GJ</v>
      </c>
      <c r="C274" t="str" cm="1">
        <f t="array" ref="C274">INDEX(list_AE_fuel,A274)</f>
        <v>e-Methanol (PS)</v>
      </c>
      <c r="D274" t="str">
        <f>INDEX('Configurator Specs.'!$AH:$AH,MATCH($C274,'Configurator Specs.'!$AE:$AE,0))</f>
        <v>Grey and e-Methanol</v>
      </c>
      <c r="E274" t="s">
        <v>198</v>
      </c>
      <c r="F274" t="str">
        <f t="shared" si="166"/>
        <v>Logistics cost - USD/GJ</v>
      </c>
      <c r="G274"/>
      <c r="H274" s="128"/>
      <c r="I274" t="s">
        <v>324</v>
      </c>
      <c r="K274" s="112">
        <f>SUMIFS('Fuel Logistics'!I:I,'Fuel Logistics'!$C:$C,$E274,'Fuel Logistics'!$D:$D,$D274,'Fuel Logistics'!$E:$E,"Logistics total")*IF($C274="Electricity",1,1/INDEX('TCO - Input'!$R$291:$R$321,MATCH($C274,'TCO - Input'!$F$291:$F$4010,0)))*1000</f>
        <v>0.66273320386351287</v>
      </c>
      <c r="L274" s="112">
        <f>SUMIFS('Fuel Logistics'!J:J,'Fuel Logistics'!$C:$C,$E274,'Fuel Logistics'!$D:$D,$D274,'Fuel Logistics'!$E:$E,"Logistics total")*IF($C274="Electricity",1,1/INDEX('TCO - Input'!$R$291:$R$321,MATCH($C274,'TCO - Input'!$F$291:$F$4010,0)))*1000</f>
        <v>0.66273320386351287</v>
      </c>
      <c r="M274" s="112">
        <f>SUMIFS('Fuel Logistics'!K:K,'Fuel Logistics'!$C:$C,$E274,'Fuel Logistics'!$D:$D,$D274,'Fuel Logistics'!$E:$E,"Logistics total")*IF($C274="Electricity",1,1/INDEX('TCO - Input'!$R$291:$R$321,MATCH($C274,'TCO - Input'!$F$291:$F$4010,0)))*1000</f>
        <v>0.66273320386351287</v>
      </c>
      <c r="N274" s="112">
        <f>SUMIFS('Fuel Logistics'!L:L,'Fuel Logistics'!$C:$C,$E274,'Fuel Logistics'!$D:$D,$D274,'Fuel Logistics'!$E:$E,"Logistics total")*IF($C274="Electricity",1,1/INDEX('TCO - Input'!$R$291:$R$321,MATCH($C274,'TCO - Input'!$F$291:$F$4010,0)))*1000</f>
        <v>0.66273320386351287</v>
      </c>
      <c r="O274" s="112">
        <f>SUMIFS('Fuel Logistics'!M:M,'Fuel Logistics'!$C:$C,$E274,'Fuel Logistics'!$D:$D,$D274,'Fuel Logistics'!$E:$E,"Logistics total")*IF($C274="Electricity",1,1/INDEX('TCO - Input'!$R$291:$R$321,MATCH($C274,'TCO - Input'!$F$291:$F$4010,0)))*1000</f>
        <v>0.66273320386351287</v>
      </c>
      <c r="P274" s="112">
        <f>SUMIFS('Fuel Logistics'!N:N,'Fuel Logistics'!$C:$C,$E274,'Fuel Logistics'!$D:$D,$D274,'Fuel Logistics'!$E:$E,"Logistics total")*IF($C274="Electricity",1,1/INDEX('TCO - Input'!$R$291:$R$321,MATCH($C274,'TCO - Input'!$F$291:$F$4010,0)))*1000</f>
        <v>0.66273320386351287</v>
      </c>
      <c r="Q274" s="112">
        <f>SUMIFS('Fuel Logistics'!O:O,'Fuel Logistics'!$C:$C,$E274,'Fuel Logistics'!$D:$D,$D274,'Fuel Logistics'!$E:$E,"Logistics total")*IF($C274="Electricity",1,1/INDEX('TCO - Input'!$R$291:$R$321,MATCH($C274,'TCO - Input'!$F$291:$F$4010,0)))*1000</f>
        <v>0.66273320386351287</v>
      </c>
      <c r="R274" s="112">
        <f>SUMIFS('Fuel Logistics'!P:P,'Fuel Logistics'!$C:$C,$E274,'Fuel Logistics'!$D:$D,$D274,'Fuel Logistics'!$E:$E,"Logistics total")*IF($C274="Electricity",1,1/INDEX('TCO - Input'!$R$291:$R$321,MATCH($C274,'TCO - Input'!$F$291:$F$4010,0)))*1000</f>
        <v>0.66273320386351287</v>
      </c>
      <c r="S274" s="112">
        <f>SUMIFS('Fuel Logistics'!Q:Q,'Fuel Logistics'!$C:$C,$E274,'Fuel Logistics'!$D:$D,$D274,'Fuel Logistics'!$E:$E,"Logistics total")*IF($C274="Electricity",1,1/INDEX('TCO - Input'!$R$291:$R$321,MATCH($C274,'TCO - Input'!$F$291:$F$4010,0)))*1000</f>
        <v>0.66273320386351287</v>
      </c>
      <c r="T274" s="112">
        <f>SUMIFS('Fuel Logistics'!R:R,'Fuel Logistics'!$C:$C,$E274,'Fuel Logistics'!$D:$D,$D274,'Fuel Logistics'!$E:$E,"Logistics total")*IF($C274="Electricity",1,1/INDEX('TCO - Input'!$R$291:$R$321,MATCH($C274,'TCO - Input'!$F$291:$F$4010,0)))*1000</f>
        <v>0.66273320386351287</v>
      </c>
      <c r="U274" s="112">
        <f>SUMIFS('Fuel Logistics'!S:S,'Fuel Logistics'!$C:$C,$E274,'Fuel Logistics'!$D:$D,$D274,'Fuel Logistics'!$E:$E,"Logistics total")*IF($C274="Electricity",1,1/INDEX('TCO - Input'!$R$291:$R$321,MATCH($C274,'TCO - Input'!$F$291:$F$4010,0)))*1000</f>
        <v>0.66273320386351287</v>
      </c>
      <c r="V274" s="112">
        <f>SUMIFS('Fuel Logistics'!T:T,'Fuel Logistics'!$C:$C,$E274,'Fuel Logistics'!$D:$D,$D274,'Fuel Logistics'!$E:$E,"Logistics total")*IF($C274="Electricity",1,1/INDEX('TCO - Input'!$R$291:$R$321,MATCH($C274,'TCO - Input'!$F$291:$F$4010,0)))*1000</f>
        <v>0.66273320386351287</v>
      </c>
    </row>
    <row r="275" spans="1:22" x14ac:dyDescent="0.2">
      <c r="A275" s="29">
        <f t="shared" si="167"/>
        <v>13</v>
      </c>
      <c r="B275" s="334" t="str">
        <f t="shared" si="165"/>
        <v>Biodiesel (HtL) - Asia - Logistics cost - USD/GJ</v>
      </c>
      <c r="C275" t="str" cm="1">
        <f t="array" ref="C275">INDEX(list_AE_fuel,A275)</f>
        <v>Biodiesel (HtL)</v>
      </c>
      <c r="D275" t="str">
        <f>INDEX('Configurator Specs.'!$AH:$AH,MATCH($C275,'Configurator Specs.'!$AE:$AE,0))</f>
        <v>Bio-oils</v>
      </c>
      <c r="E275" t="s">
        <v>198</v>
      </c>
      <c r="F275" t="str">
        <f t="shared" si="166"/>
        <v>Logistics cost - USD/GJ</v>
      </c>
      <c r="G275"/>
      <c r="H275" s="128"/>
      <c r="I275" t="s">
        <v>324</v>
      </c>
      <c r="K275" s="112">
        <f>SUMIFS('Fuel Logistics'!I:I,'Fuel Logistics'!$C:$C,$E275,'Fuel Logistics'!$D:$D,$D275,'Fuel Logistics'!$E:$E,"Logistics total")*IF($C275="Electricity",1,1/INDEX('TCO - Input'!$R$291:$R$321,MATCH($C275,'TCO - Input'!$F$291:$F$4010,0)))*1000</f>
        <v>0.37149469414234737</v>
      </c>
      <c r="L275" s="112">
        <f>SUMIFS('Fuel Logistics'!J:J,'Fuel Logistics'!$C:$C,$E275,'Fuel Logistics'!$D:$D,$D275,'Fuel Logistics'!$E:$E,"Logistics total")*IF($C275="Electricity",1,1/INDEX('TCO - Input'!$R$291:$R$321,MATCH($C275,'TCO - Input'!$F$291:$F$4010,0)))*1000</f>
        <v>0.37149469414234737</v>
      </c>
      <c r="M275" s="112">
        <f>SUMIFS('Fuel Logistics'!K:K,'Fuel Logistics'!$C:$C,$E275,'Fuel Logistics'!$D:$D,$D275,'Fuel Logistics'!$E:$E,"Logistics total")*IF($C275="Electricity",1,1/INDEX('TCO - Input'!$R$291:$R$321,MATCH($C275,'TCO - Input'!$F$291:$F$4010,0)))*1000</f>
        <v>0.37149469414234737</v>
      </c>
      <c r="N275" s="112">
        <f>SUMIFS('Fuel Logistics'!L:L,'Fuel Logistics'!$C:$C,$E275,'Fuel Logistics'!$D:$D,$D275,'Fuel Logistics'!$E:$E,"Logistics total")*IF($C275="Electricity",1,1/INDEX('TCO - Input'!$R$291:$R$321,MATCH($C275,'TCO - Input'!$F$291:$F$4010,0)))*1000</f>
        <v>0.37149469414234737</v>
      </c>
      <c r="O275" s="112">
        <f>SUMIFS('Fuel Logistics'!M:M,'Fuel Logistics'!$C:$C,$E275,'Fuel Logistics'!$D:$D,$D275,'Fuel Logistics'!$E:$E,"Logistics total")*IF($C275="Electricity",1,1/INDEX('TCO - Input'!$R$291:$R$321,MATCH($C275,'TCO - Input'!$F$291:$F$4010,0)))*1000</f>
        <v>0.37149469414234737</v>
      </c>
      <c r="P275" s="112">
        <f>SUMIFS('Fuel Logistics'!N:N,'Fuel Logistics'!$C:$C,$E275,'Fuel Logistics'!$D:$D,$D275,'Fuel Logistics'!$E:$E,"Logistics total")*IF($C275="Electricity",1,1/INDEX('TCO - Input'!$R$291:$R$321,MATCH($C275,'TCO - Input'!$F$291:$F$4010,0)))*1000</f>
        <v>0.37149469414234737</v>
      </c>
      <c r="Q275" s="112">
        <f>SUMIFS('Fuel Logistics'!O:O,'Fuel Logistics'!$C:$C,$E275,'Fuel Logistics'!$D:$D,$D275,'Fuel Logistics'!$E:$E,"Logistics total")*IF($C275="Electricity",1,1/INDEX('TCO - Input'!$R$291:$R$321,MATCH($C275,'TCO - Input'!$F$291:$F$4010,0)))*1000</f>
        <v>0.37149469414234737</v>
      </c>
      <c r="R275" s="112">
        <f>SUMIFS('Fuel Logistics'!P:P,'Fuel Logistics'!$C:$C,$E275,'Fuel Logistics'!$D:$D,$D275,'Fuel Logistics'!$E:$E,"Logistics total")*IF($C275="Electricity",1,1/INDEX('TCO - Input'!$R$291:$R$321,MATCH($C275,'TCO - Input'!$F$291:$F$4010,0)))*1000</f>
        <v>0.37149469414234737</v>
      </c>
      <c r="S275" s="112">
        <f>SUMIFS('Fuel Logistics'!Q:Q,'Fuel Logistics'!$C:$C,$E275,'Fuel Logistics'!$D:$D,$D275,'Fuel Logistics'!$E:$E,"Logistics total")*IF($C275="Electricity",1,1/INDEX('TCO - Input'!$R$291:$R$321,MATCH($C275,'TCO - Input'!$F$291:$F$4010,0)))*1000</f>
        <v>0.37149469414234737</v>
      </c>
      <c r="T275" s="112">
        <f>SUMIFS('Fuel Logistics'!R:R,'Fuel Logistics'!$C:$C,$E275,'Fuel Logistics'!$D:$D,$D275,'Fuel Logistics'!$E:$E,"Logistics total")*IF($C275="Electricity",1,1/INDEX('TCO - Input'!$R$291:$R$321,MATCH($C275,'TCO - Input'!$F$291:$F$4010,0)))*1000</f>
        <v>0.37149469414234737</v>
      </c>
      <c r="U275" s="112">
        <f>SUMIFS('Fuel Logistics'!S:S,'Fuel Logistics'!$C:$C,$E275,'Fuel Logistics'!$D:$D,$D275,'Fuel Logistics'!$E:$E,"Logistics total")*IF($C275="Electricity",1,1/INDEX('TCO - Input'!$R$291:$R$321,MATCH($C275,'TCO - Input'!$F$291:$F$4010,0)))*1000</f>
        <v>0.37149469414234737</v>
      </c>
      <c r="V275" s="112">
        <f>SUMIFS('Fuel Logistics'!T:T,'Fuel Logistics'!$C:$C,$E275,'Fuel Logistics'!$D:$D,$D275,'Fuel Logistics'!$E:$E,"Logistics total")*IF($C275="Electricity",1,1/INDEX('TCO - Input'!$R$291:$R$321,MATCH($C275,'TCO - Input'!$F$291:$F$4010,0)))*1000</f>
        <v>0.37149469414234737</v>
      </c>
    </row>
    <row r="276" spans="1:22" x14ac:dyDescent="0.2">
      <c r="A276" s="29">
        <f t="shared" si="167"/>
        <v>14</v>
      </c>
      <c r="B276" s="334" t="str">
        <f t="shared" si="165"/>
        <v>Biodiesel (Pyr) - Asia - Logistics cost - USD/GJ</v>
      </c>
      <c r="C276" t="str" cm="1">
        <f t="array" ref="C276">INDEX(list_AE_fuel,A276)</f>
        <v>Biodiesel (Pyr)</v>
      </c>
      <c r="D276" t="str">
        <f>INDEX('Configurator Specs.'!$AH:$AH,MATCH($C276,'Configurator Specs.'!$AE:$AE,0))</f>
        <v>Bio</v>
      </c>
      <c r="E276" t="s">
        <v>198</v>
      </c>
      <c r="F276" t="str">
        <f t="shared" si="166"/>
        <v>Logistics cost - USD/GJ</v>
      </c>
      <c r="G276"/>
      <c r="H276" s="128"/>
      <c r="I276" t="s">
        <v>324</v>
      </c>
      <c r="K276" s="112">
        <f>SUMIFS('Fuel Logistics'!I:I,'Fuel Logistics'!$C:$C,$E276,'Fuel Logistics'!$D:$D,$D276,'Fuel Logistics'!$E:$E,"Logistics total")*IF($C276="Electricity",1,1/INDEX('TCO - Input'!$R$291:$R$321,MATCH($C276,'TCO - Input'!$F$291:$F$4010,0)))*1000</f>
        <v>0</v>
      </c>
      <c r="L276" s="112">
        <f>SUMIFS('Fuel Logistics'!J:J,'Fuel Logistics'!$C:$C,$E276,'Fuel Logistics'!$D:$D,$D276,'Fuel Logistics'!$E:$E,"Logistics total")*IF($C276="Electricity",1,1/INDEX('TCO - Input'!$R$291:$R$321,MATCH($C276,'TCO - Input'!$F$291:$F$4010,0)))*1000</f>
        <v>0</v>
      </c>
      <c r="M276" s="112">
        <f>SUMIFS('Fuel Logistics'!K:K,'Fuel Logistics'!$C:$C,$E276,'Fuel Logistics'!$D:$D,$D276,'Fuel Logistics'!$E:$E,"Logistics total")*IF($C276="Electricity",1,1/INDEX('TCO - Input'!$R$291:$R$321,MATCH($C276,'TCO - Input'!$F$291:$F$4010,0)))*1000</f>
        <v>0</v>
      </c>
      <c r="N276" s="112">
        <f>SUMIFS('Fuel Logistics'!L:L,'Fuel Logistics'!$C:$C,$E276,'Fuel Logistics'!$D:$D,$D276,'Fuel Logistics'!$E:$E,"Logistics total")*IF($C276="Electricity",1,1/INDEX('TCO - Input'!$R$291:$R$321,MATCH($C276,'TCO - Input'!$F$291:$F$4010,0)))*1000</f>
        <v>0</v>
      </c>
      <c r="O276" s="112">
        <f>SUMIFS('Fuel Logistics'!M:M,'Fuel Logistics'!$C:$C,$E276,'Fuel Logistics'!$D:$D,$D276,'Fuel Logistics'!$E:$E,"Logistics total")*IF($C276="Electricity",1,1/INDEX('TCO - Input'!$R$291:$R$321,MATCH($C276,'TCO - Input'!$F$291:$F$4010,0)))*1000</f>
        <v>0</v>
      </c>
      <c r="P276" s="112">
        <f>SUMIFS('Fuel Logistics'!N:N,'Fuel Logistics'!$C:$C,$E276,'Fuel Logistics'!$D:$D,$D276,'Fuel Logistics'!$E:$E,"Logistics total")*IF($C276="Electricity",1,1/INDEX('TCO - Input'!$R$291:$R$321,MATCH($C276,'TCO - Input'!$F$291:$F$4010,0)))*1000</f>
        <v>0</v>
      </c>
      <c r="Q276" s="112">
        <f>SUMIFS('Fuel Logistics'!O:O,'Fuel Logistics'!$C:$C,$E276,'Fuel Logistics'!$D:$D,$D276,'Fuel Logistics'!$E:$E,"Logistics total")*IF($C276="Electricity",1,1/INDEX('TCO - Input'!$R$291:$R$321,MATCH($C276,'TCO - Input'!$F$291:$F$4010,0)))*1000</f>
        <v>0</v>
      </c>
      <c r="R276" s="112">
        <f>SUMIFS('Fuel Logistics'!P:P,'Fuel Logistics'!$C:$C,$E276,'Fuel Logistics'!$D:$D,$D276,'Fuel Logistics'!$E:$E,"Logistics total")*IF($C276="Electricity",1,1/INDEX('TCO - Input'!$R$291:$R$321,MATCH($C276,'TCO - Input'!$F$291:$F$4010,0)))*1000</f>
        <v>0</v>
      </c>
      <c r="S276" s="112">
        <f>SUMIFS('Fuel Logistics'!Q:Q,'Fuel Logistics'!$C:$C,$E276,'Fuel Logistics'!$D:$D,$D276,'Fuel Logistics'!$E:$E,"Logistics total")*IF($C276="Electricity",1,1/INDEX('TCO - Input'!$R$291:$R$321,MATCH($C276,'TCO - Input'!$F$291:$F$4010,0)))*1000</f>
        <v>0</v>
      </c>
      <c r="T276" s="112">
        <f>SUMIFS('Fuel Logistics'!R:R,'Fuel Logistics'!$C:$C,$E276,'Fuel Logistics'!$D:$D,$D276,'Fuel Logistics'!$E:$E,"Logistics total")*IF($C276="Electricity",1,1/INDEX('TCO - Input'!$R$291:$R$321,MATCH($C276,'TCO - Input'!$F$291:$F$4010,0)))*1000</f>
        <v>0</v>
      </c>
      <c r="U276" s="112">
        <f>SUMIFS('Fuel Logistics'!S:S,'Fuel Logistics'!$C:$C,$E276,'Fuel Logistics'!$D:$D,$D276,'Fuel Logistics'!$E:$E,"Logistics total")*IF($C276="Electricity",1,1/INDEX('TCO - Input'!$R$291:$R$321,MATCH($C276,'TCO - Input'!$F$291:$F$4010,0)))*1000</f>
        <v>0</v>
      </c>
      <c r="V276" s="112">
        <f>SUMIFS('Fuel Logistics'!T:T,'Fuel Logistics'!$C:$C,$E276,'Fuel Logistics'!$D:$D,$D276,'Fuel Logistics'!$E:$E,"Logistics total")*IF($C276="Electricity",1,1/INDEX('TCO - Input'!$R$291:$R$321,MATCH($C276,'TCO - Input'!$F$291:$F$4010,0)))*1000</f>
        <v>0</v>
      </c>
    </row>
    <row r="277" spans="1:22" x14ac:dyDescent="0.2">
      <c r="A277" s="29">
        <f t="shared" si="167"/>
        <v>15</v>
      </c>
      <c r="B277" s="334" t="str">
        <f t="shared" si="165"/>
        <v>e-Diesel (DAC) - Asia - Logistics cost - USD/GJ</v>
      </c>
      <c r="C277" t="str" cm="1">
        <f t="array" ref="C277">INDEX(list_AE_fuel,A277)</f>
        <v>e-Diesel (DAC)</v>
      </c>
      <c r="D277" t="str">
        <f>INDEX('Configurator Specs.'!$AH:$AH,MATCH($C277,'Configurator Specs.'!$AE:$AE,0))</f>
        <v>Bio-oils</v>
      </c>
      <c r="E277" t="s">
        <v>198</v>
      </c>
      <c r="F277" t="str">
        <f t="shared" si="166"/>
        <v>Logistics cost - USD/GJ</v>
      </c>
      <c r="G277"/>
      <c r="H277" s="128"/>
      <c r="I277" t="s">
        <v>324</v>
      </c>
      <c r="K277" s="112">
        <f>SUMIFS('Fuel Logistics'!I:I,'Fuel Logistics'!$C:$C,$E277,'Fuel Logistics'!$D:$D,$D277,'Fuel Logistics'!$E:$E,"Logistics total")*IF($C277="Electricity",1,1/INDEX('TCO - Input'!$R$291:$R$321,MATCH($C277,'TCO - Input'!$F$291:$F$4010,0)))*1000</f>
        <v>0.37149469414234737</v>
      </c>
      <c r="L277" s="112">
        <f>SUMIFS('Fuel Logistics'!J:J,'Fuel Logistics'!$C:$C,$E277,'Fuel Logistics'!$D:$D,$D277,'Fuel Logistics'!$E:$E,"Logistics total")*IF($C277="Electricity",1,1/INDEX('TCO - Input'!$R$291:$R$321,MATCH($C277,'TCO - Input'!$F$291:$F$4010,0)))*1000</f>
        <v>0.37149469414234737</v>
      </c>
      <c r="M277" s="112">
        <f>SUMIFS('Fuel Logistics'!K:K,'Fuel Logistics'!$C:$C,$E277,'Fuel Logistics'!$D:$D,$D277,'Fuel Logistics'!$E:$E,"Logistics total")*IF($C277="Electricity",1,1/INDEX('TCO - Input'!$R$291:$R$321,MATCH($C277,'TCO - Input'!$F$291:$F$4010,0)))*1000</f>
        <v>0.37149469414234737</v>
      </c>
      <c r="N277" s="112">
        <f>SUMIFS('Fuel Logistics'!L:L,'Fuel Logistics'!$C:$C,$E277,'Fuel Logistics'!$D:$D,$D277,'Fuel Logistics'!$E:$E,"Logistics total")*IF($C277="Electricity",1,1/INDEX('TCO - Input'!$R$291:$R$321,MATCH($C277,'TCO - Input'!$F$291:$F$4010,0)))*1000</f>
        <v>0.37149469414234737</v>
      </c>
      <c r="O277" s="112">
        <f>SUMIFS('Fuel Logistics'!M:M,'Fuel Logistics'!$C:$C,$E277,'Fuel Logistics'!$D:$D,$D277,'Fuel Logistics'!$E:$E,"Logistics total")*IF($C277="Electricity",1,1/INDEX('TCO - Input'!$R$291:$R$321,MATCH($C277,'TCO - Input'!$F$291:$F$4010,0)))*1000</f>
        <v>0.37149469414234737</v>
      </c>
      <c r="P277" s="112">
        <f>SUMIFS('Fuel Logistics'!N:N,'Fuel Logistics'!$C:$C,$E277,'Fuel Logistics'!$D:$D,$D277,'Fuel Logistics'!$E:$E,"Logistics total")*IF($C277="Electricity",1,1/INDEX('TCO - Input'!$R$291:$R$321,MATCH($C277,'TCO - Input'!$F$291:$F$4010,0)))*1000</f>
        <v>0.37149469414234737</v>
      </c>
      <c r="Q277" s="112">
        <f>SUMIFS('Fuel Logistics'!O:O,'Fuel Logistics'!$C:$C,$E277,'Fuel Logistics'!$D:$D,$D277,'Fuel Logistics'!$E:$E,"Logistics total")*IF($C277="Electricity",1,1/INDEX('TCO - Input'!$R$291:$R$321,MATCH($C277,'TCO - Input'!$F$291:$F$4010,0)))*1000</f>
        <v>0.37149469414234737</v>
      </c>
      <c r="R277" s="112">
        <f>SUMIFS('Fuel Logistics'!P:P,'Fuel Logistics'!$C:$C,$E277,'Fuel Logistics'!$D:$D,$D277,'Fuel Logistics'!$E:$E,"Logistics total")*IF($C277="Electricity",1,1/INDEX('TCO - Input'!$R$291:$R$321,MATCH($C277,'TCO - Input'!$F$291:$F$4010,0)))*1000</f>
        <v>0.37149469414234737</v>
      </c>
      <c r="S277" s="112">
        <f>SUMIFS('Fuel Logistics'!Q:Q,'Fuel Logistics'!$C:$C,$E277,'Fuel Logistics'!$D:$D,$D277,'Fuel Logistics'!$E:$E,"Logistics total")*IF($C277="Electricity",1,1/INDEX('TCO - Input'!$R$291:$R$321,MATCH($C277,'TCO - Input'!$F$291:$F$4010,0)))*1000</f>
        <v>0.37149469414234737</v>
      </c>
      <c r="T277" s="112">
        <f>SUMIFS('Fuel Logistics'!R:R,'Fuel Logistics'!$C:$C,$E277,'Fuel Logistics'!$D:$D,$D277,'Fuel Logistics'!$E:$E,"Logistics total")*IF($C277="Electricity",1,1/INDEX('TCO - Input'!$R$291:$R$321,MATCH($C277,'TCO - Input'!$F$291:$F$4010,0)))*1000</f>
        <v>0.37149469414234737</v>
      </c>
      <c r="U277" s="112">
        <f>SUMIFS('Fuel Logistics'!S:S,'Fuel Logistics'!$C:$C,$E277,'Fuel Logistics'!$D:$D,$D277,'Fuel Logistics'!$E:$E,"Logistics total")*IF($C277="Electricity",1,1/INDEX('TCO - Input'!$R$291:$R$321,MATCH($C277,'TCO - Input'!$F$291:$F$4010,0)))*1000</f>
        <v>0.37149469414234737</v>
      </c>
      <c r="V277" s="112">
        <f>SUMIFS('Fuel Logistics'!T:T,'Fuel Logistics'!$C:$C,$E277,'Fuel Logistics'!$D:$D,$D277,'Fuel Logistics'!$E:$E,"Logistics total")*IF($C277="Electricity",1,1/INDEX('TCO - Input'!$R$291:$R$321,MATCH($C277,'TCO - Input'!$F$291:$F$4010,0)))*1000</f>
        <v>0.37149469414234737</v>
      </c>
    </row>
    <row r="278" spans="1:22" x14ac:dyDescent="0.2">
      <c r="A278" s="29">
        <f t="shared" si="167"/>
        <v>16</v>
      </c>
      <c r="B278" s="334" t="str">
        <f t="shared" si="165"/>
        <v>e-Diesel (PS) - Asia - Logistics cost - USD/GJ</v>
      </c>
      <c r="C278" t="str" cm="1">
        <f t="array" ref="C278">INDEX(list_AE_fuel,A278)</f>
        <v>e-Diesel (PS)</v>
      </c>
      <c r="D278" t="str">
        <f>INDEX('Configurator Specs.'!$AH:$AH,MATCH($C278,'Configurator Specs.'!$AE:$AE,0))</f>
        <v>Bio-oils</v>
      </c>
      <c r="E278" t="s">
        <v>198</v>
      </c>
      <c r="F278" t="str">
        <f t="shared" si="166"/>
        <v>Logistics cost - USD/GJ</v>
      </c>
      <c r="G278"/>
      <c r="H278" s="128"/>
      <c r="I278" t="s">
        <v>324</v>
      </c>
      <c r="K278" s="112">
        <f>SUMIFS('Fuel Logistics'!I:I,'Fuel Logistics'!$C:$C,$E278,'Fuel Logistics'!$D:$D,$D278,'Fuel Logistics'!$E:$E,"Logistics total")*IF($C278="Electricity",1,1/INDEX('TCO - Input'!$R$291:$R$321,MATCH($C278,'TCO - Input'!$F$291:$F$4010,0)))*1000</f>
        <v>0.37149469414234737</v>
      </c>
      <c r="L278" s="112">
        <f>SUMIFS('Fuel Logistics'!J:J,'Fuel Logistics'!$C:$C,$E278,'Fuel Logistics'!$D:$D,$D278,'Fuel Logistics'!$E:$E,"Logistics total")*IF($C278="Electricity",1,1/INDEX('TCO - Input'!$R$291:$R$321,MATCH($C278,'TCO - Input'!$F$291:$F$4010,0)))*1000</f>
        <v>0.37149469414234737</v>
      </c>
      <c r="M278" s="112">
        <f>SUMIFS('Fuel Logistics'!K:K,'Fuel Logistics'!$C:$C,$E278,'Fuel Logistics'!$D:$D,$D278,'Fuel Logistics'!$E:$E,"Logistics total")*IF($C278="Electricity",1,1/INDEX('TCO - Input'!$R$291:$R$321,MATCH($C278,'TCO - Input'!$F$291:$F$4010,0)))*1000</f>
        <v>0.37149469414234737</v>
      </c>
      <c r="N278" s="112">
        <f>SUMIFS('Fuel Logistics'!L:L,'Fuel Logistics'!$C:$C,$E278,'Fuel Logistics'!$D:$D,$D278,'Fuel Logistics'!$E:$E,"Logistics total")*IF($C278="Electricity",1,1/INDEX('TCO - Input'!$R$291:$R$321,MATCH($C278,'TCO - Input'!$F$291:$F$4010,0)))*1000</f>
        <v>0.37149469414234737</v>
      </c>
      <c r="O278" s="112">
        <f>SUMIFS('Fuel Logistics'!M:M,'Fuel Logistics'!$C:$C,$E278,'Fuel Logistics'!$D:$D,$D278,'Fuel Logistics'!$E:$E,"Logistics total")*IF($C278="Electricity",1,1/INDEX('TCO - Input'!$R$291:$R$321,MATCH($C278,'TCO - Input'!$F$291:$F$4010,0)))*1000</f>
        <v>0.37149469414234737</v>
      </c>
      <c r="P278" s="112">
        <f>SUMIFS('Fuel Logistics'!N:N,'Fuel Logistics'!$C:$C,$E278,'Fuel Logistics'!$D:$D,$D278,'Fuel Logistics'!$E:$E,"Logistics total")*IF($C278="Electricity",1,1/INDEX('TCO - Input'!$R$291:$R$321,MATCH($C278,'TCO - Input'!$F$291:$F$4010,0)))*1000</f>
        <v>0.37149469414234737</v>
      </c>
      <c r="Q278" s="112">
        <f>SUMIFS('Fuel Logistics'!O:O,'Fuel Logistics'!$C:$C,$E278,'Fuel Logistics'!$D:$D,$D278,'Fuel Logistics'!$E:$E,"Logistics total")*IF($C278="Electricity",1,1/INDEX('TCO - Input'!$R$291:$R$321,MATCH($C278,'TCO - Input'!$F$291:$F$4010,0)))*1000</f>
        <v>0.37149469414234737</v>
      </c>
      <c r="R278" s="112">
        <f>SUMIFS('Fuel Logistics'!P:P,'Fuel Logistics'!$C:$C,$E278,'Fuel Logistics'!$D:$D,$D278,'Fuel Logistics'!$E:$E,"Logistics total")*IF($C278="Electricity",1,1/INDEX('TCO - Input'!$R$291:$R$321,MATCH($C278,'TCO - Input'!$F$291:$F$4010,0)))*1000</f>
        <v>0.37149469414234737</v>
      </c>
      <c r="S278" s="112">
        <f>SUMIFS('Fuel Logistics'!Q:Q,'Fuel Logistics'!$C:$C,$E278,'Fuel Logistics'!$D:$D,$D278,'Fuel Logistics'!$E:$E,"Logistics total")*IF($C278="Electricity",1,1/INDEX('TCO - Input'!$R$291:$R$321,MATCH($C278,'TCO - Input'!$F$291:$F$4010,0)))*1000</f>
        <v>0.37149469414234737</v>
      </c>
      <c r="T278" s="112">
        <f>SUMIFS('Fuel Logistics'!R:R,'Fuel Logistics'!$C:$C,$E278,'Fuel Logistics'!$D:$D,$D278,'Fuel Logistics'!$E:$E,"Logistics total")*IF($C278="Electricity",1,1/INDEX('TCO - Input'!$R$291:$R$321,MATCH($C278,'TCO - Input'!$F$291:$F$4010,0)))*1000</f>
        <v>0.37149469414234737</v>
      </c>
      <c r="U278" s="112">
        <f>SUMIFS('Fuel Logistics'!S:S,'Fuel Logistics'!$C:$C,$E278,'Fuel Logistics'!$D:$D,$D278,'Fuel Logistics'!$E:$E,"Logistics total")*IF($C278="Electricity",1,1/INDEX('TCO - Input'!$R$291:$R$321,MATCH($C278,'TCO - Input'!$F$291:$F$4010,0)))*1000</f>
        <v>0.37149469414234737</v>
      </c>
      <c r="V278" s="112">
        <f>SUMIFS('Fuel Logistics'!T:T,'Fuel Logistics'!$C:$C,$E278,'Fuel Logistics'!$D:$D,$D278,'Fuel Logistics'!$E:$E,"Logistics total")*IF($C278="Electricity",1,1/INDEX('TCO - Input'!$R$291:$R$321,MATCH($C278,'TCO - Input'!$F$291:$F$4010,0)))*1000</f>
        <v>0.37149469414234737</v>
      </c>
    </row>
    <row r="279" spans="1:22" x14ac:dyDescent="0.2">
      <c r="A279" s="29">
        <f t="shared" si="167"/>
        <v>17</v>
      </c>
      <c r="B279" s="334" t="str">
        <f t="shared" si="165"/>
        <v>Biodiesel (HtL blend) - Asia - Logistics cost - USD/GJ</v>
      </c>
      <c r="C279" t="str" cm="1">
        <f t="array" ref="C279">INDEX(list_AE_fuel,A279)</f>
        <v>Biodiesel (HtL blend)</v>
      </c>
      <c r="D279" t="str">
        <f>INDEX('Configurator Specs.'!$AH:$AH,MATCH($C279,'Configurator Specs.'!$AE:$AE,0))</f>
        <v>Bio</v>
      </c>
      <c r="E279" t="s">
        <v>198</v>
      </c>
      <c r="F279" t="str">
        <f t="shared" si="166"/>
        <v>Logistics cost - USD/GJ</v>
      </c>
      <c r="G279"/>
      <c r="H279" s="128"/>
      <c r="I279" t="s">
        <v>324</v>
      </c>
      <c r="K279" s="112">
        <f>SUMIFS('Fuel Logistics'!I:I,'Fuel Logistics'!$C:$C,$E279,'Fuel Logistics'!$D:$D,$D279,'Fuel Logistics'!$E:$E,"Logistics total")*IF($C279="Electricity",1,1/INDEX('TCO - Input'!$R$291:$R$321,MATCH($C279,'TCO - Input'!$F$291:$F$4010,0)))*1000</f>
        <v>0</v>
      </c>
      <c r="L279" s="112">
        <f>SUMIFS('Fuel Logistics'!J:J,'Fuel Logistics'!$C:$C,$E279,'Fuel Logistics'!$D:$D,$D279,'Fuel Logistics'!$E:$E,"Logistics total")*IF($C279="Electricity",1,1/INDEX('TCO - Input'!$R$291:$R$321,MATCH($C279,'TCO - Input'!$F$291:$F$4010,0)))*1000</f>
        <v>0</v>
      </c>
      <c r="M279" s="112">
        <f>SUMIFS('Fuel Logistics'!K:K,'Fuel Logistics'!$C:$C,$E279,'Fuel Logistics'!$D:$D,$D279,'Fuel Logistics'!$E:$E,"Logistics total")*IF($C279="Electricity",1,1/INDEX('TCO - Input'!$R$291:$R$321,MATCH($C279,'TCO - Input'!$F$291:$F$4010,0)))*1000</f>
        <v>0</v>
      </c>
      <c r="N279" s="112">
        <f>SUMIFS('Fuel Logistics'!L:L,'Fuel Logistics'!$C:$C,$E279,'Fuel Logistics'!$D:$D,$D279,'Fuel Logistics'!$E:$E,"Logistics total")*IF($C279="Electricity",1,1/INDEX('TCO - Input'!$R$291:$R$321,MATCH($C279,'TCO - Input'!$F$291:$F$4010,0)))*1000</f>
        <v>0</v>
      </c>
      <c r="O279" s="112">
        <f>SUMIFS('Fuel Logistics'!M:M,'Fuel Logistics'!$C:$C,$E279,'Fuel Logistics'!$D:$D,$D279,'Fuel Logistics'!$E:$E,"Logistics total")*IF($C279="Electricity",1,1/INDEX('TCO - Input'!$R$291:$R$321,MATCH($C279,'TCO - Input'!$F$291:$F$4010,0)))*1000</f>
        <v>0</v>
      </c>
      <c r="P279" s="112">
        <f>SUMIFS('Fuel Logistics'!N:N,'Fuel Logistics'!$C:$C,$E279,'Fuel Logistics'!$D:$D,$D279,'Fuel Logistics'!$E:$E,"Logistics total")*IF($C279="Electricity",1,1/INDEX('TCO - Input'!$R$291:$R$321,MATCH($C279,'TCO - Input'!$F$291:$F$4010,0)))*1000</f>
        <v>0</v>
      </c>
      <c r="Q279" s="112">
        <f>SUMIFS('Fuel Logistics'!O:O,'Fuel Logistics'!$C:$C,$E279,'Fuel Logistics'!$D:$D,$D279,'Fuel Logistics'!$E:$E,"Logistics total")*IF($C279="Electricity",1,1/INDEX('TCO - Input'!$R$291:$R$321,MATCH($C279,'TCO - Input'!$F$291:$F$4010,0)))*1000</f>
        <v>0</v>
      </c>
      <c r="R279" s="112">
        <f>SUMIFS('Fuel Logistics'!P:P,'Fuel Logistics'!$C:$C,$E279,'Fuel Logistics'!$D:$D,$D279,'Fuel Logistics'!$E:$E,"Logistics total")*IF($C279="Electricity",1,1/INDEX('TCO - Input'!$R$291:$R$321,MATCH($C279,'TCO - Input'!$F$291:$F$4010,0)))*1000</f>
        <v>0</v>
      </c>
      <c r="S279" s="112">
        <f>SUMIFS('Fuel Logistics'!Q:Q,'Fuel Logistics'!$C:$C,$E279,'Fuel Logistics'!$D:$D,$D279,'Fuel Logistics'!$E:$E,"Logistics total")*IF($C279="Electricity",1,1/INDEX('TCO - Input'!$R$291:$R$321,MATCH($C279,'TCO - Input'!$F$291:$F$4010,0)))*1000</f>
        <v>0</v>
      </c>
      <c r="T279" s="112">
        <f>SUMIFS('Fuel Logistics'!R:R,'Fuel Logistics'!$C:$C,$E279,'Fuel Logistics'!$D:$D,$D279,'Fuel Logistics'!$E:$E,"Logistics total")*IF($C279="Electricity",1,1/INDEX('TCO - Input'!$R$291:$R$321,MATCH($C279,'TCO - Input'!$F$291:$F$4010,0)))*1000</f>
        <v>0</v>
      </c>
      <c r="U279" s="112">
        <f>SUMIFS('Fuel Logistics'!S:S,'Fuel Logistics'!$C:$C,$E279,'Fuel Logistics'!$D:$D,$D279,'Fuel Logistics'!$E:$E,"Logistics total")*IF($C279="Electricity",1,1/INDEX('TCO - Input'!$R$291:$R$321,MATCH($C279,'TCO - Input'!$F$291:$F$4010,0)))*1000</f>
        <v>0</v>
      </c>
      <c r="V279" s="112">
        <f>SUMIFS('Fuel Logistics'!T:T,'Fuel Logistics'!$C:$C,$E279,'Fuel Logistics'!$D:$D,$D279,'Fuel Logistics'!$E:$E,"Logistics total")*IF($C279="Electricity",1,1/INDEX('TCO - Input'!$R$291:$R$321,MATCH($C279,'TCO - Input'!$F$291:$F$4010,0)))*1000</f>
        <v>0</v>
      </c>
    </row>
    <row r="280" spans="1:22" x14ac:dyDescent="0.2">
      <c r="A280" s="29">
        <f t="shared" si="167"/>
        <v>18</v>
      </c>
      <c r="B280" s="334" t="str">
        <f t="shared" si="165"/>
        <v>Biodiesel (Pyr blend) - Asia - Logistics cost - USD/GJ</v>
      </c>
      <c r="C280" t="str" cm="1">
        <f t="array" ref="C280">INDEX(list_AE_fuel,A280)</f>
        <v>Biodiesel (Pyr blend)</v>
      </c>
      <c r="D280" t="str">
        <f>INDEX('Configurator Specs.'!$AH:$AH,MATCH($C280,'Configurator Specs.'!$AE:$AE,0))</f>
        <v>Bio</v>
      </c>
      <c r="E280" t="s">
        <v>198</v>
      </c>
      <c r="F280" t="str">
        <f t="shared" si="166"/>
        <v>Logistics cost - USD/GJ</v>
      </c>
      <c r="G280"/>
      <c r="H280" s="128"/>
      <c r="I280" t="s">
        <v>324</v>
      </c>
      <c r="K280" s="112">
        <f>SUMIFS('Fuel Logistics'!I:I,'Fuel Logistics'!$C:$C,$E280,'Fuel Logistics'!$D:$D,$D280,'Fuel Logistics'!$E:$E,"Logistics total")*IF($C280="Electricity",1,1/INDEX('TCO - Input'!$R$291:$R$321,MATCH($C280,'TCO - Input'!$F$291:$F$4010,0)))*1000</f>
        <v>0</v>
      </c>
      <c r="L280" s="112">
        <f>SUMIFS('Fuel Logistics'!J:J,'Fuel Logistics'!$C:$C,$E280,'Fuel Logistics'!$D:$D,$D280,'Fuel Logistics'!$E:$E,"Logistics total")*IF($C280="Electricity",1,1/INDEX('TCO - Input'!$R$291:$R$321,MATCH($C280,'TCO - Input'!$F$291:$F$4010,0)))*1000</f>
        <v>0</v>
      </c>
      <c r="M280" s="112">
        <f>SUMIFS('Fuel Logistics'!K:K,'Fuel Logistics'!$C:$C,$E280,'Fuel Logistics'!$D:$D,$D280,'Fuel Logistics'!$E:$E,"Logistics total")*IF($C280="Electricity",1,1/INDEX('TCO - Input'!$R$291:$R$321,MATCH($C280,'TCO - Input'!$F$291:$F$4010,0)))*1000</f>
        <v>0</v>
      </c>
      <c r="N280" s="112">
        <f>SUMIFS('Fuel Logistics'!L:L,'Fuel Logistics'!$C:$C,$E280,'Fuel Logistics'!$D:$D,$D280,'Fuel Logistics'!$E:$E,"Logistics total")*IF($C280="Electricity",1,1/INDEX('TCO - Input'!$R$291:$R$321,MATCH($C280,'TCO - Input'!$F$291:$F$4010,0)))*1000</f>
        <v>0</v>
      </c>
      <c r="O280" s="112">
        <f>SUMIFS('Fuel Logistics'!M:M,'Fuel Logistics'!$C:$C,$E280,'Fuel Logistics'!$D:$D,$D280,'Fuel Logistics'!$E:$E,"Logistics total")*IF($C280="Electricity",1,1/INDEX('TCO - Input'!$R$291:$R$321,MATCH($C280,'TCO - Input'!$F$291:$F$4010,0)))*1000</f>
        <v>0</v>
      </c>
      <c r="P280" s="112">
        <f>SUMIFS('Fuel Logistics'!N:N,'Fuel Logistics'!$C:$C,$E280,'Fuel Logistics'!$D:$D,$D280,'Fuel Logistics'!$E:$E,"Logistics total")*IF($C280="Electricity",1,1/INDEX('TCO - Input'!$R$291:$R$321,MATCH($C280,'TCO - Input'!$F$291:$F$4010,0)))*1000</f>
        <v>0</v>
      </c>
      <c r="Q280" s="112">
        <f>SUMIFS('Fuel Logistics'!O:O,'Fuel Logistics'!$C:$C,$E280,'Fuel Logistics'!$D:$D,$D280,'Fuel Logistics'!$E:$E,"Logistics total")*IF($C280="Electricity",1,1/INDEX('TCO - Input'!$R$291:$R$321,MATCH($C280,'TCO - Input'!$F$291:$F$4010,0)))*1000</f>
        <v>0</v>
      </c>
      <c r="R280" s="112">
        <f>SUMIFS('Fuel Logistics'!P:P,'Fuel Logistics'!$C:$C,$E280,'Fuel Logistics'!$D:$D,$D280,'Fuel Logistics'!$E:$E,"Logistics total")*IF($C280="Electricity",1,1/INDEX('TCO - Input'!$R$291:$R$321,MATCH($C280,'TCO - Input'!$F$291:$F$4010,0)))*1000</f>
        <v>0</v>
      </c>
      <c r="S280" s="112">
        <f>SUMIFS('Fuel Logistics'!Q:Q,'Fuel Logistics'!$C:$C,$E280,'Fuel Logistics'!$D:$D,$D280,'Fuel Logistics'!$E:$E,"Logistics total")*IF($C280="Electricity",1,1/INDEX('TCO - Input'!$R$291:$R$321,MATCH($C280,'TCO - Input'!$F$291:$F$4010,0)))*1000</f>
        <v>0</v>
      </c>
      <c r="T280" s="112">
        <f>SUMIFS('Fuel Logistics'!R:R,'Fuel Logistics'!$C:$C,$E280,'Fuel Logistics'!$D:$D,$D280,'Fuel Logistics'!$E:$E,"Logistics total")*IF($C280="Electricity",1,1/INDEX('TCO - Input'!$R$291:$R$321,MATCH($C280,'TCO - Input'!$F$291:$F$4010,0)))*1000</f>
        <v>0</v>
      </c>
      <c r="U280" s="112">
        <f>SUMIFS('Fuel Logistics'!S:S,'Fuel Logistics'!$C:$C,$E280,'Fuel Logistics'!$D:$D,$D280,'Fuel Logistics'!$E:$E,"Logistics total")*IF($C280="Electricity",1,1/INDEX('TCO - Input'!$R$291:$R$321,MATCH($C280,'TCO - Input'!$F$291:$F$4010,0)))*1000</f>
        <v>0</v>
      </c>
      <c r="V280" s="112">
        <f>SUMIFS('Fuel Logistics'!T:T,'Fuel Logistics'!$C:$C,$E280,'Fuel Logistics'!$D:$D,$D280,'Fuel Logistics'!$E:$E,"Logistics total")*IF($C280="Electricity",1,1/INDEX('TCO - Input'!$R$291:$R$321,MATCH($C280,'TCO - Input'!$F$291:$F$4010,0)))*1000</f>
        <v>0</v>
      </c>
    </row>
    <row r="281" spans="1:22" x14ac:dyDescent="0.2">
      <c r="A281" s="29">
        <f t="shared" si="167"/>
        <v>19</v>
      </c>
      <c r="B281" s="334" t="str">
        <f t="shared" si="165"/>
        <v>Blue hydrogen (liquid) - Asia - Logistics cost - USD/GJ</v>
      </c>
      <c r="C281" t="str" cm="1">
        <f t="array" ref="C281">INDEX(list_AE_fuel,A281)</f>
        <v>Blue hydrogen (liquid)</v>
      </c>
      <c r="D281" t="str">
        <f>INDEX('Configurator Specs.'!$AH:$AH,MATCH($C281,'Configurator Specs.'!$AE:$AE,0))</f>
        <v>Blue hydrogen (liquid)</v>
      </c>
      <c r="E281" t="s">
        <v>198</v>
      </c>
      <c r="F281" t="str">
        <f t="shared" si="166"/>
        <v>Logistics cost - USD/GJ</v>
      </c>
      <c r="G281"/>
      <c r="H281" s="128"/>
      <c r="I281" t="s">
        <v>324</v>
      </c>
      <c r="K281" s="112">
        <f>SUMIFS('Fuel Logistics'!I:I,'Fuel Logistics'!$C:$C,$E281,'Fuel Logistics'!$D:$D,$D281,'Fuel Logistics'!$E:$E,"Logistics total")*IF($C281="Electricity",1,1/INDEX('TCO - Input'!$R$291:$R$321,MATCH($C281,'TCO - Input'!$F$291:$F$4010,0)))*1000</f>
        <v>14.331972963669211</v>
      </c>
      <c r="L281" s="112">
        <f>SUMIFS('Fuel Logistics'!J:J,'Fuel Logistics'!$C:$C,$E281,'Fuel Logistics'!$D:$D,$D281,'Fuel Logistics'!$E:$E,"Logistics total")*IF($C281="Electricity",1,1/INDEX('TCO - Input'!$R$291:$R$321,MATCH($C281,'TCO - Input'!$F$291:$F$4010,0)))*1000</f>
        <v>12.997999371098103</v>
      </c>
      <c r="M281" s="112">
        <f>SUMIFS('Fuel Logistics'!K:K,'Fuel Logistics'!$C:$C,$E281,'Fuel Logistics'!$D:$D,$D281,'Fuel Logistics'!$E:$E,"Logistics total")*IF($C281="Electricity",1,1/INDEX('TCO - Input'!$R$291:$R$321,MATCH($C281,'TCO - Input'!$F$291:$F$4010,0)))*1000</f>
        <v>12.433077103954064</v>
      </c>
      <c r="N281" s="112">
        <f>SUMIFS('Fuel Logistics'!L:L,'Fuel Logistics'!$C:$C,$E281,'Fuel Logistics'!$D:$D,$D281,'Fuel Logistics'!$E:$E,"Logistics total")*IF($C281="Electricity",1,1/INDEX('TCO - Input'!$R$291:$R$321,MATCH($C281,'TCO - Input'!$F$291:$F$4010,0)))*1000</f>
        <v>12.375941488274341</v>
      </c>
      <c r="O281" s="112">
        <f>SUMIFS('Fuel Logistics'!M:M,'Fuel Logistics'!$C:$C,$E281,'Fuel Logistics'!$D:$D,$D281,'Fuel Logistics'!$E:$E,"Logistics total")*IF($C281="Electricity",1,1/INDEX('TCO - Input'!$R$291:$R$321,MATCH($C281,'TCO - Input'!$F$291:$F$4010,0)))*1000</f>
        <v>12.33445780478387</v>
      </c>
      <c r="P281" s="112">
        <f>SUMIFS('Fuel Logistics'!N:N,'Fuel Logistics'!$C:$C,$E281,'Fuel Logistics'!$D:$D,$D281,'Fuel Logistics'!$E:$E,"Logistics total")*IF($C281="Electricity",1,1/INDEX('TCO - Input'!$R$291:$R$321,MATCH($C281,'TCO - Input'!$F$291:$F$4010,0)))*1000</f>
        <v>12.294780782254046</v>
      </c>
      <c r="Q281" s="112">
        <f>SUMIFS('Fuel Logistics'!O:O,'Fuel Logistics'!$C:$C,$E281,'Fuel Logistics'!$D:$D,$D281,'Fuel Logistics'!$E:$E,"Logistics total")*IF($C281="Electricity",1,1/INDEX('TCO - Input'!$R$291:$R$321,MATCH($C281,'TCO - Input'!$F$291:$F$4010,0)))*1000</f>
        <v>12.264707709429825</v>
      </c>
      <c r="R281" s="112">
        <f>SUMIFS('Fuel Logistics'!P:P,'Fuel Logistics'!$C:$C,$E281,'Fuel Logistics'!$D:$D,$D281,'Fuel Logistics'!$E:$E,"Logistics total")*IF($C281="Electricity",1,1/INDEX('TCO - Input'!$R$291:$R$321,MATCH($C281,'TCO - Input'!$F$291:$F$4010,0)))*1000</f>
        <v>12.264707709429825</v>
      </c>
      <c r="S281" s="112">
        <f>SUMIFS('Fuel Logistics'!Q:Q,'Fuel Logistics'!$C:$C,$E281,'Fuel Logistics'!$D:$D,$D281,'Fuel Logistics'!$E:$E,"Logistics total")*IF($C281="Electricity",1,1/INDEX('TCO - Input'!$R$291:$R$321,MATCH($C281,'TCO - Input'!$F$291:$F$4010,0)))*1000</f>
        <v>12.264707709429825</v>
      </c>
      <c r="T281" s="112">
        <f>SUMIFS('Fuel Logistics'!R:R,'Fuel Logistics'!$C:$C,$E281,'Fuel Logistics'!$D:$D,$D281,'Fuel Logistics'!$E:$E,"Logistics total")*IF($C281="Electricity",1,1/INDEX('TCO - Input'!$R$291:$R$321,MATCH($C281,'TCO - Input'!$F$291:$F$4010,0)))*1000</f>
        <v>12.264707709429825</v>
      </c>
      <c r="U281" s="112">
        <f>SUMIFS('Fuel Logistics'!S:S,'Fuel Logistics'!$C:$C,$E281,'Fuel Logistics'!$D:$D,$D281,'Fuel Logistics'!$E:$E,"Logistics total")*IF($C281="Electricity",1,1/INDEX('TCO - Input'!$R$291:$R$321,MATCH($C281,'TCO - Input'!$F$291:$F$4010,0)))*1000</f>
        <v>12.264707709429825</v>
      </c>
      <c r="V281" s="112">
        <f>SUMIFS('Fuel Logistics'!T:T,'Fuel Logistics'!$C:$C,$E281,'Fuel Logistics'!$D:$D,$D281,'Fuel Logistics'!$E:$E,"Logistics total")*IF($C281="Electricity",1,1/INDEX('TCO - Input'!$R$291:$R$321,MATCH($C281,'TCO - Input'!$F$291:$F$4010,0)))*1000</f>
        <v>12.264707709429825</v>
      </c>
    </row>
    <row r="282" spans="1:22" x14ac:dyDescent="0.2">
      <c r="A282" s="29">
        <f t="shared" si="167"/>
        <v>20</v>
      </c>
      <c r="B282" s="334" t="str">
        <f t="shared" si="165"/>
        <v>e-Hydrogen (liquid) - Asia - Logistics cost - USD/GJ</v>
      </c>
      <c r="C282" t="str" cm="1">
        <f t="array" ref="C282">INDEX(list_AE_fuel,A282)</f>
        <v>e-Hydrogen (liquid)</v>
      </c>
      <c r="D282" t="str">
        <f>INDEX('Configurator Specs.'!$AH:$AH,MATCH($C282,'Configurator Specs.'!$AE:$AE,0))</f>
        <v>e-Hydrogen (liquid)</v>
      </c>
      <c r="E282" t="s">
        <v>198</v>
      </c>
      <c r="F282" t="str">
        <f t="shared" si="166"/>
        <v>Logistics cost - USD/GJ</v>
      </c>
      <c r="G282"/>
      <c r="H282" s="128"/>
      <c r="I282" t="s">
        <v>324</v>
      </c>
      <c r="K282" s="112">
        <f>SUMIFS('Fuel Logistics'!I:I,'Fuel Logistics'!$C:$C,$E282,'Fuel Logistics'!$D:$D,$D282,'Fuel Logistics'!$E:$E,"Logistics total")*IF($C282="Electricity",1,1/INDEX('TCO - Input'!$R$291:$R$321,MATCH($C282,'TCO - Input'!$F$291:$F$4010,0)))*1000</f>
        <v>13.996947251620449</v>
      </c>
      <c r="L282" s="112">
        <f>SUMIFS('Fuel Logistics'!J:J,'Fuel Logistics'!$C:$C,$E282,'Fuel Logistics'!$D:$D,$D282,'Fuel Logistics'!$E:$E,"Logistics total")*IF($C282="Electricity",1,1/INDEX('TCO - Input'!$R$291:$R$321,MATCH($C282,'TCO - Input'!$F$291:$F$4010,0)))*1000</f>
        <v>13.203510621597157</v>
      </c>
      <c r="M282" s="112">
        <f>SUMIFS('Fuel Logistics'!K:K,'Fuel Logistics'!$C:$C,$E282,'Fuel Logistics'!$D:$D,$D282,'Fuel Logistics'!$E:$E,"Logistics total")*IF($C282="Electricity",1,1/INDEX('TCO - Input'!$R$291:$R$321,MATCH($C282,'TCO - Input'!$F$291:$F$4010,0)))*1000</f>
        <v>12.862107305983415</v>
      </c>
      <c r="N282" s="112">
        <f>SUMIFS('Fuel Logistics'!L:L,'Fuel Logistics'!$C:$C,$E282,'Fuel Logistics'!$D:$D,$D282,'Fuel Logistics'!$E:$E,"Logistics total")*IF($C282="Electricity",1,1/INDEX('TCO - Input'!$R$291:$R$321,MATCH($C282,'TCO - Input'!$F$291:$F$4010,0)))*1000</f>
        <v>12.664142422498367</v>
      </c>
      <c r="O282" s="112">
        <f>SUMIFS('Fuel Logistics'!M:M,'Fuel Logistics'!$C:$C,$E282,'Fuel Logistics'!$D:$D,$D282,'Fuel Logistics'!$E:$E,"Logistics total")*IF($C282="Electricity",1,1/INDEX('TCO - Input'!$R$291:$R$321,MATCH($C282,'TCO - Input'!$F$291:$F$4010,0)))*1000</f>
        <v>12.486505930667024</v>
      </c>
      <c r="P282" s="112">
        <f>SUMIFS('Fuel Logistics'!N:N,'Fuel Logistics'!$C:$C,$E282,'Fuel Logistics'!$D:$D,$D282,'Fuel Logistics'!$E:$E,"Logistics total")*IF($C282="Electricity",1,1/INDEX('TCO - Input'!$R$291:$R$321,MATCH($C282,'TCO - Input'!$F$291:$F$4010,0)))*1000</f>
        <v>12.271149283212063</v>
      </c>
      <c r="Q282" s="112">
        <f>SUMIFS('Fuel Logistics'!O:O,'Fuel Logistics'!$C:$C,$E282,'Fuel Logistics'!$D:$D,$D282,'Fuel Logistics'!$E:$E,"Logistics total")*IF($C282="Electricity",1,1/INDEX('TCO - Input'!$R$291:$R$321,MATCH($C282,'TCO - Input'!$F$291:$F$4010,0)))*1000</f>
        <v>12.100347941686474</v>
      </c>
      <c r="R282" s="112">
        <f>SUMIFS('Fuel Logistics'!P:P,'Fuel Logistics'!$C:$C,$E282,'Fuel Logistics'!$D:$D,$D282,'Fuel Logistics'!$E:$E,"Logistics total")*IF($C282="Electricity",1,1/INDEX('TCO - Input'!$R$291:$R$321,MATCH($C282,'TCO - Input'!$F$291:$F$4010,0)))*1000</f>
        <v>12.100347941686474</v>
      </c>
      <c r="S282" s="112">
        <f>SUMIFS('Fuel Logistics'!Q:Q,'Fuel Logistics'!$C:$C,$E282,'Fuel Logistics'!$D:$D,$D282,'Fuel Logistics'!$E:$E,"Logistics total")*IF($C282="Electricity",1,1/INDEX('TCO - Input'!$R$291:$R$321,MATCH($C282,'TCO - Input'!$F$291:$F$4010,0)))*1000</f>
        <v>12.100347941686474</v>
      </c>
      <c r="T282" s="112">
        <f>SUMIFS('Fuel Logistics'!R:R,'Fuel Logistics'!$C:$C,$E282,'Fuel Logistics'!$D:$D,$D282,'Fuel Logistics'!$E:$E,"Logistics total")*IF($C282="Electricity",1,1/INDEX('TCO - Input'!$R$291:$R$321,MATCH($C282,'TCO - Input'!$F$291:$F$4010,0)))*1000</f>
        <v>12.100347941686474</v>
      </c>
      <c r="U282" s="112">
        <f>SUMIFS('Fuel Logistics'!S:S,'Fuel Logistics'!$C:$C,$E282,'Fuel Logistics'!$D:$D,$D282,'Fuel Logistics'!$E:$E,"Logistics total")*IF($C282="Electricity",1,1/INDEX('TCO - Input'!$R$291:$R$321,MATCH($C282,'TCO - Input'!$F$291:$F$4010,0)))*1000</f>
        <v>12.100347941686474</v>
      </c>
      <c r="V282" s="112">
        <f>SUMIFS('Fuel Logistics'!T:T,'Fuel Logistics'!$C:$C,$E282,'Fuel Logistics'!$D:$D,$D282,'Fuel Logistics'!$E:$E,"Logistics total")*IF($C282="Electricity",1,1/INDEX('TCO - Input'!$R$291:$R$321,MATCH($C282,'TCO - Input'!$F$291:$F$4010,0)))*1000</f>
        <v>12.100347941686474</v>
      </c>
    </row>
    <row r="283" spans="1:22" x14ac:dyDescent="0.2">
      <c r="B283"/>
      <c r="C283"/>
      <c r="D283"/>
      <c r="E283"/>
      <c r="F283"/>
      <c r="G283"/>
      <c r="H283"/>
      <c r="I283"/>
      <c r="K283" s="57"/>
      <c r="L283" s="57"/>
      <c r="M283" s="57"/>
      <c r="N283" s="57"/>
      <c r="O283" s="57"/>
      <c r="P283" s="57"/>
      <c r="Q283" s="57"/>
      <c r="R283" s="57"/>
      <c r="S283" s="57"/>
      <c r="T283" s="57"/>
      <c r="U283" s="57"/>
      <c r="V283" s="57"/>
    </row>
    <row r="284" spans="1:22" x14ac:dyDescent="0.2">
      <c r="A284" s="29">
        <v>1</v>
      </c>
      <c r="B284" s="334" t="str">
        <f t="shared" ref="B284:B303" si="168">_xlfn.TEXTJOIN(keydelim,TRUE,C284,E284,F284)</f>
        <v>LSFO - Americas - Logistics cost - USD/GJ</v>
      </c>
      <c r="C284" t="str" cm="1">
        <f t="array" ref="C284">INDEX(list_AE_fuel,A284)</f>
        <v>LSFO</v>
      </c>
      <c r="D284" t="str">
        <f>INDEX('Configurator Specs.'!$AH:$AH,MATCH($C284,'Configurator Specs.'!$AE:$AE,0))</f>
        <v>HFO</v>
      </c>
      <c r="E284" t="s">
        <v>199</v>
      </c>
      <c r="F284" t="str">
        <f t="shared" ref="F284:F303" si="169">"Logistics cost"  &amp;keydelim &amp;I284</f>
        <v>Logistics cost - USD/GJ</v>
      </c>
      <c r="G284" s="128"/>
      <c r="H284" s="128"/>
      <c r="I284" t="s">
        <v>324</v>
      </c>
      <c r="K284" s="112">
        <f>SUMIFS('Fuel Logistics'!I:I,'Fuel Logistics'!$C:$C,$E284,'Fuel Logistics'!$D:$D,$D284,'Fuel Logistics'!$E:$E,"Logistics total")*IF($C284="Electricity",1,1/INDEX('TCO - Input'!$R$291:$R$321,MATCH($C284,'TCO - Input'!$F$291:$F$4010,0)))*1000</f>
        <v>0</v>
      </c>
      <c r="L284" s="112">
        <f>SUMIFS('Fuel Logistics'!J:J,'Fuel Logistics'!$C:$C,$E284,'Fuel Logistics'!$D:$D,$D284,'Fuel Logistics'!$E:$E,"Logistics total")*IF($C284="Electricity",1,1/INDEX('TCO - Input'!$R$291:$R$321,MATCH($C284,'TCO - Input'!$F$291:$F$4010,0)))*1000</f>
        <v>0</v>
      </c>
      <c r="M284" s="112">
        <f>SUMIFS('Fuel Logistics'!K:K,'Fuel Logistics'!$C:$C,$E284,'Fuel Logistics'!$D:$D,$D284,'Fuel Logistics'!$E:$E,"Logistics total")*IF($C284="Electricity",1,1/INDEX('TCO - Input'!$R$291:$R$321,MATCH($C284,'TCO - Input'!$F$291:$F$4010,0)))*1000</f>
        <v>0</v>
      </c>
      <c r="N284" s="112">
        <f>SUMIFS('Fuel Logistics'!L:L,'Fuel Logistics'!$C:$C,$E284,'Fuel Logistics'!$D:$D,$D284,'Fuel Logistics'!$E:$E,"Logistics total")*IF($C284="Electricity",1,1/INDEX('TCO - Input'!$R$291:$R$321,MATCH($C284,'TCO - Input'!$F$291:$F$4010,0)))*1000</f>
        <v>0</v>
      </c>
      <c r="O284" s="112">
        <f>SUMIFS('Fuel Logistics'!M:M,'Fuel Logistics'!$C:$C,$E284,'Fuel Logistics'!$D:$D,$D284,'Fuel Logistics'!$E:$E,"Logistics total")*IF($C284="Electricity",1,1/INDEX('TCO - Input'!$R$291:$R$321,MATCH($C284,'TCO - Input'!$F$291:$F$4010,0)))*1000</f>
        <v>0</v>
      </c>
      <c r="P284" s="112">
        <f>SUMIFS('Fuel Logistics'!N:N,'Fuel Logistics'!$C:$C,$E284,'Fuel Logistics'!$D:$D,$D284,'Fuel Logistics'!$E:$E,"Logistics total")*IF($C284="Electricity",1,1/INDEX('TCO - Input'!$R$291:$R$321,MATCH($C284,'TCO - Input'!$F$291:$F$4010,0)))*1000</f>
        <v>0</v>
      </c>
      <c r="Q284" s="112">
        <f>SUMIFS('Fuel Logistics'!O:O,'Fuel Logistics'!$C:$C,$E284,'Fuel Logistics'!$D:$D,$D284,'Fuel Logistics'!$E:$E,"Logistics total")*IF($C284="Electricity",1,1/INDEX('TCO - Input'!$R$291:$R$321,MATCH($C284,'TCO - Input'!$F$291:$F$4010,0)))*1000</f>
        <v>0</v>
      </c>
      <c r="R284" s="112">
        <f>SUMIFS('Fuel Logistics'!P:P,'Fuel Logistics'!$C:$C,$E284,'Fuel Logistics'!$D:$D,$D284,'Fuel Logistics'!$E:$E,"Logistics total")*IF($C284="Electricity",1,1/INDEX('TCO - Input'!$R$291:$R$321,MATCH($C284,'TCO - Input'!$F$291:$F$4010,0)))*1000</f>
        <v>0</v>
      </c>
      <c r="S284" s="112">
        <f>SUMIFS('Fuel Logistics'!Q:Q,'Fuel Logistics'!$C:$C,$E284,'Fuel Logistics'!$D:$D,$D284,'Fuel Logistics'!$E:$E,"Logistics total")*IF($C284="Electricity",1,1/INDEX('TCO - Input'!$R$291:$R$321,MATCH($C284,'TCO - Input'!$F$291:$F$4010,0)))*1000</f>
        <v>0</v>
      </c>
      <c r="T284" s="112">
        <f>SUMIFS('Fuel Logistics'!R:R,'Fuel Logistics'!$C:$C,$E284,'Fuel Logistics'!$D:$D,$D284,'Fuel Logistics'!$E:$E,"Logistics total")*IF($C284="Electricity",1,1/INDEX('TCO - Input'!$R$291:$R$321,MATCH($C284,'TCO - Input'!$F$291:$F$4010,0)))*1000</f>
        <v>0</v>
      </c>
      <c r="U284" s="112">
        <f>SUMIFS('Fuel Logistics'!S:S,'Fuel Logistics'!$C:$C,$E284,'Fuel Logistics'!$D:$D,$D284,'Fuel Logistics'!$E:$E,"Logistics total")*IF($C284="Electricity",1,1/INDEX('TCO - Input'!$R$291:$R$321,MATCH($C284,'TCO - Input'!$F$291:$F$4010,0)))*1000</f>
        <v>0</v>
      </c>
      <c r="V284" s="112">
        <f>SUMIFS('Fuel Logistics'!T:T,'Fuel Logistics'!$C:$C,$E284,'Fuel Logistics'!$D:$D,$D284,'Fuel Logistics'!$E:$E,"Logistics total")*IF($C284="Electricity",1,1/INDEX('TCO - Input'!$R$291:$R$321,MATCH($C284,'TCO - Input'!$F$291:$F$4010,0)))*1000</f>
        <v>0</v>
      </c>
    </row>
    <row r="285" spans="1:22" x14ac:dyDescent="0.2">
      <c r="A285" s="29">
        <f>A284+1</f>
        <v>2</v>
      </c>
      <c r="B285" s="334" t="str">
        <f t="shared" si="168"/>
        <v>LNG - Americas - Logistics cost - USD/GJ</v>
      </c>
      <c r="C285" t="str" cm="1">
        <f t="array" ref="C285">INDEX(list_AE_fuel,A285)</f>
        <v>LNG</v>
      </c>
      <c r="D285" t="str">
        <f>INDEX('Configurator Specs.'!$AH:$AH,MATCH($C285,'Configurator Specs.'!$AE:$AE,0))</f>
        <v>LNG &amp; e-Methane</v>
      </c>
      <c r="E285" t="str">
        <f t="shared" ref="E285:E294" si="170">E284</f>
        <v>Americas</v>
      </c>
      <c r="F285" t="str">
        <f t="shared" si="169"/>
        <v>Logistics cost - USD/GJ</v>
      </c>
      <c r="G285" s="128"/>
      <c r="H285" s="128"/>
      <c r="I285" t="s">
        <v>324</v>
      </c>
      <c r="K285" s="112">
        <f>SUMIFS('Fuel Logistics'!I:I,'Fuel Logistics'!$C:$C,$E285,'Fuel Logistics'!$D:$D,$D285,'Fuel Logistics'!$E:$E,"Logistics total")*IF($C285="Electricity",1,1/INDEX('TCO - Input'!$R$291:$R$321,MATCH($C285,'TCO - Input'!$F$291:$F$4010,0)))*1000</f>
        <v>0.85537395428523433</v>
      </c>
      <c r="L285" s="112">
        <f>SUMIFS('Fuel Logistics'!J:J,'Fuel Logistics'!$C:$C,$E285,'Fuel Logistics'!$D:$D,$D285,'Fuel Logistics'!$E:$E,"Logistics total")*IF($C285="Electricity",1,1/INDEX('TCO - Input'!$R$291:$R$321,MATCH($C285,'TCO - Input'!$F$291:$F$4010,0)))*1000</f>
        <v>0.85458158819961827</v>
      </c>
      <c r="M285" s="112">
        <f>SUMIFS('Fuel Logistics'!K:K,'Fuel Logistics'!$C:$C,$E285,'Fuel Logistics'!$D:$D,$D285,'Fuel Logistics'!$E:$E,"Logistics total")*IF($C285="Electricity",1,1/INDEX('TCO - Input'!$R$291:$R$321,MATCH($C285,'TCO - Input'!$F$291:$F$4010,0)))*1000</f>
        <v>0.85324217837119121</v>
      </c>
      <c r="N285" s="112">
        <f>SUMIFS('Fuel Logistics'!L:L,'Fuel Logistics'!$C:$C,$E285,'Fuel Logistics'!$D:$D,$D285,'Fuel Logistics'!$E:$E,"Logistics total")*IF($C285="Electricity",1,1/INDEX('TCO - Input'!$R$291:$R$321,MATCH($C285,'TCO - Input'!$F$291:$F$4010,0)))*1000</f>
        <v>0.85259762220426716</v>
      </c>
      <c r="O285" s="112">
        <f>SUMIFS('Fuel Logistics'!M:M,'Fuel Logistics'!$C:$C,$E285,'Fuel Logistics'!$D:$D,$D285,'Fuel Logistics'!$E:$E,"Logistics total")*IF($C285="Electricity",1,1/INDEX('TCO - Input'!$R$291:$R$321,MATCH($C285,'TCO - Input'!$F$291:$F$4010,0)))*1000</f>
        <v>0.85207512912072603</v>
      </c>
      <c r="P285" s="112">
        <f>SUMIFS('Fuel Logistics'!N:N,'Fuel Logistics'!$C:$C,$E285,'Fuel Logistics'!$D:$D,$D285,'Fuel Logistics'!$E:$E,"Logistics total")*IF($C285="Electricity",1,1/INDEX('TCO - Input'!$R$291:$R$321,MATCH($C285,'TCO - Input'!$F$291:$F$4010,0)))*1000</f>
        <v>0.85186463328714779</v>
      </c>
      <c r="Q285" s="112">
        <f>SUMIFS('Fuel Logistics'!O:O,'Fuel Logistics'!$C:$C,$E285,'Fuel Logistics'!$D:$D,$D285,'Fuel Logistics'!$E:$E,"Logistics total")*IF($C285="Electricity",1,1/INDEX('TCO - Input'!$R$291:$R$321,MATCH($C285,'TCO - Input'!$F$291:$F$4010,0)))*1000</f>
        <v>0.85170582907971915</v>
      </c>
      <c r="R285" s="112">
        <f>SUMIFS('Fuel Logistics'!P:P,'Fuel Logistics'!$C:$C,$E285,'Fuel Logistics'!$D:$D,$D285,'Fuel Logistics'!$E:$E,"Logistics total")*IF($C285="Electricity",1,1/INDEX('TCO - Input'!$R$291:$R$321,MATCH($C285,'TCO - Input'!$F$291:$F$4010,0)))*1000</f>
        <v>0.85170582907971915</v>
      </c>
      <c r="S285" s="112">
        <f>SUMIFS('Fuel Logistics'!Q:Q,'Fuel Logistics'!$C:$C,$E285,'Fuel Logistics'!$D:$D,$D285,'Fuel Logistics'!$E:$E,"Logistics total")*IF($C285="Electricity",1,1/INDEX('TCO - Input'!$R$291:$R$321,MATCH($C285,'TCO - Input'!$F$291:$F$4010,0)))*1000</f>
        <v>0.85170582907971915</v>
      </c>
      <c r="T285" s="112">
        <f>SUMIFS('Fuel Logistics'!R:R,'Fuel Logistics'!$C:$C,$E285,'Fuel Logistics'!$D:$D,$D285,'Fuel Logistics'!$E:$E,"Logistics total")*IF($C285="Electricity",1,1/INDEX('TCO - Input'!$R$291:$R$321,MATCH($C285,'TCO - Input'!$F$291:$F$4010,0)))*1000</f>
        <v>0.85170582907971915</v>
      </c>
      <c r="U285" s="112">
        <f>SUMIFS('Fuel Logistics'!S:S,'Fuel Logistics'!$C:$C,$E285,'Fuel Logistics'!$D:$D,$D285,'Fuel Logistics'!$E:$E,"Logistics total")*IF($C285="Electricity",1,1/INDEX('TCO - Input'!$R$291:$R$321,MATCH($C285,'TCO - Input'!$F$291:$F$4010,0)))*1000</f>
        <v>0.85170582907971915</v>
      </c>
      <c r="V285" s="112">
        <f>SUMIFS('Fuel Logistics'!T:T,'Fuel Logistics'!$C:$C,$E285,'Fuel Logistics'!$D:$D,$D285,'Fuel Logistics'!$E:$E,"Logistics total")*IF($C285="Electricity",1,1/INDEX('TCO - Input'!$R$291:$R$321,MATCH($C285,'TCO - Input'!$F$291:$F$4010,0)))*1000</f>
        <v>0.85170582907971915</v>
      </c>
    </row>
    <row r="286" spans="1:22" x14ac:dyDescent="0.2">
      <c r="A286" s="29">
        <f t="shared" ref="A286:A303" si="171">A285+1</f>
        <v>3</v>
      </c>
      <c r="B286" s="334" t="str">
        <f t="shared" si="168"/>
        <v>LPG - Americas - Logistics cost - USD/GJ</v>
      </c>
      <c r="C286" t="str" cm="1">
        <f t="array" ref="C286">INDEX(list_AE_fuel,A286)</f>
        <v>LPG</v>
      </c>
      <c r="D286" t="str">
        <f>INDEX('Configurator Specs.'!$AH:$AH,MATCH($C286,'Configurator Specs.'!$AE:$AE,0))</f>
        <v>LPG</v>
      </c>
      <c r="E286" t="str">
        <f t="shared" si="170"/>
        <v>Americas</v>
      </c>
      <c r="F286" t="str">
        <f t="shared" si="169"/>
        <v>Logistics cost - USD/GJ</v>
      </c>
      <c r="G286" s="128"/>
      <c r="H286" s="128"/>
      <c r="I286" t="s">
        <v>324</v>
      </c>
      <c r="K286" s="112">
        <f>SUMIFS('Fuel Logistics'!I:I,'Fuel Logistics'!$C:$C,$E286,'Fuel Logistics'!$D:$D,$D286,'Fuel Logistics'!$E:$E,"Logistics total")*IF($C286="Electricity",1,1/INDEX('TCO - Input'!$R$291:$R$321,MATCH($C286,'TCO - Input'!$F$291:$F$4010,0)))*1000</f>
        <v>0</v>
      </c>
      <c r="L286" s="112">
        <f>SUMIFS('Fuel Logistics'!J:J,'Fuel Logistics'!$C:$C,$E286,'Fuel Logistics'!$D:$D,$D286,'Fuel Logistics'!$E:$E,"Logistics total")*IF($C286="Electricity",1,1/INDEX('TCO - Input'!$R$291:$R$321,MATCH($C286,'TCO - Input'!$F$291:$F$4010,0)))*1000</f>
        <v>0</v>
      </c>
      <c r="M286" s="112">
        <f>SUMIFS('Fuel Logistics'!K:K,'Fuel Logistics'!$C:$C,$E286,'Fuel Logistics'!$D:$D,$D286,'Fuel Logistics'!$E:$E,"Logistics total")*IF($C286="Electricity",1,1/INDEX('TCO - Input'!$R$291:$R$321,MATCH($C286,'TCO - Input'!$F$291:$F$4010,0)))*1000</f>
        <v>0</v>
      </c>
      <c r="N286" s="112">
        <f>SUMIFS('Fuel Logistics'!L:L,'Fuel Logistics'!$C:$C,$E286,'Fuel Logistics'!$D:$D,$D286,'Fuel Logistics'!$E:$E,"Logistics total")*IF($C286="Electricity",1,1/INDEX('TCO - Input'!$R$291:$R$321,MATCH($C286,'TCO - Input'!$F$291:$F$4010,0)))*1000</f>
        <v>0</v>
      </c>
      <c r="O286" s="112">
        <f>SUMIFS('Fuel Logistics'!M:M,'Fuel Logistics'!$C:$C,$E286,'Fuel Logistics'!$D:$D,$D286,'Fuel Logistics'!$E:$E,"Logistics total")*IF($C286="Electricity",1,1/INDEX('TCO - Input'!$R$291:$R$321,MATCH($C286,'TCO - Input'!$F$291:$F$4010,0)))*1000</f>
        <v>0</v>
      </c>
      <c r="P286" s="112">
        <f>SUMIFS('Fuel Logistics'!N:N,'Fuel Logistics'!$C:$C,$E286,'Fuel Logistics'!$D:$D,$D286,'Fuel Logistics'!$E:$E,"Logistics total")*IF($C286="Electricity",1,1/INDEX('TCO - Input'!$R$291:$R$321,MATCH($C286,'TCO - Input'!$F$291:$F$4010,0)))*1000</f>
        <v>0</v>
      </c>
      <c r="Q286" s="112">
        <f>SUMIFS('Fuel Logistics'!O:O,'Fuel Logistics'!$C:$C,$E286,'Fuel Logistics'!$D:$D,$D286,'Fuel Logistics'!$E:$E,"Logistics total")*IF($C286="Electricity",1,1/INDEX('TCO - Input'!$R$291:$R$321,MATCH($C286,'TCO - Input'!$F$291:$F$4010,0)))*1000</f>
        <v>0</v>
      </c>
      <c r="R286" s="112">
        <f>SUMIFS('Fuel Logistics'!P:P,'Fuel Logistics'!$C:$C,$E286,'Fuel Logistics'!$D:$D,$D286,'Fuel Logistics'!$E:$E,"Logistics total")*IF($C286="Electricity",1,1/INDEX('TCO - Input'!$R$291:$R$321,MATCH($C286,'TCO - Input'!$F$291:$F$4010,0)))*1000</f>
        <v>0</v>
      </c>
      <c r="S286" s="112">
        <f>SUMIFS('Fuel Logistics'!Q:Q,'Fuel Logistics'!$C:$C,$E286,'Fuel Logistics'!$D:$D,$D286,'Fuel Logistics'!$E:$E,"Logistics total")*IF($C286="Electricity",1,1/INDEX('TCO - Input'!$R$291:$R$321,MATCH($C286,'TCO - Input'!$F$291:$F$4010,0)))*1000</f>
        <v>0</v>
      </c>
      <c r="T286" s="112">
        <f>SUMIFS('Fuel Logistics'!R:R,'Fuel Logistics'!$C:$C,$E286,'Fuel Logistics'!$D:$D,$D286,'Fuel Logistics'!$E:$E,"Logistics total")*IF($C286="Electricity",1,1/INDEX('TCO - Input'!$R$291:$R$321,MATCH($C286,'TCO - Input'!$F$291:$F$4010,0)))*1000</f>
        <v>0</v>
      </c>
      <c r="U286" s="112">
        <f>SUMIFS('Fuel Logistics'!S:S,'Fuel Logistics'!$C:$C,$E286,'Fuel Logistics'!$D:$D,$D286,'Fuel Logistics'!$E:$E,"Logistics total")*IF($C286="Electricity",1,1/INDEX('TCO - Input'!$R$291:$R$321,MATCH($C286,'TCO - Input'!$F$291:$F$4010,0)))*1000</f>
        <v>0</v>
      </c>
      <c r="V286" s="112">
        <f>SUMIFS('Fuel Logistics'!T:T,'Fuel Logistics'!$C:$C,$E286,'Fuel Logistics'!$D:$D,$D286,'Fuel Logistics'!$E:$E,"Logistics total")*IF($C286="Electricity",1,1/INDEX('TCO - Input'!$R$291:$R$321,MATCH($C286,'TCO - Input'!$F$291:$F$4010,0)))*1000</f>
        <v>0</v>
      </c>
    </row>
    <row r="287" spans="1:22" x14ac:dyDescent="0.2">
      <c r="A287" s="29">
        <f t="shared" si="171"/>
        <v>4</v>
      </c>
      <c r="B287" s="334" t="str">
        <f t="shared" si="168"/>
        <v>Electricity - Americas - Logistics cost - USD/GJ</v>
      </c>
      <c r="C287" t="str" cm="1">
        <f t="array" ref="C287">INDEX(list_AE_fuel,A287)</f>
        <v>Electricity</v>
      </c>
      <c r="D287" t="str">
        <f>INDEX('Configurator Specs.'!$AH:$AH,MATCH($C287,'Configurator Specs.'!$AE:$AE,0))</f>
        <v>Electricity</v>
      </c>
      <c r="E287" t="str">
        <f t="shared" si="170"/>
        <v>Americas</v>
      </c>
      <c r="F287" t="str">
        <f t="shared" si="169"/>
        <v>Logistics cost - USD/GJ</v>
      </c>
      <c r="G287" s="128"/>
      <c r="H287" s="128"/>
      <c r="I287" t="s">
        <v>324</v>
      </c>
      <c r="K287" s="112">
        <f>SUMIFS('Fuel Logistics'!I:I,'Fuel Logistics'!$C:$C,$E287,'Fuel Logistics'!$D:$D,$D287,'Fuel Logistics'!$E:$E,"Logistics total")*IF($C287="Electricity",1,1/INDEX('TCO - Input'!$R$291:$R$321,MATCH($C287,'TCO - Input'!$F$291:$F$4010,0)))*1000</f>
        <v>18.782608695652176</v>
      </c>
      <c r="L287" s="112">
        <f>SUMIFS('Fuel Logistics'!J:J,'Fuel Logistics'!$C:$C,$E287,'Fuel Logistics'!$D:$D,$D287,'Fuel Logistics'!$E:$E,"Logistics total")*IF($C287="Electricity",1,1/INDEX('TCO - Input'!$R$291:$R$321,MATCH($C287,'TCO - Input'!$F$291:$F$4010,0)))*1000</f>
        <v>18.782608695652176</v>
      </c>
      <c r="M287" s="112">
        <f>SUMIFS('Fuel Logistics'!K:K,'Fuel Logistics'!$C:$C,$E287,'Fuel Logistics'!$D:$D,$D287,'Fuel Logistics'!$E:$E,"Logistics total")*IF($C287="Electricity",1,1/INDEX('TCO - Input'!$R$291:$R$321,MATCH($C287,'TCO - Input'!$F$291:$F$4010,0)))*1000</f>
        <v>18.782608695652176</v>
      </c>
      <c r="N287" s="112">
        <f>SUMIFS('Fuel Logistics'!L:L,'Fuel Logistics'!$C:$C,$E287,'Fuel Logistics'!$D:$D,$D287,'Fuel Logistics'!$E:$E,"Logistics total")*IF($C287="Electricity",1,1/INDEX('TCO - Input'!$R$291:$R$321,MATCH($C287,'TCO - Input'!$F$291:$F$4010,0)))*1000</f>
        <v>18.782608695652176</v>
      </c>
      <c r="O287" s="112">
        <f>SUMIFS('Fuel Logistics'!M:M,'Fuel Logistics'!$C:$C,$E287,'Fuel Logistics'!$D:$D,$D287,'Fuel Logistics'!$E:$E,"Logistics total")*IF($C287="Electricity",1,1/INDEX('TCO - Input'!$R$291:$R$321,MATCH($C287,'TCO - Input'!$F$291:$F$4010,0)))*1000</f>
        <v>18.782608695652176</v>
      </c>
      <c r="P287" s="112">
        <f>SUMIFS('Fuel Logistics'!N:N,'Fuel Logistics'!$C:$C,$E287,'Fuel Logistics'!$D:$D,$D287,'Fuel Logistics'!$E:$E,"Logistics total")*IF($C287="Electricity",1,1/INDEX('TCO - Input'!$R$291:$R$321,MATCH($C287,'TCO - Input'!$F$291:$F$4010,0)))*1000</f>
        <v>18.782608695652176</v>
      </c>
      <c r="Q287" s="112">
        <f>SUMIFS('Fuel Logistics'!O:O,'Fuel Logistics'!$C:$C,$E287,'Fuel Logistics'!$D:$D,$D287,'Fuel Logistics'!$E:$E,"Logistics total")*IF($C287="Electricity",1,1/INDEX('TCO - Input'!$R$291:$R$321,MATCH($C287,'TCO - Input'!$F$291:$F$4010,0)))*1000</f>
        <v>18.782608695652176</v>
      </c>
      <c r="R287" s="112">
        <f>SUMIFS('Fuel Logistics'!P:P,'Fuel Logistics'!$C:$C,$E287,'Fuel Logistics'!$D:$D,$D287,'Fuel Logistics'!$E:$E,"Logistics total")*IF($C287="Electricity",1,1/INDEX('TCO - Input'!$R$291:$R$321,MATCH($C287,'TCO - Input'!$F$291:$F$4010,0)))*1000</f>
        <v>18.782608695652176</v>
      </c>
      <c r="S287" s="112">
        <f>SUMIFS('Fuel Logistics'!Q:Q,'Fuel Logistics'!$C:$C,$E287,'Fuel Logistics'!$D:$D,$D287,'Fuel Logistics'!$E:$E,"Logistics total")*IF($C287="Electricity",1,1/INDEX('TCO - Input'!$R$291:$R$321,MATCH($C287,'TCO - Input'!$F$291:$F$4010,0)))*1000</f>
        <v>18.782608695652176</v>
      </c>
      <c r="T287" s="112">
        <f>SUMIFS('Fuel Logistics'!R:R,'Fuel Logistics'!$C:$C,$E287,'Fuel Logistics'!$D:$D,$D287,'Fuel Logistics'!$E:$E,"Logistics total")*IF($C287="Electricity",1,1/INDEX('TCO - Input'!$R$291:$R$321,MATCH($C287,'TCO - Input'!$F$291:$F$4010,0)))*1000</f>
        <v>18.782608695652176</v>
      </c>
      <c r="U287" s="112">
        <f>SUMIFS('Fuel Logistics'!S:S,'Fuel Logistics'!$C:$C,$E287,'Fuel Logistics'!$D:$D,$D287,'Fuel Logistics'!$E:$E,"Logistics total")*IF($C287="Electricity",1,1/INDEX('TCO - Input'!$R$291:$R$321,MATCH($C287,'TCO - Input'!$F$291:$F$4010,0)))*1000</f>
        <v>18.782608695652176</v>
      </c>
      <c r="V287" s="112">
        <f>SUMIFS('Fuel Logistics'!T:T,'Fuel Logistics'!$C:$C,$E287,'Fuel Logistics'!$D:$D,$D287,'Fuel Logistics'!$E:$E,"Logistics total")*IF($C287="Electricity",1,1/INDEX('TCO - Input'!$R$291:$R$321,MATCH($C287,'TCO - Input'!$F$291:$F$4010,0)))*1000</f>
        <v>18.782608695652176</v>
      </c>
    </row>
    <row r="288" spans="1:22" x14ac:dyDescent="0.2">
      <c r="A288" s="29">
        <f t="shared" si="171"/>
        <v>5</v>
      </c>
      <c r="B288" s="334" t="str">
        <f t="shared" si="168"/>
        <v>e-Ammonia - Americas - Logistics cost - USD/GJ</v>
      </c>
      <c r="C288" t="str" cm="1">
        <f t="array" ref="C288">INDEX(list_AE_fuel,A288)</f>
        <v>e-Ammonia</v>
      </c>
      <c r="D288" t="str">
        <f>INDEX('Configurator Specs.'!$AH:$AH,MATCH($C288,'Configurator Specs.'!$AE:$AE,0))</f>
        <v>Ammonia</v>
      </c>
      <c r="E288" t="str">
        <f t="shared" si="170"/>
        <v>Americas</v>
      </c>
      <c r="F288" t="str">
        <f t="shared" si="169"/>
        <v>Logistics cost - USD/GJ</v>
      </c>
      <c r="G288" s="226"/>
      <c r="H288" s="128"/>
      <c r="I288" t="s">
        <v>324</v>
      </c>
      <c r="K288" s="112">
        <f>SUMIFS('Fuel Logistics'!I:I,'Fuel Logistics'!$C:$C,$E288,'Fuel Logistics'!$D:$D,$D288,'Fuel Logistics'!$E:$E,"Logistics total")*IF($C288="Electricity",1,1/INDEX('TCO - Input'!$R$291:$R$321,MATCH($C288,'TCO - Input'!$F$291:$F$4010,0)))*1000</f>
        <v>1.1340386603017552</v>
      </c>
      <c r="L288" s="112">
        <f>SUMIFS('Fuel Logistics'!J:J,'Fuel Logistics'!$C:$C,$E288,'Fuel Logistics'!$D:$D,$D288,'Fuel Logistics'!$E:$E,"Logistics total")*IF($C288="Electricity",1,1/INDEX('TCO - Input'!$R$291:$R$321,MATCH($C288,'TCO - Input'!$F$291:$F$4010,0)))*1000</f>
        <v>1.1301592669817255</v>
      </c>
      <c r="M288" s="112">
        <f>SUMIFS('Fuel Logistics'!K:K,'Fuel Logistics'!$C:$C,$E288,'Fuel Logistics'!$D:$D,$D288,'Fuel Logistics'!$E:$E,"Logistics total")*IF($C288="Electricity",1,1/INDEX('TCO - Input'!$R$291:$R$321,MATCH($C288,'TCO - Input'!$F$291:$F$4010,0)))*1000</f>
        <v>1.1236015689233316</v>
      </c>
      <c r="N288" s="112">
        <f>SUMIFS('Fuel Logistics'!L:L,'Fuel Logistics'!$C:$C,$E288,'Fuel Logistics'!$D:$D,$D288,'Fuel Logistics'!$E:$E,"Logistics total")*IF($C288="Electricity",1,1/INDEX('TCO - Input'!$R$291:$R$321,MATCH($C288,'TCO - Input'!$F$291:$F$4010,0)))*1000</f>
        <v>1.1204458471758449</v>
      </c>
      <c r="O288" s="112">
        <f>SUMIFS('Fuel Logistics'!M:M,'Fuel Logistics'!$C:$C,$E288,'Fuel Logistics'!$D:$D,$D288,'Fuel Logistics'!$E:$E,"Logistics total")*IF($C288="Electricity",1,1/INDEX('TCO - Input'!$R$291:$R$321,MATCH($C288,'TCO - Input'!$F$291:$F$4010,0)))*1000</f>
        <v>1.1178877415036732</v>
      </c>
      <c r="P288" s="112">
        <f>SUMIFS('Fuel Logistics'!N:N,'Fuel Logistics'!$C:$C,$E288,'Fuel Logistics'!$D:$D,$D288,'Fuel Logistics'!$E:$E,"Logistics total")*IF($C288="Electricity",1,1/INDEX('TCO - Input'!$R$291:$R$321,MATCH($C288,'TCO - Input'!$F$291:$F$4010,0)))*1000</f>
        <v>1.1168571621471093</v>
      </c>
      <c r="Q288" s="112">
        <f>SUMIFS('Fuel Logistics'!O:O,'Fuel Logistics'!$C:$C,$E288,'Fuel Logistics'!$D:$D,$D288,'Fuel Logistics'!$E:$E,"Logistics total")*IF($C288="Electricity",1,1/INDEX('TCO - Input'!$R$291:$R$321,MATCH($C288,'TCO - Input'!$F$291:$F$4010,0)))*1000</f>
        <v>1.1160796629675318</v>
      </c>
      <c r="R288" s="112">
        <f>SUMIFS('Fuel Logistics'!P:P,'Fuel Logistics'!$C:$C,$E288,'Fuel Logistics'!$D:$D,$D288,'Fuel Logistics'!$E:$E,"Logistics total")*IF($C288="Electricity",1,1/INDEX('TCO - Input'!$R$291:$R$321,MATCH($C288,'TCO - Input'!$F$291:$F$4010,0)))*1000</f>
        <v>1.1160796629675318</v>
      </c>
      <c r="S288" s="112">
        <f>SUMIFS('Fuel Logistics'!Q:Q,'Fuel Logistics'!$C:$C,$E288,'Fuel Logistics'!$D:$D,$D288,'Fuel Logistics'!$E:$E,"Logistics total")*IF($C288="Electricity",1,1/INDEX('TCO - Input'!$R$291:$R$321,MATCH($C288,'TCO - Input'!$F$291:$F$4010,0)))*1000</f>
        <v>1.1160796629675318</v>
      </c>
      <c r="T288" s="112">
        <f>SUMIFS('Fuel Logistics'!R:R,'Fuel Logistics'!$C:$C,$E288,'Fuel Logistics'!$D:$D,$D288,'Fuel Logistics'!$E:$E,"Logistics total")*IF($C288="Electricity",1,1/INDEX('TCO - Input'!$R$291:$R$321,MATCH($C288,'TCO - Input'!$F$291:$F$4010,0)))*1000</f>
        <v>1.1160796629675318</v>
      </c>
      <c r="U288" s="112">
        <f>SUMIFS('Fuel Logistics'!S:S,'Fuel Logistics'!$C:$C,$E288,'Fuel Logistics'!$D:$D,$D288,'Fuel Logistics'!$E:$E,"Logistics total")*IF($C288="Electricity",1,1/INDEX('TCO - Input'!$R$291:$R$321,MATCH($C288,'TCO - Input'!$F$291:$F$4010,0)))*1000</f>
        <v>1.1160796629675318</v>
      </c>
      <c r="V288" s="112">
        <f>SUMIFS('Fuel Logistics'!T:T,'Fuel Logistics'!$C:$C,$E288,'Fuel Logistics'!$D:$D,$D288,'Fuel Logistics'!$E:$E,"Logistics total")*IF($C288="Electricity",1,1/INDEX('TCO - Input'!$R$291:$R$321,MATCH($C288,'TCO - Input'!$F$291:$F$4010,0)))*1000</f>
        <v>1.1160796629675318</v>
      </c>
    </row>
    <row r="289" spans="1:22" x14ac:dyDescent="0.2">
      <c r="A289" s="29">
        <f t="shared" si="171"/>
        <v>6</v>
      </c>
      <c r="B289" s="334" t="str">
        <f t="shared" si="168"/>
        <v>Blue ammonia - Americas - Logistics cost - USD/GJ</v>
      </c>
      <c r="C289" t="str" cm="1">
        <f t="array" ref="C289">INDEX(list_AE_fuel,A289)</f>
        <v>Blue ammonia</v>
      </c>
      <c r="D289" t="str">
        <f>INDEX('Configurator Specs.'!$AH:$AH,MATCH($C289,'Configurator Specs.'!$AE:$AE,0))</f>
        <v>Ammonia</v>
      </c>
      <c r="E289" t="str">
        <f t="shared" si="170"/>
        <v>Americas</v>
      </c>
      <c r="F289" t="str">
        <f t="shared" si="169"/>
        <v>Logistics cost - USD/GJ</v>
      </c>
      <c r="G289" s="226"/>
      <c r="H289" s="128"/>
      <c r="I289" t="s">
        <v>324</v>
      </c>
      <c r="K289" s="112">
        <f>SUMIFS('Fuel Logistics'!I:I,'Fuel Logistics'!$C:$C,$E289,'Fuel Logistics'!$D:$D,$D289,'Fuel Logistics'!$E:$E,"Logistics total")*IF($C289="Electricity",1,1/INDEX('TCO - Input'!$R$291:$R$321,MATCH($C289,'TCO - Input'!$F$291:$F$4010,0)))*1000</f>
        <v>1.1340386603017552</v>
      </c>
      <c r="L289" s="112">
        <f>SUMIFS('Fuel Logistics'!J:J,'Fuel Logistics'!$C:$C,$E289,'Fuel Logistics'!$D:$D,$D289,'Fuel Logistics'!$E:$E,"Logistics total")*IF($C289="Electricity",1,1/INDEX('TCO - Input'!$R$291:$R$321,MATCH($C289,'TCO - Input'!$F$291:$F$4010,0)))*1000</f>
        <v>1.1301592669817255</v>
      </c>
      <c r="M289" s="112">
        <f>SUMIFS('Fuel Logistics'!K:K,'Fuel Logistics'!$C:$C,$E289,'Fuel Logistics'!$D:$D,$D289,'Fuel Logistics'!$E:$E,"Logistics total")*IF($C289="Electricity",1,1/INDEX('TCO - Input'!$R$291:$R$321,MATCH($C289,'TCO - Input'!$F$291:$F$4010,0)))*1000</f>
        <v>1.1236015689233316</v>
      </c>
      <c r="N289" s="112">
        <f>SUMIFS('Fuel Logistics'!L:L,'Fuel Logistics'!$C:$C,$E289,'Fuel Logistics'!$D:$D,$D289,'Fuel Logistics'!$E:$E,"Logistics total")*IF($C289="Electricity",1,1/INDEX('TCO - Input'!$R$291:$R$321,MATCH($C289,'TCO - Input'!$F$291:$F$4010,0)))*1000</f>
        <v>1.1204458471758449</v>
      </c>
      <c r="O289" s="112">
        <f>SUMIFS('Fuel Logistics'!M:M,'Fuel Logistics'!$C:$C,$E289,'Fuel Logistics'!$D:$D,$D289,'Fuel Logistics'!$E:$E,"Logistics total")*IF($C289="Electricity",1,1/INDEX('TCO - Input'!$R$291:$R$321,MATCH($C289,'TCO - Input'!$F$291:$F$4010,0)))*1000</f>
        <v>1.1178877415036732</v>
      </c>
      <c r="P289" s="112">
        <f>SUMIFS('Fuel Logistics'!N:N,'Fuel Logistics'!$C:$C,$E289,'Fuel Logistics'!$D:$D,$D289,'Fuel Logistics'!$E:$E,"Logistics total")*IF($C289="Electricity",1,1/INDEX('TCO - Input'!$R$291:$R$321,MATCH($C289,'TCO - Input'!$F$291:$F$4010,0)))*1000</f>
        <v>1.1168571621471093</v>
      </c>
      <c r="Q289" s="112">
        <f>SUMIFS('Fuel Logistics'!O:O,'Fuel Logistics'!$C:$C,$E289,'Fuel Logistics'!$D:$D,$D289,'Fuel Logistics'!$E:$E,"Logistics total")*IF($C289="Electricity",1,1/INDEX('TCO - Input'!$R$291:$R$321,MATCH($C289,'TCO - Input'!$F$291:$F$4010,0)))*1000</f>
        <v>1.1160796629675318</v>
      </c>
      <c r="R289" s="112">
        <f>SUMIFS('Fuel Logistics'!P:P,'Fuel Logistics'!$C:$C,$E289,'Fuel Logistics'!$D:$D,$D289,'Fuel Logistics'!$E:$E,"Logistics total")*IF($C289="Electricity",1,1/INDEX('TCO - Input'!$R$291:$R$321,MATCH($C289,'TCO - Input'!$F$291:$F$4010,0)))*1000</f>
        <v>1.1160796629675318</v>
      </c>
      <c r="S289" s="112">
        <f>SUMIFS('Fuel Logistics'!Q:Q,'Fuel Logistics'!$C:$C,$E289,'Fuel Logistics'!$D:$D,$D289,'Fuel Logistics'!$E:$E,"Logistics total")*IF($C289="Electricity",1,1/INDEX('TCO - Input'!$R$291:$R$321,MATCH($C289,'TCO - Input'!$F$291:$F$4010,0)))*1000</f>
        <v>1.1160796629675318</v>
      </c>
      <c r="T289" s="112">
        <f>SUMIFS('Fuel Logistics'!R:R,'Fuel Logistics'!$C:$C,$E289,'Fuel Logistics'!$D:$D,$D289,'Fuel Logistics'!$E:$E,"Logistics total")*IF($C289="Electricity",1,1/INDEX('TCO - Input'!$R$291:$R$321,MATCH($C289,'TCO - Input'!$F$291:$F$4010,0)))*1000</f>
        <v>1.1160796629675318</v>
      </c>
      <c r="U289" s="112">
        <f>SUMIFS('Fuel Logistics'!S:S,'Fuel Logistics'!$C:$C,$E289,'Fuel Logistics'!$D:$D,$D289,'Fuel Logistics'!$E:$E,"Logistics total")*IF($C289="Electricity",1,1/INDEX('TCO - Input'!$R$291:$R$321,MATCH($C289,'TCO - Input'!$F$291:$F$4010,0)))*1000</f>
        <v>1.1160796629675318</v>
      </c>
      <c r="V289" s="112">
        <f>SUMIFS('Fuel Logistics'!T:T,'Fuel Logistics'!$C:$C,$E289,'Fuel Logistics'!$D:$D,$D289,'Fuel Logistics'!$E:$E,"Logistics total")*IF($C289="Electricity",1,1/INDEX('TCO - Input'!$R$291:$R$321,MATCH($C289,'TCO - Input'!$F$291:$F$4010,0)))*1000</f>
        <v>1.1160796629675318</v>
      </c>
    </row>
    <row r="290" spans="1:22" x14ac:dyDescent="0.2">
      <c r="A290" s="29">
        <f t="shared" si="171"/>
        <v>7</v>
      </c>
      <c r="B290" s="334" t="str">
        <f t="shared" si="168"/>
        <v>Biomethane - Americas - Logistics cost - USD/GJ</v>
      </c>
      <c r="C290" t="str" cm="1">
        <f t="array" ref="C290">INDEX(list_AE_fuel,A290)</f>
        <v>Biomethane</v>
      </c>
      <c r="D290" t="str">
        <f>INDEX('Configurator Specs.'!$AH:$AH,MATCH($C290,'Configurator Specs.'!$AE:$AE,0))</f>
        <v>Biomethane</v>
      </c>
      <c r="E290" t="str">
        <f t="shared" si="170"/>
        <v>Americas</v>
      </c>
      <c r="F290" t="str">
        <f t="shared" si="169"/>
        <v>Logistics cost - USD/GJ</v>
      </c>
      <c r="G290"/>
      <c r="H290" s="128"/>
      <c r="I290" t="s">
        <v>324</v>
      </c>
      <c r="K290" s="112">
        <f>SUMIFS('Fuel Logistics'!I:I,'Fuel Logistics'!$C:$C,$E290,'Fuel Logistics'!$D:$D,$D290,'Fuel Logistics'!$E:$E,"Logistics total")*IF($C290="Electricity",1,1/INDEX('TCO - Input'!$R$291:$R$321,MATCH($C290,'TCO - Input'!$F$291:$F$4010,0)))*1000</f>
        <v>1.1147010704778171</v>
      </c>
      <c r="L290" s="112">
        <f>SUMIFS('Fuel Logistics'!J:J,'Fuel Logistics'!$C:$C,$E290,'Fuel Logistics'!$D:$D,$D290,'Fuel Logistics'!$E:$E,"Logistics total")*IF($C290="Electricity",1,1/INDEX('TCO - Input'!$R$291:$R$321,MATCH($C290,'TCO - Input'!$F$291:$F$4010,0)))*1000</f>
        <v>1.1139403990356256</v>
      </c>
      <c r="M290" s="112">
        <f>SUMIFS('Fuel Logistics'!K:K,'Fuel Logistics'!$C:$C,$E290,'Fuel Logistics'!$D:$D,$D290,'Fuel Logistics'!$E:$E,"Logistics total")*IF($C290="Electricity",1,1/INDEX('TCO - Input'!$R$291:$R$321,MATCH($C290,'TCO - Input'!$F$291:$F$4010,0)))*1000</f>
        <v>1.1126545656003357</v>
      </c>
      <c r="N290" s="112">
        <f>SUMIFS('Fuel Logistics'!L:L,'Fuel Logistics'!$C:$C,$E290,'Fuel Logistics'!$D:$D,$D290,'Fuel Logistics'!$E:$E,"Logistics total")*IF($C290="Electricity",1,1/INDEX('TCO - Input'!$R$291:$R$321,MATCH($C290,'TCO - Input'!$F$291:$F$4010,0)))*1000</f>
        <v>1.1120357916800887</v>
      </c>
      <c r="O290" s="112">
        <f>SUMIFS('Fuel Logistics'!M:M,'Fuel Logistics'!$C:$C,$E290,'Fuel Logistics'!$D:$D,$D290,'Fuel Logistics'!$E:$E,"Logistics total")*IF($C290="Electricity",1,1/INDEX('TCO - Input'!$R$291:$R$321,MATCH($C290,'TCO - Input'!$F$291:$F$4010,0)))*1000</f>
        <v>1.1115341983198892</v>
      </c>
      <c r="P290" s="112">
        <f>SUMIFS('Fuel Logistics'!N:N,'Fuel Logistics'!$C:$C,$E290,'Fuel Logistics'!$D:$D,$D290,'Fuel Logistics'!$E:$E,"Logistics total")*IF($C290="Electricity",1,1/INDEX('TCO - Input'!$R$291:$R$321,MATCH($C290,'TCO - Input'!$F$291:$F$4010,0)))*1000</f>
        <v>1.1113321223196539</v>
      </c>
      <c r="Q290" s="112">
        <f>SUMIFS('Fuel Logistics'!O:O,'Fuel Logistics'!$C:$C,$E290,'Fuel Logistics'!$D:$D,$D290,'Fuel Logistics'!$E:$E,"Logistics total")*IF($C290="Electricity",1,1/INDEX('TCO - Input'!$R$291:$R$321,MATCH($C290,'TCO - Input'!$F$291:$F$4010,0)))*1000</f>
        <v>1.1111796702805223</v>
      </c>
      <c r="R290" s="112">
        <f>SUMIFS('Fuel Logistics'!P:P,'Fuel Logistics'!$C:$C,$E290,'Fuel Logistics'!$D:$D,$D290,'Fuel Logistics'!$E:$E,"Logistics total")*IF($C290="Electricity",1,1/INDEX('TCO - Input'!$R$291:$R$321,MATCH($C290,'TCO - Input'!$F$291:$F$4010,0)))*1000</f>
        <v>1.1111796702805223</v>
      </c>
      <c r="S290" s="112">
        <f>SUMIFS('Fuel Logistics'!Q:Q,'Fuel Logistics'!$C:$C,$E290,'Fuel Logistics'!$D:$D,$D290,'Fuel Logistics'!$E:$E,"Logistics total")*IF($C290="Electricity",1,1/INDEX('TCO - Input'!$R$291:$R$321,MATCH($C290,'TCO - Input'!$F$291:$F$4010,0)))*1000</f>
        <v>1.1111796702805223</v>
      </c>
      <c r="T290" s="112">
        <f>SUMIFS('Fuel Logistics'!R:R,'Fuel Logistics'!$C:$C,$E290,'Fuel Logistics'!$D:$D,$D290,'Fuel Logistics'!$E:$E,"Logistics total")*IF($C290="Electricity",1,1/INDEX('TCO - Input'!$R$291:$R$321,MATCH($C290,'TCO - Input'!$F$291:$F$4010,0)))*1000</f>
        <v>1.1111796702805223</v>
      </c>
      <c r="U290" s="112">
        <f>SUMIFS('Fuel Logistics'!S:S,'Fuel Logistics'!$C:$C,$E290,'Fuel Logistics'!$D:$D,$D290,'Fuel Logistics'!$E:$E,"Logistics total")*IF($C290="Electricity",1,1/INDEX('TCO - Input'!$R$291:$R$321,MATCH($C290,'TCO - Input'!$F$291:$F$4010,0)))*1000</f>
        <v>1.1111796702805223</v>
      </c>
      <c r="V290" s="112">
        <f>SUMIFS('Fuel Logistics'!T:T,'Fuel Logistics'!$C:$C,$E290,'Fuel Logistics'!$D:$D,$D290,'Fuel Logistics'!$E:$E,"Logistics total")*IF($C290="Electricity",1,1/INDEX('TCO - Input'!$R$291:$R$321,MATCH($C290,'TCO - Input'!$F$291:$F$4010,0)))*1000</f>
        <v>1.1111796702805223</v>
      </c>
    </row>
    <row r="291" spans="1:22" x14ac:dyDescent="0.2">
      <c r="A291" s="29">
        <f t="shared" si="171"/>
        <v>8</v>
      </c>
      <c r="B291" s="334" t="str">
        <f t="shared" si="168"/>
        <v>e-Methane (DAC) - Americas - Logistics cost - USD/GJ</v>
      </c>
      <c r="C291" t="str" cm="1">
        <f t="array" ref="C291">INDEX(list_AE_fuel,A291)</f>
        <v>e-Methane (DAC)</v>
      </c>
      <c r="D291" t="str">
        <f>INDEX('Configurator Specs.'!$AH:$AH,MATCH($C291,'Configurator Specs.'!$AE:$AE,0))</f>
        <v>LNG &amp; e-Methane</v>
      </c>
      <c r="E291" t="str">
        <f t="shared" si="170"/>
        <v>Americas</v>
      </c>
      <c r="F291" t="str">
        <f t="shared" si="169"/>
        <v>Logistics cost - USD/GJ</v>
      </c>
      <c r="G291" s="226"/>
      <c r="H291" s="128"/>
      <c r="I291" t="s">
        <v>324</v>
      </c>
      <c r="K291" s="112">
        <f>SUMIFS('Fuel Logistics'!I:I,'Fuel Logistics'!$C:$C,$E291,'Fuel Logistics'!$D:$D,$D291,'Fuel Logistics'!$E:$E,"Logistics total")*IF($C291="Electricity",1,1/INDEX('TCO - Input'!$R$291:$R$321,MATCH($C291,'TCO - Input'!$F$291:$F$4010,0)))*1000</f>
        <v>0.82115899611382515</v>
      </c>
      <c r="L291" s="112">
        <f>SUMIFS('Fuel Logistics'!J:J,'Fuel Logistics'!$C:$C,$E291,'Fuel Logistics'!$D:$D,$D291,'Fuel Logistics'!$E:$E,"Logistics total")*IF($C291="Electricity",1,1/INDEX('TCO - Input'!$R$291:$R$321,MATCH($C291,'TCO - Input'!$F$291:$F$4010,0)))*1000</f>
        <v>0.82039832467163365</v>
      </c>
      <c r="M291" s="112">
        <f>SUMIFS('Fuel Logistics'!K:K,'Fuel Logistics'!$C:$C,$E291,'Fuel Logistics'!$D:$D,$D291,'Fuel Logistics'!$E:$E,"Logistics total")*IF($C291="Electricity",1,1/INDEX('TCO - Input'!$R$291:$R$321,MATCH($C291,'TCO - Input'!$F$291:$F$4010,0)))*1000</f>
        <v>0.81911249123634366</v>
      </c>
      <c r="N291" s="112">
        <f>SUMIFS('Fuel Logistics'!L:L,'Fuel Logistics'!$C:$C,$E291,'Fuel Logistics'!$D:$D,$D291,'Fuel Logistics'!$E:$E,"Logistics total")*IF($C291="Electricity",1,1/INDEX('TCO - Input'!$R$291:$R$321,MATCH($C291,'TCO - Input'!$F$291:$F$4010,0)))*1000</f>
        <v>0.81849371731609655</v>
      </c>
      <c r="O291" s="112">
        <f>SUMIFS('Fuel Logistics'!M:M,'Fuel Logistics'!$C:$C,$E291,'Fuel Logistics'!$D:$D,$D291,'Fuel Logistics'!$E:$E,"Logistics total")*IF($C291="Electricity",1,1/INDEX('TCO - Input'!$R$291:$R$321,MATCH($C291,'TCO - Input'!$F$291:$F$4010,0)))*1000</f>
        <v>0.81799212395589715</v>
      </c>
      <c r="P291" s="112">
        <f>SUMIFS('Fuel Logistics'!N:N,'Fuel Logistics'!$C:$C,$E291,'Fuel Logistics'!$D:$D,$D291,'Fuel Logistics'!$E:$E,"Logistics total")*IF($C291="Electricity",1,1/INDEX('TCO - Input'!$R$291:$R$321,MATCH($C291,'TCO - Input'!$F$291:$F$4010,0)))*1000</f>
        <v>0.81779004795566201</v>
      </c>
      <c r="Q291" s="112">
        <f>SUMIFS('Fuel Logistics'!O:O,'Fuel Logistics'!$C:$C,$E291,'Fuel Logistics'!$D:$D,$D291,'Fuel Logistics'!$E:$E,"Logistics total")*IF($C291="Electricity",1,1/INDEX('TCO - Input'!$R$291:$R$321,MATCH($C291,'TCO - Input'!$F$291:$F$4010,0)))*1000</f>
        <v>0.81763759591653051</v>
      </c>
      <c r="R291" s="112">
        <f>SUMIFS('Fuel Logistics'!P:P,'Fuel Logistics'!$C:$C,$E291,'Fuel Logistics'!$D:$D,$D291,'Fuel Logistics'!$E:$E,"Logistics total")*IF($C291="Electricity",1,1/INDEX('TCO - Input'!$R$291:$R$321,MATCH($C291,'TCO - Input'!$F$291:$F$4010,0)))*1000</f>
        <v>0.81763759591653051</v>
      </c>
      <c r="S291" s="112">
        <f>SUMIFS('Fuel Logistics'!Q:Q,'Fuel Logistics'!$C:$C,$E291,'Fuel Logistics'!$D:$D,$D291,'Fuel Logistics'!$E:$E,"Logistics total")*IF($C291="Electricity",1,1/INDEX('TCO - Input'!$R$291:$R$321,MATCH($C291,'TCO - Input'!$F$291:$F$4010,0)))*1000</f>
        <v>0.81763759591653051</v>
      </c>
      <c r="T291" s="112">
        <f>SUMIFS('Fuel Logistics'!R:R,'Fuel Logistics'!$C:$C,$E291,'Fuel Logistics'!$D:$D,$D291,'Fuel Logistics'!$E:$E,"Logistics total")*IF($C291="Electricity",1,1/INDEX('TCO - Input'!$R$291:$R$321,MATCH($C291,'TCO - Input'!$F$291:$F$4010,0)))*1000</f>
        <v>0.81763759591653051</v>
      </c>
      <c r="U291" s="112">
        <f>SUMIFS('Fuel Logistics'!S:S,'Fuel Logistics'!$C:$C,$E291,'Fuel Logistics'!$D:$D,$D291,'Fuel Logistics'!$E:$E,"Logistics total")*IF($C291="Electricity",1,1/INDEX('TCO - Input'!$R$291:$R$321,MATCH($C291,'TCO - Input'!$F$291:$F$4010,0)))*1000</f>
        <v>0.81763759591653051</v>
      </c>
      <c r="V291" s="112">
        <f>SUMIFS('Fuel Logistics'!T:T,'Fuel Logistics'!$C:$C,$E291,'Fuel Logistics'!$D:$D,$D291,'Fuel Logistics'!$E:$E,"Logistics total")*IF($C291="Electricity",1,1/INDEX('TCO - Input'!$R$291:$R$321,MATCH($C291,'TCO - Input'!$F$291:$F$4010,0)))*1000</f>
        <v>0.81763759591653051</v>
      </c>
    </row>
    <row r="292" spans="1:22" x14ac:dyDescent="0.2">
      <c r="A292" s="29">
        <f t="shared" si="171"/>
        <v>9</v>
      </c>
      <c r="B292" s="334" t="str">
        <f t="shared" si="168"/>
        <v>e-Methane (PS) - Americas - Logistics cost - USD/GJ</v>
      </c>
      <c r="C292" t="str" cm="1">
        <f t="array" ref="C292">INDEX(list_AE_fuel,A292)</f>
        <v>e-Methane (PS)</v>
      </c>
      <c r="D292" t="str">
        <f>INDEX('Configurator Specs.'!$AH:$AH,MATCH($C292,'Configurator Specs.'!$AE:$AE,0))</f>
        <v>LNG &amp; e-Methane</v>
      </c>
      <c r="E292" t="str">
        <f t="shared" si="170"/>
        <v>Americas</v>
      </c>
      <c r="F292" t="str">
        <f t="shared" si="169"/>
        <v>Logistics cost - USD/GJ</v>
      </c>
      <c r="G292" s="226"/>
      <c r="H292" s="128"/>
      <c r="I292" t="s">
        <v>324</v>
      </c>
      <c r="K292" s="112">
        <f>SUMIFS('Fuel Logistics'!I:I,'Fuel Logistics'!$C:$C,$E292,'Fuel Logistics'!$D:$D,$D292,'Fuel Logistics'!$E:$E,"Logistics total")*IF($C292="Electricity",1,1/INDEX('TCO - Input'!$R$291:$R$321,MATCH($C292,'TCO - Input'!$F$291:$F$4010,0)))*1000</f>
        <v>0.82115899611382515</v>
      </c>
      <c r="L292" s="112">
        <f>SUMIFS('Fuel Logistics'!J:J,'Fuel Logistics'!$C:$C,$E292,'Fuel Logistics'!$D:$D,$D292,'Fuel Logistics'!$E:$E,"Logistics total")*IF($C292="Electricity",1,1/INDEX('TCO - Input'!$R$291:$R$321,MATCH($C292,'TCO - Input'!$F$291:$F$4010,0)))*1000</f>
        <v>0.82039832467163365</v>
      </c>
      <c r="M292" s="112">
        <f>SUMIFS('Fuel Logistics'!K:K,'Fuel Logistics'!$C:$C,$E292,'Fuel Logistics'!$D:$D,$D292,'Fuel Logistics'!$E:$E,"Logistics total")*IF($C292="Electricity",1,1/INDEX('TCO - Input'!$R$291:$R$321,MATCH($C292,'TCO - Input'!$F$291:$F$4010,0)))*1000</f>
        <v>0.81911249123634366</v>
      </c>
      <c r="N292" s="112">
        <f>SUMIFS('Fuel Logistics'!L:L,'Fuel Logistics'!$C:$C,$E292,'Fuel Logistics'!$D:$D,$D292,'Fuel Logistics'!$E:$E,"Logistics total")*IF($C292="Electricity",1,1/INDEX('TCO - Input'!$R$291:$R$321,MATCH($C292,'TCO - Input'!$F$291:$F$4010,0)))*1000</f>
        <v>0.81849371731609655</v>
      </c>
      <c r="O292" s="112">
        <f>SUMIFS('Fuel Logistics'!M:M,'Fuel Logistics'!$C:$C,$E292,'Fuel Logistics'!$D:$D,$D292,'Fuel Logistics'!$E:$E,"Logistics total")*IF($C292="Electricity",1,1/INDEX('TCO - Input'!$R$291:$R$321,MATCH($C292,'TCO - Input'!$F$291:$F$4010,0)))*1000</f>
        <v>0.81799212395589715</v>
      </c>
      <c r="P292" s="112">
        <f>SUMIFS('Fuel Logistics'!N:N,'Fuel Logistics'!$C:$C,$E292,'Fuel Logistics'!$D:$D,$D292,'Fuel Logistics'!$E:$E,"Logistics total")*IF($C292="Electricity",1,1/INDEX('TCO - Input'!$R$291:$R$321,MATCH($C292,'TCO - Input'!$F$291:$F$4010,0)))*1000</f>
        <v>0.81779004795566201</v>
      </c>
      <c r="Q292" s="112">
        <f>SUMIFS('Fuel Logistics'!O:O,'Fuel Logistics'!$C:$C,$E292,'Fuel Logistics'!$D:$D,$D292,'Fuel Logistics'!$E:$E,"Logistics total")*IF($C292="Electricity",1,1/INDEX('TCO - Input'!$R$291:$R$321,MATCH($C292,'TCO - Input'!$F$291:$F$4010,0)))*1000</f>
        <v>0.81763759591653051</v>
      </c>
      <c r="R292" s="112">
        <f>SUMIFS('Fuel Logistics'!P:P,'Fuel Logistics'!$C:$C,$E292,'Fuel Logistics'!$D:$D,$D292,'Fuel Logistics'!$E:$E,"Logistics total")*IF($C292="Electricity",1,1/INDEX('TCO - Input'!$R$291:$R$321,MATCH($C292,'TCO - Input'!$F$291:$F$4010,0)))*1000</f>
        <v>0.81763759591653051</v>
      </c>
      <c r="S292" s="112">
        <f>SUMIFS('Fuel Logistics'!Q:Q,'Fuel Logistics'!$C:$C,$E292,'Fuel Logistics'!$D:$D,$D292,'Fuel Logistics'!$E:$E,"Logistics total")*IF($C292="Electricity",1,1/INDEX('TCO - Input'!$R$291:$R$321,MATCH($C292,'TCO - Input'!$F$291:$F$4010,0)))*1000</f>
        <v>0.81763759591653051</v>
      </c>
      <c r="T292" s="112">
        <f>SUMIFS('Fuel Logistics'!R:R,'Fuel Logistics'!$C:$C,$E292,'Fuel Logistics'!$D:$D,$D292,'Fuel Logistics'!$E:$E,"Logistics total")*IF($C292="Electricity",1,1/INDEX('TCO - Input'!$R$291:$R$321,MATCH($C292,'TCO - Input'!$F$291:$F$4010,0)))*1000</f>
        <v>0.81763759591653051</v>
      </c>
      <c r="U292" s="112">
        <f>SUMIFS('Fuel Logistics'!S:S,'Fuel Logistics'!$C:$C,$E292,'Fuel Logistics'!$D:$D,$D292,'Fuel Logistics'!$E:$E,"Logistics total")*IF($C292="Electricity",1,1/INDEX('TCO - Input'!$R$291:$R$321,MATCH($C292,'TCO - Input'!$F$291:$F$4010,0)))*1000</f>
        <v>0.81763759591653051</v>
      </c>
      <c r="V292" s="112">
        <f>SUMIFS('Fuel Logistics'!T:T,'Fuel Logistics'!$C:$C,$E292,'Fuel Logistics'!$D:$D,$D292,'Fuel Logistics'!$E:$E,"Logistics total")*IF($C292="Electricity",1,1/INDEX('TCO - Input'!$R$291:$R$321,MATCH($C292,'TCO - Input'!$F$291:$F$4010,0)))*1000</f>
        <v>0.81763759591653051</v>
      </c>
    </row>
    <row r="293" spans="1:22" x14ac:dyDescent="0.2">
      <c r="A293" s="29">
        <f t="shared" si="171"/>
        <v>10</v>
      </c>
      <c r="B293" s="334" t="str">
        <f t="shared" si="168"/>
        <v>Biomethanol - Americas - Logistics cost - USD/GJ</v>
      </c>
      <c r="C293" t="str" cm="1">
        <f t="array" ref="C293">INDEX(list_AE_fuel,A293)</f>
        <v>Biomethanol</v>
      </c>
      <c r="D293" t="str">
        <f>INDEX('Configurator Specs.'!$AH:$AH,MATCH($C293,'Configurator Specs.'!$AE:$AE,0))</f>
        <v>Biomethanol</v>
      </c>
      <c r="E293" t="str">
        <f t="shared" si="170"/>
        <v>Americas</v>
      </c>
      <c r="F293" t="str">
        <f t="shared" si="169"/>
        <v>Logistics cost - USD/GJ</v>
      </c>
      <c r="G293"/>
      <c r="H293" s="128"/>
      <c r="I293" t="s">
        <v>324</v>
      </c>
      <c r="K293" s="112">
        <f>SUMIFS('Fuel Logistics'!I:I,'Fuel Logistics'!$C:$C,$E293,'Fuel Logistics'!$D:$D,$D293,'Fuel Logistics'!$E:$E,"Logistics total")*IF($C293="Electricity",1,1/INDEX('TCO - Input'!$R$291:$R$321,MATCH($C293,'TCO - Input'!$F$291:$F$4010,0)))*1000</f>
        <v>0.92348069390817367</v>
      </c>
      <c r="L293" s="112">
        <f>SUMIFS('Fuel Logistics'!J:J,'Fuel Logistics'!$C:$C,$E293,'Fuel Logistics'!$D:$D,$D293,'Fuel Logistics'!$E:$E,"Logistics total")*IF($C293="Electricity",1,1/INDEX('TCO - Input'!$R$291:$R$321,MATCH($C293,'TCO - Input'!$F$291:$F$4010,0)))*1000</f>
        <v>0.92348069390817367</v>
      </c>
      <c r="M293" s="112">
        <f>SUMIFS('Fuel Logistics'!K:K,'Fuel Logistics'!$C:$C,$E293,'Fuel Logistics'!$D:$D,$D293,'Fuel Logistics'!$E:$E,"Logistics total")*IF($C293="Electricity",1,1/INDEX('TCO - Input'!$R$291:$R$321,MATCH($C293,'TCO - Input'!$F$291:$F$4010,0)))*1000</f>
        <v>0.92348069390817367</v>
      </c>
      <c r="N293" s="112">
        <f>SUMIFS('Fuel Logistics'!L:L,'Fuel Logistics'!$C:$C,$E293,'Fuel Logistics'!$D:$D,$D293,'Fuel Logistics'!$E:$E,"Logistics total")*IF($C293="Electricity",1,1/INDEX('TCO - Input'!$R$291:$R$321,MATCH($C293,'TCO - Input'!$F$291:$F$4010,0)))*1000</f>
        <v>0.92348069390817367</v>
      </c>
      <c r="O293" s="112">
        <f>SUMIFS('Fuel Logistics'!M:M,'Fuel Logistics'!$C:$C,$E293,'Fuel Logistics'!$D:$D,$D293,'Fuel Logistics'!$E:$E,"Logistics total")*IF($C293="Electricity",1,1/INDEX('TCO - Input'!$R$291:$R$321,MATCH($C293,'TCO - Input'!$F$291:$F$4010,0)))*1000</f>
        <v>0.92348069390817367</v>
      </c>
      <c r="P293" s="112">
        <f>SUMIFS('Fuel Logistics'!N:N,'Fuel Logistics'!$C:$C,$E293,'Fuel Logistics'!$D:$D,$D293,'Fuel Logistics'!$E:$E,"Logistics total")*IF($C293="Electricity",1,1/INDEX('TCO - Input'!$R$291:$R$321,MATCH($C293,'TCO - Input'!$F$291:$F$4010,0)))*1000</f>
        <v>0.92348069390817367</v>
      </c>
      <c r="Q293" s="112">
        <f>SUMIFS('Fuel Logistics'!O:O,'Fuel Logistics'!$C:$C,$E293,'Fuel Logistics'!$D:$D,$D293,'Fuel Logistics'!$E:$E,"Logistics total")*IF($C293="Electricity",1,1/INDEX('TCO - Input'!$R$291:$R$321,MATCH($C293,'TCO - Input'!$F$291:$F$4010,0)))*1000</f>
        <v>0.92348069390817367</v>
      </c>
      <c r="R293" s="112">
        <f>SUMIFS('Fuel Logistics'!P:P,'Fuel Logistics'!$C:$C,$E293,'Fuel Logistics'!$D:$D,$D293,'Fuel Logistics'!$E:$E,"Logistics total")*IF($C293="Electricity",1,1/INDEX('TCO - Input'!$R$291:$R$321,MATCH($C293,'TCO - Input'!$F$291:$F$4010,0)))*1000</f>
        <v>0.92348069390817367</v>
      </c>
      <c r="S293" s="112">
        <f>SUMIFS('Fuel Logistics'!Q:Q,'Fuel Logistics'!$C:$C,$E293,'Fuel Logistics'!$D:$D,$D293,'Fuel Logistics'!$E:$E,"Logistics total")*IF($C293="Electricity",1,1/INDEX('TCO - Input'!$R$291:$R$321,MATCH($C293,'TCO - Input'!$F$291:$F$4010,0)))*1000</f>
        <v>0.92348069390817367</v>
      </c>
      <c r="T293" s="112">
        <f>SUMIFS('Fuel Logistics'!R:R,'Fuel Logistics'!$C:$C,$E293,'Fuel Logistics'!$D:$D,$D293,'Fuel Logistics'!$E:$E,"Logistics total")*IF($C293="Electricity",1,1/INDEX('TCO - Input'!$R$291:$R$321,MATCH($C293,'TCO - Input'!$F$291:$F$4010,0)))*1000</f>
        <v>0.92348069390817367</v>
      </c>
      <c r="U293" s="112">
        <f>SUMIFS('Fuel Logistics'!S:S,'Fuel Logistics'!$C:$C,$E293,'Fuel Logistics'!$D:$D,$D293,'Fuel Logistics'!$E:$E,"Logistics total")*IF($C293="Electricity",1,1/INDEX('TCO - Input'!$R$291:$R$321,MATCH($C293,'TCO - Input'!$F$291:$F$4010,0)))*1000</f>
        <v>0.92348069390817367</v>
      </c>
      <c r="V293" s="112">
        <f>SUMIFS('Fuel Logistics'!T:T,'Fuel Logistics'!$C:$C,$E293,'Fuel Logistics'!$D:$D,$D293,'Fuel Logistics'!$E:$E,"Logistics total")*IF($C293="Electricity",1,1/INDEX('TCO - Input'!$R$291:$R$321,MATCH($C293,'TCO - Input'!$F$291:$F$4010,0)))*1000</f>
        <v>0.92348069390817367</v>
      </c>
    </row>
    <row r="294" spans="1:22" x14ac:dyDescent="0.2">
      <c r="A294" s="29">
        <f t="shared" si="171"/>
        <v>11</v>
      </c>
      <c r="B294" s="334" t="str">
        <f t="shared" si="168"/>
        <v>e-Methanol (DAC) - Americas - Logistics cost - USD/GJ</v>
      </c>
      <c r="C294" t="str" cm="1">
        <f t="array" ref="C294">INDEX(list_AE_fuel,A294)</f>
        <v>e-Methanol (DAC)</v>
      </c>
      <c r="D294" t="str">
        <f>INDEX('Configurator Specs.'!$AH:$AH,MATCH($C294,'Configurator Specs.'!$AE:$AE,0))</f>
        <v>Grey and e-Methanol</v>
      </c>
      <c r="E294" t="str">
        <f t="shared" si="170"/>
        <v>Americas</v>
      </c>
      <c r="F294" t="str">
        <f t="shared" si="169"/>
        <v>Logistics cost - USD/GJ</v>
      </c>
      <c r="G294"/>
      <c r="H294" s="128"/>
      <c r="I294" t="s">
        <v>324</v>
      </c>
      <c r="K294" s="112">
        <f>SUMIFS('Fuel Logistics'!I:I,'Fuel Logistics'!$C:$C,$E294,'Fuel Logistics'!$D:$D,$D294,'Fuel Logistics'!$E:$E,"Logistics total")*IF($C294="Electricity",1,1/INDEX('TCO - Input'!$R$291:$R$321,MATCH($C294,'TCO - Input'!$F$291:$F$4010,0)))*1000</f>
        <v>0.66273320386351287</v>
      </c>
      <c r="L294" s="112">
        <f>SUMIFS('Fuel Logistics'!J:J,'Fuel Logistics'!$C:$C,$E294,'Fuel Logistics'!$D:$D,$D294,'Fuel Logistics'!$E:$E,"Logistics total")*IF($C294="Electricity",1,1/INDEX('TCO - Input'!$R$291:$R$321,MATCH($C294,'TCO - Input'!$F$291:$F$4010,0)))*1000</f>
        <v>0.66273320386351287</v>
      </c>
      <c r="M294" s="112">
        <f>SUMIFS('Fuel Logistics'!K:K,'Fuel Logistics'!$C:$C,$E294,'Fuel Logistics'!$D:$D,$D294,'Fuel Logistics'!$E:$E,"Logistics total")*IF($C294="Electricity",1,1/INDEX('TCO - Input'!$R$291:$R$321,MATCH($C294,'TCO - Input'!$F$291:$F$4010,0)))*1000</f>
        <v>0.66273320386351287</v>
      </c>
      <c r="N294" s="112">
        <f>SUMIFS('Fuel Logistics'!L:L,'Fuel Logistics'!$C:$C,$E294,'Fuel Logistics'!$D:$D,$D294,'Fuel Logistics'!$E:$E,"Logistics total")*IF($C294="Electricity",1,1/INDEX('TCO - Input'!$R$291:$R$321,MATCH($C294,'TCO - Input'!$F$291:$F$4010,0)))*1000</f>
        <v>0.66273320386351287</v>
      </c>
      <c r="O294" s="112">
        <f>SUMIFS('Fuel Logistics'!M:M,'Fuel Logistics'!$C:$C,$E294,'Fuel Logistics'!$D:$D,$D294,'Fuel Logistics'!$E:$E,"Logistics total")*IF($C294="Electricity",1,1/INDEX('TCO - Input'!$R$291:$R$321,MATCH($C294,'TCO - Input'!$F$291:$F$4010,0)))*1000</f>
        <v>0.66273320386351287</v>
      </c>
      <c r="P294" s="112">
        <f>SUMIFS('Fuel Logistics'!N:N,'Fuel Logistics'!$C:$C,$E294,'Fuel Logistics'!$D:$D,$D294,'Fuel Logistics'!$E:$E,"Logistics total")*IF($C294="Electricity",1,1/INDEX('TCO - Input'!$R$291:$R$321,MATCH($C294,'TCO - Input'!$F$291:$F$4010,0)))*1000</f>
        <v>0.66273320386351287</v>
      </c>
      <c r="Q294" s="112">
        <f>SUMIFS('Fuel Logistics'!O:O,'Fuel Logistics'!$C:$C,$E294,'Fuel Logistics'!$D:$D,$D294,'Fuel Logistics'!$E:$E,"Logistics total")*IF($C294="Electricity",1,1/INDEX('TCO - Input'!$R$291:$R$321,MATCH($C294,'TCO - Input'!$F$291:$F$4010,0)))*1000</f>
        <v>0.66273320386351287</v>
      </c>
      <c r="R294" s="112">
        <f>SUMIFS('Fuel Logistics'!P:P,'Fuel Logistics'!$C:$C,$E294,'Fuel Logistics'!$D:$D,$D294,'Fuel Logistics'!$E:$E,"Logistics total")*IF($C294="Electricity",1,1/INDEX('TCO - Input'!$R$291:$R$321,MATCH($C294,'TCO - Input'!$F$291:$F$4010,0)))*1000</f>
        <v>0.66273320386351287</v>
      </c>
      <c r="S294" s="112">
        <f>SUMIFS('Fuel Logistics'!Q:Q,'Fuel Logistics'!$C:$C,$E294,'Fuel Logistics'!$D:$D,$D294,'Fuel Logistics'!$E:$E,"Logistics total")*IF($C294="Electricity",1,1/INDEX('TCO - Input'!$R$291:$R$321,MATCH($C294,'TCO - Input'!$F$291:$F$4010,0)))*1000</f>
        <v>0.66273320386351287</v>
      </c>
      <c r="T294" s="112">
        <f>SUMIFS('Fuel Logistics'!R:R,'Fuel Logistics'!$C:$C,$E294,'Fuel Logistics'!$D:$D,$D294,'Fuel Logistics'!$E:$E,"Logistics total")*IF($C294="Electricity",1,1/INDEX('TCO - Input'!$R$291:$R$321,MATCH($C294,'TCO - Input'!$F$291:$F$4010,0)))*1000</f>
        <v>0.66273320386351287</v>
      </c>
      <c r="U294" s="112">
        <f>SUMIFS('Fuel Logistics'!S:S,'Fuel Logistics'!$C:$C,$E294,'Fuel Logistics'!$D:$D,$D294,'Fuel Logistics'!$E:$E,"Logistics total")*IF($C294="Electricity",1,1/INDEX('TCO - Input'!$R$291:$R$321,MATCH($C294,'TCO - Input'!$F$291:$F$4010,0)))*1000</f>
        <v>0.66273320386351287</v>
      </c>
      <c r="V294" s="112">
        <f>SUMIFS('Fuel Logistics'!T:T,'Fuel Logistics'!$C:$C,$E294,'Fuel Logistics'!$D:$D,$D294,'Fuel Logistics'!$E:$E,"Logistics total")*IF($C294="Electricity",1,1/INDEX('TCO - Input'!$R$291:$R$321,MATCH($C294,'TCO - Input'!$F$291:$F$4010,0)))*1000</f>
        <v>0.66273320386351287</v>
      </c>
    </row>
    <row r="295" spans="1:22" x14ac:dyDescent="0.2">
      <c r="A295" s="29">
        <f t="shared" si="171"/>
        <v>12</v>
      </c>
      <c r="B295" s="334" t="str">
        <f t="shared" si="168"/>
        <v>e-Methanol (PS) - Americas - Logistics cost - USD/GJ</v>
      </c>
      <c r="C295" t="str" cm="1">
        <f t="array" ref="C295">INDEX(list_AE_fuel,A295)</f>
        <v>e-Methanol (PS)</v>
      </c>
      <c r="D295" t="str">
        <f>INDEX('Configurator Specs.'!$AH:$AH,MATCH($C295,'Configurator Specs.'!$AE:$AE,0))</f>
        <v>Grey and e-Methanol</v>
      </c>
      <c r="E295" t="str">
        <f>E294</f>
        <v>Americas</v>
      </c>
      <c r="F295" t="str">
        <f t="shared" si="169"/>
        <v>Logistics cost - USD/GJ</v>
      </c>
      <c r="G295"/>
      <c r="H295" s="128"/>
      <c r="I295" t="s">
        <v>324</v>
      </c>
      <c r="K295" s="112">
        <f>SUMIFS('Fuel Logistics'!I:I,'Fuel Logistics'!$C:$C,$E295,'Fuel Logistics'!$D:$D,$D295,'Fuel Logistics'!$E:$E,"Logistics total")*IF($C295="Electricity",1,1/INDEX('TCO - Input'!$R$291:$R$321,MATCH($C295,'TCO - Input'!$F$291:$F$4010,0)))*1000</f>
        <v>0.66273320386351287</v>
      </c>
      <c r="L295" s="112">
        <f>SUMIFS('Fuel Logistics'!J:J,'Fuel Logistics'!$C:$C,$E295,'Fuel Logistics'!$D:$D,$D295,'Fuel Logistics'!$E:$E,"Logistics total")*IF($C295="Electricity",1,1/INDEX('TCO - Input'!$R$291:$R$321,MATCH($C295,'TCO - Input'!$F$291:$F$4010,0)))*1000</f>
        <v>0.66273320386351287</v>
      </c>
      <c r="M295" s="112">
        <f>SUMIFS('Fuel Logistics'!K:K,'Fuel Logistics'!$C:$C,$E295,'Fuel Logistics'!$D:$D,$D295,'Fuel Logistics'!$E:$E,"Logistics total")*IF($C295="Electricity",1,1/INDEX('TCO - Input'!$R$291:$R$321,MATCH($C295,'TCO - Input'!$F$291:$F$4010,0)))*1000</f>
        <v>0.66273320386351287</v>
      </c>
      <c r="N295" s="112">
        <f>SUMIFS('Fuel Logistics'!L:L,'Fuel Logistics'!$C:$C,$E295,'Fuel Logistics'!$D:$D,$D295,'Fuel Logistics'!$E:$E,"Logistics total")*IF($C295="Electricity",1,1/INDEX('TCO - Input'!$R$291:$R$321,MATCH($C295,'TCO - Input'!$F$291:$F$4010,0)))*1000</f>
        <v>0.66273320386351287</v>
      </c>
      <c r="O295" s="112">
        <f>SUMIFS('Fuel Logistics'!M:M,'Fuel Logistics'!$C:$C,$E295,'Fuel Logistics'!$D:$D,$D295,'Fuel Logistics'!$E:$E,"Logistics total")*IF($C295="Electricity",1,1/INDEX('TCO - Input'!$R$291:$R$321,MATCH($C295,'TCO - Input'!$F$291:$F$4010,0)))*1000</f>
        <v>0.66273320386351287</v>
      </c>
      <c r="P295" s="112">
        <f>SUMIFS('Fuel Logistics'!N:N,'Fuel Logistics'!$C:$C,$E295,'Fuel Logistics'!$D:$D,$D295,'Fuel Logistics'!$E:$E,"Logistics total")*IF($C295="Electricity",1,1/INDEX('TCO - Input'!$R$291:$R$321,MATCH($C295,'TCO - Input'!$F$291:$F$4010,0)))*1000</f>
        <v>0.66273320386351287</v>
      </c>
      <c r="Q295" s="112">
        <f>SUMIFS('Fuel Logistics'!O:O,'Fuel Logistics'!$C:$C,$E295,'Fuel Logistics'!$D:$D,$D295,'Fuel Logistics'!$E:$E,"Logistics total")*IF($C295="Electricity",1,1/INDEX('TCO - Input'!$R$291:$R$321,MATCH($C295,'TCO - Input'!$F$291:$F$4010,0)))*1000</f>
        <v>0.66273320386351287</v>
      </c>
      <c r="R295" s="112">
        <f>SUMIFS('Fuel Logistics'!P:P,'Fuel Logistics'!$C:$C,$E295,'Fuel Logistics'!$D:$D,$D295,'Fuel Logistics'!$E:$E,"Logistics total")*IF($C295="Electricity",1,1/INDEX('TCO - Input'!$R$291:$R$321,MATCH($C295,'TCO - Input'!$F$291:$F$4010,0)))*1000</f>
        <v>0.66273320386351287</v>
      </c>
      <c r="S295" s="112">
        <f>SUMIFS('Fuel Logistics'!Q:Q,'Fuel Logistics'!$C:$C,$E295,'Fuel Logistics'!$D:$D,$D295,'Fuel Logistics'!$E:$E,"Logistics total")*IF($C295="Electricity",1,1/INDEX('TCO - Input'!$R$291:$R$321,MATCH($C295,'TCO - Input'!$F$291:$F$4010,0)))*1000</f>
        <v>0.66273320386351287</v>
      </c>
      <c r="T295" s="112">
        <f>SUMIFS('Fuel Logistics'!R:R,'Fuel Logistics'!$C:$C,$E295,'Fuel Logistics'!$D:$D,$D295,'Fuel Logistics'!$E:$E,"Logistics total")*IF($C295="Electricity",1,1/INDEX('TCO - Input'!$R$291:$R$321,MATCH($C295,'TCO - Input'!$F$291:$F$4010,0)))*1000</f>
        <v>0.66273320386351287</v>
      </c>
      <c r="U295" s="112">
        <f>SUMIFS('Fuel Logistics'!S:S,'Fuel Logistics'!$C:$C,$E295,'Fuel Logistics'!$D:$D,$D295,'Fuel Logistics'!$E:$E,"Logistics total")*IF($C295="Electricity",1,1/INDEX('TCO - Input'!$R$291:$R$321,MATCH($C295,'TCO - Input'!$F$291:$F$4010,0)))*1000</f>
        <v>0.66273320386351287</v>
      </c>
      <c r="V295" s="112">
        <f>SUMIFS('Fuel Logistics'!T:T,'Fuel Logistics'!$C:$C,$E295,'Fuel Logistics'!$D:$D,$D295,'Fuel Logistics'!$E:$E,"Logistics total")*IF($C295="Electricity",1,1/INDEX('TCO - Input'!$R$291:$R$321,MATCH($C295,'TCO - Input'!$F$291:$F$4010,0)))*1000</f>
        <v>0.66273320386351287</v>
      </c>
    </row>
    <row r="296" spans="1:22" x14ac:dyDescent="0.2">
      <c r="A296" s="29">
        <f t="shared" si="171"/>
        <v>13</v>
      </c>
      <c r="B296" s="334" t="str">
        <f t="shared" si="168"/>
        <v>Biodiesel (HtL) - Americas - Logistics cost - USD/GJ</v>
      </c>
      <c r="C296" t="str" cm="1">
        <f t="array" ref="C296">INDEX(list_AE_fuel,A296)</f>
        <v>Biodiesel (HtL)</v>
      </c>
      <c r="D296" t="str">
        <f>INDEX('Configurator Specs.'!$AH:$AH,MATCH($C296,'Configurator Specs.'!$AE:$AE,0))</f>
        <v>Bio-oils</v>
      </c>
      <c r="E296" t="str">
        <f t="shared" ref="E296:E303" si="172">E295</f>
        <v>Americas</v>
      </c>
      <c r="F296" t="str">
        <f t="shared" si="169"/>
        <v>Logistics cost - USD/GJ</v>
      </c>
      <c r="G296"/>
      <c r="H296" s="128"/>
      <c r="I296" t="s">
        <v>324</v>
      </c>
      <c r="K296" s="112">
        <f>SUMIFS('Fuel Logistics'!I:I,'Fuel Logistics'!$C:$C,$E296,'Fuel Logistics'!$D:$D,$D296,'Fuel Logistics'!$E:$E,"Logistics total")*IF($C296="Electricity",1,1/INDEX('TCO - Input'!$R$291:$R$321,MATCH($C296,'TCO - Input'!$F$291:$F$4010,0)))*1000</f>
        <v>0.37149469414234737</v>
      </c>
      <c r="L296" s="112">
        <f>SUMIFS('Fuel Logistics'!J:J,'Fuel Logistics'!$C:$C,$E296,'Fuel Logistics'!$D:$D,$D296,'Fuel Logistics'!$E:$E,"Logistics total")*IF($C296="Electricity",1,1/INDEX('TCO - Input'!$R$291:$R$321,MATCH($C296,'TCO - Input'!$F$291:$F$4010,0)))*1000</f>
        <v>0.37149469414234737</v>
      </c>
      <c r="M296" s="112">
        <f>SUMIFS('Fuel Logistics'!K:K,'Fuel Logistics'!$C:$C,$E296,'Fuel Logistics'!$D:$D,$D296,'Fuel Logistics'!$E:$E,"Logistics total")*IF($C296="Electricity",1,1/INDEX('TCO - Input'!$R$291:$R$321,MATCH($C296,'TCO - Input'!$F$291:$F$4010,0)))*1000</f>
        <v>0.37149469414234737</v>
      </c>
      <c r="N296" s="112">
        <f>SUMIFS('Fuel Logistics'!L:L,'Fuel Logistics'!$C:$C,$E296,'Fuel Logistics'!$D:$D,$D296,'Fuel Logistics'!$E:$E,"Logistics total")*IF($C296="Electricity",1,1/INDEX('TCO - Input'!$R$291:$R$321,MATCH($C296,'TCO - Input'!$F$291:$F$4010,0)))*1000</f>
        <v>0.37149469414234737</v>
      </c>
      <c r="O296" s="112">
        <f>SUMIFS('Fuel Logistics'!M:M,'Fuel Logistics'!$C:$C,$E296,'Fuel Logistics'!$D:$D,$D296,'Fuel Logistics'!$E:$E,"Logistics total")*IF($C296="Electricity",1,1/INDEX('TCO - Input'!$R$291:$R$321,MATCH($C296,'TCO - Input'!$F$291:$F$4010,0)))*1000</f>
        <v>0.37149469414234737</v>
      </c>
      <c r="P296" s="112">
        <f>SUMIFS('Fuel Logistics'!N:N,'Fuel Logistics'!$C:$C,$E296,'Fuel Logistics'!$D:$D,$D296,'Fuel Logistics'!$E:$E,"Logistics total")*IF($C296="Electricity",1,1/INDEX('TCO - Input'!$R$291:$R$321,MATCH($C296,'TCO - Input'!$F$291:$F$4010,0)))*1000</f>
        <v>0.37149469414234737</v>
      </c>
      <c r="Q296" s="112">
        <f>SUMIFS('Fuel Logistics'!O:O,'Fuel Logistics'!$C:$C,$E296,'Fuel Logistics'!$D:$D,$D296,'Fuel Logistics'!$E:$E,"Logistics total")*IF($C296="Electricity",1,1/INDEX('TCO - Input'!$R$291:$R$321,MATCH($C296,'TCO - Input'!$F$291:$F$4010,0)))*1000</f>
        <v>0.37149469414234737</v>
      </c>
      <c r="R296" s="112">
        <f>SUMIFS('Fuel Logistics'!P:P,'Fuel Logistics'!$C:$C,$E296,'Fuel Logistics'!$D:$D,$D296,'Fuel Logistics'!$E:$E,"Logistics total")*IF($C296="Electricity",1,1/INDEX('TCO - Input'!$R$291:$R$321,MATCH($C296,'TCO - Input'!$F$291:$F$4010,0)))*1000</f>
        <v>0.37149469414234737</v>
      </c>
      <c r="S296" s="112">
        <f>SUMIFS('Fuel Logistics'!Q:Q,'Fuel Logistics'!$C:$C,$E296,'Fuel Logistics'!$D:$D,$D296,'Fuel Logistics'!$E:$E,"Logistics total")*IF($C296="Electricity",1,1/INDEX('TCO - Input'!$R$291:$R$321,MATCH($C296,'TCO - Input'!$F$291:$F$4010,0)))*1000</f>
        <v>0.37149469414234737</v>
      </c>
      <c r="T296" s="112">
        <f>SUMIFS('Fuel Logistics'!R:R,'Fuel Logistics'!$C:$C,$E296,'Fuel Logistics'!$D:$D,$D296,'Fuel Logistics'!$E:$E,"Logistics total")*IF($C296="Electricity",1,1/INDEX('TCO - Input'!$R$291:$R$321,MATCH($C296,'TCO - Input'!$F$291:$F$4010,0)))*1000</f>
        <v>0.37149469414234737</v>
      </c>
      <c r="U296" s="112">
        <f>SUMIFS('Fuel Logistics'!S:S,'Fuel Logistics'!$C:$C,$E296,'Fuel Logistics'!$D:$D,$D296,'Fuel Logistics'!$E:$E,"Logistics total")*IF($C296="Electricity",1,1/INDEX('TCO - Input'!$R$291:$R$321,MATCH($C296,'TCO - Input'!$F$291:$F$4010,0)))*1000</f>
        <v>0.37149469414234737</v>
      </c>
      <c r="V296" s="112">
        <f>SUMIFS('Fuel Logistics'!T:T,'Fuel Logistics'!$C:$C,$E296,'Fuel Logistics'!$D:$D,$D296,'Fuel Logistics'!$E:$E,"Logistics total")*IF($C296="Electricity",1,1/INDEX('TCO - Input'!$R$291:$R$321,MATCH($C296,'TCO - Input'!$F$291:$F$4010,0)))*1000</f>
        <v>0.37149469414234737</v>
      </c>
    </row>
    <row r="297" spans="1:22" x14ac:dyDescent="0.2">
      <c r="A297" s="29">
        <f t="shared" si="171"/>
        <v>14</v>
      </c>
      <c r="B297" s="334" t="str">
        <f t="shared" si="168"/>
        <v>Biodiesel (Pyr) - Americas - Logistics cost - USD/GJ</v>
      </c>
      <c r="C297" t="str" cm="1">
        <f t="array" ref="C297">INDEX(list_AE_fuel,A297)</f>
        <v>Biodiesel (Pyr)</v>
      </c>
      <c r="D297" t="str">
        <f>INDEX('Configurator Specs.'!$AH:$AH,MATCH($C297,'Configurator Specs.'!$AE:$AE,0))</f>
        <v>Bio</v>
      </c>
      <c r="E297" t="str">
        <f t="shared" si="172"/>
        <v>Americas</v>
      </c>
      <c r="F297" t="str">
        <f t="shared" si="169"/>
        <v>Logistics cost - USD/GJ</v>
      </c>
      <c r="G297"/>
      <c r="H297" s="128"/>
      <c r="I297" t="s">
        <v>324</v>
      </c>
      <c r="K297" s="112">
        <f>SUMIFS('Fuel Logistics'!I:I,'Fuel Logistics'!$C:$C,$E297,'Fuel Logistics'!$D:$D,$D297,'Fuel Logistics'!$E:$E,"Logistics total")*IF($C297="Electricity",1,1/INDEX('TCO - Input'!$R$291:$R$321,MATCH($C297,'TCO - Input'!$F$291:$F$4010,0)))*1000</f>
        <v>0</v>
      </c>
      <c r="L297" s="112">
        <f>SUMIFS('Fuel Logistics'!J:J,'Fuel Logistics'!$C:$C,$E297,'Fuel Logistics'!$D:$D,$D297,'Fuel Logistics'!$E:$E,"Logistics total")*IF($C297="Electricity",1,1/INDEX('TCO - Input'!$R$291:$R$321,MATCH($C297,'TCO - Input'!$F$291:$F$4010,0)))*1000</f>
        <v>0</v>
      </c>
      <c r="M297" s="112">
        <f>SUMIFS('Fuel Logistics'!K:K,'Fuel Logistics'!$C:$C,$E297,'Fuel Logistics'!$D:$D,$D297,'Fuel Logistics'!$E:$E,"Logistics total")*IF($C297="Electricity",1,1/INDEX('TCO - Input'!$R$291:$R$321,MATCH($C297,'TCO - Input'!$F$291:$F$4010,0)))*1000</f>
        <v>0</v>
      </c>
      <c r="N297" s="112">
        <f>SUMIFS('Fuel Logistics'!L:L,'Fuel Logistics'!$C:$C,$E297,'Fuel Logistics'!$D:$D,$D297,'Fuel Logistics'!$E:$E,"Logistics total")*IF($C297="Electricity",1,1/INDEX('TCO - Input'!$R$291:$R$321,MATCH($C297,'TCO - Input'!$F$291:$F$4010,0)))*1000</f>
        <v>0</v>
      </c>
      <c r="O297" s="112">
        <f>SUMIFS('Fuel Logistics'!M:M,'Fuel Logistics'!$C:$C,$E297,'Fuel Logistics'!$D:$D,$D297,'Fuel Logistics'!$E:$E,"Logistics total")*IF($C297="Electricity",1,1/INDEX('TCO - Input'!$R$291:$R$321,MATCH($C297,'TCO - Input'!$F$291:$F$4010,0)))*1000</f>
        <v>0</v>
      </c>
      <c r="P297" s="112">
        <f>SUMIFS('Fuel Logistics'!N:N,'Fuel Logistics'!$C:$C,$E297,'Fuel Logistics'!$D:$D,$D297,'Fuel Logistics'!$E:$E,"Logistics total")*IF($C297="Electricity",1,1/INDEX('TCO - Input'!$R$291:$R$321,MATCH($C297,'TCO - Input'!$F$291:$F$4010,0)))*1000</f>
        <v>0</v>
      </c>
      <c r="Q297" s="112">
        <f>SUMIFS('Fuel Logistics'!O:O,'Fuel Logistics'!$C:$C,$E297,'Fuel Logistics'!$D:$D,$D297,'Fuel Logistics'!$E:$E,"Logistics total")*IF($C297="Electricity",1,1/INDEX('TCO - Input'!$R$291:$R$321,MATCH($C297,'TCO - Input'!$F$291:$F$4010,0)))*1000</f>
        <v>0</v>
      </c>
      <c r="R297" s="112">
        <f>SUMIFS('Fuel Logistics'!P:P,'Fuel Logistics'!$C:$C,$E297,'Fuel Logistics'!$D:$D,$D297,'Fuel Logistics'!$E:$E,"Logistics total")*IF($C297="Electricity",1,1/INDEX('TCO - Input'!$R$291:$R$321,MATCH($C297,'TCO - Input'!$F$291:$F$4010,0)))*1000</f>
        <v>0</v>
      </c>
      <c r="S297" s="112">
        <f>SUMIFS('Fuel Logistics'!Q:Q,'Fuel Logistics'!$C:$C,$E297,'Fuel Logistics'!$D:$D,$D297,'Fuel Logistics'!$E:$E,"Logistics total")*IF($C297="Electricity",1,1/INDEX('TCO - Input'!$R$291:$R$321,MATCH($C297,'TCO - Input'!$F$291:$F$4010,0)))*1000</f>
        <v>0</v>
      </c>
      <c r="T297" s="112">
        <f>SUMIFS('Fuel Logistics'!R:R,'Fuel Logistics'!$C:$C,$E297,'Fuel Logistics'!$D:$D,$D297,'Fuel Logistics'!$E:$E,"Logistics total")*IF($C297="Electricity",1,1/INDEX('TCO - Input'!$R$291:$R$321,MATCH($C297,'TCO - Input'!$F$291:$F$4010,0)))*1000</f>
        <v>0</v>
      </c>
      <c r="U297" s="112">
        <f>SUMIFS('Fuel Logistics'!S:S,'Fuel Logistics'!$C:$C,$E297,'Fuel Logistics'!$D:$D,$D297,'Fuel Logistics'!$E:$E,"Logistics total")*IF($C297="Electricity",1,1/INDEX('TCO - Input'!$R$291:$R$321,MATCH($C297,'TCO - Input'!$F$291:$F$4010,0)))*1000</f>
        <v>0</v>
      </c>
      <c r="V297" s="112">
        <f>SUMIFS('Fuel Logistics'!T:T,'Fuel Logistics'!$C:$C,$E297,'Fuel Logistics'!$D:$D,$D297,'Fuel Logistics'!$E:$E,"Logistics total")*IF($C297="Electricity",1,1/INDEX('TCO - Input'!$R$291:$R$321,MATCH($C297,'TCO - Input'!$F$291:$F$4010,0)))*1000</f>
        <v>0</v>
      </c>
    </row>
    <row r="298" spans="1:22" x14ac:dyDescent="0.2">
      <c r="A298" s="29">
        <f t="shared" si="171"/>
        <v>15</v>
      </c>
      <c r="B298" s="334" t="str">
        <f t="shared" si="168"/>
        <v>e-Diesel (DAC) - Americas - Logistics cost - USD/GJ</v>
      </c>
      <c r="C298" t="str" cm="1">
        <f t="array" ref="C298">INDEX(list_AE_fuel,A298)</f>
        <v>e-Diesel (DAC)</v>
      </c>
      <c r="D298" t="str">
        <f>INDEX('Configurator Specs.'!$AH:$AH,MATCH($C298,'Configurator Specs.'!$AE:$AE,0))</f>
        <v>Bio-oils</v>
      </c>
      <c r="E298" t="str">
        <f t="shared" si="172"/>
        <v>Americas</v>
      </c>
      <c r="F298" t="str">
        <f t="shared" si="169"/>
        <v>Logistics cost - USD/GJ</v>
      </c>
      <c r="G298"/>
      <c r="H298" s="128"/>
      <c r="I298" t="s">
        <v>324</v>
      </c>
      <c r="K298" s="112">
        <f>SUMIFS('Fuel Logistics'!I:I,'Fuel Logistics'!$C:$C,$E298,'Fuel Logistics'!$D:$D,$D298,'Fuel Logistics'!$E:$E,"Logistics total")*IF($C298="Electricity",1,1/INDEX('TCO - Input'!$R$291:$R$321,MATCH($C298,'TCO - Input'!$F$291:$F$4010,0)))*1000</f>
        <v>0.37149469414234737</v>
      </c>
      <c r="L298" s="112">
        <f>SUMIFS('Fuel Logistics'!J:J,'Fuel Logistics'!$C:$C,$E298,'Fuel Logistics'!$D:$D,$D298,'Fuel Logistics'!$E:$E,"Logistics total")*IF($C298="Electricity",1,1/INDEX('TCO - Input'!$R$291:$R$321,MATCH($C298,'TCO - Input'!$F$291:$F$4010,0)))*1000</f>
        <v>0.37149469414234737</v>
      </c>
      <c r="M298" s="112">
        <f>SUMIFS('Fuel Logistics'!K:K,'Fuel Logistics'!$C:$C,$E298,'Fuel Logistics'!$D:$D,$D298,'Fuel Logistics'!$E:$E,"Logistics total")*IF($C298="Electricity",1,1/INDEX('TCO - Input'!$R$291:$R$321,MATCH($C298,'TCO - Input'!$F$291:$F$4010,0)))*1000</f>
        <v>0.37149469414234737</v>
      </c>
      <c r="N298" s="112">
        <f>SUMIFS('Fuel Logistics'!L:L,'Fuel Logistics'!$C:$C,$E298,'Fuel Logistics'!$D:$D,$D298,'Fuel Logistics'!$E:$E,"Logistics total")*IF($C298="Electricity",1,1/INDEX('TCO - Input'!$R$291:$R$321,MATCH($C298,'TCO - Input'!$F$291:$F$4010,0)))*1000</f>
        <v>0.37149469414234737</v>
      </c>
      <c r="O298" s="112">
        <f>SUMIFS('Fuel Logistics'!M:M,'Fuel Logistics'!$C:$C,$E298,'Fuel Logistics'!$D:$D,$D298,'Fuel Logistics'!$E:$E,"Logistics total")*IF($C298="Electricity",1,1/INDEX('TCO - Input'!$R$291:$R$321,MATCH($C298,'TCO - Input'!$F$291:$F$4010,0)))*1000</f>
        <v>0.37149469414234737</v>
      </c>
      <c r="P298" s="112">
        <f>SUMIFS('Fuel Logistics'!N:N,'Fuel Logistics'!$C:$C,$E298,'Fuel Logistics'!$D:$D,$D298,'Fuel Logistics'!$E:$E,"Logistics total")*IF($C298="Electricity",1,1/INDEX('TCO - Input'!$R$291:$R$321,MATCH($C298,'TCO - Input'!$F$291:$F$4010,0)))*1000</f>
        <v>0.37149469414234737</v>
      </c>
      <c r="Q298" s="112">
        <f>SUMIFS('Fuel Logistics'!O:O,'Fuel Logistics'!$C:$C,$E298,'Fuel Logistics'!$D:$D,$D298,'Fuel Logistics'!$E:$E,"Logistics total")*IF($C298="Electricity",1,1/INDEX('TCO - Input'!$R$291:$R$321,MATCH($C298,'TCO - Input'!$F$291:$F$4010,0)))*1000</f>
        <v>0.37149469414234737</v>
      </c>
      <c r="R298" s="112">
        <f>SUMIFS('Fuel Logistics'!P:P,'Fuel Logistics'!$C:$C,$E298,'Fuel Logistics'!$D:$D,$D298,'Fuel Logistics'!$E:$E,"Logistics total")*IF($C298="Electricity",1,1/INDEX('TCO - Input'!$R$291:$R$321,MATCH($C298,'TCO - Input'!$F$291:$F$4010,0)))*1000</f>
        <v>0.37149469414234737</v>
      </c>
      <c r="S298" s="112">
        <f>SUMIFS('Fuel Logistics'!Q:Q,'Fuel Logistics'!$C:$C,$E298,'Fuel Logistics'!$D:$D,$D298,'Fuel Logistics'!$E:$E,"Logistics total")*IF($C298="Electricity",1,1/INDEX('TCO - Input'!$R$291:$R$321,MATCH($C298,'TCO - Input'!$F$291:$F$4010,0)))*1000</f>
        <v>0.37149469414234737</v>
      </c>
      <c r="T298" s="112">
        <f>SUMIFS('Fuel Logistics'!R:R,'Fuel Logistics'!$C:$C,$E298,'Fuel Logistics'!$D:$D,$D298,'Fuel Logistics'!$E:$E,"Logistics total")*IF($C298="Electricity",1,1/INDEX('TCO - Input'!$R$291:$R$321,MATCH($C298,'TCO - Input'!$F$291:$F$4010,0)))*1000</f>
        <v>0.37149469414234737</v>
      </c>
      <c r="U298" s="112">
        <f>SUMIFS('Fuel Logistics'!S:S,'Fuel Logistics'!$C:$C,$E298,'Fuel Logistics'!$D:$D,$D298,'Fuel Logistics'!$E:$E,"Logistics total")*IF($C298="Electricity",1,1/INDEX('TCO - Input'!$R$291:$R$321,MATCH($C298,'TCO - Input'!$F$291:$F$4010,0)))*1000</f>
        <v>0.37149469414234737</v>
      </c>
      <c r="V298" s="112">
        <f>SUMIFS('Fuel Logistics'!T:T,'Fuel Logistics'!$C:$C,$E298,'Fuel Logistics'!$D:$D,$D298,'Fuel Logistics'!$E:$E,"Logistics total")*IF($C298="Electricity",1,1/INDEX('TCO - Input'!$R$291:$R$321,MATCH($C298,'TCO - Input'!$F$291:$F$4010,0)))*1000</f>
        <v>0.37149469414234737</v>
      </c>
    </row>
    <row r="299" spans="1:22" x14ac:dyDescent="0.2">
      <c r="A299" s="29">
        <f t="shared" si="171"/>
        <v>16</v>
      </c>
      <c r="B299" s="334" t="str">
        <f t="shared" si="168"/>
        <v>e-Diesel (PS) - Americas - Logistics cost - USD/GJ</v>
      </c>
      <c r="C299" t="str" cm="1">
        <f t="array" ref="C299">INDEX(list_AE_fuel,A299)</f>
        <v>e-Diesel (PS)</v>
      </c>
      <c r="D299" t="str">
        <f>INDEX('Configurator Specs.'!$AH:$AH,MATCH($C299,'Configurator Specs.'!$AE:$AE,0))</f>
        <v>Bio-oils</v>
      </c>
      <c r="E299" t="str">
        <f t="shared" si="172"/>
        <v>Americas</v>
      </c>
      <c r="F299" t="str">
        <f t="shared" si="169"/>
        <v>Logistics cost - USD/GJ</v>
      </c>
      <c r="G299"/>
      <c r="H299" s="128"/>
      <c r="I299" t="s">
        <v>324</v>
      </c>
      <c r="K299" s="112">
        <f>SUMIFS('Fuel Logistics'!I:I,'Fuel Logistics'!$C:$C,$E299,'Fuel Logistics'!$D:$D,$D299,'Fuel Logistics'!$E:$E,"Logistics total")*IF($C299="Electricity",1,1/INDEX('TCO - Input'!$R$291:$R$321,MATCH($C299,'TCO - Input'!$F$291:$F$4010,0)))*1000</f>
        <v>0.37149469414234737</v>
      </c>
      <c r="L299" s="112">
        <f>SUMIFS('Fuel Logistics'!J:J,'Fuel Logistics'!$C:$C,$E299,'Fuel Logistics'!$D:$D,$D299,'Fuel Logistics'!$E:$E,"Logistics total")*IF($C299="Electricity",1,1/INDEX('TCO - Input'!$R$291:$R$321,MATCH($C299,'TCO - Input'!$F$291:$F$4010,0)))*1000</f>
        <v>0.37149469414234737</v>
      </c>
      <c r="M299" s="112">
        <f>SUMIFS('Fuel Logistics'!K:K,'Fuel Logistics'!$C:$C,$E299,'Fuel Logistics'!$D:$D,$D299,'Fuel Logistics'!$E:$E,"Logistics total")*IF($C299="Electricity",1,1/INDEX('TCO - Input'!$R$291:$R$321,MATCH($C299,'TCO - Input'!$F$291:$F$4010,0)))*1000</f>
        <v>0.37149469414234737</v>
      </c>
      <c r="N299" s="112">
        <f>SUMIFS('Fuel Logistics'!L:L,'Fuel Logistics'!$C:$C,$E299,'Fuel Logistics'!$D:$D,$D299,'Fuel Logistics'!$E:$E,"Logistics total")*IF($C299="Electricity",1,1/INDEX('TCO - Input'!$R$291:$R$321,MATCH($C299,'TCO - Input'!$F$291:$F$4010,0)))*1000</f>
        <v>0.37149469414234737</v>
      </c>
      <c r="O299" s="112">
        <f>SUMIFS('Fuel Logistics'!M:M,'Fuel Logistics'!$C:$C,$E299,'Fuel Logistics'!$D:$D,$D299,'Fuel Logistics'!$E:$E,"Logistics total")*IF($C299="Electricity",1,1/INDEX('TCO - Input'!$R$291:$R$321,MATCH($C299,'TCO - Input'!$F$291:$F$4010,0)))*1000</f>
        <v>0.37149469414234737</v>
      </c>
      <c r="P299" s="112">
        <f>SUMIFS('Fuel Logistics'!N:N,'Fuel Logistics'!$C:$C,$E299,'Fuel Logistics'!$D:$D,$D299,'Fuel Logistics'!$E:$E,"Logistics total")*IF($C299="Electricity",1,1/INDEX('TCO - Input'!$R$291:$R$321,MATCH($C299,'TCO - Input'!$F$291:$F$4010,0)))*1000</f>
        <v>0.37149469414234737</v>
      </c>
      <c r="Q299" s="112">
        <f>SUMIFS('Fuel Logistics'!O:O,'Fuel Logistics'!$C:$C,$E299,'Fuel Logistics'!$D:$D,$D299,'Fuel Logistics'!$E:$E,"Logistics total")*IF($C299="Electricity",1,1/INDEX('TCO - Input'!$R$291:$R$321,MATCH($C299,'TCO - Input'!$F$291:$F$4010,0)))*1000</f>
        <v>0.37149469414234737</v>
      </c>
      <c r="R299" s="112">
        <f>SUMIFS('Fuel Logistics'!P:P,'Fuel Logistics'!$C:$C,$E299,'Fuel Logistics'!$D:$D,$D299,'Fuel Logistics'!$E:$E,"Logistics total")*IF($C299="Electricity",1,1/INDEX('TCO - Input'!$R$291:$R$321,MATCH($C299,'TCO - Input'!$F$291:$F$4010,0)))*1000</f>
        <v>0.37149469414234737</v>
      </c>
      <c r="S299" s="112">
        <f>SUMIFS('Fuel Logistics'!Q:Q,'Fuel Logistics'!$C:$C,$E299,'Fuel Logistics'!$D:$D,$D299,'Fuel Logistics'!$E:$E,"Logistics total")*IF($C299="Electricity",1,1/INDEX('TCO - Input'!$R$291:$R$321,MATCH($C299,'TCO - Input'!$F$291:$F$4010,0)))*1000</f>
        <v>0.37149469414234737</v>
      </c>
      <c r="T299" s="112">
        <f>SUMIFS('Fuel Logistics'!R:R,'Fuel Logistics'!$C:$C,$E299,'Fuel Logistics'!$D:$D,$D299,'Fuel Logistics'!$E:$E,"Logistics total")*IF($C299="Electricity",1,1/INDEX('TCO - Input'!$R$291:$R$321,MATCH($C299,'TCO - Input'!$F$291:$F$4010,0)))*1000</f>
        <v>0.37149469414234737</v>
      </c>
      <c r="U299" s="112">
        <f>SUMIFS('Fuel Logistics'!S:S,'Fuel Logistics'!$C:$C,$E299,'Fuel Logistics'!$D:$D,$D299,'Fuel Logistics'!$E:$E,"Logistics total")*IF($C299="Electricity",1,1/INDEX('TCO - Input'!$R$291:$R$321,MATCH($C299,'TCO - Input'!$F$291:$F$4010,0)))*1000</f>
        <v>0.37149469414234737</v>
      </c>
      <c r="V299" s="112">
        <f>SUMIFS('Fuel Logistics'!T:T,'Fuel Logistics'!$C:$C,$E299,'Fuel Logistics'!$D:$D,$D299,'Fuel Logistics'!$E:$E,"Logistics total")*IF($C299="Electricity",1,1/INDEX('TCO - Input'!$R$291:$R$321,MATCH($C299,'TCO - Input'!$F$291:$F$4010,0)))*1000</f>
        <v>0.37149469414234737</v>
      </c>
    </row>
    <row r="300" spans="1:22" x14ac:dyDescent="0.2">
      <c r="A300" s="29">
        <f t="shared" si="171"/>
        <v>17</v>
      </c>
      <c r="B300" s="334" t="str">
        <f t="shared" si="168"/>
        <v>Biodiesel (HtL blend) - Americas - Logistics cost - USD/GJ</v>
      </c>
      <c r="C300" t="str" cm="1">
        <f t="array" ref="C300">INDEX(list_AE_fuel,A300)</f>
        <v>Biodiesel (HtL blend)</v>
      </c>
      <c r="D300" t="str">
        <f>INDEX('Configurator Specs.'!$AH:$AH,MATCH($C300,'Configurator Specs.'!$AE:$AE,0))</f>
        <v>Bio</v>
      </c>
      <c r="E300" t="str">
        <f t="shared" si="172"/>
        <v>Americas</v>
      </c>
      <c r="F300" t="str">
        <f t="shared" si="169"/>
        <v>Logistics cost - USD/GJ</v>
      </c>
      <c r="G300"/>
      <c r="H300" s="128"/>
      <c r="I300" t="s">
        <v>324</v>
      </c>
      <c r="K300" s="112">
        <f>SUMIFS('Fuel Logistics'!I:I,'Fuel Logistics'!$C:$C,$E300,'Fuel Logistics'!$D:$D,$D300,'Fuel Logistics'!$E:$E,"Logistics total")*IF($C300="Electricity",1,1/INDEX('TCO - Input'!$R$291:$R$321,MATCH($C300,'TCO - Input'!$F$291:$F$4010,0)))*1000</f>
        <v>0</v>
      </c>
      <c r="L300" s="112">
        <f>SUMIFS('Fuel Logistics'!J:J,'Fuel Logistics'!$C:$C,$E300,'Fuel Logistics'!$D:$D,$D300,'Fuel Logistics'!$E:$E,"Logistics total")*IF($C300="Electricity",1,1/INDEX('TCO - Input'!$R$291:$R$321,MATCH($C300,'TCO - Input'!$F$291:$F$4010,0)))*1000</f>
        <v>0</v>
      </c>
      <c r="M300" s="112">
        <f>SUMIFS('Fuel Logistics'!K:K,'Fuel Logistics'!$C:$C,$E300,'Fuel Logistics'!$D:$D,$D300,'Fuel Logistics'!$E:$E,"Logistics total")*IF($C300="Electricity",1,1/INDEX('TCO - Input'!$R$291:$R$321,MATCH($C300,'TCO - Input'!$F$291:$F$4010,0)))*1000</f>
        <v>0</v>
      </c>
      <c r="N300" s="112">
        <f>SUMIFS('Fuel Logistics'!L:L,'Fuel Logistics'!$C:$C,$E300,'Fuel Logistics'!$D:$D,$D300,'Fuel Logistics'!$E:$E,"Logistics total")*IF($C300="Electricity",1,1/INDEX('TCO - Input'!$R$291:$R$321,MATCH($C300,'TCO - Input'!$F$291:$F$4010,0)))*1000</f>
        <v>0</v>
      </c>
      <c r="O300" s="112">
        <f>SUMIFS('Fuel Logistics'!M:M,'Fuel Logistics'!$C:$C,$E300,'Fuel Logistics'!$D:$D,$D300,'Fuel Logistics'!$E:$E,"Logistics total")*IF($C300="Electricity",1,1/INDEX('TCO - Input'!$R$291:$R$321,MATCH($C300,'TCO - Input'!$F$291:$F$4010,0)))*1000</f>
        <v>0</v>
      </c>
      <c r="P300" s="112">
        <f>SUMIFS('Fuel Logistics'!N:N,'Fuel Logistics'!$C:$C,$E300,'Fuel Logistics'!$D:$D,$D300,'Fuel Logistics'!$E:$E,"Logistics total")*IF($C300="Electricity",1,1/INDEX('TCO - Input'!$R$291:$R$321,MATCH($C300,'TCO - Input'!$F$291:$F$4010,0)))*1000</f>
        <v>0</v>
      </c>
      <c r="Q300" s="112">
        <f>SUMIFS('Fuel Logistics'!O:O,'Fuel Logistics'!$C:$C,$E300,'Fuel Logistics'!$D:$D,$D300,'Fuel Logistics'!$E:$E,"Logistics total")*IF($C300="Electricity",1,1/INDEX('TCO - Input'!$R$291:$R$321,MATCH($C300,'TCO - Input'!$F$291:$F$4010,0)))*1000</f>
        <v>0</v>
      </c>
      <c r="R300" s="112">
        <f>SUMIFS('Fuel Logistics'!P:P,'Fuel Logistics'!$C:$C,$E300,'Fuel Logistics'!$D:$D,$D300,'Fuel Logistics'!$E:$E,"Logistics total")*IF($C300="Electricity",1,1/INDEX('TCO - Input'!$R$291:$R$321,MATCH($C300,'TCO - Input'!$F$291:$F$4010,0)))*1000</f>
        <v>0</v>
      </c>
      <c r="S300" s="112">
        <f>SUMIFS('Fuel Logistics'!Q:Q,'Fuel Logistics'!$C:$C,$E300,'Fuel Logistics'!$D:$D,$D300,'Fuel Logistics'!$E:$E,"Logistics total")*IF($C300="Electricity",1,1/INDEX('TCO - Input'!$R$291:$R$321,MATCH($C300,'TCO - Input'!$F$291:$F$4010,0)))*1000</f>
        <v>0</v>
      </c>
      <c r="T300" s="112">
        <f>SUMIFS('Fuel Logistics'!R:R,'Fuel Logistics'!$C:$C,$E300,'Fuel Logistics'!$D:$D,$D300,'Fuel Logistics'!$E:$E,"Logistics total")*IF($C300="Electricity",1,1/INDEX('TCO - Input'!$R$291:$R$321,MATCH($C300,'TCO - Input'!$F$291:$F$4010,0)))*1000</f>
        <v>0</v>
      </c>
      <c r="U300" s="112">
        <f>SUMIFS('Fuel Logistics'!S:S,'Fuel Logistics'!$C:$C,$E300,'Fuel Logistics'!$D:$D,$D300,'Fuel Logistics'!$E:$E,"Logistics total")*IF($C300="Electricity",1,1/INDEX('TCO - Input'!$R$291:$R$321,MATCH($C300,'TCO - Input'!$F$291:$F$4010,0)))*1000</f>
        <v>0</v>
      </c>
      <c r="V300" s="112">
        <f>SUMIFS('Fuel Logistics'!T:T,'Fuel Logistics'!$C:$C,$E300,'Fuel Logistics'!$D:$D,$D300,'Fuel Logistics'!$E:$E,"Logistics total")*IF($C300="Electricity",1,1/INDEX('TCO - Input'!$R$291:$R$321,MATCH($C300,'TCO - Input'!$F$291:$F$4010,0)))*1000</f>
        <v>0</v>
      </c>
    </row>
    <row r="301" spans="1:22" x14ac:dyDescent="0.2">
      <c r="A301" s="29">
        <f t="shared" si="171"/>
        <v>18</v>
      </c>
      <c r="B301" s="334" t="str">
        <f t="shared" si="168"/>
        <v>Biodiesel (Pyr blend) - Americas - Logistics cost - USD/GJ</v>
      </c>
      <c r="C301" t="str" cm="1">
        <f t="array" ref="C301">INDEX(list_AE_fuel,A301)</f>
        <v>Biodiesel (Pyr blend)</v>
      </c>
      <c r="D301" t="str">
        <f>INDEX('Configurator Specs.'!$AH:$AH,MATCH($C301,'Configurator Specs.'!$AE:$AE,0))</f>
        <v>Bio</v>
      </c>
      <c r="E301" t="str">
        <f t="shared" si="172"/>
        <v>Americas</v>
      </c>
      <c r="F301" t="str">
        <f t="shared" si="169"/>
        <v>Logistics cost - USD/GJ</v>
      </c>
      <c r="G301"/>
      <c r="H301" s="128"/>
      <c r="I301" t="s">
        <v>324</v>
      </c>
      <c r="K301" s="112">
        <f>SUMIFS('Fuel Logistics'!I:I,'Fuel Logistics'!$C:$C,$E301,'Fuel Logistics'!$D:$D,$D301,'Fuel Logistics'!$E:$E,"Logistics total")*IF($C301="Electricity",1,1/INDEX('TCO - Input'!$R$291:$R$321,MATCH($C301,'TCO - Input'!$F$291:$F$4010,0)))*1000</f>
        <v>0</v>
      </c>
      <c r="L301" s="112">
        <f>SUMIFS('Fuel Logistics'!J:J,'Fuel Logistics'!$C:$C,$E301,'Fuel Logistics'!$D:$D,$D301,'Fuel Logistics'!$E:$E,"Logistics total")*IF($C301="Electricity",1,1/INDEX('TCO - Input'!$R$291:$R$321,MATCH($C301,'TCO - Input'!$F$291:$F$4010,0)))*1000</f>
        <v>0</v>
      </c>
      <c r="M301" s="112">
        <f>SUMIFS('Fuel Logistics'!K:K,'Fuel Logistics'!$C:$C,$E301,'Fuel Logistics'!$D:$D,$D301,'Fuel Logistics'!$E:$E,"Logistics total")*IF($C301="Electricity",1,1/INDEX('TCO - Input'!$R$291:$R$321,MATCH($C301,'TCO - Input'!$F$291:$F$4010,0)))*1000</f>
        <v>0</v>
      </c>
      <c r="N301" s="112">
        <f>SUMIFS('Fuel Logistics'!L:L,'Fuel Logistics'!$C:$C,$E301,'Fuel Logistics'!$D:$D,$D301,'Fuel Logistics'!$E:$E,"Logistics total")*IF($C301="Electricity",1,1/INDEX('TCO - Input'!$R$291:$R$321,MATCH($C301,'TCO - Input'!$F$291:$F$4010,0)))*1000</f>
        <v>0</v>
      </c>
      <c r="O301" s="112">
        <f>SUMIFS('Fuel Logistics'!M:M,'Fuel Logistics'!$C:$C,$E301,'Fuel Logistics'!$D:$D,$D301,'Fuel Logistics'!$E:$E,"Logistics total")*IF($C301="Electricity",1,1/INDEX('TCO - Input'!$R$291:$R$321,MATCH($C301,'TCO - Input'!$F$291:$F$4010,0)))*1000</f>
        <v>0</v>
      </c>
      <c r="P301" s="112">
        <f>SUMIFS('Fuel Logistics'!N:N,'Fuel Logistics'!$C:$C,$E301,'Fuel Logistics'!$D:$D,$D301,'Fuel Logistics'!$E:$E,"Logistics total")*IF($C301="Electricity",1,1/INDEX('TCO - Input'!$R$291:$R$321,MATCH($C301,'TCO - Input'!$F$291:$F$4010,0)))*1000</f>
        <v>0</v>
      </c>
      <c r="Q301" s="112">
        <f>SUMIFS('Fuel Logistics'!O:O,'Fuel Logistics'!$C:$C,$E301,'Fuel Logistics'!$D:$D,$D301,'Fuel Logistics'!$E:$E,"Logistics total")*IF($C301="Electricity",1,1/INDEX('TCO - Input'!$R$291:$R$321,MATCH($C301,'TCO - Input'!$F$291:$F$4010,0)))*1000</f>
        <v>0</v>
      </c>
      <c r="R301" s="112">
        <f>SUMIFS('Fuel Logistics'!P:P,'Fuel Logistics'!$C:$C,$E301,'Fuel Logistics'!$D:$D,$D301,'Fuel Logistics'!$E:$E,"Logistics total")*IF($C301="Electricity",1,1/INDEX('TCO - Input'!$R$291:$R$321,MATCH($C301,'TCO - Input'!$F$291:$F$4010,0)))*1000</f>
        <v>0</v>
      </c>
      <c r="S301" s="112">
        <f>SUMIFS('Fuel Logistics'!Q:Q,'Fuel Logistics'!$C:$C,$E301,'Fuel Logistics'!$D:$D,$D301,'Fuel Logistics'!$E:$E,"Logistics total")*IF($C301="Electricity",1,1/INDEX('TCO - Input'!$R$291:$R$321,MATCH($C301,'TCO - Input'!$F$291:$F$4010,0)))*1000</f>
        <v>0</v>
      </c>
      <c r="T301" s="112">
        <f>SUMIFS('Fuel Logistics'!R:R,'Fuel Logistics'!$C:$C,$E301,'Fuel Logistics'!$D:$D,$D301,'Fuel Logistics'!$E:$E,"Logistics total")*IF($C301="Electricity",1,1/INDEX('TCO - Input'!$R$291:$R$321,MATCH($C301,'TCO - Input'!$F$291:$F$4010,0)))*1000</f>
        <v>0</v>
      </c>
      <c r="U301" s="112">
        <f>SUMIFS('Fuel Logistics'!S:S,'Fuel Logistics'!$C:$C,$E301,'Fuel Logistics'!$D:$D,$D301,'Fuel Logistics'!$E:$E,"Logistics total")*IF($C301="Electricity",1,1/INDEX('TCO - Input'!$R$291:$R$321,MATCH($C301,'TCO - Input'!$F$291:$F$4010,0)))*1000</f>
        <v>0</v>
      </c>
      <c r="V301" s="112">
        <f>SUMIFS('Fuel Logistics'!T:T,'Fuel Logistics'!$C:$C,$E301,'Fuel Logistics'!$D:$D,$D301,'Fuel Logistics'!$E:$E,"Logistics total")*IF($C301="Electricity",1,1/INDEX('TCO - Input'!$R$291:$R$321,MATCH($C301,'TCO - Input'!$F$291:$F$4010,0)))*1000</f>
        <v>0</v>
      </c>
    </row>
    <row r="302" spans="1:22" x14ac:dyDescent="0.2">
      <c r="A302" s="29">
        <f t="shared" si="171"/>
        <v>19</v>
      </c>
      <c r="B302" s="334" t="str">
        <f t="shared" si="168"/>
        <v>Blue hydrogen (liquid) - Americas - Logistics cost - USD/GJ</v>
      </c>
      <c r="C302" t="str" cm="1">
        <f t="array" ref="C302">INDEX(list_AE_fuel,A302)</f>
        <v>Blue hydrogen (liquid)</v>
      </c>
      <c r="D302" t="str">
        <f>INDEX('Configurator Specs.'!$AH:$AH,MATCH($C302,'Configurator Specs.'!$AE:$AE,0))</f>
        <v>Blue hydrogen (liquid)</v>
      </c>
      <c r="E302" t="str">
        <f t="shared" si="172"/>
        <v>Americas</v>
      </c>
      <c r="F302" t="str">
        <f t="shared" si="169"/>
        <v>Logistics cost - USD/GJ</v>
      </c>
      <c r="G302"/>
      <c r="H302" s="128"/>
      <c r="I302" t="s">
        <v>324</v>
      </c>
      <c r="K302" s="112">
        <f>SUMIFS('Fuel Logistics'!I:I,'Fuel Logistics'!$C:$C,$E302,'Fuel Logistics'!$D:$D,$D302,'Fuel Logistics'!$E:$E,"Logistics total")*IF($C302="Electricity",1,1/INDEX('TCO - Input'!$R$291:$R$321,MATCH($C302,'TCO - Input'!$F$291:$F$4010,0)))*1000</f>
        <v>12.489431919498305</v>
      </c>
      <c r="L302" s="112">
        <f>SUMIFS('Fuel Logistics'!J:J,'Fuel Logistics'!$C:$C,$E302,'Fuel Logistics'!$D:$D,$D302,'Fuel Logistics'!$E:$E,"Logistics total")*IF($C302="Electricity",1,1/INDEX('TCO - Input'!$R$291:$R$321,MATCH($C302,'TCO - Input'!$F$291:$F$4010,0)))*1000</f>
        <v>12.279459960024276</v>
      </c>
      <c r="M302" s="112">
        <f>SUMIFS('Fuel Logistics'!K:K,'Fuel Logistics'!$C:$C,$E302,'Fuel Logistics'!$D:$D,$D302,'Fuel Logistics'!$E:$E,"Logistics total")*IF($C302="Electricity",1,1/INDEX('TCO - Input'!$R$291:$R$321,MATCH($C302,'TCO - Input'!$F$291:$F$4010,0)))*1000</f>
        <v>12.211992107241846</v>
      </c>
      <c r="N302" s="112">
        <f>SUMIFS('Fuel Logistics'!L:L,'Fuel Logistics'!$C:$C,$E302,'Fuel Logistics'!$D:$D,$D302,'Fuel Logistics'!$E:$E,"Logistics total")*IF($C302="Electricity",1,1/INDEX('TCO - Input'!$R$291:$R$321,MATCH($C302,'TCO - Input'!$F$291:$F$4010,0)))*1000</f>
        <v>12.21085797169183</v>
      </c>
      <c r="O302" s="112">
        <f>SUMIFS('Fuel Logistics'!M:M,'Fuel Logistics'!$C:$C,$E302,'Fuel Logistics'!$D:$D,$D302,'Fuel Logistics'!$E:$E,"Logistics total")*IF($C302="Electricity",1,1/INDEX('TCO - Input'!$R$291:$R$321,MATCH($C302,'TCO - Input'!$F$291:$F$4010,0)))*1000</f>
        <v>12.176242219220713</v>
      </c>
      <c r="P302" s="112">
        <f>SUMIFS('Fuel Logistics'!N:N,'Fuel Logistics'!$C:$C,$E302,'Fuel Logistics'!$D:$D,$D302,'Fuel Logistics'!$E:$E,"Logistics total")*IF($C302="Electricity",1,1/INDEX('TCO - Input'!$R$291:$R$321,MATCH($C302,'TCO - Input'!$F$291:$F$4010,0)))*1000</f>
        <v>12.14959006455884</v>
      </c>
      <c r="Q302" s="112">
        <f>SUMIFS('Fuel Logistics'!O:O,'Fuel Logistics'!$C:$C,$E302,'Fuel Logistics'!$D:$D,$D302,'Fuel Logistics'!$E:$E,"Logistics total")*IF($C302="Electricity",1,1/INDEX('TCO - Input'!$R$291:$R$321,MATCH($C302,'TCO - Input'!$F$291:$F$4010,0)))*1000</f>
        <v>12.125884654084158</v>
      </c>
      <c r="R302" s="112">
        <f>SUMIFS('Fuel Logistics'!P:P,'Fuel Logistics'!$C:$C,$E302,'Fuel Logistics'!$D:$D,$D302,'Fuel Logistics'!$E:$E,"Logistics total")*IF($C302="Electricity",1,1/INDEX('TCO - Input'!$R$291:$R$321,MATCH($C302,'TCO - Input'!$F$291:$F$4010,0)))*1000</f>
        <v>12.125884654084158</v>
      </c>
      <c r="S302" s="112">
        <f>SUMIFS('Fuel Logistics'!Q:Q,'Fuel Logistics'!$C:$C,$E302,'Fuel Logistics'!$D:$D,$D302,'Fuel Logistics'!$E:$E,"Logistics total")*IF($C302="Electricity",1,1/INDEX('TCO - Input'!$R$291:$R$321,MATCH($C302,'TCO - Input'!$F$291:$F$4010,0)))*1000</f>
        <v>12.125884654084158</v>
      </c>
      <c r="T302" s="112">
        <f>SUMIFS('Fuel Logistics'!R:R,'Fuel Logistics'!$C:$C,$E302,'Fuel Logistics'!$D:$D,$D302,'Fuel Logistics'!$E:$E,"Logistics total")*IF($C302="Electricity",1,1/INDEX('TCO - Input'!$R$291:$R$321,MATCH($C302,'TCO - Input'!$F$291:$F$4010,0)))*1000</f>
        <v>12.125884654084158</v>
      </c>
      <c r="U302" s="112">
        <f>SUMIFS('Fuel Logistics'!S:S,'Fuel Logistics'!$C:$C,$E302,'Fuel Logistics'!$D:$D,$D302,'Fuel Logistics'!$E:$E,"Logistics total")*IF($C302="Electricity",1,1/INDEX('TCO - Input'!$R$291:$R$321,MATCH($C302,'TCO - Input'!$F$291:$F$4010,0)))*1000</f>
        <v>12.125884654084158</v>
      </c>
      <c r="V302" s="112">
        <f>SUMIFS('Fuel Logistics'!T:T,'Fuel Logistics'!$C:$C,$E302,'Fuel Logistics'!$D:$D,$D302,'Fuel Logistics'!$E:$E,"Logistics total")*IF($C302="Electricity",1,1/INDEX('TCO - Input'!$R$291:$R$321,MATCH($C302,'TCO - Input'!$F$291:$F$4010,0)))*1000</f>
        <v>12.125884654084158</v>
      </c>
    </row>
    <row r="303" spans="1:22" x14ac:dyDescent="0.2">
      <c r="A303" s="29">
        <f t="shared" si="171"/>
        <v>20</v>
      </c>
      <c r="B303" s="334" t="str">
        <f t="shared" si="168"/>
        <v>e-Hydrogen (liquid) - Americas - Logistics cost - USD/GJ</v>
      </c>
      <c r="C303" t="str" cm="1">
        <f t="array" ref="C303">INDEX(list_AE_fuel,A303)</f>
        <v>e-Hydrogen (liquid)</v>
      </c>
      <c r="D303" t="str">
        <f>INDEX('Configurator Specs.'!$AH:$AH,MATCH($C303,'Configurator Specs.'!$AE:$AE,0))</f>
        <v>e-Hydrogen (liquid)</v>
      </c>
      <c r="E303" t="str">
        <f t="shared" si="172"/>
        <v>Americas</v>
      </c>
      <c r="F303" t="str">
        <f t="shared" si="169"/>
        <v>Logistics cost - USD/GJ</v>
      </c>
      <c r="G303"/>
      <c r="H303" s="128"/>
      <c r="I303" t="s">
        <v>324</v>
      </c>
      <c r="K303" s="112">
        <f>SUMIFS('Fuel Logistics'!I:I,'Fuel Logistics'!$C:$C,$E303,'Fuel Logistics'!$D:$D,$D303,'Fuel Logistics'!$E:$E,"Logistics total")*IF($C303="Electricity",1,1/INDEX('TCO - Input'!$R$291:$R$321,MATCH($C303,'TCO - Input'!$F$291:$F$4010,0)))*1000</f>
        <v>12.975506226063928</v>
      </c>
      <c r="L303" s="112">
        <f>SUMIFS('Fuel Logistics'!J:J,'Fuel Logistics'!$C:$C,$E303,'Fuel Logistics'!$D:$D,$D303,'Fuel Logistics'!$E:$E,"Logistics total")*IF($C303="Electricity",1,1/INDEX('TCO - Input'!$R$291:$R$321,MATCH($C303,'TCO - Input'!$F$291:$F$4010,0)))*1000</f>
        <v>12.77008784138742</v>
      </c>
      <c r="M303" s="112">
        <f>SUMIFS('Fuel Logistics'!K:K,'Fuel Logistics'!$C:$C,$E303,'Fuel Logistics'!$D:$D,$D303,'Fuel Logistics'!$E:$E,"Logistics total")*IF($C303="Electricity",1,1/INDEX('TCO - Input'!$R$291:$R$321,MATCH($C303,'TCO - Input'!$F$291:$F$4010,0)))*1000</f>
        <v>12.522615888336121</v>
      </c>
      <c r="N303" s="112">
        <f>SUMIFS('Fuel Logistics'!L:L,'Fuel Logistics'!$C:$C,$E303,'Fuel Logistics'!$D:$D,$D303,'Fuel Logistics'!$E:$E,"Logistics total")*IF($C303="Electricity",1,1/INDEX('TCO - Input'!$R$291:$R$321,MATCH($C303,'TCO - Input'!$F$291:$F$4010,0)))*1000</f>
        <v>12.422507952134064</v>
      </c>
      <c r="O303" s="112">
        <f>SUMIFS('Fuel Logistics'!M:M,'Fuel Logistics'!$C:$C,$E303,'Fuel Logistics'!$D:$D,$D303,'Fuel Logistics'!$E:$E,"Logistics total")*IF($C303="Electricity",1,1/INDEX('TCO - Input'!$R$291:$R$321,MATCH($C303,'TCO - Input'!$F$291:$F$4010,0)))*1000</f>
        <v>12.276490737359531</v>
      </c>
      <c r="P303" s="112">
        <f>SUMIFS('Fuel Logistics'!N:N,'Fuel Logistics'!$C:$C,$E303,'Fuel Logistics'!$D:$D,$D303,'Fuel Logistics'!$E:$E,"Logistics total")*IF($C303="Electricity",1,1/INDEX('TCO - Input'!$R$291:$R$321,MATCH($C303,'TCO - Input'!$F$291:$F$4010,0)))*1000</f>
        <v>12.127689165917802</v>
      </c>
      <c r="Q303" s="112">
        <f>SUMIFS('Fuel Logistics'!O:O,'Fuel Logistics'!$C:$C,$E303,'Fuel Logistics'!$D:$D,$D303,'Fuel Logistics'!$E:$E,"Logistics total")*IF($C303="Electricity",1,1/INDEX('TCO - Input'!$R$291:$R$321,MATCH($C303,'TCO - Input'!$F$291:$F$4010,0)))*1000</f>
        <v>11.981613670568256</v>
      </c>
      <c r="R303" s="112">
        <f>SUMIFS('Fuel Logistics'!P:P,'Fuel Logistics'!$C:$C,$E303,'Fuel Logistics'!$D:$D,$D303,'Fuel Logistics'!$E:$E,"Logistics total")*IF($C303="Electricity",1,1/INDEX('TCO - Input'!$R$291:$R$321,MATCH($C303,'TCO - Input'!$F$291:$F$4010,0)))*1000</f>
        <v>11.981613670568256</v>
      </c>
      <c r="S303" s="112">
        <f>SUMIFS('Fuel Logistics'!Q:Q,'Fuel Logistics'!$C:$C,$E303,'Fuel Logistics'!$D:$D,$D303,'Fuel Logistics'!$E:$E,"Logistics total")*IF($C303="Electricity",1,1/INDEX('TCO - Input'!$R$291:$R$321,MATCH($C303,'TCO - Input'!$F$291:$F$4010,0)))*1000</f>
        <v>11.981613670568256</v>
      </c>
      <c r="T303" s="112">
        <f>SUMIFS('Fuel Logistics'!R:R,'Fuel Logistics'!$C:$C,$E303,'Fuel Logistics'!$D:$D,$D303,'Fuel Logistics'!$E:$E,"Logistics total")*IF($C303="Electricity",1,1/INDEX('TCO - Input'!$R$291:$R$321,MATCH($C303,'TCO - Input'!$F$291:$F$4010,0)))*1000</f>
        <v>11.981613670568256</v>
      </c>
      <c r="U303" s="112">
        <f>SUMIFS('Fuel Logistics'!S:S,'Fuel Logistics'!$C:$C,$E303,'Fuel Logistics'!$D:$D,$D303,'Fuel Logistics'!$E:$E,"Logistics total")*IF($C303="Electricity",1,1/INDEX('TCO - Input'!$R$291:$R$321,MATCH($C303,'TCO - Input'!$F$291:$F$4010,0)))*1000</f>
        <v>11.981613670568256</v>
      </c>
      <c r="V303" s="112">
        <f>SUMIFS('Fuel Logistics'!T:T,'Fuel Logistics'!$C:$C,$E303,'Fuel Logistics'!$D:$D,$D303,'Fuel Logistics'!$E:$E,"Logistics total")*IF($C303="Electricity",1,1/INDEX('TCO - Input'!$R$291:$R$321,MATCH($C303,'TCO - Input'!$F$291:$F$4010,0)))*1000</f>
        <v>11.981613670568256</v>
      </c>
    </row>
    <row r="304" spans="1:22" x14ac:dyDescent="0.2">
      <c r="B304"/>
      <c r="C304"/>
      <c r="D304"/>
      <c r="E304"/>
      <c r="F304"/>
      <c r="G304"/>
      <c r="H304"/>
      <c r="I304"/>
    </row>
    <row r="305" spans="1:22" x14ac:dyDescent="0.2">
      <c r="A305" s="29">
        <v>1</v>
      </c>
      <c r="B305" s="334" t="str">
        <f t="shared" ref="B305:B316" si="173">_xlfn.TEXTJOIN(keydelim,TRUE,C305,E305,F305)</f>
        <v>LSFO - Africa&amp;Other - Logistics cost - USD/GJ</v>
      </c>
      <c r="C305" t="str" cm="1">
        <f t="array" ref="C305">INDEX(list_AE_fuel,A305)</f>
        <v>LSFO</v>
      </c>
      <c r="D305" t="str">
        <f>INDEX('Configurator Specs.'!$AH:$AH,MATCH($C305,'Configurator Specs.'!$AE:$AE,0))</f>
        <v>HFO</v>
      </c>
      <c r="E305" t="s">
        <v>498</v>
      </c>
      <c r="F305" t="str">
        <f t="shared" ref="F305:F316" si="174">"Logistics cost"  &amp;keydelim &amp;I305</f>
        <v>Logistics cost - USD/GJ</v>
      </c>
      <c r="G305" s="128"/>
      <c r="H305" s="128"/>
      <c r="I305" t="s">
        <v>324</v>
      </c>
      <c r="K305" s="112">
        <f>SUMIFS('Fuel Logistics'!I:I,'Fuel Logistics'!$C:$C,$E305,'Fuel Logistics'!$D:$D,$D305,'Fuel Logistics'!$E:$E,"Logistics total")*IF($C305="Electricity",1,1/INDEX('TCO - Input'!$R$291:$R$321,MATCH($C305,'TCO - Input'!$F$291:$F$4010,0)))*1000</f>
        <v>0</v>
      </c>
      <c r="L305" s="112">
        <f>SUMIFS('Fuel Logistics'!J:J,'Fuel Logistics'!$C:$C,$E305,'Fuel Logistics'!$D:$D,$D305,'Fuel Logistics'!$E:$E,"Logistics total")*IF($C305="Electricity",1,1/INDEX('TCO - Input'!$R$291:$R$321,MATCH($C305,'TCO - Input'!$F$291:$F$4010,0)))*1000</f>
        <v>0</v>
      </c>
      <c r="M305" s="112">
        <f>SUMIFS('Fuel Logistics'!K:K,'Fuel Logistics'!$C:$C,$E305,'Fuel Logistics'!$D:$D,$D305,'Fuel Logistics'!$E:$E,"Logistics total")*IF($C305="Electricity",1,1/INDEX('TCO - Input'!$R$291:$R$321,MATCH($C305,'TCO - Input'!$F$291:$F$4010,0)))*1000</f>
        <v>0</v>
      </c>
      <c r="N305" s="112">
        <f>SUMIFS('Fuel Logistics'!L:L,'Fuel Logistics'!$C:$C,$E305,'Fuel Logistics'!$D:$D,$D305,'Fuel Logistics'!$E:$E,"Logistics total")*IF($C305="Electricity",1,1/INDEX('TCO - Input'!$R$291:$R$321,MATCH($C305,'TCO - Input'!$F$291:$F$4010,0)))*1000</f>
        <v>0</v>
      </c>
      <c r="O305" s="112">
        <f>SUMIFS('Fuel Logistics'!M:M,'Fuel Logistics'!$C:$C,$E305,'Fuel Logistics'!$D:$D,$D305,'Fuel Logistics'!$E:$E,"Logistics total")*IF($C305="Electricity",1,1/INDEX('TCO - Input'!$R$291:$R$321,MATCH($C305,'TCO - Input'!$F$291:$F$4010,0)))*1000</f>
        <v>0</v>
      </c>
      <c r="P305" s="112">
        <f>SUMIFS('Fuel Logistics'!N:N,'Fuel Logistics'!$C:$C,$E305,'Fuel Logistics'!$D:$D,$D305,'Fuel Logistics'!$E:$E,"Logistics total")*IF($C305="Electricity",1,1/INDEX('TCO - Input'!$R$291:$R$321,MATCH($C305,'TCO - Input'!$F$291:$F$4010,0)))*1000</f>
        <v>0</v>
      </c>
      <c r="Q305" s="112">
        <f>SUMIFS('Fuel Logistics'!O:O,'Fuel Logistics'!$C:$C,$E305,'Fuel Logistics'!$D:$D,$D305,'Fuel Logistics'!$E:$E,"Logistics total")*IF($C305="Electricity",1,1/INDEX('TCO - Input'!$R$291:$R$321,MATCH($C305,'TCO - Input'!$F$291:$F$4010,0)))*1000</f>
        <v>0</v>
      </c>
      <c r="R305" s="112">
        <f>SUMIFS('Fuel Logistics'!P:P,'Fuel Logistics'!$C:$C,$E305,'Fuel Logistics'!$D:$D,$D305,'Fuel Logistics'!$E:$E,"Logistics total")*IF($C305="Electricity",1,1/INDEX('TCO - Input'!$R$291:$R$321,MATCH($C305,'TCO - Input'!$F$291:$F$4010,0)))*1000</f>
        <v>0</v>
      </c>
      <c r="S305" s="112">
        <f>SUMIFS('Fuel Logistics'!Q:Q,'Fuel Logistics'!$C:$C,$E305,'Fuel Logistics'!$D:$D,$D305,'Fuel Logistics'!$E:$E,"Logistics total")*IF($C305="Electricity",1,1/INDEX('TCO - Input'!$R$291:$R$321,MATCH($C305,'TCO - Input'!$F$291:$F$4010,0)))*1000</f>
        <v>0</v>
      </c>
      <c r="T305" s="112">
        <f>SUMIFS('Fuel Logistics'!R:R,'Fuel Logistics'!$C:$C,$E305,'Fuel Logistics'!$D:$D,$D305,'Fuel Logistics'!$E:$E,"Logistics total")*IF($C305="Electricity",1,1/INDEX('TCO - Input'!$R$291:$R$321,MATCH($C305,'TCO - Input'!$F$291:$F$4010,0)))*1000</f>
        <v>0</v>
      </c>
      <c r="U305" s="112">
        <f>SUMIFS('Fuel Logistics'!S:S,'Fuel Logistics'!$C:$C,$E305,'Fuel Logistics'!$D:$D,$D305,'Fuel Logistics'!$E:$E,"Logistics total")*IF($C305="Electricity",1,1/INDEX('TCO - Input'!$R$291:$R$321,MATCH($C305,'TCO - Input'!$F$291:$F$4010,0)))*1000</f>
        <v>0</v>
      </c>
      <c r="V305" s="112">
        <f>SUMIFS('Fuel Logistics'!T:T,'Fuel Logistics'!$C:$C,$E305,'Fuel Logistics'!$D:$D,$D305,'Fuel Logistics'!$E:$E,"Logistics total")*IF($C305="Electricity",1,1/INDEX('TCO - Input'!$R$291:$R$321,MATCH($C305,'TCO - Input'!$F$291:$F$4010,0)))*1000</f>
        <v>0</v>
      </c>
    </row>
    <row r="306" spans="1:22" x14ac:dyDescent="0.2">
      <c r="A306" s="29">
        <f>A305+1</f>
        <v>2</v>
      </c>
      <c r="B306" s="334" t="str">
        <f t="shared" si="173"/>
        <v>LNG - Africa&amp;Other - Logistics cost - USD/GJ</v>
      </c>
      <c r="C306" t="str" cm="1">
        <f t="array" ref="C306">INDEX(list_AE_fuel,A306)</f>
        <v>LNG</v>
      </c>
      <c r="D306" t="str">
        <f>INDEX('Configurator Specs.'!$AH:$AH,MATCH($C306,'Configurator Specs.'!$AE:$AE,0))</f>
        <v>LNG &amp; e-Methane</v>
      </c>
      <c r="E306" t="str">
        <f t="shared" ref="E306:E315" si="175">E305</f>
        <v>Africa&amp;Other</v>
      </c>
      <c r="F306" t="str">
        <f t="shared" si="174"/>
        <v>Logistics cost - USD/GJ</v>
      </c>
      <c r="G306" s="128"/>
      <c r="H306" s="128"/>
      <c r="I306" t="s">
        <v>324</v>
      </c>
      <c r="K306" s="112">
        <f>SUMIFS('Fuel Logistics'!I:I,'Fuel Logistics'!$C:$C,$E306,'Fuel Logistics'!$D:$D,$D306,'Fuel Logistics'!$E:$E,"Logistics total")*IF($C306="Electricity",1,1/INDEX('TCO - Input'!$R$291:$R$321,MATCH($C306,'TCO - Input'!$F$291:$F$4010,0)))*1000</f>
        <v>0.86371602599972974</v>
      </c>
      <c r="L306" s="112">
        <f>SUMIFS('Fuel Logistics'!J:J,'Fuel Logistics'!$C:$C,$E306,'Fuel Logistics'!$D:$D,$D306,'Fuel Logistics'!$E:$E,"Logistics total")*IF($C306="Electricity",1,1/INDEX('TCO - Input'!$R$291:$R$321,MATCH($C306,'TCO - Input'!$F$291:$F$4010,0)))*1000</f>
        <v>0.85656507467527254</v>
      </c>
      <c r="M306" s="112">
        <f>SUMIFS('Fuel Logistics'!K:K,'Fuel Logistics'!$C:$C,$E306,'Fuel Logistics'!$D:$D,$D306,'Fuel Logistics'!$E:$E,"Logistics total")*IF($C306="Electricity",1,1/INDEX('TCO - Input'!$R$291:$R$321,MATCH($C306,'TCO - Input'!$F$291:$F$4010,0)))*1000</f>
        <v>0.85457163381091972</v>
      </c>
      <c r="N306" s="112">
        <f>SUMIFS('Fuel Logistics'!L:L,'Fuel Logistics'!$C:$C,$E306,'Fuel Logistics'!$D:$D,$D306,'Fuel Logistics'!$E:$E,"Logistics total")*IF($C306="Electricity",1,1/INDEX('TCO - Input'!$R$291:$R$321,MATCH($C306,'TCO - Input'!$F$291:$F$4010,0)))*1000</f>
        <v>0.8534588925728378</v>
      </c>
      <c r="O306" s="112">
        <f>SUMIFS('Fuel Logistics'!M:M,'Fuel Logistics'!$C:$C,$E306,'Fuel Logistics'!$D:$D,$D306,'Fuel Logistics'!$E:$E,"Logistics total")*IF($C306="Electricity",1,1/INDEX('TCO - Input'!$R$291:$R$321,MATCH($C306,'TCO - Input'!$F$291:$F$4010,0)))*1000</f>
        <v>0.85293514355676747</v>
      </c>
      <c r="P306" s="112">
        <f>SUMIFS('Fuel Logistics'!N:N,'Fuel Logistics'!$C:$C,$E306,'Fuel Logistics'!$D:$D,$D306,'Fuel Logistics'!$E:$E,"Logistics total")*IF($C306="Electricity",1,1/INDEX('TCO - Input'!$R$291:$R$321,MATCH($C306,'TCO - Input'!$F$291:$F$4010,0)))*1000</f>
        <v>0.85239658755352554</v>
      </c>
      <c r="Q306" s="112">
        <f>SUMIFS('Fuel Logistics'!O:O,'Fuel Logistics'!$C:$C,$E306,'Fuel Logistics'!$D:$D,$D306,'Fuel Logistics'!$E:$E,"Logistics total")*IF($C306="Electricity",1,1/INDEX('TCO - Input'!$R$291:$R$321,MATCH($C306,'TCO - Input'!$F$291:$F$4010,0)))*1000</f>
        <v>0.85213224984381464</v>
      </c>
      <c r="R306" s="112">
        <f>SUMIFS('Fuel Logistics'!P:P,'Fuel Logistics'!$C:$C,$E306,'Fuel Logistics'!$D:$D,$D306,'Fuel Logistics'!$E:$E,"Logistics total")*IF($C306="Electricity",1,1/INDEX('TCO - Input'!$R$291:$R$321,MATCH($C306,'TCO - Input'!$F$291:$F$4010,0)))*1000</f>
        <v>0.85213224984381464</v>
      </c>
      <c r="S306" s="112">
        <f>SUMIFS('Fuel Logistics'!Q:Q,'Fuel Logistics'!$C:$C,$E306,'Fuel Logistics'!$D:$D,$D306,'Fuel Logistics'!$E:$E,"Logistics total")*IF($C306="Electricity",1,1/INDEX('TCO - Input'!$R$291:$R$321,MATCH($C306,'TCO - Input'!$F$291:$F$4010,0)))*1000</f>
        <v>0.85213224984381464</v>
      </c>
      <c r="T306" s="112">
        <f>SUMIFS('Fuel Logistics'!R:R,'Fuel Logistics'!$C:$C,$E306,'Fuel Logistics'!$D:$D,$D306,'Fuel Logistics'!$E:$E,"Logistics total")*IF($C306="Electricity",1,1/INDEX('TCO - Input'!$R$291:$R$321,MATCH($C306,'TCO - Input'!$F$291:$F$4010,0)))*1000</f>
        <v>0.85213224984381464</v>
      </c>
      <c r="U306" s="112">
        <f>SUMIFS('Fuel Logistics'!S:S,'Fuel Logistics'!$C:$C,$E306,'Fuel Logistics'!$D:$D,$D306,'Fuel Logistics'!$E:$E,"Logistics total")*IF($C306="Electricity",1,1/INDEX('TCO - Input'!$R$291:$R$321,MATCH($C306,'TCO - Input'!$F$291:$F$4010,0)))*1000</f>
        <v>0.85213224984381464</v>
      </c>
      <c r="V306" s="112">
        <f>SUMIFS('Fuel Logistics'!T:T,'Fuel Logistics'!$C:$C,$E306,'Fuel Logistics'!$D:$D,$D306,'Fuel Logistics'!$E:$E,"Logistics total")*IF($C306="Electricity",1,1/INDEX('TCO - Input'!$R$291:$R$321,MATCH($C306,'TCO - Input'!$F$291:$F$4010,0)))*1000</f>
        <v>0.85213224984381464</v>
      </c>
    </row>
    <row r="307" spans="1:22" x14ac:dyDescent="0.2">
      <c r="A307" s="29">
        <f t="shared" ref="A307:A324" si="176">A306+1</f>
        <v>3</v>
      </c>
      <c r="B307" s="334" t="str">
        <f t="shared" si="173"/>
        <v>LPG - Africa&amp;Other - Logistics cost - USD/GJ</v>
      </c>
      <c r="C307" t="str" cm="1">
        <f t="array" ref="C307">INDEX(list_AE_fuel,A307)</f>
        <v>LPG</v>
      </c>
      <c r="D307" t="str">
        <f>INDEX('Configurator Specs.'!$AH:$AH,MATCH($C307,'Configurator Specs.'!$AE:$AE,0))</f>
        <v>LPG</v>
      </c>
      <c r="E307" t="str">
        <f t="shared" si="175"/>
        <v>Africa&amp;Other</v>
      </c>
      <c r="F307" t="str">
        <f t="shared" si="174"/>
        <v>Logistics cost - USD/GJ</v>
      </c>
      <c r="G307" s="128"/>
      <c r="H307" s="128"/>
      <c r="I307" t="s">
        <v>324</v>
      </c>
      <c r="K307" s="112">
        <f>SUMIFS('Fuel Logistics'!I:I,'Fuel Logistics'!$C:$C,$E307,'Fuel Logistics'!$D:$D,$D307,'Fuel Logistics'!$E:$E,"Logistics total")*IF($C307="Electricity",1,1/INDEX('TCO - Input'!$R$291:$R$321,MATCH($C307,'TCO - Input'!$F$291:$F$4010,0)))*1000</f>
        <v>0</v>
      </c>
      <c r="L307" s="112">
        <f>SUMIFS('Fuel Logistics'!J:J,'Fuel Logistics'!$C:$C,$E307,'Fuel Logistics'!$D:$D,$D307,'Fuel Logistics'!$E:$E,"Logistics total")*IF($C307="Electricity",1,1/INDEX('TCO - Input'!$R$291:$R$321,MATCH($C307,'TCO - Input'!$F$291:$F$4010,0)))*1000</f>
        <v>0</v>
      </c>
      <c r="M307" s="112">
        <f>SUMIFS('Fuel Logistics'!K:K,'Fuel Logistics'!$C:$C,$E307,'Fuel Logistics'!$D:$D,$D307,'Fuel Logistics'!$E:$E,"Logistics total")*IF($C307="Electricity",1,1/INDEX('TCO - Input'!$R$291:$R$321,MATCH($C307,'TCO - Input'!$F$291:$F$4010,0)))*1000</f>
        <v>0</v>
      </c>
      <c r="N307" s="112">
        <f>SUMIFS('Fuel Logistics'!L:L,'Fuel Logistics'!$C:$C,$E307,'Fuel Logistics'!$D:$D,$D307,'Fuel Logistics'!$E:$E,"Logistics total")*IF($C307="Electricity",1,1/INDEX('TCO - Input'!$R$291:$R$321,MATCH($C307,'TCO - Input'!$F$291:$F$4010,0)))*1000</f>
        <v>0</v>
      </c>
      <c r="O307" s="112">
        <f>SUMIFS('Fuel Logistics'!M:M,'Fuel Logistics'!$C:$C,$E307,'Fuel Logistics'!$D:$D,$D307,'Fuel Logistics'!$E:$E,"Logistics total")*IF($C307="Electricity",1,1/INDEX('TCO - Input'!$R$291:$R$321,MATCH($C307,'TCO - Input'!$F$291:$F$4010,0)))*1000</f>
        <v>0</v>
      </c>
      <c r="P307" s="112">
        <f>SUMIFS('Fuel Logistics'!N:N,'Fuel Logistics'!$C:$C,$E307,'Fuel Logistics'!$D:$D,$D307,'Fuel Logistics'!$E:$E,"Logistics total")*IF($C307="Electricity",1,1/INDEX('TCO - Input'!$R$291:$R$321,MATCH($C307,'TCO - Input'!$F$291:$F$4010,0)))*1000</f>
        <v>0</v>
      </c>
      <c r="Q307" s="112">
        <f>SUMIFS('Fuel Logistics'!O:O,'Fuel Logistics'!$C:$C,$E307,'Fuel Logistics'!$D:$D,$D307,'Fuel Logistics'!$E:$E,"Logistics total")*IF($C307="Electricity",1,1/INDEX('TCO - Input'!$R$291:$R$321,MATCH($C307,'TCO - Input'!$F$291:$F$4010,0)))*1000</f>
        <v>0</v>
      </c>
      <c r="R307" s="112">
        <f>SUMIFS('Fuel Logistics'!P:P,'Fuel Logistics'!$C:$C,$E307,'Fuel Logistics'!$D:$D,$D307,'Fuel Logistics'!$E:$E,"Logistics total")*IF($C307="Electricity",1,1/INDEX('TCO - Input'!$R$291:$R$321,MATCH($C307,'TCO - Input'!$F$291:$F$4010,0)))*1000</f>
        <v>0</v>
      </c>
      <c r="S307" s="112">
        <f>SUMIFS('Fuel Logistics'!Q:Q,'Fuel Logistics'!$C:$C,$E307,'Fuel Logistics'!$D:$D,$D307,'Fuel Logistics'!$E:$E,"Logistics total")*IF($C307="Electricity",1,1/INDEX('TCO - Input'!$R$291:$R$321,MATCH($C307,'TCO - Input'!$F$291:$F$4010,0)))*1000</f>
        <v>0</v>
      </c>
      <c r="T307" s="112">
        <f>SUMIFS('Fuel Logistics'!R:R,'Fuel Logistics'!$C:$C,$E307,'Fuel Logistics'!$D:$D,$D307,'Fuel Logistics'!$E:$E,"Logistics total")*IF($C307="Electricity",1,1/INDEX('TCO - Input'!$R$291:$R$321,MATCH($C307,'TCO - Input'!$F$291:$F$4010,0)))*1000</f>
        <v>0</v>
      </c>
      <c r="U307" s="112">
        <f>SUMIFS('Fuel Logistics'!S:S,'Fuel Logistics'!$C:$C,$E307,'Fuel Logistics'!$D:$D,$D307,'Fuel Logistics'!$E:$E,"Logistics total")*IF($C307="Electricity",1,1/INDEX('TCO - Input'!$R$291:$R$321,MATCH($C307,'TCO - Input'!$F$291:$F$4010,0)))*1000</f>
        <v>0</v>
      </c>
      <c r="V307" s="112">
        <f>SUMIFS('Fuel Logistics'!T:T,'Fuel Logistics'!$C:$C,$E307,'Fuel Logistics'!$D:$D,$D307,'Fuel Logistics'!$E:$E,"Logistics total")*IF($C307="Electricity",1,1/INDEX('TCO - Input'!$R$291:$R$321,MATCH($C307,'TCO - Input'!$F$291:$F$4010,0)))*1000</f>
        <v>0</v>
      </c>
    </row>
    <row r="308" spans="1:22" x14ac:dyDescent="0.2">
      <c r="A308" s="29">
        <f t="shared" si="176"/>
        <v>4</v>
      </c>
      <c r="B308" s="334" t="str">
        <f t="shared" si="173"/>
        <v>Electricity - Africa&amp;Other - Logistics cost - USD/GJ</v>
      </c>
      <c r="C308" t="str" cm="1">
        <f t="array" ref="C308">INDEX(list_AE_fuel,A308)</f>
        <v>Electricity</v>
      </c>
      <c r="D308" t="str">
        <f>INDEX('Configurator Specs.'!$AH:$AH,MATCH($C308,'Configurator Specs.'!$AE:$AE,0))</f>
        <v>Electricity</v>
      </c>
      <c r="E308" t="str">
        <f t="shared" si="175"/>
        <v>Africa&amp;Other</v>
      </c>
      <c r="F308" t="str">
        <f t="shared" si="174"/>
        <v>Logistics cost - USD/GJ</v>
      </c>
      <c r="G308" s="128"/>
      <c r="H308" s="128"/>
      <c r="I308" t="s">
        <v>324</v>
      </c>
      <c r="K308" s="112">
        <f>SUMIFS('Fuel Logistics'!I:I,'Fuel Logistics'!$C:$C,$E308,'Fuel Logistics'!$D:$D,$D308,'Fuel Logistics'!$E:$E,"Logistics total")*IF($C308="Electricity",1,1/INDEX('TCO - Input'!$R$291:$R$321,MATCH($C308,'TCO - Input'!$F$291:$F$4010,0)))*1000</f>
        <v>18.782608695652176</v>
      </c>
      <c r="L308" s="112">
        <f>SUMIFS('Fuel Logistics'!J:J,'Fuel Logistics'!$C:$C,$E308,'Fuel Logistics'!$D:$D,$D308,'Fuel Logistics'!$E:$E,"Logistics total")*IF($C308="Electricity",1,1/INDEX('TCO - Input'!$R$291:$R$321,MATCH($C308,'TCO - Input'!$F$291:$F$4010,0)))*1000</f>
        <v>18.782608695652176</v>
      </c>
      <c r="M308" s="112">
        <f>SUMIFS('Fuel Logistics'!K:K,'Fuel Logistics'!$C:$C,$E308,'Fuel Logistics'!$D:$D,$D308,'Fuel Logistics'!$E:$E,"Logistics total")*IF($C308="Electricity",1,1/INDEX('TCO - Input'!$R$291:$R$321,MATCH($C308,'TCO - Input'!$F$291:$F$4010,0)))*1000</f>
        <v>18.782608695652176</v>
      </c>
      <c r="N308" s="112">
        <f>SUMIFS('Fuel Logistics'!L:L,'Fuel Logistics'!$C:$C,$E308,'Fuel Logistics'!$D:$D,$D308,'Fuel Logistics'!$E:$E,"Logistics total")*IF($C308="Electricity",1,1/INDEX('TCO - Input'!$R$291:$R$321,MATCH($C308,'TCO - Input'!$F$291:$F$4010,0)))*1000</f>
        <v>18.782608695652176</v>
      </c>
      <c r="O308" s="112">
        <f>SUMIFS('Fuel Logistics'!M:M,'Fuel Logistics'!$C:$C,$E308,'Fuel Logistics'!$D:$D,$D308,'Fuel Logistics'!$E:$E,"Logistics total")*IF($C308="Electricity",1,1/INDEX('TCO - Input'!$R$291:$R$321,MATCH($C308,'TCO - Input'!$F$291:$F$4010,0)))*1000</f>
        <v>18.782608695652176</v>
      </c>
      <c r="P308" s="112">
        <f>SUMIFS('Fuel Logistics'!N:N,'Fuel Logistics'!$C:$C,$E308,'Fuel Logistics'!$D:$D,$D308,'Fuel Logistics'!$E:$E,"Logistics total")*IF($C308="Electricity",1,1/INDEX('TCO - Input'!$R$291:$R$321,MATCH($C308,'TCO - Input'!$F$291:$F$4010,0)))*1000</f>
        <v>18.782608695652176</v>
      </c>
      <c r="Q308" s="112">
        <f>SUMIFS('Fuel Logistics'!O:O,'Fuel Logistics'!$C:$C,$E308,'Fuel Logistics'!$D:$D,$D308,'Fuel Logistics'!$E:$E,"Logistics total")*IF($C308="Electricity",1,1/INDEX('TCO - Input'!$R$291:$R$321,MATCH($C308,'TCO - Input'!$F$291:$F$4010,0)))*1000</f>
        <v>18.782608695652176</v>
      </c>
      <c r="R308" s="112">
        <f>SUMIFS('Fuel Logistics'!P:P,'Fuel Logistics'!$C:$C,$E308,'Fuel Logistics'!$D:$D,$D308,'Fuel Logistics'!$E:$E,"Logistics total")*IF($C308="Electricity",1,1/INDEX('TCO - Input'!$R$291:$R$321,MATCH($C308,'TCO - Input'!$F$291:$F$4010,0)))*1000</f>
        <v>18.782608695652176</v>
      </c>
      <c r="S308" s="112">
        <f>SUMIFS('Fuel Logistics'!Q:Q,'Fuel Logistics'!$C:$C,$E308,'Fuel Logistics'!$D:$D,$D308,'Fuel Logistics'!$E:$E,"Logistics total")*IF($C308="Electricity",1,1/INDEX('TCO - Input'!$R$291:$R$321,MATCH($C308,'TCO - Input'!$F$291:$F$4010,0)))*1000</f>
        <v>18.782608695652176</v>
      </c>
      <c r="T308" s="112">
        <f>SUMIFS('Fuel Logistics'!R:R,'Fuel Logistics'!$C:$C,$E308,'Fuel Logistics'!$D:$D,$D308,'Fuel Logistics'!$E:$E,"Logistics total")*IF($C308="Electricity",1,1/INDEX('TCO - Input'!$R$291:$R$321,MATCH($C308,'TCO - Input'!$F$291:$F$4010,0)))*1000</f>
        <v>18.782608695652176</v>
      </c>
      <c r="U308" s="112">
        <f>SUMIFS('Fuel Logistics'!S:S,'Fuel Logistics'!$C:$C,$E308,'Fuel Logistics'!$D:$D,$D308,'Fuel Logistics'!$E:$E,"Logistics total")*IF($C308="Electricity",1,1/INDEX('TCO - Input'!$R$291:$R$321,MATCH($C308,'TCO - Input'!$F$291:$F$4010,0)))*1000</f>
        <v>18.782608695652176</v>
      </c>
      <c r="V308" s="112">
        <f>SUMIFS('Fuel Logistics'!T:T,'Fuel Logistics'!$C:$C,$E308,'Fuel Logistics'!$D:$D,$D308,'Fuel Logistics'!$E:$E,"Logistics total")*IF($C308="Electricity",1,1/INDEX('TCO - Input'!$R$291:$R$321,MATCH($C308,'TCO - Input'!$F$291:$F$4010,0)))*1000</f>
        <v>18.782608695652176</v>
      </c>
    </row>
    <row r="309" spans="1:22" x14ac:dyDescent="0.2">
      <c r="A309" s="29">
        <f t="shared" si="176"/>
        <v>5</v>
      </c>
      <c r="B309" s="334" t="str">
        <f t="shared" si="173"/>
        <v>e-Ammonia - Africa&amp;Other - Logistics cost - USD/GJ</v>
      </c>
      <c r="C309" t="str" cm="1">
        <f t="array" ref="C309">INDEX(list_AE_fuel,A309)</f>
        <v>e-Ammonia</v>
      </c>
      <c r="D309" t="str">
        <f>INDEX('Configurator Specs.'!$AH:$AH,MATCH($C309,'Configurator Specs.'!$AE:$AE,0))</f>
        <v>Ammonia</v>
      </c>
      <c r="E309" t="str">
        <f t="shared" si="175"/>
        <v>Africa&amp;Other</v>
      </c>
      <c r="F309" t="str">
        <f t="shared" si="174"/>
        <v>Logistics cost - USD/GJ</v>
      </c>
      <c r="G309" s="226"/>
      <c r="H309" s="128"/>
      <c r="I309" t="s">
        <v>324</v>
      </c>
      <c r="K309" s="112">
        <f>SUMIFS('Fuel Logistics'!I:I,'Fuel Logistics'!$C:$C,$E309,'Fuel Logistics'!$D:$D,$D309,'Fuel Logistics'!$E:$E,"Logistics total")*IF($C309="Electricity",1,1/INDEX('TCO - Input'!$R$291:$R$321,MATCH($C309,'TCO - Input'!$F$291:$F$4010,0)))*1000</f>
        <v>1.1748811166762734</v>
      </c>
      <c r="L309" s="112">
        <f>SUMIFS('Fuel Logistics'!J:J,'Fuel Logistics'!$C:$C,$E309,'Fuel Logistics'!$D:$D,$D309,'Fuel Logistics'!$E:$E,"Logistics total")*IF($C309="Electricity",1,1/INDEX('TCO - Input'!$R$291:$R$321,MATCH($C309,'TCO - Input'!$F$291:$F$4010,0)))*1000</f>
        <v>1.1398703390779525</v>
      </c>
      <c r="M309" s="112">
        <f>SUMIFS('Fuel Logistics'!K:K,'Fuel Logistics'!$C:$C,$E309,'Fuel Logistics'!$D:$D,$D309,'Fuel Logistics'!$E:$E,"Logistics total")*IF($C309="Electricity",1,1/INDEX('TCO - Input'!$R$291:$R$321,MATCH($C309,'TCO - Input'!$F$291:$F$4010,0)))*1000</f>
        <v>1.1301105306845476</v>
      </c>
      <c r="N309" s="112">
        <f>SUMIFS('Fuel Logistics'!L:L,'Fuel Logistics'!$C:$C,$E309,'Fuel Logistics'!$D:$D,$D309,'Fuel Logistics'!$E:$E,"Logistics total")*IF($C309="Electricity",1,1/INDEX('TCO - Input'!$R$291:$R$321,MATCH($C309,'TCO - Input'!$F$291:$F$4010,0)))*1000</f>
        <v>1.1246625931663989</v>
      </c>
      <c r="O309" s="112">
        <f>SUMIFS('Fuel Logistics'!M:M,'Fuel Logistics'!$C:$C,$E309,'Fuel Logistics'!$D:$D,$D309,'Fuel Logistics'!$E:$E,"Logistics total")*IF($C309="Electricity",1,1/INDEX('TCO - Input'!$R$291:$R$321,MATCH($C309,'TCO - Input'!$F$291:$F$4010,0)))*1000</f>
        <v>1.1220983384977559</v>
      </c>
      <c r="P309" s="112">
        <f>SUMIFS('Fuel Logistics'!N:N,'Fuel Logistics'!$C:$C,$E309,'Fuel Logistics'!$D:$D,$D309,'Fuel Logistics'!$E:$E,"Logistics total")*IF($C309="Electricity",1,1/INDEX('TCO - Input'!$R$291:$R$321,MATCH($C309,'TCO - Input'!$F$291:$F$4010,0)))*1000</f>
        <v>1.1194615893998765</v>
      </c>
      <c r="Q309" s="112">
        <f>SUMIFS('Fuel Logistics'!O:O,'Fuel Logistics'!$C:$C,$E309,'Fuel Logistics'!$D:$D,$D309,'Fuel Logistics'!$E:$E,"Logistics total")*IF($C309="Electricity",1,1/INDEX('TCO - Input'!$R$291:$R$321,MATCH($C309,'TCO - Input'!$F$291:$F$4010,0)))*1000</f>
        <v>1.1181674023266279</v>
      </c>
      <c r="R309" s="112">
        <f>SUMIFS('Fuel Logistics'!P:P,'Fuel Logistics'!$C:$C,$E309,'Fuel Logistics'!$D:$D,$D309,'Fuel Logistics'!$E:$E,"Logistics total")*IF($C309="Electricity",1,1/INDEX('TCO - Input'!$R$291:$R$321,MATCH($C309,'TCO - Input'!$F$291:$F$4010,0)))*1000</f>
        <v>1.1181674023266279</v>
      </c>
      <c r="S309" s="112">
        <f>SUMIFS('Fuel Logistics'!Q:Q,'Fuel Logistics'!$C:$C,$E309,'Fuel Logistics'!$D:$D,$D309,'Fuel Logistics'!$E:$E,"Logistics total")*IF($C309="Electricity",1,1/INDEX('TCO - Input'!$R$291:$R$321,MATCH($C309,'TCO - Input'!$F$291:$F$4010,0)))*1000</f>
        <v>1.1181674023266279</v>
      </c>
      <c r="T309" s="112">
        <f>SUMIFS('Fuel Logistics'!R:R,'Fuel Logistics'!$C:$C,$E309,'Fuel Logistics'!$D:$D,$D309,'Fuel Logistics'!$E:$E,"Logistics total")*IF($C309="Electricity",1,1/INDEX('TCO - Input'!$R$291:$R$321,MATCH($C309,'TCO - Input'!$F$291:$F$4010,0)))*1000</f>
        <v>1.1181674023266279</v>
      </c>
      <c r="U309" s="112">
        <f>SUMIFS('Fuel Logistics'!S:S,'Fuel Logistics'!$C:$C,$E309,'Fuel Logistics'!$D:$D,$D309,'Fuel Logistics'!$E:$E,"Logistics total")*IF($C309="Electricity",1,1/INDEX('TCO - Input'!$R$291:$R$321,MATCH($C309,'TCO - Input'!$F$291:$F$4010,0)))*1000</f>
        <v>1.1181674023266279</v>
      </c>
      <c r="V309" s="112">
        <f>SUMIFS('Fuel Logistics'!T:T,'Fuel Logistics'!$C:$C,$E309,'Fuel Logistics'!$D:$D,$D309,'Fuel Logistics'!$E:$E,"Logistics total")*IF($C309="Electricity",1,1/INDEX('TCO - Input'!$R$291:$R$321,MATCH($C309,'TCO - Input'!$F$291:$F$4010,0)))*1000</f>
        <v>1.1181674023266279</v>
      </c>
    </row>
    <row r="310" spans="1:22" x14ac:dyDescent="0.2">
      <c r="A310" s="29">
        <f t="shared" si="176"/>
        <v>6</v>
      </c>
      <c r="B310" s="334" t="str">
        <f t="shared" si="173"/>
        <v>Blue ammonia - Africa&amp;Other - Logistics cost - USD/GJ</v>
      </c>
      <c r="C310" t="str" cm="1">
        <f t="array" ref="C310">INDEX(list_AE_fuel,A310)</f>
        <v>Blue ammonia</v>
      </c>
      <c r="D310" t="str">
        <f>INDEX('Configurator Specs.'!$AH:$AH,MATCH($C310,'Configurator Specs.'!$AE:$AE,0))</f>
        <v>Ammonia</v>
      </c>
      <c r="E310" t="str">
        <f t="shared" si="175"/>
        <v>Africa&amp;Other</v>
      </c>
      <c r="F310" t="str">
        <f t="shared" si="174"/>
        <v>Logistics cost - USD/GJ</v>
      </c>
      <c r="G310" s="226"/>
      <c r="H310" s="128"/>
      <c r="I310" t="s">
        <v>324</v>
      </c>
      <c r="K310" s="112">
        <f>SUMIFS('Fuel Logistics'!I:I,'Fuel Logistics'!$C:$C,$E310,'Fuel Logistics'!$D:$D,$D310,'Fuel Logistics'!$E:$E,"Logistics total")*IF($C310="Electricity",1,1/INDEX('TCO - Input'!$R$291:$R$321,MATCH($C310,'TCO - Input'!$F$291:$F$4010,0)))*1000</f>
        <v>1.1748811166762734</v>
      </c>
      <c r="L310" s="112">
        <f>SUMIFS('Fuel Logistics'!J:J,'Fuel Logistics'!$C:$C,$E310,'Fuel Logistics'!$D:$D,$D310,'Fuel Logistics'!$E:$E,"Logistics total")*IF($C310="Electricity",1,1/INDEX('TCO - Input'!$R$291:$R$321,MATCH($C310,'TCO - Input'!$F$291:$F$4010,0)))*1000</f>
        <v>1.1398703390779525</v>
      </c>
      <c r="M310" s="112">
        <f>SUMIFS('Fuel Logistics'!K:K,'Fuel Logistics'!$C:$C,$E310,'Fuel Logistics'!$D:$D,$D310,'Fuel Logistics'!$E:$E,"Logistics total")*IF($C310="Electricity",1,1/INDEX('TCO - Input'!$R$291:$R$321,MATCH($C310,'TCO - Input'!$F$291:$F$4010,0)))*1000</f>
        <v>1.1301105306845476</v>
      </c>
      <c r="N310" s="112">
        <f>SUMIFS('Fuel Logistics'!L:L,'Fuel Logistics'!$C:$C,$E310,'Fuel Logistics'!$D:$D,$D310,'Fuel Logistics'!$E:$E,"Logistics total")*IF($C310="Electricity",1,1/INDEX('TCO - Input'!$R$291:$R$321,MATCH($C310,'TCO - Input'!$F$291:$F$4010,0)))*1000</f>
        <v>1.1246625931663989</v>
      </c>
      <c r="O310" s="112">
        <f>SUMIFS('Fuel Logistics'!M:M,'Fuel Logistics'!$C:$C,$E310,'Fuel Logistics'!$D:$D,$D310,'Fuel Logistics'!$E:$E,"Logistics total")*IF($C310="Electricity",1,1/INDEX('TCO - Input'!$R$291:$R$321,MATCH($C310,'TCO - Input'!$F$291:$F$4010,0)))*1000</f>
        <v>1.1220983384977559</v>
      </c>
      <c r="P310" s="112">
        <f>SUMIFS('Fuel Logistics'!N:N,'Fuel Logistics'!$C:$C,$E310,'Fuel Logistics'!$D:$D,$D310,'Fuel Logistics'!$E:$E,"Logistics total")*IF($C310="Electricity",1,1/INDEX('TCO - Input'!$R$291:$R$321,MATCH($C310,'TCO - Input'!$F$291:$F$4010,0)))*1000</f>
        <v>1.1194615893998765</v>
      </c>
      <c r="Q310" s="112">
        <f>SUMIFS('Fuel Logistics'!O:O,'Fuel Logistics'!$C:$C,$E310,'Fuel Logistics'!$D:$D,$D310,'Fuel Logistics'!$E:$E,"Logistics total")*IF($C310="Electricity",1,1/INDEX('TCO - Input'!$R$291:$R$321,MATCH($C310,'TCO - Input'!$F$291:$F$4010,0)))*1000</f>
        <v>1.1181674023266279</v>
      </c>
      <c r="R310" s="112">
        <f>SUMIFS('Fuel Logistics'!P:P,'Fuel Logistics'!$C:$C,$E310,'Fuel Logistics'!$D:$D,$D310,'Fuel Logistics'!$E:$E,"Logistics total")*IF($C310="Electricity",1,1/INDEX('TCO - Input'!$R$291:$R$321,MATCH($C310,'TCO - Input'!$F$291:$F$4010,0)))*1000</f>
        <v>1.1181674023266279</v>
      </c>
      <c r="S310" s="112">
        <f>SUMIFS('Fuel Logistics'!Q:Q,'Fuel Logistics'!$C:$C,$E310,'Fuel Logistics'!$D:$D,$D310,'Fuel Logistics'!$E:$E,"Logistics total")*IF($C310="Electricity",1,1/INDEX('TCO - Input'!$R$291:$R$321,MATCH($C310,'TCO - Input'!$F$291:$F$4010,0)))*1000</f>
        <v>1.1181674023266279</v>
      </c>
      <c r="T310" s="112">
        <f>SUMIFS('Fuel Logistics'!R:R,'Fuel Logistics'!$C:$C,$E310,'Fuel Logistics'!$D:$D,$D310,'Fuel Logistics'!$E:$E,"Logistics total")*IF($C310="Electricity",1,1/INDEX('TCO - Input'!$R$291:$R$321,MATCH($C310,'TCO - Input'!$F$291:$F$4010,0)))*1000</f>
        <v>1.1181674023266279</v>
      </c>
      <c r="U310" s="112">
        <f>SUMIFS('Fuel Logistics'!S:S,'Fuel Logistics'!$C:$C,$E310,'Fuel Logistics'!$D:$D,$D310,'Fuel Logistics'!$E:$E,"Logistics total")*IF($C310="Electricity",1,1/INDEX('TCO - Input'!$R$291:$R$321,MATCH($C310,'TCO - Input'!$F$291:$F$4010,0)))*1000</f>
        <v>1.1181674023266279</v>
      </c>
      <c r="V310" s="112">
        <f>SUMIFS('Fuel Logistics'!T:T,'Fuel Logistics'!$C:$C,$E310,'Fuel Logistics'!$D:$D,$D310,'Fuel Logistics'!$E:$E,"Logistics total")*IF($C310="Electricity",1,1/INDEX('TCO - Input'!$R$291:$R$321,MATCH($C310,'TCO - Input'!$F$291:$F$4010,0)))*1000</f>
        <v>1.1181674023266279</v>
      </c>
    </row>
    <row r="311" spans="1:22" x14ac:dyDescent="0.2">
      <c r="A311" s="29">
        <f t="shared" si="176"/>
        <v>7</v>
      </c>
      <c r="B311" s="334" t="str">
        <f t="shared" si="173"/>
        <v>Biomethane - Africa&amp;Other - Logistics cost - USD/GJ</v>
      </c>
      <c r="C311" t="str" cm="1">
        <f t="array" ref="C311">INDEX(list_AE_fuel,A311)</f>
        <v>Biomethane</v>
      </c>
      <c r="D311" t="str">
        <f>INDEX('Configurator Specs.'!$AH:$AH,MATCH($C311,'Configurator Specs.'!$AE:$AE,0))</f>
        <v>Biomethane</v>
      </c>
      <c r="E311" t="str">
        <f t="shared" si="175"/>
        <v>Africa&amp;Other</v>
      </c>
      <c r="F311" t="str">
        <f t="shared" si="174"/>
        <v>Logistics cost - USD/GJ</v>
      </c>
      <c r="G311"/>
      <c r="H311" s="128"/>
      <c r="I311" t="s">
        <v>324</v>
      </c>
      <c r="K311" s="112">
        <f>SUMIFS('Fuel Logistics'!I:I,'Fuel Logistics'!$C:$C,$E311,'Fuel Logistics'!$D:$D,$D311,'Fuel Logistics'!$E:$E,"Logistics total")*IF($C311="Electricity",1,1/INDEX('TCO - Input'!$R$291:$R$321,MATCH($C311,'TCO - Input'!$F$291:$F$4010,0)))*1000</f>
        <v>1.1227094593237326</v>
      </c>
      <c r="L311" s="112">
        <f>SUMIFS('Fuel Logistics'!J:J,'Fuel Logistics'!$C:$C,$E311,'Fuel Logistics'!$D:$D,$D311,'Fuel Logistics'!$E:$E,"Logistics total")*IF($C311="Electricity",1,1/INDEX('TCO - Input'!$R$291:$R$321,MATCH($C311,'TCO - Input'!$F$291:$F$4010,0)))*1000</f>
        <v>1.1158445460522539</v>
      </c>
      <c r="M311" s="112">
        <f>SUMIFS('Fuel Logistics'!K:K,'Fuel Logistics'!$C:$C,$E311,'Fuel Logistics'!$D:$D,$D311,'Fuel Logistics'!$E:$E,"Logistics total")*IF($C311="Electricity",1,1/INDEX('TCO - Input'!$R$291:$R$321,MATCH($C311,'TCO - Input'!$F$291:$F$4010,0)))*1000</f>
        <v>1.113930842822475</v>
      </c>
      <c r="N311" s="112">
        <f>SUMIFS('Fuel Logistics'!L:L,'Fuel Logistics'!$C:$C,$E311,'Fuel Logistics'!$D:$D,$D311,'Fuel Logistics'!$E:$E,"Logistics total")*IF($C311="Electricity",1,1/INDEX('TCO - Input'!$R$291:$R$321,MATCH($C311,'TCO - Input'!$F$291:$F$4010,0)))*1000</f>
        <v>1.1128626112339164</v>
      </c>
      <c r="O311" s="112">
        <f>SUMIFS('Fuel Logistics'!M:M,'Fuel Logistics'!$C:$C,$E311,'Fuel Logistics'!$D:$D,$D311,'Fuel Logistics'!$E:$E,"Logistics total")*IF($C311="Electricity",1,1/INDEX('TCO - Input'!$R$291:$R$321,MATCH($C311,'TCO - Input'!$F$291:$F$4010,0)))*1000</f>
        <v>1.1123598121784888</v>
      </c>
      <c r="P311" s="112">
        <f>SUMIFS('Fuel Logistics'!N:N,'Fuel Logistics'!$C:$C,$E311,'Fuel Logistics'!$D:$D,$D311,'Fuel Logistics'!$E:$E,"Logistics total")*IF($C311="Electricity",1,1/INDEX('TCO - Input'!$R$291:$R$321,MATCH($C311,'TCO - Input'!$F$291:$F$4010,0)))*1000</f>
        <v>1.1118427984153767</v>
      </c>
      <c r="Q311" s="112">
        <f>SUMIFS('Fuel Logistics'!O:O,'Fuel Logistics'!$C:$C,$E311,'Fuel Logistics'!$D:$D,$D311,'Fuel Logistics'!$E:$E,"Logistics total")*IF($C311="Electricity",1,1/INDEX('TCO - Input'!$R$291:$R$321,MATCH($C311,'TCO - Input'!$F$291:$F$4010,0)))*1000</f>
        <v>1.111589034214054</v>
      </c>
      <c r="R311" s="112">
        <f>SUMIFS('Fuel Logistics'!P:P,'Fuel Logistics'!$C:$C,$E311,'Fuel Logistics'!$D:$D,$D311,'Fuel Logistics'!$E:$E,"Logistics total")*IF($C311="Electricity",1,1/INDEX('TCO - Input'!$R$291:$R$321,MATCH($C311,'TCO - Input'!$F$291:$F$4010,0)))*1000</f>
        <v>1.111589034214054</v>
      </c>
      <c r="S311" s="112">
        <f>SUMIFS('Fuel Logistics'!Q:Q,'Fuel Logistics'!$C:$C,$E311,'Fuel Logistics'!$D:$D,$D311,'Fuel Logistics'!$E:$E,"Logistics total")*IF($C311="Electricity",1,1/INDEX('TCO - Input'!$R$291:$R$321,MATCH($C311,'TCO - Input'!$F$291:$F$4010,0)))*1000</f>
        <v>1.111589034214054</v>
      </c>
      <c r="T311" s="112">
        <f>SUMIFS('Fuel Logistics'!R:R,'Fuel Logistics'!$C:$C,$E311,'Fuel Logistics'!$D:$D,$D311,'Fuel Logistics'!$E:$E,"Logistics total")*IF($C311="Electricity",1,1/INDEX('TCO - Input'!$R$291:$R$321,MATCH($C311,'TCO - Input'!$F$291:$F$4010,0)))*1000</f>
        <v>1.111589034214054</v>
      </c>
      <c r="U311" s="112">
        <f>SUMIFS('Fuel Logistics'!S:S,'Fuel Logistics'!$C:$C,$E311,'Fuel Logistics'!$D:$D,$D311,'Fuel Logistics'!$E:$E,"Logistics total")*IF($C311="Electricity",1,1/INDEX('TCO - Input'!$R$291:$R$321,MATCH($C311,'TCO - Input'!$F$291:$F$4010,0)))*1000</f>
        <v>1.111589034214054</v>
      </c>
      <c r="V311" s="112">
        <f>SUMIFS('Fuel Logistics'!T:T,'Fuel Logistics'!$C:$C,$E311,'Fuel Logistics'!$D:$D,$D311,'Fuel Logistics'!$E:$E,"Logistics total")*IF($C311="Electricity",1,1/INDEX('TCO - Input'!$R$291:$R$321,MATCH($C311,'TCO - Input'!$F$291:$F$4010,0)))*1000</f>
        <v>1.111589034214054</v>
      </c>
    </row>
    <row r="312" spans="1:22" x14ac:dyDescent="0.2">
      <c r="A312" s="29">
        <f t="shared" si="176"/>
        <v>8</v>
      </c>
      <c r="B312" s="334" t="str">
        <f t="shared" si="173"/>
        <v>e-Methane (DAC) - Africa&amp;Other - Logistics cost - USD/GJ</v>
      </c>
      <c r="C312" t="str" cm="1">
        <f t="array" ref="C312">INDEX(list_AE_fuel,A312)</f>
        <v>e-Methane (DAC)</v>
      </c>
      <c r="D312" t="str">
        <f>INDEX('Configurator Specs.'!$AH:$AH,MATCH($C312,'Configurator Specs.'!$AE:$AE,0))</f>
        <v>LNG &amp; e-Methane</v>
      </c>
      <c r="E312" t="str">
        <f t="shared" si="175"/>
        <v>Africa&amp;Other</v>
      </c>
      <c r="F312" t="str">
        <f t="shared" si="174"/>
        <v>Logistics cost - USD/GJ</v>
      </c>
      <c r="G312" s="226"/>
      <c r="H312" s="128"/>
      <c r="I312" t="s">
        <v>324</v>
      </c>
      <c r="K312" s="112">
        <f>SUMIFS('Fuel Logistics'!I:I,'Fuel Logistics'!$C:$C,$E312,'Fuel Logistics'!$D:$D,$D312,'Fuel Logistics'!$E:$E,"Logistics total")*IF($C312="Electricity",1,1/INDEX('TCO - Input'!$R$291:$R$321,MATCH($C312,'TCO - Input'!$F$291:$F$4010,0)))*1000</f>
        <v>0.82916738495974063</v>
      </c>
      <c r="L312" s="112">
        <f>SUMIFS('Fuel Logistics'!J:J,'Fuel Logistics'!$C:$C,$E312,'Fuel Logistics'!$D:$D,$D312,'Fuel Logistics'!$E:$E,"Logistics total")*IF($C312="Electricity",1,1/INDEX('TCO - Input'!$R$291:$R$321,MATCH($C312,'TCO - Input'!$F$291:$F$4010,0)))*1000</f>
        <v>0.82230247168826176</v>
      </c>
      <c r="M312" s="112">
        <f>SUMIFS('Fuel Logistics'!K:K,'Fuel Logistics'!$C:$C,$E312,'Fuel Logistics'!$D:$D,$D312,'Fuel Logistics'!$E:$E,"Logistics total")*IF($C312="Electricity",1,1/INDEX('TCO - Input'!$R$291:$R$321,MATCH($C312,'TCO - Input'!$F$291:$F$4010,0)))*1000</f>
        <v>0.82038876845848296</v>
      </c>
      <c r="N312" s="112">
        <f>SUMIFS('Fuel Logistics'!L:L,'Fuel Logistics'!$C:$C,$E312,'Fuel Logistics'!$D:$D,$D312,'Fuel Logistics'!$E:$E,"Logistics total")*IF($C312="Electricity",1,1/INDEX('TCO - Input'!$R$291:$R$321,MATCH($C312,'TCO - Input'!$F$291:$F$4010,0)))*1000</f>
        <v>0.81932053686992434</v>
      </c>
      <c r="O312" s="112">
        <f>SUMIFS('Fuel Logistics'!M:M,'Fuel Logistics'!$C:$C,$E312,'Fuel Logistics'!$D:$D,$D312,'Fuel Logistics'!$E:$E,"Logistics total")*IF($C312="Electricity",1,1/INDEX('TCO - Input'!$R$291:$R$321,MATCH($C312,'TCO - Input'!$F$291:$F$4010,0)))*1000</f>
        <v>0.81881773781449685</v>
      </c>
      <c r="P312" s="112">
        <f>SUMIFS('Fuel Logistics'!N:N,'Fuel Logistics'!$C:$C,$E312,'Fuel Logistics'!$D:$D,$D312,'Fuel Logistics'!$E:$E,"Logistics total")*IF($C312="Electricity",1,1/INDEX('TCO - Input'!$R$291:$R$321,MATCH($C312,'TCO - Input'!$F$291:$F$4010,0)))*1000</f>
        <v>0.81830072405138465</v>
      </c>
      <c r="Q312" s="112">
        <f>SUMIFS('Fuel Logistics'!O:O,'Fuel Logistics'!$C:$C,$E312,'Fuel Logistics'!$D:$D,$D312,'Fuel Logistics'!$E:$E,"Logistics total")*IF($C312="Electricity",1,1/INDEX('TCO - Input'!$R$291:$R$321,MATCH($C312,'TCO - Input'!$F$291:$F$4010,0)))*1000</f>
        <v>0.81804695985006204</v>
      </c>
      <c r="R312" s="112">
        <f>SUMIFS('Fuel Logistics'!P:P,'Fuel Logistics'!$C:$C,$E312,'Fuel Logistics'!$D:$D,$D312,'Fuel Logistics'!$E:$E,"Logistics total")*IF($C312="Electricity",1,1/INDEX('TCO - Input'!$R$291:$R$321,MATCH($C312,'TCO - Input'!$F$291:$F$4010,0)))*1000</f>
        <v>0.81804695985006204</v>
      </c>
      <c r="S312" s="112">
        <f>SUMIFS('Fuel Logistics'!Q:Q,'Fuel Logistics'!$C:$C,$E312,'Fuel Logistics'!$D:$D,$D312,'Fuel Logistics'!$E:$E,"Logistics total")*IF($C312="Electricity",1,1/INDEX('TCO - Input'!$R$291:$R$321,MATCH($C312,'TCO - Input'!$F$291:$F$4010,0)))*1000</f>
        <v>0.81804695985006204</v>
      </c>
      <c r="T312" s="112">
        <f>SUMIFS('Fuel Logistics'!R:R,'Fuel Logistics'!$C:$C,$E312,'Fuel Logistics'!$D:$D,$D312,'Fuel Logistics'!$E:$E,"Logistics total")*IF($C312="Electricity",1,1/INDEX('TCO - Input'!$R$291:$R$321,MATCH($C312,'TCO - Input'!$F$291:$F$4010,0)))*1000</f>
        <v>0.81804695985006204</v>
      </c>
      <c r="U312" s="112">
        <f>SUMIFS('Fuel Logistics'!S:S,'Fuel Logistics'!$C:$C,$E312,'Fuel Logistics'!$D:$D,$D312,'Fuel Logistics'!$E:$E,"Logistics total")*IF($C312="Electricity",1,1/INDEX('TCO - Input'!$R$291:$R$321,MATCH($C312,'TCO - Input'!$F$291:$F$4010,0)))*1000</f>
        <v>0.81804695985006204</v>
      </c>
      <c r="V312" s="112">
        <f>SUMIFS('Fuel Logistics'!T:T,'Fuel Logistics'!$C:$C,$E312,'Fuel Logistics'!$D:$D,$D312,'Fuel Logistics'!$E:$E,"Logistics total")*IF($C312="Electricity",1,1/INDEX('TCO - Input'!$R$291:$R$321,MATCH($C312,'TCO - Input'!$F$291:$F$4010,0)))*1000</f>
        <v>0.81804695985006204</v>
      </c>
    </row>
    <row r="313" spans="1:22" x14ac:dyDescent="0.2">
      <c r="A313" s="29">
        <f t="shared" si="176"/>
        <v>9</v>
      </c>
      <c r="B313" s="334" t="str">
        <f t="shared" si="173"/>
        <v>e-Methane (PS) - Africa&amp;Other - Logistics cost - USD/GJ</v>
      </c>
      <c r="C313" t="str" cm="1">
        <f t="array" ref="C313">INDEX(list_AE_fuel,A313)</f>
        <v>e-Methane (PS)</v>
      </c>
      <c r="D313" t="str">
        <f>INDEX('Configurator Specs.'!$AH:$AH,MATCH($C313,'Configurator Specs.'!$AE:$AE,0))</f>
        <v>LNG &amp; e-Methane</v>
      </c>
      <c r="E313" t="str">
        <f t="shared" si="175"/>
        <v>Africa&amp;Other</v>
      </c>
      <c r="F313" t="str">
        <f t="shared" si="174"/>
        <v>Logistics cost - USD/GJ</v>
      </c>
      <c r="G313" s="226"/>
      <c r="H313" s="128"/>
      <c r="I313" t="s">
        <v>324</v>
      </c>
      <c r="K313" s="112">
        <f>SUMIFS('Fuel Logistics'!I:I,'Fuel Logistics'!$C:$C,$E313,'Fuel Logistics'!$D:$D,$D313,'Fuel Logistics'!$E:$E,"Logistics total")*IF($C313="Electricity",1,1/INDEX('TCO - Input'!$R$291:$R$321,MATCH($C313,'TCO - Input'!$F$291:$F$4010,0)))*1000</f>
        <v>0.82916738495974063</v>
      </c>
      <c r="L313" s="112">
        <f>SUMIFS('Fuel Logistics'!J:J,'Fuel Logistics'!$C:$C,$E313,'Fuel Logistics'!$D:$D,$D313,'Fuel Logistics'!$E:$E,"Logistics total")*IF($C313="Electricity",1,1/INDEX('TCO - Input'!$R$291:$R$321,MATCH($C313,'TCO - Input'!$F$291:$F$4010,0)))*1000</f>
        <v>0.82230247168826176</v>
      </c>
      <c r="M313" s="112">
        <f>SUMIFS('Fuel Logistics'!K:K,'Fuel Logistics'!$C:$C,$E313,'Fuel Logistics'!$D:$D,$D313,'Fuel Logistics'!$E:$E,"Logistics total")*IF($C313="Electricity",1,1/INDEX('TCO - Input'!$R$291:$R$321,MATCH($C313,'TCO - Input'!$F$291:$F$4010,0)))*1000</f>
        <v>0.82038876845848296</v>
      </c>
      <c r="N313" s="112">
        <f>SUMIFS('Fuel Logistics'!L:L,'Fuel Logistics'!$C:$C,$E313,'Fuel Logistics'!$D:$D,$D313,'Fuel Logistics'!$E:$E,"Logistics total")*IF($C313="Electricity",1,1/INDEX('TCO - Input'!$R$291:$R$321,MATCH($C313,'TCO - Input'!$F$291:$F$4010,0)))*1000</f>
        <v>0.81932053686992434</v>
      </c>
      <c r="O313" s="112">
        <f>SUMIFS('Fuel Logistics'!M:M,'Fuel Logistics'!$C:$C,$E313,'Fuel Logistics'!$D:$D,$D313,'Fuel Logistics'!$E:$E,"Logistics total")*IF($C313="Electricity",1,1/INDEX('TCO - Input'!$R$291:$R$321,MATCH($C313,'TCO - Input'!$F$291:$F$4010,0)))*1000</f>
        <v>0.81881773781449685</v>
      </c>
      <c r="P313" s="112">
        <f>SUMIFS('Fuel Logistics'!N:N,'Fuel Logistics'!$C:$C,$E313,'Fuel Logistics'!$D:$D,$D313,'Fuel Logistics'!$E:$E,"Logistics total")*IF($C313="Electricity",1,1/INDEX('TCO - Input'!$R$291:$R$321,MATCH($C313,'TCO - Input'!$F$291:$F$4010,0)))*1000</f>
        <v>0.81830072405138465</v>
      </c>
      <c r="Q313" s="112">
        <f>SUMIFS('Fuel Logistics'!O:O,'Fuel Logistics'!$C:$C,$E313,'Fuel Logistics'!$D:$D,$D313,'Fuel Logistics'!$E:$E,"Logistics total")*IF($C313="Electricity",1,1/INDEX('TCO - Input'!$R$291:$R$321,MATCH($C313,'TCO - Input'!$F$291:$F$4010,0)))*1000</f>
        <v>0.81804695985006204</v>
      </c>
      <c r="R313" s="112">
        <f>SUMIFS('Fuel Logistics'!P:P,'Fuel Logistics'!$C:$C,$E313,'Fuel Logistics'!$D:$D,$D313,'Fuel Logistics'!$E:$E,"Logistics total")*IF($C313="Electricity",1,1/INDEX('TCO - Input'!$R$291:$R$321,MATCH($C313,'TCO - Input'!$F$291:$F$4010,0)))*1000</f>
        <v>0.81804695985006204</v>
      </c>
      <c r="S313" s="112">
        <f>SUMIFS('Fuel Logistics'!Q:Q,'Fuel Logistics'!$C:$C,$E313,'Fuel Logistics'!$D:$D,$D313,'Fuel Logistics'!$E:$E,"Logistics total")*IF($C313="Electricity",1,1/INDEX('TCO - Input'!$R$291:$R$321,MATCH($C313,'TCO - Input'!$F$291:$F$4010,0)))*1000</f>
        <v>0.81804695985006204</v>
      </c>
      <c r="T313" s="112">
        <f>SUMIFS('Fuel Logistics'!R:R,'Fuel Logistics'!$C:$C,$E313,'Fuel Logistics'!$D:$D,$D313,'Fuel Logistics'!$E:$E,"Logistics total")*IF($C313="Electricity",1,1/INDEX('TCO - Input'!$R$291:$R$321,MATCH($C313,'TCO - Input'!$F$291:$F$4010,0)))*1000</f>
        <v>0.81804695985006204</v>
      </c>
      <c r="U313" s="112">
        <f>SUMIFS('Fuel Logistics'!S:S,'Fuel Logistics'!$C:$C,$E313,'Fuel Logistics'!$D:$D,$D313,'Fuel Logistics'!$E:$E,"Logistics total")*IF($C313="Electricity",1,1/INDEX('TCO - Input'!$R$291:$R$321,MATCH($C313,'TCO - Input'!$F$291:$F$4010,0)))*1000</f>
        <v>0.81804695985006204</v>
      </c>
      <c r="V313" s="112">
        <f>SUMIFS('Fuel Logistics'!T:T,'Fuel Logistics'!$C:$C,$E313,'Fuel Logistics'!$D:$D,$D313,'Fuel Logistics'!$E:$E,"Logistics total")*IF($C313="Electricity",1,1/INDEX('TCO - Input'!$R$291:$R$321,MATCH($C313,'TCO - Input'!$F$291:$F$4010,0)))*1000</f>
        <v>0.81804695985006204</v>
      </c>
    </row>
    <row r="314" spans="1:22" x14ac:dyDescent="0.2">
      <c r="A314" s="29">
        <f t="shared" si="176"/>
        <v>10</v>
      </c>
      <c r="B314" s="334" t="str">
        <f t="shared" si="173"/>
        <v>Biomethanol - Africa&amp;Other - Logistics cost - USD/GJ</v>
      </c>
      <c r="C314" t="str" cm="1">
        <f t="array" ref="C314">INDEX(list_AE_fuel,A314)</f>
        <v>Biomethanol</v>
      </c>
      <c r="D314" t="str">
        <f>INDEX('Configurator Specs.'!$AH:$AH,MATCH($C314,'Configurator Specs.'!$AE:$AE,0))</f>
        <v>Biomethanol</v>
      </c>
      <c r="E314" t="str">
        <f t="shared" si="175"/>
        <v>Africa&amp;Other</v>
      </c>
      <c r="F314" t="str">
        <f t="shared" si="174"/>
        <v>Logistics cost - USD/GJ</v>
      </c>
      <c r="G314"/>
      <c r="H314" s="128"/>
      <c r="I314" t="s">
        <v>324</v>
      </c>
      <c r="K314" s="112">
        <f>SUMIFS('Fuel Logistics'!I:I,'Fuel Logistics'!$C:$C,$E314,'Fuel Logistics'!$D:$D,$D314,'Fuel Logistics'!$E:$E,"Logistics total")*IF($C314="Electricity",1,1/INDEX('TCO - Input'!$R$291:$R$321,MATCH($C314,'TCO - Input'!$F$291:$F$4010,0)))*1000</f>
        <v>0.92348069390817367</v>
      </c>
      <c r="L314" s="112">
        <f>SUMIFS('Fuel Logistics'!J:J,'Fuel Logistics'!$C:$C,$E314,'Fuel Logistics'!$D:$D,$D314,'Fuel Logistics'!$E:$E,"Logistics total")*IF($C314="Electricity",1,1/INDEX('TCO - Input'!$R$291:$R$321,MATCH($C314,'TCO - Input'!$F$291:$F$4010,0)))*1000</f>
        <v>0.92348069390817367</v>
      </c>
      <c r="M314" s="112">
        <f>SUMIFS('Fuel Logistics'!K:K,'Fuel Logistics'!$C:$C,$E314,'Fuel Logistics'!$D:$D,$D314,'Fuel Logistics'!$E:$E,"Logistics total")*IF($C314="Electricity",1,1/INDEX('TCO - Input'!$R$291:$R$321,MATCH($C314,'TCO - Input'!$F$291:$F$4010,0)))*1000</f>
        <v>0.92348069390817367</v>
      </c>
      <c r="N314" s="112">
        <f>SUMIFS('Fuel Logistics'!L:L,'Fuel Logistics'!$C:$C,$E314,'Fuel Logistics'!$D:$D,$D314,'Fuel Logistics'!$E:$E,"Logistics total")*IF($C314="Electricity",1,1/INDEX('TCO - Input'!$R$291:$R$321,MATCH($C314,'TCO - Input'!$F$291:$F$4010,0)))*1000</f>
        <v>0.92348069390817367</v>
      </c>
      <c r="O314" s="112">
        <f>SUMIFS('Fuel Logistics'!M:M,'Fuel Logistics'!$C:$C,$E314,'Fuel Logistics'!$D:$D,$D314,'Fuel Logistics'!$E:$E,"Logistics total")*IF($C314="Electricity",1,1/INDEX('TCO - Input'!$R$291:$R$321,MATCH($C314,'TCO - Input'!$F$291:$F$4010,0)))*1000</f>
        <v>0.92348069390817367</v>
      </c>
      <c r="P314" s="112">
        <f>SUMIFS('Fuel Logistics'!N:N,'Fuel Logistics'!$C:$C,$E314,'Fuel Logistics'!$D:$D,$D314,'Fuel Logistics'!$E:$E,"Logistics total")*IF($C314="Electricity",1,1/INDEX('TCO - Input'!$R$291:$R$321,MATCH($C314,'TCO - Input'!$F$291:$F$4010,0)))*1000</f>
        <v>0.92348069390817367</v>
      </c>
      <c r="Q314" s="112">
        <f>SUMIFS('Fuel Logistics'!O:O,'Fuel Logistics'!$C:$C,$E314,'Fuel Logistics'!$D:$D,$D314,'Fuel Logistics'!$E:$E,"Logistics total")*IF($C314="Electricity",1,1/INDEX('TCO - Input'!$R$291:$R$321,MATCH($C314,'TCO - Input'!$F$291:$F$4010,0)))*1000</f>
        <v>0.92348069390817367</v>
      </c>
      <c r="R314" s="112">
        <f>SUMIFS('Fuel Logistics'!P:P,'Fuel Logistics'!$C:$C,$E314,'Fuel Logistics'!$D:$D,$D314,'Fuel Logistics'!$E:$E,"Logistics total")*IF($C314="Electricity",1,1/INDEX('TCO - Input'!$R$291:$R$321,MATCH($C314,'TCO - Input'!$F$291:$F$4010,0)))*1000</f>
        <v>0.92348069390817367</v>
      </c>
      <c r="S314" s="112">
        <f>SUMIFS('Fuel Logistics'!Q:Q,'Fuel Logistics'!$C:$C,$E314,'Fuel Logistics'!$D:$D,$D314,'Fuel Logistics'!$E:$E,"Logistics total")*IF($C314="Electricity",1,1/INDEX('TCO - Input'!$R$291:$R$321,MATCH($C314,'TCO - Input'!$F$291:$F$4010,0)))*1000</f>
        <v>0.92348069390817367</v>
      </c>
      <c r="T314" s="112">
        <f>SUMIFS('Fuel Logistics'!R:R,'Fuel Logistics'!$C:$C,$E314,'Fuel Logistics'!$D:$D,$D314,'Fuel Logistics'!$E:$E,"Logistics total")*IF($C314="Electricity",1,1/INDEX('TCO - Input'!$R$291:$R$321,MATCH($C314,'TCO - Input'!$F$291:$F$4010,0)))*1000</f>
        <v>0.92348069390817367</v>
      </c>
      <c r="U314" s="112">
        <f>SUMIFS('Fuel Logistics'!S:S,'Fuel Logistics'!$C:$C,$E314,'Fuel Logistics'!$D:$D,$D314,'Fuel Logistics'!$E:$E,"Logistics total")*IF($C314="Electricity",1,1/INDEX('TCO - Input'!$R$291:$R$321,MATCH($C314,'TCO - Input'!$F$291:$F$4010,0)))*1000</f>
        <v>0.92348069390817367</v>
      </c>
      <c r="V314" s="112">
        <f>SUMIFS('Fuel Logistics'!T:T,'Fuel Logistics'!$C:$C,$E314,'Fuel Logistics'!$D:$D,$D314,'Fuel Logistics'!$E:$E,"Logistics total")*IF($C314="Electricity",1,1/INDEX('TCO - Input'!$R$291:$R$321,MATCH($C314,'TCO - Input'!$F$291:$F$4010,0)))*1000</f>
        <v>0.92348069390817367</v>
      </c>
    </row>
    <row r="315" spans="1:22" x14ac:dyDescent="0.2">
      <c r="A315" s="29">
        <f t="shared" si="176"/>
        <v>11</v>
      </c>
      <c r="B315" s="334" t="str">
        <f t="shared" si="173"/>
        <v>e-Methanol (DAC) - Africa&amp;Other - Logistics cost - USD/GJ</v>
      </c>
      <c r="C315" t="str" cm="1">
        <f t="array" ref="C315">INDEX(list_AE_fuel,A315)</f>
        <v>e-Methanol (DAC)</v>
      </c>
      <c r="D315" t="str">
        <f>INDEX('Configurator Specs.'!$AH:$AH,MATCH($C315,'Configurator Specs.'!$AE:$AE,0))</f>
        <v>Grey and e-Methanol</v>
      </c>
      <c r="E315" t="str">
        <f t="shared" si="175"/>
        <v>Africa&amp;Other</v>
      </c>
      <c r="F315" t="str">
        <f t="shared" si="174"/>
        <v>Logistics cost - USD/GJ</v>
      </c>
      <c r="G315"/>
      <c r="H315" s="128"/>
      <c r="I315" t="s">
        <v>324</v>
      </c>
      <c r="K315" s="112">
        <f>SUMIFS('Fuel Logistics'!I:I,'Fuel Logistics'!$C:$C,$E315,'Fuel Logistics'!$D:$D,$D315,'Fuel Logistics'!$E:$E,"Logistics total")*IF($C315="Electricity",1,1/INDEX('TCO - Input'!$R$291:$R$321,MATCH($C315,'TCO - Input'!$F$291:$F$4010,0)))*1000</f>
        <v>0.66273320386351287</v>
      </c>
      <c r="L315" s="112">
        <f>SUMIFS('Fuel Logistics'!J:J,'Fuel Logistics'!$C:$C,$E315,'Fuel Logistics'!$D:$D,$D315,'Fuel Logistics'!$E:$E,"Logistics total")*IF($C315="Electricity",1,1/INDEX('TCO - Input'!$R$291:$R$321,MATCH($C315,'TCO - Input'!$F$291:$F$4010,0)))*1000</f>
        <v>0.66273320386351287</v>
      </c>
      <c r="M315" s="112">
        <f>SUMIFS('Fuel Logistics'!K:K,'Fuel Logistics'!$C:$C,$E315,'Fuel Logistics'!$D:$D,$D315,'Fuel Logistics'!$E:$E,"Logistics total")*IF($C315="Electricity",1,1/INDEX('TCO - Input'!$R$291:$R$321,MATCH($C315,'TCO - Input'!$F$291:$F$4010,0)))*1000</f>
        <v>0.66273320386351287</v>
      </c>
      <c r="N315" s="112">
        <f>SUMIFS('Fuel Logistics'!L:L,'Fuel Logistics'!$C:$C,$E315,'Fuel Logistics'!$D:$D,$D315,'Fuel Logistics'!$E:$E,"Logistics total")*IF($C315="Electricity",1,1/INDEX('TCO - Input'!$R$291:$R$321,MATCH($C315,'TCO - Input'!$F$291:$F$4010,0)))*1000</f>
        <v>0.66273320386351287</v>
      </c>
      <c r="O315" s="112">
        <f>SUMIFS('Fuel Logistics'!M:M,'Fuel Logistics'!$C:$C,$E315,'Fuel Logistics'!$D:$D,$D315,'Fuel Logistics'!$E:$E,"Logistics total")*IF($C315="Electricity",1,1/INDEX('TCO - Input'!$R$291:$R$321,MATCH($C315,'TCO - Input'!$F$291:$F$4010,0)))*1000</f>
        <v>0.66273320386351287</v>
      </c>
      <c r="P315" s="112">
        <f>SUMIFS('Fuel Logistics'!N:N,'Fuel Logistics'!$C:$C,$E315,'Fuel Logistics'!$D:$D,$D315,'Fuel Logistics'!$E:$E,"Logistics total")*IF($C315="Electricity",1,1/INDEX('TCO - Input'!$R$291:$R$321,MATCH($C315,'TCO - Input'!$F$291:$F$4010,0)))*1000</f>
        <v>0.66273320386351287</v>
      </c>
      <c r="Q315" s="112">
        <f>SUMIFS('Fuel Logistics'!O:O,'Fuel Logistics'!$C:$C,$E315,'Fuel Logistics'!$D:$D,$D315,'Fuel Logistics'!$E:$E,"Logistics total")*IF($C315="Electricity",1,1/INDEX('TCO - Input'!$R$291:$R$321,MATCH($C315,'TCO - Input'!$F$291:$F$4010,0)))*1000</f>
        <v>0.66273320386351287</v>
      </c>
      <c r="R315" s="112">
        <f>SUMIFS('Fuel Logistics'!P:P,'Fuel Logistics'!$C:$C,$E315,'Fuel Logistics'!$D:$D,$D315,'Fuel Logistics'!$E:$E,"Logistics total")*IF($C315="Electricity",1,1/INDEX('TCO - Input'!$R$291:$R$321,MATCH($C315,'TCO - Input'!$F$291:$F$4010,0)))*1000</f>
        <v>0.66273320386351287</v>
      </c>
      <c r="S315" s="112">
        <f>SUMIFS('Fuel Logistics'!Q:Q,'Fuel Logistics'!$C:$C,$E315,'Fuel Logistics'!$D:$D,$D315,'Fuel Logistics'!$E:$E,"Logistics total")*IF($C315="Electricity",1,1/INDEX('TCO - Input'!$R$291:$R$321,MATCH($C315,'TCO - Input'!$F$291:$F$4010,0)))*1000</f>
        <v>0.66273320386351287</v>
      </c>
      <c r="T315" s="112">
        <f>SUMIFS('Fuel Logistics'!R:R,'Fuel Logistics'!$C:$C,$E315,'Fuel Logistics'!$D:$D,$D315,'Fuel Logistics'!$E:$E,"Logistics total")*IF($C315="Electricity",1,1/INDEX('TCO - Input'!$R$291:$R$321,MATCH($C315,'TCO - Input'!$F$291:$F$4010,0)))*1000</f>
        <v>0.66273320386351287</v>
      </c>
      <c r="U315" s="112">
        <f>SUMIFS('Fuel Logistics'!S:S,'Fuel Logistics'!$C:$C,$E315,'Fuel Logistics'!$D:$D,$D315,'Fuel Logistics'!$E:$E,"Logistics total")*IF($C315="Electricity",1,1/INDEX('TCO - Input'!$R$291:$R$321,MATCH($C315,'TCO - Input'!$F$291:$F$4010,0)))*1000</f>
        <v>0.66273320386351287</v>
      </c>
      <c r="V315" s="112">
        <f>SUMIFS('Fuel Logistics'!T:T,'Fuel Logistics'!$C:$C,$E315,'Fuel Logistics'!$D:$D,$D315,'Fuel Logistics'!$E:$E,"Logistics total")*IF($C315="Electricity",1,1/INDEX('TCO - Input'!$R$291:$R$321,MATCH($C315,'TCO - Input'!$F$291:$F$4010,0)))*1000</f>
        <v>0.66273320386351287</v>
      </c>
    </row>
    <row r="316" spans="1:22" x14ac:dyDescent="0.2">
      <c r="A316" s="29">
        <f t="shared" si="176"/>
        <v>12</v>
      </c>
      <c r="B316" s="334" t="str">
        <f t="shared" si="173"/>
        <v>e-Methanol (PS) - Africa&amp;Other - Logistics cost - USD/GJ</v>
      </c>
      <c r="C316" t="str" cm="1">
        <f t="array" ref="C316">INDEX(list_AE_fuel,A316)</f>
        <v>e-Methanol (PS)</v>
      </c>
      <c r="D316" t="str">
        <f>INDEX('Configurator Specs.'!$AH:$AH,MATCH($C316,'Configurator Specs.'!$AE:$AE,0))</f>
        <v>Grey and e-Methanol</v>
      </c>
      <c r="E316" t="str">
        <f>E315</f>
        <v>Africa&amp;Other</v>
      </c>
      <c r="F316" t="str">
        <f t="shared" si="174"/>
        <v>Logistics cost - USD/GJ</v>
      </c>
      <c r="G316"/>
      <c r="H316" s="128"/>
      <c r="I316" t="s">
        <v>324</v>
      </c>
      <c r="K316" s="112">
        <f>SUMIFS('Fuel Logistics'!I:I,'Fuel Logistics'!$C:$C,$E316,'Fuel Logistics'!$D:$D,$D316,'Fuel Logistics'!$E:$E,"Logistics total")*IF($C316="Electricity",1,1/INDEX('TCO - Input'!$R$291:$R$321,MATCH($C316,'TCO - Input'!$F$291:$F$4010,0)))*1000</f>
        <v>0.66273320386351287</v>
      </c>
      <c r="L316" s="112">
        <f>SUMIFS('Fuel Logistics'!J:J,'Fuel Logistics'!$C:$C,$E316,'Fuel Logistics'!$D:$D,$D316,'Fuel Logistics'!$E:$E,"Logistics total")*IF($C316="Electricity",1,1/INDEX('TCO - Input'!$R$291:$R$321,MATCH($C316,'TCO - Input'!$F$291:$F$4010,0)))*1000</f>
        <v>0.66273320386351287</v>
      </c>
      <c r="M316" s="112">
        <f>SUMIFS('Fuel Logistics'!K:K,'Fuel Logistics'!$C:$C,$E316,'Fuel Logistics'!$D:$D,$D316,'Fuel Logistics'!$E:$E,"Logistics total")*IF($C316="Electricity",1,1/INDEX('TCO - Input'!$R$291:$R$321,MATCH($C316,'TCO - Input'!$F$291:$F$4010,0)))*1000</f>
        <v>0.66273320386351287</v>
      </c>
      <c r="N316" s="112">
        <f>SUMIFS('Fuel Logistics'!L:L,'Fuel Logistics'!$C:$C,$E316,'Fuel Logistics'!$D:$D,$D316,'Fuel Logistics'!$E:$E,"Logistics total")*IF($C316="Electricity",1,1/INDEX('TCO - Input'!$R$291:$R$321,MATCH($C316,'TCO - Input'!$F$291:$F$4010,0)))*1000</f>
        <v>0.66273320386351287</v>
      </c>
      <c r="O316" s="112">
        <f>SUMIFS('Fuel Logistics'!M:M,'Fuel Logistics'!$C:$C,$E316,'Fuel Logistics'!$D:$D,$D316,'Fuel Logistics'!$E:$E,"Logistics total")*IF($C316="Electricity",1,1/INDEX('TCO - Input'!$R$291:$R$321,MATCH($C316,'TCO - Input'!$F$291:$F$4010,0)))*1000</f>
        <v>0.66273320386351287</v>
      </c>
      <c r="P316" s="112">
        <f>SUMIFS('Fuel Logistics'!N:N,'Fuel Logistics'!$C:$C,$E316,'Fuel Logistics'!$D:$D,$D316,'Fuel Logistics'!$E:$E,"Logistics total")*IF($C316="Electricity",1,1/INDEX('TCO - Input'!$R$291:$R$321,MATCH($C316,'TCO - Input'!$F$291:$F$4010,0)))*1000</f>
        <v>0.66273320386351287</v>
      </c>
      <c r="Q316" s="112">
        <f>SUMIFS('Fuel Logistics'!O:O,'Fuel Logistics'!$C:$C,$E316,'Fuel Logistics'!$D:$D,$D316,'Fuel Logistics'!$E:$E,"Logistics total")*IF($C316="Electricity",1,1/INDEX('TCO - Input'!$R$291:$R$321,MATCH($C316,'TCO - Input'!$F$291:$F$4010,0)))*1000</f>
        <v>0.66273320386351287</v>
      </c>
      <c r="R316" s="112">
        <f>SUMIFS('Fuel Logistics'!P:P,'Fuel Logistics'!$C:$C,$E316,'Fuel Logistics'!$D:$D,$D316,'Fuel Logistics'!$E:$E,"Logistics total")*IF($C316="Electricity",1,1/INDEX('TCO - Input'!$R$291:$R$321,MATCH($C316,'TCO - Input'!$F$291:$F$4010,0)))*1000</f>
        <v>0.66273320386351287</v>
      </c>
      <c r="S316" s="112">
        <f>SUMIFS('Fuel Logistics'!Q:Q,'Fuel Logistics'!$C:$C,$E316,'Fuel Logistics'!$D:$D,$D316,'Fuel Logistics'!$E:$E,"Logistics total")*IF($C316="Electricity",1,1/INDEX('TCO - Input'!$R$291:$R$321,MATCH($C316,'TCO - Input'!$F$291:$F$4010,0)))*1000</f>
        <v>0.66273320386351287</v>
      </c>
      <c r="T316" s="112">
        <f>SUMIFS('Fuel Logistics'!R:R,'Fuel Logistics'!$C:$C,$E316,'Fuel Logistics'!$D:$D,$D316,'Fuel Logistics'!$E:$E,"Logistics total")*IF($C316="Electricity",1,1/INDEX('TCO - Input'!$R$291:$R$321,MATCH($C316,'TCO - Input'!$F$291:$F$4010,0)))*1000</f>
        <v>0.66273320386351287</v>
      </c>
      <c r="U316" s="112">
        <f>SUMIFS('Fuel Logistics'!S:S,'Fuel Logistics'!$C:$C,$E316,'Fuel Logistics'!$D:$D,$D316,'Fuel Logistics'!$E:$E,"Logistics total")*IF($C316="Electricity",1,1/INDEX('TCO - Input'!$R$291:$R$321,MATCH($C316,'TCO - Input'!$F$291:$F$4010,0)))*1000</f>
        <v>0.66273320386351287</v>
      </c>
      <c r="V316" s="112">
        <f>SUMIFS('Fuel Logistics'!T:T,'Fuel Logistics'!$C:$C,$E316,'Fuel Logistics'!$D:$D,$D316,'Fuel Logistics'!$E:$E,"Logistics total")*IF($C316="Electricity",1,1/INDEX('TCO - Input'!$R$291:$R$321,MATCH($C316,'TCO - Input'!$F$291:$F$4010,0)))*1000</f>
        <v>0.66273320386351287</v>
      </c>
    </row>
    <row r="317" spans="1:22" x14ac:dyDescent="0.2">
      <c r="A317" s="29">
        <f t="shared" si="176"/>
        <v>13</v>
      </c>
      <c r="B317" s="334" t="str">
        <f t="shared" ref="B317:B322" si="177">_xlfn.TEXTJOIN(keydelim,TRUE,C317,E317,F317)</f>
        <v>Biodiesel (HtL) - Africa&amp;Other - Logistics cost - USD/GJ</v>
      </c>
      <c r="C317" t="str" cm="1">
        <f t="array" ref="C317">INDEX(list_AE_fuel,A317)</f>
        <v>Biodiesel (HtL)</v>
      </c>
      <c r="D317" t="str">
        <f>INDEX('Configurator Specs.'!$AH:$AH,MATCH($C317,'Configurator Specs.'!$AE:$AE,0))</f>
        <v>Bio-oils</v>
      </c>
      <c r="E317" t="str">
        <f t="shared" ref="E317:E322" si="178">E316</f>
        <v>Africa&amp;Other</v>
      </c>
      <c r="F317" t="str">
        <f t="shared" ref="F317:F322" si="179">"Logistics cost"  &amp;keydelim &amp;I317</f>
        <v>Logistics cost - USD/GJ</v>
      </c>
      <c r="G317"/>
      <c r="H317" s="128"/>
      <c r="I317" t="s">
        <v>324</v>
      </c>
      <c r="K317" s="112">
        <f>SUMIFS('Fuel Logistics'!I:I,'Fuel Logistics'!$C:$C,$E317,'Fuel Logistics'!$D:$D,$D317,'Fuel Logistics'!$E:$E,"Logistics total")*IF($C317="Electricity",1,1/INDEX('TCO - Input'!$R$291:$R$321,MATCH($C317,'TCO - Input'!$F$291:$F$4010,0)))*1000</f>
        <v>0.37149469414234737</v>
      </c>
      <c r="L317" s="112">
        <f>SUMIFS('Fuel Logistics'!J:J,'Fuel Logistics'!$C:$C,$E317,'Fuel Logistics'!$D:$D,$D317,'Fuel Logistics'!$E:$E,"Logistics total")*IF($C317="Electricity",1,1/INDEX('TCO - Input'!$R$291:$R$321,MATCH($C317,'TCO - Input'!$F$291:$F$4010,0)))*1000</f>
        <v>0.37149469414234737</v>
      </c>
      <c r="M317" s="112">
        <f>SUMIFS('Fuel Logistics'!K:K,'Fuel Logistics'!$C:$C,$E317,'Fuel Logistics'!$D:$D,$D317,'Fuel Logistics'!$E:$E,"Logistics total")*IF($C317="Electricity",1,1/INDEX('TCO - Input'!$R$291:$R$321,MATCH($C317,'TCO - Input'!$F$291:$F$4010,0)))*1000</f>
        <v>0.37149469414234737</v>
      </c>
      <c r="N317" s="112">
        <f>SUMIFS('Fuel Logistics'!L:L,'Fuel Logistics'!$C:$C,$E317,'Fuel Logistics'!$D:$D,$D317,'Fuel Logistics'!$E:$E,"Logistics total")*IF($C317="Electricity",1,1/INDEX('TCO - Input'!$R$291:$R$321,MATCH($C317,'TCO - Input'!$F$291:$F$4010,0)))*1000</f>
        <v>0.37149469414234737</v>
      </c>
      <c r="O317" s="112">
        <f>SUMIFS('Fuel Logistics'!M:M,'Fuel Logistics'!$C:$C,$E317,'Fuel Logistics'!$D:$D,$D317,'Fuel Logistics'!$E:$E,"Logistics total")*IF($C317="Electricity",1,1/INDEX('TCO - Input'!$R$291:$R$321,MATCH($C317,'TCO - Input'!$F$291:$F$4010,0)))*1000</f>
        <v>0.37149469414234737</v>
      </c>
      <c r="P317" s="112">
        <f>SUMIFS('Fuel Logistics'!N:N,'Fuel Logistics'!$C:$C,$E317,'Fuel Logistics'!$D:$D,$D317,'Fuel Logistics'!$E:$E,"Logistics total")*IF($C317="Electricity",1,1/INDEX('TCO - Input'!$R$291:$R$321,MATCH($C317,'TCO - Input'!$F$291:$F$4010,0)))*1000</f>
        <v>0.37149469414234737</v>
      </c>
      <c r="Q317" s="112">
        <f>SUMIFS('Fuel Logistics'!O:O,'Fuel Logistics'!$C:$C,$E317,'Fuel Logistics'!$D:$D,$D317,'Fuel Logistics'!$E:$E,"Logistics total")*IF($C317="Electricity",1,1/INDEX('TCO - Input'!$R$291:$R$321,MATCH($C317,'TCO - Input'!$F$291:$F$4010,0)))*1000</f>
        <v>0.37149469414234737</v>
      </c>
      <c r="R317" s="112">
        <f>SUMIFS('Fuel Logistics'!P:P,'Fuel Logistics'!$C:$C,$E317,'Fuel Logistics'!$D:$D,$D317,'Fuel Logistics'!$E:$E,"Logistics total")*IF($C317="Electricity",1,1/INDEX('TCO - Input'!$R$291:$R$321,MATCH($C317,'TCO - Input'!$F$291:$F$4010,0)))*1000</f>
        <v>0.37149469414234737</v>
      </c>
      <c r="S317" s="112">
        <f>SUMIFS('Fuel Logistics'!Q:Q,'Fuel Logistics'!$C:$C,$E317,'Fuel Logistics'!$D:$D,$D317,'Fuel Logistics'!$E:$E,"Logistics total")*IF($C317="Electricity",1,1/INDEX('TCO - Input'!$R$291:$R$321,MATCH($C317,'TCO - Input'!$F$291:$F$4010,0)))*1000</f>
        <v>0.37149469414234737</v>
      </c>
      <c r="T317" s="112">
        <f>SUMIFS('Fuel Logistics'!R:R,'Fuel Logistics'!$C:$C,$E317,'Fuel Logistics'!$D:$D,$D317,'Fuel Logistics'!$E:$E,"Logistics total")*IF($C317="Electricity",1,1/INDEX('TCO - Input'!$R$291:$R$321,MATCH($C317,'TCO - Input'!$F$291:$F$4010,0)))*1000</f>
        <v>0.37149469414234737</v>
      </c>
      <c r="U317" s="112">
        <f>SUMIFS('Fuel Logistics'!S:S,'Fuel Logistics'!$C:$C,$E317,'Fuel Logistics'!$D:$D,$D317,'Fuel Logistics'!$E:$E,"Logistics total")*IF($C317="Electricity",1,1/INDEX('TCO - Input'!$R$291:$R$321,MATCH($C317,'TCO - Input'!$F$291:$F$4010,0)))*1000</f>
        <v>0.37149469414234737</v>
      </c>
      <c r="V317" s="112">
        <f>SUMIFS('Fuel Logistics'!T:T,'Fuel Logistics'!$C:$C,$E317,'Fuel Logistics'!$D:$D,$D317,'Fuel Logistics'!$E:$E,"Logistics total")*IF($C317="Electricity",1,1/INDEX('TCO - Input'!$R$291:$R$321,MATCH($C317,'TCO - Input'!$F$291:$F$4010,0)))*1000</f>
        <v>0.37149469414234737</v>
      </c>
    </row>
    <row r="318" spans="1:22" x14ac:dyDescent="0.2">
      <c r="A318" s="29">
        <f t="shared" si="176"/>
        <v>14</v>
      </c>
      <c r="B318" s="334" t="str">
        <f t="shared" si="177"/>
        <v>Biodiesel (Pyr) - Africa&amp;Other - Logistics cost - USD/GJ</v>
      </c>
      <c r="C318" t="str" cm="1">
        <f t="array" ref="C318">INDEX(list_AE_fuel,A318)</f>
        <v>Biodiesel (Pyr)</v>
      </c>
      <c r="D318" t="str">
        <f>INDEX('Configurator Specs.'!$AH:$AH,MATCH($C318,'Configurator Specs.'!$AE:$AE,0))</f>
        <v>Bio</v>
      </c>
      <c r="E318" t="str">
        <f t="shared" si="178"/>
        <v>Africa&amp;Other</v>
      </c>
      <c r="F318" t="str">
        <f t="shared" si="179"/>
        <v>Logistics cost - USD/GJ</v>
      </c>
      <c r="G318"/>
      <c r="H318" s="128"/>
      <c r="I318" t="s">
        <v>324</v>
      </c>
      <c r="K318" s="112">
        <f>SUMIFS('Fuel Logistics'!I:I,'Fuel Logistics'!$C:$C,$E318,'Fuel Logistics'!$D:$D,$D318,'Fuel Logistics'!$E:$E,"Logistics total")*IF($C318="Electricity",1,1/INDEX('TCO - Input'!$R$291:$R$321,MATCH($C318,'TCO - Input'!$F$291:$F$4010,0)))*1000</f>
        <v>0</v>
      </c>
      <c r="L318" s="112">
        <f>SUMIFS('Fuel Logistics'!J:J,'Fuel Logistics'!$C:$C,$E318,'Fuel Logistics'!$D:$D,$D318,'Fuel Logistics'!$E:$E,"Logistics total")*IF($C318="Electricity",1,1/INDEX('TCO - Input'!$R$291:$R$321,MATCH($C318,'TCO - Input'!$F$291:$F$4010,0)))*1000</f>
        <v>0</v>
      </c>
      <c r="M318" s="112">
        <f>SUMIFS('Fuel Logistics'!K:K,'Fuel Logistics'!$C:$C,$E318,'Fuel Logistics'!$D:$D,$D318,'Fuel Logistics'!$E:$E,"Logistics total")*IF($C318="Electricity",1,1/INDEX('TCO - Input'!$R$291:$R$321,MATCH($C318,'TCO - Input'!$F$291:$F$4010,0)))*1000</f>
        <v>0</v>
      </c>
      <c r="N318" s="112">
        <f>SUMIFS('Fuel Logistics'!L:L,'Fuel Logistics'!$C:$C,$E318,'Fuel Logistics'!$D:$D,$D318,'Fuel Logistics'!$E:$E,"Logistics total")*IF($C318="Electricity",1,1/INDEX('TCO - Input'!$R$291:$R$321,MATCH($C318,'TCO - Input'!$F$291:$F$4010,0)))*1000</f>
        <v>0</v>
      </c>
      <c r="O318" s="112">
        <f>SUMIFS('Fuel Logistics'!M:M,'Fuel Logistics'!$C:$C,$E318,'Fuel Logistics'!$D:$D,$D318,'Fuel Logistics'!$E:$E,"Logistics total")*IF($C318="Electricity",1,1/INDEX('TCO - Input'!$R$291:$R$321,MATCH($C318,'TCO - Input'!$F$291:$F$4010,0)))*1000</f>
        <v>0</v>
      </c>
      <c r="P318" s="112">
        <f>SUMIFS('Fuel Logistics'!N:N,'Fuel Logistics'!$C:$C,$E318,'Fuel Logistics'!$D:$D,$D318,'Fuel Logistics'!$E:$E,"Logistics total")*IF($C318="Electricity",1,1/INDEX('TCO - Input'!$R$291:$R$321,MATCH($C318,'TCO - Input'!$F$291:$F$4010,0)))*1000</f>
        <v>0</v>
      </c>
      <c r="Q318" s="112">
        <f>SUMIFS('Fuel Logistics'!O:O,'Fuel Logistics'!$C:$C,$E318,'Fuel Logistics'!$D:$D,$D318,'Fuel Logistics'!$E:$E,"Logistics total")*IF($C318="Electricity",1,1/INDEX('TCO - Input'!$R$291:$R$321,MATCH($C318,'TCO - Input'!$F$291:$F$4010,0)))*1000</f>
        <v>0</v>
      </c>
      <c r="R318" s="112">
        <f>SUMIFS('Fuel Logistics'!P:P,'Fuel Logistics'!$C:$C,$E318,'Fuel Logistics'!$D:$D,$D318,'Fuel Logistics'!$E:$E,"Logistics total")*IF($C318="Electricity",1,1/INDEX('TCO - Input'!$R$291:$R$321,MATCH($C318,'TCO - Input'!$F$291:$F$4010,0)))*1000</f>
        <v>0</v>
      </c>
      <c r="S318" s="112">
        <f>SUMIFS('Fuel Logistics'!Q:Q,'Fuel Logistics'!$C:$C,$E318,'Fuel Logistics'!$D:$D,$D318,'Fuel Logistics'!$E:$E,"Logistics total")*IF($C318="Electricity",1,1/INDEX('TCO - Input'!$R$291:$R$321,MATCH($C318,'TCO - Input'!$F$291:$F$4010,0)))*1000</f>
        <v>0</v>
      </c>
      <c r="T318" s="112">
        <f>SUMIFS('Fuel Logistics'!R:R,'Fuel Logistics'!$C:$C,$E318,'Fuel Logistics'!$D:$D,$D318,'Fuel Logistics'!$E:$E,"Logistics total")*IF($C318="Electricity",1,1/INDEX('TCO - Input'!$R$291:$R$321,MATCH($C318,'TCO - Input'!$F$291:$F$4010,0)))*1000</f>
        <v>0</v>
      </c>
      <c r="U318" s="112">
        <f>SUMIFS('Fuel Logistics'!S:S,'Fuel Logistics'!$C:$C,$E318,'Fuel Logistics'!$D:$D,$D318,'Fuel Logistics'!$E:$E,"Logistics total")*IF($C318="Electricity",1,1/INDEX('TCO - Input'!$R$291:$R$321,MATCH($C318,'TCO - Input'!$F$291:$F$4010,0)))*1000</f>
        <v>0</v>
      </c>
      <c r="V318" s="112">
        <f>SUMIFS('Fuel Logistics'!T:T,'Fuel Logistics'!$C:$C,$E318,'Fuel Logistics'!$D:$D,$D318,'Fuel Logistics'!$E:$E,"Logistics total")*IF($C318="Electricity",1,1/INDEX('TCO - Input'!$R$291:$R$321,MATCH($C318,'TCO - Input'!$F$291:$F$4010,0)))*1000</f>
        <v>0</v>
      </c>
    </row>
    <row r="319" spans="1:22" x14ac:dyDescent="0.2">
      <c r="A319" s="29">
        <f t="shared" si="176"/>
        <v>15</v>
      </c>
      <c r="B319" s="334" t="str">
        <f t="shared" si="177"/>
        <v>e-Diesel (DAC) - Africa&amp;Other - Logistics cost - USD/GJ</v>
      </c>
      <c r="C319" t="str" cm="1">
        <f t="array" ref="C319">INDEX(list_AE_fuel,A319)</f>
        <v>e-Diesel (DAC)</v>
      </c>
      <c r="D319" t="str">
        <f>INDEX('Configurator Specs.'!$AH:$AH,MATCH($C319,'Configurator Specs.'!$AE:$AE,0))</f>
        <v>Bio-oils</v>
      </c>
      <c r="E319" t="str">
        <f t="shared" si="178"/>
        <v>Africa&amp;Other</v>
      </c>
      <c r="F319" t="str">
        <f t="shared" si="179"/>
        <v>Logistics cost - USD/GJ</v>
      </c>
      <c r="G319"/>
      <c r="H319" s="128"/>
      <c r="I319" t="s">
        <v>324</v>
      </c>
      <c r="K319" s="112">
        <f>SUMIFS('Fuel Logistics'!I:I,'Fuel Logistics'!$C:$C,$E319,'Fuel Logistics'!$D:$D,$D319,'Fuel Logistics'!$E:$E,"Logistics total")*IF($C319="Electricity",1,1/INDEX('TCO - Input'!$R$291:$R$321,MATCH($C319,'TCO - Input'!$F$291:$F$4010,0)))*1000</f>
        <v>0.37149469414234737</v>
      </c>
      <c r="L319" s="112">
        <f>SUMIFS('Fuel Logistics'!J:J,'Fuel Logistics'!$C:$C,$E319,'Fuel Logistics'!$D:$D,$D319,'Fuel Logistics'!$E:$E,"Logistics total")*IF($C319="Electricity",1,1/INDEX('TCO - Input'!$R$291:$R$321,MATCH($C319,'TCO - Input'!$F$291:$F$4010,0)))*1000</f>
        <v>0.37149469414234737</v>
      </c>
      <c r="M319" s="112">
        <f>SUMIFS('Fuel Logistics'!K:K,'Fuel Logistics'!$C:$C,$E319,'Fuel Logistics'!$D:$D,$D319,'Fuel Logistics'!$E:$E,"Logistics total")*IF($C319="Electricity",1,1/INDEX('TCO - Input'!$R$291:$R$321,MATCH($C319,'TCO - Input'!$F$291:$F$4010,0)))*1000</f>
        <v>0.37149469414234737</v>
      </c>
      <c r="N319" s="112">
        <f>SUMIFS('Fuel Logistics'!L:L,'Fuel Logistics'!$C:$C,$E319,'Fuel Logistics'!$D:$D,$D319,'Fuel Logistics'!$E:$E,"Logistics total")*IF($C319="Electricity",1,1/INDEX('TCO - Input'!$R$291:$R$321,MATCH($C319,'TCO - Input'!$F$291:$F$4010,0)))*1000</f>
        <v>0.37149469414234737</v>
      </c>
      <c r="O319" s="112">
        <f>SUMIFS('Fuel Logistics'!M:M,'Fuel Logistics'!$C:$C,$E319,'Fuel Logistics'!$D:$D,$D319,'Fuel Logistics'!$E:$E,"Logistics total")*IF($C319="Electricity",1,1/INDEX('TCO - Input'!$R$291:$R$321,MATCH($C319,'TCO - Input'!$F$291:$F$4010,0)))*1000</f>
        <v>0.37149469414234737</v>
      </c>
      <c r="P319" s="112">
        <f>SUMIFS('Fuel Logistics'!N:N,'Fuel Logistics'!$C:$C,$E319,'Fuel Logistics'!$D:$D,$D319,'Fuel Logistics'!$E:$E,"Logistics total")*IF($C319="Electricity",1,1/INDEX('TCO - Input'!$R$291:$R$321,MATCH($C319,'TCO - Input'!$F$291:$F$4010,0)))*1000</f>
        <v>0.37149469414234737</v>
      </c>
      <c r="Q319" s="112">
        <f>SUMIFS('Fuel Logistics'!O:O,'Fuel Logistics'!$C:$C,$E319,'Fuel Logistics'!$D:$D,$D319,'Fuel Logistics'!$E:$E,"Logistics total")*IF($C319="Electricity",1,1/INDEX('TCO - Input'!$R$291:$R$321,MATCH($C319,'TCO - Input'!$F$291:$F$4010,0)))*1000</f>
        <v>0.37149469414234737</v>
      </c>
      <c r="R319" s="112">
        <f>SUMIFS('Fuel Logistics'!P:P,'Fuel Logistics'!$C:$C,$E319,'Fuel Logistics'!$D:$D,$D319,'Fuel Logistics'!$E:$E,"Logistics total")*IF($C319="Electricity",1,1/INDEX('TCO - Input'!$R$291:$R$321,MATCH($C319,'TCO - Input'!$F$291:$F$4010,0)))*1000</f>
        <v>0.37149469414234737</v>
      </c>
      <c r="S319" s="112">
        <f>SUMIFS('Fuel Logistics'!Q:Q,'Fuel Logistics'!$C:$C,$E319,'Fuel Logistics'!$D:$D,$D319,'Fuel Logistics'!$E:$E,"Logistics total")*IF($C319="Electricity",1,1/INDEX('TCO - Input'!$R$291:$R$321,MATCH($C319,'TCO - Input'!$F$291:$F$4010,0)))*1000</f>
        <v>0.37149469414234737</v>
      </c>
      <c r="T319" s="112">
        <f>SUMIFS('Fuel Logistics'!R:R,'Fuel Logistics'!$C:$C,$E319,'Fuel Logistics'!$D:$D,$D319,'Fuel Logistics'!$E:$E,"Logistics total")*IF($C319="Electricity",1,1/INDEX('TCO - Input'!$R$291:$R$321,MATCH($C319,'TCO - Input'!$F$291:$F$4010,0)))*1000</f>
        <v>0.37149469414234737</v>
      </c>
      <c r="U319" s="112">
        <f>SUMIFS('Fuel Logistics'!S:S,'Fuel Logistics'!$C:$C,$E319,'Fuel Logistics'!$D:$D,$D319,'Fuel Logistics'!$E:$E,"Logistics total")*IF($C319="Electricity",1,1/INDEX('TCO - Input'!$R$291:$R$321,MATCH($C319,'TCO - Input'!$F$291:$F$4010,0)))*1000</f>
        <v>0.37149469414234737</v>
      </c>
      <c r="V319" s="112">
        <f>SUMIFS('Fuel Logistics'!T:T,'Fuel Logistics'!$C:$C,$E319,'Fuel Logistics'!$D:$D,$D319,'Fuel Logistics'!$E:$E,"Logistics total")*IF($C319="Electricity",1,1/INDEX('TCO - Input'!$R$291:$R$321,MATCH($C319,'TCO - Input'!$F$291:$F$4010,0)))*1000</f>
        <v>0.37149469414234737</v>
      </c>
    </row>
    <row r="320" spans="1:22" x14ac:dyDescent="0.2">
      <c r="A320" s="29">
        <f t="shared" si="176"/>
        <v>16</v>
      </c>
      <c r="B320" s="334" t="str">
        <f t="shared" si="177"/>
        <v>e-Diesel (PS) - Africa&amp;Other - Logistics cost - USD/GJ</v>
      </c>
      <c r="C320" t="str" cm="1">
        <f t="array" ref="C320">INDEX(list_AE_fuel,A320)</f>
        <v>e-Diesel (PS)</v>
      </c>
      <c r="D320" t="str">
        <f>INDEX('Configurator Specs.'!$AH:$AH,MATCH($C320,'Configurator Specs.'!$AE:$AE,0))</f>
        <v>Bio-oils</v>
      </c>
      <c r="E320" t="str">
        <f t="shared" si="178"/>
        <v>Africa&amp;Other</v>
      </c>
      <c r="F320" t="str">
        <f t="shared" si="179"/>
        <v>Logistics cost - USD/GJ</v>
      </c>
      <c r="G320"/>
      <c r="H320" s="128"/>
      <c r="I320" t="s">
        <v>324</v>
      </c>
      <c r="K320" s="112">
        <f>SUMIFS('Fuel Logistics'!I:I,'Fuel Logistics'!$C:$C,$E320,'Fuel Logistics'!$D:$D,$D320,'Fuel Logistics'!$E:$E,"Logistics total")*IF($C320="Electricity",1,1/INDEX('TCO - Input'!$R$291:$R$321,MATCH($C320,'TCO - Input'!$F$291:$F$4010,0)))*1000</f>
        <v>0.37149469414234737</v>
      </c>
      <c r="L320" s="112">
        <f>SUMIFS('Fuel Logistics'!J:J,'Fuel Logistics'!$C:$C,$E320,'Fuel Logistics'!$D:$D,$D320,'Fuel Logistics'!$E:$E,"Logistics total")*IF($C320="Electricity",1,1/INDEX('TCO - Input'!$R$291:$R$321,MATCH($C320,'TCO - Input'!$F$291:$F$4010,0)))*1000</f>
        <v>0.37149469414234737</v>
      </c>
      <c r="M320" s="112">
        <f>SUMIFS('Fuel Logistics'!K:K,'Fuel Logistics'!$C:$C,$E320,'Fuel Logistics'!$D:$D,$D320,'Fuel Logistics'!$E:$E,"Logistics total")*IF($C320="Electricity",1,1/INDEX('TCO - Input'!$R$291:$R$321,MATCH($C320,'TCO - Input'!$F$291:$F$4010,0)))*1000</f>
        <v>0.37149469414234737</v>
      </c>
      <c r="N320" s="112">
        <f>SUMIFS('Fuel Logistics'!L:L,'Fuel Logistics'!$C:$C,$E320,'Fuel Logistics'!$D:$D,$D320,'Fuel Logistics'!$E:$E,"Logistics total")*IF($C320="Electricity",1,1/INDEX('TCO - Input'!$R$291:$R$321,MATCH($C320,'TCO - Input'!$F$291:$F$4010,0)))*1000</f>
        <v>0.37149469414234737</v>
      </c>
      <c r="O320" s="112">
        <f>SUMIFS('Fuel Logistics'!M:M,'Fuel Logistics'!$C:$C,$E320,'Fuel Logistics'!$D:$D,$D320,'Fuel Logistics'!$E:$E,"Logistics total")*IF($C320="Electricity",1,1/INDEX('TCO - Input'!$R$291:$R$321,MATCH($C320,'TCO - Input'!$F$291:$F$4010,0)))*1000</f>
        <v>0.37149469414234737</v>
      </c>
      <c r="P320" s="112">
        <f>SUMIFS('Fuel Logistics'!N:N,'Fuel Logistics'!$C:$C,$E320,'Fuel Logistics'!$D:$D,$D320,'Fuel Logistics'!$E:$E,"Logistics total")*IF($C320="Electricity",1,1/INDEX('TCO - Input'!$R$291:$R$321,MATCH($C320,'TCO - Input'!$F$291:$F$4010,0)))*1000</f>
        <v>0.37149469414234737</v>
      </c>
      <c r="Q320" s="112">
        <f>SUMIFS('Fuel Logistics'!O:O,'Fuel Logistics'!$C:$C,$E320,'Fuel Logistics'!$D:$D,$D320,'Fuel Logistics'!$E:$E,"Logistics total")*IF($C320="Electricity",1,1/INDEX('TCO - Input'!$R$291:$R$321,MATCH($C320,'TCO - Input'!$F$291:$F$4010,0)))*1000</f>
        <v>0.37149469414234737</v>
      </c>
      <c r="R320" s="112">
        <f>SUMIFS('Fuel Logistics'!P:P,'Fuel Logistics'!$C:$C,$E320,'Fuel Logistics'!$D:$D,$D320,'Fuel Logistics'!$E:$E,"Logistics total")*IF($C320="Electricity",1,1/INDEX('TCO - Input'!$R$291:$R$321,MATCH($C320,'TCO - Input'!$F$291:$F$4010,0)))*1000</f>
        <v>0.37149469414234737</v>
      </c>
      <c r="S320" s="112">
        <f>SUMIFS('Fuel Logistics'!Q:Q,'Fuel Logistics'!$C:$C,$E320,'Fuel Logistics'!$D:$D,$D320,'Fuel Logistics'!$E:$E,"Logistics total")*IF($C320="Electricity",1,1/INDEX('TCO - Input'!$R$291:$R$321,MATCH($C320,'TCO - Input'!$F$291:$F$4010,0)))*1000</f>
        <v>0.37149469414234737</v>
      </c>
      <c r="T320" s="112">
        <f>SUMIFS('Fuel Logistics'!R:R,'Fuel Logistics'!$C:$C,$E320,'Fuel Logistics'!$D:$D,$D320,'Fuel Logistics'!$E:$E,"Logistics total")*IF($C320="Electricity",1,1/INDEX('TCO - Input'!$R$291:$R$321,MATCH($C320,'TCO - Input'!$F$291:$F$4010,0)))*1000</f>
        <v>0.37149469414234737</v>
      </c>
      <c r="U320" s="112">
        <f>SUMIFS('Fuel Logistics'!S:S,'Fuel Logistics'!$C:$C,$E320,'Fuel Logistics'!$D:$D,$D320,'Fuel Logistics'!$E:$E,"Logistics total")*IF($C320="Electricity",1,1/INDEX('TCO - Input'!$R$291:$R$321,MATCH($C320,'TCO - Input'!$F$291:$F$4010,0)))*1000</f>
        <v>0.37149469414234737</v>
      </c>
      <c r="V320" s="112">
        <f>SUMIFS('Fuel Logistics'!T:T,'Fuel Logistics'!$C:$C,$E320,'Fuel Logistics'!$D:$D,$D320,'Fuel Logistics'!$E:$E,"Logistics total")*IF($C320="Electricity",1,1/INDEX('TCO - Input'!$R$291:$R$321,MATCH($C320,'TCO - Input'!$F$291:$F$4010,0)))*1000</f>
        <v>0.37149469414234737</v>
      </c>
    </row>
    <row r="321" spans="1:22" x14ac:dyDescent="0.2">
      <c r="A321" s="29">
        <f t="shared" si="176"/>
        <v>17</v>
      </c>
      <c r="B321" s="334" t="str">
        <f t="shared" si="177"/>
        <v>Biodiesel (HtL blend) - Africa&amp;Other - Logistics cost - USD/GJ</v>
      </c>
      <c r="C321" t="str" cm="1">
        <f t="array" ref="C321">INDEX(list_AE_fuel,A321)</f>
        <v>Biodiesel (HtL blend)</v>
      </c>
      <c r="D321" t="str">
        <f>INDEX('Configurator Specs.'!$AH:$AH,MATCH($C321,'Configurator Specs.'!$AE:$AE,0))</f>
        <v>Bio</v>
      </c>
      <c r="E321" t="str">
        <f t="shared" si="178"/>
        <v>Africa&amp;Other</v>
      </c>
      <c r="F321" t="str">
        <f t="shared" si="179"/>
        <v>Logistics cost - USD/GJ</v>
      </c>
      <c r="G321"/>
      <c r="H321" s="128"/>
      <c r="I321" t="s">
        <v>324</v>
      </c>
      <c r="K321" s="112">
        <f>SUMIFS('Fuel Logistics'!I:I,'Fuel Logistics'!$C:$C,$E321,'Fuel Logistics'!$D:$D,$D321,'Fuel Logistics'!$E:$E,"Logistics total")*IF($C321="Electricity",1,1/INDEX('TCO - Input'!$R$291:$R$321,MATCH($C321,'TCO - Input'!$F$291:$F$4010,0)))*1000</f>
        <v>0</v>
      </c>
      <c r="L321" s="112">
        <f>SUMIFS('Fuel Logistics'!J:J,'Fuel Logistics'!$C:$C,$E321,'Fuel Logistics'!$D:$D,$D321,'Fuel Logistics'!$E:$E,"Logistics total")*IF($C321="Electricity",1,1/INDEX('TCO - Input'!$R$291:$R$321,MATCH($C321,'TCO - Input'!$F$291:$F$4010,0)))*1000</f>
        <v>0</v>
      </c>
      <c r="M321" s="112">
        <f>SUMIFS('Fuel Logistics'!K:K,'Fuel Logistics'!$C:$C,$E321,'Fuel Logistics'!$D:$D,$D321,'Fuel Logistics'!$E:$E,"Logistics total")*IF($C321="Electricity",1,1/INDEX('TCO - Input'!$R$291:$R$321,MATCH($C321,'TCO - Input'!$F$291:$F$4010,0)))*1000</f>
        <v>0</v>
      </c>
      <c r="N321" s="112">
        <f>SUMIFS('Fuel Logistics'!L:L,'Fuel Logistics'!$C:$C,$E321,'Fuel Logistics'!$D:$D,$D321,'Fuel Logistics'!$E:$E,"Logistics total")*IF($C321="Electricity",1,1/INDEX('TCO - Input'!$R$291:$R$321,MATCH($C321,'TCO - Input'!$F$291:$F$4010,0)))*1000</f>
        <v>0</v>
      </c>
      <c r="O321" s="112">
        <f>SUMIFS('Fuel Logistics'!M:M,'Fuel Logistics'!$C:$C,$E321,'Fuel Logistics'!$D:$D,$D321,'Fuel Logistics'!$E:$E,"Logistics total")*IF($C321="Electricity",1,1/INDEX('TCO - Input'!$R$291:$R$321,MATCH($C321,'TCO - Input'!$F$291:$F$4010,0)))*1000</f>
        <v>0</v>
      </c>
      <c r="P321" s="112">
        <f>SUMIFS('Fuel Logistics'!N:N,'Fuel Logistics'!$C:$C,$E321,'Fuel Logistics'!$D:$D,$D321,'Fuel Logistics'!$E:$E,"Logistics total")*IF($C321="Electricity",1,1/INDEX('TCO - Input'!$R$291:$R$321,MATCH($C321,'TCO - Input'!$F$291:$F$4010,0)))*1000</f>
        <v>0</v>
      </c>
      <c r="Q321" s="112">
        <f>SUMIFS('Fuel Logistics'!O:O,'Fuel Logistics'!$C:$C,$E321,'Fuel Logistics'!$D:$D,$D321,'Fuel Logistics'!$E:$E,"Logistics total")*IF($C321="Electricity",1,1/INDEX('TCO - Input'!$R$291:$R$321,MATCH($C321,'TCO - Input'!$F$291:$F$4010,0)))*1000</f>
        <v>0</v>
      </c>
      <c r="R321" s="112">
        <f>SUMIFS('Fuel Logistics'!P:P,'Fuel Logistics'!$C:$C,$E321,'Fuel Logistics'!$D:$D,$D321,'Fuel Logistics'!$E:$E,"Logistics total")*IF($C321="Electricity",1,1/INDEX('TCO - Input'!$R$291:$R$321,MATCH($C321,'TCO - Input'!$F$291:$F$4010,0)))*1000</f>
        <v>0</v>
      </c>
      <c r="S321" s="112">
        <f>SUMIFS('Fuel Logistics'!Q:Q,'Fuel Logistics'!$C:$C,$E321,'Fuel Logistics'!$D:$D,$D321,'Fuel Logistics'!$E:$E,"Logistics total")*IF($C321="Electricity",1,1/INDEX('TCO - Input'!$R$291:$R$321,MATCH($C321,'TCO - Input'!$F$291:$F$4010,0)))*1000</f>
        <v>0</v>
      </c>
      <c r="T321" s="112">
        <f>SUMIFS('Fuel Logistics'!R:R,'Fuel Logistics'!$C:$C,$E321,'Fuel Logistics'!$D:$D,$D321,'Fuel Logistics'!$E:$E,"Logistics total")*IF($C321="Electricity",1,1/INDEX('TCO - Input'!$R$291:$R$321,MATCH($C321,'TCO - Input'!$F$291:$F$4010,0)))*1000</f>
        <v>0</v>
      </c>
      <c r="U321" s="112">
        <f>SUMIFS('Fuel Logistics'!S:S,'Fuel Logistics'!$C:$C,$E321,'Fuel Logistics'!$D:$D,$D321,'Fuel Logistics'!$E:$E,"Logistics total")*IF($C321="Electricity",1,1/INDEX('TCO - Input'!$R$291:$R$321,MATCH($C321,'TCO - Input'!$F$291:$F$4010,0)))*1000</f>
        <v>0</v>
      </c>
      <c r="V321" s="112">
        <f>SUMIFS('Fuel Logistics'!T:T,'Fuel Logistics'!$C:$C,$E321,'Fuel Logistics'!$D:$D,$D321,'Fuel Logistics'!$E:$E,"Logistics total")*IF($C321="Electricity",1,1/INDEX('TCO - Input'!$R$291:$R$321,MATCH($C321,'TCO - Input'!$F$291:$F$4010,0)))*1000</f>
        <v>0</v>
      </c>
    </row>
    <row r="322" spans="1:22" x14ac:dyDescent="0.2">
      <c r="A322" s="29">
        <f t="shared" si="176"/>
        <v>18</v>
      </c>
      <c r="B322" s="334" t="str">
        <f t="shared" si="177"/>
        <v>Biodiesel (Pyr blend) - Africa&amp;Other - Logistics cost - USD/GJ</v>
      </c>
      <c r="C322" t="str" cm="1">
        <f t="array" ref="C322">INDEX(list_AE_fuel,A322)</f>
        <v>Biodiesel (Pyr blend)</v>
      </c>
      <c r="D322" t="str">
        <f>INDEX('Configurator Specs.'!$AH:$AH,MATCH($C322,'Configurator Specs.'!$AE:$AE,0))</f>
        <v>Bio</v>
      </c>
      <c r="E322" t="str">
        <f t="shared" si="178"/>
        <v>Africa&amp;Other</v>
      </c>
      <c r="F322" t="str">
        <f t="shared" si="179"/>
        <v>Logistics cost - USD/GJ</v>
      </c>
      <c r="G322"/>
      <c r="H322" s="128"/>
      <c r="I322" t="s">
        <v>324</v>
      </c>
      <c r="K322" s="112">
        <f>SUMIFS('Fuel Logistics'!I:I,'Fuel Logistics'!$C:$C,$E322,'Fuel Logistics'!$D:$D,$D322,'Fuel Logistics'!$E:$E,"Logistics total")*IF($C322="Electricity",1,1/INDEX('TCO - Input'!$R$291:$R$321,MATCH($C322,'TCO - Input'!$F$291:$F$4010,0)))*1000</f>
        <v>0</v>
      </c>
      <c r="L322" s="112">
        <f>SUMIFS('Fuel Logistics'!J:J,'Fuel Logistics'!$C:$C,$E322,'Fuel Logistics'!$D:$D,$D322,'Fuel Logistics'!$E:$E,"Logistics total")*IF($C322="Electricity",1,1/INDEX('TCO - Input'!$R$291:$R$321,MATCH($C322,'TCO - Input'!$F$291:$F$4010,0)))*1000</f>
        <v>0</v>
      </c>
      <c r="M322" s="112">
        <f>SUMIFS('Fuel Logistics'!K:K,'Fuel Logistics'!$C:$C,$E322,'Fuel Logistics'!$D:$D,$D322,'Fuel Logistics'!$E:$E,"Logistics total")*IF($C322="Electricity",1,1/INDEX('TCO - Input'!$R$291:$R$321,MATCH($C322,'TCO - Input'!$F$291:$F$4010,0)))*1000</f>
        <v>0</v>
      </c>
      <c r="N322" s="112">
        <f>SUMIFS('Fuel Logistics'!L:L,'Fuel Logistics'!$C:$C,$E322,'Fuel Logistics'!$D:$D,$D322,'Fuel Logistics'!$E:$E,"Logistics total")*IF($C322="Electricity",1,1/INDEX('TCO - Input'!$R$291:$R$321,MATCH($C322,'TCO - Input'!$F$291:$F$4010,0)))*1000</f>
        <v>0</v>
      </c>
      <c r="O322" s="112">
        <f>SUMIFS('Fuel Logistics'!M:M,'Fuel Logistics'!$C:$C,$E322,'Fuel Logistics'!$D:$D,$D322,'Fuel Logistics'!$E:$E,"Logistics total")*IF($C322="Electricity",1,1/INDEX('TCO - Input'!$R$291:$R$321,MATCH($C322,'TCO - Input'!$F$291:$F$4010,0)))*1000</f>
        <v>0</v>
      </c>
      <c r="P322" s="112">
        <f>SUMIFS('Fuel Logistics'!N:N,'Fuel Logistics'!$C:$C,$E322,'Fuel Logistics'!$D:$D,$D322,'Fuel Logistics'!$E:$E,"Logistics total")*IF($C322="Electricity",1,1/INDEX('TCO - Input'!$R$291:$R$321,MATCH($C322,'TCO - Input'!$F$291:$F$4010,0)))*1000</f>
        <v>0</v>
      </c>
      <c r="Q322" s="112">
        <f>SUMIFS('Fuel Logistics'!O:O,'Fuel Logistics'!$C:$C,$E322,'Fuel Logistics'!$D:$D,$D322,'Fuel Logistics'!$E:$E,"Logistics total")*IF($C322="Electricity",1,1/INDEX('TCO - Input'!$R$291:$R$321,MATCH($C322,'TCO - Input'!$F$291:$F$4010,0)))*1000</f>
        <v>0</v>
      </c>
      <c r="R322" s="112">
        <f>SUMIFS('Fuel Logistics'!P:P,'Fuel Logistics'!$C:$C,$E322,'Fuel Logistics'!$D:$D,$D322,'Fuel Logistics'!$E:$E,"Logistics total")*IF($C322="Electricity",1,1/INDEX('TCO - Input'!$R$291:$R$321,MATCH($C322,'TCO - Input'!$F$291:$F$4010,0)))*1000</f>
        <v>0</v>
      </c>
      <c r="S322" s="112">
        <f>SUMIFS('Fuel Logistics'!Q:Q,'Fuel Logistics'!$C:$C,$E322,'Fuel Logistics'!$D:$D,$D322,'Fuel Logistics'!$E:$E,"Logistics total")*IF($C322="Electricity",1,1/INDEX('TCO - Input'!$R$291:$R$321,MATCH($C322,'TCO - Input'!$F$291:$F$4010,0)))*1000</f>
        <v>0</v>
      </c>
      <c r="T322" s="112">
        <f>SUMIFS('Fuel Logistics'!R:R,'Fuel Logistics'!$C:$C,$E322,'Fuel Logistics'!$D:$D,$D322,'Fuel Logistics'!$E:$E,"Logistics total")*IF($C322="Electricity",1,1/INDEX('TCO - Input'!$R$291:$R$321,MATCH($C322,'TCO - Input'!$F$291:$F$4010,0)))*1000</f>
        <v>0</v>
      </c>
      <c r="U322" s="112">
        <f>SUMIFS('Fuel Logistics'!S:S,'Fuel Logistics'!$C:$C,$E322,'Fuel Logistics'!$D:$D,$D322,'Fuel Logistics'!$E:$E,"Logistics total")*IF($C322="Electricity",1,1/INDEX('TCO - Input'!$R$291:$R$321,MATCH($C322,'TCO - Input'!$F$291:$F$4010,0)))*1000</f>
        <v>0</v>
      </c>
      <c r="V322" s="112">
        <f>SUMIFS('Fuel Logistics'!T:T,'Fuel Logistics'!$C:$C,$E322,'Fuel Logistics'!$D:$D,$D322,'Fuel Logistics'!$E:$E,"Logistics total")*IF($C322="Electricity",1,1/INDEX('TCO - Input'!$R$291:$R$321,MATCH($C322,'TCO - Input'!$F$291:$F$4010,0)))*1000</f>
        <v>0</v>
      </c>
    </row>
    <row r="323" spans="1:22" x14ac:dyDescent="0.2">
      <c r="A323" s="29">
        <f t="shared" si="176"/>
        <v>19</v>
      </c>
      <c r="B323" s="334" t="str">
        <f>_xlfn.TEXTJOIN(keydelim,TRUE,C323,E323,F323)</f>
        <v>Blue hydrogen (liquid) - Africa&amp;Other - Logistics cost - USD/GJ</v>
      </c>
      <c r="C323" t="str" cm="1">
        <f t="array" ref="C323">INDEX(list_AE_fuel,A323)</f>
        <v>Blue hydrogen (liquid)</v>
      </c>
      <c r="D323" t="str">
        <f>INDEX('Configurator Specs.'!$AH:$AH,MATCH($C323,'Configurator Specs.'!$AE:$AE,0))</f>
        <v>Blue hydrogen (liquid)</v>
      </c>
      <c r="E323" t="str">
        <f>E322</f>
        <v>Africa&amp;Other</v>
      </c>
      <c r="F323" t="str">
        <f>"Logistics cost"  &amp;keydelim &amp;I323</f>
        <v>Logistics cost - USD/GJ</v>
      </c>
      <c r="G323"/>
      <c r="H323" s="128"/>
      <c r="I323" t="s">
        <v>324</v>
      </c>
      <c r="K323" s="112">
        <f>SUMIFS('Fuel Logistics'!I:I,'Fuel Logistics'!$C:$C,$E323,'Fuel Logistics'!$D:$D,$D323,'Fuel Logistics'!$E:$E,"Logistics total")*IF($C323="Electricity",1,1/INDEX('TCO - Input'!$R$291:$R$321,MATCH($C323,'TCO - Input'!$F$291:$F$4010,0)))*1000</f>
        <v>14.522051210905536</v>
      </c>
      <c r="L323" s="112">
        <f>SUMIFS('Fuel Logistics'!J:J,'Fuel Logistics'!$C:$C,$E323,'Fuel Logistics'!$D:$D,$D323,'Fuel Logistics'!$E:$E,"Logistics total")*IF($C323="Electricity",1,1/INDEX('TCO - Input'!$R$291:$R$321,MATCH($C323,'TCO - Input'!$F$291:$F$4010,0)))*1000</f>
        <v>12.931994016761625</v>
      </c>
      <c r="M323" s="112">
        <f>SUMIFS('Fuel Logistics'!K:K,'Fuel Logistics'!$C:$C,$E323,'Fuel Logistics'!$D:$D,$D323,'Fuel Logistics'!$E:$E,"Logistics total")*IF($C323="Electricity",1,1/INDEX('TCO - Input'!$R$291:$R$321,MATCH($C323,'TCO - Input'!$F$291:$F$4010,0)))*1000</f>
        <v>12.562554718237156</v>
      </c>
      <c r="N323" s="112">
        <f>SUMIFS('Fuel Logistics'!L:L,'Fuel Logistics'!$C:$C,$E323,'Fuel Logistics'!$D:$D,$D323,'Fuel Logistics'!$E:$E,"Logistics total")*IF($C323="Electricity",1,1/INDEX('TCO - Input'!$R$291:$R$321,MATCH($C323,'TCO - Input'!$F$291:$F$4010,0)))*1000</f>
        <v>12.507661008759769</v>
      </c>
      <c r="O323" s="112">
        <f>SUMIFS('Fuel Logistics'!M:M,'Fuel Logistics'!$C:$C,$E323,'Fuel Logistics'!$D:$D,$D323,'Fuel Logistics'!$E:$E,"Logistics total")*IF($C323="Electricity",1,1/INDEX('TCO - Input'!$R$291:$R$321,MATCH($C323,'TCO - Input'!$F$291:$F$4010,0)))*1000</f>
        <v>12.466276652164234</v>
      </c>
      <c r="P323" s="112">
        <f>SUMIFS('Fuel Logistics'!N:N,'Fuel Logistics'!$C:$C,$E323,'Fuel Logistics'!$D:$D,$D323,'Fuel Logistics'!$E:$E,"Logistics total")*IF($C323="Electricity",1,1/INDEX('TCO - Input'!$R$291:$R$321,MATCH($C323,'TCO - Input'!$F$291:$F$4010,0)))*1000</f>
        <v>12.427142386690376</v>
      </c>
      <c r="Q323" s="112">
        <f>SUMIFS('Fuel Logistics'!O:O,'Fuel Logistics'!$C:$C,$E323,'Fuel Logistics'!$D:$D,$D323,'Fuel Logistics'!$E:$E,"Logistics total")*IF($C323="Electricity",1,1/INDEX('TCO - Input'!$R$291:$R$321,MATCH($C323,'TCO - Input'!$F$291:$F$4010,0)))*1000</f>
        <v>12.395113333010759</v>
      </c>
      <c r="R323" s="112">
        <f>SUMIFS('Fuel Logistics'!P:P,'Fuel Logistics'!$C:$C,$E323,'Fuel Logistics'!$D:$D,$D323,'Fuel Logistics'!$E:$E,"Logistics total")*IF($C323="Electricity",1,1/INDEX('TCO - Input'!$R$291:$R$321,MATCH($C323,'TCO - Input'!$F$291:$F$4010,0)))*1000</f>
        <v>12.395113333010759</v>
      </c>
      <c r="S323" s="112">
        <f>SUMIFS('Fuel Logistics'!Q:Q,'Fuel Logistics'!$C:$C,$E323,'Fuel Logistics'!$D:$D,$D323,'Fuel Logistics'!$E:$E,"Logistics total")*IF($C323="Electricity",1,1/INDEX('TCO - Input'!$R$291:$R$321,MATCH($C323,'TCO - Input'!$F$291:$F$4010,0)))*1000</f>
        <v>12.395113333010759</v>
      </c>
      <c r="T323" s="112">
        <f>SUMIFS('Fuel Logistics'!R:R,'Fuel Logistics'!$C:$C,$E323,'Fuel Logistics'!$D:$D,$D323,'Fuel Logistics'!$E:$E,"Logistics total")*IF($C323="Electricity",1,1/INDEX('TCO - Input'!$R$291:$R$321,MATCH($C323,'TCO - Input'!$F$291:$F$4010,0)))*1000</f>
        <v>12.395113333010759</v>
      </c>
      <c r="U323" s="112">
        <f>SUMIFS('Fuel Logistics'!S:S,'Fuel Logistics'!$C:$C,$E323,'Fuel Logistics'!$D:$D,$D323,'Fuel Logistics'!$E:$E,"Logistics total")*IF($C323="Electricity",1,1/INDEX('TCO - Input'!$R$291:$R$321,MATCH($C323,'TCO - Input'!$F$291:$F$4010,0)))*1000</f>
        <v>12.395113333010759</v>
      </c>
      <c r="V323" s="112">
        <f>SUMIFS('Fuel Logistics'!T:T,'Fuel Logistics'!$C:$C,$E323,'Fuel Logistics'!$D:$D,$D323,'Fuel Logistics'!$E:$E,"Logistics total")*IF($C323="Electricity",1,1/INDEX('TCO - Input'!$R$291:$R$321,MATCH($C323,'TCO - Input'!$F$291:$F$4010,0)))*1000</f>
        <v>12.395113333010759</v>
      </c>
    </row>
    <row r="324" spans="1:22" x14ac:dyDescent="0.2">
      <c r="A324" s="29">
        <f t="shared" si="176"/>
        <v>20</v>
      </c>
      <c r="B324" s="334" t="str">
        <f>_xlfn.TEXTJOIN(keydelim,TRUE,C324,E324,F324)</f>
        <v>e-Hydrogen (liquid) - Africa&amp;Other - Logistics cost - USD/GJ</v>
      </c>
      <c r="C324" t="str" cm="1">
        <f t="array" ref="C324">INDEX(list_AE_fuel,A324)</f>
        <v>e-Hydrogen (liquid)</v>
      </c>
      <c r="D324" t="str">
        <f>INDEX('Configurator Specs.'!$AH:$AH,MATCH($C324,'Configurator Specs.'!$AE:$AE,0))</f>
        <v>e-Hydrogen (liquid)</v>
      </c>
      <c r="E324" t="str">
        <f>E323</f>
        <v>Africa&amp;Other</v>
      </c>
      <c r="F324" t="str">
        <f>"Logistics cost"  &amp;keydelim &amp;I324</f>
        <v>Logistics cost - USD/GJ</v>
      </c>
      <c r="G324"/>
      <c r="H324" s="128"/>
      <c r="I324" t="s">
        <v>324</v>
      </c>
      <c r="K324" s="112">
        <f>SUMIFS('Fuel Logistics'!I:I,'Fuel Logistics'!$C:$C,$E324,'Fuel Logistics'!$D:$D,$D324,'Fuel Logistics'!$E:$E,"Logistics total")*IF($C324="Electricity",1,1/INDEX('TCO - Input'!$R$291:$R$321,MATCH($C324,'TCO - Input'!$F$291:$F$4010,0)))*1000</f>
        <v>13.923415657540918</v>
      </c>
      <c r="L324" s="112">
        <f>SUMIFS('Fuel Logistics'!J:J,'Fuel Logistics'!$C:$C,$E324,'Fuel Logistics'!$D:$D,$D324,'Fuel Logistics'!$E:$E,"Logistics total")*IF($C324="Electricity",1,1/INDEX('TCO - Input'!$R$291:$R$321,MATCH($C324,'TCO - Input'!$F$291:$F$4010,0)))*1000</f>
        <v>12.994561603549016</v>
      </c>
      <c r="M324" s="112">
        <f>SUMIFS('Fuel Logistics'!K:K,'Fuel Logistics'!$C:$C,$E324,'Fuel Logistics'!$D:$D,$D324,'Fuel Logistics'!$E:$E,"Logistics total")*IF($C324="Electricity",1,1/INDEX('TCO - Input'!$R$291:$R$321,MATCH($C324,'TCO - Input'!$F$291:$F$4010,0)))*1000</f>
        <v>12.671358658126946</v>
      </c>
      <c r="N324" s="112">
        <f>SUMIFS('Fuel Logistics'!L:L,'Fuel Logistics'!$C:$C,$E324,'Fuel Logistics'!$D:$D,$D324,'Fuel Logistics'!$E:$E,"Logistics total")*IF($C324="Electricity",1,1/INDEX('TCO - Input'!$R$291:$R$321,MATCH($C324,'TCO - Input'!$F$291:$F$4010,0)))*1000</f>
        <v>12.515920728717804</v>
      </c>
      <c r="O324" s="112">
        <f>SUMIFS('Fuel Logistics'!M:M,'Fuel Logistics'!$C:$C,$E324,'Fuel Logistics'!$D:$D,$D324,'Fuel Logistics'!$E:$E,"Logistics total")*IF($C324="Electricity",1,1/INDEX('TCO - Input'!$R$291:$R$321,MATCH($C324,'TCO - Input'!$F$291:$F$4010,0)))*1000</f>
        <v>12.366231848261044</v>
      </c>
      <c r="P324" s="112">
        <f>SUMIFS('Fuel Logistics'!N:N,'Fuel Logistics'!$C:$C,$E324,'Fuel Logistics'!$D:$D,$D324,'Fuel Logistics'!$E:$E,"Logistics total")*IF($C324="Electricity",1,1/INDEX('TCO - Input'!$R$291:$R$321,MATCH($C324,'TCO - Input'!$F$291:$F$4010,0)))*1000</f>
        <v>12.180286368584454</v>
      </c>
      <c r="Q324" s="112">
        <f>SUMIFS('Fuel Logistics'!O:O,'Fuel Logistics'!$C:$C,$E324,'Fuel Logistics'!$D:$D,$D324,'Fuel Logistics'!$E:$E,"Logistics total")*IF($C324="Electricity",1,1/INDEX('TCO - Input'!$R$291:$R$321,MATCH($C324,'TCO - Input'!$F$291:$F$4010,0)))*1000</f>
        <v>12.021937771722179</v>
      </c>
      <c r="R324" s="112">
        <f>SUMIFS('Fuel Logistics'!P:P,'Fuel Logistics'!$C:$C,$E324,'Fuel Logistics'!$D:$D,$D324,'Fuel Logistics'!$E:$E,"Logistics total")*IF($C324="Electricity",1,1/INDEX('TCO - Input'!$R$291:$R$321,MATCH($C324,'TCO - Input'!$F$291:$F$4010,0)))*1000</f>
        <v>12.021937771722179</v>
      </c>
      <c r="S324" s="112">
        <f>SUMIFS('Fuel Logistics'!Q:Q,'Fuel Logistics'!$C:$C,$E324,'Fuel Logistics'!$D:$D,$D324,'Fuel Logistics'!$E:$E,"Logistics total")*IF($C324="Electricity",1,1/INDEX('TCO - Input'!$R$291:$R$321,MATCH($C324,'TCO - Input'!$F$291:$F$4010,0)))*1000</f>
        <v>12.021937771722179</v>
      </c>
      <c r="T324" s="112">
        <f>SUMIFS('Fuel Logistics'!R:R,'Fuel Logistics'!$C:$C,$E324,'Fuel Logistics'!$D:$D,$D324,'Fuel Logistics'!$E:$E,"Logistics total")*IF($C324="Electricity",1,1/INDEX('TCO - Input'!$R$291:$R$321,MATCH($C324,'TCO - Input'!$F$291:$F$4010,0)))*1000</f>
        <v>12.021937771722179</v>
      </c>
      <c r="U324" s="112">
        <f>SUMIFS('Fuel Logistics'!S:S,'Fuel Logistics'!$C:$C,$E324,'Fuel Logistics'!$D:$D,$D324,'Fuel Logistics'!$E:$E,"Logistics total")*IF($C324="Electricity",1,1/INDEX('TCO - Input'!$R$291:$R$321,MATCH($C324,'TCO - Input'!$F$291:$F$4010,0)))*1000</f>
        <v>12.021937771722179</v>
      </c>
      <c r="V324" s="112">
        <f>SUMIFS('Fuel Logistics'!T:T,'Fuel Logistics'!$C:$C,$E324,'Fuel Logistics'!$D:$D,$D324,'Fuel Logistics'!$E:$E,"Logistics total")*IF($C324="Electricity",1,1/INDEX('TCO - Input'!$R$291:$R$321,MATCH($C324,'TCO - Input'!$F$291:$F$4010,0)))*1000</f>
        <v>12.021937771722179</v>
      </c>
    </row>
    <row r="325" spans="1:22" x14ac:dyDescent="0.2">
      <c r="B325" s="334"/>
      <c r="C325"/>
      <c r="D325"/>
      <c r="E325"/>
      <c r="F325"/>
      <c r="G325"/>
      <c r="H325" s="128"/>
      <c r="I325"/>
      <c r="K325" s="57"/>
      <c r="L325" s="57"/>
      <c r="M325" s="57"/>
      <c r="N325" s="57"/>
      <c r="O325" s="57"/>
      <c r="P325" s="57"/>
      <c r="Q325" s="57"/>
      <c r="R325" s="57"/>
      <c r="S325" s="57"/>
      <c r="T325" s="57"/>
      <c r="U325" s="57"/>
      <c r="V325" s="57"/>
    </row>
    <row r="326" spans="1:22" x14ac:dyDescent="0.2">
      <c r="B326" s="334"/>
      <c r="C326"/>
      <c r="D326"/>
      <c r="E326"/>
      <c r="F326"/>
      <c r="G326"/>
      <c r="H326" s="128"/>
      <c r="I326"/>
      <c r="K326" s="57"/>
      <c r="L326" s="57"/>
      <c r="M326" s="57"/>
      <c r="N326" s="57"/>
      <c r="O326" s="57"/>
      <c r="P326" s="57"/>
      <c r="Q326" s="57"/>
      <c r="R326" s="57"/>
      <c r="S326" s="57"/>
      <c r="T326" s="57"/>
      <c r="U326" s="57"/>
      <c r="V326" s="57"/>
    </row>
    <row r="327" spans="1:22" ht="15" x14ac:dyDescent="0.25">
      <c r="B327" s="30" t="s">
        <v>726</v>
      </c>
    </row>
    <row r="328" spans="1:22" x14ac:dyDescent="0.2">
      <c r="B328" s="144" t="s">
        <v>618</v>
      </c>
      <c r="C328" s="144" t="s">
        <v>49</v>
      </c>
      <c r="D328" s="408" t="s">
        <v>470</v>
      </c>
      <c r="E328" s="144" t="s">
        <v>722</v>
      </c>
      <c r="F328" s="144"/>
      <c r="G328" s="144"/>
      <c r="H328" s="144" t="s">
        <v>724</v>
      </c>
      <c r="I328" s="144"/>
      <c r="J328" s="56"/>
      <c r="K328" s="56">
        <v>2020</v>
      </c>
      <c r="L328" s="56">
        <f t="shared" ref="L328:V328" si="180">K328+5</f>
        <v>2025</v>
      </c>
      <c r="M328" s="56">
        <f t="shared" si="180"/>
        <v>2030</v>
      </c>
      <c r="N328" s="56">
        <f t="shared" si="180"/>
        <v>2035</v>
      </c>
      <c r="O328" s="56">
        <f t="shared" si="180"/>
        <v>2040</v>
      </c>
      <c r="P328" s="56">
        <f t="shared" si="180"/>
        <v>2045</v>
      </c>
      <c r="Q328" s="56">
        <f t="shared" si="180"/>
        <v>2050</v>
      </c>
      <c r="R328" s="56">
        <f t="shared" si="180"/>
        <v>2055</v>
      </c>
      <c r="S328" s="56">
        <f t="shared" si="180"/>
        <v>2060</v>
      </c>
      <c r="T328" s="56">
        <f t="shared" si="180"/>
        <v>2065</v>
      </c>
      <c r="U328" s="56">
        <f t="shared" si="180"/>
        <v>2070</v>
      </c>
      <c r="V328" s="56">
        <f t="shared" si="180"/>
        <v>2075</v>
      </c>
    </row>
    <row r="329" spans="1:22" x14ac:dyDescent="0.2">
      <c r="A329" s="29">
        <v>1</v>
      </c>
      <c r="B329" s="334" t="str">
        <f t="shared" ref="B329:B346" si="181">_xlfn.TEXTJOIN(keydelim,TRUE,C329,E329,F329)</f>
        <v>LSFO - Global - Prim. energy efficiency - %</v>
      </c>
      <c r="C329" t="str" cm="1">
        <f t="array" ref="C329">INDEX(list_AE_fuel,A329)</f>
        <v>LSFO</v>
      </c>
      <c r="D329" t="str">
        <f>INDEX('Configurator Specs.'!$AG:$AG,MATCH($C329,'Configurator Specs.'!$AE:$AE,0))</f>
        <v>HFO</v>
      </c>
      <c r="E329" t="s">
        <v>109</v>
      </c>
      <c r="F329" t="str">
        <f t="shared" ref="F329:F348" si="182">"Prim. energy efficiency"  &amp;keydelim &amp;I329</f>
        <v>Prim. energy efficiency - %</v>
      </c>
      <c r="G329" s="128"/>
      <c r="H329" s="128"/>
      <c r="I329" t="s">
        <v>178</v>
      </c>
      <c r="K329" s="46">
        <f>IFERROR(INDEX('Fuel Model - Summary'!$A:$N,MATCH($B329,'Fuel Model - Summary'!$B:$B,0),MATCH(K$328,'Fuel Model - Summary'!$A$5:$N$5,0)),0)</f>
        <v>0</v>
      </c>
      <c r="L329" s="46">
        <f>IFERROR(INDEX('Fuel Model - Summary'!$A:$N,MATCH($B329,'Fuel Model - Summary'!$B:$B,0),MATCH(L$328,'Fuel Model - Summary'!$A$5:$N$5,0)),0)</f>
        <v>0</v>
      </c>
      <c r="M329" s="46">
        <f>IFERROR(INDEX('Fuel Model - Summary'!$A:$N,MATCH($B329,'Fuel Model - Summary'!$B:$B,0),MATCH(M$328,'Fuel Model - Summary'!$A$5:$N$5,0)),0)</f>
        <v>0</v>
      </c>
      <c r="N329" s="46">
        <f>IFERROR(INDEX('Fuel Model - Summary'!$A:$N,MATCH($B329,'Fuel Model - Summary'!$B:$B,0),MATCH(N$328,'Fuel Model - Summary'!$A$5:$N$5,0)),0)</f>
        <v>0</v>
      </c>
      <c r="O329" s="46">
        <f>IFERROR(INDEX('Fuel Model - Summary'!$A:$N,MATCH($B329,'Fuel Model - Summary'!$B:$B,0),MATCH(O$328,'Fuel Model - Summary'!$A$5:$N$5,0)),0)</f>
        <v>0</v>
      </c>
      <c r="P329" s="46">
        <f>IFERROR(INDEX('Fuel Model - Summary'!$A:$N,MATCH($B329,'Fuel Model - Summary'!$B:$B,0),MATCH(P$328,'Fuel Model - Summary'!$A$5:$N$5,0)),0)</f>
        <v>0</v>
      </c>
      <c r="Q329" s="46">
        <f>IFERROR(INDEX('Fuel Model - Summary'!$A:$N,MATCH($B329,'Fuel Model - Summary'!$B:$B,0),MATCH(Q$328,'Fuel Model - Summary'!$A$5:$N$5,0)),0)</f>
        <v>0</v>
      </c>
      <c r="R329" s="46">
        <f t="shared" ref="R329:V338" si="183">+Q329</f>
        <v>0</v>
      </c>
      <c r="S329" s="46">
        <f t="shared" si="183"/>
        <v>0</v>
      </c>
      <c r="T329" s="46">
        <f t="shared" si="183"/>
        <v>0</v>
      </c>
      <c r="U329" s="46">
        <f t="shared" si="183"/>
        <v>0</v>
      </c>
      <c r="V329" s="46">
        <f t="shared" si="183"/>
        <v>0</v>
      </c>
    </row>
    <row r="330" spans="1:22" x14ac:dyDescent="0.2">
      <c r="A330" s="29">
        <f>A329+1</f>
        <v>2</v>
      </c>
      <c r="B330" s="334" t="str">
        <f t="shared" si="181"/>
        <v>LNG - Global - Prim. energy efficiency - %</v>
      </c>
      <c r="C330" t="str" cm="1">
        <f t="array" ref="C330">INDEX(list_AE_fuel,A330)</f>
        <v>LNG</v>
      </c>
      <c r="D330" t="str">
        <f>INDEX('Configurator Specs.'!$AG:$AG,MATCH($C330,'Configurator Specs.'!$AE:$AE,0))</f>
        <v>LNG</v>
      </c>
      <c r="E330" t="str">
        <f t="shared" ref="E330:E339" si="184">E329</f>
        <v>Global</v>
      </c>
      <c r="F330" t="str">
        <f t="shared" si="182"/>
        <v>Prim. energy efficiency - %</v>
      </c>
      <c r="G330" s="128"/>
      <c r="H330" s="128"/>
      <c r="I330" t="str">
        <f>+I329</f>
        <v>%</v>
      </c>
      <c r="K330" s="46">
        <f>IFERROR(INDEX('Fuel Model - Summary'!$A:$N,MATCH($B330,'Fuel Model - Summary'!$B:$B,0),MATCH(K$328,'Fuel Model - Summary'!$A$5:$N$5,0)),0)</f>
        <v>0</v>
      </c>
      <c r="L330" s="46">
        <f>IFERROR(INDEX('Fuel Model - Summary'!$A:$N,MATCH($B330,'Fuel Model - Summary'!$B:$B,0),MATCH(L$328,'Fuel Model - Summary'!$A$5:$N$5,0)),0)</f>
        <v>0</v>
      </c>
      <c r="M330" s="46">
        <f>IFERROR(INDEX('Fuel Model - Summary'!$A:$N,MATCH($B330,'Fuel Model - Summary'!$B:$B,0),MATCH(M$328,'Fuel Model - Summary'!$A$5:$N$5,0)),0)</f>
        <v>0</v>
      </c>
      <c r="N330" s="46">
        <f>IFERROR(INDEX('Fuel Model - Summary'!$A:$N,MATCH($B330,'Fuel Model - Summary'!$B:$B,0),MATCH(N$328,'Fuel Model - Summary'!$A$5:$N$5,0)),0)</f>
        <v>0</v>
      </c>
      <c r="O330" s="46">
        <f>IFERROR(INDEX('Fuel Model - Summary'!$A:$N,MATCH($B330,'Fuel Model - Summary'!$B:$B,0),MATCH(O$328,'Fuel Model - Summary'!$A$5:$N$5,0)),0)</f>
        <v>0</v>
      </c>
      <c r="P330" s="46">
        <f>IFERROR(INDEX('Fuel Model - Summary'!$A:$N,MATCH($B330,'Fuel Model - Summary'!$B:$B,0),MATCH(P$328,'Fuel Model - Summary'!$A$5:$N$5,0)),0)</f>
        <v>0</v>
      </c>
      <c r="Q330" s="46">
        <f>IFERROR(INDEX('Fuel Model - Summary'!$A:$N,MATCH($B330,'Fuel Model - Summary'!$B:$B,0),MATCH(Q$328,'Fuel Model - Summary'!$A$5:$N$5,0)),0)</f>
        <v>0</v>
      </c>
      <c r="R330" s="46">
        <f t="shared" si="183"/>
        <v>0</v>
      </c>
      <c r="S330" s="46">
        <f t="shared" si="183"/>
        <v>0</v>
      </c>
      <c r="T330" s="46">
        <f t="shared" si="183"/>
        <v>0</v>
      </c>
      <c r="U330" s="46">
        <f t="shared" si="183"/>
        <v>0</v>
      </c>
      <c r="V330" s="46">
        <f t="shared" si="183"/>
        <v>0</v>
      </c>
    </row>
    <row r="331" spans="1:22" x14ac:dyDescent="0.2">
      <c r="A331" s="29">
        <f t="shared" ref="A331:A348" si="185">A330+1</f>
        <v>3</v>
      </c>
      <c r="B331" s="334" t="str">
        <f t="shared" si="181"/>
        <v>LPG - Global - Prim. energy efficiency - %</v>
      </c>
      <c r="C331" t="str" cm="1">
        <f t="array" ref="C331">INDEX(list_AE_fuel,A331)</f>
        <v>LPG</v>
      </c>
      <c r="D331" t="str">
        <f>INDEX('Configurator Specs.'!$AG:$AG,MATCH($C331,'Configurator Specs.'!$AE:$AE,0))</f>
        <v>LPG</v>
      </c>
      <c r="E331" t="str">
        <f t="shared" si="184"/>
        <v>Global</v>
      </c>
      <c r="F331" t="str">
        <f t="shared" si="182"/>
        <v>Prim. energy efficiency - %</v>
      </c>
      <c r="G331" s="128"/>
      <c r="H331" s="128"/>
      <c r="I331" t="str">
        <f t="shared" ref="I331:I348" si="186">+I330</f>
        <v>%</v>
      </c>
      <c r="K331" s="46">
        <f>IFERROR(INDEX('Fuel Model - Summary'!$A:$N,MATCH($B331,'Fuel Model - Summary'!$B:$B,0),MATCH(K$328,'Fuel Model - Summary'!$A$5:$N$5,0)),0)</f>
        <v>0</v>
      </c>
      <c r="L331" s="46">
        <f>IFERROR(INDEX('Fuel Model - Summary'!$A:$N,MATCH($B331,'Fuel Model - Summary'!$B:$B,0),MATCH(L$328,'Fuel Model - Summary'!$A$5:$N$5,0)),0)</f>
        <v>0</v>
      </c>
      <c r="M331" s="46">
        <f>IFERROR(INDEX('Fuel Model - Summary'!$A:$N,MATCH($B331,'Fuel Model - Summary'!$B:$B,0),MATCH(M$328,'Fuel Model - Summary'!$A$5:$N$5,0)),0)</f>
        <v>0</v>
      </c>
      <c r="N331" s="46">
        <f>IFERROR(INDEX('Fuel Model - Summary'!$A:$N,MATCH($B331,'Fuel Model - Summary'!$B:$B,0),MATCH(N$328,'Fuel Model - Summary'!$A$5:$N$5,0)),0)</f>
        <v>0</v>
      </c>
      <c r="O331" s="46">
        <f>IFERROR(INDEX('Fuel Model - Summary'!$A:$N,MATCH($B331,'Fuel Model - Summary'!$B:$B,0),MATCH(O$328,'Fuel Model - Summary'!$A$5:$N$5,0)),0)</f>
        <v>0</v>
      </c>
      <c r="P331" s="46">
        <f>IFERROR(INDEX('Fuel Model - Summary'!$A:$N,MATCH($B331,'Fuel Model - Summary'!$B:$B,0),MATCH(P$328,'Fuel Model - Summary'!$A$5:$N$5,0)),0)</f>
        <v>0</v>
      </c>
      <c r="Q331" s="46">
        <f>IFERROR(INDEX('Fuel Model - Summary'!$A:$N,MATCH($B331,'Fuel Model - Summary'!$B:$B,0),MATCH(Q$328,'Fuel Model - Summary'!$A$5:$N$5,0)),0)</f>
        <v>0</v>
      </c>
      <c r="R331" s="46">
        <f t="shared" si="183"/>
        <v>0</v>
      </c>
      <c r="S331" s="46">
        <f t="shared" si="183"/>
        <v>0</v>
      </c>
      <c r="T331" s="46">
        <f t="shared" si="183"/>
        <v>0</v>
      </c>
      <c r="U331" s="46">
        <f t="shared" si="183"/>
        <v>0</v>
      </c>
      <c r="V331" s="46">
        <f t="shared" si="183"/>
        <v>0</v>
      </c>
    </row>
    <row r="332" spans="1:22" x14ac:dyDescent="0.2">
      <c r="A332" s="29">
        <f t="shared" si="185"/>
        <v>4</v>
      </c>
      <c r="B332" s="334" t="str">
        <f t="shared" si="181"/>
        <v>Electricity - Global - Prim. energy efficiency - %</v>
      </c>
      <c r="C332" t="str" cm="1">
        <f t="array" ref="C332">INDEX(list_AE_fuel,A332)</f>
        <v>Electricity</v>
      </c>
      <c r="D332" t="str">
        <f>INDEX('Configurator Specs.'!$AG:$AG,MATCH($C332,'Configurator Specs.'!$AE:$AE,0))</f>
        <v>Electricity</v>
      </c>
      <c r="E332" t="str">
        <f t="shared" si="184"/>
        <v>Global</v>
      </c>
      <c r="F332" t="str">
        <f t="shared" si="182"/>
        <v>Prim. energy efficiency - %</v>
      </c>
      <c r="G332" s="128"/>
      <c r="H332" s="128"/>
      <c r="I332" t="str">
        <f t="shared" si="186"/>
        <v>%</v>
      </c>
      <c r="K332" s="46">
        <f>IFERROR(INDEX('Fuel Model - Summary'!$A:$N,MATCH($B332,'Fuel Model - Summary'!$B:$B,0),MATCH(K$328,'Fuel Model - Summary'!$A$5:$N$5,0)),0)</f>
        <v>0</v>
      </c>
      <c r="L332" s="46">
        <f>IFERROR(INDEX('Fuel Model - Summary'!$A:$N,MATCH($B332,'Fuel Model - Summary'!$B:$B,0),MATCH(L$328,'Fuel Model - Summary'!$A$5:$N$5,0)),0)</f>
        <v>0</v>
      </c>
      <c r="M332" s="46">
        <f>IFERROR(INDEX('Fuel Model - Summary'!$A:$N,MATCH($B332,'Fuel Model - Summary'!$B:$B,0),MATCH(M$328,'Fuel Model - Summary'!$A$5:$N$5,0)),0)</f>
        <v>0</v>
      </c>
      <c r="N332" s="46">
        <f>IFERROR(INDEX('Fuel Model - Summary'!$A:$N,MATCH($B332,'Fuel Model - Summary'!$B:$B,0),MATCH(N$328,'Fuel Model - Summary'!$A$5:$N$5,0)),0)</f>
        <v>0</v>
      </c>
      <c r="O332" s="46">
        <f>IFERROR(INDEX('Fuel Model - Summary'!$A:$N,MATCH($B332,'Fuel Model - Summary'!$B:$B,0),MATCH(O$328,'Fuel Model - Summary'!$A$5:$N$5,0)),0)</f>
        <v>0</v>
      </c>
      <c r="P332" s="46">
        <f>IFERROR(INDEX('Fuel Model - Summary'!$A:$N,MATCH($B332,'Fuel Model - Summary'!$B:$B,0),MATCH(P$328,'Fuel Model - Summary'!$A$5:$N$5,0)),0)</f>
        <v>0</v>
      </c>
      <c r="Q332" s="46">
        <f>IFERROR(INDEX('Fuel Model - Summary'!$A:$N,MATCH($B332,'Fuel Model - Summary'!$B:$B,0),MATCH(Q$328,'Fuel Model - Summary'!$A$5:$N$5,0)),0)</f>
        <v>0</v>
      </c>
      <c r="R332" s="46">
        <f t="shared" si="183"/>
        <v>0</v>
      </c>
      <c r="S332" s="46">
        <f t="shared" si="183"/>
        <v>0</v>
      </c>
      <c r="T332" s="46">
        <f t="shared" si="183"/>
        <v>0</v>
      </c>
      <c r="U332" s="46">
        <f t="shared" si="183"/>
        <v>0</v>
      </c>
      <c r="V332" s="46">
        <f t="shared" si="183"/>
        <v>0</v>
      </c>
    </row>
    <row r="333" spans="1:22" x14ac:dyDescent="0.2">
      <c r="A333" s="29">
        <f t="shared" si="185"/>
        <v>5</v>
      </c>
      <c r="B333" s="334" t="str">
        <f t="shared" si="181"/>
        <v>e-Ammonia - Global - Prim. energy efficiency - %</v>
      </c>
      <c r="C333" t="str" cm="1">
        <f t="array" ref="C333">INDEX(list_AE_fuel,A333)</f>
        <v>e-Ammonia</v>
      </c>
      <c r="D333" t="str">
        <f>INDEX('Configurator Specs.'!$AG:$AG,MATCH($C333,'Configurator Specs.'!$AE:$AE,0))</f>
        <v>Ammonia</v>
      </c>
      <c r="E333" t="str">
        <f t="shared" si="184"/>
        <v>Global</v>
      </c>
      <c r="F333" t="str">
        <f t="shared" si="182"/>
        <v>Prim. energy efficiency - %</v>
      </c>
      <c r="G333" s="226"/>
      <c r="H333" s="128"/>
      <c r="I333" t="str">
        <f t="shared" si="186"/>
        <v>%</v>
      </c>
      <c r="K333" s="46">
        <f>IFERROR(INDEX('Fuel Model - Summary'!$A:$N,MATCH($B333,'Fuel Model - Summary'!$B:$B,0),MATCH(K$328,'Fuel Model - Summary'!$A$5:$N$5,0)),0)</f>
        <v>0.52678895799360559</v>
      </c>
      <c r="L333" s="46">
        <f>IFERROR(INDEX('Fuel Model - Summary'!$A:$N,MATCH($B333,'Fuel Model - Summary'!$B:$B,0),MATCH(L$328,'Fuel Model - Summary'!$A$5:$N$5,0)),0)</f>
        <v>0.52948932360592504</v>
      </c>
      <c r="M333" s="46">
        <f>IFERROR(INDEX('Fuel Model - Summary'!$A:$N,MATCH($B333,'Fuel Model - Summary'!$B:$B,0),MATCH(M$328,'Fuel Model - Summary'!$A$5:$N$5,0)),0)</f>
        <v>0.53817237573831711</v>
      </c>
      <c r="N333" s="46">
        <f>IFERROR(INDEX('Fuel Model - Summary'!$A:$N,MATCH($B333,'Fuel Model - Summary'!$B:$B,0),MATCH(N$328,'Fuel Model - Summary'!$A$5:$N$5,0)),0)</f>
        <v>0.56023392300523689</v>
      </c>
      <c r="O333" s="46">
        <f>IFERROR(INDEX('Fuel Model - Summary'!$A:$N,MATCH($B333,'Fuel Model - Summary'!$B:$B,0),MATCH(O$328,'Fuel Model - Summary'!$A$5:$N$5,0)),0)</f>
        <v>0.58694480967656215</v>
      </c>
      <c r="P333" s="46">
        <f>IFERROR(INDEX('Fuel Model - Summary'!$A:$N,MATCH($B333,'Fuel Model - Summary'!$B:$B,0),MATCH(P$328,'Fuel Model - Summary'!$A$5:$N$5,0)),0)</f>
        <v>0.6221836576515305</v>
      </c>
      <c r="Q333" s="46">
        <f>IFERROR(INDEX('Fuel Model - Summary'!$A:$N,MATCH($B333,'Fuel Model - Summary'!$B:$B,0),MATCH(Q$328,'Fuel Model - Summary'!$A$5:$N$5,0)),0)</f>
        <v>0.65176758552513991</v>
      </c>
      <c r="R333" s="46">
        <f t="shared" si="183"/>
        <v>0.65176758552513991</v>
      </c>
      <c r="S333" s="46">
        <f t="shared" si="183"/>
        <v>0.65176758552513991</v>
      </c>
      <c r="T333" s="46">
        <f t="shared" si="183"/>
        <v>0.65176758552513991</v>
      </c>
      <c r="U333" s="46">
        <f t="shared" si="183"/>
        <v>0.65176758552513991</v>
      </c>
      <c r="V333" s="46">
        <f t="shared" si="183"/>
        <v>0.65176758552513991</v>
      </c>
    </row>
    <row r="334" spans="1:22" x14ac:dyDescent="0.2">
      <c r="A334" s="29">
        <f t="shared" si="185"/>
        <v>6</v>
      </c>
      <c r="B334" s="334" t="str">
        <f t="shared" si="181"/>
        <v>Blue ammonia - Global - Prim. energy efficiency - %</v>
      </c>
      <c r="C334" t="str" cm="1">
        <f t="array" ref="C334">INDEX(list_AE_fuel,A334)</f>
        <v>Blue ammonia</v>
      </c>
      <c r="D334" t="str">
        <f>INDEX('Configurator Specs.'!$AG:$AG,MATCH($C334,'Configurator Specs.'!$AE:$AE,0))</f>
        <v>Ammonia</v>
      </c>
      <c r="E334" t="str">
        <f t="shared" si="184"/>
        <v>Global</v>
      </c>
      <c r="F334" t="str">
        <f t="shared" si="182"/>
        <v>Prim. energy efficiency - %</v>
      </c>
      <c r="G334" s="226"/>
      <c r="H334" s="128"/>
      <c r="I334" t="str">
        <f t="shared" si="186"/>
        <v>%</v>
      </c>
      <c r="K334" s="46">
        <f>IFERROR(INDEX('Fuel Model - Summary'!$A:$N,MATCH($B334,'Fuel Model - Summary'!$B:$B,0),MATCH(K$328,'Fuel Model - Summary'!$A$5:$N$5,0)),0)</f>
        <v>0</v>
      </c>
      <c r="L334" s="46">
        <f>IFERROR(INDEX('Fuel Model - Summary'!$A:$N,MATCH($B334,'Fuel Model - Summary'!$B:$B,0),MATCH(L$328,'Fuel Model - Summary'!$A$5:$N$5,0)),0)</f>
        <v>0</v>
      </c>
      <c r="M334" s="46">
        <f>IFERROR(INDEX('Fuel Model - Summary'!$A:$N,MATCH($B334,'Fuel Model - Summary'!$B:$B,0),MATCH(M$328,'Fuel Model - Summary'!$A$5:$N$5,0)),0)</f>
        <v>0</v>
      </c>
      <c r="N334" s="46">
        <f>IFERROR(INDEX('Fuel Model - Summary'!$A:$N,MATCH($B334,'Fuel Model - Summary'!$B:$B,0),MATCH(N$328,'Fuel Model - Summary'!$A$5:$N$5,0)),0)</f>
        <v>0</v>
      </c>
      <c r="O334" s="46">
        <f>IFERROR(INDEX('Fuel Model - Summary'!$A:$N,MATCH($B334,'Fuel Model - Summary'!$B:$B,0),MATCH(O$328,'Fuel Model - Summary'!$A$5:$N$5,0)),0)</f>
        <v>0</v>
      </c>
      <c r="P334" s="46">
        <f>IFERROR(INDEX('Fuel Model - Summary'!$A:$N,MATCH($B334,'Fuel Model - Summary'!$B:$B,0),MATCH(P$328,'Fuel Model - Summary'!$A$5:$N$5,0)),0)</f>
        <v>0</v>
      </c>
      <c r="Q334" s="46">
        <f>IFERROR(INDEX('Fuel Model - Summary'!$A:$N,MATCH($B334,'Fuel Model - Summary'!$B:$B,0),MATCH(Q$328,'Fuel Model - Summary'!$A$5:$N$5,0)),0)</f>
        <v>0</v>
      </c>
      <c r="R334" s="46">
        <f t="shared" si="183"/>
        <v>0</v>
      </c>
      <c r="S334" s="46">
        <f t="shared" si="183"/>
        <v>0</v>
      </c>
      <c r="T334" s="46">
        <f t="shared" si="183"/>
        <v>0</v>
      </c>
      <c r="U334" s="46">
        <f t="shared" si="183"/>
        <v>0</v>
      </c>
      <c r="V334" s="46">
        <f t="shared" si="183"/>
        <v>0</v>
      </c>
    </row>
    <row r="335" spans="1:22" x14ac:dyDescent="0.2">
      <c r="A335" s="29">
        <f t="shared" si="185"/>
        <v>7</v>
      </c>
      <c r="B335" s="334" t="str">
        <f t="shared" si="181"/>
        <v>Biomethane - Global - Prim. energy efficiency - %</v>
      </c>
      <c r="C335" t="str" cm="1">
        <f t="array" ref="C335">INDEX(list_AE_fuel,A335)</f>
        <v>Biomethane</v>
      </c>
      <c r="D335" t="str">
        <f>INDEX('Configurator Specs.'!$AG:$AG,MATCH($C335,'Configurator Specs.'!$AE:$AE,0))</f>
        <v>LNG</v>
      </c>
      <c r="E335" t="str">
        <f t="shared" si="184"/>
        <v>Global</v>
      </c>
      <c r="F335" t="str">
        <f t="shared" si="182"/>
        <v>Prim. energy efficiency - %</v>
      </c>
      <c r="G335"/>
      <c r="H335" s="128"/>
      <c r="I335" t="str">
        <f t="shared" si="186"/>
        <v>%</v>
      </c>
      <c r="K335" s="46">
        <f>IFERROR(INDEX('Fuel Model - Summary'!$A:$N,MATCH($B335,'Fuel Model - Summary'!$B:$B,0),MATCH(K$328,'Fuel Model - Summary'!$A$5:$N$5,0)),0)</f>
        <v>0</v>
      </c>
      <c r="L335" s="46">
        <f>IFERROR(INDEX('Fuel Model - Summary'!$A:$N,MATCH($B335,'Fuel Model - Summary'!$B:$B,0),MATCH(L$328,'Fuel Model - Summary'!$A$5:$N$5,0)),0)</f>
        <v>0</v>
      </c>
      <c r="M335" s="46">
        <f>IFERROR(INDEX('Fuel Model - Summary'!$A:$N,MATCH($B335,'Fuel Model - Summary'!$B:$B,0),MATCH(M$328,'Fuel Model - Summary'!$A$5:$N$5,0)),0)</f>
        <v>0</v>
      </c>
      <c r="N335" s="46">
        <f>IFERROR(INDEX('Fuel Model - Summary'!$A:$N,MATCH($B335,'Fuel Model - Summary'!$B:$B,0),MATCH(N$328,'Fuel Model - Summary'!$A$5:$N$5,0)),0)</f>
        <v>0</v>
      </c>
      <c r="O335" s="46">
        <f>IFERROR(INDEX('Fuel Model - Summary'!$A:$N,MATCH($B335,'Fuel Model - Summary'!$B:$B,0),MATCH(O$328,'Fuel Model - Summary'!$A$5:$N$5,0)),0)</f>
        <v>0</v>
      </c>
      <c r="P335" s="46">
        <f>IFERROR(INDEX('Fuel Model - Summary'!$A:$N,MATCH($B335,'Fuel Model - Summary'!$B:$B,0),MATCH(P$328,'Fuel Model - Summary'!$A$5:$N$5,0)),0)</f>
        <v>0</v>
      </c>
      <c r="Q335" s="46">
        <f>IFERROR(INDEX('Fuel Model - Summary'!$A:$N,MATCH($B335,'Fuel Model - Summary'!$B:$B,0),MATCH(Q$328,'Fuel Model - Summary'!$A$5:$N$5,0)),0)</f>
        <v>0</v>
      </c>
      <c r="R335" s="46">
        <f t="shared" si="183"/>
        <v>0</v>
      </c>
      <c r="S335" s="46">
        <f t="shared" si="183"/>
        <v>0</v>
      </c>
      <c r="T335" s="46">
        <f t="shared" si="183"/>
        <v>0</v>
      </c>
      <c r="U335" s="46">
        <f t="shared" si="183"/>
        <v>0</v>
      </c>
      <c r="V335" s="46">
        <f t="shared" si="183"/>
        <v>0</v>
      </c>
    </row>
    <row r="336" spans="1:22" x14ac:dyDescent="0.2">
      <c r="A336" s="29">
        <f t="shared" si="185"/>
        <v>8</v>
      </c>
      <c r="B336" s="334" t="str">
        <f t="shared" si="181"/>
        <v>e-Methane (DAC) - Global - Prim. energy efficiency - %</v>
      </c>
      <c r="C336" t="str" cm="1">
        <f t="array" ref="C336">INDEX(list_AE_fuel,A336)</f>
        <v>e-Methane (DAC)</v>
      </c>
      <c r="D336" t="str">
        <f>INDEX('Configurator Specs.'!$AG:$AG,MATCH($C336,'Configurator Specs.'!$AE:$AE,0))</f>
        <v>LNG</v>
      </c>
      <c r="E336" t="str">
        <f t="shared" si="184"/>
        <v>Global</v>
      </c>
      <c r="F336" t="str">
        <f t="shared" si="182"/>
        <v>Prim. energy efficiency - %</v>
      </c>
      <c r="G336" s="226"/>
      <c r="H336" s="128"/>
      <c r="I336" t="str">
        <f t="shared" si="186"/>
        <v>%</v>
      </c>
      <c r="K336" s="46">
        <f>IFERROR(INDEX('Fuel Model - Summary'!$A:$N,MATCH($B336,'Fuel Model - Summary'!$B:$B,0),MATCH(K$328,'Fuel Model - Summary'!$A$5:$N$5,0)),0)</f>
        <v>0.38517301543254556</v>
      </c>
      <c r="L336" s="46">
        <f>IFERROR(INDEX('Fuel Model - Summary'!$A:$N,MATCH($B336,'Fuel Model - Summary'!$B:$B,0),MATCH(L$328,'Fuel Model - Summary'!$A$5:$N$5,0)),0)</f>
        <v>0.39252249244217852</v>
      </c>
      <c r="M336" s="46">
        <f>IFERROR(INDEX('Fuel Model - Summary'!$A:$N,MATCH($B336,'Fuel Model - Summary'!$B:$B,0),MATCH(M$328,'Fuel Model - Summary'!$A$5:$N$5,0)),0)</f>
        <v>0.40325754916416606</v>
      </c>
      <c r="N336" s="46">
        <f>IFERROR(INDEX('Fuel Model - Summary'!$A:$N,MATCH($B336,'Fuel Model - Summary'!$B:$B,0),MATCH(N$328,'Fuel Model - Summary'!$A$5:$N$5,0)),0)</f>
        <v>0.4219891773215062</v>
      </c>
      <c r="O336" s="46">
        <f>IFERROR(INDEX('Fuel Model - Summary'!$A:$N,MATCH($B336,'Fuel Model - Summary'!$B:$B,0),MATCH(O$328,'Fuel Model - Summary'!$A$5:$N$5,0)),0)</f>
        <v>0.44376869213751075</v>
      </c>
      <c r="P336" s="46">
        <f>IFERROR(INDEX('Fuel Model - Summary'!$A:$N,MATCH($B336,'Fuel Model - Summary'!$B:$B,0),MATCH(P$328,'Fuel Model - Summary'!$A$5:$N$5,0)),0)</f>
        <v>0.47098092400363362</v>
      </c>
      <c r="Q336" s="46">
        <f>IFERROR(INDEX('Fuel Model - Summary'!$A:$N,MATCH($B336,'Fuel Model - Summary'!$B:$B,0),MATCH(Q$328,'Fuel Model - Summary'!$A$5:$N$5,0)),0)</f>
        <v>0.49516401302724666</v>
      </c>
      <c r="R336" s="46">
        <f t="shared" si="183"/>
        <v>0.49516401302724666</v>
      </c>
      <c r="S336" s="46">
        <f t="shared" si="183"/>
        <v>0.49516401302724666</v>
      </c>
      <c r="T336" s="46">
        <f t="shared" si="183"/>
        <v>0.49516401302724666</v>
      </c>
      <c r="U336" s="46">
        <f t="shared" si="183"/>
        <v>0.49516401302724666</v>
      </c>
      <c r="V336" s="46">
        <f t="shared" si="183"/>
        <v>0.49516401302724666</v>
      </c>
    </row>
    <row r="337" spans="1:22" x14ac:dyDescent="0.2">
      <c r="A337" s="29">
        <f t="shared" si="185"/>
        <v>9</v>
      </c>
      <c r="B337" s="334" t="str">
        <f t="shared" si="181"/>
        <v>e-Methane (PS) - Global - Prim. energy efficiency - %</v>
      </c>
      <c r="C337" t="str" cm="1">
        <f t="array" ref="C337">INDEX(list_AE_fuel,A337)</f>
        <v>e-Methane (PS)</v>
      </c>
      <c r="D337" t="str">
        <f>INDEX('Configurator Specs.'!$AG:$AG,MATCH($C337,'Configurator Specs.'!$AE:$AE,0))</f>
        <v>LNG</v>
      </c>
      <c r="E337" t="str">
        <f t="shared" si="184"/>
        <v>Global</v>
      </c>
      <c r="F337" t="str">
        <f t="shared" si="182"/>
        <v>Prim. energy efficiency - %</v>
      </c>
      <c r="G337" s="226"/>
      <c r="H337" s="128"/>
      <c r="I337" t="str">
        <f t="shared" si="186"/>
        <v>%</v>
      </c>
      <c r="K337" s="46">
        <f>IFERROR(INDEX('Fuel Model - Summary'!$A:$N,MATCH($B337,'Fuel Model - Summary'!$B:$B,0),MATCH(K$328,'Fuel Model - Summary'!$A$5:$N$5,0)),0)</f>
        <v>0.4988372126301463</v>
      </c>
      <c r="L337" s="46">
        <f>IFERROR(INDEX('Fuel Model - Summary'!$A:$N,MATCH($B337,'Fuel Model - Summary'!$B:$B,0),MATCH(L$328,'Fuel Model - Summary'!$A$5:$N$5,0)),0)</f>
        <v>0.50136609042740987</v>
      </c>
      <c r="M337" s="46">
        <f>IFERROR(INDEX('Fuel Model - Summary'!$A:$N,MATCH($B337,'Fuel Model - Summary'!$B:$B,0),MATCH(M$328,'Fuel Model - Summary'!$A$5:$N$5,0)),0)</f>
        <v>0.50949579387287647</v>
      </c>
      <c r="N337" s="46">
        <f>IFERROR(INDEX('Fuel Model - Summary'!$A:$N,MATCH($B337,'Fuel Model - Summary'!$B:$B,0),MATCH(N$328,'Fuel Model - Summary'!$A$5:$N$5,0)),0)</f>
        <v>0.53013819465351619</v>
      </c>
      <c r="O337" s="46">
        <f>IFERROR(INDEX('Fuel Model - Summary'!$A:$N,MATCH($B337,'Fuel Model - Summary'!$B:$B,0),MATCH(O$328,'Fuel Model - Summary'!$A$5:$N$5,0)),0)</f>
        <v>0.55510549592942915</v>
      </c>
      <c r="P337" s="46">
        <f>IFERROR(INDEX('Fuel Model - Summary'!$A:$N,MATCH($B337,'Fuel Model - Summary'!$B:$B,0),MATCH(P$328,'Fuel Model - Summary'!$A$5:$N$5,0)),0)</f>
        <v>0.58800166002163434</v>
      </c>
      <c r="Q337" s="46">
        <f>IFERROR(INDEX('Fuel Model - Summary'!$A:$N,MATCH($B337,'Fuel Model - Summary'!$B:$B,0),MATCH(Q$328,'Fuel Model - Summary'!$A$5:$N$5,0)),0)</f>
        <v>0.61558164568843399</v>
      </c>
      <c r="R337" s="46">
        <f t="shared" si="183"/>
        <v>0.61558164568843399</v>
      </c>
      <c r="S337" s="46">
        <f t="shared" si="183"/>
        <v>0.61558164568843399</v>
      </c>
      <c r="T337" s="46">
        <f t="shared" si="183"/>
        <v>0.61558164568843399</v>
      </c>
      <c r="U337" s="46">
        <f t="shared" si="183"/>
        <v>0.61558164568843399</v>
      </c>
      <c r="V337" s="46">
        <f t="shared" si="183"/>
        <v>0.61558164568843399</v>
      </c>
    </row>
    <row r="338" spans="1:22" x14ac:dyDescent="0.2">
      <c r="A338" s="29">
        <f t="shared" si="185"/>
        <v>10</v>
      </c>
      <c r="B338" s="334" t="str">
        <f t="shared" si="181"/>
        <v>Biomethanol - Global - Prim. energy efficiency - %</v>
      </c>
      <c r="C338" t="str" cm="1">
        <f t="array" ref="C338">INDEX(list_AE_fuel,A338)</f>
        <v>Biomethanol</v>
      </c>
      <c r="D338" t="str">
        <f>INDEX('Configurator Specs.'!$AG:$AG,MATCH($C338,'Configurator Specs.'!$AE:$AE,0))</f>
        <v>Methanol</v>
      </c>
      <c r="E338" t="str">
        <f t="shared" si="184"/>
        <v>Global</v>
      </c>
      <c r="F338" t="str">
        <f t="shared" si="182"/>
        <v>Prim. energy efficiency - %</v>
      </c>
      <c r="G338"/>
      <c r="H338" s="128"/>
      <c r="I338" t="str">
        <f t="shared" si="186"/>
        <v>%</v>
      </c>
      <c r="K338" s="46">
        <f>IFERROR(INDEX('Fuel Model - Summary'!$A:$N,MATCH($B338,'Fuel Model - Summary'!$B:$B,0),MATCH(K$328,'Fuel Model - Summary'!$A$5:$N$5,0)),0)</f>
        <v>0.38249254485049838</v>
      </c>
      <c r="L338" s="46">
        <f>IFERROR(INDEX('Fuel Model - Summary'!$A:$N,MATCH($B338,'Fuel Model - Summary'!$B:$B,0),MATCH(L$328,'Fuel Model - Summary'!$A$5:$N$5,0)),0)</f>
        <v>0.38249254485049838</v>
      </c>
      <c r="M338" s="46">
        <f>IFERROR(INDEX('Fuel Model - Summary'!$A:$N,MATCH($B338,'Fuel Model - Summary'!$B:$B,0),MATCH(M$328,'Fuel Model - Summary'!$A$5:$N$5,0)),0)</f>
        <v>0.38249254485049838</v>
      </c>
      <c r="N338" s="46">
        <f>IFERROR(INDEX('Fuel Model - Summary'!$A:$N,MATCH($B338,'Fuel Model - Summary'!$B:$B,0),MATCH(N$328,'Fuel Model - Summary'!$A$5:$N$5,0)),0)</f>
        <v>0.38249254485049838</v>
      </c>
      <c r="O338" s="46">
        <f>IFERROR(INDEX('Fuel Model - Summary'!$A:$N,MATCH($B338,'Fuel Model - Summary'!$B:$B,0),MATCH(O$328,'Fuel Model - Summary'!$A$5:$N$5,0)),0)</f>
        <v>0.38249254485049838</v>
      </c>
      <c r="P338" s="46">
        <f>IFERROR(INDEX('Fuel Model - Summary'!$A:$N,MATCH($B338,'Fuel Model - Summary'!$B:$B,0),MATCH(P$328,'Fuel Model - Summary'!$A$5:$N$5,0)),0)</f>
        <v>0.38249254485049838</v>
      </c>
      <c r="Q338" s="46">
        <f>IFERROR(INDEX('Fuel Model - Summary'!$A:$N,MATCH($B338,'Fuel Model - Summary'!$B:$B,0),MATCH(Q$328,'Fuel Model - Summary'!$A$5:$N$5,0)),0)</f>
        <v>0.38249254485049838</v>
      </c>
      <c r="R338" s="46">
        <f t="shared" si="183"/>
        <v>0.38249254485049838</v>
      </c>
      <c r="S338" s="46">
        <f t="shared" si="183"/>
        <v>0.38249254485049838</v>
      </c>
      <c r="T338" s="46">
        <f t="shared" si="183"/>
        <v>0.38249254485049838</v>
      </c>
      <c r="U338" s="46">
        <f t="shared" si="183"/>
        <v>0.38249254485049838</v>
      </c>
      <c r="V338" s="46">
        <f t="shared" si="183"/>
        <v>0.38249254485049838</v>
      </c>
    </row>
    <row r="339" spans="1:22" x14ac:dyDescent="0.2">
      <c r="A339" s="29">
        <f t="shared" si="185"/>
        <v>11</v>
      </c>
      <c r="B339" s="334" t="str">
        <f t="shared" si="181"/>
        <v>e-Methanol (DAC) - Global - Prim. energy efficiency - %</v>
      </c>
      <c r="C339" t="str" cm="1">
        <f t="array" ref="C339">INDEX(list_AE_fuel,A339)</f>
        <v>e-Methanol (DAC)</v>
      </c>
      <c r="D339" t="str">
        <f>INDEX('Configurator Specs.'!$AG:$AG,MATCH($C339,'Configurator Specs.'!$AE:$AE,0))</f>
        <v>Methanol</v>
      </c>
      <c r="E339" t="str">
        <f t="shared" si="184"/>
        <v>Global</v>
      </c>
      <c r="F339" t="str">
        <f t="shared" si="182"/>
        <v>Prim. energy efficiency - %</v>
      </c>
      <c r="G339"/>
      <c r="H339" s="128"/>
      <c r="I339" t="str">
        <f t="shared" si="186"/>
        <v>%</v>
      </c>
      <c r="K339" s="46">
        <f>IFERROR(INDEX('Fuel Model - Summary'!$A:$N,MATCH($B339,'Fuel Model - Summary'!$B:$B,0),MATCH(K$328,'Fuel Model - Summary'!$A$5:$N$5,0)),0)</f>
        <v>0.34664058675865317</v>
      </c>
      <c r="L339" s="46">
        <f>IFERROR(INDEX('Fuel Model - Summary'!$A:$N,MATCH($B339,'Fuel Model - Summary'!$B:$B,0),MATCH(L$328,'Fuel Model - Summary'!$A$5:$N$5,0)),0)</f>
        <v>0.35375542248376846</v>
      </c>
      <c r="M339" s="46">
        <f>IFERROR(INDEX('Fuel Model - Summary'!$A:$N,MATCH($B339,'Fuel Model - Summary'!$B:$B,0),MATCH(M$328,'Fuel Model - Summary'!$A$5:$N$5,0)),0)</f>
        <v>0.36345835145166255</v>
      </c>
      <c r="N339" s="46">
        <f>IFERROR(INDEX('Fuel Model - Summary'!$A:$N,MATCH($B339,'Fuel Model - Summary'!$B:$B,0),MATCH(N$328,'Fuel Model - Summary'!$A$5:$N$5,0)),0)</f>
        <v>0.37928684789326383</v>
      </c>
      <c r="O339" s="46">
        <f>IFERROR(INDEX('Fuel Model - Summary'!$A:$N,MATCH($B339,'Fuel Model - Summary'!$B:$B,0),MATCH(O$328,'Fuel Model - Summary'!$A$5:$N$5,0)),0)</f>
        <v>0.39738073378529432</v>
      </c>
      <c r="P339" s="46">
        <f>IFERROR(INDEX('Fuel Model - Summary'!$A:$N,MATCH($B339,'Fuel Model - Summary'!$B:$B,0),MATCH(P$328,'Fuel Model - Summary'!$A$5:$N$5,0)),0)</f>
        <v>0.4194835639606701</v>
      </c>
      <c r="Q339" s="46">
        <f>IFERROR(INDEX('Fuel Model - Summary'!$A:$N,MATCH($B339,'Fuel Model - Summary'!$B:$B,0),MATCH(Q$328,'Fuel Model - Summary'!$A$5:$N$5,0)),0)</f>
        <v>0.43917067499997209</v>
      </c>
      <c r="R339" s="46">
        <f t="shared" ref="R339:V348" si="187">+Q339</f>
        <v>0.43917067499997209</v>
      </c>
      <c r="S339" s="46">
        <f t="shared" si="187"/>
        <v>0.43917067499997209</v>
      </c>
      <c r="T339" s="46">
        <f t="shared" si="187"/>
        <v>0.43917067499997209</v>
      </c>
      <c r="U339" s="46">
        <f t="shared" si="187"/>
        <v>0.43917067499997209</v>
      </c>
      <c r="V339" s="46">
        <f t="shared" si="187"/>
        <v>0.43917067499997209</v>
      </c>
    </row>
    <row r="340" spans="1:22" x14ac:dyDescent="0.2">
      <c r="A340" s="29">
        <f t="shared" si="185"/>
        <v>12</v>
      </c>
      <c r="B340" s="334" t="str">
        <f t="shared" si="181"/>
        <v>e-Methanol (PS) - Global - Prim. energy efficiency - %</v>
      </c>
      <c r="C340" t="str" cm="1">
        <f t="array" ref="C340">INDEX(list_AE_fuel,A340)</f>
        <v>e-Methanol (PS)</v>
      </c>
      <c r="D340" t="str">
        <f>INDEX('Configurator Specs.'!$AG:$AG,MATCH($C340,'Configurator Specs.'!$AE:$AE,0))</f>
        <v>Methanol</v>
      </c>
      <c r="E340" t="str">
        <f>E339</f>
        <v>Global</v>
      </c>
      <c r="F340" t="str">
        <f t="shared" si="182"/>
        <v>Prim. energy efficiency - %</v>
      </c>
      <c r="G340"/>
      <c r="H340" s="128"/>
      <c r="I340" t="str">
        <f t="shared" si="186"/>
        <v>%</v>
      </c>
      <c r="K340" s="46">
        <f>IFERROR(INDEX('Fuel Model - Summary'!$A:$N,MATCH($B340,'Fuel Model - Summary'!$B:$B,0),MATCH(K$328,'Fuel Model - Summary'!$A$5:$N$5,0)),0)</f>
        <v>0.46714237462884445</v>
      </c>
      <c r="L340" s="46">
        <f>IFERROR(INDEX('Fuel Model - Summary'!$A:$N,MATCH($B340,'Fuel Model - Summary'!$B:$B,0),MATCH(L$328,'Fuel Model - Summary'!$A$5:$N$5,0)),0)</f>
        <v>0.46924470895162751</v>
      </c>
      <c r="M340" s="46">
        <f>IFERROR(INDEX('Fuel Model - Summary'!$A:$N,MATCH($B340,'Fuel Model - Summary'!$B:$B,0),MATCH(M$328,'Fuel Model - Summary'!$A$5:$N$5,0)),0)</f>
        <v>0.47598708209665719</v>
      </c>
      <c r="N340" s="46">
        <f>IFERROR(INDEX('Fuel Model - Summary'!$A:$N,MATCH($B340,'Fuel Model - Summary'!$B:$B,0),MATCH(N$328,'Fuel Model - Summary'!$A$5:$N$5,0)),0)</f>
        <v>0.4929972768034423</v>
      </c>
      <c r="O340" s="46">
        <f>IFERROR(INDEX('Fuel Model - Summary'!$A:$N,MATCH($B340,'Fuel Model - Summary'!$B:$B,0),MATCH(O$328,'Fuel Model - Summary'!$A$5:$N$5,0)),0)</f>
        <v>0.51336374799578455</v>
      </c>
      <c r="P340" s="46">
        <f>IFERROR(INDEX('Fuel Model - Summary'!$A:$N,MATCH($B340,'Fuel Model - Summary'!$B:$B,0),MATCH(P$328,'Fuel Model - Summary'!$A$5:$N$5,0)),0)</f>
        <v>0.53985693158107728</v>
      </c>
      <c r="Q340" s="46">
        <f>IFERROR(INDEX('Fuel Model - Summary'!$A:$N,MATCH($B340,'Fuel Model - Summary'!$B:$B,0),MATCH(Q$328,'Fuel Model - Summary'!$A$5:$N$5,0)),0)</f>
        <v>0.56177540563152228</v>
      </c>
      <c r="R340" s="46">
        <f t="shared" si="187"/>
        <v>0.56177540563152228</v>
      </c>
      <c r="S340" s="46">
        <f t="shared" si="187"/>
        <v>0.56177540563152228</v>
      </c>
      <c r="T340" s="46">
        <f t="shared" si="187"/>
        <v>0.56177540563152228</v>
      </c>
      <c r="U340" s="46">
        <f t="shared" si="187"/>
        <v>0.56177540563152228</v>
      </c>
      <c r="V340" s="46">
        <f t="shared" si="187"/>
        <v>0.56177540563152228</v>
      </c>
    </row>
    <row r="341" spans="1:22" x14ac:dyDescent="0.2">
      <c r="A341" s="29">
        <f t="shared" si="185"/>
        <v>13</v>
      </c>
      <c r="B341" s="334" t="str">
        <f t="shared" si="181"/>
        <v>Biodiesel (HtL) - Global - Prim. energy efficiency - %</v>
      </c>
      <c r="C341" t="str" cm="1">
        <f t="array" ref="C341">INDEX(list_AE_fuel,A341)</f>
        <v>Biodiesel (HtL)</v>
      </c>
      <c r="D341" t="str">
        <f>INDEX('Configurator Specs.'!$AG:$AG,MATCH($C341,'Configurator Specs.'!$AE:$AE,0))</f>
        <v>Diesel</v>
      </c>
      <c r="E341" t="str">
        <f t="shared" ref="E341:E346" si="188">E340</f>
        <v>Global</v>
      </c>
      <c r="F341" t="str">
        <f t="shared" si="182"/>
        <v>Prim. energy efficiency - %</v>
      </c>
      <c r="G341"/>
      <c r="H341" s="128"/>
      <c r="I341" t="str">
        <f t="shared" si="186"/>
        <v>%</v>
      </c>
      <c r="K341" s="46">
        <f>IFERROR(INDEX('Fuel Model - Summary'!$A:$N,MATCH($B341,'Fuel Model - Summary'!$B:$B,0),MATCH(K$328,'Fuel Model - Summary'!$A$5:$N$5,0)),0)</f>
        <v>0</v>
      </c>
      <c r="L341" s="46">
        <f>IFERROR(INDEX('Fuel Model - Summary'!$A:$N,MATCH($B341,'Fuel Model - Summary'!$B:$B,0),MATCH(L$328,'Fuel Model - Summary'!$A$5:$N$5,0)),0)</f>
        <v>0</v>
      </c>
      <c r="M341" s="46">
        <f>IFERROR(INDEX('Fuel Model - Summary'!$A:$N,MATCH($B341,'Fuel Model - Summary'!$B:$B,0),MATCH(M$328,'Fuel Model - Summary'!$A$5:$N$5,0)),0)</f>
        <v>0</v>
      </c>
      <c r="N341" s="46">
        <f>IFERROR(INDEX('Fuel Model - Summary'!$A:$N,MATCH($B341,'Fuel Model - Summary'!$B:$B,0),MATCH(N$328,'Fuel Model - Summary'!$A$5:$N$5,0)),0)</f>
        <v>0</v>
      </c>
      <c r="O341" s="46">
        <f>IFERROR(INDEX('Fuel Model - Summary'!$A:$N,MATCH($B341,'Fuel Model - Summary'!$B:$B,0),MATCH(O$328,'Fuel Model - Summary'!$A$5:$N$5,0)),0)</f>
        <v>0</v>
      </c>
      <c r="P341" s="46">
        <f>IFERROR(INDEX('Fuel Model - Summary'!$A:$N,MATCH($B341,'Fuel Model - Summary'!$B:$B,0),MATCH(P$328,'Fuel Model - Summary'!$A$5:$N$5,0)),0)</f>
        <v>0</v>
      </c>
      <c r="Q341" s="46">
        <f>IFERROR(INDEX('Fuel Model - Summary'!$A:$N,MATCH($B341,'Fuel Model - Summary'!$B:$B,0),MATCH(Q$328,'Fuel Model - Summary'!$A$5:$N$5,0)),0)</f>
        <v>0</v>
      </c>
      <c r="R341" s="46">
        <f t="shared" si="187"/>
        <v>0</v>
      </c>
      <c r="S341" s="46">
        <f t="shared" si="187"/>
        <v>0</v>
      </c>
      <c r="T341" s="46">
        <f t="shared" si="187"/>
        <v>0</v>
      </c>
      <c r="U341" s="46">
        <f t="shared" si="187"/>
        <v>0</v>
      </c>
      <c r="V341" s="46">
        <f t="shared" si="187"/>
        <v>0</v>
      </c>
    </row>
    <row r="342" spans="1:22" x14ac:dyDescent="0.2">
      <c r="A342" s="29">
        <f t="shared" si="185"/>
        <v>14</v>
      </c>
      <c r="B342" s="334" t="str">
        <f t="shared" si="181"/>
        <v>Biodiesel (Pyr) - Global - Prim. energy efficiency - %</v>
      </c>
      <c r="C342" t="str" cm="1">
        <f t="array" ref="C342">INDEX(list_AE_fuel,A342)</f>
        <v>Biodiesel (Pyr)</v>
      </c>
      <c r="D342" t="str">
        <f>INDEX('Configurator Specs.'!$AG:$AG,MATCH($C342,'Configurator Specs.'!$AE:$AE,0))</f>
        <v>Diesel</v>
      </c>
      <c r="E342" t="str">
        <f t="shared" si="188"/>
        <v>Global</v>
      </c>
      <c r="F342" t="str">
        <f t="shared" si="182"/>
        <v>Prim. energy efficiency - %</v>
      </c>
      <c r="G342"/>
      <c r="H342" s="128"/>
      <c r="I342" t="str">
        <f t="shared" si="186"/>
        <v>%</v>
      </c>
      <c r="K342" s="46">
        <f>IFERROR(INDEX('Fuel Model - Summary'!$A:$N,MATCH($B342,'Fuel Model - Summary'!$B:$B,0),MATCH(K$328,'Fuel Model - Summary'!$A$5:$N$5,0)),0)</f>
        <v>0</v>
      </c>
      <c r="L342" s="46">
        <f>IFERROR(INDEX('Fuel Model - Summary'!$A:$N,MATCH($B342,'Fuel Model - Summary'!$B:$B,0),MATCH(L$328,'Fuel Model - Summary'!$A$5:$N$5,0)),0)</f>
        <v>0</v>
      </c>
      <c r="M342" s="46">
        <f>IFERROR(INDEX('Fuel Model - Summary'!$A:$N,MATCH($B342,'Fuel Model - Summary'!$B:$B,0),MATCH(M$328,'Fuel Model - Summary'!$A$5:$N$5,0)),0)</f>
        <v>0</v>
      </c>
      <c r="N342" s="46">
        <f>IFERROR(INDEX('Fuel Model - Summary'!$A:$N,MATCH($B342,'Fuel Model - Summary'!$B:$B,0),MATCH(N$328,'Fuel Model - Summary'!$A$5:$N$5,0)),0)</f>
        <v>0</v>
      </c>
      <c r="O342" s="46">
        <f>IFERROR(INDEX('Fuel Model - Summary'!$A:$N,MATCH($B342,'Fuel Model - Summary'!$B:$B,0),MATCH(O$328,'Fuel Model - Summary'!$A$5:$N$5,0)),0)</f>
        <v>0</v>
      </c>
      <c r="P342" s="46">
        <f>IFERROR(INDEX('Fuel Model - Summary'!$A:$N,MATCH($B342,'Fuel Model - Summary'!$B:$B,0),MATCH(P$328,'Fuel Model - Summary'!$A$5:$N$5,0)),0)</f>
        <v>0</v>
      </c>
      <c r="Q342" s="46">
        <f>IFERROR(INDEX('Fuel Model - Summary'!$A:$N,MATCH($B342,'Fuel Model - Summary'!$B:$B,0),MATCH(Q$328,'Fuel Model - Summary'!$A$5:$N$5,0)),0)</f>
        <v>0</v>
      </c>
      <c r="R342" s="46">
        <f t="shared" si="187"/>
        <v>0</v>
      </c>
      <c r="S342" s="46">
        <f t="shared" si="187"/>
        <v>0</v>
      </c>
      <c r="T342" s="46">
        <f t="shared" si="187"/>
        <v>0</v>
      </c>
      <c r="U342" s="46">
        <f t="shared" si="187"/>
        <v>0</v>
      </c>
      <c r="V342" s="46">
        <f t="shared" si="187"/>
        <v>0</v>
      </c>
    </row>
    <row r="343" spans="1:22" x14ac:dyDescent="0.2">
      <c r="A343" s="29">
        <f t="shared" si="185"/>
        <v>15</v>
      </c>
      <c r="B343" s="334" t="str">
        <f t="shared" si="181"/>
        <v>e-Diesel (DAC) - Global - Prim. energy efficiency - %</v>
      </c>
      <c r="C343" t="str" cm="1">
        <f t="array" ref="C343">INDEX(list_AE_fuel,A343)</f>
        <v>e-Diesel (DAC)</v>
      </c>
      <c r="D343" t="str">
        <f>INDEX('Configurator Specs.'!$AG:$AG,MATCH($C343,'Configurator Specs.'!$AE:$AE,0))</f>
        <v>Diesel</v>
      </c>
      <c r="E343" t="str">
        <f t="shared" si="188"/>
        <v>Global</v>
      </c>
      <c r="F343" t="str">
        <f t="shared" si="182"/>
        <v>Prim. energy efficiency - %</v>
      </c>
      <c r="G343"/>
      <c r="H343" s="128"/>
      <c r="I343" t="str">
        <f t="shared" si="186"/>
        <v>%</v>
      </c>
      <c r="K343" s="46">
        <f>IFERROR(INDEX('Fuel Model - Summary'!$A:$N,MATCH($B343,'Fuel Model - Summary'!$B:$B,0),MATCH(K$328,'Fuel Model - Summary'!$A$5:$N$5,0)),0)</f>
        <v>0.32865139517542086</v>
      </c>
      <c r="L343" s="46">
        <f>IFERROR(INDEX('Fuel Model - Summary'!$A:$N,MATCH($B343,'Fuel Model - Summary'!$B:$B,0),MATCH(L$328,'Fuel Model - Summary'!$A$5:$N$5,0)),0)</f>
        <v>0.33654303760053605</v>
      </c>
      <c r="M343" s="46">
        <f>IFERROR(INDEX('Fuel Model - Summary'!$A:$N,MATCH($B343,'Fuel Model - Summary'!$B:$B,0),MATCH(M$328,'Fuel Model - Summary'!$A$5:$N$5,0)),0)</f>
        <v>0.34720899460809718</v>
      </c>
      <c r="N343" s="46">
        <f>IFERROR(INDEX('Fuel Model - Summary'!$A:$N,MATCH($B343,'Fuel Model - Summary'!$B:$B,0),MATCH(N$328,'Fuel Model - Summary'!$A$5:$N$5,0)),0)</f>
        <v>0.36450441446732751</v>
      </c>
      <c r="O343" s="46">
        <f>IFERROR(INDEX('Fuel Model - Summary'!$A:$N,MATCH($B343,'Fuel Model - Summary'!$B:$B,0),MATCH(O$328,'Fuel Model - Summary'!$A$5:$N$5,0)),0)</f>
        <v>0.38446878675331092</v>
      </c>
      <c r="P343" s="46">
        <f>IFERROR(INDEX('Fuel Model - Summary'!$A:$N,MATCH($B343,'Fuel Model - Summary'!$B:$B,0),MATCH(P$328,'Fuel Model - Summary'!$A$5:$N$5,0)),0)</f>
        <v>0.40912875220999845</v>
      </c>
      <c r="Q343" s="46">
        <f>IFERROR(INDEX('Fuel Model - Summary'!$A:$N,MATCH($B343,'Fuel Model - Summary'!$B:$B,0),MATCH(Q$328,'Fuel Model - Summary'!$A$5:$N$5,0)),0)</f>
        <v>0.43149377239360348</v>
      </c>
      <c r="R343" s="46">
        <f t="shared" si="187"/>
        <v>0.43149377239360348</v>
      </c>
      <c r="S343" s="46">
        <f t="shared" si="187"/>
        <v>0.43149377239360348</v>
      </c>
      <c r="T343" s="46">
        <f t="shared" si="187"/>
        <v>0.43149377239360348</v>
      </c>
      <c r="U343" s="46">
        <f t="shared" si="187"/>
        <v>0.43149377239360348</v>
      </c>
      <c r="V343" s="46">
        <f t="shared" si="187"/>
        <v>0.43149377239360348</v>
      </c>
    </row>
    <row r="344" spans="1:22" x14ac:dyDescent="0.2">
      <c r="A344" s="29">
        <f t="shared" si="185"/>
        <v>16</v>
      </c>
      <c r="B344" s="334" t="str">
        <f t="shared" si="181"/>
        <v>e-Diesel (PS) - Global - Prim. energy efficiency - %</v>
      </c>
      <c r="C344" t="str" cm="1">
        <f t="array" ref="C344">INDEX(list_AE_fuel,A344)</f>
        <v>e-Diesel (PS)</v>
      </c>
      <c r="D344" t="str">
        <f>INDEX('Configurator Specs.'!$AG:$AG,MATCH($C344,'Configurator Specs.'!$AE:$AE,0))</f>
        <v>Diesel</v>
      </c>
      <c r="E344" t="str">
        <f t="shared" si="188"/>
        <v>Global</v>
      </c>
      <c r="F344" t="str">
        <f t="shared" si="182"/>
        <v>Prim. energy efficiency - %</v>
      </c>
      <c r="G344"/>
      <c r="H344" s="128"/>
      <c r="I344" t="str">
        <f t="shared" si="186"/>
        <v>%</v>
      </c>
      <c r="K344" s="46">
        <f>IFERROR(INDEX('Fuel Model - Summary'!$A:$N,MATCH($B344,'Fuel Model - Summary'!$B:$B,0),MATCH(K$328,'Fuel Model - Summary'!$A$5:$N$5,0)),0)</f>
        <v>0.46209780490741142</v>
      </c>
      <c r="L344" s="46">
        <f>IFERROR(INDEX('Fuel Model - Summary'!$A:$N,MATCH($B344,'Fuel Model - Summary'!$B:$B,0),MATCH(L$328,'Fuel Model - Summary'!$A$5:$N$5,0)),0)</f>
        <v>0.46514224667843035</v>
      </c>
      <c r="M344" s="46">
        <f>IFERROR(INDEX('Fuel Model - Summary'!$A:$N,MATCH($B344,'Fuel Model - Summary'!$B:$B,0),MATCH(M$328,'Fuel Model - Summary'!$A$5:$N$5,0)),0)</f>
        <v>0.4734701920337428</v>
      </c>
      <c r="N344" s="46">
        <f>IFERROR(INDEX('Fuel Model - Summary'!$A:$N,MATCH($B344,'Fuel Model - Summary'!$B:$B,0),MATCH(N$328,'Fuel Model - Summary'!$A$5:$N$5,0)),0)</f>
        <v>0.49373180849355236</v>
      </c>
      <c r="O344" s="46">
        <f>IFERROR(INDEX('Fuel Model - Summary'!$A:$N,MATCH($B344,'Fuel Model - Summary'!$B:$B,0),MATCH(O$328,'Fuel Model - Summary'!$A$5:$N$5,0)),0)</f>
        <v>0.51822523331391057</v>
      </c>
      <c r="P344" s="46">
        <f>IFERROR(INDEX('Fuel Model - Summary'!$A:$N,MATCH($B344,'Fuel Model - Summary'!$B:$B,0),MATCH(P$328,'Fuel Model - Summary'!$A$5:$N$5,0)),0)</f>
        <v>0.55048498018602732</v>
      </c>
      <c r="Q344" s="46">
        <f>IFERROR(INDEX('Fuel Model - Summary'!$A:$N,MATCH($B344,'Fuel Model - Summary'!$B:$B,0),MATCH(Q$328,'Fuel Model - Summary'!$A$5:$N$5,0)),0)</f>
        <v>0.57778787591233627</v>
      </c>
      <c r="R344" s="46">
        <f t="shared" si="187"/>
        <v>0.57778787591233627</v>
      </c>
      <c r="S344" s="46">
        <f t="shared" si="187"/>
        <v>0.57778787591233627</v>
      </c>
      <c r="T344" s="46">
        <f t="shared" si="187"/>
        <v>0.57778787591233627</v>
      </c>
      <c r="U344" s="46">
        <f t="shared" si="187"/>
        <v>0.57778787591233627</v>
      </c>
      <c r="V344" s="46">
        <f t="shared" si="187"/>
        <v>0.57778787591233627</v>
      </c>
    </row>
    <row r="345" spans="1:22" x14ac:dyDescent="0.2">
      <c r="A345" s="29">
        <f t="shared" si="185"/>
        <v>17</v>
      </c>
      <c r="B345" s="334" t="str">
        <f t="shared" si="181"/>
        <v>Biodiesel (HtL blend) - Global - Prim. energy efficiency - %</v>
      </c>
      <c r="C345" t="str" cm="1">
        <f t="array" ref="C345">INDEX(list_AE_fuel,A345)</f>
        <v>Biodiesel (HtL blend)</v>
      </c>
      <c r="D345" t="str">
        <f>INDEX('Configurator Specs.'!$AG:$AG,MATCH($C345,'Configurator Specs.'!$AE:$AE,0))</f>
        <v>Diesel</v>
      </c>
      <c r="E345" t="str">
        <f t="shared" si="188"/>
        <v>Global</v>
      </c>
      <c r="F345" t="str">
        <f t="shared" si="182"/>
        <v>Prim. energy efficiency - %</v>
      </c>
      <c r="G345"/>
      <c r="H345" s="128"/>
      <c r="I345" t="str">
        <f t="shared" si="186"/>
        <v>%</v>
      </c>
      <c r="K345" s="46">
        <f>IFERROR(INDEX('Fuel Model - Summary'!$A:$N,MATCH($B345,'Fuel Model - Summary'!$B:$B,0),MATCH(K$328,'Fuel Model - Summary'!$A$5:$N$5,0)),0)</f>
        <v>0</v>
      </c>
      <c r="L345" s="46">
        <f>IFERROR(INDEX('Fuel Model - Summary'!$A:$N,MATCH($B345,'Fuel Model - Summary'!$B:$B,0),MATCH(L$328,'Fuel Model - Summary'!$A$5:$N$5,0)),0)</f>
        <v>0</v>
      </c>
      <c r="M345" s="46">
        <f>IFERROR(INDEX('Fuel Model - Summary'!$A:$N,MATCH($B345,'Fuel Model - Summary'!$B:$B,0),MATCH(M$328,'Fuel Model - Summary'!$A$5:$N$5,0)),0)</f>
        <v>0</v>
      </c>
      <c r="N345" s="46">
        <f>IFERROR(INDEX('Fuel Model - Summary'!$A:$N,MATCH($B345,'Fuel Model - Summary'!$B:$B,0),MATCH(N$328,'Fuel Model - Summary'!$A$5:$N$5,0)),0)</f>
        <v>0</v>
      </c>
      <c r="O345" s="46">
        <f>IFERROR(INDEX('Fuel Model - Summary'!$A:$N,MATCH($B345,'Fuel Model - Summary'!$B:$B,0),MATCH(O$328,'Fuel Model - Summary'!$A$5:$N$5,0)),0)</f>
        <v>0</v>
      </c>
      <c r="P345" s="46">
        <f>IFERROR(INDEX('Fuel Model - Summary'!$A:$N,MATCH($B345,'Fuel Model - Summary'!$B:$B,0),MATCH(P$328,'Fuel Model - Summary'!$A$5:$N$5,0)),0)</f>
        <v>0</v>
      </c>
      <c r="Q345" s="46">
        <f>IFERROR(INDEX('Fuel Model - Summary'!$A:$N,MATCH($B345,'Fuel Model - Summary'!$B:$B,0),MATCH(Q$328,'Fuel Model - Summary'!$A$5:$N$5,0)),0)</f>
        <v>0</v>
      </c>
      <c r="R345" s="46">
        <f t="shared" si="187"/>
        <v>0</v>
      </c>
      <c r="S345" s="46">
        <f t="shared" si="187"/>
        <v>0</v>
      </c>
      <c r="T345" s="46">
        <f t="shared" si="187"/>
        <v>0</v>
      </c>
      <c r="U345" s="46">
        <f t="shared" si="187"/>
        <v>0</v>
      </c>
      <c r="V345" s="46">
        <f t="shared" si="187"/>
        <v>0</v>
      </c>
    </row>
    <row r="346" spans="1:22" x14ac:dyDescent="0.2">
      <c r="A346" s="29">
        <f t="shared" si="185"/>
        <v>18</v>
      </c>
      <c r="B346" s="334" t="str">
        <f t="shared" si="181"/>
        <v>Biodiesel (Pyr blend) - Global - Prim. energy efficiency - %</v>
      </c>
      <c r="C346" t="str" cm="1">
        <f t="array" ref="C346">INDEX(list_AE_fuel,A346)</f>
        <v>Biodiesel (Pyr blend)</v>
      </c>
      <c r="D346" t="str">
        <f>INDEX('Configurator Specs.'!$AG:$AG,MATCH($C346,'Configurator Specs.'!$AE:$AE,0))</f>
        <v>Diesel</v>
      </c>
      <c r="E346" t="str">
        <f t="shared" si="188"/>
        <v>Global</v>
      </c>
      <c r="F346" t="str">
        <f t="shared" si="182"/>
        <v>Prim. energy efficiency - %</v>
      </c>
      <c r="G346"/>
      <c r="H346" s="128"/>
      <c r="I346" t="str">
        <f t="shared" si="186"/>
        <v>%</v>
      </c>
      <c r="K346" s="46">
        <f>IFERROR(INDEX('Fuel Model - Summary'!$A:$N,MATCH($B346,'Fuel Model - Summary'!$B:$B,0),MATCH(K$328,'Fuel Model - Summary'!$A$5:$N$5,0)),0)</f>
        <v>0</v>
      </c>
      <c r="L346" s="46">
        <f>IFERROR(INDEX('Fuel Model - Summary'!$A:$N,MATCH($B346,'Fuel Model - Summary'!$B:$B,0),MATCH(L$328,'Fuel Model - Summary'!$A$5:$N$5,0)),0)</f>
        <v>0</v>
      </c>
      <c r="M346" s="46">
        <f>IFERROR(INDEX('Fuel Model - Summary'!$A:$N,MATCH($B346,'Fuel Model - Summary'!$B:$B,0),MATCH(M$328,'Fuel Model - Summary'!$A$5:$N$5,0)),0)</f>
        <v>0</v>
      </c>
      <c r="N346" s="46">
        <f>IFERROR(INDEX('Fuel Model - Summary'!$A:$N,MATCH($B346,'Fuel Model - Summary'!$B:$B,0),MATCH(N$328,'Fuel Model - Summary'!$A$5:$N$5,0)),0)</f>
        <v>0</v>
      </c>
      <c r="O346" s="46">
        <f>IFERROR(INDEX('Fuel Model - Summary'!$A:$N,MATCH($B346,'Fuel Model - Summary'!$B:$B,0),MATCH(O$328,'Fuel Model - Summary'!$A$5:$N$5,0)),0)</f>
        <v>0</v>
      </c>
      <c r="P346" s="46">
        <f>IFERROR(INDEX('Fuel Model - Summary'!$A:$N,MATCH($B346,'Fuel Model - Summary'!$B:$B,0),MATCH(P$328,'Fuel Model - Summary'!$A$5:$N$5,0)),0)</f>
        <v>0</v>
      </c>
      <c r="Q346" s="46">
        <f>IFERROR(INDEX('Fuel Model - Summary'!$A:$N,MATCH($B346,'Fuel Model - Summary'!$B:$B,0),MATCH(Q$328,'Fuel Model - Summary'!$A$5:$N$5,0)),0)</f>
        <v>0</v>
      </c>
      <c r="R346" s="46">
        <f t="shared" si="187"/>
        <v>0</v>
      </c>
      <c r="S346" s="46">
        <f t="shared" si="187"/>
        <v>0</v>
      </c>
      <c r="T346" s="46">
        <f t="shared" si="187"/>
        <v>0</v>
      </c>
      <c r="U346" s="46">
        <f t="shared" si="187"/>
        <v>0</v>
      </c>
      <c r="V346" s="46">
        <f t="shared" si="187"/>
        <v>0</v>
      </c>
    </row>
    <row r="347" spans="1:22" x14ac:dyDescent="0.2">
      <c r="A347" s="29">
        <f t="shared" si="185"/>
        <v>19</v>
      </c>
      <c r="B347" s="334" t="str">
        <f>_xlfn.TEXTJOIN(keydelim,TRUE,C347,E347,F347)</f>
        <v>Blue hydrogen (liquid) - Global - Prim. energy efficiency - %</v>
      </c>
      <c r="C347" t="str" cm="1">
        <f t="array" ref="C347">INDEX(list_AE_fuel,A347)</f>
        <v>Blue hydrogen (liquid)</v>
      </c>
      <c r="D347" t="str">
        <f>INDEX('Configurator Specs.'!$AG:$AG,MATCH($C347,'Configurator Specs.'!$AE:$AE,0))</f>
        <v>Liquid hydrogen</v>
      </c>
      <c r="E347" t="str">
        <f>E346</f>
        <v>Global</v>
      </c>
      <c r="F347" t="str">
        <f t="shared" si="182"/>
        <v>Prim. energy efficiency - %</v>
      </c>
      <c r="G347"/>
      <c r="H347" s="128"/>
      <c r="I347" t="str">
        <f t="shared" si="186"/>
        <v>%</v>
      </c>
      <c r="K347" s="46">
        <f>IFERROR(INDEX('Fuel Model - Summary'!$A:$N,MATCH($B347,'Fuel Model - Summary'!$B:$B,0),MATCH(K$328,'Fuel Model - Summary'!$A$5:$N$5,0)),0)</f>
        <v>0</v>
      </c>
      <c r="L347" s="46">
        <f>IFERROR(INDEX('Fuel Model - Summary'!$A:$N,MATCH($B347,'Fuel Model - Summary'!$B:$B,0),MATCH(L$328,'Fuel Model - Summary'!$A$5:$N$5,0)),0)</f>
        <v>0</v>
      </c>
      <c r="M347" s="46">
        <f>IFERROR(INDEX('Fuel Model - Summary'!$A:$N,MATCH($B347,'Fuel Model - Summary'!$B:$B,0),MATCH(M$328,'Fuel Model - Summary'!$A$5:$N$5,0)),0)</f>
        <v>0</v>
      </c>
      <c r="N347" s="46">
        <f>IFERROR(INDEX('Fuel Model - Summary'!$A:$N,MATCH($B347,'Fuel Model - Summary'!$B:$B,0),MATCH(N$328,'Fuel Model - Summary'!$A$5:$N$5,0)),0)</f>
        <v>0</v>
      </c>
      <c r="O347" s="46">
        <f>IFERROR(INDEX('Fuel Model - Summary'!$A:$N,MATCH($B347,'Fuel Model - Summary'!$B:$B,0),MATCH(O$328,'Fuel Model - Summary'!$A$5:$N$5,0)),0)</f>
        <v>0</v>
      </c>
      <c r="P347" s="46">
        <f>IFERROR(INDEX('Fuel Model - Summary'!$A:$N,MATCH($B347,'Fuel Model - Summary'!$B:$B,0),MATCH(P$328,'Fuel Model - Summary'!$A$5:$N$5,0)),0)</f>
        <v>0</v>
      </c>
      <c r="Q347" s="46">
        <f>IFERROR(INDEX('Fuel Model - Summary'!$A:$N,MATCH($B347,'Fuel Model - Summary'!$B:$B,0),MATCH(Q$328,'Fuel Model - Summary'!$A$5:$N$5,0)),0)</f>
        <v>0</v>
      </c>
      <c r="R347" s="46">
        <f t="shared" si="187"/>
        <v>0</v>
      </c>
      <c r="S347" s="46">
        <f t="shared" si="187"/>
        <v>0</v>
      </c>
      <c r="T347" s="46">
        <f t="shared" si="187"/>
        <v>0</v>
      </c>
      <c r="U347" s="46">
        <f t="shared" si="187"/>
        <v>0</v>
      </c>
      <c r="V347" s="46">
        <f t="shared" si="187"/>
        <v>0</v>
      </c>
    </row>
    <row r="348" spans="1:22" x14ac:dyDescent="0.2">
      <c r="A348" s="29">
        <f t="shared" si="185"/>
        <v>20</v>
      </c>
      <c r="B348" s="334" t="str">
        <f>_xlfn.TEXTJOIN(keydelim,TRUE,C348,E348,F348)</f>
        <v>e-Hydrogen (liquid) - Global - Prim. energy efficiency - %</v>
      </c>
      <c r="C348" t="str" cm="1">
        <f t="array" ref="C348">INDEX(list_AE_fuel,A348)</f>
        <v>e-Hydrogen (liquid)</v>
      </c>
      <c r="D348" t="str">
        <f>INDEX('Configurator Specs.'!$AG:$AG,MATCH($C348,'Configurator Specs.'!$AE:$AE,0))</f>
        <v>Liquid hydrogen</v>
      </c>
      <c r="E348" t="str">
        <f>E347</f>
        <v>Global</v>
      </c>
      <c r="F348" t="str">
        <f t="shared" si="182"/>
        <v>Prim. energy efficiency - %</v>
      </c>
      <c r="G348"/>
      <c r="H348" s="128"/>
      <c r="I348" t="str">
        <f t="shared" si="186"/>
        <v>%</v>
      </c>
      <c r="K348" s="46">
        <f>IFERROR(INDEX('Fuel Model - Summary'!$A:$N,MATCH($B348,'Fuel Model - Summary'!$B:$B,0),MATCH(K$328,'Fuel Model - Summary'!$A$5:$N$5,0)),0)</f>
        <v>0.53158370554247458</v>
      </c>
      <c r="L348" s="46">
        <f>IFERROR(INDEX('Fuel Model - Summary'!$A:$N,MATCH($B348,'Fuel Model - Summary'!$B:$B,0),MATCH(L$328,'Fuel Model - Summary'!$A$5:$N$5,0)),0)</f>
        <v>0.53390833756130562</v>
      </c>
      <c r="M348" s="46">
        <f>IFERROR(INDEX('Fuel Model - Summary'!$A:$N,MATCH($B348,'Fuel Model - Summary'!$B:$B,0),MATCH(M$328,'Fuel Model - Summary'!$A$5:$N$5,0)),0)</f>
        <v>0.54131189142534042</v>
      </c>
      <c r="N348" s="46">
        <f>IFERROR(INDEX('Fuel Model - Summary'!$A:$N,MATCH($B348,'Fuel Model - Summary'!$B:$B,0),MATCH(N$328,'Fuel Model - Summary'!$A$5:$N$5,0)),0)</f>
        <v>0.56029386332368492</v>
      </c>
      <c r="O348" s="46">
        <f>IFERROR(INDEX('Fuel Model - Summary'!$A:$N,MATCH($B348,'Fuel Model - Summary'!$B:$B,0),MATCH(O$328,'Fuel Model - Summary'!$A$5:$N$5,0)),0)</f>
        <v>0.58328989995912273</v>
      </c>
      <c r="P348" s="46">
        <f>IFERROR(INDEX('Fuel Model - Summary'!$A:$N,MATCH($B348,'Fuel Model - Summary'!$B:$B,0),MATCH(P$328,'Fuel Model - Summary'!$A$5:$N$5,0)),0)</f>
        <v>0.61375917189403317</v>
      </c>
      <c r="Q348" s="46">
        <f>IFERROR(INDEX('Fuel Model - Summary'!$A:$N,MATCH($B348,'Fuel Model - Summary'!$B:$B,0),MATCH(Q$328,'Fuel Model - Summary'!$A$5:$N$5,0)),0)</f>
        <v>0.63915343915343925</v>
      </c>
      <c r="R348" s="46">
        <f t="shared" si="187"/>
        <v>0.63915343915343925</v>
      </c>
      <c r="S348" s="46">
        <f t="shared" si="187"/>
        <v>0.63915343915343925</v>
      </c>
      <c r="T348" s="46">
        <f t="shared" si="187"/>
        <v>0.63915343915343925</v>
      </c>
      <c r="U348" s="46">
        <f t="shared" si="187"/>
        <v>0.63915343915343925</v>
      </c>
      <c r="V348" s="46">
        <f t="shared" si="187"/>
        <v>0.63915343915343925</v>
      </c>
    </row>
    <row r="351" spans="1:22" ht="15" x14ac:dyDescent="0.25">
      <c r="B351" s="30"/>
    </row>
    <row r="352" spans="1:22" ht="15" x14ac:dyDescent="0.25">
      <c r="B352" s="144"/>
      <c r="C352" s="144"/>
      <c r="D352" s="408"/>
      <c r="E352" s="144"/>
      <c r="F352" s="144"/>
      <c r="G352" s="410"/>
      <c r="H352" s="144"/>
      <c r="I352" s="144"/>
      <c r="J352" s="67"/>
      <c r="K352" s="56"/>
      <c r="L352" s="56"/>
      <c r="M352" s="56"/>
      <c r="N352" s="56"/>
      <c r="O352" s="56"/>
      <c r="P352" s="56"/>
      <c r="Q352" s="56"/>
      <c r="R352" s="56"/>
      <c r="S352" s="56"/>
      <c r="T352" s="56"/>
      <c r="U352" s="56"/>
      <c r="V352" s="56"/>
    </row>
    <row r="353" spans="1:22" x14ac:dyDescent="0.2">
      <c r="B353" s="334"/>
      <c r="C353"/>
      <c r="D353"/>
      <c r="E353"/>
      <c r="F353"/>
      <c r="G353" s="128"/>
      <c r="H353" s="70"/>
      <c r="I353"/>
      <c r="J353" s="46"/>
      <c r="K353" s="83"/>
      <c r="L353" s="83"/>
      <c r="M353" s="83"/>
      <c r="N353" s="83"/>
      <c r="O353" s="83"/>
      <c r="P353" s="83"/>
      <c r="Q353" s="83"/>
      <c r="R353" s="83"/>
      <c r="S353" s="83"/>
      <c r="T353" s="83"/>
      <c r="U353" s="83"/>
      <c r="V353" s="83"/>
    </row>
    <row r="357" spans="1:22" ht="15" x14ac:dyDescent="0.25">
      <c r="B357" s="30" t="s">
        <v>727</v>
      </c>
    </row>
    <row r="358" spans="1:22" x14ac:dyDescent="0.2">
      <c r="B358" s="144" t="s">
        <v>618</v>
      </c>
      <c r="C358" s="144" t="s">
        <v>49</v>
      </c>
      <c r="D358" s="408"/>
      <c r="E358" s="144" t="s">
        <v>722</v>
      </c>
      <c r="F358" s="144"/>
      <c r="G358" s="144"/>
      <c r="H358" s="144" t="s">
        <v>724</v>
      </c>
      <c r="I358" s="144"/>
      <c r="J358" s="56"/>
      <c r="K358" s="56">
        <v>2020</v>
      </c>
      <c r="L358" s="56">
        <f t="shared" ref="L358:V358" si="189">K358+5</f>
        <v>2025</v>
      </c>
      <c r="M358" s="56">
        <f t="shared" si="189"/>
        <v>2030</v>
      </c>
      <c r="N358" s="56">
        <f t="shared" si="189"/>
        <v>2035</v>
      </c>
      <c r="O358" s="56">
        <f t="shared" si="189"/>
        <v>2040</v>
      </c>
      <c r="P358" s="56">
        <f t="shared" si="189"/>
        <v>2045</v>
      </c>
      <c r="Q358" s="56">
        <f t="shared" si="189"/>
        <v>2050</v>
      </c>
      <c r="R358" s="56">
        <f t="shared" si="189"/>
        <v>2055</v>
      </c>
      <c r="S358" s="56">
        <f t="shared" si="189"/>
        <v>2060</v>
      </c>
      <c r="T358" s="56">
        <f t="shared" si="189"/>
        <v>2065</v>
      </c>
      <c r="U358" s="56">
        <f t="shared" si="189"/>
        <v>2070</v>
      </c>
      <c r="V358" s="56">
        <f t="shared" si="189"/>
        <v>2075</v>
      </c>
    </row>
    <row r="359" spans="1:22" x14ac:dyDescent="0.2">
      <c r="A359" s="29">
        <v>1</v>
      </c>
      <c r="B359" s="334" t="str">
        <f t="shared" ref="B359:B378" si="190">_xlfn.TEXTJOIN(keydelim,TRUE,C359,E359:F359)</f>
        <v>LSFO - Europe - RE cost - USD/GJ</v>
      </c>
      <c r="C359" t="str" cm="1">
        <f t="array" ref="C359">INDEX(list_AE_fuel,A359)</f>
        <v>LSFO</v>
      </c>
      <c r="D359" s="411" t="str">
        <f>IF(E359="Africa&amp;Other","Africa",E359)</f>
        <v>Europe</v>
      </c>
      <c r="E359" t="s">
        <v>195</v>
      </c>
      <c r="F359" t="str">
        <f t="shared" ref="F359:F378" si="191">"RE cost"  &amp;keydelim &amp;I359</f>
        <v>RE cost - USD/GJ</v>
      </c>
      <c r="G359" s="128"/>
      <c r="H359" s="412" t="str" cm="1">
        <f t="array" ref="H359">INDEX('Configurator Specs.'!$CG$5:$CG$24,A359)</f>
        <v>External</v>
      </c>
      <c r="I359" t="s">
        <v>324</v>
      </c>
      <c r="K359" s="113">
        <f>IF($H359="Modeled",
INDEX('Fuel Model - Summary'!P:P,MATCH('Fuel Selector'!$C359&amp;" - "&amp;$D359,'Fuel Model - Summary'!$C:$C,0)),0)</f>
        <v>0</v>
      </c>
      <c r="L359" s="113">
        <f>IF($H359="Modeled",
INDEX('Fuel Model - Summary'!Q:Q,MATCH('Fuel Selector'!$C359&amp;" - "&amp;$D359,'Fuel Model - Summary'!$C:$C,0)),0)</f>
        <v>0</v>
      </c>
      <c r="M359" s="113">
        <f>IF($H359="Modeled",
INDEX('Fuel Model - Summary'!R:R,MATCH('Fuel Selector'!$C359&amp;" - "&amp;$D359,'Fuel Model - Summary'!$C:$C,0)),0)</f>
        <v>0</v>
      </c>
      <c r="N359" s="113">
        <f>IF($H359="Modeled",
INDEX('Fuel Model - Summary'!S:S,MATCH('Fuel Selector'!$C359&amp;" - "&amp;$D359,'Fuel Model - Summary'!$C:$C,0)),0)</f>
        <v>0</v>
      </c>
      <c r="O359" s="113">
        <f>IF($H359="Modeled",
INDEX('Fuel Model - Summary'!T:T,MATCH('Fuel Selector'!$C359&amp;" - "&amp;$D359,'Fuel Model - Summary'!$C:$C,0)),0)</f>
        <v>0</v>
      </c>
      <c r="P359" s="113">
        <f>IF($H359="Modeled",
INDEX('Fuel Model - Summary'!U:U,MATCH('Fuel Selector'!$C359&amp;" - "&amp;$D359,'Fuel Model - Summary'!$C:$C,0)),0)</f>
        <v>0</v>
      </c>
      <c r="Q359" s="113">
        <f>IF($H359="Modeled",
INDEX('Fuel Model - Summary'!V:V,MATCH('Fuel Selector'!$C359&amp;" - "&amp;$D359,'Fuel Model - Summary'!$C:$C,0)),0)</f>
        <v>0</v>
      </c>
      <c r="R359" s="113">
        <f>Q359</f>
        <v>0</v>
      </c>
      <c r="S359" s="113">
        <f t="shared" ref="S359:V359" si="192">R359</f>
        <v>0</v>
      </c>
      <c r="T359" s="113">
        <f t="shared" si="192"/>
        <v>0</v>
      </c>
      <c r="U359" s="113">
        <f t="shared" si="192"/>
        <v>0</v>
      </c>
      <c r="V359" s="113">
        <f t="shared" si="192"/>
        <v>0</v>
      </c>
    </row>
    <row r="360" spans="1:22" x14ac:dyDescent="0.2">
      <c r="A360" s="29">
        <f>A359+1</f>
        <v>2</v>
      </c>
      <c r="B360" s="334" t="str">
        <f t="shared" si="190"/>
        <v>LNG - Europe - RE cost - USD/GJ</v>
      </c>
      <c r="C360" t="str" cm="1">
        <f t="array" ref="C360">INDEX(list_AE_fuel,A360)</f>
        <v>LNG</v>
      </c>
      <c r="D360" s="411" t="str">
        <f t="shared" ref="D360:D378" si="193">IF(E360="Africa&amp;Other","Africa",E360)</f>
        <v>Europe</v>
      </c>
      <c r="E360" t="str">
        <f t="shared" ref="E360:E369" si="194">E359</f>
        <v>Europe</v>
      </c>
      <c r="F360" t="str">
        <f t="shared" si="191"/>
        <v>RE cost - USD/GJ</v>
      </c>
      <c r="G360" s="128"/>
      <c r="H360" s="412" t="str" cm="1">
        <f t="array" ref="H360">INDEX('Configurator Specs.'!$CG$5:$CG$24,A360)</f>
        <v>Modeled</v>
      </c>
      <c r="I360" t="s">
        <v>324</v>
      </c>
      <c r="K360" s="113">
        <f>IF($H360="Modeled",
INDEX('Fuel Model - Summary'!P:P,MATCH('Fuel Selector'!$C360&amp;" - "&amp;$D360,'Fuel Model - Summary'!$C:$C,0)),0)</f>
        <v>0</v>
      </c>
      <c r="L360" s="113">
        <f>IF($H360="Modeled",
INDEX('Fuel Model - Summary'!Q:Q,MATCH('Fuel Selector'!$C360&amp;" - "&amp;$D360,'Fuel Model - Summary'!$C:$C,0)),0)</f>
        <v>0</v>
      </c>
      <c r="M360" s="113">
        <f>IF($H360="Modeled",
INDEX('Fuel Model - Summary'!R:R,MATCH('Fuel Selector'!$C360&amp;" - "&amp;$D360,'Fuel Model - Summary'!$C:$C,0)),0)</f>
        <v>0</v>
      </c>
      <c r="N360" s="113">
        <f>IF($H360="Modeled",
INDEX('Fuel Model - Summary'!S:S,MATCH('Fuel Selector'!$C360&amp;" - "&amp;$D360,'Fuel Model - Summary'!$C:$C,0)),0)</f>
        <v>0</v>
      </c>
      <c r="O360" s="113">
        <f>IF($H360="Modeled",
INDEX('Fuel Model - Summary'!T:T,MATCH('Fuel Selector'!$C360&amp;" - "&amp;$D360,'Fuel Model - Summary'!$C:$C,0)),0)</f>
        <v>0</v>
      </c>
      <c r="P360" s="113">
        <f>IF($H360="Modeled",
INDEX('Fuel Model - Summary'!U:U,MATCH('Fuel Selector'!$C360&amp;" - "&amp;$D360,'Fuel Model - Summary'!$C:$C,0)),0)</f>
        <v>0</v>
      </c>
      <c r="Q360" s="113">
        <f>IF($H360="Modeled",
INDEX('Fuel Model - Summary'!V:V,MATCH('Fuel Selector'!$C360&amp;" - "&amp;$D360,'Fuel Model - Summary'!$C:$C,0)),0)</f>
        <v>0</v>
      </c>
      <c r="R360" s="113">
        <f t="shared" ref="R360:V378" si="195">Q360</f>
        <v>0</v>
      </c>
      <c r="S360" s="113">
        <f t="shared" si="195"/>
        <v>0</v>
      </c>
      <c r="T360" s="113">
        <f t="shared" si="195"/>
        <v>0</v>
      </c>
      <c r="U360" s="113">
        <f t="shared" si="195"/>
        <v>0</v>
      </c>
      <c r="V360" s="113">
        <f t="shared" si="195"/>
        <v>0</v>
      </c>
    </row>
    <row r="361" spans="1:22" x14ac:dyDescent="0.2">
      <c r="A361" s="29">
        <f t="shared" ref="A361:A378" si="196">A360+1</f>
        <v>3</v>
      </c>
      <c r="B361" s="334" t="str">
        <f t="shared" si="190"/>
        <v>LPG - Europe - RE cost - USD/GJ</v>
      </c>
      <c r="C361" t="str" cm="1">
        <f t="array" ref="C361">INDEX(list_AE_fuel,A361)</f>
        <v>LPG</v>
      </c>
      <c r="D361" s="411" t="str">
        <f t="shared" si="193"/>
        <v>Europe</v>
      </c>
      <c r="E361" t="str">
        <f t="shared" si="194"/>
        <v>Europe</v>
      </c>
      <c r="F361" t="str">
        <f t="shared" si="191"/>
        <v>RE cost - USD/GJ</v>
      </c>
      <c r="G361" s="128"/>
      <c r="H361" s="412" t="str" cm="1">
        <f t="array" ref="H361">INDEX('Configurator Specs.'!$CG$5:$CG$24,A361)</f>
        <v>External</v>
      </c>
      <c r="I361" t="s">
        <v>324</v>
      </c>
      <c r="K361" s="113">
        <f>IF($H361="Modeled",
INDEX('Fuel Model - Summary'!P:P,MATCH('Fuel Selector'!$C361&amp;" - "&amp;$D361,'Fuel Model - Summary'!$C:$C,0)),0)</f>
        <v>0</v>
      </c>
      <c r="L361" s="113">
        <f>IF($H361="Modeled",
INDEX('Fuel Model - Summary'!Q:Q,MATCH('Fuel Selector'!$C361&amp;" - "&amp;$D361,'Fuel Model - Summary'!$C:$C,0)),0)</f>
        <v>0</v>
      </c>
      <c r="M361" s="113">
        <f>IF($H361="Modeled",
INDEX('Fuel Model - Summary'!R:R,MATCH('Fuel Selector'!$C361&amp;" - "&amp;$D361,'Fuel Model - Summary'!$C:$C,0)),0)</f>
        <v>0</v>
      </c>
      <c r="N361" s="113">
        <f>IF($H361="Modeled",
INDEX('Fuel Model - Summary'!S:S,MATCH('Fuel Selector'!$C361&amp;" - "&amp;$D361,'Fuel Model - Summary'!$C:$C,0)),0)</f>
        <v>0</v>
      </c>
      <c r="O361" s="113">
        <f>IF($H361="Modeled",
INDEX('Fuel Model - Summary'!T:T,MATCH('Fuel Selector'!$C361&amp;" - "&amp;$D361,'Fuel Model - Summary'!$C:$C,0)),0)</f>
        <v>0</v>
      </c>
      <c r="P361" s="113">
        <f>IF($H361="Modeled",
INDEX('Fuel Model - Summary'!U:U,MATCH('Fuel Selector'!$C361&amp;" - "&amp;$D361,'Fuel Model - Summary'!$C:$C,0)),0)</f>
        <v>0</v>
      </c>
      <c r="Q361" s="113">
        <f>IF($H361="Modeled",
INDEX('Fuel Model - Summary'!V:V,MATCH('Fuel Selector'!$C361&amp;" - "&amp;$D361,'Fuel Model - Summary'!$C:$C,0)),0)</f>
        <v>0</v>
      </c>
      <c r="R361" s="113">
        <f t="shared" si="195"/>
        <v>0</v>
      </c>
      <c r="S361" s="113">
        <f t="shared" si="195"/>
        <v>0</v>
      </c>
      <c r="T361" s="113">
        <f t="shared" si="195"/>
        <v>0</v>
      </c>
      <c r="U361" s="113">
        <f t="shared" si="195"/>
        <v>0</v>
      </c>
      <c r="V361" s="113">
        <f t="shared" si="195"/>
        <v>0</v>
      </c>
    </row>
    <row r="362" spans="1:22" x14ac:dyDescent="0.2">
      <c r="A362" s="29">
        <f t="shared" si="196"/>
        <v>4</v>
      </c>
      <c r="B362" s="334" t="str">
        <f t="shared" si="190"/>
        <v>Electricity - Europe - RE cost - USD/GJ</v>
      </c>
      <c r="C362" t="str" cm="1">
        <f t="array" ref="C362">INDEX(list_AE_fuel,A362)</f>
        <v>Electricity</v>
      </c>
      <c r="D362" s="411" t="str">
        <f t="shared" si="193"/>
        <v>Europe</v>
      </c>
      <c r="E362" t="str">
        <f t="shared" si="194"/>
        <v>Europe</v>
      </c>
      <c r="F362" t="str">
        <f t="shared" si="191"/>
        <v>RE cost - USD/GJ</v>
      </c>
      <c r="G362" s="128"/>
      <c r="H362" s="412" t="str" cm="1">
        <f t="array" ref="H362">INDEX('Configurator Specs.'!$CG$5:$CG$24,A362)</f>
        <v>External</v>
      </c>
      <c r="I362" t="s">
        <v>324</v>
      </c>
      <c r="K362" s="113">
        <f>IF($H362="Modeled",
INDEX('Fuel Model - Summary'!P:P,MATCH('Fuel Selector'!$C362&amp;" - "&amp;$D362,'Fuel Model - Summary'!$C:$C,0)),0)</f>
        <v>0</v>
      </c>
      <c r="L362" s="113">
        <f>IF($H362="Modeled",
INDEX('Fuel Model - Summary'!Q:Q,MATCH('Fuel Selector'!$C362&amp;" - "&amp;$D362,'Fuel Model - Summary'!$C:$C,0)),0)</f>
        <v>0</v>
      </c>
      <c r="M362" s="113">
        <f>IF($H362="Modeled",
INDEX('Fuel Model - Summary'!R:R,MATCH('Fuel Selector'!$C362&amp;" - "&amp;$D362,'Fuel Model - Summary'!$C:$C,0)),0)</f>
        <v>0</v>
      </c>
      <c r="N362" s="113">
        <f>IF($H362="Modeled",
INDEX('Fuel Model - Summary'!S:S,MATCH('Fuel Selector'!$C362&amp;" - "&amp;$D362,'Fuel Model - Summary'!$C:$C,0)),0)</f>
        <v>0</v>
      </c>
      <c r="O362" s="113">
        <f>IF($H362="Modeled",
INDEX('Fuel Model - Summary'!T:T,MATCH('Fuel Selector'!$C362&amp;" - "&amp;$D362,'Fuel Model - Summary'!$C:$C,0)),0)</f>
        <v>0</v>
      </c>
      <c r="P362" s="113">
        <f>IF($H362="Modeled",
INDEX('Fuel Model - Summary'!U:U,MATCH('Fuel Selector'!$C362&amp;" - "&amp;$D362,'Fuel Model - Summary'!$C:$C,0)),0)</f>
        <v>0</v>
      </c>
      <c r="Q362" s="113">
        <f>IF($H362="Modeled",
INDEX('Fuel Model - Summary'!V:V,MATCH('Fuel Selector'!$C362&amp;" - "&amp;$D362,'Fuel Model - Summary'!$C:$C,0)),0)</f>
        <v>0</v>
      </c>
      <c r="R362" s="113">
        <f t="shared" si="195"/>
        <v>0</v>
      </c>
      <c r="S362" s="113">
        <f t="shared" si="195"/>
        <v>0</v>
      </c>
      <c r="T362" s="113">
        <f t="shared" si="195"/>
        <v>0</v>
      </c>
      <c r="U362" s="113">
        <f t="shared" si="195"/>
        <v>0</v>
      </c>
      <c r="V362" s="113">
        <f t="shared" si="195"/>
        <v>0</v>
      </c>
    </row>
    <row r="363" spans="1:22" x14ac:dyDescent="0.2">
      <c r="A363" s="29">
        <f t="shared" si="196"/>
        <v>5</v>
      </c>
      <c r="B363" s="334" t="str">
        <f t="shared" si="190"/>
        <v>e-Ammonia - Europe - RE cost - USD/GJ</v>
      </c>
      <c r="C363" t="str" cm="1">
        <f t="array" ref="C363">INDEX(list_AE_fuel,A363)</f>
        <v>e-Ammonia</v>
      </c>
      <c r="D363" s="411" t="str">
        <f t="shared" si="193"/>
        <v>Europe</v>
      </c>
      <c r="E363" t="str">
        <f t="shared" si="194"/>
        <v>Europe</v>
      </c>
      <c r="F363" t="str">
        <f t="shared" si="191"/>
        <v>RE cost - USD/GJ</v>
      </c>
      <c r="G363" s="226"/>
      <c r="H363" s="412" t="str" cm="1">
        <f t="array" ref="H363">INDEX('Configurator Specs.'!$CG$5:$CG$24,A363)</f>
        <v>Modeled</v>
      </c>
      <c r="I363" t="s">
        <v>324</v>
      </c>
      <c r="K363" s="113">
        <f>IF($H363="Modeled",
INDEX('Fuel Model - Summary'!P:P,MATCH('Fuel Selector'!$C363&amp;" - "&amp;$D363,'Fuel Model - Summary'!$C:$C,0)),0)</f>
        <v>29.086943041324581</v>
      </c>
      <c r="L363" s="113">
        <f>IF($H363="Modeled",
INDEX('Fuel Model - Summary'!Q:Q,MATCH('Fuel Selector'!$C363&amp;" - "&amp;$D363,'Fuel Model - Summary'!$C:$C,0)),0)</f>
        <v>23.428526031022443</v>
      </c>
      <c r="M363" s="113">
        <f>IF($H363="Modeled",
INDEX('Fuel Model - Summary'!R:R,MATCH('Fuel Selector'!$C363&amp;" - "&amp;$D363,'Fuel Model - Summary'!$C:$C,0)),0)</f>
        <v>18.718796736340131</v>
      </c>
      <c r="N363" s="113">
        <f>IF($H363="Modeled",
INDEX('Fuel Model - Summary'!S:S,MATCH('Fuel Selector'!$C363&amp;" - "&amp;$D363,'Fuel Model - Summary'!$C:$C,0)),0)</f>
        <v>16.299732212860782</v>
      </c>
      <c r="O363" s="113">
        <f>IF($H363="Modeled",
INDEX('Fuel Model - Summary'!T:T,MATCH('Fuel Selector'!$C363&amp;" - "&amp;$D363,'Fuel Model - Summary'!$C:$C,0)),0)</f>
        <v>14.584052949845061</v>
      </c>
      <c r="P363" s="113">
        <f>IF($H363="Modeled",
INDEX('Fuel Model - Summary'!U:U,MATCH('Fuel Selector'!$C363&amp;" - "&amp;$D363,'Fuel Model - Summary'!$C:$C,0)),0)</f>
        <v>12.68986475820239</v>
      </c>
      <c r="Q363" s="113">
        <f>IF($H363="Modeled",
INDEX('Fuel Model - Summary'!V:V,MATCH('Fuel Selector'!$C363&amp;" - "&amp;$D363,'Fuel Model - Summary'!$C:$C,0)),0)</f>
        <v>11.345427606514658</v>
      </c>
      <c r="R363" s="113">
        <f t="shared" si="195"/>
        <v>11.345427606514658</v>
      </c>
      <c r="S363" s="113">
        <f t="shared" si="195"/>
        <v>11.345427606514658</v>
      </c>
      <c r="T363" s="113">
        <f t="shared" si="195"/>
        <v>11.345427606514658</v>
      </c>
      <c r="U363" s="113">
        <f t="shared" si="195"/>
        <v>11.345427606514658</v>
      </c>
      <c r="V363" s="113">
        <f t="shared" si="195"/>
        <v>11.345427606514658</v>
      </c>
    </row>
    <row r="364" spans="1:22" x14ac:dyDescent="0.2">
      <c r="A364" s="29">
        <f t="shared" si="196"/>
        <v>6</v>
      </c>
      <c r="B364" s="334" t="str">
        <f t="shared" si="190"/>
        <v>Blue ammonia - Europe - RE cost - USD/GJ</v>
      </c>
      <c r="C364" t="str" cm="1">
        <f t="array" ref="C364">INDEX(list_AE_fuel,A364)</f>
        <v>Blue ammonia</v>
      </c>
      <c r="D364" s="411" t="str">
        <f t="shared" si="193"/>
        <v>Europe</v>
      </c>
      <c r="E364" t="str">
        <f t="shared" si="194"/>
        <v>Europe</v>
      </c>
      <c r="F364" t="str">
        <f t="shared" si="191"/>
        <v>RE cost - USD/GJ</v>
      </c>
      <c r="G364" s="226"/>
      <c r="H364" s="412" t="str" cm="1">
        <f t="array" ref="H364">INDEX('Configurator Specs.'!$CG$5:$CG$24,A364)</f>
        <v>Modeled</v>
      </c>
      <c r="I364" t="s">
        <v>324</v>
      </c>
      <c r="K364" s="113">
        <f>IF($H364="Modeled",
INDEX('Fuel Model - Summary'!P:P,MATCH('Fuel Selector'!$C364&amp;" - "&amp;$D364,'Fuel Model - Summary'!$C:$C,0)),0)</f>
        <v>0</v>
      </c>
      <c r="L364" s="113">
        <f>IF($H364="Modeled",
INDEX('Fuel Model - Summary'!Q:Q,MATCH('Fuel Selector'!$C364&amp;" - "&amp;$D364,'Fuel Model - Summary'!$C:$C,0)),0)</f>
        <v>0</v>
      </c>
      <c r="M364" s="113">
        <f>IF($H364="Modeled",
INDEX('Fuel Model - Summary'!R:R,MATCH('Fuel Selector'!$C364&amp;" - "&amp;$D364,'Fuel Model - Summary'!$C:$C,0)),0)</f>
        <v>0</v>
      </c>
      <c r="N364" s="113">
        <f>IF($H364="Modeled",
INDEX('Fuel Model - Summary'!S:S,MATCH('Fuel Selector'!$C364&amp;" - "&amp;$D364,'Fuel Model - Summary'!$C:$C,0)),0)</f>
        <v>0</v>
      </c>
      <c r="O364" s="113">
        <f>IF($H364="Modeled",
INDEX('Fuel Model - Summary'!T:T,MATCH('Fuel Selector'!$C364&amp;" - "&amp;$D364,'Fuel Model - Summary'!$C:$C,0)),0)</f>
        <v>0</v>
      </c>
      <c r="P364" s="113">
        <f>IF($H364="Modeled",
INDEX('Fuel Model - Summary'!U:U,MATCH('Fuel Selector'!$C364&amp;" - "&amp;$D364,'Fuel Model - Summary'!$C:$C,0)),0)</f>
        <v>0</v>
      </c>
      <c r="Q364" s="113">
        <f>IF($H364="Modeled",
INDEX('Fuel Model - Summary'!V:V,MATCH('Fuel Selector'!$C364&amp;" - "&amp;$D364,'Fuel Model - Summary'!$C:$C,0)),0)</f>
        <v>0</v>
      </c>
      <c r="R364" s="113">
        <f t="shared" si="195"/>
        <v>0</v>
      </c>
      <c r="S364" s="113">
        <f t="shared" si="195"/>
        <v>0</v>
      </c>
      <c r="T364" s="113">
        <f t="shared" si="195"/>
        <v>0</v>
      </c>
      <c r="U364" s="113">
        <f t="shared" si="195"/>
        <v>0</v>
      </c>
      <c r="V364" s="113">
        <f t="shared" si="195"/>
        <v>0</v>
      </c>
    </row>
    <row r="365" spans="1:22" x14ac:dyDescent="0.2">
      <c r="A365" s="29">
        <f t="shared" si="196"/>
        <v>7</v>
      </c>
      <c r="B365" s="334" t="str">
        <f t="shared" si="190"/>
        <v>Biomethane - Europe - RE cost - USD/GJ</v>
      </c>
      <c r="C365" t="str" cm="1">
        <f t="array" ref="C365">INDEX(list_AE_fuel,A365)</f>
        <v>Biomethane</v>
      </c>
      <c r="D365" s="411" t="str">
        <f t="shared" si="193"/>
        <v>Europe</v>
      </c>
      <c r="E365" t="str">
        <f t="shared" si="194"/>
        <v>Europe</v>
      </c>
      <c r="F365" t="str">
        <f t="shared" si="191"/>
        <v>RE cost - USD/GJ</v>
      </c>
      <c r="G365"/>
      <c r="H365" s="412" t="str" cm="1">
        <f t="array" ref="H365">INDEX('Configurator Specs.'!$CG$5:$CG$24,A365)</f>
        <v>Modeled</v>
      </c>
      <c r="I365" t="s">
        <v>324</v>
      </c>
      <c r="K365" s="113">
        <f>IF($H365="Modeled",
INDEX('Fuel Model - Summary'!P:P,MATCH('Fuel Selector'!$C365&amp;" - "&amp;$D365,'Fuel Model - Summary'!$C:$C,0)),0)</f>
        <v>0</v>
      </c>
      <c r="L365" s="113">
        <f>IF($H365="Modeled",
INDEX('Fuel Model - Summary'!Q:Q,MATCH('Fuel Selector'!$C365&amp;" - "&amp;$D365,'Fuel Model - Summary'!$C:$C,0)),0)</f>
        <v>0</v>
      </c>
      <c r="M365" s="113">
        <f>IF($H365="Modeled",
INDEX('Fuel Model - Summary'!R:R,MATCH('Fuel Selector'!$C365&amp;" - "&amp;$D365,'Fuel Model - Summary'!$C:$C,0)),0)</f>
        <v>0</v>
      </c>
      <c r="N365" s="113">
        <f>IF($H365="Modeled",
INDEX('Fuel Model - Summary'!S:S,MATCH('Fuel Selector'!$C365&amp;" - "&amp;$D365,'Fuel Model - Summary'!$C:$C,0)),0)</f>
        <v>0</v>
      </c>
      <c r="O365" s="113">
        <f>IF($H365="Modeled",
INDEX('Fuel Model - Summary'!T:T,MATCH('Fuel Selector'!$C365&amp;" - "&amp;$D365,'Fuel Model - Summary'!$C:$C,0)),0)</f>
        <v>0</v>
      </c>
      <c r="P365" s="113">
        <f>IF($H365="Modeled",
INDEX('Fuel Model - Summary'!U:U,MATCH('Fuel Selector'!$C365&amp;" - "&amp;$D365,'Fuel Model - Summary'!$C:$C,0)),0)</f>
        <v>0</v>
      </c>
      <c r="Q365" s="113">
        <f>IF($H365="Modeled",
INDEX('Fuel Model - Summary'!V:V,MATCH('Fuel Selector'!$C365&amp;" - "&amp;$D365,'Fuel Model - Summary'!$C:$C,0)),0)</f>
        <v>0</v>
      </c>
      <c r="R365" s="113">
        <f t="shared" si="195"/>
        <v>0</v>
      </c>
      <c r="S365" s="113">
        <f t="shared" si="195"/>
        <v>0</v>
      </c>
      <c r="T365" s="113">
        <f t="shared" si="195"/>
        <v>0</v>
      </c>
      <c r="U365" s="113">
        <f t="shared" si="195"/>
        <v>0</v>
      </c>
      <c r="V365" s="113">
        <f t="shared" si="195"/>
        <v>0</v>
      </c>
    </row>
    <row r="366" spans="1:22" x14ac:dyDescent="0.2">
      <c r="A366" s="29">
        <f t="shared" si="196"/>
        <v>8</v>
      </c>
      <c r="B366" s="334" t="str">
        <f t="shared" si="190"/>
        <v>e-Methane (DAC) - Europe - RE cost - USD/GJ</v>
      </c>
      <c r="C366" t="str" cm="1">
        <f t="array" ref="C366">INDEX(list_AE_fuel,A366)</f>
        <v>e-Methane (DAC)</v>
      </c>
      <c r="D366" s="411" t="str">
        <f t="shared" si="193"/>
        <v>Europe</v>
      </c>
      <c r="E366" t="str">
        <f t="shared" si="194"/>
        <v>Europe</v>
      </c>
      <c r="F366" t="str">
        <f t="shared" si="191"/>
        <v>RE cost - USD/GJ</v>
      </c>
      <c r="G366" s="226"/>
      <c r="H366" s="412" t="str" cm="1">
        <f t="array" ref="H366">INDEX('Configurator Specs.'!$CG$5:$CG$24,A366)</f>
        <v>Modeled</v>
      </c>
      <c r="I366" t="s">
        <v>324</v>
      </c>
      <c r="K366" s="113">
        <f>IF($H366="Modeled",
INDEX('Fuel Model - Summary'!P:P,MATCH('Fuel Selector'!$C366&amp;" - "&amp;$D366,'Fuel Model - Summary'!$C:$C,0)),0)</f>
        <v>30.058183235680293</v>
      </c>
      <c r="L366" s="113">
        <f>IF($H366="Modeled",
INDEX('Fuel Model - Summary'!Q:Q,MATCH('Fuel Selector'!$C366&amp;" - "&amp;$D366,'Fuel Model - Summary'!$C:$C,0)),0)</f>
        <v>24.209633558877194</v>
      </c>
      <c r="M366" s="113">
        <f>IF($H366="Modeled",
INDEX('Fuel Model - Summary'!R:R,MATCH('Fuel Selector'!$C366&amp;" - "&amp;$D366,'Fuel Model - Summary'!$C:$C,0)),0)</f>
        <v>19.340156180396136</v>
      </c>
      <c r="N366" s="113">
        <f>IF($H366="Modeled",
INDEX('Fuel Model - Summary'!S:S,MATCH('Fuel Selector'!$C366&amp;" - "&amp;$D366,'Fuel Model - Summary'!$C:$C,0)),0)</f>
        <v>16.834175339995468</v>
      </c>
      <c r="O366" s="113">
        <f>IF($H366="Modeled",
INDEX('Fuel Model - Summary'!T:T,MATCH('Fuel Selector'!$C366&amp;" - "&amp;$D366,'Fuel Model - Summary'!$C:$C,0)),0)</f>
        <v>15.054541516370406</v>
      </c>
      <c r="P366" s="113">
        <f>IF($H366="Modeled",
INDEX('Fuel Model - Summary'!U:U,MATCH('Fuel Selector'!$C366&amp;" - "&amp;$D366,'Fuel Model - Summary'!$C:$C,0)),0)</f>
        <v>13.08932366328607</v>
      </c>
      <c r="Q366" s="113">
        <f>IF($H366="Modeled",
INDEX('Fuel Model - Summary'!V:V,MATCH('Fuel Selector'!$C366&amp;" - "&amp;$D366,'Fuel Model - Summary'!$C:$C,0)),0)</f>
        <v>11.69473298835579</v>
      </c>
      <c r="R366" s="113">
        <f t="shared" si="195"/>
        <v>11.69473298835579</v>
      </c>
      <c r="S366" s="113">
        <f t="shared" si="195"/>
        <v>11.69473298835579</v>
      </c>
      <c r="T366" s="113">
        <f t="shared" si="195"/>
        <v>11.69473298835579</v>
      </c>
      <c r="U366" s="113">
        <f t="shared" si="195"/>
        <v>11.69473298835579</v>
      </c>
      <c r="V366" s="113">
        <f t="shared" si="195"/>
        <v>11.69473298835579</v>
      </c>
    </row>
    <row r="367" spans="1:22" x14ac:dyDescent="0.2">
      <c r="A367" s="29">
        <f t="shared" si="196"/>
        <v>9</v>
      </c>
      <c r="B367" s="334" t="str">
        <f t="shared" si="190"/>
        <v>e-Methane (PS) - Europe - RE cost - USD/GJ</v>
      </c>
      <c r="C367" t="str" cm="1">
        <f t="array" ref="C367">INDEX(list_AE_fuel,A367)</f>
        <v>e-Methane (PS)</v>
      </c>
      <c r="D367" s="411" t="str">
        <f t="shared" si="193"/>
        <v>Europe</v>
      </c>
      <c r="E367" t="str">
        <f t="shared" si="194"/>
        <v>Europe</v>
      </c>
      <c r="F367" t="str">
        <f t="shared" si="191"/>
        <v>RE cost - USD/GJ</v>
      </c>
      <c r="G367" s="226"/>
      <c r="H367" s="412" t="str" cm="1">
        <f t="array" ref="H367">INDEX('Configurator Specs.'!$CG$5:$CG$24,A367)</f>
        <v>Modeled</v>
      </c>
      <c r="I367" t="s">
        <v>324</v>
      </c>
      <c r="K367" s="113">
        <f>IF($H367="Modeled",
INDEX('Fuel Model - Summary'!P:P,MATCH('Fuel Selector'!$C367&amp;" - "&amp;$D367,'Fuel Model - Summary'!$C:$C,0)),0)</f>
        <v>30.058183235680293</v>
      </c>
      <c r="L367" s="113">
        <f>IF($H367="Modeled",
INDEX('Fuel Model - Summary'!Q:Q,MATCH('Fuel Selector'!$C367&amp;" - "&amp;$D367,'Fuel Model - Summary'!$C:$C,0)),0)</f>
        <v>24.209633558877194</v>
      </c>
      <c r="M367" s="113">
        <f>IF($H367="Modeled",
INDEX('Fuel Model - Summary'!R:R,MATCH('Fuel Selector'!$C367&amp;" - "&amp;$D367,'Fuel Model - Summary'!$C:$C,0)),0)</f>
        <v>19.340156180396136</v>
      </c>
      <c r="N367" s="113">
        <f>IF($H367="Modeled",
INDEX('Fuel Model - Summary'!S:S,MATCH('Fuel Selector'!$C367&amp;" - "&amp;$D367,'Fuel Model - Summary'!$C:$C,0)),0)</f>
        <v>16.834175339995468</v>
      </c>
      <c r="O367" s="113">
        <f>IF($H367="Modeled",
INDEX('Fuel Model - Summary'!T:T,MATCH('Fuel Selector'!$C367&amp;" - "&amp;$D367,'Fuel Model - Summary'!$C:$C,0)),0)</f>
        <v>15.054541516370406</v>
      </c>
      <c r="P367" s="113">
        <f>IF($H367="Modeled",
INDEX('Fuel Model - Summary'!U:U,MATCH('Fuel Selector'!$C367&amp;" - "&amp;$D367,'Fuel Model - Summary'!$C:$C,0)),0)</f>
        <v>13.08932366328607</v>
      </c>
      <c r="Q367" s="113">
        <f>IF($H367="Modeled",
INDEX('Fuel Model - Summary'!V:V,MATCH('Fuel Selector'!$C367&amp;" - "&amp;$D367,'Fuel Model - Summary'!$C:$C,0)),0)</f>
        <v>11.69473298835579</v>
      </c>
      <c r="R367" s="113">
        <f t="shared" si="195"/>
        <v>11.69473298835579</v>
      </c>
      <c r="S367" s="113">
        <f t="shared" si="195"/>
        <v>11.69473298835579</v>
      </c>
      <c r="T367" s="113">
        <f t="shared" si="195"/>
        <v>11.69473298835579</v>
      </c>
      <c r="U367" s="113">
        <f t="shared" si="195"/>
        <v>11.69473298835579</v>
      </c>
      <c r="V367" s="113">
        <f t="shared" si="195"/>
        <v>11.69473298835579</v>
      </c>
    </row>
    <row r="368" spans="1:22" x14ac:dyDescent="0.2">
      <c r="A368" s="29">
        <f t="shared" si="196"/>
        <v>10</v>
      </c>
      <c r="B368" s="334" t="str">
        <f t="shared" si="190"/>
        <v>Biomethanol - Europe - RE cost - USD/GJ</v>
      </c>
      <c r="C368" t="str" cm="1">
        <f t="array" ref="C368">INDEX(list_AE_fuel,A368)</f>
        <v>Biomethanol</v>
      </c>
      <c r="D368" s="411" t="str">
        <f t="shared" si="193"/>
        <v>Europe</v>
      </c>
      <c r="E368" t="str">
        <f t="shared" si="194"/>
        <v>Europe</v>
      </c>
      <c r="F368" t="str">
        <f t="shared" si="191"/>
        <v>RE cost - USD/GJ</v>
      </c>
      <c r="G368"/>
      <c r="H368" s="412" t="str" cm="1">
        <f t="array" ref="H368">INDEX('Configurator Specs.'!$CG$5:$CG$24,A368)</f>
        <v>Modeled</v>
      </c>
      <c r="I368" t="s">
        <v>324</v>
      </c>
      <c r="K368" s="113">
        <f>IF($H368="Modeled",
INDEX('Fuel Model - Summary'!P:P,MATCH('Fuel Selector'!$C368&amp;" - "&amp;$D368,'Fuel Model - Summary'!$C:$C,0)),0)</f>
        <v>0</v>
      </c>
      <c r="L368" s="113">
        <f>IF($H368="Modeled",
INDEX('Fuel Model - Summary'!Q:Q,MATCH('Fuel Selector'!$C368&amp;" - "&amp;$D368,'Fuel Model - Summary'!$C:$C,0)),0)</f>
        <v>0</v>
      </c>
      <c r="M368" s="113">
        <f>IF($H368="Modeled",
INDEX('Fuel Model - Summary'!R:R,MATCH('Fuel Selector'!$C368&amp;" - "&amp;$D368,'Fuel Model - Summary'!$C:$C,0)),0)</f>
        <v>0</v>
      </c>
      <c r="N368" s="113">
        <f>IF($H368="Modeled",
INDEX('Fuel Model - Summary'!S:S,MATCH('Fuel Selector'!$C368&amp;" - "&amp;$D368,'Fuel Model - Summary'!$C:$C,0)),0)</f>
        <v>0</v>
      </c>
      <c r="O368" s="113">
        <f>IF($H368="Modeled",
INDEX('Fuel Model - Summary'!T:T,MATCH('Fuel Selector'!$C368&amp;" - "&amp;$D368,'Fuel Model - Summary'!$C:$C,0)),0)</f>
        <v>0</v>
      </c>
      <c r="P368" s="113">
        <f>IF($H368="Modeled",
INDEX('Fuel Model - Summary'!U:U,MATCH('Fuel Selector'!$C368&amp;" - "&amp;$D368,'Fuel Model - Summary'!$C:$C,0)),0)</f>
        <v>0</v>
      </c>
      <c r="Q368" s="113">
        <f>IF($H368="Modeled",
INDEX('Fuel Model - Summary'!V:V,MATCH('Fuel Selector'!$C368&amp;" - "&amp;$D368,'Fuel Model - Summary'!$C:$C,0)),0)</f>
        <v>0</v>
      </c>
      <c r="R368" s="113">
        <f t="shared" si="195"/>
        <v>0</v>
      </c>
      <c r="S368" s="113">
        <f t="shared" si="195"/>
        <v>0</v>
      </c>
      <c r="T368" s="113">
        <f t="shared" si="195"/>
        <v>0</v>
      </c>
      <c r="U368" s="113">
        <f t="shared" si="195"/>
        <v>0</v>
      </c>
      <c r="V368" s="113">
        <f t="shared" si="195"/>
        <v>0</v>
      </c>
    </row>
    <row r="369" spans="1:22" x14ac:dyDescent="0.2">
      <c r="A369" s="29">
        <f t="shared" si="196"/>
        <v>11</v>
      </c>
      <c r="B369" s="334" t="str">
        <f t="shared" si="190"/>
        <v>e-Methanol (DAC) - Europe - RE cost - USD/GJ</v>
      </c>
      <c r="C369" t="str" cm="1">
        <f t="array" ref="C369">INDEX(list_AE_fuel,A369)</f>
        <v>e-Methanol (DAC)</v>
      </c>
      <c r="D369" s="411" t="str">
        <f t="shared" si="193"/>
        <v>Europe</v>
      </c>
      <c r="E369" t="str">
        <f t="shared" si="194"/>
        <v>Europe</v>
      </c>
      <c r="F369" t="str">
        <f t="shared" si="191"/>
        <v>RE cost - USD/GJ</v>
      </c>
      <c r="G369"/>
      <c r="H369" s="412" t="str" cm="1">
        <f t="array" ref="H369">INDEX('Configurator Specs.'!$CG$5:$CG$24,A369)</f>
        <v>Modeled</v>
      </c>
      <c r="I369" t="s">
        <v>324</v>
      </c>
      <c r="K369" s="113">
        <f>IF($H369="Modeled",
INDEX('Fuel Model - Summary'!P:P,MATCH('Fuel Selector'!$C369&amp;" - "&amp;$D369,'Fuel Model - Summary'!$C:$C,0)),0)</f>
        <v>32.760046113024302</v>
      </c>
      <c r="L369" s="113">
        <f>IF($H369="Modeled",
INDEX('Fuel Model - Summary'!Q:Q,MATCH('Fuel Selector'!$C369&amp;" - "&amp;$D369,'Fuel Model - Summary'!$C:$C,0)),0)</f>
        <v>26.401718915187992</v>
      </c>
      <c r="M369" s="113">
        <f>IF($H369="Modeled",
INDEX('Fuel Model - Summary'!R:R,MATCH('Fuel Selector'!$C369&amp;" - "&amp;$D369,'Fuel Model - Summary'!$C:$C,0)),0)</f>
        <v>21.127744083700907</v>
      </c>
      <c r="N369" s="113">
        <f>IF($H369="Modeled",
INDEX('Fuel Model - Summary'!S:S,MATCH('Fuel Selector'!$C369&amp;" - "&amp;$D369,'Fuel Model - Summary'!$C:$C,0)),0)</f>
        <v>18.478552556148493</v>
      </c>
      <c r="O369" s="113">
        <f>IF($H369="Modeled",
INDEX('Fuel Model - Summary'!T:T,MATCH('Fuel Selector'!$C369&amp;" - "&amp;$D369,'Fuel Model - Summary'!$C:$C,0)),0)</f>
        <v>16.62801053531658</v>
      </c>
      <c r="P369" s="113">
        <f>IF($H369="Modeled",
INDEX('Fuel Model - Summary'!U:U,MATCH('Fuel Selector'!$C369&amp;" - "&amp;$D369,'Fuel Model - Summary'!$C:$C,0)),0)</f>
        <v>14.59009202212342</v>
      </c>
      <c r="Q369" s="113">
        <f>IF($H369="Modeled",
INDEX('Fuel Model - Summary'!V:V,MATCH('Fuel Selector'!$C369&amp;" - "&amp;$D369,'Fuel Model - Summary'!$C:$C,0)),0)</f>
        <v>13.140435052610366</v>
      </c>
      <c r="R369" s="113">
        <f t="shared" si="195"/>
        <v>13.140435052610366</v>
      </c>
      <c r="S369" s="113">
        <f t="shared" si="195"/>
        <v>13.140435052610366</v>
      </c>
      <c r="T369" s="113">
        <f t="shared" si="195"/>
        <v>13.140435052610366</v>
      </c>
      <c r="U369" s="113">
        <f t="shared" si="195"/>
        <v>13.140435052610366</v>
      </c>
      <c r="V369" s="113">
        <f t="shared" si="195"/>
        <v>13.140435052610366</v>
      </c>
    </row>
    <row r="370" spans="1:22" x14ac:dyDescent="0.2">
      <c r="A370" s="29">
        <f t="shared" si="196"/>
        <v>12</v>
      </c>
      <c r="B370" s="334" t="str">
        <f t="shared" si="190"/>
        <v>e-Methanol (PS) - Europe - RE cost - USD/GJ</v>
      </c>
      <c r="C370" t="str" cm="1">
        <f t="array" ref="C370">INDEX(list_AE_fuel,A370)</f>
        <v>e-Methanol (PS)</v>
      </c>
      <c r="D370" s="411" t="str">
        <f t="shared" si="193"/>
        <v>Europe</v>
      </c>
      <c r="E370" t="str">
        <f>E369</f>
        <v>Europe</v>
      </c>
      <c r="F370" t="str">
        <f t="shared" si="191"/>
        <v>RE cost - USD/GJ</v>
      </c>
      <c r="G370"/>
      <c r="H370" s="412" t="str" cm="1">
        <f t="array" ref="H370">INDEX('Configurator Specs.'!$CG$5:$CG$24,A370)</f>
        <v>Modeled</v>
      </c>
      <c r="I370" t="s">
        <v>324</v>
      </c>
      <c r="K370" s="113">
        <f>IF($H370="Modeled",
INDEX('Fuel Model - Summary'!P:P,MATCH('Fuel Selector'!$C370&amp;" - "&amp;$D370,'Fuel Model - Summary'!$C:$C,0)),0)</f>
        <v>32.760046113024302</v>
      </c>
      <c r="L370" s="113">
        <f>IF($H370="Modeled",
INDEX('Fuel Model - Summary'!Q:Q,MATCH('Fuel Selector'!$C370&amp;" - "&amp;$D370,'Fuel Model - Summary'!$C:$C,0)),0)</f>
        <v>26.401718915187992</v>
      </c>
      <c r="M370" s="113">
        <f>IF($H370="Modeled",
INDEX('Fuel Model - Summary'!R:R,MATCH('Fuel Selector'!$C370&amp;" - "&amp;$D370,'Fuel Model - Summary'!$C:$C,0)),0)</f>
        <v>21.127744083700907</v>
      </c>
      <c r="N370" s="113">
        <f>IF($H370="Modeled",
INDEX('Fuel Model - Summary'!S:S,MATCH('Fuel Selector'!$C370&amp;" - "&amp;$D370,'Fuel Model - Summary'!$C:$C,0)),0)</f>
        <v>18.478552556148493</v>
      </c>
      <c r="O370" s="113">
        <f>IF($H370="Modeled",
INDEX('Fuel Model - Summary'!T:T,MATCH('Fuel Selector'!$C370&amp;" - "&amp;$D370,'Fuel Model - Summary'!$C:$C,0)),0)</f>
        <v>16.62801053531658</v>
      </c>
      <c r="P370" s="113">
        <f>IF($H370="Modeled",
INDEX('Fuel Model - Summary'!U:U,MATCH('Fuel Selector'!$C370&amp;" - "&amp;$D370,'Fuel Model - Summary'!$C:$C,0)),0)</f>
        <v>14.59009202212342</v>
      </c>
      <c r="Q370" s="113">
        <f>IF($H370="Modeled",
INDEX('Fuel Model - Summary'!V:V,MATCH('Fuel Selector'!$C370&amp;" - "&amp;$D370,'Fuel Model - Summary'!$C:$C,0)),0)</f>
        <v>13.140435052610366</v>
      </c>
      <c r="R370" s="113">
        <f t="shared" si="195"/>
        <v>13.140435052610366</v>
      </c>
      <c r="S370" s="113">
        <f t="shared" si="195"/>
        <v>13.140435052610366</v>
      </c>
      <c r="T370" s="113">
        <f t="shared" si="195"/>
        <v>13.140435052610366</v>
      </c>
      <c r="U370" s="113">
        <f t="shared" si="195"/>
        <v>13.140435052610366</v>
      </c>
      <c r="V370" s="113">
        <f t="shared" si="195"/>
        <v>13.140435052610366</v>
      </c>
    </row>
    <row r="371" spans="1:22" x14ac:dyDescent="0.2">
      <c r="A371" s="29">
        <f t="shared" si="196"/>
        <v>13</v>
      </c>
      <c r="B371" s="334" t="str">
        <f t="shared" si="190"/>
        <v>Biodiesel (HtL) - Europe - RE cost - USD/GJ</v>
      </c>
      <c r="C371" t="str" cm="1">
        <f t="array" ref="C371">INDEX(list_AE_fuel,A371)</f>
        <v>Biodiesel (HtL)</v>
      </c>
      <c r="D371" s="411" t="str">
        <f t="shared" si="193"/>
        <v>Europe</v>
      </c>
      <c r="E371" t="str">
        <f t="shared" ref="E371:E378" si="197">E370</f>
        <v>Europe</v>
      </c>
      <c r="F371" t="str">
        <f t="shared" si="191"/>
        <v>RE cost - USD/GJ</v>
      </c>
      <c r="G371"/>
      <c r="H371" s="412" t="str" cm="1">
        <f t="array" ref="H371">INDEX('Configurator Specs.'!$CG$5:$CG$24,A371)</f>
        <v>Modeled</v>
      </c>
      <c r="I371" t="s">
        <v>324</v>
      </c>
      <c r="K371" s="113">
        <f>IF($H371="Modeled",
INDEX('Fuel Model - Summary'!P:P,MATCH('Fuel Selector'!$C371&amp;" - "&amp;$D371,'Fuel Model - Summary'!$C:$C,0)),0)</f>
        <v>1.0234561267434414</v>
      </c>
      <c r="L371" s="113">
        <f>IF($H371="Modeled",
INDEX('Fuel Model - Summary'!Q:Q,MATCH('Fuel Selector'!$C371&amp;" - "&amp;$D371,'Fuel Model - Summary'!$C:$C,0)),0)</f>
        <v>0.82815559448347043</v>
      </c>
      <c r="M371" s="113">
        <f>IF($H371="Modeled",
INDEX('Fuel Model - Summary'!R:R,MATCH('Fuel Selector'!$C371&amp;" - "&amp;$D371,'Fuel Model - Summary'!$C:$C,0)),0)</f>
        <v>0.66789918018732997</v>
      </c>
      <c r="N371" s="113">
        <f>IF($H371="Modeled",
INDEX('Fuel Model - Summary'!S:S,MATCH('Fuel Selector'!$C371&amp;" - "&amp;$D371,'Fuel Model - Summary'!$C:$C,0)),0)</f>
        <v>0.60035898507126739</v>
      </c>
      <c r="O371" s="113">
        <f>IF($H371="Modeled",
INDEX('Fuel Model - Summary'!T:T,MATCH('Fuel Selector'!$C371&amp;" - "&amp;$D371,'Fuel Model - Summary'!$C:$C,0)),0)</f>
        <v>0.55942894812117161</v>
      </c>
      <c r="P371" s="113">
        <f>IF($H371="Modeled",
INDEX('Fuel Model - Summary'!U:U,MATCH('Fuel Selector'!$C371&amp;" - "&amp;$D371,'Fuel Model - Summary'!$C:$C,0)),0)</f>
        <v>0.51609210580926201</v>
      </c>
      <c r="Q371" s="113">
        <f>IF($H371="Modeled",
INDEX('Fuel Model - Summary'!V:V,MATCH('Fuel Selector'!$C371&amp;" - "&amp;$D371,'Fuel Model - Summary'!$C:$C,0)),0)</f>
        <v>0.48417815540211262</v>
      </c>
      <c r="R371" s="113">
        <f t="shared" si="195"/>
        <v>0.48417815540211262</v>
      </c>
      <c r="S371" s="113">
        <f t="shared" si="195"/>
        <v>0.48417815540211262</v>
      </c>
      <c r="T371" s="113">
        <f t="shared" si="195"/>
        <v>0.48417815540211262</v>
      </c>
      <c r="U371" s="113">
        <f t="shared" si="195"/>
        <v>0.48417815540211262</v>
      </c>
      <c r="V371" s="113">
        <f t="shared" si="195"/>
        <v>0.48417815540211262</v>
      </c>
    </row>
    <row r="372" spans="1:22" x14ac:dyDescent="0.2">
      <c r="A372" s="29">
        <f t="shared" si="196"/>
        <v>14</v>
      </c>
      <c r="B372" s="334" t="str">
        <f t="shared" si="190"/>
        <v>Biodiesel (Pyr) - Europe - RE cost - USD/GJ</v>
      </c>
      <c r="C372" t="str" cm="1">
        <f t="array" ref="C372">INDEX(list_AE_fuel,A372)</f>
        <v>Biodiesel (Pyr)</v>
      </c>
      <c r="D372" s="411" t="str">
        <f t="shared" si="193"/>
        <v>Europe</v>
      </c>
      <c r="E372" t="str">
        <f t="shared" si="197"/>
        <v>Europe</v>
      </c>
      <c r="F372" t="str">
        <f t="shared" si="191"/>
        <v>RE cost - USD/GJ</v>
      </c>
      <c r="G372"/>
      <c r="H372" s="412" t="str" cm="1">
        <f t="array" ref="H372">INDEX('Configurator Specs.'!$CG$5:$CG$24,A372)</f>
        <v>Modeled</v>
      </c>
      <c r="I372" t="s">
        <v>324</v>
      </c>
      <c r="K372" s="113">
        <f>IF($H372="Modeled",
INDEX('Fuel Model - Summary'!P:P,MATCH('Fuel Selector'!$C372&amp;" - "&amp;$D372,'Fuel Model - Summary'!$C:$C,0)),0)</f>
        <v>0</v>
      </c>
      <c r="L372" s="113">
        <f>IF($H372="Modeled",
INDEX('Fuel Model - Summary'!Q:Q,MATCH('Fuel Selector'!$C372&amp;" - "&amp;$D372,'Fuel Model - Summary'!$C:$C,0)),0)</f>
        <v>0</v>
      </c>
      <c r="M372" s="113">
        <f>IF($H372="Modeled",
INDEX('Fuel Model - Summary'!R:R,MATCH('Fuel Selector'!$C372&amp;" - "&amp;$D372,'Fuel Model - Summary'!$C:$C,0)),0)</f>
        <v>0</v>
      </c>
      <c r="N372" s="113">
        <f>IF($H372="Modeled",
INDEX('Fuel Model - Summary'!S:S,MATCH('Fuel Selector'!$C372&amp;" - "&amp;$D372,'Fuel Model - Summary'!$C:$C,0)),0)</f>
        <v>0</v>
      </c>
      <c r="O372" s="113">
        <f>IF($H372="Modeled",
INDEX('Fuel Model - Summary'!T:T,MATCH('Fuel Selector'!$C372&amp;" - "&amp;$D372,'Fuel Model - Summary'!$C:$C,0)),0)</f>
        <v>0</v>
      </c>
      <c r="P372" s="113">
        <f>IF($H372="Modeled",
INDEX('Fuel Model - Summary'!U:U,MATCH('Fuel Selector'!$C372&amp;" - "&amp;$D372,'Fuel Model - Summary'!$C:$C,0)),0)</f>
        <v>0</v>
      </c>
      <c r="Q372" s="113">
        <f>IF($H372="Modeled",
INDEX('Fuel Model - Summary'!V:V,MATCH('Fuel Selector'!$C372&amp;" - "&amp;$D372,'Fuel Model - Summary'!$C:$C,0)),0)</f>
        <v>0</v>
      </c>
      <c r="R372" s="113">
        <f t="shared" si="195"/>
        <v>0</v>
      </c>
      <c r="S372" s="113">
        <f t="shared" si="195"/>
        <v>0</v>
      </c>
      <c r="T372" s="113">
        <f t="shared" si="195"/>
        <v>0</v>
      </c>
      <c r="U372" s="113">
        <f t="shared" si="195"/>
        <v>0</v>
      </c>
      <c r="V372" s="113">
        <f t="shared" si="195"/>
        <v>0</v>
      </c>
    </row>
    <row r="373" spans="1:22" x14ac:dyDescent="0.2">
      <c r="A373" s="29">
        <f t="shared" si="196"/>
        <v>15</v>
      </c>
      <c r="B373" s="334" t="str">
        <f t="shared" si="190"/>
        <v>e-Diesel (DAC) - Europe - RE cost - USD/GJ</v>
      </c>
      <c r="C373" t="str" cm="1">
        <f t="array" ref="C373">INDEX(list_AE_fuel,A373)</f>
        <v>e-Diesel (DAC)</v>
      </c>
      <c r="D373" s="411" t="str">
        <f t="shared" si="193"/>
        <v>Europe</v>
      </c>
      <c r="E373" t="str">
        <f t="shared" si="197"/>
        <v>Europe</v>
      </c>
      <c r="F373" t="str">
        <f t="shared" si="191"/>
        <v>RE cost - USD/GJ</v>
      </c>
      <c r="G373"/>
      <c r="H373" s="412" t="str" cm="1">
        <f t="array" ref="H373">INDEX('Configurator Specs.'!$CG$5:$CG$24,A373)</f>
        <v>Modeled</v>
      </c>
      <c r="I373" t="s">
        <v>324</v>
      </c>
      <c r="K373" s="113">
        <f>IF($H373="Modeled",
INDEX('Fuel Model - Summary'!P:P,MATCH('Fuel Selector'!$C373&amp;" - "&amp;$D373,'Fuel Model - Summary'!$C:$C,0)),0)</f>
        <v>33.161824370052656</v>
      </c>
      <c r="L373" s="113">
        <f>IF($H373="Modeled",
INDEX('Fuel Model - Summary'!Q:Q,MATCH('Fuel Selector'!$C373&amp;" - "&amp;$D373,'Fuel Model - Summary'!$C:$C,0)),0)</f>
        <v>26.67243684284578</v>
      </c>
      <c r="M373" s="113">
        <f>IF($H373="Modeled",
INDEX('Fuel Model - Summary'!R:R,MATCH('Fuel Selector'!$C373&amp;" - "&amp;$D373,'Fuel Model - Summary'!$C:$C,0)),0)</f>
        <v>21.280205917959048</v>
      </c>
      <c r="N373" s="113">
        <f>IF($H373="Modeled",
INDEX('Fuel Model - Summary'!S:S,MATCH('Fuel Selector'!$C373&amp;" - "&amp;$D373,'Fuel Model - Summary'!$C:$C,0)),0)</f>
        <v>18.499716293027259</v>
      </c>
      <c r="O373" s="113">
        <f>IF($H373="Modeled",
INDEX('Fuel Model - Summary'!T:T,MATCH('Fuel Selector'!$C373&amp;" - "&amp;$D373,'Fuel Model - Summary'!$C:$C,0)),0)</f>
        <v>16.523151304462672</v>
      </c>
      <c r="P373" s="113">
        <f>IF($H373="Modeled",
INDEX('Fuel Model - Summary'!U:U,MATCH('Fuel Selector'!$C373&amp;" - "&amp;$D373,'Fuel Model - Summary'!$C:$C,0)),0)</f>
        <v>14.34685733985849</v>
      </c>
      <c r="Q373" s="113">
        <f>IF($H373="Modeled",
INDEX('Fuel Model - Summary'!V:V,MATCH('Fuel Selector'!$C373&amp;" - "&amp;$D373,'Fuel Model - Summary'!$C:$C,0)),0)</f>
        <v>12.800948633155464</v>
      </c>
      <c r="R373" s="113">
        <f t="shared" si="195"/>
        <v>12.800948633155464</v>
      </c>
      <c r="S373" s="113">
        <f t="shared" si="195"/>
        <v>12.800948633155464</v>
      </c>
      <c r="T373" s="113">
        <f t="shared" si="195"/>
        <v>12.800948633155464</v>
      </c>
      <c r="U373" s="113">
        <f t="shared" si="195"/>
        <v>12.800948633155464</v>
      </c>
      <c r="V373" s="113">
        <f t="shared" si="195"/>
        <v>12.800948633155464</v>
      </c>
    </row>
    <row r="374" spans="1:22" x14ac:dyDescent="0.2">
      <c r="A374" s="29">
        <f t="shared" si="196"/>
        <v>16</v>
      </c>
      <c r="B374" s="334" t="str">
        <f t="shared" si="190"/>
        <v>e-Diesel (PS) - Europe - RE cost - USD/GJ</v>
      </c>
      <c r="C374" t="str" cm="1">
        <f t="array" ref="C374">INDEX(list_AE_fuel,A374)</f>
        <v>e-Diesel (PS)</v>
      </c>
      <c r="D374" s="411" t="str">
        <f t="shared" si="193"/>
        <v>Europe</v>
      </c>
      <c r="E374" t="str">
        <f t="shared" si="197"/>
        <v>Europe</v>
      </c>
      <c r="F374" t="str">
        <f t="shared" si="191"/>
        <v>RE cost - USD/GJ</v>
      </c>
      <c r="G374"/>
      <c r="H374" s="412" t="str" cm="1">
        <f t="array" ref="H374">INDEX('Configurator Specs.'!$CG$5:$CG$24,A374)</f>
        <v>Modeled</v>
      </c>
      <c r="I374" t="s">
        <v>324</v>
      </c>
      <c r="K374" s="113">
        <f>IF($H374="Modeled",
INDEX('Fuel Model - Summary'!P:P,MATCH('Fuel Selector'!$C374&amp;" - "&amp;$D374,'Fuel Model - Summary'!$C:$C,0)),0)</f>
        <v>33.161824370052656</v>
      </c>
      <c r="L374" s="113">
        <f>IF($H374="Modeled",
INDEX('Fuel Model - Summary'!Q:Q,MATCH('Fuel Selector'!$C374&amp;" - "&amp;$D374,'Fuel Model - Summary'!$C:$C,0)),0)</f>
        <v>26.67243684284578</v>
      </c>
      <c r="M374" s="113">
        <f>IF($H374="Modeled",
INDEX('Fuel Model - Summary'!R:R,MATCH('Fuel Selector'!$C374&amp;" - "&amp;$D374,'Fuel Model - Summary'!$C:$C,0)),0)</f>
        <v>21.280205917959048</v>
      </c>
      <c r="N374" s="113">
        <f>IF($H374="Modeled",
INDEX('Fuel Model - Summary'!S:S,MATCH('Fuel Selector'!$C374&amp;" - "&amp;$D374,'Fuel Model - Summary'!$C:$C,0)),0)</f>
        <v>18.499716293027259</v>
      </c>
      <c r="O374" s="113">
        <f>IF($H374="Modeled",
INDEX('Fuel Model - Summary'!T:T,MATCH('Fuel Selector'!$C374&amp;" - "&amp;$D374,'Fuel Model - Summary'!$C:$C,0)),0)</f>
        <v>16.523151304462672</v>
      </c>
      <c r="P374" s="113">
        <f>IF($H374="Modeled",
INDEX('Fuel Model - Summary'!U:U,MATCH('Fuel Selector'!$C374&amp;" - "&amp;$D374,'Fuel Model - Summary'!$C:$C,0)),0)</f>
        <v>14.34685733985849</v>
      </c>
      <c r="Q374" s="113">
        <f>IF($H374="Modeled",
INDEX('Fuel Model - Summary'!V:V,MATCH('Fuel Selector'!$C374&amp;" - "&amp;$D374,'Fuel Model - Summary'!$C:$C,0)),0)</f>
        <v>12.800948633155464</v>
      </c>
      <c r="R374" s="113">
        <f t="shared" si="195"/>
        <v>12.800948633155464</v>
      </c>
      <c r="S374" s="113">
        <f t="shared" si="195"/>
        <v>12.800948633155464</v>
      </c>
      <c r="T374" s="113">
        <f t="shared" si="195"/>
        <v>12.800948633155464</v>
      </c>
      <c r="U374" s="113">
        <f t="shared" si="195"/>
        <v>12.800948633155464</v>
      </c>
      <c r="V374" s="113">
        <f t="shared" si="195"/>
        <v>12.800948633155464</v>
      </c>
    </row>
    <row r="375" spans="1:22" x14ac:dyDescent="0.2">
      <c r="A375" s="29">
        <f t="shared" si="196"/>
        <v>17</v>
      </c>
      <c r="B375" s="334" t="str">
        <f t="shared" si="190"/>
        <v>Biodiesel (HtL blend) - Europe - RE cost - USD/GJ</v>
      </c>
      <c r="C375" t="str" cm="1">
        <f t="array" ref="C375">INDEX(list_AE_fuel,A375)</f>
        <v>Biodiesel (HtL blend)</v>
      </c>
      <c r="D375" s="411" t="str">
        <f t="shared" si="193"/>
        <v>Europe</v>
      </c>
      <c r="E375" t="str">
        <f t="shared" si="197"/>
        <v>Europe</v>
      </c>
      <c r="F375" t="str">
        <f t="shared" si="191"/>
        <v>RE cost - USD/GJ</v>
      </c>
      <c r="G375"/>
      <c r="H375" s="412" t="str" cm="1">
        <f t="array" ref="H375">INDEX('Configurator Specs.'!$CG$5:$CG$24,A375)</f>
        <v>Modeled</v>
      </c>
      <c r="I375" t="s">
        <v>324</v>
      </c>
      <c r="K375" s="113">
        <f>IF($H375="Modeled",
INDEX('Fuel Model - Summary'!P:P,MATCH('Fuel Selector'!$C375&amp;" - "&amp;$D375,'Fuel Model - Summary'!$C:$C,0)),0)</f>
        <v>0.3483585222155835</v>
      </c>
      <c r="L375" s="113">
        <f>IF($H375="Modeled",
INDEX('Fuel Model - Summary'!Q:Q,MATCH('Fuel Selector'!$C375&amp;" - "&amp;$D375,'Fuel Model - Summary'!$C:$C,0)),0)</f>
        <v>0.2818831716575862</v>
      </c>
      <c r="M375" s="113">
        <f>IF($H375="Modeled",
INDEX('Fuel Model - Summary'!R:R,MATCH('Fuel Selector'!$C375&amp;" - "&amp;$D375,'Fuel Model - Summary'!$C:$C,0)),0)</f>
        <v>0.22733595053008365</v>
      </c>
      <c r="N375" s="113">
        <f>IF($H375="Modeled",
INDEX('Fuel Model - Summary'!S:S,MATCH('Fuel Selector'!$C375&amp;" - "&amp;$D375,'Fuel Model - Summary'!$C:$C,0)),0)</f>
        <v>0.20434698017172673</v>
      </c>
      <c r="O375" s="113">
        <f>IF($H375="Modeled",
INDEX('Fuel Model - Summary'!T:T,MATCH('Fuel Selector'!$C375&amp;" - "&amp;$D375,'Fuel Model - Summary'!$C:$C,0)),0)</f>
        <v>0.19041543311896397</v>
      </c>
      <c r="P375" s="113">
        <f>IF($H375="Modeled",
INDEX('Fuel Model - Summary'!U:U,MATCH('Fuel Selector'!$C375&amp;" - "&amp;$D375,'Fuel Model - Summary'!$C:$C,0)),0)</f>
        <v>0.17566467053053397</v>
      </c>
      <c r="Q375" s="113">
        <f>IF($H375="Modeled",
INDEX('Fuel Model - Summary'!V:V,MATCH('Fuel Selector'!$C375&amp;" - "&amp;$D375,'Fuel Model - Summary'!$C:$C,0)),0)</f>
        <v>0.16480197079051581</v>
      </c>
      <c r="R375" s="113">
        <f t="shared" si="195"/>
        <v>0.16480197079051581</v>
      </c>
      <c r="S375" s="113">
        <f t="shared" si="195"/>
        <v>0.16480197079051581</v>
      </c>
      <c r="T375" s="113">
        <f t="shared" si="195"/>
        <v>0.16480197079051581</v>
      </c>
      <c r="U375" s="113">
        <f t="shared" si="195"/>
        <v>0.16480197079051581</v>
      </c>
      <c r="V375" s="113">
        <f t="shared" si="195"/>
        <v>0.16480197079051581</v>
      </c>
    </row>
    <row r="376" spans="1:22" x14ac:dyDescent="0.2">
      <c r="A376" s="29">
        <f t="shared" si="196"/>
        <v>18</v>
      </c>
      <c r="B376" s="334" t="str">
        <f t="shared" si="190"/>
        <v>Biodiesel (Pyr blend) - Europe - RE cost - USD/GJ</v>
      </c>
      <c r="C376" t="str" cm="1">
        <f t="array" ref="C376">INDEX(list_AE_fuel,A376)</f>
        <v>Biodiesel (Pyr blend)</v>
      </c>
      <c r="D376" s="411" t="str">
        <f t="shared" si="193"/>
        <v>Europe</v>
      </c>
      <c r="E376" t="str">
        <f t="shared" si="197"/>
        <v>Europe</v>
      </c>
      <c r="F376" t="str">
        <f t="shared" si="191"/>
        <v>RE cost - USD/GJ</v>
      </c>
      <c r="G376"/>
      <c r="H376" s="412" t="str" cm="1">
        <f t="array" ref="H376">INDEX('Configurator Specs.'!$CG$5:$CG$24,A376)</f>
        <v>Modeled</v>
      </c>
      <c r="I376" t="s">
        <v>324</v>
      </c>
      <c r="K376" s="113">
        <f>IF($H376="Modeled",
INDEX('Fuel Model - Summary'!P:P,MATCH('Fuel Selector'!$C376&amp;" - "&amp;$D376,'Fuel Model - Summary'!$C:$C,0)),0)</f>
        <v>0</v>
      </c>
      <c r="L376" s="113">
        <f>IF($H376="Modeled",
INDEX('Fuel Model - Summary'!Q:Q,MATCH('Fuel Selector'!$C376&amp;" - "&amp;$D376,'Fuel Model - Summary'!$C:$C,0)),0)</f>
        <v>0</v>
      </c>
      <c r="M376" s="113">
        <f>IF($H376="Modeled",
INDEX('Fuel Model - Summary'!R:R,MATCH('Fuel Selector'!$C376&amp;" - "&amp;$D376,'Fuel Model - Summary'!$C:$C,0)),0)</f>
        <v>0</v>
      </c>
      <c r="N376" s="113">
        <f>IF($H376="Modeled",
INDEX('Fuel Model - Summary'!S:S,MATCH('Fuel Selector'!$C376&amp;" - "&amp;$D376,'Fuel Model - Summary'!$C:$C,0)),0)</f>
        <v>0</v>
      </c>
      <c r="O376" s="113">
        <f>IF($H376="Modeled",
INDEX('Fuel Model - Summary'!T:T,MATCH('Fuel Selector'!$C376&amp;" - "&amp;$D376,'Fuel Model - Summary'!$C:$C,0)),0)</f>
        <v>0</v>
      </c>
      <c r="P376" s="113">
        <f>IF($H376="Modeled",
INDEX('Fuel Model - Summary'!U:U,MATCH('Fuel Selector'!$C376&amp;" - "&amp;$D376,'Fuel Model - Summary'!$C:$C,0)),0)</f>
        <v>0</v>
      </c>
      <c r="Q376" s="113">
        <f>IF($H376="Modeled",
INDEX('Fuel Model - Summary'!V:V,MATCH('Fuel Selector'!$C376&amp;" - "&amp;$D376,'Fuel Model - Summary'!$C:$C,0)),0)</f>
        <v>0</v>
      </c>
      <c r="R376" s="113">
        <f t="shared" si="195"/>
        <v>0</v>
      </c>
      <c r="S376" s="113">
        <f t="shared" si="195"/>
        <v>0</v>
      </c>
      <c r="T376" s="113">
        <f t="shared" si="195"/>
        <v>0</v>
      </c>
      <c r="U376" s="113">
        <f t="shared" si="195"/>
        <v>0</v>
      </c>
      <c r="V376" s="113">
        <f t="shared" si="195"/>
        <v>0</v>
      </c>
    </row>
    <row r="377" spans="1:22" x14ac:dyDescent="0.2">
      <c r="A377" s="29">
        <f t="shared" si="196"/>
        <v>19</v>
      </c>
      <c r="B377" s="334" t="str">
        <f t="shared" si="190"/>
        <v>Blue hydrogen (liquid) - Europe - RE cost - USD/GJ</v>
      </c>
      <c r="C377" t="str" cm="1">
        <f t="array" ref="C377">INDEX(list_AE_fuel,A377)</f>
        <v>Blue hydrogen (liquid)</v>
      </c>
      <c r="D377" s="411" t="str">
        <f t="shared" si="193"/>
        <v>Europe</v>
      </c>
      <c r="E377" t="str">
        <f t="shared" si="197"/>
        <v>Europe</v>
      </c>
      <c r="F377" t="str">
        <f t="shared" si="191"/>
        <v>RE cost - USD/GJ</v>
      </c>
      <c r="G377"/>
      <c r="H377" s="412" t="str" cm="1">
        <f t="array" ref="H377">INDEX('Configurator Specs.'!$CG$5:$CG$24,A377)</f>
        <v>Modeled</v>
      </c>
      <c r="I377" t="s">
        <v>324</v>
      </c>
      <c r="K377" s="113">
        <f>IF($H377="Modeled",
INDEX('Fuel Model - Summary'!P:P,MATCH('Fuel Selector'!$C377&amp;" - "&amp;$D377,'Fuel Model - Summary'!$C:$C,0)),0)</f>
        <v>0</v>
      </c>
      <c r="L377" s="113">
        <f>IF($H377="Modeled",
INDEX('Fuel Model - Summary'!Q:Q,MATCH('Fuel Selector'!$C377&amp;" - "&amp;$D377,'Fuel Model - Summary'!$C:$C,0)),0)</f>
        <v>0</v>
      </c>
      <c r="M377" s="113">
        <f>IF($H377="Modeled",
INDEX('Fuel Model - Summary'!R:R,MATCH('Fuel Selector'!$C377&amp;" - "&amp;$D377,'Fuel Model - Summary'!$C:$C,0)),0)</f>
        <v>0</v>
      </c>
      <c r="N377" s="113">
        <f>IF($H377="Modeled",
INDEX('Fuel Model - Summary'!S:S,MATCH('Fuel Selector'!$C377&amp;" - "&amp;$D377,'Fuel Model - Summary'!$C:$C,0)),0)</f>
        <v>0</v>
      </c>
      <c r="O377" s="113">
        <f>IF($H377="Modeled",
INDEX('Fuel Model - Summary'!T:T,MATCH('Fuel Selector'!$C377&amp;" - "&amp;$D377,'Fuel Model - Summary'!$C:$C,0)),0)</f>
        <v>0</v>
      </c>
      <c r="P377" s="113">
        <f>IF($H377="Modeled",
INDEX('Fuel Model - Summary'!U:U,MATCH('Fuel Selector'!$C377&amp;" - "&amp;$D377,'Fuel Model - Summary'!$C:$C,0)),0)</f>
        <v>0</v>
      </c>
      <c r="Q377" s="113">
        <f>IF($H377="Modeled",
INDEX('Fuel Model - Summary'!V:V,MATCH('Fuel Selector'!$C377&amp;" - "&amp;$D377,'Fuel Model - Summary'!$C:$C,0)),0)</f>
        <v>0</v>
      </c>
      <c r="R377" s="113">
        <f t="shared" si="195"/>
        <v>0</v>
      </c>
      <c r="S377" s="113">
        <f t="shared" si="195"/>
        <v>0</v>
      </c>
      <c r="T377" s="113">
        <f t="shared" si="195"/>
        <v>0</v>
      </c>
      <c r="U377" s="113">
        <f t="shared" si="195"/>
        <v>0</v>
      </c>
      <c r="V377" s="113">
        <f t="shared" si="195"/>
        <v>0</v>
      </c>
    </row>
    <row r="378" spans="1:22" x14ac:dyDescent="0.2">
      <c r="A378" s="29">
        <f t="shared" si="196"/>
        <v>20</v>
      </c>
      <c r="B378" s="334" t="str">
        <f t="shared" si="190"/>
        <v>e-Hydrogen (liquid) - Europe - RE cost - USD/GJ</v>
      </c>
      <c r="C378" t="str" cm="1">
        <f t="array" ref="C378">INDEX(list_AE_fuel,A378)</f>
        <v>e-Hydrogen (liquid)</v>
      </c>
      <c r="D378" s="411" t="str">
        <f t="shared" si="193"/>
        <v>Europe</v>
      </c>
      <c r="E378" t="str">
        <f t="shared" si="197"/>
        <v>Europe</v>
      </c>
      <c r="F378" t="str">
        <f t="shared" si="191"/>
        <v>RE cost - USD/GJ</v>
      </c>
      <c r="G378"/>
      <c r="H378" s="412" t="str" cm="1">
        <f t="array" ref="H378">INDEX('Configurator Specs.'!$CG$5:$CG$24,A378)</f>
        <v>Modeled</v>
      </c>
      <c r="I378" t="s">
        <v>324</v>
      </c>
      <c r="K378" s="113">
        <f>IF($H378="Modeled",
INDEX('Fuel Model - Summary'!P:P,MATCH('Fuel Selector'!$C378&amp;" - "&amp;$D378,'Fuel Model - Summary'!$C:$C,0)),0)</f>
        <v>28.756499560979918</v>
      </c>
      <c r="L378" s="113">
        <f>IF($H378="Modeled",
INDEX('Fuel Model - Summary'!Q:Q,MATCH('Fuel Selector'!$C378&amp;" - "&amp;$D378,'Fuel Model - Summary'!$C:$C,0)),0)</f>
        <v>23.175128231923956</v>
      </c>
      <c r="M378" s="113">
        <f>IF($H378="Modeled",
INDEX('Fuel Model - Summary'!R:R,MATCH('Fuel Selector'!$C378&amp;" - "&amp;$D378,'Fuel Model - Summary'!$C:$C,0)),0)</f>
        <v>18.545501555827101</v>
      </c>
      <c r="N378" s="113">
        <f>IF($H378="Modeled",
INDEX('Fuel Model - Summary'!S:S,MATCH('Fuel Selector'!$C378&amp;" - "&amp;$D378,'Fuel Model - Summary'!$C:$C,0)),0)</f>
        <v>16.219630965498869</v>
      </c>
      <c r="O378" s="113">
        <f>IF($H378="Modeled",
INDEX('Fuel Model - Summary'!T:T,MATCH('Fuel Selector'!$C378&amp;" - "&amp;$D378,'Fuel Model - Summary'!$C:$C,0)),0)</f>
        <v>14.594771430601266</v>
      </c>
      <c r="P378" s="113">
        <f>IF($H378="Modeled",
INDEX('Fuel Model - Summary'!U:U,MATCH('Fuel Selector'!$C378&amp;" - "&amp;$D378,'Fuel Model - Summary'!$C:$C,0)),0)</f>
        <v>12.805355949570419</v>
      </c>
      <c r="Q378" s="113">
        <f>IF($H378="Modeled",
INDEX('Fuel Model - Summary'!V:V,MATCH('Fuel Selector'!$C378&amp;" - "&amp;$D378,'Fuel Model - Summary'!$C:$C,0)),0)</f>
        <v>11.532488848659815</v>
      </c>
      <c r="R378" s="113">
        <f t="shared" si="195"/>
        <v>11.532488848659815</v>
      </c>
      <c r="S378" s="113">
        <f t="shared" si="195"/>
        <v>11.532488848659815</v>
      </c>
      <c r="T378" s="113">
        <f t="shared" si="195"/>
        <v>11.532488848659815</v>
      </c>
      <c r="U378" s="113">
        <f t="shared" si="195"/>
        <v>11.532488848659815</v>
      </c>
      <c r="V378" s="113">
        <f t="shared" si="195"/>
        <v>11.532488848659815</v>
      </c>
    </row>
    <row r="379" spans="1:22" x14ac:dyDescent="0.2">
      <c r="B379"/>
      <c r="C379"/>
      <c r="D379" s="411"/>
      <c r="E379"/>
      <c r="F379"/>
      <c r="G379"/>
      <c r="H379" s="48"/>
      <c r="I379"/>
    </row>
    <row r="380" spans="1:22" x14ac:dyDescent="0.2">
      <c r="A380" s="29">
        <v>1</v>
      </c>
      <c r="B380" s="334" t="str">
        <f t="shared" ref="B380:B399" si="198">_xlfn.TEXTJOIN(keydelim,TRUE,C380,E380:F380)</f>
        <v>LSFO - Middle East - RE cost - USD/GJ</v>
      </c>
      <c r="C380" t="str" cm="1">
        <f t="array" ref="C380">INDEX(list_AE_fuel,A380)</f>
        <v>LSFO</v>
      </c>
      <c r="D380" s="411" t="str">
        <f>IF(E380="Africa&amp;Other","Africa",E380)</f>
        <v>Middle East</v>
      </c>
      <c r="E380" t="s">
        <v>197</v>
      </c>
      <c r="F380" t="str">
        <f t="shared" ref="F380:F399" si="199">"RE cost"  &amp;keydelim &amp;I380</f>
        <v>RE cost - USD/GJ</v>
      </c>
      <c r="G380" s="128"/>
      <c r="H380" s="412" t="str" cm="1">
        <f t="array" ref="H380">INDEX('Configurator Specs.'!$CG$5:$CG$24,A380)</f>
        <v>External</v>
      </c>
      <c r="I380" t="s">
        <v>324</v>
      </c>
      <c r="K380" s="113">
        <f>IF($H380="Modeled",
INDEX('Fuel Model - Summary'!P:P,MATCH('Fuel Selector'!$C380&amp;" - "&amp;$D380,'Fuel Model - Summary'!$C:$C,0)),0)</f>
        <v>0</v>
      </c>
      <c r="L380" s="113">
        <f>IF($H380="Modeled",
INDEX('Fuel Model - Summary'!Q:Q,MATCH('Fuel Selector'!$C380&amp;" - "&amp;$D380,'Fuel Model - Summary'!$C:$C,0)),0)</f>
        <v>0</v>
      </c>
      <c r="M380" s="113">
        <f>IF($H380="Modeled",
INDEX('Fuel Model - Summary'!R:R,MATCH('Fuel Selector'!$C380&amp;" - "&amp;$D380,'Fuel Model - Summary'!$C:$C,0)),0)</f>
        <v>0</v>
      </c>
      <c r="N380" s="113">
        <f>IF($H380="Modeled",
INDEX('Fuel Model - Summary'!S:S,MATCH('Fuel Selector'!$C380&amp;" - "&amp;$D380,'Fuel Model - Summary'!$C:$C,0)),0)</f>
        <v>0</v>
      </c>
      <c r="O380" s="113">
        <f>IF($H380="Modeled",
INDEX('Fuel Model - Summary'!T:T,MATCH('Fuel Selector'!$C380&amp;" - "&amp;$D380,'Fuel Model - Summary'!$C:$C,0)),0)</f>
        <v>0</v>
      </c>
      <c r="P380" s="113">
        <f>IF($H380="Modeled",
INDEX('Fuel Model - Summary'!U:U,MATCH('Fuel Selector'!$C380&amp;" - "&amp;$D380,'Fuel Model - Summary'!$C:$C,0)),0)</f>
        <v>0</v>
      </c>
      <c r="Q380" s="113">
        <f>IF($H380="Modeled",
INDEX('Fuel Model - Summary'!V:V,MATCH('Fuel Selector'!$C380&amp;" - "&amp;$D380,'Fuel Model - Summary'!$C:$C,0)),0)</f>
        <v>0</v>
      </c>
      <c r="R380" s="113">
        <f>Q380</f>
        <v>0</v>
      </c>
      <c r="S380" s="113">
        <f t="shared" ref="S380:V380" si="200">R380</f>
        <v>0</v>
      </c>
      <c r="T380" s="113">
        <f t="shared" si="200"/>
        <v>0</v>
      </c>
      <c r="U380" s="113">
        <f t="shared" si="200"/>
        <v>0</v>
      </c>
      <c r="V380" s="113">
        <f t="shared" si="200"/>
        <v>0</v>
      </c>
    </row>
    <row r="381" spans="1:22" x14ac:dyDescent="0.2">
      <c r="A381" s="29">
        <f>A380+1</f>
        <v>2</v>
      </c>
      <c r="B381" s="334" t="str">
        <f t="shared" si="198"/>
        <v>LNG - Middle East - RE cost - USD/GJ</v>
      </c>
      <c r="C381" t="str" cm="1">
        <f t="array" ref="C381">INDEX(list_AE_fuel,A381)</f>
        <v>LNG</v>
      </c>
      <c r="D381" s="411" t="str">
        <f t="shared" ref="D381:D399" si="201">IF(E381="Africa&amp;Other","Africa",E381)</f>
        <v>Middle East</v>
      </c>
      <c r="E381" t="str">
        <f t="shared" ref="E381:E390" si="202">E380</f>
        <v>Middle East</v>
      </c>
      <c r="F381" t="str">
        <f t="shared" si="199"/>
        <v>RE cost - USD/GJ</v>
      </c>
      <c r="G381" s="128"/>
      <c r="H381" s="412" t="str" cm="1">
        <f t="array" ref="H381">INDEX('Configurator Specs.'!$CG$5:$CG$24,A381)</f>
        <v>Modeled</v>
      </c>
      <c r="I381" t="s">
        <v>324</v>
      </c>
      <c r="K381" s="113">
        <f>IF($H381="Modeled",
INDEX('Fuel Model - Summary'!P:P,MATCH('Fuel Selector'!$C381&amp;" - "&amp;$D381,'Fuel Model - Summary'!$C:$C,0)),0)</f>
        <v>0</v>
      </c>
      <c r="L381" s="113">
        <f>IF($H381="Modeled",
INDEX('Fuel Model - Summary'!Q:Q,MATCH('Fuel Selector'!$C381&amp;" - "&amp;$D381,'Fuel Model - Summary'!$C:$C,0)),0)</f>
        <v>0</v>
      </c>
      <c r="M381" s="113">
        <f>IF($H381="Modeled",
INDEX('Fuel Model - Summary'!R:R,MATCH('Fuel Selector'!$C381&amp;" - "&amp;$D381,'Fuel Model - Summary'!$C:$C,0)),0)</f>
        <v>0</v>
      </c>
      <c r="N381" s="113">
        <f>IF($H381="Modeled",
INDEX('Fuel Model - Summary'!S:S,MATCH('Fuel Selector'!$C381&amp;" - "&amp;$D381,'Fuel Model - Summary'!$C:$C,0)),0)</f>
        <v>0</v>
      </c>
      <c r="O381" s="113">
        <f>IF($H381="Modeled",
INDEX('Fuel Model - Summary'!T:T,MATCH('Fuel Selector'!$C381&amp;" - "&amp;$D381,'Fuel Model - Summary'!$C:$C,0)),0)</f>
        <v>0</v>
      </c>
      <c r="P381" s="113">
        <f>IF($H381="Modeled",
INDEX('Fuel Model - Summary'!U:U,MATCH('Fuel Selector'!$C381&amp;" - "&amp;$D381,'Fuel Model - Summary'!$C:$C,0)),0)</f>
        <v>0</v>
      </c>
      <c r="Q381" s="113">
        <f>IF($H381="Modeled",
INDEX('Fuel Model - Summary'!V:V,MATCH('Fuel Selector'!$C381&amp;" - "&amp;$D381,'Fuel Model - Summary'!$C:$C,0)),0)</f>
        <v>0</v>
      </c>
      <c r="R381" s="113">
        <f t="shared" ref="R381:V381" si="203">Q381</f>
        <v>0</v>
      </c>
      <c r="S381" s="113">
        <f t="shared" si="203"/>
        <v>0</v>
      </c>
      <c r="T381" s="113">
        <f t="shared" si="203"/>
        <v>0</v>
      </c>
      <c r="U381" s="113">
        <f t="shared" si="203"/>
        <v>0</v>
      </c>
      <c r="V381" s="113">
        <f t="shared" si="203"/>
        <v>0</v>
      </c>
    </row>
    <row r="382" spans="1:22" x14ac:dyDescent="0.2">
      <c r="A382" s="29">
        <f t="shared" ref="A382:A399" si="204">A381+1</f>
        <v>3</v>
      </c>
      <c r="B382" s="334" t="str">
        <f t="shared" si="198"/>
        <v>LPG - Middle East - RE cost - USD/GJ</v>
      </c>
      <c r="C382" t="str" cm="1">
        <f t="array" ref="C382">INDEX(list_AE_fuel,A382)</f>
        <v>LPG</v>
      </c>
      <c r="D382" s="411" t="str">
        <f t="shared" si="201"/>
        <v>Middle East</v>
      </c>
      <c r="E382" t="str">
        <f t="shared" si="202"/>
        <v>Middle East</v>
      </c>
      <c r="F382" t="str">
        <f t="shared" si="199"/>
        <v>RE cost - USD/GJ</v>
      </c>
      <c r="G382" s="128"/>
      <c r="H382" s="412" t="str" cm="1">
        <f t="array" ref="H382">INDEX('Configurator Specs.'!$CG$5:$CG$24,A382)</f>
        <v>External</v>
      </c>
      <c r="I382" t="s">
        <v>324</v>
      </c>
      <c r="K382" s="113">
        <f>IF($H382="Modeled",
INDEX('Fuel Model - Summary'!P:P,MATCH('Fuel Selector'!$C382&amp;" - "&amp;$D382,'Fuel Model - Summary'!$C:$C,0)),0)</f>
        <v>0</v>
      </c>
      <c r="L382" s="113">
        <f>IF($H382="Modeled",
INDEX('Fuel Model - Summary'!Q:Q,MATCH('Fuel Selector'!$C382&amp;" - "&amp;$D382,'Fuel Model - Summary'!$C:$C,0)),0)</f>
        <v>0</v>
      </c>
      <c r="M382" s="113">
        <f>IF($H382="Modeled",
INDEX('Fuel Model - Summary'!R:R,MATCH('Fuel Selector'!$C382&amp;" - "&amp;$D382,'Fuel Model - Summary'!$C:$C,0)),0)</f>
        <v>0</v>
      </c>
      <c r="N382" s="113">
        <f>IF($H382="Modeled",
INDEX('Fuel Model - Summary'!S:S,MATCH('Fuel Selector'!$C382&amp;" - "&amp;$D382,'Fuel Model - Summary'!$C:$C,0)),0)</f>
        <v>0</v>
      </c>
      <c r="O382" s="113">
        <f>IF($H382="Modeled",
INDEX('Fuel Model - Summary'!T:T,MATCH('Fuel Selector'!$C382&amp;" - "&amp;$D382,'Fuel Model - Summary'!$C:$C,0)),0)</f>
        <v>0</v>
      </c>
      <c r="P382" s="113">
        <f>IF($H382="Modeled",
INDEX('Fuel Model - Summary'!U:U,MATCH('Fuel Selector'!$C382&amp;" - "&amp;$D382,'Fuel Model - Summary'!$C:$C,0)),0)</f>
        <v>0</v>
      </c>
      <c r="Q382" s="113">
        <f>IF($H382="Modeled",
INDEX('Fuel Model - Summary'!V:V,MATCH('Fuel Selector'!$C382&amp;" - "&amp;$D382,'Fuel Model - Summary'!$C:$C,0)),0)</f>
        <v>0</v>
      </c>
      <c r="R382" s="113">
        <f t="shared" ref="R382:V382" si="205">Q382</f>
        <v>0</v>
      </c>
      <c r="S382" s="113">
        <f t="shared" si="205"/>
        <v>0</v>
      </c>
      <c r="T382" s="113">
        <f t="shared" si="205"/>
        <v>0</v>
      </c>
      <c r="U382" s="113">
        <f t="shared" si="205"/>
        <v>0</v>
      </c>
      <c r="V382" s="113">
        <f t="shared" si="205"/>
        <v>0</v>
      </c>
    </row>
    <row r="383" spans="1:22" x14ac:dyDescent="0.2">
      <c r="A383" s="29">
        <f t="shared" si="204"/>
        <v>4</v>
      </c>
      <c r="B383" s="334" t="str">
        <f t="shared" si="198"/>
        <v>Electricity - Middle East - RE cost - USD/GJ</v>
      </c>
      <c r="C383" t="str" cm="1">
        <f t="array" ref="C383">INDEX(list_AE_fuel,A383)</f>
        <v>Electricity</v>
      </c>
      <c r="D383" s="411" t="str">
        <f t="shared" si="201"/>
        <v>Middle East</v>
      </c>
      <c r="E383" t="str">
        <f t="shared" si="202"/>
        <v>Middle East</v>
      </c>
      <c r="F383" t="str">
        <f t="shared" si="199"/>
        <v>RE cost - USD/GJ</v>
      </c>
      <c r="G383" s="128"/>
      <c r="H383" s="412" t="str" cm="1">
        <f t="array" ref="H383">INDEX('Configurator Specs.'!$CG$5:$CG$24,A383)</f>
        <v>External</v>
      </c>
      <c r="I383" t="s">
        <v>324</v>
      </c>
      <c r="K383" s="113">
        <f>IF($H383="Modeled",
INDEX('Fuel Model - Summary'!P:P,MATCH('Fuel Selector'!$C383&amp;" - "&amp;$D383,'Fuel Model - Summary'!$C:$C,0)),0)</f>
        <v>0</v>
      </c>
      <c r="L383" s="113">
        <f>IF($H383="Modeled",
INDEX('Fuel Model - Summary'!Q:Q,MATCH('Fuel Selector'!$C383&amp;" - "&amp;$D383,'Fuel Model - Summary'!$C:$C,0)),0)</f>
        <v>0</v>
      </c>
      <c r="M383" s="113">
        <f>IF($H383="Modeled",
INDEX('Fuel Model - Summary'!R:R,MATCH('Fuel Selector'!$C383&amp;" - "&amp;$D383,'Fuel Model - Summary'!$C:$C,0)),0)</f>
        <v>0</v>
      </c>
      <c r="N383" s="113">
        <f>IF($H383="Modeled",
INDEX('Fuel Model - Summary'!S:S,MATCH('Fuel Selector'!$C383&amp;" - "&amp;$D383,'Fuel Model - Summary'!$C:$C,0)),0)</f>
        <v>0</v>
      </c>
      <c r="O383" s="113">
        <f>IF($H383="Modeled",
INDEX('Fuel Model - Summary'!T:T,MATCH('Fuel Selector'!$C383&amp;" - "&amp;$D383,'Fuel Model - Summary'!$C:$C,0)),0)</f>
        <v>0</v>
      </c>
      <c r="P383" s="113">
        <f>IF($H383="Modeled",
INDEX('Fuel Model - Summary'!U:U,MATCH('Fuel Selector'!$C383&amp;" - "&amp;$D383,'Fuel Model - Summary'!$C:$C,0)),0)</f>
        <v>0</v>
      </c>
      <c r="Q383" s="113">
        <f>IF($H383="Modeled",
INDEX('Fuel Model - Summary'!V:V,MATCH('Fuel Selector'!$C383&amp;" - "&amp;$D383,'Fuel Model - Summary'!$C:$C,0)),0)</f>
        <v>0</v>
      </c>
      <c r="R383" s="113">
        <f t="shared" ref="R383:V383" si="206">Q383</f>
        <v>0</v>
      </c>
      <c r="S383" s="113">
        <f t="shared" si="206"/>
        <v>0</v>
      </c>
      <c r="T383" s="113">
        <f t="shared" si="206"/>
        <v>0</v>
      </c>
      <c r="U383" s="113">
        <f t="shared" si="206"/>
        <v>0</v>
      </c>
      <c r="V383" s="113">
        <f t="shared" si="206"/>
        <v>0</v>
      </c>
    </row>
    <row r="384" spans="1:22" x14ac:dyDescent="0.2">
      <c r="A384" s="29">
        <f t="shared" si="204"/>
        <v>5</v>
      </c>
      <c r="B384" s="334" t="str">
        <f t="shared" si="198"/>
        <v>e-Ammonia - Middle East - RE cost - USD/GJ</v>
      </c>
      <c r="C384" t="str" cm="1">
        <f t="array" ref="C384">INDEX(list_AE_fuel,A384)</f>
        <v>e-Ammonia</v>
      </c>
      <c r="D384" s="411" t="str">
        <f t="shared" si="201"/>
        <v>Middle East</v>
      </c>
      <c r="E384" t="str">
        <f t="shared" si="202"/>
        <v>Middle East</v>
      </c>
      <c r="F384" t="str">
        <f t="shared" si="199"/>
        <v>RE cost - USD/GJ</v>
      </c>
      <c r="G384" s="226"/>
      <c r="H384" s="412" t="str" cm="1">
        <f t="array" ref="H384">INDEX('Configurator Specs.'!$CG$5:$CG$24,A384)</f>
        <v>Modeled</v>
      </c>
      <c r="I384" t="s">
        <v>324</v>
      </c>
      <c r="K384" s="113">
        <f>IF($H384="Modeled",
INDEX('Fuel Model - Summary'!P:P,MATCH('Fuel Selector'!$C384&amp;" - "&amp;$D384,'Fuel Model - Summary'!$C:$C,0)),0)</f>
        <v>22.333994433570712</v>
      </c>
      <c r="L384" s="113">
        <f>IF($H384="Modeled",
INDEX('Fuel Model - Summary'!Q:Q,MATCH('Fuel Selector'!$C384&amp;" - "&amp;$D384,'Fuel Model - Summary'!$C:$C,0)),0)</f>
        <v>17.899909500170722</v>
      </c>
      <c r="M384" s="113">
        <f>IF($H384="Modeled",
INDEX('Fuel Model - Summary'!R:R,MATCH('Fuel Selector'!$C384&amp;" - "&amp;$D384,'Fuel Model - Summary'!$C:$C,0)),0)</f>
        <v>14.837380854374343</v>
      </c>
      <c r="N384" s="113">
        <f>IF($H384="Modeled",
INDEX('Fuel Model - Summary'!S:S,MATCH('Fuel Selector'!$C384&amp;" - "&amp;$D384,'Fuel Model - Summary'!$C:$C,0)),0)</f>
        <v>12.394071440291398</v>
      </c>
      <c r="O384" s="113">
        <f>IF($H384="Modeled",
INDEX('Fuel Model - Summary'!T:T,MATCH('Fuel Selector'!$C384&amp;" - "&amp;$D384,'Fuel Model - Summary'!$C:$C,0)),0)</f>
        <v>10.932890214945497</v>
      </c>
      <c r="P384" s="113">
        <f>IF($H384="Modeled",
INDEX('Fuel Model - Summary'!U:U,MATCH('Fuel Selector'!$C384&amp;" - "&amp;$D384,'Fuel Model - Summary'!$C:$C,0)),0)</f>
        <v>9.1348090015597911</v>
      </c>
      <c r="Q384" s="113">
        <f>IF($H384="Modeled",
INDEX('Fuel Model - Summary'!V:V,MATCH('Fuel Selector'!$C384&amp;" - "&amp;$D384,'Fuel Model - Summary'!$C:$C,0)),0)</f>
        <v>8.1669732559679549</v>
      </c>
      <c r="R384" s="113">
        <f t="shared" ref="R384:V384" si="207">Q384</f>
        <v>8.1669732559679549</v>
      </c>
      <c r="S384" s="113">
        <f t="shared" si="207"/>
        <v>8.1669732559679549</v>
      </c>
      <c r="T384" s="113">
        <f t="shared" si="207"/>
        <v>8.1669732559679549</v>
      </c>
      <c r="U384" s="113">
        <f t="shared" si="207"/>
        <v>8.1669732559679549</v>
      </c>
      <c r="V384" s="113">
        <f t="shared" si="207"/>
        <v>8.1669732559679549</v>
      </c>
    </row>
    <row r="385" spans="1:22" x14ac:dyDescent="0.2">
      <c r="A385" s="29">
        <f t="shared" si="204"/>
        <v>6</v>
      </c>
      <c r="B385" s="334" t="str">
        <f t="shared" si="198"/>
        <v>Blue ammonia - Middle East - RE cost - USD/GJ</v>
      </c>
      <c r="C385" t="str" cm="1">
        <f t="array" ref="C385">INDEX(list_AE_fuel,A385)</f>
        <v>Blue ammonia</v>
      </c>
      <c r="D385" s="411" t="str">
        <f t="shared" si="201"/>
        <v>Middle East</v>
      </c>
      <c r="E385" t="str">
        <f t="shared" si="202"/>
        <v>Middle East</v>
      </c>
      <c r="F385" t="str">
        <f t="shared" si="199"/>
        <v>RE cost - USD/GJ</v>
      </c>
      <c r="G385" s="226"/>
      <c r="H385" s="412" t="str" cm="1">
        <f t="array" ref="H385">INDEX('Configurator Specs.'!$CG$5:$CG$24,A385)</f>
        <v>Modeled</v>
      </c>
      <c r="I385" t="s">
        <v>324</v>
      </c>
      <c r="K385" s="113">
        <f>IF($H385="Modeled",
INDEX('Fuel Model - Summary'!P:P,MATCH('Fuel Selector'!$C385&amp;" - "&amp;$D385,'Fuel Model - Summary'!$C:$C,0)),0)</f>
        <v>0</v>
      </c>
      <c r="L385" s="113">
        <f>IF($H385="Modeled",
INDEX('Fuel Model - Summary'!Q:Q,MATCH('Fuel Selector'!$C385&amp;" - "&amp;$D385,'Fuel Model - Summary'!$C:$C,0)),0)</f>
        <v>0</v>
      </c>
      <c r="M385" s="113">
        <f>IF($H385="Modeled",
INDEX('Fuel Model - Summary'!R:R,MATCH('Fuel Selector'!$C385&amp;" - "&amp;$D385,'Fuel Model - Summary'!$C:$C,0)),0)</f>
        <v>0</v>
      </c>
      <c r="N385" s="113">
        <f>IF($H385="Modeled",
INDEX('Fuel Model - Summary'!S:S,MATCH('Fuel Selector'!$C385&amp;" - "&amp;$D385,'Fuel Model - Summary'!$C:$C,0)),0)</f>
        <v>0</v>
      </c>
      <c r="O385" s="113">
        <f>IF($H385="Modeled",
INDEX('Fuel Model - Summary'!T:T,MATCH('Fuel Selector'!$C385&amp;" - "&amp;$D385,'Fuel Model - Summary'!$C:$C,0)),0)</f>
        <v>0</v>
      </c>
      <c r="P385" s="113">
        <f>IF($H385="Modeled",
INDEX('Fuel Model - Summary'!U:U,MATCH('Fuel Selector'!$C385&amp;" - "&amp;$D385,'Fuel Model - Summary'!$C:$C,0)),0)</f>
        <v>0</v>
      </c>
      <c r="Q385" s="113">
        <f>IF($H385="Modeled",
INDEX('Fuel Model - Summary'!V:V,MATCH('Fuel Selector'!$C385&amp;" - "&amp;$D385,'Fuel Model - Summary'!$C:$C,0)),0)</f>
        <v>0</v>
      </c>
      <c r="R385" s="113">
        <f t="shared" ref="R385:V385" si="208">Q385</f>
        <v>0</v>
      </c>
      <c r="S385" s="113">
        <f t="shared" si="208"/>
        <v>0</v>
      </c>
      <c r="T385" s="113">
        <f t="shared" si="208"/>
        <v>0</v>
      </c>
      <c r="U385" s="113">
        <f t="shared" si="208"/>
        <v>0</v>
      </c>
      <c r="V385" s="113">
        <f t="shared" si="208"/>
        <v>0</v>
      </c>
    </row>
    <row r="386" spans="1:22" x14ac:dyDescent="0.2">
      <c r="A386" s="29">
        <f t="shared" si="204"/>
        <v>7</v>
      </c>
      <c r="B386" s="334" t="str">
        <f t="shared" si="198"/>
        <v>Biomethane - Middle East - RE cost - USD/GJ</v>
      </c>
      <c r="C386" t="str" cm="1">
        <f t="array" ref="C386">INDEX(list_AE_fuel,A386)</f>
        <v>Biomethane</v>
      </c>
      <c r="D386" s="411" t="str">
        <f t="shared" si="201"/>
        <v>Middle East</v>
      </c>
      <c r="E386" t="str">
        <f t="shared" si="202"/>
        <v>Middle East</v>
      </c>
      <c r="F386" t="str">
        <f t="shared" si="199"/>
        <v>RE cost - USD/GJ</v>
      </c>
      <c r="G386"/>
      <c r="H386" s="412" t="str" cm="1">
        <f t="array" ref="H386">INDEX('Configurator Specs.'!$CG$5:$CG$24,A386)</f>
        <v>Modeled</v>
      </c>
      <c r="I386" t="s">
        <v>324</v>
      </c>
      <c r="K386" s="113">
        <f>IF($H386="Modeled",
INDEX('Fuel Model - Summary'!P:P,MATCH('Fuel Selector'!$C386&amp;" - "&amp;$D386,'Fuel Model - Summary'!$C:$C,0)),0)</f>
        <v>0</v>
      </c>
      <c r="L386" s="113">
        <f>IF($H386="Modeled",
INDEX('Fuel Model - Summary'!Q:Q,MATCH('Fuel Selector'!$C386&amp;" - "&amp;$D386,'Fuel Model - Summary'!$C:$C,0)),0)</f>
        <v>0</v>
      </c>
      <c r="M386" s="113">
        <f>IF($H386="Modeled",
INDEX('Fuel Model - Summary'!R:R,MATCH('Fuel Selector'!$C386&amp;" - "&amp;$D386,'Fuel Model - Summary'!$C:$C,0)),0)</f>
        <v>0</v>
      </c>
      <c r="N386" s="113">
        <f>IF($H386="Modeled",
INDEX('Fuel Model - Summary'!S:S,MATCH('Fuel Selector'!$C386&amp;" - "&amp;$D386,'Fuel Model - Summary'!$C:$C,0)),0)</f>
        <v>0</v>
      </c>
      <c r="O386" s="113">
        <f>IF($H386="Modeled",
INDEX('Fuel Model - Summary'!T:T,MATCH('Fuel Selector'!$C386&amp;" - "&amp;$D386,'Fuel Model - Summary'!$C:$C,0)),0)</f>
        <v>0</v>
      </c>
      <c r="P386" s="113">
        <f>IF($H386="Modeled",
INDEX('Fuel Model - Summary'!U:U,MATCH('Fuel Selector'!$C386&amp;" - "&amp;$D386,'Fuel Model - Summary'!$C:$C,0)),0)</f>
        <v>0</v>
      </c>
      <c r="Q386" s="113">
        <f>IF($H386="Modeled",
INDEX('Fuel Model - Summary'!V:V,MATCH('Fuel Selector'!$C386&amp;" - "&amp;$D386,'Fuel Model - Summary'!$C:$C,0)),0)</f>
        <v>0</v>
      </c>
      <c r="R386" s="113">
        <f t="shared" ref="R386:V386" si="209">Q386</f>
        <v>0</v>
      </c>
      <c r="S386" s="113">
        <f t="shared" si="209"/>
        <v>0</v>
      </c>
      <c r="T386" s="113">
        <f t="shared" si="209"/>
        <v>0</v>
      </c>
      <c r="U386" s="113">
        <f t="shared" si="209"/>
        <v>0</v>
      </c>
      <c r="V386" s="113">
        <f t="shared" si="209"/>
        <v>0</v>
      </c>
    </row>
    <row r="387" spans="1:22" x14ac:dyDescent="0.2">
      <c r="A387" s="29">
        <f t="shared" si="204"/>
        <v>8</v>
      </c>
      <c r="B387" s="334" t="str">
        <f t="shared" si="198"/>
        <v>e-Methane (DAC) - Middle East - RE cost - USD/GJ</v>
      </c>
      <c r="C387" t="str" cm="1">
        <f t="array" ref="C387">INDEX(list_AE_fuel,A387)</f>
        <v>e-Methane (DAC)</v>
      </c>
      <c r="D387" s="411" t="str">
        <f t="shared" si="201"/>
        <v>Middle East</v>
      </c>
      <c r="E387" t="str">
        <f t="shared" si="202"/>
        <v>Middle East</v>
      </c>
      <c r="F387" t="str">
        <f t="shared" si="199"/>
        <v>RE cost - USD/GJ</v>
      </c>
      <c r="G387" s="226"/>
      <c r="H387" s="412" t="str" cm="1">
        <f t="array" ref="H387">INDEX('Configurator Specs.'!$CG$5:$CG$24,A387)</f>
        <v>Modeled</v>
      </c>
      <c r="I387" t="s">
        <v>324</v>
      </c>
      <c r="K387" s="113">
        <f>IF($H387="Modeled",
INDEX('Fuel Model - Summary'!P:P,MATCH('Fuel Selector'!$C387&amp;" - "&amp;$D387,'Fuel Model - Summary'!$C:$C,0)),0)</f>
        <v>23.079747366891439</v>
      </c>
      <c r="L387" s="113">
        <f>IF($H387="Modeled",
INDEX('Fuel Model - Summary'!Q:Q,MATCH('Fuel Selector'!$C387&amp;" - "&amp;$D387,'Fuel Model - Summary'!$C:$C,0)),0)</f>
        <v>18.496692841981833</v>
      </c>
      <c r="M387" s="113">
        <f>IF($H387="Modeled",
INDEX('Fuel Model - Summary'!R:R,MATCH('Fuel Selector'!$C387&amp;" - "&amp;$D387,'Fuel Model - Summary'!$C:$C,0)),0)</f>
        <v>15.329898981943039</v>
      </c>
      <c r="N387" s="113">
        <f>IF($H387="Modeled",
INDEX('Fuel Model - Summary'!S:S,MATCH('Fuel Selector'!$C387&amp;" - "&amp;$D387,'Fuel Model - Summary'!$C:$C,0)),0)</f>
        <v>12.800453963143745</v>
      </c>
      <c r="O387" s="113">
        <f>IF($H387="Modeled",
INDEX('Fuel Model - Summary'!T:T,MATCH('Fuel Selector'!$C387&amp;" - "&amp;$D387,'Fuel Model - Summary'!$C:$C,0)),0)</f>
        <v>11.285590514574025</v>
      </c>
      <c r="P387" s="113">
        <f>IF($H387="Modeled",
INDEX('Fuel Model - Summary'!U:U,MATCH('Fuel Selector'!$C387&amp;" - "&amp;$D387,'Fuel Model - Summary'!$C:$C,0)),0)</f>
        <v>9.422359804617253</v>
      </c>
      <c r="Q387" s="113">
        <f>IF($H387="Modeled",
INDEX('Fuel Model - Summary'!V:V,MATCH('Fuel Selector'!$C387&amp;" - "&amp;$D387,'Fuel Model - Summary'!$C:$C,0)),0)</f>
        <v>8.4184197250304482</v>
      </c>
      <c r="R387" s="113">
        <f t="shared" ref="R387:V387" si="210">Q387</f>
        <v>8.4184197250304482</v>
      </c>
      <c r="S387" s="113">
        <f t="shared" si="210"/>
        <v>8.4184197250304482</v>
      </c>
      <c r="T387" s="113">
        <f t="shared" si="210"/>
        <v>8.4184197250304482</v>
      </c>
      <c r="U387" s="113">
        <f t="shared" si="210"/>
        <v>8.4184197250304482</v>
      </c>
      <c r="V387" s="113">
        <f t="shared" si="210"/>
        <v>8.4184197250304482</v>
      </c>
    </row>
    <row r="388" spans="1:22" x14ac:dyDescent="0.2">
      <c r="A388" s="29">
        <f t="shared" si="204"/>
        <v>9</v>
      </c>
      <c r="B388" s="334" t="str">
        <f t="shared" si="198"/>
        <v>e-Methane (PS) - Middle East - RE cost - USD/GJ</v>
      </c>
      <c r="C388" t="str" cm="1">
        <f t="array" ref="C388">INDEX(list_AE_fuel,A388)</f>
        <v>e-Methane (PS)</v>
      </c>
      <c r="D388" s="411" t="str">
        <f t="shared" si="201"/>
        <v>Middle East</v>
      </c>
      <c r="E388" t="str">
        <f t="shared" si="202"/>
        <v>Middle East</v>
      </c>
      <c r="F388" t="str">
        <f t="shared" si="199"/>
        <v>RE cost - USD/GJ</v>
      </c>
      <c r="G388" s="226"/>
      <c r="H388" s="412" t="str" cm="1">
        <f t="array" ref="H388">INDEX('Configurator Specs.'!$CG$5:$CG$24,A388)</f>
        <v>Modeled</v>
      </c>
      <c r="I388" t="s">
        <v>324</v>
      </c>
      <c r="K388" s="113">
        <f>IF($H388="Modeled",
INDEX('Fuel Model - Summary'!P:P,MATCH('Fuel Selector'!$C388&amp;" - "&amp;$D388,'Fuel Model - Summary'!$C:$C,0)),0)</f>
        <v>23.079747366891439</v>
      </c>
      <c r="L388" s="113">
        <f>IF($H388="Modeled",
INDEX('Fuel Model - Summary'!Q:Q,MATCH('Fuel Selector'!$C388&amp;" - "&amp;$D388,'Fuel Model - Summary'!$C:$C,0)),0)</f>
        <v>18.496692841981833</v>
      </c>
      <c r="M388" s="113">
        <f>IF($H388="Modeled",
INDEX('Fuel Model - Summary'!R:R,MATCH('Fuel Selector'!$C388&amp;" - "&amp;$D388,'Fuel Model - Summary'!$C:$C,0)),0)</f>
        <v>15.329898981943039</v>
      </c>
      <c r="N388" s="113">
        <f>IF($H388="Modeled",
INDEX('Fuel Model - Summary'!S:S,MATCH('Fuel Selector'!$C388&amp;" - "&amp;$D388,'Fuel Model - Summary'!$C:$C,0)),0)</f>
        <v>12.800453963143745</v>
      </c>
      <c r="O388" s="113">
        <f>IF($H388="Modeled",
INDEX('Fuel Model - Summary'!T:T,MATCH('Fuel Selector'!$C388&amp;" - "&amp;$D388,'Fuel Model - Summary'!$C:$C,0)),0)</f>
        <v>11.285590514574025</v>
      </c>
      <c r="P388" s="113">
        <f>IF($H388="Modeled",
INDEX('Fuel Model - Summary'!U:U,MATCH('Fuel Selector'!$C388&amp;" - "&amp;$D388,'Fuel Model - Summary'!$C:$C,0)),0)</f>
        <v>9.422359804617253</v>
      </c>
      <c r="Q388" s="113">
        <f>IF($H388="Modeled",
INDEX('Fuel Model - Summary'!V:V,MATCH('Fuel Selector'!$C388&amp;" - "&amp;$D388,'Fuel Model - Summary'!$C:$C,0)),0)</f>
        <v>8.4184197250304482</v>
      </c>
      <c r="R388" s="113">
        <f t="shared" ref="R388:V388" si="211">Q388</f>
        <v>8.4184197250304482</v>
      </c>
      <c r="S388" s="113">
        <f t="shared" si="211"/>
        <v>8.4184197250304482</v>
      </c>
      <c r="T388" s="113">
        <f t="shared" si="211"/>
        <v>8.4184197250304482</v>
      </c>
      <c r="U388" s="113">
        <f t="shared" si="211"/>
        <v>8.4184197250304482</v>
      </c>
      <c r="V388" s="113">
        <f t="shared" si="211"/>
        <v>8.4184197250304482</v>
      </c>
    </row>
    <row r="389" spans="1:22" x14ac:dyDescent="0.2">
      <c r="A389" s="29">
        <f t="shared" si="204"/>
        <v>10</v>
      </c>
      <c r="B389" s="334" t="str">
        <f t="shared" si="198"/>
        <v>Biomethanol - Middle East - RE cost - USD/GJ</v>
      </c>
      <c r="C389" t="str" cm="1">
        <f t="array" ref="C389">INDEX(list_AE_fuel,A389)</f>
        <v>Biomethanol</v>
      </c>
      <c r="D389" s="411" t="str">
        <f t="shared" si="201"/>
        <v>Middle East</v>
      </c>
      <c r="E389" t="str">
        <f t="shared" si="202"/>
        <v>Middle East</v>
      </c>
      <c r="F389" t="str">
        <f t="shared" si="199"/>
        <v>RE cost - USD/GJ</v>
      </c>
      <c r="G389"/>
      <c r="H389" s="412" t="str" cm="1">
        <f t="array" ref="H389">INDEX('Configurator Specs.'!$CG$5:$CG$24,A389)</f>
        <v>Modeled</v>
      </c>
      <c r="I389" t="s">
        <v>324</v>
      </c>
      <c r="K389" s="113">
        <f>IF($H389="Modeled",
INDEX('Fuel Model - Summary'!P:P,MATCH('Fuel Selector'!$C389&amp;" - "&amp;$D389,'Fuel Model - Summary'!$C:$C,0)),0)</f>
        <v>0</v>
      </c>
      <c r="L389" s="113">
        <f>IF($H389="Modeled",
INDEX('Fuel Model - Summary'!Q:Q,MATCH('Fuel Selector'!$C389&amp;" - "&amp;$D389,'Fuel Model - Summary'!$C:$C,0)),0)</f>
        <v>0</v>
      </c>
      <c r="M389" s="113">
        <f>IF($H389="Modeled",
INDEX('Fuel Model - Summary'!R:R,MATCH('Fuel Selector'!$C389&amp;" - "&amp;$D389,'Fuel Model - Summary'!$C:$C,0)),0)</f>
        <v>0</v>
      </c>
      <c r="N389" s="113">
        <f>IF($H389="Modeled",
INDEX('Fuel Model - Summary'!S:S,MATCH('Fuel Selector'!$C389&amp;" - "&amp;$D389,'Fuel Model - Summary'!$C:$C,0)),0)</f>
        <v>0</v>
      </c>
      <c r="O389" s="113">
        <f>IF($H389="Modeled",
INDEX('Fuel Model - Summary'!T:T,MATCH('Fuel Selector'!$C389&amp;" - "&amp;$D389,'Fuel Model - Summary'!$C:$C,0)),0)</f>
        <v>0</v>
      </c>
      <c r="P389" s="113">
        <f>IF($H389="Modeled",
INDEX('Fuel Model - Summary'!U:U,MATCH('Fuel Selector'!$C389&amp;" - "&amp;$D389,'Fuel Model - Summary'!$C:$C,0)),0)</f>
        <v>0</v>
      </c>
      <c r="Q389" s="113">
        <f>IF($H389="Modeled",
INDEX('Fuel Model - Summary'!V:V,MATCH('Fuel Selector'!$C389&amp;" - "&amp;$D389,'Fuel Model - Summary'!$C:$C,0)),0)</f>
        <v>0</v>
      </c>
      <c r="R389" s="113">
        <f t="shared" ref="R389:V389" si="212">Q389</f>
        <v>0</v>
      </c>
      <c r="S389" s="113">
        <f t="shared" si="212"/>
        <v>0</v>
      </c>
      <c r="T389" s="113">
        <f t="shared" si="212"/>
        <v>0</v>
      </c>
      <c r="U389" s="113">
        <f t="shared" si="212"/>
        <v>0</v>
      </c>
      <c r="V389" s="113">
        <f t="shared" si="212"/>
        <v>0</v>
      </c>
    </row>
    <row r="390" spans="1:22" x14ac:dyDescent="0.2">
      <c r="A390" s="29">
        <f t="shared" si="204"/>
        <v>11</v>
      </c>
      <c r="B390" s="334" t="str">
        <f t="shared" si="198"/>
        <v>e-Methanol (DAC) - Middle East - RE cost - USD/GJ</v>
      </c>
      <c r="C390" t="str" cm="1">
        <f t="array" ref="C390">INDEX(list_AE_fuel,A390)</f>
        <v>e-Methanol (DAC)</v>
      </c>
      <c r="D390" s="411" t="str">
        <f t="shared" si="201"/>
        <v>Middle East</v>
      </c>
      <c r="E390" t="str">
        <f t="shared" si="202"/>
        <v>Middle East</v>
      </c>
      <c r="F390" t="str">
        <f t="shared" si="199"/>
        <v>RE cost - USD/GJ</v>
      </c>
      <c r="G390"/>
      <c r="H390" s="412" t="str" cm="1">
        <f t="array" ref="H390">INDEX('Configurator Specs.'!$CG$5:$CG$24,A390)</f>
        <v>Modeled</v>
      </c>
      <c r="I390" t="s">
        <v>324</v>
      </c>
      <c r="K390" s="113">
        <f>IF($H390="Modeled",
INDEX('Fuel Model - Summary'!P:P,MATCH('Fuel Selector'!$C390&amp;" - "&amp;$D390,'Fuel Model - Summary'!$C:$C,0)),0)</f>
        <v>25.154334248611558</v>
      </c>
      <c r="L390" s="113">
        <f>IF($H390="Modeled",
INDEX('Fuel Model - Summary'!Q:Q,MATCH('Fuel Selector'!$C390&amp;" - "&amp;$D390,'Fuel Model - Summary'!$C:$C,0)),0)</f>
        <v>20.171494297380967</v>
      </c>
      <c r="M390" s="113">
        <f>IF($H390="Modeled",
INDEX('Fuel Model - Summary'!R:R,MATCH('Fuel Selector'!$C390&amp;" - "&amp;$D390,'Fuel Model - Summary'!$C:$C,0)),0)</f>
        <v>16.746823526057252</v>
      </c>
      <c r="N390" s="113">
        <f>IF($H390="Modeled",
INDEX('Fuel Model - Summary'!S:S,MATCH('Fuel Selector'!$C390&amp;" - "&amp;$D390,'Fuel Model - Summary'!$C:$C,0)),0)</f>
        <v>14.050813688422394</v>
      </c>
      <c r="O390" s="113">
        <f>IF($H390="Modeled",
INDEX('Fuel Model - Summary'!T:T,MATCH('Fuel Selector'!$C390&amp;" - "&amp;$D390,'Fuel Model - Summary'!$C:$C,0)),0)</f>
        <v>12.46513670107764</v>
      </c>
      <c r="P390" s="113">
        <f>IF($H390="Modeled",
INDEX('Fuel Model - Summary'!U:U,MATCH('Fuel Selector'!$C390&amp;" - "&amp;$D390,'Fuel Model - Summary'!$C:$C,0)),0)</f>
        <v>10.502689073272558</v>
      </c>
      <c r="Q390" s="113">
        <f>IF($H390="Modeled",
INDEX('Fuel Model - Summary'!V:V,MATCH('Fuel Selector'!$C390&amp;" - "&amp;$D390,'Fuel Model - Summary'!$C:$C,0)),0)</f>
        <v>9.4591041755737724</v>
      </c>
      <c r="R390" s="113">
        <f t="shared" ref="R390:V390" si="213">Q390</f>
        <v>9.4591041755737724</v>
      </c>
      <c r="S390" s="113">
        <f t="shared" si="213"/>
        <v>9.4591041755737724</v>
      </c>
      <c r="T390" s="113">
        <f t="shared" si="213"/>
        <v>9.4591041755737724</v>
      </c>
      <c r="U390" s="113">
        <f t="shared" si="213"/>
        <v>9.4591041755737724</v>
      </c>
      <c r="V390" s="113">
        <f t="shared" si="213"/>
        <v>9.4591041755737724</v>
      </c>
    </row>
    <row r="391" spans="1:22" x14ac:dyDescent="0.2">
      <c r="A391" s="29">
        <f t="shared" si="204"/>
        <v>12</v>
      </c>
      <c r="B391" s="334" t="str">
        <f t="shared" si="198"/>
        <v>e-Methanol (PS) - Middle East - RE cost - USD/GJ</v>
      </c>
      <c r="C391" t="str" cm="1">
        <f t="array" ref="C391">INDEX(list_AE_fuel,A391)</f>
        <v>e-Methanol (PS)</v>
      </c>
      <c r="D391" s="411" t="str">
        <f t="shared" si="201"/>
        <v>Middle East</v>
      </c>
      <c r="E391" t="str">
        <f>E390</f>
        <v>Middle East</v>
      </c>
      <c r="F391" t="str">
        <f t="shared" si="199"/>
        <v>RE cost - USD/GJ</v>
      </c>
      <c r="G391"/>
      <c r="H391" s="412" t="str" cm="1">
        <f t="array" ref="H391">INDEX('Configurator Specs.'!$CG$5:$CG$24,A391)</f>
        <v>Modeled</v>
      </c>
      <c r="I391" t="s">
        <v>324</v>
      </c>
      <c r="K391" s="113">
        <f>IF($H391="Modeled",
INDEX('Fuel Model - Summary'!P:P,MATCH('Fuel Selector'!$C391&amp;" - "&amp;$D391,'Fuel Model - Summary'!$C:$C,0)),0)</f>
        <v>25.154334248611558</v>
      </c>
      <c r="L391" s="113">
        <f>IF($H391="Modeled",
INDEX('Fuel Model - Summary'!Q:Q,MATCH('Fuel Selector'!$C391&amp;" - "&amp;$D391,'Fuel Model - Summary'!$C:$C,0)),0)</f>
        <v>20.171494297380967</v>
      </c>
      <c r="M391" s="113">
        <f>IF($H391="Modeled",
INDEX('Fuel Model - Summary'!R:R,MATCH('Fuel Selector'!$C391&amp;" - "&amp;$D391,'Fuel Model - Summary'!$C:$C,0)),0)</f>
        <v>16.746823526057252</v>
      </c>
      <c r="N391" s="113">
        <f>IF($H391="Modeled",
INDEX('Fuel Model - Summary'!S:S,MATCH('Fuel Selector'!$C391&amp;" - "&amp;$D391,'Fuel Model - Summary'!$C:$C,0)),0)</f>
        <v>14.050813688422394</v>
      </c>
      <c r="O391" s="113">
        <f>IF($H391="Modeled",
INDEX('Fuel Model - Summary'!T:T,MATCH('Fuel Selector'!$C391&amp;" - "&amp;$D391,'Fuel Model - Summary'!$C:$C,0)),0)</f>
        <v>12.46513670107764</v>
      </c>
      <c r="P391" s="113">
        <f>IF($H391="Modeled",
INDEX('Fuel Model - Summary'!U:U,MATCH('Fuel Selector'!$C391&amp;" - "&amp;$D391,'Fuel Model - Summary'!$C:$C,0)),0)</f>
        <v>10.502689073272558</v>
      </c>
      <c r="Q391" s="113">
        <f>IF($H391="Modeled",
INDEX('Fuel Model - Summary'!V:V,MATCH('Fuel Selector'!$C391&amp;" - "&amp;$D391,'Fuel Model - Summary'!$C:$C,0)),0)</f>
        <v>9.4591041755737724</v>
      </c>
      <c r="R391" s="113">
        <f t="shared" ref="R391:V391" si="214">Q391</f>
        <v>9.4591041755737724</v>
      </c>
      <c r="S391" s="113">
        <f t="shared" si="214"/>
        <v>9.4591041755737724</v>
      </c>
      <c r="T391" s="113">
        <f t="shared" si="214"/>
        <v>9.4591041755737724</v>
      </c>
      <c r="U391" s="113">
        <f t="shared" si="214"/>
        <v>9.4591041755737724</v>
      </c>
      <c r="V391" s="113">
        <f t="shared" si="214"/>
        <v>9.4591041755737724</v>
      </c>
    </row>
    <row r="392" spans="1:22" x14ac:dyDescent="0.2">
      <c r="A392" s="29">
        <f t="shared" si="204"/>
        <v>13</v>
      </c>
      <c r="B392" s="334" t="str">
        <f t="shared" si="198"/>
        <v>Biodiesel (HtL) - Middle East - RE cost - USD/GJ</v>
      </c>
      <c r="C392" t="str" cm="1">
        <f t="array" ref="C392">INDEX(list_AE_fuel,A392)</f>
        <v>Biodiesel (HtL)</v>
      </c>
      <c r="D392" s="411" t="str">
        <f t="shared" si="201"/>
        <v>Middle East</v>
      </c>
      <c r="E392" t="str">
        <f t="shared" ref="E392:E399" si="215">E391</f>
        <v>Middle East</v>
      </c>
      <c r="F392" t="str">
        <f t="shared" si="199"/>
        <v>RE cost - USD/GJ</v>
      </c>
      <c r="G392"/>
      <c r="H392" s="412" t="str" cm="1">
        <f t="array" ref="H392">INDEX('Configurator Specs.'!$CG$5:$CG$24,A392)</f>
        <v>Modeled</v>
      </c>
      <c r="I392" t="s">
        <v>324</v>
      </c>
      <c r="K392" s="113">
        <f>IF($H392="Modeled",
INDEX('Fuel Model - Summary'!P:P,MATCH('Fuel Selector'!$C392&amp;" - "&amp;$D392,'Fuel Model - Summary'!$C:$C,0)),0)</f>
        <v>0.78584619240382514</v>
      </c>
      <c r="L392" s="113">
        <f>IF($H392="Modeled",
INDEX('Fuel Model - Summary'!Q:Q,MATCH('Fuel Selector'!$C392&amp;" - "&amp;$D392,'Fuel Model - Summary'!$C:$C,0)),0)</f>
        <v>0.63272910014421757</v>
      </c>
      <c r="M392" s="113">
        <f>IF($H392="Modeled",
INDEX('Fuel Model - Summary'!R:R,MATCH('Fuel Selector'!$C392&amp;" - "&amp;$D392,'Fuel Model - Summary'!$C:$C,0)),0)</f>
        <v>0.52940766697493258</v>
      </c>
      <c r="N392" s="113">
        <f>IF($H392="Modeled",
INDEX('Fuel Model - Summary'!S:S,MATCH('Fuel Selector'!$C392&amp;" - "&amp;$D392,'Fuel Model - Summary'!$C:$C,0)),0)</f>
        <v>0.45650395071663369</v>
      </c>
      <c r="O392" s="113">
        <f>IF($H392="Modeled",
INDEX('Fuel Model - Summary'!T:T,MATCH('Fuel Selector'!$C392&amp;" - "&amp;$D392,'Fuel Model - Summary'!$C:$C,0)),0)</f>
        <v>0.41937418177957075</v>
      </c>
      <c r="P392" s="113">
        <f>IF($H392="Modeled",
INDEX('Fuel Model - Summary'!U:U,MATCH('Fuel Selector'!$C392&amp;" - "&amp;$D392,'Fuel Model - Summary'!$C:$C,0)),0)</f>
        <v>0.37150930318096043</v>
      </c>
      <c r="Q392" s="113">
        <f>IF($H392="Modeled",
INDEX('Fuel Model - Summary'!V:V,MATCH('Fuel Selector'!$C392&amp;" - "&amp;$D392,'Fuel Model - Summary'!$C:$C,0)),0)</f>
        <v>0.34853424511054748</v>
      </c>
      <c r="R392" s="113">
        <f t="shared" ref="R392:V392" si="216">Q392</f>
        <v>0.34853424511054748</v>
      </c>
      <c r="S392" s="113">
        <f t="shared" si="216"/>
        <v>0.34853424511054748</v>
      </c>
      <c r="T392" s="113">
        <f t="shared" si="216"/>
        <v>0.34853424511054748</v>
      </c>
      <c r="U392" s="113">
        <f t="shared" si="216"/>
        <v>0.34853424511054748</v>
      </c>
      <c r="V392" s="113">
        <f t="shared" si="216"/>
        <v>0.34853424511054748</v>
      </c>
    </row>
    <row r="393" spans="1:22" x14ac:dyDescent="0.2">
      <c r="A393" s="29">
        <f t="shared" si="204"/>
        <v>14</v>
      </c>
      <c r="B393" s="334" t="str">
        <f t="shared" si="198"/>
        <v>Biodiesel (Pyr) - Middle East - RE cost - USD/GJ</v>
      </c>
      <c r="C393" t="str" cm="1">
        <f t="array" ref="C393">INDEX(list_AE_fuel,A393)</f>
        <v>Biodiesel (Pyr)</v>
      </c>
      <c r="D393" s="411" t="str">
        <f t="shared" si="201"/>
        <v>Middle East</v>
      </c>
      <c r="E393" t="str">
        <f t="shared" si="215"/>
        <v>Middle East</v>
      </c>
      <c r="F393" t="str">
        <f t="shared" si="199"/>
        <v>RE cost - USD/GJ</v>
      </c>
      <c r="G393"/>
      <c r="H393" s="412" t="str" cm="1">
        <f t="array" ref="H393">INDEX('Configurator Specs.'!$CG$5:$CG$24,A393)</f>
        <v>Modeled</v>
      </c>
      <c r="I393" t="s">
        <v>324</v>
      </c>
      <c r="K393" s="113">
        <f>IF($H393="Modeled",
INDEX('Fuel Model - Summary'!P:P,MATCH('Fuel Selector'!$C393&amp;" - "&amp;$D393,'Fuel Model - Summary'!$C:$C,0)),0)</f>
        <v>0</v>
      </c>
      <c r="L393" s="113">
        <f>IF($H393="Modeled",
INDEX('Fuel Model - Summary'!Q:Q,MATCH('Fuel Selector'!$C393&amp;" - "&amp;$D393,'Fuel Model - Summary'!$C:$C,0)),0)</f>
        <v>0</v>
      </c>
      <c r="M393" s="113">
        <f>IF($H393="Modeled",
INDEX('Fuel Model - Summary'!R:R,MATCH('Fuel Selector'!$C393&amp;" - "&amp;$D393,'Fuel Model - Summary'!$C:$C,0)),0)</f>
        <v>0</v>
      </c>
      <c r="N393" s="113">
        <f>IF($H393="Modeled",
INDEX('Fuel Model - Summary'!S:S,MATCH('Fuel Selector'!$C393&amp;" - "&amp;$D393,'Fuel Model - Summary'!$C:$C,0)),0)</f>
        <v>0</v>
      </c>
      <c r="O393" s="113">
        <f>IF($H393="Modeled",
INDEX('Fuel Model - Summary'!T:T,MATCH('Fuel Selector'!$C393&amp;" - "&amp;$D393,'Fuel Model - Summary'!$C:$C,0)),0)</f>
        <v>0</v>
      </c>
      <c r="P393" s="113">
        <f>IF($H393="Modeled",
INDEX('Fuel Model - Summary'!U:U,MATCH('Fuel Selector'!$C393&amp;" - "&amp;$D393,'Fuel Model - Summary'!$C:$C,0)),0)</f>
        <v>0</v>
      </c>
      <c r="Q393" s="113">
        <f>IF($H393="Modeled",
INDEX('Fuel Model - Summary'!V:V,MATCH('Fuel Selector'!$C393&amp;" - "&amp;$D393,'Fuel Model - Summary'!$C:$C,0)),0)</f>
        <v>0</v>
      </c>
      <c r="R393" s="113">
        <f t="shared" ref="R393:V393" si="217">Q393</f>
        <v>0</v>
      </c>
      <c r="S393" s="113">
        <f t="shared" si="217"/>
        <v>0</v>
      </c>
      <c r="T393" s="113">
        <f t="shared" si="217"/>
        <v>0</v>
      </c>
      <c r="U393" s="113">
        <f t="shared" si="217"/>
        <v>0</v>
      </c>
      <c r="V393" s="113">
        <f t="shared" si="217"/>
        <v>0</v>
      </c>
    </row>
    <row r="394" spans="1:22" x14ac:dyDescent="0.2">
      <c r="A394" s="29">
        <f t="shared" si="204"/>
        <v>15</v>
      </c>
      <c r="B394" s="334" t="str">
        <f t="shared" si="198"/>
        <v>e-Diesel (DAC) - Middle East - RE cost - USD/GJ</v>
      </c>
      <c r="C394" t="str" cm="1">
        <f t="array" ref="C394">INDEX(list_AE_fuel,A394)</f>
        <v>e-Diesel (DAC)</v>
      </c>
      <c r="D394" s="411" t="str">
        <f t="shared" si="201"/>
        <v>Middle East</v>
      </c>
      <c r="E394" t="str">
        <f t="shared" si="215"/>
        <v>Middle East</v>
      </c>
      <c r="F394" t="str">
        <f t="shared" si="199"/>
        <v>RE cost - USD/GJ</v>
      </c>
      <c r="G394"/>
      <c r="H394" s="412" t="str" cm="1">
        <f t="array" ref="H394">INDEX('Configurator Specs.'!$CG$5:$CG$24,A394)</f>
        <v>Modeled</v>
      </c>
      <c r="I394" t="s">
        <v>324</v>
      </c>
      <c r="K394" s="113">
        <f>IF($H394="Modeled",
INDEX('Fuel Model - Summary'!P:P,MATCH('Fuel Selector'!$C394&amp;" - "&amp;$D394,'Fuel Model - Summary'!$C:$C,0)),0)</f>
        <v>25.462833953900368</v>
      </c>
      <c r="L394" s="113">
        <f>IF($H394="Modeled",
INDEX('Fuel Model - Summary'!Q:Q,MATCH('Fuel Selector'!$C394&amp;" - "&amp;$D394,'Fuel Model - Summary'!$C:$C,0)),0)</f>
        <v>20.378328752042414</v>
      </c>
      <c r="M394" s="113">
        <f>IF($H394="Modeled",
INDEX('Fuel Model - Summary'!R:R,MATCH('Fuel Selector'!$C394&amp;" - "&amp;$D394,'Fuel Model - Summary'!$C:$C,0)),0)</f>
        <v>16.867671801323414</v>
      </c>
      <c r="N394" s="113">
        <f>IF($H394="Modeled",
INDEX('Fuel Model - Summary'!S:S,MATCH('Fuel Selector'!$C394&amp;" - "&amp;$D394,'Fuel Model - Summary'!$C:$C,0)),0)</f>
        <v>14.066906275919752</v>
      </c>
      <c r="O394" s="113">
        <f>IF($H394="Modeled",
INDEX('Fuel Model - Summary'!T:T,MATCH('Fuel Selector'!$C394&amp;" - "&amp;$D394,'Fuel Model - Summary'!$C:$C,0)),0)</f>
        <v>12.386529302784998</v>
      </c>
      <c r="P394" s="113">
        <f>IF($H394="Modeled",
INDEX('Fuel Model - Summary'!U:U,MATCH('Fuel Selector'!$C394&amp;" - "&amp;$D394,'Fuel Model - Summary'!$C:$C,0)),0)</f>
        <v>10.327596398340068</v>
      </c>
      <c r="Q394" s="113">
        <f>IF($H394="Modeled",
INDEX('Fuel Model - Summary'!V:V,MATCH('Fuel Selector'!$C394&amp;" - "&amp;$D394,'Fuel Model - Summary'!$C:$C,0)),0)</f>
        <v>9.2147258581923754</v>
      </c>
      <c r="R394" s="113">
        <f t="shared" ref="R394:V394" si="218">Q394</f>
        <v>9.2147258581923754</v>
      </c>
      <c r="S394" s="113">
        <f t="shared" si="218"/>
        <v>9.2147258581923754</v>
      </c>
      <c r="T394" s="113">
        <f t="shared" si="218"/>
        <v>9.2147258581923754</v>
      </c>
      <c r="U394" s="113">
        <f t="shared" si="218"/>
        <v>9.2147258581923754</v>
      </c>
      <c r="V394" s="113">
        <f t="shared" si="218"/>
        <v>9.2147258581923754</v>
      </c>
    </row>
    <row r="395" spans="1:22" x14ac:dyDescent="0.2">
      <c r="A395" s="29">
        <f t="shared" si="204"/>
        <v>16</v>
      </c>
      <c r="B395" s="334" t="str">
        <f t="shared" si="198"/>
        <v>e-Diesel (PS) - Middle East - RE cost - USD/GJ</v>
      </c>
      <c r="C395" t="str" cm="1">
        <f t="array" ref="C395">INDEX(list_AE_fuel,A395)</f>
        <v>e-Diesel (PS)</v>
      </c>
      <c r="D395" s="411" t="str">
        <f t="shared" si="201"/>
        <v>Middle East</v>
      </c>
      <c r="E395" t="str">
        <f t="shared" si="215"/>
        <v>Middle East</v>
      </c>
      <c r="F395" t="str">
        <f t="shared" si="199"/>
        <v>RE cost - USD/GJ</v>
      </c>
      <c r="G395"/>
      <c r="H395" s="412" t="str" cm="1">
        <f t="array" ref="H395">INDEX('Configurator Specs.'!$CG$5:$CG$24,A395)</f>
        <v>Modeled</v>
      </c>
      <c r="I395" t="s">
        <v>324</v>
      </c>
      <c r="K395" s="113">
        <f>IF($H395="Modeled",
INDEX('Fuel Model - Summary'!P:P,MATCH('Fuel Selector'!$C395&amp;" - "&amp;$D395,'Fuel Model - Summary'!$C:$C,0)),0)</f>
        <v>25.462833953900368</v>
      </c>
      <c r="L395" s="113">
        <f>IF($H395="Modeled",
INDEX('Fuel Model - Summary'!Q:Q,MATCH('Fuel Selector'!$C395&amp;" - "&amp;$D395,'Fuel Model - Summary'!$C:$C,0)),0)</f>
        <v>20.378328752042414</v>
      </c>
      <c r="M395" s="113">
        <f>IF($H395="Modeled",
INDEX('Fuel Model - Summary'!R:R,MATCH('Fuel Selector'!$C395&amp;" - "&amp;$D395,'Fuel Model - Summary'!$C:$C,0)),0)</f>
        <v>16.867671801323414</v>
      </c>
      <c r="N395" s="113">
        <f>IF($H395="Modeled",
INDEX('Fuel Model - Summary'!S:S,MATCH('Fuel Selector'!$C395&amp;" - "&amp;$D395,'Fuel Model - Summary'!$C:$C,0)),0)</f>
        <v>14.066906275919752</v>
      </c>
      <c r="O395" s="113">
        <f>IF($H395="Modeled",
INDEX('Fuel Model - Summary'!T:T,MATCH('Fuel Selector'!$C395&amp;" - "&amp;$D395,'Fuel Model - Summary'!$C:$C,0)),0)</f>
        <v>12.386529302784998</v>
      </c>
      <c r="P395" s="113">
        <f>IF($H395="Modeled",
INDEX('Fuel Model - Summary'!U:U,MATCH('Fuel Selector'!$C395&amp;" - "&amp;$D395,'Fuel Model - Summary'!$C:$C,0)),0)</f>
        <v>10.327596398340068</v>
      </c>
      <c r="Q395" s="113">
        <f>IF($H395="Modeled",
INDEX('Fuel Model - Summary'!V:V,MATCH('Fuel Selector'!$C395&amp;" - "&amp;$D395,'Fuel Model - Summary'!$C:$C,0)),0)</f>
        <v>9.2147258581923754</v>
      </c>
      <c r="R395" s="113">
        <f t="shared" ref="R395:V395" si="219">Q395</f>
        <v>9.2147258581923754</v>
      </c>
      <c r="S395" s="113">
        <f t="shared" si="219"/>
        <v>9.2147258581923754</v>
      </c>
      <c r="T395" s="113">
        <f t="shared" si="219"/>
        <v>9.2147258581923754</v>
      </c>
      <c r="U395" s="113">
        <f t="shared" si="219"/>
        <v>9.2147258581923754</v>
      </c>
      <c r="V395" s="113">
        <f t="shared" si="219"/>
        <v>9.2147258581923754</v>
      </c>
    </row>
    <row r="396" spans="1:22" x14ac:dyDescent="0.2">
      <c r="A396" s="29">
        <f t="shared" si="204"/>
        <v>17</v>
      </c>
      <c r="B396" s="334" t="str">
        <f t="shared" si="198"/>
        <v>Biodiesel (HtL blend) - Middle East - RE cost - USD/GJ</v>
      </c>
      <c r="C396" t="str" cm="1">
        <f t="array" ref="C396">INDEX(list_AE_fuel,A396)</f>
        <v>Biodiesel (HtL blend)</v>
      </c>
      <c r="D396" s="411" t="str">
        <f t="shared" si="201"/>
        <v>Middle East</v>
      </c>
      <c r="E396" t="str">
        <f t="shared" si="215"/>
        <v>Middle East</v>
      </c>
      <c r="F396" t="str">
        <f t="shared" si="199"/>
        <v>RE cost - USD/GJ</v>
      </c>
      <c r="G396"/>
      <c r="H396" s="412" t="str" cm="1">
        <f t="array" ref="H396">INDEX('Configurator Specs.'!$CG$5:$CG$24,A396)</f>
        <v>Modeled</v>
      </c>
      <c r="I396" t="s">
        <v>324</v>
      </c>
      <c r="K396" s="113">
        <f>IF($H396="Modeled",
INDEX('Fuel Model - Summary'!P:P,MATCH('Fuel Selector'!$C396&amp;" - "&amp;$D396,'Fuel Model - Summary'!$C:$C,0)),0)</f>
        <v>0.26748212367989904</v>
      </c>
      <c r="L396" s="113">
        <f>IF($H396="Modeled",
INDEX('Fuel Model - Summary'!Q:Q,MATCH('Fuel Selector'!$C396&amp;" - "&amp;$D396,'Fuel Model - Summary'!$C:$C,0)),0)</f>
        <v>0.21536494680078191</v>
      </c>
      <c r="M396" s="113">
        <f>IF($H396="Modeled",
INDEX('Fuel Model - Summary'!R:R,MATCH('Fuel Selector'!$C396&amp;" - "&amp;$D396,'Fuel Model - Summary'!$C:$C,0)),0)</f>
        <v>0.18019695001857011</v>
      </c>
      <c r="N396" s="113">
        <f>IF($H396="Modeled",
INDEX('Fuel Model - Summary'!S:S,MATCH('Fuel Selector'!$C396&amp;" - "&amp;$D396,'Fuel Model - Summary'!$C:$C,0)),0)</f>
        <v>0.15538237302192315</v>
      </c>
      <c r="O396" s="113">
        <f>IF($H396="Modeled",
INDEX('Fuel Model - Summary'!T:T,MATCH('Fuel Selector'!$C396&amp;" - "&amp;$D396,'Fuel Model - Summary'!$C:$C,0)),0)</f>
        <v>0.1427443408687738</v>
      </c>
      <c r="P396" s="113">
        <f>IF($H396="Modeled",
INDEX('Fuel Model - Summary'!U:U,MATCH('Fuel Selector'!$C396&amp;" - "&amp;$D396,'Fuel Model - Summary'!$C:$C,0)),0)</f>
        <v>0.12645234950838591</v>
      </c>
      <c r="Q396" s="113">
        <f>IF($H396="Modeled",
INDEX('Fuel Model - Summary'!V:V,MATCH('Fuel Selector'!$C396&amp;" - "&amp;$D396,'Fuel Model - Summary'!$C:$C,0)),0)</f>
        <v>0.11863222213009469</v>
      </c>
      <c r="R396" s="113">
        <f t="shared" ref="R396:V396" si="220">Q396</f>
        <v>0.11863222213009469</v>
      </c>
      <c r="S396" s="113">
        <f t="shared" si="220"/>
        <v>0.11863222213009469</v>
      </c>
      <c r="T396" s="113">
        <f t="shared" si="220"/>
        <v>0.11863222213009469</v>
      </c>
      <c r="U396" s="113">
        <f t="shared" si="220"/>
        <v>0.11863222213009469</v>
      </c>
      <c r="V396" s="113">
        <f t="shared" si="220"/>
        <v>0.11863222213009469</v>
      </c>
    </row>
    <row r="397" spans="1:22" x14ac:dyDescent="0.2">
      <c r="A397" s="29">
        <f t="shared" si="204"/>
        <v>18</v>
      </c>
      <c r="B397" s="334" t="str">
        <f t="shared" si="198"/>
        <v>Biodiesel (Pyr blend) - Middle East - RE cost - USD/GJ</v>
      </c>
      <c r="C397" t="str" cm="1">
        <f t="array" ref="C397">INDEX(list_AE_fuel,A397)</f>
        <v>Biodiesel (Pyr blend)</v>
      </c>
      <c r="D397" s="411" t="str">
        <f t="shared" si="201"/>
        <v>Middle East</v>
      </c>
      <c r="E397" t="str">
        <f t="shared" si="215"/>
        <v>Middle East</v>
      </c>
      <c r="F397" t="str">
        <f t="shared" si="199"/>
        <v>RE cost - USD/GJ</v>
      </c>
      <c r="G397"/>
      <c r="H397" s="412" t="str" cm="1">
        <f t="array" ref="H397">INDEX('Configurator Specs.'!$CG$5:$CG$24,A397)</f>
        <v>Modeled</v>
      </c>
      <c r="I397" t="s">
        <v>324</v>
      </c>
      <c r="K397" s="113">
        <f>IF($H397="Modeled",
INDEX('Fuel Model - Summary'!P:P,MATCH('Fuel Selector'!$C397&amp;" - "&amp;$D397,'Fuel Model - Summary'!$C:$C,0)),0)</f>
        <v>0</v>
      </c>
      <c r="L397" s="113">
        <f>IF($H397="Modeled",
INDEX('Fuel Model - Summary'!Q:Q,MATCH('Fuel Selector'!$C397&amp;" - "&amp;$D397,'Fuel Model - Summary'!$C:$C,0)),0)</f>
        <v>0</v>
      </c>
      <c r="M397" s="113">
        <f>IF($H397="Modeled",
INDEX('Fuel Model - Summary'!R:R,MATCH('Fuel Selector'!$C397&amp;" - "&amp;$D397,'Fuel Model - Summary'!$C:$C,0)),0)</f>
        <v>0</v>
      </c>
      <c r="N397" s="113">
        <f>IF($H397="Modeled",
INDEX('Fuel Model - Summary'!S:S,MATCH('Fuel Selector'!$C397&amp;" - "&amp;$D397,'Fuel Model - Summary'!$C:$C,0)),0)</f>
        <v>0</v>
      </c>
      <c r="O397" s="113">
        <f>IF($H397="Modeled",
INDEX('Fuel Model - Summary'!T:T,MATCH('Fuel Selector'!$C397&amp;" - "&amp;$D397,'Fuel Model - Summary'!$C:$C,0)),0)</f>
        <v>0</v>
      </c>
      <c r="P397" s="113">
        <f>IF($H397="Modeled",
INDEX('Fuel Model - Summary'!U:U,MATCH('Fuel Selector'!$C397&amp;" - "&amp;$D397,'Fuel Model - Summary'!$C:$C,0)),0)</f>
        <v>0</v>
      </c>
      <c r="Q397" s="113">
        <f>IF($H397="Modeled",
INDEX('Fuel Model - Summary'!V:V,MATCH('Fuel Selector'!$C397&amp;" - "&amp;$D397,'Fuel Model - Summary'!$C:$C,0)),0)</f>
        <v>0</v>
      </c>
      <c r="R397" s="113">
        <f t="shared" ref="R397:V397" si="221">Q397</f>
        <v>0</v>
      </c>
      <c r="S397" s="113">
        <f t="shared" si="221"/>
        <v>0</v>
      </c>
      <c r="T397" s="113">
        <f t="shared" si="221"/>
        <v>0</v>
      </c>
      <c r="U397" s="113">
        <f t="shared" si="221"/>
        <v>0</v>
      </c>
      <c r="V397" s="113">
        <f t="shared" si="221"/>
        <v>0</v>
      </c>
    </row>
    <row r="398" spans="1:22" x14ac:dyDescent="0.2">
      <c r="A398" s="29">
        <f t="shared" si="204"/>
        <v>19</v>
      </c>
      <c r="B398" s="334" t="str">
        <f t="shared" si="198"/>
        <v>Blue hydrogen (liquid) - Middle East - RE cost - USD/GJ</v>
      </c>
      <c r="C398" t="str" cm="1">
        <f t="array" ref="C398">INDEX(list_AE_fuel,A398)</f>
        <v>Blue hydrogen (liquid)</v>
      </c>
      <c r="D398" s="411" t="str">
        <f t="shared" si="201"/>
        <v>Middle East</v>
      </c>
      <c r="E398" t="str">
        <f t="shared" si="215"/>
        <v>Middle East</v>
      </c>
      <c r="F398" t="str">
        <f t="shared" si="199"/>
        <v>RE cost - USD/GJ</v>
      </c>
      <c r="G398"/>
      <c r="H398" s="412" t="str" cm="1">
        <f t="array" ref="H398">INDEX('Configurator Specs.'!$CG$5:$CG$24,A398)</f>
        <v>Modeled</v>
      </c>
      <c r="I398" t="s">
        <v>324</v>
      </c>
      <c r="K398" s="113">
        <f>IF($H398="Modeled",
INDEX('Fuel Model - Summary'!P:P,MATCH('Fuel Selector'!$C398&amp;" - "&amp;$D398,'Fuel Model - Summary'!$C:$C,0)),0)</f>
        <v>0</v>
      </c>
      <c r="L398" s="113">
        <f>IF($H398="Modeled",
INDEX('Fuel Model - Summary'!Q:Q,MATCH('Fuel Selector'!$C398&amp;" - "&amp;$D398,'Fuel Model - Summary'!$C:$C,0)),0)</f>
        <v>0</v>
      </c>
      <c r="M398" s="113">
        <f>IF($H398="Modeled",
INDEX('Fuel Model - Summary'!R:R,MATCH('Fuel Selector'!$C398&amp;" - "&amp;$D398,'Fuel Model - Summary'!$C:$C,0)),0)</f>
        <v>0</v>
      </c>
      <c r="N398" s="113">
        <f>IF($H398="Modeled",
INDEX('Fuel Model - Summary'!S:S,MATCH('Fuel Selector'!$C398&amp;" - "&amp;$D398,'Fuel Model - Summary'!$C:$C,0)),0)</f>
        <v>0</v>
      </c>
      <c r="O398" s="113">
        <f>IF($H398="Modeled",
INDEX('Fuel Model - Summary'!T:T,MATCH('Fuel Selector'!$C398&amp;" - "&amp;$D398,'Fuel Model - Summary'!$C:$C,0)),0)</f>
        <v>0</v>
      </c>
      <c r="P398" s="113">
        <f>IF($H398="Modeled",
INDEX('Fuel Model - Summary'!U:U,MATCH('Fuel Selector'!$C398&amp;" - "&amp;$D398,'Fuel Model - Summary'!$C:$C,0)),0)</f>
        <v>0</v>
      </c>
      <c r="Q398" s="113">
        <f>IF($H398="Modeled",
INDEX('Fuel Model - Summary'!V:V,MATCH('Fuel Selector'!$C398&amp;" - "&amp;$D398,'Fuel Model - Summary'!$C:$C,0)),0)</f>
        <v>0</v>
      </c>
      <c r="R398" s="113">
        <f t="shared" ref="R398:V398" si="222">Q398</f>
        <v>0</v>
      </c>
      <c r="S398" s="113">
        <f t="shared" si="222"/>
        <v>0</v>
      </c>
      <c r="T398" s="113">
        <f t="shared" si="222"/>
        <v>0</v>
      </c>
      <c r="U398" s="113">
        <f t="shared" si="222"/>
        <v>0</v>
      </c>
      <c r="V398" s="113">
        <f t="shared" si="222"/>
        <v>0</v>
      </c>
    </row>
    <row r="399" spans="1:22" x14ac:dyDescent="0.2">
      <c r="A399" s="29">
        <f t="shared" si="204"/>
        <v>20</v>
      </c>
      <c r="B399" s="334" t="str">
        <f t="shared" si="198"/>
        <v>e-Hydrogen (liquid) - Middle East - RE cost - USD/GJ</v>
      </c>
      <c r="C399" t="str" cm="1">
        <f t="array" ref="C399">INDEX(list_AE_fuel,A399)</f>
        <v>e-Hydrogen (liquid)</v>
      </c>
      <c r="D399" s="411" t="str">
        <f t="shared" si="201"/>
        <v>Middle East</v>
      </c>
      <c r="E399" t="str">
        <f t="shared" si="215"/>
        <v>Middle East</v>
      </c>
      <c r="F399" t="str">
        <f t="shared" si="199"/>
        <v>RE cost - USD/GJ</v>
      </c>
      <c r="G399"/>
      <c r="H399" s="412" t="str" cm="1">
        <f t="array" ref="H399">INDEX('Configurator Specs.'!$CG$5:$CG$24,A399)</f>
        <v>Modeled</v>
      </c>
      <c r="I399" t="s">
        <v>324</v>
      </c>
      <c r="K399" s="113">
        <f>IF($H399="Modeled",
INDEX('Fuel Model - Summary'!P:P,MATCH('Fuel Selector'!$C399&amp;" - "&amp;$D399,'Fuel Model - Summary'!$C:$C,0)),0)</f>
        <v>22.080268119322348</v>
      </c>
      <c r="L399" s="113">
        <f>IF($H399="Modeled",
INDEX('Fuel Model - Summary'!Q:Q,MATCH('Fuel Selector'!$C399&amp;" - "&amp;$D399,'Fuel Model - Summary'!$C:$C,0)),0)</f>
        <v>17.706308004908099</v>
      </c>
      <c r="M399" s="113">
        <f>IF($H399="Modeled",
INDEX('Fuel Model - Summary'!R:R,MATCH('Fuel Selector'!$C399&amp;" - "&amp;$D399,'Fuel Model - Summary'!$C:$C,0)),0)</f>
        <v>14.700019108867078</v>
      </c>
      <c r="N399" s="113">
        <f>IF($H399="Modeled",
INDEX('Fuel Model - Summary'!S:S,MATCH('Fuel Selector'!$C399&amp;" - "&amp;$D399,'Fuel Model - Summary'!$C:$C,0)),0)</f>
        <v>12.33316365547045</v>
      </c>
      <c r="O399" s="113">
        <f>IF($H399="Modeled",
INDEX('Fuel Model - Summary'!T:T,MATCH('Fuel Selector'!$C399&amp;" - "&amp;$D399,'Fuel Model - Summary'!$C:$C,0)),0)</f>
        <v>10.940925290913857</v>
      </c>
      <c r="P399" s="113">
        <f>IF($H399="Modeled",
INDEX('Fuel Model - Summary'!U:U,MATCH('Fuel Selector'!$C399&amp;" - "&amp;$D399,'Fuel Model - Summary'!$C:$C,0)),0)</f>
        <v>9.2179454253603428</v>
      </c>
      <c r="Q399" s="113">
        <f>IF($H399="Modeled",
INDEX('Fuel Model - Summary'!V:V,MATCH('Fuel Selector'!$C399&amp;" - "&amp;$D399,'Fuel Model - Summary'!$C:$C,0)),0)</f>
        <v>8.3016287502174997</v>
      </c>
      <c r="R399" s="113">
        <f t="shared" ref="R399:V399" si="223">Q399</f>
        <v>8.3016287502174997</v>
      </c>
      <c r="S399" s="113">
        <f t="shared" si="223"/>
        <v>8.3016287502174997</v>
      </c>
      <c r="T399" s="113">
        <f t="shared" si="223"/>
        <v>8.3016287502174997</v>
      </c>
      <c r="U399" s="113">
        <f t="shared" si="223"/>
        <v>8.3016287502174997</v>
      </c>
      <c r="V399" s="113">
        <f t="shared" si="223"/>
        <v>8.3016287502174997</v>
      </c>
    </row>
    <row r="400" spans="1:22" x14ac:dyDescent="0.2">
      <c r="B400"/>
      <c r="C400"/>
      <c r="D400" s="411"/>
      <c r="E400"/>
      <c r="F400"/>
      <c r="G400"/>
      <c r="H400" s="48"/>
      <c r="I400"/>
    </row>
    <row r="401" spans="1:22" x14ac:dyDescent="0.2">
      <c r="A401" s="29">
        <v>1</v>
      </c>
      <c r="B401" s="334" t="str">
        <f t="shared" ref="B401:B420" si="224">_xlfn.TEXTJOIN(keydelim,TRUE,C401,E401:F401)</f>
        <v>LSFO - Asia - RE cost - USD/GJ</v>
      </c>
      <c r="C401" t="str" cm="1">
        <f t="array" ref="C401">INDEX(list_AE_fuel,A401)</f>
        <v>LSFO</v>
      </c>
      <c r="D401" s="411" t="str">
        <f>IF(E401="Africa&amp;Other","Africa",E401)</f>
        <v>Asia</v>
      </c>
      <c r="E401" t="s">
        <v>198</v>
      </c>
      <c r="F401" t="str">
        <f t="shared" ref="F401:F420" si="225">"RE cost"  &amp;keydelim &amp;I401</f>
        <v>RE cost - USD/GJ</v>
      </c>
      <c r="G401" s="128"/>
      <c r="H401" s="412" t="str" cm="1">
        <f t="array" ref="H401">INDEX('Configurator Specs.'!$CG$5:$CG$24,A401)</f>
        <v>External</v>
      </c>
      <c r="I401" t="s">
        <v>324</v>
      </c>
      <c r="K401" s="113">
        <f>IF($H401="Modeled",
INDEX('Fuel Model - Summary'!P:P,MATCH('Fuel Selector'!$C401&amp;" - "&amp;$D401,'Fuel Model - Summary'!$C:$C,0)),0)</f>
        <v>0</v>
      </c>
      <c r="L401" s="113">
        <f>IF($H401="Modeled",
INDEX('Fuel Model - Summary'!Q:Q,MATCH('Fuel Selector'!$C401&amp;" - "&amp;$D401,'Fuel Model - Summary'!$C:$C,0)),0)</f>
        <v>0</v>
      </c>
      <c r="M401" s="113">
        <f>IF($H401="Modeled",
INDEX('Fuel Model - Summary'!R:R,MATCH('Fuel Selector'!$C401&amp;" - "&amp;$D401,'Fuel Model - Summary'!$C:$C,0)),0)</f>
        <v>0</v>
      </c>
      <c r="N401" s="113">
        <f>IF($H401="Modeled",
INDEX('Fuel Model - Summary'!S:S,MATCH('Fuel Selector'!$C401&amp;" - "&amp;$D401,'Fuel Model - Summary'!$C:$C,0)),0)</f>
        <v>0</v>
      </c>
      <c r="O401" s="113">
        <f>IF($H401="Modeled",
INDEX('Fuel Model - Summary'!T:T,MATCH('Fuel Selector'!$C401&amp;" - "&amp;$D401,'Fuel Model - Summary'!$C:$C,0)),0)</f>
        <v>0</v>
      </c>
      <c r="P401" s="113">
        <f>IF($H401="Modeled",
INDEX('Fuel Model - Summary'!U:U,MATCH('Fuel Selector'!$C401&amp;" - "&amp;$D401,'Fuel Model - Summary'!$C:$C,0)),0)</f>
        <v>0</v>
      </c>
      <c r="Q401" s="113">
        <f>IF($H401="Modeled",
INDEX('Fuel Model - Summary'!V:V,MATCH('Fuel Selector'!$C401&amp;" - "&amp;$D401,'Fuel Model - Summary'!$C:$C,0)),0)</f>
        <v>0</v>
      </c>
      <c r="R401" s="113">
        <f>Q401</f>
        <v>0</v>
      </c>
      <c r="S401" s="113">
        <f t="shared" ref="S401:V401" si="226">R401</f>
        <v>0</v>
      </c>
      <c r="T401" s="113">
        <f t="shared" si="226"/>
        <v>0</v>
      </c>
      <c r="U401" s="113">
        <f t="shared" si="226"/>
        <v>0</v>
      </c>
      <c r="V401" s="113">
        <f t="shared" si="226"/>
        <v>0</v>
      </c>
    </row>
    <row r="402" spans="1:22" x14ac:dyDescent="0.2">
      <c r="A402" s="29">
        <f>A401+1</f>
        <v>2</v>
      </c>
      <c r="B402" s="334" t="str">
        <f t="shared" si="224"/>
        <v>LNG - Asia - RE cost - USD/GJ</v>
      </c>
      <c r="C402" t="str" cm="1">
        <f t="array" ref="C402">INDEX(list_AE_fuel,A402)</f>
        <v>LNG</v>
      </c>
      <c r="D402" s="411" t="str">
        <f t="shared" ref="D402:D420" si="227">IF(E402="Africa&amp;Other","Africa",E402)</f>
        <v>Asia</v>
      </c>
      <c r="E402" t="str">
        <f t="shared" ref="E402:E411" si="228">E401</f>
        <v>Asia</v>
      </c>
      <c r="F402" t="str">
        <f t="shared" si="225"/>
        <v>RE cost - USD/GJ</v>
      </c>
      <c r="G402" s="128"/>
      <c r="H402" s="412" t="str" cm="1">
        <f t="array" ref="H402">INDEX('Configurator Specs.'!$CG$5:$CG$24,A402)</f>
        <v>Modeled</v>
      </c>
      <c r="I402" t="s">
        <v>324</v>
      </c>
      <c r="K402" s="113">
        <f>IF($H402="Modeled",
INDEX('Fuel Model - Summary'!P:P,MATCH('Fuel Selector'!$C402&amp;" - "&amp;$D402,'Fuel Model - Summary'!$C:$C,0)),0)</f>
        <v>0</v>
      </c>
      <c r="L402" s="113">
        <f>IF($H402="Modeled",
INDEX('Fuel Model - Summary'!Q:Q,MATCH('Fuel Selector'!$C402&amp;" - "&amp;$D402,'Fuel Model - Summary'!$C:$C,0)),0)</f>
        <v>0</v>
      </c>
      <c r="M402" s="113">
        <f>IF($H402="Modeled",
INDEX('Fuel Model - Summary'!R:R,MATCH('Fuel Selector'!$C402&amp;" - "&amp;$D402,'Fuel Model - Summary'!$C:$C,0)),0)</f>
        <v>0</v>
      </c>
      <c r="N402" s="113">
        <f>IF($H402="Modeled",
INDEX('Fuel Model - Summary'!S:S,MATCH('Fuel Selector'!$C402&amp;" - "&amp;$D402,'Fuel Model - Summary'!$C:$C,0)),0)</f>
        <v>0</v>
      </c>
      <c r="O402" s="113">
        <f>IF($H402="Modeled",
INDEX('Fuel Model - Summary'!T:T,MATCH('Fuel Selector'!$C402&amp;" - "&amp;$D402,'Fuel Model - Summary'!$C:$C,0)),0)</f>
        <v>0</v>
      </c>
      <c r="P402" s="113">
        <f>IF($H402="Modeled",
INDEX('Fuel Model - Summary'!U:U,MATCH('Fuel Selector'!$C402&amp;" - "&amp;$D402,'Fuel Model - Summary'!$C:$C,0)),0)</f>
        <v>0</v>
      </c>
      <c r="Q402" s="113">
        <f>IF($H402="Modeled",
INDEX('Fuel Model - Summary'!V:V,MATCH('Fuel Selector'!$C402&amp;" - "&amp;$D402,'Fuel Model - Summary'!$C:$C,0)),0)</f>
        <v>0</v>
      </c>
      <c r="R402" s="113">
        <f t="shared" ref="R402:V402" si="229">Q402</f>
        <v>0</v>
      </c>
      <c r="S402" s="113">
        <f t="shared" si="229"/>
        <v>0</v>
      </c>
      <c r="T402" s="113">
        <f t="shared" si="229"/>
        <v>0</v>
      </c>
      <c r="U402" s="113">
        <f t="shared" si="229"/>
        <v>0</v>
      </c>
      <c r="V402" s="113">
        <f t="shared" si="229"/>
        <v>0</v>
      </c>
    </row>
    <row r="403" spans="1:22" x14ac:dyDescent="0.2">
      <c r="A403" s="29">
        <f t="shared" ref="A403:A420" si="230">A402+1</f>
        <v>3</v>
      </c>
      <c r="B403" s="334" t="str">
        <f t="shared" si="224"/>
        <v>LPG - Asia - RE cost - USD/GJ</v>
      </c>
      <c r="C403" t="str" cm="1">
        <f t="array" ref="C403">INDEX(list_AE_fuel,A403)</f>
        <v>LPG</v>
      </c>
      <c r="D403" s="411" t="str">
        <f t="shared" si="227"/>
        <v>Asia</v>
      </c>
      <c r="E403" t="str">
        <f t="shared" si="228"/>
        <v>Asia</v>
      </c>
      <c r="F403" t="str">
        <f t="shared" si="225"/>
        <v>RE cost - USD/GJ</v>
      </c>
      <c r="G403" s="128"/>
      <c r="H403" s="412" t="str" cm="1">
        <f t="array" ref="H403">INDEX('Configurator Specs.'!$CG$5:$CG$24,A403)</f>
        <v>External</v>
      </c>
      <c r="I403" t="s">
        <v>324</v>
      </c>
      <c r="K403" s="113">
        <f>IF($H403="Modeled",
INDEX('Fuel Model - Summary'!P:P,MATCH('Fuel Selector'!$C403&amp;" - "&amp;$D403,'Fuel Model - Summary'!$C:$C,0)),0)</f>
        <v>0</v>
      </c>
      <c r="L403" s="113">
        <f>IF($H403="Modeled",
INDEX('Fuel Model - Summary'!Q:Q,MATCH('Fuel Selector'!$C403&amp;" - "&amp;$D403,'Fuel Model - Summary'!$C:$C,0)),0)</f>
        <v>0</v>
      </c>
      <c r="M403" s="113">
        <f>IF($H403="Modeled",
INDEX('Fuel Model - Summary'!R:R,MATCH('Fuel Selector'!$C403&amp;" - "&amp;$D403,'Fuel Model - Summary'!$C:$C,0)),0)</f>
        <v>0</v>
      </c>
      <c r="N403" s="113">
        <f>IF($H403="Modeled",
INDEX('Fuel Model - Summary'!S:S,MATCH('Fuel Selector'!$C403&amp;" - "&amp;$D403,'Fuel Model - Summary'!$C:$C,0)),0)</f>
        <v>0</v>
      </c>
      <c r="O403" s="113">
        <f>IF($H403="Modeled",
INDEX('Fuel Model - Summary'!T:T,MATCH('Fuel Selector'!$C403&amp;" - "&amp;$D403,'Fuel Model - Summary'!$C:$C,0)),0)</f>
        <v>0</v>
      </c>
      <c r="P403" s="113">
        <f>IF($H403="Modeled",
INDEX('Fuel Model - Summary'!U:U,MATCH('Fuel Selector'!$C403&amp;" - "&amp;$D403,'Fuel Model - Summary'!$C:$C,0)),0)</f>
        <v>0</v>
      </c>
      <c r="Q403" s="113">
        <f>IF($H403="Modeled",
INDEX('Fuel Model - Summary'!V:V,MATCH('Fuel Selector'!$C403&amp;" - "&amp;$D403,'Fuel Model - Summary'!$C:$C,0)),0)</f>
        <v>0</v>
      </c>
      <c r="R403" s="113">
        <f t="shared" ref="R403:V403" si="231">Q403</f>
        <v>0</v>
      </c>
      <c r="S403" s="113">
        <f t="shared" si="231"/>
        <v>0</v>
      </c>
      <c r="T403" s="113">
        <f t="shared" si="231"/>
        <v>0</v>
      </c>
      <c r="U403" s="113">
        <f t="shared" si="231"/>
        <v>0</v>
      </c>
      <c r="V403" s="113">
        <f t="shared" si="231"/>
        <v>0</v>
      </c>
    </row>
    <row r="404" spans="1:22" x14ac:dyDescent="0.2">
      <c r="A404" s="29">
        <f t="shared" si="230"/>
        <v>4</v>
      </c>
      <c r="B404" s="334" t="str">
        <f t="shared" si="224"/>
        <v>Electricity - Asia - RE cost - USD/GJ</v>
      </c>
      <c r="C404" t="str" cm="1">
        <f t="array" ref="C404">INDEX(list_AE_fuel,A404)</f>
        <v>Electricity</v>
      </c>
      <c r="D404" s="411" t="str">
        <f t="shared" si="227"/>
        <v>Asia</v>
      </c>
      <c r="E404" t="str">
        <f t="shared" si="228"/>
        <v>Asia</v>
      </c>
      <c r="F404" t="str">
        <f t="shared" si="225"/>
        <v>RE cost - USD/GJ</v>
      </c>
      <c r="G404" s="128"/>
      <c r="H404" s="412" t="str" cm="1">
        <f t="array" ref="H404">INDEX('Configurator Specs.'!$CG$5:$CG$24,A404)</f>
        <v>External</v>
      </c>
      <c r="I404" t="s">
        <v>324</v>
      </c>
      <c r="K404" s="113">
        <f>IF($H404="Modeled",
INDEX('Fuel Model - Summary'!P:P,MATCH('Fuel Selector'!$C404&amp;" - "&amp;$D404,'Fuel Model - Summary'!$C:$C,0)),0)</f>
        <v>0</v>
      </c>
      <c r="L404" s="113">
        <f>IF($H404="Modeled",
INDEX('Fuel Model - Summary'!Q:Q,MATCH('Fuel Selector'!$C404&amp;" - "&amp;$D404,'Fuel Model - Summary'!$C:$C,0)),0)</f>
        <v>0</v>
      </c>
      <c r="M404" s="113">
        <f>IF($H404="Modeled",
INDEX('Fuel Model - Summary'!R:R,MATCH('Fuel Selector'!$C404&amp;" - "&amp;$D404,'Fuel Model - Summary'!$C:$C,0)),0)</f>
        <v>0</v>
      </c>
      <c r="N404" s="113">
        <f>IF($H404="Modeled",
INDEX('Fuel Model - Summary'!S:S,MATCH('Fuel Selector'!$C404&amp;" - "&amp;$D404,'Fuel Model - Summary'!$C:$C,0)),0)</f>
        <v>0</v>
      </c>
      <c r="O404" s="113">
        <f>IF($H404="Modeled",
INDEX('Fuel Model - Summary'!T:T,MATCH('Fuel Selector'!$C404&amp;" - "&amp;$D404,'Fuel Model - Summary'!$C:$C,0)),0)</f>
        <v>0</v>
      </c>
      <c r="P404" s="113">
        <f>IF($H404="Modeled",
INDEX('Fuel Model - Summary'!U:U,MATCH('Fuel Selector'!$C404&amp;" - "&amp;$D404,'Fuel Model - Summary'!$C:$C,0)),0)</f>
        <v>0</v>
      </c>
      <c r="Q404" s="113">
        <f>IF($H404="Modeled",
INDEX('Fuel Model - Summary'!V:V,MATCH('Fuel Selector'!$C404&amp;" - "&amp;$D404,'Fuel Model - Summary'!$C:$C,0)),0)</f>
        <v>0</v>
      </c>
      <c r="R404" s="113">
        <f t="shared" ref="R404:V404" si="232">Q404</f>
        <v>0</v>
      </c>
      <c r="S404" s="113">
        <f t="shared" si="232"/>
        <v>0</v>
      </c>
      <c r="T404" s="113">
        <f t="shared" si="232"/>
        <v>0</v>
      </c>
      <c r="U404" s="113">
        <f t="shared" si="232"/>
        <v>0</v>
      </c>
      <c r="V404" s="113">
        <f t="shared" si="232"/>
        <v>0</v>
      </c>
    </row>
    <row r="405" spans="1:22" x14ac:dyDescent="0.2">
      <c r="A405" s="29">
        <f t="shared" si="230"/>
        <v>5</v>
      </c>
      <c r="B405" s="334" t="str">
        <f t="shared" si="224"/>
        <v>e-Ammonia - Asia - RE cost - USD/GJ</v>
      </c>
      <c r="C405" t="str" cm="1">
        <f t="array" ref="C405">INDEX(list_AE_fuel,A405)</f>
        <v>e-Ammonia</v>
      </c>
      <c r="D405" s="411" t="str">
        <f t="shared" si="227"/>
        <v>Asia</v>
      </c>
      <c r="E405" t="str">
        <f t="shared" si="228"/>
        <v>Asia</v>
      </c>
      <c r="F405" t="str">
        <f t="shared" si="225"/>
        <v>RE cost - USD/GJ</v>
      </c>
      <c r="G405" s="226"/>
      <c r="H405" s="412" t="str" cm="1">
        <f t="array" ref="H405">INDEX('Configurator Specs.'!$CG$5:$CG$24,A405)</f>
        <v>Modeled</v>
      </c>
      <c r="I405" t="s">
        <v>324</v>
      </c>
      <c r="K405" s="113">
        <f>IF($H405="Modeled",
INDEX('Fuel Model - Summary'!P:P,MATCH('Fuel Selector'!$C405&amp;" - "&amp;$D405,'Fuel Model - Summary'!$C:$C,0)),0)</f>
        <v>43.719337190853778</v>
      </c>
      <c r="L405" s="113">
        <f>IF($H405="Modeled",
INDEX('Fuel Model - Summary'!Q:Q,MATCH('Fuel Selector'!$C405&amp;" - "&amp;$D405,'Fuel Model - Summary'!$C:$C,0)),0)</f>
        <v>28.387036565804912</v>
      </c>
      <c r="M405" s="113">
        <f>IF($H405="Modeled",
INDEX('Fuel Model - Summary'!R:R,MATCH('Fuel Selector'!$C405&amp;" - "&amp;$D405,'Fuel Model - Summary'!$C:$C,0)),0)</f>
        <v>22.662207106677311</v>
      </c>
      <c r="N405" s="113">
        <f>IF($H405="Modeled",
INDEX('Fuel Model - Summary'!S:S,MATCH('Fuel Selector'!$C405&amp;" - "&amp;$D405,'Fuel Model - Summary'!$C:$C,0)),0)</f>
        <v>18.358376734017682</v>
      </c>
      <c r="O405" s="113">
        <f>IF($H405="Modeled",
INDEX('Fuel Model - Summary'!T:T,MATCH('Fuel Selector'!$C405&amp;" - "&amp;$D405,'Fuel Model - Summary'!$C:$C,0)),0)</f>
        <v>15.853382067571896</v>
      </c>
      <c r="P405" s="113">
        <f>IF($H405="Modeled",
INDEX('Fuel Model - Summary'!U:U,MATCH('Fuel Selector'!$C405&amp;" - "&amp;$D405,'Fuel Model - Summary'!$C:$C,0)),0)</f>
        <v>13.215920741732898</v>
      </c>
      <c r="Q405" s="113">
        <f>IF($H405="Modeled",
INDEX('Fuel Model - Summary'!V:V,MATCH('Fuel Selector'!$C405&amp;" - "&amp;$D405,'Fuel Model - Summary'!$C:$C,0)),0)</f>
        <v>11.815709694914906</v>
      </c>
      <c r="R405" s="113">
        <f t="shared" ref="R405:V405" si="233">Q405</f>
        <v>11.815709694914906</v>
      </c>
      <c r="S405" s="113">
        <f t="shared" si="233"/>
        <v>11.815709694914906</v>
      </c>
      <c r="T405" s="113">
        <f t="shared" si="233"/>
        <v>11.815709694914906</v>
      </c>
      <c r="U405" s="113">
        <f t="shared" si="233"/>
        <v>11.815709694914906</v>
      </c>
      <c r="V405" s="113">
        <f t="shared" si="233"/>
        <v>11.815709694914906</v>
      </c>
    </row>
    <row r="406" spans="1:22" x14ac:dyDescent="0.2">
      <c r="A406" s="29">
        <f t="shared" si="230"/>
        <v>6</v>
      </c>
      <c r="B406" s="334" t="str">
        <f t="shared" si="224"/>
        <v>Blue ammonia - Asia - RE cost - USD/GJ</v>
      </c>
      <c r="C406" t="str" cm="1">
        <f t="array" ref="C406">INDEX(list_AE_fuel,A406)</f>
        <v>Blue ammonia</v>
      </c>
      <c r="D406" s="411" t="str">
        <f t="shared" si="227"/>
        <v>Asia</v>
      </c>
      <c r="E406" t="str">
        <f t="shared" si="228"/>
        <v>Asia</v>
      </c>
      <c r="F406" t="str">
        <f t="shared" si="225"/>
        <v>RE cost - USD/GJ</v>
      </c>
      <c r="G406" s="226"/>
      <c r="H406" s="412" t="str" cm="1">
        <f t="array" ref="H406">INDEX('Configurator Specs.'!$CG$5:$CG$24,A406)</f>
        <v>Modeled</v>
      </c>
      <c r="I406" t="s">
        <v>324</v>
      </c>
      <c r="K406" s="113">
        <f>IF($H406="Modeled",
INDEX('Fuel Model - Summary'!P:P,MATCH('Fuel Selector'!$C406&amp;" - "&amp;$D406,'Fuel Model - Summary'!$C:$C,0)),0)</f>
        <v>0</v>
      </c>
      <c r="L406" s="113">
        <f>IF($H406="Modeled",
INDEX('Fuel Model - Summary'!Q:Q,MATCH('Fuel Selector'!$C406&amp;" - "&amp;$D406,'Fuel Model - Summary'!$C:$C,0)),0)</f>
        <v>0</v>
      </c>
      <c r="M406" s="113">
        <f>IF($H406="Modeled",
INDEX('Fuel Model - Summary'!R:R,MATCH('Fuel Selector'!$C406&amp;" - "&amp;$D406,'Fuel Model - Summary'!$C:$C,0)),0)</f>
        <v>0</v>
      </c>
      <c r="N406" s="113">
        <f>IF($H406="Modeled",
INDEX('Fuel Model - Summary'!S:S,MATCH('Fuel Selector'!$C406&amp;" - "&amp;$D406,'Fuel Model - Summary'!$C:$C,0)),0)</f>
        <v>0</v>
      </c>
      <c r="O406" s="113">
        <f>IF($H406="Modeled",
INDEX('Fuel Model - Summary'!T:T,MATCH('Fuel Selector'!$C406&amp;" - "&amp;$D406,'Fuel Model - Summary'!$C:$C,0)),0)</f>
        <v>0</v>
      </c>
      <c r="P406" s="113">
        <f>IF($H406="Modeled",
INDEX('Fuel Model - Summary'!U:U,MATCH('Fuel Selector'!$C406&amp;" - "&amp;$D406,'Fuel Model - Summary'!$C:$C,0)),0)</f>
        <v>0</v>
      </c>
      <c r="Q406" s="113">
        <f>IF($H406="Modeled",
INDEX('Fuel Model - Summary'!V:V,MATCH('Fuel Selector'!$C406&amp;" - "&amp;$D406,'Fuel Model - Summary'!$C:$C,0)),0)</f>
        <v>0</v>
      </c>
      <c r="R406" s="113">
        <f t="shared" ref="R406:V406" si="234">Q406</f>
        <v>0</v>
      </c>
      <c r="S406" s="113">
        <f t="shared" si="234"/>
        <v>0</v>
      </c>
      <c r="T406" s="113">
        <f t="shared" si="234"/>
        <v>0</v>
      </c>
      <c r="U406" s="113">
        <f t="shared" si="234"/>
        <v>0</v>
      </c>
      <c r="V406" s="113">
        <f t="shared" si="234"/>
        <v>0</v>
      </c>
    </row>
    <row r="407" spans="1:22" x14ac:dyDescent="0.2">
      <c r="A407" s="29">
        <f t="shared" si="230"/>
        <v>7</v>
      </c>
      <c r="B407" s="334" t="str">
        <f t="shared" si="224"/>
        <v>Biomethane - Asia - RE cost - USD/GJ</v>
      </c>
      <c r="C407" t="str" cm="1">
        <f t="array" ref="C407">INDEX(list_AE_fuel,A407)</f>
        <v>Biomethane</v>
      </c>
      <c r="D407" s="411" t="str">
        <f t="shared" si="227"/>
        <v>Asia</v>
      </c>
      <c r="E407" t="str">
        <f t="shared" si="228"/>
        <v>Asia</v>
      </c>
      <c r="F407" t="str">
        <f t="shared" si="225"/>
        <v>RE cost - USD/GJ</v>
      </c>
      <c r="G407"/>
      <c r="H407" s="412" t="str" cm="1">
        <f t="array" ref="H407">INDEX('Configurator Specs.'!$CG$5:$CG$24,A407)</f>
        <v>Modeled</v>
      </c>
      <c r="I407" t="s">
        <v>324</v>
      </c>
      <c r="K407" s="113">
        <f>IF($H407="Modeled",
INDEX('Fuel Model - Summary'!P:P,MATCH('Fuel Selector'!$C407&amp;" - "&amp;$D407,'Fuel Model - Summary'!$C:$C,0)),0)</f>
        <v>0</v>
      </c>
      <c r="L407" s="113">
        <f>IF($H407="Modeled",
INDEX('Fuel Model - Summary'!Q:Q,MATCH('Fuel Selector'!$C407&amp;" - "&amp;$D407,'Fuel Model - Summary'!$C:$C,0)),0)</f>
        <v>0</v>
      </c>
      <c r="M407" s="113">
        <f>IF($H407="Modeled",
INDEX('Fuel Model - Summary'!R:R,MATCH('Fuel Selector'!$C407&amp;" - "&amp;$D407,'Fuel Model - Summary'!$C:$C,0)),0)</f>
        <v>0</v>
      </c>
      <c r="N407" s="113">
        <f>IF($H407="Modeled",
INDEX('Fuel Model - Summary'!S:S,MATCH('Fuel Selector'!$C407&amp;" - "&amp;$D407,'Fuel Model - Summary'!$C:$C,0)),0)</f>
        <v>0</v>
      </c>
      <c r="O407" s="113">
        <f>IF($H407="Modeled",
INDEX('Fuel Model - Summary'!T:T,MATCH('Fuel Selector'!$C407&amp;" - "&amp;$D407,'Fuel Model - Summary'!$C:$C,0)),0)</f>
        <v>0</v>
      </c>
      <c r="P407" s="113">
        <f>IF($H407="Modeled",
INDEX('Fuel Model - Summary'!U:U,MATCH('Fuel Selector'!$C407&amp;" - "&amp;$D407,'Fuel Model - Summary'!$C:$C,0)),0)</f>
        <v>0</v>
      </c>
      <c r="Q407" s="113">
        <f>IF($H407="Modeled",
INDEX('Fuel Model - Summary'!V:V,MATCH('Fuel Selector'!$C407&amp;" - "&amp;$D407,'Fuel Model - Summary'!$C:$C,0)),0)</f>
        <v>0</v>
      </c>
      <c r="R407" s="113">
        <f t="shared" ref="R407:V407" si="235">Q407</f>
        <v>0</v>
      </c>
      <c r="S407" s="113">
        <f t="shared" si="235"/>
        <v>0</v>
      </c>
      <c r="T407" s="113">
        <f t="shared" si="235"/>
        <v>0</v>
      </c>
      <c r="U407" s="113">
        <f t="shared" si="235"/>
        <v>0</v>
      </c>
      <c r="V407" s="113">
        <f t="shared" si="235"/>
        <v>0</v>
      </c>
    </row>
    <row r="408" spans="1:22" x14ac:dyDescent="0.2">
      <c r="A408" s="29">
        <f t="shared" si="230"/>
        <v>8</v>
      </c>
      <c r="B408" s="334" t="str">
        <f t="shared" si="224"/>
        <v>e-Methane (DAC) - Asia - RE cost - USD/GJ</v>
      </c>
      <c r="C408" t="str" cm="1">
        <f t="array" ref="C408">INDEX(list_AE_fuel,A408)</f>
        <v>e-Methane (DAC)</v>
      </c>
      <c r="D408" s="411" t="str">
        <f t="shared" si="227"/>
        <v>Asia</v>
      </c>
      <c r="E408" t="str">
        <f t="shared" si="228"/>
        <v>Asia</v>
      </c>
      <c r="F408" t="str">
        <f t="shared" si="225"/>
        <v>RE cost - USD/GJ</v>
      </c>
      <c r="G408" s="226"/>
      <c r="H408" s="412" t="str" cm="1">
        <f t="array" ref="H408">INDEX('Configurator Specs.'!$CG$5:$CG$24,A408)</f>
        <v>Modeled</v>
      </c>
      <c r="I408" t="s">
        <v>324</v>
      </c>
      <c r="K408" s="113">
        <f>IF($H408="Modeled",
INDEX('Fuel Model - Summary'!P:P,MATCH('Fuel Selector'!$C408&amp;" - "&amp;$D408,'Fuel Model - Summary'!$C:$C,0)),0)</f>
        <v>45.179166692015897</v>
      </c>
      <c r="L408" s="113">
        <f>IF($H408="Modeled",
INDEX('Fuel Model - Summary'!Q:Q,MATCH('Fuel Selector'!$C408&amp;" - "&amp;$D408,'Fuel Model - Summary'!$C:$C,0)),0)</f>
        <v>29.333460934357927</v>
      </c>
      <c r="M408" s="113">
        <f>IF($H408="Modeled",
INDEX('Fuel Model - Summary'!R:R,MATCH('Fuel Selector'!$C408&amp;" - "&amp;$D408,'Fuel Model - Summary'!$C:$C,0)),0)</f>
        <v>23.414465737786326</v>
      </c>
      <c r="N408" s="113">
        <f>IF($H408="Modeled",
INDEX('Fuel Model - Summary'!S:S,MATCH('Fuel Selector'!$C408&amp;" - "&amp;$D408,'Fuel Model - Summary'!$C:$C,0)),0)</f>
        <v>18.960319645883665</v>
      </c>
      <c r="O408" s="113">
        <f>IF($H408="Modeled",
INDEX('Fuel Model - Summary'!T:T,MATCH('Fuel Selector'!$C408&amp;" - "&amp;$D408,'Fuel Model - Summary'!$C:$C,0)),0)</f>
        <v>16.364819802281282</v>
      </c>
      <c r="P408" s="113">
        <f>IF($H408="Modeled",
INDEX('Fuel Model - Summary'!U:U,MATCH('Fuel Selector'!$C408&amp;" - "&amp;$D408,'Fuel Model - Summary'!$C:$C,0)),0)</f>
        <v>13.631939141436725</v>
      </c>
      <c r="Q408" s="113">
        <f>IF($H408="Modeled",
INDEX('Fuel Model - Summary'!V:V,MATCH('Fuel Selector'!$C408&amp;" - "&amp;$D408,'Fuel Model - Summary'!$C:$C,0)),0)</f>
        <v>12.17949421938151</v>
      </c>
      <c r="R408" s="113">
        <f t="shared" ref="R408:V408" si="236">Q408</f>
        <v>12.17949421938151</v>
      </c>
      <c r="S408" s="113">
        <f t="shared" si="236"/>
        <v>12.17949421938151</v>
      </c>
      <c r="T408" s="113">
        <f t="shared" si="236"/>
        <v>12.17949421938151</v>
      </c>
      <c r="U408" s="113">
        <f t="shared" si="236"/>
        <v>12.17949421938151</v>
      </c>
      <c r="V408" s="113">
        <f t="shared" si="236"/>
        <v>12.17949421938151</v>
      </c>
    </row>
    <row r="409" spans="1:22" x14ac:dyDescent="0.2">
      <c r="A409" s="29">
        <f t="shared" si="230"/>
        <v>9</v>
      </c>
      <c r="B409" s="334" t="str">
        <f t="shared" si="224"/>
        <v>e-Methane (PS) - Asia - RE cost - USD/GJ</v>
      </c>
      <c r="C409" t="str" cm="1">
        <f t="array" ref="C409">INDEX(list_AE_fuel,A409)</f>
        <v>e-Methane (PS)</v>
      </c>
      <c r="D409" s="411" t="str">
        <f t="shared" si="227"/>
        <v>Asia</v>
      </c>
      <c r="E409" t="str">
        <f t="shared" si="228"/>
        <v>Asia</v>
      </c>
      <c r="F409" t="str">
        <f t="shared" si="225"/>
        <v>RE cost - USD/GJ</v>
      </c>
      <c r="G409" s="226"/>
      <c r="H409" s="412" t="str" cm="1">
        <f t="array" ref="H409">INDEX('Configurator Specs.'!$CG$5:$CG$24,A409)</f>
        <v>Modeled</v>
      </c>
      <c r="I409" t="s">
        <v>324</v>
      </c>
      <c r="K409" s="113">
        <f>IF($H409="Modeled",
INDEX('Fuel Model - Summary'!P:P,MATCH('Fuel Selector'!$C409&amp;" - "&amp;$D409,'Fuel Model - Summary'!$C:$C,0)),0)</f>
        <v>45.179166692015897</v>
      </c>
      <c r="L409" s="113">
        <f>IF($H409="Modeled",
INDEX('Fuel Model - Summary'!Q:Q,MATCH('Fuel Selector'!$C409&amp;" - "&amp;$D409,'Fuel Model - Summary'!$C:$C,0)),0)</f>
        <v>29.333460934357927</v>
      </c>
      <c r="M409" s="113">
        <f>IF($H409="Modeled",
INDEX('Fuel Model - Summary'!R:R,MATCH('Fuel Selector'!$C409&amp;" - "&amp;$D409,'Fuel Model - Summary'!$C:$C,0)),0)</f>
        <v>23.414465737786326</v>
      </c>
      <c r="N409" s="113">
        <f>IF($H409="Modeled",
INDEX('Fuel Model - Summary'!S:S,MATCH('Fuel Selector'!$C409&amp;" - "&amp;$D409,'Fuel Model - Summary'!$C:$C,0)),0)</f>
        <v>18.960319645883665</v>
      </c>
      <c r="O409" s="113">
        <f>IF($H409="Modeled",
INDEX('Fuel Model - Summary'!T:T,MATCH('Fuel Selector'!$C409&amp;" - "&amp;$D409,'Fuel Model - Summary'!$C:$C,0)),0)</f>
        <v>16.364819802281282</v>
      </c>
      <c r="P409" s="113">
        <f>IF($H409="Modeled",
INDEX('Fuel Model - Summary'!U:U,MATCH('Fuel Selector'!$C409&amp;" - "&amp;$D409,'Fuel Model - Summary'!$C:$C,0)),0)</f>
        <v>13.631939141436725</v>
      </c>
      <c r="Q409" s="113">
        <f>IF($H409="Modeled",
INDEX('Fuel Model - Summary'!V:V,MATCH('Fuel Selector'!$C409&amp;" - "&amp;$D409,'Fuel Model - Summary'!$C:$C,0)),0)</f>
        <v>12.17949421938151</v>
      </c>
      <c r="R409" s="113">
        <f t="shared" ref="R409:V409" si="237">Q409</f>
        <v>12.17949421938151</v>
      </c>
      <c r="S409" s="113">
        <f t="shared" si="237"/>
        <v>12.17949421938151</v>
      </c>
      <c r="T409" s="113">
        <f t="shared" si="237"/>
        <v>12.17949421938151</v>
      </c>
      <c r="U409" s="113">
        <f t="shared" si="237"/>
        <v>12.17949421938151</v>
      </c>
      <c r="V409" s="113">
        <f t="shared" si="237"/>
        <v>12.17949421938151</v>
      </c>
    </row>
    <row r="410" spans="1:22" x14ac:dyDescent="0.2">
      <c r="A410" s="29">
        <f t="shared" si="230"/>
        <v>10</v>
      </c>
      <c r="B410" s="334" t="str">
        <f t="shared" si="224"/>
        <v>Biomethanol - Asia - RE cost - USD/GJ</v>
      </c>
      <c r="C410" t="str" cm="1">
        <f t="array" ref="C410">INDEX(list_AE_fuel,A410)</f>
        <v>Biomethanol</v>
      </c>
      <c r="D410" s="411" t="str">
        <f t="shared" si="227"/>
        <v>Asia</v>
      </c>
      <c r="E410" t="str">
        <f t="shared" si="228"/>
        <v>Asia</v>
      </c>
      <c r="F410" t="str">
        <f t="shared" si="225"/>
        <v>RE cost - USD/GJ</v>
      </c>
      <c r="G410"/>
      <c r="H410" s="412" t="str" cm="1">
        <f t="array" ref="H410">INDEX('Configurator Specs.'!$CG$5:$CG$24,A410)</f>
        <v>Modeled</v>
      </c>
      <c r="I410" t="s">
        <v>324</v>
      </c>
      <c r="K410" s="113">
        <f>IF($H410="Modeled",
INDEX('Fuel Model - Summary'!P:P,MATCH('Fuel Selector'!$C410&amp;" - "&amp;$D410,'Fuel Model - Summary'!$C:$C,0)),0)</f>
        <v>0</v>
      </c>
      <c r="L410" s="113">
        <f>IF($H410="Modeled",
INDEX('Fuel Model - Summary'!Q:Q,MATCH('Fuel Selector'!$C410&amp;" - "&amp;$D410,'Fuel Model - Summary'!$C:$C,0)),0)</f>
        <v>0</v>
      </c>
      <c r="M410" s="113">
        <f>IF($H410="Modeled",
INDEX('Fuel Model - Summary'!R:R,MATCH('Fuel Selector'!$C410&amp;" - "&amp;$D410,'Fuel Model - Summary'!$C:$C,0)),0)</f>
        <v>0</v>
      </c>
      <c r="N410" s="113">
        <f>IF($H410="Modeled",
INDEX('Fuel Model - Summary'!S:S,MATCH('Fuel Selector'!$C410&amp;" - "&amp;$D410,'Fuel Model - Summary'!$C:$C,0)),0)</f>
        <v>0</v>
      </c>
      <c r="O410" s="113">
        <f>IF($H410="Modeled",
INDEX('Fuel Model - Summary'!T:T,MATCH('Fuel Selector'!$C410&amp;" - "&amp;$D410,'Fuel Model - Summary'!$C:$C,0)),0)</f>
        <v>0</v>
      </c>
      <c r="P410" s="113">
        <f>IF($H410="Modeled",
INDEX('Fuel Model - Summary'!U:U,MATCH('Fuel Selector'!$C410&amp;" - "&amp;$D410,'Fuel Model - Summary'!$C:$C,0)),0)</f>
        <v>0</v>
      </c>
      <c r="Q410" s="113">
        <f>IF($H410="Modeled",
INDEX('Fuel Model - Summary'!V:V,MATCH('Fuel Selector'!$C410&amp;" - "&amp;$D410,'Fuel Model - Summary'!$C:$C,0)),0)</f>
        <v>0</v>
      </c>
      <c r="R410" s="113">
        <f t="shared" ref="R410:V410" si="238">Q410</f>
        <v>0</v>
      </c>
      <c r="S410" s="113">
        <f t="shared" si="238"/>
        <v>0</v>
      </c>
      <c r="T410" s="113">
        <f t="shared" si="238"/>
        <v>0</v>
      </c>
      <c r="U410" s="113">
        <f t="shared" si="238"/>
        <v>0</v>
      </c>
      <c r="V410" s="113">
        <f t="shared" si="238"/>
        <v>0</v>
      </c>
    </row>
    <row r="411" spans="1:22" x14ac:dyDescent="0.2">
      <c r="A411" s="29">
        <f t="shared" si="230"/>
        <v>11</v>
      </c>
      <c r="B411" s="334" t="str">
        <f t="shared" si="224"/>
        <v>e-Methanol (DAC) - Asia - RE cost - USD/GJ</v>
      </c>
      <c r="C411" t="str" cm="1">
        <f t="array" ref="C411">INDEX(list_AE_fuel,A411)</f>
        <v>e-Methanol (DAC)</v>
      </c>
      <c r="D411" s="411" t="str">
        <f t="shared" si="227"/>
        <v>Asia</v>
      </c>
      <c r="E411" t="str">
        <f t="shared" si="228"/>
        <v>Asia</v>
      </c>
      <c r="F411" t="str">
        <f t="shared" si="225"/>
        <v>RE cost - USD/GJ</v>
      </c>
      <c r="G411"/>
      <c r="H411" s="412" t="str" cm="1">
        <f t="array" ref="H411">INDEX('Configurator Specs.'!$CG$5:$CG$24,A411)</f>
        <v>Modeled</v>
      </c>
      <c r="I411" t="s">
        <v>324</v>
      </c>
      <c r="K411" s="113">
        <f>IF($H411="Modeled",
INDEX('Fuel Model - Summary'!P:P,MATCH('Fuel Selector'!$C411&amp;" - "&amp;$D411,'Fuel Model - Summary'!$C:$C,0)),0)</f>
        <v>49.24022095991306</v>
      </c>
      <c r="L411" s="113">
        <f>IF($H411="Modeled",
INDEX('Fuel Model - Summary'!Q:Q,MATCH('Fuel Selector'!$C411&amp;" - "&amp;$D411,'Fuel Model - Summary'!$C:$C,0)),0)</f>
        <v>31.989488337983904</v>
      </c>
      <c r="M411" s="113">
        <f>IF($H411="Modeled",
INDEX('Fuel Model - Summary'!R:R,MATCH('Fuel Selector'!$C411&amp;" - "&amp;$D411,'Fuel Model - Summary'!$C:$C,0)),0)</f>
        <v>25.578637284530966</v>
      </c>
      <c r="N411" s="113">
        <f>IF($H411="Modeled",
INDEX('Fuel Model - Summary'!S:S,MATCH('Fuel Selector'!$C411&amp;" - "&amp;$D411,'Fuel Model - Summary'!$C:$C,0)),0)</f>
        <v>20.812380528402549</v>
      </c>
      <c r="O411" s="113">
        <f>IF($H411="Modeled",
INDEX('Fuel Model - Summary'!T:T,MATCH('Fuel Selector'!$C411&amp;" - "&amp;$D411,'Fuel Model - Summary'!$C:$C,0)),0)</f>
        <v>18.075236352099573</v>
      </c>
      <c r="P411" s="113">
        <f>IF($H411="Modeled",
INDEX('Fuel Model - Summary'!U:U,MATCH('Fuel Selector'!$C411&amp;" - "&amp;$D411,'Fuel Model - Summary'!$C:$C,0)),0)</f>
        <v>15.19492157348154</v>
      </c>
      <c r="Q411" s="113">
        <f>IF($H411="Modeled",
INDEX('Fuel Model - Summary'!V:V,MATCH('Fuel Selector'!$C411&amp;" - "&amp;$D411,'Fuel Model - Summary'!$C:$C,0)),0)</f>
        <v>13.685122432703562</v>
      </c>
      <c r="R411" s="113">
        <f t="shared" ref="R411:V411" si="239">Q411</f>
        <v>13.685122432703562</v>
      </c>
      <c r="S411" s="113">
        <f t="shared" si="239"/>
        <v>13.685122432703562</v>
      </c>
      <c r="T411" s="113">
        <f t="shared" si="239"/>
        <v>13.685122432703562</v>
      </c>
      <c r="U411" s="113">
        <f t="shared" si="239"/>
        <v>13.685122432703562</v>
      </c>
      <c r="V411" s="113">
        <f t="shared" si="239"/>
        <v>13.685122432703562</v>
      </c>
    </row>
    <row r="412" spans="1:22" x14ac:dyDescent="0.2">
      <c r="A412" s="29">
        <f t="shared" si="230"/>
        <v>12</v>
      </c>
      <c r="B412" s="334" t="str">
        <f t="shared" si="224"/>
        <v>e-Methanol (PS) - Asia - RE cost - USD/GJ</v>
      </c>
      <c r="C412" t="str" cm="1">
        <f t="array" ref="C412">INDEX(list_AE_fuel,A412)</f>
        <v>e-Methanol (PS)</v>
      </c>
      <c r="D412" s="411" t="str">
        <f t="shared" si="227"/>
        <v>Asia</v>
      </c>
      <c r="E412" t="str">
        <f>E411</f>
        <v>Asia</v>
      </c>
      <c r="F412" t="str">
        <f t="shared" si="225"/>
        <v>RE cost - USD/GJ</v>
      </c>
      <c r="G412"/>
      <c r="H412" s="412" t="str" cm="1">
        <f t="array" ref="H412">INDEX('Configurator Specs.'!$CG$5:$CG$24,A412)</f>
        <v>Modeled</v>
      </c>
      <c r="I412" t="s">
        <v>324</v>
      </c>
      <c r="K412" s="113">
        <f>IF($H412="Modeled",
INDEX('Fuel Model - Summary'!P:P,MATCH('Fuel Selector'!$C412&amp;" - "&amp;$D412,'Fuel Model - Summary'!$C:$C,0)),0)</f>
        <v>49.24022095991306</v>
      </c>
      <c r="L412" s="113">
        <f>IF($H412="Modeled",
INDEX('Fuel Model - Summary'!Q:Q,MATCH('Fuel Selector'!$C412&amp;" - "&amp;$D412,'Fuel Model - Summary'!$C:$C,0)),0)</f>
        <v>31.989488337983904</v>
      </c>
      <c r="M412" s="113">
        <f>IF($H412="Modeled",
INDEX('Fuel Model - Summary'!R:R,MATCH('Fuel Selector'!$C412&amp;" - "&amp;$D412,'Fuel Model - Summary'!$C:$C,0)),0)</f>
        <v>25.578637284530966</v>
      </c>
      <c r="N412" s="113">
        <f>IF($H412="Modeled",
INDEX('Fuel Model - Summary'!S:S,MATCH('Fuel Selector'!$C412&amp;" - "&amp;$D412,'Fuel Model - Summary'!$C:$C,0)),0)</f>
        <v>20.812380528402549</v>
      </c>
      <c r="O412" s="113">
        <f>IF($H412="Modeled",
INDEX('Fuel Model - Summary'!T:T,MATCH('Fuel Selector'!$C412&amp;" - "&amp;$D412,'Fuel Model - Summary'!$C:$C,0)),0)</f>
        <v>18.075236352099573</v>
      </c>
      <c r="P412" s="113">
        <f>IF($H412="Modeled",
INDEX('Fuel Model - Summary'!U:U,MATCH('Fuel Selector'!$C412&amp;" - "&amp;$D412,'Fuel Model - Summary'!$C:$C,0)),0)</f>
        <v>15.19492157348154</v>
      </c>
      <c r="Q412" s="113">
        <f>IF($H412="Modeled",
INDEX('Fuel Model - Summary'!V:V,MATCH('Fuel Selector'!$C412&amp;" - "&amp;$D412,'Fuel Model - Summary'!$C:$C,0)),0)</f>
        <v>13.685122432703562</v>
      </c>
      <c r="R412" s="113">
        <f t="shared" ref="R412:V412" si="240">Q412</f>
        <v>13.685122432703562</v>
      </c>
      <c r="S412" s="113">
        <f t="shared" si="240"/>
        <v>13.685122432703562</v>
      </c>
      <c r="T412" s="113">
        <f t="shared" si="240"/>
        <v>13.685122432703562</v>
      </c>
      <c r="U412" s="113">
        <f t="shared" si="240"/>
        <v>13.685122432703562</v>
      </c>
      <c r="V412" s="113">
        <f t="shared" si="240"/>
        <v>13.685122432703562</v>
      </c>
    </row>
    <row r="413" spans="1:22" x14ac:dyDescent="0.2">
      <c r="A413" s="29">
        <f t="shared" si="230"/>
        <v>13</v>
      </c>
      <c r="B413" s="334" t="str">
        <f t="shared" si="224"/>
        <v>Biodiesel (HtL) - Asia - RE cost - USD/GJ</v>
      </c>
      <c r="C413" t="str" cm="1">
        <f t="array" ref="C413">INDEX(list_AE_fuel,A413)</f>
        <v>Biodiesel (HtL)</v>
      </c>
      <c r="D413" s="411" t="str">
        <f t="shared" si="227"/>
        <v>Asia</v>
      </c>
      <c r="E413" t="str">
        <f t="shared" ref="E413:E420" si="241">E412</f>
        <v>Asia</v>
      </c>
      <c r="F413" t="str">
        <f t="shared" si="225"/>
        <v>RE cost - USD/GJ</v>
      </c>
      <c r="G413"/>
      <c r="H413" s="412" t="str" cm="1">
        <f t="array" ref="H413">INDEX('Configurator Specs.'!$CG$5:$CG$24,A413)</f>
        <v>Modeled</v>
      </c>
      <c r="I413" t="s">
        <v>324</v>
      </c>
      <c r="K413" s="113">
        <f>IF($H413="Modeled",
INDEX('Fuel Model - Summary'!P:P,MATCH('Fuel Selector'!$C413&amp;" - "&amp;$D413,'Fuel Model - Summary'!$C:$C,0)),0)</f>
        <v>1.5383130307496238</v>
      </c>
      <c r="L413" s="113">
        <f>IF($H413="Modeled",
INDEX('Fuel Model - Summary'!Q:Q,MATCH('Fuel Selector'!$C413&amp;" - "&amp;$D413,'Fuel Model - Summary'!$C:$C,0)),0)</f>
        <v>1.0034298833673674</v>
      </c>
      <c r="M413" s="113">
        <f>IF($H413="Modeled",
INDEX('Fuel Model - Summary'!R:R,MATCH('Fuel Selector'!$C413&amp;" - "&amp;$D413,'Fuel Model - Summary'!$C:$C,0)),0)</f>
        <v>0.80860269818521702</v>
      </c>
      <c r="N413" s="113">
        <f>IF($H413="Modeled",
INDEX('Fuel Model - Summary'!S:S,MATCH('Fuel Selector'!$C413&amp;" - "&amp;$D413,'Fuel Model - Summary'!$C:$C,0)),0)</f>
        <v>0.67618389551790148</v>
      </c>
      <c r="O413" s="113">
        <f>IF($H413="Modeled",
INDEX('Fuel Model - Summary'!T:T,MATCH('Fuel Selector'!$C413&amp;" - "&amp;$D413,'Fuel Model - Summary'!$C:$C,0)),0)</f>
        <v>0.60811907943045485</v>
      </c>
      <c r="P413" s="113">
        <f>IF($H413="Modeled",
INDEX('Fuel Model - Summary'!U:U,MATCH('Fuel Selector'!$C413&amp;" - "&amp;$D413,'Fuel Model - Summary'!$C:$C,0)),0)</f>
        <v>0.53748660807441317</v>
      </c>
      <c r="Q413" s="113">
        <f>IF($H413="Modeled",
INDEX('Fuel Model - Summary'!V:V,MATCH('Fuel Selector'!$C413&amp;" - "&amp;$D413,'Fuel Model - Summary'!$C:$C,0)),0)</f>
        <v>0.50424794227815239</v>
      </c>
      <c r="R413" s="113">
        <f t="shared" ref="R413:V413" si="242">Q413</f>
        <v>0.50424794227815239</v>
      </c>
      <c r="S413" s="113">
        <f t="shared" si="242"/>
        <v>0.50424794227815239</v>
      </c>
      <c r="T413" s="113">
        <f t="shared" si="242"/>
        <v>0.50424794227815239</v>
      </c>
      <c r="U413" s="113">
        <f t="shared" si="242"/>
        <v>0.50424794227815239</v>
      </c>
      <c r="V413" s="113">
        <f t="shared" si="242"/>
        <v>0.50424794227815239</v>
      </c>
    </row>
    <row r="414" spans="1:22" x14ac:dyDescent="0.2">
      <c r="A414" s="29">
        <f t="shared" si="230"/>
        <v>14</v>
      </c>
      <c r="B414" s="334" t="str">
        <f t="shared" si="224"/>
        <v>Biodiesel (Pyr) - Asia - RE cost - USD/GJ</v>
      </c>
      <c r="C414" t="str" cm="1">
        <f t="array" ref="C414">INDEX(list_AE_fuel,A414)</f>
        <v>Biodiesel (Pyr)</v>
      </c>
      <c r="D414" s="411" t="str">
        <f t="shared" si="227"/>
        <v>Asia</v>
      </c>
      <c r="E414" t="str">
        <f t="shared" si="241"/>
        <v>Asia</v>
      </c>
      <c r="F414" t="str">
        <f t="shared" si="225"/>
        <v>RE cost - USD/GJ</v>
      </c>
      <c r="G414"/>
      <c r="H414" s="412" t="str" cm="1">
        <f t="array" ref="H414">INDEX('Configurator Specs.'!$CG$5:$CG$24,A414)</f>
        <v>Modeled</v>
      </c>
      <c r="I414" t="s">
        <v>324</v>
      </c>
      <c r="K414" s="113">
        <f>IF($H414="Modeled",
INDEX('Fuel Model - Summary'!P:P,MATCH('Fuel Selector'!$C414&amp;" - "&amp;$D414,'Fuel Model - Summary'!$C:$C,0)),0)</f>
        <v>0</v>
      </c>
      <c r="L414" s="113">
        <f>IF($H414="Modeled",
INDEX('Fuel Model - Summary'!Q:Q,MATCH('Fuel Selector'!$C414&amp;" - "&amp;$D414,'Fuel Model - Summary'!$C:$C,0)),0)</f>
        <v>0</v>
      </c>
      <c r="M414" s="113">
        <f>IF($H414="Modeled",
INDEX('Fuel Model - Summary'!R:R,MATCH('Fuel Selector'!$C414&amp;" - "&amp;$D414,'Fuel Model - Summary'!$C:$C,0)),0)</f>
        <v>0</v>
      </c>
      <c r="N414" s="113">
        <f>IF($H414="Modeled",
INDEX('Fuel Model - Summary'!S:S,MATCH('Fuel Selector'!$C414&amp;" - "&amp;$D414,'Fuel Model - Summary'!$C:$C,0)),0)</f>
        <v>0</v>
      </c>
      <c r="O414" s="113">
        <f>IF($H414="Modeled",
INDEX('Fuel Model - Summary'!T:T,MATCH('Fuel Selector'!$C414&amp;" - "&amp;$D414,'Fuel Model - Summary'!$C:$C,0)),0)</f>
        <v>0</v>
      </c>
      <c r="P414" s="113">
        <f>IF($H414="Modeled",
INDEX('Fuel Model - Summary'!U:U,MATCH('Fuel Selector'!$C414&amp;" - "&amp;$D414,'Fuel Model - Summary'!$C:$C,0)),0)</f>
        <v>0</v>
      </c>
      <c r="Q414" s="113">
        <f>IF($H414="Modeled",
INDEX('Fuel Model - Summary'!V:V,MATCH('Fuel Selector'!$C414&amp;" - "&amp;$D414,'Fuel Model - Summary'!$C:$C,0)),0)</f>
        <v>0</v>
      </c>
      <c r="R414" s="113">
        <f t="shared" ref="R414:V414" si="243">Q414</f>
        <v>0</v>
      </c>
      <c r="S414" s="113">
        <f t="shared" si="243"/>
        <v>0</v>
      </c>
      <c r="T414" s="113">
        <f t="shared" si="243"/>
        <v>0</v>
      </c>
      <c r="U414" s="113">
        <f t="shared" si="243"/>
        <v>0</v>
      </c>
      <c r="V414" s="113">
        <f t="shared" si="243"/>
        <v>0</v>
      </c>
    </row>
    <row r="415" spans="1:22" x14ac:dyDescent="0.2">
      <c r="A415" s="29">
        <f t="shared" si="230"/>
        <v>15</v>
      </c>
      <c r="B415" s="334" t="str">
        <f t="shared" si="224"/>
        <v>e-Diesel (DAC) - Asia - RE cost - USD/GJ</v>
      </c>
      <c r="C415" t="str" cm="1">
        <f t="array" ref="C415">INDEX(list_AE_fuel,A415)</f>
        <v>e-Diesel (DAC)</v>
      </c>
      <c r="D415" s="411" t="str">
        <f t="shared" si="227"/>
        <v>Asia</v>
      </c>
      <c r="E415" t="str">
        <f t="shared" si="241"/>
        <v>Asia</v>
      </c>
      <c r="F415" t="str">
        <f t="shared" si="225"/>
        <v>RE cost - USD/GJ</v>
      </c>
      <c r="G415"/>
      <c r="H415" s="412" t="str" cm="1">
        <f t="array" ref="H415">INDEX('Configurator Specs.'!$CG$5:$CG$24,A415)</f>
        <v>Modeled</v>
      </c>
      <c r="I415" t="s">
        <v>324</v>
      </c>
      <c r="K415" s="113">
        <f>IF($H415="Modeled",
INDEX('Fuel Model - Summary'!P:P,MATCH('Fuel Selector'!$C415&amp;" - "&amp;$D415,'Fuel Model - Summary'!$C:$C,0)),0)</f>
        <v>49.844116634684404</v>
      </c>
      <c r="L415" s="113">
        <f>IF($H415="Modeled",
INDEX('Fuel Model - Summary'!Q:Q,MATCH('Fuel Selector'!$C415&amp;" - "&amp;$D415,'Fuel Model - Summary'!$C:$C,0)),0)</f>
        <v>32.317502131991461</v>
      </c>
      <c r="M415" s="113">
        <f>IF($H415="Modeled",
INDEX('Fuel Model - Summary'!R:R,MATCH('Fuel Selector'!$C415&amp;" - "&amp;$D415,'Fuel Model - Summary'!$C:$C,0)),0)</f>
        <v>25.763217613730987</v>
      </c>
      <c r="N415" s="113">
        <f>IF($H415="Modeled",
INDEX('Fuel Model - Summary'!S:S,MATCH('Fuel Selector'!$C415&amp;" - "&amp;$D415,'Fuel Model - Summary'!$C:$C,0)),0)</f>
        <v>20.836217230113114</v>
      </c>
      <c r="O415" s="113">
        <f>IF($H415="Modeled",
INDEX('Fuel Model - Summary'!T:T,MATCH('Fuel Selector'!$C415&amp;" - "&amp;$D415,'Fuel Model - Summary'!$C:$C,0)),0)</f>
        <v>17.96125065445052</v>
      </c>
      <c r="P415" s="113">
        <f>IF($H415="Modeled",
INDEX('Fuel Model - Summary'!U:U,MATCH('Fuel Selector'!$C415&amp;" - "&amp;$D415,'Fuel Model - Summary'!$C:$C,0)),0)</f>
        <v>14.941603642699333</v>
      </c>
      <c r="Q415" s="113">
        <f>IF($H415="Modeled",
INDEX('Fuel Model - Summary'!V:V,MATCH('Fuel Selector'!$C415&amp;" - "&amp;$D415,'Fuel Model - Summary'!$C:$C,0)),0)</f>
        <v>13.331563878829225</v>
      </c>
      <c r="R415" s="113">
        <f t="shared" ref="R415:V415" si="244">Q415</f>
        <v>13.331563878829225</v>
      </c>
      <c r="S415" s="113">
        <f t="shared" si="244"/>
        <v>13.331563878829225</v>
      </c>
      <c r="T415" s="113">
        <f t="shared" si="244"/>
        <v>13.331563878829225</v>
      </c>
      <c r="U415" s="113">
        <f t="shared" si="244"/>
        <v>13.331563878829225</v>
      </c>
      <c r="V415" s="113">
        <f t="shared" si="244"/>
        <v>13.331563878829225</v>
      </c>
    </row>
    <row r="416" spans="1:22" x14ac:dyDescent="0.2">
      <c r="A416" s="29">
        <f t="shared" si="230"/>
        <v>16</v>
      </c>
      <c r="B416" s="334" t="str">
        <f t="shared" si="224"/>
        <v>e-Diesel (PS) - Asia - RE cost - USD/GJ</v>
      </c>
      <c r="C416" t="str" cm="1">
        <f t="array" ref="C416">INDEX(list_AE_fuel,A416)</f>
        <v>e-Diesel (PS)</v>
      </c>
      <c r="D416" s="411" t="str">
        <f t="shared" si="227"/>
        <v>Asia</v>
      </c>
      <c r="E416" t="str">
        <f t="shared" si="241"/>
        <v>Asia</v>
      </c>
      <c r="F416" t="str">
        <f t="shared" si="225"/>
        <v>RE cost - USD/GJ</v>
      </c>
      <c r="G416"/>
      <c r="H416" s="412" t="str" cm="1">
        <f t="array" ref="H416">INDEX('Configurator Specs.'!$CG$5:$CG$24,A416)</f>
        <v>Modeled</v>
      </c>
      <c r="I416" t="s">
        <v>324</v>
      </c>
      <c r="K416" s="113">
        <f>IF($H416="Modeled",
INDEX('Fuel Model - Summary'!P:P,MATCH('Fuel Selector'!$C416&amp;" - "&amp;$D416,'Fuel Model - Summary'!$C:$C,0)),0)</f>
        <v>49.844116634684404</v>
      </c>
      <c r="L416" s="113">
        <f>IF($H416="Modeled",
INDEX('Fuel Model - Summary'!Q:Q,MATCH('Fuel Selector'!$C416&amp;" - "&amp;$D416,'Fuel Model - Summary'!$C:$C,0)),0)</f>
        <v>32.317502131991461</v>
      </c>
      <c r="M416" s="113">
        <f>IF($H416="Modeled",
INDEX('Fuel Model - Summary'!R:R,MATCH('Fuel Selector'!$C416&amp;" - "&amp;$D416,'Fuel Model - Summary'!$C:$C,0)),0)</f>
        <v>25.763217613730987</v>
      </c>
      <c r="N416" s="113">
        <f>IF($H416="Modeled",
INDEX('Fuel Model - Summary'!S:S,MATCH('Fuel Selector'!$C416&amp;" - "&amp;$D416,'Fuel Model - Summary'!$C:$C,0)),0)</f>
        <v>20.836217230113114</v>
      </c>
      <c r="O416" s="113">
        <f>IF($H416="Modeled",
INDEX('Fuel Model - Summary'!T:T,MATCH('Fuel Selector'!$C416&amp;" - "&amp;$D416,'Fuel Model - Summary'!$C:$C,0)),0)</f>
        <v>17.96125065445052</v>
      </c>
      <c r="P416" s="113">
        <f>IF($H416="Modeled",
INDEX('Fuel Model - Summary'!U:U,MATCH('Fuel Selector'!$C416&amp;" - "&amp;$D416,'Fuel Model - Summary'!$C:$C,0)),0)</f>
        <v>14.941603642699333</v>
      </c>
      <c r="Q416" s="113">
        <f>IF($H416="Modeled",
INDEX('Fuel Model - Summary'!V:V,MATCH('Fuel Selector'!$C416&amp;" - "&amp;$D416,'Fuel Model - Summary'!$C:$C,0)),0)</f>
        <v>13.331563878829225</v>
      </c>
      <c r="R416" s="113">
        <f t="shared" ref="R416:V416" si="245">Q416</f>
        <v>13.331563878829225</v>
      </c>
      <c r="S416" s="113">
        <f t="shared" si="245"/>
        <v>13.331563878829225</v>
      </c>
      <c r="T416" s="113">
        <f t="shared" si="245"/>
        <v>13.331563878829225</v>
      </c>
      <c r="U416" s="113">
        <f t="shared" si="245"/>
        <v>13.331563878829225</v>
      </c>
      <c r="V416" s="113">
        <f t="shared" si="245"/>
        <v>13.331563878829225</v>
      </c>
    </row>
    <row r="417" spans="1:22" x14ac:dyDescent="0.2">
      <c r="A417" s="29">
        <f t="shared" si="230"/>
        <v>17</v>
      </c>
      <c r="B417" s="334" t="str">
        <f t="shared" si="224"/>
        <v>Biodiesel (HtL blend) - Asia - RE cost - USD/GJ</v>
      </c>
      <c r="C417" t="str" cm="1">
        <f t="array" ref="C417">INDEX(list_AE_fuel,A417)</f>
        <v>Biodiesel (HtL blend)</v>
      </c>
      <c r="D417" s="411" t="str">
        <f t="shared" si="227"/>
        <v>Asia</v>
      </c>
      <c r="E417" t="str">
        <f t="shared" si="241"/>
        <v>Asia</v>
      </c>
      <c r="F417" t="str">
        <f t="shared" si="225"/>
        <v>RE cost - USD/GJ</v>
      </c>
      <c r="G417"/>
      <c r="H417" s="412" t="str" cm="1">
        <f t="array" ref="H417">INDEX('Configurator Specs.'!$CG$5:$CG$24,A417)</f>
        <v>Modeled</v>
      </c>
      <c r="I417" t="s">
        <v>324</v>
      </c>
      <c r="K417" s="113">
        <f>IF($H417="Modeled",
INDEX('Fuel Model - Summary'!P:P,MATCH('Fuel Selector'!$C417&amp;" - "&amp;$D417,'Fuel Model - Summary'!$C:$C,0)),0)</f>
        <v>0.52360276136316419</v>
      </c>
      <c r="L417" s="113">
        <f>IF($H417="Modeled",
INDEX('Fuel Model - Summary'!Q:Q,MATCH('Fuel Selector'!$C417&amp;" - "&amp;$D417,'Fuel Model - Summary'!$C:$C,0)),0)</f>
        <v>0.34154209661049489</v>
      </c>
      <c r="M417" s="113">
        <f>IF($H417="Modeled",
INDEX('Fuel Model - Summary'!R:R,MATCH('Fuel Selector'!$C417&amp;" - "&amp;$D417,'Fuel Model - Summary'!$C:$C,0)),0)</f>
        <v>0.27522786139903366</v>
      </c>
      <c r="N417" s="113">
        <f>IF($H417="Modeled",
INDEX('Fuel Model - Summary'!S:S,MATCH('Fuel Selector'!$C417&amp;" - "&amp;$D417,'Fuel Model - Summary'!$C:$C,0)),0)</f>
        <v>0.23015585762147786</v>
      </c>
      <c r="O417" s="113">
        <f>IF($H417="Modeled",
INDEX('Fuel Model - Summary'!T:T,MATCH('Fuel Selector'!$C417&amp;" - "&amp;$D417,'Fuel Model - Summary'!$C:$C,0)),0)</f>
        <v>0.20698831958294478</v>
      </c>
      <c r="P417" s="113">
        <f>IF($H417="Modeled",
INDEX('Fuel Model - Summary'!U:U,MATCH('Fuel Selector'!$C417&amp;" - "&amp;$D417,'Fuel Model - Summary'!$C:$C,0)),0)</f>
        <v>0.18294681677781938</v>
      </c>
      <c r="Q417" s="113">
        <f>IF($H417="Modeled",
INDEX('Fuel Model - Summary'!V:V,MATCH('Fuel Selector'!$C417&amp;" - "&amp;$D417,'Fuel Model - Summary'!$C:$C,0)),0)</f>
        <v>0.17163321749921967</v>
      </c>
      <c r="R417" s="113">
        <f t="shared" ref="R417:V417" si="246">Q417</f>
        <v>0.17163321749921967</v>
      </c>
      <c r="S417" s="113">
        <f t="shared" si="246"/>
        <v>0.17163321749921967</v>
      </c>
      <c r="T417" s="113">
        <f t="shared" si="246"/>
        <v>0.17163321749921967</v>
      </c>
      <c r="U417" s="113">
        <f t="shared" si="246"/>
        <v>0.17163321749921967</v>
      </c>
      <c r="V417" s="113">
        <f t="shared" si="246"/>
        <v>0.17163321749921967</v>
      </c>
    </row>
    <row r="418" spans="1:22" x14ac:dyDescent="0.2">
      <c r="A418" s="29">
        <f t="shared" si="230"/>
        <v>18</v>
      </c>
      <c r="B418" s="334" t="str">
        <f t="shared" si="224"/>
        <v>Biodiesel (Pyr blend) - Asia - RE cost - USD/GJ</v>
      </c>
      <c r="C418" t="str" cm="1">
        <f t="array" ref="C418">INDEX(list_AE_fuel,A418)</f>
        <v>Biodiesel (Pyr blend)</v>
      </c>
      <c r="D418" s="411" t="str">
        <f t="shared" si="227"/>
        <v>Asia</v>
      </c>
      <c r="E418" t="str">
        <f t="shared" si="241"/>
        <v>Asia</v>
      </c>
      <c r="F418" t="str">
        <f t="shared" si="225"/>
        <v>RE cost - USD/GJ</v>
      </c>
      <c r="G418"/>
      <c r="H418" s="412" t="str" cm="1">
        <f t="array" ref="H418">INDEX('Configurator Specs.'!$CG$5:$CG$24,A418)</f>
        <v>Modeled</v>
      </c>
      <c r="I418" t="s">
        <v>324</v>
      </c>
      <c r="K418" s="113">
        <f>IF($H418="Modeled",
INDEX('Fuel Model - Summary'!P:P,MATCH('Fuel Selector'!$C418&amp;" - "&amp;$D418,'Fuel Model - Summary'!$C:$C,0)),0)</f>
        <v>0</v>
      </c>
      <c r="L418" s="113">
        <f>IF($H418="Modeled",
INDEX('Fuel Model - Summary'!Q:Q,MATCH('Fuel Selector'!$C418&amp;" - "&amp;$D418,'Fuel Model - Summary'!$C:$C,0)),0)</f>
        <v>0</v>
      </c>
      <c r="M418" s="113">
        <f>IF($H418="Modeled",
INDEX('Fuel Model - Summary'!R:R,MATCH('Fuel Selector'!$C418&amp;" - "&amp;$D418,'Fuel Model - Summary'!$C:$C,0)),0)</f>
        <v>0</v>
      </c>
      <c r="N418" s="113">
        <f>IF($H418="Modeled",
INDEX('Fuel Model - Summary'!S:S,MATCH('Fuel Selector'!$C418&amp;" - "&amp;$D418,'Fuel Model - Summary'!$C:$C,0)),0)</f>
        <v>0</v>
      </c>
      <c r="O418" s="113">
        <f>IF($H418="Modeled",
INDEX('Fuel Model - Summary'!T:T,MATCH('Fuel Selector'!$C418&amp;" - "&amp;$D418,'Fuel Model - Summary'!$C:$C,0)),0)</f>
        <v>0</v>
      </c>
      <c r="P418" s="113">
        <f>IF($H418="Modeled",
INDEX('Fuel Model - Summary'!U:U,MATCH('Fuel Selector'!$C418&amp;" - "&amp;$D418,'Fuel Model - Summary'!$C:$C,0)),0)</f>
        <v>0</v>
      </c>
      <c r="Q418" s="113">
        <f>IF($H418="Modeled",
INDEX('Fuel Model - Summary'!V:V,MATCH('Fuel Selector'!$C418&amp;" - "&amp;$D418,'Fuel Model - Summary'!$C:$C,0)),0)</f>
        <v>0</v>
      </c>
      <c r="R418" s="113">
        <f t="shared" ref="R418:V418" si="247">Q418</f>
        <v>0</v>
      </c>
      <c r="S418" s="113">
        <f t="shared" si="247"/>
        <v>0</v>
      </c>
      <c r="T418" s="113">
        <f t="shared" si="247"/>
        <v>0</v>
      </c>
      <c r="U418" s="113">
        <f t="shared" si="247"/>
        <v>0</v>
      </c>
      <c r="V418" s="113">
        <f t="shared" si="247"/>
        <v>0</v>
      </c>
    </row>
    <row r="419" spans="1:22" x14ac:dyDescent="0.2">
      <c r="A419" s="29">
        <f t="shared" si="230"/>
        <v>19</v>
      </c>
      <c r="B419" s="334" t="str">
        <f t="shared" si="224"/>
        <v>Blue hydrogen (liquid) - Asia - RE cost - USD/GJ</v>
      </c>
      <c r="C419" t="str" cm="1">
        <f t="array" ref="C419">INDEX(list_AE_fuel,A419)</f>
        <v>Blue hydrogen (liquid)</v>
      </c>
      <c r="D419" s="411" t="str">
        <f t="shared" si="227"/>
        <v>Asia</v>
      </c>
      <c r="E419" t="str">
        <f t="shared" si="241"/>
        <v>Asia</v>
      </c>
      <c r="F419" t="str">
        <f t="shared" si="225"/>
        <v>RE cost - USD/GJ</v>
      </c>
      <c r="G419"/>
      <c r="H419" s="412" t="str" cm="1">
        <f t="array" ref="H419">INDEX('Configurator Specs.'!$CG$5:$CG$24,A419)</f>
        <v>Modeled</v>
      </c>
      <c r="I419" t="s">
        <v>324</v>
      </c>
      <c r="K419" s="113">
        <f>IF($H419="Modeled",
INDEX('Fuel Model - Summary'!P:P,MATCH('Fuel Selector'!$C419&amp;" - "&amp;$D419,'Fuel Model - Summary'!$C:$C,0)),0)</f>
        <v>0</v>
      </c>
      <c r="L419" s="113">
        <f>IF($H419="Modeled",
INDEX('Fuel Model - Summary'!Q:Q,MATCH('Fuel Selector'!$C419&amp;" - "&amp;$D419,'Fuel Model - Summary'!$C:$C,0)),0)</f>
        <v>0</v>
      </c>
      <c r="M419" s="113">
        <f>IF($H419="Modeled",
INDEX('Fuel Model - Summary'!R:R,MATCH('Fuel Selector'!$C419&amp;" - "&amp;$D419,'Fuel Model - Summary'!$C:$C,0)),0)</f>
        <v>0</v>
      </c>
      <c r="N419" s="113">
        <f>IF($H419="Modeled",
INDEX('Fuel Model - Summary'!S:S,MATCH('Fuel Selector'!$C419&amp;" - "&amp;$D419,'Fuel Model - Summary'!$C:$C,0)),0)</f>
        <v>0</v>
      </c>
      <c r="O419" s="113">
        <f>IF($H419="Modeled",
INDEX('Fuel Model - Summary'!T:T,MATCH('Fuel Selector'!$C419&amp;" - "&amp;$D419,'Fuel Model - Summary'!$C:$C,0)),0)</f>
        <v>0</v>
      </c>
      <c r="P419" s="113">
        <f>IF($H419="Modeled",
INDEX('Fuel Model - Summary'!U:U,MATCH('Fuel Selector'!$C419&amp;" - "&amp;$D419,'Fuel Model - Summary'!$C:$C,0)),0)</f>
        <v>0</v>
      </c>
      <c r="Q419" s="113">
        <f>IF($H419="Modeled",
INDEX('Fuel Model - Summary'!V:V,MATCH('Fuel Selector'!$C419&amp;" - "&amp;$D419,'Fuel Model - Summary'!$C:$C,0)),0)</f>
        <v>0</v>
      </c>
      <c r="R419" s="113">
        <f t="shared" ref="R419:V419" si="248">Q419</f>
        <v>0</v>
      </c>
      <c r="S419" s="113">
        <f t="shared" si="248"/>
        <v>0</v>
      </c>
      <c r="T419" s="113">
        <f t="shared" si="248"/>
        <v>0</v>
      </c>
      <c r="U419" s="113">
        <f t="shared" si="248"/>
        <v>0</v>
      </c>
      <c r="V419" s="113">
        <f t="shared" si="248"/>
        <v>0</v>
      </c>
    </row>
    <row r="420" spans="1:22" x14ac:dyDescent="0.2">
      <c r="A420" s="29">
        <f t="shared" si="230"/>
        <v>20</v>
      </c>
      <c r="B420" s="334" t="str">
        <f t="shared" si="224"/>
        <v>e-Hydrogen (liquid) - Asia - RE cost - USD/GJ</v>
      </c>
      <c r="C420" t="str" cm="1">
        <f t="array" ref="C420">INDEX(list_AE_fuel,A420)</f>
        <v>e-Hydrogen (liquid)</v>
      </c>
      <c r="D420" s="411" t="str">
        <f t="shared" si="227"/>
        <v>Asia</v>
      </c>
      <c r="E420" t="str">
        <f t="shared" si="241"/>
        <v>Asia</v>
      </c>
      <c r="F420" t="str">
        <f t="shared" si="225"/>
        <v>RE cost - USD/GJ</v>
      </c>
      <c r="G420"/>
      <c r="H420" s="412" t="str" cm="1">
        <f t="array" ref="H420">INDEX('Configurator Specs.'!$CG$5:$CG$24,A420)</f>
        <v>Modeled</v>
      </c>
      <c r="I420" t="s">
        <v>324</v>
      </c>
      <c r="K420" s="113">
        <f>IF($H420="Modeled",
INDEX('Fuel Model - Summary'!P:P,MATCH('Fuel Selector'!$C420&amp;" - "&amp;$D420,'Fuel Model - Summary'!$C:$C,0)),0)</f>
        <v>43.22266176094756</v>
      </c>
      <c r="L420" s="113">
        <f>IF($H420="Modeled",
INDEX('Fuel Model - Summary'!Q:Q,MATCH('Fuel Selector'!$C420&amp;" - "&amp;$D420,'Fuel Model - Summary'!$C:$C,0)),0)</f>
        <v>28.080008604285755</v>
      </c>
      <c r="M420" s="113">
        <f>IF($H420="Modeled",
INDEX('Fuel Model - Summary'!R:R,MATCH('Fuel Selector'!$C420&amp;" - "&amp;$D420,'Fuel Model - Summary'!$C:$C,0)),0)</f>
        <v>22.452404557576973</v>
      </c>
      <c r="N420" s="113">
        <f>IF($H420="Modeled",
INDEX('Fuel Model - Summary'!S:S,MATCH('Fuel Selector'!$C420&amp;" - "&amp;$D420,'Fuel Model - Summary'!$C:$C,0)),0)</f>
        <v>18.268158756401192</v>
      </c>
      <c r="O420" s="113">
        <f>IF($H420="Modeled",
INDEX('Fuel Model - Summary'!T:T,MATCH('Fuel Selector'!$C420&amp;" - "&amp;$D420,'Fuel Model - Summary'!$C:$C,0)),0)</f>
        <v>15.865033435761271</v>
      </c>
      <c r="P420" s="113">
        <f>IF($H420="Modeled",
INDEX('Fuel Model - Summary'!U:U,MATCH('Fuel Selector'!$C420&amp;" - "&amp;$D420,'Fuel Model - Summary'!$C:$C,0)),0)</f>
        <v>13.336199598960404</v>
      </c>
      <c r="Q420" s="113">
        <f>IF($H420="Modeled",
INDEX('Fuel Model - Summary'!V:V,MATCH('Fuel Selector'!$C420&amp;" - "&amp;$D420,'Fuel Model - Summary'!$C:$C,0)),0)</f>
        <v>12.010524858257732</v>
      </c>
      <c r="R420" s="113">
        <f t="shared" ref="R420:V420" si="249">Q420</f>
        <v>12.010524858257732</v>
      </c>
      <c r="S420" s="113">
        <f t="shared" si="249"/>
        <v>12.010524858257732</v>
      </c>
      <c r="T420" s="113">
        <f t="shared" si="249"/>
        <v>12.010524858257732</v>
      </c>
      <c r="U420" s="113">
        <f t="shared" si="249"/>
        <v>12.010524858257732</v>
      </c>
      <c r="V420" s="113">
        <f t="shared" si="249"/>
        <v>12.010524858257732</v>
      </c>
    </row>
    <row r="421" spans="1:22" x14ac:dyDescent="0.2">
      <c r="B421"/>
      <c r="C421"/>
      <c r="D421" s="411"/>
      <c r="E421"/>
      <c r="F421"/>
      <c r="G421"/>
      <c r="H421" s="48"/>
      <c r="I421"/>
    </row>
    <row r="422" spans="1:22" x14ac:dyDescent="0.2">
      <c r="A422" s="29">
        <v>1</v>
      </c>
      <c r="B422" s="334" t="str">
        <f t="shared" ref="B422:B441" si="250">_xlfn.TEXTJOIN(keydelim,TRUE,C422,E422:F422)</f>
        <v>LSFO - Americas - RE cost - USD/GJ</v>
      </c>
      <c r="C422" t="str" cm="1">
        <f t="array" ref="C422">INDEX(list_AE_fuel,A422)</f>
        <v>LSFO</v>
      </c>
      <c r="D422" s="411" t="str">
        <f>IF(E422="Africa&amp;Other","Africa",E422)</f>
        <v>Americas</v>
      </c>
      <c r="E422" t="s">
        <v>199</v>
      </c>
      <c r="F422" t="str">
        <f t="shared" ref="F422:F441" si="251">"RE cost"  &amp;keydelim &amp;I422</f>
        <v>RE cost - USD/GJ</v>
      </c>
      <c r="G422" s="128"/>
      <c r="H422" s="412" t="str" cm="1">
        <f t="array" ref="H422">INDEX('Configurator Specs.'!$CG$5:$CG$24,A422)</f>
        <v>External</v>
      </c>
      <c r="I422" t="s">
        <v>324</v>
      </c>
      <c r="K422" s="113">
        <f>IF($H422="Modeled",
INDEX('Fuel Model - Summary'!P:P,MATCH('Fuel Selector'!$C422&amp;" - "&amp;$D422,'Fuel Model - Summary'!$C:$C,0)),0)</f>
        <v>0</v>
      </c>
      <c r="L422" s="113">
        <f>IF($H422="Modeled",
INDEX('Fuel Model - Summary'!Q:Q,MATCH('Fuel Selector'!$C422&amp;" - "&amp;$D422,'Fuel Model - Summary'!$C:$C,0)),0)</f>
        <v>0</v>
      </c>
      <c r="M422" s="113">
        <f>IF($H422="Modeled",
INDEX('Fuel Model - Summary'!R:R,MATCH('Fuel Selector'!$C422&amp;" - "&amp;$D422,'Fuel Model - Summary'!$C:$C,0)),0)</f>
        <v>0</v>
      </c>
      <c r="N422" s="113">
        <f>IF($H422="Modeled",
INDEX('Fuel Model - Summary'!S:S,MATCH('Fuel Selector'!$C422&amp;" - "&amp;$D422,'Fuel Model - Summary'!$C:$C,0)),0)</f>
        <v>0</v>
      </c>
      <c r="O422" s="113">
        <f>IF($H422="Modeled",
INDEX('Fuel Model - Summary'!T:T,MATCH('Fuel Selector'!$C422&amp;" - "&amp;$D422,'Fuel Model - Summary'!$C:$C,0)),0)</f>
        <v>0</v>
      </c>
      <c r="P422" s="113">
        <f>IF($H422="Modeled",
INDEX('Fuel Model - Summary'!U:U,MATCH('Fuel Selector'!$C422&amp;" - "&amp;$D422,'Fuel Model - Summary'!$C:$C,0)),0)</f>
        <v>0</v>
      </c>
      <c r="Q422" s="113">
        <f>IF($H422="Modeled",
INDEX('Fuel Model - Summary'!V:V,MATCH('Fuel Selector'!$C422&amp;" - "&amp;$D422,'Fuel Model - Summary'!$C:$C,0)),0)</f>
        <v>0</v>
      </c>
      <c r="R422" s="113">
        <f>Q422</f>
        <v>0</v>
      </c>
      <c r="S422" s="113">
        <f t="shared" ref="S422:V422" si="252">R422</f>
        <v>0</v>
      </c>
      <c r="T422" s="113">
        <f t="shared" si="252"/>
        <v>0</v>
      </c>
      <c r="U422" s="113">
        <f t="shared" si="252"/>
        <v>0</v>
      </c>
      <c r="V422" s="113">
        <f t="shared" si="252"/>
        <v>0</v>
      </c>
    </row>
    <row r="423" spans="1:22" x14ac:dyDescent="0.2">
      <c r="A423" s="29">
        <f>A422+1</f>
        <v>2</v>
      </c>
      <c r="B423" s="334" t="str">
        <f t="shared" si="250"/>
        <v>LNG - Americas - RE cost - USD/GJ</v>
      </c>
      <c r="C423" t="str" cm="1">
        <f t="array" ref="C423">INDEX(list_AE_fuel,A423)</f>
        <v>LNG</v>
      </c>
      <c r="D423" s="411" t="str">
        <f t="shared" ref="D423:D441" si="253">IF(E423="Africa&amp;Other","Africa",E423)</f>
        <v>Americas</v>
      </c>
      <c r="E423" t="str">
        <f t="shared" ref="E423:E432" si="254">E422</f>
        <v>Americas</v>
      </c>
      <c r="F423" t="str">
        <f t="shared" si="251"/>
        <v>RE cost - USD/GJ</v>
      </c>
      <c r="G423" s="128"/>
      <c r="H423" s="412" t="str" cm="1">
        <f t="array" ref="H423">INDEX('Configurator Specs.'!$CG$5:$CG$24,A423)</f>
        <v>Modeled</v>
      </c>
      <c r="I423" t="s">
        <v>324</v>
      </c>
      <c r="K423" s="113">
        <f>IF($H423="Modeled",
INDEX('Fuel Model - Summary'!P:P,MATCH('Fuel Selector'!$C423&amp;" - "&amp;$D423,'Fuel Model - Summary'!$C:$C,0)),0)</f>
        <v>0</v>
      </c>
      <c r="L423" s="113">
        <f>IF($H423="Modeled",
INDEX('Fuel Model - Summary'!Q:Q,MATCH('Fuel Selector'!$C423&amp;" - "&amp;$D423,'Fuel Model - Summary'!$C:$C,0)),0)</f>
        <v>0</v>
      </c>
      <c r="M423" s="113">
        <f>IF($H423="Modeled",
INDEX('Fuel Model - Summary'!R:R,MATCH('Fuel Selector'!$C423&amp;" - "&amp;$D423,'Fuel Model - Summary'!$C:$C,0)),0)</f>
        <v>0</v>
      </c>
      <c r="N423" s="113">
        <f>IF($H423="Modeled",
INDEX('Fuel Model - Summary'!S:S,MATCH('Fuel Selector'!$C423&amp;" - "&amp;$D423,'Fuel Model - Summary'!$C:$C,0)),0)</f>
        <v>0</v>
      </c>
      <c r="O423" s="113">
        <f>IF($H423="Modeled",
INDEX('Fuel Model - Summary'!T:T,MATCH('Fuel Selector'!$C423&amp;" - "&amp;$D423,'Fuel Model - Summary'!$C:$C,0)),0)</f>
        <v>0</v>
      </c>
      <c r="P423" s="113">
        <f>IF($H423="Modeled",
INDEX('Fuel Model - Summary'!U:U,MATCH('Fuel Selector'!$C423&amp;" - "&amp;$D423,'Fuel Model - Summary'!$C:$C,0)),0)</f>
        <v>0</v>
      </c>
      <c r="Q423" s="113">
        <f>IF($H423="Modeled",
INDEX('Fuel Model - Summary'!V:V,MATCH('Fuel Selector'!$C423&amp;" - "&amp;$D423,'Fuel Model - Summary'!$C:$C,0)),0)</f>
        <v>0</v>
      </c>
      <c r="R423" s="113">
        <f t="shared" ref="R423:V423" si="255">Q423</f>
        <v>0</v>
      </c>
      <c r="S423" s="113">
        <f t="shared" si="255"/>
        <v>0</v>
      </c>
      <c r="T423" s="113">
        <f t="shared" si="255"/>
        <v>0</v>
      </c>
      <c r="U423" s="113">
        <f t="shared" si="255"/>
        <v>0</v>
      </c>
      <c r="V423" s="113">
        <f t="shared" si="255"/>
        <v>0</v>
      </c>
    </row>
    <row r="424" spans="1:22" x14ac:dyDescent="0.2">
      <c r="A424" s="29">
        <f t="shared" ref="A424:A441" si="256">A423+1</f>
        <v>3</v>
      </c>
      <c r="B424" s="334" t="str">
        <f t="shared" si="250"/>
        <v>LPG - Americas - RE cost - USD/GJ</v>
      </c>
      <c r="C424" t="str" cm="1">
        <f t="array" ref="C424">INDEX(list_AE_fuel,A424)</f>
        <v>LPG</v>
      </c>
      <c r="D424" s="411" t="str">
        <f t="shared" si="253"/>
        <v>Americas</v>
      </c>
      <c r="E424" t="str">
        <f t="shared" si="254"/>
        <v>Americas</v>
      </c>
      <c r="F424" t="str">
        <f t="shared" si="251"/>
        <v>RE cost - USD/GJ</v>
      </c>
      <c r="G424" s="128"/>
      <c r="H424" s="412" t="str" cm="1">
        <f t="array" ref="H424">INDEX('Configurator Specs.'!$CG$5:$CG$24,A424)</f>
        <v>External</v>
      </c>
      <c r="I424" t="s">
        <v>324</v>
      </c>
      <c r="K424" s="113">
        <f>IF($H424="Modeled",
INDEX('Fuel Model - Summary'!P:P,MATCH('Fuel Selector'!$C424&amp;" - "&amp;$D424,'Fuel Model - Summary'!$C:$C,0)),0)</f>
        <v>0</v>
      </c>
      <c r="L424" s="113">
        <f>IF($H424="Modeled",
INDEX('Fuel Model - Summary'!Q:Q,MATCH('Fuel Selector'!$C424&amp;" - "&amp;$D424,'Fuel Model - Summary'!$C:$C,0)),0)</f>
        <v>0</v>
      </c>
      <c r="M424" s="113">
        <f>IF($H424="Modeled",
INDEX('Fuel Model - Summary'!R:R,MATCH('Fuel Selector'!$C424&amp;" - "&amp;$D424,'Fuel Model - Summary'!$C:$C,0)),0)</f>
        <v>0</v>
      </c>
      <c r="N424" s="113">
        <f>IF($H424="Modeled",
INDEX('Fuel Model - Summary'!S:S,MATCH('Fuel Selector'!$C424&amp;" - "&amp;$D424,'Fuel Model - Summary'!$C:$C,0)),0)</f>
        <v>0</v>
      </c>
      <c r="O424" s="113">
        <f>IF($H424="Modeled",
INDEX('Fuel Model - Summary'!T:T,MATCH('Fuel Selector'!$C424&amp;" - "&amp;$D424,'Fuel Model - Summary'!$C:$C,0)),0)</f>
        <v>0</v>
      </c>
      <c r="P424" s="113">
        <f>IF($H424="Modeled",
INDEX('Fuel Model - Summary'!U:U,MATCH('Fuel Selector'!$C424&amp;" - "&amp;$D424,'Fuel Model - Summary'!$C:$C,0)),0)</f>
        <v>0</v>
      </c>
      <c r="Q424" s="113">
        <f>IF($H424="Modeled",
INDEX('Fuel Model - Summary'!V:V,MATCH('Fuel Selector'!$C424&amp;" - "&amp;$D424,'Fuel Model - Summary'!$C:$C,0)),0)</f>
        <v>0</v>
      </c>
      <c r="R424" s="113">
        <f t="shared" ref="R424:V424" si="257">Q424</f>
        <v>0</v>
      </c>
      <c r="S424" s="113">
        <f t="shared" si="257"/>
        <v>0</v>
      </c>
      <c r="T424" s="113">
        <f t="shared" si="257"/>
        <v>0</v>
      </c>
      <c r="U424" s="113">
        <f t="shared" si="257"/>
        <v>0</v>
      </c>
      <c r="V424" s="113">
        <f t="shared" si="257"/>
        <v>0</v>
      </c>
    </row>
    <row r="425" spans="1:22" x14ac:dyDescent="0.2">
      <c r="A425" s="29">
        <f t="shared" si="256"/>
        <v>4</v>
      </c>
      <c r="B425" s="334" t="str">
        <f t="shared" si="250"/>
        <v>Electricity - Americas - RE cost - USD/GJ</v>
      </c>
      <c r="C425" t="str" cm="1">
        <f t="array" ref="C425">INDEX(list_AE_fuel,A425)</f>
        <v>Electricity</v>
      </c>
      <c r="D425" s="411" t="str">
        <f t="shared" si="253"/>
        <v>Americas</v>
      </c>
      <c r="E425" t="str">
        <f t="shared" si="254"/>
        <v>Americas</v>
      </c>
      <c r="F425" t="str">
        <f t="shared" si="251"/>
        <v>RE cost - USD/GJ</v>
      </c>
      <c r="G425" s="128"/>
      <c r="H425" s="412" t="str" cm="1">
        <f t="array" ref="H425">INDEX('Configurator Specs.'!$CG$5:$CG$24,A425)</f>
        <v>External</v>
      </c>
      <c r="I425" t="s">
        <v>324</v>
      </c>
      <c r="K425" s="113">
        <f>IF($H425="Modeled",
INDEX('Fuel Model - Summary'!P:P,MATCH('Fuel Selector'!$C425&amp;" - "&amp;$D425,'Fuel Model - Summary'!$C:$C,0)),0)</f>
        <v>0</v>
      </c>
      <c r="L425" s="113">
        <f>IF($H425="Modeled",
INDEX('Fuel Model - Summary'!Q:Q,MATCH('Fuel Selector'!$C425&amp;" - "&amp;$D425,'Fuel Model - Summary'!$C:$C,0)),0)</f>
        <v>0</v>
      </c>
      <c r="M425" s="113">
        <f>IF($H425="Modeled",
INDEX('Fuel Model - Summary'!R:R,MATCH('Fuel Selector'!$C425&amp;" - "&amp;$D425,'Fuel Model - Summary'!$C:$C,0)),0)</f>
        <v>0</v>
      </c>
      <c r="N425" s="113">
        <f>IF($H425="Modeled",
INDEX('Fuel Model - Summary'!S:S,MATCH('Fuel Selector'!$C425&amp;" - "&amp;$D425,'Fuel Model - Summary'!$C:$C,0)),0)</f>
        <v>0</v>
      </c>
      <c r="O425" s="113">
        <f>IF($H425="Modeled",
INDEX('Fuel Model - Summary'!T:T,MATCH('Fuel Selector'!$C425&amp;" - "&amp;$D425,'Fuel Model - Summary'!$C:$C,0)),0)</f>
        <v>0</v>
      </c>
      <c r="P425" s="113">
        <f>IF($H425="Modeled",
INDEX('Fuel Model - Summary'!U:U,MATCH('Fuel Selector'!$C425&amp;" - "&amp;$D425,'Fuel Model - Summary'!$C:$C,0)),0)</f>
        <v>0</v>
      </c>
      <c r="Q425" s="113">
        <f>IF($H425="Modeled",
INDEX('Fuel Model - Summary'!V:V,MATCH('Fuel Selector'!$C425&amp;" - "&amp;$D425,'Fuel Model - Summary'!$C:$C,0)),0)</f>
        <v>0</v>
      </c>
      <c r="R425" s="113">
        <f t="shared" ref="R425:V425" si="258">Q425</f>
        <v>0</v>
      </c>
      <c r="S425" s="113">
        <f t="shared" si="258"/>
        <v>0</v>
      </c>
      <c r="T425" s="113">
        <f t="shared" si="258"/>
        <v>0</v>
      </c>
      <c r="U425" s="113">
        <f t="shared" si="258"/>
        <v>0</v>
      </c>
      <c r="V425" s="113">
        <f t="shared" si="258"/>
        <v>0</v>
      </c>
    </row>
    <row r="426" spans="1:22" x14ac:dyDescent="0.2">
      <c r="A426" s="29">
        <f t="shared" si="256"/>
        <v>5</v>
      </c>
      <c r="B426" s="334" t="str">
        <f t="shared" si="250"/>
        <v>e-Ammonia - Americas - RE cost - USD/GJ</v>
      </c>
      <c r="C426" t="str" cm="1">
        <f t="array" ref="C426">INDEX(list_AE_fuel,A426)</f>
        <v>e-Ammonia</v>
      </c>
      <c r="D426" s="411" t="str">
        <f t="shared" si="253"/>
        <v>Americas</v>
      </c>
      <c r="E426" t="str">
        <f t="shared" si="254"/>
        <v>Americas</v>
      </c>
      <c r="F426" t="str">
        <f t="shared" si="251"/>
        <v>RE cost - USD/GJ</v>
      </c>
      <c r="G426" s="226"/>
      <c r="H426" s="412" t="str" cm="1">
        <f t="array" ref="H426">INDEX('Configurator Specs.'!$CG$5:$CG$24,A426)</f>
        <v>Modeled</v>
      </c>
      <c r="I426" t="s">
        <v>324</v>
      </c>
      <c r="K426" s="113">
        <f>IF($H426="Modeled",
INDEX('Fuel Model - Summary'!P:P,MATCH('Fuel Selector'!$C426&amp;" - "&amp;$D426,'Fuel Model - Summary'!$C:$C,0)),0)</f>
        <v>20.759815085497248</v>
      </c>
      <c r="L426" s="113">
        <f>IF($H426="Modeled",
INDEX('Fuel Model - Summary'!Q:Q,MATCH('Fuel Selector'!$C426&amp;" - "&amp;$D426,'Fuel Model - Summary'!$C:$C,0)),0)</f>
        <v>18.650106730258152</v>
      </c>
      <c r="M426" s="113">
        <f>IF($H426="Modeled",
INDEX('Fuel Model - Summary'!R:R,MATCH('Fuel Selector'!$C426&amp;" - "&amp;$D426,'Fuel Model - Summary'!$C:$C,0)),0)</f>
        <v>15.047457427903934</v>
      </c>
      <c r="N426" s="113">
        <f>IF($H426="Modeled",
INDEX('Fuel Model - Summary'!S:S,MATCH('Fuel Selector'!$C426&amp;" - "&amp;$D426,'Fuel Model - Summary'!$C:$C,0)),0)</f>
        <v>12.962203597742349</v>
      </c>
      <c r="O426" s="113">
        <f>IF($H426="Modeled",
INDEX('Fuel Model - Summary'!T:T,MATCH('Fuel Selector'!$C426&amp;" - "&amp;$D426,'Fuel Model - Summary'!$C:$C,0)),0)</f>
        <v>11.189805245583912</v>
      </c>
      <c r="P426" s="113">
        <f>IF($H426="Modeled",
INDEX('Fuel Model - Summary'!U:U,MATCH('Fuel Selector'!$C426&amp;" - "&amp;$D426,'Fuel Model - Summary'!$C:$C,0)),0)</f>
        <v>10.056670652543788</v>
      </c>
      <c r="Q426" s="113">
        <f>IF($H426="Modeled",
INDEX('Fuel Model - Summary'!V:V,MATCH('Fuel Selector'!$C426&amp;" - "&amp;$D426,'Fuel Model - Summary'!$C:$C,0)),0)</f>
        <v>9.2199684227541123</v>
      </c>
      <c r="R426" s="113">
        <f t="shared" ref="R426:V426" si="259">Q426</f>
        <v>9.2199684227541123</v>
      </c>
      <c r="S426" s="113">
        <f t="shared" si="259"/>
        <v>9.2199684227541123</v>
      </c>
      <c r="T426" s="113">
        <f t="shared" si="259"/>
        <v>9.2199684227541123</v>
      </c>
      <c r="U426" s="113">
        <f t="shared" si="259"/>
        <v>9.2199684227541123</v>
      </c>
      <c r="V426" s="113">
        <f t="shared" si="259"/>
        <v>9.2199684227541123</v>
      </c>
    </row>
    <row r="427" spans="1:22" x14ac:dyDescent="0.2">
      <c r="A427" s="29">
        <f t="shared" si="256"/>
        <v>6</v>
      </c>
      <c r="B427" s="334" t="str">
        <f t="shared" si="250"/>
        <v>Blue ammonia - Americas - RE cost - USD/GJ</v>
      </c>
      <c r="C427" t="str" cm="1">
        <f t="array" ref="C427">INDEX(list_AE_fuel,A427)</f>
        <v>Blue ammonia</v>
      </c>
      <c r="D427" s="411" t="str">
        <f t="shared" si="253"/>
        <v>Americas</v>
      </c>
      <c r="E427" t="str">
        <f t="shared" si="254"/>
        <v>Americas</v>
      </c>
      <c r="F427" t="str">
        <f t="shared" si="251"/>
        <v>RE cost - USD/GJ</v>
      </c>
      <c r="G427" s="226"/>
      <c r="H427" s="412" t="str" cm="1">
        <f t="array" ref="H427">INDEX('Configurator Specs.'!$CG$5:$CG$24,A427)</f>
        <v>Modeled</v>
      </c>
      <c r="I427" t="s">
        <v>324</v>
      </c>
      <c r="K427" s="113">
        <f>IF($H427="Modeled",
INDEX('Fuel Model - Summary'!P:P,MATCH('Fuel Selector'!$C427&amp;" - "&amp;$D427,'Fuel Model - Summary'!$C:$C,0)),0)</f>
        <v>0</v>
      </c>
      <c r="L427" s="113">
        <f>IF($H427="Modeled",
INDEX('Fuel Model - Summary'!Q:Q,MATCH('Fuel Selector'!$C427&amp;" - "&amp;$D427,'Fuel Model - Summary'!$C:$C,0)),0)</f>
        <v>0</v>
      </c>
      <c r="M427" s="113">
        <f>IF($H427="Modeled",
INDEX('Fuel Model - Summary'!R:R,MATCH('Fuel Selector'!$C427&amp;" - "&amp;$D427,'Fuel Model - Summary'!$C:$C,0)),0)</f>
        <v>0</v>
      </c>
      <c r="N427" s="113">
        <f>IF($H427="Modeled",
INDEX('Fuel Model - Summary'!S:S,MATCH('Fuel Selector'!$C427&amp;" - "&amp;$D427,'Fuel Model - Summary'!$C:$C,0)),0)</f>
        <v>0</v>
      </c>
      <c r="O427" s="113">
        <f>IF($H427="Modeled",
INDEX('Fuel Model - Summary'!T:T,MATCH('Fuel Selector'!$C427&amp;" - "&amp;$D427,'Fuel Model - Summary'!$C:$C,0)),0)</f>
        <v>0</v>
      </c>
      <c r="P427" s="113">
        <f>IF($H427="Modeled",
INDEX('Fuel Model - Summary'!U:U,MATCH('Fuel Selector'!$C427&amp;" - "&amp;$D427,'Fuel Model - Summary'!$C:$C,0)),0)</f>
        <v>0</v>
      </c>
      <c r="Q427" s="113">
        <f>IF($H427="Modeled",
INDEX('Fuel Model - Summary'!V:V,MATCH('Fuel Selector'!$C427&amp;" - "&amp;$D427,'Fuel Model - Summary'!$C:$C,0)),0)</f>
        <v>0</v>
      </c>
      <c r="R427" s="113">
        <f t="shared" ref="R427:V427" si="260">Q427</f>
        <v>0</v>
      </c>
      <c r="S427" s="113">
        <f t="shared" si="260"/>
        <v>0</v>
      </c>
      <c r="T427" s="113">
        <f t="shared" si="260"/>
        <v>0</v>
      </c>
      <c r="U427" s="113">
        <f t="shared" si="260"/>
        <v>0</v>
      </c>
      <c r="V427" s="113">
        <f t="shared" si="260"/>
        <v>0</v>
      </c>
    </row>
    <row r="428" spans="1:22" x14ac:dyDescent="0.2">
      <c r="A428" s="29">
        <f t="shared" si="256"/>
        <v>7</v>
      </c>
      <c r="B428" s="334" t="str">
        <f t="shared" si="250"/>
        <v>Biomethane - Americas - RE cost - USD/GJ</v>
      </c>
      <c r="C428" t="str" cm="1">
        <f t="array" ref="C428">INDEX(list_AE_fuel,A428)</f>
        <v>Biomethane</v>
      </c>
      <c r="D428" s="411" t="str">
        <f t="shared" si="253"/>
        <v>Americas</v>
      </c>
      <c r="E428" t="str">
        <f t="shared" si="254"/>
        <v>Americas</v>
      </c>
      <c r="F428" t="str">
        <f t="shared" si="251"/>
        <v>RE cost - USD/GJ</v>
      </c>
      <c r="G428"/>
      <c r="H428" s="412" t="str" cm="1">
        <f t="array" ref="H428">INDEX('Configurator Specs.'!$CG$5:$CG$24,A428)</f>
        <v>Modeled</v>
      </c>
      <c r="I428" t="s">
        <v>324</v>
      </c>
      <c r="K428" s="113">
        <f>IF($H428="Modeled",
INDEX('Fuel Model - Summary'!P:P,MATCH('Fuel Selector'!$C428&amp;" - "&amp;$D428,'Fuel Model - Summary'!$C:$C,0)),0)</f>
        <v>0</v>
      </c>
      <c r="L428" s="113">
        <f>IF($H428="Modeled",
INDEX('Fuel Model - Summary'!Q:Q,MATCH('Fuel Selector'!$C428&amp;" - "&amp;$D428,'Fuel Model - Summary'!$C:$C,0)),0)</f>
        <v>0</v>
      </c>
      <c r="M428" s="113">
        <f>IF($H428="Modeled",
INDEX('Fuel Model - Summary'!R:R,MATCH('Fuel Selector'!$C428&amp;" - "&amp;$D428,'Fuel Model - Summary'!$C:$C,0)),0)</f>
        <v>0</v>
      </c>
      <c r="N428" s="113">
        <f>IF($H428="Modeled",
INDEX('Fuel Model - Summary'!S:S,MATCH('Fuel Selector'!$C428&amp;" - "&amp;$D428,'Fuel Model - Summary'!$C:$C,0)),0)</f>
        <v>0</v>
      </c>
      <c r="O428" s="113">
        <f>IF($H428="Modeled",
INDEX('Fuel Model - Summary'!T:T,MATCH('Fuel Selector'!$C428&amp;" - "&amp;$D428,'Fuel Model - Summary'!$C:$C,0)),0)</f>
        <v>0</v>
      </c>
      <c r="P428" s="113">
        <f>IF($H428="Modeled",
INDEX('Fuel Model - Summary'!U:U,MATCH('Fuel Selector'!$C428&amp;" - "&amp;$D428,'Fuel Model - Summary'!$C:$C,0)),0)</f>
        <v>0</v>
      </c>
      <c r="Q428" s="113">
        <f>IF($H428="Modeled",
INDEX('Fuel Model - Summary'!V:V,MATCH('Fuel Selector'!$C428&amp;" - "&amp;$D428,'Fuel Model - Summary'!$C:$C,0)),0)</f>
        <v>0</v>
      </c>
      <c r="R428" s="113">
        <f t="shared" ref="R428:V428" si="261">Q428</f>
        <v>0</v>
      </c>
      <c r="S428" s="113">
        <f t="shared" si="261"/>
        <v>0</v>
      </c>
      <c r="T428" s="113">
        <f t="shared" si="261"/>
        <v>0</v>
      </c>
      <c r="U428" s="113">
        <f t="shared" si="261"/>
        <v>0</v>
      </c>
      <c r="V428" s="113">
        <f t="shared" si="261"/>
        <v>0</v>
      </c>
    </row>
    <row r="429" spans="1:22" x14ac:dyDescent="0.2">
      <c r="A429" s="29">
        <f t="shared" si="256"/>
        <v>8</v>
      </c>
      <c r="B429" s="334" t="str">
        <f t="shared" si="250"/>
        <v>e-Methane (DAC) - Americas - RE cost - USD/GJ</v>
      </c>
      <c r="C429" t="str" cm="1">
        <f t="array" ref="C429">INDEX(list_AE_fuel,A429)</f>
        <v>e-Methane (DAC)</v>
      </c>
      <c r="D429" s="411" t="str">
        <f t="shared" si="253"/>
        <v>Americas</v>
      </c>
      <c r="E429" t="str">
        <f t="shared" si="254"/>
        <v>Americas</v>
      </c>
      <c r="F429" t="str">
        <f t="shared" si="251"/>
        <v>RE cost - USD/GJ</v>
      </c>
      <c r="G429" s="226"/>
      <c r="H429" s="412" t="str" cm="1">
        <f t="array" ref="H429">INDEX('Configurator Specs.'!$CG$5:$CG$24,A429)</f>
        <v>Modeled</v>
      </c>
      <c r="I429" t="s">
        <v>324</v>
      </c>
      <c r="K429" s="113">
        <f>IF($H429="Modeled",
INDEX('Fuel Model - Summary'!P:P,MATCH('Fuel Selector'!$C429&amp;" - "&amp;$D429,'Fuel Model - Summary'!$C:$C,0)),0)</f>
        <v>21.453004700156349</v>
      </c>
      <c r="L429" s="113">
        <f>IF($H429="Modeled",
INDEX('Fuel Model - Summary'!Q:Q,MATCH('Fuel Selector'!$C429&amp;" - "&amp;$D429,'Fuel Model - Summary'!$C:$C,0)),0)</f>
        <v>19.271901662769473</v>
      </c>
      <c r="M429" s="113">
        <f>IF($H429="Modeled",
INDEX('Fuel Model - Summary'!R:R,MATCH('Fuel Selector'!$C429&amp;" - "&amp;$D429,'Fuel Model - Summary'!$C:$C,0)),0)</f>
        <v>15.546948923727872</v>
      </c>
      <c r="N429" s="113">
        <f>IF($H429="Modeled",
INDEX('Fuel Model - Summary'!S:S,MATCH('Fuel Selector'!$C429&amp;" - "&amp;$D429,'Fuel Model - Summary'!$C:$C,0)),0)</f>
        <v>13.387214299443812</v>
      </c>
      <c r="O429" s="113">
        <f>IF($H429="Modeled",
INDEX('Fuel Model - Summary'!T:T,MATCH('Fuel Selector'!$C429&amp;" - "&amp;$D429,'Fuel Model - Summary'!$C:$C,0)),0)</f>
        <v>11.550793747737456</v>
      </c>
      <c r="P429" s="113">
        <f>IF($H429="Modeled",
INDEX('Fuel Model - Summary'!U:U,MATCH('Fuel Selector'!$C429&amp;" - "&amp;$D429,'Fuel Model - Summary'!$C:$C,0)),0)</f>
        <v>10.373240350030571</v>
      </c>
      <c r="Q429" s="113">
        <f>IF($H429="Modeled",
INDEX('Fuel Model - Summary'!V:V,MATCH('Fuel Selector'!$C429&amp;" - "&amp;$D429,'Fuel Model - Summary'!$C:$C,0)),0)</f>
        <v>9.5038347257415836</v>
      </c>
      <c r="R429" s="113">
        <f t="shared" ref="R429:V429" si="262">Q429</f>
        <v>9.5038347257415836</v>
      </c>
      <c r="S429" s="113">
        <f t="shared" si="262"/>
        <v>9.5038347257415836</v>
      </c>
      <c r="T429" s="113">
        <f t="shared" si="262"/>
        <v>9.5038347257415836</v>
      </c>
      <c r="U429" s="113">
        <f t="shared" si="262"/>
        <v>9.5038347257415836</v>
      </c>
      <c r="V429" s="113">
        <f t="shared" si="262"/>
        <v>9.5038347257415836</v>
      </c>
    </row>
    <row r="430" spans="1:22" x14ac:dyDescent="0.2">
      <c r="A430" s="29">
        <f t="shared" si="256"/>
        <v>9</v>
      </c>
      <c r="B430" s="334" t="str">
        <f t="shared" si="250"/>
        <v>e-Methane (PS) - Americas - RE cost - USD/GJ</v>
      </c>
      <c r="C430" t="str" cm="1">
        <f t="array" ref="C430">INDEX(list_AE_fuel,A430)</f>
        <v>e-Methane (PS)</v>
      </c>
      <c r="D430" s="411" t="str">
        <f t="shared" si="253"/>
        <v>Americas</v>
      </c>
      <c r="E430" t="str">
        <f t="shared" si="254"/>
        <v>Americas</v>
      </c>
      <c r="F430" t="str">
        <f t="shared" si="251"/>
        <v>RE cost - USD/GJ</v>
      </c>
      <c r="G430" s="226"/>
      <c r="H430" s="412" t="str" cm="1">
        <f t="array" ref="H430">INDEX('Configurator Specs.'!$CG$5:$CG$24,A430)</f>
        <v>Modeled</v>
      </c>
      <c r="I430" t="s">
        <v>324</v>
      </c>
      <c r="K430" s="113">
        <f>IF($H430="Modeled",
INDEX('Fuel Model - Summary'!P:P,MATCH('Fuel Selector'!$C430&amp;" - "&amp;$D430,'Fuel Model - Summary'!$C:$C,0)),0)</f>
        <v>21.453004700156349</v>
      </c>
      <c r="L430" s="113">
        <f>IF($H430="Modeled",
INDEX('Fuel Model - Summary'!Q:Q,MATCH('Fuel Selector'!$C430&amp;" - "&amp;$D430,'Fuel Model - Summary'!$C:$C,0)),0)</f>
        <v>19.271901662769473</v>
      </c>
      <c r="M430" s="113">
        <f>IF($H430="Modeled",
INDEX('Fuel Model - Summary'!R:R,MATCH('Fuel Selector'!$C430&amp;" - "&amp;$D430,'Fuel Model - Summary'!$C:$C,0)),0)</f>
        <v>15.546948923727872</v>
      </c>
      <c r="N430" s="113">
        <f>IF($H430="Modeled",
INDEX('Fuel Model - Summary'!S:S,MATCH('Fuel Selector'!$C430&amp;" - "&amp;$D430,'Fuel Model - Summary'!$C:$C,0)),0)</f>
        <v>13.387214299443812</v>
      </c>
      <c r="O430" s="113">
        <f>IF($H430="Modeled",
INDEX('Fuel Model - Summary'!T:T,MATCH('Fuel Selector'!$C430&amp;" - "&amp;$D430,'Fuel Model - Summary'!$C:$C,0)),0)</f>
        <v>11.550793747737456</v>
      </c>
      <c r="P430" s="113">
        <f>IF($H430="Modeled",
INDEX('Fuel Model - Summary'!U:U,MATCH('Fuel Selector'!$C430&amp;" - "&amp;$D430,'Fuel Model - Summary'!$C:$C,0)),0)</f>
        <v>10.373240350030571</v>
      </c>
      <c r="Q430" s="113">
        <f>IF($H430="Modeled",
INDEX('Fuel Model - Summary'!V:V,MATCH('Fuel Selector'!$C430&amp;" - "&amp;$D430,'Fuel Model - Summary'!$C:$C,0)),0)</f>
        <v>9.5038347257415836</v>
      </c>
      <c r="R430" s="113">
        <f t="shared" ref="R430:V430" si="263">Q430</f>
        <v>9.5038347257415836</v>
      </c>
      <c r="S430" s="113">
        <f t="shared" si="263"/>
        <v>9.5038347257415836</v>
      </c>
      <c r="T430" s="113">
        <f t="shared" si="263"/>
        <v>9.5038347257415836</v>
      </c>
      <c r="U430" s="113">
        <f t="shared" si="263"/>
        <v>9.5038347257415836</v>
      </c>
      <c r="V430" s="113">
        <f t="shared" si="263"/>
        <v>9.5038347257415836</v>
      </c>
    </row>
    <row r="431" spans="1:22" x14ac:dyDescent="0.2">
      <c r="A431" s="29">
        <f t="shared" si="256"/>
        <v>10</v>
      </c>
      <c r="B431" s="334" t="str">
        <f t="shared" si="250"/>
        <v>Biomethanol - Americas - RE cost - USD/GJ</v>
      </c>
      <c r="C431" t="str" cm="1">
        <f t="array" ref="C431">INDEX(list_AE_fuel,A431)</f>
        <v>Biomethanol</v>
      </c>
      <c r="D431" s="411" t="str">
        <f t="shared" si="253"/>
        <v>Americas</v>
      </c>
      <c r="E431" t="str">
        <f t="shared" si="254"/>
        <v>Americas</v>
      </c>
      <c r="F431" t="str">
        <f t="shared" si="251"/>
        <v>RE cost - USD/GJ</v>
      </c>
      <c r="G431"/>
      <c r="H431" s="412" t="str" cm="1">
        <f t="array" ref="H431">INDEX('Configurator Specs.'!$CG$5:$CG$24,A431)</f>
        <v>Modeled</v>
      </c>
      <c r="I431" t="s">
        <v>324</v>
      </c>
      <c r="K431" s="113">
        <f>IF($H431="Modeled",
INDEX('Fuel Model - Summary'!P:P,MATCH('Fuel Selector'!$C431&amp;" - "&amp;$D431,'Fuel Model - Summary'!$C:$C,0)),0)</f>
        <v>0</v>
      </c>
      <c r="L431" s="113">
        <f>IF($H431="Modeled",
INDEX('Fuel Model - Summary'!Q:Q,MATCH('Fuel Selector'!$C431&amp;" - "&amp;$D431,'Fuel Model - Summary'!$C:$C,0)),0)</f>
        <v>0</v>
      </c>
      <c r="M431" s="113">
        <f>IF($H431="Modeled",
INDEX('Fuel Model - Summary'!R:R,MATCH('Fuel Selector'!$C431&amp;" - "&amp;$D431,'Fuel Model - Summary'!$C:$C,0)),0)</f>
        <v>0</v>
      </c>
      <c r="N431" s="113">
        <f>IF($H431="Modeled",
INDEX('Fuel Model - Summary'!S:S,MATCH('Fuel Selector'!$C431&amp;" - "&amp;$D431,'Fuel Model - Summary'!$C:$C,0)),0)</f>
        <v>0</v>
      </c>
      <c r="O431" s="113">
        <f>IF($H431="Modeled",
INDEX('Fuel Model - Summary'!T:T,MATCH('Fuel Selector'!$C431&amp;" - "&amp;$D431,'Fuel Model - Summary'!$C:$C,0)),0)</f>
        <v>0</v>
      </c>
      <c r="P431" s="113">
        <f>IF($H431="Modeled",
INDEX('Fuel Model - Summary'!U:U,MATCH('Fuel Selector'!$C431&amp;" - "&amp;$D431,'Fuel Model - Summary'!$C:$C,0)),0)</f>
        <v>0</v>
      </c>
      <c r="Q431" s="113">
        <f>IF($H431="Modeled",
INDEX('Fuel Model - Summary'!V:V,MATCH('Fuel Selector'!$C431&amp;" - "&amp;$D431,'Fuel Model - Summary'!$C:$C,0)),0)</f>
        <v>0</v>
      </c>
      <c r="R431" s="113">
        <f t="shared" ref="R431:V431" si="264">Q431</f>
        <v>0</v>
      </c>
      <c r="S431" s="113">
        <f t="shared" si="264"/>
        <v>0</v>
      </c>
      <c r="T431" s="113">
        <f t="shared" si="264"/>
        <v>0</v>
      </c>
      <c r="U431" s="113">
        <f t="shared" si="264"/>
        <v>0</v>
      </c>
      <c r="V431" s="113">
        <f t="shared" si="264"/>
        <v>0</v>
      </c>
    </row>
    <row r="432" spans="1:22" x14ac:dyDescent="0.2">
      <c r="A432" s="29">
        <f t="shared" si="256"/>
        <v>11</v>
      </c>
      <c r="B432" s="334" t="str">
        <f t="shared" si="250"/>
        <v>e-Methanol (DAC) - Americas - RE cost - USD/GJ</v>
      </c>
      <c r="C432" t="str" cm="1">
        <f t="array" ref="C432">INDEX(list_AE_fuel,A432)</f>
        <v>e-Methanol (DAC)</v>
      </c>
      <c r="D432" s="411" t="str">
        <f t="shared" si="253"/>
        <v>Americas</v>
      </c>
      <c r="E432" t="str">
        <f t="shared" si="254"/>
        <v>Americas</v>
      </c>
      <c r="F432" t="str">
        <f t="shared" si="251"/>
        <v>RE cost - USD/GJ</v>
      </c>
      <c r="G432"/>
      <c r="H432" s="412" t="str" cm="1">
        <f t="array" ref="H432">INDEX('Configurator Specs.'!$CG$5:$CG$24,A432)</f>
        <v>Modeled</v>
      </c>
      <c r="I432" t="s">
        <v>324</v>
      </c>
      <c r="K432" s="113">
        <f>IF($H432="Modeled",
INDEX('Fuel Model - Summary'!P:P,MATCH('Fuel Selector'!$C432&amp;" - "&amp;$D432,'Fuel Model - Summary'!$C:$C,0)),0)</f>
        <v>23.381367321155825</v>
      </c>
      <c r="L432" s="113">
        <f>IF($H432="Modeled",
INDEX('Fuel Model - Summary'!Q:Q,MATCH('Fuel Selector'!$C432&amp;" - "&amp;$D432,'Fuel Model - Summary'!$C:$C,0)),0)</f>
        <v>21.016895172087917</v>
      </c>
      <c r="M432" s="113">
        <f>IF($H432="Modeled",
INDEX('Fuel Model - Summary'!R:R,MATCH('Fuel Selector'!$C432&amp;" - "&amp;$D432,'Fuel Model - Summary'!$C:$C,0)),0)</f>
        <v>16.983935138840422</v>
      </c>
      <c r="N432" s="113">
        <f>IF($H432="Modeled",
INDEX('Fuel Model - Summary'!S:S,MATCH('Fuel Selector'!$C432&amp;" - "&amp;$D432,'Fuel Model - Summary'!$C:$C,0)),0)</f>
        <v>14.694889296119314</v>
      </c>
      <c r="O432" s="113">
        <f>IF($H432="Modeled",
INDEX('Fuel Model - Summary'!T:T,MATCH('Fuel Selector'!$C432&amp;" - "&amp;$D432,'Fuel Model - Summary'!$C:$C,0)),0)</f>
        <v>12.758058418437569</v>
      </c>
      <c r="P432" s="113">
        <f>IF($H432="Modeled",
INDEX('Fuel Model - Summary'!U:U,MATCH('Fuel Selector'!$C432&amp;" - "&amp;$D432,'Fuel Model - Summary'!$C:$C,0)),0)</f>
        <v>11.562593696040846</v>
      </c>
      <c r="Q432" s="113">
        <f>IF($H432="Modeled",
INDEX('Fuel Model - Summary'!V:V,MATCH('Fuel Selector'!$C432&amp;" - "&amp;$D432,'Fuel Model - Summary'!$C:$C,0)),0)</f>
        <v>10.678698101845963</v>
      </c>
      <c r="R432" s="113">
        <f t="shared" ref="R432:V432" si="265">Q432</f>
        <v>10.678698101845963</v>
      </c>
      <c r="S432" s="113">
        <f t="shared" si="265"/>
        <v>10.678698101845963</v>
      </c>
      <c r="T432" s="113">
        <f t="shared" si="265"/>
        <v>10.678698101845963</v>
      </c>
      <c r="U432" s="113">
        <f t="shared" si="265"/>
        <v>10.678698101845963</v>
      </c>
      <c r="V432" s="113">
        <f t="shared" si="265"/>
        <v>10.678698101845963</v>
      </c>
    </row>
    <row r="433" spans="1:22" x14ac:dyDescent="0.2">
      <c r="A433" s="29">
        <f t="shared" si="256"/>
        <v>12</v>
      </c>
      <c r="B433" s="334" t="str">
        <f t="shared" si="250"/>
        <v>e-Methanol (PS) - Americas - RE cost - USD/GJ</v>
      </c>
      <c r="C433" t="str" cm="1">
        <f t="array" ref="C433">INDEX(list_AE_fuel,A433)</f>
        <v>e-Methanol (PS)</v>
      </c>
      <c r="D433" s="411" t="str">
        <f t="shared" si="253"/>
        <v>Americas</v>
      </c>
      <c r="E433" t="str">
        <f>E432</f>
        <v>Americas</v>
      </c>
      <c r="F433" t="str">
        <f t="shared" si="251"/>
        <v>RE cost - USD/GJ</v>
      </c>
      <c r="G433"/>
      <c r="H433" s="412" t="str" cm="1">
        <f t="array" ref="H433">INDEX('Configurator Specs.'!$CG$5:$CG$24,A433)</f>
        <v>Modeled</v>
      </c>
      <c r="I433" t="s">
        <v>324</v>
      </c>
      <c r="K433" s="113">
        <f>IF($H433="Modeled",
INDEX('Fuel Model - Summary'!P:P,MATCH('Fuel Selector'!$C433&amp;" - "&amp;$D433,'Fuel Model - Summary'!$C:$C,0)),0)</f>
        <v>23.381367321155825</v>
      </c>
      <c r="L433" s="113">
        <f>IF($H433="Modeled",
INDEX('Fuel Model - Summary'!Q:Q,MATCH('Fuel Selector'!$C433&amp;" - "&amp;$D433,'Fuel Model - Summary'!$C:$C,0)),0)</f>
        <v>21.016895172087917</v>
      </c>
      <c r="M433" s="113">
        <f>IF($H433="Modeled",
INDEX('Fuel Model - Summary'!R:R,MATCH('Fuel Selector'!$C433&amp;" - "&amp;$D433,'Fuel Model - Summary'!$C:$C,0)),0)</f>
        <v>16.983935138840422</v>
      </c>
      <c r="N433" s="113">
        <f>IF($H433="Modeled",
INDEX('Fuel Model - Summary'!S:S,MATCH('Fuel Selector'!$C433&amp;" - "&amp;$D433,'Fuel Model - Summary'!$C:$C,0)),0)</f>
        <v>14.694889296119314</v>
      </c>
      <c r="O433" s="113">
        <f>IF($H433="Modeled",
INDEX('Fuel Model - Summary'!T:T,MATCH('Fuel Selector'!$C433&amp;" - "&amp;$D433,'Fuel Model - Summary'!$C:$C,0)),0)</f>
        <v>12.758058418437569</v>
      </c>
      <c r="P433" s="113">
        <f>IF($H433="Modeled",
INDEX('Fuel Model - Summary'!U:U,MATCH('Fuel Selector'!$C433&amp;" - "&amp;$D433,'Fuel Model - Summary'!$C:$C,0)),0)</f>
        <v>11.562593696040846</v>
      </c>
      <c r="Q433" s="113">
        <f>IF($H433="Modeled",
INDEX('Fuel Model - Summary'!V:V,MATCH('Fuel Selector'!$C433&amp;" - "&amp;$D433,'Fuel Model - Summary'!$C:$C,0)),0)</f>
        <v>10.678698101845963</v>
      </c>
      <c r="R433" s="113">
        <f t="shared" ref="R433:V433" si="266">Q433</f>
        <v>10.678698101845963</v>
      </c>
      <c r="S433" s="113">
        <f t="shared" si="266"/>
        <v>10.678698101845963</v>
      </c>
      <c r="T433" s="113">
        <f t="shared" si="266"/>
        <v>10.678698101845963</v>
      </c>
      <c r="U433" s="113">
        <f t="shared" si="266"/>
        <v>10.678698101845963</v>
      </c>
      <c r="V433" s="113">
        <f t="shared" si="266"/>
        <v>10.678698101845963</v>
      </c>
    </row>
    <row r="434" spans="1:22" x14ac:dyDescent="0.2">
      <c r="A434" s="29">
        <f t="shared" si="256"/>
        <v>13</v>
      </c>
      <c r="B434" s="334" t="str">
        <f t="shared" si="250"/>
        <v>Biodiesel (HtL) - Americas - RE cost - USD/GJ</v>
      </c>
      <c r="C434" t="str" cm="1">
        <f t="array" ref="C434">INDEX(list_AE_fuel,A434)</f>
        <v>Biodiesel (HtL)</v>
      </c>
      <c r="D434" s="411" t="str">
        <f t="shared" si="253"/>
        <v>Americas</v>
      </c>
      <c r="E434" t="str">
        <f t="shared" ref="E434:E441" si="267">E433</f>
        <v>Americas</v>
      </c>
      <c r="F434" t="str">
        <f t="shared" si="251"/>
        <v>RE cost - USD/GJ</v>
      </c>
      <c r="G434"/>
      <c r="H434" s="412" t="str" cm="1">
        <f t="array" ref="H434">INDEX('Configurator Specs.'!$CG$5:$CG$24,A434)</f>
        <v>Modeled</v>
      </c>
      <c r="I434" t="s">
        <v>324</v>
      </c>
      <c r="K434" s="113">
        <f>IF($H434="Modeled",
INDEX('Fuel Model - Summary'!P:P,MATCH('Fuel Selector'!$C434&amp;" - "&amp;$D434,'Fuel Model - Summary'!$C:$C,0)),0)</f>
        <v>0.73045695826911927</v>
      </c>
      <c r="L434" s="113">
        <f>IF($H434="Modeled",
INDEX('Fuel Model - Summary'!Q:Q,MATCH('Fuel Selector'!$C434&amp;" - "&amp;$D434,'Fuel Model - Summary'!$C:$C,0)),0)</f>
        <v>0.65924720172005946</v>
      </c>
      <c r="M434" s="113">
        <f>IF($H434="Modeled",
INDEX('Fuel Model - Summary'!R:R,MATCH('Fuel Selector'!$C434&amp;" - "&amp;$D434,'Fuel Model - Summary'!$C:$C,0)),0)</f>
        <v>0.53690333954477154</v>
      </c>
      <c r="N434" s="113">
        <f>IF($H434="Modeled",
INDEX('Fuel Model - Summary'!S:S,MATCH('Fuel Selector'!$C434&amp;" - "&amp;$D434,'Fuel Model - Summary'!$C:$C,0)),0)</f>
        <v>0.47742964697834794</v>
      </c>
      <c r="O434" s="113">
        <f>IF($H434="Modeled",
INDEX('Fuel Model - Summary'!T:T,MATCH('Fuel Selector'!$C434&amp;" - "&amp;$D434,'Fuel Model - Summary'!$C:$C,0)),0)</f>
        <v>0.42922917242180469</v>
      </c>
      <c r="P434" s="113">
        <f>IF($H434="Modeled",
INDEX('Fuel Model - Summary'!U:U,MATCH('Fuel Selector'!$C434&amp;" - "&amp;$D434,'Fuel Model - Summary'!$C:$C,0)),0)</f>
        <v>0.40900107553524107</v>
      </c>
      <c r="Q434" s="113">
        <f>IF($H434="Modeled",
INDEX('Fuel Model - Summary'!V:V,MATCH('Fuel Selector'!$C434&amp;" - "&amp;$D434,'Fuel Model - Summary'!$C:$C,0)),0)</f>
        <v>0.3934719305979687</v>
      </c>
      <c r="R434" s="113">
        <f t="shared" ref="R434:V434" si="268">Q434</f>
        <v>0.3934719305979687</v>
      </c>
      <c r="S434" s="113">
        <f t="shared" si="268"/>
        <v>0.3934719305979687</v>
      </c>
      <c r="T434" s="113">
        <f t="shared" si="268"/>
        <v>0.3934719305979687</v>
      </c>
      <c r="U434" s="113">
        <f t="shared" si="268"/>
        <v>0.3934719305979687</v>
      </c>
      <c r="V434" s="113">
        <f t="shared" si="268"/>
        <v>0.3934719305979687</v>
      </c>
    </row>
    <row r="435" spans="1:22" x14ac:dyDescent="0.2">
      <c r="A435" s="29">
        <f t="shared" si="256"/>
        <v>14</v>
      </c>
      <c r="B435" s="334" t="str">
        <f t="shared" si="250"/>
        <v>Biodiesel (Pyr) - Americas - RE cost - USD/GJ</v>
      </c>
      <c r="C435" t="str" cm="1">
        <f t="array" ref="C435">INDEX(list_AE_fuel,A435)</f>
        <v>Biodiesel (Pyr)</v>
      </c>
      <c r="D435" s="411" t="str">
        <f t="shared" si="253"/>
        <v>Americas</v>
      </c>
      <c r="E435" t="str">
        <f t="shared" si="267"/>
        <v>Americas</v>
      </c>
      <c r="F435" t="str">
        <f t="shared" si="251"/>
        <v>RE cost - USD/GJ</v>
      </c>
      <c r="G435"/>
      <c r="H435" s="412" t="str" cm="1">
        <f t="array" ref="H435">INDEX('Configurator Specs.'!$CG$5:$CG$24,A435)</f>
        <v>Modeled</v>
      </c>
      <c r="I435" t="s">
        <v>324</v>
      </c>
      <c r="K435" s="113">
        <f>IF($H435="Modeled",
INDEX('Fuel Model - Summary'!P:P,MATCH('Fuel Selector'!$C435&amp;" - "&amp;$D435,'Fuel Model - Summary'!$C:$C,0)),0)</f>
        <v>0</v>
      </c>
      <c r="L435" s="113">
        <f>IF($H435="Modeled",
INDEX('Fuel Model - Summary'!Q:Q,MATCH('Fuel Selector'!$C435&amp;" - "&amp;$D435,'Fuel Model - Summary'!$C:$C,0)),0)</f>
        <v>0</v>
      </c>
      <c r="M435" s="113">
        <f>IF($H435="Modeled",
INDEX('Fuel Model - Summary'!R:R,MATCH('Fuel Selector'!$C435&amp;" - "&amp;$D435,'Fuel Model - Summary'!$C:$C,0)),0)</f>
        <v>0</v>
      </c>
      <c r="N435" s="113">
        <f>IF($H435="Modeled",
INDEX('Fuel Model - Summary'!S:S,MATCH('Fuel Selector'!$C435&amp;" - "&amp;$D435,'Fuel Model - Summary'!$C:$C,0)),0)</f>
        <v>0</v>
      </c>
      <c r="O435" s="113">
        <f>IF($H435="Modeled",
INDEX('Fuel Model - Summary'!T:T,MATCH('Fuel Selector'!$C435&amp;" - "&amp;$D435,'Fuel Model - Summary'!$C:$C,0)),0)</f>
        <v>0</v>
      </c>
      <c r="P435" s="113">
        <f>IF($H435="Modeled",
INDEX('Fuel Model - Summary'!U:U,MATCH('Fuel Selector'!$C435&amp;" - "&amp;$D435,'Fuel Model - Summary'!$C:$C,0)),0)</f>
        <v>0</v>
      </c>
      <c r="Q435" s="113">
        <f>IF($H435="Modeled",
INDEX('Fuel Model - Summary'!V:V,MATCH('Fuel Selector'!$C435&amp;" - "&amp;$D435,'Fuel Model - Summary'!$C:$C,0)),0)</f>
        <v>0</v>
      </c>
      <c r="R435" s="113">
        <f t="shared" ref="R435:V435" si="269">Q435</f>
        <v>0</v>
      </c>
      <c r="S435" s="113">
        <f t="shared" si="269"/>
        <v>0</v>
      </c>
      <c r="T435" s="113">
        <f t="shared" si="269"/>
        <v>0</v>
      </c>
      <c r="U435" s="113">
        <f t="shared" si="269"/>
        <v>0</v>
      </c>
      <c r="V435" s="113">
        <f t="shared" si="269"/>
        <v>0</v>
      </c>
    </row>
    <row r="436" spans="1:22" x14ac:dyDescent="0.2">
      <c r="A436" s="29">
        <f t="shared" si="256"/>
        <v>15</v>
      </c>
      <c r="B436" s="334" t="str">
        <f t="shared" si="250"/>
        <v>e-Diesel (DAC) - Americas - RE cost - USD/GJ</v>
      </c>
      <c r="C436" t="str" cm="1">
        <f t="array" ref="C436">INDEX(list_AE_fuel,A436)</f>
        <v>e-Diesel (DAC)</v>
      </c>
      <c r="D436" s="411" t="str">
        <f t="shared" si="253"/>
        <v>Americas</v>
      </c>
      <c r="E436" t="str">
        <f t="shared" si="267"/>
        <v>Americas</v>
      </c>
      <c r="F436" t="str">
        <f t="shared" si="251"/>
        <v>RE cost - USD/GJ</v>
      </c>
      <c r="G436"/>
      <c r="H436" s="412" t="str" cm="1">
        <f t="array" ref="H436">INDEX('Configurator Specs.'!$CG$5:$CG$24,A436)</f>
        <v>Modeled</v>
      </c>
      <c r="I436" t="s">
        <v>324</v>
      </c>
      <c r="K436" s="113">
        <f>IF($H436="Modeled",
INDEX('Fuel Model - Summary'!P:P,MATCH('Fuel Selector'!$C436&amp;" - "&amp;$D436,'Fuel Model - Summary'!$C:$C,0)),0)</f>
        <v>23.668122870181104</v>
      </c>
      <c r="L436" s="113">
        <f>IF($H436="Modeled",
INDEX('Fuel Model - Summary'!Q:Q,MATCH('Fuel Selector'!$C436&amp;" - "&amp;$D436,'Fuel Model - Summary'!$C:$C,0)),0)</f>
        <v>21.232398197669912</v>
      </c>
      <c r="M436" s="113">
        <f>IF($H436="Modeled",
INDEX('Fuel Model - Summary'!R:R,MATCH('Fuel Selector'!$C436&amp;" - "&amp;$D436,'Fuel Model - Summary'!$C:$C,0)),0)</f>
        <v>17.106494456765258</v>
      </c>
      <c r="N436" s="113">
        <f>IF($H436="Modeled",
INDEX('Fuel Model - Summary'!S:S,MATCH('Fuel Selector'!$C436&amp;" - "&amp;$D436,'Fuel Model - Summary'!$C:$C,0)),0)</f>
        <v>14.711719552146169</v>
      </c>
      <c r="O436" s="113">
        <f>IF($H436="Modeled",
INDEX('Fuel Model - Summary'!T:T,MATCH('Fuel Selector'!$C436&amp;" - "&amp;$D436,'Fuel Model - Summary'!$C:$C,0)),0)</f>
        <v>12.677603803009871</v>
      </c>
      <c r="P436" s="113">
        <f>IF($H436="Modeled",
INDEX('Fuel Model - Summary'!U:U,MATCH('Fuel Selector'!$C436&amp;" - "&amp;$D436,'Fuel Model - Summary'!$C:$C,0)),0)</f>
        <v>11.369831114451204</v>
      </c>
      <c r="Q436" s="113">
        <f>IF($H436="Modeled",
INDEX('Fuel Model - Summary'!V:V,MATCH('Fuel Selector'!$C436&amp;" - "&amp;$D436,'Fuel Model - Summary'!$C:$C,0)),0)</f>
        <v>10.402811270966996</v>
      </c>
      <c r="R436" s="113">
        <f t="shared" ref="R436:V436" si="270">Q436</f>
        <v>10.402811270966996</v>
      </c>
      <c r="S436" s="113">
        <f t="shared" si="270"/>
        <v>10.402811270966996</v>
      </c>
      <c r="T436" s="113">
        <f t="shared" si="270"/>
        <v>10.402811270966996</v>
      </c>
      <c r="U436" s="113">
        <f t="shared" si="270"/>
        <v>10.402811270966996</v>
      </c>
      <c r="V436" s="113">
        <f t="shared" si="270"/>
        <v>10.402811270966996</v>
      </c>
    </row>
    <row r="437" spans="1:22" x14ac:dyDescent="0.2">
      <c r="A437" s="29">
        <f t="shared" si="256"/>
        <v>16</v>
      </c>
      <c r="B437" s="334" t="str">
        <f t="shared" si="250"/>
        <v>e-Diesel (PS) - Americas - RE cost - USD/GJ</v>
      </c>
      <c r="C437" t="str" cm="1">
        <f t="array" ref="C437">INDEX(list_AE_fuel,A437)</f>
        <v>e-Diesel (PS)</v>
      </c>
      <c r="D437" s="411" t="str">
        <f t="shared" si="253"/>
        <v>Americas</v>
      </c>
      <c r="E437" t="str">
        <f t="shared" si="267"/>
        <v>Americas</v>
      </c>
      <c r="F437" t="str">
        <f t="shared" si="251"/>
        <v>RE cost - USD/GJ</v>
      </c>
      <c r="G437"/>
      <c r="H437" s="412" t="str" cm="1">
        <f t="array" ref="H437">INDEX('Configurator Specs.'!$CG$5:$CG$24,A437)</f>
        <v>Modeled</v>
      </c>
      <c r="I437" t="s">
        <v>324</v>
      </c>
      <c r="K437" s="113">
        <f>IF($H437="Modeled",
INDEX('Fuel Model - Summary'!P:P,MATCH('Fuel Selector'!$C437&amp;" - "&amp;$D437,'Fuel Model - Summary'!$C:$C,0)),0)</f>
        <v>23.668122870181104</v>
      </c>
      <c r="L437" s="113">
        <f>IF($H437="Modeled",
INDEX('Fuel Model - Summary'!Q:Q,MATCH('Fuel Selector'!$C437&amp;" - "&amp;$D437,'Fuel Model - Summary'!$C:$C,0)),0)</f>
        <v>21.232398197669912</v>
      </c>
      <c r="M437" s="113">
        <f>IF($H437="Modeled",
INDEX('Fuel Model - Summary'!R:R,MATCH('Fuel Selector'!$C437&amp;" - "&amp;$D437,'Fuel Model - Summary'!$C:$C,0)),0)</f>
        <v>17.106494456765258</v>
      </c>
      <c r="N437" s="113">
        <f>IF($H437="Modeled",
INDEX('Fuel Model - Summary'!S:S,MATCH('Fuel Selector'!$C437&amp;" - "&amp;$D437,'Fuel Model - Summary'!$C:$C,0)),0)</f>
        <v>14.711719552146169</v>
      </c>
      <c r="O437" s="113">
        <f>IF($H437="Modeled",
INDEX('Fuel Model - Summary'!T:T,MATCH('Fuel Selector'!$C437&amp;" - "&amp;$D437,'Fuel Model - Summary'!$C:$C,0)),0)</f>
        <v>12.677603803009871</v>
      </c>
      <c r="P437" s="113">
        <f>IF($H437="Modeled",
INDEX('Fuel Model - Summary'!U:U,MATCH('Fuel Selector'!$C437&amp;" - "&amp;$D437,'Fuel Model - Summary'!$C:$C,0)),0)</f>
        <v>11.369831114451204</v>
      </c>
      <c r="Q437" s="113">
        <f>IF($H437="Modeled",
INDEX('Fuel Model - Summary'!V:V,MATCH('Fuel Selector'!$C437&amp;" - "&amp;$D437,'Fuel Model - Summary'!$C:$C,0)),0)</f>
        <v>10.402811270966996</v>
      </c>
      <c r="R437" s="113">
        <f t="shared" ref="R437:V437" si="271">Q437</f>
        <v>10.402811270966996</v>
      </c>
      <c r="S437" s="113">
        <f t="shared" si="271"/>
        <v>10.402811270966996</v>
      </c>
      <c r="T437" s="113">
        <f t="shared" si="271"/>
        <v>10.402811270966996</v>
      </c>
      <c r="U437" s="113">
        <f t="shared" si="271"/>
        <v>10.402811270966996</v>
      </c>
      <c r="V437" s="113">
        <f t="shared" si="271"/>
        <v>10.402811270966996</v>
      </c>
    </row>
    <row r="438" spans="1:22" x14ac:dyDescent="0.2">
      <c r="A438" s="29">
        <f t="shared" si="256"/>
        <v>17</v>
      </c>
      <c r="B438" s="334" t="str">
        <f t="shared" si="250"/>
        <v>Biodiesel (HtL blend) - Americas - RE cost - USD/GJ</v>
      </c>
      <c r="C438" t="str" cm="1">
        <f t="array" ref="C438">INDEX(list_AE_fuel,A438)</f>
        <v>Biodiesel (HtL blend)</v>
      </c>
      <c r="D438" s="411" t="str">
        <f t="shared" si="253"/>
        <v>Americas</v>
      </c>
      <c r="E438" t="str">
        <f t="shared" si="267"/>
        <v>Americas</v>
      </c>
      <c r="F438" t="str">
        <f t="shared" si="251"/>
        <v>RE cost - USD/GJ</v>
      </c>
      <c r="G438"/>
      <c r="H438" s="412" t="str" cm="1">
        <f t="array" ref="H438">INDEX('Configurator Specs.'!$CG$5:$CG$24,A438)</f>
        <v>Modeled</v>
      </c>
      <c r="I438" t="s">
        <v>324</v>
      </c>
      <c r="K438" s="113">
        <f>IF($H438="Modeled",
INDEX('Fuel Model - Summary'!P:P,MATCH('Fuel Selector'!$C438&amp;" - "&amp;$D438,'Fuel Model - Summary'!$C:$C,0)),0)</f>
        <v>0.24862903242799042</v>
      </c>
      <c r="L438" s="113">
        <f>IF($H438="Modeled",
INDEX('Fuel Model - Summary'!Q:Q,MATCH('Fuel Selector'!$C438&amp;" - "&amp;$D438,'Fuel Model - Summary'!$C:$C,0)),0)</f>
        <v>0.22439103637661656</v>
      </c>
      <c r="M438" s="113">
        <f>IF($H438="Modeled",
INDEX('Fuel Model - Summary'!R:R,MATCH('Fuel Selector'!$C438&amp;" - "&amp;$D438,'Fuel Model - Summary'!$C:$C,0)),0)</f>
        <v>0.18274828695545434</v>
      </c>
      <c r="N438" s="113">
        <f>IF($H438="Modeled",
INDEX('Fuel Model - Summary'!S:S,MATCH('Fuel Selector'!$C438&amp;" - "&amp;$D438,'Fuel Model - Summary'!$C:$C,0)),0)</f>
        <v>0.16250494958928227</v>
      </c>
      <c r="O438" s="113">
        <f>IF($H438="Modeled",
INDEX('Fuel Model - Summary'!T:T,MATCH('Fuel Selector'!$C438&amp;" - "&amp;$D438,'Fuel Model - Summary'!$C:$C,0)),0)</f>
        <v>0.14609872987175021</v>
      </c>
      <c r="P438" s="113">
        <f>IF($H438="Modeled",
INDEX('Fuel Model - Summary'!U:U,MATCH('Fuel Selector'!$C438&amp;" - "&amp;$D438,'Fuel Model - Summary'!$C:$C,0)),0)</f>
        <v>0.13921359844842401</v>
      </c>
      <c r="Q438" s="113">
        <f>IF($H438="Modeled",
INDEX('Fuel Model - Summary'!V:V,MATCH('Fuel Selector'!$C438&amp;" - "&amp;$D438,'Fuel Model - Summary'!$C:$C,0)),0)</f>
        <v>0.13392787115610413</v>
      </c>
      <c r="R438" s="113">
        <f t="shared" ref="R438:V438" si="272">Q438</f>
        <v>0.13392787115610413</v>
      </c>
      <c r="S438" s="113">
        <f t="shared" si="272"/>
        <v>0.13392787115610413</v>
      </c>
      <c r="T438" s="113">
        <f t="shared" si="272"/>
        <v>0.13392787115610413</v>
      </c>
      <c r="U438" s="113">
        <f t="shared" si="272"/>
        <v>0.13392787115610413</v>
      </c>
      <c r="V438" s="113">
        <f t="shared" si="272"/>
        <v>0.13392787115610413</v>
      </c>
    </row>
    <row r="439" spans="1:22" x14ac:dyDescent="0.2">
      <c r="A439" s="29">
        <f t="shared" si="256"/>
        <v>18</v>
      </c>
      <c r="B439" s="334" t="str">
        <f t="shared" si="250"/>
        <v>Biodiesel (Pyr blend) - Americas - RE cost - USD/GJ</v>
      </c>
      <c r="C439" t="str" cm="1">
        <f t="array" ref="C439">INDEX(list_AE_fuel,A439)</f>
        <v>Biodiesel (Pyr blend)</v>
      </c>
      <c r="D439" s="411" t="str">
        <f t="shared" si="253"/>
        <v>Americas</v>
      </c>
      <c r="E439" t="str">
        <f t="shared" si="267"/>
        <v>Americas</v>
      </c>
      <c r="F439" t="str">
        <f t="shared" si="251"/>
        <v>RE cost - USD/GJ</v>
      </c>
      <c r="G439"/>
      <c r="H439" s="412" t="str" cm="1">
        <f t="array" ref="H439">INDEX('Configurator Specs.'!$CG$5:$CG$24,A439)</f>
        <v>Modeled</v>
      </c>
      <c r="I439" t="s">
        <v>324</v>
      </c>
      <c r="K439" s="113">
        <f>IF($H439="Modeled",
INDEX('Fuel Model - Summary'!P:P,MATCH('Fuel Selector'!$C439&amp;" - "&amp;$D439,'Fuel Model - Summary'!$C:$C,0)),0)</f>
        <v>0</v>
      </c>
      <c r="L439" s="113">
        <f>IF($H439="Modeled",
INDEX('Fuel Model - Summary'!Q:Q,MATCH('Fuel Selector'!$C439&amp;" - "&amp;$D439,'Fuel Model - Summary'!$C:$C,0)),0)</f>
        <v>0</v>
      </c>
      <c r="M439" s="113">
        <f>IF($H439="Modeled",
INDEX('Fuel Model - Summary'!R:R,MATCH('Fuel Selector'!$C439&amp;" - "&amp;$D439,'Fuel Model - Summary'!$C:$C,0)),0)</f>
        <v>0</v>
      </c>
      <c r="N439" s="113">
        <f>IF($H439="Modeled",
INDEX('Fuel Model - Summary'!S:S,MATCH('Fuel Selector'!$C439&amp;" - "&amp;$D439,'Fuel Model - Summary'!$C:$C,0)),0)</f>
        <v>0</v>
      </c>
      <c r="O439" s="113">
        <f>IF($H439="Modeled",
INDEX('Fuel Model - Summary'!T:T,MATCH('Fuel Selector'!$C439&amp;" - "&amp;$D439,'Fuel Model - Summary'!$C:$C,0)),0)</f>
        <v>0</v>
      </c>
      <c r="P439" s="113">
        <f>IF($H439="Modeled",
INDEX('Fuel Model - Summary'!U:U,MATCH('Fuel Selector'!$C439&amp;" - "&amp;$D439,'Fuel Model - Summary'!$C:$C,0)),0)</f>
        <v>0</v>
      </c>
      <c r="Q439" s="113">
        <f>IF($H439="Modeled",
INDEX('Fuel Model - Summary'!V:V,MATCH('Fuel Selector'!$C439&amp;" - "&amp;$D439,'Fuel Model - Summary'!$C:$C,0)),0)</f>
        <v>0</v>
      </c>
      <c r="R439" s="113">
        <f t="shared" ref="R439:V439" si="273">Q439</f>
        <v>0</v>
      </c>
      <c r="S439" s="113">
        <f t="shared" si="273"/>
        <v>0</v>
      </c>
      <c r="T439" s="113">
        <f t="shared" si="273"/>
        <v>0</v>
      </c>
      <c r="U439" s="113">
        <f t="shared" si="273"/>
        <v>0</v>
      </c>
      <c r="V439" s="113">
        <f t="shared" si="273"/>
        <v>0</v>
      </c>
    </row>
    <row r="440" spans="1:22" x14ac:dyDescent="0.2">
      <c r="A440" s="29">
        <f t="shared" si="256"/>
        <v>19</v>
      </c>
      <c r="B440" s="334" t="str">
        <f t="shared" si="250"/>
        <v>Blue hydrogen (liquid) - Americas - RE cost - USD/GJ</v>
      </c>
      <c r="C440" t="str" cm="1">
        <f t="array" ref="C440">INDEX(list_AE_fuel,A440)</f>
        <v>Blue hydrogen (liquid)</v>
      </c>
      <c r="D440" s="411" t="str">
        <f t="shared" si="253"/>
        <v>Americas</v>
      </c>
      <c r="E440" t="str">
        <f t="shared" si="267"/>
        <v>Americas</v>
      </c>
      <c r="F440" t="str">
        <f t="shared" si="251"/>
        <v>RE cost - USD/GJ</v>
      </c>
      <c r="G440"/>
      <c r="H440" s="412" t="str" cm="1">
        <f t="array" ref="H440">INDEX('Configurator Specs.'!$CG$5:$CG$24,A440)</f>
        <v>Modeled</v>
      </c>
      <c r="I440" t="s">
        <v>324</v>
      </c>
      <c r="K440" s="113">
        <f>IF($H440="Modeled",
INDEX('Fuel Model - Summary'!P:P,MATCH('Fuel Selector'!$C440&amp;" - "&amp;$D440,'Fuel Model - Summary'!$C:$C,0)),0)</f>
        <v>0</v>
      </c>
      <c r="L440" s="113">
        <f>IF($H440="Modeled",
INDEX('Fuel Model - Summary'!Q:Q,MATCH('Fuel Selector'!$C440&amp;" - "&amp;$D440,'Fuel Model - Summary'!$C:$C,0)),0)</f>
        <v>0</v>
      </c>
      <c r="M440" s="113">
        <f>IF($H440="Modeled",
INDEX('Fuel Model - Summary'!R:R,MATCH('Fuel Selector'!$C440&amp;" - "&amp;$D440,'Fuel Model - Summary'!$C:$C,0)),0)</f>
        <v>0</v>
      </c>
      <c r="N440" s="113">
        <f>IF($H440="Modeled",
INDEX('Fuel Model - Summary'!S:S,MATCH('Fuel Selector'!$C440&amp;" - "&amp;$D440,'Fuel Model - Summary'!$C:$C,0)),0)</f>
        <v>0</v>
      </c>
      <c r="O440" s="113">
        <f>IF($H440="Modeled",
INDEX('Fuel Model - Summary'!T:T,MATCH('Fuel Selector'!$C440&amp;" - "&amp;$D440,'Fuel Model - Summary'!$C:$C,0)),0)</f>
        <v>0</v>
      </c>
      <c r="P440" s="113">
        <f>IF($H440="Modeled",
INDEX('Fuel Model - Summary'!U:U,MATCH('Fuel Selector'!$C440&amp;" - "&amp;$D440,'Fuel Model - Summary'!$C:$C,0)),0)</f>
        <v>0</v>
      </c>
      <c r="Q440" s="113">
        <f>IF($H440="Modeled",
INDEX('Fuel Model - Summary'!V:V,MATCH('Fuel Selector'!$C440&amp;" - "&amp;$D440,'Fuel Model - Summary'!$C:$C,0)),0)</f>
        <v>0</v>
      </c>
      <c r="R440" s="113">
        <f t="shared" ref="R440:V440" si="274">Q440</f>
        <v>0</v>
      </c>
      <c r="S440" s="113">
        <f t="shared" si="274"/>
        <v>0</v>
      </c>
      <c r="T440" s="113">
        <f t="shared" si="274"/>
        <v>0</v>
      </c>
      <c r="U440" s="113">
        <f t="shared" si="274"/>
        <v>0</v>
      </c>
      <c r="V440" s="113">
        <f t="shared" si="274"/>
        <v>0</v>
      </c>
    </row>
    <row r="441" spans="1:22" x14ac:dyDescent="0.2">
      <c r="A441" s="29">
        <f t="shared" si="256"/>
        <v>20</v>
      </c>
      <c r="B441" s="334" t="str">
        <f t="shared" si="250"/>
        <v>e-Hydrogen (liquid) - Americas - RE cost - USD/GJ</v>
      </c>
      <c r="C441" t="str" cm="1">
        <f t="array" ref="C441">INDEX(list_AE_fuel,A441)</f>
        <v>e-Hydrogen (liquid)</v>
      </c>
      <c r="D441" s="411" t="str">
        <f t="shared" si="253"/>
        <v>Americas</v>
      </c>
      <c r="E441" t="str">
        <f t="shared" si="267"/>
        <v>Americas</v>
      </c>
      <c r="F441" t="str">
        <f t="shared" si="251"/>
        <v>RE cost - USD/GJ</v>
      </c>
      <c r="G441"/>
      <c r="H441" s="412" t="str" cm="1">
        <f t="array" ref="H441">INDEX('Configurator Specs.'!$CG$5:$CG$24,A441)</f>
        <v>Modeled</v>
      </c>
      <c r="I441" t="s">
        <v>324</v>
      </c>
      <c r="K441" s="113">
        <f>IF($H441="Modeled",
INDEX('Fuel Model - Summary'!P:P,MATCH('Fuel Selector'!$C441&amp;" - "&amp;$D441,'Fuel Model - Summary'!$C:$C,0)),0)</f>
        <v>20.52397230413596</v>
      </c>
      <c r="L441" s="113">
        <f>IF($H441="Modeled",
INDEX('Fuel Model - Summary'!Q:Q,MATCH('Fuel Selector'!$C441&amp;" - "&amp;$D441,'Fuel Model - Summary'!$C:$C,0)),0)</f>
        <v>18.44839126629164</v>
      </c>
      <c r="M441" s="113">
        <f>IF($H441="Modeled",
INDEX('Fuel Model - Summary'!R:R,MATCH('Fuel Selector'!$C441&amp;" - "&amp;$D441,'Fuel Model - Summary'!$C:$C,0)),0)</f>
        <v>14.908150832081544</v>
      </c>
      <c r="N441" s="113">
        <f>IF($H441="Modeled",
INDEX('Fuel Model - Summary'!S:S,MATCH('Fuel Selector'!$C441&amp;" - "&amp;$D441,'Fuel Model - Summary'!$C:$C,0)),0)</f>
        <v>12.898503859416648</v>
      </c>
      <c r="O441" s="113">
        <f>IF($H441="Modeled",
INDEX('Fuel Model - Summary'!T:T,MATCH('Fuel Selector'!$C441&amp;" - "&amp;$D441,'Fuel Model - Summary'!$C:$C,0)),0)</f>
        <v>11.198029140039242</v>
      </c>
      <c r="P441" s="113">
        <f>IF($H441="Modeled",
INDEX('Fuel Model - Summary'!U:U,MATCH('Fuel Selector'!$C441&amp;" - "&amp;$D441,'Fuel Model - Summary'!$C:$C,0)),0)</f>
        <v>10.148196992421246</v>
      </c>
      <c r="Q441" s="113">
        <f>IF($H441="Modeled",
INDEX('Fuel Model - Summary'!V:V,MATCH('Fuel Selector'!$C441&amp;" - "&amp;$D441,'Fuel Model - Summary'!$C:$C,0)),0)</f>
        <v>9.3719855000751302</v>
      </c>
      <c r="R441" s="113">
        <f t="shared" ref="R441:V441" si="275">Q441</f>
        <v>9.3719855000751302</v>
      </c>
      <c r="S441" s="113">
        <f t="shared" si="275"/>
        <v>9.3719855000751302</v>
      </c>
      <c r="T441" s="113">
        <f t="shared" si="275"/>
        <v>9.3719855000751302</v>
      </c>
      <c r="U441" s="113">
        <f t="shared" si="275"/>
        <v>9.3719855000751302</v>
      </c>
      <c r="V441" s="113">
        <f t="shared" si="275"/>
        <v>9.3719855000751302</v>
      </c>
    </row>
    <row r="442" spans="1:22" x14ac:dyDescent="0.2">
      <c r="B442"/>
      <c r="C442"/>
      <c r="D442" s="411"/>
      <c r="E442"/>
      <c r="F442"/>
      <c r="G442"/>
      <c r="H442" s="48"/>
      <c r="I442"/>
    </row>
    <row r="443" spans="1:22" x14ac:dyDescent="0.2">
      <c r="A443" s="29">
        <v>1</v>
      </c>
      <c r="B443" s="334" t="str">
        <f t="shared" ref="B443:B462" si="276">_xlfn.TEXTJOIN(keydelim,TRUE,C443,E443:F443)</f>
        <v>LSFO - Africa&amp;Other - RE cost - USD/GJ</v>
      </c>
      <c r="C443" t="str" cm="1">
        <f t="array" ref="C443">INDEX(list_AE_fuel,A443)</f>
        <v>LSFO</v>
      </c>
      <c r="D443" s="411" t="str">
        <f>IF(E443="Africa&amp;Other","Africa",E443)</f>
        <v>Africa</v>
      </c>
      <c r="E443" t="s">
        <v>498</v>
      </c>
      <c r="F443" t="str">
        <f t="shared" ref="F443:F462" si="277">"RE cost"  &amp;keydelim &amp;I443</f>
        <v>RE cost - USD/GJ</v>
      </c>
      <c r="G443" s="128"/>
      <c r="H443" s="412" t="str" cm="1">
        <f t="array" ref="H443">INDEX('Configurator Specs.'!$CG$5:$CG$24,A443)</f>
        <v>External</v>
      </c>
      <c r="I443" t="s">
        <v>324</v>
      </c>
      <c r="K443" s="113">
        <f>IF($H443="Modeled",
INDEX('Fuel Model - Summary'!P:P,MATCH('Fuel Selector'!$C443&amp;" - "&amp;$D443,'Fuel Model - Summary'!$C:$C,0)),0)</f>
        <v>0</v>
      </c>
      <c r="L443" s="113">
        <f>IF($H443="Modeled",
INDEX('Fuel Model - Summary'!Q:Q,MATCH('Fuel Selector'!$C443&amp;" - "&amp;$D443,'Fuel Model - Summary'!$C:$C,0)),0)</f>
        <v>0</v>
      </c>
      <c r="M443" s="113">
        <f>IF($H443="Modeled",
INDEX('Fuel Model - Summary'!R:R,MATCH('Fuel Selector'!$C443&amp;" - "&amp;$D443,'Fuel Model - Summary'!$C:$C,0)),0)</f>
        <v>0</v>
      </c>
      <c r="N443" s="113">
        <f>IF($H443="Modeled",
INDEX('Fuel Model - Summary'!S:S,MATCH('Fuel Selector'!$C443&amp;" - "&amp;$D443,'Fuel Model - Summary'!$C:$C,0)),0)</f>
        <v>0</v>
      </c>
      <c r="O443" s="113">
        <f>IF($H443="Modeled",
INDEX('Fuel Model - Summary'!T:T,MATCH('Fuel Selector'!$C443&amp;" - "&amp;$D443,'Fuel Model - Summary'!$C:$C,0)),0)</f>
        <v>0</v>
      </c>
      <c r="P443" s="113">
        <f>IF($H443="Modeled",
INDEX('Fuel Model - Summary'!U:U,MATCH('Fuel Selector'!$C443&amp;" - "&amp;$D443,'Fuel Model - Summary'!$C:$C,0)),0)</f>
        <v>0</v>
      </c>
      <c r="Q443" s="113">
        <f>IF($H443="Modeled",
INDEX('Fuel Model - Summary'!V:V,MATCH('Fuel Selector'!$C443&amp;" - "&amp;$D443,'Fuel Model - Summary'!$C:$C,0)),0)</f>
        <v>0</v>
      </c>
      <c r="R443" s="113">
        <f>Q443</f>
        <v>0</v>
      </c>
      <c r="S443" s="113">
        <f t="shared" ref="S443:V443" si="278">R443</f>
        <v>0</v>
      </c>
      <c r="T443" s="113">
        <f t="shared" si="278"/>
        <v>0</v>
      </c>
      <c r="U443" s="113">
        <f t="shared" si="278"/>
        <v>0</v>
      </c>
      <c r="V443" s="113">
        <f t="shared" si="278"/>
        <v>0</v>
      </c>
    </row>
    <row r="444" spans="1:22" x14ac:dyDescent="0.2">
      <c r="A444" s="29">
        <f>A443+1</f>
        <v>2</v>
      </c>
      <c r="B444" s="334" t="str">
        <f t="shared" si="276"/>
        <v>LNG - Africa&amp;Other - RE cost - USD/GJ</v>
      </c>
      <c r="C444" t="str" cm="1">
        <f t="array" ref="C444">INDEX(list_AE_fuel,A444)</f>
        <v>LNG</v>
      </c>
      <c r="D444" s="411" t="str">
        <f t="shared" ref="D444:D462" si="279">IF(E444="Africa&amp;Other","Africa",E444)</f>
        <v>Africa</v>
      </c>
      <c r="E444" t="str">
        <f t="shared" ref="E444:E453" si="280">E443</f>
        <v>Africa&amp;Other</v>
      </c>
      <c r="F444" t="str">
        <f t="shared" si="277"/>
        <v>RE cost - USD/GJ</v>
      </c>
      <c r="G444" s="128"/>
      <c r="H444" s="412" t="str" cm="1">
        <f t="array" ref="H444">INDEX('Configurator Specs.'!$CG$5:$CG$24,A444)</f>
        <v>Modeled</v>
      </c>
      <c r="I444" t="s">
        <v>324</v>
      </c>
      <c r="K444" s="113">
        <f>IF($H444="Modeled",
INDEX('Fuel Model - Summary'!P:P,MATCH('Fuel Selector'!$C444&amp;" - "&amp;$D444,'Fuel Model - Summary'!$C:$C,0)),0)</f>
        <v>0</v>
      </c>
      <c r="L444" s="113">
        <f>IF($H444="Modeled",
INDEX('Fuel Model - Summary'!Q:Q,MATCH('Fuel Selector'!$C444&amp;" - "&amp;$D444,'Fuel Model - Summary'!$C:$C,0)),0)</f>
        <v>0</v>
      </c>
      <c r="M444" s="113">
        <f>IF($H444="Modeled",
INDEX('Fuel Model - Summary'!R:R,MATCH('Fuel Selector'!$C444&amp;" - "&amp;$D444,'Fuel Model - Summary'!$C:$C,0)),0)</f>
        <v>0</v>
      </c>
      <c r="N444" s="113">
        <f>IF($H444="Modeled",
INDEX('Fuel Model - Summary'!S:S,MATCH('Fuel Selector'!$C444&amp;" - "&amp;$D444,'Fuel Model - Summary'!$C:$C,0)),0)</f>
        <v>0</v>
      </c>
      <c r="O444" s="113">
        <f>IF($H444="Modeled",
INDEX('Fuel Model - Summary'!T:T,MATCH('Fuel Selector'!$C444&amp;" - "&amp;$D444,'Fuel Model - Summary'!$C:$C,0)),0)</f>
        <v>0</v>
      </c>
      <c r="P444" s="113">
        <f>IF($H444="Modeled",
INDEX('Fuel Model - Summary'!U:U,MATCH('Fuel Selector'!$C444&amp;" - "&amp;$D444,'Fuel Model - Summary'!$C:$C,0)),0)</f>
        <v>0</v>
      </c>
      <c r="Q444" s="113">
        <f>IF($H444="Modeled",
INDEX('Fuel Model - Summary'!V:V,MATCH('Fuel Selector'!$C444&amp;" - "&amp;$D444,'Fuel Model - Summary'!$C:$C,0)),0)</f>
        <v>0</v>
      </c>
      <c r="R444" s="113">
        <f t="shared" ref="R444:V444" si="281">Q444</f>
        <v>0</v>
      </c>
      <c r="S444" s="113">
        <f t="shared" si="281"/>
        <v>0</v>
      </c>
      <c r="T444" s="113">
        <f t="shared" si="281"/>
        <v>0</v>
      </c>
      <c r="U444" s="113">
        <f t="shared" si="281"/>
        <v>0</v>
      </c>
      <c r="V444" s="113">
        <f t="shared" si="281"/>
        <v>0</v>
      </c>
    </row>
    <row r="445" spans="1:22" x14ac:dyDescent="0.2">
      <c r="A445" s="29">
        <f t="shared" ref="A445:A462" si="282">A444+1</f>
        <v>3</v>
      </c>
      <c r="B445" s="334" t="str">
        <f t="shared" si="276"/>
        <v>LPG - Africa&amp;Other - RE cost - USD/GJ</v>
      </c>
      <c r="C445" t="str" cm="1">
        <f t="array" ref="C445">INDEX(list_AE_fuel,A445)</f>
        <v>LPG</v>
      </c>
      <c r="D445" s="411" t="str">
        <f t="shared" si="279"/>
        <v>Africa</v>
      </c>
      <c r="E445" t="str">
        <f t="shared" si="280"/>
        <v>Africa&amp;Other</v>
      </c>
      <c r="F445" t="str">
        <f t="shared" si="277"/>
        <v>RE cost - USD/GJ</v>
      </c>
      <c r="G445" s="128"/>
      <c r="H445" s="412" t="str" cm="1">
        <f t="array" ref="H445">INDEX('Configurator Specs.'!$CG$5:$CG$24,A445)</f>
        <v>External</v>
      </c>
      <c r="I445" t="s">
        <v>324</v>
      </c>
      <c r="K445" s="113">
        <f>IF($H445="Modeled",
INDEX('Fuel Model - Summary'!P:P,MATCH('Fuel Selector'!$C445&amp;" - "&amp;$D445,'Fuel Model - Summary'!$C:$C,0)),0)</f>
        <v>0</v>
      </c>
      <c r="L445" s="113">
        <f>IF($H445="Modeled",
INDEX('Fuel Model - Summary'!Q:Q,MATCH('Fuel Selector'!$C445&amp;" - "&amp;$D445,'Fuel Model - Summary'!$C:$C,0)),0)</f>
        <v>0</v>
      </c>
      <c r="M445" s="113">
        <f>IF($H445="Modeled",
INDEX('Fuel Model - Summary'!R:R,MATCH('Fuel Selector'!$C445&amp;" - "&amp;$D445,'Fuel Model - Summary'!$C:$C,0)),0)</f>
        <v>0</v>
      </c>
      <c r="N445" s="113">
        <f>IF($H445="Modeled",
INDEX('Fuel Model - Summary'!S:S,MATCH('Fuel Selector'!$C445&amp;" - "&amp;$D445,'Fuel Model - Summary'!$C:$C,0)),0)</f>
        <v>0</v>
      </c>
      <c r="O445" s="113">
        <f>IF($H445="Modeled",
INDEX('Fuel Model - Summary'!T:T,MATCH('Fuel Selector'!$C445&amp;" - "&amp;$D445,'Fuel Model - Summary'!$C:$C,0)),0)</f>
        <v>0</v>
      </c>
      <c r="P445" s="113">
        <f>IF($H445="Modeled",
INDEX('Fuel Model - Summary'!U:U,MATCH('Fuel Selector'!$C445&amp;" - "&amp;$D445,'Fuel Model - Summary'!$C:$C,0)),0)</f>
        <v>0</v>
      </c>
      <c r="Q445" s="113">
        <f>IF($H445="Modeled",
INDEX('Fuel Model - Summary'!V:V,MATCH('Fuel Selector'!$C445&amp;" - "&amp;$D445,'Fuel Model - Summary'!$C:$C,0)),0)</f>
        <v>0</v>
      </c>
      <c r="R445" s="113">
        <f t="shared" ref="R445:V445" si="283">Q445</f>
        <v>0</v>
      </c>
      <c r="S445" s="113">
        <f t="shared" si="283"/>
        <v>0</v>
      </c>
      <c r="T445" s="113">
        <f t="shared" si="283"/>
        <v>0</v>
      </c>
      <c r="U445" s="113">
        <f t="shared" si="283"/>
        <v>0</v>
      </c>
      <c r="V445" s="113">
        <f t="shared" si="283"/>
        <v>0</v>
      </c>
    </row>
    <row r="446" spans="1:22" x14ac:dyDescent="0.2">
      <c r="A446" s="29">
        <f t="shared" si="282"/>
        <v>4</v>
      </c>
      <c r="B446" s="334" t="str">
        <f t="shared" si="276"/>
        <v>Electricity - Africa&amp;Other - RE cost - USD/GJ</v>
      </c>
      <c r="C446" t="str" cm="1">
        <f t="array" ref="C446">INDEX(list_AE_fuel,A446)</f>
        <v>Electricity</v>
      </c>
      <c r="D446" s="411" t="str">
        <f t="shared" si="279"/>
        <v>Africa</v>
      </c>
      <c r="E446" t="str">
        <f t="shared" si="280"/>
        <v>Africa&amp;Other</v>
      </c>
      <c r="F446" t="str">
        <f t="shared" si="277"/>
        <v>RE cost - USD/GJ</v>
      </c>
      <c r="G446" s="128"/>
      <c r="H446" s="412" t="str" cm="1">
        <f t="array" ref="H446">INDEX('Configurator Specs.'!$CG$5:$CG$24,A446)</f>
        <v>External</v>
      </c>
      <c r="I446" t="s">
        <v>324</v>
      </c>
      <c r="K446" s="113">
        <f>IF($H446="Modeled",
INDEX('Fuel Model - Summary'!P:P,MATCH('Fuel Selector'!$C446&amp;" - "&amp;$D446,'Fuel Model - Summary'!$C:$C,0)),0)</f>
        <v>0</v>
      </c>
      <c r="L446" s="113">
        <f>IF($H446="Modeled",
INDEX('Fuel Model - Summary'!Q:Q,MATCH('Fuel Selector'!$C446&amp;" - "&amp;$D446,'Fuel Model - Summary'!$C:$C,0)),0)</f>
        <v>0</v>
      </c>
      <c r="M446" s="113">
        <f>IF($H446="Modeled",
INDEX('Fuel Model - Summary'!R:R,MATCH('Fuel Selector'!$C446&amp;" - "&amp;$D446,'Fuel Model - Summary'!$C:$C,0)),0)</f>
        <v>0</v>
      </c>
      <c r="N446" s="113">
        <f>IF($H446="Modeled",
INDEX('Fuel Model - Summary'!S:S,MATCH('Fuel Selector'!$C446&amp;" - "&amp;$D446,'Fuel Model - Summary'!$C:$C,0)),0)</f>
        <v>0</v>
      </c>
      <c r="O446" s="113">
        <f>IF($H446="Modeled",
INDEX('Fuel Model - Summary'!T:T,MATCH('Fuel Selector'!$C446&amp;" - "&amp;$D446,'Fuel Model - Summary'!$C:$C,0)),0)</f>
        <v>0</v>
      </c>
      <c r="P446" s="113">
        <f>IF($H446="Modeled",
INDEX('Fuel Model - Summary'!U:U,MATCH('Fuel Selector'!$C446&amp;" - "&amp;$D446,'Fuel Model - Summary'!$C:$C,0)),0)</f>
        <v>0</v>
      </c>
      <c r="Q446" s="113">
        <f>IF($H446="Modeled",
INDEX('Fuel Model - Summary'!V:V,MATCH('Fuel Selector'!$C446&amp;" - "&amp;$D446,'Fuel Model - Summary'!$C:$C,0)),0)</f>
        <v>0</v>
      </c>
      <c r="R446" s="113">
        <f t="shared" ref="R446:V446" si="284">Q446</f>
        <v>0</v>
      </c>
      <c r="S446" s="113">
        <f t="shared" si="284"/>
        <v>0</v>
      </c>
      <c r="T446" s="113">
        <f t="shared" si="284"/>
        <v>0</v>
      </c>
      <c r="U446" s="113">
        <f t="shared" si="284"/>
        <v>0</v>
      </c>
      <c r="V446" s="113">
        <f t="shared" si="284"/>
        <v>0</v>
      </c>
    </row>
    <row r="447" spans="1:22" x14ac:dyDescent="0.2">
      <c r="A447" s="29">
        <f t="shared" si="282"/>
        <v>5</v>
      </c>
      <c r="B447" s="334" t="str">
        <f t="shared" si="276"/>
        <v>e-Ammonia - Africa&amp;Other - RE cost - USD/GJ</v>
      </c>
      <c r="C447" t="str" cm="1">
        <f t="array" ref="C447">INDEX(list_AE_fuel,A447)</f>
        <v>e-Ammonia</v>
      </c>
      <c r="D447" s="411" t="str">
        <f t="shared" si="279"/>
        <v>Africa</v>
      </c>
      <c r="E447" t="str">
        <f t="shared" si="280"/>
        <v>Africa&amp;Other</v>
      </c>
      <c r="F447" t="str">
        <f t="shared" si="277"/>
        <v>RE cost - USD/GJ</v>
      </c>
      <c r="G447" s="226"/>
      <c r="H447" s="412" t="str" cm="1">
        <f t="array" ref="H447">INDEX('Configurator Specs.'!$CG$5:$CG$24,A447)</f>
        <v>Modeled</v>
      </c>
      <c r="I447" t="s">
        <v>324</v>
      </c>
      <c r="K447" s="113">
        <f>IF($H447="Modeled",
INDEX('Fuel Model - Summary'!P:P,MATCH('Fuel Selector'!$C447&amp;" - "&amp;$D447,'Fuel Model - Summary'!$C:$C,0)),0)</f>
        <v>42.066524921255279</v>
      </c>
      <c r="L447" s="113">
        <f>IF($H447="Modeled",
INDEX('Fuel Model - Summary'!Q:Q,MATCH('Fuel Selector'!$C447&amp;" - "&amp;$D447,'Fuel Model - Summary'!$C:$C,0)),0)</f>
        <v>23.692954895809098</v>
      </c>
      <c r="M447" s="113">
        <f>IF($H447="Modeled",
INDEX('Fuel Model - Summary'!R:R,MATCH('Fuel Selector'!$C447&amp;" - "&amp;$D447,'Fuel Model - Summary'!$C:$C,0)),0)</f>
        <v>18.383738993823446</v>
      </c>
      <c r="N447" s="113">
        <f>IF($H447="Modeled",
INDEX('Fuel Model - Summary'!S:S,MATCH('Fuel Selector'!$C447&amp;" - "&amp;$D447,'Fuel Model - Summary'!$C:$C,0)),0)</f>
        <v>15.048294687420533</v>
      </c>
      <c r="O447" s="113">
        <f>IF($H447="Modeled",
INDEX('Fuel Model - Summary'!T:T,MATCH('Fuel Selector'!$C447&amp;" - "&amp;$D447,'Fuel Model - Summary'!$C:$C,0)),0)</f>
        <v>13.182587568560878</v>
      </c>
      <c r="P447" s="113">
        <f>IF($H447="Modeled",
INDEX('Fuel Model - Summary'!U:U,MATCH('Fuel Selector'!$C447&amp;" - "&amp;$D447,'Fuel Model - Summary'!$C:$C,0)),0)</f>
        <v>11.214955758883708</v>
      </c>
      <c r="Q447" s="113">
        <f>IF($H447="Modeled",
INDEX('Fuel Model - Summary'!V:V,MATCH('Fuel Selector'!$C447&amp;" - "&amp;$D447,'Fuel Model - Summary'!$C:$C,0)),0)</f>
        <v>10.101524629249944</v>
      </c>
      <c r="R447" s="113">
        <f t="shared" ref="R447:V447" si="285">Q447</f>
        <v>10.101524629249944</v>
      </c>
      <c r="S447" s="113">
        <f t="shared" si="285"/>
        <v>10.101524629249944</v>
      </c>
      <c r="T447" s="113">
        <f t="shared" si="285"/>
        <v>10.101524629249944</v>
      </c>
      <c r="U447" s="113">
        <f t="shared" si="285"/>
        <v>10.101524629249944</v>
      </c>
      <c r="V447" s="113">
        <f t="shared" si="285"/>
        <v>10.101524629249944</v>
      </c>
    </row>
    <row r="448" spans="1:22" x14ac:dyDescent="0.2">
      <c r="A448" s="29">
        <f t="shared" si="282"/>
        <v>6</v>
      </c>
      <c r="B448" s="334" t="str">
        <f t="shared" si="276"/>
        <v>Blue ammonia - Africa&amp;Other - RE cost - USD/GJ</v>
      </c>
      <c r="C448" t="str" cm="1">
        <f t="array" ref="C448">INDEX(list_AE_fuel,A448)</f>
        <v>Blue ammonia</v>
      </c>
      <c r="D448" s="411" t="str">
        <f t="shared" si="279"/>
        <v>Africa</v>
      </c>
      <c r="E448" t="str">
        <f t="shared" si="280"/>
        <v>Africa&amp;Other</v>
      </c>
      <c r="F448" t="str">
        <f t="shared" si="277"/>
        <v>RE cost - USD/GJ</v>
      </c>
      <c r="G448" s="226"/>
      <c r="H448" s="412" t="str" cm="1">
        <f t="array" ref="H448">INDEX('Configurator Specs.'!$CG$5:$CG$24,A448)</f>
        <v>Modeled</v>
      </c>
      <c r="I448" t="s">
        <v>324</v>
      </c>
      <c r="K448" s="113">
        <f>IF($H448="Modeled",
INDEX('Fuel Model - Summary'!P:P,MATCH('Fuel Selector'!$C448&amp;" - "&amp;$D448,'Fuel Model - Summary'!$C:$C,0)),0)</f>
        <v>0</v>
      </c>
      <c r="L448" s="113">
        <f>IF($H448="Modeled",
INDEX('Fuel Model - Summary'!Q:Q,MATCH('Fuel Selector'!$C448&amp;" - "&amp;$D448,'Fuel Model - Summary'!$C:$C,0)),0)</f>
        <v>0</v>
      </c>
      <c r="M448" s="113">
        <f>IF($H448="Modeled",
INDEX('Fuel Model - Summary'!R:R,MATCH('Fuel Selector'!$C448&amp;" - "&amp;$D448,'Fuel Model - Summary'!$C:$C,0)),0)</f>
        <v>0</v>
      </c>
      <c r="N448" s="113">
        <f>IF($H448="Modeled",
INDEX('Fuel Model - Summary'!S:S,MATCH('Fuel Selector'!$C448&amp;" - "&amp;$D448,'Fuel Model - Summary'!$C:$C,0)),0)</f>
        <v>0</v>
      </c>
      <c r="O448" s="113">
        <f>IF($H448="Modeled",
INDEX('Fuel Model - Summary'!T:T,MATCH('Fuel Selector'!$C448&amp;" - "&amp;$D448,'Fuel Model - Summary'!$C:$C,0)),0)</f>
        <v>0</v>
      </c>
      <c r="P448" s="113">
        <f>IF($H448="Modeled",
INDEX('Fuel Model - Summary'!U:U,MATCH('Fuel Selector'!$C448&amp;" - "&amp;$D448,'Fuel Model - Summary'!$C:$C,0)),0)</f>
        <v>0</v>
      </c>
      <c r="Q448" s="113">
        <f>IF($H448="Modeled",
INDEX('Fuel Model - Summary'!V:V,MATCH('Fuel Selector'!$C448&amp;" - "&amp;$D448,'Fuel Model - Summary'!$C:$C,0)),0)</f>
        <v>0</v>
      </c>
      <c r="R448" s="113">
        <f t="shared" ref="R448:V448" si="286">Q448</f>
        <v>0</v>
      </c>
      <c r="S448" s="113">
        <f t="shared" si="286"/>
        <v>0</v>
      </c>
      <c r="T448" s="113">
        <f t="shared" si="286"/>
        <v>0</v>
      </c>
      <c r="U448" s="113">
        <f t="shared" si="286"/>
        <v>0</v>
      </c>
      <c r="V448" s="113">
        <f t="shared" si="286"/>
        <v>0</v>
      </c>
    </row>
    <row r="449" spans="1:22" x14ac:dyDescent="0.2">
      <c r="A449" s="29">
        <f t="shared" si="282"/>
        <v>7</v>
      </c>
      <c r="B449" s="334" t="str">
        <f t="shared" si="276"/>
        <v>Biomethane - Africa&amp;Other - RE cost - USD/GJ</v>
      </c>
      <c r="C449" t="str" cm="1">
        <f t="array" ref="C449">INDEX(list_AE_fuel,A449)</f>
        <v>Biomethane</v>
      </c>
      <c r="D449" s="411" t="str">
        <f t="shared" si="279"/>
        <v>Africa</v>
      </c>
      <c r="E449" t="str">
        <f t="shared" si="280"/>
        <v>Africa&amp;Other</v>
      </c>
      <c r="F449" t="str">
        <f t="shared" si="277"/>
        <v>RE cost - USD/GJ</v>
      </c>
      <c r="G449"/>
      <c r="H449" s="412" t="str" cm="1">
        <f t="array" ref="H449">INDEX('Configurator Specs.'!$CG$5:$CG$24,A449)</f>
        <v>Modeled</v>
      </c>
      <c r="I449" t="s">
        <v>324</v>
      </c>
      <c r="K449" s="113">
        <f>IF($H449="Modeled",
INDEX('Fuel Model - Summary'!P:P,MATCH('Fuel Selector'!$C449&amp;" - "&amp;$D449,'Fuel Model - Summary'!$C:$C,0)),0)</f>
        <v>0</v>
      </c>
      <c r="L449" s="113">
        <f>IF($H449="Modeled",
INDEX('Fuel Model - Summary'!Q:Q,MATCH('Fuel Selector'!$C449&amp;" - "&amp;$D449,'Fuel Model - Summary'!$C:$C,0)),0)</f>
        <v>0</v>
      </c>
      <c r="M449" s="113">
        <f>IF($H449="Modeled",
INDEX('Fuel Model - Summary'!R:R,MATCH('Fuel Selector'!$C449&amp;" - "&amp;$D449,'Fuel Model - Summary'!$C:$C,0)),0)</f>
        <v>0</v>
      </c>
      <c r="N449" s="113">
        <f>IF($H449="Modeled",
INDEX('Fuel Model - Summary'!S:S,MATCH('Fuel Selector'!$C449&amp;" - "&amp;$D449,'Fuel Model - Summary'!$C:$C,0)),0)</f>
        <v>0</v>
      </c>
      <c r="O449" s="113">
        <f>IF($H449="Modeled",
INDEX('Fuel Model - Summary'!T:T,MATCH('Fuel Selector'!$C449&amp;" - "&amp;$D449,'Fuel Model - Summary'!$C:$C,0)),0)</f>
        <v>0</v>
      </c>
      <c r="P449" s="113">
        <f>IF($H449="Modeled",
INDEX('Fuel Model - Summary'!U:U,MATCH('Fuel Selector'!$C449&amp;" - "&amp;$D449,'Fuel Model - Summary'!$C:$C,0)),0)</f>
        <v>0</v>
      </c>
      <c r="Q449" s="113">
        <f>IF($H449="Modeled",
INDEX('Fuel Model - Summary'!V:V,MATCH('Fuel Selector'!$C449&amp;" - "&amp;$D449,'Fuel Model - Summary'!$C:$C,0)),0)</f>
        <v>0</v>
      </c>
      <c r="R449" s="113">
        <f t="shared" ref="R449:V449" si="287">Q449</f>
        <v>0</v>
      </c>
      <c r="S449" s="113">
        <f t="shared" si="287"/>
        <v>0</v>
      </c>
      <c r="T449" s="113">
        <f t="shared" si="287"/>
        <v>0</v>
      </c>
      <c r="U449" s="113">
        <f t="shared" si="287"/>
        <v>0</v>
      </c>
      <c r="V449" s="113">
        <f t="shared" si="287"/>
        <v>0</v>
      </c>
    </row>
    <row r="450" spans="1:22" x14ac:dyDescent="0.2">
      <c r="A450" s="29">
        <f t="shared" si="282"/>
        <v>8</v>
      </c>
      <c r="B450" s="334" t="str">
        <f t="shared" si="276"/>
        <v>e-Methane (DAC) - Africa&amp;Other - RE cost - USD/GJ</v>
      </c>
      <c r="C450" t="str" cm="1">
        <f t="array" ref="C450">INDEX(list_AE_fuel,A450)</f>
        <v>e-Methane (DAC)</v>
      </c>
      <c r="D450" s="411" t="str">
        <f t="shared" si="279"/>
        <v>Africa</v>
      </c>
      <c r="E450" t="str">
        <f t="shared" si="280"/>
        <v>Africa&amp;Other</v>
      </c>
      <c r="F450" t="str">
        <f t="shared" si="277"/>
        <v>RE cost - USD/GJ</v>
      </c>
      <c r="G450" s="226"/>
      <c r="H450" s="412" t="str" cm="1">
        <f t="array" ref="H450">INDEX('Configurator Specs.'!$CG$5:$CG$24,A450)</f>
        <v>Modeled</v>
      </c>
      <c r="I450" t="s">
        <v>324</v>
      </c>
      <c r="K450" s="113">
        <f>IF($H450="Modeled",
INDEX('Fuel Model - Summary'!P:P,MATCH('Fuel Selector'!$C450&amp;" - "&amp;$D450,'Fuel Model - Summary'!$C:$C,0)),0)</f>
        <v>43.471165477065597</v>
      </c>
      <c r="L450" s="113">
        <f>IF($H450="Modeled",
INDEX('Fuel Model - Summary'!Q:Q,MATCH('Fuel Selector'!$C450&amp;" - "&amp;$D450,'Fuel Model - Summary'!$C:$C,0)),0)</f>
        <v>24.482878487320328</v>
      </c>
      <c r="M450" s="113">
        <f>IF($H450="Modeled",
INDEX('Fuel Model - Summary'!R:R,MATCH('Fuel Selector'!$C450&amp;" - "&amp;$D450,'Fuel Model - Summary'!$C:$C,0)),0)</f>
        <v>18.993976393255043</v>
      </c>
      <c r="N450" s="113">
        <f>IF($H450="Modeled",
INDEX('Fuel Model - Summary'!S:S,MATCH('Fuel Selector'!$C450&amp;" - "&amp;$D450,'Fuel Model - Summary'!$C:$C,0)),0)</f>
        <v>15.541705104583318</v>
      </c>
      <c r="O450" s="113">
        <f>IF($H450="Modeled",
INDEX('Fuel Model - Summary'!T:T,MATCH('Fuel Selector'!$C450&amp;" - "&amp;$D450,'Fuel Model - Summary'!$C:$C,0)),0)</f>
        <v>13.607864187451167</v>
      </c>
      <c r="P450" s="113">
        <f>IF($H450="Modeled",
INDEX('Fuel Model - Summary'!U:U,MATCH('Fuel Selector'!$C450&amp;" - "&amp;$D450,'Fuel Model - Summary'!$C:$C,0)),0)</f>
        <v>11.567986625119689</v>
      </c>
      <c r="Q450" s="113">
        <f>IF($H450="Modeled",
INDEX('Fuel Model - Summary'!V:V,MATCH('Fuel Selector'!$C450&amp;" - "&amp;$D450,'Fuel Model - Summary'!$C:$C,0)),0)</f>
        <v>10.412532467841384</v>
      </c>
      <c r="R450" s="113">
        <f t="shared" ref="R450:V450" si="288">Q450</f>
        <v>10.412532467841384</v>
      </c>
      <c r="S450" s="113">
        <f t="shared" si="288"/>
        <v>10.412532467841384</v>
      </c>
      <c r="T450" s="113">
        <f t="shared" si="288"/>
        <v>10.412532467841384</v>
      </c>
      <c r="U450" s="113">
        <f t="shared" si="288"/>
        <v>10.412532467841384</v>
      </c>
      <c r="V450" s="113">
        <f t="shared" si="288"/>
        <v>10.412532467841384</v>
      </c>
    </row>
    <row r="451" spans="1:22" x14ac:dyDescent="0.2">
      <c r="A451" s="29">
        <f t="shared" si="282"/>
        <v>9</v>
      </c>
      <c r="B451" s="334" t="str">
        <f t="shared" si="276"/>
        <v>e-Methane (PS) - Africa&amp;Other - RE cost - USD/GJ</v>
      </c>
      <c r="C451" t="str" cm="1">
        <f t="array" ref="C451">INDEX(list_AE_fuel,A451)</f>
        <v>e-Methane (PS)</v>
      </c>
      <c r="D451" s="411" t="str">
        <f t="shared" si="279"/>
        <v>Africa</v>
      </c>
      <c r="E451" t="str">
        <f t="shared" si="280"/>
        <v>Africa&amp;Other</v>
      </c>
      <c r="F451" t="str">
        <f t="shared" si="277"/>
        <v>RE cost - USD/GJ</v>
      </c>
      <c r="G451" s="226"/>
      <c r="H451" s="412" t="str" cm="1">
        <f t="array" ref="H451">INDEX('Configurator Specs.'!$CG$5:$CG$24,A451)</f>
        <v>Modeled</v>
      </c>
      <c r="I451" t="s">
        <v>324</v>
      </c>
      <c r="K451" s="113">
        <f>IF($H451="Modeled",
INDEX('Fuel Model - Summary'!P:P,MATCH('Fuel Selector'!$C451&amp;" - "&amp;$D451,'Fuel Model - Summary'!$C:$C,0)),0)</f>
        <v>43.471165477065597</v>
      </c>
      <c r="L451" s="113">
        <f>IF($H451="Modeled",
INDEX('Fuel Model - Summary'!Q:Q,MATCH('Fuel Selector'!$C451&amp;" - "&amp;$D451,'Fuel Model - Summary'!$C:$C,0)),0)</f>
        <v>24.482878487320328</v>
      </c>
      <c r="M451" s="113">
        <f>IF($H451="Modeled",
INDEX('Fuel Model - Summary'!R:R,MATCH('Fuel Selector'!$C451&amp;" - "&amp;$D451,'Fuel Model - Summary'!$C:$C,0)),0)</f>
        <v>18.993976393255043</v>
      </c>
      <c r="N451" s="113">
        <f>IF($H451="Modeled",
INDEX('Fuel Model - Summary'!S:S,MATCH('Fuel Selector'!$C451&amp;" - "&amp;$D451,'Fuel Model - Summary'!$C:$C,0)),0)</f>
        <v>15.541705104583318</v>
      </c>
      <c r="O451" s="113">
        <f>IF($H451="Modeled",
INDEX('Fuel Model - Summary'!T:T,MATCH('Fuel Selector'!$C451&amp;" - "&amp;$D451,'Fuel Model - Summary'!$C:$C,0)),0)</f>
        <v>13.607864187451167</v>
      </c>
      <c r="P451" s="113">
        <f>IF($H451="Modeled",
INDEX('Fuel Model - Summary'!U:U,MATCH('Fuel Selector'!$C451&amp;" - "&amp;$D451,'Fuel Model - Summary'!$C:$C,0)),0)</f>
        <v>11.567986625119689</v>
      </c>
      <c r="Q451" s="113">
        <f>IF($H451="Modeled",
INDEX('Fuel Model - Summary'!V:V,MATCH('Fuel Selector'!$C451&amp;" - "&amp;$D451,'Fuel Model - Summary'!$C:$C,0)),0)</f>
        <v>10.412532467841384</v>
      </c>
      <c r="R451" s="113">
        <f t="shared" ref="R451:V451" si="289">Q451</f>
        <v>10.412532467841384</v>
      </c>
      <c r="S451" s="113">
        <f t="shared" si="289"/>
        <v>10.412532467841384</v>
      </c>
      <c r="T451" s="113">
        <f t="shared" si="289"/>
        <v>10.412532467841384</v>
      </c>
      <c r="U451" s="113">
        <f t="shared" si="289"/>
        <v>10.412532467841384</v>
      </c>
      <c r="V451" s="113">
        <f t="shared" si="289"/>
        <v>10.412532467841384</v>
      </c>
    </row>
    <row r="452" spans="1:22" x14ac:dyDescent="0.2">
      <c r="A452" s="29">
        <f t="shared" si="282"/>
        <v>10</v>
      </c>
      <c r="B452" s="334" t="str">
        <f t="shared" si="276"/>
        <v>Biomethanol - Africa&amp;Other - RE cost - USD/GJ</v>
      </c>
      <c r="C452" t="str" cm="1">
        <f t="array" ref="C452">INDEX(list_AE_fuel,A452)</f>
        <v>Biomethanol</v>
      </c>
      <c r="D452" s="411" t="str">
        <f t="shared" si="279"/>
        <v>Africa</v>
      </c>
      <c r="E452" t="str">
        <f t="shared" si="280"/>
        <v>Africa&amp;Other</v>
      </c>
      <c r="F452" t="str">
        <f t="shared" si="277"/>
        <v>RE cost - USD/GJ</v>
      </c>
      <c r="G452"/>
      <c r="H452" s="412" t="str" cm="1">
        <f t="array" ref="H452">INDEX('Configurator Specs.'!$CG$5:$CG$24,A452)</f>
        <v>Modeled</v>
      </c>
      <c r="I452" t="s">
        <v>324</v>
      </c>
      <c r="K452" s="113">
        <f>IF($H452="Modeled",
INDEX('Fuel Model - Summary'!P:P,MATCH('Fuel Selector'!$C452&amp;" - "&amp;$D452,'Fuel Model - Summary'!$C:$C,0)),0)</f>
        <v>0</v>
      </c>
      <c r="L452" s="113">
        <f>IF($H452="Modeled",
INDEX('Fuel Model - Summary'!Q:Q,MATCH('Fuel Selector'!$C452&amp;" - "&amp;$D452,'Fuel Model - Summary'!$C:$C,0)),0)</f>
        <v>0</v>
      </c>
      <c r="M452" s="113">
        <f>IF($H452="Modeled",
INDEX('Fuel Model - Summary'!R:R,MATCH('Fuel Selector'!$C452&amp;" - "&amp;$D452,'Fuel Model - Summary'!$C:$C,0)),0)</f>
        <v>0</v>
      </c>
      <c r="N452" s="113">
        <f>IF($H452="Modeled",
INDEX('Fuel Model - Summary'!S:S,MATCH('Fuel Selector'!$C452&amp;" - "&amp;$D452,'Fuel Model - Summary'!$C:$C,0)),0)</f>
        <v>0</v>
      </c>
      <c r="O452" s="113">
        <f>IF($H452="Modeled",
INDEX('Fuel Model - Summary'!T:T,MATCH('Fuel Selector'!$C452&amp;" - "&amp;$D452,'Fuel Model - Summary'!$C:$C,0)),0)</f>
        <v>0</v>
      </c>
      <c r="P452" s="113">
        <f>IF($H452="Modeled",
INDEX('Fuel Model - Summary'!U:U,MATCH('Fuel Selector'!$C452&amp;" - "&amp;$D452,'Fuel Model - Summary'!$C:$C,0)),0)</f>
        <v>0</v>
      </c>
      <c r="Q452" s="113">
        <f>IF($H452="Modeled",
INDEX('Fuel Model - Summary'!V:V,MATCH('Fuel Selector'!$C452&amp;" - "&amp;$D452,'Fuel Model - Summary'!$C:$C,0)),0)</f>
        <v>0</v>
      </c>
      <c r="R452" s="113">
        <f t="shared" ref="R452:V452" si="290">Q452</f>
        <v>0</v>
      </c>
      <c r="S452" s="113">
        <f t="shared" si="290"/>
        <v>0</v>
      </c>
      <c r="T452" s="113">
        <f t="shared" si="290"/>
        <v>0</v>
      </c>
      <c r="U452" s="113">
        <f t="shared" si="290"/>
        <v>0</v>
      </c>
      <c r="V452" s="113">
        <f t="shared" si="290"/>
        <v>0</v>
      </c>
    </row>
    <row r="453" spans="1:22" x14ac:dyDescent="0.2">
      <c r="A453" s="29">
        <f t="shared" si="282"/>
        <v>11</v>
      </c>
      <c r="B453" s="334" t="str">
        <f t="shared" si="276"/>
        <v>e-Methanol (DAC) - Africa&amp;Other - RE cost - USD/GJ</v>
      </c>
      <c r="C453" t="str" cm="1">
        <f t="array" ref="C453">INDEX(list_AE_fuel,A453)</f>
        <v>e-Methanol (DAC)</v>
      </c>
      <c r="D453" s="411" t="str">
        <f t="shared" si="279"/>
        <v>Africa</v>
      </c>
      <c r="E453" t="str">
        <f t="shared" si="280"/>
        <v>Africa&amp;Other</v>
      </c>
      <c r="F453" t="str">
        <f t="shared" si="277"/>
        <v>RE cost - USD/GJ</v>
      </c>
      <c r="G453"/>
      <c r="H453" s="412" t="str" cm="1">
        <f t="array" ref="H453">INDEX('Configurator Specs.'!$CG$5:$CG$24,A453)</f>
        <v>Modeled</v>
      </c>
      <c r="I453" t="s">
        <v>324</v>
      </c>
      <c r="K453" s="113">
        <f>IF($H453="Modeled",
INDEX('Fuel Model - Summary'!P:P,MATCH('Fuel Selector'!$C453&amp;" - "&amp;$D453,'Fuel Model - Summary'!$C:$C,0)),0)</f>
        <v>47.378691335046938</v>
      </c>
      <c r="L453" s="113">
        <f>IF($H453="Modeled",
INDEX('Fuel Model - Summary'!Q:Q,MATCH('Fuel Selector'!$C453&amp;" - "&amp;$D453,'Fuel Model - Summary'!$C:$C,0)),0)</f>
        <v>26.699705077523408</v>
      </c>
      <c r="M453" s="113">
        <f>IF($H453="Modeled",
INDEX('Fuel Model - Summary'!R:R,MATCH('Fuel Selector'!$C453&amp;" - "&amp;$D453,'Fuel Model - Summary'!$C:$C,0)),0)</f>
        <v>20.749567305734615</v>
      </c>
      <c r="N453" s="113">
        <f>IF($H453="Modeled",
INDEX('Fuel Model - Summary'!S:S,MATCH('Fuel Selector'!$C453&amp;" - "&amp;$D453,'Fuel Model - Summary'!$C:$C,0)),0)</f>
        <v>17.05983267887725</v>
      </c>
      <c r="O453" s="113">
        <f>IF($H453="Modeled",
INDEX('Fuel Model - Summary'!T:T,MATCH('Fuel Selector'!$C453&amp;" - "&amp;$D453,'Fuel Model - Summary'!$C:$C,0)),0)</f>
        <v>15.030129534403015</v>
      </c>
      <c r="P453" s="113">
        <f>IF($H453="Modeled",
INDEX('Fuel Model - Summary'!U:U,MATCH('Fuel Selector'!$C453&amp;" - "&amp;$D453,'Fuel Model - Summary'!$C:$C,0)),0)</f>
        <v>12.89432469643871</v>
      </c>
      <c r="Q453" s="113">
        <f>IF($H453="Modeled",
INDEX('Fuel Model - Summary'!V:V,MATCH('Fuel Selector'!$C453&amp;" - "&amp;$D453,'Fuel Model - Summary'!$C:$C,0)),0)</f>
        <v>11.69972899450552</v>
      </c>
      <c r="R453" s="113">
        <f t="shared" ref="R453:V453" si="291">Q453</f>
        <v>11.69972899450552</v>
      </c>
      <c r="S453" s="113">
        <f t="shared" si="291"/>
        <v>11.69972899450552</v>
      </c>
      <c r="T453" s="113">
        <f t="shared" si="291"/>
        <v>11.69972899450552</v>
      </c>
      <c r="U453" s="113">
        <f t="shared" si="291"/>
        <v>11.69972899450552</v>
      </c>
      <c r="V453" s="113">
        <f t="shared" si="291"/>
        <v>11.69972899450552</v>
      </c>
    </row>
    <row r="454" spans="1:22" x14ac:dyDescent="0.2">
      <c r="A454" s="29">
        <f t="shared" si="282"/>
        <v>12</v>
      </c>
      <c r="B454" s="334" t="str">
        <f t="shared" si="276"/>
        <v>e-Methanol (PS) - Africa&amp;Other - RE cost - USD/GJ</v>
      </c>
      <c r="C454" t="str" cm="1">
        <f t="array" ref="C454">INDEX(list_AE_fuel,A454)</f>
        <v>e-Methanol (PS)</v>
      </c>
      <c r="D454" s="411" t="str">
        <f t="shared" si="279"/>
        <v>Africa</v>
      </c>
      <c r="E454" t="str">
        <f>E453</f>
        <v>Africa&amp;Other</v>
      </c>
      <c r="F454" t="str">
        <f t="shared" si="277"/>
        <v>RE cost - USD/GJ</v>
      </c>
      <c r="G454"/>
      <c r="H454" s="412" t="str" cm="1">
        <f t="array" ref="H454">INDEX('Configurator Specs.'!$CG$5:$CG$24,A454)</f>
        <v>Modeled</v>
      </c>
      <c r="I454" t="s">
        <v>324</v>
      </c>
      <c r="K454" s="113">
        <f>IF($H454="Modeled",
INDEX('Fuel Model - Summary'!P:P,MATCH('Fuel Selector'!$C454&amp;" - "&amp;$D454,'Fuel Model - Summary'!$C:$C,0)),0)</f>
        <v>47.378691335046938</v>
      </c>
      <c r="L454" s="113">
        <f>IF($H454="Modeled",
INDEX('Fuel Model - Summary'!Q:Q,MATCH('Fuel Selector'!$C454&amp;" - "&amp;$D454,'Fuel Model - Summary'!$C:$C,0)),0)</f>
        <v>26.699705077523408</v>
      </c>
      <c r="M454" s="113">
        <f>IF($H454="Modeled",
INDEX('Fuel Model - Summary'!R:R,MATCH('Fuel Selector'!$C454&amp;" - "&amp;$D454,'Fuel Model - Summary'!$C:$C,0)),0)</f>
        <v>20.749567305734615</v>
      </c>
      <c r="N454" s="113">
        <f>IF($H454="Modeled",
INDEX('Fuel Model - Summary'!S:S,MATCH('Fuel Selector'!$C454&amp;" - "&amp;$D454,'Fuel Model - Summary'!$C:$C,0)),0)</f>
        <v>17.05983267887725</v>
      </c>
      <c r="O454" s="113">
        <f>IF($H454="Modeled",
INDEX('Fuel Model - Summary'!T:T,MATCH('Fuel Selector'!$C454&amp;" - "&amp;$D454,'Fuel Model - Summary'!$C:$C,0)),0)</f>
        <v>15.030129534403015</v>
      </c>
      <c r="P454" s="113">
        <f>IF($H454="Modeled",
INDEX('Fuel Model - Summary'!U:U,MATCH('Fuel Selector'!$C454&amp;" - "&amp;$D454,'Fuel Model - Summary'!$C:$C,0)),0)</f>
        <v>12.89432469643871</v>
      </c>
      <c r="Q454" s="113">
        <f>IF($H454="Modeled",
INDEX('Fuel Model - Summary'!V:V,MATCH('Fuel Selector'!$C454&amp;" - "&amp;$D454,'Fuel Model - Summary'!$C:$C,0)),0)</f>
        <v>11.69972899450552</v>
      </c>
      <c r="R454" s="113">
        <f t="shared" ref="R454:V454" si="292">Q454</f>
        <v>11.69972899450552</v>
      </c>
      <c r="S454" s="113">
        <f t="shared" si="292"/>
        <v>11.69972899450552</v>
      </c>
      <c r="T454" s="113">
        <f t="shared" si="292"/>
        <v>11.69972899450552</v>
      </c>
      <c r="U454" s="113">
        <f t="shared" si="292"/>
        <v>11.69972899450552</v>
      </c>
      <c r="V454" s="113">
        <f t="shared" si="292"/>
        <v>11.69972899450552</v>
      </c>
    </row>
    <row r="455" spans="1:22" x14ac:dyDescent="0.2">
      <c r="A455" s="29">
        <f t="shared" si="282"/>
        <v>13</v>
      </c>
      <c r="B455" s="334" t="str">
        <f t="shared" si="276"/>
        <v>Biodiesel (HtL) - Africa&amp;Other - RE cost - USD/GJ</v>
      </c>
      <c r="C455" t="str" cm="1">
        <f t="array" ref="C455">INDEX(list_AE_fuel,A455)</f>
        <v>Biodiesel (HtL)</v>
      </c>
      <c r="D455" s="411" t="str">
        <f t="shared" si="279"/>
        <v>Africa</v>
      </c>
      <c r="E455" t="str">
        <f t="shared" ref="E455:E462" si="293">E454</f>
        <v>Africa&amp;Other</v>
      </c>
      <c r="F455" t="str">
        <f t="shared" si="277"/>
        <v>RE cost - USD/GJ</v>
      </c>
      <c r="G455"/>
      <c r="H455" s="412" t="str" cm="1">
        <f t="array" ref="H455">INDEX('Configurator Specs.'!$CG$5:$CG$24,A455)</f>
        <v>Modeled</v>
      </c>
      <c r="I455" t="s">
        <v>324</v>
      </c>
      <c r="K455" s="113">
        <f>IF($H455="Modeled",
INDEX('Fuel Model - Summary'!P:P,MATCH('Fuel Selector'!$C455&amp;" - "&amp;$D455,'Fuel Model - Summary'!$C:$C,0)),0)</f>
        <v>1.4801570106661779</v>
      </c>
      <c r="L455" s="113">
        <f>IF($H455="Modeled",
INDEX('Fuel Model - Summary'!Q:Q,MATCH('Fuel Selector'!$C455&amp;" - "&amp;$D455,'Fuel Model - Summary'!$C:$C,0)),0)</f>
        <v>0.83750267177830384</v>
      </c>
      <c r="M455" s="113">
        <f>IF($H455="Modeled",
INDEX('Fuel Model - Summary'!R:R,MATCH('Fuel Selector'!$C455&amp;" - "&amp;$D455,'Fuel Model - Summary'!$C:$C,0)),0)</f>
        <v>0.65594409596400183</v>
      </c>
      <c r="N455" s="113">
        <f>IF($H455="Modeled",
INDEX('Fuel Model - Summary'!S:S,MATCH('Fuel Selector'!$C455&amp;" - "&amp;$D455,'Fuel Model - Summary'!$C:$C,0)),0)</f>
        <v>0.55426548164176903</v>
      </c>
      <c r="O455" s="113">
        <f>IF($H455="Modeled",
INDEX('Fuel Model - Summary'!T:T,MATCH('Fuel Selector'!$C455&amp;" - "&amp;$D455,'Fuel Model - Summary'!$C:$C,0)),0)</f>
        <v>0.50567020857350842</v>
      </c>
      <c r="P455" s="113">
        <f>IF($H455="Modeled",
INDEX('Fuel Model - Summary'!U:U,MATCH('Fuel Selector'!$C455&amp;" - "&amp;$D455,'Fuel Model - Summary'!$C:$C,0)),0)</f>
        <v>0.45610810236719246</v>
      </c>
      <c r="Q455" s="113">
        <f>IF($H455="Modeled",
INDEX('Fuel Model - Summary'!V:V,MATCH('Fuel Selector'!$C455&amp;" - "&amp;$D455,'Fuel Model - Summary'!$C:$C,0)),0)</f>
        <v>0.431093276636909</v>
      </c>
      <c r="R455" s="113">
        <f t="shared" ref="R455:V455" si="294">Q455</f>
        <v>0.431093276636909</v>
      </c>
      <c r="S455" s="113">
        <f t="shared" si="294"/>
        <v>0.431093276636909</v>
      </c>
      <c r="T455" s="113">
        <f t="shared" si="294"/>
        <v>0.431093276636909</v>
      </c>
      <c r="U455" s="113">
        <f t="shared" si="294"/>
        <v>0.431093276636909</v>
      </c>
      <c r="V455" s="113">
        <f t="shared" si="294"/>
        <v>0.431093276636909</v>
      </c>
    </row>
    <row r="456" spans="1:22" x14ac:dyDescent="0.2">
      <c r="A456" s="29">
        <f t="shared" si="282"/>
        <v>14</v>
      </c>
      <c r="B456" s="334" t="str">
        <f t="shared" si="276"/>
        <v>Biodiesel (Pyr) - Africa&amp;Other - RE cost - USD/GJ</v>
      </c>
      <c r="C456" t="str" cm="1">
        <f t="array" ref="C456">INDEX(list_AE_fuel,A456)</f>
        <v>Biodiesel (Pyr)</v>
      </c>
      <c r="D456" s="411" t="str">
        <f t="shared" si="279"/>
        <v>Africa</v>
      </c>
      <c r="E456" t="str">
        <f t="shared" si="293"/>
        <v>Africa&amp;Other</v>
      </c>
      <c r="F456" t="str">
        <f t="shared" si="277"/>
        <v>RE cost - USD/GJ</v>
      </c>
      <c r="G456"/>
      <c r="H456" s="412" t="str" cm="1">
        <f t="array" ref="H456">INDEX('Configurator Specs.'!$CG$5:$CG$24,A456)</f>
        <v>Modeled</v>
      </c>
      <c r="I456" t="s">
        <v>324</v>
      </c>
      <c r="K456" s="113">
        <f>IF($H456="Modeled",
INDEX('Fuel Model - Summary'!P:P,MATCH('Fuel Selector'!$C456&amp;" - "&amp;$D456,'Fuel Model - Summary'!$C:$C,0)),0)</f>
        <v>0</v>
      </c>
      <c r="L456" s="113">
        <f>IF($H456="Modeled",
INDEX('Fuel Model - Summary'!Q:Q,MATCH('Fuel Selector'!$C456&amp;" - "&amp;$D456,'Fuel Model - Summary'!$C:$C,0)),0)</f>
        <v>0</v>
      </c>
      <c r="M456" s="113">
        <f>IF($H456="Modeled",
INDEX('Fuel Model - Summary'!R:R,MATCH('Fuel Selector'!$C456&amp;" - "&amp;$D456,'Fuel Model - Summary'!$C:$C,0)),0)</f>
        <v>0</v>
      </c>
      <c r="N456" s="113">
        <f>IF($H456="Modeled",
INDEX('Fuel Model - Summary'!S:S,MATCH('Fuel Selector'!$C456&amp;" - "&amp;$D456,'Fuel Model - Summary'!$C:$C,0)),0)</f>
        <v>0</v>
      </c>
      <c r="O456" s="113">
        <f>IF($H456="Modeled",
INDEX('Fuel Model - Summary'!T:T,MATCH('Fuel Selector'!$C456&amp;" - "&amp;$D456,'Fuel Model - Summary'!$C:$C,0)),0)</f>
        <v>0</v>
      </c>
      <c r="P456" s="113">
        <f>IF($H456="Modeled",
INDEX('Fuel Model - Summary'!U:U,MATCH('Fuel Selector'!$C456&amp;" - "&amp;$D456,'Fuel Model - Summary'!$C:$C,0)),0)</f>
        <v>0</v>
      </c>
      <c r="Q456" s="113">
        <f>IF($H456="Modeled",
INDEX('Fuel Model - Summary'!V:V,MATCH('Fuel Selector'!$C456&amp;" - "&amp;$D456,'Fuel Model - Summary'!$C:$C,0)),0)</f>
        <v>0</v>
      </c>
      <c r="R456" s="113">
        <f t="shared" ref="R456:V456" si="295">Q456</f>
        <v>0</v>
      </c>
      <c r="S456" s="113">
        <f t="shared" si="295"/>
        <v>0</v>
      </c>
      <c r="T456" s="113">
        <f t="shared" si="295"/>
        <v>0</v>
      </c>
      <c r="U456" s="113">
        <f t="shared" si="295"/>
        <v>0</v>
      </c>
      <c r="V456" s="113">
        <f t="shared" si="295"/>
        <v>0</v>
      </c>
    </row>
    <row r="457" spans="1:22" x14ac:dyDescent="0.2">
      <c r="A457" s="29">
        <f t="shared" si="282"/>
        <v>15</v>
      </c>
      <c r="B457" s="334" t="str">
        <f t="shared" si="276"/>
        <v>e-Diesel (DAC) - Africa&amp;Other - RE cost - USD/GJ</v>
      </c>
      <c r="C457" t="str" cm="1">
        <f t="array" ref="C457">INDEX(list_AE_fuel,A457)</f>
        <v>e-Diesel (DAC)</v>
      </c>
      <c r="D457" s="411" t="str">
        <f t="shared" si="279"/>
        <v>Africa</v>
      </c>
      <c r="E457" t="str">
        <f t="shared" si="293"/>
        <v>Africa&amp;Other</v>
      </c>
      <c r="F457" t="str">
        <f t="shared" si="277"/>
        <v>RE cost - USD/GJ</v>
      </c>
      <c r="G457"/>
      <c r="H457" s="412" t="str" cm="1">
        <f t="array" ref="H457">INDEX('Configurator Specs.'!$CG$5:$CG$24,A457)</f>
        <v>Modeled</v>
      </c>
      <c r="I457" t="s">
        <v>324</v>
      </c>
      <c r="K457" s="113">
        <f>IF($H457="Modeled",
INDEX('Fuel Model - Summary'!P:P,MATCH('Fuel Selector'!$C457&amp;" - "&amp;$D457,'Fuel Model - Summary'!$C:$C,0)),0)</f>
        <v>47.959756696164114</v>
      </c>
      <c r="L457" s="113">
        <f>IF($H457="Modeled",
INDEX('Fuel Model - Summary'!Q:Q,MATCH('Fuel Selector'!$C457&amp;" - "&amp;$D457,'Fuel Model - Summary'!$C:$C,0)),0)</f>
        <v>26.973478495492145</v>
      </c>
      <c r="M457" s="113">
        <f>IF($H457="Modeled",
INDEX('Fuel Model - Summary'!R:R,MATCH('Fuel Selector'!$C457&amp;" - "&amp;$D457,'Fuel Model - Summary'!$C:$C,0)),0)</f>
        <v>20.899300144175026</v>
      </c>
      <c r="N457" s="113">
        <f>IF($H457="Modeled",
INDEX('Fuel Model - Summary'!S:S,MATCH('Fuel Selector'!$C457&amp;" - "&amp;$D457,'Fuel Model - Summary'!$C:$C,0)),0)</f>
        <v>17.079371536637588</v>
      </c>
      <c r="O457" s="113">
        <f>IF($H457="Modeled",
INDEX('Fuel Model - Summary'!T:T,MATCH('Fuel Selector'!$C457&amp;" - "&amp;$D457,'Fuel Model - Summary'!$C:$C,0)),0)</f>
        <v>14.935346829083896</v>
      </c>
      <c r="P457" s="113">
        <f>IF($H457="Modeled",
INDEX('Fuel Model - Summary'!U:U,MATCH('Fuel Selector'!$C457&amp;" - "&amp;$D457,'Fuel Model - Summary'!$C:$C,0)),0)</f>
        <v>12.679360529947958</v>
      </c>
      <c r="Q457" s="113">
        <f>IF($H457="Modeled",
INDEX('Fuel Model - Summary'!V:V,MATCH('Fuel Selector'!$C457&amp;" - "&amp;$D457,'Fuel Model - Summary'!$C:$C,0)),0)</f>
        <v>11.397463575663975</v>
      </c>
      <c r="R457" s="113">
        <f t="shared" ref="R457:V457" si="296">Q457</f>
        <v>11.397463575663975</v>
      </c>
      <c r="S457" s="113">
        <f t="shared" si="296"/>
        <v>11.397463575663975</v>
      </c>
      <c r="T457" s="113">
        <f t="shared" si="296"/>
        <v>11.397463575663975</v>
      </c>
      <c r="U457" s="113">
        <f t="shared" si="296"/>
        <v>11.397463575663975</v>
      </c>
      <c r="V457" s="113">
        <f t="shared" si="296"/>
        <v>11.397463575663975</v>
      </c>
    </row>
    <row r="458" spans="1:22" x14ac:dyDescent="0.2">
      <c r="A458" s="29">
        <f t="shared" si="282"/>
        <v>16</v>
      </c>
      <c r="B458" s="334" t="str">
        <f t="shared" si="276"/>
        <v>e-Diesel (PS) - Africa&amp;Other - RE cost - USD/GJ</v>
      </c>
      <c r="C458" t="str" cm="1">
        <f t="array" ref="C458">INDEX(list_AE_fuel,A458)</f>
        <v>e-Diesel (PS)</v>
      </c>
      <c r="D458" s="411" t="str">
        <f t="shared" si="279"/>
        <v>Africa</v>
      </c>
      <c r="E458" t="str">
        <f t="shared" si="293"/>
        <v>Africa&amp;Other</v>
      </c>
      <c r="F458" t="str">
        <f t="shared" si="277"/>
        <v>RE cost - USD/GJ</v>
      </c>
      <c r="G458"/>
      <c r="H458" s="412" t="str" cm="1">
        <f t="array" ref="H458">INDEX('Configurator Specs.'!$CG$5:$CG$24,A458)</f>
        <v>Modeled</v>
      </c>
      <c r="I458" t="s">
        <v>324</v>
      </c>
      <c r="K458" s="113">
        <f>IF($H458="Modeled",
INDEX('Fuel Model - Summary'!P:P,MATCH('Fuel Selector'!$C458&amp;" - "&amp;$D458,'Fuel Model - Summary'!$C:$C,0)),0)</f>
        <v>47.959756696164114</v>
      </c>
      <c r="L458" s="113">
        <f>IF($H458="Modeled",
INDEX('Fuel Model - Summary'!Q:Q,MATCH('Fuel Selector'!$C458&amp;" - "&amp;$D458,'Fuel Model - Summary'!$C:$C,0)),0)</f>
        <v>26.973478495492145</v>
      </c>
      <c r="M458" s="113">
        <f>IF($H458="Modeled",
INDEX('Fuel Model - Summary'!R:R,MATCH('Fuel Selector'!$C458&amp;" - "&amp;$D458,'Fuel Model - Summary'!$C:$C,0)),0)</f>
        <v>20.899300144175026</v>
      </c>
      <c r="N458" s="113">
        <f>IF($H458="Modeled",
INDEX('Fuel Model - Summary'!S:S,MATCH('Fuel Selector'!$C458&amp;" - "&amp;$D458,'Fuel Model - Summary'!$C:$C,0)),0)</f>
        <v>17.079371536637588</v>
      </c>
      <c r="O458" s="113">
        <f>IF($H458="Modeled",
INDEX('Fuel Model - Summary'!T:T,MATCH('Fuel Selector'!$C458&amp;" - "&amp;$D458,'Fuel Model - Summary'!$C:$C,0)),0)</f>
        <v>14.935346829083896</v>
      </c>
      <c r="P458" s="113">
        <f>IF($H458="Modeled",
INDEX('Fuel Model - Summary'!U:U,MATCH('Fuel Selector'!$C458&amp;" - "&amp;$D458,'Fuel Model - Summary'!$C:$C,0)),0)</f>
        <v>12.679360529947958</v>
      </c>
      <c r="Q458" s="113">
        <f>IF($H458="Modeled",
INDEX('Fuel Model - Summary'!V:V,MATCH('Fuel Selector'!$C458&amp;" - "&amp;$D458,'Fuel Model - Summary'!$C:$C,0)),0)</f>
        <v>11.397463575663975</v>
      </c>
      <c r="R458" s="113">
        <f t="shared" ref="R458:V458" si="297">Q458</f>
        <v>11.397463575663975</v>
      </c>
      <c r="S458" s="113">
        <f t="shared" si="297"/>
        <v>11.397463575663975</v>
      </c>
      <c r="T458" s="113">
        <f t="shared" si="297"/>
        <v>11.397463575663975</v>
      </c>
      <c r="U458" s="113">
        <f t="shared" si="297"/>
        <v>11.397463575663975</v>
      </c>
      <c r="V458" s="113">
        <f t="shared" si="297"/>
        <v>11.397463575663975</v>
      </c>
    </row>
    <row r="459" spans="1:22" x14ac:dyDescent="0.2">
      <c r="A459" s="29">
        <f t="shared" si="282"/>
        <v>17</v>
      </c>
      <c r="B459" s="334" t="str">
        <f t="shared" si="276"/>
        <v>Biodiesel (HtL blend) - Africa&amp;Other - RE cost - USD/GJ</v>
      </c>
      <c r="C459" t="str" cm="1">
        <f t="array" ref="C459">INDEX(list_AE_fuel,A459)</f>
        <v>Biodiesel (HtL blend)</v>
      </c>
      <c r="D459" s="411" t="str">
        <f t="shared" si="279"/>
        <v>Africa</v>
      </c>
      <c r="E459" t="str">
        <f t="shared" si="293"/>
        <v>Africa&amp;Other</v>
      </c>
      <c r="F459" t="str">
        <f t="shared" si="277"/>
        <v>RE cost - USD/GJ</v>
      </c>
      <c r="G459"/>
      <c r="H459" s="412" t="str" cm="1">
        <f t="array" ref="H459">INDEX('Configurator Specs.'!$CG$5:$CG$24,A459)</f>
        <v>Modeled</v>
      </c>
      <c r="I459" t="s">
        <v>324</v>
      </c>
      <c r="K459" s="113">
        <f>IF($H459="Modeled",
INDEX('Fuel Model - Summary'!P:P,MATCH('Fuel Selector'!$C459&amp;" - "&amp;$D459,'Fuel Model - Summary'!$C:$C,0)),0)</f>
        <v>0.65495030420151079</v>
      </c>
      <c r="L459" s="113">
        <f>IF($H459="Modeled",
INDEX('Fuel Model - Summary'!Q:Q,MATCH('Fuel Selector'!$C459&amp;" - "&amp;$D459,'Fuel Model - Summary'!$C:$C,0)),0)</f>
        <v>0.37058408378169511</v>
      </c>
      <c r="M459" s="113">
        <f>IF($H459="Modeled",
INDEX('Fuel Model - Summary'!R:R,MATCH('Fuel Selector'!$C459&amp;" - "&amp;$D459,'Fuel Model - Summary'!$C:$C,0)),0)</f>
        <v>0.29024676577888991</v>
      </c>
      <c r="N459" s="113">
        <f>IF($H459="Modeled",
INDEX('Fuel Model - Summary'!S:S,MATCH('Fuel Selector'!$C459&amp;" - "&amp;$D459,'Fuel Model - Summary'!$C:$C,0)),0)</f>
        <v>0.24525529602179832</v>
      </c>
      <c r="O459" s="113">
        <f>IF($H459="Modeled",
INDEX('Fuel Model - Summary'!T:T,MATCH('Fuel Selector'!$C459&amp;" - "&amp;$D459,'Fuel Model - Summary'!$C:$C,0)),0)</f>
        <v>0.22375251716154207</v>
      </c>
      <c r="P459" s="113">
        <f>IF($H459="Modeled",
INDEX('Fuel Model - Summary'!U:U,MATCH('Fuel Selector'!$C459&amp;" - "&amp;$D459,'Fuel Model - Summary'!$C:$C,0)),0)</f>
        <v>0.20182192716144165</v>
      </c>
      <c r="Q459" s="113">
        <f>IF($H459="Modeled",
INDEX('Fuel Model - Summary'!V:V,MATCH('Fuel Selector'!$C459&amp;" - "&amp;$D459,'Fuel Model - Summary'!$C:$C,0)),0)</f>
        <v>0.19075319080203126</v>
      </c>
      <c r="R459" s="113">
        <f t="shared" ref="R459:V459" si="298">Q459</f>
        <v>0.19075319080203126</v>
      </c>
      <c r="S459" s="113">
        <f t="shared" si="298"/>
        <v>0.19075319080203126</v>
      </c>
      <c r="T459" s="113">
        <f t="shared" si="298"/>
        <v>0.19075319080203126</v>
      </c>
      <c r="U459" s="113">
        <f t="shared" si="298"/>
        <v>0.19075319080203126</v>
      </c>
      <c r="V459" s="113">
        <f t="shared" si="298"/>
        <v>0.19075319080203126</v>
      </c>
    </row>
    <row r="460" spans="1:22" x14ac:dyDescent="0.2">
      <c r="A460" s="29">
        <f t="shared" si="282"/>
        <v>18</v>
      </c>
      <c r="B460" s="334" t="str">
        <f t="shared" si="276"/>
        <v>Biodiesel (Pyr blend) - Africa&amp;Other - RE cost - USD/GJ</v>
      </c>
      <c r="C460" t="str" cm="1">
        <f t="array" ref="C460">INDEX(list_AE_fuel,A460)</f>
        <v>Biodiesel (Pyr blend)</v>
      </c>
      <c r="D460" s="411" t="str">
        <f t="shared" si="279"/>
        <v>Africa</v>
      </c>
      <c r="E460" t="str">
        <f t="shared" si="293"/>
        <v>Africa&amp;Other</v>
      </c>
      <c r="F460" t="str">
        <f t="shared" si="277"/>
        <v>RE cost - USD/GJ</v>
      </c>
      <c r="G460"/>
      <c r="H460" s="412" t="str" cm="1">
        <f t="array" ref="H460">INDEX('Configurator Specs.'!$CG$5:$CG$24,A460)</f>
        <v>Modeled</v>
      </c>
      <c r="I460" t="s">
        <v>324</v>
      </c>
      <c r="K460" s="113">
        <f>IF($H460="Modeled",
INDEX('Fuel Model - Summary'!P:P,MATCH('Fuel Selector'!$C460&amp;" - "&amp;$D460,'Fuel Model - Summary'!$C:$C,0)),0)</f>
        <v>0</v>
      </c>
      <c r="L460" s="113">
        <f>IF($H460="Modeled",
INDEX('Fuel Model - Summary'!Q:Q,MATCH('Fuel Selector'!$C460&amp;" - "&amp;$D460,'Fuel Model - Summary'!$C:$C,0)),0)</f>
        <v>0</v>
      </c>
      <c r="M460" s="113">
        <f>IF($H460="Modeled",
INDEX('Fuel Model - Summary'!R:R,MATCH('Fuel Selector'!$C460&amp;" - "&amp;$D460,'Fuel Model - Summary'!$C:$C,0)),0)</f>
        <v>0</v>
      </c>
      <c r="N460" s="113">
        <f>IF($H460="Modeled",
INDEX('Fuel Model - Summary'!S:S,MATCH('Fuel Selector'!$C460&amp;" - "&amp;$D460,'Fuel Model - Summary'!$C:$C,0)),0)</f>
        <v>0</v>
      </c>
      <c r="O460" s="113">
        <f>IF($H460="Modeled",
INDEX('Fuel Model - Summary'!T:T,MATCH('Fuel Selector'!$C460&amp;" - "&amp;$D460,'Fuel Model - Summary'!$C:$C,0)),0)</f>
        <v>0</v>
      </c>
      <c r="P460" s="113">
        <f>IF($H460="Modeled",
INDEX('Fuel Model - Summary'!U:U,MATCH('Fuel Selector'!$C460&amp;" - "&amp;$D460,'Fuel Model - Summary'!$C:$C,0)),0)</f>
        <v>0</v>
      </c>
      <c r="Q460" s="113">
        <f>IF($H460="Modeled",
INDEX('Fuel Model - Summary'!V:V,MATCH('Fuel Selector'!$C460&amp;" - "&amp;$D460,'Fuel Model - Summary'!$C:$C,0)),0)</f>
        <v>0</v>
      </c>
      <c r="R460" s="113">
        <f t="shared" ref="R460:V460" si="299">Q460</f>
        <v>0</v>
      </c>
      <c r="S460" s="113">
        <f t="shared" si="299"/>
        <v>0</v>
      </c>
      <c r="T460" s="113">
        <f t="shared" si="299"/>
        <v>0</v>
      </c>
      <c r="U460" s="113">
        <f t="shared" si="299"/>
        <v>0</v>
      </c>
      <c r="V460" s="113">
        <f t="shared" si="299"/>
        <v>0</v>
      </c>
    </row>
    <row r="461" spans="1:22" x14ac:dyDescent="0.2">
      <c r="A461" s="29">
        <f t="shared" si="282"/>
        <v>19</v>
      </c>
      <c r="B461" s="334" t="str">
        <f t="shared" si="276"/>
        <v>Blue hydrogen (liquid) - Africa&amp;Other - RE cost - USD/GJ</v>
      </c>
      <c r="C461" t="str" cm="1">
        <f t="array" ref="C461">INDEX(list_AE_fuel,A461)</f>
        <v>Blue hydrogen (liquid)</v>
      </c>
      <c r="D461" s="411" t="str">
        <f t="shared" si="279"/>
        <v>Africa</v>
      </c>
      <c r="E461" t="str">
        <f t="shared" si="293"/>
        <v>Africa&amp;Other</v>
      </c>
      <c r="F461" t="str">
        <f t="shared" si="277"/>
        <v>RE cost - USD/GJ</v>
      </c>
      <c r="G461"/>
      <c r="H461" s="412" t="str" cm="1">
        <f t="array" ref="H461">INDEX('Configurator Specs.'!$CG$5:$CG$24,A461)</f>
        <v>Modeled</v>
      </c>
      <c r="I461" t="s">
        <v>324</v>
      </c>
      <c r="K461" s="113">
        <f>IF($H461="Modeled",
INDEX('Fuel Model - Summary'!P:P,MATCH('Fuel Selector'!$C461&amp;" - "&amp;$D461,'Fuel Model - Summary'!$C:$C,0)),0)</f>
        <v>0</v>
      </c>
      <c r="L461" s="113">
        <f>IF($H461="Modeled",
INDEX('Fuel Model - Summary'!Q:Q,MATCH('Fuel Selector'!$C461&amp;" - "&amp;$D461,'Fuel Model - Summary'!$C:$C,0)),0)</f>
        <v>0</v>
      </c>
      <c r="M461" s="113">
        <f>IF($H461="Modeled",
INDEX('Fuel Model - Summary'!R:R,MATCH('Fuel Selector'!$C461&amp;" - "&amp;$D461,'Fuel Model - Summary'!$C:$C,0)),0)</f>
        <v>0</v>
      </c>
      <c r="N461" s="113">
        <f>IF($H461="Modeled",
INDEX('Fuel Model - Summary'!S:S,MATCH('Fuel Selector'!$C461&amp;" - "&amp;$D461,'Fuel Model - Summary'!$C:$C,0)),0)</f>
        <v>0</v>
      </c>
      <c r="O461" s="113">
        <f>IF($H461="Modeled",
INDEX('Fuel Model - Summary'!T:T,MATCH('Fuel Selector'!$C461&amp;" - "&amp;$D461,'Fuel Model - Summary'!$C:$C,0)),0)</f>
        <v>0</v>
      </c>
      <c r="P461" s="113">
        <f>IF($H461="Modeled",
INDEX('Fuel Model - Summary'!U:U,MATCH('Fuel Selector'!$C461&amp;" - "&amp;$D461,'Fuel Model - Summary'!$C:$C,0)),0)</f>
        <v>0</v>
      </c>
      <c r="Q461" s="113">
        <f>IF($H461="Modeled",
INDEX('Fuel Model - Summary'!V:V,MATCH('Fuel Selector'!$C461&amp;" - "&amp;$D461,'Fuel Model - Summary'!$C:$C,0)),0)</f>
        <v>0</v>
      </c>
      <c r="R461" s="113">
        <f t="shared" ref="R461:V461" si="300">Q461</f>
        <v>0</v>
      </c>
      <c r="S461" s="113">
        <f t="shared" si="300"/>
        <v>0</v>
      </c>
      <c r="T461" s="113">
        <f t="shared" si="300"/>
        <v>0</v>
      </c>
      <c r="U461" s="113">
        <f t="shared" si="300"/>
        <v>0</v>
      </c>
      <c r="V461" s="113">
        <f t="shared" si="300"/>
        <v>0</v>
      </c>
    </row>
    <row r="462" spans="1:22" x14ac:dyDescent="0.2">
      <c r="A462" s="29">
        <f t="shared" si="282"/>
        <v>20</v>
      </c>
      <c r="B462" s="334" t="str">
        <f t="shared" si="276"/>
        <v>e-Hydrogen (liquid) - Africa&amp;Other - RE cost - USD/GJ</v>
      </c>
      <c r="C462" t="str" cm="1">
        <f t="array" ref="C462">INDEX(list_AE_fuel,A462)</f>
        <v>e-Hydrogen (liquid)</v>
      </c>
      <c r="D462" s="411" t="str">
        <f t="shared" si="279"/>
        <v>Africa</v>
      </c>
      <c r="E462" t="str">
        <f t="shared" si="293"/>
        <v>Africa&amp;Other</v>
      </c>
      <c r="F462" t="str">
        <f t="shared" si="277"/>
        <v>RE cost - USD/GJ</v>
      </c>
      <c r="G462"/>
      <c r="H462" s="412" t="str" cm="1">
        <f t="array" ref="H462">INDEX('Configurator Specs.'!$CG$5:$CG$24,A462)</f>
        <v>Modeled</v>
      </c>
      <c r="I462" t="s">
        <v>324</v>
      </c>
      <c r="K462" s="113">
        <f>IF($H462="Modeled",
INDEX('Fuel Model - Summary'!P:P,MATCH('Fuel Selector'!$C462&amp;" - "&amp;$D462,'Fuel Model - Summary'!$C:$C,0)),0)</f>
        <v>41.588626336957972</v>
      </c>
      <c r="L462" s="113">
        <f>IF($H462="Modeled",
INDEX('Fuel Model - Summary'!Q:Q,MATCH('Fuel Selector'!$C462&amp;" - "&amp;$D462,'Fuel Model - Summary'!$C:$C,0)),0)</f>
        <v>23.436697092104843</v>
      </c>
      <c r="M462" s="113">
        <f>IF($H462="Modeled",
INDEX('Fuel Model - Summary'!R:R,MATCH('Fuel Selector'!$C462&amp;" - "&amp;$D462,'Fuel Model - Summary'!$C:$C,0)),0)</f>
        <v>18.213545716322113</v>
      </c>
      <c r="N462" s="113">
        <f>IF($H462="Modeled",
INDEX('Fuel Model - Summary'!S:S,MATCH('Fuel Selector'!$C462&amp;" - "&amp;$D462,'Fuel Model - Summary'!$C:$C,0)),0)</f>
        <v>14.974343339055379</v>
      </c>
      <c r="O462" s="113">
        <f>IF($H462="Modeled",
INDEX('Fuel Model - Summary'!T:T,MATCH('Fuel Selector'!$C462&amp;" - "&amp;$D462,'Fuel Model - Summary'!$C:$C,0)),0)</f>
        <v>13.192276048961798</v>
      </c>
      <c r="P462" s="113">
        <f>IF($H462="Modeled",
INDEX('Fuel Model - Summary'!U:U,MATCH('Fuel Selector'!$C462&amp;" - "&amp;$D462,'Fuel Model - Summary'!$C:$C,0)),0)</f>
        <v>11.317023718346872</v>
      </c>
      <c r="Q462" s="113">
        <f>IF($H462="Modeled",
INDEX('Fuel Model - Summary'!V:V,MATCH('Fuel Selector'!$C462&amp;" - "&amp;$D462,'Fuel Model - Summary'!$C:$C,0)),0)</f>
        <v>10.26807663682896</v>
      </c>
      <c r="R462" s="113">
        <f t="shared" ref="R462:V462" si="301">Q462</f>
        <v>10.26807663682896</v>
      </c>
      <c r="S462" s="113">
        <f t="shared" si="301"/>
        <v>10.26807663682896</v>
      </c>
      <c r="T462" s="113">
        <f t="shared" si="301"/>
        <v>10.26807663682896</v>
      </c>
      <c r="U462" s="113">
        <f t="shared" si="301"/>
        <v>10.26807663682896</v>
      </c>
      <c r="V462" s="113">
        <f t="shared" si="301"/>
        <v>10.26807663682896</v>
      </c>
    </row>
    <row r="466" spans="1:22" ht="15" x14ac:dyDescent="0.25">
      <c r="B466" s="30" t="s">
        <v>728</v>
      </c>
    </row>
    <row r="467" spans="1:22" x14ac:dyDescent="0.2">
      <c r="B467" s="144" t="s">
        <v>618</v>
      </c>
      <c r="C467" s="144" t="s">
        <v>49</v>
      </c>
      <c r="D467" s="408"/>
      <c r="E467" s="144" t="s">
        <v>722</v>
      </c>
      <c r="F467" s="144"/>
      <c r="G467" s="144"/>
      <c r="H467" s="144" t="s">
        <v>724</v>
      </c>
      <c r="I467" s="144"/>
      <c r="J467" s="144"/>
      <c r="K467" s="56">
        <v>2020</v>
      </c>
      <c r="L467" s="56">
        <f t="shared" ref="L467:V467" si="302">K467+5</f>
        <v>2025</v>
      </c>
      <c r="M467" s="56">
        <f t="shared" si="302"/>
        <v>2030</v>
      </c>
      <c r="N467" s="56">
        <f t="shared" si="302"/>
        <v>2035</v>
      </c>
      <c r="O467" s="56">
        <f t="shared" si="302"/>
        <v>2040</v>
      </c>
      <c r="P467" s="56">
        <f t="shared" si="302"/>
        <v>2045</v>
      </c>
      <c r="Q467" s="56">
        <f t="shared" si="302"/>
        <v>2050</v>
      </c>
      <c r="R467" s="56">
        <f t="shared" si="302"/>
        <v>2055</v>
      </c>
      <c r="S467" s="56">
        <f t="shared" si="302"/>
        <v>2060</v>
      </c>
      <c r="T467" s="56">
        <f t="shared" si="302"/>
        <v>2065</v>
      </c>
      <c r="U467" s="56">
        <f t="shared" si="302"/>
        <v>2070</v>
      </c>
      <c r="V467" s="56">
        <f t="shared" si="302"/>
        <v>2075</v>
      </c>
    </row>
    <row r="468" spans="1:22" x14ac:dyDescent="0.2">
      <c r="A468" s="29">
        <v>1</v>
      </c>
      <c r="B468" s="334" t="str">
        <f t="shared" ref="B468:B487" si="303">_xlfn.TEXTJOIN(keydelim,TRUE,C468:G468)</f>
        <v>LSFO - WTT CO2 emissions - kgCO2/GJ</v>
      </c>
      <c r="C468" t="str" cm="1">
        <f t="array" ref="C468">INDEX(list_AE_fuel,A468)</f>
        <v>LSFO</v>
      </c>
      <c r="D468"/>
      <c r="E468"/>
      <c r="F468" t="str">
        <f t="shared" ref="F468:F487" si="304">"WTT CO2 emissions"  &amp;keydelim &amp;I468</f>
        <v>WTT CO2 emissions - kgCO2/GJ</v>
      </c>
      <c r="G468" s="128"/>
      <c r="H468" s="412" t="str" cm="1">
        <f t="array" ref="H468">INDEX('Configurator Specs.'!$CG$5:$CG$24,A468)</f>
        <v>External</v>
      </c>
      <c r="I468" t="s">
        <v>602</v>
      </c>
      <c r="K468" s="114">
        <f>IFERROR(INDEX('Fuel Model - Summary'!X$6:X$26,MATCH($C468,'Fuel Model - Summary'!$F$6:$F$26,0)),0)</f>
        <v>15.899999999999997</v>
      </c>
      <c r="L468" s="114">
        <f>IFERROR(INDEX('Fuel Model - Summary'!Y$6:Y$26,MATCH($C468,'Fuel Model - Summary'!$F$6:$F$26,0)),0)</f>
        <v>15.899999999999997</v>
      </c>
      <c r="M468" s="114">
        <f>IFERROR(INDEX('Fuel Model - Summary'!Z$6:Z$26,MATCH($C468,'Fuel Model - Summary'!$F$6:$F$26,0)),0)</f>
        <v>15.899999999999997</v>
      </c>
      <c r="N468" s="114">
        <f>IFERROR(INDEX('Fuel Model - Summary'!AA$6:AA$26,MATCH($C468,'Fuel Model - Summary'!$F$6:$F$26,0)),0)</f>
        <v>15.899999999999997</v>
      </c>
      <c r="O468" s="114">
        <f>IFERROR(INDEX('Fuel Model - Summary'!AB$6:AB$26,MATCH($C468,'Fuel Model - Summary'!$F$6:$F$26,0)),0)</f>
        <v>15.899999999999997</v>
      </c>
      <c r="P468" s="114">
        <f>IFERROR(INDEX('Fuel Model - Summary'!AC$6:AC$26,MATCH($C468,'Fuel Model - Summary'!$F$6:$F$26,0)),0)</f>
        <v>15.899999999999997</v>
      </c>
      <c r="Q468" s="114">
        <f>IFERROR(INDEX('Fuel Model - Summary'!AD$6:AD$26,MATCH($C468,'Fuel Model - Summary'!$F$6:$F$26,0)),0)</f>
        <v>15.899999999999997</v>
      </c>
      <c r="R468" s="115">
        <f>Q468</f>
        <v>15.899999999999997</v>
      </c>
      <c r="S468" s="115">
        <f t="shared" ref="S468:V468" si="305">R468</f>
        <v>15.899999999999997</v>
      </c>
      <c r="T468" s="115">
        <f t="shared" si="305"/>
        <v>15.899999999999997</v>
      </c>
      <c r="U468" s="115">
        <f t="shared" si="305"/>
        <v>15.899999999999997</v>
      </c>
      <c r="V468" s="115">
        <f t="shared" si="305"/>
        <v>15.899999999999997</v>
      </c>
    </row>
    <row r="469" spans="1:22" x14ac:dyDescent="0.2">
      <c r="A469" s="29">
        <f>A468+1</f>
        <v>2</v>
      </c>
      <c r="B469" s="334" t="str">
        <f t="shared" si="303"/>
        <v>LNG - WTT CO2 emissions - kgCO2/GJ</v>
      </c>
      <c r="C469" t="str" cm="1">
        <f t="array" ref="C469">INDEX(list_AE_fuel,A469)</f>
        <v>LNG</v>
      </c>
      <c r="D469"/>
      <c r="E469"/>
      <c r="F469" t="str">
        <f t="shared" si="304"/>
        <v>WTT CO2 emissions - kgCO2/GJ</v>
      </c>
      <c r="G469" s="128"/>
      <c r="H469" s="412" t="str" cm="1">
        <f t="array" ref="H469">INDEX('Configurator Specs.'!$CG$5:$CG$24,A469)</f>
        <v>Modeled</v>
      </c>
      <c r="I469" t="s">
        <v>602</v>
      </c>
      <c r="K469" s="114">
        <f>IFERROR(INDEX('Fuel Model - Summary'!X$6:X$26,MATCH($C469,'Fuel Model - Summary'!$F$6:$F$26,0)),0)</f>
        <v>17.600000000000001</v>
      </c>
      <c r="L469" s="114">
        <f>IFERROR(INDEX('Fuel Model - Summary'!Y$6:Y$26,MATCH($C469,'Fuel Model - Summary'!$F$6:$F$26,0)),0)</f>
        <v>17.600000000000001</v>
      </c>
      <c r="M469" s="114">
        <f>IFERROR(INDEX('Fuel Model - Summary'!Z$6:Z$26,MATCH($C469,'Fuel Model - Summary'!$F$6:$F$26,0)),0)</f>
        <v>17.600000000000001</v>
      </c>
      <c r="N469" s="114">
        <f>IFERROR(INDEX('Fuel Model - Summary'!AA$6:AA$26,MATCH($C469,'Fuel Model - Summary'!$F$6:$F$26,0)),0)</f>
        <v>17.600000000000001</v>
      </c>
      <c r="O469" s="114">
        <f>IFERROR(INDEX('Fuel Model - Summary'!AB$6:AB$26,MATCH($C469,'Fuel Model - Summary'!$F$6:$F$26,0)),0)</f>
        <v>17.600000000000001</v>
      </c>
      <c r="P469" s="114">
        <f>IFERROR(INDEX('Fuel Model - Summary'!AC$6:AC$26,MATCH($C469,'Fuel Model - Summary'!$F$6:$F$26,0)),0)</f>
        <v>17.600000000000001</v>
      </c>
      <c r="Q469" s="114">
        <f>IFERROR(INDEX('Fuel Model - Summary'!AD$6:AD$26,MATCH($C469,'Fuel Model - Summary'!$F$6:$F$26,0)),0)</f>
        <v>17.600000000000001</v>
      </c>
      <c r="R469" s="115">
        <f t="shared" ref="R469:V469" si="306">Q469</f>
        <v>17.600000000000001</v>
      </c>
      <c r="S469" s="115">
        <f t="shared" si="306"/>
        <v>17.600000000000001</v>
      </c>
      <c r="T469" s="115">
        <f t="shared" si="306"/>
        <v>17.600000000000001</v>
      </c>
      <c r="U469" s="115">
        <f t="shared" si="306"/>
        <v>17.600000000000001</v>
      </c>
      <c r="V469" s="115">
        <f t="shared" si="306"/>
        <v>17.600000000000001</v>
      </c>
    </row>
    <row r="470" spans="1:22" x14ac:dyDescent="0.2">
      <c r="A470" s="29">
        <f t="shared" ref="A470:A487" si="307">A469+1</f>
        <v>3</v>
      </c>
      <c r="B470" s="334" t="str">
        <f t="shared" si="303"/>
        <v>LPG - WTT CO2 emissions - kgCO2/GJ</v>
      </c>
      <c r="C470" t="str" cm="1">
        <f t="array" ref="C470">INDEX(list_AE_fuel,A470)</f>
        <v>LPG</v>
      </c>
      <c r="D470"/>
      <c r="E470"/>
      <c r="F470" t="str">
        <f t="shared" si="304"/>
        <v>WTT CO2 emissions - kgCO2/GJ</v>
      </c>
      <c r="G470" s="128"/>
      <c r="H470" s="412" t="str" cm="1">
        <f t="array" ref="H470">INDEX('Configurator Specs.'!$CG$5:$CG$24,A470)</f>
        <v>External</v>
      </c>
      <c r="I470" t="s">
        <v>602</v>
      </c>
      <c r="K470" s="114">
        <f>IFERROR(INDEX('Fuel Model - Summary'!X$6:X$26,MATCH($C470,'Fuel Model - Summary'!$F$6:$F$26,0)),0)</f>
        <v>17.7</v>
      </c>
      <c r="L470" s="114">
        <f>IFERROR(INDEX('Fuel Model - Summary'!Y$6:Y$26,MATCH($C470,'Fuel Model - Summary'!$F$6:$F$26,0)),0)</f>
        <v>17.7</v>
      </c>
      <c r="M470" s="114">
        <f>IFERROR(INDEX('Fuel Model - Summary'!Z$6:Z$26,MATCH($C470,'Fuel Model - Summary'!$F$6:$F$26,0)),0)</f>
        <v>17.7</v>
      </c>
      <c r="N470" s="114">
        <f>IFERROR(INDEX('Fuel Model - Summary'!AA$6:AA$26,MATCH($C470,'Fuel Model - Summary'!$F$6:$F$26,0)),0)</f>
        <v>17.7</v>
      </c>
      <c r="O470" s="114">
        <f>IFERROR(INDEX('Fuel Model - Summary'!AB$6:AB$26,MATCH($C470,'Fuel Model - Summary'!$F$6:$F$26,0)),0)</f>
        <v>17.7</v>
      </c>
      <c r="P470" s="114">
        <f>IFERROR(INDEX('Fuel Model - Summary'!AC$6:AC$26,MATCH($C470,'Fuel Model - Summary'!$F$6:$F$26,0)),0)</f>
        <v>17.7</v>
      </c>
      <c r="Q470" s="114">
        <f>IFERROR(INDEX('Fuel Model - Summary'!AD$6:AD$26,MATCH($C470,'Fuel Model - Summary'!$F$6:$F$26,0)),0)</f>
        <v>17.7</v>
      </c>
      <c r="R470" s="115">
        <f t="shared" ref="R470:V470" si="308">Q470</f>
        <v>17.7</v>
      </c>
      <c r="S470" s="115">
        <f t="shared" si="308"/>
        <v>17.7</v>
      </c>
      <c r="T470" s="115">
        <f t="shared" si="308"/>
        <v>17.7</v>
      </c>
      <c r="U470" s="115">
        <f t="shared" si="308"/>
        <v>17.7</v>
      </c>
      <c r="V470" s="115">
        <f t="shared" si="308"/>
        <v>17.7</v>
      </c>
    </row>
    <row r="471" spans="1:22" x14ac:dyDescent="0.2">
      <c r="A471" s="29">
        <f t="shared" si="307"/>
        <v>4</v>
      </c>
      <c r="B471" s="334" t="str">
        <f t="shared" si="303"/>
        <v>Electricity - WTT CO2 emissions - kgCO2/GJ</v>
      </c>
      <c r="C471" t="str" cm="1">
        <f t="array" ref="C471">INDEX(list_AE_fuel,A471)</f>
        <v>Electricity</v>
      </c>
      <c r="D471"/>
      <c r="E471"/>
      <c r="F471" t="str">
        <f t="shared" si="304"/>
        <v>WTT CO2 emissions - kgCO2/GJ</v>
      </c>
      <c r="G471" s="128"/>
      <c r="H471" s="412" t="str" cm="1">
        <f t="array" ref="H471">INDEX('Configurator Specs.'!$CG$5:$CG$24,A471)</f>
        <v>External</v>
      </c>
      <c r="I471" t="s">
        <v>602</v>
      </c>
      <c r="K471" s="114">
        <f>IFERROR(INDEX('Fuel Model - Summary'!X$6:X$26,MATCH($C471,'Fuel Model - Summary'!$F$6:$F$26,0)),0)</f>
        <v>0</v>
      </c>
      <c r="L471" s="114">
        <f>IFERROR(INDEX('Fuel Model - Summary'!Y$6:Y$26,MATCH($C471,'Fuel Model - Summary'!$F$6:$F$26,0)),0)</f>
        <v>0</v>
      </c>
      <c r="M471" s="114">
        <f>IFERROR(INDEX('Fuel Model - Summary'!Z$6:Z$26,MATCH($C471,'Fuel Model - Summary'!$F$6:$F$26,0)),0)</f>
        <v>0</v>
      </c>
      <c r="N471" s="114">
        <f>IFERROR(INDEX('Fuel Model - Summary'!AA$6:AA$26,MATCH($C471,'Fuel Model - Summary'!$F$6:$F$26,0)),0)</f>
        <v>0</v>
      </c>
      <c r="O471" s="114">
        <f>IFERROR(INDEX('Fuel Model - Summary'!AB$6:AB$26,MATCH($C471,'Fuel Model - Summary'!$F$6:$F$26,0)),0)</f>
        <v>0</v>
      </c>
      <c r="P471" s="114">
        <f>IFERROR(INDEX('Fuel Model - Summary'!AC$6:AC$26,MATCH($C471,'Fuel Model - Summary'!$F$6:$F$26,0)),0)</f>
        <v>0</v>
      </c>
      <c r="Q471" s="114">
        <f>IFERROR(INDEX('Fuel Model - Summary'!AD$6:AD$26,MATCH($C471,'Fuel Model - Summary'!$F$6:$F$26,0)),0)</f>
        <v>0</v>
      </c>
      <c r="R471" s="115">
        <f t="shared" ref="R471:V471" si="309">Q471</f>
        <v>0</v>
      </c>
      <c r="S471" s="115">
        <f t="shared" si="309"/>
        <v>0</v>
      </c>
      <c r="T471" s="115">
        <f t="shared" si="309"/>
        <v>0</v>
      </c>
      <c r="U471" s="115">
        <f t="shared" si="309"/>
        <v>0</v>
      </c>
      <c r="V471" s="115">
        <f t="shared" si="309"/>
        <v>0</v>
      </c>
    </row>
    <row r="472" spans="1:22" x14ac:dyDescent="0.2">
      <c r="A472" s="29">
        <f t="shared" si="307"/>
        <v>5</v>
      </c>
      <c r="B472" s="334" t="str">
        <f t="shared" si="303"/>
        <v>e-Ammonia - WTT CO2 emissions - kgCO2/GJ</v>
      </c>
      <c r="C472" t="str" cm="1">
        <f t="array" ref="C472">INDEX(list_AE_fuel,A472)</f>
        <v>e-Ammonia</v>
      </c>
      <c r="E472"/>
      <c r="F472" t="str">
        <f t="shared" si="304"/>
        <v>WTT CO2 emissions - kgCO2/GJ</v>
      </c>
      <c r="G472" s="226"/>
      <c r="H472" s="412" t="str" cm="1">
        <f t="array" ref="H472">INDEX('Configurator Specs.'!$CG$5:$CG$24,A472)</f>
        <v>Modeled</v>
      </c>
      <c r="I472" t="s">
        <v>602</v>
      </c>
      <c r="K472" s="114">
        <f>IFERROR(INDEX('Fuel Model - Summary'!X$6:X$26,MATCH($C472,'Fuel Model - Summary'!$F$6:$F$26,0)),0)</f>
        <v>2.8609312303111798</v>
      </c>
      <c r="L472" s="114">
        <f>IFERROR(INDEX('Fuel Model - Summary'!Y$6:Y$26,MATCH($C472,'Fuel Model - Summary'!$F$6:$F$26,0)),0)</f>
        <v>2.8478138297872331</v>
      </c>
      <c r="M472" s="114">
        <f>IFERROR(INDEX('Fuel Model - Summary'!Z$6:Z$26,MATCH($C472,'Fuel Model - Summary'!$F$6:$F$26,0)),0)</f>
        <v>2.8109547634803751</v>
      </c>
      <c r="N472" s="114">
        <f>IFERROR(INDEX('Fuel Model - Summary'!AA$6:AA$26,MATCH($C472,'Fuel Model - Summary'!$F$6:$F$26,0)),0)</f>
        <v>2.7130556890399635</v>
      </c>
      <c r="O472" s="114">
        <f>IFERROR(INDEX('Fuel Model - Summary'!AB$6:AB$26,MATCH($C472,'Fuel Model - Summary'!$F$6:$F$26,0)),0)</f>
        <v>2.5954882488481865</v>
      </c>
      <c r="P472" s="114">
        <f>IFERROR(INDEX('Fuel Model - Summary'!AC$6:AC$26,MATCH($C472,'Fuel Model - Summary'!$F$6:$F$26,0)),0)</f>
        <v>2.4389681096192284</v>
      </c>
      <c r="Q472" s="114">
        <f>IFERROR(INDEX('Fuel Model - Summary'!AD$6:AD$26,MATCH($C472,'Fuel Model - Summary'!$F$6:$F$26,0)),0)</f>
        <v>2.3156696808510637</v>
      </c>
      <c r="R472" s="115">
        <f t="shared" ref="R472:V472" si="310">Q472</f>
        <v>2.3156696808510637</v>
      </c>
      <c r="S472" s="115">
        <f t="shared" si="310"/>
        <v>2.3156696808510637</v>
      </c>
      <c r="T472" s="115">
        <f t="shared" si="310"/>
        <v>2.3156696808510637</v>
      </c>
      <c r="U472" s="115">
        <f t="shared" si="310"/>
        <v>2.3156696808510637</v>
      </c>
      <c r="V472" s="115">
        <f t="shared" si="310"/>
        <v>2.3156696808510637</v>
      </c>
    </row>
    <row r="473" spans="1:22" x14ac:dyDescent="0.2">
      <c r="A473" s="29">
        <f t="shared" si="307"/>
        <v>6</v>
      </c>
      <c r="B473" s="334" t="str">
        <f t="shared" si="303"/>
        <v>Blue ammonia - WTT CO2 emissions - kgCO2/GJ</v>
      </c>
      <c r="C473" t="str" cm="1">
        <f t="array" ref="C473">INDEX(list_AE_fuel,A473)</f>
        <v>Blue ammonia</v>
      </c>
      <c r="D473"/>
      <c r="E473"/>
      <c r="F473" t="str">
        <f t="shared" si="304"/>
        <v>WTT CO2 emissions - kgCO2/GJ</v>
      </c>
      <c r="G473" s="226"/>
      <c r="H473" s="412" t="str" cm="1">
        <f t="array" ref="H473">INDEX('Configurator Specs.'!$CG$5:$CG$24,A473)</f>
        <v>Modeled</v>
      </c>
      <c r="I473" t="s">
        <v>602</v>
      </c>
      <c r="K473" s="114">
        <f>IFERROR(INDEX('Fuel Model - Summary'!X$6:X$26,MATCH($C473,'Fuel Model - Summary'!$F$6:$F$26,0)),0)</f>
        <v>22.083989361702127</v>
      </c>
      <c r="L473" s="114">
        <f>IFERROR(INDEX('Fuel Model - Summary'!Y$6:Y$26,MATCH($C473,'Fuel Model - Summary'!$F$6:$F$26,0)),0)</f>
        <v>21.082590425531919</v>
      </c>
      <c r="M473" s="114">
        <f>IFERROR(INDEX('Fuel Model - Summary'!Z$6:Z$26,MATCH($C473,'Fuel Model - Summary'!$F$6:$F$26,0)),0)</f>
        <v>20.081191489361693</v>
      </c>
      <c r="N473" s="114">
        <f>IFERROR(INDEX('Fuel Model - Summary'!AA$6:AA$26,MATCH($C473,'Fuel Model - Summary'!$F$6:$F$26,0)),0)</f>
        <v>19.079792553191478</v>
      </c>
      <c r="O473" s="114">
        <f>IFERROR(INDEX('Fuel Model - Summary'!AB$6:AB$26,MATCH($C473,'Fuel Model - Summary'!$F$6:$F$26,0)),0)</f>
        <v>18.078393617021277</v>
      </c>
      <c r="P473" s="114">
        <f>IFERROR(INDEX('Fuel Model - Summary'!AC$6:AC$26,MATCH($C473,'Fuel Model - Summary'!$F$6:$F$26,0)),0)</f>
        <v>17.076994680851062</v>
      </c>
      <c r="Q473" s="114">
        <f>IFERROR(INDEX('Fuel Model - Summary'!AD$6:AD$26,MATCH($C473,'Fuel Model - Summary'!$F$6:$F$26,0)),0)</f>
        <v>16.075595744680854</v>
      </c>
      <c r="R473" s="115">
        <f t="shared" ref="R473:V473" si="311">Q473</f>
        <v>16.075595744680854</v>
      </c>
      <c r="S473" s="115">
        <f t="shared" si="311"/>
        <v>16.075595744680854</v>
      </c>
      <c r="T473" s="115">
        <f t="shared" si="311"/>
        <v>16.075595744680854</v>
      </c>
      <c r="U473" s="115">
        <f t="shared" si="311"/>
        <v>16.075595744680854</v>
      </c>
      <c r="V473" s="115">
        <f t="shared" si="311"/>
        <v>16.075595744680854</v>
      </c>
    </row>
    <row r="474" spans="1:22" x14ac:dyDescent="0.2">
      <c r="A474" s="29">
        <f t="shared" si="307"/>
        <v>7</v>
      </c>
      <c r="B474" s="334" t="str">
        <f t="shared" si="303"/>
        <v>Biomethane - WTT CO2 emissions - kgCO2/GJ</v>
      </c>
      <c r="C474" t="str" cm="1">
        <f t="array" ref="C474">INDEX(list_AE_fuel,A474)</f>
        <v>Biomethane</v>
      </c>
      <c r="D474"/>
      <c r="E474"/>
      <c r="F474" t="str">
        <f t="shared" si="304"/>
        <v>WTT CO2 emissions - kgCO2/GJ</v>
      </c>
      <c r="G474"/>
      <c r="H474" s="412" t="str" cm="1">
        <f t="array" ref="H474">INDEX('Configurator Specs.'!$CG$5:$CG$24,A474)</f>
        <v>Modeled</v>
      </c>
      <c r="I474" t="s">
        <v>602</v>
      </c>
      <c r="K474" s="114">
        <f>IFERROR(INDEX('Fuel Model - Summary'!X$6:X$26,MATCH($C474,'Fuel Model - Summary'!$F$6:$F$26,0)),0)</f>
        <v>-37.778102817936237</v>
      </c>
      <c r="L474" s="114">
        <f>IFERROR(INDEX('Fuel Model - Summary'!Y$6:Y$26,MATCH($C474,'Fuel Model - Summary'!$F$6:$F$26,0)),0)</f>
        <v>-40.704565067103559</v>
      </c>
      <c r="M474" s="114">
        <f>IFERROR(INDEX('Fuel Model - Summary'!Z$6:Z$26,MATCH($C474,'Fuel Model - Summary'!$F$6:$F$26,0)),0)</f>
        <v>-43.561961308916878</v>
      </c>
      <c r="N474" s="114">
        <f>IFERROR(INDEX('Fuel Model - Summary'!AA$6:AA$26,MATCH($C474,'Fuel Model - Summary'!$F$6:$F$26,0)),0)</f>
        <v>-46.35029154337623</v>
      </c>
      <c r="O474" s="114">
        <f>IFERROR(INDEX('Fuel Model - Summary'!AB$6:AB$26,MATCH($C474,'Fuel Model - Summary'!$F$6:$F$26,0)),0)</f>
        <v>-49.069555770481585</v>
      </c>
      <c r="P474" s="114">
        <f>IFERROR(INDEX('Fuel Model - Summary'!AC$6:AC$26,MATCH($C474,'Fuel Model - Summary'!$F$6:$F$26,0)),0)</f>
        <v>-51.719753990232967</v>
      </c>
      <c r="Q474" s="114">
        <f>IFERROR(INDEX('Fuel Model - Summary'!AD$6:AD$26,MATCH($C474,'Fuel Model - Summary'!$F$6:$F$26,0)),0)</f>
        <v>-54.300886202630352</v>
      </c>
      <c r="R474" s="115">
        <f t="shared" ref="R474:V474" si="312">Q474</f>
        <v>-54.300886202630352</v>
      </c>
      <c r="S474" s="115">
        <f t="shared" si="312"/>
        <v>-54.300886202630352</v>
      </c>
      <c r="T474" s="115">
        <f t="shared" si="312"/>
        <v>-54.300886202630352</v>
      </c>
      <c r="U474" s="115">
        <f t="shared" si="312"/>
        <v>-54.300886202630352</v>
      </c>
      <c r="V474" s="115">
        <f t="shared" si="312"/>
        <v>-54.300886202630352</v>
      </c>
    </row>
    <row r="475" spans="1:22" x14ac:dyDescent="0.2">
      <c r="A475" s="29">
        <f t="shared" si="307"/>
        <v>8</v>
      </c>
      <c r="B475" s="334" t="str">
        <f t="shared" si="303"/>
        <v>e-Methane (DAC) - WTT CO2 emissions - kgCO2/GJ</v>
      </c>
      <c r="C475" t="str" cm="1">
        <f t="array" ref="C475">INDEX(list_AE_fuel,A475)</f>
        <v>e-Methane (DAC)</v>
      </c>
      <c r="D475"/>
      <c r="E475"/>
      <c r="F475" t="str">
        <f t="shared" si="304"/>
        <v>WTT CO2 emissions - kgCO2/GJ</v>
      </c>
      <c r="G475" s="226"/>
      <c r="H475" s="412" t="str" cm="1">
        <f t="array" ref="H475">INDEX('Configurator Specs.'!$CG$5:$CG$24,A475)</f>
        <v>Modeled</v>
      </c>
      <c r="I475" t="s">
        <v>602</v>
      </c>
      <c r="K475" s="114">
        <f>IFERROR(INDEX('Fuel Model - Summary'!X$6:X$26,MATCH($C475,'Fuel Model - Summary'!$F$6:$F$26,0)),0)</f>
        <v>-51.979099603897218</v>
      </c>
      <c r="L475" s="114">
        <f>IFERROR(INDEX('Fuel Model - Summary'!Y$6:Y$26,MATCH($C475,'Fuel Model - Summary'!$F$6:$F$26,0)),0)</f>
        <v>-51.992799999999995</v>
      </c>
      <c r="M475" s="114">
        <f>IFERROR(INDEX('Fuel Model - Summary'!Z$6:Z$26,MATCH($C475,'Fuel Model - Summary'!$F$6:$F$26,0)),0)</f>
        <v>-52.031297247031617</v>
      </c>
      <c r="N475" s="114">
        <f>IFERROR(INDEX('Fuel Model - Summary'!AA$6:AA$26,MATCH($C475,'Fuel Model - Summary'!$F$6:$F$26,0)),0)</f>
        <v>-52.133547391447145</v>
      </c>
      <c r="O475" s="114">
        <f>IFERROR(INDEX('Fuel Model - Summary'!AB$6:AB$26,MATCH($C475,'Fuel Model - Summary'!$F$6:$F$26,0)),0)</f>
        <v>-52.256340051203011</v>
      </c>
      <c r="P475" s="114">
        <f>IFERROR(INDEX('Fuel Model - Summary'!AC$6:AC$26,MATCH($C475,'Fuel Model - Summary'!$F$6:$F$26,0)),0)</f>
        <v>-52.419816641064365</v>
      </c>
      <c r="Q475" s="114">
        <f>IFERROR(INDEX('Fuel Model - Summary'!AD$6:AD$26,MATCH($C475,'Fuel Model - Summary'!$F$6:$F$26,0)),0)</f>
        <v>-52.548595000000006</v>
      </c>
      <c r="R475" s="115">
        <f t="shared" ref="R475:V475" si="313">Q475</f>
        <v>-52.548595000000006</v>
      </c>
      <c r="S475" s="115">
        <f t="shared" si="313"/>
        <v>-52.548595000000006</v>
      </c>
      <c r="T475" s="115">
        <f t="shared" si="313"/>
        <v>-52.548595000000006</v>
      </c>
      <c r="U475" s="115">
        <f t="shared" si="313"/>
        <v>-52.548595000000006</v>
      </c>
      <c r="V475" s="115">
        <f t="shared" si="313"/>
        <v>-52.548595000000006</v>
      </c>
    </row>
    <row r="476" spans="1:22" x14ac:dyDescent="0.2">
      <c r="A476" s="29">
        <f t="shared" si="307"/>
        <v>9</v>
      </c>
      <c r="B476" s="334" t="str">
        <f t="shared" si="303"/>
        <v>e-Methane (PS) - WTT CO2 emissions - kgCO2/GJ</v>
      </c>
      <c r="C476" t="str" cm="1">
        <f t="array" ref="C476">INDEX(list_AE_fuel,A476)</f>
        <v>e-Methane (PS)</v>
      </c>
      <c r="D476"/>
      <c r="E476"/>
      <c r="F476" t="str">
        <f t="shared" si="304"/>
        <v>WTT CO2 emissions - kgCO2/GJ</v>
      </c>
      <c r="G476" s="226"/>
      <c r="H476" s="412" t="str" cm="1">
        <f t="array" ref="H476">INDEX('Configurator Specs.'!$CG$5:$CG$24,A476)</f>
        <v>Modeled</v>
      </c>
      <c r="I476" t="s">
        <v>602</v>
      </c>
      <c r="K476" s="114">
        <f>IFERROR(INDEX('Fuel Model - Summary'!X$6:X$26,MATCH($C476,'Fuel Model - Summary'!$F$6:$F$26,0)),0)</f>
        <v>-51.979099603897218</v>
      </c>
      <c r="L476" s="114">
        <f>IFERROR(INDEX('Fuel Model - Summary'!Y$6:Y$26,MATCH($C476,'Fuel Model - Summary'!$F$6:$F$26,0)),0)</f>
        <v>-51.992799999999995</v>
      </c>
      <c r="M476" s="114">
        <f>IFERROR(INDEX('Fuel Model - Summary'!Z$6:Z$26,MATCH($C476,'Fuel Model - Summary'!$F$6:$F$26,0)),0)</f>
        <v>-52.031297247031617</v>
      </c>
      <c r="N476" s="114">
        <f>IFERROR(INDEX('Fuel Model - Summary'!AA$6:AA$26,MATCH($C476,'Fuel Model - Summary'!$F$6:$F$26,0)),0)</f>
        <v>-52.133547391447145</v>
      </c>
      <c r="O476" s="114">
        <f>IFERROR(INDEX('Fuel Model - Summary'!AB$6:AB$26,MATCH($C476,'Fuel Model - Summary'!$F$6:$F$26,0)),0)</f>
        <v>-52.256340051203011</v>
      </c>
      <c r="P476" s="114">
        <f>IFERROR(INDEX('Fuel Model - Summary'!AC$6:AC$26,MATCH($C476,'Fuel Model - Summary'!$F$6:$F$26,0)),0)</f>
        <v>-52.419816641064365</v>
      </c>
      <c r="Q476" s="114">
        <f>IFERROR(INDEX('Fuel Model - Summary'!AD$6:AD$26,MATCH($C476,'Fuel Model - Summary'!$F$6:$F$26,0)),0)</f>
        <v>-52.548595000000006</v>
      </c>
      <c r="R476" s="115">
        <f t="shared" ref="R476:V476" si="314">Q476</f>
        <v>-52.548595000000006</v>
      </c>
      <c r="S476" s="115">
        <f t="shared" si="314"/>
        <v>-52.548595000000006</v>
      </c>
      <c r="T476" s="115">
        <f t="shared" si="314"/>
        <v>-52.548595000000006</v>
      </c>
      <c r="U476" s="115">
        <f t="shared" si="314"/>
        <v>-52.548595000000006</v>
      </c>
      <c r="V476" s="115">
        <f t="shared" si="314"/>
        <v>-52.548595000000006</v>
      </c>
    </row>
    <row r="477" spans="1:22" x14ac:dyDescent="0.2">
      <c r="A477" s="29">
        <f t="shared" si="307"/>
        <v>10</v>
      </c>
      <c r="B477" s="334" t="str">
        <f t="shared" si="303"/>
        <v>Biomethanol - WTT CO2 emissions - kgCO2/GJ</v>
      </c>
      <c r="C477" t="str" cm="1">
        <f t="array" ref="C477">INDEX(list_AE_fuel,A477)</f>
        <v>Biomethanol</v>
      </c>
      <c r="D477"/>
      <c r="E477"/>
      <c r="F477" t="str">
        <f t="shared" si="304"/>
        <v>WTT CO2 emissions - kgCO2/GJ</v>
      </c>
      <c r="G477"/>
      <c r="H477" s="412" t="str" cm="1">
        <f t="array" ref="H477">INDEX('Configurator Specs.'!$CG$5:$CG$24,A477)</f>
        <v>Modeled</v>
      </c>
      <c r="I477" t="s">
        <v>602</v>
      </c>
      <c r="K477" s="114">
        <f>IFERROR(INDEX('Fuel Model - Summary'!X$6:X$26,MATCH($C477,'Fuel Model - Summary'!$F$6:$F$26,0)),0)</f>
        <v>-58.0093628242169</v>
      </c>
      <c r="L477" s="114">
        <f>IFERROR(INDEX('Fuel Model - Summary'!Y$6:Y$26,MATCH($C477,'Fuel Model - Summary'!$F$6:$F$26,0)),0)</f>
        <v>-59.650981687637127</v>
      </c>
      <c r="M477" s="114">
        <f>IFERROR(INDEX('Fuel Model - Summary'!Z$6:Z$26,MATCH($C477,'Fuel Model - Summary'!$F$6:$F$26,0)),0)</f>
        <v>-61.293041481198266</v>
      </c>
      <c r="N477" s="114">
        <f>IFERROR(INDEX('Fuel Model - Summary'!AA$6:AA$26,MATCH($C477,'Fuel Model - Summary'!$F$6:$F$26,0)),0)</f>
        <v>-62.93510127475939</v>
      </c>
      <c r="O477" s="114">
        <f>IFERROR(INDEX('Fuel Model - Summary'!AB$6:AB$26,MATCH($C477,'Fuel Model - Summary'!$F$6:$F$26,0)),0)</f>
        <v>-64.577161068320521</v>
      </c>
      <c r="P477" s="114">
        <f>IFERROR(INDEX('Fuel Model - Summary'!AC$6:AC$26,MATCH($C477,'Fuel Model - Summary'!$F$6:$F$26,0)),0)</f>
        <v>-66.219220861881638</v>
      </c>
      <c r="Q477" s="114">
        <f>IFERROR(INDEX('Fuel Model - Summary'!AD$6:AD$26,MATCH($C477,'Fuel Model - Summary'!$F$6:$F$26,0)),0)</f>
        <v>-67.861280655442783</v>
      </c>
      <c r="R477" s="115">
        <f t="shared" ref="R477:V477" si="315">Q477</f>
        <v>-67.861280655442783</v>
      </c>
      <c r="S477" s="115">
        <f t="shared" si="315"/>
        <v>-67.861280655442783</v>
      </c>
      <c r="T477" s="115">
        <f t="shared" si="315"/>
        <v>-67.861280655442783</v>
      </c>
      <c r="U477" s="115">
        <f t="shared" si="315"/>
        <v>-67.861280655442783</v>
      </c>
      <c r="V477" s="115">
        <f t="shared" si="315"/>
        <v>-67.861280655442783</v>
      </c>
    </row>
    <row r="478" spans="1:22" x14ac:dyDescent="0.2">
      <c r="A478" s="29">
        <f t="shared" si="307"/>
        <v>11</v>
      </c>
      <c r="B478" s="334" t="str">
        <f t="shared" si="303"/>
        <v>e-Methanol (DAC) - WTT CO2 emissions - kgCO2/GJ</v>
      </c>
      <c r="C478" t="str" cm="1">
        <f t="array" ref="C478">INDEX(list_AE_fuel,A478)</f>
        <v>e-Methanol (DAC)</v>
      </c>
      <c r="D478"/>
      <c r="E478"/>
      <c r="F478" t="str">
        <f t="shared" si="304"/>
        <v>WTT CO2 emissions - kgCO2/GJ</v>
      </c>
      <c r="G478"/>
      <c r="H478" s="412" t="str" cm="1">
        <f t="array" ref="H478">INDEX('Configurator Specs.'!$CG$5:$CG$24,A478)</f>
        <v>Modeled</v>
      </c>
      <c r="I478" t="s">
        <v>602</v>
      </c>
      <c r="K478" s="114">
        <f>IFERROR(INDEX('Fuel Model - Summary'!X$6:X$26,MATCH($C478,'Fuel Model - Summary'!$F$6:$F$26,0)),0)</f>
        <v>-65.873267376827087</v>
      </c>
      <c r="L478" s="114">
        <f>IFERROR(INDEX('Fuel Model - Summary'!Y$6:Y$26,MATCH($C478,'Fuel Model - Summary'!$F$6:$F$26,0)),0)</f>
        <v>-65.886262255036513</v>
      </c>
      <c r="M478" s="114">
        <f>IFERROR(INDEX('Fuel Model - Summary'!Z$6:Z$26,MATCH($C478,'Fuel Model - Summary'!$F$6:$F$26,0)),0)</f>
        <v>-65.922777041384307</v>
      </c>
      <c r="N478" s="114">
        <f>IFERROR(INDEX('Fuel Model - Summary'!AA$6:AA$26,MATCH($C478,'Fuel Model - Summary'!$F$6:$F$26,0)),0)</f>
        <v>-66.01976169522986</v>
      </c>
      <c r="O478" s="114">
        <f>IFERROR(INDEX('Fuel Model - Summary'!AB$6:AB$26,MATCH($C478,'Fuel Model - Summary'!$F$6:$F$26,0)),0)</f>
        <v>-66.136231003603598</v>
      </c>
      <c r="P478" s="114">
        <f>IFERROR(INDEX('Fuel Model - Summary'!AC$6:AC$26,MATCH($C478,'Fuel Model - Summary'!$F$6:$F$26,0)),0)</f>
        <v>-66.291289175601065</v>
      </c>
      <c r="Q478" s="114">
        <f>IFERROR(INDEX('Fuel Model - Summary'!AD$6:AD$26,MATCH($C478,'Fuel Model - Summary'!$F$6:$F$26,0)),0)</f>
        <v>-66.413435942586673</v>
      </c>
      <c r="R478" s="115">
        <f t="shared" ref="R478:V478" si="316">Q478</f>
        <v>-66.413435942586673</v>
      </c>
      <c r="S478" s="115">
        <f t="shared" si="316"/>
        <v>-66.413435942586673</v>
      </c>
      <c r="T478" s="115">
        <f t="shared" si="316"/>
        <v>-66.413435942586673</v>
      </c>
      <c r="U478" s="115">
        <f t="shared" si="316"/>
        <v>-66.413435942586673</v>
      </c>
      <c r="V478" s="115">
        <f t="shared" si="316"/>
        <v>-66.413435942586673</v>
      </c>
    </row>
    <row r="479" spans="1:22" x14ac:dyDescent="0.2">
      <c r="A479" s="29">
        <f t="shared" si="307"/>
        <v>12</v>
      </c>
      <c r="B479" s="334" t="str">
        <f t="shared" si="303"/>
        <v>e-Methanol (PS) - WTT CO2 emissions - kgCO2/GJ</v>
      </c>
      <c r="C479" t="str" cm="1">
        <f t="array" ref="C479">INDEX(list_AE_fuel,A479)</f>
        <v>e-Methanol (PS)</v>
      </c>
      <c r="D479"/>
      <c r="E479"/>
      <c r="F479" t="str">
        <f t="shared" si="304"/>
        <v>WTT CO2 emissions - kgCO2/GJ</v>
      </c>
      <c r="G479"/>
      <c r="H479" s="412" t="str" cm="1">
        <f t="array" ref="H479">INDEX('Configurator Specs.'!$CG$5:$CG$24,A479)</f>
        <v>Modeled</v>
      </c>
      <c r="I479" t="s">
        <v>602</v>
      </c>
      <c r="K479" s="114">
        <f>IFERROR(INDEX('Fuel Model - Summary'!X$6:X$26,MATCH($C479,'Fuel Model - Summary'!$F$6:$F$26,0)),0)</f>
        <v>-65.873267376827087</v>
      </c>
      <c r="L479" s="114">
        <f>IFERROR(INDEX('Fuel Model - Summary'!Y$6:Y$26,MATCH($C479,'Fuel Model - Summary'!$F$6:$F$26,0)),0)</f>
        <v>-65.886262255036513</v>
      </c>
      <c r="M479" s="114">
        <f>IFERROR(INDEX('Fuel Model - Summary'!Z$6:Z$26,MATCH($C479,'Fuel Model - Summary'!$F$6:$F$26,0)),0)</f>
        <v>-65.922777041384307</v>
      </c>
      <c r="N479" s="114">
        <f>IFERROR(INDEX('Fuel Model - Summary'!AA$6:AA$26,MATCH($C479,'Fuel Model - Summary'!$F$6:$F$26,0)),0)</f>
        <v>-66.01976169522986</v>
      </c>
      <c r="O479" s="114">
        <f>IFERROR(INDEX('Fuel Model - Summary'!AB$6:AB$26,MATCH($C479,'Fuel Model - Summary'!$F$6:$F$26,0)),0)</f>
        <v>-66.136231003603598</v>
      </c>
      <c r="P479" s="114">
        <f>IFERROR(INDEX('Fuel Model - Summary'!AC$6:AC$26,MATCH($C479,'Fuel Model - Summary'!$F$6:$F$26,0)),0)</f>
        <v>-66.291289175601065</v>
      </c>
      <c r="Q479" s="114">
        <f>IFERROR(INDEX('Fuel Model - Summary'!AD$6:AD$26,MATCH($C479,'Fuel Model - Summary'!$F$6:$F$26,0)),0)</f>
        <v>-66.413435942586673</v>
      </c>
      <c r="R479" s="115">
        <f t="shared" ref="R479:V479" si="317">Q479</f>
        <v>-66.413435942586673</v>
      </c>
      <c r="S479" s="115">
        <f t="shared" si="317"/>
        <v>-66.413435942586673</v>
      </c>
      <c r="T479" s="115">
        <f t="shared" si="317"/>
        <v>-66.413435942586673</v>
      </c>
      <c r="U479" s="115">
        <f t="shared" si="317"/>
        <v>-66.413435942586673</v>
      </c>
      <c r="V479" s="115">
        <f t="shared" si="317"/>
        <v>-66.413435942586673</v>
      </c>
    </row>
    <row r="480" spans="1:22" x14ac:dyDescent="0.2">
      <c r="A480" s="29">
        <f t="shared" si="307"/>
        <v>13</v>
      </c>
      <c r="B480" s="334" t="str">
        <f t="shared" si="303"/>
        <v>Biodiesel (HtL) - WTT CO2 emissions - kgCO2/GJ</v>
      </c>
      <c r="C480" t="str" cm="1">
        <f t="array" ref="C480">INDEX(list_AE_fuel,A480)</f>
        <v>Biodiesel (HtL)</v>
      </c>
      <c r="D480"/>
      <c r="E480"/>
      <c r="F480" t="str">
        <f t="shared" si="304"/>
        <v>WTT CO2 emissions - kgCO2/GJ</v>
      </c>
      <c r="G480"/>
      <c r="H480" s="412" t="str" cm="1">
        <f t="array" ref="H480">INDEX('Configurator Specs.'!$CG$5:$CG$24,A480)</f>
        <v>Modeled</v>
      </c>
      <c r="I480" t="s">
        <v>602</v>
      </c>
      <c r="K480" s="114">
        <f>IFERROR(INDEX('Fuel Model - Summary'!X$6:X$26,MATCH($C480,'Fuel Model - Summary'!$F$6:$F$26,0)),0)</f>
        <v>-54.006278557194555</v>
      </c>
      <c r="L480" s="114">
        <f>IFERROR(INDEX('Fuel Model - Summary'!Y$6:Y$26,MATCH($C480,'Fuel Model - Summary'!$F$6:$F$26,0)),0)</f>
        <v>-58.557346422110115</v>
      </c>
      <c r="M480" s="114">
        <f>IFERROR(INDEX('Fuel Model - Summary'!Z$6:Z$26,MATCH($C480,'Fuel Model - Summary'!$F$6:$F$26,0)),0)</f>
        <v>-62.105357424160069</v>
      </c>
      <c r="N480" s="114">
        <f>IFERROR(INDEX('Fuel Model - Summary'!AA$6:AA$26,MATCH($C480,'Fuel Model - Summary'!$F$6:$F$26,0)),0)</f>
        <v>-68.865406081251962</v>
      </c>
      <c r="O480" s="114">
        <f>IFERROR(INDEX('Fuel Model - Summary'!AB$6:AB$26,MATCH($C480,'Fuel Model - Summary'!$F$6:$F$26,0)),0)</f>
        <v>-70.54844160158919</v>
      </c>
      <c r="P480" s="114">
        <f>IFERROR(INDEX('Fuel Model - Summary'!AC$6:AC$26,MATCH($C480,'Fuel Model - Summary'!$F$6:$F$26,0)),0)</f>
        <v>-72.371324760323077</v>
      </c>
      <c r="Q480" s="114">
        <f>IFERROR(INDEX('Fuel Model - Summary'!AD$6:AD$26,MATCH($C480,'Fuel Model - Summary'!$F$6:$F$26,0)),0)</f>
        <v>-74.598641482753152</v>
      </c>
      <c r="R480" s="115">
        <f t="shared" ref="R480:V480" si="318">Q480</f>
        <v>-74.598641482753152</v>
      </c>
      <c r="S480" s="115">
        <f t="shared" si="318"/>
        <v>-74.598641482753152</v>
      </c>
      <c r="T480" s="115">
        <f t="shared" si="318"/>
        <v>-74.598641482753152</v>
      </c>
      <c r="U480" s="115">
        <f t="shared" si="318"/>
        <v>-74.598641482753152</v>
      </c>
      <c r="V480" s="115">
        <f t="shared" si="318"/>
        <v>-74.598641482753152</v>
      </c>
    </row>
    <row r="481" spans="1:22" x14ac:dyDescent="0.2">
      <c r="A481" s="29">
        <f t="shared" si="307"/>
        <v>14</v>
      </c>
      <c r="B481" s="334" t="str">
        <f t="shared" si="303"/>
        <v>Biodiesel (Pyr) - WTT CO2 emissions - kgCO2/GJ</v>
      </c>
      <c r="C481" t="str" cm="1">
        <f t="array" ref="C481">INDEX(list_AE_fuel,A481)</f>
        <v>Biodiesel (Pyr)</v>
      </c>
      <c r="D481"/>
      <c r="E481"/>
      <c r="F481" t="str">
        <f t="shared" si="304"/>
        <v>WTT CO2 emissions - kgCO2/GJ</v>
      </c>
      <c r="G481"/>
      <c r="H481" s="412" t="str" cm="1">
        <f t="array" ref="H481">INDEX('Configurator Specs.'!$CG$5:$CG$24,A481)</f>
        <v>Modeled</v>
      </c>
      <c r="I481" t="s">
        <v>602</v>
      </c>
      <c r="K481" s="114">
        <f>IFERROR(INDEX('Fuel Model - Summary'!X$6:X$26,MATCH($C481,'Fuel Model - Summary'!$F$6:$F$26,0)),0)</f>
        <v>-40.339877075554391</v>
      </c>
      <c r="L481" s="114">
        <f>IFERROR(INDEX('Fuel Model - Summary'!Y$6:Y$26,MATCH($C481,'Fuel Model - Summary'!$F$6:$F$26,0)),0)</f>
        <v>-48.28508713529736</v>
      </c>
      <c r="M481" s="114">
        <f>IFERROR(INDEX('Fuel Model - Summary'!Z$6:Z$26,MATCH($C481,'Fuel Model - Summary'!$F$6:$F$26,0)),0)</f>
        <v>-54.14317291584149</v>
      </c>
      <c r="N481" s="114">
        <f>IFERROR(INDEX('Fuel Model - Summary'!AA$6:AA$26,MATCH($C481,'Fuel Model - Summary'!$F$6:$F$26,0)),0)</f>
        <v>-66.682297018872859</v>
      </c>
      <c r="O481" s="114">
        <f>IFERROR(INDEX('Fuel Model - Summary'!AB$6:AB$26,MATCH($C481,'Fuel Model - Summary'!$F$6:$F$26,0)),0)</f>
        <v>-68.6612337974545</v>
      </c>
      <c r="P481" s="114">
        <f>IFERROR(INDEX('Fuel Model - Summary'!AC$6:AC$26,MATCH($C481,'Fuel Model - Summary'!$F$6:$F$26,0)),0)</f>
        <v>-70.931053663901253</v>
      </c>
      <c r="Q481" s="114">
        <f>IFERROR(INDEX('Fuel Model - Summary'!AD$6:AD$26,MATCH($C481,'Fuel Model - Summary'!$F$6:$F$26,0)),0)</f>
        <v>-74.042095342836006</v>
      </c>
      <c r="R481" s="115">
        <f t="shared" ref="R481:V481" si="319">Q481</f>
        <v>-74.042095342836006</v>
      </c>
      <c r="S481" s="115">
        <f t="shared" si="319"/>
        <v>-74.042095342836006</v>
      </c>
      <c r="T481" s="115">
        <f t="shared" si="319"/>
        <v>-74.042095342836006</v>
      </c>
      <c r="U481" s="115">
        <f t="shared" si="319"/>
        <v>-74.042095342836006</v>
      </c>
      <c r="V481" s="115">
        <f t="shared" si="319"/>
        <v>-74.042095342836006</v>
      </c>
    </row>
    <row r="482" spans="1:22" x14ac:dyDescent="0.2">
      <c r="A482" s="29">
        <f t="shared" si="307"/>
        <v>15</v>
      </c>
      <c r="B482" s="334" t="str">
        <f t="shared" si="303"/>
        <v>e-Diesel (DAC) - WTT CO2 emissions - kgCO2/GJ</v>
      </c>
      <c r="C482" t="str" cm="1">
        <f t="array" ref="C482">INDEX(list_AE_fuel,A482)</f>
        <v>e-Diesel (DAC)</v>
      </c>
      <c r="D482"/>
      <c r="E482"/>
      <c r="F482" t="str">
        <f t="shared" si="304"/>
        <v>WTT CO2 emissions - kgCO2/GJ</v>
      </c>
      <c r="G482"/>
      <c r="H482" s="412" t="str" cm="1">
        <f t="array" ref="H482">INDEX('Configurator Specs.'!$CG$5:$CG$24,A482)</f>
        <v>Modeled</v>
      </c>
      <c r="I482" t="s">
        <v>602</v>
      </c>
      <c r="K482" s="114">
        <f>IFERROR(INDEX('Fuel Model - Summary'!X$6:X$26,MATCH($C482,'Fuel Model - Summary'!$F$6:$F$26,0)),0)</f>
        <v>-71.898371469010129</v>
      </c>
      <c r="L482" s="114">
        <f>IFERROR(INDEX('Fuel Model - Summary'!Y$6:Y$26,MATCH($C482,'Fuel Model - Summary'!$F$6:$F$26,0)),0)</f>
        <v>-71.917977773108731</v>
      </c>
      <c r="M482" s="114">
        <f>IFERROR(INDEX('Fuel Model - Summary'!Z$6:Z$26,MATCH($C482,'Fuel Model - Summary'!$F$6:$F$26,0)),0)</f>
        <v>-71.964504396106349</v>
      </c>
      <c r="N482" s="114">
        <f>IFERROR(INDEX('Fuel Model - Summary'!AA$6:AA$26,MATCH($C482,'Fuel Model - Summary'!$F$6:$F$26,0)),0)</f>
        <v>-72.08086120236382</v>
      </c>
      <c r="O482" s="114">
        <f>IFERROR(INDEX('Fuel Model - Summary'!AB$6:AB$26,MATCH($C482,'Fuel Model - Summary'!$F$6:$F$26,0)),0)</f>
        <v>-72.219514710595647</v>
      </c>
      <c r="P482" s="114">
        <f>IFERROR(INDEX('Fuel Model - Summary'!AC$6:AC$26,MATCH($C482,'Fuel Model - Summary'!$F$6:$F$26,0)),0)</f>
        <v>-72.40266058951876</v>
      </c>
      <c r="Q482" s="114">
        <f>IFERROR(INDEX('Fuel Model - Summary'!AD$6:AD$26,MATCH($C482,'Fuel Model - Summary'!$F$6:$F$26,0)),0)</f>
        <v>-72.547349318776185</v>
      </c>
      <c r="R482" s="115">
        <f t="shared" ref="R482:V482" si="320">Q482</f>
        <v>-72.547349318776185</v>
      </c>
      <c r="S482" s="115">
        <f t="shared" si="320"/>
        <v>-72.547349318776185</v>
      </c>
      <c r="T482" s="115">
        <f t="shared" si="320"/>
        <v>-72.547349318776185</v>
      </c>
      <c r="U482" s="115">
        <f t="shared" si="320"/>
        <v>-72.547349318776185</v>
      </c>
      <c r="V482" s="115">
        <f t="shared" si="320"/>
        <v>-72.547349318776185</v>
      </c>
    </row>
    <row r="483" spans="1:22" x14ac:dyDescent="0.2">
      <c r="A483" s="29">
        <f t="shared" si="307"/>
        <v>16</v>
      </c>
      <c r="B483" s="334" t="str">
        <f t="shared" si="303"/>
        <v>e-Diesel (PS) - WTT CO2 emissions - kgCO2/GJ</v>
      </c>
      <c r="C483" t="str" cm="1">
        <f t="array" ref="C483">INDEX(list_AE_fuel,A483)</f>
        <v>e-Diesel (PS)</v>
      </c>
      <c r="D483"/>
      <c r="E483"/>
      <c r="F483" t="str">
        <f t="shared" si="304"/>
        <v>WTT CO2 emissions - kgCO2/GJ</v>
      </c>
      <c r="G483"/>
      <c r="H483" s="412" t="str" cm="1">
        <f t="array" ref="H483">INDEX('Configurator Specs.'!$CG$5:$CG$24,A483)</f>
        <v>Modeled</v>
      </c>
      <c r="I483" t="s">
        <v>602</v>
      </c>
      <c r="K483" s="114">
        <f>IFERROR(INDEX('Fuel Model - Summary'!X$6:X$26,MATCH($C483,'Fuel Model - Summary'!$F$6:$F$26,0)),0)</f>
        <v>-71.898371469010129</v>
      </c>
      <c r="L483" s="114">
        <f>IFERROR(INDEX('Fuel Model - Summary'!Y$6:Y$26,MATCH($C483,'Fuel Model - Summary'!$F$6:$F$26,0)),0)</f>
        <v>-71.917977773108731</v>
      </c>
      <c r="M483" s="114">
        <f>IFERROR(INDEX('Fuel Model - Summary'!Z$6:Z$26,MATCH($C483,'Fuel Model - Summary'!$F$6:$F$26,0)),0)</f>
        <v>-71.964504396106349</v>
      </c>
      <c r="N483" s="114">
        <f>IFERROR(INDEX('Fuel Model - Summary'!AA$6:AA$26,MATCH($C483,'Fuel Model - Summary'!$F$6:$F$26,0)),0)</f>
        <v>-72.08086120236382</v>
      </c>
      <c r="O483" s="114">
        <f>IFERROR(INDEX('Fuel Model - Summary'!AB$6:AB$26,MATCH($C483,'Fuel Model - Summary'!$F$6:$F$26,0)),0)</f>
        <v>-72.219514710595647</v>
      </c>
      <c r="P483" s="114">
        <f>IFERROR(INDEX('Fuel Model - Summary'!AC$6:AC$26,MATCH($C483,'Fuel Model - Summary'!$F$6:$F$26,0)),0)</f>
        <v>-72.40266058951876</v>
      </c>
      <c r="Q483" s="114">
        <f>IFERROR(INDEX('Fuel Model - Summary'!AD$6:AD$26,MATCH($C483,'Fuel Model - Summary'!$F$6:$F$26,0)),0)</f>
        <v>-72.547349318776185</v>
      </c>
      <c r="R483" s="115">
        <f t="shared" ref="R483:V483" si="321">Q483</f>
        <v>-72.547349318776185</v>
      </c>
      <c r="S483" s="115">
        <f t="shared" si="321"/>
        <v>-72.547349318776185</v>
      </c>
      <c r="T483" s="115">
        <f t="shared" si="321"/>
        <v>-72.547349318776185</v>
      </c>
      <c r="U483" s="115">
        <f t="shared" si="321"/>
        <v>-72.547349318776185</v>
      </c>
      <c r="V483" s="115">
        <f t="shared" si="321"/>
        <v>-72.547349318776185</v>
      </c>
    </row>
    <row r="484" spans="1:22" x14ac:dyDescent="0.2">
      <c r="A484" s="29">
        <f t="shared" si="307"/>
        <v>17</v>
      </c>
      <c r="B484" s="334" t="str">
        <f t="shared" si="303"/>
        <v>Biodiesel (HtL blend) - WTT CO2 emissions - kgCO2/GJ</v>
      </c>
      <c r="C484" t="str" cm="1">
        <f t="array" ref="C484">INDEX(list_AE_fuel,A484)</f>
        <v>Biodiesel (HtL blend)</v>
      </c>
      <c r="D484"/>
      <c r="E484"/>
      <c r="F484" t="str">
        <f t="shared" si="304"/>
        <v>WTT CO2 emissions - kgCO2/GJ</v>
      </c>
      <c r="G484"/>
      <c r="H484" s="412" t="str" cm="1">
        <f t="array" ref="H484">INDEX('Configurator Specs.'!$CG$5:$CG$24,A484)</f>
        <v>Modeled</v>
      </c>
      <c r="I484" t="s">
        <v>602</v>
      </c>
      <c r="K484" s="114">
        <f>IFERROR(INDEX('Fuel Model - Summary'!X$6:X$26,MATCH($C484,'Fuel Model - Summary'!$F$6:$F$26,0)),0)</f>
        <v>-3.3241003623372918</v>
      </c>
      <c r="L484" s="114">
        <f>IFERROR(INDEX('Fuel Model - Summary'!Y$6:Y$26,MATCH($C484,'Fuel Model - Summary'!$F$6:$F$26,0)),0)</f>
        <v>-3.7421924641576072</v>
      </c>
      <c r="M484" s="114">
        <f>IFERROR(INDEX('Fuel Model - Summary'!Z$6:Z$26,MATCH($C484,'Fuel Model - Summary'!$F$6:$F$26,0)),0)</f>
        <v>-4.1604475212863958</v>
      </c>
      <c r="N484" s="114">
        <f>IFERROR(INDEX('Fuel Model - Summary'!AA$6:AA$26,MATCH($C484,'Fuel Model - Summary'!$F$6:$F$26,0)),0)</f>
        <v>-4.5787025784151894</v>
      </c>
      <c r="O484" s="114">
        <f>IFERROR(INDEX('Fuel Model - Summary'!AB$6:AB$26,MATCH($C484,'Fuel Model - Summary'!$F$6:$F$26,0)),0)</f>
        <v>-4.9969576355439838</v>
      </c>
      <c r="P484" s="114">
        <f>IFERROR(INDEX('Fuel Model - Summary'!AC$6:AC$26,MATCH($C484,'Fuel Model - Summary'!$F$6:$F$26,0)),0)</f>
        <v>-5.4152126926727746</v>
      </c>
      <c r="Q484" s="114">
        <f>IFERROR(INDEX('Fuel Model - Summary'!AD$6:AD$26,MATCH($C484,'Fuel Model - Summary'!$F$6:$F$26,0)),0)</f>
        <v>-5.8334677498015717</v>
      </c>
      <c r="R484" s="115">
        <f t="shared" ref="R484:V484" si="322">Q484</f>
        <v>-5.8334677498015717</v>
      </c>
      <c r="S484" s="115">
        <f t="shared" si="322"/>
        <v>-5.8334677498015717</v>
      </c>
      <c r="T484" s="115">
        <f t="shared" si="322"/>
        <v>-5.8334677498015717</v>
      </c>
      <c r="U484" s="115">
        <f t="shared" si="322"/>
        <v>-5.8334677498015717</v>
      </c>
      <c r="V484" s="115">
        <f t="shared" si="322"/>
        <v>-5.8334677498015717</v>
      </c>
    </row>
    <row r="485" spans="1:22" x14ac:dyDescent="0.2">
      <c r="A485" s="29">
        <f t="shared" si="307"/>
        <v>18</v>
      </c>
      <c r="B485" s="334" t="str">
        <f t="shared" si="303"/>
        <v>Biodiesel (Pyr blend) - WTT CO2 emissions - kgCO2/GJ</v>
      </c>
      <c r="C485" t="str" cm="1">
        <f t="array" ref="C485">INDEX(list_AE_fuel,A485)</f>
        <v>Biodiesel (Pyr blend)</v>
      </c>
      <c r="D485"/>
      <c r="E485"/>
      <c r="F485" t="str">
        <f t="shared" si="304"/>
        <v>WTT CO2 emissions - kgCO2/GJ</v>
      </c>
      <c r="G485"/>
      <c r="H485" s="412" t="str" cm="1">
        <f t="array" ref="H485">INDEX('Configurator Specs.'!$CG$5:$CG$24,A485)</f>
        <v>Modeled</v>
      </c>
      <c r="I485" t="s">
        <v>602</v>
      </c>
      <c r="K485" s="114">
        <f>IFERROR(INDEX('Fuel Model - Summary'!X$6:X$26,MATCH($C485,'Fuel Model - Summary'!$F$6:$F$26,0)),0)</f>
        <v>-1.3339806999597574</v>
      </c>
      <c r="L485" s="114">
        <f>IFERROR(INDEX('Fuel Model - Summary'!Y$6:Y$26,MATCH($C485,'Fuel Model - Summary'!$F$6:$F$26,0)),0)</f>
        <v>-1.5577242046437272</v>
      </c>
      <c r="M485" s="114">
        <f>IFERROR(INDEX('Fuel Model - Summary'!Z$6:Z$26,MATCH($C485,'Fuel Model - Summary'!$F$6:$F$26,0)),0)</f>
        <v>-1.7814677093277003</v>
      </c>
      <c r="N485" s="114">
        <f>IFERROR(INDEX('Fuel Model - Summary'!AA$6:AA$26,MATCH($C485,'Fuel Model - Summary'!$F$6:$F$26,0)),0)</f>
        <v>-2.0052112140116702</v>
      </c>
      <c r="O485" s="114">
        <f>IFERROR(INDEX('Fuel Model - Summary'!AB$6:AB$26,MATCH($C485,'Fuel Model - Summary'!$F$6:$F$26,0)),0)</f>
        <v>-2.2289547186956429</v>
      </c>
      <c r="P485" s="114">
        <f>IFERROR(INDEX('Fuel Model - Summary'!AC$6:AC$26,MATCH($C485,'Fuel Model - Summary'!$F$6:$F$26,0)),0)</f>
        <v>-2.452698223379616</v>
      </c>
      <c r="Q485" s="114">
        <f>IFERROR(INDEX('Fuel Model - Summary'!AD$6:AD$26,MATCH($C485,'Fuel Model - Summary'!$F$6:$F$26,0)),0)</f>
        <v>-2.6764417280635859</v>
      </c>
      <c r="R485" s="115">
        <f t="shared" ref="R485:V485" si="323">Q485</f>
        <v>-2.6764417280635859</v>
      </c>
      <c r="S485" s="115">
        <f t="shared" si="323"/>
        <v>-2.6764417280635859</v>
      </c>
      <c r="T485" s="115">
        <f t="shared" si="323"/>
        <v>-2.6764417280635859</v>
      </c>
      <c r="U485" s="115">
        <f t="shared" si="323"/>
        <v>-2.6764417280635859</v>
      </c>
      <c r="V485" s="115">
        <f t="shared" si="323"/>
        <v>-2.6764417280635859</v>
      </c>
    </row>
    <row r="486" spans="1:22" x14ac:dyDescent="0.2">
      <c r="A486" s="29">
        <f t="shared" si="307"/>
        <v>19</v>
      </c>
      <c r="B486" s="334" t="str">
        <f t="shared" si="303"/>
        <v>Blue hydrogen (liquid) - WTT CO2 emissions - kgCO2/GJ</v>
      </c>
      <c r="C486" t="str" cm="1">
        <f t="array" ref="C486">INDEX(list_AE_fuel,A486)</f>
        <v>Blue hydrogen (liquid)</v>
      </c>
      <c r="D486"/>
      <c r="E486"/>
      <c r="F486" t="str">
        <f t="shared" si="304"/>
        <v>WTT CO2 emissions - kgCO2/GJ</v>
      </c>
      <c r="G486"/>
      <c r="H486" s="412" t="str" cm="1">
        <f t="array" ref="H486">INDEX('Configurator Specs.'!$CG$5:$CG$24,A486)</f>
        <v>Modeled</v>
      </c>
      <c r="I486" t="s">
        <v>602</v>
      </c>
      <c r="K486" s="114">
        <f>IFERROR(INDEX('Fuel Model - Summary'!X$6:X$26,MATCH($C486,'Fuel Model - Summary'!$F$6:$F$26,0)),0)</f>
        <v>16.554438014523402</v>
      </c>
      <c r="L486" s="114">
        <f>IFERROR(INDEX('Fuel Model - Summary'!Y$6:Y$26,MATCH($C486,'Fuel Model - Summary'!$F$6:$F$26,0)),0)</f>
        <v>15.574124293785308</v>
      </c>
      <c r="M486" s="114">
        <f>IFERROR(INDEX('Fuel Model - Summary'!Z$6:Z$26,MATCH($C486,'Fuel Model - Summary'!$F$6:$F$26,0)),0)</f>
        <v>14.600917572643572</v>
      </c>
      <c r="N486" s="114">
        <f>IFERROR(INDEX('Fuel Model - Summary'!AA$6:AA$26,MATCH($C486,'Fuel Model - Summary'!$F$6:$F$26,0)),0)</f>
        <v>13.634676043469213</v>
      </c>
      <c r="O486" s="114">
        <f>IFERROR(INDEX('Fuel Model - Summary'!AB$6:AB$26,MATCH($C486,'Fuel Model - Summary'!$F$6:$F$26,0)),0)</f>
        <v>12.675260769600246</v>
      </c>
      <c r="P486" s="114">
        <f>IFERROR(INDEX('Fuel Model - Summary'!AC$6:AC$26,MATCH($C486,'Fuel Model - Summary'!$F$6:$F$26,0)),0)</f>
        <v>11.722535627054755</v>
      </c>
      <c r="Q486" s="114">
        <f>IFERROR(INDEX('Fuel Model - Summary'!AD$6:AD$26,MATCH($C486,'Fuel Model - Summary'!$F$6:$F$26,0)),0)</f>
        <v>10.776367231638421</v>
      </c>
      <c r="R486" s="115">
        <f t="shared" ref="R486:V486" si="324">Q486</f>
        <v>10.776367231638421</v>
      </c>
      <c r="S486" s="115">
        <f t="shared" si="324"/>
        <v>10.776367231638421</v>
      </c>
      <c r="T486" s="115">
        <f t="shared" si="324"/>
        <v>10.776367231638421</v>
      </c>
      <c r="U486" s="115">
        <f t="shared" si="324"/>
        <v>10.776367231638421</v>
      </c>
      <c r="V486" s="115">
        <f t="shared" si="324"/>
        <v>10.776367231638421</v>
      </c>
    </row>
    <row r="487" spans="1:22" x14ac:dyDescent="0.2">
      <c r="A487" s="29">
        <f t="shared" si="307"/>
        <v>20</v>
      </c>
      <c r="B487" s="334" t="str">
        <f t="shared" si="303"/>
        <v>e-Hydrogen (liquid) - WTT CO2 emissions - kgCO2/GJ</v>
      </c>
      <c r="C487" t="str" cm="1">
        <f t="array" ref="C487">INDEX(list_AE_fuel,A487)</f>
        <v>e-Hydrogen (liquid)</v>
      </c>
      <c r="D487"/>
      <c r="E487"/>
      <c r="F487" t="str">
        <f t="shared" si="304"/>
        <v>WTT CO2 emissions - kgCO2/GJ</v>
      </c>
      <c r="G487"/>
      <c r="H487" s="412" t="str" cm="1">
        <f t="array" ref="H487">INDEX('Configurator Specs.'!$CG$5:$CG$24,A487)</f>
        <v>Modeled</v>
      </c>
      <c r="I487" t="s">
        <v>602</v>
      </c>
      <c r="K487" s="114">
        <f>IFERROR(INDEX('Fuel Model - Summary'!X$6:X$26,MATCH($C487,'Fuel Model - Summary'!$F$6:$F$26,0)),0)</f>
        <v>2.4279169967523235</v>
      </c>
      <c r="L487" s="114">
        <f>IFERROR(INDEX('Fuel Model - Summary'!Y$6:Y$26,MATCH($C487,'Fuel Model - Summary'!$F$6:$F$26,0)),0)</f>
        <v>2.4164999999999996</v>
      </c>
      <c r="M487" s="114">
        <f>IFERROR(INDEX('Fuel Model - Summary'!Z$6:Z$26,MATCH($C487,'Fuel Model - Summary'!$F$6:$F$26,0)),0)</f>
        <v>2.3844189608069937</v>
      </c>
      <c r="N487" s="114">
        <f>IFERROR(INDEX('Fuel Model - Summary'!AA$6:AA$26,MATCH($C487,'Fuel Model - Summary'!$F$6:$F$26,0)),0)</f>
        <v>2.2992105071273761</v>
      </c>
      <c r="O487" s="114">
        <f>IFERROR(INDEX('Fuel Model - Summary'!AB$6:AB$26,MATCH($C487,'Fuel Model - Summary'!$F$6:$F$26,0)),0)</f>
        <v>2.1968832906641627</v>
      </c>
      <c r="P487" s="114">
        <f>IFERROR(INDEX('Fuel Model - Summary'!AC$6:AC$26,MATCH($C487,'Fuel Model - Summary'!$F$6:$F$26,0)),0)</f>
        <v>2.0606527991130323</v>
      </c>
      <c r="Q487" s="114">
        <f>IFERROR(INDEX('Fuel Model - Summary'!AD$6:AD$26,MATCH($C487,'Fuel Model - Summary'!$F$6:$F$26,0)),0)</f>
        <v>1.9533374999999999</v>
      </c>
      <c r="R487" s="115">
        <f t="shared" ref="R487:V487" si="325">Q487</f>
        <v>1.9533374999999999</v>
      </c>
      <c r="S487" s="115">
        <f t="shared" si="325"/>
        <v>1.9533374999999999</v>
      </c>
      <c r="T487" s="115">
        <f t="shared" si="325"/>
        <v>1.9533374999999999</v>
      </c>
      <c r="U487" s="115">
        <f t="shared" si="325"/>
        <v>1.9533374999999999</v>
      </c>
      <c r="V487" s="115">
        <f t="shared" si="325"/>
        <v>1.9533374999999999</v>
      </c>
    </row>
    <row r="489" spans="1:22" x14ac:dyDescent="0.2">
      <c r="A489" s="29">
        <v>1</v>
      </c>
      <c r="B489" s="334" t="str">
        <f t="shared" ref="B489:B508" si="326">_xlfn.TEXTJOIN(keydelim,TRUE,C489:G489)</f>
        <v>LSFO - TTP CO2 emissions - kgCO2/GJ</v>
      </c>
      <c r="C489" t="str" cm="1">
        <f t="array" ref="C489">INDEX(list_AE_fuel,A489)</f>
        <v>LSFO</v>
      </c>
      <c r="D489"/>
      <c r="E489"/>
      <c r="F489" t="str">
        <f t="shared" ref="F489:F508" si="327">"TTP CO2 emissions"  &amp;keydelim &amp;I489</f>
        <v>TTP CO2 emissions - kgCO2/GJ</v>
      </c>
      <c r="G489" s="128"/>
      <c r="H489" s="412" t="str" cm="1">
        <f t="array" ref="H489">INDEX('Configurator Specs.'!$CG$5:$CG$24,A489)</f>
        <v>External</v>
      </c>
      <c r="I489" t="s">
        <v>602</v>
      </c>
      <c r="K489" s="114">
        <f>IFERROR(INDEX('Fuel Model - Summary'!AF$6:AF$26,MATCH($C489,'Fuel Model - Summary'!$F$6:$F$26,0)),0)</f>
        <v>76.779854368932035</v>
      </c>
      <c r="L489" s="114">
        <f>IFERROR(INDEX('Fuel Model - Summary'!AG$6:AG$26,MATCH($C489,'Fuel Model - Summary'!$F$6:$F$26,0)),0)</f>
        <v>76.779854368932035</v>
      </c>
      <c r="M489" s="114">
        <f>IFERROR(INDEX('Fuel Model - Summary'!AH$6:AH$26,MATCH($C489,'Fuel Model - Summary'!$F$6:$F$26,0)),0)</f>
        <v>76.779854368932035</v>
      </c>
      <c r="N489" s="114">
        <f>IFERROR(INDEX('Fuel Model - Summary'!AI$6:AI$26,MATCH($C489,'Fuel Model - Summary'!$F$6:$F$26,0)),0)</f>
        <v>76.779854368932035</v>
      </c>
      <c r="O489" s="114">
        <f>IFERROR(INDEX('Fuel Model - Summary'!AJ$6:AJ$26,MATCH($C489,'Fuel Model - Summary'!$F$6:$F$26,0)),0)</f>
        <v>76.779854368932035</v>
      </c>
      <c r="P489" s="114">
        <f>IFERROR(INDEX('Fuel Model - Summary'!AK$6:AK$26,MATCH($C489,'Fuel Model - Summary'!$F$6:$F$26,0)),0)</f>
        <v>76.779854368932035</v>
      </c>
      <c r="Q489" s="114">
        <f>IFERROR(INDEX('Fuel Model - Summary'!AL$6:AL$26,MATCH($C489,'Fuel Model - Summary'!$F$6:$F$26,0)),0)</f>
        <v>76.779854368932035</v>
      </c>
      <c r="R489" s="115">
        <f>Q489</f>
        <v>76.779854368932035</v>
      </c>
      <c r="S489" s="115">
        <f t="shared" ref="S489:V489" si="328">R489</f>
        <v>76.779854368932035</v>
      </c>
      <c r="T489" s="115">
        <f t="shared" si="328"/>
        <v>76.779854368932035</v>
      </c>
      <c r="U489" s="115">
        <f t="shared" si="328"/>
        <v>76.779854368932035</v>
      </c>
      <c r="V489" s="115">
        <f t="shared" si="328"/>
        <v>76.779854368932035</v>
      </c>
    </row>
    <row r="490" spans="1:22" x14ac:dyDescent="0.2">
      <c r="A490" s="29">
        <f>A489+1</f>
        <v>2</v>
      </c>
      <c r="B490" s="334" t="str">
        <f t="shared" si="326"/>
        <v>LNG - TTP CO2 emissions - kgCO2/GJ</v>
      </c>
      <c r="C490" t="str" cm="1">
        <f t="array" ref="C490">INDEX(list_AE_fuel,A490)</f>
        <v>LNG</v>
      </c>
      <c r="D490"/>
      <c r="E490"/>
      <c r="F490" t="str">
        <f t="shared" si="327"/>
        <v>TTP CO2 emissions - kgCO2/GJ</v>
      </c>
      <c r="G490" s="128"/>
      <c r="H490" s="412" t="str" cm="1">
        <f t="array" ref="H490">INDEX('Configurator Specs.'!$CG$5:$CG$24,A490)</f>
        <v>Modeled</v>
      </c>
      <c r="I490" t="s">
        <v>602</v>
      </c>
      <c r="K490" s="114">
        <f>IFERROR(INDEX('Fuel Model - Summary'!AF$6:AF$26,MATCH($C490,'Fuel Model - Summary'!$F$6:$F$26,0)),0)</f>
        <v>76.026250000000005</v>
      </c>
      <c r="L490" s="114">
        <f>IFERROR(INDEX('Fuel Model - Summary'!AG$6:AG$26,MATCH($C490,'Fuel Model - Summary'!$F$6:$F$26,0)),0)</f>
        <v>76.026250000000005</v>
      </c>
      <c r="M490" s="114">
        <f>IFERROR(INDEX('Fuel Model - Summary'!AH$6:AH$26,MATCH($C490,'Fuel Model - Summary'!$F$6:$F$26,0)),0)</f>
        <v>76.026250000000005</v>
      </c>
      <c r="N490" s="114">
        <f>IFERROR(INDEX('Fuel Model - Summary'!AI$6:AI$26,MATCH($C490,'Fuel Model - Summary'!$F$6:$F$26,0)),0)</f>
        <v>76.026250000000005</v>
      </c>
      <c r="O490" s="114">
        <f>IFERROR(INDEX('Fuel Model - Summary'!AJ$6:AJ$26,MATCH($C490,'Fuel Model - Summary'!$F$6:$F$26,0)),0)</f>
        <v>76.026250000000005</v>
      </c>
      <c r="P490" s="114">
        <f>IFERROR(INDEX('Fuel Model - Summary'!AK$6:AK$26,MATCH($C490,'Fuel Model - Summary'!$F$6:$F$26,0)),0)</f>
        <v>76.026250000000005</v>
      </c>
      <c r="Q490" s="114">
        <f>IFERROR(INDEX('Fuel Model - Summary'!AL$6:AL$26,MATCH($C490,'Fuel Model - Summary'!$F$6:$F$26,0)),0)</f>
        <v>76.026250000000005</v>
      </c>
      <c r="R490" s="115">
        <f t="shared" ref="R490:V490" si="329">Q490</f>
        <v>76.026250000000005</v>
      </c>
      <c r="S490" s="115">
        <f t="shared" si="329"/>
        <v>76.026250000000005</v>
      </c>
      <c r="T490" s="115">
        <f t="shared" si="329"/>
        <v>76.026250000000005</v>
      </c>
      <c r="U490" s="115">
        <f t="shared" si="329"/>
        <v>76.026250000000005</v>
      </c>
      <c r="V490" s="115">
        <f t="shared" si="329"/>
        <v>76.026250000000005</v>
      </c>
    </row>
    <row r="491" spans="1:22" x14ac:dyDescent="0.2">
      <c r="A491" s="29">
        <f t="shared" ref="A491:A508" si="330">A490+1</f>
        <v>3</v>
      </c>
      <c r="B491" s="334" t="str">
        <f t="shared" si="326"/>
        <v>LPG - TTP CO2 emissions - kgCO2/GJ</v>
      </c>
      <c r="C491" t="str" cm="1">
        <f t="array" ref="C491">INDEX(list_AE_fuel,A491)</f>
        <v>LPG</v>
      </c>
      <c r="D491"/>
      <c r="E491"/>
      <c r="F491" t="str">
        <f t="shared" si="327"/>
        <v>TTP CO2 emissions - kgCO2/GJ</v>
      </c>
      <c r="G491" s="128"/>
      <c r="H491" s="412" t="str" cm="1">
        <f t="array" ref="H491">INDEX('Configurator Specs.'!$CG$5:$CG$24,A491)</f>
        <v>External</v>
      </c>
      <c r="I491" t="s">
        <v>602</v>
      </c>
      <c r="K491" s="114">
        <f>IFERROR(INDEX('Fuel Model - Summary'!AF$6:AF$26,MATCH($C491,'Fuel Model - Summary'!$F$6:$F$26,0)),0)</f>
        <v>66</v>
      </c>
      <c r="L491" s="114">
        <f>IFERROR(INDEX('Fuel Model - Summary'!AG$6:AG$26,MATCH($C491,'Fuel Model - Summary'!$F$6:$F$26,0)),0)</f>
        <v>66</v>
      </c>
      <c r="M491" s="114">
        <f>IFERROR(INDEX('Fuel Model - Summary'!AH$6:AH$26,MATCH($C491,'Fuel Model - Summary'!$F$6:$F$26,0)),0)</f>
        <v>66</v>
      </c>
      <c r="N491" s="114">
        <f>IFERROR(INDEX('Fuel Model - Summary'!AI$6:AI$26,MATCH($C491,'Fuel Model - Summary'!$F$6:$F$26,0)),0)</f>
        <v>66</v>
      </c>
      <c r="O491" s="114">
        <f>IFERROR(INDEX('Fuel Model - Summary'!AJ$6:AJ$26,MATCH($C491,'Fuel Model - Summary'!$F$6:$F$26,0)),0)</f>
        <v>66</v>
      </c>
      <c r="P491" s="114">
        <f>IFERROR(INDEX('Fuel Model - Summary'!AK$6:AK$26,MATCH($C491,'Fuel Model - Summary'!$F$6:$F$26,0)),0)</f>
        <v>66</v>
      </c>
      <c r="Q491" s="114">
        <f>IFERROR(INDEX('Fuel Model - Summary'!AL$6:AL$26,MATCH($C491,'Fuel Model - Summary'!$F$6:$F$26,0)),0)</f>
        <v>66</v>
      </c>
      <c r="R491" s="115">
        <f t="shared" ref="R491:V491" si="331">Q491</f>
        <v>66</v>
      </c>
      <c r="S491" s="115">
        <f t="shared" si="331"/>
        <v>66</v>
      </c>
      <c r="T491" s="115">
        <f t="shared" si="331"/>
        <v>66</v>
      </c>
      <c r="U491" s="115">
        <f t="shared" si="331"/>
        <v>66</v>
      </c>
      <c r="V491" s="115">
        <f t="shared" si="331"/>
        <v>66</v>
      </c>
    </row>
    <row r="492" spans="1:22" x14ac:dyDescent="0.2">
      <c r="A492" s="29">
        <f t="shared" si="330"/>
        <v>4</v>
      </c>
      <c r="B492" s="334" t="str">
        <f t="shared" si="326"/>
        <v>Electricity - TTP CO2 emissions - kgCO2/GJ</v>
      </c>
      <c r="C492" t="str" cm="1">
        <f t="array" ref="C492">INDEX(list_AE_fuel,A492)</f>
        <v>Electricity</v>
      </c>
      <c r="D492"/>
      <c r="E492"/>
      <c r="F492" t="str">
        <f t="shared" si="327"/>
        <v>TTP CO2 emissions - kgCO2/GJ</v>
      </c>
      <c r="G492" s="128"/>
      <c r="H492" s="412" t="str" cm="1">
        <f t="array" ref="H492">INDEX('Configurator Specs.'!$CG$5:$CG$24,A492)</f>
        <v>External</v>
      </c>
      <c r="I492" t="s">
        <v>602</v>
      </c>
      <c r="K492" s="114">
        <f>IFERROR(INDEX('Fuel Model - Summary'!AF$6:AF$26,MATCH($C492,'Fuel Model - Summary'!$F$6:$F$26,0)),0)</f>
        <v>0</v>
      </c>
      <c r="L492" s="114">
        <f>IFERROR(INDEX('Fuel Model - Summary'!AG$6:AG$26,MATCH($C492,'Fuel Model - Summary'!$F$6:$F$26,0)),0)</f>
        <v>0</v>
      </c>
      <c r="M492" s="114">
        <f>IFERROR(INDEX('Fuel Model - Summary'!AH$6:AH$26,MATCH($C492,'Fuel Model - Summary'!$F$6:$F$26,0)),0)</f>
        <v>0</v>
      </c>
      <c r="N492" s="114">
        <f>IFERROR(INDEX('Fuel Model - Summary'!AI$6:AI$26,MATCH($C492,'Fuel Model - Summary'!$F$6:$F$26,0)),0)</f>
        <v>0</v>
      </c>
      <c r="O492" s="114">
        <f>IFERROR(INDEX('Fuel Model - Summary'!AJ$6:AJ$26,MATCH($C492,'Fuel Model - Summary'!$F$6:$F$26,0)),0)</f>
        <v>0</v>
      </c>
      <c r="P492" s="114">
        <f>IFERROR(INDEX('Fuel Model - Summary'!AK$6:AK$26,MATCH($C492,'Fuel Model - Summary'!$F$6:$F$26,0)),0)</f>
        <v>0</v>
      </c>
      <c r="Q492" s="114">
        <f>IFERROR(INDEX('Fuel Model - Summary'!AL$6:AL$26,MATCH($C492,'Fuel Model - Summary'!$F$6:$F$26,0)),0)</f>
        <v>0</v>
      </c>
      <c r="R492" s="115">
        <f t="shared" ref="R492:V492" si="332">Q492</f>
        <v>0</v>
      </c>
      <c r="S492" s="115">
        <f t="shared" si="332"/>
        <v>0</v>
      </c>
      <c r="T492" s="115">
        <f t="shared" si="332"/>
        <v>0</v>
      </c>
      <c r="U492" s="115">
        <f t="shared" si="332"/>
        <v>0</v>
      </c>
      <c r="V492" s="115">
        <f t="shared" si="332"/>
        <v>0</v>
      </c>
    </row>
    <row r="493" spans="1:22" x14ac:dyDescent="0.2">
      <c r="A493" s="29">
        <f t="shared" si="330"/>
        <v>5</v>
      </c>
      <c r="B493" s="334" t="str">
        <f t="shared" si="326"/>
        <v>e-Ammonia - TTP CO2 emissions - kgCO2/GJ</v>
      </c>
      <c r="C493" t="str" cm="1">
        <f t="array" ref="C493">INDEX(list_AE_fuel,A493)</f>
        <v>e-Ammonia</v>
      </c>
      <c r="D493"/>
      <c r="E493"/>
      <c r="F493" t="str">
        <f t="shared" si="327"/>
        <v>TTP CO2 emissions - kgCO2/GJ</v>
      </c>
      <c r="G493" s="226"/>
      <c r="H493" s="412" t="str" cm="1">
        <f t="array" ref="H493">INDEX('Configurator Specs.'!$CG$5:$CG$24,A493)</f>
        <v>Modeled</v>
      </c>
      <c r="I493" t="s">
        <v>602</v>
      </c>
      <c r="K493" s="114">
        <f>IFERROR(INDEX('Fuel Model - Summary'!AF$6:AF$26,MATCH($C493,'Fuel Model - Summary'!$F$6:$F$26,0)),0)</f>
        <v>0</v>
      </c>
      <c r="L493" s="114">
        <f>IFERROR(INDEX('Fuel Model - Summary'!AG$6:AG$26,MATCH($C493,'Fuel Model - Summary'!$F$6:$F$26,0)),0)</f>
        <v>0</v>
      </c>
      <c r="M493" s="114">
        <f>IFERROR(INDEX('Fuel Model - Summary'!AH$6:AH$26,MATCH($C493,'Fuel Model - Summary'!$F$6:$F$26,0)),0)</f>
        <v>0</v>
      </c>
      <c r="N493" s="114">
        <f>IFERROR(INDEX('Fuel Model - Summary'!AI$6:AI$26,MATCH($C493,'Fuel Model - Summary'!$F$6:$F$26,0)),0)</f>
        <v>0</v>
      </c>
      <c r="O493" s="114">
        <f>IFERROR(INDEX('Fuel Model - Summary'!AJ$6:AJ$26,MATCH($C493,'Fuel Model - Summary'!$F$6:$F$26,0)),0)</f>
        <v>0</v>
      </c>
      <c r="P493" s="114">
        <f>IFERROR(INDEX('Fuel Model - Summary'!AK$6:AK$26,MATCH($C493,'Fuel Model - Summary'!$F$6:$F$26,0)),0)</f>
        <v>0</v>
      </c>
      <c r="Q493" s="114">
        <f>IFERROR(INDEX('Fuel Model - Summary'!AL$6:AL$26,MATCH($C493,'Fuel Model - Summary'!$F$6:$F$26,0)),0)</f>
        <v>0</v>
      </c>
      <c r="R493" s="115">
        <f t="shared" ref="R493:V493" si="333">Q493</f>
        <v>0</v>
      </c>
      <c r="S493" s="115">
        <f t="shared" si="333"/>
        <v>0</v>
      </c>
      <c r="T493" s="115">
        <f t="shared" si="333"/>
        <v>0</v>
      </c>
      <c r="U493" s="115">
        <f t="shared" si="333"/>
        <v>0</v>
      </c>
      <c r="V493" s="115">
        <f t="shared" si="333"/>
        <v>0</v>
      </c>
    </row>
    <row r="494" spans="1:22" x14ac:dyDescent="0.2">
      <c r="A494" s="29">
        <f t="shared" si="330"/>
        <v>6</v>
      </c>
      <c r="B494" s="334" t="str">
        <f t="shared" si="326"/>
        <v>Blue ammonia - TTP CO2 emissions - kgCO2/GJ</v>
      </c>
      <c r="C494" t="str" cm="1">
        <f t="array" ref="C494">INDEX(list_AE_fuel,A494)</f>
        <v>Blue ammonia</v>
      </c>
      <c r="D494"/>
      <c r="E494"/>
      <c r="F494" t="str">
        <f t="shared" si="327"/>
        <v>TTP CO2 emissions - kgCO2/GJ</v>
      </c>
      <c r="G494" s="226"/>
      <c r="H494" s="412" t="str" cm="1">
        <f t="array" ref="H494">INDEX('Configurator Specs.'!$CG$5:$CG$24,A494)</f>
        <v>Modeled</v>
      </c>
      <c r="I494" t="s">
        <v>602</v>
      </c>
      <c r="K494" s="114">
        <f>IFERROR(INDEX('Fuel Model - Summary'!AF$6:AF$26,MATCH($C494,'Fuel Model - Summary'!$F$6:$F$26,0)),0)</f>
        <v>0</v>
      </c>
      <c r="L494" s="114">
        <f>IFERROR(INDEX('Fuel Model - Summary'!AG$6:AG$26,MATCH($C494,'Fuel Model - Summary'!$F$6:$F$26,0)),0)</f>
        <v>0</v>
      </c>
      <c r="M494" s="114">
        <f>IFERROR(INDEX('Fuel Model - Summary'!AH$6:AH$26,MATCH($C494,'Fuel Model - Summary'!$F$6:$F$26,0)),0)</f>
        <v>0</v>
      </c>
      <c r="N494" s="114">
        <f>IFERROR(INDEX('Fuel Model - Summary'!AI$6:AI$26,MATCH($C494,'Fuel Model - Summary'!$F$6:$F$26,0)),0)</f>
        <v>0</v>
      </c>
      <c r="O494" s="114">
        <f>IFERROR(INDEX('Fuel Model - Summary'!AJ$6:AJ$26,MATCH($C494,'Fuel Model - Summary'!$F$6:$F$26,0)),0)</f>
        <v>0</v>
      </c>
      <c r="P494" s="114">
        <f>IFERROR(INDEX('Fuel Model - Summary'!AK$6:AK$26,MATCH($C494,'Fuel Model - Summary'!$F$6:$F$26,0)),0)</f>
        <v>0</v>
      </c>
      <c r="Q494" s="114">
        <f>IFERROR(INDEX('Fuel Model - Summary'!AL$6:AL$26,MATCH($C494,'Fuel Model - Summary'!$F$6:$F$26,0)),0)</f>
        <v>0</v>
      </c>
      <c r="R494" s="115">
        <f t="shared" ref="R494:V494" si="334">Q494</f>
        <v>0</v>
      </c>
      <c r="S494" s="115">
        <f t="shared" si="334"/>
        <v>0</v>
      </c>
      <c r="T494" s="115">
        <f t="shared" si="334"/>
        <v>0</v>
      </c>
      <c r="U494" s="115">
        <f t="shared" si="334"/>
        <v>0</v>
      </c>
      <c r="V494" s="115">
        <f t="shared" si="334"/>
        <v>0</v>
      </c>
    </row>
    <row r="495" spans="1:22" x14ac:dyDescent="0.2">
      <c r="A495" s="29">
        <f t="shared" si="330"/>
        <v>7</v>
      </c>
      <c r="B495" s="334" t="str">
        <f t="shared" si="326"/>
        <v>Biomethane - TTP CO2 emissions - kgCO2/GJ</v>
      </c>
      <c r="C495" t="str" cm="1">
        <f t="array" ref="C495">INDEX(list_AE_fuel,A495)</f>
        <v>Biomethane</v>
      </c>
      <c r="D495"/>
      <c r="E495"/>
      <c r="F495" t="str">
        <f t="shared" si="327"/>
        <v>TTP CO2 emissions - kgCO2/GJ</v>
      </c>
      <c r="G495"/>
      <c r="H495" s="412" t="str" cm="1">
        <f t="array" ref="H495">INDEX('Configurator Specs.'!$CG$5:$CG$24,A495)</f>
        <v>Modeled</v>
      </c>
      <c r="I495" t="s">
        <v>602</v>
      </c>
      <c r="K495" s="114">
        <f>IFERROR(INDEX('Fuel Model - Summary'!AF$6:AF$26,MATCH($C495,'Fuel Model - Summary'!$F$6:$F$26,0)),0)</f>
        <v>72.985200000000006</v>
      </c>
      <c r="L495" s="114">
        <f>IFERROR(INDEX('Fuel Model - Summary'!AG$6:AG$26,MATCH($C495,'Fuel Model - Summary'!$F$6:$F$26,0)),0)</f>
        <v>72.985200000000006</v>
      </c>
      <c r="M495" s="114">
        <f>IFERROR(INDEX('Fuel Model - Summary'!AH$6:AH$26,MATCH($C495,'Fuel Model - Summary'!$F$6:$F$26,0)),0)</f>
        <v>72.985200000000006</v>
      </c>
      <c r="N495" s="114">
        <f>IFERROR(INDEX('Fuel Model - Summary'!AI$6:AI$26,MATCH($C495,'Fuel Model - Summary'!$F$6:$F$26,0)),0)</f>
        <v>72.985200000000006</v>
      </c>
      <c r="O495" s="114">
        <f>IFERROR(INDEX('Fuel Model - Summary'!AJ$6:AJ$26,MATCH($C495,'Fuel Model - Summary'!$F$6:$F$26,0)),0)</f>
        <v>72.985200000000006</v>
      </c>
      <c r="P495" s="114">
        <f>IFERROR(INDEX('Fuel Model - Summary'!AK$6:AK$26,MATCH($C495,'Fuel Model - Summary'!$F$6:$F$26,0)),0)</f>
        <v>72.985200000000006</v>
      </c>
      <c r="Q495" s="114">
        <f>IFERROR(INDEX('Fuel Model - Summary'!AL$6:AL$26,MATCH($C495,'Fuel Model - Summary'!$F$6:$F$26,0)),0)</f>
        <v>72.985200000000006</v>
      </c>
      <c r="R495" s="115">
        <f t="shared" ref="R495:V495" si="335">Q495</f>
        <v>72.985200000000006</v>
      </c>
      <c r="S495" s="115">
        <f t="shared" si="335"/>
        <v>72.985200000000006</v>
      </c>
      <c r="T495" s="115">
        <f t="shared" si="335"/>
        <v>72.985200000000006</v>
      </c>
      <c r="U495" s="115">
        <f t="shared" si="335"/>
        <v>72.985200000000006</v>
      </c>
      <c r="V495" s="115">
        <f t="shared" si="335"/>
        <v>72.985200000000006</v>
      </c>
    </row>
    <row r="496" spans="1:22" x14ac:dyDescent="0.2">
      <c r="A496" s="29">
        <f t="shared" si="330"/>
        <v>8</v>
      </c>
      <c r="B496" s="334" t="str">
        <f t="shared" si="326"/>
        <v>e-Methane (DAC) - TTP CO2 emissions - kgCO2/GJ</v>
      </c>
      <c r="C496" t="str" cm="1">
        <f t="array" ref="C496">INDEX(list_AE_fuel,A496)</f>
        <v>e-Methane (DAC)</v>
      </c>
      <c r="D496"/>
      <c r="E496"/>
      <c r="F496" t="str">
        <f t="shared" si="327"/>
        <v>TTP CO2 emissions - kgCO2/GJ</v>
      </c>
      <c r="G496" s="226"/>
      <c r="H496" s="412" t="str" cm="1">
        <f t="array" ref="H496">INDEX('Configurator Specs.'!$CG$5:$CG$24,A496)</f>
        <v>Modeled</v>
      </c>
      <c r="I496" t="s">
        <v>602</v>
      </c>
      <c r="K496" s="114">
        <f>IFERROR(INDEX('Fuel Model - Summary'!AF$6:AF$26,MATCH($C496,'Fuel Model - Summary'!$F$6:$F$26,0)),0)</f>
        <v>72.985200000000006</v>
      </c>
      <c r="L496" s="114">
        <f>IFERROR(INDEX('Fuel Model - Summary'!AG$6:AG$26,MATCH($C496,'Fuel Model - Summary'!$F$6:$F$26,0)),0)</f>
        <v>72.985200000000006</v>
      </c>
      <c r="M496" s="114">
        <f>IFERROR(INDEX('Fuel Model - Summary'!AH$6:AH$26,MATCH($C496,'Fuel Model - Summary'!$F$6:$F$26,0)),0)</f>
        <v>72.985200000000006</v>
      </c>
      <c r="N496" s="114">
        <f>IFERROR(INDEX('Fuel Model - Summary'!AI$6:AI$26,MATCH($C496,'Fuel Model - Summary'!$F$6:$F$26,0)),0)</f>
        <v>72.985200000000006</v>
      </c>
      <c r="O496" s="114">
        <f>IFERROR(INDEX('Fuel Model - Summary'!AJ$6:AJ$26,MATCH($C496,'Fuel Model - Summary'!$F$6:$F$26,0)),0)</f>
        <v>72.985200000000006</v>
      </c>
      <c r="P496" s="114">
        <f>IFERROR(INDEX('Fuel Model - Summary'!AK$6:AK$26,MATCH($C496,'Fuel Model - Summary'!$F$6:$F$26,0)),0)</f>
        <v>72.985200000000006</v>
      </c>
      <c r="Q496" s="114">
        <f>IFERROR(INDEX('Fuel Model - Summary'!AL$6:AL$26,MATCH($C496,'Fuel Model - Summary'!$F$6:$F$26,0)),0)</f>
        <v>72.985200000000006</v>
      </c>
      <c r="R496" s="115">
        <f t="shared" ref="R496:V496" si="336">Q496</f>
        <v>72.985200000000006</v>
      </c>
      <c r="S496" s="115">
        <f t="shared" si="336"/>
        <v>72.985200000000006</v>
      </c>
      <c r="T496" s="115">
        <f t="shared" si="336"/>
        <v>72.985200000000006</v>
      </c>
      <c r="U496" s="115">
        <f t="shared" si="336"/>
        <v>72.985200000000006</v>
      </c>
      <c r="V496" s="115">
        <f t="shared" si="336"/>
        <v>72.985200000000006</v>
      </c>
    </row>
    <row r="497" spans="1:22" x14ac:dyDescent="0.2">
      <c r="A497" s="29">
        <f t="shared" si="330"/>
        <v>9</v>
      </c>
      <c r="B497" s="334" t="str">
        <f t="shared" si="326"/>
        <v>e-Methane (PS) - TTP CO2 emissions - kgCO2/GJ</v>
      </c>
      <c r="C497" t="str" cm="1">
        <f t="array" ref="C497">INDEX(list_AE_fuel,A497)</f>
        <v>e-Methane (PS)</v>
      </c>
      <c r="D497"/>
      <c r="E497"/>
      <c r="F497" t="str">
        <f t="shared" si="327"/>
        <v>TTP CO2 emissions - kgCO2/GJ</v>
      </c>
      <c r="G497" s="226"/>
      <c r="H497" s="412" t="str" cm="1">
        <f t="array" ref="H497">INDEX('Configurator Specs.'!$CG$5:$CG$24,A497)</f>
        <v>Modeled</v>
      </c>
      <c r="I497" t="s">
        <v>602</v>
      </c>
      <c r="K497" s="114">
        <f>IFERROR(INDEX('Fuel Model - Summary'!AF$6:AF$26,MATCH($C497,'Fuel Model - Summary'!$F$6:$F$26,0)),0)</f>
        <v>72.985200000000006</v>
      </c>
      <c r="L497" s="114">
        <f>IFERROR(INDEX('Fuel Model - Summary'!AG$6:AG$26,MATCH($C497,'Fuel Model - Summary'!$F$6:$F$26,0)),0)</f>
        <v>72.985200000000006</v>
      </c>
      <c r="M497" s="114">
        <f>IFERROR(INDEX('Fuel Model - Summary'!AH$6:AH$26,MATCH($C497,'Fuel Model - Summary'!$F$6:$F$26,0)),0)</f>
        <v>72.985200000000006</v>
      </c>
      <c r="N497" s="114">
        <f>IFERROR(INDEX('Fuel Model - Summary'!AI$6:AI$26,MATCH($C497,'Fuel Model - Summary'!$F$6:$F$26,0)),0)</f>
        <v>72.985200000000006</v>
      </c>
      <c r="O497" s="114">
        <f>IFERROR(INDEX('Fuel Model - Summary'!AJ$6:AJ$26,MATCH($C497,'Fuel Model - Summary'!$F$6:$F$26,0)),0)</f>
        <v>72.985200000000006</v>
      </c>
      <c r="P497" s="114">
        <f>IFERROR(INDEX('Fuel Model - Summary'!AK$6:AK$26,MATCH($C497,'Fuel Model - Summary'!$F$6:$F$26,0)),0)</f>
        <v>72.985200000000006</v>
      </c>
      <c r="Q497" s="114">
        <f>IFERROR(INDEX('Fuel Model - Summary'!AL$6:AL$26,MATCH($C497,'Fuel Model - Summary'!$F$6:$F$26,0)),0)</f>
        <v>72.985200000000006</v>
      </c>
      <c r="R497" s="115">
        <f t="shared" ref="R497:V497" si="337">Q497</f>
        <v>72.985200000000006</v>
      </c>
      <c r="S497" s="115">
        <f t="shared" si="337"/>
        <v>72.985200000000006</v>
      </c>
      <c r="T497" s="115">
        <f t="shared" si="337"/>
        <v>72.985200000000006</v>
      </c>
      <c r="U497" s="115">
        <f t="shared" si="337"/>
        <v>72.985200000000006</v>
      </c>
      <c r="V497" s="115">
        <f t="shared" si="337"/>
        <v>72.985200000000006</v>
      </c>
    </row>
    <row r="498" spans="1:22" x14ac:dyDescent="0.2">
      <c r="A498" s="29">
        <f t="shared" si="330"/>
        <v>10</v>
      </c>
      <c r="B498" s="334" t="str">
        <f t="shared" si="326"/>
        <v>Biomethanol - TTP CO2 emissions - kgCO2/GJ</v>
      </c>
      <c r="C498" t="str" cm="1">
        <f t="array" ref="C498">INDEX(list_AE_fuel,A498)</f>
        <v>Biomethanol</v>
      </c>
      <c r="D498"/>
      <c r="E498"/>
      <c r="F498" t="str">
        <f t="shared" si="327"/>
        <v>TTP CO2 emissions - kgCO2/GJ</v>
      </c>
      <c r="G498"/>
      <c r="H498" s="412" t="str" cm="1">
        <f t="array" ref="H498">INDEX('Configurator Specs.'!$CG$5:$CG$24,A498)</f>
        <v>Modeled</v>
      </c>
      <c r="I498" t="s">
        <v>602</v>
      </c>
      <c r="K498" s="114">
        <f>IFERROR(INDEX('Fuel Model - Summary'!AF$6:AF$26,MATCH($C498,'Fuel Model - Summary'!$F$6:$F$26,0)),0)</f>
        <v>69.095477386934675</v>
      </c>
      <c r="L498" s="114">
        <f>IFERROR(INDEX('Fuel Model - Summary'!AG$6:AG$26,MATCH($C498,'Fuel Model - Summary'!$F$6:$F$26,0)),0)</f>
        <v>69.095477386934675</v>
      </c>
      <c r="M498" s="114">
        <f>IFERROR(INDEX('Fuel Model - Summary'!AH$6:AH$26,MATCH($C498,'Fuel Model - Summary'!$F$6:$F$26,0)),0)</f>
        <v>69.095477386934675</v>
      </c>
      <c r="N498" s="114">
        <f>IFERROR(INDEX('Fuel Model - Summary'!AI$6:AI$26,MATCH($C498,'Fuel Model - Summary'!$F$6:$F$26,0)),0)</f>
        <v>69.095477386934675</v>
      </c>
      <c r="O498" s="114">
        <f>IFERROR(INDEX('Fuel Model - Summary'!AJ$6:AJ$26,MATCH($C498,'Fuel Model - Summary'!$F$6:$F$26,0)),0)</f>
        <v>69.095477386934675</v>
      </c>
      <c r="P498" s="114">
        <f>IFERROR(INDEX('Fuel Model - Summary'!AK$6:AK$26,MATCH($C498,'Fuel Model - Summary'!$F$6:$F$26,0)),0)</f>
        <v>69.095477386934675</v>
      </c>
      <c r="Q498" s="114">
        <f>IFERROR(INDEX('Fuel Model - Summary'!AL$6:AL$26,MATCH($C498,'Fuel Model - Summary'!$F$6:$F$26,0)),0)</f>
        <v>69.095477386934675</v>
      </c>
      <c r="R498" s="115">
        <f t="shared" ref="R498:V498" si="338">Q498</f>
        <v>69.095477386934675</v>
      </c>
      <c r="S498" s="115">
        <f t="shared" si="338"/>
        <v>69.095477386934675</v>
      </c>
      <c r="T498" s="115">
        <f t="shared" si="338"/>
        <v>69.095477386934675</v>
      </c>
      <c r="U498" s="115">
        <f t="shared" si="338"/>
        <v>69.095477386934675</v>
      </c>
      <c r="V498" s="115">
        <f t="shared" si="338"/>
        <v>69.095477386934675</v>
      </c>
    </row>
    <row r="499" spans="1:22" x14ac:dyDescent="0.2">
      <c r="A499" s="29">
        <f t="shared" si="330"/>
        <v>11</v>
      </c>
      <c r="B499" s="334" t="str">
        <f t="shared" si="326"/>
        <v>e-Methanol (DAC) - TTP CO2 emissions - kgCO2/GJ</v>
      </c>
      <c r="C499" t="str" cm="1">
        <f t="array" ref="C499">INDEX(list_AE_fuel,A499)</f>
        <v>e-Methanol (DAC)</v>
      </c>
      <c r="D499"/>
      <c r="E499"/>
      <c r="F499" t="str">
        <f t="shared" si="327"/>
        <v>TTP CO2 emissions - kgCO2/GJ</v>
      </c>
      <c r="G499"/>
      <c r="H499" s="412" t="str" cm="1">
        <f t="array" ref="H499">INDEX('Configurator Specs.'!$CG$5:$CG$24,A499)</f>
        <v>Modeled</v>
      </c>
      <c r="I499" t="s">
        <v>602</v>
      </c>
      <c r="K499" s="114">
        <f>IFERROR(INDEX('Fuel Model - Summary'!AF$6:AF$26,MATCH($C499,'Fuel Model - Summary'!$F$6:$F$26,0)),0)</f>
        <v>69.095477386934675</v>
      </c>
      <c r="L499" s="114">
        <f>IFERROR(INDEX('Fuel Model - Summary'!AG$6:AG$26,MATCH($C499,'Fuel Model - Summary'!$F$6:$F$26,0)),0)</f>
        <v>69.095477386934675</v>
      </c>
      <c r="M499" s="114">
        <f>IFERROR(INDEX('Fuel Model - Summary'!AH$6:AH$26,MATCH($C499,'Fuel Model - Summary'!$F$6:$F$26,0)),0)</f>
        <v>69.095477386934675</v>
      </c>
      <c r="N499" s="114">
        <f>IFERROR(INDEX('Fuel Model - Summary'!AI$6:AI$26,MATCH($C499,'Fuel Model - Summary'!$F$6:$F$26,0)),0)</f>
        <v>69.095477386934675</v>
      </c>
      <c r="O499" s="114">
        <f>IFERROR(INDEX('Fuel Model - Summary'!AJ$6:AJ$26,MATCH($C499,'Fuel Model - Summary'!$F$6:$F$26,0)),0)</f>
        <v>69.095477386934675</v>
      </c>
      <c r="P499" s="114">
        <f>IFERROR(INDEX('Fuel Model - Summary'!AK$6:AK$26,MATCH($C499,'Fuel Model - Summary'!$F$6:$F$26,0)),0)</f>
        <v>69.095477386934675</v>
      </c>
      <c r="Q499" s="114">
        <f>IFERROR(INDEX('Fuel Model - Summary'!AL$6:AL$26,MATCH($C499,'Fuel Model - Summary'!$F$6:$F$26,0)),0)</f>
        <v>69.095477386934675</v>
      </c>
      <c r="R499" s="115">
        <f t="shared" ref="R499:V499" si="339">Q499</f>
        <v>69.095477386934675</v>
      </c>
      <c r="S499" s="115">
        <f t="shared" si="339"/>
        <v>69.095477386934675</v>
      </c>
      <c r="T499" s="115">
        <f t="shared" si="339"/>
        <v>69.095477386934675</v>
      </c>
      <c r="U499" s="115">
        <f t="shared" si="339"/>
        <v>69.095477386934675</v>
      </c>
      <c r="V499" s="115">
        <f t="shared" si="339"/>
        <v>69.095477386934675</v>
      </c>
    </row>
    <row r="500" spans="1:22" x14ac:dyDescent="0.2">
      <c r="A500" s="29">
        <f t="shared" si="330"/>
        <v>12</v>
      </c>
      <c r="B500" s="334" t="str">
        <f t="shared" si="326"/>
        <v>e-Methanol (PS) - TTP CO2 emissions - kgCO2/GJ</v>
      </c>
      <c r="C500" t="str" cm="1">
        <f t="array" ref="C500">INDEX(list_AE_fuel,A500)</f>
        <v>e-Methanol (PS)</v>
      </c>
      <c r="D500"/>
      <c r="E500"/>
      <c r="F500" t="str">
        <f t="shared" si="327"/>
        <v>TTP CO2 emissions - kgCO2/GJ</v>
      </c>
      <c r="G500"/>
      <c r="H500" s="412" t="str" cm="1">
        <f t="array" ref="H500">INDEX('Configurator Specs.'!$CG$5:$CG$24,A500)</f>
        <v>Modeled</v>
      </c>
      <c r="I500" t="s">
        <v>602</v>
      </c>
      <c r="K500" s="114">
        <f>IFERROR(INDEX('Fuel Model - Summary'!AF$6:AF$26,MATCH($C500,'Fuel Model - Summary'!$F$6:$F$26,0)),0)</f>
        <v>69.095477386934675</v>
      </c>
      <c r="L500" s="114">
        <f>IFERROR(INDEX('Fuel Model - Summary'!AG$6:AG$26,MATCH($C500,'Fuel Model - Summary'!$F$6:$F$26,0)),0)</f>
        <v>69.095477386934675</v>
      </c>
      <c r="M500" s="114">
        <f>IFERROR(INDEX('Fuel Model - Summary'!AH$6:AH$26,MATCH($C500,'Fuel Model - Summary'!$F$6:$F$26,0)),0)</f>
        <v>69.095477386934675</v>
      </c>
      <c r="N500" s="114">
        <f>IFERROR(INDEX('Fuel Model - Summary'!AI$6:AI$26,MATCH($C500,'Fuel Model - Summary'!$F$6:$F$26,0)),0)</f>
        <v>69.095477386934675</v>
      </c>
      <c r="O500" s="114">
        <f>IFERROR(INDEX('Fuel Model - Summary'!AJ$6:AJ$26,MATCH($C500,'Fuel Model - Summary'!$F$6:$F$26,0)),0)</f>
        <v>69.095477386934675</v>
      </c>
      <c r="P500" s="114">
        <f>IFERROR(INDEX('Fuel Model - Summary'!AK$6:AK$26,MATCH($C500,'Fuel Model - Summary'!$F$6:$F$26,0)),0)</f>
        <v>69.095477386934675</v>
      </c>
      <c r="Q500" s="114">
        <f>IFERROR(INDEX('Fuel Model - Summary'!AL$6:AL$26,MATCH($C500,'Fuel Model - Summary'!$F$6:$F$26,0)),0)</f>
        <v>69.095477386934675</v>
      </c>
      <c r="R500" s="115">
        <f t="shared" ref="R500:V500" si="340">Q500</f>
        <v>69.095477386934675</v>
      </c>
      <c r="S500" s="115">
        <f t="shared" si="340"/>
        <v>69.095477386934675</v>
      </c>
      <c r="T500" s="115">
        <f t="shared" si="340"/>
        <v>69.095477386934675</v>
      </c>
      <c r="U500" s="115">
        <f t="shared" si="340"/>
        <v>69.095477386934675</v>
      </c>
      <c r="V500" s="115">
        <f t="shared" si="340"/>
        <v>69.095477386934675</v>
      </c>
    </row>
    <row r="501" spans="1:22" x14ac:dyDescent="0.2">
      <c r="A501" s="29">
        <f t="shared" si="330"/>
        <v>13</v>
      </c>
      <c r="B501" s="334" t="str">
        <f t="shared" si="326"/>
        <v>Biodiesel (HtL) - TTP CO2 emissions - kgCO2/GJ</v>
      </c>
      <c r="C501" t="str" cm="1">
        <f t="array" ref="C501">INDEX(list_AE_fuel,A501)</f>
        <v>Biodiesel (HtL)</v>
      </c>
      <c r="D501"/>
      <c r="E501"/>
      <c r="F501" t="str">
        <f t="shared" si="327"/>
        <v>TTP CO2 emissions - kgCO2/GJ</v>
      </c>
      <c r="G501"/>
      <c r="H501" s="412" t="str" cm="1">
        <f t="array" ref="H501">INDEX('Configurator Specs.'!$CG$5:$CG$24,A501)</f>
        <v>Modeled</v>
      </c>
      <c r="I501" t="s">
        <v>602</v>
      </c>
      <c r="K501" s="114">
        <f>IFERROR(INDEX('Fuel Model - Summary'!AF$6:AF$26,MATCH($C501,'Fuel Model - Summary'!$F$6:$F$26,0)),0)</f>
        <v>76.237236533957855</v>
      </c>
      <c r="L501" s="114">
        <f>IFERROR(INDEX('Fuel Model - Summary'!AG$6:AG$26,MATCH($C501,'Fuel Model - Summary'!$F$6:$F$26,0)),0)</f>
        <v>76.237236533957855</v>
      </c>
      <c r="M501" s="114">
        <f>IFERROR(INDEX('Fuel Model - Summary'!AH$6:AH$26,MATCH($C501,'Fuel Model - Summary'!$F$6:$F$26,0)),0)</f>
        <v>76.237236533957855</v>
      </c>
      <c r="N501" s="114">
        <f>IFERROR(INDEX('Fuel Model - Summary'!AI$6:AI$26,MATCH($C501,'Fuel Model - Summary'!$F$6:$F$26,0)),0)</f>
        <v>76.237236533957855</v>
      </c>
      <c r="O501" s="114">
        <f>IFERROR(INDEX('Fuel Model - Summary'!AJ$6:AJ$26,MATCH($C501,'Fuel Model - Summary'!$F$6:$F$26,0)),0)</f>
        <v>76.237236533957855</v>
      </c>
      <c r="P501" s="114">
        <f>IFERROR(INDEX('Fuel Model - Summary'!AK$6:AK$26,MATCH($C501,'Fuel Model - Summary'!$F$6:$F$26,0)),0)</f>
        <v>76.237236533957855</v>
      </c>
      <c r="Q501" s="114">
        <f>IFERROR(INDEX('Fuel Model - Summary'!AL$6:AL$26,MATCH($C501,'Fuel Model - Summary'!$F$6:$F$26,0)),0)</f>
        <v>76.237236533957855</v>
      </c>
      <c r="R501" s="115">
        <f t="shared" ref="R501:V501" si="341">Q501</f>
        <v>76.237236533957855</v>
      </c>
      <c r="S501" s="115">
        <f t="shared" si="341"/>
        <v>76.237236533957855</v>
      </c>
      <c r="T501" s="115">
        <f t="shared" si="341"/>
        <v>76.237236533957855</v>
      </c>
      <c r="U501" s="115">
        <f t="shared" si="341"/>
        <v>76.237236533957855</v>
      </c>
      <c r="V501" s="115">
        <f t="shared" si="341"/>
        <v>76.237236533957855</v>
      </c>
    </row>
    <row r="502" spans="1:22" x14ac:dyDescent="0.2">
      <c r="A502" s="29">
        <f t="shared" si="330"/>
        <v>14</v>
      </c>
      <c r="B502" s="334" t="str">
        <f t="shared" si="326"/>
        <v>Biodiesel (Pyr) - TTP CO2 emissions - kgCO2/GJ</v>
      </c>
      <c r="C502" t="str" cm="1">
        <f t="array" ref="C502">INDEX(list_AE_fuel,A502)</f>
        <v>Biodiesel (Pyr)</v>
      </c>
      <c r="D502"/>
      <c r="E502"/>
      <c r="F502" t="str">
        <f t="shared" si="327"/>
        <v>TTP CO2 emissions - kgCO2/GJ</v>
      </c>
      <c r="G502"/>
      <c r="H502" s="412" t="str" cm="1">
        <f t="array" ref="H502">INDEX('Configurator Specs.'!$CG$5:$CG$24,A502)</f>
        <v>Modeled</v>
      </c>
      <c r="I502" t="s">
        <v>602</v>
      </c>
      <c r="K502" s="114">
        <f>IFERROR(INDEX('Fuel Model - Summary'!AF$6:AF$26,MATCH($C502,'Fuel Model - Summary'!$F$6:$F$26,0)),0)</f>
        <v>76.237236533957855</v>
      </c>
      <c r="L502" s="114">
        <f>IFERROR(INDEX('Fuel Model - Summary'!AG$6:AG$26,MATCH($C502,'Fuel Model - Summary'!$F$6:$F$26,0)),0)</f>
        <v>76.237236533957855</v>
      </c>
      <c r="M502" s="114">
        <f>IFERROR(INDEX('Fuel Model - Summary'!AH$6:AH$26,MATCH($C502,'Fuel Model - Summary'!$F$6:$F$26,0)),0)</f>
        <v>76.237236533957855</v>
      </c>
      <c r="N502" s="114">
        <f>IFERROR(INDEX('Fuel Model - Summary'!AI$6:AI$26,MATCH($C502,'Fuel Model - Summary'!$F$6:$F$26,0)),0)</f>
        <v>76.237236533957855</v>
      </c>
      <c r="O502" s="114">
        <f>IFERROR(INDEX('Fuel Model - Summary'!AJ$6:AJ$26,MATCH($C502,'Fuel Model - Summary'!$F$6:$F$26,0)),0)</f>
        <v>76.237236533957855</v>
      </c>
      <c r="P502" s="114">
        <f>IFERROR(INDEX('Fuel Model - Summary'!AK$6:AK$26,MATCH($C502,'Fuel Model - Summary'!$F$6:$F$26,0)),0)</f>
        <v>76.237236533957855</v>
      </c>
      <c r="Q502" s="114">
        <f>IFERROR(INDEX('Fuel Model - Summary'!AL$6:AL$26,MATCH($C502,'Fuel Model - Summary'!$F$6:$F$26,0)),0)</f>
        <v>76.237236533957855</v>
      </c>
      <c r="R502" s="115">
        <f t="shared" ref="R502:V502" si="342">Q502</f>
        <v>76.237236533957855</v>
      </c>
      <c r="S502" s="115">
        <f t="shared" si="342"/>
        <v>76.237236533957855</v>
      </c>
      <c r="T502" s="115">
        <f t="shared" si="342"/>
        <v>76.237236533957855</v>
      </c>
      <c r="U502" s="115">
        <f t="shared" si="342"/>
        <v>76.237236533957855</v>
      </c>
      <c r="V502" s="115">
        <f t="shared" si="342"/>
        <v>76.237236533957855</v>
      </c>
    </row>
    <row r="503" spans="1:22" x14ac:dyDescent="0.2">
      <c r="A503" s="29">
        <f t="shared" si="330"/>
        <v>15</v>
      </c>
      <c r="B503" s="334" t="str">
        <f t="shared" si="326"/>
        <v>e-Diesel (DAC) - TTP CO2 emissions - kgCO2/GJ</v>
      </c>
      <c r="C503" t="str" cm="1">
        <f t="array" ref="C503">INDEX(list_AE_fuel,A503)</f>
        <v>e-Diesel (DAC)</v>
      </c>
      <c r="D503"/>
      <c r="E503"/>
      <c r="F503" t="str">
        <f t="shared" si="327"/>
        <v>TTP CO2 emissions - kgCO2/GJ</v>
      </c>
      <c r="G503"/>
      <c r="H503" s="412" t="str" cm="1">
        <f t="array" ref="H503">INDEX('Configurator Specs.'!$CG$5:$CG$24,A503)</f>
        <v>Modeled</v>
      </c>
      <c r="I503" t="s">
        <v>602</v>
      </c>
      <c r="K503" s="114">
        <f>IFERROR(INDEX('Fuel Model - Summary'!AF$6:AF$26,MATCH($C503,'Fuel Model - Summary'!$F$6:$F$26,0)),0)</f>
        <v>76.237236533957855</v>
      </c>
      <c r="L503" s="114">
        <f>IFERROR(INDEX('Fuel Model - Summary'!AG$6:AG$26,MATCH($C503,'Fuel Model - Summary'!$F$6:$F$26,0)),0)</f>
        <v>76.237236533957855</v>
      </c>
      <c r="M503" s="114">
        <f>IFERROR(INDEX('Fuel Model - Summary'!AH$6:AH$26,MATCH($C503,'Fuel Model - Summary'!$F$6:$F$26,0)),0)</f>
        <v>76.237236533957855</v>
      </c>
      <c r="N503" s="114">
        <f>IFERROR(INDEX('Fuel Model - Summary'!AI$6:AI$26,MATCH($C503,'Fuel Model - Summary'!$F$6:$F$26,0)),0)</f>
        <v>76.237236533957855</v>
      </c>
      <c r="O503" s="114">
        <f>IFERROR(INDEX('Fuel Model - Summary'!AJ$6:AJ$26,MATCH($C503,'Fuel Model - Summary'!$F$6:$F$26,0)),0)</f>
        <v>76.237236533957855</v>
      </c>
      <c r="P503" s="114">
        <f>IFERROR(INDEX('Fuel Model - Summary'!AK$6:AK$26,MATCH($C503,'Fuel Model - Summary'!$F$6:$F$26,0)),0)</f>
        <v>76.237236533957855</v>
      </c>
      <c r="Q503" s="114">
        <f>IFERROR(INDEX('Fuel Model - Summary'!AL$6:AL$26,MATCH($C503,'Fuel Model - Summary'!$F$6:$F$26,0)),0)</f>
        <v>76.237236533957855</v>
      </c>
      <c r="R503" s="115">
        <f t="shared" ref="R503:V503" si="343">Q503</f>
        <v>76.237236533957855</v>
      </c>
      <c r="S503" s="115">
        <f t="shared" si="343"/>
        <v>76.237236533957855</v>
      </c>
      <c r="T503" s="115">
        <f t="shared" si="343"/>
        <v>76.237236533957855</v>
      </c>
      <c r="U503" s="115">
        <f t="shared" si="343"/>
        <v>76.237236533957855</v>
      </c>
      <c r="V503" s="115">
        <f t="shared" si="343"/>
        <v>76.237236533957855</v>
      </c>
    </row>
    <row r="504" spans="1:22" x14ac:dyDescent="0.2">
      <c r="A504" s="29">
        <f t="shared" si="330"/>
        <v>16</v>
      </c>
      <c r="B504" s="334" t="str">
        <f t="shared" si="326"/>
        <v>e-Diesel (PS) - TTP CO2 emissions - kgCO2/GJ</v>
      </c>
      <c r="C504" t="str" cm="1">
        <f t="array" ref="C504">INDEX(list_AE_fuel,A504)</f>
        <v>e-Diesel (PS)</v>
      </c>
      <c r="D504"/>
      <c r="E504"/>
      <c r="F504" t="str">
        <f t="shared" si="327"/>
        <v>TTP CO2 emissions - kgCO2/GJ</v>
      </c>
      <c r="G504"/>
      <c r="H504" s="412" t="str" cm="1">
        <f t="array" ref="H504">INDEX('Configurator Specs.'!$CG$5:$CG$24,A504)</f>
        <v>Modeled</v>
      </c>
      <c r="I504" t="s">
        <v>602</v>
      </c>
      <c r="K504" s="114">
        <f>IFERROR(INDEX('Fuel Model - Summary'!AF$6:AF$26,MATCH($C504,'Fuel Model - Summary'!$F$6:$F$26,0)),0)</f>
        <v>76.237236533957855</v>
      </c>
      <c r="L504" s="114">
        <f>IFERROR(INDEX('Fuel Model - Summary'!AG$6:AG$26,MATCH($C504,'Fuel Model - Summary'!$F$6:$F$26,0)),0)</f>
        <v>76.237236533957855</v>
      </c>
      <c r="M504" s="114">
        <f>IFERROR(INDEX('Fuel Model - Summary'!AH$6:AH$26,MATCH($C504,'Fuel Model - Summary'!$F$6:$F$26,0)),0)</f>
        <v>76.237236533957855</v>
      </c>
      <c r="N504" s="114">
        <f>IFERROR(INDEX('Fuel Model - Summary'!AI$6:AI$26,MATCH($C504,'Fuel Model - Summary'!$F$6:$F$26,0)),0)</f>
        <v>76.237236533957855</v>
      </c>
      <c r="O504" s="114">
        <f>IFERROR(INDEX('Fuel Model - Summary'!AJ$6:AJ$26,MATCH($C504,'Fuel Model - Summary'!$F$6:$F$26,0)),0)</f>
        <v>76.237236533957855</v>
      </c>
      <c r="P504" s="114">
        <f>IFERROR(INDEX('Fuel Model - Summary'!AK$6:AK$26,MATCH($C504,'Fuel Model - Summary'!$F$6:$F$26,0)),0)</f>
        <v>76.237236533957855</v>
      </c>
      <c r="Q504" s="114">
        <f>IFERROR(INDEX('Fuel Model - Summary'!AL$6:AL$26,MATCH($C504,'Fuel Model - Summary'!$F$6:$F$26,0)),0)</f>
        <v>76.237236533957855</v>
      </c>
      <c r="R504" s="115">
        <f t="shared" ref="R504:V504" si="344">Q504</f>
        <v>76.237236533957855</v>
      </c>
      <c r="S504" s="115">
        <f t="shared" si="344"/>
        <v>76.237236533957855</v>
      </c>
      <c r="T504" s="115">
        <f t="shared" si="344"/>
        <v>76.237236533957855</v>
      </c>
      <c r="U504" s="115">
        <f t="shared" si="344"/>
        <v>76.237236533957855</v>
      </c>
      <c r="V504" s="115">
        <f t="shared" si="344"/>
        <v>76.237236533957855</v>
      </c>
    </row>
    <row r="505" spans="1:22" x14ac:dyDescent="0.2">
      <c r="A505" s="29">
        <f t="shared" si="330"/>
        <v>17</v>
      </c>
      <c r="B505" s="334" t="str">
        <f t="shared" si="326"/>
        <v>Biodiesel (HtL blend) - TTP CO2 emissions - kgCO2/GJ</v>
      </c>
      <c r="C505" t="str" cm="1">
        <f t="array" ref="C505">INDEX(list_AE_fuel,A505)</f>
        <v>Biodiesel (HtL blend)</v>
      </c>
      <c r="D505"/>
      <c r="E505"/>
      <c r="F505" t="str">
        <f t="shared" si="327"/>
        <v>TTP CO2 emissions - kgCO2/GJ</v>
      </c>
      <c r="G505"/>
      <c r="H505" s="412" t="str" cm="1">
        <f t="array" ref="H505">INDEX('Configurator Specs.'!$CG$5:$CG$24,A505)</f>
        <v>Modeled</v>
      </c>
      <c r="I505" t="s">
        <v>602</v>
      </c>
      <c r="K505" s="114">
        <f>IFERROR(INDEX('Fuel Model - Summary'!AF$6:AF$26,MATCH($C505,'Fuel Model - Summary'!$F$6:$F$26,0)),0)</f>
        <v>65.50944732297063</v>
      </c>
      <c r="L505" s="114">
        <f>IFERROR(INDEX('Fuel Model - Summary'!AG$6:AG$26,MATCH($C505,'Fuel Model - Summary'!$F$6:$F$26,0)),0)</f>
        <v>65.50944732297063</v>
      </c>
      <c r="M505" s="114">
        <f>IFERROR(INDEX('Fuel Model - Summary'!AH$6:AH$26,MATCH($C505,'Fuel Model - Summary'!$F$6:$F$26,0)),0)</f>
        <v>65.50944732297063</v>
      </c>
      <c r="N505" s="114">
        <f>IFERROR(INDEX('Fuel Model - Summary'!AI$6:AI$26,MATCH($C505,'Fuel Model - Summary'!$F$6:$F$26,0)),0)</f>
        <v>65.50944732297063</v>
      </c>
      <c r="O505" s="114">
        <f>IFERROR(INDEX('Fuel Model - Summary'!AJ$6:AJ$26,MATCH($C505,'Fuel Model - Summary'!$F$6:$F$26,0)),0)</f>
        <v>65.50944732297063</v>
      </c>
      <c r="P505" s="114">
        <f>IFERROR(INDEX('Fuel Model - Summary'!AK$6:AK$26,MATCH($C505,'Fuel Model - Summary'!$F$6:$F$26,0)),0)</f>
        <v>65.50944732297063</v>
      </c>
      <c r="Q505" s="114">
        <f>IFERROR(INDEX('Fuel Model - Summary'!AL$6:AL$26,MATCH($C505,'Fuel Model - Summary'!$F$6:$F$26,0)),0)</f>
        <v>65.50944732297063</v>
      </c>
      <c r="R505" s="115">
        <f t="shared" ref="R505:V505" si="345">Q505</f>
        <v>65.50944732297063</v>
      </c>
      <c r="S505" s="115">
        <f t="shared" si="345"/>
        <v>65.50944732297063</v>
      </c>
      <c r="T505" s="115">
        <f t="shared" si="345"/>
        <v>65.50944732297063</v>
      </c>
      <c r="U505" s="115">
        <f t="shared" si="345"/>
        <v>65.50944732297063</v>
      </c>
      <c r="V505" s="115">
        <f t="shared" si="345"/>
        <v>65.50944732297063</v>
      </c>
    </row>
    <row r="506" spans="1:22" x14ac:dyDescent="0.2">
      <c r="A506" s="29">
        <f t="shared" si="330"/>
        <v>18</v>
      </c>
      <c r="B506" s="334" t="str">
        <f t="shared" si="326"/>
        <v>Biodiesel (Pyr blend) - TTP CO2 emissions - kgCO2/GJ</v>
      </c>
      <c r="C506" t="str" cm="1">
        <f t="array" ref="C506">INDEX(list_AE_fuel,A506)</f>
        <v>Biodiesel (Pyr blend)</v>
      </c>
      <c r="D506"/>
      <c r="E506"/>
      <c r="F506" t="str">
        <f t="shared" si="327"/>
        <v>TTP CO2 emissions - kgCO2/GJ</v>
      </c>
      <c r="G506"/>
      <c r="H506" s="412" t="str" cm="1">
        <f t="array" ref="H506">INDEX('Configurator Specs.'!$CG$5:$CG$24,A506)</f>
        <v>Modeled</v>
      </c>
      <c r="I506" t="s">
        <v>602</v>
      </c>
      <c r="K506" s="114">
        <f>IFERROR(INDEX('Fuel Model - Summary'!AF$6:AF$26,MATCH($C506,'Fuel Model - Summary'!$F$6:$F$26,0)),0)</f>
        <v>80.800204200700108</v>
      </c>
      <c r="L506" s="114">
        <f>IFERROR(INDEX('Fuel Model - Summary'!AG$6:AG$26,MATCH($C506,'Fuel Model - Summary'!$F$6:$F$26,0)),0)</f>
        <v>80.800204200700108</v>
      </c>
      <c r="M506" s="114">
        <f>IFERROR(INDEX('Fuel Model - Summary'!AH$6:AH$26,MATCH($C506,'Fuel Model - Summary'!$F$6:$F$26,0)),0)</f>
        <v>80.800204200700108</v>
      </c>
      <c r="N506" s="114">
        <f>IFERROR(INDEX('Fuel Model - Summary'!AI$6:AI$26,MATCH($C506,'Fuel Model - Summary'!$F$6:$F$26,0)),0)</f>
        <v>80.800204200700108</v>
      </c>
      <c r="O506" s="114">
        <f>IFERROR(INDEX('Fuel Model - Summary'!AJ$6:AJ$26,MATCH($C506,'Fuel Model - Summary'!$F$6:$F$26,0)),0)</f>
        <v>80.800204200700108</v>
      </c>
      <c r="P506" s="114">
        <f>IFERROR(INDEX('Fuel Model - Summary'!AK$6:AK$26,MATCH($C506,'Fuel Model - Summary'!$F$6:$F$26,0)),0)</f>
        <v>80.800204200700108</v>
      </c>
      <c r="Q506" s="114">
        <f>IFERROR(INDEX('Fuel Model - Summary'!AL$6:AL$26,MATCH($C506,'Fuel Model - Summary'!$F$6:$F$26,0)),0)</f>
        <v>80.800204200700108</v>
      </c>
      <c r="R506" s="115">
        <f t="shared" ref="R506:V506" si="346">Q506</f>
        <v>80.800204200700108</v>
      </c>
      <c r="S506" s="115">
        <f t="shared" si="346"/>
        <v>80.800204200700108</v>
      </c>
      <c r="T506" s="115">
        <f t="shared" si="346"/>
        <v>80.800204200700108</v>
      </c>
      <c r="U506" s="115">
        <f t="shared" si="346"/>
        <v>80.800204200700108</v>
      </c>
      <c r="V506" s="115">
        <f t="shared" si="346"/>
        <v>80.800204200700108</v>
      </c>
    </row>
    <row r="507" spans="1:22" x14ac:dyDescent="0.2">
      <c r="A507" s="29">
        <f t="shared" si="330"/>
        <v>19</v>
      </c>
      <c r="B507" s="334" t="str">
        <f t="shared" si="326"/>
        <v>Blue hydrogen (liquid) - TTP CO2 emissions - kgCO2/GJ</v>
      </c>
      <c r="C507" t="str" cm="1">
        <f t="array" ref="C507">INDEX(list_AE_fuel,A507)</f>
        <v>Blue hydrogen (liquid)</v>
      </c>
      <c r="D507"/>
      <c r="E507"/>
      <c r="F507" t="str">
        <f t="shared" si="327"/>
        <v>TTP CO2 emissions - kgCO2/GJ</v>
      </c>
      <c r="G507"/>
      <c r="H507" s="412" t="str" cm="1">
        <f t="array" ref="H507">INDEX('Configurator Specs.'!$CG$5:$CG$24,A507)</f>
        <v>Modeled</v>
      </c>
      <c r="I507" t="s">
        <v>602</v>
      </c>
      <c r="K507" s="114">
        <f>IFERROR(INDEX('Fuel Model - Summary'!AF$6:AF$26,MATCH($C507,'Fuel Model - Summary'!$F$6:$F$26,0)),0)</f>
        <v>0</v>
      </c>
      <c r="L507" s="114">
        <f>IFERROR(INDEX('Fuel Model - Summary'!AG$6:AG$26,MATCH($C507,'Fuel Model - Summary'!$F$6:$F$26,0)),0)</f>
        <v>0</v>
      </c>
      <c r="M507" s="114">
        <f>IFERROR(INDEX('Fuel Model - Summary'!AH$6:AH$26,MATCH($C507,'Fuel Model - Summary'!$F$6:$F$26,0)),0)</f>
        <v>0</v>
      </c>
      <c r="N507" s="114">
        <f>IFERROR(INDEX('Fuel Model - Summary'!AI$6:AI$26,MATCH($C507,'Fuel Model - Summary'!$F$6:$F$26,0)),0)</f>
        <v>0</v>
      </c>
      <c r="O507" s="114">
        <f>IFERROR(INDEX('Fuel Model - Summary'!AJ$6:AJ$26,MATCH($C507,'Fuel Model - Summary'!$F$6:$F$26,0)),0)</f>
        <v>0</v>
      </c>
      <c r="P507" s="114">
        <f>IFERROR(INDEX('Fuel Model - Summary'!AK$6:AK$26,MATCH($C507,'Fuel Model - Summary'!$F$6:$F$26,0)),0)</f>
        <v>0</v>
      </c>
      <c r="Q507" s="114">
        <f>IFERROR(INDEX('Fuel Model - Summary'!AL$6:AL$26,MATCH($C507,'Fuel Model - Summary'!$F$6:$F$26,0)),0)</f>
        <v>0</v>
      </c>
      <c r="R507" s="115">
        <f t="shared" ref="R507:V507" si="347">Q507</f>
        <v>0</v>
      </c>
      <c r="S507" s="115">
        <f t="shared" si="347"/>
        <v>0</v>
      </c>
      <c r="T507" s="115">
        <f t="shared" si="347"/>
        <v>0</v>
      </c>
      <c r="U507" s="115">
        <f t="shared" si="347"/>
        <v>0</v>
      </c>
      <c r="V507" s="115">
        <f t="shared" si="347"/>
        <v>0</v>
      </c>
    </row>
    <row r="508" spans="1:22" x14ac:dyDescent="0.2">
      <c r="A508" s="29">
        <f t="shared" si="330"/>
        <v>20</v>
      </c>
      <c r="B508" s="334" t="str">
        <f t="shared" si="326"/>
        <v>e-Hydrogen (liquid) - TTP CO2 emissions - kgCO2/GJ</v>
      </c>
      <c r="C508" t="str" cm="1">
        <f t="array" ref="C508">INDEX(list_AE_fuel,A508)</f>
        <v>e-Hydrogen (liquid)</v>
      </c>
      <c r="D508"/>
      <c r="E508"/>
      <c r="F508" t="str">
        <f t="shared" si="327"/>
        <v>TTP CO2 emissions - kgCO2/GJ</v>
      </c>
      <c r="G508"/>
      <c r="H508" s="412" t="str" cm="1">
        <f t="array" ref="H508">INDEX('Configurator Specs.'!$CG$5:$CG$24,A508)</f>
        <v>Modeled</v>
      </c>
      <c r="I508" t="s">
        <v>602</v>
      </c>
      <c r="K508" s="114">
        <f>IFERROR(INDEX('Fuel Model - Summary'!AF$6:AF$26,MATCH($C508,'Fuel Model - Summary'!$F$6:$F$26,0)),0)</f>
        <v>0</v>
      </c>
      <c r="L508" s="114">
        <f>IFERROR(INDEX('Fuel Model - Summary'!AG$6:AG$26,MATCH($C508,'Fuel Model - Summary'!$F$6:$F$26,0)),0)</f>
        <v>0</v>
      </c>
      <c r="M508" s="114">
        <f>IFERROR(INDEX('Fuel Model - Summary'!AH$6:AH$26,MATCH($C508,'Fuel Model - Summary'!$F$6:$F$26,0)),0)</f>
        <v>0</v>
      </c>
      <c r="N508" s="114">
        <f>IFERROR(INDEX('Fuel Model - Summary'!AI$6:AI$26,MATCH($C508,'Fuel Model - Summary'!$F$6:$F$26,0)),0)</f>
        <v>0</v>
      </c>
      <c r="O508" s="114">
        <f>IFERROR(INDEX('Fuel Model - Summary'!AJ$6:AJ$26,MATCH($C508,'Fuel Model - Summary'!$F$6:$F$26,0)),0)</f>
        <v>0</v>
      </c>
      <c r="P508" s="114">
        <f>IFERROR(INDEX('Fuel Model - Summary'!AK$6:AK$26,MATCH($C508,'Fuel Model - Summary'!$F$6:$F$26,0)),0)</f>
        <v>0</v>
      </c>
      <c r="Q508" s="114">
        <f>IFERROR(INDEX('Fuel Model - Summary'!AL$6:AL$26,MATCH($C508,'Fuel Model - Summary'!$F$6:$F$26,0)),0)</f>
        <v>0</v>
      </c>
      <c r="R508" s="115">
        <f t="shared" ref="R508:V508" si="348">Q508</f>
        <v>0</v>
      </c>
      <c r="S508" s="115">
        <f t="shared" si="348"/>
        <v>0</v>
      </c>
      <c r="T508" s="115">
        <f t="shared" si="348"/>
        <v>0</v>
      </c>
      <c r="U508" s="115">
        <f t="shared" si="348"/>
        <v>0</v>
      </c>
      <c r="V508" s="115">
        <f t="shared" si="348"/>
        <v>0</v>
      </c>
    </row>
    <row r="509" spans="1:22" x14ac:dyDescent="0.2">
      <c r="B509" s="334"/>
    </row>
    <row r="510" spans="1:22" x14ac:dyDescent="0.2">
      <c r="A510" s="29">
        <v>1</v>
      </c>
      <c r="B510" s="334" t="str">
        <f t="shared" ref="B510:B529" si="349">_xlfn.TEXTJOIN(keydelim,TRUE,D510:G510)</f>
        <v>HFO - Global - WTT Logistics - kgCO2/GJ</v>
      </c>
      <c r="C510" t="str" cm="1">
        <f t="array" ref="C510">INDEX(list_AE_fuel,A510)</f>
        <v>LSFO</v>
      </c>
      <c r="D510" t="str">
        <f>+INDEX('Configurator Specs.'!$AH$4:$AH$36,MATCH('Fuel Selector'!C510,list_fuels_long,0))</f>
        <v>HFO</v>
      </c>
      <c r="E510" t="s">
        <v>109</v>
      </c>
      <c r="F510" t="str">
        <f t="shared" ref="F510:F529" si="350">"WTT Logistics"  &amp;keydelim &amp;I510</f>
        <v>WTT Logistics - kgCO2/GJ</v>
      </c>
      <c r="G510" s="128"/>
      <c r="H510" s="412" t="str" cm="1">
        <f t="array" ref="H510">INDEX('Configurator Specs.'!$CG$5:$CG$24,A510)</f>
        <v>External</v>
      </c>
      <c r="I510" t="s">
        <v>602</v>
      </c>
      <c r="K510" s="113">
        <f>IFERROR(INDEX('Fuel Logistics'!I:I,MATCH('Fuel Selector'!$B510,'Fuel Logistics'!$A:$A,0)),0)</f>
        <v>0</v>
      </c>
      <c r="L510" s="113">
        <f>IFERROR(INDEX('Fuel Logistics'!J:J,MATCH('Fuel Selector'!$B510,'Fuel Logistics'!$A:$A,0)),0)</f>
        <v>0</v>
      </c>
      <c r="M510" s="113">
        <f>IFERROR(INDEX('Fuel Logistics'!K:K,MATCH('Fuel Selector'!$B510,'Fuel Logistics'!$A:$A,0)),0)</f>
        <v>0</v>
      </c>
      <c r="N510" s="113">
        <f>IFERROR(INDEX('Fuel Logistics'!L:L,MATCH('Fuel Selector'!$B510,'Fuel Logistics'!$A:$A,0)),0)</f>
        <v>0</v>
      </c>
      <c r="O510" s="113">
        <f>IFERROR(INDEX('Fuel Logistics'!M:M,MATCH('Fuel Selector'!$B510,'Fuel Logistics'!$A:$A,0)),0)</f>
        <v>0</v>
      </c>
      <c r="P510" s="113">
        <f>IFERROR(INDEX('Fuel Logistics'!N:N,MATCH('Fuel Selector'!$B510,'Fuel Logistics'!$A:$A,0)),0)</f>
        <v>0</v>
      </c>
      <c r="Q510" s="113">
        <f>IFERROR(INDEX('Fuel Logistics'!O:O,MATCH('Fuel Selector'!$B510,'Fuel Logistics'!$A:$A,0)),0)</f>
        <v>0</v>
      </c>
      <c r="R510" s="115">
        <f t="shared" ref="R510:R529" si="351">Q510</f>
        <v>0</v>
      </c>
      <c r="S510" s="115">
        <f t="shared" ref="S510:S529" si="352">R510</f>
        <v>0</v>
      </c>
      <c r="T510" s="115">
        <f t="shared" ref="T510:T529" si="353">S510</f>
        <v>0</v>
      </c>
      <c r="U510" s="115">
        <f t="shared" ref="U510:U529" si="354">T510</f>
        <v>0</v>
      </c>
      <c r="V510" s="115">
        <f t="shared" ref="V510:V529" si="355">U510</f>
        <v>0</v>
      </c>
    </row>
    <row r="511" spans="1:22" x14ac:dyDescent="0.2">
      <c r="A511" s="29">
        <f>A510+1</f>
        <v>2</v>
      </c>
      <c r="B511" s="334" t="str">
        <f t="shared" si="349"/>
        <v>LNG &amp; e-Methane - Global - WTT Logistics - kgCO2/GJ</v>
      </c>
      <c r="C511" t="str" cm="1">
        <f t="array" ref="C511">INDEX(list_AE_fuel,A511)</f>
        <v>LNG</v>
      </c>
      <c r="D511" t="str">
        <f>+INDEX('Configurator Specs.'!$AH$4:$AH$36,MATCH('Fuel Selector'!C511,list_fuels_long,0))</f>
        <v>LNG &amp; e-Methane</v>
      </c>
      <c r="E511" t="s">
        <v>109</v>
      </c>
      <c r="F511" t="str">
        <f t="shared" si="350"/>
        <v>WTT Logistics - kgCO2/GJ</v>
      </c>
      <c r="G511" s="128"/>
      <c r="H511" s="412" t="str" cm="1">
        <f t="array" ref="H511">INDEX('Configurator Specs.'!$CG$5:$CG$24,A511)</f>
        <v>Modeled</v>
      </c>
      <c r="I511" t="s">
        <v>602</v>
      </c>
      <c r="K511" s="113">
        <f>IFERROR(INDEX('Fuel Logistics'!I:I,MATCH('Fuel Selector'!$B511,'Fuel Logistics'!$A:$A,0)),0)</f>
        <v>2.8561643835616435</v>
      </c>
      <c r="L511" s="113">
        <f>IFERROR(INDEX('Fuel Logistics'!J:J,MATCH('Fuel Selector'!$B511,'Fuel Logistics'!$A:$A,0)),0)</f>
        <v>2.5956236038527396</v>
      </c>
      <c r="M511" s="113">
        <f>IFERROR(INDEX('Fuel Logistics'!K:K,MATCH('Fuel Selector'!$B511,'Fuel Logistics'!$A:$A,0)),0)</f>
        <v>2.4143684136809012</v>
      </c>
      <c r="N511" s="113">
        <f>IFERROR(INDEX('Fuel Logistics'!L:L,MATCH('Fuel Selector'!$B511,'Fuel Logistics'!$A:$A,0)),0)</f>
        <v>2.288271286003094</v>
      </c>
      <c r="O511" s="113">
        <f>IFERROR(INDEX('Fuel Logistics'!M:M,MATCH('Fuel Selector'!$B511,'Fuel Logistics'!$A:$A,0)),0)</f>
        <v>2.2005469808755063</v>
      </c>
      <c r="P511" s="113">
        <f>IFERROR(INDEX('Fuel Logistics'!N:N,MATCH('Fuel Selector'!$B511,'Fuel Logistics'!$A:$A,0)),0)</f>
        <v>2.1395182020933192</v>
      </c>
      <c r="Q511" s="113">
        <f>IFERROR(INDEX('Fuel Logistics'!O:O,MATCH('Fuel Selector'!$B511,'Fuel Logistics'!$A:$A,0)),0)</f>
        <v>2.0970611905019689</v>
      </c>
      <c r="R511" s="115">
        <f t="shared" si="351"/>
        <v>2.0970611905019689</v>
      </c>
      <c r="S511" s="115">
        <f t="shared" si="352"/>
        <v>2.0970611905019689</v>
      </c>
      <c r="T511" s="115">
        <f t="shared" si="353"/>
        <v>2.0970611905019689</v>
      </c>
      <c r="U511" s="115">
        <f t="shared" si="354"/>
        <v>2.0970611905019689</v>
      </c>
      <c r="V511" s="115">
        <f t="shared" si="355"/>
        <v>2.0970611905019689</v>
      </c>
    </row>
    <row r="512" spans="1:22" x14ac:dyDescent="0.2">
      <c r="A512" s="29">
        <f t="shared" ref="A512:A529" si="356">A511+1</f>
        <v>3</v>
      </c>
      <c r="B512" s="334" t="str">
        <f t="shared" si="349"/>
        <v>LPG - Global - WTT Logistics - kgCO2/GJ</v>
      </c>
      <c r="C512" t="str" cm="1">
        <f t="array" ref="C512">INDEX(list_AE_fuel,A512)</f>
        <v>LPG</v>
      </c>
      <c r="D512" t="str">
        <f>+INDEX('Configurator Specs.'!$AH$4:$AH$36,MATCH('Fuel Selector'!C512,list_fuels_long,0))</f>
        <v>LPG</v>
      </c>
      <c r="E512" t="s">
        <v>109</v>
      </c>
      <c r="F512" t="str">
        <f t="shared" si="350"/>
        <v>WTT Logistics - kgCO2/GJ</v>
      </c>
      <c r="G512" s="128"/>
      <c r="H512" s="412" t="str" cm="1">
        <f t="array" ref="H512">INDEX('Configurator Specs.'!$CG$5:$CG$24,A512)</f>
        <v>External</v>
      </c>
      <c r="I512" t="s">
        <v>602</v>
      </c>
      <c r="K512" s="113">
        <f>IFERROR(INDEX('Fuel Logistics'!I:I,MATCH('Fuel Selector'!$B512,'Fuel Logistics'!$A:$A,0)),0)</f>
        <v>0</v>
      </c>
      <c r="L512" s="113">
        <f>IFERROR(INDEX('Fuel Logistics'!J:J,MATCH('Fuel Selector'!$B512,'Fuel Logistics'!$A:$A,0)),0)</f>
        <v>0</v>
      </c>
      <c r="M512" s="113">
        <f>IFERROR(INDEX('Fuel Logistics'!K:K,MATCH('Fuel Selector'!$B512,'Fuel Logistics'!$A:$A,0)),0)</f>
        <v>0</v>
      </c>
      <c r="N512" s="113">
        <f>IFERROR(INDEX('Fuel Logistics'!L:L,MATCH('Fuel Selector'!$B512,'Fuel Logistics'!$A:$A,0)),0)</f>
        <v>0</v>
      </c>
      <c r="O512" s="113">
        <f>IFERROR(INDEX('Fuel Logistics'!M:M,MATCH('Fuel Selector'!$B512,'Fuel Logistics'!$A:$A,0)),0)</f>
        <v>0</v>
      </c>
      <c r="P512" s="113">
        <f>IFERROR(INDEX('Fuel Logistics'!N:N,MATCH('Fuel Selector'!$B512,'Fuel Logistics'!$A:$A,0)),0)</f>
        <v>0</v>
      </c>
      <c r="Q512" s="113">
        <f>IFERROR(INDEX('Fuel Logistics'!O:O,MATCH('Fuel Selector'!$B512,'Fuel Logistics'!$A:$A,0)),0)</f>
        <v>0</v>
      </c>
      <c r="R512" s="115">
        <f t="shared" si="351"/>
        <v>0</v>
      </c>
      <c r="S512" s="115">
        <f t="shared" si="352"/>
        <v>0</v>
      </c>
      <c r="T512" s="115">
        <f t="shared" si="353"/>
        <v>0</v>
      </c>
      <c r="U512" s="115">
        <f t="shared" si="354"/>
        <v>0</v>
      </c>
      <c r="V512" s="115">
        <f t="shared" si="355"/>
        <v>0</v>
      </c>
    </row>
    <row r="513" spans="1:22" x14ac:dyDescent="0.2">
      <c r="A513" s="29">
        <f t="shared" si="356"/>
        <v>4</v>
      </c>
      <c r="B513" s="334" t="str">
        <f t="shared" si="349"/>
        <v>Electricity - Global - WTT Logistics - kgCO2/GJ</v>
      </c>
      <c r="C513" t="str" cm="1">
        <f t="array" ref="C513">INDEX(list_AE_fuel,A513)</f>
        <v>Electricity</v>
      </c>
      <c r="D513" t="str">
        <f>+INDEX('Configurator Specs.'!$AH$4:$AH$36,MATCH('Fuel Selector'!C513,list_fuels_long,0))</f>
        <v>Electricity</v>
      </c>
      <c r="E513" t="s">
        <v>109</v>
      </c>
      <c r="F513" t="str">
        <f t="shared" si="350"/>
        <v>WTT Logistics - kgCO2/GJ</v>
      </c>
      <c r="G513" s="128"/>
      <c r="H513" s="412" t="str" cm="1">
        <f t="array" ref="H513">INDEX('Configurator Specs.'!$CG$5:$CG$24,A513)</f>
        <v>External</v>
      </c>
      <c r="I513" t="s">
        <v>602</v>
      </c>
      <c r="K513" s="113">
        <f>IFERROR(INDEX('Fuel Logistics'!I:I,MATCH('Fuel Selector'!$B513,'Fuel Logistics'!$A:$A,0)),0)</f>
        <v>0</v>
      </c>
      <c r="L513" s="113">
        <f>IFERROR(INDEX('Fuel Logistics'!J:J,MATCH('Fuel Selector'!$B513,'Fuel Logistics'!$A:$A,0)),0)</f>
        <v>0</v>
      </c>
      <c r="M513" s="113">
        <f>IFERROR(INDEX('Fuel Logistics'!K:K,MATCH('Fuel Selector'!$B513,'Fuel Logistics'!$A:$A,0)),0)</f>
        <v>0</v>
      </c>
      <c r="N513" s="113">
        <f>IFERROR(INDEX('Fuel Logistics'!L:L,MATCH('Fuel Selector'!$B513,'Fuel Logistics'!$A:$A,0)),0)</f>
        <v>0</v>
      </c>
      <c r="O513" s="113">
        <f>IFERROR(INDEX('Fuel Logistics'!M:M,MATCH('Fuel Selector'!$B513,'Fuel Logistics'!$A:$A,0)),0)</f>
        <v>0</v>
      </c>
      <c r="P513" s="113">
        <f>IFERROR(INDEX('Fuel Logistics'!N:N,MATCH('Fuel Selector'!$B513,'Fuel Logistics'!$A:$A,0)),0)</f>
        <v>0</v>
      </c>
      <c r="Q513" s="113">
        <f>IFERROR(INDEX('Fuel Logistics'!O:O,MATCH('Fuel Selector'!$B513,'Fuel Logistics'!$A:$A,0)),0)</f>
        <v>0</v>
      </c>
      <c r="R513" s="115">
        <f t="shared" si="351"/>
        <v>0</v>
      </c>
      <c r="S513" s="115">
        <f t="shared" si="352"/>
        <v>0</v>
      </c>
      <c r="T513" s="115">
        <f t="shared" si="353"/>
        <v>0</v>
      </c>
      <c r="U513" s="115">
        <f t="shared" si="354"/>
        <v>0</v>
      </c>
      <c r="V513" s="115">
        <f t="shared" si="355"/>
        <v>0</v>
      </c>
    </row>
    <row r="514" spans="1:22" x14ac:dyDescent="0.2">
      <c r="A514" s="29">
        <f t="shared" si="356"/>
        <v>5</v>
      </c>
      <c r="B514" s="334" t="str">
        <f t="shared" si="349"/>
        <v>Ammonia - Global - WTT Logistics - kgCO2/GJ</v>
      </c>
      <c r="C514" t="str" cm="1">
        <f t="array" ref="C514">INDEX(list_AE_fuel,A514)</f>
        <v>e-Ammonia</v>
      </c>
      <c r="D514" t="str">
        <f>+INDEX('Configurator Specs.'!$AH$4:$AH$36,MATCH('Fuel Selector'!C514,list_fuels_long,0))</f>
        <v>Ammonia</v>
      </c>
      <c r="E514" t="s">
        <v>109</v>
      </c>
      <c r="F514" t="str">
        <f t="shared" si="350"/>
        <v>WTT Logistics - kgCO2/GJ</v>
      </c>
      <c r="G514" s="226"/>
      <c r="H514" s="412" t="str" cm="1">
        <f t="array" ref="H514">INDEX('Configurator Specs.'!$CG$5:$CG$24,A514)</f>
        <v>Modeled</v>
      </c>
      <c r="I514" t="s">
        <v>602</v>
      </c>
      <c r="K514" s="113">
        <f>IFERROR(INDEX('Fuel Logistics'!I:I,MATCH('Fuel Selector'!$B514,'Fuel Logistics'!$A:$A,0)),0)</f>
        <v>1.4022783470701412</v>
      </c>
      <c r="L514" s="113">
        <f>IFERROR(INDEX('Fuel Logistics'!J:J,MATCH('Fuel Selector'!$B514,'Fuel Logistics'!$A:$A,0)),0)</f>
        <v>0.97554873657792529</v>
      </c>
      <c r="M514" s="113">
        <f>IFERROR(INDEX('Fuel Logistics'!K:K,MATCH('Fuel Selector'!$B514,'Fuel Logistics'!$A:$A,0)),0)</f>
        <v>0.67867790972257203</v>
      </c>
      <c r="N514" s="113">
        <f>IFERROR(INDEX('Fuel Logistics'!L:L,MATCH('Fuel Selector'!$B514,'Fuel Logistics'!$A:$A,0)),0)</f>
        <v>0.47214832829482856</v>
      </c>
      <c r="O514" s="113">
        <f>IFERROR(INDEX('Fuel Logistics'!M:M,MATCH('Fuel Selector'!$B514,'Fuel Logistics'!$A:$A,0)),0)</f>
        <v>0.32846810057915021</v>
      </c>
      <c r="P514" s="113">
        <f>IFERROR(INDEX('Fuel Logistics'!N:N,MATCH('Fuel Selector'!$B514,'Fuel Logistics'!$A:$A,0)),0)</f>
        <v>0.22851143725897732</v>
      </c>
      <c r="Q514" s="113">
        <f>IFERROR(INDEX('Fuel Logistics'!O:O,MATCH('Fuel Selector'!$B514,'Fuel Logistics'!$A:$A,0)),0)</f>
        <v>0.15897274915309711</v>
      </c>
      <c r="R514" s="115">
        <f t="shared" si="351"/>
        <v>0.15897274915309711</v>
      </c>
      <c r="S514" s="115">
        <f t="shared" si="352"/>
        <v>0.15897274915309711</v>
      </c>
      <c r="T514" s="115">
        <f t="shared" si="353"/>
        <v>0.15897274915309711</v>
      </c>
      <c r="U514" s="115">
        <f t="shared" si="354"/>
        <v>0.15897274915309711</v>
      </c>
      <c r="V514" s="115">
        <f t="shared" si="355"/>
        <v>0.15897274915309711</v>
      </c>
    </row>
    <row r="515" spans="1:22" x14ac:dyDescent="0.2">
      <c r="A515" s="29">
        <f t="shared" si="356"/>
        <v>6</v>
      </c>
      <c r="B515" s="334" t="str">
        <f t="shared" si="349"/>
        <v>Ammonia - Global - WTT Logistics - kgCO2/GJ</v>
      </c>
      <c r="C515" t="str" cm="1">
        <f t="array" ref="C515">INDEX(list_AE_fuel,A515)</f>
        <v>Blue ammonia</v>
      </c>
      <c r="D515" t="str">
        <f>+INDEX('Configurator Specs.'!$AH$4:$AH$36,MATCH('Fuel Selector'!C515,list_fuels_long,0))</f>
        <v>Ammonia</v>
      </c>
      <c r="E515" t="s">
        <v>109</v>
      </c>
      <c r="F515" t="str">
        <f t="shared" si="350"/>
        <v>WTT Logistics - kgCO2/GJ</v>
      </c>
      <c r="G515" s="226"/>
      <c r="H515" s="412" t="str" cm="1">
        <f t="array" ref="H515">INDEX('Configurator Specs.'!$CG$5:$CG$24,A515)</f>
        <v>Modeled</v>
      </c>
      <c r="I515" t="s">
        <v>602</v>
      </c>
      <c r="K515" s="113">
        <f>IFERROR(INDEX('Fuel Logistics'!I:I,MATCH('Fuel Selector'!$B515,'Fuel Logistics'!$A:$A,0)),0)</f>
        <v>1.4022783470701412</v>
      </c>
      <c r="L515" s="113">
        <f>IFERROR(INDEX('Fuel Logistics'!J:J,MATCH('Fuel Selector'!$B515,'Fuel Logistics'!$A:$A,0)),0)</f>
        <v>0.97554873657792529</v>
      </c>
      <c r="M515" s="113">
        <f>IFERROR(INDEX('Fuel Logistics'!K:K,MATCH('Fuel Selector'!$B515,'Fuel Logistics'!$A:$A,0)),0)</f>
        <v>0.67867790972257203</v>
      </c>
      <c r="N515" s="113">
        <f>IFERROR(INDEX('Fuel Logistics'!L:L,MATCH('Fuel Selector'!$B515,'Fuel Logistics'!$A:$A,0)),0)</f>
        <v>0.47214832829482856</v>
      </c>
      <c r="O515" s="113">
        <f>IFERROR(INDEX('Fuel Logistics'!M:M,MATCH('Fuel Selector'!$B515,'Fuel Logistics'!$A:$A,0)),0)</f>
        <v>0.32846810057915021</v>
      </c>
      <c r="P515" s="113">
        <f>IFERROR(INDEX('Fuel Logistics'!N:N,MATCH('Fuel Selector'!$B515,'Fuel Logistics'!$A:$A,0)),0)</f>
        <v>0.22851143725897732</v>
      </c>
      <c r="Q515" s="113">
        <f>IFERROR(INDEX('Fuel Logistics'!O:O,MATCH('Fuel Selector'!$B515,'Fuel Logistics'!$A:$A,0)),0)</f>
        <v>0.15897274915309711</v>
      </c>
      <c r="R515" s="115">
        <f t="shared" si="351"/>
        <v>0.15897274915309711</v>
      </c>
      <c r="S515" s="115">
        <f t="shared" si="352"/>
        <v>0.15897274915309711</v>
      </c>
      <c r="T515" s="115">
        <f t="shared" si="353"/>
        <v>0.15897274915309711</v>
      </c>
      <c r="U515" s="115">
        <f t="shared" si="354"/>
        <v>0.15897274915309711</v>
      </c>
      <c r="V515" s="115">
        <f t="shared" si="355"/>
        <v>0.15897274915309711</v>
      </c>
    </row>
    <row r="516" spans="1:22" x14ac:dyDescent="0.2">
      <c r="A516" s="29">
        <f t="shared" si="356"/>
        <v>7</v>
      </c>
      <c r="B516" s="334" t="str">
        <f t="shared" si="349"/>
        <v>Biomethane - Global - WTT Logistics - kgCO2/GJ</v>
      </c>
      <c r="C516" t="str" cm="1">
        <f t="array" ref="C516">INDEX(list_AE_fuel,A516)</f>
        <v>Biomethane</v>
      </c>
      <c r="D516" t="str">
        <f>+INDEX('Configurator Specs.'!$AH$4:$AH$36,MATCH('Fuel Selector'!C516,list_fuels_long,0))</f>
        <v>Biomethane</v>
      </c>
      <c r="E516" t="s">
        <v>109</v>
      </c>
      <c r="F516" t="str">
        <f t="shared" si="350"/>
        <v>WTT Logistics - kgCO2/GJ</v>
      </c>
      <c r="G516"/>
      <c r="H516" s="412" t="str" cm="1">
        <f t="array" ref="H516">INDEX('Configurator Specs.'!$CG$5:$CG$24,A516)</f>
        <v>Modeled</v>
      </c>
      <c r="I516" t="s">
        <v>602</v>
      </c>
      <c r="K516" s="113">
        <f>IFERROR(INDEX('Fuel Logistics'!I:I,MATCH('Fuel Selector'!$B516,'Fuel Logistics'!$A:$A,0)),0)</f>
        <v>3.2230919765166339</v>
      </c>
      <c r="L516" s="113">
        <f>IFERROR(INDEX('Fuel Logistics'!J:J,MATCH('Fuel Selector'!$B516,'Fuel Logistics'!$A:$A,0)),0)</f>
        <v>2.8508908626467706</v>
      </c>
      <c r="M516" s="113">
        <f>IFERROR(INDEX('Fuel Logistics'!K:K,MATCH('Fuel Selector'!$B516,'Fuel Logistics'!$A:$A,0)),0)</f>
        <v>2.591954876687002</v>
      </c>
      <c r="N516" s="113">
        <f>IFERROR(INDEX('Fuel Logistics'!L:L,MATCH('Fuel Selector'!$B516,'Fuel Logistics'!$A:$A,0)),0)</f>
        <v>2.4118161228615627</v>
      </c>
      <c r="O516" s="113">
        <f>IFERROR(INDEX('Fuel Logistics'!M:M,MATCH('Fuel Selector'!$B516,'Fuel Logistics'!$A:$A,0)),0)</f>
        <v>2.2864956869650088</v>
      </c>
      <c r="P516" s="113">
        <f>IFERROR(INDEX('Fuel Logistics'!N:N,MATCH('Fuel Selector'!$B516,'Fuel Logistics'!$A:$A,0)),0)</f>
        <v>2.1993117172761703</v>
      </c>
      <c r="Q516" s="113">
        <f>IFERROR(INDEX('Fuel Logistics'!O:O,MATCH('Fuel Selector'!$B516,'Fuel Logistics'!$A:$A,0)),0)</f>
        <v>2.1386588435742415</v>
      </c>
      <c r="R516" s="115">
        <f t="shared" si="351"/>
        <v>2.1386588435742415</v>
      </c>
      <c r="S516" s="115">
        <f t="shared" si="352"/>
        <v>2.1386588435742415</v>
      </c>
      <c r="T516" s="115">
        <f t="shared" si="353"/>
        <v>2.1386588435742415</v>
      </c>
      <c r="U516" s="115">
        <f t="shared" si="354"/>
        <v>2.1386588435742415</v>
      </c>
      <c r="V516" s="115">
        <f t="shared" si="355"/>
        <v>2.1386588435742415</v>
      </c>
    </row>
    <row r="517" spans="1:22" x14ac:dyDescent="0.2">
      <c r="A517" s="29">
        <f t="shared" si="356"/>
        <v>8</v>
      </c>
      <c r="B517" s="334" t="str">
        <f t="shared" si="349"/>
        <v>LNG &amp; e-Methane - Global - WTT Logistics - kgCO2/GJ</v>
      </c>
      <c r="C517" t="str" cm="1">
        <f t="array" ref="C517">INDEX(list_AE_fuel,A517)</f>
        <v>e-Methane (DAC)</v>
      </c>
      <c r="D517" t="str">
        <f>+INDEX('Configurator Specs.'!$AH$4:$AH$36,MATCH('Fuel Selector'!C517,list_fuels_long,0))</f>
        <v>LNG &amp; e-Methane</v>
      </c>
      <c r="E517" t="s">
        <v>109</v>
      </c>
      <c r="F517" t="str">
        <f t="shared" si="350"/>
        <v>WTT Logistics - kgCO2/GJ</v>
      </c>
      <c r="G517" s="226"/>
      <c r="H517" s="412" t="str" cm="1">
        <f t="array" ref="H517">INDEX('Configurator Specs.'!$CG$5:$CG$24,A517)</f>
        <v>Modeled</v>
      </c>
      <c r="I517" t="s">
        <v>602</v>
      </c>
      <c r="K517" s="113">
        <f>IFERROR(INDEX('Fuel Logistics'!I:I,MATCH('Fuel Selector'!$B517,'Fuel Logistics'!$A:$A,0)),0)</f>
        <v>2.8561643835616435</v>
      </c>
      <c r="L517" s="113">
        <f>IFERROR(INDEX('Fuel Logistics'!J:J,MATCH('Fuel Selector'!$B517,'Fuel Logistics'!$A:$A,0)),0)</f>
        <v>2.5956236038527396</v>
      </c>
      <c r="M517" s="113">
        <f>IFERROR(INDEX('Fuel Logistics'!K:K,MATCH('Fuel Selector'!$B517,'Fuel Logistics'!$A:$A,0)),0)</f>
        <v>2.4143684136809012</v>
      </c>
      <c r="N517" s="113">
        <f>IFERROR(INDEX('Fuel Logistics'!L:L,MATCH('Fuel Selector'!$B517,'Fuel Logistics'!$A:$A,0)),0)</f>
        <v>2.288271286003094</v>
      </c>
      <c r="O517" s="113">
        <f>IFERROR(INDEX('Fuel Logistics'!M:M,MATCH('Fuel Selector'!$B517,'Fuel Logistics'!$A:$A,0)),0)</f>
        <v>2.2005469808755063</v>
      </c>
      <c r="P517" s="113">
        <f>IFERROR(INDEX('Fuel Logistics'!N:N,MATCH('Fuel Selector'!$B517,'Fuel Logistics'!$A:$A,0)),0)</f>
        <v>2.1395182020933192</v>
      </c>
      <c r="Q517" s="113">
        <f>IFERROR(INDEX('Fuel Logistics'!O:O,MATCH('Fuel Selector'!$B517,'Fuel Logistics'!$A:$A,0)),0)</f>
        <v>2.0970611905019689</v>
      </c>
      <c r="R517" s="115">
        <f t="shared" si="351"/>
        <v>2.0970611905019689</v>
      </c>
      <c r="S517" s="115">
        <f t="shared" si="352"/>
        <v>2.0970611905019689</v>
      </c>
      <c r="T517" s="115">
        <f t="shared" si="353"/>
        <v>2.0970611905019689</v>
      </c>
      <c r="U517" s="115">
        <f t="shared" si="354"/>
        <v>2.0970611905019689</v>
      </c>
      <c r="V517" s="115">
        <f t="shared" si="355"/>
        <v>2.0970611905019689</v>
      </c>
    </row>
    <row r="518" spans="1:22" x14ac:dyDescent="0.2">
      <c r="A518" s="29">
        <f t="shared" si="356"/>
        <v>9</v>
      </c>
      <c r="B518" s="334" t="str">
        <f t="shared" si="349"/>
        <v>LNG &amp; e-Methane - Global - WTT Logistics - kgCO2/GJ</v>
      </c>
      <c r="C518" t="str" cm="1">
        <f t="array" ref="C518">INDEX(list_AE_fuel,A518)</f>
        <v>e-Methane (PS)</v>
      </c>
      <c r="D518" t="str">
        <f>+INDEX('Configurator Specs.'!$AH$4:$AH$36,MATCH('Fuel Selector'!C518,list_fuels_long,0))</f>
        <v>LNG &amp; e-Methane</v>
      </c>
      <c r="E518" t="s">
        <v>109</v>
      </c>
      <c r="F518" t="str">
        <f t="shared" si="350"/>
        <v>WTT Logistics - kgCO2/GJ</v>
      </c>
      <c r="G518" s="226"/>
      <c r="H518" s="412" t="str" cm="1">
        <f t="array" ref="H518">INDEX('Configurator Specs.'!$CG$5:$CG$24,A518)</f>
        <v>Modeled</v>
      </c>
      <c r="I518" t="s">
        <v>602</v>
      </c>
      <c r="K518" s="113">
        <f>IFERROR(INDEX('Fuel Logistics'!I:I,MATCH('Fuel Selector'!$B518,'Fuel Logistics'!$A:$A,0)),0)</f>
        <v>2.8561643835616435</v>
      </c>
      <c r="L518" s="113">
        <f>IFERROR(INDEX('Fuel Logistics'!J:J,MATCH('Fuel Selector'!$B518,'Fuel Logistics'!$A:$A,0)),0)</f>
        <v>2.5956236038527396</v>
      </c>
      <c r="M518" s="113">
        <f>IFERROR(INDEX('Fuel Logistics'!K:K,MATCH('Fuel Selector'!$B518,'Fuel Logistics'!$A:$A,0)),0)</f>
        <v>2.4143684136809012</v>
      </c>
      <c r="N518" s="113">
        <f>IFERROR(INDEX('Fuel Logistics'!L:L,MATCH('Fuel Selector'!$B518,'Fuel Logistics'!$A:$A,0)),0)</f>
        <v>2.288271286003094</v>
      </c>
      <c r="O518" s="113">
        <f>IFERROR(INDEX('Fuel Logistics'!M:M,MATCH('Fuel Selector'!$B518,'Fuel Logistics'!$A:$A,0)),0)</f>
        <v>2.2005469808755063</v>
      </c>
      <c r="P518" s="113">
        <f>IFERROR(INDEX('Fuel Logistics'!N:N,MATCH('Fuel Selector'!$B518,'Fuel Logistics'!$A:$A,0)),0)</f>
        <v>2.1395182020933192</v>
      </c>
      <c r="Q518" s="113">
        <f>IFERROR(INDEX('Fuel Logistics'!O:O,MATCH('Fuel Selector'!$B518,'Fuel Logistics'!$A:$A,0)),0)</f>
        <v>2.0970611905019689</v>
      </c>
      <c r="R518" s="115">
        <f t="shared" si="351"/>
        <v>2.0970611905019689</v>
      </c>
      <c r="S518" s="115">
        <f t="shared" si="352"/>
        <v>2.0970611905019689</v>
      </c>
      <c r="T518" s="115">
        <f t="shared" si="353"/>
        <v>2.0970611905019689</v>
      </c>
      <c r="U518" s="115">
        <f t="shared" si="354"/>
        <v>2.0970611905019689</v>
      </c>
      <c r="V518" s="115">
        <f t="shared" si="355"/>
        <v>2.0970611905019689</v>
      </c>
    </row>
    <row r="519" spans="1:22" x14ac:dyDescent="0.2">
      <c r="A519" s="29">
        <f t="shared" si="356"/>
        <v>10</v>
      </c>
      <c r="B519" s="334" t="str">
        <f t="shared" si="349"/>
        <v>Biomethanol - Global - WTT Logistics - kgCO2/GJ</v>
      </c>
      <c r="C519" t="str" cm="1">
        <f t="array" ref="C519">INDEX(list_AE_fuel,A519)</f>
        <v>Biomethanol</v>
      </c>
      <c r="D519" t="str">
        <f>+INDEX('Configurator Specs.'!$AH$4:$AH$36,MATCH('Fuel Selector'!C519,list_fuels_long,0))</f>
        <v>Biomethanol</v>
      </c>
      <c r="E519" t="s">
        <v>109</v>
      </c>
      <c r="F519" t="str">
        <f t="shared" si="350"/>
        <v>WTT Logistics - kgCO2/GJ</v>
      </c>
      <c r="G519"/>
      <c r="H519" s="412" t="str" cm="1">
        <f t="array" ref="H519">INDEX('Configurator Specs.'!$CG$5:$CG$24,A519)</f>
        <v>Modeled</v>
      </c>
      <c r="I519" t="s">
        <v>602</v>
      </c>
      <c r="K519" s="113">
        <f>IFERROR(INDEX('Fuel Logistics'!I:I,MATCH('Fuel Selector'!$B519,'Fuel Logistics'!$A:$A,0)),0)</f>
        <v>1.6296718127791301</v>
      </c>
      <c r="L519" s="113">
        <f>IFERROR(INDEX('Fuel Logistics'!J:J,MATCH('Fuel Selector'!$B519,'Fuel Logistics'!$A:$A,0)),0)</f>
        <v>1.1337437259264873</v>
      </c>
      <c r="M519" s="113">
        <f>IFERROR(INDEX('Fuel Logistics'!K:K,MATCH('Fuel Selector'!$B519,'Fuel Logistics'!$A:$A,0)),0)</f>
        <v>0.78873232389390391</v>
      </c>
      <c r="N519" s="113">
        <f>IFERROR(INDEX('Fuel Logistics'!L:L,MATCH('Fuel Selector'!$B519,'Fuel Logistics'!$A:$A,0)),0)</f>
        <v>0.54871190422394933</v>
      </c>
      <c r="O519" s="113">
        <f>IFERROR(INDEX('Fuel Logistics'!M:M,MATCH('Fuel Selector'!$B519,'Fuel Logistics'!$A:$A,0)),0)</f>
        <v>0.38173248986505692</v>
      </c>
      <c r="P519" s="113">
        <f>IFERROR(INDEX('Fuel Logistics'!N:N,MATCH('Fuel Selector'!$B519,'Fuel Logistics'!$A:$A,0)),0)</f>
        <v>0.26556685338305008</v>
      </c>
      <c r="Q519" s="113">
        <f>IFERROR(INDEX('Fuel Logistics'!O:O,MATCH('Fuel Selector'!$B519,'Fuel Logistics'!$A:$A,0)),0)</f>
        <v>0.18475177117018626</v>
      </c>
      <c r="R519" s="115">
        <f t="shared" si="351"/>
        <v>0.18475177117018626</v>
      </c>
      <c r="S519" s="115">
        <f t="shared" si="352"/>
        <v>0.18475177117018626</v>
      </c>
      <c r="T519" s="115">
        <f t="shared" si="353"/>
        <v>0.18475177117018626</v>
      </c>
      <c r="U519" s="115">
        <f t="shared" si="354"/>
        <v>0.18475177117018626</v>
      </c>
      <c r="V519" s="115">
        <f t="shared" si="355"/>
        <v>0.18475177117018626</v>
      </c>
    </row>
    <row r="520" spans="1:22" x14ac:dyDescent="0.2">
      <c r="A520" s="29">
        <f t="shared" si="356"/>
        <v>11</v>
      </c>
      <c r="B520" s="334" t="str">
        <f t="shared" si="349"/>
        <v>Grey and e-Methanol - Global - WTT Logistics - kgCO2/GJ</v>
      </c>
      <c r="C520" t="str" cm="1">
        <f t="array" ref="C520">INDEX(list_AE_fuel,A520)</f>
        <v>e-Methanol (DAC)</v>
      </c>
      <c r="D520" t="str">
        <f>+INDEX('Configurator Specs.'!$AH$4:$AH$36,MATCH('Fuel Selector'!C520,list_fuels_long,0))</f>
        <v>Grey and e-Methanol</v>
      </c>
      <c r="E520" t="s">
        <v>109</v>
      </c>
      <c r="F520" t="str">
        <f t="shared" si="350"/>
        <v>WTT Logistics - kgCO2/GJ</v>
      </c>
      <c r="G520"/>
      <c r="H520" s="412" t="str" cm="1">
        <f t="array" ref="H520">INDEX('Configurator Specs.'!$CG$5:$CG$24,A520)</f>
        <v>Modeled</v>
      </c>
      <c r="I520" t="s">
        <v>602</v>
      </c>
      <c r="K520" s="113">
        <f>IFERROR(INDEX('Fuel Logistics'!I:I,MATCH('Fuel Selector'!$B520,'Fuel Logistics'!$A:$A,0)),0)</f>
        <v>1.1407702689453911</v>
      </c>
      <c r="L520" s="113">
        <f>IFERROR(INDEX('Fuel Logistics'!J:J,MATCH('Fuel Selector'!$B520,'Fuel Logistics'!$A:$A,0)),0)</f>
        <v>0.79362060814854107</v>
      </c>
      <c r="M520" s="113">
        <f>IFERROR(INDEX('Fuel Logistics'!K:K,MATCH('Fuel Selector'!$B520,'Fuel Logistics'!$A:$A,0)),0)</f>
        <v>0.55211262672573269</v>
      </c>
      <c r="N520" s="113">
        <f>IFERROR(INDEX('Fuel Logistics'!L:L,MATCH('Fuel Selector'!$B520,'Fuel Logistics'!$A:$A,0)),0)</f>
        <v>0.38409833295676449</v>
      </c>
      <c r="O520" s="113">
        <f>IFERROR(INDEX('Fuel Logistics'!M:M,MATCH('Fuel Selector'!$B520,'Fuel Logistics'!$A:$A,0)),0)</f>
        <v>0.26721274290553987</v>
      </c>
      <c r="P520" s="113">
        <f>IFERROR(INDEX('Fuel Logistics'!N:N,MATCH('Fuel Selector'!$B520,'Fuel Logistics'!$A:$A,0)),0)</f>
        <v>0.18589679736813508</v>
      </c>
      <c r="Q520" s="113">
        <f>IFERROR(INDEX('Fuel Logistics'!O:O,MATCH('Fuel Selector'!$B520,'Fuel Logistics'!$A:$A,0)),0)</f>
        <v>0.12932623981913038</v>
      </c>
      <c r="R520" s="115">
        <f t="shared" si="351"/>
        <v>0.12932623981913038</v>
      </c>
      <c r="S520" s="115">
        <f t="shared" si="352"/>
        <v>0.12932623981913038</v>
      </c>
      <c r="T520" s="115">
        <f t="shared" si="353"/>
        <v>0.12932623981913038</v>
      </c>
      <c r="U520" s="115">
        <f t="shared" si="354"/>
        <v>0.12932623981913038</v>
      </c>
      <c r="V520" s="115">
        <f t="shared" si="355"/>
        <v>0.12932623981913038</v>
      </c>
    </row>
    <row r="521" spans="1:22" x14ac:dyDescent="0.2">
      <c r="A521" s="29">
        <f t="shared" si="356"/>
        <v>12</v>
      </c>
      <c r="B521" s="334" t="str">
        <f t="shared" si="349"/>
        <v>Grey and e-Methanol - Global - WTT Logistics - kgCO2/GJ</v>
      </c>
      <c r="C521" t="str" cm="1">
        <f t="array" ref="C521">INDEX(list_AE_fuel,A521)</f>
        <v>e-Methanol (PS)</v>
      </c>
      <c r="D521" t="str">
        <f>+INDEX('Configurator Specs.'!$AH$4:$AH$36,MATCH('Fuel Selector'!C521,list_fuels_long,0))</f>
        <v>Grey and e-Methanol</v>
      </c>
      <c r="E521" t="s">
        <v>109</v>
      </c>
      <c r="F521" t="str">
        <f t="shared" si="350"/>
        <v>WTT Logistics - kgCO2/GJ</v>
      </c>
      <c r="G521"/>
      <c r="H521" s="412" t="str" cm="1">
        <f t="array" ref="H521">INDEX('Configurator Specs.'!$CG$5:$CG$24,A521)</f>
        <v>Modeled</v>
      </c>
      <c r="I521" t="s">
        <v>602</v>
      </c>
      <c r="K521" s="113">
        <f>IFERROR(INDEX('Fuel Logistics'!I:I,MATCH('Fuel Selector'!$B521,'Fuel Logistics'!$A:$A,0)),0)</f>
        <v>1.1407702689453911</v>
      </c>
      <c r="L521" s="113">
        <f>IFERROR(INDEX('Fuel Logistics'!J:J,MATCH('Fuel Selector'!$B521,'Fuel Logistics'!$A:$A,0)),0)</f>
        <v>0.79362060814854107</v>
      </c>
      <c r="M521" s="113">
        <f>IFERROR(INDEX('Fuel Logistics'!K:K,MATCH('Fuel Selector'!$B521,'Fuel Logistics'!$A:$A,0)),0)</f>
        <v>0.55211262672573269</v>
      </c>
      <c r="N521" s="113">
        <f>IFERROR(INDEX('Fuel Logistics'!L:L,MATCH('Fuel Selector'!$B521,'Fuel Logistics'!$A:$A,0)),0)</f>
        <v>0.38409833295676449</v>
      </c>
      <c r="O521" s="113">
        <f>IFERROR(INDEX('Fuel Logistics'!M:M,MATCH('Fuel Selector'!$B521,'Fuel Logistics'!$A:$A,0)),0)</f>
        <v>0.26721274290553987</v>
      </c>
      <c r="P521" s="113">
        <f>IFERROR(INDEX('Fuel Logistics'!N:N,MATCH('Fuel Selector'!$B521,'Fuel Logistics'!$A:$A,0)),0)</f>
        <v>0.18589679736813508</v>
      </c>
      <c r="Q521" s="113">
        <f>IFERROR(INDEX('Fuel Logistics'!O:O,MATCH('Fuel Selector'!$B521,'Fuel Logistics'!$A:$A,0)),0)</f>
        <v>0.12932623981913038</v>
      </c>
      <c r="R521" s="115">
        <f t="shared" si="351"/>
        <v>0.12932623981913038</v>
      </c>
      <c r="S521" s="115">
        <f t="shared" si="352"/>
        <v>0.12932623981913038</v>
      </c>
      <c r="T521" s="115">
        <f t="shared" si="353"/>
        <v>0.12932623981913038</v>
      </c>
      <c r="U521" s="115">
        <f t="shared" si="354"/>
        <v>0.12932623981913038</v>
      </c>
      <c r="V521" s="115">
        <f t="shared" si="355"/>
        <v>0.12932623981913038</v>
      </c>
    </row>
    <row r="522" spans="1:22" x14ac:dyDescent="0.2">
      <c r="A522" s="29">
        <f t="shared" si="356"/>
        <v>13</v>
      </c>
      <c r="B522" s="334" t="str">
        <f t="shared" si="349"/>
        <v>Bio-oils - Global - WTT Logistics - kgCO2/GJ</v>
      </c>
      <c r="C522" t="str" cm="1">
        <f t="array" ref="C522">INDEX(list_AE_fuel,A522)</f>
        <v>Biodiesel (HtL)</v>
      </c>
      <c r="D522" t="str">
        <f>+INDEX('Configurator Specs.'!$AH$4:$AH$36,MATCH('Fuel Selector'!C522,list_fuels_long,0))</f>
        <v>Bio-oils</v>
      </c>
      <c r="E522" t="s">
        <v>109</v>
      </c>
      <c r="F522" t="str">
        <f t="shared" si="350"/>
        <v>WTT Logistics - kgCO2/GJ</v>
      </c>
      <c r="G522"/>
      <c r="H522" s="412" t="str" cm="1">
        <f t="array" ref="H522">INDEX('Configurator Specs.'!$CG$5:$CG$24,A522)</f>
        <v>Modeled</v>
      </c>
      <c r="I522" t="s">
        <v>602</v>
      </c>
      <c r="K522" s="113">
        <f>IFERROR(INDEX('Fuel Logistics'!I:I,MATCH('Fuel Selector'!$B522,'Fuel Logistics'!$A:$A,0)),0)</f>
        <v>0.66835627132056497</v>
      </c>
      <c r="L522" s="113">
        <f>IFERROR(INDEX('Fuel Logistics'!J:J,MATCH('Fuel Selector'!$B522,'Fuel Logistics'!$A:$A,0)),0)</f>
        <v>0.46496768450643206</v>
      </c>
      <c r="M522" s="113">
        <f>IFERROR(INDEX('Fuel Logistics'!K:K,MATCH('Fuel Selector'!$B522,'Fuel Logistics'!$A:$A,0)),0)</f>
        <v>0.3234726102114765</v>
      </c>
      <c r="N522" s="113">
        <f>IFERROR(INDEX('Fuel Logistics'!L:L,MATCH('Fuel Selector'!$B522,'Fuel Logistics'!$A:$A,0)),0)</f>
        <v>0.22503613271123651</v>
      </c>
      <c r="O522" s="113">
        <f>IFERROR(INDEX('Fuel Logistics'!M:M,MATCH('Fuel Selector'!$B522,'Fuel Logistics'!$A:$A,0)),0)</f>
        <v>0.15655502019945847</v>
      </c>
      <c r="P522" s="113">
        <f>IFERROR(INDEX('Fuel Logistics'!N:N,MATCH('Fuel Selector'!$B522,'Fuel Logistics'!$A:$A,0)),0)</f>
        <v>0.1089135067082898</v>
      </c>
      <c r="Q522" s="113">
        <f>IFERROR(INDEX('Fuel Logistics'!O:O,MATCH('Fuel Selector'!$B522,'Fuel Logistics'!$A:$A,0)),0)</f>
        <v>7.5769859876634704E-2</v>
      </c>
      <c r="R522" s="115">
        <f t="shared" si="351"/>
        <v>7.5769859876634704E-2</v>
      </c>
      <c r="S522" s="115">
        <f t="shared" si="352"/>
        <v>7.5769859876634704E-2</v>
      </c>
      <c r="T522" s="115">
        <f t="shared" si="353"/>
        <v>7.5769859876634704E-2</v>
      </c>
      <c r="U522" s="115">
        <f t="shared" si="354"/>
        <v>7.5769859876634704E-2</v>
      </c>
      <c r="V522" s="115">
        <f t="shared" si="355"/>
        <v>7.5769859876634704E-2</v>
      </c>
    </row>
    <row r="523" spans="1:22" x14ac:dyDescent="0.2">
      <c r="A523" s="29">
        <f t="shared" si="356"/>
        <v>14</v>
      </c>
      <c r="B523" s="334" t="str">
        <f t="shared" si="349"/>
        <v>Bio - Global - WTT Logistics - kgCO2/GJ</v>
      </c>
      <c r="C523" t="str" cm="1">
        <f t="array" ref="C523">INDEX(list_AE_fuel,A523)</f>
        <v>Biodiesel (Pyr)</v>
      </c>
      <c r="D523" t="str">
        <f>+INDEX('Configurator Specs.'!$AH$4:$AH$36,MATCH('Fuel Selector'!C523,list_fuels_long,0))</f>
        <v>Bio</v>
      </c>
      <c r="E523" t="s">
        <v>109</v>
      </c>
      <c r="F523" t="str">
        <f t="shared" si="350"/>
        <v>WTT Logistics - kgCO2/GJ</v>
      </c>
      <c r="G523"/>
      <c r="H523" s="412" t="str" cm="1">
        <f t="array" ref="H523">INDEX('Configurator Specs.'!$CG$5:$CG$24,A523)</f>
        <v>Modeled</v>
      </c>
      <c r="I523" t="s">
        <v>602</v>
      </c>
      <c r="K523" s="113">
        <f>IFERROR(INDEX('Fuel Logistics'!I:I,MATCH('Fuel Selector'!$B523,'Fuel Logistics'!$A:$A,0)),0)</f>
        <v>0</v>
      </c>
      <c r="L523" s="113">
        <f>IFERROR(INDEX('Fuel Logistics'!J:J,MATCH('Fuel Selector'!$B523,'Fuel Logistics'!$A:$A,0)),0)</f>
        <v>0</v>
      </c>
      <c r="M523" s="113">
        <f>IFERROR(INDEX('Fuel Logistics'!K:K,MATCH('Fuel Selector'!$B523,'Fuel Logistics'!$A:$A,0)),0)</f>
        <v>0</v>
      </c>
      <c r="N523" s="113">
        <f>IFERROR(INDEX('Fuel Logistics'!L:L,MATCH('Fuel Selector'!$B523,'Fuel Logistics'!$A:$A,0)),0)</f>
        <v>0</v>
      </c>
      <c r="O523" s="113">
        <f>IFERROR(INDEX('Fuel Logistics'!M:M,MATCH('Fuel Selector'!$B523,'Fuel Logistics'!$A:$A,0)),0)</f>
        <v>0</v>
      </c>
      <c r="P523" s="113">
        <f>IFERROR(INDEX('Fuel Logistics'!N:N,MATCH('Fuel Selector'!$B523,'Fuel Logistics'!$A:$A,0)),0)</f>
        <v>0</v>
      </c>
      <c r="Q523" s="113">
        <f>IFERROR(INDEX('Fuel Logistics'!O:O,MATCH('Fuel Selector'!$B523,'Fuel Logistics'!$A:$A,0)),0)</f>
        <v>0</v>
      </c>
      <c r="R523" s="115">
        <f t="shared" si="351"/>
        <v>0</v>
      </c>
      <c r="S523" s="115">
        <f t="shared" si="352"/>
        <v>0</v>
      </c>
      <c r="T523" s="115">
        <f t="shared" si="353"/>
        <v>0</v>
      </c>
      <c r="U523" s="115">
        <f t="shared" si="354"/>
        <v>0</v>
      </c>
      <c r="V523" s="115">
        <f t="shared" si="355"/>
        <v>0</v>
      </c>
    </row>
    <row r="524" spans="1:22" x14ac:dyDescent="0.2">
      <c r="A524" s="29">
        <f t="shared" si="356"/>
        <v>15</v>
      </c>
      <c r="B524" s="334" t="str">
        <f t="shared" si="349"/>
        <v>Bio-oils - Global - WTT Logistics - kgCO2/GJ</v>
      </c>
      <c r="C524" t="str" cm="1">
        <f t="array" ref="C524">INDEX(list_AE_fuel,A524)</f>
        <v>e-Diesel (DAC)</v>
      </c>
      <c r="D524" t="str">
        <f>+INDEX('Configurator Specs.'!$AH$4:$AH$36,MATCH('Fuel Selector'!C524,list_fuels_long,0))</f>
        <v>Bio-oils</v>
      </c>
      <c r="E524" t="s">
        <v>109</v>
      </c>
      <c r="F524" t="str">
        <f t="shared" si="350"/>
        <v>WTT Logistics - kgCO2/GJ</v>
      </c>
      <c r="G524"/>
      <c r="H524" s="412" t="str" cm="1">
        <f t="array" ref="H524">INDEX('Configurator Specs.'!$CG$5:$CG$24,A524)</f>
        <v>Modeled</v>
      </c>
      <c r="I524" t="s">
        <v>602</v>
      </c>
      <c r="K524" s="113">
        <f>IFERROR(INDEX('Fuel Logistics'!I:I,MATCH('Fuel Selector'!$B524,'Fuel Logistics'!$A:$A,0)),0)</f>
        <v>0.66835627132056497</v>
      </c>
      <c r="L524" s="113">
        <f>IFERROR(INDEX('Fuel Logistics'!J:J,MATCH('Fuel Selector'!$B524,'Fuel Logistics'!$A:$A,0)),0)</f>
        <v>0.46496768450643206</v>
      </c>
      <c r="M524" s="113">
        <f>IFERROR(INDEX('Fuel Logistics'!K:K,MATCH('Fuel Selector'!$B524,'Fuel Logistics'!$A:$A,0)),0)</f>
        <v>0.3234726102114765</v>
      </c>
      <c r="N524" s="113">
        <f>IFERROR(INDEX('Fuel Logistics'!L:L,MATCH('Fuel Selector'!$B524,'Fuel Logistics'!$A:$A,0)),0)</f>
        <v>0.22503613271123651</v>
      </c>
      <c r="O524" s="113">
        <f>IFERROR(INDEX('Fuel Logistics'!M:M,MATCH('Fuel Selector'!$B524,'Fuel Logistics'!$A:$A,0)),0)</f>
        <v>0.15655502019945847</v>
      </c>
      <c r="P524" s="113">
        <f>IFERROR(INDEX('Fuel Logistics'!N:N,MATCH('Fuel Selector'!$B524,'Fuel Logistics'!$A:$A,0)),0)</f>
        <v>0.1089135067082898</v>
      </c>
      <c r="Q524" s="113">
        <f>IFERROR(INDEX('Fuel Logistics'!O:O,MATCH('Fuel Selector'!$B524,'Fuel Logistics'!$A:$A,0)),0)</f>
        <v>7.5769859876634704E-2</v>
      </c>
      <c r="R524" s="115">
        <f t="shared" si="351"/>
        <v>7.5769859876634704E-2</v>
      </c>
      <c r="S524" s="115">
        <f t="shared" si="352"/>
        <v>7.5769859876634704E-2</v>
      </c>
      <c r="T524" s="115">
        <f t="shared" si="353"/>
        <v>7.5769859876634704E-2</v>
      </c>
      <c r="U524" s="115">
        <f t="shared" si="354"/>
        <v>7.5769859876634704E-2</v>
      </c>
      <c r="V524" s="115">
        <f t="shared" si="355"/>
        <v>7.5769859876634704E-2</v>
      </c>
    </row>
    <row r="525" spans="1:22" x14ac:dyDescent="0.2">
      <c r="A525" s="29">
        <f t="shared" si="356"/>
        <v>16</v>
      </c>
      <c r="B525" s="334" t="str">
        <f t="shared" si="349"/>
        <v>Bio-oils - Global - WTT Logistics - kgCO2/GJ</v>
      </c>
      <c r="C525" t="str" cm="1">
        <f t="array" ref="C525">INDEX(list_AE_fuel,A525)</f>
        <v>e-Diesel (PS)</v>
      </c>
      <c r="D525" t="str">
        <f>+INDEX('Configurator Specs.'!$AH$4:$AH$36,MATCH('Fuel Selector'!C525,list_fuels_long,0))</f>
        <v>Bio-oils</v>
      </c>
      <c r="E525" t="s">
        <v>109</v>
      </c>
      <c r="F525" t="str">
        <f t="shared" si="350"/>
        <v>WTT Logistics - kgCO2/GJ</v>
      </c>
      <c r="G525"/>
      <c r="H525" s="412" t="str" cm="1">
        <f t="array" ref="H525">INDEX('Configurator Specs.'!$CG$5:$CG$24,A525)</f>
        <v>Modeled</v>
      </c>
      <c r="I525" t="s">
        <v>602</v>
      </c>
      <c r="K525" s="113">
        <f>IFERROR(INDEX('Fuel Logistics'!I:I,MATCH('Fuel Selector'!$B525,'Fuel Logistics'!$A:$A,0)),0)</f>
        <v>0.66835627132056497</v>
      </c>
      <c r="L525" s="113">
        <f>IFERROR(INDEX('Fuel Logistics'!J:J,MATCH('Fuel Selector'!$B525,'Fuel Logistics'!$A:$A,0)),0)</f>
        <v>0.46496768450643206</v>
      </c>
      <c r="M525" s="113">
        <f>IFERROR(INDEX('Fuel Logistics'!K:K,MATCH('Fuel Selector'!$B525,'Fuel Logistics'!$A:$A,0)),0)</f>
        <v>0.3234726102114765</v>
      </c>
      <c r="N525" s="113">
        <f>IFERROR(INDEX('Fuel Logistics'!L:L,MATCH('Fuel Selector'!$B525,'Fuel Logistics'!$A:$A,0)),0)</f>
        <v>0.22503613271123651</v>
      </c>
      <c r="O525" s="113">
        <f>IFERROR(INDEX('Fuel Logistics'!M:M,MATCH('Fuel Selector'!$B525,'Fuel Logistics'!$A:$A,0)),0)</f>
        <v>0.15655502019945847</v>
      </c>
      <c r="P525" s="113">
        <f>IFERROR(INDEX('Fuel Logistics'!N:N,MATCH('Fuel Selector'!$B525,'Fuel Logistics'!$A:$A,0)),0)</f>
        <v>0.1089135067082898</v>
      </c>
      <c r="Q525" s="113">
        <f>IFERROR(INDEX('Fuel Logistics'!O:O,MATCH('Fuel Selector'!$B525,'Fuel Logistics'!$A:$A,0)),0)</f>
        <v>7.5769859876634704E-2</v>
      </c>
      <c r="R525" s="115">
        <f t="shared" si="351"/>
        <v>7.5769859876634704E-2</v>
      </c>
      <c r="S525" s="115">
        <f t="shared" si="352"/>
        <v>7.5769859876634704E-2</v>
      </c>
      <c r="T525" s="115">
        <f t="shared" si="353"/>
        <v>7.5769859876634704E-2</v>
      </c>
      <c r="U525" s="115">
        <f t="shared" si="354"/>
        <v>7.5769859876634704E-2</v>
      </c>
      <c r="V525" s="115">
        <f t="shared" si="355"/>
        <v>7.5769859876634704E-2</v>
      </c>
    </row>
    <row r="526" spans="1:22" x14ac:dyDescent="0.2">
      <c r="A526" s="29">
        <f t="shared" si="356"/>
        <v>17</v>
      </c>
      <c r="B526" s="334" t="str">
        <f t="shared" si="349"/>
        <v>Bio - Global - WTT Logistics - kgCO2/GJ</v>
      </c>
      <c r="C526" t="str" cm="1">
        <f t="array" ref="C526">INDEX(list_AE_fuel,A526)</f>
        <v>Biodiesel (HtL blend)</v>
      </c>
      <c r="D526" t="str">
        <f>+INDEX('Configurator Specs.'!$AH$4:$AH$36,MATCH('Fuel Selector'!C526,list_fuels_long,0))</f>
        <v>Bio</v>
      </c>
      <c r="E526" t="s">
        <v>109</v>
      </c>
      <c r="F526" t="str">
        <f t="shared" si="350"/>
        <v>WTT Logistics - kgCO2/GJ</v>
      </c>
      <c r="G526"/>
      <c r="H526" s="412" t="str" cm="1">
        <f t="array" ref="H526">INDEX('Configurator Specs.'!$CG$5:$CG$24,A526)</f>
        <v>Modeled</v>
      </c>
      <c r="I526" t="s">
        <v>602</v>
      </c>
      <c r="K526" s="113">
        <f>IFERROR(INDEX('Fuel Logistics'!I:I,MATCH('Fuel Selector'!$B526,'Fuel Logistics'!$A:$A,0)),0)</f>
        <v>0</v>
      </c>
      <c r="L526" s="113">
        <f>IFERROR(INDEX('Fuel Logistics'!J:J,MATCH('Fuel Selector'!$B526,'Fuel Logistics'!$A:$A,0)),0)</f>
        <v>0</v>
      </c>
      <c r="M526" s="113">
        <f>IFERROR(INDEX('Fuel Logistics'!K:K,MATCH('Fuel Selector'!$B526,'Fuel Logistics'!$A:$A,0)),0)</f>
        <v>0</v>
      </c>
      <c r="N526" s="113">
        <f>IFERROR(INDEX('Fuel Logistics'!L:L,MATCH('Fuel Selector'!$B526,'Fuel Logistics'!$A:$A,0)),0)</f>
        <v>0</v>
      </c>
      <c r="O526" s="113">
        <f>IFERROR(INDEX('Fuel Logistics'!M:M,MATCH('Fuel Selector'!$B526,'Fuel Logistics'!$A:$A,0)),0)</f>
        <v>0</v>
      </c>
      <c r="P526" s="113">
        <f>IFERROR(INDEX('Fuel Logistics'!N:N,MATCH('Fuel Selector'!$B526,'Fuel Logistics'!$A:$A,0)),0)</f>
        <v>0</v>
      </c>
      <c r="Q526" s="113">
        <f>IFERROR(INDEX('Fuel Logistics'!O:O,MATCH('Fuel Selector'!$B526,'Fuel Logistics'!$A:$A,0)),0)</f>
        <v>0</v>
      </c>
      <c r="R526" s="115">
        <f t="shared" si="351"/>
        <v>0</v>
      </c>
      <c r="S526" s="115">
        <f t="shared" si="352"/>
        <v>0</v>
      </c>
      <c r="T526" s="115">
        <f t="shared" si="353"/>
        <v>0</v>
      </c>
      <c r="U526" s="115">
        <f t="shared" si="354"/>
        <v>0</v>
      </c>
      <c r="V526" s="115">
        <f t="shared" si="355"/>
        <v>0</v>
      </c>
    </row>
    <row r="527" spans="1:22" x14ac:dyDescent="0.2">
      <c r="A527" s="29">
        <f t="shared" si="356"/>
        <v>18</v>
      </c>
      <c r="B527" s="334" t="str">
        <f t="shared" si="349"/>
        <v>Bio - Global - WTT Logistics - kgCO2/GJ</v>
      </c>
      <c r="C527" t="str" cm="1">
        <f t="array" ref="C527">INDEX(list_AE_fuel,A527)</f>
        <v>Biodiesel (Pyr blend)</v>
      </c>
      <c r="D527" t="str">
        <f>+INDEX('Configurator Specs.'!$AH$4:$AH$36,MATCH('Fuel Selector'!C527,list_fuels_long,0))</f>
        <v>Bio</v>
      </c>
      <c r="E527" t="s">
        <v>109</v>
      </c>
      <c r="F527" t="str">
        <f t="shared" si="350"/>
        <v>WTT Logistics - kgCO2/GJ</v>
      </c>
      <c r="G527"/>
      <c r="H527" s="412" t="str" cm="1">
        <f t="array" ref="H527">INDEX('Configurator Specs.'!$CG$5:$CG$24,A527)</f>
        <v>Modeled</v>
      </c>
      <c r="I527" t="s">
        <v>602</v>
      </c>
      <c r="K527" s="113">
        <f>IFERROR(INDEX('Fuel Logistics'!I:I,MATCH('Fuel Selector'!$B527,'Fuel Logistics'!$A:$A,0)),0)</f>
        <v>0</v>
      </c>
      <c r="L527" s="113">
        <f>IFERROR(INDEX('Fuel Logistics'!J:J,MATCH('Fuel Selector'!$B527,'Fuel Logistics'!$A:$A,0)),0)</f>
        <v>0</v>
      </c>
      <c r="M527" s="113">
        <f>IFERROR(INDEX('Fuel Logistics'!K:K,MATCH('Fuel Selector'!$B527,'Fuel Logistics'!$A:$A,0)),0)</f>
        <v>0</v>
      </c>
      <c r="N527" s="113">
        <f>IFERROR(INDEX('Fuel Logistics'!L:L,MATCH('Fuel Selector'!$B527,'Fuel Logistics'!$A:$A,0)),0)</f>
        <v>0</v>
      </c>
      <c r="O527" s="113">
        <f>IFERROR(INDEX('Fuel Logistics'!M:M,MATCH('Fuel Selector'!$B527,'Fuel Logistics'!$A:$A,0)),0)</f>
        <v>0</v>
      </c>
      <c r="P527" s="113">
        <f>IFERROR(INDEX('Fuel Logistics'!N:N,MATCH('Fuel Selector'!$B527,'Fuel Logistics'!$A:$A,0)),0)</f>
        <v>0</v>
      </c>
      <c r="Q527" s="113">
        <f>IFERROR(INDEX('Fuel Logistics'!O:O,MATCH('Fuel Selector'!$B527,'Fuel Logistics'!$A:$A,0)),0)</f>
        <v>0</v>
      </c>
      <c r="R527" s="115">
        <f t="shared" si="351"/>
        <v>0</v>
      </c>
      <c r="S527" s="115">
        <f t="shared" si="352"/>
        <v>0</v>
      </c>
      <c r="T527" s="115">
        <f t="shared" si="353"/>
        <v>0</v>
      </c>
      <c r="U527" s="115">
        <f t="shared" si="354"/>
        <v>0</v>
      </c>
      <c r="V527" s="115">
        <f t="shared" si="355"/>
        <v>0</v>
      </c>
    </row>
    <row r="528" spans="1:22" x14ac:dyDescent="0.2">
      <c r="A528" s="29">
        <f t="shared" si="356"/>
        <v>19</v>
      </c>
      <c r="B528" s="334" t="str">
        <f t="shared" si="349"/>
        <v>Blue hydrogen (liquid) - Global - WTT Logistics - kgCO2/GJ</v>
      </c>
      <c r="C528" t="str" cm="1">
        <f t="array" ref="C528">INDEX(list_AE_fuel,A528)</f>
        <v>Blue hydrogen (liquid)</v>
      </c>
      <c r="D528" t="str">
        <f>+INDEX('Configurator Specs.'!$AH$4:$AH$36,MATCH('Fuel Selector'!C528,list_fuels_long,0))</f>
        <v>Blue hydrogen (liquid)</v>
      </c>
      <c r="E528" t="s">
        <v>109</v>
      </c>
      <c r="F528" t="str">
        <f t="shared" si="350"/>
        <v>WTT Logistics - kgCO2/GJ</v>
      </c>
      <c r="G528"/>
      <c r="H528" s="412" t="str" cm="1">
        <f t="array" ref="H528">INDEX('Configurator Specs.'!$CG$5:$CG$24,A528)</f>
        <v>Modeled</v>
      </c>
      <c r="I528" t="s">
        <v>602</v>
      </c>
      <c r="K528" s="113">
        <f>IFERROR(INDEX('Fuel Logistics'!I:I,MATCH('Fuel Selector'!$B528,'Fuel Logistics'!$A:$A,0)),0)</f>
        <v>2.1714314075838792</v>
      </c>
      <c r="L528" s="113">
        <f>IFERROR(INDEX('Fuel Logistics'!J:J,MATCH('Fuel Selector'!$B528,'Fuel Logistics'!$A:$A,0)),0)</f>
        <v>1.5106395749888319</v>
      </c>
      <c r="M528" s="113">
        <f>IFERROR(INDEX('Fuel Logistics'!K:K,MATCH('Fuel Selector'!$B528,'Fuel Logistics'!$A:$A,0)),0)</f>
        <v>1.0509343825240254</v>
      </c>
      <c r="N528" s="113">
        <f>IFERROR(INDEX('Fuel Logistics'!L:L,MATCH('Fuel Selector'!$B528,'Fuel Logistics'!$A:$A,0)),0)</f>
        <v>0.7311228268194413</v>
      </c>
      <c r="O528" s="113">
        <f>IFERROR(INDEX('Fuel Logistics'!M:M,MATCH('Fuel Selector'!$B528,'Fuel Logistics'!$A:$A,0)),0)</f>
        <v>0.50863364714802328</v>
      </c>
      <c r="P528" s="113">
        <f>IFERROR(INDEX('Fuel Logistics'!N:N,MATCH('Fuel Selector'!$B528,'Fuel Logistics'!$A:$A,0)),0)</f>
        <v>0.35385051255551975</v>
      </c>
      <c r="Q528" s="113">
        <f>IFERROR(INDEX('Fuel Logistics'!O:O,MATCH('Fuel Selector'!$B528,'Fuel Logistics'!$A:$A,0)),0)</f>
        <v>0.24616968605571857</v>
      </c>
      <c r="R528" s="115">
        <f t="shared" si="351"/>
        <v>0.24616968605571857</v>
      </c>
      <c r="S528" s="115">
        <f t="shared" si="352"/>
        <v>0.24616968605571857</v>
      </c>
      <c r="T528" s="115">
        <f t="shared" si="353"/>
        <v>0.24616968605571857</v>
      </c>
      <c r="U528" s="115">
        <f t="shared" si="354"/>
        <v>0.24616968605571857</v>
      </c>
      <c r="V528" s="115">
        <f t="shared" si="355"/>
        <v>0.24616968605571857</v>
      </c>
    </row>
    <row r="529" spans="1:22" x14ac:dyDescent="0.2">
      <c r="A529" s="29">
        <f t="shared" si="356"/>
        <v>20</v>
      </c>
      <c r="B529" s="334" t="str">
        <f t="shared" si="349"/>
        <v>e-Hydrogen (liquid) - Global - WTT Logistics - kgCO2/GJ</v>
      </c>
      <c r="C529" t="str" cm="1">
        <f t="array" ref="C529">INDEX(list_AE_fuel,A529)</f>
        <v>e-Hydrogen (liquid)</v>
      </c>
      <c r="D529" t="str">
        <f>+INDEX('Configurator Specs.'!$AH$4:$AH$36,MATCH('Fuel Selector'!C529,list_fuels_long,0))</f>
        <v>e-Hydrogen (liquid)</v>
      </c>
      <c r="E529" t="s">
        <v>109</v>
      </c>
      <c r="F529" t="str">
        <f t="shared" si="350"/>
        <v>WTT Logistics - kgCO2/GJ</v>
      </c>
      <c r="G529"/>
      <c r="H529" s="412" t="str" cm="1">
        <f t="array" ref="H529">INDEX('Configurator Specs.'!$CG$5:$CG$24,A529)</f>
        <v>Modeled</v>
      </c>
      <c r="I529" t="s">
        <v>602</v>
      </c>
      <c r="K529" s="113">
        <f>IFERROR(INDEX('Fuel Logistics'!I:I,MATCH('Fuel Selector'!$B529,'Fuel Logistics'!$A:$A,0)),0)</f>
        <v>2.1714314075838792</v>
      </c>
      <c r="L529" s="113">
        <f>IFERROR(INDEX('Fuel Logistics'!J:J,MATCH('Fuel Selector'!$B529,'Fuel Logistics'!$A:$A,0)),0)</f>
        <v>1.5106395749888319</v>
      </c>
      <c r="M529" s="113">
        <f>IFERROR(INDEX('Fuel Logistics'!K:K,MATCH('Fuel Selector'!$B529,'Fuel Logistics'!$A:$A,0)),0)</f>
        <v>1.0509343825240254</v>
      </c>
      <c r="N529" s="113">
        <f>IFERROR(INDEX('Fuel Logistics'!L:L,MATCH('Fuel Selector'!$B529,'Fuel Logistics'!$A:$A,0)),0)</f>
        <v>0.7311228268194413</v>
      </c>
      <c r="O529" s="113">
        <f>IFERROR(INDEX('Fuel Logistics'!M:M,MATCH('Fuel Selector'!$B529,'Fuel Logistics'!$A:$A,0)),0)</f>
        <v>0.50863364714802328</v>
      </c>
      <c r="P529" s="113">
        <f>IFERROR(INDEX('Fuel Logistics'!N:N,MATCH('Fuel Selector'!$B529,'Fuel Logistics'!$A:$A,0)),0)</f>
        <v>0.35385051255551975</v>
      </c>
      <c r="Q529" s="113">
        <f>IFERROR(INDEX('Fuel Logistics'!O:O,MATCH('Fuel Selector'!$B529,'Fuel Logistics'!$A:$A,0)),0)</f>
        <v>0.24616968605571857</v>
      </c>
      <c r="R529" s="115">
        <f t="shared" si="351"/>
        <v>0.24616968605571857</v>
      </c>
      <c r="S529" s="115">
        <f t="shared" si="352"/>
        <v>0.24616968605571857</v>
      </c>
      <c r="T529" s="115">
        <f t="shared" si="353"/>
        <v>0.24616968605571857</v>
      </c>
      <c r="U529" s="115">
        <f t="shared" si="354"/>
        <v>0.24616968605571857</v>
      </c>
      <c r="V529" s="115">
        <f t="shared" si="355"/>
        <v>0.24616968605571857</v>
      </c>
    </row>
  </sheetData>
  <pageMargins left="0.7" right="0.7" top="0.75" bottom="0.75" header="0.3" footer="0.3"/>
  <pageSetup orientation="portrait" r:id="rId1"/>
  <headerFooter>
    <oddFooter>&amp;C_x000D_&amp;1#&amp;"Calibri"&amp;10&amp;K000000 Business External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89E3C-7297-43AA-9F9F-31C9F5AFAAD9}">
  <sheetPr codeName="Sheet17">
    <tabColor theme="2"/>
  </sheetPr>
  <dimension ref="A1:AB725"/>
  <sheetViews>
    <sheetView showGridLines="0" topLeftCell="B1" workbookViewId="0"/>
  </sheetViews>
  <sheetFormatPr defaultColWidth="8.85546875" defaultRowHeight="12.75" outlineLevelRow="1" outlineLevelCol="1" x14ac:dyDescent="0.2"/>
  <cols>
    <col min="1" max="1" width="64.42578125" hidden="1" customWidth="1" outlineLevel="1"/>
    <col min="2" max="2" width="2.5703125" customWidth="1" collapsed="1"/>
    <col min="3" max="3" width="13.85546875" customWidth="1"/>
    <col min="4" max="4" width="21.42578125" customWidth="1"/>
    <col min="5" max="5" width="20" customWidth="1"/>
    <col min="6" max="6" width="41.85546875" customWidth="1"/>
    <col min="7" max="7" width="21.42578125" style="224" customWidth="1"/>
    <col min="8" max="8" width="11.5703125" bestFit="1" customWidth="1"/>
    <col min="9" max="15" width="7.5703125" customWidth="1"/>
    <col min="16" max="20" width="8.5703125" hidden="1" customWidth="1" outlineLevel="1"/>
    <col min="21" max="21" width="8.5703125" customWidth="1" collapsed="1"/>
  </cols>
  <sheetData>
    <row r="1" spans="1:28" s="265" customFormat="1" ht="38.1" customHeight="1" x14ac:dyDescent="0.2">
      <c r="B1" s="413"/>
      <c r="F1" s="265" t="str" cm="1">
        <f t="array" aca="1" ref="F1" ca="1">MID(CELL("filename",A1),FIND("]",CELL("filename",A1))+1,255)</f>
        <v>Fuel Logistics</v>
      </c>
      <c r="V1" s="414"/>
      <c r="W1" s="414"/>
      <c r="X1" s="414"/>
      <c r="Y1" s="414"/>
      <c r="Z1" s="414"/>
      <c r="AA1" s="414"/>
      <c r="AB1" s="414"/>
    </row>
    <row r="2" spans="1:28" x14ac:dyDescent="0.2">
      <c r="A2" t="s">
        <v>729</v>
      </c>
      <c r="V2" s="266" t="s">
        <v>730</v>
      </c>
    </row>
    <row r="3" spans="1:28" x14ac:dyDescent="0.2">
      <c r="A3" s="223" t="s">
        <v>618</v>
      </c>
      <c r="B3" s="415"/>
      <c r="C3" s="222" t="s">
        <v>475</v>
      </c>
      <c r="D3" s="222" t="s">
        <v>49</v>
      </c>
      <c r="E3" s="222" t="s">
        <v>731</v>
      </c>
      <c r="F3" s="222" t="s">
        <v>208</v>
      </c>
      <c r="G3" s="223" t="s">
        <v>86</v>
      </c>
      <c r="H3" s="416"/>
      <c r="I3" s="222">
        <v>2020</v>
      </c>
      <c r="J3" s="222">
        <v>2025</v>
      </c>
      <c r="K3" s="222">
        <v>2030</v>
      </c>
      <c r="L3" s="222">
        <v>2035</v>
      </c>
      <c r="M3" s="222">
        <v>2040</v>
      </c>
      <c r="N3" s="222">
        <v>2045</v>
      </c>
      <c r="O3" s="417">
        <v>2050</v>
      </c>
      <c r="P3" s="222">
        <v>2055</v>
      </c>
      <c r="Q3" s="222">
        <v>2060</v>
      </c>
      <c r="R3" s="222">
        <v>2065</v>
      </c>
      <c r="S3" s="222">
        <v>2070</v>
      </c>
      <c r="T3" s="222">
        <v>2075</v>
      </c>
    </row>
    <row r="4" spans="1:28" x14ac:dyDescent="0.2">
      <c r="A4" s="418" t="s">
        <v>527</v>
      </c>
      <c r="B4" s="31"/>
      <c r="C4" s="418" t="str">
        <f>+A4</f>
        <v>HFO</v>
      </c>
      <c r="D4" s="419"/>
      <c r="E4" s="419"/>
      <c r="F4" s="419"/>
      <c r="G4" s="420"/>
      <c r="H4" s="419"/>
      <c r="I4" s="419"/>
      <c r="J4" s="419"/>
      <c r="K4" s="419"/>
      <c r="L4" s="419"/>
      <c r="M4" s="419"/>
      <c r="N4" s="419"/>
      <c r="O4" s="419"/>
      <c r="P4" s="419"/>
      <c r="Q4" s="419"/>
      <c r="R4" s="419"/>
      <c r="S4" s="419"/>
      <c r="T4" s="419"/>
    </row>
    <row r="5" spans="1:28" x14ac:dyDescent="0.2">
      <c r="A5" s="421"/>
      <c r="B5" s="421"/>
      <c r="H5" s="95"/>
    </row>
    <row r="6" spans="1:28" ht="14.25" x14ac:dyDescent="0.2">
      <c r="A6" s="421" t="str">
        <f>_xlfn.TEXTJOIN(keydelim,TRUE,D6,C6,E6,G6)</f>
        <v>HFO - Europe - Logistics total - USD/ton</v>
      </c>
      <c r="B6" s="421"/>
      <c r="C6" s="266" t="s">
        <v>195</v>
      </c>
      <c r="D6" s="266" t="s">
        <v>527</v>
      </c>
      <c r="E6" s="266" t="s">
        <v>732</v>
      </c>
      <c r="F6" s="266" t="str">
        <f>+D6&amp;" "&amp;E6</f>
        <v>HFO Logistics total</v>
      </c>
      <c r="G6" s="282" t="s">
        <v>205</v>
      </c>
      <c r="H6" s="266"/>
      <c r="I6" s="422">
        <v>0</v>
      </c>
      <c r="J6" s="423">
        <f>+I6</f>
        <v>0</v>
      </c>
      <c r="K6" s="423">
        <f t="shared" ref="K6:T6" si="0">+J6</f>
        <v>0</v>
      </c>
      <c r="L6" s="423">
        <f t="shared" si="0"/>
        <v>0</v>
      </c>
      <c r="M6" s="423">
        <f t="shared" si="0"/>
        <v>0</v>
      </c>
      <c r="N6" s="423">
        <f t="shared" si="0"/>
        <v>0</v>
      </c>
      <c r="O6" s="423">
        <f t="shared" si="0"/>
        <v>0</v>
      </c>
      <c r="P6" s="423">
        <f t="shared" si="0"/>
        <v>0</v>
      </c>
      <c r="Q6" s="423">
        <f t="shared" si="0"/>
        <v>0</v>
      </c>
      <c r="R6" s="423">
        <f t="shared" si="0"/>
        <v>0</v>
      </c>
      <c r="S6" s="423">
        <f t="shared" si="0"/>
        <v>0</v>
      </c>
      <c r="T6" s="423">
        <f t="shared" si="0"/>
        <v>0</v>
      </c>
    </row>
    <row r="7" spans="1:28" ht="14.25" x14ac:dyDescent="0.2">
      <c r="A7" s="421" t="str">
        <f>_xlfn.TEXTJOIN(keydelim,TRUE,D7,C7,E7,G7)</f>
        <v>HFO - Asia - Logistics total - USD/ton</v>
      </c>
      <c r="B7" s="421"/>
      <c r="C7" s="266" t="s">
        <v>198</v>
      </c>
      <c r="D7" s="266" t="s">
        <v>527</v>
      </c>
      <c r="E7" s="266" t="s">
        <v>732</v>
      </c>
      <c r="F7" s="266" t="str">
        <f>+D7&amp;" "&amp;E7</f>
        <v>HFO Logistics total</v>
      </c>
      <c r="G7" s="282" t="s">
        <v>205</v>
      </c>
      <c r="H7" s="266"/>
      <c r="I7" s="422">
        <v>0</v>
      </c>
      <c r="J7" s="423">
        <f t="shared" ref="J7:T7" si="1">+I7</f>
        <v>0</v>
      </c>
      <c r="K7" s="423">
        <f t="shared" si="1"/>
        <v>0</v>
      </c>
      <c r="L7" s="423">
        <f t="shared" si="1"/>
        <v>0</v>
      </c>
      <c r="M7" s="423">
        <f t="shared" si="1"/>
        <v>0</v>
      </c>
      <c r="N7" s="423">
        <f t="shared" si="1"/>
        <v>0</v>
      </c>
      <c r="O7" s="423">
        <f t="shared" si="1"/>
        <v>0</v>
      </c>
      <c r="P7" s="423">
        <f t="shared" si="1"/>
        <v>0</v>
      </c>
      <c r="Q7" s="423">
        <f t="shared" si="1"/>
        <v>0</v>
      </c>
      <c r="R7" s="423">
        <f t="shared" si="1"/>
        <v>0</v>
      </c>
      <c r="S7" s="423">
        <f t="shared" si="1"/>
        <v>0</v>
      </c>
      <c r="T7" s="423">
        <f t="shared" si="1"/>
        <v>0</v>
      </c>
    </row>
    <row r="8" spans="1:28" ht="14.25" x14ac:dyDescent="0.2">
      <c r="A8" s="421" t="str">
        <f>_xlfn.TEXTJOIN(keydelim,TRUE,D8,C8,E8,G8)</f>
        <v>HFO - Middle East - Logistics total - USD/ton</v>
      </c>
      <c r="B8" s="421"/>
      <c r="C8" s="266" t="s">
        <v>197</v>
      </c>
      <c r="D8" s="266" t="s">
        <v>527</v>
      </c>
      <c r="E8" s="266" t="s">
        <v>732</v>
      </c>
      <c r="F8" s="266" t="str">
        <f>+D8&amp;" "&amp;E8</f>
        <v>HFO Logistics total</v>
      </c>
      <c r="G8" s="282" t="s">
        <v>205</v>
      </c>
      <c r="H8" s="266"/>
      <c r="I8" s="422">
        <v>0</v>
      </c>
      <c r="J8" s="423">
        <f t="shared" ref="J8:T8" si="2">+I8</f>
        <v>0</v>
      </c>
      <c r="K8" s="423">
        <f t="shared" si="2"/>
        <v>0</v>
      </c>
      <c r="L8" s="423">
        <f t="shared" si="2"/>
        <v>0</v>
      </c>
      <c r="M8" s="423">
        <f t="shared" si="2"/>
        <v>0</v>
      </c>
      <c r="N8" s="423">
        <f t="shared" si="2"/>
        <v>0</v>
      </c>
      <c r="O8" s="423">
        <f t="shared" si="2"/>
        <v>0</v>
      </c>
      <c r="P8" s="423">
        <f t="shared" si="2"/>
        <v>0</v>
      </c>
      <c r="Q8" s="423">
        <f t="shared" si="2"/>
        <v>0</v>
      </c>
      <c r="R8" s="423">
        <f t="shared" si="2"/>
        <v>0</v>
      </c>
      <c r="S8" s="423">
        <f t="shared" si="2"/>
        <v>0</v>
      </c>
      <c r="T8" s="423">
        <f t="shared" si="2"/>
        <v>0</v>
      </c>
    </row>
    <row r="9" spans="1:28" ht="14.25" x14ac:dyDescent="0.2">
      <c r="A9" s="421" t="str">
        <f>_xlfn.TEXTJOIN(keydelim,TRUE,D9,C9,E9,G9)</f>
        <v>HFO - Americas - Logistics total - USD/ton</v>
      </c>
      <c r="B9" s="421"/>
      <c r="C9" s="266" t="s">
        <v>199</v>
      </c>
      <c r="D9" s="266" t="s">
        <v>527</v>
      </c>
      <c r="E9" s="266" t="s">
        <v>732</v>
      </c>
      <c r="F9" s="266" t="str">
        <f>+D9&amp;" "&amp;E9</f>
        <v>HFO Logistics total</v>
      </c>
      <c r="G9" s="282" t="s">
        <v>205</v>
      </c>
      <c r="H9" s="266"/>
      <c r="I9" s="422">
        <v>0</v>
      </c>
      <c r="J9" s="423">
        <f t="shared" ref="J9:T9" si="3">+I9</f>
        <v>0</v>
      </c>
      <c r="K9" s="423">
        <f t="shared" si="3"/>
        <v>0</v>
      </c>
      <c r="L9" s="423">
        <f t="shared" si="3"/>
        <v>0</v>
      </c>
      <c r="M9" s="423">
        <f t="shared" si="3"/>
        <v>0</v>
      </c>
      <c r="N9" s="423">
        <f t="shared" si="3"/>
        <v>0</v>
      </c>
      <c r="O9" s="423">
        <f t="shared" si="3"/>
        <v>0</v>
      </c>
      <c r="P9" s="423">
        <f t="shared" si="3"/>
        <v>0</v>
      </c>
      <c r="Q9" s="423">
        <f t="shared" si="3"/>
        <v>0</v>
      </c>
      <c r="R9" s="423">
        <f t="shared" si="3"/>
        <v>0</v>
      </c>
      <c r="S9" s="423">
        <f t="shared" si="3"/>
        <v>0</v>
      </c>
      <c r="T9" s="423">
        <f t="shared" si="3"/>
        <v>0</v>
      </c>
    </row>
    <row r="10" spans="1:28" ht="14.25" x14ac:dyDescent="0.2">
      <c r="A10" s="421" t="str">
        <f>_xlfn.TEXTJOIN(keydelim,TRUE,D10,C10,E10,G10)</f>
        <v>HFO - Africa&amp;Other - Logistics total - USD/ton</v>
      </c>
      <c r="B10" s="421"/>
      <c r="C10" s="266" t="s">
        <v>498</v>
      </c>
      <c r="D10" s="266" t="s">
        <v>527</v>
      </c>
      <c r="E10" s="266" t="s">
        <v>732</v>
      </c>
      <c r="F10" s="266" t="str">
        <f>+D10&amp;" "&amp;E10</f>
        <v>HFO Logistics total</v>
      </c>
      <c r="G10" s="282" t="s">
        <v>205</v>
      </c>
      <c r="H10" s="266"/>
      <c r="I10" s="422">
        <v>0</v>
      </c>
      <c r="J10" s="423">
        <f t="shared" ref="J10:T10" si="4">+I10</f>
        <v>0</v>
      </c>
      <c r="K10" s="423">
        <f t="shared" si="4"/>
        <v>0</v>
      </c>
      <c r="L10" s="423">
        <f t="shared" si="4"/>
        <v>0</v>
      </c>
      <c r="M10" s="423">
        <f t="shared" si="4"/>
        <v>0</v>
      </c>
      <c r="N10" s="423">
        <f t="shared" si="4"/>
        <v>0</v>
      </c>
      <c r="O10" s="423">
        <f t="shared" si="4"/>
        <v>0</v>
      </c>
      <c r="P10" s="423">
        <f t="shared" si="4"/>
        <v>0</v>
      </c>
      <c r="Q10" s="423">
        <f t="shared" si="4"/>
        <v>0</v>
      </c>
      <c r="R10" s="423">
        <f t="shared" si="4"/>
        <v>0</v>
      </c>
      <c r="S10" s="423">
        <f t="shared" si="4"/>
        <v>0</v>
      </c>
      <c r="T10" s="423">
        <f t="shared" si="4"/>
        <v>0</v>
      </c>
    </row>
    <row r="12" spans="1:28" x14ac:dyDescent="0.2">
      <c r="A12" s="418" t="s">
        <v>733</v>
      </c>
      <c r="B12" s="31"/>
      <c r="C12" s="418" t="str">
        <f>+A12</f>
        <v>LNG / Methane</v>
      </c>
      <c r="D12" s="419"/>
      <c r="E12" s="419"/>
      <c r="F12" s="419"/>
      <c r="G12" s="420"/>
      <c r="H12" s="419"/>
      <c r="I12" s="419"/>
      <c r="J12" s="419"/>
      <c r="K12" s="419"/>
      <c r="L12" s="419"/>
      <c r="M12" s="419"/>
      <c r="N12" s="419"/>
      <c r="O12" s="419"/>
      <c r="P12" s="419"/>
      <c r="Q12" s="419"/>
      <c r="R12" s="419"/>
      <c r="S12" s="419"/>
      <c r="T12" s="419"/>
    </row>
    <row r="13" spans="1:28" x14ac:dyDescent="0.2">
      <c r="A13" s="421"/>
      <c r="B13" s="421"/>
      <c r="C13" s="421"/>
      <c r="D13" s="421"/>
      <c r="E13" s="421"/>
      <c r="F13" s="421"/>
      <c r="G13" s="421"/>
      <c r="H13" s="421"/>
      <c r="I13" s="421"/>
      <c r="J13" s="421"/>
      <c r="K13" s="421"/>
      <c r="L13" s="421"/>
      <c r="M13" s="421"/>
      <c r="N13" s="421"/>
      <c r="O13" s="421"/>
      <c r="P13" s="421"/>
      <c r="Q13" s="421"/>
      <c r="R13" s="421"/>
      <c r="S13" s="421"/>
      <c r="T13" s="421"/>
    </row>
    <row r="14" spans="1:28" ht="14.25" hidden="1" outlineLevel="1" x14ac:dyDescent="0.2">
      <c r="A14" s="421" t="str">
        <f t="shared" ref="A14:A68" si="5">_xlfn.TEXTJOIN(keydelim,TRUE,D14,C14,E14,G14)</f>
        <v>Liquid Methane - Global - Transportation - USD/m3/year</v>
      </c>
      <c r="B14" s="421"/>
      <c r="C14" t="s">
        <v>109</v>
      </c>
      <c r="D14" t="s">
        <v>734</v>
      </c>
      <c r="E14" t="s">
        <v>735</v>
      </c>
      <c r="F14" s="3" t="s">
        <v>736</v>
      </c>
      <c r="G14" s="224" t="s">
        <v>737</v>
      </c>
      <c r="H14" s="93"/>
      <c r="I14" s="424">
        <v>200</v>
      </c>
      <c r="J14" s="118">
        <f t="shared" ref="J14:O14" si="6">I14*(1+V14)^5</f>
        <v>200</v>
      </c>
      <c r="K14" s="118">
        <f t="shared" si="6"/>
        <v>200</v>
      </c>
      <c r="L14" s="118">
        <f t="shared" si="6"/>
        <v>200</v>
      </c>
      <c r="M14" s="118">
        <f t="shared" si="6"/>
        <v>200</v>
      </c>
      <c r="N14" s="118">
        <f t="shared" si="6"/>
        <v>200</v>
      </c>
      <c r="O14" s="118">
        <f t="shared" si="6"/>
        <v>200</v>
      </c>
      <c r="P14" s="118">
        <f>O14</f>
        <v>200</v>
      </c>
      <c r="Q14" s="118">
        <f>P14</f>
        <v>200</v>
      </c>
      <c r="R14" s="118">
        <f>Q14</f>
        <v>200</v>
      </c>
      <c r="S14" s="118">
        <f>R14</f>
        <v>200</v>
      </c>
      <c r="T14" s="118">
        <f>S14</f>
        <v>200</v>
      </c>
      <c r="V14" s="213">
        <v>0</v>
      </c>
      <c r="W14" s="213">
        <f t="shared" ref="W14:AB14" si="7">+V14</f>
        <v>0</v>
      </c>
      <c r="X14" s="213">
        <f t="shared" si="7"/>
        <v>0</v>
      </c>
      <c r="Y14" s="213">
        <f>+X14</f>
        <v>0</v>
      </c>
      <c r="Z14" s="213">
        <f t="shared" si="7"/>
        <v>0</v>
      </c>
      <c r="AA14" s="213">
        <f t="shared" si="7"/>
        <v>0</v>
      </c>
      <c r="AB14" s="213">
        <f t="shared" si="7"/>
        <v>0</v>
      </c>
    </row>
    <row r="15" spans="1:28" ht="14.25" hidden="1" outlineLevel="1" x14ac:dyDescent="0.2">
      <c r="A15" s="421" t="str">
        <f t="shared" si="5"/>
        <v>Liquid Methane - Global - Transportation - -</v>
      </c>
      <c r="B15" s="421"/>
      <c r="C15" t="s">
        <v>109</v>
      </c>
      <c r="D15" t="s">
        <v>734</v>
      </c>
      <c r="E15" t="s">
        <v>735</v>
      </c>
      <c r="F15" s="3" t="s">
        <v>738</v>
      </c>
      <c r="G15" s="425" t="s">
        <v>620</v>
      </c>
      <c r="H15" s="93"/>
      <c r="I15" s="424">
        <v>1.5</v>
      </c>
      <c r="J15">
        <v>1.5</v>
      </c>
      <c r="K15">
        <v>1.5</v>
      </c>
      <c r="L15">
        <v>1.5</v>
      </c>
      <c r="M15">
        <v>1.5</v>
      </c>
      <c r="N15">
        <v>1.5</v>
      </c>
      <c r="O15">
        <v>1.5</v>
      </c>
      <c r="P15">
        <v>1.5</v>
      </c>
      <c r="Q15">
        <v>1.5</v>
      </c>
      <c r="R15">
        <v>1.5</v>
      </c>
      <c r="S15">
        <v>1.5</v>
      </c>
      <c r="T15">
        <v>1.5</v>
      </c>
      <c r="V15" s="213"/>
      <c r="W15" s="86"/>
      <c r="X15" s="86"/>
      <c r="Y15" s="86"/>
      <c r="Z15" s="86"/>
      <c r="AA15" s="86"/>
      <c r="AB15" s="86"/>
    </row>
    <row r="16" spans="1:28" hidden="1" outlineLevel="1" x14ac:dyDescent="0.2">
      <c r="A16" s="421" t="str">
        <f t="shared" si="5"/>
        <v>Liquid Methane - Global - Transportation - Knots</v>
      </c>
      <c r="B16" s="421"/>
      <c r="C16" t="s">
        <v>109</v>
      </c>
      <c r="D16" t="s">
        <v>734</v>
      </c>
      <c r="E16" t="s">
        <v>735</v>
      </c>
      <c r="F16" s="3" t="s">
        <v>739</v>
      </c>
      <c r="G16" s="224" t="s">
        <v>740</v>
      </c>
      <c r="H16" s="93"/>
      <c r="I16" s="426">
        <v>12</v>
      </c>
      <c r="J16" s="118">
        <v>12</v>
      </c>
      <c r="K16" s="118">
        <v>12</v>
      </c>
      <c r="L16" s="118">
        <v>12</v>
      </c>
      <c r="M16" s="118">
        <v>12</v>
      </c>
      <c r="N16" s="118">
        <v>12</v>
      </c>
      <c r="O16" s="118">
        <v>12</v>
      </c>
      <c r="P16" s="118">
        <v>12</v>
      </c>
      <c r="Q16" s="118">
        <v>12</v>
      </c>
      <c r="R16" s="118">
        <v>12</v>
      </c>
      <c r="S16" s="118">
        <v>12</v>
      </c>
      <c r="T16" s="118">
        <v>12</v>
      </c>
    </row>
    <row r="17" spans="1:28" ht="14.25" hidden="1" outlineLevel="1" x14ac:dyDescent="0.2">
      <c r="A17" s="421"/>
      <c r="B17" s="421"/>
      <c r="C17" t="s">
        <v>109</v>
      </c>
      <c r="D17" t="str">
        <f>+D16</f>
        <v>Liquid Methane</v>
      </c>
      <c r="E17" t="s">
        <v>735</v>
      </c>
      <c r="F17" s="3" t="s">
        <v>741</v>
      </c>
      <c r="G17" s="224" t="s">
        <v>742</v>
      </c>
      <c r="H17" s="93"/>
      <c r="I17" s="119">
        <f>30000/80000</f>
        <v>0.375</v>
      </c>
      <c r="J17" s="119">
        <f t="shared" ref="J17:O17" si="8">I17*(1+V17)^5</f>
        <v>0.26088313848749989</v>
      </c>
      <c r="K17" s="119">
        <f t="shared" si="8"/>
        <v>0.1814933651922348</v>
      </c>
      <c r="L17" s="119">
        <f t="shared" si="8"/>
        <v>0.12626282326935517</v>
      </c>
      <c r="M17" s="119">
        <f t="shared" si="8"/>
        <v>8.7839577623471762E-2</v>
      </c>
      <c r="N17" s="119">
        <f t="shared" si="8"/>
        <v>6.1108972516873819E-2</v>
      </c>
      <c r="O17" s="119">
        <f t="shared" si="8"/>
        <v>4.2512801439862448E-2</v>
      </c>
      <c r="P17" s="118"/>
      <c r="Q17" s="118"/>
      <c r="R17" s="118"/>
      <c r="S17" s="118"/>
      <c r="T17" s="118"/>
      <c r="V17" s="213">
        <v>-7.0000000000000007E-2</v>
      </c>
      <c r="W17" s="213">
        <f t="shared" ref="W17:AB17" si="9">+V17</f>
        <v>-7.0000000000000007E-2</v>
      </c>
      <c r="X17" s="213">
        <f t="shared" si="9"/>
        <v>-7.0000000000000007E-2</v>
      </c>
      <c r="Y17" s="213">
        <f>+X17</f>
        <v>-7.0000000000000007E-2</v>
      </c>
      <c r="Z17" s="213">
        <f t="shared" si="9"/>
        <v>-7.0000000000000007E-2</v>
      </c>
      <c r="AA17" s="213">
        <f t="shared" si="9"/>
        <v>-7.0000000000000007E-2</v>
      </c>
      <c r="AB17" s="213">
        <f t="shared" si="9"/>
        <v>-7.0000000000000007E-2</v>
      </c>
    </row>
    <row r="18" spans="1:28" hidden="1" outlineLevel="1" x14ac:dyDescent="0.2">
      <c r="A18" s="421" t="str">
        <f t="shared" si="5"/>
        <v>LNG &amp; e-Methane - Global - Transportation - Days</v>
      </c>
      <c r="B18" s="421"/>
      <c r="C18" t="s">
        <v>109</v>
      </c>
      <c r="D18" t="s">
        <v>743</v>
      </c>
      <c r="E18" t="s">
        <v>735</v>
      </c>
      <c r="F18" s="3" t="s">
        <v>744</v>
      </c>
      <c r="G18" s="425" t="s">
        <v>745</v>
      </c>
      <c r="H18" s="93"/>
      <c r="I18" s="426">
        <v>7</v>
      </c>
      <c r="J18" s="118">
        <f>I18</f>
        <v>7</v>
      </c>
      <c r="K18" s="118">
        <f t="shared" ref="K18:T19" si="10">J18</f>
        <v>7</v>
      </c>
      <c r="L18" s="118">
        <f t="shared" si="10"/>
        <v>7</v>
      </c>
      <c r="M18" s="118">
        <f t="shared" si="10"/>
        <v>7</v>
      </c>
      <c r="N18" s="118">
        <f t="shared" si="10"/>
        <v>7</v>
      </c>
      <c r="O18" s="118">
        <f t="shared" si="10"/>
        <v>7</v>
      </c>
      <c r="P18" s="118">
        <f t="shared" si="10"/>
        <v>7</v>
      </c>
      <c r="Q18" s="118">
        <f t="shared" si="10"/>
        <v>7</v>
      </c>
      <c r="R18" s="118">
        <f t="shared" si="10"/>
        <v>7</v>
      </c>
      <c r="S18" s="118">
        <f t="shared" si="10"/>
        <v>7</v>
      </c>
      <c r="T18" s="118">
        <f t="shared" si="10"/>
        <v>7</v>
      </c>
    </row>
    <row r="19" spans="1:28" hidden="1" outlineLevel="1" x14ac:dyDescent="0.2">
      <c r="A19" s="421" t="str">
        <f t="shared" si="5"/>
        <v>Bio-methane - Global - Transportation - Days</v>
      </c>
      <c r="B19" s="421"/>
      <c r="C19" t="s">
        <v>109</v>
      </c>
      <c r="D19" t="s">
        <v>746</v>
      </c>
      <c r="E19" t="s">
        <v>735</v>
      </c>
      <c r="F19" s="3" t="s">
        <v>744</v>
      </c>
      <c r="G19" s="425" t="s">
        <v>745</v>
      </c>
      <c r="H19" s="93"/>
      <c r="I19" s="426">
        <v>10</v>
      </c>
      <c r="J19" s="118">
        <f>I19</f>
        <v>10</v>
      </c>
      <c r="K19" s="118">
        <f t="shared" si="10"/>
        <v>10</v>
      </c>
      <c r="L19" s="118">
        <f t="shared" si="10"/>
        <v>10</v>
      </c>
      <c r="M19" s="118">
        <f t="shared" si="10"/>
        <v>10</v>
      </c>
      <c r="N19" s="118">
        <f t="shared" si="10"/>
        <v>10</v>
      </c>
      <c r="O19" s="118">
        <f t="shared" si="10"/>
        <v>10</v>
      </c>
      <c r="P19" s="118">
        <f t="shared" si="10"/>
        <v>10</v>
      </c>
      <c r="Q19" s="118">
        <f t="shared" si="10"/>
        <v>10</v>
      </c>
      <c r="R19" s="118">
        <f t="shared" si="10"/>
        <v>10</v>
      </c>
      <c r="S19" s="118">
        <f t="shared" si="10"/>
        <v>10</v>
      </c>
      <c r="T19" s="118">
        <f t="shared" si="10"/>
        <v>10</v>
      </c>
    </row>
    <row r="20" spans="1:28" hidden="1" outlineLevel="1" x14ac:dyDescent="0.2">
      <c r="A20" s="421" t="str">
        <f t="shared" si="5"/>
        <v>LNG &amp; e-Methane - Global - Transportation - km</v>
      </c>
      <c r="B20" s="421"/>
      <c r="C20" t="s">
        <v>109</v>
      </c>
      <c r="D20" t="s">
        <v>743</v>
      </c>
      <c r="E20" t="s">
        <v>735</v>
      </c>
      <c r="F20" s="3" t="s">
        <v>747</v>
      </c>
      <c r="G20" s="425" t="s">
        <v>748</v>
      </c>
      <c r="H20" s="93"/>
      <c r="I20" s="118">
        <f t="shared" ref="I20:T20" si="11">I16*kmh_per_knot*I18*24</f>
        <v>3733.6320000000005</v>
      </c>
      <c r="J20" s="118">
        <f t="shared" si="11"/>
        <v>3733.6320000000005</v>
      </c>
      <c r="K20" s="118">
        <f t="shared" si="11"/>
        <v>3733.6320000000005</v>
      </c>
      <c r="L20" s="118">
        <f t="shared" si="11"/>
        <v>3733.6320000000005</v>
      </c>
      <c r="M20" s="118">
        <f t="shared" si="11"/>
        <v>3733.6320000000005</v>
      </c>
      <c r="N20" s="118">
        <f t="shared" si="11"/>
        <v>3733.6320000000005</v>
      </c>
      <c r="O20" s="118">
        <f t="shared" si="11"/>
        <v>3733.6320000000005</v>
      </c>
      <c r="P20" s="118">
        <f t="shared" si="11"/>
        <v>3733.6320000000005</v>
      </c>
      <c r="Q20" s="118">
        <f t="shared" si="11"/>
        <v>3733.6320000000005</v>
      </c>
      <c r="R20" s="118">
        <f t="shared" si="11"/>
        <v>3733.6320000000005</v>
      </c>
      <c r="S20" s="118">
        <f t="shared" si="11"/>
        <v>3733.6320000000005</v>
      </c>
      <c r="T20" s="118">
        <f t="shared" si="11"/>
        <v>3733.6320000000005</v>
      </c>
    </row>
    <row r="21" spans="1:28" hidden="1" outlineLevel="1" x14ac:dyDescent="0.2">
      <c r="A21" s="421" t="str">
        <f t="shared" si="5"/>
        <v>Bio-methane - Global - Transportation - km</v>
      </c>
      <c r="B21" s="421"/>
      <c r="C21" t="s">
        <v>109</v>
      </c>
      <c r="D21" t="s">
        <v>746</v>
      </c>
      <c r="E21" t="s">
        <v>735</v>
      </c>
      <c r="F21" s="3" t="s">
        <v>747</v>
      </c>
      <c r="G21" s="425" t="s">
        <v>748</v>
      </c>
      <c r="H21" s="93"/>
      <c r="I21" s="118">
        <f t="shared" ref="I21:T21" si="12">I16*kmh_per_knot*I19*24</f>
        <v>5333.76</v>
      </c>
      <c r="J21" s="118">
        <f t="shared" si="12"/>
        <v>5333.76</v>
      </c>
      <c r="K21" s="118">
        <f t="shared" si="12"/>
        <v>5333.76</v>
      </c>
      <c r="L21" s="118">
        <f t="shared" si="12"/>
        <v>5333.76</v>
      </c>
      <c r="M21" s="118">
        <f t="shared" si="12"/>
        <v>5333.76</v>
      </c>
      <c r="N21" s="118">
        <f t="shared" si="12"/>
        <v>5333.76</v>
      </c>
      <c r="O21" s="118">
        <f t="shared" si="12"/>
        <v>5333.76</v>
      </c>
      <c r="P21" s="118">
        <f t="shared" si="12"/>
        <v>5333.76</v>
      </c>
      <c r="Q21" s="118">
        <f t="shared" si="12"/>
        <v>5333.76</v>
      </c>
      <c r="R21" s="118">
        <f t="shared" si="12"/>
        <v>5333.76</v>
      </c>
      <c r="S21" s="118">
        <f t="shared" si="12"/>
        <v>5333.76</v>
      </c>
      <c r="T21" s="118">
        <f t="shared" si="12"/>
        <v>5333.76</v>
      </c>
    </row>
    <row r="22" spans="1:28" hidden="1" outlineLevel="1" x14ac:dyDescent="0.2">
      <c r="A22" s="421" t="str">
        <f t="shared" si="5"/>
        <v>Liq Methane - Global - Transportation - %</v>
      </c>
      <c r="B22" s="421"/>
      <c r="C22" t="s">
        <v>109</v>
      </c>
      <c r="D22" t="s">
        <v>749</v>
      </c>
      <c r="E22" t="s">
        <v>735</v>
      </c>
      <c r="F22" s="3" t="s">
        <v>750</v>
      </c>
      <c r="G22" s="425" t="s">
        <v>178</v>
      </c>
      <c r="H22" s="93"/>
      <c r="I22" s="427">
        <v>0.4</v>
      </c>
      <c r="J22" s="90">
        <f>+I22</f>
        <v>0.4</v>
      </c>
      <c r="K22" s="90">
        <f t="shared" ref="K22:T22" si="13">+J22</f>
        <v>0.4</v>
      </c>
      <c r="L22" s="90">
        <f t="shared" si="13"/>
        <v>0.4</v>
      </c>
      <c r="M22" s="90">
        <f t="shared" si="13"/>
        <v>0.4</v>
      </c>
      <c r="N22" s="90">
        <f t="shared" si="13"/>
        <v>0.4</v>
      </c>
      <c r="O22" s="90">
        <f t="shared" si="13"/>
        <v>0.4</v>
      </c>
      <c r="P22" s="90">
        <f t="shared" si="13"/>
        <v>0.4</v>
      </c>
      <c r="Q22" s="90">
        <f t="shared" si="13"/>
        <v>0.4</v>
      </c>
      <c r="R22" s="90">
        <f t="shared" si="13"/>
        <v>0.4</v>
      </c>
      <c r="S22" s="90">
        <f t="shared" si="13"/>
        <v>0.4</v>
      </c>
      <c r="T22" s="90">
        <f t="shared" si="13"/>
        <v>0.4</v>
      </c>
    </row>
    <row r="23" spans="1:28" hidden="1" outlineLevel="1" x14ac:dyDescent="0.2">
      <c r="A23" s="421" t="str">
        <f t="shared" si="5"/>
        <v/>
      </c>
      <c r="B23" s="421"/>
      <c r="C23" s="421"/>
      <c r="D23" s="421"/>
      <c r="E23" s="421"/>
      <c r="F23" s="421"/>
      <c r="G23" s="421"/>
      <c r="H23" s="421"/>
      <c r="I23" s="421"/>
      <c r="J23" s="421"/>
      <c r="K23" s="421"/>
      <c r="L23" s="421"/>
      <c r="M23" s="421"/>
      <c r="N23" s="421"/>
      <c r="O23" s="421"/>
      <c r="P23" s="421"/>
      <c r="Q23" s="421"/>
      <c r="R23" s="421"/>
      <c r="S23" s="421"/>
      <c r="T23" s="421"/>
    </row>
    <row r="24" spans="1:28" hidden="1" outlineLevel="1" x14ac:dyDescent="0.2">
      <c r="A24" s="421" t="str">
        <f t="shared" si="5"/>
        <v>LNG &amp; e-Methane - Europe - Delivery - USD/ton</v>
      </c>
      <c r="B24" s="421"/>
      <c r="C24" t="s">
        <v>195</v>
      </c>
      <c r="D24" t="s">
        <v>743</v>
      </c>
      <c r="E24" t="s">
        <v>751</v>
      </c>
      <c r="F24" t="str">
        <f>+D24&amp;" "&amp;E24</f>
        <v>LNG &amp; e-Methane Delivery</v>
      </c>
      <c r="G24" s="224" t="s">
        <v>205</v>
      </c>
      <c r="I24" s="93">
        <f>I$14*I$15/365*I$18/I$22/I$36*1000</f>
        <v>34.246575342465754</v>
      </c>
      <c r="J24" s="93">
        <f t="shared" ref="J24:T24" si="14">I24</f>
        <v>34.246575342465754</v>
      </c>
      <c r="K24" s="93">
        <f t="shared" si="14"/>
        <v>34.246575342465754</v>
      </c>
      <c r="L24" s="93">
        <f t="shared" si="14"/>
        <v>34.246575342465754</v>
      </c>
      <c r="M24" s="93">
        <f t="shared" si="14"/>
        <v>34.246575342465754</v>
      </c>
      <c r="N24" s="93">
        <f t="shared" si="14"/>
        <v>34.246575342465754</v>
      </c>
      <c r="O24" s="93">
        <f t="shared" si="14"/>
        <v>34.246575342465754</v>
      </c>
      <c r="P24" s="93">
        <f t="shared" si="14"/>
        <v>34.246575342465754</v>
      </c>
      <c r="Q24" s="93">
        <f t="shared" si="14"/>
        <v>34.246575342465754</v>
      </c>
      <c r="R24" s="93">
        <f t="shared" si="14"/>
        <v>34.246575342465754</v>
      </c>
      <c r="S24" s="93">
        <f t="shared" si="14"/>
        <v>34.246575342465754</v>
      </c>
      <c r="T24" s="93">
        <f t="shared" si="14"/>
        <v>34.246575342465754</v>
      </c>
    </row>
    <row r="25" spans="1:28" hidden="1" outlineLevel="1" x14ac:dyDescent="0.2">
      <c r="A25" s="421" t="str">
        <f t="shared" si="5"/>
        <v>LNG &amp; e-Methane - Asia - Delivery - USD/ton</v>
      </c>
      <c r="B25" s="421"/>
      <c r="C25" t="s">
        <v>198</v>
      </c>
      <c r="D25" t="s">
        <v>743</v>
      </c>
      <c r="E25" t="s">
        <v>751</v>
      </c>
      <c r="F25" t="str">
        <f>+D25&amp;" "&amp;E25</f>
        <v>LNG &amp; e-Methane Delivery</v>
      </c>
      <c r="G25" s="224" t="s">
        <v>205</v>
      </c>
      <c r="I25" s="93">
        <f>I$14*I$15/365*I$18/I$22/I$36*1000</f>
        <v>34.246575342465754</v>
      </c>
      <c r="J25" s="93">
        <f t="shared" ref="J25:T25" si="15">I25</f>
        <v>34.246575342465754</v>
      </c>
      <c r="K25" s="93">
        <f t="shared" si="15"/>
        <v>34.246575342465754</v>
      </c>
      <c r="L25" s="93">
        <f t="shared" si="15"/>
        <v>34.246575342465754</v>
      </c>
      <c r="M25" s="93">
        <f t="shared" si="15"/>
        <v>34.246575342465754</v>
      </c>
      <c r="N25" s="93">
        <f t="shared" si="15"/>
        <v>34.246575342465754</v>
      </c>
      <c r="O25" s="93">
        <f t="shared" si="15"/>
        <v>34.246575342465754</v>
      </c>
      <c r="P25" s="93">
        <f t="shared" si="15"/>
        <v>34.246575342465754</v>
      </c>
      <c r="Q25" s="93">
        <f t="shared" si="15"/>
        <v>34.246575342465754</v>
      </c>
      <c r="R25" s="93">
        <f t="shared" si="15"/>
        <v>34.246575342465754</v>
      </c>
      <c r="S25" s="93">
        <f t="shared" si="15"/>
        <v>34.246575342465754</v>
      </c>
      <c r="T25" s="93">
        <f t="shared" si="15"/>
        <v>34.246575342465754</v>
      </c>
    </row>
    <row r="26" spans="1:28" hidden="1" outlineLevel="1" x14ac:dyDescent="0.2">
      <c r="A26" s="421" t="str">
        <f t="shared" si="5"/>
        <v>LNG &amp; e-Methane - Middle East - Delivery - USD/ton</v>
      </c>
      <c r="B26" s="421"/>
      <c r="C26" t="s">
        <v>197</v>
      </c>
      <c r="D26" t="s">
        <v>743</v>
      </c>
      <c r="E26" t="s">
        <v>751</v>
      </c>
      <c r="F26" t="str">
        <f>+D26&amp;" "&amp;E26</f>
        <v>LNG &amp; e-Methane Delivery</v>
      </c>
      <c r="G26" s="224" t="s">
        <v>205</v>
      </c>
      <c r="I26" s="93">
        <f>I$14*I$15/365*I$18/I$22/I$36*1000</f>
        <v>34.246575342465754</v>
      </c>
      <c r="J26" s="93">
        <f t="shared" ref="J26:T26" si="16">I26</f>
        <v>34.246575342465754</v>
      </c>
      <c r="K26" s="93">
        <f t="shared" si="16"/>
        <v>34.246575342465754</v>
      </c>
      <c r="L26" s="93">
        <f t="shared" si="16"/>
        <v>34.246575342465754</v>
      </c>
      <c r="M26" s="93">
        <f t="shared" si="16"/>
        <v>34.246575342465754</v>
      </c>
      <c r="N26" s="93">
        <f t="shared" si="16"/>
        <v>34.246575342465754</v>
      </c>
      <c r="O26" s="93">
        <f t="shared" si="16"/>
        <v>34.246575342465754</v>
      </c>
      <c r="P26" s="93">
        <f t="shared" si="16"/>
        <v>34.246575342465754</v>
      </c>
      <c r="Q26" s="93">
        <f t="shared" si="16"/>
        <v>34.246575342465754</v>
      </c>
      <c r="R26" s="93">
        <f t="shared" si="16"/>
        <v>34.246575342465754</v>
      </c>
      <c r="S26" s="93">
        <f t="shared" si="16"/>
        <v>34.246575342465754</v>
      </c>
      <c r="T26" s="93">
        <f t="shared" si="16"/>
        <v>34.246575342465754</v>
      </c>
    </row>
    <row r="27" spans="1:28" hidden="1" outlineLevel="1" x14ac:dyDescent="0.2">
      <c r="A27" s="421" t="str">
        <f t="shared" si="5"/>
        <v>LNG &amp; e-Methane - Americas - Delivery - USD/ton</v>
      </c>
      <c r="B27" s="421"/>
      <c r="C27" t="s">
        <v>199</v>
      </c>
      <c r="D27" t="s">
        <v>743</v>
      </c>
      <c r="E27" t="s">
        <v>751</v>
      </c>
      <c r="F27" t="str">
        <f>+D27&amp;" "&amp;E27</f>
        <v>LNG &amp; e-Methane Delivery</v>
      </c>
      <c r="G27" s="224" t="s">
        <v>205</v>
      </c>
      <c r="I27" s="93">
        <f>I$14*I$15/365*I$18/I$22/I$36*1000</f>
        <v>34.246575342465754</v>
      </c>
      <c r="J27" s="93">
        <f t="shared" ref="J27:T27" si="17">I27</f>
        <v>34.246575342465754</v>
      </c>
      <c r="K27" s="93">
        <f t="shared" si="17"/>
        <v>34.246575342465754</v>
      </c>
      <c r="L27" s="93">
        <f t="shared" si="17"/>
        <v>34.246575342465754</v>
      </c>
      <c r="M27" s="93">
        <f t="shared" si="17"/>
        <v>34.246575342465754</v>
      </c>
      <c r="N27" s="93">
        <f t="shared" si="17"/>
        <v>34.246575342465754</v>
      </c>
      <c r="O27" s="93">
        <f t="shared" si="17"/>
        <v>34.246575342465754</v>
      </c>
      <c r="P27" s="93">
        <f t="shared" si="17"/>
        <v>34.246575342465754</v>
      </c>
      <c r="Q27" s="93">
        <f t="shared" si="17"/>
        <v>34.246575342465754</v>
      </c>
      <c r="R27" s="93">
        <f t="shared" si="17"/>
        <v>34.246575342465754</v>
      </c>
      <c r="S27" s="93">
        <f t="shared" si="17"/>
        <v>34.246575342465754</v>
      </c>
      <c r="T27" s="93">
        <f t="shared" si="17"/>
        <v>34.246575342465754</v>
      </c>
    </row>
    <row r="28" spans="1:28" hidden="1" outlineLevel="1" x14ac:dyDescent="0.2">
      <c r="A28" s="421" t="str">
        <f t="shared" si="5"/>
        <v>LNG &amp; e-Methane - Africa&amp;Other - Delivery - USD/ton</v>
      </c>
      <c r="B28" s="421"/>
      <c r="C28" t="s">
        <v>498</v>
      </c>
      <c r="D28" t="s">
        <v>743</v>
      </c>
      <c r="E28" t="s">
        <v>751</v>
      </c>
      <c r="F28" t="str">
        <f>+D28&amp;" "&amp;E28</f>
        <v>LNG &amp; e-Methane Delivery</v>
      </c>
      <c r="G28" s="224" t="s">
        <v>205</v>
      </c>
      <c r="I28" s="93">
        <f>I$14*I$15/365*I$18/I$22/I$36*1000</f>
        <v>34.246575342465754</v>
      </c>
      <c r="J28" s="93">
        <f t="shared" ref="J28:T28" si="18">I28</f>
        <v>34.246575342465754</v>
      </c>
      <c r="K28" s="93">
        <f t="shared" si="18"/>
        <v>34.246575342465754</v>
      </c>
      <c r="L28" s="93">
        <f t="shared" si="18"/>
        <v>34.246575342465754</v>
      </c>
      <c r="M28" s="93">
        <f t="shared" si="18"/>
        <v>34.246575342465754</v>
      </c>
      <c r="N28" s="93">
        <f t="shared" si="18"/>
        <v>34.246575342465754</v>
      </c>
      <c r="O28" s="93">
        <f t="shared" si="18"/>
        <v>34.246575342465754</v>
      </c>
      <c r="P28" s="93">
        <f t="shared" si="18"/>
        <v>34.246575342465754</v>
      </c>
      <c r="Q28" s="93">
        <f t="shared" si="18"/>
        <v>34.246575342465754</v>
      </c>
      <c r="R28" s="93">
        <f t="shared" si="18"/>
        <v>34.246575342465754</v>
      </c>
      <c r="S28" s="93">
        <f t="shared" si="18"/>
        <v>34.246575342465754</v>
      </c>
      <c r="T28" s="93">
        <f t="shared" si="18"/>
        <v>34.246575342465754</v>
      </c>
    </row>
    <row r="29" spans="1:28" hidden="1" outlineLevel="1" x14ac:dyDescent="0.2">
      <c r="A29" s="421" t="str">
        <f t="shared" si="5"/>
        <v/>
      </c>
      <c r="B29" s="421"/>
      <c r="I29" s="95"/>
      <c r="J29" s="95"/>
      <c r="K29" s="95"/>
      <c r="L29" s="95"/>
      <c r="M29" s="95"/>
      <c r="N29" s="95"/>
      <c r="O29" s="95"/>
      <c r="P29" s="95"/>
      <c r="Q29" s="95"/>
      <c r="R29" s="95"/>
      <c r="S29" s="95"/>
      <c r="T29" s="95"/>
    </row>
    <row r="30" spans="1:28" hidden="1" outlineLevel="1" x14ac:dyDescent="0.2">
      <c r="A30" s="421" t="str">
        <f t="shared" si="5"/>
        <v>Biomethane - Europe - Delivery - USD/ton</v>
      </c>
      <c r="B30" s="421"/>
      <c r="C30" t="s">
        <v>195</v>
      </c>
      <c r="D30" t="s">
        <v>118</v>
      </c>
      <c r="E30" t="s">
        <v>751</v>
      </c>
      <c r="F30" t="s">
        <v>752</v>
      </c>
      <c r="G30" s="224" t="s">
        <v>205</v>
      </c>
      <c r="I30" s="93">
        <f>I$14*I$15/365*I$19/I$22/I$36*1000</f>
        <v>48.92367906066535</v>
      </c>
      <c r="J30" s="93">
        <f t="shared" ref="J30:T30" si="19">I30</f>
        <v>48.92367906066535</v>
      </c>
      <c r="K30" s="93">
        <f t="shared" si="19"/>
        <v>48.92367906066535</v>
      </c>
      <c r="L30" s="93">
        <f t="shared" si="19"/>
        <v>48.92367906066535</v>
      </c>
      <c r="M30" s="93">
        <f t="shared" si="19"/>
        <v>48.92367906066535</v>
      </c>
      <c r="N30" s="93">
        <f t="shared" si="19"/>
        <v>48.92367906066535</v>
      </c>
      <c r="O30" s="93">
        <f t="shared" si="19"/>
        <v>48.92367906066535</v>
      </c>
      <c r="P30" s="93">
        <f t="shared" si="19"/>
        <v>48.92367906066535</v>
      </c>
      <c r="Q30" s="93">
        <f t="shared" si="19"/>
        <v>48.92367906066535</v>
      </c>
      <c r="R30" s="93">
        <f t="shared" si="19"/>
        <v>48.92367906066535</v>
      </c>
      <c r="S30" s="93">
        <f t="shared" si="19"/>
        <v>48.92367906066535</v>
      </c>
      <c r="T30" s="93">
        <f t="shared" si="19"/>
        <v>48.92367906066535</v>
      </c>
    </row>
    <row r="31" spans="1:28" hidden="1" outlineLevel="1" x14ac:dyDescent="0.2">
      <c r="A31" s="421" t="str">
        <f t="shared" si="5"/>
        <v>Biomethane - Asia - Delivery - USD/ton</v>
      </c>
      <c r="B31" s="421"/>
      <c r="C31" t="s">
        <v>198</v>
      </c>
      <c r="D31" t="s">
        <v>118</v>
      </c>
      <c r="E31" t="s">
        <v>751</v>
      </c>
      <c r="F31" t="s">
        <v>752</v>
      </c>
      <c r="G31" s="224" t="s">
        <v>205</v>
      </c>
      <c r="I31" s="93">
        <f>I$14*I$15/365*I$19/I$22/I$36*1000</f>
        <v>48.92367906066535</v>
      </c>
      <c r="J31" s="93">
        <f t="shared" ref="J31:T31" si="20">I31</f>
        <v>48.92367906066535</v>
      </c>
      <c r="K31" s="93">
        <f t="shared" si="20"/>
        <v>48.92367906066535</v>
      </c>
      <c r="L31" s="93">
        <f t="shared" si="20"/>
        <v>48.92367906066535</v>
      </c>
      <c r="M31" s="93">
        <f t="shared" si="20"/>
        <v>48.92367906066535</v>
      </c>
      <c r="N31" s="93">
        <f t="shared" si="20"/>
        <v>48.92367906066535</v>
      </c>
      <c r="O31" s="93">
        <f t="shared" si="20"/>
        <v>48.92367906066535</v>
      </c>
      <c r="P31" s="93">
        <f t="shared" si="20"/>
        <v>48.92367906066535</v>
      </c>
      <c r="Q31" s="93">
        <f t="shared" si="20"/>
        <v>48.92367906066535</v>
      </c>
      <c r="R31" s="93">
        <f t="shared" si="20"/>
        <v>48.92367906066535</v>
      </c>
      <c r="S31" s="93">
        <f t="shared" si="20"/>
        <v>48.92367906066535</v>
      </c>
      <c r="T31" s="93">
        <f t="shared" si="20"/>
        <v>48.92367906066535</v>
      </c>
    </row>
    <row r="32" spans="1:28" hidden="1" outlineLevel="1" x14ac:dyDescent="0.2">
      <c r="A32" s="421" t="str">
        <f t="shared" si="5"/>
        <v>Biomethane - Middle East - Delivery - USD/ton</v>
      </c>
      <c r="B32" s="421"/>
      <c r="C32" t="s">
        <v>197</v>
      </c>
      <c r="D32" t="s">
        <v>118</v>
      </c>
      <c r="E32" t="s">
        <v>751</v>
      </c>
      <c r="F32" t="s">
        <v>752</v>
      </c>
      <c r="G32" s="224" t="s">
        <v>205</v>
      </c>
      <c r="I32" s="93">
        <f>I$14*I$15/365*I$19/I$22/I$36*1000</f>
        <v>48.92367906066535</v>
      </c>
      <c r="J32" s="93">
        <f t="shared" ref="J32:T32" si="21">I32</f>
        <v>48.92367906066535</v>
      </c>
      <c r="K32" s="93">
        <f t="shared" si="21"/>
        <v>48.92367906066535</v>
      </c>
      <c r="L32" s="93">
        <f t="shared" si="21"/>
        <v>48.92367906066535</v>
      </c>
      <c r="M32" s="93">
        <f t="shared" si="21"/>
        <v>48.92367906066535</v>
      </c>
      <c r="N32" s="93">
        <f t="shared" si="21"/>
        <v>48.92367906066535</v>
      </c>
      <c r="O32" s="93">
        <f t="shared" si="21"/>
        <v>48.92367906066535</v>
      </c>
      <c r="P32" s="93">
        <f t="shared" si="21"/>
        <v>48.92367906066535</v>
      </c>
      <c r="Q32" s="93">
        <f t="shared" si="21"/>
        <v>48.92367906066535</v>
      </c>
      <c r="R32" s="93">
        <f t="shared" si="21"/>
        <v>48.92367906066535</v>
      </c>
      <c r="S32" s="93">
        <f t="shared" si="21"/>
        <v>48.92367906066535</v>
      </c>
      <c r="T32" s="93">
        <f t="shared" si="21"/>
        <v>48.92367906066535</v>
      </c>
    </row>
    <row r="33" spans="1:28" hidden="1" outlineLevel="1" x14ac:dyDescent="0.2">
      <c r="A33" s="421" t="str">
        <f t="shared" si="5"/>
        <v>Biomethane - Americas - Delivery - USD/ton</v>
      </c>
      <c r="B33" s="421"/>
      <c r="C33" t="s">
        <v>199</v>
      </c>
      <c r="D33" t="s">
        <v>118</v>
      </c>
      <c r="E33" t="s">
        <v>751</v>
      </c>
      <c r="F33" t="s">
        <v>752</v>
      </c>
      <c r="G33" s="224" t="s">
        <v>205</v>
      </c>
      <c r="I33" s="93">
        <f>I$14*I$15/365*I$19/I$22/I$36*1000</f>
        <v>48.92367906066535</v>
      </c>
      <c r="J33" s="93">
        <f t="shared" ref="J33:T33" si="22">I33</f>
        <v>48.92367906066535</v>
      </c>
      <c r="K33" s="93">
        <f t="shared" si="22"/>
        <v>48.92367906066535</v>
      </c>
      <c r="L33" s="93">
        <f t="shared" si="22"/>
        <v>48.92367906066535</v>
      </c>
      <c r="M33" s="93">
        <f t="shared" si="22"/>
        <v>48.92367906066535</v>
      </c>
      <c r="N33" s="93">
        <f t="shared" si="22"/>
        <v>48.92367906066535</v>
      </c>
      <c r="O33" s="93">
        <f t="shared" si="22"/>
        <v>48.92367906066535</v>
      </c>
      <c r="P33" s="93">
        <f t="shared" si="22"/>
        <v>48.92367906066535</v>
      </c>
      <c r="Q33" s="93">
        <f t="shared" si="22"/>
        <v>48.92367906066535</v>
      </c>
      <c r="R33" s="93">
        <f t="shared" si="22"/>
        <v>48.92367906066535</v>
      </c>
      <c r="S33" s="93">
        <f t="shared" si="22"/>
        <v>48.92367906066535</v>
      </c>
      <c r="T33" s="93">
        <f t="shared" si="22"/>
        <v>48.92367906066535</v>
      </c>
    </row>
    <row r="34" spans="1:28" hidden="1" outlineLevel="1" x14ac:dyDescent="0.2">
      <c r="A34" s="421" t="str">
        <f t="shared" si="5"/>
        <v>Biomethane - Africa&amp;Other - Delivery - USD/ton</v>
      </c>
      <c r="B34" s="421"/>
      <c r="C34" t="s">
        <v>498</v>
      </c>
      <c r="D34" t="s">
        <v>118</v>
      </c>
      <c r="E34" t="s">
        <v>751</v>
      </c>
      <c r="F34" t="s">
        <v>752</v>
      </c>
      <c r="G34" s="224" t="s">
        <v>205</v>
      </c>
      <c r="I34" s="93">
        <f>I$14*I$15/365*I$19/I$22/I$36*1000</f>
        <v>48.92367906066535</v>
      </c>
      <c r="J34" s="93">
        <f t="shared" ref="J34:T34" si="23">I34</f>
        <v>48.92367906066535</v>
      </c>
      <c r="K34" s="93">
        <f t="shared" si="23"/>
        <v>48.92367906066535</v>
      </c>
      <c r="L34" s="93">
        <f t="shared" si="23"/>
        <v>48.92367906066535</v>
      </c>
      <c r="M34" s="93">
        <f t="shared" si="23"/>
        <v>48.92367906066535</v>
      </c>
      <c r="N34" s="93">
        <f t="shared" si="23"/>
        <v>48.92367906066535</v>
      </c>
      <c r="O34" s="93">
        <f t="shared" si="23"/>
        <v>48.92367906066535</v>
      </c>
      <c r="P34" s="93">
        <f t="shared" si="23"/>
        <v>48.92367906066535</v>
      </c>
      <c r="Q34" s="93">
        <f t="shared" si="23"/>
        <v>48.92367906066535</v>
      </c>
      <c r="R34" s="93">
        <f t="shared" si="23"/>
        <v>48.92367906066535</v>
      </c>
      <c r="S34" s="93">
        <f t="shared" si="23"/>
        <v>48.92367906066535</v>
      </c>
      <c r="T34" s="93">
        <f t="shared" si="23"/>
        <v>48.92367906066535</v>
      </c>
    </row>
    <row r="35" spans="1:28" hidden="1" outlineLevel="1" x14ac:dyDescent="0.2">
      <c r="A35" s="421" t="str">
        <f t="shared" si="5"/>
        <v/>
      </c>
      <c r="B35" s="421"/>
      <c r="I35" s="95"/>
      <c r="J35" s="95"/>
      <c r="K35" s="95"/>
      <c r="L35" s="95"/>
      <c r="M35" s="95"/>
      <c r="N35" s="95"/>
      <c r="O35" s="95"/>
      <c r="P35" s="95"/>
      <c r="Q35" s="95"/>
      <c r="R35" s="95"/>
      <c r="S35" s="95"/>
      <c r="T35" s="95"/>
    </row>
    <row r="36" spans="1:28" hidden="1" outlineLevel="1" x14ac:dyDescent="0.2">
      <c r="A36" s="421" t="str">
        <f t="shared" si="5"/>
        <v>Liquid Methane - Global - Density - kg/m3</v>
      </c>
      <c r="B36" s="421"/>
      <c r="C36" t="s">
        <v>109</v>
      </c>
      <c r="D36" t="s">
        <v>734</v>
      </c>
      <c r="E36" s="3" t="s">
        <v>753</v>
      </c>
      <c r="F36" t="str">
        <f t="shared" ref="F36:F51" si="24">+D36&amp;" "&amp;E36</f>
        <v>Liquid Methane Density</v>
      </c>
      <c r="G36" s="224" t="s">
        <v>754</v>
      </c>
      <c r="H36" s="93"/>
      <c r="I36" s="424">
        <v>420</v>
      </c>
      <c r="J36">
        <v>420</v>
      </c>
      <c r="K36">
        <v>420</v>
      </c>
      <c r="L36">
        <v>420</v>
      </c>
      <c r="M36">
        <v>420</v>
      </c>
      <c r="N36">
        <v>420</v>
      </c>
      <c r="O36">
        <v>420</v>
      </c>
      <c r="P36">
        <v>420</v>
      </c>
      <c r="Q36">
        <v>420</v>
      </c>
      <c r="R36">
        <v>420</v>
      </c>
      <c r="S36">
        <v>420</v>
      </c>
      <c r="T36">
        <v>420</v>
      </c>
    </row>
    <row r="37" spans="1:28" ht="14.25" hidden="1" outlineLevel="1" x14ac:dyDescent="0.2">
      <c r="A37" s="421" t="str">
        <f t="shared" si="5"/>
        <v>Liquid Methane - Global - Boil off/day - %</v>
      </c>
      <c r="B37" s="421"/>
      <c r="C37" t="s">
        <v>109</v>
      </c>
      <c r="D37" t="s">
        <v>734</v>
      </c>
      <c r="E37" s="3" t="s">
        <v>755</v>
      </c>
      <c r="F37" t="str">
        <f t="shared" si="24"/>
        <v>Liquid Methane Boil off/day</v>
      </c>
      <c r="G37" s="224" t="s">
        <v>178</v>
      </c>
      <c r="I37" s="428">
        <v>1.5E-3</v>
      </c>
      <c r="J37" s="120">
        <f t="shared" ref="J37:O38" si="25">I37*(1+V37)^5</f>
        <v>1.5E-3</v>
      </c>
      <c r="K37" s="120">
        <f t="shared" si="25"/>
        <v>1.5E-3</v>
      </c>
      <c r="L37" s="120">
        <f t="shared" si="25"/>
        <v>1.5E-3</v>
      </c>
      <c r="M37" s="120">
        <f t="shared" si="25"/>
        <v>1.5E-3</v>
      </c>
      <c r="N37" s="120">
        <f t="shared" si="25"/>
        <v>1.5E-3</v>
      </c>
      <c r="O37" s="120">
        <f t="shared" si="25"/>
        <v>1.5E-3</v>
      </c>
      <c r="P37" s="120">
        <f>O37</f>
        <v>1.5E-3</v>
      </c>
      <c r="Q37" s="120">
        <f t="shared" ref="Q37:T38" si="26">P37</f>
        <v>1.5E-3</v>
      </c>
      <c r="R37" s="120">
        <f t="shared" si="26"/>
        <v>1.5E-3</v>
      </c>
      <c r="S37" s="120">
        <f t="shared" si="26"/>
        <v>1.5E-3</v>
      </c>
      <c r="T37" s="120">
        <f t="shared" si="26"/>
        <v>1.5E-3</v>
      </c>
      <c r="V37" s="213">
        <v>0</v>
      </c>
      <c r="W37" s="213">
        <f t="shared" ref="W37:AB38" si="27">+V37</f>
        <v>0</v>
      </c>
      <c r="X37" s="213">
        <f t="shared" si="27"/>
        <v>0</v>
      </c>
      <c r="Y37" s="213">
        <f>+X37</f>
        <v>0</v>
      </c>
      <c r="Z37" s="213">
        <f t="shared" si="27"/>
        <v>0</v>
      </c>
      <c r="AA37" s="213">
        <f t="shared" si="27"/>
        <v>0</v>
      </c>
      <c r="AB37" s="213">
        <f t="shared" si="27"/>
        <v>0</v>
      </c>
    </row>
    <row r="38" spans="1:28" ht="14.25" hidden="1" outlineLevel="1" x14ac:dyDescent="0.2">
      <c r="A38" s="421" t="str">
        <f t="shared" si="5"/>
        <v>Liquid Methane - Global - CAPEX  - USD/ton</v>
      </c>
      <c r="B38" s="421"/>
      <c r="C38" t="s">
        <v>109</v>
      </c>
      <c r="D38" t="s">
        <v>734</v>
      </c>
      <c r="E38" s="3" t="s">
        <v>756</v>
      </c>
      <c r="F38" t="str">
        <f t="shared" si="24"/>
        <v xml:space="preserve">Liquid Methane CAPEX </v>
      </c>
      <c r="G38" s="224" t="s">
        <v>205</v>
      </c>
      <c r="I38" s="426">
        <v>1500</v>
      </c>
      <c r="J38" s="118">
        <f t="shared" si="25"/>
        <v>1500</v>
      </c>
      <c r="K38" s="118">
        <f t="shared" si="25"/>
        <v>1500</v>
      </c>
      <c r="L38" s="118">
        <f t="shared" si="25"/>
        <v>1500</v>
      </c>
      <c r="M38" s="118">
        <f t="shared" si="25"/>
        <v>1500</v>
      </c>
      <c r="N38" s="118">
        <f t="shared" si="25"/>
        <v>1500</v>
      </c>
      <c r="O38" s="118">
        <f t="shared" si="25"/>
        <v>1500</v>
      </c>
      <c r="P38" s="118">
        <f>O38</f>
        <v>1500</v>
      </c>
      <c r="Q38" s="118">
        <f t="shared" si="26"/>
        <v>1500</v>
      </c>
      <c r="R38" s="118">
        <f t="shared" si="26"/>
        <v>1500</v>
      </c>
      <c r="S38" s="118">
        <f t="shared" si="26"/>
        <v>1500</v>
      </c>
      <c r="T38" s="118">
        <f t="shared" si="26"/>
        <v>1500</v>
      </c>
      <c r="V38" s="213">
        <v>0</v>
      </c>
      <c r="W38" s="213">
        <f t="shared" si="27"/>
        <v>0</v>
      </c>
      <c r="X38" s="213">
        <f t="shared" si="27"/>
        <v>0</v>
      </c>
      <c r="Y38" s="213">
        <f>+X38</f>
        <v>0</v>
      </c>
      <c r="Z38" s="213">
        <f t="shared" si="27"/>
        <v>0</v>
      </c>
      <c r="AA38" s="213">
        <f t="shared" si="27"/>
        <v>0</v>
      </c>
      <c r="AB38" s="213">
        <f t="shared" si="27"/>
        <v>0</v>
      </c>
    </row>
    <row r="39" spans="1:28" hidden="1" outlineLevel="1" x14ac:dyDescent="0.2">
      <c r="A39" s="421" t="str">
        <f t="shared" si="5"/>
        <v>Liquid Methane - Global - OPEX - %of Capex</v>
      </c>
      <c r="B39" s="421"/>
      <c r="C39" t="s">
        <v>109</v>
      </c>
      <c r="D39" t="s">
        <v>734</v>
      </c>
      <c r="E39" s="3" t="s">
        <v>319</v>
      </c>
      <c r="F39" t="str">
        <f t="shared" si="24"/>
        <v>Liquid Methane OPEX</v>
      </c>
      <c r="G39" s="224" t="s">
        <v>757</v>
      </c>
      <c r="I39" s="426">
        <v>0</v>
      </c>
      <c r="J39" s="118">
        <v>0</v>
      </c>
      <c r="K39" s="118">
        <v>0</v>
      </c>
      <c r="L39" s="118">
        <v>0</v>
      </c>
      <c r="M39" s="118">
        <v>0</v>
      </c>
      <c r="N39" s="118">
        <v>0</v>
      </c>
      <c r="O39" s="118">
        <v>0</v>
      </c>
      <c r="P39" s="118">
        <v>0</v>
      </c>
      <c r="Q39" s="118">
        <v>0</v>
      </c>
      <c r="R39" s="118">
        <v>0</v>
      </c>
      <c r="S39" s="118">
        <v>0</v>
      </c>
      <c r="T39" s="118">
        <v>0</v>
      </c>
    </row>
    <row r="40" spans="1:28" hidden="1" outlineLevel="1" x14ac:dyDescent="0.2">
      <c r="A40" s="421" t="str">
        <f t="shared" si="5"/>
        <v>Liquid Methane - Global - Days stored average - Days</v>
      </c>
      <c r="B40" s="421"/>
      <c r="C40" t="s">
        <v>109</v>
      </c>
      <c r="D40" t="s">
        <v>734</v>
      </c>
      <c r="E40" s="3" t="s">
        <v>758</v>
      </c>
      <c r="F40" t="str">
        <f t="shared" si="24"/>
        <v>Liquid Methane Days stored average</v>
      </c>
      <c r="G40" s="224" t="s">
        <v>745</v>
      </c>
      <c r="I40" s="426">
        <v>15</v>
      </c>
      <c r="J40" s="118">
        <v>15</v>
      </c>
      <c r="K40" s="118">
        <v>15</v>
      </c>
      <c r="L40" s="118">
        <v>15</v>
      </c>
      <c r="M40" s="118">
        <v>15</v>
      </c>
      <c r="N40" s="118">
        <v>15</v>
      </c>
      <c r="O40" s="118">
        <v>15</v>
      </c>
      <c r="P40" s="118">
        <v>15</v>
      </c>
      <c r="Q40" s="118">
        <v>15</v>
      </c>
      <c r="R40" s="118">
        <v>15</v>
      </c>
      <c r="S40" s="118">
        <v>15</v>
      </c>
      <c r="T40" s="118">
        <v>15</v>
      </c>
    </row>
    <row r="41" spans="1:28" ht="14.25" hidden="1" outlineLevel="1" x14ac:dyDescent="0.2">
      <c r="A41" s="421" t="str">
        <f t="shared" si="5"/>
        <v>Liquid Methane - Global - Storage capacity factor - %</v>
      </c>
      <c r="B41" s="421"/>
      <c r="C41" t="s">
        <v>109</v>
      </c>
      <c r="D41" t="s">
        <v>734</v>
      </c>
      <c r="E41" s="3" t="s">
        <v>759</v>
      </c>
      <c r="F41" t="str">
        <f t="shared" si="24"/>
        <v>Liquid Methane Storage capacity factor</v>
      </c>
      <c r="G41" s="224" t="s">
        <v>178</v>
      </c>
      <c r="I41" s="427">
        <v>0.8</v>
      </c>
      <c r="J41" s="86">
        <f t="shared" ref="J41:O43" si="28">I41*(1+V41)^5</f>
        <v>0.8</v>
      </c>
      <c r="K41" s="86">
        <f t="shared" si="28"/>
        <v>0.8</v>
      </c>
      <c r="L41" s="86">
        <f t="shared" si="28"/>
        <v>0.8</v>
      </c>
      <c r="M41" s="86">
        <f t="shared" si="28"/>
        <v>0.8</v>
      </c>
      <c r="N41" s="86">
        <f t="shared" si="28"/>
        <v>0.8</v>
      </c>
      <c r="O41" s="86">
        <f t="shared" si="28"/>
        <v>0.8</v>
      </c>
      <c r="P41" s="86">
        <f>O41</f>
        <v>0.8</v>
      </c>
      <c r="Q41" s="86">
        <f t="shared" ref="Q41:T43" si="29">P41</f>
        <v>0.8</v>
      </c>
      <c r="R41" s="86">
        <f t="shared" si="29"/>
        <v>0.8</v>
      </c>
      <c r="S41" s="86">
        <f t="shared" si="29"/>
        <v>0.8</v>
      </c>
      <c r="T41" s="86">
        <f t="shared" si="29"/>
        <v>0.8</v>
      </c>
      <c r="V41" s="213">
        <v>0</v>
      </c>
      <c r="W41" s="213">
        <f t="shared" ref="W41:AB41" si="30">+V41</f>
        <v>0</v>
      </c>
      <c r="X41" s="213">
        <f t="shared" si="30"/>
        <v>0</v>
      </c>
      <c r="Y41" s="213">
        <f>+X41</f>
        <v>0</v>
      </c>
      <c r="Z41" s="213">
        <f t="shared" si="30"/>
        <v>0</v>
      </c>
      <c r="AA41" s="213">
        <f t="shared" si="30"/>
        <v>0</v>
      </c>
      <c r="AB41" s="213">
        <f t="shared" si="30"/>
        <v>0</v>
      </c>
    </row>
    <row r="42" spans="1:28" hidden="1" outlineLevel="1" x14ac:dyDescent="0.2">
      <c r="A42" s="421" t="str">
        <f t="shared" si="5"/>
        <v>Liquid Methane - Global - Vaporisation energy - kJ/mole</v>
      </c>
      <c r="B42" s="421"/>
      <c r="C42" t="s">
        <v>109</v>
      </c>
      <c r="D42" t="s">
        <v>734</v>
      </c>
      <c r="E42" s="3" t="s">
        <v>760</v>
      </c>
      <c r="F42" t="str">
        <f t="shared" si="24"/>
        <v>Liquid Methane Vaporisation energy</v>
      </c>
      <c r="G42" s="224" t="s">
        <v>761</v>
      </c>
      <c r="H42" s="93"/>
      <c r="I42" s="429">
        <v>8.17</v>
      </c>
      <c r="J42" s="93">
        <f t="shared" si="28"/>
        <v>8.17</v>
      </c>
      <c r="K42" s="93">
        <f t="shared" si="28"/>
        <v>8.17</v>
      </c>
      <c r="L42" s="93">
        <f t="shared" si="28"/>
        <v>8.17</v>
      </c>
      <c r="M42" s="93">
        <f t="shared" si="28"/>
        <v>8.17</v>
      </c>
      <c r="N42" s="93">
        <f t="shared" si="28"/>
        <v>8.17</v>
      </c>
      <c r="O42" s="93">
        <f t="shared" si="28"/>
        <v>8.17</v>
      </c>
      <c r="P42" s="93">
        <f>O42</f>
        <v>8.17</v>
      </c>
      <c r="Q42" s="93">
        <f t="shared" ref="Q42" si="31">P42</f>
        <v>8.17</v>
      </c>
      <c r="R42" s="93">
        <f t="shared" ref="R42" si="32">Q42</f>
        <v>8.17</v>
      </c>
      <c r="S42" s="93">
        <f t="shared" ref="S42" si="33">R42</f>
        <v>8.17</v>
      </c>
      <c r="T42" s="93">
        <f t="shared" ref="T42" si="34">S42</f>
        <v>8.17</v>
      </c>
    </row>
    <row r="43" spans="1:28" ht="14.25" hidden="1" outlineLevel="1" x14ac:dyDescent="0.2">
      <c r="A43" s="421" t="str">
        <f t="shared" si="5"/>
        <v>Liquid Methane - Global - Cooling Reliq efficiency - %</v>
      </c>
      <c r="B43" s="421"/>
      <c r="C43" t="s">
        <v>109</v>
      </c>
      <c r="D43" t="s">
        <v>734</v>
      </c>
      <c r="E43" s="3" t="s">
        <v>762</v>
      </c>
      <c r="F43" t="str">
        <f t="shared" si="24"/>
        <v>Liquid Methane Cooling Reliq efficiency</v>
      </c>
      <c r="G43" s="224" t="s">
        <v>178</v>
      </c>
      <c r="H43" s="93"/>
      <c r="I43" s="427">
        <v>0.3</v>
      </c>
      <c r="J43" s="86">
        <f t="shared" si="28"/>
        <v>0.3</v>
      </c>
      <c r="K43" s="86">
        <f t="shared" si="28"/>
        <v>0.3</v>
      </c>
      <c r="L43" s="86">
        <f t="shared" si="28"/>
        <v>0.3</v>
      </c>
      <c r="M43" s="86">
        <f t="shared" si="28"/>
        <v>0.3</v>
      </c>
      <c r="N43" s="86">
        <f t="shared" si="28"/>
        <v>0.3</v>
      </c>
      <c r="O43" s="86">
        <f t="shared" si="28"/>
        <v>0.3</v>
      </c>
      <c r="P43" s="86">
        <f>O43</f>
        <v>0.3</v>
      </c>
      <c r="Q43" s="86">
        <f t="shared" si="29"/>
        <v>0.3</v>
      </c>
      <c r="R43" s="86">
        <f t="shared" si="29"/>
        <v>0.3</v>
      </c>
      <c r="S43" s="86">
        <f t="shared" si="29"/>
        <v>0.3</v>
      </c>
      <c r="T43" s="86">
        <f t="shared" si="29"/>
        <v>0.3</v>
      </c>
      <c r="V43" s="213">
        <v>0</v>
      </c>
      <c r="W43" s="213">
        <f t="shared" ref="W43:AB43" si="35">+V43</f>
        <v>0</v>
      </c>
      <c r="X43" s="213">
        <f t="shared" si="35"/>
        <v>0</v>
      </c>
      <c r="Y43" s="213">
        <f>+X43</f>
        <v>0</v>
      </c>
      <c r="Z43" s="213">
        <f t="shared" si="35"/>
        <v>0</v>
      </c>
      <c r="AA43" s="213">
        <f t="shared" si="35"/>
        <v>0</v>
      </c>
      <c r="AB43" s="213">
        <f t="shared" si="35"/>
        <v>0</v>
      </c>
    </row>
    <row r="44" spans="1:28" hidden="1" outlineLevel="1" x14ac:dyDescent="0.2">
      <c r="A44" s="421" t="str">
        <f t="shared" si="5"/>
        <v>Liquid Methane - Global - Cooling energy/day - kWh/ton</v>
      </c>
      <c r="B44" s="421"/>
      <c r="C44" t="s">
        <v>109</v>
      </c>
      <c r="D44" t="s">
        <v>734</v>
      </c>
      <c r="E44" s="3" t="s">
        <v>763</v>
      </c>
      <c r="F44" t="str">
        <f t="shared" si="24"/>
        <v>Liquid Methane Cooling energy/day</v>
      </c>
      <c r="G44" s="224" t="s">
        <v>597</v>
      </c>
      <c r="H44" s="93"/>
      <c r="I44" s="121">
        <f>1000000/17*I42/I43/3600*I37</f>
        <v>0.66748366013071903</v>
      </c>
      <c r="J44" s="93">
        <f t="shared" ref="J44:T44" si="36">1000000/17*J42/J43/3600*J37</f>
        <v>0.66748366013071903</v>
      </c>
      <c r="K44" s="93">
        <f t="shared" si="36"/>
        <v>0.66748366013071903</v>
      </c>
      <c r="L44" s="93">
        <f t="shared" si="36"/>
        <v>0.66748366013071903</v>
      </c>
      <c r="M44" s="93">
        <f t="shared" si="36"/>
        <v>0.66748366013071903</v>
      </c>
      <c r="N44" s="93">
        <f t="shared" si="36"/>
        <v>0.66748366013071903</v>
      </c>
      <c r="O44" s="93">
        <f t="shared" si="36"/>
        <v>0.66748366013071903</v>
      </c>
      <c r="P44" s="93">
        <f t="shared" si="36"/>
        <v>0.66748366013071903</v>
      </c>
      <c r="Q44" s="93">
        <f t="shared" si="36"/>
        <v>0.66748366013071903</v>
      </c>
      <c r="R44" s="93">
        <f t="shared" si="36"/>
        <v>0.66748366013071903</v>
      </c>
      <c r="S44" s="93">
        <f t="shared" si="36"/>
        <v>0.66748366013071903</v>
      </c>
      <c r="T44" s="93">
        <f t="shared" si="36"/>
        <v>0.66748366013071903</v>
      </c>
    </row>
    <row r="45" spans="1:28" hidden="1" outlineLevel="1" x14ac:dyDescent="0.2">
      <c r="A45" s="421" t="str">
        <f t="shared" si="5"/>
        <v>Global - Annualisation factor - years</v>
      </c>
      <c r="B45" s="421"/>
      <c r="C45" t="s">
        <v>109</v>
      </c>
      <c r="E45" s="3" t="s">
        <v>764</v>
      </c>
      <c r="F45" t="str">
        <f t="shared" si="24"/>
        <v xml:space="preserve"> Annualisation factor</v>
      </c>
      <c r="G45" s="224" t="s">
        <v>176</v>
      </c>
      <c r="H45" s="93"/>
      <c r="I45" s="426">
        <v>12</v>
      </c>
      <c r="J45" s="118">
        <f>+I45</f>
        <v>12</v>
      </c>
      <c r="K45" s="118">
        <f t="shared" ref="K45:T45" si="37">+J45</f>
        <v>12</v>
      </c>
      <c r="L45" s="118">
        <f t="shared" si="37"/>
        <v>12</v>
      </c>
      <c r="M45" s="118">
        <f t="shared" si="37"/>
        <v>12</v>
      </c>
      <c r="N45" s="118">
        <f t="shared" si="37"/>
        <v>12</v>
      </c>
      <c r="O45" s="118">
        <f t="shared" si="37"/>
        <v>12</v>
      </c>
      <c r="P45" s="118">
        <f t="shared" si="37"/>
        <v>12</v>
      </c>
      <c r="Q45" s="118">
        <f t="shared" si="37"/>
        <v>12</v>
      </c>
      <c r="R45" s="118">
        <f t="shared" si="37"/>
        <v>12</v>
      </c>
      <c r="S45" s="118">
        <f t="shared" si="37"/>
        <v>12</v>
      </c>
      <c r="T45" s="118">
        <f t="shared" si="37"/>
        <v>12</v>
      </c>
    </row>
    <row r="46" spans="1:28" hidden="1" outlineLevel="1" x14ac:dyDescent="0.2">
      <c r="A46" s="421" t="str">
        <f t="shared" si="5"/>
        <v/>
      </c>
      <c r="B46" s="421"/>
      <c r="F46" s="3"/>
      <c r="G46" s="93"/>
      <c r="H46" s="93"/>
      <c r="I46" s="93"/>
      <c r="J46" s="93"/>
      <c r="K46" s="93"/>
      <c r="L46" s="93"/>
      <c r="M46" s="93"/>
      <c r="N46" s="93"/>
      <c r="O46" s="93"/>
      <c r="P46" s="93"/>
      <c r="Q46" s="93"/>
      <c r="R46" s="93"/>
      <c r="S46" s="93"/>
      <c r="T46" s="93"/>
    </row>
    <row r="47" spans="1:28" hidden="1" outlineLevel="1" x14ac:dyDescent="0.2">
      <c r="A47" s="421" t="str">
        <f t="shared" si="5"/>
        <v>Liquid Methane - Europe - Storage - USD/ton</v>
      </c>
      <c r="B47" s="421"/>
      <c r="C47" t="s">
        <v>195</v>
      </c>
      <c r="D47" t="s">
        <v>734</v>
      </c>
      <c r="E47" t="s">
        <v>765</v>
      </c>
      <c r="F47" t="str">
        <f t="shared" si="24"/>
        <v>Liquid Methane Storage</v>
      </c>
      <c r="G47" s="224" t="s">
        <v>205</v>
      </c>
      <c r="H47" s="93"/>
      <c r="I47" s="93">
        <f t="shared" ref="I47:T47" si="38">I$38/I$45*I$40/365/I$41+I$44*I107/1000*I$40</f>
        <v>6.967867134205699</v>
      </c>
      <c r="J47" s="93">
        <f t="shared" si="38"/>
        <v>6.8635559100600334</v>
      </c>
      <c r="K47" s="93">
        <f t="shared" si="38"/>
        <v>6.7792718106034098</v>
      </c>
      <c r="L47" s="93">
        <f t="shared" si="38"/>
        <v>6.7442517847176804</v>
      </c>
      <c r="M47" s="93">
        <f t="shared" si="38"/>
        <v>6.7233430492864379</v>
      </c>
      <c r="N47" s="93">
        <f t="shared" si="38"/>
        <v>6.7009744772256985</v>
      </c>
      <c r="O47" s="93">
        <f t="shared" si="38"/>
        <v>6.6846539063856412</v>
      </c>
      <c r="P47" s="93">
        <f t="shared" si="38"/>
        <v>6.6846539063856412</v>
      </c>
      <c r="Q47" s="93">
        <f t="shared" si="38"/>
        <v>6.6846539063856412</v>
      </c>
      <c r="R47" s="93">
        <f t="shared" si="38"/>
        <v>6.6846539063856412</v>
      </c>
      <c r="S47" s="93">
        <f t="shared" si="38"/>
        <v>6.6846539063856412</v>
      </c>
      <c r="T47" s="93">
        <f t="shared" si="38"/>
        <v>6.6846539063856412</v>
      </c>
    </row>
    <row r="48" spans="1:28" hidden="1" outlineLevel="1" x14ac:dyDescent="0.2">
      <c r="A48" s="421" t="str">
        <f t="shared" si="5"/>
        <v>Liquid Methane - Asia - Storage - USD/ton</v>
      </c>
      <c r="B48" s="421"/>
      <c r="C48" t="s">
        <v>198</v>
      </c>
      <c r="D48" t="s">
        <v>734</v>
      </c>
      <c r="E48" t="s">
        <v>765</v>
      </c>
      <c r="F48" t="str">
        <f t="shared" si="24"/>
        <v>Liquid Methane Storage</v>
      </c>
      <c r="G48" s="224" t="s">
        <v>205</v>
      </c>
      <c r="H48" s="93"/>
      <c r="I48" s="93">
        <f t="shared" ref="I48:T48" si="39">I$38/I$45*I$40/365/I$41+I$44*I108/1000*I$40</f>
        <v>7.2428553961180784</v>
      </c>
      <c r="J48" s="93">
        <f t="shared" si="39"/>
        <v>6.9571709935581314</v>
      </c>
      <c r="K48" s="93">
        <f t="shared" si="39"/>
        <v>6.8546983705889426</v>
      </c>
      <c r="L48" s="93">
        <f t="shared" si="39"/>
        <v>6.7850488417804105</v>
      </c>
      <c r="M48" s="93">
        <f t="shared" si="39"/>
        <v>6.7496373338813029</v>
      </c>
      <c r="N48" s="93">
        <f t="shared" si="39"/>
        <v>6.7125711132495258</v>
      </c>
      <c r="O48" s="93">
        <f t="shared" si="39"/>
        <v>6.6955730357706083</v>
      </c>
      <c r="P48" s="93">
        <f t="shared" si="39"/>
        <v>6.6955730357706083</v>
      </c>
      <c r="Q48" s="93">
        <f t="shared" si="39"/>
        <v>6.6955730357706083</v>
      </c>
      <c r="R48" s="93">
        <f t="shared" si="39"/>
        <v>6.6955730357706083</v>
      </c>
      <c r="S48" s="93">
        <f t="shared" si="39"/>
        <v>6.6955730357706083</v>
      </c>
      <c r="T48" s="93">
        <f t="shared" si="39"/>
        <v>6.6955730357706083</v>
      </c>
    </row>
    <row r="49" spans="1:20" hidden="1" outlineLevel="1" x14ac:dyDescent="0.2">
      <c r="A49" s="421" t="str">
        <f t="shared" si="5"/>
        <v>Liquid Methane - Middle East - Storage - USD/ton</v>
      </c>
      <c r="B49" s="421"/>
      <c r="C49" t="s">
        <v>197</v>
      </c>
      <c r="D49" t="s">
        <v>734</v>
      </c>
      <c r="E49" t="s">
        <v>765</v>
      </c>
      <c r="F49" t="str">
        <f t="shared" si="24"/>
        <v>Liquid Methane Storage</v>
      </c>
      <c r="G49" s="224" t="s">
        <v>205</v>
      </c>
      <c r="H49" s="93"/>
      <c r="I49" s="93">
        <f t="shared" ref="I49:T49" si="40">I$38/I$45*I$40/365/I$41+I$44*I109/1000*I$40</f>
        <v>6.8409581963071382</v>
      </c>
      <c r="J49" s="93">
        <f t="shared" si="40"/>
        <v>6.7591774087875027</v>
      </c>
      <c r="K49" s="93">
        <f t="shared" si="40"/>
        <v>6.7050310341292985</v>
      </c>
      <c r="L49" s="93">
        <f t="shared" si="40"/>
        <v>6.6668516003883163</v>
      </c>
      <c r="M49" s="93">
        <f t="shared" si="40"/>
        <v>6.6477088337682897</v>
      </c>
      <c r="N49" s="93">
        <f t="shared" si="40"/>
        <v>6.6226050850984377</v>
      </c>
      <c r="O49" s="93">
        <f t="shared" si="40"/>
        <v>6.6108557432110899</v>
      </c>
      <c r="P49" s="93">
        <f t="shared" si="40"/>
        <v>6.6108557432110899</v>
      </c>
      <c r="Q49" s="93">
        <f t="shared" si="40"/>
        <v>6.6108557432110899</v>
      </c>
      <c r="R49" s="93">
        <f t="shared" si="40"/>
        <v>6.6108557432110899</v>
      </c>
      <c r="S49" s="93">
        <f t="shared" si="40"/>
        <v>6.6108557432110899</v>
      </c>
      <c r="T49" s="93">
        <f t="shared" si="40"/>
        <v>6.6108557432110899</v>
      </c>
    </row>
    <row r="50" spans="1:20" hidden="1" outlineLevel="1" x14ac:dyDescent="0.2">
      <c r="A50" s="421" t="str">
        <f t="shared" si="5"/>
        <v>Liquid Methane - Americas - Storage - USD/ton</v>
      </c>
      <c r="B50" s="421"/>
      <c r="C50" t="s">
        <v>199</v>
      </c>
      <c r="D50" t="s">
        <v>734</v>
      </c>
      <c r="E50" t="s">
        <v>765</v>
      </c>
      <c r="F50" t="str">
        <f t="shared" si="24"/>
        <v>Liquid Methane Storage</v>
      </c>
      <c r="G50" s="224" t="s">
        <v>205</v>
      </c>
      <c r="H50" s="93"/>
      <c r="I50" s="93">
        <f t="shared" ref="I50:T50" si="41">I$38/I$45*I$40/365/I$41+I$44*I110/1000*I$40</f>
        <v>6.8113744632254942</v>
      </c>
      <c r="J50" s="93">
        <f t="shared" si="41"/>
        <v>6.7733408911159234</v>
      </c>
      <c r="K50" s="93">
        <f t="shared" si="41"/>
        <v>6.7090492193514288</v>
      </c>
      <c r="L50" s="93">
        <f t="shared" si="41"/>
        <v>6.6781105233390701</v>
      </c>
      <c r="M50" s="93">
        <f t="shared" si="41"/>
        <v>6.6530308553290993</v>
      </c>
      <c r="N50" s="93">
        <f t="shared" si="41"/>
        <v>6.6429270553173465</v>
      </c>
      <c r="O50" s="93">
        <f t="shared" si="41"/>
        <v>6.6353044533607681</v>
      </c>
      <c r="P50" s="93">
        <f t="shared" si="41"/>
        <v>6.6353044533607681</v>
      </c>
      <c r="Q50" s="93">
        <f t="shared" si="41"/>
        <v>6.6353044533607681</v>
      </c>
      <c r="R50" s="93">
        <f t="shared" si="41"/>
        <v>6.6353044533607681</v>
      </c>
      <c r="S50" s="93">
        <f t="shared" si="41"/>
        <v>6.6353044533607681</v>
      </c>
      <c r="T50" s="93">
        <f t="shared" si="41"/>
        <v>6.6353044533607681</v>
      </c>
    </row>
    <row r="51" spans="1:20" hidden="1" outlineLevel="1" x14ac:dyDescent="0.2">
      <c r="A51" s="421" t="str">
        <f t="shared" si="5"/>
        <v>Liquid Methane - Africa&amp;Other - Storage - USD/ton</v>
      </c>
      <c r="B51" s="421"/>
      <c r="C51" t="s">
        <v>498</v>
      </c>
      <c r="D51" t="s">
        <v>734</v>
      </c>
      <c r="E51" t="s">
        <v>765</v>
      </c>
      <c r="F51" t="str">
        <f t="shared" si="24"/>
        <v>Liquid Methane Storage</v>
      </c>
      <c r="G51" s="224" t="s">
        <v>205</v>
      </c>
      <c r="H51" s="93"/>
      <c r="I51" s="93">
        <f t="shared" ref="I51:T51" si="42">I$38/I$45*I$40/365/I$41+I$44*I111/1000*I$40</f>
        <v>7.2117939055212732</v>
      </c>
      <c r="J51" s="93">
        <f t="shared" si="42"/>
        <v>6.8685482419473338</v>
      </c>
      <c r="K51" s="93">
        <f t="shared" si="42"/>
        <v>6.7728630804583929</v>
      </c>
      <c r="L51" s="93">
        <f t="shared" si="42"/>
        <v>6.7194515010304627</v>
      </c>
      <c r="M51" s="93">
        <f t="shared" si="42"/>
        <v>6.6943115482590843</v>
      </c>
      <c r="N51" s="93">
        <f t="shared" si="42"/>
        <v>6.6684608601034761</v>
      </c>
      <c r="O51" s="93">
        <f t="shared" si="42"/>
        <v>6.6557726500373464</v>
      </c>
      <c r="P51" s="93">
        <f t="shared" si="42"/>
        <v>6.6557726500373464</v>
      </c>
      <c r="Q51" s="93">
        <f t="shared" si="42"/>
        <v>6.6557726500373464</v>
      </c>
      <c r="R51" s="93">
        <f t="shared" si="42"/>
        <v>6.6557726500373464</v>
      </c>
      <c r="S51" s="93">
        <f t="shared" si="42"/>
        <v>6.6557726500373464</v>
      </c>
      <c r="T51" s="93">
        <f t="shared" si="42"/>
        <v>6.6557726500373464</v>
      </c>
    </row>
    <row r="52" spans="1:20" hidden="1" outlineLevel="1" x14ac:dyDescent="0.2">
      <c r="A52" s="421" t="str">
        <f t="shared" si="5"/>
        <v/>
      </c>
      <c r="B52" s="421"/>
      <c r="H52" s="93"/>
      <c r="I52" s="93"/>
      <c r="J52" s="93"/>
      <c r="K52" s="93"/>
      <c r="L52" s="93"/>
      <c r="M52" s="93"/>
      <c r="N52" s="93"/>
      <c r="O52" s="93"/>
      <c r="P52" s="93"/>
      <c r="Q52" s="93"/>
      <c r="R52" s="93"/>
      <c r="S52" s="93"/>
      <c r="T52" s="93"/>
    </row>
    <row r="53" spans="1:20" hidden="1" outlineLevel="1" x14ac:dyDescent="0.2">
      <c r="A53" s="421" t="str">
        <f t="shared" si="5"/>
        <v xml:space="preserve">LNG &amp; e-Methane - Europe - Logistics CO2 - WTT Logistics ton CO2eq/ton </v>
      </c>
      <c r="B53" s="421"/>
      <c r="C53" t="s">
        <v>195</v>
      </c>
      <c r="D53" t="s">
        <v>743</v>
      </c>
      <c r="E53" t="s">
        <v>766</v>
      </c>
      <c r="F53" t="str">
        <f>+D53&amp;" "&amp;E53</f>
        <v>LNG &amp; e-Methane Logistics CO2</v>
      </c>
      <c r="G53" s="224" t="s">
        <v>767</v>
      </c>
      <c r="H53" s="93"/>
      <c r="I53" s="94">
        <f>I$17/I$36*1000*(I$18/I$22/365)</f>
        <v>4.2808219178082189E-2</v>
      </c>
      <c r="J53" s="94">
        <f t="shared" ref="J53:T57" si="43">J$17/J$36*1000*(J$18/J$22/365)</f>
        <v>2.9781180192636977E-2</v>
      </c>
      <c r="K53" s="94">
        <f t="shared" si="43"/>
        <v>2.0718420684045065E-2</v>
      </c>
      <c r="L53" s="94">
        <f t="shared" si="43"/>
        <v>1.44135643001547E-2</v>
      </c>
      <c r="M53" s="94">
        <f t="shared" si="43"/>
        <v>1.0027349043775315E-2</v>
      </c>
      <c r="N53" s="94">
        <f t="shared" si="43"/>
        <v>6.97591010466596E-3</v>
      </c>
      <c r="O53" s="94">
        <f t="shared" si="43"/>
        <v>4.8530595250984524E-3</v>
      </c>
      <c r="P53" s="94">
        <f t="shared" si="43"/>
        <v>0</v>
      </c>
      <c r="Q53" s="94">
        <f t="shared" si="43"/>
        <v>0</v>
      </c>
      <c r="R53" s="94">
        <f t="shared" si="43"/>
        <v>0</v>
      </c>
      <c r="S53" s="94">
        <f t="shared" si="43"/>
        <v>0</v>
      </c>
      <c r="T53" s="94">
        <f t="shared" si="43"/>
        <v>0</v>
      </c>
    </row>
    <row r="54" spans="1:20" hidden="1" outlineLevel="1" x14ac:dyDescent="0.2">
      <c r="A54" s="421" t="str">
        <f t="shared" si="5"/>
        <v xml:space="preserve">LNG &amp; e-Methane - Asia - Logistics CO2 - WTT Logistics ton CO2eq/ton </v>
      </c>
      <c r="B54" s="421"/>
      <c r="C54" t="s">
        <v>198</v>
      </c>
      <c r="D54" t="s">
        <v>743</v>
      </c>
      <c r="E54" t="s">
        <v>766</v>
      </c>
      <c r="F54" t="str">
        <f>+D54&amp;" "&amp;E54</f>
        <v>LNG &amp; e-Methane Logistics CO2</v>
      </c>
      <c r="G54" s="224" t="s">
        <v>767</v>
      </c>
      <c r="H54" s="93"/>
      <c r="I54" s="94">
        <f>I$17/I$36*1000*(I$18/I$22/365)</f>
        <v>4.2808219178082189E-2</v>
      </c>
      <c r="J54" s="94">
        <f t="shared" si="43"/>
        <v>2.9781180192636977E-2</v>
      </c>
      <c r="K54" s="94">
        <f t="shared" si="43"/>
        <v>2.0718420684045065E-2</v>
      </c>
      <c r="L54" s="94">
        <f t="shared" si="43"/>
        <v>1.44135643001547E-2</v>
      </c>
      <c r="M54" s="94">
        <f t="shared" si="43"/>
        <v>1.0027349043775315E-2</v>
      </c>
      <c r="N54" s="94">
        <f t="shared" si="43"/>
        <v>6.97591010466596E-3</v>
      </c>
      <c r="O54" s="94">
        <f t="shared" si="43"/>
        <v>4.8530595250984524E-3</v>
      </c>
      <c r="P54" s="94">
        <f t="shared" si="43"/>
        <v>0</v>
      </c>
      <c r="Q54" s="94">
        <f t="shared" si="43"/>
        <v>0</v>
      </c>
      <c r="R54" s="94">
        <f t="shared" si="43"/>
        <v>0</v>
      </c>
      <c r="S54" s="94">
        <f t="shared" si="43"/>
        <v>0</v>
      </c>
      <c r="T54" s="94">
        <f t="shared" si="43"/>
        <v>0</v>
      </c>
    </row>
    <row r="55" spans="1:20" hidden="1" outlineLevel="1" x14ac:dyDescent="0.2">
      <c r="A55" s="421" t="str">
        <f t="shared" si="5"/>
        <v xml:space="preserve">LNG &amp; e-Methane - Middle East - Logistics CO2 - WTT Logistics ton CO2eq/ton </v>
      </c>
      <c r="B55" s="421"/>
      <c r="C55" t="s">
        <v>197</v>
      </c>
      <c r="D55" t="s">
        <v>743</v>
      </c>
      <c r="E55" t="s">
        <v>766</v>
      </c>
      <c r="F55" t="str">
        <f>+D55&amp;" "&amp;E55</f>
        <v>LNG &amp; e-Methane Logistics CO2</v>
      </c>
      <c r="G55" s="224" t="s">
        <v>767</v>
      </c>
      <c r="H55" s="93"/>
      <c r="I55" s="94">
        <f>I$17/I$36*1000*(I$18/I$22/365)</f>
        <v>4.2808219178082189E-2</v>
      </c>
      <c r="J55" s="94">
        <f t="shared" si="43"/>
        <v>2.9781180192636977E-2</v>
      </c>
      <c r="K55" s="94">
        <f t="shared" si="43"/>
        <v>2.0718420684045065E-2</v>
      </c>
      <c r="L55" s="94">
        <f t="shared" si="43"/>
        <v>1.44135643001547E-2</v>
      </c>
      <c r="M55" s="94">
        <f t="shared" si="43"/>
        <v>1.0027349043775315E-2</v>
      </c>
      <c r="N55" s="94">
        <f t="shared" si="43"/>
        <v>6.97591010466596E-3</v>
      </c>
      <c r="O55" s="94">
        <f t="shared" si="43"/>
        <v>4.8530595250984524E-3</v>
      </c>
      <c r="P55" s="94">
        <f t="shared" si="43"/>
        <v>0</v>
      </c>
      <c r="Q55" s="94">
        <f t="shared" si="43"/>
        <v>0</v>
      </c>
      <c r="R55" s="94">
        <f t="shared" si="43"/>
        <v>0</v>
      </c>
      <c r="S55" s="94">
        <f t="shared" si="43"/>
        <v>0</v>
      </c>
      <c r="T55" s="94">
        <f t="shared" si="43"/>
        <v>0</v>
      </c>
    </row>
    <row r="56" spans="1:20" hidden="1" outlineLevel="1" x14ac:dyDescent="0.2">
      <c r="A56" s="421" t="str">
        <f t="shared" si="5"/>
        <v xml:space="preserve">LNG &amp; e-Methane - Americas - Logistics CO2 - WTT Logistics ton CO2eq/ton </v>
      </c>
      <c r="B56" s="421"/>
      <c r="C56" t="s">
        <v>199</v>
      </c>
      <c r="D56" t="s">
        <v>743</v>
      </c>
      <c r="E56" t="s">
        <v>766</v>
      </c>
      <c r="F56" t="str">
        <f>+D56&amp;" "&amp;E56</f>
        <v>LNG &amp; e-Methane Logistics CO2</v>
      </c>
      <c r="G56" s="224" t="s">
        <v>767</v>
      </c>
      <c r="H56" s="93"/>
      <c r="I56" s="94">
        <f>I$17/I$36*1000*(I$18/I$22/365)</f>
        <v>4.2808219178082189E-2</v>
      </c>
      <c r="J56" s="94">
        <f t="shared" si="43"/>
        <v>2.9781180192636977E-2</v>
      </c>
      <c r="K56" s="94">
        <f t="shared" si="43"/>
        <v>2.0718420684045065E-2</v>
      </c>
      <c r="L56" s="94">
        <f t="shared" si="43"/>
        <v>1.44135643001547E-2</v>
      </c>
      <c r="M56" s="94">
        <f t="shared" si="43"/>
        <v>1.0027349043775315E-2</v>
      </c>
      <c r="N56" s="94">
        <f t="shared" si="43"/>
        <v>6.97591010466596E-3</v>
      </c>
      <c r="O56" s="94">
        <f t="shared" si="43"/>
        <v>4.8530595250984524E-3</v>
      </c>
      <c r="P56" s="94">
        <f t="shared" si="43"/>
        <v>0</v>
      </c>
      <c r="Q56" s="94">
        <f t="shared" si="43"/>
        <v>0</v>
      </c>
      <c r="R56" s="94">
        <f t="shared" si="43"/>
        <v>0</v>
      </c>
      <c r="S56" s="94">
        <f t="shared" si="43"/>
        <v>0</v>
      </c>
      <c r="T56" s="94">
        <f t="shared" si="43"/>
        <v>0</v>
      </c>
    </row>
    <row r="57" spans="1:20" hidden="1" outlineLevel="1" x14ac:dyDescent="0.2">
      <c r="A57" s="421" t="str">
        <f t="shared" si="5"/>
        <v xml:space="preserve">LNG &amp; e-Methane - Africa&amp;Other - Logistics CO2 - WTT Logistics ton CO2eq/ton </v>
      </c>
      <c r="B57" s="421"/>
      <c r="C57" t="s">
        <v>498</v>
      </c>
      <c r="D57" t="s">
        <v>743</v>
      </c>
      <c r="E57" t="s">
        <v>766</v>
      </c>
      <c r="F57" t="str">
        <f>+D57&amp;" "&amp;E57</f>
        <v>LNG &amp; e-Methane Logistics CO2</v>
      </c>
      <c r="G57" s="224" t="s">
        <v>767</v>
      </c>
      <c r="H57" s="93"/>
      <c r="I57" s="94">
        <f>I$17/I$36*1000*(I$18/I$22/365)</f>
        <v>4.2808219178082189E-2</v>
      </c>
      <c r="J57" s="94">
        <f t="shared" si="43"/>
        <v>2.9781180192636977E-2</v>
      </c>
      <c r="K57" s="94">
        <f t="shared" si="43"/>
        <v>2.0718420684045065E-2</v>
      </c>
      <c r="L57" s="94">
        <f t="shared" si="43"/>
        <v>1.44135643001547E-2</v>
      </c>
      <c r="M57" s="94">
        <f t="shared" si="43"/>
        <v>1.0027349043775315E-2</v>
      </c>
      <c r="N57" s="94">
        <f t="shared" si="43"/>
        <v>6.97591010466596E-3</v>
      </c>
      <c r="O57" s="94">
        <f t="shared" si="43"/>
        <v>4.8530595250984524E-3</v>
      </c>
      <c r="P57" s="94">
        <f t="shared" si="43"/>
        <v>0</v>
      </c>
      <c r="Q57" s="94">
        <f t="shared" si="43"/>
        <v>0</v>
      </c>
      <c r="R57" s="94">
        <f t="shared" si="43"/>
        <v>0</v>
      </c>
      <c r="S57" s="94">
        <f t="shared" si="43"/>
        <v>0</v>
      </c>
      <c r="T57" s="94">
        <f t="shared" si="43"/>
        <v>0</v>
      </c>
    </row>
    <row r="58" spans="1:20" hidden="1" outlineLevel="1" x14ac:dyDescent="0.2">
      <c r="A58" s="421" t="str">
        <f t="shared" si="5"/>
        <v/>
      </c>
      <c r="B58" s="421"/>
      <c r="H58" s="93"/>
      <c r="I58" s="94"/>
      <c r="J58" s="94"/>
      <c r="K58" s="94"/>
      <c r="L58" s="94"/>
      <c r="M58" s="94"/>
      <c r="N58" s="94"/>
      <c r="O58" s="94"/>
      <c r="P58" s="93"/>
      <c r="Q58" s="93"/>
      <c r="R58" s="93"/>
      <c r="S58" s="93"/>
      <c r="T58" s="93"/>
    </row>
    <row r="59" spans="1:20" hidden="1" outlineLevel="1" x14ac:dyDescent="0.2">
      <c r="A59" s="421" t="str">
        <f t="shared" si="5"/>
        <v xml:space="preserve">Biomethane - Europe - Logistics CO2 - WTT Logisitcs ton CO2/ton </v>
      </c>
      <c r="B59" s="421"/>
      <c r="C59" t="s">
        <v>195</v>
      </c>
      <c r="D59" t="s">
        <v>118</v>
      </c>
      <c r="E59" t="s">
        <v>766</v>
      </c>
      <c r="F59" t="str">
        <f>+D59&amp;" "&amp;E59</f>
        <v>Biomethane Logistics CO2</v>
      </c>
      <c r="G59" s="224" t="s">
        <v>768</v>
      </c>
      <c r="H59" s="93"/>
      <c r="I59" s="94">
        <f>I$17/I$36*1000*(I$19/I$22/365)</f>
        <v>6.1154598825831692E-2</v>
      </c>
      <c r="J59" s="94">
        <f t="shared" ref="J59:T63" si="44">J$17/J$36*1000*(J$19/J$22/365)</f>
        <v>4.254454313233854E-2</v>
      </c>
      <c r="K59" s="94">
        <f t="shared" si="44"/>
        <v>2.9597743834350095E-2</v>
      </c>
      <c r="L59" s="94">
        <f t="shared" si="44"/>
        <v>2.0590806143078143E-2</v>
      </c>
      <c r="M59" s="94">
        <f t="shared" si="44"/>
        <v>1.4324784348250449E-2</v>
      </c>
      <c r="N59" s="94">
        <f t="shared" si="44"/>
        <v>9.9655858638085151E-3</v>
      </c>
      <c r="O59" s="94">
        <f t="shared" si="44"/>
        <v>6.9329421787120748E-3</v>
      </c>
      <c r="P59" s="94">
        <f t="shared" si="44"/>
        <v>0</v>
      </c>
      <c r="Q59" s="94">
        <f t="shared" si="44"/>
        <v>0</v>
      </c>
      <c r="R59" s="94">
        <f t="shared" si="44"/>
        <v>0</v>
      </c>
      <c r="S59" s="94">
        <f t="shared" si="44"/>
        <v>0</v>
      </c>
      <c r="T59" s="94">
        <f t="shared" si="44"/>
        <v>0</v>
      </c>
    </row>
    <row r="60" spans="1:20" hidden="1" outlineLevel="1" x14ac:dyDescent="0.2">
      <c r="A60" s="421" t="str">
        <f t="shared" si="5"/>
        <v xml:space="preserve">Biomethane - Asia - Logistics CO2 - WTT Logisitcs ton CO2/ton </v>
      </c>
      <c r="B60" s="421"/>
      <c r="C60" t="s">
        <v>198</v>
      </c>
      <c r="D60" t="s">
        <v>118</v>
      </c>
      <c r="E60" t="s">
        <v>766</v>
      </c>
      <c r="F60" t="str">
        <f>+D60&amp;" "&amp;E60</f>
        <v>Biomethane Logistics CO2</v>
      </c>
      <c r="G60" s="224" t="s">
        <v>768</v>
      </c>
      <c r="H60" s="93"/>
      <c r="I60" s="94">
        <f>I$17/I$36*1000*(I$19/I$22/365)</f>
        <v>6.1154598825831692E-2</v>
      </c>
      <c r="J60" s="94">
        <f t="shared" si="44"/>
        <v>4.254454313233854E-2</v>
      </c>
      <c r="K60" s="94">
        <f t="shared" si="44"/>
        <v>2.9597743834350095E-2</v>
      </c>
      <c r="L60" s="94">
        <f t="shared" si="44"/>
        <v>2.0590806143078143E-2</v>
      </c>
      <c r="M60" s="94">
        <f t="shared" si="44"/>
        <v>1.4324784348250449E-2</v>
      </c>
      <c r="N60" s="94">
        <f t="shared" si="44"/>
        <v>9.9655858638085151E-3</v>
      </c>
      <c r="O60" s="94">
        <f t="shared" si="44"/>
        <v>6.9329421787120748E-3</v>
      </c>
      <c r="P60" s="93"/>
      <c r="Q60" s="93"/>
      <c r="R60" s="93"/>
      <c r="S60" s="93"/>
      <c r="T60" s="93"/>
    </row>
    <row r="61" spans="1:20" hidden="1" outlineLevel="1" x14ac:dyDescent="0.2">
      <c r="A61" s="421" t="str">
        <f t="shared" si="5"/>
        <v xml:space="preserve">Biomethane - Middle East - Logistics CO2 - WTT Logisitcs ton CO2/ton </v>
      </c>
      <c r="B61" s="421"/>
      <c r="C61" t="s">
        <v>197</v>
      </c>
      <c r="D61" t="s">
        <v>118</v>
      </c>
      <c r="E61" t="s">
        <v>766</v>
      </c>
      <c r="F61" t="str">
        <f>+D61&amp;" "&amp;E61</f>
        <v>Biomethane Logistics CO2</v>
      </c>
      <c r="G61" s="224" t="s">
        <v>768</v>
      </c>
      <c r="H61" s="93"/>
      <c r="I61" s="94">
        <f>I$17/I$36*1000*(I$19/I$22/365)</f>
        <v>6.1154598825831692E-2</v>
      </c>
      <c r="J61" s="94">
        <f t="shared" si="44"/>
        <v>4.254454313233854E-2</v>
      </c>
      <c r="K61" s="94">
        <f t="shared" si="44"/>
        <v>2.9597743834350095E-2</v>
      </c>
      <c r="L61" s="94">
        <f t="shared" si="44"/>
        <v>2.0590806143078143E-2</v>
      </c>
      <c r="M61" s="94">
        <f t="shared" si="44"/>
        <v>1.4324784348250449E-2</v>
      </c>
      <c r="N61" s="94">
        <f t="shared" si="44"/>
        <v>9.9655858638085151E-3</v>
      </c>
      <c r="O61" s="94">
        <f t="shared" si="44"/>
        <v>6.9329421787120748E-3</v>
      </c>
      <c r="P61" s="93"/>
      <c r="Q61" s="93"/>
      <c r="R61" s="93"/>
      <c r="S61" s="93"/>
      <c r="T61" s="93"/>
    </row>
    <row r="62" spans="1:20" hidden="1" outlineLevel="1" x14ac:dyDescent="0.2">
      <c r="A62" s="421" t="str">
        <f t="shared" si="5"/>
        <v xml:space="preserve">Biomethane - Americas - Logistics CO2 - WTT Logisitcs ton CO2/ton </v>
      </c>
      <c r="B62" s="421"/>
      <c r="C62" t="s">
        <v>199</v>
      </c>
      <c r="D62" t="s">
        <v>118</v>
      </c>
      <c r="E62" t="s">
        <v>766</v>
      </c>
      <c r="F62" t="str">
        <f>+D62&amp;" "&amp;E62</f>
        <v>Biomethane Logistics CO2</v>
      </c>
      <c r="G62" s="224" t="s">
        <v>768</v>
      </c>
      <c r="H62" s="93"/>
      <c r="I62" s="94">
        <f>I$17/I$36*1000*(I$19/I$22/365)</f>
        <v>6.1154598825831692E-2</v>
      </c>
      <c r="J62" s="94">
        <f t="shared" si="44"/>
        <v>4.254454313233854E-2</v>
      </c>
      <c r="K62" s="94">
        <f t="shared" si="44"/>
        <v>2.9597743834350095E-2</v>
      </c>
      <c r="L62" s="94">
        <f t="shared" si="44"/>
        <v>2.0590806143078143E-2</v>
      </c>
      <c r="M62" s="94">
        <f t="shared" si="44"/>
        <v>1.4324784348250449E-2</v>
      </c>
      <c r="N62" s="94">
        <f t="shared" si="44"/>
        <v>9.9655858638085151E-3</v>
      </c>
      <c r="O62" s="94">
        <f t="shared" si="44"/>
        <v>6.9329421787120748E-3</v>
      </c>
      <c r="P62" s="93"/>
      <c r="Q62" s="93"/>
      <c r="R62" s="93"/>
      <c r="S62" s="93"/>
      <c r="T62" s="93"/>
    </row>
    <row r="63" spans="1:20" hidden="1" outlineLevel="1" x14ac:dyDescent="0.2">
      <c r="A63" s="421" t="str">
        <f t="shared" si="5"/>
        <v xml:space="preserve">Biomethane - Africa&amp;Other - Logistics CO2 - WTT Logisitcs ton CO2/ton </v>
      </c>
      <c r="B63" s="421"/>
      <c r="C63" t="s">
        <v>498</v>
      </c>
      <c r="D63" t="s">
        <v>118</v>
      </c>
      <c r="E63" t="s">
        <v>766</v>
      </c>
      <c r="F63" t="str">
        <f>+D63&amp;" "&amp;E63</f>
        <v>Biomethane Logistics CO2</v>
      </c>
      <c r="G63" s="224" t="s">
        <v>768</v>
      </c>
      <c r="H63" s="93"/>
      <c r="I63" s="94">
        <f>I$17/I$36*1000*(I$19/I$22/365)</f>
        <v>6.1154598825831692E-2</v>
      </c>
      <c r="J63" s="94">
        <f t="shared" si="44"/>
        <v>4.254454313233854E-2</v>
      </c>
      <c r="K63" s="94">
        <f t="shared" si="44"/>
        <v>2.9597743834350095E-2</v>
      </c>
      <c r="L63" s="94">
        <f t="shared" si="44"/>
        <v>2.0590806143078143E-2</v>
      </c>
      <c r="M63" s="94">
        <f t="shared" si="44"/>
        <v>1.4324784348250449E-2</v>
      </c>
      <c r="N63" s="94">
        <f t="shared" si="44"/>
        <v>9.9655858638085151E-3</v>
      </c>
      <c r="O63" s="94">
        <f t="shared" si="44"/>
        <v>6.9329421787120748E-3</v>
      </c>
      <c r="P63" s="93"/>
      <c r="Q63" s="93"/>
      <c r="R63" s="93"/>
      <c r="S63" s="93"/>
      <c r="T63" s="93"/>
    </row>
    <row r="64" spans="1:20" hidden="1" outlineLevel="1" x14ac:dyDescent="0.2">
      <c r="A64" s="421"/>
      <c r="B64" s="421"/>
      <c r="H64" s="93"/>
      <c r="I64" s="95"/>
      <c r="J64" s="95"/>
      <c r="K64" s="95"/>
      <c r="L64" s="95"/>
      <c r="M64" s="95"/>
      <c r="N64" s="95"/>
      <c r="O64" s="95"/>
      <c r="P64" s="95"/>
      <c r="Q64" s="95"/>
      <c r="R64" s="95"/>
      <c r="S64" s="95"/>
      <c r="T64" s="95"/>
    </row>
    <row r="65" spans="1:20" hidden="1" outlineLevel="1" x14ac:dyDescent="0.2">
      <c r="A65" s="421" t="str">
        <f t="shared" ref="A65" si="45">_xlfn.TEXTJOIN(keydelim,TRUE,D65,C65,E65,G65)</f>
        <v>Slip factor - Methane - Global - Logistics CO2 - WTT Logistics - kgCO2/GJ</v>
      </c>
      <c r="B65" s="421"/>
      <c r="C65" t="s">
        <v>109</v>
      </c>
      <c r="D65" t="s">
        <v>769</v>
      </c>
      <c r="E65" t="s">
        <v>766</v>
      </c>
      <c r="F65" t="s">
        <v>769</v>
      </c>
      <c r="G65" s="224" t="s">
        <v>770</v>
      </c>
      <c r="H65" s="93"/>
      <c r="I65" s="95">
        <v>2</v>
      </c>
      <c r="J65" s="95">
        <v>2</v>
      </c>
      <c r="K65" s="95">
        <v>2</v>
      </c>
      <c r="L65" s="95">
        <v>2</v>
      </c>
      <c r="M65" s="95">
        <v>2</v>
      </c>
      <c r="N65" s="95">
        <v>2</v>
      </c>
      <c r="O65" s="95">
        <v>2</v>
      </c>
      <c r="P65" s="95">
        <v>2</v>
      </c>
      <c r="Q65" s="95">
        <v>2</v>
      </c>
      <c r="R65" s="95">
        <v>2</v>
      </c>
      <c r="S65" s="95">
        <v>2</v>
      </c>
      <c r="T65" s="95">
        <v>2</v>
      </c>
    </row>
    <row r="66" spans="1:20" hidden="1" outlineLevel="1" x14ac:dyDescent="0.2">
      <c r="A66" s="421" t="str">
        <f t="shared" si="5"/>
        <v>LNG &amp; e-Methane - Global - WTT Logistics - kgCO2/GJ</v>
      </c>
      <c r="B66" s="421"/>
      <c r="C66" t="s">
        <v>109</v>
      </c>
      <c r="D66" t="str">
        <f>+D53</f>
        <v>LNG &amp; e-Methane</v>
      </c>
      <c r="F66" t="s">
        <v>590</v>
      </c>
      <c r="G66" s="224" t="s">
        <v>770</v>
      </c>
      <c r="H66" s="93"/>
      <c r="I66" s="94">
        <f>+AVERAGE(I53:I57)/INDEX('Fuel Model -  Input'!H$15:H$44,MATCH('Fuel Logistics'!$F66,'Fuel Model -  Input'!$F$15:$F$44,0))*1000000+I65</f>
        <v>2.8561643835616435</v>
      </c>
      <c r="J66" s="94">
        <f>+AVERAGE(J53:J57)/INDEX('Fuel Model -  Input'!I$15:I$44,MATCH('Fuel Logistics'!$F66,'Fuel Model -  Input'!$F$15:$F$44,0))*1000000+J65</f>
        <v>2.5956236038527396</v>
      </c>
      <c r="K66" s="94">
        <f>+AVERAGE(K53:K57)/INDEX('Fuel Model -  Input'!J$15:J$44,MATCH('Fuel Logistics'!$F66,'Fuel Model -  Input'!$F$15:$F$44,0))*1000000+K65</f>
        <v>2.4143684136809012</v>
      </c>
      <c r="L66" s="94">
        <f>+AVERAGE(L53:L57)/INDEX('Fuel Model -  Input'!K$15:K$44,MATCH('Fuel Logistics'!$F66,'Fuel Model -  Input'!$F$15:$F$44,0))*1000000+L65</f>
        <v>2.288271286003094</v>
      </c>
      <c r="M66" s="94">
        <f>+AVERAGE(M53:M57)/INDEX('Fuel Model -  Input'!L$15:L$44,MATCH('Fuel Logistics'!$F66,'Fuel Model -  Input'!$F$15:$F$44,0))*1000000+M65</f>
        <v>2.2005469808755063</v>
      </c>
      <c r="N66" s="94">
        <f>+AVERAGE(N53:N57)/INDEX('Fuel Model -  Input'!M$15:M$44,MATCH('Fuel Logistics'!$F66,'Fuel Model -  Input'!$F$15:$F$44,0))*1000000+N65</f>
        <v>2.1395182020933192</v>
      </c>
      <c r="O66" s="94">
        <f>+AVERAGE(O53:O57)/INDEX('Fuel Model -  Input'!N$15:N$44,MATCH('Fuel Logistics'!$F66,'Fuel Model -  Input'!$F$15:$F$44,0))*1000000+O65</f>
        <v>2.0970611905019689</v>
      </c>
      <c r="P66" s="94"/>
      <c r="Q66" s="94"/>
      <c r="R66" s="94"/>
      <c r="S66" s="94"/>
      <c r="T66" s="94"/>
    </row>
    <row r="67" spans="1:20" hidden="1" outlineLevel="1" x14ac:dyDescent="0.2">
      <c r="A67" s="421" t="str">
        <f t="shared" si="5"/>
        <v>Biomethane - Global - WTT Logistics - kgCO2/GJ</v>
      </c>
      <c r="B67" s="421"/>
      <c r="C67" t="s">
        <v>109</v>
      </c>
      <c r="D67" t="str">
        <f>+D59</f>
        <v>Biomethane</v>
      </c>
      <c r="F67" t="s">
        <v>118</v>
      </c>
      <c r="G67" s="224" t="s">
        <v>770</v>
      </c>
      <c r="H67" s="93"/>
      <c r="I67" s="94">
        <f>+AVERAGE(I59:I63)/INDEX('Fuel Model -  Input'!H$15:H$44,MATCH('Fuel Logistics'!$F67,'Fuel Model -  Input'!$F$15:$F$44,0))*1000000+I65</f>
        <v>3.2230919765166339</v>
      </c>
      <c r="J67" s="94">
        <f>+AVERAGE(J59:J63)/INDEX('Fuel Model -  Input'!I$15:I$44,MATCH('Fuel Logistics'!$F67,'Fuel Model -  Input'!$F$15:$F$44,0))*1000000+J65</f>
        <v>2.8508908626467706</v>
      </c>
      <c r="K67" s="94">
        <f>+AVERAGE(K59:K63)/INDEX('Fuel Model -  Input'!J$15:J$44,MATCH('Fuel Logistics'!$F67,'Fuel Model -  Input'!$F$15:$F$44,0))*1000000+K65</f>
        <v>2.591954876687002</v>
      </c>
      <c r="L67" s="94">
        <f>+AVERAGE(L59:L63)/INDEX('Fuel Model -  Input'!K$15:K$44,MATCH('Fuel Logistics'!$F67,'Fuel Model -  Input'!$F$15:$F$44,0))*1000000+L65</f>
        <v>2.4118161228615627</v>
      </c>
      <c r="M67" s="94">
        <f>+AVERAGE(M59:M63)/INDEX('Fuel Model -  Input'!L$15:L$44,MATCH('Fuel Logistics'!$F67,'Fuel Model -  Input'!$F$15:$F$44,0))*1000000+M65</f>
        <v>2.2864956869650088</v>
      </c>
      <c r="N67" s="94">
        <f>+AVERAGE(N59:N63)/INDEX('Fuel Model -  Input'!M$15:M$44,MATCH('Fuel Logistics'!$F67,'Fuel Model -  Input'!$F$15:$F$44,0))*1000000+N65</f>
        <v>2.1993117172761703</v>
      </c>
      <c r="O67" s="94">
        <f>+AVERAGE(O59:O63)/INDEX('Fuel Model -  Input'!N$15:N$44,MATCH('Fuel Logistics'!$F67,'Fuel Model -  Input'!$F$15:$F$44,0))*1000000+O65</f>
        <v>2.1386588435742415</v>
      </c>
      <c r="P67" s="94"/>
      <c r="Q67" s="94"/>
      <c r="R67" s="94"/>
      <c r="S67" s="94"/>
      <c r="T67" s="94"/>
    </row>
    <row r="68" spans="1:20" hidden="1" outlineLevel="1" x14ac:dyDescent="0.2">
      <c r="A68" s="421" t="str">
        <f t="shared" si="5"/>
        <v/>
      </c>
      <c r="B68" s="421"/>
      <c r="H68" s="93"/>
      <c r="I68" s="95"/>
      <c r="J68" s="95"/>
      <c r="K68" s="95"/>
      <c r="L68" s="95"/>
      <c r="M68" s="95"/>
      <c r="N68" s="95"/>
      <c r="O68" s="95"/>
      <c r="P68" s="95"/>
      <c r="Q68" s="95"/>
      <c r="R68" s="95"/>
      <c r="S68" s="95"/>
      <c r="T68" s="95"/>
    </row>
    <row r="69" spans="1:20" collapsed="1" x14ac:dyDescent="0.2">
      <c r="A69" s="421" t="str">
        <f>_xlfn.TEXTJOIN(keydelim,TRUE,D69,C69,E69,G69)</f>
        <v>LNG &amp; e-Methane - Europe - Logistics total - USD/ton</v>
      </c>
      <c r="B69" s="421"/>
      <c r="C69" s="266" t="s">
        <v>195</v>
      </c>
      <c r="D69" s="266" t="s">
        <v>743</v>
      </c>
      <c r="E69" s="266" t="s">
        <v>732</v>
      </c>
      <c r="F69" s="266" t="str">
        <f>+D69&amp;" "&amp;E69</f>
        <v>LNG &amp; e-Methane Logistics total</v>
      </c>
      <c r="G69" s="282" t="s">
        <v>205</v>
      </c>
      <c r="H69" s="266"/>
      <c r="I69" s="430">
        <f t="shared" ref="I69:T69" si="46">I24+I47</f>
        <v>41.214442476671451</v>
      </c>
      <c r="J69" s="430">
        <f t="shared" si="46"/>
        <v>41.11013125252579</v>
      </c>
      <c r="K69" s="430">
        <f t="shared" si="46"/>
        <v>41.025847153069165</v>
      </c>
      <c r="L69" s="430">
        <f t="shared" si="46"/>
        <v>40.990827127183437</v>
      </c>
      <c r="M69" s="430">
        <f t="shared" si="46"/>
        <v>40.969918391752188</v>
      </c>
      <c r="N69" s="430">
        <f t="shared" si="46"/>
        <v>40.947549819691453</v>
      </c>
      <c r="O69" s="430">
        <f t="shared" si="46"/>
        <v>40.931229248851395</v>
      </c>
      <c r="P69" s="430">
        <f t="shared" si="46"/>
        <v>40.931229248851395</v>
      </c>
      <c r="Q69" s="430">
        <f t="shared" si="46"/>
        <v>40.931229248851395</v>
      </c>
      <c r="R69" s="430">
        <f t="shared" si="46"/>
        <v>40.931229248851395</v>
      </c>
      <c r="S69" s="430">
        <f t="shared" si="46"/>
        <v>40.931229248851395</v>
      </c>
      <c r="T69" s="430">
        <f t="shared" si="46"/>
        <v>40.931229248851395</v>
      </c>
    </row>
    <row r="70" spans="1:20" x14ac:dyDescent="0.2">
      <c r="A70" s="421" t="str">
        <f>_xlfn.TEXTJOIN(keydelim,TRUE,D70,C70,E70,G70)</f>
        <v>LNG &amp; e-Methane - Asia - Logistics total - USD/ton</v>
      </c>
      <c r="B70" s="421"/>
      <c r="C70" s="266" t="s">
        <v>198</v>
      </c>
      <c r="D70" s="266" t="s">
        <v>743</v>
      </c>
      <c r="E70" s="266" t="s">
        <v>732</v>
      </c>
      <c r="F70" s="266" t="str">
        <f>+D70&amp;" "&amp;E70</f>
        <v>LNG &amp; e-Methane Logistics total</v>
      </c>
      <c r="G70" s="282" t="s">
        <v>205</v>
      </c>
      <c r="H70" s="266"/>
      <c r="I70" s="430">
        <f t="shared" ref="I70:T70" si="47">I25+I48</f>
        <v>41.489430738583835</v>
      </c>
      <c r="J70" s="430">
        <f t="shared" si="47"/>
        <v>41.203746336023883</v>
      </c>
      <c r="K70" s="430">
        <f t="shared" si="47"/>
        <v>41.101273713054695</v>
      </c>
      <c r="L70" s="430">
        <f t="shared" si="47"/>
        <v>41.031624184246162</v>
      </c>
      <c r="M70" s="430">
        <f t="shared" si="47"/>
        <v>40.996212676347056</v>
      </c>
      <c r="N70" s="430">
        <f t="shared" si="47"/>
        <v>40.959146455715278</v>
      </c>
      <c r="O70" s="430">
        <f t="shared" si="47"/>
        <v>40.942148378236361</v>
      </c>
      <c r="P70" s="430">
        <f t="shared" si="47"/>
        <v>40.942148378236361</v>
      </c>
      <c r="Q70" s="430">
        <f t="shared" si="47"/>
        <v>40.942148378236361</v>
      </c>
      <c r="R70" s="430">
        <f t="shared" si="47"/>
        <v>40.942148378236361</v>
      </c>
      <c r="S70" s="430">
        <f t="shared" si="47"/>
        <v>40.942148378236361</v>
      </c>
      <c r="T70" s="430">
        <f t="shared" si="47"/>
        <v>40.942148378236361</v>
      </c>
    </row>
    <row r="71" spans="1:20" x14ac:dyDescent="0.2">
      <c r="A71" s="421" t="str">
        <f>_xlfn.TEXTJOIN(keydelim,TRUE,D71,C71,E71,G71)</f>
        <v>LNG &amp; e-Methane - Middle East - Logistics total - USD/ton</v>
      </c>
      <c r="B71" s="421"/>
      <c r="C71" s="266" t="s">
        <v>197</v>
      </c>
      <c r="D71" s="266" t="s">
        <v>743</v>
      </c>
      <c r="E71" s="266" t="s">
        <v>732</v>
      </c>
      <c r="F71" s="266" t="str">
        <f>+D71&amp;" "&amp;E71</f>
        <v>LNG &amp; e-Methane Logistics total</v>
      </c>
      <c r="G71" s="282" t="s">
        <v>205</v>
      </c>
      <c r="H71" s="266"/>
      <c r="I71" s="430">
        <f t="shared" ref="I71:T71" si="48">I26+I49</f>
        <v>41.087533538772888</v>
      </c>
      <c r="J71" s="430">
        <f t="shared" si="48"/>
        <v>41.005752751253254</v>
      </c>
      <c r="K71" s="430">
        <f t="shared" si="48"/>
        <v>40.951606376595052</v>
      </c>
      <c r="L71" s="430">
        <f t="shared" si="48"/>
        <v>40.913426942854073</v>
      </c>
      <c r="M71" s="430">
        <f t="shared" si="48"/>
        <v>40.894284176234045</v>
      </c>
      <c r="N71" s="430">
        <f t="shared" si="48"/>
        <v>40.869180427564189</v>
      </c>
      <c r="O71" s="430">
        <f t="shared" si="48"/>
        <v>40.857431085676843</v>
      </c>
      <c r="P71" s="430">
        <f t="shared" si="48"/>
        <v>40.857431085676843</v>
      </c>
      <c r="Q71" s="430">
        <f t="shared" si="48"/>
        <v>40.857431085676843</v>
      </c>
      <c r="R71" s="430">
        <f t="shared" si="48"/>
        <v>40.857431085676843</v>
      </c>
      <c r="S71" s="430">
        <f t="shared" si="48"/>
        <v>40.857431085676843</v>
      </c>
      <c r="T71" s="430">
        <f t="shared" si="48"/>
        <v>40.857431085676843</v>
      </c>
    </row>
    <row r="72" spans="1:20" x14ac:dyDescent="0.2">
      <c r="A72" s="421" t="str">
        <f>_xlfn.TEXTJOIN(keydelim,TRUE,D72,C72,E72,G72)</f>
        <v>LNG &amp; e-Methane - Americas - Logistics total - USD/ton</v>
      </c>
      <c r="B72" s="421"/>
      <c r="C72" s="266" t="s">
        <v>199</v>
      </c>
      <c r="D72" s="266" t="s">
        <v>743</v>
      </c>
      <c r="E72" s="266" t="s">
        <v>732</v>
      </c>
      <c r="F72" s="266" t="str">
        <f>+D72&amp;" "&amp;E72</f>
        <v>LNG &amp; e-Methane Logistics total</v>
      </c>
      <c r="G72" s="282" t="s">
        <v>205</v>
      </c>
      <c r="H72" s="266"/>
      <c r="I72" s="430">
        <f t="shared" ref="I72:T72" si="49">I27+I50</f>
        <v>41.057949805691251</v>
      </c>
      <c r="J72" s="430">
        <f t="shared" si="49"/>
        <v>41.019916233581675</v>
      </c>
      <c r="K72" s="430">
        <f t="shared" si="49"/>
        <v>40.955624561817181</v>
      </c>
      <c r="L72" s="430">
        <f t="shared" si="49"/>
        <v>40.924685865804825</v>
      </c>
      <c r="M72" s="430">
        <f t="shared" si="49"/>
        <v>40.899606197794853</v>
      </c>
      <c r="N72" s="430">
        <f t="shared" si="49"/>
        <v>40.889502397783097</v>
      </c>
      <c r="O72" s="430">
        <f t="shared" si="49"/>
        <v>40.881879795826521</v>
      </c>
      <c r="P72" s="430">
        <f t="shared" si="49"/>
        <v>40.881879795826521</v>
      </c>
      <c r="Q72" s="430">
        <f t="shared" si="49"/>
        <v>40.881879795826521</v>
      </c>
      <c r="R72" s="430">
        <f t="shared" si="49"/>
        <v>40.881879795826521</v>
      </c>
      <c r="S72" s="430">
        <f t="shared" si="49"/>
        <v>40.881879795826521</v>
      </c>
      <c r="T72" s="430">
        <f t="shared" si="49"/>
        <v>40.881879795826521</v>
      </c>
    </row>
    <row r="73" spans="1:20" x14ac:dyDescent="0.2">
      <c r="A73" s="421" t="str">
        <f>_xlfn.TEXTJOIN(keydelim,TRUE,D73,C73,E73,G73)</f>
        <v>LNG &amp; e-Methane - Africa&amp;Other - Logistics total - USD/ton</v>
      </c>
      <c r="B73" s="421"/>
      <c r="C73" s="266" t="s">
        <v>498</v>
      </c>
      <c r="D73" s="266" t="s">
        <v>743</v>
      </c>
      <c r="E73" s="266" t="s">
        <v>732</v>
      </c>
      <c r="F73" s="266" t="str">
        <f>+D73&amp;" "&amp;E73</f>
        <v>LNG &amp; e-Methane Logistics total</v>
      </c>
      <c r="G73" s="282" t="s">
        <v>205</v>
      </c>
      <c r="H73" s="266"/>
      <c r="I73" s="430">
        <f t="shared" ref="I73:T73" si="50">I28+I51</f>
        <v>41.458369247987029</v>
      </c>
      <c r="J73" s="430">
        <f t="shared" si="50"/>
        <v>41.115123584413084</v>
      </c>
      <c r="K73" s="430">
        <f t="shared" si="50"/>
        <v>41.019438422924146</v>
      </c>
      <c r="L73" s="430">
        <f t="shared" si="50"/>
        <v>40.966026843496216</v>
      </c>
      <c r="M73" s="430">
        <f t="shared" si="50"/>
        <v>40.94088689072484</v>
      </c>
      <c r="N73" s="430">
        <f t="shared" si="50"/>
        <v>40.915036202569226</v>
      </c>
      <c r="O73" s="430">
        <f t="shared" si="50"/>
        <v>40.902347992503103</v>
      </c>
      <c r="P73" s="430">
        <f t="shared" si="50"/>
        <v>40.902347992503103</v>
      </c>
      <c r="Q73" s="430">
        <f t="shared" si="50"/>
        <v>40.902347992503103</v>
      </c>
      <c r="R73" s="430">
        <f t="shared" si="50"/>
        <v>40.902347992503103</v>
      </c>
      <c r="S73" s="430">
        <f t="shared" si="50"/>
        <v>40.902347992503103</v>
      </c>
      <c r="T73" s="430">
        <f t="shared" si="50"/>
        <v>40.902347992503103</v>
      </c>
    </row>
    <row r="74" spans="1:20" x14ac:dyDescent="0.2">
      <c r="C74" s="266"/>
      <c r="D74" s="266"/>
      <c r="E74" s="266"/>
      <c r="F74" s="266"/>
      <c r="G74" s="282"/>
      <c r="H74" s="266"/>
      <c r="I74" s="266"/>
      <c r="J74" s="266"/>
      <c r="K74" s="266"/>
      <c r="L74" s="266"/>
      <c r="M74" s="266"/>
      <c r="N74" s="266"/>
      <c r="O74" s="266"/>
      <c r="P74" s="266"/>
      <c r="Q74" s="266"/>
      <c r="R74" s="266"/>
      <c r="S74" s="266"/>
      <c r="T74" s="266"/>
    </row>
    <row r="75" spans="1:20" x14ac:dyDescent="0.2">
      <c r="A75" s="421" t="str">
        <f>_xlfn.TEXTJOIN(keydelim,TRUE,D75,C75,E75,G75)</f>
        <v>Biomethane - Europe - Logistics total - USD/ton</v>
      </c>
      <c r="B75" s="421"/>
      <c r="C75" s="266" t="s">
        <v>195</v>
      </c>
      <c r="D75" s="266" t="s">
        <v>118</v>
      </c>
      <c r="E75" s="266" t="s">
        <v>732</v>
      </c>
      <c r="F75" s="266" t="str">
        <f>+D75&amp;" "&amp;E75</f>
        <v>Biomethane Logistics total</v>
      </c>
      <c r="G75" s="282" t="s">
        <v>205</v>
      </c>
      <c r="H75" s="266"/>
      <c r="I75" s="430">
        <f t="shared" ref="I75:T75" si="51">I30+I47</f>
        <v>55.891546194871047</v>
      </c>
      <c r="J75" s="430">
        <f t="shared" si="51"/>
        <v>55.787234970725386</v>
      </c>
      <c r="K75" s="430">
        <f t="shared" si="51"/>
        <v>55.702950871268762</v>
      </c>
      <c r="L75" s="430">
        <f t="shared" si="51"/>
        <v>55.667930845383033</v>
      </c>
      <c r="M75" s="430">
        <f t="shared" si="51"/>
        <v>55.647022109951791</v>
      </c>
      <c r="N75" s="430">
        <f t="shared" si="51"/>
        <v>55.624653537891049</v>
      </c>
      <c r="O75" s="430">
        <f t="shared" si="51"/>
        <v>55.608332967050991</v>
      </c>
      <c r="P75" s="430">
        <f t="shared" si="51"/>
        <v>55.608332967050991</v>
      </c>
      <c r="Q75" s="430">
        <f t="shared" si="51"/>
        <v>55.608332967050991</v>
      </c>
      <c r="R75" s="430">
        <f t="shared" si="51"/>
        <v>55.608332967050991</v>
      </c>
      <c r="S75" s="430">
        <f t="shared" si="51"/>
        <v>55.608332967050991</v>
      </c>
      <c r="T75" s="430">
        <f t="shared" si="51"/>
        <v>55.608332967050991</v>
      </c>
    </row>
    <row r="76" spans="1:20" x14ac:dyDescent="0.2">
      <c r="A76" s="421" t="str">
        <f>_xlfn.TEXTJOIN(keydelim,TRUE,D76,C76,E76,G76)</f>
        <v>Biomethane - Asia - Logistics total - USD/ton</v>
      </c>
      <c r="B76" s="421"/>
      <c r="C76" s="266" t="s">
        <v>198</v>
      </c>
      <c r="D76" s="266" t="s">
        <v>118</v>
      </c>
      <c r="E76" s="266" t="s">
        <v>732</v>
      </c>
      <c r="F76" s="266" t="str">
        <f>+D76&amp;" "&amp;E76</f>
        <v>Biomethane Logistics total</v>
      </c>
      <c r="G76" s="282" t="s">
        <v>205</v>
      </c>
      <c r="H76" s="266"/>
      <c r="I76" s="430">
        <f t="shared" ref="I76:T76" si="52">I31+I48</f>
        <v>56.166534456783431</v>
      </c>
      <c r="J76" s="430">
        <f t="shared" si="52"/>
        <v>55.88085005422348</v>
      </c>
      <c r="K76" s="430">
        <f t="shared" si="52"/>
        <v>55.778377431254292</v>
      </c>
      <c r="L76" s="430">
        <f t="shared" si="52"/>
        <v>55.708727902445759</v>
      </c>
      <c r="M76" s="430">
        <f t="shared" si="52"/>
        <v>55.673316394546653</v>
      </c>
      <c r="N76" s="430">
        <f t="shared" si="52"/>
        <v>55.636250173914874</v>
      </c>
      <c r="O76" s="430">
        <f t="shared" si="52"/>
        <v>55.619252096435957</v>
      </c>
      <c r="P76" s="430">
        <f t="shared" si="52"/>
        <v>55.619252096435957</v>
      </c>
      <c r="Q76" s="430">
        <f t="shared" si="52"/>
        <v>55.619252096435957</v>
      </c>
      <c r="R76" s="430">
        <f t="shared" si="52"/>
        <v>55.619252096435957</v>
      </c>
      <c r="S76" s="430">
        <f t="shared" si="52"/>
        <v>55.619252096435957</v>
      </c>
      <c r="T76" s="430">
        <f t="shared" si="52"/>
        <v>55.619252096435957</v>
      </c>
    </row>
    <row r="77" spans="1:20" x14ac:dyDescent="0.2">
      <c r="A77" s="421" t="str">
        <f>_xlfn.TEXTJOIN(keydelim,TRUE,D77,C77,E77,G77)</f>
        <v>Biomethane - Middle East - Logistics total - USD/ton</v>
      </c>
      <c r="B77" s="421"/>
      <c r="C77" s="266" t="s">
        <v>197</v>
      </c>
      <c r="D77" s="266" t="s">
        <v>118</v>
      </c>
      <c r="E77" s="266" t="s">
        <v>732</v>
      </c>
      <c r="F77" s="266" t="str">
        <f>+D77&amp;" "&amp;E77</f>
        <v>Biomethane Logistics total</v>
      </c>
      <c r="G77" s="282" t="s">
        <v>205</v>
      </c>
      <c r="H77" s="266"/>
      <c r="I77" s="430">
        <f t="shared" ref="I77:T77" si="53">I32+I49</f>
        <v>55.764637256972492</v>
      </c>
      <c r="J77" s="430">
        <f t="shared" si="53"/>
        <v>55.682856469452851</v>
      </c>
      <c r="K77" s="430">
        <f t="shared" si="53"/>
        <v>55.628710094794648</v>
      </c>
      <c r="L77" s="430">
        <f t="shared" si="53"/>
        <v>55.590530661053663</v>
      </c>
      <c r="M77" s="430">
        <f t="shared" si="53"/>
        <v>55.571387894433641</v>
      </c>
      <c r="N77" s="430">
        <f t="shared" si="53"/>
        <v>55.546284145763785</v>
      </c>
      <c r="O77" s="430">
        <f t="shared" si="53"/>
        <v>55.53453480387644</v>
      </c>
      <c r="P77" s="430">
        <f t="shared" si="53"/>
        <v>55.53453480387644</v>
      </c>
      <c r="Q77" s="430">
        <f t="shared" si="53"/>
        <v>55.53453480387644</v>
      </c>
      <c r="R77" s="430">
        <f t="shared" si="53"/>
        <v>55.53453480387644</v>
      </c>
      <c r="S77" s="430">
        <f t="shared" si="53"/>
        <v>55.53453480387644</v>
      </c>
      <c r="T77" s="430">
        <f t="shared" si="53"/>
        <v>55.53453480387644</v>
      </c>
    </row>
    <row r="78" spans="1:20" x14ac:dyDescent="0.2">
      <c r="A78" s="421" t="str">
        <f>_xlfn.TEXTJOIN(keydelim,TRUE,D78,C78,E78,G78)</f>
        <v>Biomethane - Americas - Logistics total - USD/ton</v>
      </c>
      <c r="B78" s="421"/>
      <c r="C78" s="266" t="s">
        <v>199</v>
      </c>
      <c r="D78" s="266" t="s">
        <v>118</v>
      </c>
      <c r="E78" s="266" t="s">
        <v>732</v>
      </c>
      <c r="F78" s="266" t="str">
        <f>+D78&amp;" "&amp;E78</f>
        <v>Biomethane Logistics total</v>
      </c>
      <c r="G78" s="282" t="s">
        <v>205</v>
      </c>
      <c r="H78" s="266"/>
      <c r="I78" s="430">
        <f t="shared" ref="I78:T78" si="54">I33+I50</f>
        <v>55.735053523890841</v>
      </c>
      <c r="J78" s="430">
        <f t="shared" si="54"/>
        <v>55.697019951781272</v>
      </c>
      <c r="K78" s="430">
        <f t="shared" si="54"/>
        <v>55.632728280016778</v>
      </c>
      <c r="L78" s="430">
        <f t="shared" si="54"/>
        <v>55.601789584004422</v>
      </c>
      <c r="M78" s="430">
        <f t="shared" si="54"/>
        <v>55.576709915994449</v>
      </c>
      <c r="N78" s="430">
        <f t="shared" si="54"/>
        <v>55.566606115982694</v>
      </c>
      <c r="O78" s="430">
        <f t="shared" si="54"/>
        <v>55.558983514026117</v>
      </c>
      <c r="P78" s="430">
        <f t="shared" si="54"/>
        <v>55.558983514026117</v>
      </c>
      <c r="Q78" s="430">
        <f t="shared" si="54"/>
        <v>55.558983514026117</v>
      </c>
      <c r="R78" s="430">
        <f t="shared" si="54"/>
        <v>55.558983514026117</v>
      </c>
      <c r="S78" s="430">
        <f t="shared" si="54"/>
        <v>55.558983514026117</v>
      </c>
      <c r="T78" s="430">
        <f t="shared" si="54"/>
        <v>55.558983514026117</v>
      </c>
    </row>
    <row r="79" spans="1:20" x14ac:dyDescent="0.2">
      <c r="A79" s="421" t="str">
        <f>_xlfn.TEXTJOIN(keydelim,TRUE,D79,C79,E79,G79)</f>
        <v>Biomethane - Africa&amp;Other - Logistics total - USD/ton</v>
      </c>
      <c r="B79" s="421"/>
      <c r="C79" s="266" t="s">
        <v>498</v>
      </c>
      <c r="D79" s="266" t="s">
        <v>118</v>
      </c>
      <c r="E79" s="266" t="s">
        <v>732</v>
      </c>
      <c r="F79" s="266" t="str">
        <f>+D79&amp;" "&amp;E79</f>
        <v>Biomethane Logistics total</v>
      </c>
      <c r="G79" s="282" t="s">
        <v>205</v>
      </c>
      <c r="H79" s="266"/>
      <c r="I79" s="430">
        <f t="shared" ref="I79:T79" si="55">I34+I51</f>
        <v>56.135472966186626</v>
      </c>
      <c r="J79" s="430">
        <f t="shared" si="55"/>
        <v>55.792227302612687</v>
      </c>
      <c r="K79" s="430">
        <f t="shared" si="55"/>
        <v>55.696542141123743</v>
      </c>
      <c r="L79" s="430">
        <f t="shared" si="55"/>
        <v>55.643130561695813</v>
      </c>
      <c r="M79" s="430">
        <f t="shared" si="55"/>
        <v>55.617990608924437</v>
      </c>
      <c r="N79" s="430">
        <f t="shared" si="55"/>
        <v>55.59213992076883</v>
      </c>
      <c r="O79" s="430">
        <f t="shared" si="55"/>
        <v>55.579451710702699</v>
      </c>
      <c r="P79" s="430">
        <f t="shared" si="55"/>
        <v>55.579451710702699</v>
      </c>
      <c r="Q79" s="430">
        <f t="shared" si="55"/>
        <v>55.579451710702699</v>
      </c>
      <c r="R79" s="430">
        <f t="shared" si="55"/>
        <v>55.579451710702699</v>
      </c>
      <c r="S79" s="430">
        <f t="shared" si="55"/>
        <v>55.579451710702699</v>
      </c>
      <c r="T79" s="430">
        <f t="shared" si="55"/>
        <v>55.579451710702699</v>
      </c>
    </row>
    <row r="81" spans="1:28" x14ac:dyDescent="0.2">
      <c r="A81" s="418" t="s">
        <v>529</v>
      </c>
      <c r="B81" s="31"/>
      <c r="C81" s="418" t="str">
        <f>+A81</f>
        <v>Ammonia</v>
      </c>
      <c r="D81" s="419"/>
      <c r="E81" s="419"/>
      <c r="F81" s="419"/>
      <c r="G81" s="420"/>
      <c r="H81" s="419"/>
      <c r="I81" s="419"/>
      <c r="J81" s="419"/>
      <c r="K81" s="419"/>
      <c r="L81" s="419"/>
      <c r="M81" s="419"/>
      <c r="N81" s="419"/>
      <c r="O81" s="419"/>
      <c r="P81" s="419"/>
      <c r="Q81" s="419"/>
      <c r="R81" s="419"/>
      <c r="S81" s="419"/>
      <c r="T81" s="419"/>
    </row>
    <row r="82" spans="1:28" x14ac:dyDescent="0.2">
      <c r="A82" s="421" t="str">
        <f t="shared" ref="A82:A131" si="56">_xlfn.TEXTJOIN(keydelim,TRUE,D82,C82,E82,G82)</f>
        <v/>
      </c>
      <c r="B82" s="421"/>
      <c r="C82" s="421"/>
      <c r="D82" s="421"/>
      <c r="E82" s="421"/>
      <c r="F82" s="421"/>
      <c r="G82" s="421"/>
      <c r="H82" s="421"/>
      <c r="I82" s="421"/>
      <c r="J82" s="421"/>
      <c r="K82" s="421"/>
      <c r="L82" s="421"/>
      <c r="M82" s="421"/>
      <c r="N82" s="421"/>
      <c r="O82" s="421"/>
      <c r="P82" s="421"/>
      <c r="Q82" s="421"/>
      <c r="R82" s="421"/>
      <c r="S82" s="421"/>
      <c r="T82" s="421"/>
    </row>
    <row r="83" spans="1:28" ht="14.25" hidden="1" outlineLevel="1" x14ac:dyDescent="0.2">
      <c r="A83" s="421" t="str">
        <f t="shared" si="56"/>
        <v>Ammonia - Global - Transportation - USD/m3/year</v>
      </c>
      <c r="B83" s="421"/>
      <c r="C83" t="s">
        <v>109</v>
      </c>
      <c r="D83" t="s">
        <v>529</v>
      </c>
      <c r="E83" t="s">
        <v>735</v>
      </c>
      <c r="F83" s="3" t="s">
        <v>736</v>
      </c>
      <c r="G83" s="224" t="s">
        <v>737</v>
      </c>
      <c r="H83" s="93"/>
      <c r="I83" s="424">
        <v>200</v>
      </c>
      <c r="J83" s="118">
        <f t="shared" ref="J83:O83" si="57">I83*(1+V83)^5</f>
        <v>200</v>
      </c>
      <c r="K83" s="118">
        <f t="shared" si="57"/>
        <v>200</v>
      </c>
      <c r="L83" s="118">
        <f t="shared" si="57"/>
        <v>200</v>
      </c>
      <c r="M83" s="118">
        <f t="shared" si="57"/>
        <v>200</v>
      </c>
      <c r="N83" s="118">
        <f t="shared" si="57"/>
        <v>200</v>
      </c>
      <c r="O83" s="118">
        <f t="shared" si="57"/>
        <v>200</v>
      </c>
      <c r="P83" s="118">
        <f>O83</f>
        <v>200</v>
      </c>
      <c r="Q83" s="118">
        <f>P83</f>
        <v>200</v>
      </c>
      <c r="R83" s="118">
        <f>Q83</f>
        <v>200</v>
      </c>
      <c r="S83" s="118">
        <f>R83</f>
        <v>200</v>
      </c>
      <c r="T83" s="118">
        <f>S83</f>
        <v>200</v>
      </c>
      <c r="V83" s="213">
        <v>0</v>
      </c>
      <c r="W83" s="213">
        <f t="shared" ref="W83:AB83" si="58">+V83</f>
        <v>0</v>
      </c>
      <c r="X83" s="213">
        <f t="shared" si="58"/>
        <v>0</v>
      </c>
      <c r="Y83" s="213">
        <f>+X83</f>
        <v>0</v>
      </c>
      <c r="Z83" s="213">
        <f t="shared" si="58"/>
        <v>0</v>
      </c>
      <c r="AA83" s="213">
        <f t="shared" si="58"/>
        <v>0</v>
      </c>
      <c r="AB83" s="213">
        <f t="shared" si="58"/>
        <v>0</v>
      </c>
    </row>
    <row r="84" spans="1:28" hidden="1" outlineLevel="1" x14ac:dyDescent="0.2">
      <c r="A84" s="421" t="str">
        <f t="shared" si="56"/>
        <v>Ammonia - Global - Transportation - -</v>
      </c>
      <c r="B84" s="421"/>
      <c r="C84" t="s">
        <v>109</v>
      </c>
      <c r="D84" t="s">
        <v>529</v>
      </c>
      <c r="E84" t="s">
        <v>735</v>
      </c>
      <c r="F84" s="3" t="s">
        <v>771</v>
      </c>
      <c r="G84" s="425" t="s">
        <v>620</v>
      </c>
      <c r="H84" s="93"/>
      <c r="I84" s="424">
        <v>1.25</v>
      </c>
      <c r="J84">
        <f>I84</f>
        <v>1.25</v>
      </c>
      <c r="K84">
        <f>I84</f>
        <v>1.25</v>
      </c>
      <c r="L84">
        <f t="shared" ref="L84:T84" si="59">J84</f>
        <v>1.25</v>
      </c>
      <c r="M84">
        <f t="shared" si="59"/>
        <v>1.25</v>
      </c>
      <c r="N84">
        <f t="shared" si="59"/>
        <v>1.25</v>
      </c>
      <c r="O84">
        <f t="shared" si="59"/>
        <v>1.25</v>
      </c>
      <c r="P84">
        <f t="shared" si="59"/>
        <v>1.25</v>
      </c>
      <c r="Q84">
        <f t="shared" si="59"/>
        <v>1.25</v>
      </c>
      <c r="R84">
        <f t="shared" si="59"/>
        <v>1.25</v>
      </c>
      <c r="S84">
        <f t="shared" si="59"/>
        <v>1.25</v>
      </c>
      <c r="T84">
        <f t="shared" si="59"/>
        <v>1.25</v>
      </c>
      <c r="V84" s="431"/>
      <c r="W84" s="86"/>
      <c r="X84" s="86"/>
      <c r="Y84" s="86"/>
      <c r="Z84" s="86"/>
      <c r="AA84" s="86"/>
      <c r="AB84" s="86"/>
    </row>
    <row r="85" spans="1:28" hidden="1" outlineLevel="1" x14ac:dyDescent="0.2">
      <c r="A85" s="421" t="str">
        <f t="shared" si="56"/>
        <v>Ammonia - Global - Transportation - Knots</v>
      </c>
      <c r="B85" s="421"/>
      <c r="C85" t="s">
        <v>109</v>
      </c>
      <c r="D85" t="s">
        <v>529</v>
      </c>
      <c r="E85" t="s">
        <v>735</v>
      </c>
      <c r="F85" s="3" t="s">
        <v>739</v>
      </c>
      <c r="G85" s="224" t="s">
        <v>740</v>
      </c>
      <c r="H85" s="93"/>
      <c r="I85" s="118">
        <f>+I16</f>
        <v>12</v>
      </c>
      <c r="J85" s="118">
        <v>12</v>
      </c>
      <c r="K85" s="118">
        <v>12</v>
      </c>
      <c r="L85" s="118">
        <v>12</v>
      </c>
      <c r="M85" s="118">
        <v>12</v>
      </c>
      <c r="N85" s="118">
        <v>12</v>
      </c>
      <c r="O85" s="118">
        <v>12</v>
      </c>
      <c r="P85" s="118">
        <v>12</v>
      </c>
      <c r="Q85" s="118">
        <v>12</v>
      </c>
      <c r="R85" s="118">
        <v>12</v>
      </c>
      <c r="S85" s="118">
        <v>12</v>
      </c>
      <c r="T85" s="118">
        <v>12</v>
      </c>
    </row>
    <row r="86" spans="1:28" ht="14.25" hidden="1" outlineLevel="1" x14ac:dyDescent="0.2">
      <c r="A86" s="421"/>
      <c r="B86" s="421"/>
      <c r="C86" t="s">
        <v>109</v>
      </c>
      <c r="D86" t="str">
        <f>+D85</f>
        <v>Ammonia</v>
      </c>
      <c r="E86" t="s">
        <v>735</v>
      </c>
      <c r="F86" s="3" t="s">
        <v>741</v>
      </c>
      <c r="G86" s="224" t="s">
        <v>742</v>
      </c>
      <c r="H86" s="93"/>
      <c r="I86" s="119">
        <f t="shared" ref="I86:O86" si="60">+I$17</f>
        <v>0.375</v>
      </c>
      <c r="J86" s="119">
        <f t="shared" si="60"/>
        <v>0.26088313848749989</v>
      </c>
      <c r="K86" s="119">
        <f t="shared" si="60"/>
        <v>0.1814933651922348</v>
      </c>
      <c r="L86" s="119">
        <f t="shared" si="60"/>
        <v>0.12626282326935517</v>
      </c>
      <c r="M86" s="119">
        <f t="shared" si="60"/>
        <v>8.7839577623471762E-2</v>
      </c>
      <c r="N86" s="119">
        <f t="shared" si="60"/>
        <v>6.1108972516873819E-2</v>
      </c>
      <c r="O86" s="119">
        <f t="shared" si="60"/>
        <v>4.2512801439862448E-2</v>
      </c>
      <c r="P86" s="118"/>
      <c r="Q86" s="118"/>
      <c r="R86" s="118"/>
      <c r="S86" s="118"/>
      <c r="T86" s="118"/>
      <c r="V86" s="213">
        <v>-7.0000000000000007E-2</v>
      </c>
      <c r="W86" s="213">
        <f t="shared" ref="W86:AB86" si="61">+V86</f>
        <v>-7.0000000000000007E-2</v>
      </c>
      <c r="X86" s="213">
        <f t="shared" si="61"/>
        <v>-7.0000000000000007E-2</v>
      </c>
      <c r="Y86" s="213">
        <f>+X86</f>
        <v>-7.0000000000000007E-2</v>
      </c>
      <c r="Z86" s="213">
        <f t="shared" si="61"/>
        <v>-7.0000000000000007E-2</v>
      </c>
      <c r="AA86" s="213">
        <f t="shared" si="61"/>
        <v>-7.0000000000000007E-2</v>
      </c>
      <c r="AB86" s="213">
        <f t="shared" si="61"/>
        <v>-7.0000000000000007E-2</v>
      </c>
    </row>
    <row r="87" spans="1:28" hidden="1" outlineLevel="1" x14ac:dyDescent="0.2">
      <c r="A87" s="421" t="str">
        <f t="shared" si="56"/>
        <v>Ammonia - Global - Transportation - -</v>
      </c>
      <c r="B87" s="421"/>
      <c r="C87" t="s">
        <v>109</v>
      </c>
      <c r="D87" t="s">
        <v>529</v>
      </c>
      <c r="E87" t="s">
        <v>735</v>
      </c>
      <c r="F87" s="3" t="s">
        <v>744</v>
      </c>
      <c r="G87" s="425" t="s">
        <v>620</v>
      </c>
      <c r="H87" s="93"/>
      <c r="I87" s="118">
        <f>+I18</f>
        <v>7</v>
      </c>
      <c r="J87" s="118">
        <f>I87</f>
        <v>7</v>
      </c>
      <c r="K87" s="118">
        <f t="shared" ref="K87:T87" si="62">J87</f>
        <v>7</v>
      </c>
      <c r="L87" s="118">
        <f t="shared" si="62"/>
        <v>7</v>
      </c>
      <c r="M87" s="118">
        <f t="shared" si="62"/>
        <v>7</v>
      </c>
      <c r="N87" s="118">
        <f t="shared" si="62"/>
        <v>7</v>
      </c>
      <c r="O87" s="118">
        <f t="shared" si="62"/>
        <v>7</v>
      </c>
      <c r="P87" s="118">
        <f t="shared" si="62"/>
        <v>7</v>
      </c>
      <c r="Q87" s="118">
        <f t="shared" si="62"/>
        <v>7</v>
      </c>
      <c r="R87" s="118">
        <f t="shared" si="62"/>
        <v>7</v>
      </c>
      <c r="S87" s="118">
        <f t="shared" si="62"/>
        <v>7</v>
      </c>
      <c r="T87" s="118">
        <f t="shared" si="62"/>
        <v>7</v>
      </c>
    </row>
    <row r="88" spans="1:28" hidden="1" outlineLevel="1" x14ac:dyDescent="0.2">
      <c r="A88" s="421" t="str">
        <f t="shared" si="56"/>
        <v>Ammonia - Global - Transportation - km</v>
      </c>
      <c r="B88" s="421"/>
      <c r="C88" t="s">
        <v>109</v>
      </c>
      <c r="D88" t="s">
        <v>529</v>
      </c>
      <c r="E88" t="s">
        <v>735</v>
      </c>
      <c r="F88" s="3" t="s">
        <v>747</v>
      </c>
      <c r="G88" s="425" t="s">
        <v>748</v>
      </c>
      <c r="H88" s="93"/>
      <c r="I88" s="118">
        <f t="shared" ref="I88:T88" si="63">I85*kmh_per_knot*I87*24</f>
        <v>3733.6320000000005</v>
      </c>
      <c r="J88" s="118">
        <f t="shared" si="63"/>
        <v>3733.6320000000005</v>
      </c>
      <c r="K88" s="118">
        <f t="shared" si="63"/>
        <v>3733.6320000000005</v>
      </c>
      <c r="L88" s="118">
        <f t="shared" si="63"/>
        <v>3733.6320000000005</v>
      </c>
      <c r="M88" s="118">
        <f t="shared" si="63"/>
        <v>3733.6320000000005</v>
      </c>
      <c r="N88" s="118">
        <f t="shared" si="63"/>
        <v>3733.6320000000005</v>
      </c>
      <c r="O88" s="118">
        <f t="shared" si="63"/>
        <v>3733.6320000000005</v>
      </c>
      <c r="P88" s="118">
        <f t="shared" si="63"/>
        <v>3733.6320000000005</v>
      </c>
      <c r="Q88" s="118">
        <f t="shared" si="63"/>
        <v>3733.6320000000005</v>
      </c>
      <c r="R88" s="118">
        <f t="shared" si="63"/>
        <v>3733.6320000000005</v>
      </c>
      <c r="S88" s="118">
        <f t="shared" si="63"/>
        <v>3733.6320000000005</v>
      </c>
      <c r="T88" s="118">
        <f t="shared" si="63"/>
        <v>3733.6320000000005</v>
      </c>
    </row>
    <row r="89" spans="1:28" hidden="1" outlineLevel="1" x14ac:dyDescent="0.2">
      <c r="A89" s="421" t="str">
        <f t="shared" si="56"/>
        <v>Ammonia - Global - Transportation - %</v>
      </c>
      <c r="B89" s="421"/>
      <c r="C89" t="s">
        <v>109</v>
      </c>
      <c r="D89" t="s">
        <v>529</v>
      </c>
      <c r="E89" t="s">
        <v>735</v>
      </c>
      <c r="F89" s="3" t="s">
        <v>750</v>
      </c>
      <c r="G89" s="425" t="s">
        <v>178</v>
      </c>
      <c r="H89" s="93"/>
      <c r="I89" s="90">
        <f>+I22</f>
        <v>0.4</v>
      </c>
      <c r="J89" s="90">
        <f>+I89</f>
        <v>0.4</v>
      </c>
      <c r="K89" s="90">
        <f t="shared" ref="K89:T89" si="64">+J89</f>
        <v>0.4</v>
      </c>
      <c r="L89" s="90">
        <f t="shared" si="64"/>
        <v>0.4</v>
      </c>
      <c r="M89" s="90">
        <f t="shared" si="64"/>
        <v>0.4</v>
      </c>
      <c r="N89" s="90">
        <f t="shared" si="64"/>
        <v>0.4</v>
      </c>
      <c r="O89" s="90">
        <f t="shared" si="64"/>
        <v>0.4</v>
      </c>
      <c r="P89" s="90">
        <f t="shared" si="64"/>
        <v>0.4</v>
      </c>
      <c r="Q89" s="90">
        <f t="shared" si="64"/>
        <v>0.4</v>
      </c>
      <c r="R89" s="90">
        <f t="shared" si="64"/>
        <v>0.4</v>
      </c>
      <c r="S89" s="90">
        <f t="shared" si="64"/>
        <v>0.4</v>
      </c>
      <c r="T89" s="90">
        <f t="shared" si="64"/>
        <v>0.4</v>
      </c>
    </row>
    <row r="90" spans="1:28" hidden="1" outlineLevel="1" x14ac:dyDescent="0.2">
      <c r="A90" s="421" t="str">
        <f t="shared" si="56"/>
        <v/>
      </c>
      <c r="B90" s="421"/>
      <c r="C90" s="421"/>
      <c r="D90" s="421"/>
      <c r="E90" s="421"/>
      <c r="F90" s="421"/>
      <c r="G90" s="421"/>
      <c r="H90" s="421"/>
      <c r="I90" s="421"/>
      <c r="J90" s="421"/>
      <c r="K90" s="421"/>
      <c r="L90" s="421"/>
      <c r="M90" s="421"/>
      <c r="N90" s="421"/>
      <c r="O90" s="421"/>
      <c r="P90" s="421"/>
      <c r="Q90" s="421"/>
      <c r="R90" s="421"/>
      <c r="S90" s="421"/>
      <c r="T90" s="421"/>
    </row>
    <row r="91" spans="1:28" hidden="1" outlineLevel="1" x14ac:dyDescent="0.2">
      <c r="A91" s="421" t="str">
        <f t="shared" si="56"/>
        <v>Ammonia - Europe - delivery - USD/ton</v>
      </c>
      <c r="B91" s="421"/>
      <c r="C91" t="s">
        <v>195</v>
      </c>
      <c r="D91" t="s">
        <v>529</v>
      </c>
      <c r="E91" t="s">
        <v>772</v>
      </c>
      <c r="F91" t="s">
        <v>773</v>
      </c>
      <c r="G91" s="224" t="s">
        <v>205</v>
      </c>
      <c r="H91" s="93"/>
      <c r="I91" s="93">
        <f t="shared" ref="I91:T95" si="65">I$83*I$84/365*I$87/I$89/I$97*1000</f>
        <v>17.575221949945767</v>
      </c>
      <c r="J91" s="93">
        <f t="shared" si="65"/>
        <v>17.575221949945767</v>
      </c>
      <c r="K91" s="93">
        <f t="shared" si="65"/>
        <v>17.575221949945767</v>
      </c>
      <c r="L91" s="93">
        <f t="shared" si="65"/>
        <v>17.575221949945767</v>
      </c>
      <c r="M91" s="93">
        <f t="shared" si="65"/>
        <v>17.575221949945767</v>
      </c>
      <c r="N91" s="93">
        <f t="shared" si="65"/>
        <v>17.575221949945767</v>
      </c>
      <c r="O91" s="93">
        <f t="shared" si="65"/>
        <v>17.575221949945767</v>
      </c>
      <c r="P91" s="93">
        <f t="shared" si="65"/>
        <v>17.575221949945767</v>
      </c>
      <c r="Q91" s="93">
        <f t="shared" si="65"/>
        <v>17.575221949945767</v>
      </c>
      <c r="R91" s="93">
        <f t="shared" si="65"/>
        <v>17.575221949945767</v>
      </c>
      <c r="S91" s="93">
        <f t="shared" si="65"/>
        <v>17.575221949945767</v>
      </c>
      <c r="T91" s="93">
        <f t="shared" si="65"/>
        <v>17.575221949945767</v>
      </c>
    </row>
    <row r="92" spans="1:28" hidden="1" outlineLevel="1" x14ac:dyDescent="0.2">
      <c r="A92" s="421" t="str">
        <f t="shared" si="56"/>
        <v>Ammonia - Asia - delivery - USD/ton</v>
      </c>
      <c r="B92" s="421"/>
      <c r="C92" t="s">
        <v>198</v>
      </c>
      <c r="D92" t="s">
        <v>529</v>
      </c>
      <c r="E92" t="s">
        <v>772</v>
      </c>
      <c r="F92" t="s">
        <v>773</v>
      </c>
      <c r="G92" s="224" t="s">
        <v>205</v>
      </c>
      <c r="H92" s="93"/>
      <c r="I92" s="93">
        <f t="shared" si="65"/>
        <v>17.575221949945767</v>
      </c>
      <c r="J92" s="93">
        <f t="shared" si="65"/>
        <v>17.575221949945767</v>
      </c>
      <c r="K92" s="93">
        <f t="shared" si="65"/>
        <v>17.575221949945767</v>
      </c>
      <c r="L92" s="93">
        <f t="shared" si="65"/>
        <v>17.575221949945767</v>
      </c>
      <c r="M92" s="93">
        <f t="shared" si="65"/>
        <v>17.575221949945767</v>
      </c>
      <c r="N92" s="93">
        <f t="shared" si="65"/>
        <v>17.575221949945767</v>
      </c>
      <c r="O92" s="93">
        <f t="shared" si="65"/>
        <v>17.575221949945767</v>
      </c>
      <c r="P92" s="93">
        <f t="shared" si="65"/>
        <v>17.575221949945767</v>
      </c>
      <c r="Q92" s="93">
        <f t="shared" si="65"/>
        <v>17.575221949945767</v>
      </c>
      <c r="R92" s="93">
        <f t="shared" si="65"/>
        <v>17.575221949945767</v>
      </c>
      <c r="S92" s="93">
        <f t="shared" si="65"/>
        <v>17.575221949945767</v>
      </c>
      <c r="T92" s="93">
        <f t="shared" si="65"/>
        <v>17.575221949945767</v>
      </c>
    </row>
    <row r="93" spans="1:28" hidden="1" outlineLevel="1" x14ac:dyDescent="0.2">
      <c r="A93" s="421" t="str">
        <f t="shared" si="56"/>
        <v>Ammonia - Middle East - delivery - USD/ton</v>
      </c>
      <c r="B93" s="421"/>
      <c r="C93" t="s">
        <v>197</v>
      </c>
      <c r="D93" t="s">
        <v>529</v>
      </c>
      <c r="E93" t="s">
        <v>772</v>
      </c>
      <c r="F93" t="s">
        <v>773</v>
      </c>
      <c r="G93" s="224" t="s">
        <v>205</v>
      </c>
      <c r="H93" s="93"/>
      <c r="I93" s="93">
        <f t="shared" si="65"/>
        <v>17.575221949945767</v>
      </c>
      <c r="J93" s="93">
        <f t="shared" si="65"/>
        <v>17.575221949945767</v>
      </c>
      <c r="K93" s="93">
        <f t="shared" si="65"/>
        <v>17.575221949945767</v>
      </c>
      <c r="L93" s="93">
        <f t="shared" si="65"/>
        <v>17.575221949945767</v>
      </c>
      <c r="M93" s="93">
        <f t="shared" si="65"/>
        <v>17.575221949945767</v>
      </c>
      <c r="N93" s="93">
        <f t="shared" si="65"/>
        <v>17.575221949945767</v>
      </c>
      <c r="O93" s="93">
        <f t="shared" si="65"/>
        <v>17.575221949945767</v>
      </c>
      <c r="P93" s="93">
        <f t="shared" si="65"/>
        <v>17.575221949945767</v>
      </c>
      <c r="Q93" s="93">
        <f t="shared" si="65"/>
        <v>17.575221949945767</v>
      </c>
      <c r="R93" s="93">
        <f t="shared" si="65"/>
        <v>17.575221949945767</v>
      </c>
      <c r="S93" s="93">
        <f t="shared" si="65"/>
        <v>17.575221949945767</v>
      </c>
      <c r="T93" s="93">
        <f t="shared" si="65"/>
        <v>17.575221949945767</v>
      </c>
    </row>
    <row r="94" spans="1:28" hidden="1" outlineLevel="1" x14ac:dyDescent="0.2">
      <c r="A94" s="421" t="str">
        <f t="shared" si="56"/>
        <v>Ammonia - Americas - delivery - USD/ton</v>
      </c>
      <c r="B94" s="421"/>
      <c r="C94" t="s">
        <v>199</v>
      </c>
      <c r="D94" t="s">
        <v>529</v>
      </c>
      <c r="E94" t="s">
        <v>772</v>
      </c>
      <c r="F94" t="s">
        <v>773</v>
      </c>
      <c r="G94" s="224" t="s">
        <v>205</v>
      </c>
      <c r="H94" s="93"/>
      <c r="I94" s="93">
        <f t="shared" si="65"/>
        <v>17.575221949945767</v>
      </c>
      <c r="J94" s="93">
        <f t="shared" si="65"/>
        <v>17.575221949945767</v>
      </c>
      <c r="K94" s="93">
        <f t="shared" si="65"/>
        <v>17.575221949945767</v>
      </c>
      <c r="L94" s="93">
        <f t="shared" si="65"/>
        <v>17.575221949945767</v>
      </c>
      <c r="M94" s="93">
        <f t="shared" si="65"/>
        <v>17.575221949945767</v>
      </c>
      <c r="N94" s="93">
        <f t="shared" si="65"/>
        <v>17.575221949945767</v>
      </c>
      <c r="O94" s="93">
        <f t="shared" si="65"/>
        <v>17.575221949945767</v>
      </c>
      <c r="P94" s="93">
        <f t="shared" si="65"/>
        <v>17.575221949945767</v>
      </c>
      <c r="Q94" s="93">
        <f t="shared" si="65"/>
        <v>17.575221949945767</v>
      </c>
      <c r="R94" s="93">
        <f t="shared" si="65"/>
        <v>17.575221949945767</v>
      </c>
      <c r="S94" s="93">
        <f t="shared" si="65"/>
        <v>17.575221949945767</v>
      </c>
      <c r="T94" s="93">
        <f t="shared" si="65"/>
        <v>17.575221949945767</v>
      </c>
    </row>
    <row r="95" spans="1:28" hidden="1" outlineLevel="1" x14ac:dyDescent="0.2">
      <c r="A95" s="421" t="str">
        <f t="shared" si="56"/>
        <v>Ammonia - Africa&amp;Other - delivery - USD/ton</v>
      </c>
      <c r="B95" s="421"/>
      <c r="C95" t="s">
        <v>498</v>
      </c>
      <c r="D95" t="s">
        <v>529</v>
      </c>
      <c r="E95" t="s">
        <v>772</v>
      </c>
      <c r="F95" t="s">
        <v>773</v>
      </c>
      <c r="G95" s="224" t="s">
        <v>205</v>
      </c>
      <c r="H95" s="93"/>
      <c r="I95" s="93">
        <f t="shared" si="65"/>
        <v>17.575221949945767</v>
      </c>
      <c r="J95" s="93">
        <f t="shared" si="65"/>
        <v>17.575221949945767</v>
      </c>
      <c r="K95" s="93">
        <f t="shared" si="65"/>
        <v>17.575221949945767</v>
      </c>
      <c r="L95" s="93">
        <f t="shared" si="65"/>
        <v>17.575221949945767</v>
      </c>
      <c r="M95" s="93">
        <f t="shared" si="65"/>
        <v>17.575221949945767</v>
      </c>
      <c r="N95" s="93">
        <f t="shared" si="65"/>
        <v>17.575221949945767</v>
      </c>
      <c r="O95" s="93">
        <f t="shared" si="65"/>
        <v>17.575221949945767</v>
      </c>
      <c r="P95" s="93">
        <f t="shared" si="65"/>
        <v>17.575221949945767</v>
      </c>
      <c r="Q95" s="93">
        <f t="shared" si="65"/>
        <v>17.575221949945767</v>
      </c>
      <c r="R95" s="93">
        <f t="shared" si="65"/>
        <v>17.575221949945767</v>
      </c>
      <c r="S95" s="93">
        <f t="shared" si="65"/>
        <v>17.575221949945767</v>
      </c>
      <c r="T95" s="93">
        <f t="shared" si="65"/>
        <v>17.575221949945767</v>
      </c>
    </row>
    <row r="96" spans="1:28" hidden="1" outlineLevel="1" x14ac:dyDescent="0.2">
      <c r="A96" s="421" t="str">
        <f t="shared" si="56"/>
        <v/>
      </c>
      <c r="B96" s="421"/>
      <c r="H96" s="93"/>
      <c r="I96" s="93"/>
    </row>
    <row r="97" spans="1:28" hidden="1" outlineLevel="1" x14ac:dyDescent="0.2">
      <c r="A97" s="421" t="str">
        <f t="shared" si="56"/>
        <v>Ammonia  - Global - storage - kg/m3</v>
      </c>
      <c r="B97" s="421"/>
      <c r="C97" t="s">
        <v>109</v>
      </c>
      <c r="D97" t="s">
        <v>774</v>
      </c>
      <c r="E97" t="s">
        <v>775</v>
      </c>
      <c r="F97" s="3" t="s">
        <v>776</v>
      </c>
      <c r="G97" s="224" t="s">
        <v>754</v>
      </c>
      <c r="H97" s="93"/>
      <c r="I97" s="426">
        <v>682</v>
      </c>
      <c r="J97" s="118">
        <v>682</v>
      </c>
      <c r="K97" s="118">
        <v>682</v>
      </c>
      <c r="L97" s="118">
        <v>682</v>
      </c>
      <c r="M97" s="118">
        <v>682</v>
      </c>
      <c r="N97" s="118">
        <v>682</v>
      </c>
      <c r="O97" s="118">
        <v>682</v>
      </c>
      <c r="P97" s="118">
        <v>682</v>
      </c>
      <c r="Q97" s="118">
        <v>682</v>
      </c>
      <c r="R97" s="118">
        <v>682</v>
      </c>
      <c r="S97" s="118">
        <v>682</v>
      </c>
      <c r="T97" s="118">
        <v>682</v>
      </c>
    </row>
    <row r="98" spans="1:28" ht="14.25" hidden="1" outlineLevel="1" x14ac:dyDescent="0.2">
      <c r="A98" s="421" t="str">
        <f t="shared" si="56"/>
        <v>Ammonia  - Global - storage - %</v>
      </c>
      <c r="B98" s="421"/>
      <c r="C98" t="s">
        <v>109</v>
      </c>
      <c r="D98" t="s">
        <v>774</v>
      </c>
      <c r="E98" t="s">
        <v>775</v>
      </c>
      <c r="F98" s="3" t="s">
        <v>755</v>
      </c>
      <c r="G98" s="224" t="s">
        <v>178</v>
      </c>
      <c r="I98" s="428">
        <v>1E-3</v>
      </c>
      <c r="J98" s="120">
        <f t="shared" ref="J98:O99" si="66">I98*(1+V98)^5</f>
        <v>1E-3</v>
      </c>
      <c r="K98" s="120">
        <f t="shared" si="66"/>
        <v>1E-3</v>
      </c>
      <c r="L98" s="120">
        <f t="shared" si="66"/>
        <v>1E-3</v>
      </c>
      <c r="M98" s="120">
        <f t="shared" si="66"/>
        <v>1E-3</v>
      </c>
      <c r="N98" s="120">
        <f t="shared" si="66"/>
        <v>1E-3</v>
      </c>
      <c r="O98" s="120">
        <f t="shared" si="66"/>
        <v>1E-3</v>
      </c>
      <c r="P98" s="120">
        <f>O98</f>
        <v>1E-3</v>
      </c>
      <c r="Q98" s="120">
        <f t="shared" ref="Q98:T99" si="67">P98</f>
        <v>1E-3</v>
      </c>
      <c r="R98" s="120">
        <f t="shared" si="67"/>
        <v>1E-3</v>
      </c>
      <c r="S98" s="120">
        <f t="shared" si="67"/>
        <v>1E-3</v>
      </c>
      <c r="T98" s="120">
        <f t="shared" si="67"/>
        <v>1E-3</v>
      </c>
      <c r="V98" s="213">
        <v>0</v>
      </c>
      <c r="W98" s="213">
        <f t="shared" ref="W98:AB99" si="68">+V98</f>
        <v>0</v>
      </c>
      <c r="X98" s="213">
        <f t="shared" si="68"/>
        <v>0</v>
      </c>
      <c r="Y98" s="213">
        <f>+X98</f>
        <v>0</v>
      </c>
      <c r="Z98" s="213">
        <f t="shared" si="68"/>
        <v>0</v>
      </c>
      <c r="AA98" s="213">
        <f t="shared" si="68"/>
        <v>0</v>
      </c>
      <c r="AB98" s="213">
        <f t="shared" si="68"/>
        <v>0</v>
      </c>
    </row>
    <row r="99" spans="1:28" ht="14.25" hidden="1" outlineLevel="1" x14ac:dyDescent="0.2">
      <c r="A99" s="421" t="str">
        <f t="shared" si="56"/>
        <v>Ammonia  - Global - Storage - USD/ton</v>
      </c>
      <c r="B99" s="421"/>
      <c r="C99" t="s">
        <v>109</v>
      </c>
      <c r="D99" t="s">
        <v>774</v>
      </c>
      <c r="E99" t="s">
        <v>765</v>
      </c>
      <c r="F99" s="3" t="s">
        <v>756</v>
      </c>
      <c r="G99" s="224" t="s">
        <v>205</v>
      </c>
      <c r="I99" s="426">
        <v>700</v>
      </c>
      <c r="J99" s="118">
        <f t="shared" si="66"/>
        <v>700</v>
      </c>
      <c r="K99" s="118">
        <f t="shared" si="66"/>
        <v>700</v>
      </c>
      <c r="L99" s="118">
        <f t="shared" si="66"/>
        <v>700</v>
      </c>
      <c r="M99" s="118">
        <f t="shared" si="66"/>
        <v>700</v>
      </c>
      <c r="N99" s="118">
        <f t="shared" si="66"/>
        <v>700</v>
      </c>
      <c r="O99" s="118">
        <f t="shared" si="66"/>
        <v>700</v>
      </c>
      <c r="P99" s="118">
        <f>O99</f>
        <v>700</v>
      </c>
      <c r="Q99" s="118">
        <f t="shared" si="67"/>
        <v>700</v>
      </c>
      <c r="R99" s="118">
        <f t="shared" si="67"/>
        <v>700</v>
      </c>
      <c r="S99" s="118">
        <f t="shared" si="67"/>
        <v>700</v>
      </c>
      <c r="T99" s="118">
        <f t="shared" si="67"/>
        <v>700</v>
      </c>
      <c r="V99" s="213">
        <v>0</v>
      </c>
      <c r="W99" s="213">
        <f t="shared" si="68"/>
        <v>0</v>
      </c>
      <c r="X99" s="213">
        <f t="shared" si="68"/>
        <v>0</v>
      </c>
      <c r="Y99" s="213">
        <f>+X99</f>
        <v>0</v>
      </c>
      <c r="Z99" s="213">
        <f t="shared" si="68"/>
        <v>0</v>
      </c>
      <c r="AA99" s="213">
        <f t="shared" si="68"/>
        <v>0</v>
      </c>
      <c r="AB99" s="213">
        <f t="shared" si="68"/>
        <v>0</v>
      </c>
    </row>
    <row r="100" spans="1:28" hidden="1" outlineLevel="1" x14ac:dyDescent="0.2">
      <c r="A100" s="421" t="str">
        <f t="shared" si="56"/>
        <v>Ammonia  - Global - Storage - %of Capex</v>
      </c>
      <c r="B100" s="421"/>
      <c r="C100" t="s">
        <v>109</v>
      </c>
      <c r="D100" t="s">
        <v>774</v>
      </c>
      <c r="E100" t="s">
        <v>765</v>
      </c>
      <c r="F100" s="3" t="s">
        <v>319</v>
      </c>
      <c r="G100" s="224" t="s">
        <v>757</v>
      </c>
      <c r="I100" s="426">
        <v>0</v>
      </c>
      <c r="J100" s="118">
        <v>0</v>
      </c>
      <c r="K100" s="118">
        <v>0</v>
      </c>
      <c r="L100" s="118">
        <v>0</v>
      </c>
      <c r="M100" s="118">
        <v>0</v>
      </c>
      <c r="N100" s="118">
        <v>0</v>
      </c>
      <c r="O100" s="118">
        <v>0</v>
      </c>
      <c r="P100" s="118">
        <v>0</v>
      </c>
      <c r="Q100" s="118">
        <v>0</v>
      </c>
      <c r="R100" s="118">
        <v>0</v>
      </c>
      <c r="S100" s="118">
        <v>0</v>
      </c>
      <c r="T100" s="118">
        <v>0</v>
      </c>
    </row>
    <row r="101" spans="1:28" hidden="1" outlineLevel="1" x14ac:dyDescent="0.2">
      <c r="A101" s="421" t="str">
        <f t="shared" si="56"/>
        <v>Ammonia  - Global - Storage - Days</v>
      </c>
      <c r="B101" s="421"/>
      <c r="C101" t="s">
        <v>109</v>
      </c>
      <c r="D101" t="s">
        <v>774</v>
      </c>
      <c r="E101" t="s">
        <v>765</v>
      </c>
      <c r="F101" s="3" t="s">
        <v>758</v>
      </c>
      <c r="G101" s="224" t="s">
        <v>745</v>
      </c>
      <c r="I101" s="426">
        <v>15</v>
      </c>
      <c r="J101" s="118">
        <v>15</v>
      </c>
      <c r="K101" s="118">
        <v>15</v>
      </c>
      <c r="L101" s="118">
        <v>15</v>
      </c>
      <c r="M101" s="118">
        <v>15</v>
      </c>
      <c r="N101" s="118">
        <v>15</v>
      </c>
      <c r="O101" s="118">
        <v>15</v>
      </c>
      <c r="P101" s="118">
        <v>15</v>
      </c>
      <c r="Q101" s="118">
        <v>15</v>
      </c>
      <c r="R101" s="118">
        <v>15</v>
      </c>
      <c r="S101" s="118">
        <v>15</v>
      </c>
      <c r="T101" s="118">
        <v>15</v>
      </c>
    </row>
    <row r="102" spans="1:28" ht="14.25" hidden="1" outlineLevel="1" x14ac:dyDescent="0.2">
      <c r="A102" s="421" t="str">
        <f t="shared" si="56"/>
        <v>Ammonia  - Global - Storage - %</v>
      </c>
      <c r="B102" s="421"/>
      <c r="C102" t="s">
        <v>109</v>
      </c>
      <c r="D102" t="s">
        <v>774</v>
      </c>
      <c r="E102" t="s">
        <v>765</v>
      </c>
      <c r="F102" s="3" t="s">
        <v>759</v>
      </c>
      <c r="G102" s="224" t="s">
        <v>178</v>
      </c>
      <c r="I102" s="427">
        <v>0.8</v>
      </c>
      <c r="J102" s="86">
        <f t="shared" ref="J102:O102" si="69">I102*(1+V102)^5</f>
        <v>0.8</v>
      </c>
      <c r="K102" s="86">
        <f t="shared" si="69"/>
        <v>0.8</v>
      </c>
      <c r="L102" s="86">
        <f t="shared" si="69"/>
        <v>0.8</v>
      </c>
      <c r="M102" s="86">
        <f t="shared" si="69"/>
        <v>0.8</v>
      </c>
      <c r="N102" s="86">
        <f t="shared" si="69"/>
        <v>0.8</v>
      </c>
      <c r="O102" s="86">
        <f t="shared" si="69"/>
        <v>0.8</v>
      </c>
      <c r="P102" s="86">
        <f>O102</f>
        <v>0.8</v>
      </c>
      <c r="Q102" s="86">
        <f>P102</f>
        <v>0.8</v>
      </c>
      <c r="R102" s="86">
        <f>Q102</f>
        <v>0.8</v>
      </c>
      <c r="S102" s="86">
        <f>R102</f>
        <v>0.8</v>
      </c>
      <c r="T102" s="86">
        <f>S102</f>
        <v>0.8</v>
      </c>
      <c r="V102" s="213">
        <v>0</v>
      </c>
      <c r="W102" s="213">
        <f t="shared" ref="W102:AB102" si="70">+V102</f>
        <v>0</v>
      </c>
      <c r="X102" s="213">
        <f t="shared" si="70"/>
        <v>0</v>
      </c>
      <c r="Y102" s="213">
        <f>+X102</f>
        <v>0</v>
      </c>
      <c r="Z102" s="213">
        <f t="shared" si="70"/>
        <v>0</v>
      </c>
      <c r="AA102" s="213">
        <f t="shared" si="70"/>
        <v>0</v>
      </c>
      <c r="AB102" s="213">
        <f t="shared" si="70"/>
        <v>0</v>
      </c>
    </row>
    <row r="103" spans="1:28" hidden="1" outlineLevel="1" x14ac:dyDescent="0.2">
      <c r="A103" s="421" t="str">
        <f t="shared" si="56"/>
        <v>Ammonia  - Global - Storage - kJ/mole</v>
      </c>
      <c r="B103" s="421"/>
      <c r="C103" t="s">
        <v>109</v>
      </c>
      <c r="D103" t="s">
        <v>774</v>
      </c>
      <c r="E103" t="s">
        <v>765</v>
      </c>
      <c r="F103" s="3" t="s">
        <v>760</v>
      </c>
      <c r="G103" s="224" t="s">
        <v>761</v>
      </c>
      <c r="H103" s="93"/>
      <c r="I103" s="432">
        <v>23.5</v>
      </c>
      <c r="J103" s="93">
        <v>23.5</v>
      </c>
      <c r="K103" s="93">
        <v>23.5</v>
      </c>
      <c r="L103" s="93">
        <v>23.5</v>
      </c>
      <c r="M103" s="93">
        <v>23.5</v>
      </c>
      <c r="N103" s="93">
        <v>23.5</v>
      </c>
      <c r="O103" s="93">
        <v>23.5</v>
      </c>
      <c r="P103" s="93">
        <v>23.5</v>
      </c>
      <c r="Q103" s="93">
        <v>23.5</v>
      </c>
      <c r="R103" s="93">
        <v>23.5</v>
      </c>
      <c r="S103" s="93">
        <v>23.5</v>
      </c>
      <c r="T103" s="93">
        <v>23.5</v>
      </c>
    </row>
    <row r="104" spans="1:28" ht="14.25" hidden="1" outlineLevel="1" x14ac:dyDescent="0.2">
      <c r="A104" s="421" t="str">
        <f t="shared" si="56"/>
        <v>Ammonia  - Global - Storage - %</v>
      </c>
      <c r="B104" s="421"/>
      <c r="C104" t="s">
        <v>109</v>
      </c>
      <c r="D104" t="s">
        <v>774</v>
      </c>
      <c r="E104" t="s">
        <v>765</v>
      </c>
      <c r="F104" s="3" t="s">
        <v>762</v>
      </c>
      <c r="G104" s="224" t="s">
        <v>178</v>
      </c>
      <c r="H104" s="93"/>
      <c r="I104" s="427">
        <v>0.3</v>
      </c>
      <c r="J104" s="86">
        <f t="shared" ref="J104:O104" si="71">I104*(1+V104)^5</f>
        <v>0.3</v>
      </c>
      <c r="K104" s="86">
        <f t="shared" si="71"/>
        <v>0.3</v>
      </c>
      <c r="L104" s="86">
        <f t="shared" si="71"/>
        <v>0.3</v>
      </c>
      <c r="M104" s="86">
        <f t="shared" si="71"/>
        <v>0.3</v>
      </c>
      <c r="N104" s="86">
        <f t="shared" si="71"/>
        <v>0.3</v>
      </c>
      <c r="O104" s="86">
        <f t="shared" si="71"/>
        <v>0.3</v>
      </c>
      <c r="P104" s="86">
        <f>O104</f>
        <v>0.3</v>
      </c>
      <c r="Q104" s="86">
        <f>P104</f>
        <v>0.3</v>
      </c>
      <c r="R104" s="86">
        <f>Q104</f>
        <v>0.3</v>
      </c>
      <c r="S104" s="86">
        <f>R104</f>
        <v>0.3</v>
      </c>
      <c r="T104" s="86">
        <f>S104</f>
        <v>0.3</v>
      </c>
      <c r="V104" s="213">
        <v>0</v>
      </c>
      <c r="W104" s="213">
        <f t="shared" ref="W104:AB104" si="72">+V104</f>
        <v>0</v>
      </c>
      <c r="X104" s="213">
        <f t="shared" si="72"/>
        <v>0</v>
      </c>
      <c r="Y104" s="213">
        <f>+X104</f>
        <v>0</v>
      </c>
      <c r="Z104" s="213">
        <f t="shared" si="72"/>
        <v>0</v>
      </c>
      <c r="AA104" s="213">
        <f t="shared" si="72"/>
        <v>0</v>
      </c>
      <c r="AB104" s="213">
        <f t="shared" si="72"/>
        <v>0</v>
      </c>
    </row>
    <row r="105" spans="1:28" hidden="1" outlineLevel="1" x14ac:dyDescent="0.2">
      <c r="A105" s="421" t="str">
        <f t="shared" si="56"/>
        <v>Ammonia  - Global - Storage - kWh/ton</v>
      </c>
      <c r="B105" s="421"/>
      <c r="C105" t="s">
        <v>109</v>
      </c>
      <c r="D105" t="s">
        <v>774</v>
      </c>
      <c r="E105" t="s">
        <v>765</v>
      </c>
      <c r="F105" s="3" t="s">
        <v>763</v>
      </c>
      <c r="G105" s="224" t="s">
        <v>597</v>
      </c>
      <c r="H105" s="93"/>
      <c r="I105" s="93">
        <f>1000000/17*I103/I104/3600*I98</f>
        <v>1.2799564270152508</v>
      </c>
      <c r="J105" s="93">
        <f t="shared" ref="J105:T105" si="73">1000000/17*J103/J104/3600*J98</f>
        <v>1.2799564270152508</v>
      </c>
      <c r="K105" s="93">
        <f t="shared" si="73"/>
        <v>1.2799564270152508</v>
      </c>
      <c r="L105" s="93">
        <f t="shared" si="73"/>
        <v>1.2799564270152508</v>
      </c>
      <c r="M105" s="93">
        <f t="shared" si="73"/>
        <v>1.2799564270152508</v>
      </c>
      <c r="N105" s="93">
        <f t="shared" si="73"/>
        <v>1.2799564270152508</v>
      </c>
      <c r="O105" s="93">
        <f t="shared" si="73"/>
        <v>1.2799564270152508</v>
      </c>
      <c r="P105" s="93">
        <f t="shared" si="73"/>
        <v>1.2799564270152508</v>
      </c>
      <c r="Q105" s="93">
        <f t="shared" si="73"/>
        <v>1.2799564270152508</v>
      </c>
      <c r="R105" s="93">
        <f t="shared" si="73"/>
        <v>1.2799564270152508</v>
      </c>
      <c r="S105" s="93">
        <f t="shared" si="73"/>
        <v>1.2799564270152508</v>
      </c>
      <c r="T105" s="93">
        <f t="shared" si="73"/>
        <v>1.2799564270152508</v>
      </c>
    </row>
    <row r="106" spans="1:28" hidden="1" outlineLevel="1" x14ac:dyDescent="0.2">
      <c r="A106" s="421" t="str">
        <f t="shared" si="56"/>
        <v/>
      </c>
      <c r="B106" s="421"/>
      <c r="H106" s="93"/>
      <c r="I106" s="93"/>
    </row>
    <row r="107" spans="1:28" hidden="1" outlineLevel="1" x14ac:dyDescent="0.2">
      <c r="A107" s="421" t="str">
        <f t="shared" si="56"/>
        <v>Ammonia - Europe - Feedstock - USD/MWh</v>
      </c>
      <c r="B107" s="421"/>
      <c r="C107" t="s">
        <v>195</v>
      </c>
      <c r="D107" t="s">
        <v>529</v>
      </c>
      <c r="E107" t="s">
        <v>777</v>
      </c>
      <c r="F107" t="s">
        <v>54</v>
      </c>
      <c r="G107" s="224" t="s">
        <v>196</v>
      </c>
      <c r="H107" s="93"/>
      <c r="I107" s="433">
        <f>+INDEX('Fuel Model -  Input'!H:H,MATCH('Fuel Logistics'!$C107&amp;'Fuel Logistics'!$E107&amp;'Fuel Logistics'!$F107&amp;'Fuel Logistics'!$G107,'Fuel Model -  Input'!$B:$B,0))</f>
        <v>54.596518251479822</v>
      </c>
      <c r="J107" s="434">
        <f>+INDEX('Fuel Model -  Input'!I:I,MATCH('Fuel Logistics'!$C107&amp;'Fuel Logistics'!$E107&amp;'Fuel Logistics'!$F107&amp;'Fuel Logistics'!$G107,'Fuel Model -  Input'!$B:$B,0))</f>
        <v>44.178163428608016</v>
      </c>
      <c r="K107" s="434">
        <f>+INDEX('Fuel Model -  Input'!J:J,MATCH('Fuel Logistics'!$C107&amp;'Fuel Logistics'!$E107&amp;'Fuel Logistics'!$F107&amp;'Fuel Logistics'!$G107,'Fuel Model -  Input'!$B:$B,0))</f>
        <v>35.760069774188757</v>
      </c>
      <c r="L107" s="434">
        <f>+INDEX('Fuel Model -  Input'!K:K,MATCH('Fuel Logistics'!$C107&amp;'Fuel Logistics'!$E107&amp;'Fuel Logistics'!$F107&amp;'Fuel Logistics'!$G107,'Fuel Model -  Input'!$B:$B,0))</f>
        <v>32.262353602492915</v>
      </c>
      <c r="M107" s="434">
        <f>+INDEX('Fuel Model -  Input'!L:L,MATCH('Fuel Logistics'!$C107&amp;'Fuel Logistics'!$E107&amp;'Fuel Logistics'!$F107&amp;'Fuel Logistics'!$G107,'Fuel Model -  Input'!$B:$B,0))</f>
        <v>30.17403926811183</v>
      </c>
      <c r="N107" s="434">
        <f>+INDEX('Fuel Model -  Input'!M:M,MATCH('Fuel Logistics'!$C107&amp;'Fuel Logistics'!$E107&amp;'Fuel Logistics'!$F107&amp;'Fuel Logistics'!$G107,'Fuel Model -  Input'!$B:$B,0))</f>
        <v>27.939919953355002</v>
      </c>
      <c r="O107" s="434">
        <f>+INDEX('Fuel Model -  Input'!N:N,MATCH('Fuel Logistics'!$C107&amp;'Fuel Logistics'!$E107&amp;'Fuel Logistics'!$F107&amp;'Fuel Logistics'!$G107,'Fuel Model -  Input'!$B:$B,0))</f>
        <v>26.309860491239117</v>
      </c>
      <c r="P107" s="434">
        <f>O107</f>
        <v>26.309860491239117</v>
      </c>
      <c r="Q107" s="434">
        <f t="shared" ref="Q107:T107" si="74">P107</f>
        <v>26.309860491239117</v>
      </c>
      <c r="R107" s="434">
        <f t="shared" si="74"/>
        <v>26.309860491239117</v>
      </c>
      <c r="S107" s="434">
        <f t="shared" si="74"/>
        <v>26.309860491239117</v>
      </c>
      <c r="T107" s="434">
        <f t="shared" si="74"/>
        <v>26.309860491239117</v>
      </c>
    </row>
    <row r="108" spans="1:28" hidden="1" outlineLevel="1" x14ac:dyDescent="0.2">
      <c r="A108" s="421" t="str">
        <f t="shared" si="56"/>
        <v>Ammonia - Asia - Feedstock - USD/MWh</v>
      </c>
      <c r="B108" s="421"/>
      <c r="C108" t="s">
        <v>198</v>
      </c>
      <c r="D108" t="s">
        <v>529</v>
      </c>
      <c r="E108" t="s">
        <v>777</v>
      </c>
      <c r="F108" t="s">
        <v>54</v>
      </c>
      <c r="G108" s="224" t="s">
        <v>196</v>
      </c>
      <c r="H108" s="93"/>
      <c r="I108" s="433">
        <f>+INDEX('Fuel Model -  Input'!H:H,MATCH('Fuel Logistics'!$C108&amp;'Fuel Logistics'!$E108&amp;'Fuel Logistics'!$F108&amp;'Fuel Logistics'!$G108,'Fuel Model -  Input'!$B:$B,0))</f>
        <v>82.061686148726054</v>
      </c>
      <c r="J108" s="434">
        <f>+INDEX('Fuel Model -  Input'!I:I,MATCH('Fuel Logistics'!$C108&amp;'Fuel Logistics'!$E108&amp;'Fuel Logistics'!$F108&amp;'Fuel Logistics'!$G108,'Fuel Model -  Input'!$B:$B,0))</f>
        <v>53.528213383864831</v>
      </c>
      <c r="K108" s="434">
        <f>+INDEX('Fuel Model -  Input'!J:J,MATCH('Fuel Logistics'!$C108&amp;'Fuel Logistics'!$E108&amp;'Fuel Logistics'!$F108&amp;'Fuel Logistics'!$G108,'Fuel Model -  Input'!$B:$B,0))</f>
        <v>43.29349363565693</v>
      </c>
      <c r="L108" s="434">
        <f>+INDEX('Fuel Model -  Input'!K:K,MATCH('Fuel Logistics'!$C108&amp;'Fuel Logistics'!$E108&amp;'Fuel Logistics'!$F108&amp;'Fuel Logistics'!$G108,'Fuel Model -  Input'!$B:$B,0))</f>
        <v>36.337065788929628</v>
      </c>
      <c r="M108" s="434">
        <f>+INDEX('Fuel Model -  Input'!L:L,MATCH('Fuel Logistics'!$C108&amp;'Fuel Logistics'!$E108&amp;'Fuel Logistics'!$F108&amp;'Fuel Logistics'!$G108,'Fuel Model -  Input'!$B:$B,0))</f>
        <v>32.800249332911001</v>
      </c>
      <c r="N108" s="434">
        <f>+INDEX('Fuel Model -  Input'!M:M,MATCH('Fuel Logistics'!$C108&amp;'Fuel Logistics'!$E108&amp;'Fuel Logistics'!$F108&amp;'Fuel Logistics'!$G108,'Fuel Model -  Input'!$B:$B,0))</f>
        <v>29.0981641388437</v>
      </c>
      <c r="O108" s="434">
        <f>+INDEX('Fuel Model -  Input'!N:N,MATCH('Fuel Logistics'!$C108&amp;'Fuel Logistics'!$E108&amp;'Fuel Logistics'!$F108&amp;'Fuel Logistics'!$G108,'Fuel Model -  Input'!$B:$B,0))</f>
        <v>27.400436938991028</v>
      </c>
      <c r="P108" s="434">
        <f t="shared" ref="P108:T111" si="75">O108</f>
        <v>27.400436938991028</v>
      </c>
      <c r="Q108" s="434">
        <f t="shared" si="75"/>
        <v>27.400436938991028</v>
      </c>
      <c r="R108" s="434">
        <f t="shared" si="75"/>
        <v>27.400436938991028</v>
      </c>
      <c r="S108" s="434">
        <f t="shared" si="75"/>
        <v>27.400436938991028</v>
      </c>
      <c r="T108" s="434">
        <f t="shared" si="75"/>
        <v>27.400436938991028</v>
      </c>
    </row>
    <row r="109" spans="1:28" hidden="1" outlineLevel="1" x14ac:dyDescent="0.2">
      <c r="A109" s="421" t="str">
        <f t="shared" si="56"/>
        <v>Ammonia - Middle East - Feedstock - USD/MWh</v>
      </c>
      <c r="B109" s="421"/>
      <c r="C109" t="s">
        <v>197</v>
      </c>
      <c r="D109" t="s">
        <v>529</v>
      </c>
      <c r="E109" t="s">
        <v>777</v>
      </c>
      <c r="F109" t="s">
        <v>54</v>
      </c>
      <c r="G109" s="224" t="s">
        <v>196</v>
      </c>
      <c r="H109" s="93"/>
      <c r="I109" s="433">
        <f>+INDEX('Fuel Model -  Input'!H:H,MATCH('Fuel Logistics'!$C109&amp;'Fuel Logistics'!$E109&amp;'Fuel Logistics'!$F109&amp;'Fuel Logistics'!$G109,'Fuel Model -  Input'!$B:$B,0))</f>
        <v>41.921157991354328</v>
      </c>
      <c r="J109" s="434">
        <f>+INDEX('Fuel Model -  Input'!I:I,MATCH('Fuel Logistics'!$C109&amp;'Fuel Logistics'!$E109&amp;'Fuel Logistics'!$F109&amp;'Fuel Logistics'!$G109,'Fuel Model -  Input'!$B:$B,0))</f>
        <v>33.753089127704079</v>
      </c>
      <c r="K109" s="434">
        <f>+INDEX('Fuel Model -  Input'!J:J,MATCH('Fuel Logistics'!$C109&amp;'Fuel Logistics'!$E109&amp;'Fuel Logistics'!$F109&amp;'Fuel Logistics'!$G109,'Fuel Model -  Input'!$B:$B,0))</f>
        <v>28.34507912512213</v>
      </c>
      <c r="L109" s="434">
        <f>+INDEX('Fuel Model -  Input'!K:K,MATCH('Fuel Logistics'!$C109&amp;'Fuel Logistics'!$E109&amp;'Fuel Logistics'!$F109&amp;'Fuel Logistics'!$G109,'Fuel Model -  Input'!$B:$B,0))</f>
        <v>24.531808876328746</v>
      </c>
      <c r="M109" s="434">
        <f>+INDEX('Fuel Model -  Input'!L:L,MATCH('Fuel Logistics'!$C109&amp;'Fuel Logistics'!$E109&amp;'Fuel Logistics'!$F109&amp;'Fuel Logistics'!$G109,'Fuel Model -  Input'!$B:$B,0))</f>
        <v>22.619875270215999</v>
      </c>
      <c r="N109" s="434">
        <f>+INDEX('Fuel Model -  Input'!M:M,MATCH('Fuel Logistics'!$C109&amp;'Fuel Logistics'!$E109&amp;'Fuel Logistics'!$F109&amp;'Fuel Logistics'!$G109,'Fuel Model -  Input'!$B:$B,0))</f>
        <v>20.112573077486601</v>
      </c>
      <c r="O109" s="434">
        <f>+INDEX('Fuel Model -  Input'!N:N,MATCH('Fuel Logistics'!$C109&amp;'Fuel Logistics'!$E109&amp;'Fuel Logistics'!$F109&amp;'Fuel Logistics'!$G109,'Fuel Model -  Input'!$B:$B,0))</f>
        <v>18.93907699669392</v>
      </c>
      <c r="P109" s="434">
        <f t="shared" si="75"/>
        <v>18.93907699669392</v>
      </c>
      <c r="Q109" s="434">
        <f t="shared" si="75"/>
        <v>18.93907699669392</v>
      </c>
      <c r="R109" s="434">
        <f t="shared" si="75"/>
        <v>18.93907699669392</v>
      </c>
      <c r="S109" s="434">
        <f t="shared" si="75"/>
        <v>18.93907699669392</v>
      </c>
      <c r="T109" s="434">
        <f t="shared" si="75"/>
        <v>18.93907699669392</v>
      </c>
    </row>
    <row r="110" spans="1:28" hidden="1" outlineLevel="1" x14ac:dyDescent="0.2">
      <c r="A110" s="421" t="str">
        <f t="shared" si="56"/>
        <v>Ammonia - Americas - Feedstock - USD/MWh</v>
      </c>
      <c r="B110" s="421"/>
      <c r="C110" t="s">
        <v>199</v>
      </c>
      <c r="D110" t="s">
        <v>529</v>
      </c>
      <c r="E110" t="s">
        <v>777</v>
      </c>
      <c r="F110" t="s">
        <v>54</v>
      </c>
      <c r="G110" s="224" t="s">
        <v>196</v>
      </c>
      <c r="H110" s="93"/>
      <c r="I110" s="433">
        <f>+INDEX('Fuel Model -  Input'!H:H,MATCH('Fuel Logistics'!$C110&amp;'Fuel Logistics'!$E110&amp;'Fuel Logistics'!$F110&amp;'Fuel Logistics'!$G110,'Fuel Model -  Input'!$B:$B,0))</f>
        <v>38.96640570315094</v>
      </c>
      <c r="J110" s="434">
        <f>+INDEX('Fuel Model -  Input'!I:I,MATCH('Fuel Logistics'!$C110&amp;'Fuel Logistics'!$E110&amp;'Fuel Logistics'!$F110&amp;'Fuel Logistics'!$G110,'Fuel Model -  Input'!$B:$B,0))</f>
        <v>35.167703764177872</v>
      </c>
      <c r="K110" s="434">
        <f>+INDEX('Fuel Model -  Input'!J:J,MATCH('Fuel Logistics'!$C110&amp;'Fuel Logistics'!$E110&amp;'Fuel Logistics'!$F110&amp;'Fuel Logistics'!$G110,'Fuel Model -  Input'!$B:$B,0))</f>
        <v>28.746405825398561</v>
      </c>
      <c r="L110" s="434">
        <f>+INDEX('Fuel Model -  Input'!K:K,MATCH('Fuel Logistics'!$C110&amp;'Fuel Logistics'!$E110&amp;'Fuel Logistics'!$F110&amp;'Fuel Logistics'!$G110,'Fuel Model -  Input'!$B:$B,0))</f>
        <v>25.656323090259679</v>
      </c>
      <c r="M110" s="434">
        <f>+INDEX('Fuel Model -  Input'!L:L,MATCH('Fuel Logistics'!$C110&amp;'Fuel Logistics'!$E110&amp;'Fuel Logistics'!$F110&amp;'Fuel Logistics'!$G110,'Fuel Model -  Input'!$B:$B,0))</f>
        <v>23.151426016069131</v>
      </c>
      <c r="N110" s="434">
        <f>+INDEX('Fuel Model -  Input'!M:M,MATCH('Fuel Logistics'!$C110&amp;'Fuel Logistics'!$E110&amp;'Fuel Logistics'!$F110&amp;'Fuel Logistics'!$G110,'Fuel Model -  Input'!$B:$B,0))</f>
        <v>22.142282710121734</v>
      </c>
      <c r="O110" s="434">
        <f>+INDEX('Fuel Model -  Input'!N:N,MATCH('Fuel Logistics'!$C110&amp;'Fuel Logistics'!$E110&amp;'Fuel Logistics'!$F110&amp;'Fuel Logistics'!$G110,'Fuel Model -  Input'!$B:$B,0))</f>
        <v>21.380955513479382</v>
      </c>
      <c r="P110" s="434">
        <f t="shared" si="75"/>
        <v>21.380955513479382</v>
      </c>
      <c r="Q110" s="434">
        <f t="shared" si="75"/>
        <v>21.380955513479382</v>
      </c>
      <c r="R110" s="434">
        <f t="shared" si="75"/>
        <v>21.380955513479382</v>
      </c>
      <c r="S110" s="434">
        <f t="shared" si="75"/>
        <v>21.380955513479382</v>
      </c>
      <c r="T110" s="434">
        <f t="shared" si="75"/>
        <v>21.380955513479382</v>
      </c>
    </row>
    <row r="111" spans="1:28" hidden="1" outlineLevel="1" x14ac:dyDescent="0.2">
      <c r="A111" s="421" t="str">
        <f t="shared" si="56"/>
        <v>Ammonia - Africa - Feedstock - USD/MWh</v>
      </c>
      <c r="B111" s="421"/>
      <c r="C111" t="s">
        <v>200</v>
      </c>
      <c r="D111" t="s">
        <v>529</v>
      </c>
      <c r="E111" t="s">
        <v>777</v>
      </c>
      <c r="F111" t="s">
        <v>54</v>
      </c>
      <c r="G111" s="224" t="s">
        <v>196</v>
      </c>
      <c r="H111" s="93"/>
      <c r="I111" s="433">
        <f>+INDEX('Fuel Model -  Input'!H:H,MATCH('Fuel Logistics'!$C111&amp;'Fuel Logistics'!$E111&amp;'Fuel Logistics'!$F111&amp;'Fuel Logistics'!$G111,'Fuel Model -  Input'!$B:$B,0))</f>
        <v>78.959338985079413</v>
      </c>
      <c r="J111" s="434">
        <f>+INDEX('Fuel Model -  Input'!I:I,MATCH('Fuel Logistics'!$C111&amp;'Fuel Logistics'!$E111&amp;'Fuel Logistics'!$F111&amp;'Fuel Logistics'!$G111,'Fuel Model -  Input'!$B:$B,0))</f>
        <v>44.676785560803516</v>
      </c>
      <c r="K111" s="434">
        <f>+INDEX('Fuel Model -  Input'!J:J,MATCH('Fuel Logistics'!$C111&amp;'Fuel Logistics'!$E111&amp;'Fuel Logistics'!$F111&amp;'Fuel Logistics'!$G111,'Fuel Model -  Input'!$B:$B,0))</f>
        <v>35.119981181981451</v>
      </c>
      <c r="L111" s="434">
        <f>+INDEX('Fuel Model -  Input'!K:K,MATCH('Fuel Logistics'!$C111&amp;'Fuel Logistics'!$E111&amp;'Fuel Logistics'!$F111&amp;'Fuel Logistics'!$G111,'Fuel Model -  Input'!$B:$B,0))</f>
        <v>29.785360764210218</v>
      </c>
      <c r="M111" s="434">
        <f>+INDEX('Fuel Model -  Input'!L:L,MATCH('Fuel Logistics'!$C111&amp;'Fuel Logistics'!$E111&amp;'Fuel Logistics'!$F111&amp;'Fuel Logistics'!$G111,'Fuel Model -  Input'!$B:$B,0))</f>
        <v>27.274442592674799</v>
      </c>
      <c r="N111" s="434">
        <f>+INDEX('Fuel Model -  Input'!M:M,MATCH('Fuel Logistics'!$C111&amp;'Fuel Logistics'!$E111&amp;'Fuel Logistics'!$F111&amp;'Fuel Logistics'!$G111,'Fuel Model -  Input'!$B:$B,0))</f>
        <v>24.692537876031398</v>
      </c>
      <c r="O111" s="434">
        <f>+INDEX('Fuel Model -  Input'!N:N,MATCH('Fuel Logistics'!$C111&amp;'Fuel Logistics'!$E111&amp;'Fuel Logistics'!$F111&amp;'Fuel Logistics'!$G111,'Fuel Model -  Input'!$B:$B,0))</f>
        <v>23.425269893906371</v>
      </c>
      <c r="P111" s="434">
        <f t="shared" si="75"/>
        <v>23.425269893906371</v>
      </c>
      <c r="Q111" s="434">
        <f t="shared" si="75"/>
        <v>23.425269893906371</v>
      </c>
      <c r="R111" s="434">
        <f t="shared" si="75"/>
        <v>23.425269893906371</v>
      </c>
      <c r="S111" s="434">
        <f t="shared" si="75"/>
        <v>23.425269893906371</v>
      </c>
      <c r="T111" s="434">
        <f t="shared" si="75"/>
        <v>23.425269893906371</v>
      </c>
    </row>
    <row r="112" spans="1:28" hidden="1" outlineLevel="1" x14ac:dyDescent="0.2">
      <c r="A112" s="421" t="str">
        <f t="shared" si="56"/>
        <v/>
      </c>
      <c r="B112" s="421"/>
      <c r="H112" s="93"/>
      <c r="I112" s="93"/>
    </row>
    <row r="113" spans="1:20" hidden="1" outlineLevel="1" x14ac:dyDescent="0.2">
      <c r="A113" s="421" t="str">
        <f t="shared" si="56"/>
        <v>Ammonia - Europe - storage - USD/ton</v>
      </c>
      <c r="B113" s="421"/>
      <c r="C113" t="s">
        <v>195</v>
      </c>
      <c r="D113" t="s">
        <v>529</v>
      </c>
      <c r="E113" t="s">
        <v>775</v>
      </c>
      <c r="F113" t="s">
        <v>778</v>
      </c>
      <c r="G113" s="224" t="s">
        <v>205</v>
      </c>
      <c r="H113" s="93"/>
      <c r="I113" s="93">
        <f t="shared" ref="I113:T113" si="76">I$99/I$45*I$101/365/I$102+I$105*I107/1000*I$101</f>
        <v>4.0447928088953091</v>
      </c>
      <c r="J113" s="93">
        <f t="shared" si="76"/>
        <v>3.8447672056784072</v>
      </c>
      <c r="K113" s="93">
        <f t="shared" si="76"/>
        <v>3.6831453095355537</v>
      </c>
      <c r="L113" s="93">
        <f t="shared" si="76"/>
        <v>3.6159914451279946</v>
      </c>
      <c r="M113" s="93">
        <f t="shared" si="76"/>
        <v>3.5758971748192074</v>
      </c>
      <c r="N113" s="93">
        <f t="shared" si="76"/>
        <v>3.5330035441845786</v>
      </c>
      <c r="O113" s="93">
        <f t="shared" si="76"/>
        <v>3.5017074679102951</v>
      </c>
      <c r="P113" s="93">
        <f t="shared" si="76"/>
        <v>3.5017074679102951</v>
      </c>
      <c r="Q113" s="93">
        <f t="shared" si="76"/>
        <v>3.5017074679102951</v>
      </c>
      <c r="R113" s="93">
        <f t="shared" si="76"/>
        <v>3.5017074679102951</v>
      </c>
      <c r="S113" s="93">
        <f t="shared" si="76"/>
        <v>3.5017074679102951</v>
      </c>
      <c r="T113" s="93">
        <f t="shared" si="76"/>
        <v>3.5017074679102951</v>
      </c>
    </row>
    <row r="114" spans="1:20" hidden="1" outlineLevel="1" x14ac:dyDescent="0.2">
      <c r="A114" s="421" t="str">
        <f t="shared" si="56"/>
        <v>Ammonia - Asia - storage - USD/ton</v>
      </c>
      <c r="B114" s="421"/>
      <c r="C114" t="s">
        <v>198</v>
      </c>
      <c r="D114" t="s">
        <v>529</v>
      </c>
      <c r="E114" t="s">
        <v>775</v>
      </c>
      <c r="F114" t="s">
        <v>778</v>
      </c>
      <c r="G114" s="224" t="s">
        <v>205</v>
      </c>
      <c r="H114" s="93"/>
      <c r="I114" s="93">
        <f t="shared" ref="I114:T114" si="77">I$99/I$45*I$101/365/I$102+I$105*I108/1000*I$101</f>
        <v>4.5721060814323078</v>
      </c>
      <c r="J114" s="93">
        <f t="shared" si="77"/>
        <v>4.0242820536755763</v>
      </c>
      <c r="K114" s="93">
        <f t="shared" si="77"/>
        <v>3.8277821238692971</v>
      </c>
      <c r="L114" s="93">
        <f t="shared" si="77"/>
        <v>3.6942232558970001</v>
      </c>
      <c r="M114" s="93">
        <f t="shared" si="77"/>
        <v>3.6263186915861851</v>
      </c>
      <c r="N114" s="93">
        <f t="shared" si="77"/>
        <v>3.5552410755236181</v>
      </c>
      <c r="O114" s="93">
        <f t="shared" si="77"/>
        <v>3.5226458229120681</v>
      </c>
      <c r="P114" s="93">
        <f t="shared" si="77"/>
        <v>3.5226458229120681</v>
      </c>
      <c r="Q114" s="93">
        <f t="shared" si="77"/>
        <v>3.5226458229120681</v>
      </c>
      <c r="R114" s="93">
        <f t="shared" si="77"/>
        <v>3.5226458229120681</v>
      </c>
      <c r="S114" s="93">
        <f t="shared" si="77"/>
        <v>3.5226458229120681</v>
      </c>
      <c r="T114" s="93">
        <f t="shared" si="77"/>
        <v>3.5226458229120681</v>
      </c>
    </row>
    <row r="115" spans="1:20" hidden="1" outlineLevel="1" x14ac:dyDescent="0.2">
      <c r="A115" s="421" t="str">
        <f t="shared" si="56"/>
        <v>Ammonia - Middle East - storage - USD/ton</v>
      </c>
      <c r="B115" s="421"/>
      <c r="C115" t="s">
        <v>197</v>
      </c>
      <c r="D115" t="s">
        <v>529</v>
      </c>
      <c r="E115" t="s">
        <v>775</v>
      </c>
      <c r="F115" t="s">
        <v>778</v>
      </c>
      <c r="G115" s="224" t="s">
        <v>205</v>
      </c>
      <c r="H115" s="93"/>
      <c r="I115" s="93">
        <f t="shared" ref="I115:T115" si="78">I$99/I$45*I$101/365/I$102+I$105*I109/1000*I$101</f>
        <v>3.8014341764500887</v>
      </c>
      <c r="J115" s="93">
        <f t="shared" si="78"/>
        <v>3.6446125928751045</v>
      </c>
      <c r="K115" s="93">
        <f t="shared" si="78"/>
        <v>3.5407823354725916</v>
      </c>
      <c r="L115" s="93">
        <f t="shared" si="78"/>
        <v>3.4675700390292543</v>
      </c>
      <c r="M115" s="93">
        <f t="shared" si="78"/>
        <v>3.4308621634216978</v>
      </c>
      <c r="N115" s="93">
        <f t="shared" si="78"/>
        <v>3.3827236000808965</v>
      </c>
      <c r="O115" s="93">
        <f t="shared" si="78"/>
        <v>3.3601932423205794</v>
      </c>
      <c r="P115" s="93">
        <f t="shared" si="78"/>
        <v>3.3601932423205794</v>
      </c>
      <c r="Q115" s="93">
        <f t="shared" si="78"/>
        <v>3.3601932423205794</v>
      </c>
      <c r="R115" s="93">
        <f t="shared" si="78"/>
        <v>3.3601932423205794</v>
      </c>
      <c r="S115" s="93">
        <f t="shared" si="78"/>
        <v>3.3601932423205794</v>
      </c>
      <c r="T115" s="93">
        <f t="shared" si="78"/>
        <v>3.3601932423205794</v>
      </c>
    </row>
    <row r="116" spans="1:20" hidden="1" outlineLevel="1" x14ac:dyDescent="0.2">
      <c r="A116" s="421" t="str">
        <f t="shared" si="56"/>
        <v>Ammonia - Americas - storage - USD/ton</v>
      </c>
      <c r="B116" s="421"/>
      <c r="C116" t="s">
        <v>199</v>
      </c>
      <c r="D116" t="s">
        <v>529</v>
      </c>
      <c r="E116" t="s">
        <v>775</v>
      </c>
      <c r="F116" t="s">
        <v>778</v>
      </c>
      <c r="G116" s="224" t="s">
        <v>205</v>
      </c>
      <c r="H116" s="93"/>
      <c r="I116" s="93">
        <f t="shared" ref="I116:T116" si="79">I$99/I$45*I$101/365/I$102+I$105*I110/1000*I$101</f>
        <v>3.7447048637272298</v>
      </c>
      <c r="J116" s="93">
        <f t="shared" si="79"/>
        <v>3.6717722693106714</v>
      </c>
      <c r="K116" s="93">
        <f t="shared" si="79"/>
        <v>3.5484875458128662</v>
      </c>
      <c r="L116" s="93">
        <f t="shared" si="79"/>
        <v>3.489159976960118</v>
      </c>
      <c r="M116" s="93">
        <f t="shared" si="79"/>
        <v>3.4410675903232897</v>
      </c>
      <c r="N116" s="93">
        <f t="shared" si="79"/>
        <v>3.4216926984198879</v>
      </c>
      <c r="O116" s="93">
        <f t="shared" si="79"/>
        <v>3.4070757138438297</v>
      </c>
      <c r="P116" s="93">
        <f t="shared" si="79"/>
        <v>3.4070757138438297</v>
      </c>
      <c r="Q116" s="93">
        <f t="shared" si="79"/>
        <v>3.4070757138438297</v>
      </c>
      <c r="R116" s="93">
        <f t="shared" si="79"/>
        <v>3.4070757138438297</v>
      </c>
      <c r="S116" s="93">
        <f t="shared" si="79"/>
        <v>3.4070757138438297</v>
      </c>
      <c r="T116" s="93">
        <f t="shared" si="79"/>
        <v>3.4070757138438297</v>
      </c>
    </row>
    <row r="117" spans="1:20" hidden="1" outlineLevel="1" x14ac:dyDescent="0.2">
      <c r="A117" s="421" t="str">
        <f t="shared" si="56"/>
        <v>Ammonia - Africa&amp;Other - storage - USD/ton</v>
      </c>
      <c r="B117" s="421"/>
      <c r="C117" t="s">
        <v>498</v>
      </c>
      <c r="D117" t="s">
        <v>529</v>
      </c>
      <c r="E117" t="s">
        <v>775</v>
      </c>
      <c r="F117" t="s">
        <v>778</v>
      </c>
      <c r="G117" s="224" t="s">
        <v>205</v>
      </c>
      <c r="H117" s="93"/>
      <c r="I117" s="93">
        <f t="shared" ref="I117:T117" si="80">I$99/I$45*I$101/365/I$102+I$105*I111/1000*I$101</f>
        <v>4.5125430435681766</v>
      </c>
      <c r="J117" s="93">
        <f t="shared" si="80"/>
        <v>3.8543404247197421</v>
      </c>
      <c r="K117" s="93">
        <f t="shared" si="80"/>
        <v>3.6708560269237305</v>
      </c>
      <c r="L117" s="93">
        <f t="shared" si="80"/>
        <v>3.5684348015825345</v>
      </c>
      <c r="M117" s="93">
        <f t="shared" si="80"/>
        <v>3.5202268138120423</v>
      </c>
      <c r="N117" s="93">
        <f t="shared" si="80"/>
        <v>3.4706559307719114</v>
      </c>
      <c r="O117" s="93">
        <f t="shared" si="80"/>
        <v>3.4463252137948377</v>
      </c>
      <c r="P117" s="93">
        <f t="shared" si="80"/>
        <v>3.4463252137948377</v>
      </c>
      <c r="Q117" s="93">
        <f t="shared" si="80"/>
        <v>3.4463252137948377</v>
      </c>
      <c r="R117" s="93">
        <f t="shared" si="80"/>
        <v>3.4463252137948377</v>
      </c>
      <c r="S117" s="93">
        <f t="shared" si="80"/>
        <v>3.4463252137948377</v>
      </c>
      <c r="T117" s="93">
        <f t="shared" si="80"/>
        <v>3.4463252137948377</v>
      </c>
    </row>
    <row r="118" spans="1:20" hidden="1" outlineLevel="1" x14ac:dyDescent="0.2">
      <c r="A118" s="421" t="str">
        <f>_xlfn.TEXTJOIN(keydelim,TRUE,D118,C118,E118,G118)</f>
        <v/>
      </c>
      <c r="B118" s="421"/>
      <c r="H118" s="95"/>
    </row>
    <row r="119" spans="1:20" hidden="1" outlineLevel="1" x14ac:dyDescent="0.2">
      <c r="A119" s="421"/>
      <c r="B119" s="421"/>
      <c r="C119" t="s">
        <v>195</v>
      </c>
      <c r="D119" t="s">
        <v>529</v>
      </c>
      <c r="E119" t="s">
        <v>766</v>
      </c>
      <c r="F119" t="str">
        <f>+D119&amp;" "&amp;E119</f>
        <v>Ammonia Logistics CO2</v>
      </c>
      <c r="G119" s="224" t="s">
        <v>767</v>
      </c>
      <c r="H119" s="93"/>
      <c r="I119" s="94">
        <f t="shared" ref="I119:T119" si="81">I$86/I$97*1000*(I$87/I$89/365)</f>
        <v>2.6362832924918655E-2</v>
      </c>
      <c r="J119" s="94">
        <f t="shared" si="81"/>
        <v>1.8340316247664995E-2</v>
      </c>
      <c r="K119" s="94">
        <f t="shared" si="81"/>
        <v>1.2759144702784353E-2</v>
      </c>
      <c r="L119" s="94">
        <f t="shared" si="81"/>
        <v>8.8763885719427768E-3</v>
      </c>
      <c r="M119" s="94">
        <f t="shared" si="81"/>
        <v>6.1752002908880242E-3</v>
      </c>
      <c r="N119" s="94">
        <f t="shared" si="81"/>
        <v>4.2960150204687736E-3</v>
      </c>
      <c r="O119" s="94">
        <f t="shared" si="81"/>
        <v>2.9886876840782258E-3</v>
      </c>
      <c r="P119" s="94">
        <f t="shared" si="81"/>
        <v>0</v>
      </c>
      <c r="Q119" s="94">
        <f t="shared" si="81"/>
        <v>0</v>
      </c>
      <c r="R119" s="94">
        <f t="shared" si="81"/>
        <v>0</v>
      </c>
      <c r="S119" s="94">
        <f t="shared" si="81"/>
        <v>0</v>
      </c>
      <c r="T119" s="94">
        <f t="shared" si="81"/>
        <v>0</v>
      </c>
    </row>
    <row r="120" spans="1:20" hidden="1" outlineLevel="1" x14ac:dyDescent="0.2">
      <c r="A120" s="421"/>
      <c r="B120" s="421"/>
      <c r="C120" t="s">
        <v>198</v>
      </c>
      <c r="D120" t="s">
        <v>529</v>
      </c>
      <c r="E120" t="s">
        <v>766</v>
      </c>
      <c r="F120" t="str">
        <f>+D120&amp;" "&amp;E120</f>
        <v>Ammonia Logistics CO2</v>
      </c>
      <c r="G120" s="224" t="s">
        <v>767</v>
      </c>
      <c r="H120" s="93"/>
      <c r="I120" s="94">
        <f t="shared" ref="I120:O123" si="82">I$86/I$97*1000*(I$87/I$89/365)</f>
        <v>2.6362832924918655E-2</v>
      </c>
      <c r="J120" s="94">
        <f t="shared" si="82"/>
        <v>1.8340316247664995E-2</v>
      </c>
      <c r="K120" s="94">
        <f t="shared" si="82"/>
        <v>1.2759144702784353E-2</v>
      </c>
      <c r="L120" s="94">
        <f t="shared" si="82"/>
        <v>8.8763885719427768E-3</v>
      </c>
      <c r="M120" s="94">
        <f t="shared" si="82"/>
        <v>6.1752002908880242E-3</v>
      </c>
      <c r="N120" s="94">
        <f t="shared" si="82"/>
        <v>4.2960150204687736E-3</v>
      </c>
      <c r="O120" s="94">
        <f t="shared" si="82"/>
        <v>2.9886876840782258E-3</v>
      </c>
    </row>
    <row r="121" spans="1:20" hidden="1" outlineLevel="1" x14ac:dyDescent="0.2">
      <c r="A121" s="421"/>
      <c r="B121" s="421"/>
      <c r="C121" t="s">
        <v>197</v>
      </c>
      <c r="D121" t="s">
        <v>529</v>
      </c>
      <c r="E121" t="s">
        <v>766</v>
      </c>
      <c r="F121" t="str">
        <f>+D121&amp;" "&amp;E121</f>
        <v>Ammonia Logistics CO2</v>
      </c>
      <c r="G121" s="224" t="s">
        <v>767</v>
      </c>
      <c r="H121" s="93"/>
      <c r="I121" s="94">
        <f t="shared" si="82"/>
        <v>2.6362832924918655E-2</v>
      </c>
      <c r="J121" s="94">
        <f t="shared" si="82"/>
        <v>1.8340316247664995E-2</v>
      </c>
      <c r="K121" s="94">
        <f t="shared" si="82"/>
        <v>1.2759144702784353E-2</v>
      </c>
      <c r="L121" s="94">
        <f t="shared" si="82"/>
        <v>8.8763885719427768E-3</v>
      </c>
      <c r="M121" s="94">
        <f t="shared" si="82"/>
        <v>6.1752002908880242E-3</v>
      </c>
      <c r="N121" s="94">
        <f t="shared" si="82"/>
        <v>4.2960150204687736E-3</v>
      </c>
      <c r="O121" s="94">
        <f t="shared" si="82"/>
        <v>2.9886876840782258E-3</v>
      </c>
    </row>
    <row r="122" spans="1:20" hidden="1" outlineLevel="1" x14ac:dyDescent="0.2">
      <c r="A122" s="421"/>
      <c r="B122" s="421"/>
      <c r="C122" t="s">
        <v>199</v>
      </c>
      <c r="D122" t="s">
        <v>529</v>
      </c>
      <c r="E122" t="s">
        <v>766</v>
      </c>
      <c r="F122" t="str">
        <f>+D122&amp;" "&amp;E122</f>
        <v>Ammonia Logistics CO2</v>
      </c>
      <c r="G122" s="224" t="s">
        <v>767</v>
      </c>
      <c r="H122" s="93"/>
      <c r="I122" s="94">
        <f t="shared" si="82"/>
        <v>2.6362832924918655E-2</v>
      </c>
      <c r="J122" s="94">
        <f t="shared" si="82"/>
        <v>1.8340316247664995E-2</v>
      </c>
      <c r="K122" s="94">
        <f t="shared" si="82"/>
        <v>1.2759144702784353E-2</v>
      </c>
      <c r="L122" s="94">
        <f t="shared" si="82"/>
        <v>8.8763885719427768E-3</v>
      </c>
      <c r="M122" s="94">
        <f t="shared" si="82"/>
        <v>6.1752002908880242E-3</v>
      </c>
      <c r="N122" s="94">
        <f t="shared" si="82"/>
        <v>4.2960150204687736E-3</v>
      </c>
      <c r="O122" s="94">
        <f t="shared" si="82"/>
        <v>2.9886876840782258E-3</v>
      </c>
    </row>
    <row r="123" spans="1:20" hidden="1" outlineLevel="1" x14ac:dyDescent="0.2">
      <c r="A123" s="421"/>
      <c r="B123" s="421"/>
      <c r="C123" t="s">
        <v>498</v>
      </c>
      <c r="D123" t="s">
        <v>529</v>
      </c>
      <c r="E123" t="s">
        <v>766</v>
      </c>
      <c r="F123" t="str">
        <f>+D123&amp;" "&amp;E123</f>
        <v>Ammonia Logistics CO2</v>
      </c>
      <c r="G123" s="224" t="s">
        <v>767</v>
      </c>
      <c r="H123" s="93"/>
      <c r="I123" s="94">
        <f t="shared" si="82"/>
        <v>2.6362832924918655E-2</v>
      </c>
      <c r="J123" s="94">
        <f t="shared" si="82"/>
        <v>1.8340316247664995E-2</v>
      </c>
      <c r="K123" s="94">
        <f t="shared" si="82"/>
        <v>1.2759144702784353E-2</v>
      </c>
      <c r="L123" s="94">
        <f t="shared" si="82"/>
        <v>8.8763885719427768E-3</v>
      </c>
      <c r="M123" s="94">
        <f t="shared" si="82"/>
        <v>6.1752002908880242E-3</v>
      </c>
      <c r="N123" s="94">
        <f t="shared" si="82"/>
        <v>4.2960150204687736E-3</v>
      </c>
      <c r="O123" s="94">
        <f t="shared" si="82"/>
        <v>2.9886876840782258E-3</v>
      </c>
    </row>
    <row r="124" spans="1:20" hidden="1" outlineLevel="1" x14ac:dyDescent="0.2">
      <c r="A124" s="421" t="str">
        <f>_xlfn.TEXTJOIN(keydelim,TRUE,D124,C124,E124,G124)</f>
        <v/>
      </c>
      <c r="B124" s="421"/>
      <c r="H124" s="93"/>
      <c r="I124" s="95"/>
      <c r="J124" s="95"/>
      <c r="K124" s="95"/>
      <c r="L124" s="95"/>
      <c r="M124" s="95"/>
      <c r="N124" s="95"/>
      <c r="O124" s="95"/>
      <c r="P124" s="95"/>
      <c r="Q124" s="95"/>
      <c r="R124" s="95"/>
      <c r="S124" s="95"/>
      <c r="T124" s="95"/>
    </row>
    <row r="125" spans="1:20" hidden="1" outlineLevel="1" x14ac:dyDescent="0.2">
      <c r="A125" s="421" t="str">
        <f>_xlfn.TEXTJOIN(keydelim,TRUE,D125,C125,E125,G125)</f>
        <v>Ammonia - Global - WTT Logistics - kgCO2/GJ</v>
      </c>
      <c r="B125" s="421"/>
      <c r="C125" t="s">
        <v>109</v>
      </c>
      <c r="D125" t="str">
        <f>+D113</f>
        <v>Ammonia</v>
      </c>
      <c r="F125" t="s">
        <v>121</v>
      </c>
      <c r="G125" s="224" t="s">
        <v>770</v>
      </c>
      <c r="H125" s="93"/>
      <c r="I125" s="94">
        <f>+AVERAGE(I119:I123)/INDEX('Fuel Model -  Input'!H$15:H$44,MATCH('Fuel Logistics'!$F125,'Fuel Model -  Input'!$F$15:$F$44,0))*1000000</f>
        <v>1.4022783470701412</v>
      </c>
      <c r="J125" s="94">
        <f>+AVERAGE(J119:J123)/INDEX('Fuel Model -  Input'!I$15:I$44,MATCH('Fuel Logistics'!$F125,'Fuel Model -  Input'!$F$15:$F$44,0))*1000000</f>
        <v>0.97554873657792529</v>
      </c>
      <c r="K125" s="94">
        <f>+AVERAGE(K119:K123)/INDEX('Fuel Model -  Input'!J$15:J$44,MATCH('Fuel Logistics'!$F125,'Fuel Model -  Input'!$F$15:$F$44,0))*1000000</f>
        <v>0.67867790972257203</v>
      </c>
      <c r="L125" s="94">
        <f>+AVERAGE(L119:L123)/INDEX('Fuel Model -  Input'!K$15:K$44,MATCH('Fuel Logistics'!$F125,'Fuel Model -  Input'!$F$15:$F$44,0))*1000000</f>
        <v>0.47214832829482856</v>
      </c>
      <c r="M125" s="94">
        <f>+AVERAGE(M119:M123)/INDEX('Fuel Model -  Input'!L$15:L$44,MATCH('Fuel Logistics'!$F125,'Fuel Model -  Input'!$F$15:$F$44,0))*1000000</f>
        <v>0.32846810057915021</v>
      </c>
      <c r="N125" s="94">
        <f>+AVERAGE(N119:N123)/INDEX('Fuel Model -  Input'!M$15:M$44,MATCH('Fuel Logistics'!$F125,'Fuel Model -  Input'!$F$15:$F$44,0))*1000000</f>
        <v>0.22851143725897732</v>
      </c>
      <c r="O125" s="94">
        <f>+AVERAGE(O119:O123)/INDEX('Fuel Model -  Input'!N$15:N$44,MATCH('Fuel Logistics'!$F125,'Fuel Model -  Input'!$F$15:$F$44,0))*1000000</f>
        <v>0.15897274915309711</v>
      </c>
      <c r="P125" s="93"/>
      <c r="Q125" s="93"/>
      <c r="R125" s="93"/>
      <c r="S125" s="93"/>
      <c r="T125" s="93"/>
    </row>
    <row r="126" spans="1:20" hidden="1" outlineLevel="1" x14ac:dyDescent="0.2">
      <c r="A126" s="421" t="str">
        <f t="shared" si="56"/>
        <v/>
      </c>
      <c r="B126" s="421"/>
      <c r="H126" s="95"/>
    </row>
    <row r="127" spans="1:20" collapsed="1" x14ac:dyDescent="0.2">
      <c r="A127" s="421" t="str">
        <f t="shared" si="56"/>
        <v>Ammonia - Europe - Logistics total - USD/ton</v>
      </c>
      <c r="B127" s="421"/>
      <c r="C127" s="266" t="s">
        <v>195</v>
      </c>
      <c r="D127" s="266" t="s">
        <v>529</v>
      </c>
      <c r="E127" s="266" t="s">
        <v>732</v>
      </c>
      <c r="F127" s="266" t="str">
        <f>+D127&amp;" "&amp;E127</f>
        <v>Ammonia Logistics total</v>
      </c>
      <c r="G127" s="282" t="s">
        <v>205</v>
      </c>
      <c r="H127" s="266"/>
      <c r="I127" s="423">
        <f t="shared" ref="I127:T127" si="83">I91+I113</f>
        <v>21.620014758841076</v>
      </c>
      <c r="J127" s="423">
        <f t="shared" si="83"/>
        <v>21.419989155624176</v>
      </c>
      <c r="K127" s="423">
        <f t="shared" si="83"/>
        <v>21.258367259481322</v>
      </c>
      <c r="L127" s="423">
        <f t="shared" si="83"/>
        <v>21.191213395073763</v>
      </c>
      <c r="M127" s="423">
        <f t="shared" si="83"/>
        <v>21.151119124764975</v>
      </c>
      <c r="N127" s="423">
        <f t="shared" si="83"/>
        <v>21.108225494130345</v>
      </c>
      <c r="O127" s="423">
        <f t="shared" si="83"/>
        <v>21.076929417856064</v>
      </c>
      <c r="P127" s="423">
        <f t="shared" si="83"/>
        <v>21.076929417856064</v>
      </c>
      <c r="Q127" s="423">
        <f t="shared" si="83"/>
        <v>21.076929417856064</v>
      </c>
      <c r="R127" s="423">
        <f t="shared" si="83"/>
        <v>21.076929417856064</v>
      </c>
      <c r="S127" s="423">
        <f t="shared" si="83"/>
        <v>21.076929417856064</v>
      </c>
      <c r="T127" s="423">
        <f t="shared" si="83"/>
        <v>21.076929417856064</v>
      </c>
    </row>
    <row r="128" spans="1:20" x14ac:dyDescent="0.2">
      <c r="A128" s="421" t="str">
        <f t="shared" si="56"/>
        <v>Ammonia - Asia - Logistics total - USD/ton</v>
      </c>
      <c r="B128" s="421"/>
      <c r="C128" s="266" t="s">
        <v>198</v>
      </c>
      <c r="D128" s="266" t="s">
        <v>529</v>
      </c>
      <c r="E128" s="266" t="s">
        <v>732</v>
      </c>
      <c r="F128" s="266" t="str">
        <f>+D128&amp;" "&amp;E128</f>
        <v>Ammonia Logistics total</v>
      </c>
      <c r="G128" s="282" t="s">
        <v>205</v>
      </c>
      <c r="H128" s="266"/>
      <c r="I128" s="423">
        <f t="shared" ref="I128:T128" si="84">I92+I114</f>
        <v>22.147328031378073</v>
      </c>
      <c r="J128" s="423">
        <f t="shared" si="84"/>
        <v>21.599504003621345</v>
      </c>
      <c r="K128" s="423">
        <f t="shared" si="84"/>
        <v>21.403004073815065</v>
      </c>
      <c r="L128" s="423">
        <f t="shared" si="84"/>
        <v>21.269445205842768</v>
      </c>
      <c r="M128" s="423">
        <f t="shared" si="84"/>
        <v>21.201540641531953</v>
      </c>
      <c r="N128" s="423">
        <f t="shared" si="84"/>
        <v>21.130463025469385</v>
      </c>
      <c r="O128" s="423">
        <f t="shared" si="84"/>
        <v>21.097867772857835</v>
      </c>
      <c r="P128" s="423">
        <f t="shared" si="84"/>
        <v>21.097867772857835</v>
      </c>
      <c r="Q128" s="423">
        <f t="shared" si="84"/>
        <v>21.097867772857835</v>
      </c>
      <c r="R128" s="423">
        <f t="shared" si="84"/>
        <v>21.097867772857835</v>
      </c>
      <c r="S128" s="423">
        <f t="shared" si="84"/>
        <v>21.097867772857835</v>
      </c>
      <c r="T128" s="423">
        <f t="shared" si="84"/>
        <v>21.097867772857835</v>
      </c>
    </row>
    <row r="129" spans="1:28" x14ac:dyDescent="0.2">
      <c r="A129" s="421" t="str">
        <f t="shared" si="56"/>
        <v>Ammonia - Middle East - Logistics total - USD/ton</v>
      </c>
      <c r="B129" s="421"/>
      <c r="C129" s="266" t="s">
        <v>197</v>
      </c>
      <c r="D129" s="266" t="s">
        <v>529</v>
      </c>
      <c r="E129" s="266" t="s">
        <v>732</v>
      </c>
      <c r="F129" s="266" t="str">
        <f>+D129&amp;" "&amp;E129</f>
        <v>Ammonia Logistics total</v>
      </c>
      <c r="G129" s="282" t="s">
        <v>205</v>
      </c>
      <c r="H129" s="266"/>
      <c r="I129" s="423">
        <f t="shared" ref="I129:T129" si="85">I93+I115</f>
        <v>21.376656126395858</v>
      </c>
      <c r="J129" s="423">
        <f t="shared" si="85"/>
        <v>21.219834542820873</v>
      </c>
      <c r="K129" s="423">
        <f t="shared" si="85"/>
        <v>21.116004285418359</v>
      </c>
      <c r="L129" s="423">
        <f t="shared" si="85"/>
        <v>21.042791988975022</v>
      </c>
      <c r="M129" s="423">
        <f t="shared" si="85"/>
        <v>21.006084113367464</v>
      </c>
      <c r="N129" s="423">
        <f t="shared" si="85"/>
        <v>20.957945550026665</v>
      </c>
      <c r="O129" s="423">
        <f t="shared" si="85"/>
        <v>20.935415192266348</v>
      </c>
      <c r="P129" s="423">
        <f t="shared" si="85"/>
        <v>20.935415192266348</v>
      </c>
      <c r="Q129" s="423">
        <f t="shared" si="85"/>
        <v>20.935415192266348</v>
      </c>
      <c r="R129" s="423">
        <f t="shared" si="85"/>
        <v>20.935415192266348</v>
      </c>
      <c r="S129" s="423">
        <f t="shared" si="85"/>
        <v>20.935415192266348</v>
      </c>
      <c r="T129" s="423">
        <f t="shared" si="85"/>
        <v>20.935415192266348</v>
      </c>
    </row>
    <row r="130" spans="1:28" x14ac:dyDescent="0.2">
      <c r="A130" s="421" t="str">
        <f t="shared" si="56"/>
        <v>Ammonia - Americas - Logistics total - USD/ton</v>
      </c>
      <c r="B130" s="421"/>
      <c r="C130" s="266" t="s">
        <v>199</v>
      </c>
      <c r="D130" s="266" t="s">
        <v>529</v>
      </c>
      <c r="E130" s="266" t="s">
        <v>732</v>
      </c>
      <c r="F130" s="266" t="str">
        <f>+D130&amp;" "&amp;E130</f>
        <v>Ammonia Logistics total</v>
      </c>
      <c r="G130" s="282" t="s">
        <v>205</v>
      </c>
      <c r="H130" s="266"/>
      <c r="I130" s="423">
        <f t="shared" ref="I130:T130" si="86">I94+I116</f>
        <v>21.319926813672996</v>
      </c>
      <c r="J130" s="423">
        <f t="shared" si="86"/>
        <v>21.24699421925644</v>
      </c>
      <c r="K130" s="423">
        <f t="shared" si="86"/>
        <v>21.123709495758632</v>
      </c>
      <c r="L130" s="423">
        <f t="shared" si="86"/>
        <v>21.064381926905885</v>
      </c>
      <c r="M130" s="423">
        <f t="shared" si="86"/>
        <v>21.016289540269057</v>
      </c>
      <c r="N130" s="423">
        <f t="shared" si="86"/>
        <v>20.996914648365657</v>
      </c>
      <c r="O130" s="423">
        <f t="shared" si="86"/>
        <v>20.982297663789598</v>
      </c>
      <c r="P130" s="423">
        <f t="shared" si="86"/>
        <v>20.982297663789598</v>
      </c>
      <c r="Q130" s="423">
        <f t="shared" si="86"/>
        <v>20.982297663789598</v>
      </c>
      <c r="R130" s="423">
        <f t="shared" si="86"/>
        <v>20.982297663789598</v>
      </c>
      <c r="S130" s="423">
        <f t="shared" si="86"/>
        <v>20.982297663789598</v>
      </c>
      <c r="T130" s="423">
        <f t="shared" si="86"/>
        <v>20.982297663789598</v>
      </c>
    </row>
    <row r="131" spans="1:28" x14ac:dyDescent="0.2">
      <c r="A131" s="421" t="str">
        <f t="shared" si="56"/>
        <v>Ammonia - Africa&amp;Other - Logistics total - USD/ton</v>
      </c>
      <c r="B131" s="421"/>
      <c r="C131" s="266" t="s">
        <v>498</v>
      </c>
      <c r="D131" s="266" t="s">
        <v>529</v>
      </c>
      <c r="E131" s="266" t="s">
        <v>732</v>
      </c>
      <c r="F131" s="266" t="str">
        <f>+D131&amp;" "&amp;E131</f>
        <v>Ammonia Logistics total</v>
      </c>
      <c r="G131" s="282" t="s">
        <v>205</v>
      </c>
      <c r="H131" s="266"/>
      <c r="I131" s="423">
        <f t="shared" ref="I131:T131" si="87">I95+I117</f>
        <v>22.087764993513943</v>
      </c>
      <c r="J131" s="423">
        <f t="shared" si="87"/>
        <v>21.429562374665508</v>
      </c>
      <c r="K131" s="423">
        <f t="shared" si="87"/>
        <v>21.246077976869497</v>
      </c>
      <c r="L131" s="423">
        <f t="shared" si="87"/>
        <v>21.143656751528301</v>
      </c>
      <c r="M131" s="423">
        <f t="shared" si="87"/>
        <v>21.095448763757808</v>
      </c>
      <c r="N131" s="423">
        <f t="shared" si="87"/>
        <v>21.045877880717679</v>
      </c>
      <c r="O131" s="423">
        <f t="shared" si="87"/>
        <v>21.021547163740607</v>
      </c>
      <c r="P131" s="423">
        <f t="shared" si="87"/>
        <v>21.021547163740607</v>
      </c>
      <c r="Q131" s="423">
        <f t="shared" si="87"/>
        <v>21.021547163740607</v>
      </c>
      <c r="R131" s="423">
        <f t="shared" si="87"/>
        <v>21.021547163740607</v>
      </c>
      <c r="S131" s="423">
        <f t="shared" si="87"/>
        <v>21.021547163740607</v>
      </c>
      <c r="T131" s="423">
        <f t="shared" si="87"/>
        <v>21.021547163740607</v>
      </c>
    </row>
    <row r="133" spans="1:28" x14ac:dyDescent="0.2">
      <c r="A133" s="418" t="s">
        <v>530</v>
      </c>
      <c r="B133" s="31"/>
      <c r="C133" s="418" t="str">
        <f>+A133</f>
        <v>Methanol</v>
      </c>
      <c r="D133" s="419"/>
      <c r="E133" s="419"/>
      <c r="F133" s="419"/>
      <c r="G133" s="420"/>
      <c r="H133" s="419"/>
      <c r="I133" s="419"/>
      <c r="J133" s="419"/>
      <c r="K133" s="419"/>
      <c r="L133" s="419"/>
      <c r="M133" s="419"/>
      <c r="N133" s="419"/>
      <c r="O133" s="419"/>
      <c r="P133" s="419"/>
      <c r="Q133" s="419"/>
      <c r="R133" s="419"/>
      <c r="S133" s="419"/>
      <c r="T133" s="419"/>
    </row>
    <row r="134" spans="1:28" x14ac:dyDescent="0.2">
      <c r="A134" s="421" t="str">
        <f t="shared" ref="A134:A187" si="88">_xlfn.TEXTJOIN(keydelim,TRUE,D134,C134,E134,G134)</f>
        <v/>
      </c>
      <c r="B134" s="421"/>
    </row>
    <row r="135" spans="1:28" ht="14.25" hidden="1" outlineLevel="1" x14ac:dyDescent="0.2">
      <c r="A135" s="421" t="str">
        <f t="shared" si="88"/>
        <v>Methanol - Global - Transportation - USD/m3/year</v>
      </c>
      <c r="B135" s="421"/>
      <c r="C135" t="s">
        <v>109</v>
      </c>
      <c r="D135" t="s">
        <v>530</v>
      </c>
      <c r="E135" t="s">
        <v>735</v>
      </c>
      <c r="F135" s="3" t="s">
        <v>779</v>
      </c>
      <c r="G135" s="224" t="s">
        <v>737</v>
      </c>
      <c r="H135" s="93"/>
      <c r="I135" s="424">
        <v>200</v>
      </c>
      <c r="J135" s="118">
        <f t="shared" ref="J135:O135" si="89">I135*(1+V135)^5</f>
        <v>200</v>
      </c>
      <c r="K135" s="118">
        <f t="shared" si="89"/>
        <v>200</v>
      </c>
      <c r="L135" s="118">
        <f t="shared" si="89"/>
        <v>200</v>
      </c>
      <c r="M135" s="118">
        <f t="shared" si="89"/>
        <v>200</v>
      </c>
      <c r="N135" s="118">
        <f t="shared" si="89"/>
        <v>200</v>
      </c>
      <c r="O135" s="118">
        <f t="shared" si="89"/>
        <v>200</v>
      </c>
      <c r="P135" s="118">
        <f>O135</f>
        <v>200</v>
      </c>
      <c r="Q135" s="118">
        <f>P135</f>
        <v>200</v>
      </c>
      <c r="R135" s="118">
        <f>Q135</f>
        <v>200</v>
      </c>
      <c r="S135" s="118">
        <f>R135</f>
        <v>200</v>
      </c>
      <c r="T135" s="118">
        <f>S135</f>
        <v>200</v>
      </c>
      <c r="V135" s="213">
        <v>0</v>
      </c>
      <c r="W135" s="213">
        <f t="shared" ref="W135:AB135" si="90">+V135</f>
        <v>0</v>
      </c>
      <c r="X135" s="213">
        <f t="shared" si="90"/>
        <v>0</v>
      </c>
      <c r="Y135" s="213">
        <f>+X135</f>
        <v>0</v>
      </c>
      <c r="Z135" s="213">
        <f t="shared" si="90"/>
        <v>0</v>
      </c>
      <c r="AA135" s="213">
        <f t="shared" si="90"/>
        <v>0</v>
      </c>
      <c r="AB135" s="213">
        <f t="shared" si="90"/>
        <v>0</v>
      </c>
    </row>
    <row r="136" spans="1:28" hidden="1" outlineLevel="1" x14ac:dyDescent="0.2">
      <c r="A136" s="421" t="str">
        <f t="shared" si="88"/>
        <v>Methanol - Global - Transportation - Knots</v>
      </c>
      <c r="B136" s="421"/>
      <c r="C136" t="s">
        <v>109</v>
      </c>
      <c r="D136" t="s">
        <v>530</v>
      </c>
      <c r="E136" t="s">
        <v>735</v>
      </c>
      <c r="F136" s="3" t="s">
        <v>739</v>
      </c>
      <c r="G136" s="224" t="s">
        <v>740</v>
      </c>
      <c r="H136" s="93"/>
      <c r="I136" s="118">
        <f>+I16</f>
        <v>12</v>
      </c>
      <c r="J136" s="118">
        <v>12</v>
      </c>
      <c r="K136" s="118">
        <v>12</v>
      </c>
      <c r="L136" s="118">
        <v>12</v>
      </c>
      <c r="M136" s="118">
        <v>12</v>
      </c>
      <c r="N136" s="118">
        <v>12</v>
      </c>
      <c r="O136" s="118">
        <v>12</v>
      </c>
      <c r="P136" s="118">
        <v>12</v>
      </c>
      <c r="Q136" s="118">
        <v>12</v>
      </c>
      <c r="R136" s="118">
        <v>12</v>
      </c>
      <c r="S136" s="118">
        <v>12</v>
      </c>
      <c r="T136" s="118">
        <v>12</v>
      </c>
    </row>
    <row r="137" spans="1:28" ht="14.25" hidden="1" outlineLevel="1" x14ac:dyDescent="0.2">
      <c r="A137" s="421"/>
      <c r="B137" s="421"/>
      <c r="C137" t="s">
        <v>109</v>
      </c>
      <c r="D137" t="str">
        <f>+D136</f>
        <v>Methanol</v>
      </c>
      <c r="E137" t="s">
        <v>735</v>
      </c>
      <c r="F137" s="3" t="s">
        <v>741</v>
      </c>
      <c r="G137" s="224" t="s">
        <v>742</v>
      </c>
      <c r="H137" s="93"/>
      <c r="I137" s="119">
        <f>+I$17</f>
        <v>0.375</v>
      </c>
      <c r="J137" s="119">
        <f t="shared" ref="J137:O137" si="91">+J$17</f>
        <v>0.26088313848749989</v>
      </c>
      <c r="K137" s="119">
        <f t="shared" si="91"/>
        <v>0.1814933651922348</v>
      </c>
      <c r="L137" s="119">
        <f t="shared" si="91"/>
        <v>0.12626282326935517</v>
      </c>
      <c r="M137" s="119">
        <f t="shared" si="91"/>
        <v>8.7839577623471762E-2</v>
      </c>
      <c r="N137" s="119">
        <f t="shared" si="91"/>
        <v>6.1108972516873819E-2</v>
      </c>
      <c r="O137" s="119">
        <f t="shared" si="91"/>
        <v>4.2512801439862448E-2</v>
      </c>
      <c r="P137" s="118"/>
      <c r="Q137" s="118"/>
      <c r="R137" s="118"/>
      <c r="S137" s="118"/>
      <c r="T137" s="118"/>
      <c r="V137" s="213">
        <v>-7.0000000000000007E-2</v>
      </c>
      <c r="W137" s="213">
        <f t="shared" ref="W137:AB137" si="92">+V137</f>
        <v>-7.0000000000000007E-2</v>
      </c>
      <c r="X137" s="213">
        <f t="shared" si="92"/>
        <v>-7.0000000000000007E-2</v>
      </c>
      <c r="Y137" s="213">
        <f>+X137</f>
        <v>-7.0000000000000007E-2</v>
      </c>
      <c r="Z137" s="213">
        <f t="shared" si="92"/>
        <v>-7.0000000000000007E-2</v>
      </c>
      <c r="AA137" s="213">
        <f t="shared" si="92"/>
        <v>-7.0000000000000007E-2</v>
      </c>
      <c r="AB137" s="213">
        <f t="shared" si="92"/>
        <v>-7.0000000000000007E-2</v>
      </c>
    </row>
    <row r="138" spans="1:28" hidden="1" outlineLevel="1" x14ac:dyDescent="0.2">
      <c r="A138" s="421" t="str">
        <f t="shared" si="88"/>
        <v>Grey and e-Methanol - Global - Transportation - -</v>
      </c>
      <c r="B138" s="421"/>
      <c r="C138" t="s">
        <v>109</v>
      </c>
      <c r="D138" t="s">
        <v>780</v>
      </c>
      <c r="E138" t="s">
        <v>735</v>
      </c>
      <c r="F138" s="3" t="s">
        <v>744</v>
      </c>
      <c r="G138" s="425" t="s">
        <v>620</v>
      </c>
      <c r="H138" s="93"/>
      <c r="I138" s="118">
        <f>+I18</f>
        <v>7</v>
      </c>
      <c r="J138" s="118">
        <f>I138</f>
        <v>7</v>
      </c>
      <c r="K138" s="118">
        <f t="shared" ref="K138:T139" si="93">J138</f>
        <v>7</v>
      </c>
      <c r="L138" s="118">
        <f t="shared" si="93"/>
        <v>7</v>
      </c>
      <c r="M138" s="118">
        <f t="shared" si="93"/>
        <v>7</v>
      </c>
      <c r="N138" s="118">
        <f t="shared" si="93"/>
        <v>7</v>
      </c>
      <c r="O138" s="118">
        <f t="shared" si="93"/>
        <v>7</v>
      </c>
      <c r="P138" s="118">
        <f t="shared" si="93"/>
        <v>7</v>
      </c>
      <c r="Q138" s="118">
        <f t="shared" si="93"/>
        <v>7</v>
      </c>
      <c r="R138" s="118">
        <f t="shared" si="93"/>
        <v>7</v>
      </c>
      <c r="S138" s="118">
        <f t="shared" si="93"/>
        <v>7</v>
      </c>
      <c r="T138" s="118">
        <f t="shared" si="93"/>
        <v>7</v>
      </c>
    </row>
    <row r="139" spans="1:28" hidden="1" outlineLevel="1" x14ac:dyDescent="0.2">
      <c r="A139" s="421" t="str">
        <f t="shared" si="88"/>
        <v>Bio Methanol - Global - Transportation - -</v>
      </c>
      <c r="B139" s="421"/>
      <c r="C139" t="s">
        <v>109</v>
      </c>
      <c r="D139" t="s">
        <v>781</v>
      </c>
      <c r="E139" t="s">
        <v>735</v>
      </c>
      <c r="F139" s="3" t="s">
        <v>744</v>
      </c>
      <c r="G139" s="425" t="s">
        <v>620</v>
      </c>
      <c r="H139" s="93"/>
      <c r="I139" s="118">
        <f>+I19</f>
        <v>10</v>
      </c>
      <c r="J139" s="118">
        <f>I139</f>
        <v>10</v>
      </c>
      <c r="K139" s="118">
        <f t="shared" si="93"/>
        <v>10</v>
      </c>
      <c r="L139" s="118">
        <f t="shared" si="93"/>
        <v>10</v>
      </c>
      <c r="M139" s="118">
        <f t="shared" si="93"/>
        <v>10</v>
      </c>
      <c r="N139" s="118">
        <f t="shared" si="93"/>
        <v>10</v>
      </c>
      <c r="O139" s="118">
        <f t="shared" si="93"/>
        <v>10</v>
      </c>
      <c r="P139" s="118">
        <f t="shared" si="93"/>
        <v>10</v>
      </c>
      <c r="Q139" s="118">
        <f t="shared" si="93"/>
        <v>10</v>
      </c>
      <c r="R139" s="118">
        <f t="shared" si="93"/>
        <v>10</v>
      </c>
      <c r="S139" s="118">
        <f t="shared" si="93"/>
        <v>10</v>
      </c>
      <c r="T139" s="118">
        <f t="shared" si="93"/>
        <v>10</v>
      </c>
    </row>
    <row r="140" spans="1:28" hidden="1" outlineLevel="1" x14ac:dyDescent="0.2">
      <c r="A140" s="421" t="str">
        <f t="shared" si="88"/>
        <v>Grey and e-Methanol - Global - Transportation - km</v>
      </c>
      <c r="B140" s="421"/>
      <c r="C140" t="s">
        <v>109</v>
      </c>
      <c r="D140" t="s">
        <v>780</v>
      </c>
      <c r="E140" t="s">
        <v>735</v>
      </c>
      <c r="F140" s="3" t="s">
        <v>747</v>
      </c>
      <c r="G140" s="425" t="s">
        <v>748</v>
      </c>
      <c r="H140" s="93"/>
      <c r="I140" s="118">
        <f t="shared" ref="I140:T140" si="94">I136*kmh_per_knot*I138*24</f>
        <v>3733.6320000000005</v>
      </c>
      <c r="J140" s="118">
        <f t="shared" si="94"/>
        <v>3733.6320000000005</v>
      </c>
      <c r="K140" s="118">
        <f t="shared" si="94"/>
        <v>3733.6320000000005</v>
      </c>
      <c r="L140" s="118">
        <f t="shared" si="94"/>
        <v>3733.6320000000005</v>
      </c>
      <c r="M140" s="118">
        <f t="shared" si="94"/>
        <v>3733.6320000000005</v>
      </c>
      <c r="N140" s="118">
        <f t="shared" si="94"/>
        <v>3733.6320000000005</v>
      </c>
      <c r="O140" s="118">
        <f t="shared" si="94"/>
        <v>3733.6320000000005</v>
      </c>
      <c r="P140" s="118">
        <f t="shared" si="94"/>
        <v>3733.6320000000005</v>
      </c>
      <c r="Q140" s="118">
        <f t="shared" si="94"/>
        <v>3733.6320000000005</v>
      </c>
      <c r="R140" s="118">
        <f t="shared" si="94"/>
        <v>3733.6320000000005</v>
      </c>
      <c r="S140" s="118">
        <f t="shared" si="94"/>
        <v>3733.6320000000005</v>
      </c>
      <c r="T140" s="118">
        <f t="shared" si="94"/>
        <v>3733.6320000000005</v>
      </c>
    </row>
    <row r="141" spans="1:28" hidden="1" outlineLevel="1" x14ac:dyDescent="0.2">
      <c r="A141" s="421" t="str">
        <f t="shared" si="88"/>
        <v>Bio Methanol - Global - Transportation - km</v>
      </c>
      <c r="B141" s="421"/>
      <c r="C141" t="s">
        <v>109</v>
      </c>
      <c r="D141" t="s">
        <v>781</v>
      </c>
      <c r="E141" t="s">
        <v>735</v>
      </c>
      <c r="F141" s="3" t="s">
        <v>747</v>
      </c>
      <c r="G141" s="425" t="s">
        <v>748</v>
      </c>
      <c r="H141" s="93"/>
      <c r="I141" s="118">
        <f t="shared" ref="I141:T141" si="95">I136*kmh_per_knot*I139*24</f>
        <v>5333.76</v>
      </c>
      <c r="J141" s="118">
        <f t="shared" si="95"/>
        <v>5333.76</v>
      </c>
      <c r="K141" s="118">
        <f t="shared" si="95"/>
        <v>5333.76</v>
      </c>
      <c r="L141" s="118">
        <f t="shared" si="95"/>
        <v>5333.76</v>
      </c>
      <c r="M141" s="118">
        <f t="shared" si="95"/>
        <v>5333.76</v>
      </c>
      <c r="N141" s="118">
        <f t="shared" si="95"/>
        <v>5333.76</v>
      </c>
      <c r="O141" s="118">
        <f t="shared" si="95"/>
        <v>5333.76</v>
      </c>
      <c r="P141" s="118">
        <f t="shared" si="95"/>
        <v>5333.76</v>
      </c>
      <c r="Q141" s="118">
        <f t="shared" si="95"/>
        <v>5333.76</v>
      </c>
      <c r="R141" s="118">
        <f t="shared" si="95"/>
        <v>5333.76</v>
      </c>
      <c r="S141" s="118">
        <f t="shared" si="95"/>
        <v>5333.76</v>
      </c>
      <c r="T141" s="118">
        <f t="shared" si="95"/>
        <v>5333.76</v>
      </c>
    </row>
    <row r="142" spans="1:28" hidden="1" outlineLevel="1" x14ac:dyDescent="0.2">
      <c r="A142" s="421" t="str">
        <f t="shared" si="88"/>
        <v>Methanol - Global - Transportation - %</v>
      </c>
      <c r="B142" s="421"/>
      <c r="C142" t="s">
        <v>109</v>
      </c>
      <c r="D142" t="s">
        <v>530</v>
      </c>
      <c r="E142" t="s">
        <v>735</v>
      </c>
      <c r="F142" s="3" t="s">
        <v>750</v>
      </c>
      <c r="G142" s="425" t="s">
        <v>178</v>
      </c>
      <c r="H142" s="93"/>
      <c r="I142" s="90">
        <f>+I22</f>
        <v>0.4</v>
      </c>
      <c r="J142" s="90">
        <f>+I142</f>
        <v>0.4</v>
      </c>
      <c r="K142" s="90">
        <f t="shared" ref="K142:T142" si="96">+J142</f>
        <v>0.4</v>
      </c>
      <c r="L142" s="90">
        <f t="shared" si="96"/>
        <v>0.4</v>
      </c>
      <c r="M142" s="90">
        <f t="shared" si="96"/>
        <v>0.4</v>
      </c>
      <c r="N142" s="90">
        <f t="shared" si="96"/>
        <v>0.4</v>
      </c>
      <c r="O142" s="90">
        <f t="shared" si="96"/>
        <v>0.4</v>
      </c>
      <c r="P142" s="90">
        <f t="shared" si="96"/>
        <v>0.4</v>
      </c>
      <c r="Q142" s="90">
        <f t="shared" si="96"/>
        <v>0.4</v>
      </c>
      <c r="R142" s="90">
        <f t="shared" si="96"/>
        <v>0.4</v>
      </c>
      <c r="S142" s="90">
        <f t="shared" si="96"/>
        <v>0.4</v>
      </c>
      <c r="T142" s="90">
        <f t="shared" si="96"/>
        <v>0.4</v>
      </c>
    </row>
    <row r="143" spans="1:28" hidden="1" outlineLevel="1" x14ac:dyDescent="0.2">
      <c r="A143" s="421" t="str">
        <f t="shared" si="88"/>
        <v/>
      </c>
      <c r="B143" s="421"/>
      <c r="F143" s="425"/>
      <c r="G143" s="425"/>
      <c r="H143" s="93"/>
      <c r="I143" s="93"/>
      <c r="J143" s="93"/>
      <c r="K143" s="93"/>
      <c r="L143" s="93"/>
      <c r="M143" s="93"/>
      <c r="N143" s="93"/>
      <c r="O143" s="93"/>
      <c r="P143" s="93"/>
      <c r="Q143" s="93"/>
      <c r="R143" s="93"/>
      <c r="S143" s="93"/>
      <c r="T143" s="93"/>
    </row>
    <row r="144" spans="1:28" hidden="1" outlineLevel="1" x14ac:dyDescent="0.2">
      <c r="A144" s="421" t="str">
        <f t="shared" si="88"/>
        <v>Grey and e-Methanol - Europe - Delivery - USD/ton</v>
      </c>
      <c r="B144" s="421"/>
      <c r="C144" t="s">
        <v>195</v>
      </c>
      <c r="D144" t="s">
        <v>780</v>
      </c>
      <c r="E144" t="s">
        <v>751</v>
      </c>
      <c r="F144" t="str">
        <f>+D144&amp;" "&amp;E144</f>
        <v>Grey and e-Methanol Delivery</v>
      </c>
      <c r="G144" s="224" t="s">
        <v>205</v>
      </c>
      <c r="H144" s="93"/>
      <c r="I144" s="93">
        <f t="shared" ref="I144:T148" si="97">I$135/365*I$138/I$142/I$156*1000</f>
        <v>12.107375121073749</v>
      </c>
      <c r="J144" s="93">
        <f t="shared" si="97"/>
        <v>12.107375121073749</v>
      </c>
      <c r="K144" s="93">
        <f t="shared" si="97"/>
        <v>12.107375121073749</v>
      </c>
      <c r="L144" s="93">
        <f t="shared" si="97"/>
        <v>12.107375121073749</v>
      </c>
      <c r="M144" s="93">
        <f t="shared" si="97"/>
        <v>12.107375121073749</v>
      </c>
      <c r="N144" s="93">
        <f t="shared" si="97"/>
        <v>12.107375121073749</v>
      </c>
      <c r="O144" s="93">
        <f t="shared" si="97"/>
        <v>12.107375121073749</v>
      </c>
      <c r="P144" s="93">
        <f t="shared" si="97"/>
        <v>12.107375121073749</v>
      </c>
      <c r="Q144" s="93">
        <f t="shared" si="97"/>
        <v>12.107375121073749</v>
      </c>
      <c r="R144" s="93">
        <f t="shared" si="97"/>
        <v>12.107375121073749</v>
      </c>
      <c r="S144" s="93">
        <f t="shared" si="97"/>
        <v>12.107375121073749</v>
      </c>
      <c r="T144" s="93">
        <f t="shared" si="97"/>
        <v>12.107375121073749</v>
      </c>
    </row>
    <row r="145" spans="1:28" hidden="1" outlineLevel="1" x14ac:dyDescent="0.2">
      <c r="A145" s="421" t="str">
        <f t="shared" si="88"/>
        <v>Grey and e-Methanol - Asia - Delivery - USD/ton</v>
      </c>
      <c r="B145" s="421"/>
      <c r="C145" t="s">
        <v>198</v>
      </c>
      <c r="D145" t="s">
        <v>780</v>
      </c>
      <c r="E145" t="s">
        <v>751</v>
      </c>
      <c r="F145" t="str">
        <f>+D145&amp;" "&amp;E145</f>
        <v>Grey and e-Methanol Delivery</v>
      </c>
      <c r="G145" s="224" t="s">
        <v>205</v>
      </c>
      <c r="H145" s="93"/>
      <c r="I145" s="93">
        <f t="shared" si="97"/>
        <v>12.107375121073749</v>
      </c>
      <c r="J145" s="93">
        <f t="shared" si="97"/>
        <v>12.107375121073749</v>
      </c>
      <c r="K145" s="93">
        <f t="shared" si="97"/>
        <v>12.107375121073749</v>
      </c>
      <c r="L145" s="93">
        <f t="shared" si="97"/>
        <v>12.107375121073749</v>
      </c>
      <c r="M145" s="93">
        <f t="shared" si="97"/>
        <v>12.107375121073749</v>
      </c>
      <c r="N145" s="93">
        <f t="shared" si="97"/>
        <v>12.107375121073749</v>
      </c>
      <c r="O145" s="93">
        <f t="shared" si="97"/>
        <v>12.107375121073749</v>
      </c>
      <c r="P145" s="93">
        <f t="shared" si="97"/>
        <v>12.107375121073749</v>
      </c>
      <c r="Q145" s="93">
        <f t="shared" si="97"/>
        <v>12.107375121073749</v>
      </c>
      <c r="R145" s="93">
        <f t="shared" si="97"/>
        <v>12.107375121073749</v>
      </c>
      <c r="S145" s="93">
        <f t="shared" si="97"/>
        <v>12.107375121073749</v>
      </c>
      <c r="T145" s="93">
        <f t="shared" si="97"/>
        <v>12.107375121073749</v>
      </c>
    </row>
    <row r="146" spans="1:28" hidden="1" outlineLevel="1" x14ac:dyDescent="0.2">
      <c r="A146" s="421" t="str">
        <f t="shared" si="88"/>
        <v>Grey and e-Methanol - Middle East - Delivery - USD/ton</v>
      </c>
      <c r="B146" s="421"/>
      <c r="C146" t="s">
        <v>197</v>
      </c>
      <c r="D146" t="s">
        <v>780</v>
      </c>
      <c r="E146" t="s">
        <v>751</v>
      </c>
      <c r="F146" t="str">
        <f>+D146&amp;" "&amp;E146</f>
        <v>Grey and e-Methanol Delivery</v>
      </c>
      <c r="G146" s="224" t="s">
        <v>205</v>
      </c>
      <c r="H146" s="93"/>
      <c r="I146" s="93">
        <f t="shared" si="97"/>
        <v>12.107375121073749</v>
      </c>
      <c r="J146" s="93">
        <f t="shared" si="97"/>
        <v>12.107375121073749</v>
      </c>
      <c r="K146" s="93">
        <f t="shared" si="97"/>
        <v>12.107375121073749</v>
      </c>
      <c r="L146" s="93">
        <f t="shared" si="97"/>
        <v>12.107375121073749</v>
      </c>
      <c r="M146" s="93">
        <f t="shared" si="97"/>
        <v>12.107375121073749</v>
      </c>
      <c r="N146" s="93">
        <f t="shared" si="97"/>
        <v>12.107375121073749</v>
      </c>
      <c r="O146" s="93">
        <f t="shared" si="97"/>
        <v>12.107375121073749</v>
      </c>
      <c r="P146" s="93">
        <f t="shared" si="97"/>
        <v>12.107375121073749</v>
      </c>
      <c r="Q146" s="93">
        <f t="shared" si="97"/>
        <v>12.107375121073749</v>
      </c>
      <c r="R146" s="93">
        <f t="shared" si="97"/>
        <v>12.107375121073749</v>
      </c>
      <c r="S146" s="93">
        <f t="shared" si="97"/>
        <v>12.107375121073749</v>
      </c>
      <c r="T146" s="93">
        <f t="shared" si="97"/>
        <v>12.107375121073749</v>
      </c>
    </row>
    <row r="147" spans="1:28" hidden="1" outlineLevel="1" x14ac:dyDescent="0.2">
      <c r="A147" s="421" t="str">
        <f t="shared" si="88"/>
        <v>Grey and e-Methanol - Americas - Delivery - USD/ton</v>
      </c>
      <c r="B147" s="421"/>
      <c r="C147" t="s">
        <v>199</v>
      </c>
      <c r="D147" t="s">
        <v>780</v>
      </c>
      <c r="E147" t="s">
        <v>751</v>
      </c>
      <c r="F147" t="str">
        <f>+D147&amp;" "&amp;E147</f>
        <v>Grey and e-Methanol Delivery</v>
      </c>
      <c r="G147" s="224" t="s">
        <v>205</v>
      </c>
      <c r="H147" s="93"/>
      <c r="I147" s="93">
        <f t="shared" si="97"/>
        <v>12.107375121073749</v>
      </c>
      <c r="J147" s="93">
        <f t="shared" si="97"/>
        <v>12.107375121073749</v>
      </c>
      <c r="K147" s="93">
        <f t="shared" si="97"/>
        <v>12.107375121073749</v>
      </c>
      <c r="L147" s="93">
        <f t="shared" si="97"/>
        <v>12.107375121073749</v>
      </c>
      <c r="M147" s="93">
        <f t="shared" si="97"/>
        <v>12.107375121073749</v>
      </c>
      <c r="N147" s="93">
        <f t="shared" si="97"/>
        <v>12.107375121073749</v>
      </c>
      <c r="O147" s="93">
        <f t="shared" si="97"/>
        <v>12.107375121073749</v>
      </c>
      <c r="P147" s="93">
        <f t="shared" si="97"/>
        <v>12.107375121073749</v>
      </c>
      <c r="Q147" s="93">
        <f t="shared" si="97"/>
        <v>12.107375121073749</v>
      </c>
      <c r="R147" s="93">
        <f t="shared" si="97"/>
        <v>12.107375121073749</v>
      </c>
      <c r="S147" s="93">
        <f t="shared" si="97"/>
        <v>12.107375121073749</v>
      </c>
      <c r="T147" s="93">
        <f t="shared" si="97"/>
        <v>12.107375121073749</v>
      </c>
    </row>
    <row r="148" spans="1:28" hidden="1" outlineLevel="1" x14ac:dyDescent="0.2">
      <c r="A148" s="421" t="str">
        <f t="shared" si="88"/>
        <v>Grey and e-Methanol - Africa&amp;Other - Delivery - USD/ton</v>
      </c>
      <c r="B148" s="421"/>
      <c r="C148" t="s">
        <v>498</v>
      </c>
      <c r="D148" t="s">
        <v>780</v>
      </c>
      <c r="E148" t="s">
        <v>751</v>
      </c>
      <c r="F148" t="str">
        <f>+D148&amp;" "&amp;E148</f>
        <v>Grey and e-Methanol Delivery</v>
      </c>
      <c r="G148" s="224" t="s">
        <v>205</v>
      </c>
      <c r="H148" s="93"/>
      <c r="I148" s="93">
        <f t="shared" si="97"/>
        <v>12.107375121073749</v>
      </c>
      <c r="J148" s="93">
        <f t="shared" si="97"/>
        <v>12.107375121073749</v>
      </c>
      <c r="K148" s="93">
        <f t="shared" si="97"/>
        <v>12.107375121073749</v>
      </c>
      <c r="L148" s="93">
        <f t="shared" si="97"/>
        <v>12.107375121073749</v>
      </c>
      <c r="M148" s="93">
        <f t="shared" si="97"/>
        <v>12.107375121073749</v>
      </c>
      <c r="N148" s="93">
        <f t="shared" si="97"/>
        <v>12.107375121073749</v>
      </c>
      <c r="O148" s="93">
        <f t="shared" si="97"/>
        <v>12.107375121073749</v>
      </c>
      <c r="P148" s="93">
        <f t="shared" si="97"/>
        <v>12.107375121073749</v>
      </c>
      <c r="Q148" s="93">
        <f t="shared" si="97"/>
        <v>12.107375121073749</v>
      </c>
      <c r="R148" s="93">
        <f t="shared" si="97"/>
        <v>12.107375121073749</v>
      </c>
      <c r="S148" s="93">
        <f t="shared" si="97"/>
        <v>12.107375121073749</v>
      </c>
      <c r="T148" s="93">
        <f t="shared" si="97"/>
        <v>12.107375121073749</v>
      </c>
    </row>
    <row r="149" spans="1:28" hidden="1" outlineLevel="1" x14ac:dyDescent="0.2">
      <c r="A149" s="421" t="str">
        <f t="shared" si="88"/>
        <v/>
      </c>
      <c r="B149" s="421"/>
      <c r="H149" s="93"/>
      <c r="I149" s="93"/>
      <c r="J149" s="93"/>
      <c r="K149" s="93"/>
      <c r="L149" s="93"/>
      <c r="M149" s="93"/>
      <c r="N149" s="93"/>
      <c r="O149" s="93"/>
      <c r="P149" s="93"/>
      <c r="Q149" s="93"/>
      <c r="R149" s="93"/>
      <c r="S149" s="93"/>
      <c r="T149" s="93"/>
    </row>
    <row r="150" spans="1:28" hidden="1" outlineLevel="1" x14ac:dyDescent="0.2">
      <c r="A150" s="421" t="str">
        <f t="shared" si="88"/>
        <v>Biomethanol - Europe - Delivery - USD/ton</v>
      </c>
      <c r="B150" s="421"/>
      <c r="C150" t="s">
        <v>195</v>
      </c>
      <c r="D150" t="s">
        <v>586</v>
      </c>
      <c r="E150" t="s">
        <v>751</v>
      </c>
      <c r="F150" t="str">
        <f>+D150&amp;" "&amp;E150</f>
        <v>Biomethanol Delivery</v>
      </c>
      <c r="G150" s="224" t="s">
        <v>205</v>
      </c>
      <c r="H150" s="93"/>
      <c r="I150" s="93">
        <f t="shared" ref="I150:T154" si="98">I$135/365*I$139/I$142/I$156*1000</f>
        <v>17.296250172962498</v>
      </c>
      <c r="J150" s="93">
        <f t="shared" si="98"/>
        <v>17.296250172962498</v>
      </c>
      <c r="K150" s="93">
        <f t="shared" si="98"/>
        <v>17.296250172962498</v>
      </c>
      <c r="L150" s="93">
        <f t="shared" si="98"/>
        <v>17.296250172962498</v>
      </c>
      <c r="M150" s="93">
        <f t="shared" si="98"/>
        <v>17.296250172962498</v>
      </c>
      <c r="N150" s="93">
        <f t="shared" si="98"/>
        <v>17.296250172962498</v>
      </c>
      <c r="O150" s="93">
        <f t="shared" si="98"/>
        <v>17.296250172962498</v>
      </c>
      <c r="P150" s="93">
        <f t="shared" si="98"/>
        <v>17.296250172962498</v>
      </c>
      <c r="Q150" s="93">
        <f t="shared" si="98"/>
        <v>17.296250172962498</v>
      </c>
      <c r="R150" s="93">
        <f t="shared" si="98"/>
        <v>17.296250172962498</v>
      </c>
      <c r="S150" s="93">
        <f t="shared" si="98"/>
        <v>17.296250172962498</v>
      </c>
      <c r="T150" s="93">
        <f t="shared" si="98"/>
        <v>17.296250172962498</v>
      </c>
    </row>
    <row r="151" spans="1:28" hidden="1" outlineLevel="1" x14ac:dyDescent="0.2">
      <c r="A151" s="421" t="str">
        <f t="shared" si="88"/>
        <v>Biomethanol - Asia - Delivery - USD/ton</v>
      </c>
      <c r="B151" s="421"/>
      <c r="C151" t="s">
        <v>198</v>
      </c>
      <c r="D151" t="s">
        <v>586</v>
      </c>
      <c r="E151" t="s">
        <v>751</v>
      </c>
      <c r="F151" t="str">
        <f>+D151&amp;" "&amp;E151</f>
        <v>Biomethanol Delivery</v>
      </c>
      <c r="G151" s="224" t="s">
        <v>205</v>
      </c>
      <c r="H151" s="93"/>
      <c r="I151" s="93">
        <f t="shared" si="98"/>
        <v>17.296250172962498</v>
      </c>
      <c r="J151" s="93">
        <f t="shared" si="98"/>
        <v>17.296250172962498</v>
      </c>
      <c r="K151" s="93">
        <f t="shared" si="98"/>
        <v>17.296250172962498</v>
      </c>
      <c r="L151" s="93">
        <f t="shared" si="98"/>
        <v>17.296250172962498</v>
      </c>
      <c r="M151" s="93">
        <f t="shared" si="98"/>
        <v>17.296250172962498</v>
      </c>
      <c r="N151" s="93">
        <f t="shared" si="98"/>
        <v>17.296250172962498</v>
      </c>
      <c r="O151" s="93">
        <f t="shared" si="98"/>
        <v>17.296250172962498</v>
      </c>
      <c r="P151" s="93">
        <f t="shared" si="98"/>
        <v>17.296250172962498</v>
      </c>
      <c r="Q151" s="93">
        <f t="shared" si="98"/>
        <v>17.296250172962498</v>
      </c>
      <c r="R151" s="93">
        <f t="shared" si="98"/>
        <v>17.296250172962498</v>
      </c>
      <c r="S151" s="93">
        <f t="shared" si="98"/>
        <v>17.296250172962498</v>
      </c>
      <c r="T151" s="93">
        <f t="shared" si="98"/>
        <v>17.296250172962498</v>
      </c>
    </row>
    <row r="152" spans="1:28" hidden="1" outlineLevel="1" x14ac:dyDescent="0.2">
      <c r="A152" s="421" t="str">
        <f t="shared" si="88"/>
        <v>Biomethanol - Middle East - Delivery - USD/ton</v>
      </c>
      <c r="B152" s="421"/>
      <c r="C152" t="s">
        <v>197</v>
      </c>
      <c r="D152" t="s">
        <v>586</v>
      </c>
      <c r="E152" t="s">
        <v>751</v>
      </c>
      <c r="F152" t="str">
        <f>+D152&amp;" "&amp;E152</f>
        <v>Biomethanol Delivery</v>
      </c>
      <c r="G152" s="224" t="s">
        <v>205</v>
      </c>
      <c r="H152" s="93"/>
      <c r="I152" s="93">
        <f t="shared" si="98"/>
        <v>17.296250172962498</v>
      </c>
      <c r="J152" s="93">
        <f t="shared" si="98"/>
        <v>17.296250172962498</v>
      </c>
      <c r="K152" s="93">
        <f t="shared" si="98"/>
        <v>17.296250172962498</v>
      </c>
      <c r="L152" s="93">
        <f t="shared" si="98"/>
        <v>17.296250172962498</v>
      </c>
      <c r="M152" s="93">
        <f t="shared" si="98"/>
        <v>17.296250172962498</v>
      </c>
      <c r="N152" s="93">
        <f t="shared" si="98"/>
        <v>17.296250172962498</v>
      </c>
      <c r="O152" s="93">
        <f t="shared" si="98"/>
        <v>17.296250172962498</v>
      </c>
      <c r="P152" s="93">
        <f t="shared" si="98"/>
        <v>17.296250172962498</v>
      </c>
      <c r="Q152" s="93">
        <f t="shared" si="98"/>
        <v>17.296250172962498</v>
      </c>
      <c r="R152" s="93">
        <f t="shared" si="98"/>
        <v>17.296250172962498</v>
      </c>
      <c r="S152" s="93">
        <f t="shared" si="98"/>
        <v>17.296250172962498</v>
      </c>
      <c r="T152" s="93">
        <f t="shared" si="98"/>
        <v>17.296250172962498</v>
      </c>
    </row>
    <row r="153" spans="1:28" hidden="1" outlineLevel="1" x14ac:dyDescent="0.2">
      <c r="A153" s="421" t="str">
        <f t="shared" si="88"/>
        <v>Biomethanol - Americas - Delivery - USD/ton</v>
      </c>
      <c r="B153" s="421"/>
      <c r="C153" t="s">
        <v>199</v>
      </c>
      <c r="D153" t="s">
        <v>586</v>
      </c>
      <c r="E153" t="s">
        <v>751</v>
      </c>
      <c r="F153" t="str">
        <f>+D153&amp;" "&amp;E153</f>
        <v>Biomethanol Delivery</v>
      </c>
      <c r="G153" s="224" t="s">
        <v>205</v>
      </c>
      <c r="H153" s="93"/>
      <c r="I153" s="93">
        <f t="shared" si="98"/>
        <v>17.296250172962498</v>
      </c>
      <c r="J153" s="93">
        <f t="shared" si="98"/>
        <v>17.296250172962498</v>
      </c>
      <c r="K153" s="93">
        <f t="shared" si="98"/>
        <v>17.296250172962498</v>
      </c>
      <c r="L153" s="93">
        <f t="shared" si="98"/>
        <v>17.296250172962498</v>
      </c>
      <c r="M153" s="93">
        <f t="shared" si="98"/>
        <v>17.296250172962498</v>
      </c>
      <c r="N153" s="93">
        <f t="shared" si="98"/>
        <v>17.296250172962498</v>
      </c>
      <c r="O153" s="93">
        <f t="shared" si="98"/>
        <v>17.296250172962498</v>
      </c>
      <c r="P153" s="93">
        <f t="shared" si="98"/>
        <v>17.296250172962498</v>
      </c>
      <c r="Q153" s="93">
        <f t="shared" si="98"/>
        <v>17.296250172962498</v>
      </c>
      <c r="R153" s="93">
        <f t="shared" si="98"/>
        <v>17.296250172962498</v>
      </c>
      <c r="S153" s="93">
        <f t="shared" si="98"/>
        <v>17.296250172962498</v>
      </c>
      <c r="T153" s="93">
        <f t="shared" si="98"/>
        <v>17.296250172962498</v>
      </c>
    </row>
    <row r="154" spans="1:28" hidden="1" outlineLevel="1" x14ac:dyDescent="0.2">
      <c r="A154" s="421" t="str">
        <f t="shared" si="88"/>
        <v>Biomethanol - Africa&amp;Other - Delivery - USD/ton</v>
      </c>
      <c r="B154" s="421"/>
      <c r="C154" t="s">
        <v>498</v>
      </c>
      <c r="D154" t="s">
        <v>586</v>
      </c>
      <c r="E154" t="s">
        <v>751</v>
      </c>
      <c r="F154" t="str">
        <f>+D154&amp;" "&amp;E154</f>
        <v>Biomethanol Delivery</v>
      </c>
      <c r="G154" s="224" t="s">
        <v>205</v>
      </c>
      <c r="H154" s="93"/>
      <c r="I154" s="93">
        <f t="shared" si="98"/>
        <v>17.296250172962498</v>
      </c>
      <c r="J154" s="93">
        <f t="shared" si="98"/>
        <v>17.296250172962498</v>
      </c>
      <c r="K154" s="93">
        <f t="shared" si="98"/>
        <v>17.296250172962498</v>
      </c>
      <c r="L154" s="93">
        <f t="shared" si="98"/>
        <v>17.296250172962498</v>
      </c>
      <c r="M154" s="93">
        <f t="shared" si="98"/>
        <v>17.296250172962498</v>
      </c>
      <c r="N154" s="93">
        <f t="shared" si="98"/>
        <v>17.296250172962498</v>
      </c>
      <c r="O154" s="93">
        <f t="shared" si="98"/>
        <v>17.296250172962498</v>
      </c>
      <c r="P154" s="93">
        <f t="shared" si="98"/>
        <v>17.296250172962498</v>
      </c>
      <c r="Q154" s="93">
        <f t="shared" si="98"/>
        <v>17.296250172962498</v>
      </c>
      <c r="R154" s="93">
        <f t="shared" si="98"/>
        <v>17.296250172962498</v>
      </c>
      <c r="S154" s="93">
        <f t="shared" si="98"/>
        <v>17.296250172962498</v>
      </c>
      <c r="T154" s="93">
        <f t="shared" si="98"/>
        <v>17.296250172962498</v>
      </c>
    </row>
    <row r="155" spans="1:28" hidden="1" outlineLevel="1" x14ac:dyDescent="0.2">
      <c r="A155" s="421" t="str">
        <f t="shared" si="88"/>
        <v/>
      </c>
      <c r="B155" s="421"/>
      <c r="H155" s="93"/>
      <c r="I155" s="95"/>
      <c r="J155" s="95"/>
      <c r="K155" s="95"/>
      <c r="L155" s="95"/>
      <c r="M155" s="95"/>
      <c r="N155" s="95"/>
      <c r="O155" s="95"/>
      <c r="P155" s="95"/>
      <c r="Q155" s="95"/>
      <c r="R155" s="95"/>
      <c r="S155" s="95"/>
      <c r="T155" s="95"/>
    </row>
    <row r="156" spans="1:28" hidden="1" outlineLevel="1" x14ac:dyDescent="0.2">
      <c r="A156" s="421" t="str">
        <f t="shared" si="88"/>
        <v>Methanol - Global - Storage - kg/m3</v>
      </c>
      <c r="B156" s="421"/>
      <c r="C156" t="s">
        <v>109</v>
      </c>
      <c r="D156" t="s">
        <v>530</v>
      </c>
      <c r="E156" t="s">
        <v>765</v>
      </c>
      <c r="F156" s="3" t="s">
        <v>753</v>
      </c>
      <c r="G156" s="224" t="s">
        <v>754</v>
      </c>
      <c r="H156" s="93"/>
      <c r="I156" s="424">
        <v>792</v>
      </c>
      <c r="J156">
        <f>+I156</f>
        <v>792</v>
      </c>
      <c r="K156">
        <f t="shared" ref="K156:T156" si="99">+J156</f>
        <v>792</v>
      </c>
      <c r="L156">
        <f t="shared" si="99"/>
        <v>792</v>
      </c>
      <c r="M156">
        <f t="shared" si="99"/>
        <v>792</v>
      </c>
      <c r="N156">
        <f t="shared" si="99"/>
        <v>792</v>
      </c>
      <c r="O156">
        <f t="shared" si="99"/>
        <v>792</v>
      </c>
      <c r="P156">
        <f t="shared" si="99"/>
        <v>792</v>
      </c>
      <c r="Q156">
        <f t="shared" si="99"/>
        <v>792</v>
      </c>
      <c r="R156">
        <f t="shared" si="99"/>
        <v>792</v>
      </c>
      <c r="S156">
        <f t="shared" si="99"/>
        <v>792</v>
      </c>
      <c r="T156">
        <f t="shared" si="99"/>
        <v>792</v>
      </c>
    </row>
    <row r="157" spans="1:28" ht="14.25" hidden="1" outlineLevel="1" x14ac:dyDescent="0.2">
      <c r="A157" s="421" t="str">
        <f t="shared" si="88"/>
        <v>Methanol - Global - Storage - USD/ton</v>
      </c>
      <c r="B157" s="421"/>
      <c r="C157" t="s">
        <v>109</v>
      </c>
      <c r="D157" t="s">
        <v>530</v>
      </c>
      <c r="E157" t="s">
        <v>765</v>
      </c>
      <c r="F157" s="3" t="s">
        <v>756</v>
      </c>
      <c r="G157" s="224" t="s">
        <v>205</v>
      </c>
      <c r="I157" s="435">
        <f>+'TCO - Input'!S85/I156*1000</f>
        <v>252.52525252525254</v>
      </c>
      <c r="J157" s="435">
        <f>+'TCO - Input'!T85/J156*1000</f>
        <v>252.52525252525254</v>
      </c>
      <c r="K157" s="435">
        <f>+'TCO - Input'!U85/K156*1000</f>
        <v>252.52525252525254</v>
      </c>
      <c r="L157" s="435">
        <f>+'TCO - Input'!V85/L156*1000</f>
        <v>252.52525252525254</v>
      </c>
      <c r="M157" s="435">
        <f>+'TCO - Input'!W85/M156*1000</f>
        <v>252.52525252525254</v>
      </c>
      <c r="N157" s="435">
        <f>+'TCO - Input'!X85/N156*1000</f>
        <v>252.52525252525254</v>
      </c>
      <c r="O157" s="435">
        <f>+'TCO - Input'!Y85/O156*1000</f>
        <v>252.52525252525254</v>
      </c>
      <c r="P157" s="435">
        <f>+'TCO - Input'!Z85/P156*1000</f>
        <v>252.52525252525254</v>
      </c>
      <c r="Q157" s="435">
        <f>+'TCO - Input'!AA85/Q156*1000</f>
        <v>252.52525252525254</v>
      </c>
      <c r="R157" s="435">
        <f>+'TCO - Input'!AB85/R156*1000</f>
        <v>252.52525252525254</v>
      </c>
      <c r="S157" s="435">
        <f>+'TCO - Input'!AC85/S156*1000</f>
        <v>252.52525252525254</v>
      </c>
      <c r="T157" s="435">
        <f>+'TCO - Input'!AD85/T156*1000</f>
        <v>252.52525252525254</v>
      </c>
      <c r="V157" s="213">
        <v>0</v>
      </c>
      <c r="W157" s="213">
        <v>0</v>
      </c>
      <c r="X157" s="213">
        <v>0</v>
      </c>
      <c r="Y157" s="213">
        <v>0</v>
      </c>
      <c r="Z157" s="213">
        <v>0</v>
      </c>
      <c r="AA157" s="213">
        <v>0</v>
      </c>
      <c r="AB157" s="213">
        <v>0</v>
      </c>
    </row>
    <row r="158" spans="1:28" hidden="1" outlineLevel="1" x14ac:dyDescent="0.2">
      <c r="A158" s="421" t="str">
        <f t="shared" si="88"/>
        <v>Methanol - Global - Storage - %of Capex</v>
      </c>
      <c r="B158" s="421"/>
      <c r="C158" t="s">
        <v>109</v>
      </c>
      <c r="D158" t="s">
        <v>530</v>
      </c>
      <c r="E158" t="s">
        <v>765</v>
      </c>
      <c r="F158" s="3" t="s">
        <v>319</v>
      </c>
      <c r="G158" s="224" t="s">
        <v>757</v>
      </c>
      <c r="I158" s="426">
        <v>0</v>
      </c>
      <c r="J158" s="118">
        <f>+I158</f>
        <v>0</v>
      </c>
      <c r="K158" s="118">
        <f t="shared" ref="K158:T158" si="100">+J158</f>
        <v>0</v>
      </c>
      <c r="L158" s="118">
        <f t="shared" si="100"/>
        <v>0</v>
      </c>
      <c r="M158" s="118">
        <f t="shared" si="100"/>
        <v>0</v>
      </c>
      <c r="N158" s="118">
        <f t="shared" si="100"/>
        <v>0</v>
      </c>
      <c r="O158" s="118">
        <f t="shared" si="100"/>
        <v>0</v>
      </c>
      <c r="P158" s="118">
        <f t="shared" si="100"/>
        <v>0</v>
      </c>
      <c r="Q158" s="118">
        <f t="shared" si="100"/>
        <v>0</v>
      </c>
      <c r="R158" s="118">
        <f t="shared" si="100"/>
        <v>0</v>
      </c>
      <c r="S158" s="118">
        <f t="shared" si="100"/>
        <v>0</v>
      </c>
      <c r="T158" s="118">
        <f t="shared" si="100"/>
        <v>0</v>
      </c>
    </row>
    <row r="159" spans="1:28" hidden="1" outlineLevel="1" x14ac:dyDescent="0.2">
      <c r="A159" s="421" t="str">
        <f t="shared" si="88"/>
        <v>Methanol - Global - Storage - Days</v>
      </c>
      <c r="B159" s="421"/>
      <c r="C159" t="s">
        <v>109</v>
      </c>
      <c r="D159" t="s">
        <v>530</v>
      </c>
      <c r="E159" t="s">
        <v>765</v>
      </c>
      <c r="F159" s="3" t="s">
        <v>758</v>
      </c>
      <c r="G159" s="224" t="s">
        <v>745</v>
      </c>
      <c r="I159" s="426">
        <v>15</v>
      </c>
      <c r="J159" s="118">
        <f t="shared" ref="J159:T159" si="101">+I159</f>
        <v>15</v>
      </c>
      <c r="K159" s="118">
        <f t="shared" si="101"/>
        <v>15</v>
      </c>
      <c r="L159" s="118">
        <f t="shared" si="101"/>
        <v>15</v>
      </c>
      <c r="M159" s="118">
        <f t="shared" si="101"/>
        <v>15</v>
      </c>
      <c r="N159" s="118">
        <f t="shared" si="101"/>
        <v>15</v>
      </c>
      <c r="O159" s="118">
        <f t="shared" si="101"/>
        <v>15</v>
      </c>
      <c r="P159" s="118">
        <f t="shared" si="101"/>
        <v>15</v>
      </c>
      <c r="Q159" s="118">
        <f t="shared" si="101"/>
        <v>15</v>
      </c>
      <c r="R159" s="118">
        <f t="shared" si="101"/>
        <v>15</v>
      </c>
      <c r="S159" s="118">
        <f t="shared" si="101"/>
        <v>15</v>
      </c>
      <c r="T159" s="118">
        <f t="shared" si="101"/>
        <v>15</v>
      </c>
    </row>
    <row r="160" spans="1:28" ht="14.25" hidden="1" outlineLevel="1" x14ac:dyDescent="0.2">
      <c r="A160" s="421" t="str">
        <f t="shared" si="88"/>
        <v>Methanol - Global - Storage - %</v>
      </c>
      <c r="B160" s="421"/>
      <c r="C160" t="s">
        <v>109</v>
      </c>
      <c r="D160" t="s">
        <v>530</v>
      </c>
      <c r="E160" t="s">
        <v>765</v>
      </c>
      <c r="F160" s="3" t="s">
        <v>759</v>
      </c>
      <c r="G160" s="224" t="s">
        <v>178</v>
      </c>
      <c r="I160" s="427">
        <v>0.8</v>
      </c>
      <c r="J160" s="90">
        <f t="shared" ref="J160:T160" si="102">+I160</f>
        <v>0.8</v>
      </c>
      <c r="K160" s="90">
        <f t="shared" si="102"/>
        <v>0.8</v>
      </c>
      <c r="L160" s="90">
        <f t="shared" si="102"/>
        <v>0.8</v>
      </c>
      <c r="M160" s="90">
        <f t="shared" si="102"/>
        <v>0.8</v>
      </c>
      <c r="N160" s="90">
        <f t="shared" si="102"/>
        <v>0.8</v>
      </c>
      <c r="O160" s="90">
        <f t="shared" si="102"/>
        <v>0.8</v>
      </c>
      <c r="P160" s="90">
        <f t="shared" si="102"/>
        <v>0.8</v>
      </c>
      <c r="Q160" s="90">
        <f t="shared" si="102"/>
        <v>0.8</v>
      </c>
      <c r="R160" s="90">
        <f t="shared" si="102"/>
        <v>0.8</v>
      </c>
      <c r="S160" s="90">
        <f t="shared" si="102"/>
        <v>0.8</v>
      </c>
      <c r="T160" s="90">
        <f t="shared" si="102"/>
        <v>0.8</v>
      </c>
      <c r="V160" s="213">
        <v>0</v>
      </c>
      <c r="W160" s="213">
        <v>0</v>
      </c>
      <c r="X160" s="213">
        <v>0</v>
      </c>
      <c r="Y160" s="213">
        <v>0</v>
      </c>
      <c r="Z160" s="213">
        <v>0</v>
      </c>
      <c r="AA160" s="213">
        <v>0</v>
      </c>
      <c r="AB160" s="213">
        <v>0</v>
      </c>
    </row>
    <row r="161" spans="1:20" hidden="1" outlineLevel="1" x14ac:dyDescent="0.2">
      <c r="A161" s="421" t="str">
        <f t="shared" si="88"/>
        <v/>
      </c>
      <c r="B161" s="421"/>
      <c r="H161" s="93"/>
      <c r="I161" s="93"/>
    </row>
    <row r="162" spans="1:20" hidden="1" outlineLevel="1" x14ac:dyDescent="0.2">
      <c r="A162" s="421" t="str">
        <f t="shared" si="88"/>
        <v>Methanol - Europe - Storage - USD/ton/day</v>
      </c>
      <c r="B162" s="421"/>
      <c r="C162" t="s">
        <v>195</v>
      </c>
      <c r="D162" t="s">
        <v>530</v>
      </c>
      <c r="E162" t="s">
        <v>765</v>
      </c>
      <c r="F162" t="str">
        <f>+D162&amp;" "&amp;E162</f>
        <v>Methanol Storage</v>
      </c>
      <c r="G162" s="224" t="s">
        <v>782</v>
      </c>
      <c r="H162" s="93"/>
      <c r="I162" s="93">
        <f t="shared" ref="I162:T166" si="103">I$157/I$45*I$159/365/I$160</f>
        <v>1.0810156358101564</v>
      </c>
      <c r="J162" s="93">
        <f t="shared" si="103"/>
        <v>1.0810156358101564</v>
      </c>
      <c r="K162" s="93">
        <f t="shared" si="103"/>
        <v>1.0810156358101564</v>
      </c>
      <c r="L162" s="93">
        <f t="shared" si="103"/>
        <v>1.0810156358101564</v>
      </c>
      <c r="M162" s="93">
        <f t="shared" si="103"/>
        <v>1.0810156358101564</v>
      </c>
      <c r="N162" s="93">
        <f t="shared" si="103"/>
        <v>1.0810156358101564</v>
      </c>
      <c r="O162" s="93">
        <f t="shared" si="103"/>
        <v>1.0810156358101564</v>
      </c>
      <c r="P162" s="93">
        <f t="shared" si="103"/>
        <v>1.0810156358101564</v>
      </c>
      <c r="Q162" s="93">
        <f t="shared" si="103"/>
        <v>1.0810156358101564</v>
      </c>
      <c r="R162" s="93">
        <f t="shared" si="103"/>
        <v>1.0810156358101564</v>
      </c>
      <c r="S162" s="93">
        <f t="shared" si="103"/>
        <v>1.0810156358101564</v>
      </c>
      <c r="T162" s="93">
        <f t="shared" si="103"/>
        <v>1.0810156358101564</v>
      </c>
    </row>
    <row r="163" spans="1:20" hidden="1" outlineLevel="1" x14ac:dyDescent="0.2">
      <c r="A163" s="421" t="str">
        <f t="shared" si="88"/>
        <v>Methanol - Asia - Storage - USD/ton/day</v>
      </c>
      <c r="B163" s="421"/>
      <c r="C163" t="s">
        <v>198</v>
      </c>
      <c r="D163" t="s">
        <v>530</v>
      </c>
      <c r="E163" t="s">
        <v>765</v>
      </c>
      <c r="F163" t="str">
        <f>+D163&amp;" "&amp;E163</f>
        <v>Methanol Storage</v>
      </c>
      <c r="G163" s="224" t="s">
        <v>782</v>
      </c>
      <c r="H163" s="93"/>
      <c r="I163" s="93">
        <f t="shared" si="103"/>
        <v>1.0810156358101564</v>
      </c>
      <c r="J163" s="93">
        <f t="shared" si="103"/>
        <v>1.0810156358101564</v>
      </c>
      <c r="K163" s="93">
        <f t="shared" si="103"/>
        <v>1.0810156358101564</v>
      </c>
      <c r="L163" s="93">
        <f t="shared" si="103"/>
        <v>1.0810156358101564</v>
      </c>
      <c r="M163" s="93">
        <f t="shared" si="103"/>
        <v>1.0810156358101564</v>
      </c>
      <c r="N163" s="93">
        <f t="shared" si="103"/>
        <v>1.0810156358101564</v>
      </c>
      <c r="O163" s="93">
        <f t="shared" si="103"/>
        <v>1.0810156358101564</v>
      </c>
      <c r="P163" s="93">
        <f t="shared" si="103"/>
        <v>1.0810156358101564</v>
      </c>
      <c r="Q163" s="93">
        <f t="shared" si="103"/>
        <v>1.0810156358101564</v>
      </c>
      <c r="R163" s="93">
        <f t="shared" si="103"/>
        <v>1.0810156358101564</v>
      </c>
      <c r="S163" s="93">
        <f t="shared" si="103"/>
        <v>1.0810156358101564</v>
      </c>
      <c r="T163" s="93">
        <f t="shared" si="103"/>
        <v>1.0810156358101564</v>
      </c>
    </row>
    <row r="164" spans="1:20" hidden="1" outlineLevel="1" x14ac:dyDescent="0.2">
      <c r="A164" s="421" t="str">
        <f t="shared" si="88"/>
        <v>Methanol - Middle East - Storage - USD/ton/day</v>
      </c>
      <c r="B164" s="421"/>
      <c r="C164" t="s">
        <v>197</v>
      </c>
      <c r="D164" t="s">
        <v>530</v>
      </c>
      <c r="E164" t="s">
        <v>765</v>
      </c>
      <c r="F164" t="str">
        <f>+D164&amp;" "&amp;E164</f>
        <v>Methanol Storage</v>
      </c>
      <c r="G164" s="224" t="s">
        <v>782</v>
      </c>
      <c r="H164" s="93"/>
      <c r="I164" s="93">
        <f t="shared" si="103"/>
        <v>1.0810156358101564</v>
      </c>
      <c r="J164" s="93">
        <f t="shared" si="103"/>
        <v>1.0810156358101564</v>
      </c>
      <c r="K164" s="93">
        <f t="shared" si="103"/>
        <v>1.0810156358101564</v>
      </c>
      <c r="L164" s="93">
        <f t="shared" si="103"/>
        <v>1.0810156358101564</v>
      </c>
      <c r="M164" s="93">
        <f t="shared" si="103"/>
        <v>1.0810156358101564</v>
      </c>
      <c r="N164" s="93">
        <f t="shared" si="103"/>
        <v>1.0810156358101564</v>
      </c>
      <c r="O164" s="93">
        <f t="shared" si="103"/>
        <v>1.0810156358101564</v>
      </c>
      <c r="P164" s="93">
        <f t="shared" si="103"/>
        <v>1.0810156358101564</v>
      </c>
      <c r="Q164" s="93">
        <f t="shared" si="103"/>
        <v>1.0810156358101564</v>
      </c>
      <c r="R164" s="93">
        <f t="shared" si="103"/>
        <v>1.0810156358101564</v>
      </c>
      <c r="S164" s="93">
        <f t="shared" si="103"/>
        <v>1.0810156358101564</v>
      </c>
      <c r="T164" s="93">
        <f t="shared" si="103"/>
        <v>1.0810156358101564</v>
      </c>
    </row>
    <row r="165" spans="1:20" hidden="1" outlineLevel="1" x14ac:dyDescent="0.2">
      <c r="A165" s="421" t="str">
        <f t="shared" si="88"/>
        <v>Methanol - Americas - Storage - USD/ton/day</v>
      </c>
      <c r="B165" s="421"/>
      <c r="C165" t="s">
        <v>199</v>
      </c>
      <c r="D165" t="s">
        <v>530</v>
      </c>
      <c r="E165" t="s">
        <v>765</v>
      </c>
      <c r="F165" t="str">
        <f>+D165&amp;" "&amp;E165</f>
        <v>Methanol Storage</v>
      </c>
      <c r="G165" s="224" t="s">
        <v>782</v>
      </c>
      <c r="H165" s="93"/>
      <c r="I165" s="93">
        <f t="shared" si="103"/>
        <v>1.0810156358101564</v>
      </c>
      <c r="J165" s="93">
        <f t="shared" si="103"/>
        <v>1.0810156358101564</v>
      </c>
      <c r="K165" s="93">
        <f t="shared" si="103"/>
        <v>1.0810156358101564</v>
      </c>
      <c r="L165" s="93">
        <f t="shared" si="103"/>
        <v>1.0810156358101564</v>
      </c>
      <c r="M165" s="93">
        <f t="shared" si="103"/>
        <v>1.0810156358101564</v>
      </c>
      <c r="N165" s="93">
        <f t="shared" si="103"/>
        <v>1.0810156358101564</v>
      </c>
      <c r="O165" s="93">
        <f t="shared" si="103"/>
        <v>1.0810156358101564</v>
      </c>
      <c r="P165" s="93">
        <f t="shared" si="103"/>
        <v>1.0810156358101564</v>
      </c>
      <c r="Q165" s="93">
        <f t="shared" si="103"/>
        <v>1.0810156358101564</v>
      </c>
      <c r="R165" s="93">
        <f t="shared" si="103"/>
        <v>1.0810156358101564</v>
      </c>
      <c r="S165" s="93">
        <f t="shared" si="103"/>
        <v>1.0810156358101564</v>
      </c>
      <c r="T165" s="93">
        <f t="shared" si="103"/>
        <v>1.0810156358101564</v>
      </c>
    </row>
    <row r="166" spans="1:20" hidden="1" outlineLevel="1" x14ac:dyDescent="0.2">
      <c r="A166" s="421" t="str">
        <f t="shared" si="88"/>
        <v>Methanol - Africa&amp;Other - Storage - USD/ton/day</v>
      </c>
      <c r="B166" s="421"/>
      <c r="C166" t="s">
        <v>498</v>
      </c>
      <c r="D166" t="s">
        <v>530</v>
      </c>
      <c r="E166" t="s">
        <v>765</v>
      </c>
      <c r="F166" t="str">
        <f>+D166&amp;" "&amp;E166</f>
        <v>Methanol Storage</v>
      </c>
      <c r="G166" s="224" t="s">
        <v>782</v>
      </c>
      <c r="H166" s="93"/>
      <c r="I166" s="93">
        <f t="shared" si="103"/>
        <v>1.0810156358101564</v>
      </c>
      <c r="J166" s="93">
        <f t="shared" si="103"/>
        <v>1.0810156358101564</v>
      </c>
      <c r="K166" s="93">
        <f t="shared" si="103"/>
        <v>1.0810156358101564</v>
      </c>
      <c r="L166" s="93">
        <f t="shared" si="103"/>
        <v>1.0810156358101564</v>
      </c>
      <c r="M166" s="93">
        <f t="shared" si="103"/>
        <v>1.0810156358101564</v>
      </c>
      <c r="N166" s="93">
        <f t="shared" si="103"/>
        <v>1.0810156358101564</v>
      </c>
      <c r="O166" s="93">
        <f t="shared" si="103"/>
        <v>1.0810156358101564</v>
      </c>
      <c r="P166" s="93">
        <f t="shared" si="103"/>
        <v>1.0810156358101564</v>
      </c>
      <c r="Q166" s="93">
        <f t="shared" si="103"/>
        <v>1.0810156358101564</v>
      </c>
      <c r="R166" s="93">
        <f t="shared" si="103"/>
        <v>1.0810156358101564</v>
      </c>
      <c r="S166" s="93">
        <f t="shared" si="103"/>
        <v>1.0810156358101564</v>
      </c>
      <c r="T166" s="93">
        <f t="shared" si="103"/>
        <v>1.0810156358101564</v>
      </c>
    </row>
    <row r="167" spans="1:20" hidden="1" outlineLevel="1" x14ac:dyDescent="0.2">
      <c r="A167" s="421" t="str">
        <f>_xlfn.TEXTJOIN(keydelim,TRUE,D167,C167,E167,G167)</f>
        <v/>
      </c>
      <c r="B167" s="421"/>
      <c r="H167" s="95"/>
    </row>
    <row r="168" spans="1:20" hidden="1" outlineLevel="1" x14ac:dyDescent="0.2">
      <c r="A168" s="421"/>
      <c r="B168" s="421"/>
      <c r="C168" t="s">
        <v>195</v>
      </c>
      <c r="D168" t="s">
        <v>780</v>
      </c>
      <c r="E168" t="s">
        <v>766</v>
      </c>
      <c r="F168" t="str">
        <f>+D168&amp;" "&amp;E168</f>
        <v>Grey and e-Methanol Logistics CO2</v>
      </c>
      <c r="G168" s="224" t="s">
        <v>767</v>
      </c>
      <c r="H168" s="93"/>
      <c r="I168" s="94">
        <f>I$137/I$156*1000*(I$138/I$142/365)</f>
        <v>2.2701328352013283E-2</v>
      </c>
      <c r="J168" s="94">
        <f t="shared" ref="J168:O172" si="104">J$137/J$156*1000*(J$138/J$142/365)</f>
        <v>1.5793050102155967E-2</v>
      </c>
      <c r="K168" s="94">
        <f t="shared" si="104"/>
        <v>1.0987041271842081E-2</v>
      </c>
      <c r="L168" s="94">
        <f t="shared" si="104"/>
        <v>7.643556825839613E-3</v>
      </c>
      <c r="M168" s="94">
        <f t="shared" si="104"/>
        <v>5.3175335838202432E-3</v>
      </c>
      <c r="N168" s="94">
        <f t="shared" si="104"/>
        <v>3.6993462676258881E-3</v>
      </c>
      <c r="O168" s="94">
        <f t="shared" si="104"/>
        <v>2.5735921724006944E-3</v>
      </c>
      <c r="P168" s="94">
        <f>P$86/P$97*1000*(P$87/P$89/365)</f>
        <v>0</v>
      </c>
      <c r="Q168" s="94">
        <f>Q$86/Q$97*1000*(Q$87/Q$89/365)</f>
        <v>0</v>
      </c>
      <c r="R168" s="94">
        <f>R$86/R$97*1000*(R$87/R$89/365)</f>
        <v>0</v>
      </c>
      <c r="S168" s="94">
        <f>S$86/S$97*1000*(S$87/S$89/365)</f>
        <v>0</v>
      </c>
      <c r="T168" s="94">
        <f>T$86/T$97*1000*(T$87/T$89/365)</f>
        <v>0</v>
      </c>
    </row>
    <row r="169" spans="1:20" hidden="1" outlineLevel="1" x14ac:dyDescent="0.2">
      <c r="A169" s="421"/>
      <c r="B169" s="421"/>
      <c r="C169" t="s">
        <v>198</v>
      </c>
      <c r="D169" t="s">
        <v>780</v>
      </c>
      <c r="E169" t="s">
        <v>766</v>
      </c>
      <c r="F169" t="str">
        <f>+D169&amp;" "&amp;E169</f>
        <v>Grey and e-Methanol Logistics CO2</v>
      </c>
      <c r="G169" s="224" t="s">
        <v>767</v>
      </c>
      <c r="H169" s="93"/>
      <c r="I169" s="94">
        <f>I$137/I$156*1000*(I$138/I$142/365)</f>
        <v>2.2701328352013283E-2</v>
      </c>
      <c r="J169" s="94">
        <f t="shared" si="104"/>
        <v>1.5793050102155967E-2</v>
      </c>
      <c r="K169" s="94">
        <f t="shared" si="104"/>
        <v>1.0987041271842081E-2</v>
      </c>
      <c r="L169" s="94">
        <f t="shared" si="104"/>
        <v>7.643556825839613E-3</v>
      </c>
      <c r="M169" s="94">
        <f t="shared" si="104"/>
        <v>5.3175335838202432E-3</v>
      </c>
      <c r="N169" s="94">
        <f t="shared" si="104"/>
        <v>3.6993462676258881E-3</v>
      </c>
      <c r="O169" s="94">
        <f t="shared" si="104"/>
        <v>2.5735921724006944E-3</v>
      </c>
    </row>
    <row r="170" spans="1:20" hidden="1" outlineLevel="1" x14ac:dyDescent="0.2">
      <c r="A170" s="421"/>
      <c r="B170" s="421"/>
      <c r="C170" t="s">
        <v>197</v>
      </c>
      <c r="D170" t="s">
        <v>780</v>
      </c>
      <c r="E170" t="s">
        <v>766</v>
      </c>
      <c r="F170" t="str">
        <f>+D170&amp;" "&amp;E170</f>
        <v>Grey and e-Methanol Logistics CO2</v>
      </c>
      <c r="G170" s="224" t="s">
        <v>767</v>
      </c>
      <c r="H170" s="93"/>
      <c r="I170" s="94">
        <f>I$137/I$156*1000*(I$138/I$142/365)</f>
        <v>2.2701328352013283E-2</v>
      </c>
      <c r="J170" s="94">
        <f t="shared" si="104"/>
        <v>1.5793050102155967E-2</v>
      </c>
      <c r="K170" s="94">
        <f t="shared" si="104"/>
        <v>1.0987041271842081E-2</v>
      </c>
      <c r="L170" s="94">
        <f t="shared" si="104"/>
        <v>7.643556825839613E-3</v>
      </c>
      <c r="M170" s="94">
        <f t="shared" si="104"/>
        <v>5.3175335838202432E-3</v>
      </c>
      <c r="N170" s="94">
        <f t="shared" si="104"/>
        <v>3.6993462676258881E-3</v>
      </c>
      <c r="O170" s="94">
        <f t="shared" si="104"/>
        <v>2.5735921724006944E-3</v>
      </c>
    </row>
    <row r="171" spans="1:20" hidden="1" outlineLevel="1" x14ac:dyDescent="0.2">
      <c r="A171" s="421"/>
      <c r="B171" s="421"/>
      <c r="C171" t="s">
        <v>199</v>
      </c>
      <c r="D171" t="s">
        <v>780</v>
      </c>
      <c r="E171" t="s">
        <v>766</v>
      </c>
      <c r="F171" t="str">
        <f>+D171&amp;" "&amp;E171</f>
        <v>Grey and e-Methanol Logistics CO2</v>
      </c>
      <c r="G171" s="224" t="s">
        <v>767</v>
      </c>
      <c r="H171" s="93"/>
      <c r="I171" s="94">
        <f>I$137/I$156*1000*(I$138/I$142/365)</f>
        <v>2.2701328352013283E-2</v>
      </c>
      <c r="J171" s="94">
        <f t="shared" si="104"/>
        <v>1.5793050102155967E-2</v>
      </c>
      <c r="K171" s="94">
        <f t="shared" si="104"/>
        <v>1.0987041271842081E-2</v>
      </c>
      <c r="L171" s="94">
        <f t="shared" si="104"/>
        <v>7.643556825839613E-3</v>
      </c>
      <c r="M171" s="94">
        <f t="shared" si="104"/>
        <v>5.3175335838202432E-3</v>
      </c>
      <c r="N171" s="94">
        <f t="shared" si="104"/>
        <v>3.6993462676258881E-3</v>
      </c>
      <c r="O171" s="94">
        <f t="shared" si="104"/>
        <v>2.5735921724006944E-3</v>
      </c>
    </row>
    <row r="172" spans="1:20" hidden="1" outlineLevel="1" x14ac:dyDescent="0.2">
      <c r="A172" s="421"/>
      <c r="B172" s="421"/>
      <c r="C172" t="s">
        <v>498</v>
      </c>
      <c r="D172" t="s">
        <v>780</v>
      </c>
      <c r="E172" t="s">
        <v>766</v>
      </c>
      <c r="F172" t="str">
        <f>+D172&amp;" "&amp;E172</f>
        <v>Grey and e-Methanol Logistics CO2</v>
      </c>
      <c r="G172" s="224" t="s">
        <v>767</v>
      </c>
      <c r="H172" s="93"/>
      <c r="I172" s="94">
        <f>I$137/I$156*1000*(I$138/I$142/365)</f>
        <v>2.2701328352013283E-2</v>
      </c>
      <c r="J172" s="94">
        <f t="shared" si="104"/>
        <v>1.5793050102155967E-2</v>
      </c>
      <c r="K172" s="94">
        <f t="shared" si="104"/>
        <v>1.0987041271842081E-2</v>
      </c>
      <c r="L172" s="94">
        <f t="shared" si="104"/>
        <v>7.643556825839613E-3</v>
      </c>
      <c r="M172" s="94">
        <f t="shared" si="104"/>
        <v>5.3175335838202432E-3</v>
      </c>
      <c r="N172" s="94">
        <f t="shared" si="104"/>
        <v>3.6993462676258881E-3</v>
      </c>
      <c r="O172" s="94">
        <f t="shared" si="104"/>
        <v>2.5735921724006944E-3</v>
      </c>
    </row>
    <row r="173" spans="1:20" hidden="1" outlineLevel="1" x14ac:dyDescent="0.2">
      <c r="A173" s="421"/>
      <c r="B173" s="421"/>
      <c r="H173" s="93"/>
      <c r="I173" s="94"/>
      <c r="J173" s="94"/>
      <c r="K173" s="94"/>
      <c r="L173" s="94"/>
      <c r="M173" s="94"/>
      <c r="N173" s="94"/>
      <c r="O173" s="94"/>
    </row>
    <row r="174" spans="1:20" hidden="1" outlineLevel="1" x14ac:dyDescent="0.2">
      <c r="A174" s="421"/>
      <c r="B174" s="421"/>
      <c r="C174" t="s">
        <v>195</v>
      </c>
      <c r="D174" t="s">
        <v>586</v>
      </c>
      <c r="E174" t="s">
        <v>766</v>
      </c>
      <c r="F174" t="str">
        <f>+D174&amp;" "&amp;E174</f>
        <v>Biomethanol Logistics CO2</v>
      </c>
      <c r="G174" s="224" t="s">
        <v>767</v>
      </c>
      <c r="H174" s="93"/>
      <c r="I174" s="94">
        <f>I$137/I$156*1000*(I$139/I$142/365)</f>
        <v>3.2430469074304691E-2</v>
      </c>
      <c r="J174" s="94">
        <f t="shared" ref="J174:T178" si="105">J$137/J$156*1000*(J$139/J$142/365)</f>
        <v>2.2561500145937097E-2</v>
      </c>
      <c r="K174" s="94">
        <f t="shared" si="105"/>
        <v>1.5695773245488688E-2</v>
      </c>
      <c r="L174" s="94">
        <f t="shared" si="105"/>
        <v>1.0919366894056591E-2</v>
      </c>
      <c r="M174" s="94">
        <f t="shared" si="105"/>
        <v>7.5964765483146329E-3</v>
      </c>
      <c r="N174" s="94">
        <f t="shared" si="105"/>
        <v>5.2847803823226971E-3</v>
      </c>
      <c r="O174" s="94">
        <f t="shared" si="105"/>
        <v>3.6765602462867065E-3</v>
      </c>
      <c r="P174" s="94">
        <f t="shared" si="105"/>
        <v>0</v>
      </c>
      <c r="Q174" s="94">
        <f t="shared" si="105"/>
        <v>0</v>
      </c>
      <c r="R174" s="94">
        <f t="shared" si="105"/>
        <v>0</v>
      </c>
      <c r="S174" s="94">
        <f t="shared" si="105"/>
        <v>0</v>
      </c>
      <c r="T174" s="94">
        <f t="shared" si="105"/>
        <v>0</v>
      </c>
    </row>
    <row r="175" spans="1:20" hidden="1" outlineLevel="1" x14ac:dyDescent="0.2">
      <c r="A175" s="421"/>
      <c r="B175" s="421"/>
      <c r="C175" t="s">
        <v>198</v>
      </c>
      <c r="D175" t="s">
        <v>586</v>
      </c>
      <c r="E175" t="s">
        <v>766</v>
      </c>
      <c r="F175" t="str">
        <f>+D175&amp;" "&amp;E175</f>
        <v>Biomethanol Logistics CO2</v>
      </c>
      <c r="G175" s="224" t="s">
        <v>767</v>
      </c>
      <c r="H175" s="93"/>
      <c r="I175" s="94">
        <f>I$137/I$156*1000*(I$139/I$142/365)</f>
        <v>3.2430469074304691E-2</v>
      </c>
      <c r="J175" s="94">
        <f t="shared" si="105"/>
        <v>2.2561500145937097E-2</v>
      </c>
      <c r="K175" s="94">
        <f t="shared" si="105"/>
        <v>1.5695773245488688E-2</v>
      </c>
      <c r="L175" s="94">
        <f t="shared" si="105"/>
        <v>1.0919366894056591E-2</v>
      </c>
      <c r="M175" s="94">
        <f t="shared" si="105"/>
        <v>7.5964765483146329E-3</v>
      </c>
      <c r="N175" s="94">
        <f t="shared" si="105"/>
        <v>5.2847803823226971E-3</v>
      </c>
      <c r="O175" s="94">
        <f t="shared" si="105"/>
        <v>3.6765602462867065E-3</v>
      </c>
    </row>
    <row r="176" spans="1:20" hidden="1" outlineLevel="1" x14ac:dyDescent="0.2">
      <c r="A176" s="421"/>
      <c r="B176" s="421"/>
      <c r="C176" t="s">
        <v>197</v>
      </c>
      <c r="D176" t="s">
        <v>586</v>
      </c>
      <c r="E176" t="s">
        <v>766</v>
      </c>
      <c r="F176" t="str">
        <f>+D176&amp;" "&amp;E176</f>
        <v>Biomethanol Logistics CO2</v>
      </c>
      <c r="G176" s="224" t="s">
        <v>767</v>
      </c>
      <c r="H176" s="93"/>
      <c r="I176" s="94">
        <f>I$137/I$156*1000*(I$139/I$142/365)</f>
        <v>3.2430469074304691E-2</v>
      </c>
      <c r="J176" s="94">
        <f t="shared" si="105"/>
        <v>2.2561500145937097E-2</v>
      </c>
      <c r="K176" s="94">
        <f t="shared" si="105"/>
        <v>1.5695773245488688E-2</v>
      </c>
      <c r="L176" s="94">
        <f t="shared" si="105"/>
        <v>1.0919366894056591E-2</v>
      </c>
      <c r="M176" s="94">
        <f t="shared" si="105"/>
        <v>7.5964765483146329E-3</v>
      </c>
      <c r="N176" s="94">
        <f t="shared" si="105"/>
        <v>5.2847803823226971E-3</v>
      </c>
      <c r="O176" s="94">
        <f t="shared" si="105"/>
        <v>3.6765602462867065E-3</v>
      </c>
    </row>
    <row r="177" spans="1:20" hidden="1" outlineLevel="1" x14ac:dyDescent="0.2">
      <c r="A177" s="421"/>
      <c r="B177" s="421"/>
      <c r="C177" t="s">
        <v>199</v>
      </c>
      <c r="D177" t="s">
        <v>586</v>
      </c>
      <c r="E177" t="s">
        <v>766</v>
      </c>
      <c r="F177" t="str">
        <f>+D177&amp;" "&amp;E177</f>
        <v>Biomethanol Logistics CO2</v>
      </c>
      <c r="G177" s="224" t="s">
        <v>767</v>
      </c>
      <c r="H177" s="93"/>
      <c r="I177" s="94">
        <f>I$137/I$156*1000*(I$139/I$142/365)</f>
        <v>3.2430469074304691E-2</v>
      </c>
      <c r="J177" s="94">
        <f t="shared" si="105"/>
        <v>2.2561500145937097E-2</v>
      </c>
      <c r="K177" s="94">
        <f t="shared" si="105"/>
        <v>1.5695773245488688E-2</v>
      </c>
      <c r="L177" s="94">
        <f t="shared" si="105"/>
        <v>1.0919366894056591E-2</v>
      </c>
      <c r="M177" s="94">
        <f t="shared" si="105"/>
        <v>7.5964765483146329E-3</v>
      </c>
      <c r="N177" s="94">
        <f t="shared" si="105"/>
        <v>5.2847803823226971E-3</v>
      </c>
      <c r="O177" s="94">
        <f t="shared" si="105"/>
        <v>3.6765602462867065E-3</v>
      </c>
    </row>
    <row r="178" spans="1:20" hidden="1" outlineLevel="1" x14ac:dyDescent="0.2">
      <c r="A178" s="421"/>
      <c r="B178" s="421"/>
      <c r="C178" t="s">
        <v>498</v>
      </c>
      <c r="D178" t="s">
        <v>586</v>
      </c>
      <c r="E178" t="s">
        <v>766</v>
      </c>
      <c r="F178" t="str">
        <f>+D178&amp;" "&amp;E178</f>
        <v>Biomethanol Logistics CO2</v>
      </c>
      <c r="G178" s="224" t="s">
        <v>767</v>
      </c>
      <c r="H178" s="93"/>
      <c r="I178" s="94">
        <f>I$137/I$156*1000*(I$139/I$142/365)</f>
        <v>3.2430469074304691E-2</v>
      </c>
      <c r="J178" s="94">
        <f t="shared" si="105"/>
        <v>2.2561500145937097E-2</v>
      </c>
      <c r="K178" s="94">
        <f t="shared" si="105"/>
        <v>1.5695773245488688E-2</v>
      </c>
      <c r="L178" s="94">
        <f t="shared" si="105"/>
        <v>1.0919366894056591E-2</v>
      </c>
      <c r="M178" s="94">
        <f t="shared" si="105"/>
        <v>7.5964765483146329E-3</v>
      </c>
      <c r="N178" s="94">
        <f t="shared" si="105"/>
        <v>5.2847803823226971E-3</v>
      </c>
      <c r="O178" s="94">
        <f t="shared" si="105"/>
        <v>3.6765602462867065E-3</v>
      </c>
    </row>
    <row r="179" spans="1:20" hidden="1" outlineLevel="1" x14ac:dyDescent="0.2">
      <c r="A179" s="421" t="str">
        <f>_xlfn.TEXTJOIN(keydelim,TRUE,D179,C179,E179,G179)</f>
        <v/>
      </c>
      <c r="B179" s="421"/>
      <c r="H179" s="93"/>
      <c r="I179" s="95"/>
      <c r="J179" s="95"/>
      <c r="K179" s="95"/>
      <c r="L179" s="95"/>
      <c r="M179" s="95"/>
      <c r="N179" s="95"/>
      <c r="O179" s="95"/>
      <c r="P179" s="95"/>
      <c r="Q179" s="95"/>
      <c r="R179" s="95"/>
      <c r="S179" s="95"/>
      <c r="T179" s="95"/>
    </row>
    <row r="180" spans="1:20" hidden="1" outlineLevel="1" x14ac:dyDescent="0.2">
      <c r="A180" s="421" t="str">
        <f>_xlfn.TEXTJOIN(keydelim,TRUE,D180,C180,E180,G180)</f>
        <v>Grey and e-Methanol - Global - WTT Logistics - kgCO2/GJ</v>
      </c>
      <c r="B180" s="421"/>
      <c r="C180" t="s">
        <v>109</v>
      </c>
      <c r="D180" t="str">
        <f>+D168</f>
        <v>Grey and e-Methanol</v>
      </c>
      <c r="F180" t="s">
        <v>587</v>
      </c>
      <c r="G180" s="224" t="s">
        <v>770</v>
      </c>
      <c r="H180" s="93"/>
      <c r="I180" s="94">
        <f>+AVERAGE(I168:I172)/INDEX('Fuel Model -  Input'!H$15:H$44,MATCH('Fuel Logistics'!$F180,'Fuel Model -  Input'!$F$15:$F$44,0))*1000000</f>
        <v>1.1407702689453911</v>
      </c>
      <c r="J180" s="94">
        <f>+AVERAGE(J168:J172)/INDEX('Fuel Model -  Input'!I$15:I$44,MATCH('Fuel Logistics'!$F180,'Fuel Model -  Input'!$F$15:$F$44,0))*1000000</f>
        <v>0.79362060814854107</v>
      </c>
      <c r="K180" s="94">
        <f>+AVERAGE(K168:K172)/INDEX('Fuel Model -  Input'!J$15:J$44,MATCH('Fuel Logistics'!$F180,'Fuel Model -  Input'!$F$15:$F$44,0))*1000000</f>
        <v>0.55211262672573269</v>
      </c>
      <c r="L180" s="94">
        <f>+AVERAGE(L168:L172)/INDEX('Fuel Model -  Input'!K$15:K$44,MATCH('Fuel Logistics'!$F180,'Fuel Model -  Input'!$F$15:$F$44,0))*1000000</f>
        <v>0.38409833295676449</v>
      </c>
      <c r="M180" s="94">
        <f>+AVERAGE(M168:M172)/INDEX('Fuel Model -  Input'!L$15:L$44,MATCH('Fuel Logistics'!$F180,'Fuel Model -  Input'!$F$15:$F$44,0))*1000000</f>
        <v>0.26721274290553987</v>
      </c>
      <c r="N180" s="94">
        <f>+AVERAGE(N168:N172)/INDEX('Fuel Model -  Input'!M$15:M$44,MATCH('Fuel Logistics'!$F180,'Fuel Model -  Input'!$F$15:$F$44,0))*1000000</f>
        <v>0.18589679736813508</v>
      </c>
      <c r="O180" s="94">
        <f>+AVERAGE(O168:O172)/INDEX('Fuel Model -  Input'!N$15:N$44,MATCH('Fuel Logistics'!$F180,'Fuel Model -  Input'!$F$15:$F$44,0))*1000000</f>
        <v>0.12932623981913038</v>
      </c>
      <c r="P180" s="93"/>
      <c r="Q180" s="93"/>
      <c r="R180" s="93"/>
      <c r="S180" s="93"/>
      <c r="T180" s="93"/>
    </row>
    <row r="181" spans="1:20" hidden="1" outlineLevel="1" x14ac:dyDescent="0.2">
      <c r="A181" s="421" t="str">
        <f>_xlfn.TEXTJOIN(keydelim,TRUE,D181,C181,E181,G181)</f>
        <v>Biomethanol - Global - WTT Logistics - kgCO2/GJ</v>
      </c>
      <c r="B181" s="421"/>
      <c r="C181" t="s">
        <v>109</v>
      </c>
      <c r="D181" t="str">
        <f>+D174</f>
        <v>Biomethanol</v>
      </c>
      <c r="F181" t="s">
        <v>586</v>
      </c>
      <c r="G181" s="224" t="s">
        <v>770</v>
      </c>
      <c r="H181" s="93"/>
      <c r="I181" s="94">
        <f>+AVERAGE(I174:I178)/INDEX('Fuel Model -  Input'!H$15:H$44,MATCH('Fuel Logistics'!$F181,'Fuel Model -  Input'!$F$15:$F$44,0))*1000000</f>
        <v>1.6296718127791301</v>
      </c>
      <c r="J181" s="94">
        <f>+AVERAGE(J174:J178)/INDEX('Fuel Model -  Input'!I$15:I$44,MATCH('Fuel Logistics'!$F181,'Fuel Model -  Input'!$F$15:$F$44,0))*1000000</f>
        <v>1.1337437259264873</v>
      </c>
      <c r="K181" s="94">
        <f>+AVERAGE(K174:K178)/INDEX('Fuel Model -  Input'!J$15:J$44,MATCH('Fuel Logistics'!$F181,'Fuel Model -  Input'!$F$15:$F$44,0))*1000000</f>
        <v>0.78873232389390391</v>
      </c>
      <c r="L181" s="94">
        <f>+AVERAGE(L174:L178)/INDEX('Fuel Model -  Input'!K$15:K$44,MATCH('Fuel Logistics'!$F181,'Fuel Model -  Input'!$F$15:$F$44,0))*1000000</f>
        <v>0.54871190422394933</v>
      </c>
      <c r="M181" s="94">
        <f>+AVERAGE(M174:M178)/INDEX('Fuel Model -  Input'!L$15:L$44,MATCH('Fuel Logistics'!$F181,'Fuel Model -  Input'!$F$15:$F$44,0))*1000000</f>
        <v>0.38173248986505692</v>
      </c>
      <c r="N181" s="94">
        <f>+AVERAGE(N174:N178)/INDEX('Fuel Model -  Input'!M$15:M$44,MATCH('Fuel Logistics'!$F181,'Fuel Model -  Input'!$F$15:$F$44,0))*1000000</f>
        <v>0.26556685338305008</v>
      </c>
      <c r="O181" s="94">
        <f>+AVERAGE(O174:O178)/INDEX('Fuel Model -  Input'!N$15:N$44,MATCH('Fuel Logistics'!$F181,'Fuel Model -  Input'!$F$15:$F$44,0))*1000000</f>
        <v>0.18475177117018626</v>
      </c>
      <c r="P181" s="93"/>
      <c r="Q181" s="93"/>
      <c r="R181" s="93"/>
      <c r="S181" s="93"/>
      <c r="T181" s="93"/>
    </row>
    <row r="182" spans="1:20" hidden="1" outlineLevel="1" x14ac:dyDescent="0.2">
      <c r="A182" s="421" t="str">
        <f t="shared" si="88"/>
        <v/>
      </c>
      <c r="B182" s="421" t="s">
        <v>783</v>
      </c>
      <c r="H182" s="95"/>
    </row>
    <row r="183" spans="1:20" collapsed="1" x14ac:dyDescent="0.2">
      <c r="A183" s="421" t="str">
        <f t="shared" si="88"/>
        <v>Grey and e-Methanol - Europe - Logistics total - USD/ton</v>
      </c>
      <c r="B183" s="421"/>
      <c r="C183" s="266" t="s">
        <v>195</v>
      </c>
      <c r="D183" s="266" t="s">
        <v>780</v>
      </c>
      <c r="E183" s="266" t="s">
        <v>732</v>
      </c>
      <c r="F183" s="266" t="str">
        <f>+D183&amp;" "&amp;E183</f>
        <v>Grey and e-Methanol Logistics total</v>
      </c>
      <c r="G183" s="282" t="s">
        <v>205</v>
      </c>
      <c r="H183" s="266"/>
      <c r="I183" s="423">
        <f t="shared" ref="I183:T183" si="106">I144+I162</f>
        <v>13.188390756883905</v>
      </c>
      <c r="J183" s="423">
        <f t="shared" si="106"/>
        <v>13.188390756883905</v>
      </c>
      <c r="K183" s="423">
        <f t="shared" si="106"/>
        <v>13.188390756883905</v>
      </c>
      <c r="L183" s="423">
        <f t="shared" si="106"/>
        <v>13.188390756883905</v>
      </c>
      <c r="M183" s="423">
        <f t="shared" si="106"/>
        <v>13.188390756883905</v>
      </c>
      <c r="N183" s="423">
        <f t="shared" si="106"/>
        <v>13.188390756883905</v>
      </c>
      <c r="O183" s="423">
        <f t="shared" si="106"/>
        <v>13.188390756883905</v>
      </c>
      <c r="P183" s="423">
        <f t="shared" si="106"/>
        <v>13.188390756883905</v>
      </c>
      <c r="Q183" s="423">
        <f t="shared" si="106"/>
        <v>13.188390756883905</v>
      </c>
      <c r="R183" s="423">
        <f t="shared" si="106"/>
        <v>13.188390756883905</v>
      </c>
      <c r="S183" s="423">
        <f t="shared" si="106"/>
        <v>13.188390756883905</v>
      </c>
      <c r="T183" s="423">
        <f t="shared" si="106"/>
        <v>13.188390756883905</v>
      </c>
    </row>
    <row r="184" spans="1:20" x14ac:dyDescent="0.2">
      <c r="A184" s="421" t="str">
        <f t="shared" si="88"/>
        <v>Grey and e-Methanol - Asia - Logistics total - USD/ton</v>
      </c>
      <c r="B184" s="421"/>
      <c r="C184" s="266" t="s">
        <v>198</v>
      </c>
      <c r="D184" s="266" t="s">
        <v>780</v>
      </c>
      <c r="E184" s="266" t="s">
        <v>732</v>
      </c>
      <c r="F184" s="266" t="str">
        <f>+D184&amp;" "&amp;E184</f>
        <v>Grey and e-Methanol Logistics total</v>
      </c>
      <c r="G184" s="282" t="s">
        <v>205</v>
      </c>
      <c r="H184" s="266"/>
      <c r="I184" s="423">
        <f t="shared" ref="I184:T184" si="107">I145+I163</f>
        <v>13.188390756883905</v>
      </c>
      <c r="J184" s="423">
        <f t="shared" si="107"/>
        <v>13.188390756883905</v>
      </c>
      <c r="K184" s="423">
        <f t="shared" si="107"/>
        <v>13.188390756883905</v>
      </c>
      <c r="L184" s="423">
        <f t="shared" si="107"/>
        <v>13.188390756883905</v>
      </c>
      <c r="M184" s="423">
        <f t="shared" si="107"/>
        <v>13.188390756883905</v>
      </c>
      <c r="N184" s="423">
        <f t="shared" si="107"/>
        <v>13.188390756883905</v>
      </c>
      <c r="O184" s="423">
        <f t="shared" si="107"/>
        <v>13.188390756883905</v>
      </c>
      <c r="P184" s="423">
        <f t="shared" si="107"/>
        <v>13.188390756883905</v>
      </c>
      <c r="Q184" s="423">
        <f t="shared" si="107"/>
        <v>13.188390756883905</v>
      </c>
      <c r="R184" s="423">
        <f t="shared" si="107"/>
        <v>13.188390756883905</v>
      </c>
      <c r="S184" s="423">
        <f t="shared" si="107"/>
        <v>13.188390756883905</v>
      </c>
      <c r="T184" s="423">
        <f t="shared" si="107"/>
        <v>13.188390756883905</v>
      </c>
    </row>
    <row r="185" spans="1:20" x14ac:dyDescent="0.2">
      <c r="A185" s="421" t="str">
        <f t="shared" si="88"/>
        <v>Grey and e-Methanol - Middle East - Logistics total - USD/ton</v>
      </c>
      <c r="B185" s="421"/>
      <c r="C185" s="266" t="s">
        <v>197</v>
      </c>
      <c r="D185" s="266" t="s">
        <v>780</v>
      </c>
      <c r="E185" s="266" t="s">
        <v>732</v>
      </c>
      <c r="F185" s="266" t="str">
        <f>+D185&amp;" "&amp;E185</f>
        <v>Grey and e-Methanol Logistics total</v>
      </c>
      <c r="G185" s="282" t="s">
        <v>205</v>
      </c>
      <c r="H185" s="266"/>
      <c r="I185" s="423">
        <f t="shared" ref="I185:T185" si="108">I146+I164</f>
        <v>13.188390756883905</v>
      </c>
      <c r="J185" s="423">
        <f t="shared" si="108"/>
        <v>13.188390756883905</v>
      </c>
      <c r="K185" s="423">
        <f t="shared" si="108"/>
        <v>13.188390756883905</v>
      </c>
      <c r="L185" s="423">
        <f t="shared" si="108"/>
        <v>13.188390756883905</v>
      </c>
      <c r="M185" s="423">
        <f t="shared" si="108"/>
        <v>13.188390756883905</v>
      </c>
      <c r="N185" s="423">
        <f t="shared" si="108"/>
        <v>13.188390756883905</v>
      </c>
      <c r="O185" s="423">
        <f t="shared" si="108"/>
        <v>13.188390756883905</v>
      </c>
      <c r="P185" s="423">
        <f t="shared" si="108"/>
        <v>13.188390756883905</v>
      </c>
      <c r="Q185" s="423">
        <f t="shared" si="108"/>
        <v>13.188390756883905</v>
      </c>
      <c r="R185" s="423">
        <f t="shared" si="108"/>
        <v>13.188390756883905</v>
      </c>
      <c r="S185" s="423">
        <f t="shared" si="108"/>
        <v>13.188390756883905</v>
      </c>
      <c r="T185" s="423">
        <f t="shared" si="108"/>
        <v>13.188390756883905</v>
      </c>
    </row>
    <row r="186" spans="1:20" x14ac:dyDescent="0.2">
      <c r="A186" s="421" t="str">
        <f t="shared" si="88"/>
        <v>Grey and e-Methanol - Americas - Logistics total - USD/ton</v>
      </c>
      <c r="B186" s="421"/>
      <c r="C186" s="266" t="s">
        <v>199</v>
      </c>
      <c r="D186" s="266" t="s">
        <v>780</v>
      </c>
      <c r="E186" s="266" t="s">
        <v>732</v>
      </c>
      <c r="F186" s="266" t="str">
        <f>+D186&amp;" "&amp;E186</f>
        <v>Grey and e-Methanol Logistics total</v>
      </c>
      <c r="G186" s="282" t="s">
        <v>205</v>
      </c>
      <c r="H186" s="266"/>
      <c r="I186" s="423">
        <f t="shared" ref="I186:T186" si="109">I147+I165</f>
        <v>13.188390756883905</v>
      </c>
      <c r="J186" s="423">
        <f t="shared" si="109"/>
        <v>13.188390756883905</v>
      </c>
      <c r="K186" s="423">
        <f t="shared" si="109"/>
        <v>13.188390756883905</v>
      </c>
      <c r="L186" s="423">
        <f t="shared" si="109"/>
        <v>13.188390756883905</v>
      </c>
      <c r="M186" s="423">
        <f t="shared" si="109"/>
        <v>13.188390756883905</v>
      </c>
      <c r="N186" s="423">
        <f t="shared" si="109"/>
        <v>13.188390756883905</v>
      </c>
      <c r="O186" s="423">
        <f t="shared" si="109"/>
        <v>13.188390756883905</v>
      </c>
      <c r="P186" s="423">
        <f t="shared" si="109"/>
        <v>13.188390756883905</v>
      </c>
      <c r="Q186" s="423">
        <f t="shared" si="109"/>
        <v>13.188390756883905</v>
      </c>
      <c r="R186" s="423">
        <f t="shared" si="109"/>
        <v>13.188390756883905</v>
      </c>
      <c r="S186" s="423">
        <f t="shared" si="109"/>
        <v>13.188390756883905</v>
      </c>
      <c r="T186" s="423">
        <f t="shared" si="109"/>
        <v>13.188390756883905</v>
      </c>
    </row>
    <row r="187" spans="1:20" x14ac:dyDescent="0.2">
      <c r="A187" s="421" t="str">
        <f t="shared" si="88"/>
        <v>Grey and e-Methanol - Africa&amp;Other - Logistics total - USD/ton</v>
      </c>
      <c r="B187" s="421"/>
      <c r="C187" s="266" t="s">
        <v>498</v>
      </c>
      <c r="D187" s="266" t="s">
        <v>780</v>
      </c>
      <c r="E187" s="266" t="s">
        <v>732</v>
      </c>
      <c r="F187" s="266" t="str">
        <f>+D187&amp;" "&amp;E187</f>
        <v>Grey and e-Methanol Logistics total</v>
      </c>
      <c r="G187" s="282" t="s">
        <v>205</v>
      </c>
      <c r="H187" s="266"/>
      <c r="I187" s="423">
        <f t="shared" ref="I187:T187" si="110">I148+I166</f>
        <v>13.188390756883905</v>
      </c>
      <c r="J187" s="423">
        <f t="shared" si="110"/>
        <v>13.188390756883905</v>
      </c>
      <c r="K187" s="423">
        <f t="shared" si="110"/>
        <v>13.188390756883905</v>
      </c>
      <c r="L187" s="423">
        <f t="shared" si="110"/>
        <v>13.188390756883905</v>
      </c>
      <c r="M187" s="423">
        <f t="shared" si="110"/>
        <v>13.188390756883905</v>
      </c>
      <c r="N187" s="423">
        <f t="shared" si="110"/>
        <v>13.188390756883905</v>
      </c>
      <c r="O187" s="423">
        <f t="shared" si="110"/>
        <v>13.188390756883905</v>
      </c>
      <c r="P187" s="423">
        <f t="shared" si="110"/>
        <v>13.188390756883905</v>
      </c>
      <c r="Q187" s="423">
        <f t="shared" si="110"/>
        <v>13.188390756883905</v>
      </c>
      <c r="R187" s="423">
        <f t="shared" si="110"/>
        <v>13.188390756883905</v>
      </c>
      <c r="S187" s="423">
        <f t="shared" si="110"/>
        <v>13.188390756883905</v>
      </c>
      <c r="T187" s="423">
        <f t="shared" si="110"/>
        <v>13.188390756883905</v>
      </c>
    </row>
    <row r="188" spans="1:20" x14ac:dyDescent="0.2">
      <c r="A188" s="421"/>
      <c r="B188" s="421"/>
      <c r="C188" s="266"/>
      <c r="D188" s="266"/>
      <c r="E188" s="266"/>
      <c r="F188" s="266"/>
      <c r="G188" s="282"/>
      <c r="H188" s="266"/>
      <c r="I188" s="423"/>
      <c r="J188" s="423"/>
      <c r="K188" s="423"/>
      <c r="L188" s="423"/>
      <c r="M188" s="423"/>
      <c r="N188" s="423"/>
      <c r="O188" s="423"/>
      <c r="P188" s="423"/>
      <c r="Q188" s="423"/>
      <c r="R188" s="423"/>
      <c r="S188" s="423"/>
      <c r="T188" s="423"/>
    </row>
    <row r="189" spans="1:20" x14ac:dyDescent="0.2">
      <c r="A189" s="421" t="str">
        <f>_xlfn.TEXTJOIN(keydelim,TRUE,D189,C189,E189,G189)</f>
        <v>Biomethanol - Europe - Logistics total - USD/ton</v>
      </c>
      <c r="B189" s="421"/>
      <c r="C189" s="266" t="s">
        <v>195</v>
      </c>
      <c r="D189" s="266" t="s">
        <v>586</v>
      </c>
      <c r="E189" s="266" t="s">
        <v>732</v>
      </c>
      <c r="F189" s="266" t="str">
        <f>+D189&amp;" "&amp;E189</f>
        <v>Biomethanol Logistics total</v>
      </c>
      <c r="G189" s="282" t="s">
        <v>205</v>
      </c>
      <c r="H189" s="266"/>
      <c r="I189" s="423">
        <f t="shared" ref="I189:T189" si="111">+I150+I162</f>
        <v>18.377265808772655</v>
      </c>
      <c r="J189" s="423">
        <f t="shared" si="111"/>
        <v>18.377265808772655</v>
      </c>
      <c r="K189" s="423">
        <f t="shared" si="111"/>
        <v>18.377265808772655</v>
      </c>
      <c r="L189" s="423">
        <f t="shared" si="111"/>
        <v>18.377265808772655</v>
      </c>
      <c r="M189" s="423">
        <f t="shared" si="111"/>
        <v>18.377265808772655</v>
      </c>
      <c r="N189" s="423">
        <f t="shared" si="111"/>
        <v>18.377265808772655</v>
      </c>
      <c r="O189" s="423">
        <f t="shared" si="111"/>
        <v>18.377265808772655</v>
      </c>
      <c r="P189" s="423">
        <f t="shared" si="111"/>
        <v>18.377265808772655</v>
      </c>
      <c r="Q189" s="423">
        <f t="shared" si="111"/>
        <v>18.377265808772655</v>
      </c>
      <c r="R189" s="423">
        <f t="shared" si="111"/>
        <v>18.377265808772655</v>
      </c>
      <c r="S189" s="423">
        <f t="shared" si="111"/>
        <v>18.377265808772655</v>
      </c>
      <c r="T189" s="423">
        <f t="shared" si="111"/>
        <v>18.377265808772655</v>
      </c>
    </row>
    <row r="190" spans="1:20" x14ac:dyDescent="0.2">
      <c r="A190" s="421" t="str">
        <f>_xlfn.TEXTJOIN(keydelim,TRUE,D190,C190,E190,G190)</f>
        <v>Biomethanol - Asia - Logistics total - USD/ton</v>
      </c>
      <c r="B190" s="421"/>
      <c r="C190" s="266" t="s">
        <v>198</v>
      </c>
      <c r="D190" s="266" t="s">
        <v>586</v>
      </c>
      <c r="E190" s="266" t="s">
        <v>732</v>
      </c>
      <c r="F190" s="266" t="str">
        <f>+D190&amp;" "&amp;E190</f>
        <v>Biomethanol Logistics total</v>
      </c>
      <c r="G190" s="282" t="s">
        <v>205</v>
      </c>
      <c r="H190" s="266"/>
      <c r="I190" s="423">
        <f t="shared" ref="I190:T190" si="112">+I151+I163</f>
        <v>18.377265808772655</v>
      </c>
      <c r="J190" s="423">
        <f t="shared" si="112"/>
        <v>18.377265808772655</v>
      </c>
      <c r="K190" s="423">
        <f t="shared" si="112"/>
        <v>18.377265808772655</v>
      </c>
      <c r="L190" s="423">
        <f t="shared" si="112"/>
        <v>18.377265808772655</v>
      </c>
      <c r="M190" s="423">
        <f t="shared" si="112"/>
        <v>18.377265808772655</v>
      </c>
      <c r="N190" s="423">
        <f t="shared" si="112"/>
        <v>18.377265808772655</v>
      </c>
      <c r="O190" s="423">
        <f t="shared" si="112"/>
        <v>18.377265808772655</v>
      </c>
      <c r="P190" s="423">
        <f t="shared" si="112"/>
        <v>18.377265808772655</v>
      </c>
      <c r="Q190" s="423">
        <f t="shared" si="112"/>
        <v>18.377265808772655</v>
      </c>
      <c r="R190" s="423">
        <f t="shared" si="112"/>
        <v>18.377265808772655</v>
      </c>
      <c r="S190" s="423">
        <f t="shared" si="112"/>
        <v>18.377265808772655</v>
      </c>
      <c r="T190" s="423">
        <f t="shared" si="112"/>
        <v>18.377265808772655</v>
      </c>
    </row>
    <row r="191" spans="1:20" x14ac:dyDescent="0.2">
      <c r="A191" s="421" t="str">
        <f>_xlfn.TEXTJOIN(keydelim,TRUE,D191,C191,E191,G191)</f>
        <v>Biomethanol - Middle East - Logistics total - USD/ton</v>
      </c>
      <c r="B191" s="421"/>
      <c r="C191" s="266" t="s">
        <v>197</v>
      </c>
      <c r="D191" s="266" t="s">
        <v>586</v>
      </c>
      <c r="E191" s="266" t="s">
        <v>732</v>
      </c>
      <c r="F191" s="266" t="str">
        <f>+D191&amp;" "&amp;E191</f>
        <v>Biomethanol Logistics total</v>
      </c>
      <c r="G191" s="282" t="s">
        <v>205</v>
      </c>
      <c r="H191" s="266"/>
      <c r="I191" s="423">
        <f t="shared" ref="I191:T191" si="113">+I152+I164</f>
        <v>18.377265808772655</v>
      </c>
      <c r="J191" s="423">
        <f t="shared" si="113"/>
        <v>18.377265808772655</v>
      </c>
      <c r="K191" s="423">
        <f t="shared" si="113"/>
        <v>18.377265808772655</v>
      </c>
      <c r="L191" s="423">
        <f t="shared" si="113"/>
        <v>18.377265808772655</v>
      </c>
      <c r="M191" s="423">
        <f t="shared" si="113"/>
        <v>18.377265808772655</v>
      </c>
      <c r="N191" s="423">
        <f t="shared" si="113"/>
        <v>18.377265808772655</v>
      </c>
      <c r="O191" s="423">
        <f t="shared" si="113"/>
        <v>18.377265808772655</v>
      </c>
      <c r="P191" s="423">
        <f t="shared" si="113"/>
        <v>18.377265808772655</v>
      </c>
      <c r="Q191" s="423">
        <f t="shared" si="113"/>
        <v>18.377265808772655</v>
      </c>
      <c r="R191" s="423">
        <f t="shared" si="113"/>
        <v>18.377265808772655</v>
      </c>
      <c r="S191" s="423">
        <f t="shared" si="113"/>
        <v>18.377265808772655</v>
      </c>
      <c r="T191" s="423">
        <f t="shared" si="113"/>
        <v>18.377265808772655</v>
      </c>
    </row>
    <row r="192" spans="1:20" x14ac:dyDescent="0.2">
      <c r="A192" s="421" t="str">
        <f>_xlfn.TEXTJOIN(keydelim,TRUE,D192,C192,E192,G192)</f>
        <v>Biomethanol - Americas - Logistics total - USD/ton</v>
      </c>
      <c r="B192" s="421"/>
      <c r="C192" s="266" t="s">
        <v>199</v>
      </c>
      <c r="D192" s="266" t="s">
        <v>586</v>
      </c>
      <c r="E192" s="266" t="s">
        <v>732</v>
      </c>
      <c r="F192" s="266" t="str">
        <f>+D192&amp;" "&amp;E192</f>
        <v>Biomethanol Logistics total</v>
      </c>
      <c r="G192" s="282" t="s">
        <v>205</v>
      </c>
      <c r="H192" s="266"/>
      <c r="I192" s="423">
        <f t="shared" ref="I192:T192" si="114">+I153+I165</f>
        <v>18.377265808772655</v>
      </c>
      <c r="J192" s="423">
        <f t="shared" si="114"/>
        <v>18.377265808772655</v>
      </c>
      <c r="K192" s="423">
        <f t="shared" si="114"/>
        <v>18.377265808772655</v>
      </c>
      <c r="L192" s="423">
        <f t="shared" si="114"/>
        <v>18.377265808772655</v>
      </c>
      <c r="M192" s="423">
        <f t="shared" si="114"/>
        <v>18.377265808772655</v>
      </c>
      <c r="N192" s="423">
        <f t="shared" si="114"/>
        <v>18.377265808772655</v>
      </c>
      <c r="O192" s="423">
        <f t="shared" si="114"/>
        <v>18.377265808772655</v>
      </c>
      <c r="P192" s="423">
        <f t="shared" si="114"/>
        <v>18.377265808772655</v>
      </c>
      <c r="Q192" s="423">
        <f t="shared" si="114"/>
        <v>18.377265808772655</v>
      </c>
      <c r="R192" s="423">
        <f t="shared" si="114"/>
        <v>18.377265808772655</v>
      </c>
      <c r="S192" s="423">
        <f t="shared" si="114"/>
        <v>18.377265808772655</v>
      </c>
      <c r="T192" s="423">
        <f t="shared" si="114"/>
        <v>18.377265808772655</v>
      </c>
    </row>
    <row r="193" spans="1:28" x14ac:dyDescent="0.2">
      <c r="A193" s="421" t="str">
        <f>_xlfn.TEXTJOIN(keydelim,TRUE,D193,C193,E193,G193)</f>
        <v>Biomethanol - Africa&amp;Other - Logistics total - USD/ton</v>
      </c>
      <c r="B193" s="421"/>
      <c r="C193" s="266" t="s">
        <v>498</v>
      </c>
      <c r="D193" s="266" t="s">
        <v>586</v>
      </c>
      <c r="E193" s="266" t="s">
        <v>732</v>
      </c>
      <c r="F193" s="266" t="str">
        <f>+D193&amp;" "&amp;E193</f>
        <v>Biomethanol Logistics total</v>
      </c>
      <c r="G193" s="282" t="s">
        <v>205</v>
      </c>
      <c r="H193" s="266"/>
      <c r="I193" s="423">
        <f t="shared" ref="I193:T193" si="115">+I154+I166</f>
        <v>18.377265808772655</v>
      </c>
      <c r="J193" s="423">
        <f t="shared" si="115"/>
        <v>18.377265808772655</v>
      </c>
      <c r="K193" s="423">
        <f t="shared" si="115"/>
        <v>18.377265808772655</v>
      </c>
      <c r="L193" s="423">
        <f t="shared" si="115"/>
        <v>18.377265808772655</v>
      </c>
      <c r="M193" s="423">
        <f t="shared" si="115"/>
        <v>18.377265808772655</v>
      </c>
      <c r="N193" s="423">
        <f t="shared" si="115"/>
        <v>18.377265808772655</v>
      </c>
      <c r="O193" s="423">
        <f t="shared" si="115"/>
        <v>18.377265808772655</v>
      </c>
      <c r="P193" s="423">
        <f t="shared" si="115"/>
        <v>18.377265808772655</v>
      </c>
      <c r="Q193" s="423">
        <f t="shared" si="115"/>
        <v>18.377265808772655</v>
      </c>
      <c r="R193" s="423">
        <f t="shared" si="115"/>
        <v>18.377265808772655</v>
      </c>
      <c r="S193" s="423">
        <f t="shared" si="115"/>
        <v>18.377265808772655</v>
      </c>
      <c r="T193" s="423">
        <f t="shared" si="115"/>
        <v>18.377265808772655</v>
      </c>
    </row>
    <row r="194" spans="1:28" x14ac:dyDescent="0.2">
      <c r="A194" s="421"/>
      <c r="B194" s="421"/>
      <c r="I194" s="95"/>
      <c r="J194" s="95"/>
      <c r="K194" s="95"/>
      <c r="L194" s="95"/>
      <c r="M194" s="95"/>
      <c r="N194" s="95"/>
      <c r="O194" s="95"/>
      <c r="P194" s="95"/>
      <c r="Q194" s="95"/>
      <c r="R194" s="95"/>
      <c r="S194" s="95"/>
      <c r="T194" s="95"/>
    </row>
    <row r="195" spans="1:28" x14ac:dyDescent="0.2">
      <c r="A195" s="418" t="s">
        <v>531</v>
      </c>
      <c r="B195" s="31"/>
      <c r="C195" s="418" t="str">
        <f>+A195</f>
        <v>Liquid hydrogen</v>
      </c>
      <c r="D195" s="419"/>
      <c r="E195" s="419"/>
      <c r="F195" s="419"/>
      <c r="G195" s="420"/>
      <c r="H195" s="419"/>
      <c r="I195" s="419"/>
      <c r="J195" s="419"/>
      <c r="K195" s="419"/>
      <c r="L195" s="419"/>
      <c r="M195" s="419"/>
      <c r="N195" s="419"/>
      <c r="O195" s="419"/>
      <c r="P195" s="419"/>
      <c r="Q195" s="419"/>
      <c r="R195" s="419"/>
      <c r="S195" s="419"/>
      <c r="T195" s="419"/>
    </row>
    <row r="196" spans="1:28" hidden="1" outlineLevel="1" x14ac:dyDescent="0.2">
      <c r="A196" s="421" t="str">
        <f t="shared" ref="A196:A218" si="116">_xlfn.TEXTJOIN(keydelim,TRUE,D196,C196,E196,G196)</f>
        <v/>
      </c>
      <c r="B196" s="421"/>
      <c r="C196" s="15"/>
      <c r="D196" s="15"/>
      <c r="E196" s="15"/>
      <c r="F196" s="15"/>
      <c r="G196" s="55"/>
      <c r="H196" s="15"/>
      <c r="I196" s="15"/>
      <c r="J196" s="15"/>
      <c r="K196" s="15"/>
      <c r="L196" s="15"/>
      <c r="M196" s="15"/>
      <c r="N196" s="15"/>
      <c r="O196" s="15"/>
      <c r="P196" s="15"/>
      <c r="Q196" s="15"/>
      <c r="R196" s="15"/>
      <c r="S196" s="15"/>
      <c r="T196" s="15"/>
    </row>
    <row r="197" spans="1:28" ht="14.25" hidden="1" outlineLevel="1" x14ac:dyDescent="0.2">
      <c r="A197" s="421" t="str">
        <f t="shared" si="116"/>
        <v>Liquid hydrogen - Global - Transportation - USD/m3/year</v>
      </c>
      <c r="B197" s="421"/>
      <c r="C197" t="s">
        <v>109</v>
      </c>
      <c r="D197" t="str">
        <f t="shared" ref="D197:D203" si="117">$A$195</f>
        <v>Liquid hydrogen</v>
      </c>
      <c r="E197" t="s">
        <v>735</v>
      </c>
      <c r="F197" s="3" t="s">
        <v>736</v>
      </c>
      <c r="G197" s="224" t="s">
        <v>737</v>
      </c>
      <c r="H197" s="93"/>
      <c r="I197" s="424">
        <v>200</v>
      </c>
      <c r="J197" s="118">
        <f t="shared" ref="J197:O197" si="118">I197*(1+V197)^5</f>
        <v>200</v>
      </c>
      <c r="K197" s="118">
        <f t="shared" si="118"/>
        <v>200</v>
      </c>
      <c r="L197" s="118">
        <f t="shared" si="118"/>
        <v>200</v>
      </c>
      <c r="M197" s="118">
        <f t="shared" si="118"/>
        <v>200</v>
      </c>
      <c r="N197" s="118">
        <f t="shared" si="118"/>
        <v>200</v>
      </c>
      <c r="O197" s="118">
        <f t="shared" si="118"/>
        <v>200</v>
      </c>
      <c r="P197" s="118">
        <f>O197</f>
        <v>200</v>
      </c>
      <c r="Q197" s="118">
        <f>P197</f>
        <v>200</v>
      </c>
      <c r="R197" s="118">
        <f>Q197</f>
        <v>200</v>
      </c>
      <c r="S197" s="118">
        <f>R197</f>
        <v>200</v>
      </c>
      <c r="T197" s="118">
        <f>S197</f>
        <v>200</v>
      </c>
      <c r="V197" s="213">
        <v>0</v>
      </c>
      <c r="W197" s="213">
        <f t="shared" ref="W197:AB197" si="119">+V197</f>
        <v>0</v>
      </c>
      <c r="X197" s="213">
        <f t="shared" si="119"/>
        <v>0</v>
      </c>
      <c r="Y197" s="213">
        <f>+X197</f>
        <v>0</v>
      </c>
      <c r="Z197" s="213">
        <f t="shared" si="119"/>
        <v>0</v>
      </c>
      <c r="AA197" s="213">
        <f t="shared" si="119"/>
        <v>0</v>
      </c>
      <c r="AB197" s="213">
        <f t="shared" si="119"/>
        <v>0</v>
      </c>
    </row>
    <row r="198" spans="1:28" hidden="1" outlineLevel="1" x14ac:dyDescent="0.2">
      <c r="A198" s="421" t="str">
        <f t="shared" si="116"/>
        <v>Liquid hydrogen - Global - Transportation - -</v>
      </c>
      <c r="B198" s="421"/>
      <c r="C198" t="s">
        <v>109</v>
      </c>
      <c r="D198" t="str">
        <f t="shared" si="117"/>
        <v>Liquid hydrogen</v>
      </c>
      <c r="E198" t="s">
        <v>735</v>
      </c>
      <c r="F198" s="3" t="s">
        <v>784</v>
      </c>
      <c r="G198" s="425" t="s">
        <v>620</v>
      </c>
      <c r="H198" s="93"/>
      <c r="I198" s="424">
        <v>5</v>
      </c>
      <c r="J198">
        <f>I198</f>
        <v>5</v>
      </c>
      <c r="K198">
        <f>I198</f>
        <v>5</v>
      </c>
      <c r="L198">
        <f t="shared" ref="L198:T198" si="120">J198</f>
        <v>5</v>
      </c>
      <c r="M198">
        <f t="shared" si="120"/>
        <v>5</v>
      </c>
      <c r="N198">
        <f t="shared" si="120"/>
        <v>5</v>
      </c>
      <c r="O198">
        <f t="shared" si="120"/>
        <v>5</v>
      </c>
      <c r="P198">
        <f t="shared" si="120"/>
        <v>5</v>
      </c>
      <c r="Q198">
        <f t="shared" si="120"/>
        <v>5</v>
      </c>
      <c r="R198">
        <f t="shared" si="120"/>
        <v>5</v>
      </c>
      <c r="S198">
        <f t="shared" si="120"/>
        <v>5</v>
      </c>
      <c r="T198">
        <f t="shared" si="120"/>
        <v>5</v>
      </c>
      <c r="V198" s="431"/>
      <c r="W198" s="86"/>
      <c r="X198" s="86"/>
      <c r="Y198" s="86"/>
      <c r="Z198" s="86"/>
      <c r="AA198" s="86"/>
      <c r="AB198" s="86"/>
    </row>
    <row r="199" spans="1:28" hidden="1" outlineLevel="1" x14ac:dyDescent="0.2">
      <c r="A199" s="421" t="str">
        <f t="shared" si="116"/>
        <v>Liquid hydrogen - Global - Transportation - Knots</v>
      </c>
      <c r="B199" s="421"/>
      <c r="C199" t="s">
        <v>109</v>
      </c>
      <c r="D199" t="str">
        <f t="shared" si="117"/>
        <v>Liquid hydrogen</v>
      </c>
      <c r="E199" t="s">
        <v>735</v>
      </c>
      <c r="F199" s="3" t="s">
        <v>739</v>
      </c>
      <c r="G199" s="224" t="s">
        <v>740</v>
      </c>
      <c r="H199" s="93"/>
      <c r="I199" s="118">
        <f>+I85</f>
        <v>12</v>
      </c>
      <c r="J199" s="118">
        <v>12</v>
      </c>
      <c r="K199" s="118">
        <v>12</v>
      </c>
      <c r="L199" s="118">
        <v>12</v>
      </c>
      <c r="M199" s="118">
        <v>12</v>
      </c>
      <c r="N199" s="118">
        <v>12</v>
      </c>
      <c r="O199" s="118">
        <v>12</v>
      </c>
      <c r="P199" s="118">
        <v>12</v>
      </c>
      <c r="Q199" s="118">
        <v>12</v>
      </c>
      <c r="R199" s="118">
        <v>12</v>
      </c>
      <c r="S199" s="118">
        <v>12</v>
      </c>
      <c r="T199" s="118">
        <v>12</v>
      </c>
    </row>
    <row r="200" spans="1:28" ht="14.25" hidden="1" outlineLevel="1" x14ac:dyDescent="0.2">
      <c r="A200" s="421"/>
      <c r="B200" s="421"/>
      <c r="C200" t="s">
        <v>109</v>
      </c>
      <c r="D200" t="str">
        <f>+D199</f>
        <v>Liquid hydrogen</v>
      </c>
      <c r="E200" t="s">
        <v>735</v>
      </c>
      <c r="F200" s="3" t="s">
        <v>741</v>
      </c>
      <c r="G200" s="224" t="s">
        <v>742</v>
      </c>
      <c r="H200" s="93"/>
      <c r="I200" s="119">
        <f>+I$17</f>
        <v>0.375</v>
      </c>
      <c r="J200" s="119">
        <f t="shared" ref="J200:O200" si="121">+J$17</f>
        <v>0.26088313848749989</v>
      </c>
      <c r="K200" s="119">
        <f t="shared" si="121"/>
        <v>0.1814933651922348</v>
      </c>
      <c r="L200" s="119">
        <f t="shared" si="121"/>
        <v>0.12626282326935517</v>
      </c>
      <c r="M200" s="119">
        <f t="shared" si="121"/>
        <v>8.7839577623471762E-2</v>
      </c>
      <c r="N200" s="119">
        <f t="shared" si="121"/>
        <v>6.1108972516873819E-2</v>
      </c>
      <c r="O200" s="119">
        <f t="shared" si="121"/>
        <v>4.2512801439862448E-2</v>
      </c>
      <c r="P200" s="118"/>
      <c r="Q200" s="118"/>
      <c r="R200" s="118"/>
      <c r="S200" s="118"/>
      <c r="T200" s="118"/>
      <c r="V200" s="213">
        <v>-7.0000000000000007E-2</v>
      </c>
      <c r="W200" s="213">
        <f t="shared" ref="W200:AB200" si="122">+V200</f>
        <v>-7.0000000000000007E-2</v>
      </c>
      <c r="X200" s="213">
        <f t="shared" si="122"/>
        <v>-7.0000000000000007E-2</v>
      </c>
      <c r="Y200" s="213">
        <f>+X200</f>
        <v>-7.0000000000000007E-2</v>
      </c>
      <c r="Z200" s="213">
        <f t="shared" si="122"/>
        <v>-7.0000000000000007E-2</v>
      </c>
      <c r="AA200" s="213">
        <f t="shared" si="122"/>
        <v>-7.0000000000000007E-2</v>
      </c>
      <c r="AB200" s="213">
        <f t="shared" si="122"/>
        <v>-7.0000000000000007E-2</v>
      </c>
    </row>
    <row r="201" spans="1:28" hidden="1" outlineLevel="1" x14ac:dyDescent="0.2">
      <c r="A201" s="421" t="str">
        <f t="shared" si="116"/>
        <v>Liquid hydrogen - Global - Transportation - -</v>
      </c>
      <c r="B201" s="421"/>
      <c r="C201" t="s">
        <v>109</v>
      </c>
      <c r="D201" t="str">
        <f t="shared" si="117"/>
        <v>Liquid hydrogen</v>
      </c>
      <c r="E201" t="s">
        <v>735</v>
      </c>
      <c r="F201" s="3" t="s">
        <v>744</v>
      </c>
      <c r="G201" s="425" t="s">
        <v>620</v>
      </c>
      <c r="H201" s="93"/>
      <c r="I201" s="118">
        <f>+I87</f>
        <v>7</v>
      </c>
      <c r="J201" s="118">
        <f>I201</f>
        <v>7</v>
      </c>
      <c r="K201" s="118">
        <f t="shared" ref="K201:T201" si="123">J201</f>
        <v>7</v>
      </c>
      <c r="L201" s="118">
        <f t="shared" si="123"/>
        <v>7</v>
      </c>
      <c r="M201" s="118">
        <f t="shared" si="123"/>
        <v>7</v>
      </c>
      <c r="N201" s="118">
        <f t="shared" si="123"/>
        <v>7</v>
      </c>
      <c r="O201" s="118">
        <f t="shared" si="123"/>
        <v>7</v>
      </c>
      <c r="P201" s="118">
        <f t="shared" si="123"/>
        <v>7</v>
      </c>
      <c r="Q201" s="118">
        <f t="shared" si="123"/>
        <v>7</v>
      </c>
      <c r="R201" s="118">
        <f t="shared" si="123"/>
        <v>7</v>
      </c>
      <c r="S201" s="118">
        <f t="shared" si="123"/>
        <v>7</v>
      </c>
      <c r="T201" s="118">
        <f t="shared" si="123"/>
        <v>7</v>
      </c>
    </row>
    <row r="202" spans="1:28" hidden="1" outlineLevel="1" x14ac:dyDescent="0.2">
      <c r="A202" s="421" t="str">
        <f t="shared" si="116"/>
        <v>Liquid hydrogen - Global - Transportation - km</v>
      </c>
      <c r="B202" s="421"/>
      <c r="C202" t="s">
        <v>109</v>
      </c>
      <c r="D202" t="str">
        <f t="shared" si="117"/>
        <v>Liquid hydrogen</v>
      </c>
      <c r="E202" t="s">
        <v>735</v>
      </c>
      <c r="F202" s="3" t="s">
        <v>747</v>
      </c>
      <c r="G202" s="425" t="s">
        <v>748</v>
      </c>
      <c r="H202" s="93"/>
      <c r="I202" s="118">
        <f t="shared" ref="I202:T202" si="124">I199*kmh_per_knot*I201*24</f>
        <v>3733.6320000000005</v>
      </c>
      <c r="J202" s="118">
        <f t="shared" si="124"/>
        <v>3733.6320000000005</v>
      </c>
      <c r="K202" s="118">
        <f t="shared" si="124"/>
        <v>3733.6320000000005</v>
      </c>
      <c r="L202" s="118">
        <f t="shared" si="124"/>
        <v>3733.6320000000005</v>
      </c>
      <c r="M202" s="118">
        <f t="shared" si="124"/>
        <v>3733.6320000000005</v>
      </c>
      <c r="N202" s="118">
        <f t="shared" si="124"/>
        <v>3733.6320000000005</v>
      </c>
      <c r="O202" s="118">
        <f t="shared" si="124"/>
        <v>3733.6320000000005</v>
      </c>
      <c r="P202" s="118">
        <f t="shared" si="124"/>
        <v>3733.6320000000005</v>
      </c>
      <c r="Q202" s="118">
        <f t="shared" si="124"/>
        <v>3733.6320000000005</v>
      </c>
      <c r="R202" s="118">
        <f t="shared" si="124"/>
        <v>3733.6320000000005</v>
      </c>
      <c r="S202" s="118">
        <f t="shared" si="124"/>
        <v>3733.6320000000005</v>
      </c>
      <c r="T202" s="118">
        <f t="shared" si="124"/>
        <v>3733.6320000000005</v>
      </c>
    </row>
    <row r="203" spans="1:28" hidden="1" outlineLevel="1" x14ac:dyDescent="0.2">
      <c r="A203" s="421" t="str">
        <f t="shared" si="116"/>
        <v>Liquid hydrogen - Global - Transportation - %</v>
      </c>
      <c r="B203" s="421"/>
      <c r="C203" t="s">
        <v>109</v>
      </c>
      <c r="D203" t="str">
        <f t="shared" si="117"/>
        <v>Liquid hydrogen</v>
      </c>
      <c r="E203" t="s">
        <v>735</v>
      </c>
      <c r="F203" s="3" t="s">
        <v>750</v>
      </c>
      <c r="G203" s="425" t="s">
        <v>178</v>
      </c>
      <c r="H203" s="93"/>
      <c r="I203" s="90">
        <f>+I22</f>
        <v>0.4</v>
      </c>
      <c r="J203" s="90">
        <v>0.4</v>
      </c>
      <c r="K203" s="90">
        <v>0.4</v>
      </c>
      <c r="L203" s="90">
        <v>0.4</v>
      </c>
      <c r="M203" s="90">
        <v>0.4</v>
      </c>
      <c r="N203" s="90">
        <v>0.4</v>
      </c>
      <c r="O203" s="90">
        <v>0.4</v>
      </c>
      <c r="P203" s="90">
        <v>0.4</v>
      </c>
      <c r="Q203" s="90">
        <v>0.4</v>
      </c>
      <c r="R203" s="90">
        <v>0.4</v>
      </c>
      <c r="S203" s="90">
        <v>0.4</v>
      </c>
      <c r="T203" s="90">
        <v>0.4</v>
      </c>
    </row>
    <row r="204" spans="1:28" hidden="1" outlineLevel="1" x14ac:dyDescent="0.2">
      <c r="A204" s="421" t="str">
        <f t="shared" si="116"/>
        <v/>
      </c>
      <c r="B204" s="421"/>
      <c r="C204" s="15"/>
      <c r="D204" s="15"/>
      <c r="E204" s="15"/>
      <c r="F204" s="15"/>
      <c r="G204" s="55"/>
      <c r="H204" s="15"/>
      <c r="I204" s="15"/>
      <c r="J204" s="15"/>
      <c r="K204" s="15"/>
      <c r="L204" s="15"/>
      <c r="M204" s="15"/>
      <c r="N204" s="15"/>
      <c r="O204" s="15"/>
      <c r="P204" s="15"/>
      <c r="Q204" s="15"/>
      <c r="R204" s="15"/>
      <c r="S204" s="15"/>
      <c r="T204" s="15"/>
    </row>
    <row r="205" spans="1:28" hidden="1" outlineLevel="1" x14ac:dyDescent="0.2">
      <c r="A205" s="421" t="str">
        <f t="shared" si="116"/>
        <v>Liquid hydrogen - Europe - delivery - USD/ton</v>
      </c>
      <c r="B205" s="421"/>
      <c r="C205" t="s">
        <v>195</v>
      </c>
      <c r="D205" t="str">
        <f>$A$195</f>
        <v>Liquid hydrogen</v>
      </c>
      <c r="E205" t="s">
        <v>772</v>
      </c>
      <c r="F205" t="s">
        <v>785</v>
      </c>
      <c r="G205" s="224" t="s">
        <v>205</v>
      </c>
      <c r="H205" s="93"/>
      <c r="I205" s="93">
        <f t="shared" ref="I205:T209" si="125">I$197*I$198/365*I$201/I$203/I$211*1000</f>
        <v>694.85805042684137</v>
      </c>
      <c r="J205" s="93">
        <f t="shared" si="125"/>
        <v>694.85805042684137</v>
      </c>
      <c r="K205" s="93">
        <f t="shared" si="125"/>
        <v>694.85805042684137</v>
      </c>
      <c r="L205" s="93">
        <f t="shared" si="125"/>
        <v>694.85805042684137</v>
      </c>
      <c r="M205" s="93">
        <f t="shared" si="125"/>
        <v>694.85805042684137</v>
      </c>
      <c r="N205" s="93">
        <f t="shared" si="125"/>
        <v>694.85805042684137</v>
      </c>
      <c r="O205" s="93">
        <f t="shared" si="125"/>
        <v>694.85805042684137</v>
      </c>
      <c r="P205" s="93">
        <f t="shared" si="125"/>
        <v>694.85805042684137</v>
      </c>
      <c r="Q205" s="93">
        <f t="shared" si="125"/>
        <v>694.85805042684137</v>
      </c>
      <c r="R205" s="93">
        <f t="shared" si="125"/>
        <v>694.85805042684137</v>
      </c>
      <c r="S205" s="93">
        <f t="shared" si="125"/>
        <v>694.85805042684137</v>
      </c>
      <c r="T205" s="93">
        <f t="shared" si="125"/>
        <v>694.85805042684137</v>
      </c>
    </row>
    <row r="206" spans="1:28" hidden="1" outlineLevel="1" x14ac:dyDescent="0.2">
      <c r="A206" s="421" t="str">
        <f t="shared" si="116"/>
        <v>Liquid hydrogen - Asia - delivery - USD/ton</v>
      </c>
      <c r="B206" s="421"/>
      <c r="C206" t="s">
        <v>198</v>
      </c>
      <c r="D206" t="str">
        <f>$A$195</f>
        <v>Liquid hydrogen</v>
      </c>
      <c r="E206" t="s">
        <v>772</v>
      </c>
      <c r="F206" t="s">
        <v>785</v>
      </c>
      <c r="G206" s="224" t="s">
        <v>205</v>
      </c>
      <c r="H206" s="93"/>
      <c r="I206" s="93">
        <f t="shared" si="125"/>
        <v>694.85805042684137</v>
      </c>
      <c r="J206" s="93">
        <f t="shared" si="125"/>
        <v>694.85805042684137</v>
      </c>
      <c r="K206" s="93">
        <f t="shared" si="125"/>
        <v>694.85805042684137</v>
      </c>
      <c r="L206" s="93">
        <f t="shared" si="125"/>
        <v>694.85805042684137</v>
      </c>
      <c r="M206" s="93">
        <f t="shared" si="125"/>
        <v>694.85805042684137</v>
      </c>
      <c r="N206" s="93">
        <f t="shared" si="125"/>
        <v>694.85805042684137</v>
      </c>
      <c r="O206" s="93">
        <f t="shared" si="125"/>
        <v>694.85805042684137</v>
      </c>
      <c r="P206" s="93">
        <f t="shared" si="125"/>
        <v>694.85805042684137</v>
      </c>
      <c r="Q206" s="93">
        <f t="shared" si="125"/>
        <v>694.85805042684137</v>
      </c>
      <c r="R206" s="93">
        <f t="shared" si="125"/>
        <v>694.85805042684137</v>
      </c>
      <c r="S206" s="93">
        <f t="shared" si="125"/>
        <v>694.85805042684137</v>
      </c>
      <c r="T206" s="93">
        <f t="shared" si="125"/>
        <v>694.85805042684137</v>
      </c>
    </row>
    <row r="207" spans="1:28" hidden="1" outlineLevel="1" x14ac:dyDescent="0.2">
      <c r="A207" s="421" t="str">
        <f t="shared" si="116"/>
        <v>Liquid hydrogen - Middle East - delivery - USD/ton</v>
      </c>
      <c r="B207" s="421"/>
      <c r="C207" t="s">
        <v>197</v>
      </c>
      <c r="D207" t="str">
        <f>$A$195</f>
        <v>Liquid hydrogen</v>
      </c>
      <c r="E207" t="s">
        <v>772</v>
      </c>
      <c r="F207" t="s">
        <v>785</v>
      </c>
      <c r="G207" s="224" t="s">
        <v>205</v>
      </c>
      <c r="H207" s="93"/>
      <c r="I207" s="93">
        <f t="shared" si="125"/>
        <v>694.85805042684137</v>
      </c>
      <c r="J207" s="93">
        <f t="shared" si="125"/>
        <v>694.85805042684137</v>
      </c>
      <c r="K207" s="93">
        <f t="shared" si="125"/>
        <v>694.85805042684137</v>
      </c>
      <c r="L207" s="93">
        <f t="shared" si="125"/>
        <v>694.85805042684137</v>
      </c>
      <c r="M207" s="93">
        <f t="shared" si="125"/>
        <v>694.85805042684137</v>
      </c>
      <c r="N207" s="93">
        <f t="shared" si="125"/>
        <v>694.85805042684137</v>
      </c>
      <c r="O207" s="93">
        <f t="shared" si="125"/>
        <v>694.85805042684137</v>
      </c>
      <c r="P207" s="93">
        <f t="shared" si="125"/>
        <v>694.85805042684137</v>
      </c>
      <c r="Q207" s="93">
        <f t="shared" si="125"/>
        <v>694.85805042684137</v>
      </c>
      <c r="R207" s="93">
        <f t="shared" si="125"/>
        <v>694.85805042684137</v>
      </c>
      <c r="S207" s="93">
        <f t="shared" si="125"/>
        <v>694.85805042684137</v>
      </c>
      <c r="T207" s="93">
        <f t="shared" si="125"/>
        <v>694.85805042684137</v>
      </c>
    </row>
    <row r="208" spans="1:28" hidden="1" outlineLevel="1" x14ac:dyDescent="0.2">
      <c r="A208" s="421" t="str">
        <f t="shared" si="116"/>
        <v>Liquid hydrogen - Americas - delivery - USD/ton</v>
      </c>
      <c r="B208" s="421"/>
      <c r="C208" t="s">
        <v>199</v>
      </c>
      <c r="D208" t="str">
        <f>$A$195</f>
        <v>Liquid hydrogen</v>
      </c>
      <c r="E208" t="s">
        <v>772</v>
      </c>
      <c r="F208" t="s">
        <v>785</v>
      </c>
      <c r="G208" s="224" t="s">
        <v>205</v>
      </c>
      <c r="H208" s="93"/>
      <c r="I208" s="93">
        <f t="shared" si="125"/>
        <v>694.85805042684137</v>
      </c>
      <c r="J208" s="93">
        <f t="shared" si="125"/>
        <v>694.85805042684137</v>
      </c>
      <c r="K208" s="93">
        <f t="shared" si="125"/>
        <v>694.85805042684137</v>
      </c>
      <c r="L208" s="93">
        <f t="shared" si="125"/>
        <v>694.85805042684137</v>
      </c>
      <c r="M208" s="93">
        <f t="shared" si="125"/>
        <v>694.85805042684137</v>
      </c>
      <c r="N208" s="93">
        <f t="shared" si="125"/>
        <v>694.85805042684137</v>
      </c>
      <c r="O208" s="93">
        <f t="shared" si="125"/>
        <v>694.85805042684137</v>
      </c>
      <c r="P208" s="93">
        <f t="shared" si="125"/>
        <v>694.85805042684137</v>
      </c>
      <c r="Q208" s="93">
        <f t="shared" si="125"/>
        <v>694.85805042684137</v>
      </c>
      <c r="R208" s="93">
        <f t="shared" si="125"/>
        <v>694.85805042684137</v>
      </c>
      <c r="S208" s="93">
        <f t="shared" si="125"/>
        <v>694.85805042684137</v>
      </c>
      <c r="T208" s="93">
        <f t="shared" si="125"/>
        <v>694.85805042684137</v>
      </c>
    </row>
    <row r="209" spans="1:28" hidden="1" outlineLevel="1" x14ac:dyDescent="0.2">
      <c r="A209" s="421" t="str">
        <f t="shared" si="116"/>
        <v>Liquid hydrogen - Africa - delivery - USD/ton</v>
      </c>
      <c r="B209" s="421"/>
      <c r="C209" t="s">
        <v>200</v>
      </c>
      <c r="D209" t="str">
        <f>$A$195</f>
        <v>Liquid hydrogen</v>
      </c>
      <c r="E209" t="s">
        <v>772</v>
      </c>
      <c r="F209" t="s">
        <v>785</v>
      </c>
      <c r="G209" s="224" t="s">
        <v>205</v>
      </c>
      <c r="H209" s="93"/>
      <c r="I209" s="93">
        <f t="shared" si="125"/>
        <v>694.85805042684137</v>
      </c>
      <c r="J209" s="93">
        <f t="shared" si="125"/>
        <v>694.85805042684137</v>
      </c>
      <c r="K209" s="93">
        <f t="shared" si="125"/>
        <v>694.85805042684137</v>
      </c>
      <c r="L209" s="93">
        <f t="shared" si="125"/>
        <v>694.85805042684137</v>
      </c>
      <c r="M209" s="93">
        <f t="shared" si="125"/>
        <v>694.85805042684137</v>
      </c>
      <c r="N209" s="93">
        <f t="shared" si="125"/>
        <v>694.85805042684137</v>
      </c>
      <c r="O209" s="93">
        <f t="shared" si="125"/>
        <v>694.85805042684137</v>
      </c>
      <c r="P209" s="93">
        <f t="shared" si="125"/>
        <v>694.85805042684137</v>
      </c>
      <c r="Q209" s="93">
        <f t="shared" si="125"/>
        <v>694.85805042684137</v>
      </c>
      <c r="R209" s="93">
        <f t="shared" si="125"/>
        <v>694.85805042684137</v>
      </c>
      <c r="S209" s="93">
        <f t="shared" si="125"/>
        <v>694.85805042684137</v>
      </c>
      <c r="T209" s="93">
        <f t="shared" si="125"/>
        <v>694.85805042684137</v>
      </c>
    </row>
    <row r="210" spans="1:28" hidden="1" outlineLevel="1" x14ac:dyDescent="0.2">
      <c r="A210" s="421" t="str">
        <f t="shared" si="116"/>
        <v/>
      </c>
      <c r="B210" s="421"/>
      <c r="H210" s="93"/>
      <c r="I210" s="95"/>
      <c r="J210" s="95"/>
      <c r="K210" s="95"/>
      <c r="L210" s="95"/>
      <c r="M210" s="95"/>
      <c r="N210" s="95"/>
      <c r="O210" s="95"/>
      <c r="P210" s="95"/>
      <c r="Q210" s="95"/>
      <c r="R210" s="95"/>
      <c r="S210" s="95"/>
      <c r="T210" s="95"/>
    </row>
    <row r="211" spans="1:28" hidden="1" outlineLevel="1" x14ac:dyDescent="0.2">
      <c r="A211" s="421" t="str">
        <f t="shared" si="116"/>
        <v>Liquid hydrogen - Global - storage - kg/m3</v>
      </c>
      <c r="B211" s="421"/>
      <c r="C211" t="s">
        <v>109</v>
      </c>
      <c r="D211" t="str">
        <f>$A$195</f>
        <v>Liquid hydrogen</v>
      </c>
      <c r="E211" t="s">
        <v>775</v>
      </c>
      <c r="F211" t="s">
        <v>753</v>
      </c>
      <c r="G211" s="224" t="s">
        <v>754</v>
      </c>
      <c r="H211" s="93"/>
      <c r="I211" s="432">
        <v>69</v>
      </c>
      <c r="J211" s="93">
        <v>69</v>
      </c>
      <c r="K211" s="93">
        <v>69</v>
      </c>
      <c r="L211" s="93">
        <v>69</v>
      </c>
      <c r="M211" s="93">
        <v>69</v>
      </c>
      <c r="N211" s="93">
        <v>69</v>
      </c>
      <c r="O211" s="93">
        <v>69</v>
      </c>
      <c r="P211" s="93">
        <v>69</v>
      </c>
      <c r="Q211" s="93">
        <v>69</v>
      </c>
      <c r="R211" s="93">
        <v>69</v>
      </c>
      <c r="S211" s="93">
        <v>69</v>
      </c>
      <c r="T211" s="93">
        <v>69</v>
      </c>
    </row>
    <row r="212" spans="1:28" ht="14.25" hidden="1" outlineLevel="1" x14ac:dyDescent="0.2">
      <c r="A212" s="421" t="str">
        <f t="shared" si="116"/>
        <v>Liquid hydrogen - Global - storage - %</v>
      </c>
      <c r="B212" s="421"/>
      <c r="C212" t="s">
        <v>109</v>
      </c>
      <c r="D212" t="str">
        <f>$A$195</f>
        <v>Liquid hydrogen</v>
      </c>
      <c r="E212" t="s">
        <v>775</v>
      </c>
      <c r="F212" s="3" t="s">
        <v>755</v>
      </c>
      <c r="G212" s="224" t="s">
        <v>178</v>
      </c>
      <c r="I212" s="428">
        <v>3.0000000000000001E-3</v>
      </c>
      <c r="J212" s="120">
        <f t="shared" ref="J212:O213" si="126">I212*(1+V212)^5</f>
        <v>3.0000000000000001E-3</v>
      </c>
      <c r="K212" s="120">
        <f t="shared" si="126"/>
        <v>3.0000000000000001E-3</v>
      </c>
      <c r="L212" s="120">
        <f t="shared" si="126"/>
        <v>3.0000000000000001E-3</v>
      </c>
      <c r="M212" s="120">
        <f t="shared" si="126"/>
        <v>3.0000000000000001E-3</v>
      </c>
      <c r="N212" s="120">
        <f t="shared" si="126"/>
        <v>3.0000000000000001E-3</v>
      </c>
      <c r="O212" s="120">
        <f t="shared" si="126"/>
        <v>3.0000000000000001E-3</v>
      </c>
      <c r="P212" s="120">
        <f>O212</f>
        <v>3.0000000000000001E-3</v>
      </c>
      <c r="Q212" s="120">
        <f t="shared" ref="Q212:T213" si="127">P212</f>
        <v>3.0000000000000001E-3</v>
      </c>
      <c r="R212" s="120">
        <f t="shared" si="127"/>
        <v>3.0000000000000001E-3</v>
      </c>
      <c r="S212" s="120">
        <f t="shared" si="127"/>
        <v>3.0000000000000001E-3</v>
      </c>
      <c r="T212" s="120">
        <f t="shared" si="127"/>
        <v>3.0000000000000001E-3</v>
      </c>
      <c r="V212" s="213">
        <v>0</v>
      </c>
      <c r="W212" s="213">
        <f t="shared" ref="W212:AA213" si="128">+V212</f>
        <v>0</v>
      </c>
      <c r="X212" s="213">
        <f t="shared" si="128"/>
        <v>0</v>
      </c>
      <c r="Y212" s="213">
        <f>+X212</f>
        <v>0</v>
      </c>
      <c r="Z212" s="213">
        <f t="shared" si="128"/>
        <v>0</v>
      </c>
      <c r="AA212" s="213">
        <f t="shared" si="128"/>
        <v>0</v>
      </c>
      <c r="AB212" s="213">
        <f>+AA212</f>
        <v>0</v>
      </c>
    </row>
    <row r="213" spans="1:28" ht="14.25" hidden="1" outlineLevel="1" x14ac:dyDescent="0.2">
      <c r="A213" s="421" t="str">
        <f t="shared" si="116"/>
        <v>Liquid hydrogen - Global - Storage - USD/ton</v>
      </c>
      <c r="B213" s="421"/>
      <c r="C213" t="s">
        <v>109</v>
      </c>
      <c r="D213" t="s">
        <v>531</v>
      </c>
      <c r="E213" t="s">
        <v>765</v>
      </c>
      <c r="F213" s="3" t="s">
        <v>756</v>
      </c>
      <c r="G213" s="224" t="s">
        <v>205</v>
      </c>
      <c r="I213" s="426">
        <v>145000</v>
      </c>
      <c r="J213" s="118">
        <f t="shared" si="126"/>
        <v>145000</v>
      </c>
      <c r="K213" s="118">
        <f t="shared" si="126"/>
        <v>145000</v>
      </c>
      <c r="L213" s="118">
        <f t="shared" si="126"/>
        <v>145000</v>
      </c>
      <c r="M213" s="118">
        <f t="shared" si="126"/>
        <v>145000</v>
      </c>
      <c r="N213" s="118">
        <f t="shared" si="126"/>
        <v>145000</v>
      </c>
      <c r="O213" s="118">
        <f t="shared" si="126"/>
        <v>145000</v>
      </c>
      <c r="P213" s="118">
        <f>O213</f>
        <v>145000</v>
      </c>
      <c r="Q213" s="118">
        <f t="shared" si="127"/>
        <v>145000</v>
      </c>
      <c r="R213" s="118">
        <f t="shared" si="127"/>
        <v>145000</v>
      </c>
      <c r="S213" s="118">
        <f t="shared" si="127"/>
        <v>145000</v>
      </c>
      <c r="T213" s="118">
        <f t="shared" si="127"/>
        <v>145000</v>
      </c>
      <c r="V213" s="213">
        <v>0</v>
      </c>
      <c r="W213" s="213">
        <f t="shared" si="128"/>
        <v>0</v>
      </c>
      <c r="X213" s="213">
        <f t="shared" si="128"/>
        <v>0</v>
      </c>
      <c r="Y213" s="213">
        <f>+X213</f>
        <v>0</v>
      </c>
      <c r="Z213" s="213">
        <f t="shared" si="128"/>
        <v>0</v>
      </c>
      <c r="AA213" s="213">
        <f t="shared" si="128"/>
        <v>0</v>
      </c>
      <c r="AB213" s="213">
        <f>+AA213</f>
        <v>0</v>
      </c>
    </row>
    <row r="214" spans="1:28" hidden="1" outlineLevel="1" x14ac:dyDescent="0.2">
      <c r="A214" s="421" t="str">
        <f t="shared" si="116"/>
        <v>Liquid hydrogen - Global - Storage - %of Capex</v>
      </c>
      <c r="B214" s="421"/>
      <c r="C214" t="s">
        <v>109</v>
      </c>
      <c r="D214" t="s">
        <v>531</v>
      </c>
      <c r="E214" t="s">
        <v>765</v>
      </c>
      <c r="F214" s="3" t="s">
        <v>319</v>
      </c>
      <c r="G214" s="224" t="s">
        <v>757</v>
      </c>
      <c r="I214" s="426">
        <v>0</v>
      </c>
      <c r="J214" s="118">
        <v>0</v>
      </c>
      <c r="K214" s="118">
        <v>0</v>
      </c>
      <c r="L214" s="118">
        <v>0</v>
      </c>
      <c r="M214" s="118">
        <v>0</v>
      </c>
      <c r="N214" s="118">
        <v>0</v>
      </c>
      <c r="O214" s="118">
        <v>0</v>
      </c>
      <c r="P214" s="118">
        <v>0</v>
      </c>
      <c r="Q214" s="118">
        <v>0</v>
      </c>
      <c r="R214" s="118">
        <v>0</v>
      </c>
      <c r="S214" s="118">
        <v>0</v>
      </c>
      <c r="T214" s="118">
        <v>0</v>
      </c>
    </row>
    <row r="215" spans="1:28" hidden="1" outlineLevel="1" x14ac:dyDescent="0.2">
      <c r="A215" s="421" t="str">
        <f t="shared" si="116"/>
        <v>Liquid hydrogen - Global - Storage - Days</v>
      </c>
      <c r="B215" s="421"/>
      <c r="C215" t="s">
        <v>109</v>
      </c>
      <c r="D215" t="s">
        <v>531</v>
      </c>
      <c r="E215" t="s">
        <v>765</v>
      </c>
      <c r="F215" s="3" t="s">
        <v>758</v>
      </c>
      <c r="G215" s="224" t="s">
        <v>745</v>
      </c>
      <c r="I215" s="426">
        <v>15</v>
      </c>
      <c r="J215" s="118">
        <v>15</v>
      </c>
      <c r="K215" s="118">
        <v>15</v>
      </c>
      <c r="L215" s="118">
        <v>15</v>
      </c>
      <c r="M215" s="118">
        <v>15</v>
      </c>
      <c r="N215" s="118">
        <v>15</v>
      </c>
      <c r="O215" s="118">
        <v>15</v>
      </c>
      <c r="P215" s="118">
        <v>15</v>
      </c>
      <c r="Q215" s="118">
        <v>15</v>
      </c>
      <c r="R215" s="118">
        <v>15</v>
      </c>
      <c r="S215" s="118">
        <v>15</v>
      </c>
      <c r="T215" s="118">
        <v>15</v>
      </c>
    </row>
    <row r="216" spans="1:28" ht="14.25" hidden="1" outlineLevel="1" x14ac:dyDescent="0.2">
      <c r="A216" s="421" t="str">
        <f t="shared" si="116"/>
        <v>Liquid hydrogen - Global - Storage - %</v>
      </c>
      <c r="B216" s="421"/>
      <c r="C216" t="s">
        <v>109</v>
      </c>
      <c r="D216" t="s">
        <v>531</v>
      </c>
      <c r="E216" t="s">
        <v>765</v>
      </c>
      <c r="F216" s="3" t="s">
        <v>759</v>
      </c>
      <c r="G216" s="224" t="s">
        <v>178</v>
      </c>
      <c r="I216" s="427">
        <v>0.8</v>
      </c>
      <c r="J216" s="86">
        <f t="shared" ref="J216:O216" si="129">I216*(1+V216)^5</f>
        <v>0.8</v>
      </c>
      <c r="K216" s="86">
        <f t="shared" si="129"/>
        <v>0.8</v>
      </c>
      <c r="L216" s="86">
        <f t="shared" si="129"/>
        <v>0.8</v>
      </c>
      <c r="M216" s="86">
        <f t="shared" si="129"/>
        <v>0.8</v>
      </c>
      <c r="N216" s="86">
        <f t="shared" si="129"/>
        <v>0.8</v>
      </c>
      <c r="O216" s="86">
        <f t="shared" si="129"/>
        <v>0.8</v>
      </c>
      <c r="P216" s="86">
        <f>O216</f>
        <v>0.8</v>
      </c>
      <c r="Q216" s="86">
        <f>P216</f>
        <v>0.8</v>
      </c>
      <c r="R216" s="86">
        <f>Q216</f>
        <v>0.8</v>
      </c>
      <c r="S216" s="86">
        <f>R216</f>
        <v>0.8</v>
      </c>
      <c r="T216" s="86">
        <f>S216</f>
        <v>0.8</v>
      </c>
      <c r="V216" s="213">
        <v>0</v>
      </c>
      <c r="W216" s="213">
        <f t="shared" ref="W216:AB216" si="130">+V216</f>
        <v>0</v>
      </c>
      <c r="X216" s="213">
        <f t="shared" si="130"/>
        <v>0</v>
      </c>
      <c r="Y216" s="213">
        <f>+X216</f>
        <v>0</v>
      </c>
      <c r="Z216" s="213">
        <f t="shared" si="130"/>
        <v>0</v>
      </c>
      <c r="AA216" s="213">
        <f t="shared" si="130"/>
        <v>0</v>
      </c>
      <c r="AB216" s="213">
        <f t="shared" si="130"/>
        <v>0</v>
      </c>
    </row>
    <row r="217" spans="1:28" hidden="1" outlineLevel="1" x14ac:dyDescent="0.2">
      <c r="A217" s="421" t="str">
        <f t="shared" si="116"/>
        <v>Global - GlobalPlant capexAnnualisation factor# - Plant capex - #</v>
      </c>
      <c r="B217" s="421"/>
      <c r="C217" s="15" t="str">
        <f>+D217&amp;E217&amp;F217&amp;G217</f>
        <v>GlobalPlant capexAnnualisation factor#</v>
      </c>
      <c r="D217" s="15" t="s">
        <v>109</v>
      </c>
      <c r="E217" t="s">
        <v>786</v>
      </c>
      <c r="F217" t="s">
        <v>764</v>
      </c>
      <c r="G217" s="55" t="s">
        <v>787</v>
      </c>
      <c r="I217" s="118">
        <f>+I45</f>
        <v>12</v>
      </c>
      <c r="J217" s="118">
        <v>12</v>
      </c>
      <c r="K217" s="118">
        <v>12</v>
      </c>
      <c r="L217" s="118">
        <v>12</v>
      </c>
      <c r="M217" s="118">
        <v>12</v>
      </c>
      <c r="N217" s="118">
        <v>12</v>
      </c>
      <c r="O217" s="118">
        <v>12</v>
      </c>
      <c r="P217" s="118">
        <v>12</v>
      </c>
      <c r="Q217" s="118">
        <v>12</v>
      </c>
      <c r="R217" s="118">
        <v>12</v>
      </c>
      <c r="S217" s="118">
        <v>12</v>
      </c>
      <c r="T217" s="118">
        <v>12</v>
      </c>
    </row>
    <row r="218" spans="1:28" hidden="1" outlineLevel="1" x14ac:dyDescent="0.2">
      <c r="A218" s="421" t="str">
        <f t="shared" si="116"/>
        <v/>
      </c>
      <c r="B218" s="421"/>
      <c r="D218" s="15"/>
      <c r="E218" s="15"/>
      <c r="G218"/>
      <c r="H218" s="55"/>
      <c r="I218" s="118"/>
      <c r="J218" s="118"/>
      <c r="K218" s="118"/>
      <c r="L218" s="118"/>
      <c r="M218" s="118"/>
      <c r="N218" s="118"/>
      <c r="O218" s="118"/>
      <c r="P218" s="118"/>
      <c r="Q218" s="118"/>
      <c r="R218" s="118"/>
      <c r="S218" s="118"/>
      <c r="T218" s="118"/>
    </row>
    <row r="219" spans="1:28" hidden="1" outlineLevel="1" x14ac:dyDescent="0.2">
      <c r="A219" s="266" t="s">
        <v>788</v>
      </c>
      <c r="B219" s="266"/>
      <c r="C219" s="266" t="str">
        <f>+A219</f>
        <v xml:space="preserve">Liquid Hydrogen production </v>
      </c>
      <c r="D219" s="15"/>
      <c r="E219" s="15"/>
      <c r="G219"/>
      <c r="H219" s="55"/>
      <c r="I219" s="118"/>
      <c r="J219" s="118"/>
      <c r="K219" s="118"/>
      <c r="L219" s="118"/>
      <c r="M219" s="118"/>
      <c r="N219" s="118"/>
      <c r="O219" s="118"/>
      <c r="P219" s="118"/>
      <c r="Q219" s="118"/>
      <c r="R219" s="118"/>
      <c r="S219" s="118"/>
      <c r="T219" s="118"/>
    </row>
    <row r="220" spans="1:28" hidden="1" outlineLevel="1" x14ac:dyDescent="0.2">
      <c r="A220" s="421" t="str">
        <f t="shared" ref="A220:A231" si="131">_xlfn.TEXTJOIN(keydelim,TRUE,D220,C220,E220,G220)</f>
        <v>e-Hydrogen (liquid) - Europe - Production cost - USD/ton</v>
      </c>
      <c r="B220" s="421"/>
      <c r="C220" t="str">
        <f>+C205</f>
        <v>Europe</v>
      </c>
      <c r="D220" t="s">
        <v>585</v>
      </c>
      <c r="E220" t="s">
        <v>789</v>
      </c>
      <c r="F220" s="3" t="s">
        <v>57</v>
      </c>
      <c r="G220" t="s">
        <v>205</v>
      </c>
      <c r="I220" s="433">
        <f>INDEX('Fuel Model - Summary'!H:H,MATCH($D220&amp;" - "&amp;$C220&amp;" - "&amp;$F220&amp;" - "&amp;$G220,'Fuel Model - Summary'!$B:$B,0))</f>
        <v>6354.2036845687862</v>
      </c>
      <c r="J220" s="433">
        <f>INDEX('Fuel Model - Summary'!I:I,MATCH($D220&amp;" - "&amp;$C220&amp;" - "&amp;$F220&amp;" - "&amp;$G220,'Fuel Model - Summary'!$B:$B,0))</f>
        <v>5385.7264904860403</v>
      </c>
      <c r="K220" s="433">
        <f>INDEX('Fuel Model - Summary'!J:J,MATCH($D220&amp;" - "&amp;$C220&amp;" - "&amp;$F220&amp;" - "&amp;$G220,'Fuel Model - Summary'!$B:$B,0))</f>
        <v>4595.0749333228287</v>
      </c>
      <c r="L220" s="433">
        <f>INDEX('Fuel Model - Summary'!K:K,MATCH($D220&amp;" - "&amp;$C220&amp;" - "&amp;$F220&amp;" - "&amp;$G220,'Fuel Model - Summary'!$B:$B,0))</f>
        <v>4290.1736026644066</v>
      </c>
      <c r="M220" s="433">
        <f>INDEX('Fuel Model - Summary'!L:L,MATCH($D220&amp;" - "&amp;$C220&amp;" - "&amp;$F220&amp;" - "&amp;$G220,'Fuel Model - Summary'!$B:$B,0))</f>
        <v>3909.8681854032302</v>
      </c>
      <c r="N220" s="433">
        <f>INDEX('Fuel Model - Summary'!M:M,MATCH($D220&amp;" - "&amp;$C220&amp;" - "&amp;$F220&amp;" - "&amp;$G220,'Fuel Model - Summary'!$B:$B,0))</f>
        <v>3424.3139948824114</v>
      </c>
      <c r="O220" s="433">
        <f>INDEX('Fuel Model - Summary'!N:N,MATCH($D220&amp;" - "&amp;$C220&amp;" - "&amp;$F220&amp;" - "&amp;$G220,'Fuel Model - Summary'!$B:$B,0))</f>
        <v>2975.1806675892203</v>
      </c>
      <c r="P220" s="436">
        <f t="shared" ref="P220:T224" si="132">+O220</f>
        <v>2975.1806675892203</v>
      </c>
      <c r="Q220" s="436">
        <f t="shared" si="132"/>
        <v>2975.1806675892203</v>
      </c>
      <c r="R220" s="436">
        <f t="shared" si="132"/>
        <v>2975.1806675892203</v>
      </c>
      <c r="S220" s="436">
        <f t="shared" si="132"/>
        <v>2975.1806675892203</v>
      </c>
      <c r="T220" s="436">
        <f t="shared" si="132"/>
        <v>2975.1806675892203</v>
      </c>
    </row>
    <row r="221" spans="1:28" hidden="1" outlineLevel="1" x14ac:dyDescent="0.2">
      <c r="A221" s="421" t="str">
        <f t="shared" si="131"/>
        <v>e-Hydrogen (liquid) - Asia - Production cost - USD/ton</v>
      </c>
      <c r="B221" s="421"/>
      <c r="C221" t="str">
        <f>+C206</f>
        <v>Asia</v>
      </c>
      <c r="D221" t="s">
        <v>585</v>
      </c>
      <c r="E221" t="s">
        <v>789</v>
      </c>
      <c r="F221" s="3" t="s">
        <v>57</v>
      </c>
      <c r="G221" t="str">
        <f>+G220</f>
        <v>USD/ton</v>
      </c>
      <c r="I221" s="433">
        <f>INDEX('Fuel Model - Summary'!H:H,MATCH($D221&amp;" - "&amp;$C221&amp;" - "&amp;$F221&amp;" - "&amp;$G221,'Fuel Model - Summary'!$B:$B,0))</f>
        <v>8090.1431485649036</v>
      </c>
      <c r="J221" s="433">
        <f>INDEX('Fuel Model - Summary'!I:I,MATCH($D221&amp;" - "&amp;$C221&amp;" - "&amp;$F221&amp;" - "&amp;$G221,'Fuel Model - Summary'!$B:$B,0))</f>
        <v>5974.3121351694581</v>
      </c>
      <c r="K221" s="433">
        <f>INDEX('Fuel Model - Summary'!J:J,MATCH($D221&amp;" - "&amp;$C221&amp;" - "&amp;$F221&amp;" - "&amp;$G221,'Fuel Model - Summary'!$B:$B,0))</f>
        <v>5063.9032935328141</v>
      </c>
      <c r="L221" s="433">
        <f>INDEX('Fuel Model - Summary'!K:K,MATCH($D221&amp;" - "&amp;$C221&amp;" - "&amp;$F221&amp;" - "&amp;$G221,'Fuel Model - Summary'!$B:$B,0))</f>
        <v>4535.996937572686</v>
      </c>
      <c r="M221" s="433">
        <f>INDEX('Fuel Model - Summary'!L:L,MATCH($D221&amp;" - "&amp;$C221&amp;" - "&amp;$F221&amp;" - "&amp;$G221,'Fuel Model - Summary'!$B:$B,0))</f>
        <v>4062.2996260224309</v>
      </c>
      <c r="N221" s="433">
        <f>INDEX('Fuel Model - Summary'!M:M,MATCH($D221&amp;" - "&amp;$C221&amp;" - "&amp;$F221&amp;" - "&amp;$G221,'Fuel Model - Summary'!$B:$B,0))</f>
        <v>3488.0152328092095</v>
      </c>
      <c r="O221" s="433">
        <f>INDEX('Fuel Model - Summary'!N:N,MATCH($D221&amp;" - "&amp;$C221&amp;" - "&amp;$F221&amp;" - "&amp;$G221,'Fuel Model - Summary'!$B:$B,0))</f>
        <v>3032.5449887409704</v>
      </c>
      <c r="P221" s="436">
        <f t="shared" si="132"/>
        <v>3032.5449887409704</v>
      </c>
      <c r="Q221" s="436">
        <f t="shared" si="132"/>
        <v>3032.5449887409704</v>
      </c>
      <c r="R221" s="436">
        <f t="shared" si="132"/>
        <v>3032.5449887409704</v>
      </c>
      <c r="S221" s="436">
        <f t="shared" si="132"/>
        <v>3032.5449887409704</v>
      </c>
      <c r="T221" s="436">
        <f t="shared" si="132"/>
        <v>3032.5449887409704</v>
      </c>
    </row>
    <row r="222" spans="1:28" hidden="1" outlineLevel="1" x14ac:dyDescent="0.2">
      <c r="A222" s="421" t="str">
        <f t="shared" si="131"/>
        <v>e-Hydrogen (liquid) - Middle East - Production cost - USD/ton</v>
      </c>
      <c r="B222" s="421"/>
      <c r="C222" t="str">
        <f>+C207</f>
        <v>Middle East</v>
      </c>
      <c r="D222" t="s">
        <v>585</v>
      </c>
      <c r="E222" t="s">
        <v>789</v>
      </c>
      <c r="F222" s="3" t="s">
        <v>57</v>
      </c>
      <c r="G222" t="str">
        <f>+G221</f>
        <v>USD/ton</v>
      </c>
      <c r="I222" s="433">
        <f>INDEX('Fuel Model - Summary'!H:H,MATCH($D222&amp;" - "&amp;$C222&amp;" - "&amp;$F222&amp;" - "&amp;$G222,'Fuel Model - Summary'!$B:$B,0))</f>
        <v>5553.0559115698779</v>
      </c>
      <c r="J222" s="433">
        <f>INDEX('Fuel Model - Summary'!I:I,MATCH($D222&amp;" - "&amp;$C222&amp;" - "&amp;$F222&amp;" - "&amp;$G222,'Fuel Model - Summary'!$B:$B,0))</f>
        <v>4729.4680632441386</v>
      </c>
      <c r="K222" s="433">
        <f>INDEX('Fuel Model - Summary'!J:J,MATCH($D222&amp;" - "&amp;$C222&amp;" - "&amp;$F222&amp;" - "&amp;$G222,'Fuel Model - Summary'!$B:$B,0))</f>
        <v>4133.6170396876259</v>
      </c>
      <c r="L222" s="433">
        <f>INDEX('Fuel Model - Summary'!K:K,MATCH($D222&amp;" - "&amp;$C222&amp;" - "&amp;$F222&amp;" - "&amp;$G222,'Fuel Model - Summary'!$B:$B,0))</f>
        <v>3823.7975254609964</v>
      </c>
      <c r="M222" s="433">
        <f>INDEX('Fuel Model - Summary'!L:L,MATCH($D222&amp;" - "&amp;$C222&amp;" - "&amp;$F222&amp;" - "&amp;$G222,'Fuel Model - Summary'!$B:$B,0))</f>
        <v>3471.406648640741</v>
      </c>
      <c r="N222" s="433">
        <f>INDEX('Fuel Model - Summary'!M:M,MATCH($D222&amp;" - "&amp;$C222&amp;" - "&amp;$F222&amp;" - "&amp;$G222,'Fuel Model - Summary'!$B:$B,0))</f>
        <v>2993.8247319772022</v>
      </c>
      <c r="O222" s="433">
        <f>INDEX('Fuel Model - Summary'!N:N,MATCH($D222&amp;" - "&amp;$C222&amp;" - "&amp;$F222&amp;" - "&amp;$G222,'Fuel Model - Summary'!$B:$B,0))</f>
        <v>2587.4774557761425</v>
      </c>
      <c r="P222" s="436">
        <f t="shared" si="132"/>
        <v>2587.4774557761425</v>
      </c>
      <c r="Q222" s="436">
        <f t="shared" si="132"/>
        <v>2587.4774557761425</v>
      </c>
      <c r="R222" s="436">
        <f t="shared" si="132"/>
        <v>2587.4774557761425</v>
      </c>
      <c r="S222" s="436">
        <f t="shared" si="132"/>
        <v>2587.4774557761425</v>
      </c>
      <c r="T222" s="436">
        <f t="shared" si="132"/>
        <v>2587.4774557761425</v>
      </c>
    </row>
    <row r="223" spans="1:28" hidden="1" outlineLevel="1" x14ac:dyDescent="0.2">
      <c r="A223" s="421" t="str">
        <f t="shared" si="131"/>
        <v>e-Hydrogen (liquid) - Americas - Production cost - USD/ton</v>
      </c>
      <c r="B223" s="421"/>
      <c r="C223" t="str">
        <f>+C208</f>
        <v>Americas</v>
      </c>
      <c r="D223" t="s">
        <v>585</v>
      </c>
      <c r="E223" t="s">
        <v>789</v>
      </c>
      <c r="F223" s="3" t="s">
        <v>57</v>
      </c>
      <c r="G223" t="str">
        <f>+G222</f>
        <v>USD/ton</v>
      </c>
      <c r="I223" s="433">
        <f>INDEX('Fuel Model - Summary'!H:H,MATCH($D223&amp;" - "&amp;$C223&amp;" - "&amp;$F223&amp;" - "&amp;$G223,'Fuel Model - Summary'!$B:$B,0))</f>
        <v>5366.3004137475109</v>
      </c>
      <c r="J223" s="433">
        <f>INDEX('Fuel Model - Summary'!I:I,MATCH($D223&amp;" - "&amp;$C223&amp;" - "&amp;$F223&amp;" - "&amp;$G223,'Fuel Model - Summary'!$B:$B,0))</f>
        <v>4818.5180546101637</v>
      </c>
      <c r="K223" s="433">
        <f>INDEX('Fuel Model - Summary'!J:J,MATCH($D223&amp;" - "&amp;$C223&amp;" - "&amp;$F223&amp;" - "&amp;$G223,'Fuel Model - Summary'!$B:$B,0))</f>
        <v>4158.5928464733624</v>
      </c>
      <c r="L223" s="433">
        <f>INDEX('Fuel Model - Summary'!K:K,MATCH($D223&amp;" - "&amp;$C223&amp;" - "&amp;$F223&amp;" - "&amp;$G223,'Fuel Model - Summary'!$B:$B,0))</f>
        <v>3891.6383499345402</v>
      </c>
      <c r="M223" s="433">
        <f>INDEX('Fuel Model - Summary'!L:L,MATCH($D223&amp;" - "&amp;$C223&amp;" - "&amp;$F223&amp;" - "&amp;$G223,'Fuel Model - Summary'!$B:$B,0))</f>
        <v>3502.2591105357869</v>
      </c>
      <c r="N223" s="433">
        <f>INDEX('Fuel Model - Summary'!M:M,MATCH($D223&amp;" - "&amp;$C223&amp;" - "&amp;$F223&amp;" - "&amp;$G223,'Fuel Model - Summary'!$B:$B,0))</f>
        <v>3105.4549200245101</v>
      </c>
      <c r="O223" s="433">
        <f>INDEX('Fuel Model - Summary'!N:N,MATCH($D223&amp;" - "&amp;$C223&amp;" - "&amp;$F223&amp;" - "&amp;$G223,'Fuel Model - Summary'!$B:$B,0))</f>
        <v>2715.9202657590577</v>
      </c>
      <c r="P223" s="436">
        <f t="shared" si="132"/>
        <v>2715.9202657590577</v>
      </c>
      <c r="Q223" s="436">
        <f t="shared" si="132"/>
        <v>2715.9202657590577</v>
      </c>
      <c r="R223" s="436">
        <f t="shared" si="132"/>
        <v>2715.9202657590577</v>
      </c>
      <c r="S223" s="436">
        <f t="shared" si="132"/>
        <v>2715.9202657590577</v>
      </c>
      <c r="T223" s="436">
        <f t="shared" si="132"/>
        <v>2715.9202657590577</v>
      </c>
    </row>
    <row r="224" spans="1:28" hidden="1" outlineLevel="1" x14ac:dyDescent="0.2">
      <c r="A224" s="421" t="str">
        <f t="shared" si="131"/>
        <v>e-Hydrogen (liquid) - Africa&amp;Other - Production cost - USD/ton</v>
      </c>
      <c r="B224" s="421"/>
      <c r="C224" t="s">
        <v>498</v>
      </c>
      <c r="D224" t="s">
        <v>585</v>
      </c>
      <c r="E224" t="s">
        <v>789</v>
      </c>
      <c r="F224" s="3" t="s">
        <v>57</v>
      </c>
      <c r="G224" t="str">
        <f>+G223</f>
        <v>USD/ton</v>
      </c>
      <c r="I224" s="433">
        <f>INDEX('Fuel Model - Summary'!H:H,MATCH($D224&amp;" - "&amp;$C224&amp;" - "&amp;$F224&amp;" - "&amp;$G224,'Fuel Model - Summary'!$B:$B,0))</f>
        <v>7894.0588976861527</v>
      </c>
      <c r="J224" s="433">
        <f>INDEX('Fuel Model - Summary'!I:I,MATCH($D224&amp;" - "&amp;$C224&amp;" - "&amp;$F224&amp;" - "&amp;$G224,'Fuel Model - Summary'!$B:$B,0))</f>
        <v>5417.1147537077486</v>
      </c>
      <c r="K224" s="433">
        <f>INDEX('Fuel Model - Summary'!J:J,MATCH($D224&amp;" - "&amp;$C224&amp;" - "&amp;$F224&amp;" - "&amp;$G224,'Fuel Model - Summary'!$B:$B,0))</f>
        <v>4555.2402325822304</v>
      </c>
      <c r="L224" s="433">
        <f>INDEX('Fuel Model - Summary'!K:K,MATCH($D224&amp;" - "&amp;$C224&amp;" - "&amp;$F224&amp;" - "&amp;$G224,'Fuel Model - Summary'!$B:$B,0))</f>
        <v>4140.739087491188</v>
      </c>
      <c r="M224" s="433">
        <f>INDEX('Fuel Model - Summary'!L:L,MATCH($D224&amp;" - "&amp;$C224&amp;" - "&amp;$F224&amp;" - "&amp;$G224,'Fuel Model - Summary'!$B:$B,0))</f>
        <v>3741.5687396064941</v>
      </c>
      <c r="N224" s="433">
        <f>INDEX('Fuel Model - Summary'!M:M,MATCH($D224&amp;" - "&amp;$C224&amp;" - "&amp;$F224&amp;" - "&amp;$G224,'Fuel Model - Summary'!$B:$B,0))</f>
        <v>3245.7141271355858</v>
      </c>
      <c r="O224" s="433">
        <f>INDEX('Fuel Model - Summary'!N:N,MATCH($D224&amp;" - "&amp;$C224&amp;" - "&amp;$F224&amp;" - "&amp;$G224,'Fuel Model - Summary'!$B:$B,0))</f>
        <v>2823.4512021695173</v>
      </c>
      <c r="P224" s="436">
        <f t="shared" si="132"/>
        <v>2823.4512021695173</v>
      </c>
      <c r="Q224" s="436">
        <f t="shared" si="132"/>
        <v>2823.4512021695173</v>
      </c>
      <c r="R224" s="436">
        <f t="shared" si="132"/>
        <v>2823.4512021695173</v>
      </c>
      <c r="S224" s="436">
        <f t="shared" si="132"/>
        <v>2823.4512021695173</v>
      </c>
      <c r="T224" s="436">
        <f t="shared" si="132"/>
        <v>2823.4512021695173</v>
      </c>
    </row>
    <row r="225" spans="1:20" hidden="1" outlineLevel="1" x14ac:dyDescent="0.2">
      <c r="A225" s="421" t="str">
        <f t="shared" si="131"/>
        <v/>
      </c>
      <c r="B225" s="421"/>
      <c r="F225" s="3"/>
      <c r="P225" s="118"/>
      <c r="Q225" s="118"/>
      <c r="R225" s="118"/>
      <c r="S225" s="118"/>
      <c r="T225" s="118"/>
    </row>
    <row r="226" spans="1:20" hidden="1" outlineLevel="1" x14ac:dyDescent="0.2">
      <c r="A226" s="421" t="str">
        <f t="shared" si="131"/>
        <v>Blue hydrogen (liquid) - Europe - Production cost - USD/ton</v>
      </c>
      <c r="B226" s="421"/>
      <c r="C226" t="str">
        <f>+C220</f>
        <v>Europe</v>
      </c>
      <c r="D226" t="s">
        <v>593</v>
      </c>
      <c r="E226" t="s">
        <v>789</v>
      </c>
      <c r="F226" s="3" t="str">
        <f>+F220</f>
        <v>Fuel cost</v>
      </c>
      <c r="G226" t="str">
        <f>+G220</f>
        <v>USD/ton</v>
      </c>
      <c r="I226" s="433">
        <f>INDEX('Fuel Model - Summary'!H:H,MATCH($D226&amp;" - "&amp;$C226&amp;" - "&amp;$F226&amp;" - "&amp;$G226,'Fuel Model - Summary'!$B:$B,0))</f>
        <v>9246.7921659891381</v>
      </c>
      <c r="J226" s="433">
        <f>INDEX('Fuel Model - Summary'!I:I,MATCH($D226&amp;" - "&amp;$C226&amp;" - "&amp;$F226&amp;" - "&amp;$G226,'Fuel Model - Summary'!$B:$B,0))</f>
        <v>5245.2816342860806</v>
      </c>
      <c r="K226" s="433">
        <f>INDEX('Fuel Model - Summary'!J:J,MATCH($D226&amp;" - "&amp;$C226&amp;" - "&amp;$F226&amp;" - "&amp;$G226,'Fuel Model - Summary'!$B:$B,0))</f>
        <v>4271.4972787981997</v>
      </c>
      <c r="L226" s="433">
        <f>INDEX('Fuel Model - Summary'!K:K,MATCH($D226&amp;" - "&amp;$C226&amp;" - "&amp;$F226&amp;" - "&amp;$G226,'Fuel Model - Summary'!$B:$B,0))</f>
        <v>4143.4830959859155</v>
      </c>
      <c r="M226" s="433">
        <f>INDEX('Fuel Model - Summary'!L:L,MATCH($D226&amp;" - "&amp;$C226&amp;" - "&amp;$F226&amp;" - "&amp;$G226,'Fuel Model - Summary'!$B:$B,0))</f>
        <v>4037.3508501027</v>
      </c>
      <c r="N226" s="433">
        <f>INDEX('Fuel Model - Summary'!M:M,MATCH($D226&amp;" - "&amp;$C226&amp;" - "&amp;$F226&amp;" - "&amp;$G226,'Fuel Model - Summary'!$B:$B,0))</f>
        <v>3936.4706628579465</v>
      </c>
      <c r="O226" s="433">
        <f>INDEX('Fuel Model - Summary'!N:N,MATCH($D226&amp;" - "&amp;$C226&amp;" - "&amp;$F226&amp;" - "&amp;$G226,'Fuel Model - Summary'!$B:$B,0))</f>
        <v>3847.4319382457247</v>
      </c>
      <c r="P226" s="436">
        <f t="shared" ref="P226:T230" si="133">+O226</f>
        <v>3847.4319382457247</v>
      </c>
      <c r="Q226" s="436">
        <f t="shared" si="133"/>
        <v>3847.4319382457247</v>
      </c>
      <c r="R226" s="436">
        <f t="shared" si="133"/>
        <v>3847.4319382457247</v>
      </c>
      <c r="S226" s="436">
        <f t="shared" si="133"/>
        <v>3847.4319382457247</v>
      </c>
      <c r="T226" s="436">
        <f t="shared" si="133"/>
        <v>3847.4319382457247</v>
      </c>
    </row>
    <row r="227" spans="1:20" hidden="1" outlineLevel="1" x14ac:dyDescent="0.2">
      <c r="A227" s="421" t="str">
        <f t="shared" si="131"/>
        <v>Blue hydrogen (liquid) - Asia - Production cost - USD/ton</v>
      </c>
      <c r="B227" s="421"/>
      <c r="C227" t="str">
        <f t="shared" ref="C227:C230" si="134">+C221</f>
        <v>Asia</v>
      </c>
      <c r="D227" t="str">
        <f>+D226</f>
        <v>Blue hydrogen (liquid)</v>
      </c>
      <c r="E227" t="s">
        <v>789</v>
      </c>
      <c r="F227" s="3" t="str">
        <f t="shared" ref="F227:G230" si="135">+F221</f>
        <v>Fuel cost</v>
      </c>
      <c r="G227" t="str">
        <f t="shared" si="135"/>
        <v>USD/ton</v>
      </c>
      <c r="I227" s="433">
        <f>INDEX('Fuel Model - Summary'!H:H,MATCH($D227&amp;" - "&amp;$C227&amp;" - "&amp;$F227&amp;" - "&amp;$G227,'Fuel Model - Summary'!$B:$B,0))</f>
        <v>8983.5450473616002</v>
      </c>
      <c r="J227" s="433">
        <f>INDEX('Fuel Model - Summary'!I:I,MATCH($D227&amp;" - "&amp;$C227&amp;" - "&amp;$F227&amp;" - "&amp;$G227,'Fuel Model - Summary'!$B:$B,0))</f>
        <v>5426.2821338386484</v>
      </c>
      <c r="K227" s="433">
        <f>INDEX('Fuel Model - Summary'!J:J,MATCH($D227&amp;" - "&amp;$C227&amp;" - "&amp;$F227&amp;" - "&amp;$G227,'Fuel Model - Summary'!$B:$B,0))</f>
        <v>3919.8227547878819</v>
      </c>
      <c r="L227" s="433">
        <f>INDEX('Fuel Model - Summary'!K:K,MATCH($D227&amp;" - "&amp;$C227&amp;" - "&amp;$F227&amp;" - "&amp;$G227,'Fuel Model - Summary'!$B:$B,0))</f>
        <v>3767.461112975283</v>
      </c>
      <c r="M227" s="433">
        <f>INDEX('Fuel Model - Summary'!L:L,MATCH($D227&amp;" - "&amp;$C227&amp;" - "&amp;$F227&amp;" - "&amp;$G227,'Fuel Model - Summary'!$B:$B,0))</f>
        <v>3656.8379570006919</v>
      </c>
      <c r="N227" s="433">
        <f>INDEX('Fuel Model - Summary'!M:M,MATCH($D227&amp;" - "&amp;$C227&amp;" - "&amp;$F227&amp;" - "&amp;$G227,'Fuel Model - Summary'!$B:$B,0))</f>
        <v>3551.0325635878335</v>
      </c>
      <c r="O227" s="433">
        <f>INDEX('Fuel Model - Summary'!N:N,MATCH($D227&amp;" - "&amp;$C227&amp;" - "&amp;$F227&amp;" - "&amp;$G227,'Fuel Model - Summary'!$B:$B,0))</f>
        <v>3470.8377027232436</v>
      </c>
      <c r="P227" s="436">
        <f t="shared" si="133"/>
        <v>3470.8377027232436</v>
      </c>
      <c r="Q227" s="436">
        <f t="shared" si="133"/>
        <v>3470.8377027232436</v>
      </c>
      <c r="R227" s="436">
        <f t="shared" si="133"/>
        <v>3470.8377027232436</v>
      </c>
      <c r="S227" s="436">
        <f t="shared" si="133"/>
        <v>3470.8377027232436</v>
      </c>
      <c r="T227" s="436">
        <f t="shared" si="133"/>
        <v>3470.8377027232436</v>
      </c>
    </row>
    <row r="228" spans="1:20" hidden="1" outlineLevel="1" x14ac:dyDescent="0.2">
      <c r="A228" s="421" t="str">
        <f t="shared" si="131"/>
        <v>Blue hydrogen (liquid) - Middle East - Production cost - USD/ton</v>
      </c>
      <c r="B228" s="421"/>
      <c r="C228" t="str">
        <f t="shared" si="134"/>
        <v>Middle East</v>
      </c>
      <c r="D228" t="str">
        <f>+D227</f>
        <v>Blue hydrogen (liquid)</v>
      </c>
      <c r="E228" t="s">
        <v>789</v>
      </c>
      <c r="F228" s="3" t="str">
        <f t="shared" si="135"/>
        <v>Fuel cost</v>
      </c>
      <c r="G228" t="str">
        <f t="shared" si="135"/>
        <v>USD/ton</v>
      </c>
      <c r="I228" s="433">
        <f>INDEX('Fuel Model - Summary'!H:H,MATCH($D228&amp;" - "&amp;$C228&amp;" - "&amp;$F228&amp;" - "&amp;$G228,'Fuel Model - Summary'!$B:$B,0))</f>
        <v>7864.9413689878829</v>
      </c>
      <c r="J228" s="433">
        <f>INDEX('Fuel Model - Summary'!I:I,MATCH($D228&amp;" - "&amp;$C228&amp;" - "&amp;$F228&amp;" - "&amp;$G228,'Fuel Model - Summary'!$B:$B,0))</f>
        <v>4528.5308912770406</v>
      </c>
      <c r="K228" s="433">
        <f>INDEX('Fuel Model - Summary'!J:J,MATCH($D228&amp;" - "&amp;$C228&amp;" - "&amp;$F228&amp;" - "&amp;$G228,'Fuel Model - Summary'!$B:$B,0))</f>
        <v>3070.0442389775335</v>
      </c>
      <c r="L228" s="433">
        <f>INDEX('Fuel Model - Summary'!K:K,MATCH($D228&amp;" - "&amp;$C228&amp;" - "&amp;$F228&amp;" - "&amp;$G228,'Fuel Model - Summary'!$B:$B,0))</f>
        <v>2965.9072118542745</v>
      </c>
      <c r="M228" s="433">
        <f>INDEX('Fuel Model - Summary'!L:L,MATCH($D228&amp;" - "&amp;$C228&amp;" - "&amp;$F228&amp;" - "&amp;$G228,'Fuel Model - Summary'!$B:$B,0))</f>
        <v>2887.9232266237414</v>
      </c>
      <c r="N228" s="433">
        <f>INDEX('Fuel Model - Summary'!M:M,MATCH($D228&amp;" - "&amp;$C228&amp;" - "&amp;$F228&amp;" - "&amp;$G228,'Fuel Model - Summary'!$B:$B,0))</f>
        <v>2810.0629655292623</v>
      </c>
      <c r="O228" s="433">
        <f>INDEX('Fuel Model - Summary'!N:N,MATCH($D228&amp;" - "&amp;$C228&amp;" - "&amp;$F228&amp;" - "&amp;$G228,'Fuel Model - Summary'!$B:$B,0))</f>
        <v>2750.7241033002729</v>
      </c>
      <c r="P228" s="436">
        <f t="shared" si="133"/>
        <v>2750.7241033002729</v>
      </c>
      <c r="Q228" s="436">
        <f t="shared" si="133"/>
        <v>2750.7241033002729</v>
      </c>
      <c r="R228" s="436">
        <f t="shared" si="133"/>
        <v>2750.7241033002729</v>
      </c>
      <c r="S228" s="436">
        <f t="shared" si="133"/>
        <v>2750.7241033002729</v>
      </c>
      <c r="T228" s="436">
        <f t="shared" si="133"/>
        <v>2750.7241033002729</v>
      </c>
    </row>
    <row r="229" spans="1:20" hidden="1" outlineLevel="1" x14ac:dyDescent="0.2">
      <c r="A229" s="421" t="str">
        <f t="shared" si="131"/>
        <v>Blue hydrogen (liquid) - Americas - Production cost - USD/ton</v>
      </c>
      <c r="B229" s="421"/>
      <c r="C229" t="str">
        <f t="shared" si="134"/>
        <v>Americas</v>
      </c>
      <c r="D229" t="str">
        <f>+D228</f>
        <v>Blue hydrogen (liquid)</v>
      </c>
      <c r="E229" t="s">
        <v>789</v>
      </c>
      <c r="F229" s="3" t="str">
        <f t="shared" si="135"/>
        <v>Fuel cost</v>
      </c>
      <c r="G229" t="str">
        <f t="shared" si="135"/>
        <v>USD/ton</v>
      </c>
      <c r="I229" s="433">
        <f>INDEX('Fuel Model - Summary'!H:H,MATCH($D229&amp;" - "&amp;$C229&amp;" - "&amp;$F229&amp;" - "&amp;$G229,'Fuel Model - Summary'!$B:$B,0))</f>
        <v>4070.1022629058489</v>
      </c>
      <c r="J229" s="433">
        <f>INDEX('Fuel Model - Summary'!I:I,MATCH($D229&amp;" - "&amp;$C229&amp;" - "&amp;$F229&amp;" - "&amp;$G229,'Fuel Model - Summary'!$B:$B,0))</f>
        <v>3510.177037641779</v>
      </c>
      <c r="K229" s="433">
        <f>INDEX('Fuel Model - Summary'!J:J,MATCH($D229&amp;" - "&amp;$C229&amp;" - "&amp;$F229&amp;" - "&amp;$G229,'Fuel Model - Summary'!$B:$B,0))</f>
        <v>3330.2627635552981</v>
      </c>
      <c r="L229" s="433">
        <f>INDEX('Fuel Model - Summary'!K:K,MATCH($D229&amp;" - "&amp;$C229&amp;" - "&amp;$F229&amp;" - "&amp;$G229,'Fuel Model - Summary'!$B:$B,0))</f>
        <v>3327.2384020885838</v>
      </c>
      <c r="M229" s="433">
        <f>INDEX('Fuel Model - Summary'!L:L,MATCH($D229&amp;" - "&amp;$C229&amp;" - "&amp;$F229&amp;" - "&amp;$G229,'Fuel Model - Summary'!$B:$B,0))</f>
        <v>3234.9297288322728</v>
      </c>
      <c r="N229" s="433">
        <f>INDEX('Fuel Model - Summary'!M:M,MATCH($D229&amp;" - "&amp;$C229&amp;" - "&amp;$F229&amp;" - "&amp;$G229,'Fuel Model - Summary'!$B:$B,0))</f>
        <v>3163.8573164006139</v>
      </c>
      <c r="O229" s="433">
        <f>INDEX('Fuel Model - Summary'!N:N,MATCH($D229&amp;" - "&amp;$C229&amp;" - "&amp;$F229&amp;" - "&amp;$G229,'Fuel Model - Summary'!$B:$B,0))</f>
        <v>3100.6428884681272</v>
      </c>
      <c r="P229" s="436">
        <f t="shared" si="133"/>
        <v>3100.6428884681272</v>
      </c>
      <c r="Q229" s="436">
        <f t="shared" si="133"/>
        <v>3100.6428884681272</v>
      </c>
      <c r="R229" s="436">
        <f t="shared" si="133"/>
        <v>3100.6428884681272</v>
      </c>
      <c r="S229" s="436">
        <f t="shared" si="133"/>
        <v>3100.6428884681272</v>
      </c>
      <c r="T229" s="436">
        <f t="shared" si="133"/>
        <v>3100.6428884681272</v>
      </c>
    </row>
    <row r="230" spans="1:20" hidden="1" outlineLevel="1" x14ac:dyDescent="0.2">
      <c r="A230" s="421" t="str">
        <f t="shared" si="131"/>
        <v>Blue hydrogen (liquid) - Africa&amp;Other - Production cost - USD/ton</v>
      </c>
      <c r="B230" s="421"/>
      <c r="C230" t="str">
        <f t="shared" si="134"/>
        <v>Africa&amp;Other</v>
      </c>
      <c r="D230" t="str">
        <f>+D229</f>
        <v>Blue hydrogen (liquid)</v>
      </c>
      <c r="E230" t="s">
        <v>789</v>
      </c>
      <c r="F230" s="3" t="str">
        <f t="shared" si="135"/>
        <v>Fuel cost</v>
      </c>
      <c r="G230" t="str">
        <f t="shared" si="135"/>
        <v>USD/ton</v>
      </c>
      <c r="I230" s="433">
        <f>INDEX('Fuel Model - Summary'!H:H,MATCH($D230&amp;" - "&amp;$C230&amp;" - "&amp;$F230&amp;" - "&amp;$G230,'Fuel Model - Summary'!$B:$B,0))</f>
        <v>9490.4203733251343</v>
      </c>
      <c r="J230" s="433">
        <f>INDEX('Fuel Model - Summary'!I:I,MATCH($D230&amp;" - "&amp;$C230&amp;" - "&amp;$F230&amp;" - "&amp;$G230,'Fuel Model - Summary'!$B:$B,0))</f>
        <v>5250.2678556080355</v>
      </c>
      <c r="K230" s="433">
        <f>INDEX('Fuel Model - Summary'!J:J,MATCH($D230&amp;" - "&amp;$C230&amp;" - "&amp;$F230&amp;" - "&amp;$G230,'Fuel Model - Summary'!$B:$B,0))</f>
        <v>4265.0963928761266</v>
      </c>
      <c r="L230" s="433">
        <f>INDEX('Fuel Model - Summary'!K:K,MATCH($D230&amp;" - "&amp;$C230&amp;" - "&amp;$F230&amp;" - "&amp;$G230,'Fuel Model - Summary'!$B:$B,0))</f>
        <v>4118.7131676030886</v>
      </c>
      <c r="M230" s="433">
        <f>INDEX('Fuel Model - Summary'!L:L,MATCH($D230&amp;" - "&amp;$C230&amp;" - "&amp;$F230&amp;" - "&amp;$G230,'Fuel Model - Summary'!$B:$B,0))</f>
        <v>4008.3548833483292</v>
      </c>
      <c r="N230" s="433">
        <f>INDEX('Fuel Model - Summary'!M:M,MATCH($D230&amp;" - "&amp;$C230&amp;" - "&amp;$F230&amp;" - "&amp;$G230,'Fuel Model - Summary'!$B:$B,0))</f>
        <v>3903.9968420847108</v>
      </c>
      <c r="O230" s="433">
        <f>INDEX('Fuel Model - Summary'!N:N,MATCH($D230&amp;" - "&amp;$C230&amp;" - "&amp;$F230&amp;" - "&amp;$G230,'Fuel Model - Summary'!$B:$B,0))</f>
        <v>3818.5860322723975</v>
      </c>
      <c r="P230" s="436">
        <f t="shared" si="133"/>
        <v>3818.5860322723975</v>
      </c>
      <c r="Q230" s="436">
        <f t="shared" si="133"/>
        <v>3818.5860322723975</v>
      </c>
      <c r="R230" s="436">
        <f t="shared" si="133"/>
        <v>3818.5860322723975</v>
      </c>
      <c r="S230" s="436">
        <f t="shared" si="133"/>
        <v>3818.5860322723975</v>
      </c>
      <c r="T230" s="436">
        <f t="shared" si="133"/>
        <v>3818.5860322723975</v>
      </c>
    </row>
    <row r="231" spans="1:20" hidden="1" outlineLevel="1" x14ac:dyDescent="0.2">
      <c r="A231" s="421" t="str">
        <f t="shared" si="131"/>
        <v/>
      </c>
      <c r="B231" s="421"/>
    </row>
    <row r="232" spans="1:20" hidden="1" outlineLevel="1" x14ac:dyDescent="0.2">
      <c r="A232" s="266" t="s">
        <v>790</v>
      </c>
      <c r="B232" s="266"/>
      <c r="C232" s="266" t="str">
        <f>+A232</f>
        <v>Liquid Hydrogen storage</v>
      </c>
    </row>
    <row r="233" spans="1:20" hidden="1" outlineLevel="1" x14ac:dyDescent="0.2">
      <c r="A233" s="421" t="str">
        <f t="shared" ref="A233:A265" si="136">_xlfn.TEXTJOIN(keydelim,TRUE,D233,C233,E233,G233)</f>
        <v>e-Hydrogen (liquid) - Europe - storage - USD/ton</v>
      </c>
      <c r="B233" s="421"/>
      <c r="C233" t="s">
        <v>195</v>
      </c>
      <c r="D233" t="str">
        <f>+D220</f>
        <v>e-Hydrogen (liquid)</v>
      </c>
      <c r="E233" t="s">
        <v>775</v>
      </c>
      <c r="F233" t="s">
        <v>791</v>
      </c>
      <c r="G233" s="224" t="s">
        <v>205</v>
      </c>
      <c r="H233" s="93"/>
      <c r="I233" s="93">
        <f t="shared" ref="I233:T233" si="137">I$213/I$217*I$215/365/I$216+I$212*I$215*I220</f>
        <v>906.65834388778717</v>
      </c>
      <c r="J233" s="93">
        <f t="shared" si="137"/>
        <v>863.07687015406361</v>
      </c>
      <c r="K233" s="93">
        <f t="shared" si="137"/>
        <v>827.49755008171906</v>
      </c>
      <c r="L233" s="93">
        <f t="shared" si="137"/>
        <v>813.77699020209002</v>
      </c>
      <c r="M233" s="93">
        <f t="shared" si="137"/>
        <v>796.66324642533709</v>
      </c>
      <c r="N233" s="93">
        <f t="shared" si="137"/>
        <v>774.81330785190028</v>
      </c>
      <c r="O233" s="93">
        <f t="shared" si="137"/>
        <v>754.60230812370673</v>
      </c>
      <c r="P233" s="93">
        <f t="shared" si="137"/>
        <v>754.60230812370673</v>
      </c>
      <c r="Q233" s="93">
        <f t="shared" si="137"/>
        <v>754.60230812370673</v>
      </c>
      <c r="R233" s="93">
        <f t="shared" si="137"/>
        <v>754.60230812370673</v>
      </c>
      <c r="S233" s="93">
        <f t="shared" si="137"/>
        <v>754.60230812370673</v>
      </c>
      <c r="T233" s="93">
        <f t="shared" si="137"/>
        <v>754.60230812370673</v>
      </c>
    </row>
    <row r="234" spans="1:20" hidden="1" outlineLevel="1" x14ac:dyDescent="0.2">
      <c r="A234" s="421" t="str">
        <f t="shared" si="136"/>
        <v>e-Hydrogen (liquid) - Asia - storage - USD/ton</v>
      </c>
      <c r="B234" s="421"/>
      <c r="C234" t="s">
        <v>198</v>
      </c>
      <c r="D234" t="str">
        <f>+D221</f>
        <v>e-Hydrogen (liquid)</v>
      </c>
      <c r="E234" t="s">
        <v>775</v>
      </c>
      <c r="F234" t="s">
        <v>791</v>
      </c>
      <c r="G234" s="224" t="s">
        <v>205</v>
      </c>
      <c r="H234" s="93"/>
      <c r="I234" s="93">
        <f t="shared" ref="I234:T234" si="138">I$213/I$217*I$215/365/I$216+I$212*I$215*I221</f>
        <v>984.7756197676124</v>
      </c>
      <c r="J234" s="93">
        <f t="shared" si="138"/>
        <v>889.56322416481737</v>
      </c>
      <c r="K234" s="93">
        <f t="shared" si="138"/>
        <v>848.59482629116837</v>
      </c>
      <c r="L234" s="93">
        <f t="shared" si="138"/>
        <v>824.83904027296262</v>
      </c>
      <c r="M234" s="93">
        <f t="shared" si="138"/>
        <v>803.52266125320114</v>
      </c>
      <c r="N234" s="93">
        <f t="shared" si="138"/>
        <v>777.67986355860626</v>
      </c>
      <c r="O234" s="93">
        <f t="shared" si="138"/>
        <v>757.18370257553545</v>
      </c>
      <c r="P234" s="93">
        <f t="shared" si="138"/>
        <v>757.18370257553545</v>
      </c>
      <c r="Q234" s="93">
        <f t="shared" si="138"/>
        <v>757.18370257553545</v>
      </c>
      <c r="R234" s="93">
        <f t="shared" si="138"/>
        <v>757.18370257553545</v>
      </c>
      <c r="S234" s="93">
        <f t="shared" si="138"/>
        <v>757.18370257553545</v>
      </c>
      <c r="T234" s="93">
        <f t="shared" si="138"/>
        <v>757.18370257553545</v>
      </c>
    </row>
    <row r="235" spans="1:20" hidden="1" outlineLevel="1" x14ac:dyDescent="0.2">
      <c r="A235" s="421" t="str">
        <f t="shared" si="136"/>
        <v>e-Hydrogen (liquid) - Middle East - storage - USD/ton</v>
      </c>
      <c r="B235" s="421"/>
      <c r="C235" t="s">
        <v>197</v>
      </c>
      <c r="D235" t="str">
        <f>+D222</f>
        <v>e-Hydrogen (liquid)</v>
      </c>
      <c r="E235" t="s">
        <v>775</v>
      </c>
      <c r="F235" t="s">
        <v>791</v>
      </c>
      <c r="G235" s="224" t="s">
        <v>205</v>
      </c>
      <c r="H235" s="93"/>
      <c r="I235" s="93">
        <f t="shared" ref="I235:T235" si="139">I$213/I$217*I$215/365/I$216+I$212*I$215*I222</f>
        <v>870.60669410283629</v>
      </c>
      <c r="J235" s="93">
        <f t="shared" si="139"/>
        <v>833.54524092817803</v>
      </c>
      <c r="K235" s="93">
        <f t="shared" si="139"/>
        <v>806.73194486813497</v>
      </c>
      <c r="L235" s="93">
        <f t="shared" si="139"/>
        <v>792.79006672793662</v>
      </c>
      <c r="M235" s="93">
        <f t="shared" si="139"/>
        <v>776.93247727102516</v>
      </c>
      <c r="N235" s="93">
        <f t="shared" si="139"/>
        <v>755.44129102116585</v>
      </c>
      <c r="O235" s="93">
        <f t="shared" si="139"/>
        <v>737.15566359211823</v>
      </c>
      <c r="P235" s="93">
        <f t="shared" si="139"/>
        <v>737.15566359211823</v>
      </c>
      <c r="Q235" s="93">
        <f t="shared" si="139"/>
        <v>737.15566359211823</v>
      </c>
      <c r="R235" s="93">
        <f t="shared" si="139"/>
        <v>737.15566359211823</v>
      </c>
      <c r="S235" s="93">
        <f t="shared" si="139"/>
        <v>737.15566359211823</v>
      </c>
      <c r="T235" s="93">
        <f t="shared" si="139"/>
        <v>737.15566359211823</v>
      </c>
    </row>
    <row r="236" spans="1:20" hidden="1" outlineLevel="1" x14ac:dyDescent="0.2">
      <c r="A236" s="421" t="str">
        <f t="shared" si="136"/>
        <v>e-Hydrogen (liquid) - Americas - storage - USD/ton</v>
      </c>
      <c r="B236" s="421"/>
      <c r="C236" t="s">
        <v>199</v>
      </c>
      <c r="D236" t="str">
        <f>+D223</f>
        <v>e-Hydrogen (liquid)</v>
      </c>
      <c r="E236" t="s">
        <v>775</v>
      </c>
      <c r="F236" t="s">
        <v>791</v>
      </c>
      <c r="G236" s="224" t="s">
        <v>205</v>
      </c>
      <c r="H236" s="93"/>
      <c r="I236" s="93">
        <f t="shared" ref="I236:T236" si="140">I$213/I$217*I$215/365/I$216+I$212*I$215*I223</f>
        <v>862.20269670082973</v>
      </c>
      <c r="J236" s="93">
        <f t="shared" si="140"/>
        <v>837.55249053964917</v>
      </c>
      <c r="K236" s="93">
        <f t="shared" si="140"/>
        <v>807.85585617349307</v>
      </c>
      <c r="L236" s="93">
        <f t="shared" si="140"/>
        <v>795.8429038292461</v>
      </c>
      <c r="M236" s="93">
        <f t="shared" si="140"/>
        <v>778.32083805630214</v>
      </c>
      <c r="N236" s="93">
        <f t="shared" si="140"/>
        <v>760.46464948329469</v>
      </c>
      <c r="O236" s="93">
        <f t="shared" si="140"/>
        <v>742.93559004134931</v>
      </c>
      <c r="P236" s="93">
        <f t="shared" si="140"/>
        <v>742.93559004134931</v>
      </c>
      <c r="Q236" s="93">
        <f t="shared" si="140"/>
        <v>742.93559004134931</v>
      </c>
      <c r="R236" s="93">
        <f t="shared" si="140"/>
        <v>742.93559004134931</v>
      </c>
      <c r="S236" s="93">
        <f t="shared" si="140"/>
        <v>742.93559004134931</v>
      </c>
      <c r="T236" s="93">
        <f t="shared" si="140"/>
        <v>742.93559004134931</v>
      </c>
    </row>
    <row r="237" spans="1:20" hidden="1" outlineLevel="1" x14ac:dyDescent="0.2">
      <c r="A237" s="421" t="str">
        <f t="shared" si="136"/>
        <v>e-Hydrogen (liquid) - Africa&amp;Other - storage - USD/ton</v>
      </c>
      <c r="B237" s="421"/>
      <c r="C237" t="s">
        <v>498</v>
      </c>
      <c r="D237" t="str">
        <f>+D224</f>
        <v>e-Hydrogen (liquid)</v>
      </c>
      <c r="E237" t="s">
        <v>775</v>
      </c>
      <c r="F237" t="s">
        <v>791</v>
      </c>
      <c r="G237" s="224" t="s">
        <v>205</v>
      </c>
      <c r="H237" s="93"/>
      <c r="I237" s="93">
        <f t="shared" ref="I237:T237" si="141">I$213/I$217*I$215/365/I$216+I$212*I$215*I224</f>
        <v>975.95182847806859</v>
      </c>
      <c r="J237" s="93">
        <f t="shared" si="141"/>
        <v>864.48934199904045</v>
      </c>
      <c r="K237" s="93">
        <f t="shared" si="141"/>
        <v>825.70498854839207</v>
      </c>
      <c r="L237" s="93">
        <f t="shared" si="141"/>
        <v>807.05243701929521</v>
      </c>
      <c r="M237" s="93">
        <f t="shared" si="141"/>
        <v>789.08977136448402</v>
      </c>
      <c r="N237" s="93">
        <f t="shared" si="141"/>
        <v>766.77631380329308</v>
      </c>
      <c r="O237" s="93">
        <f t="shared" si="141"/>
        <v>747.7744821798201</v>
      </c>
      <c r="P237" s="93">
        <f t="shared" si="141"/>
        <v>747.7744821798201</v>
      </c>
      <c r="Q237" s="93">
        <f t="shared" si="141"/>
        <v>747.7744821798201</v>
      </c>
      <c r="R237" s="93">
        <f t="shared" si="141"/>
        <v>747.7744821798201</v>
      </c>
      <c r="S237" s="93">
        <f t="shared" si="141"/>
        <v>747.7744821798201</v>
      </c>
      <c r="T237" s="93">
        <f t="shared" si="141"/>
        <v>747.7744821798201</v>
      </c>
    </row>
    <row r="238" spans="1:20" hidden="1" outlineLevel="1" x14ac:dyDescent="0.2">
      <c r="A238" s="421" t="str">
        <f t="shared" si="136"/>
        <v/>
      </c>
      <c r="B238" s="421"/>
      <c r="H238" s="95"/>
    </row>
    <row r="239" spans="1:20" hidden="1" outlineLevel="1" x14ac:dyDescent="0.2">
      <c r="A239" s="421" t="str">
        <f t="shared" si="136"/>
        <v>Blue hydrogen (liquid) - Europe - storage - USD/ton</v>
      </c>
      <c r="B239" s="421"/>
      <c r="C239" t="s">
        <v>195</v>
      </c>
      <c r="D239" t="str">
        <f>+D226</f>
        <v>Blue hydrogen (liquid)</v>
      </c>
      <c r="E239" t="s">
        <v>775</v>
      </c>
      <c r="F239" t="s">
        <v>791</v>
      </c>
      <c r="G239" s="224" t="s">
        <v>205</v>
      </c>
      <c r="H239" s="93"/>
      <c r="I239" s="93">
        <f t="shared" ref="I239:T239" si="142">I$213/I$217*I$215/365/I$216+I$212*I$215*I226</f>
        <v>1036.824825551703</v>
      </c>
      <c r="J239" s="93">
        <f t="shared" si="142"/>
        <v>856.75685162506534</v>
      </c>
      <c r="K239" s="93">
        <f t="shared" si="142"/>
        <v>812.93655562811068</v>
      </c>
      <c r="L239" s="93">
        <f t="shared" si="142"/>
        <v>807.17591740155797</v>
      </c>
      <c r="M239" s="93">
        <f t="shared" si="142"/>
        <v>802.39996633681324</v>
      </c>
      <c r="N239" s="93">
        <f t="shared" si="142"/>
        <v>797.86035791079939</v>
      </c>
      <c r="O239" s="93">
        <f t="shared" si="142"/>
        <v>793.8536153032494</v>
      </c>
      <c r="P239" s="93">
        <f t="shared" si="142"/>
        <v>793.8536153032494</v>
      </c>
      <c r="Q239" s="93">
        <f t="shared" si="142"/>
        <v>793.8536153032494</v>
      </c>
      <c r="R239" s="93">
        <f t="shared" si="142"/>
        <v>793.8536153032494</v>
      </c>
      <c r="S239" s="93">
        <f t="shared" si="142"/>
        <v>793.8536153032494</v>
      </c>
      <c r="T239" s="93">
        <f t="shared" si="142"/>
        <v>793.8536153032494</v>
      </c>
    </row>
    <row r="240" spans="1:20" hidden="1" outlineLevel="1" x14ac:dyDescent="0.2">
      <c r="A240" s="421" t="str">
        <f t="shared" si="136"/>
        <v>Blue hydrogen (liquid) - Asia - storage - USD/ton</v>
      </c>
      <c r="B240" s="421"/>
      <c r="C240" t="s">
        <v>198</v>
      </c>
      <c r="D240" t="str">
        <f>+D227</f>
        <v>Blue hydrogen (liquid)</v>
      </c>
      <c r="E240" t="s">
        <v>775</v>
      </c>
      <c r="F240" t="s">
        <v>791</v>
      </c>
      <c r="G240" s="224" t="s">
        <v>205</v>
      </c>
      <c r="H240" s="93"/>
      <c r="I240" s="93">
        <f t="shared" ref="I240:T240" si="143">I$213/I$217*I$215/365/I$216+I$212*I$215*I227</f>
        <v>1024.9787052134639</v>
      </c>
      <c r="J240" s="93">
        <f t="shared" si="143"/>
        <v>864.90187410493093</v>
      </c>
      <c r="K240" s="93">
        <f t="shared" si="143"/>
        <v>797.11120204764643</v>
      </c>
      <c r="L240" s="93">
        <f t="shared" si="143"/>
        <v>790.25492816607948</v>
      </c>
      <c r="M240" s="93">
        <f t="shared" si="143"/>
        <v>785.27688614722297</v>
      </c>
      <c r="N240" s="93">
        <f t="shared" si="143"/>
        <v>780.51564344364431</v>
      </c>
      <c r="O240" s="93">
        <f t="shared" si="143"/>
        <v>776.90687470473767</v>
      </c>
      <c r="P240" s="93">
        <f t="shared" si="143"/>
        <v>776.90687470473767</v>
      </c>
      <c r="Q240" s="93">
        <f t="shared" si="143"/>
        <v>776.90687470473767</v>
      </c>
      <c r="R240" s="93">
        <f t="shared" si="143"/>
        <v>776.90687470473767</v>
      </c>
      <c r="S240" s="93">
        <f t="shared" si="143"/>
        <v>776.90687470473767</v>
      </c>
      <c r="T240" s="93">
        <f t="shared" si="143"/>
        <v>776.90687470473767</v>
      </c>
    </row>
    <row r="241" spans="1:20" hidden="1" outlineLevel="1" x14ac:dyDescent="0.2">
      <c r="A241" s="421" t="str">
        <f t="shared" si="136"/>
        <v>Blue hydrogen (liquid) - Middle East - storage - USD/ton</v>
      </c>
      <c r="B241" s="421"/>
      <c r="C241" t="s">
        <v>197</v>
      </c>
      <c r="D241" t="str">
        <f>+D228</f>
        <v>Blue hydrogen (liquid)</v>
      </c>
      <c r="E241" t="s">
        <v>775</v>
      </c>
      <c r="F241" t="s">
        <v>791</v>
      </c>
      <c r="G241" s="224" t="s">
        <v>205</v>
      </c>
      <c r="H241" s="93"/>
      <c r="I241" s="93">
        <f t="shared" ref="I241:T241" si="144">I$213/I$217*I$215/365/I$216+I$212*I$215*I228</f>
        <v>974.64153968664641</v>
      </c>
      <c r="J241" s="93">
        <f t="shared" si="144"/>
        <v>824.50306818965862</v>
      </c>
      <c r="K241" s="93">
        <f t="shared" si="144"/>
        <v>758.8711688361808</v>
      </c>
      <c r="L241" s="93">
        <f t="shared" si="144"/>
        <v>754.18500261563418</v>
      </c>
      <c r="M241" s="93">
        <f t="shared" si="144"/>
        <v>750.67572328026017</v>
      </c>
      <c r="N241" s="93">
        <f t="shared" si="144"/>
        <v>747.17201153100859</v>
      </c>
      <c r="O241" s="93">
        <f t="shared" si="144"/>
        <v>744.50176273070406</v>
      </c>
      <c r="P241" s="93">
        <f t="shared" si="144"/>
        <v>744.50176273070406</v>
      </c>
      <c r="Q241" s="93">
        <f t="shared" si="144"/>
        <v>744.50176273070406</v>
      </c>
      <c r="R241" s="93">
        <f t="shared" si="144"/>
        <v>744.50176273070406</v>
      </c>
      <c r="S241" s="93">
        <f t="shared" si="144"/>
        <v>744.50176273070406</v>
      </c>
      <c r="T241" s="93">
        <f t="shared" si="144"/>
        <v>744.50176273070406</v>
      </c>
    </row>
    <row r="242" spans="1:20" hidden="1" outlineLevel="1" x14ac:dyDescent="0.2">
      <c r="A242" s="421" t="str">
        <f t="shared" si="136"/>
        <v>Blue hydrogen (liquid) - Americas - storage - USD/ton</v>
      </c>
      <c r="B242" s="421"/>
      <c r="C242" t="s">
        <v>199</v>
      </c>
      <c r="D242" t="str">
        <f>+D229</f>
        <v>Blue hydrogen (liquid)</v>
      </c>
      <c r="E242" t="s">
        <v>775</v>
      </c>
      <c r="F242" t="s">
        <v>791</v>
      </c>
      <c r="G242" s="224" t="s">
        <v>205</v>
      </c>
      <c r="H242" s="93"/>
      <c r="I242" s="93">
        <f t="shared" ref="I242:T242" si="145">I$213/I$217*I$215/365/I$216+I$212*I$215*I229</f>
        <v>803.873779912955</v>
      </c>
      <c r="J242" s="93">
        <f t="shared" si="145"/>
        <v>778.67714477607183</v>
      </c>
      <c r="K242" s="93">
        <f t="shared" si="145"/>
        <v>770.58100244218019</v>
      </c>
      <c r="L242" s="93">
        <f t="shared" si="145"/>
        <v>770.44490617617805</v>
      </c>
      <c r="M242" s="93">
        <f t="shared" si="145"/>
        <v>766.29101587964408</v>
      </c>
      <c r="N242" s="93">
        <f t="shared" si="145"/>
        <v>763.09275732021933</v>
      </c>
      <c r="O242" s="93">
        <f t="shared" si="145"/>
        <v>760.24810806325752</v>
      </c>
      <c r="P242" s="93">
        <f t="shared" si="145"/>
        <v>760.24810806325752</v>
      </c>
      <c r="Q242" s="93">
        <f t="shared" si="145"/>
        <v>760.24810806325752</v>
      </c>
      <c r="R242" s="93">
        <f t="shared" si="145"/>
        <v>760.24810806325752</v>
      </c>
      <c r="S242" s="93">
        <f t="shared" si="145"/>
        <v>760.24810806325752</v>
      </c>
      <c r="T242" s="93">
        <f t="shared" si="145"/>
        <v>760.24810806325752</v>
      </c>
    </row>
    <row r="243" spans="1:20" hidden="1" outlineLevel="1" x14ac:dyDescent="0.2">
      <c r="A243" s="421" t="str">
        <f t="shared" si="136"/>
        <v>Blue hydrogen (liquid) - Africa&amp;Other - storage - USD/ton</v>
      </c>
      <c r="B243" s="421"/>
      <c r="C243" t="s">
        <v>498</v>
      </c>
      <c r="D243" t="str">
        <f>+D230</f>
        <v>Blue hydrogen (liquid)</v>
      </c>
      <c r="E243" t="s">
        <v>775</v>
      </c>
      <c r="F243" t="s">
        <v>791</v>
      </c>
      <c r="G243" s="224" t="s">
        <v>205</v>
      </c>
      <c r="H243" s="93"/>
      <c r="I243" s="93">
        <f t="shared" ref="I243:T243" si="146">I$213/I$217*I$215/365/I$216+I$212*I$215*I230</f>
        <v>1047.7880948818229</v>
      </c>
      <c r="J243" s="93">
        <f t="shared" si="146"/>
        <v>856.98123158455337</v>
      </c>
      <c r="K243" s="93">
        <f t="shared" si="146"/>
        <v>812.64851576161743</v>
      </c>
      <c r="L243" s="93">
        <f t="shared" si="146"/>
        <v>806.06127062433075</v>
      </c>
      <c r="M243" s="93">
        <f t="shared" si="146"/>
        <v>801.09514783286659</v>
      </c>
      <c r="N243" s="93">
        <f t="shared" si="146"/>
        <v>796.39903597600369</v>
      </c>
      <c r="O243" s="93">
        <f t="shared" si="146"/>
        <v>792.55554953444971</v>
      </c>
      <c r="P243" s="93">
        <f t="shared" si="146"/>
        <v>792.55554953444971</v>
      </c>
      <c r="Q243" s="93">
        <f t="shared" si="146"/>
        <v>792.55554953444971</v>
      </c>
      <c r="R243" s="93">
        <f t="shared" si="146"/>
        <v>792.55554953444971</v>
      </c>
      <c r="S243" s="93">
        <f t="shared" si="146"/>
        <v>792.55554953444971</v>
      </c>
      <c r="T243" s="93">
        <f t="shared" si="146"/>
        <v>792.55554953444971</v>
      </c>
    </row>
    <row r="244" spans="1:20" ht="21.2" hidden="1" customHeight="1" outlineLevel="1" x14ac:dyDescent="0.2">
      <c r="A244" s="421" t="str">
        <f>_xlfn.TEXTJOIN(keydelim,TRUE,D244,C244,E244,G244)</f>
        <v/>
      </c>
      <c r="B244" s="421"/>
      <c r="H244" s="95"/>
    </row>
    <row r="245" spans="1:20" hidden="1" outlineLevel="1" x14ac:dyDescent="0.2">
      <c r="A245" s="421"/>
      <c r="B245" s="421"/>
      <c r="C245" t="s">
        <v>195</v>
      </c>
      <c r="D245" t="s">
        <v>792</v>
      </c>
      <c r="E245" t="s">
        <v>766</v>
      </c>
      <c r="F245" t="str">
        <f>+D245&amp;" "&amp;E245</f>
        <v>Liquid Hydrogen Logistics CO2</v>
      </c>
      <c r="G245" s="224" t="s">
        <v>767</v>
      </c>
      <c r="H245" s="93"/>
      <c r="I245" s="94">
        <f>I$200/I$211*1000*(I$201/I$203/365)</f>
        <v>0.2605717689100655</v>
      </c>
      <c r="J245" s="94">
        <f t="shared" ref="J245:T249" si="147">J$200/J$211*1000*(J$201/J$203/365)</f>
        <v>0.18127674899865984</v>
      </c>
      <c r="K245" s="94">
        <f t="shared" si="147"/>
        <v>0.12611212590288304</v>
      </c>
      <c r="L245" s="94">
        <f t="shared" si="147"/>
        <v>8.7734739218332955E-2</v>
      </c>
      <c r="M245" s="94">
        <f t="shared" si="147"/>
        <v>6.1036037657762797E-2</v>
      </c>
      <c r="N245" s="94">
        <f t="shared" si="147"/>
        <v>4.2462061506662367E-2</v>
      </c>
      <c r="O245" s="94">
        <f t="shared" si="147"/>
        <v>2.9540362326686234E-2</v>
      </c>
      <c r="P245" s="94">
        <f t="shared" si="147"/>
        <v>0</v>
      </c>
      <c r="Q245" s="94">
        <f t="shared" si="147"/>
        <v>0</v>
      </c>
      <c r="R245" s="94">
        <f t="shared" si="147"/>
        <v>0</v>
      </c>
      <c r="S245" s="94">
        <f t="shared" si="147"/>
        <v>0</v>
      </c>
      <c r="T245" s="94">
        <f t="shared" si="147"/>
        <v>0</v>
      </c>
    </row>
    <row r="246" spans="1:20" hidden="1" outlineLevel="1" x14ac:dyDescent="0.2">
      <c r="A246" s="421"/>
      <c r="B246" s="421"/>
      <c r="C246" t="s">
        <v>198</v>
      </c>
      <c r="D246" t="s">
        <v>792</v>
      </c>
      <c r="E246" t="s">
        <v>766</v>
      </c>
      <c r="F246" t="str">
        <f>+D246&amp;" "&amp;E246</f>
        <v>Liquid Hydrogen Logistics CO2</v>
      </c>
      <c r="G246" s="224" t="s">
        <v>767</v>
      </c>
      <c r="H246" s="93"/>
      <c r="I246" s="94">
        <f>I$200/I$211*1000*(I$201/I$203/365)</f>
        <v>0.2605717689100655</v>
      </c>
      <c r="J246" s="94">
        <f t="shared" si="147"/>
        <v>0.18127674899865984</v>
      </c>
      <c r="K246" s="94">
        <f t="shared" si="147"/>
        <v>0.12611212590288304</v>
      </c>
      <c r="L246" s="94">
        <f t="shared" si="147"/>
        <v>8.7734739218332955E-2</v>
      </c>
      <c r="M246" s="94">
        <f t="shared" si="147"/>
        <v>6.1036037657762797E-2</v>
      </c>
      <c r="N246" s="94">
        <f t="shared" si="147"/>
        <v>4.2462061506662367E-2</v>
      </c>
      <c r="O246" s="94">
        <f t="shared" si="147"/>
        <v>2.9540362326686234E-2</v>
      </c>
    </row>
    <row r="247" spans="1:20" hidden="1" outlineLevel="1" x14ac:dyDescent="0.2">
      <c r="A247" s="421"/>
      <c r="B247" s="421"/>
      <c r="C247" t="s">
        <v>197</v>
      </c>
      <c r="D247" t="s">
        <v>792</v>
      </c>
      <c r="E247" t="s">
        <v>766</v>
      </c>
      <c r="F247" t="str">
        <f>+D247&amp;" "&amp;E247</f>
        <v>Liquid Hydrogen Logistics CO2</v>
      </c>
      <c r="G247" s="224" t="s">
        <v>767</v>
      </c>
      <c r="H247" s="93"/>
      <c r="I247" s="94">
        <f>I$200/I$211*1000*(I$201/I$203/365)</f>
        <v>0.2605717689100655</v>
      </c>
      <c r="J247" s="94">
        <f t="shared" si="147"/>
        <v>0.18127674899865984</v>
      </c>
      <c r="K247" s="94">
        <f t="shared" si="147"/>
        <v>0.12611212590288304</v>
      </c>
      <c r="L247" s="94">
        <f t="shared" si="147"/>
        <v>8.7734739218332955E-2</v>
      </c>
      <c r="M247" s="94">
        <f t="shared" si="147"/>
        <v>6.1036037657762797E-2</v>
      </c>
      <c r="N247" s="94">
        <f t="shared" si="147"/>
        <v>4.2462061506662367E-2</v>
      </c>
      <c r="O247" s="94">
        <f t="shared" si="147"/>
        <v>2.9540362326686234E-2</v>
      </c>
    </row>
    <row r="248" spans="1:20" hidden="1" outlineLevel="1" x14ac:dyDescent="0.2">
      <c r="A248" s="421"/>
      <c r="B248" s="421"/>
      <c r="C248" t="s">
        <v>199</v>
      </c>
      <c r="D248" t="s">
        <v>792</v>
      </c>
      <c r="E248" t="s">
        <v>766</v>
      </c>
      <c r="F248" t="str">
        <f>+D248&amp;" "&amp;E248</f>
        <v>Liquid Hydrogen Logistics CO2</v>
      </c>
      <c r="G248" s="224" t="s">
        <v>767</v>
      </c>
      <c r="H248" s="93"/>
      <c r="I248" s="94">
        <f>I$200/I$211*1000*(I$201/I$203/365)</f>
        <v>0.2605717689100655</v>
      </c>
      <c r="J248" s="94">
        <f t="shared" si="147"/>
        <v>0.18127674899865984</v>
      </c>
      <c r="K248" s="94">
        <f t="shared" si="147"/>
        <v>0.12611212590288304</v>
      </c>
      <c r="L248" s="94">
        <f t="shared" si="147"/>
        <v>8.7734739218332955E-2</v>
      </c>
      <c r="M248" s="94">
        <f t="shared" si="147"/>
        <v>6.1036037657762797E-2</v>
      </c>
      <c r="N248" s="94">
        <f t="shared" si="147"/>
        <v>4.2462061506662367E-2</v>
      </c>
      <c r="O248" s="94">
        <f t="shared" si="147"/>
        <v>2.9540362326686234E-2</v>
      </c>
    </row>
    <row r="249" spans="1:20" hidden="1" outlineLevel="1" x14ac:dyDescent="0.2">
      <c r="A249" s="421"/>
      <c r="B249" s="421"/>
      <c r="C249" t="s">
        <v>498</v>
      </c>
      <c r="D249" t="s">
        <v>792</v>
      </c>
      <c r="E249" t="s">
        <v>766</v>
      </c>
      <c r="F249" t="str">
        <f>+D249&amp;" "&amp;E249</f>
        <v>Liquid Hydrogen Logistics CO2</v>
      </c>
      <c r="G249" s="224" t="s">
        <v>767</v>
      </c>
      <c r="H249" s="93"/>
      <c r="I249" s="94">
        <f>I$200/I$211*1000*(I$201/I$203/365)</f>
        <v>0.2605717689100655</v>
      </c>
      <c r="J249" s="94">
        <f t="shared" si="147"/>
        <v>0.18127674899865984</v>
      </c>
      <c r="K249" s="94">
        <f t="shared" si="147"/>
        <v>0.12611212590288304</v>
      </c>
      <c r="L249" s="94">
        <f t="shared" si="147"/>
        <v>8.7734739218332955E-2</v>
      </c>
      <c r="M249" s="94">
        <f t="shared" si="147"/>
        <v>6.1036037657762797E-2</v>
      </c>
      <c r="N249" s="94">
        <f t="shared" si="147"/>
        <v>4.2462061506662367E-2</v>
      </c>
      <c r="O249" s="94">
        <f t="shared" si="147"/>
        <v>2.9540362326686234E-2</v>
      </c>
    </row>
    <row r="250" spans="1:20" ht="21.75" hidden="1" customHeight="1" outlineLevel="1" x14ac:dyDescent="0.2">
      <c r="A250" s="421" t="str">
        <f t="shared" si="136"/>
        <v/>
      </c>
      <c r="B250" s="421"/>
      <c r="H250" s="95"/>
    </row>
    <row r="251" spans="1:20" hidden="1" outlineLevel="1" x14ac:dyDescent="0.2">
      <c r="A251" s="421" t="str">
        <f t="shared" si="136"/>
        <v>e-Hydrogen (liquid) - Global - WTT Logistics - kgCO2/GJ</v>
      </c>
      <c r="B251" s="421"/>
      <c r="C251" t="s">
        <v>109</v>
      </c>
      <c r="D251" t="s">
        <v>585</v>
      </c>
      <c r="F251" t="str">
        <f>+D251&amp;" "&amp;E251</f>
        <v xml:space="preserve">e-Hydrogen (liquid) </v>
      </c>
      <c r="G251" s="224" t="s">
        <v>770</v>
      </c>
      <c r="H251" s="93"/>
      <c r="I251" s="94">
        <f>+AVERAGE(I245:I249)/INDEX('Fuel Model -  Input'!H$15:H$44,MATCH('Fuel Logistics'!$D251,'Fuel Model -  Input'!$F$15:$F$44,0))*1000000</f>
        <v>2.1714314075838792</v>
      </c>
      <c r="J251" s="94">
        <f>+AVERAGE(J245:J249)/INDEX('Fuel Model -  Input'!I$15:I$44,MATCH('Fuel Logistics'!$D251,'Fuel Model -  Input'!$F$15:$F$44,0))*1000000</f>
        <v>1.5106395749888319</v>
      </c>
      <c r="K251" s="94">
        <f>+AVERAGE(K245:K249)/INDEX('Fuel Model -  Input'!J$15:J$44,MATCH('Fuel Logistics'!$D251,'Fuel Model -  Input'!$F$15:$F$44,0))*1000000</f>
        <v>1.0509343825240254</v>
      </c>
      <c r="L251" s="94">
        <f>+AVERAGE(L245:L249)/INDEX('Fuel Model -  Input'!K$15:K$44,MATCH('Fuel Logistics'!$D251,'Fuel Model -  Input'!$F$15:$F$44,0))*1000000</f>
        <v>0.7311228268194413</v>
      </c>
      <c r="M251" s="94">
        <f>+AVERAGE(M245:M249)/INDEX('Fuel Model -  Input'!L$15:L$44,MATCH('Fuel Logistics'!$D251,'Fuel Model -  Input'!$F$15:$F$44,0))*1000000</f>
        <v>0.50863364714802328</v>
      </c>
      <c r="N251" s="94">
        <f>+AVERAGE(N245:N249)/INDEX('Fuel Model -  Input'!M$15:M$44,MATCH('Fuel Logistics'!$D251,'Fuel Model -  Input'!$F$15:$F$44,0))*1000000</f>
        <v>0.35385051255551975</v>
      </c>
      <c r="O251" s="94">
        <f>+AVERAGE(O245:O249)/INDEX('Fuel Model -  Input'!N$15:N$44,MATCH('Fuel Logistics'!$D251,'Fuel Model -  Input'!$F$15:$F$44,0))*1000000</f>
        <v>0.24616968605571857</v>
      </c>
      <c r="P251" s="93"/>
      <c r="Q251" s="93"/>
      <c r="R251" s="93"/>
      <c r="S251" s="93"/>
      <c r="T251" s="93"/>
    </row>
    <row r="252" spans="1:20" hidden="1" outlineLevel="1" x14ac:dyDescent="0.2">
      <c r="A252" s="421" t="str">
        <f t="shared" si="136"/>
        <v>Blue hydrogen (liquid) - Global - WTT Logistics - kgCO2/GJ</v>
      </c>
      <c r="B252" s="421"/>
      <c r="C252" t="s">
        <v>109</v>
      </c>
      <c r="D252" t="s">
        <v>593</v>
      </c>
      <c r="F252" t="str">
        <f>+D252&amp;" "&amp;E252</f>
        <v xml:space="preserve">Blue hydrogen (liquid) </v>
      </c>
      <c r="G252" s="224" t="s">
        <v>770</v>
      </c>
      <c r="H252" s="93"/>
      <c r="I252" s="94">
        <f>+I251</f>
        <v>2.1714314075838792</v>
      </c>
      <c r="J252" s="94">
        <f t="shared" ref="J252:O252" si="148">+J251</f>
        <v>1.5106395749888319</v>
      </c>
      <c r="K252" s="94">
        <f t="shared" si="148"/>
        <v>1.0509343825240254</v>
      </c>
      <c r="L252" s="94">
        <f t="shared" si="148"/>
        <v>0.7311228268194413</v>
      </c>
      <c r="M252" s="94">
        <f t="shared" si="148"/>
        <v>0.50863364714802328</v>
      </c>
      <c r="N252" s="94">
        <f t="shared" si="148"/>
        <v>0.35385051255551975</v>
      </c>
      <c r="O252" s="94">
        <f t="shared" si="148"/>
        <v>0.24616968605571857</v>
      </c>
      <c r="P252" s="93"/>
      <c r="Q252" s="93"/>
      <c r="R252" s="93"/>
      <c r="S252" s="93"/>
      <c r="T252" s="93"/>
    </row>
    <row r="253" spans="1:20" collapsed="1" x14ac:dyDescent="0.2">
      <c r="A253" s="421" t="str">
        <f t="shared" si="136"/>
        <v/>
      </c>
      <c r="B253" s="421"/>
      <c r="H253" s="95"/>
    </row>
    <row r="254" spans="1:20" x14ac:dyDescent="0.2">
      <c r="A254" s="421" t="str">
        <f t="shared" si="136"/>
        <v>e-Hydrogen (liquid) - Europe - Logistics total - USD/ton</v>
      </c>
      <c r="B254" s="421"/>
      <c r="C254" s="266" t="s">
        <v>195</v>
      </c>
      <c r="D254" s="266" t="str">
        <f>+D233</f>
        <v>e-Hydrogen (liquid)</v>
      </c>
      <c r="E254" s="266" t="s">
        <v>732</v>
      </c>
      <c r="F254" s="266" t="str">
        <f t="shared" ref="F254:F264" si="149">+D254&amp;" "&amp;E254</f>
        <v>e-Hydrogen (liquid) Logistics total</v>
      </c>
      <c r="G254" s="282" t="s">
        <v>205</v>
      </c>
      <c r="H254" s="266"/>
      <c r="I254" s="324">
        <f t="shared" ref="I254:T254" si="150">I205+I233</f>
        <v>1601.5163943146285</v>
      </c>
      <c r="J254" s="324">
        <f t="shared" si="150"/>
        <v>1557.9349205809049</v>
      </c>
      <c r="K254" s="324">
        <f t="shared" si="150"/>
        <v>1522.3556005085604</v>
      </c>
      <c r="L254" s="324">
        <f t="shared" si="150"/>
        <v>1508.6350406289314</v>
      </c>
      <c r="M254" s="324">
        <f t="shared" si="150"/>
        <v>1491.5212968521785</v>
      </c>
      <c r="N254" s="324">
        <f t="shared" si="150"/>
        <v>1469.6713582787415</v>
      </c>
      <c r="O254" s="324">
        <f t="shared" si="150"/>
        <v>1449.4603585505481</v>
      </c>
      <c r="P254" s="324">
        <f t="shared" si="150"/>
        <v>1449.4603585505481</v>
      </c>
      <c r="Q254" s="324">
        <f t="shared" si="150"/>
        <v>1449.4603585505481</v>
      </c>
      <c r="R254" s="324">
        <f t="shared" si="150"/>
        <v>1449.4603585505481</v>
      </c>
      <c r="S254" s="324">
        <f t="shared" si="150"/>
        <v>1449.4603585505481</v>
      </c>
      <c r="T254" s="324">
        <f t="shared" si="150"/>
        <v>1449.4603585505481</v>
      </c>
    </row>
    <row r="255" spans="1:20" x14ac:dyDescent="0.2">
      <c r="A255" s="421" t="str">
        <f t="shared" si="136"/>
        <v>e-Hydrogen (liquid) - Asia - Logistics total - USD/ton</v>
      </c>
      <c r="B255" s="421"/>
      <c r="C255" s="266" t="s">
        <v>198</v>
      </c>
      <c r="D255" s="266" t="str">
        <f>+D234</f>
        <v>e-Hydrogen (liquid)</v>
      </c>
      <c r="E255" s="266" t="s">
        <v>732</v>
      </c>
      <c r="F255" s="266" t="str">
        <f t="shared" si="149"/>
        <v>e-Hydrogen (liquid) Logistics total</v>
      </c>
      <c r="G255" s="282" t="s">
        <v>205</v>
      </c>
      <c r="H255" s="266"/>
      <c r="I255" s="324">
        <f t="shared" ref="I255:T255" si="151">I206+I234</f>
        <v>1679.6336701944538</v>
      </c>
      <c r="J255" s="324">
        <f t="shared" si="151"/>
        <v>1584.4212745916589</v>
      </c>
      <c r="K255" s="324">
        <f t="shared" si="151"/>
        <v>1543.4528767180097</v>
      </c>
      <c r="L255" s="324">
        <f t="shared" si="151"/>
        <v>1519.697090699804</v>
      </c>
      <c r="M255" s="324">
        <f t="shared" si="151"/>
        <v>1498.3807116800426</v>
      </c>
      <c r="N255" s="324">
        <f t="shared" si="151"/>
        <v>1472.5379139854476</v>
      </c>
      <c r="O255" s="324">
        <f t="shared" si="151"/>
        <v>1452.0417530023769</v>
      </c>
      <c r="P255" s="324">
        <f t="shared" si="151"/>
        <v>1452.0417530023769</v>
      </c>
      <c r="Q255" s="324">
        <f t="shared" si="151"/>
        <v>1452.0417530023769</v>
      </c>
      <c r="R255" s="324">
        <f t="shared" si="151"/>
        <v>1452.0417530023769</v>
      </c>
      <c r="S255" s="324">
        <f t="shared" si="151"/>
        <v>1452.0417530023769</v>
      </c>
      <c r="T255" s="324">
        <f t="shared" si="151"/>
        <v>1452.0417530023769</v>
      </c>
    </row>
    <row r="256" spans="1:20" x14ac:dyDescent="0.2">
      <c r="A256" s="421" t="str">
        <f t="shared" si="136"/>
        <v>e-Hydrogen (liquid) - Middle East - Logistics total - USD/ton</v>
      </c>
      <c r="B256" s="421"/>
      <c r="C256" s="266" t="s">
        <v>197</v>
      </c>
      <c r="D256" s="266" t="str">
        <f>+D235</f>
        <v>e-Hydrogen (liquid)</v>
      </c>
      <c r="E256" s="266" t="s">
        <v>732</v>
      </c>
      <c r="F256" s="266" t="str">
        <f t="shared" si="149"/>
        <v>e-Hydrogen (liquid) Logistics total</v>
      </c>
      <c r="G256" s="282" t="s">
        <v>205</v>
      </c>
      <c r="H256" s="266"/>
      <c r="I256" s="324">
        <f t="shared" ref="I256:T256" si="152">I207+I235</f>
        <v>1565.4647445296778</v>
      </c>
      <c r="J256" s="324">
        <f t="shared" si="152"/>
        <v>1528.4032913550195</v>
      </c>
      <c r="K256" s="324">
        <f t="shared" si="152"/>
        <v>1501.5899952949762</v>
      </c>
      <c r="L256" s="324">
        <f t="shared" si="152"/>
        <v>1487.648117154778</v>
      </c>
      <c r="M256" s="324">
        <f t="shared" si="152"/>
        <v>1471.7905276978665</v>
      </c>
      <c r="N256" s="324">
        <f t="shared" si="152"/>
        <v>1450.2993414480072</v>
      </c>
      <c r="O256" s="324">
        <f t="shared" si="152"/>
        <v>1432.0137140189595</v>
      </c>
      <c r="P256" s="324">
        <f t="shared" si="152"/>
        <v>1432.0137140189595</v>
      </c>
      <c r="Q256" s="324">
        <f t="shared" si="152"/>
        <v>1432.0137140189595</v>
      </c>
      <c r="R256" s="324">
        <f t="shared" si="152"/>
        <v>1432.0137140189595</v>
      </c>
      <c r="S256" s="324">
        <f t="shared" si="152"/>
        <v>1432.0137140189595</v>
      </c>
      <c r="T256" s="324">
        <f t="shared" si="152"/>
        <v>1432.0137140189595</v>
      </c>
    </row>
    <row r="257" spans="1:20" x14ac:dyDescent="0.2">
      <c r="A257" s="421" t="str">
        <f t="shared" si="136"/>
        <v>e-Hydrogen (liquid) - Americas - Logistics total - USD/ton</v>
      </c>
      <c r="B257" s="421"/>
      <c r="C257" s="266" t="s">
        <v>199</v>
      </c>
      <c r="D257" s="266" t="str">
        <f>+D236</f>
        <v>e-Hydrogen (liquid)</v>
      </c>
      <c r="E257" s="266" t="s">
        <v>732</v>
      </c>
      <c r="F257" s="266" t="str">
        <f t="shared" si="149"/>
        <v>e-Hydrogen (liquid) Logistics total</v>
      </c>
      <c r="G257" s="282" t="s">
        <v>205</v>
      </c>
      <c r="H257" s="266"/>
      <c r="I257" s="324">
        <f t="shared" ref="I257:T257" si="153">I208+I236</f>
        <v>1557.0607471276712</v>
      </c>
      <c r="J257" s="324">
        <f t="shared" si="153"/>
        <v>1532.4105409664905</v>
      </c>
      <c r="K257" s="324">
        <f t="shared" si="153"/>
        <v>1502.7139066003344</v>
      </c>
      <c r="L257" s="324">
        <f t="shared" si="153"/>
        <v>1490.7009542560875</v>
      </c>
      <c r="M257" s="324">
        <f t="shared" si="153"/>
        <v>1473.1788884831435</v>
      </c>
      <c r="N257" s="324">
        <f t="shared" si="153"/>
        <v>1455.3226999101362</v>
      </c>
      <c r="O257" s="324">
        <f t="shared" si="153"/>
        <v>1437.7936404681907</v>
      </c>
      <c r="P257" s="324">
        <f t="shared" si="153"/>
        <v>1437.7936404681907</v>
      </c>
      <c r="Q257" s="324">
        <f t="shared" si="153"/>
        <v>1437.7936404681907</v>
      </c>
      <c r="R257" s="324">
        <f t="shared" si="153"/>
        <v>1437.7936404681907</v>
      </c>
      <c r="S257" s="324">
        <f t="shared" si="153"/>
        <v>1437.7936404681907</v>
      </c>
      <c r="T257" s="324">
        <f t="shared" si="153"/>
        <v>1437.7936404681907</v>
      </c>
    </row>
    <row r="258" spans="1:20" x14ac:dyDescent="0.2">
      <c r="A258" s="421" t="str">
        <f t="shared" si="136"/>
        <v>e-Hydrogen (liquid) - Africa&amp;Other - Logistics total - USD/ton</v>
      </c>
      <c r="B258" s="421"/>
      <c r="C258" s="266" t="s">
        <v>498</v>
      </c>
      <c r="D258" s="266" t="str">
        <f>+D237</f>
        <v>e-Hydrogen (liquid)</v>
      </c>
      <c r="E258" s="266" t="s">
        <v>732</v>
      </c>
      <c r="F258" s="266" t="str">
        <f t="shared" si="149"/>
        <v>e-Hydrogen (liquid) Logistics total</v>
      </c>
      <c r="G258" s="282" t="s">
        <v>205</v>
      </c>
      <c r="H258" s="266"/>
      <c r="I258" s="324">
        <f t="shared" ref="I258:T258" si="154">I209+I237</f>
        <v>1670.80987890491</v>
      </c>
      <c r="J258" s="324">
        <f t="shared" si="154"/>
        <v>1559.3473924258819</v>
      </c>
      <c r="K258" s="324">
        <f t="shared" si="154"/>
        <v>1520.5630389752334</v>
      </c>
      <c r="L258" s="324">
        <f t="shared" si="154"/>
        <v>1501.9104874461366</v>
      </c>
      <c r="M258" s="324">
        <f t="shared" si="154"/>
        <v>1483.9478217913254</v>
      </c>
      <c r="N258" s="324">
        <f t="shared" si="154"/>
        <v>1461.6343642301345</v>
      </c>
      <c r="O258" s="324">
        <f t="shared" si="154"/>
        <v>1442.6325326066615</v>
      </c>
      <c r="P258" s="324">
        <f t="shared" si="154"/>
        <v>1442.6325326066615</v>
      </c>
      <c r="Q258" s="324">
        <f t="shared" si="154"/>
        <v>1442.6325326066615</v>
      </c>
      <c r="R258" s="324">
        <f t="shared" si="154"/>
        <v>1442.6325326066615</v>
      </c>
      <c r="S258" s="324">
        <f t="shared" si="154"/>
        <v>1442.6325326066615</v>
      </c>
      <c r="T258" s="324">
        <f t="shared" si="154"/>
        <v>1442.6325326066615</v>
      </c>
    </row>
    <row r="259" spans="1:20" x14ac:dyDescent="0.2">
      <c r="A259" s="421" t="str">
        <f t="shared" si="136"/>
        <v/>
      </c>
      <c r="B259" s="421"/>
      <c r="C259" s="266"/>
      <c r="D259" s="266"/>
      <c r="E259" s="266"/>
      <c r="F259" s="266"/>
      <c r="G259" s="282"/>
      <c r="H259" s="423"/>
      <c r="I259" s="324"/>
      <c r="J259" s="324"/>
      <c r="K259" s="324"/>
      <c r="L259" s="324"/>
      <c r="M259" s="324"/>
      <c r="N259" s="324"/>
      <c r="O259" s="324"/>
      <c r="P259" s="324"/>
      <c r="Q259" s="324"/>
      <c r="R259" s="324"/>
      <c r="S259" s="324"/>
      <c r="T259" s="324"/>
    </row>
    <row r="260" spans="1:20" x14ac:dyDescent="0.2">
      <c r="A260" s="421" t="str">
        <f t="shared" si="136"/>
        <v>Blue hydrogen (liquid) - Europe - Logistics total - USD/ton</v>
      </c>
      <c r="B260" s="421"/>
      <c r="C260" s="266" t="s">
        <v>195</v>
      </c>
      <c r="D260" s="266" t="str">
        <f>+D239</f>
        <v>Blue hydrogen (liquid)</v>
      </c>
      <c r="E260" s="266" t="s">
        <v>732</v>
      </c>
      <c r="F260" s="266" t="str">
        <f t="shared" si="149"/>
        <v>Blue hydrogen (liquid) Logistics total</v>
      </c>
      <c r="G260" s="282" t="s">
        <v>205</v>
      </c>
      <c r="H260" s="266"/>
      <c r="I260" s="324">
        <f t="shared" ref="I260:T260" si="155">I205+I239</f>
        <v>1731.6828759785444</v>
      </c>
      <c r="J260" s="324">
        <f t="shared" si="155"/>
        <v>1551.6149020519067</v>
      </c>
      <c r="K260" s="324">
        <f t="shared" si="155"/>
        <v>1507.7946060549521</v>
      </c>
      <c r="L260" s="324">
        <f t="shared" si="155"/>
        <v>1502.0339678283995</v>
      </c>
      <c r="M260" s="324">
        <f t="shared" si="155"/>
        <v>1497.2580167636547</v>
      </c>
      <c r="N260" s="324">
        <f t="shared" si="155"/>
        <v>1492.7184083376408</v>
      </c>
      <c r="O260" s="324">
        <f t="shared" si="155"/>
        <v>1488.7116657300908</v>
      </c>
      <c r="P260" s="324">
        <f t="shared" si="155"/>
        <v>1488.7116657300908</v>
      </c>
      <c r="Q260" s="324">
        <f t="shared" si="155"/>
        <v>1488.7116657300908</v>
      </c>
      <c r="R260" s="324">
        <f t="shared" si="155"/>
        <v>1488.7116657300908</v>
      </c>
      <c r="S260" s="324">
        <f t="shared" si="155"/>
        <v>1488.7116657300908</v>
      </c>
      <c r="T260" s="324">
        <f t="shared" si="155"/>
        <v>1488.7116657300908</v>
      </c>
    </row>
    <row r="261" spans="1:20" x14ac:dyDescent="0.2">
      <c r="A261" s="421" t="str">
        <f t="shared" si="136"/>
        <v>Blue hydrogen (liquid) - Asia - Logistics total - USD/ton</v>
      </c>
      <c r="B261" s="421"/>
      <c r="C261" s="266" t="s">
        <v>198</v>
      </c>
      <c r="D261" s="266" t="str">
        <f>+D240</f>
        <v>Blue hydrogen (liquid)</v>
      </c>
      <c r="E261" s="266" t="s">
        <v>732</v>
      </c>
      <c r="F261" s="266" t="str">
        <f t="shared" si="149"/>
        <v>Blue hydrogen (liquid) Logistics total</v>
      </c>
      <c r="G261" s="282" t="s">
        <v>205</v>
      </c>
      <c r="H261" s="266"/>
      <c r="I261" s="324">
        <f t="shared" ref="I261:T261" si="156">I206+I240</f>
        <v>1719.8367556403052</v>
      </c>
      <c r="J261" s="324">
        <f t="shared" si="156"/>
        <v>1559.7599245317724</v>
      </c>
      <c r="K261" s="324">
        <f t="shared" si="156"/>
        <v>1491.9692524744878</v>
      </c>
      <c r="L261" s="324">
        <f t="shared" si="156"/>
        <v>1485.1129785929209</v>
      </c>
      <c r="M261" s="324">
        <f t="shared" si="156"/>
        <v>1480.1349365740643</v>
      </c>
      <c r="N261" s="324">
        <f t="shared" si="156"/>
        <v>1475.3736938704856</v>
      </c>
      <c r="O261" s="324">
        <f t="shared" si="156"/>
        <v>1471.764925131579</v>
      </c>
      <c r="P261" s="324">
        <f t="shared" si="156"/>
        <v>1471.764925131579</v>
      </c>
      <c r="Q261" s="324">
        <f t="shared" si="156"/>
        <v>1471.764925131579</v>
      </c>
      <c r="R261" s="324">
        <f t="shared" si="156"/>
        <v>1471.764925131579</v>
      </c>
      <c r="S261" s="324">
        <f t="shared" si="156"/>
        <v>1471.764925131579</v>
      </c>
      <c r="T261" s="324">
        <f t="shared" si="156"/>
        <v>1471.764925131579</v>
      </c>
    </row>
    <row r="262" spans="1:20" x14ac:dyDescent="0.2">
      <c r="A262" s="421" t="str">
        <f t="shared" si="136"/>
        <v>Blue hydrogen (liquid) - Middle East - Logistics total - USD/ton</v>
      </c>
      <c r="B262" s="421"/>
      <c r="C262" s="266" t="s">
        <v>197</v>
      </c>
      <c r="D262" s="266" t="str">
        <f>+D241</f>
        <v>Blue hydrogen (liquid)</v>
      </c>
      <c r="E262" s="266" t="s">
        <v>732</v>
      </c>
      <c r="F262" s="266" t="str">
        <f t="shared" si="149"/>
        <v>Blue hydrogen (liquid) Logistics total</v>
      </c>
      <c r="G262" s="282" t="s">
        <v>205</v>
      </c>
      <c r="H262" s="266"/>
      <c r="I262" s="324">
        <f t="shared" ref="I262:T262" si="157">I207+I241</f>
        <v>1669.4995901134878</v>
      </c>
      <c r="J262" s="324">
        <f t="shared" si="157"/>
        <v>1519.3611186164999</v>
      </c>
      <c r="K262" s="324">
        <f t="shared" si="157"/>
        <v>1453.7292192630221</v>
      </c>
      <c r="L262" s="324">
        <f t="shared" si="157"/>
        <v>1449.0430530424755</v>
      </c>
      <c r="M262" s="324">
        <f t="shared" si="157"/>
        <v>1445.5337737071015</v>
      </c>
      <c r="N262" s="324">
        <f t="shared" si="157"/>
        <v>1442.03006195785</v>
      </c>
      <c r="O262" s="324">
        <f t="shared" si="157"/>
        <v>1439.3598131575454</v>
      </c>
      <c r="P262" s="324">
        <f t="shared" si="157"/>
        <v>1439.3598131575454</v>
      </c>
      <c r="Q262" s="324">
        <f t="shared" si="157"/>
        <v>1439.3598131575454</v>
      </c>
      <c r="R262" s="324">
        <f t="shared" si="157"/>
        <v>1439.3598131575454</v>
      </c>
      <c r="S262" s="324">
        <f t="shared" si="157"/>
        <v>1439.3598131575454</v>
      </c>
      <c r="T262" s="324">
        <f t="shared" si="157"/>
        <v>1439.3598131575454</v>
      </c>
    </row>
    <row r="263" spans="1:20" x14ac:dyDescent="0.2">
      <c r="A263" s="421" t="str">
        <f t="shared" si="136"/>
        <v>Blue hydrogen (liquid) - Americas - Logistics total - USD/ton</v>
      </c>
      <c r="B263" s="421"/>
      <c r="C263" s="266" t="s">
        <v>199</v>
      </c>
      <c r="D263" s="266" t="str">
        <f>+D242</f>
        <v>Blue hydrogen (liquid)</v>
      </c>
      <c r="E263" s="266" t="s">
        <v>732</v>
      </c>
      <c r="F263" s="266" t="str">
        <f t="shared" si="149"/>
        <v>Blue hydrogen (liquid) Logistics total</v>
      </c>
      <c r="G263" s="282" t="s">
        <v>205</v>
      </c>
      <c r="H263" s="266"/>
      <c r="I263" s="324">
        <f t="shared" ref="I263:T263" si="158">I208+I242</f>
        <v>1498.7318303397965</v>
      </c>
      <c r="J263" s="324">
        <f t="shared" si="158"/>
        <v>1473.5351952029132</v>
      </c>
      <c r="K263" s="324">
        <f t="shared" si="158"/>
        <v>1465.4390528690215</v>
      </c>
      <c r="L263" s="324">
        <f t="shared" si="158"/>
        <v>1465.3029566030195</v>
      </c>
      <c r="M263" s="324">
        <f t="shared" si="158"/>
        <v>1461.1490663064856</v>
      </c>
      <c r="N263" s="324">
        <f t="shared" si="158"/>
        <v>1457.9508077470607</v>
      </c>
      <c r="O263" s="324">
        <f t="shared" si="158"/>
        <v>1455.106158490099</v>
      </c>
      <c r="P263" s="324">
        <f t="shared" si="158"/>
        <v>1455.106158490099</v>
      </c>
      <c r="Q263" s="324">
        <f t="shared" si="158"/>
        <v>1455.106158490099</v>
      </c>
      <c r="R263" s="324">
        <f t="shared" si="158"/>
        <v>1455.106158490099</v>
      </c>
      <c r="S263" s="324">
        <f t="shared" si="158"/>
        <v>1455.106158490099</v>
      </c>
      <c r="T263" s="324">
        <f t="shared" si="158"/>
        <v>1455.106158490099</v>
      </c>
    </row>
    <row r="264" spans="1:20" x14ac:dyDescent="0.2">
      <c r="A264" s="421" t="str">
        <f t="shared" si="136"/>
        <v>Blue hydrogen (liquid) - Africa&amp;Other - Logistics total - USD/ton</v>
      </c>
      <c r="B264" s="421"/>
      <c r="C264" s="266" t="s">
        <v>498</v>
      </c>
      <c r="D264" s="266" t="str">
        <f>+D243</f>
        <v>Blue hydrogen (liquid)</v>
      </c>
      <c r="E264" s="266" t="s">
        <v>732</v>
      </c>
      <c r="F264" s="266" t="str">
        <f t="shared" si="149"/>
        <v>Blue hydrogen (liquid) Logistics total</v>
      </c>
      <c r="G264" s="282" t="s">
        <v>205</v>
      </c>
      <c r="H264" s="266"/>
      <c r="I264" s="324">
        <f t="shared" ref="I264:T264" si="159">I209+I243</f>
        <v>1742.6461453086642</v>
      </c>
      <c r="J264" s="324">
        <f t="shared" si="159"/>
        <v>1551.8392820113947</v>
      </c>
      <c r="K264" s="324">
        <f t="shared" si="159"/>
        <v>1507.5065661884587</v>
      </c>
      <c r="L264" s="324">
        <f t="shared" si="159"/>
        <v>1500.9193210511721</v>
      </c>
      <c r="M264" s="324">
        <f t="shared" si="159"/>
        <v>1495.953198259708</v>
      </c>
      <c r="N264" s="324">
        <f t="shared" si="159"/>
        <v>1491.2570864028451</v>
      </c>
      <c r="O264" s="324">
        <f t="shared" si="159"/>
        <v>1487.4135999612911</v>
      </c>
      <c r="P264" s="324">
        <f t="shared" si="159"/>
        <v>1487.4135999612911</v>
      </c>
      <c r="Q264" s="324">
        <f t="shared" si="159"/>
        <v>1487.4135999612911</v>
      </c>
      <c r="R264" s="324">
        <f t="shared" si="159"/>
        <v>1487.4135999612911</v>
      </c>
      <c r="S264" s="324">
        <f t="shared" si="159"/>
        <v>1487.4135999612911</v>
      </c>
      <c r="T264" s="324">
        <f t="shared" si="159"/>
        <v>1487.4135999612911</v>
      </c>
    </row>
    <row r="265" spans="1:20" x14ac:dyDescent="0.2">
      <c r="A265" s="421" t="str">
        <f t="shared" si="136"/>
        <v/>
      </c>
      <c r="B265" s="421"/>
    </row>
    <row r="266" spans="1:20" x14ac:dyDescent="0.2">
      <c r="A266" s="418" t="s">
        <v>532</v>
      </c>
      <c r="B266" s="31"/>
      <c r="C266" s="418" t="str">
        <f>+A266</f>
        <v>Compressed hydrogen</v>
      </c>
      <c r="D266" s="419"/>
      <c r="E266" s="419"/>
      <c r="F266" s="419"/>
      <c r="G266" s="420"/>
      <c r="H266" s="419"/>
      <c r="I266" s="419"/>
      <c r="J266" s="419"/>
      <c r="K266" s="419"/>
      <c r="L266" s="419"/>
      <c r="M266" s="419"/>
      <c r="N266" s="419"/>
      <c r="O266" s="419"/>
      <c r="P266" s="419"/>
      <c r="Q266" s="419"/>
      <c r="R266" s="419"/>
      <c r="S266" s="419"/>
      <c r="T266" s="419"/>
    </row>
    <row r="267" spans="1:20" x14ac:dyDescent="0.2">
      <c r="A267" s="421" t="str">
        <f>_xlfn.TEXTJOIN(keydelim,TRUE,D267,C267,E267,G267)</f>
        <v>Compressed hydrogen - Europe - Logistics total - USD/ton</v>
      </c>
      <c r="B267" s="421"/>
      <c r="C267" s="266" t="s">
        <v>195</v>
      </c>
      <c r="D267" s="266" t="str">
        <f>$A$266</f>
        <v>Compressed hydrogen</v>
      </c>
      <c r="E267" s="266" t="s">
        <v>732</v>
      </c>
      <c r="F267" s="266" t="str">
        <f>+D267&amp;" "&amp;E267</f>
        <v>Compressed hydrogen Logistics total</v>
      </c>
      <c r="G267" s="282" t="s">
        <v>205</v>
      </c>
      <c r="H267" s="266"/>
      <c r="I267" s="95">
        <v>225</v>
      </c>
      <c r="J267" s="95">
        <v>165</v>
      </c>
      <c r="K267" s="95">
        <v>155</v>
      </c>
      <c r="L267" s="95">
        <v>155</v>
      </c>
      <c r="M267" s="95">
        <v>155</v>
      </c>
      <c r="N267" s="95">
        <v>150</v>
      </c>
      <c r="O267" s="95">
        <v>145</v>
      </c>
      <c r="P267" s="95">
        <v>145</v>
      </c>
      <c r="Q267" s="95">
        <v>140</v>
      </c>
      <c r="R267" s="95">
        <v>140</v>
      </c>
      <c r="S267" s="95">
        <v>135</v>
      </c>
      <c r="T267" s="95">
        <v>135</v>
      </c>
    </row>
    <row r="268" spans="1:20" x14ac:dyDescent="0.2">
      <c r="A268" s="421" t="str">
        <f>_xlfn.TEXTJOIN(keydelim,TRUE,D268,C268,E268,G268)</f>
        <v>Compressed hydrogen - Asia - Logistics total - USD/ton</v>
      </c>
      <c r="B268" s="421"/>
      <c r="C268" s="266" t="s">
        <v>198</v>
      </c>
      <c r="D268" s="266" t="str">
        <f>$A$266</f>
        <v>Compressed hydrogen</v>
      </c>
      <c r="E268" s="266" t="s">
        <v>732</v>
      </c>
      <c r="F268" s="266" t="str">
        <f>+D268&amp;" "&amp;E268</f>
        <v>Compressed hydrogen Logistics total</v>
      </c>
      <c r="G268" s="282" t="s">
        <v>205</v>
      </c>
      <c r="H268" s="266"/>
      <c r="I268" s="95">
        <f>I267</f>
        <v>225</v>
      </c>
      <c r="J268" s="95">
        <f t="shared" ref="J268:J271" si="160">J267</f>
        <v>165</v>
      </c>
      <c r="K268" s="95">
        <f t="shared" ref="K268:K271" si="161">K267</f>
        <v>155</v>
      </c>
      <c r="L268" s="95">
        <f t="shared" ref="L268:L271" si="162">L267</f>
        <v>155</v>
      </c>
      <c r="M268" s="95">
        <f t="shared" ref="M268:M271" si="163">M267</f>
        <v>155</v>
      </c>
      <c r="N268" s="95">
        <f t="shared" ref="N268:N271" si="164">N267</f>
        <v>150</v>
      </c>
      <c r="O268" s="95">
        <f t="shared" ref="O268:O271" si="165">O267</f>
        <v>145</v>
      </c>
      <c r="P268" s="95">
        <f t="shared" ref="P268:P271" si="166">P267</f>
        <v>145</v>
      </c>
      <c r="Q268" s="95">
        <f t="shared" ref="Q268:Q271" si="167">Q267</f>
        <v>140</v>
      </c>
      <c r="R268" s="95">
        <f t="shared" ref="R268:R271" si="168">R267</f>
        <v>140</v>
      </c>
      <c r="S268" s="95">
        <f t="shared" ref="S268:S271" si="169">S267</f>
        <v>135</v>
      </c>
      <c r="T268" s="95">
        <f t="shared" ref="T268:T271" si="170">T267</f>
        <v>135</v>
      </c>
    </row>
    <row r="269" spans="1:20" x14ac:dyDescent="0.2">
      <c r="A269" s="421" t="str">
        <f>_xlfn.TEXTJOIN(keydelim,TRUE,D269,C269,E269,G269)</f>
        <v>Compressed hydrogen - Middle East - Logistics total - USD/ton</v>
      </c>
      <c r="B269" s="421"/>
      <c r="C269" s="266" t="s">
        <v>197</v>
      </c>
      <c r="D269" s="266" t="str">
        <f>$A$266</f>
        <v>Compressed hydrogen</v>
      </c>
      <c r="E269" s="266" t="s">
        <v>732</v>
      </c>
      <c r="F269" s="266" t="str">
        <f>+D269&amp;" "&amp;E269</f>
        <v>Compressed hydrogen Logistics total</v>
      </c>
      <c r="G269" s="282" t="s">
        <v>205</v>
      </c>
      <c r="H269" s="266"/>
      <c r="I269" s="95">
        <f t="shared" ref="I269:I271" si="171">I268</f>
        <v>225</v>
      </c>
      <c r="J269" s="95">
        <f t="shared" si="160"/>
        <v>165</v>
      </c>
      <c r="K269" s="95">
        <f t="shared" si="161"/>
        <v>155</v>
      </c>
      <c r="L269" s="95">
        <f t="shared" si="162"/>
        <v>155</v>
      </c>
      <c r="M269" s="95">
        <f t="shared" si="163"/>
        <v>155</v>
      </c>
      <c r="N269" s="95">
        <f t="shared" si="164"/>
        <v>150</v>
      </c>
      <c r="O269" s="95">
        <f t="shared" si="165"/>
        <v>145</v>
      </c>
      <c r="P269" s="95">
        <f t="shared" si="166"/>
        <v>145</v>
      </c>
      <c r="Q269" s="95">
        <f t="shared" si="167"/>
        <v>140</v>
      </c>
      <c r="R269" s="95">
        <f t="shared" si="168"/>
        <v>140</v>
      </c>
      <c r="S269" s="95">
        <f t="shared" si="169"/>
        <v>135</v>
      </c>
      <c r="T269" s="95">
        <f t="shared" si="170"/>
        <v>135</v>
      </c>
    </row>
    <row r="270" spans="1:20" x14ac:dyDescent="0.2">
      <c r="A270" s="421" t="str">
        <f>_xlfn.TEXTJOIN(keydelim,TRUE,D270,C270,E270,G270)</f>
        <v>Compressed hydrogen - Americas - Logistics total - USD/ton</v>
      </c>
      <c r="B270" s="421"/>
      <c r="C270" s="266" t="s">
        <v>199</v>
      </c>
      <c r="D270" s="266" t="str">
        <f>$A$266</f>
        <v>Compressed hydrogen</v>
      </c>
      <c r="E270" s="266" t="s">
        <v>732</v>
      </c>
      <c r="F270" s="266" t="str">
        <f>+D270&amp;" "&amp;E270</f>
        <v>Compressed hydrogen Logistics total</v>
      </c>
      <c r="G270" s="282" t="s">
        <v>205</v>
      </c>
      <c r="H270" s="266"/>
      <c r="I270" s="95">
        <f t="shared" si="171"/>
        <v>225</v>
      </c>
      <c r="J270" s="95">
        <f t="shared" si="160"/>
        <v>165</v>
      </c>
      <c r="K270" s="95">
        <f t="shared" si="161"/>
        <v>155</v>
      </c>
      <c r="L270" s="95">
        <f t="shared" si="162"/>
        <v>155</v>
      </c>
      <c r="M270" s="95">
        <f t="shared" si="163"/>
        <v>155</v>
      </c>
      <c r="N270" s="95">
        <f t="shared" si="164"/>
        <v>150</v>
      </c>
      <c r="O270" s="95">
        <f t="shared" si="165"/>
        <v>145</v>
      </c>
      <c r="P270" s="95">
        <f t="shared" si="166"/>
        <v>145</v>
      </c>
      <c r="Q270" s="95">
        <f t="shared" si="167"/>
        <v>140</v>
      </c>
      <c r="R270" s="95">
        <f t="shared" si="168"/>
        <v>140</v>
      </c>
      <c r="S270" s="95">
        <f t="shared" si="169"/>
        <v>135</v>
      </c>
      <c r="T270" s="95">
        <f t="shared" si="170"/>
        <v>135</v>
      </c>
    </row>
    <row r="271" spans="1:20" x14ac:dyDescent="0.2">
      <c r="A271" s="421" t="str">
        <f>_xlfn.TEXTJOIN(keydelim,TRUE,D271,C271,E271,G271)</f>
        <v>Compressed hydrogen - Africa&amp;Other - Logistics total - USD/ton</v>
      </c>
      <c r="B271" s="421"/>
      <c r="C271" s="266" t="s">
        <v>498</v>
      </c>
      <c r="D271" s="266" t="str">
        <f>$A$266</f>
        <v>Compressed hydrogen</v>
      </c>
      <c r="E271" s="266" t="s">
        <v>732</v>
      </c>
      <c r="F271" s="266" t="str">
        <f>+D271&amp;" "&amp;E271</f>
        <v>Compressed hydrogen Logistics total</v>
      </c>
      <c r="G271" s="282" t="s">
        <v>205</v>
      </c>
      <c r="H271" s="266"/>
      <c r="I271" s="95">
        <f t="shared" si="171"/>
        <v>225</v>
      </c>
      <c r="J271" s="95">
        <f t="shared" si="160"/>
        <v>165</v>
      </c>
      <c r="K271" s="95">
        <f t="shared" si="161"/>
        <v>155</v>
      </c>
      <c r="L271" s="95">
        <f t="shared" si="162"/>
        <v>155</v>
      </c>
      <c r="M271" s="95">
        <f t="shared" si="163"/>
        <v>155</v>
      </c>
      <c r="N271" s="95">
        <f t="shared" si="164"/>
        <v>150</v>
      </c>
      <c r="O271" s="95">
        <f t="shared" si="165"/>
        <v>145</v>
      </c>
      <c r="P271" s="95">
        <f t="shared" si="166"/>
        <v>145</v>
      </c>
      <c r="Q271" s="95">
        <f t="shared" si="167"/>
        <v>140</v>
      </c>
      <c r="R271" s="95">
        <f t="shared" si="168"/>
        <v>140</v>
      </c>
      <c r="S271" s="95">
        <f t="shared" si="169"/>
        <v>135</v>
      </c>
      <c r="T271" s="95">
        <f t="shared" si="170"/>
        <v>135</v>
      </c>
    </row>
    <row r="273" spans="1:20" x14ac:dyDescent="0.2">
      <c r="A273" s="418" t="s">
        <v>54</v>
      </c>
      <c r="B273" s="31"/>
      <c r="C273" s="418" t="str">
        <f>+A273</f>
        <v>Electricity</v>
      </c>
      <c r="D273" s="419"/>
      <c r="E273" s="419"/>
      <c r="F273" s="419"/>
      <c r="G273" s="420"/>
      <c r="H273" s="419"/>
      <c r="I273" s="419"/>
      <c r="J273" s="419"/>
      <c r="K273" s="419"/>
      <c r="L273" s="419"/>
      <c r="M273" s="419"/>
      <c r="N273" s="419"/>
      <c r="O273" s="419"/>
      <c r="P273" s="419"/>
      <c r="Q273" s="419"/>
      <c r="R273" s="419"/>
      <c r="S273" s="419"/>
      <c r="T273" s="419"/>
    </row>
    <row r="274" spans="1:20" hidden="1" outlineLevel="1" x14ac:dyDescent="0.2">
      <c r="A274" s="421"/>
      <c r="B274" s="421"/>
      <c r="C274" t="s">
        <v>195</v>
      </c>
      <c r="D274" t="s">
        <v>54</v>
      </c>
      <c r="E274" t="s">
        <v>772</v>
      </c>
      <c r="F274" t="s">
        <v>793</v>
      </c>
      <c r="G274" s="224" t="s">
        <v>794</v>
      </c>
      <c r="I274" s="94">
        <f>$H$285</f>
        <v>5.2173913043478265E-3</v>
      </c>
      <c r="J274" s="94">
        <f>I274</f>
        <v>5.2173913043478265E-3</v>
      </c>
      <c r="K274" s="94">
        <f t="shared" ref="K274:T274" si="172">J274</f>
        <v>5.2173913043478265E-3</v>
      </c>
      <c r="L274" s="94">
        <f t="shared" si="172"/>
        <v>5.2173913043478265E-3</v>
      </c>
      <c r="M274" s="94">
        <f t="shared" si="172"/>
        <v>5.2173913043478265E-3</v>
      </c>
      <c r="N274" s="94">
        <f t="shared" si="172"/>
        <v>5.2173913043478265E-3</v>
      </c>
      <c r="O274" s="94">
        <f t="shared" si="172"/>
        <v>5.2173913043478265E-3</v>
      </c>
      <c r="P274" s="94">
        <f t="shared" si="172"/>
        <v>5.2173913043478265E-3</v>
      </c>
      <c r="Q274" s="94">
        <f t="shared" si="172"/>
        <v>5.2173913043478265E-3</v>
      </c>
      <c r="R274" s="94">
        <f t="shared" si="172"/>
        <v>5.2173913043478265E-3</v>
      </c>
      <c r="S274" s="94">
        <f t="shared" si="172"/>
        <v>5.2173913043478265E-3</v>
      </c>
      <c r="T274" s="94">
        <f t="shared" si="172"/>
        <v>5.2173913043478265E-3</v>
      </c>
    </row>
    <row r="275" spans="1:20" hidden="1" outlineLevel="1" x14ac:dyDescent="0.2">
      <c r="A275" s="421"/>
      <c r="B275" s="421"/>
      <c r="C275" t="s">
        <v>198</v>
      </c>
      <c r="D275" t="s">
        <v>54</v>
      </c>
      <c r="E275" t="s">
        <v>772</v>
      </c>
      <c r="F275" t="s">
        <v>793</v>
      </c>
      <c r="G275" s="224" t="s">
        <v>794</v>
      </c>
      <c r="I275" s="94">
        <f>$H$285</f>
        <v>5.2173913043478265E-3</v>
      </c>
      <c r="J275" s="94">
        <f t="shared" ref="J275:T278" si="173">I275</f>
        <v>5.2173913043478265E-3</v>
      </c>
      <c r="K275" s="94">
        <f t="shared" si="173"/>
        <v>5.2173913043478265E-3</v>
      </c>
      <c r="L275" s="94">
        <f t="shared" si="173"/>
        <v>5.2173913043478265E-3</v>
      </c>
      <c r="M275" s="94">
        <f t="shared" si="173"/>
        <v>5.2173913043478265E-3</v>
      </c>
      <c r="N275" s="94">
        <f t="shared" si="173"/>
        <v>5.2173913043478265E-3</v>
      </c>
      <c r="O275" s="94">
        <f t="shared" si="173"/>
        <v>5.2173913043478265E-3</v>
      </c>
      <c r="P275" s="94">
        <f t="shared" si="173"/>
        <v>5.2173913043478265E-3</v>
      </c>
      <c r="Q275" s="94">
        <f t="shared" si="173"/>
        <v>5.2173913043478265E-3</v>
      </c>
      <c r="R275" s="94">
        <f t="shared" si="173"/>
        <v>5.2173913043478265E-3</v>
      </c>
      <c r="S275" s="94">
        <f t="shared" si="173"/>
        <v>5.2173913043478265E-3</v>
      </c>
      <c r="T275" s="94">
        <f t="shared" si="173"/>
        <v>5.2173913043478265E-3</v>
      </c>
    </row>
    <row r="276" spans="1:20" hidden="1" outlineLevel="1" x14ac:dyDescent="0.2">
      <c r="A276" s="421"/>
      <c r="B276" s="421"/>
      <c r="C276" t="s">
        <v>197</v>
      </c>
      <c r="D276" t="s">
        <v>54</v>
      </c>
      <c r="E276" t="s">
        <v>772</v>
      </c>
      <c r="F276" t="s">
        <v>793</v>
      </c>
      <c r="G276" s="224" t="s">
        <v>794</v>
      </c>
      <c r="I276" s="94">
        <f>$H$285</f>
        <v>5.2173913043478265E-3</v>
      </c>
      <c r="J276" s="94">
        <f t="shared" si="173"/>
        <v>5.2173913043478265E-3</v>
      </c>
      <c r="K276" s="94">
        <f t="shared" si="173"/>
        <v>5.2173913043478265E-3</v>
      </c>
      <c r="L276" s="94">
        <f t="shared" si="173"/>
        <v>5.2173913043478265E-3</v>
      </c>
      <c r="M276" s="94">
        <f t="shared" si="173"/>
        <v>5.2173913043478265E-3</v>
      </c>
      <c r="N276" s="94">
        <f t="shared" si="173"/>
        <v>5.2173913043478265E-3</v>
      </c>
      <c r="O276" s="94">
        <f t="shared" si="173"/>
        <v>5.2173913043478265E-3</v>
      </c>
      <c r="P276" s="94">
        <f t="shared" si="173"/>
        <v>5.2173913043478265E-3</v>
      </c>
      <c r="Q276" s="94">
        <f t="shared" si="173"/>
        <v>5.2173913043478265E-3</v>
      </c>
      <c r="R276" s="94">
        <f t="shared" si="173"/>
        <v>5.2173913043478265E-3</v>
      </c>
      <c r="S276" s="94">
        <f t="shared" si="173"/>
        <v>5.2173913043478265E-3</v>
      </c>
      <c r="T276" s="94">
        <f t="shared" si="173"/>
        <v>5.2173913043478265E-3</v>
      </c>
    </row>
    <row r="277" spans="1:20" hidden="1" outlineLevel="1" x14ac:dyDescent="0.2">
      <c r="A277" s="421"/>
      <c r="B277" s="421"/>
      <c r="C277" t="s">
        <v>199</v>
      </c>
      <c r="D277" t="s">
        <v>54</v>
      </c>
      <c r="E277" t="s">
        <v>772</v>
      </c>
      <c r="F277" t="s">
        <v>793</v>
      </c>
      <c r="G277" s="224" t="s">
        <v>794</v>
      </c>
      <c r="I277" s="94">
        <f>$H$285</f>
        <v>5.2173913043478265E-3</v>
      </c>
      <c r="J277" s="94">
        <f t="shared" si="173"/>
        <v>5.2173913043478265E-3</v>
      </c>
      <c r="K277" s="94">
        <f t="shared" si="173"/>
        <v>5.2173913043478265E-3</v>
      </c>
      <c r="L277" s="94">
        <f t="shared" si="173"/>
        <v>5.2173913043478265E-3</v>
      </c>
      <c r="M277" s="94">
        <f t="shared" si="173"/>
        <v>5.2173913043478265E-3</v>
      </c>
      <c r="N277" s="94">
        <f t="shared" si="173"/>
        <v>5.2173913043478265E-3</v>
      </c>
      <c r="O277" s="94">
        <f t="shared" si="173"/>
        <v>5.2173913043478265E-3</v>
      </c>
      <c r="P277" s="94">
        <f t="shared" si="173"/>
        <v>5.2173913043478265E-3</v>
      </c>
      <c r="Q277" s="94">
        <f t="shared" si="173"/>
        <v>5.2173913043478265E-3</v>
      </c>
      <c r="R277" s="94">
        <f t="shared" si="173"/>
        <v>5.2173913043478265E-3</v>
      </c>
      <c r="S277" s="94">
        <f t="shared" si="173"/>
        <v>5.2173913043478265E-3</v>
      </c>
      <c r="T277" s="94">
        <f t="shared" si="173"/>
        <v>5.2173913043478265E-3</v>
      </c>
    </row>
    <row r="278" spans="1:20" hidden="1" outlineLevel="1" x14ac:dyDescent="0.2">
      <c r="A278" s="421"/>
      <c r="B278" s="421"/>
      <c r="C278" t="s">
        <v>498</v>
      </c>
      <c r="D278" t="s">
        <v>54</v>
      </c>
      <c r="E278" t="s">
        <v>772</v>
      </c>
      <c r="F278" t="s">
        <v>793</v>
      </c>
      <c r="G278" s="224" t="s">
        <v>794</v>
      </c>
      <c r="I278" s="94">
        <f>$H$285</f>
        <v>5.2173913043478265E-3</v>
      </c>
      <c r="J278" s="94">
        <f t="shared" si="173"/>
        <v>5.2173913043478265E-3</v>
      </c>
      <c r="K278" s="94">
        <f t="shared" si="173"/>
        <v>5.2173913043478265E-3</v>
      </c>
      <c r="L278" s="94">
        <f t="shared" si="173"/>
        <v>5.2173913043478265E-3</v>
      </c>
      <c r="M278" s="94">
        <f t="shared" si="173"/>
        <v>5.2173913043478265E-3</v>
      </c>
      <c r="N278" s="94">
        <f t="shared" si="173"/>
        <v>5.2173913043478265E-3</v>
      </c>
      <c r="O278" s="94">
        <f t="shared" si="173"/>
        <v>5.2173913043478265E-3</v>
      </c>
      <c r="P278" s="94">
        <f t="shared" si="173"/>
        <v>5.2173913043478265E-3</v>
      </c>
      <c r="Q278" s="94">
        <f t="shared" si="173"/>
        <v>5.2173913043478265E-3</v>
      </c>
      <c r="R278" s="94">
        <f t="shared" si="173"/>
        <v>5.2173913043478265E-3</v>
      </c>
      <c r="S278" s="94">
        <f t="shared" si="173"/>
        <v>5.2173913043478265E-3</v>
      </c>
      <c r="T278" s="94">
        <f t="shared" si="173"/>
        <v>5.2173913043478265E-3</v>
      </c>
    </row>
    <row r="279" spans="1:20" hidden="1" outlineLevel="1" x14ac:dyDescent="0.2">
      <c r="A279" s="421"/>
      <c r="B279" s="421"/>
      <c r="I279" s="95"/>
      <c r="J279" s="95"/>
      <c r="K279" s="95"/>
      <c r="L279" s="95"/>
      <c r="M279" s="95"/>
      <c r="N279" s="95"/>
      <c r="O279" s="95"/>
      <c r="P279" s="95"/>
      <c r="Q279" s="95"/>
      <c r="R279" s="95"/>
      <c r="S279" s="95"/>
      <c r="T279" s="95"/>
    </row>
    <row r="280" spans="1:20" ht="14.25" hidden="1" outlineLevel="1" x14ac:dyDescent="0.2">
      <c r="F280" t="s">
        <v>795</v>
      </c>
      <c r="G280" s="224" t="s">
        <v>401</v>
      </c>
      <c r="H280" s="437">
        <v>1000000</v>
      </c>
    </row>
    <row r="281" spans="1:20" ht="14.25" hidden="1" outlineLevel="1" x14ac:dyDescent="0.2">
      <c r="F281" t="s">
        <v>495</v>
      </c>
      <c r="G281" s="224" t="s">
        <v>178</v>
      </c>
      <c r="H281" s="213">
        <v>0.08</v>
      </c>
    </row>
    <row r="282" spans="1:20" hidden="1" outlineLevel="1" x14ac:dyDescent="0.2">
      <c r="F282" t="s">
        <v>796</v>
      </c>
      <c r="G282" s="224" t="s">
        <v>211</v>
      </c>
      <c r="H282">
        <f>H281*H280+H280/25</f>
        <v>120000</v>
      </c>
    </row>
    <row r="283" spans="1:20" ht="14.25" hidden="1" outlineLevel="1" x14ac:dyDescent="0.2">
      <c r="F283" t="s">
        <v>797</v>
      </c>
      <c r="G283" s="224" t="s">
        <v>798</v>
      </c>
      <c r="H283" s="333">
        <v>300</v>
      </c>
    </row>
    <row r="284" spans="1:20" ht="14.25" hidden="1" outlineLevel="1" x14ac:dyDescent="0.2">
      <c r="F284" t="s">
        <v>799</v>
      </c>
      <c r="G284" s="224" t="s">
        <v>800</v>
      </c>
      <c r="H284" s="215">
        <v>23000000</v>
      </c>
    </row>
    <row r="285" spans="1:20" hidden="1" outlineLevel="1" x14ac:dyDescent="0.2">
      <c r="F285" t="s">
        <v>796</v>
      </c>
      <c r="G285" s="224" t="s">
        <v>801</v>
      </c>
      <c r="H285" s="124">
        <f>H282/H284</f>
        <v>5.2173913043478265E-3</v>
      </c>
    </row>
    <row r="286" spans="1:20" collapsed="1" x14ac:dyDescent="0.2">
      <c r="A286" s="421"/>
      <c r="B286" s="421"/>
      <c r="I286" s="95"/>
      <c r="J286" s="95"/>
      <c r="K286" s="95"/>
      <c r="L286" s="95"/>
      <c r="M286" s="95"/>
      <c r="N286" s="95"/>
      <c r="O286" s="95"/>
      <c r="P286" s="95"/>
      <c r="Q286" s="95"/>
      <c r="R286" s="95"/>
      <c r="S286" s="95"/>
      <c r="T286" s="95"/>
    </row>
    <row r="287" spans="1:20" x14ac:dyDescent="0.2">
      <c r="A287" s="421" t="str">
        <f>_xlfn.TEXTJOIN(keydelim,TRUE,D287,C287,E287,G287)</f>
        <v>Electricity - Europe - Logistics total - USD/MJ</v>
      </c>
      <c r="B287" s="421"/>
      <c r="C287" s="266" t="s">
        <v>195</v>
      </c>
      <c r="D287" s="266" t="s">
        <v>54</v>
      </c>
      <c r="E287" s="266" t="s">
        <v>732</v>
      </c>
      <c r="F287" s="266" t="str">
        <f>+D287&amp;" "&amp;E287</f>
        <v>Electricity Logistics total</v>
      </c>
      <c r="G287" s="282" t="s">
        <v>802</v>
      </c>
      <c r="H287" s="266"/>
      <c r="I287" s="423">
        <f t="shared" ref="I287:T287" si="174">I274/kwh_per_MJ</f>
        <v>1.8782608695652174E-2</v>
      </c>
      <c r="J287" s="423">
        <f t="shared" si="174"/>
        <v>1.8782608695652174E-2</v>
      </c>
      <c r="K287" s="423">
        <f t="shared" si="174"/>
        <v>1.8782608695652174E-2</v>
      </c>
      <c r="L287" s="423">
        <f t="shared" si="174"/>
        <v>1.8782608695652174E-2</v>
      </c>
      <c r="M287" s="423">
        <f t="shared" si="174"/>
        <v>1.8782608695652174E-2</v>
      </c>
      <c r="N287" s="423">
        <f t="shared" si="174"/>
        <v>1.8782608695652174E-2</v>
      </c>
      <c r="O287" s="423">
        <f t="shared" si="174"/>
        <v>1.8782608695652174E-2</v>
      </c>
      <c r="P287" s="423">
        <f t="shared" si="174"/>
        <v>1.8782608695652174E-2</v>
      </c>
      <c r="Q287" s="423">
        <f t="shared" si="174"/>
        <v>1.8782608695652174E-2</v>
      </c>
      <c r="R287" s="423">
        <f t="shared" si="174"/>
        <v>1.8782608695652174E-2</v>
      </c>
      <c r="S287" s="423">
        <f t="shared" si="174"/>
        <v>1.8782608695652174E-2</v>
      </c>
      <c r="T287" s="423">
        <f t="shared" si="174"/>
        <v>1.8782608695652174E-2</v>
      </c>
    </row>
    <row r="288" spans="1:20" x14ac:dyDescent="0.2">
      <c r="A288" s="421" t="str">
        <f>_xlfn.TEXTJOIN(keydelim,TRUE,D288,C288,E288,G288)</f>
        <v>Electricity - Asia - Logistics total - USD/MJ</v>
      </c>
      <c r="B288" s="421"/>
      <c r="C288" s="266" t="s">
        <v>198</v>
      </c>
      <c r="D288" s="266" t="s">
        <v>54</v>
      </c>
      <c r="E288" s="266" t="s">
        <v>732</v>
      </c>
      <c r="F288" s="266" t="str">
        <f>+D288&amp;" "&amp;E288</f>
        <v>Electricity Logistics total</v>
      </c>
      <c r="G288" s="282" t="s">
        <v>802</v>
      </c>
      <c r="H288" s="266"/>
      <c r="I288" s="423">
        <f t="shared" ref="I288:T288" si="175">I275/kwh_per_MJ</f>
        <v>1.8782608695652174E-2</v>
      </c>
      <c r="J288" s="423">
        <f t="shared" si="175"/>
        <v>1.8782608695652174E-2</v>
      </c>
      <c r="K288" s="423">
        <f t="shared" si="175"/>
        <v>1.8782608695652174E-2</v>
      </c>
      <c r="L288" s="423">
        <f t="shared" si="175"/>
        <v>1.8782608695652174E-2</v>
      </c>
      <c r="M288" s="423">
        <f t="shared" si="175"/>
        <v>1.8782608695652174E-2</v>
      </c>
      <c r="N288" s="423">
        <f t="shared" si="175"/>
        <v>1.8782608695652174E-2</v>
      </c>
      <c r="O288" s="423">
        <f t="shared" si="175"/>
        <v>1.8782608695652174E-2</v>
      </c>
      <c r="P288" s="423">
        <f t="shared" si="175"/>
        <v>1.8782608695652174E-2</v>
      </c>
      <c r="Q288" s="423">
        <f t="shared" si="175"/>
        <v>1.8782608695652174E-2</v>
      </c>
      <c r="R288" s="423">
        <f t="shared" si="175"/>
        <v>1.8782608695652174E-2</v>
      </c>
      <c r="S288" s="423">
        <f t="shared" si="175"/>
        <v>1.8782608695652174E-2</v>
      </c>
      <c r="T288" s="423">
        <f t="shared" si="175"/>
        <v>1.8782608695652174E-2</v>
      </c>
    </row>
    <row r="289" spans="1:28" x14ac:dyDescent="0.2">
      <c r="A289" s="421" t="str">
        <f>_xlfn.TEXTJOIN(keydelim,TRUE,D289,C289,E289,G289)</f>
        <v>Electricity - Middle East - Logistics total - USD/MJ</v>
      </c>
      <c r="B289" s="421"/>
      <c r="C289" s="266" t="s">
        <v>197</v>
      </c>
      <c r="D289" s="266" t="s">
        <v>54</v>
      </c>
      <c r="E289" s="266" t="s">
        <v>732</v>
      </c>
      <c r="F289" s="266" t="str">
        <f>+D289&amp;" "&amp;E289</f>
        <v>Electricity Logistics total</v>
      </c>
      <c r="G289" s="282" t="s">
        <v>802</v>
      </c>
      <c r="H289" s="266"/>
      <c r="I289" s="423">
        <f t="shared" ref="I289:T289" si="176">I276/kwh_per_MJ</f>
        <v>1.8782608695652174E-2</v>
      </c>
      <c r="J289" s="423">
        <f t="shared" si="176"/>
        <v>1.8782608695652174E-2</v>
      </c>
      <c r="K289" s="423">
        <f t="shared" si="176"/>
        <v>1.8782608695652174E-2</v>
      </c>
      <c r="L289" s="423">
        <f t="shared" si="176"/>
        <v>1.8782608695652174E-2</v>
      </c>
      <c r="M289" s="423">
        <f t="shared" si="176"/>
        <v>1.8782608695652174E-2</v>
      </c>
      <c r="N289" s="423">
        <f t="shared" si="176"/>
        <v>1.8782608695652174E-2</v>
      </c>
      <c r="O289" s="423">
        <f t="shared" si="176"/>
        <v>1.8782608695652174E-2</v>
      </c>
      <c r="P289" s="423">
        <f t="shared" si="176"/>
        <v>1.8782608695652174E-2</v>
      </c>
      <c r="Q289" s="423">
        <f t="shared" si="176"/>
        <v>1.8782608695652174E-2</v>
      </c>
      <c r="R289" s="423">
        <f t="shared" si="176"/>
        <v>1.8782608695652174E-2</v>
      </c>
      <c r="S289" s="423">
        <f t="shared" si="176"/>
        <v>1.8782608695652174E-2</v>
      </c>
      <c r="T289" s="423">
        <f t="shared" si="176"/>
        <v>1.8782608695652174E-2</v>
      </c>
    </row>
    <row r="290" spans="1:28" x14ac:dyDescent="0.2">
      <c r="A290" s="421" t="str">
        <f>_xlfn.TEXTJOIN(keydelim,TRUE,D290,C290,E290,G290)</f>
        <v>Electricity - Americas - Logistics total - USD/MJ</v>
      </c>
      <c r="B290" s="421"/>
      <c r="C290" s="266" t="s">
        <v>199</v>
      </c>
      <c r="D290" s="266" t="s">
        <v>54</v>
      </c>
      <c r="E290" s="266" t="s">
        <v>732</v>
      </c>
      <c r="F290" s="266" t="str">
        <f>+D290&amp;" "&amp;E290</f>
        <v>Electricity Logistics total</v>
      </c>
      <c r="G290" s="282" t="s">
        <v>802</v>
      </c>
      <c r="H290" s="266"/>
      <c r="I290" s="423">
        <f t="shared" ref="I290:T290" si="177">I277/kwh_per_MJ</f>
        <v>1.8782608695652174E-2</v>
      </c>
      <c r="J290" s="423">
        <f t="shared" si="177"/>
        <v>1.8782608695652174E-2</v>
      </c>
      <c r="K290" s="423">
        <f t="shared" si="177"/>
        <v>1.8782608695652174E-2</v>
      </c>
      <c r="L290" s="423">
        <f t="shared" si="177"/>
        <v>1.8782608695652174E-2</v>
      </c>
      <c r="M290" s="423">
        <f t="shared" si="177"/>
        <v>1.8782608695652174E-2</v>
      </c>
      <c r="N290" s="423">
        <f t="shared" si="177"/>
        <v>1.8782608695652174E-2</v>
      </c>
      <c r="O290" s="423">
        <f t="shared" si="177"/>
        <v>1.8782608695652174E-2</v>
      </c>
      <c r="P290" s="423">
        <f t="shared" si="177"/>
        <v>1.8782608695652174E-2</v>
      </c>
      <c r="Q290" s="423">
        <f t="shared" si="177"/>
        <v>1.8782608695652174E-2</v>
      </c>
      <c r="R290" s="423">
        <f t="shared" si="177"/>
        <v>1.8782608695652174E-2</v>
      </c>
      <c r="S290" s="423">
        <f t="shared" si="177"/>
        <v>1.8782608695652174E-2</v>
      </c>
      <c r="T290" s="423">
        <f t="shared" si="177"/>
        <v>1.8782608695652174E-2</v>
      </c>
    </row>
    <row r="291" spans="1:28" x14ac:dyDescent="0.2">
      <c r="A291" s="421" t="str">
        <f>_xlfn.TEXTJOIN(keydelim,TRUE,D291,C291,E291,G291)</f>
        <v>Electricity - Africa&amp;Other - Logistics total - USD/MJ</v>
      </c>
      <c r="B291" s="421"/>
      <c r="C291" s="266" t="s">
        <v>498</v>
      </c>
      <c r="D291" s="266" t="s">
        <v>54</v>
      </c>
      <c r="E291" s="266" t="s">
        <v>732</v>
      </c>
      <c r="F291" s="266" t="str">
        <f>+D291&amp;" "&amp;E291</f>
        <v>Electricity Logistics total</v>
      </c>
      <c r="G291" s="282" t="s">
        <v>802</v>
      </c>
      <c r="H291" s="266"/>
      <c r="I291" s="423">
        <f t="shared" ref="I291:T291" si="178">I278/kwh_per_MJ</f>
        <v>1.8782608695652174E-2</v>
      </c>
      <c r="J291" s="423">
        <f t="shared" si="178"/>
        <v>1.8782608695652174E-2</v>
      </c>
      <c r="K291" s="423">
        <f t="shared" si="178"/>
        <v>1.8782608695652174E-2</v>
      </c>
      <c r="L291" s="423">
        <f t="shared" si="178"/>
        <v>1.8782608695652174E-2</v>
      </c>
      <c r="M291" s="423">
        <f t="shared" si="178"/>
        <v>1.8782608695652174E-2</v>
      </c>
      <c r="N291" s="423">
        <f t="shared" si="178"/>
        <v>1.8782608695652174E-2</v>
      </c>
      <c r="O291" s="423">
        <f t="shared" si="178"/>
        <v>1.8782608695652174E-2</v>
      </c>
      <c r="P291" s="423">
        <f t="shared" si="178"/>
        <v>1.8782608695652174E-2</v>
      </c>
      <c r="Q291" s="423">
        <f t="shared" si="178"/>
        <v>1.8782608695652174E-2</v>
      </c>
      <c r="R291" s="423">
        <f t="shared" si="178"/>
        <v>1.8782608695652174E-2</v>
      </c>
      <c r="S291" s="423">
        <f t="shared" si="178"/>
        <v>1.8782608695652174E-2</v>
      </c>
      <c r="T291" s="423">
        <f t="shared" si="178"/>
        <v>1.8782608695652174E-2</v>
      </c>
    </row>
    <row r="293" spans="1:28" x14ac:dyDescent="0.2">
      <c r="A293" s="418" t="s">
        <v>803</v>
      </c>
      <c r="B293" s="31"/>
      <c r="C293" s="418" t="str">
        <f>+A293</f>
        <v>Biooils and synthetic diesels</v>
      </c>
      <c r="D293" s="419"/>
      <c r="E293" s="419"/>
      <c r="F293" s="419"/>
      <c r="G293" s="420"/>
      <c r="H293" s="419"/>
      <c r="I293" s="419"/>
      <c r="J293" s="419"/>
      <c r="K293" s="419"/>
      <c r="L293" s="419"/>
      <c r="M293" s="419"/>
      <c r="N293" s="419"/>
      <c r="O293" s="419"/>
      <c r="P293" s="419"/>
      <c r="Q293" s="419"/>
      <c r="R293" s="419"/>
      <c r="S293" s="419"/>
      <c r="T293" s="419"/>
    </row>
    <row r="294" spans="1:28" hidden="1" outlineLevel="1" x14ac:dyDescent="0.2">
      <c r="A294" s="421" t="str">
        <f t="shared" ref="A294:A347" si="179">_xlfn.TEXTJOIN(keydelim,TRUE,D294,C294,E294,G294)</f>
        <v/>
      </c>
      <c r="B294" s="421"/>
      <c r="C294" s="421"/>
      <c r="D294" s="421"/>
      <c r="E294" s="421"/>
      <c r="F294" s="421"/>
      <c r="G294" s="421"/>
      <c r="H294" s="421"/>
      <c r="I294" s="421"/>
      <c r="J294" s="421"/>
      <c r="K294" s="421"/>
      <c r="L294" s="421"/>
      <c r="M294" s="421"/>
      <c r="N294" s="421"/>
      <c r="O294" s="421"/>
      <c r="P294" s="421"/>
      <c r="Q294" s="421"/>
      <c r="R294" s="421"/>
      <c r="S294" s="421"/>
      <c r="T294" s="421"/>
    </row>
    <row r="295" spans="1:28" ht="14.25" hidden="1" outlineLevel="1" x14ac:dyDescent="0.2">
      <c r="A295" s="421" t="str">
        <f t="shared" si="179"/>
        <v>Heavy-oils - Global - Transportation - USD/m3/year</v>
      </c>
      <c r="B295" s="421"/>
      <c r="C295" t="s">
        <v>109</v>
      </c>
      <c r="D295" t="s">
        <v>804</v>
      </c>
      <c r="E295" t="s">
        <v>735</v>
      </c>
      <c r="F295" s="3" t="s">
        <v>779</v>
      </c>
      <c r="G295" s="224" t="s">
        <v>737</v>
      </c>
      <c r="H295" s="93"/>
      <c r="I295" s="438">
        <v>200</v>
      </c>
      <c r="J295" s="122">
        <f t="shared" ref="J295:O295" si="180">I295*(1+V295)^5</f>
        <v>200</v>
      </c>
      <c r="K295" s="122">
        <f t="shared" si="180"/>
        <v>200</v>
      </c>
      <c r="L295" s="122">
        <f t="shared" si="180"/>
        <v>200</v>
      </c>
      <c r="M295" s="122">
        <f t="shared" si="180"/>
        <v>200</v>
      </c>
      <c r="N295" s="122">
        <f t="shared" si="180"/>
        <v>200</v>
      </c>
      <c r="O295" s="122">
        <f t="shared" si="180"/>
        <v>200</v>
      </c>
      <c r="P295" s="122">
        <f>O295</f>
        <v>200</v>
      </c>
      <c r="Q295" s="122">
        <f>P295</f>
        <v>200</v>
      </c>
      <c r="R295" s="122">
        <f>Q295</f>
        <v>200</v>
      </c>
      <c r="S295" s="122">
        <f>R295</f>
        <v>200</v>
      </c>
      <c r="T295" s="122">
        <f>S295</f>
        <v>200</v>
      </c>
      <c r="V295" s="213">
        <v>0</v>
      </c>
      <c r="W295" s="213">
        <f t="shared" ref="W295:AB295" si="181">+V295</f>
        <v>0</v>
      </c>
      <c r="X295" s="213">
        <f t="shared" si="181"/>
        <v>0</v>
      </c>
      <c r="Y295" s="213">
        <f>+X295</f>
        <v>0</v>
      </c>
      <c r="Z295" s="213">
        <f t="shared" si="181"/>
        <v>0</v>
      </c>
      <c r="AA295" s="213">
        <f t="shared" si="181"/>
        <v>0</v>
      </c>
      <c r="AB295" s="213">
        <f t="shared" si="181"/>
        <v>0</v>
      </c>
    </row>
    <row r="296" spans="1:28" hidden="1" outlineLevel="1" x14ac:dyDescent="0.2">
      <c r="A296" s="421" t="str">
        <f t="shared" si="179"/>
        <v>Heavy-oils - Global - Transportation - Knots</v>
      </c>
      <c r="B296" s="421"/>
      <c r="C296" t="s">
        <v>109</v>
      </c>
      <c r="D296" t="s">
        <v>804</v>
      </c>
      <c r="E296" t="s">
        <v>735</v>
      </c>
      <c r="F296" s="3" t="s">
        <v>739</v>
      </c>
      <c r="G296" s="224" t="s">
        <v>740</v>
      </c>
      <c r="H296" s="93"/>
      <c r="I296" s="122">
        <f>+I16</f>
        <v>12</v>
      </c>
      <c r="J296" s="122">
        <f>+I296</f>
        <v>12</v>
      </c>
      <c r="K296" s="122">
        <f t="shared" ref="K296:T296" si="182">+J296</f>
        <v>12</v>
      </c>
      <c r="L296" s="122">
        <f t="shared" si="182"/>
        <v>12</v>
      </c>
      <c r="M296" s="122">
        <f t="shared" si="182"/>
        <v>12</v>
      </c>
      <c r="N296" s="122">
        <f t="shared" si="182"/>
        <v>12</v>
      </c>
      <c r="O296" s="122">
        <f t="shared" si="182"/>
        <v>12</v>
      </c>
      <c r="P296" s="122">
        <f t="shared" si="182"/>
        <v>12</v>
      </c>
      <c r="Q296" s="122">
        <f t="shared" si="182"/>
        <v>12</v>
      </c>
      <c r="R296" s="122">
        <f t="shared" si="182"/>
        <v>12</v>
      </c>
      <c r="S296" s="122">
        <f t="shared" si="182"/>
        <v>12</v>
      </c>
      <c r="T296" s="122">
        <f t="shared" si="182"/>
        <v>12</v>
      </c>
    </row>
    <row r="297" spans="1:28" ht="14.25" hidden="1" outlineLevel="1" x14ac:dyDescent="0.2">
      <c r="A297" s="421"/>
      <c r="B297" s="421"/>
      <c r="C297" t="s">
        <v>109</v>
      </c>
      <c r="D297" t="str">
        <f>+D296</f>
        <v>Heavy-oils</v>
      </c>
      <c r="E297" t="s">
        <v>735</v>
      </c>
      <c r="F297" s="3" t="s">
        <v>741</v>
      </c>
      <c r="G297" s="224" t="s">
        <v>742</v>
      </c>
      <c r="H297" s="93"/>
      <c r="I297" s="119">
        <f>+I$17</f>
        <v>0.375</v>
      </c>
      <c r="J297" s="119">
        <f t="shared" ref="J297:O297" si="183">+J$17</f>
        <v>0.26088313848749989</v>
      </c>
      <c r="K297" s="119">
        <f t="shared" si="183"/>
        <v>0.1814933651922348</v>
      </c>
      <c r="L297" s="119">
        <f t="shared" si="183"/>
        <v>0.12626282326935517</v>
      </c>
      <c r="M297" s="119">
        <f t="shared" si="183"/>
        <v>8.7839577623471762E-2</v>
      </c>
      <c r="N297" s="119">
        <f t="shared" si="183"/>
        <v>6.1108972516873819E-2</v>
      </c>
      <c r="O297" s="119">
        <f t="shared" si="183"/>
        <v>4.2512801439862448E-2</v>
      </c>
      <c r="P297" s="118"/>
      <c r="Q297" s="118"/>
      <c r="R297" s="118"/>
      <c r="S297" s="118"/>
      <c r="T297" s="118"/>
      <c r="V297" s="213">
        <v>-7.0000000000000007E-2</v>
      </c>
      <c r="W297" s="213">
        <f t="shared" ref="W297:AB297" si="184">+V297</f>
        <v>-7.0000000000000007E-2</v>
      </c>
      <c r="X297" s="213">
        <f t="shared" si="184"/>
        <v>-7.0000000000000007E-2</v>
      </c>
      <c r="Y297" s="213">
        <f>+X297</f>
        <v>-7.0000000000000007E-2</v>
      </c>
      <c r="Z297" s="213">
        <f t="shared" si="184"/>
        <v>-7.0000000000000007E-2</v>
      </c>
      <c r="AA297" s="213">
        <f t="shared" si="184"/>
        <v>-7.0000000000000007E-2</v>
      </c>
      <c r="AB297" s="213">
        <f t="shared" si="184"/>
        <v>-7.0000000000000007E-2</v>
      </c>
    </row>
    <row r="298" spans="1:28" hidden="1" outlineLevel="1" x14ac:dyDescent="0.2">
      <c r="A298" s="421" t="str">
        <f t="shared" si="179"/>
        <v>e-Diesel - Global - Transportation - -</v>
      </c>
      <c r="B298" s="421"/>
      <c r="C298" t="s">
        <v>109</v>
      </c>
      <c r="D298" t="s">
        <v>805</v>
      </c>
      <c r="E298" t="s">
        <v>735</v>
      </c>
      <c r="F298" s="3" t="s">
        <v>744</v>
      </c>
      <c r="G298" s="425" t="s">
        <v>620</v>
      </c>
      <c r="H298" s="93"/>
      <c r="I298" s="122">
        <f>+I18</f>
        <v>7</v>
      </c>
      <c r="J298" s="122">
        <f>I298</f>
        <v>7</v>
      </c>
      <c r="K298" s="122">
        <f t="shared" ref="K298:T299" si="185">J298</f>
        <v>7</v>
      </c>
      <c r="L298" s="122">
        <f t="shared" si="185"/>
        <v>7</v>
      </c>
      <c r="M298" s="122">
        <f t="shared" si="185"/>
        <v>7</v>
      </c>
      <c r="N298" s="122">
        <f t="shared" si="185"/>
        <v>7</v>
      </c>
      <c r="O298" s="122">
        <f t="shared" si="185"/>
        <v>7</v>
      </c>
      <c r="P298" s="122">
        <f t="shared" si="185"/>
        <v>7</v>
      </c>
      <c r="Q298" s="122">
        <f t="shared" si="185"/>
        <v>7</v>
      </c>
      <c r="R298" s="122">
        <f t="shared" si="185"/>
        <v>7</v>
      </c>
      <c r="S298" s="122">
        <f t="shared" si="185"/>
        <v>7</v>
      </c>
      <c r="T298" s="122">
        <f t="shared" si="185"/>
        <v>7</v>
      </c>
    </row>
    <row r="299" spans="1:28" hidden="1" outlineLevel="1" x14ac:dyDescent="0.2">
      <c r="A299" s="421" t="str">
        <f t="shared" si="179"/>
        <v>Bio-oils - Global - Transportation - -</v>
      </c>
      <c r="B299" s="421"/>
      <c r="C299" t="s">
        <v>109</v>
      </c>
      <c r="D299" t="s">
        <v>806</v>
      </c>
      <c r="E299" t="s">
        <v>735</v>
      </c>
      <c r="F299" s="3" t="s">
        <v>744</v>
      </c>
      <c r="G299" s="425" t="s">
        <v>620</v>
      </c>
      <c r="H299" s="93"/>
      <c r="I299" s="122">
        <f>+I19</f>
        <v>10</v>
      </c>
      <c r="J299" s="122">
        <f>I299</f>
        <v>10</v>
      </c>
      <c r="K299" s="122">
        <f t="shared" si="185"/>
        <v>10</v>
      </c>
      <c r="L299" s="122">
        <f t="shared" si="185"/>
        <v>10</v>
      </c>
      <c r="M299" s="122">
        <f t="shared" si="185"/>
        <v>10</v>
      </c>
      <c r="N299" s="122">
        <f t="shared" si="185"/>
        <v>10</v>
      </c>
      <c r="O299" s="122">
        <f t="shared" si="185"/>
        <v>10</v>
      </c>
      <c r="P299" s="122">
        <f t="shared" si="185"/>
        <v>10</v>
      </c>
      <c r="Q299" s="122">
        <f t="shared" si="185"/>
        <v>10</v>
      </c>
      <c r="R299" s="122">
        <f t="shared" si="185"/>
        <v>10</v>
      </c>
      <c r="S299" s="122">
        <f t="shared" si="185"/>
        <v>10</v>
      </c>
      <c r="T299" s="122">
        <f t="shared" si="185"/>
        <v>10</v>
      </c>
    </row>
    <row r="300" spans="1:28" hidden="1" outlineLevel="1" x14ac:dyDescent="0.2">
      <c r="A300" s="421" t="str">
        <f t="shared" si="179"/>
        <v>e-Diesel - Global - Transportation - km</v>
      </c>
      <c r="B300" s="421"/>
      <c r="C300" t="s">
        <v>109</v>
      </c>
      <c r="D300" t="s">
        <v>805</v>
      </c>
      <c r="E300" t="s">
        <v>735</v>
      </c>
      <c r="F300" s="3" t="s">
        <v>747</v>
      </c>
      <c r="G300" s="425" t="s">
        <v>748</v>
      </c>
      <c r="H300" s="93"/>
      <c r="I300" s="122">
        <f t="shared" ref="I300:T300" si="186">I296*kmh_per_knot*I298*24</f>
        <v>3733.6320000000005</v>
      </c>
      <c r="J300" s="122">
        <f t="shared" si="186"/>
        <v>3733.6320000000005</v>
      </c>
      <c r="K300" s="122">
        <f t="shared" si="186"/>
        <v>3733.6320000000005</v>
      </c>
      <c r="L300" s="122">
        <f t="shared" si="186"/>
        <v>3733.6320000000005</v>
      </c>
      <c r="M300" s="122">
        <f t="shared" si="186"/>
        <v>3733.6320000000005</v>
      </c>
      <c r="N300" s="122">
        <f t="shared" si="186"/>
        <v>3733.6320000000005</v>
      </c>
      <c r="O300" s="122">
        <f t="shared" si="186"/>
        <v>3733.6320000000005</v>
      </c>
      <c r="P300" s="122">
        <f t="shared" si="186"/>
        <v>3733.6320000000005</v>
      </c>
      <c r="Q300" s="122">
        <f t="shared" si="186"/>
        <v>3733.6320000000005</v>
      </c>
      <c r="R300" s="122">
        <f t="shared" si="186"/>
        <v>3733.6320000000005</v>
      </c>
      <c r="S300" s="122">
        <f t="shared" si="186"/>
        <v>3733.6320000000005</v>
      </c>
      <c r="T300" s="122">
        <f t="shared" si="186"/>
        <v>3733.6320000000005</v>
      </c>
    </row>
    <row r="301" spans="1:28" hidden="1" outlineLevel="1" x14ac:dyDescent="0.2">
      <c r="A301" s="421" t="str">
        <f t="shared" si="179"/>
        <v>Bio-oils - Global - Transportation - km</v>
      </c>
      <c r="B301" s="421"/>
      <c r="C301" t="s">
        <v>109</v>
      </c>
      <c r="D301" t="s">
        <v>806</v>
      </c>
      <c r="E301" t="s">
        <v>735</v>
      </c>
      <c r="F301" s="3" t="s">
        <v>747</v>
      </c>
      <c r="G301" s="425" t="s">
        <v>748</v>
      </c>
      <c r="H301" s="93"/>
      <c r="I301" s="122">
        <f t="shared" ref="I301:T301" si="187">I296*kmh_per_knot*I299*24</f>
        <v>5333.76</v>
      </c>
      <c r="J301" s="122">
        <f t="shared" si="187"/>
        <v>5333.76</v>
      </c>
      <c r="K301" s="122">
        <f t="shared" si="187"/>
        <v>5333.76</v>
      </c>
      <c r="L301" s="122">
        <f t="shared" si="187"/>
        <v>5333.76</v>
      </c>
      <c r="M301" s="122">
        <f t="shared" si="187"/>
        <v>5333.76</v>
      </c>
      <c r="N301" s="122">
        <f t="shared" si="187"/>
        <v>5333.76</v>
      </c>
      <c r="O301" s="122">
        <f t="shared" si="187"/>
        <v>5333.76</v>
      </c>
      <c r="P301" s="122">
        <f t="shared" si="187"/>
        <v>5333.76</v>
      </c>
      <c r="Q301" s="122">
        <f t="shared" si="187"/>
        <v>5333.76</v>
      </c>
      <c r="R301" s="122">
        <f t="shared" si="187"/>
        <v>5333.76</v>
      </c>
      <c r="S301" s="122">
        <f t="shared" si="187"/>
        <v>5333.76</v>
      </c>
      <c r="T301" s="122">
        <f t="shared" si="187"/>
        <v>5333.76</v>
      </c>
    </row>
    <row r="302" spans="1:28" hidden="1" outlineLevel="1" x14ac:dyDescent="0.2">
      <c r="A302" s="421" t="str">
        <f t="shared" si="179"/>
        <v>Heavy-oils - Global - Transportation - %</v>
      </c>
      <c r="B302" s="421"/>
      <c r="C302" t="s">
        <v>109</v>
      </c>
      <c r="D302" t="s">
        <v>804</v>
      </c>
      <c r="E302" t="s">
        <v>735</v>
      </c>
      <c r="F302" s="3" t="s">
        <v>750</v>
      </c>
      <c r="G302" s="425" t="s">
        <v>178</v>
      </c>
      <c r="H302" s="93"/>
      <c r="I302" s="91">
        <f>+I22</f>
        <v>0.4</v>
      </c>
      <c r="J302" s="91">
        <f>+I302</f>
        <v>0.4</v>
      </c>
      <c r="K302" s="91">
        <f t="shared" ref="K302:T302" si="188">+J302</f>
        <v>0.4</v>
      </c>
      <c r="L302" s="91">
        <f t="shared" si="188"/>
        <v>0.4</v>
      </c>
      <c r="M302" s="91">
        <f t="shared" si="188"/>
        <v>0.4</v>
      </c>
      <c r="N302" s="91">
        <f t="shared" si="188"/>
        <v>0.4</v>
      </c>
      <c r="O302" s="91">
        <f t="shared" si="188"/>
        <v>0.4</v>
      </c>
      <c r="P302" s="91">
        <f t="shared" si="188"/>
        <v>0.4</v>
      </c>
      <c r="Q302" s="91">
        <f t="shared" si="188"/>
        <v>0.4</v>
      </c>
      <c r="R302" s="91">
        <f t="shared" si="188"/>
        <v>0.4</v>
      </c>
      <c r="S302" s="91">
        <f t="shared" si="188"/>
        <v>0.4</v>
      </c>
      <c r="T302" s="91">
        <f t="shared" si="188"/>
        <v>0.4</v>
      </c>
    </row>
    <row r="303" spans="1:28" hidden="1" outlineLevel="1" x14ac:dyDescent="0.2">
      <c r="A303" s="421" t="str">
        <f t="shared" si="179"/>
        <v/>
      </c>
      <c r="B303" s="421"/>
      <c r="C303" s="421"/>
      <c r="D303" s="421"/>
      <c r="E303" s="421"/>
      <c r="F303" s="421"/>
      <c r="G303" s="421"/>
      <c r="H303" s="421"/>
      <c r="I303" s="91"/>
      <c r="J303" s="421"/>
      <c r="K303" s="421"/>
      <c r="L303" s="421"/>
      <c r="M303" s="421"/>
      <c r="N303" s="421"/>
      <c r="O303" s="421"/>
      <c r="P303" s="421"/>
      <c r="Q303" s="421"/>
      <c r="R303" s="421"/>
      <c r="S303" s="421"/>
      <c r="T303" s="421"/>
    </row>
    <row r="304" spans="1:28" hidden="1" outlineLevel="1" x14ac:dyDescent="0.2">
      <c r="A304" s="421" t="str">
        <f t="shared" si="179"/>
        <v>e-Diesel - Europe - Delivery - USD/ton</v>
      </c>
      <c r="B304" s="421"/>
      <c r="C304" t="s">
        <v>195</v>
      </c>
      <c r="D304" t="s">
        <v>805</v>
      </c>
      <c r="E304" t="s">
        <v>751</v>
      </c>
      <c r="F304" t="str">
        <f>+D304&amp;" "&amp;E304</f>
        <v>e-Diesel Delivery</v>
      </c>
      <c r="G304" s="224" t="s">
        <v>205</v>
      </c>
      <c r="I304" s="93">
        <f t="shared" ref="I304:T308" si="189">+I$295/365*I$298/I$316*1000/I$302</f>
        <v>10.6544901065449</v>
      </c>
      <c r="J304" s="93">
        <f t="shared" si="189"/>
        <v>10.6544901065449</v>
      </c>
      <c r="K304" s="93">
        <f t="shared" si="189"/>
        <v>10.6544901065449</v>
      </c>
      <c r="L304" s="93">
        <f t="shared" si="189"/>
        <v>10.6544901065449</v>
      </c>
      <c r="M304" s="93">
        <f t="shared" si="189"/>
        <v>10.6544901065449</v>
      </c>
      <c r="N304" s="93">
        <f t="shared" si="189"/>
        <v>10.6544901065449</v>
      </c>
      <c r="O304" s="93">
        <f t="shared" si="189"/>
        <v>10.6544901065449</v>
      </c>
      <c r="P304" s="93">
        <f t="shared" si="189"/>
        <v>10.6544901065449</v>
      </c>
      <c r="Q304" s="93">
        <f t="shared" si="189"/>
        <v>10.6544901065449</v>
      </c>
      <c r="R304" s="93">
        <f t="shared" si="189"/>
        <v>10.6544901065449</v>
      </c>
      <c r="S304" s="93">
        <f t="shared" si="189"/>
        <v>10.6544901065449</v>
      </c>
      <c r="T304" s="93">
        <f t="shared" si="189"/>
        <v>10.6544901065449</v>
      </c>
    </row>
    <row r="305" spans="1:28" hidden="1" outlineLevel="1" x14ac:dyDescent="0.2">
      <c r="A305" s="421" t="str">
        <f t="shared" si="179"/>
        <v>e-Diesel - Asia - Delivery - USD/ton</v>
      </c>
      <c r="B305" s="421"/>
      <c r="C305" t="s">
        <v>198</v>
      </c>
      <c r="D305" t="s">
        <v>805</v>
      </c>
      <c r="E305" t="s">
        <v>751</v>
      </c>
      <c r="F305" t="str">
        <f>+D305&amp;" "&amp;E305</f>
        <v>e-Diesel Delivery</v>
      </c>
      <c r="G305" s="224" t="s">
        <v>205</v>
      </c>
      <c r="I305" s="93">
        <f t="shared" si="189"/>
        <v>10.6544901065449</v>
      </c>
      <c r="J305" s="93">
        <f t="shared" si="189"/>
        <v>10.6544901065449</v>
      </c>
      <c r="K305" s="93">
        <f t="shared" si="189"/>
        <v>10.6544901065449</v>
      </c>
      <c r="L305" s="93">
        <f t="shared" si="189"/>
        <v>10.6544901065449</v>
      </c>
      <c r="M305" s="93">
        <f t="shared" si="189"/>
        <v>10.6544901065449</v>
      </c>
      <c r="N305" s="93">
        <f t="shared" si="189"/>
        <v>10.6544901065449</v>
      </c>
      <c r="O305" s="93">
        <f t="shared" si="189"/>
        <v>10.6544901065449</v>
      </c>
      <c r="P305" s="93">
        <f t="shared" si="189"/>
        <v>10.6544901065449</v>
      </c>
      <c r="Q305" s="93">
        <f t="shared" si="189"/>
        <v>10.6544901065449</v>
      </c>
      <c r="R305" s="93">
        <f t="shared" si="189"/>
        <v>10.6544901065449</v>
      </c>
      <c r="S305" s="93">
        <f t="shared" si="189"/>
        <v>10.6544901065449</v>
      </c>
      <c r="T305" s="93">
        <f t="shared" si="189"/>
        <v>10.6544901065449</v>
      </c>
    </row>
    <row r="306" spans="1:28" hidden="1" outlineLevel="1" x14ac:dyDescent="0.2">
      <c r="A306" s="421" t="str">
        <f t="shared" si="179"/>
        <v>e-Diesel - Middle East - Delivery - USD/ton</v>
      </c>
      <c r="B306" s="421"/>
      <c r="C306" t="s">
        <v>197</v>
      </c>
      <c r="D306" t="s">
        <v>805</v>
      </c>
      <c r="E306" t="s">
        <v>751</v>
      </c>
      <c r="F306" t="str">
        <f>+D306&amp;" "&amp;E306</f>
        <v>e-Diesel Delivery</v>
      </c>
      <c r="G306" s="224" t="s">
        <v>205</v>
      </c>
      <c r="I306" s="93">
        <f t="shared" si="189"/>
        <v>10.6544901065449</v>
      </c>
      <c r="J306" s="93">
        <f t="shared" si="189"/>
        <v>10.6544901065449</v>
      </c>
      <c r="K306" s="93">
        <f t="shared" si="189"/>
        <v>10.6544901065449</v>
      </c>
      <c r="L306" s="93">
        <f t="shared" si="189"/>
        <v>10.6544901065449</v>
      </c>
      <c r="M306" s="93">
        <f t="shared" si="189"/>
        <v>10.6544901065449</v>
      </c>
      <c r="N306" s="93">
        <f t="shared" si="189"/>
        <v>10.6544901065449</v>
      </c>
      <c r="O306" s="93">
        <f t="shared" si="189"/>
        <v>10.6544901065449</v>
      </c>
      <c r="P306" s="93">
        <f t="shared" si="189"/>
        <v>10.6544901065449</v>
      </c>
      <c r="Q306" s="93">
        <f t="shared" si="189"/>
        <v>10.6544901065449</v>
      </c>
      <c r="R306" s="93">
        <f t="shared" si="189"/>
        <v>10.6544901065449</v>
      </c>
      <c r="S306" s="93">
        <f t="shared" si="189"/>
        <v>10.6544901065449</v>
      </c>
      <c r="T306" s="93">
        <f t="shared" si="189"/>
        <v>10.6544901065449</v>
      </c>
    </row>
    <row r="307" spans="1:28" hidden="1" outlineLevel="1" x14ac:dyDescent="0.2">
      <c r="A307" s="421" t="str">
        <f t="shared" si="179"/>
        <v>e-Diesel - Americas - Delivery - USD/ton</v>
      </c>
      <c r="B307" s="421"/>
      <c r="C307" t="s">
        <v>199</v>
      </c>
      <c r="D307" t="s">
        <v>805</v>
      </c>
      <c r="E307" t="s">
        <v>751</v>
      </c>
      <c r="F307" t="str">
        <f>+D307&amp;" "&amp;E307</f>
        <v>e-Diesel Delivery</v>
      </c>
      <c r="G307" s="224" t="s">
        <v>205</v>
      </c>
      <c r="I307" s="93">
        <f t="shared" si="189"/>
        <v>10.6544901065449</v>
      </c>
      <c r="J307" s="93">
        <f t="shared" si="189"/>
        <v>10.6544901065449</v>
      </c>
      <c r="K307" s="93">
        <f t="shared" si="189"/>
        <v>10.6544901065449</v>
      </c>
      <c r="L307" s="93">
        <f t="shared" si="189"/>
        <v>10.6544901065449</v>
      </c>
      <c r="M307" s="93">
        <f t="shared" si="189"/>
        <v>10.6544901065449</v>
      </c>
      <c r="N307" s="93">
        <f t="shared" si="189"/>
        <v>10.6544901065449</v>
      </c>
      <c r="O307" s="93">
        <f t="shared" si="189"/>
        <v>10.6544901065449</v>
      </c>
      <c r="P307" s="93">
        <f t="shared" si="189"/>
        <v>10.6544901065449</v>
      </c>
      <c r="Q307" s="93">
        <f t="shared" si="189"/>
        <v>10.6544901065449</v>
      </c>
      <c r="R307" s="93">
        <f t="shared" si="189"/>
        <v>10.6544901065449</v>
      </c>
      <c r="S307" s="93">
        <f t="shared" si="189"/>
        <v>10.6544901065449</v>
      </c>
      <c r="T307" s="93">
        <f t="shared" si="189"/>
        <v>10.6544901065449</v>
      </c>
    </row>
    <row r="308" spans="1:28" hidden="1" outlineLevel="1" x14ac:dyDescent="0.2">
      <c r="A308" s="421" t="str">
        <f t="shared" si="179"/>
        <v>e-Diesel - Africa&amp;Other - Delivery - USD/ton</v>
      </c>
      <c r="B308" s="421"/>
      <c r="C308" t="s">
        <v>498</v>
      </c>
      <c r="D308" t="s">
        <v>805</v>
      </c>
      <c r="E308" t="s">
        <v>751</v>
      </c>
      <c r="F308" t="str">
        <f>+D308&amp;" "&amp;E308</f>
        <v>e-Diesel Delivery</v>
      </c>
      <c r="G308" s="224" t="s">
        <v>205</v>
      </c>
      <c r="I308" s="93">
        <f t="shared" si="189"/>
        <v>10.6544901065449</v>
      </c>
      <c r="J308" s="93">
        <f t="shared" si="189"/>
        <v>10.6544901065449</v>
      </c>
      <c r="K308" s="93">
        <f t="shared" si="189"/>
        <v>10.6544901065449</v>
      </c>
      <c r="L308" s="93">
        <f t="shared" si="189"/>
        <v>10.6544901065449</v>
      </c>
      <c r="M308" s="93">
        <f t="shared" si="189"/>
        <v>10.6544901065449</v>
      </c>
      <c r="N308" s="93">
        <f t="shared" si="189"/>
        <v>10.6544901065449</v>
      </c>
      <c r="O308" s="93">
        <f t="shared" si="189"/>
        <v>10.6544901065449</v>
      </c>
      <c r="P308" s="93">
        <f t="shared" si="189"/>
        <v>10.6544901065449</v>
      </c>
      <c r="Q308" s="93">
        <f t="shared" si="189"/>
        <v>10.6544901065449</v>
      </c>
      <c r="R308" s="93">
        <f t="shared" si="189"/>
        <v>10.6544901065449</v>
      </c>
      <c r="S308" s="93">
        <f t="shared" si="189"/>
        <v>10.6544901065449</v>
      </c>
      <c r="T308" s="93">
        <f t="shared" si="189"/>
        <v>10.6544901065449</v>
      </c>
    </row>
    <row r="309" spans="1:28" hidden="1" outlineLevel="1" x14ac:dyDescent="0.2">
      <c r="A309" s="421" t="str">
        <f t="shared" si="179"/>
        <v/>
      </c>
      <c r="B309" s="421"/>
      <c r="I309" s="95"/>
      <c r="J309" s="95"/>
      <c r="K309" s="95"/>
      <c r="L309" s="95"/>
      <c r="M309" s="95"/>
      <c r="N309" s="95"/>
      <c r="O309" s="95"/>
      <c r="P309" s="95"/>
      <c r="Q309" s="95"/>
      <c r="R309" s="95"/>
      <c r="S309" s="95"/>
      <c r="T309" s="95"/>
    </row>
    <row r="310" spans="1:28" hidden="1" outlineLevel="1" x14ac:dyDescent="0.2">
      <c r="A310" s="421" t="str">
        <f t="shared" si="179"/>
        <v>Bio-oils - Europe - Delivery - USD/ton</v>
      </c>
      <c r="B310" s="421"/>
      <c r="C310" t="s">
        <v>195</v>
      </c>
      <c r="D310" t="s">
        <v>806</v>
      </c>
      <c r="E310" t="s">
        <v>751</v>
      </c>
      <c r="F310" t="str">
        <f>+D310&amp;" "&amp;E310</f>
        <v>Bio-oils Delivery</v>
      </c>
      <c r="G310" s="224" t="s">
        <v>205</v>
      </c>
      <c r="I310" s="93">
        <f t="shared" ref="I310:T314" si="190">+I$295/365*I$299/I$316*1000/I$302</f>
        <v>15.220700152207</v>
      </c>
      <c r="J310" s="93">
        <f t="shared" si="190"/>
        <v>15.220700152207</v>
      </c>
      <c r="K310" s="93">
        <f t="shared" si="190"/>
        <v>15.220700152207</v>
      </c>
      <c r="L310" s="93">
        <f t="shared" si="190"/>
        <v>15.220700152207</v>
      </c>
      <c r="M310" s="93">
        <f t="shared" si="190"/>
        <v>15.220700152207</v>
      </c>
      <c r="N310" s="93">
        <f t="shared" si="190"/>
        <v>15.220700152207</v>
      </c>
      <c r="O310" s="93">
        <f t="shared" si="190"/>
        <v>15.220700152207</v>
      </c>
      <c r="P310" s="93">
        <f t="shared" si="190"/>
        <v>15.220700152207</v>
      </c>
      <c r="Q310" s="93">
        <f t="shared" si="190"/>
        <v>15.220700152207</v>
      </c>
      <c r="R310" s="93">
        <f t="shared" si="190"/>
        <v>15.220700152207</v>
      </c>
      <c r="S310" s="93">
        <f t="shared" si="190"/>
        <v>15.220700152207</v>
      </c>
      <c r="T310" s="93">
        <f t="shared" si="190"/>
        <v>15.220700152207</v>
      </c>
    </row>
    <row r="311" spans="1:28" hidden="1" outlineLevel="1" x14ac:dyDescent="0.2">
      <c r="A311" s="421" t="str">
        <f t="shared" si="179"/>
        <v>Bio-oils - Asia - Delivery - USD/ton</v>
      </c>
      <c r="B311" s="421"/>
      <c r="C311" t="s">
        <v>198</v>
      </c>
      <c r="D311" t="s">
        <v>806</v>
      </c>
      <c r="E311" t="s">
        <v>751</v>
      </c>
      <c r="F311" t="str">
        <f>+D311&amp;" "&amp;E311</f>
        <v>Bio-oils Delivery</v>
      </c>
      <c r="G311" s="224" t="s">
        <v>205</v>
      </c>
      <c r="I311" s="93">
        <f t="shared" si="190"/>
        <v>15.220700152207</v>
      </c>
      <c r="J311" s="93">
        <f t="shared" si="190"/>
        <v>15.220700152207</v>
      </c>
      <c r="K311" s="93">
        <f t="shared" si="190"/>
        <v>15.220700152207</v>
      </c>
      <c r="L311" s="93">
        <f t="shared" si="190"/>
        <v>15.220700152207</v>
      </c>
      <c r="M311" s="93">
        <f t="shared" si="190"/>
        <v>15.220700152207</v>
      </c>
      <c r="N311" s="93">
        <f t="shared" si="190"/>
        <v>15.220700152207</v>
      </c>
      <c r="O311" s="93">
        <f t="shared" si="190"/>
        <v>15.220700152207</v>
      </c>
      <c r="P311" s="93">
        <f t="shared" si="190"/>
        <v>15.220700152207</v>
      </c>
      <c r="Q311" s="93">
        <f t="shared" si="190"/>
        <v>15.220700152207</v>
      </c>
      <c r="R311" s="93">
        <f t="shared" si="190"/>
        <v>15.220700152207</v>
      </c>
      <c r="S311" s="93">
        <f t="shared" si="190"/>
        <v>15.220700152207</v>
      </c>
      <c r="T311" s="93">
        <f t="shared" si="190"/>
        <v>15.220700152207</v>
      </c>
    </row>
    <row r="312" spans="1:28" hidden="1" outlineLevel="1" x14ac:dyDescent="0.2">
      <c r="A312" s="421" t="str">
        <f t="shared" si="179"/>
        <v>Bio-oils - Middle East - Delivery - USD/ton</v>
      </c>
      <c r="B312" s="421"/>
      <c r="C312" t="s">
        <v>197</v>
      </c>
      <c r="D312" t="s">
        <v>806</v>
      </c>
      <c r="E312" t="s">
        <v>751</v>
      </c>
      <c r="F312" t="str">
        <f>+D312&amp;" "&amp;E312</f>
        <v>Bio-oils Delivery</v>
      </c>
      <c r="G312" s="224" t="s">
        <v>205</v>
      </c>
      <c r="I312" s="93">
        <f t="shared" si="190"/>
        <v>15.220700152207</v>
      </c>
      <c r="J312" s="93">
        <f t="shared" si="190"/>
        <v>15.220700152207</v>
      </c>
      <c r="K312" s="93">
        <f t="shared" si="190"/>
        <v>15.220700152207</v>
      </c>
      <c r="L312" s="93">
        <f t="shared" si="190"/>
        <v>15.220700152207</v>
      </c>
      <c r="M312" s="93">
        <f t="shared" si="190"/>
        <v>15.220700152207</v>
      </c>
      <c r="N312" s="93">
        <f t="shared" si="190"/>
        <v>15.220700152207</v>
      </c>
      <c r="O312" s="93">
        <f t="shared" si="190"/>
        <v>15.220700152207</v>
      </c>
      <c r="P312" s="93">
        <f t="shared" si="190"/>
        <v>15.220700152207</v>
      </c>
      <c r="Q312" s="93">
        <f t="shared" si="190"/>
        <v>15.220700152207</v>
      </c>
      <c r="R312" s="93">
        <f t="shared" si="190"/>
        <v>15.220700152207</v>
      </c>
      <c r="S312" s="93">
        <f t="shared" si="190"/>
        <v>15.220700152207</v>
      </c>
      <c r="T312" s="93">
        <f t="shared" si="190"/>
        <v>15.220700152207</v>
      </c>
    </row>
    <row r="313" spans="1:28" hidden="1" outlineLevel="1" x14ac:dyDescent="0.2">
      <c r="A313" s="421" t="str">
        <f t="shared" si="179"/>
        <v>Bio-oils - Americas - Delivery - USD/ton</v>
      </c>
      <c r="B313" s="421"/>
      <c r="C313" t="s">
        <v>199</v>
      </c>
      <c r="D313" t="s">
        <v>806</v>
      </c>
      <c r="E313" t="s">
        <v>751</v>
      </c>
      <c r="F313" t="str">
        <f>+D313&amp;" "&amp;E313</f>
        <v>Bio-oils Delivery</v>
      </c>
      <c r="G313" s="224" t="s">
        <v>205</v>
      </c>
      <c r="I313" s="93">
        <f t="shared" si="190"/>
        <v>15.220700152207</v>
      </c>
      <c r="J313" s="93">
        <f t="shared" si="190"/>
        <v>15.220700152207</v>
      </c>
      <c r="K313" s="93">
        <f t="shared" si="190"/>
        <v>15.220700152207</v>
      </c>
      <c r="L313" s="93">
        <f t="shared" si="190"/>
        <v>15.220700152207</v>
      </c>
      <c r="M313" s="93">
        <f t="shared" si="190"/>
        <v>15.220700152207</v>
      </c>
      <c r="N313" s="93">
        <f t="shared" si="190"/>
        <v>15.220700152207</v>
      </c>
      <c r="O313" s="93">
        <f t="shared" si="190"/>
        <v>15.220700152207</v>
      </c>
      <c r="P313" s="93">
        <f t="shared" si="190"/>
        <v>15.220700152207</v>
      </c>
      <c r="Q313" s="93">
        <f t="shared" si="190"/>
        <v>15.220700152207</v>
      </c>
      <c r="R313" s="93">
        <f t="shared" si="190"/>
        <v>15.220700152207</v>
      </c>
      <c r="S313" s="93">
        <f t="shared" si="190"/>
        <v>15.220700152207</v>
      </c>
      <c r="T313" s="93">
        <f t="shared" si="190"/>
        <v>15.220700152207</v>
      </c>
    </row>
    <row r="314" spans="1:28" hidden="1" outlineLevel="1" x14ac:dyDescent="0.2">
      <c r="A314" s="421" t="str">
        <f t="shared" si="179"/>
        <v>Bio-oils - Africa&amp;Other - Delivery - USD/ton</v>
      </c>
      <c r="B314" s="421"/>
      <c r="C314" t="s">
        <v>498</v>
      </c>
      <c r="D314" t="s">
        <v>806</v>
      </c>
      <c r="E314" t="s">
        <v>751</v>
      </c>
      <c r="F314" t="str">
        <f>+D314&amp;" "&amp;E314</f>
        <v>Bio-oils Delivery</v>
      </c>
      <c r="G314" s="224" t="s">
        <v>205</v>
      </c>
      <c r="I314" s="93">
        <f t="shared" si="190"/>
        <v>15.220700152207</v>
      </c>
      <c r="J314" s="93">
        <f t="shared" si="190"/>
        <v>15.220700152207</v>
      </c>
      <c r="K314" s="93">
        <f t="shared" si="190"/>
        <v>15.220700152207</v>
      </c>
      <c r="L314" s="93">
        <f t="shared" si="190"/>
        <v>15.220700152207</v>
      </c>
      <c r="M314" s="93">
        <f t="shared" si="190"/>
        <v>15.220700152207</v>
      </c>
      <c r="N314" s="93">
        <f t="shared" si="190"/>
        <v>15.220700152207</v>
      </c>
      <c r="O314" s="93">
        <f t="shared" si="190"/>
        <v>15.220700152207</v>
      </c>
      <c r="P314" s="93">
        <f t="shared" si="190"/>
        <v>15.220700152207</v>
      </c>
      <c r="Q314" s="93">
        <f t="shared" si="190"/>
        <v>15.220700152207</v>
      </c>
      <c r="R314" s="93">
        <f t="shared" si="190"/>
        <v>15.220700152207</v>
      </c>
      <c r="S314" s="93">
        <f t="shared" si="190"/>
        <v>15.220700152207</v>
      </c>
      <c r="T314" s="93">
        <f t="shared" si="190"/>
        <v>15.220700152207</v>
      </c>
    </row>
    <row r="315" spans="1:28" hidden="1" outlineLevel="1" x14ac:dyDescent="0.2">
      <c r="A315" s="421" t="str">
        <f t="shared" si="179"/>
        <v/>
      </c>
      <c r="B315" s="421"/>
      <c r="I315" s="95"/>
      <c r="J315" s="95"/>
      <c r="K315" s="95"/>
      <c r="L315" s="95"/>
      <c r="M315" s="95"/>
      <c r="N315" s="95"/>
      <c r="O315" s="95"/>
      <c r="P315" s="95"/>
      <c r="Q315" s="95"/>
      <c r="R315" s="95"/>
      <c r="S315" s="95"/>
      <c r="T315" s="95"/>
    </row>
    <row r="316" spans="1:28" ht="14.25" hidden="1" outlineLevel="1" x14ac:dyDescent="0.2">
      <c r="A316" s="421" t="str">
        <f t="shared" si="179"/>
        <v>Heavy -oils - Global - Storage - kg/m3</v>
      </c>
      <c r="B316" s="421"/>
      <c r="C316" t="s">
        <v>109</v>
      </c>
      <c r="D316" t="s">
        <v>807</v>
      </c>
      <c r="E316" t="s">
        <v>765</v>
      </c>
      <c r="F316" s="3" t="s">
        <v>753</v>
      </c>
      <c r="G316" s="224" t="s">
        <v>754</v>
      </c>
      <c r="H316" s="93"/>
      <c r="I316" s="438">
        <v>900</v>
      </c>
      <c r="J316" s="19">
        <f>+I316</f>
        <v>900</v>
      </c>
      <c r="K316" s="19">
        <v>900</v>
      </c>
      <c r="L316" s="19">
        <v>900</v>
      </c>
      <c r="M316" s="19">
        <v>900</v>
      </c>
      <c r="N316" s="19">
        <v>900</v>
      </c>
      <c r="O316" s="19">
        <v>900</v>
      </c>
      <c r="P316" s="19">
        <v>900</v>
      </c>
      <c r="Q316" s="19">
        <v>900</v>
      </c>
      <c r="R316" s="19">
        <v>900</v>
      </c>
      <c r="S316" s="19">
        <v>900</v>
      </c>
      <c r="T316" s="19">
        <v>900</v>
      </c>
    </row>
    <row r="317" spans="1:28" ht="14.25" hidden="1" outlineLevel="1" x14ac:dyDescent="0.2">
      <c r="A317" s="421" t="str">
        <f t="shared" si="179"/>
        <v>Heavy -oils - Global - Storage - USD/ton</v>
      </c>
      <c r="B317" s="421"/>
      <c r="C317" t="s">
        <v>109</v>
      </c>
      <c r="D317" t="s">
        <v>807</v>
      </c>
      <c r="E317" t="s">
        <v>765</v>
      </c>
      <c r="F317" s="3" t="s">
        <v>756</v>
      </c>
      <c r="G317" s="224" t="s">
        <v>205</v>
      </c>
      <c r="I317" s="438">
        <v>150</v>
      </c>
      <c r="J317" s="122">
        <f t="shared" ref="J317:T317" si="191">I317*(1+V317)^5</f>
        <v>150</v>
      </c>
      <c r="K317" s="122">
        <f t="shared" si="191"/>
        <v>150</v>
      </c>
      <c r="L317" s="122">
        <f t="shared" si="191"/>
        <v>150</v>
      </c>
      <c r="M317" s="122">
        <f t="shared" si="191"/>
        <v>150</v>
      </c>
      <c r="N317" s="122">
        <f t="shared" si="191"/>
        <v>150</v>
      </c>
      <c r="O317" s="122">
        <f t="shared" si="191"/>
        <v>150</v>
      </c>
      <c r="P317" s="122">
        <f t="shared" si="191"/>
        <v>150</v>
      </c>
      <c r="Q317" s="122">
        <f t="shared" si="191"/>
        <v>150</v>
      </c>
      <c r="R317" s="122">
        <f t="shared" si="191"/>
        <v>150</v>
      </c>
      <c r="S317" s="122">
        <f t="shared" si="191"/>
        <v>150</v>
      </c>
      <c r="T317" s="122">
        <f t="shared" si="191"/>
        <v>150</v>
      </c>
      <c r="V317" s="213">
        <v>0</v>
      </c>
      <c r="W317" s="213">
        <v>0</v>
      </c>
      <c r="X317" s="213">
        <v>0</v>
      </c>
      <c r="Y317" s="213">
        <v>0</v>
      </c>
      <c r="Z317" s="213">
        <v>0</v>
      </c>
      <c r="AA317" s="213">
        <v>0</v>
      </c>
      <c r="AB317" s="213">
        <v>0</v>
      </c>
    </row>
    <row r="318" spans="1:28" ht="14.25" hidden="1" outlineLevel="1" x14ac:dyDescent="0.2">
      <c r="A318" s="421" t="str">
        <f t="shared" si="179"/>
        <v>Heavy -oils - Global - Storage - %of Capex</v>
      </c>
      <c r="B318" s="421"/>
      <c r="C318" t="s">
        <v>109</v>
      </c>
      <c r="D318" t="s">
        <v>807</v>
      </c>
      <c r="E318" t="s">
        <v>765</v>
      </c>
      <c r="F318" s="3" t="s">
        <v>319</v>
      </c>
      <c r="G318" s="224" t="s">
        <v>757</v>
      </c>
      <c r="I318" s="438">
        <v>0</v>
      </c>
      <c r="J318" s="122">
        <v>0</v>
      </c>
      <c r="K318" s="122">
        <v>0</v>
      </c>
      <c r="L318" s="122">
        <v>0</v>
      </c>
      <c r="M318" s="122">
        <v>0</v>
      </c>
      <c r="N318" s="122">
        <v>0</v>
      </c>
      <c r="O318" s="122">
        <v>0</v>
      </c>
      <c r="P318" s="122">
        <v>0</v>
      </c>
      <c r="Q318" s="122">
        <v>0</v>
      </c>
      <c r="R318" s="122">
        <v>0</v>
      </c>
      <c r="S318" s="122">
        <v>0</v>
      </c>
      <c r="T318" s="122">
        <v>0</v>
      </c>
    </row>
    <row r="319" spans="1:28" ht="14.25" hidden="1" outlineLevel="1" x14ac:dyDescent="0.2">
      <c r="A319" s="421" t="str">
        <f t="shared" si="179"/>
        <v>Heavy -oils - Global - Storage - Days</v>
      </c>
      <c r="B319" s="421"/>
      <c r="C319" t="s">
        <v>109</v>
      </c>
      <c r="D319" t="s">
        <v>807</v>
      </c>
      <c r="E319" t="s">
        <v>765</v>
      </c>
      <c r="F319" s="3" t="s">
        <v>758</v>
      </c>
      <c r="G319" s="224" t="s">
        <v>745</v>
      </c>
      <c r="I319" s="438">
        <v>15</v>
      </c>
      <c r="J319" s="122">
        <v>15</v>
      </c>
      <c r="K319" s="122">
        <v>15</v>
      </c>
      <c r="L319" s="122">
        <v>15</v>
      </c>
      <c r="M319" s="122">
        <v>15</v>
      </c>
      <c r="N319" s="122">
        <v>15</v>
      </c>
      <c r="O319" s="122">
        <v>15</v>
      </c>
      <c r="P319" s="122">
        <v>15</v>
      </c>
      <c r="Q319" s="122">
        <v>15</v>
      </c>
      <c r="R319" s="122">
        <v>15</v>
      </c>
      <c r="S319" s="122">
        <v>15</v>
      </c>
      <c r="T319" s="122">
        <v>15</v>
      </c>
    </row>
    <row r="320" spans="1:28" ht="14.25" hidden="1" outlineLevel="1" x14ac:dyDescent="0.2">
      <c r="A320" s="421" t="str">
        <f t="shared" si="179"/>
        <v>Heavy -oils - Global - Storage - %</v>
      </c>
      <c r="B320" s="421"/>
      <c r="C320" t="s">
        <v>109</v>
      </c>
      <c r="D320" t="s">
        <v>807</v>
      </c>
      <c r="E320" t="s">
        <v>765</v>
      </c>
      <c r="F320" s="3" t="s">
        <v>759</v>
      </c>
      <c r="G320" s="224" t="s">
        <v>178</v>
      </c>
      <c r="I320" s="439">
        <v>0.8</v>
      </c>
      <c r="J320" s="123">
        <v>0.8</v>
      </c>
      <c r="K320" s="123">
        <v>0.8</v>
      </c>
      <c r="L320" s="123">
        <v>0.8</v>
      </c>
      <c r="M320" s="123">
        <v>0.8</v>
      </c>
      <c r="N320" s="123">
        <v>0.8</v>
      </c>
      <c r="O320" s="123">
        <v>0.8</v>
      </c>
      <c r="P320" s="123">
        <v>0.8</v>
      </c>
      <c r="Q320" s="123">
        <v>0.8</v>
      </c>
      <c r="R320" s="123">
        <v>0.8</v>
      </c>
      <c r="S320" s="123">
        <v>0.8</v>
      </c>
      <c r="T320" s="123">
        <v>0.8</v>
      </c>
      <c r="V320" s="213">
        <v>0</v>
      </c>
      <c r="W320" s="213">
        <v>0</v>
      </c>
      <c r="X320" s="213">
        <v>0</v>
      </c>
      <c r="Y320" s="213">
        <v>0</v>
      </c>
      <c r="Z320" s="213">
        <v>0</v>
      </c>
      <c r="AA320" s="213">
        <v>0</v>
      </c>
      <c r="AB320" s="213">
        <v>0</v>
      </c>
    </row>
    <row r="321" spans="1:20" hidden="1" outlineLevel="1" x14ac:dyDescent="0.2">
      <c r="A321" s="421" t="str">
        <f t="shared" si="179"/>
        <v/>
      </c>
      <c r="B321" s="421"/>
      <c r="I321" s="95"/>
      <c r="J321" s="95"/>
      <c r="K321" s="95"/>
      <c r="L321" s="95"/>
      <c r="M321" s="95"/>
      <c r="N321" s="95"/>
      <c r="O321" s="95"/>
      <c r="P321" s="95"/>
      <c r="Q321" s="95"/>
      <c r="R321" s="95"/>
      <c r="S321" s="95"/>
      <c r="T321" s="95"/>
    </row>
    <row r="322" spans="1:20" hidden="1" outlineLevel="1" x14ac:dyDescent="0.2">
      <c r="A322" s="421" t="str">
        <f t="shared" si="179"/>
        <v>Heavy-oils - Europe - Storage - USD/ton</v>
      </c>
      <c r="B322" s="421"/>
      <c r="C322" t="s">
        <v>195</v>
      </c>
      <c r="D322" t="s">
        <v>804</v>
      </c>
      <c r="E322" t="s">
        <v>765</v>
      </c>
      <c r="F322" t="str">
        <f>+D322&amp;" "&amp;E322</f>
        <v>Heavy-oils Storage</v>
      </c>
      <c r="G322" s="224" t="s">
        <v>205</v>
      </c>
      <c r="H322" s="93"/>
      <c r="I322" s="93">
        <f t="shared" ref="I322:T326" si="192">+I$317/I$45*I$319/365/I$320</f>
        <v>0.64212328767123295</v>
      </c>
      <c r="J322" s="93">
        <f t="shared" si="192"/>
        <v>0.64212328767123295</v>
      </c>
      <c r="K322" s="93">
        <f t="shared" si="192"/>
        <v>0.64212328767123295</v>
      </c>
      <c r="L322" s="93">
        <f t="shared" si="192"/>
        <v>0.64212328767123295</v>
      </c>
      <c r="M322" s="93">
        <f t="shared" si="192"/>
        <v>0.64212328767123295</v>
      </c>
      <c r="N322" s="93">
        <f t="shared" si="192"/>
        <v>0.64212328767123295</v>
      </c>
      <c r="O322" s="93">
        <f t="shared" si="192"/>
        <v>0.64212328767123295</v>
      </c>
      <c r="P322" s="93">
        <f t="shared" si="192"/>
        <v>0.64212328767123295</v>
      </c>
      <c r="Q322" s="93">
        <f t="shared" si="192"/>
        <v>0.64212328767123295</v>
      </c>
      <c r="R322" s="93">
        <f t="shared" si="192"/>
        <v>0.64212328767123295</v>
      </c>
      <c r="S322" s="93">
        <f t="shared" si="192"/>
        <v>0.64212328767123295</v>
      </c>
      <c r="T322" s="93">
        <f t="shared" si="192"/>
        <v>0.64212328767123295</v>
      </c>
    </row>
    <row r="323" spans="1:20" hidden="1" outlineLevel="1" x14ac:dyDescent="0.2">
      <c r="A323" s="421" t="str">
        <f t="shared" si="179"/>
        <v>Heavy-oils - Asia - Storage - USD/ton</v>
      </c>
      <c r="B323" s="421"/>
      <c r="C323" t="s">
        <v>198</v>
      </c>
      <c r="D323" t="s">
        <v>804</v>
      </c>
      <c r="E323" t="s">
        <v>765</v>
      </c>
      <c r="F323" t="str">
        <f>+D323&amp;" "&amp;E323</f>
        <v>Heavy-oils Storage</v>
      </c>
      <c r="G323" s="224" t="s">
        <v>205</v>
      </c>
      <c r="H323" s="93"/>
      <c r="I323" s="93">
        <f t="shared" si="192"/>
        <v>0.64212328767123295</v>
      </c>
      <c r="J323" s="93">
        <f t="shared" si="192"/>
        <v>0.64212328767123295</v>
      </c>
      <c r="K323" s="93">
        <f t="shared" si="192"/>
        <v>0.64212328767123295</v>
      </c>
      <c r="L323" s="93">
        <f t="shared" si="192"/>
        <v>0.64212328767123295</v>
      </c>
      <c r="M323" s="93">
        <f t="shared" si="192"/>
        <v>0.64212328767123295</v>
      </c>
      <c r="N323" s="93">
        <f t="shared" si="192"/>
        <v>0.64212328767123295</v>
      </c>
      <c r="O323" s="93">
        <f t="shared" si="192"/>
        <v>0.64212328767123295</v>
      </c>
      <c r="P323" s="93">
        <f t="shared" si="192"/>
        <v>0.64212328767123295</v>
      </c>
      <c r="Q323" s="93">
        <f t="shared" si="192"/>
        <v>0.64212328767123295</v>
      </c>
      <c r="R323" s="93">
        <f t="shared" si="192"/>
        <v>0.64212328767123295</v>
      </c>
      <c r="S323" s="93">
        <f t="shared" si="192"/>
        <v>0.64212328767123295</v>
      </c>
      <c r="T323" s="93">
        <f t="shared" si="192"/>
        <v>0.64212328767123295</v>
      </c>
    </row>
    <row r="324" spans="1:20" hidden="1" outlineLevel="1" x14ac:dyDescent="0.2">
      <c r="A324" s="421" t="str">
        <f t="shared" si="179"/>
        <v>Heavy-oils - Middle East - Storage - USD/ton</v>
      </c>
      <c r="B324" s="421"/>
      <c r="C324" t="s">
        <v>197</v>
      </c>
      <c r="D324" t="s">
        <v>804</v>
      </c>
      <c r="E324" t="s">
        <v>765</v>
      </c>
      <c r="F324" t="str">
        <f>+D324&amp;" "&amp;E324</f>
        <v>Heavy-oils Storage</v>
      </c>
      <c r="G324" s="224" t="s">
        <v>205</v>
      </c>
      <c r="H324" s="93"/>
      <c r="I324" s="93">
        <f t="shared" si="192"/>
        <v>0.64212328767123295</v>
      </c>
      <c r="J324" s="93">
        <f t="shared" si="192"/>
        <v>0.64212328767123295</v>
      </c>
      <c r="K324" s="93">
        <f t="shared" si="192"/>
        <v>0.64212328767123295</v>
      </c>
      <c r="L324" s="93">
        <f t="shared" si="192"/>
        <v>0.64212328767123295</v>
      </c>
      <c r="M324" s="93">
        <f t="shared" si="192"/>
        <v>0.64212328767123295</v>
      </c>
      <c r="N324" s="93">
        <f t="shared" si="192"/>
        <v>0.64212328767123295</v>
      </c>
      <c r="O324" s="93">
        <f t="shared" si="192"/>
        <v>0.64212328767123295</v>
      </c>
      <c r="P324" s="93">
        <f t="shared" si="192"/>
        <v>0.64212328767123295</v>
      </c>
      <c r="Q324" s="93">
        <f t="shared" si="192"/>
        <v>0.64212328767123295</v>
      </c>
      <c r="R324" s="93">
        <f t="shared" si="192"/>
        <v>0.64212328767123295</v>
      </c>
      <c r="S324" s="93">
        <f t="shared" si="192"/>
        <v>0.64212328767123295</v>
      </c>
      <c r="T324" s="93">
        <f t="shared" si="192"/>
        <v>0.64212328767123295</v>
      </c>
    </row>
    <row r="325" spans="1:20" hidden="1" outlineLevel="1" x14ac:dyDescent="0.2">
      <c r="A325" s="421" t="str">
        <f t="shared" si="179"/>
        <v>Heavy-oils - Americas - Storage - USD/ton</v>
      </c>
      <c r="B325" s="421"/>
      <c r="C325" t="s">
        <v>199</v>
      </c>
      <c r="D325" t="s">
        <v>804</v>
      </c>
      <c r="E325" t="s">
        <v>765</v>
      </c>
      <c r="F325" t="str">
        <f>+D325&amp;" "&amp;E325</f>
        <v>Heavy-oils Storage</v>
      </c>
      <c r="G325" s="224" t="s">
        <v>205</v>
      </c>
      <c r="H325" s="93"/>
      <c r="I325" s="93">
        <f t="shared" si="192"/>
        <v>0.64212328767123295</v>
      </c>
      <c r="J325" s="93">
        <f t="shared" si="192"/>
        <v>0.64212328767123295</v>
      </c>
      <c r="K325" s="93">
        <f t="shared" si="192"/>
        <v>0.64212328767123295</v>
      </c>
      <c r="L325" s="93">
        <f t="shared" si="192"/>
        <v>0.64212328767123295</v>
      </c>
      <c r="M325" s="93">
        <f t="shared" si="192"/>
        <v>0.64212328767123295</v>
      </c>
      <c r="N325" s="93">
        <f t="shared" si="192"/>
        <v>0.64212328767123295</v>
      </c>
      <c r="O325" s="93">
        <f t="shared" si="192"/>
        <v>0.64212328767123295</v>
      </c>
      <c r="P325" s="93">
        <f t="shared" si="192"/>
        <v>0.64212328767123295</v>
      </c>
      <c r="Q325" s="93">
        <f t="shared" si="192"/>
        <v>0.64212328767123295</v>
      </c>
      <c r="R325" s="93">
        <f t="shared" si="192"/>
        <v>0.64212328767123295</v>
      </c>
      <c r="S325" s="93">
        <f t="shared" si="192"/>
        <v>0.64212328767123295</v>
      </c>
      <c r="T325" s="93">
        <f t="shared" si="192"/>
        <v>0.64212328767123295</v>
      </c>
    </row>
    <row r="326" spans="1:20" hidden="1" outlineLevel="1" x14ac:dyDescent="0.2">
      <c r="A326" s="421" t="str">
        <f t="shared" si="179"/>
        <v>Heavy-oils - Africa&amp;Other - Storage - USD/ton</v>
      </c>
      <c r="B326" s="421"/>
      <c r="C326" t="s">
        <v>498</v>
      </c>
      <c r="D326" t="s">
        <v>804</v>
      </c>
      <c r="E326" t="s">
        <v>765</v>
      </c>
      <c r="F326" t="str">
        <f>+D326&amp;" "&amp;E326</f>
        <v>Heavy-oils Storage</v>
      </c>
      <c r="G326" s="224" t="s">
        <v>205</v>
      </c>
      <c r="H326" s="93"/>
      <c r="I326" s="93">
        <f t="shared" si="192"/>
        <v>0.64212328767123295</v>
      </c>
      <c r="J326" s="93">
        <f t="shared" si="192"/>
        <v>0.64212328767123295</v>
      </c>
      <c r="K326" s="93">
        <f t="shared" si="192"/>
        <v>0.64212328767123295</v>
      </c>
      <c r="L326" s="93">
        <f t="shared" si="192"/>
        <v>0.64212328767123295</v>
      </c>
      <c r="M326" s="93">
        <f t="shared" si="192"/>
        <v>0.64212328767123295</v>
      </c>
      <c r="N326" s="93">
        <f t="shared" si="192"/>
        <v>0.64212328767123295</v>
      </c>
      <c r="O326" s="93">
        <f t="shared" si="192"/>
        <v>0.64212328767123295</v>
      </c>
      <c r="P326" s="93">
        <f t="shared" si="192"/>
        <v>0.64212328767123295</v>
      </c>
      <c r="Q326" s="93">
        <f t="shared" si="192"/>
        <v>0.64212328767123295</v>
      </c>
      <c r="R326" s="93">
        <f t="shared" si="192"/>
        <v>0.64212328767123295</v>
      </c>
      <c r="S326" s="93">
        <f t="shared" si="192"/>
        <v>0.64212328767123295</v>
      </c>
      <c r="T326" s="93">
        <f t="shared" si="192"/>
        <v>0.64212328767123295</v>
      </c>
    </row>
    <row r="327" spans="1:20" hidden="1" outlineLevel="1" x14ac:dyDescent="0.2">
      <c r="A327" s="421" t="str">
        <f>_xlfn.TEXTJOIN(keydelim,TRUE,D327,C327,E327,G327)</f>
        <v/>
      </c>
      <c r="B327" s="421"/>
      <c r="H327" s="95"/>
    </row>
    <row r="328" spans="1:20" hidden="1" outlineLevel="1" x14ac:dyDescent="0.2">
      <c r="A328" s="421"/>
      <c r="B328" s="421"/>
      <c r="C328" t="s">
        <v>195</v>
      </c>
      <c r="D328" t="s">
        <v>805</v>
      </c>
      <c r="E328" t="s">
        <v>766</v>
      </c>
      <c r="F328" t="str">
        <f>+D328&amp;" "&amp;E328</f>
        <v>e-Diesel Logistics CO2</v>
      </c>
      <c r="G328" s="224" t="s">
        <v>767</v>
      </c>
      <c r="H328" s="93"/>
      <c r="I328" s="94">
        <f>I$297/I$316*1000*(I$298/I$302/365)</f>
        <v>1.9977168949771688E-2</v>
      </c>
      <c r="J328" s="94">
        <f t="shared" ref="J328:O332" si="193">J$297/J$316*1000*(J$298/J$302/365)</f>
        <v>1.3897884089897254E-2</v>
      </c>
      <c r="K328" s="94">
        <f t="shared" si="193"/>
        <v>9.6685963192210313E-3</v>
      </c>
      <c r="L328" s="94">
        <f t="shared" si="193"/>
        <v>6.7263300067388595E-3</v>
      </c>
      <c r="M328" s="94">
        <f t="shared" si="193"/>
        <v>4.6794295537618139E-3</v>
      </c>
      <c r="N328" s="94">
        <f t="shared" si="193"/>
        <v>3.2554247155107815E-3</v>
      </c>
      <c r="O328" s="94">
        <f t="shared" si="193"/>
        <v>2.2647611117126115E-3</v>
      </c>
    </row>
    <row r="329" spans="1:20" hidden="1" outlineLevel="1" x14ac:dyDescent="0.2">
      <c r="A329" s="421"/>
      <c r="B329" s="421"/>
      <c r="C329" t="s">
        <v>198</v>
      </c>
      <c r="D329" t="s">
        <v>805</v>
      </c>
      <c r="E329" t="s">
        <v>766</v>
      </c>
      <c r="F329" t="str">
        <f>+D329&amp;" "&amp;E329</f>
        <v>e-Diesel Logistics CO2</v>
      </c>
      <c r="G329" s="224" t="s">
        <v>767</v>
      </c>
      <c r="H329" s="93"/>
      <c r="I329" s="94">
        <f>I$297/I$316*1000*(I$298/I$302/365)</f>
        <v>1.9977168949771688E-2</v>
      </c>
      <c r="J329" s="94">
        <f t="shared" si="193"/>
        <v>1.3897884089897254E-2</v>
      </c>
      <c r="K329" s="94">
        <f t="shared" si="193"/>
        <v>9.6685963192210313E-3</v>
      </c>
      <c r="L329" s="94">
        <f t="shared" si="193"/>
        <v>6.7263300067388595E-3</v>
      </c>
      <c r="M329" s="94">
        <f t="shared" si="193"/>
        <v>4.6794295537618139E-3</v>
      </c>
      <c r="N329" s="94">
        <f t="shared" si="193"/>
        <v>3.2554247155107815E-3</v>
      </c>
      <c r="O329" s="94">
        <f t="shared" si="193"/>
        <v>2.2647611117126115E-3</v>
      </c>
    </row>
    <row r="330" spans="1:20" hidden="1" outlineLevel="1" x14ac:dyDescent="0.2">
      <c r="A330" s="421"/>
      <c r="B330" s="421"/>
      <c r="C330" t="s">
        <v>197</v>
      </c>
      <c r="D330" t="s">
        <v>805</v>
      </c>
      <c r="E330" t="s">
        <v>766</v>
      </c>
      <c r="F330" t="str">
        <f>+D330&amp;" "&amp;E330</f>
        <v>e-Diesel Logistics CO2</v>
      </c>
      <c r="G330" s="224" t="s">
        <v>767</v>
      </c>
      <c r="H330" s="93"/>
      <c r="I330" s="94">
        <f>I$297/I$316*1000*(I$298/I$302/365)</f>
        <v>1.9977168949771688E-2</v>
      </c>
      <c r="J330" s="94">
        <f t="shared" si="193"/>
        <v>1.3897884089897254E-2</v>
      </c>
      <c r="K330" s="94">
        <f t="shared" si="193"/>
        <v>9.6685963192210313E-3</v>
      </c>
      <c r="L330" s="94">
        <f t="shared" si="193"/>
        <v>6.7263300067388595E-3</v>
      </c>
      <c r="M330" s="94">
        <f t="shared" si="193"/>
        <v>4.6794295537618139E-3</v>
      </c>
      <c r="N330" s="94">
        <f t="shared" si="193"/>
        <v>3.2554247155107815E-3</v>
      </c>
      <c r="O330" s="94">
        <f t="shared" si="193"/>
        <v>2.2647611117126115E-3</v>
      </c>
    </row>
    <row r="331" spans="1:20" hidden="1" outlineLevel="1" x14ac:dyDescent="0.2">
      <c r="A331" s="421"/>
      <c r="B331" s="421"/>
      <c r="C331" t="s">
        <v>199</v>
      </c>
      <c r="D331" t="s">
        <v>805</v>
      </c>
      <c r="E331" t="s">
        <v>766</v>
      </c>
      <c r="F331" t="str">
        <f>+D331&amp;" "&amp;E331</f>
        <v>e-Diesel Logistics CO2</v>
      </c>
      <c r="G331" s="224" t="s">
        <v>767</v>
      </c>
      <c r="H331" s="93"/>
      <c r="I331" s="94">
        <f>I$297/I$316*1000*(I$298/I$302/365)</f>
        <v>1.9977168949771688E-2</v>
      </c>
      <c r="J331" s="94">
        <f t="shared" si="193"/>
        <v>1.3897884089897254E-2</v>
      </c>
      <c r="K331" s="94">
        <f t="shared" si="193"/>
        <v>9.6685963192210313E-3</v>
      </c>
      <c r="L331" s="94">
        <f t="shared" si="193"/>
        <v>6.7263300067388595E-3</v>
      </c>
      <c r="M331" s="94">
        <f t="shared" si="193"/>
        <v>4.6794295537618139E-3</v>
      </c>
      <c r="N331" s="94">
        <f t="shared" si="193"/>
        <v>3.2554247155107815E-3</v>
      </c>
      <c r="O331" s="94">
        <f t="shared" si="193"/>
        <v>2.2647611117126115E-3</v>
      </c>
    </row>
    <row r="332" spans="1:20" hidden="1" outlineLevel="1" x14ac:dyDescent="0.2">
      <c r="A332" s="421"/>
      <c r="B332" s="421"/>
      <c r="C332" t="s">
        <v>498</v>
      </c>
      <c r="D332" t="s">
        <v>805</v>
      </c>
      <c r="E332" t="s">
        <v>766</v>
      </c>
      <c r="F332" t="str">
        <f>+D332&amp;" "&amp;E332</f>
        <v>e-Diesel Logistics CO2</v>
      </c>
      <c r="G332" s="224" t="s">
        <v>767</v>
      </c>
      <c r="H332" s="93"/>
      <c r="I332" s="94">
        <f>I$297/I$316*1000*(I$298/I$302/365)</f>
        <v>1.9977168949771688E-2</v>
      </c>
      <c r="J332" s="94">
        <f t="shared" si="193"/>
        <v>1.3897884089897254E-2</v>
      </c>
      <c r="K332" s="94">
        <f t="shared" si="193"/>
        <v>9.6685963192210313E-3</v>
      </c>
      <c r="L332" s="94">
        <f t="shared" si="193"/>
        <v>6.7263300067388595E-3</v>
      </c>
      <c r="M332" s="94">
        <f t="shared" si="193"/>
        <v>4.6794295537618139E-3</v>
      </c>
      <c r="N332" s="94">
        <f t="shared" si="193"/>
        <v>3.2554247155107815E-3</v>
      </c>
      <c r="O332" s="94">
        <f t="shared" si="193"/>
        <v>2.2647611117126115E-3</v>
      </c>
    </row>
    <row r="333" spans="1:20" hidden="1" outlineLevel="1" x14ac:dyDescent="0.2">
      <c r="A333" s="421"/>
      <c r="B333" s="421"/>
      <c r="H333" s="95"/>
    </row>
    <row r="334" spans="1:20" hidden="1" outlineLevel="1" x14ac:dyDescent="0.2">
      <c r="A334" s="421"/>
      <c r="B334" s="421"/>
      <c r="C334" t="s">
        <v>195</v>
      </c>
      <c r="D334" t="s">
        <v>806</v>
      </c>
      <c r="E334" t="s">
        <v>766</v>
      </c>
      <c r="F334" t="str">
        <f>+D334&amp;" "&amp;E334</f>
        <v>Bio-oils Logistics CO2</v>
      </c>
      <c r="G334" s="224" t="s">
        <v>767</v>
      </c>
      <c r="H334" s="93"/>
      <c r="I334" s="94">
        <f>I$297/I$316*1000*(I$299/I$302/365)</f>
        <v>2.8538812785388126E-2</v>
      </c>
      <c r="J334" s="94">
        <f t="shared" ref="J334:T338" si="194">J$297/J$316*1000*(J$299/J$302/365)</f>
        <v>1.9854120128424649E-2</v>
      </c>
      <c r="K334" s="94">
        <f t="shared" si="194"/>
        <v>1.3812280456030045E-2</v>
      </c>
      <c r="L334" s="94">
        <f t="shared" si="194"/>
        <v>9.6090428667698E-3</v>
      </c>
      <c r="M334" s="94">
        <f t="shared" si="194"/>
        <v>6.684899362516877E-3</v>
      </c>
      <c r="N334" s="94">
        <f t="shared" si="194"/>
        <v>4.6506067364439742E-3</v>
      </c>
      <c r="O334" s="94">
        <f t="shared" si="194"/>
        <v>3.2353730167323019E-3</v>
      </c>
      <c r="P334" s="94">
        <f t="shared" si="194"/>
        <v>0</v>
      </c>
      <c r="Q334" s="94">
        <f t="shared" si="194"/>
        <v>0</v>
      </c>
      <c r="R334" s="94">
        <f t="shared" si="194"/>
        <v>0</v>
      </c>
      <c r="S334" s="94">
        <f t="shared" si="194"/>
        <v>0</v>
      </c>
      <c r="T334" s="94">
        <f t="shared" si="194"/>
        <v>0</v>
      </c>
    </row>
    <row r="335" spans="1:20" hidden="1" outlineLevel="1" x14ac:dyDescent="0.2">
      <c r="A335" s="421"/>
      <c r="B335" s="421"/>
      <c r="C335" t="s">
        <v>198</v>
      </c>
      <c r="D335" t="s">
        <v>806</v>
      </c>
      <c r="E335" t="s">
        <v>766</v>
      </c>
      <c r="F335" t="str">
        <f>+D335&amp;" "&amp;E335</f>
        <v>Bio-oils Logistics CO2</v>
      </c>
      <c r="G335" s="224" t="s">
        <v>767</v>
      </c>
      <c r="H335" s="93"/>
      <c r="I335" s="94">
        <f>I$297/I$316*1000*(I$299/I$302/365)</f>
        <v>2.8538812785388126E-2</v>
      </c>
      <c r="J335" s="94">
        <f t="shared" si="194"/>
        <v>1.9854120128424649E-2</v>
      </c>
      <c r="K335" s="94">
        <f t="shared" si="194"/>
        <v>1.3812280456030045E-2</v>
      </c>
      <c r="L335" s="94">
        <f t="shared" si="194"/>
        <v>9.6090428667698E-3</v>
      </c>
      <c r="M335" s="94">
        <f t="shared" si="194"/>
        <v>6.684899362516877E-3</v>
      </c>
      <c r="N335" s="94">
        <f t="shared" si="194"/>
        <v>4.6506067364439742E-3</v>
      </c>
      <c r="O335" s="94">
        <f t="shared" si="194"/>
        <v>3.2353730167323019E-3</v>
      </c>
    </row>
    <row r="336" spans="1:20" hidden="1" outlineLevel="1" x14ac:dyDescent="0.2">
      <c r="A336" s="421"/>
      <c r="B336" s="421"/>
      <c r="C336" t="s">
        <v>197</v>
      </c>
      <c r="D336" t="s">
        <v>806</v>
      </c>
      <c r="E336" t="s">
        <v>766</v>
      </c>
      <c r="F336" t="str">
        <f>+D336&amp;" "&amp;E336</f>
        <v>Bio-oils Logistics CO2</v>
      </c>
      <c r="G336" s="224" t="s">
        <v>767</v>
      </c>
      <c r="H336" s="93"/>
      <c r="I336" s="94">
        <f>I$297/I$316*1000*(I$299/I$302/365)</f>
        <v>2.8538812785388126E-2</v>
      </c>
      <c r="J336" s="94">
        <f t="shared" si="194"/>
        <v>1.9854120128424649E-2</v>
      </c>
      <c r="K336" s="94">
        <f t="shared" si="194"/>
        <v>1.3812280456030045E-2</v>
      </c>
      <c r="L336" s="94">
        <f t="shared" si="194"/>
        <v>9.6090428667698E-3</v>
      </c>
      <c r="M336" s="94">
        <f t="shared" si="194"/>
        <v>6.684899362516877E-3</v>
      </c>
      <c r="N336" s="94">
        <f t="shared" si="194"/>
        <v>4.6506067364439742E-3</v>
      </c>
      <c r="O336" s="94">
        <f t="shared" si="194"/>
        <v>3.2353730167323019E-3</v>
      </c>
    </row>
    <row r="337" spans="1:20" hidden="1" outlineLevel="1" x14ac:dyDescent="0.2">
      <c r="A337" s="421"/>
      <c r="B337" s="421"/>
      <c r="C337" t="s">
        <v>199</v>
      </c>
      <c r="D337" t="s">
        <v>806</v>
      </c>
      <c r="E337" t="s">
        <v>766</v>
      </c>
      <c r="F337" t="str">
        <f>+D337&amp;" "&amp;E337</f>
        <v>Bio-oils Logistics CO2</v>
      </c>
      <c r="G337" s="224" t="s">
        <v>767</v>
      </c>
      <c r="H337" s="93"/>
      <c r="I337" s="94">
        <f>I$297/I$316*1000*(I$299/I$302/365)</f>
        <v>2.8538812785388126E-2</v>
      </c>
      <c r="J337" s="94">
        <f t="shared" si="194"/>
        <v>1.9854120128424649E-2</v>
      </c>
      <c r="K337" s="94">
        <f t="shared" si="194"/>
        <v>1.3812280456030045E-2</v>
      </c>
      <c r="L337" s="94">
        <f t="shared" si="194"/>
        <v>9.6090428667698E-3</v>
      </c>
      <c r="M337" s="94">
        <f t="shared" si="194"/>
        <v>6.684899362516877E-3</v>
      </c>
      <c r="N337" s="94">
        <f t="shared" si="194"/>
        <v>4.6506067364439742E-3</v>
      </c>
      <c r="O337" s="94">
        <f t="shared" si="194"/>
        <v>3.2353730167323019E-3</v>
      </c>
    </row>
    <row r="338" spans="1:20" hidden="1" outlineLevel="1" x14ac:dyDescent="0.2">
      <c r="A338" s="421"/>
      <c r="B338" s="421"/>
      <c r="C338" t="s">
        <v>498</v>
      </c>
      <c r="D338" t="s">
        <v>806</v>
      </c>
      <c r="E338" t="s">
        <v>766</v>
      </c>
      <c r="F338" t="str">
        <f>+D338&amp;" "&amp;E338</f>
        <v>Bio-oils Logistics CO2</v>
      </c>
      <c r="G338" s="224" t="s">
        <v>767</v>
      </c>
      <c r="H338" s="93"/>
      <c r="I338" s="94">
        <f>I$297/I$316*1000*(I$299/I$302/365)</f>
        <v>2.8538812785388126E-2</v>
      </c>
      <c r="J338" s="94">
        <f t="shared" si="194"/>
        <v>1.9854120128424649E-2</v>
      </c>
      <c r="K338" s="94">
        <f t="shared" si="194"/>
        <v>1.3812280456030045E-2</v>
      </c>
      <c r="L338" s="94">
        <f t="shared" si="194"/>
        <v>9.6090428667698E-3</v>
      </c>
      <c r="M338" s="94">
        <f t="shared" si="194"/>
        <v>6.684899362516877E-3</v>
      </c>
      <c r="N338" s="94">
        <f t="shared" si="194"/>
        <v>4.6506067364439742E-3</v>
      </c>
      <c r="O338" s="94">
        <f t="shared" si="194"/>
        <v>3.2353730167323019E-3</v>
      </c>
    </row>
    <row r="339" spans="1:20" hidden="1" outlineLevel="1" x14ac:dyDescent="0.2">
      <c r="A339" s="421" t="str">
        <f>_xlfn.TEXTJOIN(keydelim,TRUE,D339,C339,E339,G339)</f>
        <v/>
      </c>
      <c r="B339" s="421"/>
      <c r="H339" s="93"/>
      <c r="I339" s="95"/>
      <c r="J339" s="95"/>
      <c r="K339" s="95"/>
      <c r="L339" s="95"/>
      <c r="M339" s="95"/>
      <c r="N339" s="95"/>
      <c r="O339" s="95"/>
      <c r="P339" s="95"/>
      <c r="Q339" s="95"/>
      <c r="R339" s="95"/>
      <c r="S339" s="95"/>
      <c r="T339" s="95"/>
    </row>
    <row r="340" spans="1:20" hidden="1" outlineLevel="1" x14ac:dyDescent="0.2">
      <c r="A340" s="421" t="str">
        <f>_xlfn.TEXTJOIN(keydelim,TRUE,D340,C340,E340,G340)</f>
        <v>e-Diesel - Global - WTT Logistics - kgCO2/GJ</v>
      </c>
      <c r="B340" s="421"/>
      <c r="C340" t="s">
        <v>109</v>
      </c>
      <c r="D340" t="str">
        <f>+D328</f>
        <v>e-Diesel</v>
      </c>
      <c r="F340" t="s">
        <v>588</v>
      </c>
      <c r="G340" s="224" t="s">
        <v>770</v>
      </c>
      <c r="H340" s="93"/>
      <c r="I340" s="94">
        <f>+AVERAGE(I328:I332)/INDEX('Fuel Model -  Input'!H$15:H$44,MATCH('Fuel Logistics'!$F340,'Fuel Model -  Input'!$F$15:$F$44,0))*1000000</f>
        <v>0.46784938992439551</v>
      </c>
      <c r="J340" s="94">
        <f>+AVERAGE(J328:J332)/INDEX('Fuel Model -  Input'!I$15:I$44,MATCH('Fuel Logistics'!$F340,'Fuel Model -  Input'!$F$15:$F$44,0))*1000000</f>
        <v>0.32547737915450242</v>
      </c>
      <c r="K340" s="94">
        <f>+AVERAGE(K328:K332)/INDEX('Fuel Model -  Input'!J$15:J$44,MATCH('Fuel Logistics'!$F340,'Fuel Model -  Input'!$F$15:$F$44,0))*1000000</f>
        <v>0.22643082714803353</v>
      </c>
      <c r="L340" s="94">
        <f>+AVERAGE(L328:L332)/INDEX('Fuel Model -  Input'!K$15:K$44,MATCH('Fuel Logistics'!$F340,'Fuel Model -  Input'!$F$15:$F$44,0))*1000000</f>
        <v>0.15752529289786557</v>
      </c>
      <c r="M340" s="94">
        <f>+AVERAGE(M328:M332)/INDEX('Fuel Model -  Input'!L$15:L$44,MATCH('Fuel Logistics'!$F340,'Fuel Model -  Input'!$F$15:$F$44,0))*1000000</f>
        <v>0.10958851413962094</v>
      </c>
      <c r="N340" s="94">
        <f>+AVERAGE(N328:N332)/INDEX('Fuel Model -  Input'!M$15:M$44,MATCH('Fuel Logistics'!$F340,'Fuel Model -  Input'!$F$15:$F$44,0))*1000000</f>
        <v>7.6239454695802844E-2</v>
      </c>
      <c r="O340" s="94">
        <f>+AVERAGE(O328:O332)/INDEX('Fuel Model -  Input'!N$15:N$44,MATCH('Fuel Logistics'!$F340,'Fuel Model -  Input'!$F$15:$F$44,0))*1000000</f>
        <v>5.3038901913644299E-2</v>
      </c>
      <c r="P340" s="93"/>
      <c r="Q340" s="93"/>
      <c r="R340" s="93"/>
      <c r="S340" s="93"/>
      <c r="T340" s="93"/>
    </row>
    <row r="341" spans="1:20" hidden="1" outlineLevel="1" x14ac:dyDescent="0.2">
      <c r="A341" s="421" t="str">
        <f>_xlfn.TEXTJOIN(keydelim,TRUE,D341,C341,E341,G341)</f>
        <v>Bio-oils - Global - WTT Logistics - kgCO2/GJ</v>
      </c>
      <c r="B341" s="421"/>
      <c r="C341" t="s">
        <v>109</v>
      </c>
      <c r="D341" t="str">
        <f>+D334</f>
        <v>Bio-oils</v>
      </c>
      <c r="F341" t="s">
        <v>594</v>
      </c>
      <c r="G341" s="224" t="s">
        <v>770</v>
      </c>
      <c r="H341" s="93"/>
      <c r="I341" s="94">
        <f>+AVERAGE(I334:I338)/INDEX('Fuel Model -  Input'!H$15:H$44,MATCH('Fuel Logistics'!$F341,'Fuel Model -  Input'!$F$15:$F$44,0))*1000000</f>
        <v>0.66835627132056497</v>
      </c>
      <c r="J341" s="94">
        <f>+AVERAGE(J334:J338)/INDEX('Fuel Model -  Input'!I$15:I$44,MATCH('Fuel Logistics'!$F341,'Fuel Model -  Input'!$F$15:$F$44,0))*1000000</f>
        <v>0.46496768450643206</v>
      </c>
      <c r="K341" s="94">
        <f>+AVERAGE(K334:K338)/INDEX('Fuel Model -  Input'!J$15:J$44,MATCH('Fuel Logistics'!$F341,'Fuel Model -  Input'!$F$15:$F$44,0))*1000000</f>
        <v>0.3234726102114765</v>
      </c>
      <c r="L341" s="94">
        <f>+AVERAGE(L334:L338)/INDEX('Fuel Model -  Input'!K$15:K$44,MATCH('Fuel Logistics'!$F341,'Fuel Model -  Input'!$F$15:$F$44,0))*1000000</f>
        <v>0.22503613271123651</v>
      </c>
      <c r="M341" s="94">
        <f>+AVERAGE(M334:M338)/INDEX('Fuel Model -  Input'!L$15:L$44,MATCH('Fuel Logistics'!$F341,'Fuel Model -  Input'!$F$15:$F$44,0))*1000000</f>
        <v>0.15655502019945847</v>
      </c>
      <c r="N341" s="94">
        <f>+AVERAGE(N334:N338)/INDEX('Fuel Model -  Input'!M$15:M$44,MATCH('Fuel Logistics'!$F341,'Fuel Model -  Input'!$F$15:$F$44,0))*1000000</f>
        <v>0.1089135067082898</v>
      </c>
      <c r="O341" s="94">
        <f>+AVERAGE(O334:O338)/INDEX('Fuel Model -  Input'!N$15:N$44,MATCH('Fuel Logistics'!$F341,'Fuel Model -  Input'!$F$15:$F$44,0))*1000000</f>
        <v>7.5769859876634704E-2</v>
      </c>
      <c r="P341" s="93"/>
      <c r="Q341" s="93"/>
      <c r="R341" s="93"/>
      <c r="S341" s="93"/>
      <c r="T341" s="93"/>
    </row>
    <row r="342" spans="1:20" collapsed="1" x14ac:dyDescent="0.2">
      <c r="A342" s="421" t="str">
        <f t="shared" si="179"/>
        <v/>
      </c>
      <c r="B342" s="421"/>
      <c r="H342" s="95"/>
    </row>
    <row r="343" spans="1:20" x14ac:dyDescent="0.2">
      <c r="A343" s="421" t="str">
        <f t="shared" si="179"/>
        <v>e-Diesel - Europe - Logistics total - USD/ton</v>
      </c>
      <c r="B343" s="421"/>
      <c r="C343" s="266" t="s">
        <v>195</v>
      </c>
      <c r="D343" s="266" t="s">
        <v>805</v>
      </c>
      <c r="E343" s="266" t="s">
        <v>732</v>
      </c>
      <c r="F343" s="266" t="str">
        <f>+D343&amp;" "&amp;E343</f>
        <v>e-Diesel Logistics total</v>
      </c>
      <c r="G343" s="282" t="s">
        <v>205</v>
      </c>
      <c r="H343" s="266"/>
      <c r="I343" s="423">
        <f>I304+I322</f>
        <v>11.296613394216132</v>
      </c>
      <c r="J343" s="423">
        <f t="shared" ref="J343:T343" si="195">J304+J322</f>
        <v>11.296613394216132</v>
      </c>
      <c r="K343" s="423">
        <f t="shared" si="195"/>
        <v>11.296613394216132</v>
      </c>
      <c r="L343" s="423">
        <f t="shared" si="195"/>
        <v>11.296613394216132</v>
      </c>
      <c r="M343" s="423">
        <f t="shared" si="195"/>
        <v>11.296613394216132</v>
      </c>
      <c r="N343" s="423">
        <f t="shared" si="195"/>
        <v>11.296613394216132</v>
      </c>
      <c r="O343" s="423">
        <f t="shared" si="195"/>
        <v>11.296613394216132</v>
      </c>
      <c r="P343" s="423">
        <f t="shared" si="195"/>
        <v>11.296613394216132</v>
      </c>
      <c r="Q343" s="423">
        <f t="shared" si="195"/>
        <v>11.296613394216132</v>
      </c>
      <c r="R343" s="423">
        <f t="shared" si="195"/>
        <v>11.296613394216132</v>
      </c>
      <c r="S343" s="423">
        <f t="shared" si="195"/>
        <v>11.296613394216132</v>
      </c>
      <c r="T343" s="423">
        <f t="shared" si="195"/>
        <v>11.296613394216132</v>
      </c>
    </row>
    <row r="344" spans="1:20" x14ac:dyDescent="0.2">
      <c r="A344" s="421" t="str">
        <f t="shared" si="179"/>
        <v>e-Diesel - Asia - Logistics total - USD/ton</v>
      </c>
      <c r="B344" s="421"/>
      <c r="C344" s="266" t="s">
        <v>198</v>
      </c>
      <c r="D344" s="266" t="s">
        <v>805</v>
      </c>
      <c r="E344" s="266" t="s">
        <v>732</v>
      </c>
      <c r="F344" s="266" t="str">
        <f>+D344&amp;" "&amp;E344</f>
        <v>e-Diesel Logistics total</v>
      </c>
      <c r="G344" s="282" t="s">
        <v>205</v>
      </c>
      <c r="H344" s="266"/>
      <c r="I344" s="423">
        <f t="shared" ref="I344:T344" si="196">I305+I323</f>
        <v>11.296613394216132</v>
      </c>
      <c r="J344" s="423">
        <f t="shared" si="196"/>
        <v>11.296613394216132</v>
      </c>
      <c r="K344" s="423">
        <f t="shared" si="196"/>
        <v>11.296613394216132</v>
      </c>
      <c r="L344" s="423">
        <f t="shared" si="196"/>
        <v>11.296613394216132</v>
      </c>
      <c r="M344" s="423">
        <f t="shared" si="196"/>
        <v>11.296613394216132</v>
      </c>
      <c r="N344" s="423">
        <f t="shared" si="196"/>
        <v>11.296613394216132</v>
      </c>
      <c r="O344" s="423">
        <f t="shared" si="196"/>
        <v>11.296613394216132</v>
      </c>
      <c r="P344" s="423">
        <f t="shared" si="196"/>
        <v>11.296613394216132</v>
      </c>
      <c r="Q344" s="423">
        <f t="shared" si="196"/>
        <v>11.296613394216132</v>
      </c>
      <c r="R344" s="423">
        <f t="shared" si="196"/>
        <v>11.296613394216132</v>
      </c>
      <c r="S344" s="423">
        <f t="shared" si="196"/>
        <v>11.296613394216132</v>
      </c>
      <c r="T344" s="423">
        <f t="shared" si="196"/>
        <v>11.296613394216132</v>
      </c>
    </row>
    <row r="345" spans="1:20" x14ac:dyDescent="0.2">
      <c r="A345" s="421" t="str">
        <f t="shared" si="179"/>
        <v>e-Diesel - Middle East - Logistics total - USD/ton</v>
      </c>
      <c r="B345" s="421"/>
      <c r="C345" s="266" t="s">
        <v>197</v>
      </c>
      <c r="D345" s="266" t="s">
        <v>805</v>
      </c>
      <c r="E345" s="266" t="s">
        <v>732</v>
      </c>
      <c r="F345" s="266" t="str">
        <f>+D345&amp;" "&amp;E345</f>
        <v>e-Diesel Logistics total</v>
      </c>
      <c r="G345" s="282" t="s">
        <v>205</v>
      </c>
      <c r="H345" s="266"/>
      <c r="I345" s="423">
        <f t="shared" ref="I345:T345" si="197">I306+I324</f>
        <v>11.296613394216132</v>
      </c>
      <c r="J345" s="423">
        <f t="shared" si="197"/>
        <v>11.296613394216132</v>
      </c>
      <c r="K345" s="423">
        <f t="shared" si="197"/>
        <v>11.296613394216132</v>
      </c>
      <c r="L345" s="423">
        <f t="shared" si="197"/>
        <v>11.296613394216132</v>
      </c>
      <c r="M345" s="423">
        <f t="shared" si="197"/>
        <v>11.296613394216132</v>
      </c>
      <c r="N345" s="423">
        <f t="shared" si="197"/>
        <v>11.296613394216132</v>
      </c>
      <c r="O345" s="423">
        <f t="shared" si="197"/>
        <v>11.296613394216132</v>
      </c>
      <c r="P345" s="423">
        <f t="shared" si="197"/>
        <v>11.296613394216132</v>
      </c>
      <c r="Q345" s="423">
        <f t="shared" si="197"/>
        <v>11.296613394216132</v>
      </c>
      <c r="R345" s="423">
        <f t="shared" si="197"/>
        <v>11.296613394216132</v>
      </c>
      <c r="S345" s="423">
        <f t="shared" si="197"/>
        <v>11.296613394216132</v>
      </c>
      <c r="T345" s="423">
        <f t="shared" si="197"/>
        <v>11.296613394216132</v>
      </c>
    </row>
    <row r="346" spans="1:20" x14ac:dyDescent="0.2">
      <c r="A346" s="421" t="str">
        <f t="shared" si="179"/>
        <v>e-Diesel - Americas - Logistics total - USD/ton</v>
      </c>
      <c r="B346" s="421"/>
      <c r="C346" s="266" t="s">
        <v>199</v>
      </c>
      <c r="D346" s="266" t="s">
        <v>805</v>
      </c>
      <c r="E346" s="266" t="s">
        <v>732</v>
      </c>
      <c r="F346" s="266" t="str">
        <f>+D346&amp;" "&amp;E346</f>
        <v>e-Diesel Logistics total</v>
      </c>
      <c r="G346" s="282" t="s">
        <v>205</v>
      </c>
      <c r="H346" s="266"/>
      <c r="I346" s="423">
        <f t="shared" ref="I346:T346" si="198">I307+I325</f>
        <v>11.296613394216132</v>
      </c>
      <c r="J346" s="423">
        <f t="shared" si="198"/>
        <v>11.296613394216132</v>
      </c>
      <c r="K346" s="423">
        <f t="shared" si="198"/>
        <v>11.296613394216132</v>
      </c>
      <c r="L346" s="423">
        <f t="shared" si="198"/>
        <v>11.296613394216132</v>
      </c>
      <c r="M346" s="423">
        <f t="shared" si="198"/>
        <v>11.296613394216132</v>
      </c>
      <c r="N346" s="423">
        <f t="shared" si="198"/>
        <v>11.296613394216132</v>
      </c>
      <c r="O346" s="423">
        <f t="shared" si="198"/>
        <v>11.296613394216132</v>
      </c>
      <c r="P346" s="423">
        <f t="shared" si="198"/>
        <v>11.296613394216132</v>
      </c>
      <c r="Q346" s="423">
        <f t="shared" si="198"/>
        <v>11.296613394216132</v>
      </c>
      <c r="R346" s="423">
        <f t="shared" si="198"/>
        <v>11.296613394216132</v>
      </c>
      <c r="S346" s="423">
        <f t="shared" si="198"/>
        <v>11.296613394216132</v>
      </c>
      <c r="T346" s="423">
        <f t="shared" si="198"/>
        <v>11.296613394216132</v>
      </c>
    </row>
    <row r="347" spans="1:20" x14ac:dyDescent="0.2">
      <c r="A347" s="421" t="str">
        <f t="shared" si="179"/>
        <v>e-Diesel - Africa&amp;Other - Logistics total - USD/ton</v>
      </c>
      <c r="B347" s="421"/>
      <c r="C347" s="266" t="s">
        <v>498</v>
      </c>
      <c r="D347" s="266" t="s">
        <v>805</v>
      </c>
      <c r="E347" s="266" t="s">
        <v>732</v>
      </c>
      <c r="F347" s="266" t="str">
        <f>+D347&amp;" "&amp;E347</f>
        <v>e-Diesel Logistics total</v>
      </c>
      <c r="G347" s="282" t="s">
        <v>205</v>
      </c>
      <c r="H347" s="266"/>
      <c r="I347" s="423">
        <f t="shared" ref="I347:T347" si="199">I308+I326</f>
        <v>11.296613394216132</v>
      </c>
      <c r="J347" s="423">
        <f t="shared" si="199"/>
        <v>11.296613394216132</v>
      </c>
      <c r="K347" s="423">
        <f t="shared" si="199"/>
        <v>11.296613394216132</v>
      </c>
      <c r="L347" s="423">
        <f t="shared" si="199"/>
        <v>11.296613394216132</v>
      </c>
      <c r="M347" s="423">
        <f t="shared" si="199"/>
        <v>11.296613394216132</v>
      </c>
      <c r="N347" s="423">
        <f t="shared" si="199"/>
        <v>11.296613394216132</v>
      </c>
      <c r="O347" s="423">
        <f t="shared" si="199"/>
        <v>11.296613394216132</v>
      </c>
      <c r="P347" s="423">
        <f t="shared" si="199"/>
        <v>11.296613394216132</v>
      </c>
      <c r="Q347" s="423">
        <f t="shared" si="199"/>
        <v>11.296613394216132</v>
      </c>
      <c r="R347" s="423">
        <f t="shared" si="199"/>
        <v>11.296613394216132</v>
      </c>
      <c r="S347" s="423">
        <f t="shared" si="199"/>
        <v>11.296613394216132</v>
      </c>
      <c r="T347" s="423">
        <f t="shared" si="199"/>
        <v>11.296613394216132</v>
      </c>
    </row>
    <row r="348" spans="1:20" x14ac:dyDescent="0.2">
      <c r="A348" s="421"/>
      <c r="B348" s="421"/>
      <c r="C348" s="266"/>
      <c r="D348" s="266"/>
      <c r="E348" s="266"/>
      <c r="F348" s="266"/>
      <c r="G348" s="282"/>
      <c r="H348" s="266"/>
      <c r="I348" s="423"/>
      <c r="J348" s="423"/>
      <c r="K348" s="423"/>
      <c r="L348" s="423"/>
      <c r="M348" s="423"/>
      <c r="N348" s="423"/>
      <c r="O348" s="423"/>
      <c r="P348" s="423"/>
      <c r="Q348" s="423"/>
      <c r="R348" s="423"/>
      <c r="S348" s="423"/>
      <c r="T348" s="423"/>
    </row>
    <row r="349" spans="1:20" x14ac:dyDescent="0.2">
      <c r="A349" s="421" t="str">
        <f>_xlfn.TEXTJOIN(keydelim,TRUE,D349,C349,E349,G349)</f>
        <v>Bio-oils - Europe - Logistics total - USD/ton</v>
      </c>
      <c r="B349" s="421"/>
      <c r="C349" s="266" t="s">
        <v>195</v>
      </c>
      <c r="D349" s="266" t="s">
        <v>806</v>
      </c>
      <c r="E349" s="266" t="s">
        <v>732</v>
      </c>
      <c r="F349" s="266" t="str">
        <f>+D349&amp;" "&amp;E349</f>
        <v>Bio-oils Logistics total</v>
      </c>
      <c r="G349" s="282" t="s">
        <v>205</v>
      </c>
      <c r="H349" s="266"/>
      <c r="I349" s="423">
        <f>I310+I322</f>
        <v>15.862823439878232</v>
      </c>
      <c r="J349" s="423">
        <f t="shared" ref="J349:T349" si="200">J310+J322</f>
        <v>15.862823439878232</v>
      </c>
      <c r="K349" s="423">
        <f t="shared" si="200"/>
        <v>15.862823439878232</v>
      </c>
      <c r="L349" s="423">
        <f t="shared" si="200"/>
        <v>15.862823439878232</v>
      </c>
      <c r="M349" s="423">
        <f t="shared" si="200"/>
        <v>15.862823439878232</v>
      </c>
      <c r="N349" s="423">
        <f t="shared" si="200"/>
        <v>15.862823439878232</v>
      </c>
      <c r="O349" s="423">
        <f t="shared" si="200"/>
        <v>15.862823439878232</v>
      </c>
      <c r="P349" s="423">
        <f t="shared" si="200"/>
        <v>15.862823439878232</v>
      </c>
      <c r="Q349" s="423">
        <f t="shared" si="200"/>
        <v>15.862823439878232</v>
      </c>
      <c r="R349" s="423">
        <f t="shared" si="200"/>
        <v>15.862823439878232</v>
      </c>
      <c r="S349" s="423">
        <f t="shared" si="200"/>
        <v>15.862823439878232</v>
      </c>
      <c r="T349" s="423">
        <f t="shared" si="200"/>
        <v>15.862823439878232</v>
      </c>
    </row>
    <row r="350" spans="1:20" x14ac:dyDescent="0.2">
      <c r="A350" s="421" t="str">
        <f>_xlfn.TEXTJOIN(keydelim,TRUE,D350,C350,E350,G350)</f>
        <v>Bio-oils - Asia - Logistics total - USD/ton</v>
      </c>
      <c r="B350" s="421"/>
      <c r="C350" s="266" t="s">
        <v>198</v>
      </c>
      <c r="D350" s="266" t="s">
        <v>806</v>
      </c>
      <c r="E350" s="266" t="s">
        <v>732</v>
      </c>
      <c r="F350" s="266" t="str">
        <f>+D350&amp;" "&amp;E350</f>
        <v>Bio-oils Logistics total</v>
      </c>
      <c r="G350" s="282" t="s">
        <v>205</v>
      </c>
      <c r="H350" s="266"/>
      <c r="I350" s="423">
        <f t="shared" ref="I350:T350" si="201">I311+I323</f>
        <v>15.862823439878232</v>
      </c>
      <c r="J350" s="423">
        <f t="shared" si="201"/>
        <v>15.862823439878232</v>
      </c>
      <c r="K350" s="423">
        <f t="shared" si="201"/>
        <v>15.862823439878232</v>
      </c>
      <c r="L350" s="423">
        <f t="shared" si="201"/>
        <v>15.862823439878232</v>
      </c>
      <c r="M350" s="423">
        <f t="shared" si="201"/>
        <v>15.862823439878232</v>
      </c>
      <c r="N350" s="423">
        <f t="shared" si="201"/>
        <v>15.862823439878232</v>
      </c>
      <c r="O350" s="423">
        <f t="shared" si="201"/>
        <v>15.862823439878232</v>
      </c>
      <c r="P350" s="423">
        <f t="shared" si="201"/>
        <v>15.862823439878232</v>
      </c>
      <c r="Q350" s="423">
        <f t="shared" si="201"/>
        <v>15.862823439878232</v>
      </c>
      <c r="R350" s="423">
        <f t="shared" si="201"/>
        <v>15.862823439878232</v>
      </c>
      <c r="S350" s="423">
        <f t="shared" si="201"/>
        <v>15.862823439878232</v>
      </c>
      <c r="T350" s="423">
        <f t="shared" si="201"/>
        <v>15.862823439878232</v>
      </c>
    </row>
    <row r="351" spans="1:20" x14ac:dyDescent="0.2">
      <c r="A351" s="421" t="str">
        <f>_xlfn.TEXTJOIN(keydelim,TRUE,D351,C351,E351,G351)</f>
        <v>Bio-oils - Middle East - Logistics total - USD/ton</v>
      </c>
      <c r="B351" s="421"/>
      <c r="C351" s="266" t="s">
        <v>197</v>
      </c>
      <c r="D351" s="266" t="s">
        <v>806</v>
      </c>
      <c r="E351" s="266" t="s">
        <v>732</v>
      </c>
      <c r="F351" s="266" t="str">
        <f>+D351&amp;" "&amp;E351</f>
        <v>Bio-oils Logistics total</v>
      </c>
      <c r="G351" s="282" t="s">
        <v>205</v>
      </c>
      <c r="H351" s="266"/>
      <c r="I351" s="423">
        <f t="shared" ref="I351:T351" si="202">I312+I324</f>
        <v>15.862823439878232</v>
      </c>
      <c r="J351" s="423">
        <f t="shared" si="202"/>
        <v>15.862823439878232</v>
      </c>
      <c r="K351" s="423">
        <f t="shared" si="202"/>
        <v>15.862823439878232</v>
      </c>
      <c r="L351" s="423">
        <f t="shared" si="202"/>
        <v>15.862823439878232</v>
      </c>
      <c r="M351" s="423">
        <f t="shared" si="202"/>
        <v>15.862823439878232</v>
      </c>
      <c r="N351" s="423">
        <f t="shared" si="202"/>
        <v>15.862823439878232</v>
      </c>
      <c r="O351" s="423">
        <f t="shared" si="202"/>
        <v>15.862823439878232</v>
      </c>
      <c r="P351" s="423">
        <f t="shared" si="202"/>
        <v>15.862823439878232</v>
      </c>
      <c r="Q351" s="423">
        <f t="shared" si="202"/>
        <v>15.862823439878232</v>
      </c>
      <c r="R351" s="423">
        <f t="shared" si="202"/>
        <v>15.862823439878232</v>
      </c>
      <c r="S351" s="423">
        <f t="shared" si="202"/>
        <v>15.862823439878232</v>
      </c>
      <c r="T351" s="423">
        <f t="shared" si="202"/>
        <v>15.862823439878232</v>
      </c>
    </row>
    <row r="352" spans="1:20" x14ac:dyDescent="0.2">
      <c r="A352" s="421" t="str">
        <f>_xlfn.TEXTJOIN(keydelim,TRUE,D352,C352,E352,G352)</f>
        <v>Bio-oils - Americas - Logistics total - USD/ton</v>
      </c>
      <c r="B352" s="421"/>
      <c r="C352" s="266" t="s">
        <v>199</v>
      </c>
      <c r="D352" s="266" t="s">
        <v>806</v>
      </c>
      <c r="E352" s="266" t="s">
        <v>732</v>
      </c>
      <c r="F352" s="266" t="str">
        <f>+D352&amp;" "&amp;E352</f>
        <v>Bio-oils Logistics total</v>
      </c>
      <c r="G352" s="282" t="s">
        <v>205</v>
      </c>
      <c r="H352" s="266"/>
      <c r="I352" s="423">
        <f t="shared" ref="I352:T352" si="203">I313+I325</f>
        <v>15.862823439878232</v>
      </c>
      <c r="J352" s="423">
        <f t="shared" si="203"/>
        <v>15.862823439878232</v>
      </c>
      <c r="K352" s="423">
        <f t="shared" si="203"/>
        <v>15.862823439878232</v>
      </c>
      <c r="L352" s="423">
        <f t="shared" si="203"/>
        <v>15.862823439878232</v>
      </c>
      <c r="M352" s="423">
        <f t="shared" si="203"/>
        <v>15.862823439878232</v>
      </c>
      <c r="N352" s="423">
        <f t="shared" si="203"/>
        <v>15.862823439878232</v>
      </c>
      <c r="O352" s="423">
        <f t="shared" si="203"/>
        <v>15.862823439878232</v>
      </c>
      <c r="P352" s="423">
        <f t="shared" si="203"/>
        <v>15.862823439878232</v>
      </c>
      <c r="Q352" s="423">
        <f t="shared" si="203"/>
        <v>15.862823439878232</v>
      </c>
      <c r="R352" s="423">
        <f t="shared" si="203"/>
        <v>15.862823439878232</v>
      </c>
      <c r="S352" s="423">
        <f t="shared" si="203"/>
        <v>15.862823439878232</v>
      </c>
      <c r="T352" s="423">
        <f t="shared" si="203"/>
        <v>15.862823439878232</v>
      </c>
    </row>
    <row r="353" spans="1:20" x14ac:dyDescent="0.2">
      <c r="A353" s="421" t="str">
        <f>_xlfn.TEXTJOIN(keydelim,TRUE,D353,C353,E353,G353)</f>
        <v>Bio-oils - Africa&amp;Other - Logistics total - USD/ton</v>
      </c>
      <c r="B353" s="421"/>
      <c r="C353" s="266" t="s">
        <v>498</v>
      </c>
      <c r="D353" s="266" t="s">
        <v>806</v>
      </c>
      <c r="E353" s="266" t="s">
        <v>732</v>
      </c>
      <c r="F353" s="266" t="str">
        <f>+D353&amp;" "&amp;E353</f>
        <v>Bio-oils Logistics total</v>
      </c>
      <c r="G353" s="282" t="s">
        <v>205</v>
      </c>
      <c r="H353" s="266"/>
      <c r="I353" s="423">
        <f t="shared" ref="I353:T353" si="204">I314+I326</f>
        <v>15.862823439878232</v>
      </c>
      <c r="J353" s="423">
        <f t="shared" si="204"/>
        <v>15.862823439878232</v>
      </c>
      <c r="K353" s="423">
        <f t="shared" si="204"/>
        <v>15.862823439878232</v>
      </c>
      <c r="L353" s="423">
        <f t="shared" si="204"/>
        <v>15.862823439878232</v>
      </c>
      <c r="M353" s="423">
        <f t="shared" si="204"/>
        <v>15.862823439878232</v>
      </c>
      <c r="N353" s="423">
        <f t="shared" si="204"/>
        <v>15.862823439878232</v>
      </c>
      <c r="O353" s="423">
        <f t="shared" si="204"/>
        <v>15.862823439878232</v>
      </c>
      <c r="P353" s="423">
        <f t="shared" si="204"/>
        <v>15.862823439878232</v>
      </c>
      <c r="Q353" s="423">
        <f t="shared" si="204"/>
        <v>15.862823439878232</v>
      </c>
      <c r="R353" s="423">
        <f t="shared" si="204"/>
        <v>15.862823439878232</v>
      </c>
      <c r="S353" s="423">
        <f t="shared" si="204"/>
        <v>15.862823439878232</v>
      </c>
      <c r="T353" s="423">
        <f t="shared" si="204"/>
        <v>15.862823439878232</v>
      </c>
    </row>
    <row r="354" spans="1:20" x14ac:dyDescent="0.2">
      <c r="A354" s="421"/>
      <c r="B354" s="421"/>
      <c r="I354" s="95"/>
      <c r="J354" s="95"/>
      <c r="K354" s="95"/>
      <c r="L354" s="95"/>
      <c r="M354" s="95"/>
      <c r="N354" s="95"/>
      <c r="O354" s="95"/>
      <c r="P354" s="95"/>
      <c r="Q354" s="95"/>
      <c r="R354" s="95"/>
      <c r="S354" s="95"/>
      <c r="T354" s="95"/>
    </row>
    <row r="355" spans="1:20" x14ac:dyDescent="0.2">
      <c r="A355" s="418" t="s">
        <v>534</v>
      </c>
      <c r="B355" s="31"/>
      <c r="C355" s="418" t="str">
        <f>+A355</f>
        <v>LPG</v>
      </c>
      <c r="D355" s="419"/>
      <c r="E355" s="419"/>
      <c r="F355" s="419"/>
      <c r="G355" s="420"/>
      <c r="H355" s="419"/>
      <c r="I355" s="419"/>
      <c r="J355" s="419"/>
      <c r="K355" s="419"/>
      <c r="L355" s="419"/>
      <c r="M355" s="419"/>
      <c r="N355" s="419"/>
      <c r="O355" s="419"/>
      <c r="P355" s="419"/>
      <c r="Q355" s="419"/>
      <c r="R355" s="419"/>
      <c r="S355" s="419"/>
      <c r="T355" s="419"/>
    </row>
    <row r="356" spans="1:20" x14ac:dyDescent="0.2">
      <c r="A356" s="421" t="str">
        <f>_xlfn.TEXTJOIN(keydelim,TRUE,D356,C356,E356,G356)</f>
        <v>LPG - Europe - Logistics total - USD/ton</v>
      </c>
      <c r="B356" s="421"/>
      <c r="C356" s="266" t="s">
        <v>195</v>
      </c>
      <c r="D356" s="266" t="s">
        <v>534</v>
      </c>
      <c r="E356" s="266" t="s">
        <v>732</v>
      </c>
      <c r="F356" s="266" t="str">
        <f>+D356&amp;" "&amp;E356</f>
        <v>LPG Logistics total</v>
      </c>
      <c r="G356" s="282" t="s">
        <v>205</v>
      </c>
      <c r="H356" s="266"/>
      <c r="I356" s="423">
        <v>0</v>
      </c>
      <c r="J356" s="423">
        <v>0</v>
      </c>
      <c r="K356" s="423">
        <v>0</v>
      </c>
      <c r="L356" s="423">
        <v>0</v>
      </c>
      <c r="M356" s="423">
        <v>0</v>
      </c>
      <c r="N356" s="423">
        <v>0</v>
      </c>
      <c r="O356" s="423">
        <v>0</v>
      </c>
      <c r="P356" s="423">
        <v>0</v>
      </c>
      <c r="Q356" s="423">
        <v>0</v>
      </c>
      <c r="R356" s="423">
        <v>0</v>
      </c>
      <c r="S356" s="423">
        <v>0</v>
      </c>
      <c r="T356" s="423">
        <v>0</v>
      </c>
    </row>
    <row r="357" spans="1:20" x14ac:dyDescent="0.2">
      <c r="A357" s="421" t="str">
        <f>_xlfn.TEXTJOIN(keydelim,TRUE,D357,C357,E357,G357)</f>
        <v>LPG - Asia - Logistics total - USD/ton</v>
      </c>
      <c r="B357" s="421"/>
      <c r="C357" s="266" t="s">
        <v>198</v>
      </c>
      <c r="D357" s="266" t="s">
        <v>534</v>
      </c>
      <c r="E357" s="266" t="s">
        <v>732</v>
      </c>
      <c r="F357" s="266" t="str">
        <f>+D357&amp;" "&amp;E357</f>
        <v>LPG Logistics total</v>
      </c>
      <c r="G357" s="282" t="s">
        <v>205</v>
      </c>
      <c r="H357" s="266"/>
      <c r="I357" s="423">
        <v>0</v>
      </c>
      <c r="J357" s="423">
        <v>0</v>
      </c>
      <c r="K357" s="423">
        <v>0</v>
      </c>
      <c r="L357" s="423">
        <v>0</v>
      </c>
      <c r="M357" s="423">
        <v>0</v>
      </c>
      <c r="N357" s="423">
        <v>0</v>
      </c>
      <c r="O357" s="423">
        <v>0</v>
      </c>
      <c r="P357" s="423">
        <v>0</v>
      </c>
      <c r="Q357" s="423">
        <v>0</v>
      </c>
      <c r="R357" s="423">
        <v>0</v>
      </c>
      <c r="S357" s="423">
        <v>0</v>
      </c>
      <c r="T357" s="423">
        <v>0</v>
      </c>
    </row>
    <row r="358" spans="1:20" x14ac:dyDescent="0.2">
      <c r="A358" s="421" t="str">
        <f>_xlfn.TEXTJOIN(keydelim,TRUE,D358,C358,E358,G358)</f>
        <v>LPG - Middle East - Logistics total - USD/ton</v>
      </c>
      <c r="B358" s="421"/>
      <c r="C358" s="266" t="s">
        <v>197</v>
      </c>
      <c r="D358" s="266" t="s">
        <v>534</v>
      </c>
      <c r="E358" s="266" t="s">
        <v>732</v>
      </c>
      <c r="F358" s="266" t="str">
        <f>+D358&amp;" "&amp;E358</f>
        <v>LPG Logistics total</v>
      </c>
      <c r="G358" s="282" t="s">
        <v>205</v>
      </c>
      <c r="H358" s="266"/>
      <c r="I358" s="423">
        <v>0</v>
      </c>
      <c r="J358" s="423">
        <v>0</v>
      </c>
      <c r="K358" s="423">
        <v>0</v>
      </c>
      <c r="L358" s="423">
        <v>0</v>
      </c>
      <c r="M358" s="423">
        <v>0</v>
      </c>
      <c r="N358" s="423">
        <v>0</v>
      </c>
      <c r="O358" s="423">
        <v>0</v>
      </c>
      <c r="P358" s="423">
        <v>0</v>
      </c>
      <c r="Q358" s="423">
        <v>0</v>
      </c>
      <c r="R358" s="423">
        <v>0</v>
      </c>
      <c r="S358" s="423">
        <v>0</v>
      </c>
      <c r="T358" s="423">
        <v>0</v>
      </c>
    </row>
    <row r="359" spans="1:20" x14ac:dyDescent="0.2">
      <c r="A359" s="421" t="str">
        <f>_xlfn.TEXTJOIN(keydelim,TRUE,D359,C359,E359,G359)</f>
        <v>LPG - Americas - Logistics total - USD/ton</v>
      </c>
      <c r="B359" s="421"/>
      <c r="C359" s="266" t="s">
        <v>199</v>
      </c>
      <c r="D359" s="266" t="s">
        <v>534</v>
      </c>
      <c r="E359" s="266" t="s">
        <v>732</v>
      </c>
      <c r="F359" s="266" t="str">
        <f>+D359&amp;" "&amp;E359</f>
        <v>LPG Logistics total</v>
      </c>
      <c r="G359" s="282" t="s">
        <v>205</v>
      </c>
      <c r="H359" s="266"/>
      <c r="I359" s="423">
        <v>0</v>
      </c>
      <c r="J359" s="423">
        <v>0</v>
      </c>
      <c r="K359" s="423">
        <v>0</v>
      </c>
      <c r="L359" s="423">
        <v>0</v>
      </c>
      <c r="M359" s="423">
        <v>0</v>
      </c>
      <c r="N359" s="423">
        <v>0</v>
      </c>
      <c r="O359" s="423">
        <v>0</v>
      </c>
      <c r="P359" s="423">
        <v>0</v>
      </c>
      <c r="Q359" s="423">
        <v>0</v>
      </c>
      <c r="R359" s="423">
        <v>0</v>
      </c>
      <c r="S359" s="423">
        <v>0</v>
      </c>
      <c r="T359" s="423">
        <v>0</v>
      </c>
    </row>
    <row r="360" spans="1:20" x14ac:dyDescent="0.2">
      <c r="A360" s="421" t="str">
        <f>_xlfn.TEXTJOIN(keydelim,TRUE,D360,C360,E360,G360)</f>
        <v>LPG - Africa&amp;Other - Logistics total - USD/ton</v>
      </c>
      <c r="B360" s="421"/>
      <c r="C360" s="266" t="s">
        <v>498</v>
      </c>
      <c r="D360" s="266" t="s">
        <v>534</v>
      </c>
      <c r="E360" s="266" t="s">
        <v>732</v>
      </c>
      <c r="F360" s="266" t="str">
        <f>+D360&amp;" "&amp;E360</f>
        <v>LPG Logistics total</v>
      </c>
      <c r="G360" s="282" t="s">
        <v>205</v>
      </c>
      <c r="H360" s="266"/>
      <c r="I360" s="423">
        <v>0</v>
      </c>
      <c r="J360" s="423">
        <v>0</v>
      </c>
      <c r="K360" s="423">
        <v>0</v>
      </c>
      <c r="L360" s="423">
        <v>0</v>
      </c>
      <c r="M360" s="423">
        <v>0</v>
      </c>
      <c r="N360" s="423">
        <v>0</v>
      </c>
      <c r="O360" s="423">
        <v>0</v>
      </c>
      <c r="P360" s="423">
        <v>0</v>
      </c>
      <c r="Q360" s="423">
        <v>0</v>
      </c>
      <c r="R360" s="423">
        <v>0</v>
      </c>
      <c r="S360" s="423">
        <v>0</v>
      </c>
      <c r="T360" s="423">
        <v>0</v>
      </c>
    </row>
    <row r="394" spans="4:4" x14ac:dyDescent="0.2">
      <c r="D394" s="266"/>
    </row>
    <row r="395" spans="4:4" x14ac:dyDescent="0.2">
      <c r="D395" s="266"/>
    </row>
    <row r="396" spans="4:4" x14ac:dyDescent="0.2">
      <c r="D396" s="266"/>
    </row>
    <row r="397" spans="4:4" x14ac:dyDescent="0.2">
      <c r="D397" s="266"/>
    </row>
    <row r="398" spans="4:4" x14ac:dyDescent="0.2">
      <c r="D398" s="266"/>
    </row>
    <row r="399" spans="4:4" x14ac:dyDescent="0.2">
      <c r="D399" s="266"/>
    </row>
    <row r="400" spans="4:4" x14ac:dyDescent="0.2">
      <c r="D400" s="266"/>
    </row>
    <row r="401" spans="4:4" x14ac:dyDescent="0.2">
      <c r="D401" s="266"/>
    </row>
    <row r="402" spans="4:4" x14ac:dyDescent="0.2">
      <c r="D402" s="266"/>
    </row>
    <row r="403" spans="4:4" x14ac:dyDescent="0.2">
      <c r="D403" s="266"/>
    </row>
    <row r="404" spans="4:4" x14ac:dyDescent="0.2">
      <c r="D404" s="266"/>
    </row>
    <row r="406" spans="4:4" x14ac:dyDescent="0.2">
      <c r="D406" s="419"/>
    </row>
    <row r="407" spans="4:4" x14ac:dyDescent="0.2">
      <c r="D407" s="15"/>
    </row>
    <row r="415" spans="4:4" x14ac:dyDescent="0.2">
      <c r="D415" s="15"/>
    </row>
    <row r="446" spans="4:4" x14ac:dyDescent="0.2">
      <c r="D446" s="266"/>
    </row>
    <row r="447" spans="4:4" x14ac:dyDescent="0.2">
      <c r="D447" s="266"/>
    </row>
    <row r="448" spans="4:4" x14ac:dyDescent="0.2">
      <c r="D448" s="266"/>
    </row>
    <row r="449" spans="4:4" x14ac:dyDescent="0.2">
      <c r="D449" s="266"/>
    </row>
    <row r="450" spans="4:4" x14ac:dyDescent="0.2">
      <c r="D450" s="266"/>
    </row>
    <row r="452" spans="4:4" x14ac:dyDescent="0.2">
      <c r="D452" s="419"/>
    </row>
    <row r="453" spans="4:4" x14ac:dyDescent="0.2">
      <c r="D453" s="15"/>
    </row>
    <row r="461" spans="4:4" x14ac:dyDescent="0.2">
      <c r="D461" s="15"/>
    </row>
    <row r="474" spans="4:4" x14ac:dyDescent="0.2">
      <c r="D474" s="15"/>
    </row>
    <row r="475" spans="4:4" x14ac:dyDescent="0.2">
      <c r="D475" s="15"/>
    </row>
    <row r="476" spans="4:4" x14ac:dyDescent="0.2">
      <c r="D476" s="15"/>
    </row>
    <row r="524" spans="4:4" x14ac:dyDescent="0.2">
      <c r="D524" s="266"/>
    </row>
    <row r="525" spans="4:4" x14ac:dyDescent="0.2">
      <c r="D525" s="266"/>
    </row>
    <row r="526" spans="4:4" x14ac:dyDescent="0.2">
      <c r="D526" s="266"/>
    </row>
    <row r="527" spans="4:4" x14ac:dyDescent="0.2">
      <c r="D527" s="266"/>
    </row>
    <row r="528" spans="4:4" x14ac:dyDescent="0.2">
      <c r="D528" s="266"/>
    </row>
    <row r="529" spans="4:4" x14ac:dyDescent="0.2">
      <c r="D529" s="266"/>
    </row>
    <row r="530" spans="4:4" x14ac:dyDescent="0.2">
      <c r="D530" s="266"/>
    </row>
    <row r="531" spans="4:4" x14ac:dyDescent="0.2">
      <c r="D531" s="266"/>
    </row>
    <row r="532" spans="4:4" x14ac:dyDescent="0.2">
      <c r="D532" s="266"/>
    </row>
    <row r="533" spans="4:4" x14ac:dyDescent="0.2">
      <c r="D533" s="266"/>
    </row>
    <row r="534" spans="4:4" x14ac:dyDescent="0.2">
      <c r="D534" s="266"/>
    </row>
    <row r="535" spans="4:4" x14ac:dyDescent="0.2">
      <c r="D535" s="266"/>
    </row>
    <row r="536" spans="4:4" x14ac:dyDescent="0.2">
      <c r="D536" s="266"/>
    </row>
    <row r="537" spans="4:4" x14ac:dyDescent="0.2">
      <c r="D537" s="266"/>
    </row>
    <row r="538" spans="4:4" x14ac:dyDescent="0.2">
      <c r="D538" s="266"/>
    </row>
    <row r="539" spans="4:4" x14ac:dyDescent="0.2">
      <c r="D539" s="266"/>
    </row>
    <row r="540" spans="4:4" x14ac:dyDescent="0.2">
      <c r="D540" s="266"/>
    </row>
    <row r="542" spans="4:4" x14ac:dyDescent="0.2">
      <c r="D542" s="419"/>
    </row>
    <row r="577" spans="4:4" x14ac:dyDescent="0.2">
      <c r="D577" s="266"/>
    </row>
    <row r="578" spans="4:4" x14ac:dyDescent="0.2">
      <c r="D578" s="266"/>
    </row>
    <row r="579" spans="4:4" x14ac:dyDescent="0.2">
      <c r="D579" s="266"/>
    </row>
    <row r="580" spans="4:4" x14ac:dyDescent="0.2">
      <c r="D580" s="266"/>
    </row>
    <row r="581" spans="4:4" x14ac:dyDescent="0.2">
      <c r="D581" s="266"/>
    </row>
    <row r="582" spans="4:4" x14ac:dyDescent="0.2">
      <c r="D582" s="266"/>
    </row>
    <row r="583" spans="4:4" x14ac:dyDescent="0.2">
      <c r="D583" s="266"/>
    </row>
    <row r="584" spans="4:4" x14ac:dyDescent="0.2">
      <c r="D584" s="266"/>
    </row>
    <row r="585" spans="4:4" x14ac:dyDescent="0.2">
      <c r="D585" s="266"/>
    </row>
    <row r="586" spans="4:4" x14ac:dyDescent="0.2">
      <c r="D586" s="266"/>
    </row>
    <row r="587" spans="4:4" x14ac:dyDescent="0.2">
      <c r="D587" s="266"/>
    </row>
    <row r="589" spans="4:4" x14ac:dyDescent="0.2">
      <c r="D589" s="419"/>
    </row>
    <row r="590" spans="4:4" x14ac:dyDescent="0.2">
      <c r="D590" s="15"/>
    </row>
    <row r="598" spans="4:4" x14ac:dyDescent="0.2">
      <c r="D598" s="15"/>
    </row>
    <row r="629" spans="4:4" x14ac:dyDescent="0.2">
      <c r="D629" s="266"/>
    </row>
    <row r="630" spans="4:4" x14ac:dyDescent="0.2">
      <c r="D630" s="266"/>
    </row>
    <row r="631" spans="4:4" x14ac:dyDescent="0.2">
      <c r="D631" s="266"/>
    </row>
    <row r="632" spans="4:4" x14ac:dyDescent="0.2">
      <c r="D632" s="266"/>
    </row>
    <row r="633" spans="4:4" x14ac:dyDescent="0.2">
      <c r="D633" s="266"/>
    </row>
    <row r="635" spans="4:4" x14ac:dyDescent="0.2">
      <c r="D635" s="419"/>
    </row>
    <row r="636" spans="4:4" x14ac:dyDescent="0.2">
      <c r="D636" s="15"/>
    </row>
    <row r="644" spans="4:4" x14ac:dyDescent="0.2">
      <c r="D644" s="15"/>
    </row>
    <row r="657" spans="4:4" x14ac:dyDescent="0.2">
      <c r="D657" s="15"/>
    </row>
    <row r="658" spans="4:4" x14ac:dyDescent="0.2">
      <c r="D658" s="15"/>
    </row>
    <row r="659" spans="4:4" x14ac:dyDescent="0.2">
      <c r="D659" s="15"/>
    </row>
    <row r="707" spans="4:4" x14ac:dyDescent="0.2">
      <c r="D707" s="266"/>
    </row>
    <row r="708" spans="4:4" x14ac:dyDescent="0.2">
      <c r="D708" s="266"/>
    </row>
    <row r="709" spans="4:4" x14ac:dyDescent="0.2">
      <c r="D709" s="266"/>
    </row>
    <row r="710" spans="4:4" x14ac:dyDescent="0.2">
      <c r="D710" s="266"/>
    </row>
    <row r="711" spans="4:4" x14ac:dyDescent="0.2">
      <c r="D711" s="266"/>
    </row>
    <row r="712" spans="4:4" x14ac:dyDescent="0.2">
      <c r="D712" s="266"/>
    </row>
    <row r="713" spans="4:4" x14ac:dyDescent="0.2">
      <c r="D713" s="266"/>
    </row>
    <row r="714" spans="4:4" x14ac:dyDescent="0.2">
      <c r="D714" s="266"/>
    </row>
    <row r="715" spans="4:4" x14ac:dyDescent="0.2">
      <c r="D715" s="266"/>
    </row>
    <row r="716" spans="4:4" x14ac:dyDescent="0.2">
      <c r="D716" s="266"/>
    </row>
    <row r="717" spans="4:4" x14ac:dyDescent="0.2">
      <c r="D717" s="266"/>
    </row>
    <row r="718" spans="4:4" x14ac:dyDescent="0.2">
      <c r="D718" s="266"/>
    </row>
    <row r="719" spans="4:4" x14ac:dyDescent="0.2">
      <c r="D719" s="266"/>
    </row>
    <row r="720" spans="4:4" x14ac:dyDescent="0.2">
      <c r="D720" s="266"/>
    </row>
    <row r="721" spans="4:4" x14ac:dyDescent="0.2">
      <c r="D721" s="266"/>
    </row>
    <row r="722" spans="4:4" x14ac:dyDescent="0.2">
      <c r="D722" s="266"/>
    </row>
    <row r="723" spans="4:4" x14ac:dyDescent="0.2">
      <c r="D723" s="266"/>
    </row>
    <row r="725" spans="4:4" x14ac:dyDescent="0.2">
      <c r="D725" s="419"/>
    </row>
  </sheetData>
  <pageMargins left="0.7" right="0.7" top="0.75" bottom="0.75" header="0.3" footer="0.3"/>
  <pageSetup paperSize="9" orientation="portrait" r:id="rId1"/>
  <headerFooter>
    <oddFooter>&amp;C_x000D_&amp;1#&amp;"Calibri"&amp;10&amp;K000000 Business External</oddFooter>
  </headerFooter>
  <ignoredErrors>
    <ignoredError sqref="I137 J157:N157 I86"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C54DB-C0DE-46A5-BEE3-083952B7E1D3}">
  <sheetPr codeName="Sheet30">
    <tabColor theme="2"/>
  </sheetPr>
  <dimension ref="A1:AF930"/>
  <sheetViews>
    <sheetView showGridLines="0" workbookViewId="0"/>
  </sheetViews>
  <sheetFormatPr defaultColWidth="0" defaultRowHeight="12.75" zeroHeight="1" x14ac:dyDescent="0.2"/>
  <cols>
    <col min="1" max="1" width="4.42578125" customWidth="1"/>
    <col min="2" max="2" width="55.42578125" customWidth="1"/>
    <col min="3" max="3" width="13.85546875" customWidth="1"/>
    <col min="4" max="4" width="45.140625" customWidth="1"/>
    <col min="5" max="5" width="34.42578125" customWidth="1"/>
    <col min="6" max="7" width="10.140625" customWidth="1"/>
    <col min="8" max="8" width="22.42578125" customWidth="1"/>
    <col min="9" max="10" width="12.42578125" customWidth="1"/>
    <col min="11" max="19" width="12.5703125" customWidth="1"/>
    <col min="20" max="20" width="9" customWidth="1"/>
    <col min="21" max="21" width="9" hidden="1" customWidth="1"/>
    <col min="22" max="32" width="0" hidden="1" customWidth="1"/>
    <col min="33" max="16384" width="11.5703125" hidden="1"/>
  </cols>
  <sheetData>
    <row r="1" spans="1:21" s="28" customFormat="1" ht="38.1" customHeight="1" x14ac:dyDescent="0.2">
      <c r="E1" s="28" t="str" cm="1">
        <f t="array" aca="1" ref="E1" ca="1">MID(CELL("filename",A1),FIND("]",CELL("filename",A1))+1,255)</f>
        <v>Fuel Cost - External</v>
      </c>
    </row>
    <row r="2" spans="1:21" ht="15" x14ac:dyDescent="0.25">
      <c r="H2" s="30" t="s">
        <v>808</v>
      </c>
      <c r="T2" s="15"/>
    </row>
    <row r="3" spans="1:21" s="442" customFormat="1" ht="15" x14ac:dyDescent="0.25">
      <c r="A3" s="440"/>
      <c r="B3" s="440" t="s">
        <v>618</v>
      </c>
      <c r="C3" s="441" t="s">
        <v>473</v>
      </c>
      <c r="D3" s="56" t="s">
        <v>49</v>
      </c>
      <c r="E3" s="441" t="s">
        <v>208</v>
      </c>
      <c r="F3" s="441" t="s">
        <v>86</v>
      </c>
      <c r="G3" s="56"/>
      <c r="H3" s="67">
        <v>2020</v>
      </c>
      <c r="I3" s="67">
        <v>2025</v>
      </c>
      <c r="J3" s="67">
        <v>2030</v>
      </c>
      <c r="K3" s="67">
        <v>2035</v>
      </c>
      <c r="L3" s="67">
        <v>2040</v>
      </c>
      <c r="M3" s="67">
        <v>2045</v>
      </c>
      <c r="N3" s="67">
        <v>2050</v>
      </c>
      <c r="O3" s="441">
        <v>2055</v>
      </c>
      <c r="P3" s="441">
        <v>2060</v>
      </c>
      <c r="Q3" s="441">
        <v>2065</v>
      </c>
      <c r="R3" s="441">
        <v>2070</v>
      </c>
      <c r="S3" s="441">
        <v>2075</v>
      </c>
      <c r="T3" s="15"/>
    </row>
    <row r="4" spans="1:21" x14ac:dyDescent="0.2">
      <c r="T4" s="15"/>
    </row>
    <row r="5" spans="1:21" x14ac:dyDescent="0.2">
      <c r="T5" s="15"/>
    </row>
    <row r="6" spans="1:21" x14ac:dyDescent="0.2">
      <c r="T6" s="15"/>
    </row>
    <row r="7" spans="1:21" s="443" customFormat="1" ht="15" x14ac:dyDescent="0.25">
      <c r="B7" s="443" t="s">
        <v>809</v>
      </c>
      <c r="D7" s="443" t="s">
        <v>49</v>
      </c>
      <c r="T7" s="15"/>
      <c r="U7" s="444"/>
    </row>
    <row r="8" spans="1:21" x14ac:dyDescent="0.2">
      <c r="B8" s="421" t="str">
        <f>_xlfn.TEXTJOIN(keydelim,TRUE,D8,C8,E8,F8)</f>
        <v>Crude oil - Global - Path we are on - USD/bbl</v>
      </c>
      <c r="C8" t="s">
        <v>109</v>
      </c>
      <c r="D8" t="s">
        <v>809</v>
      </c>
      <c r="E8" t="s">
        <v>95</v>
      </c>
      <c r="F8" t="s">
        <v>203</v>
      </c>
      <c r="H8" s="99">
        <f>+'Fuel Cost - Oil Deep-dive'!H9</f>
        <v>115</v>
      </c>
      <c r="I8" s="99">
        <f>+'Fuel Cost - Oil Deep-dive'!I9</f>
        <v>82.5</v>
      </c>
      <c r="J8" s="99">
        <f>+'Fuel Cost - Oil Deep-dive'!J9</f>
        <v>72</v>
      </c>
      <c r="K8" s="99">
        <f>+'Fuel Cost - Oil Deep-dive'!K9</f>
        <v>72</v>
      </c>
      <c r="L8" s="99">
        <f>+'Fuel Cost - Oil Deep-dive'!L9</f>
        <v>72</v>
      </c>
      <c r="M8" s="99">
        <f>+'Fuel Cost - Oil Deep-dive'!M9</f>
        <v>72</v>
      </c>
      <c r="N8" s="99">
        <f>+'Fuel Cost - Oil Deep-dive'!N9</f>
        <v>72</v>
      </c>
      <c r="O8" s="73">
        <f t="shared" ref="O8:S9" si="0">N8</f>
        <v>72</v>
      </c>
      <c r="P8" s="73">
        <f t="shared" si="0"/>
        <v>72</v>
      </c>
      <c r="Q8" s="73">
        <f t="shared" si="0"/>
        <v>72</v>
      </c>
      <c r="R8" s="73">
        <f t="shared" si="0"/>
        <v>72</v>
      </c>
      <c r="S8" s="73">
        <f t="shared" si="0"/>
        <v>72</v>
      </c>
      <c r="T8" s="15"/>
    </row>
    <row r="9" spans="1:21" x14ac:dyDescent="0.2">
      <c r="B9" s="421" t="str">
        <f>_xlfn.TEXTJOIN(keydelim,TRUE,D9,C9,E9,F9)</f>
        <v>Crude oil - Global - Manual - USD/bbl</v>
      </c>
      <c r="C9" t="s">
        <v>109</v>
      </c>
      <c r="D9" t="s">
        <v>809</v>
      </c>
      <c r="E9" t="s">
        <v>133</v>
      </c>
      <c r="F9" t="s">
        <v>203</v>
      </c>
      <c r="H9" s="99">
        <f>'Fuel Cost - Oil Deep-dive'!H16</f>
        <v>115</v>
      </c>
      <c r="I9" s="99">
        <f>'Fuel Cost - Oil Deep-dive'!I16</f>
        <v>82.5</v>
      </c>
      <c r="J9" s="99">
        <f>'Fuel Cost - Oil Deep-dive'!J16</f>
        <v>72</v>
      </c>
      <c r="K9" s="99">
        <f>'Fuel Cost - Oil Deep-dive'!K16</f>
        <v>72</v>
      </c>
      <c r="L9" s="99">
        <f>'Fuel Cost - Oil Deep-dive'!L16</f>
        <v>72</v>
      </c>
      <c r="M9" s="99">
        <f>'Fuel Cost - Oil Deep-dive'!M16</f>
        <v>72</v>
      </c>
      <c r="N9" s="99">
        <f>'Fuel Cost - Oil Deep-dive'!N16</f>
        <v>72</v>
      </c>
      <c r="O9" s="73">
        <f t="shared" si="0"/>
        <v>72</v>
      </c>
      <c r="P9" s="73">
        <f t="shared" si="0"/>
        <v>72</v>
      </c>
      <c r="Q9" s="73">
        <f t="shared" si="0"/>
        <v>72</v>
      </c>
      <c r="R9" s="73">
        <f t="shared" si="0"/>
        <v>72</v>
      </c>
      <c r="S9" s="73">
        <f t="shared" si="0"/>
        <v>72</v>
      </c>
      <c r="T9" s="15"/>
    </row>
    <row r="10" spans="1:21" x14ac:dyDescent="0.2">
      <c r="B10" s="421" t="str">
        <f>_xlfn.TEXTJOIN(keydelim,TRUE,D10,C10,E10,F10)</f>
        <v>Crude oil - Global - High (Brent at 95 USD) - USD/bbl</v>
      </c>
      <c r="C10" t="s">
        <v>109</v>
      </c>
      <c r="D10" t="s">
        <v>809</v>
      </c>
      <c r="E10" t="s">
        <v>810</v>
      </c>
      <c r="F10" t="s">
        <v>203</v>
      </c>
      <c r="H10" s="99">
        <f>H8</f>
        <v>115</v>
      </c>
      <c r="I10" s="99">
        <f>'Fuel Cost - Oil Deep-dive'!I36</f>
        <v>59</v>
      </c>
      <c r="J10" s="99">
        <f>'Fuel Cost - Oil Deep-dive'!J36</f>
        <v>73</v>
      </c>
      <c r="K10" s="99">
        <f>'Fuel Cost - Oil Deep-dive'!K36</f>
        <v>79</v>
      </c>
      <c r="L10" s="99">
        <f>'Fuel Cost - Oil Deep-dive'!L36</f>
        <v>85</v>
      </c>
      <c r="M10" s="99">
        <f>'Fuel Cost - Oil Deep-dive'!M36</f>
        <v>90</v>
      </c>
      <c r="N10" s="99">
        <f>'Fuel Cost - Oil Deep-dive'!N36</f>
        <v>95</v>
      </c>
      <c r="O10" s="73">
        <f t="shared" ref="O10:S10" si="1">N10</f>
        <v>95</v>
      </c>
      <c r="P10" s="73">
        <f t="shared" si="1"/>
        <v>95</v>
      </c>
      <c r="Q10" s="73">
        <f t="shared" si="1"/>
        <v>95</v>
      </c>
      <c r="R10" s="73">
        <f t="shared" si="1"/>
        <v>95</v>
      </c>
      <c r="S10" s="73">
        <f t="shared" si="1"/>
        <v>95</v>
      </c>
      <c r="T10" s="15"/>
    </row>
    <row r="11" spans="1:21" x14ac:dyDescent="0.2">
      <c r="B11" s="421" t="str">
        <f>_xlfn.TEXTJOIN(keydelim,TRUE,D11,C11,E11,F11)</f>
        <v>Crude oil - Global - Low (Brent at 20) - USD/bbl</v>
      </c>
      <c r="C11" t="s">
        <v>109</v>
      </c>
      <c r="D11" t="s">
        <v>809</v>
      </c>
      <c r="E11" t="s">
        <v>811</v>
      </c>
      <c r="F11" t="s">
        <v>203</v>
      </c>
      <c r="H11" s="99">
        <f>H10</f>
        <v>115</v>
      </c>
      <c r="I11" s="99">
        <f>I8</f>
        <v>82.5</v>
      </c>
      <c r="J11" s="99">
        <f>I11+($N11-$I11)/5</f>
        <v>70</v>
      </c>
      <c r="K11" s="99">
        <f>J11+($N11-$I11)/5</f>
        <v>57.5</v>
      </c>
      <c r="L11" s="99">
        <f>K11+($N11-$I11)/5</f>
        <v>45</v>
      </c>
      <c r="M11" s="99">
        <f>L11+($N11-$I11)/5</f>
        <v>32.5</v>
      </c>
      <c r="N11" s="99">
        <v>20</v>
      </c>
      <c r="O11" s="73">
        <f>N11</f>
        <v>20</v>
      </c>
      <c r="P11" s="73">
        <f>O11</f>
        <v>20</v>
      </c>
      <c r="Q11" s="73">
        <f>P11</f>
        <v>20</v>
      </c>
      <c r="R11" s="73">
        <f>Q11</f>
        <v>20</v>
      </c>
      <c r="S11" s="73">
        <f>R11</f>
        <v>20</v>
      </c>
      <c r="T11" s="15"/>
    </row>
    <row r="12" spans="1:21" x14ac:dyDescent="0.2">
      <c r="T12" s="15"/>
    </row>
    <row r="13" spans="1:21" s="443" customFormat="1" ht="15" x14ac:dyDescent="0.25">
      <c r="B13" s="443" t="s">
        <v>117</v>
      </c>
      <c r="D13" s="443" t="s">
        <v>49</v>
      </c>
      <c r="T13" s="15"/>
      <c r="U13" s="444"/>
    </row>
    <row r="14" spans="1:21" ht="14.25" x14ac:dyDescent="0.2">
      <c r="B14" s="421" t="str">
        <f>_xlfn.TEXTJOIN(keydelim,TRUE,D14,C14,E14,F14)</f>
        <v>LSFO - Europe - Fuel cost - USD/GJ</v>
      </c>
      <c r="C14" t="s">
        <v>195</v>
      </c>
      <c r="D14" t="s">
        <v>117</v>
      </c>
      <c r="E14" t="s">
        <v>57</v>
      </c>
      <c r="F14" s="128" t="s">
        <v>324</v>
      </c>
      <c r="H14" s="24">
        <f t="shared" ref="H14:S14" si="2">H20/H$29</f>
        <v>21.473621920116738</v>
      </c>
      <c r="I14" s="24">
        <f t="shared" si="2"/>
        <v>15.404989638344617</v>
      </c>
      <c r="J14" s="24">
        <f t="shared" si="2"/>
        <v>13.444354593464393</v>
      </c>
      <c r="K14" s="24">
        <f t="shared" si="2"/>
        <v>13.444354593464393</v>
      </c>
      <c r="L14" s="24">
        <f t="shared" si="2"/>
        <v>13.444354593464393</v>
      </c>
      <c r="M14" s="24">
        <f t="shared" si="2"/>
        <v>13.444354593464393</v>
      </c>
      <c r="N14" s="24">
        <f t="shared" si="2"/>
        <v>13.444354593464393</v>
      </c>
      <c r="O14" s="445">
        <f t="shared" si="2"/>
        <v>13.444354593464393</v>
      </c>
      <c r="P14" s="445">
        <f t="shared" si="2"/>
        <v>13.444354593464393</v>
      </c>
      <c r="Q14" s="445">
        <f t="shared" si="2"/>
        <v>13.444354593464393</v>
      </c>
      <c r="R14" s="445">
        <f t="shared" si="2"/>
        <v>13.444354593464393</v>
      </c>
      <c r="S14" s="445">
        <f t="shared" si="2"/>
        <v>13.444354593464393</v>
      </c>
      <c r="T14" s="15"/>
      <c r="U14" s="19"/>
    </row>
    <row r="15" spans="1:21" ht="14.25" x14ac:dyDescent="0.2">
      <c r="B15" s="421" t="str">
        <f>_xlfn.TEXTJOIN(keydelim,TRUE,D15,C15,E15,F15)</f>
        <v>LSFO - Asia - Fuel cost - USD/GJ</v>
      </c>
      <c r="C15" t="s">
        <v>198</v>
      </c>
      <c r="D15" t="s">
        <v>117</v>
      </c>
      <c r="E15" t="s">
        <v>57</v>
      </c>
      <c r="F15" s="128" t="s">
        <v>324</v>
      </c>
      <c r="H15" s="24">
        <f t="shared" ref="H15:S15" si="3">H21/H$29</f>
        <v>21.473621920116738</v>
      </c>
      <c r="I15" s="24">
        <f t="shared" si="3"/>
        <v>15.404989638344617</v>
      </c>
      <c r="J15" s="24">
        <f t="shared" si="3"/>
        <v>13.444354593464393</v>
      </c>
      <c r="K15" s="24">
        <f t="shared" si="3"/>
        <v>13.444354593464393</v>
      </c>
      <c r="L15" s="24">
        <f t="shared" si="3"/>
        <v>13.444354593464393</v>
      </c>
      <c r="M15" s="24">
        <f t="shared" si="3"/>
        <v>13.444354593464393</v>
      </c>
      <c r="N15" s="24">
        <f t="shared" si="3"/>
        <v>13.444354593464393</v>
      </c>
      <c r="O15" s="445">
        <f t="shared" si="3"/>
        <v>13.444354593464393</v>
      </c>
      <c r="P15" s="445">
        <f t="shared" si="3"/>
        <v>13.444354593464393</v>
      </c>
      <c r="Q15" s="445">
        <f t="shared" si="3"/>
        <v>13.444354593464393</v>
      </c>
      <c r="R15" s="445">
        <f t="shared" si="3"/>
        <v>13.444354593464393</v>
      </c>
      <c r="S15" s="445">
        <f t="shared" si="3"/>
        <v>13.444354593464393</v>
      </c>
      <c r="T15" s="15"/>
      <c r="U15" s="19"/>
    </row>
    <row r="16" spans="1:21" ht="14.25" x14ac:dyDescent="0.2">
      <c r="B16" s="421" t="str">
        <f>_xlfn.TEXTJOIN(keydelim,TRUE,D16,C16,E16,F16)</f>
        <v>LSFO - Middle East - Fuel cost - USD/GJ</v>
      </c>
      <c r="C16" t="s">
        <v>197</v>
      </c>
      <c r="D16" t="s">
        <v>117</v>
      </c>
      <c r="E16" t="s">
        <v>57</v>
      </c>
      <c r="F16" s="128" t="s">
        <v>324</v>
      </c>
      <c r="H16" s="24">
        <f t="shared" ref="H16:S16" si="4">H22/H$29</f>
        <v>21.473621920116738</v>
      </c>
      <c r="I16" s="24">
        <f t="shared" si="4"/>
        <v>15.404989638344617</v>
      </c>
      <c r="J16" s="24">
        <f t="shared" si="4"/>
        <v>13.444354593464393</v>
      </c>
      <c r="K16" s="24">
        <f t="shared" si="4"/>
        <v>13.444354593464393</v>
      </c>
      <c r="L16" s="24">
        <f t="shared" si="4"/>
        <v>13.444354593464393</v>
      </c>
      <c r="M16" s="24">
        <f t="shared" si="4"/>
        <v>13.444354593464393</v>
      </c>
      <c r="N16" s="24">
        <f t="shared" si="4"/>
        <v>13.444354593464393</v>
      </c>
      <c r="O16" s="445">
        <f t="shared" si="4"/>
        <v>13.444354593464393</v>
      </c>
      <c r="P16" s="445">
        <f t="shared" si="4"/>
        <v>13.444354593464393</v>
      </c>
      <c r="Q16" s="445">
        <f t="shared" si="4"/>
        <v>13.444354593464393</v>
      </c>
      <c r="R16" s="445">
        <f t="shared" si="4"/>
        <v>13.444354593464393</v>
      </c>
      <c r="S16" s="445">
        <f t="shared" si="4"/>
        <v>13.444354593464393</v>
      </c>
      <c r="T16" s="15"/>
      <c r="U16" s="19"/>
    </row>
    <row r="17" spans="2:21" ht="14.25" x14ac:dyDescent="0.2">
      <c r="B17" s="421" t="str">
        <f>_xlfn.TEXTJOIN(keydelim,TRUE,D17,C17,E17,F17)</f>
        <v>LSFO - Americas - Fuel cost - USD/GJ</v>
      </c>
      <c r="C17" t="s">
        <v>199</v>
      </c>
      <c r="D17" t="s">
        <v>117</v>
      </c>
      <c r="E17" t="s">
        <v>57</v>
      </c>
      <c r="F17" s="128" t="s">
        <v>324</v>
      </c>
      <c r="H17" s="24">
        <f t="shared" ref="H17:S17" si="5">H23/H$29</f>
        <v>21.473621920116738</v>
      </c>
      <c r="I17" s="24">
        <f t="shared" si="5"/>
        <v>15.404989638344617</v>
      </c>
      <c r="J17" s="24">
        <f t="shared" si="5"/>
        <v>13.444354593464393</v>
      </c>
      <c r="K17" s="24">
        <f t="shared" si="5"/>
        <v>13.444354593464393</v>
      </c>
      <c r="L17" s="24">
        <f t="shared" si="5"/>
        <v>13.444354593464393</v>
      </c>
      <c r="M17" s="24">
        <f t="shared" si="5"/>
        <v>13.444354593464393</v>
      </c>
      <c r="N17" s="24">
        <f t="shared" si="5"/>
        <v>13.444354593464393</v>
      </c>
      <c r="O17" s="445">
        <f t="shared" si="5"/>
        <v>13.444354593464393</v>
      </c>
      <c r="P17" s="445">
        <f t="shared" si="5"/>
        <v>13.444354593464393</v>
      </c>
      <c r="Q17" s="445">
        <f t="shared" si="5"/>
        <v>13.444354593464393</v>
      </c>
      <c r="R17" s="445">
        <f t="shared" si="5"/>
        <v>13.444354593464393</v>
      </c>
      <c r="S17" s="445">
        <f t="shared" si="5"/>
        <v>13.444354593464393</v>
      </c>
      <c r="T17" s="15"/>
      <c r="U17" s="19"/>
    </row>
    <row r="18" spans="2:21" ht="14.25" x14ac:dyDescent="0.2">
      <c r="B18" s="421" t="str">
        <f>_xlfn.TEXTJOIN(keydelim,TRUE,D18,C18,E18,F18)</f>
        <v>LSFO - Africa&amp;Other - Fuel cost - USD/GJ</v>
      </c>
      <c r="C18" t="s">
        <v>498</v>
      </c>
      <c r="D18" t="s">
        <v>117</v>
      </c>
      <c r="E18" t="s">
        <v>57</v>
      </c>
      <c r="F18" s="128" t="s">
        <v>324</v>
      </c>
      <c r="H18" s="24">
        <f t="shared" ref="H18:S18" si="6">H24/H$29</f>
        <v>21.473621920116738</v>
      </c>
      <c r="I18" s="24">
        <f t="shared" si="6"/>
        <v>15.404989638344617</v>
      </c>
      <c r="J18" s="24">
        <f t="shared" si="6"/>
        <v>13.444354593464393</v>
      </c>
      <c r="K18" s="24">
        <f t="shared" si="6"/>
        <v>13.444354593464393</v>
      </c>
      <c r="L18" s="24">
        <f t="shared" si="6"/>
        <v>13.444354593464393</v>
      </c>
      <c r="M18" s="24">
        <f t="shared" si="6"/>
        <v>13.444354593464393</v>
      </c>
      <c r="N18" s="24">
        <f t="shared" si="6"/>
        <v>13.444354593464393</v>
      </c>
      <c r="O18" s="445">
        <f t="shared" si="6"/>
        <v>13.444354593464393</v>
      </c>
      <c r="P18" s="445">
        <f t="shared" si="6"/>
        <v>13.444354593464393</v>
      </c>
      <c r="Q18" s="445">
        <f t="shared" si="6"/>
        <v>13.444354593464393</v>
      </c>
      <c r="R18" s="445">
        <f t="shared" si="6"/>
        <v>13.444354593464393</v>
      </c>
      <c r="S18" s="445">
        <f t="shared" si="6"/>
        <v>13.444354593464393</v>
      </c>
      <c r="T18" s="15"/>
      <c r="U18" s="19"/>
    </row>
    <row r="19" spans="2:21" ht="15" x14ac:dyDescent="0.25">
      <c r="D19" t="str">
        <f>SUBSTITUTE(E19," price","")</f>
        <v/>
      </c>
      <c r="E19" s="30"/>
      <c r="T19" s="15"/>
      <c r="U19" s="19"/>
    </row>
    <row r="20" spans="2:21" ht="15" x14ac:dyDescent="0.25">
      <c r="B20" s="421" t="str">
        <f>_xlfn.TEXTJOIN(keydelim,TRUE,D20,C20,E20,F20)</f>
        <v>LSFO - Europe - Fuel cost - USD/ton</v>
      </c>
      <c r="C20" t="s">
        <v>195</v>
      </c>
      <c r="D20" t="s">
        <v>117</v>
      </c>
      <c r="E20" t="s">
        <v>57</v>
      </c>
      <c r="F20" s="128" t="s">
        <v>205</v>
      </c>
      <c r="H20" s="260">
        <f>+'Fuel Cost - Oil Deep-dive'!H11*H28</f>
        <v>884.71322310880964</v>
      </c>
      <c r="I20" s="260">
        <f>+'Fuel Cost - Oil Deep-dive'!I11*I28</f>
        <v>634.68557309979826</v>
      </c>
      <c r="J20" s="260">
        <f>+'Fuel Cost - Oil Deep-dive'!J11*J28</f>
        <v>553.90740925073305</v>
      </c>
      <c r="K20" s="260">
        <f>+'Fuel Cost - Oil Deep-dive'!K11*K28</f>
        <v>553.90740925073305</v>
      </c>
      <c r="L20" s="260">
        <f>+'Fuel Cost - Oil Deep-dive'!L11*L28</f>
        <v>553.90740925073305</v>
      </c>
      <c r="M20" s="260">
        <f>+'Fuel Cost - Oil Deep-dive'!M11*M28</f>
        <v>553.90740925073305</v>
      </c>
      <c r="N20" s="260">
        <f>+'Fuel Cost - Oil Deep-dive'!N11*N28</f>
        <v>553.90740925073305</v>
      </c>
      <c r="O20" s="446">
        <f>+'Fuel Cost - Oil Deep-dive'!O11*O28</f>
        <v>553.90740925073305</v>
      </c>
      <c r="P20" s="446">
        <f>+'Fuel Cost - Oil Deep-dive'!P11*P28</f>
        <v>553.90740925073305</v>
      </c>
      <c r="Q20" s="446">
        <f>+'Fuel Cost - Oil Deep-dive'!Q11*Q28</f>
        <v>553.90740925073305</v>
      </c>
      <c r="R20" s="446">
        <f>+'Fuel Cost - Oil Deep-dive'!R11*R28</f>
        <v>553.90740925073305</v>
      </c>
      <c r="S20" s="446">
        <f>+'Fuel Cost - Oil Deep-dive'!S11*S28</f>
        <v>553.90740925073305</v>
      </c>
      <c r="T20" s="15"/>
      <c r="U20" s="447"/>
    </row>
    <row r="21" spans="2:21" ht="15" x14ac:dyDescent="0.25">
      <c r="B21" s="421" t="str">
        <f>_xlfn.TEXTJOIN(keydelim,TRUE,D21,C21,E21,F21)</f>
        <v>LSFO - Asia - Fuel cost - USD/ton</v>
      </c>
      <c r="C21" t="s">
        <v>198</v>
      </c>
      <c r="D21" t="s">
        <v>117</v>
      </c>
      <c r="E21" t="s">
        <v>57</v>
      </c>
      <c r="F21" s="128" t="s">
        <v>205</v>
      </c>
      <c r="H21" s="260">
        <f>+H20</f>
        <v>884.71322310880964</v>
      </c>
      <c r="I21" s="260">
        <f t="shared" ref="I21:S24" si="7">+I20</f>
        <v>634.68557309979826</v>
      </c>
      <c r="J21" s="260">
        <f t="shared" si="7"/>
        <v>553.90740925073305</v>
      </c>
      <c r="K21" s="260">
        <f t="shared" si="7"/>
        <v>553.90740925073305</v>
      </c>
      <c r="L21" s="260">
        <f t="shared" si="7"/>
        <v>553.90740925073305</v>
      </c>
      <c r="M21" s="260">
        <f t="shared" si="7"/>
        <v>553.90740925073305</v>
      </c>
      <c r="N21" s="260">
        <f t="shared" si="7"/>
        <v>553.90740925073305</v>
      </c>
      <c r="O21" s="446">
        <f t="shared" si="7"/>
        <v>553.90740925073305</v>
      </c>
      <c r="P21" s="446">
        <f t="shared" si="7"/>
        <v>553.90740925073305</v>
      </c>
      <c r="Q21" s="446">
        <f t="shared" si="7"/>
        <v>553.90740925073305</v>
      </c>
      <c r="R21" s="446">
        <f t="shared" si="7"/>
        <v>553.90740925073305</v>
      </c>
      <c r="S21" s="446">
        <f t="shared" si="7"/>
        <v>553.90740925073305</v>
      </c>
      <c r="T21" s="15"/>
      <c r="U21" s="447"/>
    </row>
    <row r="22" spans="2:21" ht="15" x14ac:dyDescent="0.25">
      <c r="B22" s="421" t="str">
        <f>_xlfn.TEXTJOIN(keydelim,TRUE,D22,C22,E22,F22)</f>
        <v>LSFO - Middle East - Fuel cost - USD/ton</v>
      </c>
      <c r="C22" t="s">
        <v>197</v>
      </c>
      <c r="D22" t="s">
        <v>117</v>
      </c>
      <c r="E22" t="s">
        <v>57</v>
      </c>
      <c r="F22" s="128" t="s">
        <v>205</v>
      </c>
      <c r="H22" s="260">
        <f>+H21</f>
        <v>884.71322310880964</v>
      </c>
      <c r="I22" s="260">
        <f t="shared" si="7"/>
        <v>634.68557309979826</v>
      </c>
      <c r="J22" s="260">
        <f t="shared" si="7"/>
        <v>553.90740925073305</v>
      </c>
      <c r="K22" s="260">
        <f t="shared" si="7"/>
        <v>553.90740925073305</v>
      </c>
      <c r="L22" s="260">
        <f t="shared" si="7"/>
        <v>553.90740925073305</v>
      </c>
      <c r="M22" s="260">
        <f t="shared" si="7"/>
        <v>553.90740925073305</v>
      </c>
      <c r="N22" s="260">
        <f t="shared" si="7"/>
        <v>553.90740925073305</v>
      </c>
      <c r="O22" s="446">
        <f t="shared" si="7"/>
        <v>553.90740925073305</v>
      </c>
      <c r="P22" s="446">
        <f t="shared" si="7"/>
        <v>553.90740925073305</v>
      </c>
      <c r="Q22" s="446">
        <f t="shared" si="7"/>
        <v>553.90740925073305</v>
      </c>
      <c r="R22" s="446">
        <f t="shared" si="7"/>
        <v>553.90740925073305</v>
      </c>
      <c r="S22" s="446">
        <f t="shared" si="7"/>
        <v>553.90740925073305</v>
      </c>
      <c r="T22" s="15"/>
      <c r="U22" s="447"/>
    </row>
    <row r="23" spans="2:21" ht="15" x14ac:dyDescent="0.25">
      <c r="B23" s="421" t="str">
        <f>_xlfn.TEXTJOIN(keydelim,TRUE,D23,C23,E23,F23)</f>
        <v>LSFO - Americas - Fuel cost - USD/ton</v>
      </c>
      <c r="C23" t="s">
        <v>199</v>
      </c>
      <c r="D23" t="s">
        <v>117</v>
      </c>
      <c r="E23" t="s">
        <v>57</v>
      </c>
      <c r="F23" s="128" t="s">
        <v>205</v>
      </c>
      <c r="H23" s="260">
        <f>+H22</f>
        <v>884.71322310880964</v>
      </c>
      <c r="I23" s="260">
        <f t="shared" si="7"/>
        <v>634.68557309979826</v>
      </c>
      <c r="J23" s="260">
        <f t="shared" si="7"/>
        <v>553.90740925073305</v>
      </c>
      <c r="K23" s="260">
        <f t="shared" si="7"/>
        <v>553.90740925073305</v>
      </c>
      <c r="L23" s="260">
        <f t="shared" si="7"/>
        <v>553.90740925073305</v>
      </c>
      <c r="M23" s="260">
        <f t="shared" si="7"/>
        <v>553.90740925073305</v>
      </c>
      <c r="N23" s="260">
        <f t="shared" si="7"/>
        <v>553.90740925073305</v>
      </c>
      <c r="O23" s="446">
        <f t="shared" si="7"/>
        <v>553.90740925073305</v>
      </c>
      <c r="P23" s="446">
        <f t="shared" si="7"/>
        <v>553.90740925073305</v>
      </c>
      <c r="Q23" s="446">
        <f t="shared" si="7"/>
        <v>553.90740925073305</v>
      </c>
      <c r="R23" s="446">
        <f t="shared" si="7"/>
        <v>553.90740925073305</v>
      </c>
      <c r="S23" s="446">
        <f t="shared" si="7"/>
        <v>553.90740925073305</v>
      </c>
      <c r="T23" s="15"/>
      <c r="U23" s="447"/>
    </row>
    <row r="24" spans="2:21" ht="15" x14ac:dyDescent="0.25">
      <c r="B24" s="421" t="str">
        <f>_xlfn.TEXTJOIN(keydelim,TRUE,D24,C24,E24,F24)</f>
        <v>LSFO - Africa&amp;Other - Fuel cost - USD/ton</v>
      </c>
      <c r="C24" t="s">
        <v>498</v>
      </c>
      <c r="D24" t="s">
        <v>117</v>
      </c>
      <c r="E24" t="s">
        <v>57</v>
      </c>
      <c r="F24" s="128" t="s">
        <v>205</v>
      </c>
      <c r="H24" s="260">
        <f>+H23</f>
        <v>884.71322310880964</v>
      </c>
      <c r="I24" s="260">
        <f t="shared" si="7"/>
        <v>634.68557309979826</v>
      </c>
      <c r="J24" s="260">
        <f t="shared" si="7"/>
        <v>553.90740925073305</v>
      </c>
      <c r="K24" s="260">
        <f t="shared" si="7"/>
        <v>553.90740925073305</v>
      </c>
      <c r="L24" s="260">
        <f t="shared" si="7"/>
        <v>553.90740925073305</v>
      </c>
      <c r="M24" s="260">
        <f t="shared" si="7"/>
        <v>553.90740925073305</v>
      </c>
      <c r="N24" s="260">
        <f t="shared" si="7"/>
        <v>553.90740925073305</v>
      </c>
      <c r="O24" s="446">
        <f t="shared" si="7"/>
        <v>553.90740925073305</v>
      </c>
      <c r="P24" s="446">
        <f t="shared" si="7"/>
        <v>553.90740925073305</v>
      </c>
      <c r="Q24" s="446">
        <f t="shared" si="7"/>
        <v>553.90740925073305</v>
      </c>
      <c r="R24" s="446">
        <f t="shared" si="7"/>
        <v>553.90740925073305</v>
      </c>
      <c r="S24" s="446">
        <f t="shared" si="7"/>
        <v>553.90740925073305</v>
      </c>
      <c r="T24" s="15"/>
      <c r="U24" s="447"/>
    </row>
    <row r="25" spans="2:21" ht="15" x14ac:dyDescent="0.25">
      <c r="B25" s="421"/>
      <c r="C25" s="30"/>
      <c r="E25" s="30"/>
      <c r="F25" s="128"/>
      <c r="H25" s="339"/>
      <c r="I25" s="52"/>
      <c r="J25" s="52"/>
      <c r="K25" s="52"/>
      <c r="L25" s="52"/>
      <c r="M25" s="52"/>
      <c r="N25" s="52"/>
      <c r="O25" s="52"/>
      <c r="P25" s="52"/>
      <c r="Q25" s="52"/>
      <c r="R25" s="52"/>
      <c r="S25" s="52"/>
      <c r="T25" s="15"/>
      <c r="U25" s="17"/>
    </row>
    <row r="26" spans="2:21" ht="14.25" x14ac:dyDescent="0.2">
      <c r="B26" s="421" t="str">
        <f>_xlfn.TEXTJOIN(keydelim,TRUE,D26,C26,E26,F26)</f>
        <v>Crude oil - Global - Reference - USD/bbl</v>
      </c>
      <c r="C26" t="s">
        <v>109</v>
      </c>
      <c r="D26" t="s">
        <v>809</v>
      </c>
      <c r="E26" t="s">
        <v>812</v>
      </c>
      <c r="F26" t="s">
        <v>203</v>
      </c>
      <c r="H26" s="262">
        <f>H$8</f>
        <v>115</v>
      </c>
      <c r="I26" s="262">
        <f t="shared" ref="I26:S26" si="8">I8</f>
        <v>82.5</v>
      </c>
      <c r="J26" s="262">
        <f t="shared" si="8"/>
        <v>72</v>
      </c>
      <c r="K26" s="262">
        <f t="shared" si="8"/>
        <v>72</v>
      </c>
      <c r="L26" s="262">
        <f t="shared" si="8"/>
        <v>72</v>
      </c>
      <c r="M26" s="262">
        <f t="shared" si="8"/>
        <v>72</v>
      </c>
      <c r="N26" s="262">
        <f t="shared" si="8"/>
        <v>72</v>
      </c>
      <c r="O26" s="448">
        <f t="shared" si="8"/>
        <v>72</v>
      </c>
      <c r="P26" s="448">
        <f t="shared" si="8"/>
        <v>72</v>
      </c>
      <c r="Q26" s="448">
        <f t="shared" si="8"/>
        <v>72</v>
      </c>
      <c r="R26" s="448">
        <f t="shared" si="8"/>
        <v>72</v>
      </c>
      <c r="S26" s="448">
        <f t="shared" si="8"/>
        <v>72</v>
      </c>
      <c r="T26" s="15"/>
      <c r="U26" s="17"/>
    </row>
    <row r="27" spans="2:21" ht="14.25" x14ac:dyDescent="0.2">
      <c r="B27" s="421" t="str">
        <f>_xlfn.TEXTJOIN(keydelim,TRUE,D27,C27,E27,F27)</f>
        <v>Crude oil - Global - Path we are on - USD/bbl</v>
      </c>
      <c r="C27" t="s">
        <v>109</v>
      </c>
      <c r="D27" t="s">
        <v>809</v>
      </c>
      <c r="E27" t="str">
        <f>crude_price_selected</f>
        <v>Path we are on</v>
      </c>
      <c r="F27" t="s">
        <v>203</v>
      </c>
      <c r="H27" s="262">
        <f t="shared" ref="H27:S27" si="9">INDEX(H$8:H$11,MATCH(crude_price_selected,$E$8:$E$11,0))</f>
        <v>115</v>
      </c>
      <c r="I27" s="262">
        <f t="shared" si="9"/>
        <v>82.5</v>
      </c>
      <c r="J27" s="262">
        <f t="shared" si="9"/>
        <v>72</v>
      </c>
      <c r="K27" s="262">
        <f t="shared" si="9"/>
        <v>72</v>
      </c>
      <c r="L27" s="262">
        <f t="shared" si="9"/>
        <v>72</v>
      </c>
      <c r="M27" s="262">
        <f t="shared" si="9"/>
        <v>72</v>
      </c>
      <c r="N27" s="262">
        <f t="shared" si="9"/>
        <v>72</v>
      </c>
      <c r="O27" s="448">
        <f t="shared" si="9"/>
        <v>72</v>
      </c>
      <c r="P27" s="448">
        <f t="shared" si="9"/>
        <v>72</v>
      </c>
      <c r="Q27" s="448">
        <f t="shared" si="9"/>
        <v>72</v>
      </c>
      <c r="R27" s="448">
        <f t="shared" si="9"/>
        <v>72</v>
      </c>
      <c r="S27" s="448">
        <f t="shared" si="9"/>
        <v>72</v>
      </c>
      <c r="T27" s="15"/>
      <c r="U27" s="17"/>
    </row>
    <row r="28" spans="2:21" ht="14.25" x14ac:dyDescent="0.2">
      <c r="B28" s="421" t="str">
        <f>_xlfn.TEXTJOIN(keydelim,TRUE,D28,C28,E28,F28)</f>
        <v>LSFO - Global - Crude correction - %</v>
      </c>
      <c r="C28" t="s">
        <v>109</v>
      </c>
      <c r="D28" t="s">
        <v>117</v>
      </c>
      <c r="E28" t="s">
        <v>813</v>
      </c>
      <c r="F28" s="128" t="s">
        <v>178</v>
      </c>
      <c r="G28" s="86"/>
      <c r="H28" s="262">
        <f>(H27/H26-1)+1</f>
        <v>1</v>
      </c>
      <c r="I28" s="262">
        <f t="shared" ref="I28:S28" si="10">(I27/I26-1)+1</f>
        <v>1</v>
      </c>
      <c r="J28" s="262">
        <f t="shared" si="10"/>
        <v>1</v>
      </c>
      <c r="K28" s="262">
        <f t="shared" si="10"/>
        <v>1</v>
      </c>
      <c r="L28" s="262">
        <f t="shared" si="10"/>
        <v>1</v>
      </c>
      <c r="M28" s="262">
        <f t="shared" si="10"/>
        <v>1</v>
      </c>
      <c r="N28" s="262">
        <f t="shared" si="10"/>
        <v>1</v>
      </c>
      <c r="O28" s="448">
        <f t="shared" si="10"/>
        <v>1</v>
      </c>
      <c r="P28" s="448">
        <f t="shared" si="10"/>
        <v>1</v>
      </c>
      <c r="Q28" s="448">
        <f t="shared" si="10"/>
        <v>1</v>
      </c>
      <c r="R28" s="448">
        <f t="shared" si="10"/>
        <v>1</v>
      </c>
      <c r="S28" s="448">
        <f t="shared" si="10"/>
        <v>1</v>
      </c>
      <c r="T28" s="15"/>
      <c r="U28" s="17"/>
    </row>
    <row r="29" spans="2:21" ht="14.25" x14ac:dyDescent="0.2">
      <c r="B29" s="421"/>
      <c r="C29" t="s">
        <v>109</v>
      </c>
      <c r="D29" t="s">
        <v>117</v>
      </c>
      <c r="E29" t="s">
        <v>582</v>
      </c>
      <c r="F29" s="128" t="s">
        <v>814</v>
      </c>
      <c r="G29" s="86"/>
      <c r="H29" s="259">
        <f>INDEX('Fuel Model -  Input'!H$15:H$44,MATCH($D29,'Fuel Model -  Input'!$F$15:$F$44,0))/1000</f>
        <v>41.2</v>
      </c>
      <c r="I29" s="259">
        <f>INDEX('Fuel Model -  Input'!I$15:I$44,MATCH($D29,'Fuel Model -  Input'!$F$15:$F$44,0))/1000</f>
        <v>41.2</v>
      </c>
      <c r="J29" s="259">
        <f>INDEX('Fuel Model -  Input'!J$15:J$44,MATCH($D29,'Fuel Model -  Input'!$F$15:$F$44,0))/1000</f>
        <v>41.2</v>
      </c>
      <c r="K29" s="259">
        <f>INDEX('Fuel Model -  Input'!K$15:K$44,MATCH($D29,'Fuel Model -  Input'!$F$15:$F$44,0))/1000</f>
        <v>41.2</v>
      </c>
      <c r="L29" s="259">
        <f>INDEX('Fuel Model -  Input'!L$15:L$44,MATCH($D29,'Fuel Model -  Input'!$F$15:$F$44,0))/1000</f>
        <v>41.2</v>
      </c>
      <c r="M29" s="259">
        <f>INDEX('Fuel Model -  Input'!M$15:M$44,MATCH($D29,'Fuel Model -  Input'!$F$15:$F$44,0))/1000</f>
        <v>41.2</v>
      </c>
      <c r="N29" s="259">
        <f>INDEX('Fuel Model -  Input'!N$15:N$44,MATCH($D29,'Fuel Model -  Input'!$F$15:$F$44,0))/1000</f>
        <v>41.2</v>
      </c>
      <c r="O29" s="448">
        <f>N29</f>
        <v>41.2</v>
      </c>
      <c r="P29" s="448">
        <f t="shared" ref="P29:S29" si="11">O29</f>
        <v>41.2</v>
      </c>
      <c r="Q29" s="448">
        <f t="shared" si="11"/>
        <v>41.2</v>
      </c>
      <c r="R29" s="448">
        <f t="shared" si="11"/>
        <v>41.2</v>
      </c>
      <c r="S29" s="448">
        <f t="shared" si="11"/>
        <v>41.2</v>
      </c>
      <c r="T29" s="15"/>
      <c r="U29" s="17"/>
    </row>
    <row r="30" spans="2:21" ht="15" x14ac:dyDescent="0.25">
      <c r="B30" s="421"/>
      <c r="C30" s="30"/>
      <c r="E30" s="30"/>
      <c r="F30" s="128"/>
      <c r="P30" s="2"/>
      <c r="Q30" s="2"/>
      <c r="R30" s="2"/>
      <c r="S30" s="2"/>
      <c r="T30" s="15"/>
      <c r="U30" s="5"/>
    </row>
    <row r="31" spans="2:21" s="443" customFormat="1" ht="15" x14ac:dyDescent="0.25">
      <c r="B31" s="443" t="s">
        <v>815</v>
      </c>
      <c r="D31" s="443" t="str">
        <f>SUBSTITUTE(E31," price","")</f>
        <v/>
      </c>
      <c r="T31" s="15"/>
      <c r="U31" s="444"/>
    </row>
    <row r="32" spans="2:21" ht="14.25" x14ac:dyDescent="0.2">
      <c r="B32" s="421" t="str">
        <f>_xlfn.TEXTJOIN(keydelim,TRUE,D32,C32,E32,F32)</f>
        <v>NG - Europe - Fuel cost - USD/ton</v>
      </c>
      <c r="C32" t="s">
        <v>195</v>
      </c>
      <c r="D32" t="s">
        <v>815</v>
      </c>
      <c r="E32" t="s">
        <v>57</v>
      </c>
      <c r="F32" s="128" t="s">
        <v>205</v>
      </c>
      <c r="G32" t="s">
        <v>195</v>
      </c>
      <c r="H32" s="262">
        <f>INDEX('Fuel Model -  Input'!H$273:H$277,MATCH('Fuel Cost - External'!$G32,'Fuel Model -  Input'!$D$273:$D$277,0))</f>
        <v>1750</v>
      </c>
      <c r="I32" s="262">
        <f>INDEX('Fuel Model -  Input'!I$273:I$277,MATCH('Fuel Cost - External'!$G32,'Fuel Model -  Input'!$D$273:$D$277,0))</f>
        <v>700</v>
      </c>
      <c r="J32" s="262">
        <f>INDEX('Fuel Model -  Input'!J$273:J$277,MATCH('Fuel Cost - External'!$G32,'Fuel Model -  Input'!$D$273:$D$277,0))</f>
        <v>475</v>
      </c>
      <c r="K32" s="262">
        <f>INDEX('Fuel Model -  Input'!K$273:K$277,MATCH('Fuel Cost - External'!$G32,'Fuel Model -  Input'!$D$273:$D$277,0))</f>
        <v>475</v>
      </c>
      <c r="L32" s="262">
        <f>INDEX('Fuel Model -  Input'!L$273:L$277,MATCH('Fuel Cost - External'!$G32,'Fuel Model -  Input'!$D$273:$D$277,0))</f>
        <v>475</v>
      </c>
      <c r="M32" s="262">
        <f>INDEX('Fuel Model -  Input'!M$273:M$277,MATCH('Fuel Cost - External'!$G32,'Fuel Model -  Input'!$D$273:$D$277,0))</f>
        <v>475</v>
      </c>
      <c r="N32" s="262">
        <f>INDEX('Fuel Model -  Input'!N$273:N$277,MATCH('Fuel Cost - External'!$G32,'Fuel Model -  Input'!$D$273:$D$277,0))</f>
        <v>475</v>
      </c>
      <c r="O32" s="448">
        <f>N32</f>
        <v>475</v>
      </c>
      <c r="P32" s="448">
        <f t="shared" ref="P32:S32" si="12">O32</f>
        <v>475</v>
      </c>
      <c r="Q32" s="448">
        <f t="shared" si="12"/>
        <v>475</v>
      </c>
      <c r="R32" s="448">
        <f t="shared" si="12"/>
        <v>475</v>
      </c>
      <c r="S32" s="448">
        <f t="shared" si="12"/>
        <v>475</v>
      </c>
      <c r="T32" s="15"/>
      <c r="U32" s="5"/>
    </row>
    <row r="33" spans="2:21" ht="14.25" x14ac:dyDescent="0.2">
      <c r="B33" s="421" t="str">
        <f>_xlfn.TEXTJOIN(keydelim,TRUE,D33,C33,E33,F33)</f>
        <v>NG - Asia - Fuel cost - USD/ton</v>
      </c>
      <c r="C33" t="s">
        <v>198</v>
      </c>
      <c r="D33" t="s">
        <v>815</v>
      </c>
      <c r="E33" t="s">
        <v>57</v>
      </c>
      <c r="F33" s="128" t="s">
        <v>205</v>
      </c>
      <c r="G33" t="s">
        <v>198</v>
      </c>
      <c r="H33" s="262">
        <f>INDEX('Fuel Model -  Input'!H$273:H$277,MATCH('Fuel Cost - External'!$G33,'Fuel Model -  Input'!$D$273:$D$277,0))</f>
        <v>1600</v>
      </c>
      <c r="I33" s="262">
        <f>INDEX('Fuel Model -  Input'!I$273:I$277,MATCH('Fuel Cost - External'!$G33,'Fuel Model -  Input'!$D$273:$D$277,0))</f>
        <v>725</v>
      </c>
      <c r="J33" s="262">
        <f>INDEX('Fuel Model -  Input'!J$273:J$277,MATCH('Fuel Cost - External'!$G33,'Fuel Model -  Input'!$D$273:$D$277,0))</f>
        <v>350</v>
      </c>
      <c r="K33" s="262">
        <f>INDEX('Fuel Model -  Input'!K$273:K$277,MATCH('Fuel Cost - External'!$G33,'Fuel Model -  Input'!$D$273:$D$277,0))</f>
        <v>350</v>
      </c>
      <c r="L33" s="262">
        <f>INDEX('Fuel Model -  Input'!L$273:L$277,MATCH('Fuel Cost - External'!$G33,'Fuel Model -  Input'!$D$273:$D$277,0))</f>
        <v>350</v>
      </c>
      <c r="M33" s="262">
        <f>INDEX('Fuel Model -  Input'!M$273:M$277,MATCH('Fuel Cost - External'!$G33,'Fuel Model -  Input'!$D$273:$D$277,0))</f>
        <v>350</v>
      </c>
      <c r="N33" s="262">
        <f>INDEX('Fuel Model -  Input'!N$273:N$277,MATCH('Fuel Cost - External'!$G33,'Fuel Model -  Input'!$D$273:$D$277,0))</f>
        <v>350</v>
      </c>
      <c r="O33" s="448">
        <f t="shared" ref="O33:S33" si="13">N33</f>
        <v>350</v>
      </c>
      <c r="P33" s="448">
        <f t="shared" si="13"/>
        <v>350</v>
      </c>
      <c r="Q33" s="448">
        <f t="shared" si="13"/>
        <v>350</v>
      </c>
      <c r="R33" s="448">
        <f t="shared" si="13"/>
        <v>350</v>
      </c>
      <c r="S33" s="448">
        <f t="shared" si="13"/>
        <v>350</v>
      </c>
      <c r="T33" s="15"/>
      <c r="U33" s="5"/>
    </row>
    <row r="34" spans="2:21" ht="14.25" x14ac:dyDescent="0.2">
      <c r="B34" s="421" t="str">
        <f>_xlfn.TEXTJOIN(keydelim,TRUE,D34,C34,E34,F34)</f>
        <v>NG - Middle East - Fuel cost - USD/ton</v>
      </c>
      <c r="C34" t="s">
        <v>197</v>
      </c>
      <c r="D34" t="s">
        <v>815</v>
      </c>
      <c r="E34" t="s">
        <v>57</v>
      </c>
      <c r="F34" s="128" t="s">
        <v>205</v>
      </c>
      <c r="G34" t="s">
        <v>197</v>
      </c>
      <c r="H34" s="262">
        <f>INDEX('Fuel Model -  Input'!H$273:H$277,MATCH('Fuel Cost - External'!$G34,'Fuel Model -  Input'!$D$273:$D$277,0))</f>
        <v>1400</v>
      </c>
      <c r="I34" s="262">
        <f>INDEX('Fuel Model -  Input'!I$273:I$277,MATCH('Fuel Cost - External'!$G34,'Fuel Model -  Input'!$D$273:$D$277,0))</f>
        <v>525</v>
      </c>
      <c r="J34" s="262">
        <f>INDEX('Fuel Model -  Input'!J$273:J$277,MATCH('Fuel Cost - External'!$G34,'Fuel Model -  Input'!$D$273:$D$277,0))</f>
        <v>145</v>
      </c>
      <c r="K34" s="262">
        <f>INDEX('Fuel Model -  Input'!K$273:K$277,MATCH('Fuel Cost - External'!$G34,'Fuel Model -  Input'!$D$273:$D$277,0))</f>
        <v>145</v>
      </c>
      <c r="L34" s="262">
        <f>INDEX('Fuel Model -  Input'!L$273:L$277,MATCH('Fuel Cost - External'!$G34,'Fuel Model -  Input'!$D$273:$D$277,0))</f>
        <v>145</v>
      </c>
      <c r="M34" s="262">
        <f>INDEX('Fuel Model -  Input'!M$273:M$277,MATCH('Fuel Cost - External'!$G34,'Fuel Model -  Input'!$D$273:$D$277,0))</f>
        <v>145</v>
      </c>
      <c r="N34" s="262">
        <f>INDEX('Fuel Model -  Input'!N$273:N$277,MATCH('Fuel Cost - External'!$G34,'Fuel Model -  Input'!$D$273:$D$277,0))</f>
        <v>145</v>
      </c>
      <c r="O34" s="448">
        <f t="shared" ref="O34:S34" si="14">N34</f>
        <v>145</v>
      </c>
      <c r="P34" s="448">
        <f t="shared" si="14"/>
        <v>145</v>
      </c>
      <c r="Q34" s="448">
        <f t="shared" si="14"/>
        <v>145</v>
      </c>
      <c r="R34" s="448">
        <f t="shared" si="14"/>
        <v>145</v>
      </c>
      <c r="S34" s="448">
        <f t="shared" si="14"/>
        <v>145</v>
      </c>
      <c r="T34" s="15"/>
      <c r="U34" s="5"/>
    </row>
    <row r="35" spans="2:21" ht="14.25" x14ac:dyDescent="0.2">
      <c r="B35" s="421" t="str">
        <f>_xlfn.TEXTJOIN(keydelim,TRUE,D35,C35,E35,F35)</f>
        <v>NG - Americas - Fuel cost - USD/ton</v>
      </c>
      <c r="C35" t="s">
        <v>199</v>
      </c>
      <c r="D35" t="s">
        <v>815</v>
      </c>
      <c r="E35" t="s">
        <v>57</v>
      </c>
      <c r="F35" s="128" t="s">
        <v>205</v>
      </c>
      <c r="G35" t="s">
        <v>199</v>
      </c>
      <c r="H35" s="262">
        <f>INDEX('Fuel Model -  Input'!H$273:H$277,MATCH('Fuel Cost - External'!$G35,'Fuel Model -  Input'!$D$273:$D$277,0))</f>
        <v>350</v>
      </c>
      <c r="I35" s="262">
        <f>INDEX('Fuel Model -  Input'!I$273:I$277,MATCH('Fuel Cost - External'!$G35,'Fuel Model -  Input'!$D$273:$D$277,0))</f>
        <v>230</v>
      </c>
      <c r="J35" s="262">
        <f>INDEX('Fuel Model -  Input'!J$273:J$277,MATCH('Fuel Cost - External'!$G35,'Fuel Model -  Input'!$D$273:$D$277,0))</f>
        <v>220</v>
      </c>
      <c r="K35" s="262">
        <f>INDEX('Fuel Model -  Input'!K$273:K$277,MATCH('Fuel Cost - External'!$G35,'Fuel Model -  Input'!$D$273:$D$277,0))</f>
        <v>250</v>
      </c>
      <c r="L35" s="262">
        <f>INDEX('Fuel Model -  Input'!L$273:L$277,MATCH('Fuel Cost - External'!$G35,'Fuel Model -  Input'!$D$273:$D$277,0))</f>
        <v>250</v>
      </c>
      <c r="M35" s="262">
        <f>INDEX('Fuel Model -  Input'!M$273:M$277,MATCH('Fuel Cost - External'!$G35,'Fuel Model -  Input'!$D$273:$D$277,0))</f>
        <v>250</v>
      </c>
      <c r="N35" s="262">
        <f>INDEX('Fuel Model -  Input'!N$273:N$277,MATCH('Fuel Cost - External'!$G35,'Fuel Model -  Input'!$D$273:$D$277,0))</f>
        <v>250</v>
      </c>
      <c r="O35" s="448">
        <f t="shared" ref="O35:S35" si="15">N35</f>
        <v>250</v>
      </c>
      <c r="P35" s="448">
        <f t="shared" si="15"/>
        <v>250</v>
      </c>
      <c r="Q35" s="448">
        <f t="shared" si="15"/>
        <v>250</v>
      </c>
      <c r="R35" s="448">
        <f t="shared" si="15"/>
        <v>250</v>
      </c>
      <c r="S35" s="448">
        <f t="shared" si="15"/>
        <v>250</v>
      </c>
      <c r="T35" s="15"/>
      <c r="U35" s="5"/>
    </row>
    <row r="36" spans="2:21" ht="14.25" x14ac:dyDescent="0.2">
      <c r="B36" s="421" t="str">
        <f>_xlfn.TEXTJOIN(keydelim,TRUE,D36,C36,E36,F36)</f>
        <v>NG - Africa&amp;Other - Fuel cost - USD/ton</v>
      </c>
      <c r="C36" t="s">
        <v>498</v>
      </c>
      <c r="D36" t="s">
        <v>815</v>
      </c>
      <c r="E36" t="s">
        <v>57</v>
      </c>
      <c r="F36" s="128" t="s">
        <v>205</v>
      </c>
      <c r="G36" t="s">
        <v>200</v>
      </c>
      <c r="H36" s="262">
        <f>INDEX('Fuel Model -  Input'!H$273:H$277,MATCH('Fuel Cost - External'!$G36,'Fuel Model -  Input'!$D$273:$D$277,0))</f>
        <v>1750</v>
      </c>
      <c r="I36" s="262">
        <f>INDEX('Fuel Model -  Input'!I$273:I$277,MATCH('Fuel Cost - External'!$G36,'Fuel Model -  Input'!$D$273:$D$277,0))</f>
        <v>700</v>
      </c>
      <c r="J36" s="262">
        <f>INDEX('Fuel Model -  Input'!J$273:J$277,MATCH('Fuel Cost - External'!$G36,'Fuel Model -  Input'!$D$273:$D$277,0))</f>
        <v>475</v>
      </c>
      <c r="K36" s="262">
        <f>INDEX('Fuel Model -  Input'!K$273:K$277,MATCH('Fuel Cost - External'!$G36,'Fuel Model -  Input'!$D$273:$D$277,0))</f>
        <v>475</v>
      </c>
      <c r="L36" s="262">
        <f>INDEX('Fuel Model -  Input'!L$273:L$277,MATCH('Fuel Cost - External'!$G36,'Fuel Model -  Input'!$D$273:$D$277,0))</f>
        <v>475</v>
      </c>
      <c r="M36" s="262">
        <f>INDEX('Fuel Model -  Input'!M$273:M$277,MATCH('Fuel Cost - External'!$G36,'Fuel Model -  Input'!$D$273:$D$277,0))</f>
        <v>475</v>
      </c>
      <c r="N36" s="262">
        <f>INDEX('Fuel Model -  Input'!N$273:N$277,MATCH('Fuel Cost - External'!$G36,'Fuel Model -  Input'!$D$273:$D$277,0))</f>
        <v>475</v>
      </c>
      <c r="O36" s="448">
        <f t="shared" ref="O36:S36" si="16">N36</f>
        <v>475</v>
      </c>
      <c r="P36" s="448">
        <f t="shared" si="16"/>
        <v>475</v>
      </c>
      <c r="Q36" s="448">
        <f t="shared" si="16"/>
        <v>475</v>
      </c>
      <c r="R36" s="448">
        <f t="shared" si="16"/>
        <v>475</v>
      </c>
      <c r="S36" s="448">
        <f t="shared" si="16"/>
        <v>475</v>
      </c>
      <c r="T36" s="15"/>
      <c r="U36" s="5"/>
    </row>
    <row r="37" spans="2:21" ht="15" x14ac:dyDescent="0.25">
      <c r="B37" s="421"/>
      <c r="C37" s="30"/>
      <c r="E37" s="30"/>
      <c r="F37" s="128"/>
      <c r="H37" s="339"/>
      <c r="I37" s="52"/>
      <c r="J37" s="52"/>
      <c r="K37" s="52"/>
      <c r="L37" s="52"/>
      <c r="M37" s="52"/>
      <c r="N37" s="52"/>
      <c r="O37" s="52"/>
      <c r="P37" s="52"/>
      <c r="Q37" s="52"/>
      <c r="R37" s="52"/>
      <c r="S37" s="52"/>
      <c r="T37" s="15"/>
      <c r="U37" s="5"/>
    </row>
    <row r="38" spans="2:21" s="443" customFormat="1" ht="15" x14ac:dyDescent="0.25">
      <c r="B38" s="443" t="s">
        <v>534</v>
      </c>
      <c r="D38" s="443" t="str">
        <f>SUBSTITUTE(E38," price","")</f>
        <v/>
      </c>
      <c r="T38" s="15"/>
      <c r="U38" s="444"/>
    </row>
    <row r="39" spans="2:21" ht="14.25" x14ac:dyDescent="0.2">
      <c r="B39" s="421" t="str">
        <f>_xlfn.TEXTJOIN(keydelim,TRUE,D39,C39,E39,F39)</f>
        <v>LPG - Europe - Fuel cost - USD/GJ</v>
      </c>
      <c r="C39" t="s">
        <v>195</v>
      </c>
      <c r="D39" t="str">
        <f>B38</f>
        <v>LPG</v>
      </c>
      <c r="E39" t="s">
        <v>57</v>
      </c>
      <c r="F39" s="128" t="s">
        <v>324</v>
      </c>
      <c r="H39" s="24">
        <f>H45/INDEX('Fuel Model -  Input'!$H$15:$H$44,MATCH($D45,'Fuel Model -  Input'!$F$15:$F$44,0))*1000*(H$52/H$51)</f>
        <v>16.525069073439496</v>
      </c>
      <c r="I39" s="24">
        <f>I45/INDEX('Fuel Model -  Input'!$H$15:$H$44,MATCH($D45,'Fuel Model -  Input'!$F$15:$F$44,0))*1000*(I$52/I$51)</f>
        <v>11.854940857032684</v>
      </c>
      <c r="J39" s="24">
        <f>J45/INDEX('Fuel Model -  Input'!$H$15:$H$44,MATCH($D45,'Fuel Model -  Input'!$F$15:$F$44,0))*1000*(J$52/J$51)</f>
        <v>10.34613020250125</v>
      </c>
      <c r="K39" s="24">
        <f>K45/INDEX('Fuel Model -  Input'!$H$15:$H$44,MATCH($D45,'Fuel Model -  Input'!$F$15:$F$44,0))*1000*(K$52/K$51)</f>
        <v>10.34613020250125</v>
      </c>
      <c r="L39" s="24">
        <f>L45/INDEX('Fuel Model -  Input'!$H$15:$H$44,MATCH($D45,'Fuel Model -  Input'!$F$15:$F$44,0))*1000*(L$52/L$51)</f>
        <v>10.34613020250125</v>
      </c>
      <c r="M39" s="24">
        <f>M45/INDEX('Fuel Model -  Input'!$H$15:$H$44,MATCH($D45,'Fuel Model -  Input'!$F$15:$F$44,0))*1000*(M$52/M$51)</f>
        <v>10.34613020250125</v>
      </c>
      <c r="N39" s="24">
        <f>N45/INDEX('Fuel Model -  Input'!$H$15:$H$44,MATCH($D45,'Fuel Model -  Input'!$F$15:$F$44,0))*1000*(N$52/N$51)</f>
        <v>10.34613020250125</v>
      </c>
      <c r="O39" s="445">
        <f>O45/INDEX('Fuel Model -  Input'!$H$15:$H$44,MATCH($D45,'Fuel Model -  Input'!$F$15:$F$44,0))*1000*(O$52/O$51)</f>
        <v>10.34613020250125</v>
      </c>
      <c r="P39" s="445">
        <f>P45/INDEX('Fuel Model -  Input'!$H$15:$H$44,MATCH($D45,'Fuel Model -  Input'!$F$15:$F$44,0))*1000*(P$52/P$51)</f>
        <v>10.34613020250125</v>
      </c>
      <c r="Q39" s="445">
        <f>Q45/INDEX('Fuel Model -  Input'!$H$15:$H$44,MATCH($D45,'Fuel Model -  Input'!$F$15:$F$44,0))*1000*(Q$52/Q$51)</f>
        <v>10.34613020250125</v>
      </c>
      <c r="R39" s="445">
        <f>R45/INDEX('Fuel Model -  Input'!$H$15:$H$44,MATCH($D45,'Fuel Model -  Input'!$F$15:$F$44,0))*1000*(R$52/R$51)</f>
        <v>10.34613020250125</v>
      </c>
      <c r="S39" s="445">
        <f>S45/INDEX('Fuel Model -  Input'!$H$15:$H$44,MATCH($D45,'Fuel Model -  Input'!$F$15:$F$44,0))*1000*(S$52/S$51)</f>
        <v>10.34613020250125</v>
      </c>
      <c r="T39" s="15"/>
      <c r="U39" s="19"/>
    </row>
    <row r="40" spans="2:21" ht="14.25" x14ac:dyDescent="0.2">
      <c r="B40" s="421" t="str">
        <f>_xlfn.TEXTJOIN(keydelim,TRUE,D40,C40,E40,F40)</f>
        <v>LPG - Asia - Fuel cost - USD/GJ</v>
      </c>
      <c r="C40" t="s">
        <v>198</v>
      </c>
      <c r="D40" t="str">
        <f>D39</f>
        <v>LPG</v>
      </c>
      <c r="E40" t="s">
        <v>57</v>
      </c>
      <c r="F40" s="128" t="s">
        <v>324</v>
      </c>
      <c r="H40" s="24">
        <f>H46/INDEX('Fuel Model -  Input'!$H$15:$H$44,MATCH($D46,'Fuel Model -  Input'!$F$15:$F$44,0))*1000*(H$52/H$51)</f>
        <v>16.525069073439496</v>
      </c>
      <c r="I40" s="24">
        <f>I46/INDEX('Fuel Model -  Input'!$H$15:$H$44,MATCH($D46,'Fuel Model -  Input'!$F$15:$F$44,0))*1000*(I$52/I$51)</f>
        <v>11.854940857032684</v>
      </c>
      <c r="J40" s="24">
        <f>J46/INDEX('Fuel Model -  Input'!$H$15:$H$44,MATCH($D46,'Fuel Model -  Input'!$F$15:$F$44,0))*1000*(J$52/J$51)</f>
        <v>10.34613020250125</v>
      </c>
      <c r="K40" s="24">
        <f>K46/INDEX('Fuel Model -  Input'!$H$15:$H$44,MATCH($D46,'Fuel Model -  Input'!$F$15:$F$44,0))*1000*(K$52/K$51)</f>
        <v>10.34613020250125</v>
      </c>
      <c r="L40" s="24">
        <f>L46/INDEX('Fuel Model -  Input'!$H$15:$H$44,MATCH($D46,'Fuel Model -  Input'!$F$15:$F$44,0))*1000*(L$52/L$51)</f>
        <v>10.34613020250125</v>
      </c>
      <c r="M40" s="24">
        <f>M46/INDEX('Fuel Model -  Input'!$H$15:$H$44,MATCH($D46,'Fuel Model -  Input'!$F$15:$F$44,0))*1000*(M$52/M$51)</f>
        <v>10.34613020250125</v>
      </c>
      <c r="N40" s="24">
        <f>N46/INDEX('Fuel Model -  Input'!$H$15:$H$44,MATCH($D46,'Fuel Model -  Input'!$F$15:$F$44,0))*1000*(N$52/N$51)</f>
        <v>10.34613020250125</v>
      </c>
      <c r="O40" s="445">
        <f>O46/INDEX('Fuel Model -  Input'!$H$15:$H$44,MATCH($D46,'Fuel Model -  Input'!$F$15:$F$44,0))*1000*(O$52/O$51)</f>
        <v>10.34613020250125</v>
      </c>
      <c r="P40" s="445">
        <f>P46/INDEX('Fuel Model -  Input'!$H$15:$H$44,MATCH($D46,'Fuel Model -  Input'!$F$15:$F$44,0))*1000*(P$52/P$51)</f>
        <v>10.34613020250125</v>
      </c>
      <c r="Q40" s="445">
        <f>Q46/INDEX('Fuel Model -  Input'!$H$15:$H$44,MATCH($D46,'Fuel Model -  Input'!$F$15:$F$44,0))*1000*(Q$52/Q$51)</f>
        <v>10.34613020250125</v>
      </c>
      <c r="R40" s="445">
        <f>R46/INDEX('Fuel Model -  Input'!$H$15:$H$44,MATCH($D46,'Fuel Model -  Input'!$F$15:$F$44,0))*1000*(R$52/R$51)</f>
        <v>10.34613020250125</v>
      </c>
      <c r="S40" s="445">
        <f>S46/INDEX('Fuel Model -  Input'!$H$15:$H$44,MATCH($D46,'Fuel Model -  Input'!$F$15:$F$44,0))*1000*(S$52/S$51)</f>
        <v>10.34613020250125</v>
      </c>
      <c r="T40" s="15"/>
      <c r="U40" s="19"/>
    </row>
    <row r="41" spans="2:21" ht="14.25" x14ac:dyDescent="0.2">
      <c r="B41" s="421" t="str">
        <f>_xlfn.TEXTJOIN(keydelim,TRUE,D41,C41,E41,F41)</f>
        <v>LPG - Middle East - Fuel cost - USD/GJ</v>
      </c>
      <c r="C41" t="s">
        <v>197</v>
      </c>
      <c r="D41" t="str">
        <f>D40</f>
        <v>LPG</v>
      </c>
      <c r="E41" t="s">
        <v>57</v>
      </c>
      <c r="F41" s="128" t="s">
        <v>324</v>
      </c>
      <c r="H41" s="24">
        <f>H47/INDEX('Fuel Model -  Input'!$H$15:$H$44,MATCH($D47,'Fuel Model -  Input'!$F$15:$F$44,0))*1000*(H$52/H$51)</f>
        <v>16.525069073439496</v>
      </c>
      <c r="I41" s="24">
        <f>I47/INDEX('Fuel Model -  Input'!$H$15:$H$44,MATCH($D47,'Fuel Model -  Input'!$F$15:$F$44,0))*1000*(I$52/I$51)</f>
        <v>11.854940857032684</v>
      </c>
      <c r="J41" s="24">
        <f>J47/INDEX('Fuel Model -  Input'!$H$15:$H$44,MATCH($D47,'Fuel Model -  Input'!$F$15:$F$44,0))*1000*(J$52/J$51)</f>
        <v>10.34613020250125</v>
      </c>
      <c r="K41" s="24">
        <f>K47/INDEX('Fuel Model -  Input'!$H$15:$H$44,MATCH($D47,'Fuel Model -  Input'!$F$15:$F$44,0))*1000*(K$52/K$51)</f>
        <v>10.34613020250125</v>
      </c>
      <c r="L41" s="24">
        <f>L47/INDEX('Fuel Model -  Input'!$H$15:$H$44,MATCH($D47,'Fuel Model -  Input'!$F$15:$F$44,0))*1000*(L$52/L$51)</f>
        <v>10.34613020250125</v>
      </c>
      <c r="M41" s="24">
        <f>M47/INDEX('Fuel Model -  Input'!$H$15:$H$44,MATCH($D47,'Fuel Model -  Input'!$F$15:$F$44,0))*1000*(M$52/M$51)</f>
        <v>10.34613020250125</v>
      </c>
      <c r="N41" s="24">
        <f>N47/INDEX('Fuel Model -  Input'!$H$15:$H$44,MATCH($D47,'Fuel Model -  Input'!$F$15:$F$44,0))*1000*(N$52/N$51)</f>
        <v>10.34613020250125</v>
      </c>
      <c r="O41" s="445">
        <f>O47/INDEX('Fuel Model -  Input'!$H$15:$H$44,MATCH($D47,'Fuel Model -  Input'!$F$15:$F$44,0))*1000*(O$52/O$51)</f>
        <v>10.34613020250125</v>
      </c>
      <c r="P41" s="445">
        <f>P47/INDEX('Fuel Model -  Input'!$H$15:$H$44,MATCH($D47,'Fuel Model -  Input'!$F$15:$F$44,0))*1000*(P$52/P$51)</f>
        <v>10.34613020250125</v>
      </c>
      <c r="Q41" s="445">
        <f>Q47/INDEX('Fuel Model -  Input'!$H$15:$H$44,MATCH($D47,'Fuel Model -  Input'!$F$15:$F$44,0))*1000*(Q$52/Q$51)</f>
        <v>10.34613020250125</v>
      </c>
      <c r="R41" s="445">
        <f>R47/INDEX('Fuel Model -  Input'!$H$15:$H$44,MATCH($D47,'Fuel Model -  Input'!$F$15:$F$44,0))*1000*(R$52/R$51)</f>
        <v>10.34613020250125</v>
      </c>
      <c r="S41" s="445">
        <f>S47/INDEX('Fuel Model -  Input'!$H$15:$H$44,MATCH($D47,'Fuel Model -  Input'!$F$15:$F$44,0))*1000*(S$52/S$51)</f>
        <v>10.34613020250125</v>
      </c>
      <c r="T41" s="15"/>
      <c r="U41" s="19"/>
    </row>
    <row r="42" spans="2:21" ht="14.25" x14ac:dyDescent="0.2">
      <c r="B42" s="421" t="str">
        <f>_xlfn.TEXTJOIN(keydelim,TRUE,D42,C42,E42,F42)</f>
        <v>LPG - Americas - Fuel cost - USD/GJ</v>
      </c>
      <c r="C42" t="s">
        <v>199</v>
      </c>
      <c r="D42" t="str">
        <f>D41</f>
        <v>LPG</v>
      </c>
      <c r="E42" t="s">
        <v>57</v>
      </c>
      <c r="F42" s="128" t="s">
        <v>324</v>
      </c>
      <c r="H42" s="24">
        <f>H48/INDEX('Fuel Model -  Input'!$H$15:$H$44,MATCH($D48,'Fuel Model -  Input'!$F$15:$F$44,0))*1000*(H$52/H$51)</f>
        <v>16.525069073439496</v>
      </c>
      <c r="I42" s="24">
        <f>I48/INDEX('Fuel Model -  Input'!$H$15:$H$44,MATCH($D48,'Fuel Model -  Input'!$F$15:$F$44,0))*1000*(I$52/I$51)</f>
        <v>11.854940857032684</v>
      </c>
      <c r="J42" s="24">
        <f>J48/INDEX('Fuel Model -  Input'!$H$15:$H$44,MATCH($D48,'Fuel Model -  Input'!$F$15:$F$44,0))*1000*(J$52/J$51)</f>
        <v>10.34613020250125</v>
      </c>
      <c r="K42" s="24">
        <f>K48/INDEX('Fuel Model -  Input'!$H$15:$H$44,MATCH($D48,'Fuel Model -  Input'!$F$15:$F$44,0))*1000*(K$52/K$51)</f>
        <v>10.34613020250125</v>
      </c>
      <c r="L42" s="24">
        <f>L48/INDEX('Fuel Model -  Input'!$H$15:$H$44,MATCH($D48,'Fuel Model -  Input'!$F$15:$F$44,0))*1000*(L$52/L$51)</f>
        <v>10.34613020250125</v>
      </c>
      <c r="M42" s="24">
        <f>M48/INDEX('Fuel Model -  Input'!$H$15:$H$44,MATCH($D48,'Fuel Model -  Input'!$F$15:$F$44,0))*1000*(M$52/M$51)</f>
        <v>10.34613020250125</v>
      </c>
      <c r="N42" s="24">
        <f>N48/INDEX('Fuel Model -  Input'!$H$15:$H$44,MATCH($D48,'Fuel Model -  Input'!$F$15:$F$44,0))*1000*(N$52/N$51)</f>
        <v>10.34613020250125</v>
      </c>
      <c r="O42" s="445">
        <f>O48/INDEX('Fuel Model -  Input'!$H$15:$H$44,MATCH($D48,'Fuel Model -  Input'!$F$15:$F$44,0))*1000*(O$52/O$51)</f>
        <v>10.34613020250125</v>
      </c>
      <c r="P42" s="445">
        <f>P48/INDEX('Fuel Model -  Input'!$H$15:$H$44,MATCH($D48,'Fuel Model -  Input'!$F$15:$F$44,0))*1000*(P$52/P$51)</f>
        <v>10.34613020250125</v>
      </c>
      <c r="Q42" s="445">
        <f>Q48/INDEX('Fuel Model -  Input'!$H$15:$H$44,MATCH($D48,'Fuel Model -  Input'!$F$15:$F$44,0))*1000*(Q$52/Q$51)</f>
        <v>10.34613020250125</v>
      </c>
      <c r="R42" s="445">
        <f>R48/INDEX('Fuel Model -  Input'!$H$15:$H$44,MATCH($D48,'Fuel Model -  Input'!$F$15:$F$44,0))*1000*(R$52/R$51)</f>
        <v>10.34613020250125</v>
      </c>
      <c r="S42" s="445">
        <f>S48/INDEX('Fuel Model -  Input'!$H$15:$H$44,MATCH($D48,'Fuel Model -  Input'!$F$15:$F$44,0))*1000*(S$52/S$51)</f>
        <v>10.34613020250125</v>
      </c>
      <c r="T42" s="15"/>
      <c r="U42" s="19"/>
    </row>
    <row r="43" spans="2:21" ht="14.25" x14ac:dyDescent="0.2">
      <c r="B43" s="421" t="str">
        <f>_xlfn.TEXTJOIN(keydelim,TRUE,D43,C43,E43,F43)</f>
        <v>LPG - Africa&amp;Other - Fuel cost - USD/GJ</v>
      </c>
      <c r="C43" t="s">
        <v>498</v>
      </c>
      <c r="D43" t="str">
        <f>D42</f>
        <v>LPG</v>
      </c>
      <c r="E43" t="s">
        <v>57</v>
      </c>
      <c r="F43" s="128" t="s">
        <v>324</v>
      </c>
      <c r="H43" s="24">
        <f>H49/INDEX('Fuel Model -  Input'!$H$15:$H$44,MATCH($D49,'Fuel Model -  Input'!$F$15:$F$44,0))*1000*(H$52/H$51)</f>
        <v>16.525069073439496</v>
      </c>
      <c r="I43" s="24">
        <f>I49/INDEX('Fuel Model -  Input'!$H$15:$H$44,MATCH($D49,'Fuel Model -  Input'!$F$15:$F$44,0))*1000*(I$52/I$51)</f>
        <v>11.854940857032684</v>
      </c>
      <c r="J43" s="24">
        <f>J49/INDEX('Fuel Model -  Input'!$H$15:$H$44,MATCH($D49,'Fuel Model -  Input'!$F$15:$F$44,0))*1000*(J$52/J$51)</f>
        <v>10.34613020250125</v>
      </c>
      <c r="K43" s="24">
        <f>K49/INDEX('Fuel Model -  Input'!$H$15:$H$44,MATCH($D49,'Fuel Model -  Input'!$F$15:$F$44,0))*1000*(K$52/K$51)</f>
        <v>10.34613020250125</v>
      </c>
      <c r="L43" s="24">
        <f>L49/INDEX('Fuel Model -  Input'!$H$15:$H$44,MATCH($D49,'Fuel Model -  Input'!$F$15:$F$44,0))*1000*(L$52/L$51)</f>
        <v>10.34613020250125</v>
      </c>
      <c r="M43" s="24">
        <f>M49/INDEX('Fuel Model -  Input'!$H$15:$H$44,MATCH($D49,'Fuel Model -  Input'!$F$15:$F$44,0))*1000*(M$52/M$51)</f>
        <v>10.34613020250125</v>
      </c>
      <c r="N43" s="24">
        <f>N49/INDEX('Fuel Model -  Input'!$H$15:$H$44,MATCH($D49,'Fuel Model -  Input'!$F$15:$F$44,0))*1000*(N$52/N$51)</f>
        <v>10.34613020250125</v>
      </c>
      <c r="O43" s="445">
        <f>O49/INDEX('Fuel Model -  Input'!$H$15:$H$44,MATCH($D49,'Fuel Model -  Input'!$F$15:$F$44,0))*1000*(O$52/O$51)</f>
        <v>10.34613020250125</v>
      </c>
      <c r="P43" s="445">
        <f>P49/INDEX('Fuel Model -  Input'!$H$15:$H$44,MATCH($D49,'Fuel Model -  Input'!$F$15:$F$44,0))*1000*(P$52/P$51)</f>
        <v>10.34613020250125</v>
      </c>
      <c r="Q43" s="445">
        <f>Q49/INDEX('Fuel Model -  Input'!$H$15:$H$44,MATCH($D49,'Fuel Model -  Input'!$F$15:$F$44,0))*1000*(Q$52/Q$51)</f>
        <v>10.34613020250125</v>
      </c>
      <c r="R43" s="445">
        <f>R49/INDEX('Fuel Model -  Input'!$H$15:$H$44,MATCH($D49,'Fuel Model -  Input'!$F$15:$F$44,0))*1000*(R$52/R$51)</f>
        <v>10.34613020250125</v>
      </c>
      <c r="S43" s="445">
        <f>S49/INDEX('Fuel Model -  Input'!$H$15:$H$44,MATCH($D49,'Fuel Model -  Input'!$F$15:$F$44,0))*1000*(S$52/S$51)</f>
        <v>10.34613020250125</v>
      </c>
      <c r="T43" s="15"/>
      <c r="U43" s="19"/>
    </row>
    <row r="44" spans="2:21" ht="15" x14ac:dyDescent="0.25">
      <c r="D44" t="str">
        <f>SUBSTITUTE(E44," price","")</f>
        <v/>
      </c>
      <c r="E44" s="30"/>
      <c r="T44" s="15"/>
      <c r="U44" s="19"/>
    </row>
    <row r="45" spans="2:21" ht="14.25" x14ac:dyDescent="0.2">
      <c r="B45" s="421" t="str">
        <f>_xlfn.TEXTJOIN(keydelim,TRUE,D45,C45,E45,F45)</f>
        <v>LPG - Europe - Fuel cost - USD/ton</v>
      </c>
      <c r="C45" t="s">
        <v>195</v>
      </c>
      <c r="D45" t="str">
        <f>D39</f>
        <v>LPG</v>
      </c>
      <c r="E45" t="s">
        <v>57</v>
      </c>
      <c r="F45" s="128" t="s">
        <v>205</v>
      </c>
      <c r="H45" s="262">
        <f>'Fuel Cost - Oil Deep-dive'!H$13</f>
        <v>760.15317737821692</v>
      </c>
      <c r="I45" s="262">
        <f>'Fuel Cost - Oil Deep-dive'!I$13</f>
        <v>545.32727942350346</v>
      </c>
      <c r="J45" s="262">
        <f>'Fuel Cost - Oil Deep-dive'!J$13</f>
        <v>475.92198931505754</v>
      </c>
      <c r="K45" s="262">
        <f>'Fuel Cost - Oil Deep-dive'!K$13</f>
        <v>475.92198931505754</v>
      </c>
      <c r="L45" s="262">
        <f>'Fuel Cost - Oil Deep-dive'!L$13</f>
        <v>475.92198931505754</v>
      </c>
      <c r="M45" s="262">
        <f>'Fuel Cost - Oil Deep-dive'!M$13</f>
        <v>475.92198931505754</v>
      </c>
      <c r="N45" s="262">
        <f>'Fuel Cost - Oil Deep-dive'!N$13</f>
        <v>475.92198931505754</v>
      </c>
      <c r="O45" s="448">
        <f>'Fuel Cost - Oil Deep-dive'!O$13</f>
        <v>475.92198931505754</v>
      </c>
      <c r="P45" s="448">
        <f>'Fuel Cost - Oil Deep-dive'!P$13</f>
        <v>475.92198931505754</v>
      </c>
      <c r="Q45" s="448">
        <f>'Fuel Cost - Oil Deep-dive'!Q$13</f>
        <v>475.92198931505754</v>
      </c>
      <c r="R45" s="448">
        <f>'Fuel Cost - Oil Deep-dive'!R$13</f>
        <v>475.92198931505754</v>
      </c>
      <c r="S45" s="448">
        <f>'Fuel Cost - Oil Deep-dive'!S$13</f>
        <v>475.92198931505754</v>
      </c>
      <c r="T45" s="15"/>
      <c r="U45" s="5"/>
    </row>
    <row r="46" spans="2:21" ht="14.25" x14ac:dyDescent="0.2">
      <c r="B46" s="421" t="str">
        <f>_xlfn.TEXTJOIN(keydelim,TRUE,D46,C46,E46,F46)</f>
        <v>LPG - Asia - Fuel cost - USD/ton</v>
      </c>
      <c r="C46" t="s">
        <v>198</v>
      </c>
      <c r="D46" t="str">
        <f>D40</f>
        <v>LPG</v>
      </c>
      <c r="E46" t="s">
        <v>57</v>
      </c>
      <c r="F46" s="128" t="s">
        <v>205</v>
      </c>
      <c r="H46" s="262">
        <f>'Fuel Cost - Oil Deep-dive'!H$13</f>
        <v>760.15317737821692</v>
      </c>
      <c r="I46" s="262">
        <f>'Fuel Cost - Oil Deep-dive'!I$13</f>
        <v>545.32727942350346</v>
      </c>
      <c r="J46" s="262">
        <f>'Fuel Cost - Oil Deep-dive'!J$13</f>
        <v>475.92198931505754</v>
      </c>
      <c r="K46" s="262">
        <f>'Fuel Cost - Oil Deep-dive'!K$13</f>
        <v>475.92198931505754</v>
      </c>
      <c r="L46" s="262">
        <f>'Fuel Cost - Oil Deep-dive'!L$13</f>
        <v>475.92198931505754</v>
      </c>
      <c r="M46" s="262">
        <f>'Fuel Cost - Oil Deep-dive'!M$13</f>
        <v>475.92198931505754</v>
      </c>
      <c r="N46" s="262">
        <f>'Fuel Cost - Oil Deep-dive'!N$13</f>
        <v>475.92198931505754</v>
      </c>
      <c r="O46" s="448">
        <f>'Fuel Cost - Oil Deep-dive'!O$13</f>
        <v>475.92198931505754</v>
      </c>
      <c r="P46" s="448">
        <f>'Fuel Cost - Oil Deep-dive'!P$13</f>
        <v>475.92198931505754</v>
      </c>
      <c r="Q46" s="448">
        <f>'Fuel Cost - Oil Deep-dive'!Q$13</f>
        <v>475.92198931505754</v>
      </c>
      <c r="R46" s="448">
        <f>'Fuel Cost - Oil Deep-dive'!R$13</f>
        <v>475.92198931505754</v>
      </c>
      <c r="S46" s="448">
        <f>'Fuel Cost - Oil Deep-dive'!S$13</f>
        <v>475.92198931505754</v>
      </c>
      <c r="T46" s="15"/>
      <c r="U46" s="5"/>
    </row>
    <row r="47" spans="2:21" ht="14.25" x14ac:dyDescent="0.2">
      <c r="B47" s="421" t="str">
        <f>_xlfn.TEXTJOIN(keydelim,TRUE,D47,C47,E47,F47)</f>
        <v>LPG - Middle East - Fuel cost - USD/ton</v>
      </c>
      <c r="C47" t="s">
        <v>197</v>
      </c>
      <c r="D47" t="str">
        <f>D41</f>
        <v>LPG</v>
      </c>
      <c r="E47" t="s">
        <v>57</v>
      </c>
      <c r="F47" s="128" t="s">
        <v>205</v>
      </c>
      <c r="H47" s="262">
        <f>'Fuel Cost - Oil Deep-dive'!H$13</f>
        <v>760.15317737821692</v>
      </c>
      <c r="I47" s="262">
        <f>'Fuel Cost - Oil Deep-dive'!I$13</f>
        <v>545.32727942350346</v>
      </c>
      <c r="J47" s="262">
        <f>'Fuel Cost - Oil Deep-dive'!J$13</f>
        <v>475.92198931505754</v>
      </c>
      <c r="K47" s="262">
        <f>'Fuel Cost - Oil Deep-dive'!K$13</f>
        <v>475.92198931505754</v>
      </c>
      <c r="L47" s="262">
        <f>'Fuel Cost - Oil Deep-dive'!L$13</f>
        <v>475.92198931505754</v>
      </c>
      <c r="M47" s="262">
        <f>'Fuel Cost - Oil Deep-dive'!M$13</f>
        <v>475.92198931505754</v>
      </c>
      <c r="N47" s="262">
        <f>'Fuel Cost - Oil Deep-dive'!N$13</f>
        <v>475.92198931505754</v>
      </c>
      <c r="O47" s="448">
        <f>'Fuel Cost - Oil Deep-dive'!O$13</f>
        <v>475.92198931505754</v>
      </c>
      <c r="P47" s="448">
        <f>'Fuel Cost - Oil Deep-dive'!P$13</f>
        <v>475.92198931505754</v>
      </c>
      <c r="Q47" s="448">
        <f>'Fuel Cost - Oil Deep-dive'!Q$13</f>
        <v>475.92198931505754</v>
      </c>
      <c r="R47" s="448">
        <f>'Fuel Cost - Oil Deep-dive'!R$13</f>
        <v>475.92198931505754</v>
      </c>
      <c r="S47" s="448">
        <f>'Fuel Cost - Oil Deep-dive'!S$13</f>
        <v>475.92198931505754</v>
      </c>
      <c r="T47" s="15"/>
      <c r="U47" s="5"/>
    </row>
    <row r="48" spans="2:21" ht="14.25" x14ac:dyDescent="0.2">
      <c r="B48" s="421" t="str">
        <f>_xlfn.TEXTJOIN(keydelim,TRUE,D48,C48,E48,F48)</f>
        <v>LPG - Americas - Fuel cost - USD/ton</v>
      </c>
      <c r="C48" t="s">
        <v>199</v>
      </c>
      <c r="D48" t="str">
        <f>D42</f>
        <v>LPG</v>
      </c>
      <c r="E48" t="s">
        <v>57</v>
      </c>
      <c r="F48" s="128" t="s">
        <v>205</v>
      </c>
      <c r="H48" s="262">
        <f>'Fuel Cost - Oil Deep-dive'!H$13</f>
        <v>760.15317737821692</v>
      </c>
      <c r="I48" s="262">
        <f>'Fuel Cost - Oil Deep-dive'!I$13</f>
        <v>545.32727942350346</v>
      </c>
      <c r="J48" s="262">
        <f>'Fuel Cost - Oil Deep-dive'!J$13</f>
        <v>475.92198931505754</v>
      </c>
      <c r="K48" s="262">
        <f>'Fuel Cost - Oil Deep-dive'!K$13</f>
        <v>475.92198931505754</v>
      </c>
      <c r="L48" s="262">
        <f>'Fuel Cost - Oil Deep-dive'!L$13</f>
        <v>475.92198931505754</v>
      </c>
      <c r="M48" s="262">
        <f>'Fuel Cost - Oil Deep-dive'!M$13</f>
        <v>475.92198931505754</v>
      </c>
      <c r="N48" s="262">
        <f>'Fuel Cost - Oil Deep-dive'!N$13</f>
        <v>475.92198931505754</v>
      </c>
      <c r="O48" s="448">
        <f>'Fuel Cost - Oil Deep-dive'!O$13</f>
        <v>475.92198931505754</v>
      </c>
      <c r="P48" s="448">
        <f>'Fuel Cost - Oil Deep-dive'!P$13</f>
        <v>475.92198931505754</v>
      </c>
      <c r="Q48" s="448">
        <f>'Fuel Cost - Oil Deep-dive'!Q$13</f>
        <v>475.92198931505754</v>
      </c>
      <c r="R48" s="448">
        <f>'Fuel Cost - Oil Deep-dive'!R$13</f>
        <v>475.92198931505754</v>
      </c>
      <c r="S48" s="448">
        <f>'Fuel Cost - Oil Deep-dive'!S$13</f>
        <v>475.92198931505754</v>
      </c>
      <c r="T48" s="15"/>
      <c r="U48" s="5"/>
    </row>
    <row r="49" spans="2:21" ht="14.25" x14ac:dyDescent="0.2">
      <c r="B49" s="421" t="str">
        <f>_xlfn.TEXTJOIN(keydelim,TRUE,D49,C49,E49,F49)</f>
        <v>LPG - Africa&amp;Other - Fuel cost - USD/ton</v>
      </c>
      <c r="C49" t="s">
        <v>498</v>
      </c>
      <c r="D49" t="str">
        <f>D43</f>
        <v>LPG</v>
      </c>
      <c r="E49" t="s">
        <v>57</v>
      </c>
      <c r="F49" s="128" t="s">
        <v>205</v>
      </c>
      <c r="H49" s="262">
        <f>'Fuel Cost - Oil Deep-dive'!H$13</f>
        <v>760.15317737821692</v>
      </c>
      <c r="I49" s="262">
        <f>'Fuel Cost - Oil Deep-dive'!I$13</f>
        <v>545.32727942350346</v>
      </c>
      <c r="J49" s="262">
        <f>'Fuel Cost - Oil Deep-dive'!J$13</f>
        <v>475.92198931505754</v>
      </c>
      <c r="K49" s="262">
        <f>'Fuel Cost - Oil Deep-dive'!K$13</f>
        <v>475.92198931505754</v>
      </c>
      <c r="L49" s="262">
        <f>'Fuel Cost - Oil Deep-dive'!L$13</f>
        <v>475.92198931505754</v>
      </c>
      <c r="M49" s="262">
        <f>'Fuel Cost - Oil Deep-dive'!M$13</f>
        <v>475.92198931505754</v>
      </c>
      <c r="N49" s="262">
        <f>'Fuel Cost - Oil Deep-dive'!N$13</f>
        <v>475.92198931505754</v>
      </c>
      <c r="O49" s="448">
        <f>'Fuel Cost - Oil Deep-dive'!O$13</f>
        <v>475.92198931505754</v>
      </c>
      <c r="P49" s="448">
        <f>'Fuel Cost - Oil Deep-dive'!P$13</f>
        <v>475.92198931505754</v>
      </c>
      <c r="Q49" s="448">
        <f>'Fuel Cost - Oil Deep-dive'!Q$13</f>
        <v>475.92198931505754</v>
      </c>
      <c r="R49" s="448">
        <f>'Fuel Cost - Oil Deep-dive'!R$13</f>
        <v>475.92198931505754</v>
      </c>
      <c r="S49" s="448">
        <f>'Fuel Cost - Oil Deep-dive'!S$13</f>
        <v>475.92198931505754</v>
      </c>
      <c r="T49" s="15"/>
      <c r="U49" s="5"/>
    </row>
    <row r="50" spans="2:21" x14ac:dyDescent="0.2">
      <c r="D50" t="str">
        <f>SUBSTITUTE(E50," price","")</f>
        <v/>
      </c>
      <c r="T50" s="15"/>
    </row>
    <row r="51" spans="2:21" ht="14.25" x14ac:dyDescent="0.2">
      <c r="B51" s="421" t="str">
        <f>_xlfn.TEXTJOIN(keydelim,TRUE,D51,C51,E51,F51)</f>
        <v>Crude oil - Global - Reference - USD/bbl</v>
      </c>
      <c r="C51" t="s">
        <v>109</v>
      </c>
      <c r="D51" t="s">
        <v>809</v>
      </c>
      <c r="E51" t="s">
        <v>812</v>
      </c>
      <c r="F51" t="s">
        <v>203</v>
      </c>
      <c r="H51" s="262">
        <f>H$8</f>
        <v>115</v>
      </c>
      <c r="I51" s="262">
        <f t="shared" ref="I51:S51" si="17">I$8</f>
        <v>82.5</v>
      </c>
      <c r="J51" s="262">
        <f t="shared" si="17"/>
        <v>72</v>
      </c>
      <c r="K51" s="262">
        <f t="shared" si="17"/>
        <v>72</v>
      </c>
      <c r="L51" s="262">
        <f t="shared" si="17"/>
        <v>72</v>
      </c>
      <c r="M51" s="262">
        <f t="shared" si="17"/>
        <v>72</v>
      </c>
      <c r="N51" s="262">
        <f t="shared" si="17"/>
        <v>72</v>
      </c>
      <c r="O51" s="448">
        <f t="shared" si="17"/>
        <v>72</v>
      </c>
      <c r="P51" s="448">
        <f t="shared" si="17"/>
        <v>72</v>
      </c>
      <c r="Q51" s="448">
        <f t="shared" si="17"/>
        <v>72</v>
      </c>
      <c r="R51" s="448">
        <f t="shared" si="17"/>
        <v>72</v>
      </c>
      <c r="S51" s="448">
        <f t="shared" si="17"/>
        <v>72</v>
      </c>
      <c r="T51" s="15"/>
      <c r="U51" s="17"/>
    </row>
    <row r="52" spans="2:21" ht="14.25" x14ac:dyDescent="0.2">
      <c r="B52" s="421" t="str">
        <f>_xlfn.TEXTJOIN(keydelim,TRUE,D52,C52,E52,F52)</f>
        <v>Crude oil - Global - Path we are on - USD/bbl</v>
      </c>
      <c r="C52" t="s">
        <v>109</v>
      </c>
      <c r="D52" t="s">
        <v>809</v>
      </c>
      <c r="E52" t="str">
        <f>crude_price_selected</f>
        <v>Path we are on</v>
      </c>
      <c r="F52" t="s">
        <v>203</v>
      </c>
      <c r="H52" s="262">
        <f t="shared" ref="H52:S52" si="18">INDEX(H$8:H$11,MATCH(crude_price_selected,$E$8:$E$11,0))</f>
        <v>115</v>
      </c>
      <c r="I52" s="262">
        <f t="shared" si="18"/>
        <v>82.5</v>
      </c>
      <c r="J52" s="262">
        <f t="shared" si="18"/>
        <v>72</v>
      </c>
      <c r="K52" s="262">
        <f t="shared" si="18"/>
        <v>72</v>
      </c>
      <c r="L52" s="262">
        <f t="shared" si="18"/>
        <v>72</v>
      </c>
      <c r="M52" s="262">
        <f t="shared" si="18"/>
        <v>72</v>
      </c>
      <c r="N52" s="262">
        <f t="shared" si="18"/>
        <v>72</v>
      </c>
      <c r="O52" s="448">
        <f t="shared" si="18"/>
        <v>72</v>
      </c>
      <c r="P52" s="448">
        <f t="shared" si="18"/>
        <v>72</v>
      </c>
      <c r="Q52" s="448">
        <f t="shared" si="18"/>
        <v>72</v>
      </c>
      <c r="R52" s="448">
        <f t="shared" si="18"/>
        <v>72</v>
      </c>
      <c r="S52" s="448">
        <f t="shared" si="18"/>
        <v>72</v>
      </c>
      <c r="T52" s="15"/>
      <c r="U52" s="17"/>
    </row>
    <row r="53" spans="2:21" ht="14.25" x14ac:dyDescent="0.2">
      <c r="B53" s="421" t="str">
        <f>_xlfn.TEXTJOIN(keydelim,TRUE,D53,C53,E53,F53)</f>
        <v>LSFO - Global - Crude correction - %</v>
      </c>
      <c r="C53" t="s">
        <v>109</v>
      </c>
      <c r="D53" t="s">
        <v>117</v>
      </c>
      <c r="E53" t="s">
        <v>813</v>
      </c>
      <c r="F53" s="128" t="s">
        <v>178</v>
      </c>
      <c r="G53" s="86"/>
      <c r="H53" s="262">
        <f t="shared" ref="H53:S53" si="19">(H52/H51-1)+1</f>
        <v>1</v>
      </c>
      <c r="I53" s="262">
        <f t="shared" si="19"/>
        <v>1</v>
      </c>
      <c r="J53" s="262">
        <f t="shared" si="19"/>
        <v>1</v>
      </c>
      <c r="K53" s="262">
        <f t="shared" si="19"/>
        <v>1</v>
      </c>
      <c r="L53" s="262">
        <f t="shared" si="19"/>
        <v>1</v>
      </c>
      <c r="M53" s="262">
        <f t="shared" si="19"/>
        <v>1</v>
      </c>
      <c r="N53" s="262">
        <f t="shared" si="19"/>
        <v>1</v>
      </c>
      <c r="O53" s="448">
        <f t="shared" si="19"/>
        <v>1</v>
      </c>
      <c r="P53" s="448">
        <f t="shared" si="19"/>
        <v>1</v>
      </c>
      <c r="Q53" s="448">
        <f t="shared" si="19"/>
        <v>1</v>
      </c>
      <c r="R53" s="448">
        <f t="shared" si="19"/>
        <v>1</v>
      </c>
      <c r="S53" s="448">
        <f t="shared" si="19"/>
        <v>1</v>
      </c>
      <c r="T53" s="15"/>
      <c r="U53" s="17"/>
    </row>
    <row r="54" spans="2:21" ht="15" x14ac:dyDescent="0.25">
      <c r="B54" s="421"/>
      <c r="C54" s="30"/>
      <c r="D54" t="str">
        <f>SUBSTITUTE(E54," price","")</f>
        <v/>
      </c>
      <c r="E54" s="30"/>
      <c r="F54" s="128"/>
      <c r="G54" s="9"/>
      <c r="T54" s="15"/>
    </row>
    <row r="55" spans="2:21" s="443" customFormat="1" ht="15" x14ac:dyDescent="0.25">
      <c r="B55" s="443" t="s">
        <v>54</v>
      </c>
      <c r="T55" s="15"/>
      <c r="U55" s="444"/>
    </row>
    <row r="56" spans="2:21" ht="14.25" x14ac:dyDescent="0.2">
      <c r="B56" s="421" t="str">
        <f>_xlfn.TEXTJOIN(keydelim,TRUE,D56,C56,E56,F56)</f>
        <v>Electricity - Europe - Fuel cost - USD/kWh</v>
      </c>
      <c r="C56" t="s">
        <v>195</v>
      </c>
      <c r="D56" t="str">
        <f>B55</f>
        <v>Electricity</v>
      </c>
      <c r="E56" t="s">
        <v>57</v>
      </c>
      <c r="F56" s="128" t="s">
        <v>794</v>
      </c>
      <c r="H56" s="710">
        <f>'Fuel Model -  Input'!H64/1000</f>
        <v>5.459651825147982E-2</v>
      </c>
      <c r="I56" s="710">
        <f>'Fuel Model -  Input'!I64/1000</f>
        <v>4.4178163428608017E-2</v>
      </c>
      <c r="J56" s="710">
        <f>'Fuel Model -  Input'!J64/1000</f>
        <v>3.576006977418876E-2</v>
      </c>
      <c r="K56" s="710">
        <f>'Fuel Model -  Input'!K64/1000</f>
        <v>3.2262353602492917E-2</v>
      </c>
      <c r="L56" s="710">
        <f>'Fuel Model -  Input'!L64/1000</f>
        <v>3.0174039268111831E-2</v>
      </c>
      <c r="M56" s="710">
        <f>'Fuel Model -  Input'!M64/1000</f>
        <v>2.7939919953355003E-2</v>
      </c>
      <c r="N56" s="710">
        <f>'Fuel Model -  Input'!N64/1000</f>
        <v>2.6309860491239116E-2</v>
      </c>
      <c r="O56" s="100">
        <f>N56</f>
        <v>2.6309860491239116E-2</v>
      </c>
      <c r="P56" s="100">
        <f t="shared" ref="P56:S56" si="20">O56</f>
        <v>2.6309860491239116E-2</v>
      </c>
      <c r="Q56" s="100">
        <f t="shared" si="20"/>
        <v>2.6309860491239116E-2</v>
      </c>
      <c r="R56" s="100">
        <f t="shared" si="20"/>
        <v>2.6309860491239116E-2</v>
      </c>
      <c r="S56" s="100">
        <f t="shared" si="20"/>
        <v>2.6309860491239116E-2</v>
      </c>
      <c r="T56" s="15"/>
    </row>
    <row r="57" spans="2:21" ht="14.25" x14ac:dyDescent="0.2">
      <c r="B57" s="421" t="str">
        <f>_xlfn.TEXTJOIN(keydelim,TRUE,D57,C57,E57,F57)</f>
        <v>Electricity - Asia - Fuel cost - USD/kWh</v>
      </c>
      <c r="C57" t="s">
        <v>198</v>
      </c>
      <c r="D57" t="str">
        <f>D56</f>
        <v>Electricity</v>
      </c>
      <c r="E57" t="s">
        <v>57</v>
      </c>
      <c r="F57" s="128" t="s">
        <v>794</v>
      </c>
      <c r="H57" s="710">
        <f>'Fuel Model -  Input'!H66/1000</f>
        <v>8.2061686148726054E-2</v>
      </c>
      <c r="I57" s="710">
        <f>'Fuel Model -  Input'!I66/1000</f>
        <v>5.3528213383864834E-2</v>
      </c>
      <c r="J57" s="710">
        <f>'Fuel Model -  Input'!J66/1000</f>
        <v>4.3293493635656932E-2</v>
      </c>
      <c r="K57" s="710">
        <f>'Fuel Model -  Input'!K66/1000</f>
        <v>3.6337065788929632E-2</v>
      </c>
      <c r="L57" s="710">
        <f>'Fuel Model -  Input'!L66/1000</f>
        <v>3.2800249332911001E-2</v>
      </c>
      <c r="M57" s="710">
        <f>'Fuel Model -  Input'!M66/1000</f>
        <v>2.90981641388437E-2</v>
      </c>
      <c r="N57" s="710">
        <f>'Fuel Model -  Input'!N66/1000</f>
        <v>2.7400436938991028E-2</v>
      </c>
      <c r="O57" s="100">
        <f t="shared" ref="O57:S57" si="21">N57</f>
        <v>2.7400436938991028E-2</v>
      </c>
      <c r="P57" s="100">
        <f t="shared" si="21"/>
        <v>2.7400436938991028E-2</v>
      </c>
      <c r="Q57" s="100">
        <f t="shared" si="21"/>
        <v>2.7400436938991028E-2</v>
      </c>
      <c r="R57" s="100">
        <f t="shared" si="21"/>
        <v>2.7400436938991028E-2</v>
      </c>
      <c r="S57" s="100">
        <f t="shared" si="21"/>
        <v>2.7400436938991028E-2</v>
      </c>
      <c r="T57" s="15"/>
    </row>
    <row r="58" spans="2:21" ht="14.25" x14ac:dyDescent="0.2">
      <c r="B58" s="421" t="str">
        <f>_xlfn.TEXTJOIN(keydelim,TRUE,D58,C58,E58,F58)</f>
        <v>Electricity - Middle East - Fuel cost - USD/kWh</v>
      </c>
      <c r="C58" t="s">
        <v>197</v>
      </c>
      <c r="D58" t="str">
        <f>D57</f>
        <v>Electricity</v>
      </c>
      <c r="E58" t="s">
        <v>57</v>
      </c>
      <c r="F58" s="128" t="s">
        <v>794</v>
      </c>
      <c r="H58" s="710">
        <f>'Fuel Model -  Input'!H65/1000</f>
        <v>4.1921157991354326E-2</v>
      </c>
      <c r="I58" s="710">
        <f>'Fuel Model -  Input'!I65/1000</f>
        <v>3.3753089127704076E-2</v>
      </c>
      <c r="J58" s="710">
        <f>'Fuel Model -  Input'!J65/1000</f>
        <v>2.834507912512213E-2</v>
      </c>
      <c r="K58" s="710">
        <f>'Fuel Model -  Input'!K65/1000</f>
        <v>2.4531808876328748E-2</v>
      </c>
      <c r="L58" s="710">
        <f>'Fuel Model -  Input'!L65/1000</f>
        <v>2.2619875270216E-2</v>
      </c>
      <c r="M58" s="710">
        <f>'Fuel Model -  Input'!M65/1000</f>
        <v>2.0112573077486602E-2</v>
      </c>
      <c r="N58" s="710">
        <f>'Fuel Model -  Input'!N65/1000</f>
        <v>1.8939076996693921E-2</v>
      </c>
      <c r="O58" s="100">
        <f t="shared" ref="O58:S58" si="22">N58</f>
        <v>1.8939076996693921E-2</v>
      </c>
      <c r="P58" s="100">
        <f t="shared" si="22"/>
        <v>1.8939076996693921E-2</v>
      </c>
      <c r="Q58" s="100">
        <f t="shared" si="22"/>
        <v>1.8939076996693921E-2</v>
      </c>
      <c r="R58" s="100">
        <f t="shared" si="22"/>
        <v>1.8939076996693921E-2</v>
      </c>
      <c r="S58" s="100">
        <f t="shared" si="22"/>
        <v>1.8939076996693921E-2</v>
      </c>
      <c r="T58" s="15"/>
    </row>
    <row r="59" spans="2:21" ht="14.25" x14ac:dyDescent="0.2">
      <c r="B59" s="421" t="str">
        <f>_xlfn.TEXTJOIN(keydelim,TRUE,D59,C59,E59,F59)</f>
        <v>Electricity - Americas - Fuel cost - USD/kWh</v>
      </c>
      <c r="C59" t="s">
        <v>199</v>
      </c>
      <c r="D59" t="str">
        <f>D58</f>
        <v>Electricity</v>
      </c>
      <c r="E59" t="s">
        <v>57</v>
      </c>
      <c r="F59" s="128" t="s">
        <v>794</v>
      </c>
      <c r="H59" s="710">
        <f>'Fuel Model -  Input'!H67/1000</f>
        <v>3.8966405703150943E-2</v>
      </c>
      <c r="I59" s="710">
        <f>'Fuel Model -  Input'!I67/1000</f>
        <v>3.5167703764177875E-2</v>
      </c>
      <c r="J59" s="710">
        <f>'Fuel Model -  Input'!J67/1000</f>
        <v>2.8746405825398561E-2</v>
      </c>
      <c r="K59" s="710">
        <f>'Fuel Model -  Input'!K67/1000</f>
        <v>2.565632309025968E-2</v>
      </c>
      <c r="L59" s="710">
        <f>'Fuel Model -  Input'!L67/1000</f>
        <v>2.3151426016069131E-2</v>
      </c>
      <c r="M59" s="710">
        <f>'Fuel Model -  Input'!M67/1000</f>
        <v>2.2142282710121735E-2</v>
      </c>
      <c r="N59" s="710">
        <f>'Fuel Model -  Input'!N67/1000</f>
        <v>2.1380955513479381E-2</v>
      </c>
      <c r="O59" s="100">
        <f t="shared" ref="O59:S59" si="23">N59</f>
        <v>2.1380955513479381E-2</v>
      </c>
      <c r="P59" s="100">
        <f t="shared" si="23"/>
        <v>2.1380955513479381E-2</v>
      </c>
      <c r="Q59" s="100">
        <f t="shared" si="23"/>
        <v>2.1380955513479381E-2</v>
      </c>
      <c r="R59" s="100">
        <f t="shared" si="23"/>
        <v>2.1380955513479381E-2</v>
      </c>
      <c r="S59" s="100">
        <f t="shared" si="23"/>
        <v>2.1380955513479381E-2</v>
      </c>
      <c r="T59" s="15"/>
    </row>
    <row r="60" spans="2:21" s="157" customFormat="1" ht="14.25" x14ac:dyDescent="0.2">
      <c r="B60" s="421" t="str">
        <f>_xlfn.TEXTJOIN(keydelim,TRUE,D60,C60,E60,F60)</f>
        <v>Electricity - Africa&amp;Other - Fuel cost - USD/kWh</v>
      </c>
      <c r="C60" s="157" t="s">
        <v>498</v>
      </c>
      <c r="D60" s="157" t="str">
        <f>D59</f>
        <v>Electricity</v>
      </c>
      <c r="E60" t="s">
        <v>57</v>
      </c>
      <c r="F60" s="450" t="s">
        <v>794</v>
      </c>
      <c r="H60" s="710">
        <f>'Fuel Model -  Input'!H68/1000</f>
        <v>7.8959338985079411E-2</v>
      </c>
      <c r="I60" s="710">
        <f>'Fuel Model -  Input'!I68/1000</f>
        <v>4.4676785560803518E-2</v>
      </c>
      <c r="J60" s="710">
        <f>'Fuel Model -  Input'!J68/1000</f>
        <v>3.5119981181981452E-2</v>
      </c>
      <c r="K60" s="710">
        <f>'Fuel Model -  Input'!K68/1000</f>
        <v>2.9785360764210216E-2</v>
      </c>
      <c r="L60" s="710">
        <f>'Fuel Model -  Input'!L68/1000</f>
        <v>2.7274442592674798E-2</v>
      </c>
      <c r="M60" s="710">
        <f>'Fuel Model -  Input'!M68/1000</f>
        <v>2.4692537876031397E-2</v>
      </c>
      <c r="N60" s="710">
        <f>'Fuel Model -  Input'!N68/1000</f>
        <v>2.3425269893906371E-2</v>
      </c>
      <c r="O60" s="100">
        <f t="shared" ref="O60:S60" si="24">N60</f>
        <v>2.3425269893906371E-2</v>
      </c>
      <c r="P60" s="100">
        <f t="shared" si="24"/>
        <v>2.3425269893906371E-2</v>
      </c>
      <c r="Q60" s="100">
        <f t="shared" si="24"/>
        <v>2.3425269893906371E-2</v>
      </c>
      <c r="R60" s="100">
        <f t="shared" si="24"/>
        <v>2.3425269893906371E-2</v>
      </c>
      <c r="S60" s="100">
        <f t="shared" si="24"/>
        <v>2.3425269893906371E-2</v>
      </c>
      <c r="T60" s="15"/>
      <c r="U60"/>
    </row>
    <row r="61" spans="2:21" ht="15" x14ac:dyDescent="0.25">
      <c r="B61" s="421"/>
      <c r="C61" s="30"/>
      <c r="D61" t="str">
        <f>SUBSTITUTE(E61," price","")</f>
        <v/>
      </c>
      <c r="E61" s="30"/>
      <c r="F61" s="128"/>
      <c r="T61" s="15"/>
    </row>
    <row r="62" spans="2:21" ht="14.25" x14ac:dyDescent="0.2">
      <c r="B62" s="421" t="str">
        <f>_xlfn.TEXTJOIN(keydelim,TRUE,D62,C62,E62,F62)</f>
        <v>Electricity - Europe - Fuel cost - USD/GJ</v>
      </c>
      <c r="C62" t="s">
        <v>195</v>
      </c>
      <c r="D62" t="str">
        <f>D57</f>
        <v>Electricity</v>
      </c>
      <c r="E62" t="s">
        <v>57</v>
      </c>
      <c r="F62" s="128" t="s">
        <v>324</v>
      </c>
      <c r="H62" s="340">
        <f t="shared" ref="H62:S62" si="25">H56*kwh_per_MJ*1000</f>
        <v>15.16569951429995</v>
      </c>
      <c r="I62" s="6">
        <f t="shared" si="25"/>
        <v>12.271712063502227</v>
      </c>
      <c r="J62" s="6">
        <f t="shared" si="25"/>
        <v>9.9333527150524326</v>
      </c>
      <c r="K62" s="6">
        <f t="shared" si="25"/>
        <v>8.9617648895813655</v>
      </c>
      <c r="L62" s="6">
        <f t="shared" si="25"/>
        <v>8.3816775744755088</v>
      </c>
      <c r="M62" s="6">
        <f t="shared" si="25"/>
        <v>7.7610888759319465</v>
      </c>
      <c r="N62" s="6">
        <f t="shared" si="25"/>
        <v>7.3082945808997541</v>
      </c>
      <c r="O62" s="100">
        <f t="shared" si="25"/>
        <v>7.3082945808997541</v>
      </c>
      <c r="P62" s="100">
        <f t="shared" si="25"/>
        <v>7.3082945808997541</v>
      </c>
      <c r="Q62" s="100">
        <f t="shared" si="25"/>
        <v>7.3082945808997541</v>
      </c>
      <c r="R62" s="100">
        <f t="shared" si="25"/>
        <v>7.3082945808997541</v>
      </c>
      <c r="S62" s="100">
        <f t="shared" si="25"/>
        <v>7.3082945808997541</v>
      </c>
      <c r="T62" s="15"/>
      <c r="U62" s="5"/>
    </row>
    <row r="63" spans="2:21" ht="14.25" x14ac:dyDescent="0.2">
      <c r="B63" s="421" t="str">
        <f>_xlfn.TEXTJOIN(keydelim,TRUE,D63,C63,E63,F63)</f>
        <v>Electricity - Asia - Fuel cost - USD/GJ</v>
      </c>
      <c r="C63" t="s">
        <v>198</v>
      </c>
      <c r="D63" t="str">
        <f>D62</f>
        <v>Electricity</v>
      </c>
      <c r="E63" t="s">
        <v>57</v>
      </c>
      <c r="F63" s="128" t="s">
        <v>324</v>
      </c>
      <c r="H63" s="340">
        <f t="shared" ref="H63" si="26">H57*kwh_per_MJ*1000</f>
        <v>22.79491281909057</v>
      </c>
      <c r="I63" s="6">
        <f t="shared" ref="I63:S63" si="27">I57*kwh_per_MJ*1000</f>
        <v>14.868948162184678</v>
      </c>
      <c r="J63" s="6">
        <f t="shared" si="27"/>
        <v>12.025970454349149</v>
      </c>
      <c r="K63" s="6">
        <f t="shared" si="27"/>
        <v>10.093629385813786</v>
      </c>
      <c r="L63" s="6">
        <f t="shared" si="27"/>
        <v>9.1111803702530558</v>
      </c>
      <c r="M63" s="6">
        <f t="shared" si="27"/>
        <v>8.0828233719010285</v>
      </c>
      <c r="N63" s="6">
        <f t="shared" si="27"/>
        <v>7.6112324830530635</v>
      </c>
      <c r="O63" s="100">
        <f t="shared" si="27"/>
        <v>7.6112324830530635</v>
      </c>
      <c r="P63" s="100">
        <f t="shared" si="27"/>
        <v>7.6112324830530635</v>
      </c>
      <c r="Q63" s="100">
        <f t="shared" si="27"/>
        <v>7.6112324830530635</v>
      </c>
      <c r="R63" s="100">
        <f t="shared" si="27"/>
        <v>7.6112324830530635</v>
      </c>
      <c r="S63" s="100">
        <f t="shared" si="27"/>
        <v>7.6112324830530635</v>
      </c>
      <c r="T63" s="15"/>
      <c r="U63" s="5"/>
    </row>
    <row r="64" spans="2:21" ht="14.25" x14ac:dyDescent="0.2">
      <c r="B64" s="421" t="str">
        <f>_xlfn.TEXTJOIN(keydelim,TRUE,D64,C64,E64,F64)</f>
        <v>Electricity - Middle East - Fuel cost - USD/GJ</v>
      </c>
      <c r="C64" t="s">
        <v>197</v>
      </c>
      <c r="D64" t="str">
        <f>D63</f>
        <v>Electricity</v>
      </c>
      <c r="E64" t="s">
        <v>57</v>
      </c>
      <c r="F64" s="128" t="s">
        <v>324</v>
      </c>
      <c r="H64" s="340">
        <f t="shared" ref="H64" si="28">H58*kwh_per_MJ*1000</f>
        <v>11.644766108709534</v>
      </c>
      <c r="I64" s="6">
        <f t="shared" ref="I64:S64" si="29">I58*kwh_per_MJ*1000</f>
        <v>9.3758580910289115</v>
      </c>
      <c r="J64" s="6">
        <f t="shared" si="29"/>
        <v>7.8736330903117038</v>
      </c>
      <c r="K64" s="6">
        <f t="shared" si="29"/>
        <v>6.8143913545357639</v>
      </c>
      <c r="L64" s="6">
        <f t="shared" si="29"/>
        <v>6.2832986861711122</v>
      </c>
      <c r="M64" s="6">
        <f t="shared" si="29"/>
        <v>5.5868258548573895</v>
      </c>
      <c r="N64" s="6">
        <f t="shared" si="29"/>
        <v>5.2608547213038674</v>
      </c>
      <c r="O64" s="100">
        <f t="shared" si="29"/>
        <v>5.2608547213038674</v>
      </c>
      <c r="P64" s="100">
        <f t="shared" si="29"/>
        <v>5.2608547213038674</v>
      </c>
      <c r="Q64" s="100">
        <f t="shared" si="29"/>
        <v>5.2608547213038674</v>
      </c>
      <c r="R64" s="100">
        <f t="shared" si="29"/>
        <v>5.2608547213038674</v>
      </c>
      <c r="S64" s="100">
        <f t="shared" si="29"/>
        <v>5.2608547213038674</v>
      </c>
      <c r="T64" s="15"/>
      <c r="U64" s="5"/>
    </row>
    <row r="65" spans="2:21" ht="14.25" x14ac:dyDescent="0.2">
      <c r="B65" s="421" t="str">
        <f>_xlfn.TEXTJOIN(keydelim,TRUE,D65,C65,E65,F65)</f>
        <v>Electricity - Americas - Fuel cost - USD/GJ</v>
      </c>
      <c r="C65" t="s">
        <v>199</v>
      </c>
      <c r="D65" t="str">
        <f>D64</f>
        <v>Electricity</v>
      </c>
      <c r="E65" t="s">
        <v>57</v>
      </c>
      <c r="F65" s="128" t="s">
        <v>324</v>
      </c>
      <c r="H65" s="340">
        <f t="shared" ref="H65" si="30">H59*kwh_per_MJ*1000</f>
        <v>10.824001584208597</v>
      </c>
      <c r="I65" s="6">
        <f t="shared" ref="I65:S65" si="31">I59*kwh_per_MJ*1000</f>
        <v>9.7688066011605219</v>
      </c>
      <c r="J65" s="6">
        <f t="shared" si="31"/>
        <v>7.9851127292773789</v>
      </c>
      <c r="K65" s="6">
        <f t="shared" si="31"/>
        <v>7.1267564139610222</v>
      </c>
      <c r="L65" s="6">
        <f t="shared" si="31"/>
        <v>6.4309516711303143</v>
      </c>
      <c r="M65" s="6">
        <f t="shared" si="31"/>
        <v>6.1506340861449269</v>
      </c>
      <c r="N65" s="6">
        <f t="shared" si="31"/>
        <v>5.9391543092998287</v>
      </c>
      <c r="O65" s="100">
        <f t="shared" si="31"/>
        <v>5.9391543092998287</v>
      </c>
      <c r="P65" s="100">
        <f t="shared" si="31"/>
        <v>5.9391543092998287</v>
      </c>
      <c r="Q65" s="100">
        <f t="shared" si="31"/>
        <v>5.9391543092998287</v>
      </c>
      <c r="R65" s="100">
        <f t="shared" si="31"/>
        <v>5.9391543092998287</v>
      </c>
      <c r="S65" s="100">
        <f t="shared" si="31"/>
        <v>5.9391543092998287</v>
      </c>
      <c r="T65" s="15"/>
      <c r="U65" s="5"/>
    </row>
    <row r="66" spans="2:21" ht="14.25" x14ac:dyDescent="0.2">
      <c r="B66" s="421" t="str">
        <f>_xlfn.TEXTJOIN(keydelim,TRUE,D66,C66,E66,F66)</f>
        <v>Electricity - Africa&amp;Other - Fuel cost - USD/GJ</v>
      </c>
      <c r="C66" t="s">
        <v>498</v>
      </c>
      <c r="D66" t="str">
        <f>D65</f>
        <v>Electricity</v>
      </c>
      <c r="E66" t="s">
        <v>57</v>
      </c>
      <c r="F66" s="128" t="s">
        <v>324</v>
      </c>
      <c r="H66" s="340">
        <f t="shared" ref="H66" si="32">H60*kwh_per_MJ*1000</f>
        <v>21.933149718077615</v>
      </c>
      <c r="I66" s="6">
        <f t="shared" ref="I66:S66" si="33">I60*kwh_per_MJ*1000</f>
        <v>12.410218211334312</v>
      </c>
      <c r="J66" s="6">
        <f t="shared" si="33"/>
        <v>9.7555503283281819</v>
      </c>
      <c r="K66" s="6">
        <f t="shared" si="33"/>
        <v>8.2737113233917281</v>
      </c>
      <c r="L66" s="6">
        <f t="shared" si="33"/>
        <v>7.5762340535207775</v>
      </c>
      <c r="M66" s="6">
        <f t="shared" si="33"/>
        <v>6.8590382988976106</v>
      </c>
      <c r="N66" s="6">
        <f t="shared" si="33"/>
        <v>6.5070194149739917</v>
      </c>
      <c r="O66" s="100">
        <f t="shared" si="33"/>
        <v>6.5070194149739917</v>
      </c>
      <c r="P66" s="100">
        <f t="shared" si="33"/>
        <v>6.5070194149739917</v>
      </c>
      <c r="Q66" s="100">
        <f t="shared" si="33"/>
        <v>6.5070194149739917</v>
      </c>
      <c r="R66" s="100">
        <f t="shared" si="33"/>
        <v>6.5070194149739917</v>
      </c>
      <c r="S66" s="100">
        <f t="shared" si="33"/>
        <v>6.5070194149739917</v>
      </c>
      <c r="T66" s="15"/>
      <c r="U66" s="5"/>
    </row>
    <row r="67" spans="2:21" x14ac:dyDescent="0.2">
      <c r="T67" s="15"/>
    </row>
    <row r="68" spans="2:21" x14ac:dyDescent="0.2">
      <c r="T68" s="15"/>
    </row>
    <row r="69" spans="2:21" x14ac:dyDescent="0.2">
      <c r="T69" s="15"/>
    </row>
    <row r="70" spans="2:21" hidden="1" x14ac:dyDescent="0.2">
      <c r="T70" s="15"/>
    </row>
    <row r="71" spans="2:21" hidden="1" x14ac:dyDescent="0.2">
      <c r="T71" s="15"/>
    </row>
    <row r="72" spans="2:21" hidden="1" x14ac:dyDescent="0.2">
      <c r="F72" s="18"/>
      <c r="T72" s="15"/>
    </row>
    <row r="73" spans="2:21" hidden="1" x14ac:dyDescent="0.2">
      <c r="F73" s="18"/>
      <c r="T73" s="15"/>
    </row>
    <row r="74" spans="2:21" hidden="1" x14ac:dyDescent="0.2">
      <c r="F74" s="18"/>
      <c r="T74" s="15"/>
    </row>
    <row r="75" spans="2:21" hidden="1" x14ac:dyDescent="0.2">
      <c r="F75" s="18"/>
      <c r="T75" s="15"/>
    </row>
    <row r="76" spans="2:21" hidden="1" x14ac:dyDescent="0.2">
      <c r="F76" s="18"/>
      <c r="T76" s="15"/>
    </row>
    <row r="77" spans="2:21" hidden="1" x14ac:dyDescent="0.2">
      <c r="F77" s="18"/>
      <c r="T77" s="15"/>
    </row>
    <row r="78" spans="2:21" hidden="1" x14ac:dyDescent="0.2">
      <c r="F78" s="18"/>
      <c r="T78" s="15"/>
    </row>
    <row r="79" spans="2:21" hidden="1" x14ac:dyDescent="0.2">
      <c r="F79" s="18"/>
      <c r="T79" s="15"/>
    </row>
    <row r="80" spans="2:21" hidden="1" x14ac:dyDescent="0.2">
      <c r="F80" s="18"/>
      <c r="T80" s="15"/>
    </row>
    <row r="81" spans="6:20" hidden="1" x14ac:dyDescent="0.2">
      <c r="F81" s="18"/>
      <c r="T81" s="15"/>
    </row>
    <row r="82" spans="6:20" hidden="1" x14ac:dyDescent="0.2">
      <c r="F82" s="18"/>
    </row>
    <row r="91" spans="6:20" x14ac:dyDescent="0.2"/>
    <row r="92" spans="6:20" x14ac:dyDescent="0.2"/>
    <row r="93" spans="6:20" x14ac:dyDescent="0.2"/>
    <row r="94" spans="6:20" x14ac:dyDescent="0.2"/>
    <row r="95" spans="6:20" x14ac:dyDescent="0.2"/>
    <row r="96" spans="6:20" x14ac:dyDescent="0.2"/>
    <row r="112" x14ac:dyDescent="0.2"/>
    <row r="336" x14ac:dyDescent="0.2"/>
    <row r="345" spans="4:4" ht="14.25" hidden="1" x14ac:dyDescent="0.2">
      <c r="D345" s="411"/>
    </row>
    <row r="346" spans="4:4" ht="14.25" hidden="1" x14ac:dyDescent="0.2">
      <c r="D346" s="411"/>
    </row>
    <row r="347" spans="4:4" ht="14.25" hidden="1" x14ac:dyDescent="0.2">
      <c r="D347" s="411"/>
    </row>
    <row r="348" spans="4:4" ht="14.25" hidden="1" x14ac:dyDescent="0.2">
      <c r="D348" s="411"/>
    </row>
    <row r="349" spans="4:4" ht="14.25" hidden="1" x14ac:dyDescent="0.2">
      <c r="D349" s="411"/>
    </row>
    <row r="350" spans="4:4" ht="14.25" hidden="1" x14ac:dyDescent="0.2">
      <c r="D350" s="411"/>
    </row>
    <row r="351" spans="4:4" ht="14.25" hidden="1" x14ac:dyDescent="0.2">
      <c r="D351" s="411"/>
    </row>
    <row r="352" spans="4:4" ht="14.25" hidden="1" x14ac:dyDescent="0.2">
      <c r="D352" s="411"/>
    </row>
    <row r="353" spans="4:4" ht="14.25" hidden="1" x14ac:dyDescent="0.2">
      <c r="D353" s="411"/>
    </row>
    <row r="354" spans="4:4" ht="14.25" hidden="1" x14ac:dyDescent="0.2">
      <c r="D354" s="411"/>
    </row>
    <row r="355" spans="4:4" ht="14.25" hidden="1" x14ac:dyDescent="0.2">
      <c r="D355" s="411"/>
    </row>
    <row r="356" spans="4:4" ht="14.25" hidden="1" x14ac:dyDescent="0.2">
      <c r="D356" s="411"/>
    </row>
    <row r="357" spans="4:4" ht="14.25" hidden="1" x14ac:dyDescent="0.2">
      <c r="D357" s="411"/>
    </row>
    <row r="358" spans="4:4" ht="14.25" hidden="1" x14ac:dyDescent="0.2">
      <c r="D358" s="411"/>
    </row>
    <row r="359" spans="4:4" ht="14.25" hidden="1" x14ac:dyDescent="0.2">
      <c r="D359" s="411"/>
    </row>
    <row r="360" spans="4:4" ht="14.25" hidden="1" x14ac:dyDescent="0.2">
      <c r="D360" s="411"/>
    </row>
    <row r="361" spans="4:4" ht="14.25" hidden="1" x14ac:dyDescent="0.2">
      <c r="D361" s="411"/>
    </row>
    <row r="362" spans="4:4" ht="14.25" hidden="1" x14ac:dyDescent="0.2">
      <c r="D362" s="411"/>
    </row>
    <row r="363" spans="4:4" ht="14.25" hidden="1" x14ac:dyDescent="0.2">
      <c r="D363" s="411"/>
    </row>
    <row r="364" spans="4:4" ht="14.25" hidden="1" x14ac:dyDescent="0.2">
      <c r="D364" s="411"/>
    </row>
    <row r="365" spans="4:4" ht="14.25" hidden="1" x14ac:dyDescent="0.2">
      <c r="D365" s="411"/>
    </row>
    <row r="366" spans="4:4" ht="14.25" hidden="1" x14ac:dyDescent="0.2">
      <c r="D366" s="411"/>
    </row>
    <row r="367" spans="4:4" ht="14.25" hidden="1" x14ac:dyDescent="0.2">
      <c r="D367" s="411"/>
    </row>
    <row r="368" spans="4:4" ht="14.25" hidden="1" x14ac:dyDescent="0.2">
      <c r="D368" s="411"/>
    </row>
    <row r="369" spans="4:4" ht="14.25" hidden="1" x14ac:dyDescent="0.2">
      <c r="D369" s="411"/>
    </row>
    <row r="370" spans="4:4" ht="14.25" hidden="1" x14ac:dyDescent="0.2">
      <c r="D370" s="411"/>
    </row>
    <row r="371" spans="4:4" ht="14.25" hidden="1" x14ac:dyDescent="0.2">
      <c r="D371" s="411"/>
    </row>
    <row r="372" spans="4:4" ht="14.25" hidden="1" x14ac:dyDescent="0.2">
      <c r="D372" s="411"/>
    </row>
    <row r="373" spans="4:4" ht="14.25" hidden="1" x14ac:dyDescent="0.2">
      <c r="D373" s="411"/>
    </row>
    <row r="374" spans="4:4" ht="14.25" hidden="1" x14ac:dyDescent="0.2">
      <c r="D374" s="411"/>
    </row>
    <row r="557" x14ac:dyDescent="0.2"/>
    <row r="558" x14ac:dyDescent="0.2"/>
    <row r="559" x14ac:dyDescent="0.2"/>
    <row r="560" x14ac:dyDescent="0.2"/>
    <row r="924" x14ac:dyDescent="0.2"/>
    <row r="925" x14ac:dyDescent="0.2"/>
    <row r="926" x14ac:dyDescent="0.2"/>
    <row r="927" x14ac:dyDescent="0.2"/>
    <row r="928" x14ac:dyDescent="0.2"/>
    <row r="929" x14ac:dyDescent="0.2"/>
    <row r="930" x14ac:dyDescent="0.2"/>
  </sheetData>
  <pageMargins left="0.7" right="0.7" top="0.75" bottom="0.75" header="0.3" footer="0.3"/>
  <pageSetup paperSize="9" orientation="portrait" r:id="rId1"/>
  <headerFooter>
    <oddFooter>&amp;C_x000D_&amp;1#&amp;"Calibri"&amp;10&amp;K000000 Business External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0E4BB-74B6-4570-95B5-30EFBF05C050}">
  <sheetPr codeName="Sheet19">
    <tabColor theme="2"/>
  </sheetPr>
  <dimension ref="A1:CB292"/>
  <sheetViews>
    <sheetView showGridLines="0" zoomScale="55" zoomScaleNormal="55" workbookViewId="0">
      <pane xSplit="1" ySplit="3" topLeftCell="B4" activePane="bottomRight" state="frozen"/>
      <selection pane="topRight"/>
      <selection pane="bottomLeft"/>
      <selection pane="bottomRight"/>
    </sheetView>
  </sheetViews>
  <sheetFormatPr defaultColWidth="9" defaultRowHeight="14.25" x14ac:dyDescent="0.2"/>
  <cols>
    <col min="1" max="1" width="5.85546875" customWidth="1"/>
    <col min="2" max="2" width="47.42578125" customWidth="1"/>
    <col min="3" max="3" width="31.5703125" customWidth="1"/>
    <col min="4" max="4" width="18.42578125" style="461" customWidth="1"/>
    <col min="5" max="6" width="25.42578125" style="29" customWidth="1"/>
    <col min="7" max="7" width="12.5703125" style="29" customWidth="1"/>
    <col min="8" max="14" width="9.5703125" style="29" customWidth="1"/>
    <col min="15" max="15" width="8" style="29" customWidth="1"/>
    <col min="16" max="22" width="9" style="29"/>
    <col min="23" max="23" width="4.5703125" style="29" customWidth="1"/>
    <col min="24" max="30" width="9" style="29"/>
    <col min="31" max="31" width="6.28515625" style="29" bestFit="1" customWidth="1"/>
    <col min="32" max="68" width="9" style="29"/>
  </cols>
  <sheetData>
    <row r="1" spans="1:80" s="28" customFormat="1" ht="38.1" customHeight="1" x14ac:dyDescent="0.2">
      <c r="E1" s="28" t="str" cm="1">
        <f t="array" aca="1" ref="E1" ca="1">MID(CELL("filename",A1),FIND("]",CELL("filename",A1))+1,255)</f>
        <v>Fuel Model - Summary</v>
      </c>
    </row>
    <row r="2" spans="1:80" x14ac:dyDescent="0.2">
      <c r="D2" s="74"/>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80" ht="15" x14ac:dyDescent="0.25">
      <c r="D3"/>
      <c r="E3"/>
      <c r="F3"/>
      <c r="G3"/>
      <c r="H3" s="451" t="s">
        <v>816</v>
      </c>
      <c r="I3" s="451"/>
      <c r="J3" s="451"/>
      <c r="K3" s="451"/>
      <c r="L3" s="451"/>
      <c r="M3" s="451"/>
      <c r="N3" s="451"/>
      <c r="O3"/>
      <c r="P3" s="451" t="s">
        <v>817</v>
      </c>
      <c r="Q3" s="451"/>
      <c r="R3" s="451"/>
      <c r="S3" s="451"/>
      <c r="T3" s="451"/>
      <c r="U3" s="451"/>
      <c r="V3" s="451"/>
      <c r="W3"/>
      <c r="X3" s="451" t="s">
        <v>818</v>
      </c>
      <c r="Y3" s="451"/>
      <c r="Z3" s="451"/>
      <c r="AA3" s="451"/>
      <c r="AB3" s="451"/>
      <c r="AC3" s="451"/>
      <c r="AD3" s="451"/>
      <c r="AE3"/>
      <c r="AF3" s="451" t="s">
        <v>819</v>
      </c>
      <c r="AG3" s="451"/>
      <c r="AH3" s="451"/>
      <c r="AI3" s="451"/>
      <c r="AJ3" s="451"/>
      <c r="AK3" s="451"/>
      <c r="AL3" s="451"/>
      <c r="AM3"/>
      <c r="AN3" s="451" t="s">
        <v>820</v>
      </c>
      <c r="AO3" s="451"/>
      <c r="AP3" s="451"/>
      <c r="AQ3" s="451"/>
      <c r="AR3" s="451"/>
      <c r="AS3" s="451"/>
      <c r="AT3" s="451"/>
      <c r="AU3"/>
      <c r="AV3" s="451" t="s">
        <v>821</v>
      </c>
      <c r="AW3" s="451"/>
      <c r="AX3" s="451"/>
      <c r="AY3" s="451"/>
      <c r="AZ3" s="451"/>
      <c r="BA3" s="451"/>
      <c r="BB3" s="451"/>
      <c r="BC3"/>
      <c r="BD3" s="451" t="s">
        <v>822</v>
      </c>
      <c r="BE3" s="451"/>
      <c r="BF3" s="451"/>
      <c r="BG3" s="451"/>
      <c r="BH3" s="451"/>
      <c r="BI3" s="451"/>
      <c r="BJ3" s="451"/>
      <c r="BK3"/>
      <c r="BL3" s="451" t="s">
        <v>823</v>
      </c>
      <c r="BM3" s="451"/>
      <c r="BN3" s="451"/>
      <c r="BO3" s="451"/>
      <c r="BP3" s="451"/>
      <c r="BQ3" s="451"/>
      <c r="BR3" s="451"/>
      <c r="BT3" s="451" t="s">
        <v>824</v>
      </c>
      <c r="BU3" s="451"/>
      <c r="BV3" s="451"/>
      <c r="BW3" s="451"/>
      <c r="BX3" s="451"/>
      <c r="BY3" s="451"/>
      <c r="BZ3" s="451"/>
    </row>
    <row r="4" spans="1:80" ht="9.75" customHeight="1" x14ac:dyDescent="0.2">
      <c r="D4" s="7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row>
    <row r="5" spans="1:80" ht="15" x14ac:dyDescent="0.25">
      <c r="B5" s="67" t="s">
        <v>825</v>
      </c>
      <c r="C5" s="67" t="s">
        <v>826</v>
      </c>
      <c r="D5" s="67" t="s">
        <v>827</v>
      </c>
      <c r="E5" s="67" t="s">
        <v>722</v>
      </c>
      <c r="F5" s="67" t="s">
        <v>49</v>
      </c>
      <c r="G5" s="67" t="s">
        <v>86</v>
      </c>
      <c r="H5" s="67">
        <v>2020</v>
      </c>
      <c r="I5" s="67">
        <v>2025</v>
      </c>
      <c r="J5" s="67">
        <v>2030</v>
      </c>
      <c r="K5" s="67">
        <v>2035</v>
      </c>
      <c r="L5" s="67">
        <v>2040</v>
      </c>
      <c r="M5" s="67">
        <v>2045</v>
      </c>
      <c r="N5" s="67">
        <v>2050</v>
      </c>
      <c r="O5"/>
      <c r="P5" s="67">
        <v>2020</v>
      </c>
      <c r="Q5" s="67">
        <v>2025</v>
      </c>
      <c r="R5" s="67">
        <v>2030</v>
      </c>
      <c r="S5" s="67">
        <v>2035</v>
      </c>
      <c r="T5" s="67">
        <v>2040</v>
      </c>
      <c r="U5" s="67">
        <v>2045</v>
      </c>
      <c r="V5" s="67">
        <v>2050</v>
      </c>
      <c r="W5"/>
      <c r="X5" s="67">
        <v>2020</v>
      </c>
      <c r="Y5" s="67">
        <v>2025</v>
      </c>
      <c r="Z5" s="67">
        <v>2030</v>
      </c>
      <c r="AA5" s="67">
        <v>2035</v>
      </c>
      <c r="AB5" s="67">
        <v>2040</v>
      </c>
      <c r="AC5" s="67">
        <v>2045</v>
      </c>
      <c r="AD5" s="67">
        <v>2050</v>
      </c>
      <c r="AE5"/>
      <c r="AF5" s="67">
        <v>2020</v>
      </c>
      <c r="AG5" s="67">
        <v>2025</v>
      </c>
      <c r="AH5" s="67">
        <v>2030</v>
      </c>
      <c r="AI5" s="67">
        <v>2035</v>
      </c>
      <c r="AJ5" s="67">
        <v>2040</v>
      </c>
      <c r="AK5" s="67">
        <v>2045</v>
      </c>
      <c r="AL5" s="67">
        <v>2050</v>
      </c>
      <c r="AM5"/>
      <c r="AN5" s="67">
        <v>2020</v>
      </c>
      <c r="AO5" s="67">
        <v>2025</v>
      </c>
      <c r="AP5" s="67">
        <v>2030</v>
      </c>
      <c r="AQ5" s="67">
        <v>2035</v>
      </c>
      <c r="AR5" s="67">
        <v>2040</v>
      </c>
      <c r="AS5" s="67">
        <v>2045</v>
      </c>
      <c r="AT5" s="67">
        <v>2050</v>
      </c>
      <c r="AU5"/>
      <c r="AV5" s="67">
        <v>2020</v>
      </c>
      <c r="AW5" s="67">
        <v>2025</v>
      </c>
      <c r="AX5" s="67">
        <v>2030</v>
      </c>
      <c r="AY5" s="67">
        <v>2035</v>
      </c>
      <c r="AZ5" s="67">
        <v>2040</v>
      </c>
      <c r="BA5" s="67">
        <v>2045</v>
      </c>
      <c r="BB5" s="67">
        <v>2050</v>
      </c>
      <c r="BC5" s="67"/>
      <c r="BD5" s="67">
        <v>2020</v>
      </c>
      <c r="BE5" s="67">
        <v>2025</v>
      </c>
      <c r="BF5" s="67">
        <v>2030</v>
      </c>
      <c r="BG5" s="67">
        <v>2035</v>
      </c>
      <c r="BH5" s="67">
        <v>2040</v>
      </c>
      <c r="BI5" s="67">
        <v>2045</v>
      </c>
      <c r="BJ5" s="67">
        <v>2050</v>
      </c>
      <c r="BK5" s="67"/>
      <c r="BL5" s="67">
        <v>2020</v>
      </c>
      <c r="BM5" s="67">
        <v>2025</v>
      </c>
      <c r="BN5" s="67">
        <v>2030</v>
      </c>
      <c r="BO5" s="67">
        <v>2035</v>
      </c>
      <c r="BP5" s="67">
        <v>2040</v>
      </c>
      <c r="BQ5" s="67">
        <v>2045</v>
      </c>
      <c r="BR5" s="67">
        <v>2050</v>
      </c>
      <c r="BS5" s="67"/>
      <c r="BT5" s="67">
        <v>2020</v>
      </c>
      <c r="BU5" s="67">
        <v>2025</v>
      </c>
      <c r="BV5" s="67">
        <v>2030</v>
      </c>
      <c r="BW5" s="67">
        <v>2035</v>
      </c>
      <c r="BX5" s="67">
        <v>2040</v>
      </c>
      <c r="BY5" s="67">
        <v>2045</v>
      </c>
      <c r="BZ5" s="67">
        <v>2050</v>
      </c>
    </row>
    <row r="6" spans="1:80" x14ac:dyDescent="0.2">
      <c r="A6" s="452"/>
      <c r="B6" s="453" t="str">
        <f t="shared" ref="B6:B26" si="0">_xlfn.TEXTJOIN(keydelim,TRUE,F6,IF(E6="Africa","Africa&amp;other",E6),"Fuel cost",SUBSTITUTE($G6," ",""))</f>
        <v>e-Hydrogen (liquid) - Europe - Fuel cost - USD/GJ</v>
      </c>
      <c r="C6" s="453" t="str">
        <f t="shared" ref="C6:C26" si="1">_xlfn.TEXTJOIN(keydelim,TRUE,F6,E6)</f>
        <v>e-Hydrogen (liquid) - Europe</v>
      </c>
      <c r="D6" s="77">
        <f>+INDEX('Fuel Model -  Input'!$H$15:$H$44,MATCH(F6,'Fuel Model -  Input'!$F$15:$F$44,0))/1000</f>
        <v>120</v>
      </c>
      <c r="E6" t="s">
        <v>195</v>
      </c>
      <c r="F6" t="s">
        <v>585</v>
      </c>
      <c r="G6" t="s">
        <v>828</v>
      </c>
      <c r="H6" s="74">
        <f t="shared" ref="H6:N15" si="2">INDEX(H$142:H$292,MATCH($E6&amp;$F6,$D$142:$D$292,0))/$D6</f>
        <v>52.951697371406553</v>
      </c>
      <c r="I6" s="74">
        <f t="shared" si="2"/>
        <v>44.881054087383667</v>
      </c>
      <c r="J6" s="74">
        <f t="shared" si="2"/>
        <v>38.292291111023573</v>
      </c>
      <c r="K6" s="74">
        <f t="shared" si="2"/>
        <v>35.751446688870054</v>
      </c>
      <c r="L6" s="74">
        <f t="shared" si="2"/>
        <v>32.582234878360254</v>
      </c>
      <c r="M6" s="74">
        <f t="shared" si="2"/>
        <v>28.535949957353427</v>
      </c>
      <c r="N6" s="74">
        <f t="shared" si="2"/>
        <v>24.793172229910169</v>
      </c>
      <c r="O6" s="454"/>
      <c r="P6" s="74">
        <f t="shared" ref="P6:V15" si="3">IFERROR(INDEX(P$142:P$292,MATCH($E6&amp;$F6,$D$142:$D$292,0))/$D6,"--")</f>
        <v>28.756499560979918</v>
      </c>
      <c r="Q6" s="74">
        <f t="shared" si="3"/>
        <v>23.175128231923956</v>
      </c>
      <c r="R6" s="74">
        <f t="shared" si="3"/>
        <v>18.545501555827101</v>
      </c>
      <c r="S6" s="74">
        <f t="shared" si="3"/>
        <v>16.219630965498869</v>
      </c>
      <c r="T6" s="74">
        <f t="shared" si="3"/>
        <v>14.594771430601266</v>
      </c>
      <c r="U6" s="74">
        <f t="shared" si="3"/>
        <v>12.805355949570419</v>
      </c>
      <c r="V6" s="74">
        <f t="shared" si="3"/>
        <v>11.532488848659815</v>
      </c>
      <c r="W6"/>
      <c r="X6" s="2">
        <f t="shared" ref="X6:AD15" si="4">INDEX(X$142:X$292,MATCH($E6&amp;$F6,$D$142:$D$292,0))/$D6*1000</f>
        <v>2.4279169967523235</v>
      </c>
      <c r="Y6" s="2">
        <f t="shared" si="4"/>
        <v>2.4164999999999996</v>
      </c>
      <c r="Z6" s="2">
        <f t="shared" si="4"/>
        <v>2.3844189608069937</v>
      </c>
      <c r="AA6" s="2">
        <f t="shared" si="4"/>
        <v>2.2992105071273761</v>
      </c>
      <c r="AB6" s="2">
        <f t="shared" si="4"/>
        <v>2.1968832906641627</v>
      </c>
      <c r="AC6" s="2">
        <f t="shared" si="4"/>
        <v>2.0606527991130323</v>
      </c>
      <c r="AD6" s="2">
        <f t="shared" si="4"/>
        <v>1.9533374999999999</v>
      </c>
      <c r="AE6" s="2"/>
      <c r="AF6" s="2">
        <f t="shared" ref="AF6:AL15" si="5">INDEX(AF$142:AF$292,MATCH($E6&amp;$F6,$D$142:$D$292,0))/$D6*1000</f>
        <v>0</v>
      </c>
      <c r="AG6" s="2">
        <f t="shared" si="5"/>
        <v>0</v>
      </c>
      <c r="AH6" s="2">
        <f t="shared" si="5"/>
        <v>0</v>
      </c>
      <c r="AI6" s="2">
        <f t="shared" si="5"/>
        <v>0</v>
      </c>
      <c r="AJ6" s="2">
        <f t="shared" si="5"/>
        <v>0</v>
      </c>
      <c r="AK6" s="2">
        <f t="shared" si="5"/>
        <v>0</v>
      </c>
      <c r="AL6" s="2">
        <f t="shared" si="5"/>
        <v>0</v>
      </c>
      <c r="AM6"/>
      <c r="AN6" s="24">
        <f t="shared" ref="AN6:AN24" si="6">X6+AF6</f>
        <v>2.4279169967523235</v>
      </c>
      <c r="AO6" s="24">
        <f t="shared" ref="AO6:AO24" si="7">Y6+AG6</f>
        <v>2.4164999999999996</v>
      </c>
      <c r="AP6" s="24">
        <f t="shared" ref="AP6:AP24" si="8">Z6+AH6</f>
        <v>2.3844189608069937</v>
      </c>
      <c r="AQ6" s="24">
        <f t="shared" ref="AQ6:AQ24" si="9">AA6+AI6</f>
        <v>2.2992105071273761</v>
      </c>
      <c r="AR6" s="24">
        <f t="shared" ref="AR6:AR24" si="10">AB6+AJ6</f>
        <v>2.1968832906641627</v>
      </c>
      <c r="AS6" s="24">
        <f t="shared" ref="AS6:AS24" si="11">AC6+AK6</f>
        <v>2.0606527991130323</v>
      </c>
      <c r="AT6" s="24">
        <f t="shared" ref="AT6:AT24" si="12">AD6+AL6</f>
        <v>1.9533374999999999</v>
      </c>
      <c r="AU6"/>
      <c r="AV6" s="74">
        <f t="shared" ref="AV6:BB15" si="13">IFERROR(INDEX(AV$142:AV$266,MATCH($E6&amp;$F6,$D$142:$D$266,0))/$D6,"NA")</f>
        <v>15.288031541894343</v>
      </c>
      <c r="AW6" s="74">
        <f t="shared" si="13"/>
        <v>14.161813306838042</v>
      </c>
      <c r="AX6" s="74">
        <f t="shared" si="13"/>
        <v>13.433948929977458</v>
      </c>
      <c r="AY6" s="74">
        <f t="shared" si="13"/>
        <v>13.705079855352748</v>
      </c>
      <c r="AZ6" s="74">
        <f t="shared" si="13"/>
        <v>13.276193687058136</v>
      </c>
      <c r="BA6" s="74">
        <f t="shared" si="13"/>
        <v>12.28127108935986</v>
      </c>
      <c r="BB6" s="74">
        <f t="shared" si="13"/>
        <v>10.919619200631379</v>
      </c>
      <c r="BC6" s="454"/>
      <c r="BD6" s="74">
        <f t="shared" ref="BD6:BJ15" si="14">IFERROR(INDEX(BD$142:BD$266,MATCH($E6&amp;$F6,$D$142:$D$266,0))/$D6,"NA")</f>
        <v>8.7946662685322909</v>
      </c>
      <c r="BE6" s="74">
        <f t="shared" si="14"/>
        <v>7.4316125486216817</v>
      </c>
      <c r="BF6" s="74">
        <f t="shared" si="14"/>
        <v>6.2003406252190185</v>
      </c>
      <c r="BG6" s="74">
        <f t="shared" si="14"/>
        <v>5.7142358680184433</v>
      </c>
      <c r="BH6" s="74">
        <f t="shared" si="14"/>
        <v>4.5987697607008462</v>
      </c>
      <c r="BI6" s="74">
        <f t="shared" si="14"/>
        <v>3.3368229184231475</v>
      </c>
      <c r="BJ6" s="74">
        <f t="shared" si="14"/>
        <v>2.2285641806189753</v>
      </c>
      <c r="BK6" s="455"/>
      <c r="BL6" s="74">
        <f t="shared" ref="BL6:BR15" si="15">IFERROR(INDEX(BL$142:BL$266,MATCH($E6&amp;$F6,$D$142:$D$266,0))/$D6,"NA")</f>
        <v>0</v>
      </c>
      <c r="BM6" s="74">
        <f t="shared" si="15"/>
        <v>0</v>
      </c>
      <c r="BN6" s="74">
        <f t="shared" si="15"/>
        <v>0</v>
      </c>
      <c r="BO6" s="74">
        <f t="shared" si="15"/>
        <v>0</v>
      </c>
      <c r="BP6" s="74">
        <f t="shared" si="15"/>
        <v>0</v>
      </c>
      <c r="BQ6" s="74">
        <f t="shared" si="15"/>
        <v>0</v>
      </c>
      <c r="BR6" s="74">
        <f t="shared" si="15"/>
        <v>0</v>
      </c>
      <c r="BS6" s="454"/>
      <c r="BT6" s="74">
        <f t="shared" ref="BT6:BZ15" si="16">IFERROR(INDEX(BT$142:BT$266,MATCH($E6&amp;$F6,$D$142:$D$266,0))/$D6,"NA")</f>
        <v>0</v>
      </c>
      <c r="BU6" s="74">
        <f t="shared" si="16"/>
        <v>0</v>
      </c>
      <c r="BV6" s="74">
        <f t="shared" si="16"/>
        <v>0</v>
      </c>
      <c r="BW6" s="74">
        <f t="shared" si="16"/>
        <v>0</v>
      </c>
      <c r="BX6" s="74">
        <f t="shared" si="16"/>
        <v>0</v>
      </c>
      <c r="BY6" s="74">
        <f t="shared" si="16"/>
        <v>0</v>
      </c>
      <c r="BZ6" s="74">
        <f t="shared" si="16"/>
        <v>0</v>
      </c>
      <c r="CB6" s="2"/>
    </row>
    <row r="7" spans="1:80" x14ac:dyDescent="0.2">
      <c r="A7" s="452"/>
      <c r="B7" s="453" t="str">
        <f t="shared" si="0"/>
        <v>e-Hydrogen (compressed) - Europe - Fuel cost - USD/GJ</v>
      </c>
      <c r="C7" s="453" t="str">
        <f t="shared" si="1"/>
        <v>e-Hydrogen (compressed) - Europe</v>
      </c>
      <c r="D7" s="77">
        <f>+INDEX('Fuel Model -  Input'!$H$15:$H$44,MATCH(F7,'Fuel Model -  Input'!$F$15:$F$44,0))/1000</f>
        <v>120</v>
      </c>
      <c r="E7" t="s">
        <v>195</v>
      </c>
      <c r="F7" s="29" t="s">
        <v>584</v>
      </c>
      <c r="G7" t="s">
        <v>828</v>
      </c>
      <c r="H7" s="74">
        <f t="shared" si="2"/>
        <v>39.713040385150343</v>
      </c>
      <c r="I7" s="74">
        <f t="shared" si="2"/>
        <v>32.41943273166666</v>
      </c>
      <c r="J7" s="74">
        <f t="shared" si="2"/>
        <v>26.458519240365327</v>
      </c>
      <c r="K7" s="74">
        <f t="shared" si="2"/>
        <v>24.17854614935079</v>
      </c>
      <c r="L7" s="74">
        <f t="shared" si="2"/>
        <v>21.165087782946909</v>
      </c>
      <c r="M7" s="74">
        <f t="shared" si="2"/>
        <v>17.285430927499032</v>
      </c>
      <c r="N7" s="74">
        <f t="shared" si="2"/>
        <v>13.664228468271917</v>
      </c>
      <c r="O7" s="454"/>
      <c r="P7" s="74">
        <f t="shared" si="3"/>
        <v>24.68450924139038</v>
      </c>
      <c r="Q7" s="74">
        <f t="shared" si="3"/>
        <v>19.880173542873607</v>
      </c>
      <c r="R7" s="74">
        <f t="shared" si="3"/>
        <v>15.878396351835523</v>
      </c>
      <c r="S7" s="74">
        <f t="shared" si="3"/>
        <v>13.813397092646271</v>
      </c>
      <c r="T7" s="74">
        <f t="shared" si="3"/>
        <v>12.344291001854595</v>
      </c>
      <c r="U7" s="74">
        <f t="shared" si="3"/>
        <v>10.721503586382692</v>
      </c>
      <c r="V7" s="74">
        <f t="shared" si="3"/>
        <v>9.5702117536882305</v>
      </c>
      <c r="W7"/>
      <c r="X7" s="2">
        <f t="shared" si="4"/>
        <v>2.4279169967523235</v>
      </c>
      <c r="Y7" s="2">
        <f t="shared" si="4"/>
        <v>2.4164999999999996</v>
      </c>
      <c r="Z7" s="2">
        <f t="shared" si="4"/>
        <v>2.3844189608069937</v>
      </c>
      <c r="AA7" s="2">
        <f t="shared" si="4"/>
        <v>2.2992105071273761</v>
      </c>
      <c r="AB7" s="2">
        <f t="shared" si="4"/>
        <v>2.1968832906641627</v>
      </c>
      <c r="AC7" s="2">
        <f t="shared" si="4"/>
        <v>2.0606527991130323</v>
      </c>
      <c r="AD7" s="2">
        <f t="shared" si="4"/>
        <v>1.9533374999999999</v>
      </c>
      <c r="AE7" s="2"/>
      <c r="AF7" s="2">
        <f t="shared" si="5"/>
        <v>0</v>
      </c>
      <c r="AG7" s="2">
        <f t="shared" si="5"/>
        <v>0</v>
      </c>
      <c r="AH7" s="2">
        <f t="shared" si="5"/>
        <v>0</v>
      </c>
      <c r="AI7" s="2">
        <f t="shared" si="5"/>
        <v>0</v>
      </c>
      <c r="AJ7" s="2">
        <f t="shared" si="5"/>
        <v>0</v>
      </c>
      <c r="AK7" s="2">
        <f t="shared" si="5"/>
        <v>0</v>
      </c>
      <c r="AL7" s="2">
        <f t="shared" si="5"/>
        <v>0</v>
      </c>
      <c r="AM7"/>
      <c r="AN7" s="24">
        <f t="shared" si="6"/>
        <v>2.4279169967523235</v>
      </c>
      <c r="AO7" s="24">
        <f t="shared" si="7"/>
        <v>2.4164999999999996</v>
      </c>
      <c r="AP7" s="24">
        <f t="shared" si="8"/>
        <v>2.3844189608069937</v>
      </c>
      <c r="AQ7" s="24">
        <f t="shared" si="9"/>
        <v>2.2992105071273761</v>
      </c>
      <c r="AR7" s="24">
        <f t="shared" si="10"/>
        <v>2.1968832906641627</v>
      </c>
      <c r="AS7" s="24">
        <f t="shared" si="11"/>
        <v>2.0606527991130323</v>
      </c>
      <c r="AT7" s="24">
        <f t="shared" si="12"/>
        <v>1.9533374999999999</v>
      </c>
      <c r="AU7"/>
      <c r="AV7" s="74">
        <f t="shared" si="13"/>
        <v>6.954698208561009</v>
      </c>
      <c r="AW7" s="74">
        <f t="shared" si="13"/>
        <v>5.8284799735047086</v>
      </c>
      <c r="AX7" s="74">
        <f t="shared" si="13"/>
        <v>5.1006155966441247</v>
      </c>
      <c r="AY7" s="74">
        <f t="shared" si="13"/>
        <v>5.3717465220194152</v>
      </c>
      <c r="AZ7" s="74">
        <f t="shared" si="13"/>
        <v>4.9428603537248019</v>
      </c>
      <c r="BA7" s="74">
        <f t="shared" si="13"/>
        <v>3.9479377560265272</v>
      </c>
      <c r="BB7" s="74">
        <f t="shared" si="13"/>
        <v>2.5862858672980442</v>
      </c>
      <c r="BC7" s="454"/>
      <c r="BD7" s="74">
        <f t="shared" si="14"/>
        <v>7.961332935198957</v>
      </c>
      <c r="BE7" s="74">
        <f t="shared" si="14"/>
        <v>6.5982792152883478</v>
      </c>
      <c r="BF7" s="74">
        <f t="shared" si="14"/>
        <v>5.3670072918856855</v>
      </c>
      <c r="BG7" s="74">
        <f t="shared" si="14"/>
        <v>4.8809025346851094</v>
      </c>
      <c r="BH7" s="74">
        <f t="shared" si="14"/>
        <v>3.7654364273675123</v>
      </c>
      <c r="BI7" s="74">
        <f t="shared" si="14"/>
        <v>2.5034895850898145</v>
      </c>
      <c r="BJ7" s="74">
        <f t="shared" si="14"/>
        <v>1.3952308472856418</v>
      </c>
      <c r="BK7" s="455"/>
      <c r="BL7" s="74">
        <f t="shared" si="15"/>
        <v>0</v>
      </c>
      <c r="BM7" s="74">
        <f t="shared" si="15"/>
        <v>0</v>
      </c>
      <c r="BN7" s="74">
        <f t="shared" si="15"/>
        <v>0</v>
      </c>
      <c r="BO7" s="74">
        <f t="shared" si="15"/>
        <v>0</v>
      </c>
      <c r="BP7" s="74">
        <f t="shared" si="15"/>
        <v>0</v>
      </c>
      <c r="BQ7" s="74">
        <f t="shared" si="15"/>
        <v>0</v>
      </c>
      <c r="BR7" s="74">
        <f t="shared" si="15"/>
        <v>0</v>
      </c>
      <c r="BS7" s="454"/>
      <c r="BT7" s="74">
        <f t="shared" si="16"/>
        <v>0</v>
      </c>
      <c r="BU7" s="74">
        <f t="shared" si="16"/>
        <v>0</v>
      </c>
      <c r="BV7" s="74">
        <f t="shared" si="16"/>
        <v>0</v>
      </c>
      <c r="BW7" s="74">
        <f t="shared" si="16"/>
        <v>0</v>
      </c>
      <c r="BX7" s="74">
        <f t="shared" si="16"/>
        <v>0</v>
      </c>
      <c r="BY7" s="74">
        <f t="shared" si="16"/>
        <v>0</v>
      </c>
      <c r="BZ7" s="74">
        <f t="shared" si="16"/>
        <v>0</v>
      </c>
      <c r="CB7" s="2"/>
    </row>
    <row r="8" spans="1:80" x14ac:dyDescent="0.2">
      <c r="A8" s="452"/>
      <c r="B8" s="453" t="str">
        <f t="shared" si="0"/>
        <v>e-Ammonia - Europe - Fuel cost - USD/GJ</v>
      </c>
      <c r="C8" s="453" t="str">
        <f t="shared" si="1"/>
        <v>e-Ammonia - Europe</v>
      </c>
      <c r="D8" s="77">
        <f>+INDEX('Fuel Model -  Input'!$H$15:$H$44,MATCH(F8,'Fuel Model -  Input'!$F$15:$F$44,0))/1000</f>
        <v>18.8</v>
      </c>
      <c r="E8" t="s">
        <v>195</v>
      </c>
      <c r="F8" s="29" t="s">
        <v>121</v>
      </c>
      <c r="G8" t="s">
        <v>828</v>
      </c>
      <c r="H8" s="74">
        <f t="shared" si="2"/>
        <v>69.147679227801092</v>
      </c>
      <c r="I8" s="74">
        <f t="shared" si="2"/>
        <v>51.907043152241933</v>
      </c>
      <c r="J8" s="74">
        <f t="shared" si="2"/>
        <v>36.241678466647947</v>
      </c>
      <c r="K8" s="74">
        <f t="shared" si="2"/>
        <v>33.24696850135728</v>
      </c>
      <c r="L8" s="74">
        <f t="shared" si="2"/>
        <v>29.440597587820502</v>
      </c>
      <c r="M8" s="74">
        <f t="shared" si="2"/>
        <v>24.63580598560192</v>
      </c>
      <c r="N8" s="74">
        <f t="shared" si="2"/>
        <v>20.141277008984552</v>
      </c>
      <c r="O8" s="454"/>
      <c r="P8" s="74">
        <f t="shared" si="3"/>
        <v>29.086943041324581</v>
      </c>
      <c r="Q8" s="74">
        <f t="shared" si="3"/>
        <v>23.428526031022443</v>
      </c>
      <c r="R8" s="74">
        <f t="shared" si="3"/>
        <v>18.718796736340131</v>
      </c>
      <c r="S8" s="74">
        <f t="shared" si="3"/>
        <v>16.299732212860782</v>
      </c>
      <c r="T8" s="74">
        <f t="shared" si="3"/>
        <v>14.584052949845061</v>
      </c>
      <c r="U8" s="74">
        <f t="shared" si="3"/>
        <v>12.68986475820239</v>
      </c>
      <c r="V8" s="74">
        <f t="shared" si="3"/>
        <v>11.345427606514658</v>
      </c>
      <c r="W8"/>
      <c r="X8" s="2">
        <f t="shared" si="4"/>
        <v>2.8609312303111798</v>
      </c>
      <c r="Y8" s="2">
        <f t="shared" si="4"/>
        <v>2.8478138297872331</v>
      </c>
      <c r="Z8" s="2">
        <f t="shared" si="4"/>
        <v>2.8109547634803751</v>
      </c>
      <c r="AA8" s="2">
        <f t="shared" si="4"/>
        <v>2.7130556890399635</v>
      </c>
      <c r="AB8" s="2">
        <f t="shared" si="4"/>
        <v>2.5954882488481865</v>
      </c>
      <c r="AC8" s="2">
        <f t="shared" si="4"/>
        <v>2.4389681096192284</v>
      </c>
      <c r="AD8" s="2">
        <f t="shared" si="4"/>
        <v>2.3156696808510637</v>
      </c>
      <c r="AE8" s="2"/>
      <c r="AF8" s="2">
        <f t="shared" si="5"/>
        <v>0</v>
      </c>
      <c r="AG8" s="2">
        <f t="shared" si="5"/>
        <v>0</v>
      </c>
      <c r="AH8" s="2">
        <f t="shared" si="5"/>
        <v>0</v>
      </c>
      <c r="AI8" s="2">
        <f t="shared" si="5"/>
        <v>0</v>
      </c>
      <c r="AJ8" s="2">
        <f t="shared" si="5"/>
        <v>0</v>
      </c>
      <c r="AK8" s="2">
        <f t="shared" si="5"/>
        <v>0</v>
      </c>
      <c r="AL8" s="2">
        <f t="shared" si="5"/>
        <v>0</v>
      </c>
      <c r="AM8"/>
      <c r="AN8" s="24">
        <f t="shared" si="6"/>
        <v>2.8609312303111798</v>
      </c>
      <c r="AO8" s="24">
        <f t="shared" si="7"/>
        <v>2.8478138297872331</v>
      </c>
      <c r="AP8" s="24">
        <f t="shared" si="8"/>
        <v>2.8109547634803751</v>
      </c>
      <c r="AQ8" s="24">
        <f t="shared" si="9"/>
        <v>2.7130556890399635</v>
      </c>
      <c r="AR8" s="24">
        <f t="shared" si="10"/>
        <v>2.5954882488481865</v>
      </c>
      <c r="AS8" s="24">
        <f t="shared" si="11"/>
        <v>2.4389681096192284</v>
      </c>
      <c r="AT8" s="24">
        <f t="shared" si="12"/>
        <v>2.3156696808510637</v>
      </c>
      <c r="AU8"/>
      <c r="AV8" s="74">
        <f t="shared" si="13"/>
        <v>21.381461771538181</v>
      </c>
      <c r="AW8" s="74">
        <f t="shared" si="13"/>
        <v>14.91906918941676</v>
      </c>
      <c r="AX8" s="74">
        <f t="shared" si="13"/>
        <v>8.914359763520201</v>
      </c>
      <c r="AY8" s="74">
        <f t="shared" si="13"/>
        <v>9.0496750820364902</v>
      </c>
      <c r="AZ8" s="74">
        <f t="shared" si="13"/>
        <v>8.3807154418682117</v>
      </c>
      <c r="BA8" s="74">
        <f t="shared" si="13"/>
        <v>7.0614160742999825</v>
      </c>
      <c r="BB8" s="74">
        <f t="shared" si="13"/>
        <v>5.3207681595906609</v>
      </c>
      <c r="BC8" s="454"/>
      <c r="BD8" s="74">
        <f t="shared" si="14"/>
        <v>18.679274414938341</v>
      </c>
      <c r="BE8" s="74">
        <f t="shared" si="14"/>
        <v>13.559447931802731</v>
      </c>
      <c r="BF8" s="74">
        <f t="shared" si="14"/>
        <v>8.6085219667876256</v>
      </c>
      <c r="BG8" s="74">
        <f t="shared" si="14"/>
        <v>7.8975612064600096</v>
      </c>
      <c r="BH8" s="74">
        <f t="shared" si="14"/>
        <v>6.4758291961072265</v>
      </c>
      <c r="BI8" s="74">
        <f t="shared" si="14"/>
        <v>4.884525153099549</v>
      </c>
      <c r="BJ8" s="74">
        <f t="shared" si="14"/>
        <v>3.4750812428792321</v>
      </c>
      <c r="BK8" s="455"/>
      <c r="BL8" s="74">
        <f t="shared" si="15"/>
        <v>0</v>
      </c>
      <c r="BM8" s="74">
        <f t="shared" si="15"/>
        <v>0</v>
      </c>
      <c r="BN8" s="74">
        <f t="shared" si="15"/>
        <v>0</v>
      </c>
      <c r="BO8" s="74">
        <f t="shared" si="15"/>
        <v>0</v>
      </c>
      <c r="BP8" s="74">
        <f t="shared" si="15"/>
        <v>0</v>
      </c>
      <c r="BQ8" s="74">
        <f t="shared" si="15"/>
        <v>0</v>
      </c>
      <c r="BR8" s="74">
        <f t="shared" si="15"/>
        <v>0</v>
      </c>
      <c r="BS8" s="454"/>
      <c r="BT8" s="74">
        <f t="shared" si="16"/>
        <v>0</v>
      </c>
      <c r="BU8" s="74">
        <f t="shared" si="16"/>
        <v>0</v>
      </c>
      <c r="BV8" s="74">
        <f t="shared" si="16"/>
        <v>0</v>
      </c>
      <c r="BW8" s="74">
        <f t="shared" si="16"/>
        <v>0</v>
      </c>
      <c r="BX8" s="74">
        <f t="shared" si="16"/>
        <v>0</v>
      </c>
      <c r="BY8" s="74">
        <f t="shared" si="16"/>
        <v>0</v>
      </c>
      <c r="BZ8" s="74">
        <f t="shared" si="16"/>
        <v>0</v>
      </c>
      <c r="CB8" s="2"/>
    </row>
    <row r="9" spans="1:80" x14ac:dyDescent="0.2">
      <c r="A9" s="452"/>
      <c r="B9" s="453" t="str">
        <f t="shared" si="0"/>
        <v>e-Methanol (DAC) - Europe - Fuel cost - USD/GJ</v>
      </c>
      <c r="C9" s="453" t="str">
        <f t="shared" si="1"/>
        <v>e-Methanol (DAC) - Europe</v>
      </c>
      <c r="D9" s="77">
        <f>+INDEX('Fuel Model -  Input'!$H$15:$H$44,MATCH(F9,'Fuel Model -  Input'!$F$15:$F$44,0))/1000</f>
        <v>19.899999999999999</v>
      </c>
      <c r="E9" t="s">
        <v>195</v>
      </c>
      <c r="F9" s="29" t="s">
        <v>587</v>
      </c>
      <c r="G9" t="s">
        <v>828</v>
      </c>
      <c r="H9" s="74">
        <f t="shared" si="2"/>
        <v>92.996618431669617</v>
      </c>
      <c r="I9" s="74">
        <f t="shared" si="2"/>
        <v>74.822852353746228</v>
      </c>
      <c r="J9" s="74">
        <f t="shared" si="2"/>
        <v>59.322712575418166</v>
      </c>
      <c r="K9" s="74">
        <f t="shared" si="2"/>
        <v>52.815157770195697</v>
      </c>
      <c r="L9" s="74">
        <f t="shared" si="2"/>
        <v>46.125699736077799</v>
      </c>
      <c r="M9" s="74">
        <f t="shared" si="2"/>
        <v>38.165655405833299</v>
      </c>
      <c r="N9" s="74">
        <f t="shared" si="2"/>
        <v>30.825548285820386</v>
      </c>
      <c r="O9" s="454"/>
      <c r="P9" s="74">
        <f t="shared" si="3"/>
        <v>32.760046113024302</v>
      </c>
      <c r="Q9" s="74">
        <f t="shared" si="3"/>
        <v>26.401718915187992</v>
      </c>
      <c r="R9" s="74">
        <f t="shared" si="3"/>
        <v>21.127744083700907</v>
      </c>
      <c r="S9" s="74">
        <f t="shared" si="3"/>
        <v>18.478552556148493</v>
      </c>
      <c r="T9" s="74">
        <f t="shared" si="3"/>
        <v>16.62801053531658</v>
      </c>
      <c r="U9" s="74">
        <f t="shared" si="3"/>
        <v>14.59009202212342</v>
      </c>
      <c r="V9" s="74">
        <f t="shared" si="3"/>
        <v>13.140435052610366</v>
      </c>
      <c r="W9"/>
      <c r="X9" s="2">
        <f t="shared" si="4"/>
        <v>-65.873267376827087</v>
      </c>
      <c r="Y9" s="2">
        <f t="shared" si="4"/>
        <v>-65.886262255036513</v>
      </c>
      <c r="Z9" s="2">
        <f t="shared" si="4"/>
        <v>-65.922777041384307</v>
      </c>
      <c r="AA9" s="2">
        <f t="shared" si="4"/>
        <v>-66.01976169522986</v>
      </c>
      <c r="AB9" s="2">
        <f t="shared" si="4"/>
        <v>-66.136231003603598</v>
      </c>
      <c r="AC9" s="2">
        <f t="shared" si="4"/>
        <v>-66.291289175601065</v>
      </c>
      <c r="AD9" s="2">
        <f t="shared" si="4"/>
        <v>-66.413435942586673</v>
      </c>
      <c r="AE9" s="2"/>
      <c r="AF9" s="2">
        <f t="shared" si="5"/>
        <v>69.095477386934675</v>
      </c>
      <c r="AG9" s="2">
        <f t="shared" si="5"/>
        <v>69.095477386934675</v>
      </c>
      <c r="AH9" s="2">
        <f t="shared" si="5"/>
        <v>69.095477386934675</v>
      </c>
      <c r="AI9" s="2">
        <f t="shared" si="5"/>
        <v>69.095477386934675</v>
      </c>
      <c r="AJ9" s="2">
        <f t="shared" si="5"/>
        <v>69.095477386934675</v>
      </c>
      <c r="AK9" s="2">
        <f t="shared" si="5"/>
        <v>69.095477386934675</v>
      </c>
      <c r="AL9" s="2">
        <f t="shared" si="5"/>
        <v>69.095477386934675</v>
      </c>
      <c r="AM9"/>
      <c r="AN9" s="24">
        <f t="shared" si="6"/>
        <v>3.2222100101075881</v>
      </c>
      <c r="AO9" s="24">
        <f t="shared" si="7"/>
        <v>3.2092151318981621</v>
      </c>
      <c r="AP9" s="24">
        <f t="shared" si="8"/>
        <v>3.1727003455503677</v>
      </c>
      <c r="AQ9" s="24">
        <f t="shared" si="9"/>
        <v>3.075715691704815</v>
      </c>
      <c r="AR9" s="24">
        <f t="shared" si="10"/>
        <v>2.9592463833310774</v>
      </c>
      <c r="AS9" s="24">
        <f t="shared" si="11"/>
        <v>2.8041882113336101</v>
      </c>
      <c r="AT9" s="24">
        <f t="shared" si="12"/>
        <v>2.6820414443480018</v>
      </c>
      <c r="AU9"/>
      <c r="AV9" s="74">
        <f t="shared" si="13"/>
        <v>23.007996788310674</v>
      </c>
      <c r="AW9" s="74">
        <f t="shared" si="13"/>
        <v>18.618927333708019</v>
      </c>
      <c r="AX9" s="74">
        <f t="shared" si="13"/>
        <v>14.683266072503733</v>
      </c>
      <c r="AY9" s="74">
        <f t="shared" si="13"/>
        <v>13.993124820084045</v>
      </c>
      <c r="AZ9" s="74">
        <f t="shared" si="13"/>
        <v>12.506220892322306</v>
      </c>
      <c r="BA9" s="74">
        <f t="shared" si="13"/>
        <v>10.042137124589219</v>
      </c>
      <c r="BB9" s="74">
        <f t="shared" si="13"/>
        <v>7.1606403912445984</v>
      </c>
      <c r="BC9" s="454"/>
      <c r="BD9" s="74">
        <f t="shared" si="14"/>
        <v>16.023844632076798</v>
      </c>
      <c r="BE9" s="74">
        <f t="shared" si="14"/>
        <v>13.065375443611646</v>
      </c>
      <c r="BF9" s="74">
        <f t="shared" si="14"/>
        <v>10.256900901986608</v>
      </c>
      <c r="BG9" s="74">
        <f t="shared" si="14"/>
        <v>9.2513529252483391</v>
      </c>
      <c r="BH9" s="74">
        <f t="shared" si="14"/>
        <v>7.5294629654204579</v>
      </c>
      <c r="BI9" s="74">
        <f t="shared" si="14"/>
        <v>5.4900941905626741</v>
      </c>
      <c r="BJ9" s="74">
        <f t="shared" si="14"/>
        <v>3.6256539230169116</v>
      </c>
      <c r="BK9" s="455"/>
      <c r="BL9" s="74">
        <f t="shared" si="15"/>
        <v>21.20473089825785</v>
      </c>
      <c r="BM9" s="74">
        <f t="shared" si="15"/>
        <v>16.736830661238585</v>
      </c>
      <c r="BN9" s="74">
        <f t="shared" si="15"/>
        <v>13.254801517226914</v>
      </c>
      <c r="BO9" s="74">
        <f t="shared" si="15"/>
        <v>11.092127468714819</v>
      </c>
      <c r="BP9" s="74">
        <f t="shared" si="15"/>
        <v>9.4620053430184505</v>
      </c>
      <c r="BQ9" s="74">
        <f t="shared" si="15"/>
        <v>8.0433320685579837</v>
      </c>
      <c r="BR9" s="74">
        <f t="shared" si="15"/>
        <v>6.8988189189485087</v>
      </c>
      <c r="BS9" s="454"/>
      <c r="BT9" s="74">
        <f t="shared" si="16"/>
        <v>0</v>
      </c>
      <c r="BU9" s="74">
        <f t="shared" si="16"/>
        <v>0</v>
      </c>
      <c r="BV9" s="74">
        <f t="shared" si="16"/>
        <v>0</v>
      </c>
      <c r="BW9" s="74">
        <f t="shared" si="16"/>
        <v>0</v>
      </c>
      <c r="BX9" s="74">
        <f t="shared" si="16"/>
        <v>0</v>
      </c>
      <c r="BY9" s="74">
        <f t="shared" si="16"/>
        <v>0</v>
      </c>
      <c r="BZ9" s="74">
        <f t="shared" si="16"/>
        <v>0</v>
      </c>
      <c r="CB9" s="2"/>
    </row>
    <row r="10" spans="1:80" x14ac:dyDescent="0.2">
      <c r="A10" s="452"/>
      <c r="B10" s="453" t="str">
        <f t="shared" si="0"/>
        <v>e-Methanol (PS) - Europe - Fuel cost - USD/GJ</v>
      </c>
      <c r="C10" s="453" t="str">
        <f t="shared" si="1"/>
        <v>e-Methanol (PS) - Europe</v>
      </c>
      <c r="D10" s="77">
        <f>+INDEX('Fuel Model -  Input'!$H$15:$H$44,MATCH(F10,'Fuel Model -  Input'!$F$15:$F$44,0))/1000</f>
        <v>19.899999999999999</v>
      </c>
      <c r="E10" t="s">
        <v>195</v>
      </c>
      <c r="F10" s="29" t="s">
        <v>119</v>
      </c>
      <c r="G10" t="s">
        <v>828</v>
      </c>
      <c r="H10" s="77">
        <f t="shared" si="2"/>
        <v>84.467641068127719</v>
      </c>
      <c r="I10" s="77">
        <f t="shared" si="2"/>
        <v>68.528619077444105</v>
      </c>
      <c r="J10" s="77">
        <f t="shared" si="2"/>
        <v>54.339478937289194</v>
      </c>
      <c r="K10" s="77">
        <f t="shared" si="2"/>
        <v>49.146003426453738</v>
      </c>
      <c r="L10" s="77">
        <f t="shared" si="2"/>
        <v>43.281847750642662</v>
      </c>
      <c r="M10" s="77">
        <f t="shared" si="2"/>
        <v>35.931128331781927</v>
      </c>
      <c r="N10" s="77">
        <f t="shared" si="2"/>
        <v>28.944947654017525</v>
      </c>
      <c r="O10" s="454"/>
      <c r="P10" s="77">
        <f t="shared" si="3"/>
        <v>32.760046113024302</v>
      </c>
      <c r="Q10" s="77">
        <f t="shared" si="3"/>
        <v>26.401718915187992</v>
      </c>
      <c r="R10" s="77">
        <f t="shared" si="3"/>
        <v>21.127744083700907</v>
      </c>
      <c r="S10" s="77">
        <f t="shared" si="3"/>
        <v>18.478552556148493</v>
      </c>
      <c r="T10" s="77">
        <f t="shared" si="3"/>
        <v>16.62801053531658</v>
      </c>
      <c r="U10" s="77">
        <f t="shared" si="3"/>
        <v>14.59009202212342</v>
      </c>
      <c r="V10" s="77">
        <f t="shared" si="3"/>
        <v>13.140435052610366</v>
      </c>
      <c r="W10"/>
      <c r="X10" s="76">
        <f t="shared" si="4"/>
        <v>-65.873267376827087</v>
      </c>
      <c r="Y10" s="76">
        <f t="shared" si="4"/>
        <v>-65.886262255036513</v>
      </c>
      <c r="Z10" s="76">
        <f t="shared" si="4"/>
        <v>-65.922777041384307</v>
      </c>
      <c r="AA10" s="76">
        <f t="shared" si="4"/>
        <v>-66.01976169522986</v>
      </c>
      <c r="AB10" s="76">
        <f t="shared" si="4"/>
        <v>-66.136231003603598</v>
      </c>
      <c r="AC10" s="76">
        <f t="shared" si="4"/>
        <v>-66.291289175601065</v>
      </c>
      <c r="AD10" s="76">
        <f t="shared" si="4"/>
        <v>-66.413435942586673</v>
      </c>
      <c r="AE10" s="2"/>
      <c r="AF10" s="76">
        <f t="shared" si="5"/>
        <v>69.095477386934675</v>
      </c>
      <c r="AG10" s="76">
        <f t="shared" si="5"/>
        <v>69.095477386934675</v>
      </c>
      <c r="AH10" s="76">
        <f t="shared" si="5"/>
        <v>69.095477386934675</v>
      </c>
      <c r="AI10" s="76">
        <f t="shared" si="5"/>
        <v>69.095477386934675</v>
      </c>
      <c r="AJ10" s="76">
        <f t="shared" si="5"/>
        <v>69.095477386934675</v>
      </c>
      <c r="AK10" s="76">
        <f t="shared" si="5"/>
        <v>69.095477386934675</v>
      </c>
      <c r="AL10" s="76">
        <f t="shared" si="5"/>
        <v>69.095477386934675</v>
      </c>
      <c r="AM10"/>
      <c r="AN10" s="24">
        <f t="shared" si="6"/>
        <v>3.2222100101075881</v>
      </c>
      <c r="AO10" s="24">
        <f t="shared" si="7"/>
        <v>3.2092151318981621</v>
      </c>
      <c r="AP10" s="24">
        <f t="shared" si="8"/>
        <v>3.1727003455503677</v>
      </c>
      <c r="AQ10" s="24">
        <f t="shared" si="9"/>
        <v>3.075715691704815</v>
      </c>
      <c r="AR10" s="24">
        <f t="shared" si="10"/>
        <v>2.9592463833310774</v>
      </c>
      <c r="AS10" s="24">
        <f t="shared" si="11"/>
        <v>2.8041882113336101</v>
      </c>
      <c r="AT10" s="24">
        <f t="shared" si="12"/>
        <v>2.6820414443480018</v>
      </c>
      <c r="AU10"/>
      <c r="AV10" s="74">
        <f t="shared" si="13"/>
        <v>23.007996788310674</v>
      </c>
      <c r="AW10" s="74">
        <f t="shared" si="13"/>
        <v>18.618927333708019</v>
      </c>
      <c r="AX10" s="74">
        <f t="shared" si="13"/>
        <v>14.683266072503733</v>
      </c>
      <c r="AY10" s="74">
        <f t="shared" si="13"/>
        <v>13.993124820084045</v>
      </c>
      <c r="AZ10" s="74">
        <f t="shared" si="13"/>
        <v>12.506220892322306</v>
      </c>
      <c r="BA10" s="74">
        <f t="shared" si="13"/>
        <v>10.042137124589219</v>
      </c>
      <c r="BB10" s="74">
        <f t="shared" si="13"/>
        <v>7.1606403912445984</v>
      </c>
      <c r="BC10" s="454"/>
      <c r="BD10" s="74">
        <f t="shared" si="14"/>
        <v>16.023844632076798</v>
      </c>
      <c r="BE10" s="74">
        <f t="shared" si="14"/>
        <v>13.065375443611646</v>
      </c>
      <c r="BF10" s="74">
        <f t="shared" si="14"/>
        <v>10.256900901986608</v>
      </c>
      <c r="BG10" s="74">
        <f t="shared" si="14"/>
        <v>9.2513529252483391</v>
      </c>
      <c r="BH10" s="74">
        <f t="shared" si="14"/>
        <v>7.5294629654204579</v>
      </c>
      <c r="BI10" s="74">
        <f t="shared" si="14"/>
        <v>5.4900941905626741</v>
      </c>
      <c r="BJ10" s="74">
        <f t="shared" si="14"/>
        <v>3.6256539230169116</v>
      </c>
      <c r="BK10" s="455"/>
      <c r="BL10" s="74">
        <f t="shared" si="15"/>
        <v>12.67575353471595</v>
      </c>
      <c r="BM10" s="74">
        <f t="shared" si="15"/>
        <v>10.442597384936459</v>
      </c>
      <c r="BN10" s="74">
        <f t="shared" si="15"/>
        <v>8.2715678790979457</v>
      </c>
      <c r="BO10" s="74">
        <f t="shared" si="15"/>
        <v>7.422973124972863</v>
      </c>
      <c r="BP10" s="74">
        <f t="shared" si="15"/>
        <v>6.6181533575833109</v>
      </c>
      <c r="BQ10" s="74">
        <f t="shared" si="15"/>
        <v>5.8088049945066125</v>
      </c>
      <c r="BR10" s="74">
        <f t="shared" si="15"/>
        <v>5.0182182871456487</v>
      </c>
      <c r="BS10" s="454"/>
      <c r="BT10" s="74">
        <f t="shared" si="16"/>
        <v>0</v>
      </c>
      <c r="BU10" s="74">
        <f t="shared" si="16"/>
        <v>0</v>
      </c>
      <c r="BV10" s="74">
        <f t="shared" si="16"/>
        <v>0</v>
      </c>
      <c r="BW10" s="74">
        <f t="shared" si="16"/>
        <v>0</v>
      </c>
      <c r="BX10" s="74">
        <f t="shared" si="16"/>
        <v>0</v>
      </c>
      <c r="BY10" s="74">
        <f t="shared" si="16"/>
        <v>0</v>
      </c>
      <c r="BZ10" s="74">
        <f t="shared" si="16"/>
        <v>0</v>
      </c>
      <c r="CB10" s="2"/>
    </row>
    <row r="11" spans="1:80" x14ac:dyDescent="0.2">
      <c r="A11" s="452"/>
      <c r="B11" s="453" t="str">
        <f t="shared" si="0"/>
        <v>e-Diesel (DAC) - Europe - Fuel cost - USD/GJ</v>
      </c>
      <c r="C11" s="453" t="str">
        <f t="shared" si="1"/>
        <v>e-Diesel (DAC) - Europe</v>
      </c>
      <c r="D11" s="77">
        <f>+INDEX('Fuel Model -  Input'!$H$15:$H$44,MATCH(F11,'Fuel Model -  Input'!$F$15:$F$44,0))/1000</f>
        <v>42.7</v>
      </c>
      <c r="E11" t="s">
        <v>195</v>
      </c>
      <c r="F11" s="29" t="s">
        <v>588</v>
      </c>
      <c r="G11" t="s">
        <v>828</v>
      </c>
      <c r="H11" s="77">
        <f t="shared" si="2"/>
        <v>107.1605618787473</v>
      </c>
      <c r="I11" s="77">
        <f t="shared" si="2"/>
        <v>85.862463447098662</v>
      </c>
      <c r="J11" s="77">
        <f t="shared" si="2"/>
        <v>68.275268953224526</v>
      </c>
      <c r="K11" s="77">
        <f t="shared" si="2"/>
        <v>61.528167802343276</v>
      </c>
      <c r="L11" s="77">
        <f t="shared" si="2"/>
        <v>54.457922977689314</v>
      </c>
      <c r="M11" s="77">
        <f t="shared" si="2"/>
        <v>44.419999774951684</v>
      </c>
      <c r="N11" s="77">
        <f t="shared" si="2"/>
        <v>35.370952654737295</v>
      </c>
      <c r="O11" s="454"/>
      <c r="P11" s="77">
        <f t="shared" si="3"/>
        <v>33.161824370052656</v>
      </c>
      <c r="Q11" s="77">
        <f t="shared" si="3"/>
        <v>26.67243684284578</v>
      </c>
      <c r="R11" s="77">
        <f t="shared" si="3"/>
        <v>21.280205917959048</v>
      </c>
      <c r="S11" s="77">
        <f t="shared" si="3"/>
        <v>18.499716293027259</v>
      </c>
      <c r="T11" s="77">
        <f t="shared" si="3"/>
        <v>16.523151304462672</v>
      </c>
      <c r="U11" s="77">
        <f t="shared" si="3"/>
        <v>14.34685733985849</v>
      </c>
      <c r="V11" s="77">
        <f t="shared" si="3"/>
        <v>12.800948633155464</v>
      </c>
      <c r="W11"/>
      <c r="X11" s="76">
        <f t="shared" si="4"/>
        <v>-71.898371469010129</v>
      </c>
      <c r="Y11" s="76">
        <f t="shared" si="4"/>
        <v>-71.917977773108731</v>
      </c>
      <c r="Z11" s="76">
        <f t="shared" si="4"/>
        <v>-71.964504396106349</v>
      </c>
      <c r="AA11" s="76">
        <f t="shared" si="4"/>
        <v>-72.08086120236382</v>
      </c>
      <c r="AB11" s="76">
        <f t="shared" si="4"/>
        <v>-72.219514710595647</v>
      </c>
      <c r="AC11" s="76">
        <f t="shared" si="4"/>
        <v>-72.40266058951876</v>
      </c>
      <c r="AD11" s="76">
        <f t="shared" si="4"/>
        <v>-72.547349318776185</v>
      </c>
      <c r="AE11" s="2"/>
      <c r="AF11" s="76">
        <f t="shared" si="5"/>
        <v>76.237236533957855</v>
      </c>
      <c r="AG11" s="76">
        <f t="shared" si="5"/>
        <v>76.237236533957855</v>
      </c>
      <c r="AH11" s="76">
        <f t="shared" si="5"/>
        <v>76.237236533957855</v>
      </c>
      <c r="AI11" s="76">
        <f t="shared" si="5"/>
        <v>76.237236533957855</v>
      </c>
      <c r="AJ11" s="76">
        <f t="shared" si="5"/>
        <v>76.237236533957855</v>
      </c>
      <c r="AK11" s="76">
        <f t="shared" si="5"/>
        <v>76.237236533957855</v>
      </c>
      <c r="AL11" s="76">
        <f t="shared" si="5"/>
        <v>76.237236533957855</v>
      </c>
      <c r="AM11"/>
      <c r="AN11" s="24">
        <f t="shared" si="6"/>
        <v>4.3388650649477256</v>
      </c>
      <c r="AO11" s="24">
        <f t="shared" si="7"/>
        <v>4.3192587608491237</v>
      </c>
      <c r="AP11" s="24">
        <f t="shared" si="8"/>
        <v>4.2727321378515057</v>
      </c>
      <c r="AQ11" s="24">
        <f t="shared" si="9"/>
        <v>4.1563753315940346</v>
      </c>
      <c r="AR11" s="24">
        <f t="shared" si="10"/>
        <v>4.0177218233622085</v>
      </c>
      <c r="AS11" s="24">
        <f t="shared" si="11"/>
        <v>3.834575944439095</v>
      </c>
      <c r="AT11" s="24">
        <f t="shared" si="12"/>
        <v>3.6898872151816704</v>
      </c>
      <c r="AU11"/>
      <c r="AV11" s="74">
        <f t="shared" si="13"/>
        <v>22.839460865640305</v>
      </c>
      <c r="AW11" s="74">
        <f t="shared" si="13"/>
        <v>19.69694622573768</v>
      </c>
      <c r="AX11" s="74">
        <f t="shared" si="13"/>
        <v>17.080594527339471</v>
      </c>
      <c r="AY11" s="74">
        <f t="shared" si="13"/>
        <v>16.76638962939645</v>
      </c>
      <c r="AZ11" s="74">
        <f t="shared" si="13"/>
        <v>15.527571989463205</v>
      </c>
      <c r="BA11" s="74">
        <f t="shared" si="13"/>
        <v>12.817065326461268</v>
      </c>
      <c r="BB11" s="74">
        <f t="shared" si="13"/>
        <v>9.6221668130119369</v>
      </c>
      <c r="BC11" s="454"/>
      <c r="BD11" s="74">
        <f t="shared" si="14"/>
        <v>26.120940926117587</v>
      </c>
      <c r="BE11" s="74">
        <f t="shared" si="14"/>
        <v>19.730396902629099</v>
      </c>
      <c r="BF11" s="74">
        <f t="shared" si="14"/>
        <v>14.263330474528159</v>
      </c>
      <c r="BG11" s="74">
        <f t="shared" si="14"/>
        <v>13.164587891246839</v>
      </c>
      <c r="BH11" s="74">
        <f t="shared" si="14"/>
        <v>11.234557716710251</v>
      </c>
      <c r="BI11" s="74">
        <f t="shared" si="14"/>
        <v>7.7585904589945063</v>
      </c>
      <c r="BJ11" s="74">
        <f t="shared" si="14"/>
        <v>4.8017803228784581</v>
      </c>
      <c r="BK11" s="455"/>
      <c r="BL11" s="74">
        <f t="shared" si="15"/>
        <v>25.038335716936736</v>
      </c>
      <c r="BM11" s="74">
        <f t="shared" si="15"/>
        <v>19.762683475886103</v>
      </c>
      <c r="BN11" s="74">
        <f t="shared" si="15"/>
        <v>15.651138033397842</v>
      </c>
      <c r="BO11" s="74">
        <f t="shared" si="15"/>
        <v>13.097473988672737</v>
      </c>
      <c r="BP11" s="74">
        <f t="shared" si="15"/>
        <v>11.172641967053186</v>
      </c>
      <c r="BQ11" s="74">
        <f t="shared" si="15"/>
        <v>9.497486649637418</v>
      </c>
      <c r="BR11" s="74">
        <f t="shared" si="15"/>
        <v>8.1460568856914346</v>
      </c>
      <c r="BS11" s="454"/>
      <c r="BT11" s="74">
        <f t="shared" si="16"/>
        <v>0</v>
      </c>
      <c r="BU11" s="74">
        <f t="shared" si="16"/>
        <v>0</v>
      </c>
      <c r="BV11" s="74">
        <f t="shared" si="16"/>
        <v>0</v>
      </c>
      <c r="BW11" s="74">
        <f t="shared" si="16"/>
        <v>0</v>
      </c>
      <c r="BX11" s="74">
        <f t="shared" si="16"/>
        <v>0</v>
      </c>
      <c r="BY11" s="74">
        <f t="shared" si="16"/>
        <v>0</v>
      </c>
      <c r="BZ11" s="74">
        <f t="shared" si="16"/>
        <v>0</v>
      </c>
      <c r="CB11" s="2"/>
    </row>
    <row r="12" spans="1:80" x14ac:dyDescent="0.2">
      <c r="A12" s="452"/>
      <c r="B12" s="453" t="str">
        <f t="shared" si="0"/>
        <v>e-Diesel (PS) - Europe - Fuel cost - USD/GJ</v>
      </c>
      <c r="C12" s="453" t="str">
        <f t="shared" si="1"/>
        <v>e-Diesel (PS) - Europe</v>
      </c>
      <c r="D12" s="77">
        <f>+INDEX('Fuel Model -  Input'!$H$15:$H$44,MATCH(F12,'Fuel Model -  Input'!$F$15:$F$44,0))/1000</f>
        <v>42.7</v>
      </c>
      <c r="E12" t="s">
        <v>195</v>
      </c>
      <c r="F12" s="29" t="s">
        <v>589</v>
      </c>
      <c r="G12" t="s">
        <v>828</v>
      </c>
      <c r="H12" s="77">
        <f t="shared" si="2"/>
        <v>97.089630086443279</v>
      </c>
      <c r="I12" s="77">
        <f t="shared" si="2"/>
        <v>78.43029528571374</v>
      </c>
      <c r="J12" s="77">
        <f t="shared" si="2"/>
        <v>62.391116148547511</v>
      </c>
      <c r="K12" s="77">
        <f t="shared" si="2"/>
        <v>57.195666781855643</v>
      </c>
      <c r="L12" s="77">
        <f t="shared" si="2"/>
        <v>51.099930788009971</v>
      </c>
      <c r="M12" s="77">
        <f t="shared" si="2"/>
        <v>41.781492391050897</v>
      </c>
      <c r="N12" s="77">
        <f t="shared" si="2"/>
        <v>33.150358099942359</v>
      </c>
      <c r="O12" s="454"/>
      <c r="P12" s="77">
        <f t="shared" si="3"/>
        <v>33.161824370052656</v>
      </c>
      <c r="Q12" s="77">
        <f t="shared" si="3"/>
        <v>26.67243684284578</v>
      </c>
      <c r="R12" s="77">
        <f t="shared" si="3"/>
        <v>21.280205917959048</v>
      </c>
      <c r="S12" s="77">
        <f t="shared" si="3"/>
        <v>18.499716293027259</v>
      </c>
      <c r="T12" s="77">
        <f t="shared" si="3"/>
        <v>16.523151304462672</v>
      </c>
      <c r="U12" s="77">
        <f t="shared" si="3"/>
        <v>14.34685733985849</v>
      </c>
      <c r="V12" s="77">
        <f t="shared" si="3"/>
        <v>12.800948633155464</v>
      </c>
      <c r="W12"/>
      <c r="X12" s="76">
        <f t="shared" si="4"/>
        <v>-71.898371469010129</v>
      </c>
      <c r="Y12" s="76">
        <f t="shared" si="4"/>
        <v>-71.917977773108731</v>
      </c>
      <c r="Z12" s="76">
        <f t="shared" si="4"/>
        <v>-71.964504396106349</v>
      </c>
      <c r="AA12" s="76">
        <f t="shared" si="4"/>
        <v>-72.08086120236382</v>
      </c>
      <c r="AB12" s="76">
        <f t="shared" si="4"/>
        <v>-72.219514710595647</v>
      </c>
      <c r="AC12" s="76">
        <f t="shared" si="4"/>
        <v>-72.40266058951876</v>
      </c>
      <c r="AD12" s="76">
        <f t="shared" si="4"/>
        <v>-72.547349318776185</v>
      </c>
      <c r="AE12" s="2"/>
      <c r="AF12" s="76">
        <f t="shared" si="5"/>
        <v>76.237236533957855</v>
      </c>
      <c r="AG12" s="76">
        <f t="shared" si="5"/>
        <v>76.237236533957855</v>
      </c>
      <c r="AH12" s="76">
        <f t="shared" si="5"/>
        <v>76.237236533957855</v>
      </c>
      <c r="AI12" s="76">
        <f t="shared" si="5"/>
        <v>76.237236533957855</v>
      </c>
      <c r="AJ12" s="76">
        <f t="shared" si="5"/>
        <v>76.237236533957855</v>
      </c>
      <c r="AK12" s="76">
        <f t="shared" si="5"/>
        <v>76.237236533957855</v>
      </c>
      <c r="AL12" s="76">
        <f t="shared" si="5"/>
        <v>76.237236533957855</v>
      </c>
      <c r="AM12"/>
      <c r="AN12" s="24">
        <f t="shared" si="6"/>
        <v>4.3388650649477256</v>
      </c>
      <c r="AO12" s="24">
        <f t="shared" si="7"/>
        <v>4.3192587608491237</v>
      </c>
      <c r="AP12" s="24">
        <f t="shared" si="8"/>
        <v>4.2727321378515057</v>
      </c>
      <c r="AQ12" s="24">
        <f t="shared" si="9"/>
        <v>4.1563753315940346</v>
      </c>
      <c r="AR12" s="24">
        <f t="shared" si="10"/>
        <v>4.0177218233622085</v>
      </c>
      <c r="AS12" s="24">
        <f t="shared" si="11"/>
        <v>3.834575944439095</v>
      </c>
      <c r="AT12" s="24">
        <f t="shared" si="12"/>
        <v>3.6898872151816704</v>
      </c>
      <c r="AU12"/>
      <c r="AV12" s="74">
        <f t="shared" si="13"/>
        <v>22.839460865640305</v>
      </c>
      <c r="AW12" s="74">
        <f t="shared" si="13"/>
        <v>19.69694622573768</v>
      </c>
      <c r="AX12" s="74">
        <f t="shared" si="13"/>
        <v>17.080594527339471</v>
      </c>
      <c r="AY12" s="74">
        <f t="shared" si="13"/>
        <v>16.76638962939645</v>
      </c>
      <c r="AZ12" s="74">
        <f t="shared" si="13"/>
        <v>15.527571989463205</v>
      </c>
      <c r="BA12" s="74">
        <f t="shared" si="13"/>
        <v>12.817065326461268</v>
      </c>
      <c r="BB12" s="74">
        <f t="shared" si="13"/>
        <v>9.6221668130119369</v>
      </c>
      <c r="BC12" s="454"/>
      <c r="BD12" s="74">
        <f t="shared" si="14"/>
        <v>26.120940926117587</v>
      </c>
      <c r="BE12" s="74">
        <f t="shared" si="14"/>
        <v>19.730396902629099</v>
      </c>
      <c r="BF12" s="74">
        <f t="shared" si="14"/>
        <v>14.263330474528159</v>
      </c>
      <c r="BG12" s="74">
        <f t="shared" si="14"/>
        <v>13.164587891246839</v>
      </c>
      <c r="BH12" s="74">
        <f t="shared" si="14"/>
        <v>11.234557716710251</v>
      </c>
      <c r="BI12" s="74">
        <f t="shared" si="14"/>
        <v>7.7585904589945063</v>
      </c>
      <c r="BJ12" s="74">
        <f t="shared" si="14"/>
        <v>4.8017803228784581</v>
      </c>
      <c r="BK12" s="455"/>
      <c r="BL12" s="74">
        <f t="shared" si="15"/>
        <v>14.967403924632729</v>
      </c>
      <c r="BM12" s="74">
        <f t="shared" si="15"/>
        <v>12.330515314501174</v>
      </c>
      <c r="BN12" s="74">
        <f t="shared" si="15"/>
        <v>9.7669852287208343</v>
      </c>
      <c r="BO12" s="74">
        <f t="shared" si="15"/>
        <v>8.7649729681851039</v>
      </c>
      <c r="BP12" s="74">
        <f t="shared" si="15"/>
        <v>7.8146497773738428</v>
      </c>
      <c r="BQ12" s="74">
        <f t="shared" si="15"/>
        <v>6.8589792657366262</v>
      </c>
      <c r="BR12" s="74">
        <f t="shared" si="15"/>
        <v>5.9254623308964991</v>
      </c>
      <c r="BS12" s="454"/>
      <c r="BT12" s="74">
        <f t="shared" si="16"/>
        <v>0</v>
      </c>
      <c r="BU12" s="74">
        <f t="shared" si="16"/>
        <v>0</v>
      </c>
      <c r="BV12" s="74">
        <f t="shared" si="16"/>
        <v>0</v>
      </c>
      <c r="BW12" s="74">
        <f t="shared" si="16"/>
        <v>0</v>
      </c>
      <c r="BX12" s="74">
        <f t="shared" si="16"/>
        <v>0</v>
      </c>
      <c r="BY12" s="74">
        <f t="shared" si="16"/>
        <v>0</v>
      </c>
      <c r="BZ12" s="74">
        <f t="shared" si="16"/>
        <v>0</v>
      </c>
      <c r="CB12" s="2"/>
    </row>
    <row r="13" spans="1:80" x14ac:dyDescent="0.2">
      <c r="A13" s="452"/>
      <c r="B13" s="453" t="str">
        <f t="shared" si="0"/>
        <v>e-Methane (DAC) - Europe - Fuel cost - USD/GJ</v>
      </c>
      <c r="C13" s="453" t="str">
        <f t="shared" si="1"/>
        <v>e-Methane (DAC) - Europe</v>
      </c>
      <c r="D13" s="77">
        <f>+INDEX('Fuel Model -  Input'!$H$15:$H$44,MATCH(F13,'Fuel Model -  Input'!$F$15:$F$44,0))/1000</f>
        <v>50</v>
      </c>
      <c r="E13" t="s">
        <v>195</v>
      </c>
      <c r="F13" s="29" t="s">
        <v>590</v>
      </c>
      <c r="G13" t="s">
        <v>828</v>
      </c>
      <c r="H13" s="74">
        <f t="shared" si="2"/>
        <v>75.734198096446306</v>
      </c>
      <c r="I13" s="74">
        <f t="shared" si="2"/>
        <v>61.679293062480468</v>
      </c>
      <c r="J13" s="74">
        <f t="shared" si="2"/>
        <v>50.588224895138886</v>
      </c>
      <c r="K13" s="74">
        <f t="shared" si="2"/>
        <v>45.636012487960471</v>
      </c>
      <c r="L13" s="74">
        <f t="shared" si="2"/>
        <v>40.257266558663979</v>
      </c>
      <c r="M13" s="74">
        <f t="shared" si="2"/>
        <v>33.770648004534074</v>
      </c>
      <c r="N13" s="74">
        <f t="shared" si="2"/>
        <v>27.826209227096051</v>
      </c>
      <c r="O13" s="454"/>
      <c r="P13" s="74">
        <f t="shared" si="3"/>
        <v>30.058183235680293</v>
      </c>
      <c r="Q13" s="74">
        <f t="shared" si="3"/>
        <v>24.209633558877194</v>
      </c>
      <c r="R13" s="74">
        <f t="shared" si="3"/>
        <v>19.340156180396136</v>
      </c>
      <c r="S13" s="74">
        <f t="shared" si="3"/>
        <v>16.834175339995468</v>
      </c>
      <c r="T13" s="74">
        <f t="shared" si="3"/>
        <v>15.054541516370406</v>
      </c>
      <c r="U13" s="74">
        <f t="shared" si="3"/>
        <v>13.08932366328607</v>
      </c>
      <c r="V13" s="74">
        <f t="shared" si="3"/>
        <v>11.69473298835579</v>
      </c>
      <c r="W13"/>
      <c r="X13" s="2">
        <f t="shared" si="4"/>
        <v>-51.979099603897218</v>
      </c>
      <c r="Y13" s="2">
        <f t="shared" si="4"/>
        <v>-51.992799999999995</v>
      </c>
      <c r="Z13" s="2">
        <f t="shared" si="4"/>
        <v>-52.031297247031617</v>
      </c>
      <c r="AA13" s="2">
        <f t="shared" si="4"/>
        <v>-52.133547391447145</v>
      </c>
      <c r="AB13" s="2">
        <f t="shared" si="4"/>
        <v>-52.256340051203011</v>
      </c>
      <c r="AC13" s="2">
        <f t="shared" si="4"/>
        <v>-52.419816641064365</v>
      </c>
      <c r="AD13" s="2">
        <f t="shared" si="4"/>
        <v>-52.548595000000006</v>
      </c>
      <c r="AE13" s="2"/>
      <c r="AF13" s="2">
        <f t="shared" si="5"/>
        <v>72.985200000000006</v>
      </c>
      <c r="AG13" s="2">
        <f t="shared" si="5"/>
        <v>72.985200000000006</v>
      </c>
      <c r="AH13" s="2">
        <f t="shared" si="5"/>
        <v>72.985200000000006</v>
      </c>
      <c r="AI13" s="2">
        <f t="shared" si="5"/>
        <v>72.985200000000006</v>
      </c>
      <c r="AJ13" s="2">
        <f t="shared" si="5"/>
        <v>72.985200000000006</v>
      </c>
      <c r="AK13" s="2">
        <f t="shared" si="5"/>
        <v>72.985200000000006</v>
      </c>
      <c r="AL13" s="2">
        <f t="shared" si="5"/>
        <v>72.985200000000006</v>
      </c>
      <c r="AM13"/>
      <c r="AN13" s="24">
        <f t="shared" si="6"/>
        <v>21.006100396102788</v>
      </c>
      <c r="AO13" s="24">
        <f t="shared" si="7"/>
        <v>20.992400000000011</v>
      </c>
      <c r="AP13" s="24">
        <f t="shared" si="8"/>
        <v>20.953902752968389</v>
      </c>
      <c r="AQ13" s="24">
        <f t="shared" si="9"/>
        <v>20.851652608552861</v>
      </c>
      <c r="AR13" s="24">
        <f t="shared" si="10"/>
        <v>20.728859948796995</v>
      </c>
      <c r="AS13" s="24">
        <f t="shared" si="11"/>
        <v>20.565383358935641</v>
      </c>
      <c r="AT13" s="24">
        <f t="shared" si="12"/>
        <v>20.436605</v>
      </c>
      <c r="AU13"/>
      <c r="AV13" s="74">
        <f t="shared" si="13"/>
        <v>15.595386966043161</v>
      </c>
      <c r="AW13" s="74">
        <f t="shared" si="13"/>
        <v>13.389509301538986</v>
      </c>
      <c r="AX13" s="74">
        <f t="shared" si="13"/>
        <v>11.94652881765445</v>
      </c>
      <c r="AY13" s="74">
        <f t="shared" si="13"/>
        <v>12.004830558018893</v>
      </c>
      <c r="AZ13" s="74">
        <f t="shared" si="13"/>
        <v>11.225216153959133</v>
      </c>
      <c r="BA13" s="74">
        <f t="shared" si="13"/>
        <v>9.6447467434717868</v>
      </c>
      <c r="BB13" s="74">
        <f t="shared" si="13"/>
        <v>7.6262097074243202</v>
      </c>
      <c r="BC13" s="454"/>
      <c r="BD13" s="74">
        <f t="shared" si="14"/>
        <v>13.223757741256504</v>
      </c>
      <c r="BE13" s="74">
        <f t="shared" si="14"/>
        <v>10.775073019489309</v>
      </c>
      <c r="BF13" s="74">
        <f t="shared" si="14"/>
        <v>8.7645295875530813</v>
      </c>
      <c r="BG13" s="74">
        <f t="shared" si="14"/>
        <v>7.9792312848520446</v>
      </c>
      <c r="BH13" s="74">
        <f t="shared" si="14"/>
        <v>6.4556121840583565</v>
      </c>
      <c r="BI13" s="74">
        <f t="shared" si="14"/>
        <v>4.6424665415480355</v>
      </c>
      <c r="BJ13" s="74">
        <f t="shared" si="14"/>
        <v>3.0209953426376388</v>
      </c>
      <c r="BK13" s="455"/>
      <c r="BL13" s="74">
        <f t="shared" si="15"/>
        <v>16.856870153466353</v>
      </c>
      <c r="BM13" s="74">
        <f t="shared" si="15"/>
        <v>13.305077182574983</v>
      </c>
      <c r="BN13" s="74">
        <f t="shared" si="15"/>
        <v>10.537010309535214</v>
      </c>
      <c r="BO13" s="74">
        <f t="shared" si="15"/>
        <v>8.817775305094063</v>
      </c>
      <c r="BP13" s="74">
        <f t="shared" si="15"/>
        <v>7.52189670427608</v>
      </c>
      <c r="BQ13" s="74">
        <f t="shared" si="15"/>
        <v>6.3941110562281809</v>
      </c>
      <c r="BR13" s="74">
        <f t="shared" si="15"/>
        <v>5.4842711886783038</v>
      </c>
      <c r="BS13" s="454"/>
      <c r="BT13" s="74">
        <f t="shared" si="16"/>
        <v>0</v>
      </c>
      <c r="BU13" s="74">
        <f t="shared" si="16"/>
        <v>0</v>
      </c>
      <c r="BV13" s="74">
        <f t="shared" si="16"/>
        <v>0</v>
      </c>
      <c r="BW13" s="74">
        <f t="shared" si="16"/>
        <v>0</v>
      </c>
      <c r="BX13" s="74">
        <f t="shared" si="16"/>
        <v>0</v>
      </c>
      <c r="BY13" s="74">
        <f t="shared" si="16"/>
        <v>0</v>
      </c>
      <c r="BZ13" s="74">
        <f t="shared" si="16"/>
        <v>0</v>
      </c>
      <c r="CB13" s="2"/>
    </row>
    <row r="14" spans="1:80" x14ac:dyDescent="0.2">
      <c r="A14" s="452"/>
      <c r="B14" s="453" t="str">
        <f t="shared" si="0"/>
        <v>e-Methane (PS) - Europe - Fuel cost - USD/GJ</v>
      </c>
      <c r="C14" s="453" t="str">
        <f t="shared" si="1"/>
        <v>e-Methane (PS) - Europe</v>
      </c>
      <c r="D14" s="77">
        <f>+INDEX('Fuel Model -  Input'!$H$15:$H$44,MATCH(F14,'Fuel Model -  Input'!$F$15:$F$44,0))/1000</f>
        <v>50</v>
      </c>
      <c r="E14" t="s">
        <v>195</v>
      </c>
      <c r="F14" s="29" t="s">
        <v>591</v>
      </c>
      <c r="G14" t="s">
        <v>828</v>
      </c>
      <c r="H14" s="77">
        <f t="shared" si="2"/>
        <v>68.954019434952812</v>
      </c>
      <c r="I14" s="77">
        <f t="shared" si="2"/>
        <v>56.675642058214763</v>
      </c>
      <c r="J14" s="77">
        <f t="shared" si="2"/>
        <v>46.626763521949407</v>
      </c>
      <c r="K14" s="77">
        <f t="shared" si="2"/>
        <v>42.719188943146385</v>
      </c>
      <c r="L14" s="77">
        <f t="shared" si="2"/>
        <v>37.996523713863425</v>
      </c>
      <c r="M14" s="77">
        <f t="shared" si="2"/>
        <v>31.994292863673326</v>
      </c>
      <c r="N14" s="77">
        <f t="shared" si="2"/>
        <v>26.33121073770555</v>
      </c>
      <c r="O14" s="454"/>
      <c r="P14" s="77">
        <f t="shared" si="3"/>
        <v>30.058183235680293</v>
      </c>
      <c r="Q14" s="77">
        <f t="shared" si="3"/>
        <v>24.209633558877194</v>
      </c>
      <c r="R14" s="77">
        <f t="shared" si="3"/>
        <v>19.340156180396136</v>
      </c>
      <c r="S14" s="77">
        <f t="shared" si="3"/>
        <v>16.834175339995468</v>
      </c>
      <c r="T14" s="77">
        <f t="shared" si="3"/>
        <v>15.054541516370406</v>
      </c>
      <c r="U14" s="77">
        <f t="shared" si="3"/>
        <v>13.08932366328607</v>
      </c>
      <c r="V14" s="77">
        <f t="shared" si="3"/>
        <v>11.69473298835579</v>
      </c>
      <c r="W14"/>
      <c r="X14" s="76">
        <f t="shared" si="4"/>
        <v>-51.979099603897218</v>
      </c>
      <c r="Y14" s="76">
        <f t="shared" si="4"/>
        <v>-51.992799999999995</v>
      </c>
      <c r="Z14" s="76">
        <f t="shared" si="4"/>
        <v>-52.031297247031617</v>
      </c>
      <c r="AA14" s="76">
        <f t="shared" si="4"/>
        <v>-52.133547391447145</v>
      </c>
      <c r="AB14" s="76">
        <f t="shared" si="4"/>
        <v>-52.256340051203011</v>
      </c>
      <c r="AC14" s="76">
        <f t="shared" si="4"/>
        <v>-52.419816641064365</v>
      </c>
      <c r="AD14" s="76">
        <f t="shared" si="4"/>
        <v>-52.548595000000006</v>
      </c>
      <c r="AE14" s="2"/>
      <c r="AF14" s="76">
        <f t="shared" si="5"/>
        <v>72.985200000000006</v>
      </c>
      <c r="AG14" s="76">
        <f t="shared" si="5"/>
        <v>72.985200000000006</v>
      </c>
      <c r="AH14" s="76">
        <f t="shared" si="5"/>
        <v>72.985200000000006</v>
      </c>
      <c r="AI14" s="76">
        <f t="shared" si="5"/>
        <v>72.985200000000006</v>
      </c>
      <c r="AJ14" s="76">
        <f t="shared" si="5"/>
        <v>72.985200000000006</v>
      </c>
      <c r="AK14" s="76">
        <f t="shared" si="5"/>
        <v>72.985200000000006</v>
      </c>
      <c r="AL14" s="76">
        <f t="shared" si="5"/>
        <v>72.985200000000006</v>
      </c>
      <c r="AM14"/>
      <c r="AN14" s="24">
        <f t="shared" si="6"/>
        <v>21.006100396102788</v>
      </c>
      <c r="AO14" s="24">
        <f t="shared" si="7"/>
        <v>20.992400000000011</v>
      </c>
      <c r="AP14" s="24">
        <f t="shared" si="8"/>
        <v>20.953902752968389</v>
      </c>
      <c r="AQ14" s="24">
        <f t="shared" si="9"/>
        <v>20.851652608552861</v>
      </c>
      <c r="AR14" s="24">
        <f t="shared" si="10"/>
        <v>20.728859948796995</v>
      </c>
      <c r="AS14" s="24">
        <f t="shared" si="11"/>
        <v>20.565383358935641</v>
      </c>
      <c r="AT14" s="24">
        <f t="shared" si="12"/>
        <v>20.436605</v>
      </c>
      <c r="AU14"/>
      <c r="AV14" s="74">
        <f t="shared" si="13"/>
        <v>15.595386966043161</v>
      </c>
      <c r="AW14" s="74">
        <f t="shared" si="13"/>
        <v>13.389509301538986</v>
      </c>
      <c r="AX14" s="74">
        <f t="shared" si="13"/>
        <v>11.94652881765445</v>
      </c>
      <c r="AY14" s="74">
        <f t="shared" si="13"/>
        <v>12.004830558018893</v>
      </c>
      <c r="AZ14" s="74">
        <f t="shared" si="13"/>
        <v>11.225216153959133</v>
      </c>
      <c r="BA14" s="74">
        <f t="shared" si="13"/>
        <v>9.6447467434717868</v>
      </c>
      <c r="BB14" s="74">
        <f t="shared" si="13"/>
        <v>7.6262097074243202</v>
      </c>
      <c r="BC14" s="454"/>
      <c r="BD14" s="74">
        <f t="shared" si="14"/>
        <v>13.223757741256504</v>
      </c>
      <c r="BE14" s="74">
        <f t="shared" si="14"/>
        <v>10.775073019489309</v>
      </c>
      <c r="BF14" s="74">
        <f t="shared" si="14"/>
        <v>8.7645295875530813</v>
      </c>
      <c r="BG14" s="74">
        <f t="shared" si="14"/>
        <v>7.9792312848520446</v>
      </c>
      <c r="BH14" s="74">
        <f t="shared" si="14"/>
        <v>6.4556121840583565</v>
      </c>
      <c r="BI14" s="74">
        <f t="shared" si="14"/>
        <v>4.6424665415480355</v>
      </c>
      <c r="BJ14" s="74">
        <f t="shared" si="14"/>
        <v>3.0209953426376388</v>
      </c>
      <c r="BK14" s="455"/>
      <c r="BL14" s="74">
        <f t="shared" si="15"/>
        <v>10.076691491972861</v>
      </c>
      <c r="BM14" s="74">
        <f t="shared" si="15"/>
        <v>8.3014261783092707</v>
      </c>
      <c r="BN14" s="74">
        <f t="shared" si="15"/>
        <v>6.5755489363457436</v>
      </c>
      <c r="BO14" s="74">
        <f t="shared" si="15"/>
        <v>5.9009517602799777</v>
      </c>
      <c r="BP14" s="74">
        <f t="shared" si="15"/>
        <v>5.2611538594755265</v>
      </c>
      <c r="BQ14" s="74">
        <f t="shared" si="15"/>
        <v>4.6177559153674341</v>
      </c>
      <c r="BR14" s="74">
        <f t="shared" si="15"/>
        <v>3.9892726992878011</v>
      </c>
      <c r="BS14" s="454"/>
      <c r="BT14" s="74">
        <f t="shared" si="16"/>
        <v>0</v>
      </c>
      <c r="BU14" s="74">
        <f t="shared" si="16"/>
        <v>0</v>
      </c>
      <c r="BV14" s="74">
        <f t="shared" si="16"/>
        <v>0</v>
      </c>
      <c r="BW14" s="74">
        <f t="shared" si="16"/>
        <v>0</v>
      </c>
      <c r="BX14" s="74">
        <f t="shared" si="16"/>
        <v>0</v>
      </c>
      <c r="BY14" s="74">
        <f t="shared" si="16"/>
        <v>0</v>
      </c>
      <c r="BZ14" s="74">
        <f t="shared" si="16"/>
        <v>0</v>
      </c>
      <c r="CB14" s="2"/>
    </row>
    <row r="15" spans="1:80" x14ac:dyDescent="0.2">
      <c r="A15" s="452"/>
      <c r="B15" s="453" t="str">
        <f t="shared" si="0"/>
        <v>Blue ammonia - Europe - Fuel cost - USD/GJ</v>
      </c>
      <c r="C15" s="453" t="str">
        <f t="shared" si="1"/>
        <v>Blue ammonia - Europe</v>
      </c>
      <c r="D15" s="77">
        <f>+INDEX('Fuel Model -  Input'!$H$15:$H$44,MATCH(F15,'Fuel Model -  Input'!$F$15:$F$44,0))/1000</f>
        <v>18.8</v>
      </c>
      <c r="E15" t="s">
        <v>195</v>
      </c>
      <c r="F15" s="29" t="s">
        <v>120</v>
      </c>
      <c r="G15" t="s">
        <v>828</v>
      </c>
      <c r="H15" s="77">
        <f t="shared" si="2"/>
        <v>78.494232319177826</v>
      </c>
      <c r="I15" s="77">
        <f t="shared" si="2"/>
        <v>41.176850535514006</v>
      </c>
      <c r="J15" s="77">
        <f t="shared" si="2"/>
        <v>31.962066780365777</v>
      </c>
      <c r="K15" s="77">
        <f t="shared" si="2"/>
        <v>31.53003489001329</v>
      </c>
      <c r="L15" s="77">
        <f t="shared" si="2"/>
        <v>31.110327768919021</v>
      </c>
      <c r="M15" s="77">
        <f t="shared" si="2"/>
        <v>30.689345629804873</v>
      </c>
      <c r="N15" s="77">
        <f t="shared" si="2"/>
        <v>30.273645801317009</v>
      </c>
      <c r="O15" s="454"/>
      <c r="P15" s="77">
        <f t="shared" si="3"/>
        <v>0</v>
      </c>
      <c r="Q15" s="77">
        <f t="shared" si="3"/>
        <v>0</v>
      </c>
      <c r="R15" s="77">
        <f t="shared" si="3"/>
        <v>0</v>
      </c>
      <c r="S15" s="77">
        <f t="shared" si="3"/>
        <v>0</v>
      </c>
      <c r="T15" s="77">
        <f t="shared" si="3"/>
        <v>0</v>
      </c>
      <c r="U15" s="77">
        <f t="shared" si="3"/>
        <v>0</v>
      </c>
      <c r="V15" s="77">
        <f t="shared" si="3"/>
        <v>0</v>
      </c>
      <c r="W15"/>
      <c r="X15" s="76">
        <f t="shared" si="4"/>
        <v>22.083989361702127</v>
      </c>
      <c r="Y15" s="76">
        <f t="shared" si="4"/>
        <v>21.082590425531919</v>
      </c>
      <c r="Z15" s="76">
        <f t="shared" si="4"/>
        <v>20.081191489361693</v>
      </c>
      <c r="AA15" s="76">
        <f t="shared" si="4"/>
        <v>19.079792553191478</v>
      </c>
      <c r="AB15" s="76">
        <f t="shared" si="4"/>
        <v>18.078393617021277</v>
      </c>
      <c r="AC15" s="76">
        <f t="shared" si="4"/>
        <v>17.076994680851062</v>
      </c>
      <c r="AD15" s="76">
        <f t="shared" si="4"/>
        <v>16.075595744680854</v>
      </c>
      <c r="AE15" s="2"/>
      <c r="AF15" s="76">
        <f t="shared" si="5"/>
        <v>0</v>
      </c>
      <c r="AG15" s="76">
        <f t="shared" si="5"/>
        <v>0</v>
      </c>
      <c r="AH15" s="76">
        <f t="shared" si="5"/>
        <v>0</v>
      </c>
      <c r="AI15" s="76">
        <f t="shared" si="5"/>
        <v>0</v>
      </c>
      <c r="AJ15" s="76">
        <f t="shared" si="5"/>
        <v>0</v>
      </c>
      <c r="AK15" s="76">
        <f t="shared" si="5"/>
        <v>0</v>
      </c>
      <c r="AL15" s="76">
        <f t="shared" si="5"/>
        <v>0</v>
      </c>
      <c r="AM15"/>
      <c r="AN15" s="24">
        <f t="shared" si="6"/>
        <v>22.083989361702127</v>
      </c>
      <c r="AO15" s="24">
        <f t="shared" si="7"/>
        <v>21.082590425531919</v>
      </c>
      <c r="AP15" s="24">
        <f t="shared" si="8"/>
        <v>20.081191489361693</v>
      </c>
      <c r="AQ15" s="24">
        <f t="shared" si="9"/>
        <v>19.079792553191478</v>
      </c>
      <c r="AR15" s="24">
        <f t="shared" si="10"/>
        <v>18.078393617021277</v>
      </c>
      <c r="AS15" s="24">
        <f t="shared" si="11"/>
        <v>17.076994680851062</v>
      </c>
      <c r="AT15" s="24">
        <f t="shared" si="12"/>
        <v>16.075595744680854</v>
      </c>
      <c r="AU15"/>
      <c r="AV15" s="74">
        <f t="shared" si="13"/>
        <v>5.9202127659574479</v>
      </c>
      <c r="AW15" s="74">
        <f t="shared" si="13"/>
        <v>5.6382978723404271</v>
      </c>
      <c r="AX15" s="74">
        <f t="shared" si="13"/>
        <v>5.3563829787234045</v>
      </c>
      <c r="AY15" s="74">
        <f t="shared" si="13"/>
        <v>5.0744680851063837</v>
      </c>
      <c r="AZ15" s="74">
        <f t="shared" si="13"/>
        <v>4.7925531914893629</v>
      </c>
      <c r="BA15" s="74">
        <f t="shared" si="13"/>
        <v>4.5106382978723421</v>
      </c>
      <c r="BB15" s="74">
        <f t="shared" si="13"/>
        <v>4.2287234042553195</v>
      </c>
      <c r="BC15" s="454"/>
      <c r="BD15" s="74">
        <f t="shared" si="14"/>
        <v>2.6808510638297869</v>
      </c>
      <c r="BE15" s="74">
        <f t="shared" si="14"/>
        <v>2.5531914893617018</v>
      </c>
      <c r="BF15" s="74">
        <f t="shared" si="14"/>
        <v>2.4255319148936172</v>
      </c>
      <c r="BG15" s="74">
        <f t="shared" si="14"/>
        <v>2.2978723404255321</v>
      </c>
      <c r="BH15" s="74">
        <f t="shared" si="14"/>
        <v>2.1702127659574471</v>
      </c>
      <c r="BI15" s="74">
        <f t="shared" si="14"/>
        <v>2.0425531914893615</v>
      </c>
      <c r="BJ15" s="74">
        <f t="shared" si="14"/>
        <v>1.9148936170212765</v>
      </c>
      <c r="BK15" s="455"/>
      <c r="BL15" s="74">
        <f t="shared" si="15"/>
        <v>6.9795744680851062</v>
      </c>
      <c r="BM15" s="74">
        <f t="shared" si="15"/>
        <v>7.029787234042554</v>
      </c>
      <c r="BN15" s="74">
        <f t="shared" si="15"/>
        <v>7.08</v>
      </c>
      <c r="BO15" s="74">
        <f t="shared" si="15"/>
        <v>7.130212765957447</v>
      </c>
      <c r="BP15" s="74">
        <f t="shared" si="15"/>
        <v>7.180425531914894</v>
      </c>
      <c r="BQ15" s="74">
        <f t="shared" si="15"/>
        <v>7.2306382978723409</v>
      </c>
      <c r="BR15" s="74">
        <f t="shared" si="15"/>
        <v>7.280851063829787</v>
      </c>
      <c r="BS15" s="454"/>
      <c r="BT15" s="74">
        <f t="shared" si="16"/>
        <v>62.913594021305492</v>
      </c>
      <c r="BU15" s="74">
        <f t="shared" si="16"/>
        <v>25.955573939769316</v>
      </c>
      <c r="BV15" s="74">
        <f t="shared" si="16"/>
        <v>17.100151886748758</v>
      </c>
      <c r="BW15" s="74">
        <f t="shared" si="16"/>
        <v>17.027481698523928</v>
      </c>
      <c r="BX15" s="74">
        <f t="shared" si="16"/>
        <v>16.967136279557316</v>
      </c>
      <c r="BY15" s="74">
        <f t="shared" si="16"/>
        <v>16.905515842570829</v>
      </c>
      <c r="BZ15" s="74">
        <f t="shared" si="16"/>
        <v>16.849177716210622</v>
      </c>
      <c r="CB15" s="2"/>
    </row>
    <row r="16" spans="1:80" x14ac:dyDescent="0.2">
      <c r="A16" s="452"/>
      <c r="B16" s="453" t="str">
        <f t="shared" si="0"/>
        <v>LSFO - Europe - Fuel cost - USD/GJ</v>
      </c>
      <c r="C16" s="453" t="str">
        <f t="shared" si="1"/>
        <v>LSFO - Europe</v>
      </c>
      <c r="D16" s="77">
        <f>+INDEX('Fuel Model -  Input'!$H$15:$H$44,MATCH(F16,'Fuel Model -  Input'!$F$15:$F$44,0))/1000</f>
        <v>41.2</v>
      </c>
      <c r="E16" t="s">
        <v>195</v>
      </c>
      <c r="F16" t="s">
        <v>117</v>
      </c>
      <c r="G16" t="s">
        <v>828</v>
      </c>
      <c r="H16" s="77">
        <f t="shared" ref="H16:N26" si="17">INDEX(H$142:H$292,MATCH($E16&amp;$F16,$D$142:$D$292,0))/$D16</f>
        <v>21.473621920116738</v>
      </c>
      <c r="I16" s="77">
        <f t="shared" si="17"/>
        <v>15.404989638344617</v>
      </c>
      <c r="J16" s="77">
        <f t="shared" si="17"/>
        <v>13.444354593464393</v>
      </c>
      <c r="K16" s="77">
        <f t="shared" si="17"/>
        <v>13.444354593464393</v>
      </c>
      <c r="L16" s="77">
        <f t="shared" si="17"/>
        <v>13.444354593464393</v>
      </c>
      <c r="M16" s="77">
        <f t="shared" si="17"/>
        <v>13.444354593464393</v>
      </c>
      <c r="N16" s="77">
        <f t="shared" si="17"/>
        <v>13.444354593464393</v>
      </c>
      <c r="O16" s="454"/>
      <c r="P16" s="77">
        <f t="shared" ref="P16:V26" si="18">IFERROR(INDEX(P$142:P$292,MATCH($E16&amp;$F16,$D$142:$D$292,0))/$D16,"--")</f>
        <v>0</v>
      </c>
      <c r="Q16" s="77">
        <f t="shared" si="18"/>
        <v>0</v>
      </c>
      <c r="R16" s="77">
        <f t="shared" si="18"/>
        <v>0</v>
      </c>
      <c r="S16" s="77">
        <f t="shared" si="18"/>
        <v>0</v>
      </c>
      <c r="T16" s="77">
        <f t="shared" si="18"/>
        <v>0</v>
      </c>
      <c r="U16" s="77">
        <f t="shared" si="18"/>
        <v>0</v>
      </c>
      <c r="V16" s="77">
        <f t="shared" si="18"/>
        <v>0</v>
      </c>
      <c r="W16"/>
      <c r="X16" s="76">
        <f t="shared" ref="X16:AD26" si="19">INDEX(X$142:X$292,MATCH($E16&amp;$F16,$D$142:$D$292,0))/$D16*1000</f>
        <v>15.899999999999997</v>
      </c>
      <c r="Y16" s="76">
        <f t="shared" si="19"/>
        <v>15.899999999999997</v>
      </c>
      <c r="Z16" s="76">
        <f t="shared" si="19"/>
        <v>15.899999999999997</v>
      </c>
      <c r="AA16" s="76">
        <f t="shared" si="19"/>
        <v>15.899999999999997</v>
      </c>
      <c r="AB16" s="76">
        <f t="shared" si="19"/>
        <v>15.899999999999997</v>
      </c>
      <c r="AC16" s="76">
        <f t="shared" si="19"/>
        <v>15.899999999999997</v>
      </c>
      <c r="AD16" s="76">
        <f t="shared" si="19"/>
        <v>15.899999999999997</v>
      </c>
      <c r="AE16" s="2"/>
      <c r="AF16" s="76">
        <f t="shared" ref="AF16:AL26" si="20">INDEX(AF$142:AF$292,MATCH($E16&amp;$F16,$D$142:$D$292,0))/$D16*1000</f>
        <v>76.779854368932035</v>
      </c>
      <c r="AG16" s="76">
        <f t="shared" si="20"/>
        <v>76.779854368932035</v>
      </c>
      <c r="AH16" s="76">
        <f t="shared" si="20"/>
        <v>76.779854368932035</v>
      </c>
      <c r="AI16" s="76">
        <f t="shared" si="20"/>
        <v>76.779854368932035</v>
      </c>
      <c r="AJ16" s="76">
        <f t="shared" si="20"/>
        <v>76.779854368932035</v>
      </c>
      <c r="AK16" s="76">
        <f t="shared" si="20"/>
        <v>76.779854368932035</v>
      </c>
      <c r="AL16" s="76">
        <f t="shared" si="20"/>
        <v>76.779854368932035</v>
      </c>
      <c r="AM16"/>
      <c r="AN16" s="24">
        <f t="shared" si="6"/>
        <v>92.679854368932027</v>
      </c>
      <c r="AO16" s="24">
        <f t="shared" si="7"/>
        <v>92.679854368932027</v>
      </c>
      <c r="AP16" s="24">
        <f t="shared" si="8"/>
        <v>92.679854368932027</v>
      </c>
      <c r="AQ16" s="24">
        <f t="shared" si="9"/>
        <v>92.679854368932027</v>
      </c>
      <c r="AR16" s="24">
        <f t="shared" si="10"/>
        <v>92.679854368932027</v>
      </c>
      <c r="AS16" s="24">
        <f t="shared" si="11"/>
        <v>92.679854368932027</v>
      </c>
      <c r="AT16" s="24">
        <f t="shared" si="12"/>
        <v>92.679854368932027</v>
      </c>
      <c r="AU16"/>
      <c r="AV16" s="74">
        <f t="shared" ref="AV16:BB26" si="21">IFERROR(INDEX(AV$142:AV$266,MATCH($E16&amp;$F16,$D$142:$D$266,0))/$D16,"NA")</f>
        <v>0</v>
      </c>
      <c r="AW16" s="74">
        <f t="shared" si="21"/>
        <v>0</v>
      </c>
      <c r="AX16" s="74">
        <f t="shared" si="21"/>
        <v>0</v>
      </c>
      <c r="AY16" s="74">
        <f t="shared" si="21"/>
        <v>0</v>
      </c>
      <c r="AZ16" s="74">
        <f t="shared" si="21"/>
        <v>0</v>
      </c>
      <c r="BA16" s="74">
        <f t="shared" si="21"/>
        <v>0</v>
      </c>
      <c r="BB16" s="74">
        <f t="shared" si="21"/>
        <v>0</v>
      </c>
      <c r="BC16" s="454"/>
      <c r="BD16" s="74">
        <f t="shared" ref="BD16:BJ26" si="22">IFERROR(INDEX(BD$142:BD$266,MATCH($E16&amp;$F16,$D$142:$D$266,0))/$D16,"NA")</f>
        <v>0</v>
      </c>
      <c r="BE16" s="74">
        <f t="shared" si="22"/>
        <v>0</v>
      </c>
      <c r="BF16" s="74">
        <f t="shared" si="22"/>
        <v>0</v>
      </c>
      <c r="BG16" s="74">
        <f t="shared" si="22"/>
        <v>0</v>
      </c>
      <c r="BH16" s="74">
        <f t="shared" si="22"/>
        <v>0</v>
      </c>
      <c r="BI16" s="74">
        <f t="shared" si="22"/>
        <v>0</v>
      </c>
      <c r="BJ16" s="74">
        <f t="shared" si="22"/>
        <v>0</v>
      </c>
      <c r="BK16" s="455"/>
      <c r="BL16" s="74">
        <f t="shared" ref="BL16:BR26" si="23">IFERROR(INDEX(BL$142:BL$266,MATCH($E16&amp;$F16,$D$142:$D$266,0))/$D16,"NA")</f>
        <v>0</v>
      </c>
      <c r="BM16" s="74">
        <f t="shared" si="23"/>
        <v>0</v>
      </c>
      <c r="BN16" s="74">
        <f t="shared" si="23"/>
        <v>0</v>
      </c>
      <c r="BO16" s="74">
        <f t="shared" si="23"/>
        <v>0</v>
      </c>
      <c r="BP16" s="74">
        <f t="shared" si="23"/>
        <v>0</v>
      </c>
      <c r="BQ16" s="74">
        <f t="shared" si="23"/>
        <v>0</v>
      </c>
      <c r="BR16" s="74">
        <f t="shared" si="23"/>
        <v>0</v>
      </c>
      <c r="BS16" s="454"/>
      <c r="BT16" s="74">
        <f t="shared" ref="BT16:BZ26" si="24">IFERROR(INDEX(BT$142:BT$266,MATCH($E16&amp;$F16,$D$142:$D$266,0))/$D16,"NA")</f>
        <v>0</v>
      </c>
      <c r="BU16" s="74">
        <f t="shared" si="24"/>
        <v>0</v>
      </c>
      <c r="BV16" s="74">
        <f t="shared" si="24"/>
        <v>0</v>
      </c>
      <c r="BW16" s="74">
        <f t="shared" si="24"/>
        <v>0</v>
      </c>
      <c r="BX16" s="74">
        <f t="shared" si="24"/>
        <v>0</v>
      </c>
      <c r="BY16" s="74">
        <f t="shared" si="24"/>
        <v>0</v>
      </c>
      <c r="BZ16" s="74">
        <f t="shared" si="24"/>
        <v>0</v>
      </c>
      <c r="CB16" s="2"/>
    </row>
    <row r="17" spans="1:80" x14ac:dyDescent="0.2">
      <c r="A17" s="452"/>
      <c r="B17" s="453" t="str">
        <f t="shared" si="0"/>
        <v>LNG - Europe - Fuel cost - USD/GJ</v>
      </c>
      <c r="C17" s="453" t="str">
        <f t="shared" si="1"/>
        <v>LNG - Europe</v>
      </c>
      <c r="D17" s="77">
        <f>+INDEX('Fuel Model -  Input'!$H$15:$H$44,MATCH(F17,'Fuel Model -  Input'!$F$15:$F$44,0))/1000</f>
        <v>48</v>
      </c>
      <c r="E17" t="s">
        <v>195</v>
      </c>
      <c r="F17" t="s">
        <v>528</v>
      </c>
      <c r="G17" t="s">
        <v>828</v>
      </c>
      <c r="H17" s="77">
        <f t="shared" si="17"/>
        <v>41.380111807070527</v>
      </c>
      <c r="I17" s="77">
        <f t="shared" si="17"/>
        <v>19.276185376190934</v>
      </c>
      <c r="J17" s="77">
        <f t="shared" si="17"/>
        <v>14.387060005873366</v>
      </c>
      <c r="K17" s="77">
        <f t="shared" si="17"/>
        <v>14.249183654332128</v>
      </c>
      <c r="L17" s="77">
        <f t="shared" si="17"/>
        <v>14.13111687573616</v>
      </c>
      <c r="M17" s="77">
        <f t="shared" si="17"/>
        <v>14.013368551055779</v>
      </c>
      <c r="N17" s="77">
        <f t="shared" si="17"/>
        <v>13.905262145029377</v>
      </c>
      <c r="O17" s="454"/>
      <c r="P17" s="77">
        <f t="shared" si="18"/>
        <v>0</v>
      </c>
      <c r="Q17" s="77">
        <f t="shared" si="18"/>
        <v>0</v>
      </c>
      <c r="R17" s="77">
        <f t="shared" si="18"/>
        <v>0</v>
      </c>
      <c r="S17" s="77">
        <f t="shared" si="18"/>
        <v>0</v>
      </c>
      <c r="T17" s="77">
        <f t="shared" si="18"/>
        <v>0</v>
      </c>
      <c r="U17" s="77">
        <f t="shared" si="18"/>
        <v>0</v>
      </c>
      <c r="V17" s="77">
        <f t="shared" si="18"/>
        <v>0</v>
      </c>
      <c r="W17"/>
      <c r="X17" s="76">
        <f t="shared" si="19"/>
        <v>17.600000000000001</v>
      </c>
      <c r="Y17" s="76">
        <f t="shared" si="19"/>
        <v>17.600000000000001</v>
      </c>
      <c r="Z17" s="76">
        <f t="shared" si="19"/>
        <v>17.600000000000001</v>
      </c>
      <c r="AA17" s="76">
        <f t="shared" si="19"/>
        <v>17.600000000000001</v>
      </c>
      <c r="AB17" s="76">
        <f t="shared" si="19"/>
        <v>17.600000000000001</v>
      </c>
      <c r="AC17" s="76">
        <f t="shared" si="19"/>
        <v>17.600000000000001</v>
      </c>
      <c r="AD17" s="76">
        <f t="shared" si="19"/>
        <v>17.600000000000001</v>
      </c>
      <c r="AE17" s="2"/>
      <c r="AF17" s="76">
        <f t="shared" si="20"/>
        <v>76.026250000000005</v>
      </c>
      <c r="AG17" s="76">
        <f t="shared" si="20"/>
        <v>76.026250000000005</v>
      </c>
      <c r="AH17" s="76">
        <f t="shared" si="20"/>
        <v>76.026250000000005</v>
      </c>
      <c r="AI17" s="76">
        <f t="shared" si="20"/>
        <v>76.026250000000005</v>
      </c>
      <c r="AJ17" s="76">
        <f t="shared" si="20"/>
        <v>76.026250000000005</v>
      </c>
      <c r="AK17" s="76">
        <f t="shared" si="20"/>
        <v>76.026250000000005</v>
      </c>
      <c r="AL17" s="76">
        <f t="shared" si="20"/>
        <v>76.026250000000005</v>
      </c>
      <c r="AM17"/>
      <c r="AN17" s="24">
        <f t="shared" si="6"/>
        <v>93.626249999999999</v>
      </c>
      <c r="AO17" s="24">
        <f t="shared" si="7"/>
        <v>93.626249999999999</v>
      </c>
      <c r="AP17" s="24">
        <f t="shared" si="8"/>
        <v>93.626249999999999</v>
      </c>
      <c r="AQ17" s="24">
        <f t="shared" si="9"/>
        <v>93.626249999999999</v>
      </c>
      <c r="AR17" s="24">
        <f t="shared" si="10"/>
        <v>93.626249999999999</v>
      </c>
      <c r="AS17" s="24">
        <f t="shared" si="11"/>
        <v>93.626249999999999</v>
      </c>
      <c r="AT17" s="24">
        <f t="shared" si="12"/>
        <v>93.626249999999999</v>
      </c>
      <c r="AU17"/>
      <c r="AV17" s="74">
        <f t="shared" si="21"/>
        <v>4.2393219955936976</v>
      </c>
      <c r="AW17" s="74">
        <f t="shared" si="21"/>
        <v>4.1406250000000009</v>
      </c>
      <c r="AX17" s="74">
        <f t="shared" si="21"/>
        <v>4.0442258003626739</v>
      </c>
      <c r="AY17" s="74">
        <f t="shared" si="21"/>
        <v>3.9500709009676331</v>
      </c>
      <c r="AZ17" s="74">
        <f t="shared" si="21"/>
        <v>3.8581080515514277</v>
      </c>
      <c r="BA17" s="74">
        <f t="shared" si="21"/>
        <v>3.7682862183055086</v>
      </c>
      <c r="BB17" s="74">
        <f t="shared" si="21"/>
        <v>3.6805555555555567</v>
      </c>
      <c r="BC17" s="454"/>
      <c r="BD17" s="74">
        <f t="shared" si="22"/>
        <v>0.68245647814349775</v>
      </c>
      <c r="BE17" s="74">
        <f t="shared" si="22"/>
        <v>0.55222704285760016</v>
      </c>
      <c r="BF17" s="74">
        <f t="shared" si="22"/>
        <v>0.44700087217735945</v>
      </c>
      <c r="BG17" s="74">
        <f t="shared" si="22"/>
        <v>0.40327942003116141</v>
      </c>
      <c r="BH17" s="74">
        <f t="shared" si="22"/>
        <v>0.37717549085139784</v>
      </c>
      <c r="BI17" s="74">
        <f t="shared" si="22"/>
        <v>0.34924899941693749</v>
      </c>
      <c r="BJ17" s="74">
        <f t="shared" si="22"/>
        <v>0.32887325614048896</v>
      </c>
      <c r="BK17" s="455"/>
      <c r="BL17" s="74">
        <f t="shared" si="23"/>
        <v>0</v>
      </c>
      <c r="BM17" s="74">
        <f t="shared" si="23"/>
        <v>0</v>
      </c>
      <c r="BN17" s="74">
        <f t="shared" si="23"/>
        <v>0</v>
      </c>
      <c r="BO17" s="74">
        <f t="shared" si="23"/>
        <v>0</v>
      </c>
      <c r="BP17" s="74">
        <f t="shared" si="23"/>
        <v>0</v>
      </c>
      <c r="BQ17" s="74">
        <f t="shared" si="23"/>
        <v>0</v>
      </c>
      <c r="BR17" s="74">
        <f t="shared" si="23"/>
        <v>0</v>
      </c>
      <c r="BS17" s="454"/>
      <c r="BT17" s="74">
        <f t="shared" si="24"/>
        <v>36.458333333333336</v>
      </c>
      <c r="BU17" s="74">
        <f t="shared" si="24"/>
        <v>14.583333333333334</v>
      </c>
      <c r="BV17" s="74">
        <f t="shared" si="24"/>
        <v>9.8958333333333339</v>
      </c>
      <c r="BW17" s="74">
        <f t="shared" si="24"/>
        <v>9.8958333333333339</v>
      </c>
      <c r="BX17" s="74">
        <f t="shared" si="24"/>
        <v>9.8958333333333339</v>
      </c>
      <c r="BY17" s="74">
        <f t="shared" si="24"/>
        <v>9.8958333333333339</v>
      </c>
      <c r="BZ17" s="74">
        <f t="shared" si="24"/>
        <v>9.8958333333333339</v>
      </c>
      <c r="CB17" s="2"/>
    </row>
    <row r="18" spans="1:80" x14ac:dyDescent="0.2">
      <c r="A18" s="452"/>
      <c r="B18" s="453" t="str">
        <f t="shared" si="0"/>
        <v>Blue hydrogen (compressed) - Europe - Fuel cost - USD/GJ</v>
      </c>
      <c r="C18" s="453" t="str">
        <f t="shared" si="1"/>
        <v>Blue hydrogen (compressed) - Europe</v>
      </c>
      <c r="D18" s="77">
        <f>+INDEX('Fuel Model -  Input'!$H$15:$H$44,MATCH(F18,'Fuel Model -  Input'!$F$15:$F$44,0))/1000</f>
        <v>120</v>
      </c>
      <c r="E18" t="s">
        <v>195</v>
      </c>
      <c r="F18" s="29" t="s">
        <v>592</v>
      </c>
      <c r="G18" t="s">
        <v>828</v>
      </c>
      <c r="H18" s="77">
        <f t="shared" si="17"/>
        <v>63.817944396986611</v>
      </c>
      <c r="I18" s="77">
        <f t="shared" si="17"/>
        <v>31.24905893000032</v>
      </c>
      <c r="J18" s="77">
        <f t="shared" si="17"/>
        <v>23.762038785993418</v>
      </c>
      <c r="K18" s="77">
        <f t="shared" si="17"/>
        <v>22.956125260363368</v>
      </c>
      <c r="L18" s="77">
        <f t="shared" si="17"/>
        <v>22.227443322109156</v>
      </c>
      <c r="M18" s="77">
        <f t="shared" si="17"/>
        <v>21.553403160628491</v>
      </c>
      <c r="N18" s="77">
        <f t="shared" si="17"/>
        <v>20.932989057076121</v>
      </c>
      <c r="O18" s="454"/>
      <c r="P18" s="77">
        <f t="shared" si="18"/>
        <v>0</v>
      </c>
      <c r="Q18" s="77">
        <f t="shared" si="18"/>
        <v>0</v>
      </c>
      <c r="R18" s="77">
        <f t="shared" si="18"/>
        <v>0</v>
      </c>
      <c r="S18" s="77">
        <f t="shared" si="18"/>
        <v>0</v>
      </c>
      <c r="T18" s="77">
        <f t="shared" si="18"/>
        <v>0</v>
      </c>
      <c r="U18" s="77">
        <f t="shared" si="18"/>
        <v>0</v>
      </c>
      <c r="V18" s="77">
        <f t="shared" si="18"/>
        <v>0</v>
      </c>
      <c r="W18"/>
      <c r="X18" s="76">
        <f t="shared" si="19"/>
        <v>16.554438014523402</v>
      </c>
      <c r="Y18" s="76">
        <f t="shared" si="19"/>
        <v>15.574124293785308</v>
      </c>
      <c r="Z18" s="76">
        <f t="shared" si="19"/>
        <v>14.600917572643572</v>
      </c>
      <c r="AA18" s="76">
        <f t="shared" si="19"/>
        <v>13.634676043469213</v>
      </c>
      <c r="AB18" s="76">
        <f t="shared" si="19"/>
        <v>12.675260769600246</v>
      </c>
      <c r="AC18" s="76">
        <f t="shared" si="19"/>
        <v>11.722535627054755</v>
      </c>
      <c r="AD18" s="76">
        <f t="shared" si="19"/>
        <v>10.776367231638421</v>
      </c>
      <c r="AE18" s="2"/>
      <c r="AF18" s="76">
        <f t="shared" si="20"/>
        <v>0</v>
      </c>
      <c r="AG18" s="76">
        <f t="shared" si="20"/>
        <v>0</v>
      </c>
      <c r="AH18" s="76">
        <f t="shared" si="20"/>
        <v>0</v>
      </c>
      <c r="AI18" s="76">
        <f t="shared" si="20"/>
        <v>0</v>
      </c>
      <c r="AJ18" s="76">
        <f t="shared" si="20"/>
        <v>0</v>
      </c>
      <c r="AK18" s="76">
        <f t="shared" si="20"/>
        <v>0</v>
      </c>
      <c r="AL18" s="76">
        <f t="shared" si="20"/>
        <v>0</v>
      </c>
      <c r="AM18"/>
      <c r="AN18" s="24">
        <f t="shared" si="6"/>
        <v>16.554438014523402</v>
      </c>
      <c r="AO18" s="24">
        <f t="shared" si="7"/>
        <v>15.574124293785308</v>
      </c>
      <c r="AP18" s="24">
        <f t="shared" si="8"/>
        <v>14.600917572643572</v>
      </c>
      <c r="AQ18" s="24">
        <f t="shared" si="9"/>
        <v>13.634676043469213</v>
      </c>
      <c r="AR18" s="24">
        <f t="shared" si="10"/>
        <v>12.675260769600246</v>
      </c>
      <c r="AS18" s="24">
        <f t="shared" si="11"/>
        <v>11.722535627054755</v>
      </c>
      <c r="AT18" s="24">
        <f t="shared" si="12"/>
        <v>10.776367231638421</v>
      </c>
      <c r="AU18"/>
      <c r="AV18" s="74">
        <f t="shared" si="21"/>
        <v>2.2903448472850982</v>
      </c>
      <c r="AW18" s="74">
        <f t="shared" si="21"/>
        <v>2.2083333333333339</v>
      </c>
      <c r="AX18" s="74">
        <f t="shared" si="21"/>
        <v>2.1292584463391355</v>
      </c>
      <c r="AY18" s="74">
        <f t="shared" si="21"/>
        <v>2.053015033044475</v>
      </c>
      <c r="AZ18" s="74">
        <f t="shared" si="21"/>
        <v>1.9795017054661888</v>
      </c>
      <c r="BA18" s="74">
        <f t="shared" si="21"/>
        <v>1.9086207060709157</v>
      </c>
      <c r="BB18" s="74">
        <f t="shared" si="21"/>
        <v>1.8402777777777781</v>
      </c>
      <c r="BC18" s="454"/>
      <c r="BD18" s="74">
        <f t="shared" si="22"/>
        <v>3.4561142801181775</v>
      </c>
      <c r="BE18" s="74">
        <f t="shared" si="22"/>
        <v>2.8865589300003203</v>
      </c>
      <c r="BF18" s="74">
        <f t="shared" si="22"/>
        <v>2.4113464292376201</v>
      </c>
      <c r="BG18" s="74">
        <f t="shared" si="22"/>
        <v>2.0436855356522292</v>
      </c>
      <c r="BH18" s="74">
        <f t="shared" si="22"/>
        <v>1.7424953868513018</v>
      </c>
      <c r="BI18" s="74">
        <f t="shared" si="22"/>
        <v>1.4854721101825767</v>
      </c>
      <c r="BJ18" s="74">
        <f t="shared" si="22"/>
        <v>1.2718779459650089</v>
      </c>
      <c r="BK18" s="455"/>
      <c r="BL18" s="74">
        <f t="shared" si="23"/>
        <v>5.6632688362500003</v>
      </c>
      <c r="BM18" s="74">
        <f t="shared" si="23"/>
        <v>5.625</v>
      </c>
      <c r="BN18" s="74">
        <f t="shared" si="23"/>
        <v>5.5869897606249994</v>
      </c>
      <c r="BO18" s="74">
        <f t="shared" si="23"/>
        <v>5.5492363706249996</v>
      </c>
      <c r="BP18" s="74">
        <f t="shared" si="23"/>
        <v>5.5117380943750005</v>
      </c>
      <c r="BQ18" s="74">
        <f t="shared" si="23"/>
        <v>5.4744932087500002</v>
      </c>
      <c r="BR18" s="74">
        <f t="shared" si="23"/>
        <v>5.4375</v>
      </c>
      <c r="BS18" s="454"/>
      <c r="BT18" s="74">
        <f t="shared" si="24"/>
        <v>52.408216433333337</v>
      </c>
      <c r="BU18" s="74">
        <f t="shared" si="24"/>
        <v>20.529166666666665</v>
      </c>
      <c r="BV18" s="74">
        <f t="shared" si="24"/>
        <v>13.634444149791667</v>
      </c>
      <c r="BW18" s="74">
        <f t="shared" si="24"/>
        <v>13.310188321041666</v>
      </c>
      <c r="BX18" s="74">
        <f t="shared" si="24"/>
        <v>12.993708135416666</v>
      </c>
      <c r="BY18" s="74">
        <f t="shared" si="24"/>
        <v>12.684817135625</v>
      </c>
      <c r="BZ18" s="74">
        <f t="shared" si="24"/>
        <v>12.383333333333333</v>
      </c>
      <c r="CB18" s="2"/>
    </row>
    <row r="19" spans="1:80" x14ac:dyDescent="0.2">
      <c r="A19" s="452"/>
      <c r="B19" s="453" t="str">
        <f t="shared" si="0"/>
        <v>Blue hydrogen (liquid) - Europe - Fuel cost - USD/GJ</v>
      </c>
      <c r="C19" s="453" t="str">
        <f t="shared" si="1"/>
        <v>Blue hydrogen (liquid) - Europe</v>
      </c>
      <c r="D19" s="77">
        <f>+INDEX('Fuel Model -  Input'!$H$15:$H$44,MATCH(F19,'Fuel Model -  Input'!$F$15:$F$44,0))/1000</f>
        <v>120</v>
      </c>
      <c r="E19" t="s">
        <v>195</v>
      </c>
      <c r="F19" s="29" t="s">
        <v>593</v>
      </c>
      <c r="G19" t="s">
        <v>828</v>
      </c>
      <c r="H19" s="77">
        <f t="shared" si="17"/>
        <v>77.056601383242821</v>
      </c>
      <c r="I19" s="77">
        <f t="shared" si="17"/>
        <v>43.710680285717338</v>
      </c>
      <c r="J19" s="77">
        <f t="shared" si="17"/>
        <v>35.595810656651665</v>
      </c>
      <c r="K19" s="77">
        <f t="shared" si="17"/>
        <v>34.529025799882632</v>
      </c>
      <c r="L19" s="77">
        <f t="shared" si="17"/>
        <v>33.644590417522501</v>
      </c>
      <c r="M19" s="77">
        <f t="shared" si="17"/>
        <v>32.803922190482886</v>
      </c>
      <c r="N19" s="77">
        <f t="shared" si="17"/>
        <v>32.061932818714375</v>
      </c>
      <c r="O19" s="454"/>
      <c r="P19" s="77">
        <f t="shared" si="18"/>
        <v>0</v>
      </c>
      <c r="Q19" s="77">
        <f t="shared" si="18"/>
        <v>0</v>
      </c>
      <c r="R19" s="77">
        <f t="shared" si="18"/>
        <v>0</v>
      </c>
      <c r="S19" s="77">
        <f t="shared" si="18"/>
        <v>0</v>
      </c>
      <c r="T19" s="77">
        <f t="shared" si="18"/>
        <v>0</v>
      </c>
      <c r="U19" s="77">
        <f t="shared" si="18"/>
        <v>0</v>
      </c>
      <c r="V19" s="77">
        <f t="shared" si="18"/>
        <v>0</v>
      </c>
      <c r="W19"/>
      <c r="X19" s="76">
        <f t="shared" si="19"/>
        <v>16.554438014523402</v>
      </c>
      <c r="Y19" s="76">
        <f t="shared" si="19"/>
        <v>15.574124293785308</v>
      </c>
      <c r="Z19" s="76">
        <f t="shared" si="19"/>
        <v>14.600917572643572</v>
      </c>
      <c r="AA19" s="76">
        <f t="shared" si="19"/>
        <v>13.634676043469213</v>
      </c>
      <c r="AB19" s="76">
        <f t="shared" si="19"/>
        <v>12.675260769600246</v>
      </c>
      <c r="AC19" s="76">
        <f t="shared" si="19"/>
        <v>11.722535627054755</v>
      </c>
      <c r="AD19" s="76">
        <f t="shared" si="19"/>
        <v>10.776367231638421</v>
      </c>
      <c r="AE19" s="2"/>
      <c r="AF19" s="76">
        <f t="shared" si="20"/>
        <v>0</v>
      </c>
      <c r="AG19" s="76">
        <f t="shared" si="20"/>
        <v>0</v>
      </c>
      <c r="AH19" s="76">
        <f t="shared" si="20"/>
        <v>0</v>
      </c>
      <c r="AI19" s="76">
        <f t="shared" si="20"/>
        <v>0</v>
      </c>
      <c r="AJ19" s="76">
        <f t="shared" si="20"/>
        <v>0</v>
      </c>
      <c r="AK19" s="76">
        <f t="shared" si="20"/>
        <v>0</v>
      </c>
      <c r="AL19" s="76">
        <f t="shared" si="20"/>
        <v>0</v>
      </c>
      <c r="AM19"/>
      <c r="AN19" s="24">
        <f t="shared" si="6"/>
        <v>16.554438014523402</v>
      </c>
      <c r="AO19" s="24">
        <f t="shared" si="7"/>
        <v>15.574124293785308</v>
      </c>
      <c r="AP19" s="24">
        <f t="shared" si="8"/>
        <v>14.600917572643572</v>
      </c>
      <c r="AQ19" s="24">
        <f t="shared" si="9"/>
        <v>13.634676043469213</v>
      </c>
      <c r="AR19" s="24">
        <f t="shared" si="10"/>
        <v>12.675260769600246</v>
      </c>
      <c r="AS19" s="24">
        <f t="shared" si="11"/>
        <v>11.722535627054755</v>
      </c>
      <c r="AT19" s="24">
        <f t="shared" si="12"/>
        <v>10.776367231638421</v>
      </c>
      <c r="AU19"/>
      <c r="AV19" s="74">
        <f t="shared" si="21"/>
        <v>10.623678180618432</v>
      </c>
      <c r="AW19" s="74">
        <f t="shared" si="21"/>
        <v>10.541666666666666</v>
      </c>
      <c r="AX19" s="74">
        <f t="shared" si="21"/>
        <v>10.46259177967247</v>
      </c>
      <c r="AY19" s="74">
        <f t="shared" si="21"/>
        <v>10.386348366377806</v>
      </c>
      <c r="AZ19" s="74">
        <f t="shared" si="21"/>
        <v>10.312835038799522</v>
      </c>
      <c r="BA19" s="74">
        <f t="shared" si="21"/>
        <v>10.241954039404249</v>
      </c>
      <c r="BB19" s="74">
        <f t="shared" si="21"/>
        <v>10.173611111111112</v>
      </c>
      <c r="BC19" s="454"/>
      <c r="BD19" s="74">
        <f t="shared" si="22"/>
        <v>8.3614379330410475</v>
      </c>
      <c r="BE19" s="74">
        <f t="shared" si="22"/>
        <v>7.0148469523840014</v>
      </c>
      <c r="BF19" s="74">
        <f t="shared" si="22"/>
        <v>5.9117849665625322</v>
      </c>
      <c r="BG19" s="74">
        <f t="shared" si="22"/>
        <v>5.283252741838159</v>
      </c>
      <c r="BH19" s="74">
        <f t="shared" si="22"/>
        <v>4.8263091489313092</v>
      </c>
      <c r="BI19" s="74">
        <f t="shared" si="22"/>
        <v>4.4026578067036377</v>
      </c>
      <c r="BJ19" s="74">
        <f t="shared" si="22"/>
        <v>4.0674883742699262</v>
      </c>
      <c r="BK19" s="455"/>
      <c r="BL19" s="74">
        <f t="shared" si="23"/>
        <v>5.6632688362500003</v>
      </c>
      <c r="BM19" s="74">
        <f t="shared" si="23"/>
        <v>5.625</v>
      </c>
      <c r="BN19" s="74">
        <f t="shared" si="23"/>
        <v>5.5869897606249994</v>
      </c>
      <c r="BO19" s="74">
        <f t="shared" si="23"/>
        <v>5.5492363706249996</v>
      </c>
      <c r="BP19" s="74">
        <f t="shared" si="23"/>
        <v>5.5117380943750005</v>
      </c>
      <c r="BQ19" s="74">
        <f t="shared" si="23"/>
        <v>5.4744932087500002</v>
      </c>
      <c r="BR19" s="74">
        <f t="shared" si="23"/>
        <v>5.4375</v>
      </c>
      <c r="BS19" s="454"/>
      <c r="BT19" s="74">
        <f t="shared" si="24"/>
        <v>52.408216433333337</v>
      </c>
      <c r="BU19" s="74">
        <f t="shared" si="24"/>
        <v>20.529166666666665</v>
      </c>
      <c r="BV19" s="74">
        <f t="shared" si="24"/>
        <v>13.634444149791667</v>
      </c>
      <c r="BW19" s="74">
        <f t="shared" si="24"/>
        <v>13.310188321041666</v>
      </c>
      <c r="BX19" s="74">
        <f t="shared" si="24"/>
        <v>12.993708135416666</v>
      </c>
      <c r="BY19" s="74">
        <f t="shared" si="24"/>
        <v>12.684817135625</v>
      </c>
      <c r="BZ19" s="74">
        <f t="shared" si="24"/>
        <v>12.383333333333333</v>
      </c>
      <c r="CB19" s="2"/>
    </row>
    <row r="20" spans="1:80" x14ac:dyDescent="0.2">
      <c r="A20" s="452"/>
      <c r="B20" s="453" t="str">
        <f t="shared" si="0"/>
        <v>LPG - Europe - Fuel cost - USD/GJ</v>
      </c>
      <c r="C20" s="453" t="str">
        <f t="shared" si="1"/>
        <v>LPG - Europe</v>
      </c>
      <c r="D20" s="77">
        <f>+INDEX('Fuel Model -  Input'!$H$15:$H$44,MATCH(F20,'Fuel Model -  Input'!$F$15:$F$44,0))/1000</f>
        <v>46</v>
      </c>
      <c r="E20" t="s">
        <v>195</v>
      </c>
      <c r="F20" t="s">
        <v>534</v>
      </c>
      <c r="G20" t="s">
        <v>828</v>
      </c>
      <c r="H20" s="74">
        <f t="shared" si="17"/>
        <v>16.5250690734395</v>
      </c>
      <c r="I20" s="74">
        <f t="shared" si="17"/>
        <v>11.854940857032684</v>
      </c>
      <c r="J20" s="74">
        <f t="shared" si="17"/>
        <v>10.346130202501252</v>
      </c>
      <c r="K20" s="74">
        <f t="shared" si="17"/>
        <v>10.346130202501252</v>
      </c>
      <c r="L20" s="74">
        <f t="shared" si="17"/>
        <v>10.346130202501252</v>
      </c>
      <c r="M20" s="74">
        <f t="shared" si="17"/>
        <v>10.346130202501252</v>
      </c>
      <c r="N20" s="74">
        <f t="shared" si="17"/>
        <v>10.346130202501252</v>
      </c>
      <c r="O20" s="454"/>
      <c r="P20" s="74">
        <f t="shared" si="18"/>
        <v>0</v>
      </c>
      <c r="Q20" s="74">
        <f t="shared" si="18"/>
        <v>0</v>
      </c>
      <c r="R20" s="74">
        <f t="shared" si="18"/>
        <v>0</v>
      </c>
      <c r="S20" s="74">
        <f t="shared" si="18"/>
        <v>0</v>
      </c>
      <c r="T20" s="74">
        <f t="shared" si="18"/>
        <v>0</v>
      </c>
      <c r="U20" s="74">
        <f t="shared" si="18"/>
        <v>0</v>
      </c>
      <c r="V20" s="74">
        <f t="shared" si="18"/>
        <v>0</v>
      </c>
      <c r="W20"/>
      <c r="X20" s="2">
        <f t="shared" si="19"/>
        <v>17.7</v>
      </c>
      <c r="Y20" s="2">
        <f t="shared" si="19"/>
        <v>17.7</v>
      </c>
      <c r="Z20" s="2">
        <f t="shared" si="19"/>
        <v>17.7</v>
      </c>
      <c r="AA20" s="2">
        <f t="shared" si="19"/>
        <v>17.7</v>
      </c>
      <c r="AB20" s="2">
        <f t="shared" si="19"/>
        <v>17.7</v>
      </c>
      <c r="AC20" s="2">
        <f t="shared" si="19"/>
        <v>17.7</v>
      </c>
      <c r="AD20" s="2">
        <f t="shared" si="19"/>
        <v>17.7</v>
      </c>
      <c r="AE20" s="2"/>
      <c r="AF20" s="2">
        <f t="shared" si="20"/>
        <v>66</v>
      </c>
      <c r="AG20" s="2">
        <f t="shared" si="20"/>
        <v>66</v>
      </c>
      <c r="AH20" s="2">
        <f t="shared" si="20"/>
        <v>66</v>
      </c>
      <c r="AI20" s="2">
        <f t="shared" si="20"/>
        <v>66</v>
      </c>
      <c r="AJ20" s="2">
        <f t="shared" si="20"/>
        <v>66</v>
      </c>
      <c r="AK20" s="2">
        <f t="shared" si="20"/>
        <v>66</v>
      </c>
      <c r="AL20" s="2">
        <f t="shared" si="20"/>
        <v>66</v>
      </c>
      <c r="AM20"/>
      <c r="AN20" s="24">
        <f t="shared" si="6"/>
        <v>83.7</v>
      </c>
      <c r="AO20" s="24">
        <f t="shared" si="7"/>
        <v>83.7</v>
      </c>
      <c r="AP20" s="24">
        <f t="shared" si="8"/>
        <v>83.7</v>
      </c>
      <c r="AQ20" s="24">
        <f t="shared" si="9"/>
        <v>83.7</v>
      </c>
      <c r="AR20" s="24">
        <f t="shared" si="10"/>
        <v>83.7</v>
      </c>
      <c r="AS20" s="24">
        <f t="shared" si="11"/>
        <v>83.7</v>
      </c>
      <c r="AT20" s="24">
        <f t="shared" si="12"/>
        <v>83.7</v>
      </c>
      <c r="AU20"/>
      <c r="AV20" s="74">
        <f t="shared" si="21"/>
        <v>0</v>
      </c>
      <c r="AW20" s="74">
        <f t="shared" si="21"/>
        <v>0</v>
      </c>
      <c r="AX20" s="74">
        <f t="shared" si="21"/>
        <v>0</v>
      </c>
      <c r="AY20" s="74">
        <f t="shared" si="21"/>
        <v>0</v>
      </c>
      <c r="AZ20" s="74">
        <f t="shared" si="21"/>
        <v>0</v>
      </c>
      <c r="BA20" s="74">
        <f t="shared" si="21"/>
        <v>0</v>
      </c>
      <c r="BB20" s="74">
        <f t="shared" si="21"/>
        <v>0</v>
      </c>
      <c r="BC20" s="454"/>
      <c r="BD20" s="74">
        <f t="shared" si="22"/>
        <v>0</v>
      </c>
      <c r="BE20" s="74">
        <f t="shared" si="22"/>
        <v>0</v>
      </c>
      <c r="BF20" s="74">
        <f t="shared" si="22"/>
        <v>0</v>
      </c>
      <c r="BG20" s="74">
        <f t="shared" si="22"/>
        <v>0</v>
      </c>
      <c r="BH20" s="74">
        <f t="shared" si="22"/>
        <v>0</v>
      </c>
      <c r="BI20" s="74">
        <f t="shared" si="22"/>
        <v>0</v>
      </c>
      <c r="BJ20" s="74">
        <f t="shared" si="22"/>
        <v>0</v>
      </c>
      <c r="BK20" s="455"/>
      <c r="BL20" s="74">
        <f t="shared" si="23"/>
        <v>0</v>
      </c>
      <c r="BM20" s="74">
        <f t="shared" si="23"/>
        <v>0</v>
      </c>
      <c r="BN20" s="74">
        <f t="shared" si="23"/>
        <v>0</v>
      </c>
      <c r="BO20" s="74">
        <f t="shared" si="23"/>
        <v>0</v>
      </c>
      <c r="BP20" s="74">
        <f t="shared" si="23"/>
        <v>0</v>
      </c>
      <c r="BQ20" s="74">
        <f t="shared" si="23"/>
        <v>0</v>
      </c>
      <c r="BR20" s="74">
        <f t="shared" si="23"/>
        <v>0</v>
      </c>
      <c r="BS20" s="454"/>
      <c r="BT20" s="74">
        <f t="shared" si="24"/>
        <v>0</v>
      </c>
      <c r="BU20" s="74">
        <f t="shared" si="24"/>
        <v>0</v>
      </c>
      <c r="BV20" s="74">
        <f t="shared" si="24"/>
        <v>0</v>
      </c>
      <c r="BW20" s="74">
        <f t="shared" si="24"/>
        <v>0</v>
      </c>
      <c r="BX20" s="74">
        <f t="shared" si="24"/>
        <v>0</v>
      </c>
      <c r="BY20" s="74">
        <f t="shared" si="24"/>
        <v>0</v>
      </c>
      <c r="BZ20" s="74">
        <f t="shared" si="24"/>
        <v>0</v>
      </c>
      <c r="CB20" s="2"/>
    </row>
    <row r="21" spans="1:80" x14ac:dyDescent="0.2">
      <c r="A21" s="452"/>
      <c r="B21" s="453" t="str">
        <f t="shared" si="0"/>
        <v>Biomethane - Europe - Fuel cost - USD/GJ</v>
      </c>
      <c r="C21" s="453" t="str">
        <f t="shared" si="1"/>
        <v>Biomethane - Europe</v>
      </c>
      <c r="D21" s="77">
        <f>+INDEX('Fuel Model -  Input'!$H$15:$H$44,MATCH(F21,'Fuel Model -  Input'!$F$15:$F$44,0))/1000</f>
        <v>50</v>
      </c>
      <c r="E21" t="s">
        <v>195</v>
      </c>
      <c r="F21" t="s">
        <v>118</v>
      </c>
      <c r="G21" t="s">
        <v>828</v>
      </c>
      <c r="H21" s="74">
        <f t="shared" si="17"/>
        <v>25.090378481147305</v>
      </c>
      <c r="I21" s="74">
        <f t="shared" si="17"/>
        <v>22.920340287462963</v>
      </c>
      <c r="J21" s="74">
        <f t="shared" si="17"/>
        <v>21.334554265825918</v>
      </c>
      <c r="K21" s="74">
        <f t="shared" si="17"/>
        <v>19.978182146321288</v>
      </c>
      <c r="L21" s="74">
        <f t="shared" si="17"/>
        <v>18.655142652353216</v>
      </c>
      <c r="M21" s="74">
        <f t="shared" si="17"/>
        <v>17.327621057407228</v>
      </c>
      <c r="N21" s="74">
        <f t="shared" si="17"/>
        <v>16.014331934720509</v>
      </c>
      <c r="O21" s="454"/>
      <c r="P21" s="74">
        <f t="shared" si="18"/>
        <v>0</v>
      </c>
      <c r="Q21" s="74">
        <f t="shared" si="18"/>
        <v>0</v>
      </c>
      <c r="R21" s="74">
        <f t="shared" si="18"/>
        <v>0</v>
      </c>
      <c r="S21" s="74">
        <f t="shared" si="18"/>
        <v>0</v>
      </c>
      <c r="T21" s="74">
        <f t="shared" si="18"/>
        <v>0</v>
      </c>
      <c r="U21" s="74">
        <f t="shared" si="18"/>
        <v>0</v>
      </c>
      <c r="V21" s="74">
        <f t="shared" si="18"/>
        <v>0</v>
      </c>
      <c r="W21"/>
      <c r="X21" s="2">
        <f t="shared" si="19"/>
        <v>-37.778102817936237</v>
      </c>
      <c r="Y21" s="2">
        <f t="shared" si="19"/>
        <v>-40.704565067103559</v>
      </c>
      <c r="Z21" s="2">
        <f t="shared" si="19"/>
        <v>-43.561961308916878</v>
      </c>
      <c r="AA21" s="2">
        <f t="shared" si="19"/>
        <v>-46.35029154337623</v>
      </c>
      <c r="AB21" s="2">
        <f t="shared" si="19"/>
        <v>-49.069555770481585</v>
      </c>
      <c r="AC21" s="2">
        <f t="shared" si="19"/>
        <v>-51.719753990232967</v>
      </c>
      <c r="AD21" s="2">
        <f t="shared" si="19"/>
        <v>-54.300886202630352</v>
      </c>
      <c r="AE21" s="2"/>
      <c r="AF21" s="2">
        <f t="shared" si="20"/>
        <v>72.985200000000006</v>
      </c>
      <c r="AG21" s="2">
        <f t="shared" si="20"/>
        <v>72.985200000000006</v>
      </c>
      <c r="AH21" s="2">
        <f t="shared" si="20"/>
        <v>72.985200000000006</v>
      </c>
      <c r="AI21" s="2">
        <f t="shared" si="20"/>
        <v>72.985200000000006</v>
      </c>
      <c r="AJ21" s="2">
        <f t="shared" si="20"/>
        <v>72.985200000000006</v>
      </c>
      <c r="AK21" s="2">
        <f t="shared" si="20"/>
        <v>72.985200000000006</v>
      </c>
      <c r="AL21" s="2">
        <f t="shared" si="20"/>
        <v>72.985200000000006</v>
      </c>
      <c r="AM21"/>
      <c r="AN21" s="24">
        <f t="shared" si="6"/>
        <v>35.207097182063769</v>
      </c>
      <c r="AO21" s="24">
        <f t="shared" si="7"/>
        <v>32.280634932896447</v>
      </c>
      <c r="AP21" s="24">
        <f t="shared" si="8"/>
        <v>29.423238691083128</v>
      </c>
      <c r="AQ21" s="24">
        <f t="shared" si="9"/>
        <v>26.634908456623776</v>
      </c>
      <c r="AR21" s="24">
        <f t="shared" si="10"/>
        <v>23.915644229518421</v>
      </c>
      <c r="AS21" s="24">
        <f t="shared" si="11"/>
        <v>21.265446009767039</v>
      </c>
      <c r="AT21" s="24">
        <f t="shared" si="12"/>
        <v>18.684313797369654</v>
      </c>
      <c r="AU21"/>
      <c r="AV21" s="74">
        <f t="shared" si="21"/>
        <v>11.458427846991444</v>
      </c>
      <c r="AW21" s="74">
        <f t="shared" si="21"/>
        <v>10.704163958300748</v>
      </c>
      <c r="AX21" s="74">
        <f t="shared" si="21"/>
        <v>9.9499000696100506</v>
      </c>
      <c r="AY21" s="74">
        <f t="shared" si="21"/>
        <v>9.1956361809193545</v>
      </c>
      <c r="AZ21" s="74">
        <f t="shared" si="21"/>
        <v>8.4413722922286567</v>
      </c>
      <c r="BA21" s="74">
        <f t="shared" si="21"/>
        <v>7.6871084035379598</v>
      </c>
      <c r="BB21" s="74">
        <f t="shared" si="21"/>
        <v>6.9328445148472637</v>
      </c>
      <c r="BC21" s="454"/>
      <c r="BD21" s="74">
        <f t="shared" si="22"/>
        <v>8.1231529853352935</v>
      </c>
      <c r="BE21" s="74">
        <f t="shared" si="22"/>
        <v>7.5352786939601399</v>
      </c>
      <c r="BF21" s="74">
        <f t="shared" si="22"/>
        <v>6.9916565746322847</v>
      </c>
      <c r="BG21" s="74">
        <f t="shared" si="22"/>
        <v>6.5649483574368466</v>
      </c>
      <c r="BH21" s="74">
        <f t="shared" si="22"/>
        <v>6.171572765777964</v>
      </c>
      <c r="BI21" s="74">
        <f t="shared" si="22"/>
        <v>5.7737150731411706</v>
      </c>
      <c r="BJ21" s="74">
        <f t="shared" si="22"/>
        <v>5.3900898527636398</v>
      </c>
      <c r="BK21" s="455"/>
      <c r="BL21" s="74">
        <f t="shared" si="23"/>
        <v>0</v>
      </c>
      <c r="BM21" s="74">
        <f t="shared" si="23"/>
        <v>0</v>
      </c>
      <c r="BN21" s="74">
        <f t="shared" si="23"/>
        <v>0</v>
      </c>
      <c r="BO21" s="74">
        <f t="shared" si="23"/>
        <v>0</v>
      </c>
      <c r="BP21" s="74">
        <f t="shared" si="23"/>
        <v>0</v>
      </c>
      <c r="BQ21" s="74">
        <f t="shared" si="23"/>
        <v>0</v>
      </c>
      <c r="BR21" s="74">
        <f t="shared" si="23"/>
        <v>0</v>
      </c>
      <c r="BS21" s="454"/>
      <c r="BT21" s="74">
        <f t="shared" si="24"/>
        <v>5.5087976488205674</v>
      </c>
      <c r="BU21" s="74">
        <f t="shared" si="24"/>
        <v>4.680897635202073</v>
      </c>
      <c r="BV21" s="74">
        <f t="shared" si="24"/>
        <v>4.3929976215835804</v>
      </c>
      <c r="BW21" s="74">
        <f t="shared" si="24"/>
        <v>4.2175976079650868</v>
      </c>
      <c r="BX21" s="74">
        <f t="shared" si="24"/>
        <v>4.0421975943465931</v>
      </c>
      <c r="BY21" s="74">
        <f t="shared" si="24"/>
        <v>3.8667975807281003</v>
      </c>
      <c r="BZ21" s="74">
        <f t="shared" si="24"/>
        <v>3.6913975671096066</v>
      </c>
      <c r="CB21" s="2"/>
    </row>
    <row r="22" spans="1:80" x14ac:dyDescent="0.2">
      <c r="A22" s="452"/>
      <c r="B22" s="453" t="str">
        <f t="shared" si="0"/>
        <v>Biodiesel (Pyr) - Europe - Fuel cost - USD/GJ</v>
      </c>
      <c r="C22" s="453" t="str">
        <f t="shared" si="1"/>
        <v>Biodiesel (Pyr) - Europe</v>
      </c>
      <c r="D22" s="77">
        <f>+INDEX('Fuel Model -  Input'!$H$15:$H$44,MATCH(F22,'Fuel Model -  Input'!$F$15:$F$44,0))/1000</f>
        <v>42.7</v>
      </c>
      <c r="E22" t="s">
        <v>195</v>
      </c>
      <c r="F22" s="29" t="s">
        <v>123</v>
      </c>
      <c r="G22" t="s">
        <v>828</v>
      </c>
      <c r="H22" s="74">
        <f t="shared" si="17"/>
        <v>65.314547324872592</v>
      </c>
      <c r="I22" s="74">
        <f t="shared" si="17"/>
        <v>40.501949235323835</v>
      </c>
      <c r="J22" s="74">
        <f t="shared" si="17"/>
        <v>24.657040375941243</v>
      </c>
      <c r="K22" s="74">
        <f t="shared" si="17"/>
        <v>25.132999679253494</v>
      </c>
      <c r="L22" s="74">
        <f t="shared" si="17"/>
        <v>24.943359601604424</v>
      </c>
      <c r="M22" s="74">
        <f t="shared" si="17"/>
        <v>24.47426936293742</v>
      </c>
      <c r="N22" s="74">
        <f t="shared" si="17"/>
        <v>22.803385993677281</v>
      </c>
      <c r="O22" s="454"/>
      <c r="P22" s="74">
        <f t="shared" si="18"/>
        <v>0</v>
      </c>
      <c r="Q22" s="74">
        <f t="shared" si="18"/>
        <v>0</v>
      </c>
      <c r="R22" s="74">
        <f t="shared" si="18"/>
        <v>0</v>
      </c>
      <c r="S22" s="74">
        <f t="shared" si="18"/>
        <v>0</v>
      </c>
      <c r="T22" s="74">
        <f t="shared" si="18"/>
        <v>0</v>
      </c>
      <c r="U22" s="74">
        <f t="shared" si="18"/>
        <v>0</v>
      </c>
      <c r="V22" s="74">
        <f t="shared" si="18"/>
        <v>0</v>
      </c>
      <c r="W22"/>
      <c r="X22" s="2">
        <f t="shared" si="19"/>
        <v>-40.339877075554391</v>
      </c>
      <c r="Y22" s="2">
        <f t="shared" si="19"/>
        <v>-48.28508713529736</v>
      </c>
      <c r="Z22" s="2">
        <f t="shared" si="19"/>
        <v>-54.14317291584149</v>
      </c>
      <c r="AA22" s="2">
        <f t="shared" si="19"/>
        <v>-66.682297018872859</v>
      </c>
      <c r="AB22" s="2">
        <f t="shared" si="19"/>
        <v>-68.6612337974545</v>
      </c>
      <c r="AC22" s="2">
        <f t="shared" si="19"/>
        <v>-70.931053663901253</v>
      </c>
      <c r="AD22" s="2">
        <f t="shared" si="19"/>
        <v>-74.042095342836006</v>
      </c>
      <c r="AE22" s="2"/>
      <c r="AF22" s="2">
        <f t="shared" si="20"/>
        <v>76.237236533957855</v>
      </c>
      <c r="AG22" s="2">
        <f t="shared" si="20"/>
        <v>76.237236533957855</v>
      </c>
      <c r="AH22" s="2">
        <f t="shared" si="20"/>
        <v>76.237236533957855</v>
      </c>
      <c r="AI22" s="2">
        <f t="shared" si="20"/>
        <v>76.237236533957855</v>
      </c>
      <c r="AJ22" s="2">
        <f t="shared" si="20"/>
        <v>76.237236533957855</v>
      </c>
      <c r="AK22" s="2">
        <f t="shared" si="20"/>
        <v>76.237236533957855</v>
      </c>
      <c r="AL22" s="2">
        <f t="shared" si="20"/>
        <v>76.237236533957855</v>
      </c>
      <c r="AM22"/>
      <c r="AN22" s="24">
        <f t="shared" si="6"/>
        <v>35.897359458403464</v>
      </c>
      <c r="AO22" s="24">
        <f t="shared" si="7"/>
        <v>27.952149398660495</v>
      </c>
      <c r="AP22" s="24">
        <f t="shared" si="8"/>
        <v>22.094063618116365</v>
      </c>
      <c r="AQ22" s="24">
        <f t="shared" si="9"/>
        <v>9.5549395150849961</v>
      </c>
      <c r="AR22" s="24">
        <f t="shared" si="10"/>
        <v>7.5760027365033551</v>
      </c>
      <c r="AS22" s="24">
        <f t="shared" si="11"/>
        <v>5.3061828700566025</v>
      </c>
      <c r="AT22" s="24">
        <f t="shared" si="12"/>
        <v>2.1951411911218486</v>
      </c>
      <c r="AU22"/>
      <c r="AV22" s="74">
        <f t="shared" si="21"/>
        <v>24.058938329430134</v>
      </c>
      <c r="AW22" s="74">
        <f t="shared" si="21"/>
        <v>14.43536299765808</v>
      </c>
      <c r="AX22" s="74">
        <f t="shared" si="21"/>
        <v>4.811787665886027</v>
      </c>
      <c r="AY22" s="74">
        <f t="shared" si="21"/>
        <v>4.3306088992974248</v>
      </c>
      <c r="AZ22" s="74">
        <f t="shared" si="21"/>
        <v>4.1702159771012237</v>
      </c>
      <c r="BA22" s="74">
        <f t="shared" si="21"/>
        <v>4.0098230549050236</v>
      </c>
      <c r="BB22" s="74">
        <f t="shared" si="21"/>
        <v>3.8494301327088229</v>
      </c>
      <c r="BC22" s="454"/>
      <c r="BD22" s="74">
        <f t="shared" si="22"/>
        <v>11.459646634183947</v>
      </c>
      <c r="BE22" s="74">
        <f t="shared" si="22"/>
        <v>7.0318640924771918</v>
      </c>
      <c r="BF22" s="74">
        <f t="shared" si="22"/>
        <v>2.6314183357232528</v>
      </c>
      <c r="BG22" s="74">
        <f t="shared" si="22"/>
        <v>2.3693464718896737</v>
      </c>
      <c r="BH22" s="74">
        <f t="shared" si="22"/>
        <v>2.2693829826483669</v>
      </c>
      <c r="BI22" s="74">
        <f t="shared" si="22"/>
        <v>2.1674268339201674</v>
      </c>
      <c r="BJ22" s="74">
        <f t="shared" si="22"/>
        <v>2.0737261343056694</v>
      </c>
      <c r="BK22" s="455"/>
      <c r="BL22" s="74">
        <f t="shared" si="23"/>
        <v>0</v>
      </c>
      <c r="BM22" s="74">
        <f t="shared" si="23"/>
        <v>0</v>
      </c>
      <c r="BN22" s="74">
        <f t="shared" si="23"/>
        <v>0</v>
      </c>
      <c r="BO22" s="74">
        <f t="shared" si="23"/>
        <v>0</v>
      </c>
      <c r="BP22" s="74">
        <f t="shared" si="23"/>
        <v>0</v>
      </c>
      <c r="BQ22" s="74">
        <f t="shared" si="23"/>
        <v>0</v>
      </c>
      <c r="BR22" s="74">
        <f t="shared" si="23"/>
        <v>0</v>
      </c>
      <c r="BS22" s="454"/>
      <c r="BT22" s="74">
        <f t="shared" si="24"/>
        <v>29.795962361258507</v>
      </c>
      <c r="BU22" s="74">
        <f t="shared" si="24"/>
        <v>19.034722145188564</v>
      </c>
      <c r="BV22" s="74">
        <f t="shared" si="24"/>
        <v>17.213834374331967</v>
      </c>
      <c r="BW22" s="74">
        <f t="shared" si="24"/>
        <v>18.433044308066396</v>
      </c>
      <c r="BX22" s="74">
        <f t="shared" si="24"/>
        <v>18.503760641854832</v>
      </c>
      <c r="BY22" s="74">
        <f t="shared" si="24"/>
        <v>18.297019474112229</v>
      </c>
      <c r="BZ22" s="74">
        <f t="shared" si="24"/>
        <v>16.880229726662787</v>
      </c>
      <c r="CB22" s="2"/>
    </row>
    <row r="23" spans="1:80" x14ac:dyDescent="0.2">
      <c r="A23" s="452"/>
      <c r="B23" s="453" t="str">
        <f t="shared" si="0"/>
        <v>Biodiesel (HtL) - Europe - Fuel cost - USD/GJ</v>
      </c>
      <c r="C23" s="453" t="str">
        <f t="shared" si="1"/>
        <v>Biodiesel (HtL) - Europe</v>
      </c>
      <c r="D23" s="77">
        <f>+INDEX('Fuel Model -  Input'!$H$15:$H$44,MATCH(F23,'Fuel Model -  Input'!$F$15:$F$44,0))/1000</f>
        <v>42.7</v>
      </c>
      <c r="E23" t="s">
        <v>195</v>
      </c>
      <c r="F23" s="29" t="s">
        <v>594</v>
      </c>
      <c r="G23" t="s">
        <v>828</v>
      </c>
      <c r="H23" s="74">
        <f t="shared" si="17"/>
        <v>160.89809334344167</v>
      </c>
      <c r="I23" s="74">
        <f t="shared" si="17"/>
        <v>52.791984015430131</v>
      </c>
      <c r="J23" s="74">
        <f t="shared" si="17"/>
        <v>24.291168313537742</v>
      </c>
      <c r="K23" s="74">
        <f t="shared" si="17"/>
        <v>23.893595709787352</v>
      </c>
      <c r="L23" s="74">
        <f t="shared" si="17"/>
        <v>23.400041470270459</v>
      </c>
      <c r="M23" s="74">
        <f t="shared" si="17"/>
        <v>22.75166944604014</v>
      </c>
      <c r="N23" s="74">
        <f t="shared" si="17"/>
        <v>21.532966188855521</v>
      </c>
      <c r="O23" s="454"/>
      <c r="P23" s="74">
        <f t="shared" si="18"/>
        <v>1.0234561267434414</v>
      </c>
      <c r="Q23" s="74">
        <f t="shared" si="18"/>
        <v>0.82815559448347043</v>
      </c>
      <c r="R23" s="74">
        <f t="shared" si="18"/>
        <v>0.66789918018732997</v>
      </c>
      <c r="S23" s="74">
        <f t="shared" si="18"/>
        <v>0.60035898507126739</v>
      </c>
      <c r="T23" s="74">
        <f t="shared" si="18"/>
        <v>0.55942894812117161</v>
      </c>
      <c r="U23" s="74">
        <f t="shared" si="18"/>
        <v>0.51609210580926201</v>
      </c>
      <c r="V23" s="74">
        <f t="shared" si="18"/>
        <v>0.48417815540211262</v>
      </c>
      <c r="W23"/>
      <c r="X23" s="2">
        <f t="shared" si="19"/>
        <v>-54.006278557194555</v>
      </c>
      <c r="Y23" s="2">
        <f t="shared" si="19"/>
        <v>-58.557346422110115</v>
      </c>
      <c r="Z23" s="2">
        <f t="shared" si="19"/>
        <v>-62.105357424160069</v>
      </c>
      <c r="AA23" s="2">
        <f t="shared" si="19"/>
        <v>-68.865406081251962</v>
      </c>
      <c r="AB23" s="2">
        <f t="shared" si="19"/>
        <v>-70.54844160158919</v>
      </c>
      <c r="AC23" s="2">
        <f t="shared" si="19"/>
        <v>-72.371324760323077</v>
      </c>
      <c r="AD23" s="2">
        <f t="shared" si="19"/>
        <v>-74.598641482753152</v>
      </c>
      <c r="AE23" s="2"/>
      <c r="AF23" s="2">
        <f t="shared" si="20"/>
        <v>76.237236533957855</v>
      </c>
      <c r="AG23" s="2">
        <f t="shared" si="20"/>
        <v>76.237236533957855</v>
      </c>
      <c r="AH23" s="2">
        <f t="shared" si="20"/>
        <v>76.237236533957855</v>
      </c>
      <c r="AI23" s="2">
        <f t="shared" si="20"/>
        <v>76.237236533957855</v>
      </c>
      <c r="AJ23" s="2">
        <f t="shared" si="20"/>
        <v>76.237236533957855</v>
      </c>
      <c r="AK23" s="2">
        <f t="shared" si="20"/>
        <v>76.237236533957855</v>
      </c>
      <c r="AL23" s="2">
        <f t="shared" si="20"/>
        <v>76.237236533957855</v>
      </c>
      <c r="AM23"/>
      <c r="AN23" s="24">
        <f t="shared" si="6"/>
        <v>22.2309579767633</v>
      </c>
      <c r="AO23" s="24">
        <f t="shared" si="7"/>
        <v>17.67989011184774</v>
      </c>
      <c r="AP23" s="24">
        <f t="shared" si="8"/>
        <v>14.131879109797786</v>
      </c>
      <c r="AQ23" s="24">
        <f t="shared" si="9"/>
        <v>7.3718304527058933</v>
      </c>
      <c r="AR23" s="24">
        <f t="shared" si="10"/>
        <v>5.6887949323686655</v>
      </c>
      <c r="AS23" s="24">
        <f t="shared" si="11"/>
        <v>3.8659117736347781</v>
      </c>
      <c r="AT23" s="24">
        <f t="shared" si="12"/>
        <v>1.6385950512047032</v>
      </c>
      <c r="AU23"/>
      <c r="AV23" s="74">
        <f t="shared" si="21"/>
        <v>30.789105244461663</v>
      </c>
      <c r="AW23" s="74">
        <f t="shared" si="21"/>
        <v>18.473463146676998</v>
      </c>
      <c r="AX23" s="74">
        <f t="shared" si="21"/>
        <v>6.1578210488923331</v>
      </c>
      <c r="AY23" s="74">
        <f t="shared" si="21"/>
        <v>5.7883517859587936</v>
      </c>
      <c r="AZ23" s="74">
        <f t="shared" si="21"/>
        <v>5.6036171544920235</v>
      </c>
      <c r="BA23" s="74">
        <f t="shared" si="21"/>
        <v>5.4188825230252533</v>
      </c>
      <c r="BB23" s="74">
        <f t="shared" si="21"/>
        <v>5.2341478915584831</v>
      </c>
      <c r="BC23" s="454"/>
      <c r="BD23" s="74">
        <f t="shared" si="22"/>
        <v>112.90800471039641</v>
      </c>
      <c r="BE23" s="74">
        <f t="shared" si="22"/>
        <v>22.58160094207928</v>
      </c>
      <c r="BF23" s="74">
        <f t="shared" si="22"/>
        <v>7.5272003140264276</v>
      </c>
      <c r="BG23" s="74">
        <f t="shared" si="22"/>
        <v>7.0755682951848415</v>
      </c>
      <c r="BH23" s="74">
        <f t="shared" si="22"/>
        <v>6.8497522857640494</v>
      </c>
      <c r="BI23" s="74">
        <f t="shared" si="22"/>
        <v>6.6239362763432572</v>
      </c>
      <c r="BJ23" s="74">
        <f t="shared" si="22"/>
        <v>6.3981202669224642</v>
      </c>
      <c r="BK23" s="455"/>
      <c r="BL23" s="74">
        <f t="shared" si="23"/>
        <v>0</v>
      </c>
      <c r="BM23" s="74">
        <f t="shared" si="23"/>
        <v>0</v>
      </c>
      <c r="BN23" s="74">
        <f t="shared" si="23"/>
        <v>0</v>
      </c>
      <c r="BO23" s="74">
        <f t="shared" si="23"/>
        <v>0</v>
      </c>
      <c r="BP23" s="74">
        <f t="shared" si="23"/>
        <v>0</v>
      </c>
      <c r="BQ23" s="74">
        <f t="shared" si="23"/>
        <v>0</v>
      </c>
      <c r="BR23" s="74">
        <f t="shared" si="23"/>
        <v>0</v>
      </c>
      <c r="BS23" s="454"/>
      <c r="BT23" s="74">
        <f t="shared" si="24"/>
        <v>16.177527261840133</v>
      </c>
      <c r="BU23" s="74">
        <f t="shared" si="24"/>
        <v>10.908764332190378</v>
      </c>
      <c r="BV23" s="74">
        <f t="shared" si="24"/>
        <v>9.9382477704316479</v>
      </c>
      <c r="BW23" s="74">
        <f t="shared" si="24"/>
        <v>10.429316643572452</v>
      </c>
      <c r="BX23" s="74">
        <f t="shared" si="24"/>
        <v>10.387243081893217</v>
      </c>
      <c r="BY23" s="74">
        <f t="shared" si="24"/>
        <v>10.19275854086237</v>
      </c>
      <c r="BZ23" s="74">
        <f t="shared" si="24"/>
        <v>9.4165198749724635</v>
      </c>
      <c r="CB23" s="2"/>
    </row>
    <row r="24" spans="1:80" x14ac:dyDescent="0.2">
      <c r="A24" s="452"/>
      <c r="B24" s="453" t="str">
        <f t="shared" si="0"/>
        <v>Biomethanol - Europe - Fuel cost - USD/GJ</v>
      </c>
      <c r="C24" s="453" t="str">
        <f t="shared" si="1"/>
        <v>Biomethanol - Europe</v>
      </c>
      <c r="D24" s="77">
        <f>+INDEX('Fuel Model -  Input'!$H$15:$H$44,MATCH(F24,'Fuel Model -  Input'!$F$15:$F$44,0))/1000</f>
        <v>19.899999999999999</v>
      </c>
      <c r="E24" t="s">
        <v>195</v>
      </c>
      <c r="F24" t="s">
        <v>586</v>
      </c>
      <c r="G24" t="s">
        <v>828</v>
      </c>
      <c r="H24" s="74">
        <f t="shared" si="17"/>
        <v>50.510950596153727</v>
      </c>
      <c r="I24" s="74">
        <f t="shared" si="17"/>
        <v>35.631608437654108</v>
      </c>
      <c r="J24" s="74">
        <f t="shared" si="17"/>
        <v>30.119639601734004</v>
      </c>
      <c r="K24" s="74">
        <f t="shared" si="17"/>
        <v>27.906268392412407</v>
      </c>
      <c r="L24" s="74">
        <f t="shared" si="17"/>
        <v>25.669589862209627</v>
      </c>
      <c r="M24" s="74">
        <f t="shared" si="17"/>
        <v>24.421989658104835</v>
      </c>
      <c r="N24" s="74">
        <f t="shared" si="17"/>
        <v>23.190480362322198</v>
      </c>
      <c r="O24" s="454"/>
      <c r="P24" s="74">
        <f t="shared" si="18"/>
        <v>0</v>
      </c>
      <c r="Q24" s="74">
        <f t="shared" si="18"/>
        <v>0</v>
      </c>
      <c r="R24" s="74">
        <f t="shared" si="18"/>
        <v>0</v>
      </c>
      <c r="S24" s="74">
        <f t="shared" si="18"/>
        <v>0</v>
      </c>
      <c r="T24" s="74">
        <f t="shared" si="18"/>
        <v>0</v>
      </c>
      <c r="U24" s="74">
        <f t="shared" si="18"/>
        <v>0</v>
      </c>
      <c r="V24" s="74">
        <f t="shared" si="18"/>
        <v>0</v>
      </c>
      <c r="W24"/>
      <c r="X24" s="2">
        <f t="shared" si="19"/>
        <v>-58.0093628242169</v>
      </c>
      <c r="Y24" s="2">
        <f t="shared" si="19"/>
        <v>-59.650981687637127</v>
      </c>
      <c r="Z24" s="2">
        <f t="shared" si="19"/>
        <v>-61.293041481198266</v>
      </c>
      <c r="AA24" s="2">
        <f t="shared" si="19"/>
        <v>-62.93510127475939</v>
      </c>
      <c r="AB24" s="2">
        <f t="shared" si="19"/>
        <v>-64.577161068320521</v>
      </c>
      <c r="AC24" s="2">
        <f t="shared" si="19"/>
        <v>-66.219220861881638</v>
      </c>
      <c r="AD24" s="2">
        <f t="shared" si="19"/>
        <v>-67.861280655442783</v>
      </c>
      <c r="AE24" s="2"/>
      <c r="AF24" s="2">
        <f t="shared" si="20"/>
        <v>69.095477386934675</v>
      </c>
      <c r="AG24" s="2">
        <f t="shared" si="20"/>
        <v>69.095477386934675</v>
      </c>
      <c r="AH24" s="2">
        <f t="shared" si="20"/>
        <v>69.095477386934675</v>
      </c>
      <c r="AI24" s="2">
        <f t="shared" si="20"/>
        <v>69.095477386934675</v>
      </c>
      <c r="AJ24" s="2">
        <f t="shared" si="20"/>
        <v>69.095477386934675</v>
      </c>
      <c r="AK24" s="2">
        <f t="shared" si="20"/>
        <v>69.095477386934675</v>
      </c>
      <c r="AL24" s="2">
        <f t="shared" si="20"/>
        <v>69.095477386934675</v>
      </c>
      <c r="AM24"/>
      <c r="AN24" s="24">
        <f t="shared" si="6"/>
        <v>11.086114562717775</v>
      </c>
      <c r="AO24" s="24">
        <f t="shared" si="7"/>
        <v>9.4444956992975477</v>
      </c>
      <c r="AP24" s="24">
        <f t="shared" si="8"/>
        <v>7.8024359057364094</v>
      </c>
      <c r="AQ24" s="24">
        <f t="shared" si="9"/>
        <v>6.1603761121752854</v>
      </c>
      <c r="AR24" s="24">
        <f t="shared" si="10"/>
        <v>4.5183163186141542</v>
      </c>
      <c r="AS24" s="24">
        <f t="shared" si="11"/>
        <v>2.8762565250530372</v>
      </c>
      <c r="AT24" s="24">
        <f t="shared" si="12"/>
        <v>1.2341967314918918</v>
      </c>
      <c r="AU24"/>
      <c r="AV24" s="74">
        <f t="shared" si="21"/>
        <v>23.969849246231163</v>
      </c>
      <c r="AW24" s="74">
        <f t="shared" si="21"/>
        <v>15.092127303182586</v>
      </c>
      <c r="AX24" s="74">
        <f t="shared" si="21"/>
        <v>11.762981574539367</v>
      </c>
      <c r="AY24" s="74">
        <f t="shared" si="21"/>
        <v>10.320351758793974</v>
      </c>
      <c r="AZ24" s="74">
        <f t="shared" si="21"/>
        <v>8.877721943048579</v>
      </c>
      <c r="BA24" s="74">
        <f t="shared" si="21"/>
        <v>7.9899497487437205</v>
      </c>
      <c r="BB24" s="74">
        <f t="shared" si="21"/>
        <v>7.102177554438863</v>
      </c>
      <c r="BC24" s="454"/>
      <c r="BD24" s="74">
        <f t="shared" si="22"/>
        <v>17.725000046369487</v>
      </c>
      <c r="BE24" s="74">
        <f t="shared" si="22"/>
        <v>11.419376337692473</v>
      </c>
      <c r="BF24" s="74">
        <f t="shared" si="22"/>
        <v>8.9325497371896212</v>
      </c>
      <c r="BG24" s="74">
        <f t="shared" si="22"/>
        <v>7.8578048503874447</v>
      </c>
      <c r="BH24" s="74">
        <f t="shared" si="22"/>
        <v>6.8205533413492851</v>
      </c>
      <c r="BI24" s="74">
        <f t="shared" si="22"/>
        <v>6.1567218383233877</v>
      </c>
      <c r="BJ24" s="74">
        <f t="shared" si="22"/>
        <v>5.5089812436196386</v>
      </c>
      <c r="BK24" s="455"/>
      <c r="BL24" s="74">
        <f t="shared" si="23"/>
        <v>0</v>
      </c>
      <c r="BM24" s="74">
        <f t="shared" si="23"/>
        <v>0</v>
      </c>
      <c r="BN24" s="74">
        <f t="shared" si="23"/>
        <v>0</v>
      </c>
      <c r="BO24" s="74">
        <f t="shared" si="23"/>
        <v>0</v>
      </c>
      <c r="BP24" s="74">
        <f t="shared" si="23"/>
        <v>0</v>
      </c>
      <c r="BQ24" s="74">
        <f t="shared" si="23"/>
        <v>0</v>
      </c>
      <c r="BR24" s="74">
        <f t="shared" si="23"/>
        <v>0</v>
      </c>
      <c r="BS24" s="454"/>
      <c r="BT24" s="74">
        <f t="shared" si="24"/>
        <v>8.8161013035530811</v>
      </c>
      <c r="BU24" s="74">
        <f t="shared" si="24"/>
        <v>9.1201047967790494</v>
      </c>
      <c r="BV24" s="74">
        <f t="shared" si="24"/>
        <v>9.4241082900050177</v>
      </c>
      <c r="BW24" s="74">
        <f t="shared" si="24"/>
        <v>9.728111783230986</v>
      </c>
      <c r="BX24" s="74">
        <f t="shared" si="24"/>
        <v>9.9713145778117607</v>
      </c>
      <c r="BY24" s="74">
        <f t="shared" si="24"/>
        <v>10.275318071037729</v>
      </c>
      <c r="BZ24" s="74">
        <f t="shared" si="24"/>
        <v>10.579321564263697</v>
      </c>
      <c r="CB24" s="2"/>
    </row>
    <row r="25" spans="1:80" x14ac:dyDescent="0.2">
      <c r="A25" s="452"/>
      <c r="B25" s="453" t="str">
        <f t="shared" si="0"/>
        <v>Biodiesel (HtL blend) - Europe - Fuel cost - USD/GJ</v>
      </c>
      <c r="C25" s="453" t="str">
        <f t="shared" si="1"/>
        <v>Biodiesel (HtL blend) - Europe</v>
      </c>
      <c r="D25" s="77">
        <f>+INDEX('Fuel Model -  Input'!$H$15:$H$44,MATCH(F25,'Fuel Model -  Input'!$F$15:$F$44,0))/1000</f>
        <v>38.6</v>
      </c>
      <c r="E25" t="s">
        <v>195</v>
      </c>
      <c r="F25" s="29" t="s">
        <v>595</v>
      </c>
      <c r="G25" t="s">
        <v>828</v>
      </c>
      <c r="H25" s="74">
        <f t="shared" si="17"/>
        <v>39.611830557393844</v>
      </c>
      <c r="I25" s="74">
        <f t="shared" si="17"/>
        <v>26.417600957821556</v>
      </c>
      <c r="J25" s="74">
        <f t="shared" si="17"/>
        <v>15.866120516072719</v>
      </c>
      <c r="K25" s="74">
        <f t="shared" si="17"/>
        <v>15.510762450008697</v>
      </c>
      <c r="L25" s="74">
        <f t="shared" si="17"/>
        <v>15.353072751369321</v>
      </c>
      <c r="M25" s="74">
        <f t="shared" si="17"/>
        <v>15.209514768038431</v>
      </c>
      <c r="N25" s="74">
        <f t="shared" si="17"/>
        <v>15.069844847555952</v>
      </c>
      <c r="O25" s="454"/>
      <c r="P25" s="74">
        <f t="shared" si="18"/>
        <v>0.3483585222155835</v>
      </c>
      <c r="Q25" s="74">
        <f t="shared" si="18"/>
        <v>0.2818831716575862</v>
      </c>
      <c r="R25" s="74">
        <f t="shared" si="18"/>
        <v>0.22733595053008365</v>
      </c>
      <c r="S25" s="74">
        <f t="shared" si="18"/>
        <v>0.20434698017172673</v>
      </c>
      <c r="T25" s="74">
        <f t="shared" si="18"/>
        <v>0.19041543311896397</v>
      </c>
      <c r="U25" s="74">
        <f t="shared" si="18"/>
        <v>0.17566467053053397</v>
      </c>
      <c r="V25" s="74">
        <f t="shared" si="18"/>
        <v>0.16480197079051581</v>
      </c>
      <c r="W25"/>
      <c r="X25" s="2">
        <f t="shared" si="19"/>
        <v>-3.3241003623372918</v>
      </c>
      <c r="Y25" s="2">
        <f t="shared" si="19"/>
        <v>-3.7421924641576072</v>
      </c>
      <c r="Z25" s="2">
        <f t="shared" si="19"/>
        <v>-4.1604475212863958</v>
      </c>
      <c r="AA25" s="2">
        <f t="shared" si="19"/>
        <v>-4.5787025784151894</v>
      </c>
      <c r="AB25" s="2">
        <f t="shared" si="19"/>
        <v>-4.9969576355439838</v>
      </c>
      <c r="AC25" s="2">
        <f t="shared" si="19"/>
        <v>-5.4152126926727746</v>
      </c>
      <c r="AD25" s="2">
        <f t="shared" si="19"/>
        <v>-5.8334677498015717</v>
      </c>
      <c r="AE25" s="2"/>
      <c r="AF25" s="2">
        <f t="shared" si="20"/>
        <v>65.50944732297063</v>
      </c>
      <c r="AG25" s="2">
        <f t="shared" si="20"/>
        <v>65.50944732297063</v>
      </c>
      <c r="AH25" s="2">
        <f t="shared" si="20"/>
        <v>65.50944732297063</v>
      </c>
      <c r="AI25" s="2">
        <f t="shared" si="20"/>
        <v>65.50944732297063</v>
      </c>
      <c r="AJ25" s="2">
        <f t="shared" si="20"/>
        <v>65.50944732297063</v>
      </c>
      <c r="AK25" s="2">
        <f t="shared" si="20"/>
        <v>65.50944732297063</v>
      </c>
      <c r="AL25" s="2">
        <f t="shared" si="20"/>
        <v>65.50944732297063</v>
      </c>
      <c r="AM25"/>
      <c r="AN25" s="24">
        <f t="shared" ref="AN25" si="25">X25+AF25</f>
        <v>62.185346960633339</v>
      </c>
      <c r="AO25" s="24">
        <f t="shared" ref="AO25" si="26">Y25+AG25</f>
        <v>61.767254858813025</v>
      </c>
      <c r="AP25" s="24">
        <f t="shared" ref="AP25" si="27">Z25+AH25</f>
        <v>61.348999801684236</v>
      </c>
      <c r="AQ25" s="24">
        <f t="shared" ref="AQ25" si="28">AA25+AI25</f>
        <v>60.93074474455544</v>
      </c>
      <c r="AR25" s="24">
        <f t="shared" ref="AR25" si="29">AB25+AJ25</f>
        <v>60.512489687426644</v>
      </c>
      <c r="AS25" s="24">
        <f t="shared" ref="AS25" si="30">AC25+AK25</f>
        <v>60.094234630297855</v>
      </c>
      <c r="AT25" s="24">
        <f t="shared" ref="AT25" si="31">AD25+AL25</f>
        <v>59.675979573169059</v>
      </c>
      <c r="AU25"/>
      <c r="AV25" s="74">
        <f t="shared" si="21"/>
        <v>10.479830960051917</v>
      </c>
      <c r="AW25" s="74">
        <f t="shared" si="21"/>
        <v>6.2878985760311501</v>
      </c>
      <c r="AX25" s="74">
        <f t="shared" si="21"/>
        <v>2.0959661920103838</v>
      </c>
      <c r="AY25" s="74">
        <f t="shared" si="21"/>
        <v>1.9962906239019969</v>
      </c>
      <c r="AZ25" s="74">
        <f t="shared" si="21"/>
        <v>1.9464528398478036</v>
      </c>
      <c r="BA25" s="74">
        <f t="shared" si="21"/>
        <v>1.8966150557936103</v>
      </c>
      <c r="BB25" s="74">
        <f t="shared" si="21"/>
        <v>1.8467772717394171</v>
      </c>
      <c r="BC25" s="454"/>
      <c r="BD25" s="74">
        <f t="shared" si="22"/>
        <v>12.810340909084436</v>
      </c>
      <c r="BE25" s="74">
        <f t="shared" si="22"/>
        <v>7.6862045454506607</v>
      </c>
      <c r="BF25" s="74">
        <f t="shared" si="22"/>
        <v>2.5620681818168873</v>
      </c>
      <c r="BG25" s="74">
        <f t="shared" si="22"/>
        <v>2.2546199999988605</v>
      </c>
      <c r="BH25" s="74">
        <f t="shared" si="22"/>
        <v>2.1008959090898474</v>
      </c>
      <c r="BI25" s="74">
        <f t="shared" si="22"/>
        <v>1.947171818180834</v>
      </c>
      <c r="BJ25" s="74">
        <f t="shared" si="22"/>
        <v>1.7934477272718208</v>
      </c>
      <c r="BK25" s="455"/>
      <c r="BL25" s="74">
        <f t="shared" si="23"/>
        <v>0</v>
      </c>
      <c r="BM25" s="74">
        <f t="shared" si="23"/>
        <v>0</v>
      </c>
      <c r="BN25" s="74">
        <f t="shared" si="23"/>
        <v>0</v>
      </c>
      <c r="BO25" s="74">
        <f t="shared" si="23"/>
        <v>0</v>
      </c>
      <c r="BP25" s="74">
        <f t="shared" si="23"/>
        <v>0</v>
      </c>
      <c r="BQ25" s="74">
        <f t="shared" si="23"/>
        <v>0</v>
      </c>
      <c r="BR25" s="74">
        <f t="shared" si="23"/>
        <v>0</v>
      </c>
      <c r="BS25" s="454"/>
      <c r="BT25" s="74">
        <f t="shared" si="24"/>
        <v>15.973300166041904</v>
      </c>
      <c r="BU25" s="74">
        <f t="shared" si="24"/>
        <v>12.16161466468216</v>
      </c>
      <c r="BV25" s="74">
        <f t="shared" si="24"/>
        <v>10.980750191715366</v>
      </c>
      <c r="BW25" s="74">
        <f t="shared" si="24"/>
        <v>11.05550484593611</v>
      </c>
      <c r="BX25" s="74">
        <f t="shared" si="24"/>
        <v>11.115308569312706</v>
      </c>
      <c r="BY25" s="74">
        <f t="shared" si="24"/>
        <v>11.190063223533452</v>
      </c>
      <c r="BZ25" s="74">
        <f t="shared" si="24"/>
        <v>11.264817877754197</v>
      </c>
      <c r="CB25" s="2"/>
    </row>
    <row r="26" spans="1:80" x14ac:dyDescent="0.2">
      <c r="A26" s="452"/>
      <c r="B26" s="453" t="str">
        <f t="shared" si="0"/>
        <v>Biodiesel (Pyr blend) - Europe - Fuel cost - USD/GJ</v>
      </c>
      <c r="C26" s="453" t="str">
        <f t="shared" si="1"/>
        <v>Biodiesel (Pyr blend) - Europe</v>
      </c>
      <c r="D26" s="77">
        <f>+INDEX('Fuel Model -  Input'!$H$15:$H$44,MATCH(F26,'Fuel Model -  Input'!$F$15:$F$44,0))/1000</f>
        <v>34.28</v>
      </c>
      <c r="E26" t="s">
        <v>195</v>
      </c>
      <c r="F26" s="29" t="s">
        <v>596</v>
      </c>
      <c r="G26" t="s">
        <v>828</v>
      </c>
      <c r="H26" s="74">
        <f t="shared" si="17"/>
        <v>24.478480547105558</v>
      </c>
      <c r="I26" s="74">
        <f t="shared" si="17"/>
        <v>17.525638394759635</v>
      </c>
      <c r="J26" s="74">
        <f t="shared" si="17"/>
        <v>14.029776795293081</v>
      </c>
      <c r="K26" s="74">
        <f t="shared" si="17"/>
        <v>14.014807613109502</v>
      </c>
      <c r="L26" s="74">
        <f t="shared" si="17"/>
        <v>14.048077249201759</v>
      </c>
      <c r="M26" s="74">
        <f t="shared" si="17"/>
        <v>14.097855297626049</v>
      </c>
      <c r="N26" s="74">
        <f t="shared" si="17"/>
        <v>14.147903384755955</v>
      </c>
      <c r="O26" s="454"/>
      <c r="P26" s="74">
        <f t="shared" si="18"/>
        <v>0</v>
      </c>
      <c r="Q26" s="74">
        <f t="shared" si="18"/>
        <v>0</v>
      </c>
      <c r="R26" s="74">
        <f t="shared" si="18"/>
        <v>0</v>
      </c>
      <c r="S26" s="74">
        <f t="shared" si="18"/>
        <v>0</v>
      </c>
      <c r="T26" s="74">
        <f t="shared" si="18"/>
        <v>0</v>
      </c>
      <c r="U26" s="74">
        <f t="shared" si="18"/>
        <v>0</v>
      </c>
      <c r="V26" s="74">
        <f t="shared" si="18"/>
        <v>0</v>
      </c>
      <c r="W26"/>
      <c r="X26" s="2">
        <f t="shared" si="19"/>
        <v>-1.3339806999597574</v>
      </c>
      <c r="Y26" s="2">
        <f t="shared" si="19"/>
        <v>-1.5577242046437272</v>
      </c>
      <c r="Z26" s="2">
        <f t="shared" si="19"/>
        <v>-1.7814677093277003</v>
      </c>
      <c r="AA26" s="2">
        <f t="shared" si="19"/>
        <v>-2.0052112140116702</v>
      </c>
      <c r="AB26" s="2">
        <f t="shared" si="19"/>
        <v>-2.2289547186956429</v>
      </c>
      <c r="AC26" s="2">
        <f t="shared" si="19"/>
        <v>-2.452698223379616</v>
      </c>
      <c r="AD26" s="2">
        <f t="shared" si="19"/>
        <v>-2.6764417280635859</v>
      </c>
      <c r="AE26" s="2"/>
      <c r="AF26" s="2">
        <f t="shared" si="20"/>
        <v>80.800204200700108</v>
      </c>
      <c r="AG26" s="2">
        <f t="shared" si="20"/>
        <v>80.800204200700108</v>
      </c>
      <c r="AH26" s="2">
        <f t="shared" si="20"/>
        <v>80.800204200700108</v>
      </c>
      <c r="AI26" s="2">
        <f t="shared" si="20"/>
        <v>80.800204200700108</v>
      </c>
      <c r="AJ26" s="2">
        <f t="shared" si="20"/>
        <v>80.800204200700108</v>
      </c>
      <c r="AK26" s="2">
        <f t="shared" si="20"/>
        <v>80.800204200700108</v>
      </c>
      <c r="AL26" s="2">
        <f t="shared" si="20"/>
        <v>80.800204200700108</v>
      </c>
      <c r="AM26"/>
      <c r="AN26" s="24">
        <f t="shared" ref="AN26" si="32">X26+AF26</f>
        <v>79.466223500740355</v>
      </c>
      <c r="AO26" s="24">
        <f t="shared" ref="AO26" si="33">Y26+AG26</f>
        <v>79.242479996056375</v>
      </c>
      <c r="AP26" s="24">
        <f t="shared" ref="AP26" si="34">Z26+AH26</f>
        <v>79.018736491372408</v>
      </c>
      <c r="AQ26" s="24">
        <f t="shared" ref="AQ26" si="35">AA26+AI26</f>
        <v>78.794992986688442</v>
      </c>
      <c r="AR26" s="24">
        <f t="shared" ref="AR26" si="36">AB26+AJ26</f>
        <v>78.571249482004461</v>
      </c>
      <c r="AS26" s="24">
        <f t="shared" ref="AS26" si="37">AC26+AK26</f>
        <v>78.347505977320495</v>
      </c>
      <c r="AT26" s="24">
        <f t="shared" ref="AT26" si="38">AD26+AL26</f>
        <v>78.123762472636528</v>
      </c>
      <c r="AU26"/>
      <c r="AV26" s="74">
        <f t="shared" si="21"/>
        <v>3.5381676522849217</v>
      </c>
      <c r="AW26" s="74">
        <f t="shared" si="21"/>
        <v>2.1229005913709535</v>
      </c>
      <c r="AX26" s="74">
        <f t="shared" si="21"/>
        <v>0.70763353045698429</v>
      </c>
      <c r="AY26" s="74">
        <f t="shared" si="21"/>
        <v>0.63687017741128604</v>
      </c>
      <c r="AZ26" s="74">
        <f t="shared" si="21"/>
        <v>0.61328239306271981</v>
      </c>
      <c r="BA26" s="74">
        <f t="shared" si="21"/>
        <v>0.5896946087141538</v>
      </c>
      <c r="BB26" s="74">
        <f t="shared" si="21"/>
        <v>0.56610682436558757</v>
      </c>
      <c r="BC26" s="454"/>
      <c r="BD26" s="74">
        <f t="shared" si="22"/>
        <v>1.299915609432174</v>
      </c>
      <c r="BE26" s="74">
        <f t="shared" si="22"/>
        <v>0.78505467133944051</v>
      </c>
      <c r="BF26" s="74">
        <f t="shared" si="22"/>
        <v>0.27108792930103909</v>
      </c>
      <c r="BG26" s="74">
        <f t="shared" si="22"/>
        <v>0.24401413546538958</v>
      </c>
      <c r="BH26" s="74">
        <f t="shared" si="22"/>
        <v>0.23457718414799861</v>
      </c>
      <c r="BI26" s="74">
        <f t="shared" si="22"/>
        <v>0.22507505222308991</v>
      </c>
      <c r="BJ26" s="74">
        <f t="shared" si="22"/>
        <v>0.2158429590037918</v>
      </c>
      <c r="BK26" s="455"/>
      <c r="BL26" s="74">
        <f t="shared" si="23"/>
        <v>0</v>
      </c>
      <c r="BM26" s="74">
        <f t="shared" si="23"/>
        <v>0</v>
      </c>
      <c r="BN26" s="74">
        <f t="shared" si="23"/>
        <v>0</v>
      </c>
      <c r="BO26" s="74">
        <f t="shared" si="23"/>
        <v>0</v>
      </c>
      <c r="BP26" s="74">
        <f t="shared" si="23"/>
        <v>0</v>
      </c>
      <c r="BQ26" s="74">
        <f t="shared" si="23"/>
        <v>0</v>
      </c>
      <c r="BR26" s="74">
        <f t="shared" si="23"/>
        <v>0</v>
      </c>
      <c r="BS26" s="454"/>
      <c r="BT26" s="74">
        <f t="shared" si="24"/>
        <v>19.64039728538846</v>
      </c>
      <c r="BU26" s="74">
        <f t="shared" si="24"/>
        <v>14.61768313204924</v>
      </c>
      <c r="BV26" s="74">
        <f t="shared" si="24"/>
        <v>13.051055335535057</v>
      </c>
      <c r="BW26" s="74">
        <f t="shared" si="24"/>
        <v>13.133923300232826</v>
      </c>
      <c r="BX26" s="74">
        <f t="shared" si="24"/>
        <v>13.200217671991039</v>
      </c>
      <c r="BY26" s="74">
        <f t="shared" si="24"/>
        <v>13.283085636688806</v>
      </c>
      <c r="BZ26" s="74">
        <f t="shared" si="24"/>
        <v>13.365953601386574</v>
      </c>
      <c r="CB26" s="2"/>
    </row>
    <row r="27" spans="1:80" x14ac:dyDescent="0.2">
      <c r="A27" s="452"/>
      <c r="B27" s="453"/>
      <c r="D27" s="74"/>
      <c r="E27"/>
      <c r="F27"/>
      <c r="G27"/>
      <c r="H27" s="74"/>
      <c r="I27" s="74"/>
      <c r="J27" s="74"/>
      <c r="K27" s="74"/>
      <c r="L27" s="74"/>
      <c r="M27" s="74"/>
      <c r="N27" s="74"/>
      <c r="O27" s="454"/>
      <c r="P27" s="74"/>
      <c r="Q27" s="74"/>
      <c r="R27" s="74"/>
      <c r="S27" s="74"/>
      <c r="T27" s="74"/>
      <c r="U27" s="74"/>
      <c r="V27" s="74"/>
      <c r="W27"/>
      <c r="X27"/>
      <c r="Y27"/>
      <c r="Z27"/>
      <c r="AA27"/>
      <c r="AB27"/>
      <c r="AC27"/>
      <c r="AD27"/>
      <c r="AE27"/>
      <c r="AF27" s="2"/>
      <c r="AG27" s="2"/>
      <c r="AH27" s="2"/>
      <c r="AI27" s="2"/>
      <c r="AJ27" s="2"/>
      <c r="AK27" s="2"/>
      <c r="AL27" s="2"/>
      <c r="AM27"/>
      <c r="AN27"/>
      <c r="AO27"/>
      <c r="AP27"/>
      <c r="AQ27"/>
      <c r="AR27"/>
      <c r="AS27"/>
      <c r="AT27"/>
      <c r="AU27"/>
      <c r="AV27" s="454"/>
      <c r="AW27" s="454"/>
      <c r="AX27" s="454"/>
      <c r="AY27" s="454"/>
      <c r="AZ27" s="454"/>
      <c r="BA27" s="454"/>
      <c r="BB27" s="454"/>
      <c r="BC27" s="454"/>
      <c r="BD27" s="455"/>
      <c r="BE27" s="455"/>
      <c r="BF27" s="455"/>
      <c r="BG27" s="455"/>
      <c r="BH27" s="455"/>
      <c r="BI27" s="455"/>
      <c r="BJ27" s="455"/>
      <c r="BK27" s="455"/>
      <c r="BL27" s="455"/>
      <c r="BM27" s="455"/>
      <c r="BN27" s="455"/>
      <c r="BO27" s="455"/>
      <c r="BP27" s="455"/>
      <c r="BQ27" s="454"/>
      <c r="BR27" s="454"/>
      <c r="BS27" s="454"/>
      <c r="BT27" s="454"/>
      <c r="BU27" s="454"/>
      <c r="BV27" s="454"/>
      <c r="BW27" s="454"/>
      <c r="BX27" s="454"/>
      <c r="BY27" s="454"/>
      <c r="BZ27" s="454"/>
    </row>
    <row r="28" spans="1:80" x14ac:dyDescent="0.2">
      <c r="A28" s="452"/>
      <c r="B28" s="453" t="str">
        <f t="shared" ref="B28:B48" si="39">_xlfn.TEXTJOIN(keydelim,TRUE,F28,IF(E28="Africa","Africa&amp;other",E28),"Fuel cost",SUBSTITUTE($G28," ",""))</f>
        <v>e-Hydrogen (liquid) - Middle East - Fuel cost - USD/GJ</v>
      </c>
      <c r="C28" s="453" t="str">
        <f t="shared" ref="C28:C48" si="40">_xlfn.TEXTJOIN(keydelim,TRUE,F28,E28)</f>
        <v>e-Hydrogen (liquid) - Middle East</v>
      </c>
      <c r="D28" s="74">
        <f t="shared" ref="D28:D46" si="41">D6</f>
        <v>120</v>
      </c>
      <c r="E28" t="s">
        <v>197</v>
      </c>
      <c r="F28" t="str">
        <f t="shared" ref="F28:F48" si="42">F6</f>
        <v>e-Hydrogen (liquid)</v>
      </c>
      <c r="G28" t="s">
        <v>828</v>
      </c>
      <c r="H28" s="74">
        <f t="shared" ref="H28:N37" si="43">INDEX(H$142:H$292,MATCH($E28&amp;$F28,$D$142:$D$292,0))/$D28</f>
        <v>46.275465929748982</v>
      </c>
      <c r="I28" s="74">
        <f t="shared" si="43"/>
        <v>39.41223386036782</v>
      </c>
      <c r="J28" s="74">
        <f t="shared" si="43"/>
        <v>34.446808664063546</v>
      </c>
      <c r="K28" s="74">
        <f t="shared" si="43"/>
        <v>31.864979378841635</v>
      </c>
      <c r="L28" s="74">
        <f t="shared" si="43"/>
        <v>28.92838873867284</v>
      </c>
      <c r="M28" s="74">
        <f t="shared" si="43"/>
        <v>24.948539433143353</v>
      </c>
      <c r="N28" s="74">
        <f t="shared" si="43"/>
        <v>21.562312131467856</v>
      </c>
      <c r="O28" s="454"/>
      <c r="P28" s="74">
        <f t="shared" ref="P28:V37" si="44">IFERROR(INDEX(P$142:P$292,MATCH($E28&amp;$F28,$D$142:$D$292,0))/$D28,"--")</f>
        <v>22.080268119322348</v>
      </c>
      <c r="Q28" s="74">
        <f t="shared" si="44"/>
        <v>17.706308004908099</v>
      </c>
      <c r="R28" s="74">
        <f t="shared" si="44"/>
        <v>14.700019108867078</v>
      </c>
      <c r="S28" s="74">
        <f t="shared" si="44"/>
        <v>12.33316365547045</v>
      </c>
      <c r="T28" s="74">
        <f t="shared" si="44"/>
        <v>10.940925290913857</v>
      </c>
      <c r="U28" s="74">
        <f t="shared" si="44"/>
        <v>9.2179454253603428</v>
      </c>
      <c r="V28" s="74">
        <f t="shared" si="44"/>
        <v>8.3016287502174997</v>
      </c>
      <c r="W28"/>
      <c r="X28" s="2">
        <f t="shared" ref="X28:AD37" si="45">INDEX(X$142:X$292,MATCH($E28&amp;$F28,$D$142:$D$292,0))/$D28*1000</f>
        <v>2.4279169967523235</v>
      </c>
      <c r="Y28" s="2">
        <f t="shared" si="45"/>
        <v>2.4164999999999996</v>
      </c>
      <c r="Z28" s="2">
        <f t="shared" si="45"/>
        <v>2.3844189608069937</v>
      </c>
      <c r="AA28" s="2">
        <f t="shared" si="45"/>
        <v>2.2992105071273761</v>
      </c>
      <c r="AB28" s="2">
        <f t="shared" si="45"/>
        <v>2.1968832906641627</v>
      </c>
      <c r="AC28" s="2">
        <f t="shared" si="45"/>
        <v>2.0606527991130323</v>
      </c>
      <c r="AD28" s="2">
        <f t="shared" si="45"/>
        <v>1.9533374999999999</v>
      </c>
      <c r="AE28"/>
      <c r="AF28" s="2">
        <f t="shared" ref="AF28:AL37" si="46">INDEX(AF$142:AF$292,MATCH($E28&amp;$F28,$D$142:$D$292,0))/$D28*1000</f>
        <v>0</v>
      </c>
      <c r="AG28" s="2">
        <f t="shared" si="46"/>
        <v>0</v>
      </c>
      <c r="AH28" s="2">
        <f t="shared" si="46"/>
        <v>0</v>
      </c>
      <c r="AI28" s="2">
        <f t="shared" si="46"/>
        <v>0</v>
      </c>
      <c r="AJ28" s="2">
        <f t="shared" si="46"/>
        <v>0</v>
      </c>
      <c r="AK28" s="2">
        <f t="shared" si="46"/>
        <v>0</v>
      </c>
      <c r="AL28" s="2">
        <f t="shared" si="46"/>
        <v>0</v>
      </c>
      <c r="AM28"/>
      <c r="AN28" s="24">
        <f t="shared" ref="AN28:AN48" si="47">X28+AF28</f>
        <v>2.4279169967523235</v>
      </c>
      <c r="AO28" s="24">
        <f t="shared" ref="AO28:AO48" si="48">Y28+AG28</f>
        <v>2.4164999999999996</v>
      </c>
      <c r="AP28" s="24">
        <f t="shared" ref="AP28:AP48" si="49">Z28+AH28</f>
        <v>2.3844189608069937</v>
      </c>
      <c r="AQ28" s="24">
        <f t="shared" ref="AQ28:AQ48" si="50">AA28+AI28</f>
        <v>2.2992105071273761</v>
      </c>
      <c r="AR28" s="24">
        <f t="shared" ref="AR28:AR48" si="51">AB28+AJ28</f>
        <v>2.1968832906641627</v>
      </c>
      <c r="AS28" s="24">
        <f t="shared" ref="AS28:AS48" si="52">AC28+AK28</f>
        <v>2.0606527991130323</v>
      </c>
      <c r="AT28" s="24">
        <f t="shared" ref="AT28:AT48" si="53">AD28+AL28</f>
        <v>1.9533374999999999</v>
      </c>
      <c r="AU28"/>
      <c r="AV28" s="74">
        <f t="shared" ref="AV28:BB37" si="54">IFERROR(INDEX(AV$142:AV$266,MATCH($E28&amp;$F28,$D$142:$D$266,0))/$D28,"NA")</f>
        <v>15.288031541894343</v>
      </c>
      <c r="AW28" s="74">
        <f t="shared" si="54"/>
        <v>14.161813306838042</v>
      </c>
      <c r="AX28" s="74">
        <f t="shared" si="54"/>
        <v>13.433948929977458</v>
      </c>
      <c r="AY28" s="74">
        <f t="shared" si="54"/>
        <v>13.705079855352748</v>
      </c>
      <c r="AZ28" s="74">
        <f t="shared" si="54"/>
        <v>13.276193687058136</v>
      </c>
      <c r="BA28" s="74">
        <f t="shared" si="54"/>
        <v>12.28127108935986</v>
      </c>
      <c r="BB28" s="74">
        <f t="shared" si="54"/>
        <v>10.919619200631379</v>
      </c>
      <c r="BC28" s="454"/>
      <c r="BD28" s="74">
        <f t="shared" ref="BD28:BJ37" si="55">IFERROR(INDEX(BD$142:BD$266,MATCH($E28&amp;$F28,$D$142:$D$266,0))/$D28,"NA")</f>
        <v>8.7946662685322909</v>
      </c>
      <c r="BE28" s="74">
        <f t="shared" si="55"/>
        <v>7.4316125486216817</v>
      </c>
      <c r="BF28" s="74">
        <f t="shared" si="55"/>
        <v>6.2003406252190185</v>
      </c>
      <c r="BG28" s="74">
        <f t="shared" si="55"/>
        <v>5.7142358680184433</v>
      </c>
      <c r="BH28" s="74">
        <f t="shared" si="55"/>
        <v>4.5987697607008462</v>
      </c>
      <c r="BI28" s="74">
        <f t="shared" si="55"/>
        <v>3.3368229184231475</v>
      </c>
      <c r="BJ28" s="74">
        <f t="shared" si="55"/>
        <v>2.2285641806189753</v>
      </c>
      <c r="BK28" s="455"/>
      <c r="BL28" s="74">
        <f t="shared" ref="BL28:BR37" si="56">IFERROR(INDEX(BL$142:BL$266,MATCH($E28&amp;$F28,$D$142:$D$266,0))/$D28,"NA")</f>
        <v>0</v>
      </c>
      <c r="BM28" s="74">
        <f t="shared" si="56"/>
        <v>0</v>
      </c>
      <c r="BN28" s="74">
        <f t="shared" si="56"/>
        <v>0</v>
      </c>
      <c r="BO28" s="74">
        <f t="shared" si="56"/>
        <v>0</v>
      </c>
      <c r="BP28" s="74">
        <f t="shared" si="56"/>
        <v>0</v>
      </c>
      <c r="BQ28" s="74">
        <f t="shared" si="56"/>
        <v>0</v>
      </c>
      <c r="BR28" s="74">
        <f t="shared" si="56"/>
        <v>0</v>
      </c>
      <c r="BS28" s="454"/>
      <c r="BT28" s="74">
        <f t="shared" ref="BT28:BZ37" si="57">IFERROR(INDEX(BT$142:BT$266,MATCH($E28&amp;$F28,$D$142:$D$266,0))/$D28,"NA")</f>
        <v>0</v>
      </c>
      <c r="BU28" s="74">
        <f t="shared" si="57"/>
        <v>0</v>
      </c>
      <c r="BV28" s="74">
        <f t="shared" si="57"/>
        <v>0</v>
      </c>
      <c r="BW28" s="74">
        <f t="shared" si="57"/>
        <v>0</v>
      </c>
      <c r="BX28" s="74">
        <f t="shared" si="57"/>
        <v>0</v>
      </c>
      <c r="BY28" s="74">
        <f t="shared" si="57"/>
        <v>0</v>
      </c>
      <c r="BZ28" s="74">
        <f t="shared" si="57"/>
        <v>0</v>
      </c>
    </row>
    <row r="29" spans="1:80" x14ac:dyDescent="0.2">
      <c r="A29" s="452"/>
      <c r="B29" s="453" t="str">
        <f t="shared" si="39"/>
        <v>e-Hydrogen (compressed) - Middle East - Fuel cost - USD/GJ</v>
      </c>
      <c r="C29" s="453" t="str">
        <f t="shared" si="40"/>
        <v>e-Hydrogen (compressed) - Middle East</v>
      </c>
      <c r="D29" s="74">
        <f t="shared" si="41"/>
        <v>120</v>
      </c>
      <c r="E29" t="s">
        <v>197</v>
      </c>
      <c r="F29" t="str">
        <f t="shared" si="42"/>
        <v>e-Hydrogen (compressed)</v>
      </c>
      <c r="G29" t="s">
        <v>828</v>
      </c>
      <c r="H29" s="74">
        <f t="shared" si="43"/>
        <v>33.982179562893805</v>
      </c>
      <c r="I29" s="74">
        <f t="shared" si="43"/>
        <v>27.728149296259893</v>
      </c>
      <c r="J29" s="74">
        <f t="shared" si="43"/>
        <v>23.166071512648195</v>
      </c>
      <c r="K29" s="74">
        <f t="shared" si="43"/>
        <v>20.868648633482117</v>
      </c>
      <c r="L29" s="74">
        <f t="shared" si="43"/>
        <v>18.07465637476923</v>
      </c>
      <c r="M29" s="74">
        <f t="shared" si="43"/>
        <v>14.281810024447475</v>
      </c>
      <c r="N29" s="74">
        <f t="shared" si="43"/>
        <v>10.983105972131101</v>
      </c>
      <c r="O29" s="454"/>
      <c r="P29" s="74">
        <f t="shared" si="44"/>
        <v>18.953648419133838</v>
      </c>
      <c r="Q29" s="74">
        <f t="shared" si="44"/>
        <v>15.188890107466834</v>
      </c>
      <c r="R29" s="74">
        <f t="shared" si="44"/>
        <v>12.585948624118386</v>
      </c>
      <c r="S29" s="74">
        <f t="shared" si="44"/>
        <v>10.503499576777596</v>
      </c>
      <c r="T29" s="74">
        <f t="shared" si="44"/>
        <v>9.2538595936769141</v>
      </c>
      <c r="U29" s="74">
        <f t="shared" si="44"/>
        <v>7.7178826833311325</v>
      </c>
      <c r="V29" s="74">
        <f t="shared" si="44"/>
        <v>6.889089257547413</v>
      </c>
      <c r="W29"/>
      <c r="X29" s="2">
        <f t="shared" si="45"/>
        <v>2.4279169967523235</v>
      </c>
      <c r="Y29" s="2">
        <f t="shared" si="45"/>
        <v>2.4164999999999996</v>
      </c>
      <c r="Z29" s="2">
        <f t="shared" si="45"/>
        <v>2.3844189608069937</v>
      </c>
      <c r="AA29" s="2">
        <f t="shared" si="45"/>
        <v>2.2992105071273761</v>
      </c>
      <c r="AB29" s="2">
        <f t="shared" si="45"/>
        <v>2.1968832906641627</v>
      </c>
      <c r="AC29" s="2">
        <f t="shared" si="45"/>
        <v>2.0606527991130323</v>
      </c>
      <c r="AD29" s="2">
        <f t="shared" si="45"/>
        <v>1.9533374999999999</v>
      </c>
      <c r="AE29"/>
      <c r="AF29" s="2">
        <f t="shared" si="46"/>
        <v>0</v>
      </c>
      <c r="AG29" s="2">
        <f t="shared" si="46"/>
        <v>0</v>
      </c>
      <c r="AH29" s="2">
        <f t="shared" si="46"/>
        <v>0</v>
      </c>
      <c r="AI29" s="2">
        <f t="shared" si="46"/>
        <v>0</v>
      </c>
      <c r="AJ29" s="2">
        <f t="shared" si="46"/>
        <v>0</v>
      </c>
      <c r="AK29" s="2">
        <f t="shared" si="46"/>
        <v>0</v>
      </c>
      <c r="AL29" s="2">
        <f t="shared" si="46"/>
        <v>0</v>
      </c>
      <c r="AM29"/>
      <c r="AN29" s="24">
        <f t="shared" si="47"/>
        <v>2.4279169967523235</v>
      </c>
      <c r="AO29" s="24">
        <f t="shared" si="48"/>
        <v>2.4164999999999996</v>
      </c>
      <c r="AP29" s="24">
        <f t="shared" si="49"/>
        <v>2.3844189608069937</v>
      </c>
      <c r="AQ29" s="24">
        <f t="shared" si="50"/>
        <v>2.2992105071273761</v>
      </c>
      <c r="AR29" s="24">
        <f t="shared" si="51"/>
        <v>2.1968832906641627</v>
      </c>
      <c r="AS29" s="24">
        <f t="shared" si="52"/>
        <v>2.0606527991130323</v>
      </c>
      <c r="AT29" s="24">
        <f t="shared" si="53"/>
        <v>1.9533374999999999</v>
      </c>
      <c r="AU29"/>
      <c r="AV29" s="74">
        <f t="shared" si="54"/>
        <v>6.954698208561009</v>
      </c>
      <c r="AW29" s="74">
        <f t="shared" si="54"/>
        <v>5.8284799735047086</v>
      </c>
      <c r="AX29" s="74">
        <f t="shared" si="54"/>
        <v>5.1006155966441247</v>
      </c>
      <c r="AY29" s="74">
        <f t="shared" si="54"/>
        <v>5.3717465220194152</v>
      </c>
      <c r="AZ29" s="74">
        <f t="shared" si="54"/>
        <v>4.9428603537248019</v>
      </c>
      <c r="BA29" s="74">
        <f t="shared" si="54"/>
        <v>3.9479377560265272</v>
      </c>
      <c r="BB29" s="74">
        <f t="shared" si="54"/>
        <v>2.5862858672980442</v>
      </c>
      <c r="BC29" s="454"/>
      <c r="BD29" s="74">
        <f t="shared" si="55"/>
        <v>7.961332935198957</v>
      </c>
      <c r="BE29" s="74">
        <f t="shared" si="55"/>
        <v>6.5982792152883478</v>
      </c>
      <c r="BF29" s="74">
        <f t="shared" si="55"/>
        <v>5.3670072918856855</v>
      </c>
      <c r="BG29" s="74">
        <f t="shared" si="55"/>
        <v>4.8809025346851094</v>
      </c>
      <c r="BH29" s="74">
        <f t="shared" si="55"/>
        <v>3.7654364273675123</v>
      </c>
      <c r="BI29" s="74">
        <f t="shared" si="55"/>
        <v>2.5034895850898145</v>
      </c>
      <c r="BJ29" s="74">
        <f t="shared" si="55"/>
        <v>1.3952308472856418</v>
      </c>
      <c r="BK29" s="455"/>
      <c r="BL29" s="74">
        <f t="shared" si="56"/>
        <v>0</v>
      </c>
      <c r="BM29" s="74">
        <f t="shared" si="56"/>
        <v>0</v>
      </c>
      <c r="BN29" s="74">
        <f t="shared" si="56"/>
        <v>0</v>
      </c>
      <c r="BO29" s="74">
        <f t="shared" si="56"/>
        <v>0</v>
      </c>
      <c r="BP29" s="74">
        <f t="shared" si="56"/>
        <v>0</v>
      </c>
      <c r="BQ29" s="74">
        <f t="shared" si="56"/>
        <v>0</v>
      </c>
      <c r="BR29" s="74">
        <f t="shared" si="56"/>
        <v>0</v>
      </c>
      <c r="BS29" s="454"/>
      <c r="BT29" s="74">
        <f t="shared" si="57"/>
        <v>0</v>
      </c>
      <c r="BU29" s="74">
        <f t="shared" si="57"/>
        <v>0</v>
      </c>
      <c r="BV29" s="74">
        <f t="shared" si="57"/>
        <v>0</v>
      </c>
      <c r="BW29" s="74">
        <f t="shared" si="57"/>
        <v>0</v>
      </c>
      <c r="BX29" s="74">
        <f t="shared" si="57"/>
        <v>0</v>
      </c>
      <c r="BY29" s="74">
        <f t="shared" si="57"/>
        <v>0</v>
      </c>
      <c r="BZ29" s="74">
        <f t="shared" si="57"/>
        <v>0</v>
      </c>
    </row>
    <row r="30" spans="1:80" x14ac:dyDescent="0.2">
      <c r="A30" s="452"/>
      <c r="B30" s="453" t="str">
        <f t="shared" si="39"/>
        <v>e-Ammonia - Middle East - Fuel cost - USD/GJ</v>
      </c>
      <c r="C30" s="453" t="str">
        <f t="shared" si="40"/>
        <v>e-Ammonia - Middle East</v>
      </c>
      <c r="D30" s="74">
        <f t="shared" si="41"/>
        <v>18.8</v>
      </c>
      <c r="E30" t="s">
        <v>197</v>
      </c>
      <c r="F30" t="str">
        <f t="shared" si="42"/>
        <v>e-Ammonia</v>
      </c>
      <c r="G30" t="s">
        <v>828</v>
      </c>
      <c r="H30" s="74">
        <f t="shared" si="43"/>
        <v>62.283888639900184</v>
      </c>
      <c r="I30" s="74">
        <f t="shared" si="43"/>
        <v>46.287262673780184</v>
      </c>
      <c r="J30" s="74">
        <f t="shared" si="43"/>
        <v>32.295420857942453</v>
      </c>
      <c r="K30" s="74">
        <f t="shared" si="43"/>
        <v>29.273706582352716</v>
      </c>
      <c r="L30" s="74">
        <f t="shared" si="43"/>
        <v>25.72337609966274</v>
      </c>
      <c r="M30" s="74">
        <f t="shared" si="43"/>
        <v>21.012302578619281</v>
      </c>
      <c r="N30" s="74">
        <f t="shared" si="43"/>
        <v>16.898367509155761</v>
      </c>
      <c r="O30" s="454"/>
      <c r="P30" s="74">
        <f t="shared" si="44"/>
        <v>22.333994433570712</v>
      </c>
      <c r="Q30" s="74">
        <f t="shared" si="44"/>
        <v>17.899909500170722</v>
      </c>
      <c r="R30" s="74">
        <f t="shared" si="44"/>
        <v>14.837380854374343</v>
      </c>
      <c r="S30" s="74">
        <f t="shared" si="44"/>
        <v>12.394071440291398</v>
      </c>
      <c r="T30" s="74">
        <f t="shared" si="44"/>
        <v>10.932890214945497</v>
      </c>
      <c r="U30" s="74">
        <f t="shared" si="44"/>
        <v>9.1348090015597911</v>
      </c>
      <c r="V30" s="74">
        <f t="shared" si="44"/>
        <v>8.1669732559679549</v>
      </c>
      <c r="W30"/>
      <c r="X30" s="2">
        <f t="shared" si="45"/>
        <v>2.8609312303111798</v>
      </c>
      <c r="Y30" s="2">
        <f t="shared" si="45"/>
        <v>2.8478138297872331</v>
      </c>
      <c r="Z30" s="2">
        <f t="shared" si="45"/>
        <v>2.8109547634803751</v>
      </c>
      <c r="AA30" s="2">
        <f t="shared" si="45"/>
        <v>2.7130556890399635</v>
      </c>
      <c r="AB30" s="2">
        <f t="shared" si="45"/>
        <v>2.5954882488481865</v>
      </c>
      <c r="AC30" s="2">
        <f t="shared" si="45"/>
        <v>2.4389681096192284</v>
      </c>
      <c r="AD30" s="2">
        <f t="shared" si="45"/>
        <v>2.3156696808510637</v>
      </c>
      <c r="AE30"/>
      <c r="AF30" s="2">
        <f t="shared" si="46"/>
        <v>0</v>
      </c>
      <c r="AG30" s="2">
        <f t="shared" si="46"/>
        <v>0</v>
      </c>
      <c r="AH30" s="2">
        <f t="shared" si="46"/>
        <v>0</v>
      </c>
      <c r="AI30" s="2">
        <f t="shared" si="46"/>
        <v>0</v>
      </c>
      <c r="AJ30" s="2">
        <f t="shared" si="46"/>
        <v>0</v>
      </c>
      <c r="AK30" s="2">
        <f t="shared" si="46"/>
        <v>0</v>
      </c>
      <c r="AL30" s="2">
        <f t="shared" si="46"/>
        <v>0</v>
      </c>
      <c r="AM30"/>
      <c r="AN30" s="24">
        <f t="shared" si="47"/>
        <v>2.8609312303111798</v>
      </c>
      <c r="AO30" s="24">
        <f t="shared" si="48"/>
        <v>2.8478138297872331</v>
      </c>
      <c r="AP30" s="24">
        <f t="shared" si="49"/>
        <v>2.8109547634803751</v>
      </c>
      <c r="AQ30" s="24">
        <f t="shared" si="50"/>
        <v>2.7130556890399635</v>
      </c>
      <c r="AR30" s="24">
        <f t="shared" si="51"/>
        <v>2.5954882488481865</v>
      </c>
      <c r="AS30" s="24">
        <f t="shared" si="52"/>
        <v>2.4389681096192284</v>
      </c>
      <c r="AT30" s="24">
        <f t="shared" si="53"/>
        <v>2.3156696808510637</v>
      </c>
      <c r="AU30"/>
      <c r="AV30" s="74">
        <f t="shared" si="54"/>
        <v>21.381461771538181</v>
      </c>
      <c r="AW30" s="74">
        <f t="shared" si="54"/>
        <v>14.91906918941676</v>
      </c>
      <c r="AX30" s="74">
        <f t="shared" si="54"/>
        <v>8.914359763520201</v>
      </c>
      <c r="AY30" s="74">
        <f t="shared" si="54"/>
        <v>9.049675082036492</v>
      </c>
      <c r="AZ30" s="74">
        <f t="shared" si="54"/>
        <v>8.3807154418682117</v>
      </c>
      <c r="BA30" s="74">
        <f t="shared" si="54"/>
        <v>7.0614160742999807</v>
      </c>
      <c r="BB30" s="74">
        <f t="shared" si="54"/>
        <v>5.3207681595906609</v>
      </c>
      <c r="BC30" s="454"/>
      <c r="BD30" s="74">
        <f t="shared" si="55"/>
        <v>18.568432434791287</v>
      </c>
      <c r="BE30" s="74">
        <f t="shared" si="55"/>
        <v>13.468283984192706</v>
      </c>
      <c r="BF30" s="74">
        <f t="shared" si="55"/>
        <v>8.5436802400479142</v>
      </c>
      <c r="BG30" s="74">
        <f t="shared" si="55"/>
        <v>7.829960060024824</v>
      </c>
      <c r="BH30" s="74">
        <f t="shared" si="55"/>
        <v>6.4097704428490303</v>
      </c>
      <c r="BI30" s="74">
        <f t="shared" si="55"/>
        <v>4.8160775027595095</v>
      </c>
      <c r="BJ30" s="74">
        <f t="shared" si="55"/>
        <v>3.4106260935971484</v>
      </c>
      <c r="BK30" s="455"/>
      <c r="BL30" s="74">
        <f t="shared" si="56"/>
        <v>0</v>
      </c>
      <c r="BM30" s="74">
        <f t="shared" si="56"/>
        <v>0</v>
      </c>
      <c r="BN30" s="74">
        <f t="shared" si="56"/>
        <v>0</v>
      </c>
      <c r="BO30" s="74">
        <f t="shared" si="56"/>
        <v>0</v>
      </c>
      <c r="BP30" s="74">
        <f t="shared" si="56"/>
        <v>0</v>
      </c>
      <c r="BQ30" s="74">
        <f t="shared" si="56"/>
        <v>0</v>
      </c>
      <c r="BR30" s="74">
        <f t="shared" si="56"/>
        <v>0</v>
      </c>
      <c r="BS30" s="454"/>
      <c r="BT30" s="74">
        <f t="shared" si="57"/>
        <v>0</v>
      </c>
      <c r="BU30" s="74">
        <f t="shared" si="57"/>
        <v>0</v>
      </c>
      <c r="BV30" s="74">
        <f t="shared" si="57"/>
        <v>0</v>
      </c>
      <c r="BW30" s="74">
        <f t="shared" si="57"/>
        <v>0</v>
      </c>
      <c r="BX30" s="74">
        <f t="shared" si="57"/>
        <v>0</v>
      </c>
      <c r="BY30" s="74">
        <f t="shared" si="57"/>
        <v>0</v>
      </c>
      <c r="BZ30" s="74">
        <f t="shared" si="57"/>
        <v>0</v>
      </c>
    </row>
    <row r="31" spans="1:80" x14ac:dyDescent="0.2">
      <c r="A31" s="452"/>
      <c r="B31" s="453" t="str">
        <f t="shared" si="39"/>
        <v>e-Methanol (DAC) - Middle East - Fuel cost - USD/GJ</v>
      </c>
      <c r="C31" s="453" t="str">
        <f t="shared" si="40"/>
        <v>e-Methanol (DAC) - Middle East</v>
      </c>
      <c r="D31" s="74">
        <f t="shared" si="41"/>
        <v>19.899999999999999</v>
      </c>
      <c r="E31" t="s">
        <v>197</v>
      </c>
      <c r="F31" t="str">
        <f t="shared" si="42"/>
        <v>e-Methanol (DAC)</v>
      </c>
      <c r="G31" t="s">
        <v>828</v>
      </c>
      <c r="H31" s="74">
        <f t="shared" si="43"/>
        <v>82.770777855119448</v>
      </c>
      <c r="I31" s="74">
        <f t="shared" si="43"/>
        <v>66.577902314387003</v>
      </c>
      <c r="J31" s="74">
        <f t="shared" si="43"/>
        <v>53.602048365712236</v>
      </c>
      <c r="K31" s="74">
        <f t="shared" si="43"/>
        <v>47.08156199596791</v>
      </c>
      <c r="L31" s="74">
        <f t="shared" si="43"/>
        <v>40.769809828335553</v>
      </c>
      <c r="M31" s="74">
        <f t="shared" si="43"/>
        <v>32.922542488505883</v>
      </c>
      <c r="N31" s="74">
        <f t="shared" si="43"/>
        <v>26.126745737353382</v>
      </c>
      <c r="O31" s="454"/>
      <c r="P31" s="74">
        <f t="shared" si="44"/>
        <v>25.154334248611558</v>
      </c>
      <c r="Q31" s="74">
        <f t="shared" si="44"/>
        <v>20.171494297380967</v>
      </c>
      <c r="R31" s="74">
        <f t="shared" si="44"/>
        <v>16.746823526057252</v>
      </c>
      <c r="S31" s="74">
        <f t="shared" si="44"/>
        <v>14.050813688422394</v>
      </c>
      <c r="T31" s="74">
        <f t="shared" si="44"/>
        <v>12.46513670107764</v>
      </c>
      <c r="U31" s="74">
        <f t="shared" si="44"/>
        <v>10.502689073272558</v>
      </c>
      <c r="V31" s="74">
        <f t="shared" si="44"/>
        <v>9.4591041755737724</v>
      </c>
      <c r="W31"/>
      <c r="X31" s="2">
        <f t="shared" si="45"/>
        <v>-65.873267376827087</v>
      </c>
      <c r="Y31" s="2">
        <f t="shared" si="45"/>
        <v>-65.886262255036513</v>
      </c>
      <c r="Z31" s="2">
        <f t="shared" si="45"/>
        <v>-65.922777041384307</v>
      </c>
      <c r="AA31" s="2">
        <f t="shared" si="45"/>
        <v>-66.01976169522986</v>
      </c>
      <c r="AB31" s="2">
        <f t="shared" si="45"/>
        <v>-66.136231003603598</v>
      </c>
      <c r="AC31" s="2">
        <f t="shared" si="45"/>
        <v>-66.291289175601065</v>
      </c>
      <c r="AD31" s="2">
        <f t="shared" si="45"/>
        <v>-66.413435942586673</v>
      </c>
      <c r="AE31"/>
      <c r="AF31" s="2">
        <f t="shared" si="46"/>
        <v>69.095477386934675</v>
      </c>
      <c r="AG31" s="2">
        <f t="shared" si="46"/>
        <v>69.095477386934675</v>
      </c>
      <c r="AH31" s="2">
        <f t="shared" si="46"/>
        <v>69.095477386934675</v>
      </c>
      <c r="AI31" s="2">
        <f t="shared" si="46"/>
        <v>69.095477386934675</v>
      </c>
      <c r="AJ31" s="2">
        <f t="shared" si="46"/>
        <v>69.095477386934675</v>
      </c>
      <c r="AK31" s="2">
        <f t="shared" si="46"/>
        <v>69.095477386934675</v>
      </c>
      <c r="AL31" s="2">
        <f t="shared" si="46"/>
        <v>69.095477386934675</v>
      </c>
      <c r="AM31"/>
      <c r="AN31" s="24">
        <f t="shared" si="47"/>
        <v>3.2222100101075881</v>
      </c>
      <c r="AO31" s="24">
        <f t="shared" si="48"/>
        <v>3.2092151318981621</v>
      </c>
      <c r="AP31" s="24">
        <f t="shared" si="49"/>
        <v>3.1727003455503677</v>
      </c>
      <c r="AQ31" s="24">
        <f t="shared" si="50"/>
        <v>3.075715691704815</v>
      </c>
      <c r="AR31" s="24">
        <f t="shared" si="51"/>
        <v>2.9592463833310774</v>
      </c>
      <c r="AS31" s="24">
        <f t="shared" si="52"/>
        <v>2.8041882113336101</v>
      </c>
      <c r="AT31" s="24">
        <f t="shared" si="53"/>
        <v>2.6820414443480018</v>
      </c>
      <c r="AU31"/>
      <c r="AV31" s="74">
        <f t="shared" si="54"/>
        <v>23.007996788310674</v>
      </c>
      <c r="AW31" s="74">
        <f t="shared" si="54"/>
        <v>18.618927333708019</v>
      </c>
      <c r="AX31" s="74">
        <f t="shared" si="54"/>
        <v>14.683266072503733</v>
      </c>
      <c r="AY31" s="74">
        <f t="shared" si="54"/>
        <v>13.993124820084045</v>
      </c>
      <c r="AZ31" s="74">
        <f t="shared" si="54"/>
        <v>12.506220892322304</v>
      </c>
      <c r="BA31" s="74">
        <f t="shared" si="54"/>
        <v>10.042137124589219</v>
      </c>
      <c r="BB31" s="74">
        <f t="shared" si="54"/>
        <v>7.1606403912445984</v>
      </c>
      <c r="BC31" s="454"/>
      <c r="BD31" s="74">
        <f t="shared" si="55"/>
        <v>16.023844632076802</v>
      </c>
      <c r="BE31" s="74">
        <f t="shared" si="55"/>
        <v>13.065375443611655</v>
      </c>
      <c r="BF31" s="74">
        <f t="shared" si="55"/>
        <v>10.256900901986608</v>
      </c>
      <c r="BG31" s="74">
        <f t="shared" si="55"/>
        <v>9.2513529252483337</v>
      </c>
      <c r="BH31" s="74">
        <f t="shared" si="55"/>
        <v>7.5294629654204579</v>
      </c>
      <c r="BI31" s="74">
        <f t="shared" si="55"/>
        <v>5.4900941905626759</v>
      </c>
      <c r="BJ31" s="74">
        <f t="shared" si="55"/>
        <v>3.6256539230169151</v>
      </c>
      <c r="BK31" s="455"/>
      <c r="BL31" s="74">
        <f t="shared" si="56"/>
        <v>18.58460218612041</v>
      </c>
      <c r="BM31" s="74">
        <f t="shared" si="56"/>
        <v>14.722105239686359</v>
      </c>
      <c r="BN31" s="74">
        <f t="shared" si="56"/>
        <v>11.915057865164641</v>
      </c>
      <c r="BO31" s="74">
        <f t="shared" si="56"/>
        <v>9.786270562213133</v>
      </c>
      <c r="BP31" s="74">
        <f t="shared" si="56"/>
        <v>8.268989269515151</v>
      </c>
      <c r="BQ31" s="74">
        <f t="shared" si="56"/>
        <v>6.8876221000814253</v>
      </c>
      <c r="BR31" s="74">
        <f t="shared" si="56"/>
        <v>5.8813472475180957</v>
      </c>
      <c r="BS31" s="454"/>
      <c r="BT31" s="74">
        <f t="shared" si="57"/>
        <v>0</v>
      </c>
      <c r="BU31" s="74">
        <f t="shared" si="57"/>
        <v>0</v>
      </c>
      <c r="BV31" s="74">
        <f t="shared" si="57"/>
        <v>0</v>
      </c>
      <c r="BW31" s="74">
        <f t="shared" si="57"/>
        <v>0</v>
      </c>
      <c r="BX31" s="74">
        <f t="shared" si="57"/>
        <v>0</v>
      </c>
      <c r="BY31" s="74">
        <f t="shared" si="57"/>
        <v>0</v>
      </c>
      <c r="BZ31" s="74">
        <f t="shared" si="57"/>
        <v>0</v>
      </c>
    </row>
    <row r="32" spans="1:80" x14ac:dyDescent="0.2">
      <c r="A32" s="452"/>
      <c r="B32" s="453" t="str">
        <f t="shared" si="39"/>
        <v>e-Methanol (PS) - Middle East - Fuel cost - USD/GJ</v>
      </c>
      <c r="C32" s="453" t="str">
        <f t="shared" si="40"/>
        <v>e-Methanol (PS) - Middle East</v>
      </c>
      <c r="D32" s="74">
        <f t="shared" si="41"/>
        <v>19.899999999999999</v>
      </c>
      <c r="E32" t="s">
        <v>197</v>
      </c>
      <c r="F32" t="str">
        <f t="shared" si="42"/>
        <v>e-Methanol (PS)</v>
      </c>
      <c r="G32" t="s">
        <v>828</v>
      </c>
      <c r="H32" s="74">
        <f t="shared" si="43"/>
        <v>76.468241816225685</v>
      </c>
      <c r="I32" s="74">
        <f t="shared" si="43"/>
        <v>61.974599302601931</v>
      </c>
      <c r="J32" s="74">
        <f t="shared" si="43"/>
        <v>49.728254211796994</v>
      </c>
      <c r="K32" s="74">
        <f t="shared" si="43"/>
        <v>44.47815951282319</v>
      </c>
      <c r="L32" s="74">
        <f t="shared" si="43"/>
        <v>38.884347126477039</v>
      </c>
      <c r="M32" s="74">
        <f t="shared" si="43"/>
        <v>31.600613733297944</v>
      </c>
      <c r="N32" s="74">
        <f t="shared" si="43"/>
        <v>25.03468565090909</v>
      </c>
      <c r="O32" s="454"/>
      <c r="P32" s="74">
        <f t="shared" si="44"/>
        <v>25.154334248611558</v>
      </c>
      <c r="Q32" s="74">
        <f t="shared" si="44"/>
        <v>20.171494297380967</v>
      </c>
      <c r="R32" s="74">
        <f t="shared" si="44"/>
        <v>16.746823526057252</v>
      </c>
      <c r="S32" s="74">
        <f t="shared" si="44"/>
        <v>14.050813688422394</v>
      </c>
      <c r="T32" s="74">
        <f t="shared" si="44"/>
        <v>12.46513670107764</v>
      </c>
      <c r="U32" s="74">
        <f t="shared" si="44"/>
        <v>10.502689073272558</v>
      </c>
      <c r="V32" s="74">
        <f t="shared" si="44"/>
        <v>9.4591041755737724</v>
      </c>
      <c r="W32"/>
      <c r="X32" s="2">
        <f t="shared" si="45"/>
        <v>-65.873267376827087</v>
      </c>
      <c r="Y32" s="2">
        <f t="shared" si="45"/>
        <v>-65.886262255036513</v>
      </c>
      <c r="Z32" s="2">
        <f t="shared" si="45"/>
        <v>-65.922777041384307</v>
      </c>
      <c r="AA32" s="2">
        <f t="shared" si="45"/>
        <v>-66.01976169522986</v>
      </c>
      <c r="AB32" s="2">
        <f t="shared" si="45"/>
        <v>-66.136231003603598</v>
      </c>
      <c r="AC32" s="2">
        <f t="shared" si="45"/>
        <v>-66.291289175601065</v>
      </c>
      <c r="AD32" s="2">
        <f t="shared" si="45"/>
        <v>-66.413435942586673</v>
      </c>
      <c r="AE32"/>
      <c r="AF32" s="2">
        <f t="shared" si="46"/>
        <v>69.095477386934675</v>
      </c>
      <c r="AG32" s="2">
        <f t="shared" si="46"/>
        <v>69.095477386934675</v>
      </c>
      <c r="AH32" s="2">
        <f t="shared" si="46"/>
        <v>69.095477386934675</v>
      </c>
      <c r="AI32" s="2">
        <f t="shared" si="46"/>
        <v>69.095477386934675</v>
      </c>
      <c r="AJ32" s="2">
        <f t="shared" si="46"/>
        <v>69.095477386934675</v>
      </c>
      <c r="AK32" s="2">
        <f t="shared" si="46"/>
        <v>69.095477386934675</v>
      </c>
      <c r="AL32" s="2">
        <f t="shared" si="46"/>
        <v>69.095477386934675</v>
      </c>
      <c r="AM32"/>
      <c r="AN32" s="24">
        <f t="shared" si="47"/>
        <v>3.2222100101075881</v>
      </c>
      <c r="AO32" s="24">
        <f t="shared" si="48"/>
        <v>3.2092151318981621</v>
      </c>
      <c r="AP32" s="24">
        <f t="shared" si="49"/>
        <v>3.1727003455503677</v>
      </c>
      <c r="AQ32" s="24">
        <f t="shared" si="50"/>
        <v>3.075715691704815</v>
      </c>
      <c r="AR32" s="24">
        <f t="shared" si="51"/>
        <v>2.9592463833310774</v>
      </c>
      <c r="AS32" s="24">
        <f t="shared" si="52"/>
        <v>2.8041882113336101</v>
      </c>
      <c r="AT32" s="24">
        <f t="shared" si="53"/>
        <v>2.6820414443480018</v>
      </c>
      <c r="AU32"/>
      <c r="AV32" s="74">
        <f t="shared" si="54"/>
        <v>23.007996788310674</v>
      </c>
      <c r="AW32" s="74">
        <f t="shared" si="54"/>
        <v>18.618927333708019</v>
      </c>
      <c r="AX32" s="74">
        <f t="shared" si="54"/>
        <v>14.683266072503733</v>
      </c>
      <c r="AY32" s="74">
        <f t="shared" si="54"/>
        <v>13.993124820084045</v>
      </c>
      <c r="AZ32" s="74">
        <f t="shared" si="54"/>
        <v>12.506220892322304</v>
      </c>
      <c r="BA32" s="74">
        <f t="shared" si="54"/>
        <v>10.042137124589219</v>
      </c>
      <c r="BB32" s="74">
        <f t="shared" si="54"/>
        <v>7.1606403912445984</v>
      </c>
      <c r="BC32" s="454"/>
      <c r="BD32" s="74">
        <f t="shared" si="55"/>
        <v>16.023844632076802</v>
      </c>
      <c r="BE32" s="74">
        <f t="shared" si="55"/>
        <v>13.065375443611655</v>
      </c>
      <c r="BF32" s="74">
        <f t="shared" si="55"/>
        <v>10.256900901986608</v>
      </c>
      <c r="BG32" s="74">
        <f t="shared" si="55"/>
        <v>9.2513529252483337</v>
      </c>
      <c r="BH32" s="74">
        <f t="shared" si="55"/>
        <v>7.5294629654204579</v>
      </c>
      <c r="BI32" s="74">
        <f t="shared" si="55"/>
        <v>5.4900941905626759</v>
      </c>
      <c r="BJ32" s="74">
        <f t="shared" si="55"/>
        <v>3.6256539230169151</v>
      </c>
      <c r="BK32" s="455"/>
      <c r="BL32" s="74">
        <f t="shared" si="56"/>
        <v>12.282066147226644</v>
      </c>
      <c r="BM32" s="74">
        <f t="shared" si="56"/>
        <v>10.118802227901282</v>
      </c>
      <c r="BN32" s="74">
        <f t="shared" si="56"/>
        <v>8.0412637112494014</v>
      </c>
      <c r="BO32" s="74">
        <f t="shared" si="56"/>
        <v>7.1828680790684158</v>
      </c>
      <c r="BP32" s="74">
        <f t="shared" si="56"/>
        <v>6.3835265676566353</v>
      </c>
      <c r="BQ32" s="74">
        <f t="shared" si="56"/>
        <v>5.5656933448734893</v>
      </c>
      <c r="BR32" s="74">
        <f t="shared" si="56"/>
        <v>4.7892871610738057</v>
      </c>
      <c r="BS32" s="454"/>
      <c r="BT32" s="74">
        <f t="shared" si="57"/>
        <v>0</v>
      </c>
      <c r="BU32" s="74">
        <f t="shared" si="57"/>
        <v>0</v>
      </c>
      <c r="BV32" s="74">
        <f t="shared" si="57"/>
        <v>0</v>
      </c>
      <c r="BW32" s="74">
        <f t="shared" si="57"/>
        <v>0</v>
      </c>
      <c r="BX32" s="74">
        <f t="shared" si="57"/>
        <v>0</v>
      </c>
      <c r="BY32" s="74">
        <f t="shared" si="57"/>
        <v>0</v>
      </c>
      <c r="BZ32" s="74">
        <f t="shared" si="57"/>
        <v>0</v>
      </c>
    </row>
    <row r="33" spans="1:78" x14ac:dyDescent="0.2">
      <c r="A33" s="452"/>
      <c r="B33" s="453" t="str">
        <f t="shared" si="39"/>
        <v>e-Diesel (DAC) - Middle East - Fuel cost - USD/GJ</v>
      </c>
      <c r="C33" s="453" t="str">
        <f t="shared" si="40"/>
        <v>e-Diesel (DAC) - Middle East</v>
      </c>
      <c r="D33" s="74">
        <f t="shared" si="41"/>
        <v>42.7</v>
      </c>
      <c r="E33" t="s">
        <v>197</v>
      </c>
      <c r="F33" t="str">
        <f t="shared" si="42"/>
        <v>e-Diesel (DAC)</v>
      </c>
      <c r="G33" t="s">
        <v>828</v>
      </c>
      <c r="H33" s="74">
        <f t="shared" si="43"/>
        <v>96.367749492825411</v>
      </c>
      <c r="I33" s="74">
        <f t="shared" si="43"/>
        <v>77.189387581400496</v>
      </c>
      <c r="J33" s="74">
        <f t="shared" si="43"/>
        <v>62.280778833660975</v>
      </c>
      <c r="K33" s="74">
        <f t="shared" si="43"/>
        <v>55.55341491502675</v>
      </c>
      <c r="L33" s="74">
        <f t="shared" si="43"/>
        <v>48.912599441085227</v>
      </c>
      <c r="M33" s="74">
        <f t="shared" si="43"/>
        <v>39.036087976934823</v>
      </c>
      <c r="N33" s="74">
        <f t="shared" si="43"/>
        <v>30.583309431951388</v>
      </c>
      <c r="O33" s="454"/>
      <c r="P33" s="74">
        <f t="shared" si="44"/>
        <v>25.462833953900368</v>
      </c>
      <c r="Q33" s="74">
        <f t="shared" si="44"/>
        <v>20.378328752042414</v>
      </c>
      <c r="R33" s="74">
        <f t="shared" si="44"/>
        <v>16.867671801323414</v>
      </c>
      <c r="S33" s="74">
        <f t="shared" si="44"/>
        <v>14.066906275919752</v>
      </c>
      <c r="T33" s="74">
        <f t="shared" si="44"/>
        <v>12.386529302784998</v>
      </c>
      <c r="U33" s="74">
        <f t="shared" si="44"/>
        <v>10.327596398340068</v>
      </c>
      <c r="V33" s="74">
        <f t="shared" si="44"/>
        <v>9.2147258581923754</v>
      </c>
      <c r="W33"/>
      <c r="X33" s="2">
        <f t="shared" si="45"/>
        <v>-71.898371469010129</v>
      </c>
      <c r="Y33" s="2">
        <f t="shared" si="45"/>
        <v>-71.917977773108731</v>
      </c>
      <c r="Z33" s="2">
        <f t="shared" si="45"/>
        <v>-71.964504396106349</v>
      </c>
      <c r="AA33" s="2">
        <f t="shared" si="45"/>
        <v>-72.08086120236382</v>
      </c>
      <c r="AB33" s="2">
        <f t="shared" si="45"/>
        <v>-72.219514710595647</v>
      </c>
      <c r="AC33" s="2">
        <f t="shared" si="45"/>
        <v>-72.40266058951876</v>
      </c>
      <c r="AD33" s="2">
        <f t="shared" si="45"/>
        <v>-72.547349318776185</v>
      </c>
      <c r="AE33"/>
      <c r="AF33" s="2">
        <f t="shared" si="46"/>
        <v>76.237236533957855</v>
      </c>
      <c r="AG33" s="2">
        <f t="shared" si="46"/>
        <v>76.237236533957855</v>
      </c>
      <c r="AH33" s="2">
        <f t="shared" si="46"/>
        <v>76.237236533957855</v>
      </c>
      <c r="AI33" s="2">
        <f t="shared" si="46"/>
        <v>76.237236533957855</v>
      </c>
      <c r="AJ33" s="2">
        <f t="shared" si="46"/>
        <v>76.237236533957855</v>
      </c>
      <c r="AK33" s="2">
        <f t="shared" si="46"/>
        <v>76.237236533957855</v>
      </c>
      <c r="AL33" s="2">
        <f t="shared" si="46"/>
        <v>76.237236533957855</v>
      </c>
      <c r="AM33"/>
      <c r="AN33" s="24">
        <f t="shared" si="47"/>
        <v>4.3388650649477256</v>
      </c>
      <c r="AO33" s="24">
        <f t="shared" si="48"/>
        <v>4.3192587608491237</v>
      </c>
      <c r="AP33" s="24">
        <f t="shared" si="49"/>
        <v>4.2727321378515057</v>
      </c>
      <c r="AQ33" s="24">
        <f t="shared" si="50"/>
        <v>4.1563753315940346</v>
      </c>
      <c r="AR33" s="24">
        <f t="shared" si="51"/>
        <v>4.0177218233622085</v>
      </c>
      <c r="AS33" s="24">
        <f t="shared" si="52"/>
        <v>3.834575944439095</v>
      </c>
      <c r="AT33" s="24">
        <f t="shared" si="53"/>
        <v>3.6898872151816704</v>
      </c>
      <c r="AU33"/>
      <c r="AV33" s="74">
        <f t="shared" si="54"/>
        <v>22.839460865640302</v>
      </c>
      <c r="AW33" s="74">
        <f t="shared" si="54"/>
        <v>19.69694622573768</v>
      </c>
      <c r="AX33" s="74">
        <f t="shared" si="54"/>
        <v>17.080594527339468</v>
      </c>
      <c r="AY33" s="74">
        <f t="shared" si="54"/>
        <v>16.76638962939645</v>
      </c>
      <c r="AZ33" s="74">
        <f t="shared" si="54"/>
        <v>15.527571989463205</v>
      </c>
      <c r="BA33" s="74">
        <f t="shared" si="54"/>
        <v>12.817065326461268</v>
      </c>
      <c r="BB33" s="74">
        <f t="shared" si="54"/>
        <v>9.6221668130119369</v>
      </c>
      <c r="BC33" s="454"/>
      <c r="BD33" s="74">
        <f t="shared" si="55"/>
        <v>26.120940926117594</v>
      </c>
      <c r="BE33" s="74">
        <f t="shared" si="55"/>
        <v>19.730396902629103</v>
      </c>
      <c r="BF33" s="74">
        <f t="shared" si="55"/>
        <v>14.263330474528161</v>
      </c>
      <c r="BG33" s="74">
        <f t="shared" si="55"/>
        <v>13.164587891246834</v>
      </c>
      <c r="BH33" s="74">
        <f t="shared" si="55"/>
        <v>11.234557716710251</v>
      </c>
      <c r="BI33" s="74">
        <f t="shared" si="55"/>
        <v>7.7585904589945089</v>
      </c>
      <c r="BJ33" s="74">
        <f t="shared" si="55"/>
        <v>4.8017803228784617</v>
      </c>
      <c r="BK33" s="455"/>
      <c r="BL33" s="74">
        <f t="shared" si="56"/>
        <v>21.944513747167136</v>
      </c>
      <c r="BM33" s="74">
        <f t="shared" si="56"/>
        <v>17.383715700991299</v>
      </c>
      <c r="BN33" s="74">
        <f t="shared" si="56"/>
        <v>14.069182030469928</v>
      </c>
      <c r="BO33" s="74">
        <f t="shared" si="56"/>
        <v>11.555531118463714</v>
      </c>
      <c r="BP33" s="74">
        <f t="shared" si="56"/>
        <v>9.7639404321267769</v>
      </c>
      <c r="BQ33" s="74">
        <f t="shared" si="56"/>
        <v>8.1328357931389803</v>
      </c>
      <c r="BR33" s="74">
        <f t="shared" si="56"/>
        <v>6.9446364378686116</v>
      </c>
      <c r="BS33" s="454"/>
      <c r="BT33" s="74">
        <f t="shared" si="57"/>
        <v>0</v>
      </c>
      <c r="BU33" s="74">
        <f t="shared" si="57"/>
        <v>0</v>
      </c>
      <c r="BV33" s="74">
        <f t="shared" si="57"/>
        <v>0</v>
      </c>
      <c r="BW33" s="74">
        <f t="shared" si="57"/>
        <v>0</v>
      </c>
      <c r="BX33" s="74">
        <f t="shared" si="57"/>
        <v>0</v>
      </c>
      <c r="BY33" s="74">
        <f t="shared" si="57"/>
        <v>0</v>
      </c>
      <c r="BZ33" s="74">
        <f t="shared" si="57"/>
        <v>0</v>
      </c>
    </row>
    <row r="34" spans="1:78" x14ac:dyDescent="0.2">
      <c r="A34" s="452"/>
      <c r="B34" s="453" t="str">
        <f t="shared" si="39"/>
        <v>e-Diesel (PS) - Middle East - Fuel cost - USD/GJ</v>
      </c>
      <c r="C34" s="453" t="str">
        <f t="shared" si="40"/>
        <v>e-Diesel (PS) - Middle East</v>
      </c>
      <c r="D34" s="74">
        <f t="shared" si="41"/>
        <v>42.7</v>
      </c>
      <c r="E34" t="s">
        <v>197</v>
      </c>
      <c r="F34" t="str">
        <f t="shared" si="42"/>
        <v>e-Diesel (PS)</v>
      </c>
      <c r="G34" t="s">
        <v>828</v>
      </c>
      <c r="H34" s="74">
        <f t="shared" si="43"/>
        <v>88.925777511804895</v>
      </c>
      <c r="I34" s="74">
        <f t="shared" si="43"/>
        <v>71.753853088230841</v>
      </c>
      <c r="J34" s="74">
        <f t="shared" si="43"/>
        <v>57.706641157053838</v>
      </c>
      <c r="K34" s="74">
        <f t="shared" si="43"/>
        <v>52.479343110388122</v>
      </c>
      <c r="L34" s="74">
        <f t="shared" si="43"/>
        <v>46.686263802240852</v>
      </c>
      <c r="M34" s="74">
        <f t="shared" si="43"/>
        <v>37.475167627340198</v>
      </c>
      <c r="N34" s="74">
        <f t="shared" si="43"/>
        <v>29.293815724219137</v>
      </c>
      <c r="O34" s="454"/>
      <c r="P34" s="74">
        <f t="shared" si="44"/>
        <v>25.462833953900368</v>
      </c>
      <c r="Q34" s="74">
        <f t="shared" si="44"/>
        <v>20.378328752042414</v>
      </c>
      <c r="R34" s="74">
        <f t="shared" si="44"/>
        <v>16.867671801323414</v>
      </c>
      <c r="S34" s="74">
        <f t="shared" si="44"/>
        <v>14.066906275919752</v>
      </c>
      <c r="T34" s="74">
        <f t="shared" si="44"/>
        <v>12.386529302784998</v>
      </c>
      <c r="U34" s="74">
        <f t="shared" si="44"/>
        <v>10.327596398340068</v>
      </c>
      <c r="V34" s="74">
        <f t="shared" si="44"/>
        <v>9.2147258581923754</v>
      </c>
      <c r="W34"/>
      <c r="X34" s="2">
        <f t="shared" si="45"/>
        <v>-71.898371469010129</v>
      </c>
      <c r="Y34" s="2">
        <f t="shared" si="45"/>
        <v>-71.917977773108731</v>
      </c>
      <c r="Z34" s="2">
        <f t="shared" si="45"/>
        <v>-71.964504396106349</v>
      </c>
      <c r="AA34" s="2">
        <f t="shared" si="45"/>
        <v>-72.08086120236382</v>
      </c>
      <c r="AB34" s="2">
        <f t="shared" si="45"/>
        <v>-72.219514710595647</v>
      </c>
      <c r="AC34" s="2">
        <f t="shared" si="45"/>
        <v>-72.40266058951876</v>
      </c>
      <c r="AD34" s="2">
        <f t="shared" si="45"/>
        <v>-72.547349318776185</v>
      </c>
      <c r="AE34"/>
      <c r="AF34" s="2">
        <f t="shared" si="46"/>
        <v>76.237236533957855</v>
      </c>
      <c r="AG34" s="2">
        <f t="shared" si="46"/>
        <v>76.237236533957855</v>
      </c>
      <c r="AH34" s="2">
        <f t="shared" si="46"/>
        <v>76.237236533957855</v>
      </c>
      <c r="AI34" s="2">
        <f t="shared" si="46"/>
        <v>76.237236533957855</v>
      </c>
      <c r="AJ34" s="2">
        <f t="shared" si="46"/>
        <v>76.237236533957855</v>
      </c>
      <c r="AK34" s="2">
        <f t="shared" si="46"/>
        <v>76.237236533957855</v>
      </c>
      <c r="AL34" s="2">
        <f t="shared" si="46"/>
        <v>76.237236533957855</v>
      </c>
      <c r="AM34"/>
      <c r="AN34" s="24">
        <f t="shared" si="47"/>
        <v>4.3388650649477256</v>
      </c>
      <c r="AO34" s="24">
        <f t="shared" si="48"/>
        <v>4.3192587608491237</v>
      </c>
      <c r="AP34" s="24">
        <f t="shared" si="49"/>
        <v>4.2727321378515057</v>
      </c>
      <c r="AQ34" s="24">
        <f t="shared" si="50"/>
        <v>4.1563753315940346</v>
      </c>
      <c r="AR34" s="24">
        <f t="shared" si="51"/>
        <v>4.0177218233622085</v>
      </c>
      <c r="AS34" s="24">
        <f t="shared" si="52"/>
        <v>3.834575944439095</v>
      </c>
      <c r="AT34" s="24">
        <f t="shared" si="53"/>
        <v>3.6898872151816704</v>
      </c>
      <c r="AU34"/>
      <c r="AV34" s="74">
        <f t="shared" si="54"/>
        <v>22.839460865640302</v>
      </c>
      <c r="AW34" s="74">
        <f t="shared" si="54"/>
        <v>19.69694622573768</v>
      </c>
      <c r="AX34" s="74">
        <f t="shared" si="54"/>
        <v>17.080594527339468</v>
      </c>
      <c r="AY34" s="74">
        <f t="shared" si="54"/>
        <v>16.76638962939645</v>
      </c>
      <c r="AZ34" s="74">
        <f t="shared" si="54"/>
        <v>15.527571989463205</v>
      </c>
      <c r="BA34" s="74">
        <f t="shared" si="54"/>
        <v>12.817065326461268</v>
      </c>
      <c r="BB34" s="74">
        <f t="shared" si="54"/>
        <v>9.6221668130119369</v>
      </c>
      <c r="BC34" s="454"/>
      <c r="BD34" s="74">
        <f t="shared" si="55"/>
        <v>26.120940926117594</v>
      </c>
      <c r="BE34" s="74">
        <f t="shared" si="55"/>
        <v>19.730396902629103</v>
      </c>
      <c r="BF34" s="74">
        <f t="shared" si="55"/>
        <v>14.263330474528161</v>
      </c>
      <c r="BG34" s="74">
        <f t="shared" si="55"/>
        <v>13.164587891246834</v>
      </c>
      <c r="BH34" s="74">
        <f t="shared" si="55"/>
        <v>11.234557716710251</v>
      </c>
      <c r="BI34" s="74">
        <f t="shared" si="55"/>
        <v>7.7585904589945089</v>
      </c>
      <c r="BJ34" s="74">
        <f t="shared" si="55"/>
        <v>4.8017803228784617</v>
      </c>
      <c r="BK34" s="455"/>
      <c r="BL34" s="74">
        <f t="shared" si="56"/>
        <v>14.502541766146626</v>
      </c>
      <c r="BM34" s="74">
        <f t="shared" si="56"/>
        <v>11.948181207821655</v>
      </c>
      <c r="BN34" s="74">
        <f t="shared" si="56"/>
        <v>9.4950443538627933</v>
      </c>
      <c r="BO34" s="74">
        <f t="shared" si="56"/>
        <v>8.4814593138250789</v>
      </c>
      <c r="BP34" s="74">
        <f t="shared" si="56"/>
        <v>7.5376047932823944</v>
      </c>
      <c r="BQ34" s="74">
        <f t="shared" si="56"/>
        <v>6.5719154435443565</v>
      </c>
      <c r="BR34" s="74">
        <f t="shared" si="56"/>
        <v>5.6551427301363626</v>
      </c>
      <c r="BS34" s="454"/>
      <c r="BT34" s="74">
        <f t="shared" si="57"/>
        <v>0</v>
      </c>
      <c r="BU34" s="74">
        <f t="shared" si="57"/>
        <v>0</v>
      </c>
      <c r="BV34" s="74">
        <f t="shared" si="57"/>
        <v>0</v>
      </c>
      <c r="BW34" s="74">
        <f t="shared" si="57"/>
        <v>0</v>
      </c>
      <c r="BX34" s="74">
        <f t="shared" si="57"/>
        <v>0</v>
      </c>
      <c r="BY34" s="74">
        <f t="shared" si="57"/>
        <v>0</v>
      </c>
      <c r="BZ34" s="74">
        <f t="shared" si="57"/>
        <v>0</v>
      </c>
    </row>
    <row r="35" spans="1:78" x14ac:dyDescent="0.2">
      <c r="A35" s="452"/>
      <c r="B35" s="453" t="str">
        <f t="shared" si="39"/>
        <v>e-Methane (DAC) - Middle East - Fuel cost - USD/GJ</v>
      </c>
      <c r="C35" s="453" t="str">
        <f t="shared" si="40"/>
        <v>e-Methane (DAC) - Middle East</v>
      </c>
      <c r="D35" s="74">
        <f t="shared" si="41"/>
        <v>50</v>
      </c>
      <c r="E35" t="s">
        <v>197</v>
      </c>
      <c r="F35" t="str">
        <f t="shared" si="42"/>
        <v>e-Methane (DAC)</v>
      </c>
      <c r="G35" t="s">
        <v>828</v>
      </c>
      <c r="H35" s="74">
        <f t="shared" si="43"/>
        <v>66.52076566233832</v>
      </c>
      <c r="I35" s="74">
        <f t="shared" si="43"/>
        <v>54.239629391947346</v>
      </c>
      <c r="J35" s="74">
        <f t="shared" si="43"/>
        <v>45.42394789445035</v>
      </c>
      <c r="K35" s="74">
        <f t="shared" si="43"/>
        <v>40.471423198926963</v>
      </c>
      <c r="L35" s="74">
        <f t="shared" si="43"/>
        <v>35.449267934683718</v>
      </c>
      <c r="M35" s="74">
        <f t="shared" si="43"/>
        <v>29.091015115236747</v>
      </c>
      <c r="N35" s="74">
        <f t="shared" si="43"/>
        <v>23.652599331827609</v>
      </c>
      <c r="O35" s="454"/>
      <c r="P35" s="74">
        <f t="shared" si="44"/>
        <v>23.079747366891439</v>
      </c>
      <c r="Q35" s="74">
        <f t="shared" si="44"/>
        <v>18.496692841981833</v>
      </c>
      <c r="R35" s="74">
        <f t="shared" si="44"/>
        <v>15.329898981943039</v>
      </c>
      <c r="S35" s="74">
        <f t="shared" si="44"/>
        <v>12.800453963143745</v>
      </c>
      <c r="T35" s="74">
        <f t="shared" si="44"/>
        <v>11.285590514574025</v>
      </c>
      <c r="U35" s="74">
        <f t="shared" si="44"/>
        <v>9.422359804617253</v>
      </c>
      <c r="V35" s="74">
        <f t="shared" si="44"/>
        <v>8.4184197250304482</v>
      </c>
      <c r="W35"/>
      <c r="X35" s="2">
        <f t="shared" si="45"/>
        <v>-51.979099603897218</v>
      </c>
      <c r="Y35" s="2">
        <f t="shared" si="45"/>
        <v>-51.992799999999995</v>
      </c>
      <c r="Z35" s="2">
        <f t="shared" si="45"/>
        <v>-52.031297247031617</v>
      </c>
      <c r="AA35" s="2">
        <f t="shared" si="45"/>
        <v>-52.133547391447145</v>
      </c>
      <c r="AB35" s="2">
        <f t="shared" si="45"/>
        <v>-52.256340051203011</v>
      </c>
      <c r="AC35" s="2">
        <f t="shared" si="45"/>
        <v>-52.419816641064365</v>
      </c>
      <c r="AD35" s="2">
        <f t="shared" si="45"/>
        <v>-52.548595000000006</v>
      </c>
      <c r="AE35"/>
      <c r="AF35" s="2">
        <f t="shared" si="46"/>
        <v>72.985200000000006</v>
      </c>
      <c r="AG35" s="2">
        <f t="shared" si="46"/>
        <v>72.985200000000006</v>
      </c>
      <c r="AH35" s="2">
        <f t="shared" si="46"/>
        <v>72.985200000000006</v>
      </c>
      <c r="AI35" s="2">
        <f t="shared" si="46"/>
        <v>72.985200000000006</v>
      </c>
      <c r="AJ35" s="2">
        <f t="shared" si="46"/>
        <v>72.985200000000006</v>
      </c>
      <c r="AK35" s="2">
        <f t="shared" si="46"/>
        <v>72.985200000000006</v>
      </c>
      <c r="AL35" s="2">
        <f t="shared" si="46"/>
        <v>72.985200000000006</v>
      </c>
      <c r="AM35"/>
      <c r="AN35" s="24">
        <f t="shared" si="47"/>
        <v>21.006100396102788</v>
      </c>
      <c r="AO35" s="24">
        <f t="shared" si="48"/>
        <v>20.992400000000011</v>
      </c>
      <c r="AP35" s="24">
        <f t="shared" si="49"/>
        <v>20.953902752968389</v>
      </c>
      <c r="AQ35" s="24">
        <f t="shared" si="50"/>
        <v>20.851652608552861</v>
      </c>
      <c r="AR35" s="24">
        <f t="shared" si="51"/>
        <v>20.728859948796995</v>
      </c>
      <c r="AS35" s="24">
        <f t="shared" si="52"/>
        <v>20.565383358935641</v>
      </c>
      <c r="AT35" s="24">
        <f t="shared" si="53"/>
        <v>20.436605</v>
      </c>
      <c r="AU35"/>
      <c r="AV35" s="74">
        <f t="shared" si="54"/>
        <v>15.595386966043161</v>
      </c>
      <c r="AW35" s="74">
        <f t="shared" si="54"/>
        <v>13.389509301538986</v>
      </c>
      <c r="AX35" s="74">
        <f t="shared" si="54"/>
        <v>11.94652881765445</v>
      </c>
      <c r="AY35" s="74">
        <f t="shared" si="54"/>
        <v>12.004830558018893</v>
      </c>
      <c r="AZ35" s="74">
        <f t="shared" si="54"/>
        <v>11.225216153959133</v>
      </c>
      <c r="BA35" s="74">
        <f t="shared" si="54"/>
        <v>9.6447467434717868</v>
      </c>
      <c r="BB35" s="74">
        <f t="shared" si="54"/>
        <v>7.6262097074243202</v>
      </c>
      <c r="BC35" s="454"/>
      <c r="BD35" s="74">
        <f t="shared" si="55"/>
        <v>13.071653418135002</v>
      </c>
      <c r="BE35" s="74">
        <f t="shared" si="55"/>
        <v>10.649972127878469</v>
      </c>
      <c r="BF35" s="74">
        <f t="shared" si="55"/>
        <v>8.6755496997642823</v>
      </c>
      <c r="BG35" s="74">
        <f t="shared" si="55"/>
        <v>7.8864647481380699</v>
      </c>
      <c r="BH35" s="74">
        <f t="shared" si="55"/>
        <v>6.3649622160836064</v>
      </c>
      <c r="BI35" s="74">
        <f t="shared" si="55"/>
        <v>4.548538379037617</v>
      </c>
      <c r="BJ35" s="74">
        <f t="shared" si="55"/>
        <v>2.9325459407030996</v>
      </c>
      <c r="BK35" s="455"/>
      <c r="BL35" s="74">
        <f t="shared" si="56"/>
        <v>14.773977911268714</v>
      </c>
      <c r="BM35" s="74">
        <f t="shared" si="56"/>
        <v>11.703455120548064</v>
      </c>
      <c r="BN35" s="74">
        <f t="shared" si="56"/>
        <v>9.4719703950885776</v>
      </c>
      <c r="BO35" s="74">
        <f t="shared" si="56"/>
        <v>7.7796739296262558</v>
      </c>
      <c r="BP35" s="74">
        <f t="shared" si="56"/>
        <v>6.5734990500669594</v>
      </c>
      <c r="BQ35" s="74">
        <f t="shared" si="56"/>
        <v>5.4753701881100856</v>
      </c>
      <c r="BR35" s="74">
        <f t="shared" si="56"/>
        <v>4.6754239586697404</v>
      </c>
      <c r="BS35" s="454"/>
      <c r="BT35" s="74">
        <f t="shared" si="57"/>
        <v>0</v>
      </c>
      <c r="BU35" s="74">
        <f t="shared" si="57"/>
        <v>0</v>
      </c>
      <c r="BV35" s="74">
        <f t="shared" si="57"/>
        <v>0</v>
      </c>
      <c r="BW35" s="74">
        <f t="shared" si="57"/>
        <v>0</v>
      </c>
      <c r="BX35" s="74">
        <f t="shared" si="57"/>
        <v>0</v>
      </c>
      <c r="BY35" s="74">
        <f t="shared" si="57"/>
        <v>0</v>
      </c>
      <c r="BZ35" s="74">
        <f t="shared" si="57"/>
        <v>0</v>
      </c>
    </row>
    <row r="36" spans="1:78" x14ac:dyDescent="0.2">
      <c r="A36" s="452"/>
      <c r="B36" s="453" t="str">
        <f t="shared" si="39"/>
        <v>e-Methane (PS) - Middle East - Fuel cost - USD/GJ</v>
      </c>
      <c r="C36" s="453" t="str">
        <f t="shared" si="40"/>
        <v>e-Methane (PS) - Middle East</v>
      </c>
      <c r="D36" s="74">
        <f t="shared" si="41"/>
        <v>50</v>
      </c>
      <c r="E36" t="s">
        <v>197</v>
      </c>
      <c r="F36" t="str">
        <f t="shared" si="42"/>
        <v>e-Methane (PS)</v>
      </c>
      <c r="G36" t="s">
        <v>828</v>
      </c>
      <c r="H36" s="74">
        <f t="shared" si="43"/>
        <v>61.510514310650422</v>
      </c>
      <c r="I36" s="74">
        <f t="shared" si="43"/>
        <v>50.580196904025662</v>
      </c>
      <c r="J36" s="74">
        <f t="shared" si="43"/>
        <v>42.344444298431064</v>
      </c>
      <c r="K36" s="74">
        <f t="shared" si="43"/>
        <v>38.401827606030857</v>
      </c>
      <c r="L36" s="74">
        <f t="shared" si="43"/>
        <v>33.950404303877441</v>
      </c>
      <c r="M36" s="74">
        <f t="shared" si="43"/>
        <v>28.040137295301555</v>
      </c>
      <c r="N36" s="74">
        <f t="shared" si="43"/>
        <v>22.784457445693743</v>
      </c>
      <c r="O36" s="454"/>
      <c r="P36" s="74">
        <f t="shared" si="44"/>
        <v>23.079747366891439</v>
      </c>
      <c r="Q36" s="74">
        <f t="shared" si="44"/>
        <v>18.496692841981833</v>
      </c>
      <c r="R36" s="74">
        <f t="shared" si="44"/>
        <v>15.329898981943039</v>
      </c>
      <c r="S36" s="74">
        <f t="shared" si="44"/>
        <v>12.800453963143745</v>
      </c>
      <c r="T36" s="74">
        <f t="shared" si="44"/>
        <v>11.285590514574025</v>
      </c>
      <c r="U36" s="74">
        <f t="shared" si="44"/>
        <v>9.422359804617253</v>
      </c>
      <c r="V36" s="74">
        <f t="shared" si="44"/>
        <v>8.4184197250304482</v>
      </c>
      <c r="W36"/>
      <c r="X36" s="2">
        <f t="shared" si="45"/>
        <v>-51.979099603897218</v>
      </c>
      <c r="Y36" s="2">
        <f t="shared" si="45"/>
        <v>-51.992799999999995</v>
      </c>
      <c r="Z36" s="2">
        <f t="shared" si="45"/>
        <v>-52.031297247031617</v>
      </c>
      <c r="AA36" s="2">
        <f t="shared" si="45"/>
        <v>-52.133547391447145</v>
      </c>
      <c r="AB36" s="2">
        <f t="shared" si="45"/>
        <v>-52.256340051203011</v>
      </c>
      <c r="AC36" s="2">
        <f t="shared" si="45"/>
        <v>-52.419816641064365</v>
      </c>
      <c r="AD36" s="2">
        <f t="shared" si="45"/>
        <v>-52.548595000000006</v>
      </c>
      <c r="AE36"/>
      <c r="AF36" s="2">
        <f t="shared" si="46"/>
        <v>72.985200000000006</v>
      </c>
      <c r="AG36" s="2">
        <f t="shared" si="46"/>
        <v>72.985200000000006</v>
      </c>
      <c r="AH36" s="2">
        <f t="shared" si="46"/>
        <v>72.985200000000006</v>
      </c>
      <c r="AI36" s="2">
        <f t="shared" si="46"/>
        <v>72.985200000000006</v>
      </c>
      <c r="AJ36" s="2">
        <f t="shared" si="46"/>
        <v>72.985200000000006</v>
      </c>
      <c r="AK36" s="2">
        <f t="shared" si="46"/>
        <v>72.985200000000006</v>
      </c>
      <c r="AL36" s="2">
        <f t="shared" si="46"/>
        <v>72.985200000000006</v>
      </c>
      <c r="AM36"/>
      <c r="AN36" s="24">
        <f t="shared" si="47"/>
        <v>21.006100396102788</v>
      </c>
      <c r="AO36" s="24">
        <f t="shared" si="48"/>
        <v>20.992400000000011</v>
      </c>
      <c r="AP36" s="24">
        <f t="shared" si="49"/>
        <v>20.953902752968389</v>
      </c>
      <c r="AQ36" s="24">
        <f t="shared" si="50"/>
        <v>20.851652608552861</v>
      </c>
      <c r="AR36" s="24">
        <f t="shared" si="51"/>
        <v>20.728859948796995</v>
      </c>
      <c r="AS36" s="24">
        <f t="shared" si="52"/>
        <v>20.565383358935641</v>
      </c>
      <c r="AT36" s="24">
        <f t="shared" si="53"/>
        <v>20.436605</v>
      </c>
      <c r="AU36"/>
      <c r="AV36" s="74">
        <f t="shared" si="54"/>
        <v>15.595386966043161</v>
      </c>
      <c r="AW36" s="74">
        <f t="shared" si="54"/>
        <v>13.389509301538986</v>
      </c>
      <c r="AX36" s="74">
        <f t="shared" si="54"/>
        <v>11.94652881765445</v>
      </c>
      <c r="AY36" s="74">
        <f t="shared" si="54"/>
        <v>12.004830558018893</v>
      </c>
      <c r="AZ36" s="74">
        <f t="shared" si="54"/>
        <v>11.225216153959133</v>
      </c>
      <c r="BA36" s="74">
        <f t="shared" si="54"/>
        <v>9.6447467434717868</v>
      </c>
      <c r="BB36" s="74">
        <f t="shared" si="54"/>
        <v>7.6262097074243202</v>
      </c>
      <c r="BC36" s="454"/>
      <c r="BD36" s="74">
        <f t="shared" si="55"/>
        <v>13.071653418135002</v>
      </c>
      <c r="BE36" s="74">
        <f t="shared" si="55"/>
        <v>10.649972127878469</v>
      </c>
      <c r="BF36" s="74">
        <f t="shared" si="55"/>
        <v>8.6755496997642823</v>
      </c>
      <c r="BG36" s="74">
        <f t="shared" si="55"/>
        <v>7.8864647481380699</v>
      </c>
      <c r="BH36" s="74">
        <f t="shared" si="55"/>
        <v>6.3649622160836064</v>
      </c>
      <c r="BI36" s="74">
        <f t="shared" si="55"/>
        <v>4.548538379037617</v>
      </c>
      <c r="BJ36" s="74">
        <f t="shared" si="55"/>
        <v>2.9325459407030996</v>
      </c>
      <c r="BK36" s="455"/>
      <c r="BL36" s="74">
        <f t="shared" si="56"/>
        <v>9.7637265595808227</v>
      </c>
      <c r="BM36" s="74">
        <f t="shared" si="56"/>
        <v>8.0440226326263762</v>
      </c>
      <c r="BN36" s="74">
        <f t="shared" si="56"/>
        <v>6.3924667990692932</v>
      </c>
      <c r="BO36" s="74">
        <f t="shared" si="56"/>
        <v>5.7100783367301498</v>
      </c>
      <c r="BP36" s="74">
        <f t="shared" si="56"/>
        <v>5.0746354192606811</v>
      </c>
      <c r="BQ36" s="74">
        <f t="shared" si="56"/>
        <v>4.4244923681748949</v>
      </c>
      <c r="BR36" s="74">
        <f t="shared" si="56"/>
        <v>3.807282072535874</v>
      </c>
      <c r="BS36" s="454"/>
      <c r="BT36" s="74">
        <f t="shared" si="57"/>
        <v>0</v>
      </c>
      <c r="BU36" s="74">
        <f t="shared" si="57"/>
        <v>0</v>
      </c>
      <c r="BV36" s="74">
        <f t="shared" si="57"/>
        <v>0</v>
      </c>
      <c r="BW36" s="74">
        <f t="shared" si="57"/>
        <v>0</v>
      </c>
      <c r="BX36" s="74">
        <f t="shared" si="57"/>
        <v>0</v>
      </c>
      <c r="BY36" s="74">
        <f t="shared" si="57"/>
        <v>0</v>
      </c>
      <c r="BZ36" s="74">
        <f t="shared" si="57"/>
        <v>0</v>
      </c>
    </row>
    <row r="37" spans="1:78" x14ac:dyDescent="0.2">
      <c r="A37" s="452"/>
      <c r="B37" s="453" t="str">
        <f t="shared" si="39"/>
        <v>Blue ammonia - Middle East - Fuel cost - USD/GJ</v>
      </c>
      <c r="C37" s="453" t="str">
        <f t="shared" si="40"/>
        <v>Blue ammonia - Middle East</v>
      </c>
      <c r="D37" s="74">
        <f t="shared" si="41"/>
        <v>18.8</v>
      </c>
      <c r="E37" t="s">
        <v>197</v>
      </c>
      <c r="F37" t="str">
        <f t="shared" si="42"/>
        <v>Blue ammonia</v>
      </c>
      <c r="G37" t="s">
        <v>828</v>
      </c>
      <c r="H37" s="74">
        <f t="shared" si="43"/>
        <v>66.468496722009505</v>
      </c>
      <c r="I37" s="74">
        <f t="shared" si="43"/>
        <v>35.128239779393333</v>
      </c>
      <c r="J37" s="74">
        <f t="shared" si="43"/>
        <v>20.66318250043458</v>
      </c>
      <c r="K37" s="74">
        <f t="shared" si="43"/>
        <v>20.22839119038662</v>
      </c>
      <c r="L37" s="74">
        <f t="shared" si="43"/>
        <v>19.810226462469338</v>
      </c>
      <c r="M37" s="74">
        <f t="shared" si="43"/>
        <v>19.386855426273343</v>
      </c>
      <c r="N37" s="74">
        <f t="shared" si="43"/>
        <v>18.97514809884343</v>
      </c>
      <c r="O37" s="454"/>
      <c r="P37" s="74">
        <f t="shared" si="44"/>
        <v>0</v>
      </c>
      <c r="Q37" s="74">
        <f t="shared" si="44"/>
        <v>0</v>
      </c>
      <c r="R37" s="74">
        <f t="shared" si="44"/>
        <v>0</v>
      </c>
      <c r="S37" s="74">
        <f t="shared" si="44"/>
        <v>0</v>
      </c>
      <c r="T37" s="74">
        <f t="shared" si="44"/>
        <v>0</v>
      </c>
      <c r="U37" s="74">
        <f t="shared" si="44"/>
        <v>0</v>
      </c>
      <c r="V37" s="74">
        <f t="shared" si="44"/>
        <v>0</v>
      </c>
      <c r="W37"/>
      <c r="X37" s="2">
        <f t="shared" si="45"/>
        <v>22.083989361702127</v>
      </c>
      <c r="Y37" s="2">
        <f t="shared" si="45"/>
        <v>21.082590425531919</v>
      </c>
      <c r="Z37" s="2">
        <f t="shared" si="45"/>
        <v>20.081191489361693</v>
      </c>
      <c r="AA37" s="2">
        <f t="shared" si="45"/>
        <v>19.079792553191478</v>
      </c>
      <c r="AB37" s="2">
        <f t="shared" si="45"/>
        <v>18.078393617021277</v>
      </c>
      <c r="AC37" s="2">
        <f t="shared" si="45"/>
        <v>17.076994680851062</v>
      </c>
      <c r="AD37" s="2">
        <f t="shared" si="45"/>
        <v>16.075595744680854</v>
      </c>
      <c r="AE37"/>
      <c r="AF37" s="2">
        <f t="shared" si="46"/>
        <v>0</v>
      </c>
      <c r="AG37" s="2">
        <f t="shared" si="46"/>
        <v>0</v>
      </c>
      <c r="AH37" s="2">
        <f t="shared" si="46"/>
        <v>0</v>
      </c>
      <c r="AI37" s="2">
        <f t="shared" si="46"/>
        <v>0</v>
      </c>
      <c r="AJ37" s="2">
        <f t="shared" si="46"/>
        <v>0</v>
      </c>
      <c r="AK37" s="2">
        <f t="shared" si="46"/>
        <v>0</v>
      </c>
      <c r="AL37" s="2">
        <f t="shared" si="46"/>
        <v>0</v>
      </c>
      <c r="AM37"/>
      <c r="AN37" s="24">
        <f t="shared" si="47"/>
        <v>22.083989361702127</v>
      </c>
      <c r="AO37" s="24">
        <f t="shared" si="48"/>
        <v>21.082590425531919</v>
      </c>
      <c r="AP37" s="24">
        <f t="shared" si="49"/>
        <v>20.081191489361693</v>
      </c>
      <c r="AQ37" s="24">
        <f t="shared" si="50"/>
        <v>19.079792553191478</v>
      </c>
      <c r="AR37" s="24">
        <f t="shared" si="51"/>
        <v>18.078393617021277</v>
      </c>
      <c r="AS37" s="24">
        <f t="shared" si="52"/>
        <v>17.076994680851062</v>
      </c>
      <c r="AT37" s="24">
        <f t="shared" si="53"/>
        <v>16.075595744680854</v>
      </c>
      <c r="AU37"/>
      <c r="AV37" s="74">
        <f t="shared" si="54"/>
        <v>5.9202127659574479</v>
      </c>
      <c r="AW37" s="74">
        <f t="shared" si="54"/>
        <v>5.6382978723404271</v>
      </c>
      <c r="AX37" s="74">
        <f t="shared" si="54"/>
        <v>5.3563829787234045</v>
      </c>
      <c r="AY37" s="74">
        <f t="shared" si="54"/>
        <v>5.0744680851063837</v>
      </c>
      <c r="AZ37" s="74">
        <f t="shared" si="54"/>
        <v>4.7925531914893629</v>
      </c>
      <c r="BA37" s="74">
        <f t="shared" si="54"/>
        <v>4.5106382978723421</v>
      </c>
      <c r="BB37" s="74">
        <f t="shared" si="54"/>
        <v>4.2287234042553195</v>
      </c>
      <c r="BC37" s="454"/>
      <c r="BD37" s="74">
        <f t="shared" si="55"/>
        <v>2.6808510638297869</v>
      </c>
      <c r="BE37" s="74">
        <f t="shared" si="55"/>
        <v>2.5531914893617018</v>
      </c>
      <c r="BF37" s="74">
        <f t="shared" si="55"/>
        <v>2.4255319148936172</v>
      </c>
      <c r="BG37" s="74">
        <f t="shared" si="55"/>
        <v>2.2978723404255321</v>
      </c>
      <c r="BH37" s="74">
        <f t="shared" si="55"/>
        <v>2.1702127659574471</v>
      </c>
      <c r="BI37" s="74">
        <f t="shared" si="55"/>
        <v>2.0425531914893615</v>
      </c>
      <c r="BJ37" s="74">
        <f t="shared" si="55"/>
        <v>1.9148936170212765</v>
      </c>
      <c r="BK37" s="455"/>
      <c r="BL37" s="74">
        <f t="shared" si="56"/>
        <v>6.9795744680851062</v>
      </c>
      <c r="BM37" s="74">
        <f t="shared" si="56"/>
        <v>7.029787234042554</v>
      </c>
      <c r="BN37" s="74">
        <f t="shared" si="56"/>
        <v>7.08</v>
      </c>
      <c r="BO37" s="74">
        <f t="shared" si="56"/>
        <v>7.130212765957447</v>
      </c>
      <c r="BP37" s="74">
        <f t="shared" si="56"/>
        <v>7.180425531914894</v>
      </c>
      <c r="BQ37" s="74">
        <f t="shared" si="56"/>
        <v>7.2306382978723409</v>
      </c>
      <c r="BR37" s="74">
        <f t="shared" si="56"/>
        <v>7.280851063829787</v>
      </c>
      <c r="BS37" s="454"/>
      <c r="BT37" s="74">
        <f t="shared" si="57"/>
        <v>50.887858424137164</v>
      </c>
      <c r="BU37" s="74">
        <f t="shared" si="57"/>
        <v>19.906963183648646</v>
      </c>
      <c r="BV37" s="74">
        <f t="shared" si="57"/>
        <v>5.8012676068175564</v>
      </c>
      <c r="BW37" s="74">
        <f t="shared" si="57"/>
        <v>5.7258379988972568</v>
      </c>
      <c r="BX37" s="74">
        <f t="shared" si="57"/>
        <v>5.6670349731076337</v>
      </c>
      <c r="BY37" s="74">
        <f t="shared" si="57"/>
        <v>5.6030256390392967</v>
      </c>
      <c r="BZ37" s="74">
        <f t="shared" si="57"/>
        <v>5.5506800137370469</v>
      </c>
    </row>
    <row r="38" spans="1:78" x14ac:dyDescent="0.2">
      <c r="A38" s="452"/>
      <c r="B38" s="453" t="str">
        <f t="shared" si="39"/>
        <v>LSFO - Middle East - Fuel cost - USD/GJ</v>
      </c>
      <c r="C38" s="453" t="str">
        <f t="shared" si="40"/>
        <v>LSFO - Middle East</v>
      </c>
      <c r="D38" s="74">
        <f t="shared" si="41"/>
        <v>41.2</v>
      </c>
      <c r="E38" t="s">
        <v>197</v>
      </c>
      <c r="F38" t="str">
        <f t="shared" si="42"/>
        <v>LSFO</v>
      </c>
      <c r="G38" t="s">
        <v>828</v>
      </c>
      <c r="H38" s="74">
        <f t="shared" ref="H38:N48" si="58">INDEX(H$142:H$292,MATCH($E38&amp;$F38,$D$142:$D$292,0))/$D38</f>
        <v>21.473621920116738</v>
      </c>
      <c r="I38" s="74">
        <f t="shared" si="58"/>
        <v>15.404989638344617</v>
      </c>
      <c r="J38" s="74">
        <f t="shared" si="58"/>
        <v>13.444354593464393</v>
      </c>
      <c r="K38" s="74">
        <f t="shared" si="58"/>
        <v>13.444354593464393</v>
      </c>
      <c r="L38" s="74">
        <f t="shared" si="58"/>
        <v>13.444354593464393</v>
      </c>
      <c r="M38" s="74">
        <f t="shared" si="58"/>
        <v>13.444354593464393</v>
      </c>
      <c r="N38" s="74">
        <f t="shared" si="58"/>
        <v>13.444354593464393</v>
      </c>
      <c r="O38" s="454"/>
      <c r="P38" s="74">
        <f t="shared" ref="P38:V48" si="59">IFERROR(INDEX(P$142:P$292,MATCH($E38&amp;$F38,$D$142:$D$292,0))/$D38,"--")</f>
        <v>0</v>
      </c>
      <c r="Q38" s="74">
        <f t="shared" si="59"/>
        <v>0</v>
      </c>
      <c r="R38" s="74">
        <f t="shared" si="59"/>
        <v>0</v>
      </c>
      <c r="S38" s="74">
        <f t="shared" si="59"/>
        <v>0</v>
      </c>
      <c r="T38" s="74">
        <f t="shared" si="59"/>
        <v>0</v>
      </c>
      <c r="U38" s="74">
        <f t="shared" si="59"/>
        <v>0</v>
      </c>
      <c r="V38" s="74">
        <f t="shared" si="59"/>
        <v>0</v>
      </c>
      <c r="W38"/>
      <c r="X38" s="2">
        <f t="shared" ref="X38:AD48" si="60">INDEX(X$142:X$292,MATCH($E38&amp;$F38,$D$142:$D$292,0))/$D38*1000</f>
        <v>15.899999999999997</v>
      </c>
      <c r="Y38" s="2">
        <f t="shared" si="60"/>
        <v>15.899999999999997</v>
      </c>
      <c r="Z38" s="2">
        <f t="shared" si="60"/>
        <v>15.899999999999997</v>
      </c>
      <c r="AA38" s="2">
        <f t="shared" si="60"/>
        <v>15.899999999999997</v>
      </c>
      <c r="AB38" s="2">
        <f t="shared" si="60"/>
        <v>15.899999999999997</v>
      </c>
      <c r="AC38" s="2">
        <f t="shared" si="60"/>
        <v>15.899999999999997</v>
      </c>
      <c r="AD38" s="2">
        <f t="shared" si="60"/>
        <v>15.899999999999997</v>
      </c>
      <c r="AE38"/>
      <c r="AF38" s="2">
        <f t="shared" ref="AF38:AL48" si="61">INDEX(AF$142:AF$292,MATCH($E38&amp;$F38,$D$142:$D$292,0))/$D38*1000</f>
        <v>76.779854368932035</v>
      </c>
      <c r="AG38" s="2">
        <f t="shared" si="61"/>
        <v>76.779854368932035</v>
      </c>
      <c r="AH38" s="2">
        <f t="shared" si="61"/>
        <v>76.779854368932035</v>
      </c>
      <c r="AI38" s="2">
        <f t="shared" si="61"/>
        <v>76.779854368932035</v>
      </c>
      <c r="AJ38" s="2">
        <f t="shared" si="61"/>
        <v>76.779854368932035</v>
      </c>
      <c r="AK38" s="2">
        <f t="shared" si="61"/>
        <v>76.779854368932035</v>
      </c>
      <c r="AL38" s="2">
        <f t="shared" si="61"/>
        <v>76.779854368932035</v>
      </c>
      <c r="AM38"/>
      <c r="AN38" s="24">
        <f t="shared" si="47"/>
        <v>92.679854368932027</v>
      </c>
      <c r="AO38" s="24">
        <f t="shared" si="48"/>
        <v>92.679854368932027</v>
      </c>
      <c r="AP38" s="24">
        <f t="shared" si="49"/>
        <v>92.679854368932027</v>
      </c>
      <c r="AQ38" s="24">
        <f t="shared" si="50"/>
        <v>92.679854368932027</v>
      </c>
      <c r="AR38" s="24">
        <f t="shared" si="51"/>
        <v>92.679854368932027</v>
      </c>
      <c r="AS38" s="24">
        <f t="shared" si="52"/>
        <v>92.679854368932027</v>
      </c>
      <c r="AT38" s="24">
        <f t="shared" si="53"/>
        <v>92.679854368932027</v>
      </c>
      <c r="AU38"/>
      <c r="AV38" s="74">
        <f t="shared" ref="AV38:BB48" si="62">IFERROR(INDEX(AV$142:AV$266,MATCH($E38&amp;$F38,$D$142:$D$266,0))/$D38,"NA")</f>
        <v>0</v>
      </c>
      <c r="AW38" s="74">
        <f t="shared" si="62"/>
        <v>0</v>
      </c>
      <c r="AX38" s="74">
        <f t="shared" si="62"/>
        <v>0</v>
      </c>
      <c r="AY38" s="74">
        <f t="shared" si="62"/>
        <v>0</v>
      </c>
      <c r="AZ38" s="74">
        <f t="shared" si="62"/>
        <v>0</v>
      </c>
      <c r="BA38" s="74">
        <f t="shared" si="62"/>
        <v>0</v>
      </c>
      <c r="BB38" s="74">
        <f t="shared" si="62"/>
        <v>0</v>
      </c>
      <c r="BC38" s="454"/>
      <c r="BD38" s="74">
        <f t="shared" ref="BD38:BJ48" si="63">IFERROR(INDEX(BD$142:BD$266,MATCH($E38&amp;$F38,$D$142:$D$266,0))/$D38,"NA")</f>
        <v>0</v>
      </c>
      <c r="BE38" s="74">
        <f t="shared" si="63"/>
        <v>0</v>
      </c>
      <c r="BF38" s="74">
        <f t="shared" si="63"/>
        <v>0</v>
      </c>
      <c r="BG38" s="74">
        <f t="shared" si="63"/>
        <v>0</v>
      </c>
      <c r="BH38" s="74">
        <f t="shared" si="63"/>
        <v>0</v>
      </c>
      <c r="BI38" s="74">
        <f t="shared" si="63"/>
        <v>0</v>
      </c>
      <c r="BJ38" s="74">
        <f t="shared" si="63"/>
        <v>0</v>
      </c>
      <c r="BK38" s="455"/>
      <c r="BL38" s="74">
        <f t="shared" ref="BL38:BR48" si="64">IFERROR(INDEX(BL$142:BL$266,MATCH($E38&amp;$F38,$D$142:$D$266,0))/$D38,"NA")</f>
        <v>0</v>
      </c>
      <c r="BM38" s="74">
        <f t="shared" si="64"/>
        <v>0</v>
      </c>
      <c r="BN38" s="74">
        <f t="shared" si="64"/>
        <v>0</v>
      </c>
      <c r="BO38" s="74">
        <f t="shared" si="64"/>
        <v>0</v>
      </c>
      <c r="BP38" s="74">
        <f t="shared" si="64"/>
        <v>0</v>
      </c>
      <c r="BQ38" s="74">
        <f t="shared" si="64"/>
        <v>0</v>
      </c>
      <c r="BR38" s="74">
        <f t="shared" si="64"/>
        <v>0</v>
      </c>
      <c r="BS38" s="454"/>
      <c r="BT38" s="74">
        <f t="shared" ref="BT38:BZ48" si="65">IFERROR(INDEX(BT$142:BT$266,MATCH($E38&amp;$F38,$D$142:$D$266,0))/$D38,"NA")</f>
        <v>0</v>
      </c>
      <c r="BU38" s="74">
        <f t="shared" si="65"/>
        <v>0</v>
      </c>
      <c r="BV38" s="74">
        <f t="shared" si="65"/>
        <v>0</v>
      </c>
      <c r="BW38" s="74">
        <f t="shared" si="65"/>
        <v>0</v>
      </c>
      <c r="BX38" s="74">
        <f t="shared" si="65"/>
        <v>0</v>
      </c>
      <c r="BY38" s="74">
        <f t="shared" si="65"/>
        <v>0</v>
      </c>
      <c r="BZ38" s="74">
        <f t="shared" si="65"/>
        <v>0</v>
      </c>
    </row>
    <row r="39" spans="1:78" x14ac:dyDescent="0.2">
      <c r="A39" s="452"/>
      <c r="B39" s="453" t="str">
        <f t="shared" si="39"/>
        <v>LNG - Middle East - Fuel cost - USD/GJ</v>
      </c>
      <c r="C39" s="453" t="str">
        <f t="shared" si="40"/>
        <v>LNG - Middle East</v>
      </c>
      <c r="D39" s="74">
        <f t="shared" si="41"/>
        <v>48</v>
      </c>
      <c r="E39" t="s">
        <v>197</v>
      </c>
      <c r="F39" t="str">
        <f t="shared" si="42"/>
        <v>LNG</v>
      </c>
      <c r="G39" t="s">
        <v>828</v>
      </c>
      <c r="H39" s="74">
        <f t="shared" si="58"/>
        <v>33.930003137152291</v>
      </c>
      <c r="I39" s="74">
        <f t="shared" si="58"/>
        <v>15.500038614096303</v>
      </c>
      <c r="J39" s="74">
        <f t="shared" si="58"/>
        <v>7.4193726227600338</v>
      </c>
      <c r="K39" s="74">
        <f t="shared" si="58"/>
        <v>7.2775518452550756</v>
      </c>
      <c r="L39" s="74">
        <f t="shared" si="58"/>
        <v>7.161689825762461</v>
      </c>
      <c r="M39" s="74">
        <f t="shared" si="58"/>
        <v>7.0405267151074247</v>
      </c>
      <c r="N39" s="74">
        <f t="shared" si="58"/>
        <v>6.9381273513475641</v>
      </c>
      <c r="O39" s="454"/>
      <c r="P39" s="74">
        <f t="shared" si="59"/>
        <v>0</v>
      </c>
      <c r="Q39" s="74">
        <f t="shared" si="59"/>
        <v>0</v>
      </c>
      <c r="R39" s="74">
        <f t="shared" si="59"/>
        <v>0</v>
      </c>
      <c r="S39" s="74">
        <f t="shared" si="59"/>
        <v>0</v>
      </c>
      <c r="T39" s="74">
        <f t="shared" si="59"/>
        <v>0</v>
      </c>
      <c r="U39" s="74">
        <f t="shared" si="59"/>
        <v>0</v>
      </c>
      <c r="V39" s="74">
        <f t="shared" si="59"/>
        <v>0</v>
      </c>
      <c r="W39"/>
      <c r="X39" s="2">
        <f t="shared" si="60"/>
        <v>17.600000000000001</v>
      </c>
      <c r="Y39" s="2">
        <f t="shared" si="60"/>
        <v>17.600000000000001</v>
      </c>
      <c r="Z39" s="2">
        <f t="shared" si="60"/>
        <v>17.600000000000001</v>
      </c>
      <c r="AA39" s="2">
        <f t="shared" si="60"/>
        <v>17.600000000000001</v>
      </c>
      <c r="AB39" s="2">
        <f t="shared" si="60"/>
        <v>17.600000000000001</v>
      </c>
      <c r="AC39" s="2">
        <f t="shared" si="60"/>
        <v>17.600000000000001</v>
      </c>
      <c r="AD39" s="2">
        <f t="shared" si="60"/>
        <v>17.600000000000001</v>
      </c>
      <c r="AE39"/>
      <c r="AF39" s="2">
        <f t="shared" si="61"/>
        <v>76.026250000000005</v>
      </c>
      <c r="AG39" s="2">
        <f t="shared" si="61"/>
        <v>76.026250000000005</v>
      </c>
      <c r="AH39" s="2">
        <f t="shared" si="61"/>
        <v>76.026250000000005</v>
      </c>
      <c r="AI39" s="2">
        <f t="shared" si="61"/>
        <v>76.026250000000005</v>
      </c>
      <c r="AJ39" s="2">
        <f t="shared" si="61"/>
        <v>76.026250000000005</v>
      </c>
      <c r="AK39" s="2">
        <f t="shared" si="61"/>
        <v>76.026250000000005</v>
      </c>
      <c r="AL39" s="2">
        <f t="shared" si="61"/>
        <v>76.026250000000005</v>
      </c>
      <c r="AM39"/>
      <c r="AN39" s="24">
        <f t="shared" si="47"/>
        <v>93.626249999999999</v>
      </c>
      <c r="AO39" s="24">
        <f t="shared" si="48"/>
        <v>93.626249999999999</v>
      </c>
      <c r="AP39" s="24">
        <f t="shared" si="49"/>
        <v>93.626249999999999</v>
      </c>
      <c r="AQ39" s="24">
        <f t="shared" si="50"/>
        <v>93.626249999999999</v>
      </c>
      <c r="AR39" s="24">
        <f t="shared" si="51"/>
        <v>93.626249999999999</v>
      </c>
      <c r="AS39" s="24">
        <f t="shared" si="52"/>
        <v>93.626249999999999</v>
      </c>
      <c r="AT39" s="24">
        <f t="shared" si="53"/>
        <v>93.626249999999999</v>
      </c>
      <c r="AU39"/>
      <c r="AV39" s="74">
        <f t="shared" si="62"/>
        <v>4.2393219955936976</v>
      </c>
      <c r="AW39" s="74">
        <f t="shared" si="62"/>
        <v>4.1406250000000009</v>
      </c>
      <c r="AX39" s="74">
        <f t="shared" si="62"/>
        <v>4.0442258003626739</v>
      </c>
      <c r="AY39" s="74">
        <f t="shared" si="62"/>
        <v>3.9500709009676331</v>
      </c>
      <c r="AZ39" s="74">
        <f t="shared" si="62"/>
        <v>3.8581080515514277</v>
      </c>
      <c r="BA39" s="74">
        <f t="shared" si="62"/>
        <v>3.7682862183055086</v>
      </c>
      <c r="BB39" s="74">
        <f t="shared" si="62"/>
        <v>3.6805555555555567</v>
      </c>
      <c r="BC39" s="454"/>
      <c r="BD39" s="74">
        <f t="shared" si="63"/>
        <v>0.52401447489192909</v>
      </c>
      <c r="BE39" s="74">
        <f t="shared" si="63"/>
        <v>0.42191361409630096</v>
      </c>
      <c r="BF39" s="74">
        <f t="shared" si="63"/>
        <v>0.35431348906402665</v>
      </c>
      <c r="BG39" s="74">
        <f t="shared" si="63"/>
        <v>0.30664761095410931</v>
      </c>
      <c r="BH39" s="74">
        <f t="shared" si="63"/>
        <v>0.28274844087769996</v>
      </c>
      <c r="BI39" s="74">
        <f t="shared" si="63"/>
        <v>0.2514071634685825</v>
      </c>
      <c r="BJ39" s="74">
        <f t="shared" si="63"/>
        <v>0.236738462458674</v>
      </c>
      <c r="BK39" s="455"/>
      <c r="BL39" s="74">
        <f t="shared" si="64"/>
        <v>0</v>
      </c>
      <c r="BM39" s="74">
        <f t="shared" si="64"/>
        <v>0</v>
      </c>
      <c r="BN39" s="74">
        <f t="shared" si="64"/>
        <v>0</v>
      </c>
      <c r="BO39" s="74">
        <f t="shared" si="64"/>
        <v>0</v>
      </c>
      <c r="BP39" s="74">
        <f t="shared" si="64"/>
        <v>0</v>
      </c>
      <c r="BQ39" s="74">
        <f t="shared" si="64"/>
        <v>0</v>
      </c>
      <c r="BR39" s="74">
        <f t="shared" si="64"/>
        <v>0</v>
      </c>
      <c r="BS39" s="454"/>
      <c r="BT39" s="74">
        <f t="shared" si="65"/>
        <v>29.166666666666668</v>
      </c>
      <c r="BU39" s="74">
        <f t="shared" si="65"/>
        <v>10.9375</v>
      </c>
      <c r="BV39" s="74">
        <f t="shared" si="65"/>
        <v>3.0208333333333335</v>
      </c>
      <c r="BW39" s="74">
        <f t="shared" si="65"/>
        <v>3.0208333333333335</v>
      </c>
      <c r="BX39" s="74">
        <f t="shared" si="65"/>
        <v>3.0208333333333335</v>
      </c>
      <c r="BY39" s="74">
        <f t="shared" si="65"/>
        <v>3.0208333333333335</v>
      </c>
      <c r="BZ39" s="74">
        <f t="shared" si="65"/>
        <v>3.0208333333333335</v>
      </c>
    </row>
    <row r="40" spans="1:78" x14ac:dyDescent="0.2">
      <c r="A40" s="452"/>
      <c r="B40" s="453" t="str">
        <f t="shared" si="39"/>
        <v>Blue hydrogen (compressed) - Middle East - Fuel cost - USD/GJ</v>
      </c>
      <c r="C40" s="453" t="str">
        <f t="shared" si="40"/>
        <v>Blue hydrogen (compressed) - Middle East</v>
      </c>
      <c r="D40" s="74">
        <f t="shared" si="41"/>
        <v>120</v>
      </c>
      <c r="E40" t="s">
        <v>197</v>
      </c>
      <c r="F40" t="str">
        <f t="shared" si="42"/>
        <v>Blue hydrogen (compressed)</v>
      </c>
      <c r="G40" t="s">
        <v>828</v>
      </c>
      <c r="H40" s="74">
        <f t="shared" si="58"/>
        <v>53.247891708043845</v>
      </c>
      <c r="I40" s="74">
        <f t="shared" si="58"/>
        <v>26.053672863200745</v>
      </c>
      <c r="J40" s="74">
        <f t="shared" si="58"/>
        <v>14.302964840064089</v>
      </c>
      <c r="K40" s="74">
        <f t="shared" si="58"/>
        <v>13.719562686759435</v>
      </c>
      <c r="L40" s="74">
        <f t="shared" si="58"/>
        <v>13.212294524627568</v>
      </c>
      <c r="M40" s="74">
        <f t="shared" si="58"/>
        <v>12.750461970714642</v>
      </c>
      <c r="N40" s="74">
        <f t="shared" si="58"/>
        <v>12.343494701498852</v>
      </c>
      <c r="O40" s="454"/>
      <c r="P40" s="74">
        <f t="shared" si="59"/>
        <v>0</v>
      </c>
      <c r="Q40" s="74">
        <f t="shared" si="59"/>
        <v>0</v>
      </c>
      <c r="R40" s="74">
        <f t="shared" si="59"/>
        <v>0</v>
      </c>
      <c r="S40" s="74">
        <f t="shared" si="59"/>
        <v>0</v>
      </c>
      <c r="T40" s="74">
        <f t="shared" si="59"/>
        <v>0</v>
      </c>
      <c r="U40" s="74">
        <f t="shared" si="59"/>
        <v>0</v>
      </c>
      <c r="V40" s="74">
        <f t="shared" si="59"/>
        <v>0</v>
      </c>
      <c r="W40"/>
      <c r="X40" s="2">
        <f t="shared" si="60"/>
        <v>16.554438014523402</v>
      </c>
      <c r="Y40" s="2">
        <f t="shared" si="60"/>
        <v>15.574124293785308</v>
      </c>
      <c r="Z40" s="2">
        <f t="shared" si="60"/>
        <v>14.600917572643572</v>
      </c>
      <c r="AA40" s="2">
        <f t="shared" si="60"/>
        <v>13.634676043469213</v>
      </c>
      <c r="AB40" s="2">
        <f t="shared" si="60"/>
        <v>12.675260769600246</v>
      </c>
      <c r="AC40" s="2">
        <f t="shared" si="60"/>
        <v>11.722535627054755</v>
      </c>
      <c r="AD40" s="2">
        <f t="shared" si="60"/>
        <v>10.776367231638421</v>
      </c>
      <c r="AE40"/>
      <c r="AF40" s="2">
        <f t="shared" si="61"/>
        <v>0</v>
      </c>
      <c r="AG40" s="2">
        <f t="shared" si="61"/>
        <v>0</v>
      </c>
      <c r="AH40" s="2">
        <f t="shared" si="61"/>
        <v>0</v>
      </c>
      <c r="AI40" s="2">
        <f t="shared" si="61"/>
        <v>0</v>
      </c>
      <c r="AJ40" s="2">
        <f t="shared" si="61"/>
        <v>0</v>
      </c>
      <c r="AK40" s="2">
        <f t="shared" si="61"/>
        <v>0</v>
      </c>
      <c r="AL40" s="2">
        <f t="shared" si="61"/>
        <v>0</v>
      </c>
      <c r="AM40"/>
      <c r="AN40" s="24">
        <f t="shared" si="47"/>
        <v>16.554438014523402</v>
      </c>
      <c r="AO40" s="24">
        <f t="shared" si="48"/>
        <v>15.574124293785308</v>
      </c>
      <c r="AP40" s="24">
        <f t="shared" si="49"/>
        <v>14.600917572643572</v>
      </c>
      <c r="AQ40" s="24">
        <f t="shared" si="50"/>
        <v>13.634676043469213</v>
      </c>
      <c r="AR40" s="24">
        <f t="shared" si="51"/>
        <v>12.675260769600246</v>
      </c>
      <c r="AS40" s="24">
        <f t="shared" si="52"/>
        <v>11.722535627054755</v>
      </c>
      <c r="AT40" s="24">
        <f t="shared" si="53"/>
        <v>10.776367231638421</v>
      </c>
      <c r="AU40"/>
      <c r="AV40" s="74">
        <f t="shared" si="62"/>
        <v>2.2903448472850982</v>
      </c>
      <c r="AW40" s="74">
        <f t="shared" si="62"/>
        <v>2.2083333333333339</v>
      </c>
      <c r="AX40" s="74">
        <f t="shared" si="62"/>
        <v>2.1292584463391355</v>
      </c>
      <c r="AY40" s="74">
        <f t="shared" si="62"/>
        <v>2.053015033044475</v>
      </c>
      <c r="AZ40" s="74">
        <f t="shared" si="62"/>
        <v>1.9795017054661888</v>
      </c>
      <c r="BA40" s="74">
        <f t="shared" si="62"/>
        <v>1.9086207060709157</v>
      </c>
      <c r="BB40" s="74">
        <f t="shared" si="62"/>
        <v>1.8402777777777781</v>
      </c>
      <c r="BC40" s="454"/>
      <c r="BD40" s="74">
        <f t="shared" si="63"/>
        <v>3.3452048778420793</v>
      </c>
      <c r="BE40" s="74">
        <f t="shared" si="63"/>
        <v>2.7953395298674106</v>
      </c>
      <c r="BF40" s="74">
        <f t="shared" si="63"/>
        <v>2.3464652610582872</v>
      </c>
      <c r="BG40" s="74">
        <f t="shared" si="63"/>
        <v>1.9760432692982925</v>
      </c>
      <c r="BH40" s="74">
        <f t="shared" si="63"/>
        <v>1.6763964518697132</v>
      </c>
      <c r="BI40" s="74">
        <f t="shared" si="63"/>
        <v>1.4169828250187282</v>
      </c>
      <c r="BJ40" s="74">
        <f t="shared" si="63"/>
        <v>1.2073835903877386</v>
      </c>
      <c r="BK40" s="455"/>
      <c r="BL40" s="74">
        <f t="shared" si="64"/>
        <v>5.6632688362500003</v>
      </c>
      <c r="BM40" s="74">
        <f t="shared" si="64"/>
        <v>5.625</v>
      </c>
      <c r="BN40" s="74">
        <f t="shared" si="64"/>
        <v>5.5869897606249994</v>
      </c>
      <c r="BO40" s="74">
        <f t="shared" si="64"/>
        <v>5.5492363706249996</v>
      </c>
      <c r="BP40" s="74">
        <f t="shared" si="64"/>
        <v>5.5117380943750005</v>
      </c>
      <c r="BQ40" s="74">
        <f t="shared" si="64"/>
        <v>5.4744932087500002</v>
      </c>
      <c r="BR40" s="74">
        <f t="shared" si="64"/>
        <v>5.4375</v>
      </c>
      <c r="BS40" s="454"/>
      <c r="BT40" s="74">
        <f t="shared" si="65"/>
        <v>41.94907314666667</v>
      </c>
      <c r="BU40" s="74">
        <f t="shared" si="65"/>
        <v>15.425000000000001</v>
      </c>
      <c r="BV40" s="74">
        <f t="shared" si="65"/>
        <v>4.2402513720416666</v>
      </c>
      <c r="BW40" s="74">
        <f t="shared" si="65"/>
        <v>4.1412680137916666</v>
      </c>
      <c r="BX40" s="74">
        <f t="shared" si="65"/>
        <v>4.0446582729166662</v>
      </c>
      <c r="BY40" s="74">
        <f t="shared" si="65"/>
        <v>3.9503652308750001</v>
      </c>
      <c r="BZ40" s="74">
        <f t="shared" si="65"/>
        <v>3.8583333333333334</v>
      </c>
    </row>
    <row r="41" spans="1:78" x14ac:dyDescent="0.2">
      <c r="A41" s="452"/>
      <c r="B41" s="453" t="str">
        <f t="shared" si="39"/>
        <v>Blue hydrogen (liquid) - Middle East - Fuel cost - USD/GJ</v>
      </c>
      <c r="C41" s="453" t="str">
        <f t="shared" si="40"/>
        <v>Blue hydrogen (liquid) - Middle East</v>
      </c>
      <c r="D41" s="74">
        <f t="shared" si="41"/>
        <v>120</v>
      </c>
      <c r="E41" t="s">
        <v>197</v>
      </c>
      <c r="F41" t="str">
        <f t="shared" si="42"/>
        <v>Blue hydrogen (liquid)</v>
      </c>
      <c r="G41" t="s">
        <v>828</v>
      </c>
      <c r="H41" s="74">
        <f t="shared" si="58"/>
        <v>65.541178074899022</v>
      </c>
      <c r="I41" s="74">
        <f t="shared" si="58"/>
        <v>37.737757427308672</v>
      </c>
      <c r="J41" s="74">
        <f t="shared" si="58"/>
        <v>25.583701991479447</v>
      </c>
      <c r="K41" s="74">
        <f t="shared" si="58"/>
        <v>24.715893432118953</v>
      </c>
      <c r="L41" s="74">
        <f t="shared" si="58"/>
        <v>24.066026888531177</v>
      </c>
      <c r="M41" s="74">
        <f t="shared" si="58"/>
        <v>23.417191379410518</v>
      </c>
      <c r="N41" s="74">
        <f t="shared" si="58"/>
        <v>22.922700860835608</v>
      </c>
      <c r="O41" s="454"/>
      <c r="P41" s="74">
        <f t="shared" si="59"/>
        <v>0</v>
      </c>
      <c r="Q41" s="74">
        <f t="shared" si="59"/>
        <v>0</v>
      </c>
      <c r="R41" s="74">
        <f t="shared" si="59"/>
        <v>0</v>
      </c>
      <c r="S41" s="74">
        <f t="shared" si="59"/>
        <v>0</v>
      </c>
      <c r="T41" s="74">
        <f t="shared" si="59"/>
        <v>0</v>
      </c>
      <c r="U41" s="74">
        <f t="shared" si="59"/>
        <v>0</v>
      </c>
      <c r="V41" s="74">
        <f t="shared" si="59"/>
        <v>0</v>
      </c>
      <c r="W41"/>
      <c r="X41" s="2">
        <f t="shared" si="60"/>
        <v>16.554438014523402</v>
      </c>
      <c r="Y41" s="2">
        <f t="shared" si="60"/>
        <v>15.574124293785308</v>
      </c>
      <c r="Z41" s="2">
        <f t="shared" si="60"/>
        <v>14.600917572643572</v>
      </c>
      <c r="AA41" s="2">
        <f t="shared" si="60"/>
        <v>13.634676043469213</v>
      </c>
      <c r="AB41" s="2">
        <f t="shared" si="60"/>
        <v>12.675260769600246</v>
      </c>
      <c r="AC41" s="2">
        <f t="shared" si="60"/>
        <v>11.722535627054755</v>
      </c>
      <c r="AD41" s="2">
        <f t="shared" si="60"/>
        <v>10.776367231638421</v>
      </c>
      <c r="AE41"/>
      <c r="AF41" s="2">
        <f t="shared" si="61"/>
        <v>0</v>
      </c>
      <c r="AG41" s="2">
        <f t="shared" si="61"/>
        <v>0</v>
      </c>
      <c r="AH41" s="2">
        <f t="shared" si="61"/>
        <v>0</v>
      </c>
      <c r="AI41" s="2">
        <f t="shared" si="61"/>
        <v>0</v>
      </c>
      <c r="AJ41" s="2">
        <f t="shared" si="61"/>
        <v>0</v>
      </c>
      <c r="AK41" s="2">
        <f t="shared" si="61"/>
        <v>0</v>
      </c>
      <c r="AL41" s="2">
        <f t="shared" si="61"/>
        <v>0</v>
      </c>
      <c r="AM41"/>
      <c r="AN41" s="24">
        <f t="shared" si="47"/>
        <v>16.554438014523402</v>
      </c>
      <c r="AO41" s="24">
        <f t="shared" si="48"/>
        <v>15.574124293785308</v>
      </c>
      <c r="AP41" s="24">
        <f t="shared" si="49"/>
        <v>14.600917572643572</v>
      </c>
      <c r="AQ41" s="24">
        <f t="shared" si="50"/>
        <v>13.634676043469213</v>
      </c>
      <c r="AR41" s="24">
        <f t="shared" si="51"/>
        <v>12.675260769600246</v>
      </c>
      <c r="AS41" s="24">
        <f t="shared" si="52"/>
        <v>11.722535627054755</v>
      </c>
      <c r="AT41" s="24">
        <f t="shared" si="53"/>
        <v>10.776367231638421</v>
      </c>
      <c r="AU41"/>
      <c r="AV41" s="74">
        <f t="shared" si="62"/>
        <v>10.623678180618432</v>
      </c>
      <c r="AW41" s="74">
        <f t="shared" si="62"/>
        <v>10.541666666666668</v>
      </c>
      <c r="AX41" s="74">
        <f t="shared" si="62"/>
        <v>10.462591779672469</v>
      </c>
      <c r="AY41" s="74">
        <f t="shared" si="62"/>
        <v>10.386348366377806</v>
      </c>
      <c r="AZ41" s="74">
        <f t="shared" si="62"/>
        <v>10.312835038799523</v>
      </c>
      <c r="BA41" s="74">
        <f t="shared" si="62"/>
        <v>10.241954039404249</v>
      </c>
      <c r="BB41" s="74">
        <f t="shared" si="62"/>
        <v>10.173611111111112</v>
      </c>
      <c r="BC41" s="454"/>
      <c r="BD41" s="74">
        <f t="shared" si="63"/>
        <v>7.3051579113639225</v>
      </c>
      <c r="BE41" s="74">
        <f t="shared" si="63"/>
        <v>6.1460907606420072</v>
      </c>
      <c r="BF41" s="74">
        <f t="shared" si="63"/>
        <v>5.2938690791403129</v>
      </c>
      <c r="BG41" s="74">
        <f t="shared" si="63"/>
        <v>4.6390406813244782</v>
      </c>
      <c r="BH41" s="74">
        <f t="shared" si="63"/>
        <v>4.19679548243999</v>
      </c>
      <c r="BI41" s="74">
        <f t="shared" si="63"/>
        <v>3.7503789003812704</v>
      </c>
      <c r="BJ41" s="74">
        <f t="shared" si="63"/>
        <v>3.4532564163911603</v>
      </c>
      <c r="BK41" s="455"/>
      <c r="BL41" s="74">
        <f t="shared" si="64"/>
        <v>5.6632688362500003</v>
      </c>
      <c r="BM41" s="74">
        <f t="shared" si="64"/>
        <v>5.625</v>
      </c>
      <c r="BN41" s="74">
        <f t="shared" si="64"/>
        <v>5.5869897606249994</v>
      </c>
      <c r="BO41" s="74">
        <f t="shared" si="64"/>
        <v>5.5492363706249996</v>
      </c>
      <c r="BP41" s="74">
        <f t="shared" si="64"/>
        <v>5.5117380943750005</v>
      </c>
      <c r="BQ41" s="74">
        <f t="shared" si="64"/>
        <v>5.4744932087500002</v>
      </c>
      <c r="BR41" s="74">
        <f t="shared" si="64"/>
        <v>5.4375</v>
      </c>
      <c r="BS41" s="454"/>
      <c r="BT41" s="74">
        <f t="shared" si="65"/>
        <v>41.94907314666667</v>
      </c>
      <c r="BU41" s="74">
        <f t="shared" si="65"/>
        <v>15.425000000000001</v>
      </c>
      <c r="BV41" s="74">
        <f t="shared" si="65"/>
        <v>4.2402513720416666</v>
      </c>
      <c r="BW41" s="74">
        <f t="shared" si="65"/>
        <v>4.1412680137916666</v>
      </c>
      <c r="BX41" s="74">
        <f t="shared" si="65"/>
        <v>4.0446582729166662</v>
      </c>
      <c r="BY41" s="74">
        <f t="shared" si="65"/>
        <v>3.9503652308750001</v>
      </c>
      <c r="BZ41" s="74">
        <f t="shared" si="65"/>
        <v>3.8583333333333334</v>
      </c>
    </row>
    <row r="42" spans="1:78" x14ac:dyDescent="0.2">
      <c r="A42" s="452"/>
      <c r="B42" s="453" t="str">
        <f t="shared" si="39"/>
        <v>LPG - Middle East - Fuel cost - USD/GJ</v>
      </c>
      <c r="C42" s="453" t="str">
        <f t="shared" si="40"/>
        <v>LPG - Middle East</v>
      </c>
      <c r="D42" s="74">
        <f t="shared" si="41"/>
        <v>46</v>
      </c>
      <c r="E42" t="s">
        <v>197</v>
      </c>
      <c r="F42" t="str">
        <f t="shared" si="42"/>
        <v>LPG</v>
      </c>
      <c r="G42" t="s">
        <v>828</v>
      </c>
      <c r="H42" s="74">
        <f t="shared" si="58"/>
        <v>16.5250690734395</v>
      </c>
      <c r="I42" s="74">
        <f t="shared" si="58"/>
        <v>11.854940857032684</v>
      </c>
      <c r="J42" s="74">
        <f t="shared" si="58"/>
        <v>10.346130202501252</v>
      </c>
      <c r="K42" s="74">
        <f t="shared" si="58"/>
        <v>10.346130202501252</v>
      </c>
      <c r="L42" s="74">
        <f t="shared" si="58"/>
        <v>10.346130202501252</v>
      </c>
      <c r="M42" s="74">
        <f t="shared" si="58"/>
        <v>10.346130202501252</v>
      </c>
      <c r="N42" s="74">
        <f t="shared" si="58"/>
        <v>10.346130202501252</v>
      </c>
      <c r="O42" s="454"/>
      <c r="P42" s="74">
        <f t="shared" si="59"/>
        <v>0</v>
      </c>
      <c r="Q42" s="74">
        <f t="shared" si="59"/>
        <v>0</v>
      </c>
      <c r="R42" s="74">
        <f t="shared" si="59"/>
        <v>0</v>
      </c>
      <c r="S42" s="74">
        <f t="shared" si="59"/>
        <v>0</v>
      </c>
      <c r="T42" s="74">
        <f t="shared" si="59"/>
        <v>0</v>
      </c>
      <c r="U42" s="74">
        <f t="shared" si="59"/>
        <v>0</v>
      </c>
      <c r="V42" s="74">
        <f t="shared" si="59"/>
        <v>0</v>
      </c>
      <c r="W42"/>
      <c r="X42" s="2">
        <f t="shared" si="60"/>
        <v>17.7</v>
      </c>
      <c r="Y42" s="2">
        <f t="shared" si="60"/>
        <v>17.7</v>
      </c>
      <c r="Z42" s="2">
        <f t="shared" si="60"/>
        <v>17.7</v>
      </c>
      <c r="AA42" s="2">
        <f t="shared" si="60"/>
        <v>17.7</v>
      </c>
      <c r="AB42" s="2">
        <f t="shared" si="60"/>
        <v>17.7</v>
      </c>
      <c r="AC42" s="2">
        <f t="shared" si="60"/>
        <v>17.7</v>
      </c>
      <c r="AD42" s="2">
        <f t="shared" si="60"/>
        <v>17.7</v>
      </c>
      <c r="AE42"/>
      <c r="AF42" s="2">
        <f t="shared" si="61"/>
        <v>66</v>
      </c>
      <c r="AG42" s="2">
        <f t="shared" si="61"/>
        <v>66</v>
      </c>
      <c r="AH42" s="2">
        <f t="shared" si="61"/>
        <v>66</v>
      </c>
      <c r="AI42" s="2">
        <f t="shared" si="61"/>
        <v>66</v>
      </c>
      <c r="AJ42" s="2">
        <f t="shared" si="61"/>
        <v>66</v>
      </c>
      <c r="AK42" s="2">
        <f t="shared" si="61"/>
        <v>66</v>
      </c>
      <c r="AL42" s="2">
        <f t="shared" si="61"/>
        <v>66</v>
      </c>
      <c r="AM42"/>
      <c r="AN42" s="24">
        <f t="shared" si="47"/>
        <v>83.7</v>
      </c>
      <c r="AO42" s="24">
        <f t="shared" si="48"/>
        <v>83.7</v>
      </c>
      <c r="AP42" s="24">
        <f t="shared" si="49"/>
        <v>83.7</v>
      </c>
      <c r="AQ42" s="24">
        <f t="shared" si="50"/>
        <v>83.7</v>
      </c>
      <c r="AR42" s="24">
        <f t="shared" si="51"/>
        <v>83.7</v>
      </c>
      <c r="AS42" s="24">
        <f t="shared" si="52"/>
        <v>83.7</v>
      </c>
      <c r="AT42" s="24">
        <f t="shared" si="53"/>
        <v>83.7</v>
      </c>
      <c r="AU42"/>
      <c r="AV42" s="74">
        <f t="shared" si="62"/>
        <v>0</v>
      </c>
      <c r="AW42" s="74">
        <f t="shared" si="62"/>
        <v>0</v>
      </c>
      <c r="AX42" s="74">
        <f t="shared" si="62"/>
        <v>0</v>
      </c>
      <c r="AY42" s="74">
        <f t="shared" si="62"/>
        <v>0</v>
      </c>
      <c r="AZ42" s="74">
        <f t="shared" si="62"/>
        <v>0</v>
      </c>
      <c r="BA42" s="74">
        <f t="shared" si="62"/>
        <v>0</v>
      </c>
      <c r="BB42" s="74">
        <f t="shared" si="62"/>
        <v>0</v>
      </c>
      <c r="BC42" s="454"/>
      <c r="BD42" s="74">
        <f t="shared" si="63"/>
        <v>0</v>
      </c>
      <c r="BE42" s="74">
        <f t="shared" si="63"/>
        <v>0</v>
      </c>
      <c r="BF42" s="74">
        <f t="shared" si="63"/>
        <v>0</v>
      </c>
      <c r="BG42" s="74">
        <f t="shared" si="63"/>
        <v>0</v>
      </c>
      <c r="BH42" s="74">
        <f t="shared" si="63"/>
        <v>0</v>
      </c>
      <c r="BI42" s="74">
        <f t="shared" si="63"/>
        <v>0</v>
      </c>
      <c r="BJ42" s="74">
        <f t="shared" si="63"/>
        <v>0</v>
      </c>
      <c r="BK42" s="455"/>
      <c r="BL42" s="74">
        <f t="shared" si="64"/>
        <v>0</v>
      </c>
      <c r="BM42" s="74">
        <f t="shared" si="64"/>
        <v>0</v>
      </c>
      <c r="BN42" s="74">
        <f t="shared" si="64"/>
        <v>0</v>
      </c>
      <c r="BO42" s="74">
        <f t="shared" si="64"/>
        <v>0</v>
      </c>
      <c r="BP42" s="74">
        <f t="shared" si="64"/>
        <v>0</v>
      </c>
      <c r="BQ42" s="74">
        <f t="shared" si="64"/>
        <v>0</v>
      </c>
      <c r="BR42" s="74">
        <f t="shared" si="64"/>
        <v>0</v>
      </c>
      <c r="BS42" s="454"/>
      <c r="BT42" s="74">
        <f t="shared" si="65"/>
        <v>0</v>
      </c>
      <c r="BU42" s="74">
        <f t="shared" si="65"/>
        <v>0</v>
      </c>
      <c r="BV42" s="74">
        <f t="shared" si="65"/>
        <v>0</v>
      </c>
      <c r="BW42" s="74">
        <f t="shared" si="65"/>
        <v>0</v>
      </c>
      <c r="BX42" s="74">
        <f t="shared" si="65"/>
        <v>0</v>
      </c>
      <c r="BY42" s="74">
        <f t="shared" si="65"/>
        <v>0</v>
      </c>
      <c r="BZ42" s="74">
        <f t="shared" si="65"/>
        <v>0</v>
      </c>
    </row>
    <row r="43" spans="1:78" x14ac:dyDescent="0.2">
      <c r="A43" s="452"/>
      <c r="B43" s="453" t="str">
        <f t="shared" si="39"/>
        <v>Biomethane - Middle East - Fuel cost - USD/GJ</v>
      </c>
      <c r="C43" s="453" t="str">
        <f t="shared" si="40"/>
        <v>Biomethane - Middle East</v>
      </c>
      <c r="D43" s="74">
        <f t="shared" si="41"/>
        <v>50</v>
      </c>
      <c r="E43" t="s">
        <v>197</v>
      </c>
      <c r="F43" t="str">
        <f t="shared" si="42"/>
        <v>Biomethane</v>
      </c>
      <c r="G43" t="s">
        <v>828</v>
      </c>
      <c r="H43" s="74">
        <f t="shared" si="58"/>
        <v>24.5781020267268</v>
      </c>
      <c r="I43" s="74">
        <f t="shared" si="58"/>
        <v>22.582091913834738</v>
      </c>
      <c r="J43" s="74">
        <f t="shared" si="58"/>
        <v>21.022686631259866</v>
      </c>
      <c r="K43" s="74">
        <f t="shared" si="58"/>
        <v>19.690076287578233</v>
      </c>
      <c r="L43" s="74">
        <f t="shared" si="58"/>
        <v>18.402803847637159</v>
      </c>
      <c r="M43" s="74">
        <f t="shared" si="58"/>
        <v>17.099940075292899</v>
      </c>
      <c r="N43" s="74">
        <f t="shared" si="58"/>
        <v>15.829496519224517</v>
      </c>
      <c r="O43" s="454"/>
      <c r="P43" s="74">
        <f t="shared" si="59"/>
        <v>0</v>
      </c>
      <c r="Q43" s="74">
        <f t="shared" si="59"/>
        <v>0</v>
      </c>
      <c r="R43" s="74">
        <f t="shared" si="59"/>
        <v>0</v>
      </c>
      <c r="S43" s="74">
        <f t="shared" si="59"/>
        <v>0</v>
      </c>
      <c r="T43" s="74">
        <f t="shared" si="59"/>
        <v>0</v>
      </c>
      <c r="U43" s="74">
        <f t="shared" si="59"/>
        <v>0</v>
      </c>
      <c r="V43" s="74">
        <f t="shared" si="59"/>
        <v>0</v>
      </c>
      <c r="W43"/>
      <c r="X43" s="2">
        <f t="shared" si="60"/>
        <v>-37.778102817936237</v>
      </c>
      <c r="Y43" s="2">
        <f t="shared" si="60"/>
        <v>-40.704565067103559</v>
      </c>
      <c r="Z43" s="2">
        <f t="shared" si="60"/>
        <v>-43.561961308916878</v>
      </c>
      <c r="AA43" s="2">
        <f t="shared" si="60"/>
        <v>-46.35029154337623</v>
      </c>
      <c r="AB43" s="2">
        <f t="shared" si="60"/>
        <v>-49.069555770481585</v>
      </c>
      <c r="AC43" s="2">
        <f t="shared" si="60"/>
        <v>-51.719753990232967</v>
      </c>
      <c r="AD43" s="2">
        <f t="shared" si="60"/>
        <v>-54.300886202630352</v>
      </c>
      <c r="AE43"/>
      <c r="AF43" s="2">
        <f t="shared" si="61"/>
        <v>72.985200000000006</v>
      </c>
      <c r="AG43" s="2">
        <f t="shared" si="61"/>
        <v>72.985200000000006</v>
      </c>
      <c r="AH43" s="2">
        <f t="shared" si="61"/>
        <v>72.985200000000006</v>
      </c>
      <c r="AI43" s="2">
        <f t="shared" si="61"/>
        <v>72.985200000000006</v>
      </c>
      <c r="AJ43" s="2">
        <f t="shared" si="61"/>
        <v>72.985200000000006</v>
      </c>
      <c r="AK43" s="2">
        <f t="shared" si="61"/>
        <v>72.985200000000006</v>
      </c>
      <c r="AL43" s="2">
        <f t="shared" si="61"/>
        <v>72.985200000000006</v>
      </c>
      <c r="AM43"/>
      <c r="AN43" s="24">
        <f t="shared" si="47"/>
        <v>35.207097182063769</v>
      </c>
      <c r="AO43" s="24">
        <f t="shared" si="48"/>
        <v>32.280634932896447</v>
      </c>
      <c r="AP43" s="24">
        <f t="shared" si="49"/>
        <v>29.423238691083128</v>
      </c>
      <c r="AQ43" s="24">
        <f t="shared" si="50"/>
        <v>26.634908456623776</v>
      </c>
      <c r="AR43" s="24">
        <f t="shared" si="51"/>
        <v>23.915644229518421</v>
      </c>
      <c r="AS43" s="24">
        <f t="shared" si="52"/>
        <v>21.265446009767039</v>
      </c>
      <c r="AT43" s="24">
        <f t="shared" si="53"/>
        <v>18.684313797369654</v>
      </c>
      <c r="AU43"/>
      <c r="AV43" s="74">
        <f t="shared" si="62"/>
        <v>11.458427846991444</v>
      </c>
      <c r="AW43" s="74">
        <f t="shared" si="62"/>
        <v>10.704163958300748</v>
      </c>
      <c r="AX43" s="74">
        <f t="shared" si="62"/>
        <v>9.9499000696100506</v>
      </c>
      <c r="AY43" s="74">
        <f t="shared" si="62"/>
        <v>9.1956361809193545</v>
      </c>
      <c r="AZ43" s="74">
        <f t="shared" si="62"/>
        <v>8.4413722922286567</v>
      </c>
      <c r="BA43" s="74">
        <f t="shared" si="62"/>
        <v>7.6871084035379598</v>
      </c>
      <c r="BB43" s="74">
        <f t="shared" si="62"/>
        <v>6.9328445148472637</v>
      </c>
      <c r="BC43" s="454"/>
      <c r="BD43" s="74">
        <f t="shared" si="63"/>
        <v>7.8208765309147896</v>
      </c>
      <c r="BE43" s="74">
        <f t="shared" si="63"/>
        <v>7.2845303203319176</v>
      </c>
      <c r="BF43" s="74">
        <f t="shared" si="63"/>
        <v>6.8117889400662364</v>
      </c>
      <c r="BG43" s="74">
        <f t="shared" si="63"/>
        <v>6.3758424986937925</v>
      </c>
      <c r="BH43" s="74">
        <f t="shared" si="63"/>
        <v>5.9852339610619083</v>
      </c>
      <c r="BI43" s="74">
        <f t="shared" si="63"/>
        <v>5.5790340910268359</v>
      </c>
      <c r="BJ43" s="74">
        <f t="shared" si="63"/>
        <v>5.205254437267647</v>
      </c>
      <c r="BK43" s="455"/>
      <c r="BL43" s="74">
        <f t="shared" si="64"/>
        <v>0</v>
      </c>
      <c r="BM43" s="74">
        <f t="shared" si="64"/>
        <v>0</v>
      </c>
      <c r="BN43" s="74">
        <f t="shared" si="64"/>
        <v>0</v>
      </c>
      <c r="BO43" s="74">
        <f t="shared" si="64"/>
        <v>0</v>
      </c>
      <c r="BP43" s="74">
        <f t="shared" si="64"/>
        <v>0</v>
      </c>
      <c r="BQ43" s="74">
        <f t="shared" si="64"/>
        <v>0</v>
      </c>
      <c r="BR43" s="74">
        <f t="shared" si="64"/>
        <v>0</v>
      </c>
      <c r="BS43" s="454"/>
      <c r="BT43" s="74">
        <f t="shared" si="65"/>
        <v>5.2987976488205675</v>
      </c>
      <c r="BU43" s="74">
        <f t="shared" si="65"/>
        <v>4.5933976352020736</v>
      </c>
      <c r="BV43" s="74">
        <f t="shared" si="65"/>
        <v>4.2609976215835808</v>
      </c>
      <c r="BW43" s="74">
        <f t="shared" si="65"/>
        <v>4.1185976079650866</v>
      </c>
      <c r="BX43" s="74">
        <f t="shared" si="65"/>
        <v>3.9761975943465933</v>
      </c>
      <c r="BY43" s="74">
        <f t="shared" si="65"/>
        <v>3.8337975807281004</v>
      </c>
      <c r="BZ43" s="74">
        <f t="shared" si="65"/>
        <v>3.6913975671096066</v>
      </c>
    </row>
    <row r="44" spans="1:78" x14ac:dyDescent="0.2">
      <c r="A44" s="452"/>
      <c r="B44" s="453" t="str">
        <f t="shared" si="39"/>
        <v>Biodiesel (Pyr) - Middle East - Fuel cost - USD/GJ</v>
      </c>
      <c r="C44" s="453" t="str">
        <f t="shared" si="40"/>
        <v>Biodiesel (Pyr) - Middle East</v>
      </c>
      <c r="D44" s="74">
        <f t="shared" si="41"/>
        <v>42.7</v>
      </c>
      <c r="E44" t="s">
        <v>197</v>
      </c>
      <c r="F44" t="str">
        <f t="shared" si="42"/>
        <v>Biodiesel (Pyr)</v>
      </c>
      <c r="G44" t="s">
        <v>828</v>
      </c>
      <c r="H44" s="74">
        <f t="shared" si="58"/>
        <v>62.837555768224767</v>
      </c>
      <c r="I44" s="74">
        <f t="shared" si="58"/>
        <v>39.907498899732481</v>
      </c>
      <c r="J44" s="74">
        <f t="shared" si="58"/>
        <v>22.43592395679649</v>
      </c>
      <c r="K44" s="74">
        <f t="shared" si="58"/>
        <v>22.877054059537635</v>
      </c>
      <c r="L44" s="74">
        <f t="shared" si="58"/>
        <v>23.078872503948663</v>
      </c>
      <c r="M44" s="74">
        <f t="shared" si="58"/>
        <v>23.011345657902421</v>
      </c>
      <c r="N44" s="74">
        <f t="shared" si="58"/>
        <v>22.422189085947643</v>
      </c>
      <c r="O44" s="454"/>
      <c r="P44" s="74">
        <f t="shared" si="59"/>
        <v>0</v>
      </c>
      <c r="Q44" s="74">
        <f t="shared" si="59"/>
        <v>0</v>
      </c>
      <c r="R44" s="74">
        <f t="shared" si="59"/>
        <v>0</v>
      </c>
      <c r="S44" s="74">
        <f t="shared" si="59"/>
        <v>0</v>
      </c>
      <c r="T44" s="74">
        <f t="shared" si="59"/>
        <v>0</v>
      </c>
      <c r="U44" s="74">
        <f t="shared" si="59"/>
        <v>0</v>
      </c>
      <c r="V44" s="74">
        <f t="shared" si="59"/>
        <v>0</v>
      </c>
      <c r="W44"/>
      <c r="X44" s="2">
        <f t="shared" si="60"/>
        <v>-40.339877075554391</v>
      </c>
      <c r="Y44" s="2">
        <f t="shared" si="60"/>
        <v>-48.28508713529736</v>
      </c>
      <c r="Z44" s="2">
        <f t="shared" si="60"/>
        <v>-54.14317291584149</v>
      </c>
      <c r="AA44" s="2">
        <f t="shared" si="60"/>
        <v>-66.682297018872859</v>
      </c>
      <c r="AB44" s="2">
        <f t="shared" si="60"/>
        <v>-68.6612337974545</v>
      </c>
      <c r="AC44" s="2">
        <f t="shared" si="60"/>
        <v>-70.931053663901253</v>
      </c>
      <c r="AD44" s="2">
        <f t="shared" si="60"/>
        <v>-74.042095342836006</v>
      </c>
      <c r="AE44"/>
      <c r="AF44" s="2">
        <f t="shared" si="61"/>
        <v>76.237236533957855</v>
      </c>
      <c r="AG44" s="2">
        <f t="shared" si="61"/>
        <v>76.237236533957855</v>
      </c>
      <c r="AH44" s="2">
        <f t="shared" si="61"/>
        <v>76.237236533957855</v>
      </c>
      <c r="AI44" s="2">
        <f t="shared" si="61"/>
        <v>76.237236533957855</v>
      </c>
      <c r="AJ44" s="2">
        <f t="shared" si="61"/>
        <v>76.237236533957855</v>
      </c>
      <c r="AK44" s="2">
        <f t="shared" si="61"/>
        <v>76.237236533957855</v>
      </c>
      <c r="AL44" s="2">
        <f t="shared" si="61"/>
        <v>76.237236533957855</v>
      </c>
      <c r="AM44"/>
      <c r="AN44" s="24">
        <f t="shared" si="47"/>
        <v>35.897359458403464</v>
      </c>
      <c r="AO44" s="24">
        <f t="shared" si="48"/>
        <v>27.952149398660495</v>
      </c>
      <c r="AP44" s="24">
        <f t="shared" si="49"/>
        <v>22.094063618116365</v>
      </c>
      <c r="AQ44" s="24">
        <f t="shared" si="50"/>
        <v>9.5549395150849961</v>
      </c>
      <c r="AR44" s="24">
        <f t="shared" si="51"/>
        <v>7.5760027365033551</v>
      </c>
      <c r="AS44" s="24">
        <f t="shared" si="52"/>
        <v>5.3061828700566025</v>
      </c>
      <c r="AT44" s="24">
        <f t="shared" si="53"/>
        <v>2.1951411911218486</v>
      </c>
      <c r="AU44"/>
      <c r="AV44" s="74">
        <f t="shared" si="62"/>
        <v>24.058938329430134</v>
      </c>
      <c r="AW44" s="74">
        <f t="shared" si="62"/>
        <v>14.43536299765808</v>
      </c>
      <c r="AX44" s="74">
        <f t="shared" si="62"/>
        <v>4.811787665886027</v>
      </c>
      <c r="AY44" s="74">
        <f t="shared" si="62"/>
        <v>4.3306088992974248</v>
      </c>
      <c r="AZ44" s="74">
        <f t="shared" si="62"/>
        <v>4.1702159771012237</v>
      </c>
      <c r="BA44" s="74">
        <f t="shared" si="62"/>
        <v>4.0098230549050236</v>
      </c>
      <c r="BB44" s="74">
        <f t="shared" si="62"/>
        <v>3.8494301327088229</v>
      </c>
      <c r="BC44" s="454"/>
      <c r="BD44" s="74">
        <f t="shared" si="63"/>
        <v>11.286417456366845</v>
      </c>
      <c r="BE44" s="74">
        <f t="shared" si="63"/>
        <v>6.8893886903768733</v>
      </c>
      <c r="BF44" s="74">
        <f t="shared" si="63"/>
        <v>2.5300805664371122</v>
      </c>
      <c r="BG44" s="74">
        <f t="shared" si="63"/>
        <v>2.2636961487817375</v>
      </c>
      <c r="BH44" s="74">
        <f t="shared" si="63"/>
        <v>2.1661431857829729</v>
      </c>
      <c r="BI44" s="74">
        <f t="shared" si="63"/>
        <v>2.0604535537948321</v>
      </c>
      <c r="BJ44" s="74">
        <f t="shared" si="63"/>
        <v>1.972992526863786</v>
      </c>
      <c r="BK44" s="455"/>
      <c r="BL44" s="74">
        <f t="shared" si="64"/>
        <v>0</v>
      </c>
      <c r="BM44" s="74">
        <f t="shared" si="64"/>
        <v>0</v>
      </c>
      <c r="BN44" s="74">
        <f t="shared" si="64"/>
        <v>0</v>
      </c>
      <c r="BO44" s="74">
        <f t="shared" si="64"/>
        <v>0</v>
      </c>
      <c r="BP44" s="74">
        <f t="shared" si="64"/>
        <v>0</v>
      </c>
      <c r="BQ44" s="74">
        <f t="shared" si="64"/>
        <v>0</v>
      </c>
      <c r="BR44" s="74">
        <f t="shared" si="64"/>
        <v>0</v>
      </c>
      <c r="BS44" s="454"/>
      <c r="BT44" s="74">
        <f t="shared" si="65"/>
        <v>27.492199982427785</v>
      </c>
      <c r="BU44" s="74">
        <f t="shared" si="65"/>
        <v>18.582747211697527</v>
      </c>
      <c r="BV44" s="74">
        <f t="shared" si="65"/>
        <v>15.094055724473352</v>
      </c>
      <c r="BW44" s="74">
        <f t="shared" si="65"/>
        <v>16.282749011458474</v>
      </c>
      <c r="BX44" s="74">
        <f t="shared" si="65"/>
        <v>16.742513341064466</v>
      </c>
      <c r="BY44" s="74">
        <f t="shared" si="65"/>
        <v>16.941069049202564</v>
      </c>
      <c r="BZ44" s="74">
        <f t="shared" si="65"/>
        <v>16.599766426375037</v>
      </c>
    </row>
    <row r="45" spans="1:78" x14ac:dyDescent="0.2">
      <c r="A45" s="452"/>
      <c r="B45" s="453" t="str">
        <f t="shared" si="39"/>
        <v>Biodiesel (HtL) - Middle East - Fuel cost - USD/GJ</v>
      </c>
      <c r="C45" s="453" t="str">
        <f t="shared" si="40"/>
        <v>Biodiesel (HtL) - Middle East</v>
      </c>
      <c r="D45" s="74">
        <f t="shared" si="41"/>
        <v>42.7</v>
      </c>
      <c r="E45" t="s">
        <v>197</v>
      </c>
      <c r="F45" t="str">
        <f t="shared" si="42"/>
        <v>Biodiesel (HtL)</v>
      </c>
      <c r="G45" t="s">
        <v>828</v>
      </c>
      <c r="H45" s="74">
        <f t="shared" si="58"/>
        <v>159.24861814604643</v>
      </c>
      <c r="I45" s="74">
        <f t="shared" si="58"/>
        <v>52.093992633448707</v>
      </c>
      <c r="J45" s="74">
        <f t="shared" si="58"/>
        <v>22.867301152660449</v>
      </c>
      <c r="K45" s="74">
        <f t="shared" si="58"/>
        <v>22.468711512753888</v>
      </c>
      <c r="L45" s="74">
        <f t="shared" si="58"/>
        <v>22.146981897162163</v>
      </c>
      <c r="M45" s="74">
        <f t="shared" si="58"/>
        <v>21.70795405366486</v>
      </c>
      <c r="N45" s="74">
        <f t="shared" si="58"/>
        <v>21.03426875619305</v>
      </c>
      <c r="O45" s="454"/>
      <c r="P45" s="74">
        <f t="shared" si="59"/>
        <v>0.78584619240382514</v>
      </c>
      <c r="Q45" s="74">
        <f t="shared" si="59"/>
        <v>0.63272910014421757</v>
      </c>
      <c r="R45" s="74">
        <f t="shared" si="59"/>
        <v>0.52940766697493258</v>
      </c>
      <c r="S45" s="74">
        <f t="shared" si="59"/>
        <v>0.45650395071663369</v>
      </c>
      <c r="T45" s="74">
        <f t="shared" si="59"/>
        <v>0.41937418177957075</v>
      </c>
      <c r="U45" s="74">
        <f t="shared" si="59"/>
        <v>0.37150930318096043</v>
      </c>
      <c r="V45" s="74">
        <f t="shared" si="59"/>
        <v>0.34853424511054748</v>
      </c>
      <c r="W45"/>
      <c r="X45" s="2">
        <f t="shared" si="60"/>
        <v>-54.006278557194555</v>
      </c>
      <c r="Y45" s="2">
        <f t="shared" si="60"/>
        <v>-58.557346422110115</v>
      </c>
      <c r="Z45" s="2">
        <f t="shared" si="60"/>
        <v>-62.105357424160069</v>
      </c>
      <c r="AA45" s="2">
        <f t="shared" si="60"/>
        <v>-68.865406081251962</v>
      </c>
      <c r="AB45" s="2">
        <f t="shared" si="60"/>
        <v>-70.54844160158919</v>
      </c>
      <c r="AC45" s="2">
        <f t="shared" si="60"/>
        <v>-72.371324760323077</v>
      </c>
      <c r="AD45" s="2">
        <f t="shared" si="60"/>
        <v>-74.598641482753152</v>
      </c>
      <c r="AE45"/>
      <c r="AF45" s="2">
        <f t="shared" si="61"/>
        <v>76.237236533957855</v>
      </c>
      <c r="AG45" s="2">
        <f t="shared" si="61"/>
        <v>76.237236533957855</v>
      </c>
      <c r="AH45" s="2">
        <f t="shared" si="61"/>
        <v>76.237236533957855</v>
      </c>
      <c r="AI45" s="2">
        <f t="shared" si="61"/>
        <v>76.237236533957855</v>
      </c>
      <c r="AJ45" s="2">
        <f t="shared" si="61"/>
        <v>76.237236533957855</v>
      </c>
      <c r="AK45" s="2">
        <f t="shared" si="61"/>
        <v>76.237236533957855</v>
      </c>
      <c r="AL45" s="2">
        <f t="shared" si="61"/>
        <v>76.237236533957855</v>
      </c>
      <c r="AM45"/>
      <c r="AN45" s="24">
        <f t="shared" si="47"/>
        <v>22.2309579767633</v>
      </c>
      <c r="AO45" s="24">
        <f t="shared" si="48"/>
        <v>17.67989011184774</v>
      </c>
      <c r="AP45" s="24">
        <f t="shared" si="49"/>
        <v>14.131879109797786</v>
      </c>
      <c r="AQ45" s="24">
        <f t="shared" si="50"/>
        <v>7.3718304527058933</v>
      </c>
      <c r="AR45" s="24">
        <f t="shared" si="51"/>
        <v>5.6887949323686655</v>
      </c>
      <c r="AS45" s="24">
        <f t="shared" si="52"/>
        <v>3.8659117736347781</v>
      </c>
      <c r="AT45" s="24">
        <f t="shared" si="53"/>
        <v>1.6385950512047032</v>
      </c>
      <c r="AU45"/>
      <c r="AV45" s="74">
        <f t="shared" si="62"/>
        <v>30.789105244461663</v>
      </c>
      <c r="AW45" s="74">
        <f t="shared" si="62"/>
        <v>18.473463146676998</v>
      </c>
      <c r="AX45" s="74">
        <f t="shared" si="62"/>
        <v>6.1578210488923331</v>
      </c>
      <c r="AY45" s="74">
        <f t="shared" si="62"/>
        <v>5.7883517859587936</v>
      </c>
      <c r="AZ45" s="74">
        <f t="shared" si="62"/>
        <v>5.6036171544920235</v>
      </c>
      <c r="BA45" s="74">
        <f t="shared" si="62"/>
        <v>5.4188825230252533</v>
      </c>
      <c r="BB45" s="74">
        <f t="shared" si="62"/>
        <v>5.2341478915584831</v>
      </c>
      <c r="BC45" s="454"/>
      <c r="BD45" s="74">
        <f t="shared" si="63"/>
        <v>112.90800471039641</v>
      </c>
      <c r="BE45" s="74">
        <f t="shared" si="63"/>
        <v>22.58160094207928</v>
      </c>
      <c r="BF45" s="74">
        <f t="shared" si="63"/>
        <v>7.5272003140264276</v>
      </c>
      <c r="BG45" s="74">
        <f t="shared" si="63"/>
        <v>7.0755682951848415</v>
      </c>
      <c r="BH45" s="74">
        <f t="shared" si="63"/>
        <v>6.8497522857640494</v>
      </c>
      <c r="BI45" s="74">
        <f t="shared" si="63"/>
        <v>6.6239362763432572</v>
      </c>
      <c r="BJ45" s="74">
        <f t="shared" si="63"/>
        <v>6.3981202669224642</v>
      </c>
      <c r="BK45" s="455"/>
      <c r="BL45" s="74">
        <f t="shared" si="64"/>
        <v>0</v>
      </c>
      <c r="BM45" s="74">
        <f t="shared" si="64"/>
        <v>0</v>
      </c>
      <c r="BN45" s="74">
        <f t="shared" si="64"/>
        <v>0</v>
      </c>
      <c r="BO45" s="74">
        <f t="shared" si="64"/>
        <v>0</v>
      </c>
      <c r="BP45" s="74">
        <f t="shared" si="64"/>
        <v>0</v>
      </c>
      <c r="BQ45" s="74">
        <f t="shared" si="64"/>
        <v>0</v>
      </c>
      <c r="BR45" s="74">
        <f t="shared" si="64"/>
        <v>0</v>
      </c>
      <c r="BS45" s="454"/>
      <c r="BT45" s="74">
        <f t="shared" si="65"/>
        <v>14.765661998784509</v>
      </c>
      <c r="BU45" s="74">
        <f t="shared" si="65"/>
        <v>10.406199444548209</v>
      </c>
      <c r="BV45" s="74">
        <f t="shared" si="65"/>
        <v>8.6528721227667553</v>
      </c>
      <c r="BW45" s="74">
        <f t="shared" si="65"/>
        <v>9.1482874808936199</v>
      </c>
      <c r="BX45" s="74">
        <f t="shared" si="65"/>
        <v>9.2742382751265176</v>
      </c>
      <c r="BY45" s="74">
        <f t="shared" si="65"/>
        <v>9.2936259511153878</v>
      </c>
      <c r="BZ45" s="74">
        <f t="shared" si="65"/>
        <v>9.0534663526015553</v>
      </c>
    </row>
    <row r="46" spans="1:78" x14ac:dyDescent="0.2">
      <c r="A46" s="452"/>
      <c r="B46" s="453" t="str">
        <f t="shared" si="39"/>
        <v>Biomethanol - Middle East - Fuel cost - USD/GJ</v>
      </c>
      <c r="C46" s="453" t="str">
        <f t="shared" si="40"/>
        <v>Biomethanol - Middle East</v>
      </c>
      <c r="D46" s="74">
        <f t="shared" si="41"/>
        <v>19.899999999999999</v>
      </c>
      <c r="E46" t="s">
        <v>197</v>
      </c>
      <c r="F46" t="str">
        <f t="shared" si="42"/>
        <v>Biomethanol</v>
      </c>
      <c r="G46" t="s">
        <v>828</v>
      </c>
      <c r="H46" s="74">
        <f t="shared" si="58"/>
        <v>51.148611071247103</v>
      </c>
      <c r="I46" s="74">
        <f t="shared" si="58"/>
        <v>36.267968291908637</v>
      </c>
      <c r="J46" s="74">
        <f t="shared" si="58"/>
        <v>30.775397580120025</v>
      </c>
      <c r="K46" s="74">
        <f t="shared" si="58"/>
        <v>28.493542733728571</v>
      </c>
      <c r="L46" s="74">
        <f t="shared" si="58"/>
        <v>26.322919912328949</v>
      </c>
      <c r="M46" s="74">
        <f t="shared" si="58"/>
        <v>25.008005744408258</v>
      </c>
      <c r="N46" s="74">
        <f t="shared" si="58"/>
        <v>23.728223057247487</v>
      </c>
      <c r="O46" s="454"/>
      <c r="P46" s="74">
        <f t="shared" si="59"/>
        <v>0</v>
      </c>
      <c r="Q46" s="74">
        <f t="shared" si="59"/>
        <v>0</v>
      </c>
      <c r="R46" s="74">
        <f t="shared" si="59"/>
        <v>0</v>
      </c>
      <c r="S46" s="74">
        <f t="shared" si="59"/>
        <v>0</v>
      </c>
      <c r="T46" s="74">
        <f t="shared" si="59"/>
        <v>0</v>
      </c>
      <c r="U46" s="74">
        <f t="shared" si="59"/>
        <v>0</v>
      </c>
      <c r="V46" s="74">
        <f t="shared" si="59"/>
        <v>0</v>
      </c>
      <c r="W46"/>
      <c r="X46" s="2">
        <f t="shared" si="60"/>
        <v>-58.0093628242169</v>
      </c>
      <c r="Y46" s="2">
        <f t="shared" si="60"/>
        <v>-59.650981687637127</v>
      </c>
      <c r="Z46" s="2">
        <f t="shared" si="60"/>
        <v>-61.293041481198266</v>
      </c>
      <c r="AA46" s="2">
        <f t="shared" si="60"/>
        <v>-62.93510127475939</v>
      </c>
      <c r="AB46" s="2">
        <f t="shared" si="60"/>
        <v>-64.577161068320521</v>
      </c>
      <c r="AC46" s="2">
        <f t="shared" si="60"/>
        <v>-66.219220861881638</v>
      </c>
      <c r="AD46" s="2">
        <f t="shared" si="60"/>
        <v>-67.861280655442783</v>
      </c>
      <c r="AE46"/>
      <c r="AF46" s="2">
        <f t="shared" si="61"/>
        <v>69.095477386934675</v>
      </c>
      <c r="AG46" s="2">
        <f t="shared" si="61"/>
        <v>69.095477386934675</v>
      </c>
      <c r="AH46" s="2">
        <f t="shared" si="61"/>
        <v>69.095477386934675</v>
      </c>
      <c r="AI46" s="2">
        <f t="shared" si="61"/>
        <v>69.095477386934675</v>
      </c>
      <c r="AJ46" s="2">
        <f t="shared" si="61"/>
        <v>69.095477386934675</v>
      </c>
      <c r="AK46" s="2">
        <f t="shared" si="61"/>
        <v>69.095477386934675</v>
      </c>
      <c r="AL46" s="2">
        <f t="shared" si="61"/>
        <v>69.095477386934675</v>
      </c>
      <c r="AM46"/>
      <c r="AN46" s="24">
        <f t="shared" si="47"/>
        <v>11.086114562717775</v>
      </c>
      <c r="AO46" s="24">
        <f t="shared" si="48"/>
        <v>9.4444956992975477</v>
      </c>
      <c r="AP46" s="24">
        <f t="shared" si="49"/>
        <v>7.8024359057364094</v>
      </c>
      <c r="AQ46" s="24">
        <f t="shared" si="50"/>
        <v>6.1603761121752854</v>
      </c>
      <c r="AR46" s="24">
        <f t="shared" si="51"/>
        <v>4.5183163186141542</v>
      </c>
      <c r="AS46" s="24">
        <f t="shared" si="52"/>
        <v>2.8762565250530372</v>
      </c>
      <c r="AT46" s="24">
        <f t="shared" si="53"/>
        <v>1.2341967314918918</v>
      </c>
      <c r="AU46"/>
      <c r="AV46" s="74">
        <f t="shared" si="62"/>
        <v>23.969849246231163</v>
      </c>
      <c r="AW46" s="74">
        <f t="shared" si="62"/>
        <v>15.092127303182586</v>
      </c>
      <c r="AX46" s="74">
        <f t="shared" si="62"/>
        <v>11.762981574539367</v>
      </c>
      <c r="AY46" s="74">
        <f t="shared" si="62"/>
        <v>10.320351758793974</v>
      </c>
      <c r="AZ46" s="74">
        <f t="shared" si="62"/>
        <v>8.877721943048579</v>
      </c>
      <c r="BA46" s="74">
        <f t="shared" si="62"/>
        <v>7.9899497487437205</v>
      </c>
      <c r="BB46" s="74">
        <f t="shared" si="62"/>
        <v>7.102177554438863</v>
      </c>
      <c r="BC46" s="454"/>
      <c r="BD46" s="74">
        <f t="shared" si="63"/>
        <v>17.389849343139758</v>
      </c>
      <c r="BE46" s="74">
        <f t="shared" si="63"/>
        <v>11.1437257122691</v>
      </c>
      <c r="BF46" s="74">
        <f t="shared" si="63"/>
        <v>8.7370979345429287</v>
      </c>
      <c r="BG46" s="74">
        <f t="shared" si="63"/>
        <v>7.6546701093160925</v>
      </c>
      <c r="BH46" s="74">
        <f t="shared" si="63"/>
        <v>6.6226736104359007</v>
      </c>
      <c r="BI46" s="74">
        <f t="shared" si="63"/>
        <v>5.9523288422392904</v>
      </c>
      <c r="BJ46" s="74">
        <f t="shared" si="63"/>
        <v>5.3171155548026015</v>
      </c>
      <c r="BK46" s="455"/>
      <c r="BL46" s="74">
        <f t="shared" si="64"/>
        <v>0</v>
      </c>
      <c r="BM46" s="74">
        <f t="shared" si="64"/>
        <v>0</v>
      </c>
      <c r="BN46" s="74">
        <f t="shared" si="64"/>
        <v>0</v>
      </c>
      <c r="BO46" s="74">
        <f t="shared" si="64"/>
        <v>0</v>
      </c>
      <c r="BP46" s="74">
        <f t="shared" si="64"/>
        <v>0</v>
      </c>
      <c r="BQ46" s="74">
        <f t="shared" si="64"/>
        <v>0</v>
      </c>
      <c r="BR46" s="74">
        <f t="shared" si="64"/>
        <v>0</v>
      </c>
      <c r="BS46" s="454"/>
      <c r="BT46" s="74">
        <f t="shared" si="65"/>
        <v>9.7889124818761797</v>
      </c>
      <c r="BU46" s="74">
        <f t="shared" si="65"/>
        <v>10.032115276456954</v>
      </c>
      <c r="BV46" s="74">
        <f t="shared" si="65"/>
        <v>10.275318071037729</v>
      </c>
      <c r="BW46" s="74">
        <f t="shared" si="65"/>
        <v>10.518520865618504</v>
      </c>
      <c r="BX46" s="74">
        <f t="shared" si="65"/>
        <v>10.822524358844472</v>
      </c>
      <c r="BY46" s="74">
        <f t="shared" si="65"/>
        <v>11.065727153425247</v>
      </c>
      <c r="BZ46" s="74">
        <f t="shared" si="65"/>
        <v>11.308929948006021</v>
      </c>
    </row>
    <row r="47" spans="1:78" x14ac:dyDescent="0.2">
      <c r="A47" s="452"/>
      <c r="B47" s="453" t="str">
        <f t="shared" si="39"/>
        <v>Biodiesel (HtL blend) - Middle East - Fuel cost - USD/GJ</v>
      </c>
      <c r="C47" s="453" t="str">
        <f t="shared" si="40"/>
        <v>Biodiesel (HtL blend) - Middle East</v>
      </c>
      <c r="D47" s="77">
        <f>+INDEX('Fuel Model -  Input'!$H$15:$H$44,MATCH(F47,'Fuel Model -  Input'!$F$15:$F$44,0))/1000</f>
        <v>38.6</v>
      </c>
      <c r="E47" t="s">
        <v>197</v>
      </c>
      <c r="F47" t="str">
        <f t="shared" si="42"/>
        <v>Biodiesel (HtL blend)</v>
      </c>
      <c r="G47" t="s">
        <v>828</v>
      </c>
      <c r="H47" s="74">
        <f t="shared" si="58"/>
        <v>39.770169052364537</v>
      </c>
      <c r="I47" s="74">
        <f t="shared" si="58"/>
        <v>26.57534669562699</v>
      </c>
      <c r="J47" s="74">
        <f t="shared" si="58"/>
        <v>16.028294547379293</v>
      </c>
      <c r="K47" s="74">
        <f t="shared" si="58"/>
        <v>15.656159943832831</v>
      </c>
      <c r="L47" s="74">
        <f t="shared" si="58"/>
        <v>15.51471469093722</v>
      </c>
      <c r="M47" s="74">
        <f t="shared" si="58"/>
        <v>15.354664547990222</v>
      </c>
      <c r="N47" s="74">
        <f t="shared" si="58"/>
        <v>15.203086269025318</v>
      </c>
      <c r="O47" s="454"/>
      <c r="P47" s="74">
        <f t="shared" si="59"/>
        <v>0.26748212367989904</v>
      </c>
      <c r="Q47" s="74">
        <f t="shared" si="59"/>
        <v>0.21536494680078191</v>
      </c>
      <c r="R47" s="74">
        <f t="shared" si="59"/>
        <v>0.18019695001857011</v>
      </c>
      <c r="S47" s="74">
        <f t="shared" si="59"/>
        <v>0.15538237302192315</v>
      </c>
      <c r="T47" s="74">
        <f t="shared" si="59"/>
        <v>0.1427443408687738</v>
      </c>
      <c r="U47" s="74">
        <f t="shared" si="59"/>
        <v>0.12645234950838591</v>
      </c>
      <c r="V47" s="74">
        <f t="shared" si="59"/>
        <v>0.11863222213009469</v>
      </c>
      <c r="W47"/>
      <c r="X47" s="2">
        <f t="shared" si="60"/>
        <v>-3.3241003623372918</v>
      </c>
      <c r="Y47" s="2">
        <f t="shared" si="60"/>
        <v>-3.7421924641576072</v>
      </c>
      <c r="Z47" s="2">
        <f t="shared" si="60"/>
        <v>-4.1604475212863958</v>
      </c>
      <c r="AA47" s="2">
        <f t="shared" si="60"/>
        <v>-4.5787025784151894</v>
      </c>
      <c r="AB47" s="2">
        <f t="shared" si="60"/>
        <v>-4.9969576355439838</v>
      </c>
      <c r="AC47" s="2">
        <f t="shared" si="60"/>
        <v>-5.4152126926727746</v>
      </c>
      <c r="AD47" s="2">
        <f t="shared" si="60"/>
        <v>-5.8334677498015717</v>
      </c>
      <c r="AE47" s="2"/>
      <c r="AF47" s="2">
        <f t="shared" si="61"/>
        <v>65.50944732297063</v>
      </c>
      <c r="AG47" s="2">
        <f t="shared" si="61"/>
        <v>65.50944732297063</v>
      </c>
      <c r="AH47" s="2">
        <f t="shared" si="61"/>
        <v>65.50944732297063</v>
      </c>
      <c r="AI47" s="2">
        <f t="shared" si="61"/>
        <v>65.50944732297063</v>
      </c>
      <c r="AJ47" s="2">
        <f t="shared" si="61"/>
        <v>65.50944732297063</v>
      </c>
      <c r="AK47" s="2">
        <f t="shared" si="61"/>
        <v>65.50944732297063</v>
      </c>
      <c r="AL47" s="2">
        <f t="shared" si="61"/>
        <v>65.50944732297063</v>
      </c>
      <c r="AM47"/>
      <c r="AN47" s="24">
        <f t="shared" si="47"/>
        <v>62.185346960633339</v>
      </c>
      <c r="AO47" s="24">
        <f t="shared" si="48"/>
        <v>61.767254858813025</v>
      </c>
      <c r="AP47" s="24">
        <f t="shared" si="49"/>
        <v>61.348999801684236</v>
      </c>
      <c r="AQ47" s="24">
        <f t="shared" si="50"/>
        <v>60.93074474455544</v>
      </c>
      <c r="AR47" s="24">
        <f t="shared" si="51"/>
        <v>60.512489687426644</v>
      </c>
      <c r="AS47" s="24">
        <f t="shared" si="52"/>
        <v>60.094234630297855</v>
      </c>
      <c r="AT47" s="24">
        <f t="shared" si="53"/>
        <v>59.675979573169059</v>
      </c>
      <c r="AU47"/>
      <c r="AV47" s="74">
        <f t="shared" si="62"/>
        <v>10.479830960051917</v>
      </c>
      <c r="AW47" s="74">
        <f t="shared" si="62"/>
        <v>6.2878985760311501</v>
      </c>
      <c r="AX47" s="74">
        <f t="shared" si="62"/>
        <v>2.0959661920103838</v>
      </c>
      <c r="AY47" s="74">
        <f t="shared" si="62"/>
        <v>1.9962906239019969</v>
      </c>
      <c r="AZ47" s="74">
        <f t="shared" si="62"/>
        <v>1.9464528398478036</v>
      </c>
      <c r="BA47" s="74">
        <f t="shared" si="62"/>
        <v>1.8966150557936103</v>
      </c>
      <c r="BB47" s="74">
        <f t="shared" si="62"/>
        <v>1.8467772717394171</v>
      </c>
      <c r="BC47" s="454"/>
      <c r="BD47" s="74">
        <f t="shared" si="63"/>
        <v>12.810340909084436</v>
      </c>
      <c r="BE47" s="74">
        <f t="shared" si="63"/>
        <v>7.6862045454506607</v>
      </c>
      <c r="BF47" s="74">
        <f t="shared" si="63"/>
        <v>2.5620681818168873</v>
      </c>
      <c r="BG47" s="74">
        <f t="shared" si="63"/>
        <v>2.2546199999988605</v>
      </c>
      <c r="BH47" s="74">
        <f t="shared" si="63"/>
        <v>2.1008959090898474</v>
      </c>
      <c r="BI47" s="74">
        <f t="shared" si="63"/>
        <v>1.947171818180834</v>
      </c>
      <c r="BJ47" s="74">
        <f t="shared" si="63"/>
        <v>1.7934477272718208</v>
      </c>
      <c r="BK47" s="455"/>
      <c r="BL47" s="74">
        <f t="shared" si="64"/>
        <v>0</v>
      </c>
      <c r="BM47" s="74">
        <f t="shared" si="64"/>
        <v>0</v>
      </c>
      <c r="BN47" s="74">
        <f t="shared" si="64"/>
        <v>0</v>
      </c>
      <c r="BO47" s="74">
        <f t="shared" si="64"/>
        <v>0</v>
      </c>
      <c r="BP47" s="74">
        <f t="shared" si="64"/>
        <v>0</v>
      </c>
      <c r="BQ47" s="74">
        <f t="shared" si="64"/>
        <v>0</v>
      </c>
      <c r="BR47" s="74">
        <f t="shared" si="64"/>
        <v>0</v>
      </c>
      <c r="BS47" s="454"/>
      <c r="BT47" s="74">
        <f t="shared" si="65"/>
        <v>16.212515059548288</v>
      </c>
      <c r="BU47" s="74">
        <f t="shared" si="65"/>
        <v>12.385878627344397</v>
      </c>
      <c r="BV47" s="74">
        <f t="shared" si="65"/>
        <v>11.190063223533452</v>
      </c>
      <c r="BW47" s="74">
        <f t="shared" si="65"/>
        <v>11.249866946910048</v>
      </c>
      <c r="BX47" s="74">
        <f t="shared" si="65"/>
        <v>11.324621601130794</v>
      </c>
      <c r="BY47" s="74">
        <f t="shared" si="65"/>
        <v>11.384425324507392</v>
      </c>
      <c r="BZ47" s="74">
        <f t="shared" si="65"/>
        <v>11.444229047883987</v>
      </c>
    </row>
    <row r="48" spans="1:78" x14ac:dyDescent="0.2">
      <c r="A48" s="452"/>
      <c r="B48" s="453" t="str">
        <f t="shared" si="39"/>
        <v>Biodiesel (Pyr blend) - Middle East - Fuel cost - USD/GJ</v>
      </c>
      <c r="C48" s="453" t="str">
        <f t="shared" si="40"/>
        <v>Biodiesel (Pyr blend) - Middle East</v>
      </c>
      <c r="D48" s="77">
        <f>+INDEX('Fuel Model -  Input'!$H$15:$H$44,MATCH(F48,'Fuel Model -  Input'!$F$15:$F$44,0))/1000</f>
        <v>34.28</v>
      </c>
      <c r="E48" t="s">
        <v>197</v>
      </c>
      <c r="F48" t="str">
        <f t="shared" si="42"/>
        <v>Biodiesel (Pyr blend)</v>
      </c>
      <c r="G48" t="s">
        <v>828</v>
      </c>
      <c r="H48" s="74">
        <f t="shared" si="58"/>
        <v>24.737991645513468</v>
      </c>
      <c r="I48" s="74">
        <f t="shared" si="58"/>
        <v>17.769581867277488</v>
      </c>
      <c r="J48" s="74">
        <f t="shared" si="58"/>
        <v>14.258492301616094</v>
      </c>
      <c r="K48" s="74">
        <f t="shared" si="58"/>
        <v>14.226808461308513</v>
      </c>
      <c r="L48" s="74">
        <f t="shared" si="58"/>
        <v>14.276730539519503</v>
      </c>
      <c r="M48" s="74">
        <f t="shared" si="58"/>
        <v>14.30981287142586</v>
      </c>
      <c r="N48" s="74">
        <f t="shared" si="58"/>
        <v>14.343491467550781</v>
      </c>
      <c r="O48" s="454"/>
      <c r="P48" s="74">
        <f t="shared" si="59"/>
        <v>0</v>
      </c>
      <c r="Q48" s="74">
        <f t="shared" si="59"/>
        <v>0</v>
      </c>
      <c r="R48" s="74">
        <f t="shared" si="59"/>
        <v>0</v>
      </c>
      <c r="S48" s="74">
        <f t="shared" si="59"/>
        <v>0</v>
      </c>
      <c r="T48" s="74">
        <f t="shared" si="59"/>
        <v>0</v>
      </c>
      <c r="U48" s="74">
        <f t="shared" si="59"/>
        <v>0</v>
      </c>
      <c r="V48" s="74">
        <f t="shared" si="59"/>
        <v>0</v>
      </c>
      <c r="W48"/>
      <c r="X48" s="2">
        <f t="shared" si="60"/>
        <v>-1.3339806999597574</v>
      </c>
      <c r="Y48" s="2">
        <f t="shared" si="60"/>
        <v>-1.5577242046437272</v>
      </c>
      <c r="Z48" s="2">
        <f t="shared" si="60"/>
        <v>-1.7814677093277003</v>
      </c>
      <c r="AA48" s="2">
        <f t="shared" si="60"/>
        <v>-2.0052112140116702</v>
      </c>
      <c r="AB48" s="2">
        <f t="shared" si="60"/>
        <v>-2.2289547186956429</v>
      </c>
      <c r="AC48" s="2">
        <f t="shared" si="60"/>
        <v>-2.452698223379616</v>
      </c>
      <c r="AD48" s="2">
        <f t="shared" si="60"/>
        <v>-2.6764417280635859</v>
      </c>
      <c r="AE48" s="2"/>
      <c r="AF48" s="2">
        <f t="shared" si="61"/>
        <v>80.800204200700108</v>
      </c>
      <c r="AG48" s="2">
        <f t="shared" si="61"/>
        <v>80.800204200700108</v>
      </c>
      <c r="AH48" s="2">
        <f t="shared" si="61"/>
        <v>80.800204200700108</v>
      </c>
      <c r="AI48" s="2">
        <f t="shared" si="61"/>
        <v>80.800204200700108</v>
      </c>
      <c r="AJ48" s="2">
        <f t="shared" si="61"/>
        <v>80.800204200700108</v>
      </c>
      <c r="AK48" s="2">
        <f t="shared" si="61"/>
        <v>80.800204200700108</v>
      </c>
      <c r="AL48" s="2">
        <f t="shared" si="61"/>
        <v>80.800204200700108</v>
      </c>
      <c r="AM48"/>
      <c r="AN48" s="24">
        <f t="shared" si="47"/>
        <v>79.466223500740355</v>
      </c>
      <c r="AO48" s="24">
        <f t="shared" si="48"/>
        <v>79.242479996056375</v>
      </c>
      <c r="AP48" s="24">
        <f t="shared" si="49"/>
        <v>79.018736491372408</v>
      </c>
      <c r="AQ48" s="24">
        <f t="shared" si="50"/>
        <v>78.794992986688442</v>
      </c>
      <c r="AR48" s="24">
        <f t="shared" si="51"/>
        <v>78.571249482004461</v>
      </c>
      <c r="AS48" s="24">
        <f t="shared" si="52"/>
        <v>78.347505977320495</v>
      </c>
      <c r="AT48" s="24">
        <f t="shared" si="53"/>
        <v>78.123762472636528</v>
      </c>
      <c r="AU48"/>
      <c r="AV48" s="74">
        <f t="shared" si="62"/>
        <v>3.5381676522849217</v>
      </c>
      <c r="AW48" s="74">
        <f t="shared" si="62"/>
        <v>2.1229005913709535</v>
      </c>
      <c r="AX48" s="74">
        <f t="shared" si="62"/>
        <v>0.70763353045698429</v>
      </c>
      <c r="AY48" s="74">
        <f t="shared" si="62"/>
        <v>0.63687017741128604</v>
      </c>
      <c r="AZ48" s="74">
        <f t="shared" si="62"/>
        <v>0.61328239306271981</v>
      </c>
      <c r="BA48" s="74">
        <f t="shared" si="62"/>
        <v>0.5896946087141538</v>
      </c>
      <c r="BB48" s="74">
        <f t="shared" si="62"/>
        <v>0.56610682436558757</v>
      </c>
      <c r="BC48" s="454"/>
      <c r="BD48" s="74">
        <f t="shared" si="63"/>
        <v>1.2942492208072256</v>
      </c>
      <c r="BE48" s="74">
        <f t="shared" si="63"/>
        <v>0.7803942497639913</v>
      </c>
      <c r="BF48" s="74">
        <f t="shared" si="63"/>
        <v>0.26777313447030415</v>
      </c>
      <c r="BG48" s="74">
        <f t="shared" si="63"/>
        <v>0.24055827545020803</v>
      </c>
      <c r="BH48" s="74">
        <f t="shared" si="63"/>
        <v>0.23120017331199691</v>
      </c>
      <c r="BI48" s="74">
        <f t="shared" si="63"/>
        <v>0.22157591780870406</v>
      </c>
      <c r="BJ48" s="74">
        <f t="shared" si="63"/>
        <v>0.21254792652397866</v>
      </c>
      <c r="BK48" s="455"/>
      <c r="BL48" s="74">
        <f t="shared" si="64"/>
        <v>0</v>
      </c>
      <c r="BM48" s="74">
        <f t="shared" si="64"/>
        <v>0</v>
      </c>
      <c r="BN48" s="74">
        <f t="shared" si="64"/>
        <v>0</v>
      </c>
      <c r="BO48" s="74">
        <f t="shared" si="64"/>
        <v>0</v>
      </c>
      <c r="BP48" s="74">
        <f t="shared" si="64"/>
        <v>0</v>
      </c>
      <c r="BQ48" s="74">
        <f t="shared" si="64"/>
        <v>0</v>
      </c>
      <c r="BR48" s="74">
        <f t="shared" si="64"/>
        <v>0</v>
      </c>
      <c r="BS48" s="454"/>
      <c r="BT48" s="74">
        <f t="shared" si="65"/>
        <v>19.905574772421321</v>
      </c>
      <c r="BU48" s="74">
        <f t="shared" si="65"/>
        <v>14.866287026142542</v>
      </c>
      <c r="BV48" s="74">
        <f t="shared" si="65"/>
        <v>13.283085636688806</v>
      </c>
      <c r="BW48" s="74">
        <f t="shared" si="65"/>
        <v>13.349380008447019</v>
      </c>
      <c r="BX48" s="74">
        <f t="shared" si="65"/>
        <v>13.432247973144786</v>
      </c>
      <c r="BY48" s="74">
        <f t="shared" si="65"/>
        <v>13.498542344903003</v>
      </c>
      <c r="BZ48" s="74">
        <f t="shared" si="65"/>
        <v>13.564836716661214</v>
      </c>
    </row>
    <row r="49" spans="1:78" x14ac:dyDescent="0.2">
      <c r="A49" s="452"/>
      <c r="B49" s="453"/>
      <c r="D49" s="74"/>
      <c r="E49"/>
      <c r="F49"/>
      <c r="G49"/>
      <c r="H49" s="74"/>
      <c r="I49" s="74"/>
      <c r="J49" s="74"/>
      <c r="K49" s="74"/>
      <c r="L49" s="74"/>
      <c r="M49" s="74"/>
      <c r="N49" s="74"/>
      <c r="O49" s="454"/>
      <c r="P49" s="74"/>
      <c r="Q49" s="74"/>
      <c r="R49" s="74"/>
      <c r="S49" s="74"/>
      <c r="T49" s="74"/>
      <c r="U49" s="74"/>
      <c r="V49" s="74"/>
      <c r="W49"/>
      <c r="X49"/>
      <c r="Y49"/>
      <c r="Z49"/>
      <c r="AA49"/>
      <c r="AB49"/>
      <c r="AC49"/>
      <c r="AD49"/>
      <c r="AE49"/>
      <c r="AF49" s="2"/>
      <c r="AG49" s="2"/>
      <c r="AH49" s="2"/>
      <c r="AI49" s="2"/>
      <c r="AJ49" s="2"/>
      <c r="AK49" s="2"/>
      <c r="AL49" s="2"/>
      <c r="AM49"/>
      <c r="AN49"/>
      <c r="AO49"/>
      <c r="AP49"/>
      <c r="AQ49"/>
      <c r="AR49"/>
      <c r="AS49"/>
      <c r="AT49"/>
      <c r="AU49"/>
      <c r="AV49" s="454"/>
      <c r="AW49" s="454"/>
      <c r="AX49" s="454"/>
      <c r="AY49" s="454"/>
      <c r="AZ49" s="454"/>
      <c r="BA49" s="454"/>
      <c r="BB49" s="454"/>
      <c r="BC49" s="454"/>
      <c r="BD49" s="455"/>
      <c r="BE49" s="455"/>
      <c r="BF49" s="455"/>
      <c r="BG49" s="455"/>
      <c r="BH49" s="455"/>
      <c r="BI49" s="455"/>
      <c r="BJ49" s="455"/>
      <c r="BK49" s="455"/>
      <c r="BL49" s="455"/>
      <c r="BM49" s="455"/>
      <c r="BN49" s="455"/>
      <c r="BO49" s="455"/>
      <c r="BP49" s="455"/>
      <c r="BQ49" s="454"/>
      <c r="BR49" s="454"/>
      <c r="BS49" s="454"/>
      <c r="BT49" s="454"/>
      <c r="BU49" s="454"/>
      <c r="BV49" s="454"/>
      <c r="BW49" s="454"/>
      <c r="BX49" s="454"/>
      <c r="BY49" s="454"/>
      <c r="BZ49" s="454"/>
    </row>
    <row r="50" spans="1:78" x14ac:dyDescent="0.2">
      <c r="A50" s="452"/>
      <c r="B50" s="453" t="str">
        <f t="shared" ref="B50:B70" si="66">_xlfn.TEXTJOIN(keydelim,TRUE,F50,IF(E50="Africa","Africa&amp;other",E50),"Fuel cost",SUBSTITUTE($G50," ",""))</f>
        <v>e-Hydrogen (liquid) - Asia - Fuel cost - USD/GJ</v>
      </c>
      <c r="C50" s="453" t="str">
        <f t="shared" ref="C50:C70" si="67">_xlfn.TEXTJOIN(keydelim,TRUE,F50,E50)</f>
        <v>e-Hydrogen (liquid) - Asia</v>
      </c>
      <c r="D50" s="74">
        <f t="shared" ref="D50:D68" si="68">D28</f>
        <v>120</v>
      </c>
      <c r="E50" t="s">
        <v>198</v>
      </c>
      <c r="F50" t="str">
        <f t="shared" ref="F50:F70" si="69">F28</f>
        <v>e-Hydrogen (liquid)</v>
      </c>
      <c r="G50" t="s">
        <v>828</v>
      </c>
      <c r="H50" s="74">
        <f t="shared" ref="H50:N59" si="70">INDEX(H$142:H$292,MATCH($E50&amp;$F50,$D$142:$D$292,0))/$D50</f>
        <v>67.417859571374194</v>
      </c>
      <c r="I50" s="74">
        <f t="shared" si="70"/>
        <v>49.785934459745484</v>
      </c>
      <c r="J50" s="74">
        <f t="shared" si="70"/>
        <v>42.199194112773448</v>
      </c>
      <c r="K50" s="74">
        <f t="shared" si="70"/>
        <v>37.799974479772381</v>
      </c>
      <c r="L50" s="74">
        <f t="shared" si="70"/>
        <v>33.85249688352026</v>
      </c>
      <c r="M50" s="74">
        <f t="shared" si="70"/>
        <v>29.066793606743413</v>
      </c>
      <c r="N50" s="74">
        <f t="shared" si="70"/>
        <v>25.271208239508088</v>
      </c>
      <c r="O50" s="454"/>
      <c r="P50" s="74">
        <f t="shared" ref="P50:V59" si="71">IFERROR(INDEX(P$142:P$292,MATCH($E50&amp;$F50,$D$142:$D$292,0))/$D50,"--")</f>
        <v>43.22266176094756</v>
      </c>
      <c r="Q50" s="74">
        <f t="shared" si="71"/>
        <v>28.080008604285755</v>
      </c>
      <c r="R50" s="74">
        <f t="shared" si="71"/>
        <v>22.452404557576973</v>
      </c>
      <c r="S50" s="74">
        <f t="shared" si="71"/>
        <v>18.268158756401192</v>
      </c>
      <c r="T50" s="74">
        <f t="shared" si="71"/>
        <v>15.865033435761271</v>
      </c>
      <c r="U50" s="74">
        <f t="shared" si="71"/>
        <v>13.336199598960404</v>
      </c>
      <c r="V50" s="74">
        <f t="shared" si="71"/>
        <v>12.010524858257732</v>
      </c>
      <c r="W50"/>
      <c r="X50" s="2">
        <f t="shared" ref="X50:AD59" si="72">INDEX(X$142:X$292,MATCH($E50&amp;$F50,$D$142:$D$292,0))/$D50*1000</f>
        <v>2.4279169967523235</v>
      </c>
      <c r="Y50" s="2">
        <f t="shared" si="72"/>
        <v>2.4164999999999996</v>
      </c>
      <c r="Z50" s="2">
        <f t="shared" si="72"/>
        <v>2.3844189608069937</v>
      </c>
      <c r="AA50" s="2">
        <f t="shared" si="72"/>
        <v>2.2992105071273761</v>
      </c>
      <c r="AB50" s="2">
        <f t="shared" si="72"/>
        <v>2.1968832906641627</v>
      </c>
      <c r="AC50" s="2">
        <f t="shared" si="72"/>
        <v>2.0606527991130323</v>
      </c>
      <c r="AD50" s="2">
        <f t="shared" si="72"/>
        <v>1.9533374999999999</v>
      </c>
      <c r="AE50"/>
      <c r="AF50" s="2">
        <f t="shared" ref="AF50:AL59" si="73">INDEX(AF$142:AF$292,MATCH($E50&amp;$F50,$D$142:$D$292,0))/$D50*1000</f>
        <v>0</v>
      </c>
      <c r="AG50" s="2">
        <f t="shared" si="73"/>
        <v>0</v>
      </c>
      <c r="AH50" s="2">
        <f t="shared" si="73"/>
        <v>0</v>
      </c>
      <c r="AI50" s="2">
        <f t="shared" si="73"/>
        <v>0</v>
      </c>
      <c r="AJ50" s="2">
        <f t="shared" si="73"/>
        <v>0</v>
      </c>
      <c r="AK50" s="2">
        <f t="shared" si="73"/>
        <v>0</v>
      </c>
      <c r="AL50" s="2">
        <f t="shared" si="73"/>
        <v>0</v>
      </c>
      <c r="AM50"/>
      <c r="AN50" s="24">
        <f t="shared" ref="AN50:AN70" si="74">X50+AF50</f>
        <v>2.4279169967523235</v>
      </c>
      <c r="AO50" s="24">
        <f t="shared" ref="AO50:AO70" si="75">Y50+AG50</f>
        <v>2.4164999999999996</v>
      </c>
      <c r="AP50" s="24">
        <f t="shared" ref="AP50:AP70" si="76">Z50+AH50</f>
        <v>2.3844189608069937</v>
      </c>
      <c r="AQ50" s="24">
        <f t="shared" ref="AQ50:AQ70" si="77">AA50+AI50</f>
        <v>2.2992105071273761</v>
      </c>
      <c r="AR50" s="24">
        <f t="shared" ref="AR50:AR70" si="78">AB50+AJ50</f>
        <v>2.1968832906641627</v>
      </c>
      <c r="AS50" s="24">
        <f t="shared" ref="AS50:AS70" si="79">AC50+AK50</f>
        <v>2.0606527991130323</v>
      </c>
      <c r="AT50" s="24">
        <f t="shared" ref="AT50:AT70" si="80">AD50+AL50</f>
        <v>1.9533374999999999</v>
      </c>
      <c r="AU50"/>
      <c r="AV50" s="74">
        <f t="shared" ref="AV50:BB59" si="81">IFERROR(INDEX(AV$142:AV$266,MATCH($E50&amp;$F50,$D$142:$D$266,0))/$D50,"NA")</f>
        <v>15.288031541894343</v>
      </c>
      <c r="AW50" s="74">
        <f t="shared" si="81"/>
        <v>14.161813306838042</v>
      </c>
      <c r="AX50" s="74">
        <f t="shared" si="81"/>
        <v>13.433948929977458</v>
      </c>
      <c r="AY50" s="74">
        <f t="shared" si="81"/>
        <v>13.705079855352748</v>
      </c>
      <c r="AZ50" s="74">
        <f t="shared" si="81"/>
        <v>13.276193687058136</v>
      </c>
      <c r="BA50" s="74">
        <f t="shared" si="81"/>
        <v>12.28127108935986</v>
      </c>
      <c r="BB50" s="74">
        <f t="shared" si="81"/>
        <v>10.919619200631379</v>
      </c>
      <c r="BC50" s="454"/>
      <c r="BD50" s="74">
        <f t="shared" ref="BD50:BJ59" si="82">IFERROR(INDEX(BD$142:BD$266,MATCH($E50&amp;$F50,$D$142:$D$266,0))/$D50,"NA")</f>
        <v>8.7946662685322909</v>
      </c>
      <c r="BE50" s="74">
        <f t="shared" si="82"/>
        <v>7.4316125486216817</v>
      </c>
      <c r="BF50" s="74">
        <f t="shared" si="82"/>
        <v>6.2003406252190185</v>
      </c>
      <c r="BG50" s="74">
        <f t="shared" si="82"/>
        <v>5.7142358680184433</v>
      </c>
      <c r="BH50" s="74">
        <f t="shared" si="82"/>
        <v>4.5987697607008462</v>
      </c>
      <c r="BI50" s="74">
        <f t="shared" si="82"/>
        <v>3.3368229184231475</v>
      </c>
      <c r="BJ50" s="74">
        <f t="shared" si="82"/>
        <v>2.2285641806189753</v>
      </c>
      <c r="BK50" s="455"/>
      <c r="BL50" s="74">
        <f t="shared" ref="BL50:BR59" si="83">IFERROR(INDEX(BL$142:BL$266,MATCH($E50&amp;$F50,$D$142:$D$266,0))/$D50,"NA")</f>
        <v>0</v>
      </c>
      <c r="BM50" s="74">
        <f t="shared" si="83"/>
        <v>0</v>
      </c>
      <c r="BN50" s="74">
        <f t="shared" si="83"/>
        <v>0</v>
      </c>
      <c r="BO50" s="74">
        <f t="shared" si="83"/>
        <v>0</v>
      </c>
      <c r="BP50" s="74">
        <f t="shared" si="83"/>
        <v>0</v>
      </c>
      <c r="BQ50" s="74">
        <f t="shared" si="83"/>
        <v>0</v>
      </c>
      <c r="BR50" s="74">
        <f t="shared" si="83"/>
        <v>0</v>
      </c>
      <c r="BS50" s="454"/>
      <c r="BT50" s="74">
        <f t="shared" ref="BT50:BZ59" si="84">IFERROR(INDEX(BT$142:BT$266,MATCH($E50&amp;$F50,$D$142:$D$266,0))/$D50,"NA")</f>
        <v>0</v>
      </c>
      <c r="BU50" s="74">
        <f t="shared" si="84"/>
        <v>0</v>
      </c>
      <c r="BV50" s="74">
        <f t="shared" si="84"/>
        <v>0</v>
      </c>
      <c r="BW50" s="74">
        <f t="shared" si="84"/>
        <v>0</v>
      </c>
      <c r="BX50" s="74">
        <f t="shared" si="84"/>
        <v>0</v>
      </c>
      <c r="BY50" s="74">
        <f t="shared" si="84"/>
        <v>0</v>
      </c>
      <c r="BZ50" s="74">
        <f t="shared" si="84"/>
        <v>0</v>
      </c>
    </row>
    <row r="51" spans="1:78" x14ac:dyDescent="0.2">
      <c r="A51" s="452"/>
      <c r="B51" s="453" t="str">
        <f t="shared" si="66"/>
        <v>e-Hydrogen (compressed) - Asia - Fuel cost - USD/GJ</v>
      </c>
      <c r="C51" s="453" t="str">
        <f t="shared" si="67"/>
        <v>e-Hydrogen (compressed) - Asia</v>
      </c>
      <c r="D51" s="74">
        <f t="shared" si="68"/>
        <v>120</v>
      </c>
      <c r="E51" t="s">
        <v>198</v>
      </c>
      <c r="F51" t="str">
        <f t="shared" si="69"/>
        <v>e-Hydrogen (compressed)</v>
      </c>
      <c r="G51" t="s">
        <v>828</v>
      </c>
      <c r="H51" s="74">
        <f t="shared" si="70"/>
        <v>52.130758812781707</v>
      </c>
      <c r="I51" s="74">
        <f t="shared" si="70"/>
        <v>36.626955211532234</v>
      </c>
      <c r="J51" s="74">
        <f t="shared" si="70"/>
        <v>29.803554379114033</v>
      </c>
      <c r="K51" s="74">
        <f t="shared" si="70"/>
        <v>25.923168323014714</v>
      </c>
      <c r="L51" s="74">
        <f t="shared" si="70"/>
        <v>22.239478287440644</v>
      </c>
      <c r="M51" s="74">
        <f t="shared" si="70"/>
        <v>17.729888864721321</v>
      </c>
      <c r="N51" s="74">
        <f t="shared" si="70"/>
        <v>14.060925651141673</v>
      </c>
      <c r="O51" s="454"/>
      <c r="P51" s="74">
        <f t="shared" si="71"/>
        <v>37.102227669021744</v>
      </c>
      <c r="Q51" s="74">
        <f t="shared" si="71"/>
        <v>24.087696022739173</v>
      </c>
      <c r="R51" s="74">
        <f t="shared" si="71"/>
        <v>19.223431490584225</v>
      </c>
      <c r="S51" s="74">
        <f t="shared" si="71"/>
        <v>15.55801926631019</v>
      </c>
      <c r="T51" s="74">
        <f t="shared" si="71"/>
        <v>13.418681506348328</v>
      </c>
      <c r="U51" s="74">
        <f t="shared" si="71"/>
        <v>11.165961523604979</v>
      </c>
      <c r="V51" s="74">
        <f t="shared" si="71"/>
        <v>9.966908936557985</v>
      </c>
      <c r="W51"/>
      <c r="X51" s="2">
        <f t="shared" si="72"/>
        <v>2.4279169967523235</v>
      </c>
      <c r="Y51" s="2">
        <f t="shared" si="72"/>
        <v>2.4164999999999996</v>
      </c>
      <c r="Z51" s="2">
        <f t="shared" si="72"/>
        <v>2.3844189608069937</v>
      </c>
      <c r="AA51" s="2">
        <f t="shared" si="72"/>
        <v>2.2992105071273761</v>
      </c>
      <c r="AB51" s="2">
        <f t="shared" si="72"/>
        <v>2.1968832906641627</v>
      </c>
      <c r="AC51" s="2">
        <f t="shared" si="72"/>
        <v>2.0606527991130323</v>
      </c>
      <c r="AD51" s="2">
        <f t="shared" si="72"/>
        <v>1.9533374999999999</v>
      </c>
      <c r="AE51"/>
      <c r="AF51" s="2">
        <f t="shared" si="73"/>
        <v>0</v>
      </c>
      <c r="AG51" s="2">
        <f t="shared" si="73"/>
        <v>0</v>
      </c>
      <c r="AH51" s="2">
        <f t="shared" si="73"/>
        <v>0</v>
      </c>
      <c r="AI51" s="2">
        <f t="shared" si="73"/>
        <v>0</v>
      </c>
      <c r="AJ51" s="2">
        <f t="shared" si="73"/>
        <v>0</v>
      </c>
      <c r="AK51" s="2">
        <f t="shared" si="73"/>
        <v>0</v>
      </c>
      <c r="AL51" s="2">
        <f t="shared" si="73"/>
        <v>0</v>
      </c>
      <c r="AM51"/>
      <c r="AN51" s="24">
        <f t="shared" si="74"/>
        <v>2.4279169967523235</v>
      </c>
      <c r="AO51" s="24">
        <f t="shared" si="75"/>
        <v>2.4164999999999996</v>
      </c>
      <c r="AP51" s="24">
        <f t="shared" si="76"/>
        <v>2.3844189608069937</v>
      </c>
      <c r="AQ51" s="24">
        <f t="shared" si="77"/>
        <v>2.2992105071273761</v>
      </c>
      <c r="AR51" s="24">
        <f t="shared" si="78"/>
        <v>2.1968832906641627</v>
      </c>
      <c r="AS51" s="24">
        <f t="shared" si="79"/>
        <v>2.0606527991130323</v>
      </c>
      <c r="AT51" s="24">
        <f t="shared" si="80"/>
        <v>1.9533374999999999</v>
      </c>
      <c r="AU51"/>
      <c r="AV51" s="74">
        <f t="shared" si="81"/>
        <v>6.954698208561009</v>
      </c>
      <c r="AW51" s="74">
        <f t="shared" si="81"/>
        <v>5.8284799735047086</v>
      </c>
      <c r="AX51" s="74">
        <f t="shared" si="81"/>
        <v>5.1006155966441247</v>
      </c>
      <c r="AY51" s="74">
        <f t="shared" si="81"/>
        <v>5.3717465220194152</v>
      </c>
      <c r="AZ51" s="74">
        <f t="shared" si="81"/>
        <v>4.9428603537248019</v>
      </c>
      <c r="BA51" s="74">
        <f t="shared" si="81"/>
        <v>3.9479377560265272</v>
      </c>
      <c r="BB51" s="74">
        <f t="shared" si="81"/>
        <v>2.5862858672980442</v>
      </c>
      <c r="BC51" s="454"/>
      <c r="BD51" s="74">
        <f t="shared" si="82"/>
        <v>7.961332935198957</v>
      </c>
      <c r="BE51" s="74">
        <f t="shared" si="82"/>
        <v>6.5982792152883478</v>
      </c>
      <c r="BF51" s="74">
        <f t="shared" si="82"/>
        <v>5.3670072918856855</v>
      </c>
      <c r="BG51" s="74">
        <f t="shared" si="82"/>
        <v>4.8809025346851094</v>
      </c>
      <c r="BH51" s="74">
        <f t="shared" si="82"/>
        <v>3.7654364273675123</v>
      </c>
      <c r="BI51" s="74">
        <f t="shared" si="82"/>
        <v>2.5034895850898145</v>
      </c>
      <c r="BJ51" s="74">
        <f t="shared" si="82"/>
        <v>1.3952308472856418</v>
      </c>
      <c r="BK51" s="455"/>
      <c r="BL51" s="74">
        <f t="shared" si="83"/>
        <v>0</v>
      </c>
      <c r="BM51" s="74">
        <f t="shared" si="83"/>
        <v>0</v>
      </c>
      <c r="BN51" s="74">
        <f t="shared" si="83"/>
        <v>0</v>
      </c>
      <c r="BO51" s="74">
        <f t="shared" si="83"/>
        <v>0</v>
      </c>
      <c r="BP51" s="74">
        <f t="shared" si="83"/>
        <v>0</v>
      </c>
      <c r="BQ51" s="74">
        <f t="shared" si="83"/>
        <v>0</v>
      </c>
      <c r="BR51" s="74">
        <f t="shared" si="83"/>
        <v>0</v>
      </c>
      <c r="BS51" s="454"/>
      <c r="BT51" s="74">
        <f t="shared" si="84"/>
        <v>0</v>
      </c>
      <c r="BU51" s="74">
        <f t="shared" si="84"/>
        <v>0</v>
      </c>
      <c r="BV51" s="74">
        <f t="shared" si="84"/>
        <v>0</v>
      </c>
      <c r="BW51" s="74">
        <f t="shared" si="84"/>
        <v>0</v>
      </c>
      <c r="BX51" s="74">
        <f t="shared" si="84"/>
        <v>0</v>
      </c>
      <c r="BY51" s="74">
        <f t="shared" si="84"/>
        <v>0</v>
      </c>
      <c r="BZ51" s="74">
        <f t="shared" si="84"/>
        <v>0</v>
      </c>
    </row>
    <row r="52" spans="1:78" x14ac:dyDescent="0.2">
      <c r="A52" s="452"/>
      <c r="B52" s="453" t="str">
        <f t="shared" si="66"/>
        <v>e-Ammonia - Asia - Fuel cost - USD/GJ</v>
      </c>
      <c r="C52" s="453" t="str">
        <f t="shared" si="67"/>
        <v>e-Ammonia - Asia</v>
      </c>
      <c r="D52" s="74">
        <f t="shared" si="68"/>
        <v>18.8</v>
      </c>
      <c r="E52" t="s">
        <v>198</v>
      </c>
      <c r="F52" t="str">
        <f t="shared" si="69"/>
        <v>e-Ammonia</v>
      </c>
      <c r="G52" t="s">
        <v>828</v>
      </c>
      <c r="H52" s="74">
        <f t="shared" si="70"/>
        <v>84.020247505112607</v>
      </c>
      <c r="I52" s="74">
        <f t="shared" si="70"/>
        <v>56.947316889824634</v>
      </c>
      <c r="J52" s="74">
        <f t="shared" si="70"/>
        <v>40.250966224369471</v>
      </c>
      <c r="K52" s="74">
        <f t="shared" si="70"/>
        <v>35.341245080144517</v>
      </c>
      <c r="L52" s="74">
        <f t="shared" si="70"/>
        <v>30.732892074411858</v>
      </c>
      <c r="M52" s="74">
        <f t="shared" si="70"/>
        <v>25.171990444882127</v>
      </c>
      <c r="N52" s="74">
        <f t="shared" si="70"/>
        <v>20.621095840364077</v>
      </c>
      <c r="O52" s="454"/>
      <c r="P52" s="74">
        <f t="shared" si="71"/>
        <v>43.719337190853778</v>
      </c>
      <c r="Q52" s="74">
        <f t="shared" si="71"/>
        <v>28.387036565804912</v>
      </c>
      <c r="R52" s="74">
        <f t="shared" si="71"/>
        <v>22.662207106677311</v>
      </c>
      <c r="S52" s="74">
        <f t="shared" si="71"/>
        <v>18.358376734017682</v>
      </c>
      <c r="T52" s="74">
        <f t="shared" si="71"/>
        <v>15.853382067571896</v>
      </c>
      <c r="U52" s="74">
        <f t="shared" si="71"/>
        <v>13.215920741732898</v>
      </c>
      <c r="V52" s="74">
        <f t="shared" si="71"/>
        <v>11.815709694914906</v>
      </c>
      <c r="W52"/>
      <c r="X52" s="2">
        <f t="shared" si="72"/>
        <v>2.8609312303111798</v>
      </c>
      <c r="Y52" s="2">
        <f t="shared" si="72"/>
        <v>2.8478138297872331</v>
      </c>
      <c r="Z52" s="2">
        <f t="shared" si="72"/>
        <v>2.8109547634803751</v>
      </c>
      <c r="AA52" s="2">
        <f t="shared" si="72"/>
        <v>2.7130556890399635</v>
      </c>
      <c r="AB52" s="2">
        <f t="shared" si="72"/>
        <v>2.5954882488481865</v>
      </c>
      <c r="AC52" s="2">
        <f t="shared" si="72"/>
        <v>2.4389681096192284</v>
      </c>
      <c r="AD52" s="2">
        <f t="shared" si="72"/>
        <v>2.3156696808510637</v>
      </c>
      <c r="AE52"/>
      <c r="AF52" s="2">
        <f t="shared" si="73"/>
        <v>0</v>
      </c>
      <c r="AG52" s="2">
        <f t="shared" si="73"/>
        <v>0</v>
      </c>
      <c r="AH52" s="2">
        <f t="shared" si="73"/>
        <v>0</v>
      </c>
      <c r="AI52" s="2">
        <f t="shared" si="73"/>
        <v>0</v>
      </c>
      <c r="AJ52" s="2">
        <f t="shared" si="73"/>
        <v>0</v>
      </c>
      <c r="AK52" s="2">
        <f t="shared" si="73"/>
        <v>0</v>
      </c>
      <c r="AL52" s="2">
        <f t="shared" si="73"/>
        <v>0</v>
      </c>
      <c r="AM52"/>
      <c r="AN52" s="24">
        <f t="shared" si="74"/>
        <v>2.8609312303111798</v>
      </c>
      <c r="AO52" s="24">
        <f t="shared" si="75"/>
        <v>2.8478138297872331</v>
      </c>
      <c r="AP52" s="24">
        <f t="shared" si="76"/>
        <v>2.8109547634803751</v>
      </c>
      <c r="AQ52" s="24">
        <f t="shared" si="77"/>
        <v>2.7130556890399635</v>
      </c>
      <c r="AR52" s="24">
        <f t="shared" si="78"/>
        <v>2.5954882488481865</v>
      </c>
      <c r="AS52" s="24">
        <f t="shared" si="79"/>
        <v>2.4389681096192284</v>
      </c>
      <c r="AT52" s="24">
        <f t="shared" si="80"/>
        <v>2.3156696808510637</v>
      </c>
      <c r="AU52"/>
      <c r="AV52" s="74">
        <f t="shared" si="81"/>
        <v>21.381461771538184</v>
      </c>
      <c r="AW52" s="74">
        <f t="shared" si="81"/>
        <v>14.91906918941676</v>
      </c>
      <c r="AX52" s="74">
        <f t="shared" si="81"/>
        <v>8.914359763520201</v>
      </c>
      <c r="AY52" s="74">
        <f t="shared" si="81"/>
        <v>9.0496750820364902</v>
      </c>
      <c r="AZ52" s="74">
        <f t="shared" si="81"/>
        <v>8.3807154418682117</v>
      </c>
      <c r="BA52" s="74">
        <f t="shared" si="81"/>
        <v>7.0614160742999807</v>
      </c>
      <c r="BB52" s="74">
        <f t="shared" si="81"/>
        <v>5.3207681595906609</v>
      </c>
      <c r="BC52" s="454"/>
      <c r="BD52" s="74">
        <f t="shared" si="82"/>
        <v>18.919448542720641</v>
      </c>
      <c r="BE52" s="74">
        <f t="shared" si="82"/>
        <v>13.64121113460296</v>
      </c>
      <c r="BF52" s="74">
        <f t="shared" si="82"/>
        <v>8.6743993541719568</v>
      </c>
      <c r="BG52" s="74">
        <f t="shared" si="82"/>
        <v>7.9331932640903435</v>
      </c>
      <c r="BH52" s="74">
        <f t="shared" si="82"/>
        <v>6.4987945649717469</v>
      </c>
      <c r="BI52" s="74">
        <f t="shared" si="82"/>
        <v>4.8946536288492499</v>
      </c>
      <c r="BJ52" s="74">
        <f t="shared" si="82"/>
        <v>3.4846179858585127</v>
      </c>
      <c r="BK52" s="455"/>
      <c r="BL52" s="74">
        <f t="shared" si="83"/>
        <v>0</v>
      </c>
      <c r="BM52" s="74">
        <f t="shared" si="83"/>
        <v>0</v>
      </c>
      <c r="BN52" s="74">
        <f t="shared" si="83"/>
        <v>0</v>
      </c>
      <c r="BO52" s="74">
        <f t="shared" si="83"/>
        <v>0</v>
      </c>
      <c r="BP52" s="74">
        <f t="shared" si="83"/>
        <v>0</v>
      </c>
      <c r="BQ52" s="74">
        <f t="shared" si="83"/>
        <v>0</v>
      </c>
      <c r="BR52" s="74">
        <f t="shared" si="83"/>
        <v>0</v>
      </c>
      <c r="BS52" s="454"/>
      <c r="BT52" s="74">
        <f t="shared" si="84"/>
        <v>0</v>
      </c>
      <c r="BU52" s="74">
        <f t="shared" si="84"/>
        <v>0</v>
      </c>
      <c r="BV52" s="74">
        <f t="shared" si="84"/>
        <v>0</v>
      </c>
      <c r="BW52" s="74">
        <f t="shared" si="84"/>
        <v>0</v>
      </c>
      <c r="BX52" s="74">
        <f t="shared" si="84"/>
        <v>0</v>
      </c>
      <c r="BY52" s="74">
        <f t="shared" si="84"/>
        <v>0</v>
      </c>
      <c r="BZ52" s="74">
        <f t="shared" si="84"/>
        <v>0</v>
      </c>
    </row>
    <row r="53" spans="1:78" x14ac:dyDescent="0.2">
      <c r="A53" s="452"/>
      <c r="B53" s="453" t="str">
        <f t="shared" si="66"/>
        <v>e-Methanol (DAC) - Asia - Fuel cost - USD/GJ</v>
      </c>
      <c r="C53" s="453" t="str">
        <f t="shared" si="67"/>
        <v>e-Methanol (DAC) - Asia</v>
      </c>
      <c r="D53" s="74">
        <f t="shared" si="68"/>
        <v>19.899999999999999</v>
      </c>
      <c r="E53" t="s">
        <v>198</v>
      </c>
      <c r="F53" t="str">
        <f t="shared" si="69"/>
        <v>e-Methanol (DAC)</v>
      </c>
      <c r="G53" t="s">
        <v>828</v>
      </c>
      <c r="H53" s="74">
        <f t="shared" si="70"/>
        <v>115.15412895300317</v>
      </c>
      <c r="I53" s="74">
        <f t="shared" si="70"/>
        <v>82.217590513062888</v>
      </c>
      <c r="J53" s="74">
        <f t="shared" si="70"/>
        <v>65.13474799130509</v>
      </c>
      <c r="K53" s="74">
        <f t="shared" si="70"/>
        <v>55.837293130757857</v>
      </c>
      <c r="L53" s="74">
        <f t="shared" si="70"/>
        <v>47.987678372706142</v>
      </c>
      <c r="M53" s="74">
        <f t="shared" si="70"/>
        <v>38.941500037055349</v>
      </c>
      <c r="N53" s="74">
        <f t="shared" si="70"/>
        <v>31.520780128647832</v>
      </c>
      <c r="O53" s="454"/>
      <c r="P53" s="74">
        <f t="shared" si="71"/>
        <v>49.24022095991306</v>
      </c>
      <c r="Q53" s="74">
        <f t="shared" si="71"/>
        <v>31.989488337983904</v>
      </c>
      <c r="R53" s="74">
        <f t="shared" si="71"/>
        <v>25.578637284530966</v>
      </c>
      <c r="S53" s="74">
        <f t="shared" si="71"/>
        <v>20.812380528402549</v>
      </c>
      <c r="T53" s="74">
        <f t="shared" si="71"/>
        <v>18.075236352099573</v>
      </c>
      <c r="U53" s="74">
        <f t="shared" si="71"/>
        <v>15.19492157348154</v>
      </c>
      <c r="V53" s="74">
        <f t="shared" si="71"/>
        <v>13.685122432703562</v>
      </c>
      <c r="W53"/>
      <c r="X53" s="2">
        <f t="shared" si="72"/>
        <v>-65.873267376827087</v>
      </c>
      <c r="Y53" s="2">
        <f t="shared" si="72"/>
        <v>-65.886262255036513</v>
      </c>
      <c r="Z53" s="2">
        <f t="shared" si="72"/>
        <v>-65.922777041384307</v>
      </c>
      <c r="AA53" s="2">
        <f t="shared" si="72"/>
        <v>-66.01976169522986</v>
      </c>
      <c r="AB53" s="2">
        <f t="shared" si="72"/>
        <v>-66.136231003603598</v>
      </c>
      <c r="AC53" s="2">
        <f t="shared" si="72"/>
        <v>-66.291289175601065</v>
      </c>
      <c r="AD53" s="2">
        <f t="shared" si="72"/>
        <v>-66.413435942586673</v>
      </c>
      <c r="AE53"/>
      <c r="AF53" s="2">
        <f t="shared" si="73"/>
        <v>69.095477386934675</v>
      </c>
      <c r="AG53" s="2">
        <f t="shared" si="73"/>
        <v>69.095477386934675</v>
      </c>
      <c r="AH53" s="2">
        <f t="shared" si="73"/>
        <v>69.095477386934675</v>
      </c>
      <c r="AI53" s="2">
        <f t="shared" si="73"/>
        <v>69.095477386934675</v>
      </c>
      <c r="AJ53" s="2">
        <f t="shared" si="73"/>
        <v>69.095477386934675</v>
      </c>
      <c r="AK53" s="2">
        <f t="shared" si="73"/>
        <v>69.095477386934675</v>
      </c>
      <c r="AL53" s="2">
        <f t="shared" si="73"/>
        <v>69.095477386934675</v>
      </c>
      <c r="AM53"/>
      <c r="AN53" s="24">
        <f t="shared" si="74"/>
        <v>3.2222100101075881</v>
      </c>
      <c r="AO53" s="24">
        <f t="shared" si="75"/>
        <v>3.2092151318981621</v>
      </c>
      <c r="AP53" s="24">
        <f t="shared" si="76"/>
        <v>3.1727003455503677</v>
      </c>
      <c r="AQ53" s="24">
        <f t="shared" si="77"/>
        <v>3.075715691704815</v>
      </c>
      <c r="AR53" s="24">
        <f t="shared" si="78"/>
        <v>2.9592463833310774</v>
      </c>
      <c r="AS53" s="24">
        <f t="shared" si="79"/>
        <v>2.8041882113336101</v>
      </c>
      <c r="AT53" s="24">
        <f t="shared" si="80"/>
        <v>2.6820414443480018</v>
      </c>
      <c r="AU53"/>
      <c r="AV53" s="74">
        <f t="shared" si="81"/>
        <v>23.007996788310674</v>
      </c>
      <c r="AW53" s="74">
        <f t="shared" si="81"/>
        <v>18.618927333708019</v>
      </c>
      <c r="AX53" s="74">
        <f t="shared" si="81"/>
        <v>14.683266072503733</v>
      </c>
      <c r="AY53" s="74">
        <f t="shared" si="81"/>
        <v>13.993124820084045</v>
      </c>
      <c r="AZ53" s="74">
        <f t="shared" si="81"/>
        <v>12.506220892322306</v>
      </c>
      <c r="BA53" s="74">
        <f t="shared" si="81"/>
        <v>10.042137124589219</v>
      </c>
      <c r="BB53" s="74">
        <f t="shared" si="81"/>
        <v>7.1606403912445984</v>
      </c>
      <c r="BC53" s="454"/>
      <c r="BD53" s="74">
        <f t="shared" si="82"/>
        <v>16.023844632076802</v>
      </c>
      <c r="BE53" s="74">
        <f t="shared" si="82"/>
        <v>13.065375443611655</v>
      </c>
      <c r="BF53" s="74">
        <f t="shared" si="82"/>
        <v>10.256900901986612</v>
      </c>
      <c r="BG53" s="74">
        <f t="shared" si="82"/>
        <v>9.2513529252483426</v>
      </c>
      <c r="BH53" s="74">
        <f t="shared" si="82"/>
        <v>7.5294629654204597</v>
      </c>
      <c r="BI53" s="74">
        <f t="shared" si="82"/>
        <v>5.4900941905626759</v>
      </c>
      <c r="BJ53" s="74">
        <f t="shared" si="82"/>
        <v>3.6256539230169156</v>
      </c>
      <c r="BK53" s="455"/>
      <c r="BL53" s="74">
        <f t="shared" si="83"/>
        <v>26.882066572702652</v>
      </c>
      <c r="BM53" s="74">
        <f t="shared" si="83"/>
        <v>18.543799397759315</v>
      </c>
      <c r="BN53" s="74">
        <f t="shared" si="83"/>
        <v>14.615943732283769</v>
      </c>
      <c r="BO53" s="74">
        <f t="shared" si="83"/>
        <v>11.780434857022914</v>
      </c>
      <c r="BP53" s="74">
        <f t="shared" si="83"/>
        <v>9.8767581628638066</v>
      </c>
      <c r="BQ53" s="74">
        <f t="shared" si="83"/>
        <v>8.2143471484219095</v>
      </c>
      <c r="BR53" s="74">
        <f t="shared" si="83"/>
        <v>7.0493633816827579</v>
      </c>
      <c r="BS53" s="454"/>
      <c r="BT53" s="74">
        <f t="shared" si="84"/>
        <v>0</v>
      </c>
      <c r="BU53" s="74">
        <f t="shared" si="84"/>
        <v>0</v>
      </c>
      <c r="BV53" s="74">
        <f t="shared" si="84"/>
        <v>0</v>
      </c>
      <c r="BW53" s="74">
        <f t="shared" si="84"/>
        <v>0</v>
      </c>
      <c r="BX53" s="74">
        <f t="shared" si="84"/>
        <v>0</v>
      </c>
      <c r="BY53" s="74">
        <f t="shared" si="84"/>
        <v>0</v>
      </c>
      <c r="BZ53" s="74">
        <f t="shared" si="84"/>
        <v>0</v>
      </c>
    </row>
    <row r="54" spans="1:78" x14ac:dyDescent="0.2">
      <c r="A54" s="452"/>
      <c r="B54" s="453" t="str">
        <f t="shared" si="66"/>
        <v>e-Methanol (PS) - Asia - Fuel cost - USD/GJ</v>
      </c>
      <c r="C54" s="453" t="str">
        <f t="shared" si="67"/>
        <v>e-Methanol (PS) - Asia</v>
      </c>
      <c r="D54" s="74">
        <f t="shared" si="68"/>
        <v>19.899999999999999</v>
      </c>
      <c r="E54" t="s">
        <v>198</v>
      </c>
      <c r="F54" t="str">
        <f t="shared" si="69"/>
        <v>e-Methanol (PS)</v>
      </c>
      <c r="G54" t="s">
        <v>828</v>
      </c>
      <c r="H54" s="74">
        <f t="shared" si="70"/>
        <v>101.80086387377446</v>
      </c>
      <c r="I54" s="74">
        <f t="shared" si="70"/>
        <v>74.406794190037999</v>
      </c>
      <c r="J54" s="74">
        <f t="shared" si="70"/>
        <v>59.024354754629265</v>
      </c>
      <c r="K54" s="74">
        <f t="shared" si="70"/>
        <v>51.606388968869766</v>
      </c>
      <c r="L54" s="74">
        <f t="shared" si="70"/>
        <v>44.810641724715929</v>
      </c>
      <c r="M54" s="74">
        <f t="shared" si="70"/>
        <v>36.571932097529377</v>
      </c>
      <c r="N54" s="74">
        <f t="shared" si="70"/>
        <v>29.523507538225928</v>
      </c>
      <c r="O54" s="454"/>
      <c r="P54" s="74">
        <f t="shared" si="71"/>
        <v>49.24022095991306</v>
      </c>
      <c r="Q54" s="74">
        <f t="shared" si="71"/>
        <v>31.989488337983904</v>
      </c>
      <c r="R54" s="74">
        <f t="shared" si="71"/>
        <v>25.578637284530966</v>
      </c>
      <c r="S54" s="74">
        <f t="shared" si="71"/>
        <v>20.812380528402549</v>
      </c>
      <c r="T54" s="74">
        <f t="shared" si="71"/>
        <v>18.075236352099573</v>
      </c>
      <c r="U54" s="74">
        <f t="shared" si="71"/>
        <v>15.19492157348154</v>
      </c>
      <c r="V54" s="74">
        <f t="shared" si="71"/>
        <v>13.685122432703562</v>
      </c>
      <c r="W54"/>
      <c r="X54" s="2">
        <f t="shared" si="72"/>
        <v>-65.873267376827087</v>
      </c>
      <c r="Y54" s="2">
        <f t="shared" si="72"/>
        <v>-65.886262255036513</v>
      </c>
      <c r="Z54" s="2">
        <f t="shared" si="72"/>
        <v>-65.922777041384307</v>
      </c>
      <c r="AA54" s="2">
        <f t="shared" si="72"/>
        <v>-66.01976169522986</v>
      </c>
      <c r="AB54" s="2">
        <f t="shared" si="72"/>
        <v>-66.136231003603598</v>
      </c>
      <c r="AC54" s="2">
        <f t="shared" si="72"/>
        <v>-66.291289175601065</v>
      </c>
      <c r="AD54" s="2">
        <f t="shared" si="72"/>
        <v>-66.413435942586673</v>
      </c>
      <c r="AE54"/>
      <c r="AF54" s="2">
        <f t="shared" si="73"/>
        <v>69.095477386934675</v>
      </c>
      <c r="AG54" s="2">
        <f t="shared" si="73"/>
        <v>69.095477386934675</v>
      </c>
      <c r="AH54" s="2">
        <f t="shared" si="73"/>
        <v>69.095477386934675</v>
      </c>
      <c r="AI54" s="2">
        <f t="shared" si="73"/>
        <v>69.095477386934675</v>
      </c>
      <c r="AJ54" s="2">
        <f t="shared" si="73"/>
        <v>69.095477386934675</v>
      </c>
      <c r="AK54" s="2">
        <f t="shared" si="73"/>
        <v>69.095477386934675</v>
      </c>
      <c r="AL54" s="2">
        <f t="shared" si="73"/>
        <v>69.095477386934675</v>
      </c>
      <c r="AM54"/>
      <c r="AN54" s="24">
        <f t="shared" si="74"/>
        <v>3.2222100101075881</v>
      </c>
      <c r="AO54" s="24">
        <f t="shared" si="75"/>
        <v>3.2092151318981621</v>
      </c>
      <c r="AP54" s="24">
        <f t="shared" si="76"/>
        <v>3.1727003455503677</v>
      </c>
      <c r="AQ54" s="24">
        <f t="shared" si="77"/>
        <v>3.075715691704815</v>
      </c>
      <c r="AR54" s="24">
        <f t="shared" si="78"/>
        <v>2.9592463833310774</v>
      </c>
      <c r="AS54" s="24">
        <f t="shared" si="79"/>
        <v>2.8041882113336101</v>
      </c>
      <c r="AT54" s="24">
        <f t="shared" si="80"/>
        <v>2.6820414443480018</v>
      </c>
      <c r="AU54"/>
      <c r="AV54" s="74">
        <f t="shared" si="81"/>
        <v>23.007996788310674</v>
      </c>
      <c r="AW54" s="74">
        <f t="shared" si="81"/>
        <v>18.618927333708019</v>
      </c>
      <c r="AX54" s="74">
        <f t="shared" si="81"/>
        <v>14.683266072503733</v>
      </c>
      <c r="AY54" s="74">
        <f t="shared" si="81"/>
        <v>13.993124820084045</v>
      </c>
      <c r="AZ54" s="74">
        <f t="shared" si="81"/>
        <v>12.506220892322306</v>
      </c>
      <c r="BA54" s="74">
        <f t="shared" si="81"/>
        <v>10.042137124589219</v>
      </c>
      <c r="BB54" s="74">
        <f t="shared" si="81"/>
        <v>7.1606403912445984</v>
      </c>
      <c r="BC54" s="454"/>
      <c r="BD54" s="74">
        <f t="shared" si="82"/>
        <v>16.023844632076802</v>
      </c>
      <c r="BE54" s="74">
        <f t="shared" si="82"/>
        <v>13.065375443611655</v>
      </c>
      <c r="BF54" s="74">
        <f t="shared" si="82"/>
        <v>10.256900901986612</v>
      </c>
      <c r="BG54" s="74">
        <f t="shared" si="82"/>
        <v>9.2513529252483426</v>
      </c>
      <c r="BH54" s="74">
        <f t="shared" si="82"/>
        <v>7.5294629654204597</v>
      </c>
      <c r="BI54" s="74">
        <f t="shared" si="82"/>
        <v>5.4900941905626759</v>
      </c>
      <c r="BJ54" s="74">
        <f t="shared" si="82"/>
        <v>3.6256539230169156</v>
      </c>
      <c r="BK54" s="455"/>
      <c r="BL54" s="74">
        <f t="shared" si="83"/>
        <v>13.528801493473932</v>
      </c>
      <c r="BM54" s="74">
        <f t="shared" si="83"/>
        <v>10.733003074734436</v>
      </c>
      <c r="BN54" s="74">
        <f t="shared" si="83"/>
        <v>8.5055504956079435</v>
      </c>
      <c r="BO54" s="74">
        <f t="shared" si="83"/>
        <v>7.5495306951348367</v>
      </c>
      <c r="BP54" s="74">
        <f t="shared" si="83"/>
        <v>6.6997215148735929</v>
      </c>
      <c r="BQ54" s="74">
        <f t="shared" si="83"/>
        <v>5.8447792088959396</v>
      </c>
      <c r="BR54" s="74">
        <f t="shared" si="83"/>
        <v>5.0520907912608548</v>
      </c>
      <c r="BS54" s="454"/>
      <c r="BT54" s="74">
        <f t="shared" si="84"/>
        <v>0</v>
      </c>
      <c r="BU54" s="74">
        <f t="shared" si="84"/>
        <v>0</v>
      </c>
      <c r="BV54" s="74">
        <f t="shared" si="84"/>
        <v>0</v>
      </c>
      <c r="BW54" s="74">
        <f t="shared" si="84"/>
        <v>0</v>
      </c>
      <c r="BX54" s="74">
        <f t="shared" si="84"/>
        <v>0</v>
      </c>
      <c r="BY54" s="74">
        <f t="shared" si="84"/>
        <v>0</v>
      </c>
      <c r="BZ54" s="74">
        <f t="shared" si="84"/>
        <v>0</v>
      </c>
    </row>
    <row r="55" spans="1:78" x14ac:dyDescent="0.2">
      <c r="A55" s="452"/>
      <c r="B55" s="453" t="str">
        <f t="shared" si="66"/>
        <v>e-Diesel (DAC) - Asia - Fuel cost - USD/GJ</v>
      </c>
      <c r="C55" s="453" t="str">
        <f t="shared" si="67"/>
        <v>e-Diesel (DAC) - Asia</v>
      </c>
      <c r="D55" s="74">
        <f t="shared" si="68"/>
        <v>42.7</v>
      </c>
      <c r="E55" t="s">
        <v>198</v>
      </c>
      <c r="F55" t="str">
        <f t="shared" si="69"/>
        <v>e-Diesel (DAC)</v>
      </c>
      <c r="G55" t="s">
        <v>828</v>
      </c>
      <c r="H55" s="74">
        <f t="shared" si="70"/>
        <v>130.54659574125844</v>
      </c>
      <c r="I55" s="74">
        <f t="shared" si="70"/>
        <v>93.64117948013245</v>
      </c>
      <c r="J55" s="74">
        <f t="shared" si="70"/>
        <v>74.365503862656226</v>
      </c>
      <c r="K55" s="74">
        <f t="shared" si="70"/>
        <v>64.677415269795247</v>
      </c>
      <c r="L55" s="74">
        <f t="shared" si="70"/>
        <v>56.385758339544566</v>
      </c>
      <c r="M55" s="74">
        <f t="shared" si="70"/>
        <v>45.216678986200414</v>
      </c>
      <c r="N55" s="74">
        <f t="shared" si="70"/>
        <v>36.079329307351422</v>
      </c>
      <c r="O55" s="454"/>
      <c r="P55" s="74">
        <f t="shared" si="71"/>
        <v>49.844116634684404</v>
      </c>
      <c r="Q55" s="74">
        <f t="shared" si="71"/>
        <v>32.317502131991461</v>
      </c>
      <c r="R55" s="74">
        <f t="shared" si="71"/>
        <v>25.763217613730987</v>
      </c>
      <c r="S55" s="74">
        <f t="shared" si="71"/>
        <v>20.836217230113114</v>
      </c>
      <c r="T55" s="74">
        <f t="shared" si="71"/>
        <v>17.96125065445052</v>
      </c>
      <c r="U55" s="74">
        <f t="shared" si="71"/>
        <v>14.941603642699333</v>
      </c>
      <c r="V55" s="74">
        <f t="shared" si="71"/>
        <v>13.331563878829225</v>
      </c>
      <c r="W55"/>
      <c r="X55" s="2">
        <f t="shared" si="72"/>
        <v>-71.898371469010129</v>
      </c>
      <c r="Y55" s="2">
        <f t="shared" si="72"/>
        <v>-71.917977773108731</v>
      </c>
      <c r="Z55" s="2">
        <f t="shared" si="72"/>
        <v>-71.964504396106349</v>
      </c>
      <c r="AA55" s="2">
        <f t="shared" si="72"/>
        <v>-72.08086120236382</v>
      </c>
      <c r="AB55" s="2">
        <f t="shared" si="72"/>
        <v>-72.219514710595647</v>
      </c>
      <c r="AC55" s="2">
        <f t="shared" si="72"/>
        <v>-72.40266058951876</v>
      </c>
      <c r="AD55" s="2">
        <f t="shared" si="72"/>
        <v>-72.547349318776185</v>
      </c>
      <c r="AE55"/>
      <c r="AF55" s="2">
        <f t="shared" si="73"/>
        <v>76.237236533957855</v>
      </c>
      <c r="AG55" s="2">
        <f t="shared" si="73"/>
        <v>76.237236533957855</v>
      </c>
      <c r="AH55" s="2">
        <f t="shared" si="73"/>
        <v>76.237236533957855</v>
      </c>
      <c r="AI55" s="2">
        <f t="shared" si="73"/>
        <v>76.237236533957855</v>
      </c>
      <c r="AJ55" s="2">
        <f t="shared" si="73"/>
        <v>76.237236533957855</v>
      </c>
      <c r="AK55" s="2">
        <f t="shared" si="73"/>
        <v>76.237236533957855</v>
      </c>
      <c r="AL55" s="2">
        <f t="shared" si="73"/>
        <v>76.237236533957855</v>
      </c>
      <c r="AM55"/>
      <c r="AN55" s="24">
        <f t="shared" si="74"/>
        <v>4.3388650649477256</v>
      </c>
      <c r="AO55" s="24">
        <f t="shared" si="75"/>
        <v>4.3192587608491237</v>
      </c>
      <c r="AP55" s="24">
        <f t="shared" si="76"/>
        <v>4.2727321378515057</v>
      </c>
      <c r="AQ55" s="24">
        <f t="shared" si="77"/>
        <v>4.1563753315940346</v>
      </c>
      <c r="AR55" s="24">
        <f t="shared" si="78"/>
        <v>4.0177218233622085</v>
      </c>
      <c r="AS55" s="24">
        <f t="shared" si="79"/>
        <v>3.834575944439095</v>
      </c>
      <c r="AT55" s="24">
        <f t="shared" si="80"/>
        <v>3.6898872151816704</v>
      </c>
      <c r="AU55"/>
      <c r="AV55" s="74">
        <f t="shared" si="81"/>
        <v>22.839460865640305</v>
      </c>
      <c r="AW55" s="74">
        <f t="shared" si="81"/>
        <v>19.69694622573768</v>
      </c>
      <c r="AX55" s="74">
        <f t="shared" si="81"/>
        <v>17.080594527339471</v>
      </c>
      <c r="AY55" s="74">
        <f t="shared" si="81"/>
        <v>16.76638962939645</v>
      </c>
      <c r="AZ55" s="74">
        <f t="shared" si="81"/>
        <v>15.527571989463205</v>
      </c>
      <c r="BA55" s="74">
        <f t="shared" si="81"/>
        <v>12.817065326461268</v>
      </c>
      <c r="BB55" s="74">
        <f t="shared" si="81"/>
        <v>9.6221668130119369</v>
      </c>
      <c r="BC55" s="454"/>
      <c r="BD55" s="74">
        <f t="shared" si="82"/>
        <v>26.120940926117594</v>
      </c>
      <c r="BE55" s="74">
        <f t="shared" si="82"/>
        <v>19.730396902629103</v>
      </c>
      <c r="BF55" s="74">
        <f t="shared" si="82"/>
        <v>14.263330474528161</v>
      </c>
      <c r="BG55" s="74">
        <f t="shared" si="82"/>
        <v>13.164587891246844</v>
      </c>
      <c r="BH55" s="74">
        <f t="shared" si="82"/>
        <v>11.234557716710251</v>
      </c>
      <c r="BI55" s="74">
        <f t="shared" si="82"/>
        <v>7.7585904589945089</v>
      </c>
      <c r="BJ55" s="74">
        <f t="shared" si="82"/>
        <v>4.8017803228784617</v>
      </c>
      <c r="BK55" s="455"/>
      <c r="BL55" s="74">
        <f t="shared" si="83"/>
        <v>31.742077314816157</v>
      </c>
      <c r="BM55" s="74">
        <f t="shared" si="83"/>
        <v>21.896334219774211</v>
      </c>
      <c r="BN55" s="74">
        <f t="shared" si="83"/>
        <v>17.258361247057604</v>
      </c>
      <c r="BO55" s="74">
        <f t="shared" si="83"/>
        <v>13.910220519038841</v>
      </c>
      <c r="BP55" s="74">
        <f t="shared" si="83"/>
        <v>11.662377978920585</v>
      </c>
      <c r="BQ55" s="74">
        <f t="shared" si="83"/>
        <v>9.6994195580453013</v>
      </c>
      <c r="BR55" s="74">
        <f t="shared" si="83"/>
        <v>8.3238182926317936</v>
      </c>
      <c r="BS55" s="454"/>
      <c r="BT55" s="74">
        <f t="shared" si="84"/>
        <v>0</v>
      </c>
      <c r="BU55" s="74">
        <f t="shared" si="84"/>
        <v>0</v>
      </c>
      <c r="BV55" s="74">
        <f t="shared" si="84"/>
        <v>0</v>
      </c>
      <c r="BW55" s="74">
        <f t="shared" si="84"/>
        <v>0</v>
      </c>
      <c r="BX55" s="74">
        <f t="shared" si="84"/>
        <v>0</v>
      </c>
      <c r="BY55" s="74">
        <f t="shared" si="84"/>
        <v>0</v>
      </c>
      <c r="BZ55" s="74">
        <f t="shared" si="84"/>
        <v>0</v>
      </c>
    </row>
    <row r="56" spans="1:78" x14ac:dyDescent="0.2">
      <c r="A56" s="452"/>
      <c r="B56" s="453" t="str">
        <f t="shared" si="66"/>
        <v>e-Diesel (PS) - Asia - Fuel cost - USD/GJ</v>
      </c>
      <c r="C56" s="453" t="str">
        <f t="shared" si="67"/>
        <v>e-Diesel (PS) - Asia</v>
      </c>
      <c r="D56" s="74">
        <f t="shared" si="68"/>
        <v>42.7</v>
      </c>
      <c r="E56" t="s">
        <v>198</v>
      </c>
      <c r="F56" t="str">
        <f t="shared" si="69"/>
        <v>e-Diesel (PS)</v>
      </c>
      <c r="G56" t="s">
        <v>828</v>
      </c>
      <c r="H56" s="74">
        <f t="shared" si="70"/>
        <v>114.77919291142835</v>
      </c>
      <c r="I56" s="74">
        <f t="shared" si="70"/>
        <v>84.418268730127153</v>
      </c>
      <c r="J56" s="74">
        <f t="shared" si="70"/>
        <v>67.150412194836065</v>
      </c>
      <c r="K56" s="74">
        <f t="shared" si="70"/>
        <v>59.681605641282495</v>
      </c>
      <c r="L56" s="74">
        <f t="shared" si="70"/>
        <v>52.634345008289984</v>
      </c>
      <c r="M56" s="74">
        <f t="shared" si="70"/>
        <v>42.418716689078515</v>
      </c>
      <c r="N56" s="74">
        <f t="shared" si="70"/>
        <v>33.720969662177708</v>
      </c>
      <c r="O56" s="454"/>
      <c r="P56" s="74">
        <f t="shared" si="71"/>
        <v>49.844116634684404</v>
      </c>
      <c r="Q56" s="74">
        <f t="shared" si="71"/>
        <v>32.317502131991461</v>
      </c>
      <c r="R56" s="74">
        <f t="shared" si="71"/>
        <v>25.763217613730987</v>
      </c>
      <c r="S56" s="74">
        <f t="shared" si="71"/>
        <v>20.836217230113114</v>
      </c>
      <c r="T56" s="74">
        <f t="shared" si="71"/>
        <v>17.96125065445052</v>
      </c>
      <c r="U56" s="74">
        <f t="shared" si="71"/>
        <v>14.941603642699333</v>
      </c>
      <c r="V56" s="74">
        <f t="shared" si="71"/>
        <v>13.331563878829225</v>
      </c>
      <c r="W56"/>
      <c r="X56" s="2">
        <f t="shared" si="72"/>
        <v>-71.898371469010129</v>
      </c>
      <c r="Y56" s="2">
        <f t="shared" si="72"/>
        <v>-71.917977773108731</v>
      </c>
      <c r="Z56" s="2">
        <f t="shared" si="72"/>
        <v>-71.964504396106349</v>
      </c>
      <c r="AA56" s="2">
        <f t="shared" si="72"/>
        <v>-72.08086120236382</v>
      </c>
      <c r="AB56" s="2">
        <f t="shared" si="72"/>
        <v>-72.219514710595647</v>
      </c>
      <c r="AC56" s="2">
        <f t="shared" si="72"/>
        <v>-72.40266058951876</v>
      </c>
      <c r="AD56" s="2">
        <f t="shared" si="72"/>
        <v>-72.547349318776185</v>
      </c>
      <c r="AE56"/>
      <c r="AF56" s="2">
        <f t="shared" si="73"/>
        <v>76.237236533957855</v>
      </c>
      <c r="AG56" s="2">
        <f t="shared" si="73"/>
        <v>76.237236533957855</v>
      </c>
      <c r="AH56" s="2">
        <f t="shared" si="73"/>
        <v>76.237236533957855</v>
      </c>
      <c r="AI56" s="2">
        <f t="shared" si="73"/>
        <v>76.237236533957855</v>
      </c>
      <c r="AJ56" s="2">
        <f t="shared" si="73"/>
        <v>76.237236533957855</v>
      </c>
      <c r="AK56" s="2">
        <f t="shared" si="73"/>
        <v>76.237236533957855</v>
      </c>
      <c r="AL56" s="2">
        <f t="shared" si="73"/>
        <v>76.237236533957855</v>
      </c>
      <c r="AM56"/>
      <c r="AN56" s="24">
        <f t="shared" si="74"/>
        <v>4.3388650649477256</v>
      </c>
      <c r="AO56" s="24">
        <f t="shared" si="75"/>
        <v>4.3192587608491237</v>
      </c>
      <c r="AP56" s="24">
        <f t="shared" si="76"/>
        <v>4.2727321378515057</v>
      </c>
      <c r="AQ56" s="24">
        <f t="shared" si="77"/>
        <v>4.1563753315940346</v>
      </c>
      <c r="AR56" s="24">
        <f t="shared" si="78"/>
        <v>4.0177218233622085</v>
      </c>
      <c r="AS56" s="24">
        <f t="shared" si="79"/>
        <v>3.834575944439095</v>
      </c>
      <c r="AT56" s="24">
        <f t="shared" si="80"/>
        <v>3.6898872151816704</v>
      </c>
      <c r="AU56"/>
      <c r="AV56" s="74">
        <f t="shared" si="81"/>
        <v>22.839460865640305</v>
      </c>
      <c r="AW56" s="74">
        <f t="shared" si="81"/>
        <v>19.69694622573768</v>
      </c>
      <c r="AX56" s="74">
        <f t="shared" si="81"/>
        <v>17.080594527339471</v>
      </c>
      <c r="AY56" s="74">
        <f t="shared" si="81"/>
        <v>16.76638962939645</v>
      </c>
      <c r="AZ56" s="74">
        <f t="shared" si="81"/>
        <v>15.527571989463205</v>
      </c>
      <c r="BA56" s="74">
        <f t="shared" si="81"/>
        <v>12.817065326461268</v>
      </c>
      <c r="BB56" s="74">
        <f t="shared" si="81"/>
        <v>9.6221668130119369</v>
      </c>
      <c r="BC56" s="454"/>
      <c r="BD56" s="74">
        <f t="shared" si="82"/>
        <v>26.120940926117594</v>
      </c>
      <c r="BE56" s="74">
        <f t="shared" si="82"/>
        <v>19.730396902629103</v>
      </c>
      <c r="BF56" s="74">
        <f t="shared" si="82"/>
        <v>14.263330474528161</v>
      </c>
      <c r="BG56" s="74">
        <f t="shared" si="82"/>
        <v>13.164587891246844</v>
      </c>
      <c r="BH56" s="74">
        <f t="shared" si="82"/>
        <v>11.234557716710251</v>
      </c>
      <c r="BI56" s="74">
        <f t="shared" si="82"/>
        <v>7.7585904589945089</v>
      </c>
      <c r="BJ56" s="74">
        <f t="shared" si="82"/>
        <v>4.8017803228784617</v>
      </c>
      <c r="BK56" s="455"/>
      <c r="BL56" s="74">
        <f t="shared" si="83"/>
        <v>15.974674484986068</v>
      </c>
      <c r="BM56" s="74">
        <f t="shared" si="83"/>
        <v>12.673423469768908</v>
      </c>
      <c r="BN56" s="74">
        <f t="shared" si="83"/>
        <v>10.043269579237442</v>
      </c>
      <c r="BO56" s="74">
        <f t="shared" si="83"/>
        <v>8.914410890526085</v>
      </c>
      <c r="BP56" s="74">
        <f t="shared" si="83"/>
        <v>7.9109646476660105</v>
      </c>
      <c r="BQ56" s="74">
        <f t="shared" si="83"/>
        <v>6.9014572609234008</v>
      </c>
      <c r="BR56" s="74">
        <f t="shared" si="83"/>
        <v>5.9654586474580791</v>
      </c>
      <c r="BS56" s="454"/>
      <c r="BT56" s="74">
        <f t="shared" si="84"/>
        <v>0</v>
      </c>
      <c r="BU56" s="74">
        <f t="shared" si="84"/>
        <v>0</v>
      </c>
      <c r="BV56" s="74">
        <f t="shared" si="84"/>
        <v>0</v>
      </c>
      <c r="BW56" s="74">
        <f t="shared" si="84"/>
        <v>0</v>
      </c>
      <c r="BX56" s="74">
        <f t="shared" si="84"/>
        <v>0</v>
      </c>
      <c r="BY56" s="74">
        <f t="shared" si="84"/>
        <v>0</v>
      </c>
      <c r="BZ56" s="74">
        <f t="shared" si="84"/>
        <v>0</v>
      </c>
    </row>
    <row r="57" spans="1:78" x14ac:dyDescent="0.2">
      <c r="A57" s="452"/>
      <c r="B57" s="453" t="str">
        <f t="shared" si="66"/>
        <v>e-Methane (DAC) - Asia - Fuel cost - USD/GJ</v>
      </c>
      <c r="C57" s="453" t="str">
        <f t="shared" si="67"/>
        <v>e-Methane (DAC) - Asia</v>
      </c>
      <c r="D57" s="74">
        <f t="shared" si="68"/>
        <v>50</v>
      </c>
      <c r="E57" t="s">
        <v>198</v>
      </c>
      <c r="F57" t="str">
        <f t="shared" si="69"/>
        <v>e-Methane (DAC)</v>
      </c>
      <c r="G57" t="s">
        <v>828</v>
      </c>
      <c r="H57" s="74">
        <f t="shared" si="70"/>
        <v>95.698006897112705</v>
      </c>
      <c r="I57" s="74">
        <f t="shared" si="70"/>
        <v>68.351785263688328</v>
      </c>
      <c r="J57" s="74">
        <f t="shared" si="70"/>
        <v>55.83498641183958</v>
      </c>
      <c r="K57" s="74">
        <f t="shared" si="70"/>
        <v>48.358228794754588</v>
      </c>
      <c r="L57" s="74">
        <f t="shared" si="70"/>
        <v>41.928770431409482</v>
      </c>
      <c r="M57" s="74">
        <f t="shared" si="70"/>
        <v>34.463112216253194</v>
      </c>
      <c r="N57" s="74">
        <f t="shared" si="70"/>
        <v>28.443733898286379</v>
      </c>
      <c r="O57" s="454"/>
      <c r="P57" s="74">
        <f t="shared" si="71"/>
        <v>45.179166692015897</v>
      </c>
      <c r="Q57" s="74">
        <f t="shared" si="71"/>
        <v>29.333460934357927</v>
      </c>
      <c r="R57" s="74">
        <f t="shared" si="71"/>
        <v>23.414465737786326</v>
      </c>
      <c r="S57" s="74">
        <f t="shared" si="71"/>
        <v>18.960319645883665</v>
      </c>
      <c r="T57" s="74">
        <f t="shared" si="71"/>
        <v>16.364819802281282</v>
      </c>
      <c r="U57" s="74">
        <f t="shared" si="71"/>
        <v>13.631939141436725</v>
      </c>
      <c r="V57" s="74">
        <f t="shared" si="71"/>
        <v>12.17949421938151</v>
      </c>
      <c r="W57"/>
      <c r="X57" s="2">
        <f t="shared" si="72"/>
        <v>-51.979099603897218</v>
      </c>
      <c r="Y57" s="2">
        <f t="shared" si="72"/>
        <v>-51.992799999999995</v>
      </c>
      <c r="Z57" s="2">
        <f t="shared" si="72"/>
        <v>-52.031297247031617</v>
      </c>
      <c r="AA57" s="2">
        <f t="shared" si="72"/>
        <v>-52.133547391447145</v>
      </c>
      <c r="AB57" s="2">
        <f t="shared" si="72"/>
        <v>-52.256340051203011</v>
      </c>
      <c r="AC57" s="2">
        <f t="shared" si="72"/>
        <v>-52.419816641064365</v>
      </c>
      <c r="AD57" s="2">
        <f t="shared" si="72"/>
        <v>-52.548595000000006</v>
      </c>
      <c r="AE57"/>
      <c r="AF57" s="2">
        <f t="shared" si="73"/>
        <v>72.985200000000006</v>
      </c>
      <c r="AG57" s="2">
        <f t="shared" si="73"/>
        <v>72.985200000000006</v>
      </c>
      <c r="AH57" s="2">
        <f t="shared" si="73"/>
        <v>72.985200000000006</v>
      </c>
      <c r="AI57" s="2">
        <f t="shared" si="73"/>
        <v>72.985200000000006</v>
      </c>
      <c r="AJ57" s="2">
        <f t="shared" si="73"/>
        <v>72.985200000000006</v>
      </c>
      <c r="AK57" s="2">
        <f t="shared" si="73"/>
        <v>72.985200000000006</v>
      </c>
      <c r="AL57" s="2">
        <f t="shared" si="73"/>
        <v>72.985200000000006</v>
      </c>
      <c r="AM57"/>
      <c r="AN57" s="24">
        <f t="shared" si="74"/>
        <v>21.006100396102788</v>
      </c>
      <c r="AO57" s="24">
        <f t="shared" si="75"/>
        <v>20.992400000000011</v>
      </c>
      <c r="AP57" s="24">
        <f t="shared" si="76"/>
        <v>20.953902752968389</v>
      </c>
      <c r="AQ57" s="24">
        <f t="shared" si="77"/>
        <v>20.851652608552861</v>
      </c>
      <c r="AR57" s="24">
        <f t="shared" si="78"/>
        <v>20.728859948796995</v>
      </c>
      <c r="AS57" s="24">
        <f t="shared" si="79"/>
        <v>20.565383358935641</v>
      </c>
      <c r="AT57" s="24">
        <f t="shared" si="80"/>
        <v>20.436605</v>
      </c>
      <c r="AU57"/>
      <c r="AV57" s="74">
        <f t="shared" si="81"/>
        <v>15.595386966043161</v>
      </c>
      <c r="AW57" s="74">
        <f t="shared" si="81"/>
        <v>13.389509301538986</v>
      </c>
      <c r="AX57" s="74">
        <f t="shared" si="81"/>
        <v>11.94652881765445</v>
      </c>
      <c r="AY57" s="74">
        <f t="shared" si="81"/>
        <v>12.004830558018893</v>
      </c>
      <c r="AZ57" s="74">
        <f t="shared" si="81"/>
        <v>11.225216153959133</v>
      </c>
      <c r="BA57" s="74">
        <f t="shared" si="81"/>
        <v>9.6447467434717868</v>
      </c>
      <c r="BB57" s="74">
        <f t="shared" si="81"/>
        <v>7.6262097074243202</v>
      </c>
      <c r="BC57" s="454"/>
      <c r="BD57" s="74">
        <f t="shared" si="82"/>
        <v>13.553339756023464</v>
      </c>
      <c r="BE57" s="74">
        <f t="shared" si="82"/>
        <v>10.887273618952396</v>
      </c>
      <c r="BF57" s="74">
        <f t="shared" si="82"/>
        <v>8.8549306738907028</v>
      </c>
      <c r="BG57" s="74">
        <f t="shared" si="82"/>
        <v>8.0281278310892894</v>
      </c>
      <c r="BH57" s="74">
        <f t="shared" si="82"/>
        <v>6.4871267048359478</v>
      </c>
      <c r="BI57" s="74">
        <f t="shared" si="82"/>
        <v>4.6563654717739018</v>
      </c>
      <c r="BJ57" s="74">
        <f t="shared" si="82"/>
        <v>3.0340822600106652</v>
      </c>
      <c r="BK57" s="455"/>
      <c r="BL57" s="74">
        <f t="shared" si="83"/>
        <v>21.370113483030185</v>
      </c>
      <c r="BM57" s="74">
        <f t="shared" si="83"/>
        <v>14.741541408839019</v>
      </c>
      <c r="BN57" s="74">
        <f t="shared" si="83"/>
        <v>11.619061182508098</v>
      </c>
      <c r="BO57" s="74">
        <f t="shared" si="83"/>
        <v>9.3649507597627366</v>
      </c>
      <c r="BP57" s="74">
        <f t="shared" si="83"/>
        <v>7.8516077703331169</v>
      </c>
      <c r="BQ57" s="74">
        <f t="shared" si="83"/>
        <v>6.5300608595707805</v>
      </c>
      <c r="BR57" s="74">
        <f t="shared" si="83"/>
        <v>5.6039477114698784</v>
      </c>
      <c r="BS57" s="454"/>
      <c r="BT57" s="74">
        <f t="shared" si="84"/>
        <v>0</v>
      </c>
      <c r="BU57" s="74">
        <f t="shared" si="84"/>
        <v>0</v>
      </c>
      <c r="BV57" s="74">
        <f t="shared" si="84"/>
        <v>0</v>
      </c>
      <c r="BW57" s="74">
        <f t="shared" si="84"/>
        <v>0</v>
      </c>
      <c r="BX57" s="74">
        <f t="shared" si="84"/>
        <v>0</v>
      </c>
      <c r="BY57" s="74">
        <f t="shared" si="84"/>
        <v>0</v>
      </c>
      <c r="BZ57" s="74">
        <f t="shared" si="84"/>
        <v>0</v>
      </c>
    </row>
    <row r="58" spans="1:78" x14ac:dyDescent="0.2">
      <c r="A58" s="452"/>
      <c r="B58" s="453" t="str">
        <f t="shared" si="66"/>
        <v>e-Methane (PS) - Asia - Fuel cost - USD/GJ</v>
      </c>
      <c r="C58" s="453" t="str">
        <f t="shared" si="67"/>
        <v>e-Methane (PS) - Asia</v>
      </c>
      <c r="D58" s="74">
        <f t="shared" si="68"/>
        <v>50</v>
      </c>
      <c r="E58" t="s">
        <v>198</v>
      </c>
      <c r="F58" t="str">
        <f t="shared" si="69"/>
        <v>e-Methane (PS)</v>
      </c>
      <c r="G58" t="s">
        <v>828</v>
      </c>
      <c r="H58" s="74">
        <f t="shared" si="70"/>
        <v>85.082722192704182</v>
      </c>
      <c r="I58" s="74">
        <f t="shared" si="70"/>
        <v>62.142530355236723</v>
      </c>
      <c r="J58" s="74">
        <f t="shared" si="70"/>
        <v>50.977480515090576</v>
      </c>
      <c r="K58" s="74">
        <f t="shared" si="70"/>
        <v>44.994837746270811</v>
      </c>
      <c r="L58" s="74">
        <f t="shared" si="70"/>
        <v>39.403159778535077</v>
      </c>
      <c r="M58" s="74">
        <f t="shared" si="70"/>
        <v>32.579405261043128</v>
      </c>
      <c r="N58" s="74">
        <f t="shared" si="70"/>
        <v>26.855986103732405</v>
      </c>
      <c r="O58" s="454"/>
      <c r="P58" s="74">
        <f t="shared" si="71"/>
        <v>45.179166692015897</v>
      </c>
      <c r="Q58" s="74">
        <f t="shared" si="71"/>
        <v>29.333460934357927</v>
      </c>
      <c r="R58" s="74">
        <f t="shared" si="71"/>
        <v>23.414465737786326</v>
      </c>
      <c r="S58" s="74">
        <f t="shared" si="71"/>
        <v>18.960319645883665</v>
      </c>
      <c r="T58" s="74">
        <f t="shared" si="71"/>
        <v>16.364819802281282</v>
      </c>
      <c r="U58" s="74">
        <f t="shared" si="71"/>
        <v>13.631939141436725</v>
      </c>
      <c r="V58" s="74">
        <f t="shared" si="71"/>
        <v>12.17949421938151</v>
      </c>
      <c r="W58"/>
      <c r="X58" s="2">
        <f t="shared" si="72"/>
        <v>-51.979099603897218</v>
      </c>
      <c r="Y58" s="2">
        <f t="shared" si="72"/>
        <v>-51.992799999999995</v>
      </c>
      <c r="Z58" s="2">
        <f t="shared" si="72"/>
        <v>-52.031297247031617</v>
      </c>
      <c r="AA58" s="2">
        <f t="shared" si="72"/>
        <v>-52.133547391447145</v>
      </c>
      <c r="AB58" s="2">
        <f t="shared" si="72"/>
        <v>-52.256340051203011</v>
      </c>
      <c r="AC58" s="2">
        <f t="shared" si="72"/>
        <v>-52.419816641064365</v>
      </c>
      <c r="AD58" s="2">
        <f t="shared" si="72"/>
        <v>-52.548595000000006</v>
      </c>
      <c r="AE58"/>
      <c r="AF58" s="2">
        <f t="shared" si="73"/>
        <v>72.985200000000006</v>
      </c>
      <c r="AG58" s="2">
        <f t="shared" si="73"/>
        <v>72.985200000000006</v>
      </c>
      <c r="AH58" s="2">
        <f t="shared" si="73"/>
        <v>72.985200000000006</v>
      </c>
      <c r="AI58" s="2">
        <f t="shared" si="73"/>
        <v>72.985200000000006</v>
      </c>
      <c r="AJ58" s="2">
        <f t="shared" si="73"/>
        <v>72.985200000000006</v>
      </c>
      <c r="AK58" s="2">
        <f t="shared" si="73"/>
        <v>72.985200000000006</v>
      </c>
      <c r="AL58" s="2">
        <f t="shared" si="73"/>
        <v>72.985200000000006</v>
      </c>
      <c r="AM58"/>
      <c r="AN58" s="24">
        <f t="shared" si="74"/>
        <v>21.006100396102788</v>
      </c>
      <c r="AO58" s="24">
        <f t="shared" si="75"/>
        <v>20.992400000000011</v>
      </c>
      <c r="AP58" s="24">
        <f t="shared" si="76"/>
        <v>20.953902752968389</v>
      </c>
      <c r="AQ58" s="24">
        <f t="shared" si="77"/>
        <v>20.851652608552861</v>
      </c>
      <c r="AR58" s="24">
        <f t="shared" si="78"/>
        <v>20.728859948796995</v>
      </c>
      <c r="AS58" s="24">
        <f t="shared" si="79"/>
        <v>20.565383358935641</v>
      </c>
      <c r="AT58" s="24">
        <f t="shared" si="80"/>
        <v>20.436605</v>
      </c>
      <c r="AU58"/>
      <c r="AV58" s="74">
        <f t="shared" si="81"/>
        <v>15.595386966043161</v>
      </c>
      <c r="AW58" s="74">
        <f t="shared" si="81"/>
        <v>13.389509301538986</v>
      </c>
      <c r="AX58" s="74">
        <f t="shared" si="81"/>
        <v>11.94652881765445</v>
      </c>
      <c r="AY58" s="74">
        <f t="shared" si="81"/>
        <v>12.004830558018893</v>
      </c>
      <c r="AZ58" s="74">
        <f t="shared" si="81"/>
        <v>11.225216153959133</v>
      </c>
      <c r="BA58" s="74">
        <f t="shared" si="81"/>
        <v>9.6447467434717868</v>
      </c>
      <c r="BB58" s="74">
        <f t="shared" si="81"/>
        <v>7.6262097074243202</v>
      </c>
      <c r="BC58" s="454"/>
      <c r="BD58" s="74">
        <f t="shared" si="82"/>
        <v>13.553339756023464</v>
      </c>
      <c r="BE58" s="74">
        <f t="shared" si="82"/>
        <v>10.887273618952396</v>
      </c>
      <c r="BF58" s="74">
        <f t="shared" si="82"/>
        <v>8.8549306738907028</v>
      </c>
      <c r="BG58" s="74">
        <f t="shared" si="82"/>
        <v>8.0281278310892894</v>
      </c>
      <c r="BH58" s="74">
        <f t="shared" si="82"/>
        <v>6.4871267048359478</v>
      </c>
      <c r="BI58" s="74">
        <f t="shared" si="82"/>
        <v>4.6563654717739018</v>
      </c>
      <c r="BJ58" s="74">
        <f t="shared" si="82"/>
        <v>3.0340822600106652</v>
      </c>
      <c r="BK58" s="455"/>
      <c r="BL58" s="74">
        <f t="shared" si="83"/>
        <v>10.754828778621675</v>
      </c>
      <c r="BM58" s="74">
        <f t="shared" si="83"/>
        <v>8.5322865003874213</v>
      </c>
      <c r="BN58" s="74">
        <f t="shared" si="83"/>
        <v>6.7615552857590906</v>
      </c>
      <c r="BO58" s="74">
        <f t="shared" si="83"/>
        <v>6.0015597112789631</v>
      </c>
      <c r="BP58" s="74">
        <f t="shared" si="83"/>
        <v>5.3259971174587157</v>
      </c>
      <c r="BQ58" s="74">
        <f t="shared" si="83"/>
        <v>4.6463539043607156</v>
      </c>
      <c r="BR58" s="74">
        <f t="shared" si="83"/>
        <v>4.0161999169159053</v>
      </c>
      <c r="BS58" s="454"/>
      <c r="BT58" s="74">
        <f t="shared" si="84"/>
        <v>0</v>
      </c>
      <c r="BU58" s="74">
        <f t="shared" si="84"/>
        <v>0</v>
      </c>
      <c r="BV58" s="74">
        <f t="shared" si="84"/>
        <v>0</v>
      </c>
      <c r="BW58" s="74">
        <f t="shared" si="84"/>
        <v>0</v>
      </c>
      <c r="BX58" s="74">
        <f t="shared" si="84"/>
        <v>0</v>
      </c>
      <c r="BY58" s="74">
        <f t="shared" si="84"/>
        <v>0</v>
      </c>
      <c r="BZ58" s="74">
        <f t="shared" si="84"/>
        <v>0</v>
      </c>
    </row>
    <row r="59" spans="1:78" x14ac:dyDescent="0.2">
      <c r="A59" s="452"/>
      <c r="B59" s="453" t="str">
        <f t="shared" si="66"/>
        <v>Blue ammonia - Asia - Fuel cost - USD/GJ</v>
      </c>
      <c r="C59" s="453" t="str">
        <f t="shared" si="67"/>
        <v>Blue ammonia - Asia</v>
      </c>
      <c r="D59" s="74">
        <f t="shared" si="68"/>
        <v>18.8</v>
      </c>
      <c r="E59" t="s">
        <v>198</v>
      </c>
      <c r="F59" t="str">
        <f t="shared" si="69"/>
        <v>Blue ammonia</v>
      </c>
      <c r="G59" t="s">
        <v>828</v>
      </c>
      <c r="H59" s="74">
        <f t="shared" si="70"/>
        <v>73.628023468236734</v>
      </c>
      <c r="I59" s="74">
        <f t="shared" si="70"/>
        <v>42.109677568101453</v>
      </c>
      <c r="J59" s="74">
        <f t="shared" si="70"/>
        <v>27.772625018813937</v>
      </c>
      <c r="K59" s="74">
        <f t="shared" si="70"/>
        <v>27.310347798707447</v>
      </c>
      <c r="L59" s="74">
        <f t="shared" si="70"/>
        <v>26.877973988847373</v>
      </c>
      <c r="M59" s="74">
        <f t="shared" si="70"/>
        <v>26.444154956618398</v>
      </c>
      <c r="N59" s="74">
        <f t="shared" si="70"/>
        <v>26.027863395360111</v>
      </c>
      <c r="O59" s="454"/>
      <c r="P59" s="74">
        <f t="shared" si="71"/>
        <v>0</v>
      </c>
      <c r="Q59" s="74">
        <f t="shared" si="71"/>
        <v>0</v>
      </c>
      <c r="R59" s="74">
        <f t="shared" si="71"/>
        <v>0</v>
      </c>
      <c r="S59" s="74">
        <f t="shared" si="71"/>
        <v>0</v>
      </c>
      <c r="T59" s="74">
        <f t="shared" si="71"/>
        <v>0</v>
      </c>
      <c r="U59" s="74">
        <f t="shared" si="71"/>
        <v>0</v>
      </c>
      <c r="V59" s="74">
        <f t="shared" si="71"/>
        <v>0</v>
      </c>
      <c r="W59"/>
      <c r="X59" s="2">
        <f t="shared" si="72"/>
        <v>22.083989361702127</v>
      </c>
      <c r="Y59" s="2">
        <f t="shared" si="72"/>
        <v>21.082590425531919</v>
      </c>
      <c r="Z59" s="2">
        <f t="shared" si="72"/>
        <v>20.081191489361693</v>
      </c>
      <c r="AA59" s="2">
        <f t="shared" si="72"/>
        <v>19.079792553191478</v>
      </c>
      <c r="AB59" s="2">
        <f t="shared" si="72"/>
        <v>18.078393617021277</v>
      </c>
      <c r="AC59" s="2">
        <f t="shared" si="72"/>
        <v>17.076994680851062</v>
      </c>
      <c r="AD59" s="2">
        <f t="shared" si="72"/>
        <v>16.075595744680854</v>
      </c>
      <c r="AE59"/>
      <c r="AF59" s="2">
        <f t="shared" si="73"/>
        <v>0</v>
      </c>
      <c r="AG59" s="2">
        <f t="shared" si="73"/>
        <v>0</v>
      </c>
      <c r="AH59" s="2">
        <f t="shared" si="73"/>
        <v>0</v>
      </c>
      <c r="AI59" s="2">
        <f t="shared" si="73"/>
        <v>0</v>
      </c>
      <c r="AJ59" s="2">
        <f t="shared" si="73"/>
        <v>0</v>
      </c>
      <c r="AK59" s="2">
        <f t="shared" si="73"/>
        <v>0</v>
      </c>
      <c r="AL59" s="2">
        <f t="shared" si="73"/>
        <v>0</v>
      </c>
      <c r="AM59"/>
      <c r="AN59" s="24">
        <f t="shared" si="74"/>
        <v>22.083989361702127</v>
      </c>
      <c r="AO59" s="24">
        <f t="shared" si="75"/>
        <v>21.082590425531919</v>
      </c>
      <c r="AP59" s="24">
        <f t="shared" si="76"/>
        <v>20.081191489361693</v>
      </c>
      <c r="AQ59" s="24">
        <f t="shared" si="77"/>
        <v>19.079792553191478</v>
      </c>
      <c r="AR59" s="24">
        <f t="shared" si="78"/>
        <v>18.078393617021277</v>
      </c>
      <c r="AS59" s="24">
        <f t="shared" si="79"/>
        <v>17.076994680851062</v>
      </c>
      <c r="AT59" s="24">
        <f t="shared" si="80"/>
        <v>16.075595744680854</v>
      </c>
      <c r="AU59"/>
      <c r="AV59" s="74">
        <f t="shared" si="81"/>
        <v>5.9202127659574479</v>
      </c>
      <c r="AW59" s="74">
        <f t="shared" si="81"/>
        <v>5.6382978723404271</v>
      </c>
      <c r="AX59" s="74">
        <f t="shared" si="81"/>
        <v>5.3563829787234045</v>
      </c>
      <c r="AY59" s="74">
        <f t="shared" si="81"/>
        <v>5.0744680851063837</v>
      </c>
      <c r="AZ59" s="74">
        <f t="shared" si="81"/>
        <v>4.7925531914893629</v>
      </c>
      <c r="BA59" s="74">
        <f t="shared" si="81"/>
        <v>4.5106382978723421</v>
      </c>
      <c r="BB59" s="74">
        <f t="shared" si="81"/>
        <v>4.2287234042553195</v>
      </c>
      <c r="BC59" s="454"/>
      <c r="BD59" s="74">
        <f t="shared" si="82"/>
        <v>2.6808510638297869</v>
      </c>
      <c r="BE59" s="74">
        <f t="shared" si="82"/>
        <v>2.5531914893617018</v>
      </c>
      <c r="BF59" s="74">
        <f t="shared" si="82"/>
        <v>2.4255319148936172</v>
      </c>
      <c r="BG59" s="74">
        <f t="shared" si="82"/>
        <v>2.2978723404255321</v>
      </c>
      <c r="BH59" s="74">
        <f t="shared" si="82"/>
        <v>2.1702127659574471</v>
      </c>
      <c r="BI59" s="74">
        <f t="shared" si="82"/>
        <v>2.0425531914893615</v>
      </c>
      <c r="BJ59" s="74">
        <f t="shared" si="82"/>
        <v>1.9148936170212765</v>
      </c>
      <c r="BK59" s="455"/>
      <c r="BL59" s="74">
        <f t="shared" si="83"/>
        <v>6.9795744680851062</v>
      </c>
      <c r="BM59" s="74">
        <f t="shared" si="83"/>
        <v>7.029787234042554</v>
      </c>
      <c r="BN59" s="74">
        <f t="shared" si="83"/>
        <v>7.08</v>
      </c>
      <c r="BO59" s="74">
        <f t="shared" si="83"/>
        <v>7.130212765957447</v>
      </c>
      <c r="BP59" s="74">
        <f t="shared" si="83"/>
        <v>7.180425531914894</v>
      </c>
      <c r="BQ59" s="74">
        <f t="shared" si="83"/>
        <v>7.2306382978723409</v>
      </c>
      <c r="BR59" s="74">
        <f t="shared" si="83"/>
        <v>7.280851063829787</v>
      </c>
      <c r="BS59" s="454"/>
      <c r="BT59" s="74">
        <f t="shared" si="84"/>
        <v>58.047385170364386</v>
      </c>
      <c r="BU59" s="74">
        <f t="shared" si="84"/>
        <v>26.888400972356777</v>
      </c>
      <c r="BV59" s="74">
        <f t="shared" si="84"/>
        <v>12.910710125196914</v>
      </c>
      <c r="BW59" s="74">
        <f t="shared" si="84"/>
        <v>12.807794607218087</v>
      </c>
      <c r="BX59" s="74">
        <f t="shared" si="84"/>
        <v>12.734782499485668</v>
      </c>
      <c r="BY59" s="74">
        <f t="shared" si="84"/>
        <v>12.660325169384356</v>
      </c>
      <c r="BZ59" s="74">
        <f t="shared" si="84"/>
        <v>12.603395310253729</v>
      </c>
    </row>
    <row r="60" spans="1:78" x14ac:dyDescent="0.2">
      <c r="A60" s="452"/>
      <c r="B60" s="453" t="str">
        <f t="shared" si="66"/>
        <v>LSFO - Asia - Fuel cost - USD/GJ</v>
      </c>
      <c r="C60" s="453" t="str">
        <f t="shared" si="67"/>
        <v>LSFO - Asia</v>
      </c>
      <c r="D60" s="74">
        <f t="shared" si="68"/>
        <v>41.2</v>
      </c>
      <c r="E60" t="s">
        <v>198</v>
      </c>
      <c r="F60" t="str">
        <f t="shared" si="69"/>
        <v>LSFO</v>
      </c>
      <c r="G60" t="s">
        <v>828</v>
      </c>
      <c r="H60" s="74">
        <f t="shared" ref="H60:N70" si="85">INDEX(H$142:H$292,MATCH($E60&amp;$F60,$D$142:$D$292,0))/$D60</f>
        <v>21.473621920116738</v>
      </c>
      <c r="I60" s="74">
        <f t="shared" si="85"/>
        <v>15.404989638344617</v>
      </c>
      <c r="J60" s="74">
        <f t="shared" si="85"/>
        <v>13.444354593464393</v>
      </c>
      <c r="K60" s="74">
        <f t="shared" si="85"/>
        <v>13.444354593464393</v>
      </c>
      <c r="L60" s="74">
        <f t="shared" si="85"/>
        <v>13.444354593464393</v>
      </c>
      <c r="M60" s="74">
        <f t="shared" si="85"/>
        <v>13.444354593464393</v>
      </c>
      <c r="N60" s="74">
        <f t="shared" si="85"/>
        <v>13.444354593464393</v>
      </c>
      <c r="O60" s="454"/>
      <c r="P60" s="74">
        <f t="shared" ref="P60:V70" si="86">IFERROR(INDEX(P$142:P$292,MATCH($E60&amp;$F60,$D$142:$D$292,0))/$D60,"--")</f>
        <v>0</v>
      </c>
      <c r="Q60" s="74">
        <f t="shared" si="86"/>
        <v>0</v>
      </c>
      <c r="R60" s="74">
        <f t="shared" si="86"/>
        <v>0</v>
      </c>
      <c r="S60" s="74">
        <f t="shared" si="86"/>
        <v>0</v>
      </c>
      <c r="T60" s="74">
        <f t="shared" si="86"/>
        <v>0</v>
      </c>
      <c r="U60" s="74">
        <f t="shared" si="86"/>
        <v>0</v>
      </c>
      <c r="V60" s="74">
        <f t="shared" si="86"/>
        <v>0</v>
      </c>
      <c r="W60"/>
      <c r="X60" s="2">
        <f t="shared" ref="X60:AD70" si="87">INDEX(X$142:X$292,MATCH($E60&amp;$F60,$D$142:$D$292,0))/$D60*1000</f>
        <v>15.899999999999997</v>
      </c>
      <c r="Y60" s="2">
        <f t="shared" si="87"/>
        <v>15.899999999999997</v>
      </c>
      <c r="Z60" s="2">
        <f t="shared" si="87"/>
        <v>15.899999999999997</v>
      </c>
      <c r="AA60" s="2">
        <f t="shared" si="87"/>
        <v>15.899999999999997</v>
      </c>
      <c r="AB60" s="2">
        <f t="shared" si="87"/>
        <v>15.899999999999997</v>
      </c>
      <c r="AC60" s="2">
        <f t="shared" si="87"/>
        <v>15.899999999999997</v>
      </c>
      <c r="AD60" s="2">
        <f t="shared" si="87"/>
        <v>15.899999999999997</v>
      </c>
      <c r="AE60"/>
      <c r="AF60" s="2">
        <f t="shared" ref="AF60:AL70" si="88">INDEX(AF$142:AF$292,MATCH($E60&amp;$F60,$D$142:$D$292,0))/$D60*1000</f>
        <v>76.779854368932035</v>
      </c>
      <c r="AG60" s="2">
        <f t="shared" si="88"/>
        <v>76.779854368932035</v>
      </c>
      <c r="AH60" s="2">
        <f t="shared" si="88"/>
        <v>76.779854368932035</v>
      </c>
      <c r="AI60" s="2">
        <f t="shared" si="88"/>
        <v>76.779854368932035</v>
      </c>
      <c r="AJ60" s="2">
        <f t="shared" si="88"/>
        <v>76.779854368932035</v>
      </c>
      <c r="AK60" s="2">
        <f t="shared" si="88"/>
        <v>76.779854368932035</v>
      </c>
      <c r="AL60" s="2">
        <f t="shared" si="88"/>
        <v>76.779854368932035</v>
      </c>
      <c r="AM60"/>
      <c r="AN60" s="24">
        <f t="shared" si="74"/>
        <v>92.679854368932027</v>
      </c>
      <c r="AO60" s="24">
        <f t="shared" si="75"/>
        <v>92.679854368932027</v>
      </c>
      <c r="AP60" s="24">
        <f t="shared" si="76"/>
        <v>92.679854368932027</v>
      </c>
      <c r="AQ60" s="24">
        <f t="shared" si="77"/>
        <v>92.679854368932027</v>
      </c>
      <c r="AR60" s="24">
        <f t="shared" si="78"/>
        <v>92.679854368932027</v>
      </c>
      <c r="AS60" s="24">
        <f t="shared" si="79"/>
        <v>92.679854368932027</v>
      </c>
      <c r="AT60" s="24">
        <f t="shared" si="80"/>
        <v>92.679854368932027</v>
      </c>
      <c r="AU60"/>
      <c r="AV60" s="74">
        <f t="shared" ref="AV60:BB70" si="89">IFERROR(INDEX(AV$142:AV$266,MATCH($E60&amp;$F60,$D$142:$D$266,0))/$D60,"NA")</f>
        <v>0</v>
      </c>
      <c r="AW60" s="74">
        <f t="shared" si="89"/>
        <v>0</v>
      </c>
      <c r="AX60" s="74">
        <f t="shared" si="89"/>
        <v>0</v>
      </c>
      <c r="AY60" s="74">
        <f t="shared" si="89"/>
        <v>0</v>
      </c>
      <c r="AZ60" s="74">
        <f t="shared" si="89"/>
        <v>0</v>
      </c>
      <c r="BA60" s="74">
        <f t="shared" si="89"/>
        <v>0</v>
      </c>
      <c r="BB60" s="74">
        <f t="shared" si="89"/>
        <v>0</v>
      </c>
      <c r="BC60" s="454"/>
      <c r="BD60" s="74">
        <f t="shared" ref="BD60:BJ70" si="90">IFERROR(INDEX(BD$142:BD$266,MATCH($E60&amp;$F60,$D$142:$D$266,0))/$D60,"NA")</f>
        <v>0</v>
      </c>
      <c r="BE60" s="74">
        <f t="shared" si="90"/>
        <v>0</v>
      </c>
      <c r="BF60" s="74">
        <f t="shared" si="90"/>
        <v>0</v>
      </c>
      <c r="BG60" s="74">
        <f t="shared" si="90"/>
        <v>0</v>
      </c>
      <c r="BH60" s="74">
        <f t="shared" si="90"/>
        <v>0</v>
      </c>
      <c r="BI60" s="74">
        <f t="shared" si="90"/>
        <v>0</v>
      </c>
      <c r="BJ60" s="74">
        <f t="shared" si="90"/>
        <v>0</v>
      </c>
      <c r="BK60" s="455"/>
      <c r="BL60" s="74">
        <f t="shared" ref="BL60:BR70" si="91">IFERROR(INDEX(BL$142:BL$266,MATCH($E60&amp;$F60,$D$142:$D$266,0))/$D60,"NA")</f>
        <v>0</v>
      </c>
      <c r="BM60" s="74">
        <f t="shared" si="91"/>
        <v>0</v>
      </c>
      <c r="BN60" s="74">
        <f t="shared" si="91"/>
        <v>0</v>
      </c>
      <c r="BO60" s="74">
        <f t="shared" si="91"/>
        <v>0</v>
      </c>
      <c r="BP60" s="74">
        <f t="shared" si="91"/>
        <v>0</v>
      </c>
      <c r="BQ60" s="74">
        <f t="shared" si="91"/>
        <v>0</v>
      </c>
      <c r="BR60" s="74">
        <f t="shared" si="91"/>
        <v>0</v>
      </c>
      <c r="BS60" s="454"/>
      <c r="BT60" s="74">
        <f t="shared" ref="BT60:BZ70" si="92">IFERROR(INDEX(BT$142:BT$266,MATCH($E60&amp;$F60,$D$142:$D$266,0))/$D60,"NA")</f>
        <v>0</v>
      </c>
      <c r="BU60" s="74">
        <f t="shared" si="92"/>
        <v>0</v>
      </c>
      <c r="BV60" s="74">
        <f t="shared" si="92"/>
        <v>0</v>
      </c>
      <c r="BW60" s="74">
        <f t="shared" si="92"/>
        <v>0</v>
      </c>
      <c r="BX60" s="74">
        <f t="shared" si="92"/>
        <v>0</v>
      </c>
      <c r="BY60" s="74">
        <f t="shared" si="92"/>
        <v>0</v>
      </c>
      <c r="BZ60" s="74">
        <f t="shared" si="92"/>
        <v>0</v>
      </c>
    </row>
    <row r="61" spans="1:78" x14ac:dyDescent="0.2">
      <c r="A61" s="452"/>
      <c r="B61" s="453" t="str">
        <f t="shared" si="66"/>
        <v>LNG - Asia - Fuel cost - USD/GJ</v>
      </c>
      <c r="C61" s="453" t="str">
        <f t="shared" si="67"/>
        <v>LNG - Asia</v>
      </c>
      <c r="D61" s="74">
        <f t="shared" si="68"/>
        <v>48</v>
      </c>
      <c r="E61" t="s">
        <v>198</v>
      </c>
      <c r="F61" t="str">
        <f t="shared" si="69"/>
        <v>LNG</v>
      </c>
      <c r="G61" t="s">
        <v>828</v>
      </c>
      <c r="H61" s="74">
        <f t="shared" si="85"/>
        <v>38.598426405786107</v>
      </c>
      <c r="I61" s="74">
        <f t="shared" si="85"/>
        <v>19.913894333964979</v>
      </c>
      <c r="J61" s="74">
        <f t="shared" si="85"/>
        <v>11.877061137475053</v>
      </c>
      <c r="K61" s="74">
        <f t="shared" si="85"/>
        <v>11.69595088999592</v>
      </c>
      <c r="L61" s="74">
        <f t="shared" si="85"/>
        <v>11.559777834879483</v>
      </c>
      <c r="M61" s="74">
        <f t="shared" si="85"/>
        <v>11.423679936707721</v>
      </c>
      <c r="N61" s="74">
        <f t="shared" si="85"/>
        <v>11.31472768395961</v>
      </c>
      <c r="O61" s="454"/>
      <c r="P61" s="74">
        <f t="shared" si="86"/>
        <v>0</v>
      </c>
      <c r="Q61" s="74">
        <f t="shared" si="86"/>
        <v>0</v>
      </c>
      <c r="R61" s="74">
        <f t="shared" si="86"/>
        <v>0</v>
      </c>
      <c r="S61" s="74">
        <f t="shared" si="86"/>
        <v>0</v>
      </c>
      <c r="T61" s="74">
        <f t="shared" si="86"/>
        <v>0</v>
      </c>
      <c r="U61" s="74">
        <f t="shared" si="86"/>
        <v>0</v>
      </c>
      <c r="V61" s="74">
        <f t="shared" si="86"/>
        <v>0</v>
      </c>
      <c r="W61"/>
      <c r="X61" s="2">
        <f t="shared" si="87"/>
        <v>17.600000000000001</v>
      </c>
      <c r="Y61" s="2">
        <f t="shared" si="87"/>
        <v>17.600000000000001</v>
      </c>
      <c r="Z61" s="2">
        <f t="shared" si="87"/>
        <v>17.600000000000001</v>
      </c>
      <c r="AA61" s="2">
        <f t="shared" si="87"/>
        <v>17.600000000000001</v>
      </c>
      <c r="AB61" s="2">
        <f t="shared" si="87"/>
        <v>17.600000000000001</v>
      </c>
      <c r="AC61" s="2">
        <f t="shared" si="87"/>
        <v>17.600000000000001</v>
      </c>
      <c r="AD61" s="2">
        <f t="shared" si="87"/>
        <v>17.600000000000001</v>
      </c>
      <c r="AE61"/>
      <c r="AF61" s="2">
        <f t="shared" si="88"/>
        <v>76.026250000000005</v>
      </c>
      <c r="AG61" s="2">
        <f t="shared" si="88"/>
        <v>76.026250000000005</v>
      </c>
      <c r="AH61" s="2">
        <f t="shared" si="88"/>
        <v>76.026250000000005</v>
      </c>
      <c r="AI61" s="2">
        <f t="shared" si="88"/>
        <v>76.026250000000005</v>
      </c>
      <c r="AJ61" s="2">
        <f t="shared" si="88"/>
        <v>76.026250000000005</v>
      </c>
      <c r="AK61" s="2">
        <f t="shared" si="88"/>
        <v>76.026250000000005</v>
      </c>
      <c r="AL61" s="2">
        <f t="shared" si="88"/>
        <v>76.026250000000005</v>
      </c>
      <c r="AM61"/>
      <c r="AN61" s="24">
        <f t="shared" si="74"/>
        <v>93.626249999999999</v>
      </c>
      <c r="AO61" s="24">
        <f t="shared" si="75"/>
        <v>93.626249999999999</v>
      </c>
      <c r="AP61" s="24">
        <f t="shared" si="76"/>
        <v>93.626249999999999</v>
      </c>
      <c r="AQ61" s="24">
        <f t="shared" si="77"/>
        <v>93.626249999999999</v>
      </c>
      <c r="AR61" s="24">
        <f t="shared" si="78"/>
        <v>93.626249999999999</v>
      </c>
      <c r="AS61" s="24">
        <f t="shared" si="79"/>
        <v>93.626249999999999</v>
      </c>
      <c r="AT61" s="24">
        <f t="shared" si="80"/>
        <v>93.626249999999999</v>
      </c>
      <c r="AU61"/>
      <c r="AV61" s="74">
        <f t="shared" si="89"/>
        <v>4.2393219955936976</v>
      </c>
      <c r="AW61" s="74">
        <f t="shared" si="89"/>
        <v>4.1406250000000009</v>
      </c>
      <c r="AX61" s="74">
        <f t="shared" si="89"/>
        <v>4.0442258003626739</v>
      </c>
      <c r="AY61" s="74">
        <f t="shared" si="89"/>
        <v>3.9500709009676331</v>
      </c>
      <c r="AZ61" s="74">
        <f t="shared" si="89"/>
        <v>3.8581080515514277</v>
      </c>
      <c r="BA61" s="74">
        <f t="shared" si="89"/>
        <v>3.7682862183055086</v>
      </c>
      <c r="BB61" s="74">
        <f t="shared" si="89"/>
        <v>3.6805555555555567</v>
      </c>
      <c r="BC61" s="454"/>
      <c r="BD61" s="74">
        <f t="shared" si="90"/>
        <v>1.0257710768590755</v>
      </c>
      <c r="BE61" s="74">
        <f t="shared" si="90"/>
        <v>0.66910266729831036</v>
      </c>
      <c r="BF61" s="74">
        <f t="shared" si="90"/>
        <v>0.5411686704457116</v>
      </c>
      <c r="BG61" s="74">
        <f t="shared" si="90"/>
        <v>0.45421332236162032</v>
      </c>
      <c r="BH61" s="74">
        <f t="shared" si="90"/>
        <v>0.4100031166613875</v>
      </c>
      <c r="BI61" s="74">
        <f t="shared" si="90"/>
        <v>0.3637270517355462</v>
      </c>
      <c r="BJ61" s="74">
        <f t="shared" si="90"/>
        <v>0.34250546173738788</v>
      </c>
      <c r="BK61" s="455"/>
      <c r="BL61" s="74">
        <f t="shared" si="91"/>
        <v>0</v>
      </c>
      <c r="BM61" s="74">
        <f t="shared" si="91"/>
        <v>0</v>
      </c>
      <c r="BN61" s="74">
        <f t="shared" si="91"/>
        <v>0</v>
      </c>
      <c r="BO61" s="74">
        <f t="shared" si="91"/>
        <v>0</v>
      </c>
      <c r="BP61" s="74">
        <f t="shared" si="91"/>
        <v>0</v>
      </c>
      <c r="BQ61" s="74">
        <f t="shared" si="91"/>
        <v>0</v>
      </c>
      <c r="BR61" s="74">
        <f t="shared" si="91"/>
        <v>0</v>
      </c>
      <c r="BS61" s="454"/>
      <c r="BT61" s="74">
        <f t="shared" si="92"/>
        <v>33.333333333333336</v>
      </c>
      <c r="BU61" s="74">
        <f t="shared" si="92"/>
        <v>15.104166666666666</v>
      </c>
      <c r="BV61" s="74">
        <f t="shared" si="92"/>
        <v>7.291666666666667</v>
      </c>
      <c r="BW61" s="74">
        <f t="shared" si="92"/>
        <v>7.291666666666667</v>
      </c>
      <c r="BX61" s="74">
        <f t="shared" si="92"/>
        <v>7.291666666666667</v>
      </c>
      <c r="BY61" s="74">
        <f t="shared" si="92"/>
        <v>7.291666666666667</v>
      </c>
      <c r="BZ61" s="74">
        <f t="shared" si="92"/>
        <v>7.291666666666667</v>
      </c>
    </row>
    <row r="62" spans="1:78" x14ac:dyDescent="0.2">
      <c r="A62" s="452"/>
      <c r="B62" s="453" t="str">
        <f t="shared" si="66"/>
        <v>Blue hydrogen (compressed) - Asia - Fuel cost - USD/GJ</v>
      </c>
      <c r="C62" s="453" t="str">
        <f t="shared" si="67"/>
        <v>Blue hydrogen (compressed) - Asia</v>
      </c>
      <c r="D62" s="74">
        <f t="shared" si="68"/>
        <v>120</v>
      </c>
      <c r="E62" t="s">
        <v>198</v>
      </c>
      <c r="F62" t="str">
        <f t="shared" si="69"/>
        <v>Blue hydrogen (compressed)</v>
      </c>
      <c r="G62" t="s">
        <v>828</v>
      </c>
      <c r="H62" s="74">
        <f t="shared" si="85"/>
        <v>59.575774636087516</v>
      </c>
      <c r="I62" s="74">
        <f t="shared" si="85"/>
        <v>32.060038533775483</v>
      </c>
      <c r="J62" s="74">
        <f t="shared" si="85"/>
        <v>20.269549889572936</v>
      </c>
      <c r="K62" s="74">
        <f t="shared" si="85"/>
        <v>19.518703118036356</v>
      </c>
      <c r="L62" s="74">
        <f t="shared" si="85"/>
        <v>18.860631045592818</v>
      </c>
      <c r="M62" s="74">
        <f t="shared" si="85"/>
        <v>18.255033287876522</v>
      </c>
      <c r="N62" s="74">
        <f t="shared" si="85"/>
        <v>17.713364934327284</v>
      </c>
      <c r="O62" s="454"/>
      <c r="P62" s="74">
        <f t="shared" si="86"/>
        <v>0</v>
      </c>
      <c r="Q62" s="74">
        <f t="shared" si="86"/>
        <v>0</v>
      </c>
      <c r="R62" s="74">
        <f t="shared" si="86"/>
        <v>0</v>
      </c>
      <c r="S62" s="74">
        <f t="shared" si="86"/>
        <v>0</v>
      </c>
      <c r="T62" s="74">
        <f t="shared" si="86"/>
        <v>0</v>
      </c>
      <c r="U62" s="74">
        <f t="shared" si="86"/>
        <v>0</v>
      </c>
      <c r="V62" s="74">
        <f t="shared" si="86"/>
        <v>0</v>
      </c>
      <c r="W62"/>
      <c r="X62" s="2">
        <f t="shared" si="87"/>
        <v>16.554438014523402</v>
      </c>
      <c r="Y62" s="2">
        <f t="shared" si="87"/>
        <v>15.574124293785308</v>
      </c>
      <c r="Z62" s="2">
        <f t="shared" si="87"/>
        <v>14.600917572643572</v>
      </c>
      <c r="AA62" s="2">
        <f t="shared" si="87"/>
        <v>13.634676043469213</v>
      </c>
      <c r="AB62" s="2">
        <f t="shared" si="87"/>
        <v>12.675260769600246</v>
      </c>
      <c r="AC62" s="2">
        <f t="shared" si="87"/>
        <v>11.722535627054755</v>
      </c>
      <c r="AD62" s="2">
        <f t="shared" si="87"/>
        <v>10.776367231638421</v>
      </c>
      <c r="AE62"/>
      <c r="AF62" s="2">
        <f t="shared" si="88"/>
        <v>0</v>
      </c>
      <c r="AG62" s="2">
        <f t="shared" si="88"/>
        <v>0</v>
      </c>
      <c r="AH62" s="2">
        <f t="shared" si="88"/>
        <v>0</v>
      </c>
      <c r="AI62" s="2">
        <f t="shared" si="88"/>
        <v>0</v>
      </c>
      <c r="AJ62" s="2">
        <f t="shared" si="88"/>
        <v>0</v>
      </c>
      <c r="AK62" s="2">
        <f t="shared" si="88"/>
        <v>0</v>
      </c>
      <c r="AL62" s="2">
        <f t="shared" si="88"/>
        <v>0</v>
      </c>
      <c r="AM62"/>
      <c r="AN62" s="24">
        <f t="shared" si="74"/>
        <v>16.554438014523402</v>
      </c>
      <c r="AO62" s="24">
        <f t="shared" si="75"/>
        <v>15.574124293785308</v>
      </c>
      <c r="AP62" s="24">
        <f t="shared" si="76"/>
        <v>14.600917572643572</v>
      </c>
      <c r="AQ62" s="24">
        <f t="shared" si="77"/>
        <v>13.634676043469213</v>
      </c>
      <c r="AR62" s="24">
        <f t="shared" si="78"/>
        <v>12.675260769600246</v>
      </c>
      <c r="AS62" s="24">
        <f t="shared" si="79"/>
        <v>11.722535627054755</v>
      </c>
      <c r="AT62" s="24">
        <f t="shared" si="80"/>
        <v>10.776367231638421</v>
      </c>
      <c r="AU62"/>
      <c r="AV62" s="74">
        <f t="shared" si="89"/>
        <v>2.2903448472850982</v>
      </c>
      <c r="AW62" s="74">
        <f t="shared" si="89"/>
        <v>2.2083333333333339</v>
      </c>
      <c r="AX62" s="74">
        <f t="shared" si="89"/>
        <v>2.1292584463391355</v>
      </c>
      <c r="AY62" s="74">
        <f t="shared" si="89"/>
        <v>2.053015033044475</v>
      </c>
      <c r="AZ62" s="74">
        <f t="shared" si="89"/>
        <v>1.9795017054661888</v>
      </c>
      <c r="BA62" s="74">
        <f t="shared" si="89"/>
        <v>1.9086207060709157</v>
      </c>
      <c r="BB62" s="74">
        <f t="shared" si="89"/>
        <v>1.8402777777777781</v>
      </c>
      <c r="BC62" s="454"/>
      <c r="BD62" s="74">
        <f t="shared" si="90"/>
        <v>3.6964344992190821</v>
      </c>
      <c r="BE62" s="74">
        <f t="shared" si="90"/>
        <v>2.9683718671088171</v>
      </c>
      <c r="BF62" s="74">
        <f t="shared" si="90"/>
        <v>2.4772638880254672</v>
      </c>
      <c r="BG62" s="74">
        <f t="shared" si="90"/>
        <v>2.0793392672835505</v>
      </c>
      <c r="BH62" s="74">
        <f t="shared" si="90"/>
        <v>1.7654747249182947</v>
      </c>
      <c r="BI62" s="74">
        <f t="shared" si="90"/>
        <v>1.4956067468056029</v>
      </c>
      <c r="BJ62" s="74">
        <f t="shared" si="90"/>
        <v>1.2814204898828381</v>
      </c>
      <c r="BK62" s="455"/>
      <c r="BL62" s="74">
        <f t="shared" si="91"/>
        <v>5.6632688362500003</v>
      </c>
      <c r="BM62" s="74">
        <f t="shared" si="91"/>
        <v>5.625</v>
      </c>
      <c r="BN62" s="74">
        <f t="shared" si="91"/>
        <v>5.5869897606249994</v>
      </c>
      <c r="BO62" s="74">
        <f t="shared" si="91"/>
        <v>5.5492363706249996</v>
      </c>
      <c r="BP62" s="74">
        <f t="shared" si="91"/>
        <v>5.5117380943750005</v>
      </c>
      <c r="BQ62" s="74">
        <f t="shared" si="91"/>
        <v>5.4744932087500002</v>
      </c>
      <c r="BR62" s="74">
        <f t="shared" si="91"/>
        <v>5.4375</v>
      </c>
      <c r="BS62" s="454"/>
      <c r="BT62" s="74">
        <f t="shared" si="92"/>
        <v>47.92572645333334</v>
      </c>
      <c r="BU62" s="74">
        <f t="shared" si="92"/>
        <v>21.258333333333333</v>
      </c>
      <c r="BV62" s="74">
        <f t="shared" si="92"/>
        <v>10.076037794583332</v>
      </c>
      <c r="BW62" s="74">
        <f t="shared" si="92"/>
        <v>9.8371124470833351</v>
      </c>
      <c r="BX62" s="74">
        <f t="shared" si="92"/>
        <v>9.6039165208333337</v>
      </c>
      <c r="BY62" s="74">
        <f t="shared" si="92"/>
        <v>9.3763126262500016</v>
      </c>
      <c r="BZ62" s="74">
        <f t="shared" si="92"/>
        <v>9.1541666666666668</v>
      </c>
    </row>
    <row r="63" spans="1:78" x14ac:dyDescent="0.2">
      <c r="A63" s="452"/>
      <c r="B63" s="453" t="str">
        <f t="shared" si="66"/>
        <v>Blue hydrogen (liquid) - Asia - Fuel cost - USD/GJ</v>
      </c>
      <c r="C63" s="453" t="str">
        <f t="shared" si="67"/>
        <v>Blue hydrogen (liquid) - Asia</v>
      </c>
      <c r="D63" s="74">
        <f t="shared" si="68"/>
        <v>120</v>
      </c>
      <c r="E63" t="s">
        <v>198</v>
      </c>
      <c r="F63" t="str">
        <f t="shared" si="69"/>
        <v>Blue hydrogen (liquid)</v>
      </c>
      <c r="G63" t="s">
        <v>828</v>
      </c>
      <c r="H63" s="74">
        <f t="shared" si="85"/>
        <v>74.862875394680003</v>
      </c>
      <c r="I63" s="74">
        <f t="shared" si="85"/>
        <v>45.21901778198874</v>
      </c>
      <c r="J63" s="74">
        <f t="shared" si="85"/>
        <v>32.665189623232351</v>
      </c>
      <c r="K63" s="74">
        <f t="shared" si="85"/>
        <v>31.395509274794026</v>
      </c>
      <c r="L63" s="74">
        <f t="shared" si="85"/>
        <v>30.473649641672431</v>
      </c>
      <c r="M63" s="74">
        <f t="shared" si="85"/>
        <v>29.591938029898611</v>
      </c>
      <c r="N63" s="74">
        <f t="shared" si="85"/>
        <v>28.923647522693695</v>
      </c>
      <c r="O63" s="454"/>
      <c r="P63" s="74">
        <f t="shared" si="86"/>
        <v>0</v>
      </c>
      <c r="Q63" s="74">
        <f t="shared" si="86"/>
        <v>0</v>
      </c>
      <c r="R63" s="74">
        <f t="shared" si="86"/>
        <v>0</v>
      </c>
      <c r="S63" s="74">
        <f t="shared" si="86"/>
        <v>0</v>
      </c>
      <c r="T63" s="74">
        <f t="shared" si="86"/>
        <v>0</v>
      </c>
      <c r="U63" s="74">
        <f t="shared" si="86"/>
        <v>0</v>
      </c>
      <c r="V63" s="74">
        <f t="shared" si="86"/>
        <v>0</v>
      </c>
      <c r="W63"/>
      <c r="X63" s="2">
        <f t="shared" si="87"/>
        <v>16.554438014523402</v>
      </c>
      <c r="Y63" s="2">
        <f t="shared" si="87"/>
        <v>15.574124293785308</v>
      </c>
      <c r="Z63" s="2">
        <f t="shared" si="87"/>
        <v>14.600917572643572</v>
      </c>
      <c r="AA63" s="2">
        <f t="shared" si="87"/>
        <v>13.634676043469213</v>
      </c>
      <c r="AB63" s="2">
        <f t="shared" si="87"/>
        <v>12.675260769600246</v>
      </c>
      <c r="AC63" s="2">
        <f t="shared" si="87"/>
        <v>11.722535627054755</v>
      </c>
      <c r="AD63" s="2">
        <f t="shared" si="87"/>
        <v>10.776367231638421</v>
      </c>
      <c r="AE63"/>
      <c r="AF63" s="2">
        <f t="shared" si="88"/>
        <v>0</v>
      </c>
      <c r="AG63" s="2">
        <f t="shared" si="88"/>
        <v>0</v>
      </c>
      <c r="AH63" s="2">
        <f t="shared" si="88"/>
        <v>0</v>
      </c>
      <c r="AI63" s="2">
        <f t="shared" si="88"/>
        <v>0</v>
      </c>
      <c r="AJ63" s="2">
        <f t="shared" si="88"/>
        <v>0</v>
      </c>
      <c r="AK63" s="2">
        <f t="shared" si="88"/>
        <v>0</v>
      </c>
      <c r="AL63" s="2">
        <f t="shared" si="88"/>
        <v>0</v>
      </c>
      <c r="AM63"/>
      <c r="AN63" s="24">
        <f t="shared" si="74"/>
        <v>16.554438014523402</v>
      </c>
      <c r="AO63" s="24">
        <f t="shared" si="75"/>
        <v>15.574124293785308</v>
      </c>
      <c r="AP63" s="24">
        <f t="shared" si="76"/>
        <v>14.600917572643572</v>
      </c>
      <c r="AQ63" s="24">
        <f t="shared" si="77"/>
        <v>13.634676043469213</v>
      </c>
      <c r="AR63" s="24">
        <f t="shared" si="78"/>
        <v>12.675260769600246</v>
      </c>
      <c r="AS63" s="24">
        <f t="shared" si="79"/>
        <v>11.722535627054755</v>
      </c>
      <c r="AT63" s="24">
        <f t="shared" si="80"/>
        <v>10.776367231638421</v>
      </c>
      <c r="AU63"/>
      <c r="AV63" s="74">
        <f t="shared" si="89"/>
        <v>10.623678180618432</v>
      </c>
      <c r="AW63" s="74">
        <f t="shared" si="89"/>
        <v>10.541666666666666</v>
      </c>
      <c r="AX63" s="74">
        <f t="shared" si="89"/>
        <v>10.462591779672469</v>
      </c>
      <c r="AY63" s="74">
        <f t="shared" si="89"/>
        <v>10.386348366377808</v>
      </c>
      <c r="AZ63" s="74">
        <f t="shared" si="89"/>
        <v>10.312835038799523</v>
      </c>
      <c r="BA63" s="74">
        <f t="shared" si="89"/>
        <v>10.241954039404249</v>
      </c>
      <c r="BB63" s="74">
        <f t="shared" si="89"/>
        <v>10.173611111111112</v>
      </c>
      <c r="BC63" s="454"/>
      <c r="BD63" s="74">
        <f t="shared" si="90"/>
        <v>10.650201924478234</v>
      </c>
      <c r="BE63" s="74">
        <f t="shared" si="90"/>
        <v>7.7940177819887371</v>
      </c>
      <c r="BF63" s="74">
        <f t="shared" si="90"/>
        <v>6.5395702883515465</v>
      </c>
      <c r="BG63" s="74">
        <f t="shared" si="90"/>
        <v>5.6228120907078845</v>
      </c>
      <c r="BH63" s="74">
        <f t="shared" si="90"/>
        <v>5.0451599876645732</v>
      </c>
      <c r="BI63" s="74">
        <f t="shared" si="90"/>
        <v>4.499178155494362</v>
      </c>
      <c r="BJ63" s="74">
        <f t="shared" si="90"/>
        <v>4.1583697449159196</v>
      </c>
      <c r="BK63" s="455"/>
      <c r="BL63" s="74">
        <f t="shared" si="91"/>
        <v>5.6632688362500003</v>
      </c>
      <c r="BM63" s="74">
        <f t="shared" si="91"/>
        <v>5.625</v>
      </c>
      <c r="BN63" s="74">
        <f t="shared" si="91"/>
        <v>5.5869897606249994</v>
      </c>
      <c r="BO63" s="74">
        <f t="shared" si="91"/>
        <v>5.5492363706249996</v>
      </c>
      <c r="BP63" s="74">
        <f t="shared" si="91"/>
        <v>5.5117380943750005</v>
      </c>
      <c r="BQ63" s="74">
        <f t="shared" si="91"/>
        <v>5.4744932087500002</v>
      </c>
      <c r="BR63" s="74">
        <f t="shared" si="91"/>
        <v>5.4375</v>
      </c>
      <c r="BS63" s="454"/>
      <c r="BT63" s="74">
        <f t="shared" si="92"/>
        <v>47.92572645333334</v>
      </c>
      <c r="BU63" s="74">
        <f t="shared" si="92"/>
        <v>21.258333333333333</v>
      </c>
      <c r="BV63" s="74">
        <f t="shared" si="92"/>
        <v>10.076037794583332</v>
      </c>
      <c r="BW63" s="74">
        <f t="shared" si="92"/>
        <v>9.8371124470833351</v>
      </c>
      <c r="BX63" s="74">
        <f t="shared" si="92"/>
        <v>9.6039165208333337</v>
      </c>
      <c r="BY63" s="74">
        <f t="shared" si="92"/>
        <v>9.3763126262500016</v>
      </c>
      <c r="BZ63" s="74">
        <f t="shared" si="92"/>
        <v>9.1541666666666668</v>
      </c>
    </row>
    <row r="64" spans="1:78" x14ac:dyDescent="0.2">
      <c r="A64" s="452"/>
      <c r="B64" s="453" t="str">
        <f t="shared" si="66"/>
        <v>LPG - Asia - Fuel cost - USD/GJ</v>
      </c>
      <c r="C64" s="453" t="str">
        <f t="shared" si="67"/>
        <v>LPG - Asia</v>
      </c>
      <c r="D64" s="74">
        <f t="shared" si="68"/>
        <v>46</v>
      </c>
      <c r="E64" t="s">
        <v>198</v>
      </c>
      <c r="F64" t="str">
        <f t="shared" si="69"/>
        <v>LPG</v>
      </c>
      <c r="G64" t="s">
        <v>828</v>
      </c>
      <c r="H64" s="74">
        <f t="shared" si="85"/>
        <v>16.5250690734395</v>
      </c>
      <c r="I64" s="74">
        <f t="shared" si="85"/>
        <v>11.854940857032684</v>
      </c>
      <c r="J64" s="74">
        <f t="shared" si="85"/>
        <v>10.346130202501252</v>
      </c>
      <c r="K64" s="74">
        <f t="shared" si="85"/>
        <v>10.346130202501252</v>
      </c>
      <c r="L64" s="74">
        <f t="shared" si="85"/>
        <v>10.346130202501252</v>
      </c>
      <c r="M64" s="74">
        <f t="shared" si="85"/>
        <v>10.346130202501252</v>
      </c>
      <c r="N64" s="74">
        <f t="shared" si="85"/>
        <v>10.346130202501252</v>
      </c>
      <c r="O64" s="454"/>
      <c r="P64" s="74">
        <f t="shared" si="86"/>
        <v>0</v>
      </c>
      <c r="Q64" s="74">
        <f t="shared" si="86"/>
        <v>0</v>
      </c>
      <c r="R64" s="74">
        <f t="shared" si="86"/>
        <v>0</v>
      </c>
      <c r="S64" s="74">
        <f t="shared" si="86"/>
        <v>0</v>
      </c>
      <c r="T64" s="74">
        <f t="shared" si="86"/>
        <v>0</v>
      </c>
      <c r="U64" s="74">
        <f t="shared" si="86"/>
        <v>0</v>
      </c>
      <c r="V64" s="74">
        <f t="shared" si="86"/>
        <v>0</v>
      </c>
      <c r="W64"/>
      <c r="X64" s="2">
        <f t="shared" si="87"/>
        <v>17.7</v>
      </c>
      <c r="Y64" s="2">
        <f t="shared" si="87"/>
        <v>17.7</v>
      </c>
      <c r="Z64" s="2">
        <f t="shared" si="87"/>
        <v>17.7</v>
      </c>
      <c r="AA64" s="2">
        <f t="shared" si="87"/>
        <v>17.7</v>
      </c>
      <c r="AB64" s="2">
        <f t="shared" si="87"/>
        <v>17.7</v>
      </c>
      <c r="AC64" s="2">
        <f t="shared" si="87"/>
        <v>17.7</v>
      </c>
      <c r="AD64" s="2">
        <f t="shared" si="87"/>
        <v>17.7</v>
      </c>
      <c r="AE64"/>
      <c r="AF64" s="2">
        <f t="shared" si="88"/>
        <v>66</v>
      </c>
      <c r="AG64" s="2">
        <f t="shared" si="88"/>
        <v>66</v>
      </c>
      <c r="AH64" s="2">
        <f t="shared" si="88"/>
        <v>66</v>
      </c>
      <c r="AI64" s="2">
        <f t="shared" si="88"/>
        <v>66</v>
      </c>
      <c r="AJ64" s="2">
        <f t="shared" si="88"/>
        <v>66</v>
      </c>
      <c r="AK64" s="2">
        <f t="shared" si="88"/>
        <v>66</v>
      </c>
      <c r="AL64" s="2">
        <f t="shared" si="88"/>
        <v>66</v>
      </c>
      <c r="AM64"/>
      <c r="AN64" s="24">
        <f t="shared" si="74"/>
        <v>83.7</v>
      </c>
      <c r="AO64" s="24">
        <f t="shared" si="75"/>
        <v>83.7</v>
      </c>
      <c r="AP64" s="24">
        <f t="shared" si="76"/>
        <v>83.7</v>
      </c>
      <c r="AQ64" s="24">
        <f t="shared" si="77"/>
        <v>83.7</v>
      </c>
      <c r="AR64" s="24">
        <f t="shared" si="78"/>
        <v>83.7</v>
      </c>
      <c r="AS64" s="24">
        <f t="shared" si="79"/>
        <v>83.7</v>
      </c>
      <c r="AT64" s="24">
        <f t="shared" si="80"/>
        <v>83.7</v>
      </c>
      <c r="AU64"/>
      <c r="AV64" s="74">
        <f t="shared" si="89"/>
        <v>0</v>
      </c>
      <c r="AW64" s="74">
        <f t="shared" si="89"/>
        <v>0</v>
      </c>
      <c r="AX64" s="74">
        <f t="shared" si="89"/>
        <v>0</v>
      </c>
      <c r="AY64" s="74">
        <f t="shared" si="89"/>
        <v>0</v>
      </c>
      <c r="AZ64" s="74">
        <f t="shared" si="89"/>
        <v>0</v>
      </c>
      <c r="BA64" s="74">
        <f t="shared" si="89"/>
        <v>0</v>
      </c>
      <c r="BB64" s="74">
        <f t="shared" si="89"/>
        <v>0</v>
      </c>
      <c r="BC64" s="454"/>
      <c r="BD64" s="74">
        <f t="shared" si="90"/>
        <v>0</v>
      </c>
      <c r="BE64" s="74">
        <f t="shared" si="90"/>
        <v>0</v>
      </c>
      <c r="BF64" s="74">
        <f t="shared" si="90"/>
        <v>0</v>
      </c>
      <c r="BG64" s="74">
        <f t="shared" si="90"/>
        <v>0</v>
      </c>
      <c r="BH64" s="74">
        <f t="shared" si="90"/>
        <v>0</v>
      </c>
      <c r="BI64" s="74">
        <f t="shared" si="90"/>
        <v>0</v>
      </c>
      <c r="BJ64" s="74">
        <f t="shared" si="90"/>
        <v>0</v>
      </c>
      <c r="BK64" s="455"/>
      <c r="BL64" s="74">
        <f t="shared" si="91"/>
        <v>0</v>
      </c>
      <c r="BM64" s="74">
        <f t="shared" si="91"/>
        <v>0</v>
      </c>
      <c r="BN64" s="74">
        <f t="shared" si="91"/>
        <v>0</v>
      </c>
      <c r="BO64" s="74">
        <f t="shared" si="91"/>
        <v>0</v>
      </c>
      <c r="BP64" s="74">
        <f t="shared" si="91"/>
        <v>0</v>
      </c>
      <c r="BQ64" s="74">
        <f t="shared" si="91"/>
        <v>0</v>
      </c>
      <c r="BR64" s="74">
        <f t="shared" si="91"/>
        <v>0</v>
      </c>
      <c r="BS64" s="454"/>
      <c r="BT64" s="74">
        <f t="shared" si="92"/>
        <v>0</v>
      </c>
      <c r="BU64" s="74">
        <f t="shared" si="92"/>
        <v>0</v>
      </c>
      <c r="BV64" s="74">
        <f t="shared" si="92"/>
        <v>0</v>
      </c>
      <c r="BW64" s="74">
        <f t="shared" si="92"/>
        <v>0</v>
      </c>
      <c r="BX64" s="74">
        <f t="shared" si="92"/>
        <v>0</v>
      </c>
      <c r="BY64" s="74">
        <f t="shared" si="92"/>
        <v>0</v>
      </c>
      <c r="BZ64" s="74">
        <f t="shared" si="92"/>
        <v>0</v>
      </c>
    </row>
    <row r="65" spans="1:78" x14ac:dyDescent="0.2">
      <c r="A65" s="452"/>
      <c r="B65" s="453" t="str">
        <f t="shared" si="66"/>
        <v>Biomethane - Asia - Fuel cost - USD/GJ</v>
      </c>
      <c r="C65" s="453" t="str">
        <f t="shared" si="67"/>
        <v>Biomethane - Asia</v>
      </c>
      <c r="D65" s="74">
        <f t="shared" si="68"/>
        <v>50</v>
      </c>
      <c r="E65" t="s">
        <v>198</v>
      </c>
      <c r="F65" t="str">
        <f t="shared" si="69"/>
        <v>Biomethane</v>
      </c>
      <c r="G65" t="s">
        <v>828</v>
      </c>
      <c r="H65" s="74">
        <f t="shared" si="85"/>
        <v>25.655355807366615</v>
      </c>
      <c r="I65" s="74">
        <f t="shared" si="85"/>
        <v>23.157731712881386</v>
      </c>
      <c r="J65" s="74">
        <f t="shared" si="85"/>
        <v>21.467294770065969</v>
      </c>
      <c r="K65" s="74">
        <f t="shared" si="85"/>
        <v>20.040358427158125</v>
      </c>
      <c r="L65" s="74">
        <f t="shared" si="85"/>
        <v>18.694923459937517</v>
      </c>
      <c r="M65" s="74">
        <f t="shared" si="85"/>
        <v>17.343928789980616</v>
      </c>
      <c r="N65" s="74">
        <f t="shared" si="85"/>
        <v>16.041680065485654</v>
      </c>
      <c r="O65" s="454"/>
      <c r="P65" s="74">
        <f t="shared" si="86"/>
        <v>0</v>
      </c>
      <c r="Q65" s="74">
        <f t="shared" si="86"/>
        <v>0</v>
      </c>
      <c r="R65" s="74">
        <f t="shared" si="86"/>
        <v>0</v>
      </c>
      <c r="S65" s="74">
        <f t="shared" si="86"/>
        <v>0</v>
      </c>
      <c r="T65" s="74">
        <f t="shared" si="86"/>
        <v>0</v>
      </c>
      <c r="U65" s="74">
        <f t="shared" si="86"/>
        <v>0</v>
      </c>
      <c r="V65" s="74">
        <f t="shared" si="86"/>
        <v>0</v>
      </c>
      <c r="W65"/>
      <c r="X65" s="2">
        <f t="shared" si="87"/>
        <v>-37.778102817936237</v>
      </c>
      <c r="Y65" s="2">
        <f t="shared" si="87"/>
        <v>-40.704565067103559</v>
      </c>
      <c r="Z65" s="2">
        <f t="shared" si="87"/>
        <v>-43.561961308916878</v>
      </c>
      <c r="AA65" s="2">
        <f t="shared" si="87"/>
        <v>-46.35029154337623</v>
      </c>
      <c r="AB65" s="2">
        <f t="shared" si="87"/>
        <v>-49.069555770481585</v>
      </c>
      <c r="AC65" s="2">
        <f t="shared" si="87"/>
        <v>-51.719753990232967</v>
      </c>
      <c r="AD65" s="2">
        <f t="shared" si="87"/>
        <v>-54.300886202630352</v>
      </c>
      <c r="AE65"/>
      <c r="AF65" s="2">
        <f t="shared" si="88"/>
        <v>72.985200000000006</v>
      </c>
      <c r="AG65" s="2">
        <f t="shared" si="88"/>
        <v>72.985200000000006</v>
      </c>
      <c r="AH65" s="2">
        <f t="shared" si="88"/>
        <v>72.985200000000006</v>
      </c>
      <c r="AI65" s="2">
        <f t="shared" si="88"/>
        <v>72.985200000000006</v>
      </c>
      <c r="AJ65" s="2">
        <f t="shared" si="88"/>
        <v>72.985200000000006</v>
      </c>
      <c r="AK65" s="2">
        <f t="shared" si="88"/>
        <v>72.985200000000006</v>
      </c>
      <c r="AL65" s="2">
        <f t="shared" si="88"/>
        <v>72.985200000000006</v>
      </c>
      <c r="AM65"/>
      <c r="AN65" s="24">
        <f t="shared" si="74"/>
        <v>35.207097182063769</v>
      </c>
      <c r="AO65" s="24">
        <f t="shared" si="75"/>
        <v>32.280634932896447</v>
      </c>
      <c r="AP65" s="24">
        <f t="shared" si="76"/>
        <v>29.423238691083128</v>
      </c>
      <c r="AQ65" s="24">
        <f t="shared" si="77"/>
        <v>26.634908456623776</v>
      </c>
      <c r="AR65" s="24">
        <f t="shared" si="78"/>
        <v>23.915644229518421</v>
      </c>
      <c r="AS65" s="24">
        <f t="shared" si="79"/>
        <v>21.265446009767039</v>
      </c>
      <c r="AT65" s="24">
        <f t="shared" si="80"/>
        <v>18.684313797369654</v>
      </c>
      <c r="AU65"/>
      <c r="AV65" s="74">
        <f t="shared" si="89"/>
        <v>11.458427846991444</v>
      </c>
      <c r="AW65" s="74">
        <f t="shared" si="89"/>
        <v>10.704163958300748</v>
      </c>
      <c r="AX65" s="74">
        <f t="shared" si="89"/>
        <v>9.9499000696100506</v>
      </c>
      <c r="AY65" s="74">
        <f t="shared" si="89"/>
        <v>9.1956361809193545</v>
      </c>
      <c r="AZ65" s="74">
        <f t="shared" si="89"/>
        <v>8.4413722922286567</v>
      </c>
      <c r="BA65" s="74">
        <f t="shared" si="89"/>
        <v>7.6871084035379598</v>
      </c>
      <c r="BB65" s="74">
        <f t="shared" si="89"/>
        <v>6.9328445148472637</v>
      </c>
      <c r="BC65" s="454"/>
      <c r="BD65" s="74">
        <f t="shared" si="90"/>
        <v>8.7781303115545999</v>
      </c>
      <c r="BE65" s="74">
        <f t="shared" si="90"/>
        <v>7.7601701193785653</v>
      </c>
      <c r="BF65" s="74">
        <f t="shared" si="90"/>
        <v>7.174397078872337</v>
      </c>
      <c r="BG65" s="74">
        <f t="shared" si="90"/>
        <v>6.664624638273688</v>
      </c>
      <c r="BH65" s="74">
        <f t="shared" si="90"/>
        <v>6.2363535733622664</v>
      </c>
      <c r="BI65" s="74">
        <f t="shared" si="90"/>
        <v>5.802522805714557</v>
      </c>
      <c r="BJ65" s="74">
        <f t="shared" si="90"/>
        <v>5.4174379835287816</v>
      </c>
      <c r="BK65" s="455"/>
      <c r="BL65" s="74">
        <f t="shared" si="91"/>
        <v>0</v>
      </c>
      <c r="BM65" s="74">
        <f t="shared" si="91"/>
        <v>0</v>
      </c>
      <c r="BN65" s="74">
        <f t="shared" si="91"/>
        <v>0</v>
      </c>
      <c r="BO65" s="74">
        <f t="shared" si="91"/>
        <v>0</v>
      </c>
      <c r="BP65" s="74">
        <f t="shared" si="91"/>
        <v>0</v>
      </c>
      <c r="BQ65" s="74">
        <f t="shared" si="91"/>
        <v>0</v>
      </c>
      <c r="BR65" s="74">
        <f t="shared" si="91"/>
        <v>0</v>
      </c>
      <c r="BS65" s="454"/>
      <c r="BT65" s="74">
        <f t="shared" si="92"/>
        <v>5.4187976488205676</v>
      </c>
      <c r="BU65" s="74">
        <f t="shared" si="92"/>
        <v>4.6933976352020732</v>
      </c>
      <c r="BV65" s="74">
        <f t="shared" si="92"/>
        <v>4.3429976215835806</v>
      </c>
      <c r="BW65" s="74">
        <f t="shared" si="92"/>
        <v>4.1800976079650862</v>
      </c>
      <c r="BX65" s="74">
        <f t="shared" si="92"/>
        <v>4.0171975943465936</v>
      </c>
      <c r="BY65" s="74">
        <f t="shared" si="92"/>
        <v>3.8542975807281006</v>
      </c>
      <c r="BZ65" s="74">
        <f t="shared" si="92"/>
        <v>3.6913975671096066</v>
      </c>
    </row>
    <row r="66" spans="1:78" x14ac:dyDescent="0.2">
      <c r="A66" s="452"/>
      <c r="B66" s="453" t="str">
        <f t="shared" si="66"/>
        <v>Biodiesel (Pyr) - Asia - Fuel cost - USD/GJ</v>
      </c>
      <c r="C66" s="453" t="str">
        <f t="shared" si="67"/>
        <v>Biodiesel (Pyr) - Asia</v>
      </c>
      <c r="D66" s="74">
        <f t="shared" si="68"/>
        <v>42.7</v>
      </c>
      <c r="E66" t="s">
        <v>198</v>
      </c>
      <c r="F66" t="str">
        <f t="shared" si="69"/>
        <v>Biodiesel (Pyr)</v>
      </c>
      <c r="G66" t="s">
        <v>828</v>
      </c>
      <c r="H66" s="74">
        <f t="shared" si="85"/>
        <v>61.602157094929424</v>
      </c>
      <c r="I66" s="74">
        <f t="shared" si="85"/>
        <v>38.433681024188083</v>
      </c>
      <c r="J66" s="74">
        <f t="shared" si="85"/>
        <v>20.8970375426122</v>
      </c>
      <c r="K66" s="74">
        <f t="shared" si="85"/>
        <v>21.336352240615508</v>
      </c>
      <c r="L66" s="74">
        <f t="shared" si="85"/>
        <v>21.41186504879223</v>
      </c>
      <c r="M66" s="74">
        <f t="shared" si="85"/>
        <v>21.108109073132464</v>
      </c>
      <c r="N66" s="74">
        <f t="shared" si="85"/>
        <v>20.112013470231418</v>
      </c>
      <c r="O66" s="454"/>
      <c r="P66" s="74">
        <f t="shared" si="86"/>
        <v>0</v>
      </c>
      <c r="Q66" s="74">
        <f t="shared" si="86"/>
        <v>0</v>
      </c>
      <c r="R66" s="74">
        <f t="shared" si="86"/>
        <v>0</v>
      </c>
      <c r="S66" s="74">
        <f t="shared" si="86"/>
        <v>0</v>
      </c>
      <c r="T66" s="74">
        <f t="shared" si="86"/>
        <v>0</v>
      </c>
      <c r="U66" s="74">
        <f t="shared" si="86"/>
        <v>0</v>
      </c>
      <c r="V66" s="74">
        <f t="shared" si="86"/>
        <v>0</v>
      </c>
      <c r="W66"/>
      <c r="X66" s="2">
        <f t="shared" si="87"/>
        <v>-40.339877075554391</v>
      </c>
      <c r="Y66" s="2">
        <f t="shared" si="87"/>
        <v>-48.28508713529736</v>
      </c>
      <c r="Z66" s="2">
        <f t="shared" si="87"/>
        <v>-54.14317291584149</v>
      </c>
      <c r="AA66" s="2">
        <f t="shared" si="87"/>
        <v>-66.682297018872859</v>
      </c>
      <c r="AB66" s="2">
        <f t="shared" si="87"/>
        <v>-68.6612337974545</v>
      </c>
      <c r="AC66" s="2">
        <f t="shared" si="87"/>
        <v>-70.931053663901253</v>
      </c>
      <c r="AD66" s="2">
        <f t="shared" si="87"/>
        <v>-74.042095342836006</v>
      </c>
      <c r="AE66"/>
      <c r="AF66" s="2">
        <f t="shared" si="88"/>
        <v>76.237236533957855</v>
      </c>
      <c r="AG66" s="2">
        <f t="shared" si="88"/>
        <v>76.237236533957855</v>
      </c>
      <c r="AH66" s="2">
        <f t="shared" si="88"/>
        <v>76.237236533957855</v>
      </c>
      <c r="AI66" s="2">
        <f t="shared" si="88"/>
        <v>76.237236533957855</v>
      </c>
      <c r="AJ66" s="2">
        <f t="shared" si="88"/>
        <v>76.237236533957855</v>
      </c>
      <c r="AK66" s="2">
        <f t="shared" si="88"/>
        <v>76.237236533957855</v>
      </c>
      <c r="AL66" s="2">
        <f t="shared" si="88"/>
        <v>76.237236533957855</v>
      </c>
      <c r="AM66"/>
      <c r="AN66" s="24">
        <f t="shared" si="74"/>
        <v>35.897359458403464</v>
      </c>
      <c r="AO66" s="24">
        <f t="shared" si="75"/>
        <v>27.952149398660495</v>
      </c>
      <c r="AP66" s="24">
        <f t="shared" si="76"/>
        <v>22.094063618116365</v>
      </c>
      <c r="AQ66" s="24">
        <f t="shared" si="77"/>
        <v>9.5549395150849961</v>
      </c>
      <c r="AR66" s="24">
        <f t="shared" si="78"/>
        <v>7.5760027365033551</v>
      </c>
      <c r="AS66" s="24">
        <f t="shared" si="79"/>
        <v>5.3061828700566025</v>
      </c>
      <c r="AT66" s="24">
        <f t="shared" si="80"/>
        <v>2.1951411911218486</v>
      </c>
      <c r="AU66"/>
      <c r="AV66" s="74">
        <f t="shared" si="89"/>
        <v>24.058938329430134</v>
      </c>
      <c r="AW66" s="74">
        <f t="shared" si="89"/>
        <v>14.43536299765808</v>
      </c>
      <c r="AX66" s="74">
        <f t="shared" si="89"/>
        <v>4.811787665886027</v>
      </c>
      <c r="AY66" s="74">
        <f t="shared" si="89"/>
        <v>4.3306088992974248</v>
      </c>
      <c r="AZ66" s="74">
        <f t="shared" si="89"/>
        <v>4.1702159771012237</v>
      </c>
      <c r="BA66" s="74">
        <f t="shared" si="89"/>
        <v>4.0098230549050236</v>
      </c>
      <c r="BB66" s="74">
        <f t="shared" si="89"/>
        <v>3.8494301327088229</v>
      </c>
      <c r="BC66" s="454"/>
      <c r="BD66" s="74">
        <f t="shared" si="90"/>
        <v>11.835002312903056</v>
      </c>
      <c r="BE66" s="74">
        <f t="shared" si="90"/>
        <v>7.1596475584346271</v>
      </c>
      <c r="BF66" s="74">
        <f t="shared" si="90"/>
        <v>2.7343746852776873</v>
      </c>
      <c r="BG66" s="74">
        <f t="shared" si="90"/>
        <v>2.425033965374042</v>
      </c>
      <c r="BH66" s="74">
        <f t="shared" si="90"/>
        <v>2.3052743656910493</v>
      </c>
      <c r="BI66" s="74">
        <f t="shared" si="90"/>
        <v>2.1832561029780915</v>
      </c>
      <c r="BJ66" s="74">
        <f t="shared" si="90"/>
        <v>2.0886306149289986</v>
      </c>
      <c r="BK66" s="455"/>
      <c r="BL66" s="74">
        <f t="shared" si="91"/>
        <v>0</v>
      </c>
      <c r="BM66" s="74">
        <f t="shared" si="91"/>
        <v>0</v>
      </c>
      <c r="BN66" s="74">
        <f t="shared" si="91"/>
        <v>0</v>
      </c>
      <c r="BO66" s="74">
        <f t="shared" si="91"/>
        <v>0</v>
      </c>
      <c r="BP66" s="74">
        <f t="shared" si="91"/>
        <v>0</v>
      </c>
      <c r="BQ66" s="74">
        <f t="shared" si="91"/>
        <v>0</v>
      </c>
      <c r="BR66" s="74">
        <f t="shared" si="91"/>
        <v>0</v>
      </c>
      <c r="BS66" s="454"/>
      <c r="BT66" s="74">
        <f t="shared" si="92"/>
        <v>25.708216452596236</v>
      </c>
      <c r="BU66" s="74">
        <f t="shared" si="92"/>
        <v>16.83867046809538</v>
      </c>
      <c r="BV66" s="74">
        <f t="shared" si="92"/>
        <v>13.350875191448486</v>
      </c>
      <c r="BW66" s="74">
        <f t="shared" si="92"/>
        <v>14.580709375944043</v>
      </c>
      <c r="BX66" s="74">
        <f t="shared" si="92"/>
        <v>14.936374705999958</v>
      </c>
      <c r="BY66" s="74">
        <f t="shared" si="92"/>
        <v>14.915029915249349</v>
      </c>
      <c r="BZ66" s="74">
        <f t="shared" si="92"/>
        <v>14.173952722593596</v>
      </c>
    </row>
    <row r="67" spans="1:78" x14ac:dyDescent="0.2">
      <c r="A67" s="452"/>
      <c r="B67" s="453" t="str">
        <f t="shared" si="66"/>
        <v>Biodiesel (HtL) - Asia - Fuel cost - USD/GJ</v>
      </c>
      <c r="C67" s="453" t="str">
        <f t="shared" si="67"/>
        <v>Biodiesel (HtL) - Asia</v>
      </c>
      <c r="D67" s="74">
        <f t="shared" si="68"/>
        <v>42.7</v>
      </c>
      <c r="E67" t="s">
        <v>198</v>
      </c>
      <c r="F67" t="str">
        <f t="shared" si="69"/>
        <v>Biodiesel (HtL)</v>
      </c>
      <c r="G67" t="s">
        <v>828</v>
      </c>
      <c r="H67" s="74">
        <f t="shared" si="85"/>
        <v>159.96117243513348</v>
      </c>
      <c r="I67" s="74">
        <f t="shared" si="85"/>
        <v>52.424948872561735</v>
      </c>
      <c r="J67" s="74">
        <f t="shared" si="85"/>
        <v>23.107182510230455</v>
      </c>
      <c r="K67" s="74">
        <f t="shared" si="85"/>
        <v>22.649839111794744</v>
      </c>
      <c r="L67" s="74">
        <f t="shared" si="85"/>
        <v>22.247126853115102</v>
      </c>
      <c r="M67" s="74">
        <f t="shared" si="85"/>
        <v>21.679610023163871</v>
      </c>
      <c r="N67" s="74">
        <f t="shared" si="85"/>
        <v>20.784443855779418</v>
      </c>
      <c r="O67" s="454"/>
      <c r="P67" s="74">
        <f t="shared" si="86"/>
        <v>1.5383130307496238</v>
      </c>
      <c r="Q67" s="74">
        <f t="shared" si="86"/>
        <v>1.0034298833673674</v>
      </c>
      <c r="R67" s="74">
        <f t="shared" si="86"/>
        <v>0.80860269818521702</v>
      </c>
      <c r="S67" s="74">
        <f t="shared" si="86"/>
        <v>0.67618389551790148</v>
      </c>
      <c r="T67" s="74">
        <f t="shared" si="86"/>
        <v>0.60811907943045485</v>
      </c>
      <c r="U67" s="74">
        <f t="shared" si="86"/>
        <v>0.53748660807441317</v>
      </c>
      <c r="V67" s="74">
        <f t="shared" si="86"/>
        <v>0.50424794227815239</v>
      </c>
      <c r="W67"/>
      <c r="X67" s="2">
        <f t="shared" si="87"/>
        <v>-54.006278557194555</v>
      </c>
      <c r="Y67" s="2">
        <f t="shared" si="87"/>
        <v>-58.557346422110115</v>
      </c>
      <c r="Z67" s="2">
        <f t="shared" si="87"/>
        <v>-62.105357424160069</v>
      </c>
      <c r="AA67" s="2">
        <f t="shared" si="87"/>
        <v>-68.865406081251962</v>
      </c>
      <c r="AB67" s="2">
        <f t="shared" si="87"/>
        <v>-70.54844160158919</v>
      </c>
      <c r="AC67" s="2">
        <f t="shared" si="87"/>
        <v>-72.371324760323077</v>
      </c>
      <c r="AD67" s="2">
        <f t="shared" si="87"/>
        <v>-74.598641482753152</v>
      </c>
      <c r="AE67"/>
      <c r="AF67" s="2">
        <f t="shared" si="88"/>
        <v>76.237236533957855</v>
      </c>
      <c r="AG67" s="2">
        <f t="shared" si="88"/>
        <v>76.237236533957855</v>
      </c>
      <c r="AH67" s="2">
        <f t="shared" si="88"/>
        <v>76.237236533957855</v>
      </c>
      <c r="AI67" s="2">
        <f t="shared" si="88"/>
        <v>76.237236533957855</v>
      </c>
      <c r="AJ67" s="2">
        <f t="shared" si="88"/>
        <v>76.237236533957855</v>
      </c>
      <c r="AK67" s="2">
        <f t="shared" si="88"/>
        <v>76.237236533957855</v>
      </c>
      <c r="AL67" s="2">
        <f t="shared" si="88"/>
        <v>76.237236533957855</v>
      </c>
      <c r="AM67"/>
      <c r="AN67" s="24">
        <f t="shared" si="74"/>
        <v>22.2309579767633</v>
      </c>
      <c r="AO67" s="24">
        <f t="shared" si="75"/>
        <v>17.67989011184774</v>
      </c>
      <c r="AP67" s="24">
        <f t="shared" si="76"/>
        <v>14.131879109797786</v>
      </c>
      <c r="AQ67" s="24">
        <f t="shared" si="77"/>
        <v>7.3718304527058933</v>
      </c>
      <c r="AR67" s="24">
        <f t="shared" si="78"/>
        <v>5.6887949323686655</v>
      </c>
      <c r="AS67" s="24">
        <f t="shared" si="79"/>
        <v>3.8659117736347781</v>
      </c>
      <c r="AT67" s="24">
        <f t="shared" si="80"/>
        <v>1.6385950512047032</v>
      </c>
      <c r="AU67"/>
      <c r="AV67" s="74">
        <f t="shared" si="89"/>
        <v>30.789105244461663</v>
      </c>
      <c r="AW67" s="74">
        <f t="shared" si="89"/>
        <v>18.473463146676998</v>
      </c>
      <c r="AX67" s="74">
        <f t="shared" si="89"/>
        <v>6.1578210488923331</v>
      </c>
      <c r="AY67" s="74">
        <f t="shared" si="89"/>
        <v>5.7883517859587936</v>
      </c>
      <c r="AZ67" s="74">
        <f t="shared" si="89"/>
        <v>5.6036171544920235</v>
      </c>
      <c r="BA67" s="74">
        <f t="shared" si="89"/>
        <v>5.4188825230252533</v>
      </c>
      <c r="BB67" s="74">
        <f t="shared" si="89"/>
        <v>5.2341478915584831</v>
      </c>
      <c r="BC67" s="454"/>
      <c r="BD67" s="74">
        <f t="shared" si="90"/>
        <v>112.90800471039641</v>
      </c>
      <c r="BE67" s="74">
        <f t="shared" si="90"/>
        <v>22.58160094207928</v>
      </c>
      <c r="BF67" s="74">
        <f t="shared" si="90"/>
        <v>7.5272003140264276</v>
      </c>
      <c r="BG67" s="74">
        <f t="shared" si="90"/>
        <v>7.0755682951848415</v>
      </c>
      <c r="BH67" s="74">
        <f t="shared" si="90"/>
        <v>6.8497522857640494</v>
      </c>
      <c r="BI67" s="74">
        <f t="shared" si="90"/>
        <v>6.6239362763432572</v>
      </c>
      <c r="BJ67" s="74">
        <f t="shared" si="90"/>
        <v>6.3981202669224642</v>
      </c>
      <c r="BK67" s="455"/>
      <c r="BL67" s="74">
        <f t="shared" si="91"/>
        <v>0</v>
      </c>
      <c r="BM67" s="74">
        <f t="shared" si="91"/>
        <v>0</v>
      </c>
      <c r="BN67" s="74">
        <f t="shared" si="91"/>
        <v>0</v>
      </c>
      <c r="BO67" s="74">
        <f t="shared" si="91"/>
        <v>0</v>
      </c>
      <c r="BP67" s="74">
        <f t="shared" si="91"/>
        <v>0</v>
      </c>
      <c r="BQ67" s="74">
        <f t="shared" si="91"/>
        <v>0</v>
      </c>
      <c r="BR67" s="74">
        <f t="shared" si="91"/>
        <v>0</v>
      </c>
      <c r="BS67" s="454"/>
      <c r="BT67" s="74">
        <f t="shared" si="92"/>
        <v>14.725749449525784</v>
      </c>
      <c r="BU67" s="74">
        <f t="shared" si="92"/>
        <v>10.366454900438086</v>
      </c>
      <c r="BV67" s="74">
        <f t="shared" si="92"/>
        <v>8.6135584491264794</v>
      </c>
      <c r="BW67" s="74">
        <f t="shared" si="92"/>
        <v>9.1097351351332083</v>
      </c>
      <c r="BX67" s="74">
        <f t="shared" si="92"/>
        <v>9.1856383334285727</v>
      </c>
      <c r="BY67" s="74">
        <f t="shared" si="92"/>
        <v>9.0993046157209498</v>
      </c>
      <c r="BZ67" s="74">
        <f t="shared" si="92"/>
        <v>8.6479277550203211</v>
      </c>
    </row>
    <row r="68" spans="1:78" x14ac:dyDescent="0.2">
      <c r="A68" s="452"/>
      <c r="B68" s="453" t="str">
        <f t="shared" si="66"/>
        <v>Biomethanol - Asia - Fuel cost - USD/GJ</v>
      </c>
      <c r="C68" s="453" t="str">
        <f t="shared" si="67"/>
        <v>Biomethanol - Asia</v>
      </c>
      <c r="D68" s="74">
        <f t="shared" si="68"/>
        <v>19.899999999999999</v>
      </c>
      <c r="E68" t="s">
        <v>198</v>
      </c>
      <c r="F68" t="str">
        <f t="shared" si="69"/>
        <v>Biomethanol</v>
      </c>
      <c r="G68" t="s">
        <v>828</v>
      </c>
      <c r="H68" s="74">
        <f t="shared" si="85"/>
        <v>49.595541492943788</v>
      </c>
      <c r="I68" s="74">
        <f t="shared" si="85"/>
        <v>34.237215353495984</v>
      </c>
      <c r="J68" s="74">
        <f t="shared" si="85"/>
        <v>28.615793624385226</v>
      </c>
      <c r="K68" s="74">
        <f t="shared" si="85"/>
        <v>26.310919629915695</v>
      </c>
      <c r="L68" s="74">
        <f t="shared" si="85"/>
        <v>24.09676401693002</v>
      </c>
      <c r="M68" s="74">
        <f t="shared" si="85"/>
        <v>22.749814954613253</v>
      </c>
      <c r="N68" s="74">
        <f t="shared" si="85"/>
        <v>21.516449125800516</v>
      </c>
      <c r="O68" s="454"/>
      <c r="P68" s="74">
        <f t="shared" si="86"/>
        <v>0</v>
      </c>
      <c r="Q68" s="74">
        <f t="shared" si="86"/>
        <v>0</v>
      </c>
      <c r="R68" s="74">
        <f t="shared" si="86"/>
        <v>0</v>
      </c>
      <c r="S68" s="74">
        <f t="shared" si="86"/>
        <v>0</v>
      </c>
      <c r="T68" s="74">
        <f t="shared" si="86"/>
        <v>0</v>
      </c>
      <c r="U68" s="74">
        <f t="shared" si="86"/>
        <v>0</v>
      </c>
      <c r="V68" s="74">
        <f t="shared" si="86"/>
        <v>0</v>
      </c>
      <c r="W68"/>
      <c r="X68" s="2">
        <f t="shared" si="87"/>
        <v>-58.0093628242169</v>
      </c>
      <c r="Y68" s="2">
        <f t="shared" si="87"/>
        <v>-59.650981687637127</v>
      </c>
      <c r="Z68" s="2">
        <f t="shared" si="87"/>
        <v>-61.293041481198266</v>
      </c>
      <c r="AA68" s="2">
        <f t="shared" si="87"/>
        <v>-62.93510127475939</v>
      </c>
      <c r="AB68" s="2">
        <f t="shared" si="87"/>
        <v>-64.577161068320521</v>
      </c>
      <c r="AC68" s="2">
        <f t="shared" si="87"/>
        <v>-66.219220861881638</v>
      </c>
      <c r="AD68" s="2">
        <f t="shared" si="87"/>
        <v>-67.861280655442783</v>
      </c>
      <c r="AE68"/>
      <c r="AF68" s="2">
        <f t="shared" si="88"/>
        <v>69.095477386934675</v>
      </c>
      <c r="AG68" s="2">
        <f t="shared" si="88"/>
        <v>69.095477386934675</v>
      </c>
      <c r="AH68" s="2">
        <f t="shared" si="88"/>
        <v>69.095477386934675</v>
      </c>
      <c r="AI68" s="2">
        <f t="shared" si="88"/>
        <v>69.095477386934675</v>
      </c>
      <c r="AJ68" s="2">
        <f t="shared" si="88"/>
        <v>69.095477386934675</v>
      </c>
      <c r="AK68" s="2">
        <f t="shared" si="88"/>
        <v>69.095477386934675</v>
      </c>
      <c r="AL68" s="2">
        <f t="shared" si="88"/>
        <v>69.095477386934675</v>
      </c>
      <c r="AM68"/>
      <c r="AN68" s="24">
        <f t="shared" si="74"/>
        <v>11.086114562717775</v>
      </c>
      <c r="AO68" s="24">
        <f t="shared" si="75"/>
        <v>9.4444956992975477</v>
      </c>
      <c r="AP68" s="24">
        <f t="shared" si="76"/>
        <v>7.8024359057364094</v>
      </c>
      <c r="AQ68" s="24">
        <f t="shared" si="77"/>
        <v>6.1603761121752854</v>
      </c>
      <c r="AR68" s="24">
        <f t="shared" si="78"/>
        <v>4.5183163186141542</v>
      </c>
      <c r="AS68" s="24">
        <f t="shared" si="79"/>
        <v>2.8762565250530372</v>
      </c>
      <c r="AT68" s="24">
        <f t="shared" si="80"/>
        <v>1.2341967314918918</v>
      </c>
      <c r="AU68"/>
      <c r="AV68" s="74">
        <f t="shared" si="89"/>
        <v>23.969849246231163</v>
      </c>
      <c r="AW68" s="74">
        <f t="shared" si="89"/>
        <v>15.092127303182586</v>
      </c>
      <c r="AX68" s="74">
        <f t="shared" si="89"/>
        <v>11.762981574539367</v>
      </c>
      <c r="AY68" s="74">
        <f t="shared" si="89"/>
        <v>10.320351758793974</v>
      </c>
      <c r="AZ68" s="74">
        <f t="shared" si="89"/>
        <v>8.877721943048579</v>
      </c>
      <c r="BA68" s="74">
        <f t="shared" si="89"/>
        <v>7.9899497487437205</v>
      </c>
      <c r="BB68" s="74">
        <f t="shared" si="89"/>
        <v>7.102177554438863</v>
      </c>
      <c r="BC68" s="454"/>
      <c r="BD68" s="74">
        <f t="shared" si="90"/>
        <v>18.451209806579776</v>
      </c>
      <c r="BE68" s="74">
        <f t="shared" si="90"/>
        <v>11.666602116954577</v>
      </c>
      <c r="BF68" s="74">
        <f t="shared" si="90"/>
        <v>9.1311233219062657</v>
      </c>
      <c r="BG68" s="74">
        <f t="shared" si="90"/>
        <v>7.9648756499561584</v>
      </c>
      <c r="BH68" s="74">
        <f t="shared" si="90"/>
        <v>6.8893463594899069</v>
      </c>
      <c r="BI68" s="74">
        <f t="shared" si="90"/>
        <v>6.1869666968972261</v>
      </c>
      <c r="BJ68" s="74">
        <f t="shared" si="90"/>
        <v>5.5373695691633769</v>
      </c>
      <c r="BK68" s="455"/>
      <c r="BL68" s="74">
        <f t="shared" si="91"/>
        <v>0</v>
      </c>
      <c r="BM68" s="74">
        <f t="shared" si="91"/>
        <v>0</v>
      </c>
      <c r="BN68" s="74">
        <f t="shared" si="91"/>
        <v>0</v>
      </c>
      <c r="BO68" s="74">
        <f t="shared" si="91"/>
        <v>0</v>
      </c>
      <c r="BP68" s="74">
        <f t="shared" si="91"/>
        <v>0</v>
      </c>
      <c r="BQ68" s="74">
        <f t="shared" si="91"/>
        <v>0</v>
      </c>
      <c r="BR68" s="74">
        <f t="shared" si="91"/>
        <v>0</v>
      </c>
      <c r="BS68" s="454"/>
      <c r="BT68" s="74">
        <f t="shared" si="92"/>
        <v>7.1744824401328531</v>
      </c>
      <c r="BU68" s="74">
        <f t="shared" si="92"/>
        <v>7.4784859333588214</v>
      </c>
      <c r="BV68" s="74">
        <f t="shared" si="92"/>
        <v>7.721688727939596</v>
      </c>
      <c r="BW68" s="74">
        <f t="shared" si="92"/>
        <v>8.0256922211655652</v>
      </c>
      <c r="BX68" s="74">
        <f t="shared" si="92"/>
        <v>8.3296957143915336</v>
      </c>
      <c r="BY68" s="74">
        <f t="shared" si="92"/>
        <v>8.5728985089723064</v>
      </c>
      <c r="BZ68" s="74">
        <f t="shared" si="92"/>
        <v>8.8769020021982747</v>
      </c>
    </row>
    <row r="69" spans="1:78" x14ac:dyDescent="0.2">
      <c r="A69" s="452"/>
      <c r="B69" s="453" t="str">
        <f t="shared" si="66"/>
        <v>Biodiesel (HtL blend) - Asia - Fuel cost - USD/GJ</v>
      </c>
      <c r="C69" s="453" t="str">
        <f t="shared" si="67"/>
        <v>Biodiesel (HtL blend) - Asia</v>
      </c>
      <c r="D69" s="77">
        <f>+INDEX('Fuel Model -  Input'!$H$15:$H$44,MATCH(F69,'Fuel Model -  Input'!$F$15:$F$44,0))/1000</f>
        <v>38.6</v>
      </c>
      <c r="E69" t="s">
        <v>198</v>
      </c>
      <c r="F69" t="str">
        <f t="shared" si="69"/>
        <v>Biodiesel (HtL blend)</v>
      </c>
      <c r="G69" t="s">
        <v>828</v>
      </c>
      <c r="H69" s="74">
        <f t="shared" si="85"/>
        <v>39.383399663749394</v>
      </c>
      <c r="I69" s="74">
        <f t="shared" si="85"/>
        <v>26.073584749982437</v>
      </c>
      <c r="J69" s="74">
        <f t="shared" si="85"/>
        <v>15.495386363305496</v>
      </c>
      <c r="K69" s="74">
        <f t="shared" si="85"/>
        <v>15.117945263822271</v>
      </c>
      <c r="L69" s="74">
        <f t="shared" si="85"/>
        <v>14.965970505041275</v>
      </c>
      <c r="M69" s="74">
        <f t="shared" si="85"/>
        <v>14.798170850649541</v>
      </c>
      <c r="N69" s="74">
        <f t="shared" si="85"/>
        <v>14.65805003062848</v>
      </c>
      <c r="O69" s="454"/>
      <c r="P69" s="74">
        <f t="shared" si="86"/>
        <v>0.52360276136316419</v>
      </c>
      <c r="Q69" s="74">
        <f t="shared" si="86"/>
        <v>0.34154209661049489</v>
      </c>
      <c r="R69" s="74">
        <f t="shared" si="86"/>
        <v>0.27522786139903366</v>
      </c>
      <c r="S69" s="74">
        <f t="shared" si="86"/>
        <v>0.23015585762147786</v>
      </c>
      <c r="T69" s="74">
        <f t="shared" si="86"/>
        <v>0.20698831958294478</v>
      </c>
      <c r="U69" s="74">
        <f t="shared" si="86"/>
        <v>0.18294681677781938</v>
      </c>
      <c r="V69" s="74">
        <f t="shared" si="86"/>
        <v>0.17163321749921967</v>
      </c>
      <c r="W69"/>
      <c r="X69" s="2">
        <f t="shared" si="87"/>
        <v>-3.3241003623372918</v>
      </c>
      <c r="Y69" s="2">
        <f t="shared" si="87"/>
        <v>-3.7421924641576072</v>
      </c>
      <c r="Z69" s="2">
        <f t="shared" si="87"/>
        <v>-4.1604475212863958</v>
      </c>
      <c r="AA69" s="2">
        <f t="shared" si="87"/>
        <v>-4.5787025784151894</v>
      </c>
      <c r="AB69" s="2">
        <f t="shared" si="87"/>
        <v>-4.9969576355439838</v>
      </c>
      <c r="AC69" s="2">
        <f t="shared" si="87"/>
        <v>-5.4152126926727746</v>
      </c>
      <c r="AD69" s="2">
        <f t="shared" si="87"/>
        <v>-5.8334677498015717</v>
      </c>
      <c r="AE69" s="2"/>
      <c r="AF69" s="2">
        <f t="shared" si="88"/>
        <v>65.50944732297063</v>
      </c>
      <c r="AG69" s="2">
        <f t="shared" si="88"/>
        <v>65.50944732297063</v>
      </c>
      <c r="AH69" s="2">
        <f t="shared" si="88"/>
        <v>65.50944732297063</v>
      </c>
      <c r="AI69" s="2">
        <f t="shared" si="88"/>
        <v>65.50944732297063</v>
      </c>
      <c r="AJ69" s="2">
        <f t="shared" si="88"/>
        <v>65.50944732297063</v>
      </c>
      <c r="AK69" s="2">
        <f t="shared" si="88"/>
        <v>65.50944732297063</v>
      </c>
      <c r="AL69" s="2">
        <f t="shared" si="88"/>
        <v>65.50944732297063</v>
      </c>
      <c r="AM69"/>
      <c r="AN69" s="24">
        <f t="shared" si="74"/>
        <v>62.185346960633339</v>
      </c>
      <c r="AO69" s="24">
        <f t="shared" si="75"/>
        <v>61.767254858813025</v>
      </c>
      <c r="AP69" s="24">
        <f t="shared" si="76"/>
        <v>61.348999801684236</v>
      </c>
      <c r="AQ69" s="24">
        <f t="shared" si="77"/>
        <v>60.93074474455544</v>
      </c>
      <c r="AR69" s="24">
        <f t="shared" si="78"/>
        <v>60.512489687426644</v>
      </c>
      <c r="AS69" s="24">
        <f t="shared" si="79"/>
        <v>60.094234630297855</v>
      </c>
      <c r="AT69" s="24">
        <f t="shared" si="80"/>
        <v>59.675979573169059</v>
      </c>
      <c r="AU69"/>
      <c r="AV69" s="74">
        <f t="shared" si="89"/>
        <v>10.479830960051917</v>
      </c>
      <c r="AW69" s="74">
        <f t="shared" si="89"/>
        <v>6.2878985760311501</v>
      </c>
      <c r="AX69" s="74">
        <f t="shared" si="89"/>
        <v>2.0959661920103838</v>
      </c>
      <c r="AY69" s="74">
        <f t="shared" si="89"/>
        <v>1.9962906239019969</v>
      </c>
      <c r="AZ69" s="74">
        <f t="shared" si="89"/>
        <v>1.9464528398478036</v>
      </c>
      <c r="BA69" s="74">
        <f t="shared" si="89"/>
        <v>1.8966150557936103</v>
      </c>
      <c r="BB69" s="74">
        <f t="shared" si="89"/>
        <v>1.8467772717394171</v>
      </c>
      <c r="BC69" s="454"/>
      <c r="BD69" s="74">
        <f t="shared" si="90"/>
        <v>12.810340909084436</v>
      </c>
      <c r="BE69" s="74">
        <f t="shared" si="90"/>
        <v>7.6862045454506607</v>
      </c>
      <c r="BF69" s="74">
        <f t="shared" si="90"/>
        <v>2.5620681818168873</v>
      </c>
      <c r="BG69" s="74">
        <f t="shared" si="90"/>
        <v>2.2546199999988605</v>
      </c>
      <c r="BH69" s="74">
        <f t="shared" si="90"/>
        <v>2.1008959090898474</v>
      </c>
      <c r="BI69" s="74">
        <f t="shared" si="90"/>
        <v>1.947171818180834</v>
      </c>
      <c r="BJ69" s="74">
        <f t="shared" si="90"/>
        <v>1.7934477272718208</v>
      </c>
      <c r="BK69" s="455"/>
      <c r="BL69" s="74">
        <f t="shared" si="91"/>
        <v>0</v>
      </c>
      <c r="BM69" s="74">
        <f t="shared" si="91"/>
        <v>0</v>
      </c>
      <c r="BN69" s="74">
        <f t="shared" si="91"/>
        <v>0</v>
      </c>
      <c r="BO69" s="74">
        <f t="shared" si="91"/>
        <v>0</v>
      </c>
      <c r="BP69" s="74">
        <f t="shared" si="91"/>
        <v>0</v>
      </c>
      <c r="BQ69" s="74">
        <f t="shared" si="91"/>
        <v>0</v>
      </c>
      <c r="BR69" s="74">
        <f t="shared" si="91"/>
        <v>0</v>
      </c>
      <c r="BS69" s="454"/>
      <c r="BT69" s="74">
        <f t="shared" si="92"/>
        <v>15.569625033249878</v>
      </c>
      <c r="BU69" s="74">
        <f t="shared" si="92"/>
        <v>11.757939531890134</v>
      </c>
      <c r="BV69" s="74">
        <f t="shared" si="92"/>
        <v>10.562124128079191</v>
      </c>
      <c r="BW69" s="74">
        <f t="shared" si="92"/>
        <v>10.636878782299934</v>
      </c>
      <c r="BX69" s="74">
        <f t="shared" si="92"/>
        <v>10.71163343652068</v>
      </c>
      <c r="BY69" s="74">
        <f t="shared" si="92"/>
        <v>10.771437159897278</v>
      </c>
      <c r="BZ69" s="74">
        <f t="shared" si="92"/>
        <v>10.846191814118022</v>
      </c>
    </row>
    <row r="70" spans="1:78" x14ac:dyDescent="0.2">
      <c r="A70" s="452"/>
      <c r="B70" s="453" t="str">
        <f t="shared" si="66"/>
        <v>Biodiesel (Pyr blend) - Asia - Fuel cost - USD/GJ</v>
      </c>
      <c r="C70" s="453" t="str">
        <f t="shared" si="67"/>
        <v>Biodiesel (Pyr blend) - Asia</v>
      </c>
      <c r="D70" s="77">
        <f>+INDEX('Fuel Model -  Input'!$H$15:$H$44,MATCH(F70,'Fuel Model -  Input'!$F$15:$F$44,0))/1000</f>
        <v>34.28</v>
      </c>
      <c r="E70" t="s">
        <v>198</v>
      </c>
      <c r="F70" t="str">
        <f t="shared" si="69"/>
        <v>Biodiesel (Pyr blend)</v>
      </c>
      <c r="G70" t="s">
        <v>828</v>
      </c>
      <c r="H70" s="74">
        <f t="shared" si="85"/>
        <v>24.04327155680464</v>
      </c>
      <c r="I70" s="74">
        <f t="shared" si="85"/>
        <v>17.082331228459019</v>
      </c>
      <c r="J70" s="74">
        <f t="shared" si="85"/>
        <v>13.569083932158239</v>
      </c>
      <c r="K70" s="74">
        <f t="shared" si="85"/>
        <v>13.552568568715099</v>
      </c>
      <c r="L70" s="74">
        <f t="shared" si="85"/>
        <v>13.601764259864213</v>
      </c>
      <c r="M70" s="74">
        <f t="shared" si="85"/>
        <v>13.634312476394822</v>
      </c>
      <c r="N70" s="74">
        <f t="shared" si="85"/>
        <v>13.684330313362873</v>
      </c>
      <c r="O70" s="454"/>
      <c r="P70" s="74">
        <f t="shared" si="86"/>
        <v>0</v>
      </c>
      <c r="Q70" s="74">
        <f t="shared" si="86"/>
        <v>0</v>
      </c>
      <c r="R70" s="74">
        <f t="shared" si="86"/>
        <v>0</v>
      </c>
      <c r="S70" s="74">
        <f t="shared" si="86"/>
        <v>0</v>
      </c>
      <c r="T70" s="74">
        <f t="shared" si="86"/>
        <v>0</v>
      </c>
      <c r="U70" s="74">
        <f t="shared" si="86"/>
        <v>0</v>
      </c>
      <c r="V70" s="74">
        <f t="shared" si="86"/>
        <v>0</v>
      </c>
      <c r="W70"/>
      <c r="X70" s="2">
        <f t="shared" si="87"/>
        <v>-1.3339806999597574</v>
      </c>
      <c r="Y70" s="2">
        <f t="shared" si="87"/>
        <v>-1.5577242046437272</v>
      </c>
      <c r="Z70" s="2">
        <f t="shared" si="87"/>
        <v>-1.7814677093277003</v>
      </c>
      <c r="AA70" s="2">
        <f t="shared" si="87"/>
        <v>-2.0052112140116702</v>
      </c>
      <c r="AB70" s="2">
        <f t="shared" si="87"/>
        <v>-2.2289547186956429</v>
      </c>
      <c r="AC70" s="2">
        <f t="shared" si="87"/>
        <v>-2.452698223379616</v>
      </c>
      <c r="AD70" s="2">
        <f t="shared" si="87"/>
        <v>-2.6764417280635859</v>
      </c>
      <c r="AE70" s="2"/>
      <c r="AF70" s="2">
        <f t="shared" si="88"/>
        <v>80.800204200700108</v>
      </c>
      <c r="AG70" s="2">
        <f t="shared" si="88"/>
        <v>80.800204200700108</v>
      </c>
      <c r="AH70" s="2">
        <f t="shared" si="88"/>
        <v>80.800204200700108</v>
      </c>
      <c r="AI70" s="2">
        <f t="shared" si="88"/>
        <v>80.800204200700108</v>
      </c>
      <c r="AJ70" s="2">
        <f t="shared" si="88"/>
        <v>80.800204200700108</v>
      </c>
      <c r="AK70" s="2">
        <f t="shared" si="88"/>
        <v>80.800204200700108</v>
      </c>
      <c r="AL70" s="2">
        <f t="shared" si="88"/>
        <v>80.800204200700108</v>
      </c>
      <c r="AM70"/>
      <c r="AN70" s="24">
        <f t="shared" si="74"/>
        <v>79.466223500740355</v>
      </c>
      <c r="AO70" s="24">
        <f t="shared" si="75"/>
        <v>79.242479996056375</v>
      </c>
      <c r="AP70" s="24">
        <f t="shared" si="76"/>
        <v>79.018736491372408</v>
      </c>
      <c r="AQ70" s="24">
        <f t="shared" si="77"/>
        <v>78.794992986688442</v>
      </c>
      <c r="AR70" s="24">
        <f t="shared" si="78"/>
        <v>78.571249482004461</v>
      </c>
      <c r="AS70" s="24">
        <f t="shared" si="79"/>
        <v>78.347505977320495</v>
      </c>
      <c r="AT70" s="24">
        <f t="shared" si="80"/>
        <v>78.123762472636528</v>
      </c>
      <c r="AU70"/>
      <c r="AV70" s="74">
        <f t="shared" si="89"/>
        <v>3.5381676522849217</v>
      </c>
      <c r="AW70" s="74">
        <f t="shared" si="89"/>
        <v>2.1229005913709535</v>
      </c>
      <c r="AX70" s="74">
        <f t="shared" si="89"/>
        <v>0.70763353045698429</v>
      </c>
      <c r="AY70" s="74">
        <f t="shared" si="89"/>
        <v>0.63687017741128604</v>
      </c>
      <c r="AZ70" s="74">
        <f t="shared" si="89"/>
        <v>0.61328239306271981</v>
      </c>
      <c r="BA70" s="74">
        <f t="shared" si="89"/>
        <v>0.5896946087141538</v>
      </c>
      <c r="BB70" s="74">
        <f t="shared" si="89"/>
        <v>0.56610682436558757</v>
      </c>
      <c r="BC70" s="454"/>
      <c r="BD70" s="74">
        <f t="shared" si="90"/>
        <v>1.3121936284992002</v>
      </c>
      <c r="BE70" s="74">
        <f t="shared" si="90"/>
        <v>0.78923451440676795</v>
      </c>
      <c r="BF70" s="74">
        <f t="shared" si="90"/>
        <v>0.27445566847369385</v>
      </c>
      <c r="BG70" s="74">
        <f t="shared" si="90"/>
        <v>0.24583569337848465</v>
      </c>
      <c r="BH70" s="74">
        <f t="shared" si="90"/>
        <v>0.23575120417839696</v>
      </c>
      <c r="BI70" s="74">
        <f t="shared" si="90"/>
        <v>0.22559283329935734</v>
      </c>
      <c r="BJ70" s="74">
        <f t="shared" si="90"/>
        <v>0.21633048991820833</v>
      </c>
      <c r="BK70" s="455"/>
      <c r="BL70" s="74">
        <f t="shared" si="91"/>
        <v>0</v>
      </c>
      <c r="BM70" s="74">
        <f t="shared" si="91"/>
        <v>0</v>
      </c>
      <c r="BN70" s="74">
        <f t="shared" si="91"/>
        <v>0</v>
      </c>
      <c r="BO70" s="74">
        <f t="shared" si="91"/>
        <v>0</v>
      </c>
      <c r="BP70" s="74">
        <f t="shared" si="91"/>
        <v>0</v>
      </c>
      <c r="BQ70" s="74">
        <f t="shared" si="91"/>
        <v>0</v>
      </c>
      <c r="BR70" s="74">
        <f t="shared" si="91"/>
        <v>0</v>
      </c>
      <c r="BS70" s="454"/>
      <c r="BT70" s="74">
        <f t="shared" si="92"/>
        <v>19.19291027602052</v>
      </c>
      <c r="BU70" s="74">
        <f t="shared" si="92"/>
        <v>14.170196122681297</v>
      </c>
      <c r="BV70" s="74">
        <f t="shared" si="92"/>
        <v>12.586994733227561</v>
      </c>
      <c r="BW70" s="74">
        <f t="shared" si="92"/>
        <v>12.669862697925328</v>
      </c>
      <c r="BX70" s="74">
        <f t="shared" si="92"/>
        <v>12.752730662623096</v>
      </c>
      <c r="BY70" s="74">
        <f t="shared" si="92"/>
        <v>12.81902503438131</v>
      </c>
      <c r="BZ70" s="74">
        <f t="shared" si="92"/>
        <v>12.901892999079077</v>
      </c>
    </row>
    <row r="71" spans="1:78" x14ac:dyDescent="0.2">
      <c r="A71" s="452"/>
      <c r="B71" s="453"/>
      <c r="D71" s="74"/>
      <c r="E71"/>
      <c r="F71"/>
      <c r="G71"/>
      <c r="H71" s="74"/>
      <c r="I71" s="74"/>
      <c r="J71" s="74"/>
      <c r="K71" s="74"/>
      <c r="L71" s="74"/>
      <c r="M71" s="74"/>
      <c r="N71" s="74"/>
      <c r="O71" s="454"/>
      <c r="P71" s="74"/>
      <c r="Q71" s="74"/>
      <c r="R71" s="74"/>
      <c r="S71" s="74"/>
      <c r="T71" s="74"/>
      <c r="U71" s="74"/>
      <c r="V71" s="74"/>
      <c r="W71"/>
      <c r="X71" s="2"/>
      <c r="Y71" s="2"/>
      <c r="Z71" s="2"/>
      <c r="AA71" s="2"/>
      <c r="AB71" s="2"/>
      <c r="AC71" s="2"/>
      <c r="AD71" s="2"/>
      <c r="AE71"/>
      <c r="AF71" s="2"/>
      <c r="AG71" s="2"/>
      <c r="AH71" s="2"/>
      <c r="AI71" s="2"/>
      <c r="AJ71" s="2"/>
      <c r="AK71" s="2"/>
      <c r="AL71" s="2"/>
      <c r="AM71"/>
      <c r="AN71" s="24"/>
      <c r="AO71" s="24"/>
      <c r="AP71" s="24"/>
      <c r="AQ71" s="24"/>
      <c r="AR71" s="24"/>
      <c r="AS71" s="24"/>
      <c r="AT71" s="24"/>
      <c r="AU71"/>
      <c r="AV71" s="454"/>
      <c r="AW71" s="454"/>
      <c r="AX71" s="454"/>
      <c r="AY71" s="454"/>
      <c r="AZ71" s="454"/>
      <c r="BA71" s="454"/>
      <c r="BB71" s="454"/>
      <c r="BC71" s="454"/>
      <c r="BD71" s="455"/>
      <c r="BE71" s="455"/>
      <c r="BF71" s="455"/>
      <c r="BG71" s="455"/>
      <c r="BH71" s="455"/>
      <c r="BI71" s="455"/>
      <c r="BJ71" s="455"/>
      <c r="BK71" s="455"/>
      <c r="BL71" s="455"/>
      <c r="BM71" s="455"/>
      <c r="BN71" s="455"/>
      <c r="BO71" s="455"/>
      <c r="BP71" s="455"/>
      <c r="BQ71" s="454"/>
      <c r="BR71" s="454"/>
      <c r="BS71" s="454"/>
      <c r="BT71" s="454"/>
      <c r="BU71" s="454"/>
      <c r="BV71" s="454"/>
      <c r="BW71" s="454"/>
      <c r="BX71" s="454"/>
      <c r="BY71" s="454"/>
      <c r="BZ71" s="454"/>
    </row>
    <row r="72" spans="1:78" x14ac:dyDescent="0.2">
      <c r="A72" s="452"/>
      <c r="B72" s="453" t="str">
        <f t="shared" ref="B72:B92" si="93">_xlfn.TEXTJOIN(keydelim,TRUE,F72,IF(E72="Africa","Africa&amp;other",E72),"Fuel cost",SUBSTITUTE($G72," ",""))</f>
        <v>e-Hydrogen (liquid) - Americas - Fuel cost - USD/GJ</v>
      </c>
      <c r="C72" s="453" t="str">
        <f t="shared" ref="C72:C92" si="94">_xlfn.TEXTJOIN(keydelim,TRUE,F72,E72)</f>
        <v>e-Hydrogen (liquid) - Americas</v>
      </c>
      <c r="D72" s="74">
        <f t="shared" ref="D72:D90" si="95">D50</f>
        <v>120</v>
      </c>
      <c r="E72" t="s">
        <v>199</v>
      </c>
      <c r="F72" t="str">
        <f t="shared" ref="F72:F92" si="96">F50</f>
        <v>e-Hydrogen (liquid)</v>
      </c>
      <c r="G72" t="s">
        <v>828</v>
      </c>
      <c r="H72" s="74">
        <f t="shared" ref="H72:N81" si="97">INDEX(H$142:H$292,MATCH($E72&amp;$F72,$D$142:$D$292,0))/$D72</f>
        <v>44.719170114562594</v>
      </c>
      <c r="I72" s="74">
        <f t="shared" si="97"/>
        <v>40.154317121751362</v>
      </c>
      <c r="J72" s="74">
        <f t="shared" si="97"/>
        <v>34.654940387278018</v>
      </c>
      <c r="K72" s="74">
        <f t="shared" si="97"/>
        <v>32.430319582787838</v>
      </c>
      <c r="L72" s="74">
        <f t="shared" si="97"/>
        <v>29.185492587798226</v>
      </c>
      <c r="M72" s="74">
        <f t="shared" si="97"/>
        <v>25.878791000204252</v>
      </c>
      <c r="N72" s="74">
        <f t="shared" si="97"/>
        <v>22.632668881325479</v>
      </c>
      <c r="O72" s="454"/>
      <c r="P72" s="74">
        <f t="shared" ref="P72:V81" si="98">IFERROR(INDEX(P$142:P$292,MATCH($E72&amp;$F72,$D$142:$D$292,0))/$D72,"--")</f>
        <v>20.52397230413596</v>
      </c>
      <c r="Q72" s="74">
        <f t="shared" si="98"/>
        <v>18.44839126629164</v>
      </c>
      <c r="R72" s="74">
        <f t="shared" si="98"/>
        <v>14.908150832081544</v>
      </c>
      <c r="S72" s="74">
        <f t="shared" si="98"/>
        <v>12.898503859416648</v>
      </c>
      <c r="T72" s="74">
        <f t="shared" si="98"/>
        <v>11.198029140039242</v>
      </c>
      <c r="U72" s="74">
        <f t="shared" si="98"/>
        <v>10.148196992421246</v>
      </c>
      <c r="V72" s="74">
        <f t="shared" si="98"/>
        <v>9.3719855000751302</v>
      </c>
      <c r="W72"/>
      <c r="X72" s="2">
        <f t="shared" ref="X72:AD81" si="99">INDEX(X$142:X$292,MATCH($E72&amp;$F72,$D$142:$D$292,0))/$D72*1000</f>
        <v>2.4279169967523235</v>
      </c>
      <c r="Y72" s="2">
        <f t="shared" si="99"/>
        <v>2.4164999999999996</v>
      </c>
      <c r="Z72" s="2">
        <f t="shared" si="99"/>
        <v>2.3844189608069937</v>
      </c>
      <c r="AA72" s="2">
        <f t="shared" si="99"/>
        <v>2.2992105071273761</v>
      </c>
      <c r="AB72" s="2">
        <f t="shared" si="99"/>
        <v>2.1968832906641627</v>
      </c>
      <c r="AC72" s="2">
        <f t="shared" si="99"/>
        <v>2.0606527991130323</v>
      </c>
      <c r="AD72" s="2">
        <f t="shared" si="99"/>
        <v>1.9533374999999999</v>
      </c>
      <c r="AE72"/>
      <c r="AF72" s="2">
        <f t="shared" ref="AF72:AL81" si="100">INDEX(AF$142:AF$292,MATCH($E72&amp;$F72,$D$142:$D$292,0))/$D72*1000</f>
        <v>0</v>
      </c>
      <c r="AG72" s="2">
        <f t="shared" si="100"/>
        <v>0</v>
      </c>
      <c r="AH72" s="2">
        <f t="shared" si="100"/>
        <v>0</v>
      </c>
      <c r="AI72" s="2">
        <f t="shared" si="100"/>
        <v>0</v>
      </c>
      <c r="AJ72" s="2">
        <f t="shared" si="100"/>
        <v>0</v>
      </c>
      <c r="AK72" s="2">
        <f t="shared" si="100"/>
        <v>0</v>
      </c>
      <c r="AL72" s="2">
        <f t="shared" si="100"/>
        <v>0</v>
      </c>
      <c r="AM72"/>
      <c r="AN72" s="24">
        <f t="shared" ref="AN72:AN92" si="101">X72+AF72</f>
        <v>2.4279169967523235</v>
      </c>
      <c r="AO72" s="24">
        <f t="shared" ref="AO72:AO92" si="102">Y72+AG72</f>
        <v>2.4164999999999996</v>
      </c>
      <c r="AP72" s="24">
        <f t="shared" ref="AP72:AP92" si="103">Z72+AH72</f>
        <v>2.3844189608069937</v>
      </c>
      <c r="AQ72" s="24">
        <f t="shared" ref="AQ72:AQ92" si="104">AA72+AI72</f>
        <v>2.2992105071273761</v>
      </c>
      <c r="AR72" s="24">
        <f t="shared" ref="AR72:AR92" si="105">AB72+AJ72</f>
        <v>2.1968832906641627</v>
      </c>
      <c r="AS72" s="24">
        <f t="shared" ref="AS72:AS92" si="106">AC72+AK72</f>
        <v>2.0606527991130323</v>
      </c>
      <c r="AT72" s="24">
        <f t="shared" ref="AT72:AT92" si="107">AD72+AL72</f>
        <v>1.9533374999999999</v>
      </c>
      <c r="AU72"/>
      <c r="AV72" s="74">
        <f t="shared" ref="AV72:BB81" si="108">IFERROR(INDEX(AV$142:AV$266,MATCH($E72&amp;$F72,$D$142:$D$266,0))/$D72,"NA")</f>
        <v>15.288031541894343</v>
      </c>
      <c r="AW72" s="74">
        <f t="shared" si="108"/>
        <v>14.161813306838042</v>
      </c>
      <c r="AX72" s="74">
        <f t="shared" si="108"/>
        <v>13.433948929977458</v>
      </c>
      <c r="AY72" s="74">
        <f t="shared" si="108"/>
        <v>13.705079855352748</v>
      </c>
      <c r="AZ72" s="74">
        <f t="shared" si="108"/>
        <v>13.276193687058136</v>
      </c>
      <c r="BA72" s="74">
        <f t="shared" si="108"/>
        <v>12.28127108935986</v>
      </c>
      <c r="BB72" s="74">
        <f t="shared" si="108"/>
        <v>10.919619200631379</v>
      </c>
      <c r="BC72" s="454"/>
      <c r="BD72" s="74">
        <f t="shared" ref="BD72:BJ81" si="109">IFERROR(INDEX(BD$142:BD$266,MATCH($E72&amp;$F72,$D$142:$D$266,0))/$D72,"NA")</f>
        <v>8.7946662685322909</v>
      </c>
      <c r="BE72" s="74">
        <f t="shared" si="109"/>
        <v>7.4316125486216817</v>
      </c>
      <c r="BF72" s="74">
        <f t="shared" si="109"/>
        <v>6.2003406252190185</v>
      </c>
      <c r="BG72" s="74">
        <f t="shared" si="109"/>
        <v>5.7142358680184433</v>
      </c>
      <c r="BH72" s="74">
        <f t="shared" si="109"/>
        <v>4.5987697607008462</v>
      </c>
      <c r="BI72" s="74">
        <f t="shared" si="109"/>
        <v>3.3368229184231475</v>
      </c>
      <c r="BJ72" s="74">
        <f t="shared" si="109"/>
        <v>2.2285641806189753</v>
      </c>
      <c r="BK72" s="455"/>
      <c r="BL72" s="74">
        <f t="shared" ref="BL72:BR81" si="110">IFERROR(INDEX(BL$142:BL$266,MATCH($E72&amp;$F72,$D$142:$D$266,0))/$D72,"NA")</f>
        <v>0</v>
      </c>
      <c r="BM72" s="74">
        <f t="shared" si="110"/>
        <v>0</v>
      </c>
      <c r="BN72" s="74">
        <f t="shared" si="110"/>
        <v>0</v>
      </c>
      <c r="BO72" s="74">
        <f t="shared" si="110"/>
        <v>0</v>
      </c>
      <c r="BP72" s="74">
        <f t="shared" si="110"/>
        <v>0</v>
      </c>
      <c r="BQ72" s="74">
        <f t="shared" si="110"/>
        <v>0</v>
      </c>
      <c r="BR72" s="74">
        <f t="shared" si="110"/>
        <v>0</v>
      </c>
      <c r="BS72" s="454"/>
      <c r="BT72" s="74">
        <f t="shared" ref="BT72:BZ81" si="111">IFERROR(INDEX(BT$142:BT$266,MATCH($E72&amp;$F72,$D$142:$D$266,0))/$D72,"NA")</f>
        <v>0</v>
      </c>
      <c r="BU72" s="74">
        <f t="shared" si="111"/>
        <v>0</v>
      </c>
      <c r="BV72" s="74">
        <f t="shared" si="111"/>
        <v>0</v>
      </c>
      <c r="BW72" s="74">
        <f t="shared" si="111"/>
        <v>0</v>
      </c>
      <c r="BX72" s="74">
        <f t="shared" si="111"/>
        <v>0</v>
      </c>
      <c r="BY72" s="74">
        <f t="shared" si="111"/>
        <v>0</v>
      </c>
      <c r="BZ72" s="74">
        <f t="shared" si="111"/>
        <v>0</v>
      </c>
    </row>
    <row r="73" spans="1:78" x14ac:dyDescent="0.2">
      <c r="A73" s="452"/>
      <c r="B73" s="453" t="str">
        <f t="shared" si="93"/>
        <v>e-Hydrogen (compressed) - Americas - Fuel cost - USD/GJ</v>
      </c>
      <c r="C73" s="453" t="str">
        <f t="shared" si="94"/>
        <v>e-Hydrogen (compressed) - Americas</v>
      </c>
      <c r="D73" s="74">
        <f t="shared" si="95"/>
        <v>120</v>
      </c>
      <c r="E73" t="s">
        <v>199</v>
      </c>
      <c r="F73" t="str">
        <f t="shared" si="96"/>
        <v>e-Hydrogen (compressed)</v>
      </c>
      <c r="G73" t="s">
        <v>828</v>
      </c>
      <c r="H73" s="74">
        <f t="shared" si="97"/>
        <v>32.646259022535922</v>
      </c>
      <c r="I73" s="74">
        <f t="shared" si="97"/>
        <v>28.364725882673099</v>
      </c>
      <c r="J73" s="74">
        <f t="shared" si="97"/>
        <v>23.344270952800379</v>
      </c>
      <c r="K73" s="74">
        <f t="shared" si="97"/>
        <v>21.350118818972636</v>
      </c>
      <c r="L73" s="74">
        <f t="shared" si="97"/>
        <v>18.292115397433069</v>
      </c>
      <c r="M73" s="74">
        <f t="shared" si="97"/>
        <v>15.060679081407674</v>
      </c>
      <c r="N73" s="74">
        <f t="shared" si="97"/>
        <v>11.87133928261181</v>
      </c>
      <c r="O73" s="454"/>
      <c r="P73" s="74">
        <f t="shared" si="98"/>
        <v>17.617727878775952</v>
      </c>
      <c r="Q73" s="74">
        <f t="shared" si="98"/>
        <v>15.82546669388004</v>
      </c>
      <c r="R73" s="74">
        <f t="shared" si="98"/>
        <v>12.764148064270568</v>
      </c>
      <c r="S73" s="74">
        <f t="shared" si="98"/>
        <v>10.984969762268113</v>
      </c>
      <c r="T73" s="74">
        <f t="shared" si="98"/>
        <v>9.4713186163407546</v>
      </c>
      <c r="U73" s="74">
        <f t="shared" si="98"/>
        <v>8.496751740291332</v>
      </c>
      <c r="V73" s="74">
        <f t="shared" si="98"/>
        <v>7.7773225680281239</v>
      </c>
      <c r="W73"/>
      <c r="X73" s="2">
        <f t="shared" si="99"/>
        <v>2.4279169967523235</v>
      </c>
      <c r="Y73" s="2">
        <f t="shared" si="99"/>
        <v>2.4164999999999996</v>
      </c>
      <c r="Z73" s="2">
        <f t="shared" si="99"/>
        <v>2.3844189608069937</v>
      </c>
      <c r="AA73" s="2">
        <f t="shared" si="99"/>
        <v>2.2992105071273761</v>
      </c>
      <c r="AB73" s="2">
        <f t="shared" si="99"/>
        <v>2.1968832906641627</v>
      </c>
      <c r="AC73" s="2">
        <f t="shared" si="99"/>
        <v>2.0606527991130323</v>
      </c>
      <c r="AD73" s="2">
        <f t="shared" si="99"/>
        <v>1.9533374999999999</v>
      </c>
      <c r="AE73"/>
      <c r="AF73" s="2">
        <f t="shared" si="100"/>
        <v>0</v>
      </c>
      <c r="AG73" s="2">
        <f t="shared" si="100"/>
        <v>0</v>
      </c>
      <c r="AH73" s="2">
        <f t="shared" si="100"/>
        <v>0</v>
      </c>
      <c r="AI73" s="2">
        <f t="shared" si="100"/>
        <v>0</v>
      </c>
      <c r="AJ73" s="2">
        <f t="shared" si="100"/>
        <v>0</v>
      </c>
      <c r="AK73" s="2">
        <f t="shared" si="100"/>
        <v>0</v>
      </c>
      <c r="AL73" s="2">
        <f t="shared" si="100"/>
        <v>0</v>
      </c>
      <c r="AM73"/>
      <c r="AN73" s="24">
        <f t="shared" si="101"/>
        <v>2.4279169967523235</v>
      </c>
      <c r="AO73" s="24">
        <f t="shared" si="102"/>
        <v>2.4164999999999996</v>
      </c>
      <c r="AP73" s="24">
        <f t="shared" si="103"/>
        <v>2.3844189608069937</v>
      </c>
      <c r="AQ73" s="24">
        <f t="shared" si="104"/>
        <v>2.2992105071273761</v>
      </c>
      <c r="AR73" s="24">
        <f t="shared" si="105"/>
        <v>2.1968832906641627</v>
      </c>
      <c r="AS73" s="24">
        <f t="shared" si="106"/>
        <v>2.0606527991130323</v>
      </c>
      <c r="AT73" s="24">
        <f t="shared" si="107"/>
        <v>1.9533374999999999</v>
      </c>
      <c r="AU73"/>
      <c r="AV73" s="74">
        <f t="shared" si="108"/>
        <v>6.954698208561009</v>
      </c>
      <c r="AW73" s="74">
        <f t="shared" si="108"/>
        <v>5.8284799735047086</v>
      </c>
      <c r="AX73" s="74">
        <f t="shared" si="108"/>
        <v>5.1006155966441247</v>
      </c>
      <c r="AY73" s="74">
        <f t="shared" si="108"/>
        <v>5.3717465220194152</v>
      </c>
      <c r="AZ73" s="74">
        <f t="shared" si="108"/>
        <v>4.9428603537248019</v>
      </c>
      <c r="BA73" s="74">
        <f t="shared" si="108"/>
        <v>3.9479377560265272</v>
      </c>
      <c r="BB73" s="74">
        <f t="shared" si="108"/>
        <v>2.5862858672980442</v>
      </c>
      <c r="BC73" s="454"/>
      <c r="BD73" s="74">
        <f t="shared" si="109"/>
        <v>7.961332935198957</v>
      </c>
      <c r="BE73" s="74">
        <f t="shared" si="109"/>
        <v>6.5982792152883478</v>
      </c>
      <c r="BF73" s="74">
        <f t="shared" si="109"/>
        <v>5.3670072918856855</v>
      </c>
      <c r="BG73" s="74">
        <f t="shared" si="109"/>
        <v>4.8809025346851094</v>
      </c>
      <c r="BH73" s="74">
        <f t="shared" si="109"/>
        <v>3.7654364273675123</v>
      </c>
      <c r="BI73" s="74">
        <f t="shared" si="109"/>
        <v>2.5034895850898145</v>
      </c>
      <c r="BJ73" s="74">
        <f t="shared" si="109"/>
        <v>1.3952308472856418</v>
      </c>
      <c r="BK73" s="455"/>
      <c r="BL73" s="74">
        <f t="shared" si="110"/>
        <v>0</v>
      </c>
      <c r="BM73" s="74">
        <f t="shared" si="110"/>
        <v>0</v>
      </c>
      <c r="BN73" s="74">
        <f t="shared" si="110"/>
        <v>0</v>
      </c>
      <c r="BO73" s="74">
        <f t="shared" si="110"/>
        <v>0</v>
      </c>
      <c r="BP73" s="74">
        <f t="shared" si="110"/>
        <v>0</v>
      </c>
      <c r="BQ73" s="74">
        <f t="shared" si="110"/>
        <v>0</v>
      </c>
      <c r="BR73" s="74">
        <f t="shared" si="110"/>
        <v>0</v>
      </c>
      <c r="BS73" s="454"/>
      <c r="BT73" s="74">
        <f t="shared" si="111"/>
        <v>0</v>
      </c>
      <c r="BU73" s="74">
        <f t="shared" si="111"/>
        <v>0</v>
      </c>
      <c r="BV73" s="74">
        <f t="shared" si="111"/>
        <v>0</v>
      </c>
      <c r="BW73" s="74">
        <f t="shared" si="111"/>
        <v>0</v>
      </c>
      <c r="BX73" s="74">
        <f t="shared" si="111"/>
        <v>0</v>
      </c>
      <c r="BY73" s="74">
        <f t="shared" si="111"/>
        <v>0</v>
      </c>
      <c r="BZ73" s="74">
        <f t="shared" si="111"/>
        <v>0</v>
      </c>
    </row>
    <row r="74" spans="1:78" x14ac:dyDescent="0.2">
      <c r="A74" s="452"/>
      <c r="B74" s="453" t="str">
        <f t="shared" si="93"/>
        <v>e-Ammonia - Americas - Fuel cost - USD/GJ</v>
      </c>
      <c r="C74" s="453" t="str">
        <f t="shared" si="94"/>
        <v>e-Ammonia - Americas</v>
      </c>
      <c r="D74" s="74">
        <f t="shared" si="95"/>
        <v>18.8</v>
      </c>
      <c r="E74" t="s">
        <v>199</v>
      </c>
      <c r="F74" t="str">
        <f t="shared" si="96"/>
        <v>e-Ammonia</v>
      </c>
      <c r="G74" t="s">
        <v>828</v>
      </c>
      <c r="H74" s="74">
        <f t="shared" si="97"/>
        <v>60.683870926072423</v>
      </c>
      <c r="I74" s="74">
        <f t="shared" si="97"/>
        <v>47.049830257390823</v>
      </c>
      <c r="J74" s="74">
        <f t="shared" si="97"/>
        <v>32.509006905382982</v>
      </c>
      <c r="K74" s="74">
        <f t="shared" si="97"/>
        <v>29.851672257716981</v>
      </c>
      <c r="L74" s="74">
        <f t="shared" si="97"/>
        <v>25.984939371929784</v>
      </c>
      <c r="M74" s="74">
        <f t="shared" si="97"/>
        <v>21.951913392561003</v>
      </c>
      <c r="N74" s="74">
        <f t="shared" si="97"/>
        <v>17.972716124248276</v>
      </c>
      <c r="O74" s="454"/>
      <c r="P74" s="74">
        <f t="shared" si="98"/>
        <v>20.759815085497248</v>
      </c>
      <c r="Q74" s="74">
        <f t="shared" si="98"/>
        <v>18.650106730258152</v>
      </c>
      <c r="R74" s="74">
        <f t="shared" si="98"/>
        <v>15.047457427903934</v>
      </c>
      <c r="S74" s="74">
        <f t="shared" si="98"/>
        <v>12.962203597742349</v>
      </c>
      <c r="T74" s="74">
        <f t="shared" si="98"/>
        <v>11.189805245583912</v>
      </c>
      <c r="U74" s="74">
        <f t="shared" si="98"/>
        <v>10.056670652543788</v>
      </c>
      <c r="V74" s="74">
        <f t="shared" si="98"/>
        <v>9.2199684227541123</v>
      </c>
      <c r="W74"/>
      <c r="X74" s="2">
        <f t="shared" si="99"/>
        <v>2.8609312303111798</v>
      </c>
      <c r="Y74" s="2">
        <f t="shared" si="99"/>
        <v>2.8478138297872331</v>
      </c>
      <c r="Z74" s="2">
        <f t="shared" si="99"/>
        <v>2.8109547634803751</v>
      </c>
      <c r="AA74" s="2">
        <f t="shared" si="99"/>
        <v>2.7130556890399635</v>
      </c>
      <c r="AB74" s="2">
        <f t="shared" si="99"/>
        <v>2.5954882488481865</v>
      </c>
      <c r="AC74" s="2">
        <f t="shared" si="99"/>
        <v>2.4389681096192284</v>
      </c>
      <c r="AD74" s="2">
        <f t="shared" si="99"/>
        <v>2.3156696808510637</v>
      </c>
      <c r="AE74"/>
      <c r="AF74" s="2">
        <f t="shared" si="100"/>
        <v>0</v>
      </c>
      <c r="AG74" s="2">
        <f t="shared" si="100"/>
        <v>0</v>
      </c>
      <c r="AH74" s="2">
        <f t="shared" si="100"/>
        <v>0</v>
      </c>
      <c r="AI74" s="2">
        <f t="shared" si="100"/>
        <v>0</v>
      </c>
      <c r="AJ74" s="2">
        <f t="shared" si="100"/>
        <v>0</v>
      </c>
      <c r="AK74" s="2">
        <f t="shared" si="100"/>
        <v>0</v>
      </c>
      <c r="AL74" s="2">
        <f t="shared" si="100"/>
        <v>0</v>
      </c>
      <c r="AM74"/>
      <c r="AN74" s="24">
        <f t="shared" si="101"/>
        <v>2.8609312303111798</v>
      </c>
      <c r="AO74" s="24">
        <f t="shared" si="102"/>
        <v>2.8478138297872331</v>
      </c>
      <c r="AP74" s="24">
        <f t="shared" si="103"/>
        <v>2.8109547634803751</v>
      </c>
      <c r="AQ74" s="24">
        <f t="shared" si="104"/>
        <v>2.7130556890399635</v>
      </c>
      <c r="AR74" s="24">
        <f t="shared" si="105"/>
        <v>2.5954882488481865</v>
      </c>
      <c r="AS74" s="24">
        <f t="shared" si="106"/>
        <v>2.4389681096192284</v>
      </c>
      <c r="AT74" s="24">
        <f t="shared" si="107"/>
        <v>2.3156696808510637</v>
      </c>
      <c r="AU74"/>
      <c r="AV74" s="74">
        <f t="shared" si="108"/>
        <v>21.381461771538181</v>
      </c>
      <c r="AW74" s="74">
        <f t="shared" si="108"/>
        <v>14.919069189416756</v>
      </c>
      <c r="AX74" s="74">
        <f t="shared" si="108"/>
        <v>8.914359763520201</v>
      </c>
      <c r="AY74" s="74">
        <f t="shared" si="108"/>
        <v>9.0496750820364902</v>
      </c>
      <c r="AZ74" s="74">
        <f t="shared" si="108"/>
        <v>8.3807154418682135</v>
      </c>
      <c r="BA74" s="74">
        <f t="shared" si="108"/>
        <v>7.0614160742999807</v>
      </c>
      <c r="BB74" s="74">
        <f t="shared" si="108"/>
        <v>5.3207681595906609</v>
      </c>
      <c r="BC74" s="454"/>
      <c r="BD74" s="74">
        <f t="shared" si="109"/>
        <v>18.542594069036994</v>
      </c>
      <c r="BE74" s="74">
        <f t="shared" si="109"/>
        <v>13.480654337715915</v>
      </c>
      <c r="BF74" s="74">
        <f t="shared" si="109"/>
        <v>8.5471897139588435</v>
      </c>
      <c r="BG74" s="74">
        <f t="shared" si="109"/>
        <v>7.8397935779381385</v>
      </c>
      <c r="BH74" s="74">
        <f t="shared" si="109"/>
        <v>6.4144186844776607</v>
      </c>
      <c r="BI74" s="74">
        <f t="shared" si="109"/>
        <v>4.8338266657172335</v>
      </c>
      <c r="BJ74" s="74">
        <f t="shared" si="109"/>
        <v>3.4319795419035035</v>
      </c>
      <c r="BK74" s="455"/>
      <c r="BL74" s="74">
        <f t="shared" si="110"/>
        <v>0</v>
      </c>
      <c r="BM74" s="74">
        <f t="shared" si="110"/>
        <v>0</v>
      </c>
      <c r="BN74" s="74">
        <f t="shared" si="110"/>
        <v>0</v>
      </c>
      <c r="BO74" s="74">
        <f t="shared" si="110"/>
        <v>0</v>
      </c>
      <c r="BP74" s="74">
        <f t="shared" si="110"/>
        <v>0</v>
      </c>
      <c r="BQ74" s="74">
        <f t="shared" si="110"/>
        <v>0</v>
      </c>
      <c r="BR74" s="74">
        <f t="shared" si="110"/>
        <v>0</v>
      </c>
      <c r="BS74" s="454"/>
      <c r="BT74" s="74">
        <f t="shared" si="111"/>
        <v>0</v>
      </c>
      <c r="BU74" s="74">
        <f t="shared" si="111"/>
        <v>0</v>
      </c>
      <c r="BV74" s="74">
        <f t="shared" si="111"/>
        <v>0</v>
      </c>
      <c r="BW74" s="74">
        <f t="shared" si="111"/>
        <v>0</v>
      </c>
      <c r="BX74" s="74">
        <f t="shared" si="111"/>
        <v>0</v>
      </c>
      <c r="BY74" s="74">
        <f t="shared" si="111"/>
        <v>0</v>
      </c>
      <c r="BZ74" s="74">
        <f t="shared" si="111"/>
        <v>0</v>
      </c>
    </row>
    <row r="75" spans="1:78" x14ac:dyDescent="0.2">
      <c r="A75" s="452"/>
      <c r="B75" s="453" t="str">
        <f t="shared" si="93"/>
        <v>e-Methanol (DAC) - Americas - Fuel cost - USD/GJ</v>
      </c>
      <c r="C75" s="453" t="str">
        <f t="shared" si="94"/>
        <v>e-Methanol (DAC) - Americas</v>
      </c>
      <c r="D75" s="74">
        <f t="shared" si="95"/>
        <v>19.899999999999999</v>
      </c>
      <c r="E75" t="s">
        <v>199</v>
      </c>
      <c r="F75" t="str">
        <f t="shared" si="96"/>
        <v>e-Methanol (DAC)</v>
      </c>
      <c r="G75" t="s">
        <v>828</v>
      </c>
      <c r="H75" s="74">
        <f t="shared" si="97"/>
        <v>80.387032918305678</v>
      </c>
      <c r="I75" s="74">
        <f t="shared" si="97"/>
        <v>67.696688297683195</v>
      </c>
      <c r="J75" s="74">
        <f t="shared" si="97"/>
        <v>53.911671856735758</v>
      </c>
      <c r="K75" s="74">
        <f t="shared" si="97"/>
        <v>47.915592478093146</v>
      </c>
      <c r="L75" s="74">
        <f t="shared" si="97"/>
        <v>41.146678436954673</v>
      </c>
      <c r="M75" s="74">
        <f t="shared" si="97"/>
        <v>34.282134309599464</v>
      </c>
      <c r="N75" s="74">
        <f t="shared" si="97"/>
        <v>27.683419462230756</v>
      </c>
      <c r="O75" s="454"/>
      <c r="P75" s="74">
        <f t="shared" si="98"/>
        <v>23.381367321155825</v>
      </c>
      <c r="Q75" s="74">
        <f t="shared" si="98"/>
        <v>21.016895172087917</v>
      </c>
      <c r="R75" s="74">
        <f t="shared" si="98"/>
        <v>16.983935138840422</v>
      </c>
      <c r="S75" s="74">
        <f t="shared" si="98"/>
        <v>14.694889296119314</v>
      </c>
      <c r="T75" s="74">
        <f t="shared" si="98"/>
        <v>12.758058418437569</v>
      </c>
      <c r="U75" s="74">
        <f t="shared" si="98"/>
        <v>11.562593696040846</v>
      </c>
      <c r="V75" s="74">
        <f t="shared" si="98"/>
        <v>10.678698101845963</v>
      </c>
      <c r="W75"/>
      <c r="X75" s="2">
        <f t="shared" si="99"/>
        <v>-65.873267376827087</v>
      </c>
      <c r="Y75" s="2">
        <f t="shared" si="99"/>
        <v>-65.886262255036513</v>
      </c>
      <c r="Z75" s="2">
        <f t="shared" si="99"/>
        <v>-65.922777041384307</v>
      </c>
      <c r="AA75" s="2">
        <f t="shared" si="99"/>
        <v>-66.01976169522986</v>
      </c>
      <c r="AB75" s="2">
        <f t="shared" si="99"/>
        <v>-66.136231003603598</v>
      </c>
      <c r="AC75" s="2">
        <f t="shared" si="99"/>
        <v>-66.291289175601065</v>
      </c>
      <c r="AD75" s="2">
        <f t="shared" si="99"/>
        <v>-66.413435942586673</v>
      </c>
      <c r="AE75"/>
      <c r="AF75" s="2">
        <f t="shared" si="100"/>
        <v>69.095477386934675</v>
      </c>
      <c r="AG75" s="2">
        <f t="shared" si="100"/>
        <v>69.095477386934675</v>
      </c>
      <c r="AH75" s="2">
        <f t="shared" si="100"/>
        <v>69.095477386934675</v>
      </c>
      <c r="AI75" s="2">
        <f t="shared" si="100"/>
        <v>69.095477386934675</v>
      </c>
      <c r="AJ75" s="2">
        <f t="shared" si="100"/>
        <v>69.095477386934675</v>
      </c>
      <c r="AK75" s="2">
        <f t="shared" si="100"/>
        <v>69.095477386934675</v>
      </c>
      <c r="AL75" s="2">
        <f t="shared" si="100"/>
        <v>69.095477386934675</v>
      </c>
      <c r="AM75"/>
      <c r="AN75" s="24">
        <f t="shared" si="101"/>
        <v>3.2222100101075881</v>
      </c>
      <c r="AO75" s="24">
        <f t="shared" si="102"/>
        <v>3.2092151318981621</v>
      </c>
      <c r="AP75" s="24">
        <f t="shared" si="103"/>
        <v>3.1727003455503677</v>
      </c>
      <c r="AQ75" s="24">
        <f t="shared" si="104"/>
        <v>3.075715691704815</v>
      </c>
      <c r="AR75" s="24">
        <f t="shared" si="105"/>
        <v>2.9592463833310774</v>
      </c>
      <c r="AS75" s="24">
        <f t="shared" si="106"/>
        <v>2.8041882113336101</v>
      </c>
      <c r="AT75" s="24">
        <f t="shared" si="107"/>
        <v>2.6820414443480018</v>
      </c>
      <c r="AU75"/>
      <c r="AV75" s="74">
        <f t="shared" si="108"/>
        <v>23.007996788310674</v>
      </c>
      <c r="AW75" s="74">
        <f t="shared" si="108"/>
        <v>18.618927333708019</v>
      </c>
      <c r="AX75" s="74">
        <f t="shared" si="108"/>
        <v>14.683266072503733</v>
      </c>
      <c r="AY75" s="74">
        <f t="shared" si="108"/>
        <v>13.993124820084045</v>
      </c>
      <c r="AZ75" s="74">
        <f t="shared" si="108"/>
        <v>12.506220892322307</v>
      </c>
      <c r="BA75" s="74">
        <f t="shared" si="108"/>
        <v>10.042137124589217</v>
      </c>
      <c r="BB75" s="74">
        <f t="shared" si="108"/>
        <v>7.1606403912445984</v>
      </c>
      <c r="BC75" s="454"/>
      <c r="BD75" s="74">
        <f t="shared" si="109"/>
        <v>16.023844632076802</v>
      </c>
      <c r="BE75" s="74">
        <f t="shared" si="109"/>
        <v>13.065375443611659</v>
      </c>
      <c r="BF75" s="74">
        <f t="shared" si="109"/>
        <v>10.256900901986608</v>
      </c>
      <c r="BG75" s="74">
        <f t="shared" si="109"/>
        <v>9.2513529252483355</v>
      </c>
      <c r="BH75" s="74">
        <f t="shared" si="109"/>
        <v>7.5294629654204579</v>
      </c>
      <c r="BI75" s="74">
        <f t="shared" si="109"/>
        <v>5.4900941905626741</v>
      </c>
      <c r="BJ75" s="74">
        <f t="shared" si="109"/>
        <v>3.6256539230169129</v>
      </c>
      <c r="BK75" s="455"/>
      <c r="BL75" s="74">
        <f t="shared" si="110"/>
        <v>17.973824176762371</v>
      </c>
      <c r="BM75" s="74">
        <f t="shared" si="110"/>
        <v>14.995490348275608</v>
      </c>
      <c r="BN75" s="74">
        <f t="shared" si="110"/>
        <v>11.987569743404991</v>
      </c>
      <c r="BO75" s="74">
        <f t="shared" si="110"/>
        <v>9.9762254366414513</v>
      </c>
      <c r="BP75" s="74">
        <f t="shared" si="110"/>
        <v>8.3529361607743429</v>
      </c>
      <c r="BQ75" s="74">
        <f t="shared" si="110"/>
        <v>7.1873092984067277</v>
      </c>
      <c r="BR75" s="74">
        <f t="shared" si="110"/>
        <v>6.2184270461232805</v>
      </c>
      <c r="BS75" s="454"/>
      <c r="BT75" s="74">
        <f t="shared" si="111"/>
        <v>0</v>
      </c>
      <c r="BU75" s="74">
        <f t="shared" si="111"/>
        <v>0</v>
      </c>
      <c r="BV75" s="74">
        <f t="shared" si="111"/>
        <v>0</v>
      </c>
      <c r="BW75" s="74">
        <f t="shared" si="111"/>
        <v>0</v>
      </c>
      <c r="BX75" s="74">
        <f t="shared" si="111"/>
        <v>0</v>
      </c>
      <c r="BY75" s="74">
        <f t="shared" si="111"/>
        <v>0</v>
      </c>
      <c r="BZ75" s="74">
        <f t="shared" si="111"/>
        <v>0</v>
      </c>
    </row>
    <row r="76" spans="1:78" x14ac:dyDescent="0.2">
      <c r="A76" s="452"/>
      <c r="B76" s="453" t="str">
        <f t="shared" si="93"/>
        <v>e-Methanol (PS) - Americas - Fuel cost - USD/GJ</v>
      </c>
      <c r="C76" s="453" t="str">
        <f t="shared" si="94"/>
        <v>e-Methanol (PS) - Americas</v>
      </c>
      <c r="D76" s="74">
        <f t="shared" si="95"/>
        <v>19.899999999999999</v>
      </c>
      <c r="E76" t="s">
        <v>199</v>
      </c>
      <c r="F76" t="str">
        <f t="shared" si="96"/>
        <v>e-Methanol (PS)</v>
      </c>
      <c r="G76" t="s">
        <v>828</v>
      </c>
      <c r="H76" s="74">
        <f t="shared" si="97"/>
        <v>74.60350245113122</v>
      </c>
      <c r="I76" s="74">
        <f t="shared" si="97"/>
        <v>62.863937069760716</v>
      </c>
      <c r="J76" s="74">
        <f t="shared" si="97"/>
        <v>49.977830737365217</v>
      </c>
      <c r="K76" s="74">
        <f t="shared" si="97"/>
        <v>45.157161706746599</v>
      </c>
      <c r="L76" s="74">
        <f t="shared" si="97"/>
        <v>39.193778419908838</v>
      </c>
      <c r="M76" s="74">
        <f t="shared" si="97"/>
        <v>32.723559647693079</v>
      </c>
      <c r="N76" s="74">
        <f t="shared" si="97"/>
        <v>26.330122531867449</v>
      </c>
      <c r="O76" s="454"/>
      <c r="P76" s="74">
        <f t="shared" si="98"/>
        <v>23.381367321155825</v>
      </c>
      <c r="Q76" s="74">
        <f t="shared" si="98"/>
        <v>21.016895172087917</v>
      </c>
      <c r="R76" s="74">
        <f t="shared" si="98"/>
        <v>16.983935138840422</v>
      </c>
      <c r="S76" s="74">
        <f t="shared" si="98"/>
        <v>14.694889296119314</v>
      </c>
      <c r="T76" s="74">
        <f t="shared" si="98"/>
        <v>12.758058418437569</v>
      </c>
      <c r="U76" s="74">
        <f t="shared" si="98"/>
        <v>11.562593696040846</v>
      </c>
      <c r="V76" s="74">
        <f t="shared" si="98"/>
        <v>10.678698101845963</v>
      </c>
      <c r="W76"/>
      <c r="X76" s="2">
        <f t="shared" si="99"/>
        <v>-65.873267376827087</v>
      </c>
      <c r="Y76" s="2">
        <f t="shared" si="99"/>
        <v>-65.886262255036513</v>
      </c>
      <c r="Z76" s="2">
        <f t="shared" si="99"/>
        <v>-65.922777041384307</v>
      </c>
      <c r="AA76" s="2">
        <f t="shared" si="99"/>
        <v>-66.01976169522986</v>
      </c>
      <c r="AB76" s="2">
        <f t="shared" si="99"/>
        <v>-66.136231003603598</v>
      </c>
      <c r="AC76" s="2">
        <f t="shared" si="99"/>
        <v>-66.291289175601065</v>
      </c>
      <c r="AD76" s="2">
        <f t="shared" si="99"/>
        <v>-66.413435942586673</v>
      </c>
      <c r="AE76"/>
      <c r="AF76" s="2">
        <f t="shared" si="100"/>
        <v>69.095477386934675</v>
      </c>
      <c r="AG76" s="2">
        <f t="shared" si="100"/>
        <v>69.095477386934675</v>
      </c>
      <c r="AH76" s="2">
        <f t="shared" si="100"/>
        <v>69.095477386934675</v>
      </c>
      <c r="AI76" s="2">
        <f t="shared" si="100"/>
        <v>69.095477386934675</v>
      </c>
      <c r="AJ76" s="2">
        <f t="shared" si="100"/>
        <v>69.095477386934675</v>
      </c>
      <c r="AK76" s="2">
        <f t="shared" si="100"/>
        <v>69.095477386934675</v>
      </c>
      <c r="AL76" s="2">
        <f t="shared" si="100"/>
        <v>69.095477386934675</v>
      </c>
      <c r="AM76"/>
      <c r="AN76" s="24">
        <f t="shared" si="101"/>
        <v>3.2222100101075881</v>
      </c>
      <c r="AO76" s="24">
        <f t="shared" si="102"/>
        <v>3.2092151318981621</v>
      </c>
      <c r="AP76" s="24">
        <f t="shared" si="103"/>
        <v>3.1727003455503677</v>
      </c>
      <c r="AQ76" s="24">
        <f t="shared" si="104"/>
        <v>3.075715691704815</v>
      </c>
      <c r="AR76" s="24">
        <f t="shared" si="105"/>
        <v>2.9592463833310774</v>
      </c>
      <c r="AS76" s="24">
        <f t="shared" si="106"/>
        <v>2.8041882113336101</v>
      </c>
      <c r="AT76" s="24">
        <f t="shared" si="107"/>
        <v>2.6820414443480018</v>
      </c>
      <c r="AU76"/>
      <c r="AV76" s="74">
        <f t="shared" si="108"/>
        <v>23.007996788310674</v>
      </c>
      <c r="AW76" s="74">
        <f t="shared" si="108"/>
        <v>18.618927333708019</v>
      </c>
      <c r="AX76" s="74">
        <f t="shared" si="108"/>
        <v>14.683266072503733</v>
      </c>
      <c r="AY76" s="74">
        <f t="shared" si="108"/>
        <v>13.993124820084045</v>
      </c>
      <c r="AZ76" s="74">
        <f t="shared" si="108"/>
        <v>12.506220892322307</v>
      </c>
      <c r="BA76" s="74">
        <f t="shared" si="108"/>
        <v>10.042137124589217</v>
      </c>
      <c r="BB76" s="74">
        <f t="shared" si="108"/>
        <v>7.1606403912445984</v>
      </c>
      <c r="BC76" s="454"/>
      <c r="BD76" s="74">
        <f t="shared" si="109"/>
        <v>16.023844632076802</v>
      </c>
      <c r="BE76" s="74">
        <f t="shared" si="109"/>
        <v>13.065375443611659</v>
      </c>
      <c r="BF76" s="74">
        <f t="shared" si="109"/>
        <v>10.256900901986608</v>
      </c>
      <c r="BG76" s="74">
        <f t="shared" si="109"/>
        <v>9.2513529252483355</v>
      </c>
      <c r="BH76" s="74">
        <f t="shared" si="109"/>
        <v>7.5294629654204579</v>
      </c>
      <c r="BI76" s="74">
        <f t="shared" si="109"/>
        <v>5.4900941905626741</v>
      </c>
      <c r="BJ76" s="74">
        <f t="shared" si="109"/>
        <v>3.6256539230169129</v>
      </c>
      <c r="BK76" s="455"/>
      <c r="BL76" s="74">
        <f t="shared" si="110"/>
        <v>12.190293709587909</v>
      </c>
      <c r="BM76" s="74">
        <f t="shared" si="110"/>
        <v>10.162739120353125</v>
      </c>
      <c r="BN76" s="74">
        <f t="shared" si="110"/>
        <v>8.0537286240344521</v>
      </c>
      <c r="BO76" s="74">
        <f t="shared" si="110"/>
        <v>7.2177946652949041</v>
      </c>
      <c r="BP76" s="74">
        <f t="shared" si="110"/>
        <v>6.4000361437285065</v>
      </c>
      <c r="BQ76" s="74">
        <f t="shared" si="110"/>
        <v>5.6287346365003437</v>
      </c>
      <c r="BR76" s="74">
        <f t="shared" si="110"/>
        <v>4.865130115759972</v>
      </c>
      <c r="BS76" s="454"/>
      <c r="BT76" s="74">
        <f t="shared" si="111"/>
        <v>0</v>
      </c>
      <c r="BU76" s="74">
        <f t="shared" si="111"/>
        <v>0</v>
      </c>
      <c r="BV76" s="74">
        <f t="shared" si="111"/>
        <v>0</v>
      </c>
      <c r="BW76" s="74">
        <f t="shared" si="111"/>
        <v>0</v>
      </c>
      <c r="BX76" s="74">
        <f t="shared" si="111"/>
        <v>0</v>
      </c>
      <c r="BY76" s="74">
        <f t="shared" si="111"/>
        <v>0</v>
      </c>
      <c r="BZ76" s="74">
        <f t="shared" si="111"/>
        <v>0</v>
      </c>
    </row>
    <row r="77" spans="1:78" x14ac:dyDescent="0.2">
      <c r="A77" s="452"/>
      <c r="B77" s="453" t="str">
        <f t="shared" si="93"/>
        <v>e-Diesel (DAC) - Americas - Fuel cost - USD/GJ</v>
      </c>
      <c r="C77" s="453" t="str">
        <f t="shared" si="94"/>
        <v>e-Diesel (DAC) - Americas</v>
      </c>
      <c r="D77" s="74">
        <f t="shared" si="95"/>
        <v>42.7</v>
      </c>
      <c r="E77" t="s">
        <v>199</v>
      </c>
      <c r="F77" t="str">
        <f t="shared" si="96"/>
        <v>e-Diesel (DAC)</v>
      </c>
      <c r="G77" t="s">
        <v>828</v>
      </c>
      <c r="H77" s="74">
        <f t="shared" si="97"/>
        <v>93.851837799666413</v>
      </c>
      <c r="I77" s="74">
        <f t="shared" si="97"/>
        <v>78.366267448990541</v>
      </c>
      <c r="J77" s="74">
        <f t="shared" si="97"/>
        <v>62.605222795006611</v>
      </c>
      <c r="K77" s="74">
        <f t="shared" si="97"/>
        <v>56.422525021042013</v>
      </c>
      <c r="L77" s="74">
        <f t="shared" si="97"/>
        <v>49.302797597055886</v>
      </c>
      <c r="M77" s="74">
        <f t="shared" si="97"/>
        <v>40.432190361432809</v>
      </c>
      <c r="N77" s="74">
        <f t="shared" si="97"/>
        <v>32.169415324276983</v>
      </c>
      <c r="O77" s="454"/>
      <c r="P77" s="74">
        <f t="shared" si="98"/>
        <v>23.668122870181104</v>
      </c>
      <c r="Q77" s="74">
        <f t="shared" si="98"/>
        <v>21.232398197669912</v>
      </c>
      <c r="R77" s="74">
        <f t="shared" si="98"/>
        <v>17.106494456765258</v>
      </c>
      <c r="S77" s="74">
        <f t="shared" si="98"/>
        <v>14.711719552146169</v>
      </c>
      <c r="T77" s="74">
        <f t="shared" si="98"/>
        <v>12.677603803009871</v>
      </c>
      <c r="U77" s="74">
        <f t="shared" si="98"/>
        <v>11.369831114451204</v>
      </c>
      <c r="V77" s="74">
        <f t="shared" si="98"/>
        <v>10.402811270966996</v>
      </c>
      <c r="W77"/>
      <c r="X77" s="2">
        <f t="shared" si="99"/>
        <v>-71.898371469010129</v>
      </c>
      <c r="Y77" s="2">
        <f t="shared" si="99"/>
        <v>-71.917977773108731</v>
      </c>
      <c r="Z77" s="2">
        <f t="shared" si="99"/>
        <v>-71.964504396106349</v>
      </c>
      <c r="AA77" s="2">
        <f t="shared" si="99"/>
        <v>-72.08086120236382</v>
      </c>
      <c r="AB77" s="2">
        <f t="shared" si="99"/>
        <v>-72.219514710595647</v>
      </c>
      <c r="AC77" s="2">
        <f t="shared" si="99"/>
        <v>-72.40266058951876</v>
      </c>
      <c r="AD77" s="2">
        <f t="shared" si="99"/>
        <v>-72.547349318776185</v>
      </c>
      <c r="AE77"/>
      <c r="AF77" s="2">
        <f t="shared" si="100"/>
        <v>76.237236533957855</v>
      </c>
      <c r="AG77" s="2">
        <f t="shared" si="100"/>
        <v>76.237236533957855</v>
      </c>
      <c r="AH77" s="2">
        <f t="shared" si="100"/>
        <v>76.237236533957855</v>
      </c>
      <c r="AI77" s="2">
        <f t="shared" si="100"/>
        <v>76.237236533957855</v>
      </c>
      <c r="AJ77" s="2">
        <f t="shared" si="100"/>
        <v>76.237236533957855</v>
      </c>
      <c r="AK77" s="2">
        <f t="shared" si="100"/>
        <v>76.237236533957855</v>
      </c>
      <c r="AL77" s="2">
        <f t="shared" si="100"/>
        <v>76.237236533957855</v>
      </c>
      <c r="AM77"/>
      <c r="AN77" s="24">
        <f t="shared" si="101"/>
        <v>4.3388650649477256</v>
      </c>
      <c r="AO77" s="24">
        <f t="shared" si="102"/>
        <v>4.3192587608491237</v>
      </c>
      <c r="AP77" s="24">
        <f t="shared" si="103"/>
        <v>4.2727321378515057</v>
      </c>
      <c r="AQ77" s="24">
        <f t="shared" si="104"/>
        <v>4.1563753315940346</v>
      </c>
      <c r="AR77" s="24">
        <f t="shared" si="105"/>
        <v>4.0177218233622085</v>
      </c>
      <c r="AS77" s="24">
        <f t="shared" si="106"/>
        <v>3.834575944439095</v>
      </c>
      <c r="AT77" s="24">
        <f t="shared" si="107"/>
        <v>3.6898872151816704</v>
      </c>
      <c r="AU77"/>
      <c r="AV77" s="74">
        <f t="shared" si="108"/>
        <v>22.839460865640305</v>
      </c>
      <c r="AW77" s="74">
        <f t="shared" si="108"/>
        <v>19.69694622573768</v>
      </c>
      <c r="AX77" s="74">
        <f t="shared" si="108"/>
        <v>17.080594527339471</v>
      </c>
      <c r="AY77" s="74">
        <f t="shared" si="108"/>
        <v>16.766389629396446</v>
      </c>
      <c r="AZ77" s="74">
        <f t="shared" si="108"/>
        <v>15.527571989463206</v>
      </c>
      <c r="BA77" s="74">
        <f t="shared" si="108"/>
        <v>12.817065326461268</v>
      </c>
      <c r="BB77" s="74">
        <f t="shared" si="108"/>
        <v>9.6221668130119369</v>
      </c>
      <c r="BC77" s="454"/>
      <c r="BD77" s="74">
        <f t="shared" si="109"/>
        <v>26.120940926117594</v>
      </c>
      <c r="BE77" s="74">
        <f t="shared" si="109"/>
        <v>19.730396902629106</v>
      </c>
      <c r="BF77" s="74">
        <f t="shared" si="109"/>
        <v>14.263330474528161</v>
      </c>
      <c r="BG77" s="74">
        <f t="shared" si="109"/>
        <v>13.164587891246835</v>
      </c>
      <c r="BH77" s="74">
        <f t="shared" si="109"/>
        <v>11.234557716710251</v>
      </c>
      <c r="BI77" s="74">
        <f t="shared" si="109"/>
        <v>7.7585904589945081</v>
      </c>
      <c r="BJ77" s="74">
        <f t="shared" si="109"/>
        <v>4.8017803228784581</v>
      </c>
      <c r="BK77" s="455"/>
      <c r="BL77" s="74">
        <f t="shared" si="110"/>
        <v>21.223313137727409</v>
      </c>
      <c r="BM77" s="74">
        <f t="shared" si="110"/>
        <v>17.706526122953843</v>
      </c>
      <c r="BN77" s="74">
        <f t="shared" si="110"/>
        <v>14.154803336373726</v>
      </c>
      <c r="BO77" s="74">
        <f t="shared" si="110"/>
        <v>11.77982794825256</v>
      </c>
      <c r="BP77" s="74">
        <f t="shared" si="110"/>
        <v>9.8630640878725586</v>
      </c>
      <c r="BQ77" s="74">
        <f t="shared" si="110"/>
        <v>8.486703461525833</v>
      </c>
      <c r="BR77" s="74">
        <f t="shared" si="110"/>
        <v>7.342656917419589</v>
      </c>
      <c r="BS77" s="454"/>
      <c r="BT77" s="74">
        <f t="shared" si="111"/>
        <v>0</v>
      </c>
      <c r="BU77" s="74">
        <f t="shared" si="111"/>
        <v>0</v>
      </c>
      <c r="BV77" s="74">
        <f t="shared" si="111"/>
        <v>0</v>
      </c>
      <c r="BW77" s="74">
        <f t="shared" si="111"/>
        <v>0</v>
      </c>
      <c r="BX77" s="74">
        <f t="shared" si="111"/>
        <v>0</v>
      </c>
      <c r="BY77" s="74">
        <f t="shared" si="111"/>
        <v>0</v>
      </c>
      <c r="BZ77" s="74">
        <f t="shared" si="111"/>
        <v>0</v>
      </c>
    </row>
    <row r="78" spans="1:78" x14ac:dyDescent="0.2">
      <c r="A78" s="452"/>
      <c r="B78" s="453" t="str">
        <f t="shared" si="93"/>
        <v>e-Diesel (PS) - Americas - Fuel cost - USD/GJ</v>
      </c>
      <c r="C78" s="453" t="str">
        <f t="shared" si="94"/>
        <v>e-Diesel (PS) - Americas</v>
      </c>
      <c r="D78" s="74">
        <f t="shared" si="95"/>
        <v>42.7</v>
      </c>
      <c r="E78" t="s">
        <v>199</v>
      </c>
      <c r="F78" t="str">
        <f t="shared" si="96"/>
        <v>e-Diesel (PS)</v>
      </c>
      <c r="G78" t="s">
        <v>828</v>
      </c>
      <c r="H78" s="74">
        <f t="shared" si="97"/>
        <v>87.022702444869552</v>
      </c>
      <c r="I78" s="74">
        <f t="shared" si="97"/>
        <v>72.659802780245187</v>
      </c>
      <c r="J78" s="74">
        <f t="shared" si="97"/>
        <v>57.960182257756401</v>
      </c>
      <c r="K78" s="74">
        <f t="shared" si="97"/>
        <v>53.165397352867835</v>
      </c>
      <c r="L78" s="74">
        <f t="shared" si="97"/>
        <v>46.996832645978749</v>
      </c>
      <c r="M78" s="74">
        <f t="shared" si="97"/>
        <v>38.591840874709099</v>
      </c>
      <c r="N78" s="74">
        <f t="shared" si="97"/>
        <v>30.571455744892724</v>
      </c>
      <c r="O78" s="454"/>
      <c r="P78" s="74">
        <f t="shared" si="98"/>
        <v>23.668122870181104</v>
      </c>
      <c r="Q78" s="74">
        <f t="shared" si="98"/>
        <v>21.232398197669912</v>
      </c>
      <c r="R78" s="74">
        <f t="shared" si="98"/>
        <v>17.106494456765258</v>
      </c>
      <c r="S78" s="74">
        <f t="shared" si="98"/>
        <v>14.711719552146169</v>
      </c>
      <c r="T78" s="74">
        <f t="shared" si="98"/>
        <v>12.677603803009871</v>
      </c>
      <c r="U78" s="74">
        <f t="shared" si="98"/>
        <v>11.369831114451204</v>
      </c>
      <c r="V78" s="74">
        <f t="shared" si="98"/>
        <v>10.402811270966996</v>
      </c>
      <c r="W78"/>
      <c r="X78" s="2">
        <f t="shared" si="99"/>
        <v>-71.898371469010129</v>
      </c>
      <c r="Y78" s="2">
        <f t="shared" si="99"/>
        <v>-71.917977773108731</v>
      </c>
      <c r="Z78" s="2">
        <f t="shared" si="99"/>
        <v>-71.964504396106349</v>
      </c>
      <c r="AA78" s="2">
        <f t="shared" si="99"/>
        <v>-72.08086120236382</v>
      </c>
      <c r="AB78" s="2">
        <f t="shared" si="99"/>
        <v>-72.219514710595647</v>
      </c>
      <c r="AC78" s="2">
        <f t="shared" si="99"/>
        <v>-72.40266058951876</v>
      </c>
      <c r="AD78" s="2">
        <f t="shared" si="99"/>
        <v>-72.547349318776185</v>
      </c>
      <c r="AE78"/>
      <c r="AF78" s="2">
        <f t="shared" si="100"/>
        <v>76.237236533957855</v>
      </c>
      <c r="AG78" s="2">
        <f t="shared" si="100"/>
        <v>76.237236533957855</v>
      </c>
      <c r="AH78" s="2">
        <f t="shared" si="100"/>
        <v>76.237236533957855</v>
      </c>
      <c r="AI78" s="2">
        <f t="shared" si="100"/>
        <v>76.237236533957855</v>
      </c>
      <c r="AJ78" s="2">
        <f t="shared" si="100"/>
        <v>76.237236533957855</v>
      </c>
      <c r="AK78" s="2">
        <f t="shared" si="100"/>
        <v>76.237236533957855</v>
      </c>
      <c r="AL78" s="2">
        <f t="shared" si="100"/>
        <v>76.237236533957855</v>
      </c>
      <c r="AM78"/>
      <c r="AN78" s="24">
        <f t="shared" si="101"/>
        <v>4.3388650649477256</v>
      </c>
      <c r="AO78" s="24">
        <f t="shared" si="102"/>
        <v>4.3192587608491237</v>
      </c>
      <c r="AP78" s="24">
        <f t="shared" si="103"/>
        <v>4.2727321378515057</v>
      </c>
      <c r="AQ78" s="24">
        <f t="shared" si="104"/>
        <v>4.1563753315940346</v>
      </c>
      <c r="AR78" s="24">
        <f t="shared" si="105"/>
        <v>4.0177218233622085</v>
      </c>
      <c r="AS78" s="24">
        <f t="shared" si="106"/>
        <v>3.834575944439095</v>
      </c>
      <c r="AT78" s="24">
        <f t="shared" si="107"/>
        <v>3.6898872151816704</v>
      </c>
      <c r="AU78"/>
      <c r="AV78" s="74">
        <f t="shared" si="108"/>
        <v>22.839460865640305</v>
      </c>
      <c r="AW78" s="74">
        <f t="shared" si="108"/>
        <v>19.69694622573768</v>
      </c>
      <c r="AX78" s="74">
        <f t="shared" si="108"/>
        <v>17.080594527339471</v>
      </c>
      <c r="AY78" s="74">
        <f t="shared" si="108"/>
        <v>16.766389629396446</v>
      </c>
      <c r="AZ78" s="74">
        <f t="shared" si="108"/>
        <v>15.527571989463206</v>
      </c>
      <c r="BA78" s="74">
        <f t="shared" si="108"/>
        <v>12.817065326461268</v>
      </c>
      <c r="BB78" s="74">
        <f t="shared" si="108"/>
        <v>9.6221668130119369</v>
      </c>
      <c r="BC78" s="454"/>
      <c r="BD78" s="74">
        <f t="shared" si="109"/>
        <v>26.120940926117594</v>
      </c>
      <c r="BE78" s="74">
        <f t="shared" si="109"/>
        <v>19.730396902629106</v>
      </c>
      <c r="BF78" s="74">
        <f t="shared" si="109"/>
        <v>14.263330474528161</v>
      </c>
      <c r="BG78" s="74">
        <f t="shared" si="109"/>
        <v>13.164587891246835</v>
      </c>
      <c r="BH78" s="74">
        <f t="shared" si="109"/>
        <v>11.234557716710251</v>
      </c>
      <c r="BI78" s="74">
        <f t="shared" si="109"/>
        <v>7.7585904589945081</v>
      </c>
      <c r="BJ78" s="74">
        <f t="shared" si="109"/>
        <v>4.8017803228784581</v>
      </c>
      <c r="BK78" s="455"/>
      <c r="BL78" s="74">
        <f t="shared" si="110"/>
        <v>14.39417778293055</v>
      </c>
      <c r="BM78" s="74">
        <f t="shared" si="110"/>
        <v>12.00006145420849</v>
      </c>
      <c r="BN78" s="74">
        <f t="shared" si="110"/>
        <v>9.5097627991235179</v>
      </c>
      <c r="BO78" s="74">
        <f t="shared" si="110"/>
        <v>8.5227002800783769</v>
      </c>
      <c r="BP78" s="74">
        <f t="shared" si="110"/>
        <v>7.5570991367954168</v>
      </c>
      <c r="BQ78" s="74">
        <f t="shared" si="110"/>
        <v>6.6463539748021221</v>
      </c>
      <c r="BR78" s="74">
        <f t="shared" si="110"/>
        <v>5.7446973380353326</v>
      </c>
      <c r="BS78" s="454"/>
      <c r="BT78" s="74">
        <f t="shared" si="111"/>
        <v>0</v>
      </c>
      <c r="BU78" s="74">
        <f t="shared" si="111"/>
        <v>0</v>
      </c>
      <c r="BV78" s="74">
        <f t="shared" si="111"/>
        <v>0</v>
      </c>
      <c r="BW78" s="74">
        <f t="shared" si="111"/>
        <v>0</v>
      </c>
      <c r="BX78" s="74">
        <f t="shared" si="111"/>
        <v>0</v>
      </c>
      <c r="BY78" s="74">
        <f t="shared" si="111"/>
        <v>0</v>
      </c>
      <c r="BZ78" s="74">
        <f t="shared" si="111"/>
        <v>0</v>
      </c>
    </row>
    <row r="79" spans="1:78" x14ac:dyDescent="0.2">
      <c r="A79" s="452"/>
      <c r="B79" s="453" t="str">
        <f t="shared" si="93"/>
        <v>e-Methane (DAC) - Americas - Fuel cost - USD/GJ</v>
      </c>
      <c r="C79" s="453" t="str">
        <f t="shared" si="94"/>
        <v>e-Methane (DAC) - Americas</v>
      </c>
      <c r="D79" s="74">
        <f t="shared" si="95"/>
        <v>50</v>
      </c>
      <c r="E79" t="s">
        <v>199</v>
      </c>
      <c r="F79" t="str">
        <f t="shared" si="96"/>
        <v>e-Methane (DAC)</v>
      </c>
      <c r="G79" t="s">
        <v>828</v>
      </c>
      <c r="H79" s="74">
        <f t="shared" si="97"/>
        <v>64.373023112366923</v>
      </c>
      <c r="I79" s="74">
        <f t="shared" si="97"/>
        <v>55.249143263504692</v>
      </c>
      <c r="J79" s="74">
        <f t="shared" si="97"/>
        <v>45.703457653273944</v>
      </c>
      <c r="K79" s="74">
        <f t="shared" si="97"/>
        <v>41.222683850065494</v>
      </c>
      <c r="L79" s="74">
        <f t="shared" si="97"/>
        <v>35.787584028344043</v>
      </c>
      <c r="M79" s="74">
        <f t="shared" si="97"/>
        <v>30.304490907639156</v>
      </c>
      <c r="N79" s="74">
        <f t="shared" si="97"/>
        <v>25.035281152320842</v>
      </c>
      <c r="O79" s="454"/>
      <c r="P79" s="74">
        <f t="shared" si="98"/>
        <v>21.453004700156349</v>
      </c>
      <c r="Q79" s="74">
        <f t="shared" si="98"/>
        <v>19.271901662769473</v>
      </c>
      <c r="R79" s="74">
        <f t="shared" si="98"/>
        <v>15.546948923727872</v>
      </c>
      <c r="S79" s="74">
        <f t="shared" si="98"/>
        <v>13.387214299443812</v>
      </c>
      <c r="T79" s="74">
        <f t="shared" si="98"/>
        <v>11.550793747737456</v>
      </c>
      <c r="U79" s="74">
        <f t="shared" si="98"/>
        <v>10.373240350030571</v>
      </c>
      <c r="V79" s="74">
        <f t="shared" si="98"/>
        <v>9.5038347257415836</v>
      </c>
      <c r="W79"/>
      <c r="X79" s="2">
        <f t="shared" si="99"/>
        <v>-51.979099603897218</v>
      </c>
      <c r="Y79" s="2">
        <f t="shared" si="99"/>
        <v>-51.992799999999995</v>
      </c>
      <c r="Z79" s="2">
        <f t="shared" si="99"/>
        <v>-52.031297247031617</v>
      </c>
      <c r="AA79" s="2">
        <f t="shared" si="99"/>
        <v>-52.133547391447145</v>
      </c>
      <c r="AB79" s="2">
        <f t="shared" si="99"/>
        <v>-52.256340051203011</v>
      </c>
      <c r="AC79" s="2">
        <f t="shared" si="99"/>
        <v>-52.419816641064365</v>
      </c>
      <c r="AD79" s="2">
        <f t="shared" si="99"/>
        <v>-52.548595000000006</v>
      </c>
      <c r="AE79"/>
      <c r="AF79" s="2">
        <f t="shared" si="100"/>
        <v>72.985200000000006</v>
      </c>
      <c r="AG79" s="2">
        <f t="shared" si="100"/>
        <v>72.985200000000006</v>
      </c>
      <c r="AH79" s="2">
        <f t="shared" si="100"/>
        <v>72.985200000000006</v>
      </c>
      <c r="AI79" s="2">
        <f t="shared" si="100"/>
        <v>72.985200000000006</v>
      </c>
      <c r="AJ79" s="2">
        <f t="shared" si="100"/>
        <v>72.985200000000006</v>
      </c>
      <c r="AK79" s="2">
        <f t="shared" si="100"/>
        <v>72.985200000000006</v>
      </c>
      <c r="AL79" s="2">
        <f t="shared" si="100"/>
        <v>72.985200000000006</v>
      </c>
      <c r="AM79"/>
      <c r="AN79" s="24">
        <f t="shared" si="101"/>
        <v>21.006100396102788</v>
      </c>
      <c r="AO79" s="24">
        <f t="shared" si="102"/>
        <v>20.992400000000011</v>
      </c>
      <c r="AP79" s="24">
        <f t="shared" si="103"/>
        <v>20.953902752968389</v>
      </c>
      <c r="AQ79" s="24">
        <f t="shared" si="104"/>
        <v>20.851652608552861</v>
      </c>
      <c r="AR79" s="24">
        <f t="shared" si="105"/>
        <v>20.728859948796995</v>
      </c>
      <c r="AS79" s="24">
        <f t="shared" si="106"/>
        <v>20.565383358935641</v>
      </c>
      <c r="AT79" s="24">
        <f t="shared" si="107"/>
        <v>20.436605</v>
      </c>
      <c r="AU79"/>
      <c r="AV79" s="74">
        <f t="shared" si="108"/>
        <v>15.595386966043161</v>
      </c>
      <c r="AW79" s="74">
        <f t="shared" si="108"/>
        <v>13.389509301538986</v>
      </c>
      <c r="AX79" s="74">
        <f t="shared" si="108"/>
        <v>11.94652881765445</v>
      </c>
      <c r="AY79" s="74">
        <f t="shared" si="108"/>
        <v>12.004830558018892</v>
      </c>
      <c r="AZ79" s="74">
        <f t="shared" si="108"/>
        <v>11.225216153959133</v>
      </c>
      <c r="BA79" s="74">
        <f t="shared" si="108"/>
        <v>9.6447467434717868</v>
      </c>
      <c r="BB79" s="74">
        <f t="shared" si="108"/>
        <v>7.6262097074243202</v>
      </c>
      <c r="BC79" s="454"/>
      <c r="BD79" s="74">
        <f t="shared" si="109"/>
        <v>13.036196390676562</v>
      </c>
      <c r="BE79" s="74">
        <f t="shared" si="109"/>
        <v>10.666947503516155</v>
      </c>
      <c r="BF79" s="74">
        <f t="shared" si="109"/>
        <v>8.6803656201676009</v>
      </c>
      <c r="BG79" s="74">
        <f t="shared" si="109"/>
        <v>7.899958918705245</v>
      </c>
      <c r="BH79" s="74">
        <f t="shared" si="109"/>
        <v>6.3713408250338439</v>
      </c>
      <c r="BI79" s="74">
        <f t="shared" si="109"/>
        <v>4.5728948946292372</v>
      </c>
      <c r="BJ79" s="74">
        <f t="shared" si="109"/>
        <v>2.9618484829045229</v>
      </c>
      <c r="BK79" s="455"/>
      <c r="BL79" s="74">
        <f t="shared" si="110"/>
        <v>14.288435055490853</v>
      </c>
      <c r="BM79" s="74">
        <f t="shared" si="110"/>
        <v>11.920784795680081</v>
      </c>
      <c r="BN79" s="74">
        <f t="shared" si="110"/>
        <v>9.5296142917240196</v>
      </c>
      <c r="BO79" s="74">
        <f t="shared" si="110"/>
        <v>7.9306800738975447</v>
      </c>
      <c r="BP79" s="74">
        <f t="shared" si="110"/>
        <v>6.640233301613609</v>
      </c>
      <c r="BQ79" s="74">
        <f t="shared" si="110"/>
        <v>5.7136089195075588</v>
      </c>
      <c r="BR79" s="74">
        <f t="shared" si="110"/>
        <v>4.9433882362504109</v>
      </c>
      <c r="BS79" s="454"/>
      <c r="BT79" s="74">
        <f t="shared" si="111"/>
        <v>0</v>
      </c>
      <c r="BU79" s="74">
        <f t="shared" si="111"/>
        <v>0</v>
      </c>
      <c r="BV79" s="74">
        <f t="shared" si="111"/>
        <v>0</v>
      </c>
      <c r="BW79" s="74">
        <f t="shared" si="111"/>
        <v>0</v>
      </c>
      <c r="BX79" s="74">
        <f t="shared" si="111"/>
        <v>0</v>
      </c>
      <c r="BY79" s="74">
        <f t="shared" si="111"/>
        <v>0</v>
      </c>
      <c r="BZ79" s="74">
        <f t="shared" si="111"/>
        <v>0</v>
      </c>
    </row>
    <row r="80" spans="1:78" x14ac:dyDescent="0.2">
      <c r="A80" s="452"/>
      <c r="B80" s="453" t="str">
        <f t="shared" si="93"/>
        <v>e-Methane (PS) - Americas - Fuel cost - USD/GJ</v>
      </c>
      <c r="C80" s="453" t="str">
        <f t="shared" si="94"/>
        <v>e-Methane (PS) - Americas</v>
      </c>
      <c r="D80" s="74">
        <f t="shared" si="95"/>
        <v>50</v>
      </c>
      <c r="E80" t="s">
        <v>199</v>
      </c>
      <c r="F80" t="str">
        <f t="shared" si="96"/>
        <v>e-Methane (PS)</v>
      </c>
      <c r="G80" t="s">
        <v>828</v>
      </c>
      <c r="H80" s="74">
        <f t="shared" si="97"/>
        <v>59.775359384326585</v>
      </c>
      <c r="I80" s="74">
        <f t="shared" si="97"/>
        <v>51.407309083954345</v>
      </c>
      <c r="J80" s="74">
        <f t="shared" si="97"/>
        <v>42.576219242573622</v>
      </c>
      <c r="K80" s="74">
        <f t="shared" si="97"/>
        <v>39.029847281517711</v>
      </c>
      <c r="L80" s="74">
        <f t="shared" si="97"/>
        <v>34.235110565323183</v>
      </c>
      <c r="M80" s="74">
        <f t="shared" si="97"/>
        <v>29.065489534488165</v>
      </c>
      <c r="N80" s="74">
        <f t="shared" si="97"/>
        <v>23.959466951061955</v>
      </c>
      <c r="O80" s="454"/>
      <c r="P80" s="74">
        <f t="shared" si="98"/>
        <v>21.453004700156349</v>
      </c>
      <c r="Q80" s="74">
        <f t="shared" si="98"/>
        <v>19.271901662769473</v>
      </c>
      <c r="R80" s="74">
        <f t="shared" si="98"/>
        <v>15.546948923727872</v>
      </c>
      <c r="S80" s="74">
        <f t="shared" si="98"/>
        <v>13.387214299443812</v>
      </c>
      <c r="T80" s="74">
        <f t="shared" si="98"/>
        <v>11.550793747737456</v>
      </c>
      <c r="U80" s="74">
        <f t="shared" si="98"/>
        <v>10.373240350030571</v>
      </c>
      <c r="V80" s="74">
        <f t="shared" si="98"/>
        <v>9.5038347257415836</v>
      </c>
      <c r="W80"/>
      <c r="X80" s="2">
        <f t="shared" si="99"/>
        <v>-51.979099603897218</v>
      </c>
      <c r="Y80" s="2">
        <f t="shared" si="99"/>
        <v>-51.992799999999995</v>
      </c>
      <c r="Z80" s="2">
        <f t="shared" si="99"/>
        <v>-52.031297247031617</v>
      </c>
      <c r="AA80" s="2">
        <f t="shared" si="99"/>
        <v>-52.133547391447145</v>
      </c>
      <c r="AB80" s="2">
        <f t="shared" si="99"/>
        <v>-52.256340051203011</v>
      </c>
      <c r="AC80" s="2">
        <f t="shared" si="99"/>
        <v>-52.419816641064365</v>
      </c>
      <c r="AD80" s="2">
        <f t="shared" si="99"/>
        <v>-52.548595000000006</v>
      </c>
      <c r="AE80"/>
      <c r="AF80" s="2">
        <f t="shared" si="100"/>
        <v>72.985200000000006</v>
      </c>
      <c r="AG80" s="2">
        <f t="shared" si="100"/>
        <v>72.985200000000006</v>
      </c>
      <c r="AH80" s="2">
        <f t="shared" si="100"/>
        <v>72.985200000000006</v>
      </c>
      <c r="AI80" s="2">
        <f t="shared" si="100"/>
        <v>72.985200000000006</v>
      </c>
      <c r="AJ80" s="2">
        <f t="shared" si="100"/>
        <v>72.985200000000006</v>
      </c>
      <c r="AK80" s="2">
        <f t="shared" si="100"/>
        <v>72.985200000000006</v>
      </c>
      <c r="AL80" s="2">
        <f t="shared" si="100"/>
        <v>72.985200000000006</v>
      </c>
      <c r="AM80"/>
      <c r="AN80" s="24">
        <f t="shared" si="101"/>
        <v>21.006100396102788</v>
      </c>
      <c r="AO80" s="24">
        <f t="shared" si="102"/>
        <v>20.992400000000011</v>
      </c>
      <c r="AP80" s="24">
        <f t="shared" si="103"/>
        <v>20.953902752968389</v>
      </c>
      <c r="AQ80" s="24">
        <f t="shared" si="104"/>
        <v>20.851652608552861</v>
      </c>
      <c r="AR80" s="24">
        <f t="shared" si="105"/>
        <v>20.728859948796995</v>
      </c>
      <c r="AS80" s="24">
        <f t="shared" si="106"/>
        <v>20.565383358935641</v>
      </c>
      <c r="AT80" s="24">
        <f t="shared" si="107"/>
        <v>20.436605</v>
      </c>
      <c r="AU80"/>
      <c r="AV80" s="74">
        <f t="shared" si="108"/>
        <v>15.595386966043161</v>
      </c>
      <c r="AW80" s="74">
        <f t="shared" si="108"/>
        <v>13.389509301538986</v>
      </c>
      <c r="AX80" s="74">
        <f t="shared" si="108"/>
        <v>11.94652881765445</v>
      </c>
      <c r="AY80" s="74">
        <f t="shared" si="108"/>
        <v>12.004830558018892</v>
      </c>
      <c r="AZ80" s="74">
        <f t="shared" si="108"/>
        <v>11.225216153959133</v>
      </c>
      <c r="BA80" s="74">
        <f t="shared" si="108"/>
        <v>9.6447467434717868</v>
      </c>
      <c r="BB80" s="74">
        <f t="shared" si="108"/>
        <v>7.6262097074243202</v>
      </c>
      <c r="BC80" s="454"/>
      <c r="BD80" s="74">
        <f t="shared" si="109"/>
        <v>13.036196390676562</v>
      </c>
      <c r="BE80" s="74">
        <f t="shared" si="109"/>
        <v>10.666947503516155</v>
      </c>
      <c r="BF80" s="74">
        <f t="shared" si="109"/>
        <v>8.6803656201676009</v>
      </c>
      <c r="BG80" s="74">
        <f t="shared" si="109"/>
        <v>7.899958918705245</v>
      </c>
      <c r="BH80" s="74">
        <f t="shared" si="109"/>
        <v>6.3713408250338439</v>
      </c>
      <c r="BI80" s="74">
        <f t="shared" si="109"/>
        <v>4.5728948946292372</v>
      </c>
      <c r="BJ80" s="74">
        <f t="shared" si="109"/>
        <v>2.9618484829045229</v>
      </c>
      <c r="BK80" s="455"/>
      <c r="BL80" s="74">
        <f t="shared" si="110"/>
        <v>9.6907713274505092</v>
      </c>
      <c r="BM80" s="74">
        <f t="shared" si="110"/>
        <v>8.0789506161297346</v>
      </c>
      <c r="BN80" s="74">
        <f t="shared" si="110"/>
        <v>6.402375881023695</v>
      </c>
      <c r="BO80" s="74">
        <f t="shared" si="110"/>
        <v>5.7378435053497663</v>
      </c>
      <c r="BP80" s="74">
        <f t="shared" si="110"/>
        <v>5.0877598385927447</v>
      </c>
      <c r="BQ80" s="74">
        <f t="shared" si="110"/>
        <v>4.4746075463565704</v>
      </c>
      <c r="BR80" s="74">
        <f t="shared" si="110"/>
        <v>3.8675740349915246</v>
      </c>
      <c r="BS80" s="454"/>
      <c r="BT80" s="74">
        <f t="shared" si="111"/>
        <v>0</v>
      </c>
      <c r="BU80" s="74">
        <f t="shared" si="111"/>
        <v>0</v>
      </c>
      <c r="BV80" s="74">
        <f t="shared" si="111"/>
        <v>0</v>
      </c>
      <c r="BW80" s="74">
        <f t="shared" si="111"/>
        <v>0</v>
      </c>
      <c r="BX80" s="74">
        <f t="shared" si="111"/>
        <v>0</v>
      </c>
      <c r="BY80" s="74">
        <f t="shared" si="111"/>
        <v>0</v>
      </c>
      <c r="BZ80" s="74">
        <f t="shared" si="111"/>
        <v>0</v>
      </c>
    </row>
    <row r="81" spans="1:78" x14ac:dyDescent="0.2">
      <c r="A81" s="452"/>
      <c r="B81" s="453" t="str">
        <f t="shared" si="93"/>
        <v>Blue ammonia - Americas - Fuel cost - USD/GJ</v>
      </c>
      <c r="C81" s="453" t="str">
        <f t="shared" si="94"/>
        <v>Blue ammonia - Americas</v>
      </c>
      <c r="D81" s="74">
        <f t="shared" si="95"/>
        <v>18.8</v>
      </c>
      <c r="E81" t="s">
        <v>199</v>
      </c>
      <c r="F81" t="str">
        <f t="shared" si="96"/>
        <v>Blue ammonia</v>
      </c>
      <c r="G81" t="s">
        <v>828</v>
      </c>
      <c r="H81" s="74">
        <f t="shared" si="97"/>
        <v>30.697977505191382</v>
      </c>
      <c r="I81" s="74">
        <f t="shared" si="97"/>
        <v>25.098056941427174</v>
      </c>
      <c r="J81" s="74">
        <f t="shared" si="97"/>
        <v>23.219883463707209</v>
      </c>
      <c r="K81" s="74">
        <f t="shared" si="97"/>
        <v>23.812692793406313</v>
      </c>
      <c r="L81" s="74">
        <f t="shared" si="97"/>
        <v>23.389342789204353</v>
      </c>
      <c r="M81" s="74">
        <f t="shared" si="97"/>
        <v>22.979072674337448</v>
      </c>
      <c r="N81" s="74">
        <f t="shared" si="97"/>
        <v>22.570969632256173</v>
      </c>
      <c r="O81" s="454"/>
      <c r="P81" s="74">
        <f t="shared" si="98"/>
        <v>0</v>
      </c>
      <c r="Q81" s="74">
        <f t="shared" si="98"/>
        <v>0</v>
      </c>
      <c r="R81" s="74">
        <f t="shared" si="98"/>
        <v>0</v>
      </c>
      <c r="S81" s="74">
        <f t="shared" si="98"/>
        <v>0</v>
      </c>
      <c r="T81" s="74">
        <f t="shared" si="98"/>
        <v>0</v>
      </c>
      <c r="U81" s="74">
        <f t="shared" si="98"/>
        <v>0</v>
      </c>
      <c r="V81" s="74">
        <f t="shared" si="98"/>
        <v>0</v>
      </c>
      <c r="W81"/>
      <c r="X81" s="2">
        <f t="shared" si="99"/>
        <v>22.083989361702127</v>
      </c>
      <c r="Y81" s="2">
        <f t="shared" si="99"/>
        <v>21.082590425531919</v>
      </c>
      <c r="Z81" s="2">
        <f t="shared" si="99"/>
        <v>20.081191489361693</v>
      </c>
      <c r="AA81" s="2">
        <f t="shared" si="99"/>
        <v>19.079792553191478</v>
      </c>
      <c r="AB81" s="2">
        <f t="shared" si="99"/>
        <v>18.078393617021277</v>
      </c>
      <c r="AC81" s="2">
        <f t="shared" si="99"/>
        <v>17.076994680851062</v>
      </c>
      <c r="AD81" s="2">
        <f t="shared" si="99"/>
        <v>16.075595744680854</v>
      </c>
      <c r="AE81"/>
      <c r="AF81" s="2">
        <f t="shared" si="100"/>
        <v>0</v>
      </c>
      <c r="AG81" s="2">
        <f t="shared" si="100"/>
        <v>0</v>
      </c>
      <c r="AH81" s="2">
        <f t="shared" si="100"/>
        <v>0</v>
      </c>
      <c r="AI81" s="2">
        <f t="shared" si="100"/>
        <v>0</v>
      </c>
      <c r="AJ81" s="2">
        <f t="shared" si="100"/>
        <v>0</v>
      </c>
      <c r="AK81" s="2">
        <f t="shared" si="100"/>
        <v>0</v>
      </c>
      <c r="AL81" s="2">
        <f t="shared" si="100"/>
        <v>0</v>
      </c>
      <c r="AM81"/>
      <c r="AN81" s="24">
        <f t="shared" si="101"/>
        <v>22.083989361702127</v>
      </c>
      <c r="AO81" s="24">
        <f t="shared" si="102"/>
        <v>21.082590425531919</v>
      </c>
      <c r="AP81" s="24">
        <f t="shared" si="103"/>
        <v>20.081191489361693</v>
      </c>
      <c r="AQ81" s="24">
        <f t="shared" si="104"/>
        <v>19.079792553191478</v>
      </c>
      <c r="AR81" s="24">
        <f t="shared" si="105"/>
        <v>18.078393617021277</v>
      </c>
      <c r="AS81" s="24">
        <f t="shared" si="106"/>
        <v>17.076994680851062</v>
      </c>
      <c r="AT81" s="24">
        <f t="shared" si="107"/>
        <v>16.075595744680854</v>
      </c>
      <c r="AU81"/>
      <c r="AV81" s="74">
        <f t="shared" si="108"/>
        <v>5.9202127659574479</v>
      </c>
      <c r="AW81" s="74">
        <f t="shared" si="108"/>
        <v>5.6382978723404271</v>
      </c>
      <c r="AX81" s="74">
        <f t="shared" si="108"/>
        <v>5.3563829787234045</v>
      </c>
      <c r="AY81" s="74">
        <f t="shared" si="108"/>
        <v>5.0744680851063837</v>
      </c>
      <c r="AZ81" s="74">
        <f t="shared" si="108"/>
        <v>4.7925531914893629</v>
      </c>
      <c r="BA81" s="74">
        <f t="shared" si="108"/>
        <v>4.5106382978723421</v>
      </c>
      <c r="BB81" s="74">
        <f t="shared" si="108"/>
        <v>4.2287234042553195</v>
      </c>
      <c r="BC81" s="454"/>
      <c r="BD81" s="74">
        <f t="shared" si="109"/>
        <v>2.6808510638297869</v>
      </c>
      <c r="BE81" s="74">
        <f t="shared" si="109"/>
        <v>2.5531914893617018</v>
      </c>
      <c r="BF81" s="74">
        <f t="shared" si="109"/>
        <v>2.4255319148936172</v>
      </c>
      <c r="BG81" s="74">
        <f t="shared" si="109"/>
        <v>2.2978723404255321</v>
      </c>
      <c r="BH81" s="74">
        <f t="shared" si="109"/>
        <v>2.1702127659574471</v>
      </c>
      <c r="BI81" s="74">
        <f t="shared" si="109"/>
        <v>2.0425531914893615</v>
      </c>
      <c r="BJ81" s="74">
        <f t="shared" si="109"/>
        <v>1.9148936170212765</v>
      </c>
      <c r="BK81" s="455"/>
      <c r="BL81" s="74">
        <f t="shared" si="110"/>
        <v>6.9795744680851062</v>
      </c>
      <c r="BM81" s="74">
        <f t="shared" si="110"/>
        <v>7.029787234042554</v>
      </c>
      <c r="BN81" s="74">
        <f t="shared" si="110"/>
        <v>7.08</v>
      </c>
      <c r="BO81" s="74">
        <f t="shared" si="110"/>
        <v>7.130212765957447</v>
      </c>
      <c r="BP81" s="74">
        <f t="shared" si="110"/>
        <v>7.180425531914894</v>
      </c>
      <c r="BQ81" s="74">
        <f t="shared" si="110"/>
        <v>7.2306382978723409</v>
      </c>
      <c r="BR81" s="74">
        <f t="shared" si="110"/>
        <v>7.280851063829787</v>
      </c>
      <c r="BS81" s="454"/>
      <c r="BT81" s="74">
        <f t="shared" si="111"/>
        <v>15.117339207319043</v>
      </c>
      <c r="BU81" s="74">
        <f t="shared" si="111"/>
        <v>9.8767803456824925</v>
      </c>
      <c r="BV81" s="74">
        <f t="shared" si="111"/>
        <v>8.357968570090188</v>
      </c>
      <c r="BW81" s="74">
        <f t="shared" si="111"/>
        <v>9.3101396019169513</v>
      </c>
      <c r="BX81" s="74">
        <f t="shared" si="111"/>
        <v>9.2461512998426461</v>
      </c>
      <c r="BY81" s="74">
        <f t="shared" si="111"/>
        <v>9.1952428871034044</v>
      </c>
      <c r="BZ81" s="74">
        <f t="shared" si="111"/>
        <v>9.1465015471497875</v>
      </c>
    </row>
    <row r="82" spans="1:78" x14ac:dyDescent="0.2">
      <c r="A82" s="452"/>
      <c r="B82" s="453" t="str">
        <f t="shared" si="93"/>
        <v>LSFO - Americas - Fuel cost - USD/GJ</v>
      </c>
      <c r="C82" s="453" t="str">
        <f t="shared" si="94"/>
        <v>LSFO - Americas</v>
      </c>
      <c r="D82" s="74">
        <f t="shared" si="95"/>
        <v>41.2</v>
      </c>
      <c r="E82" t="s">
        <v>199</v>
      </c>
      <c r="F82" t="str">
        <f t="shared" si="96"/>
        <v>LSFO</v>
      </c>
      <c r="G82" t="s">
        <v>828</v>
      </c>
      <c r="H82" s="74">
        <f t="shared" ref="H82:N92" si="112">INDEX(H$142:H$292,MATCH($E82&amp;$F82,$D$142:$D$292,0))/$D82</f>
        <v>21.473621920116738</v>
      </c>
      <c r="I82" s="74">
        <f t="shared" si="112"/>
        <v>15.404989638344617</v>
      </c>
      <c r="J82" s="74">
        <f t="shared" si="112"/>
        <v>13.444354593464393</v>
      </c>
      <c r="K82" s="74">
        <f t="shared" si="112"/>
        <v>13.444354593464393</v>
      </c>
      <c r="L82" s="74">
        <f t="shared" si="112"/>
        <v>13.444354593464393</v>
      </c>
      <c r="M82" s="74">
        <f t="shared" si="112"/>
        <v>13.444354593464393</v>
      </c>
      <c r="N82" s="74">
        <f t="shared" si="112"/>
        <v>13.444354593464393</v>
      </c>
      <c r="O82" s="454"/>
      <c r="P82" s="74">
        <f t="shared" ref="P82:V92" si="113">IFERROR(INDEX(P$142:P$292,MATCH($E82&amp;$F82,$D$142:$D$292,0))/$D82,"--")</f>
        <v>0</v>
      </c>
      <c r="Q82" s="74">
        <f t="shared" si="113"/>
        <v>0</v>
      </c>
      <c r="R82" s="74">
        <f t="shared" si="113"/>
        <v>0</v>
      </c>
      <c r="S82" s="74">
        <f t="shared" si="113"/>
        <v>0</v>
      </c>
      <c r="T82" s="74">
        <f t="shared" si="113"/>
        <v>0</v>
      </c>
      <c r="U82" s="74">
        <f t="shared" si="113"/>
        <v>0</v>
      </c>
      <c r="V82" s="74">
        <f t="shared" si="113"/>
        <v>0</v>
      </c>
      <c r="W82"/>
      <c r="X82" s="2">
        <f t="shared" ref="X82:AD92" si="114">INDEX(X$142:X$292,MATCH($E82&amp;$F82,$D$142:$D$292,0))/$D82*1000</f>
        <v>15.899999999999997</v>
      </c>
      <c r="Y82" s="2">
        <f t="shared" si="114"/>
        <v>15.899999999999997</v>
      </c>
      <c r="Z82" s="2">
        <f t="shared" si="114"/>
        <v>15.899999999999997</v>
      </c>
      <c r="AA82" s="2">
        <f t="shared" si="114"/>
        <v>15.899999999999997</v>
      </c>
      <c r="AB82" s="2">
        <f t="shared" si="114"/>
        <v>15.899999999999997</v>
      </c>
      <c r="AC82" s="2">
        <f t="shared" si="114"/>
        <v>15.899999999999997</v>
      </c>
      <c r="AD82" s="2">
        <f t="shared" si="114"/>
        <v>15.899999999999997</v>
      </c>
      <c r="AE82"/>
      <c r="AF82" s="2">
        <f t="shared" ref="AF82:AL92" si="115">INDEX(AF$142:AF$292,MATCH($E82&amp;$F82,$D$142:$D$292,0))/$D82*1000</f>
        <v>76.779854368932035</v>
      </c>
      <c r="AG82" s="2">
        <f t="shared" si="115"/>
        <v>76.779854368932035</v>
      </c>
      <c r="AH82" s="2">
        <f t="shared" si="115"/>
        <v>76.779854368932035</v>
      </c>
      <c r="AI82" s="2">
        <f t="shared" si="115"/>
        <v>76.779854368932035</v>
      </c>
      <c r="AJ82" s="2">
        <f t="shared" si="115"/>
        <v>76.779854368932035</v>
      </c>
      <c r="AK82" s="2">
        <f t="shared" si="115"/>
        <v>76.779854368932035</v>
      </c>
      <c r="AL82" s="2">
        <f t="shared" si="115"/>
        <v>76.779854368932035</v>
      </c>
      <c r="AM82"/>
      <c r="AN82" s="24">
        <f t="shared" si="101"/>
        <v>92.679854368932027</v>
      </c>
      <c r="AO82" s="24">
        <f t="shared" si="102"/>
        <v>92.679854368932027</v>
      </c>
      <c r="AP82" s="24">
        <f t="shared" si="103"/>
        <v>92.679854368932027</v>
      </c>
      <c r="AQ82" s="24">
        <f t="shared" si="104"/>
        <v>92.679854368932027</v>
      </c>
      <c r="AR82" s="24">
        <f t="shared" si="105"/>
        <v>92.679854368932027</v>
      </c>
      <c r="AS82" s="24">
        <f t="shared" si="106"/>
        <v>92.679854368932027</v>
      </c>
      <c r="AT82" s="24">
        <f t="shared" si="107"/>
        <v>92.679854368932027</v>
      </c>
      <c r="AU82"/>
      <c r="AV82" s="74">
        <f t="shared" ref="AV82:BB92" si="116">IFERROR(INDEX(AV$142:AV$266,MATCH($E82&amp;$F82,$D$142:$D$266,0))/$D82,"NA")</f>
        <v>0</v>
      </c>
      <c r="AW82" s="74">
        <f t="shared" si="116"/>
        <v>0</v>
      </c>
      <c r="AX82" s="74">
        <f t="shared" si="116"/>
        <v>0</v>
      </c>
      <c r="AY82" s="74">
        <f t="shared" si="116"/>
        <v>0</v>
      </c>
      <c r="AZ82" s="74">
        <f t="shared" si="116"/>
        <v>0</v>
      </c>
      <c r="BA82" s="74">
        <f t="shared" si="116"/>
        <v>0</v>
      </c>
      <c r="BB82" s="74">
        <f t="shared" si="116"/>
        <v>0</v>
      </c>
      <c r="BC82" s="454"/>
      <c r="BD82" s="74">
        <f t="shared" ref="BD82:BJ92" si="117">IFERROR(INDEX(BD$142:BD$266,MATCH($E82&amp;$F82,$D$142:$D$266,0))/$D82,"NA")</f>
        <v>0</v>
      </c>
      <c r="BE82" s="74">
        <f t="shared" si="117"/>
        <v>0</v>
      </c>
      <c r="BF82" s="74">
        <f t="shared" si="117"/>
        <v>0</v>
      </c>
      <c r="BG82" s="74">
        <f t="shared" si="117"/>
        <v>0</v>
      </c>
      <c r="BH82" s="74">
        <f t="shared" si="117"/>
        <v>0</v>
      </c>
      <c r="BI82" s="74">
        <f t="shared" si="117"/>
        <v>0</v>
      </c>
      <c r="BJ82" s="74">
        <f t="shared" si="117"/>
        <v>0</v>
      </c>
      <c r="BK82" s="455"/>
      <c r="BL82" s="74">
        <f t="shared" ref="BL82:BR92" si="118">IFERROR(INDEX(BL$142:BL$266,MATCH($E82&amp;$F82,$D$142:$D$266,0))/$D82,"NA")</f>
        <v>0</v>
      </c>
      <c r="BM82" s="74">
        <f t="shared" si="118"/>
        <v>0</v>
      </c>
      <c r="BN82" s="74">
        <f t="shared" si="118"/>
        <v>0</v>
      </c>
      <c r="BO82" s="74">
        <f t="shared" si="118"/>
        <v>0</v>
      </c>
      <c r="BP82" s="74">
        <f t="shared" si="118"/>
        <v>0</v>
      </c>
      <c r="BQ82" s="74">
        <f t="shared" si="118"/>
        <v>0</v>
      </c>
      <c r="BR82" s="74">
        <f t="shared" si="118"/>
        <v>0</v>
      </c>
      <c r="BS82" s="454"/>
      <c r="BT82" s="74">
        <f t="shared" ref="BT82:BZ92" si="119">IFERROR(INDEX(BT$142:BT$266,MATCH($E82&amp;$F82,$D$142:$D$266,0))/$D82,"NA")</f>
        <v>0</v>
      </c>
      <c r="BU82" s="74">
        <f t="shared" si="119"/>
        <v>0</v>
      </c>
      <c r="BV82" s="74">
        <f t="shared" si="119"/>
        <v>0</v>
      </c>
      <c r="BW82" s="74">
        <f t="shared" si="119"/>
        <v>0</v>
      </c>
      <c r="BX82" s="74">
        <f t="shared" si="119"/>
        <v>0</v>
      </c>
      <c r="BY82" s="74">
        <f t="shared" si="119"/>
        <v>0</v>
      </c>
      <c r="BZ82" s="74">
        <f t="shared" si="119"/>
        <v>0</v>
      </c>
    </row>
    <row r="83" spans="1:78" x14ac:dyDescent="0.2">
      <c r="A83" s="452"/>
      <c r="B83" s="453" t="str">
        <f t="shared" si="93"/>
        <v>LNG - Americas - Fuel cost - USD/GJ</v>
      </c>
      <c r="C83" s="453" t="str">
        <f t="shared" si="94"/>
        <v>LNG - Americas</v>
      </c>
      <c r="D83" s="74">
        <f t="shared" si="95"/>
        <v>48</v>
      </c>
      <c r="E83" t="s">
        <v>199</v>
      </c>
      <c r="F83" t="str">
        <f t="shared" si="96"/>
        <v>LNG</v>
      </c>
      <c r="G83" t="s">
        <v>828</v>
      </c>
      <c r="H83" s="74">
        <f t="shared" si="112"/>
        <v>12.018068733549752</v>
      </c>
      <c r="I83" s="74">
        <f t="shared" si="112"/>
        <v>9.3718879637188905</v>
      </c>
      <c r="J83" s="74">
        <f t="shared" si="112"/>
        <v>8.9868892065134887</v>
      </c>
      <c r="K83" s="74">
        <f t="shared" si="112"/>
        <v>9.4791082729292118</v>
      </c>
      <c r="L83" s="74">
        <f t="shared" si="112"/>
        <v>9.3558342100856251</v>
      </c>
      <c r="M83" s="74">
        <f t="shared" si="112"/>
        <v>9.2533980855153644</v>
      </c>
      <c r="N83" s="74">
        <f t="shared" si="112"/>
        <v>9.1561508328073824</v>
      </c>
      <c r="O83" s="454"/>
      <c r="P83" s="74">
        <f t="shared" si="113"/>
        <v>0</v>
      </c>
      <c r="Q83" s="74">
        <f t="shared" si="113"/>
        <v>0</v>
      </c>
      <c r="R83" s="74">
        <f t="shared" si="113"/>
        <v>0</v>
      </c>
      <c r="S83" s="74">
        <f t="shared" si="113"/>
        <v>0</v>
      </c>
      <c r="T83" s="74">
        <f t="shared" si="113"/>
        <v>0</v>
      </c>
      <c r="U83" s="74">
        <f t="shared" si="113"/>
        <v>0</v>
      </c>
      <c r="V83" s="74">
        <f t="shared" si="113"/>
        <v>0</v>
      </c>
      <c r="W83"/>
      <c r="X83" s="2">
        <f t="shared" si="114"/>
        <v>17.600000000000001</v>
      </c>
      <c r="Y83" s="2">
        <f t="shared" si="114"/>
        <v>17.600000000000001</v>
      </c>
      <c r="Z83" s="2">
        <f t="shared" si="114"/>
        <v>17.600000000000001</v>
      </c>
      <c r="AA83" s="2">
        <f t="shared" si="114"/>
        <v>17.600000000000001</v>
      </c>
      <c r="AB83" s="2">
        <f t="shared" si="114"/>
        <v>17.600000000000001</v>
      </c>
      <c r="AC83" s="2">
        <f t="shared" si="114"/>
        <v>17.600000000000001</v>
      </c>
      <c r="AD83" s="2">
        <f t="shared" si="114"/>
        <v>17.600000000000001</v>
      </c>
      <c r="AE83"/>
      <c r="AF83" s="2">
        <f t="shared" si="115"/>
        <v>76.026250000000005</v>
      </c>
      <c r="AG83" s="2">
        <f t="shared" si="115"/>
        <v>76.026250000000005</v>
      </c>
      <c r="AH83" s="2">
        <f t="shared" si="115"/>
        <v>76.026250000000005</v>
      </c>
      <c r="AI83" s="2">
        <f t="shared" si="115"/>
        <v>76.026250000000005</v>
      </c>
      <c r="AJ83" s="2">
        <f t="shared" si="115"/>
        <v>76.026250000000005</v>
      </c>
      <c r="AK83" s="2">
        <f t="shared" si="115"/>
        <v>76.026250000000005</v>
      </c>
      <c r="AL83" s="2">
        <f t="shared" si="115"/>
        <v>76.026250000000005</v>
      </c>
      <c r="AM83"/>
      <c r="AN83" s="24">
        <f t="shared" si="101"/>
        <v>93.626249999999999</v>
      </c>
      <c r="AO83" s="24">
        <f t="shared" si="102"/>
        <v>93.626249999999999</v>
      </c>
      <c r="AP83" s="24">
        <f t="shared" si="103"/>
        <v>93.626249999999999</v>
      </c>
      <c r="AQ83" s="24">
        <f t="shared" si="104"/>
        <v>93.626249999999999</v>
      </c>
      <c r="AR83" s="24">
        <f t="shared" si="105"/>
        <v>93.626249999999999</v>
      </c>
      <c r="AS83" s="24">
        <f t="shared" si="106"/>
        <v>93.626249999999999</v>
      </c>
      <c r="AT83" s="24">
        <f t="shared" si="107"/>
        <v>93.626249999999999</v>
      </c>
      <c r="AU83"/>
      <c r="AV83" s="74">
        <f t="shared" si="116"/>
        <v>4.2393219955936976</v>
      </c>
      <c r="AW83" s="74">
        <f t="shared" si="116"/>
        <v>4.1406250000000009</v>
      </c>
      <c r="AX83" s="74">
        <f t="shared" si="116"/>
        <v>4.0442258003626739</v>
      </c>
      <c r="AY83" s="74">
        <f t="shared" si="116"/>
        <v>3.9500709009676331</v>
      </c>
      <c r="AZ83" s="74">
        <f t="shared" si="116"/>
        <v>3.8581080515514277</v>
      </c>
      <c r="BA83" s="74">
        <f t="shared" si="116"/>
        <v>3.7682862183055086</v>
      </c>
      <c r="BB83" s="74">
        <f t="shared" si="116"/>
        <v>3.6805555555555567</v>
      </c>
      <c r="BC83" s="454"/>
      <c r="BD83" s="74">
        <f t="shared" si="117"/>
        <v>0.48708007128938674</v>
      </c>
      <c r="BE83" s="74">
        <f t="shared" si="117"/>
        <v>0.43959629705222336</v>
      </c>
      <c r="BF83" s="74">
        <f t="shared" si="117"/>
        <v>0.35933007281748197</v>
      </c>
      <c r="BG83" s="74">
        <f t="shared" si="117"/>
        <v>0.32070403862824598</v>
      </c>
      <c r="BH83" s="74">
        <f t="shared" si="117"/>
        <v>0.28939282520086412</v>
      </c>
      <c r="BI83" s="74">
        <f t="shared" si="117"/>
        <v>0.27677853387652168</v>
      </c>
      <c r="BJ83" s="74">
        <f t="shared" si="117"/>
        <v>0.26726194391849228</v>
      </c>
      <c r="BK83" s="455"/>
      <c r="BL83" s="74">
        <f t="shared" si="118"/>
        <v>0</v>
      </c>
      <c r="BM83" s="74">
        <f t="shared" si="118"/>
        <v>0</v>
      </c>
      <c r="BN83" s="74">
        <f t="shared" si="118"/>
        <v>0</v>
      </c>
      <c r="BO83" s="74">
        <f t="shared" si="118"/>
        <v>0</v>
      </c>
      <c r="BP83" s="74">
        <f t="shared" si="118"/>
        <v>0</v>
      </c>
      <c r="BQ83" s="74">
        <f t="shared" si="118"/>
        <v>0</v>
      </c>
      <c r="BR83" s="74">
        <f t="shared" si="118"/>
        <v>0</v>
      </c>
      <c r="BS83" s="454"/>
      <c r="BT83" s="74">
        <f t="shared" si="119"/>
        <v>7.291666666666667</v>
      </c>
      <c r="BU83" s="74">
        <f t="shared" si="119"/>
        <v>4.791666666666667</v>
      </c>
      <c r="BV83" s="74">
        <f t="shared" si="119"/>
        <v>4.583333333333333</v>
      </c>
      <c r="BW83" s="74">
        <f t="shared" si="119"/>
        <v>5.208333333333333</v>
      </c>
      <c r="BX83" s="74">
        <f t="shared" si="119"/>
        <v>5.208333333333333</v>
      </c>
      <c r="BY83" s="74">
        <f t="shared" si="119"/>
        <v>5.208333333333333</v>
      </c>
      <c r="BZ83" s="74">
        <f t="shared" si="119"/>
        <v>5.208333333333333</v>
      </c>
    </row>
    <row r="84" spans="1:78" x14ac:dyDescent="0.2">
      <c r="A84" s="452"/>
      <c r="B84" s="453" t="str">
        <f t="shared" si="93"/>
        <v>Blue hydrogen (compressed) - Americas - Fuel cost - USD/GJ</v>
      </c>
      <c r="C84" s="453" t="str">
        <f t="shared" si="94"/>
        <v>Blue hydrogen (compressed) - Americas</v>
      </c>
      <c r="D84" s="74">
        <f t="shared" si="95"/>
        <v>120</v>
      </c>
      <c r="E84" t="s">
        <v>199</v>
      </c>
      <c r="F84" t="str">
        <f t="shared" si="96"/>
        <v>Blue hydrogen (compressed)</v>
      </c>
      <c r="G84" t="s">
        <v>828</v>
      </c>
      <c r="H84" s="74">
        <f t="shared" si="112"/>
        <v>21.844607765522067</v>
      </c>
      <c r="I84" s="74">
        <f t="shared" si="112"/>
        <v>17.461884074603223</v>
      </c>
      <c r="J84" s="74">
        <f t="shared" si="112"/>
        <v>16.441520261816507</v>
      </c>
      <c r="K84" s="74">
        <f t="shared" si="112"/>
        <v>16.646785920256331</v>
      </c>
      <c r="L84" s="74">
        <f t="shared" si="112"/>
        <v>16.064370549903785</v>
      </c>
      <c r="M84" s="74">
        <f t="shared" si="112"/>
        <v>15.547365717875202</v>
      </c>
      <c r="N84" s="74">
        <f t="shared" si="112"/>
        <v>15.077361138520724</v>
      </c>
      <c r="O84" s="454"/>
      <c r="P84" s="74">
        <f t="shared" si="113"/>
        <v>0</v>
      </c>
      <c r="Q84" s="74">
        <f t="shared" si="113"/>
        <v>0</v>
      </c>
      <c r="R84" s="74">
        <f t="shared" si="113"/>
        <v>0</v>
      </c>
      <c r="S84" s="74">
        <f t="shared" si="113"/>
        <v>0</v>
      </c>
      <c r="T84" s="74">
        <f t="shared" si="113"/>
        <v>0</v>
      </c>
      <c r="U84" s="74">
        <f t="shared" si="113"/>
        <v>0</v>
      </c>
      <c r="V84" s="74">
        <f t="shared" si="113"/>
        <v>0</v>
      </c>
      <c r="W84"/>
      <c r="X84" s="2">
        <f t="shared" si="114"/>
        <v>16.554438014523402</v>
      </c>
      <c r="Y84" s="2">
        <f t="shared" si="114"/>
        <v>15.574124293785308</v>
      </c>
      <c r="Z84" s="2">
        <f t="shared" si="114"/>
        <v>14.600917572643572</v>
      </c>
      <c r="AA84" s="2">
        <f t="shared" si="114"/>
        <v>13.634676043469213</v>
      </c>
      <c r="AB84" s="2">
        <f t="shared" si="114"/>
        <v>12.675260769600246</v>
      </c>
      <c r="AC84" s="2">
        <f t="shared" si="114"/>
        <v>11.722535627054755</v>
      </c>
      <c r="AD84" s="2">
        <f t="shared" si="114"/>
        <v>10.776367231638421</v>
      </c>
      <c r="AE84"/>
      <c r="AF84" s="2">
        <f t="shared" si="115"/>
        <v>0</v>
      </c>
      <c r="AG84" s="2">
        <f t="shared" si="115"/>
        <v>0</v>
      </c>
      <c r="AH84" s="2">
        <f t="shared" si="115"/>
        <v>0</v>
      </c>
      <c r="AI84" s="2">
        <f t="shared" si="115"/>
        <v>0</v>
      </c>
      <c r="AJ84" s="2">
        <f t="shared" si="115"/>
        <v>0</v>
      </c>
      <c r="AK84" s="2">
        <f t="shared" si="115"/>
        <v>0</v>
      </c>
      <c r="AL84" s="2">
        <f t="shared" si="115"/>
        <v>0</v>
      </c>
      <c r="AM84"/>
      <c r="AN84" s="24">
        <f t="shared" si="101"/>
        <v>16.554438014523402</v>
      </c>
      <c r="AO84" s="24">
        <f t="shared" si="102"/>
        <v>15.574124293785308</v>
      </c>
      <c r="AP84" s="24">
        <f t="shared" si="103"/>
        <v>14.600917572643572</v>
      </c>
      <c r="AQ84" s="24">
        <f t="shared" si="104"/>
        <v>13.634676043469213</v>
      </c>
      <c r="AR84" s="24">
        <f t="shared" si="105"/>
        <v>12.675260769600246</v>
      </c>
      <c r="AS84" s="24">
        <f t="shared" si="106"/>
        <v>11.722535627054755</v>
      </c>
      <c r="AT84" s="24">
        <f t="shared" si="107"/>
        <v>10.776367231638421</v>
      </c>
      <c r="AU84"/>
      <c r="AV84" s="74">
        <f t="shared" si="116"/>
        <v>2.2903448472850982</v>
      </c>
      <c r="AW84" s="74">
        <f t="shared" si="116"/>
        <v>2.2083333333333339</v>
      </c>
      <c r="AX84" s="74">
        <f t="shared" si="116"/>
        <v>2.1292584463391355</v>
      </c>
      <c r="AY84" s="74">
        <f t="shared" si="116"/>
        <v>2.053015033044475</v>
      </c>
      <c r="AZ84" s="74">
        <f t="shared" si="116"/>
        <v>1.9795017054661888</v>
      </c>
      <c r="BA84" s="74">
        <f t="shared" si="116"/>
        <v>1.9086207060709157</v>
      </c>
      <c r="BB84" s="74">
        <f t="shared" si="116"/>
        <v>1.8402777777777781</v>
      </c>
      <c r="BC84" s="454"/>
      <c r="BD84" s="74">
        <f t="shared" si="117"/>
        <v>3.3193507953202994</v>
      </c>
      <c r="BE84" s="74">
        <f t="shared" si="117"/>
        <v>2.8077174079365563</v>
      </c>
      <c r="BF84" s="74">
        <f t="shared" si="117"/>
        <v>2.349976869685706</v>
      </c>
      <c r="BG84" s="74">
        <f t="shared" si="117"/>
        <v>1.9858827686701883</v>
      </c>
      <c r="BH84" s="74">
        <f t="shared" si="117"/>
        <v>1.6810475208959281</v>
      </c>
      <c r="BI84" s="74">
        <f t="shared" si="117"/>
        <v>1.4347427843042857</v>
      </c>
      <c r="BJ84" s="74">
        <f t="shared" si="117"/>
        <v>1.2287500274096113</v>
      </c>
      <c r="BK84" s="455"/>
      <c r="BL84" s="74">
        <f t="shared" si="118"/>
        <v>5.6632688362500003</v>
      </c>
      <c r="BM84" s="74">
        <f t="shared" si="118"/>
        <v>5.625</v>
      </c>
      <c r="BN84" s="74">
        <f t="shared" si="118"/>
        <v>5.5869897606249994</v>
      </c>
      <c r="BO84" s="74">
        <f t="shared" si="118"/>
        <v>5.5492363706249996</v>
      </c>
      <c r="BP84" s="74">
        <f t="shared" si="118"/>
        <v>5.5117380943750005</v>
      </c>
      <c r="BQ84" s="74">
        <f t="shared" si="118"/>
        <v>5.4744932087500002</v>
      </c>
      <c r="BR84" s="74">
        <f t="shared" si="118"/>
        <v>5.4375</v>
      </c>
      <c r="BS84" s="454"/>
      <c r="BT84" s="74">
        <f t="shared" si="119"/>
        <v>10.571643286666667</v>
      </c>
      <c r="BU84" s="74">
        <f t="shared" si="119"/>
        <v>6.8208333333333337</v>
      </c>
      <c r="BV84" s="74">
        <f t="shared" si="119"/>
        <v>6.3752951851666664</v>
      </c>
      <c r="BW84" s="74">
        <f t="shared" si="119"/>
        <v>7.0586517479166675</v>
      </c>
      <c r="BX84" s="74">
        <f t="shared" si="119"/>
        <v>6.8920832291666665</v>
      </c>
      <c r="BY84" s="74">
        <f t="shared" si="119"/>
        <v>6.72950901875</v>
      </c>
      <c r="BZ84" s="74">
        <f t="shared" si="119"/>
        <v>6.5708333333333337</v>
      </c>
    </row>
    <row r="85" spans="1:78" x14ac:dyDescent="0.2">
      <c r="A85" s="452"/>
      <c r="B85" s="453" t="str">
        <f t="shared" si="93"/>
        <v>Blue hydrogen (liquid) - Americas - Fuel cost - USD/GJ</v>
      </c>
      <c r="C85" s="453" t="str">
        <f t="shared" si="94"/>
        <v>Blue hydrogen (liquid) - Americas</v>
      </c>
      <c r="D85" s="74">
        <f t="shared" si="95"/>
        <v>120</v>
      </c>
      <c r="E85" t="s">
        <v>199</v>
      </c>
      <c r="F85" t="str">
        <f t="shared" si="96"/>
        <v>Blue hydrogen (liquid)</v>
      </c>
      <c r="G85" t="s">
        <v>828</v>
      </c>
      <c r="H85" s="74">
        <f t="shared" si="112"/>
        <v>33.917518857548743</v>
      </c>
      <c r="I85" s="74">
        <f t="shared" si="112"/>
        <v>29.251475313681492</v>
      </c>
      <c r="J85" s="74">
        <f t="shared" si="112"/>
        <v>27.752189696294149</v>
      </c>
      <c r="K85" s="74">
        <f t="shared" si="112"/>
        <v>27.72698668407153</v>
      </c>
      <c r="L85" s="74">
        <f t="shared" si="112"/>
        <v>26.957747740268939</v>
      </c>
      <c r="M85" s="74">
        <f t="shared" si="112"/>
        <v>26.36547763667178</v>
      </c>
      <c r="N85" s="74">
        <f t="shared" si="112"/>
        <v>25.838690737234394</v>
      </c>
      <c r="O85" s="454"/>
      <c r="P85" s="74">
        <f t="shared" si="113"/>
        <v>0</v>
      </c>
      <c r="Q85" s="74">
        <f t="shared" si="113"/>
        <v>0</v>
      </c>
      <c r="R85" s="74">
        <f t="shared" si="113"/>
        <v>0</v>
      </c>
      <c r="S85" s="74">
        <f t="shared" si="113"/>
        <v>0</v>
      </c>
      <c r="T85" s="74">
        <f t="shared" si="113"/>
        <v>0</v>
      </c>
      <c r="U85" s="74">
        <f t="shared" si="113"/>
        <v>0</v>
      </c>
      <c r="V85" s="74">
        <f t="shared" si="113"/>
        <v>0</v>
      </c>
      <c r="W85"/>
      <c r="X85" s="2">
        <f t="shared" si="114"/>
        <v>16.554438014523402</v>
      </c>
      <c r="Y85" s="2">
        <f t="shared" si="114"/>
        <v>15.574124293785308</v>
      </c>
      <c r="Z85" s="2">
        <f t="shared" si="114"/>
        <v>14.600917572643572</v>
      </c>
      <c r="AA85" s="2">
        <f t="shared" si="114"/>
        <v>13.634676043469213</v>
      </c>
      <c r="AB85" s="2">
        <f t="shared" si="114"/>
        <v>12.675260769600246</v>
      </c>
      <c r="AC85" s="2">
        <f t="shared" si="114"/>
        <v>11.722535627054755</v>
      </c>
      <c r="AD85" s="2">
        <f t="shared" si="114"/>
        <v>10.776367231638421</v>
      </c>
      <c r="AE85"/>
      <c r="AF85" s="2">
        <f t="shared" si="115"/>
        <v>0</v>
      </c>
      <c r="AG85" s="2">
        <f t="shared" si="115"/>
        <v>0</v>
      </c>
      <c r="AH85" s="2">
        <f t="shared" si="115"/>
        <v>0</v>
      </c>
      <c r="AI85" s="2">
        <f t="shared" si="115"/>
        <v>0</v>
      </c>
      <c r="AJ85" s="2">
        <f t="shared" si="115"/>
        <v>0</v>
      </c>
      <c r="AK85" s="2">
        <f t="shared" si="115"/>
        <v>0</v>
      </c>
      <c r="AL85" s="2">
        <f t="shared" si="115"/>
        <v>0</v>
      </c>
      <c r="AM85"/>
      <c r="AN85" s="24">
        <f t="shared" si="101"/>
        <v>16.554438014523402</v>
      </c>
      <c r="AO85" s="24">
        <f t="shared" si="102"/>
        <v>15.574124293785308</v>
      </c>
      <c r="AP85" s="24">
        <f t="shared" si="103"/>
        <v>14.600917572643572</v>
      </c>
      <c r="AQ85" s="24">
        <f t="shared" si="104"/>
        <v>13.634676043469213</v>
      </c>
      <c r="AR85" s="24">
        <f t="shared" si="105"/>
        <v>12.675260769600246</v>
      </c>
      <c r="AS85" s="24">
        <f t="shared" si="106"/>
        <v>11.722535627054755</v>
      </c>
      <c r="AT85" s="24">
        <f t="shared" si="107"/>
        <v>10.776367231638421</v>
      </c>
      <c r="AU85"/>
      <c r="AV85" s="74">
        <f t="shared" si="116"/>
        <v>10.623678180618432</v>
      </c>
      <c r="AW85" s="74">
        <f t="shared" si="116"/>
        <v>10.541666666666666</v>
      </c>
      <c r="AX85" s="74">
        <f t="shared" si="116"/>
        <v>10.462591779672469</v>
      </c>
      <c r="AY85" s="74">
        <f t="shared" si="116"/>
        <v>10.386348366377806</v>
      </c>
      <c r="AZ85" s="74">
        <f t="shared" si="116"/>
        <v>10.312835038799523</v>
      </c>
      <c r="BA85" s="74">
        <f t="shared" si="116"/>
        <v>10.241954039404249</v>
      </c>
      <c r="BB85" s="74">
        <f t="shared" si="116"/>
        <v>10.173611111111112</v>
      </c>
      <c r="BC85" s="454"/>
      <c r="BD85" s="74">
        <f t="shared" si="117"/>
        <v>7.0589285540136411</v>
      </c>
      <c r="BE85" s="74">
        <f t="shared" si="117"/>
        <v>6.2639753136814891</v>
      </c>
      <c r="BF85" s="74">
        <f t="shared" si="117"/>
        <v>5.3273129708300155</v>
      </c>
      <c r="BG85" s="74">
        <f t="shared" si="117"/>
        <v>4.732750199152056</v>
      </c>
      <c r="BH85" s="74">
        <f t="shared" si="117"/>
        <v>4.2410913779277504</v>
      </c>
      <c r="BI85" s="74">
        <f t="shared" si="117"/>
        <v>3.9195213697675317</v>
      </c>
      <c r="BJ85" s="74">
        <f t="shared" si="117"/>
        <v>3.6567462927899483</v>
      </c>
      <c r="BK85" s="455"/>
      <c r="BL85" s="74">
        <f t="shared" si="118"/>
        <v>5.6632688362500003</v>
      </c>
      <c r="BM85" s="74">
        <f t="shared" si="118"/>
        <v>5.625</v>
      </c>
      <c r="BN85" s="74">
        <f t="shared" si="118"/>
        <v>5.5869897606249994</v>
      </c>
      <c r="BO85" s="74">
        <f t="shared" si="118"/>
        <v>5.5492363706249996</v>
      </c>
      <c r="BP85" s="74">
        <f t="shared" si="118"/>
        <v>5.5117380943750005</v>
      </c>
      <c r="BQ85" s="74">
        <f t="shared" si="118"/>
        <v>5.4744932087500002</v>
      </c>
      <c r="BR85" s="74">
        <f t="shared" si="118"/>
        <v>5.4375</v>
      </c>
      <c r="BS85" s="454"/>
      <c r="BT85" s="74">
        <f t="shared" si="119"/>
        <v>10.571643286666667</v>
      </c>
      <c r="BU85" s="74">
        <f t="shared" si="119"/>
        <v>6.8208333333333337</v>
      </c>
      <c r="BV85" s="74">
        <f t="shared" si="119"/>
        <v>6.3752951851666664</v>
      </c>
      <c r="BW85" s="74">
        <f t="shared" si="119"/>
        <v>7.0586517479166675</v>
      </c>
      <c r="BX85" s="74">
        <f t="shared" si="119"/>
        <v>6.8920832291666665</v>
      </c>
      <c r="BY85" s="74">
        <f t="shared" si="119"/>
        <v>6.72950901875</v>
      </c>
      <c r="BZ85" s="74">
        <f t="shared" si="119"/>
        <v>6.5708333333333337</v>
      </c>
    </row>
    <row r="86" spans="1:78" x14ac:dyDescent="0.2">
      <c r="A86" s="452"/>
      <c r="B86" s="453" t="str">
        <f t="shared" si="93"/>
        <v>LPG - Americas - Fuel cost - USD/GJ</v>
      </c>
      <c r="C86" s="453" t="str">
        <f t="shared" si="94"/>
        <v>LPG - Americas</v>
      </c>
      <c r="D86" s="74">
        <f t="shared" si="95"/>
        <v>46</v>
      </c>
      <c r="E86" t="s">
        <v>199</v>
      </c>
      <c r="F86" t="str">
        <f t="shared" si="96"/>
        <v>LPG</v>
      </c>
      <c r="G86" t="s">
        <v>828</v>
      </c>
      <c r="H86" s="74">
        <f t="shared" si="112"/>
        <v>16.5250690734395</v>
      </c>
      <c r="I86" s="74">
        <f t="shared" si="112"/>
        <v>11.854940857032684</v>
      </c>
      <c r="J86" s="74">
        <f t="shared" si="112"/>
        <v>10.346130202501252</v>
      </c>
      <c r="K86" s="74">
        <f t="shared" si="112"/>
        <v>10.346130202501252</v>
      </c>
      <c r="L86" s="74">
        <f t="shared" si="112"/>
        <v>10.346130202501252</v>
      </c>
      <c r="M86" s="74">
        <f t="shared" si="112"/>
        <v>10.346130202501252</v>
      </c>
      <c r="N86" s="74">
        <f t="shared" si="112"/>
        <v>10.346130202501252</v>
      </c>
      <c r="O86" s="454"/>
      <c r="P86" s="74">
        <f t="shared" si="113"/>
        <v>0</v>
      </c>
      <c r="Q86" s="74">
        <f t="shared" si="113"/>
        <v>0</v>
      </c>
      <c r="R86" s="74">
        <f t="shared" si="113"/>
        <v>0</v>
      </c>
      <c r="S86" s="74">
        <f t="shared" si="113"/>
        <v>0</v>
      </c>
      <c r="T86" s="74">
        <f t="shared" si="113"/>
        <v>0</v>
      </c>
      <c r="U86" s="74">
        <f t="shared" si="113"/>
        <v>0</v>
      </c>
      <c r="V86" s="74">
        <f t="shared" si="113"/>
        <v>0</v>
      </c>
      <c r="W86"/>
      <c r="X86" s="2">
        <f t="shared" si="114"/>
        <v>17.7</v>
      </c>
      <c r="Y86" s="2">
        <f t="shared" si="114"/>
        <v>17.7</v>
      </c>
      <c r="Z86" s="2">
        <f t="shared" si="114"/>
        <v>17.7</v>
      </c>
      <c r="AA86" s="2">
        <f t="shared" si="114"/>
        <v>17.7</v>
      </c>
      <c r="AB86" s="2">
        <f t="shared" si="114"/>
        <v>17.7</v>
      </c>
      <c r="AC86" s="2">
        <f t="shared" si="114"/>
        <v>17.7</v>
      </c>
      <c r="AD86" s="2">
        <f t="shared" si="114"/>
        <v>17.7</v>
      </c>
      <c r="AE86"/>
      <c r="AF86" s="2">
        <f t="shared" si="115"/>
        <v>66</v>
      </c>
      <c r="AG86" s="2">
        <f t="shared" si="115"/>
        <v>66</v>
      </c>
      <c r="AH86" s="2">
        <f t="shared" si="115"/>
        <v>66</v>
      </c>
      <c r="AI86" s="2">
        <f t="shared" si="115"/>
        <v>66</v>
      </c>
      <c r="AJ86" s="2">
        <f t="shared" si="115"/>
        <v>66</v>
      </c>
      <c r="AK86" s="2">
        <f t="shared" si="115"/>
        <v>66</v>
      </c>
      <c r="AL86" s="2">
        <f t="shared" si="115"/>
        <v>66</v>
      </c>
      <c r="AM86"/>
      <c r="AN86" s="24">
        <f t="shared" si="101"/>
        <v>83.7</v>
      </c>
      <c r="AO86" s="24">
        <f t="shared" si="102"/>
        <v>83.7</v>
      </c>
      <c r="AP86" s="24">
        <f t="shared" si="103"/>
        <v>83.7</v>
      </c>
      <c r="AQ86" s="24">
        <f t="shared" si="104"/>
        <v>83.7</v>
      </c>
      <c r="AR86" s="24">
        <f t="shared" si="105"/>
        <v>83.7</v>
      </c>
      <c r="AS86" s="24">
        <f t="shared" si="106"/>
        <v>83.7</v>
      </c>
      <c r="AT86" s="24">
        <f t="shared" si="107"/>
        <v>83.7</v>
      </c>
      <c r="AU86"/>
      <c r="AV86" s="74">
        <f t="shared" si="116"/>
        <v>0</v>
      </c>
      <c r="AW86" s="74">
        <f t="shared" si="116"/>
        <v>0</v>
      </c>
      <c r="AX86" s="74">
        <f t="shared" si="116"/>
        <v>0</v>
      </c>
      <c r="AY86" s="74">
        <f t="shared" si="116"/>
        <v>0</v>
      </c>
      <c r="AZ86" s="74">
        <f t="shared" si="116"/>
        <v>0</v>
      </c>
      <c r="BA86" s="74">
        <f t="shared" si="116"/>
        <v>0</v>
      </c>
      <c r="BB86" s="74">
        <f t="shared" si="116"/>
        <v>0</v>
      </c>
      <c r="BC86" s="454"/>
      <c r="BD86" s="74">
        <f t="shared" si="117"/>
        <v>0</v>
      </c>
      <c r="BE86" s="74">
        <f t="shared" si="117"/>
        <v>0</v>
      </c>
      <c r="BF86" s="74">
        <f t="shared" si="117"/>
        <v>0</v>
      </c>
      <c r="BG86" s="74">
        <f t="shared" si="117"/>
        <v>0</v>
      </c>
      <c r="BH86" s="74">
        <f t="shared" si="117"/>
        <v>0</v>
      </c>
      <c r="BI86" s="74">
        <f t="shared" si="117"/>
        <v>0</v>
      </c>
      <c r="BJ86" s="74">
        <f t="shared" si="117"/>
        <v>0</v>
      </c>
      <c r="BK86" s="455"/>
      <c r="BL86" s="74">
        <f t="shared" si="118"/>
        <v>0</v>
      </c>
      <c r="BM86" s="74">
        <f t="shared" si="118"/>
        <v>0</v>
      </c>
      <c r="BN86" s="74">
        <f t="shared" si="118"/>
        <v>0</v>
      </c>
      <c r="BO86" s="74">
        <f t="shared" si="118"/>
        <v>0</v>
      </c>
      <c r="BP86" s="74">
        <f t="shared" si="118"/>
        <v>0</v>
      </c>
      <c r="BQ86" s="74">
        <f t="shared" si="118"/>
        <v>0</v>
      </c>
      <c r="BR86" s="74">
        <f t="shared" si="118"/>
        <v>0</v>
      </c>
      <c r="BS86" s="454"/>
      <c r="BT86" s="74">
        <f t="shared" si="119"/>
        <v>0</v>
      </c>
      <c r="BU86" s="74">
        <f t="shared" si="119"/>
        <v>0</v>
      </c>
      <c r="BV86" s="74">
        <f t="shared" si="119"/>
        <v>0</v>
      </c>
      <c r="BW86" s="74">
        <f t="shared" si="119"/>
        <v>0</v>
      </c>
      <c r="BX86" s="74">
        <f t="shared" si="119"/>
        <v>0</v>
      </c>
      <c r="BY86" s="74">
        <f t="shared" si="119"/>
        <v>0</v>
      </c>
      <c r="BZ86" s="74">
        <f t="shared" si="119"/>
        <v>0</v>
      </c>
    </row>
    <row r="87" spans="1:78" x14ac:dyDescent="0.2">
      <c r="A87" s="452"/>
      <c r="B87" s="453" t="str">
        <f t="shared" si="93"/>
        <v>Biomethane - Americas - Fuel cost - USD/GJ</v>
      </c>
      <c r="C87" s="453" t="str">
        <f t="shared" si="94"/>
        <v>Biomethane - Americas</v>
      </c>
      <c r="D87" s="74">
        <f t="shared" si="95"/>
        <v>50</v>
      </c>
      <c r="E87" t="s">
        <v>199</v>
      </c>
      <c r="F87" t="str">
        <f t="shared" si="96"/>
        <v>Biomethane</v>
      </c>
      <c r="G87" t="s">
        <v>828</v>
      </c>
      <c r="H87" s="74">
        <f t="shared" si="112"/>
        <v>23.877638384902067</v>
      </c>
      <c r="I87" s="74">
        <f t="shared" si="112"/>
        <v>22.468616833865834</v>
      </c>
      <c r="J87" s="74">
        <f t="shared" si="112"/>
        <v>21.062421732446541</v>
      </c>
      <c r="K87" s="74">
        <f t="shared" si="112"/>
        <v>19.749084339549583</v>
      </c>
      <c r="L87" s="74">
        <f t="shared" si="112"/>
        <v>18.436915626869883</v>
      </c>
      <c r="M87" s="74">
        <f t="shared" si="112"/>
        <v>17.160922808581052</v>
      </c>
      <c r="N87" s="74">
        <f t="shared" si="112"/>
        <v>15.890730936240672</v>
      </c>
      <c r="O87" s="454"/>
      <c r="P87" s="74">
        <f t="shared" si="113"/>
        <v>0</v>
      </c>
      <c r="Q87" s="74">
        <f t="shared" si="113"/>
        <v>0</v>
      </c>
      <c r="R87" s="74">
        <f t="shared" si="113"/>
        <v>0</v>
      </c>
      <c r="S87" s="74">
        <f t="shared" si="113"/>
        <v>0</v>
      </c>
      <c r="T87" s="74">
        <f t="shared" si="113"/>
        <v>0</v>
      </c>
      <c r="U87" s="74">
        <f t="shared" si="113"/>
        <v>0</v>
      </c>
      <c r="V87" s="74">
        <f t="shared" si="113"/>
        <v>0</v>
      </c>
      <c r="W87"/>
      <c r="X87" s="2">
        <f t="shared" si="114"/>
        <v>-37.778102817936237</v>
      </c>
      <c r="Y87" s="2">
        <f t="shared" si="114"/>
        <v>-40.704565067103559</v>
      </c>
      <c r="Z87" s="2">
        <f t="shared" si="114"/>
        <v>-43.561961308916878</v>
      </c>
      <c r="AA87" s="2">
        <f t="shared" si="114"/>
        <v>-46.35029154337623</v>
      </c>
      <c r="AB87" s="2">
        <f t="shared" si="114"/>
        <v>-49.069555770481585</v>
      </c>
      <c r="AC87" s="2">
        <f t="shared" si="114"/>
        <v>-51.719753990232967</v>
      </c>
      <c r="AD87" s="2">
        <f t="shared" si="114"/>
        <v>-54.300886202630352</v>
      </c>
      <c r="AE87"/>
      <c r="AF87" s="2">
        <f t="shared" si="115"/>
        <v>72.985200000000006</v>
      </c>
      <c r="AG87" s="2">
        <f t="shared" si="115"/>
        <v>72.985200000000006</v>
      </c>
      <c r="AH87" s="2">
        <f t="shared" si="115"/>
        <v>72.985200000000006</v>
      </c>
      <c r="AI87" s="2">
        <f t="shared" si="115"/>
        <v>72.985200000000006</v>
      </c>
      <c r="AJ87" s="2">
        <f t="shared" si="115"/>
        <v>72.985200000000006</v>
      </c>
      <c r="AK87" s="2">
        <f t="shared" si="115"/>
        <v>72.985200000000006</v>
      </c>
      <c r="AL87" s="2">
        <f t="shared" si="115"/>
        <v>72.985200000000006</v>
      </c>
      <c r="AM87"/>
      <c r="AN87" s="24">
        <f t="shared" si="101"/>
        <v>35.207097182063769</v>
      </c>
      <c r="AO87" s="24">
        <f t="shared" si="102"/>
        <v>32.280634932896447</v>
      </c>
      <c r="AP87" s="24">
        <f t="shared" si="103"/>
        <v>29.423238691083128</v>
      </c>
      <c r="AQ87" s="24">
        <f t="shared" si="104"/>
        <v>26.634908456623776</v>
      </c>
      <c r="AR87" s="24">
        <f t="shared" si="105"/>
        <v>23.915644229518421</v>
      </c>
      <c r="AS87" s="24">
        <f t="shared" si="106"/>
        <v>21.265446009767039</v>
      </c>
      <c r="AT87" s="24">
        <f t="shared" si="107"/>
        <v>18.684313797369654</v>
      </c>
      <c r="AU87"/>
      <c r="AV87" s="74">
        <f t="shared" si="116"/>
        <v>11.458427846991444</v>
      </c>
      <c r="AW87" s="74">
        <f t="shared" si="116"/>
        <v>10.704163958300748</v>
      </c>
      <c r="AX87" s="74">
        <f t="shared" si="116"/>
        <v>9.9499000696100506</v>
      </c>
      <c r="AY87" s="74">
        <f t="shared" si="116"/>
        <v>9.1956361809193545</v>
      </c>
      <c r="AZ87" s="74">
        <f t="shared" si="116"/>
        <v>8.4413722922286567</v>
      </c>
      <c r="BA87" s="74">
        <f t="shared" si="116"/>
        <v>7.6871084035379598</v>
      </c>
      <c r="BB87" s="74">
        <f t="shared" si="116"/>
        <v>6.9328445148472637</v>
      </c>
      <c r="BC87" s="454"/>
      <c r="BD87" s="74">
        <f t="shared" si="117"/>
        <v>7.7504128890900521</v>
      </c>
      <c r="BE87" s="74">
        <f t="shared" si="117"/>
        <v>7.318555240363013</v>
      </c>
      <c r="BF87" s="74">
        <f t="shared" si="117"/>
        <v>6.8215240412529123</v>
      </c>
      <c r="BG87" s="74">
        <f t="shared" si="117"/>
        <v>6.4033505506651434</v>
      </c>
      <c r="BH87" s="74">
        <f t="shared" si="117"/>
        <v>5.9983457402946314</v>
      </c>
      <c r="BI87" s="74">
        <f t="shared" si="117"/>
        <v>5.6295168243149893</v>
      </c>
      <c r="BJ87" s="74">
        <f t="shared" si="117"/>
        <v>5.2664888542838026</v>
      </c>
      <c r="BK87" s="455"/>
      <c r="BL87" s="74">
        <f t="shared" si="118"/>
        <v>0</v>
      </c>
      <c r="BM87" s="74">
        <f t="shared" si="118"/>
        <v>0</v>
      </c>
      <c r="BN87" s="74">
        <f t="shared" si="118"/>
        <v>0</v>
      </c>
      <c r="BO87" s="74">
        <f t="shared" si="118"/>
        <v>0</v>
      </c>
      <c r="BP87" s="74">
        <f t="shared" si="118"/>
        <v>0</v>
      </c>
      <c r="BQ87" s="74">
        <f t="shared" si="118"/>
        <v>0</v>
      </c>
      <c r="BR87" s="74">
        <f t="shared" si="118"/>
        <v>0</v>
      </c>
      <c r="BS87" s="454"/>
      <c r="BT87" s="74">
        <f t="shared" si="119"/>
        <v>4.6687976488205667</v>
      </c>
      <c r="BU87" s="74">
        <f t="shared" si="119"/>
        <v>4.4458976352020736</v>
      </c>
      <c r="BV87" s="74">
        <f t="shared" si="119"/>
        <v>4.2909976215835801</v>
      </c>
      <c r="BW87" s="74">
        <f t="shared" si="119"/>
        <v>4.1500976079650869</v>
      </c>
      <c r="BX87" s="74">
        <f t="shared" si="119"/>
        <v>3.9971975943465936</v>
      </c>
      <c r="BY87" s="74">
        <f t="shared" si="119"/>
        <v>3.8442975807281003</v>
      </c>
      <c r="BZ87" s="74">
        <f t="shared" si="119"/>
        <v>3.6913975671096066</v>
      </c>
    </row>
    <row r="88" spans="1:78" x14ac:dyDescent="0.2">
      <c r="A88" s="452"/>
      <c r="B88" s="453" t="str">
        <f t="shared" si="93"/>
        <v>Biodiesel (Pyr) - Americas - Fuel cost - USD/GJ</v>
      </c>
      <c r="C88" s="453" t="str">
        <f t="shared" si="94"/>
        <v>Biodiesel (Pyr) - Americas</v>
      </c>
      <c r="D88" s="74">
        <f t="shared" si="95"/>
        <v>42.7</v>
      </c>
      <c r="E88" t="s">
        <v>199</v>
      </c>
      <c r="F88" t="str">
        <f t="shared" si="96"/>
        <v>Biodiesel (Pyr)</v>
      </c>
      <c r="G88" t="s">
        <v>828</v>
      </c>
      <c r="H88" s="74">
        <f t="shared" si="112"/>
        <v>48.934808962777126</v>
      </c>
      <c r="I88" s="74">
        <f t="shared" si="112"/>
        <v>34.38444089360484</v>
      </c>
      <c r="J88" s="74">
        <f t="shared" si="112"/>
        <v>20.914743616313462</v>
      </c>
      <c r="K88" s="74">
        <f t="shared" si="112"/>
        <v>21.65157697613958</v>
      </c>
      <c r="L88" s="74">
        <f t="shared" si="112"/>
        <v>21.631212679571671</v>
      </c>
      <c r="M88" s="74">
        <f t="shared" si="112"/>
        <v>21.526554618708289</v>
      </c>
      <c r="N88" s="74">
        <f t="shared" si="112"/>
        <v>20.600437504046997</v>
      </c>
      <c r="O88" s="454"/>
      <c r="P88" s="74">
        <f t="shared" si="113"/>
        <v>0</v>
      </c>
      <c r="Q88" s="74">
        <f t="shared" si="113"/>
        <v>0</v>
      </c>
      <c r="R88" s="74">
        <f t="shared" si="113"/>
        <v>0</v>
      </c>
      <c r="S88" s="74">
        <f t="shared" si="113"/>
        <v>0</v>
      </c>
      <c r="T88" s="74">
        <f t="shared" si="113"/>
        <v>0</v>
      </c>
      <c r="U88" s="74">
        <f t="shared" si="113"/>
        <v>0</v>
      </c>
      <c r="V88" s="74">
        <f t="shared" si="113"/>
        <v>0</v>
      </c>
      <c r="W88"/>
      <c r="X88" s="2">
        <f t="shared" si="114"/>
        <v>-40.339877075554391</v>
      </c>
      <c r="Y88" s="2">
        <f t="shared" si="114"/>
        <v>-48.28508713529736</v>
      </c>
      <c r="Z88" s="2">
        <f t="shared" si="114"/>
        <v>-54.14317291584149</v>
      </c>
      <c r="AA88" s="2">
        <f t="shared" si="114"/>
        <v>-66.682297018872859</v>
      </c>
      <c r="AB88" s="2">
        <f t="shared" si="114"/>
        <v>-68.6612337974545</v>
      </c>
      <c r="AC88" s="2">
        <f t="shared" si="114"/>
        <v>-70.931053663901253</v>
      </c>
      <c r="AD88" s="2">
        <f t="shared" si="114"/>
        <v>-74.042095342836006</v>
      </c>
      <c r="AE88"/>
      <c r="AF88" s="2">
        <f t="shared" si="115"/>
        <v>76.237236533957855</v>
      </c>
      <c r="AG88" s="2">
        <f t="shared" si="115"/>
        <v>76.237236533957855</v>
      </c>
      <c r="AH88" s="2">
        <f t="shared" si="115"/>
        <v>76.237236533957855</v>
      </c>
      <c r="AI88" s="2">
        <f t="shared" si="115"/>
        <v>76.237236533957855</v>
      </c>
      <c r="AJ88" s="2">
        <f t="shared" si="115"/>
        <v>76.237236533957855</v>
      </c>
      <c r="AK88" s="2">
        <f t="shared" si="115"/>
        <v>76.237236533957855</v>
      </c>
      <c r="AL88" s="2">
        <f t="shared" si="115"/>
        <v>76.237236533957855</v>
      </c>
      <c r="AM88"/>
      <c r="AN88" s="24">
        <f t="shared" si="101"/>
        <v>35.897359458403464</v>
      </c>
      <c r="AO88" s="24">
        <f t="shared" si="102"/>
        <v>27.952149398660495</v>
      </c>
      <c r="AP88" s="24">
        <f t="shared" si="103"/>
        <v>22.094063618116365</v>
      </c>
      <c r="AQ88" s="24">
        <f t="shared" si="104"/>
        <v>9.5549395150849961</v>
      </c>
      <c r="AR88" s="24">
        <f t="shared" si="105"/>
        <v>7.5760027365033551</v>
      </c>
      <c r="AS88" s="24">
        <f t="shared" si="106"/>
        <v>5.3061828700566025</v>
      </c>
      <c r="AT88" s="24">
        <f t="shared" si="107"/>
        <v>2.1951411911218486</v>
      </c>
      <c r="AU88"/>
      <c r="AV88" s="74">
        <f t="shared" si="116"/>
        <v>24.058938329430134</v>
      </c>
      <c r="AW88" s="74">
        <f t="shared" si="116"/>
        <v>14.43536299765808</v>
      </c>
      <c r="AX88" s="74">
        <f t="shared" si="116"/>
        <v>4.811787665886027</v>
      </c>
      <c r="AY88" s="74">
        <f t="shared" si="116"/>
        <v>4.3306088992974248</v>
      </c>
      <c r="AZ88" s="74">
        <f t="shared" si="116"/>
        <v>4.1702159771012237</v>
      </c>
      <c r="BA88" s="74">
        <f t="shared" si="116"/>
        <v>4.0098230549050236</v>
      </c>
      <c r="BB88" s="74">
        <f t="shared" si="116"/>
        <v>3.8494301327088229</v>
      </c>
      <c r="BC88" s="454"/>
      <c r="BD88" s="74">
        <f t="shared" si="117"/>
        <v>11.246036015600316</v>
      </c>
      <c r="BE88" s="74">
        <f t="shared" si="117"/>
        <v>6.9087216738483788</v>
      </c>
      <c r="BF88" s="74">
        <f t="shared" si="117"/>
        <v>2.5355653410627013</v>
      </c>
      <c r="BG88" s="74">
        <f t="shared" si="117"/>
        <v>2.2790644435461633</v>
      </c>
      <c r="BH88" s="74">
        <f t="shared" si="117"/>
        <v>2.173407681369885</v>
      </c>
      <c r="BI88" s="74">
        <f t="shared" si="117"/>
        <v>2.0881927993589149</v>
      </c>
      <c r="BJ88" s="74">
        <f t="shared" si="117"/>
        <v>2.0063647229285153</v>
      </c>
      <c r="BK88" s="455"/>
      <c r="BL88" s="74">
        <f t="shared" si="118"/>
        <v>0</v>
      </c>
      <c r="BM88" s="74">
        <f t="shared" si="118"/>
        <v>0</v>
      </c>
      <c r="BN88" s="74">
        <f t="shared" si="118"/>
        <v>0</v>
      </c>
      <c r="BO88" s="74">
        <f t="shared" si="118"/>
        <v>0</v>
      </c>
      <c r="BP88" s="74">
        <f t="shared" si="118"/>
        <v>0</v>
      </c>
      <c r="BQ88" s="74">
        <f t="shared" si="118"/>
        <v>0</v>
      </c>
      <c r="BR88" s="74">
        <f t="shared" si="118"/>
        <v>0</v>
      </c>
      <c r="BS88" s="454"/>
      <c r="BT88" s="74">
        <f t="shared" si="119"/>
        <v>13.629834617746676</v>
      </c>
      <c r="BU88" s="74">
        <f t="shared" si="119"/>
        <v>13.040356222098383</v>
      </c>
      <c r="BV88" s="74">
        <f t="shared" si="119"/>
        <v>13.567390609364734</v>
      </c>
      <c r="BW88" s="74">
        <f t="shared" si="119"/>
        <v>15.041903633295991</v>
      </c>
      <c r="BX88" s="74">
        <f t="shared" si="119"/>
        <v>15.287589021100564</v>
      </c>
      <c r="BY88" s="74">
        <f t="shared" si="119"/>
        <v>15.428538764444349</v>
      </c>
      <c r="BZ88" s="74">
        <f t="shared" si="119"/>
        <v>14.744642648409659</v>
      </c>
    </row>
    <row r="89" spans="1:78" x14ac:dyDescent="0.2">
      <c r="A89" s="452"/>
      <c r="B89" s="453" t="str">
        <f t="shared" si="93"/>
        <v>Biodiesel (HtL) - Americas - Fuel cost - USD/GJ</v>
      </c>
      <c r="C89" s="453" t="str">
        <f t="shared" si="94"/>
        <v>Biodiesel (HtL) - Americas</v>
      </c>
      <c r="D89" s="74">
        <f t="shared" si="95"/>
        <v>42.7</v>
      </c>
      <c r="E89" t="s">
        <v>199</v>
      </c>
      <c r="F89" t="str">
        <f t="shared" si="96"/>
        <v>Biodiesel (HtL)</v>
      </c>
      <c r="G89" t="s">
        <v>828</v>
      </c>
      <c r="H89" s="74">
        <f t="shared" si="112"/>
        <v>153.02309687289585</v>
      </c>
      <c r="I89" s="74">
        <f t="shared" si="112"/>
        <v>49.95036637633654</v>
      </c>
      <c r="J89" s="74">
        <f t="shared" si="112"/>
        <v>22.616271956431817</v>
      </c>
      <c r="K89" s="74">
        <f t="shared" si="112"/>
        <v>22.368525675287387</v>
      </c>
      <c r="L89" s="74">
        <f t="shared" si="112"/>
        <v>21.951820735671799</v>
      </c>
      <c r="M89" s="74">
        <f t="shared" si="112"/>
        <v>21.493716548735286</v>
      </c>
      <c r="N89" s="74">
        <f t="shared" si="112"/>
        <v>20.662768754200862</v>
      </c>
      <c r="O89" s="454"/>
      <c r="P89" s="74">
        <f t="shared" si="113"/>
        <v>0.73045695826911927</v>
      </c>
      <c r="Q89" s="74">
        <f t="shared" si="113"/>
        <v>0.65924720172005946</v>
      </c>
      <c r="R89" s="74">
        <f t="shared" si="113"/>
        <v>0.53690333954477154</v>
      </c>
      <c r="S89" s="74">
        <f t="shared" si="113"/>
        <v>0.47742964697834794</v>
      </c>
      <c r="T89" s="74">
        <f t="shared" si="113"/>
        <v>0.42922917242180469</v>
      </c>
      <c r="U89" s="74">
        <f t="shared" si="113"/>
        <v>0.40900107553524107</v>
      </c>
      <c r="V89" s="74">
        <f t="shared" si="113"/>
        <v>0.3934719305979687</v>
      </c>
      <c r="W89"/>
      <c r="X89" s="2">
        <f t="shared" si="114"/>
        <v>-54.006278557194555</v>
      </c>
      <c r="Y89" s="2">
        <f t="shared" si="114"/>
        <v>-58.557346422110115</v>
      </c>
      <c r="Z89" s="2">
        <f t="shared" si="114"/>
        <v>-62.105357424160069</v>
      </c>
      <c r="AA89" s="2">
        <f t="shared" si="114"/>
        <v>-68.865406081251962</v>
      </c>
      <c r="AB89" s="2">
        <f t="shared" si="114"/>
        <v>-70.54844160158919</v>
      </c>
      <c r="AC89" s="2">
        <f t="shared" si="114"/>
        <v>-72.371324760323077</v>
      </c>
      <c r="AD89" s="2">
        <f t="shared" si="114"/>
        <v>-74.598641482753152</v>
      </c>
      <c r="AE89"/>
      <c r="AF89" s="2">
        <f t="shared" si="115"/>
        <v>76.237236533957855</v>
      </c>
      <c r="AG89" s="2">
        <f t="shared" si="115"/>
        <v>76.237236533957855</v>
      </c>
      <c r="AH89" s="2">
        <f t="shared" si="115"/>
        <v>76.237236533957855</v>
      </c>
      <c r="AI89" s="2">
        <f t="shared" si="115"/>
        <v>76.237236533957855</v>
      </c>
      <c r="AJ89" s="2">
        <f t="shared" si="115"/>
        <v>76.237236533957855</v>
      </c>
      <c r="AK89" s="2">
        <f t="shared" si="115"/>
        <v>76.237236533957855</v>
      </c>
      <c r="AL89" s="2">
        <f t="shared" si="115"/>
        <v>76.237236533957855</v>
      </c>
      <c r="AM89"/>
      <c r="AN89" s="24">
        <f t="shared" si="101"/>
        <v>22.2309579767633</v>
      </c>
      <c r="AO89" s="24">
        <f t="shared" si="102"/>
        <v>17.67989011184774</v>
      </c>
      <c r="AP89" s="24">
        <f t="shared" si="103"/>
        <v>14.131879109797786</v>
      </c>
      <c r="AQ89" s="24">
        <f t="shared" si="104"/>
        <v>7.3718304527058933</v>
      </c>
      <c r="AR89" s="24">
        <f t="shared" si="105"/>
        <v>5.6887949323686655</v>
      </c>
      <c r="AS89" s="24">
        <f t="shared" si="106"/>
        <v>3.8659117736347781</v>
      </c>
      <c r="AT89" s="24">
        <f t="shared" si="107"/>
        <v>1.6385950512047032</v>
      </c>
      <c r="AU89"/>
      <c r="AV89" s="74">
        <f t="shared" si="116"/>
        <v>30.789105244461663</v>
      </c>
      <c r="AW89" s="74">
        <f t="shared" si="116"/>
        <v>18.473463146676998</v>
      </c>
      <c r="AX89" s="74">
        <f t="shared" si="116"/>
        <v>6.1578210488923331</v>
      </c>
      <c r="AY89" s="74">
        <f t="shared" si="116"/>
        <v>5.7883517859587936</v>
      </c>
      <c r="AZ89" s="74">
        <f t="shared" si="116"/>
        <v>5.6036171544920235</v>
      </c>
      <c r="BA89" s="74">
        <f t="shared" si="116"/>
        <v>5.4188825230252533</v>
      </c>
      <c r="BB89" s="74">
        <f t="shared" si="116"/>
        <v>5.2341478915584831</v>
      </c>
      <c r="BC89" s="454"/>
      <c r="BD89" s="74">
        <f t="shared" si="117"/>
        <v>112.90800471039641</v>
      </c>
      <c r="BE89" s="74">
        <f t="shared" si="117"/>
        <v>22.58160094207928</v>
      </c>
      <c r="BF89" s="74">
        <f t="shared" si="117"/>
        <v>7.5272003140264276</v>
      </c>
      <c r="BG89" s="74">
        <f t="shared" si="117"/>
        <v>7.0755682951848415</v>
      </c>
      <c r="BH89" s="74">
        <f t="shared" si="117"/>
        <v>6.8497522857640494</v>
      </c>
      <c r="BI89" s="74">
        <f t="shared" si="117"/>
        <v>6.6239362763432572</v>
      </c>
      <c r="BJ89" s="74">
        <f t="shared" si="117"/>
        <v>6.3981202669224642</v>
      </c>
      <c r="BK89" s="455"/>
      <c r="BL89" s="74">
        <f t="shared" si="118"/>
        <v>0</v>
      </c>
      <c r="BM89" s="74">
        <f t="shared" si="118"/>
        <v>0</v>
      </c>
      <c r="BN89" s="74">
        <f t="shared" si="118"/>
        <v>0</v>
      </c>
      <c r="BO89" s="74">
        <f t="shared" si="118"/>
        <v>0</v>
      </c>
      <c r="BP89" s="74">
        <f t="shared" si="118"/>
        <v>0</v>
      </c>
      <c r="BQ89" s="74">
        <f t="shared" si="118"/>
        <v>0</v>
      </c>
      <c r="BR89" s="74">
        <f t="shared" si="118"/>
        <v>0</v>
      </c>
      <c r="BS89" s="454"/>
      <c r="BT89" s="74">
        <f t="shared" si="119"/>
        <v>8.5955299597686405</v>
      </c>
      <c r="BU89" s="74">
        <f t="shared" si="119"/>
        <v>8.2360550858602082</v>
      </c>
      <c r="BV89" s="74">
        <f t="shared" si="119"/>
        <v>8.3943472539682826</v>
      </c>
      <c r="BW89" s="74">
        <f t="shared" si="119"/>
        <v>9.0271759471654036</v>
      </c>
      <c r="BX89" s="74">
        <f t="shared" si="119"/>
        <v>9.0692221229939225</v>
      </c>
      <c r="BY89" s="74">
        <f t="shared" si="119"/>
        <v>9.0418966738315341</v>
      </c>
      <c r="BZ89" s="74">
        <f t="shared" si="119"/>
        <v>8.6370286651219477</v>
      </c>
    </row>
    <row r="90" spans="1:78" x14ac:dyDescent="0.2">
      <c r="A90" s="452"/>
      <c r="B90" s="453" t="str">
        <f t="shared" si="93"/>
        <v>Biomethanol - Americas - Fuel cost - USD/GJ</v>
      </c>
      <c r="C90" s="453" t="str">
        <f t="shared" si="94"/>
        <v>Biomethanol - Americas</v>
      </c>
      <c r="D90" s="74">
        <f t="shared" si="95"/>
        <v>19.899999999999999</v>
      </c>
      <c r="E90" t="s">
        <v>199</v>
      </c>
      <c r="F90" t="str">
        <f t="shared" si="96"/>
        <v>Biomethanol</v>
      </c>
      <c r="G90" t="s">
        <v>828</v>
      </c>
      <c r="H90" s="74">
        <f t="shared" si="112"/>
        <v>49.489665950950624</v>
      </c>
      <c r="I90" s="74">
        <f t="shared" si="112"/>
        <v>34.724554120431115</v>
      </c>
      <c r="J90" s="74">
        <f t="shared" si="112"/>
        <v>29.26595868795361</v>
      </c>
      <c r="K90" s="74">
        <f t="shared" si="112"/>
        <v>27.003074013743976</v>
      </c>
      <c r="L90" s="74">
        <f t="shared" si="112"/>
        <v>24.756025607108135</v>
      </c>
      <c r="M90" s="74">
        <f t="shared" si="112"/>
        <v>23.540989434298989</v>
      </c>
      <c r="N90" s="74">
        <f t="shared" si="112"/>
        <v>22.271769078496874</v>
      </c>
      <c r="O90" s="454"/>
      <c r="P90" s="74">
        <f t="shared" si="113"/>
        <v>0</v>
      </c>
      <c r="Q90" s="74">
        <f t="shared" si="113"/>
        <v>0</v>
      </c>
      <c r="R90" s="74">
        <f t="shared" si="113"/>
        <v>0</v>
      </c>
      <c r="S90" s="74">
        <f t="shared" si="113"/>
        <v>0</v>
      </c>
      <c r="T90" s="74">
        <f t="shared" si="113"/>
        <v>0</v>
      </c>
      <c r="U90" s="74">
        <f t="shared" si="113"/>
        <v>0</v>
      </c>
      <c r="V90" s="74">
        <f t="shared" si="113"/>
        <v>0</v>
      </c>
      <c r="W90"/>
      <c r="X90" s="2">
        <f t="shared" si="114"/>
        <v>-58.0093628242169</v>
      </c>
      <c r="Y90" s="2">
        <f t="shared" si="114"/>
        <v>-59.650981687637127</v>
      </c>
      <c r="Z90" s="2">
        <f t="shared" si="114"/>
        <v>-61.293041481198266</v>
      </c>
      <c r="AA90" s="2">
        <f t="shared" si="114"/>
        <v>-62.93510127475939</v>
      </c>
      <c r="AB90" s="2">
        <f t="shared" si="114"/>
        <v>-64.577161068320521</v>
      </c>
      <c r="AC90" s="2">
        <f t="shared" si="114"/>
        <v>-66.219220861881638</v>
      </c>
      <c r="AD90" s="2">
        <f t="shared" si="114"/>
        <v>-67.861280655442783</v>
      </c>
      <c r="AE90"/>
      <c r="AF90" s="2">
        <f t="shared" si="115"/>
        <v>69.095477386934675</v>
      </c>
      <c r="AG90" s="2">
        <f t="shared" si="115"/>
        <v>69.095477386934675</v>
      </c>
      <c r="AH90" s="2">
        <f t="shared" si="115"/>
        <v>69.095477386934675</v>
      </c>
      <c r="AI90" s="2">
        <f t="shared" si="115"/>
        <v>69.095477386934675</v>
      </c>
      <c r="AJ90" s="2">
        <f t="shared" si="115"/>
        <v>69.095477386934675</v>
      </c>
      <c r="AK90" s="2">
        <f t="shared" si="115"/>
        <v>69.095477386934675</v>
      </c>
      <c r="AL90" s="2">
        <f t="shared" si="115"/>
        <v>69.095477386934675</v>
      </c>
      <c r="AM90"/>
      <c r="AN90" s="24">
        <f t="shared" si="101"/>
        <v>11.086114562717775</v>
      </c>
      <c r="AO90" s="24">
        <f t="shared" si="102"/>
        <v>9.4444956992975477</v>
      </c>
      <c r="AP90" s="24">
        <f t="shared" si="103"/>
        <v>7.8024359057364094</v>
      </c>
      <c r="AQ90" s="24">
        <f t="shared" si="104"/>
        <v>6.1603761121752854</v>
      </c>
      <c r="AR90" s="24">
        <f t="shared" si="105"/>
        <v>4.5183163186141542</v>
      </c>
      <c r="AS90" s="24">
        <f t="shared" si="106"/>
        <v>2.8762565250530372</v>
      </c>
      <c r="AT90" s="24">
        <f t="shared" si="107"/>
        <v>1.2341967314918918</v>
      </c>
      <c r="AU90"/>
      <c r="AV90" s="74">
        <f t="shared" si="116"/>
        <v>23.969849246231163</v>
      </c>
      <c r="AW90" s="74">
        <f t="shared" si="116"/>
        <v>15.092127303182586</v>
      </c>
      <c r="AX90" s="74">
        <f t="shared" si="116"/>
        <v>11.762981574539367</v>
      </c>
      <c r="AY90" s="74">
        <f t="shared" si="116"/>
        <v>10.320351758793974</v>
      </c>
      <c r="AZ90" s="74">
        <f t="shared" si="116"/>
        <v>8.877721943048579</v>
      </c>
      <c r="BA90" s="74">
        <f t="shared" si="116"/>
        <v>7.9899497487437205</v>
      </c>
      <c r="BB90" s="74">
        <f t="shared" si="116"/>
        <v>7.102177554438863</v>
      </c>
      <c r="BC90" s="454"/>
      <c r="BD90" s="74">
        <f t="shared" si="117"/>
        <v>17.311722387618317</v>
      </c>
      <c r="BE90" s="74">
        <f t="shared" si="117"/>
        <v>11.181129705566612</v>
      </c>
      <c r="BF90" s="74">
        <f t="shared" si="117"/>
        <v>8.7476765085063573</v>
      </c>
      <c r="BG90" s="74">
        <f t="shared" si="117"/>
        <v>7.6842188554613404</v>
      </c>
      <c r="BH90" s="74">
        <f t="shared" si="117"/>
        <v>6.636597469990118</v>
      </c>
      <c r="BI90" s="74">
        <f t="shared" si="117"/>
        <v>6.0053299982598638</v>
      </c>
      <c r="BJ90" s="74">
        <f t="shared" si="117"/>
        <v>5.380679042181832</v>
      </c>
      <c r="BK90" s="455"/>
      <c r="BL90" s="74">
        <f t="shared" si="118"/>
        <v>0</v>
      </c>
      <c r="BM90" s="74">
        <f t="shared" si="118"/>
        <v>0</v>
      </c>
      <c r="BN90" s="74">
        <f t="shared" si="118"/>
        <v>0</v>
      </c>
      <c r="BO90" s="74">
        <f t="shared" si="118"/>
        <v>0</v>
      </c>
      <c r="BP90" s="74">
        <f t="shared" si="118"/>
        <v>0</v>
      </c>
      <c r="BQ90" s="74">
        <f t="shared" si="118"/>
        <v>0</v>
      </c>
      <c r="BR90" s="74">
        <f t="shared" si="118"/>
        <v>0</v>
      </c>
      <c r="BS90" s="454"/>
      <c r="BT90" s="74">
        <f t="shared" si="119"/>
        <v>8.2080943171011445</v>
      </c>
      <c r="BU90" s="74">
        <f t="shared" si="119"/>
        <v>8.4512971116819191</v>
      </c>
      <c r="BV90" s="74">
        <f t="shared" si="119"/>
        <v>8.7553006049078874</v>
      </c>
      <c r="BW90" s="74">
        <f t="shared" si="119"/>
        <v>8.9985033994886621</v>
      </c>
      <c r="BX90" s="74">
        <f t="shared" si="119"/>
        <v>9.2417061940694385</v>
      </c>
      <c r="BY90" s="74">
        <f t="shared" si="119"/>
        <v>9.545709687295405</v>
      </c>
      <c r="BZ90" s="74">
        <f t="shared" si="119"/>
        <v>9.7889124818761797</v>
      </c>
    </row>
    <row r="91" spans="1:78" x14ac:dyDescent="0.2">
      <c r="A91" s="452"/>
      <c r="B91" s="453" t="str">
        <f t="shared" si="93"/>
        <v>Biodiesel (HtL blend) - Americas - Fuel cost - USD/GJ</v>
      </c>
      <c r="C91" s="453" t="str">
        <f t="shared" si="94"/>
        <v>Biodiesel (HtL blend) - Americas</v>
      </c>
      <c r="D91" s="77">
        <f>+INDEX('Fuel Model -  Input'!$H$15:$H$44,MATCH(F91,'Fuel Model -  Input'!$F$15:$F$44,0))/1000</f>
        <v>38.6</v>
      </c>
      <c r="E91" t="s">
        <v>199</v>
      </c>
      <c r="F91" t="str">
        <f t="shared" si="96"/>
        <v>Biodiesel (HtL blend)</v>
      </c>
      <c r="G91" t="s">
        <v>828</v>
      </c>
      <c r="H91" s="74">
        <f t="shared" si="112"/>
        <v>39.362591759164751</v>
      </c>
      <c r="I91" s="74">
        <f t="shared" si="112"/>
        <v>26.195648583254943</v>
      </c>
      <c r="J91" s="74">
        <f t="shared" si="112"/>
        <v>15.657072613212451</v>
      </c>
      <c r="K91" s="74">
        <f t="shared" si="112"/>
        <v>15.289509249296463</v>
      </c>
      <c r="L91" s="74">
        <f t="shared" si="112"/>
        <v>15.129344877992319</v>
      </c>
      <c r="M91" s="74">
        <f t="shared" si="112"/>
        <v>14.99365252582653</v>
      </c>
      <c r="N91" s="74">
        <f t="shared" si="112"/>
        <v>14.844608646947602</v>
      </c>
      <c r="O91" s="454"/>
      <c r="P91" s="74">
        <f t="shared" si="113"/>
        <v>0.24862903242799042</v>
      </c>
      <c r="Q91" s="74">
        <f t="shared" si="113"/>
        <v>0.22439103637661656</v>
      </c>
      <c r="R91" s="74">
        <f t="shared" si="113"/>
        <v>0.18274828695545434</v>
      </c>
      <c r="S91" s="74">
        <f t="shared" si="113"/>
        <v>0.16250494958928227</v>
      </c>
      <c r="T91" s="74">
        <f t="shared" si="113"/>
        <v>0.14609872987175021</v>
      </c>
      <c r="U91" s="74">
        <f t="shared" si="113"/>
        <v>0.13921359844842401</v>
      </c>
      <c r="V91" s="74">
        <f t="shared" si="113"/>
        <v>0.13392787115610413</v>
      </c>
      <c r="W91"/>
      <c r="X91" s="2">
        <f t="shared" si="114"/>
        <v>-3.3241003623372918</v>
      </c>
      <c r="Y91" s="2">
        <f t="shared" si="114"/>
        <v>-3.7421924641576072</v>
      </c>
      <c r="Z91" s="2">
        <f t="shared" si="114"/>
        <v>-4.1604475212863958</v>
      </c>
      <c r="AA91" s="2">
        <f t="shared" si="114"/>
        <v>-4.5787025784151894</v>
      </c>
      <c r="AB91" s="2">
        <f t="shared" si="114"/>
        <v>-4.9969576355439838</v>
      </c>
      <c r="AC91" s="2">
        <f t="shared" si="114"/>
        <v>-5.4152126926727746</v>
      </c>
      <c r="AD91" s="2">
        <f t="shared" si="114"/>
        <v>-5.8334677498015717</v>
      </c>
      <c r="AE91" s="2"/>
      <c r="AF91" s="2">
        <f t="shared" si="115"/>
        <v>65.50944732297063</v>
      </c>
      <c r="AG91" s="2">
        <f t="shared" si="115"/>
        <v>65.50944732297063</v>
      </c>
      <c r="AH91" s="2">
        <f t="shared" si="115"/>
        <v>65.50944732297063</v>
      </c>
      <c r="AI91" s="2">
        <f t="shared" si="115"/>
        <v>65.50944732297063</v>
      </c>
      <c r="AJ91" s="2">
        <f t="shared" si="115"/>
        <v>65.50944732297063</v>
      </c>
      <c r="AK91" s="2">
        <f t="shared" si="115"/>
        <v>65.50944732297063</v>
      </c>
      <c r="AL91" s="2">
        <f t="shared" si="115"/>
        <v>65.50944732297063</v>
      </c>
      <c r="AM91"/>
      <c r="AN91" s="24">
        <f t="shared" si="101"/>
        <v>62.185346960633339</v>
      </c>
      <c r="AO91" s="24">
        <f t="shared" si="102"/>
        <v>61.767254858813025</v>
      </c>
      <c r="AP91" s="24">
        <f t="shared" si="103"/>
        <v>61.348999801684236</v>
      </c>
      <c r="AQ91" s="24">
        <f t="shared" si="104"/>
        <v>60.93074474455544</v>
      </c>
      <c r="AR91" s="24">
        <f t="shared" si="105"/>
        <v>60.512489687426644</v>
      </c>
      <c r="AS91" s="24">
        <f t="shared" si="106"/>
        <v>60.094234630297855</v>
      </c>
      <c r="AT91" s="24">
        <f t="shared" si="107"/>
        <v>59.675979573169059</v>
      </c>
      <c r="AU91"/>
      <c r="AV91" s="74">
        <f t="shared" si="116"/>
        <v>10.479830960051917</v>
      </c>
      <c r="AW91" s="74">
        <f t="shared" si="116"/>
        <v>6.2878985760311501</v>
      </c>
      <c r="AX91" s="74">
        <f t="shared" si="116"/>
        <v>2.0959661920103838</v>
      </c>
      <c r="AY91" s="74">
        <f t="shared" si="116"/>
        <v>1.9962906239019969</v>
      </c>
      <c r="AZ91" s="74">
        <f t="shared" si="116"/>
        <v>1.9464528398478036</v>
      </c>
      <c r="BA91" s="74">
        <f t="shared" si="116"/>
        <v>1.8966150557936103</v>
      </c>
      <c r="BB91" s="74">
        <f t="shared" si="116"/>
        <v>1.8467772717394171</v>
      </c>
      <c r="BC91" s="454"/>
      <c r="BD91" s="74">
        <f t="shared" si="117"/>
        <v>12.810340909084436</v>
      </c>
      <c r="BE91" s="74">
        <f t="shared" si="117"/>
        <v>7.6862045454506607</v>
      </c>
      <c r="BF91" s="74">
        <f t="shared" si="117"/>
        <v>2.5620681818168873</v>
      </c>
      <c r="BG91" s="74">
        <f t="shared" si="117"/>
        <v>2.2546199999988605</v>
      </c>
      <c r="BH91" s="74">
        <f t="shared" si="117"/>
        <v>2.1008959090898474</v>
      </c>
      <c r="BI91" s="74">
        <f t="shared" si="117"/>
        <v>1.947171818180834</v>
      </c>
      <c r="BJ91" s="74">
        <f t="shared" si="117"/>
        <v>1.7934477272718208</v>
      </c>
      <c r="BK91" s="455"/>
      <c r="BL91" s="74">
        <f t="shared" si="118"/>
        <v>0</v>
      </c>
      <c r="BM91" s="74">
        <f t="shared" si="118"/>
        <v>0</v>
      </c>
      <c r="BN91" s="74">
        <f t="shared" si="118"/>
        <v>0</v>
      </c>
      <c r="BO91" s="74">
        <f t="shared" si="118"/>
        <v>0</v>
      </c>
      <c r="BP91" s="74">
        <f t="shared" si="118"/>
        <v>0</v>
      </c>
      <c r="BQ91" s="74">
        <f t="shared" si="118"/>
        <v>0</v>
      </c>
      <c r="BR91" s="74">
        <f t="shared" si="118"/>
        <v>0</v>
      </c>
      <c r="BS91" s="454"/>
      <c r="BT91" s="74">
        <f t="shared" si="119"/>
        <v>15.823790857600411</v>
      </c>
      <c r="BU91" s="74">
        <f t="shared" si="119"/>
        <v>11.99715442539652</v>
      </c>
      <c r="BV91" s="74">
        <f t="shared" si="119"/>
        <v>10.816289952429726</v>
      </c>
      <c r="BW91" s="74">
        <f t="shared" si="119"/>
        <v>10.876093675806322</v>
      </c>
      <c r="BX91" s="74">
        <f t="shared" si="119"/>
        <v>10.935897399182917</v>
      </c>
      <c r="BY91" s="74">
        <f t="shared" si="119"/>
        <v>11.010652053403662</v>
      </c>
      <c r="BZ91" s="74">
        <f t="shared" si="119"/>
        <v>11.07045577678026</v>
      </c>
    </row>
    <row r="92" spans="1:78" x14ac:dyDescent="0.2">
      <c r="A92" s="452"/>
      <c r="B92" s="453" t="str">
        <f t="shared" si="93"/>
        <v>Biodiesel (Pyr blend) - Americas - Fuel cost - USD/GJ</v>
      </c>
      <c r="C92" s="453" t="str">
        <f t="shared" si="94"/>
        <v>Biodiesel (Pyr blend) - Americas</v>
      </c>
      <c r="D92" s="77">
        <f>+INDEX('Fuel Model -  Input'!$H$15:$H$44,MATCH(F92,'Fuel Model -  Input'!$F$15:$F$44,0))/1000</f>
        <v>34.28</v>
      </c>
      <c r="E92" t="s">
        <v>199</v>
      </c>
      <c r="F92" t="str">
        <f t="shared" si="96"/>
        <v>Biodiesel (Pyr blend)</v>
      </c>
      <c r="G92" t="s">
        <v>828</v>
      </c>
      <c r="H92" s="74">
        <f t="shared" si="112"/>
        <v>24.305757337653841</v>
      </c>
      <c r="I92" s="74">
        <f t="shared" si="112"/>
        <v>17.339300839682259</v>
      </c>
      <c r="J92" s="74">
        <f t="shared" si="112"/>
        <v>13.844331887075223</v>
      </c>
      <c r="K92" s="74">
        <f t="shared" si="112"/>
        <v>13.812971340261239</v>
      </c>
      <c r="L92" s="74">
        <f t="shared" si="112"/>
        <v>13.846054747350944</v>
      </c>
      <c r="M92" s="74">
        <f t="shared" si="112"/>
        <v>13.8963804086225</v>
      </c>
      <c r="N92" s="74">
        <f t="shared" si="112"/>
        <v>13.930243260581481</v>
      </c>
      <c r="O92" s="454"/>
      <c r="P92" s="74">
        <f t="shared" si="113"/>
        <v>0</v>
      </c>
      <c r="Q92" s="74">
        <f t="shared" si="113"/>
        <v>0</v>
      </c>
      <c r="R92" s="74">
        <f t="shared" si="113"/>
        <v>0</v>
      </c>
      <c r="S92" s="74">
        <f t="shared" si="113"/>
        <v>0</v>
      </c>
      <c r="T92" s="74">
        <f t="shared" si="113"/>
        <v>0</v>
      </c>
      <c r="U92" s="74">
        <f t="shared" si="113"/>
        <v>0</v>
      </c>
      <c r="V92" s="74">
        <f t="shared" si="113"/>
        <v>0</v>
      </c>
      <c r="W92"/>
      <c r="X92" s="2">
        <f t="shared" si="114"/>
        <v>-1.3339806999597574</v>
      </c>
      <c r="Y92" s="2">
        <f t="shared" si="114"/>
        <v>-1.5577242046437272</v>
      </c>
      <c r="Z92" s="2">
        <f t="shared" si="114"/>
        <v>-1.7814677093277003</v>
      </c>
      <c r="AA92" s="2">
        <f t="shared" si="114"/>
        <v>-2.0052112140116702</v>
      </c>
      <c r="AB92" s="2">
        <f t="shared" si="114"/>
        <v>-2.2289547186956429</v>
      </c>
      <c r="AC92" s="2">
        <f t="shared" si="114"/>
        <v>-2.452698223379616</v>
      </c>
      <c r="AD92" s="2">
        <f t="shared" si="114"/>
        <v>-2.6764417280635859</v>
      </c>
      <c r="AE92" s="2"/>
      <c r="AF92" s="2">
        <f t="shared" si="115"/>
        <v>80.800204200700108</v>
      </c>
      <c r="AG92" s="2">
        <f t="shared" si="115"/>
        <v>80.800204200700108</v>
      </c>
      <c r="AH92" s="2">
        <f t="shared" si="115"/>
        <v>80.800204200700108</v>
      </c>
      <c r="AI92" s="2">
        <f t="shared" si="115"/>
        <v>80.800204200700108</v>
      </c>
      <c r="AJ92" s="2">
        <f t="shared" si="115"/>
        <v>80.800204200700108</v>
      </c>
      <c r="AK92" s="2">
        <f t="shared" si="115"/>
        <v>80.800204200700108</v>
      </c>
      <c r="AL92" s="2">
        <f t="shared" si="115"/>
        <v>80.800204200700108</v>
      </c>
      <c r="AM92"/>
      <c r="AN92" s="24">
        <f t="shared" si="101"/>
        <v>79.466223500740355</v>
      </c>
      <c r="AO92" s="24">
        <f t="shared" si="102"/>
        <v>79.242479996056375</v>
      </c>
      <c r="AP92" s="24">
        <f t="shared" si="103"/>
        <v>79.018736491372408</v>
      </c>
      <c r="AQ92" s="24">
        <f t="shared" si="104"/>
        <v>78.794992986688442</v>
      </c>
      <c r="AR92" s="24">
        <f t="shared" si="105"/>
        <v>78.571249482004461</v>
      </c>
      <c r="AS92" s="24">
        <f t="shared" si="106"/>
        <v>78.347505977320495</v>
      </c>
      <c r="AT92" s="24">
        <f t="shared" si="107"/>
        <v>78.123762472636528</v>
      </c>
      <c r="AU92"/>
      <c r="AV92" s="74">
        <f t="shared" si="116"/>
        <v>3.5381676522849217</v>
      </c>
      <c r="AW92" s="74">
        <f t="shared" si="116"/>
        <v>2.1229005913709535</v>
      </c>
      <c r="AX92" s="74">
        <f t="shared" si="116"/>
        <v>0.70763353045698429</v>
      </c>
      <c r="AY92" s="74">
        <f t="shared" si="116"/>
        <v>0.63687017741128604</v>
      </c>
      <c r="AZ92" s="74">
        <f t="shared" si="116"/>
        <v>0.61328239306271981</v>
      </c>
      <c r="BA92" s="74">
        <f t="shared" si="116"/>
        <v>0.5896946087141538</v>
      </c>
      <c r="BB92" s="74">
        <f t="shared" si="116"/>
        <v>0.56610682436558757</v>
      </c>
      <c r="BC92" s="454"/>
      <c r="BD92" s="74">
        <f t="shared" si="117"/>
        <v>1.292928329375991</v>
      </c>
      <c r="BE92" s="74">
        <f t="shared" si="117"/>
        <v>0.7810266385971526</v>
      </c>
      <c r="BF92" s="74">
        <f t="shared" si="117"/>
        <v>0.26795254341826813</v>
      </c>
      <c r="BG92" s="74">
        <f t="shared" si="117"/>
        <v>0.24106097789176748</v>
      </c>
      <c r="BH92" s="74">
        <f t="shared" si="117"/>
        <v>0.23143779757182645</v>
      </c>
      <c r="BI92" s="74">
        <f t="shared" si="117"/>
        <v>0.22248327849418228</v>
      </c>
      <c r="BJ92" s="74">
        <f t="shared" si="117"/>
        <v>0.21363954304351432</v>
      </c>
      <c r="BK92" s="455"/>
      <c r="BL92" s="74">
        <f t="shared" si="118"/>
        <v>0</v>
      </c>
      <c r="BM92" s="74">
        <f t="shared" si="118"/>
        <v>0</v>
      </c>
      <c r="BN92" s="74">
        <f t="shared" si="118"/>
        <v>0</v>
      </c>
      <c r="BO92" s="74">
        <f t="shared" si="118"/>
        <v>0</v>
      </c>
      <c r="BP92" s="74">
        <f t="shared" si="118"/>
        <v>0</v>
      </c>
      <c r="BQ92" s="74">
        <f t="shared" si="118"/>
        <v>0</v>
      </c>
      <c r="BR92" s="74">
        <f t="shared" si="118"/>
        <v>0</v>
      </c>
      <c r="BS92" s="454"/>
      <c r="BT92" s="74">
        <f t="shared" si="119"/>
        <v>19.474661355992929</v>
      </c>
      <c r="BU92" s="74">
        <f t="shared" si="119"/>
        <v>14.435373609714153</v>
      </c>
      <c r="BV92" s="74">
        <f t="shared" si="119"/>
        <v>12.86874581319997</v>
      </c>
      <c r="BW92" s="74">
        <f t="shared" si="119"/>
        <v>12.935040184958185</v>
      </c>
      <c r="BX92" s="74">
        <f t="shared" si="119"/>
        <v>13.001334556716397</v>
      </c>
      <c r="BY92" s="74">
        <f t="shared" si="119"/>
        <v>13.084202521414165</v>
      </c>
      <c r="BZ92" s="74">
        <f t="shared" si="119"/>
        <v>13.150496893172379</v>
      </c>
    </row>
    <row r="93" spans="1:78" x14ac:dyDescent="0.2">
      <c r="A93" s="452"/>
      <c r="B93" s="453"/>
      <c r="D93" s="74"/>
      <c r="E93"/>
      <c r="F93"/>
      <c r="G93"/>
      <c r="H93" s="74"/>
      <c r="I93" s="74"/>
      <c r="J93" s="74"/>
      <c r="K93" s="74"/>
      <c r="L93" s="74"/>
      <c r="M93" s="74"/>
      <c r="N93" s="74"/>
      <c r="O93" s="454"/>
      <c r="P93" s="74"/>
      <c r="Q93" s="74"/>
      <c r="R93" s="74"/>
      <c r="S93" s="74"/>
      <c r="T93" s="74"/>
      <c r="U93" s="74"/>
      <c r="V93" s="74"/>
      <c r="W93"/>
      <c r="X93"/>
      <c r="Y93"/>
      <c r="Z93"/>
      <c r="AA93"/>
      <c r="AB93"/>
      <c r="AC93"/>
      <c r="AD93"/>
      <c r="AE93"/>
      <c r="AF93" s="2"/>
      <c r="AG93" s="2"/>
      <c r="AH93" s="2"/>
      <c r="AI93" s="2"/>
      <c r="AJ93" s="2"/>
      <c r="AK93" s="2"/>
      <c r="AL93" s="2"/>
      <c r="AM93"/>
      <c r="AN93"/>
      <c r="AO93"/>
      <c r="AP93"/>
      <c r="AQ93"/>
      <c r="AR93"/>
      <c r="AS93"/>
      <c r="AT93"/>
      <c r="AU93"/>
      <c r="AV93" s="454"/>
      <c r="AW93" s="454"/>
      <c r="AX93" s="454"/>
      <c r="AY93" s="454"/>
      <c r="AZ93" s="454"/>
      <c r="BA93" s="454"/>
      <c r="BB93" s="454"/>
      <c r="BC93" s="454"/>
      <c r="BD93" s="455"/>
      <c r="BE93" s="455"/>
      <c r="BF93" s="455"/>
      <c r="BG93" s="455"/>
      <c r="BH93" s="455"/>
      <c r="BI93" s="455"/>
      <c r="BJ93" s="455"/>
      <c r="BK93" s="455"/>
      <c r="BL93" s="455"/>
      <c r="BM93" s="455"/>
      <c r="BN93" s="455"/>
      <c r="BO93" s="455"/>
      <c r="BP93" s="455"/>
      <c r="BQ93" s="454"/>
      <c r="BR93" s="454"/>
      <c r="BS93" s="454"/>
      <c r="BT93" s="454"/>
      <c r="BU93" s="454"/>
      <c r="BV93" s="454"/>
      <c r="BW93" s="454"/>
      <c r="BX93" s="454"/>
      <c r="BY93" s="454"/>
      <c r="BZ93" s="454"/>
    </row>
    <row r="94" spans="1:78" x14ac:dyDescent="0.2">
      <c r="A94" s="452"/>
      <c r="B94" s="453" t="str">
        <f t="shared" ref="B94:B114" si="120">_xlfn.TEXTJOIN(keydelim,TRUE,F94,IF(E94="Africa","Africa&amp;other",E94),"Fuel cost",SUBSTITUTE($G94," ",""))</f>
        <v>e-Hydrogen (liquid) - Africa&amp;other - Fuel cost - USD/GJ</v>
      </c>
      <c r="C94" s="453" t="str">
        <f t="shared" ref="C94:C114" si="121">_xlfn.TEXTJOIN(keydelim,TRUE,F94,E94)</f>
        <v>e-Hydrogen (liquid) - Africa</v>
      </c>
      <c r="D94" s="74">
        <f t="shared" ref="D94:D112" si="122">D72</f>
        <v>120</v>
      </c>
      <c r="E94" t="s">
        <v>200</v>
      </c>
      <c r="F94" t="str">
        <f t="shared" ref="F94:F114" si="123">F72</f>
        <v>e-Hydrogen (liquid)</v>
      </c>
      <c r="G94" t="s">
        <v>828</v>
      </c>
      <c r="H94" s="74">
        <f t="shared" ref="H94:N103" si="124">INDEX(H$142:H$292,MATCH($E94&amp;$F94,$D$142:$D$292,0))/$D94</f>
        <v>65.783824147384607</v>
      </c>
      <c r="I94" s="74">
        <f t="shared" si="124"/>
        <v>45.142622947564568</v>
      </c>
      <c r="J94" s="74">
        <f t="shared" si="124"/>
        <v>37.960335271518588</v>
      </c>
      <c r="K94" s="74">
        <f t="shared" si="124"/>
        <v>34.506159062426569</v>
      </c>
      <c r="L94" s="74">
        <f t="shared" si="124"/>
        <v>31.179739496720785</v>
      </c>
      <c r="M94" s="74">
        <f t="shared" si="124"/>
        <v>27.047617726129882</v>
      </c>
      <c r="N94" s="74">
        <f t="shared" si="124"/>
        <v>23.528760018079311</v>
      </c>
      <c r="O94" s="454"/>
      <c r="P94" s="74">
        <f t="shared" ref="P94:V103" si="125">IFERROR(INDEX(P$142:P$292,MATCH($E94&amp;$F94,$D$142:$D$292,0))/$D94,"--")</f>
        <v>41.588626336957972</v>
      </c>
      <c r="Q94" s="74">
        <f t="shared" si="125"/>
        <v>23.436697092104843</v>
      </c>
      <c r="R94" s="74">
        <f t="shared" si="125"/>
        <v>18.213545716322113</v>
      </c>
      <c r="S94" s="74">
        <f t="shared" si="125"/>
        <v>14.974343339055379</v>
      </c>
      <c r="T94" s="74">
        <f t="shared" si="125"/>
        <v>13.192276048961798</v>
      </c>
      <c r="U94" s="74">
        <f t="shared" si="125"/>
        <v>11.317023718346872</v>
      </c>
      <c r="V94" s="74">
        <f t="shared" si="125"/>
        <v>10.26807663682896</v>
      </c>
      <c r="W94"/>
      <c r="X94" s="2">
        <f t="shared" ref="X94:AD103" si="126">INDEX(X$142:X$292,MATCH($E94&amp;$F94,$D$142:$D$292,0))/$D94*1000</f>
        <v>2.4279169967523235</v>
      </c>
      <c r="Y94" s="2">
        <f t="shared" si="126"/>
        <v>2.4164999999999996</v>
      </c>
      <c r="Z94" s="2">
        <f t="shared" si="126"/>
        <v>2.3844189608069937</v>
      </c>
      <c r="AA94" s="2">
        <f t="shared" si="126"/>
        <v>2.2992105071273761</v>
      </c>
      <c r="AB94" s="2">
        <f t="shared" si="126"/>
        <v>2.1968832906641627</v>
      </c>
      <c r="AC94" s="2">
        <f t="shared" si="126"/>
        <v>2.0606527991130323</v>
      </c>
      <c r="AD94" s="2">
        <f t="shared" si="126"/>
        <v>1.9533374999999999</v>
      </c>
      <c r="AE94"/>
      <c r="AF94" s="2">
        <f t="shared" ref="AF94:AL103" si="127">INDEX(AF$142:AF$292,MATCH($E94&amp;$F94,$D$142:$D$292,0))/$D94*1000</f>
        <v>0</v>
      </c>
      <c r="AG94" s="2">
        <f t="shared" si="127"/>
        <v>0</v>
      </c>
      <c r="AH94" s="2">
        <f t="shared" si="127"/>
        <v>0</v>
      </c>
      <c r="AI94" s="2">
        <f t="shared" si="127"/>
        <v>0</v>
      </c>
      <c r="AJ94" s="2">
        <f t="shared" si="127"/>
        <v>0</v>
      </c>
      <c r="AK94" s="2">
        <f t="shared" si="127"/>
        <v>0</v>
      </c>
      <c r="AL94" s="2">
        <f t="shared" si="127"/>
        <v>0</v>
      </c>
      <c r="AM94"/>
      <c r="AN94" s="24">
        <f t="shared" ref="AN94:AN114" si="128">X94+AF94</f>
        <v>2.4279169967523235</v>
      </c>
      <c r="AO94" s="24">
        <f t="shared" ref="AO94:AO114" si="129">Y94+AG94</f>
        <v>2.4164999999999996</v>
      </c>
      <c r="AP94" s="24">
        <f t="shared" ref="AP94:AP114" si="130">Z94+AH94</f>
        <v>2.3844189608069937</v>
      </c>
      <c r="AQ94" s="24">
        <f t="shared" ref="AQ94:AQ114" si="131">AA94+AI94</f>
        <v>2.2992105071273761</v>
      </c>
      <c r="AR94" s="24">
        <f t="shared" ref="AR94:AR114" si="132">AB94+AJ94</f>
        <v>2.1968832906641627</v>
      </c>
      <c r="AS94" s="24">
        <f t="shared" ref="AS94:AS114" si="133">AC94+AK94</f>
        <v>2.0606527991130323</v>
      </c>
      <c r="AT94" s="24">
        <f t="shared" ref="AT94:AT114" si="134">AD94+AL94</f>
        <v>1.9533374999999999</v>
      </c>
      <c r="AU94"/>
      <c r="AV94" s="74">
        <f t="shared" ref="AV94:BB103" si="135">IFERROR(INDEX(AV$142:AV$266,MATCH($E94&amp;$F94,$D$142:$D$266,0))/$D94,"NA")</f>
        <v>15.288031541894343</v>
      </c>
      <c r="AW94" s="74">
        <f t="shared" si="135"/>
        <v>14.161813306838042</v>
      </c>
      <c r="AX94" s="74">
        <f t="shared" si="135"/>
        <v>13.433948929977458</v>
      </c>
      <c r="AY94" s="74">
        <f t="shared" si="135"/>
        <v>13.705079855352748</v>
      </c>
      <c r="AZ94" s="74">
        <f t="shared" si="135"/>
        <v>13.276193687058136</v>
      </c>
      <c r="BA94" s="74">
        <f t="shared" si="135"/>
        <v>12.28127108935986</v>
      </c>
      <c r="BB94" s="74">
        <f t="shared" si="135"/>
        <v>10.919619200631379</v>
      </c>
      <c r="BC94" s="454"/>
      <c r="BD94" s="74">
        <f t="shared" ref="BD94:BJ103" si="136">IFERROR(INDEX(BD$142:BD$266,MATCH($E94&amp;$F94,$D$142:$D$266,0))/$D94,"NA")</f>
        <v>8.7946662685322909</v>
      </c>
      <c r="BE94" s="74">
        <f t="shared" si="136"/>
        <v>7.4316125486216817</v>
      </c>
      <c r="BF94" s="74">
        <f t="shared" si="136"/>
        <v>6.2003406252190185</v>
      </c>
      <c r="BG94" s="74">
        <f t="shared" si="136"/>
        <v>5.7142358680184433</v>
      </c>
      <c r="BH94" s="74">
        <f t="shared" si="136"/>
        <v>4.5987697607008462</v>
      </c>
      <c r="BI94" s="74">
        <f t="shared" si="136"/>
        <v>3.3368229184231475</v>
      </c>
      <c r="BJ94" s="74">
        <f t="shared" si="136"/>
        <v>2.2285641806189753</v>
      </c>
      <c r="BK94" s="455"/>
      <c r="BL94" s="74">
        <f t="shared" ref="BL94:BR103" si="137">IFERROR(INDEX(BL$142:BL$266,MATCH($E94&amp;$F94,$D$142:$D$266,0))/$D94,"NA")</f>
        <v>0</v>
      </c>
      <c r="BM94" s="74">
        <f t="shared" si="137"/>
        <v>0</v>
      </c>
      <c r="BN94" s="74">
        <f t="shared" si="137"/>
        <v>0</v>
      </c>
      <c r="BO94" s="74">
        <f t="shared" si="137"/>
        <v>0</v>
      </c>
      <c r="BP94" s="74">
        <f t="shared" si="137"/>
        <v>0</v>
      </c>
      <c r="BQ94" s="74">
        <f t="shared" si="137"/>
        <v>0</v>
      </c>
      <c r="BR94" s="74">
        <f t="shared" si="137"/>
        <v>0</v>
      </c>
      <c r="BS94" s="454"/>
      <c r="BT94" s="74">
        <f t="shared" ref="BT94:BZ103" si="138">IFERROR(INDEX(BT$142:BT$266,MATCH($E94&amp;$F94,$D$142:$D$266,0))/$D94,"NA")</f>
        <v>0</v>
      </c>
      <c r="BU94" s="74">
        <f t="shared" si="138"/>
        <v>0</v>
      </c>
      <c r="BV94" s="74">
        <f t="shared" si="138"/>
        <v>0</v>
      </c>
      <c r="BW94" s="74">
        <f t="shared" si="138"/>
        <v>0</v>
      </c>
      <c r="BX94" s="74">
        <f t="shared" si="138"/>
        <v>0</v>
      </c>
      <c r="BY94" s="74">
        <f t="shared" si="138"/>
        <v>0</v>
      </c>
      <c r="BZ94" s="74">
        <f t="shared" si="138"/>
        <v>0</v>
      </c>
    </row>
    <row r="95" spans="1:78" x14ac:dyDescent="0.2">
      <c r="A95" s="452"/>
      <c r="B95" s="453" t="str">
        <f t="shared" si="120"/>
        <v>e-Hydrogen (compressed) - Africa&amp;other - Fuel cost - USD/GJ</v>
      </c>
      <c r="C95" s="453" t="str">
        <f t="shared" si="121"/>
        <v>e-Hydrogen (compressed) - Africa</v>
      </c>
      <c r="D95" s="74">
        <f t="shared" si="122"/>
        <v>120</v>
      </c>
      <c r="E95" t="s">
        <v>200</v>
      </c>
      <c r="F95" t="str">
        <f t="shared" si="123"/>
        <v>e-Hydrogen (compressed)</v>
      </c>
      <c r="G95" t="s">
        <v>828</v>
      </c>
      <c r="H95" s="74">
        <f t="shared" si="124"/>
        <v>50.728106781414098</v>
      </c>
      <c r="I95" s="74">
        <f t="shared" si="124"/>
        <v>32.643812691154643</v>
      </c>
      <c r="J95" s="74">
        <f t="shared" si="124"/>
        <v>26.174303341695804</v>
      </c>
      <c r="K95" s="74">
        <f t="shared" si="124"/>
        <v>23.11800090542922</v>
      </c>
      <c r="L95" s="74">
        <f t="shared" si="124"/>
        <v>19.978853986683784</v>
      </c>
      <c r="M95" s="74">
        <f t="shared" si="124"/>
        <v>16.039299276209203</v>
      </c>
      <c r="N95" s="74">
        <f t="shared" si="124"/>
        <v>12.61495863849213</v>
      </c>
      <c r="O95" s="454"/>
      <c r="P95" s="74">
        <f t="shared" si="125"/>
        <v>35.699575637654135</v>
      </c>
      <c r="Q95" s="74">
        <f t="shared" si="125"/>
        <v>20.104553502361583</v>
      </c>
      <c r="R95" s="74">
        <f t="shared" si="125"/>
        <v>15.594180453165995</v>
      </c>
      <c r="S95" s="74">
        <f t="shared" si="125"/>
        <v>12.752851848724699</v>
      </c>
      <c r="T95" s="74">
        <f t="shared" si="125"/>
        <v>11.158057205591472</v>
      </c>
      <c r="U95" s="74">
        <f t="shared" si="125"/>
        <v>9.4753719350928627</v>
      </c>
      <c r="V95" s="74">
        <f t="shared" si="125"/>
        <v>8.5209419239084436</v>
      </c>
      <c r="W95"/>
      <c r="X95" s="2">
        <f t="shared" si="126"/>
        <v>2.4279169967523235</v>
      </c>
      <c r="Y95" s="2">
        <f t="shared" si="126"/>
        <v>2.4164999999999996</v>
      </c>
      <c r="Z95" s="2">
        <f t="shared" si="126"/>
        <v>2.3844189608069937</v>
      </c>
      <c r="AA95" s="2">
        <f t="shared" si="126"/>
        <v>2.2992105071273761</v>
      </c>
      <c r="AB95" s="2">
        <f t="shared" si="126"/>
        <v>2.1968832906641627</v>
      </c>
      <c r="AC95" s="2">
        <f t="shared" si="126"/>
        <v>2.0606527991130323</v>
      </c>
      <c r="AD95" s="2">
        <f t="shared" si="126"/>
        <v>1.9533374999999999</v>
      </c>
      <c r="AE95"/>
      <c r="AF95" s="2">
        <f t="shared" si="127"/>
        <v>0</v>
      </c>
      <c r="AG95" s="2">
        <f t="shared" si="127"/>
        <v>0</v>
      </c>
      <c r="AH95" s="2">
        <f t="shared" si="127"/>
        <v>0</v>
      </c>
      <c r="AI95" s="2">
        <f t="shared" si="127"/>
        <v>0</v>
      </c>
      <c r="AJ95" s="2">
        <f t="shared" si="127"/>
        <v>0</v>
      </c>
      <c r="AK95" s="2">
        <f t="shared" si="127"/>
        <v>0</v>
      </c>
      <c r="AL95" s="2">
        <f t="shared" si="127"/>
        <v>0</v>
      </c>
      <c r="AM95"/>
      <c r="AN95" s="24">
        <f t="shared" si="128"/>
        <v>2.4279169967523235</v>
      </c>
      <c r="AO95" s="24">
        <f t="shared" si="129"/>
        <v>2.4164999999999996</v>
      </c>
      <c r="AP95" s="24">
        <f t="shared" si="130"/>
        <v>2.3844189608069937</v>
      </c>
      <c r="AQ95" s="24">
        <f t="shared" si="131"/>
        <v>2.2992105071273761</v>
      </c>
      <c r="AR95" s="24">
        <f t="shared" si="132"/>
        <v>2.1968832906641627</v>
      </c>
      <c r="AS95" s="24">
        <f t="shared" si="133"/>
        <v>2.0606527991130323</v>
      </c>
      <c r="AT95" s="24">
        <f t="shared" si="134"/>
        <v>1.9533374999999999</v>
      </c>
      <c r="AU95"/>
      <c r="AV95" s="74">
        <f t="shared" si="135"/>
        <v>6.954698208561009</v>
      </c>
      <c r="AW95" s="74">
        <f t="shared" si="135"/>
        <v>5.8284799735047086</v>
      </c>
      <c r="AX95" s="74">
        <f t="shared" si="135"/>
        <v>5.1006155966441247</v>
      </c>
      <c r="AY95" s="74">
        <f t="shared" si="135"/>
        <v>5.3717465220194152</v>
      </c>
      <c r="AZ95" s="74">
        <f t="shared" si="135"/>
        <v>4.9428603537248019</v>
      </c>
      <c r="BA95" s="74">
        <f t="shared" si="135"/>
        <v>3.9479377560265272</v>
      </c>
      <c r="BB95" s="74">
        <f t="shared" si="135"/>
        <v>2.5862858672980442</v>
      </c>
      <c r="BC95" s="454"/>
      <c r="BD95" s="74">
        <f t="shared" si="136"/>
        <v>7.961332935198957</v>
      </c>
      <c r="BE95" s="74">
        <f t="shared" si="136"/>
        <v>6.5982792152883478</v>
      </c>
      <c r="BF95" s="74">
        <f t="shared" si="136"/>
        <v>5.3670072918856855</v>
      </c>
      <c r="BG95" s="74">
        <f t="shared" si="136"/>
        <v>4.8809025346851094</v>
      </c>
      <c r="BH95" s="74">
        <f t="shared" si="136"/>
        <v>3.7654364273675123</v>
      </c>
      <c r="BI95" s="74">
        <f t="shared" si="136"/>
        <v>2.5034895850898145</v>
      </c>
      <c r="BJ95" s="74">
        <f t="shared" si="136"/>
        <v>1.3952308472856418</v>
      </c>
      <c r="BK95" s="455"/>
      <c r="BL95" s="74">
        <f t="shared" si="137"/>
        <v>0</v>
      </c>
      <c r="BM95" s="74">
        <f t="shared" si="137"/>
        <v>0</v>
      </c>
      <c r="BN95" s="74">
        <f t="shared" si="137"/>
        <v>0</v>
      </c>
      <c r="BO95" s="74">
        <f t="shared" si="137"/>
        <v>0</v>
      </c>
      <c r="BP95" s="74">
        <f t="shared" si="137"/>
        <v>0</v>
      </c>
      <c r="BQ95" s="74">
        <f t="shared" si="137"/>
        <v>0</v>
      </c>
      <c r="BR95" s="74">
        <f t="shared" si="137"/>
        <v>0</v>
      </c>
      <c r="BS95" s="454"/>
      <c r="BT95" s="74">
        <f t="shared" si="138"/>
        <v>0</v>
      </c>
      <c r="BU95" s="74">
        <f t="shared" si="138"/>
        <v>0</v>
      </c>
      <c r="BV95" s="74">
        <f t="shared" si="138"/>
        <v>0</v>
      </c>
      <c r="BW95" s="74">
        <f t="shared" si="138"/>
        <v>0</v>
      </c>
      <c r="BX95" s="74">
        <f t="shared" si="138"/>
        <v>0</v>
      </c>
      <c r="BY95" s="74">
        <f t="shared" si="138"/>
        <v>0</v>
      </c>
      <c r="BZ95" s="74">
        <f t="shared" si="138"/>
        <v>0</v>
      </c>
    </row>
    <row r="96" spans="1:78" x14ac:dyDescent="0.2">
      <c r="A96" s="452"/>
      <c r="B96" s="453" t="str">
        <f t="shared" si="120"/>
        <v>e-Ammonia - Africa&amp;other - Fuel cost - USD/GJ</v>
      </c>
      <c r="C96" s="453" t="str">
        <f t="shared" si="121"/>
        <v>e-Ammonia - Africa</v>
      </c>
      <c r="D96" s="74">
        <f t="shared" si="122"/>
        <v>18.8</v>
      </c>
      <c r="E96" t="s">
        <v>200</v>
      </c>
      <c r="F96" t="str">
        <f t="shared" si="123"/>
        <v>e-Ammonia</v>
      </c>
      <c r="G96" t="s">
        <v>828</v>
      </c>
      <c r="H96" s="74">
        <f t="shared" si="124"/>
        <v>82.340306199678807</v>
      </c>
      <c r="I96" s="74">
        <f t="shared" si="124"/>
        <v>52.175832308439929</v>
      </c>
      <c r="J96" s="74">
        <f t="shared" si="124"/>
        <v>35.901023353676017</v>
      </c>
      <c r="K96" s="74">
        <f t="shared" si="124"/>
        <v>31.97387046407588</v>
      </c>
      <c r="L96" s="74">
        <f t="shared" si="124"/>
        <v>28.01377615901281</v>
      </c>
      <c r="M96" s="74">
        <f t="shared" si="124"/>
        <v>23.132499666415576</v>
      </c>
      <c r="N96" s="74">
        <f t="shared" si="124"/>
        <v>18.872149207560184</v>
      </c>
      <c r="O96" s="454"/>
      <c r="P96" s="74">
        <f t="shared" si="125"/>
        <v>42.066524921255279</v>
      </c>
      <c r="Q96" s="74">
        <f t="shared" si="125"/>
        <v>23.692954895809098</v>
      </c>
      <c r="R96" s="74">
        <f t="shared" si="125"/>
        <v>18.383738993823446</v>
      </c>
      <c r="S96" s="74">
        <f t="shared" si="125"/>
        <v>15.048294687420533</v>
      </c>
      <c r="T96" s="74">
        <f t="shared" si="125"/>
        <v>13.182587568560878</v>
      </c>
      <c r="U96" s="74">
        <f t="shared" si="125"/>
        <v>11.214955758883708</v>
      </c>
      <c r="V96" s="74">
        <f t="shared" si="125"/>
        <v>10.101524629249944</v>
      </c>
      <c r="W96"/>
      <c r="X96" s="2">
        <f t="shared" si="126"/>
        <v>2.8609312303111798</v>
      </c>
      <c r="Y96" s="2">
        <f t="shared" si="126"/>
        <v>2.8478138297872331</v>
      </c>
      <c r="Z96" s="2">
        <f t="shared" si="126"/>
        <v>2.8109547634803751</v>
      </c>
      <c r="AA96" s="2">
        <f t="shared" si="126"/>
        <v>2.7130556890399635</v>
      </c>
      <c r="AB96" s="2">
        <f t="shared" si="126"/>
        <v>2.5954882488481865</v>
      </c>
      <c r="AC96" s="2">
        <f t="shared" si="126"/>
        <v>2.4389681096192284</v>
      </c>
      <c r="AD96" s="2">
        <f t="shared" si="126"/>
        <v>2.3156696808510637</v>
      </c>
      <c r="AE96"/>
      <c r="AF96" s="2">
        <f t="shared" si="127"/>
        <v>0</v>
      </c>
      <c r="AG96" s="2">
        <f t="shared" si="127"/>
        <v>0</v>
      </c>
      <c r="AH96" s="2">
        <f t="shared" si="127"/>
        <v>0</v>
      </c>
      <c r="AI96" s="2">
        <f t="shared" si="127"/>
        <v>0</v>
      </c>
      <c r="AJ96" s="2">
        <f t="shared" si="127"/>
        <v>0</v>
      </c>
      <c r="AK96" s="2">
        <f t="shared" si="127"/>
        <v>0</v>
      </c>
      <c r="AL96" s="2">
        <f t="shared" si="127"/>
        <v>0</v>
      </c>
      <c r="AM96"/>
      <c r="AN96" s="24">
        <f t="shared" si="128"/>
        <v>2.8609312303111798</v>
      </c>
      <c r="AO96" s="24">
        <f t="shared" si="129"/>
        <v>2.8478138297872331</v>
      </c>
      <c r="AP96" s="24">
        <f t="shared" si="130"/>
        <v>2.8109547634803751</v>
      </c>
      <c r="AQ96" s="24">
        <f t="shared" si="131"/>
        <v>2.7130556890399635</v>
      </c>
      <c r="AR96" s="24">
        <f t="shared" si="132"/>
        <v>2.5954882488481865</v>
      </c>
      <c r="AS96" s="24">
        <f t="shared" si="133"/>
        <v>2.4389681096192284</v>
      </c>
      <c r="AT96" s="24">
        <f t="shared" si="134"/>
        <v>2.3156696808510637</v>
      </c>
      <c r="AU96"/>
      <c r="AV96" s="74">
        <f t="shared" si="135"/>
        <v>21.381461771538184</v>
      </c>
      <c r="AW96" s="74">
        <f t="shared" si="135"/>
        <v>14.91906918941676</v>
      </c>
      <c r="AX96" s="74">
        <f t="shared" si="135"/>
        <v>8.9143597635201992</v>
      </c>
      <c r="AY96" s="74">
        <f t="shared" si="135"/>
        <v>9.0496750820364902</v>
      </c>
      <c r="AZ96" s="74">
        <f t="shared" si="135"/>
        <v>8.3807154418682135</v>
      </c>
      <c r="BA96" s="74">
        <f t="shared" si="135"/>
        <v>7.0614160742999807</v>
      </c>
      <c r="BB96" s="74">
        <f t="shared" si="135"/>
        <v>5.3207681595906609</v>
      </c>
      <c r="BC96" s="454"/>
      <c r="BD96" s="74">
        <f t="shared" si="136"/>
        <v>18.892319506885336</v>
      </c>
      <c r="BE96" s="74">
        <f t="shared" si="136"/>
        <v>13.563808223214064</v>
      </c>
      <c r="BF96" s="74">
        <f t="shared" si="136"/>
        <v>8.6029245963323699</v>
      </c>
      <c r="BG96" s="74">
        <f t="shared" si="136"/>
        <v>7.8759006946188563</v>
      </c>
      <c r="BH96" s="74">
        <f t="shared" si="136"/>
        <v>6.4504731485837201</v>
      </c>
      <c r="BI96" s="74">
        <f t="shared" si="136"/>
        <v>4.8561278332318878</v>
      </c>
      <c r="BJ96" s="74">
        <f t="shared" si="136"/>
        <v>3.449856418719579</v>
      </c>
      <c r="BK96" s="455"/>
      <c r="BL96" s="74">
        <f t="shared" si="137"/>
        <v>0</v>
      </c>
      <c r="BM96" s="74">
        <f t="shared" si="137"/>
        <v>0</v>
      </c>
      <c r="BN96" s="74">
        <f t="shared" si="137"/>
        <v>0</v>
      </c>
      <c r="BO96" s="74">
        <f t="shared" si="137"/>
        <v>0</v>
      </c>
      <c r="BP96" s="74">
        <f t="shared" si="137"/>
        <v>0</v>
      </c>
      <c r="BQ96" s="74">
        <f t="shared" si="137"/>
        <v>0</v>
      </c>
      <c r="BR96" s="74">
        <f t="shared" si="137"/>
        <v>0</v>
      </c>
      <c r="BS96" s="454"/>
      <c r="BT96" s="74">
        <f t="shared" si="138"/>
        <v>0</v>
      </c>
      <c r="BU96" s="74">
        <f t="shared" si="138"/>
        <v>0</v>
      </c>
      <c r="BV96" s="74">
        <f t="shared" si="138"/>
        <v>0</v>
      </c>
      <c r="BW96" s="74">
        <f t="shared" si="138"/>
        <v>0</v>
      </c>
      <c r="BX96" s="74">
        <f t="shared" si="138"/>
        <v>0</v>
      </c>
      <c r="BY96" s="74">
        <f t="shared" si="138"/>
        <v>0</v>
      </c>
      <c r="BZ96" s="74">
        <f t="shared" si="138"/>
        <v>0</v>
      </c>
    </row>
    <row r="97" spans="1:78" x14ac:dyDescent="0.2">
      <c r="A97" s="452"/>
      <c r="B97" s="453" t="str">
        <f t="shared" si="120"/>
        <v>e-Methanol (DAC) - Africa&amp;other - Fuel cost - USD/GJ</v>
      </c>
      <c r="C97" s="453" t="str">
        <f t="shared" si="121"/>
        <v>e-Methanol (DAC) - Africa</v>
      </c>
      <c r="D97" s="74">
        <f t="shared" si="122"/>
        <v>19.899999999999999</v>
      </c>
      <c r="E97" t="s">
        <v>200</v>
      </c>
      <c r="F97" t="str">
        <f t="shared" si="123"/>
        <v>e-Methanol (DAC)</v>
      </c>
      <c r="G97" t="s">
        <v>828</v>
      </c>
      <c r="H97" s="74">
        <f t="shared" si="124"/>
        <v>112.65131192393916</v>
      </c>
      <c r="I97" s="74">
        <f t="shared" si="124"/>
        <v>75.217201060509353</v>
      </c>
      <c r="J97" s="74">
        <f t="shared" si="124"/>
        <v>58.828884319418627</v>
      </c>
      <c r="K97" s="74">
        <f t="shared" si="124"/>
        <v>50.978020003913464</v>
      </c>
      <c r="L97" s="74">
        <f t="shared" si="124"/>
        <v>44.069890440062785</v>
      </c>
      <c r="M97" s="74">
        <f t="shared" si="124"/>
        <v>35.990411202768136</v>
      </c>
      <c r="N97" s="74">
        <f t="shared" si="124"/>
        <v>28.986649929890941</v>
      </c>
      <c r="O97" s="454"/>
      <c r="P97" s="74">
        <f t="shared" si="125"/>
        <v>47.378691335046938</v>
      </c>
      <c r="Q97" s="74">
        <f t="shared" si="125"/>
        <v>26.699705077523408</v>
      </c>
      <c r="R97" s="74">
        <f t="shared" si="125"/>
        <v>20.749567305734615</v>
      </c>
      <c r="S97" s="74">
        <f t="shared" si="125"/>
        <v>17.05983267887725</v>
      </c>
      <c r="T97" s="74">
        <f t="shared" si="125"/>
        <v>15.030129534403015</v>
      </c>
      <c r="U97" s="74">
        <f t="shared" si="125"/>
        <v>12.89432469643871</v>
      </c>
      <c r="V97" s="74">
        <f t="shared" si="125"/>
        <v>11.69972899450552</v>
      </c>
      <c r="W97"/>
      <c r="X97" s="2">
        <f t="shared" si="126"/>
        <v>-65.873267376827087</v>
      </c>
      <c r="Y97" s="2">
        <f t="shared" si="126"/>
        <v>-65.886262255036513</v>
      </c>
      <c r="Z97" s="2">
        <f t="shared" si="126"/>
        <v>-65.922777041384307</v>
      </c>
      <c r="AA97" s="2">
        <f t="shared" si="126"/>
        <v>-66.01976169522986</v>
      </c>
      <c r="AB97" s="2">
        <f t="shared" si="126"/>
        <v>-66.136231003603598</v>
      </c>
      <c r="AC97" s="2">
        <f t="shared" si="126"/>
        <v>-66.291289175601065</v>
      </c>
      <c r="AD97" s="2">
        <f t="shared" si="126"/>
        <v>-66.413435942586673</v>
      </c>
      <c r="AE97"/>
      <c r="AF97" s="2">
        <f t="shared" si="127"/>
        <v>69.095477386934675</v>
      </c>
      <c r="AG97" s="2">
        <f t="shared" si="127"/>
        <v>69.095477386934675</v>
      </c>
      <c r="AH97" s="2">
        <f t="shared" si="127"/>
        <v>69.095477386934675</v>
      </c>
      <c r="AI97" s="2">
        <f t="shared" si="127"/>
        <v>69.095477386934675</v>
      </c>
      <c r="AJ97" s="2">
        <f t="shared" si="127"/>
        <v>69.095477386934675</v>
      </c>
      <c r="AK97" s="2">
        <f t="shared" si="127"/>
        <v>69.095477386934675</v>
      </c>
      <c r="AL97" s="2">
        <f t="shared" si="127"/>
        <v>69.095477386934675</v>
      </c>
      <c r="AM97"/>
      <c r="AN97" s="24">
        <f t="shared" si="128"/>
        <v>3.2222100101075881</v>
      </c>
      <c r="AO97" s="24">
        <f t="shared" si="129"/>
        <v>3.2092151318981621</v>
      </c>
      <c r="AP97" s="24">
        <f t="shared" si="130"/>
        <v>3.1727003455503677</v>
      </c>
      <c r="AQ97" s="24">
        <f t="shared" si="131"/>
        <v>3.075715691704815</v>
      </c>
      <c r="AR97" s="24">
        <f t="shared" si="132"/>
        <v>2.9592463833310774</v>
      </c>
      <c r="AS97" s="24">
        <f t="shared" si="133"/>
        <v>2.8041882113336101</v>
      </c>
      <c r="AT97" s="24">
        <f t="shared" si="134"/>
        <v>2.6820414443480018</v>
      </c>
      <c r="AU97"/>
      <c r="AV97" s="74">
        <f t="shared" si="135"/>
        <v>23.007996788310674</v>
      </c>
      <c r="AW97" s="74">
        <f t="shared" si="135"/>
        <v>18.618927333708019</v>
      </c>
      <c r="AX97" s="74">
        <f t="shared" si="135"/>
        <v>14.683266072503731</v>
      </c>
      <c r="AY97" s="74">
        <f t="shared" si="135"/>
        <v>13.993124820084045</v>
      </c>
      <c r="AZ97" s="74">
        <f t="shared" si="135"/>
        <v>12.506220892322306</v>
      </c>
      <c r="BA97" s="74">
        <f t="shared" si="135"/>
        <v>10.042137124589219</v>
      </c>
      <c r="BB97" s="74">
        <f t="shared" si="135"/>
        <v>7.1606403912445984</v>
      </c>
      <c r="BC97" s="454"/>
      <c r="BD97" s="74">
        <f t="shared" si="136"/>
        <v>16.023844632076788</v>
      </c>
      <c r="BE97" s="74">
        <f t="shared" si="136"/>
        <v>13.065375443611652</v>
      </c>
      <c r="BF97" s="74">
        <f t="shared" si="136"/>
        <v>10.256900901986613</v>
      </c>
      <c r="BG97" s="74">
        <f t="shared" si="136"/>
        <v>9.2513529252483391</v>
      </c>
      <c r="BH97" s="74">
        <f t="shared" si="136"/>
        <v>7.5294629654204552</v>
      </c>
      <c r="BI97" s="74">
        <f t="shared" si="136"/>
        <v>5.4900941905626723</v>
      </c>
      <c r="BJ97" s="74">
        <f t="shared" si="136"/>
        <v>3.6256539230169134</v>
      </c>
      <c r="BK97" s="455"/>
      <c r="BL97" s="74">
        <f t="shared" si="137"/>
        <v>26.24077916850478</v>
      </c>
      <c r="BM97" s="74">
        <f t="shared" si="137"/>
        <v>16.833193205666277</v>
      </c>
      <c r="BN97" s="74">
        <f t="shared" si="137"/>
        <v>13.139150039193673</v>
      </c>
      <c r="BO97" s="74">
        <f t="shared" si="137"/>
        <v>10.673709579703827</v>
      </c>
      <c r="BP97" s="74">
        <f t="shared" si="137"/>
        <v>9.0040770479170114</v>
      </c>
      <c r="BQ97" s="74">
        <f t="shared" si="137"/>
        <v>7.5638551911775336</v>
      </c>
      <c r="BR97" s="74">
        <f t="shared" si="137"/>
        <v>6.5006266211239074</v>
      </c>
      <c r="BS97" s="454"/>
      <c r="BT97" s="74">
        <f t="shared" si="138"/>
        <v>0</v>
      </c>
      <c r="BU97" s="74">
        <f t="shared" si="138"/>
        <v>0</v>
      </c>
      <c r="BV97" s="74">
        <f t="shared" si="138"/>
        <v>0</v>
      </c>
      <c r="BW97" s="74">
        <f t="shared" si="138"/>
        <v>0</v>
      </c>
      <c r="BX97" s="74">
        <f t="shared" si="138"/>
        <v>0</v>
      </c>
      <c r="BY97" s="74">
        <f t="shared" si="138"/>
        <v>0</v>
      </c>
      <c r="BZ97" s="74">
        <f t="shared" si="138"/>
        <v>0</v>
      </c>
    </row>
    <row r="98" spans="1:78" x14ac:dyDescent="0.2">
      <c r="A98" s="452"/>
      <c r="B98" s="453" t="str">
        <f t="shared" si="120"/>
        <v>e-Methanol (PS) - Africa&amp;other - Fuel cost - USD/GJ</v>
      </c>
      <c r="C98" s="453" t="str">
        <f t="shared" si="121"/>
        <v>e-Methanol (PS) - Africa</v>
      </c>
      <c r="D98" s="74">
        <f t="shared" si="122"/>
        <v>19.899999999999999</v>
      </c>
      <c r="E98" t="s">
        <v>200</v>
      </c>
      <c r="F98" t="str">
        <f t="shared" si="123"/>
        <v>e-Methanol (PS)</v>
      </c>
      <c r="G98" t="s">
        <v>828</v>
      </c>
      <c r="H98" s="74">
        <f t="shared" si="124"/>
        <v>99.842977622755228</v>
      </c>
      <c r="I98" s="74">
        <f t="shared" si="124"/>
        <v>68.842092077276845</v>
      </c>
      <c r="J98" s="74">
        <f t="shared" si="124"/>
        <v>53.941421477397</v>
      </c>
      <c r="K98" s="74">
        <f t="shared" si="124"/>
        <v>47.650349969440313</v>
      </c>
      <c r="L98" s="74">
        <f t="shared" si="124"/>
        <v>41.593907404945284</v>
      </c>
      <c r="M98" s="74">
        <f t="shared" si="124"/>
        <v>34.134499701963485</v>
      </c>
      <c r="N98" s="74">
        <f t="shared" si="124"/>
        <v>27.414648328902146</v>
      </c>
      <c r="O98" s="454"/>
      <c r="P98" s="74">
        <f t="shared" si="125"/>
        <v>47.378691335046938</v>
      </c>
      <c r="Q98" s="74">
        <f t="shared" si="125"/>
        <v>26.699705077523408</v>
      </c>
      <c r="R98" s="74">
        <f t="shared" si="125"/>
        <v>20.749567305734615</v>
      </c>
      <c r="S98" s="74">
        <f t="shared" si="125"/>
        <v>17.05983267887725</v>
      </c>
      <c r="T98" s="74">
        <f t="shared" si="125"/>
        <v>15.030129534403015</v>
      </c>
      <c r="U98" s="74">
        <f t="shared" si="125"/>
        <v>12.89432469643871</v>
      </c>
      <c r="V98" s="74">
        <f t="shared" si="125"/>
        <v>11.69972899450552</v>
      </c>
      <c r="W98"/>
      <c r="X98" s="2">
        <f t="shared" si="126"/>
        <v>-65.873267376827087</v>
      </c>
      <c r="Y98" s="2">
        <f t="shared" si="126"/>
        <v>-65.886262255036513</v>
      </c>
      <c r="Z98" s="2">
        <f t="shared" si="126"/>
        <v>-65.922777041384307</v>
      </c>
      <c r="AA98" s="2">
        <f t="shared" si="126"/>
        <v>-66.01976169522986</v>
      </c>
      <c r="AB98" s="2">
        <f t="shared" si="126"/>
        <v>-66.136231003603598</v>
      </c>
      <c r="AC98" s="2">
        <f t="shared" si="126"/>
        <v>-66.291289175601065</v>
      </c>
      <c r="AD98" s="2">
        <f t="shared" si="126"/>
        <v>-66.413435942586673</v>
      </c>
      <c r="AE98"/>
      <c r="AF98" s="2">
        <f t="shared" si="127"/>
        <v>69.095477386934675</v>
      </c>
      <c r="AG98" s="2">
        <f t="shared" si="127"/>
        <v>69.095477386934675</v>
      </c>
      <c r="AH98" s="2">
        <f t="shared" si="127"/>
        <v>69.095477386934675</v>
      </c>
      <c r="AI98" s="2">
        <f t="shared" si="127"/>
        <v>69.095477386934675</v>
      </c>
      <c r="AJ98" s="2">
        <f t="shared" si="127"/>
        <v>69.095477386934675</v>
      </c>
      <c r="AK98" s="2">
        <f t="shared" si="127"/>
        <v>69.095477386934675</v>
      </c>
      <c r="AL98" s="2">
        <f t="shared" si="127"/>
        <v>69.095477386934675</v>
      </c>
      <c r="AM98"/>
      <c r="AN98" s="24">
        <f t="shared" si="128"/>
        <v>3.2222100101075881</v>
      </c>
      <c r="AO98" s="24">
        <f t="shared" si="129"/>
        <v>3.2092151318981621</v>
      </c>
      <c r="AP98" s="24">
        <f t="shared" si="130"/>
        <v>3.1727003455503677</v>
      </c>
      <c r="AQ98" s="24">
        <f t="shared" si="131"/>
        <v>3.075715691704815</v>
      </c>
      <c r="AR98" s="24">
        <f t="shared" si="132"/>
        <v>2.9592463833310774</v>
      </c>
      <c r="AS98" s="24">
        <f t="shared" si="133"/>
        <v>2.8041882113336101</v>
      </c>
      <c r="AT98" s="24">
        <f t="shared" si="134"/>
        <v>2.6820414443480018</v>
      </c>
      <c r="AU98"/>
      <c r="AV98" s="74">
        <f t="shared" si="135"/>
        <v>23.007996788310674</v>
      </c>
      <c r="AW98" s="74">
        <f t="shared" si="135"/>
        <v>18.618927333708019</v>
      </c>
      <c r="AX98" s="74">
        <f t="shared" si="135"/>
        <v>14.683266072503731</v>
      </c>
      <c r="AY98" s="74">
        <f t="shared" si="135"/>
        <v>13.993124820084045</v>
      </c>
      <c r="AZ98" s="74">
        <f t="shared" si="135"/>
        <v>12.506220892322306</v>
      </c>
      <c r="BA98" s="74">
        <f t="shared" si="135"/>
        <v>10.042137124589219</v>
      </c>
      <c r="BB98" s="74">
        <f t="shared" si="135"/>
        <v>7.1606403912445984</v>
      </c>
      <c r="BC98" s="454"/>
      <c r="BD98" s="74">
        <f t="shared" si="136"/>
        <v>16.023844632076788</v>
      </c>
      <c r="BE98" s="74">
        <f t="shared" si="136"/>
        <v>13.065375443611652</v>
      </c>
      <c r="BF98" s="74">
        <f t="shared" si="136"/>
        <v>10.256900901986613</v>
      </c>
      <c r="BG98" s="74">
        <f t="shared" si="136"/>
        <v>9.2513529252483391</v>
      </c>
      <c r="BH98" s="74">
        <f t="shared" si="136"/>
        <v>7.5294629654204552</v>
      </c>
      <c r="BI98" s="74">
        <f t="shared" si="136"/>
        <v>5.4900941905626723</v>
      </c>
      <c r="BJ98" s="74">
        <f t="shared" si="136"/>
        <v>3.6256539230169134</v>
      </c>
      <c r="BK98" s="455"/>
      <c r="BL98" s="74">
        <f t="shared" si="137"/>
        <v>13.432444867320823</v>
      </c>
      <c r="BM98" s="74">
        <f t="shared" si="137"/>
        <v>10.458084222433767</v>
      </c>
      <c r="BN98" s="74">
        <f t="shared" si="137"/>
        <v>8.2516871971720409</v>
      </c>
      <c r="BO98" s="74">
        <f t="shared" si="137"/>
        <v>7.3460395452306821</v>
      </c>
      <c r="BP98" s="74">
        <f t="shared" si="137"/>
        <v>6.5280940127995137</v>
      </c>
      <c r="BQ98" s="74">
        <f t="shared" si="137"/>
        <v>5.7079436903728809</v>
      </c>
      <c r="BR98" s="74">
        <f t="shared" si="137"/>
        <v>4.9286250201351125</v>
      </c>
      <c r="BS98" s="454"/>
      <c r="BT98" s="74">
        <f t="shared" si="138"/>
        <v>0</v>
      </c>
      <c r="BU98" s="74">
        <f t="shared" si="138"/>
        <v>0</v>
      </c>
      <c r="BV98" s="74">
        <f t="shared" si="138"/>
        <v>0</v>
      </c>
      <c r="BW98" s="74">
        <f t="shared" si="138"/>
        <v>0</v>
      </c>
      <c r="BX98" s="74">
        <f t="shared" si="138"/>
        <v>0</v>
      </c>
      <c r="BY98" s="74">
        <f t="shared" si="138"/>
        <v>0</v>
      </c>
      <c r="BZ98" s="74">
        <f t="shared" si="138"/>
        <v>0</v>
      </c>
    </row>
    <row r="99" spans="1:78" x14ac:dyDescent="0.2">
      <c r="A99" s="452"/>
      <c r="B99" s="453" t="str">
        <f t="shared" si="120"/>
        <v>e-Diesel (DAC) - Africa&amp;other - Fuel cost - USD/GJ</v>
      </c>
      <c r="C99" s="453" t="str">
        <f t="shared" si="121"/>
        <v>e-Diesel (DAC) - Africa</v>
      </c>
      <c r="D99" s="74">
        <f t="shared" si="122"/>
        <v>42.7</v>
      </c>
      <c r="E99" t="s">
        <v>200</v>
      </c>
      <c r="F99" t="str">
        <f t="shared" si="123"/>
        <v>e-Diesel (DAC)</v>
      </c>
      <c r="G99" t="s">
        <v>828</v>
      </c>
      <c r="H99" s="74">
        <f t="shared" si="124"/>
        <v>127.90501000277912</v>
      </c>
      <c r="I99" s="74">
        <f t="shared" si="124"/>
        <v>86.277289035485367</v>
      </c>
      <c r="J99" s="74">
        <f t="shared" si="124"/>
        <v>67.75780306240577</v>
      </c>
      <c r="K99" s="74">
        <f t="shared" si="124"/>
        <v>59.61375935680347</v>
      </c>
      <c r="L99" s="74">
        <f t="shared" si="124"/>
        <v>52.329401317921445</v>
      </c>
      <c r="M99" s="74">
        <f t="shared" si="124"/>
        <v>42.186341428638599</v>
      </c>
      <c r="N99" s="74">
        <f t="shared" si="124"/>
        <v>33.497286085362056</v>
      </c>
      <c r="O99" s="454"/>
      <c r="P99" s="74">
        <f t="shared" si="125"/>
        <v>47.959756696164114</v>
      </c>
      <c r="Q99" s="74">
        <f t="shared" si="125"/>
        <v>26.973478495492145</v>
      </c>
      <c r="R99" s="74">
        <f t="shared" si="125"/>
        <v>20.899300144175026</v>
      </c>
      <c r="S99" s="74">
        <f t="shared" si="125"/>
        <v>17.079371536637588</v>
      </c>
      <c r="T99" s="74">
        <f t="shared" si="125"/>
        <v>14.935346829083896</v>
      </c>
      <c r="U99" s="74">
        <f t="shared" si="125"/>
        <v>12.679360529947958</v>
      </c>
      <c r="V99" s="74">
        <f t="shared" si="125"/>
        <v>11.397463575663975</v>
      </c>
      <c r="W99"/>
      <c r="X99" s="2">
        <f t="shared" si="126"/>
        <v>-71.898371469010129</v>
      </c>
      <c r="Y99" s="2">
        <f t="shared" si="126"/>
        <v>-71.917977773108731</v>
      </c>
      <c r="Z99" s="2">
        <f t="shared" si="126"/>
        <v>-71.964504396106349</v>
      </c>
      <c r="AA99" s="2">
        <f t="shared" si="126"/>
        <v>-72.08086120236382</v>
      </c>
      <c r="AB99" s="2">
        <f t="shared" si="126"/>
        <v>-72.219514710595647</v>
      </c>
      <c r="AC99" s="2">
        <f t="shared" si="126"/>
        <v>-72.40266058951876</v>
      </c>
      <c r="AD99" s="2">
        <f t="shared" si="126"/>
        <v>-72.547349318776185</v>
      </c>
      <c r="AE99"/>
      <c r="AF99" s="2">
        <f t="shared" si="127"/>
        <v>76.237236533957855</v>
      </c>
      <c r="AG99" s="2">
        <f t="shared" si="127"/>
        <v>76.237236533957855</v>
      </c>
      <c r="AH99" s="2">
        <f t="shared" si="127"/>
        <v>76.237236533957855</v>
      </c>
      <c r="AI99" s="2">
        <f t="shared" si="127"/>
        <v>76.237236533957855</v>
      </c>
      <c r="AJ99" s="2">
        <f t="shared" si="127"/>
        <v>76.237236533957855</v>
      </c>
      <c r="AK99" s="2">
        <f t="shared" si="127"/>
        <v>76.237236533957855</v>
      </c>
      <c r="AL99" s="2">
        <f t="shared" si="127"/>
        <v>76.237236533957855</v>
      </c>
      <c r="AM99"/>
      <c r="AN99" s="24">
        <f t="shared" si="128"/>
        <v>4.3388650649477256</v>
      </c>
      <c r="AO99" s="24">
        <f t="shared" si="129"/>
        <v>4.3192587608491237</v>
      </c>
      <c r="AP99" s="24">
        <f t="shared" si="130"/>
        <v>4.2727321378515057</v>
      </c>
      <c r="AQ99" s="24">
        <f t="shared" si="131"/>
        <v>4.1563753315940346</v>
      </c>
      <c r="AR99" s="24">
        <f t="shared" si="132"/>
        <v>4.0177218233622085</v>
      </c>
      <c r="AS99" s="24">
        <f t="shared" si="133"/>
        <v>3.834575944439095</v>
      </c>
      <c r="AT99" s="24">
        <f t="shared" si="134"/>
        <v>3.6898872151816704</v>
      </c>
      <c r="AU99"/>
      <c r="AV99" s="74">
        <f t="shared" si="135"/>
        <v>22.839460865640305</v>
      </c>
      <c r="AW99" s="74">
        <f t="shared" si="135"/>
        <v>19.69694622573768</v>
      </c>
      <c r="AX99" s="74">
        <f t="shared" si="135"/>
        <v>17.080594527339468</v>
      </c>
      <c r="AY99" s="74">
        <f t="shared" si="135"/>
        <v>16.76638962939645</v>
      </c>
      <c r="AZ99" s="74">
        <f t="shared" si="135"/>
        <v>15.527571989463206</v>
      </c>
      <c r="BA99" s="74">
        <f t="shared" si="135"/>
        <v>12.817065326461268</v>
      </c>
      <c r="BB99" s="74">
        <f t="shared" si="135"/>
        <v>9.6221668130119369</v>
      </c>
      <c r="BC99" s="454"/>
      <c r="BD99" s="74">
        <f t="shared" si="136"/>
        <v>26.120940926117576</v>
      </c>
      <c r="BE99" s="74">
        <f t="shared" si="136"/>
        <v>19.730396902629103</v>
      </c>
      <c r="BF99" s="74">
        <f t="shared" si="136"/>
        <v>14.263330474528166</v>
      </c>
      <c r="BG99" s="74">
        <f t="shared" si="136"/>
        <v>13.164587891246841</v>
      </c>
      <c r="BH99" s="74">
        <f t="shared" si="136"/>
        <v>11.234557716710246</v>
      </c>
      <c r="BI99" s="74">
        <f t="shared" si="136"/>
        <v>7.7585904589945036</v>
      </c>
      <c r="BJ99" s="74">
        <f t="shared" si="136"/>
        <v>4.801780322878459</v>
      </c>
      <c r="BK99" s="455"/>
      <c r="BL99" s="74">
        <f t="shared" si="137"/>
        <v>30.98485151485713</v>
      </c>
      <c r="BM99" s="74">
        <f t="shared" si="137"/>
        <v>19.87646741162645</v>
      </c>
      <c r="BN99" s="74">
        <f t="shared" si="137"/>
        <v>15.514577916363104</v>
      </c>
      <c r="BO99" s="74">
        <f t="shared" si="137"/>
        <v>12.603410299522599</v>
      </c>
      <c r="BP99" s="74">
        <f t="shared" si="137"/>
        <v>10.631924782664097</v>
      </c>
      <c r="BQ99" s="74">
        <f t="shared" si="137"/>
        <v>8.9313251132348697</v>
      </c>
      <c r="BR99" s="74">
        <f t="shared" si="137"/>
        <v>7.675875373807691</v>
      </c>
      <c r="BS99" s="454"/>
      <c r="BT99" s="74">
        <f t="shared" si="138"/>
        <v>0</v>
      </c>
      <c r="BU99" s="74">
        <f t="shared" si="138"/>
        <v>0</v>
      </c>
      <c r="BV99" s="74">
        <f t="shared" si="138"/>
        <v>0</v>
      </c>
      <c r="BW99" s="74">
        <f t="shared" si="138"/>
        <v>0</v>
      </c>
      <c r="BX99" s="74">
        <f t="shared" si="138"/>
        <v>0</v>
      </c>
      <c r="BY99" s="74">
        <f t="shared" si="138"/>
        <v>0</v>
      </c>
      <c r="BZ99" s="74">
        <f t="shared" si="138"/>
        <v>0</v>
      </c>
    </row>
    <row r="100" spans="1:78" x14ac:dyDescent="0.2">
      <c r="A100" s="452"/>
      <c r="B100" s="453" t="str">
        <f t="shared" si="120"/>
        <v>e-Diesel (PS) - Africa&amp;other - Fuel cost - USD/GJ</v>
      </c>
      <c r="C100" s="453" t="str">
        <f t="shared" si="121"/>
        <v>e-Diesel (PS) - Africa</v>
      </c>
      <c r="D100" s="74">
        <f t="shared" si="122"/>
        <v>42.7</v>
      </c>
      <c r="E100" t="s">
        <v>200</v>
      </c>
      <c r="F100" t="str">
        <f t="shared" si="123"/>
        <v>e-Diesel (PS)</v>
      </c>
      <c r="G100" t="s">
        <v>828</v>
      </c>
      <c r="H100" s="74">
        <f t="shared" si="124"/>
        <v>112.78105602540758</v>
      </c>
      <c r="I100" s="74">
        <f t="shared" si="124"/>
        <v>78.749623642318369</v>
      </c>
      <c r="J100" s="74">
        <f t="shared" si="124"/>
        <v>61.986735462927498</v>
      </c>
      <c r="K100" s="74">
        <f t="shared" si="124"/>
        <v>55.684479618328957</v>
      </c>
      <c r="L100" s="74">
        <f t="shared" si="124"/>
        <v>49.405785132450063</v>
      </c>
      <c r="M100" s="74">
        <f t="shared" si="124"/>
        <v>39.994899554604324</v>
      </c>
      <c r="N100" s="74">
        <f t="shared" si="124"/>
        <v>31.641082202277023</v>
      </c>
      <c r="O100" s="454"/>
      <c r="P100" s="74">
        <f t="shared" si="125"/>
        <v>47.959756696164114</v>
      </c>
      <c r="Q100" s="74">
        <f t="shared" si="125"/>
        <v>26.973478495492145</v>
      </c>
      <c r="R100" s="74">
        <f t="shared" si="125"/>
        <v>20.899300144175026</v>
      </c>
      <c r="S100" s="74">
        <f t="shared" si="125"/>
        <v>17.079371536637588</v>
      </c>
      <c r="T100" s="74">
        <f t="shared" si="125"/>
        <v>14.935346829083896</v>
      </c>
      <c r="U100" s="74">
        <f t="shared" si="125"/>
        <v>12.679360529947958</v>
      </c>
      <c r="V100" s="74">
        <f t="shared" si="125"/>
        <v>11.397463575663975</v>
      </c>
      <c r="W100"/>
      <c r="X100" s="2">
        <f t="shared" si="126"/>
        <v>-71.898371469010129</v>
      </c>
      <c r="Y100" s="2">
        <f t="shared" si="126"/>
        <v>-71.917977773108731</v>
      </c>
      <c r="Z100" s="2">
        <f t="shared" si="126"/>
        <v>-71.964504396106349</v>
      </c>
      <c r="AA100" s="2">
        <f t="shared" si="126"/>
        <v>-72.08086120236382</v>
      </c>
      <c r="AB100" s="2">
        <f t="shared" si="126"/>
        <v>-72.219514710595647</v>
      </c>
      <c r="AC100" s="2">
        <f t="shared" si="126"/>
        <v>-72.40266058951876</v>
      </c>
      <c r="AD100" s="2">
        <f t="shared" si="126"/>
        <v>-72.547349318776185</v>
      </c>
      <c r="AE100"/>
      <c r="AF100" s="2">
        <f t="shared" si="127"/>
        <v>76.237236533957855</v>
      </c>
      <c r="AG100" s="2">
        <f t="shared" si="127"/>
        <v>76.237236533957855</v>
      </c>
      <c r="AH100" s="2">
        <f t="shared" si="127"/>
        <v>76.237236533957855</v>
      </c>
      <c r="AI100" s="2">
        <f t="shared" si="127"/>
        <v>76.237236533957855</v>
      </c>
      <c r="AJ100" s="2">
        <f t="shared" si="127"/>
        <v>76.237236533957855</v>
      </c>
      <c r="AK100" s="2">
        <f t="shared" si="127"/>
        <v>76.237236533957855</v>
      </c>
      <c r="AL100" s="2">
        <f t="shared" si="127"/>
        <v>76.237236533957855</v>
      </c>
      <c r="AM100"/>
      <c r="AN100" s="24">
        <f t="shared" si="128"/>
        <v>4.3388650649477256</v>
      </c>
      <c r="AO100" s="24">
        <f t="shared" si="129"/>
        <v>4.3192587608491237</v>
      </c>
      <c r="AP100" s="24">
        <f t="shared" si="130"/>
        <v>4.2727321378515057</v>
      </c>
      <c r="AQ100" s="24">
        <f t="shared" si="131"/>
        <v>4.1563753315940346</v>
      </c>
      <c r="AR100" s="24">
        <f t="shared" si="132"/>
        <v>4.0177218233622085</v>
      </c>
      <c r="AS100" s="24">
        <f t="shared" si="133"/>
        <v>3.834575944439095</v>
      </c>
      <c r="AT100" s="24">
        <f t="shared" si="134"/>
        <v>3.6898872151816704</v>
      </c>
      <c r="AU100"/>
      <c r="AV100" s="74">
        <f t="shared" si="135"/>
        <v>22.839460865640305</v>
      </c>
      <c r="AW100" s="74">
        <f t="shared" si="135"/>
        <v>19.69694622573768</v>
      </c>
      <c r="AX100" s="74">
        <f t="shared" si="135"/>
        <v>17.080594527339468</v>
      </c>
      <c r="AY100" s="74">
        <f t="shared" si="135"/>
        <v>16.76638962939645</v>
      </c>
      <c r="AZ100" s="74">
        <f t="shared" si="135"/>
        <v>15.527571989463206</v>
      </c>
      <c r="BA100" s="74">
        <f t="shared" si="135"/>
        <v>12.817065326461268</v>
      </c>
      <c r="BB100" s="74">
        <f t="shared" si="135"/>
        <v>9.6221668130119369</v>
      </c>
      <c r="BC100" s="454"/>
      <c r="BD100" s="74">
        <f t="shared" si="136"/>
        <v>26.120940926117576</v>
      </c>
      <c r="BE100" s="74">
        <f t="shared" si="136"/>
        <v>19.730396902629103</v>
      </c>
      <c r="BF100" s="74">
        <f t="shared" si="136"/>
        <v>14.263330474528166</v>
      </c>
      <c r="BG100" s="74">
        <f t="shared" si="136"/>
        <v>13.164587891246841</v>
      </c>
      <c r="BH100" s="74">
        <f t="shared" si="136"/>
        <v>11.234557716710246</v>
      </c>
      <c r="BI100" s="74">
        <f t="shared" si="136"/>
        <v>7.7585904589945036</v>
      </c>
      <c r="BJ100" s="74">
        <f t="shared" si="136"/>
        <v>4.801780322878459</v>
      </c>
      <c r="BK100" s="455"/>
      <c r="BL100" s="74">
        <f t="shared" si="137"/>
        <v>15.860897537485586</v>
      </c>
      <c r="BM100" s="74">
        <f t="shared" si="137"/>
        <v>12.348802018459446</v>
      </c>
      <c r="BN100" s="74">
        <f t="shared" si="137"/>
        <v>9.7435103168848478</v>
      </c>
      <c r="BO100" s="74">
        <f t="shared" si="137"/>
        <v>8.6741305610480843</v>
      </c>
      <c r="BP100" s="74">
        <f t="shared" si="137"/>
        <v>7.7083085971927101</v>
      </c>
      <c r="BQ100" s="74">
        <f t="shared" si="137"/>
        <v>6.7398832392005907</v>
      </c>
      <c r="BR100" s="74">
        <f t="shared" si="137"/>
        <v>5.819671490722655</v>
      </c>
      <c r="BS100" s="454"/>
      <c r="BT100" s="74">
        <f t="shared" si="138"/>
        <v>0</v>
      </c>
      <c r="BU100" s="74">
        <f t="shared" si="138"/>
        <v>0</v>
      </c>
      <c r="BV100" s="74">
        <f t="shared" si="138"/>
        <v>0</v>
      </c>
      <c r="BW100" s="74">
        <f t="shared" si="138"/>
        <v>0</v>
      </c>
      <c r="BX100" s="74">
        <f t="shared" si="138"/>
        <v>0</v>
      </c>
      <c r="BY100" s="74">
        <f t="shared" si="138"/>
        <v>0</v>
      </c>
      <c r="BZ100" s="74">
        <f t="shared" si="138"/>
        <v>0</v>
      </c>
    </row>
    <row r="101" spans="1:78" x14ac:dyDescent="0.2">
      <c r="A101" s="452"/>
      <c r="B101" s="453" t="str">
        <f t="shared" si="120"/>
        <v>e-Methane (DAC) - Africa&amp;other - Fuel cost - USD/GJ</v>
      </c>
      <c r="C101" s="453" t="str">
        <f t="shared" si="121"/>
        <v>e-Methane (DAC) - Africa</v>
      </c>
      <c r="D101" s="74">
        <f t="shared" si="122"/>
        <v>50</v>
      </c>
      <c r="E101" t="s">
        <v>200</v>
      </c>
      <c r="F101" t="str">
        <f t="shared" si="123"/>
        <v>e-Methane (DAC)</v>
      </c>
      <c r="G101" t="s">
        <v>828</v>
      </c>
      <c r="H101" s="74">
        <f t="shared" si="124"/>
        <v>93.442980973366517</v>
      </c>
      <c r="I101" s="74">
        <f t="shared" si="124"/>
        <v>62.035125630685471</v>
      </c>
      <c r="J101" s="74">
        <f t="shared" si="124"/>
        <v>50.142425978918354</v>
      </c>
      <c r="K101" s="74">
        <f t="shared" si="124"/>
        <v>43.98119369643203</v>
      </c>
      <c r="L101" s="74">
        <f t="shared" si="124"/>
        <v>38.411760314759</v>
      </c>
      <c r="M101" s="74">
        <f t="shared" si="124"/>
        <v>31.829178409004971</v>
      </c>
      <c r="N101" s="74">
        <f t="shared" si="124"/>
        <v>26.192847472577569</v>
      </c>
      <c r="O101" s="454"/>
      <c r="P101" s="74">
        <f t="shared" si="125"/>
        <v>43.471165477065597</v>
      </c>
      <c r="Q101" s="74">
        <f t="shared" si="125"/>
        <v>24.482878487320328</v>
      </c>
      <c r="R101" s="74">
        <f t="shared" si="125"/>
        <v>18.993976393255043</v>
      </c>
      <c r="S101" s="74">
        <f t="shared" si="125"/>
        <v>15.541705104583318</v>
      </c>
      <c r="T101" s="74">
        <f t="shared" si="125"/>
        <v>13.607864187451167</v>
      </c>
      <c r="U101" s="74">
        <f t="shared" si="125"/>
        <v>11.567986625119689</v>
      </c>
      <c r="V101" s="74">
        <f t="shared" si="125"/>
        <v>10.412532467841384</v>
      </c>
      <c r="W101"/>
      <c r="X101" s="2">
        <f t="shared" si="126"/>
        <v>-51.979099603897218</v>
      </c>
      <c r="Y101" s="2">
        <f t="shared" si="126"/>
        <v>-51.992799999999995</v>
      </c>
      <c r="Z101" s="2">
        <f t="shared" si="126"/>
        <v>-52.031297247031617</v>
      </c>
      <c r="AA101" s="2">
        <f t="shared" si="126"/>
        <v>-52.133547391447145</v>
      </c>
      <c r="AB101" s="2">
        <f t="shared" si="126"/>
        <v>-52.256340051203011</v>
      </c>
      <c r="AC101" s="2">
        <f t="shared" si="126"/>
        <v>-52.419816641064365</v>
      </c>
      <c r="AD101" s="2">
        <f t="shared" si="126"/>
        <v>-52.548595000000006</v>
      </c>
      <c r="AE101"/>
      <c r="AF101" s="2">
        <f t="shared" si="127"/>
        <v>72.985200000000006</v>
      </c>
      <c r="AG101" s="2">
        <f t="shared" si="127"/>
        <v>72.985200000000006</v>
      </c>
      <c r="AH101" s="2">
        <f t="shared" si="127"/>
        <v>72.985200000000006</v>
      </c>
      <c r="AI101" s="2">
        <f t="shared" si="127"/>
        <v>72.985200000000006</v>
      </c>
      <c r="AJ101" s="2">
        <f t="shared" si="127"/>
        <v>72.985200000000006</v>
      </c>
      <c r="AK101" s="2">
        <f t="shared" si="127"/>
        <v>72.985200000000006</v>
      </c>
      <c r="AL101" s="2">
        <f t="shared" si="127"/>
        <v>72.985200000000006</v>
      </c>
      <c r="AM101"/>
      <c r="AN101" s="24">
        <f t="shared" si="128"/>
        <v>21.006100396102788</v>
      </c>
      <c r="AO101" s="24">
        <f t="shared" si="129"/>
        <v>20.992400000000011</v>
      </c>
      <c r="AP101" s="24">
        <f t="shared" si="130"/>
        <v>20.953902752968389</v>
      </c>
      <c r="AQ101" s="24">
        <f t="shared" si="131"/>
        <v>20.851652608552861</v>
      </c>
      <c r="AR101" s="24">
        <f t="shared" si="132"/>
        <v>20.728859948796995</v>
      </c>
      <c r="AS101" s="24">
        <f t="shared" si="133"/>
        <v>20.565383358935641</v>
      </c>
      <c r="AT101" s="24">
        <f t="shared" si="134"/>
        <v>20.436605</v>
      </c>
      <c r="AU101"/>
      <c r="AV101" s="74">
        <f t="shared" si="135"/>
        <v>15.595386966043161</v>
      </c>
      <c r="AW101" s="74">
        <f t="shared" si="135"/>
        <v>13.389509301538986</v>
      </c>
      <c r="AX101" s="74">
        <f t="shared" si="135"/>
        <v>11.94652881765445</v>
      </c>
      <c r="AY101" s="74">
        <f t="shared" si="135"/>
        <v>12.004830558018893</v>
      </c>
      <c r="AZ101" s="74">
        <f t="shared" si="135"/>
        <v>11.225216153959133</v>
      </c>
      <c r="BA101" s="74">
        <f t="shared" si="135"/>
        <v>9.6447467434717868</v>
      </c>
      <c r="BB101" s="74">
        <f t="shared" si="135"/>
        <v>7.6262097074243202</v>
      </c>
      <c r="BC101" s="454"/>
      <c r="BD101" s="74">
        <f t="shared" si="136"/>
        <v>13.51611159005969</v>
      </c>
      <c r="BE101" s="74">
        <f t="shared" si="136"/>
        <v>10.781056485075659</v>
      </c>
      <c r="BF101" s="74">
        <f t="shared" si="136"/>
        <v>8.7568485244466014</v>
      </c>
      <c r="BG101" s="74">
        <f t="shared" si="136"/>
        <v>7.9495073707926531</v>
      </c>
      <c r="BH101" s="74">
        <f t="shared" si="136"/>
        <v>6.4208170239531093</v>
      </c>
      <c r="BI101" s="74">
        <f t="shared" si="136"/>
        <v>4.603497956620151</v>
      </c>
      <c r="BJ101" s="74">
        <f t="shared" si="136"/>
        <v>2.9863802554696481</v>
      </c>
      <c r="BK101" s="455"/>
      <c r="BL101" s="74">
        <f t="shared" si="137"/>
        <v>20.860316940198075</v>
      </c>
      <c r="BM101" s="74">
        <f t="shared" si="137"/>
        <v>13.381681356750503</v>
      </c>
      <c r="BN101" s="74">
        <f t="shared" si="137"/>
        <v>10.44507224356226</v>
      </c>
      <c r="BO101" s="74">
        <f t="shared" si="137"/>
        <v>8.4851506630371674</v>
      </c>
      <c r="BP101" s="74">
        <f t="shared" si="137"/>
        <v>7.1578629493955885</v>
      </c>
      <c r="BQ101" s="74">
        <f t="shared" si="137"/>
        <v>6.0129470837933408</v>
      </c>
      <c r="BR101" s="74">
        <f t="shared" si="137"/>
        <v>5.1677250418422123</v>
      </c>
      <c r="BS101" s="454"/>
      <c r="BT101" s="74">
        <f t="shared" si="138"/>
        <v>0</v>
      </c>
      <c r="BU101" s="74">
        <f t="shared" si="138"/>
        <v>0</v>
      </c>
      <c r="BV101" s="74">
        <f t="shared" si="138"/>
        <v>0</v>
      </c>
      <c r="BW101" s="74">
        <f t="shared" si="138"/>
        <v>0</v>
      </c>
      <c r="BX101" s="74">
        <f t="shared" si="138"/>
        <v>0</v>
      </c>
      <c r="BY101" s="74">
        <f t="shared" si="138"/>
        <v>0</v>
      </c>
      <c r="BZ101" s="74">
        <f t="shared" si="138"/>
        <v>0</v>
      </c>
    </row>
    <row r="102" spans="1:78" x14ac:dyDescent="0.2">
      <c r="A102" s="452"/>
      <c r="B102" s="453" t="str">
        <f t="shared" si="120"/>
        <v>e-Methane (PS) - Africa&amp;other - Fuel cost - USD/GJ</v>
      </c>
      <c r="C102" s="453" t="str">
        <f t="shared" si="121"/>
        <v>e-Methane (PS) - Africa</v>
      </c>
      <c r="D102" s="74">
        <f t="shared" si="122"/>
        <v>50</v>
      </c>
      <c r="E102" t="s">
        <v>200</v>
      </c>
      <c r="F102" t="str">
        <f t="shared" si="123"/>
        <v>e-Methane (PS)</v>
      </c>
      <c r="G102" t="s">
        <v>828</v>
      </c>
      <c r="H102" s="74">
        <f t="shared" si="124"/>
        <v>83.260893342394226</v>
      </c>
      <c r="I102" s="74">
        <f t="shared" si="124"/>
        <v>56.967181837379584</v>
      </c>
      <c r="J102" s="74">
        <f t="shared" si="124"/>
        <v>46.257098364851863</v>
      </c>
      <c r="K102" s="74">
        <f t="shared" si="124"/>
        <v>41.335835830121958</v>
      </c>
      <c r="L102" s="74">
        <f t="shared" si="124"/>
        <v>36.443457829553196</v>
      </c>
      <c r="M102" s="74">
        <f t="shared" si="124"/>
        <v>30.353806741451329</v>
      </c>
      <c r="N102" s="74">
        <f t="shared" si="124"/>
        <v>24.943172246985036</v>
      </c>
      <c r="O102" s="454"/>
      <c r="P102" s="74">
        <f t="shared" si="125"/>
        <v>43.471165477065597</v>
      </c>
      <c r="Q102" s="74">
        <f t="shared" si="125"/>
        <v>24.482878487320328</v>
      </c>
      <c r="R102" s="74">
        <f t="shared" si="125"/>
        <v>18.993976393255043</v>
      </c>
      <c r="S102" s="74">
        <f t="shared" si="125"/>
        <v>15.541705104583318</v>
      </c>
      <c r="T102" s="74">
        <f t="shared" si="125"/>
        <v>13.607864187451167</v>
      </c>
      <c r="U102" s="74">
        <f t="shared" si="125"/>
        <v>11.567986625119689</v>
      </c>
      <c r="V102" s="74">
        <f t="shared" si="125"/>
        <v>10.412532467841384</v>
      </c>
      <c r="W102"/>
      <c r="X102" s="2">
        <f t="shared" si="126"/>
        <v>-51.979099603897218</v>
      </c>
      <c r="Y102" s="2">
        <f t="shared" si="126"/>
        <v>-51.992799999999995</v>
      </c>
      <c r="Z102" s="2">
        <f t="shared" si="126"/>
        <v>-52.031297247031617</v>
      </c>
      <c r="AA102" s="2">
        <f t="shared" si="126"/>
        <v>-52.133547391447145</v>
      </c>
      <c r="AB102" s="2">
        <f t="shared" si="126"/>
        <v>-52.256340051203011</v>
      </c>
      <c r="AC102" s="2">
        <f t="shared" si="126"/>
        <v>-52.419816641064365</v>
      </c>
      <c r="AD102" s="2">
        <f t="shared" si="126"/>
        <v>-52.548595000000006</v>
      </c>
      <c r="AE102"/>
      <c r="AF102" s="2">
        <f t="shared" si="127"/>
        <v>72.985200000000006</v>
      </c>
      <c r="AG102" s="2">
        <f t="shared" si="127"/>
        <v>72.985200000000006</v>
      </c>
      <c r="AH102" s="2">
        <f t="shared" si="127"/>
        <v>72.985200000000006</v>
      </c>
      <c r="AI102" s="2">
        <f t="shared" si="127"/>
        <v>72.985200000000006</v>
      </c>
      <c r="AJ102" s="2">
        <f t="shared" si="127"/>
        <v>72.985200000000006</v>
      </c>
      <c r="AK102" s="2">
        <f t="shared" si="127"/>
        <v>72.985200000000006</v>
      </c>
      <c r="AL102" s="2">
        <f t="shared" si="127"/>
        <v>72.985200000000006</v>
      </c>
      <c r="AM102"/>
      <c r="AN102" s="24">
        <f t="shared" si="128"/>
        <v>21.006100396102788</v>
      </c>
      <c r="AO102" s="24">
        <f t="shared" si="129"/>
        <v>20.992400000000011</v>
      </c>
      <c r="AP102" s="24">
        <f t="shared" si="130"/>
        <v>20.953902752968389</v>
      </c>
      <c r="AQ102" s="24">
        <f t="shared" si="131"/>
        <v>20.851652608552861</v>
      </c>
      <c r="AR102" s="24">
        <f t="shared" si="132"/>
        <v>20.728859948796995</v>
      </c>
      <c r="AS102" s="24">
        <f t="shared" si="133"/>
        <v>20.565383358935641</v>
      </c>
      <c r="AT102" s="24">
        <f t="shared" si="134"/>
        <v>20.436605</v>
      </c>
      <c r="AU102"/>
      <c r="AV102" s="74">
        <f t="shared" si="135"/>
        <v>15.595386966043161</v>
      </c>
      <c r="AW102" s="74">
        <f t="shared" si="135"/>
        <v>13.389509301538986</v>
      </c>
      <c r="AX102" s="74">
        <f t="shared" si="135"/>
        <v>11.94652881765445</v>
      </c>
      <c r="AY102" s="74">
        <f t="shared" si="135"/>
        <v>12.004830558018893</v>
      </c>
      <c r="AZ102" s="74">
        <f t="shared" si="135"/>
        <v>11.225216153959133</v>
      </c>
      <c r="BA102" s="74">
        <f t="shared" si="135"/>
        <v>9.6447467434717868</v>
      </c>
      <c r="BB102" s="74">
        <f t="shared" si="135"/>
        <v>7.6262097074243202</v>
      </c>
      <c r="BC102" s="454"/>
      <c r="BD102" s="74">
        <f t="shared" si="136"/>
        <v>13.51611159005969</v>
      </c>
      <c r="BE102" s="74">
        <f t="shared" si="136"/>
        <v>10.781056485075659</v>
      </c>
      <c r="BF102" s="74">
        <f t="shared" si="136"/>
        <v>8.7568485244466014</v>
      </c>
      <c r="BG102" s="74">
        <f t="shared" si="136"/>
        <v>7.9495073707926531</v>
      </c>
      <c r="BH102" s="74">
        <f t="shared" si="136"/>
        <v>6.4208170239531093</v>
      </c>
      <c r="BI102" s="74">
        <f t="shared" si="136"/>
        <v>4.603497956620151</v>
      </c>
      <c r="BJ102" s="74">
        <f t="shared" si="136"/>
        <v>2.9863802554696481</v>
      </c>
      <c r="BK102" s="455"/>
      <c r="BL102" s="74">
        <f t="shared" si="137"/>
        <v>10.67822930922579</v>
      </c>
      <c r="BM102" s="74">
        <f t="shared" si="137"/>
        <v>8.313737563444624</v>
      </c>
      <c r="BN102" s="74">
        <f t="shared" si="137"/>
        <v>6.5597446294957624</v>
      </c>
      <c r="BO102" s="74">
        <f t="shared" si="137"/>
        <v>5.8397927967270924</v>
      </c>
      <c r="BP102" s="74">
        <f t="shared" si="137"/>
        <v>5.1895604641897863</v>
      </c>
      <c r="BQ102" s="74">
        <f t="shared" si="137"/>
        <v>4.5375754162397008</v>
      </c>
      <c r="BR102" s="74">
        <f t="shared" si="137"/>
        <v>3.9180498162496797</v>
      </c>
      <c r="BS102" s="454"/>
      <c r="BT102" s="74">
        <f t="shared" si="138"/>
        <v>0</v>
      </c>
      <c r="BU102" s="74">
        <f t="shared" si="138"/>
        <v>0</v>
      </c>
      <c r="BV102" s="74">
        <f t="shared" si="138"/>
        <v>0</v>
      </c>
      <c r="BW102" s="74">
        <f t="shared" si="138"/>
        <v>0</v>
      </c>
      <c r="BX102" s="74">
        <f t="shared" si="138"/>
        <v>0</v>
      </c>
      <c r="BY102" s="74">
        <f t="shared" si="138"/>
        <v>0</v>
      </c>
      <c r="BZ102" s="74">
        <f t="shared" si="138"/>
        <v>0</v>
      </c>
    </row>
    <row r="103" spans="1:78" x14ac:dyDescent="0.2">
      <c r="A103" s="452"/>
      <c r="B103" s="453" t="str">
        <f t="shared" si="120"/>
        <v>Blue ammonia - Africa&amp;other - Fuel cost - USD/GJ</v>
      </c>
      <c r="C103" s="453" t="str">
        <f t="shared" si="121"/>
        <v>Blue ammonia - Africa</v>
      </c>
      <c r="D103" s="74">
        <f t="shared" si="122"/>
        <v>18.8</v>
      </c>
      <c r="E103" t="s">
        <v>200</v>
      </c>
      <c r="F103" t="str">
        <f t="shared" si="123"/>
        <v>Blue ammonia</v>
      </c>
      <c r="G103" t="s">
        <v>828</v>
      </c>
      <c r="H103" s="74">
        <f t="shared" si="124"/>
        <v>78.707277411124849</v>
      </c>
      <c r="I103" s="74">
        <f t="shared" si="124"/>
        <v>41.181210826925323</v>
      </c>
      <c r="J103" s="74">
        <f t="shared" si="124"/>
        <v>31.956469409910522</v>
      </c>
      <c r="K103" s="74">
        <f t="shared" si="124"/>
        <v>31.508374378172132</v>
      </c>
      <c r="L103" s="74">
        <f t="shared" si="124"/>
        <v>31.084971721395515</v>
      </c>
      <c r="M103" s="74">
        <f t="shared" si="124"/>
        <v>30.660948309937211</v>
      </c>
      <c r="N103" s="74">
        <f t="shared" si="124"/>
        <v>30.248420977157352</v>
      </c>
      <c r="O103" s="454"/>
      <c r="P103" s="74">
        <f t="shared" si="125"/>
        <v>0</v>
      </c>
      <c r="Q103" s="74">
        <f t="shared" si="125"/>
        <v>0</v>
      </c>
      <c r="R103" s="74">
        <f t="shared" si="125"/>
        <v>0</v>
      </c>
      <c r="S103" s="74">
        <f t="shared" si="125"/>
        <v>0</v>
      </c>
      <c r="T103" s="74">
        <f t="shared" si="125"/>
        <v>0</v>
      </c>
      <c r="U103" s="74">
        <f t="shared" si="125"/>
        <v>0</v>
      </c>
      <c r="V103" s="74">
        <f t="shared" si="125"/>
        <v>0</v>
      </c>
      <c r="W103"/>
      <c r="X103" s="2">
        <f t="shared" si="126"/>
        <v>22.083989361702127</v>
      </c>
      <c r="Y103" s="2">
        <f t="shared" si="126"/>
        <v>21.082590425531919</v>
      </c>
      <c r="Z103" s="2">
        <f t="shared" si="126"/>
        <v>20.081191489361693</v>
      </c>
      <c r="AA103" s="2">
        <f t="shared" si="126"/>
        <v>19.079792553191478</v>
      </c>
      <c r="AB103" s="2">
        <f t="shared" si="126"/>
        <v>18.078393617021277</v>
      </c>
      <c r="AC103" s="2">
        <f t="shared" si="126"/>
        <v>17.076994680851062</v>
      </c>
      <c r="AD103" s="2">
        <f t="shared" si="126"/>
        <v>16.075595744680854</v>
      </c>
      <c r="AE103"/>
      <c r="AF103" s="2">
        <f t="shared" si="127"/>
        <v>0</v>
      </c>
      <c r="AG103" s="2">
        <f t="shared" si="127"/>
        <v>0</v>
      </c>
      <c r="AH103" s="2">
        <f t="shared" si="127"/>
        <v>0</v>
      </c>
      <c r="AI103" s="2">
        <f t="shared" si="127"/>
        <v>0</v>
      </c>
      <c r="AJ103" s="2">
        <f t="shared" si="127"/>
        <v>0</v>
      </c>
      <c r="AK103" s="2">
        <f t="shared" si="127"/>
        <v>0</v>
      </c>
      <c r="AL103" s="2">
        <f t="shared" si="127"/>
        <v>0</v>
      </c>
      <c r="AM103"/>
      <c r="AN103" s="24">
        <f t="shared" si="128"/>
        <v>22.083989361702127</v>
      </c>
      <c r="AO103" s="24">
        <f t="shared" si="129"/>
        <v>21.082590425531919</v>
      </c>
      <c r="AP103" s="24">
        <f t="shared" si="130"/>
        <v>20.081191489361693</v>
      </c>
      <c r="AQ103" s="24">
        <f t="shared" si="131"/>
        <v>19.079792553191478</v>
      </c>
      <c r="AR103" s="24">
        <f t="shared" si="132"/>
        <v>18.078393617021277</v>
      </c>
      <c r="AS103" s="24">
        <f t="shared" si="133"/>
        <v>17.076994680851062</v>
      </c>
      <c r="AT103" s="24">
        <f t="shared" si="134"/>
        <v>16.075595744680854</v>
      </c>
      <c r="AU103"/>
      <c r="AV103" s="74">
        <f t="shared" si="135"/>
        <v>5.9202127659574479</v>
      </c>
      <c r="AW103" s="74">
        <f t="shared" si="135"/>
        <v>5.6382978723404271</v>
      </c>
      <c r="AX103" s="74">
        <f t="shared" si="135"/>
        <v>5.3563829787234045</v>
      </c>
      <c r="AY103" s="74">
        <f t="shared" si="135"/>
        <v>5.0744680851063837</v>
      </c>
      <c r="AZ103" s="74">
        <f t="shared" si="135"/>
        <v>4.7925531914893629</v>
      </c>
      <c r="BA103" s="74">
        <f t="shared" si="135"/>
        <v>4.5106382978723421</v>
      </c>
      <c r="BB103" s="74">
        <f t="shared" si="135"/>
        <v>4.2287234042553195</v>
      </c>
      <c r="BC103" s="454"/>
      <c r="BD103" s="74">
        <f t="shared" si="136"/>
        <v>2.6808510638297869</v>
      </c>
      <c r="BE103" s="74">
        <f t="shared" si="136"/>
        <v>2.5531914893617018</v>
      </c>
      <c r="BF103" s="74">
        <f t="shared" si="136"/>
        <v>2.4255319148936172</v>
      </c>
      <c r="BG103" s="74">
        <f t="shared" si="136"/>
        <v>2.2978723404255321</v>
      </c>
      <c r="BH103" s="74">
        <f t="shared" si="136"/>
        <v>2.1702127659574471</v>
      </c>
      <c r="BI103" s="74">
        <f t="shared" si="136"/>
        <v>2.0425531914893615</v>
      </c>
      <c r="BJ103" s="74">
        <f t="shared" si="136"/>
        <v>1.9148936170212765</v>
      </c>
      <c r="BK103" s="455"/>
      <c r="BL103" s="74">
        <f t="shared" si="137"/>
        <v>6.9795744680851062</v>
      </c>
      <c r="BM103" s="74">
        <f t="shared" si="137"/>
        <v>7.029787234042554</v>
      </c>
      <c r="BN103" s="74">
        <f t="shared" si="137"/>
        <v>7.08</v>
      </c>
      <c r="BO103" s="74">
        <f t="shared" si="137"/>
        <v>7.130212765957447</v>
      </c>
      <c r="BP103" s="74">
        <f t="shared" si="137"/>
        <v>7.180425531914894</v>
      </c>
      <c r="BQ103" s="74">
        <f t="shared" si="137"/>
        <v>7.2306382978723409</v>
      </c>
      <c r="BR103" s="74">
        <f t="shared" si="137"/>
        <v>7.280851063829787</v>
      </c>
      <c r="BS103" s="454"/>
      <c r="BT103" s="74">
        <f t="shared" si="138"/>
        <v>63.126639113252502</v>
      </c>
      <c r="BU103" s="74">
        <f t="shared" si="138"/>
        <v>25.95993423118064</v>
      </c>
      <c r="BV103" s="74">
        <f t="shared" si="138"/>
        <v>17.094554516293496</v>
      </c>
      <c r="BW103" s="74">
        <f t="shared" si="138"/>
        <v>17.005821186682773</v>
      </c>
      <c r="BX103" s="74">
        <f t="shared" si="138"/>
        <v>16.941780232033814</v>
      </c>
      <c r="BY103" s="74">
        <f t="shared" si="138"/>
        <v>16.877118522703167</v>
      </c>
      <c r="BZ103" s="74">
        <f t="shared" si="138"/>
        <v>16.823952892050968</v>
      </c>
    </row>
    <row r="104" spans="1:78" x14ac:dyDescent="0.2">
      <c r="A104" s="452"/>
      <c r="B104" s="453" t="str">
        <f t="shared" si="120"/>
        <v>LSFO - Africa&amp;other - Fuel cost - USD/GJ</v>
      </c>
      <c r="C104" s="453" t="str">
        <f t="shared" si="121"/>
        <v>LSFO - Africa</v>
      </c>
      <c r="D104" s="74">
        <f t="shared" si="122"/>
        <v>41.2</v>
      </c>
      <c r="E104" t="s">
        <v>200</v>
      </c>
      <c r="F104" t="str">
        <f t="shared" si="123"/>
        <v>LSFO</v>
      </c>
      <c r="G104" t="s">
        <v>828</v>
      </c>
      <c r="H104" s="74">
        <f t="shared" ref="H104:N114" si="139">INDEX(H$142:H$292,MATCH($E104&amp;$F104,$D$142:$D$292,0))/$D104</f>
        <v>21.473621920116738</v>
      </c>
      <c r="I104" s="74">
        <f t="shared" si="139"/>
        <v>15.404989638344617</v>
      </c>
      <c r="J104" s="74">
        <f t="shared" si="139"/>
        <v>13.444354593464393</v>
      </c>
      <c r="K104" s="74">
        <f t="shared" si="139"/>
        <v>13.444354593464393</v>
      </c>
      <c r="L104" s="74">
        <f t="shared" si="139"/>
        <v>13.444354593464393</v>
      </c>
      <c r="M104" s="74">
        <f t="shared" si="139"/>
        <v>13.444354593464393</v>
      </c>
      <c r="N104" s="74">
        <f t="shared" si="139"/>
        <v>13.444354593464393</v>
      </c>
      <c r="O104" s="454"/>
      <c r="P104" s="74">
        <f t="shared" ref="P104:V114" si="140">IFERROR(INDEX(P$142:P$292,MATCH($E104&amp;$F104,$D$142:$D$292,0))/$D104,"--")</f>
        <v>0</v>
      </c>
      <c r="Q104" s="74">
        <f t="shared" si="140"/>
        <v>0</v>
      </c>
      <c r="R104" s="74">
        <f t="shared" si="140"/>
        <v>0</v>
      </c>
      <c r="S104" s="74">
        <f t="shared" si="140"/>
        <v>0</v>
      </c>
      <c r="T104" s="74">
        <f t="shared" si="140"/>
        <v>0</v>
      </c>
      <c r="U104" s="74">
        <f t="shared" si="140"/>
        <v>0</v>
      </c>
      <c r="V104" s="74">
        <f t="shared" si="140"/>
        <v>0</v>
      </c>
      <c r="W104"/>
      <c r="X104" s="2">
        <f t="shared" ref="X104:AD114" si="141">INDEX(X$142:X$292,MATCH($E104&amp;$F104,$D$142:$D$292,0))/$D104*1000</f>
        <v>15.899999999999997</v>
      </c>
      <c r="Y104" s="2">
        <f t="shared" si="141"/>
        <v>15.899999999999997</v>
      </c>
      <c r="Z104" s="2">
        <f t="shared" si="141"/>
        <v>15.899999999999997</v>
      </c>
      <c r="AA104" s="2">
        <f t="shared" si="141"/>
        <v>15.899999999999997</v>
      </c>
      <c r="AB104" s="2">
        <f t="shared" si="141"/>
        <v>15.899999999999997</v>
      </c>
      <c r="AC104" s="2">
        <f t="shared" si="141"/>
        <v>15.899999999999997</v>
      </c>
      <c r="AD104" s="2">
        <f t="shared" si="141"/>
        <v>15.899999999999997</v>
      </c>
      <c r="AE104"/>
      <c r="AF104" s="2">
        <f t="shared" ref="AF104:AL114" si="142">INDEX(AF$142:AF$292,MATCH($E104&amp;$F104,$D$142:$D$292,0))/$D104*1000</f>
        <v>76.779854368932035</v>
      </c>
      <c r="AG104" s="2">
        <f t="shared" si="142"/>
        <v>76.779854368932035</v>
      </c>
      <c r="AH104" s="2">
        <f t="shared" si="142"/>
        <v>76.779854368932035</v>
      </c>
      <c r="AI104" s="2">
        <f t="shared" si="142"/>
        <v>76.779854368932035</v>
      </c>
      <c r="AJ104" s="2">
        <f t="shared" si="142"/>
        <v>76.779854368932035</v>
      </c>
      <c r="AK104" s="2">
        <f t="shared" si="142"/>
        <v>76.779854368932035</v>
      </c>
      <c r="AL104" s="2">
        <f t="shared" si="142"/>
        <v>76.779854368932035</v>
      </c>
      <c r="AM104"/>
      <c r="AN104" s="24">
        <f t="shared" si="128"/>
        <v>92.679854368932027</v>
      </c>
      <c r="AO104" s="24">
        <f t="shared" si="129"/>
        <v>92.679854368932027</v>
      </c>
      <c r="AP104" s="24">
        <f t="shared" si="130"/>
        <v>92.679854368932027</v>
      </c>
      <c r="AQ104" s="24">
        <f t="shared" si="131"/>
        <v>92.679854368932027</v>
      </c>
      <c r="AR104" s="24">
        <f t="shared" si="132"/>
        <v>92.679854368932027</v>
      </c>
      <c r="AS104" s="24">
        <f t="shared" si="133"/>
        <v>92.679854368932027</v>
      </c>
      <c r="AT104" s="24">
        <f t="shared" si="134"/>
        <v>92.679854368932027</v>
      </c>
      <c r="AU104"/>
      <c r="AV104" s="74">
        <f t="shared" ref="AV104:BB114" si="143">IFERROR(INDEX(AV$142:AV$266,MATCH($E104&amp;$F104,$D$142:$D$266,0))/$D104,"NA")</f>
        <v>0</v>
      </c>
      <c r="AW104" s="74">
        <f t="shared" si="143"/>
        <v>0</v>
      </c>
      <c r="AX104" s="74">
        <f t="shared" si="143"/>
        <v>0</v>
      </c>
      <c r="AY104" s="74">
        <f t="shared" si="143"/>
        <v>0</v>
      </c>
      <c r="AZ104" s="74">
        <f t="shared" si="143"/>
        <v>0</v>
      </c>
      <c r="BA104" s="74">
        <f t="shared" si="143"/>
        <v>0</v>
      </c>
      <c r="BB104" s="74">
        <f t="shared" si="143"/>
        <v>0</v>
      </c>
      <c r="BC104" s="454"/>
      <c r="BD104" s="74">
        <f t="shared" ref="BD104:BJ114" si="144">IFERROR(INDEX(BD$142:BD$266,MATCH($E104&amp;$F104,$D$142:$D$266,0))/$D104,"NA")</f>
        <v>0</v>
      </c>
      <c r="BE104" s="74">
        <f t="shared" si="144"/>
        <v>0</v>
      </c>
      <c r="BF104" s="74">
        <f t="shared" si="144"/>
        <v>0</v>
      </c>
      <c r="BG104" s="74">
        <f t="shared" si="144"/>
        <v>0</v>
      </c>
      <c r="BH104" s="74">
        <f t="shared" si="144"/>
        <v>0</v>
      </c>
      <c r="BI104" s="74">
        <f t="shared" si="144"/>
        <v>0</v>
      </c>
      <c r="BJ104" s="74">
        <f t="shared" si="144"/>
        <v>0</v>
      </c>
      <c r="BK104" s="455"/>
      <c r="BL104" s="74">
        <f t="shared" ref="BL104:BR114" si="145">IFERROR(INDEX(BL$142:BL$266,MATCH($E104&amp;$F104,$D$142:$D$266,0))/$D104,"NA")</f>
        <v>0</v>
      </c>
      <c r="BM104" s="74">
        <f t="shared" si="145"/>
        <v>0</v>
      </c>
      <c r="BN104" s="74">
        <f t="shared" si="145"/>
        <v>0</v>
      </c>
      <c r="BO104" s="74">
        <f t="shared" si="145"/>
        <v>0</v>
      </c>
      <c r="BP104" s="74">
        <f t="shared" si="145"/>
        <v>0</v>
      </c>
      <c r="BQ104" s="74">
        <f t="shared" si="145"/>
        <v>0</v>
      </c>
      <c r="BR104" s="74">
        <f t="shared" si="145"/>
        <v>0</v>
      </c>
      <c r="BS104" s="454"/>
      <c r="BT104" s="74">
        <f t="shared" ref="BT104:BZ114" si="146">IFERROR(INDEX(BT$142:BT$266,MATCH($E104&amp;$F104,$D$142:$D$266,0))/$D104,"NA")</f>
        <v>0</v>
      </c>
      <c r="BU104" s="74">
        <f t="shared" si="146"/>
        <v>0</v>
      </c>
      <c r="BV104" s="74">
        <f t="shared" si="146"/>
        <v>0</v>
      </c>
      <c r="BW104" s="74">
        <f t="shared" si="146"/>
        <v>0</v>
      </c>
      <c r="BX104" s="74">
        <f t="shared" si="146"/>
        <v>0</v>
      </c>
      <c r="BY104" s="74">
        <f t="shared" si="146"/>
        <v>0</v>
      </c>
      <c r="BZ104" s="74">
        <f t="shared" si="146"/>
        <v>0</v>
      </c>
    </row>
    <row r="105" spans="1:78" x14ac:dyDescent="0.2">
      <c r="A105" s="452"/>
      <c r="B105" s="453" t="str">
        <f t="shared" si="120"/>
        <v>LNG - Africa&amp;other - Fuel cost - USD/GJ</v>
      </c>
      <c r="C105" s="453" t="str">
        <f t="shared" si="121"/>
        <v>LNG - Africa</v>
      </c>
      <c r="D105" s="74">
        <f t="shared" si="122"/>
        <v>48</v>
      </c>
      <c r="E105" t="s">
        <v>200</v>
      </c>
      <c r="F105" t="str">
        <f t="shared" si="123"/>
        <v>LNG</v>
      </c>
      <c r="G105" t="s">
        <v>828</v>
      </c>
      <c r="H105" s="74">
        <f t="shared" si="139"/>
        <v>41.684647066240522</v>
      </c>
      <c r="I105" s="74">
        <f t="shared" si="139"/>
        <v>19.28241815284338</v>
      </c>
      <c r="J105" s="74">
        <f t="shared" si="139"/>
        <v>14.379058898470774</v>
      </c>
      <c r="K105" s="74">
        <f t="shared" si="139"/>
        <v>14.218221243853593</v>
      </c>
      <c r="L105" s="74">
        <f t="shared" si="139"/>
        <v>14.094871917293196</v>
      </c>
      <c r="M105" s="74">
        <f t="shared" si="139"/>
        <v>13.972776275089236</v>
      </c>
      <c r="N105" s="74">
        <f t="shared" si="139"/>
        <v>13.869204762562719</v>
      </c>
      <c r="O105" s="454"/>
      <c r="P105" s="74">
        <f t="shared" si="140"/>
        <v>0</v>
      </c>
      <c r="Q105" s="74">
        <f t="shared" si="140"/>
        <v>0</v>
      </c>
      <c r="R105" s="74">
        <f t="shared" si="140"/>
        <v>0</v>
      </c>
      <c r="S105" s="74">
        <f t="shared" si="140"/>
        <v>0</v>
      </c>
      <c r="T105" s="74">
        <f t="shared" si="140"/>
        <v>0</v>
      </c>
      <c r="U105" s="74">
        <f t="shared" si="140"/>
        <v>0</v>
      </c>
      <c r="V105" s="74">
        <f t="shared" si="140"/>
        <v>0</v>
      </c>
      <c r="W105"/>
      <c r="X105" s="2">
        <f t="shared" si="141"/>
        <v>17.600000000000001</v>
      </c>
      <c r="Y105" s="2">
        <f t="shared" si="141"/>
        <v>17.600000000000001</v>
      </c>
      <c r="Z105" s="2">
        <f t="shared" si="141"/>
        <v>17.600000000000001</v>
      </c>
      <c r="AA105" s="2">
        <f t="shared" si="141"/>
        <v>17.600000000000001</v>
      </c>
      <c r="AB105" s="2">
        <f t="shared" si="141"/>
        <v>17.600000000000001</v>
      </c>
      <c r="AC105" s="2">
        <f t="shared" si="141"/>
        <v>17.600000000000001</v>
      </c>
      <c r="AD105" s="2">
        <f t="shared" si="141"/>
        <v>17.600000000000001</v>
      </c>
      <c r="AE105"/>
      <c r="AF105" s="2">
        <f t="shared" si="142"/>
        <v>76.026250000000005</v>
      </c>
      <c r="AG105" s="2">
        <f t="shared" si="142"/>
        <v>76.026250000000005</v>
      </c>
      <c r="AH105" s="2">
        <f t="shared" si="142"/>
        <v>76.026250000000005</v>
      </c>
      <c r="AI105" s="2">
        <f t="shared" si="142"/>
        <v>76.026250000000005</v>
      </c>
      <c r="AJ105" s="2">
        <f t="shared" si="142"/>
        <v>76.026250000000005</v>
      </c>
      <c r="AK105" s="2">
        <f t="shared" si="142"/>
        <v>76.026250000000005</v>
      </c>
      <c r="AL105" s="2">
        <f t="shared" si="142"/>
        <v>76.026250000000005</v>
      </c>
      <c r="AM105"/>
      <c r="AN105" s="24">
        <f t="shared" si="128"/>
        <v>93.626249999999999</v>
      </c>
      <c r="AO105" s="24">
        <f t="shared" si="129"/>
        <v>93.626249999999999</v>
      </c>
      <c r="AP105" s="24">
        <f t="shared" si="130"/>
        <v>93.626249999999999</v>
      </c>
      <c r="AQ105" s="24">
        <f t="shared" si="131"/>
        <v>93.626249999999999</v>
      </c>
      <c r="AR105" s="24">
        <f t="shared" si="132"/>
        <v>93.626249999999999</v>
      </c>
      <c r="AS105" s="24">
        <f t="shared" si="133"/>
        <v>93.626249999999999</v>
      </c>
      <c r="AT105" s="24">
        <f t="shared" si="134"/>
        <v>93.626249999999999</v>
      </c>
      <c r="AU105"/>
      <c r="AV105" s="74">
        <f t="shared" si="143"/>
        <v>4.2393219955936976</v>
      </c>
      <c r="AW105" s="74">
        <f t="shared" si="143"/>
        <v>4.1406250000000009</v>
      </c>
      <c r="AX105" s="74">
        <f t="shared" si="143"/>
        <v>4.0442258003626739</v>
      </c>
      <c r="AY105" s="74">
        <f t="shared" si="143"/>
        <v>3.9500709009676331</v>
      </c>
      <c r="AZ105" s="74">
        <f t="shared" si="143"/>
        <v>3.8581080515514277</v>
      </c>
      <c r="BA105" s="74">
        <f t="shared" si="143"/>
        <v>3.7682862183055086</v>
      </c>
      <c r="BB105" s="74">
        <f t="shared" si="143"/>
        <v>3.6805555555555567</v>
      </c>
      <c r="BC105" s="454"/>
      <c r="BD105" s="74">
        <f t="shared" si="144"/>
        <v>0.98699173731349266</v>
      </c>
      <c r="BE105" s="74">
        <f t="shared" si="144"/>
        <v>0.55845981951004398</v>
      </c>
      <c r="BF105" s="74">
        <f t="shared" si="144"/>
        <v>0.4389997647747681</v>
      </c>
      <c r="BG105" s="74">
        <f t="shared" si="144"/>
        <v>0.37231700955262775</v>
      </c>
      <c r="BH105" s="74">
        <f t="shared" si="144"/>
        <v>0.34093053240843502</v>
      </c>
      <c r="BI105" s="74">
        <f t="shared" si="144"/>
        <v>0.30865672345039247</v>
      </c>
      <c r="BJ105" s="74">
        <f t="shared" si="144"/>
        <v>0.29281587367382961</v>
      </c>
      <c r="BK105" s="455"/>
      <c r="BL105" s="74">
        <f t="shared" si="145"/>
        <v>0</v>
      </c>
      <c r="BM105" s="74">
        <f t="shared" si="145"/>
        <v>0</v>
      </c>
      <c r="BN105" s="74">
        <f t="shared" si="145"/>
        <v>0</v>
      </c>
      <c r="BO105" s="74">
        <f t="shared" si="145"/>
        <v>0</v>
      </c>
      <c r="BP105" s="74">
        <f t="shared" si="145"/>
        <v>0</v>
      </c>
      <c r="BQ105" s="74">
        <f t="shared" si="145"/>
        <v>0</v>
      </c>
      <c r="BR105" s="74">
        <f t="shared" si="145"/>
        <v>0</v>
      </c>
      <c r="BS105" s="454"/>
      <c r="BT105" s="74">
        <f t="shared" si="146"/>
        <v>36.458333333333336</v>
      </c>
      <c r="BU105" s="74">
        <f t="shared" si="146"/>
        <v>14.583333333333334</v>
      </c>
      <c r="BV105" s="74">
        <f t="shared" si="146"/>
        <v>9.8958333333333339</v>
      </c>
      <c r="BW105" s="74">
        <f t="shared" si="146"/>
        <v>9.8958333333333339</v>
      </c>
      <c r="BX105" s="74">
        <f t="shared" si="146"/>
        <v>9.8958333333333339</v>
      </c>
      <c r="BY105" s="74">
        <f t="shared" si="146"/>
        <v>9.8958333333333339</v>
      </c>
      <c r="BZ105" s="74">
        <f t="shared" si="146"/>
        <v>9.8958333333333339</v>
      </c>
    </row>
    <row r="106" spans="1:78" x14ac:dyDescent="0.2">
      <c r="A106" s="452"/>
      <c r="B106" s="453" t="str">
        <f t="shared" si="120"/>
        <v>Blue hydrogen (compressed) - Africa&amp;other - Fuel cost - USD/GJ</v>
      </c>
      <c r="C106" s="453" t="str">
        <f t="shared" si="121"/>
        <v>Blue hydrogen (compressed) - Africa</v>
      </c>
      <c r="D106" s="74">
        <f t="shared" si="122"/>
        <v>120</v>
      </c>
      <c r="E106" t="s">
        <v>200</v>
      </c>
      <c r="F106" t="str">
        <f t="shared" si="123"/>
        <v>Blue hydrogen (compressed)</v>
      </c>
      <c r="G106" t="s">
        <v>828</v>
      </c>
      <c r="H106" s="74">
        <f t="shared" si="139"/>
        <v>64.031119078405609</v>
      </c>
      <c r="I106" s="74">
        <f t="shared" si="139"/>
        <v>31.253421873657032</v>
      </c>
      <c r="J106" s="74">
        <f t="shared" si="139"/>
        <v>23.756438010811607</v>
      </c>
      <c r="K106" s="74">
        <f t="shared" si="139"/>
        <v>22.934451573028397</v>
      </c>
      <c r="L106" s="74">
        <f t="shared" si="139"/>
        <v>22.202071851199083</v>
      </c>
      <c r="M106" s="74">
        <f t="shared" si="139"/>
        <v>21.52498856745191</v>
      </c>
      <c r="N106" s="74">
        <f t="shared" si="139"/>
        <v>20.90774888934946</v>
      </c>
      <c r="O106" s="454"/>
      <c r="P106" s="74">
        <f t="shared" si="140"/>
        <v>0</v>
      </c>
      <c r="Q106" s="74">
        <f t="shared" si="140"/>
        <v>0</v>
      </c>
      <c r="R106" s="74">
        <f t="shared" si="140"/>
        <v>0</v>
      </c>
      <c r="S106" s="74">
        <f t="shared" si="140"/>
        <v>0</v>
      </c>
      <c r="T106" s="74">
        <f t="shared" si="140"/>
        <v>0</v>
      </c>
      <c r="U106" s="74">
        <f t="shared" si="140"/>
        <v>0</v>
      </c>
      <c r="V106" s="74">
        <f t="shared" si="140"/>
        <v>0</v>
      </c>
      <c r="W106"/>
      <c r="X106" s="2">
        <f t="shared" si="141"/>
        <v>16.554438014523402</v>
      </c>
      <c r="Y106" s="2">
        <f t="shared" si="141"/>
        <v>15.574124293785308</v>
      </c>
      <c r="Z106" s="2">
        <f t="shared" si="141"/>
        <v>14.600917572643572</v>
      </c>
      <c r="AA106" s="2">
        <f t="shared" si="141"/>
        <v>13.634676043469213</v>
      </c>
      <c r="AB106" s="2">
        <f t="shared" si="141"/>
        <v>12.675260769600246</v>
      </c>
      <c r="AC106" s="2">
        <f t="shared" si="141"/>
        <v>11.722535627054755</v>
      </c>
      <c r="AD106" s="2">
        <f t="shared" si="141"/>
        <v>10.776367231638421</v>
      </c>
      <c r="AE106"/>
      <c r="AF106" s="2">
        <f t="shared" si="142"/>
        <v>0</v>
      </c>
      <c r="AG106" s="2">
        <f t="shared" si="142"/>
        <v>0</v>
      </c>
      <c r="AH106" s="2">
        <f t="shared" si="142"/>
        <v>0</v>
      </c>
      <c r="AI106" s="2">
        <f t="shared" si="142"/>
        <v>0</v>
      </c>
      <c r="AJ106" s="2">
        <f t="shared" si="142"/>
        <v>0</v>
      </c>
      <c r="AK106" s="2">
        <f t="shared" si="142"/>
        <v>0</v>
      </c>
      <c r="AL106" s="2">
        <f t="shared" si="142"/>
        <v>0</v>
      </c>
      <c r="AM106"/>
      <c r="AN106" s="24">
        <f t="shared" si="128"/>
        <v>16.554438014523402</v>
      </c>
      <c r="AO106" s="24">
        <f t="shared" si="129"/>
        <v>15.574124293785308</v>
      </c>
      <c r="AP106" s="24">
        <f t="shared" si="130"/>
        <v>14.600917572643572</v>
      </c>
      <c r="AQ106" s="24">
        <f t="shared" si="131"/>
        <v>13.634676043469213</v>
      </c>
      <c r="AR106" s="24">
        <f t="shared" si="132"/>
        <v>12.675260769600246</v>
      </c>
      <c r="AS106" s="24">
        <f t="shared" si="133"/>
        <v>11.722535627054755</v>
      </c>
      <c r="AT106" s="24">
        <f t="shared" si="134"/>
        <v>10.776367231638421</v>
      </c>
      <c r="AU106"/>
      <c r="AV106" s="74">
        <f t="shared" si="143"/>
        <v>2.2903448472850982</v>
      </c>
      <c r="AW106" s="74">
        <f t="shared" si="143"/>
        <v>2.2083333333333339</v>
      </c>
      <c r="AX106" s="74">
        <f t="shared" si="143"/>
        <v>2.1292584463391355</v>
      </c>
      <c r="AY106" s="74">
        <f t="shared" si="143"/>
        <v>2.053015033044475</v>
      </c>
      <c r="AZ106" s="74">
        <f t="shared" si="143"/>
        <v>1.9795017054661888</v>
      </c>
      <c r="BA106" s="74">
        <f t="shared" si="143"/>
        <v>1.9086207060709157</v>
      </c>
      <c r="BB106" s="74">
        <f t="shared" si="143"/>
        <v>1.8402777777777781</v>
      </c>
      <c r="BC106" s="454"/>
      <c r="BD106" s="74">
        <f t="shared" si="144"/>
        <v>3.6692889615371742</v>
      </c>
      <c r="BE106" s="74">
        <f t="shared" si="144"/>
        <v>2.8909218736570308</v>
      </c>
      <c r="BF106" s="74">
        <f t="shared" si="144"/>
        <v>2.4057456540558064</v>
      </c>
      <c r="BG106" s="74">
        <f t="shared" si="144"/>
        <v>2.0220118483172556</v>
      </c>
      <c r="BH106" s="74">
        <f t="shared" si="144"/>
        <v>1.7171239159412279</v>
      </c>
      <c r="BI106" s="74">
        <f t="shared" si="144"/>
        <v>1.4570575170059954</v>
      </c>
      <c r="BJ106" s="74">
        <f t="shared" si="144"/>
        <v>1.2466377782383475</v>
      </c>
      <c r="BK106" s="455"/>
      <c r="BL106" s="74">
        <f t="shared" si="145"/>
        <v>5.6632688362500003</v>
      </c>
      <c r="BM106" s="74">
        <f t="shared" si="145"/>
        <v>5.625</v>
      </c>
      <c r="BN106" s="74">
        <f t="shared" si="145"/>
        <v>5.5869897606249994</v>
      </c>
      <c r="BO106" s="74">
        <f t="shared" si="145"/>
        <v>5.5492363706249996</v>
      </c>
      <c r="BP106" s="74">
        <f t="shared" si="145"/>
        <v>5.5117380943750005</v>
      </c>
      <c r="BQ106" s="74">
        <f t="shared" si="145"/>
        <v>5.4744932087500002</v>
      </c>
      <c r="BR106" s="74">
        <f t="shared" si="145"/>
        <v>5.4375</v>
      </c>
      <c r="BS106" s="454"/>
      <c r="BT106" s="74">
        <f t="shared" si="146"/>
        <v>52.408216433333337</v>
      </c>
      <c r="BU106" s="74">
        <f t="shared" si="146"/>
        <v>20.529166666666665</v>
      </c>
      <c r="BV106" s="74">
        <f t="shared" si="146"/>
        <v>13.634444149791667</v>
      </c>
      <c r="BW106" s="74">
        <f t="shared" si="146"/>
        <v>13.310188321041666</v>
      </c>
      <c r="BX106" s="74">
        <f t="shared" si="146"/>
        <v>12.993708135416666</v>
      </c>
      <c r="BY106" s="74">
        <f t="shared" si="146"/>
        <v>12.684817135625</v>
      </c>
      <c r="BZ106" s="74">
        <f t="shared" si="146"/>
        <v>12.383333333333333</v>
      </c>
    </row>
    <row r="107" spans="1:78" x14ac:dyDescent="0.2">
      <c r="A107" s="452"/>
      <c r="B107" s="453" t="str">
        <f t="shared" si="120"/>
        <v>Blue hydrogen (liquid) - Africa&amp;other - Fuel cost - USD/GJ</v>
      </c>
      <c r="C107" s="453" t="str">
        <f t="shared" si="121"/>
        <v>Blue hydrogen (liquid) - Africa</v>
      </c>
      <c r="D107" s="74">
        <f t="shared" si="122"/>
        <v>120</v>
      </c>
      <c r="E107" t="s">
        <v>200</v>
      </c>
      <c r="F107" t="str">
        <f t="shared" si="123"/>
        <v>Blue hydrogen (liquid)</v>
      </c>
      <c r="G107" t="s">
        <v>828</v>
      </c>
      <c r="H107" s="74">
        <f t="shared" si="139"/>
        <v>79.086836444376118</v>
      </c>
      <c r="I107" s="74">
        <f t="shared" si="139"/>
        <v>43.752232130066965</v>
      </c>
      <c r="J107" s="74">
        <f t="shared" si="139"/>
        <v>35.54246994063439</v>
      </c>
      <c r="K107" s="74">
        <f t="shared" si="139"/>
        <v>34.322609730025739</v>
      </c>
      <c r="L107" s="74">
        <f t="shared" si="139"/>
        <v>33.402957361236076</v>
      </c>
      <c r="M107" s="74">
        <f t="shared" si="139"/>
        <v>32.533307017372593</v>
      </c>
      <c r="N107" s="74">
        <f t="shared" si="139"/>
        <v>31.821550268936644</v>
      </c>
      <c r="O107" s="454"/>
      <c r="P107" s="74">
        <f t="shared" si="140"/>
        <v>0</v>
      </c>
      <c r="Q107" s="74">
        <f t="shared" si="140"/>
        <v>0</v>
      </c>
      <c r="R107" s="74">
        <f t="shared" si="140"/>
        <v>0</v>
      </c>
      <c r="S107" s="74">
        <f t="shared" si="140"/>
        <v>0</v>
      </c>
      <c r="T107" s="74">
        <f t="shared" si="140"/>
        <v>0</v>
      </c>
      <c r="U107" s="74">
        <f t="shared" si="140"/>
        <v>0</v>
      </c>
      <c r="V107" s="74">
        <f t="shared" si="140"/>
        <v>0</v>
      </c>
      <c r="W107"/>
      <c r="X107" s="2">
        <f t="shared" si="141"/>
        <v>16.554438014523402</v>
      </c>
      <c r="Y107" s="2">
        <f t="shared" si="141"/>
        <v>15.574124293785308</v>
      </c>
      <c r="Z107" s="2">
        <f t="shared" si="141"/>
        <v>14.600917572643572</v>
      </c>
      <c r="AA107" s="2">
        <f t="shared" si="141"/>
        <v>13.634676043469213</v>
      </c>
      <c r="AB107" s="2">
        <f t="shared" si="141"/>
        <v>12.675260769600246</v>
      </c>
      <c r="AC107" s="2">
        <f t="shared" si="141"/>
        <v>11.722535627054755</v>
      </c>
      <c r="AD107" s="2">
        <f t="shared" si="141"/>
        <v>10.776367231638421</v>
      </c>
      <c r="AE107"/>
      <c r="AF107" s="2">
        <f t="shared" si="142"/>
        <v>0</v>
      </c>
      <c r="AG107" s="2">
        <f t="shared" si="142"/>
        <v>0</v>
      </c>
      <c r="AH107" s="2">
        <f t="shared" si="142"/>
        <v>0</v>
      </c>
      <c r="AI107" s="2">
        <f t="shared" si="142"/>
        <v>0</v>
      </c>
      <c r="AJ107" s="2">
        <f t="shared" si="142"/>
        <v>0</v>
      </c>
      <c r="AK107" s="2">
        <f t="shared" si="142"/>
        <v>0</v>
      </c>
      <c r="AL107" s="2">
        <f t="shared" si="142"/>
        <v>0</v>
      </c>
      <c r="AM107"/>
      <c r="AN107" s="24">
        <f t="shared" si="128"/>
        <v>16.554438014523402</v>
      </c>
      <c r="AO107" s="24">
        <f t="shared" si="129"/>
        <v>15.574124293785308</v>
      </c>
      <c r="AP107" s="24">
        <f t="shared" si="130"/>
        <v>14.600917572643572</v>
      </c>
      <c r="AQ107" s="24">
        <f t="shared" si="131"/>
        <v>13.634676043469213</v>
      </c>
      <c r="AR107" s="24">
        <f t="shared" si="132"/>
        <v>12.675260769600246</v>
      </c>
      <c r="AS107" s="24">
        <f t="shared" si="133"/>
        <v>11.722535627054755</v>
      </c>
      <c r="AT107" s="24">
        <f t="shared" si="134"/>
        <v>10.776367231638421</v>
      </c>
      <c r="AU107"/>
      <c r="AV107" s="74">
        <f t="shared" si="143"/>
        <v>10.623678180618432</v>
      </c>
      <c r="AW107" s="74">
        <f t="shared" si="143"/>
        <v>10.541666666666666</v>
      </c>
      <c r="AX107" s="74">
        <f t="shared" si="143"/>
        <v>10.46259177967247</v>
      </c>
      <c r="AY107" s="74">
        <f t="shared" si="143"/>
        <v>10.386348366377808</v>
      </c>
      <c r="AZ107" s="74">
        <f t="shared" si="143"/>
        <v>10.312835038799523</v>
      </c>
      <c r="BA107" s="74">
        <f t="shared" si="143"/>
        <v>10.241954039404249</v>
      </c>
      <c r="BB107" s="74">
        <f t="shared" si="143"/>
        <v>10.173611111111112</v>
      </c>
      <c r="BC107" s="454"/>
      <c r="BD107" s="74">
        <f t="shared" si="144"/>
        <v>10.391672994174346</v>
      </c>
      <c r="BE107" s="74">
        <f t="shared" si="144"/>
        <v>7.0563987967336272</v>
      </c>
      <c r="BF107" s="74">
        <f t="shared" si="144"/>
        <v>5.8584442505452561</v>
      </c>
      <c r="BG107" s="74">
        <f t="shared" si="144"/>
        <v>5.0768366719812672</v>
      </c>
      <c r="BH107" s="74">
        <f t="shared" si="144"/>
        <v>4.5846760926448891</v>
      </c>
      <c r="BI107" s="74">
        <f t="shared" si="144"/>
        <v>4.1320426335933362</v>
      </c>
      <c r="BJ107" s="74">
        <f t="shared" si="144"/>
        <v>3.8271058244921976</v>
      </c>
      <c r="BK107" s="455"/>
      <c r="BL107" s="74">
        <f t="shared" si="145"/>
        <v>5.6632688362500003</v>
      </c>
      <c r="BM107" s="74">
        <f t="shared" si="145"/>
        <v>5.625</v>
      </c>
      <c r="BN107" s="74">
        <f t="shared" si="145"/>
        <v>5.5869897606249994</v>
      </c>
      <c r="BO107" s="74">
        <f t="shared" si="145"/>
        <v>5.5492363706249996</v>
      </c>
      <c r="BP107" s="74">
        <f t="shared" si="145"/>
        <v>5.5117380943750005</v>
      </c>
      <c r="BQ107" s="74">
        <f t="shared" si="145"/>
        <v>5.4744932087500002</v>
      </c>
      <c r="BR107" s="74">
        <f t="shared" si="145"/>
        <v>5.4375</v>
      </c>
      <c r="BS107" s="454"/>
      <c r="BT107" s="74">
        <f t="shared" si="146"/>
        <v>52.408216433333337</v>
      </c>
      <c r="BU107" s="74">
        <f t="shared" si="146"/>
        <v>20.529166666666665</v>
      </c>
      <c r="BV107" s="74">
        <f t="shared" si="146"/>
        <v>13.634444149791667</v>
      </c>
      <c r="BW107" s="74">
        <f t="shared" si="146"/>
        <v>13.310188321041666</v>
      </c>
      <c r="BX107" s="74">
        <f t="shared" si="146"/>
        <v>12.993708135416666</v>
      </c>
      <c r="BY107" s="74">
        <f t="shared" si="146"/>
        <v>12.684817135625</v>
      </c>
      <c r="BZ107" s="74">
        <f t="shared" si="146"/>
        <v>12.383333333333333</v>
      </c>
    </row>
    <row r="108" spans="1:78" x14ac:dyDescent="0.2">
      <c r="A108" s="452"/>
      <c r="B108" s="453" t="str">
        <f t="shared" si="120"/>
        <v>LPG - Africa&amp;other - Fuel cost - USD/GJ</v>
      </c>
      <c r="C108" s="453" t="str">
        <f t="shared" si="121"/>
        <v>LPG - Africa</v>
      </c>
      <c r="D108" s="74">
        <f t="shared" si="122"/>
        <v>46</v>
      </c>
      <c r="E108" t="s">
        <v>200</v>
      </c>
      <c r="F108" t="str">
        <f t="shared" si="123"/>
        <v>LPG</v>
      </c>
      <c r="G108" t="s">
        <v>828</v>
      </c>
      <c r="H108" s="74">
        <f t="shared" si="139"/>
        <v>16.5250690734395</v>
      </c>
      <c r="I108" s="74">
        <f t="shared" si="139"/>
        <v>11.854940857032684</v>
      </c>
      <c r="J108" s="74">
        <f t="shared" si="139"/>
        <v>10.346130202501252</v>
      </c>
      <c r="K108" s="74">
        <f t="shared" si="139"/>
        <v>10.346130202501252</v>
      </c>
      <c r="L108" s="74">
        <f t="shared" si="139"/>
        <v>10.346130202501252</v>
      </c>
      <c r="M108" s="74">
        <f t="shared" si="139"/>
        <v>10.346130202501252</v>
      </c>
      <c r="N108" s="74">
        <f t="shared" si="139"/>
        <v>10.346130202501252</v>
      </c>
      <c r="O108" s="454"/>
      <c r="P108" s="74">
        <f t="shared" si="140"/>
        <v>0</v>
      </c>
      <c r="Q108" s="74">
        <f t="shared" si="140"/>
        <v>0</v>
      </c>
      <c r="R108" s="74">
        <f t="shared" si="140"/>
        <v>0</v>
      </c>
      <c r="S108" s="74">
        <f t="shared" si="140"/>
        <v>0</v>
      </c>
      <c r="T108" s="74">
        <f t="shared" si="140"/>
        <v>0</v>
      </c>
      <c r="U108" s="74">
        <f t="shared" si="140"/>
        <v>0</v>
      </c>
      <c r="V108" s="74">
        <f t="shared" si="140"/>
        <v>0</v>
      </c>
      <c r="W108"/>
      <c r="X108" s="2">
        <f t="shared" si="141"/>
        <v>17.7</v>
      </c>
      <c r="Y108" s="2">
        <f t="shared" si="141"/>
        <v>17.7</v>
      </c>
      <c r="Z108" s="2">
        <f t="shared" si="141"/>
        <v>17.7</v>
      </c>
      <c r="AA108" s="2">
        <f t="shared" si="141"/>
        <v>17.7</v>
      </c>
      <c r="AB108" s="2">
        <f t="shared" si="141"/>
        <v>17.7</v>
      </c>
      <c r="AC108" s="2">
        <f t="shared" si="141"/>
        <v>17.7</v>
      </c>
      <c r="AD108" s="2">
        <f t="shared" si="141"/>
        <v>17.7</v>
      </c>
      <c r="AE108"/>
      <c r="AF108" s="2">
        <f t="shared" si="142"/>
        <v>66</v>
      </c>
      <c r="AG108" s="2">
        <f t="shared" si="142"/>
        <v>66</v>
      </c>
      <c r="AH108" s="2">
        <f t="shared" si="142"/>
        <v>66</v>
      </c>
      <c r="AI108" s="2">
        <f t="shared" si="142"/>
        <v>66</v>
      </c>
      <c r="AJ108" s="2">
        <f t="shared" si="142"/>
        <v>66</v>
      </c>
      <c r="AK108" s="2">
        <f t="shared" si="142"/>
        <v>66</v>
      </c>
      <c r="AL108" s="2">
        <f t="shared" si="142"/>
        <v>66</v>
      </c>
      <c r="AM108"/>
      <c r="AN108" s="24">
        <f t="shared" si="128"/>
        <v>83.7</v>
      </c>
      <c r="AO108" s="24">
        <f t="shared" si="129"/>
        <v>83.7</v>
      </c>
      <c r="AP108" s="24">
        <f t="shared" si="130"/>
        <v>83.7</v>
      </c>
      <c r="AQ108" s="24">
        <f t="shared" si="131"/>
        <v>83.7</v>
      </c>
      <c r="AR108" s="24">
        <f t="shared" si="132"/>
        <v>83.7</v>
      </c>
      <c r="AS108" s="24">
        <f t="shared" si="133"/>
        <v>83.7</v>
      </c>
      <c r="AT108" s="24">
        <f t="shared" si="134"/>
        <v>83.7</v>
      </c>
      <c r="AU108"/>
      <c r="AV108" s="74">
        <f t="shared" si="143"/>
        <v>0</v>
      </c>
      <c r="AW108" s="74">
        <f t="shared" si="143"/>
        <v>0</v>
      </c>
      <c r="AX108" s="74">
        <f t="shared" si="143"/>
        <v>0</v>
      </c>
      <c r="AY108" s="74">
        <f t="shared" si="143"/>
        <v>0</v>
      </c>
      <c r="AZ108" s="74">
        <f t="shared" si="143"/>
        <v>0</v>
      </c>
      <c r="BA108" s="74">
        <f t="shared" si="143"/>
        <v>0</v>
      </c>
      <c r="BB108" s="74">
        <f t="shared" si="143"/>
        <v>0</v>
      </c>
      <c r="BC108" s="454"/>
      <c r="BD108" s="74">
        <f t="shared" si="144"/>
        <v>0</v>
      </c>
      <c r="BE108" s="74">
        <f t="shared" si="144"/>
        <v>0</v>
      </c>
      <c r="BF108" s="74">
        <f t="shared" si="144"/>
        <v>0</v>
      </c>
      <c r="BG108" s="74">
        <f t="shared" si="144"/>
        <v>0</v>
      </c>
      <c r="BH108" s="74">
        <f t="shared" si="144"/>
        <v>0</v>
      </c>
      <c r="BI108" s="74">
        <f t="shared" si="144"/>
        <v>0</v>
      </c>
      <c r="BJ108" s="74">
        <f t="shared" si="144"/>
        <v>0</v>
      </c>
      <c r="BK108" s="455"/>
      <c r="BL108" s="74">
        <f t="shared" si="145"/>
        <v>0</v>
      </c>
      <c r="BM108" s="74">
        <f t="shared" si="145"/>
        <v>0</v>
      </c>
      <c r="BN108" s="74">
        <f t="shared" si="145"/>
        <v>0</v>
      </c>
      <c r="BO108" s="74">
        <f t="shared" si="145"/>
        <v>0</v>
      </c>
      <c r="BP108" s="74">
        <f t="shared" si="145"/>
        <v>0</v>
      </c>
      <c r="BQ108" s="74">
        <f t="shared" si="145"/>
        <v>0</v>
      </c>
      <c r="BR108" s="74">
        <f t="shared" si="145"/>
        <v>0</v>
      </c>
      <c r="BS108" s="454"/>
      <c r="BT108" s="74">
        <f t="shared" si="146"/>
        <v>0</v>
      </c>
      <c r="BU108" s="74">
        <f t="shared" si="146"/>
        <v>0</v>
      </c>
      <c r="BV108" s="74">
        <f t="shared" si="146"/>
        <v>0</v>
      </c>
      <c r="BW108" s="74">
        <f t="shared" si="146"/>
        <v>0</v>
      </c>
      <c r="BX108" s="74">
        <f t="shared" si="146"/>
        <v>0</v>
      </c>
      <c r="BY108" s="74">
        <f t="shared" si="146"/>
        <v>0</v>
      </c>
      <c r="BZ108" s="74">
        <f t="shared" si="146"/>
        <v>0</v>
      </c>
    </row>
    <row r="109" spans="1:78" x14ac:dyDescent="0.2">
      <c r="A109" s="452"/>
      <c r="B109" s="453" t="str">
        <f t="shared" si="120"/>
        <v>Biomethane - Africa&amp;other - Fuel cost - USD/GJ</v>
      </c>
      <c r="C109" s="453" t="str">
        <f t="shared" si="121"/>
        <v>Biomethane - Africa</v>
      </c>
      <c r="D109" s="74">
        <f t="shared" si="122"/>
        <v>50</v>
      </c>
      <c r="E109" t="s">
        <v>200</v>
      </c>
      <c r="F109" t="str">
        <f t="shared" si="123"/>
        <v>Biomethane</v>
      </c>
      <c r="G109" t="s">
        <v>828</v>
      </c>
      <c r="H109" s="74">
        <f t="shared" si="139"/>
        <v>25.671372387427169</v>
      </c>
      <c r="I109" s="74">
        <f t="shared" si="139"/>
        <v>22.932333361573928</v>
      </c>
      <c r="J109" s="74">
        <f t="shared" si="139"/>
        <v>21.319027446381099</v>
      </c>
      <c r="K109" s="74">
        <f t="shared" si="139"/>
        <v>19.917589539412425</v>
      </c>
      <c r="L109" s="74">
        <f t="shared" si="139"/>
        <v>18.583618208508724</v>
      </c>
      <c r="M109" s="74">
        <f t="shared" si="139"/>
        <v>17.246852497876169</v>
      </c>
      <c r="N109" s="74">
        <f t="shared" si="139"/>
        <v>15.941995730300937</v>
      </c>
      <c r="O109" s="454"/>
      <c r="P109" s="74">
        <f t="shared" si="140"/>
        <v>0</v>
      </c>
      <c r="Q109" s="74">
        <f t="shared" si="140"/>
        <v>0</v>
      </c>
      <c r="R109" s="74">
        <f t="shared" si="140"/>
        <v>0</v>
      </c>
      <c r="S109" s="74">
        <f t="shared" si="140"/>
        <v>0</v>
      </c>
      <c r="T109" s="74">
        <f t="shared" si="140"/>
        <v>0</v>
      </c>
      <c r="U109" s="74">
        <f t="shared" si="140"/>
        <v>0</v>
      </c>
      <c r="V109" s="74">
        <f t="shared" si="140"/>
        <v>0</v>
      </c>
      <c r="W109"/>
      <c r="X109" s="2">
        <f t="shared" si="141"/>
        <v>-37.778102817936237</v>
      </c>
      <c r="Y109" s="2">
        <f t="shared" si="141"/>
        <v>-40.704565067103559</v>
      </c>
      <c r="Z109" s="2">
        <f t="shared" si="141"/>
        <v>-43.561961308916878</v>
      </c>
      <c r="AA109" s="2">
        <f t="shared" si="141"/>
        <v>-46.35029154337623</v>
      </c>
      <c r="AB109" s="2">
        <f t="shared" si="141"/>
        <v>-49.069555770481585</v>
      </c>
      <c r="AC109" s="2">
        <f t="shared" si="141"/>
        <v>-51.719753990232967</v>
      </c>
      <c r="AD109" s="2">
        <f t="shared" si="141"/>
        <v>-54.300886202630352</v>
      </c>
      <c r="AE109"/>
      <c r="AF109" s="2">
        <f t="shared" si="142"/>
        <v>72.985200000000006</v>
      </c>
      <c r="AG109" s="2">
        <f t="shared" si="142"/>
        <v>72.985200000000006</v>
      </c>
      <c r="AH109" s="2">
        <f t="shared" si="142"/>
        <v>72.985200000000006</v>
      </c>
      <c r="AI109" s="2">
        <f t="shared" si="142"/>
        <v>72.985200000000006</v>
      </c>
      <c r="AJ109" s="2">
        <f t="shared" si="142"/>
        <v>72.985200000000006</v>
      </c>
      <c r="AK109" s="2">
        <f t="shared" si="142"/>
        <v>72.985200000000006</v>
      </c>
      <c r="AL109" s="2">
        <f t="shared" si="142"/>
        <v>72.985200000000006</v>
      </c>
      <c r="AM109"/>
      <c r="AN109" s="24">
        <f t="shared" si="128"/>
        <v>35.207097182063769</v>
      </c>
      <c r="AO109" s="24">
        <f t="shared" si="129"/>
        <v>32.280634932896447</v>
      </c>
      <c r="AP109" s="24">
        <f t="shared" si="130"/>
        <v>29.423238691083128</v>
      </c>
      <c r="AQ109" s="24">
        <f t="shared" si="131"/>
        <v>26.634908456623776</v>
      </c>
      <c r="AR109" s="24">
        <f t="shared" si="132"/>
        <v>23.915644229518421</v>
      </c>
      <c r="AS109" s="24">
        <f t="shared" si="133"/>
        <v>21.265446009767039</v>
      </c>
      <c r="AT109" s="24">
        <f t="shared" si="134"/>
        <v>18.684313797369654</v>
      </c>
      <c r="AU109"/>
      <c r="AV109" s="74">
        <f t="shared" si="143"/>
        <v>11.458427846991444</v>
      </c>
      <c r="AW109" s="74">
        <f t="shared" si="143"/>
        <v>10.704163958300748</v>
      </c>
      <c r="AX109" s="74">
        <f t="shared" si="143"/>
        <v>9.9499000696100506</v>
      </c>
      <c r="AY109" s="74">
        <f t="shared" si="143"/>
        <v>9.1956361809193545</v>
      </c>
      <c r="AZ109" s="74">
        <f t="shared" si="143"/>
        <v>8.4413722922286567</v>
      </c>
      <c r="BA109" s="74">
        <f t="shared" si="143"/>
        <v>7.6871084035379598</v>
      </c>
      <c r="BB109" s="74">
        <f t="shared" si="143"/>
        <v>6.9328445148472637</v>
      </c>
      <c r="BC109" s="454"/>
      <c r="BD109" s="74">
        <f t="shared" si="144"/>
        <v>8.7041468916151548</v>
      </c>
      <c r="BE109" s="74">
        <f t="shared" si="144"/>
        <v>7.5472717680711048</v>
      </c>
      <c r="BF109" s="74">
        <f t="shared" si="144"/>
        <v>6.976129755187471</v>
      </c>
      <c r="BG109" s="74">
        <f t="shared" si="144"/>
        <v>6.5043557505279841</v>
      </c>
      <c r="BH109" s="74">
        <f t="shared" si="144"/>
        <v>6.100048321933472</v>
      </c>
      <c r="BI109" s="74">
        <f t="shared" si="144"/>
        <v>5.6929465136101092</v>
      </c>
      <c r="BJ109" s="74">
        <f t="shared" si="144"/>
        <v>5.3177536483440671</v>
      </c>
      <c r="BK109" s="455"/>
      <c r="BL109" s="74">
        <f t="shared" si="145"/>
        <v>0</v>
      </c>
      <c r="BM109" s="74">
        <f t="shared" si="145"/>
        <v>0</v>
      </c>
      <c r="BN109" s="74">
        <f t="shared" si="145"/>
        <v>0</v>
      </c>
      <c r="BO109" s="74">
        <f t="shared" si="145"/>
        <v>0</v>
      </c>
      <c r="BP109" s="74">
        <f t="shared" si="145"/>
        <v>0</v>
      </c>
      <c r="BQ109" s="74">
        <f t="shared" si="145"/>
        <v>0</v>
      </c>
      <c r="BR109" s="74">
        <f t="shared" si="145"/>
        <v>0</v>
      </c>
      <c r="BS109" s="454"/>
      <c r="BT109" s="74">
        <f t="shared" si="146"/>
        <v>5.5087976488205674</v>
      </c>
      <c r="BU109" s="74">
        <f t="shared" si="146"/>
        <v>4.680897635202073</v>
      </c>
      <c r="BV109" s="74">
        <f t="shared" si="146"/>
        <v>4.3929976215835804</v>
      </c>
      <c r="BW109" s="74">
        <f t="shared" si="146"/>
        <v>4.2175976079650868</v>
      </c>
      <c r="BX109" s="74">
        <f t="shared" si="146"/>
        <v>4.0421975943465931</v>
      </c>
      <c r="BY109" s="74">
        <f t="shared" si="146"/>
        <v>3.8667975807281003</v>
      </c>
      <c r="BZ109" s="74">
        <f t="shared" si="146"/>
        <v>3.6913975671096066</v>
      </c>
    </row>
    <row r="110" spans="1:78" x14ac:dyDescent="0.2">
      <c r="A110" s="452"/>
      <c r="B110" s="453" t="str">
        <f t="shared" si="120"/>
        <v>Biodiesel (Pyr) - Africa&amp;other - Fuel cost - USD/GJ</v>
      </c>
      <c r="C110" s="453" t="str">
        <f t="shared" si="121"/>
        <v>Biodiesel (Pyr) - Africa</v>
      </c>
      <c r="D110" s="74">
        <f t="shared" si="122"/>
        <v>42.7</v>
      </c>
      <c r="E110" t="s">
        <v>200</v>
      </c>
      <c r="F110" t="str">
        <f t="shared" si="123"/>
        <v>Biodiesel (Pyr)</v>
      </c>
      <c r="G110" t="s">
        <v>828</v>
      </c>
      <c r="H110" s="74">
        <f t="shared" si="139"/>
        <v>67.626217286413308</v>
      </c>
      <c r="I110" s="74">
        <f t="shared" si="139"/>
        <v>42.475146342557558</v>
      </c>
      <c r="J110" s="74">
        <f t="shared" si="139"/>
        <v>26.606455029754102</v>
      </c>
      <c r="K110" s="74">
        <f t="shared" si="139"/>
        <v>27.129026976691506</v>
      </c>
      <c r="L110" s="74">
        <f t="shared" si="139"/>
        <v>26.983467687743616</v>
      </c>
      <c r="M110" s="74">
        <f t="shared" si="139"/>
        <v>26.418571226631464</v>
      </c>
      <c r="N110" s="74">
        <f t="shared" si="139"/>
        <v>24.586815205212453</v>
      </c>
      <c r="O110" s="454"/>
      <c r="P110" s="74">
        <f t="shared" si="140"/>
        <v>0</v>
      </c>
      <c r="Q110" s="74">
        <f t="shared" si="140"/>
        <v>0</v>
      </c>
      <c r="R110" s="74">
        <f t="shared" si="140"/>
        <v>0</v>
      </c>
      <c r="S110" s="74">
        <f t="shared" si="140"/>
        <v>0</v>
      </c>
      <c r="T110" s="74">
        <f t="shared" si="140"/>
        <v>0</v>
      </c>
      <c r="U110" s="74">
        <f t="shared" si="140"/>
        <v>0</v>
      </c>
      <c r="V110" s="74">
        <f t="shared" si="140"/>
        <v>0</v>
      </c>
      <c r="W110"/>
      <c r="X110" s="2">
        <f t="shared" si="141"/>
        <v>-40.339877075554391</v>
      </c>
      <c r="Y110" s="2">
        <f t="shared" si="141"/>
        <v>-48.28508713529736</v>
      </c>
      <c r="Z110" s="2">
        <f t="shared" si="141"/>
        <v>-54.14317291584149</v>
      </c>
      <c r="AA110" s="2">
        <f t="shared" si="141"/>
        <v>-66.682297018872859</v>
      </c>
      <c r="AB110" s="2">
        <f t="shared" si="141"/>
        <v>-68.6612337974545</v>
      </c>
      <c r="AC110" s="2">
        <f t="shared" si="141"/>
        <v>-70.931053663901253</v>
      </c>
      <c r="AD110" s="2">
        <f t="shared" si="141"/>
        <v>-74.042095342836006</v>
      </c>
      <c r="AE110"/>
      <c r="AF110" s="2">
        <f t="shared" si="142"/>
        <v>76.237236533957855</v>
      </c>
      <c r="AG110" s="2">
        <f t="shared" si="142"/>
        <v>76.237236533957855</v>
      </c>
      <c r="AH110" s="2">
        <f t="shared" si="142"/>
        <v>76.237236533957855</v>
      </c>
      <c r="AI110" s="2">
        <f t="shared" si="142"/>
        <v>76.237236533957855</v>
      </c>
      <c r="AJ110" s="2">
        <f t="shared" si="142"/>
        <v>76.237236533957855</v>
      </c>
      <c r="AK110" s="2">
        <f t="shared" si="142"/>
        <v>76.237236533957855</v>
      </c>
      <c r="AL110" s="2">
        <f t="shared" si="142"/>
        <v>76.237236533957855</v>
      </c>
      <c r="AM110"/>
      <c r="AN110" s="24">
        <f t="shared" si="128"/>
        <v>35.897359458403464</v>
      </c>
      <c r="AO110" s="24">
        <f t="shared" si="129"/>
        <v>27.952149398660495</v>
      </c>
      <c r="AP110" s="24">
        <f t="shared" si="130"/>
        <v>22.094063618116365</v>
      </c>
      <c r="AQ110" s="24">
        <f t="shared" si="131"/>
        <v>9.5549395150849961</v>
      </c>
      <c r="AR110" s="24">
        <f t="shared" si="132"/>
        <v>7.5760027365033551</v>
      </c>
      <c r="AS110" s="24">
        <f t="shared" si="133"/>
        <v>5.3061828700566025</v>
      </c>
      <c r="AT110" s="24">
        <f t="shared" si="134"/>
        <v>2.1951411911218486</v>
      </c>
      <c r="AU110"/>
      <c r="AV110" s="74">
        <f t="shared" si="143"/>
        <v>24.058938329430134</v>
      </c>
      <c r="AW110" s="74">
        <f t="shared" si="143"/>
        <v>14.43536299765808</v>
      </c>
      <c r="AX110" s="74">
        <f t="shared" si="143"/>
        <v>4.811787665886027</v>
      </c>
      <c r="AY110" s="74">
        <f t="shared" si="143"/>
        <v>4.3306088992974248</v>
      </c>
      <c r="AZ110" s="74">
        <f t="shared" si="143"/>
        <v>4.1702159771012237</v>
      </c>
      <c r="BA110" s="74">
        <f t="shared" si="143"/>
        <v>4.0098230549050236</v>
      </c>
      <c r="BB110" s="74">
        <f t="shared" si="143"/>
        <v>3.8494301327088229</v>
      </c>
      <c r="BC110" s="454"/>
      <c r="BD110" s="74">
        <f t="shared" si="144"/>
        <v>11.792603750855683</v>
      </c>
      <c r="BE110" s="74">
        <f t="shared" si="144"/>
        <v>7.0386785656147612</v>
      </c>
      <c r="BF110" s="74">
        <f t="shared" si="144"/>
        <v>2.6226704959551799</v>
      </c>
      <c r="BG110" s="74">
        <f t="shared" si="144"/>
        <v>2.3354943821637195</v>
      </c>
      <c r="BH110" s="74">
        <f t="shared" si="144"/>
        <v>2.2297553320113046</v>
      </c>
      <c r="BI110" s="74">
        <f t="shared" si="144"/>
        <v>2.1230461365854794</v>
      </c>
      <c r="BJ110" s="74">
        <f t="shared" si="144"/>
        <v>2.0343035658531692</v>
      </c>
      <c r="BK110" s="455"/>
      <c r="BL110" s="74">
        <f t="shared" si="145"/>
        <v>0</v>
      </c>
      <c r="BM110" s="74">
        <f t="shared" si="145"/>
        <v>0</v>
      </c>
      <c r="BN110" s="74">
        <f t="shared" si="145"/>
        <v>0</v>
      </c>
      <c r="BO110" s="74">
        <f t="shared" si="145"/>
        <v>0</v>
      </c>
      <c r="BP110" s="74">
        <f t="shared" si="145"/>
        <v>0</v>
      </c>
      <c r="BQ110" s="74">
        <f t="shared" si="145"/>
        <v>0</v>
      </c>
      <c r="BR110" s="74">
        <f t="shared" si="145"/>
        <v>0</v>
      </c>
      <c r="BS110" s="454"/>
      <c r="BT110" s="74">
        <f t="shared" si="146"/>
        <v>31.774675206127494</v>
      </c>
      <c r="BU110" s="74">
        <f t="shared" si="146"/>
        <v>21.00110477928472</v>
      </c>
      <c r="BV110" s="74">
        <f t="shared" si="146"/>
        <v>19.171996867912895</v>
      </c>
      <c r="BW110" s="74">
        <f t="shared" si="146"/>
        <v>20.462923695230362</v>
      </c>
      <c r="BX110" s="74">
        <f t="shared" si="146"/>
        <v>20.583496378631089</v>
      </c>
      <c r="BY110" s="74">
        <f t="shared" si="146"/>
        <v>20.285702035140961</v>
      </c>
      <c r="BZ110" s="74">
        <f t="shared" si="146"/>
        <v>18.703081506650463</v>
      </c>
    </row>
    <row r="111" spans="1:78" x14ac:dyDescent="0.2">
      <c r="A111" s="452"/>
      <c r="B111" s="453" t="str">
        <f t="shared" si="120"/>
        <v>Biodiesel (HtL) - Africa&amp;other - Fuel cost - USD/GJ</v>
      </c>
      <c r="C111" s="453" t="str">
        <f t="shared" si="121"/>
        <v>Biodiesel (HtL) - Africa</v>
      </c>
      <c r="D111" s="74">
        <f t="shared" si="122"/>
        <v>42.7</v>
      </c>
      <c r="E111" t="s">
        <v>200</v>
      </c>
      <c r="F111" t="str">
        <f t="shared" si="123"/>
        <v>Biodiesel (HtL)</v>
      </c>
      <c r="G111" t="s">
        <v>828</v>
      </c>
      <c r="H111" s="74">
        <f t="shared" si="139"/>
        <v>161.90672153454827</v>
      </c>
      <c r="I111" s="74">
        <f t="shared" si="139"/>
        <v>53.34733041396035</v>
      </c>
      <c r="J111" s="74">
        <f t="shared" si="139"/>
        <v>24.821260559917484</v>
      </c>
      <c r="K111" s="74">
        <f t="shared" si="139"/>
        <v>24.405010862952615</v>
      </c>
      <c r="L111" s="74">
        <f t="shared" si="139"/>
        <v>23.908742836400243</v>
      </c>
      <c r="M111" s="74">
        <f t="shared" si="139"/>
        <v>23.210369983012285</v>
      </c>
      <c r="N111" s="74">
        <f t="shared" si="139"/>
        <v>21.918839513465564</v>
      </c>
      <c r="O111" s="454"/>
      <c r="P111" s="74">
        <f t="shared" si="140"/>
        <v>1.4801570106661779</v>
      </c>
      <c r="Q111" s="74">
        <f t="shared" si="140"/>
        <v>0.83750267177830384</v>
      </c>
      <c r="R111" s="74">
        <f t="shared" si="140"/>
        <v>0.65594409596400183</v>
      </c>
      <c r="S111" s="74">
        <f t="shared" si="140"/>
        <v>0.55426548164176903</v>
      </c>
      <c r="T111" s="74">
        <f t="shared" si="140"/>
        <v>0.50567020857350842</v>
      </c>
      <c r="U111" s="74">
        <f t="shared" si="140"/>
        <v>0.45610810236719246</v>
      </c>
      <c r="V111" s="74">
        <f t="shared" si="140"/>
        <v>0.431093276636909</v>
      </c>
      <c r="W111"/>
      <c r="X111" s="2">
        <f t="shared" si="141"/>
        <v>-54.006278557194555</v>
      </c>
      <c r="Y111" s="2">
        <f t="shared" si="141"/>
        <v>-58.557346422110115</v>
      </c>
      <c r="Z111" s="2">
        <f t="shared" si="141"/>
        <v>-62.105357424160069</v>
      </c>
      <c r="AA111" s="2">
        <f t="shared" si="141"/>
        <v>-68.865406081251962</v>
      </c>
      <c r="AB111" s="2">
        <f t="shared" si="141"/>
        <v>-70.54844160158919</v>
      </c>
      <c r="AC111" s="2">
        <f t="shared" si="141"/>
        <v>-72.371324760323077</v>
      </c>
      <c r="AD111" s="2">
        <f t="shared" si="141"/>
        <v>-74.598641482753152</v>
      </c>
      <c r="AE111"/>
      <c r="AF111" s="2">
        <f t="shared" si="142"/>
        <v>76.237236533957855</v>
      </c>
      <c r="AG111" s="2">
        <f t="shared" si="142"/>
        <v>76.237236533957855</v>
      </c>
      <c r="AH111" s="2">
        <f t="shared" si="142"/>
        <v>76.237236533957855</v>
      </c>
      <c r="AI111" s="2">
        <f t="shared" si="142"/>
        <v>76.237236533957855</v>
      </c>
      <c r="AJ111" s="2">
        <f t="shared" si="142"/>
        <v>76.237236533957855</v>
      </c>
      <c r="AK111" s="2">
        <f t="shared" si="142"/>
        <v>76.237236533957855</v>
      </c>
      <c r="AL111" s="2">
        <f t="shared" si="142"/>
        <v>76.237236533957855</v>
      </c>
      <c r="AM111"/>
      <c r="AN111" s="24">
        <f t="shared" si="128"/>
        <v>22.2309579767633</v>
      </c>
      <c r="AO111" s="24">
        <f t="shared" si="129"/>
        <v>17.67989011184774</v>
      </c>
      <c r="AP111" s="24">
        <f t="shared" si="130"/>
        <v>14.131879109797786</v>
      </c>
      <c r="AQ111" s="24">
        <f t="shared" si="131"/>
        <v>7.3718304527058933</v>
      </c>
      <c r="AR111" s="24">
        <f t="shared" si="132"/>
        <v>5.6887949323686655</v>
      </c>
      <c r="AS111" s="24">
        <f t="shared" si="133"/>
        <v>3.8659117736347781</v>
      </c>
      <c r="AT111" s="24">
        <f t="shared" si="134"/>
        <v>1.6385950512047032</v>
      </c>
      <c r="AU111"/>
      <c r="AV111" s="74">
        <f t="shared" si="143"/>
        <v>30.789105244461663</v>
      </c>
      <c r="AW111" s="74">
        <f t="shared" si="143"/>
        <v>18.473463146676998</v>
      </c>
      <c r="AX111" s="74">
        <f t="shared" si="143"/>
        <v>6.1578210488923331</v>
      </c>
      <c r="AY111" s="74">
        <f t="shared" si="143"/>
        <v>5.7883517859587936</v>
      </c>
      <c r="AZ111" s="74">
        <f t="shared" si="143"/>
        <v>5.6036171544920235</v>
      </c>
      <c r="BA111" s="74">
        <f t="shared" si="143"/>
        <v>5.4188825230252533</v>
      </c>
      <c r="BB111" s="74">
        <f t="shared" si="143"/>
        <v>5.2341478915584831</v>
      </c>
      <c r="BC111" s="454"/>
      <c r="BD111" s="74">
        <f t="shared" si="144"/>
        <v>112.90800471039641</v>
      </c>
      <c r="BE111" s="74">
        <f t="shared" si="144"/>
        <v>22.58160094207928</v>
      </c>
      <c r="BF111" s="74">
        <f t="shared" si="144"/>
        <v>7.5272003140264276</v>
      </c>
      <c r="BG111" s="74">
        <f t="shared" si="144"/>
        <v>7.0755682951848415</v>
      </c>
      <c r="BH111" s="74">
        <f t="shared" si="144"/>
        <v>6.8497522857640494</v>
      </c>
      <c r="BI111" s="74">
        <f t="shared" si="144"/>
        <v>6.6239362763432572</v>
      </c>
      <c r="BJ111" s="74">
        <f t="shared" si="144"/>
        <v>6.3981202669224642</v>
      </c>
      <c r="BK111" s="455"/>
      <c r="BL111" s="74">
        <f t="shared" si="145"/>
        <v>0</v>
      </c>
      <c r="BM111" s="74">
        <f t="shared" si="145"/>
        <v>0</v>
      </c>
      <c r="BN111" s="74">
        <f t="shared" si="145"/>
        <v>0</v>
      </c>
      <c r="BO111" s="74">
        <f t="shared" si="145"/>
        <v>0</v>
      </c>
      <c r="BP111" s="74">
        <f t="shared" si="145"/>
        <v>0</v>
      </c>
      <c r="BQ111" s="74">
        <f t="shared" si="145"/>
        <v>0</v>
      </c>
      <c r="BR111" s="74">
        <f t="shared" si="145"/>
        <v>0</v>
      </c>
      <c r="BS111" s="454"/>
      <c r="BT111" s="74">
        <f t="shared" si="146"/>
        <v>16.729454569024004</v>
      </c>
      <c r="BU111" s="74">
        <f t="shared" si="146"/>
        <v>11.454763653425767</v>
      </c>
      <c r="BV111" s="74">
        <f t="shared" si="146"/>
        <v>10.480295101034718</v>
      </c>
      <c r="BW111" s="74">
        <f t="shared" si="146"/>
        <v>10.986825300167215</v>
      </c>
      <c r="BX111" s="74">
        <f t="shared" si="146"/>
        <v>10.949703187570661</v>
      </c>
      <c r="BY111" s="74">
        <f t="shared" si="146"/>
        <v>10.711443081276581</v>
      </c>
      <c r="BZ111" s="74">
        <f t="shared" si="146"/>
        <v>9.8554780783477085</v>
      </c>
    </row>
    <row r="112" spans="1:78" x14ac:dyDescent="0.2">
      <c r="A112" s="452"/>
      <c r="B112" s="453" t="str">
        <f t="shared" si="120"/>
        <v>Biomethanol - Africa&amp;other - Fuel cost - USD/GJ</v>
      </c>
      <c r="C112" s="453" t="str">
        <f t="shared" si="121"/>
        <v>Biomethanol - Africa</v>
      </c>
      <c r="D112" s="74">
        <f t="shared" si="122"/>
        <v>19.899999999999999</v>
      </c>
      <c r="E112" t="s">
        <v>200</v>
      </c>
      <c r="F112" t="str">
        <f t="shared" si="123"/>
        <v>Biomethanol</v>
      </c>
      <c r="G112" t="s">
        <v>828</v>
      </c>
      <c r="H112" s="74">
        <f t="shared" si="139"/>
        <v>52.431945498793525</v>
      </c>
      <c r="I112" s="74">
        <f t="shared" si="139"/>
        <v>36.921607236109367</v>
      </c>
      <c r="J112" s="74">
        <f t="shared" si="139"/>
        <v>31.379582172545327</v>
      </c>
      <c r="K112" s="74">
        <f t="shared" si="139"/>
        <v>29.178796072584358</v>
      </c>
      <c r="L112" s="74">
        <f t="shared" si="139"/>
        <v>26.992051608366566</v>
      </c>
      <c r="M112" s="74">
        <f t="shared" si="139"/>
        <v>25.7356078812962</v>
      </c>
      <c r="N112" s="74">
        <f t="shared" si="139"/>
        <v>24.513808896393883</v>
      </c>
      <c r="O112" s="454"/>
      <c r="P112" s="74">
        <f t="shared" si="140"/>
        <v>0</v>
      </c>
      <c r="Q112" s="74">
        <f t="shared" si="140"/>
        <v>0</v>
      </c>
      <c r="R112" s="74">
        <f t="shared" si="140"/>
        <v>0</v>
      </c>
      <c r="S112" s="74">
        <f t="shared" si="140"/>
        <v>0</v>
      </c>
      <c r="T112" s="74">
        <f t="shared" si="140"/>
        <v>0</v>
      </c>
      <c r="U112" s="74">
        <f t="shared" si="140"/>
        <v>0</v>
      </c>
      <c r="V112" s="74">
        <f t="shared" si="140"/>
        <v>0</v>
      </c>
      <c r="W112"/>
      <c r="X112" s="2">
        <f t="shared" si="141"/>
        <v>-58.0093628242169</v>
      </c>
      <c r="Y112" s="2">
        <f t="shared" si="141"/>
        <v>-59.650981687637127</v>
      </c>
      <c r="Z112" s="2">
        <f t="shared" si="141"/>
        <v>-61.293041481198266</v>
      </c>
      <c r="AA112" s="2">
        <f t="shared" si="141"/>
        <v>-62.93510127475939</v>
      </c>
      <c r="AB112" s="2">
        <f t="shared" si="141"/>
        <v>-64.577161068320521</v>
      </c>
      <c r="AC112" s="2">
        <f t="shared" si="141"/>
        <v>-66.219220861881638</v>
      </c>
      <c r="AD112" s="2">
        <f t="shared" si="141"/>
        <v>-67.861280655442783</v>
      </c>
      <c r="AE112"/>
      <c r="AF112" s="2">
        <f t="shared" si="142"/>
        <v>69.095477386934675</v>
      </c>
      <c r="AG112" s="2">
        <f t="shared" si="142"/>
        <v>69.095477386934675</v>
      </c>
      <c r="AH112" s="2">
        <f t="shared" si="142"/>
        <v>69.095477386934675</v>
      </c>
      <c r="AI112" s="2">
        <f t="shared" si="142"/>
        <v>69.095477386934675</v>
      </c>
      <c r="AJ112" s="2">
        <f t="shared" si="142"/>
        <v>69.095477386934675</v>
      </c>
      <c r="AK112" s="2">
        <f t="shared" si="142"/>
        <v>69.095477386934675</v>
      </c>
      <c r="AL112" s="2">
        <f t="shared" si="142"/>
        <v>69.095477386934675</v>
      </c>
      <c r="AM112"/>
      <c r="AN112" s="24">
        <f t="shared" si="128"/>
        <v>11.086114562717775</v>
      </c>
      <c r="AO112" s="24">
        <f t="shared" si="129"/>
        <v>9.4444956992975477</v>
      </c>
      <c r="AP112" s="24">
        <f t="shared" si="130"/>
        <v>7.8024359057364094</v>
      </c>
      <c r="AQ112" s="24">
        <f t="shared" si="131"/>
        <v>6.1603761121752854</v>
      </c>
      <c r="AR112" s="24">
        <f t="shared" si="132"/>
        <v>4.5183163186141542</v>
      </c>
      <c r="AS112" s="24">
        <f t="shared" si="133"/>
        <v>2.8762565250530372</v>
      </c>
      <c r="AT112" s="24">
        <f t="shared" si="134"/>
        <v>1.2341967314918918</v>
      </c>
      <c r="AU112"/>
      <c r="AV112" s="74">
        <f t="shared" si="143"/>
        <v>23.969849246231163</v>
      </c>
      <c r="AW112" s="74">
        <f t="shared" si="143"/>
        <v>15.092127303182586</v>
      </c>
      <c r="AX112" s="74">
        <f t="shared" si="143"/>
        <v>11.762981574539367</v>
      </c>
      <c r="AY112" s="74">
        <f t="shared" si="143"/>
        <v>10.320351758793974</v>
      </c>
      <c r="AZ112" s="74">
        <f t="shared" si="143"/>
        <v>8.877721943048579</v>
      </c>
      <c r="BA112" s="74">
        <f t="shared" si="143"/>
        <v>7.9899497487437205</v>
      </c>
      <c r="BB112" s="74">
        <f t="shared" si="143"/>
        <v>7.102177554438863</v>
      </c>
      <c r="BC112" s="454"/>
      <c r="BD112" s="74">
        <f t="shared" si="144"/>
        <v>18.36918027746021</v>
      </c>
      <c r="BE112" s="74">
        <f t="shared" si="144"/>
        <v>11.432560464598668</v>
      </c>
      <c r="BF112" s="74">
        <f t="shared" si="144"/>
        <v>8.9156776364518748</v>
      </c>
      <c r="BG112" s="74">
        <f t="shared" si="144"/>
        <v>7.7927171603651368</v>
      </c>
      <c r="BH112" s="74">
        <f t="shared" si="144"/>
        <v>6.7445990186667695</v>
      </c>
      <c r="BI112" s="74">
        <f t="shared" si="144"/>
        <v>6.0719239926752948</v>
      </c>
      <c r="BJ112" s="74">
        <f t="shared" si="144"/>
        <v>5.4338937088518646</v>
      </c>
      <c r="BK112" s="455"/>
      <c r="BL112" s="74">
        <f t="shared" si="145"/>
        <v>0</v>
      </c>
      <c r="BM112" s="74">
        <f t="shared" si="145"/>
        <v>0</v>
      </c>
      <c r="BN112" s="74">
        <f t="shared" si="145"/>
        <v>0</v>
      </c>
      <c r="BO112" s="74">
        <f t="shared" si="145"/>
        <v>0</v>
      </c>
      <c r="BP112" s="74">
        <f t="shared" si="145"/>
        <v>0</v>
      </c>
      <c r="BQ112" s="74">
        <f t="shared" si="145"/>
        <v>0</v>
      </c>
      <c r="BR112" s="74">
        <f t="shared" si="145"/>
        <v>0</v>
      </c>
      <c r="BS112" s="454"/>
      <c r="BT112" s="74">
        <f t="shared" si="146"/>
        <v>10.092915975102148</v>
      </c>
      <c r="BU112" s="74">
        <f t="shared" si="146"/>
        <v>10.396919468328116</v>
      </c>
      <c r="BV112" s="74">
        <f t="shared" si="146"/>
        <v>10.700922961554085</v>
      </c>
      <c r="BW112" s="74">
        <f t="shared" si="146"/>
        <v>11.065727153425247</v>
      </c>
      <c r="BX112" s="74">
        <f t="shared" si="146"/>
        <v>11.369730646651215</v>
      </c>
      <c r="BY112" s="74">
        <f t="shared" si="146"/>
        <v>11.673734139877183</v>
      </c>
      <c r="BZ112" s="74">
        <f t="shared" si="146"/>
        <v>11.977737633103152</v>
      </c>
    </row>
    <row r="113" spans="1:78" x14ac:dyDescent="0.2">
      <c r="A113" s="452"/>
      <c r="B113" s="453" t="str">
        <f t="shared" si="120"/>
        <v>Biodiesel (HtL blend) - Africa&amp;other - Fuel cost - USD/GJ</v>
      </c>
      <c r="C113" s="453" t="str">
        <f t="shared" si="121"/>
        <v>Biodiesel (HtL blend) - Africa</v>
      </c>
      <c r="D113" s="77">
        <f>+INDEX('Fuel Model -  Input'!$H$15:$H$44,MATCH(F113,'Fuel Model -  Input'!$F$15:$F$44,0))/1000</f>
        <v>38.6</v>
      </c>
      <c r="E113" t="s">
        <v>200</v>
      </c>
      <c r="F113" t="str">
        <f t="shared" si="123"/>
        <v>Biodiesel (HtL blend)</v>
      </c>
      <c r="G113" t="s">
        <v>828</v>
      </c>
      <c r="H113" s="74">
        <f t="shared" si="139"/>
        <v>81.315514785336788</v>
      </c>
      <c r="I113" s="74">
        <f t="shared" si="139"/>
        <v>31.820375991541983</v>
      </c>
      <c r="J113" s="74">
        <f t="shared" si="139"/>
        <v>18.46697349217666</v>
      </c>
      <c r="K113" s="74">
        <f t="shared" si="139"/>
        <v>18.170787322592162</v>
      </c>
      <c r="L113" s="74">
        <f t="shared" si="139"/>
        <v>18.061064520928571</v>
      </c>
      <c r="M113" s="74">
        <f t="shared" si="139"/>
        <v>17.950913908125141</v>
      </c>
      <c r="N113" s="74">
        <f t="shared" si="139"/>
        <v>17.851625148962395</v>
      </c>
      <c r="O113" s="454"/>
      <c r="P113" s="74">
        <f t="shared" si="140"/>
        <v>0.65495030420151079</v>
      </c>
      <c r="Q113" s="74">
        <f t="shared" si="140"/>
        <v>0.37058408378169511</v>
      </c>
      <c r="R113" s="74">
        <f t="shared" si="140"/>
        <v>0.29024676577888991</v>
      </c>
      <c r="S113" s="74">
        <f t="shared" si="140"/>
        <v>0.24525529602179832</v>
      </c>
      <c r="T113" s="74">
        <f t="shared" si="140"/>
        <v>0.22375251716154207</v>
      </c>
      <c r="U113" s="74">
        <f t="shared" si="140"/>
        <v>0.20182192716144165</v>
      </c>
      <c r="V113" s="74">
        <f t="shared" si="140"/>
        <v>0.19075319080203126</v>
      </c>
      <c r="W113"/>
      <c r="X113" s="2">
        <f t="shared" si="141"/>
        <v>-3.3241003623372918</v>
      </c>
      <c r="Y113" s="2">
        <f t="shared" si="141"/>
        <v>-3.7421924641576072</v>
      </c>
      <c r="Z113" s="2">
        <f t="shared" si="141"/>
        <v>-4.1604475212863958</v>
      </c>
      <c r="AA113" s="2">
        <f t="shared" si="141"/>
        <v>-4.5787025784151894</v>
      </c>
      <c r="AB113" s="2">
        <f t="shared" si="141"/>
        <v>-4.9969576355439838</v>
      </c>
      <c r="AC113" s="2">
        <f t="shared" si="141"/>
        <v>-5.4152126926727746</v>
      </c>
      <c r="AD113" s="2">
        <f t="shared" si="141"/>
        <v>-5.8334677498015717</v>
      </c>
      <c r="AE113" s="2"/>
      <c r="AF113" s="2">
        <f t="shared" si="142"/>
        <v>65.50944732297063</v>
      </c>
      <c r="AG113" s="2">
        <f t="shared" si="142"/>
        <v>65.50944732297063</v>
      </c>
      <c r="AH113" s="2">
        <f t="shared" si="142"/>
        <v>65.50944732297063</v>
      </c>
      <c r="AI113" s="2">
        <f t="shared" si="142"/>
        <v>65.50944732297063</v>
      </c>
      <c r="AJ113" s="2">
        <f t="shared" si="142"/>
        <v>65.50944732297063</v>
      </c>
      <c r="AK113" s="2">
        <f t="shared" si="142"/>
        <v>65.50944732297063</v>
      </c>
      <c r="AL113" s="2">
        <f t="shared" si="142"/>
        <v>65.50944732297063</v>
      </c>
      <c r="AM113"/>
      <c r="AN113" s="24">
        <f t="shared" si="128"/>
        <v>62.185346960633339</v>
      </c>
      <c r="AO113" s="24">
        <f t="shared" si="129"/>
        <v>61.767254858813025</v>
      </c>
      <c r="AP113" s="24">
        <f t="shared" si="130"/>
        <v>61.348999801684236</v>
      </c>
      <c r="AQ113" s="24">
        <f t="shared" si="131"/>
        <v>60.93074474455544</v>
      </c>
      <c r="AR113" s="24">
        <f t="shared" si="132"/>
        <v>60.512489687426644</v>
      </c>
      <c r="AS113" s="24">
        <f t="shared" si="133"/>
        <v>60.094234630297855</v>
      </c>
      <c r="AT113" s="24">
        <f t="shared" si="134"/>
        <v>59.675979573169059</v>
      </c>
      <c r="AU113"/>
      <c r="AV113" s="74">
        <f t="shared" si="143"/>
        <v>13.623780248067494</v>
      </c>
      <c r="AW113" s="74">
        <f t="shared" si="143"/>
        <v>8.1742681488404969</v>
      </c>
      <c r="AX113" s="74">
        <f t="shared" si="143"/>
        <v>2.7247560496134988</v>
      </c>
      <c r="AY113" s="74">
        <f t="shared" si="143"/>
        <v>2.5612706866366892</v>
      </c>
      <c r="AZ113" s="74">
        <f t="shared" si="143"/>
        <v>2.4795280051482842</v>
      </c>
      <c r="BA113" s="74">
        <f t="shared" si="143"/>
        <v>2.3977853236598787</v>
      </c>
      <c r="BB113" s="74">
        <f t="shared" si="143"/>
        <v>2.3160426421714742</v>
      </c>
      <c r="BC113" s="454"/>
      <c r="BD113" s="74">
        <f t="shared" si="144"/>
        <v>49.960329545429296</v>
      </c>
      <c r="BE113" s="74">
        <f t="shared" si="144"/>
        <v>9.9920659090858592</v>
      </c>
      <c r="BF113" s="74">
        <f t="shared" si="144"/>
        <v>3.3306886363619532</v>
      </c>
      <c r="BG113" s="74">
        <f t="shared" si="144"/>
        <v>3.1308473181802361</v>
      </c>
      <c r="BH113" s="74">
        <f t="shared" si="144"/>
        <v>3.0309266590893778</v>
      </c>
      <c r="BI113" s="74">
        <f t="shared" si="144"/>
        <v>2.9310059999985194</v>
      </c>
      <c r="BJ113" s="74">
        <f t="shared" si="144"/>
        <v>2.8310853409076602</v>
      </c>
      <c r="BK113" s="455"/>
      <c r="BL113" s="74">
        <f t="shared" si="145"/>
        <v>0</v>
      </c>
      <c r="BM113" s="74">
        <f t="shared" si="145"/>
        <v>0</v>
      </c>
      <c r="BN113" s="74">
        <f t="shared" si="145"/>
        <v>0</v>
      </c>
      <c r="BO113" s="74">
        <f t="shared" si="145"/>
        <v>0</v>
      </c>
      <c r="BP113" s="74">
        <f t="shared" si="145"/>
        <v>0</v>
      </c>
      <c r="BQ113" s="74">
        <f t="shared" si="145"/>
        <v>0</v>
      </c>
      <c r="BR113" s="74">
        <f t="shared" si="145"/>
        <v>0</v>
      </c>
      <c r="BS113" s="454"/>
      <c r="BT113" s="74">
        <f t="shared" si="146"/>
        <v>17.076454687638481</v>
      </c>
      <c r="BU113" s="74">
        <f t="shared" si="146"/>
        <v>13.283457849833926</v>
      </c>
      <c r="BV113" s="74">
        <f t="shared" si="146"/>
        <v>12.121282040422317</v>
      </c>
      <c r="BW113" s="74">
        <f t="shared" si="146"/>
        <v>12.233414021753436</v>
      </c>
      <c r="BX113" s="74">
        <f t="shared" si="146"/>
        <v>12.326857339529367</v>
      </c>
      <c r="BY113" s="74">
        <f t="shared" si="146"/>
        <v>12.420300657305299</v>
      </c>
      <c r="BZ113" s="74">
        <f t="shared" si="146"/>
        <v>12.513743975081232</v>
      </c>
    </row>
    <row r="114" spans="1:78" x14ac:dyDescent="0.2">
      <c r="A114" s="452"/>
      <c r="B114" s="453" t="str">
        <f t="shared" si="120"/>
        <v>Biodiesel (Pyr blend) - Africa&amp;other - Fuel cost - USD/GJ</v>
      </c>
      <c r="C114" s="453" t="str">
        <f t="shared" si="121"/>
        <v>Biodiesel (Pyr blend) - Africa</v>
      </c>
      <c r="D114" s="77">
        <f>+INDEX('Fuel Model -  Input'!$H$15:$H$44,MATCH(F114,'Fuel Model -  Input'!$F$15:$F$44,0))/1000</f>
        <v>34.28</v>
      </c>
      <c r="E114" t="s">
        <v>200</v>
      </c>
      <c r="F114" t="str">
        <f t="shared" si="123"/>
        <v>Biodiesel (Pyr blend)</v>
      </c>
      <c r="G114" t="s">
        <v>828</v>
      </c>
      <c r="H114" s="74">
        <f t="shared" si="139"/>
        <v>24.837417145710386</v>
      </c>
      <c r="I114" s="74">
        <f t="shared" si="139"/>
        <v>17.873906750354134</v>
      </c>
      <c r="J114" s="74">
        <f t="shared" si="139"/>
        <v>14.377536102042939</v>
      </c>
      <c r="K114" s="74">
        <f t="shared" si="139"/>
        <v>14.378319343766121</v>
      </c>
      <c r="L114" s="74">
        <f t="shared" si="139"/>
        <v>14.427973652126125</v>
      </c>
      <c r="M114" s="74">
        <f t="shared" si="139"/>
        <v>14.47759622668579</v>
      </c>
      <c r="N114" s="74">
        <f t="shared" si="139"/>
        <v>14.527806495992236</v>
      </c>
      <c r="O114" s="454"/>
      <c r="P114" s="74">
        <f t="shared" si="140"/>
        <v>0</v>
      </c>
      <c r="Q114" s="74">
        <f t="shared" si="140"/>
        <v>0</v>
      </c>
      <c r="R114" s="74">
        <f t="shared" si="140"/>
        <v>0</v>
      </c>
      <c r="S114" s="74">
        <f t="shared" si="140"/>
        <v>0</v>
      </c>
      <c r="T114" s="74">
        <f t="shared" si="140"/>
        <v>0</v>
      </c>
      <c r="U114" s="74">
        <f t="shared" si="140"/>
        <v>0</v>
      </c>
      <c r="V114" s="74">
        <f t="shared" si="140"/>
        <v>0</v>
      </c>
      <c r="W114"/>
      <c r="X114" s="2">
        <f t="shared" si="141"/>
        <v>-1.3339806999597574</v>
      </c>
      <c r="Y114" s="2">
        <f t="shared" si="141"/>
        <v>-1.5577242046437272</v>
      </c>
      <c r="Z114" s="2">
        <f t="shared" si="141"/>
        <v>-1.7814677093277003</v>
      </c>
      <c r="AA114" s="2">
        <f t="shared" si="141"/>
        <v>-2.0052112140116702</v>
      </c>
      <c r="AB114" s="2">
        <f t="shared" si="141"/>
        <v>-2.2289547186956429</v>
      </c>
      <c r="AC114" s="2">
        <f t="shared" si="141"/>
        <v>-2.452698223379616</v>
      </c>
      <c r="AD114" s="2">
        <f t="shared" si="141"/>
        <v>-2.6764417280635859</v>
      </c>
      <c r="AE114" s="2"/>
      <c r="AF114" s="2">
        <f t="shared" si="142"/>
        <v>80.800204200700108</v>
      </c>
      <c r="AG114" s="2">
        <f t="shared" si="142"/>
        <v>80.800204200700108</v>
      </c>
      <c r="AH114" s="2">
        <f t="shared" si="142"/>
        <v>80.800204200700108</v>
      </c>
      <c r="AI114" s="2">
        <f t="shared" si="142"/>
        <v>80.800204200700108</v>
      </c>
      <c r="AJ114" s="2">
        <f t="shared" si="142"/>
        <v>80.800204200700108</v>
      </c>
      <c r="AK114" s="2">
        <f t="shared" si="142"/>
        <v>80.800204200700108</v>
      </c>
      <c r="AL114" s="2">
        <f t="shared" si="142"/>
        <v>80.800204200700108</v>
      </c>
      <c r="AM114"/>
      <c r="AN114" s="24">
        <f t="shared" si="128"/>
        <v>79.466223500740355</v>
      </c>
      <c r="AO114" s="24">
        <f t="shared" si="129"/>
        <v>79.242479996056375</v>
      </c>
      <c r="AP114" s="24">
        <f t="shared" si="130"/>
        <v>79.018736491372408</v>
      </c>
      <c r="AQ114" s="24">
        <f t="shared" si="131"/>
        <v>78.794992986688442</v>
      </c>
      <c r="AR114" s="24">
        <f t="shared" si="132"/>
        <v>78.571249482004461</v>
      </c>
      <c r="AS114" s="24">
        <f t="shared" si="133"/>
        <v>78.347505977320495</v>
      </c>
      <c r="AT114" s="24">
        <f t="shared" si="134"/>
        <v>78.123762472636528</v>
      </c>
      <c r="AU114"/>
      <c r="AV114" s="74">
        <f t="shared" si="143"/>
        <v>3.5381676522849217</v>
      </c>
      <c r="AW114" s="74">
        <f t="shared" si="143"/>
        <v>2.1229005913709535</v>
      </c>
      <c r="AX114" s="74">
        <f t="shared" si="143"/>
        <v>0.70763353045698429</v>
      </c>
      <c r="AY114" s="74">
        <f t="shared" si="143"/>
        <v>0.63687017741128604</v>
      </c>
      <c r="AZ114" s="74">
        <f t="shared" si="143"/>
        <v>0.61328239306271981</v>
      </c>
      <c r="BA114" s="74">
        <f t="shared" si="143"/>
        <v>0.5896946087141538</v>
      </c>
      <c r="BB114" s="74">
        <f t="shared" si="143"/>
        <v>0.56610682436558757</v>
      </c>
      <c r="BC114" s="454"/>
      <c r="BD114" s="74">
        <f t="shared" si="144"/>
        <v>1.3108067563063812</v>
      </c>
      <c r="BE114" s="74">
        <f t="shared" si="144"/>
        <v>0.78527757520331798</v>
      </c>
      <c r="BF114" s="74">
        <f t="shared" si="144"/>
        <v>0.27080178432027258</v>
      </c>
      <c r="BG114" s="74">
        <f t="shared" si="144"/>
        <v>0.2429068214518324</v>
      </c>
      <c r="BH114" s="74">
        <f t="shared" si="144"/>
        <v>0.23328094946263664</v>
      </c>
      <c r="BI114" s="74">
        <f t="shared" si="144"/>
        <v>0.22362334367310158</v>
      </c>
      <c r="BJ114" s="74">
        <f t="shared" si="144"/>
        <v>0.21455343263034601</v>
      </c>
      <c r="BK114" s="455"/>
      <c r="BL114" s="74">
        <f t="shared" si="145"/>
        <v>0</v>
      </c>
      <c r="BM114" s="74">
        <f t="shared" si="145"/>
        <v>0</v>
      </c>
      <c r="BN114" s="74">
        <f t="shared" si="145"/>
        <v>0</v>
      </c>
      <c r="BO114" s="74">
        <f t="shared" si="145"/>
        <v>0</v>
      </c>
      <c r="BP114" s="74">
        <f t="shared" si="145"/>
        <v>0</v>
      </c>
      <c r="BQ114" s="74">
        <f t="shared" si="145"/>
        <v>0</v>
      </c>
      <c r="BR114" s="74">
        <f t="shared" si="145"/>
        <v>0</v>
      </c>
      <c r="BS114" s="454"/>
      <c r="BT114" s="74">
        <f t="shared" si="146"/>
        <v>19.988442737119083</v>
      </c>
      <c r="BU114" s="74">
        <f t="shared" si="146"/>
        <v>14.965728583779862</v>
      </c>
      <c r="BV114" s="74">
        <f t="shared" si="146"/>
        <v>13.399100787265681</v>
      </c>
      <c r="BW114" s="74">
        <f t="shared" si="146"/>
        <v>13.498542344903003</v>
      </c>
      <c r="BX114" s="74">
        <f t="shared" si="146"/>
        <v>13.581410309600768</v>
      </c>
      <c r="BY114" s="74">
        <f t="shared" si="146"/>
        <v>13.664278274298535</v>
      </c>
      <c r="BZ114" s="74">
        <f t="shared" si="146"/>
        <v>13.747146238996303</v>
      </c>
    </row>
    <row r="115" spans="1:78" x14ac:dyDescent="0.2">
      <c r="A115" s="452"/>
      <c r="B115" s="453"/>
      <c r="D115" s="74"/>
      <c r="E115"/>
      <c r="F115"/>
      <c r="G115"/>
      <c r="H115" s="74"/>
      <c r="I115" s="74"/>
      <c r="J115" s="74"/>
      <c r="K115" s="74"/>
      <c r="L115" s="74"/>
      <c r="M115" s="74"/>
      <c r="N115" s="74"/>
      <c r="O115" s="454"/>
      <c r="P115" s="74"/>
      <c r="Q115" s="74"/>
      <c r="R115" s="74"/>
      <c r="S115" s="74"/>
      <c r="T115" s="74"/>
      <c r="U115" s="74"/>
      <c r="V115" s="74"/>
      <c r="W115"/>
      <c r="X115"/>
      <c r="Y115"/>
      <c r="Z115"/>
      <c r="AA115"/>
      <c r="AB115"/>
      <c r="AC115"/>
      <c r="AD115"/>
      <c r="AE115"/>
      <c r="AF115" s="2"/>
      <c r="AG115" s="2"/>
      <c r="AH115" s="2"/>
      <c r="AI115" s="2"/>
      <c r="AJ115" s="2"/>
      <c r="AK115" s="2"/>
      <c r="AL115" s="2"/>
      <c r="AM115"/>
      <c r="AN115"/>
      <c r="AO115"/>
      <c r="AP115"/>
      <c r="AQ115"/>
      <c r="AR115"/>
      <c r="AS115"/>
      <c r="AT115"/>
      <c r="AU115"/>
      <c r="AV115" s="454"/>
      <c r="AW115" s="454"/>
      <c r="AX115" s="454"/>
      <c r="AY115" s="454"/>
      <c r="AZ115" s="454"/>
      <c r="BA115" s="454"/>
      <c r="BB115" s="454"/>
      <c r="BC115" s="454"/>
      <c r="BD115" s="455"/>
      <c r="BE115" s="455"/>
      <c r="BF115" s="455"/>
      <c r="BG115" s="455"/>
      <c r="BH115" s="455"/>
      <c r="BI115" s="455"/>
      <c r="BJ115" s="455"/>
      <c r="BK115" s="455"/>
      <c r="BL115" s="455"/>
      <c r="BM115" s="455"/>
      <c r="BN115" s="455"/>
      <c r="BO115" s="455"/>
      <c r="BP115" s="455"/>
      <c r="BQ115" s="454"/>
      <c r="BR115" s="454"/>
      <c r="BS115" s="454"/>
      <c r="BT115" s="454"/>
      <c r="BU115" s="454"/>
      <c r="BV115" s="454"/>
      <c r="BW115" s="454"/>
      <c r="BX115" s="454"/>
      <c r="BY115" s="454"/>
      <c r="BZ115" s="454"/>
    </row>
    <row r="116" spans="1:78" x14ac:dyDescent="0.2">
      <c r="A116" s="452"/>
      <c r="B116" s="453" t="str">
        <f t="shared" ref="B116:B136" si="147">_xlfn.TEXTJOIN(keydelim,TRUE,F116,IF(E116="Africa","Africa&amp;other",E116),"Fuel cost",SUBSTITUTE($G116," ",""))</f>
        <v>e-Hydrogen (liquid) - Global - Fuel cost - USD/GJ</v>
      </c>
      <c r="C116" s="453" t="str">
        <f t="shared" ref="C116:C136" si="148">_xlfn.TEXTJOIN(keydelim,TRUE,F116,E116)</f>
        <v>e-Hydrogen (liquid) - Global</v>
      </c>
      <c r="D116" s="74">
        <f t="shared" ref="D116:D134" si="149">D94</f>
        <v>120</v>
      </c>
      <c r="E116" t="s">
        <v>109</v>
      </c>
      <c r="F116" t="str">
        <f t="shared" ref="F116:F136" si="150">F94</f>
        <v>e-Hydrogen (liquid)</v>
      </c>
      <c r="G116" t="s">
        <v>828</v>
      </c>
      <c r="H116" s="74">
        <f>SMALL((H6,H28,H50,H72,H94),1)*0.4+SMALL((H6,H28,H50,H72,H94),2)*0.3+SMALL((H6,H28,H50,H72,H94),3)*0.1+SMALL((H6,H28,H50,H72,H94),4)*0.1+SMALL((H6,H28,H50,H72,H94),5)*0.1</f>
        <v>50.38564593376627</v>
      </c>
      <c r="I116" s="74">
        <f>SMALL((I6,I28,I50,I72,I94),1)*0.4+SMALL((I6,I28,I50,I72,I94),2)*0.3+SMALL((I6,I28,I50,I72,I94),3)*0.1+SMALL((I6,I28,I50,I72,I94),4)*0.1+SMALL((I6,I28,I50,I72,I94),5)*0.1</f>
        <v>41.792149830141909</v>
      </c>
      <c r="J116" s="74">
        <f>SMALL((J6,J28,J50,J72,J94),1)*0.4+SMALL((J6,J28,J50,J72,J94),2)*0.3+SMALL((J6,J28,J50,J72,J94),3)*0.1+SMALL((J6,J28,J50,J72,J94),4)*0.1+SMALL((J6,J28,J50,J72,J94),5)*0.1</f>
        <v>36.020387631340384</v>
      </c>
      <c r="K116" s="74">
        <f>SMALL((K6,K28,K50,K72,K94),1)*0.4+SMALL((K6,K28,K50,K72,K94),2)*0.3+SMALL((K6,K28,K50,K72,K94),3)*0.1+SMALL((K6,K28,K50,K72,K94),4)*0.1+SMALL((K6,K28,K50,K72,K94),5)*0.1</f>
        <v>33.280845649479907</v>
      </c>
      <c r="L116" s="74">
        <f>SMALL((L6,L28,L50,L72,L94),1)*0.4+SMALL((L6,L28,L50,L72,L94),2)*0.3+SMALL((L6,L28,L50,L72,L94),3)*0.1+SMALL((L6,L28,L50,L72,L94),4)*0.1+SMALL((L6,L28,L50,L72,L94),5)*0.1</f>
        <v>30.088450397668737</v>
      </c>
      <c r="M116" s="74">
        <f>SMALL((M6,M28,M50,M72,M94),1)*0.4+SMALL((M6,M28,M50,M72,M94),2)*0.3+SMALL((M6,M28,M50,M72,M94),3)*0.1+SMALL((M6,M28,M50,M72,M94),4)*0.1+SMALL((M6,M28,M50,M72,M94),5)*0.1</f>
        <v>26.208089202341288</v>
      </c>
      <c r="N116" s="74">
        <f>SMALL((N6,N28,N50,N72,N94),1)*0.4+SMALL((N6,N28,N50,N72,N94),2)*0.3+SMALL((N6,N28,N50,N72,N94),3)*0.1+SMALL((N6,N28,N50,N72,N94),4)*0.1+SMALL((N6,N28,N50,N72,N94),5)*0.1</f>
        <v>22.774039565734544</v>
      </c>
      <c r="O116" s="454"/>
      <c r="P116" s="74">
        <f>SMALL((P6,P28,P50,P72,P94),1)*0.4+SMALL((P6,P28,P50,P72,P94),2)*0.3+SMALL((P6,P28,P50,P72,P94),3)*0.1+SMALL((P6,P28,P50,P72,P94),4)*0.1+SMALL((P6,P28,P50,P72,P94),5)*0.1</f>
        <v>26.190448123339635</v>
      </c>
      <c r="Q116" s="74">
        <f>SMALL((Q6,Q28,Q50,Q72,Q94),1)*0.4+SMALL((Q6,Q28,Q50,Q72,Q94),2)*0.3+SMALL((Q6,Q28,Q50,Q72,Q94),3)*0.1+SMALL((Q6,Q28,Q50,Q72,Q94),4)*0.1+SMALL((Q6,Q28,Q50,Q72,Q94),5)*0.1</f>
        <v>20.086223974682188</v>
      </c>
      <c r="R116" s="74">
        <f>SMALL((R6,R28,R50,R72,R94),1)*0.4+SMALL((R6,R28,R50,R72,R94),2)*0.3+SMALL((R6,R28,R50,R72,R94),3)*0.1+SMALL((R6,R28,R50,R72,R94),4)*0.1+SMALL((R6,R28,R50,R72,R94),5)*0.1</f>
        <v>16.273598076143912</v>
      </c>
      <c r="S116" s="74">
        <f>SMALL((S6,S28,S50,S72,S94),1)*0.4+SMALL((S6,S28,S50,S72,S94),2)*0.3+SMALL((S6,S28,S50,S72,S94),3)*0.1+SMALL((S6,S28,S50,S72,S94),4)*0.1+SMALL((S6,S28,S50,S72,S94),5)*0.1</f>
        <v>13.749029926108719</v>
      </c>
      <c r="T116" s="74">
        <f>SMALL((T6,T28,T50,T72,T94),1)*0.4+SMALL((T6,T28,T50,T72,T94),2)*0.3+SMALL((T6,T28,T50,T72,T94),3)*0.1+SMALL((T6,T28,T50,T72,T94),4)*0.1+SMALL((T6,T28,T50,T72,T94),5)*0.1</f>
        <v>12.10098694990975</v>
      </c>
      <c r="U116" s="74">
        <f>SMALL((U6,U28,U50,U72,U94),1)*0.4+SMALL((U6,U28,U50,U72,U94),2)*0.3+SMALL((U6,U28,U50,U72,U94),3)*0.1+SMALL((U6,U28,U50,U72,U94),4)*0.1+SMALL((U6,U28,U50,U72,U94),5)*0.1</f>
        <v>10.47749519455828</v>
      </c>
      <c r="V116" s="74">
        <f>SMALL((V6,V28,V50,V72,V94),1)*0.4+SMALL((V6,V28,V50,V72,V94),2)*0.3+SMALL((V6,V28,V50,V72,V94),3)*0.1+SMALL((V6,V28,V50,V72,V94),4)*0.1+SMALL((V6,V28,V50,V72,V94),5)*0.1</f>
        <v>9.5133561844841896</v>
      </c>
      <c r="W116"/>
      <c r="X116" s="2">
        <f t="shared" ref="X116:AD125" si="151">X6</f>
        <v>2.4279169967523235</v>
      </c>
      <c r="Y116" s="2">
        <f t="shared" si="151"/>
        <v>2.4164999999999996</v>
      </c>
      <c r="Z116" s="2">
        <f t="shared" si="151"/>
        <v>2.3844189608069937</v>
      </c>
      <c r="AA116" s="2">
        <f t="shared" si="151"/>
        <v>2.2992105071273761</v>
      </c>
      <c r="AB116" s="2">
        <f t="shared" si="151"/>
        <v>2.1968832906641627</v>
      </c>
      <c r="AC116" s="2">
        <f t="shared" si="151"/>
        <v>2.0606527991130323</v>
      </c>
      <c r="AD116" s="2">
        <f t="shared" si="151"/>
        <v>1.9533374999999999</v>
      </c>
      <c r="AE116"/>
      <c r="AF116" s="2">
        <f t="shared" ref="AF116:AL125" si="152">AF6</f>
        <v>0</v>
      </c>
      <c r="AG116" s="2">
        <f t="shared" si="152"/>
        <v>0</v>
      </c>
      <c r="AH116" s="2">
        <f t="shared" si="152"/>
        <v>0</v>
      </c>
      <c r="AI116" s="2">
        <f t="shared" si="152"/>
        <v>0</v>
      </c>
      <c r="AJ116" s="2">
        <f t="shared" si="152"/>
        <v>0</v>
      </c>
      <c r="AK116" s="2">
        <f t="shared" si="152"/>
        <v>0</v>
      </c>
      <c r="AL116" s="2">
        <f t="shared" si="152"/>
        <v>0</v>
      </c>
      <c r="AM116"/>
      <c r="AN116" s="2">
        <f t="shared" ref="AN116:AT125" si="153">AN6</f>
        <v>2.4279169967523235</v>
      </c>
      <c r="AO116" s="2">
        <f t="shared" si="153"/>
        <v>2.4164999999999996</v>
      </c>
      <c r="AP116" s="2">
        <f t="shared" si="153"/>
        <v>2.3844189608069937</v>
      </c>
      <c r="AQ116" s="2">
        <f t="shared" si="153"/>
        <v>2.2992105071273761</v>
      </c>
      <c r="AR116" s="2">
        <f t="shared" si="153"/>
        <v>2.1968832906641627</v>
      </c>
      <c r="AS116" s="2">
        <f t="shared" si="153"/>
        <v>2.0606527991130323</v>
      </c>
      <c r="AT116" s="2">
        <f t="shared" si="153"/>
        <v>1.9533374999999999</v>
      </c>
      <c r="AU116"/>
      <c r="AV116" s="74">
        <f>SMALL((AV6,AV28,AV50,AV72,AV94),1)*0.4+SMALL((AV6,AV28,AV50,AV72,AV94),2)*0.3+SMALL((AV6,AV28,AV50,AV72,AV94),3)*0.1+SMALL((AV6,AV28,AV50,AV72,AV94),4)*0.1+SMALL((AV6,AV28,AV50,AV72,AV94),5)*0.1</f>
        <v>15.288031541894343</v>
      </c>
      <c r="AW116" s="74">
        <f>SMALL((AW6,AW28,AW50,AW72,AW94),1)*0.4+SMALL((AW6,AW28,AW50,AW72,AW94),2)*0.3+SMALL((AW6,AW28,AW50,AW72,AW94),3)*0.1+SMALL((AW6,AW28,AW50,AW72,AW94),4)*0.1+SMALL((AW6,AW28,AW50,AW72,AW94),5)*0.1</f>
        <v>14.16181330683804</v>
      </c>
      <c r="AX116" s="74">
        <f>SMALL((AX6,AX28,AX50,AX72,AX94),1)*0.4+SMALL((AX6,AX28,AX50,AX72,AX94),2)*0.3+SMALL((AX6,AX28,AX50,AX72,AX94),3)*0.1+SMALL((AX6,AX28,AX50,AX72,AX94),4)*0.1+SMALL((AX6,AX28,AX50,AX72,AX94),5)*0.1</f>
        <v>13.433948929977461</v>
      </c>
      <c r="AY116" s="74">
        <f>SMALL((AY6,AY28,AY50,AY72,AY94),1)*0.4+SMALL((AY6,AY28,AY50,AY72,AY94),2)*0.3+SMALL((AY6,AY28,AY50,AY72,AY94),3)*0.1+SMALL((AY6,AY28,AY50,AY72,AY94),4)*0.1+SMALL((AY6,AY28,AY50,AY72,AY94),5)*0.1</f>
        <v>13.705079855352748</v>
      </c>
      <c r="AZ116" s="74">
        <f>SMALL((AZ6,AZ28,AZ50,AZ72,AZ94),1)*0.4+SMALL((AZ6,AZ28,AZ50,AZ72,AZ94),2)*0.3+SMALL((AZ6,AZ28,AZ50,AZ72,AZ94),3)*0.1+SMALL((AZ6,AZ28,AZ50,AZ72,AZ94),4)*0.1+SMALL((AZ6,AZ28,AZ50,AZ72,AZ94),5)*0.1</f>
        <v>13.276193687058139</v>
      </c>
      <c r="BA116" s="74">
        <f>SMALL((BA6,BA28,BA50,BA72,BA94),1)*0.4+SMALL((BA6,BA28,BA50,BA72,BA94),2)*0.3+SMALL((BA6,BA28,BA50,BA72,BA94),3)*0.1+SMALL((BA6,BA28,BA50,BA72,BA94),4)*0.1+SMALL((BA6,BA28,BA50,BA72,BA94),5)*0.1</f>
        <v>12.281271089359862</v>
      </c>
      <c r="BB116" s="74">
        <f>SMALL((BB6,BB28,BB50,BB72,BB94),1)*0.4+SMALL((BB6,BB28,BB50,BB72,BB94),2)*0.3+SMALL((BB6,BB28,BB50,BB72,BB94),3)*0.1+SMALL((BB6,BB28,BB50,BB72,BB94),4)*0.1+SMALL((BB6,BB28,BB50,BB72,BB94),5)*0.1</f>
        <v>10.919619200631379</v>
      </c>
      <c r="BC116" s="454"/>
      <c r="BD116" s="74">
        <f>SMALL((BD6,BD28,BD50,BD72,BD94),1)*0.4+SMALL((BD6,BD28,BD50,BD72,BD94),2)*0.3+SMALL((BD6,BD28,BD50,BD72,BD94),3)*0.1+SMALL((BD6,BD28,BD50,BD72,BD94),4)*0.1+SMALL((BD6,BD28,BD50,BD72,BD94),5)*0.1</f>
        <v>8.7946662685322927</v>
      </c>
      <c r="BE116" s="74">
        <f>SMALL((BE6,BE28,BE50,BE72,BE94),1)*0.4+SMALL((BE6,BE28,BE50,BE72,BE94),2)*0.3+SMALL((BE6,BE28,BE50,BE72,BE94),3)*0.1+SMALL((BE6,BE28,BE50,BE72,BE94),4)*0.1+SMALL((BE6,BE28,BE50,BE72,BE94),5)*0.1</f>
        <v>7.4316125486216826</v>
      </c>
      <c r="BF116" s="74">
        <f>SMALL((BF6,BF28,BF50,BF72,BF94),1)*0.4+SMALL((BF6,BF28,BF50,BF72,BF94),2)*0.3+SMALL((BF6,BF28,BF50,BF72,BF94),3)*0.1+SMALL((BF6,BF28,BF50,BF72,BF94),4)*0.1+SMALL((BF6,BF28,BF50,BF72,BF94),5)*0.1</f>
        <v>6.2003406252190185</v>
      </c>
      <c r="BG116" s="74">
        <f>SMALL((BG6,BG28,BG50,BG72,BG94),1)*0.4+SMALL((BG6,BG28,BG50,BG72,BG94),2)*0.3+SMALL((BG6,BG28,BG50,BG72,BG94),3)*0.1+SMALL((BG6,BG28,BG50,BG72,BG94),4)*0.1+SMALL((BG6,BG28,BG50,BG72,BG94),5)*0.1</f>
        <v>5.7142358680184442</v>
      </c>
      <c r="BH116" s="74">
        <f>SMALL((BH6,BH28,BH50,BH72,BH94),1)*0.4+SMALL((BH6,BH28,BH50,BH72,BH94),2)*0.3+SMALL((BH6,BH28,BH50,BH72,BH94),3)*0.1+SMALL((BH6,BH28,BH50,BH72,BH94),4)*0.1+SMALL((BH6,BH28,BH50,BH72,BH94),5)*0.1</f>
        <v>4.5987697607008462</v>
      </c>
      <c r="BI116" s="74">
        <f>SMALL((BI6,BI28,BI50,BI72,BI94),1)*0.4+SMALL((BI6,BI28,BI50,BI72,BI94),2)*0.3+SMALL((BI6,BI28,BI50,BI72,BI94),3)*0.1+SMALL((BI6,BI28,BI50,BI72,BI94),4)*0.1+SMALL((BI6,BI28,BI50,BI72,BI94),5)*0.1</f>
        <v>3.3368229184231475</v>
      </c>
      <c r="BJ116" s="74">
        <f>SMALL((BJ6,BJ28,BJ50,BJ72,BJ94),1)*0.4+SMALL((BJ6,BJ28,BJ50,BJ72,BJ94),2)*0.3+SMALL((BJ6,BJ28,BJ50,BJ72,BJ94),3)*0.1+SMALL((BJ6,BJ28,BJ50,BJ72,BJ94),4)*0.1+SMALL((BJ6,BJ28,BJ50,BJ72,BJ94),5)*0.1</f>
        <v>2.2285641806189753</v>
      </c>
      <c r="BK116" s="455"/>
      <c r="BL116" s="74">
        <f>SMALL((BL6,BL28,BL50,BL72,BL94),1)*0.4+SMALL((BL6,BL28,BL50,BL72,BL94),2)*0.3+SMALL((BL6,BL28,BL50,BL72,BL94),3)*0.1+SMALL((BL6,BL28,BL50,BL72,BL94),4)*0.1+SMALL((BL6,BL28,BL50,BL72,BL94),5)*0.1</f>
        <v>0</v>
      </c>
      <c r="BM116" s="74">
        <f>SMALL((BM6,BM28,BM50,BM72,BM94),1)*0.4+SMALL((BM6,BM28,BM50,BM72,BM94),2)*0.3+SMALL((BM6,BM28,BM50,BM72,BM94),3)*0.1+SMALL((BM6,BM28,BM50,BM72,BM94),4)*0.1+SMALL((BM6,BM28,BM50,BM72,BM94),5)*0.1</f>
        <v>0</v>
      </c>
      <c r="BN116" s="74">
        <f>SMALL((BN6,BN28,BN50,BN72,BN94),1)*0.4+SMALL((BN6,BN28,BN50,BN72,BN94),2)*0.3+SMALL((BN6,BN28,BN50,BN72,BN94),3)*0.1+SMALL((BN6,BN28,BN50,BN72,BN94),4)*0.1+SMALL((BN6,BN28,BN50,BN72,BN94),5)*0.1</f>
        <v>0</v>
      </c>
      <c r="BO116" s="74">
        <f>SMALL((BO6,BO28,BO50,BO72,BO94),1)*0.4+SMALL((BO6,BO28,BO50,BO72,BO94),2)*0.3+SMALL((BO6,BO28,BO50,BO72,BO94),3)*0.1+SMALL((BO6,BO28,BO50,BO72,BO94),4)*0.1+SMALL((BO6,BO28,BO50,BO72,BO94),5)*0.1</f>
        <v>0</v>
      </c>
      <c r="BP116" s="74">
        <f>SMALL((BP6,BP28,BP50,BP72,BP94),1)*0.4+SMALL((BP6,BP28,BP50,BP72,BP94),2)*0.3+SMALL((BP6,BP28,BP50,BP72,BP94),3)*0.1+SMALL((BP6,BP28,BP50,BP72,BP94),4)*0.1+SMALL((BP6,BP28,BP50,BP72,BP94),5)*0.1</f>
        <v>0</v>
      </c>
      <c r="BQ116" s="74">
        <f>SMALL((BQ6,BQ28,BQ50,BQ72,BQ94),1)*0.4+SMALL((BQ6,BQ28,BQ50,BQ72,BQ94),2)*0.3+SMALL((BQ6,BQ28,BQ50,BQ72,BQ94),3)*0.1+SMALL((BQ6,BQ28,BQ50,BQ72,BQ94),4)*0.1+SMALL((BQ6,BQ28,BQ50,BQ72,BQ94),5)*0.1</f>
        <v>0</v>
      </c>
      <c r="BR116" s="74">
        <f>SMALL((BR6,BR28,BR50,BR72,BR94),1)*0.4+SMALL((BR6,BR28,BR50,BR72,BR94),2)*0.3+SMALL((BR6,BR28,BR50,BR72,BR94),3)*0.1+SMALL((BR6,BR28,BR50,BR72,BR94),4)*0.1+SMALL((BR6,BR28,BR50,BR72,BR94),5)*0.1</f>
        <v>0</v>
      </c>
      <c r="BS116" s="454"/>
      <c r="BT116" s="74">
        <f>SMALL((BT6,BT28,BT50,BT72,BT94),1)*0.4+SMALL((BT6,BT28,BT50,BT72,BT94),2)*0.3+SMALL((BT6,BT28,BT50,BT72,BT94),3)*0.1+SMALL((BT6,BT28,BT50,BT72,BT94),4)*0.1+SMALL((BT6,BT28,BT50,BT72,BT94),5)*0.1</f>
        <v>0</v>
      </c>
      <c r="BU116" s="74">
        <f>SMALL((BU6,BU28,BU50,BU72,BU94),1)*0.4+SMALL((BU6,BU28,BU50,BU72,BU94),2)*0.3+SMALL((BU6,BU28,BU50,BU72,BU94),3)*0.1+SMALL((BU6,BU28,BU50,BU72,BU94),4)*0.1+SMALL((BU6,BU28,BU50,BU72,BU94),5)*0.1</f>
        <v>0</v>
      </c>
      <c r="BV116" s="74">
        <f>SMALL((BV6,BV28,BV50,BV72,BV94),1)*0.4+SMALL((BV6,BV28,BV50,BV72,BV94),2)*0.3+SMALL((BV6,BV28,BV50,BV72,BV94),3)*0.1+SMALL((BV6,BV28,BV50,BV72,BV94),4)*0.1+SMALL((BV6,BV28,BV50,BV72,BV94),5)*0.1</f>
        <v>0</v>
      </c>
      <c r="BW116" s="74">
        <f>SMALL((BW6,BW28,BW50,BW72,BW94),1)*0.4+SMALL((BW6,BW28,BW50,BW72,BW94),2)*0.3+SMALL((BW6,BW28,BW50,BW72,BW94),3)*0.1+SMALL((BW6,BW28,BW50,BW72,BW94),4)*0.1+SMALL((BW6,BW28,BW50,BW72,BW94),5)*0.1</f>
        <v>0</v>
      </c>
      <c r="BX116" s="74">
        <f>SMALL((BX6,BX28,BX50,BX72,BX94),1)*0.4+SMALL((BX6,BX28,BX50,BX72,BX94),2)*0.3+SMALL((BX6,BX28,BX50,BX72,BX94),3)*0.1+SMALL((BX6,BX28,BX50,BX72,BX94),4)*0.1+SMALL((BX6,BX28,BX50,BX72,BX94),5)*0.1</f>
        <v>0</v>
      </c>
      <c r="BY116" s="74">
        <f>SMALL((BY6,BY28,BY50,BY72,BY94),1)*0.4+SMALL((BY6,BY28,BY50,BY72,BY94),2)*0.3+SMALL((BY6,BY28,BY50,BY72,BY94),3)*0.1+SMALL((BY6,BY28,BY50,BY72,BY94),4)*0.1+SMALL((BY6,BY28,BY50,BY72,BY94),5)*0.1</f>
        <v>0</v>
      </c>
      <c r="BZ116" s="74">
        <f>SMALL((BZ6,BZ28,BZ50,BZ72,BZ94),1)*0.4+SMALL((BZ6,BZ28,BZ50,BZ72,BZ94),2)*0.3+SMALL((BZ6,BZ28,BZ50,BZ72,BZ94),3)*0.1+SMALL((BZ6,BZ28,BZ50,BZ72,BZ94),4)*0.1+SMALL((BZ6,BZ28,BZ50,BZ72,BZ94),5)*0.1</f>
        <v>0</v>
      </c>
    </row>
    <row r="117" spans="1:78" x14ac:dyDescent="0.2">
      <c r="A117" s="452"/>
      <c r="B117" s="453" t="str">
        <f t="shared" si="147"/>
        <v>e-Hydrogen (compressed) - Global - Fuel cost - USD/GJ</v>
      </c>
      <c r="C117" s="453" t="str">
        <f t="shared" si="148"/>
        <v>e-Hydrogen (compressed) - Global</v>
      </c>
      <c r="D117" s="74">
        <f t="shared" si="149"/>
        <v>120</v>
      </c>
      <c r="E117" t="s">
        <v>109</v>
      </c>
      <c r="F117" t="str">
        <f t="shared" si="150"/>
        <v>e-Hydrogen (compressed)</v>
      </c>
      <c r="G117" t="s">
        <v>828</v>
      </c>
      <c r="H117" s="74">
        <f>SMALL((H7,H29,H51,H73,H95),1)*0.4+SMALL((H7,H29,H51,H73,H95),2)*0.3+SMALL((H7,H29,H51,H73,H95),3)*0.1+SMALL((H7,H29,H51,H73,H95),4)*0.1+SMALL((H7,H29,H51,H73,H95),5)*0.1</f>
        <v>37.510348075817127</v>
      </c>
      <c r="I117" s="74">
        <f>SMALL((I7,I29,I51,I73,I95),1)*0.4+SMALL((I7,I29,I51,I73,I95),2)*0.3+SMALL((I7,I29,I51,I73,I95),3)*0.1+SMALL((I7,I29,I51,I73,I95),4)*0.1+SMALL((I7,I29,I51,I73,I95),5)*0.1</f>
        <v>29.769697546741241</v>
      </c>
      <c r="J117" s="74">
        <f>SMALL((J7,J29,J51,J73,J95),1)*0.4+SMALL((J7,J29,J51,J73,J95),2)*0.3+SMALL((J7,J29,J51,J73,J95),3)*0.1+SMALL((J7,J29,J51,J73,J95),4)*0.1+SMALL((J7,J29,J51,J73,J95),5)*0.1</f>
        <v>24.513347587016906</v>
      </c>
      <c r="K117" s="74">
        <f>SMALL((K7,K29,K51,K73,K95),1)*0.4+SMALL((K7,K29,K51,K73,K95),2)*0.3+SMALL((K7,K29,K51,K73,K95),3)*0.1+SMALL((K7,K29,K51,K73,K95),4)*0.1+SMALL((K7,K29,K51,K73,K95),5)*0.1</f>
        <v>22.074466636864109</v>
      </c>
      <c r="L117" s="74">
        <f>SMALL((L7,L29,L51,L73,L95),1)*0.4+SMALL((L7,L29,L51,L73,L95),2)*0.3+SMALL((L7,L29,L51,L73,L95),3)*0.1+SMALL((L7,L29,L51,L73,L95),4)*0.1+SMALL((L7,L29,L51,L73,L95),5)*0.1</f>
        <v>19.055839174844749</v>
      </c>
      <c r="M117" s="74">
        <f>SMALL((M7,M29,M51,M73,M95),1)*0.4+SMALL((M7,M29,M51,M73,M95),2)*0.3+SMALL((M7,M29,M51,M73,M95),3)*0.1+SMALL((M7,M29,M51,M73,M95),4)*0.1+SMALL((M7,M29,M51,M73,M95),5)*0.1</f>
        <v>15.336389641044249</v>
      </c>
      <c r="N117" s="74">
        <f>SMALL((N7,N29,N51,N73,N95),1)*0.4+SMALL((N7,N29,N51,N73,N95),2)*0.3+SMALL((N7,N29,N51,N73,N95),3)*0.1+SMALL((N7,N29,N51,N73,N95),4)*0.1+SMALL((N7,N29,N51,N73,N95),5)*0.1</f>
        <v>11.988655449426556</v>
      </c>
      <c r="O117" s="454"/>
      <c r="P117" s="74">
        <f>SMALL((P7,P29,P51,P73,P95),1)*0.4+SMALL((P7,P29,P51,P73,P95),2)*0.3+SMALL((P7,P29,P51,P73,P95),3)*0.1+SMALL((P7,P29,P51,P73,P95),4)*0.1+SMALL((P7,P29,P51,P73,P95),5)*0.1</f>
        <v>22.481816932057157</v>
      </c>
      <c r="Q117" s="74">
        <f>SMALL((Q7,Q29,Q51,Q73,Q95),1)*0.4+SMALL((Q7,Q29,Q51,Q73,Q95),2)*0.3+SMALL((Q7,Q29,Q51,Q73,Q95),3)*0.1+SMALL((Q7,Q29,Q51,Q73,Q95),4)*0.1+SMALL((Q7,Q29,Q51,Q73,Q95),5)*0.1</f>
        <v>17.230438357948181</v>
      </c>
      <c r="R117" s="74">
        <f>SMALL((R7,R29,R51,R73,R95),1)*0.4+SMALL((R7,R29,R51,R73,R95),2)*0.3+SMALL((R7,R29,R51,R73,R95),3)*0.1+SMALL((R7,R29,R51,R73,R95),4)*0.1+SMALL((R7,R29,R51,R73,R95),5)*0.1</f>
        <v>13.933224698487098</v>
      </c>
      <c r="S117" s="74">
        <f>SMALL((S7,S29,S51,S73,S95),1)*0.4+SMALL((S7,S29,S51,S73,S95),2)*0.3+SMALL((S7,S29,S51,S73,S95),3)*0.1+SMALL((S7,S29,S51,S73,S95),4)*0.1+SMALL((S7,S29,S51,S73,S95),5)*0.1</f>
        <v>11.709317580159588</v>
      </c>
      <c r="T117" s="74">
        <f>SMALL((T7,T29,T51,T73,T95),1)*0.4+SMALL((T7,T29,T51,T73,T95),2)*0.3+SMALL((T7,T29,T51,T73,T95),3)*0.1+SMALL((T7,T29,T51,T73,T95),4)*0.1+SMALL((T7,T29,T51,T73,T95),5)*0.1</f>
        <v>10.235042393752432</v>
      </c>
      <c r="U117" s="74">
        <f>SMALL((U7,U29,U51,U73,U95),1)*0.4+SMALL((U7,U29,U51,U73,U95),2)*0.3+SMALL((U7,U29,U51,U73,U95),3)*0.1+SMALL((U7,U29,U51,U73,U95),4)*0.1+SMALL((U7,U29,U51,U73,U95),5)*0.1</f>
        <v>8.7724622999279056</v>
      </c>
      <c r="V117" s="74">
        <f>SMALL((V7,V29,V51,V73,V95),1)*0.4+SMALL((V7,V29,V51,V73,V95),2)*0.3+SMALL((V7,V29,V51,V73,V95),3)*0.1+SMALL((V7,V29,V51,V73,V95),4)*0.1+SMALL((V7,V29,V51,V73,V95),5)*0.1</f>
        <v>7.8946387348428688</v>
      </c>
      <c r="W117"/>
      <c r="X117" s="2">
        <f t="shared" si="151"/>
        <v>2.4279169967523235</v>
      </c>
      <c r="Y117" s="2">
        <f t="shared" si="151"/>
        <v>2.4164999999999996</v>
      </c>
      <c r="Z117" s="2">
        <f t="shared" si="151"/>
        <v>2.3844189608069937</v>
      </c>
      <c r="AA117" s="2">
        <f t="shared" si="151"/>
        <v>2.2992105071273761</v>
      </c>
      <c r="AB117" s="2">
        <f t="shared" si="151"/>
        <v>2.1968832906641627</v>
      </c>
      <c r="AC117" s="2">
        <f t="shared" si="151"/>
        <v>2.0606527991130323</v>
      </c>
      <c r="AD117" s="2">
        <f t="shared" si="151"/>
        <v>1.9533374999999999</v>
      </c>
      <c r="AE117"/>
      <c r="AF117" s="2">
        <f t="shared" si="152"/>
        <v>0</v>
      </c>
      <c r="AG117" s="2">
        <f t="shared" si="152"/>
        <v>0</v>
      </c>
      <c r="AH117" s="2">
        <f t="shared" si="152"/>
        <v>0</v>
      </c>
      <c r="AI117" s="2">
        <f t="shared" si="152"/>
        <v>0</v>
      </c>
      <c r="AJ117" s="2">
        <f t="shared" si="152"/>
        <v>0</v>
      </c>
      <c r="AK117" s="2">
        <f t="shared" si="152"/>
        <v>0</v>
      </c>
      <c r="AL117" s="2">
        <f t="shared" si="152"/>
        <v>0</v>
      </c>
      <c r="AM117"/>
      <c r="AN117" s="2">
        <f t="shared" si="153"/>
        <v>2.4279169967523235</v>
      </c>
      <c r="AO117" s="2">
        <f t="shared" si="153"/>
        <v>2.4164999999999996</v>
      </c>
      <c r="AP117" s="2">
        <f t="shared" si="153"/>
        <v>2.3844189608069937</v>
      </c>
      <c r="AQ117" s="2">
        <f t="shared" si="153"/>
        <v>2.2992105071273761</v>
      </c>
      <c r="AR117" s="2">
        <f t="shared" si="153"/>
        <v>2.1968832906641627</v>
      </c>
      <c r="AS117" s="2">
        <f t="shared" si="153"/>
        <v>2.0606527991130323</v>
      </c>
      <c r="AT117" s="2">
        <f t="shared" si="153"/>
        <v>1.9533374999999999</v>
      </c>
      <c r="AU117"/>
      <c r="AV117" s="74">
        <f>SMALL((AV7,AV29,AV51,AV73,AV95),1)*0.4+SMALL((AV7,AV29,AV51,AV73,AV95),2)*0.3+SMALL((AV7,AV29,AV51,AV73,AV95),3)*0.1+SMALL((AV7,AV29,AV51,AV73,AV95),4)*0.1+SMALL((AV7,AV29,AV51,AV73,AV95),5)*0.1</f>
        <v>6.954698208561009</v>
      </c>
      <c r="AW117" s="74">
        <f>SMALL((AW7,AW29,AW51,AW73,AW95),1)*0.4+SMALL((AW7,AW29,AW51,AW73,AW95),2)*0.3+SMALL((AW7,AW29,AW51,AW73,AW95),3)*0.1+SMALL((AW7,AW29,AW51,AW73,AW95),4)*0.1+SMALL((AW7,AW29,AW51,AW73,AW95),5)*0.1</f>
        <v>5.8284799735047086</v>
      </c>
      <c r="AX117" s="74">
        <f>SMALL((AX7,AX29,AX51,AX73,AX95),1)*0.4+SMALL((AX7,AX29,AX51,AX73,AX95),2)*0.3+SMALL((AX7,AX29,AX51,AX73,AX95),3)*0.1+SMALL((AX7,AX29,AX51,AX73,AX95),4)*0.1+SMALL((AX7,AX29,AX51,AX73,AX95),5)*0.1</f>
        <v>5.1006155966441256</v>
      </c>
      <c r="AY117" s="74">
        <f>SMALL((AY7,AY29,AY51,AY73,AY95),1)*0.4+SMALL((AY7,AY29,AY51,AY73,AY95),2)*0.3+SMALL((AY7,AY29,AY51,AY73,AY95),3)*0.1+SMALL((AY7,AY29,AY51,AY73,AY95),4)*0.1+SMALL((AY7,AY29,AY51,AY73,AY95),5)*0.1</f>
        <v>5.3717465220194152</v>
      </c>
      <c r="AZ117" s="74">
        <f>SMALL((AZ7,AZ29,AZ51,AZ73,AZ95),1)*0.4+SMALL((AZ7,AZ29,AZ51,AZ73,AZ95),2)*0.3+SMALL((AZ7,AZ29,AZ51,AZ73,AZ95),3)*0.1+SMALL((AZ7,AZ29,AZ51,AZ73,AZ95),4)*0.1+SMALL((AZ7,AZ29,AZ51,AZ73,AZ95),5)*0.1</f>
        <v>4.9428603537248019</v>
      </c>
      <c r="BA117" s="74">
        <f>SMALL((BA7,BA29,BA51,BA73,BA95),1)*0.4+SMALL((BA7,BA29,BA51,BA73,BA95),2)*0.3+SMALL((BA7,BA29,BA51,BA73,BA95),3)*0.1+SMALL((BA7,BA29,BA51,BA73,BA95),4)*0.1+SMALL((BA7,BA29,BA51,BA73,BA95),5)*0.1</f>
        <v>3.9479377560265272</v>
      </c>
      <c r="BB117" s="74">
        <f>SMALL((BB7,BB29,BB51,BB73,BB95),1)*0.4+SMALL((BB7,BB29,BB51,BB73,BB95),2)*0.3+SMALL((BB7,BB29,BB51,BB73,BB95),3)*0.1+SMALL((BB7,BB29,BB51,BB73,BB95),4)*0.1+SMALL((BB7,BB29,BB51,BB73,BB95),5)*0.1</f>
        <v>2.5862858672980447</v>
      </c>
      <c r="BC117" s="454"/>
      <c r="BD117" s="74">
        <f>SMALL((BD7,BD29,BD51,BD73,BD95),1)*0.4+SMALL((BD7,BD29,BD51,BD73,BD95),2)*0.3+SMALL((BD7,BD29,BD51,BD73,BD95),3)*0.1+SMALL((BD7,BD29,BD51,BD73,BD95),4)*0.1+SMALL((BD7,BD29,BD51,BD73,BD95),5)*0.1</f>
        <v>7.961332935198957</v>
      </c>
      <c r="BE117" s="74">
        <f>SMALL((BE7,BE29,BE51,BE73,BE95),1)*0.4+SMALL((BE7,BE29,BE51,BE73,BE95),2)*0.3+SMALL((BE7,BE29,BE51,BE73,BE95),3)*0.1+SMALL((BE7,BE29,BE51,BE73,BE95),4)*0.1+SMALL((BE7,BE29,BE51,BE73,BE95),5)*0.1</f>
        <v>6.5982792152883469</v>
      </c>
      <c r="BF117" s="74">
        <f>SMALL((BF7,BF29,BF51,BF73,BF95),1)*0.4+SMALL((BF7,BF29,BF51,BF73,BF95),2)*0.3+SMALL((BF7,BF29,BF51,BF73,BF95),3)*0.1+SMALL((BF7,BF29,BF51,BF73,BF95),4)*0.1+SMALL((BF7,BF29,BF51,BF73,BF95),5)*0.1</f>
        <v>5.3670072918856864</v>
      </c>
      <c r="BG117" s="74">
        <f>SMALL((BG7,BG29,BG51,BG73,BG95),1)*0.4+SMALL((BG7,BG29,BG51,BG73,BG95),2)*0.3+SMALL((BG7,BG29,BG51,BG73,BG95),3)*0.1+SMALL((BG7,BG29,BG51,BG73,BG95),4)*0.1+SMALL((BG7,BG29,BG51,BG73,BG95),5)*0.1</f>
        <v>4.8809025346851094</v>
      </c>
      <c r="BH117" s="74">
        <f>SMALL((BH7,BH29,BH51,BH73,BH95),1)*0.4+SMALL((BH7,BH29,BH51,BH73,BH95),2)*0.3+SMALL((BH7,BH29,BH51,BH73,BH95),3)*0.1+SMALL((BH7,BH29,BH51,BH73,BH95),4)*0.1+SMALL((BH7,BH29,BH51,BH73,BH95),5)*0.1</f>
        <v>3.7654364273675123</v>
      </c>
      <c r="BI117" s="74">
        <f>SMALL((BI7,BI29,BI51,BI73,BI95),1)*0.4+SMALL((BI7,BI29,BI51,BI73,BI95),2)*0.3+SMALL((BI7,BI29,BI51,BI73,BI95),3)*0.1+SMALL((BI7,BI29,BI51,BI73,BI95),4)*0.1+SMALL((BI7,BI29,BI51,BI73,BI95),5)*0.1</f>
        <v>2.503489585089814</v>
      </c>
      <c r="BJ117" s="74">
        <f>SMALL((BJ7,BJ29,BJ51,BJ73,BJ95),1)*0.4+SMALL((BJ7,BJ29,BJ51,BJ73,BJ95),2)*0.3+SMALL((BJ7,BJ29,BJ51,BJ73,BJ95),3)*0.1+SMALL((BJ7,BJ29,BJ51,BJ73,BJ95),4)*0.1+SMALL((BJ7,BJ29,BJ51,BJ73,BJ95),5)*0.1</f>
        <v>1.3952308472856421</v>
      </c>
      <c r="BK117" s="455"/>
      <c r="BL117" s="74">
        <f>SMALL((BL7,BL29,BL51,BL73,BL95),1)*0.4+SMALL((BL7,BL29,BL51,BL73,BL95),2)*0.3+SMALL((BL7,BL29,BL51,BL73,BL95),3)*0.1+SMALL((BL7,BL29,BL51,BL73,BL95),4)*0.1+SMALL((BL7,BL29,BL51,BL73,BL95),5)*0.1</f>
        <v>0</v>
      </c>
      <c r="BM117" s="74">
        <f>SMALL((BM7,BM29,BM51,BM73,BM95),1)*0.4+SMALL((BM7,BM29,BM51,BM73,BM95),2)*0.3+SMALL((BM7,BM29,BM51,BM73,BM95),3)*0.1+SMALL((BM7,BM29,BM51,BM73,BM95),4)*0.1+SMALL((BM7,BM29,BM51,BM73,BM95),5)*0.1</f>
        <v>0</v>
      </c>
      <c r="BN117" s="74">
        <f>SMALL((BN7,BN29,BN51,BN73,BN95),1)*0.4+SMALL((BN7,BN29,BN51,BN73,BN95),2)*0.3+SMALL((BN7,BN29,BN51,BN73,BN95),3)*0.1+SMALL((BN7,BN29,BN51,BN73,BN95),4)*0.1+SMALL((BN7,BN29,BN51,BN73,BN95),5)*0.1</f>
        <v>0</v>
      </c>
      <c r="BO117" s="74">
        <f>SMALL((BO7,BO29,BO51,BO73,BO95),1)*0.4+SMALL((BO7,BO29,BO51,BO73,BO95),2)*0.3+SMALL((BO7,BO29,BO51,BO73,BO95),3)*0.1+SMALL((BO7,BO29,BO51,BO73,BO95),4)*0.1+SMALL((BO7,BO29,BO51,BO73,BO95),5)*0.1</f>
        <v>0</v>
      </c>
      <c r="BP117" s="74">
        <f>SMALL((BP7,BP29,BP51,BP73,BP95),1)*0.4+SMALL((BP7,BP29,BP51,BP73,BP95),2)*0.3+SMALL((BP7,BP29,BP51,BP73,BP95),3)*0.1+SMALL((BP7,BP29,BP51,BP73,BP95),4)*0.1+SMALL((BP7,BP29,BP51,BP73,BP95),5)*0.1</f>
        <v>0</v>
      </c>
      <c r="BQ117" s="74">
        <f>SMALL((BQ7,BQ29,BQ51,BQ73,BQ95),1)*0.4+SMALL((BQ7,BQ29,BQ51,BQ73,BQ95),2)*0.3+SMALL((BQ7,BQ29,BQ51,BQ73,BQ95),3)*0.1+SMALL((BQ7,BQ29,BQ51,BQ73,BQ95),4)*0.1+SMALL((BQ7,BQ29,BQ51,BQ73,BQ95),5)*0.1</f>
        <v>0</v>
      </c>
      <c r="BR117" s="74">
        <f>SMALL((BR7,BR29,BR51,BR73,BR95),1)*0.4+SMALL((BR7,BR29,BR51,BR73,BR95),2)*0.3+SMALL((BR7,BR29,BR51,BR73,BR95),3)*0.1+SMALL((BR7,BR29,BR51,BR73,BR95),4)*0.1+SMALL((BR7,BR29,BR51,BR73,BR95),5)*0.1</f>
        <v>0</v>
      </c>
      <c r="BS117" s="454"/>
      <c r="BT117" s="74">
        <f>SMALL((BT7,BT29,BT51,BT73,BT95),1)*0.4+SMALL((BT7,BT29,BT51,BT73,BT95),2)*0.3+SMALL((BT7,BT29,BT51,BT73,BT95),3)*0.1+SMALL((BT7,BT29,BT51,BT73,BT95),4)*0.1+SMALL((BT7,BT29,BT51,BT73,BT95),5)*0.1</f>
        <v>0</v>
      </c>
      <c r="BU117" s="74">
        <f>SMALL((BU7,BU29,BU51,BU73,BU95),1)*0.4+SMALL((BU7,BU29,BU51,BU73,BU95),2)*0.3+SMALL((BU7,BU29,BU51,BU73,BU95),3)*0.1+SMALL((BU7,BU29,BU51,BU73,BU95),4)*0.1+SMALL((BU7,BU29,BU51,BU73,BU95),5)*0.1</f>
        <v>0</v>
      </c>
      <c r="BV117" s="74">
        <f>SMALL((BV7,BV29,BV51,BV73,BV95),1)*0.4+SMALL((BV7,BV29,BV51,BV73,BV95),2)*0.3+SMALL((BV7,BV29,BV51,BV73,BV95),3)*0.1+SMALL((BV7,BV29,BV51,BV73,BV95),4)*0.1+SMALL((BV7,BV29,BV51,BV73,BV95),5)*0.1</f>
        <v>0</v>
      </c>
      <c r="BW117" s="74">
        <f>SMALL((BW7,BW29,BW51,BW73,BW95),1)*0.4+SMALL((BW7,BW29,BW51,BW73,BW95),2)*0.3+SMALL((BW7,BW29,BW51,BW73,BW95),3)*0.1+SMALL((BW7,BW29,BW51,BW73,BW95),4)*0.1+SMALL((BW7,BW29,BW51,BW73,BW95),5)*0.1</f>
        <v>0</v>
      </c>
      <c r="BX117" s="74">
        <f>SMALL((BX7,BX29,BX51,BX73,BX95),1)*0.4+SMALL((BX7,BX29,BX51,BX73,BX95),2)*0.3+SMALL((BX7,BX29,BX51,BX73,BX95),3)*0.1+SMALL((BX7,BX29,BX51,BX73,BX95),4)*0.1+SMALL((BX7,BX29,BX51,BX73,BX95),5)*0.1</f>
        <v>0</v>
      </c>
      <c r="BY117" s="74">
        <f>SMALL((BY7,BY29,BY51,BY73,BY95),1)*0.4+SMALL((BY7,BY29,BY51,BY73,BY95),2)*0.3+SMALL((BY7,BY29,BY51,BY73,BY95),3)*0.1+SMALL((BY7,BY29,BY51,BY73,BY95),4)*0.1+SMALL((BY7,BY29,BY51,BY73,BY95),5)*0.1</f>
        <v>0</v>
      </c>
      <c r="BZ117" s="74">
        <f>SMALL((BZ7,BZ29,BZ51,BZ73,BZ95),1)*0.4+SMALL((BZ7,BZ29,BZ51,BZ73,BZ95),2)*0.3+SMALL((BZ7,BZ29,BZ51,BZ73,BZ95),3)*0.1+SMALL((BZ7,BZ29,BZ51,BZ73,BZ95),4)*0.1+SMALL((BZ7,BZ29,BZ51,BZ73,BZ95),5)*0.1</f>
        <v>0</v>
      </c>
    </row>
    <row r="118" spans="1:78" x14ac:dyDescent="0.2">
      <c r="A118" s="452"/>
      <c r="B118" s="453" t="str">
        <f t="shared" si="147"/>
        <v>e-Ammonia - Global - Fuel cost - USD/GJ</v>
      </c>
      <c r="C118" s="453" t="str">
        <f t="shared" si="148"/>
        <v>e-Ammonia - Global</v>
      </c>
      <c r="D118" s="74">
        <f t="shared" si="149"/>
        <v>18.8</v>
      </c>
      <c r="E118" t="s">
        <v>109</v>
      </c>
      <c r="F118" t="str">
        <f t="shared" si="150"/>
        <v>e-Ammonia</v>
      </c>
      <c r="G118" t="s">
        <v>828</v>
      </c>
      <c r="H118" s="74">
        <f>SMALL((H8,H30,H52,H74,H96),1)*0.4+SMALL((H8,H30,H52,H74,H96),2)*0.3+SMALL((H8,H30,H52,H74,H96),3)*0.1+SMALL((H8,H30,H52,H74,H96),4)*0.1+SMALL((H8,H30,H52,H74,H96),5)*0.1</f>
        <v>66.509538255658285</v>
      </c>
      <c r="I118" s="74">
        <f>SMALL((I8,I30,I52,I74,I96),1)*0.4+SMALL((I8,I30,I52,I74,I96),2)*0.3+SMALL((I8,I30,I52,I74,I96),3)*0.1+SMALL((I8,I30,I52,I74,I96),4)*0.1+SMALL((I8,I30,I52,I74,I96),5)*0.1</f>
        <v>48.732873381779974</v>
      </c>
      <c r="J118" s="74">
        <f>SMALL((J8,J30,J52,J74,J96),1)*0.4+SMALL((J8,J30,J52,J74,J96),2)*0.3+SMALL((J8,J30,J52,J74,J96),3)*0.1+SMALL((J8,J30,J52,J74,J96),4)*0.1+SMALL((J8,J30,J52,J74,J96),5)*0.1</f>
        <v>33.910237219261226</v>
      </c>
      <c r="K118" s="74">
        <f>SMALL((K8,K30,K52,K74,K96),1)*0.4+SMALL((K8,K30,K52,K74,K96),2)*0.3+SMALL((K8,K30,K52,K74,K96),3)*0.1+SMALL((K8,K30,K52,K74,K96),4)*0.1+SMALL((K8,K30,K52,K74,K96),5)*0.1</f>
        <v>30.721192714813945</v>
      </c>
      <c r="L118" s="74">
        <f>SMALL((L8,L30,L52,L74,L96),1)*0.4+SMALL((L8,L30,L52,L74,L96),2)*0.3+SMALL((L8,L30,L52,L74,L96),3)*0.1+SMALL((L8,L30,L52,L74,L96),4)*0.1+SMALL((L8,L30,L52,L74,L96),5)*0.1</f>
        <v>26.903558833568546</v>
      </c>
      <c r="M118" s="74">
        <f>SMALL((M8,M30,M52,M74,M96),1)*0.4+SMALL((M8,M30,M52,M74,M96),2)*0.3+SMALL((M8,M30,M52,M74,M96),3)*0.1+SMALL((M8,M30,M52,M74,M96),4)*0.1+SMALL((M8,M30,M52,M74,M96),5)*0.1</f>
        <v>22.284524658905973</v>
      </c>
      <c r="N118" s="74">
        <f>SMALL((N8,N30,N52,N74,N96),1)*0.4+SMALL((N8,N30,N52,N74,N96),2)*0.3+SMALL((N8,N30,N52,N74,N96),3)*0.1+SMALL((N8,N30,N52,N74,N96),4)*0.1+SMALL((N8,N30,N52,N74,N96),5)*0.1</f>
        <v>18.114614046627668</v>
      </c>
      <c r="O118" s="454"/>
      <c r="P118" s="74">
        <f>SMALL((P8,P30,P52,P74,P96),1)*0.4+SMALL((P8,P30,P52,P74,P96),2)*0.3+SMALL((P8,P30,P52,P74,P96),3)*0.1+SMALL((P8,P30,P52,P74,P96),4)*0.1+SMALL((P8,P30,P52,P74,P96),5)*0.1</f>
        <v>26.491404879613476</v>
      </c>
      <c r="Q118" s="74">
        <f>SMALL((Q8,Q30,Q52,Q74,Q96),1)*0.4+SMALL((Q8,Q30,Q52,Q74,Q96),2)*0.3+SMALL((Q8,Q30,Q52,Q74,Q96),3)*0.1+SMALL((Q8,Q30,Q52,Q74,Q96),4)*0.1+SMALL((Q8,Q30,Q52,Q74,Q96),5)*0.1</f>
        <v>20.30584756840938</v>
      </c>
      <c r="R118" s="74">
        <f>SMALL((R8,R30,R52,R74,R96),1)*0.4+SMALL((R8,R30,R52,R74,R96),2)*0.3+SMALL((R8,R30,R52,R74,R96),3)*0.1+SMALL((R8,R30,R52,R74,R96),4)*0.1+SMALL((R8,R30,R52,R74,R96),5)*0.1</f>
        <v>16.425663853805009</v>
      </c>
      <c r="S118" s="74">
        <f>SMALL((S8,S30,S52,S74,S96),1)*0.4+SMALL((S8,S30,S52,S74,S96),2)*0.3+SMALL((S8,S30,S52,S74,S96),3)*0.1+SMALL((S8,S30,S52,S74,S96),4)*0.1+SMALL((S8,S30,S52,S74,S96),5)*0.1</f>
        <v>13.816930018869165</v>
      </c>
      <c r="T118" s="74">
        <f>SMALL((T8,T30,T52,T74,T96),1)*0.4+SMALL((T8,T30,T52,T74,T96),2)*0.3+SMALL((T8,T30,T52,T74,T96),3)*0.1+SMALL((T8,T30,T52,T74,T96),4)*0.1+SMALL((T8,T30,T52,T74,T96),5)*0.1</f>
        <v>12.092099918251154</v>
      </c>
      <c r="U118" s="74">
        <f>SMALL((U8,U30,U52,U74,U96),1)*0.4+SMALL((U8,U30,U52,U74,U96),2)*0.3+SMALL((U8,U30,U52,U74,U96),3)*0.1+SMALL((U8,U30,U52,U74,U96),4)*0.1+SMALL((U8,U30,U52,U74,U96),5)*0.1</f>
        <v>10.382998922268955</v>
      </c>
      <c r="V118" s="74">
        <f>SMALL((V8,V30,V52,V74,V96),1)*0.4+SMALL((V8,V30,V52,V74,V96),2)*0.3+SMALL((V8,V30,V52,V74,V96),3)*0.1+SMALL((V8,V30,V52,V74,V96),4)*0.1+SMALL((V8,V30,V52,V74,V96),5)*0.1</f>
        <v>9.3590460222813654</v>
      </c>
      <c r="W118"/>
      <c r="X118" s="2">
        <f t="shared" si="151"/>
        <v>2.8609312303111798</v>
      </c>
      <c r="Y118" s="2">
        <f t="shared" si="151"/>
        <v>2.8478138297872331</v>
      </c>
      <c r="Z118" s="2">
        <f t="shared" si="151"/>
        <v>2.8109547634803751</v>
      </c>
      <c r="AA118" s="2">
        <f t="shared" si="151"/>
        <v>2.7130556890399635</v>
      </c>
      <c r="AB118" s="2">
        <f t="shared" si="151"/>
        <v>2.5954882488481865</v>
      </c>
      <c r="AC118" s="2">
        <f t="shared" si="151"/>
        <v>2.4389681096192284</v>
      </c>
      <c r="AD118" s="2">
        <f t="shared" si="151"/>
        <v>2.3156696808510637</v>
      </c>
      <c r="AE118"/>
      <c r="AF118" s="2">
        <f t="shared" si="152"/>
        <v>0</v>
      </c>
      <c r="AG118" s="2">
        <f t="shared" si="152"/>
        <v>0</v>
      </c>
      <c r="AH118" s="2">
        <f t="shared" si="152"/>
        <v>0</v>
      </c>
      <c r="AI118" s="2">
        <f t="shared" si="152"/>
        <v>0</v>
      </c>
      <c r="AJ118" s="2">
        <f t="shared" si="152"/>
        <v>0</v>
      </c>
      <c r="AK118" s="2">
        <f t="shared" si="152"/>
        <v>0</v>
      </c>
      <c r="AL118" s="2">
        <f t="shared" si="152"/>
        <v>0</v>
      </c>
      <c r="AM118"/>
      <c r="AN118" s="2">
        <f t="shared" si="153"/>
        <v>2.8609312303111798</v>
      </c>
      <c r="AO118" s="2">
        <f t="shared" si="153"/>
        <v>2.8478138297872331</v>
      </c>
      <c r="AP118" s="2">
        <f t="shared" si="153"/>
        <v>2.8109547634803751</v>
      </c>
      <c r="AQ118" s="2">
        <f t="shared" si="153"/>
        <v>2.7130556890399635</v>
      </c>
      <c r="AR118" s="2">
        <f t="shared" si="153"/>
        <v>2.5954882488481865</v>
      </c>
      <c r="AS118" s="2">
        <f t="shared" si="153"/>
        <v>2.4389681096192284</v>
      </c>
      <c r="AT118" s="2">
        <f t="shared" si="153"/>
        <v>2.3156696808510637</v>
      </c>
      <c r="AU118"/>
      <c r="AV118" s="74">
        <f>SMALL((AV8,AV30,AV52,AV74,AV96),1)*0.4+SMALL((AV8,AV30,AV52,AV74,AV96),2)*0.3+SMALL((AV8,AV30,AV52,AV74,AV96),3)*0.1+SMALL((AV8,AV30,AV52,AV74,AV96),4)*0.1+SMALL((AV8,AV30,AV52,AV74,AV96),5)*0.1</f>
        <v>21.381461771538181</v>
      </c>
      <c r="AW118" s="74">
        <f>SMALL((AW8,AW30,AW52,AW74,AW96),1)*0.4+SMALL((AW8,AW30,AW52,AW74,AW96),2)*0.3+SMALL((AW8,AW30,AW52,AW74,AW96),3)*0.1+SMALL((AW8,AW30,AW52,AW74,AW96),4)*0.1+SMALL((AW8,AW30,AW52,AW74,AW96),5)*0.1</f>
        <v>14.91906918941676</v>
      </c>
      <c r="AX118" s="74">
        <f>SMALL((AX8,AX30,AX52,AX74,AX96),1)*0.4+SMALL((AX8,AX30,AX52,AX74,AX96),2)*0.3+SMALL((AX8,AX30,AX52,AX74,AX96),3)*0.1+SMALL((AX8,AX30,AX52,AX74,AX96),4)*0.1+SMALL((AX8,AX30,AX52,AX74,AX96),5)*0.1</f>
        <v>8.9143597635201992</v>
      </c>
      <c r="AY118" s="74">
        <f>SMALL((AY8,AY30,AY52,AY74,AY96),1)*0.4+SMALL((AY8,AY30,AY52,AY74,AY96),2)*0.3+SMALL((AY8,AY30,AY52,AY74,AY96),3)*0.1+SMALL((AY8,AY30,AY52,AY74,AY96),4)*0.1+SMALL((AY8,AY30,AY52,AY74,AY96),5)*0.1</f>
        <v>9.0496750820364902</v>
      </c>
      <c r="AZ118" s="74">
        <f>SMALL((AZ8,AZ30,AZ52,AZ74,AZ96),1)*0.4+SMALL((AZ8,AZ30,AZ52,AZ74,AZ96),2)*0.3+SMALL((AZ8,AZ30,AZ52,AZ74,AZ96),3)*0.1+SMALL((AZ8,AZ30,AZ52,AZ74,AZ96),4)*0.1+SMALL((AZ8,AZ30,AZ52,AZ74,AZ96),5)*0.1</f>
        <v>8.3807154418682117</v>
      </c>
      <c r="BA118" s="74">
        <f>SMALL((BA8,BA30,BA52,BA74,BA96),1)*0.4+SMALL((BA8,BA30,BA52,BA74,BA96),2)*0.3+SMALL((BA8,BA30,BA52,BA74,BA96),3)*0.1+SMALL((BA8,BA30,BA52,BA74,BA96),4)*0.1+SMALL((BA8,BA30,BA52,BA74,BA96),5)*0.1</f>
        <v>7.0614160742999816</v>
      </c>
      <c r="BB118" s="74">
        <f>SMALL((BB8,BB30,BB52,BB74,BB96),1)*0.4+SMALL((BB8,BB30,BB52,BB74,BB96),2)*0.3+SMALL((BB8,BB30,BB52,BB74,BB96),3)*0.1+SMALL((BB8,BB30,BB52,BB74,BB96),4)*0.1+SMALL((BB8,BB30,BB52,BB74,BB96),5)*0.1</f>
        <v>5.32076815959066</v>
      </c>
      <c r="BC118" s="454"/>
      <c r="BD118" s="74">
        <f>SMALL((BD8,BD30,BD52,BD74,BD96),1)*0.4+SMALL((BD8,BD30,BD52,BD74,BD96),2)*0.3+SMALL((BD8,BD30,BD52,BD74,BD96),3)*0.1+SMALL((BD8,BD30,BD52,BD74,BD96),4)*0.1+SMALL((BD8,BD30,BD52,BD74,BD96),5)*0.1</f>
        <v>18.636671604506617</v>
      </c>
      <c r="BE118" s="74">
        <f>SMALL((BE8,BE30,BE52,BE74,BE96),1)*0.4+SMALL((BE8,BE30,BE52,BE74,BE96),2)*0.3+SMALL((BE8,BE30,BE52,BE74,BE96),3)*0.1+SMALL((BE8,BE30,BE52,BE74,BE96),4)*0.1+SMALL((BE8,BE30,BE52,BE74,BE96),5)*0.1</f>
        <v>13.507956623953833</v>
      </c>
      <c r="BF118" s="74">
        <f>SMALL((BF8,BF30,BF52,BF74,BF96),1)*0.4+SMALL((BF8,BF30,BF52,BF74,BF96),2)*0.3+SMALL((BF8,BF30,BF52,BF74,BF96),3)*0.1+SMALL((BF8,BF30,BF52,BF74,BF96),4)*0.1+SMALL((BF8,BF30,BF52,BF74,BF96),5)*0.1</f>
        <v>8.5702136019360147</v>
      </c>
      <c r="BG118" s="74">
        <f>SMALL((BG8,BG30,BG52,BG74,BG96),1)*0.4+SMALL((BG8,BG30,BG52,BG74,BG96),2)*0.3+SMALL((BG8,BG30,BG52,BG74,BG96),3)*0.1+SMALL((BG8,BG30,BG52,BG74,BG96),4)*0.1+SMALL((BG8,BG30,BG52,BG74,BG96),5)*0.1</f>
        <v>7.8545876139082926</v>
      </c>
      <c r="BH118" s="74">
        <f>SMALL((BH8,BH30,BH52,BH74,BH96),1)*0.4+SMALL((BH8,BH30,BH52,BH74,BH96),2)*0.3+SMALL((BH8,BH30,BH52,BH74,BH96),3)*0.1+SMALL((BH8,BH30,BH52,BH74,BH96),4)*0.1+SMALL((BH8,BH30,BH52,BH74,BH96),5)*0.1</f>
        <v>6.43074347344918</v>
      </c>
      <c r="BI118" s="74">
        <f>SMALL((BI8,BI30,BI52,BI74,BI96),1)*0.4+SMALL((BI8,BI30,BI52,BI74,BI96),2)*0.3+SMALL((BI8,BI30,BI52,BI74,BI96),3)*0.1+SMALL((BI8,BI30,BI52,BI74,BI96),4)*0.1+SMALL((BI8,BI30,BI52,BI74,BI96),5)*0.1</f>
        <v>4.8401096623370421</v>
      </c>
      <c r="BJ118" s="74">
        <f>SMALL((BJ8,BJ30,BJ52,BJ74,BJ96),1)*0.4+SMALL((BJ8,BJ30,BJ52,BJ74,BJ96),2)*0.3+SMALL((BJ8,BJ30,BJ52,BJ74,BJ96),3)*0.1+SMALL((BJ8,BJ30,BJ52,BJ74,BJ96),4)*0.1+SMALL((BJ8,BJ30,BJ52,BJ74,BJ96),5)*0.1</f>
        <v>3.434799864755643</v>
      </c>
      <c r="BK118" s="455"/>
      <c r="BL118" s="74">
        <f>SMALL((BL8,BL30,BL52,BL74,BL96),1)*0.4+SMALL((BL8,BL30,BL52,BL74,BL96),2)*0.3+SMALL((BL8,BL30,BL52,BL74,BL96),3)*0.1+SMALL((BL8,BL30,BL52,BL74,BL96),4)*0.1+SMALL((BL8,BL30,BL52,BL74,BL96),5)*0.1</f>
        <v>0</v>
      </c>
      <c r="BM118" s="74">
        <f>SMALL((BM8,BM30,BM52,BM74,BM96),1)*0.4+SMALL((BM8,BM30,BM52,BM74,BM96),2)*0.3+SMALL((BM8,BM30,BM52,BM74,BM96),3)*0.1+SMALL((BM8,BM30,BM52,BM74,BM96),4)*0.1+SMALL((BM8,BM30,BM52,BM74,BM96),5)*0.1</f>
        <v>0</v>
      </c>
      <c r="BN118" s="74">
        <f>SMALL((BN8,BN30,BN52,BN74,BN96),1)*0.4+SMALL((BN8,BN30,BN52,BN74,BN96),2)*0.3+SMALL((BN8,BN30,BN52,BN74,BN96),3)*0.1+SMALL((BN8,BN30,BN52,BN74,BN96),4)*0.1+SMALL((BN8,BN30,BN52,BN74,BN96),5)*0.1</f>
        <v>0</v>
      </c>
      <c r="BO118" s="74">
        <f>SMALL((BO8,BO30,BO52,BO74,BO96),1)*0.4+SMALL((BO8,BO30,BO52,BO74,BO96),2)*0.3+SMALL((BO8,BO30,BO52,BO74,BO96),3)*0.1+SMALL((BO8,BO30,BO52,BO74,BO96),4)*0.1+SMALL((BO8,BO30,BO52,BO74,BO96),5)*0.1</f>
        <v>0</v>
      </c>
      <c r="BP118" s="74">
        <f>SMALL((BP8,BP30,BP52,BP74,BP96),1)*0.4+SMALL((BP8,BP30,BP52,BP74,BP96),2)*0.3+SMALL((BP8,BP30,BP52,BP74,BP96),3)*0.1+SMALL((BP8,BP30,BP52,BP74,BP96),4)*0.1+SMALL((BP8,BP30,BP52,BP74,BP96),5)*0.1</f>
        <v>0</v>
      </c>
      <c r="BQ118" s="74">
        <f>SMALL((BQ8,BQ30,BQ52,BQ74,BQ96),1)*0.4+SMALL((BQ8,BQ30,BQ52,BQ74,BQ96),2)*0.3+SMALL((BQ8,BQ30,BQ52,BQ74,BQ96),3)*0.1+SMALL((BQ8,BQ30,BQ52,BQ74,BQ96),4)*0.1+SMALL((BQ8,BQ30,BQ52,BQ74,BQ96),5)*0.1</f>
        <v>0</v>
      </c>
      <c r="BR118" s="74">
        <f>SMALL((BR8,BR30,BR52,BR74,BR96),1)*0.4+SMALL((BR8,BR30,BR52,BR74,BR96),2)*0.3+SMALL((BR8,BR30,BR52,BR74,BR96),3)*0.1+SMALL((BR8,BR30,BR52,BR74,BR96),4)*0.1+SMALL((BR8,BR30,BR52,BR74,BR96),5)*0.1</f>
        <v>0</v>
      </c>
      <c r="BS118" s="454"/>
      <c r="BT118" s="74">
        <f>SMALL((BT8,BT30,BT52,BT74,BT96),1)*0.4+SMALL((BT8,BT30,BT52,BT74,BT96),2)*0.3+SMALL((BT8,BT30,BT52,BT74,BT96),3)*0.1+SMALL((BT8,BT30,BT52,BT74,BT96),4)*0.1+SMALL((BT8,BT30,BT52,BT74,BT96),5)*0.1</f>
        <v>0</v>
      </c>
      <c r="BU118" s="74">
        <f>SMALL((BU8,BU30,BU52,BU74,BU96),1)*0.4+SMALL((BU8,BU30,BU52,BU74,BU96),2)*0.3+SMALL((BU8,BU30,BU52,BU74,BU96),3)*0.1+SMALL((BU8,BU30,BU52,BU74,BU96),4)*0.1+SMALL((BU8,BU30,BU52,BU74,BU96),5)*0.1</f>
        <v>0</v>
      </c>
      <c r="BV118" s="74">
        <f>SMALL((BV8,BV30,BV52,BV74,BV96),1)*0.4+SMALL((BV8,BV30,BV52,BV74,BV96),2)*0.3+SMALL((BV8,BV30,BV52,BV74,BV96),3)*0.1+SMALL((BV8,BV30,BV52,BV74,BV96),4)*0.1+SMALL((BV8,BV30,BV52,BV74,BV96),5)*0.1</f>
        <v>0</v>
      </c>
      <c r="BW118" s="74">
        <f>SMALL((BW8,BW30,BW52,BW74,BW96),1)*0.4+SMALL((BW8,BW30,BW52,BW74,BW96),2)*0.3+SMALL((BW8,BW30,BW52,BW74,BW96),3)*0.1+SMALL((BW8,BW30,BW52,BW74,BW96),4)*0.1+SMALL((BW8,BW30,BW52,BW74,BW96),5)*0.1</f>
        <v>0</v>
      </c>
      <c r="BX118" s="74">
        <f>SMALL((BX8,BX30,BX52,BX74,BX96),1)*0.4+SMALL((BX8,BX30,BX52,BX74,BX96),2)*0.3+SMALL((BX8,BX30,BX52,BX74,BX96),3)*0.1+SMALL((BX8,BX30,BX52,BX74,BX96),4)*0.1+SMALL((BX8,BX30,BX52,BX74,BX96),5)*0.1</f>
        <v>0</v>
      </c>
      <c r="BY118" s="74">
        <f>SMALL((BY8,BY30,BY52,BY74,BY96),1)*0.4+SMALL((BY8,BY30,BY52,BY74,BY96),2)*0.3+SMALL((BY8,BY30,BY52,BY74,BY96),3)*0.1+SMALL((BY8,BY30,BY52,BY74,BY96),4)*0.1+SMALL((BY8,BY30,BY52,BY74,BY96),5)*0.1</f>
        <v>0</v>
      </c>
      <c r="BZ118" s="74">
        <f>SMALL((BZ8,BZ30,BZ52,BZ74,BZ96),1)*0.4+SMALL((BZ8,BZ30,BZ52,BZ74,BZ96),2)*0.3+SMALL((BZ8,BZ30,BZ52,BZ74,BZ96),3)*0.1+SMALL((BZ8,BZ30,BZ52,BZ74,BZ96),4)*0.1+SMALL((BZ8,BZ30,BZ52,BZ74,BZ96),5)*0.1</f>
        <v>0</v>
      </c>
    </row>
    <row r="119" spans="1:78" x14ac:dyDescent="0.2">
      <c r="A119" s="452"/>
      <c r="B119" s="453" t="str">
        <f t="shared" si="147"/>
        <v>e-Methanol (DAC) - Global - Fuel cost - USD/GJ</v>
      </c>
      <c r="C119" s="453" t="str">
        <f t="shared" si="148"/>
        <v>e-Methanol (DAC) - Global</v>
      </c>
      <c r="D119" s="74">
        <f t="shared" si="149"/>
        <v>19.899999999999999</v>
      </c>
      <c r="E119" t="s">
        <v>109</v>
      </c>
      <c r="F119" t="str">
        <f t="shared" si="150"/>
        <v>e-Methanol (DAC)</v>
      </c>
      <c r="G119" t="s">
        <v>828</v>
      </c>
      <c r="H119" s="74">
        <f>SMALL((H9,H31,H53,H75,H97),1)*0.4+SMALL((H9,H31,H53,H75,H97),2)*0.3+SMALL((H9,H31,H53,H75,H97),3)*0.1+SMALL((H9,H31,H53,H75,H97),4)*0.1+SMALL((H9,H31,H53,H75,H97),5)*0.1</f>
        <v>89.066252454719304</v>
      </c>
      <c r="I119" s="74">
        <f>SMALL((I9,I31,I53,I75,I97),1)*0.4+SMALL((I9,I31,I53,I75,I97),2)*0.3+SMALL((I9,I31,I53,I75,I97),3)*0.1+SMALL((I9,I31,I53,I75,I97),4)*0.1+SMALL((I9,I31,I53,I75,I97),5)*0.1</f>
        <v>70.165931807791608</v>
      </c>
      <c r="J119" s="74">
        <f>SMALL((J9,J31,J53,J75,J97),1)*0.4+SMALL((J9,J31,J53,J75,J97),2)*0.3+SMALL((J9,J31,J53,J75,J97),3)*0.1+SMALL((J9,J31,J53,J75,J97),4)*0.1+SMALL((J9,J31,J53,J75,J97),5)*0.1</f>
        <v>55.94295539191981</v>
      </c>
      <c r="K119" s="74">
        <f>SMALL((K9,K31,K53,K75,K97),1)*0.4+SMALL((K9,K31,K53,K75,K97),2)*0.3+SMALL((K9,K31,K53,K75,K97),3)*0.1+SMALL((K9,K31,K53,K75,K97),4)*0.1+SMALL((K9,K31,K53,K75,K97),5)*0.1</f>
        <v>49.170349632301814</v>
      </c>
      <c r="L119" s="74">
        <f>SMALL((L9,L31,L53,L75,L97),1)*0.4+SMALL((L9,L31,L53,L75,L97),2)*0.3+SMALL((L9,L31,L53,L75,L97),3)*0.1+SMALL((L9,L31,L53,L75,L97),4)*0.1+SMALL((L9,L31,L53,L75,L97),5)*0.1</f>
        <v>42.470254317305304</v>
      </c>
      <c r="M119" s="74">
        <f>SMALL((M9,M31,M53,M75,M97),1)*0.4+SMALL((M9,M31,M53,M75,M97),2)*0.3+SMALL((M9,M31,M53,M75,M97),3)*0.1+SMALL((M9,M31,M53,M75,M97),4)*0.1+SMALL((M9,M31,M53,M75,M97),5)*0.1</f>
        <v>34.763413952847877</v>
      </c>
      <c r="N119" s="74">
        <f>SMALL((N9,N31,N53,N75,N97),1)*0.4+SMALL((N9,N31,N53,N75,N97),2)*0.3+SMALL((N9,N31,N53,N75,N97),3)*0.1+SMALL((N9,N31,N53,N75,N97),4)*0.1+SMALL((N9,N31,N53,N75,N97),5)*0.1</f>
        <v>27.889021968046499</v>
      </c>
      <c r="O119" s="454"/>
      <c r="P119" s="74">
        <f>SMALL((P9,P31,P53,P75,P97),1)*0.4+SMALL((P9,P31,P53,P75,P97),2)*0.3+SMALL((P9,P31,P53,P75,P97),3)*0.1+SMALL((P9,P31,P53,P75,P97),4)*0.1+SMALL((P9,P31,P53,P75,P97),5)*0.1</f>
        <v>29.83674304384423</v>
      </c>
      <c r="Q119" s="74">
        <f>SMALL((Q9,Q31,Q53,Q75,Q97),1)*0.4+SMALL((Q9,Q31,Q53,Q75,Q97),2)*0.3+SMALL((Q9,Q31,Q53,Q75,Q97),3)*0.1+SMALL((Q9,Q31,Q53,Q75,Q97),4)*0.1+SMALL((Q9,Q31,Q53,Q75,Q97),5)*0.1</f>
        <v>22.882757503648293</v>
      </c>
      <c r="R119" s="74">
        <f>SMALL((R9,R31,R53,R75,R97),1)*0.4+SMALL((R9,R31,R53,R75,R97),2)*0.3+SMALL((R9,R31,R53,R75,R97),3)*0.1+SMALL((R9,R31,R53,R75,R97),4)*0.1+SMALL((R9,R31,R53,R75,R97),5)*0.1</f>
        <v>18.539504819471677</v>
      </c>
      <c r="S119" s="74">
        <f>SMALL((S9,S31,S53,S75,S97),1)*0.4+SMALL((S9,S31,S53,S75,S97),2)*0.3+SMALL((S9,S31,S53,S75,S97),3)*0.1+SMALL((S9,S31,S53,S75,S97),4)*0.1+SMALL((S9,S31,S53,S75,S97),5)*0.1</f>
        <v>15.663868840547583</v>
      </c>
      <c r="T119" s="74">
        <f>SMALL((T9,T31,T53,T75,T97),1)*0.4+SMALL((T9,T31,T53,T75,T97),2)*0.3+SMALL((T9,T31,T53,T75,T97),3)*0.1+SMALL((T9,T31,T53,T75,T97),4)*0.1+SMALL((T9,T31,T53,T75,T97),5)*0.1</f>
        <v>13.786809848144244</v>
      </c>
      <c r="U119" s="74">
        <f>SMALL((U9,U31,U53,U75,U97),1)*0.4+SMALL((U9,U31,U53,U75,U97),2)*0.3+SMALL((U9,U31,U53,U75,U97),3)*0.1+SMALL((U9,U31,U53,U75,U97),4)*0.1+SMALL((U9,U31,U53,U75,U97),5)*0.1</f>
        <v>11.937787567325643</v>
      </c>
      <c r="V119" s="74">
        <f>SMALL((V9,V31,V53,V75,V97),1)*0.4+SMALL((V9,V31,V53,V75,V97),2)*0.3+SMALL((V9,V31,V53,V75,V97),3)*0.1+SMALL((V9,V31,V53,V75,V97),4)*0.1+SMALL((V9,V31,V53,V75,V97),5)*0.1</f>
        <v>10.839779748765242</v>
      </c>
      <c r="W119"/>
      <c r="X119" s="2">
        <f t="shared" si="151"/>
        <v>-65.873267376827087</v>
      </c>
      <c r="Y119" s="2">
        <f t="shared" si="151"/>
        <v>-65.886262255036513</v>
      </c>
      <c r="Z119" s="2">
        <f t="shared" si="151"/>
        <v>-65.922777041384307</v>
      </c>
      <c r="AA119" s="2">
        <f t="shared" si="151"/>
        <v>-66.01976169522986</v>
      </c>
      <c r="AB119" s="2">
        <f t="shared" si="151"/>
        <v>-66.136231003603598</v>
      </c>
      <c r="AC119" s="2">
        <f t="shared" si="151"/>
        <v>-66.291289175601065</v>
      </c>
      <c r="AD119" s="2">
        <f t="shared" si="151"/>
        <v>-66.413435942586673</v>
      </c>
      <c r="AE119"/>
      <c r="AF119" s="2">
        <f t="shared" si="152"/>
        <v>69.095477386934675</v>
      </c>
      <c r="AG119" s="2">
        <f t="shared" si="152"/>
        <v>69.095477386934675</v>
      </c>
      <c r="AH119" s="2">
        <f t="shared" si="152"/>
        <v>69.095477386934675</v>
      </c>
      <c r="AI119" s="2">
        <f t="shared" si="152"/>
        <v>69.095477386934675</v>
      </c>
      <c r="AJ119" s="2">
        <f t="shared" si="152"/>
        <v>69.095477386934675</v>
      </c>
      <c r="AK119" s="2">
        <f t="shared" si="152"/>
        <v>69.095477386934675</v>
      </c>
      <c r="AL119" s="2">
        <f t="shared" si="152"/>
        <v>69.095477386934675</v>
      </c>
      <c r="AM119"/>
      <c r="AN119" s="2">
        <f t="shared" si="153"/>
        <v>3.2222100101075881</v>
      </c>
      <c r="AO119" s="2">
        <f t="shared" si="153"/>
        <v>3.2092151318981621</v>
      </c>
      <c r="AP119" s="2">
        <f t="shared" si="153"/>
        <v>3.1727003455503677</v>
      </c>
      <c r="AQ119" s="2">
        <f t="shared" si="153"/>
        <v>3.075715691704815</v>
      </c>
      <c r="AR119" s="2">
        <f t="shared" si="153"/>
        <v>2.9592463833310774</v>
      </c>
      <c r="AS119" s="2">
        <f t="shared" si="153"/>
        <v>2.8041882113336101</v>
      </c>
      <c r="AT119" s="2">
        <f t="shared" si="153"/>
        <v>2.6820414443480018</v>
      </c>
      <c r="AU119"/>
      <c r="AV119" s="74">
        <f>SMALL((AV9,AV31,AV53,AV75,AV97),1)*0.4+SMALL((AV9,AV31,AV53,AV75,AV97),2)*0.3+SMALL((AV9,AV31,AV53,AV75,AV97),3)*0.1+SMALL((AV9,AV31,AV53,AV75,AV97),4)*0.1+SMALL((AV9,AV31,AV53,AV75,AV97),5)*0.1</f>
        <v>23.007996788310678</v>
      </c>
      <c r="AW119" s="74">
        <f>SMALL((AW9,AW31,AW53,AW75,AW97),1)*0.4+SMALL((AW9,AW31,AW53,AW75,AW97),2)*0.3+SMALL((AW9,AW31,AW53,AW75,AW97),3)*0.1+SMALL((AW9,AW31,AW53,AW75,AW97),4)*0.1+SMALL((AW9,AW31,AW53,AW75,AW97),5)*0.1</f>
        <v>18.618927333708019</v>
      </c>
      <c r="AX119" s="74">
        <f>SMALL((AX9,AX31,AX53,AX75,AX97),1)*0.4+SMALL((AX9,AX31,AX53,AX75,AX97),2)*0.3+SMALL((AX9,AX31,AX53,AX75,AX97),3)*0.1+SMALL((AX9,AX31,AX53,AX75,AX97),4)*0.1+SMALL((AX9,AX31,AX53,AX75,AX97),5)*0.1</f>
        <v>14.683266072503733</v>
      </c>
      <c r="AY119" s="74">
        <f>SMALL((AY9,AY31,AY53,AY75,AY97),1)*0.4+SMALL((AY9,AY31,AY53,AY75,AY97),2)*0.3+SMALL((AY9,AY31,AY53,AY75,AY97),3)*0.1+SMALL((AY9,AY31,AY53,AY75,AY97),4)*0.1+SMALL((AY9,AY31,AY53,AY75,AY97),5)*0.1</f>
        <v>13.993124820084047</v>
      </c>
      <c r="AZ119" s="74">
        <f>SMALL((AZ9,AZ31,AZ53,AZ75,AZ97),1)*0.4+SMALL((AZ9,AZ31,AZ53,AZ75,AZ97),2)*0.3+SMALL((AZ9,AZ31,AZ53,AZ75,AZ97),3)*0.1+SMALL((AZ9,AZ31,AZ53,AZ75,AZ97),4)*0.1+SMALL((AZ9,AZ31,AZ53,AZ75,AZ97),5)*0.1</f>
        <v>12.506220892322304</v>
      </c>
      <c r="BA119" s="74">
        <f>SMALL((BA9,BA31,BA53,BA75,BA97),1)*0.4+SMALL((BA9,BA31,BA53,BA75,BA97),2)*0.3+SMALL((BA9,BA31,BA53,BA75,BA97),3)*0.1+SMALL((BA9,BA31,BA53,BA75,BA97),4)*0.1+SMALL((BA9,BA31,BA53,BA75,BA97),5)*0.1</f>
        <v>10.042137124589219</v>
      </c>
      <c r="BB119" s="74">
        <f>SMALL((BB9,BB31,BB53,BB75,BB97),1)*0.4+SMALL((BB9,BB31,BB53,BB75,BB97),2)*0.3+SMALL((BB9,BB31,BB53,BB75,BB97),3)*0.1+SMALL((BB9,BB31,BB53,BB75,BB97),4)*0.1+SMALL((BB9,BB31,BB53,BB75,BB97),5)*0.1</f>
        <v>7.1606403912445984</v>
      </c>
      <c r="BC119" s="454"/>
      <c r="BD119" s="74">
        <f>SMALL((BD9,BD31,BD53,BD75,BD97),1)*0.4+SMALL((BD9,BD31,BD53,BD75,BD97),2)*0.3+SMALL((BD9,BD31,BD53,BD75,BD97),3)*0.1+SMALL((BD9,BD31,BD53,BD75,BD97),4)*0.1+SMALL((BD9,BD31,BD53,BD75,BD97),5)*0.1</f>
        <v>16.023844632076798</v>
      </c>
      <c r="BE119" s="74">
        <f>SMALL((BE9,BE31,BE53,BE75,BE97),1)*0.4+SMALL((BE9,BE31,BE53,BE75,BE97),2)*0.3+SMALL((BE9,BE31,BE53,BE75,BE97),3)*0.1+SMALL((BE9,BE31,BE53,BE75,BE97),4)*0.1+SMALL((BE9,BE31,BE53,BE75,BE97),5)*0.1</f>
        <v>13.065375443611654</v>
      </c>
      <c r="BF119" s="74">
        <f>SMALL((BF9,BF31,BF53,BF75,BF97),1)*0.4+SMALL((BF9,BF31,BF53,BF75,BF97),2)*0.3+SMALL((BF9,BF31,BF53,BF75,BF97),3)*0.1+SMALL((BF9,BF31,BF53,BF75,BF97),4)*0.1+SMALL((BF9,BF31,BF53,BF75,BF97),5)*0.1</f>
        <v>10.25690090198661</v>
      </c>
      <c r="BG119" s="74">
        <f>SMALL((BG9,BG31,BG53,BG75,BG97),1)*0.4+SMALL((BG9,BG31,BG53,BG75,BG97),2)*0.3+SMALL((BG9,BG31,BG53,BG75,BG97),3)*0.1+SMALL((BG9,BG31,BG53,BG75,BG97),4)*0.1+SMALL((BG9,BG31,BG53,BG75,BG97),5)*0.1</f>
        <v>9.2513529252483355</v>
      </c>
      <c r="BH119" s="74">
        <f>SMALL((BH9,BH31,BH53,BH75,BH97),1)*0.4+SMALL((BH9,BH31,BH53,BH75,BH97),2)*0.3+SMALL((BH9,BH31,BH53,BH75,BH97),3)*0.1+SMALL((BH9,BH31,BH53,BH75,BH97),4)*0.1+SMALL((BH9,BH31,BH53,BH75,BH97),5)*0.1</f>
        <v>7.529462965420457</v>
      </c>
      <c r="BI119" s="74">
        <f>SMALL((BI9,BI31,BI53,BI75,BI97),1)*0.4+SMALL((BI9,BI31,BI53,BI75,BI97),2)*0.3+SMALL((BI9,BI31,BI53,BI75,BI97),3)*0.1+SMALL((BI9,BI31,BI53,BI75,BI97),4)*0.1+SMALL((BI9,BI31,BI53,BI75,BI97),5)*0.1</f>
        <v>5.4900941905626741</v>
      </c>
      <c r="BJ119" s="74">
        <f>SMALL((BJ9,BJ31,BJ53,BJ75,BJ97),1)*0.4+SMALL((BJ9,BJ31,BJ53,BJ75,BJ97),2)*0.3+SMALL((BJ9,BJ31,BJ53,BJ75,BJ97),3)*0.1+SMALL((BJ9,BJ31,BJ53,BJ75,BJ97),4)*0.1+SMALL((BJ9,BJ31,BJ53,BJ75,BJ97),5)*0.1</f>
        <v>3.6256539230169134</v>
      </c>
      <c r="BK119" s="455"/>
      <c r="BL119" s="74">
        <f>SMALL((BL9,BL31,BL53,BL75,BL97),1)*0.4+SMALL((BL9,BL31,BL53,BL75,BL97),2)*0.3+SMALL((BL9,BL31,BL53,BL75,BL97),3)*0.1+SMALL((BL9,BL31,BL53,BL75,BL97),4)*0.1+SMALL((BL9,BL31,BL53,BL75,BL97),5)*0.1</f>
        <v>20.197667990487599</v>
      </c>
      <c r="BM119" s="74">
        <f>SMALL((BM9,BM31,BM53,BM75,BM97),1)*0.4+SMALL((BM9,BM31,BM53,BM75,BM97),2)*0.3+SMALL((BM9,BM31,BM53,BM75,BM97),3)*0.1+SMALL((BM9,BM31,BM53,BM75,BM97),4)*0.1+SMALL((BM9,BM31,BM53,BM75,BM97),5)*0.1</f>
        <v>15.598871526823645</v>
      </c>
      <c r="BN119" s="74">
        <f>SMALL((BN9,BN31,BN53,BN75,BN97),1)*0.4+SMALL((BN9,BN31,BN53,BN75,BN97),2)*0.3+SMALL((BN9,BN31,BN53,BN75,BN97),3)*0.1+SMALL((BN9,BN31,BN53,BN75,BN97),4)*0.1+SMALL((BN9,BN31,BN53,BN75,BN97),5)*0.1</f>
        <v>12.463283597957791</v>
      </c>
      <c r="BO119" s="74">
        <f>SMALL((BO9,BO31,BO53,BO75,BO97),1)*0.4+SMALL((BO9,BO31,BO53,BO75,BO97),2)*0.3+SMALL((BO9,BO31,BO53,BO75,BO97),3)*0.1+SMALL((BO9,BO31,BO53,BO75,BO97),4)*0.1+SMALL((BO9,BO31,BO53,BO75,BO97),5)*0.1</f>
        <v>10.262003046421844</v>
      </c>
      <c r="BP119" s="74">
        <f>SMALL((BP9,BP31,BP53,BP75,BP97),1)*0.4+SMALL((BP9,BP31,BP53,BP75,BP97),2)*0.3+SMALL((BP9,BP31,BP53,BP75,BP97),3)*0.1+SMALL((BP9,BP31,BP53,BP75,BP97),4)*0.1+SMALL((BP9,BP31,BP53,BP75,BP97),5)*0.1</f>
        <v>8.6477606114182901</v>
      </c>
      <c r="BQ119" s="74">
        <f>SMALL((BQ9,BQ31,BQ53,BQ75,BQ97),1)*0.4+SMALL((BQ9,BQ31,BQ53,BQ75,BQ97),2)*0.3+SMALL((BQ9,BQ31,BQ53,BQ75,BQ97),3)*0.1+SMALL((BQ9,BQ31,BQ53,BQ75,BQ97),4)*0.1+SMALL((BQ9,BQ31,BQ53,BQ75,BQ97),5)*0.1</f>
        <v>7.2933950703703303</v>
      </c>
      <c r="BR119" s="74">
        <f>SMALL((BR9,BR31,BR53,BR75,BR97),1)*0.4+SMALL((BR9,BR31,BR53,BR75,BR97),2)*0.3+SMALL((BR9,BR31,BR53,BR75,BR97),3)*0.1+SMALL((BR9,BR31,BR53,BR75,BR97),4)*0.1+SMALL((BR9,BR31,BR53,BR75,BR97),5)*0.1</f>
        <v>6.2629479050197405</v>
      </c>
      <c r="BS119" s="454"/>
      <c r="BT119" s="74">
        <f>SMALL((BT9,BT31,BT53,BT75,BT97),1)*0.4+SMALL((BT9,BT31,BT53,BT75,BT97),2)*0.3+SMALL((BT9,BT31,BT53,BT75,BT97),3)*0.1+SMALL((BT9,BT31,BT53,BT75,BT97),4)*0.1+SMALL((BT9,BT31,BT53,BT75,BT97),5)*0.1</f>
        <v>0</v>
      </c>
      <c r="BU119" s="74">
        <f>SMALL((BU9,BU31,BU53,BU75,BU97),1)*0.4+SMALL((BU9,BU31,BU53,BU75,BU97),2)*0.3+SMALL((BU9,BU31,BU53,BU75,BU97),3)*0.1+SMALL((BU9,BU31,BU53,BU75,BU97),4)*0.1+SMALL((BU9,BU31,BU53,BU75,BU97),5)*0.1</f>
        <v>0</v>
      </c>
      <c r="BV119" s="74">
        <f>SMALL((BV9,BV31,BV53,BV75,BV97),1)*0.4+SMALL((BV9,BV31,BV53,BV75,BV97),2)*0.3+SMALL((BV9,BV31,BV53,BV75,BV97),3)*0.1+SMALL((BV9,BV31,BV53,BV75,BV97),4)*0.1+SMALL((BV9,BV31,BV53,BV75,BV97),5)*0.1</f>
        <v>0</v>
      </c>
      <c r="BW119" s="74">
        <f>SMALL((BW9,BW31,BW53,BW75,BW97),1)*0.4+SMALL((BW9,BW31,BW53,BW75,BW97),2)*0.3+SMALL((BW9,BW31,BW53,BW75,BW97),3)*0.1+SMALL((BW9,BW31,BW53,BW75,BW97),4)*0.1+SMALL((BW9,BW31,BW53,BW75,BW97),5)*0.1</f>
        <v>0</v>
      </c>
      <c r="BX119" s="74">
        <f>SMALL((BX9,BX31,BX53,BX75,BX97),1)*0.4+SMALL((BX9,BX31,BX53,BX75,BX97),2)*0.3+SMALL((BX9,BX31,BX53,BX75,BX97),3)*0.1+SMALL((BX9,BX31,BX53,BX75,BX97),4)*0.1+SMALL((BX9,BX31,BX53,BX75,BX97),5)*0.1</f>
        <v>0</v>
      </c>
      <c r="BY119" s="74">
        <f>SMALL((BY9,BY31,BY53,BY75,BY97),1)*0.4+SMALL((BY9,BY31,BY53,BY75,BY97),2)*0.3+SMALL((BY9,BY31,BY53,BY75,BY97),3)*0.1+SMALL((BY9,BY31,BY53,BY75,BY97),4)*0.1+SMALL((BY9,BY31,BY53,BY75,BY97),5)*0.1</f>
        <v>0</v>
      </c>
      <c r="BZ119" s="74">
        <f>SMALL((BZ9,BZ31,BZ53,BZ75,BZ97),1)*0.4+SMALL((BZ9,BZ31,BZ53,BZ75,BZ97),2)*0.3+SMALL((BZ9,BZ31,BZ53,BZ75,BZ97),3)*0.1+SMALL((BZ9,BZ31,BZ53,BZ75,BZ97),4)*0.1+SMALL((BZ9,BZ31,BZ53,BZ75,BZ97),5)*0.1</f>
        <v>0</v>
      </c>
    </row>
    <row r="120" spans="1:78" x14ac:dyDescent="0.2">
      <c r="A120" s="452"/>
      <c r="B120" s="453" t="str">
        <f t="shared" si="147"/>
        <v>e-Methanol (PS) - Global - Fuel cost - USD/GJ</v>
      </c>
      <c r="C120" s="453" t="str">
        <f t="shared" si="148"/>
        <v>e-Methanol (PS) - Global</v>
      </c>
      <c r="D120" s="74">
        <f t="shared" si="149"/>
        <v>19.899999999999999</v>
      </c>
      <c r="E120" t="s">
        <v>109</v>
      </c>
      <c r="F120" t="str">
        <f t="shared" si="150"/>
        <v>e-Methanol (PS)</v>
      </c>
      <c r="G120" t="s">
        <v>828</v>
      </c>
      <c r="H120" s="74">
        <f>SMALL((H10,H32,H54,H76,H98),1)*0.4+SMALL((H10,H32,H54,H76,H98),2)*0.3+SMALL((H10,H32,H54,H76,H98),3)*0.1+SMALL((H10,H32,H54,H76,H98),4)*0.1+SMALL((H10,H32,H54,H76,H98),5)*0.1</f>
        <v>81.393021781785933</v>
      </c>
      <c r="I120" s="74">
        <f>SMALL((I10,I32,I54,I76,I98),1)*0.4+SMALL((I10,I32,I54,I76,I98),2)*0.3+SMALL((I10,I32,I54,I76,I98),3)*0.1+SMALL((I10,I32,I54,I76,I98),4)*0.1+SMALL((I10,I32,I54,I76,I98),5)*0.1</f>
        <v>64.826771376444896</v>
      </c>
      <c r="J120" s="74">
        <f>SMALL((J10,J32,J54,J76,J98),1)*0.4+SMALL((J10,J32,J54,J76,J98),2)*0.3+SMALL((J10,J32,J54,J76,J98),3)*0.1+SMALL((J10,J32,J54,J76,J98),4)*0.1+SMALL((J10,J32,J54,J76,J98),5)*0.1</f>
        <v>51.615176422859903</v>
      </c>
      <c r="K120" s="74">
        <f>SMALL((K10,K32,K54,K76,K98),1)*0.4+SMALL((K10,K32,K54,K76,K98),2)*0.3+SMALL((K10,K32,K54,K76,K98),3)*0.1+SMALL((K10,K32,K54,K76,K98),4)*0.1+SMALL((K10,K32,K54,K76,K98),5)*0.1</f>
        <v>46.178686553629639</v>
      </c>
      <c r="L120" s="74">
        <f>SMALL((L10,L32,L54,L76,L98),1)*0.4+SMALL((L10,L32,L54,L76,L98),2)*0.3+SMALL((L10,L32,L54,L76,L98),3)*0.1+SMALL((L10,L32,L54,L76,L98),4)*0.1+SMALL((L10,L32,L54,L76,L98),5)*0.1</f>
        <v>40.280512064593857</v>
      </c>
      <c r="M120" s="74">
        <f>SMALL((M10,M32,M54,M76,M98),1)*0.4+SMALL((M10,M32,M54,M76,M98),2)*0.3+SMALL((M10,M32,M54,M76,M98),3)*0.1+SMALL((M10,M32,M54,M76,M98),4)*0.1+SMALL((M10,M32,M54,M76,M98),5)*0.1</f>
        <v>33.121069400754585</v>
      </c>
      <c r="N120" s="74">
        <f>SMALL((N10,N32,N54,N76,N98),1)*0.4+SMALL((N10,N32,N54,N76,N98),2)*0.3+SMALL((N10,N32,N54,N76,N98),3)*0.1+SMALL((N10,N32,N54,N76,N98),4)*0.1+SMALL((N10,N32,N54,N76,N98),5)*0.1</f>
        <v>26.50122137203843</v>
      </c>
      <c r="O120" s="454"/>
      <c r="P120" s="74">
        <f>SMALL((P10,P32,P54,P76,P98),1)*0.4+SMALL((P10,P32,P54,P76,P98),2)*0.3+SMALL((P10,P32,P54,P76,P98),3)*0.1+SMALL((P10,P32,P54,P76,P98),4)*0.1+SMALL((P10,P32,P54,P76,P98),5)*0.1</f>
        <v>29.83674304384423</v>
      </c>
      <c r="Q120" s="74">
        <f>SMALL((Q10,Q32,Q54,Q76,Q98),1)*0.4+SMALL((Q10,Q32,Q54,Q76,Q98),2)*0.3+SMALL((Q10,Q32,Q54,Q76,Q98),3)*0.1+SMALL((Q10,Q32,Q54,Q76,Q98),4)*0.1+SMALL((Q10,Q32,Q54,Q76,Q98),5)*0.1</f>
        <v>22.882757503648293</v>
      </c>
      <c r="R120" s="74">
        <f>SMALL((R10,R32,R54,R76,R98),1)*0.4+SMALL((R10,R32,R54,R76,R98),2)*0.3+SMALL((R10,R32,R54,R76,R98),3)*0.1+SMALL((R10,R32,R54,R76,R98),4)*0.1+SMALL((R10,R32,R54,R76,R98),5)*0.1</f>
        <v>18.539504819471677</v>
      </c>
      <c r="S120" s="74">
        <f>SMALL((S10,S32,S54,S76,S98),1)*0.4+SMALL((S10,S32,S54,S76,S98),2)*0.3+SMALL((S10,S32,S54,S76,S98),3)*0.1+SMALL((S10,S32,S54,S76,S98),4)*0.1+SMALL((S10,S32,S54,S76,S98),5)*0.1</f>
        <v>15.663868840547583</v>
      </c>
      <c r="T120" s="74">
        <f>SMALL((T10,T32,T54,T76,T98),1)*0.4+SMALL((T10,T32,T54,T76,T98),2)*0.3+SMALL((T10,T32,T54,T76,T98),3)*0.1+SMALL((T10,T32,T54,T76,T98),4)*0.1+SMALL((T10,T32,T54,T76,T98),5)*0.1</f>
        <v>13.786809848144244</v>
      </c>
      <c r="U120" s="74">
        <f>SMALL((U10,U32,U54,U76,U98),1)*0.4+SMALL((U10,U32,U54,U76,U98),2)*0.3+SMALL((U10,U32,U54,U76,U98),3)*0.1+SMALL((U10,U32,U54,U76,U98),4)*0.1+SMALL((U10,U32,U54,U76,U98),5)*0.1</f>
        <v>11.937787567325643</v>
      </c>
      <c r="V120" s="74">
        <f>SMALL((V10,V32,V54,V76,V98),1)*0.4+SMALL((V10,V32,V54,V76,V98),2)*0.3+SMALL((V10,V32,V54,V76,V98),3)*0.1+SMALL((V10,V32,V54,V76,V98),4)*0.1+SMALL((V10,V32,V54,V76,V98),5)*0.1</f>
        <v>10.839779748765242</v>
      </c>
      <c r="W120"/>
      <c r="X120" s="2">
        <f t="shared" si="151"/>
        <v>-65.873267376827087</v>
      </c>
      <c r="Y120" s="2">
        <f t="shared" si="151"/>
        <v>-65.886262255036513</v>
      </c>
      <c r="Z120" s="2">
        <f t="shared" si="151"/>
        <v>-65.922777041384307</v>
      </c>
      <c r="AA120" s="2">
        <f t="shared" si="151"/>
        <v>-66.01976169522986</v>
      </c>
      <c r="AB120" s="2">
        <f t="shared" si="151"/>
        <v>-66.136231003603598</v>
      </c>
      <c r="AC120" s="2">
        <f t="shared" si="151"/>
        <v>-66.291289175601065</v>
      </c>
      <c r="AD120" s="2">
        <f t="shared" si="151"/>
        <v>-66.413435942586673</v>
      </c>
      <c r="AE120"/>
      <c r="AF120" s="2">
        <f t="shared" si="152"/>
        <v>69.095477386934675</v>
      </c>
      <c r="AG120" s="2">
        <f t="shared" si="152"/>
        <v>69.095477386934675</v>
      </c>
      <c r="AH120" s="2">
        <f t="shared" si="152"/>
        <v>69.095477386934675</v>
      </c>
      <c r="AI120" s="2">
        <f t="shared" si="152"/>
        <v>69.095477386934675</v>
      </c>
      <c r="AJ120" s="2">
        <f t="shared" si="152"/>
        <v>69.095477386934675</v>
      </c>
      <c r="AK120" s="2">
        <f t="shared" si="152"/>
        <v>69.095477386934675</v>
      </c>
      <c r="AL120" s="2">
        <f t="shared" si="152"/>
        <v>69.095477386934675</v>
      </c>
      <c r="AM120"/>
      <c r="AN120" s="2">
        <f t="shared" si="153"/>
        <v>3.2222100101075881</v>
      </c>
      <c r="AO120" s="2">
        <f t="shared" si="153"/>
        <v>3.2092151318981621</v>
      </c>
      <c r="AP120" s="2">
        <f t="shared" si="153"/>
        <v>3.1727003455503677</v>
      </c>
      <c r="AQ120" s="2">
        <f t="shared" si="153"/>
        <v>3.075715691704815</v>
      </c>
      <c r="AR120" s="2">
        <f t="shared" si="153"/>
        <v>2.9592463833310774</v>
      </c>
      <c r="AS120" s="2">
        <f t="shared" si="153"/>
        <v>2.8041882113336101</v>
      </c>
      <c r="AT120" s="2">
        <f t="shared" si="153"/>
        <v>2.6820414443480018</v>
      </c>
      <c r="AU120"/>
      <c r="AV120" s="74">
        <f>SMALL((AV10,AV32,AV54,AV76,AV98),1)*0.4+SMALL((AV10,AV32,AV54,AV76,AV98),2)*0.3+SMALL((AV10,AV32,AV54,AV76,AV98),3)*0.1+SMALL((AV10,AV32,AV54,AV76,AV98),4)*0.1+SMALL((AV10,AV32,AV54,AV76,AV98),5)*0.1</f>
        <v>23.007996788310678</v>
      </c>
      <c r="AW120" s="74">
        <f>SMALL((AW10,AW32,AW54,AW76,AW98),1)*0.4+SMALL((AW10,AW32,AW54,AW76,AW98),2)*0.3+SMALL((AW10,AW32,AW54,AW76,AW98),3)*0.1+SMALL((AW10,AW32,AW54,AW76,AW98),4)*0.1+SMALL((AW10,AW32,AW54,AW76,AW98),5)*0.1</f>
        <v>18.618927333708019</v>
      </c>
      <c r="AX120" s="74">
        <f>SMALL((AX10,AX32,AX54,AX76,AX98),1)*0.4+SMALL((AX10,AX32,AX54,AX76,AX98),2)*0.3+SMALL((AX10,AX32,AX54,AX76,AX98),3)*0.1+SMALL((AX10,AX32,AX54,AX76,AX98),4)*0.1+SMALL((AX10,AX32,AX54,AX76,AX98),5)*0.1</f>
        <v>14.683266072503733</v>
      </c>
      <c r="AY120" s="74">
        <f>SMALL((AY10,AY32,AY54,AY76,AY98),1)*0.4+SMALL((AY10,AY32,AY54,AY76,AY98),2)*0.3+SMALL((AY10,AY32,AY54,AY76,AY98),3)*0.1+SMALL((AY10,AY32,AY54,AY76,AY98),4)*0.1+SMALL((AY10,AY32,AY54,AY76,AY98),5)*0.1</f>
        <v>13.993124820084047</v>
      </c>
      <c r="AZ120" s="74">
        <f>SMALL((AZ10,AZ32,AZ54,AZ76,AZ98),1)*0.4+SMALL((AZ10,AZ32,AZ54,AZ76,AZ98),2)*0.3+SMALL((AZ10,AZ32,AZ54,AZ76,AZ98),3)*0.1+SMALL((AZ10,AZ32,AZ54,AZ76,AZ98),4)*0.1+SMALL((AZ10,AZ32,AZ54,AZ76,AZ98),5)*0.1</f>
        <v>12.506220892322304</v>
      </c>
      <c r="BA120" s="74">
        <f>SMALL((BA10,BA32,BA54,BA76,BA98),1)*0.4+SMALL((BA10,BA32,BA54,BA76,BA98),2)*0.3+SMALL((BA10,BA32,BA54,BA76,BA98),3)*0.1+SMALL((BA10,BA32,BA54,BA76,BA98),4)*0.1+SMALL((BA10,BA32,BA54,BA76,BA98),5)*0.1</f>
        <v>10.042137124589219</v>
      </c>
      <c r="BB120" s="74">
        <f>SMALL((BB10,BB32,BB54,BB76,BB98),1)*0.4+SMALL((BB10,BB32,BB54,BB76,BB98),2)*0.3+SMALL((BB10,BB32,BB54,BB76,BB98),3)*0.1+SMALL((BB10,BB32,BB54,BB76,BB98),4)*0.1+SMALL((BB10,BB32,BB54,BB76,BB98),5)*0.1</f>
        <v>7.1606403912445984</v>
      </c>
      <c r="BC120" s="454"/>
      <c r="BD120" s="74">
        <f>SMALL((BD10,BD32,BD54,BD76,BD98),1)*0.4+SMALL((BD10,BD32,BD54,BD76,BD98),2)*0.3+SMALL((BD10,BD32,BD54,BD76,BD98),3)*0.1+SMALL((BD10,BD32,BD54,BD76,BD98),4)*0.1+SMALL((BD10,BD32,BD54,BD76,BD98),5)*0.1</f>
        <v>16.023844632076798</v>
      </c>
      <c r="BE120" s="74">
        <f>SMALL((BE10,BE32,BE54,BE76,BE98),1)*0.4+SMALL((BE10,BE32,BE54,BE76,BE98),2)*0.3+SMALL((BE10,BE32,BE54,BE76,BE98),3)*0.1+SMALL((BE10,BE32,BE54,BE76,BE98),4)*0.1+SMALL((BE10,BE32,BE54,BE76,BE98),5)*0.1</f>
        <v>13.065375443611654</v>
      </c>
      <c r="BF120" s="74">
        <f>SMALL((BF10,BF32,BF54,BF76,BF98),1)*0.4+SMALL((BF10,BF32,BF54,BF76,BF98),2)*0.3+SMALL((BF10,BF32,BF54,BF76,BF98),3)*0.1+SMALL((BF10,BF32,BF54,BF76,BF98),4)*0.1+SMALL((BF10,BF32,BF54,BF76,BF98),5)*0.1</f>
        <v>10.25690090198661</v>
      </c>
      <c r="BG120" s="74">
        <f>SMALL((BG10,BG32,BG54,BG76,BG98),1)*0.4+SMALL((BG10,BG32,BG54,BG76,BG98),2)*0.3+SMALL((BG10,BG32,BG54,BG76,BG98),3)*0.1+SMALL((BG10,BG32,BG54,BG76,BG98),4)*0.1+SMALL((BG10,BG32,BG54,BG76,BG98),5)*0.1</f>
        <v>9.2513529252483355</v>
      </c>
      <c r="BH120" s="74">
        <f>SMALL((BH10,BH32,BH54,BH76,BH98),1)*0.4+SMALL((BH10,BH32,BH54,BH76,BH98),2)*0.3+SMALL((BH10,BH32,BH54,BH76,BH98),3)*0.1+SMALL((BH10,BH32,BH54,BH76,BH98),4)*0.1+SMALL((BH10,BH32,BH54,BH76,BH98),5)*0.1</f>
        <v>7.529462965420457</v>
      </c>
      <c r="BI120" s="74">
        <f>SMALL((BI10,BI32,BI54,BI76,BI98),1)*0.4+SMALL((BI10,BI32,BI54,BI76,BI98),2)*0.3+SMALL((BI10,BI32,BI54,BI76,BI98),3)*0.1+SMALL((BI10,BI32,BI54,BI76,BI98),4)*0.1+SMALL((BI10,BI32,BI54,BI76,BI98),5)*0.1</f>
        <v>5.4900941905626741</v>
      </c>
      <c r="BJ120" s="74">
        <f>SMALL((BJ10,BJ32,BJ54,BJ76,BJ98),1)*0.4+SMALL((BJ10,BJ32,BJ54,BJ76,BJ98),2)*0.3+SMALL((BJ10,BJ32,BJ54,BJ76,BJ98),3)*0.1+SMALL((BJ10,BJ32,BJ54,BJ76,BJ98),4)*0.1+SMALL((BJ10,BJ32,BJ54,BJ76,BJ98),5)*0.1</f>
        <v>3.6256539230169134</v>
      </c>
      <c r="BK120" s="455"/>
      <c r="BL120" s="74">
        <f>SMALL((BL10,BL32,BL54,BL76,BL98),1)*0.4+SMALL((BL10,BL32,BL54,BL76,BL98),2)*0.3+SMALL((BL10,BL32,BL54,BL76,BL98),3)*0.1+SMALL((BL10,BL32,BL54,BL76,BL98),4)*0.1+SMALL((BL10,BL32,BL54,BL76,BL98),5)*0.1</f>
        <v>12.524437317554229</v>
      </c>
      <c r="BM120" s="74">
        <f>SMALL((BM10,BM32,BM54,BM76,BM98),1)*0.4+SMALL((BM10,BM32,BM54,BM76,BM98),2)*0.3+SMALL((BM10,BM32,BM54,BM76,BM98),3)*0.1+SMALL((BM10,BM32,BM54,BM76,BM98),4)*0.1+SMALL((BM10,BM32,BM54,BM76,BM98),5)*0.1</f>
        <v>10.259711095476916</v>
      </c>
      <c r="BN120" s="74">
        <f>SMALL((BN10,BN32,BN54,BN76,BN98),1)*0.4+SMALL((BN10,BN32,BN54,BN76,BN98),2)*0.3+SMALL((BN10,BN32,BN54,BN76,BN98),3)*0.1+SMALL((BN10,BN32,BN54,BN76,BN98),4)*0.1+SMALL((BN10,BN32,BN54,BN76,BN98),5)*0.1</f>
        <v>8.1355046288978894</v>
      </c>
      <c r="BO120" s="74">
        <f>SMALL((BO10,BO32,BO54,BO76,BO98),1)*0.4+SMALL((BO10,BO32,BO54,BO76,BO98),2)*0.3+SMALL((BO10,BO32,BO54,BO76,BO98),3)*0.1+SMALL((BO10,BO32,BO54,BO76,BO98),4)*0.1+SMALL((BO10,BO32,BO54,BO76,BO98),5)*0.1</f>
        <v>7.2703399677496758</v>
      </c>
      <c r="BP120" s="74">
        <f>SMALL((BP10,BP32,BP54,BP76,BP98),1)*0.4+SMALL((BP10,BP32,BP54,BP76,BP98),2)*0.3+SMALL((BP10,BP32,BP54,BP76,BP98),3)*0.1+SMALL((BP10,BP32,BP54,BP76,BP98),4)*0.1+SMALL((BP10,BP32,BP54,BP76,BP98),5)*0.1</f>
        <v>6.4580183587068474</v>
      </c>
      <c r="BQ120" s="74">
        <f>SMALL((BQ10,BQ32,BQ54,BQ76,BQ98),1)*0.4+SMALL((BQ10,BQ32,BQ54,BQ76,BQ98),2)*0.3+SMALL((BQ10,BQ32,BQ54,BQ76,BQ98),3)*0.1+SMALL((BQ10,BQ32,BQ54,BQ76,BQ98),4)*0.1+SMALL((BQ10,BQ32,BQ54,BQ76,BQ98),5)*0.1</f>
        <v>5.6510505182770414</v>
      </c>
      <c r="BR120" s="74">
        <f>SMALL((BR10,BR32,BR54,BR76,BR98),1)*0.4+SMALL((BR10,BR32,BR54,BR76,BR98),2)*0.3+SMALL((BR10,BR32,BR54,BR76,BR98),3)*0.1+SMALL((BR10,BR32,BR54,BR76,BR98),4)*0.1+SMALL((BR10,BR32,BR54,BR76,BR98),5)*0.1</f>
        <v>4.875147309011675</v>
      </c>
      <c r="BS120" s="454"/>
      <c r="BT120" s="74">
        <f>SMALL((BT10,BT32,BT54,BT76,BT98),1)*0.4+SMALL((BT10,BT32,BT54,BT76,BT98),2)*0.3+SMALL((BT10,BT32,BT54,BT76,BT98),3)*0.1+SMALL((BT10,BT32,BT54,BT76,BT98),4)*0.1+SMALL((BT10,BT32,BT54,BT76,BT98),5)*0.1</f>
        <v>0</v>
      </c>
      <c r="BU120" s="74">
        <f>SMALL((BU10,BU32,BU54,BU76,BU98),1)*0.4+SMALL((BU10,BU32,BU54,BU76,BU98),2)*0.3+SMALL((BU10,BU32,BU54,BU76,BU98),3)*0.1+SMALL((BU10,BU32,BU54,BU76,BU98),4)*0.1+SMALL((BU10,BU32,BU54,BU76,BU98),5)*0.1</f>
        <v>0</v>
      </c>
      <c r="BV120" s="74">
        <f>SMALL((BV10,BV32,BV54,BV76,BV98),1)*0.4+SMALL((BV10,BV32,BV54,BV76,BV98),2)*0.3+SMALL((BV10,BV32,BV54,BV76,BV98),3)*0.1+SMALL((BV10,BV32,BV54,BV76,BV98),4)*0.1+SMALL((BV10,BV32,BV54,BV76,BV98),5)*0.1</f>
        <v>0</v>
      </c>
      <c r="BW120" s="74">
        <f>SMALL((BW10,BW32,BW54,BW76,BW98),1)*0.4+SMALL((BW10,BW32,BW54,BW76,BW98),2)*0.3+SMALL((BW10,BW32,BW54,BW76,BW98),3)*0.1+SMALL((BW10,BW32,BW54,BW76,BW98),4)*0.1+SMALL((BW10,BW32,BW54,BW76,BW98),5)*0.1</f>
        <v>0</v>
      </c>
      <c r="BX120" s="74">
        <f>SMALL((BX10,BX32,BX54,BX76,BX98),1)*0.4+SMALL((BX10,BX32,BX54,BX76,BX98),2)*0.3+SMALL((BX10,BX32,BX54,BX76,BX98),3)*0.1+SMALL((BX10,BX32,BX54,BX76,BX98),4)*0.1+SMALL((BX10,BX32,BX54,BX76,BX98),5)*0.1</f>
        <v>0</v>
      </c>
      <c r="BY120" s="74">
        <f>SMALL((BY10,BY32,BY54,BY76,BY98),1)*0.4+SMALL((BY10,BY32,BY54,BY76,BY98),2)*0.3+SMALL((BY10,BY32,BY54,BY76,BY98),3)*0.1+SMALL((BY10,BY32,BY54,BY76,BY98),4)*0.1+SMALL((BY10,BY32,BY54,BY76,BY98),5)*0.1</f>
        <v>0</v>
      </c>
      <c r="BZ120" s="74">
        <f>SMALL((BZ10,BZ32,BZ54,BZ76,BZ98),1)*0.4+SMALL((BZ10,BZ32,BZ54,BZ76,BZ98),2)*0.3+SMALL((BZ10,BZ32,BZ54,BZ76,BZ98),3)*0.1+SMALL((BZ10,BZ32,BZ54,BZ76,BZ98),4)*0.1+SMALL((BZ10,BZ32,BZ54,BZ76,BZ98),5)*0.1</f>
        <v>0</v>
      </c>
    </row>
    <row r="121" spans="1:78" x14ac:dyDescent="0.2">
      <c r="A121" s="452"/>
      <c r="B121" s="453" t="str">
        <f t="shared" si="147"/>
        <v>e-Diesel (DAC) - Global - Fuel cost - USD/GJ</v>
      </c>
      <c r="C121" s="453" t="str">
        <f t="shared" si="148"/>
        <v>e-Diesel (DAC) - Global</v>
      </c>
      <c r="D121" s="74">
        <f t="shared" si="149"/>
        <v>42.7</v>
      </c>
      <c r="E121" t="s">
        <v>109</v>
      </c>
      <c r="F121" t="str">
        <f t="shared" si="150"/>
        <v>e-Diesel (DAC)</v>
      </c>
      <c r="G121" t="s">
        <v>828</v>
      </c>
      <c r="H121" s="74">
        <f>SMALL((H11,H33,H55,H77,H99),1)*0.4+SMALL((H11,H33,H55,H77,H99),2)*0.3+SMALL((H11,H33,H55,H77,H99),3)*0.1+SMALL((H11,H33,H55,H77,H99),4)*0.1+SMALL((H11,H33,H55,H77,H99),5)*0.1</f>
        <v>103.01227672999268</v>
      </c>
      <c r="I121" s="74">
        <f>SMALL((I11,I33,I55,I77,I99),1)*0.4+SMALL((I11,I33,I55,I77,I99),2)*0.3+SMALL((I11,I33,I55,I77,I99),3)*0.1+SMALL((I11,I33,I55,I77,I99),4)*0.1+SMALL((I11,I33,I55,I77,I99),5)*0.1</f>
        <v>80.963728463529009</v>
      </c>
      <c r="J121" s="74">
        <f>SMALL((J11,J33,J55,J77,J99),1)*0.4+SMALL((J11,J33,J55,J77,J99),2)*0.3+SMALL((J11,J33,J55,J77,J99),3)*0.1+SMALL((J11,J33,J55,J77,J99),4)*0.1+SMALL((J11,J33,J55,J77,J99),5)*0.1</f>
        <v>64.733735959795027</v>
      </c>
      <c r="K121" s="74">
        <f>SMALL((K11,K33,K55,K77,K99),1)*0.4+SMALL((K11,K33,K55,K77,K99),2)*0.3+SMALL((K11,K33,K55,K77,K99),3)*0.1+SMALL((K11,K33,K55,K77,K99),4)*0.1+SMALL((K11,K33,K55,K77,K99),5)*0.1</f>
        <v>57.730057715217512</v>
      </c>
      <c r="L121" s="74">
        <f>SMALL((L11,L33,L55,L77,L99),1)*0.4+SMALL((L11,L33,L55,L77,L99),2)*0.3+SMALL((L11,L33,L55,L77,L99),3)*0.1+SMALL((L11,L33,L55,L77,L99),4)*0.1+SMALL((L11,L33,L55,L77,L99),5)*0.1</f>
        <v>50.673187319066393</v>
      </c>
      <c r="M121" s="74">
        <f>SMALL((M11,M33,M55,M77,M99),1)*0.4+SMALL((M11,M33,M55,M77,M99),2)*0.3+SMALL((M11,M33,M55,M77,M99),3)*0.1+SMALL((M11,M33,M55,M77,M99),4)*0.1+SMALL((M11,M33,M55,M77,M99),5)*0.1</f>
        <v>40.926394318182844</v>
      </c>
      <c r="N121" s="74">
        <f>SMALL((N11,N33,N55,N77,N99),1)*0.4+SMALL((N11,N33,N55,N77,N99),2)*0.3+SMALL((N11,N33,N55,N77,N99),3)*0.1+SMALL((N11,N33,N55,N77,N99),4)*0.1+SMALL((N11,N33,N55,N77,N99),5)*0.1</f>
        <v>32.378905174808729</v>
      </c>
      <c r="O121" s="454"/>
      <c r="P121" s="74">
        <f>SMALL((P11,P33,P55,P77,P99),1)*0.4+SMALL((P11,P33,P55,P77,P99),2)*0.3+SMALL((P11,P33,P55,P77,P99),3)*0.1+SMALL((P11,P33,P55,P77,P99),4)*0.1+SMALL((P11,P33,P55,P77,P99),5)*0.1</f>
        <v>30.202669104332671</v>
      </c>
      <c r="Q121" s="74">
        <f>SMALL((Q11,Q33,Q55,Q77,Q99),1)*0.4+SMALL((Q11,Q33,Q55,Q77,Q99),2)*0.3+SMALL((Q11,Q33,Q55,Q77,Q99),3)*0.1+SMALL((Q11,Q33,Q55,Q77,Q99),4)*0.1+SMALL((Q11,Q33,Q55,Q77,Q99),5)*0.1</f>
        <v>23.117392707150877</v>
      </c>
      <c r="R121" s="74">
        <f>SMALL((R11,R33,R55,R77,R99),1)*0.4+SMALL((R11,R33,R55,R77,R99),2)*0.3+SMALL((R11,R33,R55,R77,R99),3)*0.1+SMALL((R11,R33,R55,R77,R99),4)*0.1+SMALL((R11,R33,R55,R77,R99),5)*0.1</f>
        <v>18.673289425145448</v>
      </c>
      <c r="S121" s="74">
        <f>SMALL((S11,S33,S55,S77,S99),1)*0.4+SMALL((S11,S33,S55,S77,S99),2)*0.3+SMALL((S11,S33,S55,S77,S99),3)*0.1+SMALL((S11,S33,S55,S77,S99),4)*0.1+SMALL((S11,S33,S55,S77,S99),5)*0.1</f>
        <v>15.681808881989548</v>
      </c>
      <c r="T121" s="74">
        <f>SMALL((T11,T33,T55,T77,T99),1)*0.4+SMALL((T11,T33,T55,T77,T99),2)*0.3+SMALL((T11,T33,T55,T77,T99),3)*0.1+SMALL((T11,T33,T55,T77,T99),4)*0.1+SMALL((T11,T33,T55,T77,T99),5)*0.1</f>
        <v>13.69986774081667</v>
      </c>
      <c r="U121" s="74">
        <f>SMALL((U11,U33,U55,U77,U99),1)*0.4+SMALL((U11,U33,U55,U77,U99),2)*0.3+SMALL((U11,U33,U55,U77,U99),3)*0.1+SMALL((U11,U33,U55,U77,U99),4)*0.1+SMALL((U11,U33,U55,U77,U99),5)*0.1</f>
        <v>11.738770044921967</v>
      </c>
      <c r="V121" s="74">
        <f>SMALL((V11,V33,V55,V77,V99),1)*0.4+SMALL((V11,V33,V55,V77,V99),2)*0.3+SMALL((V11,V33,V55,V77,V99),3)*0.1+SMALL((V11,V33,V55,V77,V99),4)*0.1+SMALL((V11,V33,V55,V77,V99),5)*0.1</f>
        <v>10.559731333331916</v>
      </c>
      <c r="W121"/>
      <c r="X121" s="2">
        <f t="shared" si="151"/>
        <v>-71.898371469010129</v>
      </c>
      <c r="Y121" s="2">
        <f t="shared" si="151"/>
        <v>-71.917977773108731</v>
      </c>
      <c r="Z121" s="2">
        <f t="shared" si="151"/>
        <v>-71.964504396106349</v>
      </c>
      <c r="AA121" s="2">
        <f t="shared" si="151"/>
        <v>-72.08086120236382</v>
      </c>
      <c r="AB121" s="2">
        <f t="shared" si="151"/>
        <v>-72.219514710595647</v>
      </c>
      <c r="AC121" s="2">
        <f t="shared" si="151"/>
        <v>-72.40266058951876</v>
      </c>
      <c r="AD121" s="2">
        <f t="shared" si="151"/>
        <v>-72.547349318776185</v>
      </c>
      <c r="AE121"/>
      <c r="AF121" s="2">
        <f t="shared" si="152"/>
        <v>76.237236533957855</v>
      </c>
      <c r="AG121" s="2">
        <f t="shared" si="152"/>
        <v>76.237236533957855</v>
      </c>
      <c r="AH121" s="2">
        <f t="shared" si="152"/>
        <v>76.237236533957855</v>
      </c>
      <c r="AI121" s="2">
        <f t="shared" si="152"/>
        <v>76.237236533957855</v>
      </c>
      <c r="AJ121" s="2">
        <f t="shared" si="152"/>
        <v>76.237236533957855</v>
      </c>
      <c r="AK121" s="2">
        <f t="shared" si="152"/>
        <v>76.237236533957855</v>
      </c>
      <c r="AL121" s="2">
        <f t="shared" si="152"/>
        <v>76.237236533957855</v>
      </c>
      <c r="AM121"/>
      <c r="AN121" s="2">
        <f t="shared" si="153"/>
        <v>4.3388650649477256</v>
      </c>
      <c r="AO121" s="2">
        <f t="shared" si="153"/>
        <v>4.3192587608491237</v>
      </c>
      <c r="AP121" s="2">
        <f t="shared" si="153"/>
        <v>4.2727321378515057</v>
      </c>
      <c r="AQ121" s="2">
        <f t="shared" si="153"/>
        <v>4.1563753315940346</v>
      </c>
      <c r="AR121" s="2">
        <f t="shared" si="153"/>
        <v>4.0177218233622085</v>
      </c>
      <c r="AS121" s="2">
        <f t="shared" si="153"/>
        <v>3.834575944439095</v>
      </c>
      <c r="AT121" s="2">
        <f t="shared" si="153"/>
        <v>3.6898872151816704</v>
      </c>
      <c r="AU121"/>
      <c r="AV121" s="74">
        <f>SMALL((AV11,AV33,AV55,AV77,AV99),1)*0.4+SMALL((AV11,AV33,AV55,AV77,AV99),2)*0.3+SMALL((AV11,AV33,AV55,AV77,AV99),3)*0.1+SMALL((AV11,AV33,AV55,AV77,AV99),4)*0.1+SMALL((AV11,AV33,AV55,AV77,AV99),5)*0.1</f>
        <v>22.839460865640302</v>
      </c>
      <c r="AW121" s="74">
        <f>SMALL((AW11,AW33,AW55,AW77,AW99),1)*0.4+SMALL((AW11,AW33,AW55,AW77,AW99),2)*0.3+SMALL((AW11,AW33,AW55,AW77,AW99),3)*0.1+SMALL((AW11,AW33,AW55,AW77,AW99),4)*0.1+SMALL((AW11,AW33,AW55,AW77,AW99),5)*0.1</f>
        <v>19.696946225737683</v>
      </c>
      <c r="AX121" s="74">
        <f>SMALL((AX11,AX33,AX55,AX77,AX99),1)*0.4+SMALL((AX11,AX33,AX55,AX77,AX99),2)*0.3+SMALL((AX11,AX33,AX55,AX77,AX99),3)*0.1+SMALL((AX11,AX33,AX55,AX77,AX99),4)*0.1+SMALL((AX11,AX33,AX55,AX77,AX99),5)*0.1</f>
        <v>17.080594527339468</v>
      </c>
      <c r="AY121" s="74">
        <f>SMALL((AY11,AY33,AY55,AY77,AY99),1)*0.4+SMALL((AY11,AY33,AY55,AY77,AY99),2)*0.3+SMALL((AY11,AY33,AY55,AY77,AY99),3)*0.1+SMALL((AY11,AY33,AY55,AY77,AY99),4)*0.1+SMALL((AY11,AY33,AY55,AY77,AY99),5)*0.1</f>
        <v>16.76638962939645</v>
      </c>
      <c r="AZ121" s="74">
        <f>SMALL((AZ11,AZ33,AZ55,AZ77,AZ99),1)*0.4+SMALL((AZ11,AZ33,AZ55,AZ77,AZ99),2)*0.3+SMALL((AZ11,AZ33,AZ55,AZ77,AZ99),3)*0.1+SMALL((AZ11,AZ33,AZ55,AZ77,AZ99),4)*0.1+SMALL((AZ11,AZ33,AZ55,AZ77,AZ99),5)*0.1</f>
        <v>15.527571989463205</v>
      </c>
      <c r="BA121" s="74">
        <f>SMALL((BA11,BA33,BA55,BA77,BA99),1)*0.4+SMALL((BA11,BA33,BA55,BA77,BA99),2)*0.3+SMALL((BA11,BA33,BA55,BA77,BA99),3)*0.1+SMALL((BA11,BA33,BA55,BA77,BA99),4)*0.1+SMALL((BA11,BA33,BA55,BA77,BA99),5)*0.1</f>
        <v>12.817065326461268</v>
      </c>
      <c r="BB121" s="74">
        <f>SMALL((BB11,BB33,BB55,BB77,BB99),1)*0.4+SMALL((BB11,BB33,BB55,BB77,BB99),2)*0.3+SMALL((BB11,BB33,BB55,BB77,BB99),3)*0.1+SMALL((BB11,BB33,BB55,BB77,BB99),4)*0.1+SMALL((BB11,BB33,BB55,BB77,BB99),5)*0.1</f>
        <v>9.6221668130119369</v>
      </c>
      <c r="BC121" s="454"/>
      <c r="BD121" s="74">
        <f>SMALL((BD11,BD33,BD55,BD77,BD99),1)*0.4+SMALL((BD11,BD33,BD55,BD77,BD99),2)*0.3+SMALL((BD11,BD33,BD55,BD77,BD99),3)*0.1+SMALL((BD11,BD33,BD55,BD77,BD99),4)*0.1+SMALL((BD11,BD33,BD55,BD77,BD99),5)*0.1</f>
        <v>26.120940926117584</v>
      </c>
      <c r="BE121" s="74">
        <f>SMALL((BE11,BE33,BE55,BE77,BE99),1)*0.4+SMALL((BE11,BE33,BE55,BE77,BE99),2)*0.3+SMALL((BE11,BE33,BE55,BE77,BE99),3)*0.1+SMALL((BE11,BE33,BE55,BE77,BE99),4)*0.1+SMALL((BE11,BE33,BE55,BE77,BE99),5)*0.1</f>
        <v>19.730396902629103</v>
      </c>
      <c r="BF121" s="74">
        <f>SMALL((BF11,BF33,BF55,BF77,BF99),1)*0.4+SMALL((BF11,BF33,BF55,BF77,BF99),2)*0.3+SMALL((BF11,BF33,BF55,BF77,BF99),3)*0.1+SMALL((BF11,BF33,BF55,BF77,BF99),4)*0.1+SMALL((BF11,BF33,BF55,BF77,BF99),5)*0.1</f>
        <v>14.263330474528162</v>
      </c>
      <c r="BG121" s="74">
        <f>SMALL((BG11,BG33,BG55,BG77,BG99),1)*0.4+SMALL((BG11,BG33,BG55,BG77,BG99),2)*0.3+SMALL((BG11,BG33,BG55,BG77,BG99),3)*0.1+SMALL((BG11,BG33,BG55,BG77,BG99),4)*0.1+SMALL((BG11,BG33,BG55,BG77,BG99),5)*0.1</f>
        <v>13.164587891246839</v>
      </c>
      <c r="BH121" s="74">
        <f>SMALL((BH11,BH33,BH55,BH77,BH99),1)*0.4+SMALL((BH11,BH33,BH55,BH77,BH99),2)*0.3+SMALL((BH11,BH33,BH55,BH77,BH99),3)*0.1+SMALL((BH11,BH33,BH55,BH77,BH99),4)*0.1+SMALL((BH11,BH33,BH55,BH77,BH99),5)*0.1</f>
        <v>11.234557716710249</v>
      </c>
      <c r="BI121" s="74">
        <f>SMALL((BI11,BI33,BI55,BI77,BI99),1)*0.4+SMALL((BI11,BI33,BI55,BI77,BI99),2)*0.3+SMALL((BI11,BI33,BI55,BI77,BI99),3)*0.1+SMALL((BI11,BI33,BI55,BI77,BI99),4)*0.1+SMALL((BI11,BI33,BI55,BI77,BI99),5)*0.1</f>
        <v>7.7585904589945063</v>
      </c>
      <c r="BJ121" s="74">
        <f>SMALL((BJ11,BJ33,BJ55,BJ77,BJ99),1)*0.4+SMALL((BJ11,BJ33,BJ55,BJ77,BJ99),2)*0.3+SMALL((BJ11,BJ33,BJ55,BJ77,BJ99),3)*0.1+SMALL((BJ11,BJ33,BJ55,BJ77,BJ99),4)*0.1+SMALL((BJ11,BJ33,BJ55,BJ77,BJ99),5)*0.1</f>
        <v>4.801780322878459</v>
      </c>
      <c r="BK121" s="455"/>
      <c r="BL121" s="74">
        <f>SMALL((BL11,BL33,BL55,BL77,BL99),1)*0.4+SMALL((BL11,BL33,BL55,BL77,BL99),2)*0.3+SMALL((BL11,BL33,BL55,BL77,BL99),3)*0.1+SMALL((BL11,BL33,BL55,BL77,BL99),4)*0.1+SMALL((BL11,BL33,BL55,BL77,BL99),5)*0.1</f>
        <v>23.849205833902104</v>
      </c>
      <c r="BM121" s="74">
        <f>SMALL((BM11,BM33,BM55,BM77,BM99),1)*0.4+SMALL((BM11,BM33,BM55,BM77,BM99),2)*0.3+SMALL((BM11,BM33,BM55,BM77,BM99),3)*0.1+SMALL((BM11,BM33,BM55,BM77,BM99),4)*0.1+SMALL((BM11,BM33,BM55,BM77,BM99),5)*0.1</f>
        <v>18.418992628011353</v>
      </c>
      <c r="BN121" s="74">
        <f>SMALL((BN11,BN33,BN55,BN77,BN99),1)*0.4+SMALL((BN11,BN33,BN55,BN77,BN99),2)*0.3+SMALL((BN11,BN33,BN55,BN77,BN99),3)*0.1+SMALL((BN11,BN33,BN55,BN77,BN99),4)*0.1+SMALL((BN11,BN33,BN55,BN77,BN99),5)*0.1</f>
        <v>14.716521532781943</v>
      </c>
      <c r="BO121" s="74">
        <f>SMALL((BO11,BO33,BO55,BO77,BO99),1)*0.4+SMALL((BO11,BO33,BO55,BO77,BO99),2)*0.3+SMALL((BO11,BO33,BO55,BO77,BO99),3)*0.1+SMALL((BO11,BO33,BO55,BO77,BO99),4)*0.1+SMALL((BO11,BO33,BO55,BO77,BO99),5)*0.1</f>
        <v>12.11727131258467</v>
      </c>
      <c r="BP121" s="74">
        <f>SMALL((BP11,BP33,BP55,BP77,BP99),1)*0.4+SMALL((BP11,BP33,BP55,BP77,BP99),2)*0.3+SMALL((BP11,BP33,BP55,BP77,BP99),3)*0.1+SMALL((BP11,BP33,BP55,BP77,BP99),4)*0.1+SMALL((BP11,BP33,BP55,BP77,BP99),5)*0.1</f>
        <v>10.211189872076265</v>
      </c>
      <c r="BQ121" s="74">
        <f>SMALL((BQ11,BQ33,BQ55,BQ77,BQ99),1)*0.4+SMALL((BQ11,BQ33,BQ55,BQ77,BQ99),2)*0.3+SMALL((BQ11,BQ33,BQ55,BQ77,BQ99),3)*0.1+SMALL((BQ11,BQ33,BQ55,BQ77,BQ99),4)*0.1+SMALL((BQ11,BQ33,BQ55,BQ77,BQ99),5)*0.1</f>
        <v>8.6119684878051004</v>
      </c>
      <c r="BR121" s="74">
        <f>SMALL((BR11,BR33,BR55,BR77,BR99),1)*0.4+SMALL((BR11,BR33,BR55,BR77,BR99),2)*0.3+SMALL((BR11,BR33,BR55,BR77,BR99),3)*0.1+SMALL((BR11,BR33,BR55,BR77,BR99),4)*0.1+SMALL((BR11,BR33,BR55,BR77,BR99),5)*0.1</f>
        <v>7.3952267055864134</v>
      </c>
      <c r="BS121" s="454"/>
      <c r="BT121" s="74">
        <f>SMALL((BT11,BT33,BT55,BT77,BT99),1)*0.4+SMALL((BT11,BT33,BT55,BT77,BT99),2)*0.3+SMALL((BT11,BT33,BT55,BT77,BT99),3)*0.1+SMALL((BT11,BT33,BT55,BT77,BT99),4)*0.1+SMALL((BT11,BT33,BT55,BT77,BT99),5)*0.1</f>
        <v>0</v>
      </c>
      <c r="BU121" s="74">
        <f>SMALL((BU11,BU33,BU55,BU77,BU99),1)*0.4+SMALL((BU11,BU33,BU55,BU77,BU99),2)*0.3+SMALL((BU11,BU33,BU55,BU77,BU99),3)*0.1+SMALL((BU11,BU33,BU55,BU77,BU99),4)*0.1+SMALL((BU11,BU33,BU55,BU77,BU99),5)*0.1</f>
        <v>0</v>
      </c>
      <c r="BV121" s="74">
        <f>SMALL((BV11,BV33,BV55,BV77,BV99),1)*0.4+SMALL((BV11,BV33,BV55,BV77,BV99),2)*0.3+SMALL((BV11,BV33,BV55,BV77,BV99),3)*0.1+SMALL((BV11,BV33,BV55,BV77,BV99),4)*0.1+SMALL((BV11,BV33,BV55,BV77,BV99),5)*0.1</f>
        <v>0</v>
      </c>
      <c r="BW121" s="74">
        <f>SMALL((BW11,BW33,BW55,BW77,BW99),1)*0.4+SMALL((BW11,BW33,BW55,BW77,BW99),2)*0.3+SMALL((BW11,BW33,BW55,BW77,BW99),3)*0.1+SMALL((BW11,BW33,BW55,BW77,BW99),4)*0.1+SMALL((BW11,BW33,BW55,BW77,BW99),5)*0.1</f>
        <v>0</v>
      </c>
      <c r="BX121" s="74">
        <f>SMALL((BX11,BX33,BX55,BX77,BX99),1)*0.4+SMALL((BX11,BX33,BX55,BX77,BX99),2)*0.3+SMALL((BX11,BX33,BX55,BX77,BX99),3)*0.1+SMALL((BX11,BX33,BX55,BX77,BX99),4)*0.1+SMALL((BX11,BX33,BX55,BX77,BX99),5)*0.1</f>
        <v>0</v>
      </c>
      <c r="BY121" s="74">
        <f>SMALL((BY11,BY33,BY55,BY77,BY99),1)*0.4+SMALL((BY11,BY33,BY55,BY77,BY99),2)*0.3+SMALL((BY11,BY33,BY55,BY77,BY99),3)*0.1+SMALL((BY11,BY33,BY55,BY77,BY99),4)*0.1+SMALL((BY11,BY33,BY55,BY77,BY99),5)*0.1</f>
        <v>0</v>
      </c>
      <c r="BZ121" s="74">
        <f>SMALL((BZ11,BZ33,BZ55,BZ77,BZ99),1)*0.4+SMALL((BZ11,BZ33,BZ55,BZ77,BZ99),2)*0.3+SMALL((BZ11,BZ33,BZ55,BZ77,BZ99),3)*0.1+SMALL((BZ11,BZ33,BZ55,BZ77,BZ99),4)*0.1+SMALL((BZ11,BZ33,BZ55,BZ77,BZ99),5)*0.1</f>
        <v>0</v>
      </c>
    </row>
    <row r="122" spans="1:78" x14ac:dyDescent="0.2">
      <c r="A122" s="452"/>
      <c r="B122" s="453" t="str">
        <f t="shared" si="147"/>
        <v>e-Diesel (PS) - Global - Fuel cost - USD/GJ</v>
      </c>
      <c r="C122" s="453" t="str">
        <f t="shared" si="148"/>
        <v>e-Diesel (PS) - Global</v>
      </c>
      <c r="D122" s="74">
        <f t="shared" si="149"/>
        <v>42.7</v>
      </c>
      <c r="E122" t="s">
        <v>109</v>
      </c>
      <c r="F122" t="str">
        <f t="shared" si="150"/>
        <v>e-Diesel (PS)</v>
      </c>
      <c r="G122" t="s">
        <v>828</v>
      </c>
      <c r="H122" s="74">
        <f>SMALL((H12,H34,H56,H78,H100),1)*0.4+SMALL((H12,H34,H56,H78,H100),2)*0.3+SMALL((H12,H34,H56,H78,H100),3)*0.1+SMALL((H12,H34,H56,H78,H100),4)*0.1+SMALL((H12,H34,H56,H78,H100),5)*0.1</f>
        <v>93.951802133817225</v>
      </c>
      <c r="I122" s="74">
        <f>SMALL((I12,I34,I56,I78,I100),1)*0.4+SMALL((I12,I34,I56,I78,I100),2)*0.3+SMALL((I12,I34,I56,I78,I100),3)*0.1+SMALL((I12,I34,I56,I78,I100),4)*0.1+SMALL((I12,I34,I56,I78,I100),5)*0.1</f>
        <v>74.659300835181824</v>
      </c>
      <c r="J122" s="74">
        <f>SMALL((J12,J34,J56,J78,J100),1)*0.4+SMALL((J12,J34,J56,J78,J100),2)*0.3+SMALL((J12,J34,J56,J78,J100),3)*0.1+SMALL((J12,J34,J56,J78,J100),4)*0.1+SMALL((J12,J34,J56,J78,J100),5)*0.1</f>
        <v>59.623537520779564</v>
      </c>
      <c r="K122" s="74">
        <f>SMALL((K12,K34,K56,K78,K100),1)*0.4+SMALL((K12,K34,K56,K78,K100),2)*0.3+SMALL((K12,K34,K56,K78,K100),3)*0.1+SMALL((K12,K34,K56,K78,K100),4)*0.1+SMALL((K12,K34,K56,K78,K100),5)*0.1</f>
        <v>54.197531654162304</v>
      </c>
      <c r="L122" s="74">
        <f>SMALL((L12,L34,L56,L78,L100),1)*0.4+SMALL((L12,L34,L56,L78,L100),2)*0.3+SMALL((L12,L34,L56,L78,L100),3)*0.1+SMALL((L12,L34,L56,L78,L100),4)*0.1+SMALL((L12,L34,L56,L78,L100),5)*0.1</f>
        <v>48.087561407564969</v>
      </c>
      <c r="M122" s="74">
        <f>SMALL((M12,M34,M56,M78,M100),1)*0.4+SMALL((M12,M34,M56,M78,M100),2)*0.3+SMALL((M12,M34,M56,M78,M100),3)*0.1+SMALL((M12,M34,M56,M78,M100),4)*0.1+SMALL((M12,M34,M56,M78,M100),5)*0.1</f>
        <v>38.987130176822177</v>
      </c>
      <c r="N122" s="74">
        <f>SMALL((N12,N34,N56,N78,N100),1)*0.4+SMALL((N12,N34,N56,N78,N100),2)*0.3+SMALL((N12,N34,N56,N78,N100),3)*0.1+SMALL((N12,N34,N56,N78,N100),4)*0.1+SMALL((N12,N34,N56,N78,N100),5)*0.1</f>
        <v>30.740204009595182</v>
      </c>
      <c r="O122" s="454"/>
      <c r="P122" s="74">
        <f>SMALL((P12,P34,P56,P78,P100),1)*0.4+SMALL((P12,P34,P56,P78,P100),2)*0.3+SMALL((P12,P34,P56,P78,P100),3)*0.1+SMALL((P12,P34,P56,P78,P100),4)*0.1+SMALL((P12,P34,P56,P78,P100),5)*0.1</f>
        <v>30.202669104332671</v>
      </c>
      <c r="Q122" s="74">
        <f>SMALL((Q12,Q34,Q56,Q78,Q100),1)*0.4+SMALL((Q12,Q34,Q56,Q78,Q100),2)*0.3+SMALL((Q12,Q34,Q56,Q78,Q100),3)*0.1+SMALL((Q12,Q34,Q56,Q78,Q100),4)*0.1+SMALL((Q12,Q34,Q56,Q78,Q100),5)*0.1</f>
        <v>23.117392707150877</v>
      </c>
      <c r="R122" s="74">
        <f>SMALL((R12,R34,R56,R78,R100),1)*0.4+SMALL((R12,R34,R56,R78,R100),2)*0.3+SMALL((R12,R34,R56,R78,R100),3)*0.1+SMALL((R12,R34,R56,R78,R100),4)*0.1+SMALL((R12,R34,R56,R78,R100),5)*0.1</f>
        <v>18.673289425145448</v>
      </c>
      <c r="S122" s="74">
        <f>SMALL((S12,S34,S56,S78,S100),1)*0.4+SMALL((S12,S34,S56,S78,S100),2)*0.3+SMALL((S12,S34,S56,S78,S100),3)*0.1+SMALL((S12,S34,S56,S78,S100),4)*0.1+SMALL((S12,S34,S56,S78,S100),5)*0.1</f>
        <v>15.681808881989548</v>
      </c>
      <c r="T122" s="74">
        <f>SMALL((T12,T34,T56,T78,T100),1)*0.4+SMALL((T12,T34,T56,T78,T100),2)*0.3+SMALL((T12,T34,T56,T78,T100),3)*0.1+SMALL((T12,T34,T56,T78,T100),4)*0.1+SMALL((T12,T34,T56,T78,T100),5)*0.1</f>
        <v>13.69986774081667</v>
      </c>
      <c r="U122" s="74">
        <f>SMALL((U12,U34,U56,U78,U100),1)*0.4+SMALL((U12,U34,U56,U78,U100),2)*0.3+SMALL((U12,U34,U56,U78,U100),3)*0.1+SMALL((U12,U34,U56,U78,U100),4)*0.1+SMALL((U12,U34,U56,U78,U100),5)*0.1</f>
        <v>11.738770044921967</v>
      </c>
      <c r="V122" s="74">
        <f>SMALL((V12,V34,V56,V78,V100),1)*0.4+SMALL((V12,V34,V56,V78,V100),2)*0.3+SMALL((V12,V34,V56,V78,V100),3)*0.1+SMALL((V12,V34,V56,V78,V100),4)*0.1+SMALL((V12,V34,V56,V78,V100),5)*0.1</f>
        <v>10.559731333331916</v>
      </c>
      <c r="W122"/>
      <c r="X122" s="2">
        <f t="shared" si="151"/>
        <v>-71.898371469010129</v>
      </c>
      <c r="Y122" s="2">
        <f t="shared" si="151"/>
        <v>-71.917977773108731</v>
      </c>
      <c r="Z122" s="2">
        <f t="shared" si="151"/>
        <v>-71.964504396106349</v>
      </c>
      <c r="AA122" s="2">
        <f t="shared" si="151"/>
        <v>-72.08086120236382</v>
      </c>
      <c r="AB122" s="2">
        <f t="shared" si="151"/>
        <v>-72.219514710595647</v>
      </c>
      <c r="AC122" s="2">
        <f t="shared" si="151"/>
        <v>-72.40266058951876</v>
      </c>
      <c r="AD122" s="2">
        <f t="shared" si="151"/>
        <v>-72.547349318776185</v>
      </c>
      <c r="AE122"/>
      <c r="AF122" s="2">
        <f t="shared" si="152"/>
        <v>76.237236533957855</v>
      </c>
      <c r="AG122" s="2">
        <f t="shared" si="152"/>
        <v>76.237236533957855</v>
      </c>
      <c r="AH122" s="2">
        <f t="shared" si="152"/>
        <v>76.237236533957855</v>
      </c>
      <c r="AI122" s="2">
        <f t="shared" si="152"/>
        <v>76.237236533957855</v>
      </c>
      <c r="AJ122" s="2">
        <f t="shared" si="152"/>
        <v>76.237236533957855</v>
      </c>
      <c r="AK122" s="2">
        <f t="shared" si="152"/>
        <v>76.237236533957855</v>
      </c>
      <c r="AL122" s="2">
        <f t="shared" si="152"/>
        <v>76.237236533957855</v>
      </c>
      <c r="AM122"/>
      <c r="AN122" s="2">
        <f t="shared" si="153"/>
        <v>4.3388650649477256</v>
      </c>
      <c r="AO122" s="2">
        <f t="shared" si="153"/>
        <v>4.3192587608491237</v>
      </c>
      <c r="AP122" s="2">
        <f t="shared" si="153"/>
        <v>4.2727321378515057</v>
      </c>
      <c r="AQ122" s="2">
        <f t="shared" si="153"/>
        <v>4.1563753315940346</v>
      </c>
      <c r="AR122" s="2">
        <f t="shared" si="153"/>
        <v>4.0177218233622085</v>
      </c>
      <c r="AS122" s="2">
        <f t="shared" si="153"/>
        <v>3.834575944439095</v>
      </c>
      <c r="AT122" s="2">
        <f t="shared" si="153"/>
        <v>3.6898872151816704</v>
      </c>
      <c r="AU122"/>
      <c r="AV122" s="74">
        <f>SMALL((AV12,AV34,AV56,AV78,AV100),1)*0.4+SMALL((AV12,AV34,AV56,AV78,AV100),2)*0.3+SMALL((AV12,AV34,AV56,AV78,AV100),3)*0.1+SMALL((AV12,AV34,AV56,AV78,AV100),4)*0.1+SMALL((AV12,AV34,AV56,AV78,AV100),5)*0.1</f>
        <v>22.839460865640302</v>
      </c>
      <c r="AW122" s="74">
        <f>SMALL((AW12,AW34,AW56,AW78,AW100),1)*0.4+SMALL((AW12,AW34,AW56,AW78,AW100),2)*0.3+SMALL((AW12,AW34,AW56,AW78,AW100),3)*0.1+SMALL((AW12,AW34,AW56,AW78,AW100),4)*0.1+SMALL((AW12,AW34,AW56,AW78,AW100),5)*0.1</f>
        <v>19.696946225737683</v>
      </c>
      <c r="AX122" s="74">
        <f>SMALL((AX12,AX34,AX56,AX78,AX100),1)*0.4+SMALL((AX12,AX34,AX56,AX78,AX100),2)*0.3+SMALL((AX12,AX34,AX56,AX78,AX100),3)*0.1+SMALL((AX12,AX34,AX56,AX78,AX100),4)*0.1+SMALL((AX12,AX34,AX56,AX78,AX100),5)*0.1</f>
        <v>17.080594527339468</v>
      </c>
      <c r="AY122" s="74">
        <f>SMALL((AY12,AY34,AY56,AY78,AY100),1)*0.4+SMALL((AY12,AY34,AY56,AY78,AY100),2)*0.3+SMALL((AY12,AY34,AY56,AY78,AY100),3)*0.1+SMALL((AY12,AY34,AY56,AY78,AY100),4)*0.1+SMALL((AY12,AY34,AY56,AY78,AY100),5)*0.1</f>
        <v>16.76638962939645</v>
      </c>
      <c r="AZ122" s="74">
        <f>SMALL((AZ12,AZ34,AZ56,AZ78,AZ100),1)*0.4+SMALL((AZ12,AZ34,AZ56,AZ78,AZ100),2)*0.3+SMALL((AZ12,AZ34,AZ56,AZ78,AZ100),3)*0.1+SMALL((AZ12,AZ34,AZ56,AZ78,AZ100),4)*0.1+SMALL((AZ12,AZ34,AZ56,AZ78,AZ100),5)*0.1</f>
        <v>15.527571989463205</v>
      </c>
      <c r="BA122" s="74">
        <f>SMALL((BA12,BA34,BA56,BA78,BA100),1)*0.4+SMALL((BA12,BA34,BA56,BA78,BA100),2)*0.3+SMALL((BA12,BA34,BA56,BA78,BA100),3)*0.1+SMALL((BA12,BA34,BA56,BA78,BA100),4)*0.1+SMALL((BA12,BA34,BA56,BA78,BA100),5)*0.1</f>
        <v>12.817065326461268</v>
      </c>
      <c r="BB122" s="74">
        <f>SMALL((BB12,BB34,BB56,BB78,BB100),1)*0.4+SMALL((BB12,BB34,BB56,BB78,BB100),2)*0.3+SMALL((BB12,BB34,BB56,BB78,BB100),3)*0.1+SMALL((BB12,BB34,BB56,BB78,BB100),4)*0.1+SMALL((BB12,BB34,BB56,BB78,BB100),5)*0.1</f>
        <v>9.6221668130119369</v>
      </c>
      <c r="BC122" s="454"/>
      <c r="BD122" s="74">
        <f>SMALL((BD12,BD34,BD56,BD78,BD100),1)*0.4+SMALL((BD12,BD34,BD56,BD78,BD100),2)*0.3+SMALL((BD12,BD34,BD56,BD78,BD100),3)*0.1+SMALL((BD12,BD34,BD56,BD78,BD100),4)*0.1+SMALL((BD12,BD34,BD56,BD78,BD100),5)*0.1</f>
        <v>26.120940926117584</v>
      </c>
      <c r="BE122" s="74">
        <f>SMALL((BE12,BE34,BE56,BE78,BE100),1)*0.4+SMALL((BE12,BE34,BE56,BE78,BE100),2)*0.3+SMALL((BE12,BE34,BE56,BE78,BE100),3)*0.1+SMALL((BE12,BE34,BE56,BE78,BE100),4)*0.1+SMALL((BE12,BE34,BE56,BE78,BE100),5)*0.1</f>
        <v>19.730396902629103</v>
      </c>
      <c r="BF122" s="74">
        <f>SMALL((BF12,BF34,BF56,BF78,BF100),1)*0.4+SMALL((BF12,BF34,BF56,BF78,BF100),2)*0.3+SMALL((BF12,BF34,BF56,BF78,BF100),3)*0.1+SMALL((BF12,BF34,BF56,BF78,BF100),4)*0.1+SMALL((BF12,BF34,BF56,BF78,BF100),5)*0.1</f>
        <v>14.263330474528162</v>
      </c>
      <c r="BG122" s="74">
        <f>SMALL((BG12,BG34,BG56,BG78,BG100),1)*0.4+SMALL((BG12,BG34,BG56,BG78,BG100),2)*0.3+SMALL((BG12,BG34,BG56,BG78,BG100),3)*0.1+SMALL((BG12,BG34,BG56,BG78,BG100),4)*0.1+SMALL((BG12,BG34,BG56,BG78,BG100),5)*0.1</f>
        <v>13.164587891246839</v>
      </c>
      <c r="BH122" s="74">
        <f>SMALL((BH12,BH34,BH56,BH78,BH100),1)*0.4+SMALL((BH12,BH34,BH56,BH78,BH100),2)*0.3+SMALL((BH12,BH34,BH56,BH78,BH100),3)*0.1+SMALL((BH12,BH34,BH56,BH78,BH100),4)*0.1+SMALL((BH12,BH34,BH56,BH78,BH100),5)*0.1</f>
        <v>11.234557716710249</v>
      </c>
      <c r="BI122" s="74">
        <f>SMALL((BI12,BI34,BI56,BI78,BI100),1)*0.4+SMALL((BI12,BI34,BI56,BI78,BI100),2)*0.3+SMALL((BI12,BI34,BI56,BI78,BI100),3)*0.1+SMALL((BI12,BI34,BI56,BI78,BI100),4)*0.1+SMALL((BI12,BI34,BI56,BI78,BI100),5)*0.1</f>
        <v>7.7585904589945063</v>
      </c>
      <c r="BJ122" s="74">
        <f>SMALL((BJ12,BJ34,BJ56,BJ78,BJ100),1)*0.4+SMALL((BJ12,BJ34,BJ56,BJ78,BJ100),2)*0.3+SMALL((BJ12,BJ34,BJ56,BJ78,BJ100),3)*0.1+SMALL((BJ12,BJ34,BJ56,BJ78,BJ100),4)*0.1+SMALL((BJ12,BJ34,BJ56,BJ78,BJ100),5)*0.1</f>
        <v>4.801780322878459</v>
      </c>
      <c r="BK122" s="455"/>
      <c r="BL122" s="74">
        <f>SMALL((BL12,BL34,BL56,BL78,BL100),1)*0.4+SMALL((BL12,BL34,BL56,BL78,BL100),2)*0.3+SMALL((BL12,BL34,BL56,BL78,BL100),3)*0.1+SMALL((BL12,BL34,BL56,BL78,BL100),4)*0.1+SMALL((BL12,BL34,BL56,BL78,BL100),5)*0.1</f>
        <v>14.788731237726648</v>
      </c>
      <c r="BM122" s="74">
        <f>SMALL((BM12,BM34,BM56,BM78,BM100),1)*0.4+SMALL((BM12,BM34,BM56,BM78,BM100),2)*0.3+SMALL((BM12,BM34,BM56,BM78,BM100),3)*0.1+SMALL((BM12,BM34,BM56,BM78,BM100),4)*0.1+SMALL((BM12,BM34,BM56,BM78,BM100),5)*0.1</f>
        <v>12.114564999664163</v>
      </c>
      <c r="BN122" s="74">
        <f>SMALL((BN12,BN34,BN56,BN78,BN100),1)*0.4+SMALL((BN12,BN34,BN56,BN78,BN100),2)*0.3+SMALL((BN12,BN34,BN56,BN78,BN100),3)*0.1+SMALL((BN12,BN34,BN56,BN78,BN100),4)*0.1+SMALL((BN12,BN34,BN56,BN78,BN100),5)*0.1</f>
        <v>9.6063230937664859</v>
      </c>
      <c r="BO122" s="74">
        <f>SMALL((BO12,BO34,BO56,BO78,BO100),1)*0.4+SMALL((BO12,BO34,BO56,BO78,BO100),2)*0.3+SMALL((BO12,BO34,BO56,BO78,BO100),3)*0.1+SMALL((BO12,BO34,BO56,BO78,BO100),4)*0.1+SMALL((BO12,BO34,BO56,BO78,BO100),5)*0.1</f>
        <v>8.5847452515294727</v>
      </c>
      <c r="BP122" s="74">
        <f>SMALL((BP12,BP34,BP56,BP78,BP100),1)*0.4+SMALL((BP12,BP34,BP56,BP78,BP100),2)*0.3+SMALL((BP12,BP34,BP56,BP78,BP100),3)*0.1+SMALL((BP12,BP34,BP56,BP78,BP100),4)*0.1+SMALL((BP12,BP34,BP56,BP78,BP100),5)*0.1</f>
        <v>7.6255639605748389</v>
      </c>
      <c r="BQ122" s="74">
        <f>SMALL((BQ12,BQ34,BQ56,BQ78,BQ100),1)*0.4+SMALL((BQ12,BQ34,BQ56,BQ78,BQ100),2)*0.3+SMALL((BQ12,BQ34,BQ56,BQ78,BQ100),3)*0.1+SMALL((BQ12,BQ34,BQ56,BQ78,BQ100),4)*0.1+SMALL((BQ12,BQ34,BQ56,BQ78,BQ100),5)*0.1</f>
        <v>6.6727043464444415</v>
      </c>
      <c r="BR122" s="74">
        <f>SMALL((BR12,BR34,BR56,BR78,BR100),1)*0.4+SMALL((BR12,BR34,BR56,BR78,BR100),2)*0.3+SMALL((BR12,BR34,BR56,BR78,BR100),3)*0.1+SMALL((BR12,BR34,BR56,BR78,BR100),4)*0.1+SMALL((BR12,BR34,BR56,BR78,BR100),5)*0.1</f>
        <v>5.756525540372869</v>
      </c>
      <c r="BS122" s="454"/>
      <c r="BT122" s="74">
        <f>SMALL((BT12,BT34,BT56,BT78,BT100),1)*0.4+SMALL((BT12,BT34,BT56,BT78,BT100),2)*0.3+SMALL((BT12,BT34,BT56,BT78,BT100),3)*0.1+SMALL((BT12,BT34,BT56,BT78,BT100),4)*0.1+SMALL((BT12,BT34,BT56,BT78,BT100),5)*0.1</f>
        <v>0</v>
      </c>
      <c r="BU122" s="74">
        <f>SMALL((BU12,BU34,BU56,BU78,BU100),1)*0.4+SMALL((BU12,BU34,BU56,BU78,BU100),2)*0.3+SMALL((BU12,BU34,BU56,BU78,BU100),3)*0.1+SMALL((BU12,BU34,BU56,BU78,BU100),4)*0.1+SMALL((BU12,BU34,BU56,BU78,BU100),5)*0.1</f>
        <v>0</v>
      </c>
      <c r="BV122" s="74">
        <f>SMALL((BV12,BV34,BV56,BV78,BV100),1)*0.4+SMALL((BV12,BV34,BV56,BV78,BV100),2)*0.3+SMALL((BV12,BV34,BV56,BV78,BV100),3)*0.1+SMALL((BV12,BV34,BV56,BV78,BV100),4)*0.1+SMALL((BV12,BV34,BV56,BV78,BV100),5)*0.1</f>
        <v>0</v>
      </c>
      <c r="BW122" s="74">
        <f>SMALL((BW12,BW34,BW56,BW78,BW100),1)*0.4+SMALL((BW12,BW34,BW56,BW78,BW100),2)*0.3+SMALL((BW12,BW34,BW56,BW78,BW100),3)*0.1+SMALL((BW12,BW34,BW56,BW78,BW100),4)*0.1+SMALL((BW12,BW34,BW56,BW78,BW100),5)*0.1</f>
        <v>0</v>
      </c>
      <c r="BX122" s="74">
        <f>SMALL((BX12,BX34,BX56,BX78,BX100),1)*0.4+SMALL((BX12,BX34,BX56,BX78,BX100),2)*0.3+SMALL((BX12,BX34,BX56,BX78,BX100),3)*0.1+SMALL((BX12,BX34,BX56,BX78,BX100),4)*0.1+SMALL((BX12,BX34,BX56,BX78,BX100),5)*0.1</f>
        <v>0</v>
      </c>
      <c r="BY122" s="74">
        <f>SMALL((BY12,BY34,BY56,BY78,BY100),1)*0.4+SMALL((BY12,BY34,BY56,BY78,BY100),2)*0.3+SMALL((BY12,BY34,BY56,BY78,BY100),3)*0.1+SMALL((BY12,BY34,BY56,BY78,BY100),4)*0.1+SMALL((BY12,BY34,BY56,BY78,BY100),5)*0.1</f>
        <v>0</v>
      </c>
      <c r="BZ122" s="74">
        <f>SMALL((BZ12,BZ34,BZ56,BZ78,BZ100),1)*0.4+SMALL((BZ12,BZ34,BZ56,BZ78,BZ100),2)*0.3+SMALL((BZ12,BZ34,BZ56,BZ78,BZ100),3)*0.1+SMALL((BZ12,BZ34,BZ56,BZ78,BZ100),4)*0.1+SMALL((BZ12,BZ34,BZ56,BZ78,BZ100),5)*0.1</f>
        <v>0</v>
      </c>
    </row>
    <row r="123" spans="1:78" x14ac:dyDescent="0.2">
      <c r="A123" s="452"/>
      <c r="B123" s="453" t="str">
        <f t="shared" si="147"/>
        <v>e-Methane (DAC) - Global - Fuel cost - USD/GJ</v>
      </c>
      <c r="C123" s="453" t="str">
        <f t="shared" si="148"/>
        <v>e-Methane (DAC) - Global</v>
      </c>
      <c r="D123" s="74">
        <f t="shared" si="149"/>
        <v>50</v>
      </c>
      <c r="E123" t="s">
        <v>109</v>
      </c>
      <c r="F123" t="str">
        <f t="shared" si="150"/>
        <v>e-Methane (DAC)</v>
      </c>
      <c r="G123" t="s">
        <v>828</v>
      </c>
      <c r="H123" s="74">
        <f>SMALL((H13,H35,H57,H79,H101),1)*0.4+SMALL((H13,H35,H57,H79,H101),2)*0.3+SMALL((H13,H35,H57,H79,H101),3)*0.1+SMALL((H13,H35,H57,H79,H101),4)*0.1+SMALL((H13,H35,H57,H79,H101),5)*0.1</f>
        <v>72.192957540340814</v>
      </c>
      <c r="I123" s="74">
        <f>SMALL((I13,I35,I57,I79,I101),1)*0.4+SMALL((I13,I35,I57,I79,I101),2)*0.3+SMALL((I13,I35,I57,I79,I101),3)*0.1+SMALL((I13,I35,I57,I79,I101),4)*0.1+SMALL((I13,I35,I57,I79,I101),5)*0.1</f>
        <v>57.477215131515777</v>
      </c>
      <c r="J123" s="74">
        <f>SMALL((J13,J35,J57,J79,J101),1)*0.4+SMALL((J13,J35,J57,J79,J101),2)*0.3+SMALL((J13,J35,J57,J79,J101),3)*0.1+SMALL((J13,J35,J57,J79,J101),4)*0.1+SMALL((J13,J35,J57,J79,J101),5)*0.1</f>
        <v>47.537180182352003</v>
      </c>
      <c r="K123" s="74">
        <f>SMALL((K13,K35,K57,K79,K101),1)*0.4+SMALL((K13,K35,K57,K79,K101),2)*0.3+SMALL((K13,K35,K57,K79,K101),3)*0.1+SMALL((K13,K35,K57,K79,K101),4)*0.1+SMALL((K13,K35,K57,K79,K101),5)*0.1</f>
        <v>42.352917932505143</v>
      </c>
      <c r="L123" s="74">
        <f>SMALL((L13,L35,L57,L79,L101),1)*0.4+SMALL((L13,L35,L57,L79,L101),2)*0.3+SMALL((L13,L35,L57,L79,L101),3)*0.1+SMALL((L13,L35,L57,L79,L101),4)*0.1+SMALL((L13,L35,L57,L79,L101),5)*0.1</f>
        <v>36.975762112859947</v>
      </c>
      <c r="M123" s="74">
        <f>SMALL((M13,M35,M57,M79,M101),1)*0.4+SMALL((M13,M35,M57,M79,M101),2)*0.3+SMALL((M13,M35,M57,M79,M101),3)*0.1+SMALL((M13,M35,M57,M79,M101),4)*0.1+SMALL((M13,M35,M57,M79,M101),5)*0.1</f>
        <v>30.734047181365671</v>
      </c>
      <c r="N123" s="74">
        <f>SMALL((N13,N35,N57,N79,N101),1)*0.4+SMALL((N13,N35,N57,N79,N101),2)*0.3+SMALL((N13,N35,N57,N79,N101),3)*0.1+SMALL((N13,N35,N57,N79,N101),4)*0.1+SMALL((N13,N35,N57,N79,N101),5)*0.1</f>
        <v>25.217903138223299</v>
      </c>
      <c r="O123" s="454"/>
      <c r="P123" s="74">
        <f>SMALL((P13,P35,P57,P79,P101),1)*0.4+SMALL((P13,P35,P57,P79,P101),2)*0.3+SMALL((P13,P35,P57,P79,P101),3)*0.1+SMALL((P13,P35,P57,P79,P101),4)*0.1+SMALL((P13,P35,P57,P79,P101),5)*0.1</f>
        <v>27.375977630606151</v>
      </c>
      <c r="Q123" s="74">
        <f>SMALL((Q13,Q35,Q57,Q79,Q101),1)*0.4+SMALL((Q13,Q35,Q57,Q79,Q101),2)*0.3+SMALL((Q13,Q35,Q57,Q79,Q101),3)*0.1+SMALL((Q13,Q35,Q57,Q79,Q101),4)*0.1+SMALL((Q13,Q35,Q57,Q79,Q101),5)*0.1</f>
        <v>20.982844933679125</v>
      </c>
      <c r="R123" s="74">
        <f>SMALL((R13,R35,R57,R79,R101),1)*0.4+SMALL((R13,R35,R57,R79,R101),2)*0.3+SMALL((R13,R35,R57,R79,R101),3)*0.1+SMALL((R13,R35,R57,R79,R101),4)*0.1+SMALL((R13,R35,R57,R79,R101),5)*0.1</f>
        <v>16.970904101039331</v>
      </c>
      <c r="S123" s="74">
        <f>SMALL((S13,S35,S57,S79,S101),1)*0.4+SMALL((S13,S35,S57,S79,S101),2)*0.3+SMALL((S13,S35,S57,S79,S101),3)*0.1+SMALL((S13,S35,S57,S79,S101),4)*0.1+SMALL((S13,S35,S57,S79,S101),5)*0.1</f>
        <v>14.269965884136887</v>
      </c>
      <c r="T123" s="74">
        <f>SMALL((T13,T35,T57,T79,T101),1)*0.4+SMALL((T13,T35,T57,T79,T101),2)*0.3+SMALL((T13,T35,T57,T79,T101),3)*0.1+SMALL((T13,T35,T57,T79,T101),4)*0.1+SMALL((T13,T35,T57,T79,T101),5)*0.1</f>
        <v>12.482196880761133</v>
      </c>
      <c r="U123" s="74">
        <f>SMALL((U13,U35,U57,U79,U101),1)*0.4+SMALL((U13,U35,U57,U79,U101),2)*0.3+SMALL((U13,U35,U57,U79,U101),3)*0.1+SMALL((U13,U35,U57,U79,U101),4)*0.1+SMALL((U13,U35,U57,U79,U101),5)*0.1</f>
        <v>10.709840969840322</v>
      </c>
      <c r="V123" s="74">
        <f>SMALL((V13,V35,V57,V79,V101),1)*0.4+SMALL((V13,V35,V57,V79,V101),2)*0.3+SMALL((V13,V35,V57,V79,V101),3)*0.1+SMALL((V13,V35,V57,V79,V101),4)*0.1+SMALL((V13,V35,V57,V79,V101),5)*0.1</f>
        <v>9.6471942752925219</v>
      </c>
      <c r="W123"/>
      <c r="X123" s="2">
        <f t="shared" si="151"/>
        <v>-51.979099603897218</v>
      </c>
      <c r="Y123" s="2">
        <f t="shared" si="151"/>
        <v>-51.992799999999995</v>
      </c>
      <c r="Z123" s="2">
        <f t="shared" si="151"/>
        <v>-52.031297247031617</v>
      </c>
      <c r="AA123" s="2">
        <f t="shared" si="151"/>
        <v>-52.133547391447145</v>
      </c>
      <c r="AB123" s="2">
        <f t="shared" si="151"/>
        <v>-52.256340051203011</v>
      </c>
      <c r="AC123" s="2">
        <f t="shared" si="151"/>
        <v>-52.419816641064365</v>
      </c>
      <c r="AD123" s="2">
        <f t="shared" si="151"/>
        <v>-52.548595000000006</v>
      </c>
      <c r="AE123"/>
      <c r="AF123" s="2">
        <f t="shared" si="152"/>
        <v>72.985200000000006</v>
      </c>
      <c r="AG123" s="2">
        <f t="shared" si="152"/>
        <v>72.985200000000006</v>
      </c>
      <c r="AH123" s="2">
        <f t="shared" si="152"/>
        <v>72.985200000000006</v>
      </c>
      <c r="AI123" s="2">
        <f t="shared" si="152"/>
        <v>72.985200000000006</v>
      </c>
      <c r="AJ123" s="2">
        <f t="shared" si="152"/>
        <v>72.985200000000006</v>
      </c>
      <c r="AK123" s="2">
        <f t="shared" si="152"/>
        <v>72.985200000000006</v>
      </c>
      <c r="AL123" s="2">
        <f t="shared" si="152"/>
        <v>72.985200000000006</v>
      </c>
      <c r="AM123"/>
      <c r="AN123" s="2">
        <f t="shared" si="153"/>
        <v>21.006100396102788</v>
      </c>
      <c r="AO123" s="2">
        <f t="shared" si="153"/>
        <v>20.992400000000011</v>
      </c>
      <c r="AP123" s="2">
        <f t="shared" si="153"/>
        <v>20.953902752968389</v>
      </c>
      <c r="AQ123" s="2">
        <f t="shared" si="153"/>
        <v>20.851652608552861</v>
      </c>
      <c r="AR123" s="2">
        <f t="shared" si="153"/>
        <v>20.728859948796995</v>
      </c>
      <c r="AS123" s="2">
        <f t="shared" si="153"/>
        <v>20.565383358935641</v>
      </c>
      <c r="AT123" s="2">
        <f t="shared" si="153"/>
        <v>20.436605</v>
      </c>
      <c r="AU123"/>
      <c r="AV123" s="74">
        <f>SMALL((AV13,AV35,AV57,AV79,AV101),1)*0.4+SMALL((AV13,AV35,AV57,AV79,AV101),2)*0.3+SMALL((AV13,AV35,AV57,AV79,AV101),3)*0.1+SMALL((AV13,AV35,AV57,AV79,AV101),4)*0.1+SMALL((AV13,AV35,AV57,AV79,AV101),5)*0.1</f>
        <v>15.595386966043165</v>
      </c>
      <c r="AW123" s="74">
        <f>SMALL((AW13,AW35,AW57,AW79,AW101),1)*0.4+SMALL((AW13,AW35,AW57,AW79,AW101),2)*0.3+SMALL((AW13,AW35,AW57,AW79,AW101),3)*0.1+SMALL((AW13,AW35,AW57,AW79,AW101),4)*0.1+SMALL((AW13,AW35,AW57,AW79,AW101),5)*0.1</f>
        <v>13.389509301538988</v>
      </c>
      <c r="AX123" s="74">
        <f>SMALL((AX13,AX35,AX57,AX79,AX101),1)*0.4+SMALL((AX13,AX35,AX57,AX79,AX101),2)*0.3+SMALL((AX13,AX35,AX57,AX79,AX101),3)*0.1+SMALL((AX13,AX35,AX57,AX79,AX101),4)*0.1+SMALL((AX13,AX35,AX57,AX79,AX101),5)*0.1</f>
        <v>11.946528817654448</v>
      </c>
      <c r="AY123" s="74">
        <f>SMALL((AY13,AY35,AY57,AY79,AY101),1)*0.4+SMALL((AY13,AY35,AY57,AY79,AY101),2)*0.3+SMALL((AY13,AY35,AY57,AY79,AY101),3)*0.1+SMALL((AY13,AY35,AY57,AY79,AY101),4)*0.1+SMALL((AY13,AY35,AY57,AY79,AY101),5)*0.1</f>
        <v>12.004830558018893</v>
      </c>
      <c r="AZ123" s="74">
        <f>SMALL((AZ13,AZ35,AZ57,AZ79,AZ101),1)*0.4+SMALL((AZ13,AZ35,AZ57,AZ79,AZ101),2)*0.3+SMALL((AZ13,AZ35,AZ57,AZ79,AZ101),3)*0.1+SMALL((AZ13,AZ35,AZ57,AZ79,AZ101),4)*0.1+SMALL((AZ13,AZ35,AZ57,AZ79,AZ101),5)*0.1</f>
        <v>11.225216153959131</v>
      </c>
      <c r="BA123" s="74">
        <f>SMALL((BA13,BA35,BA57,BA79,BA101),1)*0.4+SMALL((BA13,BA35,BA57,BA79,BA101),2)*0.3+SMALL((BA13,BA35,BA57,BA79,BA101),3)*0.1+SMALL((BA13,BA35,BA57,BA79,BA101),4)*0.1+SMALL((BA13,BA35,BA57,BA79,BA101),5)*0.1</f>
        <v>9.6447467434717868</v>
      </c>
      <c r="BB123" s="74">
        <f>SMALL((BB13,BB35,BB57,BB79,BB101),1)*0.4+SMALL((BB13,BB35,BB57,BB79,BB101),2)*0.3+SMALL((BB13,BB35,BB57,BB79,BB101),3)*0.1+SMALL((BB13,BB35,BB57,BB79,BB101),4)*0.1+SMALL((BB13,BB35,BB57,BB79,BB101),5)*0.1</f>
        <v>7.6262097074243211</v>
      </c>
      <c r="BC123" s="454"/>
      <c r="BD123" s="74">
        <f>SMALL((BD13,BD35,BD57,BD79,BD101),1)*0.4+SMALL((BD13,BD35,BD57,BD79,BD101),2)*0.3+SMALL((BD13,BD35,BD57,BD79,BD101),3)*0.1+SMALL((BD13,BD35,BD57,BD79,BD101),4)*0.1+SMALL((BD13,BD35,BD57,BD79,BD101),5)*0.1</f>
        <v>13.165295490445089</v>
      </c>
      <c r="BE123" s="74">
        <f>SMALL((BE13,BE35,BE57,BE79,BE101),1)*0.4+SMALL((BE13,BE35,BE57,BE79,BE101),2)*0.3+SMALL((BE13,BE35,BE57,BE79,BE101),3)*0.1+SMALL((BE13,BE35,BE57,BE79,BE101),4)*0.1+SMALL((BE13,BE35,BE57,BE79,BE101),5)*0.1</f>
        <v>10.704413414557971</v>
      </c>
      <c r="BF123" s="74">
        <f>SMALL((BF13,BF35,BF57,BF79,BF101),1)*0.4+SMALL((BF13,BF35,BF57,BF79,BF101),2)*0.3+SMALL((BF13,BF35,BF57,BF79,BF101),3)*0.1+SMALL((BF13,BF35,BF57,BF79,BF101),4)*0.1+SMALL((BF13,BF35,BF57,BF79,BF101),5)*0.1</f>
        <v>8.7119604445450332</v>
      </c>
      <c r="BG123" s="74">
        <f>SMALL((BG13,BG35,BG57,BG79,BG101),1)*0.4+SMALL((BG13,BG35,BG57,BG79,BG101),2)*0.3+SMALL((BG13,BG35,BG57,BG79,BG101),3)*0.1+SMALL((BG13,BG35,BG57,BG79,BG101),4)*0.1+SMALL((BG13,BG35,BG57,BG79,BG101),5)*0.1</f>
        <v>7.9202602235402004</v>
      </c>
      <c r="BH123" s="74">
        <f>SMALL((BH13,BH35,BH57,BH79,BH101),1)*0.4+SMALL((BH13,BH35,BH57,BH79,BH101),2)*0.3+SMALL((BH13,BH35,BH57,BH79,BH101),3)*0.1+SMALL((BH13,BH35,BH57,BH79,BH101),4)*0.1+SMALL((BH13,BH35,BH57,BH79,BH101),5)*0.1</f>
        <v>6.3937427252283374</v>
      </c>
      <c r="BI123" s="74">
        <f>SMALL((BI13,BI35,BI57,BI79,BI101),1)*0.4+SMALL((BI13,BI35,BI57,BI79,BI101),2)*0.3+SMALL((BI13,BI35,BI57,BI79,BI101),3)*0.1+SMALL((BI13,BI35,BI57,BI79,BI101),4)*0.1+SMALL((BI13,BI35,BI57,BI79,BI101),5)*0.1</f>
        <v>4.5815168169980272</v>
      </c>
      <c r="BJ123" s="74">
        <f>SMALL((BJ13,BJ35,BJ57,BJ79,BJ101),1)*0.4+SMALL((BJ13,BJ35,BJ57,BJ79,BJ101),2)*0.3+SMALL((BJ13,BJ35,BJ57,BJ79,BJ101),3)*0.1+SMALL((BJ13,BJ35,BJ57,BJ79,BJ101),4)*0.1+SMALL((BJ13,BJ35,BJ57,BJ79,BJ101),5)*0.1</f>
        <v>2.9657187069643922</v>
      </c>
      <c r="BK123" s="455"/>
      <c r="BL123" s="74">
        <f>SMALL((BL13,BL35,BL57,BL79,BL101),1)*0.4+SMALL((BL13,BL35,BL57,BL79,BL101),2)*0.3+SMALL((BL13,BL35,BL57,BL79,BL101),3)*0.1+SMALL((BL13,BL35,BL57,BL79,BL101),4)*0.1+SMALL((BL13,BL35,BL57,BL79,BL101),5)*0.1</f>
        <v>16.056297453246419</v>
      </c>
      <c r="BM123" s="74">
        <f>SMALL((BM13,BM35,BM57,BM79,BM101),1)*0.4+SMALL((BM13,BM35,BM57,BM79,BM101),2)*0.3+SMALL((BM13,BM35,BM57,BM79,BM101),3)*0.1+SMALL((BM13,BM35,BM57,BM79,BM101),4)*0.1+SMALL((BM13,BM35,BM57,BM79,BM101),5)*0.1</f>
        <v>12.400447481739702</v>
      </c>
      <c r="BN123" s="74">
        <f>SMALL((BN13,BN35,BN57,BN79,BN101),1)*0.4+SMALL((BN13,BN35,BN57,BN79,BN101),2)*0.3+SMALL((BN13,BN35,BN57,BN79,BN101),3)*0.1+SMALL((BN13,BN35,BN57,BN79,BN101),4)*0.1+SMALL((BN13,BN35,BN57,BN79,BN101),5)*0.1</f>
        <v>9.9077868191131948</v>
      </c>
      <c r="BO123" s="74">
        <f>SMALL((BO13,BO35,BO57,BO79,BO101),1)*0.4+SMALL((BO13,BO35,BO57,BO79,BO101),2)*0.3+SMALL((BO13,BO35,BO57,BO79,BO101),3)*0.1+SMALL((BO13,BO35,BO57,BO79,BO101),4)*0.1+SMALL((BO13,BO35,BO57,BO79,BO101),5)*0.1</f>
        <v>8.1578612668091637</v>
      </c>
      <c r="BP123" s="74">
        <f>SMALL((BP13,BP35,BP57,BP79,BP101),1)*0.4+SMALL((BP13,BP35,BP57,BP79,BP101),2)*0.3+SMALL((BP13,BP35,BP57,BP79,BP101),3)*0.1+SMALL((BP13,BP35,BP57,BP79,BP101),4)*0.1+SMALL((BP13,BP35,BP57,BP79,BP101),5)*0.1</f>
        <v>6.8746063529113446</v>
      </c>
      <c r="BQ123" s="74">
        <f>SMALL((BQ13,BQ35,BQ57,BQ79,BQ101),1)*0.4+SMALL((BQ13,BQ35,BQ57,BQ79,BQ101),2)*0.3+SMALL((BQ13,BQ35,BQ57,BQ79,BQ101),3)*0.1+SMALL((BQ13,BQ35,BQ57,BQ79,BQ101),4)*0.1+SMALL((BQ13,BQ35,BQ57,BQ79,BQ101),5)*0.1</f>
        <v>5.7979426510555321</v>
      </c>
      <c r="BR123" s="74">
        <f>SMALL((BR13,BR35,BR57,BR79,BR101),1)*0.4+SMALL((BR13,BR35,BR57,BR79,BR101),2)*0.3+SMALL((BR13,BR35,BR57,BR79,BR101),3)*0.1+SMALL((BR13,BR35,BR57,BR79,BR101),4)*0.1+SMALL((BR13,BR35,BR57,BR79,BR101),5)*0.1</f>
        <v>4.978780448542059</v>
      </c>
      <c r="BS123" s="454"/>
      <c r="BT123" s="74">
        <f>SMALL((BT13,BT35,BT57,BT79,BT101),1)*0.4+SMALL((BT13,BT35,BT57,BT79,BT101),2)*0.3+SMALL((BT13,BT35,BT57,BT79,BT101),3)*0.1+SMALL((BT13,BT35,BT57,BT79,BT101),4)*0.1+SMALL((BT13,BT35,BT57,BT79,BT101),5)*0.1</f>
        <v>0</v>
      </c>
      <c r="BU123" s="74">
        <f>SMALL((BU13,BU35,BU57,BU79,BU101),1)*0.4+SMALL((BU13,BU35,BU57,BU79,BU101),2)*0.3+SMALL((BU13,BU35,BU57,BU79,BU101),3)*0.1+SMALL((BU13,BU35,BU57,BU79,BU101),4)*0.1+SMALL((BU13,BU35,BU57,BU79,BU101),5)*0.1</f>
        <v>0</v>
      </c>
      <c r="BV123" s="74">
        <f>SMALL((BV13,BV35,BV57,BV79,BV101),1)*0.4+SMALL((BV13,BV35,BV57,BV79,BV101),2)*0.3+SMALL((BV13,BV35,BV57,BV79,BV101),3)*0.1+SMALL((BV13,BV35,BV57,BV79,BV101),4)*0.1+SMALL((BV13,BV35,BV57,BV79,BV101),5)*0.1</f>
        <v>0</v>
      </c>
      <c r="BW123" s="74">
        <f>SMALL((BW13,BW35,BW57,BW79,BW101),1)*0.4+SMALL((BW13,BW35,BW57,BW79,BW101),2)*0.3+SMALL((BW13,BW35,BW57,BW79,BW101),3)*0.1+SMALL((BW13,BW35,BW57,BW79,BW101),4)*0.1+SMALL((BW13,BW35,BW57,BW79,BW101),5)*0.1</f>
        <v>0</v>
      </c>
      <c r="BX123" s="74">
        <f>SMALL((BX13,BX35,BX57,BX79,BX101),1)*0.4+SMALL((BX13,BX35,BX57,BX79,BX101),2)*0.3+SMALL((BX13,BX35,BX57,BX79,BX101),3)*0.1+SMALL((BX13,BX35,BX57,BX79,BX101),4)*0.1+SMALL((BX13,BX35,BX57,BX79,BX101),5)*0.1</f>
        <v>0</v>
      </c>
      <c r="BY123" s="74">
        <f>SMALL((BY13,BY35,BY57,BY79,BY101),1)*0.4+SMALL((BY13,BY35,BY57,BY79,BY101),2)*0.3+SMALL((BY13,BY35,BY57,BY79,BY101),3)*0.1+SMALL((BY13,BY35,BY57,BY79,BY101),4)*0.1+SMALL((BY13,BY35,BY57,BY79,BY101),5)*0.1</f>
        <v>0</v>
      </c>
      <c r="BZ123" s="74">
        <f>SMALL((BZ13,BZ35,BZ57,BZ79,BZ101),1)*0.4+SMALL((BZ13,BZ35,BZ57,BZ79,BZ101),2)*0.3+SMALL((BZ13,BZ35,BZ57,BZ79,BZ101),3)*0.1+SMALL((BZ13,BZ35,BZ57,BZ79,BZ101),4)*0.1+SMALL((BZ13,BZ35,BZ57,BZ79,BZ101),5)*0.1</f>
        <v>0</v>
      </c>
    </row>
    <row r="124" spans="1:78" x14ac:dyDescent="0.2">
      <c r="A124" s="452"/>
      <c r="B124" s="453" t="str">
        <f t="shared" si="147"/>
        <v>e-Methane (PS) - Global - Fuel cost - USD/GJ</v>
      </c>
      <c r="C124" s="453" t="str">
        <f t="shared" si="148"/>
        <v>e-Methane (PS) - Global</v>
      </c>
      <c r="D124" s="74">
        <f t="shared" si="149"/>
        <v>50</v>
      </c>
      <c r="E124" t="s">
        <v>109</v>
      </c>
      <c r="F124" t="str">
        <f t="shared" si="150"/>
        <v>e-Methane (PS)</v>
      </c>
      <c r="G124" t="s">
        <v>828</v>
      </c>
      <c r="H124" s="74">
        <f>SMALL((H14,H36,H58,H80,H102),1)*0.4+SMALL((H14,H36,H58,H80,H102),2)*0.3+SMALL((H14,H36,H58,H80,H102),3)*0.1+SMALL((H14,H36,H58,H80,H102),4)*0.1+SMALL((H14,H36,H58,H80,H102),5)*0.1</f>
        <v>66.093061543930887</v>
      </c>
      <c r="I124" s="74">
        <f>SMALL((I14,I36,I58,I80,I102),1)*0.4+SMALL((I14,I36,I58,I80,I102),2)*0.3+SMALL((I14,I36,I58,I80,I102),3)*0.1+SMALL((I14,I36,I58,I80,I102),4)*0.1+SMALL((I14,I36,I58,I80,I102),5)*0.1</f>
        <v>53.232806911879678</v>
      </c>
      <c r="J124" s="74">
        <f>SMALL((J14,J36,J58,J80,J102),1)*0.4+SMALL((J14,J36,J58,J80,J102),2)*0.3+SMALL((J14,J36,J58,J80,J102),3)*0.1+SMALL((J14,J36,J58,J80,J102),4)*0.1+SMALL((J14,J36,J58,J80,J102),5)*0.1</f>
        <v>44.096777732333699</v>
      </c>
      <c r="K124" s="74">
        <f>SMALL((K14,K36,K58,K80,K102),1)*0.4+SMALL((K14,K36,K58,K80,K102),2)*0.3+SMALL((K14,K36,K58,K80,K102),3)*0.1+SMALL((K14,K36,K58,K80,K102),4)*0.1+SMALL((K14,K36,K58,K80,K102),5)*0.1</f>
        <v>39.97467147882157</v>
      </c>
      <c r="L124" s="74">
        <f>SMALL((L14,L36,L58,L80,L102),1)*0.4+SMALL((L14,L36,L58,L80,L102),2)*0.3+SMALL((L14,L36,L58,L80,L102),3)*0.1+SMALL((L14,L36,L58,L80,L102),4)*0.1+SMALL((L14,L36,L58,L80,L102),5)*0.1</f>
        <v>35.235009023343103</v>
      </c>
      <c r="M124" s="74">
        <f>SMALL((M14,M36,M58,M80,M102),1)*0.4+SMALL((M14,M36,M58,M80,M102),2)*0.3+SMALL((M14,M36,M58,M80,M102),3)*0.1+SMALL((M14,M36,M58,M80,M102),4)*0.1+SMALL((M14,M36,M58,M80,M102),5)*0.1</f>
        <v>29.428452265083852</v>
      </c>
      <c r="N124" s="74">
        <f>SMALL((N14,N36,N58,N80,N102),1)*0.4+SMALL((N14,N36,N58,N80,N102),2)*0.3+SMALL((N14,N36,N58,N80,N102),3)*0.1+SMALL((N14,N36,N58,N80,N102),4)*0.1+SMALL((N14,N36,N58,N80,N102),5)*0.1</f>
        <v>24.114659972438382</v>
      </c>
      <c r="O124" s="454"/>
      <c r="P124" s="74">
        <f>SMALL((P14,P36,P58,P80,P102),1)*0.4+SMALL((P14,P36,P58,P80,P102),2)*0.3+SMALL((P14,P36,P58,P80,P102),3)*0.1+SMALL((P14,P36,P58,P80,P102),4)*0.1+SMALL((P14,P36,P58,P80,P102),5)*0.1</f>
        <v>27.375977630606151</v>
      </c>
      <c r="Q124" s="74">
        <f>SMALL((Q14,Q36,Q58,Q80,Q102),1)*0.4+SMALL((Q14,Q36,Q58,Q80,Q102),2)*0.3+SMALL((Q14,Q36,Q58,Q80,Q102),3)*0.1+SMALL((Q14,Q36,Q58,Q80,Q102),4)*0.1+SMALL((Q14,Q36,Q58,Q80,Q102),5)*0.1</f>
        <v>20.982844933679125</v>
      </c>
      <c r="R124" s="74">
        <f>SMALL((R14,R36,R58,R80,R102),1)*0.4+SMALL((R14,R36,R58,R80,R102),2)*0.3+SMALL((R14,R36,R58,R80,R102),3)*0.1+SMALL((R14,R36,R58,R80,R102),4)*0.1+SMALL((R14,R36,R58,R80,R102),5)*0.1</f>
        <v>16.970904101039331</v>
      </c>
      <c r="S124" s="74">
        <f>SMALL((S14,S36,S58,S80,S102),1)*0.4+SMALL((S14,S36,S58,S80,S102),2)*0.3+SMALL((S14,S36,S58,S80,S102),3)*0.1+SMALL((S14,S36,S58,S80,S102),4)*0.1+SMALL((S14,S36,S58,S80,S102),5)*0.1</f>
        <v>14.269965884136887</v>
      </c>
      <c r="T124" s="74">
        <f>SMALL((T14,T36,T58,T80,T102),1)*0.4+SMALL((T14,T36,T58,T80,T102),2)*0.3+SMALL((T14,T36,T58,T80,T102),3)*0.1+SMALL((T14,T36,T58,T80,T102),4)*0.1+SMALL((T14,T36,T58,T80,T102),5)*0.1</f>
        <v>12.482196880761133</v>
      </c>
      <c r="U124" s="74">
        <f>SMALL((U14,U36,U58,U80,U102),1)*0.4+SMALL((U14,U36,U58,U80,U102),2)*0.3+SMALL((U14,U36,U58,U80,U102),3)*0.1+SMALL((U14,U36,U58,U80,U102),4)*0.1+SMALL((U14,U36,U58,U80,U102),5)*0.1</f>
        <v>10.709840969840322</v>
      </c>
      <c r="V124" s="74">
        <f>SMALL((V14,V36,V58,V80,V102),1)*0.4+SMALL((V14,V36,V58,V80,V102),2)*0.3+SMALL((V14,V36,V58,V80,V102),3)*0.1+SMALL((V14,V36,V58,V80,V102),4)*0.1+SMALL((V14,V36,V58,V80,V102),5)*0.1</f>
        <v>9.6471942752925219</v>
      </c>
      <c r="W124"/>
      <c r="X124" s="2">
        <f t="shared" si="151"/>
        <v>-51.979099603897218</v>
      </c>
      <c r="Y124" s="2">
        <f t="shared" si="151"/>
        <v>-51.992799999999995</v>
      </c>
      <c r="Z124" s="2">
        <f t="shared" si="151"/>
        <v>-52.031297247031617</v>
      </c>
      <c r="AA124" s="2">
        <f t="shared" si="151"/>
        <v>-52.133547391447145</v>
      </c>
      <c r="AB124" s="2">
        <f t="shared" si="151"/>
        <v>-52.256340051203011</v>
      </c>
      <c r="AC124" s="2">
        <f t="shared" si="151"/>
        <v>-52.419816641064365</v>
      </c>
      <c r="AD124" s="2">
        <f t="shared" si="151"/>
        <v>-52.548595000000006</v>
      </c>
      <c r="AE124"/>
      <c r="AF124" s="2">
        <f t="shared" si="152"/>
        <v>72.985200000000006</v>
      </c>
      <c r="AG124" s="2">
        <f t="shared" si="152"/>
        <v>72.985200000000006</v>
      </c>
      <c r="AH124" s="2">
        <f t="shared" si="152"/>
        <v>72.985200000000006</v>
      </c>
      <c r="AI124" s="2">
        <f t="shared" si="152"/>
        <v>72.985200000000006</v>
      </c>
      <c r="AJ124" s="2">
        <f t="shared" si="152"/>
        <v>72.985200000000006</v>
      </c>
      <c r="AK124" s="2">
        <f t="shared" si="152"/>
        <v>72.985200000000006</v>
      </c>
      <c r="AL124" s="2">
        <f t="shared" si="152"/>
        <v>72.985200000000006</v>
      </c>
      <c r="AM124"/>
      <c r="AN124" s="2">
        <f t="shared" si="153"/>
        <v>21.006100396102788</v>
      </c>
      <c r="AO124" s="2">
        <f t="shared" si="153"/>
        <v>20.992400000000011</v>
      </c>
      <c r="AP124" s="2">
        <f t="shared" si="153"/>
        <v>20.953902752968389</v>
      </c>
      <c r="AQ124" s="2">
        <f t="shared" si="153"/>
        <v>20.851652608552861</v>
      </c>
      <c r="AR124" s="2">
        <f t="shared" si="153"/>
        <v>20.728859948796995</v>
      </c>
      <c r="AS124" s="2">
        <f t="shared" si="153"/>
        <v>20.565383358935641</v>
      </c>
      <c r="AT124" s="2">
        <f t="shared" si="153"/>
        <v>20.436605</v>
      </c>
      <c r="AU124"/>
      <c r="AV124" s="74">
        <f>SMALL((AV14,AV36,AV58,AV80,AV102),1)*0.4+SMALL((AV14,AV36,AV58,AV80,AV102),2)*0.3+SMALL((AV14,AV36,AV58,AV80,AV102),3)*0.1+SMALL((AV14,AV36,AV58,AV80,AV102),4)*0.1+SMALL((AV14,AV36,AV58,AV80,AV102),5)*0.1</f>
        <v>15.595386966043165</v>
      </c>
      <c r="AW124" s="74">
        <f>SMALL((AW14,AW36,AW58,AW80,AW102),1)*0.4+SMALL((AW14,AW36,AW58,AW80,AW102),2)*0.3+SMALL((AW14,AW36,AW58,AW80,AW102),3)*0.1+SMALL((AW14,AW36,AW58,AW80,AW102),4)*0.1+SMALL((AW14,AW36,AW58,AW80,AW102),5)*0.1</f>
        <v>13.389509301538988</v>
      </c>
      <c r="AX124" s="74">
        <f>SMALL((AX14,AX36,AX58,AX80,AX102),1)*0.4+SMALL((AX14,AX36,AX58,AX80,AX102),2)*0.3+SMALL((AX14,AX36,AX58,AX80,AX102),3)*0.1+SMALL((AX14,AX36,AX58,AX80,AX102),4)*0.1+SMALL((AX14,AX36,AX58,AX80,AX102),5)*0.1</f>
        <v>11.946528817654448</v>
      </c>
      <c r="AY124" s="74">
        <f>SMALL((AY14,AY36,AY58,AY80,AY102),1)*0.4+SMALL((AY14,AY36,AY58,AY80,AY102),2)*0.3+SMALL((AY14,AY36,AY58,AY80,AY102),3)*0.1+SMALL((AY14,AY36,AY58,AY80,AY102),4)*0.1+SMALL((AY14,AY36,AY58,AY80,AY102),5)*0.1</f>
        <v>12.004830558018893</v>
      </c>
      <c r="AZ124" s="74">
        <f>SMALL((AZ14,AZ36,AZ58,AZ80,AZ102),1)*0.4+SMALL((AZ14,AZ36,AZ58,AZ80,AZ102),2)*0.3+SMALL((AZ14,AZ36,AZ58,AZ80,AZ102),3)*0.1+SMALL((AZ14,AZ36,AZ58,AZ80,AZ102),4)*0.1+SMALL((AZ14,AZ36,AZ58,AZ80,AZ102),5)*0.1</f>
        <v>11.225216153959131</v>
      </c>
      <c r="BA124" s="74">
        <f>SMALL((BA14,BA36,BA58,BA80,BA102),1)*0.4+SMALL((BA14,BA36,BA58,BA80,BA102),2)*0.3+SMALL((BA14,BA36,BA58,BA80,BA102),3)*0.1+SMALL((BA14,BA36,BA58,BA80,BA102),4)*0.1+SMALL((BA14,BA36,BA58,BA80,BA102),5)*0.1</f>
        <v>9.6447467434717868</v>
      </c>
      <c r="BB124" s="74">
        <f>SMALL((BB14,BB36,BB58,BB80,BB102),1)*0.4+SMALL((BB14,BB36,BB58,BB80,BB102),2)*0.3+SMALL((BB14,BB36,BB58,BB80,BB102),3)*0.1+SMALL((BB14,BB36,BB58,BB80,BB102),4)*0.1+SMALL((BB14,BB36,BB58,BB80,BB102),5)*0.1</f>
        <v>7.6262097074243211</v>
      </c>
      <c r="BC124" s="454"/>
      <c r="BD124" s="74">
        <f>SMALL((BD14,BD36,BD58,BD80,BD102),1)*0.4+SMALL((BD14,BD36,BD58,BD80,BD102),2)*0.3+SMALL((BD14,BD36,BD58,BD80,BD102),3)*0.1+SMALL((BD14,BD36,BD58,BD80,BD102),4)*0.1+SMALL((BD14,BD36,BD58,BD80,BD102),5)*0.1</f>
        <v>13.165295490445089</v>
      </c>
      <c r="BE124" s="74">
        <f>SMALL((BE14,BE36,BE58,BE80,BE102),1)*0.4+SMALL((BE14,BE36,BE58,BE80,BE102),2)*0.3+SMALL((BE14,BE36,BE58,BE80,BE102),3)*0.1+SMALL((BE14,BE36,BE58,BE80,BE102),4)*0.1+SMALL((BE14,BE36,BE58,BE80,BE102),5)*0.1</f>
        <v>10.704413414557971</v>
      </c>
      <c r="BF124" s="74">
        <f>SMALL((BF14,BF36,BF58,BF80,BF102),1)*0.4+SMALL((BF14,BF36,BF58,BF80,BF102),2)*0.3+SMALL((BF14,BF36,BF58,BF80,BF102),3)*0.1+SMALL((BF14,BF36,BF58,BF80,BF102),4)*0.1+SMALL((BF14,BF36,BF58,BF80,BF102),5)*0.1</f>
        <v>8.7119604445450332</v>
      </c>
      <c r="BG124" s="74">
        <f>SMALL((BG14,BG36,BG58,BG80,BG102),1)*0.4+SMALL((BG14,BG36,BG58,BG80,BG102),2)*0.3+SMALL((BG14,BG36,BG58,BG80,BG102),3)*0.1+SMALL((BG14,BG36,BG58,BG80,BG102),4)*0.1+SMALL((BG14,BG36,BG58,BG80,BG102),5)*0.1</f>
        <v>7.9202602235402004</v>
      </c>
      <c r="BH124" s="74">
        <f>SMALL((BH14,BH36,BH58,BH80,BH102),1)*0.4+SMALL((BH14,BH36,BH58,BH80,BH102),2)*0.3+SMALL((BH14,BH36,BH58,BH80,BH102),3)*0.1+SMALL((BH14,BH36,BH58,BH80,BH102),4)*0.1+SMALL((BH14,BH36,BH58,BH80,BH102),5)*0.1</f>
        <v>6.3937427252283374</v>
      </c>
      <c r="BI124" s="74">
        <f>SMALL((BI14,BI36,BI58,BI80,BI102),1)*0.4+SMALL((BI14,BI36,BI58,BI80,BI102),2)*0.3+SMALL((BI14,BI36,BI58,BI80,BI102),3)*0.1+SMALL((BI14,BI36,BI58,BI80,BI102),4)*0.1+SMALL((BI14,BI36,BI58,BI80,BI102),5)*0.1</f>
        <v>4.5815168169980272</v>
      </c>
      <c r="BJ124" s="74">
        <f>SMALL((BJ14,BJ36,BJ58,BJ80,BJ102),1)*0.4+SMALL((BJ14,BJ36,BJ58,BJ80,BJ102),2)*0.3+SMALL((BJ14,BJ36,BJ58,BJ80,BJ102),3)*0.1+SMALL((BJ14,BJ36,BJ58,BJ80,BJ102),4)*0.1+SMALL((BJ14,BJ36,BJ58,BJ80,BJ102),5)*0.1</f>
        <v>2.9657187069643922</v>
      </c>
      <c r="BK124" s="455"/>
      <c r="BL124" s="74">
        <f>SMALL((BL14,BL36,BL58,BL80,BL102),1)*0.4+SMALL((BL14,BL36,BL58,BL80,BL102),2)*0.3+SMALL((BL14,BL36,BL58,BL80,BL102),3)*0.1+SMALL((BL14,BL36,BL58,BL80,BL102),4)*0.1+SMALL((BL14,BL36,BL58,BL80,BL102),5)*0.1</f>
        <v>9.9564014568364829</v>
      </c>
      <c r="BM124" s="74">
        <f>SMALL((BM14,BM36,BM58,BM80,BM102),1)*0.4+SMALL((BM14,BM36,BM58,BM80,BM102),2)*0.3+SMALL((BM14,BM36,BM58,BM80,BM102),3)*0.1+SMALL((BM14,BM36,BM58,BM80,BM102),4)*0.1+SMALL((BM14,BM36,BM58,BM80,BM102),5)*0.1</f>
        <v>8.1560392621036026</v>
      </c>
      <c r="BN124" s="74">
        <f>SMALL((BN14,BN36,BN58,BN80,BN102),1)*0.4+SMALL((BN14,BN36,BN58,BN80,BN102),2)*0.3+SMALL((BN14,BN36,BN58,BN80,BN102),3)*0.1+SMALL((BN14,BN36,BN58,BN80,BN102),4)*0.1+SMALL((BN14,BN36,BN58,BN80,BN102),5)*0.1</f>
        <v>6.4673843690948853</v>
      </c>
      <c r="BO124" s="74">
        <f>SMALL((BO14,BO36,BO58,BO80,BO102),1)*0.4+SMALL((BO14,BO36,BO58,BO80,BO102),2)*0.3+SMALL((BO14,BO36,BO58,BO80,BO102),3)*0.1+SMALL((BO14,BO36,BO58,BO80,BO102),4)*0.1+SMALL((BO14,BO36,BO58,BO80,BO102),5)*0.1</f>
        <v>5.7796148131255931</v>
      </c>
      <c r="BP124" s="74">
        <f>SMALL((BP14,BP36,BP58,BP80,BP102),1)*0.4+SMALL((BP14,BP36,BP58,BP80,BP102),2)*0.3+SMALL((BP14,BP36,BP58,BP80,BP102),3)*0.1+SMALL((BP14,BP36,BP58,BP80,BP102),4)*0.1+SMALL((BP14,BP36,BP58,BP80,BP102),5)*0.1</f>
        <v>5.1338532633944993</v>
      </c>
      <c r="BQ124" s="74">
        <f>SMALL((BQ14,BQ36,BQ58,BQ80,BQ102),1)*0.4+SMALL((BQ14,BQ36,BQ58,BQ80,BQ102),2)*0.3+SMALL((BQ14,BQ36,BQ58,BQ80,BQ102),3)*0.1+SMALL((BQ14,BQ36,BQ58,BQ80,BQ102),4)*0.1+SMALL((BQ14,BQ36,BQ58,BQ80,BQ102),5)*0.1</f>
        <v>4.4923477347737135</v>
      </c>
      <c r="BR124" s="74">
        <f>SMALL((BR14,BR36,BR58,BR80,BR102),1)*0.4+SMALL((BR14,BR36,BR58,BR80,BR102),2)*0.3+SMALL((BR14,BR36,BR58,BR80,BR102),3)*0.1+SMALL((BR14,BR36,BR58,BR80,BR102),4)*0.1+SMALL((BR14,BR36,BR58,BR80,BR102),5)*0.1</f>
        <v>3.8755372827571462</v>
      </c>
      <c r="BS124" s="454"/>
      <c r="BT124" s="74">
        <f>SMALL((BT14,BT36,BT58,BT80,BT102),1)*0.4+SMALL((BT14,BT36,BT58,BT80,BT102),2)*0.3+SMALL((BT14,BT36,BT58,BT80,BT102),3)*0.1+SMALL((BT14,BT36,BT58,BT80,BT102),4)*0.1+SMALL((BT14,BT36,BT58,BT80,BT102),5)*0.1</f>
        <v>0</v>
      </c>
      <c r="BU124" s="74">
        <f>SMALL((BU14,BU36,BU58,BU80,BU102),1)*0.4+SMALL((BU14,BU36,BU58,BU80,BU102),2)*0.3+SMALL((BU14,BU36,BU58,BU80,BU102),3)*0.1+SMALL((BU14,BU36,BU58,BU80,BU102),4)*0.1+SMALL((BU14,BU36,BU58,BU80,BU102),5)*0.1</f>
        <v>0</v>
      </c>
      <c r="BV124" s="74">
        <f>SMALL((BV14,BV36,BV58,BV80,BV102),1)*0.4+SMALL((BV14,BV36,BV58,BV80,BV102),2)*0.3+SMALL((BV14,BV36,BV58,BV80,BV102),3)*0.1+SMALL((BV14,BV36,BV58,BV80,BV102),4)*0.1+SMALL((BV14,BV36,BV58,BV80,BV102),5)*0.1</f>
        <v>0</v>
      </c>
      <c r="BW124" s="74">
        <f>SMALL((BW14,BW36,BW58,BW80,BW102),1)*0.4+SMALL((BW14,BW36,BW58,BW80,BW102),2)*0.3+SMALL((BW14,BW36,BW58,BW80,BW102),3)*0.1+SMALL((BW14,BW36,BW58,BW80,BW102),4)*0.1+SMALL((BW14,BW36,BW58,BW80,BW102),5)*0.1</f>
        <v>0</v>
      </c>
      <c r="BX124" s="74">
        <f>SMALL((BX14,BX36,BX58,BX80,BX102),1)*0.4+SMALL((BX14,BX36,BX58,BX80,BX102),2)*0.3+SMALL((BX14,BX36,BX58,BX80,BX102),3)*0.1+SMALL((BX14,BX36,BX58,BX80,BX102),4)*0.1+SMALL((BX14,BX36,BX58,BX80,BX102),5)*0.1</f>
        <v>0</v>
      </c>
      <c r="BY124" s="74">
        <f>SMALL((BY14,BY36,BY58,BY80,BY102),1)*0.4+SMALL((BY14,BY36,BY58,BY80,BY102),2)*0.3+SMALL((BY14,BY36,BY58,BY80,BY102),3)*0.1+SMALL((BY14,BY36,BY58,BY80,BY102),4)*0.1+SMALL((BY14,BY36,BY58,BY80,BY102),5)*0.1</f>
        <v>0</v>
      </c>
      <c r="BZ124" s="74">
        <f>SMALL((BZ14,BZ36,BZ58,BZ80,BZ102),1)*0.4+SMALL((BZ14,BZ36,BZ58,BZ80,BZ102),2)*0.3+SMALL((BZ14,BZ36,BZ58,BZ80,BZ102),3)*0.1+SMALL((BZ14,BZ36,BZ58,BZ80,BZ102),4)*0.1+SMALL((BZ14,BZ36,BZ58,BZ80,BZ102),5)*0.1</f>
        <v>0</v>
      </c>
    </row>
    <row r="125" spans="1:78" x14ac:dyDescent="0.2">
      <c r="A125" s="452"/>
      <c r="B125" s="453" t="str">
        <f t="shared" si="147"/>
        <v>Blue ammonia - Global - Fuel cost - USD/GJ</v>
      </c>
      <c r="C125" s="453" t="str">
        <f t="shared" si="148"/>
        <v>Blue ammonia - Global</v>
      </c>
      <c r="D125" s="74">
        <f t="shared" si="149"/>
        <v>18.8</v>
      </c>
      <c r="E125" t="s">
        <v>109</v>
      </c>
      <c r="F125" t="str">
        <f t="shared" si="150"/>
        <v>Blue ammonia</v>
      </c>
      <c r="G125" t="s">
        <v>828</v>
      </c>
      <c r="H125" s="74">
        <f>SMALL((H15,H37,H59,H81,H103),1)*0.4+SMALL((H15,H37,H59,H81,H103),2)*0.3+SMALL((H15,H37,H59,H81,H103),3)*0.1+SMALL((H15,H37,H59,H81,H103),4)*0.1+SMALL((H15,H37,H59,H81,H103),5)*0.1</f>
        <v>55.302693338533345</v>
      </c>
      <c r="I125" s="74">
        <f>SMALL((I15,I37,I59,I81,I103),1)*0.4+SMALL((I15,I37,I59,I81,I103),2)*0.3+SMALL((I15,I37,I59,I81,I103),3)*0.1+SMALL((I15,I37,I59,I81,I103),4)*0.1+SMALL((I15,I37,I59,I81,I103),5)*0.1</f>
        <v>33.024468603442948</v>
      </c>
      <c r="J125" s="74">
        <f>SMALL((J15,J37,J59,J81,J103),1)*0.4+SMALL((J15,J37,J59,J81,J103),2)*0.3+SMALL((J15,J37,J59,J81,J103),3)*0.1+SMALL((J15,J37,J59,J81,J103),4)*0.1+SMALL((J15,J37,J59,J81,J103),5)*0.1</f>
        <v>24.400354160195018</v>
      </c>
      <c r="K125" s="74">
        <f>SMALL((K15,K37,K59,K81,K103),1)*0.4+SMALL((K15,K37,K59,K81,K103),2)*0.3+SMALL((K15,K37,K59,K81,K103),3)*0.1+SMALL((K15,K37,K59,K81,K103),4)*0.1+SMALL((K15,K37,K59,K81,K103),5)*0.1</f>
        <v>24.270040020865832</v>
      </c>
      <c r="L125" s="74">
        <f>SMALL((L15,L37,L59,L81,L103),1)*0.4+SMALL((L15,L37,L59,L81,L103),2)*0.3+SMALL((L15,L37,L59,L81,L103),3)*0.1+SMALL((L15,L37,L59,L81,L103),4)*0.1+SMALL((L15,L37,L59,L81,L103),5)*0.1</f>
        <v>23.848220769665232</v>
      </c>
      <c r="M125" s="74">
        <f>SMALL((M15,M37,M59,M81,M103),1)*0.4+SMALL((M15,M37,M59,M81,M103),2)*0.3+SMALL((M15,M37,M59,M81,M103),3)*0.1+SMALL((M15,M37,M59,M81,M103),4)*0.1+SMALL((M15,M37,M59,M81,M103),5)*0.1</f>
        <v>23.427908862446621</v>
      </c>
      <c r="N125" s="74">
        <f>SMALL((N15,N37,N59,N81,N103),1)*0.4+SMALL((N15,N37,N59,N81,N103),2)*0.3+SMALL((N15,N37,N59,N81,N103),3)*0.1+SMALL((N15,N37,N59,N81,N103),4)*0.1+SMALL((N15,N37,N59,N81,N103),5)*0.1</f>
        <v>23.01634314659767</v>
      </c>
      <c r="O125" s="454"/>
      <c r="P125" s="74">
        <f>SMALL((P15,P37,P59,P81,P103),1)*0.4+SMALL((P15,P37,P59,P81,P103),2)*0.3+SMALL((P15,P37,P59,P81,P103),3)*0.1+SMALL((P15,P37,P59,P81,P103),4)*0.1+SMALL((P15,P37,P59,P81,P103),5)*0.1</f>
        <v>0</v>
      </c>
      <c r="Q125" s="74">
        <f>SMALL((Q15,Q37,Q59,Q81,Q103),1)*0.4+SMALL((Q15,Q37,Q59,Q81,Q103),2)*0.3+SMALL((Q15,Q37,Q59,Q81,Q103),3)*0.1+SMALL((Q15,Q37,Q59,Q81,Q103),4)*0.1+SMALL((Q15,Q37,Q59,Q81,Q103),5)*0.1</f>
        <v>0</v>
      </c>
      <c r="R125" s="74">
        <f>SMALL((R15,R37,R59,R81,R103),1)*0.4+SMALL((R15,R37,R59,R81,R103),2)*0.3+SMALL((R15,R37,R59,R81,R103),3)*0.1+SMALL((R15,R37,R59,R81,R103),4)*0.1+SMALL((R15,R37,R59,R81,R103),5)*0.1</f>
        <v>0</v>
      </c>
      <c r="S125" s="74">
        <f>SMALL((S15,S37,S59,S81,S103),1)*0.4+SMALL((S15,S37,S59,S81,S103),2)*0.3+SMALL((S15,S37,S59,S81,S103),3)*0.1+SMALL((S15,S37,S59,S81,S103),4)*0.1+SMALL((S15,S37,S59,S81,S103),5)*0.1</f>
        <v>0</v>
      </c>
      <c r="T125" s="74">
        <f>SMALL((T15,T37,T59,T81,T103),1)*0.4+SMALL((T15,T37,T59,T81,T103),2)*0.3+SMALL((T15,T37,T59,T81,T103),3)*0.1+SMALL((T15,T37,T59,T81,T103),4)*0.1+SMALL((T15,T37,T59,T81,T103),5)*0.1</f>
        <v>0</v>
      </c>
      <c r="U125" s="74">
        <f>SMALL((U15,U37,U59,U81,U103),1)*0.4+SMALL((U15,U37,U59,U81,U103),2)*0.3+SMALL((U15,U37,U59,U81,U103),3)*0.1+SMALL((U15,U37,U59,U81,U103),4)*0.1+SMALL((U15,U37,U59,U81,U103),5)*0.1</f>
        <v>0</v>
      </c>
      <c r="V125" s="74">
        <f>SMALL((V15,V37,V59,V81,V103),1)*0.4+SMALL((V15,V37,V59,V81,V103),2)*0.3+SMALL((V15,V37,V59,V81,V103),3)*0.1+SMALL((V15,V37,V59,V81,V103),4)*0.1+SMALL((V15,V37,V59,V81,V103),5)*0.1</f>
        <v>0</v>
      </c>
      <c r="W125"/>
      <c r="X125" s="2">
        <f t="shared" si="151"/>
        <v>22.083989361702127</v>
      </c>
      <c r="Y125" s="2">
        <f t="shared" si="151"/>
        <v>21.082590425531919</v>
      </c>
      <c r="Z125" s="2">
        <f t="shared" si="151"/>
        <v>20.081191489361693</v>
      </c>
      <c r="AA125" s="2">
        <f t="shared" si="151"/>
        <v>19.079792553191478</v>
      </c>
      <c r="AB125" s="2">
        <f t="shared" si="151"/>
        <v>18.078393617021277</v>
      </c>
      <c r="AC125" s="2">
        <f t="shared" si="151"/>
        <v>17.076994680851062</v>
      </c>
      <c r="AD125" s="2">
        <f t="shared" si="151"/>
        <v>16.075595744680854</v>
      </c>
      <c r="AE125"/>
      <c r="AF125" s="2">
        <f t="shared" si="152"/>
        <v>0</v>
      </c>
      <c r="AG125" s="2">
        <f t="shared" si="152"/>
        <v>0</v>
      </c>
      <c r="AH125" s="2">
        <f t="shared" si="152"/>
        <v>0</v>
      </c>
      <c r="AI125" s="2">
        <f t="shared" si="152"/>
        <v>0</v>
      </c>
      <c r="AJ125" s="2">
        <f t="shared" si="152"/>
        <v>0</v>
      </c>
      <c r="AK125" s="2">
        <f t="shared" si="152"/>
        <v>0</v>
      </c>
      <c r="AL125" s="2">
        <f t="shared" si="152"/>
        <v>0</v>
      </c>
      <c r="AM125"/>
      <c r="AN125" s="76">
        <f t="shared" si="153"/>
        <v>22.083989361702127</v>
      </c>
      <c r="AO125" s="76">
        <f t="shared" si="153"/>
        <v>21.082590425531919</v>
      </c>
      <c r="AP125" s="76">
        <f t="shared" si="153"/>
        <v>20.081191489361693</v>
      </c>
      <c r="AQ125" s="76">
        <f t="shared" si="153"/>
        <v>19.079792553191478</v>
      </c>
      <c r="AR125" s="76">
        <f t="shared" si="153"/>
        <v>18.078393617021277</v>
      </c>
      <c r="AS125" s="76">
        <f t="shared" si="153"/>
        <v>17.076994680851062</v>
      </c>
      <c r="AT125" s="76">
        <f t="shared" si="153"/>
        <v>16.075595744680854</v>
      </c>
      <c r="AU125"/>
      <c r="AV125" s="74">
        <f>SMALL((AV15,AV37,AV59,AV81,AV103),1)*0.4+SMALL((AV15,AV37,AV59,AV81,AV103),2)*0.3+SMALL((AV15,AV37,AV59,AV81,AV103),3)*0.1+SMALL((AV15,AV37,AV59,AV81,AV103),4)*0.1+SMALL((AV15,AV37,AV59,AV81,AV103),5)*0.1</f>
        <v>5.9202127659574471</v>
      </c>
      <c r="AW125" s="74">
        <f>SMALL((AW15,AW37,AW59,AW81,AW103),1)*0.4+SMALL((AW15,AW37,AW59,AW81,AW103),2)*0.3+SMALL((AW15,AW37,AW59,AW81,AW103),3)*0.1+SMALL((AW15,AW37,AW59,AW81,AW103),4)*0.1+SMALL((AW15,AW37,AW59,AW81,AW103),5)*0.1</f>
        <v>5.6382978723404271</v>
      </c>
      <c r="AX125" s="74">
        <f>SMALL((AX15,AX37,AX59,AX81,AX103),1)*0.4+SMALL((AX15,AX37,AX59,AX81,AX103),2)*0.3+SMALL((AX15,AX37,AX59,AX81,AX103),3)*0.1+SMALL((AX15,AX37,AX59,AX81,AX103),4)*0.1+SMALL((AX15,AX37,AX59,AX81,AX103),5)*0.1</f>
        <v>5.3563829787234054</v>
      </c>
      <c r="AY125" s="74">
        <f>SMALL((AY15,AY37,AY59,AY81,AY103),1)*0.4+SMALL((AY15,AY37,AY59,AY81,AY103),2)*0.3+SMALL((AY15,AY37,AY59,AY81,AY103),3)*0.1+SMALL((AY15,AY37,AY59,AY81,AY103),4)*0.1+SMALL((AY15,AY37,AY59,AY81,AY103),5)*0.1</f>
        <v>5.0744680851063846</v>
      </c>
      <c r="AZ125" s="74">
        <f>SMALL((AZ15,AZ37,AZ59,AZ81,AZ103),1)*0.4+SMALL((AZ15,AZ37,AZ59,AZ81,AZ103),2)*0.3+SMALL((AZ15,AZ37,AZ59,AZ81,AZ103),3)*0.1+SMALL((AZ15,AZ37,AZ59,AZ81,AZ103),4)*0.1+SMALL((AZ15,AZ37,AZ59,AZ81,AZ103),5)*0.1</f>
        <v>4.7925531914893629</v>
      </c>
      <c r="BA125" s="74">
        <f>SMALL((BA15,BA37,BA59,BA81,BA103),1)*0.4+SMALL((BA15,BA37,BA59,BA81,BA103),2)*0.3+SMALL((BA15,BA37,BA59,BA81,BA103),3)*0.1+SMALL((BA15,BA37,BA59,BA81,BA103),4)*0.1+SMALL((BA15,BA37,BA59,BA81,BA103),5)*0.1</f>
        <v>4.5106382978723421</v>
      </c>
      <c r="BB125" s="74">
        <f>SMALL((BB15,BB37,BB59,BB81,BB103),1)*0.4+SMALL((BB15,BB37,BB59,BB81,BB103),2)*0.3+SMALL((BB15,BB37,BB59,BB81,BB103),3)*0.1+SMALL((BB15,BB37,BB59,BB81,BB103),4)*0.1+SMALL((BB15,BB37,BB59,BB81,BB103),5)*0.1</f>
        <v>4.2287234042553195</v>
      </c>
      <c r="BC125" s="454"/>
      <c r="BD125" s="74">
        <f>SMALL((BD15,BD37,BD59,BD81,BD103),1)*0.4+SMALL((BD15,BD37,BD59,BD81,BD103),2)*0.3+SMALL((BD15,BD37,BD59,BD81,BD103),3)*0.1+SMALL((BD15,BD37,BD59,BD81,BD103),4)*0.1+SMALL((BD15,BD37,BD59,BD81,BD103),5)*0.1</f>
        <v>2.6808510638297864</v>
      </c>
      <c r="BE125" s="74">
        <f>SMALL((BE15,BE37,BE59,BE81,BE103),1)*0.4+SMALL((BE15,BE37,BE59,BE81,BE103),2)*0.3+SMALL((BE15,BE37,BE59,BE81,BE103),3)*0.1+SMALL((BE15,BE37,BE59,BE81,BE103),4)*0.1+SMALL((BE15,BE37,BE59,BE81,BE103),5)*0.1</f>
        <v>2.5531914893617018</v>
      </c>
      <c r="BF125" s="74">
        <f>SMALL((BF15,BF37,BF59,BF81,BF103),1)*0.4+SMALL((BF15,BF37,BF59,BF81,BF103),2)*0.3+SMALL((BF15,BF37,BF59,BF81,BF103),3)*0.1+SMALL((BF15,BF37,BF59,BF81,BF103),4)*0.1+SMALL((BF15,BF37,BF59,BF81,BF103),5)*0.1</f>
        <v>2.4255319148936172</v>
      </c>
      <c r="BG125" s="74">
        <f>SMALL((BG15,BG37,BG59,BG81,BG103),1)*0.4+SMALL((BG15,BG37,BG59,BG81,BG103),2)*0.3+SMALL((BG15,BG37,BG59,BG81,BG103),3)*0.1+SMALL((BG15,BG37,BG59,BG81,BG103),4)*0.1+SMALL((BG15,BG37,BG59,BG81,BG103),5)*0.1</f>
        <v>2.2978723404255321</v>
      </c>
      <c r="BH125" s="74">
        <f>SMALL((BH15,BH37,BH59,BH81,BH103),1)*0.4+SMALL((BH15,BH37,BH59,BH81,BH103),2)*0.3+SMALL((BH15,BH37,BH59,BH81,BH103),3)*0.1+SMALL((BH15,BH37,BH59,BH81,BH103),4)*0.1+SMALL((BH15,BH37,BH59,BH81,BH103),5)*0.1</f>
        <v>2.1702127659574471</v>
      </c>
      <c r="BI125" s="74">
        <f>SMALL((BI15,BI37,BI59,BI81,BI103),1)*0.4+SMALL((BI15,BI37,BI59,BI81,BI103),2)*0.3+SMALL((BI15,BI37,BI59,BI81,BI103),3)*0.1+SMALL((BI15,BI37,BI59,BI81,BI103),4)*0.1+SMALL((BI15,BI37,BI59,BI81,BI103),5)*0.1</f>
        <v>2.0425531914893615</v>
      </c>
      <c r="BJ125" s="74">
        <f>SMALL((BJ15,BJ37,BJ59,BJ81,BJ103),1)*0.4+SMALL((BJ15,BJ37,BJ59,BJ81,BJ103),2)*0.3+SMALL((BJ15,BJ37,BJ59,BJ81,BJ103),3)*0.1+SMALL((BJ15,BJ37,BJ59,BJ81,BJ103),4)*0.1+SMALL((BJ15,BJ37,BJ59,BJ81,BJ103),5)*0.1</f>
        <v>1.9148936170212765</v>
      </c>
      <c r="BK125" s="455"/>
      <c r="BL125" s="74">
        <f>SMALL((BL15,BL37,BL59,BL81,BL103),1)*0.4+SMALL((BL15,BL37,BL59,BL81,BL103),2)*0.3+SMALL((BL15,BL37,BL59,BL81,BL103),3)*0.1+SMALL((BL15,BL37,BL59,BL81,BL103),4)*0.1+SMALL((BL15,BL37,BL59,BL81,BL103),5)*0.1</f>
        <v>6.9795744680851071</v>
      </c>
      <c r="BM125" s="74">
        <f>SMALL((BM15,BM37,BM59,BM81,BM103),1)*0.4+SMALL((BM15,BM37,BM59,BM81,BM103),2)*0.3+SMALL((BM15,BM37,BM59,BM81,BM103),3)*0.1+SMALL((BM15,BM37,BM59,BM81,BM103),4)*0.1+SMALL((BM15,BM37,BM59,BM81,BM103),5)*0.1</f>
        <v>7.0297872340425549</v>
      </c>
      <c r="BN125" s="74">
        <f>SMALL((BN15,BN37,BN59,BN81,BN103),1)*0.4+SMALL((BN15,BN37,BN59,BN81,BN103),2)*0.3+SMALL((BN15,BN37,BN59,BN81,BN103),3)*0.1+SMALL((BN15,BN37,BN59,BN81,BN103),4)*0.1+SMALL((BN15,BN37,BN59,BN81,BN103),5)*0.1</f>
        <v>7.080000000000001</v>
      </c>
      <c r="BO125" s="74">
        <f>SMALL((BO15,BO37,BO59,BO81,BO103),1)*0.4+SMALL((BO15,BO37,BO59,BO81,BO103),2)*0.3+SMALL((BO15,BO37,BO59,BO81,BO103),3)*0.1+SMALL((BO15,BO37,BO59,BO81,BO103),4)*0.1+SMALL((BO15,BO37,BO59,BO81,BO103),5)*0.1</f>
        <v>7.1302127659574479</v>
      </c>
      <c r="BP125" s="74">
        <f>SMALL((BP15,BP37,BP59,BP81,BP103),1)*0.4+SMALL((BP15,BP37,BP59,BP81,BP103),2)*0.3+SMALL((BP15,BP37,BP59,BP81,BP103),3)*0.1+SMALL((BP15,BP37,BP59,BP81,BP103),4)*0.1+SMALL((BP15,BP37,BP59,BP81,BP103),5)*0.1</f>
        <v>7.1804255319148949</v>
      </c>
      <c r="BQ125" s="74">
        <f>SMALL((BQ15,BQ37,BQ59,BQ81,BQ103),1)*0.4+SMALL((BQ15,BQ37,BQ59,BQ81,BQ103),2)*0.3+SMALL((BQ15,BQ37,BQ59,BQ81,BQ103),3)*0.1+SMALL((BQ15,BQ37,BQ59,BQ81,BQ103),4)*0.1+SMALL((BQ15,BQ37,BQ59,BQ81,BQ103),5)*0.1</f>
        <v>7.2306382978723418</v>
      </c>
      <c r="BR125" s="74">
        <f>SMALL((BR15,BR37,BR59,BR81,BR103),1)*0.4+SMALL((BR15,BR37,BR59,BR81,BR103),2)*0.3+SMALL((BR15,BR37,BR59,BR81,BR103),3)*0.1+SMALL((BR15,BR37,BR59,BR81,BR103),4)*0.1+SMALL((BR15,BR37,BR59,BR81,BR103),5)*0.1</f>
        <v>7.2808510638297879</v>
      </c>
      <c r="BS125" s="454"/>
      <c r="BT125" s="74">
        <f>SMALL((BT15,BT37,BT59,BT81,BT103),1)*0.4+SMALL((BT15,BT37,BT59,BT81,BT103),2)*0.3+SMALL((BT15,BT37,BT59,BT81,BT103),3)*0.1+SMALL((BT15,BT37,BT59,BT81,BT103),4)*0.1+SMALL((BT15,BT37,BT59,BT81,BT103),5)*0.1</f>
        <v>39.722055040661012</v>
      </c>
      <c r="BU125" s="74">
        <f>SMALL((BU15,BU37,BU59,BU81,BU103),1)*0.4+SMALL((BU15,BU37,BU59,BU81,BU103),2)*0.3+SMALL((BU15,BU37,BU59,BU81,BU103),3)*0.1+SMALL((BU15,BU37,BU59,BU81,BU103),4)*0.1+SMALL((BU15,BU37,BU59,BU81,BU103),5)*0.1</f>
        <v>17.803192007698264</v>
      </c>
      <c r="BV125" s="74">
        <f>SMALL((BV15,BV37,BV59,BV81,BV103),1)*0.4+SMALL((BV15,BV37,BV59,BV81,BV103),2)*0.3+SMALL((BV15,BV37,BV59,BV81,BV103),3)*0.1+SMALL((BV15,BV37,BV59,BV81,BV103),4)*0.1+SMALL((BV15,BV37,BV59,BV81,BV103),5)*0.1</f>
        <v>9.5384392665779956</v>
      </c>
      <c r="BW125" s="74">
        <f>SMALL((BW15,BW37,BW59,BW81,BW103),1)*0.4+SMALL((BW15,BW37,BW59,BW81,BW103),2)*0.3+SMALL((BW15,BW37,BW59,BW81,BW103),3)*0.1+SMALL((BW15,BW37,BW59,BW81,BW103),4)*0.1+SMALL((BW15,BW37,BW59,BW81,BW103),5)*0.1</f>
        <v>9.7674868293764678</v>
      </c>
      <c r="BX125" s="74">
        <f>SMALL((BX15,BX37,BX59,BX81,BX103),1)*0.4+SMALL((BX15,BX37,BX59,BX81,BX103),2)*0.3+SMALL((BX15,BX37,BX59,BX81,BX103),3)*0.1+SMALL((BX15,BX37,BX59,BX81,BX103),4)*0.1+SMALL((BX15,BX37,BX59,BX81,BX103),5)*0.1</f>
        <v>9.7050292803035276</v>
      </c>
      <c r="BY125" s="74">
        <f>SMALL((BY15,BY37,BY59,BY81,BY103),1)*0.4+SMALL((BY15,BY37,BY59,BY81,BY103),2)*0.3+SMALL((BY15,BY37,BY59,BY81,BY103),3)*0.1+SMALL((BY15,BY37,BY59,BY81,BY103),4)*0.1+SMALL((BY15,BY37,BY59,BY81,BY103),5)*0.1</f>
        <v>9.6440790752125753</v>
      </c>
      <c r="BZ125" s="74">
        <f>SMALL((BZ15,BZ37,BZ59,BZ81,BZ103),1)*0.4+SMALL((BZ15,BZ37,BZ59,BZ81,BZ103),2)*0.3+SMALL((BZ15,BZ37,BZ59,BZ81,BZ103),3)*0.1+SMALL((BZ15,BZ37,BZ59,BZ81,BZ103),4)*0.1+SMALL((BZ15,BZ37,BZ59,BZ81,BZ103),5)*0.1</f>
        <v>9.5918750614912867</v>
      </c>
    </row>
    <row r="126" spans="1:78" x14ac:dyDescent="0.2">
      <c r="A126" s="452"/>
      <c r="B126" s="453" t="str">
        <f t="shared" si="147"/>
        <v>LSFO - Global - Fuel cost - USD/GJ</v>
      </c>
      <c r="C126" s="453" t="str">
        <f t="shared" si="148"/>
        <v>LSFO - Global</v>
      </c>
      <c r="D126" s="74">
        <f t="shared" si="149"/>
        <v>41.2</v>
      </c>
      <c r="E126" t="s">
        <v>109</v>
      </c>
      <c r="F126" t="str">
        <f t="shared" si="150"/>
        <v>LSFO</v>
      </c>
      <c r="G126" t="s">
        <v>828</v>
      </c>
      <c r="H126" s="74">
        <f>SMALL((H16,H38,H60,H82,H104),1)*0.4+SMALL((H16,H38,H60,H82,H104),2)*0.3+SMALL((H16,H38,H60,H82,H104),3)*0.1+SMALL((H16,H38,H60,H82,H104),4)*0.1+SMALL((H16,H38,H60,H82,H104),5)*0.1</f>
        <v>21.473621920116738</v>
      </c>
      <c r="I126" s="74">
        <f>SMALL((I16,I38,I60,I82,I104),1)*0.4+SMALL((I16,I38,I60,I82,I104),2)*0.3+SMALL((I16,I38,I60,I82,I104),3)*0.1+SMALL((I16,I38,I60,I82,I104),4)*0.1+SMALL((I16,I38,I60,I82,I104),5)*0.1</f>
        <v>15.404989638344619</v>
      </c>
      <c r="J126" s="74">
        <f>SMALL((J16,J38,J60,J82,J104),1)*0.4+SMALL((J16,J38,J60,J82,J104),2)*0.3+SMALL((J16,J38,J60,J82,J104),3)*0.1+SMALL((J16,J38,J60,J82,J104),4)*0.1+SMALL((J16,J38,J60,J82,J104),5)*0.1</f>
        <v>13.444354593464393</v>
      </c>
      <c r="K126" s="74">
        <f>SMALL((K16,K38,K60,K82,K104),1)*0.4+SMALL((K16,K38,K60,K82,K104),2)*0.3+SMALL((K16,K38,K60,K82,K104),3)*0.1+SMALL((K16,K38,K60,K82,K104),4)*0.1+SMALL((K16,K38,K60,K82,K104),5)*0.1</f>
        <v>13.444354593464393</v>
      </c>
      <c r="L126" s="74">
        <f>SMALL((L16,L38,L60,L82,L104),1)*0.4+SMALL((L16,L38,L60,L82,L104),2)*0.3+SMALL((L16,L38,L60,L82,L104),3)*0.1+SMALL((L16,L38,L60,L82,L104),4)*0.1+SMALL((L16,L38,L60,L82,L104),5)*0.1</f>
        <v>13.444354593464393</v>
      </c>
      <c r="M126" s="74">
        <f>SMALL((M16,M38,M60,M82,M104),1)*0.4+SMALL((M16,M38,M60,M82,M104),2)*0.3+SMALL((M16,M38,M60,M82,M104),3)*0.1+SMALL((M16,M38,M60,M82,M104),4)*0.1+SMALL((M16,M38,M60,M82,M104),5)*0.1</f>
        <v>13.444354593464393</v>
      </c>
      <c r="N126" s="74">
        <f>SMALL((N16,N38,N60,N82,N104),1)*0.4+SMALL((N16,N38,N60,N82,N104),2)*0.3+SMALL((N16,N38,N60,N82,N104),3)*0.1+SMALL((N16,N38,N60,N82,N104),4)*0.1+SMALL((N16,N38,N60,N82,N104),5)*0.1</f>
        <v>13.444354593464393</v>
      </c>
      <c r="O126" s="454"/>
      <c r="P126" s="74">
        <f>SMALL((P16,P38,P60,P82,P104),1)*0.4+SMALL((P16,P38,P60,P82,P104),2)*0.3+SMALL((P16,P38,P60,P82,P104),3)*0.1+SMALL((P16,P38,P60,P82,P104),4)*0.1+SMALL((P16,P38,P60,P82,P104),5)*0.1</f>
        <v>0</v>
      </c>
      <c r="Q126" s="74">
        <f>SMALL((Q16,Q38,Q60,Q82,Q104),1)*0.4+SMALL((Q16,Q38,Q60,Q82,Q104),2)*0.3+SMALL((Q16,Q38,Q60,Q82,Q104),3)*0.1+SMALL((Q16,Q38,Q60,Q82,Q104),4)*0.1+SMALL((Q16,Q38,Q60,Q82,Q104),5)*0.1</f>
        <v>0</v>
      </c>
      <c r="R126" s="74">
        <f>SMALL((R16,R38,R60,R82,R104),1)*0.4+SMALL((R16,R38,R60,R82,R104),2)*0.3+SMALL((R16,R38,R60,R82,R104),3)*0.1+SMALL((R16,R38,R60,R82,R104),4)*0.1+SMALL((R16,R38,R60,R82,R104),5)*0.1</f>
        <v>0</v>
      </c>
      <c r="S126" s="74">
        <f>SMALL((S16,S38,S60,S82,S104),1)*0.4+SMALL((S16,S38,S60,S82,S104),2)*0.3+SMALL((S16,S38,S60,S82,S104),3)*0.1+SMALL((S16,S38,S60,S82,S104),4)*0.1+SMALL((S16,S38,S60,S82,S104),5)*0.1</f>
        <v>0</v>
      </c>
      <c r="T126" s="74">
        <f>SMALL((T16,T38,T60,T82,T104),1)*0.4+SMALL((T16,T38,T60,T82,T104),2)*0.3+SMALL((T16,T38,T60,T82,T104),3)*0.1+SMALL((T16,T38,T60,T82,T104),4)*0.1+SMALL((T16,T38,T60,T82,T104),5)*0.1</f>
        <v>0</v>
      </c>
      <c r="U126" s="74">
        <f>SMALL((U16,U38,U60,U82,U104),1)*0.4+SMALL((U16,U38,U60,U82,U104),2)*0.3+SMALL((U16,U38,U60,U82,U104),3)*0.1+SMALL((U16,U38,U60,U82,U104),4)*0.1+SMALL((U16,U38,U60,U82,U104),5)*0.1</f>
        <v>0</v>
      </c>
      <c r="V126" s="74">
        <f>SMALL((V16,V38,V60,V82,V104),1)*0.4+SMALL((V16,V38,V60,V82,V104),2)*0.3+SMALL((V16,V38,V60,V82,V104),3)*0.1+SMALL((V16,V38,V60,V82,V104),4)*0.1+SMALL((V16,V38,V60,V82,V104),5)*0.1</f>
        <v>0</v>
      </c>
      <c r="W126"/>
      <c r="X126" s="2">
        <f t="shared" ref="X126:AD135" si="154">X16</f>
        <v>15.899999999999997</v>
      </c>
      <c r="Y126" s="2">
        <f t="shared" si="154"/>
        <v>15.899999999999997</v>
      </c>
      <c r="Z126" s="2">
        <f t="shared" si="154"/>
        <v>15.899999999999997</v>
      </c>
      <c r="AA126" s="2">
        <f t="shared" si="154"/>
        <v>15.899999999999997</v>
      </c>
      <c r="AB126" s="2">
        <f t="shared" si="154"/>
        <v>15.899999999999997</v>
      </c>
      <c r="AC126" s="2">
        <f t="shared" si="154"/>
        <v>15.899999999999997</v>
      </c>
      <c r="AD126" s="2">
        <f t="shared" si="154"/>
        <v>15.899999999999997</v>
      </c>
      <c r="AE126"/>
      <c r="AF126" s="2">
        <f t="shared" ref="AF126:AL135" si="155">AF16</f>
        <v>76.779854368932035</v>
      </c>
      <c r="AG126" s="2">
        <f t="shared" si="155"/>
        <v>76.779854368932035</v>
      </c>
      <c r="AH126" s="2">
        <f t="shared" si="155"/>
        <v>76.779854368932035</v>
      </c>
      <c r="AI126" s="2">
        <f t="shared" si="155"/>
        <v>76.779854368932035</v>
      </c>
      <c r="AJ126" s="2">
        <f t="shared" si="155"/>
        <v>76.779854368932035</v>
      </c>
      <c r="AK126" s="2">
        <f t="shared" si="155"/>
        <v>76.779854368932035</v>
      </c>
      <c r="AL126" s="2">
        <f t="shared" si="155"/>
        <v>76.779854368932035</v>
      </c>
      <c r="AM126"/>
      <c r="AN126" s="2">
        <f t="shared" ref="AN126:AT135" si="156">AN16</f>
        <v>92.679854368932027</v>
      </c>
      <c r="AO126" s="2">
        <f t="shared" si="156"/>
        <v>92.679854368932027</v>
      </c>
      <c r="AP126" s="2">
        <f t="shared" si="156"/>
        <v>92.679854368932027</v>
      </c>
      <c r="AQ126" s="2">
        <f t="shared" si="156"/>
        <v>92.679854368932027</v>
      </c>
      <c r="AR126" s="2">
        <f t="shared" si="156"/>
        <v>92.679854368932027</v>
      </c>
      <c r="AS126" s="2">
        <f t="shared" si="156"/>
        <v>92.679854368932027</v>
      </c>
      <c r="AT126" s="2">
        <f t="shared" si="156"/>
        <v>92.679854368932027</v>
      </c>
      <c r="AU126"/>
      <c r="AV126" s="74">
        <f>SMALL((AV16,AV38,AV60,AV82,AV104),1)*0.4+SMALL((AV16,AV38,AV60,AV82,AV104),2)*0.3+SMALL((AV16,AV38,AV60,AV82,AV104),3)*0.1+SMALL((AV16,AV38,AV60,AV82,AV104),4)*0.1+SMALL((AV16,AV38,AV60,AV82,AV104),5)*0.1</f>
        <v>0</v>
      </c>
      <c r="AW126" s="74">
        <f>SMALL((AW16,AW38,AW60,AW82,AW104),1)*0.4+SMALL((AW16,AW38,AW60,AW82,AW104),2)*0.3+SMALL((AW16,AW38,AW60,AW82,AW104),3)*0.1+SMALL((AW16,AW38,AW60,AW82,AW104),4)*0.1+SMALL((AW16,AW38,AW60,AW82,AW104),5)*0.1</f>
        <v>0</v>
      </c>
      <c r="AX126" s="74">
        <f>SMALL((AX16,AX38,AX60,AX82,AX104),1)*0.4+SMALL((AX16,AX38,AX60,AX82,AX104),2)*0.3+SMALL((AX16,AX38,AX60,AX82,AX104),3)*0.1+SMALL((AX16,AX38,AX60,AX82,AX104),4)*0.1+SMALL((AX16,AX38,AX60,AX82,AX104),5)*0.1</f>
        <v>0</v>
      </c>
      <c r="AY126" s="74">
        <f>SMALL((AY16,AY38,AY60,AY82,AY104),1)*0.4+SMALL((AY16,AY38,AY60,AY82,AY104),2)*0.3+SMALL((AY16,AY38,AY60,AY82,AY104),3)*0.1+SMALL((AY16,AY38,AY60,AY82,AY104),4)*0.1+SMALL((AY16,AY38,AY60,AY82,AY104),5)*0.1</f>
        <v>0</v>
      </c>
      <c r="AZ126" s="74">
        <f>SMALL((AZ16,AZ38,AZ60,AZ82,AZ104),1)*0.4+SMALL((AZ16,AZ38,AZ60,AZ82,AZ104),2)*0.3+SMALL((AZ16,AZ38,AZ60,AZ82,AZ104),3)*0.1+SMALL((AZ16,AZ38,AZ60,AZ82,AZ104),4)*0.1+SMALL((AZ16,AZ38,AZ60,AZ82,AZ104),5)*0.1</f>
        <v>0</v>
      </c>
      <c r="BA126" s="74">
        <f>SMALL((BA16,BA38,BA60,BA82,BA104),1)*0.4+SMALL((BA16,BA38,BA60,BA82,BA104),2)*0.3+SMALL((BA16,BA38,BA60,BA82,BA104),3)*0.1+SMALL((BA16,BA38,BA60,BA82,BA104),4)*0.1+SMALL((BA16,BA38,BA60,BA82,BA104),5)*0.1</f>
        <v>0</v>
      </c>
      <c r="BB126" s="74">
        <f>SMALL((BB16,BB38,BB60,BB82,BB104),1)*0.4+SMALL((BB16,BB38,BB60,BB82,BB104),2)*0.3+SMALL((BB16,BB38,BB60,BB82,BB104),3)*0.1+SMALL((BB16,BB38,BB60,BB82,BB104),4)*0.1+SMALL((BB16,BB38,BB60,BB82,BB104),5)*0.1</f>
        <v>0</v>
      </c>
      <c r="BC126" s="454"/>
      <c r="BD126" s="74">
        <f>SMALL((BD16,BD38,BD60,BD82,BD104),1)*0.4+SMALL((BD16,BD38,BD60,BD82,BD104),2)*0.3+SMALL((BD16,BD38,BD60,BD82,BD104),3)*0.1+SMALL((BD16,BD38,BD60,BD82,BD104),4)*0.1+SMALL((BD16,BD38,BD60,BD82,BD104),5)*0.1</f>
        <v>0</v>
      </c>
      <c r="BE126" s="74">
        <f>SMALL((BE16,BE38,BE60,BE82,BE104),1)*0.4+SMALL((BE16,BE38,BE60,BE82,BE104),2)*0.3+SMALL((BE16,BE38,BE60,BE82,BE104),3)*0.1+SMALL((BE16,BE38,BE60,BE82,BE104),4)*0.1+SMALL((BE16,BE38,BE60,BE82,BE104),5)*0.1</f>
        <v>0</v>
      </c>
      <c r="BF126" s="74">
        <f>SMALL((BF16,BF38,BF60,BF82,BF104),1)*0.4+SMALL((BF16,BF38,BF60,BF82,BF104),2)*0.3+SMALL((BF16,BF38,BF60,BF82,BF104),3)*0.1+SMALL((BF16,BF38,BF60,BF82,BF104),4)*0.1+SMALL((BF16,BF38,BF60,BF82,BF104),5)*0.1</f>
        <v>0</v>
      </c>
      <c r="BG126" s="74">
        <f>SMALL((BG16,BG38,BG60,BG82,BG104),1)*0.4+SMALL((BG16,BG38,BG60,BG82,BG104),2)*0.3+SMALL((BG16,BG38,BG60,BG82,BG104),3)*0.1+SMALL((BG16,BG38,BG60,BG82,BG104),4)*0.1+SMALL((BG16,BG38,BG60,BG82,BG104),5)*0.1</f>
        <v>0</v>
      </c>
      <c r="BH126" s="74">
        <f>SMALL((BH16,BH38,BH60,BH82,BH104),1)*0.4+SMALL((BH16,BH38,BH60,BH82,BH104),2)*0.3+SMALL((BH16,BH38,BH60,BH82,BH104),3)*0.1+SMALL((BH16,BH38,BH60,BH82,BH104),4)*0.1+SMALL((BH16,BH38,BH60,BH82,BH104),5)*0.1</f>
        <v>0</v>
      </c>
      <c r="BI126" s="74">
        <f>SMALL((BI16,BI38,BI60,BI82,BI104),1)*0.4+SMALL((BI16,BI38,BI60,BI82,BI104),2)*0.3+SMALL((BI16,BI38,BI60,BI82,BI104),3)*0.1+SMALL((BI16,BI38,BI60,BI82,BI104),4)*0.1+SMALL((BI16,BI38,BI60,BI82,BI104),5)*0.1</f>
        <v>0</v>
      </c>
      <c r="BJ126" s="74">
        <f>SMALL((BJ16,BJ38,BJ60,BJ82,BJ104),1)*0.4+SMALL((BJ16,BJ38,BJ60,BJ82,BJ104),2)*0.3+SMALL((BJ16,BJ38,BJ60,BJ82,BJ104),3)*0.1+SMALL((BJ16,BJ38,BJ60,BJ82,BJ104),4)*0.1+SMALL((BJ16,BJ38,BJ60,BJ82,BJ104),5)*0.1</f>
        <v>0</v>
      </c>
      <c r="BK126" s="455"/>
      <c r="BL126" s="74">
        <f>SMALL((BL16,BL38,BL60,BL82,BL104),1)*0.4+SMALL((BL16,BL38,BL60,BL82,BL104),2)*0.3+SMALL((BL16,BL38,BL60,BL82,BL104),3)*0.1+SMALL((BL16,BL38,BL60,BL82,BL104),4)*0.1+SMALL((BL16,BL38,BL60,BL82,BL104),5)*0.1</f>
        <v>0</v>
      </c>
      <c r="BM126" s="74">
        <f>SMALL((BM16,BM38,BM60,BM82,BM104),1)*0.4+SMALL((BM16,BM38,BM60,BM82,BM104),2)*0.3+SMALL((BM16,BM38,BM60,BM82,BM104),3)*0.1+SMALL((BM16,BM38,BM60,BM82,BM104),4)*0.1+SMALL((BM16,BM38,BM60,BM82,BM104),5)*0.1</f>
        <v>0</v>
      </c>
      <c r="BN126" s="74">
        <f>SMALL((BN16,BN38,BN60,BN82,BN104),1)*0.4+SMALL((BN16,BN38,BN60,BN82,BN104),2)*0.3+SMALL((BN16,BN38,BN60,BN82,BN104),3)*0.1+SMALL((BN16,BN38,BN60,BN82,BN104),4)*0.1+SMALL((BN16,BN38,BN60,BN82,BN104),5)*0.1</f>
        <v>0</v>
      </c>
      <c r="BO126" s="74">
        <f>SMALL((BO16,BO38,BO60,BO82,BO104),1)*0.4+SMALL((BO16,BO38,BO60,BO82,BO104),2)*0.3+SMALL((BO16,BO38,BO60,BO82,BO104),3)*0.1+SMALL((BO16,BO38,BO60,BO82,BO104),4)*0.1+SMALL((BO16,BO38,BO60,BO82,BO104),5)*0.1</f>
        <v>0</v>
      </c>
      <c r="BP126" s="74">
        <f>SMALL((BP16,BP38,BP60,BP82,BP104),1)*0.4+SMALL((BP16,BP38,BP60,BP82,BP104),2)*0.3+SMALL((BP16,BP38,BP60,BP82,BP104),3)*0.1+SMALL((BP16,BP38,BP60,BP82,BP104),4)*0.1+SMALL((BP16,BP38,BP60,BP82,BP104),5)*0.1</f>
        <v>0</v>
      </c>
      <c r="BQ126" s="74">
        <f>SMALL((BQ16,BQ38,BQ60,BQ82,BQ104),1)*0.4+SMALL((BQ16,BQ38,BQ60,BQ82,BQ104),2)*0.3+SMALL((BQ16,BQ38,BQ60,BQ82,BQ104),3)*0.1+SMALL((BQ16,BQ38,BQ60,BQ82,BQ104),4)*0.1+SMALL((BQ16,BQ38,BQ60,BQ82,BQ104),5)*0.1</f>
        <v>0</v>
      </c>
      <c r="BR126" s="74">
        <f>SMALL((BR16,BR38,BR60,BR82,BR104),1)*0.4+SMALL((BR16,BR38,BR60,BR82,BR104),2)*0.3+SMALL((BR16,BR38,BR60,BR82,BR104),3)*0.1+SMALL((BR16,BR38,BR60,BR82,BR104),4)*0.1+SMALL((BR16,BR38,BR60,BR82,BR104),5)*0.1</f>
        <v>0</v>
      </c>
      <c r="BS126" s="454"/>
      <c r="BT126" s="74">
        <f>SMALL((BT16,BT38,BT60,BT82,BT104),1)*0.4+SMALL((BT16,BT38,BT60,BT82,BT104),2)*0.3+SMALL((BT16,BT38,BT60,BT82,BT104),3)*0.1+SMALL((BT16,BT38,BT60,BT82,BT104),4)*0.1+SMALL((BT16,BT38,BT60,BT82,BT104),5)*0.1</f>
        <v>0</v>
      </c>
      <c r="BU126" s="74">
        <f>SMALL((BU16,BU38,BU60,BU82,BU104),1)*0.4+SMALL((BU16,BU38,BU60,BU82,BU104),2)*0.3+SMALL((BU16,BU38,BU60,BU82,BU104),3)*0.1+SMALL((BU16,BU38,BU60,BU82,BU104),4)*0.1+SMALL((BU16,BU38,BU60,BU82,BU104),5)*0.1</f>
        <v>0</v>
      </c>
      <c r="BV126" s="74">
        <f>SMALL((BV16,BV38,BV60,BV82,BV104),1)*0.4+SMALL((BV16,BV38,BV60,BV82,BV104),2)*0.3+SMALL((BV16,BV38,BV60,BV82,BV104),3)*0.1+SMALL((BV16,BV38,BV60,BV82,BV104),4)*0.1+SMALL((BV16,BV38,BV60,BV82,BV104),5)*0.1</f>
        <v>0</v>
      </c>
      <c r="BW126" s="74">
        <f>SMALL((BW16,BW38,BW60,BW82,BW104),1)*0.4+SMALL((BW16,BW38,BW60,BW82,BW104),2)*0.3+SMALL((BW16,BW38,BW60,BW82,BW104),3)*0.1+SMALL((BW16,BW38,BW60,BW82,BW104),4)*0.1+SMALL((BW16,BW38,BW60,BW82,BW104),5)*0.1</f>
        <v>0</v>
      </c>
      <c r="BX126" s="74">
        <f>SMALL((BX16,BX38,BX60,BX82,BX104),1)*0.4+SMALL((BX16,BX38,BX60,BX82,BX104),2)*0.3+SMALL((BX16,BX38,BX60,BX82,BX104),3)*0.1+SMALL((BX16,BX38,BX60,BX82,BX104),4)*0.1+SMALL((BX16,BX38,BX60,BX82,BX104),5)*0.1</f>
        <v>0</v>
      </c>
      <c r="BY126" s="74">
        <f>SMALL((BY16,BY38,BY60,BY82,BY104),1)*0.4+SMALL((BY16,BY38,BY60,BY82,BY104),2)*0.3+SMALL((BY16,BY38,BY60,BY82,BY104),3)*0.1+SMALL((BY16,BY38,BY60,BY82,BY104),4)*0.1+SMALL((BY16,BY38,BY60,BY82,BY104),5)*0.1</f>
        <v>0</v>
      </c>
      <c r="BZ126" s="74">
        <f>SMALL((BZ16,BZ38,BZ60,BZ82,BZ104),1)*0.4+SMALL((BZ16,BZ38,BZ60,BZ82,BZ104),2)*0.3+SMALL((BZ16,BZ38,BZ60,BZ82,BZ104),3)*0.1+SMALL((BZ16,BZ38,BZ60,BZ82,BZ104),4)*0.1+SMALL((BZ16,BZ38,BZ60,BZ82,BZ104),5)*0.1</f>
        <v>0</v>
      </c>
    </row>
    <row r="127" spans="1:78" x14ac:dyDescent="0.2">
      <c r="A127" s="452"/>
      <c r="B127" s="453" t="str">
        <f t="shared" si="147"/>
        <v>LNG - Global - Fuel cost - USD/GJ</v>
      </c>
      <c r="C127" s="453" t="str">
        <f t="shared" si="148"/>
        <v>LNG - Global</v>
      </c>
      <c r="D127" s="74">
        <f t="shared" si="149"/>
        <v>48</v>
      </c>
      <c r="E127" t="s">
        <v>109</v>
      </c>
      <c r="F127" t="str">
        <f t="shared" si="150"/>
        <v>LNG</v>
      </c>
      <c r="G127" t="s">
        <v>828</v>
      </c>
      <c r="H127" s="74">
        <f>SMALL((H17,H39,H61,H83,H105),1)*0.4+SMALL((H17,H39,H61,H83,H105),2)*0.3+SMALL((H17,H39,H61,H83,H105),3)*0.1+SMALL((H17,H39,H61,H83,H105),4)*0.1+SMALL((H17,H39,H61,H83,H105),5)*0.1</f>
        <v>27.152546962475306</v>
      </c>
      <c r="I127" s="74">
        <f>SMALL((I17,I39,I61,I83,I105),1)*0.4+SMALL((I17,I39,I61,I83,I105),2)*0.3+SMALL((I17,I39,I61,I83,I105),3)*0.1+SMALL((I17,I39,I61,I83,I105),4)*0.1+SMALL((I17,I39,I61,I83,I105),5)*0.1</f>
        <v>14.246016556016375</v>
      </c>
      <c r="J127" s="74">
        <f>SMALL((J17,J39,J61,J83,J105),1)*0.4+SMALL((J17,J39,J61,J83,J105),2)*0.3+SMALL((J17,J39,J61,J83,J105),3)*0.1+SMALL((J17,J39,J61,J83,J105),4)*0.1+SMALL((J17,J39,J61,J83,J105),5)*0.1</f>
        <v>9.7281338152399801</v>
      </c>
      <c r="K127" s="74">
        <f>SMALL((K17,K39,K61,K83,K105),1)*0.4+SMALL((K17,K39,K61,K83,K105),2)*0.3+SMALL((K17,K39,K61,K83,K105),3)*0.1+SMALL((K17,K39,K61,K83,K105),4)*0.1+SMALL((K17,K39,K61,K83,K105),5)*0.1</f>
        <v>9.7710887987989583</v>
      </c>
      <c r="L127" s="74">
        <f>SMALL((L17,L39,L61,L83,L105),1)*0.4+SMALL((L17,L39,L61,L83,L105),2)*0.3+SMALL((L17,L39,L61,L83,L105),3)*0.1+SMALL((L17,L39,L61,L83,L105),4)*0.1+SMALL((L17,L39,L61,L83,L105),5)*0.1</f>
        <v>9.6500028561215565</v>
      </c>
      <c r="M127" s="74">
        <f>SMALL((M17,M39,M61,M83,M105),1)*0.4+SMALL((M17,M39,M61,M83,M105),2)*0.3+SMALL((M17,M39,M61,M83,M105),3)*0.1+SMALL((M17,M39,M61,M83,M105),4)*0.1+SMALL((M17,M39,M61,M83,M105),5)*0.1</f>
        <v>9.5332125879828542</v>
      </c>
      <c r="N127" s="74">
        <f>SMALL((N17,N39,N61,N83,N105),1)*0.4+SMALL((N17,N39,N61,N83,N105),2)*0.3+SMALL((N17,N39,N61,N83,N105),3)*0.1+SMALL((N17,N39,N61,N83,N105),4)*0.1+SMALL((N17,N39,N61,N83,N105),5)*0.1</f>
        <v>9.4310156495364108</v>
      </c>
      <c r="O127" s="454"/>
      <c r="P127" s="74">
        <f>SMALL((P17,P39,P61,P83,P105),1)*0.4+SMALL((P17,P39,P61,P83,P105),2)*0.3+SMALL((P17,P39,P61,P83,P105),3)*0.1+SMALL((P17,P39,P61,P83,P105),4)*0.1+SMALL((P17,P39,P61,P83,P105),5)*0.1</f>
        <v>0</v>
      </c>
      <c r="Q127" s="74">
        <f>SMALL((Q17,Q39,Q61,Q83,Q105),1)*0.4+SMALL((Q17,Q39,Q61,Q83,Q105),2)*0.3+SMALL((Q17,Q39,Q61,Q83,Q105),3)*0.1+SMALL((Q17,Q39,Q61,Q83,Q105),4)*0.1+SMALL((Q17,Q39,Q61,Q83,Q105),5)*0.1</f>
        <v>0</v>
      </c>
      <c r="R127" s="74">
        <f>SMALL((R17,R39,R61,R83,R105),1)*0.4+SMALL((R17,R39,R61,R83,R105),2)*0.3+SMALL((R17,R39,R61,R83,R105),3)*0.1+SMALL((R17,R39,R61,R83,R105),4)*0.1+SMALL((R17,R39,R61,R83,R105),5)*0.1</f>
        <v>0</v>
      </c>
      <c r="S127" s="74">
        <f>SMALL((S17,S39,S61,S83,S105),1)*0.4+SMALL((S17,S39,S61,S83,S105),2)*0.3+SMALL((S17,S39,S61,S83,S105),3)*0.1+SMALL((S17,S39,S61,S83,S105),4)*0.1+SMALL((S17,S39,S61,S83,S105),5)*0.1</f>
        <v>0</v>
      </c>
      <c r="T127" s="74">
        <f>SMALL((T17,T39,T61,T83,T105),1)*0.4+SMALL((T17,T39,T61,T83,T105),2)*0.3+SMALL((T17,T39,T61,T83,T105),3)*0.1+SMALL((T17,T39,T61,T83,T105),4)*0.1+SMALL((T17,T39,T61,T83,T105),5)*0.1</f>
        <v>0</v>
      </c>
      <c r="U127" s="74">
        <f>SMALL((U17,U39,U61,U83,U105),1)*0.4+SMALL((U17,U39,U61,U83,U105),2)*0.3+SMALL((U17,U39,U61,U83,U105),3)*0.1+SMALL((U17,U39,U61,U83,U105),4)*0.1+SMALL((U17,U39,U61,U83,U105),5)*0.1</f>
        <v>0</v>
      </c>
      <c r="V127" s="74">
        <f>SMALL((V17,V39,V61,V83,V105),1)*0.4+SMALL((V17,V39,V61,V83,V105),2)*0.3+SMALL((V17,V39,V61,V83,V105),3)*0.1+SMALL((V17,V39,V61,V83,V105),4)*0.1+SMALL((V17,V39,V61,V83,V105),5)*0.1</f>
        <v>0</v>
      </c>
      <c r="W127"/>
      <c r="X127" s="2">
        <f t="shared" si="154"/>
        <v>17.600000000000001</v>
      </c>
      <c r="Y127" s="2">
        <f t="shared" si="154"/>
        <v>17.600000000000001</v>
      </c>
      <c r="Z127" s="2">
        <f t="shared" si="154"/>
        <v>17.600000000000001</v>
      </c>
      <c r="AA127" s="2">
        <f t="shared" si="154"/>
        <v>17.600000000000001</v>
      </c>
      <c r="AB127" s="2">
        <f t="shared" si="154"/>
        <v>17.600000000000001</v>
      </c>
      <c r="AC127" s="2">
        <f t="shared" si="154"/>
        <v>17.600000000000001</v>
      </c>
      <c r="AD127" s="2">
        <f t="shared" si="154"/>
        <v>17.600000000000001</v>
      </c>
      <c r="AE127"/>
      <c r="AF127" s="2">
        <f t="shared" si="155"/>
        <v>76.026250000000005</v>
      </c>
      <c r="AG127" s="2">
        <f t="shared" si="155"/>
        <v>76.026250000000005</v>
      </c>
      <c r="AH127" s="2">
        <f t="shared" si="155"/>
        <v>76.026250000000005</v>
      </c>
      <c r="AI127" s="2">
        <f t="shared" si="155"/>
        <v>76.026250000000005</v>
      </c>
      <c r="AJ127" s="2">
        <f t="shared" si="155"/>
        <v>76.026250000000005</v>
      </c>
      <c r="AK127" s="2">
        <f t="shared" si="155"/>
        <v>76.026250000000005</v>
      </c>
      <c r="AL127" s="2">
        <f t="shared" si="155"/>
        <v>76.026250000000005</v>
      </c>
      <c r="AM127"/>
      <c r="AN127" s="2">
        <f t="shared" si="156"/>
        <v>93.626249999999999</v>
      </c>
      <c r="AO127" s="2">
        <f t="shared" si="156"/>
        <v>93.626249999999999</v>
      </c>
      <c r="AP127" s="2">
        <f t="shared" si="156"/>
        <v>93.626249999999999</v>
      </c>
      <c r="AQ127" s="2">
        <f t="shared" si="156"/>
        <v>93.626249999999999</v>
      </c>
      <c r="AR127" s="2">
        <f t="shared" si="156"/>
        <v>93.626249999999999</v>
      </c>
      <c r="AS127" s="2">
        <f t="shared" si="156"/>
        <v>93.626249999999999</v>
      </c>
      <c r="AT127" s="2">
        <f t="shared" si="156"/>
        <v>93.626249999999999</v>
      </c>
      <c r="AU127"/>
      <c r="AV127" s="74">
        <f>SMALL((AV17,AV39,AV61,AV83,AV105),1)*0.4+SMALL((AV17,AV39,AV61,AV83,AV105),2)*0.3+SMALL((AV17,AV39,AV61,AV83,AV105),3)*0.1+SMALL((AV17,AV39,AV61,AV83,AV105),4)*0.1+SMALL((AV17,AV39,AV61,AV83,AV105),5)*0.1</f>
        <v>4.2393219955936976</v>
      </c>
      <c r="AW127" s="74">
        <f>SMALL((AW17,AW39,AW61,AW83,AW105),1)*0.4+SMALL((AW17,AW39,AW61,AW83,AW105),2)*0.3+SMALL((AW17,AW39,AW61,AW83,AW105),3)*0.1+SMALL((AW17,AW39,AW61,AW83,AW105),4)*0.1+SMALL((AW17,AW39,AW61,AW83,AW105),5)*0.1</f>
        <v>4.1406250000000009</v>
      </c>
      <c r="AX127" s="74">
        <f>SMALL((AX17,AX39,AX61,AX83,AX105),1)*0.4+SMALL((AX17,AX39,AX61,AX83,AX105),2)*0.3+SMALL((AX17,AX39,AX61,AX83,AX105),3)*0.1+SMALL((AX17,AX39,AX61,AX83,AX105),4)*0.1+SMALL((AX17,AX39,AX61,AX83,AX105),5)*0.1</f>
        <v>4.0442258003626739</v>
      </c>
      <c r="AY127" s="74">
        <f>SMALL((AY17,AY39,AY61,AY83,AY105),1)*0.4+SMALL((AY17,AY39,AY61,AY83,AY105),2)*0.3+SMALL((AY17,AY39,AY61,AY83,AY105),3)*0.1+SMALL((AY17,AY39,AY61,AY83,AY105),4)*0.1+SMALL((AY17,AY39,AY61,AY83,AY105),5)*0.1</f>
        <v>3.9500709009676336</v>
      </c>
      <c r="AZ127" s="74">
        <f>SMALL((AZ17,AZ39,AZ61,AZ83,AZ105),1)*0.4+SMALL((AZ17,AZ39,AZ61,AZ83,AZ105),2)*0.3+SMALL((AZ17,AZ39,AZ61,AZ83,AZ105),3)*0.1+SMALL((AZ17,AZ39,AZ61,AZ83,AZ105),4)*0.1+SMALL((AZ17,AZ39,AZ61,AZ83,AZ105),5)*0.1</f>
        <v>3.8581080515514277</v>
      </c>
      <c r="BA127" s="74">
        <f>SMALL((BA17,BA39,BA61,BA83,BA105),1)*0.4+SMALL((BA17,BA39,BA61,BA83,BA105),2)*0.3+SMALL((BA17,BA39,BA61,BA83,BA105),3)*0.1+SMALL((BA17,BA39,BA61,BA83,BA105),4)*0.1+SMALL((BA17,BA39,BA61,BA83,BA105),5)*0.1</f>
        <v>3.7682862183055081</v>
      </c>
      <c r="BB127" s="74">
        <f>SMALL((BB17,BB39,BB61,BB83,BB105),1)*0.4+SMALL((BB17,BB39,BB61,BB83,BB105),2)*0.3+SMALL((BB17,BB39,BB61,BB83,BB105),3)*0.1+SMALL((BB17,BB39,BB61,BB83,BB105),4)*0.1+SMALL((BB17,BB39,BB61,BB83,BB105),5)*0.1</f>
        <v>3.6805555555555571</v>
      </c>
      <c r="BC127" s="454"/>
      <c r="BD127" s="74">
        <f>SMALL((BD17,BD39,BD61,BD83,BD105),1)*0.4+SMALL((BD17,BD39,BD61,BD83,BD105),2)*0.3+SMALL((BD17,BD39,BD61,BD83,BD105),3)*0.1+SMALL((BD17,BD39,BD61,BD83,BD105),4)*0.1+SMALL((BD17,BD39,BD61,BD83,BD105),5)*0.1</f>
        <v>0.62155830021493996</v>
      </c>
      <c r="BE127" s="74">
        <f>SMALL((BE17,BE39,BE61,BE83,BE105),1)*0.4+SMALL((BE17,BE39,BE61,BE83,BE105),2)*0.3+SMALL((BE17,BE39,BE61,BE83,BE105),3)*0.1+SMALL((BE17,BE39,BE61,BE83,BE105),4)*0.1+SMALL((BE17,BE39,BE61,BE83,BE105),5)*0.1</f>
        <v>0.47862328772078289</v>
      </c>
      <c r="BF127" s="74">
        <f>SMALL((BF17,BF39,BF61,BF83,BF105),1)*0.4+SMALL((BF17,BF39,BF61,BF83,BF105),2)*0.3+SMALL((BF17,BF39,BF61,BF83,BF105),3)*0.1+SMALL((BF17,BF39,BF61,BF83,BF105),4)*0.1+SMALL((BF17,BF39,BF61,BF83,BF105),5)*0.1</f>
        <v>0.39224134821063916</v>
      </c>
      <c r="BG127" s="74">
        <f>SMALL((BG17,BG39,BG61,BG83,BG105),1)*0.4+SMALL((BG17,BG39,BG61,BG83,BG105),2)*0.3+SMALL((BG17,BG39,BG61,BG83,BG105),3)*0.1+SMALL((BG17,BG39,BG61,BG83,BG105),4)*0.1+SMALL((BG17,BG39,BG61,BG83,BG105),5)*0.1</f>
        <v>0.34185123116465843</v>
      </c>
      <c r="BH127" s="74">
        <f>SMALL((BH17,BH39,BH61,BH83,BH105),1)*0.4+SMALL((BH17,BH39,BH61,BH83,BH105),2)*0.3+SMALL((BH17,BH39,BH61,BH83,BH105),3)*0.1+SMALL((BH17,BH39,BH61,BH83,BH105),4)*0.1+SMALL((BH17,BH39,BH61,BH83,BH105),5)*0.1</f>
        <v>0.31272813790346127</v>
      </c>
      <c r="BI127" s="74">
        <f>SMALL((BI17,BI39,BI61,BI83,BI105),1)*0.4+SMALL((BI17,BI39,BI61,BI83,BI105),2)*0.3+SMALL((BI17,BI39,BI61,BI83,BI105),3)*0.1+SMALL((BI17,BI39,BI61,BI83,BI105),4)*0.1+SMALL((BI17,BI39,BI61,BI83,BI105),5)*0.1</f>
        <v>0.28575970301067716</v>
      </c>
      <c r="BJ127" s="74">
        <f>SMALL((BJ17,BJ39,BJ61,BJ83,BJ105),1)*0.4+SMALL((BJ17,BJ39,BJ61,BJ83,BJ105),2)*0.3+SMALL((BJ17,BJ39,BJ61,BJ83,BJ105),3)*0.1+SMALL((BJ17,BJ39,BJ61,BJ83,BJ105),4)*0.1+SMALL((BJ17,BJ39,BJ61,BJ83,BJ105),5)*0.1</f>
        <v>0.27129342731418793</v>
      </c>
      <c r="BK127" s="455"/>
      <c r="BL127" s="74">
        <f>SMALL((BL17,BL39,BL61,BL83,BL105),1)*0.4+SMALL((BL17,BL39,BL61,BL83,BL105),2)*0.3+SMALL((BL17,BL39,BL61,BL83,BL105),3)*0.1+SMALL((BL17,BL39,BL61,BL83,BL105),4)*0.1+SMALL((BL17,BL39,BL61,BL83,BL105),5)*0.1</f>
        <v>0</v>
      </c>
      <c r="BM127" s="74">
        <f>SMALL((BM17,BM39,BM61,BM83,BM105),1)*0.4+SMALL((BM17,BM39,BM61,BM83,BM105),2)*0.3+SMALL((BM17,BM39,BM61,BM83,BM105),3)*0.1+SMALL((BM17,BM39,BM61,BM83,BM105),4)*0.1+SMALL((BM17,BM39,BM61,BM83,BM105),5)*0.1</f>
        <v>0</v>
      </c>
      <c r="BN127" s="74">
        <f>SMALL((BN17,BN39,BN61,BN83,BN105),1)*0.4+SMALL((BN17,BN39,BN61,BN83,BN105),2)*0.3+SMALL((BN17,BN39,BN61,BN83,BN105),3)*0.1+SMALL((BN17,BN39,BN61,BN83,BN105),4)*0.1+SMALL((BN17,BN39,BN61,BN83,BN105),5)*0.1</f>
        <v>0</v>
      </c>
      <c r="BO127" s="74">
        <f>SMALL((BO17,BO39,BO61,BO83,BO105),1)*0.4+SMALL((BO17,BO39,BO61,BO83,BO105),2)*0.3+SMALL((BO17,BO39,BO61,BO83,BO105),3)*0.1+SMALL((BO17,BO39,BO61,BO83,BO105),4)*0.1+SMALL((BO17,BO39,BO61,BO83,BO105),5)*0.1</f>
        <v>0</v>
      </c>
      <c r="BP127" s="74">
        <f>SMALL((BP17,BP39,BP61,BP83,BP105),1)*0.4+SMALL((BP17,BP39,BP61,BP83,BP105),2)*0.3+SMALL((BP17,BP39,BP61,BP83,BP105),3)*0.1+SMALL((BP17,BP39,BP61,BP83,BP105),4)*0.1+SMALL((BP17,BP39,BP61,BP83,BP105),5)*0.1</f>
        <v>0</v>
      </c>
      <c r="BQ127" s="74">
        <f>SMALL((BQ17,BQ39,BQ61,BQ83,BQ105),1)*0.4+SMALL((BQ17,BQ39,BQ61,BQ83,BQ105),2)*0.3+SMALL((BQ17,BQ39,BQ61,BQ83,BQ105),3)*0.1+SMALL((BQ17,BQ39,BQ61,BQ83,BQ105),4)*0.1+SMALL((BQ17,BQ39,BQ61,BQ83,BQ105),5)*0.1</f>
        <v>0</v>
      </c>
      <c r="BR127" s="74">
        <f>SMALL((BR17,BR39,BR61,BR83,BR105),1)*0.4+SMALL((BR17,BR39,BR61,BR83,BR105),2)*0.3+SMALL((BR17,BR39,BR61,BR83,BR105),3)*0.1+SMALL((BR17,BR39,BR61,BR83,BR105),4)*0.1+SMALL((BR17,BR39,BR61,BR83,BR105),5)*0.1</f>
        <v>0</v>
      </c>
      <c r="BS127" s="454"/>
      <c r="BT127" s="74">
        <f>SMALL((BT17,BT39,BT61,BT83,BT105),1)*0.4+SMALL((BT17,BT39,BT61,BT83,BT105),2)*0.3+SMALL((BT17,BT39,BT61,BT83,BT105),3)*0.1+SMALL((BT17,BT39,BT61,BT83,BT105),4)*0.1+SMALL((BT17,BT39,BT61,BT83,BT105),5)*0.1</f>
        <v>22.291666666666671</v>
      </c>
      <c r="BU127" s="74">
        <f>SMALL((BU17,BU39,BU61,BU83,BU105),1)*0.4+SMALL((BU17,BU39,BU61,BU83,BU105),2)*0.3+SMALL((BU17,BU39,BU61,BU83,BU105),3)*0.1+SMALL((BU17,BU39,BU61,BU83,BU105),4)*0.1+SMALL((BU17,BU39,BU61,BU83,BU105),5)*0.1</f>
        <v>9.625</v>
      </c>
      <c r="BV127" s="74">
        <f>SMALL((BV17,BV39,BV61,BV83,BV105),1)*0.4+SMALL((BV17,BV39,BV61,BV83,BV105),2)*0.3+SMALL((BV17,BV39,BV61,BV83,BV105),3)*0.1+SMALL((BV17,BV39,BV61,BV83,BV105),4)*0.1+SMALL((BV17,BV39,BV61,BV83,BV105),5)*0.1</f>
        <v>5.2916666666666679</v>
      </c>
      <c r="BW127" s="74">
        <f>SMALL((BW17,BW39,BW61,BW83,BW105),1)*0.4+SMALL((BW17,BW39,BW61,BW83,BW105),2)*0.3+SMALL((BW17,BW39,BW61,BW83,BW105),3)*0.1+SMALL((BW17,BW39,BW61,BW83,BW105),4)*0.1+SMALL((BW17,BW39,BW61,BW83,BW105),5)*0.1</f>
        <v>5.4791666666666679</v>
      </c>
      <c r="BX127" s="74">
        <f>SMALL((BX17,BX39,BX61,BX83,BX105),1)*0.4+SMALL((BX17,BX39,BX61,BX83,BX105),2)*0.3+SMALL((BX17,BX39,BX61,BX83,BX105),3)*0.1+SMALL((BX17,BX39,BX61,BX83,BX105),4)*0.1+SMALL((BX17,BX39,BX61,BX83,BX105),5)*0.1</f>
        <v>5.4791666666666679</v>
      </c>
      <c r="BY127" s="74">
        <f>SMALL((BY17,BY39,BY61,BY83,BY105),1)*0.4+SMALL((BY17,BY39,BY61,BY83,BY105),2)*0.3+SMALL((BY17,BY39,BY61,BY83,BY105),3)*0.1+SMALL((BY17,BY39,BY61,BY83,BY105),4)*0.1+SMALL((BY17,BY39,BY61,BY83,BY105),5)*0.1</f>
        <v>5.4791666666666679</v>
      </c>
      <c r="BZ127" s="74">
        <f>SMALL((BZ17,BZ39,BZ61,BZ83,BZ105),1)*0.4+SMALL((BZ17,BZ39,BZ61,BZ83,BZ105),2)*0.3+SMALL((BZ17,BZ39,BZ61,BZ83,BZ105),3)*0.1+SMALL((BZ17,BZ39,BZ61,BZ83,BZ105),4)*0.1+SMALL((BZ17,BZ39,BZ61,BZ83,BZ105),5)*0.1</f>
        <v>5.4791666666666679</v>
      </c>
    </row>
    <row r="128" spans="1:78" x14ac:dyDescent="0.2">
      <c r="A128" s="452"/>
      <c r="B128" s="453" t="str">
        <f t="shared" si="147"/>
        <v>Blue hydrogen (compressed) - Global - Fuel cost - USD/GJ</v>
      </c>
      <c r="C128" s="453" t="str">
        <f t="shared" si="148"/>
        <v>Blue hydrogen (compressed) - Global</v>
      </c>
      <c r="D128" s="74">
        <f t="shared" si="149"/>
        <v>120</v>
      </c>
      <c r="E128" t="s">
        <v>109</v>
      </c>
      <c r="F128" t="str">
        <f t="shared" si="150"/>
        <v>Blue hydrogen (compressed)</v>
      </c>
      <c r="G128" t="s">
        <v>828</v>
      </c>
      <c r="H128" s="74">
        <f>SMALL((H18,H40,H62,H84,H106),1)*0.4+SMALL((H18,H40,H62,H84,H106),2)*0.3+SMALL((H18,H40,H62,H84,H106),3)*0.1+SMALL((H18,H40,H62,H84,H106),4)*0.1+SMALL((H18,H40,H62,H84,H106),5)*0.1</f>
        <v>43.454694429769951</v>
      </c>
      <c r="I128" s="74">
        <f>SMALL((I18,I40,I62,I84,I106),1)*0.4+SMALL((I18,I40,I62,I84,I106),2)*0.3+SMALL((I18,I40,I62,I84,I106),3)*0.1+SMALL((I18,I40,I62,I84,I106),4)*0.1+SMALL((I18,I40,I62,I84,I106),5)*0.1</f>
        <v>24.257107422544799</v>
      </c>
      <c r="J128" s="74">
        <f>SMALL((J18,J40,J62,J84,J106),1)*0.4+SMALL((J18,J40,J62,J84,J106),2)*0.3+SMALL((J18,J40,J62,J84,J106),3)*0.1+SMALL((J18,J40,J62,J84,J106),4)*0.1+SMALL((J18,J40,J62,J84,J106),5)*0.1</f>
        <v>17.432444683208384</v>
      </c>
      <c r="K128" s="74">
        <f>SMALL((K18,K40,K62,K84,K106),1)*0.4+SMALL((K18,K40,K62,K84,K106),2)*0.3+SMALL((K18,K40,K62,K84,K106),3)*0.1+SMALL((K18,K40,K62,K84,K106),4)*0.1+SMALL((K18,K40,K62,K84,K106),5)*0.1</f>
        <v>17.022788845923486</v>
      </c>
      <c r="L128" s="74">
        <f>SMALL((L18,L40,L62,L84,L106),1)*0.4+SMALL((L18,L40,L62,L84,L106),2)*0.3+SMALL((L18,L40,L62,L84,L106),3)*0.1+SMALL((L18,L40,L62,L84,L106),4)*0.1+SMALL((L18,L40,L62,L84,L106),5)*0.1</f>
        <v>16.43324359671227</v>
      </c>
      <c r="M128" s="74">
        <f>SMALL((M18,M40,M62,M84,M106),1)*0.4+SMALL((M18,M40,M62,M84,M106),2)*0.3+SMALL((M18,M40,M62,M84,M106),3)*0.1+SMALL((M18,M40,M62,M84,M106),4)*0.1+SMALL((M18,M40,M62,M84,M106),5)*0.1</f>
        <v>15.897737005244112</v>
      </c>
      <c r="N128" s="74">
        <f>SMALL((N18,N40,N62,N84,N106),1)*0.4+SMALL((N18,N40,N62,N84,N106),2)*0.3+SMALL((N18,N40,N62,N84,N106),3)*0.1+SMALL((N18,N40,N62,N84,N106),4)*0.1+SMALL((N18,N40,N62,N84,N106),5)*0.1</f>
        <v>15.416016510231046</v>
      </c>
      <c r="O128" s="454"/>
      <c r="P128" s="74">
        <f>SMALL((P18,P40,P62,P84,P106),1)*0.4+SMALL((P18,P40,P62,P84,P106),2)*0.3+SMALL((P18,P40,P62,P84,P106),3)*0.1+SMALL((P18,P40,P62,P84,P106),4)*0.1+SMALL((P18,P40,P62,P84,P106),5)*0.1</f>
        <v>0</v>
      </c>
      <c r="Q128" s="74">
        <f>SMALL((Q18,Q40,Q62,Q84,Q106),1)*0.4+SMALL((Q18,Q40,Q62,Q84,Q106),2)*0.3+SMALL((Q18,Q40,Q62,Q84,Q106),3)*0.1+SMALL((Q18,Q40,Q62,Q84,Q106),4)*0.1+SMALL((Q18,Q40,Q62,Q84,Q106),5)*0.1</f>
        <v>0</v>
      </c>
      <c r="R128" s="74">
        <f>SMALL((R18,R40,R62,R84,R106),1)*0.4+SMALL((R18,R40,R62,R84,R106),2)*0.3+SMALL((R18,R40,R62,R84,R106),3)*0.1+SMALL((R18,R40,R62,R84,R106),4)*0.1+SMALL((R18,R40,R62,R84,R106),5)*0.1</f>
        <v>0</v>
      </c>
      <c r="S128" s="74">
        <f>SMALL((S18,S40,S62,S84,S106),1)*0.4+SMALL((S18,S40,S62,S84,S106),2)*0.3+SMALL((S18,S40,S62,S84,S106),3)*0.1+SMALL((S18,S40,S62,S84,S106),4)*0.1+SMALL((S18,S40,S62,S84,S106),5)*0.1</f>
        <v>0</v>
      </c>
      <c r="T128" s="74">
        <f>SMALL((T18,T40,T62,T84,T106),1)*0.4+SMALL((T18,T40,T62,T84,T106),2)*0.3+SMALL((T18,T40,T62,T84,T106),3)*0.1+SMALL((T18,T40,T62,T84,T106),4)*0.1+SMALL((T18,T40,T62,T84,T106),5)*0.1</f>
        <v>0</v>
      </c>
      <c r="U128" s="74">
        <f>SMALL((U18,U40,U62,U84,U106),1)*0.4+SMALL((U18,U40,U62,U84,U106),2)*0.3+SMALL((U18,U40,U62,U84,U106),3)*0.1+SMALL((U18,U40,U62,U84,U106),4)*0.1+SMALL((U18,U40,U62,U84,U106),5)*0.1</f>
        <v>0</v>
      </c>
      <c r="V128" s="74">
        <f>SMALL((V18,V40,V62,V84,V106),1)*0.4+SMALL((V18,V40,V62,V84,V106),2)*0.3+SMALL((V18,V40,V62,V84,V106),3)*0.1+SMALL((V18,V40,V62,V84,V106),4)*0.1+SMALL((V18,V40,V62,V84,V106),5)*0.1</f>
        <v>0</v>
      </c>
      <c r="W128"/>
      <c r="X128" s="2">
        <f t="shared" si="154"/>
        <v>16.554438014523402</v>
      </c>
      <c r="Y128" s="2">
        <f t="shared" si="154"/>
        <v>15.574124293785308</v>
      </c>
      <c r="Z128" s="2">
        <f t="shared" si="154"/>
        <v>14.600917572643572</v>
      </c>
      <c r="AA128" s="2">
        <f t="shared" si="154"/>
        <v>13.634676043469213</v>
      </c>
      <c r="AB128" s="2">
        <f t="shared" si="154"/>
        <v>12.675260769600246</v>
      </c>
      <c r="AC128" s="2">
        <f t="shared" si="154"/>
        <v>11.722535627054755</v>
      </c>
      <c r="AD128" s="2">
        <f t="shared" si="154"/>
        <v>10.776367231638421</v>
      </c>
      <c r="AE128"/>
      <c r="AF128" s="2">
        <f t="shared" si="155"/>
        <v>0</v>
      </c>
      <c r="AG128" s="2">
        <f t="shared" si="155"/>
        <v>0</v>
      </c>
      <c r="AH128" s="2">
        <f t="shared" si="155"/>
        <v>0</v>
      </c>
      <c r="AI128" s="2">
        <f t="shared" si="155"/>
        <v>0</v>
      </c>
      <c r="AJ128" s="2">
        <f t="shared" si="155"/>
        <v>0</v>
      </c>
      <c r="AK128" s="2">
        <f t="shared" si="155"/>
        <v>0</v>
      </c>
      <c r="AL128" s="2">
        <f t="shared" si="155"/>
        <v>0</v>
      </c>
      <c r="AM128"/>
      <c r="AN128" s="2">
        <f t="shared" si="156"/>
        <v>16.554438014523402</v>
      </c>
      <c r="AO128" s="2">
        <f t="shared" si="156"/>
        <v>15.574124293785308</v>
      </c>
      <c r="AP128" s="2">
        <f t="shared" si="156"/>
        <v>14.600917572643572</v>
      </c>
      <c r="AQ128" s="2">
        <f t="shared" si="156"/>
        <v>13.634676043469213</v>
      </c>
      <c r="AR128" s="2">
        <f t="shared" si="156"/>
        <v>12.675260769600246</v>
      </c>
      <c r="AS128" s="2">
        <f t="shared" si="156"/>
        <v>11.722535627054755</v>
      </c>
      <c r="AT128" s="2">
        <f t="shared" si="156"/>
        <v>10.776367231638421</v>
      </c>
      <c r="AU128"/>
      <c r="AV128" s="74">
        <f>SMALL((AV18,AV40,AV62,AV84,AV106),1)*0.4+SMALL((AV18,AV40,AV62,AV84,AV106),2)*0.3+SMALL((AV18,AV40,AV62,AV84,AV106),3)*0.1+SMALL((AV18,AV40,AV62,AV84,AV106),4)*0.1+SMALL((AV18,AV40,AV62,AV84,AV106),5)*0.1</f>
        <v>2.2903448472850982</v>
      </c>
      <c r="AW128" s="74">
        <f>SMALL((AW18,AW40,AW62,AW84,AW106),1)*0.4+SMALL((AW18,AW40,AW62,AW84,AW106),2)*0.3+SMALL((AW18,AW40,AW62,AW84,AW106),3)*0.1+SMALL((AW18,AW40,AW62,AW84,AW106),4)*0.1+SMALL((AW18,AW40,AW62,AW84,AW106),5)*0.1</f>
        <v>2.2083333333333339</v>
      </c>
      <c r="AX128" s="74">
        <f>SMALL((AX18,AX40,AX62,AX84,AX106),1)*0.4+SMALL((AX18,AX40,AX62,AX84,AX106),2)*0.3+SMALL((AX18,AX40,AX62,AX84,AX106),3)*0.1+SMALL((AX18,AX40,AX62,AX84,AX106),4)*0.1+SMALL((AX18,AX40,AX62,AX84,AX106),5)*0.1</f>
        <v>2.1292584463391355</v>
      </c>
      <c r="AY128" s="74">
        <f>SMALL((AY18,AY40,AY62,AY84,AY106),1)*0.4+SMALL((AY18,AY40,AY62,AY84,AY106),2)*0.3+SMALL((AY18,AY40,AY62,AY84,AY106),3)*0.1+SMALL((AY18,AY40,AY62,AY84,AY106),4)*0.1+SMALL((AY18,AY40,AY62,AY84,AY106),5)*0.1</f>
        <v>2.053015033044475</v>
      </c>
      <c r="AZ128" s="74">
        <f>SMALL((AZ18,AZ40,AZ62,AZ84,AZ106),1)*0.4+SMALL((AZ18,AZ40,AZ62,AZ84,AZ106),2)*0.3+SMALL((AZ18,AZ40,AZ62,AZ84,AZ106),3)*0.1+SMALL((AZ18,AZ40,AZ62,AZ84,AZ106),4)*0.1+SMALL((AZ18,AZ40,AZ62,AZ84,AZ106),5)*0.1</f>
        <v>1.9795017054661888</v>
      </c>
      <c r="BA128" s="74">
        <f>SMALL((BA18,BA40,BA62,BA84,BA106),1)*0.4+SMALL((BA18,BA40,BA62,BA84,BA106),2)*0.3+SMALL((BA18,BA40,BA62,BA84,BA106),3)*0.1+SMALL((BA18,BA40,BA62,BA84,BA106),4)*0.1+SMALL((BA18,BA40,BA62,BA84,BA106),5)*0.1</f>
        <v>1.9086207060709157</v>
      </c>
      <c r="BB128" s="74">
        <f>SMALL((BB18,BB40,BB62,BB84,BB106),1)*0.4+SMALL((BB18,BB40,BB62,BB84,BB106),2)*0.3+SMALL((BB18,BB40,BB62,BB84,BB106),3)*0.1+SMALL((BB18,BB40,BB62,BB84,BB106),4)*0.1+SMALL((BB18,BB40,BB62,BB84,BB106),5)*0.1</f>
        <v>1.8402777777777783</v>
      </c>
      <c r="BC128" s="454"/>
      <c r="BD128" s="74">
        <f>SMALL((BD18,BD40,BD62,BD84,BD106),1)*0.4+SMALL((BD18,BD40,BD62,BD84,BD106),2)*0.3+SMALL((BD18,BD40,BD62,BD84,BD106),3)*0.1+SMALL((BD18,BD40,BD62,BD84,BD106),4)*0.1+SMALL((BD18,BD40,BD62,BD84,BD106),5)*0.1</f>
        <v>3.4134855555681871</v>
      </c>
      <c r="BE128" s="74">
        <f>SMALL((BE18,BE40,BE62,BE84,BE106),1)*0.4+SMALL((BE18,BE40,BE62,BE84,BE106),2)*0.3+SMALL((BE18,BE40,BE62,BE84,BE106),3)*0.1+SMALL((BE18,BE40,BE62,BE84,BE106),4)*0.1+SMALL((BE18,BE40,BE62,BE84,BE106),5)*0.1</f>
        <v>2.8350363014045481</v>
      </c>
      <c r="BF128" s="74">
        <f>SMALL((BF18,BF40,BF62,BF84,BF106),1)*0.4+SMALL((BF18,BF40,BF62,BF84,BF106),2)*0.3+SMALL((BF18,BF40,BF62,BF84,BF106),3)*0.1+SMALL((BF18,BF40,BF62,BF84,BF106),4)*0.1+SMALL((BF18,BF40,BF62,BF84,BF106),5)*0.1</f>
        <v>2.3730147624609161</v>
      </c>
      <c r="BG128" s="74">
        <f>SMALL((BG18,BG40,BG62,BG84,BG106),1)*0.4+SMALL((BG18,BG40,BG62,BG84,BG106),2)*0.3+SMALL((BG18,BG40,BG62,BG84,BG106),3)*0.1+SMALL((BG18,BG40,BG62,BG84,BG106),4)*0.1+SMALL((BG18,BG40,BG62,BG84,BG106),5)*0.1</f>
        <v>2.0006858034456769</v>
      </c>
      <c r="BH128" s="74">
        <f>SMALL((BH18,BH40,BH62,BH84,BH106),1)*0.4+SMALL((BH18,BH40,BH62,BH84,BH106),2)*0.3+SMALL((BH18,BH40,BH62,BH84,BH106),3)*0.1+SMALL((BH18,BH40,BH62,BH84,BH106),4)*0.1+SMALL((BH18,BH40,BH62,BH84,BH106),5)*0.1</f>
        <v>1.697382239787746</v>
      </c>
      <c r="BI128" s="74">
        <f>SMALL((BI18,BI40,BI62,BI84,BI106),1)*0.4+SMALL((BI18,BI40,BI62,BI84,BI106),2)*0.3+SMALL((BI18,BI40,BI62,BI84,BI106),3)*0.1+SMALL((BI18,BI40,BI62,BI84,BI106),4)*0.1+SMALL((BI18,BI40,BI62,BI84,BI106),5)*0.1</f>
        <v>1.4410296026981946</v>
      </c>
      <c r="BJ128" s="74">
        <f>SMALL((BJ18,BJ40,BJ62,BJ84,BJ106),1)*0.4+SMALL((BJ18,BJ40,BJ62,BJ84,BJ106),2)*0.3+SMALL((BJ18,BJ40,BJ62,BJ84,BJ106),3)*0.1+SMALL((BJ18,BJ40,BJ62,BJ84,BJ106),4)*0.1+SMALL((BJ18,BJ40,BJ62,BJ84,BJ106),5)*0.1</f>
        <v>1.2315720657865983</v>
      </c>
      <c r="BK128" s="455"/>
      <c r="BL128" s="74">
        <f>SMALL((BL18,BL40,BL62,BL84,BL106),1)*0.4+SMALL((BL18,BL40,BL62,BL84,BL106),2)*0.3+SMALL((BL18,BL40,BL62,BL84,BL106),3)*0.1+SMALL((BL18,BL40,BL62,BL84,BL106),4)*0.1+SMALL((BL18,BL40,BL62,BL84,BL106),5)*0.1</f>
        <v>5.6632688362500003</v>
      </c>
      <c r="BM128" s="74">
        <f>SMALL((BM18,BM40,BM62,BM84,BM106),1)*0.4+SMALL((BM18,BM40,BM62,BM84,BM106),2)*0.3+SMALL((BM18,BM40,BM62,BM84,BM106),3)*0.1+SMALL((BM18,BM40,BM62,BM84,BM106),4)*0.1+SMALL((BM18,BM40,BM62,BM84,BM106),5)*0.1</f>
        <v>5.625</v>
      </c>
      <c r="BN128" s="74">
        <f>SMALL((BN18,BN40,BN62,BN84,BN106),1)*0.4+SMALL((BN18,BN40,BN62,BN84,BN106),2)*0.3+SMALL((BN18,BN40,BN62,BN84,BN106),3)*0.1+SMALL((BN18,BN40,BN62,BN84,BN106),4)*0.1+SMALL((BN18,BN40,BN62,BN84,BN106),5)*0.1</f>
        <v>5.5869897606249994</v>
      </c>
      <c r="BO128" s="74">
        <f>SMALL((BO18,BO40,BO62,BO84,BO106),1)*0.4+SMALL((BO18,BO40,BO62,BO84,BO106),2)*0.3+SMALL((BO18,BO40,BO62,BO84,BO106),3)*0.1+SMALL((BO18,BO40,BO62,BO84,BO106),4)*0.1+SMALL((BO18,BO40,BO62,BO84,BO106),5)*0.1</f>
        <v>5.5492363706250005</v>
      </c>
      <c r="BP128" s="74">
        <f>SMALL((BP18,BP40,BP62,BP84,BP106),1)*0.4+SMALL((BP18,BP40,BP62,BP84,BP106),2)*0.3+SMALL((BP18,BP40,BP62,BP84,BP106),3)*0.1+SMALL((BP18,BP40,BP62,BP84,BP106),4)*0.1+SMALL((BP18,BP40,BP62,BP84,BP106),5)*0.1</f>
        <v>5.5117380943750014</v>
      </c>
      <c r="BQ128" s="74">
        <f>SMALL((BQ18,BQ40,BQ62,BQ84,BQ106),1)*0.4+SMALL((BQ18,BQ40,BQ62,BQ84,BQ106),2)*0.3+SMALL((BQ18,BQ40,BQ62,BQ84,BQ106),3)*0.1+SMALL((BQ18,BQ40,BQ62,BQ84,BQ106),4)*0.1+SMALL((BQ18,BQ40,BQ62,BQ84,BQ106),5)*0.1</f>
        <v>5.4744932087499993</v>
      </c>
      <c r="BR128" s="74">
        <f>SMALL((BR18,BR40,BR62,BR84,BR106),1)*0.4+SMALL((BR18,BR40,BR62,BR84,BR106),2)*0.3+SMALL((BR18,BR40,BR62,BR84,BR106),3)*0.1+SMALL((BR18,BR40,BR62,BR84,BR106),4)*0.1+SMALL((BR18,BR40,BR62,BR84,BR106),5)*0.1</f>
        <v>5.4375000000000009</v>
      </c>
      <c r="BS128" s="454"/>
      <c r="BT128" s="74">
        <f>SMALL((BT18,BT40,BT62,BT84,BT106),1)*0.4+SMALL((BT18,BT40,BT62,BT84,BT106),2)*0.3+SMALL((BT18,BT40,BT62,BT84,BT106),3)*0.1+SMALL((BT18,BT40,BT62,BT84,BT106),4)*0.1+SMALL((BT18,BT40,BT62,BT84,BT106),5)*0.1</f>
        <v>32.087595190666669</v>
      </c>
      <c r="BU128" s="74">
        <f>SMALL((BU18,BU40,BU62,BU84,BU106),1)*0.4+SMALL((BU18,BU40,BU62,BU84,BU106),2)*0.3+SMALL((BU18,BU40,BU62,BU84,BU106),3)*0.1+SMALL((BU18,BU40,BU62,BU84,BU106),4)*0.1+SMALL((BU18,BU40,BU62,BU84,BU106),5)*0.1</f>
        <v>13.587500000000002</v>
      </c>
      <c r="BV128" s="74">
        <f>SMALL((BV18,BV40,BV62,BV84,BV106),1)*0.4+SMALL((BV18,BV40,BV62,BV84,BV106),2)*0.3+SMALL((BV18,BV40,BV62,BV84,BV106),3)*0.1+SMALL((BV18,BV40,BV62,BV84,BV106),4)*0.1+SMALL((BV18,BV40,BV62,BV84,BV106),5)*0.1</f>
        <v>7.3431817137833333</v>
      </c>
      <c r="BW128" s="74">
        <f>SMALL((BW18,BW40,BW62,BW84,BW106),1)*0.4+SMALL((BW18,BW40,BW62,BW84,BW106),2)*0.3+SMALL((BW18,BW40,BW62,BW84,BW106),3)*0.1+SMALL((BW18,BW40,BW62,BW84,BW106),4)*0.1+SMALL((BW18,BW40,BW62,BW84,BW106),5)*0.1</f>
        <v>7.4198516388083338</v>
      </c>
      <c r="BX128" s="74">
        <f>SMALL((BX18,BX40,BX62,BX84,BX106),1)*0.4+SMALL((BX18,BX40,BX62,BX84,BX106),2)*0.3+SMALL((BX18,BX40,BX62,BX84,BX106),3)*0.1+SMALL((BX18,BX40,BX62,BX84,BX106),4)*0.1+SMALL((BX18,BX40,BX62,BX84,BX106),5)*0.1</f>
        <v>7.2446215570833328</v>
      </c>
      <c r="BY128" s="74">
        <f>SMALL((BY18,BY40,BY62,BY84,BY106),1)*0.4+SMALL((BY18,BY40,BY62,BY84,BY106),2)*0.3+SMALL((BY18,BY40,BY62,BY84,BY106),3)*0.1+SMALL((BY18,BY40,BY62,BY84,BY106),4)*0.1+SMALL((BY18,BY40,BY62,BY84,BY106),5)*0.1</f>
        <v>7.0735934877250006</v>
      </c>
      <c r="BZ128" s="74">
        <f>SMALL((BZ18,BZ40,BZ62,BZ84,BZ106),1)*0.4+SMALL((BZ18,BZ40,BZ62,BZ84,BZ106),2)*0.3+SMALL((BZ18,BZ40,BZ62,BZ84,BZ106),3)*0.1+SMALL((BZ18,BZ40,BZ62,BZ84,BZ106),4)*0.1+SMALL((BZ18,BZ40,BZ62,BZ84,BZ106),5)*0.1</f>
        <v>6.9066666666666663</v>
      </c>
    </row>
    <row r="129" spans="1:78" x14ac:dyDescent="0.2">
      <c r="A129" s="452"/>
      <c r="B129" s="453" t="str">
        <f t="shared" si="147"/>
        <v>Blue hydrogen (liquid) - Global - Fuel cost - USD/GJ</v>
      </c>
      <c r="C129" s="453" t="str">
        <f t="shared" si="148"/>
        <v>Blue hydrogen (liquid) - Global</v>
      </c>
      <c r="D129" s="74">
        <f t="shared" si="149"/>
        <v>120</v>
      </c>
      <c r="E129" t="s">
        <v>109</v>
      </c>
      <c r="F129" t="str">
        <f t="shared" si="150"/>
        <v>Blue hydrogen (liquid)</v>
      </c>
      <c r="G129" t="s">
        <v>828</v>
      </c>
      <c r="H129" s="74">
        <f>SMALL((H19,H41,H63,H85,H107),1)*0.4+SMALL((H19,H41,H63,H85,H107),2)*0.3+SMALL((H19,H41,H63,H85,H107),3)*0.1+SMALL((H19,H41,H63,H85,H107),4)*0.1+SMALL((H19,H41,H63,H85,H107),5)*0.1</f>
        <v>56.329992287719108</v>
      </c>
      <c r="I129" s="74">
        <f>SMALL((I19,I41,I63,I85,I107),1)*0.4+SMALL((I19,I41,I63,I85,I107),2)*0.3+SMALL((I19,I41,I63,I85,I107),3)*0.1+SMALL((I19,I41,I63,I85,I107),4)*0.1+SMALL((I19,I41,I63,I85,I107),5)*0.1</f>
        <v>36.290110373442502</v>
      </c>
      <c r="J129" s="74">
        <f>SMALL((J19,J41,J63,J85,J107),1)*0.4+SMALL((J19,J41,J63,J85,J107),2)*0.3+SMALL((J19,J41,J63,J85,J107),3)*0.1+SMALL((J19,J41,J63,J85,J107),4)*0.1+SMALL((J19,J41,J63,J85,J107),5)*0.1</f>
        <v>28.93948472753187</v>
      </c>
      <c r="K129" s="74">
        <f>SMALL((K19,K41,K63,K85,K107),1)*0.4+SMALL((K19,K41,K63,K85,K107),2)*0.3+SMALL((K19,K41,K63,K85,K107),3)*0.1+SMALL((K19,K41,K63,K85,K107),4)*0.1+SMALL((K19,K41,K63,K85,K107),5)*0.1</f>
        <v>28.229167858539277</v>
      </c>
      <c r="L129" s="74">
        <f>SMALL((L19,L41,L63,L85,L107),1)*0.4+SMALL((L19,L41,L63,L85,L107),2)*0.3+SMALL((L19,L41,L63,L85,L107),3)*0.1+SMALL((L19,L41,L63,L85,L107),4)*0.1+SMALL((L19,L41,L63,L85,L107),5)*0.1</f>
        <v>27.465854819536258</v>
      </c>
      <c r="M129" s="74">
        <f>SMALL((M19,M41,M63,M85,M107),1)*0.4+SMALL((M19,M41,M63,M85,M107),2)*0.3+SMALL((M19,M41,M63,M85,M107),3)*0.1+SMALL((M19,M41,M63,M85,M107),4)*0.1+SMALL((M19,M41,M63,M85,M107),5)*0.1</f>
        <v>26.769436566541149</v>
      </c>
      <c r="N129" s="74">
        <f>SMALL((N19,N41,N63,N85,N107),1)*0.4+SMALL((N19,N41,N63,N85,N107),2)*0.3+SMALL((N19,N41,N63,N85,N107),3)*0.1+SMALL((N19,N41,N63,N85,N107),4)*0.1+SMALL((N19,N41,N63,N85,N107),5)*0.1</f>
        <v>26.201400626539034</v>
      </c>
      <c r="O129" s="454"/>
      <c r="P129" s="74">
        <f>SMALL((P19,P41,P63,P85,P107),1)*0.4+SMALL((P19,P41,P63,P85,P107),2)*0.3+SMALL((P19,P41,P63,P85,P107),3)*0.1+SMALL((P19,P41,P63,P85,P107),4)*0.1+SMALL((P19,P41,P63,P85,P107),5)*0.1</f>
        <v>0</v>
      </c>
      <c r="Q129" s="74">
        <f>SMALL((Q19,Q41,Q63,Q85,Q107),1)*0.4+SMALL((Q19,Q41,Q63,Q85,Q107),2)*0.3+SMALL((Q19,Q41,Q63,Q85,Q107),3)*0.1+SMALL((Q19,Q41,Q63,Q85,Q107),4)*0.1+SMALL((Q19,Q41,Q63,Q85,Q107),5)*0.1</f>
        <v>0</v>
      </c>
      <c r="R129" s="74">
        <f>SMALL((R19,R41,R63,R85,R107),1)*0.4+SMALL((R19,R41,R63,R85,R107),2)*0.3+SMALL((R19,R41,R63,R85,R107),3)*0.1+SMALL((R19,R41,R63,R85,R107),4)*0.1+SMALL((R19,R41,R63,R85,R107),5)*0.1</f>
        <v>0</v>
      </c>
      <c r="S129" s="74">
        <f>SMALL((S19,S41,S63,S85,S107),1)*0.4+SMALL((S19,S41,S63,S85,S107),2)*0.3+SMALL((S19,S41,S63,S85,S107),3)*0.1+SMALL((S19,S41,S63,S85,S107),4)*0.1+SMALL((S19,S41,S63,S85,S107),5)*0.1</f>
        <v>0</v>
      </c>
      <c r="T129" s="74">
        <f>SMALL((T19,T41,T63,T85,T107),1)*0.4+SMALL((T19,T41,T63,T85,T107),2)*0.3+SMALL((T19,T41,T63,T85,T107),3)*0.1+SMALL((T19,T41,T63,T85,T107),4)*0.1+SMALL((T19,T41,T63,T85,T107),5)*0.1</f>
        <v>0</v>
      </c>
      <c r="U129" s="74">
        <f>SMALL((U19,U41,U63,U85,U107),1)*0.4+SMALL((U19,U41,U63,U85,U107),2)*0.3+SMALL((U19,U41,U63,U85,U107),3)*0.1+SMALL((U19,U41,U63,U85,U107),4)*0.1+SMALL((U19,U41,U63,U85,U107),5)*0.1</f>
        <v>0</v>
      </c>
      <c r="V129" s="74">
        <f>SMALL((V19,V41,V63,V85,V107),1)*0.4+SMALL((V19,V41,V63,V85,V107),2)*0.3+SMALL((V19,V41,V63,V85,V107),3)*0.1+SMALL((V19,V41,V63,V85,V107),4)*0.1+SMALL((V19,V41,V63,V85,V107),5)*0.1</f>
        <v>0</v>
      </c>
      <c r="W129"/>
      <c r="X129" s="2">
        <f t="shared" si="154"/>
        <v>16.554438014523402</v>
      </c>
      <c r="Y129" s="2">
        <f t="shared" si="154"/>
        <v>15.574124293785308</v>
      </c>
      <c r="Z129" s="2">
        <f t="shared" si="154"/>
        <v>14.600917572643572</v>
      </c>
      <c r="AA129" s="2">
        <f t="shared" si="154"/>
        <v>13.634676043469213</v>
      </c>
      <c r="AB129" s="2">
        <f t="shared" si="154"/>
        <v>12.675260769600246</v>
      </c>
      <c r="AC129" s="2">
        <f t="shared" si="154"/>
        <v>11.722535627054755</v>
      </c>
      <c r="AD129" s="2">
        <f t="shared" si="154"/>
        <v>10.776367231638421</v>
      </c>
      <c r="AE129"/>
      <c r="AF129" s="2">
        <f t="shared" si="155"/>
        <v>0</v>
      </c>
      <c r="AG129" s="2">
        <f t="shared" si="155"/>
        <v>0</v>
      </c>
      <c r="AH129" s="2">
        <f t="shared" si="155"/>
        <v>0</v>
      </c>
      <c r="AI129" s="2">
        <f t="shared" si="155"/>
        <v>0</v>
      </c>
      <c r="AJ129" s="2">
        <f t="shared" si="155"/>
        <v>0</v>
      </c>
      <c r="AK129" s="2">
        <f t="shared" si="155"/>
        <v>0</v>
      </c>
      <c r="AL129" s="2">
        <f t="shared" si="155"/>
        <v>0</v>
      </c>
      <c r="AM129"/>
      <c r="AN129" s="2">
        <f t="shared" si="156"/>
        <v>16.554438014523402</v>
      </c>
      <c r="AO129" s="2">
        <f t="shared" si="156"/>
        <v>15.574124293785308</v>
      </c>
      <c r="AP129" s="2">
        <f t="shared" si="156"/>
        <v>14.600917572643572</v>
      </c>
      <c r="AQ129" s="2">
        <f t="shared" si="156"/>
        <v>13.634676043469213</v>
      </c>
      <c r="AR129" s="2">
        <f t="shared" si="156"/>
        <v>12.675260769600246</v>
      </c>
      <c r="AS129" s="2">
        <f t="shared" si="156"/>
        <v>11.722535627054755</v>
      </c>
      <c r="AT129" s="2">
        <f t="shared" si="156"/>
        <v>10.776367231638421</v>
      </c>
      <c r="AU129"/>
      <c r="AV129" s="74">
        <f>SMALL((AV19,AV41,AV63,AV85,AV107),1)*0.4+SMALL((AV19,AV41,AV63,AV85,AV107),2)*0.3+SMALL((AV19,AV41,AV63,AV85,AV107),3)*0.1+SMALL((AV19,AV41,AV63,AV85,AV107),4)*0.1+SMALL((AV19,AV41,AV63,AV85,AV107),5)*0.1</f>
        <v>10.623678180618434</v>
      </c>
      <c r="AW129" s="74">
        <f>SMALL((AW19,AW41,AW63,AW85,AW107),1)*0.4+SMALL((AW19,AW41,AW63,AW85,AW107),2)*0.3+SMALL((AW19,AW41,AW63,AW85,AW107),3)*0.1+SMALL((AW19,AW41,AW63,AW85,AW107),4)*0.1+SMALL((AW19,AW41,AW63,AW85,AW107),5)*0.1</f>
        <v>10.541666666666668</v>
      </c>
      <c r="AX129" s="74">
        <f>SMALL((AX19,AX41,AX63,AX85,AX107),1)*0.4+SMALL((AX19,AX41,AX63,AX85,AX107),2)*0.3+SMALL((AX19,AX41,AX63,AX85,AX107),3)*0.1+SMALL((AX19,AX41,AX63,AX85,AX107),4)*0.1+SMALL((AX19,AX41,AX63,AX85,AX107),5)*0.1</f>
        <v>10.46259177967247</v>
      </c>
      <c r="AY129" s="74">
        <f>SMALL((AY19,AY41,AY63,AY85,AY107),1)*0.4+SMALL((AY19,AY41,AY63,AY85,AY107),2)*0.3+SMALL((AY19,AY41,AY63,AY85,AY107),3)*0.1+SMALL((AY19,AY41,AY63,AY85,AY107),4)*0.1+SMALL((AY19,AY41,AY63,AY85,AY107),5)*0.1</f>
        <v>10.386348366377808</v>
      </c>
      <c r="AZ129" s="74">
        <f>SMALL((AZ19,AZ41,AZ63,AZ85,AZ107),1)*0.4+SMALL((AZ19,AZ41,AZ63,AZ85,AZ107),2)*0.3+SMALL((AZ19,AZ41,AZ63,AZ85,AZ107),3)*0.1+SMALL((AZ19,AZ41,AZ63,AZ85,AZ107),4)*0.1+SMALL((AZ19,AZ41,AZ63,AZ85,AZ107),5)*0.1</f>
        <v>10.312835038799525</v>
      </c>
      <c r="BA129" s="74">
        <f>SMALL((BA19,BA41,BA63,BA85,BA107),1)*0.4+SMALL((BA19,BA41,BA63,BA85,BA107),2)*0.3+SMALL((BA19,BA41,BA63,BA85,BA107),3)*0.1+SMALL((BA19,BA41,BA63,BA85,BA107),4)*0.1+SMALL((BA19,BA41,BA63,BA85,BA107),5)*0.1</f>
        <v>10.241954039404249</v>
      </c>
      <c r="BB129" s="74">
        <f>SMALL((BB19,BB41,BB63,BB85,BB107),1)*0.4+SMALL((BB19,BB41,BB63,BB85,BB107),2)*0.3+SMALL((BB19,BB41,BB63,BB85,BB107),3)*0.1+SMALL((BB19,BB41,BB63,BB85,BB107),4)*0.1+SMALL((BB19,BB41,BB63,BB85,BB107),5)*0.1</f>
        <v>10.173611111111111</v>
      </c>
      <c r="BC129" s="454"/>
      <c r="BD129" s="74">
        <f>SMALL((BD19,BD41,BD63,BD85,BD107),1)*0.4+SMALL((BD19,BD41,BD63,BD85,BD107),2)*0.3+SMALL((BD19,BD41,BD63,BD85,BD107),3)*0.1+SMALL((BD19,BD41,BD63,BD85,BD107),4)*0.1+SMALL((BD19,BD41,BD63,BD85,BD107),5)*0.1</f>
        <v>7.9554500801839962</v>
      </c>
      <c r="BE129" s="74">
        <f>SMALL((BE19,BE41,BE63,BE85,BE107),1)*0.4+SMALL((BE19,BE41,BE63,BE85,BE107),2)*0.3+SMALL((BE19,BE41,BE63,BE85,BE107),3)*0.1+SMALL((BE19,BE41,BE63,BE85,BE107),4)*0.1+SMALL((BE19,BE41,BE63,BE85,BE107),5)*0.1</f>
        <v>6.5241552514718872</v>
      </c>
      <c r="BF129" s="74">
        <f>SMALL((BF19,BF41,BF63,BF85,BF107),1)*0.4+SMALL((BF19,BF41,BF63,BF85,BF107),2)*0.3+SMALL((BF19,BF41,BF63,BF85,BF107),3)*0.1+SMALL((BF19,BF41,BF63,BF85,BF107),4)*0.1+SMALL((BF19,BF41,BF63,BF85,BF107),5)*0.1</f>
        <v>5.546721473451063</v>
      </c>
      <c r="BG129" s="74">
        <f>SMALL((BG19,BG41,BG63,BG85,BG107),1)*0.4+SMALL((BG19,BG41,BG63,BG85,BG107),2)*0.3+SMALL((BG19,BG41,BG63,BG85,BG107),3)*0.1+SMALL((BG19,BG41,BG63,BG85,BG107),4)*0.1+SMALL((BG19,BG41,BG63,BG85,BG107),5)*0.1</f>
        <v>4.8737314827281395</v>
      </c>
      <c r="BH129" s="74">
        <f>SMALL((BH19,BH41,BH63,BH85,BH107),1)*0.4+SMALL((BH19,BH41,BH63,BH85,BH107),2)*0.3+SMALL((BH19,BH41,BH63,BH85,BH107),3)*0.1+SMALL((BH19,BH41,BH63,BH85,BH107),4)*0.1+SMALL((BH19,BH41,BH63,BH85,BH107),5)*0.1</f>
        <v>4.3966601292783984</v>
      </c>
      <c r="BI129" s="74">
        <f>SMALL((BI19,BI41,BI63,BI85,BI107),1)*0.4+SMALL((BI19,BI41,BI63,BI85,BI107),2)*0.3+SMALL((BI19,BI41,BI63,BI85,BI107),3)*0.1+SMALL((BI19,BI41,BI63,BI85,BI107),4)*0.1+SMALL((BI19,BI41,BI63,BI85,BI107),5)*0.1</f>
        <v>3.9793958306619013</v>
      </c>
      <c r="BJ129" s="74">
        <f>SMALL((BJ19,BJ41,BJ63,BJ85,BJ107),1)*0.4+SMALL((BJ19,BJ41,BJ63,BJ85,BJ107),2)*0.3+SMALL((BJ19,BJ41,BJ63,BJ85,BJ107),3)*0.1+SMALL((BJ19,BJ41,BJ63,BJ85,BJ107),4)*0.1+SMALL((BJ19,BJ41,BJ63,BJ85,BJ107),5)*0.1</f>
        <v>3.683622848761253</v>
      </c>
      <c r="BK129" s="455"/>
      <c r="BL129" s="74">
        <f>SMALL((BL19,BL41,BL63,BL85,BL107),1)*0.4+SMALL((BL19,BL41,BL63,BL85,BL107),2)*0.3+SMALL((BL19,BL41,BL63,BL85,BL107),3)*0.1+SMALL((BL19,BL41,BL63,BL85,BL107),4)*0.1+SMALL((BL19,BL41,BL63,BL85,BL107),5)*0.1</f>
        <v>5.6632688362500003</v>
      </c>
      <c r="BM129" s="74">
        <f>SMALL((BM19,BM41,BM63,BM85,BM107),1)*0.4+SMALL((BM19,BM41,BM63,BM85,BM107),2)*0.3+SMALL((BM19,BM41,BM63,BM85,BM107),3)*0.1+SMALL((BM19,BM41,BM63,BM85,BM107),4)*0.1+SMALL((BM19,BM41,BM63,BM85,BM107),5)*0.1</f>
        <v>5.625</v>
      </c>
      <c r="BN129" s="74">
        <f>SMALL((BN19,BN41,BN63,BN85,BN107),1)*0.4+SMALL((BN19,BN41,BN63,BN85,BN107),2)*0.3+SMALL((BN19,BN41,BN63,BN85,BN107),3)*0.1+SMALL((BN19,BN41,BN63,BN85,BN107),4)*0.1+SMALL((BN19,BN41,BN63,BN85,BN107),5)*0.1</f>
        <v>5.5869897606249994</v>
      </c>
      <c r="BO129" s="74">
        <f>SMALL((BO19,BO41,BO63,BO85,BO107),1)*0.4+SMALL((BO19,BO41,BO63,BO85,BO107),2)*0.3+SMALL((BO19,BO41,BO63,BO85,BO107),3)*0.1+SMALL((BO19,BO41,BO63,BO85,BO107),4)*0.1+SMALL((BO19,BO41,BO63,BO85,BO107),5)*0.1</f>
        <v>5.5492363706250005</v>
      </c>
      <c r="BP129" s="74">
        <f>SMALL((BP19,BP41,BP63,BP85,BP107),1)*0.4+SMALL((BP19,BP41,BP63,BP85,BP107),2)*0.3+SMALL((BP19,BP41,BP63,BP85,BP107),3)*0.1+SMALL((BP19,BP41,BP63,BP85,BP107),4)*0.1+SMALL((BP19,BP41,BP63,BP85,BP107),5)*0.1</f>
        <v>5.5117380943750014</v>
      </c>
      <c r="BQ129" s="74">
        <f>SMALL((BQ19,BQ41,BQ63,BQ85,BQ107),1)*0.4+SMALL((BQ19,BQ41,BQ63,BQ85,BQ107),2)*0.3+SMALL((BQ19,BQ41,BQ63,BQ85,BQ107),3)*0.1+SMALL((BQ19,BQ41,BQ63,BQ85,BQ107),4)*0.1+SMALL((BQ19,BQ41,BQ63,BQ85,BQ107),5)*0.1</f>
        <v>5.4744932087499993</v>
      </c>
      <c r="BR129" s="74">
        <f>SMALL((BR19,BR41,BR63,BR85,BR107),1)*0.4+SMALL((BR19,BR41,BR63,BR85,BR107),2)*0.3+SMALL((BR19,BR41,BR63,BR85,BR107),3)*0.1+SMALL((BR19,BR41,BR63,BR85,BR107),4)*0.1+SMALL((BR19,BR41,BR63,BR85,BR107),5)*0.1</f>
        <v>5.4375000000000009</v>
      </c>
      <c r="BS129" s="454"/>
      <c r="BT129" s="74">
        <f>SMALL((BT19,BT41,BT63,BT85,BT107),1)*0.4+SMALL((BT19,BT41,BT63,BT85,BT107),2)*0.3+SMALL((BT19,BT41,BT63,BT85,BT107),3)*0.1+SMALL((BT19,BT41,BT63,BT85,BT107),4)*0.1+SMALL((BT19,BT41,BT63,BT85,BT107),5)*0.1</f>
        <v>32.087595190666669</v>
      </c>
      <c r="BU129" s="74">
        <f>SMALL((BU19,BU41,BU63,BU85,BU107),1)*0.4+SMALL((BU19,BU41,BU63,BU85,BU107),2)*0.3+SMALL((BU19,BU41,BU63,BU85,BU107),3)*0.1+SMALL((BU19,BU41,BU63,BU85,BU107),4)*0.1+SMALL((BU19,BU41,BU63,BU85,BU107),5)*0.1</f>
        <v>13.587500000000002</v>
      </c>
      <c r="BV129" s="74">
        <f>SMALL((BV19,BV41,BV63,BV85,BV107),1)*0.4+SMALL((BV19,BV41,BV63,BV85,BV107),2)*0.3+SMALL((BV19,BV41,BV63,BV85,BV107),3)*0.1+SMALL((BV19,BV41,BV63,BV85,BV107),4)*0.1+SMALL((BV19,BV41,BV63,BV85,BV107),5)*0.1</f>
        <v>7.3431817137833333</v>
      </c>
      <c r="BW129" s="74">
        <f>SMALL((BW19,BW41,BW63,BW85,BW107),1)*0.4+SMALL((BW19,BW41,BW63,BW85,BW107),2)*0.3+SMALL((BW19,BW41,BW63,BW85,BW107),3)*0.1+SMALL((BW19,BW41,BW63,BW85,BW107),4)*0.1+SMALL((BW19,BW41,BW63,BW85,BW107),5)*0.1</f>
        <v>7.4198516388083338</v>
      </c>
      <c r="BX129" s="74">
        <f>SMALL((BX19,BX41,BX63,BX85,BX107),1)*0.4+SMALL((BX19,BX41,BX63,BX85,BX107),2)*0.3+SMALL((BX19,BX41,BX63,BX85,BX107),3)*0.1+SMALL((BX19,BX41,BX63,BX85,BX107),4)*0.1+SMALL((BX19,BX41,BX63,BX85,BX107),5)*0.1</f>
        <v>7.2446215570833328</v>
      </c>
      <c r="BY129" s="74">
        <f>SMALL((BY19,BY41,BY63,BY85,BY107),1)*0.4+SMALL((BY19,BY41,BY63,BY85,BY107),2)*0.3+SMALL((BY19,BY41,BY63,BY85,BY107),3)*0.1+SMALL((BY19,BY41,BY63,BY85,BY107),4)*0.1+SMALL((BY19,BY41,BY63,BY85,BY107),5)*0.1</f>
        <v>7.0735934877250006</v>
      </c>
      <c r="BZ129" s="74">
        <f>SMALL((BZ19,BZ41,BZ63,BZ85,BZ107),1)*0.4+SMALL((BZ19,BZ41,BZ63,BZ85,BZ107),2)*0.3+SMALL((BZ19,BZ41,BZ63,BZ85,BZ107),3)*0.1+SMALL((BZ19,BZ41,BZ63,BZ85,BZ107),4)*0.1+SMALL((BZ19,BZ41,BZ63,BZ85,BZ107),5)*0.1</f>
        <v>6.9066666666666663</v>
      </c>
    </row>
    <row r="130" spans="1:78" x14ac:dyDescent="0.2">
      <c r="A130" s="452"/>
      <c r="B130" s="453" t="str">
        <f t="shared" si="147"/>
        <v>LPG - Global - Fuel cost - USD/GJ</v>
      </c>
      <c r="C130" s="453" t="str">
        <f t="shared" si="148"/>
        <v>LPG - Global</v>
      </c>
      <c r="D130" s="74">
        <f t="shared" si="149"/>
        <v>46</v>
      </c>
      <c r="E130" t="s">
        <v>109</v>
      </c>
      <c r="F130" t="str">
        <f t="shared" si="150"/>
        <v>LPG</v>
      </c>
      <c r="G130" t="s">
        <v>828</v>
      </c>
      <c r="H130" s="74">
        <f>SMALL((H20,H42,H64,H86,H108),1)*0.4+SMALL((H20,H42,H64,H86,H108),2)*0.3+SMALL((H20,H42,H64,H86,H108),3)*0.1+SMALL((H20,H42,H64,H86,H108),4)*0.1+SMALL((H20,H42,H64,H86,H108),5)*0.1</f>
        <v>16.5250690734395</v>
      </c>
      <c r="I130" s="74">
        <f>SMALL((I20,I42,I64,I86,I108),1)*0.4+SMALL((I20,I42,I64,I86,I108),2)*0.3+SMALL((I20,I42,I64,I86,I108),3)*0.1+SMALL((I20,I42,I64,I86,I108),4)*0.1+SMALL((I20,I42,I64,I86,I108),5)*0.1</f>
        <v>11.854940857032686</v>
      </c>
      <c r="J130" s="74">
        <f>SMALL((J20,J42,J64,J86,J108),1)*0.4+SMALL((J20,J42,J64,J86,J108),2)*0.3+SMALL((J20,J42,J64,J86,J108),3)*0.1+SMALL((J20,J42,J64,J86,J108),4)*0.1+SMALL((J20,J42,J64,J86,J108),5)*0.1</f>
        <v>10.346130202501252</v>
      </c>
      <c r="K130" s="74">
        <f>SMALL((K20,K42,K64,K86,K108),1)*0.4+SMALL((K20,K42,K64,K86,K108),2)*0.3+SMALL((K20,K42,K64,K86,K108),3)*0.1+SMALL((K20,K42,K64,K86,K108),4)*0.1+SMALL((K20,K42,K64,K86,K108),5)*0.1</f>
        <v>10.346130202501252</v>
      </c>
      <c r="L130" s="74">
        <f>SMALL((L20,L42,L64,L86,L108),1)*0.4+SMALL((L20,L42,L64,L86,L108),2)*0.3+SMALL((L20,L42,L64,L86,L108),3)*0.1+SMALL((L20,L42,L64,L86,L108),4)*0.1+SMALL((L20,L42,L64,L86,L108),5)*0.1</f>
        <v>10.346130202501252</v>
      </c>
      <c r="M130" s="74">
        <f>SMALL((M20,M42,M64,M86,M108),1)*0.4+SMALL((M20,M42,M64,M86,M108),2)*0.3+SMALL((M20,M42,M64,M86,M108),3)*0.1+SMALL((M20,M42,M64,M86,M108),4)*0.1+SMALL((M20,M42,M64,M86,M108),5)*0.1</f>
        <v>10.346130202501252</v>
      </c>
      <c r="N130" s="74">
        <f>SMALL((N20,N42,N64,N86,N108),1)*0.4+SMALL((N20,N42,N64,N86,N108),2)*0.3+SMALL((N20,N42,N64,N86,N108),3)*0.1+SMALL((N20,N42,N64,N86,N108),4)*0.1+SMALL((N20,N42,N64,N86,N108),5)*0.1</f>
        <v>10.346130202501252</v>
      </c>
      <c r="O130" s="454"/>
      <c r="P130" s="74">
        <f>SMALL((P20,P42,P64,P86,P108),1)*0.4+SMALL((P20,P42,P64,P86,P108),2)*0.3+SMALL((P20,P42,P64,P86,P108),3)*0.1+SMALL((P20,P42,P64,P86,P108),4)*0.1+SMALL((P20,P42,P64,P86,P108),5)*0.1</f>
        <v>0</v>
      </c>
      <c r="Q130" s="74">
        <f>SMALL((Q20,Q42,Q64,Q86,Q108),1)*0.4+SMALL((Q20,Q42,Q64,Q86,Q108),2)*0.3+SMALL((Q20,Q42,Q64,Q86,Q108),3)*0.1+SMALL((Q20,Q42,Q64,Q86,Q108),4)*0.1+SMALL((Q20,Q42,Q64,Q86,Q108),5)*0.1</f>
        <v>0</v>
      </c>
      <c r="R130" s="74">
        <f>SMALL((R20,R42,R64,R86,R108),1)*0.4+SMALL((R20,R42,R64,R86,R108),2)*0.3+SMALL((R20,R42,R64,R86,R108),3)*0.1+SMALL((R20,R42,R64,R86,R108),4)*0.1+SMALL((R20,R42,R64,R86,R108),5)*0.1</f>
        <v>0</v>
      </c>
      <c r="S130" s="74">
        <f>SMALL((S20,S42,S64,S86,S108),1)*0.4+SMALL((S20,S42,S64,S86,S108),2)*0.3+SMALL((S20,S42,S64,S86,S108),3)*0.1+SMALL((S20,S42,S64,S86,S108),4)*0.1+SMALL((S20,S42,S64,S86,S108),5)*0.1</f>
        <v>0</v>
      </c>
      <c r="T130" s="74">
        <f>SMALL((T20,T42,T64,T86,T108),1)*0.4+SMALL((T20,T42,T64,T86,T108),2)*0.3+SMALL((T20,T42,T64,T86,T108),3)*0.1+SMALL((T20,T42,T64,T86,T108),4)*0.1+SMALL((T20,T42,T64,T86,T108),5)*0.1</f>
        <v>0</v>
      </c>
      <c r="U130" s="74">
        <f>SMALL((U20,U42,U64,U86,U108),1)*0.4+SMALL((U20,U42,U64,U86,U108),2)*0.3+SMALL((U20,U42,U64,U86,U108),3)*0.1+SMALL((U20,U42,U64,U86,U108),4)*0.1+SMALL((U20,U42,U64,U86,U108),5)*0.1</f>
        <v>0</v>
      </c>
      <c r="V130" s="74">
        <f>SMALL((V20,V42,V64,V86,V108),1)*0.4+SMALL((V20,V42,V64,V86,V108),2)*0.3+SMALL((V20,V42,V64,V86,V108),3)*0.1+SMALL((V20,V42,V64,V86,V108),4)*0.1+SMALL((V20,V42,V64,V86,V108),5)*0.1</f>
        <v>0</v>
      </c>
      <c r="W130"/>
      <c r="X130" s="2">
        <f t="shared" si="154"/>
        <v>17.7</v>
      </c>
      <c r="Y130" s="2">
        <f t="shared" si="154"/>
        <v>17.7</v>
      </c>
      <c r="Z130" s="2">
        <f t="shared" si="154"/>
        <v>17.7</v>
      </c>
      <c r="AA130" s="2">
        <f t="shared" si="154"/>
        <v>17.7</v>
      </c>
      <c r="AB130" s="2">
        <f t="shared" si="154"/>
        <v>17.7</v>
      </c>
      <c r="AC130" s="2">
        <f t="shared" si="154"/>
        <v>17.7</v>
      </c>
      <c r="AD130" s="2">
        <f t="shared" si="154"/>
        <v>17.7</v>
      </c>
      <c r="AE130"/>
      <c r="AF130" s="2">
        <f t="shared" si="155"/>
        <v>66</v>
      </c>
      <c r="AG130" s="2">
        <f t="shared" si="155"/>
        <v>66</v>
      </c>
      <c r="AH130" s="2">
        <f t="shared" si="155"/>
        <v>66</v>
      </c>
      <c r="AI130" s="2">
        <f t="shared" si="155"/>
        <v>66</v>
      </c>
      <c r="AJ130" s="2">
        <f t="shared" si="155"/>
        <v>66</v>
      </c>
      <c r="AK130" s="2">
        <f t="shared" si="155"/>
        <v>66</v>
      </c>
      <c r="AL130" s="2">
        <f t="shared" si="155"/>
        <v>66</v>
      </c>
      <c r="AM130"/>
      <c r="AN130" s="2">
        <f t="shared" si="156"/>
        <v>83.7</v>
      </c>
      <c r="AO130" s="2">
        <f t="shared" si="156"/>
        <v>83.7</v>
      </c>
      <c r="AP130" s="2">
        <f t="shared" si="156"/>
        <v>83.7</v>
      </c>
      <c r="AQ130" s="2">
        <f t="shared" si="156"/>
        <v>83.7</v>
      </c>
      <c r="AR130" s="2">
        <f t="shared" si="156"/>
        <v>83.7</v>
      </c>
      <c r="AS130" s="2">
        <f t="shared" si="156"/>
        <v>83.7</v>
      </c>
      <c r="AT130" s="2">
        <f t="shared" si="156"/>
        <v>83.7</v>
      </c>
      <c r="AU130"/>
      <c r="AV130" s="74">
        <f>SMALL((AV20,AV42,AV64,AV86,AV108),1)*0.4+SMALL((AV20,AV42,AV64,AV86,AV108),2)*0.3+SMALL((AV20,AV42,AV64,AV86,AV108),3)*0.1+SMALL((AV20,AV42,AV64,AV86,AV108),4)*0.1+SMALL((AV20,AV42,AV64,AV86,AV108),5)*0.1</f>
        <v>0</v>
      </c>
      <c r="AW130" s="74">
        <f>SMALL((AW20,AW42,AW64,AW86,AW108),1)*0.4+SMALL((AW20,AW42,AW64,AW86,AW108),2)*0.3+SMALL((AW20,AW42,AW64,AW86,AW108),3)*0.1+SMALL((AW20,AW42,AW64,AW86,AW108),4)*0.1+SMALL((AW20,AW42,AW64,AW86,AW108),5)*0.1</f>
        <v>0</v>
      </c>
      <c r="AX130" s="74">
        <f>SMALL((AX20,AX42,AX64,AX86,AX108),1)*0.4+SMALL((AX20,AX42,AX64,AX86,AX108),2)*0.3+SMALL((AX20,AX42,AX64,AX86,AX108),3)*0.1+SMALL((AX20,AX42,AX64,AX86,AX108),4)*0.1+SMALL((AX20,AX42,AX64,AX86,AX108),5)*0.1</f>
        <v>0</v>
      </c>
      <c r="AY130" s="74">
        <f>SMALL((AY20,AY42,AY64,AY86,AY108),1)*0.4+SMALL((AY20,AY42,AY64,AY86,AY108),2)*0.3+SMALL((AY20,AY42,AY64,AY86,AY108),3)*0.1+SMALL((AY20,AY42,AY64,AY86,AY108),4)*0.1+SMALL((AY20,AY42,AY64,AY86,AY108),5)*0.1</f>
        <v>0</v>
      </c>
      <c r="AZ130" s="74">
        <f>SMALL((AZ20,AZ42,AZ64,AZ86,AZ108),1)*0.4+SMALL((AZ20,AZ42,AZ64,AZ86,AZ108),2)*0.3+SMALL((AZ20,AZ42,AZ64,AZ86,AZ108),3)*0.1+SMALL((AZ20,AZ42,AZ64,AZ86,AZ108),4)*0.1+SMALL((AZ20,AZ42,AZ64,AZ86,AZ108),5)*0.1</f>
        <v>0</v>
      </c>
      <c r="BA130" s="74">
        <f>SMALL((BA20,BA42,BA64,BA86,BA108),1)*0.4+SMALL((BA20,BA42,BA64,BA86,BA108),2)*0.3+SMALL((BA20,BA42,BA64,BA86,BA108),3)*0.1+SMALL((BA20,BA42,BA64,BA86,BA108),4)*0.1+SMALL((BA20,BA42,BA64,BA86,BA108),5)*0.1</f>
        <v>0</v>
      </c>
      <c r="BB130" s="74">
        <f>SMALL((BB20,BB42,BB64,BB86,BB108),1)*0.4+SMALL((BB20,BB42,BB64,BB86,BB108),2)*0.3+SMALL((BB20,BB42,BB64,BB86,BB108),3)*0.1+SMALL((BB20,BB42,BB64,BB86,BB108),4)*0.1+SMALL((BB20,BB42,BB64,BB86,BB108),5)*0.1</f>
        <v>0</v>
      </c>
      <c r="BC130" s="454"/>
      <c r="BD130" s="74">
        <f>SMALL((BD20,BD42,BD64,BD86,BD108),1)*0.4+SMALL((BD20,BD42,BD64,BD86,BD108),2)*0.3+SMALL((BD20,BD42,BD64,BD86,BD108),3)*0.1+SMALL((BD20,BD42,BD64,BD86,BD108),4)*0.1+SMALL((BD20,BD42,BD64,BD86,BD108),5)*0.1</f>
        <v>0</v>
      </c>
      <c r="BE130" s="74">
        <f>SMALL((BE20,BE42,BE64,BE86,BE108),1)*0.4+SMALL((BE20,BE42,BE64,BE86,BE108),2)*0.3+SMALL((BE20,BE42,BE64,BE86,BE108),3)*0.1+SMALL((BE20,BE42,BE64,BE86,BE108),4)*0.1+SMALL((BE20,BE42,BE64,BE86,BE108),5)*0.1</f>
        <v>0</v>
      </c>
      <c r="BF130" s="74">
        <f>SMALL((BF20,BF42,BF64,BF86,BF108),1)*0.4+SMALL((BF20,BF42,BF64,BF86,BF108),2)*0.3+SMALL((BF20,BF42,BF64,BF86,BF108),3)*0.1+SMALL((BF20,BF42,BF64,BF86,BF108),4)*0.1+SMALL((BF20,BF42,BF64,BF86,BF108),5)*0.1</f>
        <v>0</v>
      </c>
      <c r="BG130" s="74">
        <f>SMALL((BG20,BG42,BG64,BG86,BG108),1)*0.4+SMALL((BG20,BG42,BG64,BG86,BG108),2)*0.3+SMALL((BG20,BG42,BG64,BG86,BG108),3)*0.1+SMALL((BG20,BG42,BG64,BG86,BG108),4)*0.1+SMALL((BG20,BG42,BG64,BG86,BG108),5)*0.1</f>
        <v>0</v>
      </c>
      <c r="BH130" s="74">
        <f>SMALL((BH20,BH42,BH64,BH86,BH108),1)*0.4+SMALL((BH20,BH42,BH64,BH86,BH108),2)*0.3+SMALL((BH20,BH42,BH64,BH86,BH108),3)*0.1+SMALL((BH20,BH42,BH64,BH86,BH108),4)*0.1+SMALL((BH20,BH42,BH64,BH86,BH108),5)*0.1</f>
        <v>0</v>
      </c>
      <c r="BI130" s="74">
        <f>SMALL((BI20,BI42,BI64,BI86,BI108),1)*0.4+SMALL((BI20,BI42,BI64,BI86,BI108),2)*0.3+SMALL((BI20,BI42,BI64,BI86,BI108),3)*0.1+SMALL((BI20,BI42,BI64,BI86,BI108),4)*0.1+SMALL((BI20,BI42,BI64,BI86,BI108),5)*0.1</f>
        <v>0</v>
      </c>
      <c r="BJ130" s="74">
        <f>SMALL((BJ20,BJ42,BJ64,BJ86,BJ108),1)*0.4+SMALL((BJ20,BJ42,BJ64,BJ86,BJ108),2)*0.3+SMALL((BJ20,BJ42,BJ64,BJ86,BJ108),3)*0.1+SMALL((BJ20,BJ42,BJ64,BJ86,BJ108),4)*0.1+SMALL((BJ20,BJ42,BJ64,BJ86,BJ108),5)*0.1</f>
        <v>0</v>
      </c>
      <c r="BK130" s="455"/>
      <c r="BL130" s="74">
        <f>SMALL((BL20,BL42,BL64,BL86,BL108),1)*0.4+SMALL((BL20,BL42,BL64,BL86,BL108),2)*0.3+SMALL((BL20,BL42,BL64,BL86,BL108),3)*0.1+SMALL((BL20,BL42,BL64,BL86,BL108),4)*0.1+SMALL((BL20,BL42,BL64,BL86,BL108),5)*0.1</f>
        <v>0</v>
      </c>
      <c r="BM130" s="74">
        <f>SMALL((BM20,BM42,BM64,BM86,BM108),1)*0.4+SMALL((BM20,BM42,BM64,BM86,BM108),2)*0.3+SMALL((BM20,BM42,BM64,BM86,BM108),3)*0.1+SMALL((BM20,BM42,BM64,BM86,BM108),4)*0.1+SMALL((BM20,BM42,BM64,BM86,BM108),5)*0.1</f>
        <v>0</v>
      </c>
      <c r="BN130" s="74">
        <f>SMALL((BN20,BN42,BN64,BN86,BN108),1)*0.4+SMALL((BN20,BN42,BN64,BN86,BN108),2)*0.3+SMALL((BN20,BN42,BN64,BN86,BN108),3)*0.1+SMALL((BN20,BN42,BN64,BN86,BN108),4)*0.1+SMALL((BN20,BN42,BN64,BN86,BN108),5)*0.1</f>
        <v>0</v>
      </c>
      <c r="BO130" s="74">
        <f>SMALL((BO20,BO42,BO64,BO86,BO108),1)*0.4+SMALL((BO20,BO42,BO64,BO86,BO108),2)*0.3+SMALL((BO20,BO42,BO64,BO86,BO108),3)*0.1+SMALL((BO20,BO42,BO64,BO86,BO108),4)*0.1+SMALL((BO20,BO42,BO64,BO86,BO108),5)*0.1</f>
        <v>0</v>
      </c>
      <c r="BP130" s="74">
        <f>SMALL((BP20,BP42,BP64,BP86,BP108),1)*0.4+SMALL((BP20,BP42,BP64,BP86,BP108),2)*0.3+SMALL((BP20,BP42,BP64,BP86,BP108),3)*0.1+SMALL((BP20,BP42,BP64,BP86,BP108),4)*0.1+SMALL((BP20,BP42,BP64,BP86,BP108),5)*0.1</f>
        <v>0</v>
      </c>
      <c r="BQ130" s="74">
        <f>SMALL((BQ20,BQ42,BQ64,BQ86,BQ108),1)*0.4+SMALL((BQ20,BQ42,BQ64,BQ86,BQ108),2)*0.3+SMALL((BQ20,BQ42,BQ64,BQ86,BQ108),3)*0.1+SMALL((BQ20,BQ42,BQ64,BQ86,BQ108),4)*0.1+SMALL((BQ20,BQ42,BQ64,BQ86,BQ108),5)*0.1</f>
        <v>0</v>
      </c>
      <c r="BR130" s="74">
        <f>SMALL((BR20,BR42,BR64,BR86,BR108),1)*0.4+SMALL((BR20,BR42,BR64,BR86,BR108),2)*0.3+SMALL((BR20,BR42,BR64,BR86,BR108),3)*0.1+SMALL((BR20,BR42,BR64,BR86,BR108),4)*0.1+SMALL((BR20,BR42,BR64,BR86,BR108),5)*0.1</f>
        <v>0</v>
      </c>
      <c r="BS130" s="454"/>
      <c r="BT130" s="74">
        <f>SMALL((BT20,BT42,BT64,BT86,BT108),1)*0.4+SMALL((BT20,BT42,BT64,BT86,BT108),2)*0.3+SMALL((BT20,BT42,BT64,BT86,BT108),3)*0.1+SMALL((BT20,BT42,BT64,BT86,BT108),4)*0.1+SMALL((BT20,BT42,BT64,BT86,BT108),5)*0.1</f>
        <v>0</v>
      </c>
      <c r="BU130" s="74">
        <f>SMALL((BU20,BU42,BU64,BU86,BU108),1)*0.4+SMALL((BU20,BU42,BU64,BU86,BU108),2)*0.3+SMALL((BU20,BU42,BU64,BU86,BU108),3)*0.1+SMALL((BU20,BU42,BU64,BU86,BU108),4)*0.1+SMALL((BU20,BU42,BU64,BU86,BU108),5)*0.1</f>
        <v>0</v>
      </c>
      <c r="BV130" s="74">
        <f>SMALL((BV20,BV42,BV64,BV86,BV108),1)*0.4+SMALL((BV20,BV42,BV64,BV86,BV108),2)*0.3+SMALL((BV20,BV42,BV64,BV86,BV108),3)*0.1+SMALL((BV20,BV42,BV64,BV86,BV108),4)*0.1+SMALL((BV20,BV42,BV64,BV86,BV108),5)*0.1</f>
        <v>0</v>
      </c>
      <c r="BW130" s="74">
        <f>SMALL((BW20,BW42,BW64,BW86,BW108),1)*0.4+SMALL((BW20,BW42,BW64,BW86,BW108),2)*0.3+SMALL((BW20,BW42,BW64,BW86,BW108),3)*0.1+SMALL((BW20,BW42,BW64,BW86,BW108),4)*0.1+SMALL((BW20,BW42,BW64,BW86,BW108),5)*0.1</f>
        <v>0</v>
      </c>
      <c r="BX130" s="74">
        <f>SMALL((BX20,BX42,BX64,BX86,BX108),1)*0.4+SMALL((BX20,BX42,BX64,BX86,BX108),2)*0.3+SMALL((BX20,BX42,BX64,BX86,BX108),3)*0.1+SMALL((BX20,BX42,BX64,BX86,BX108),4)*0.1+SMALL((BX20,BX42,BX64,BX86,BX108),5)*0.1</f>
        <v>0</v>
      </c>
      <c r="BY130" s="74">
        <f>SMALL((BY20,BY42,BY64,BY86,BY108),1)*0.4+SMALL((BY20,BY42,BY64,BY86,BY108),2)*0.3+SMALL((BY20,BY42,BY64,BY86,BY108),3)*0.1+SMALL((BY20,BY42,BY64,BY86,BY108),4)*0.1+SMALL((BY20,BY42,BY64,BY86,BY108),5)*0.1</f>
        <v>0</v>
      </c>
      <c r="BZ130" s="74">
        <f>SMALL((BZ20,BZ42,BZ64,BZ86,BZ108),1)*0.4+SMALL((BZ20,BZ42,BZ64,BZ86,BZ108),2)*0.3+SMALL((BZ20,BZ42,BZ64,BZ86,BZ108),3)*0.1+SMALL((BZ20,BZ42,BZ64,BZ86,BZ108),4)*0.1+SMALL((BZ20,BZ42,BZ64,BZ86,BZ108),5)*0.1</f>
        <v>0</v>
      </c>
    </row>
    <row r="131" spans="1:78" x14ac:dyDescent="0.2">
      <c r="A131" s="452"/>
      <c r="B131" s="453" t="str">
        <f t="shared" si="147"/>
        <v>Biomethane - Global - Fuel cost - USD/GJ</v>
      </c>
      <c r="C131" s="453" t="str">
        <f t="shared" si="148"/>
        <v>Biomethane - Global</v>
      </c>
      <c r="D131" s="74">
        <f t="shared" si="149"/>
        <v>50</v>
      </c>
      <c r="E131" t="s">
        <v>109</v>
      </c>
      <c r="F131" t="str">
        <f t="shared" si="150"/>
        <v>Biomethane</v>
      </c>
      <c r="G131" t="s">
        <v>828</v>
      </c>
      <c r="H131" s="74">
        <f>SMALL((H21,H43,H65,H87,H109),1)*0.4+SMALL((H21,H43,H65,H87,H109),2)*0.3+SMALL((H21,H43,H65,H87,H109),3)*0.1+SMALL((H21,H43,H65,H87,H109),4)*0.1+SMALL((H21,H43,H65,H87,H109),5)*0.1</f>
        <v>24.566196629572975</v>
      </c>
      <c r="I131" s="74">
        <f>SMALL((I21,I43,I65,I87,I109),1)*0.4+SMALL((I21,I43,I65,I87,I109),2)*0.3+SMALL((I21,I43,I65,I87,I109),3)*0.1+SMALL((I21,I43,I65,I87,I109),4)*0.1+SMALL((I21,I43,I65,I87,I109),5)*0.1</f>
        <v>22.663114843888582</v>
      </c>
      <c r="J131" s="74">
        <f>SMALL((J21,J43,J65,J87,J109),1)*0.4+SMALL((J21,J43,J65,J87,J109),2)*0.3+SMALL((J21,J43,J65,J87,J109),3)*0.1+SMALL((J21,J43,J65,J87,J109),4)*0.1+SMALL((J21,J43,J65,J87,J109),5)*0.1</f>
        <v>21.13988882046521</v>
      </c>
      <c r="K131" s="74">
        <f>SMALL((K21,K43,K65,K87,K109),1)*0.4+SMALL((K21,K43,K65,K87,K109),2)*0.3+SMALL((K21,K43,K65,K87,K109),3)*0.1+SMALL((K21,K43,K65,K87,K109),4)*0.1+SMALL((K21,K43,K65,K87,K109),5)*0.1</f>
        <v>19.794368828185352</v>
      </c>
      <c r="L131" s="74">
        <f>SMALL((L21,L43,L65,L87,L109),1)*0.4+SMALL((L21,L43,L65,L87,L109),2)*0.3+SMALL((L21,L43,L65,L87,L109),3)*0.1+SMALL((L21,L43,L65,L87,L109),4)*0.1+SMALL((L21,L43,L65,L87,L109),5)*0.1</f>
        <v>18.485564659195774</v>
      </c>
      <c r="M131" s="74">
        <f>SMALL((M21,M43,M65,M87,M109),1)*0.4+SMALL((M21,M43,M65,M87,M109),2)*0.3+SMALL((M21,M43,M65,M87,M109),3)*0.1+SMALL((M21,M43,M65,M87,M109),4)*0.1+SMALL((M21,M43,M65,M87,M109),5)*0.1</f>
        <v>17.180093107217878</v>
      </c>
      <c r="N131" s="74">
        <f>SMALL((N21,N43,N65,N87,N109),1)*0.4+SMALL((N21,N43,N65,N87,N109),2)*0.3+SMALL((N21,N43,N65,N87,N109),3)*0.1+SMALL((N21,N43,N65,N87,N109),4)*0.1+SMALL((N21,N43,N65,N87,N109),5)*0.1</f>
        <v>15.898818661612721</v>
      </c>
      <c r="O131" s="454"/>
      <c r="P131" s="74">
        <f>SMALL((P21,P43,P65,P87,P109),1)*0.4+SMALL((P21,P43,P65,P87,P109),2)*0.3+SMALL((P21,P43,P65,P87,P109),3)*0.1+SMALL((P21,P43,P65,P87,P109),4)*0.1+SMALL((P21,P43,P65,P87,P109),5)*0.1</f>
        <v>0</v>
      </c>
      <c r="Q131" s="74">
        <f>SMALL((Q21,Q43,Q65,Q87,Q109),1)*0.4+SMALL((Q21,Q43,Q65,Q87,Q109),2)*0.3+SMALL((Q21,Q43,Q65,Q87,Q109),3)*0.1+SMALL((Q21,Q43,Q65,Q87,Q109),4)*0.1+SMALL((Q21,Q43,Q65,Q87,Q109),5)*0.1</f>
        <v>0</v>
      </c>
      <c r="R131" s="74">
        <f>SMALL((R21,R43,R65,R87,R109),1)*0.4+SMALL((R21,R43,R65,R87,R109),2)*0.3+SMALL((R21,R43,R65,R87,R109),3)*0.1+SMALL((R21,R43,R65,R87,R109),4)*0.1+SMALL((R21,R43,R65,R87,R109),5)*0.1</f>
        <v>0</v>
      </c>
      <c r="S131" s="74">
        <f>SMALL((S21,S43,S65,S87,S109),1)*0.4+SMALL((S21,S43,S65,S87,S109),2)*0.3+SMALL((S21,S43,S65,S87,S109),3)*0.1+SMALL((S21,S43,S65,S87,S109),4)*0.1+SMALL((S21,S43,S65,S87,S109),5)*0.1</f>
        <v>0</v>
      </c>
      <c r="T131" s="74">
        <f>SMALL((T21,T43,T65,T87,T109),1)*0.4+SMALL((T21,T43,T65,T87,T109),2)*0.3+SMALL((T21,T43,T65,T87,T109),3)*0.1+SMALL((T21,T43,T65,T87,T109),4)*0.1+SMALL((T21,T43,T65,T87,T109),5)*0.1</f>
        <v>0</v>
      </c>
      <c r="U131" s="74">
        <f>SMALL((U21,U43,U65,U87,U109),1)*0.4+SMALL((U21,U43,U65,U87,U109),2)*0.3+SMALL((U21,U43,U65,U87,U109),3)*0.1+SMALL((U21,U43,U65,U87,U109),4)*0.1+SMALL((U21,U43,U65,U87,U109),5)*0.1</f>
        <v>0</v>
      </c>
      <c r="V131" s="74">
        <f>SMALL((V21,V43,V65,V87,V109),1)*0.4+SMALL((V21,V43,V65,V87,V109),2)*0.3+SMALL((V21,V43,V65,V87,V109),3)*0.1+SMALL((V21,V43,V65,V87,V109),4)*0.1+SMALL((V21,V43,V65,V87,V109),5)*0.1</f>
        <v>0</v>
      </c>
      <c r="W131"/>
      <c r="X131" s="2">
        <f t="shared" si="154"/>
        <v>-37.778102817936237</v>
      </c>
      <c r="Y131" s="2">
        <f t="shared" si="154"/>
        <v>-40.704565067103559</v>
      </c>
      <c r="Z131" s="2">
        <f t="shared" si="154"/>
        <v>-43.561961308916878</v>
      </c>
      <c r="AA131" s="2">
        <f t="shared" si="154"/>
        <v>-46.35029154337623</v>
      </c>
      <c r="AB131" s="2">
        <f t="shared" si="154"/>
        <v>-49.069555770481585</v>
      </c>
      <c r="AC131" s="2">
        <f t="shared" si="154"/>
        <v>-51.719753990232967</v>
      </c>
      <c r="AD131" s="2">
        <f t="shared" si="154"/>
        <v>-54.300886202630352</v>
      </c>
      <c r="AE131"/>
      <c r="AF131" s="2">
        <f t="shared" si="155"/>
        <v>72.985200000000006</v>
      </c>
      <c r="AG131" s="2">
        <f t="shared" si="155"/>
        <v>72.985200000000006</v>
      </c>
      <c r="AH131" s="2">
        <f t="shared" si="155"/>
        <v>72.985200000000006</v>
      </c>
      <c r="AI131" s="2">
        <f t="shared" si="155"/>
        <v>72.985200000000006</v>
      </c>
      <c r="AJ131" s="2">
        <f t="shared" si="155"/>
        <v>72.985200000000006</v>
      </c>
      <c r="AK131" s="2">
        <f t="shared" si="155"/>
        <v>72.985200000000006</v>
      </c>
      <c r="AL131" s="2">
        <f t="shared" si="155"/>
        <v>72.985200000000006</v>
      </c>
      <c r="AM131"/>
      <c r="AN131" s="2">
        <f t="shared" si="156"/>
        <v>35.207097182063769</v>
      </c>
      <c r="AO131" s="2">
        <f t="shared" si="156"/>
        <v>32.280634932896447</v>
      </c>
      <c r="AP131" s="2">
        <f t="shared" si="156"/>
        <v>29.423238691083128</v>
      </c>
      <c r="AQ131" s="2">
        <f t="shared" si="156"/>
        <v>26.634908456623776</v>
      </c>
      <c r="AR131" s="2">
        <f t="shared" si="156"/>
        <v>23.915644229518421</v>
      </c>
      <c r="AS131" s="2">
        <f t="shared" si="156"/>
        <v>21.265446009767039</v>
      </c>
      <c r="AT131" s="2">
        <f t="shared" si="156"/>
        <v>18.684313797369654</v>
      </c>
      <c r="AU131"/>
      <c r="AV131" s="74">
        <f>SMALL((AV21,AV43,AV65,AV87,AV109),1)*0.4+SMALL((AV21,AV43,AV65,AV87,AV109),2)*0.3+SMALL((AV21,AV43,AV65,AV87,AV109),3)*0.1+SMALL((AV21,AV43,AV65,AV87,AV109),4)*0.1+SMALL((AV21,AV43,AV65,AV87,AV109),5)*0.1</f>
        <v>11.458427846991446</v>
      </c>
      <c r="AW131" s="74">
        <f>SMALL((AW21,AW43,AW65,AW87,AW109),1)*0.4+SMALL((AW21,AW43,AW65,AW87,AW109),2)*0.3+SMALL((AW21,AW43,AW65,AW87,AW109),3)*0.1+SMALL((AW21,AW43,AW65,AW87,AW109),4)*0.1+SMALL((AW21,AW43,AW65,AW87,AW109),5)*0.1</f>
        <v>10.704163958300747</v>
      </c>
      <c r="AX131" s="74">
        <f>SMALL((AX21,AX43,AX65,AX87,AX109),1)*0.4+SMALL((AX21,AX43,AX65,AX87,AX109),2)*0.3+SMALL((AX21,AX43,AX65,AX87,AX109),3)*0.1+SMALL((AX21,AX43,AX65,AX87,AX109),4)*0.1+SMALL((AX21,AX43,AX65,AX87,AX109),5)*0.1</f>
        <v>9.9499000696100524</v>
      </c>
      <c r="AY131" s="74">
        <f>SMALL((AY21,AY43,AY65,AY87,AY109),1)*0.4+SMALL((AY21,AY43,AY65,AY87,AY109),2)*0.3+SMALL((AY21,AY43,AY65,AY87,AY109),3)*0.1+SMALL((AY21,AY43,AY65,AY87,AY109),4)*0.1+SMALL((AY21,AY43,AY65,AY87,AY109),5)*0.1</f>
        <v>9.1956361809193545</v>
      </c>
      <c r="AZ131" s="74">
        <f>SMALL((AZ21,AZ43,AZ65,AZ87,AZ109),1)*0.4+SMALL((AZ21,AZ43,AZ65,AZ87,AZ109),2)*0.3+SMALL((AZ21,AZ43,AZ65,AZ87,AZ109),3)*0.1+SMALL((AZ21,AZ43,AZ65,AZ87,AZ109),4)*0.1+SMALL((AZ21,AZ43,AZ65,AZ87,AZ109),5)*0.1</f>
        <v>8.4413722922286567</v>
      </c>
      <c r="BA131" s="74">
        <f>SMALL((BA21,BA43,BA65,BA87,BA109),1)*0.4+SMALL((BA21,BA43,BA65,BA87,BA109),2)*0.3+SMALL((BA21,BA43,BA65,BA87,BA109),3)*0.1+SMALL((BA21,BA43,BA65,BA87,BA109),4)*0.1+SMALL((BA21,BA43,BA65,BA87,BA109),5)*0.1</f>
        <v>7.6871084035379589</v>
      </c>
      <c r="BB131" s="74">
        <f>SMALL((BB21,BB43,BB65,BB87,BB109),1)*0.4+SMALL((BB21,BB43,BB65,BB87,BB109),2)*0.3+SMALL((BB21,BB43,BB65,BB87,BB109),3)*0.1+SMALL((BB21,BB43,BB65,BB87,BB109),4)*0.1+SMALL((BB21,BB43,BB65,BB87,BB109),5)*0.1</f>
        <v>6.9328445148472637</v>
      </c>
      <c r="BC131" s="454"/>
      <c r="BD131" s="74">
        <f>SMALL((BD21,BD43,BD65,BD87,BD109),1)*0.4+SMALL((BD21,BD43,BD65,BD87,BD109),2)*0.3+SMALL((BD21,BD43,BD65,BD87,BD109),3)*0.1+SMALL((BD21,BD43,BD65,BD87,BD109),4)*0.1+SMALL((BD21,BD43,BD65,BD87,BD109),5)*0.1</f>
        <v>8.0069711337609615</v>
      </c>
      <c r="BE131" s="74">
        <f>SMALL((BE21,BE43,BE65,BE87,BE109),1)*0.4+SMALL((BE21,BE43,BE65,BE87,BE109),2)*0.3+SMALL((BE21,BE43,BE65,BE87,BE109),3)*0.1+SMALL((BE21,BE43,BE65,BE87,BE109),4)*0.1+SMALL((BE21,BE43,BE65,BE87,BE109),5)*0.1</f>
        <v>7.393650758382651</v>
      </c>
      <c r="BF131" s="74">
        <f>SMALL((BF21,BF43,BF65,BF87,BF109),1)*0.4+SMALL((BF21,BF43,BF65,BF87,BF109),2)*0.3+SMALL((BF21,BF43,BF65,BF87,BF109),3)*0.1+SMALL((BF21,BF43,BF65,BF87,BF109),4)*0.1+SMALL((BF21,BF43,BF65,BF87,BF109),5)*0.1</f>
        <v>6.8853911292715777</v>
      </c>
      <c r="BG131" s="74">
        <f>SMALL((BG21,BG43,BG65,BG87,BG109),1)*0.4+SMALL((BG21,BG43,BG65,BG87,BG109),2)*0.3+SMALL((BG21,BG43,BG65,BG87,BG109),3)*0.1+SMALL((BG21,BG43,BG65,BG87,BG109),4)*0.1+SMALL((BG21,BG43,BG65,BG87,BG109),5)*0.1</f>
        <v>6.4447350393009115</v>
      </c>
      <c r="BH131" s="74">
        <f>SMALL((BH21,BH43,BH65,BH87,BH109),1)*0.4+SMALL((BH21,BH43,BH65,BH87,BH109),2)*0.3+SMALL((BH21,BH43,BH65,BH87,BH109),3)*0.1+SMALL((BH21,BH43,BH65,BH87,BH109),4)*0.1+SMALL((BH21,BH43,BH65,BH87,BH109),5)*0.1</f>
        <v>6.0443947726205227</v>
      </c>
      <c r="BI131" s="74">
        <f>SMALL((BI21,BI43,BI65,BI87,BI109),1)*0.4+SMALL((BI21,BI43,BI65,BI87,BI109),2)*0.3+SMALL((BI21,BI43,BI65,BI87,BI109),3)*0.1+SMALL((BI21,BI43,BI65,BI87,BI109),4)*0.1+SMALL((BI21,BI43,BI65,BI87,BI109),5)*0.1</f>
        <v>5.6473871229518151</v>
      </c>
      <c r="BJ131" s="74">
        <f>SMALL((BJ21,BJ43,BJ65,BJ87,BJ109),1)*0.4+SMALL((BJ21,BJ43,BJ65,BJ87,BJ109),2)*0.3+SMALL((BJ21,BJ43,BJ65,BJ87,BJ109),3)*0.1+SMALL((BJ21,BJ43,BJ65,BJ87,BJ109),4)*0.1+SMALL((BJ21,BJ43,BJ65,BJ87,BJ109),5)*0.1</f>
        <v>5.2745765796558493</v>
      </c>
      <c r="BK131" s="455"/>
      <c r="BL131" s="74">
        <f>SMALL((BL21,BL43,BL65,BL87,BL109),1)*0.4+SMALL((BL21,BL43,BL65,BL87,BL109),2)*0.3+SMALL((BL21,BL43,BL65,BL87,BL109),3)*0.1+SMALL((BL21,BL43,BL65,BL87,BL109),4)*0.1+SMALL((BL21,BL43,BL65,BL87,BL109),5)*0.1</f>
        <v>0</v>
      </c>
      <c r="BM131" s="74">
        <f>SMALL((BM21,BM43,BM65,BM87,BM109),1)*0.4+SMALL((BM21,BM43,BM65,BM87,BM109),2)*0.3+SMALL((BM21,BM43,BM65,BM87,BM109),3)*0.1+SMALL((BM21,BM43,BM65,BM87,BM109),4)*0.1+SMALL((BM21,BM43,BM65,BM87,BM109),5)*0.1</f>
        <v>0</v>
      </c>
      <c r="BN131" s="74">
        <f>SMALL((BN21,BN43,BN65,BN87,BN109),1)*0.4+SMALL((BN21,BN43,BN65,BN87,BN109),2)*0.3+SMALL((BN21,BN43,BN65,BN87,BN109),3)*0.1+SMALL((BN21,BN43,BN65,BN87,BN109),4)*0.1+SMALL((BN21,BN43,BN65,BN87,BN109),5)*0.1</f>
        <v>0</v>
      </c>
      <c r="BO131" s="74">
        <f>SMALL((BO21,BO43,BO65,BO87,BO109),1)*0.4+SMALL((BO21,BO43,BO65,BO87,BO109),2)*0.3+SMALL((BO21,BO43,BO65,BO87,BO109),3)*0.1+SMALL((BO21,BO43,BO65,BO87,BO109),4)*0.1+SMALL((BO21,BO43,BO65,BO87,BO109),5)*0.1</f>
        <v>0</v>
      </c>
      <c r="BP131" s="74">
        <f>SMALL((BP21,BP43,BP65,BP87,BP109),1)*0.4+SMALL((BP21,BP43,BP65,BP87,BP109),2)*0.3+SMALL((BP21,BP43,BP65,BP87,BP109),3)*0.1+SMALL((BP21,BP43,BP65,BP87,BP109),4)*0.1+SMALL((BP21,BP43,BP65,BP87,BP109),5)*0.1</f>
        <v>0</v>
      </c>
      <c r="BQ131" s="74">
        <f>SMALL((BQ21,BQ43,BQ65,BQ87,BQ109),1)*0.4+SMALL((BQ21,BQ43,BQ65,BQ87,BQ109),2)*0.3+SMALL((BQ21,BQ43,BQ65,BQ87,BQ109),3)*0.1+SMALL((BQ21,BQ43,BQ65,BQ87,BQ109),4)*0.1+SMALL((BQ21,BQ43,BQ65,BQ87,BQ109),5)*0.1</f>
        <v>0</v>
      </c>
      <c r="BR131" s="74">
        <f>SMALL((BR21,BR43,BR65,BR87,BR109),1)*0.4+SMALL((BR21,BR43,BR65,BR87,BR109),2)*0.3+SMALL((BR21,BR43,BR65,BR87,BR109),3)*0.1+SMALL((BR21,BR43,BR65,BR87,BR109),4)*0.1+SMALL((BR21,BR43,BR65,BR87,BR109),5)*0.1</f>
        <v>0</v>
      </c>
      <c r="BS131" s="454"/>
      <c r="BT131" s="74">
        <f>SMALL((BT21,BT43,BT65,BT87,BT109),1)*0.4+SMALL((BT21,BT43,BT65,BT87,BT109),2)*0.3+SMALL((BT21,BT43,BT65,BT87,BT109),3)*0.1+SMALL((BT21,BT43,BT65,BT87,BT109),4)*0.1+SMALL((BT21,BT43,BT65,BT87,BT109),5)*0.1</f>
        <v>5.1007976488205671</v>
      </c>
      <c r="BU131" s="74">
        <f>SMALL((BU21,BU43,BU65,BU87,BU109),1)*0.4+SMALL((BU21,BU43,BU65,BU87,BU109),2)*0.3+SMALL((BU21,BU43,BU65,BU87,BU109),3)*0.1+SMALL((BU21,BU43,BU65,BU87,BU109),4)*0.1+SMALL((BU21,BU43,BU65,BU87,BU109),5)*0.1</f>
        <v>4.5618976352020741</v>
      </c>
      <c r="BV131" s="74">
        <f>SMALL((BV21,BV43,BV65,BV87,BV109),1)*0.4+SMALL((BV21,BV43,BV65,BV87,BV109),2)*0.3+SMALL((BV21,BV43,BV65,BV87,BV109),3)*0.1+SMALL((BV21,BV43,BV65,BV87,BV109),4)*0.1+SMALL((BV21,BV43,BV65,BV87,BV109),5)*0.1</f>
        <v>4.3045976215835804</v>
      </c>
      <c r="BW131" s="74">
        <f>SMALL((BW21,BW43,BW65,BW87,BW109),1)*0.4+SMALL((BW21,BW43,BW65,BW87,BW109),2)*0.3+SMALL((BW21,BW43,BW65,BW87,BW109),3)*0.1+SMALL((BW21,BW43,BW65,BW87,BW109),4)*0.1+SMALL((BW21,BW43,BW65,BW87,BW109),5)*0.1</f>
        <v>4.1539976079650867</v>
      </c>
      <c r="BX131" s="74">
        <f>SMALL((BX21,BX43,BX65,BX87,BX109),1)*0.4+SMALL((BX21,BX43,BX65,BX87,BX109),2)*0.3+SMALL((BX21,BX43,BX65,BX87,BX109),3)*0.1+SMALL((BX21,BX43,BX65,BX87,BX109),4)*0.1+SMALL((BX21,BX43,BX65,BX87,BX109),5)*0.1</f>
        <v>3.9997975943465938</v>
      </c>
      <c r="BY131" s="74">
        <f>SMALL((BY21,BY43,BY65,BY87,BY109),1)*0.4+SMALL((BY21,BY43,BY65,BY87,BY109),2)*0.3+SMALL((BY21,BY43,BY65,BY87,BY109),3)*0.1+SMALL((BY21,BY43,BY65,BY87,BY109),4)*0.1+SMALL((BY21,BY43,BY65,BY87,BY109),5)*0.1</f>
        <v>3.8455975807281</v>
      </c>
      <c r="BZ131" s="74">
        <f>SMALL((BZ21,BZ43,BZ65,BZ87,BZ109),1)*0.4+SMALL((BZ21,BZ43,BZ65,BZ87,BZ109),2)*0.3+SMALL((BZ21,BZ43,BZ65,BZ87,BZ109),3)*0.1+SMALL((BZ21,BZ43,BZ65,BZ87,BZ109),4)*0.1+SMALL((BZ21,BZ43,BZ65,BZ87,BZ109),5)*0.1</f>
        <v>3.6913975671096066</v>
      </c>
    </row>
    <row r="132" spans="1:78" x14ac:dyDescent="0.2">
      <c r="A132" s="452"/>
      <c r="B132" s="453" t="str">
        <f t="shared" si="147"/>
        <v>Biodiesel (Pyr) - Global - Fuel cost - USD/GJ</v>
      </c>
      <c r="C132" s="453" t="str">
        <f t="shared" si="148"/>
        <v>Biodiesel (Pyr) - Global</v>
      </c>
      <c r="D132" s="74">
        <f t="shared" si="149"/>
        <v>42.7</v>
      </c>
      <c r="E132" t="s">
        <v>109</v>
      </c>
      <c r="F132" t="str">
        <f t="shared" si="150"/>
        <v>Biodiesel (Pyr)</v>
      </c>
      <c r="G132" t="s">
        <v>828</v>
      </c>
      <c r="H132" s="74">
        <f>SMALL((H22,H44,H66,H88,H110),1)*0.4+SMALL((H22,H44,H66,H88,H110),2)*0.3+SMALL((H22,H44,H66,H88,H110),3)*0.1+SMALL((H22,H44,H66,H88,H110),4)*0.1+SMALL((H22,H44,H66,H88,H110),5)*0.1</f>
        <v>57.632402751540752</v>
      </c>
      <c r="I132" s="74">
        <f>SMALL((I22,I44,I66,I88,I110),1)*0.4+SMALL((I22,I44,I66,I88,I110),2)*0.3+SMALL((I22,I44,I66,I88,I110),3)*0.1+SMALL((I22,I44,I66,I88,I110),4)*0.1+SMALL((I22,I44,I66,I88,I110),5)*0.1</f>
        <v>37.572340112459749</v>
      </c>
      <c r="J132" s="74">
        <f>SMALL((J22,J44,J66,J88,J110),1)*0.4+SMALL((J22,J44,J66,J88,J110),2)*0.3+SMALL((J22,J44,J66,J88,J110),3)*0.1+SMALL((J22,J44,J66,J88,J110),4)*0.1+SMALL((J22,J44,J66,J88,J110),5)*0.1</f>
        <v>22.003180038188102</v>
      </c>
      <c r="K132" s="74">
        <f>SMALL((K22,K44,K66,K88,K110),1)*0.4+SMALL((K22,K44,K66,K88,K110),2)*0.3+SMALL((K22,K44,K66,K88,K110),3)*0.1+SMALL((K22,K44,K66,K88,K110),4)*0.1+SMALL((K22,K44,K66,K88,K110),5)*0.1</f>
        <v>22.543922060636341</v>
      </c>
      <c r="L132" s="74">
        <f>SMALL((L22,L44,L66,L88,L110),1)*0.4+SMALL((L22,L44,L66,L88,L110),2)*0.3+SMALL((L22,L44,L66,L88,L110),3)*0.1+SMALL((L22,L44,L66,L88,L110),4)*0.1+SMALL((L22,L44,L66,L88,L110),5)*0.1</f>
        <v>22.554679802718063</v>
      </c>
      <c r="M132" s="74">
        <f>SMALL((M22,M44,M66,M88,M110),1)*0.4+SMALL((M22,M44,M66,M88,M110),2)*0.3+SMALL((M22,M44,M66,M88,M110),3)*0.1+SMALL((M22,M44,M66,M88,M110),4)*0.1+SMALL((M22,M44,M66,M88,M110),5)*0.1</f>
        <v>22.291628639612604</v>
      </c>
      <c r="N132" s="74">
        <f>SMALL((N22,N44,N66,N88,N110),1)*0.4+SMALL((N22,N44,N66,N88,N110),2)*0.3+SMALL((N22,N44,N66,N88,N110),3)*0.1+SMALL((N22,N44,N66,N88,N110),4)*0.1+SMALL((N22,N44,N66,N88,N110),5)*0.1</f>
        <v>21.206175667790404</v>
      </c>
      <c r="O132" s="454"/>
      <c r="P132" s="74">
        <f>SMALL((P22,P44,P66,P88,P110),1)*0.4+SMALL((P22,P44,P66,P88,P110),2)*0.3+SMALL((P22,P44,P66,P88,P110),3)*0.1+SMALL((P22,P44,P66,P88,P110),4)*0.1+SMALL((P22,P44,P66,P88,P110),5)*0.1</f>
        <v>0</v>
      </c>
      <c r="Q132" s="74">
        <f>SMALL((Q22,Q44,Q66,Q88,Q110),1)*0.4+SMALL((Q22,Q44,Q66,Q88,Q110),2)*0.3+SMALL((Q22,Q44,Q66,Q88,Q110),3)*0.1+SMALL((Q22,Q44,Q66,Q88,Q110),4)*0.1+SMALL((Q22,Q44,Q66,Q88,Q110),5)*0.1</f>
        <v>0</v>
      </c>
      <c r="R132" s="74">
        <f>SMALL((R22,R44,R66,R88,R110),1)*0.4+SMALL((R22,R44,R66,R88,R110),2)*0.3+SMALL((R22,R44,R66,R88,R110),3)*0.1+SMALL((R22,R44,R66,R88,R110),4)*0.1+SMALL((R22,R44,R66,R88,R110),5)*0.1</f>
        <v>0</v>
      </c>
      <c r="S132" s="74">
        <f>SMALL((S22,S44,S66,S88,S110),1)*0.4+SMALL((S22,S44,S66,S88,S110),2)*0.3+SMALL((S22,S44,S66,S88,S110),3)*0.1+SMALL((S22,S44,S66,S88,S110),4)*0.1+SMALL((S22,S44,S66,S88,S110),5)*0.1</f>
        <v>0</v>
      </c>
      <c r="T132" s="74">
        <f>SMALL((T22,T44,T66,T88,T110),1)*0.4+SMALL((T22,T44,T66,T88,T110),2)*0.3+SMALL((T22,T44,T66,T88,T110),3)*0.1+SMALL((T22,T44,T66,T88,T110),4)*0.1+SMALL((T22,T44,T66,T88,T110),5)*0.1</f>
        <v>0</v>
      </c>
      <c r="U132" s="74">
        <f>SMALL((U22,U44,U66,U88,U110),1)*0.4+SMALL((U22,U44,U66,U88,U110),2)*0.3+SMALL((U22,U44,U66,U88,U110),3)*0.1+SMALL((U22,U44,U66,U88,U110),4)*0.1+SMALL((U22,U44,U66,U88,U110),5)*0.1</f>
        <v>0</v>
      </c>
      <c r="V132" s="74">
        <f>SMALL((V22,V44,V66,V88,V110),1)*0.4+SMALL((V22,V44,V66,V88,V110),2)*0.3+SMALL((V22,V44,V66,V88,V110),3)*0.1+SMALL((V22,V44,V66,V88,V110),4)*0.1+SMALL((V22,V44,V66,V88,V110),5)*0.1</f>
        <v>0</v>
      </c>
      <c r="W132"/>
      <c r="X132" s="2">
        <f t="shared" si="154"/>
        <v>-40.339877075554391</v>
      </c>
      <c r="Y132" s="2">
        <f t="shared" si="154"/>
        <v>-48.28508713529736</v>
      </c>
      <c r="Z132" s="2">
        <f t="shared" si="154"/>
        <v>-54.14317291584149</v>
      </c>
      <c r="AA132" s="2">
        <f t="shared" si="154"/>
        <v>-66.682297018872859</v>
      </c>
      <c r="AB132" s="2">
        <f t="shared" si="154"/>
        <v>-68.6612337974545</v>
      </c>
      <c r="AC132" s="2">
        <f t="shared" si="154"/>
        <v>-70.931053663901253</v>
      </c>
      <c r="AD132" s="2">
        <f t="shared" si="154"/>
        <v>-74.042095342836006</v>
      </c>
      <c r="AE132"/>
      <c r="AF132" s="2">
        <f t="shared" si="155"/>
        <v>76.237236533957855</v>
      </c>
      <c r="AG132" s="2">
        <f t="shared" si="155"/>
        <v>76.237236533957855</v>
      </c>
      <c r="AH132" s="2">
        <f t="shared" si="155"/>
        <v>76.237236533957855</v>
      </c>
      <c r="AI132" s="2">
        <f t="shared" si="155"/>
        <v>76.237236533957855</v>
      </c>
      <c r="AJ132" s="2">
        <f t="shared" si="155"/>
        <v>76.237236533957855</v>
      </c>
      <c r="AK132" s="2">
        <f t="shared" si="155"/>
        <v>76.237236533957855</v>
      </c>
      <c r="AL132" s="2">
        <f t="shared" si="155"/>
        <v>76.237236533957855</v>
      </c>
      <c r="AM132"/>
      <c r="AN132" s="2">
        <f t="shared" si="156"/>
        <v>35.897359458403464</v>
      </c>
      <c r="AO132" s="2">
        <f t="shared" si="156"/>
        <v>27.952149398660495</v>
      </c>
      <c r="AP132" s="2">
        <f t="shared" si="156"/>
        <v>22.094063618116365</v>
      </c>
      <c r="AQ132" s="2">
        <f t="shared" si="156"/>
        <v>9.5549395150849961</v>
      </c>
      <c r="AR132" s="2">
        <f t="shared" si="156"/>
        <v>7.5760027365033551</v>
      </c>
      <c r="AS132" s="2">
        <f t="shared" si="156"/>
        <v>5.3061828700566025</v>
      </c>
      <c r="AT132" s="2">
        <f t="shared" si="156"/>
        <v>2.1951411911218486</v>
      </c>
      <c r="AU132"/>
      <c r="AV132" s="74">
        <f>SMALL((AV22,AV44,AV66,AV88,AV110),1)*0.4+SMALL((AV22,AV44,AV66,AV88,AV110),2)*0.3+SMALL((AV22,AV44,AV66,AV88,AV110),3)*0.1+SMALL((AV22,AV44,AV66,AV88,AV110),4)*0.1+SMALL((AV22,AV44,AV66,AV88,AV110),5)*0.1</f>
        <v>24.058938329430138</v>
      </c>
      <c r="AW132" s="74">
        <f>SMALL((AW22,AW44,AW66,AW88,AW110),1)*0.4+SMALL((AW22,AW44,AW66,AW88,AW110),2)*0.3+SMALL((AW22,AW44,AW66,AW88,AW110),3)*0.1+SMALL((AW22,AW44,AW66,AW88,AW110),4)*0.1+SMALL((AW22,AW44,AW66,AW88,AW110),5)*0.1</f>
        <v>14.435362997658082</v>
      </c>
      <c r="AX132" s="74">
        <f>SMALL((AX22,AX44,AX66,AX88,AX110),1)*0.4+SMALL((AX22,AX44,AX66,AX88,AX110),2)*0.3+SMALL((AX22,AX44,AX66,AX88,AX110),3)*0.1+SMALL((AX22,AX44,AX66,AX88,AX110),4)*0.1+SMALL((AX22,AX44,AX66,AX88,AX110),5)*0.1</f>
        <v>4.8117876658860261</v>
      </c>
      <c r="AY132" s="74">
        <f>SMALL((AY22,AY44,AY66,AY88,AY110),1)*0.4+SMALL((AY22,AY44,AY66,AY88,AY110),2)*0.3+SMALL((AY22,AY44,AY66,AY88,AY110),3)*0.1+SMALL((AY22,AY44,AY66,AY88,AY110),4)*0.1+SMALL((AY22,AY44,AY66,AY88,AY110),5)*0.1</f>
        <v>4.3306088992974248</v>
      </c>
      <c r="AZ132" s="74">
        <f>SMALL((AZ22,AZ44,AZ66,AZ88,AZ110),1)*0.4+SMALL((AZ22,AZ44,AZ66,AZ88,AZ110),2)*0.3+SMALL((AZ22,AZ44,AZ66,AZ88,AZ110),3)*0.1+SMALL((AZ22,AZ44,AZ66,AZ88,AZ110),4)*0.1+SMALL((AZ22,AZ44,AZ66,AZ88,AZ110),5)*0.1</f>
        <v>4.1702159771012237</v>
      </c>
      <c r="BA132" s="74">
        <f>SMALL((BA22,BA44,BA66,BA88,BA110),1)*0.4+SMALL((BA22,BA44,BA66,BA88,BA110),2)*0.3+SMALL((BA22,BA44,BA66,BA88,BA110),3)*0.1+SMALL((BA22,BA44,BA66,BA88,BA110),4)*0.1+SMALL((BA22,BA44,BA66,BA88,BA110),5)*0.1</f>
        <v>4.0098230549050236</v>
      </c>
      <c r="BB132" s="74">
        <f>SMALL((BB22,BB44,BB66,BB88,BB110),1)*0.4+SMALL((BB22,BB44,BB66,BB88,BB110),2)*0.3+SMALL((BB22,BB44,BB66,BB88,BB110),3)*0.1+SMALL((BB22,BB44,BB66,BB88,BB110),4)*0.1+SMALL((BB22,BB44,BB66,BB88,BB110),5)*0.1</f>
        <v>3.8494301327088234</v>
      </c>
      <c r="BC132" s="454"/>
      <c r="BD132" s="74">
        <f>SMALL((BD22,BD44,BD66,BD88,BD110),1)*0.4+SMALL((BD22,BD44,BD66,BD88,BD110),2)*0.3+SMALL((BD22,BD44,BD66,BD88,BD110),3)*0.1+SMALL((BD22,BD44,BD66,BD88,BD110),4)*0.1+SMALL((BD22,BD44,BD66,BD88,BD110),5)*0.1</f>
        <v>11.39306491294445</v>
      </c>
      <c r="BE132" s="74">
        <f>SMALL((BE22,BE44,BE66,BE88,BE110),1)*0.4+SMALL((BE22,BE44,BE66,BE88,BE110),2)*0.3+SMALL((BE22,BE44,BE66,BE88,BE110),3)*0.1+SMALL((BE22,BE44,BE66,BE88,BE110),4)*0.1+SMALL((BE22,BE44,BE66,BE88,BE110),5)*0.1</f>
        <v>6.9513909999579218</v>
      </c>
      <c r="BF132" s="74">
        <f>SMALL((BF22,BF44,BF66,BF88,BF110),1)*0.4+SMALL((BF22,BF44,BF66,BF88,BF110),2)*0.3+SMALL((BF22,BF44,BF66,BF88,BF110),3)*0.1+SMALL((BF22,BF44,BF66,BF88,BF110),4)*0.1+SMALL((BF22,BF44,BF66,BF88,BF110),5)*0.1</f>
        <v>2.571548180589267</v>
      </c>
      <c r="BG132" s="74">
        <f>SMALL((BG22,BG44,BG66,BG88,BG110),1)*0.4+SMALL((BG22,BG44,BG66,BG88,BG110),2)*0.3+SMALL((BG22,BG44,BG66,BG88,BG110),3)*0.1+SMALL((BG22,BG44,BG66,BG88,BG110),4)*0.1+SMALL((BG22,BG44,BG66,BG88,BG110),5)*0.1</f>
        <v>2.3021852745192879</v>
      </c>
      <c r="BH132" s="74">
        <f>SMALL((BH22,BH44,BH66,BH88,BH110),1)*0.4+SMALL((BH22,BH44,BH66,BH88,BH110),2)*0.3+SMALL((BH22,BH44,BH66,BH88,BH110),3)*0.1+SMALL((BH22,BH44,BH66,BH88,BH110),4)*0.1+SMALL((BH22,BH44,BH66,BH88,BH110),5)*0.1</f>
        <v>2.1989208467592269</v>
      </c>
      <c r="BI132" s="74">
        <f>SMALL((BI22,BI44,BI66,BI88,BI110),1)*0.4+SMALL((BI22,BI44,BI66,BI88,BI110),2)*0.3+SMALL((BI22,BI44,BI66,BI88,BI110),3)*0.1+SMALL((BI22,BI44,BI66,BI88,BI110),4)*0.1+SMALL((BI22,BI44,BI66,BI88,BI110),5)*0.1</f>
        <v>2.0980121686739812</v>
      </c>
      <c r="BJ132" s="74">
        <f>SMALL((BJ22,BJ44,BJ66,BJ88,BJ110),1)*0.4+SMALL((BJ22,BJ44,BJ66,BJ88,BJ110),2)*0.3+SMALL((BJ22,BJ44,BJ66,BJ88,BJ110),3)*0.1+SMALL((BJ22,BJ44,BJ66,BJ88,BJ110),4)*0.1+SMALL((BJ22,BJ44,BJ66,BJ88,BJ110),5)*0.1</f>
        <v>2.0107724591328529</v>
      </c>
      <c r="BK132" s="455"/>
      <c r="BL132" s="74">
        <f>SMALL((BL22,BL44,BL66,BL88,BL110),1)*0.4+SMALL((BL22,BL44,BL66,BL88,BL110),2)*0.3+SMALL((BL22,BL44,BL66,BL88,BL110),3)*0.1+SMALL((BL22,BL44,BL66,BL88,BL110),4)*0.1+SMALL((BL22,BL44,BL66,BL88,BL110),5)*0.1</f>
        <v>0</v>
      </c>
      <c r="BM132" s="74">
        <f>SMALL((BM22,BM44,BM66,BM88,BM110),1)*0.4+SMALL((BM22,BM44,BM66,BM88,BM110),2)*0.3+SMALL((BM22,BM44,BM66,BM88,BM110),3)*0.1+SMALL((BM22,BM44,BM66,BM88,BM110),4)*0.1+SMALL((BM22,BM44,BM66,BM88,BM110),5)*0.1</f>
        <v>0</v>
      </c>
      <c r="BN132" s="74">
        <f>SMALL((BN22,BN44,BN66,BN88,BN110),1)*0.4+SMALL((BN22,BN44,BN66,BN88,BN110),2)*0.3+SMALL((BN22,BN44,BN66,BN88,BN110),3)*0.1+SMALL((BN22,BN44,BN66,BN88,BN110),4)*0.1+SMALL((BN22,BN44,BN66,BN88,BN110),5)*0.1</f>
        <v>0</v>
      </c>
      <c r="BO132" s="74">
        <f>SMALL((BO22,BO44,BO66,BO88,BO110),1)*0.4+SMALL((BO22,BO44,BO66,BO88,BO110),2)*0.3+SMALL((BO22,BO44,BO66,BO88,BO110),3)*0.1+SMALL((BO22,BO44,BO66,BO88,BO110),4)*0.1+SMALL((BO22,BO44,BO66,BO88,BO110),5)*0.1</f>
        <v>0</v>
      </c>
      <c r="BP132" s="74">
        <f>SMALL((BP22,BP44,BP66,BP88,BP110),1)*0.4+SMALL((BP22,BP44,BP66,BP88,BP110),2)*0.3+SMALL((BP22,BP44,BP66,BP88,BP110),3)*0.1+SMALL((BP22,BP44,BP66,BP88,BP110),4)*0.1+SMALL((BP22,BP44,BP66,BP88,BP110),5)*0.1</f>
        <v>0</v>
      </c>
      <c r="BQ132" s="74">
        <f>SMALL((BQ22,BQ44,BQ66,BQ88,BQ110),1)*0.4+SMALL((BQ22,BQ44,BQ66,BQ88,BQ110),2)*0.3+SMALL((BQ22,BQ44,BQ66,BQ88,BQ110),3)*0.1+SMALL((BQ22,BQ44,BQ66,BQ88,BQ110),4)*0.1+SMALL((BQ22,BQ44,BQ66,BQ88,BQ110),5)*0.1</f>
        <v>0</v>
      </c>
      <c r="BR132" s="74">
        <f>SMALL((BR22,BR44,BR66,BR88,BR110),1)*0.4+SMALL((BR22,BR44,BR66,BR88,BR110),2)*0.3+SMALL((BR22,BR44,BR66,BR88,BR110),3)*0.1+SMALL((BR22,BR44,BR66,BR88,BR110),4)*0.1+SMALL((BR22,BR44,BR66,BR88,BR110),5)*0.1</f>
        <v>0</v>
      </c>
      <c r="BS132" s="454"/>
      <c r="BT132" s="74">
        <f>SMALL((BT22,BT44,BT66,BT88,BT110),1)*0.4+SMALL((BT22,BT44,BT66,BT88,BT110),2)*0.3+SMALL((BT22,BT44,BT66,BT88,BT110),3)*0.1+SMALL((BT22,BT44,BT66,BT88,BT110),4)*0.1+SMALL((BT22,BT44,BT66,BT88,BT110),5)*0.1</f>
        <v>22.070682537858922</v>
      </c>
      <c r="BU132" s="74">
        <f>SMALL((BU22,BU44,BU66,BU88,BU110),1)*0.4+SMALL((BU22,BU44,BU66,BU88,BU110),2)*0.3+SMALL((BU22,BU44,BU66,BU88,BU110),3)*0.1+SMALL((BU22,BU44,BU66,BU88,BU110),4)*0.1+SMALL((BU22,BU44,BU66,BU88,BU110),5)*0.1</f>
        <v>16.129601042885049</v>
      </c>
      <c r="BV132" s="74">
        <f>SMALL((BV22,BV44,BV66,BV88,BV110),1)*0.4+SMALL((BV22,BV44,BV66,BV88,BV110),2)*0.3+SMALL((BV22,BV44,BV66,BV88,BV110),3)*0.1+SMALL((BV22,BV44,BV66,BV88,BV110),4)*0.1+SMALL((BV22,BV44,BV66,BV88,BV110),5)*0.1</f>
        <v>14.558555956060637</v>
      </c>
      <c r="BW132" s="74">
        <f>SMALL((BW22,BW44,BW66,BW88,BW110),1)*0.4+SMALL((BW22,BW44,BW66,BW88,BW110),2)*0.3+SMALL((BW22,BW44,BW66,BW88,BW110),3)*0.1+SMALL((BW22,BW44,BW66,BW88,BW110),4)*0.1+SMALL((BW22,BW44,BW66,BW88,BW110),5)*0.1</f>
        <v>15.862726541841937</v>
      </c>
      <c r="BX132" s="74">
        <f>SMALL((BX22,BX44,BX66,BX88,BX110),1)*0.4+SMALL((BX22,BX44,BX66,BX88,BX110),2)*0.3+SMALL((BX22,BX44,BX66,BX88,BX110),3)*0.1+SMALL((BX22,BX44,BX66,BX88,BX110),4)*0.1+SMALL((BX22,BX44,BX66,BX88,BX110),5)*0.1</f>
        <v>16.143803624885194</v>
      </c>
      <c r="BY132" s="74">
        <f>SMALL((BY22,BY44,BY66,BY88,BY110),1)*0.4+SMALL((BY22,BY44,BY66,BY88,BY110),2)*0.3+SMALL((BY22,BY44,BY66,BY88,BY110),3)*0.1+SMALL((BY22,BY44,BY66,BY88,BY110),4)*0.1+SMALL((BY22,BY44,BY66,BY88,BY110),5)*0.1</f>
        <v>16.146952651278621</v>
      </c>
      <c r="BZ132" s="74">
        <f>SMALL((BZ22,BZ44,BZ66,BZ88,BZ110),1)*0.4+SMALL((BZ22,BZ44,BZ66,BZ88,BZ110),2)*0.3+SMALL((BZ22,BZ44,BZ66,BZ88,BZ110),3)*0.1+SMALL((BZ22,BZ44,BZ66,BZ88,BZ110),4)*0.1+SMALL((BZ22,BZ44,BZ66,BZ88,BZ110),5)*0.1</f>
        <v>15.311281649529166</v>
      </c>
    </row>
    <row r="133" spans="1:78" x14ac:dyDescent="0.2">
      <c r="A133" s="452"/>
      <c r="B133" s="453" t="str">
        <f t="shared" si="147"/>
        <v>Biodiesel (HtL) - Global - Fuel cost - USD/GJ</v>
      </c>
      <c r="C133" s="453" t="str">
        <f t="shared" si="148"/>
        <v>Biodiesel (HtL) - Global</v>
      </c>
      <c r="D133" s="74">
        <f t="shared" si="149"/>
        <v>42.7</v>
      </c>
      <c r="E133" t="s">
        <v>109</v>
      </c>
      <c r="F133" t="str">
        <f t="shared" si="150"/>
        <v>Biodiesel (HtL)</v>
      </c>
      <c r="G133" t="s">
        <v>828</v>
      </c>
      <c r="H133" s="74">
        <f>SMALL((H23,H45,H67,H89,H111),1)*0.4+SMALL((H23,H45,H67,H89,H111),2)*0.3+SMALL((H23,H45,H67,H89,H111),3)*0.1+SMALL((H23,H45,H67,H89,H111),4)*0.1+SMALL((H23,H45,H67,H89,H111),5)*0.1</f>
        <v>157.26042292428463</v>
      </c>
      <c r="I133" s="74">
        <f>SMALL((I23,I45,I67,I89,I111),1)*0.4+SMALL((I23,I45,I67,I89,I111),2)*0.3+SMALL((I23,I45,I67,I89,I111),3)*0.1+SMALL((I23,I45,I67,I89,I111),4)*0.1+SMALL((I23,I45,I67,I89,I111),5)*0.1</f>
        <v>51.464770670764452</v>
      </c>
      <c r="J133" s="74">
        <f>SMALL((J23,J45,J67,J89,J111),1)*0.4+SMALL((J23,J45,J67,J89,J111),2)*0.3+SMALL((J23,J45,J67,J89,J111),3)*0.1+SMALL((J23,J45,J67,J89,J111),4)*0.1+SMALL((J23,J45,J67,J89,J111),5)*0.1</f>
        <v>23.128660266739431</v>
      </c>
      <c r="K133" s="74">
        <f>SMALL((K23,K45,K67,K89,K111),1)*0.4+SMALL((K23,K45,K67,K89,K111),2)*0.3+SMALL((K23,K45,K67,K89,K111),3)*0.1+SMALL((K23,K45,K67,K89,K111),4)*0.1+SMALL((K23,K45,K67,K89,K111),5)*0.1</f>
        <v>22.782868292394596</v>
      </c>
      <c r="L133" s="74">
        <f>SMALL((L23,L45,L67,L89,L111),1)*0.4+SMALL((L23,L45,L67,L89,L111),2)*0.3+SMALL((L23,L45,L67,L89,L111),3)*0.1+SMALL((L23,L45,L67,L89,L111),4)*0.1+SMALL((L23,L45,L67,L89,L111),5)*0.1</f>
        <v>22.380413979395946</v>
      </c>
      <c r="M133" s="74">
        <f>SMALL((M23,M45,M67,M89,M111),1)*0.4+SMALL((M23,M45,M67,M89,M111),2)*0.3+SMALL((M23,M45,M67,M89,M111),3)*0.1+SMALL((M23,M45,M67,M89,M111),4)*0.1+SMALL((M23,M45,M67,M89,M111),5)*0.1</f>
        <v>21.868368974715004</v>
      </c>
      <c r="N133" s="74">
        <f>SMALL((N23,N45,N67,N89,N111),1)*0.4+SMALL((N23,N45,N67,N89,N111),2)*0.3+SMALL((N23,N45,N67,N89,N111),3)*0.1+SMALL((N23,N45,N67,N89,N111),4)*0.1+SMALL((N23,N45,N67,N89,N111),5)*0.1</f>
        <v>20.949048104265586</v>
      </c>
      <c r="O133" s="454"/>
      <c r="P133" s="74">
        <f>SMALL((P23,P45,P67,P89,P111),1)*0.4+SMALL((P23,P45,P67,P89,P111),2)*0.3+SMALL((P23,P45,P67,P89,P111),3)*0.1+SMALL((P23,P45,P67,P89,P111),4)*0.1+SMALL((P23,P45,P67,P89,P111),5)*0.1</f>
        <v>0.93212925784471967</v>
      </c>
      <c r="Q133" s="74">
        <f>SMALL((Q23,Q45,Q67,Q89,Q111),1)*0.4+SMALL((Q23,Q45,Q67,Q89,Q111),2)*0.3+SMALL((Q23,Q45,Q67,Q89,Q111),3)*0.1+SMALL((Q23,Q45,Q67,Q89,Q111),4)*0.1+SMALL((Q23,Q45,Q67,Q89,Q111),5)*0.1</f>
        <v>0.71777461553661903</v>
      </c>
      <c r="R133" s="74">
        <f>SMALL((R23,R45,R67,R89,R111),1)*0.4+SMALL((R23,R45,R67,R89,R111),2)*0.3+SMALL((R23,R45,R67,R89,R111),3)*0.1+SMALL((R23,R45,R67,R89,R111),4)*0.1+SMALL((R23,R45,R67,R89,R111),5)*0.1</f>
        <v>0.58607866608705939</v>
      </c>
      <c r="S133" s="74">
        <f>SMALL((S23,S45,S67,S89,S111),1)*0.4+SMALL((S23,S45,S67,S89,S111),2)*0.3+SMALL((S23,S45,S67,S89,S111),3)*0.1+SMALL((S23,S45,S67,S89,S111),4)*0.1+SMALL((S23,S45,S67,S89,S111),5)*0.1</f>
        <v>0.50891131060325168</v>
      </c>
      <c r="T133" s="74">
        <f>SMALL((T23,T45,T67,T89,T111),1)*0.4+SMALL((T23,T45,T67,T89,T111),2)*0.3+SMALL((T23,T45,T67,T89,T111),3)*0.1+SMALL((T23,T45,T67,T89,T111),4)*0.1+SMALL((T23,T45,T67,T89,T111),5)*0.1</f>
        <v>0.46384024805088325</v>
      </c>
      <c r="U133" s="74">
        <f>SMALL((U23,U45,U67,U89,U111),1)*0.4+SMALL((U23,U45,U67,U89,U111),2)*0.3+SMALL((U23,U45,U67,U89,U111),3)*0.1+SMALL((U23,U45,U67,U89,U111),4)*0.1+SMALL((U23,U45,U67,U89,U111),5)*0.1</f>
        <v>0.42227272555804329</v>
      </c>
      <c r="V133" s="74">
        <f>SMALL((V23,V45,V67,V89,V111),1)*0.4+SMALL((V23,V45,V67,V89,V111),2)*0.3+SMALL((V23,V45,V67,V89,V111),3)*0.1+SMALL((V23,V45,V67,V89,V111),4)*0.1+SMALL((V23,V45,V67,V89,V111),5)*0.1</f>
        <v>0.39940721465532708</v>
      </c>
      <c r="W133"/>
      <c r="X133" s="2">
        <f t="shared" si="154"/>
        <v>-54.006278557194555</v>
      </c>
      <c r="Y133" s="2">
        <f t="shared" si="154"/>
        <v>-58.557346422110115</v>
      </c>
      <c r="Z133" s="2">
        <f t="shared" si="154"/>
        <v>-62.105357424160069</v>
      </c>
      <c r="AA133" s="2">
        <f t="shared" si="154"/>
        <v>-68.865406081251962</v>
      </c>
      <c r="AB133" s="2">
        <f t="shared" si="154"/>
        <v>-70.54844160158919</v>
      </c>
      <c r="AC133" s="2">
        <f t="shared" si="154"/>
        <v>-72.371324760323077</v>
      </c>
      <c r="AD133" s="2">
        <f t="shared" si="154"/>
        <v>-74.598641482753152</v>
      </c>
      <c r="AE133"/>
      <c r="AF133" s="2">
        <f t="shared" si="155"/>
        <v>76.237236533957855</v>
      </c>
      <c r="AG133" s="2">
        <f t="shared" si="155"/>
        <v>76.237236533957855</v>
      </c>
      <c r="AH133" s="2">
        <f t="shared" si="155"/>
        <v>76.237236533957855</v>
      </c>
      <c r="AI133" s="2">
        <f t="shared" si="155"/>
        <v>76.237236533957855</v>
      </c>
      <c r="AJ133" s="2">
        <f t="shared" si="155"/>
        <v>76.237236533957855</v>
      </c>
      <c r="AK133" s="2">
        <f t="shared" si="155"/>
        <v>76.237236533957855</v>
      </c>
      <c r="AL133" s="2">
        <f t="shared" si="155"/>
        <v>76.237236533957855</v>
      </c>
      <c r="AM133"/>
      <c r="AN133" s="2">
        <f t="shared" si="156"/>
        <v>22.2309579767633</v>
      </c>
      <c r="AO133" s="2">
        <f t="shared" si="156"/>
        <v>17.67989011184774</v>
      </c>
      <c r="AP133" s="2">
        <f t="shared" si="156"/>
        <v>14.131879109797786</v>
      </c>
      <c r="AQ133" s="2">
        <f t="shared" si="156"/>
        <v>7.3718304527058933</v>
      </c>
      <c r="AR133" s="2">
        <f t="shared" si="156"/>
        <v>5.6887949323686655</v>
      </c>
      <c r="AS133" s="2">
        <f t="shared" si="156"/>
        <v>3.8659117736347781</v>
      </c>
      <c r="AT133" s="2">
        <f t="shared" si="156"/>
        <v>1.6385950512047032</v>
      </c>
      <c r="AU133"/>
      <c r="AV133" s="74">
        <f>SMALL((AV23,AV45,AV67,AV89,AV111),1)*0.4+SMALL((AV23,AV45,AV67,AV89,AV111),2)*0.3+SMALL((AV23,AV45,AV67,AV89,AV111),3)*0.1+SMALL((AV23,AV45,AV67,AV89,AV111),4)*0.1+SMALL((AV23,AV45,AV67,AV89,AV111),5)*0.1</f>
        <v>30.789105244461659</v>
      </c>
      <c r="AW133" s="74">
        <f>SMALL((AW23,AW45,AW67,AW89,AW111),1)*0.4+SMALL((AW23,AW45,AW67,AW89,AW111),2)*0.3+SMALL((AW23,AW45,AW67,AW89,AW111),3)*0.1+SMALL((AW23,AW45,AW67,AW89,AW111),4)*0.1+SMALL((AW23,AW45,AW67,AW89,AW111),5)*0.1</f>
        <v>18.473463146676998</v>
      </c>
      <c r="AX133" s="74">
        <f>SMALL((AX23,AX45,AX67,AX89,AX111),1)*0.4+SMALL((AX23,AX45,AX67,AX89,AX111),2)*0.3+SMALL((AX23,AX45,AX67,AX89,AX111),3)*0.1+SMALL((AX23,AX45,AX67,AX89,AX111),4)*0.1+SMALL((AX23,AX45,AX67,AX89,AX111),5)*0.1</f>
        <v>6.1578210488923339</v>
      </c>
      <c r="AY133" s="74">
        <f>SMALL((AY23,AY45,AY67,AY89,AY111),1)*0.4+SMALL((AY23,AY45,AY67,AY89,AY111),2)*0.3+SMALL((AY23,AY45,AY67,AY89,AY111),3)*0.1+SMALL((AY23,AY45,AY67,AY89,AY111),4)*0.1+SMALL((AY23,AY45,AY67,AY89,AY111),5)*0.1</f>
        <v>5.7883517859587936</v>
      </c>
      <c r="AZ133" s="74">
        <f>SMALL((AZ23,AZ45,AZ67,AZ89,AZ111),1)*0.4+SMALL((AZ23,AZ45,AZ67,AZ89,AZ111),2)*0.3+SMALL((AZ23,AZ45,AZ67,AZ89,AZ111),3)*0.1+SMALL((AZ23,AZ45,AZ67,AZ89,AZ111),4)*0.1+SMALL((AZ23,AZ45,AZ67,AZ89,AZ111),5)*0.1</f>
        <v>5.6036171544920235</v>
      </c>
      <c r="BA133" s="74">
        <f>SMALL((BA23,BA45,BA67,BA89,BA111),1)*0.4+SMALL((BA23,BA45,BA67,BA89,BA111),2)*0.3+SMALL((BA23,BA45,BA67,BA89,BA111),3)*0.1+SMALL((BA23,BA45,BA67,BA89,BA111),4)*0.1+SMALL((BA23,BA45,BA67,BA89,BA111),5)*0.1</f>
        <v>5.4188825230252542</v>
      </c>
      <c r="BB133" s="74">
        <f>SMALL((BB23,BB45,BB67,BB89,BB111),1)*0.4+SMALL((BB23,BB45,BB67,BB89,BB111),2)*0.3+SMALL((BB23,BB45,BB67,BB89,BB111),3)*0.1+SMALL((BB23,BB45,BB67,BB89,BB111),4)*0.1+SMALL((BB23,BB45,BB67,BB89,BB111),5)*0.1</f>
        <v>5.2341478915584823</v>
      </c>
      <c r="BC133" s="454"/>
      <c r="BD133" s="74">
        <f>SMALL((BD23,BD45,BD67,BD89,BD111),1)*0.4+SMALL((BD23,BD45,BD67,BD89,BD111),2)*0.3+SMALL((BD23,BD45,BD67,BD89,BD111),3)*0.1+SMALL((BD23,BD45,BD67,BD89,BD111),4)*0.1+SMALL((BD23,BD45,BD67,BD89,BD111),5)*0.1</f>
        <v>112.90800471039643</v>
      </c>
      <c r="BE133" s="74">
        <f>SMALL((BE23,BE45,BE67,BE89,BE111),1)*0.4+SMALL((BE23,BE45,BE67,BE89,BE111),2)*0.3+SMALL((BE23,BE45,BE67,BE89,BE111),3)*0.1+SMALL((BE23,BE45,BE67,BE89,BE111),4)*0.1+SMALL((BE23,BE45,BE67,BE89,BE111),5)*0.1</f>
        <v>22.581600942079277</v>
      </c>
      <c r="BF133" s="74">
        <f>SMALL((BF23,BF45,BF67,BF89,BF111),1)*0.4+SMALL((BF23,BF45,BF67,BF89,BF111),2)*0.3+SMALL((BF23,BF45,BF67,BF89,BF111),3)*0.1+SMALL((BF23,BF45,BF67,BF89,BF111),4)*0.1+SMALL((BF23,BF45,BF67,BF89,BF111),5)*0.1</f>
        <v>7.5272003140264268</v>
      </c>
      <c r="BG133" s="74">
        <f>SMALL((BG23,BG45,BG67,BG89,BG111),1)*0.4+SMALL((BG23,BG45,BG67,BG89,BG111),2)*0.3+SMALL((BG23,BG45,BG67,BG89,BG111),3)*0.1+SMALL((BG23,BG45,BG67,BG89,BG111),4)*0.1+SMALL((BG23,BG45,BG67,BG89,BG111),5)*0.1</f>
        <v>7.0755682951848424</v>
      </c>
      <c r="BH133" s="74">
        <f>SMALL((BH23,BH45,BH67,BH89,BH111),1)*0.4+SMALL((BH23,BH45,BH67,BH89,BH111),2)*0.3+SMALL((BH23,BH45,BH67,BH89,BH111),3)*0.1+SMALL((BH23,BH45,BH67,BH89,BH111),4)*0.1+SMALL((BH23,BH45,BH67,BH89,BH111),5)*0.1</f>
        <v>6.8497522857640512</v>
      </c>
      <c r="BI133" s="74">
        <f>SMALL((BI23,BI45,BI67,BI89,BI111),1)*0.4+SMALL((BI23,BI45,BI67,BI89,BI111),2)*0.3+SMALL((BI23,BI45,BI67,BI89,BI111),3)*0.1+SMALL((BI23,BI45,BI67,BI89,BI111),4)*0.1+SMALL((BI23,BI45,BI67,BI89,BI111),5)*0.1</f>
        <v>6.6239362763432572</v>
      </c>
      <c r="BJ133" s="74">
        <f>SMALL((BJ23,BJ45,BJ67,BJ89,BJ111),1)*0.4+SMALL((BJ23,BJ45,BJ67,BJ89,BJ111),2)*0.3+SMALL((BJ23,BJ45,BJ67,BJ89,BJ111),3)*0.1+SMALL((BJ23,BJ45,BJ67,BJ89,BJ111),4)*0.1+SMALL((BJ23,BJ45,BJ67,BJ89,BJ111),5)*0.1</f>
        <v>6.398120266922465</v>
      </c>
      <c r="BK133" s="455"/>
      <c r="BL133" s="74">
        <f>SMALL((BL23,BL45,BL67,BL89,BL111),1)*0.4+SMALL((BL23,BL45,BL67,BL89,BL111),2)*0.3+SMALL((BL23,BL45,BL67,BL89,BL111),3)*0.1+SMALL((BL23,BL45,BL67,BL89,BL111),4)*0.1+SMALL((BL23,BL45,BL67,BL89,BL111),5)*0.1</f>
        <v>0</v>
      </c>
      <c r="BM133" s="74">
        <f>SMALL((BM23,BM45,BM67,BM89,BM111),1)*0.4+SMALL((BM23,BM45,BM67,BM89,BM111),2)*0.3+SMALL((BM23,BM45,BM67,BM89,BM111),3)*0.1+SMALL((BM23,BM45,BM67,BM89,BM111),4)*0.1+SMALL((BM23,BM45,BM67,BM89,BM111),5)*0.1</f>
        <v>0</v>
      </c>
      <c r="BN133" s="74">
        <f>SMALL((BN23,BN45,BN67,BN89,BN111),1)*0.4+SMALL((BN23,BN45,BN67,BN89,BN111),2)*0.3+SMALL((BN23,BN45,BN67,BN89,BN111),3)*0.1+SMALL((BN23,BN45,BN67,BN89,BN111),4)*0.1+SMALL((BN23,BN45,BN67,BN89,BN111),5)*0.1</f>
        <v>0</v>
      </c>
      <c r="BO133" s="74">
        <f>SMALL((BO23,BO45,BO67,BO89,BO111),1)*0.4+SMALL((BO23,BO45,BO67,BO89,BO111),2)*0.3+SMALL((BO23,BO45,BO67,BO89,BO111),3)*0.1+SMALL((BO23,BO45,BO67,BO89,BO111),4)*0.1+SMALL((BO23,BO45,BO67,BO89,BO111),5)*0.1</f>
        <v>0</v>
      </c>
      <c r="BP133" s="74">
        <f>SMALL((BP23,BP45,BP67,BP89,BP111),1)*0.4+SMALL((BP23,BP45,BP67,BP89,BP111),2)*0.3+SMALL((BP23,BP45,BP67,BP89,BP111),3)*0.1+SMALL((BP23,BP45,BP67,BP89,BP111),4)*0.1+SMALL((BP23,BP45,BP67,BP89,BP111),5)*0.1</f>
        <v>0</v>
      </c>
      <c r="BQ133" s="74">
        <f>SMALL((BQ23,BQ45,BQ67,BQ89,BQ111),1)*0.4+SMALL((BQ23,BQ45,BQ67,BQ89,BQ111),2)*0.3+SMALL((BQ23,BQ45,BQ67,BQ89,BQ111),3)*0.1+SMALL((BQ23,BQ45,BQ67,BQ89,BQ111),4)*0.1+SMALL((BQ23,BQ45,BQ67,BQ89,BQ111),5)*0.1</f>
        <v>0</v>
      </c>
      <c r="BR133" s="74">
        <f>SMALL((BR23,BR45,BR67,BR89,BR111),1)*0.4+SMALL((BR23,BR45,BR67,BR89,BR111),2)*0.3+SMALL((BR23,BR45,BR67,BR89,BR111),3)*0.1+SMALL((BR23,BR45,BR67,BR89,BR111),4)*0.1+SMALL((BR23,BR45,BR67,BR89,BR111),5)*0.1</f>
        <v>0</v>
      </c>
      <c r="BS133" s="454"/>
      <c r="BT133" s="74">
        <f>SMALL((BT23,BT45,BT67,BT89,BT111),1)*0.4+SMALL((BT23,BT45,BT67,BT89,BT111),2)*0.3+SMALL((BT23,BT45,BT67,BT89,BT111),3)*0.1+SMALL((BT23,BT45,BT67,BT89,BT111),4)*0.1+SMALL((BT23,BT45,BT67,BT89,BT111),5)*0.1</f>
        <v>12.623201201730057</v>
      </c>
      <c r="BU133" s="74">
        <f>SMALL((BU23,BU45,BU67,BU89,BU111),1)*0.4+SMALL((BU23,BU45,BU67,BU89,BU111),2)*0.3+SMALL((BU23,BU45,BU67,BU89,BU111),3)*0.1+SMALL((BU23,BU45,BU67,BU89,BU111),4)*0.1+SMALL((BU23,BU45,BU67,BU89,BU111),5)*0.1</f>
        <v>9.6813312474919435</v>
      </c>
      <c r="BV133" s="74">
        <f>SMALL((BV23,BV45,BV67,BV89,BV111),1)*0.4+SMALL((BV23,BV45,BV67,BV89,BV111),2)*0.3+SMALL((BV23,BV45,BV67,BV89,BV111),3)*0.1+SMALL((BV23,BV45,BV67,BV89,BV111),4)*0.1+SMALL((BV23,BV45,BV67,BV89,BV111),5)*0.1</f>
        <v>8.8489479357485692</v>
      </c>
      <c r="BW133" s="74">
        <f>SMALL((BW23,BW45,BW67,BW89,BW111),1)*0.4+SMALL((BW23,BW45,BW67,BW89,BW111),2)*0.3+SMALL((BW23,BW45,BW67,BW89,BW111),3)*0.1+SMALL((BW23,BW45,BW67,BW89,BW111),4)*0.1+SMALL((BW23,BW45,BW67,BW89,BW111),5)*0.1</f>
        <v>9.4002338618694541</v>
      </c>
      <c r="BX133" s="74">
        <f>SMALL((BX23,BX45,BX67,BX89,BX111),1)*0.4+SMALL((BX23,BX45,BX67,BX89,BX111),2)*0.3+SMALL((BX23,BX45,BX67,BX89,BX111),3)*0.1+SMALL((BX23,BX45,BX67,BX89,BX111),4)*0.1+SMALL((BX23,BX45,BX67,BX89,BX111),5)*0.1</f>
        <v>9.4444988036851782</v>
      </c>
      <c r="BY133" s="74">
        <f>SMALL((BY23,BY45,BY67,BY89,BY111),1)*0.4+SMALL((BY23,BY45,BY67,BY89,BY111),2)*0.3+SMALL((BY23,BY45,BY67,BY89,BY111),3)*0.1+SMALL((BY23,BY45,BY67,BY89,BY111),4)*0.1+SMALL((BY23,BY45,BY67,BY89,BY111),5)*0.1</f>
        <v>9.366332811574333</v>
      </c>
      <c r="BZ133" s="74">
        <f>SMALL((BZ23,BZ45,BZ67,BZ89,BZ111),1)*0.4+SMALL((BZ23,BZ45,BZ67,BZ89,BZ111),2)*0.3+SMALL((BZ23,BZ45,BZ67,BZ89,BZ111),3)*0.1+SMALL((BZ23,BZ45,BZ67,BZ89,BZ111),4)*0.1+SMALL((BZ23,BZ45,BZ67,BZ89,BZ111),5)*0.1</f>
        <v>8.8817362231470476</v>
      </c>
    </row>
    <row r="134" spans="1:78" x14ac:dyDescent="0.2">
      <c r="A134" s="452"/>
      <c r="B134" s="453" t="str">
        <f t="shared" si="147"/>
        <v>Biomethanol - Global - Fuel cost - USD/GJ</v>
      </c>
      <c r="C134" s="453" t="str">
        <f t="shared" si="148"/>
        <v>Biomethanol - Global</v>
      </c>
      <c r="D134" s="74">
        <f t="shared" si="149"/>
        <v>19.899999999999999</v>
      </c>
      <c r="E134" t="s">
        <v>109</v>
      </c>
      <c r="F134" t="str">
        <f t="shared" si="150"/>
        <v>Biomethanol</v>
      </c>
      <c r="G134" t="s">
        <v>828</v>
      </c>
      <c r="H134" s="74">
        <f>SMALL((H24,H46,H68,H90,H112),1)*0.4+SMALL((H24,H46,H68,H90,H112),2)*0.3+SMALL((H24,H46,H68,H90,H112),3)*0.1+SMALL((H24,H46,H68,H90,H112),4)*0.1+SMALL((H24,H46,H68,H90,H112),5)*0.1</f>
        <v>50.08367954488282</v>
      </c>
      <c r="I134" s="74">
        <f>SMALL((I24,I46,I68,I90,I112),1)*0.4+SMALL((I24,I46,I68,I90,I112),2)*0.3+SMALL((I24,I46,I68,I90,I112),3)*0.1+SMALL((I24,I46,I68,I90,I112),4)*0.1+SMALL((I24,I46,I68,I90,I112),5)*0.1</f>
        <v>34.994370774094946</v>
      </c>
      <c r="J134" s="74">
        <f>SMALL((J24,J46,J68,J90,J112),1)*0.4+SMALL((J24,J46,J68,J90,J112),2)*0.3+SMALL((J24,J46,J68,J90,J112),3)*0.1+SMALL((J24,J46,J68,J90,J112),4)*0.1+SMALL((J24,J46,J68,J90,J112),5)*0.1</f>
        <v>29.453566991580107</v>
      </c>
      <c r="K134" s="74">
        <f>SMALL((K24,K46,K68,K90,K112),1)*0.4+SMALL((K24,K46,K68,K90,K112),2)*0.3+SMALL((K24,K46,K68,K90,K112),3)*0.1+SMALL((K24,K46,K68,K90,K112),4)*0.1+SMALL((K24,K46,K68,K90,K112),5)*0.1</f>
        <v>27.183150775962002</v>
      </c>
      <c r="L134" s="74">
        <f>SMALL((L24,L46,L68,L90,L112),1)*0.4+SMALL((L24,L46,L68,L90,L112),2)*0.3+SMALL((L24,L46,L68,L90,L112),3)*0.1+SMALL((L24,L46,L68,L90,L112),4)*0.1+SMALL((L24,L46,L68,L90,L112),5)*0.1</f>
        <v>24.963969427194961</v>
      </c>
      <c r="M134" s="74">
        <f>SMALL((M24,M46,M68,M90,M112),1)*0.4+SMALL((M24,M46,M68,M90,M112),2)*0.3+SMALL((M24,M46,M68,M90,M112),3)*0.1+SMALL((M24,M46,M68,M90,M112),4)*0.1+SMALL((M24,M46,M68,M90,M112),5)*0.1</f>
        <v>23.678783140515929</v>
      </c>
      <c r="N134" s="74">
        <f>SMALL((N24,N46,N68,N90,N112),1)*0.4+SMALL((N24,N46,N68,N90,N112),2)*0.3+SMALL((N24,N46,N68,N90,N112),3)*0.1+SMALL((N24,N46,N68,N90,N112),4)*0.1+SMALL((N24,N46,N68,N90,N112),5)*0.1</f>
        <v>22.431361605465629</v>
      </c>
      <c r="O134" s="454"/>
      <c r="P134" s="74">
        <f>SMALL((P24,P46,P68,P90,P112),1)*0.4+SMALL((P24,P46,P68,P90,P112),2)*0.3+SMALL((P24,P46,P68,P90,P112),3)*0.1+SMALL((P24,P46,P68,P90,P112),4)*0.1+SMALL((P24,P46,P68,P90,P112),5)*0.1</f>
        <v>0</v>
      </c>
      <c r="Q134" s="74">
        <f>SMALL((Q24,Q46,Q68,Q90,Q112),1)*0.4+SMALL((Q24,Q46,Q68,Q90,Q112),2)*0.3+SMALL((Q24,Q46,Q68,Q90,Q112),3)*0.1+SMALL((Q24,Q46,Q68,Q90,Q112),4)*0.1+SMALL((Q24,Q46,Q68,Q90,Q112),5)*0.1</f>
        <v>0</v>
      </c>
      <c r="R134" s="74">
        <f>SMALL((R24,R46,R68,R90,R112),1)*0.4+SMALL((R24,R46,R68,R90,R112),2)*0.3+SMALL((R24,R46,R68,R90,R112),3)*0.1+SMALL((R24,R46,R68,R90,R112),4)*0.1+SMALL((R24,R46,R68,R90,R112),5)*0.1</f>
        <v>0</v>
      </c>
      <c r="S134" s="74">
        <f>SMALL((S24,S46,S68,S90,S112),1)*0.4+SMALL((S24,S46,S68,S90,S112),2)*0.3+SMALL((S24,S46,S68,S90,S112),3)*0.1+SMALL((S24,S46,S68,S90,S112),4)*0.1+SMALL((S24,S46,S68,S90,S112),5)*0.1</f>
        <v>0</v>
      </c>
      <c r="T134" s="74">
        <f>SMALL((T24,T46,T68,T90,T112),1)*0.4+SMALL((T24,T46,T68,T90,T112),2)*0.3+SMALL((T24,T46,T68,T90,T112),3)*0.1+SMALL((T24,T46,T68,T90,T112),4)*0.1+SMALL((T24,T46,T68,T90,T112),5)*0.1</f>
        <v>0</v>
      </c>
      <c r="U134" s="74">
        <f>SMALL((U24,U46,U68,U90,U112),1)*0.4+SMALL((U24,U46,U68,U90,U112),2)*0.3+SMALL((U24,U46,U68,U90,U112),3)*0.1+SMALL((U24,U46,U68,U90,U112),4)*0.1+SMALL((U24,U46,U68,U90,U112),5)*0.1</f>
        <v>0</v>
      </c>
      <c r="V134" s="74">
        <f>SMALL((V24,V46,V68,V90,V112),1)*0.4+SMALL((V24,V46,V68,V90,V112),2)*0.3+SMALL((V24,V46,V68,V90,V112),3)*0.1+SMALL((V24,V46,V68,V90,V112),4)*0.1+SMALL((V24,V46,V68,V90,V112),5)*0.1</f>
        <v>0</v>
      </c>
      <c r="W134"/>
      <c r="X134" s="2">
        <f t="shared" si="154"/>
        <v>-58.0093628242169</v>
      </c>
      <c r="Y134" s="2">
        <f t="shared" si="154"/>
        <v>-59.650981687637127</v>
      </c>
      <c r="Z134" s="2">
        <f t="shared" si="154"/>
        <v>-61.293041481198266</v>
      </c>
      <c r="AA134" s="2">
        <f t="shared" si="154"/>
        <v>-62.93510127475939</v>
      </c>
      <c r="AB134" s="2">
        <f t="shared" si="154"/>
        <v>-64.577161068320521</v>
      </c>
      <c r="AC134" s="2">
        <f t="shared" si="154"/>
        <v>-66.219220861881638</v>
      </c>
      <c r="AD134" s="2">
        <f t="shared" si="154"/>
        <v>-67.861280655442783</v>
      </c>
      <c r="AE134"/>
      <c r="AF134" s="2">
        <f t="shared" si="155"/>
        <v>69.095477386934675</v>
      </c>
      <c r="AG134" s="2">
        <f t="shared" si="155"/>
        <v>69.095477386934675</v>
      </c>
      <c r="AH134" s="2">
        <f t="shared" si="155"/>
        <v>69.095477386934675</v>
      </c>
      <c r="AI134" s="2">
        <f t="shared" si="155"/>
        <v>69.095477386934675</v>
      </c>
      <c r="AJ134" s="2">
        <f t="shared" si="155"/>
        <v>69.095477386934675</v>
      </c>
      <c r="AK134" s="2">
        <f t="shared" si="155"/>
        <v>69.095477386934675</v>
      </c>
      <c r="AL134" s="2">
        <f t="shared" si="155"/>
        <v>69.095477386934675</v>
      </c>
      <c r="AM134"/>
      <c r="AN134" s="2">
        <f t="shared" si="156"/>
        <v>11.086114562717775</v>
      </c>
      <c r="AO134" s="2">
        <f t="shared" si="156"/>
        <v>9.4444956992975477</v>
      </c>
      <c r="AP134" s="2">
        <f t="shared" si="156"/>
        <v>7.8024359057364094</v>
      </c>
      <c r="AQ134" s="2">
        <f t="shared" si="156"/>
        <v>6.1603761121752854</v>
      </c>
      <c r="AR134" s="2">
        <f t="shared" si="156"/>
        <v>4.5183163186141542</v>
      </c>
      <c r="AS134" s="2">
        <f t="shared" si="156"/>
        <v>2.8762565250530372</v>
      </c>
      <c r="AT134" s="2">
        <f t="shared" si="156"/>
        <v>1.2341967314918918</v>
      </c>
      <c r="AU134"/>
      <c r="AV134" s="74">
        <f>SMALL((AV24,AV46,AV68,AV90,AV112),1)*0.4+SMALL((AV24,AV46,AV68,AV90,AV112),2)*0.3+SMALL((AV24,AV46,AV68,AV90,AV112),3)*0.1+SMALL((AV24,AV46,AV68,AV90,AV112),4)*0.1+SMALL((AV24,AV46,AV68,AV90,AV112),5)*0.1</f>
        <v>23.96984924623116</v>
      </c>
      <c r="AW134" s="74">
        <f>SMALL((AW24,AW46,AW68,AW90,AW112),1)*0.4+SMALL((AW24,AW46,AW68,AW90,AW112),2)*0.3+SMALL((AW24,AW46,AW68,AW90,AW112),3)*0.1+SMALL((AW24,AW46,AW68,AW90,AW112),4)*0.1+SMALL((AW24,AW46,AW68,AW90,AW112),5)*0.1</f>
        <v>15.092127303182588</v>
      </c>
      <c r="AX134" s="74">
        <f>SMALL((AX24,AX46,AX68,AX90,AX112),1)*0.4+SMALL((AX24,AX46,AX68,AX90,AX112),2)*0.3+SMALL((AX24,AX46,AX68,AX90,AX112),3)*0.1+SMALL((AX24,AX46,AX68,AX90,AX112),4)*0.1+SMALL((AX24,AX46,AX68,AX90,AX112),5)*0.1</f>
        <v>11.762981574539369</v>
      </c>
      <c r="AY134" s="74">
        <f>SMALL((AY24,AY46,AY68,AY90,AY112),1)*0.4+SMALL((AY24,AY46,AY68,AY90,AY112),2)*0.3+SMALL((AY24,AY46,AY68,AY90,AY112),3)*0.1+SMALL((AY24,AY46,AY68,AY90,AY112),4)*0.1+SMALL((AY24,AY46,AY68,AY90,AY112),5)*0.1</f>
        <v>10.320351758793972</v>
      </c>
      <c r="AZ134" s="74">
        <f>SMALL((AZ24,AZ46,AZ68,AZ90,AZ112),1)*0.4+SMALL((AZ24,AZ46,AZ68,AZ90,AZ112),2)*0.3+SMALL((AZ24,AZ46,AZ68,AZ90,AZ112),3)*0.1+SMALL((AZ24,AZ46,AZ68,AZ90,AZ112),4)*0.1+SMALL((AZ24,AZ46,AZ68,AZ90,AZ112),5)*0.1</f>
        <v>8.8777219430485808</v>
      </c>
      <c r="BA134" s="74">
        <f>SMALL((BA24,BA46,BA68,BA90,BA112),1)*0.4+SMALL((BA24,BA46,BA68,BA90,BA112),2)*0.3+SMALL((BA24,BA46,BA68,BA90,BA112),3)*0.1+SMALL((BA24,BA46,BA68,BA90,BA112),4)*0.1+SMALL((BA24,BA46,BA68,BA90,BA112),5)*0.1</f>
        <v>7.9899497487437205</v>
      </c>
      <c r="BB134" s="74">
        <f>SMALL((BB24,BB46,BB68,BB90,BB112),1)*0.4+SMALL((BB24,BB46,BB68,BB90,BB112),2)*0.3+SMALL((BB24,BB46,BB68,BB90,BB112),3)*0.1+SMALL((BB24,BB46,BB68,BB90,BB112),4)*0.1+SMALL((BB24,BB46,BB68,BB90,BB112),5)*0.1</f>
        <v>7.102177554438863</v>
      </c>
      <c r="BC134" s="454"/>
      <c r="BD134" s="74">
        <f>SMALL((BD24,BD46,BD68,BD90,BD112),1)*0.4+SMALL((BD24,BD46,BD68,BD90,BD112),2)*0.3+SMALL((BD24,BD46,BD68,BD90,BD112),3)*0.1+SMALL((BD24,BD46,BD68,BD90,BD112),4)*0.1+SMALL((BD24,BD46,BD68,BD90,BD112),5)*0.1</f>
        <v>17.5961827710302</v>
      </c>
      <c r="BE134" s="74">
        <f>SMALL((BE24,BE46,BE68,BE90,BE112),1)*0.4+SMALL((BE24,BE46,BE68,BE90,BE112),2)*0.3+SMALL((BE24,BE46,BE68,BE90,BE112),3)*0.1+SMALL((BE24,BE46,BE68,BE90,BE112),4)*0.1+SMALL((BE24,BE46,BE68,BE90,BE112),5)*0.1</f>
        <v>11.263683088502196</v>
      </c>
      <c r="BF134" s="74">
        <f>SMALL((BF24,BF46,BF68,BF90,BF112),1)*0.4+SMALL((BF24,BF46,BF68,BF90,BF112),2)*0.3+SMALL((BF24,BF46,BF68,BF90,BF112),3)*0.1+SMALL((BF24,BF46,BF68,BF90,BF112),4)*0.1+SMALL((BF24,BF46,BF68,BF90,BF112),5)*0.1</f>
        <v>8.8170771959238543</v>
      </c>
      <c r="BG134" s="74">
        <f>SMALL((BG24,BG46,BG68,BG90,BG112),1)*0.4+SMALL((BG24,BG46,BG68,BG90,BG112),2)*0.3+SMALL((BG24,BG46,BG68,BG90,BG112),3)*0.1+SMALL((BG24,BG46,BG68,BG90,BG112),4)*0.1+SMALL((BG24,BG46,BG68,BG90,BG112),5)*0.1</f>
        <v>7.728673466435712</v>
      </c>
      <c r="BH134" s="74">
        <f>SMALL((BH24,BH46,BH68,BH90,BH112),1)*0.4+SMALL((BH24,BH46,BH68,BH90,BH112),2)*0.3+SMALL((BH24,BH46,BH68,BH90,BH112),3)*0.1+SMALL((BH24,BH46,BH68,BH90,BH112),4)*0.1+SMALL((BH24,BH46,BH68,BH90,BH112),5)*0.1</f>
        <v>6.685498557121992</v>
      </c>
      <c r="BI134" s="74">
        <f>SMALL((BI24,BI46,BI68,BI90,BI112),1)*0.4+SMALL((BI24,BI46,BI68,BI90,BI112),2)*0.3+SMALL((BI24,BI46,BI68,BI90,BI112),3)*0.1+SMALL((BI24,BI46,BI68,BI90,BI112),4)*0.1+SMALL((BI24,BI46,BI68,BI90,BI112),5)*0.1</f>
        <v>6.0240917891632666</v>
      </c>
      <c r="BJ134" s="74">
        <f>SMALL((BJ24,BJ46,BJ68,BJ90,BJ112),1)*0.4+SMALL((BJ24,BJ46,BJ68,BJ90,BJ112),2)*0.3+SMALL((BJ24,BJ46,BJ68,BJ90,BJ112),3)*0.1+SMALL((BJ24,BJ46,BJ68,BJ90,BJ112),4)*0.1+SMALL((BJ24,BJ46,BJ68,BJ90,BJ112),5)*0.1</f>
        <v>5.3890743867390789</v>
      </c>
      <c r="BK134" s="455"/>
      <c r="BL134" s="74">
        <f>SMALL((BL24,BL46,BL68,BL90,BL112),1)*0.4+SMALL((BL24,BL46,BL68,BL90,BL112),2)*0.3+SMALL((BL24,BL46,BL68,BL90,BL112),3)*0.1+SMALL((BL24,BL46,BL68,BL90,BL112),4)*0.1+SMALL((BL24,BL46,BL68,BL90,BL112),5)*0.1</f>
        <v>0</v>
      </c>
      <c r="BM134" s="74">
        <f>SMALL((BM24,BM46,BM68,BM90,BM112),1)*0.4+SMALL((BM24,BM46,BM68,BM90,BM112),2)*0.3+SMALL((BM24,BM46,BM68,BM90,BM112),3)*0.1+SMALL((BM24,BM46,BM68,BM90,BM112),4)*0.1+SMALL((BM24,BM46,BM68,BM90,BM112),5)*0.1</f>
        <v>0</v>
      </c>
      <c r="BN134" s="74">
        <f>SMALL((BN24,BN46,BN68,BN90,BN112),1)*0.4+SMALL((BN24,BN46,BN68,BN90,BN112),2)*0.3+SMALL((BN24,BN46,BN68,BN90,BN112),3)*0.1+SMALL((BN24,BN46,BN68,BN90,BN112),4)*0.1+SMALL((BN24,BN46,BN68,BN90,BN112),5)*0.1</f>
        <v>0</v>
      </c>
      <c r="BO134" s="74">
        <f>SMALL((BO24,BO46,BO68,BO90,BO112),1)*0.4+SMALL((BO24,BO46,BO68,BO90,BO112),2)*0.3+SMALL((BO24,BO46,BO68,BO90,BO112),3)*0.1+SMALL((BO24,BO46,BO68,BO90,BO112),4)*0.1+SMALL((BO24,BO46,BO68,BO90,BO112),5)*0.1</f>
        <v>0</v>
      </c>
      <c r="BP134" s="74">
        <f>SMALL((BP24,BP46,BP68,BP90,BP112),1)*0.4+SMALL((BP24,BP46,BP68,BP90,BP112),2)*0.3+SMALL((BP24,BP46,BP68,BP90,BP112),3)*0.1+SMALL((BP24,BP46,BP68,BP90,BP112),4)*0.1+SMALL((BP24,BP46,BP68,BP90,BP112),5)*0.1</f>
        <v>0</v>
      </c>
      <c r="BQ134" s="74">
        <f>SMALL((BQ24,BQ46,BQ68,BQ90,BQ112),1)*0.4+SMALL((BQ24,BQ46,BQ68,BQ90,BQ112),2)*0.3+SMALL((BQ24,BQ46,BQ68,BQ90,BQ112),3)*0.1+SMALL((BQ24,BQ46,BQ68,BQ90,BQ112),4)*0.1+SMALL((BQ24,BQ46,BQ68,BQ90,BQ112),5)*0.1</f>
        <v>0</v>
      </c>
      <c r="BR134" s="74">
        <f>SMALL((BR24,BR46,BR68,BR90,BR112),1)*0.4+SMALL((BR24,BR46,BR68,BR90,BR112),2)*0.3+SMALL((BR24,BR46,BR68,BR90,BR112),3)*0.1+SMALL((BR24,BR46,BR68,BR90,BR112),4)*0.1+SMALL((BR24,BR46,BR68,BR90,BR112),5)*0.1</f>
        <v>0</v>
      </c>
      <c r="BS134" s="454"/>
      <c r="BT134" s="74">
        <f>SMALL((BT24,BT46,BT68,BT90,BT112),1)*0.4+SMALL((BT24,BT46,BT68,BT90,BT112),2)*0.3+SMALL((BT24,BT46,BT68,BT90,BT112),3)*0.1+SMALL((BT24,BT46,BT68,BT90,BT112),4)*0.1+SMALL((BT24,BT46,BT68,BT90,BT112),5)*0.1</f>
        <v>8.202014247236626</v>
      </c>
      <c r="BU134" s="74">
        <f>SMALL((BU24,BU46,BU68,BU90,BU112),1)*0.4+SMALL((BU24,BU46,BU68,BU90,BU112),2)*0.3+SMALL((BU24,BU46,BU68,BU90,BU112),3)*0.1+SMALL((BU24,BU46,BU68,BU90,BU112),4)*0.1+SMALL((BU24,BU46,BU68,BU90,BU112),5)*0.1</f>
        <v>8.4816974610045168</v>
      </c>
      <c r="BV134" s="74">
        <f>SMALL((BV24,BV46,BV68,BV90,BV112),1)*0.4+SMALL((BV24,BV46,BV68,BV90,BV112),2)*0.3+SMALL((BV24,BV46,BV68,BV90,BV112),3)*0.1+SMALL((BV24,BV46,BV68,BV90,BV112),4)*0.1+SMALL((BV24,BV46,BV68,BV90,BV112),5)*0.1</f>
        <v>8.7553006049078874</v>
      </c>
      <c r="BW134" s="74">
        <f>SMALL((BW24,BW46,BW68,BW90,BW112),1)*0.4+SMALL((BW24,BW46,BW68,BW90,BW112),2)*0.3+SMALL((BW24,BW46,BW68,BW90,BW112),3)*0.1+SMALL((BW24,BW46,BW68,BW90,BW112),4)*0.1+SMALL((BW24,BW46,BW68,BW90,BW112),5)*0.1</f>
        <v>9.0410638885402985</v>
      </c>
      <c r="BX134" s="74">
        <f>SMALL((BX24,BX46,BX68,BX90,BX112),1)*0.4+SMALL((BX24,BX46,BX68,BX90,BX112),2)*0.3+SMALL((BX24,BX46,BX68,BX90,BX112),3)*0.1+SMALL((BX24,BX46,BX68,BX90,BX112),4)*0.1+SMALL((BX24,BX46,BX68,BX90,BX112),5)*0.1</f>
        <v>9.3207471023081894</v>
      </c>
      <c r="BY134" s="74">
        <f>SMALL((BY24,BY46,BY68,BY90,BY112),1)*0.4+SMALL((BY24,BY46,BY68,BY90,BY112),2)*0.3+SMALL((BY24,BY46,BY68,BY90,BY112),3)*0.1+SMALL((BY24,BY46,BY68,BY90,BY112),4)*0.1+SMALL((BY24,BY46,BY68,BY90,BY112),5)*0.1</f>
        <v>9.59435024621156</v>
      </c>
      <c r="BZ134" s="74">
        <f>SMALL((BZ24,BZ46,BZ68,BZ90,BZ112),1)*0.4+SMALL((BZ24,BZ46,BZ68,BZ90,BZ112),2)*0.3+SMALL((BZ24,BZ46,BZ68,BZ90,BZ112),3)*0.1+SMALL((BZ24,BZ46,BZ68,BZ90,BZ112),4)*0.1+SMALL((BZ24,BZ46,BZ68,BZ90,BZ112),5)*0.1</f>
        <v>9.8740334599794508</v>
      </c>
    </row>
    <row r="135" spans="1:78" x14ac:dyDescent="0.2">
      <c r="A135" s="452"/>
      <c r="B135" s="453" t="str">
        <f t="shared" si="147"/>
        <v>Biodiesel (HtL blend) - Global - Fuel cost - USD/GJ</v>
      </c>
      <c r="C135" s="453" t="str">
        <f t="shared" si="148"/>
        <v>Biodiesel (HtL blend) - Global</v>
      </c>
      <c r="D135" s="77">
        <f>+INDEX('Fuel Model -  Input'!$H$15:$H$44,MATCH(F135,'Fuel Model -  Input'!$F$15:$F$44,0))/1000</f>
        <v>38.6</v>
      </c>
      <c r="E135" t="s">
        <v>109</v>
      </c>
      <c r="F135" t="str">
        <f t="shared" si="150"/>
        <v>Biodiesel (HtL blend)</v>
      </c>
      <c r="G135" t="s">
        <v>828</v>
      </c>
      <c r="H135" s="74">
        <f>SMALL((H25,H47,H69,H91,H113),1)*0.4+SMALL((H25,H47,H69,H91,H113),2)*0.3+SMALL((H25,H47,H69,H91,H113),3)*0.1+SMALL((H25,H47,H69,H91,H113),4)*0.1+SMALL((H25,H47,H69,H91,H113),5)*0.1</f>
        <v>43.62980804230024</v>
      </c>
      <c r="I135" s="74">
        <f>SMALL((I25,I47,I69,I91,I113),1)*0.4+SMALL((I25,I47,I69,I91,I113),2)*0.3+SMALL((I25,I47,I69,I91,I113),3)*0.1+SMALL((I25,I47,I69,I91,I113),4)*0.1+SMALL((I25,I47,I69,I91,I113),5)*0.1</f>
        <v>26.769460839468515</v>
      </c>
      <c r="J135" s="74">
        <f>SMALL((J25,J47,J69,J91,J113),1)*0.4+SMALL((J25,J47,J69,J91,J113),2)*0.3+SMALL((J25,J47,J69,J91,J113),3)*0.1+SMALL((J25,J47,J69,J91,J113),4)*0.1+SMALL((J25,J47,J69,J91,J113),5)*0.1</f>
        <v>15.931415184848802</v>
      </c>
      <c r="K135" s="74">
        <f>SMALL((K25,K47,K69,K91,K113),1)*0.4+SMALL((K25,K47,K69,K91,K113),2)*0.3+SMALL((K25,K47,K69,K91,K113),3)*0.1+SMALL((K25,K47,K69,K91,K113),4)*0.1+SMALL((K25,K47,K69,K91,K113),5)*0.1</f>
        <v>15.567801851961217</v>
      </c>
      <c r="L135" s="74">
        <f>SMALL((L25,L47,L69,L91,L113),1)*0.4+SMALL((L25,L47,L69,L91,L113),2)*0.3+SMALL((L25,L47,L69,L91,L113),3)*0.1+SMALL((L25,L47,L69,L91,L113),4)*0.1+SMALL((L25,L47,L69,L91,L113),5)*0.1</f>
        <v>15.418076861737717</v>
      </c>
      <c r="M135" s="74">
        <f>SMALL((M25,M47,M69,M91,M113),1)*0.4+SMALL((M25,M47,M69,M91,M113),2)*0.3+SMALL((M25,M47,M69,M91,M113),3)*0.1+SMALL((M25,M47,M69,M91,M113),4)*0.1+SMALL((M25,M47,M69,M91,M113),5)*0.1</f>
        <v>15.268873420423155</v>
      </c>
      <c r="N135" s="74">
        <f>SMALL((N25,N47,N69,N91,N113),1)*0.4+SMALL((N25,N47,N69,N91,N113),2)*0.3+SMALL((N25,N47,N69,N91,N113),3)*0.1+SMALL((N25,N47,N69,N91,N113),4)*0.1+SMALL((N25,N47,N69,N91,N113),5)*0.1</f>
        <v>15.12905823289004</v>
      </c>
      <c r="O135" s="454"/>
      <c r="P135" s="74">
        <f>SMALL((P25,P47,P69,P91,P113),1)*0.4+SMALL((P25,P47,P69,P91,P113),2)*0.3+SMALL((P25,P47,P69,P91,P113),3)*0.1+SMALL((P25,P47,P69,P91,P113),4)*0.1+SMALL((P25,P47,P69,P91,P113),5)*0.1</f>
        <v>0.33238740885319173</v>
      </c>
      <c r="Q135" s="74">
        <f>SMALL((Q25,Q47,Q69,Q91,Q113),1)*0.4+SMALL((Q25,Q47,Q69,Q91,Q113),2)*0.3+SMALL((Q25,Q47,Q69,Q91,Q113),3)*0.1+SMALL((Q25,Q47,Q69,Q91,Q113),4)*0.1+SMALL((Q25,Q47,Q69,Q91,Q113),5)*0.1</f>
        <v>0.25286422483827536</v>
      </c>
      <c r="R135" s="74">
        <f>SMALL((R25,R47,R69,R91,R113),1)*0.4+SMALL((R25,R47,R69,R91,R113),2)*0.3+SMALL((R25,R47,R69,R91,R113),3)*0.1+SMALL((R25,R47,R69,R91,R113),4)*0.1+SMALL((R25,R47,R69,R91,R113),5)*0.1</f>
        <v>0.20618432386486507</v>
      </c>
      <c r="S135" s="74">
        <f>SMALL((S25,S47,S69,S91,S113),1)*0.4+SMALL((S25,S47,S69,S91,S113),2)*0.3+SMALL((S25,S47,S69,S91,S113),3)*0.1+SMALL((S25,S47,S69,S91,S113),4)*0.1+SMALL((S25,S47,S69,S91,S113),5)*0.1</f>
        <v>0.17888024746705425</v>
      </c>
      <c r="T135" s="74">
        <f>SMALL((T25,T47,T69,T91,T113),1)*0.4+SMALL((T25,T47,T69,T91,T113),2)*0.3+SMALL((T25,T47,T69,T91,T113),3)*0.1+SMALL((T25,T47,T69,T91,T113),4)*0.1+SMALL((T25,T47,T69,T91,T113),5)*0.1</f>
        <v>0.16304298229537967</v>
      </c>
      <c r="U135" s="74">
        <f>SMALL((U25,U47,U69,U91,U113),1)*0.4+SMALL((U25,U47,U69,U91,U113),2)*0.3+SMALL((U25,U47,U69,U91,U113),3)*0.1+SMALL((U25,U47,U69,U91,U113),4)*0.1+SMALL((U25,U47,U69,U91,U113),5)*0.1</f>
        <v>0.14838836078486106</v>
      </c>
      <c r="V135" s="74">
        <f>SMALL((V25,V47,V69,V91,V113),1)*0.4+SMALL((V25,V47,V69,V91,V113),2)*0.3+SMALL((V25,V47,V69,V91,V113),3)*0.1+SMALL((V25,V47,V69,V91,V113),4)*0.1+SMALL((V25,V47,V69,V91,V113),5)*0.1</f>
        <v>0.14035008810804581</v>
      </c>
      <c r="W135"/>
      <c r="X135" s="2">
        <f t="shared" si="154"/>
        <v>-3.3241003623372918</v>
      </c>
      <c r="Y135" s="2">
        <f t="shared" si="154"/>
        <v>-3.7421924641576072</v>
      </c>
      <c r="Z135" s="2">
        <f t="shared" si="154"/>
        <v>-4.1604475212863958</v>
      </c>
      <c r="AA135" s="2">
        <f t="shared" si="154"/>
        <v>-4.5787025784151894</v>
      </c>
      <c r="AB135" s="2">
        <f t="shared" si="154"/>
        <v>-4.9969576355439838</v>
      </c>
      <c r="AC135" s="2">
        <f t="shared" si="154"/>
        <v>-5.4152126926727746</v>
      </c>
      <c r="AD135" s="2">
        <f t="shared" si="154"/>
        <v>-5.8334677498015717</v>
      </c>
      <c r="AE135" s="2"/>
      <c r="AF135" s="2">
        <f t="shared" si="155"/>
        <v>65.50944732297063</v>
      </c>
      <c r="AG135" s="2">
        <f t="shared" si="155"/>
        <v>65.50944732297063</v>
      </c>
      <c r="AH135" s="2">
        <f t="shared" si="155"/>
        <v>65.50944732297063</v>
      </c>
      <c r="AI135" s="2">
        <f t="shared" si="155"/>
        <v>65.50944732297063</v>
      </c>
      <c r="AJ135" s="2">
        <f t="shared" si="155"/>
        <v>65.50944732297063</v>
      </c>
      <c r="AK135" s="2">
        <f t="shared" si="155"/>
        <v>65.50944732297063</v>
      </c>
      <c r="AL135" s="2">
        <f t="shared" si="155"/>
        <v>65.50944732297063</v>
      </c>
      <c r="AM135"/>
      <c r="AN135" s="2">
        <f t="shared" si="156"/>
        <v>62.185346960633339</v>
      </c>
      <c r="AO135" s="2">
        <f t="shared" si="156"/>
        <v>61.767254858813025</v>
      </c>
      <c r="AP135" s="2">
        <f t="shared" si="156"/>
        <v>61.348999801684236</v>
      </c>
      <c r="AQ135" s="2">
        <f t="shared" si="156"/>
        <v>60.93074474455544</v>
      </c>
      <c r="AR135" s="2">
        <f t="shared" si="156"/>
        <v>60.512489687426644</v>
      </c>
      <c r="AS135" s="2">
        <f t="shared" si="156"/>
        <v>60.094234630297855</v>
      </c>
      <c r="AT135" s="2">
        <f t="shared" si="156"/>
        <v>59.675979573169059</v>
      </c>
      <c r="AU135"/>
      <c r="AV135" s="74">
        <f>SMALL((AV25,AV47,AV69,AV91,AV113),1)*0.4+SMALL((AV25,AV47,AV69,AV91,AV113),2)*0.3+SMALL((AV25,AV47,AV69,AV91,AV113),3)*0.1+SMALL((AV25,AV47,AV69,AV91,AV113),4)*0.1+SMALL((AV25,AV47,AV69,AV91,AV113),5)*0.1</f>
        <v>10.794225888853475</v>
      </c>
      <c r="AW135" s="74">
        <f>SMALL((AW25,AW47,AW69,AW91,AW113),1)*0.4+SMALL((AW25,AW47,AW69,AW91,AW113),2)*0.3+SMALL((AW25,AW47,AW69,AW91,AW113),3)*0.1+SMALL((AW25,AW47,AW69,AW91,AW113),4)*0.1+SMALL((AW25,AW47,AW69,AW91,AW113),5)*0.1</f>
        <v>6.4765355333120844</v>
      </c>
      <c r="AX135" s="74">
        <f>SMALL((AX25,AX47,AX69,AX91,AX113),1)*0.4+SMALL((AX25,AX47,AX69,AX91,AX113),2)*0.3+SMALL((AX25,AX47,AX69,AX91,AX113),3)*0.1+SMALL((AX25,AX47,AX69,AX91,AX113),4)*0.1+SMALL((AX25,AX47,AX69,AX91,AX113),5)*0.1</f>
        <v>2.1588451777706954</v>
      </c>
      <c r="AY135" s="74">
        <f>SMALL((AY25,AY47,AY69,AY91,AY113),1)*0.4+SMALL((AY25,AY47,AY69,AY91,AY113),2)*0.3+SMALL((AY25,AY47,AY69,AY91,AY113),3)*0.1+SMALL((AY25,AY47,AY69,AY91,AY113),4)*0.1+SMALL((AY25,AY47,AY69,AY91,AY113),5)*0.1</f>
        <v>2.0527886301754661</v>
      </c>
      <c r="AZ135" s="74">
        <f>SMALL((AZ25,AZ47,AZ69,AZ91,AZ113),1)*0.4+SMALL((AZ25,AZ47,AZ69,AZ91,AZ113),2)*0.3+SMALL((AZ25,AZ47,AZ69,AZ91,AZ113),3)*0.1+SMALL((AZ25,AZ47,AZ69,AZ91,AZ113),4)*0.1+SMALL((AZ25,AZ47,AZ69,AZ91,AZ113),5)*0.1</f>
        <v>1.9997603563778514</v>
      </c>
      <c r="BA135" s="74">
        <f>SMALL((BA25,BA47,BA69,BA91,BA113),1)*0.4+SMALL((BA25,BA47,BA69,BA91,BA113),2)*0.3+SMALL((BA25,BA47,BA69,BA91,BA113),3)*0.1+SMALL((BA25,BA47,BA69,BA91,BA113),4)*0.1+SMALL((BA25,BA47,BA69,BA91,BA113),5)*0.1</f>
        <v>1.9467320825802372</v>
      </c>
      <c r="BB135" s="74">
        <f>SMALL((BB25,BB47,BB69,BB91,BB113),1)*0.4+SMALL((BB25,BB47,BB69,BB91,BB113),2)*0.3+SMALL((BB25,BB47,BB69,BB91,BB113),3)*0.1+SMALL((BB25,BB47,BB69,BB91,BB113),4)*0.1+SMALL((BB25,BB47,BB69,BB91,BB113),5)*0.1</f>
        <v>1.8937038087826228</v>
      </c>
      <c r="BC135" s="454"/>
      <c r="BD135" s="74">
        <f>SMALL((BD25,BD47,BD69,BD91,BD113),1)*0.4+SMALL((BD25,BD47,BD69,BD91,BD113),2)*0.3+SMALL((BD25,BD47,BD69,BD91,BD113),3)*0.1+SMALL((BD25,BD47,BD69,BD91,BD113),4)*0.1+SMALL((BD25,BD47,BD69,BD91,BD113),5)*0.1</f>
        <v>16.525339772718922</v>
      </c>
      <c r="BE135" s="74">
        <f>SMALL((BE25,BE47,BE69,BE91,BE113),1)*0.4+SMALL((BE25,BE47,BE69,BE91,BE113),2)*0.3+SMALL((BE25,BE47,BE69,BE91,BE113),3)*0.1+SMALL((BE25,BE47,BE69,BE91,BE113),4)*0.1+SMALL((BE25,BE47,BE69,BE91,BE113),5)*0.1</f>
        <v>7.91679068181418</v>
      </c>
      <c r="BF135" s="74">
        <f>SMALL((BF25,BF47,BF69,BF91,BF113),1)*0.4+SMALL((BF25,BF47,BF69,BF91,BF113),2)*0.3+SMALL((BF25,BF47,BF69,BF91,BF113),3)*0.1+SMALL((BF25,BF47,BF69,BF91,BF113),4)*0.1+SMALL((BF25,BF47,BF69,BF91,BF113),5)*0.1</f>
        <v>2.6389302272713939</v>
      </c>
      <c r="BG135" s="74">
        <f>SMALL((BG25,BG47,BG69,BG91,BG113),1)*0.4+SMALL((BG25,BG47,BG69,BG91,BG113),2)*0.3+SMALL((BG25,BG47,BG69,BG91,BG113),3)*0.1+SMALL((BG25,BG47,BG69,BG91,BG113),4)*0.1+SMALL((BG25,BG47,BG69,BG91,BG113),5)*0.1</f>
        <v>2.3422427318169978</v>
      </c>
      <c r="BH135" s="74">
        <f>SMALL((BH25,BH47,BH69,BH91,BH113),1)*0.4+SMALL((BH25,BH47,BH69,BH91,BH113),2)*0.3+SMALL((BH25,BH47,BH69,BH91,BH113),3)*0.1+SMALL((BH25,BH47,BH69,BH91,BH113),4)*0.1+SMALL((BH25,BH47,BH69,BH91,BH113),5)*0.1</f>
        <v>2.1938989840898007</v>
      </c>
      <c r="BI135" s="74">
        <f>SMALL((BI25,BI47,BI69,BI91,BI113),1)*0.4+SMALL((BI25,BI47,BI69,BI91,BI113),2)*0.3+SMALL((BI25,BI47,BI69,BI91,BI113),3)*0.1+SMALL((BI25,BI47,BI69,BI91,BI113),4)*0.1+SMALL((BI25,BI47,BI69,BI91,BI113),5)*0.1</f>
        <v>2.0455552363626026</v>
      </c>
      <c r="BJ135" s="74">
        <f>SMALL((BJ25,BJ47,BJ69,BJ91,BJ113),1)*0.4+SMALL((BJ25,BJ47,BJ69,BJ91,BJ113),2)*0.3+SMALL((BJ25,BJ47,BJ69,BJ91,BJ113),3)*0.1+SMALL((BJ25,BJ47,BJ69,BJ91,BJ113),4)*0.1+SMALL((BJ25,BJ47,BJ69,BJ91,BJ113),5)*0.1</f>
        <v>1.8972114886354048</v>
      </c>
      <c r="BK135" s="455"/>
      <c r="BL135" s="74">
        <f>SMALL((BL25,BL47,BL69,BL91,BL113),1)*0.4+SMALL((BL25,BL47,BL69,BL91,BL113),2)*0.3+SMALL((BL25,BL47,BL69,BL91,BL113),3)*0.1+SMALL((BL25,BL47,BL69,BL91,BL113),4)*0.1+SMALL((BL25,BL47,BL69,BL91,BL113),5)*0.1</f>
        <v>0</v>
      </c>
      <c r="BM135" s="74">
        <f>SMALL((BM25,BM47,BM69,BM91,BM113),1)*0.4+SMALL((BM25,BM47,BM69,BM91,BM113),2)*0.3+SMALL((BM25,BM47,BM69,BM91,BM113),3)*0.1+SMALL((BM25,BM47,BM69,BM91,BM113),4)*0.1+SMALL((BM25,BM47,BM69,BM91,BM113),5)*0.1</f>
        <v>0</v>
      </c>
      <c r="BN135" s="74">
        <f>SMALL((BN25,BN47,BN69,BN91,BN113),1)*0.4+SMALL((BN25,BN47,BN69,BN91,BN113),2)*0.3+SMALL((BN25,BN47,BN69,BN91,BN113),3)*0.1+SMALL((BN25,BN47,BN69,BN91,BN113),4)*0.1+SMALL((BN25,BN47,BN69,BN91,BN113),5)*0.1</f>
        <v>0</v>
      </c>
      <c r="BO135" s="74">
        <f>SMALL((BO25,BO47,BO69,BO91,BO113),1)*0.4+SMALL((BO25,BO47,BO69,BO91,BO113),2)*0.3+SMALL((BO25,BO47,BO69,BO91,BO113),3)*0.1+SMALL((BO25,BO47,BO69,BO91,BO113),4)*0.1+SMALL((BO25,BO47,BO69,BO91,BO113),5)*0.1</f>
        <v>0</v>
      </c>
      <c r="BP135" s="74">
        <f>SMALL((BP25,BP47,BP69,BP91,BP113),1)*0.4+SMALL((BP25,BP47,BP69,BP91,BP113),2)*0.3+SMALL((BP25,BP47,BP69,BP91,BP113),3)*0.1+SMALL((BP25,BP47,BP69,BP91,BP113),4)*0.1+SMALL((BP25,BP47,BP69,BP91,BP113),5)*0.1</f>
        <v>0</v>
      </c>
      <c r="BQ135" s="74">
        <f>SMALL((BQ25,BQ47,BQ69,BQ91,BQ113),1)*0.4+SMALL((BQ25,BQ47,BQ69,BQ91,BQ113),2)*0.3+SMALL((BQ25,BQ47,BQ69,BQ91,BQ113),3)*0.1+SMALL((BQ25,BQ47,BQ69,BQ91,BQ113),4)*0.1+SMALL((BQ25,BQ47,BQ69,BQ91,BQ113),5)*0.1</f>
        <v>0</v>
      </c>
      <c r="BR135" s="74">
        <f>SMALL((BR25,BR47,BR69,BR91,BR113),1)*0.4+SMALL((BR25,BR47,BR69,BR91,BR113),2)*0.3+SMALL((BR25,BR47,BR69,BR91,BR113),3)*0.1+SMALL((BR25,BR47,BR69,BR91,BR113),4)*0.1+SMALL((BR25,BR47,BR69,BR91,BR113),5)*0.1</f>
        <v>0</v>
      </c>
      <c r="BS135" s="454"/>
      <c r="BT135" s="74">
        <f>SMALL((BT25,BT47,BT69,BT91,BT113),1)*0.4+SMALL((BT25,BT47,BT69,BT91,BT113),2)*0.3+SMALL((BT25,BT47,BT69,BT91,BT113),3)*0.1+SMALL((BT25,BT47,BT69,BT91,BT113),4)*0.1+SMALL((BT25,BT47,BT69,BT91,BT113),5)*0.1</f>
        <v>15.901214261902943</v>
      </c>
      <c r="BU135" s="74">
        <f>SMALL((BU25,BU47,BU69,BU91,BU113),1)*0.4+SMALL((BU25,BU47,BU69,BU91,BU113),2)*0.3+SMALL((BU25,BU47,BU69,BU91,BU113),3)*0.1+SMALL((BU25,BU47,BU69,BU91,BU113),4)*0.1+SMALL((BU25,BU47,BU69,BU91,BU113),5)*0.1</f>
        <v>12.085417254561058</v>
      </c>
      <c r="BV135" s="74">
        <f>SMALL((BV25,BV47,BV69,BV91,BV113),1)*0.4+SMALL((BV25,BV47,BV69,BV91,BV113),2)*0.3+SMALL((BV25,BV47,BV69,BV91,BV113),3)*0.1+SMALL((BV25,BV47,BV69,BV91,BV113),4)*0.1+SMALL((BV25,BV47,BV69,BV91,BV113),5)*0.1</f>
        <v>10.898946182527707</v>
      </c>
      <c r="BW135" s="74">
        <f>SMALL((BW25,BW47,BW69,BW91,BW113),1)*0.4+SMALL((BW25,BW47,BW69,BW91,BW113),2)*0.3+SMALL((BW25,BW47,BW69,BW91,BW113),3)*0.1+SMALL((BW25,BW47,BW69,BW91,BW113),4)*0.1+SMALL((BW25,BW47,BW69,BW91,BW113),5)*0.1</f>
        <v>10.97145819712183</v>
      </c>
      <c r="BX135" s="74">
        <f>SMALL((BX25,BX47,BX69,BX91,BX113),1)*0.4+SMALL((BX25,BX47,BX69,BX91,BX113),2)*0.3+SMALL((BX25,BX47,BX69,BX91,BX113),3)*0.1+SMALL((BX25,BX47,BX69,BX91,BX113),4)*0.1+SMALL((BX25,BX47,BX69,BX91,BX113),5)*0.1</f>
        <v>11.042101345360432</v>
      </c>
      <c r="BY135" s="74">
        <f>SMALL((BY25,BY47,BY69,BY91,BY113),1)*0.4+SMALL((BY25,BY47,BY69,BY91,BY113),2)*0.3+SMALL((BY25,BY47,BY69,BY91,BY113),3)*0.1+SMALL((BY25,BY47,BY69,BY91,BY113),4)*0.1+SMALL((BY25,BY47,BY69,BY91,BY113),5)*0.1</f>
        <v>11.111249400514625</v>
      </c>
      <c r="BZ135" s="74">
        <f>SMALL((BZ25,BZ47,BZ69,BZ91,BZ113),1)*0.4+SMALL((BZ25,BZ47,BZ69,BZ91,BZ113),2)*0.3+SMALL((BZ25,BZ47,BZ69,BZ91,BZ113),3)*0.1+SMALL((BZ25,BZ47,BZ69,BZ91,BZ113),4)*0.1+SMALL((BZ25,BZ47,BZ69,BZ91,BZ113),5)*0.1</f>
        <v>11.181892548753229</v>
      </c>
    </row>
    <row r="136" spans="1:78" x14ac:dyDescent="0.2">
      <c r="A136" s="452"/>
      <c r="B136" s="453" t="str">
        <f t="shared" si="147"/>
        <v>Biodiesel (Pyr blend) - Global - Fuel cost - USD/GJ</v>
      </c>
      <c r="C136" s="453" t="str">
        <f t="shared" si="148"/>
        <v>Biodiesel (Pyr blend) - Global</v>
      </c>
      <c r="D136" s="77">
        <f>+INDEX('Fuel Model -  Input'!$H$15:$H$44,MATCH(F136,'Fuel Model -  Input'!$F$15:$F$44,0))/1000</f>
        <v>34.28</v>
      </c>
      <c r="E136" t="s">
        <v>109</v>
      </c>
      <c r="F136" t="str">
        <f t="shared" si="150"/>
        <v>Biodiesel (Pyr blend)</v>
      </c>
      <c r="G136" t="s">
        <v>828</v>
      </c>
      <c r="H136" s="74">
        <f>SMALL((H26,H48,H70,H92,H114),1)*0.4+SMALL((H26,H48,H70,H92,H114),2)*0.3+SMALL((H26,H48,H70,H92,H114),3)*0.1+SMALL((H26,H48,H70,H92,H114),4)*0.1+SMALL((H26,H48,H70,H92,H114),5)*0.1</f>
        <v>24.314424757850951</v>
      </c>
      <c r="I136" s="74">
        <f>SMALL((I26,I48,I70,I92,I114),1)*0.4+SMALL((I26,I48,I70,I92,I114),2)*0.3+SMALL((I26,I48,I70,I92,I114),3)*0.1+SMALL((I26,I48,I70,I92,I114),4)*0.1+SMALL((I26,I48,I70,I92,I114),5)*0.1</f>
        <v>17.35163544452741</v>
      </c>
      <c r="J136" s="74">
        <f>SMALL((J26,J48,J70,J92,J114),1)*0.4+SMALL((J26,J48,J70,J92,J114),2)*0.3+SMALL((J26,J48,J70,J92,J114),3)*0.1+SMALL((J26,J48,J70,J92,J114),4)*0.1+SMALL((J26,J48,J70,J92,J114),5)*0.1</f>
        <v>13.847513658881073</v>
      </c>
      <c r="K136" s="74">
        <f>SMALL((K26,K48,K70,K92,K114),1)*0.4+SMALL((K26,K48,K70,K92,K114),2)*0.3+SMALL((K26,K48,K70,K92,K114),3)*0.1+SMALL((K26,K48,K70,K92,K114),4)*0.1+SMALL((K26,K48,K70,K92,K114),5)*0.1</f>
        <v>13.826912371382827</v>
      </c>
      <c r="L136" s="74">
        <f>SMALL((L26,L48,L70,L92,L114),1)*0.4+SMALL((L26,L48,L70,L92,L114),2)*0.3+SMALL((L26,L48,L70,L92,L114),3)*0.1+SMALL((L26,L48,L70,L92,L114),4)*0.1+SMALL((L26,L48,L70,L92,L114),5)*0.1</f>
        <v>13.869800272235707</v>
      </c>
      <c r="M136" s="74">
        <f>SMALL((M26,M48,M70,M92,M114),1)*0.4+SMALL((M26,M48,M70,M92,M114),2)*0.3+SMALL((M26,M48,M70,M92,M114),3)*0.1+SMALL((M26,M48,M70,M92,M114),4)*0.1+SMALL((M26,M48,M70,M92,M114),5)*0.1</f>
        <v>13.911165552718449</v>
      </c>
      <c r="N136" s="74">
        <f>SMALL((N26,N48,N70,N92,N114),1)*0.4+SMALL((N26,N48,N70,N92,N114),2)*0.3+SMALL((N26,N48,N70,N92,N114),3)*0.1+SMALL((N26,N48,N70,N92,N114),4)*0.1+SMALL((N26,N48,N70,N92,N114),5)*0.1</f>
        <v>13.954725238349491</v>
      </c>
      <c r="O136" s="454"/>
      <c r="P136" s="74">
        <f>SMALL((P26,P48,P70,P92,P114),1)*0.4+SMALL((P26,P48,P70,P92,P114),2)*0.3+SMALL((P26,P48,P70,P92,P114),3)*0.1+SMALL((P26,P48,P70,P92,P114),4)*0.1+SMALL((P26,P48,P70,P92,P114),5)*0.1</f>
        <v>0</v>
      </c>
      <c r="Q136" s="74">
        <f>SMALL((Q26,Q48,Q70,Q92,Q114),1)*0.4+SMALL((Q26,Q48,Q70,Q92,Q114),2)*0.3+SMALL((Q26,Q48,Q70,Q92,Q114),3)*0.1+SMALL((Q26,Q48,Q70,Q92,Q114),4)*0.1+SMALL((Q26,Q48,Q70,Q92,Q114),5)*0.1</f>
        <v>0</v>
      </c>
      <c r="R136" s="74">
        <f>SMALL((R26,R48,R70,R92,R114),1)*0.4+SMALL((R26,R48,R70,R92,R114),2)*0.3+SMALL((R26,R48,R70,R92,R114),3)*0.1+SMALL((R26,R48,R70,R92,R114),4)*0.1+SMALL((R26,R48,R70,R92,R114),5)*0.1</f>
        <v>0</v>
      </c>
      <c r="S136" s="74">
        <f>SMALL((S26,S48,S70,S92,S114),1)*0.4+SMALL((S26,S48,S70,S92,S114),2)*0.3+SMALL((S26,S48,S70,S92,S114),3)*0.1+SMALL((S26,S48,S70,S92,S114),4)*0.1+SMALL((S26,S48,S70,S92,S114),5)*0.1</f>
        <v>0</v>
      </c>
      <c r="T136" s="74">
        <f>SMALL((T26,T48,T70,T92,T114),1)*0.4+SMALL((T26,T48,T70,T92,T114),2)*0.3+SMALL((T26,T48,T70,T92,T114),3)*0.1+SMALL((T26,T48,T70,T92,T114),4)*0.1+SMALL((T26,T48,T70,T92,T114),5)*0.1</f>
        <v>0</v>
      </c>
      <c r="U136" s="74">
        <f>SMALL((U26,U48,U70,U92,U114),1)*0.4+SMALL((U26,U48,U70,U92,U114),2)*0.3+SMALL((U26,U48,U70,U92,U114),3)*0.1+SMALL((U26,U48,U70,U92,U114),4)*0.1+SMALL((U26,U48,U70,U92,U114),5)*0.1</f>
        <v>0</v>
      </c>
      <c r="V136" s="74">
        <f>SMALL((V26,V48,V70,V92,V114),1)*0.4+SMALL((V26,V48,V70,V92,V114),2)*0.3+SMALL((V26,V48,V70,V92,V114),3)*0.1+SMALL((V26,V48,V70,V92,V114),4)*0.1+SMALL((V26,V48,V70,V92,V114),5)*0.1</f>
        <v>0</v>
      </c>
      <c r="W136"/>
      <c r="X136" s="2">
        <f t="shared" ref="X136:AD136" si="157">X26</f>
        <v>-1.3339806999597574</v>
      </c>
      <c r="Y136" s="2">
        <f t="shared" si="157"/>
        <v>-1.5577242046437272</v>
      </c>
      <c r="Z136" s="2">
        <f t="shared" si="157"/>
        <v>-1.7814677093277003</v>
      </c>
      <c r="AA136" s="2">
        <f t="shared" si="157"/>
        <v>-2.0052112140116702</v>
      </c>
      <c r="AB136" s="2">
        <f t="shared" si="157"/>
        <v>-2.2289547186956429</v>
      </c>
      <c r="AC136" s="2">
        <f t="shared" si="157"/>
        <v>-2.452698223379616</v>
      </c>
      <c r="AD136" s="2">
        <f t="shared" si="157"/>
        <v>-2.6764417280635859</v>
      </c>
      <c r="AE136" s="2"/>
      <c r="AF136" s="2">
        <f t="shared" ref="AF136:AL136" si="158">AF26</f>
        <v>80.800204200700108</v>
      </c>
      <c r="AG136" s="2">
        <f t="shared" si="158"/>
        <v>80.800204200700108</v>
      </c>
      <c r="AH136" s="2">
        <f t="shared" si="158"/>
        <v>80.800204200700108</v>
      </c>
      <c r="AI136" s="2">
        <f t="shared" si="158"/>
        <v>80.800204200700108</v>
      </c>
      <c r="AJ136" s="2">
        <f t="shared" si="158"/>
        <v>80.800204200700108</v>
      </c>
      <c r="AK136" s="2">
        <f t="shared" si="158"/>
        <v>80.800204200700108</v>
      </c>
      <c r="AL136" s="2">
        <f t="shared" si="158"/>
        <v>80.800204200700108</v>
      </c>
      <c r="AM136"/>
      <c r="AN136" s="2">
        <f t="shared" ref="AN136:AT136" si="159">AN26</f>
        <v>79.466223500740355</v>
      </c>
      <c r="AO136" s="2">
        <f t="shared" si="159"/>
        <v>79.242479996056375</v>
      </c>
      <c r="AP136" s="2">
        <f t="shared" si="159"/>
        <v>79.018736491372408</v>
      </c>
      <c r="AQ136" s="2">
        <f t="shared" si="159"/>
        <v>78.794992986688442</v>
      </c>
      <c r="AR136" s="2">
        <f t="shared" si="159"/>
        <v>78.571249482004461</v>
      </c>
      <c r="AS136" s="2">
        <f t="shared" si="159"/>
        <v>78.347505977320495</v>
      </c>
      <c r="AT136" s="2">
        <f t="shared" si="159"/>
        <v>78.123762472636528</v>
      </c>
      <c r="AU136"/>
      <c r="AV136" s="74">
        <f>SMALL((AV26,AV48,AV70,AV92,AV114),1)*0.4+SMALL((AV26,AV48,AV70,AV92,AV114),2)*0.3+SMALL((AV26,AV48,AV70,AV92,AV114),3)*0.1+SMALL((AV26,AV48,AV70,AV92,AV114),4)*0.1+SMALL((AV26,AV48,AV70,AV92,AV114),5)*0.1</f>
        <v>3.5381676522849221</v>
      </c>
      <c r="AW136" s="74">
        <f>SMALL((AW26,AW48,AW70,AW92,AW114),1)*0.4+SMALL((AW26,AW48,AW70,AW92,AW114),2)*0.3+SMALL((AW26,AW48,AW70,AW92,AW114),3)*0.1+SMALL((AW26,AW48,AW70,AW92,AW114),4)*0.1+SMALL((AW26,AW48,AW70,AW92,AW114),5)*0.1</f>
        <v>2.1229005913709535</v>
      </c>
      <c r="AX136" s="74">
        <f>SMALL((AX26,AX48,AX70,AX92,AX114),1)*0.4+SMALL((AX26,AX48,AX70,AX92,AX114),2)*0.3+SMALL((AX26,AX48,AX70,AX92,AX114),3)*0.1+SMALL((AX26,AX48,AX70,AX92,AX114),4)*0.1+SMALL((AX26,AX48,AX70,AX92,AX114),5)*0.1</f>
        <v>0.70763353045698441</v>
      </c>
      <c r="AY136" s="74">
        <f>SMALL((AY26,AY48,AY70,AY92,AY114),1)*0.4+SMALL((AY26,AY48,AY70,AY92,AY114),2)*0.3+SMALL((AY26,AY48,AY70,AY92,AY114),3)*0.1+SMALL((AY26,AY48,AY70,AY92,AY114),4)*0.1+SMALL((AY26,AY48,AY70,AY92,AY114),5)*0.1</f>
        <v>0.63687017741128604</v>
      </c>
      <c r="AZ136" s="74">
        <f>SMALL((AZ26,AZ48,AZ70,AZ92,AZ114),1)*0.4+SMALL((AZ26,AZ48,AZ70,AZ92,AZ114),2)*0.3+SMALL((AZ26,AZ48,AZ70,AZ92,AZ114),3)*0.1+SMALL((AZ26,AZ48,AZ70,AZ92,AZ114),4)*0.1+SMALL((AZ26,AZ48,AZ70,AZ92,AZ114),5)*0.1</f>
        <v>0.61328239306271981</v>
      </c>
      <c r="BA136" s="74">
        <f>SMALL((BA26,BA48,BA70,BA92,BA114),1)*0.4+SMALL((BA26,BA48,BA70,BA92,BA114),2)*0.3+SMALL((BA26,BA48,BA70,BA92,BA114),3)*0.1+SMALL((BA26,BA48,BA70,BA92,BA114),4)*0.1+SMALL((BA26,BA48,BA70,BA92,BA114),5)*0.1</f>
        <v>0.58969460871415391</v>
      </c>
      <c r="BB136" s="74">
        <f>SMALL((BB26,BB48,BB70,BB92,BB114),1)*0.4+SMALL((BB26,BB48,BB70,BB92,BB114),2)*0.3+SMALL((BB26,BB48,BB70,BB92,BB114),3)*0.1+SMALL((BB26,BB48,BB70,BB92,BB114),4)*0.1+SMALL((BB26,BB48,BB70,BB92,BB114),5)*0.1</f>
        <v>0.56610682436558757</v>
      </c>
      <c r="BC136" s="454"/>
      <c r="BD136" s="74">
        <f>SMALL((BD26,BD48,BD70,BD92,BD114),1)*0.4+SMALL((BD26,BD48,BD70,BD92,BD114),2)*0.3+SMALL((BD26,BD48,BD70,BD92,BD114),3)*0.1+SMALL((BD26,BD48,BD70,BD92,BD114),4)*0.1+SMALL((BD26,BD48,BD70,BD92,BD114),5)*0.1</f>
        <v>1.2977376974163397</v>
      </c>
      <c r="BE136" s="74">
        <f>SMALL((BE26,BE48,BE70,BE92,BE114),1)*0.4+SMALL((BE26,BE48,BE70,BE92,BE114),2)*0.3+SMALL((BE26,BE48,BE70,BE92,BE114),3)*0.1+SMALL((BE26,BE48,BE70,BE92,BE114),4)*0.1+SMALL((BE26,BE48,BE70,BE92,BE114),5)*0.1</f>
        <v>0.78242236757969497</v>
      </c>
      <c r="BF136" s="74">
        <f>SMALL((BF26,BF48,BF70,BF92,BF114),1)*0.4+SMALL((BF26,BF48,BF70,BF92,BF114),2)*0.3+SMALL((BF26,BF48,BF70,BF92,BF114),3)*0.1+SMALL((BF26,BF48,BF70,BF92,BF114),4)*0.1+SMALL((BF26,BF48,BF70,BF92,BF114),5)*0.1</f>
        <v>0.26912955502310265</v>
      </c>
      <c r="BG136" s="74">
        <f>SMALL((BG26,BG48,BG70,BG92,BG114),1)*0.4+SMALL((BG26,BG48,BG70,BG92,BG114),2)*0.3+SMALL((BG26,BG48,BG70,BG92,BG114),3)*0.1+SMALL((BG26,BG48,BG70,BG92,BG114),4)*0.1+SMALL((BG26,BG48,BG70,BG92,BG114),5)*0.1</f>
        <v>0.24181726857718411</v>
      </c>
      <c r="BH136" s="74">
        <f>SMALL((BH26,BH48,BH70,BH92,BH114),1)*0.4+SMALL((BH26,BH48,BH70,BH92,BH114),2)*0.3+SMALL((BH26,BH48,BH70,BH92,BH114),3)*0.1+SMALL((BH26,BH48,BH70,BH92,BH114),4)*0.1+SMALL((BH26,BH48,BH70,BH92,BH114),5)*0.1</f>
        <v>0.23227234237524996</v>
      </c>
      <c r="BI136" s="74">
        <f>SMALL((BI26,BI48,BI70,BI92,BI114),1)*0.4+SMALL((BI26,BI48,BI70,BI92,BI114),2)*0.3+SMALL((BI26,BI48,BI70,BI92,BI114),3)*0.1+SMALL((BI26,BI48,BI70,BI92,BI114),4)*0.1+SMALL((BI26,BI48,BI70,BI92,BI114),5)*0.1</f>
        <v>0.22280447359129119</v>
      </c>
      <c r="BJ136" s="74">
        <f>SMALL((BJ26,BJ48,BJ70,BJ92,BJ114),1)*0.4+SMALL((BJ26,BJ48,BJ70,BJ92,BJ114),2)*0.3+SMALL((BJ26,BJ48,BJ70,BJ92,BJ114),3)*0.1+SMALL((BJ26,BJ48,BJ70,BJ92,BJ114),4)*0.1+SMALL((BJ26,BJ48,BJ70,BJ92,BJ114),5)*0.1</f>
        <v>0.2137837216778804</v>
      </c>
      <c r="BK136" s="455"/>
      <c r="BL136" s="74">
        <f>SMALL((BL26,BL48,BL70,BL92,BL114),1)*0.4+SMALL((BL26,BL48,BL70,BL92,BL114),2)*0.3+SMALL((BL26,BL48,BL70,BL92,BL114),3)*0.1+SMALL((BL26,BL48,BL70,BL92,BL114),4)*0.1+SMALL((BL26,BL48,BL70,BL92,BL114),5)*0.1</f>
        <v>0</v>
      </c>
      <c r="BM136" s="74">
        <f>SMALL((BM26,BM48,BM70,BM92,BM114),1)*0.4+SMALL((BM26,BM48,BM70,BM92,BM114),2)*0.3+SMALL((BM26,BM48,BM70,BM92,BM114),3)*0.1+SMALL((BM26,BM48,BM70,BM92,BM114),4)*0.1+SMALL((BM26,BM48,BM70,BM92,BM114),5)*0.1</f>
        <v>0</v>
      </c>
      <c r="BN136" s="74">
        <f>SMALL((BN26,BN48,BN70,BN92,BN114),1)*0.4+SMALL((BN26,BN48,BN70,BN92,BN114),2)*0.3+SMALL((BN26,BN48,BN70,BN92,BN114),3)*0.1+SMALL((BN26,BN48,BN70,BN92,BN114),4)*0.1+SMALL((BN26,BN48,BN70,BN92,BN114),5)*0.1</f>
        <v>0</v>
      </c>
      <c r="BO136" s="74">
        <f>SMALL((BO26,BO48,BO70,BO92,BO114),1)*0.4+SMALL((BO26,BO48,BO70,BO92,BO114),2)*0.3+SMALL((BO26,BO48,BO70,BO92,BO114),3)*0.1+SMALL((BO26,BO48,BO70,BO92,BO114),4)*0.1+SMALL((BO26,BO48,BO70,BO92,BO114),5)*0.1</f>
        <v>0</v>
      </c>
      <c r="BP136" s="74">
        <f>SMALL((BP26,BP48,BP70,BP92,BP114),1)*0.4+SMALL((BP26,BP48,BP70,BP92,BP114),2)*0.3+SMALL((BP26,BP48,BP70,BP92,BP114),3)*0.1+SMALL((BP26,BP48,BP70,BP92,BP114),4)*0.1+SMALL((BP26,BP48,BP70,BP92,BP114),5)*0.1</f>
        <v>0</v>
      </c>
      <c r="BQ136" s="74">
        <f>SMALL((BQ26,BQ48,BQ70,BQ92,BQ114),1)*0.4+SMALL((BQ26,BQ48,BQ70,BQ92,BQ114),2)*0.3+SMALL((BQ26,BQ48,BQ70,BQ92,BQ114),3)*0.1+SMALL((BQ26,BQ48,BQ70,BQ92,BQ114),4)*0.1+SMALL((BQ26,BQ48,BQ70,BQ92,BQ114),5)*0.1</f>
        <v>0</v>
      </c>
      <c r="BR136" s="74">
        <f>SMALL((BR26,BR48,BR70,BR92,BR114),1)*0.4+SMALL((BR26,BR48,BR70,BR92,BR114),2)*0.3+SMALL((BR26,BR48,BR70,BR92,BR114),3)*0.1+SMALL((BR26,BR48,BR70,BR92,BR114),4)*0.1+SMALL((BR26,BR48,BR70,BR92,BR114),5)*0.1</f>
        <v>0</v>
      </c>
      <c r="BS136" s="454"/>
      <c r="BT136" s="74">
        <f>SMALL((BT26,BT48,BT70,BT92,BT114),1)*0.4+SMALL((BT26,BT48,BT70,BT92,BT114),2)*0.3+SMALL((BT26,BT48,BT70,BT92,BT114),3)*0.1+SMALL((BT26,BT48,BT70,BT92,BT114),4)*0.1+SMALL((BT26,BT48,BT70,BT92,BT114),5)*0.1</f>
        <v>19.473003996698971</v>
      </c>
      <c r="BU136" s="74">
        <f>SMALL((BU26,BU48,BU70,BU92,BU114),1)*0.4+SMALL((BU26,BU48,BU70,BU92,BU114),2)*0.3+SMALL((BU26,BU48,BU70,BU92,BU114),3)*0.1+SMALL((BU26,BU48,BU70,BU92,BU114),4)*0.1+SMALL((BU26,BU48,BU70,BU92,BU114),5)*0.1</f>
        <v>14.443660406183929</v>
      </c>
      <c r="BV136" s="74">
        <f>SMALL((BV26,BV48,BV70,BV92,BV114),1)*0.4+SMALL((BV26,BV48,BV70,BV92,BV114),2)*0.3+SMALL((BV26,BV48,BV70,BV92,BV114),3)*0.1+SMALL((BV26,BV48,BV70,BV92,BV114),4)*0.1+SMALL((BV26,BV48,BV70,BV92,BV114),5)*0.1</f>
        <v>12.86874581319997</v>
      </c>
      <c r="BW136" s="74">
        <f>SMALL((BW26,BW48,BW70,BW92,BW114),1)*0.4+SMALL((BW26,BW48,BW70,BW92,BW114),2)*0.3+SMALL((BW26,BW48,BW70,BW92,BW114),3)*0.1+SMALL((BW26,BW48,BW70,BW92,BW114),4)*0.1+SMALL((BW26,BW48,BW70,BW92,BW114),5)*0.1</f>
        <v>12.946641700015872</v>
      </c>
      <c r="BX136" s="74">
        <f>SMALL((BX26,BX48,BX70,BX92,BX114),1)*0.4+SMALL((BX26,BX48,BX70,BX92,BX114),2)*0.3+SMALL((BX26,BX48,BX70,BX92,BX114),3)*0.1+SMALL((BX26,BX48,BX70,BX92,BX114),4)*0.1+SMALL((BX26,BX48,BX70,BX92,BX114),5)*0.1</f>
        <v>13.022880227537817</v>
      </c>
      <c r="BY136" s="74">
        <f>SMALL((BY26,BY48,BY70,BY92,BY114),1)*0.4+SMALL((BY26,BY48,BY70,BY92,BY114),2)*0.3+SMALL((BY26,BY48,BY70,BY92,BY114),3)*0.1+SMALL((BY26,BY48,BY70,BY92,BY114),4)*0.1+SMALL((BY26,BY48,BY70,BY92,BY114),5)*0.1</f>
        <v>13.097461395765809</v>
      </c>
      <c r="BZ136" s="74">
        <f>SMALL((BZ26,BZ48,BZ70,BZ92,BZ114),1)*0.4+SMALL((BZ26,BZ48,BZ70,BZ92,BZ114),2)*0.3+SMALL((BZ26,BZ48,BZ70,BZ92,BZ114),3)*0.1+SMALL((BZ26,BZ48,BZ70,BZ92,BZ114),4)*0.1+SMALL((BZ26,BZ48,BZ70,BZ92,BZ114),5)*0.1</f>
        <v>13.173699923287753</v>
      </c>
    </row>
    <row r="137" spans="1:78" x14ac:dyDescent="0.2">
      <c r="A137" s="452"/>
      <c r="B137" s="453"/>
      <c r="D137" s="74"/>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row>
    <row r="138" spans="1:78" x14ac:dyDescent="0.2">
      <c r="A138" s="452"/>
      <c r="B138" s="453"/>
      <c r="D138" s="456"/>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s="24"/>
      <c r="AO138" s="24"/>
      <c r="AP138" s="24"/>
      <c r="AQ138" s="24"/>
      <c r="AR138" s="24"/>
      <c r="AS138" s="24"/>
      <c r="AT138" s="24"/>
      <c r="AU138"/>
      <c r="AV138" s="24"/>
      <c r="AW138" s="24"/>
      <c r="AX138" s="24"/>
      <c r="AY138" s="24"/>
      <c r="AZ138" s="24"/>
      <c r="BA138" s="24"/>
      <c r="BB138" s="24"/>
      <c r="BC138"/>
    </row>
    <row r="139" spans="1:78" ht="15" x14ac:dyDescent="0.25">
      <c r="A139" s="452"/>
      <c r="B139" s="453"/>
      <c r="D139" s="457" t="s">
        <v>829</v>
      </c>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s="24"/>
      <c r="AO139" s="24"/>
      <c r="AP139" s="24"/>
      <c r="AQ139" s="24"/>
      <c r="AR139" s="24"/>
      <c r="AS139" s="24"/>
      <c r="AT139" s="24"/>
      <c r="AU139"/>
      <c r="AV139" s="24"/>
      <c r="AW139" s="24"/>
      <c r="AX139" s="24"/>
      <c r="AY139" s="24"/>
      <c r="AZ139" s="24"/>
      <c r="BA139" s="24"/>
      <c r="BB139" s="24"/>
      <c r="BC139"/>
    </row>
    <row r="140" spans="1:78" ht="15" x14ac:dyDescent="0.25">
      <c r="A140" s="452"/>
      <c r="B140" s="453"/>
      <c r="D140" s="74"/>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s="24"/>
      <c r="AO140" s="24"/>
      <c r="AP140" s="24"/>
      <c r="AQ140" s="24"/>
      <c r="AR140" s="24"/>
      <c r="AS140" s="24"/>
      <c r="AT140" s="24"/>
      <c r="AU140"/>
      <c r="AV140" s="458" t="s">
        <v>830</v>
      </c>
      <c r="AW140"/>
      <c r="AX140"/>
      <c r="AY140"/>
      <c r="AZ140"/>
      <c r="BA140"/>
      <c r="BB140"/>
      <c r="BC140"/>
      <c r="BD140" s="458" t="s">
        <v>831</v>
      </c>
      <c r="BE140"/>
      <c r="BF140"/>
      <c r="BG140"/>
      <c r="BH140"/>
      <c r="BI140"/>
      <c r="BJ140"/>
      <c r="BL140" s="30" t="s">
        <v>832</v>
      </c>
      <c r="BM140"/>
      <c r="BN140"/>
      <c r="BO140"/>
      <c r="BP140"/>
      <c r="BT140" s="458" t="s">
        <v>833</v>
      </c>
    </row>
    <row r="141" spans="1:78" ht="15" x14ac:dyDescent="0.25">
      <c r="A141" s="452"/>
      <c r="B141" s="453"/>
      <c r="D141" s="74"/>
      <c r="E141" s="30" t="s">
        <v>722</v>
      </c>
      <c r="F141" s="30" t="s">
        <v>834</v>
      </c>
      <c r="G141" s="30"/>
      <c r="H141" s="30">
        <v>2020</v>
      </c>
      <c r="I141" s="30">
        <v>2025</v>
      </c>
      <c r="J141" s="30">
        <v>2030</v>
      </c>
      <c r="K141" s="30">
        <v>2035</v>
      </c>
      <c r="L141" s="30">
        <v>2040</v>
      </c>
      <c r="M141" s="30">
        <v>2045</v>
      </c>
      <c r="N141" s="30">
        <v>2050</v>
      </c>
      <c r="O141"/>
      <c r="P141" s="30">
        <v>2020</v>
      </c>
      <c r="Q141" s="30">
        <v>2025</v>
      </c>
      <c r="R141" s="30">
        <v>2030</v>
      </c>
      <c r="S141" s="30">
        <v>2035</v>
      </c>
      <c r="T141" s="30">
        <v>2040</v>
      </c>
      <c r="U141" s="30">
        <v>2045</v>
      </c>
      <c r="V141" s="30">
        <v>2050</v>
      </c>
      <c r="W141"/>
      <c r="X141" s="30">
        <f t="shared" ref="X141:AD141" si="160">H141</f>
        <v>2020</v>
      </c>
      <c r="Y141" s="30">
        <f t="shared" si="160"/>
        <v>2025</v>
      </c>
      <c r="Z141" s="30">
        <f t="shared" si="160"/>
        <v>2030</v>
      </c>
      <c r="AA141" s="30">
        <f t="shared" si="160"/>
        <v>2035</v>
      </c>
      <c r="AB141" s="30">
        <f t="shared" si="160"/>
        <v>2040</v>
      </c>
      <c r="AC141" s="30">
        <f t="shared" si="160"/>
        <v>2045</v>
      </c>
      <c r="AD141" s="30">
        <f t="shared" si="160"/>
        <v>2050</v>
      </c>
      <c r="AE141" s="30"/>
      <c r="AF141" s="30">
        <f t="shared" ref="AF141:AL141" si="161">X141</f>
        <v>2020</v>
      </c>
      <c r="AG141" s="30">
        <f t="shared" si="161"/>
        <v>2025</v>
      </c>
      <c r="AH141" s="30">
        <f t="shared" si="161"/>
        <v>2030</v>
      </c>
      <c r="AI141" s="30">
        <f t="shared" si="161"/>
        <v>2035</v>
      </c>
      <c r="AJ141" s="30">
        <f t="shared" si="161"/>
        <v>2040</v>
      </c>
      <c r="AK141" s="30">
        <f t="shared" si="161"/>
        <v>2045</v>
      </c>
      <c r="AL141" s="30">
        <f t="shared" si="161"/>
        <v>2050</v>
      </c>
      <c r="AM141"/>
      <c r="AN141" s="30">
        <f t="shared" ref="AN141:AT141" si="162">AF141</f>
        <v>2020</v>
      </c>
      <c r="AO141" s="30">
        <f t="shared" si="162"/>
        <v>2025</v>
      </c>
      <c r="AP141" s="30">
        <f t="shared" si="162"/>
        <v>2030</v>
      </c>
      <c r="AQ141" s="30">
        <f t="shared" si="162"/>
        <v>2035</v>
      </c>
      <c r="AR141" s="30">
        <f t="shared" si="162"/>
        <v>2040</v>
      </c>
      <c r="AS141" s="30">
        <f t="shared" si="162"/>
        <v>2045</v>
      </c>
      <c r="AT141" s="30">
        <f t="shared" si="162"/>
        <v>2050</v>
      </c>
      <c r="AU141"/>
      <c r="AV141" s="30">
        <v>2020</v>
      </c>
      <c r="AW141" s="30">
        <v>2025</v>
      </c>
      <c r="AX141" s="30">
        <v>2030</v>
      </c>
      <c r="AY141" s="30">
        <v>2035</v>
      </c>
      <c r="AZ141" s="30">
        <v>2040</v>
      </c>
      <c r="BA141" s="30">
        <v>2045</v>
      </c>
      <c r="BB141" s="30">
        <v>2050</v>
      </c>
      <c r="BC141"/>
      <c r="BD141" s="30">
        <v>2020</v>
      </c>
      <c r="BE141" s="30">
        <v>2025</v>
      </c>
      <c r="BF141" s="30">
        <v>2030</v>
      </c>
      <c r="BG141" s="30">
        <v>2035</v>
      </c>
      <c r="BH141" s="30">
        <v>2040</v>
      </c>
      <c r="BI141" s="30">
        <v>2045</v>
      </c>
      <c r="BJ141" s="30">
        <v>2050</v>
      </c>
      <c r="BL141" s="30">
        <v>2020</v>
      </c>
      <c r="BM141" s="30">
        <v>2025</v>
      </c>
      <c r="BN141" s="30">
        <v>2030</v>
      </c>
      <c r="BO141" s="30">
        <v>2035</v>
      </c>
      <c r="BP141" s="30">
        <v>2040</v>
      </c>
      <c r="BQ141" s="30">
        <v>2045</v>
      </c>
      <c r="BR141" s="30">
        <v>2050</v>
      </c>
      <c r="BT141" s="30">
        <v>2020</v>
      </c>
      <c r="BU141" s="30">
        <v>2025</v>
      </c>
      <c r="BV141" s="30">
        <v>2030</v>
      </c>
      <c r="BW141" s="30">
        <v>2035</v>
      </c>
      <c r="BX141" s="30">
        <v>2040</v>
      </c>
      <c r="BY141" s="30">
        <v>2045</v>
      </c>
      <c r="BZ141" s="30">
        <v>2050</v>
      </c>
    </row>
    <row r="142" spans="1:78" x14ac:dyDescent="0.2">
      <c r="A142" s="452"/>
      <c r="B142" s="453" t="str">
        <f>_xlfn.TEXTJOIN(keydelim,TRUE,F142,IF(E142="Africa","Africa&amp;other",E142),"Fuel cost",SUBSTITUTE($G142," ",""))</f>
        <v>e-Hydrogen (liquid) - Europe - Fuel cost - USD/ton</v>
      </c>
      <c r="D142" s="459" t="str">
        <f>E142&amp;F142</f>
        <v>Europee-Hydrogen (liquid)</v>
      </c>
      <c r="E142" t="s">
        <v>195</v>
      </c>
      <c r="F142" s="460" t="s">
        <v>585</v>
      </c>
      <c r="G142" t="s">
        <v>835</v>
      </c>
      <c r="H142" s="118">
        <f>INDEX('Fuel Model - Calculation'!$B$2:$M$3771,(MATCH(($E142&amp;"ResultsCost of "&amp;$F142&amp;"USD/ton"),'Fuel Model - Calculation'!$B$2:$B$3771,0)),MATCH(H$141,'Fuel Model - Calculation'!$B$2:$M$2,0))</f>
        <v>6354.2036845687862</v>
      </c>
      <c r="I142" s="118">
        <f>INDEX('Fuel Model - Calculation'!$B$2:$M$3771,(MATCH(($E142&amp;"ResultsCost of "&amp;$F142&amp;"USD/ton"),'Fuel Model - Calculation'!$B$2:$B$3771,0)),MATCH(I$141,'Fuel Model - Calculation'!$B$2:$M$2,0))</f>
        <v>5385.7264904860403</v>
      </c>
      <c r="J142" s="118">
        <f>INDEX('Fuel Model - Calculation'!$B$2:$M$3771,(MATCH(($E142&amp;"ResultsCost of "&amp;$F142&amp;"USD/ton"),'Fuel Model - Calculation'!$B$2:$B$3771,0)),MATCH(J$141,'Fuel Model - Calculation'!$B$2:$M$2,0))</f>
        <v>4595.0749333228287</v>
      </c>
      <c r="K142" s="118">
        <f>INDEX('Fuel Model - Calculation'!$B$2:$M$3771,(MATCH(($E142&amp;"ResultsCost of "&amp;$F142&amp;"USD/ton"),'Fuel Model - Calculation'!$B$2:$B$3771,0)),MATCH(K$141,'Fuel Model - Calculation'!$B$2:$M$2,0))</f>
        <v>4290.1736026644066</v>
      </c>
      <c r="L142" s="118">
        <f>INDEX('Fuel Model - Calculation'!$B$2:$M$3771,(MATCH(($E142&amp;"ResultsCost of "&amp;$F142&amp;"USD/ton"),'Fuel Model - Calculation'!$B$2:$B$3771,0)),MATCH(L$141,'Fuel Model - Calculation'!$B$2:$M$2,0))</f>
        <v>3909.8681854032302</v>
      </c>
      <c r="M142" s="118">
        <f>INDEX('Fuel Model - Calculation'!$B$2:$M$3771,(MATCH(($E142&amp;"ResultsCost of "&amp;$F142&amp;"USD/ton"),'Fuel Model - Calculation'!$B$2:$B$3771,0)),MATCH(M$141,'Fuel Model - Calculation'!$B$2:$M$2,0))</f>
        <v>3424.3139948824114</v>
      </c>
      <c r="N142" s="118">
        <f>INDEX('Fuel Model - Calculation'!$B$2:$M$3771,(MATCH(($E142&amp;"ResultsCost of "&amp;$F142&amp;"USD/ton"),'Fuel Model - Calculation'!$B$2:$B$3771,0)),MATCH(N$141,'Fuel Model - Calculation'!$B$2:$M$2,0))</f>
        <v>2975.1806675892203</v>
      </c>
      <c r="O142"/>
      <c r="P142" s="118">
        <f>IFERROR(INDEX('Fuel Model - Calculation'!G$2:G$3771,(MATCH(($E142&amp;"ResultsTotal RNE "&amp;$F142&amp;"USD/ton"),'Fuel Model - Calculation'!$B$2:$B$3771,0))),0)</f>
        <v>3450.7799473175901</v>
      </c>
      <c r="Q142" s="118">
        <f>IFERROR(INDEX('Fuel Model - Calculation'!H$2:H$3771,(MATCH(($E142&amp;"ResultsTotal RNE "&amp;$F142&amp;"USD/ton"),'Fuel Model - Calculation'!$B$2:$B$3771,0))),0)</f>
        <v>2781.0153878308747</v>
      </c>
      <c r="R142" s="118">
        <f>IFERROR(INDEX('Fuel Model - Calculation'!I$2:I$3771,(MATCH(($E142&amp;"ResultsTotal RNE "&amp;$F142&amp;"USD/ton"),'Fuel Model - Calculation'!$B$2:$B$3771,0))),0)</f>
        <v>2225.4601866992521</v>
      </c>
      <c r="S142" s="118">
        <f>IFERROR(INDEX('Fuel Model - Calculation'!J$2:J$3771,(MATCH(($E142&amp;"ResultsTotal RNE "&amp;$F142&amp;"USD/ton"),'Fuel Model - Calculation'!$B$2:$B$3771,0))),0)</f>
        <v>1946.3557158598642</v>
      </c>
      <c r="T142" s="118">
        <f>IFERROR(INDEX('Fuel Model - Calculation'!K$2:K$3771,(MATCH(($E142&amp;"ResultsTotal RNE "&amp;$F142&amp;"USD/ton"),'Fuel Model - Calculation'!$B$2:$B$3771,0))),0)</f>
        <v>1751.3725716721519</v>
      </c>
      <c r="U142" s="118">
        <f>IFERROR(INDEX('Fuel Model - Calculation'!L$2:L$3771,(MATCH(($E142&amp;"ResultsTotal RNE "&amp;$F142&amp;"USD/ton"),'Fuel Model - Calculation'!$B$2:$B$3771,0))),0)</f>
        <v>1536.6427139484504</v>
      </c>
      <c r="V142" s="118">
        <f>IFERROR(INDEX('Fuel Model - Calculation'!M$2:M$3771,(MATCH(($E142&amp;"ResultsTotal RNE "&amp;$F142&amp;"USD/ton"),'Fuel Model - Calculation'!$B$2:$B$3771,0))),0)</f>
        <v>1383.8986618391777</v>
      </c>
      <c r="W142"/>
      <c r="X142" s="2">
        <f>INDEX('Fuel Model - Calculation'!$E$2:$M$3771,(MATCH(("WTT Emission - "&amp;$F142),'Fuel Model - Calculation'!$E$2:$E$3771,0)),MATCH(X$141,'Fuel Model - Calculation'!$E$2:$M$2,0))</f>
        <v>0.29135003961027883</v>
      </c>
      <c r="Y142" s="2">
        <f>INDEX('Fuel Model - Calculation'!$E$2:$M$3771,(MATCH(("WTT Emission - "&amp;$F142),'Fuel Model - Calculation'!$E$2:$E$3771,0)),MATCH(Y$141,'Fuel Model - Calculation'!$E$2:$M$2,0))</f>
        <v>0.28997999999999996</v>
      </c>
      <c r="Z142" s="2">
        <f>INDEX('Fuel Model - Calculation'!$E$2:$M$3771,(MATCH(("WTT Emission - "&amp;$F142),'Fuel Model - Calculation'!$E$2:$E$3771,0)),MATCH(Z$141,'Fuel Model - Calculation'!$E$2:$M$2,0))</f>
        <v>0.28613027529683921</v>
      </c>
      <c r="AA142" s="2">
        <f>INDEX('Fuel Model - Calculation'!$E$2:$M$3771,(MATCH(("WTT Emission - "&amp;$F142),'Fuel Model - Calculation'!$E$2:$E$3771,0)),MATCH(AA$141,'Fuel Model - Calculation'!$E$2:$M$2,0))</f>
        <v>0.27590526085528511</v>
      </c>
      <c r="AB142" s="2">
        <f>INDEX('Fuel Model - Calculation'!$E$2:$M$3771,(MATCH(("WTT Emission - "&amp;$F142),'Fuel Model - Calculation'!$E$2:$E$3771,0)),MATCH(AB$141,'Fuel Model - Calculation'!$E$2:$M$2,0))</f>
        <v>0.26362599487969951</v>
      </c>
      <c r="AC142" s="2">
        <f>INDEX('Fuel Model - Calculation'!$E$2:$M$3771,(MATCH(("WTT Emission - "&amp;$F142),'Fuel Model - Calculation'!$E$2:$E$3771,0)),MATCH(AC$141,'Fuel Model - Calculation'!$E$2:$M$2,0))</f>
        <v>0.24727833589356388</v>
      </c>
      <c r="AD142" s="2">
        <f>INDEX('Fuel Model - Calculation'!$E$2:$M$3771,(MATCH(("WTT Emission - "&amp;$F142),'Fuel Model - Calculation'!$E$2:$E$3771,0)),MATCH(AD$141,'Fuel Model - Calculation'!$E$2:$M$2,0))</f>
        <v>0.23440049999999998</v>
      </c>
      <c r="AE142" s="2"/>
      <c r="AF142" s="2">
        <f>'Fuel Model -  Input'!H$47</f>
        <v>0</v>
      </c>
      <c r="AG142" s="2">
        <f>'Fuel Model -  Input'!I$47</f>
        <v>0</v>
      </c>
      <c r="AH142" s="2">
        <f>'Fuel Model -  Input'!J$47</f>
        <v>0</v>
      </c>
      <c r="AI142" s="2">
        <f>'Fuel Model -  Input'!K$47</f>
        <v>0</v>
      </c>
      <c r="AJ142" s="2">
        <f>'Fuel Model -  Input'!L$47</f>
        <v>0</v>
      </c>
      <c r="AK142" s="2">
        <f>'Fuel Model -  Input'!M$47</f>
        <v>0</v>
      </c>
      <c r="AL142" s="2">
        <f>'Fuel Model -  Input'!N$47</f>
        <v>0</v>
      </c>
      <c r="AM142"/>
      <c r="AN142" s="24">
        <f t="shared" ref="AN142:AT146" si="163">X142+AF142</f>
        <v>0.29135003961027883</v>
      </c>
      <c r="AO142" s="24">
        <f t="shared" si="163"/>
        <v>0.28997999999999996</v>
      </c>
      <c r="AP142" s="24">
        <f t="shared" si="163"/>
        <v>0.28613027529683921</v>
      </c>
      <c r="AQ142" s="24">
        <f t="shared" si="163"/>
        <v>0.27590526085528511</v>
      </c>
      <c r="AR142" s="24">
        <f t="shared" si="163"/>
        <v>0.26362599487969951</v>
      </c>
      <c r="AS142" s="24">
        <f t="shared" si="163"/>
        <v>0.24727833589356388</v>
      </c>
      <c r="AT142" s="24">
        <f t="shared" si="163"/>
        <v>0.23440049999999998</v>
      </c>
      <c r="AU142"/>
      <c r="AV142" s="118">
        <f>IFERROR(INDEX('Fuel Model - Calculation'!$B$2:$M$3771,(MATCH(($E142&amp;"Results"&amp;$AV$140&amp;$F142&amp;"USD/ton"),'Fuel Model - Calculation'!$B$2:$B$3771,0)),MATCH(H$141,'Fuel Model - Calculation'!$B$2:$M$2,0)),0)</f>
        <v>1834.563785027321</v>
      </c>
      <c r="AW142" s="118">
        <f>IFERROR(INDEX('Fuel Model - Calculation'!$B$2:$M$3771,(MATCH(($E142&amp;"Results"&amp;$AV$140&amp;$F142&amp;"USD/ton"),'Fuel Model - Calculation'!$B$2:$B$3771,0)),MATCH(I$141,'Fuel Model - Calculation'!$B$2:$M$2,0)),0)</f>
        <v>1699.417596820565</v>
      </c>
      <c r="AX142" s="118">
        <f>IFERROR(INDEX('Fuel Model - Calculation'!$B$2:$M$3771,(MATCH(($E142&amp;"Results"&amp;$AV$140&amp;$F142&amp;"USD/ton"),'Fuel Model - Calculation'!$B$2:$B$3771,0)),MATCH(J$141,'Fuel Model - Calculation'!$B$2:$M$2,0)),0)</f>
        <v>1612.073871597295</v>
      </c>
      <c r="AY142" s="118">
        <f>IFERROR(INDEX('Fuel Model - Calculation'!$B$2:$M$3771,(MATCH(($E142&amp;"Results"&amp;$AV$140&amp;$F142&amp;"USD/ton"),'Fuel Model - Calculation'!$B$2:$B$3771,0)),MATCH(K$141,'Fuel Model - Calculation'!$B$2:$M$2,0)),0)</f>
        <v>1644.6095826423298</v>
      </c>
      <c r="AZ142" s="118">
        <f>IFERROR(INDEX('Fuel Model - Calculation'!$B$2:$M$3771,(MATCH(($E142&amp;"Results"&amp;$AV$140&amp;$F142&amp;"USD/ton"),'Fuel Model - Calculation'!$B$2:$B$3771,0)),MATCH(L$141,'Fuel Model - Calculation'!$B$2:$M$2,0)),0)</f>
        <v>1593.1432424469763</v>
      </c>
      <c r="BA142" s="118">
        <f>IFERROR(INDEX('Fuel Model - Calculation'!$B$2:$M$3771,(MATCH(($E142&amp;"Results"&amp;$AV$140&amp;$F142&amp;"USD/ton"),'Fuel Model - Calculation'!$B$2:$B$3771,0)),MATCH(M$141,'Fuel Model - Calculation'!$B$2:$M$2,0)),0)</f>
        <v>1473.7525307231833</v>
      </c>
      <c r="BB142" s="118">
        <f>IFERROR(INDEX('Fuel Model - Calculation'!$B$2:$M$3771,(MATCH(($E142&amp;"Results"&amp;$AV$140&amp;$F142&amp;"USD/ton"),'Fuel Model - Calculation'!$B$2:$B$3771,0)),MATCH(N$141,'Fuel Model - Calculation'!$B$2:$M$2,0)),0)</f>
        <v>1310.3543040757654</v>
      </c>
      <c r="BC142"/>
      <c r="BD142" s="118">
        <f>IFERROR(INDEX('Fuel Model - Calculation'!$B$2:$M$3771,(MATCH(($E142&amp;"Results"&amp;$BD$140&amp;$F142&amp;"USD/ton"),'Fuel Model - Calculation'!$B$2:$B$3771,0)),MATCH(P$141,'Fuel Model - Calculation'!$B$2:$M$2,0)),0)</f>
        <v>1055.3599522238749</v>
      </c>
      <c r="BE142" s="118">
        <f>IFERROR(INDEX('Fuel Model - Calculation'!$B$2:$M$3771,(MATCH(($E142&amp;"Results"&amp;$BD$140&amp;$F142&amp;"USD/ton"),'Fuel Model - Calculation'!$B$2:$B$3771,0)),MATCH(Q$141,'Fuel Model - Calculation'!$B$2:$M$2,0)),0)</f>
        <v>891.79350583460177</v>
      </c>
      <c r="BF142" s="118">
        <f>IFERROR(INDEX('Fuel Model - Calculation'!$B$2:$M$3771,(MATCH(($E142&amp;"Results"&amp;$BD$140&amp;$F142&amp;"USD/ton"),'Fuel Model - Calculation'!$B$2:$B$3771,0)),MATCH(R$141,'Fuel Model - Calculation'!$B$2:$M$2,0)),0)</f>
        <v>744.04087502628227</v>
      </c>
      <c r="BG142" s="118">
        <f>IFERROR(INDEX('Fuel Model - Calculation'!$B$2:$M$3771,(MATCH(($E142&amp;"Results"&amp;$BD$140&amp;$F142&amp;"USD/ton"),'Fuel Model - Calculation'!$B$2:$B$3771,0)),MATCH(S$141,'Fuel Model - Calculation'!$B$2:$M$2,0)),0)</f>
        <v>685.70830416221315</v>
      </c>
      <c r="BH142" s="118">
        <f>IFERROR(INDEX('Fuel Model - Calculation'!$B$2:$M$3771,(MATCH(($E142&amp;"Results"&amp;$BD$140&amp;$F142&amp;"USD/ton"),'Fuel Model - Calculation'!$B$2:$B$3771,0)),MATCH(T$141,'Fuel Model - Calculation'!$B$2:$M$2,0)),0)</f>
        <v>551.85237128410154</v>
      </c>
      <c r="BI142" s="118">
        <f>IFERROR(INDEX('Fuel Model - Calculation'!$B$2:$M$3771,(MATCH(($E142&amp;"Results"&amp;$BD$140&amp;$F142&amp;"USD/ton"),'Fuel Model - Calculation'!$B$2:$B$3771,0)),MATCH(U$141,'Fuel Model - Calculation'!$B$2:$M$2,0)),0)</f>
        <v>400.41875021077772</v>
      </c>
      <c r="BJ142" s="118">
        <f>IFERROR(INDEX('Fuel Model - Calculation'!$B$2:$M$3771,(MATCH(($E142&amp;"Results"&amp;$BD$140&amp;$F142&amp;"USD/ton"),'Fuel Model - Calculation'!$B$2:$B$3771,0)),MATCH(V$141,'Fuel Model - Calculation'!$B$2:$M$2,0)),0)</f>
        <v>267.42770167427705</v>
      </c>
      <c r="BL142" s="118">
        <f>IFERROR(IFERROR(INDEX('Fuel Model - Calculation'!$B$2:$M$3771,(MATCH(($E142&amp;"Results"&amp;$BL$140&amp;$F142&amp;"USD/ton"),'Fuel Model - Calculation'!$B$2:$B$3771,0)),MATCH(H$141,'Fuel Model - Calculation'!$B$2:$M$2,0)),0),0)</f>
        <v>0</v>
      </c>
      <c r="BM142" s="118">
        <f>IFERROR(IFERROR(INDEX('Fuel Model - Calculation'!$B$2:$M$3771,(MATCH(($E142&amp;"Results"&amp;$BL$140&amp;$F142&amp;"USD/ton"),'Fuel Model - Calculation'!$B$2:$B$3771,0)),MATCH(I$141,'Fuel Model - Calculation'!$B$2:$M$2,0)),0),0)</f>
        <v>0</v>
      </c>
      <c r="BN142" s="118">
        <f>IFERROR(IFERROR(INDEX('Fuel Model - Calculation'!$B$2:$M$3771,(MATCH(($E142&amp;"Results"&amp;$BL$140&amp;$F142&amp;"USD/ton"),'Fuel Model - Calculation'!$B$2:$B$3771,0)),MATCH(J$141,'Fuel Model - Calculation'!$B$2:$M$2,0)),0),0)</f>
        <v>0</v>
      </c>
      <c r="BO142" s="118">
        <f>IFERROR(IFERROR(INDEX('Fuel Model - Calculation'!$B$2:$M$3771,(MATCH(($E142&amp;"Results"&amp;$BL$140&amp;$F142&amp;"USD/ton"),'Fuel Model - Calculation'!$B$2:$B$3771,0)),MATCH(K$141,'Fuel Model - Calculation'!$B$2:$M$2,0)),0),0)</f>
        <v>0</v>
      </c>
      <c r="BP142" s="118">
        <f>IFERROR(IFERROR(INDEX('Fuel Model - Calculation'!$B$2:$M$3771,(MATCH(($E142&amp;"Results"&amp;$BL$140&amp;$F142&amp;"USD/ton"),'Fuel Model - Calculation'!$B$2:$B$3771,0)),MATCH(L$141,'Fuel Model - Calculation'!$B$2:$M$2,0)),0),0)</f>
        <v>0</v>
      </c>
      <c r="BQ142" s="118">
        <f>IFERROR(IFERROR(INDEX('Fuel Model - Calculation'!$B$2:$M$3771,(MATCH(($E142&amp;"Results"&amp;$BL$140&amp;$F142&amp;"USD/ton"),'Fuel Model - Calculation'!$B$2:$B$3771,0)),MATCH(M$141,'Fuel Model - Calculation'!$B$2:$M$2,0)),0),0)</f>
        <v>0</v>
      </c>
      <c r="BR142" s="118">
        <f>IFERROR(IFERROR(INDEX('Fuel Model - Calculation'!$B$2:$M$3771,(MATCH(($E142&amp;"Results"&amp;$BL$140&amp;$F142&amp;"USD/ton"),'Fuel Model - Calculation'!$B$2:$B$3771,0)),MATCH(N$141,'Fuel Model - Calculation'!$B$2:$M$2,0)),0),0)</f>
        <v>0</v>
      </c>
      <c r="BT142" s="118">
        <f>IFERROR(INDEX('Fuel Model - Calculation'!$B$2:$M$3771,(MATCH(($E142&amp;"Results"&amp;$BT$140&amp;$F142&amp;"USD/ton"),'Fuel Model - Calculation'!$B$2:$B$3771,0)),MATCH(H$141,'Fuel Model - Calculation'!$B$2:$M$2,0)),0)</f>
        <v>0</v>
      </c>
      <c r="BU142" s="118">
        <f>IFERROR(INDEX('Fuel Model - Calculation'!$B$2:$M$3771,(MATCH(($E142&amp;"Results"&amp;$BT$140&amp;$F142&amp;"USD/ton"),'Fuel Model - Calculation'!$B$2:$B$3771,0)),MATCH(I$141,'Fuel Model - Calculation'!$B$2:$M$2,0)),0)</f>
        <v>0</v>
      </c>
      <c r="BV142" s="118">
        <f>IFERROR(INDEX('Fuel Model - Calculation'!$B$2:$M$3771,(MATCH(($E142&amp;"Results"&amp;$BT$140&amp;$F142&amp;"USD/ton"),'Fuel Model - Calculation'!$B$2:$B$3771,0)),MATCH(J$141,'Fuel Model - Calculation'!$B$2:$M$2,0)),0)</f>
        <v>0</v>
      </c>
      <c r="BW142" s="118">
        <f>IFERROR(INDEX('Fuel Model - Calculation'!$B$2:$M$3771,(MATCH(($E142&amp;"Results"&amp;$BT$140&amp;$F142&amp;"USD/ton"),'Fuel Model - Calculation'!$B$2:$B$3771,0)),MATCH(K$141,'Fuel Model - Calculation'!$B$2:$M$2,0)),0)</f>
        <v>0</v>
      </c>
      <c r="BX142" s="118">
        <f>IFERROR(INDEX('Fuel Model - Calculation'!$B$2:$M$3771,(MATCH(($E142&amp;"Results"&amp;$BT$140&amp;$F142&amp;"USD/ton"),'Fuel Model - Calculation'!$B$2:$B$3771,0)),MATCH(L$141,'Fuel Model - Calculation'!$B$2:$M$2,0)),0)</f>
        <v>0</v>
      </c>
      <c r="BY142" s="118">
        <f>IFERROR(INDEX('Fuel Model - Calculation'!$B$2:$M$3771,(MATCH(($E142&amp;"Results"&amp;$BT$140&amp;$F142&amp;"USD/ton"),'Fuel Model - Calculation'!$B$2:$B$3771,0)),MATCH(M$141,'Fuel Model - Calculation'!$B$2:$M$2,0)),0)</f>
        <v>0</v>
      </c>
      <c r="BZ142" s="118">
        <f>IFERROR(INDEX('Fuel Model - Calculation'!$B$2:$M$3771,(MATCH(($E142&amp;"Results"&amp;$BT$140&amp;$F142&amp;"USD/ton"),'Fuel Model - Calculation'!$B$2:$B$3771,0)),MATCH(N$141,'Fuel Model - Calculation'!$B$2:$M$2,0)),0)</f>
        <v>0</v>
      </c>
    </row>
    <row r="143" spans="1:78" x14ac:dyDescent="0.2">
      <c r="A143" s="452"/>
      <c r="B143" s="453" t="str">
        <f>_xlfn.TEXTJOIN(keydelim,TRUE,F143,IF(E143="Africa","Africa&amp;other",E143),"Fuel cost",SUBSTITUTE($G143," ",""))</f>
        <v>e-Hydrogen (liquid) - Middle East - Fuel cost - USD/ton</v>
      </c>
      <c r="D143" s="459" t="str">
        <f t="shared" ref="D143:D146" si="164">E143&amp;F143</f>
        <v>Middle Easte-Hydrogen (liquid)</v>
      </c>
      <c r="E143" t="s">
        <v>197</v>
      </c>
      <c r="F143" s="460" t="s">
        <v>585</v>
      </c>
      <c r="G143" t="str">
        <f>G142</f>
        <v>USD/ ton</v>
      </c>
      <c r="H143" s="118">
        <f>INDEX('Fuel Model - Calculation'!$B$2:$M$3771,(MATCH(($E143&amp;"ResultsCost of "&amp;$F143&amp;"USD/ton"),'Fuel Model - Calculation'!$B$2:$B$3771,0)),MATCH(H$141,'Fuel Model - Calculation'!$B$2:$M$2,0))</f>
        <v>5553.0559115698779</v>
      </c>
      <c r="I143" s="118">
        <f>INDEX('Fuel Model - Calculation'!$B$2:$M$3771,(MATCH(($E143&amp;"ResultsCost of "&amp;$F143&amp;"USD/ton"),'Fuel Model - Calculation'!$B$2:$B$3771,0)),MATCH(I$141,'Fuel Model - Calculation'!$B$2:$M$2,0))</f>
        <v>4729.4680632441386</v>
      </c>
      <c r="J143" s="118">
        <f>INDEX('Fuel Model - Calculation'!$B$2:$M$3771,(MATCH(($E143&amp;"ResultsCost of "&amp;$F143&amp;"USD/ton"),'Fuel Model - Calculation'!$B$2:$B$3771,0)),MATCH(J$141,'Fuel Model - Calculation'!$B$2:$M$2,0))</f>
        <v>4133.6170396876259</v>
      </c>
      <c r="K143" s="118">
        <f>INDEX('Fuel Model - Calculation'!$B$2:$M$3771,(MATCH(($E143&amp;"ResultsCost of "&amp;$F143&amp;"USD/ton"),'Fuel Model - Calculation'!$B$2:$B$3771,0)),MATCH(K$141,'Fuel Model - Calculation'!$B$2:$M$2,0))</f>
        <v>3823.7975254609964</v>
      </c>
      <c r="L143" s="118">
        <f>INDEX('Fuel Model - Calculation'!$B$2:$M$3771,(MATCH(($E143&amp;"ResultsCost of "&amp;$F143&amp;"USD/ton"),'Fuel Model - Calculation'!$B$2:$B$3771,0)),MATCH(L$141,'Fuel Model - Calculation'!$B$2:$M$2,0))</f>
        <v>3471.406648640741</v>
      </c>
      <c r="M143" s="118">
        <f>INDEX('Fuel Model - Calculation'!$B$2:$M$3771,(MATCH(($E143&amp;"ResultsCost of "&amp;$F143&amp;"USD/ton"),'Fuel Model - Calculation'!$B$2:$B$3771,0)),MATCH(M$141,'Fuel Model - Calculation'!$B$2:$M$2,0))</f>
        <v>2993.8247319772022</v>
      </c>
      <c r="N143" s="118">
        <f>INDEX('Fuel Model - Calculation'!$B$2:$M$3771,(MATCH(($E143&amp;"ResultsCost of "&amp;$F143&amp;"USD/ton"),'Fuel Model - Calculation'!$B$2:$B$3771,0)),MATCH(N$141,'Fuel Model - Calculation'!$B$2:$M$2,0))</f>
        <v>2587.4774557761425</v>
      </c>
      <c r="O143"/>
      <c r="P143" s="118">
        <f>IFERROR(INDEX('Fuel Model - Calculation'!G$2:G$3771,(MATCH(($E143&amp;"ResultsTotal RNE "&amp;$F143&amp;"USD/ton"),'Fuel Model - Calculation'!$B$2:$B$3771,0))),0)</f>
        <v>2649.6321743186818</v>
      </c>
      <c r="Q143" s="118">
        <f>IFERROR(INDEX('Fuel Model - Calculation'!H$2:H$3771,(MATCH(($E143&amp;"ResultsTotal RNE "&amp;$F143&amp;"USD/ton"),'Fuel Model - Calculation'!$B$2:$B$3771,0))),0)</f>
        <v>2124.7569605889717</v>
      </c>
      <c r="R143" s="118">
        <f>IFERROR(INDEX('Fuel Model - Calculation'!I$2:I$3771,(MATCH(($E143&amp;"ResultsTotal RNE "&amp;$F143&amp;"USD/ton"),'Fuel Model - Calculation'!$B$2:$B$3771,0))),0)</f>
        <v>1764.0022930640494</v>
      </c>
      <c r="S143" s="118">
        <f>IFERROR(INDEX('Fuel Model - Calculation'!J$2:J$3771,(MATCH(($E143&amp;"ResultsTotal RNE "&amp;$F143&amp;"USD/ton"),'Fuel Model - Calculation'!$B$2:$B$3771,0))),0)</f>
        <v>1479.979638656454</v>
      </c>
      <c r="T143" s="118">
        <f>IFERROR(INDEX('Fuel Model - Calculation'!K$2:K$3771,(MATCH(($E143&amp;"ResultsTotal RNE "&amp;$F143&amp;"USD/ton"),'Fuel Model - Calculation'!$B$2:$B$3771,0))),0)</f>
        <v>1312.9110349096627</v>
      </c>
      <c r="U143" s="118">
        <f>IFERROR(INDEX('Fuel Model - Calculation'!L$2:L$3771,(MATCH(($E143&amp;"ResultsTotal RNE "&amp;$F143&amp;"USD/ton"),'Fuel Model - Calculation'!$B$2:$B$3771,0))),0)</f>
        <v>1106.1534510432411</v>
      </c>
      <c r="V143" s="118">
        <f>IFERROR(INDEX('Fuel Model - Calculation'!M$2:M$3771,(MATCH(($E143&amp;"ResultsTotal RNE "&amp;$F143&amp;"USD/ton"),'Fuel Model - Calculation'!$B$2:$B$3771,0))),0)</f>
        <v>996.19545002609993</v>
      </c>
      <c r="W143"/>
      <c r="X143" s="2">
        <f>INDEX('Fuel Model - Calculation'!$E$2:$M$3771,(MATCH(("WTT Emission - "&amp;$F143),'Fuel Model - Calculation'!$E$2:$E$3771,0)),MATCH(X$141,'Fuel Model - Calculation'!$E$2:$M$2,0))</f>
        <v>0.29135003961027883</v>
      </c>
      <c r="Y143" s="2">
        <f>INDEX('Fuel Model - Calculation'!$E$2:$M$3771,(MATCH(("WTT Emission - "&amp;$F143),'Fuel Model - Calculation'!$E$2:$E$3771,0)),MATCH(Y$141,'Fuel Model - Calculation'!$E$2:$M$2,0))</f>
        <v>0.28997999999999996</v>
      </c>
      <c r="Z143" s="2">
        <f>INDEX('Fuel Model - Calculation'!$E$2:$M$3771,(MATCH(("WTT Emission - "&amp;$F143),'Fuel Model - Calculation'!$E$2:$E$3771,0)),MATCH(Z$141,'Fuel Model - Calculation'!$E$2:$M$2,0))</f>
        <v>0.28613027529683921</v>
      </c>
      <c r="AA143" s="2">
        <f>INDEX('Fuel Model - Calculation'!$E$2:$M$3771,(MATCH(("WTT Emission - "&amp;$F143),'Fuel Model - Calculation'!$E$2:$E$3771,0)),MATCH(AA$141,'Fuel Model - Calculation'!$E$2:$M$2,0))</f>
        <v>0.27590526085528511</v>
      </c>
      <c r="AB143" s="2">
        <f>INDEX('Fuel Model - Calculation'!$E$2:$M$3771,(MATCH(("WTT Emission - "&amp;$F143),'Fuel Model - Calculation'!$E$2:$E$3771,0)),MATCH(AB$141,'Fuel Model - Calculation'!$E$2:$M$2,0))</f>
        <v>0.26362599487969951</v>
      </c>
      <c r="AC143" s="2">
        <f>INDEX('Fuel Model - Calculation'!$E$2:$M$3771,(MATCH(("WTT Emission - "&amp;$F143),'Fuel Model - Calculation'!$E$2:$E$3771,0)),MATCH(AC$141,'Fuel Model - Calculation'!$E$2:$M$2,0))</f>
        <v>0.24727833589356388</v>
      </c>
      <c r="AD143" s="2">
        <f>INDEX('Fuel Model - Calculation'!$E$2:$M$3771,(MATCH(("WTT Emission - "&amp;$F143),'Fuel Model - Calculation'!$E$2:$E$3771,0)),MATCH(AD$141,'Fuel Model - Calculation'!$E$2:$M$2,0))</f>
        <v>0.23440049999999998</v>
      </c>
      <c r="AE143" s="2"/>
      <c r="AF143" s="2">
        <f>'Fuel Model -  Input'!H$47</f>
        <v>0</v>
      </c>
      <c r="AG143" s="2">
        <f>'Fuel Model -  Input'!I$47</f>
        <v>0</v>
      </c>
      <c r="AH143" s="2">
        <f>'Fuel Model -  Input'!J$47</f>
        <v>0</v>
      </c>
      <c r="AI143" s="2">
        <f>'Fuel Model -  Input'!K$47</f>
        <v>0</v>
      </c>
      <c r="AJ143" s="2">
        <f>'Fuel Model -  Input'!L$47</f>
        <v>0</v>
      </c>
      <c r="AK143" s="2">
        <f>'Fuel Model -  Input'!M$47</f>
        <v>0</v>
      </c>
      <c r="AL143" s="2">
        <f>'Fuel Model -  Input'!N$47</f>
        <v>0</v>
      </c>
      <c r="AM143"/>
      <c r="AN143" s="24">
        <f t="shared" si="163"/>
        <v>0.29135003961027883</v>
      </c>
      <c r="AO143" s="24">
        <f t="shared" si="163"/>
        <v>0.28997999999999996</v>
      </c>
      <c r="AP143" s="24">
        <f t="shared" si="163"/>
        <v>0.28613027529683921</v>
      </c>
      <c r="AQ143" s="24">
        <f t="shared" si="163"/>
        <v>0.27590526085528511</v>
      </c>
      <c r="AR143" s="24">
        <f t="shared" si="163"/>
        <v>0.26362599487969951</v>
      </c>
      <c r="AS143" s="24">
        <f t="shared" si="163"/>
        <v>0.24727833589356388</v>
      </c>
      <c r="AT143" s="24">
        <f t="shared" si="163"/>
        <v>0.23440049999999998</v>
      </c>
      <c r="AU143"/>
      <c r="AV143" s="118">
        <f>IFERROR(INDEX('Fuel Model - Calculation'!$B$2:$M$3771,(MATCH(($E143&amp;"Results"&amp;$AV$140&amp;$F143&amp;"USD/ton"),'Fuel Model - Calculation'!$B$2:$B$3771,0)),MATCH(H$141,'Fuel Model - Calculation'!$B$2:$M$2,0)),0)</f>
        <v>1834.563785027321</v>
      </c>
      <c r="AW143" s="118">
        <f>IFERROR(INDEX('Fuel Model - Calculation'!$B$2:$M$3771,(MATCH(($E143&amp;"Results"&amp;$AV$140&amp;$F143&amp;"USD/ton"),'Fuel Model - Calculation'!$B$2:$B$3771,0)),MATCH(I$141,'Fuel Model - Calculation'!$B$2:$M$2,0)),0)</f>
        <v>1699.417596820565</v>
      </c>
      <c r="AX143" s="118">
        <f>IFERROR(INDEX('Fuel Model - Calculation'!$B$2:$M$3771,(MATCH(($E143&amp;"Results"&amp;$AV$140&amp;$F143&amp;"USD/ton"),'Fuel Model - Calculation'!$B$2:$B$3771,0)),MATCH(J$141,'Fuel Model - Calculation'!$B$2:$M$2,0)),0)</f>
        <v>1612.073871597295</v>
      </c>
      <c r="AY143" s="118">
        <f>IFERROR(INDEX('Fuel Model - Calculation'!$B$2:$M$3771,(MATCH(($E143&amp;"Results"&amp;$AV$140&amp;$F143&amp;"USD/ton"),'Fuel Model - Calculation'!$B$2:$B$3771,0)),MATCH(K$141,'Fuel Model - Calculation'!$B$2:$M$2,0)),0)</f>
        <v>1644.6095826423298</v>
      </c>
      <c r="AZ143" s="118">
        <f>IFERROR(INDEX('Fuel Model - Calculation'!$B$2:$M$3771,(MATCH(($E143&amp;"Results"&amp;$AV$140&amp;$F143&amp;"USD/ton"),'Fuel Model - Calculation'!$B$2:$B$3771,0)),MATCH(L$141,'Fuel Model - Calculation'!$B$2:$M$2,0)),0)</f>
        <v>1593.1432424469763</v>
      </c>
      <c r="BA143" s="118">
        <f>IFERROR(INDEX('Fuel Model - Calculation'!$B$2:$M$3771,(MATCH(($E143&amp;"Results"&amp;$AV$140&amp;$F143&amp;"USD/ton"),'Fuel Model - Calculation'!$B$2:$B$3771,0)),MATCH(M$141,'Fuel Model - Calculation'!$B$2:$M$2,0)),0)</f>
        <v>1473.7525307231833</v>
      </c>
      <c r="BB143" s="118">
        <f>IFERROR(INDEX('Fuel Model - Calculation'!$B$2:$M$3771,(MATCH(($E143&amp;"Results"&amp;$AV$140&amp;$F143&amp;"USD/ton"),'Fuel Model - Calculation'!$B$2:$B$3771,0)),MATCH(N$141,'Fuel Model - Calculation'!$B$2:$M$2,0)),0)</f>
        <v>1310.3543040757654</v>
      </c>
      <c r="BC143"/>
      <c r="BD143" s="118">
        <f>IFERROR(INDEX('Fuel Model - Calculation'!$B$2:$M$3771,(MATCH(($E143&amp;"Results"&amp;$BD$140&amp;$F143&amp;"USD/ton"),'Fuel Model - Calculation'!$B$2:$B$3771,0)),MATCH(P$141,'Fuel Model - Calculation'!$B$2:$M$2,0)),0)</f>
        <v>1055.3599522238749</v>
      </c>
      <c r="BE143" s="118">
        <f>IFERROR(INDEX('Fuel Model - Calculation'!$B$2:$M$3771,(MATCH(($E143&amp;"Results"&amp;$BD$140&amp;$F143&amp;"USD/ton"),'Fuel Model - Calculation'!$B$2:$B$3771,0)),MATCH(Q$141,'Fuel Model - Calculation'!$B$2:$M$2,0)),0)</f>
        <v>891.79350583460177</v>
      </c>
      <c r="BF143" s="118">
        <f>IFERROR(INDEX('Fuel Model - Calculation'!$B$2:$M$3771,(MATCH(($E143&amp;"Results"&amp;$BD$140&amp;$F143&amp;"USD/ton"),'Fuel Model - Calculation'!$B$2:$B$3771,0)),MATCH(R$141,'Fuel Model - Calculation'!$B$2:$M$2,0)),0)</f>
        <v>744.04087502628227</v>
      </c>
      <c r="BG143" s="118">
        <f>IFERROR(INDEX('Fuel Model - Calculation'!$B$2:$M$3771,(MATCH(($E143&amp;"Results"&amp;$BD$140&amp;$F143&amp;"USD/ton"),'Fuel Model - Calculation'!$B$2:$B$3771,0)),MATCH(S$141,'Fuel Model - Calculation'!$B$2:$M$2,0)),0)</f>
        <v>685.70830416221315</v>
      </c>
      <c r="BH143" s="118">
        <f>IFERROR(INDEX('Fuel Model - Calculation'!$B$2:$M$3771,(MATCH(($E143&amp;"Results"&amp;$BD$140&amp;$F143&amp;"USD/ton"),'Fuel Model - Calculation'!$B$2:$B$3771,0)),MATCH(T$141,'Fuel Model - Calculation'!$B$2:$M$2,0)),0)</f>
        <v>551.85237128410154</v>
      </c>
      <c r="BI143" s="118">
        <f>IFERROR(INDEX('Fuel Model - Calculation'!$B$2:$M$3771,(MATCH(($E143&amp;"Results"&amp;$BD$140&amp;$F143&amp;"USD/ton"),'Fuel Model - Calculation'!$B$2:$B$3771,0)),MATCH(U$141,'Fuel Model - Calculation'!$B$2:$M$2,0)),0)</f>
        <v>400.41875021077772</v>
      </c>
      <c r="BJ143" s="118">
        <f>IFERROR(INDEX('Fuel Model - Calculation'!$B$2:$M$3771,(MATCH(($E143&amp;"Results"&amp;$BD$140&amp;$F143&amp;"USD/ton"),'Fuel Model - Calculation'!$B$2:$B$3771,0)),MATCH(V$141,'Fuel Model - Calculation'!$B$2:$M$2,0)),0)</f>
        <v>267.42770167427705</v>
      </c>
      <c r="BL143" s="118">
        <f>IFERROR(IFERROR(INDEX('Fuel Model - Calculation'!$B$2:$M$3771,(MATCH(($E143&amp;"Results"&amp;$BL$140&amp;$F143&amp;"USD/ton"),'Fuel Model - Calculation'!$B$2:$B$3771,0)),MATCH(H$141,'Fuel Model - Calculation'!$B$2:$M$2,0)),0),0)</f>
        <v>0</v>
      </c>
      <c r="BM143" s="118">
        <f>IFERROR(IFERROR(INDEX('Fuel Model - Calculation'!$B$2:$M$3771,(MATCH(($E143&amp;"Results"&amp;$BL$140&amp;$F143&amp;"USD/ton"),'Fuel Model - Calculation'!$B$2:$B$3771,0)),MATCH(I$141,'Fuel Model - Calculation'!$B$2:$M$2,0)),0),0)</f>
        <v>0</v>
      </c>
      <c r="BN143" s="118">
        <f>IFERROR(IFERROR(INDEX('Fuel Model - Calculation'!$B$2:$M$3771,(MATCH(($E143&amp;"Results"&amp;$BL$140&amp;$F143&amp;"USD/ton"),'Fuel Model - Calculation'!$B$2:$B$3771,0)),MATCH(J$141,'Fuel Model - Calculation'!$B$2:$M$2,0)),0),0)</f>
        <v>0</v>
      </c>
      <c r="BO143" s="118">
        <f>IFERROR(IFERROR(INDEX('Fuel Model - Calculation'!$B$2:$M$3771,(MATCH(($E143&amp;"Results"&amp;$BL$140&amp;$F143&amp;"USD/ton"),'Fuel Model - Calculation'!$B$2:$B$3771,0)),MATCH(K$141,'Fuel Model - Calculation'!$B$2:$M$2,0)),0),0)</f>
        <v>0</v>
      </c>
      <c r="BP143" s="118">
        <f>IFERROR(IFERROR(INDEX('Fuel Model - Calculation'!$B$2:$M$3771,(MATCH(($E143&amp;"Results"&amp;$BL$140&amp;$F143&amp;"USD/ton"),'Fuel Model - Calculation'!$B$2:$B$3771,0)),MATCH(L$141,'Fuel Model - Calculation'!$B$2:$M$2,0)),0),0)</f>
        <v>0</v>
      </c>
      <c r="BQ143" s="118">
        <f>IFERROR(IFERROR(INDEX('Fuel Model - Calculation'!$B$2:$M$3771,(MATCH(($E143&amp;"Results"&amp;$BL$140&amp;$F143&amp;"USD/ton"),'Fuel Model - Calculation'!$B$2:$B$3771,0)),MATCH(M$141,'Fuel Model - Calculation'!$B$2:$M$2,0)),0),0)</f>
        <v>0</v>
      </c>
      <c r="BR143" s="118">
        <f>IFERROR(IFERROR(INDEX('Fuel Model - Calculation'!$B$2:$M$3771,(MATCH(($E143&amp;"Results"&amp;$BL$140&amp;$F143&amp;"USD/ton"),'Fuel Model - Calculation'!$B$2:$B$3771,0)),MATCH(N$141,'Fuel Model - Calculation'!$B$2:$M$2,0)),0),0)</f>
        <v>0</v>
      </c>
      <c r="BT143" s="118">
        <f>IFERROR(INDEX('Fuel Model - Calculation'!$B$2:$M$3771,(MATCH(($E143&amp;"Results"&amp;$BT$140&amp;$F143&amp;"USD/ton"),'Fuel Model - Calculation'!$B$2:$B$3771,0)),MATCH(H$141,'Fuel Model - Calculation'!$B$2:$M$2,0)),0)</f>
        <v>0</v>
      </c>
      <c r="BU143" s="118">
        <f>IFERROR(INDEX('Fuel Model - Calculation'!$B$2:$M$3771,(MATCH(($E143&amp;"Results"&amp;$BT$140&amp;$F143&amp;"USD/ton"),'Fuel Model - Calculation'!$B$2:$B$3771,0)),MATCH(I$141,'Fuel Model - Calculation'!$B$2:$M$2,0)),0)</f>
        <v>0</v>
      </c>
      <c r="BV143" s="118">
        <f>IFERROR(INDEX('Fuel Model - Calculation'!$B$2:$M$3771,(MATCH(($E143&amp;"Results"&amp;$BT$140&amp;$F143&amp;"USD/ton"),'Fuel Model - Calculation'!$B$2:$B$3771,0)),MATCH(J$141,'Fuel Model - Calculation'!$B$2:$M$2,0)),0)</f>
        <v>0</v>
      </c>
      <c r="BW143" s="118">
        <f>IFERROR(INDEX('Fuel Model - Calculation'!$B$2:$M$3771,(MATCH(($E143&amp;"Results"&amp;$BT$140&amp;$F143&amp;"USD/ton"),'Fuel Model - Calculation'!$B$2:$B$3771,0)),MATCH(K$141,'Fuel Model - Calculation'!$B$2:$M$2,0)),0)</f>
        <v>0</v>
      </c>
      <c r="BX143" s="118">
        <f>IFERROR(INDEX('Fuel Model - Calculation'!$B$2:$M$3771,(MATCH(($E143&amp;"Results"&amp;$BT$140&amp;$F143&amp;"USD/ton"),'Fuel Model - Calculation'!$B$2:$B$3771,0)),MATCH(L$141,'Fuel Model - Calculation'!$B$2:$M$2,0)),0)</f>
        <v>0</v>
      </c>
      <c r="BY143" s="118">
        <f>IFERROR(INDEX('Fuel Model - Calculation'!$B$2:$M$3771,(MATCH(($E143&amp;"Results"&amp;$BT$140&amp;$F143&amp;"USD/ton"),'Fuel Model - Calculation'!$B$2:$B$3771,0)),MATCH(M$141,'Fuel Model - Calculation'!$B$2:$M$2,0)),0)</f>
        <v>0</v>
      </c>
      <c r="BZ143" s="118">
        <f>IFERROR(INDEX('Fuel Model - Calculation'!$B$2:$M$3771,(MATCH(($E143&amp;"Results"&amp;$BT$140&amp;$F143&amp;"USD/ton"),'Fuel Model - Calculation'!$B$2:$B$3771,0)),MATCH(N$141,'Fuel Model - Calculation'!$B$2:$M$2,0)),0)</f>
        <v>0</v>
      </c>
    </row>
    <row r="144" spans="1:78" x14ac:dyDescent="0.2">
      <c r="A144" s="452"/>
      <c r="B144" s="453" t="str">
        <f>_xlfn.TEXTJOIN(keydelim,TRUE,F144,IF(E144="Africa","Africa&amp;other",E144),"Fuel cost",SUBSTITUTE($G144," ",""))</f>
        <v>e-Hydrogen (liquid) - Asia - Fuel cost - USD/ton</v>
      </c>
      <c r="D144" s="459" t="str">
        <f t="shared" si="164"/>
        <v>Asiae-Hydrogen (liquid)</v>
      </c>
      <c r="E144" t="s">
        <v>198</v>
      </c>
      <c r="F144" s="460" t="s">
        <v>585</v>
      </c>
      <c r="G144" t="str">
        <f>G143</f>
        <v>USD/ ton</v>
      </c>
      <c r="H144" s="118">
        <f>INDEX('Fuel Model - Calculation'!$B$2:$M$3771,(MATCH(($E144&amp;"ResultsCost of "&amp;$F144&amp;"USD/ton"),'Fuel Model - Calculation'!$B$2:$B$3771,0)),MATCH(H$141,'Fuel Model - Calculation'!$B$2:$M$2,0))</f>
        <v>8090.1431485649036</v>
      </c>
      <c r="I144" s="118">
        <f>INDEX('Fuel Model - Calculation'!$B$2:$M$3771,(MATCH(($E144&amp;"ResultsCost of "&amp;$F144&amp;"USD/ton"),'Fuel Model - Calculation'!$B$2:$B$3771,0)),MATCH(I$141,'Fuel Model - Calculation'!$B$2:$M$2,0))</f>
        <v>5974.3121351694581</v>
      </c>
      <c r="J144" s="118">
        <f>INDEX('Fuel Model - Calculation'!$B$2:$M$3771,(MATCH(($E144&amp;"ResultsCost of "&amp;$F144&amp;"USD/ton"),'Fuel Model - Calculation'!$B$2:$B$3771,0)),MATCH(J$141,'Fuel Model - Calculation'!$B$2:$M$2,0))</f>
        <v>5063.9032935328141</v>
      </c>
      <c r="K144" s="118">
        <f>INDEX('Fuel Model - Calculation'!$B$2:$M$3771,(MATCH(($E144&amp;"ResultsCost of "&amp;$F144&amp;"USD/ton"),'Fuel Model - Calculation'!$B$2:$B$3771,0)),MATCH(K$141,'Fuel Model - Calculation'!$B$2:$M$2,0))</f>
        <v>4535.996937572686</v>
      </c>
      <c r="L144" s="118">
        <f>INDEX('Fuel Model - Calculation'!$B$2:$M$3771,(MATCH(($E144&amp;"ResultsCost of "&amp;$F144&amp;"USD/ton"),'Fuel Model - Calculation'!$B$2:$B$3771,0)),MATCH(L$141,'Fuel Model - Calculation'!$B$2:$M$2,0))</f>
        <v>4062.2996260224309</v>
      </c>
      <c r="M144" s="118">
        <f>INDEX('Fuel Model - Calculation'!$B$2:$M$3771,(MATCH(($E144&amp;"ResultsCost of "&amp;$F144&amp;"USD/ton"),'Fuel Model - Calculation'!$B$2:$B$3771,0)),MATCH(M$141,'Fuel Model - Calculation'!$B$2:$M$2,0))</f>
        <v>3488.0152328092095</v>
      </c>
      <c r="N144" s="118">
        <f>INDEX('Fuel Model - Calculation'!$B$2:$M$3771,(MATCH(($E144&amp;"ResultsCost of "&amp;$F144&amp;"USD/ton"),'Fuel Model - Calculation'!$B$2:$B$3771,0)),MATCH(N$141,'Fuel Model - Calculation'!$B$2:$M$2,0))</f>
        <v>3032.5449887409704</v>
      </c>
      <c r="O144"/>
      <c r="P144" s="118">
        <f>IFERROR(INDEX('Fuel Model - Calculation'!G$2:G$3771,(MATCH(($E144&amp;"ResultsTotal RNE "&amp;$F144&amp;"USD/ton"),'Fuel Model - Calculation'!$B$2:$B$3771,0))),0)</f>
        <v>5186.7194113137075</v>
      </c>
      <c r="Q144" s="118">
        <f>IFERROR(INDEX('Fuel Model - Calculation'!H$2:H$3771,(MATCH(($E144&amp;"ResultsTotal RNE "&amp;$F144&amp;"USD/ton"),'Fuel Model - Calculation'!$B$2:$B$3771,0))),0)</f>
        <v>3369.6010325142906</v>
      </c>
      <c r="R144" s="118">
        <f>IFERROR(INDEX('Fuel Model - Calculation'!I$2:I$3771,(MATCH(($E144&amp;"ResultsTotal RNE "&amp;$F144&amp;"USD/ton"),'Fuel Model - Calculation'!$B$2:$B$3771,0))),0)</f>
        <v>2694.2885469092366</v>
      </c>
      <c r="S144" s="118">
        <f>IFERROR(INDEX('Fuel Model - Calculation'!J$2:J$3771,(MATCH(($E144&amp;"ResultsTotal RNE "&amp;$F144&amp;"USD/ton"),'Fuel Model - Calculation'!$B$2:$B$3771,0))),0)</f>
        <v>2192.179050768143</v>
      </c>
      <c r="T144" s="118">
        <f>IFERROR(INDEX('Fuel Model - Calculation'!K$2:K$3771,(MATCH(($E144&amp;"ResultsTotal RNE "&amp;$F144&amp;"USD/ton"),'Fuel Model - Calculation'!$B$2:$B$3771,0))),0)</f>
        <v>1903.8040122913526</v>
      </c>
      <c r="U144" s="118">
        <f>IFERROR(INDEX('Fuel Model - Calculation'!L$2:L$3771,(MATCH(($E144&amp;"ResultsTotal RNE "&amp;$F144&amp;"USD/ton"),'Fuel Model - Calculation'!$B$2:$B$3771,0))),0)</f>
        <v>1600.3439518752484</v>
      </c>
      <c r="V144" s="118">
        <f>IFERROR(INDEX('Fuel Model - Calculation'!M$2:M$3771,(MATCH(($E144&amp;"ResultsTotal RNE "&amp;$F144&amp;"USD/ton"),'Fuel Model - Calculation'!$B$2:$B$3771,0))),0)</f>
        <v>1441.2629829909279</v>
      </c>
      <c r="W144"/>
      <c r="X144" s="2">
        <f>INDEX('Fuel Model - Calculation'!$E$2:$M$3771,(MATCH(("WTT Emission - "&amp;$F144),'Fuel Model - Calculation'!$E$2:$E$3771,0)),MATCH(X$141,'Fuel Model - Calculation'!$E$2:$M$2,0))</f>
        <v>0.29135003961027883</v>
      </c>
      <c r="Y144" s="2">
        <f>INDEX('Fuel Model - Calculation'!$E$2:$M$3771,(MATCH(("WTT Emission - "&amp;$F144),'Fuel Model - Calculation'!$E$2:$E$3771,0)),MATCH(Y$141,'Fuel Model - Calculation'!$E$2:$M$2,0))</f>
        <v>0.28997999999999996</v>
      </c>
      <c r="Z144" s="2">
        <f>INDEX('Fuel Model - Calculation'!$E$2:$M$3771,(MATCH(("WTT Emission - "&amp;$F144),'Fuel Model - Calculation'!$E$2:$E$3771,0)),MATCH(Z$141,'Fuel Model - Calculation'!$E$2:$M$2,0))</f>
        <v>0.28613027529683921</v>
      </c>
      <c r="AA144" s="2">
        <f>INDEX('Fuel Model - Calculation'!$E$2:$M$3771,(MATCH(("WTT Emission - "&amp;$F144),'Fuel Model - Calculation'!$E$2:$E$3771,0)),MATCH(AA$141,'Fuel Model - Calculation'!$E$2:$M$2,0))</f>
        <v>0.27590526085528511</v>
      </c>
      <c r="AB144" s="2">
        <f>INDEX('Fuel Model - Calculation'!$E$2:$M$3771,(MATCH(("WTT Emission - "&amp;$F144),'Fuel Model - Calculation'!$E$2:$E$3771,0)),MATCH(AB$141,'Fuel Model - Calculation'!$E$2:$M$2,0))</f>
        <v>0.26362599487969951</v>
      </c>
      <c r="AC144" s="2">
        <f>INDEX('Fuel Model - Calculation'!$E$2:$M$3771,(MATCH(("WTT Emission - "&amp;$F144),'Fuel Model - Calculation'!$E$2:$E$3771,0)),MATCH(AC$141,'Fuel Model - Calculation'!$E$2:$M$2,0))</f>
        <v>0.24727833589356388</v>
      </c>
      <c r="AD144" s="2">
        <f>INDEX('Fuel Model - Calculation'!$E$2:$M$3771,(MATCH(("WTT Emission - "&amp;$F144),'Fuel Model - Calculation'!$E$2:$E$3771,0)),MATCH(AD$141,'Fuel Model - Calculation'!$E$2:$M$2,0))</f>
        <v>0.23440049999999998</v>
      </c>
      <c r="AE144" s="2"/>
      <c r="AF144" s="2">
        <f>'Fuel Model -  Input'!H$47</f>
        <v>0</v>
      </c>
      <c r="AG144" s="2">
        <f>'Fuel Model -  Input'!I$47</f>
        <v>0</v>
      </c>
      <c r="AH144" s="2">
        <f>'Fuel Model -  Input'!J$47</f>
        <v>0</v>
      </c>
      <c r="AI144" s="2">
        <f>'Fuel Model -  Input'!K$47</f>
        <v>0</v>
      </c>
      <c r="AJ144" s="2">
        <f>'Fuel Model -  Input'!L$47</f>
        <v>0</v>
      </c>
      <c r="AK144" s="2">
        <f>'Fuel Model -  Input'!M$47</f>
        <v>0</v>
      </c>
      <c r="AL144" s="2">
        <f>'Fuel Model -  Input'!N$47</f>
        <v>0</v>
      </c>
      <c r="AM144"/>
      <c r="AN144" s="24">
        <f t="shared" si="163"/>
        <v>0.29135003961027883</v>
      </c>
      <c r="AO144" s="24">
        <f t="shared" si="163"/>
        <v>0.28997999999999996</v>
      </c>
      <c r="AP144" s="24">
        <f t="shared" si="163"/>
        <v>0.28613027529683921</v>
      </c>
      <c r="AQ144" s="24">
        <f t="shared" si="163"/>
        <v>0.27590526085528511</v>
      </c>
      <c r="AR144" s="24">
        <f t="shared" si="163"/>
        <v>0.26362599487969951</v>
      </c>
      <c r="AS144" s="24">
        <f t="shared" si="163"/>
        <v>0.24727833589356388</v>
      </c>
      <c r="AT144" s="24">
        <f t="shared" si="163"/>
        <v>0.23440049999999998</v>
      </c>
      <c r="AU144"/>
      <c r="AV144" s="118">
        <f>IFERROR(INDEX('Fuel Model - Calculation'!$B$2:$M$3771,(MATCH(($E144&amp;"Results"&amp;$AV$140&amp;$F144&amp;"USD/ton"),'Fuel Model - Calculation'!$B$2:$B$3771,0)),MATCH(H$141,'Fuel Model - Calculation'!$B$2:$M$2,0)),0)</f>
        <v>1834.563785027321</v>
      </c>
      <c r="AW144" s="118">
        <f>IFERROR(INDEX('Fuel Model - Calculation'!$B$2:$M$3771,(MATCH(($E144&amp;"Results"&amp;$AV$140&amp;$F144&amp;"USD/ton"),'Fuel Model - Calculation'!$B$2:$B$3771,0)),MATCH(I$141,'Fuel Model - Calculation'!$B$2:$M$2,0)),0)</f>
        <v>1699.417596820565</v>
      </c>
      <c r="AX144" s="118">
        <f>IFERROR(INDEX('Fuel Model - Calculation'!$B$2:$M$3771,(MATCH(($E144&amp;"Results"&amp;$AV$140&amp;$F144&amp;"USD/ton"),'Fuel Model - Calculation'!$B$2:$B$3771,0)),MATCH(J$141,'Fuel Model - Calculation'!$B$2:$M$2,0)),0)</f>
        <v>1612.073871597295</v>
      </c>
      <c r="AY144" s="118">
        <f>IFERROR(INDEX('Fuel Model - Calculation'!$B$2:$M$3771,(MATCH(($E144&amp;"Results"&amp;$AV$140&amp;$F144&amp;"USD/ton"),'Fuel Model - Calculation'!$B$2:$B$3771,0)),MATCH(K$141,'Fuel Model - Calculation'!$B$2:$M$2,0)),0)</f>
        <v>1644.6095826423298</v>
      </c>
      <c r="AZ144" s="118">
        <f>IFERROR(INDEX('Fuel Model - Calculation'!$B$2:$M$3771,(MATCH(($E144&amp;"Results"&amp;$AV$140&amp;$F144&amp;"USD/ton"),'Fuel Model - Calculation'!$B$2:$B$3771,0)),MATCH(L$141,'Fuel Model - Calculation'!$B$2:$M$2,0)),0)</f>
        <v>1593.1432424469763</v>
      </c>
      <c r="BA144" s="118">
        <f>IFERROR(INDEX('Fuel Model - Calculation'!$B$2:$M$3771,(MATCH(($E144&amp;"Results"&amp;$AV$140&amp;$F144&amp;"USD/ton"),'Fuel Model - Calculation'!$B$2:$B$3771,0)),MATCH(M$141,'Fuel Model - Calculation'!$B$2:$M$2,0)),0)</f>
        <v>1473.7525307231833</v>
      </c>
      <c r="BB144" s="118">
        <f>IFERROR(INDEX('Fuel Model - Calculation'!$B$2:$M$3771,(MATCH(($E144&amp;"Results"&amp;$AV$140&amp;$F144&amp;"USD/ton"),'Fuel Model - Calculation'!$B$2:$B$3771,0)),MATCH(N$141,'Fuel Model - Calculation'!$B$2:$M$2,0)),0)</f>
        <v>1310.3543040757654</v>
      </c>
      <c r="BC144"/>
      <c r="BD144" s="118">
        <f>IFERROR(INDEX('Fuel Model - Calculation'!$B$2:$M$3771,(MATCH(($E144&amp;"Results"&amp;$BD$140&amp;$F144&amp;"USD/ton"),'Fuel Model - Calculation'!$B$2:$B$3771,0)),MATCH(P$141,'Fuel Model - Calculation'!$B$2:$M$2,0)),0)</f>
        <v>1055.3599522238749</v>
      </c>
      <c r="BE144" s="118">
        <f>IFERROR(INDEX('Fuel Model - Calculation'!$B$2:$M$3771,(MATCH(($E144&amp;"Results"&amp;$BD$140&amp;$F144&amp;"USD/ton"),'Fuel Model - Calculation'!$B$2:$B$3771,0)),MATCH(Q$141,'Fuel Model - Calculation'!$B$2:$M$2,0)),0)</f>
        <v>891.79350583460177</v>
      </c>
      <c r="BF144" s="118">
        <f>IFERROR(INDEX('Fuel Model - Calculation'!$B$2:$M$3771,(MATCH(($E144&amp;"Results"&amp;$BD$140&amp;$F144&amp;"USD/ton"),'Fuel Model - Calculation'!$B$2:$B$3771,0)),MATCH(R$141,'Fuel Model - Calculation'!$B$2:$M$2,0)),0)</f>
        <v>744.04087502628227</v>
      </c>
      <c r="BG144" s="118">
        <f>IFERROR(INDEX('Fuel Model - Calculation'!$B$2:$M$3771,(MATCH(($E144&amp;"Results"&amp;$BD$140&amp;$F144&amp;"USD/ton"),'Fuel Model - Calculation'!$B$2:$B$3771,0)),MATCH(S$141,'Fuel Model - Calculation'!$B$2:$M$2,0)),0)</f>
        <v>685.70830416221315</v>
      </c>
      <c r="BH144" s="118">
        <f>IFERROR(INDEX('Fuel Model - Calculation'!$B$2:$M$3771,(MATCH(($E144&amp;"Results"&amp;$BD$140&amp;$F144&amp;"USD/ton"),'Fuel Model - Calculation'!$B$2:$B$3771,0)),MATCH(T$141,'Fuel Model - Calculation'!$B$2:$M$2,0)),0)</f>
        <v>551.85237128410154</v>
      </c>
      <c r="BI144" s="118">
        <f>IFERROR(INDEX('Fuel Model - Calculation'!$B$2:$M$3771,(MATCH(($E144&amp;"Results"&amp;$BD$140&amp;$F144&amp;"USD/ton"),'Fuel Model - Calculation'!$B$2:$B$3771,0)),MATCH(U$141,'Fuel Model - Calculation'!$B$2:$M$2,0)),0)</f>
        <v>400.41875021077772</v>
      </c>
      <c r="BJ144" s="118">
        <f>IFERROR(INDEX('Fuel Model - Calculation'!$B$2:$M$3771,(MATCH(($E144&amp;"Results"&amp;$BD$140&amp;$F144&amp;"USD/ton"),'Fuel Model - Calculation'!$B$2:$B$3771,0)),MATCH(V$141,'Fuel Model - Calculation'!$B$2:$M$2,0)),0)</f>
        <v>267.42770167427705</v>
      </c>
      <c r="BL144" s="118">
        <f>IFERROR(IFERROR(INDEX('Fuel Model - Calculation'!$B$2:$M$3771,(MATCH(($E144&amp;"Results"&amp;$BL$140&amp;$F144&amp;"USD/ton"),'Fuel Model - Calculation'!$B$2:$B$3771,0)),MATCH(H$141,'Fuel Model - Calculation'!$B$2:$M$2,0)),0),0)</f>
        <v>0</v>
      </c>
      <c r="BM144" s="118">
        <f>IFERROR(IFERROR(INDEX('Fuel Model - Calculation'!$B$2:$M$3771,(MATCH(($E144&amp;"Results"&amp;$BL$140&amp;$F144&amp;"USD/ton"),'Fuel Model - Calculation'!$B$2:$B$3771,0)),MATCH(I$141,'Fuel Model - Calculation'!$B$2:$M$2,0)),0),0)</f>
        <v>0</v>
      </c>
      <c r="BN144" s="118">
        <f>IFERROR(IFERROR(INDEX('Fuel Model - Calculation'!$B$2:$M$3771,(MATCH(($E144&amp;"Results"&amp;$BL$140&amp;$F144&amp;"USD/ton"),'Fuel Model - Calculation'!$B$2:$B$3771,0)),MATCH(J$141,'Fuel Model - Calculation'!$B$2:$M$2,0)),0),0)</f>
        <v>0</v>
      </c>
      <c r="BO144" s="118">
        <f>IFERROR(IFERROR(INDEX('Fuel Model - Calculation'!$B$2:$M$3771,(MATCH(($E144&amp;"Results"&amp;$BL$140&amp;$F144&amp;"USD/ton"),'Fuel Model - Calculation'!$B$2:$B$3771,0)),MATCH(K$141,'Fuel Model - Calculation'!$B$2:$M$2,0)),0),0)</f>
        <v>0</v>
      </c>
      <c r="BP144" s="118">
        <f>IFERROR(IFERROR(INDEX('Fuel Model - Calculation'!$B$2:$M$3771,(MATCH(($E144&amp;"Results"&amp;$BL$140&amp;$F144&amp;"USD/ton"),'Fuel Model - Calculation'!$B$2:$B$3771,0)),MATCH(L$141,'Fuel Model - Calculation'!$B$2:$M$2,0)),0),0)</f>
        <v>0</v>
      </c>
      <c r="BQ144" s="118">
        <f>IFERROR(IFERROR(INDEX('Fuel Model - Calculation'!$B$2:$M$3771,(MATCH(($E144&amp;"Results"&amp;$BL$140&amp;$F144&amp;"USD/ton"),'Fuel Model - Calculation'!$B$2:$B$3771,0)),MATCH(M$141,'Fuel Model - Calculation'!$B$2:$M$2,0)),0),0)</f>
        <v>0</v>
      </c>
      <c r="BR144" s="118">
        <f>IFERROR(IFERROR(INDEX('Fuel Model - Calculation'!$B$2:$M$3771,(MATCH(($E144&amp;"Results"&amp;$BL$140&amp;$F144&amp;"USD/ton"),'Fuel Model - Calculation'!$B$2:$B$3771,0)),MATCH(N$141,'Fuel Model - Calculation'!$B$2:$M$2,0)),0),0)</f>
        <v>0</v>
      </c>
      <c r="BT144" s="118">
        <f>IFERROR(INDEX('Fuel Model - Calculation'!$B$2:$M$3771,(MATCH(($E144&amp;"Results"&amp;$BT$140&amp;$F144&amp;"USD/ton"),'Fuel Model - Calculation'!$B$2:$B$3771,0)),MATCH(H$141,'Fuel Model - Calculation'!$B$2:$M$2,0)),0)</f>
        <v>0</v>
      </c>
      <c r="BU144" s="118">
        <f>IFERROR(INDEX('Fuel Model - Calculation'!$B$2:$M$3771,(MATCH(($E144&amp;"Results"&amp;$BT$140&amp;$F144&amp;"USD/ton"),'Fuel Model - Calculation'!$B$2:$B$3771,0)),MATCH(I$141,'Fuel Model - Calculation'!$B$2:$M$2,0)),0)</f>
        <v>0</v>
      </c>
      <c r="BV144" s="118">
        <f>IFERROR(INDEX('Fuel Model - Calculation'!$B$2:$M$3771,(MATCH(($E144&amp;"Results"&amp;$BT$140&amp;$F144&amp;"USD/ton"),'Fuel Model - Calculation'!$B$2:$B$3771,0)),MATCH(J$141,'Fuel Model - Calculation'!$B$2:$M$2,0)),0)</f>
        <v>0</v>
      </c>
      <c r="BW144" s="118">
        <f>IFERROR(INDEX('Fuel Model - Calculation'!$B$2:$M$3771,(MATCH(($E144&amp;"Results"&amp;$BT$140&amp;$F144&amp;"USD/ton"),'Fuel Model - Calculation'!$B$2:$B$3771,0)),MATCH(K$141,'Fuel Model - Calculation'!$B$2:$M$2,0)),0)</f>
        <v>0</v>
      </c>
      <c r="BX144" s="118">
        <f>IFERROR(INDEX('Fuel Model - Calculation'!$B$2:$M$3771,(MATCH(($E144&amp;"Results"&amp;$BT$140&amp;$F144&amp;"USD/ton"),'Fuel Model - Calculation'!$B$2:$B$3771,0)),MATCH(L$141,'Fuel Model - Calculation'!$B$2:$M$2,0)),0)</f>
        <v>0</v>
      </c>
      <c r="BY144" s="118">
        <f>IFERROR(INDEX('Fuel Model - Calculation'!$B$2:$M$3771,(MATCH(($E144&amp;"Results"&amp;$BT$140&amp;$F144&amp;"USD/ton"),'Fuel Model - Calculation'!$B$2:$B$3771,0)),MATCH(M$141,'Fuel Model - Calculation'!$B$2:$M$2,0)),0)</f>
        <v>0</v>
      </c>
      <c r="BZ144" s="118">
        <f>IFERROR(INDEX('Fuel Model - Calculation'!$B$2:$M$3771,(MATCH(($E144&amp;"Results"&amp;$BT$140&amp;$F144&amp;"USD/ton"),'Fuel Model - Calculation'!$B$2:$B$3771,0)),MATCH(N$141,'Fuel Model - Calculation'!$B$2:$M$2,0)),0)</f>
        <v>0</v>
      </c>
    </row>
    <row r="145" spans="1:78" x14ac:dyDescent="0.2">
      <c r="A145" s="452"/>
      <c r="B145" s="453" t="str">
        <f>_xlfn.TEXTJOIN(keydelim,TRUE,F145,IF(E145="Africa","Africa&amp;other",E145),"Fuel cost",SUBSTITUTE($G145," ",""))</f>
        <v>e-Hydrogen (liquid) - Americas - Fuel cost - USD/ton</v>
      </c>
      <c r="D145" s="459" t="str">
        <f t="shared" si="164"/>
        <v>Americase-Hydrogen (liquid)</v>
      </c>
      <c r="E145" t="s">
        <v>199</v>
      </c>
      <c r="F145" s="460" t="s">
        <v>585</v>
      </c>
      <c r="G145" t="str">
        <f>G144</f>
        <v>USD/ ton</v>
      </c>
      <c r="H145" s="118">
        <f>INDEX('Fuel Model - Calculation'!$B$2:$M$3771,(MATCH(($E145&amp;"ResultsCost of "&amp;$F145&amp;"USD/ton"),'Fuel Model - Calculation'!$B$2:$B$3771,0)),MATCH(H$141,'Fuel Model - Calculation'!$B$2:$M$2,0))</f>
        <v>5366.3004137475109</v>
      </c>
      <c r="I145" s="118">
        <f>INDEX('Fuel Model - Calculation'!$B$2:$M$3771,(MATCH(($E145&amp;"ResultsCost of "&amp;$F145&amp;"USD/ton"),'Fuel Model - Calculation'!$B$2:$B$3771,0)),MATCH(I$141,'Fuel Model - Calculation'!$B$2:$M$2,0))</f>
        <v>4818.5180546101637</v>
      </c>
      <c r="J145" s="118">
        <f>INDEX('Fuel Model - Calculation'!$B$2:$M$3771,(MATCH(($E145&amp;"ResultsCost of "&amp;$F145&amp;"USD/ton"),'Fuel Model - Calculation'!$B$2:$B$3771,0)),MATCH(J$141,'Fuel Model - Calculation'!$B$2:$M$2,0))</f>
        <v>4158.5928464733624</v>
      </c>
      <c r="K145" s="118">
        <f>INDEX('Fuel Model - Calculation'!$B$2:$M$3771,(MATCH(($E145&amp;"ResultsCost of "&amp;$F145&amp;"USD/ton"),'Fuel Model - Calculation'!$B$2:$B$3771,0)),MATCH(K$141,'Fuel Model - Calculation'!$B$2:$M$2,0))</f>
        <v>3891.6383499345402</v>
      </c>
      <c r="L145" s="118">
        <f>INDEX('Fuel Model - Calculation'!$B$2:$M$3771,(MATCH(($E145&amp;"ResultsCost of "&amp;$F145&amp;"USD/ton"),'Fuel Model - Calculation'!$B$2:$B$3771,0)),MATCH(L$141,'Fuel Model - Calculation'!$B$2:$M$2,0))</f>
        <v>3502.2591105357869</v>
      </c>
      <c r="M145" s="118">
        <f>INDEX('Fuel Model - Calculation'!$B$2:$M$3771,(MATCH(($E145&amp;"ResultsCost of "&amp;$F145&amp;"USD/ton"),'Fuel Model - Calculation'!$B$2:$B$3771,0)),MATCH(M$141,'Fuel Model - Calculation'!$B$2:$M$2,0))</f>
        <v>3105.4549200245101</v>
      </c>
      <c r="N145" s="118">
        <f>INDEX('Fuel Model - Calculation'!$B$2:$M$3771,(MATCH(($E145&amp;"ResultsCost of "&amp;$F145&amp;"USD/ton"),'Fuel Model - Calculation'!$B$2:$B$3771,0)),MATCH(N$141,'Fuel Model - Calculation'!$B$2:$M$2,0))</f>
        <v>2715.9202657590577</v>
      </c>
      <c r="O145"/>
      <c r="P145" s="118">
        <f>IFERROR(INDEX('Fuel Model - Calculation'!G$2:G$3771,(MATCH(($E145&amp;"ResultsTotal RNE "&amp;$F145&amp;"USD/ton"),'Fuel Model - Calculation'!$B$2:$B$3771,0))),0)</f>
        <v>2462.8766764963152</v>
      </c>
      <c r="Q145" s="118">
        <f>IFERROR(INDEX('Fuel Model - Calculation'!H$2:H$3771,(MATCH(($E145&amp;"ResultsTotal RNE "&amp;$F145&amp;"USD/ton"),'Fuel Model - Calculation'!$B$2:$B$3771,0))),0)</f>
        <v>2213.8069519549967</v>
      </c>
      <c r="R145" s="118">
        <f>IFERROR(INDEX('Fuel Model - Calculation'!I$2:I$3771,(MATCH(($E145&amp;"ResultsTotal RNE "&amp;$F145&amp;"USD/ton"),'Fuel Model - Calculation'!$B$2:$B$3771,0))),0)</f>
        <v>1788.9780998497854</v>
      </c>
      <c r="S145" s="118">
        <f>IFERROR(INDEX('Fuel Model - Calculation'!J$2:J$3771,(MATCH(($E145&amp;"ResultsTotal RNE "&amp;$F145&amp;"USD/ton"),'Fuel Model - Calculation'!$B$2:$B$3771,0))),0)</f>
        <v>1547.8204631299977</v>
      </c>
      <c r="T145" s="118">
        <f>IFERROR(INDEX('Fuel Model - Calculation'!K$2:K$3771,(MATCH(($E145&amp;"ResultsTotal RNE "&amp;$F145&amp;"USD/ton"),'Fuel Model - Calculation'!$B$2:$B$3771,0))),0)</f>
        <v>1343.7634968047091</v>
      </c>
      <c r="U145" s="118">
        <f>IFERROR(INDEX('Fuel Model - Calculation'!L$2:L$3771,(MATCH(($E145&amp;"ResultsTotal RNE "&amp;$F145&amp;"USD/ton"),'Fuel Model - Calculation'!$B$2:$B$3771,0))),0)</f>
        <v>1217.7836390905495</v>
      </c>
      <c r="V145" s="118">
        <f>IFERROR(INDEX('Fuel Model - Calculation'!M$2:M$3771,(MATCH(($E145&amp;"ResultsTotal RNE "&amp;$F145&amp;"USD/ton"),'Fuel Model - Calculation'!$B$2:$B$3771,0))),0)</f>
        <v>1124.6382600090155</v>
      </c>
      <c r="W145"/>
      <c r="X145" s="2">
        <f>INDEX('Fuel Model - Calculation'!$E$2:$M$3771,(MATCH(("WTT Emission - "&amp;$F145),'Fuel Model - Calculation'!$E$2:$E$3771,0)),MATCH(X$141,'Fuel Model - Calculation'!$E$2:$M$2,0))</f>
        <v>0.29135003961027883</v>
      </c>
      <c r="Y145" s="2">
        <f>INDEX('Fuel Model - Calculation'!$E$2:$M$3771,(MATCH(("WTT Emission - "&amp;$F145),'Fuel Model - Calculation'!$E$2:$E$3771,0)),MATCH(Y$141,'Fuel Model - Calculation'!$E$2:$M$2,0))</f>
        <v>0.28997999999999996</v>
      </c>
      <c r="Z145" s="2">
        <f>INDEX('Fuel Model - Calculation'!$E$2:$M$3771,(MATCH(("WTT Emission - "&amp;$F145),'Fuel Model - Calculation'!$E$2:$E$3771,0)),MATCH(Z$141,'Fuel Model - Calculation'!$E$2:$M$2,0))</f>
        <v>0.28613027529683921</v>
      </c>
      <c r="AA145" s="2">
        <f>INDEX('Fuel Model - Calculation'!$E$2:$M$3771,(MATCH(("WTT Emission - "&amp;$F145),'Fuel Model - Calculation'!$E$2:$E$3771,0)),MATCH(AA$141,'Fuel Model - Calculation'!$E$2:$M$2,0))</f>
        <v>0.27590526085528511</v>
      </c>
      <c r="AB145" s="2">
        <f>INDEX('Fuel Model - Calculation'!$E$2:$M$3771,(MATCH(("WTT Emission - "&amp;$F145),'Fuel Model - Calculation'!$E$2:$E$3771,0)),MATCH(AB$141,'Fuel Model - Calculation'!$E$2:$M$2,0))</f>
        <v>0.26362599487969951</v>
      </c>
      <c r="AC145" s="2">
        <f>INDEX('Fuel Model - Calculation'!$E$2:$M$3771,(MATCH(("WTT Emission - "&amp;$F145),'Fuel Model - Calculation'!$E$2:$E$3771,0)),MATCH(AC$141,'Fuel Model - Calculation'!$E$2:$M$2,0))</f>
        <v>0.24727833589356388</v>
      </c>
      <c r="AD145" s="2">
        <f>INDEX('Fuel Model - Calculation'!$E$2:$M$3771,(MATCH(("WTT Emission - "&amp;$F145),'Fuel Model - Calculation'!$E$2:$E$3771,0)),MATCH(AD$141,'Fuel Model - Calculation'!$E$2:$M$2,0))</f>
        <v>0.23440049999999998</v>
      </c>
      <c r="AE145" s="2"/>
      <c r="AF145" s="2">
        <f>'Fuel Model -  Input'!H$47</f>
        <v>0</v>
      </c>
      <c r="AG145" s="2">
        <f>'Fuel Model -  Input'!I$47</f>
        <v>0</v>
      </c>
      <c r="AH145" s="2">
        <f>'Fuel Model -  Input'!J$47</f>
        <v>0</v>
      </c>
      <c r="AI145" s="2">
        <f>'Fuel Model -  Input'!K$47</f>
        <v>0</v>
      </c>
      <c r="AJ145" s="2">
        <f>'Fuel Model -  Input'!L$47</f>
        <v>0</v>
      </c>
      <c r="AK145" s="2">
        <f>'Fuel Model -  Input'!M$47</f>
        <v>0</v>
      </c>
      <c r="AL145" s="2">
        <f>'Fuel Model -  Input'!N$47</f>
        <v>0</v>
      </c>
      <c r="AM145"/>
      <c r="AN145" s="24">
        <f t="shared" si="163"/>
        <v>0.29135003961027883</v>
      </c>
      <c r="AO145" s="24">
        <f t="shared" si="163"/>
        <v>0.28997999999999996</v>
      </c>
      <c r="AP145" s="24">
        <f t="shared" si="163"/>
        <v>0.28613027529683921</v>
      </c>
      <c r="AQ145" s="24">
        <f t="shared" si="163"/>
        <v>0.27590526085528511</v>
      </c>
      <c r="AR145" s="24">
        <f t="shared" si="163"/>
        <v>0.26362599487969951</v>
      </c>
      <c r="AS145" s="24">
        <f t="shared" si="163"/>
        <v>0.24727833589356388</v>
      </c>
      <c r="AT145" s="24">
        <f t="shared" si="163"/>
        <v>0.23440049999999998</v>
      </c>
      <c r="AU145"/>
      <c r="AV145" s="118">
        <f>IFERROR(INDEX('Fuel Model - Calculation'!$B$2:$M$3771,(MATCH(($E145&amp;"Results"&amp;$AV$140&amp;$F145&amp;"USD/ton"),'Fuel Model - Calculation'!$B$2:$B$3771,0)),MATCH(H$141,'Fuel Model - Calculation'!$B$2:$M$2,0)),0)</f>
        <v>1834.563785027321</v>
      </c>
      <c r="AW145" s="118">
        <f>IFERROR(INDEX('Fuel Model - Calculation'!$B$2:$M$3771,(MATCH(($E145&amp;"Results"&amp;$AV$140&amp;$F145&amp;"USD/ton"),'Fuel Model - Calculation'!$B$2:$B$3771,0)),MATCH(I$141,'Fuel Model - Calculation'!$B$2:$M$2,0)),0)</f>
        <v>1699.417596820565</v>
      </c>
      <c r="AX145" s="118">
        <f>IFERROR(INDEX('Fuel Model - Calculation'!$B$2:$M$3771,(MATCH(($E145&amp;"Results"&amp;$AV$140&amp;$F145&amp;"USD/ton"),'Fuel Model - Calculation'!$B$2:$B$3771,0)),MATCH(J$141,'Fuel Model - Calculation'!$B$2:$M$2,0)),0)</f>
        <v>1612.073871597295</v>
      </c>
      <c r="AY145" s="118">
        <f>IFERROR(INDEX('Fuel Model - Calculation'!$B$2:$M$3771,(MATCH(($E145&amp;"Results"&amp;$AV$140&amp;$F145&amp;"USD/ton"),'Fuel Model - Calculation'!$B$2:$B$3771,0)),MATCH(K$141,'Fuel Model - Calculation'!$B$2:$M$2,0)),0)</f>
        <v>1644.6095826423298</v>
      </c>
      <c r="AZ145" s="118">
        <f>IFERROR(INDEX('Fuel Model - Calculation'!$B$2:$M$3771,(MATCH(($E145&amp;"Results"&amp;$AV$140&amp;$F145&amp;"USD/ton"),'Fuel Model - Calculation'!$B$2:$B$3771,0)),MATCH(L$141,'Fuel Model - Calculation'!$B$2:$M$2,0)),0)</f>
        <v>1593.1432424469763</v>
      </c>
      <c r="BA145" s="118">
        <f>IFERROR(INDEX('Fuel Model - Calculation'!$B$2:$M$3771,(MATCH(($E145&amp;"Results"&amp;$AV$140&amp;$F145&amp;"USD/ton"),'Fuel Model - Calculation'!$B$2:$B$3771,0)),MATCH(M$141,'Fuel Model - Calculation'!$B$2:$M$2,0)),0)</f>
        <v>1473.7525307231833</v>
      </c>
      <c r="BB145" s="118">
        <f>IFERROR(INDEX('Fuel Model - Calculation'!$B$2:$M$3771,(MATCH(($E145&amp;"Results"&amp;$AV$140&amp;$F145&amp;"USD/ton"),'Fuel Model - Calculation'!$B$2:$B$3771,0)),MATCH(N$141,'Fuel Model - Calculation'!$B$2:$M$2,0)),0)</f>
        <v>1310.3543040757654</v>
      </c>
      <c r="BC145"/>
      <c r="BD145" s="118">
        <f>IFERROR(INDEX('Fuel Model - Calculation'!$B$2:$M$3771,(MATCH(($E145&amp;"Results"&amp;$BD$140&amp;$F145&amp;"USD/ton"),'Fuel Model - Calculation'!$B$2:$B$3771,0)),MATCH(P$141,'Fuel Model - Calculation'!$B$2:$M$2,0)),0)</f>
        <v>1055.3599522238749</v>
      </c>
      <c r="BE145" s="118">
        <f>IFERROR(INDEX('Fuel Model - Calculation'!$B$2:$M$3771,(MATCH(($E145&amp;"Results"&amp;$BD$140&amp;$F145&amp;"USD/ton"),'Fuel Model - Calculation'!$B$2:$B$3771,0)),MATCH(Q$141,'Fuel Model - Calculation'!$B$2:$M$2,0)),0)</f>
        <v>891.79350583460177</v>
      </c>
      <c r="BF145" s="118">
        <f>IFERROR(INDEX('Fuel Model - Calculation'!$B$2:$M$3771,(MATCH(($E145&amp;"Results"&amp;$BD$140&amp;$F145&amp;"USD/ton"),'Fuel Model - Calculation'!$B$2:$B$3771,0)),MATCH(R$141,'Fuel Model - Calculation'!$B$2:$M$2,0)),0)</f>
        <v>744.04087502628227</v>
      </c>
      <c r="BG145" s="118">
        <f>IFERROR(INDEX('Fuel Model - Calculation'!$B$2:$M$3771,(MATCH(($E145&amp;"Results"&amp;$BD$140&amp;$F145&amp;"USD/ton"),'Fuel Model - Calculation'!$B$2:$B$3771,0)),MATCH(S$141,'Fuel Model - Calculation'!$B$2:$M$2,0)),0)</f>
        <v>685.70830416221315</v>
      </c>
      <c r="BH145" s="118">
        <f>IFERROR(INDEX('Fuel Model - Calculation'!$B$2:$M$3771,(MATCH(($E145&amp;"Results"&amp;$BD$140&amp;$F145&amp;"USD/ton"),'Fuel Model - Calculation'!$B$2:$B$3771,0)),MATCH(T$141,'Fuel Model - Calculation'!$B$2:$M$2,0)),0)</f>
        <v>551.85237128410154</v>
      </c>
      <c r="BI145" s="118">
        <f>IFERROR(INDEX('Fuel Model - Calculation'!$B$2:$M$3771,(MATCH(($E145&amp;"Results"&amp;$BD$140&amp;$F145&amp;"USD/ton"),'Fuel Model - Calculation'!$B$2:$B$3771,0)),MATCH(U$141,'Fuel Model - Calculation'!$B$2:$M$2,0)),0)</f>
        <v>400.41875021077772</v>
      </c>
      <c r="BJ145" s="118">
        <f>IFERROR(INDEX('Fuel Model - Calculation'!$B$2:$M$3771,(MATCH(($E145&amp;"Results"&amp;$BD$140&amp;$F145&amp;"USD/ton"),'Fuel Model - Calculation'!$B$2:$B$3771,0)),MATCH(V$141,'Fuel Model - Calculation'!$B$2:$M$2,0)),0)</f>
        <v>267.42770167427705</v>
      </c>
      <c r="BL145" s="118">
        <f>IFERROR(IFERROR(INDEX('Fuel Model - Calculation'!$B$2:$M$3771,(MATCH(($E145&amp;"Results"&amp;$BL$140&amp;$F145&amp;"USD/ton"),'Fuel Model - Calculation'!$B$2:$B$3771,0)),MATCH(H$141,'Fuel Model - Calculation'!$B$2:$M$2,0)),0),0)</f>
        <v>0</v>
      </c>
      <c r="BM145" s="118">
        <f>IFERROR(IFERROR(INDEX('Fuel Model - Calculation'!$B$2:$M$3771,(MATCH(($E145&amp;"Results"&amp;$BL$140&amp;$F145&amp;"USD/ton"),'Fuel Model - Calculation'!$B$2:$B$3771,0)),MATCH(I$141,'Fuel Model - Calculation'!$B$2:$M$2,0)),0),0)</f>
        <v>0</v>
      </c>
      <c r="BN145" s="118">
        <f>IFERROR(IFERROR(INDEX('Fuel Model - Calculation'!$B$2:$M$3771,(MATCH(($E145&amp;"Results"&amp;$BL$140&amp;$F145&amp;"USD/ton"),'Fuel Model - Calculation'!$B$2:$B$3771,0)),MATCH(J$141,'Fuel Model - Calculation'!$B$2:$M$2,0)),0),0)</f>
        <v>0</v>
      </c>
      <c r="BO145" s="118">
        <f>IFERROR(IFERROR(INDEX('Fuel Model - Calculation'!$B$2:$M$3771,(MATCH(($E145&amp;"Results"&amp;$BL$140&amp;$F145&amp;"USD/ton"),'Fuel Model - Calculation'!$B$2:$B$3771,0)),MATCH(K$141,'Fuel Model - Calculation'!$B$2:$M$2,0)),0),0)</f>
        <v>0</v>
      </c>
      <c r="BP145" s="118">
        <f>IFERROR(IFERROR(INDEX('Fuel Model - Calculation'!$B$2:$M$3771,(MATCH(($E145&amp;"Results"&amp;$BL$140&amp;$F145&amp;"USD/ton"),'Fuel Model - Calculation'!$B$2:$B$3771,0)),MATCH(L$141,'Fuel Model - Calculation'!$B$2:$M$2,0)),0),0)</f>
        <v>0</v>
      </c>
      <c r="BQ145" s="118">
        <f>IFERROR(IFERROR(INDEX('Fuel Model - Calculation'!$B$2:$M$3771,(MATCH(($E145&amp;"Results"&amp;$BL$140&amp;$F145&amp;"USD/ton"),'Fuel Model - Calculation'!$B$2:$B$3771,0)),MATCH(M$141,'Fuel Model - Calculation'!$B$2:$M$2,0)),0),0)</f>
        <v>0</v>
      </c>
      <c r="BR145" s="118">
        <f>IFERROR(IFERROR(INDEX('Fuel Model - Calculation'!$B$2:$M$3771,(MATCH(($E145&amp;"Results"&amp;$BL$140&amp;$F145&amp;"USD/ton"),'Fuel Model - Calculation'!$B$2:$B$3771,0)),MATCH(N$141,'Fuel Model - Calculation'!$B$2:$M$2,0)),0),0)</f>
        <v>0</v>
      </c>
      <c r="BT145" s="118">
        <f>IFERROR(INDEX('Fuel Model - Calculation'!$B$2:$M$3771,(MATCH(($E145&amp;"Results"&amp;$BT$140&amp;$F145&amp;"USD/ton"),'Fuel Model - Calculation'!$B$2:$B$3771,0)),MATCH(H$141,'Fuel Model - Calculation'!$B$2:$M$2,0)),0)</f>
        <v>0</v>
      </c>
      <c r="BU145" s="118">
        <f>IFERROR(INDEX('Fuel Model - Calculation'!$B$2:$M$3771,(MATCH(($E145&amp;"Results"&amp;$BT$140&amp;$F145&amp;"USD/ton"),'Fuel Model - Calculation'!$B$2:$B$3771,0)),MATCH(I$141,'Fuel Model - Calculation'!$B$2:$M$2,0)),0)</f>
        <v>0</v>
      </c>
      <c r="BV145" s="118">
        <f>IFERROR(INDEX('Fuel Model - Calculation'!$B$2:$M$3771,(MATCH(($E145&amp;"Results"&amp;$BT$140&amp;$F145&amp;"USD/ton"),'Fuel Model - Calculation'!$B$2:$B$3771,0)),MATCH(J$141,'Fuel Model - Calculation'!$B$2:$M$2,0)),0)</f>
        <v>0</v>
      </c>
      <c r="BW145" s="118">
        <f>IFERROR(INDEX('Fuel Model - Calculation'!$B$2:$M$3771,(MATCH(($E145&amp;"Results"&amp;$BT$140&amp;$F145&amp;"USD/ton"),'Fuel Model - Calculation'!$B$2:$B$3771,0)),MATCH(K$141,'Fuel Model - Calculation'!$B$2:$M$2,0)),0)</f>
        <v>0</v>
      </c>
      <c r="BX145" s="118">
        <f>IFERROR(INDEX('Fuel Model - Calculation'!$B$2:$M$3771,(MATCH(($E145&amp;"Results"&amp;$BT$140&amp;$F145&amp;"USD/ton"),'Fuel Model - Calculation'!$B$2:$B$3771,0)),MATCH(L$141,'Fuel Model - Calculation'!$B$2:$M$2,0)),0)</f>
        <v>0</v>
      </c>
      <c r="BY145" s="118">
        <f>IFERROR(INDEX('Fuel Model - Calculation'!$B$2:$M$3771,(MATCH(($E145&amp;"Results"&amp;$BT$140&amp;$F145&amp;"USD/ton"),'Fuel Model - Calculation'!$B$2:$B$3771,0)),MATCH(M$141,'Fuel Model - Calculation'!$B$2:$M$2,0)),0)</f>
        <v>0</v>
      </c>
      <c r="BZ145" s="118">
        <f>IFERROR(INDEX('Fuel Model - Calculation'!$B$2:$M$3771,(MATCH(($E145&amp;"Results"&amp;$BT$140&amp;$F145&amp;"USD/ton"),'Fuel Model - Calculation'!$B$2:$B$3771,0)),MATCH(N$141,'Fuel Model - Calculation'!$B$2:$M$2,0)),0)</f>
        <v>0</v>
      </c>
    </row>
    <row r="146" spans="1:78" x14ac:dyDescent="0.2">
      <c r="A146" s="452"/>
      <c r="B146" s="453" t="str">
        <f>_xlfn.TEXTJOIN(keydelim,TRUE,F146,IF(E146="Africa","Africa&amp;other",E146),"Fuel cost",SUBSTITUTE($G146," ",""))</f>
        <v>e-Hydrogen (liquid) - Africa&amp;other - Fuel cost - USD/ton</v>
      </c>
      <c r="D146" s="459" t="str">
        <f t="shared" si="164"/>
        <v>Africae-Hydrogen (liquid)</v>
      </c>
      <c r="E146" t="s">
        <v>200</v>
      </c>
      <c r="F146" s="460" t="s">
        <v>585</v>
      </c>
      <c r="G146" t="str">
        <f>G145</f>
        <v>USD/ ton</v>
      </c>
      <c r="H146" s="118">
        <f>INDEX('Fuel Model - Calculation'!$B$2:$M$3771,(MATCH(($E146&amp;"ResultsCost of "&amp;$F146&amp;"USD/ton"),'Fuel Model - Calculation'!$B$2:$B$3771,0)),MATCH(H$141,'Fuel Model - Calculation'!$B$2:$M$2,0))</f>
        <v>7894.0588976861527</v>
      </c>
      <c r="I146" s="118">
        <f>INDEX('Fuel Model - Calculation'!$B$2:$M$3771,(MATCH(($E146&amp;"ResultsCost of "&amp;$F146&amp;"USD/ton"),'Fuel Model - Calculation'!$B$2:$B$3771,0)),MATCH(I$141,'Fuel Model - Calculation'!$B$2:$M$2,0))</f>
        <v>5417.1147537077486</v>
      </c>
      <c r="J146" s="118">
        <f>INDEX('Fuel Model - Calculation'!$B$2:$M$3771,(MATCH(($E146&amp;"ResultsCost of "&amp;$F146&amp;"USD/ton"),'Fuel Model - Calculation'!$B$2:$B$3771,0)),MATCH(J$141,'Fuel Model - Calculation'!$B$2:$M$2,0))</f>
        <v>4555.2402325822304</v>
      </c>
      <c r="K146" s="118">
        <f>INDEX('Fuel Model - Calculation'!$B$2:$M$3771,(MATCH(($E146&amp;"ResultsCost of "&amp;$F146&amp;"USD/ton"),'Fuel Model - Calculation'!$B$2:$B$3771,0)),MATCH(K$141,'Fuel Model - Calculation'!$B$2:$M$2,0))</f>
        <v>4140.739087491188</v>
      </c>
      <c r="L146" s="118">
        <f>INDEX('Fuel Model - Calculation'!$B$2:$M$3771,(MATCH(($E146&amp;"ResultsCost of "&amp;$F146&amp;"USD/ton"),'Fuel Model - Calculation'!$B$2:$B$3771,0)),MATCH(L$141,'Fuel Model - Calculation'!$B$2:$M$2,0))</f>
        <v>3741.5687396064941</v>
      </c>
      <c r="M146" s="118">
        <f>INDEX('Fuel Model - Calculation'!$B$2:$M$3771,(MATCH(($E146&amp;"ResultsCost of "&amp;$F146&amp;"USD/ton"),'Fuel Model - Calculation'!$B$2:$B$3771,0)),MATCH(M$141,'Fuel Model - Calculation'!$B$2:$M$2,0))</f>
        <v>3245.7141271355858</v>
      </c>
      <c r="N146" s="118">
        <f>INDEX('Fuel Model - Calculation'!$B$2:$M$3771,(MATCH(($E146&amp;"ResultsCost of "&amp;$F146&amp;"USD/ton"),'Fuel Model - Calculation'!$B$2:$B$3771,0)),MATCH(N$141,'Fuel Model - Calculation'!$B$2:$M$2,0))</f>
        <v>2823.4512021695173</v>
      </c>
      <c r="O146"/>
      <c r="P146" s="118">
        <f>IFERROR(INDEX('Fuel Model - Calculation'!G$2:G$3771,(MATCH(($E146&amp;"ResultsTotal RNE "&amp;$F146&amp;"USD/ton"),'Fuel Model - Calculation'!$B$2:$B$3771,0))),0)</f>
        <v>4990.6351604349566</v>
      </c>
      <c r="Q146" s="118">
        <f>IFERROR(INDEX('Fuel Model - Calculation'!H$2:H$3771,(MATCH(($E146&amp;"ResultsTotal RNE "&amp;$F146&amp;"USD/ton"),'Fuel Model - Calculation'!$B$2:$B$3771,0))),0)</f>
        <v>2812.4036510525812</v>
      </c>
      <c r="R146" s="118">
        <f>IFERROR(INDEX('Fuel Model - Calculation'!I$2:I$3771,(MATCH(($E146&amp;"ResultsTotal RNE "&amp;$F146&amp;"USD/ton"),'Fuel Model - Calculation'!$B$2:$B$3771,0))),0)</f>
        <v>2185.6254859586534</v>
      </c>
      <c r="S146" s="118">
        <f>IFERROR(INDEX('Fuel Model - Calculation'!J$2:J$3771,(MATCH(($E146&amp;"ResultsTotal RNE "&amp;$F146&amp;"USD/ton"),'Fuel Model - Calculation'!$B$2:$B$3771,0))),0)</f>
        <v>1796.9212006866455</v>
      </c>
      <c r="T146" s="118">
        <f>IFERROR(INDEX('Fuel Model - Calculation'!K$2:K$3771,(MATCH(($E146&amp;"ResultsTotal RNE "&amp;$F146&amp;"USD/ton"),'Fuel Model - Calculation'!$B$2:$B$3771,0))),0)</f>
        <v>1583.0731258754158</v>
      </c>
      <c r="U146" s="118">
        <f>IFERROR(INDEX('Fuel Model - Calculation'!L$2:L$3771,(MATCH(($E146&amp;"ResultsTotal RNE "&amp;$F146&amp;"USD/ton"),'Fuel Model - Calculation'!$B$2:$B$3771,0))),0)</f>
        <v>1358.0428462016248</v>
      </c>
      <c r="V146" s="118">
        <f>IFERROR(INDEX('Fuel Model - Calculation'!M$2:M$3771,(MATCH(($E146&amp;"ResultsTotal RNE "&amp;$F146&amp;"USD/ton"),'Fuel Model - Calculation'!$B$2:$B$3771,0))),0)</f>
        <v>1232.1691964194752</v>
      </c>
      <c r="W146"/>
      <c r="X146" s="2">
        <f>INDEX('Fuel Model - Calculation'!$E$2:$M$3771,(MATCH(("WTT Emission - "&amp;$F146),'Fuel Model - Calculation'!$E$2:$E$3771,0)),MATCH(X$141,'Fuel Model - Calculation'!$E$2:$M$2,0))</f>
        <v>0.29135003961027883</v>
      </c>
      <c r="Y146" s="2">
        <f>INDEX('Fuel Model - Calculation'!$E$2:$M$3771,(MATCH(("WTT Emission - "&amp;$F146),'Fuel Model - Calculation'!$E$2:$E$3771,0)),MATCH(Y$141,'Fuel Model - Calculation'!$E$2:$M$2,0))</f>
        <v>0.28997999999999996</v>
      </c>
      <c r="Z146" s="2">
        <f>INDEX('Fuel Model - Calculation'!$E$2:$M$3771,(MATCH(("WTT Emission - "&amp;$F146),'Fuel Model - Calculation'!$E$2:$E$3771,0)),MATCH(Z$141,'Fuel Model - Calculation'!$E$2:$M$2,0))</f>
        <v>0.28613027529683921</v>
      </c>
      <c r="AA146" s="2">
        <f>INDEX('Fuel Model - Calculation'!$E$2:$M$3771,(MATCH(("WTT Emission - "&amp;$F146),'Fuel Model - Calculation'!$E$2:$E$3771,0)),MATCH(AA$141,'Fuel Model - Calculation'!$E$2:$M$2,0))</f>
        <v>0.27590526085528511</v>
      </c>
      <c r="AB146" s="2">
        <f>INDEX('Fuel Model - Calculation'!$E$2:$M$3771,(MATCH(("WTT Emission - "&amp;$F146),'Fuel Model - Calculation'!$E$2:$E$3771,0)),MATCH(AB$141,'Fuel Model - Calculation'!$E$2:$M$2,0))</f>
        <v>0.26362599487969951</v>
      </c>
      <c r="AC146" s="2">
        <f>INDEX('Fuel Model - Calculation'!$E$2:$M$3771,(MATCH(("WTT Emission - "&amp;$F146),'Fuel Model - Calculation'!$E$2:$E$3771,0)),MATCH(AC$141,'Fuel Model - Calculation'!$E$2:$M$2,0))</f>
        <v>0.24727833589356388</v>
      </c>
      <c r="AD146" s="2">
        <f>INDEX('Fuel Model - Calculation'!$E$2:$M$3771,(MATCH(("WTT Emission - "&amp;$F146),'Fuel Model - Calculation'!$E$2:$E$3771,0)),MATCH(AD$141,'Fuel Model - Calculation'!$E$2:$M$2,0))</f>
        <v>0.23440049999999998</v>
      </c>
      <c r="AE146" s="2"/>
      <c r="AF146" s="2">
        <f>'Fuel Model -  Input'!H$47</f>
        <v>0</v>
      </c>
      <c r="AG146" s="2">
        <f>'Fuel Model -  Input'!I$47</f>
        <v>0</v>
      </c>
      <c r="AH146" s="2">
        <f>'Fuel Model -  Input'!J$47</f>
        <v>0</v>
      </c>
      <c r="AI146" s="2">
        <f>'Fuel Model -  Input'!K$47</f>
        <v>0</v>
      </c>
      <c r="AJ146" s="2">
        <f>'Fuel Model -  Input'!L$47</f>
        <v>0</v>
      </c>
      <c r="AK146" s="2">
        <f>'Fuel Model -  Input'!M$47</f>
        <v>0</v>
      </c>
      <c r="AL146" s="2">
        <f>'Fuel Model -  Input'!N$47</f>
        <v>0</v>
      </c>
      <c r="AM146"/>
      <c r="AN146" s="24">
        <f t="shared" si="163"/>
        <v>0.29135003961027883</v>
      </c>
      <c r="AO146" s="24">
        <f t="shared" si="163"/>
        <v>0.28997999999999996</v>
      </c>
      <c r="AP146" s="24">
        <f t="shared" si="163"/>
        <v>0.28613027529683921</v>
      </c>
      <c r="AQ146" s="24">
        <f t="shared" si="163"/>
        <v>0.27590526085528511</v>
      </c>
      <c r="AR146" s="24">
        <f t="shared" si="163"/>
        <v>0.26362599487969951</v>
      </c>
      <c r="AS146" s="24">
        <f t="shared" si="163"/>
        <v>0.24727833589356388</v>
      </c>
      <c r="AT146" s="24">
        <f t="shared" si="163"/>
        <v>0.23440049999999998</v>
      </c>
      <c r="AU146"/>
      <c r="AV146" s="118">
        <f>IFERROR(INDEX('Fuel Model - Calculation'!$B$2:$M$3771,(MATCH(($E146&amp;"Results"&amp;$AV$140&amp;$F146&amp;"USD/ton"),'Fuel Model - Calculation'!$B$2:$B$3771,0)),MATCH(H$141,'Fuel Model - Calculation'!$B$2:$M$2,0)),0)</f>
        <v>1834.563785027321</v>
      </c>
      <c r="AW146" s="118">
        <f>IFERROR(INDEX('Fuel Model - Calculation'!$B$2:$M$3771,(MATCH(($E146&amp;"Results"&amp;$AV$140&amp;$F146&amp;"USD/ton"),'Fuel Model - Calculation'!$B$2:$B$3771,0)),MATCH(I$141,'Fuel Model - Calculation'!$B$2:$M$2,0)),0)</f>
        <v>1699.417596820565</v>
      </c>
      <c r="AX146" s="118">
        <f>IFERROR(INDEX('Fuel Model - Calculation'!$B$2:$M$3771,(MATCH(($E146&amp;"Results"&amp;$AV$140&amp;$F146&amp;"USD/ton"),'Fuel Model - Calculation'!$B$2:$B$3771,0)),MATCH(J$141,'Fuel Model - Calculation'!$B$2:$M$2,0)),0)</f>
        <v>1612.073871597295</v>
      </c>
      <c r="AY146" s="118">
        <f>IFERROR(INDEX('Fuel Model - Calculation'!$B$2:$M$3771,(MATCH(($E146&amp;"Results"&amp;$AV$140&amp;$F146&amp;"USD/ton"),'Fuel Model - Calculation'!$B$2:$B$3771,0)),MATCH(K$141,'Fuel Model - Calculation'!$B$2:$M$2,0)),0)</f>
        <v>1644.6095826423298</v>
      </c>
      <c r="AZ146" s="118">
        <f>IFERROR(INDEX('Fuel Model - Calculation'!$B$2:$M$3771,(MATCH(($E146&amp;"Results"&amp;$AV$140&amp;$F146&amp;"USD/ton"),'Fuel Model - Calculation'!$B$2:$B$3771,0)),MATCH(L$141,'Fuel Model - Calculation'!$B$2:$M$2,0)),0)</f>
        <v>1593.1432424469763</v>
      </c>
      <c r="BA146" s="118">
        <f>IFERROR(INDEX('Fuel Model - Calculation'!$B$2:$M$3771,(MATCH(($E146&amp;"Results"&amp;$AV$140&amp;$F146&amp;"USD/ton"),'Fuel Model - Calculation'!$B$2:$B$3771,0)),MATCH(M$141,'Fuel Model - Calculation'!$B$2:$M$2,0)),0)</f>
        <v>1473.7525307231833</v>
      </c>
      <c r="BB146" s="118">
        <f>IFERROR(INDEX('Fuel Model - Calculation'!$B$2:$M$3771,(MATCH(($E146&amp;"Results"&amp;$AV$140&amp;$F146&amp;"USD/ton"),'Fuel Model - Calculation'!$B$2:$B$3771,0)),MATCH(N$141,'Fuel Model - Calculation'!$B$2:$M$2,0)),0)</f>
        <v>1310.3543040757654</v>
      </c>
      <c r="BC146"/>
      <c r="BD146" s="118">
        <f>IFERROR(INDEX('Fuel Model - Calculation'!$B$2:$M$3771,(MATCH(($E146&amp;"Results"&amp;$BD$140&amp;$F146&amp;"USD/ton"),'Fuel Model - Calculation'!$B$2:$B$3771,0)),MATCH(P$141,'Fuel Model - Calculation'!$B$2:$M$2,0)),0)</f>
        <v>1055.3599522238749</v>
      </c>
      <c r="BE146" s="118">
        <f>IFERROR(INDEX('Fuel Model - Calculation'!$B$2:$M$3771,(MATCH(($E146&amp;"Results"&amp;$BD$140&amp;$F146&amp;"USD/ton"),'Fuel Model - Calculation'!$B$2:$B$3771,0)),MATCH(Q$141,'Fuel Model - Calculation'!$B$2:$M$2,0)),0)</f>
        <v>891.79350583460177</v>
      </c>
      <c r="BF146" s="118">
        <f>IFERROR(INDEX('Fuel Model - Calculation'!$B$2:$M$3771,(MATCH(($E146&amp;"Results"&amp;$BD$140&amp;$F146&amp;"USD/ton"),'Fuel Model - Calculation'!$B$2:$B$3771,0)),MATCH(R$141,'Fuel Model - Calculation'!$B$2:$M$2,0)),0)</f>
        <v>744.04087502628227</v>
      </c>
      <c r="BG146" s="118">
        <f>IFERROR(INDEX('Fuel Model - Calculation'!$B$2:$M$3771,(MATCH(($E146&amp;"Results"&amp;$BD$140&amp;$F146&amp;"USD/ton"),'Fuel Model - Calculation'!$B$2:$B$3771,0)),MATCH(S$141,'Fuel Model - Calculation'!$B$2:$M$2,0)),0)</f>
        <v>685.70830416221315</v>
      </c>
      <c r="BH146" s="118">
        <f>IFERROR(INDEX('Fuel Model - Calculation'!$B$2:$M$3771,(MATCH(($E146&amp;"Results"&amp;$BD$140&amp;$F146&amp;"USD/ton"),'Fuel Model - Calculation'!$B$2:$B$3771,0)),MATCH(T$141,'Fuel Model - Calculation'!$B$2:$M$2,0)),0)</f>
        <v>551.85237128410154</v>
      </c>
      <c r="BI146" s="118">
        <f>IFERROR(INDEX('Fuel Model - Calculation'!$B$2:$M$3771,(MATCH(($E146&amp;"Results"&amp;$BD$140&amp;$F146&amp;"USD/ton"),'Fuel Model - Calculation'!$B$2:$B$3771,0)),MATCH(U$141,'Fuel Model - Calculation'!$B$2:$M$2,0)),0)</f>
        <v>400.41875021077772</v>
      </c>
      <c r="BJ146" s="118">
        <f>IFERROR(INDEX('Fuel Model - Calculation'!$B$2:$M$3771,(MATCH(($E146&amp;"Results"&amp;$BD$140&amp;$F146&amp;"USD/ton"),'Fuel Model - Calculation'!$B$2:$B$3771,0)),MATCH(V$141,'Fuel Model - Calculation'!$B$2:$M$2,0)),0)</f>
        <v>267.42770167427705</v>
      </c>
      <c r="BL146" s="118">
        <f>IFERROR(IFERROR(INDEX('Fuel Model - Calculation'!$B$2:$M$3771,(MATCH(($E146&amp;"Results"&amp;$BL$140&amp;$F146&amp;"USD/ton"),'Fuel Model - Calculation'!$B$2:$B$3771,0)),MATCH(H$141,'Fuel Model - Calculation'!$B$2:$M$2,0)),0),0)</f>
        <v>0</v>
      </c>
      <c r="BM146" s="118">
        <f>IFERROR(IFERROR(INDEX('Fuel Model - Calculation'!$B$2:$M$3771,(MATCH(($E146&amp;"Results"&amp;$BL$140&amp;$F146&amp;"USD/ton"),'Fuel Model - Calculation'!$B$2:$B$3771,0)),MATCH(I$141,'Fuel Model - Calculation'!$B$2:$M$2,0)),0),0)</f>
        <v>0</v>
      </c>
      <c r="BN146" s="118">
        <f>IFERROR(IFERROR(INDEX('Fuel Model - Calculation'!$B$2:$M$3771,(MATCH(($E146&amp;"Results"&amp;$BL$140&amp;$F146&amp;"USD/ton"),'Fuel Model - Calculation'!$B$2:$B$3771,0)),MATCH(J$141,'Fuel Model - Calculation'!$B$2:$M$2,0)),0),0)</f>
        <v>0</v>
      </c>
      <c r="BO146" s="118">
        <f>IFERROR(IFERROR(INDEX('Fuel Model - Calculation'!$B$2:$M$3771,(MATCH(($E146&amp;"Results"&amp;$BL$140&amp;$F146&amp;"USD/ton"),'Fuel Model - Calculation'!$B$2:$B$3771,0)),MATCH(K$141,'Fuel Model - Calculation'!$B$2:$M$2,0)),0),0)</f>
        <v>0</v>
      </c>
      <c r="BP146" s="118">
        <f>IFERROR(IFERROR(INDEX('Fuel Model - Calculation'!$B$2:$M$3771,(MATCH(($E146&amp;"Results"&amp;$BL$140&amp;$F146&amp;"USD/ton"),'Fuel Model - Calculation'!$B$2:$B$3771,0)),MATCH(L$141,'Fuel Model - Calculation'!$B$2:$M$2,0)),0),0)</f>
        <v>0</v>
      </c>
      <c r="BQ146" s="118">
        <f>IFERROR(IFERROR(INDEX('Fuel Model - Calculation'!$B$2:$M$3771,(MATCH(($E146&amp;"Results"&amp;$BL$140&amp;$F146&amp;"USD/ton"),'Fuel Model - Calculation'!$B$2:$B$3771,0)),MATCH(M$141,'Fuel Model - Calculation'!$B$2:$M$2,0)),0),0)</f>
        <v>0</v>
      </c>
      <c r="BR146" s="118">
        <f>IFERROR(IFERROR(INDEX('Fuel Model - Calculation'!$B$2:$M$3771,(MATCH(($E146&amp;"Results"&amp;$BL$140&amp;$F146&amp;"USD/ton"),'Fuel Model - Calculation'!$B$2:$B$3771,0)),MATCH(N$141,'Fuel Model - Calculation'!$B$2:$M$2,0)),0),0)</f>
        <v>0</v>
      </c>
      <c r="BT146" s="118">
        <f>IFERROR(INDEX('Fuel Model - Calculation'!$B$2:$M$3771,(MATCH(($E146&amp;"Results"&amp;$BT$140&amp;$F146&amp;"USD/ton"),'Fuel Model - Calculation'!$B$2:$B$3771,0)),MATCH(H$141,'Fuel Model - Calculation'!$B$2:$M$2,0)),0)</f>
        <v>0</v>
      </c>
      <c r="BU146" s="118">
        <f>IFERROR(INDEX('Fuel Model - Calculation'!$B$2:$M$3771,(MATCH(($E146&amp;"Results"&amp;$BT$140&amp;$F146&amp;"USD/ton"),'Fuel Model - Calculation'!$B$2:$B$3771,0)),MATCH(I$141,'Fuel Model - Calculation'!$B$2:$M$2,0)),0)</f>
        <v>0</v>
      </c>
      <c r="BV146" s="118">
        <f>IFERROR(INDEX('Fuel Model - Calculation'!$B$2:$M$3771,(MATCH(($E146&amp;"Results"&amp;$BT$140&amp;$F146&amp;"USD/ton"),'Fuel Model - Calculation'!$B$2:$B$3771,0)),MATCH(J$141,'Fuel Model - Calculation'!$B$2:$M$2,0)),0)</f>
        <v>0</v>
      </c>
      <c r="BW146" s="118">
        <f>IFERROR(INDEX('Fuel Model - Calculation'!$B$2:$M$3771,(MATCH(($E146&amp;"Results"&amp;$BT$140&amp;$F146&amp;"USD/ton"),'Fuel Model - Calculation'!$B$2:$B$3771,0)),MATCH(K$141,'Fuel Model - Calculation'!$B$2:$M$2,0)),0)</f>
        <v>0</v>
      </c>
      <c r="BX146" s="118">
        <f>IFERROR(INDEX('Fuel Model - Calculation'!$B$2:$M$3771,(MATCH(($E146&amp;"Results"&amp;$BT$140&amp;$F146&amp;"USD/ton"),'Fuel Model - Calculation'!$B$2:$B$3771,0)),MATCH(L$141,'Fuel Model - Calculation'!$B$2:$M$2,0)),0)</f>
        <v>0</v>
      </c>
      <c r="BY146" s="118">
        <f>IFERROR(INDEX('Fuel Model - Calculation'!$B$2:$M$3771,(MATCH(($E146&amp;"Results"&amp;$BT$140&amp;$F146&amp;"USD/ton"),'Fuel Model - Calculation'!$B$2:$B$3771,0)),MATCH(M$141,'Fuel Model - Calculation'!$B$2:$M$2,0)),0)</f>
        <v>0</v>
      </c>
      <c r="BZ146" s="118">
        <f>IFERROR(INDEX('Fuel Model - Calculation'!$B$2:$M$3771,(MATCH(($E146&amp;"Results"&amp;$BT$140&amp;$F146&amp;"USD/ton"),'Fuel Model - Calculation'!$B$2:$B$3771,0)),MATCH(N$141,'Fuel Model - Calculation'!$B$2:$M$2,0)),0)</f>
        <v>0</v>
      </c>
    </row>
    <row r="147" spans="1:78" x14ac:dyDescent="0.2">
      <c r="A147" s="452"/>
      <c r="B147" s="453"/>
      <c r="D147" s="459"/>
      <c r="E147"/>
      <c r="F147" s="460"/>
      <c r="G147"/>
      <c r="H147" s="118"/>
      <c r="I147"/>
      <c r="J147"/>
      <c r="K147"/>
      <c r="L147"/>
      <c r="M147"/>
      <c r="N147"/>
      <c r="O147"/>
      <c r="P147"/>
      <c r="Q147"/>
      <c r="R147"/>
      <c r="S147"/>
      <c r="T147"/>
      <c r="U147"/>
      <c r="V147"/>
      <c r="W147"/>
      <c r="X147"/>
      <c r="Y147"/>
      <c r="Z147"/>
      <c r="AA147"/>
      <c r="AB147"/>
      <c r="AC147"/>
      <c r="AD147"/>
      <c r="AE147"/>
      <c r="AF147" s="2"/>
      <c r="AG147" s="2"/>
      <c r="AH147" s="2"/>
      <c r="AI147" s="2"/>
      <c r="AJ147" s="2"/>
      <c r="AK147" s="2"/>
      <c r="AL147" s="2"/>
      <c r="AM147"/>
      <c r="AN147" s="24"/>
      <c r="AO147" s="24"/>
      <c r="AP147" s="24"/>
      <c r="AQ147" s="24"/>
      <c r="AR147" s="24"/>
      <c r="AS147" s="24"/>
      <c r="AT147" s="24"/>
      <c r="AU147"/>
      <c r="AV147" s="118"/>
      <c r="AW147" s="118"/>
      <c r="AX147" s="118"/>
      <c r="AY147" s="118"/>
      <c r="AZ147" s="118"/>
      <c r="BA147" s="118"/>
      <c r="BB147" s="118"/>
      <c r="BC147"/>
      <c r="BD147" s="118"/>
      <c r="BE147" s="118"/>
      <c r="BF147" s="118"/>
      <c r="BG147" s="118"/>
      <c r="BH147" s="118"/>
      <c r="BI147" s="118"/>
      <c r="BJ147" s="118"/>
      <c r="BL147" s="118"/>
      <c r="BM147" s="118"/>
      <c r="BN147" s="118"/>
      <c r="BO147" s="118"/>
      <c r="BP147" s="118"/>
      <c r="BQ147" s="118"/>
      <c r="BR147" s="118"/>
      <c r="BT147" s="118"/>
      <c r="BU147" s="118"/>
      <c r="BV147" s="118"/>
      <c r="BW147" s="118"/>
      <c r="BX147" s="118"/>
      <c r="BY147" s="118"/>
      <c r="BZ147" s="118"/>
    </row>
    <row r="148" spans="1:78" x14ac:dyDescent="0.2">
      <c r="A148" s="452"/>
      <c r="B148" s="453" t="str">
        <f>_xlfn.TEXTJOIN(keydelim,TRUE,F148,IF(E148="Africa","Africa&amp;other",E148),"Fuel cost",SUBSTITUTE($G148," ",""))</f>
        <v>e-Hydrogen (compressed) - Europe - Fuel cost - USD/ton</v>
      </c>
      <c r="D148" s="459" t="str">
        <f>E148&amp;F148</f>
        <v>Europee-Hydrogen (compressed)</v>
      </c>
      <c r="E148" t="s">
        <v>195</v>
      </c>
      <c r="F148" s="460" t="s">
        <v>584</v>
      </c>
      <c r="G148" t="s">
        <v>835</v>
      </c>
      <c r="H148" s="118">
        <f>INDEX('Fuel Model - Calculation'!$B$2:$M$3771,(MATCH(($E148&amp;"ResultsCost of "&amp;$F148&amp;"USD/ton"),'Fuel Model - Calculation'!$B$2:$B$3771,0)),MATCH(H$141,'Fuel Model - Calculation'!$B$2:$M$2,0))</f>
        <v>4765.5648462180416</v>
      </c>
      <c r="I148" s="118">
        <f>INDEX('Fuel Model - Calculation'!$B$2:$M$3771,(MATCH(($E148&amp;"ResultsCost of "&amp;$F148&amp;"USD/ton"),'Fuel Model - Calculation'!$B$2:$B$3771,0)),MATCH(I$141,'Fuel Model - Calculation'!$B$2:$M$2,0))</f>
        <v>3890.331927799999</v>
      </c>
      <c r="J148" s="118">
        <f>INDEX('Fuel Model - Calculation'!$B$2:$M$3771,(MATCH(($E148&amp;"ResultsCost of "&amp;$F148&amp;"USD/ton"),'Fuel Model - Calculation'!$B$2:$B$3771,0)),MATCH(J$141,'Fuel Model - Calculation'!$B$2:$M$2,0))</f>
        <v>3175.0223088438393</v>
      </c>
      <c r="K148" s="118">
        <f>INDEX('Fuel Model - Calculation'!$B$2:$M$3771,(MATCH(($E148&amp;"ResultsCost of "&amp;$F148&amp;"USD/ton"),'Fuel Model - Calculation'!$B$2:$B$3771,0)),MATCH(K$141,'Fuel Model - Calculation'!$B$2:$M$2,0))</f>
        <v>2901.4255379220949</v>
      </c>
      <c r="L148" s="118">
        <f>INDEX('Fuel Model - Calculation'!$B$2:$M$3771,(MATCH(($E148&amp;"ResultsCost of "&amp;$F148&amp;"USD/ton"),'Fuel Model - Calculation'!$B$2:$B$3771,0)),MATCH(L$141,'Fuel Model - Calculation'!$B$2:$M$2,0))</f>
        <v>2539.8105339536291</v>
      </c>
      <c r="M148" s="118">
        <f>INDEX('Fuel Model - Calculation'!$B$2:$M$3771,(MATCH(($E148&amp;"ResultsCost of "&amp;$F148&amp;"USD/ton"),'Fuel Model - Calculation'!$B$2:$B$3771,0)),MATCH(M$141,'Fuel Model - Calculation'!$B$2:$M$2,0))</f>
        <v>2074.2517112998839</v>
      </c>
      <c r="N148" s="118">
        <f>INDEX('Fuel Model - Calculation'!$B$2:$M$3771,(MATCH(($E148&amp;"ResultsCost of "&amp;$F148&amp;"USD/ton"),'Fuel Model - Calculation'!$B$2:$B$3771,0)),MATCH(N$141,'Fuel Model - Calculation'!$B$2:$M$2,0))</f>
        <v>1639.70741619263</v>
      </c>
      <c r="O148"/>
      <c r="P148" s="118">
        <f>IFERROR(INDEX('Fuel Model - Calculation'!G$2:G$3771,(MATCH(($E148&amp;"ResultsTotal RNE "&amp;$F148&amp;"USD/ton"),'Fuel Model - Calculation'!$B$2:$B$3771,0))),0)</f>
        <v>2962.1411089668454</v>
      </c>
      <c r="Q148" s="118">
        <f>IFERROR(INDEX('Fuel Model - Calculation'!H$2:H$3771,(MATCH(($E148&amp;"ResultsTotal RNE "&amp;$F148&amp;"USD/ton"),'Fuel Model - Calculation'!$B$2:$B$3771,0))),0)</f>
        <v>2385.6208251448329</v>
      </c>
      <c r="R148" s="118">
        <f>IFERROR(INDEX('Fuel Model - Calculation'!I$2:I$3771,(MATCH(($E148&amp;"ResultsTotal RNE "&amp;$F148&amp;"USD/ton"),'Fuel Model - Calculation'!$B$2:$B$3771,0))),0)</f>
        <v>1905.4075622202627</v>
      </c>
      <c r="S148" s="118">
        <f>IFERROR(INDEX('Fuel Model - Calculation'!J$2:J$3771,(MATCH(($E148&amp;"ResultsTotal RNE "&amp;$F148&amp;"USD/ton"),'Fuel Model - Calculation'!$B$2:$B$3771,0))),0)</f>
        <v>1657.6076511175525</v>
      </c>
      <c r="T148" s="118">
        <f>IFERROR(INDEX('Fuel Model - Calculation'!K$2:K$3771,(MATCH(($E148&amp;"ResultsTotal RNE "&amp;$F148&amp;"USD/ton"),'Fuel Model - Calculation'!$B$2:$B$3771,0))),0)</f>
        <v>1481.3149202225513</v>
      </c>
      <c r="U148" s="118">
        <f>IFERROR(INDEX('Fuel Model - Calculation'!L$2:L$3771,(MATCH(($E148&amp;"ResultsTotal RNE "&amp;$F148&amp;"USD/ton"),'Fuel Model - Calculation'!$B$2:$B$3771,0))),0)</f>
        <v>1286.5804303659231</v>
      </c>
      <c r="V148" s="118">
        <f>IFERROR(INDEX('Fuel Model - Calculation'!M$2:M$3771,(MATCH(($E148&amp;"ResultsTotal RNE "&amp;$F148&amp;"USD/ton"),'Fuel Model - Calculation'!$B$2:$B$3771,0))),0)</f>
        <v>1148.4254104425877</v>
      </c>
      <c r="W148"/>
      <c r="X148" s="2">
        <f>INDEX('Fuel Model - Calculation'!$E$2:$M$3771,(MATCH(("WTT Emission - "&amp;$F148),'Fuel Model - Calculation'!$E$2:$E$3771,0)),MATCH(X$141,'Fuel Model - Calculation'!$E$2:$M$2,0))</f>
        <v>0.29135003961027883</v>
      </c>
      <c r="Y148" s="2">
        <f>INDEX('Fuel Model - Calculation'!$E$2:$M$3771,(MATCH(("WTT Emission - "&amp;$F148),'Fuel Model - Calculation'!$E$2:$E$3771,0)),MATCH(Y$141,'Fuel Model - Calculation'!$E$2:$M$2,0))</f>
        <v>0.28997999999999996</v>
      </c>
      <c r="Z148" s="2">
        <f>INDEX('Fuel Model - Calculation'!$E$2:$M$3771,(MATCH(("WTT Emission - "&amp;$F148),'Fuel Model - Calculation'!$E$2:$E$3771,0)),MATCH(Z$141,'Fuel Model - Calculation'!$E$2:$M$2,0))</f>
        <v>0.28613027529683921</v>
      </c>
      <c r="AA148" s="2">
        <f>INDEX('Fuel Model - Calculation'!$E$2:$M$3771,(MATCH(("WTT Emission - "&amp;$F148),'Fuel Model - Calculation'!$E$2:$E$3771,0)),MATCH(AA$141,'Fuel Model - Calculation'!$E$2:$M$2,0))</f>
        <v>0.27590526085528511</v>
      </c>
      <c r="AB148" s="2">
        <f>INDEX('Fuel Model - Calculation'!$E$2:$M$3771,(MATCH(("WTT Emission - "&amp;$F148),'Fuel Model - Calculation'!$E$2:$E$3771,0)),MATCH(AB$141,'Fuel Model - Calculation'!$E$2:$M$2,0))</f>
        <v>0.26362599487969951</v>
      </c>
      <c r="AC148" s="2">
        <f>INDEX('Fuel Model - Calculation'!$E$2:$M$3771,(MATCH(("WTT Emission - "&amp;$F148),'Fuel Model - Calculation'!$E$2:$E$3771,0)),MATCH(AC$141,'Fuel Model - Calculation'!$E$2:$M$2,0))</f>
        <v>0.24727833589356388</v>
      </c>
      <c r="AD148" s="2">
        <f>INDEX('Fuel Model - Calculation'!$E$2:$M$3771,(MATCH(("WTT Emission - "&amp;$F148),'Fuel Model - Calculation'!$E$2:$E$3771,0)),MATCH(AD$141,'Fuel Model - Calculation'!$E$2:$M$2,0))</f>
        <v>0.23440049999999998</v>
      </c>
      <c r="AE148" s="2"/>
      <c r="AF148" s="2">
        <f>'Fuel Model -  Input'!H$47</f>
        <v>0</v>
      </c>
      <c r="AG148" s="2">
        <f>'Fuel Model -  Input'!I$47</f>
        <v>0</v>
      </c>
      <c r="AH148" s="2">
        <f>'Fuel Model -  Input'!J$47</f>
        <v>0</v>
      </c>
      <c r="AI148" s="2">
        <f>'Fuel Model -  Input'!K$47</f>
        <v>0</v>
      </c>
      <c r="AJ148" s="2">
        <f>'Fuel Model -  Input'!L$47</f>
        <v>0</v>
      </c>
      <c r="AK148" s="2">
        <f>'Fuel Model -  Input'!M$47</f>
        <v>0</v>
      </c>
      <c r="AL148" s="2">
        <f>'Fuel Model -  Input'!N$47</f>
        <v>0</v>
      </c>
      <c r="AM148"/>
      <c r="AN148" s="24">
        <f t="shared" ref="AN148:AT152" si="165">X148+AF148</f>
        <v>0.29135003961027883</v>
      </c>
      <c r="AO148" s="24">
        <f t="shared" si="165"/>
        <v>0.28997999999999996</v>
      </c>
      <c r="AP148" s="24">
        <f t="shared" si="165"/>
        <v>0.28613027529683921</v>
      </c>
      <c r="AQ148" s="24">
        <f t="shared" si="165"/>
        <v>0.27590526085528511</v>
      </c>
      <c r="AR148" s="24">
        <f t="shared" si="165"/>
        <v>0.26362599487969951</v>
      </c>
      <c r="AS148" s="24">
        <f t="shared" si="165"/>
        <v>0.24727833589356388</v>
      </c>
      <c r="AT148" s="24">
        <f t="shared" si="165"/>
        <v>0.23440049999999998</v>
      </c>
      <c r="AU148"/>
      <c r="AV148" s="118">
        <f>IFERROR(INDEX('Fuel Model - Calculation'!$B$2:$M$3771,(MATCH(($E148&amp;"Results"&amp;$AV$140&amp;$F148&amp;"USD/ton"),'Fuel Model - Calculation'!$B$2:$B$3771,0)),MATCH(H$141,'Fuel Model - Calculation'!$B$2:$M$2,0)),0)</f>
        <v>834.56378502732105</v>
      </c>
      <c r="AW148" s="118">
        <f>IFERROR(INDEX('Fuel Model - Calculation'!$B$2:$M$3771,(MATCH(($E148&amp;"Results"&amp;$AV$140&amp;$F148&amp;"USD/ton"),'Fuel Model - Calculation'!$B$2:$B$3771,0)),MATCH(I$141,'Fuel Model - Calculation'!$B$2:$M$2,0)),0)</f>
        <v>699.417596820565</v>
      </c>
      <c r="AX148" s="118">
        <f>IFERROR(INDEX('Fuel Model - Calculation'!$B$2:$M$3771,(MATCH(($E148&amp;"Results"&amp;$AV$140&amp;$F148&amp;"USD/ton"),'Fuel Model - Calculation'!$B$2:$B$3771,0)),MATCH(J$141,'Fuel Model - Calculation'!$B$2:$M$2,0)),0)</f>
        <v>612.07387159729501</v>
      </c>
      <c r="AY148" s="118">
        <f>IFERROR(INDEX('Fuel Model - Calculation'!$B$2:$M$3771,(MATCH(($E148&amp;"Results"&amp;$AV$140&amp;$F148&amp;"USD/ton"),'Fuel Model - Calculation'!$B$2:$B$3771,0)),MATCH(K$141,'Fuel Model - Calculation'!$B$2:$M$2,0)),0)</f>
        <v>644.60958264232977</v>
      </c>
      <c r="AZ148" s="118">
        <f>IFERROR(INDEX('Fuel Model - Calculation'!$B$2:$M$3771,(MATCH(($E148&amp;"Results"&amp;$AV$140&amp;$F148&amp;"USD/ton"),'Fuel Model - Calculation'!$B$2:$B$3771,0)),MATCH(L$141,'Fuel Model - Calculation'!$B$2:$M$2,0)),0)</f>
        <v>593.14324244697627</v>
      </c>
      <c r="BA148" s="118">
        <f>IFERROR(INDEX('Fuel Model - Calculation'!$B$2:$M$3771,(MATCH(($E148&amp;"Results"&amp;$AV$140&amp;$F148&amp;"USD/ton"),'Fuel Model - Calculation'!$B$2:$B$3771,0)),MATCH(M$141,'Fuel Model - Calculation'!$B$2:$M$2,0)),0)</f>
        <v>473.75253072318327</v>
      </c>
      <c r="BB148" s="118">
        <f>IFERROR(INDEX('Fuel Model - Calculation'!$B$2:$M$3771,(MATCH(($E148&amp;"Results"&amp;$AV$140&amp;$F148&amp;"USD/ton"),'Fuel Model - Calculation'!$B$2:$B$3771,0)),MATCH(N$141,'Fuel Model - Calculation'!$B$2:$M$2,0)),0)</f>
        <v>310.3543040757653</v>
      </c>
      <c r="BC148"/>
      <c r="BD148" s="118">
        <f>IFERROR(INDEX('Fuel Model - Calculation'!$B$2:$M$3771,(MATCH(($E148&amp;"Results"&amp;$BD$140&amp;$F148&amp;"USD/ton"),'Fuel Model - Calculation'!$B$2:$B$3771,0)),MATCH(P$141,'Fuel Model - Calculation'!$B$2:$M$2,0)),0)</f>
        <v>955.35995222387487</v>
      </c>
      <c r="BE148" s="118">
        <f>IFERROR(INDEX('Fuel Model - Calculation'!$B$2:$M$3771,(MATCH(($E148&amp;"Results"&amp;$BD$140&amp;$F148&amp;"USD/ton"),'Fuel Model - Calculation'!$B$2:$B$3771,0)),MATCH(Q$141,'Fuel Model - Calculation'!$B$2:$M$2,0)),0)</f>
        <v>791.79350583460177</v>
      </c>
      <c r="BF148" s="118">
        <f>IFERROR(INDEX('Fuel Model - Calculation'!$B$2:$M$3771,(MATCH(($E148&amp;"Results"&amp;$BD$140&amp;$F148&amp;"USD/ton"),'Fuel Model - Calculation'!$B$2:$B$3771,0)),MATCH(R$141,'Fuel Model - Calculation'!$B$2:$M$2,0)),0)</f>
        <v>644.04087502628227</v>
      </c>
      <c r="BG148" s="118">
        <f>IFERROR(INDEX('Fuel Model - Calculation'!$B$2:$M$3771,(MATCH(($E148&amp;"Results"&amp;$BD$140&amp;$F148&amp;"USD/ton"),'Fuel Model - Calculation'!$B$2:$B$3771,0)),MATCH(S$141,'Fuel Model - Calculation'!$B$2:$M$2,0)),0)</f>
        <v>585.70830416221315</v>
      </c>
      <c r="BH148" s="118">
        <f>IFERROR(INDEX('Fuel Model - Calculation'!$B$2:$M$3771,(MATCH(($E148&amp;"Results"&amp;$BD$140&amp;$F148&amp;"USD/ton"),'Fuel Model - Calculation'!$B$2:$B$3771,0)),MATCH(T$141,'Fuel Model - Calculation'!$B$2:$M$2,0)),0)</f>
        <v>451.85237128410148</v>
      </c>
      <c r="BI148" s="118">
        <f>IFERROR(INDEX('Fuel Model - Calculation'!$B$2:$M$3771,(MATCH(($E148&amp;"Results"&amp;$BD$140&amp;$F148&amp;"USD/ton"),'Fuel Model - Calculation'!$B$2:$B$3771,0)),MATCH(U$141,'Fuel Model - Calculation'!$B$2:$M$2,0)),0)</f>
        <v>300.41875021077772</v>
      </c>
      <c r="BJ148" s="118">
        <f>IFERROR(INDEX('Fuel Model - Calculation'!$B$2:$M$3771,(MATCH(($E148&amp;"Results"&amp;$BD$140&amp;$F148&amp;"USD/ton"),'Fuel Model - Calculation'!$B$2:$B$3771,0)),MATCH(V$141,'Fuel Model - Calculation'!$B$2:$M$2,0)),0)</f>
        <v>167.42770167427702</v>
      </c>
      <c r="BL148" s="118">
        <f>IFERROR(IFERROR(INDEX('Fuel Model - Calculation'!$B$2:$M$3771,(MATCH(($E148&amp;"Results"&amp;$BL$140&amp;$F148&amp;"USD/ton"),'Fuel Model - Calculation'!$B$2:$B$3771,0)),MATCH(H$141,'Fuel Model - Calculation'!$B$2:$M$2,0)),0),0)</f>
        <v>0</v>
      </c>
      <c r="BM148" s="118">
        <f>IFERROR(IFERROR(INDEX('Fuel Model - Calculation'!$B$2:$M$3771,(MATCH(($E148&amp;"Results"&amp;$BL$140&amp;$F148&amp;"USD/ton"),'Fuel Model - Calculation'!$B$2:$B$3771,0)),MATCH(I$141,'Fuel Model - Calculation'!$B$2:$M$2,0)),0),0)</f>
        <v>0</v>
      </c>
      <c r="BN148" s="118">
        <f>IFERROR(IFERROR(INDEX('Fuel Model - Calculation'!$B$2:$M$3771,(MATCH(($E148&amp;"Results"&amp;$BL$140&amp;$F148&amp;"USD/ton"),'Fuel Model - Calculation'!$B$2:$B$3771,0)),MATCH(J$141,'Fuel Model - Calculation'!$B$2:$M$2,0)),0),0)</f>
        <v>0</v>
      </c>
      <c r="BO148" s="118">
        <f>IFERROR(IFERROR(INDEX('Fuel Model - Calculation'!$B$2:$M$3771,(MATCH(($E148&amp;"Results"&amp;$BL$140&amp;$F148&amp;"USD/ton"),'Fuel Model - Calculation'!$B$2:$B$3771,0)),MATCH(K$141,'Fuel Model - Calculation'!$B$2:$M$2,0)),0),0)</f>
        <v>0</v>
      </c>
      <c r="BP148" s="118">
        <f>IFERROR(IFERROR(INDEX('Fuel Model - Calculation'!$B$2:$M$3771,(MATCH(($E148&amp;"Results"&amp;$BL$140&amp;$F148&amp;"USD/ton"),'Fuel Model - Calculation'!$B$2:$B$3771,0)),MATCH(L$141,'Fuel Model - Calculation'!$B$2:$M$2,0)),0),0)</f>
        <v>0</v>
      </c>
      <c r="BQ148" s="118">
        <f>IFERROR(IFERROR(INDEX('Fuel Model - Calculation'!$B$2:$M$3771,(MATCH(($E148&amp;"Results"&amp;$BL$140&amp;$F148&amp;"USD/ton"),'Fuel Model - Calculation'!$B$2:$B$3771,0)),MATCH(M$141,'Fuel Model - Calculation'!$B$2:$M$2,0)),0),0)</f>
        <v>0</v>
      </c>
      <c r="BR148" s="118">
        <f>IFERROR(IFERROR(INDEX('Fuel Model - Calculation'!$B$2:$M$3771,(MATCH(($E148&amp;"Results"&amp;$BL$140&amp;$F148&amp;"USD/ton"),'Fuel Model - Calculation'!$B$2:$B$3771,0)),MATCH(N$141,'Fuel Model - Calculation'!$B$2:$M$2,0)),0),0)</f>
        <v>0</v>
      </c>
      <c r="BT148" s="118">
        <f>IFERROR(INDEX('Fuel Model - Calculation'!$B$2:$M$3771,(MATCH(($E148&amp;"Results"&amp;$BT$140&amp;$F148&amp;"USD/ton"),'Fuel Model - Calculation'!$B$2:$B$3771,0)),MATCH(H$141,'Fuel Model - Calculation'!$B$2:$M$2,0)),0)</f>
        <v>0</v>
      </c>
      <c r="BU148" s="118">
        <f>IFERROR(INDEX('Fuel Model - Calculation'!$B$2:$M$3771,(MATCH(($E148&amp;"Results"&amp;$BT$140&amp;$F148&amp;"USD/ton"),'Fuel Model - Calculation'!$B$2:$B$3771,0)),MATCH(I$141,'Fuel Model - Calculation'!$B$2:$M$2,0)),0)</f>
        <v>0</v>
      </c>
      <c r="BV148" s="118">
        <f>IFERROR(INDEX('Fuel Model - Calculation'!$B$2:$M$3771,(MATCH(($E148&amp;"Results"&amp;$BT$140&amp;$F148&amp;"USD/ton"),'Fuel Model - Calculation'!$B$2:$B$3771,0)),MATCH(J$141,'Fuel Model - Calculation'!$B$2:$M$2,0)),0)</f>
        <v>0</v>
      </c>
      <c r="BW148" s="118">
        <f>IFERROR(INDEX('Fuel Model - Calculation'!$B$2:$M$3771,(MATCH(($E148&amp;"Results"&amp;$BT$140&amp;$F148&amp;"USD/ton"),'Fuel Model - Calculation'!$B$2:$B$3771,0)),MATCH(K$141,'Fuel Model - Calculation'!$B$2:$M$2,0)),0)</f>
        <v>0</v>
      </c>
      <c r="BX148" s="118">
        <f>IFERROR(INDEX('Fuel Model - Calculation'!$B$2:$M$3771,(MATCH(($E148&amp;"Results"&amp;$BT$140&amp;$F148&amp;"USD/ton"),'Fuel Model - Calculation'!$B$2:$B$3771,0)),MATCH(L$141,'Fuel Model - Calculation'!$B$2:$M$2,0)),0)</f>
        <v>0</v>
      </c>
      <c r="BY148" s="118">
        <f>IFERROR(INDEX('Fuel Model - Calculation'!$B$2:$M$3771,(MATCH(($E148&amp;"Results"&amp;$BT$140&amp;$F148&amp;"USD/ton"),'Fuel Model - Calculation'!$B$2:$B$3771,0)),MATCH(M$141,'Fuel Model - Calculation'!$B$2:$M$2,0)),0)</f>
        <v>0</v>
      </c>
      <c r="BZ148" s="118">
        <f>IFERROR(INDEX('Fuel Model - Calculation'!$B$2:$M$3771,(MATCH(($E148&amp;"Results"&amp;$BT$140&amp;$F148&amp;"USD/ton"),'Fuel Model - Calculation'!$B$2:$B$3771,0)),MATCH(N$141,'Fuel Model - Calculation'!$B$2:$M$2,0)),0)</f>
        <v>0</v>
      </c>
    </row>
    <row r="149" spans="1:78" x14ac:dyDescent="0.2">
      <c r="A149" s="452"/>
      <c r="B149" s="453" t="str">
        <f>_xlfn.TEXTJOIN(keydelim,TRUE,F149,IF(E149="Africa","Africa&amp;other",E149),"Fuel cost",SUBSTITUTE($G149," ",""))</f>
        <v>e-Hydrogen (compressed) - Middle East - Fuel cost - USD/ton</v>
      </c>
      <c r="D149" s="459" t="str">
        <f t="shared" ref="D149:D152" si="166">E149&amp;F149</f>
        <v>Middle Easte-Hydrogen (compressed)</v>
      </c>
      <c r="E149" t="s">
        <v>197</v>
      </c>
      <c r="F149" s="460" t="s">
        <v>584</v>
      </c>
      <c r="G149" t="s">
        <v>835</v>
      </c>
      <c r="H149" s="118">
        <f>INDEX('Fuel Model - Calculation'!$B$2:$M$3771,(MATCH(($E149&amp;"ResultsCost of "&amp;$F149&amp;"USD/ton"),'Fuel Model - Calculation'!$B$2:$B$3771,0)),MATCH(H$141,'Fuel Model - Calculation'!$B$2:$M$2,0))</f>
        <v>4077.8615475472566</v>
      </c>
      <c r="I149" s="118">
        <f>INDEX('Fuel Model - Calculation'!$B$2:$M$3771,(MATCH(($E149&amp;"ResultsCost of "&amp;$F149&amp;"USD/ton"),'Fuel Model - Calculation'!$B$2:$B$3771,0)),MATCH(I$141,'Fuel Model - Calculation'!$B$2:$M$2,0))</f>
        <v>3327.377915551187</v>
      </c>
      <c r="J149" s="118">
        <f>INDEX('Fuel Model - Calculation'!$B$2:$M$3771,(MATCH(($E149&amp;"ResultsCost of "&amp;$F149&amp;"USD/ton"),'Fuel Model - Calculation'!$B$2:$B$3771,0)),MATCH(J$141,'Fuel Model - Calculation'!$B$2:$M$2,0))</f>
        <v>2779.9285815177832</v>
      </c>
      <c r="K149" s="118">
        <f>INDEX('Fuel Model - Calculation'!$B$2:$M$3771,(MATCH(($E149&amp;"ResultsCost of "&amp;$F149&amp;"USD/ton"),'Fuel Model - Calculation'!$B$2:$B$3771,0)),MATCH(K$141,'Fuel Model - Calculation'!$B$2:$M$2,0))</f>
        <v>2504.2378360178541</v>
      </c>
      <c r="L149" s="118">
        <f>INDEX('Fuel Model - Calculation'!$B$2:$M$3771,(MATCH(($E149&amp;"ResultsCost of "&amp;$F149&amp;"USD/ton"),'Fuel Model - Calculation'!$B$2:$B$3771,0)),MATCH(L$141,'Fuel Model - Calculation'!$B$2:$M$2,0))</f>
        <v>2168.9587649723076</v>
      </c>
      <c r="M149" s="118">
        <f>INDEX('Fuel Model - Calculation'!$B$2:$M$3771,(MATCH(($E149&amp;"ResultsCost of "&amp;$F149&amp;"USD/ton"),'Fuel Model - Calculation'!$B$2:$B$3771,0)),MATCH(M$141,'Fuel Model - Calculation'!$B$2:$M$2,0))</f>
        <v>1713.817202933697</v>
      </c>
      <c r="N149" s="118">
        <f>INDEX('Fuel Model - Calculation'!$B$2:$M$3771,(MATCH(($E149&amp;"ResultsCost of "&amp;$F149&amp;"USD/ton"),'Fuel Model - Calculation'!$B$2:$B$3771,0)),MATCH(N$141,'Fuel Model - Calculation'!$B$2:$M$2,0))</f>
        <v>1317.972716655732</v>
      </c>
      <c r="O149"/>
      <c r="P149" s="118">
        <f>IFERROR(INDEX('Fuel Model - Calculation'!G$2:G$3771,(MATCH(($E149&amp;"ResultsTotal RNE "&amp;$F149&amp;"USD/ton"),'Fuel Model - Calculation'!$B$2:$B$3771,0))),0)</f>
        <v>2274.4378102960604</v>
      </c>
      <c r="Q149" s="118">
        <f>IFERROR(INDEX('Fuel Model - Calculation'!H$2:H$3771,(MATCH(($E149&amp;"ResultsTotal RNE "&amp;$F149&amp;"USD/ton"),'Fuel Model - Calculation'!$B$2:$B$3771,0))),0)</f>
        <v>1822.66681289602</v>
      </c>
      <c r="R149" s="118">
        <f>IFERROR(INDEX('Fuel Model - Calculation'!I$2:I$3771,(MATCH(($E149&amp;"ResultsTotal RNE "&amp;$F149&amp;"USD/ton"),'Fuel Model - Calculation'!$B$2:$B$3771,0))),0)</f>
        <v>1510.3138348942064</v>
      </c>
      <c r="S149" s="118">
        <f>IFERROR(INDEX('Fuel Model - Calculation'!J$2:J$3771,(MATCH(($E149&amp;"ResultsTotal RNE "&amp;$F149&amp;"USD/ton"),'Fuel Model - Calculation'!$B$2:$B$3771,0))),0)</f>
        <v>1260.4199492133116</v>
      </c>
      <c r="T149" s="118">
        <f>IFERROR(INDEX('Fuel Model - Calculation'!K$2:K$3771,(MATCH(($E149&amp;"ResultsTotal RNE "&amp;$F149&amp;"USD/ton"),'Fuel Model - Calculation'!$B$2:$B$3771,0))),0)</f>
        <v>1110.4631512412298</v>
      </c>
      <c r="U149" s="118">
        <f>IFERROR(INDEX('Fuel Model - Calculation'!L$2:L$3771,(MATCH(($E149&amp;"ResultsTotal RNE "&amp;$F149&amp;"USD/ton"),'Fuel Model - Calculation'!$B$2:$B$3771,0))),0)</f>
        <v>926.14592199973595</v>
      </c>
      <c r="V149" s="118">
        <f>IFERROR(INDEX('Fuel Model - Calculation'!M$2:M$3771,(MATCH(($E149&amp;"ResultsTotal RNE "&amp;$F149&amp;"USD/ton"),'Fuel Model - Calculation'!$B$2:$B$3771,0))),0)</f>
        <v>826.69071090568957</v>
      </c>
      <c r="W149"/>
      <c r="X149" s="2">
        <f>INDEX('Fuel Model - Calculation'!$E$2:$M$3771,(MATCH(("WTT Emission - "&amp;$F149),'Fuel Model - Calculation'!$E$2:$E$3771,0)),MATCH(X$141,'Fuel Model - Calculation'!$E$2:$M$2,0))</f>
        <v>0.29135003961027883</v>
      </c>
      <c r="Y149" s="2">
        <f>INDEX('Fuel Model - Calculation'!$E$2:$M$3771,(MATCH(("WTT Emission - "&amp;$F149),'Fuel Model - Calculation'!$E$2:$E$3771,0)),MATCH(Y$141,'Fuel Model - Calculation'!$E$2:$M$2,0))</f>
        <v>0.28997999999999996</v>
      </c>
      <c r="Z149" s="2">
        <f>INDEX('Fuel Model - Calculation'!$E$2:$M$3771,(MATCH(("WTT Emission - "&amp;$F149),'Fuel Model - Calculation'!$E$2:$E$3771,0)),MATCH(Z$141,'Fuel Model - Calculation'!$E$2:$M$2,0))</f>
        <v>0.28613027529683921</v>
      </c>
      <c r="AA149" s="2">
        <f>INDEX('Fuel Model - Calculation'!$E$2:$M$3771,(MATCH(("WTT Emission - "&amp;$F149),'Fuel Model - Calculation'!$E$2:$E$3771,0)),MATCH(AA$141,'Fuel Model - Calculation'!$E$2:$M$2,0))</f>
        <v>0.27590526085528511</v>
      </c>
      <c r="AB149" s="2">
        <f>INDEX('Fuel Model - Calculation'!$E$2:$M$3771,(MATCH(("WTT Emission - "&amp;$F149),'Fuel Model - Calculation'!$E$2:$E$3771,0)),MATCH(AB$141,'Fuel Model - Calculation'!$E$2:$M$2,0))</f>
        <v>0.26362599487969951</v>
      </c>
      <c r="AC149" s="2">
        <f>INDEX('Fuel Model - Calculation'!$E$2:$M$3771,(MATCH(("WTT Emission - "&amp;$F149),'Fuel Model - Calculation'!$E$2:$E$3771,0)),MATCH(AC$141,'Fuel Model - Calculation'!$E$2:$M$2,0))</f>
        <v>0.24727833589356388</v>
      </c>
      <c r="AD149" s="2">
        <f>INDEX('Fuel Model - Calculation'!$E$2:$M$3771,(MATCH(("WTT Emission - "&amp;$F149),'Fuel Model - Calculation'!$E$2:$E$3771,0)),MATCH(AD$141,'Fuel Model - Calculation'!$E$2:$M$2,0))</f>
        <v>0.23440049999999998</v>
      </c>
      <c r="AE149" s="2"/>
      <c r="AF149" s="2">
        <f>'Fuel Model -  Input'!H$47</f>
        <v>0</v>
      </c>
      <c r="AG149" s="2">
        <f>'Fuel Model -  Input'!I$47</f>
        <v>0</v>
      </c>
      <c r="AH149" s="2">
        <f>'Fuel Model -  Input'!J$47</f>
        <v>0</v>
      </c>
      <c r="AI149" s="2">
        <f>'Fuel Model -  Input'!K$47</f>
        <v>0</v>
      </c>
      <c r="AJ149" s="2">
        <f>'Fuel Model -  Input'!L$47</f>
        <v>0</v>
      </c>
      <c r="AK149" s="2">
        <f>'Fuel Model -  Input'!M$47</f>
        <v>0</v>
      </c>
      <c r="AL149" s="2">
        <f>'Fuel Model -  Input'!N$47</f>
        <v>0</v>
      </c>
      <c r="AM149"/>
      <c r="AN149" s="24">
        <f t="shared" si="165"/>
        <v>0.29135003961027883</v>
      </c>
      <c r="AO149" s="24">
        <f t="shared" si="165"/>
        <v>0.28997999999999996</v>
      </c>
      <c r="AP149" s="24">
        <f t="shared" si="165"/>
        <v>0.28613027529683921</v>
      </c>
      <c r="AQ149" s="24">
        <f t="shared" si="165"/>
        <v>0.27590526085528511</v>
      </c>
      <c r="AR149" s="24">
        <f t="shared" si="165"/>
        <v>0.26362599487969951</v>
      </c>
      <c r="AS149" s="24">
        <f t="shared" si="165"/>
        <v>0.24727833589356388</v>
      </c>
      <c r="AT149" s="24">
        <f t="shared" si="165"/>
        <v>0.23440049999999998</v>
      </c>
      <c r="AU149"/>
      <c r="AV149" s="118">
        <f>IFERROR(INDEX('Fuel Model - Calculation'!$B$2:$M$3771,(MATCH(($E149&amp;"Results"&amp;$AV$140&amp;$F149&amp;"USD/ton"),'Fuel Model - Calculation'!$B$2:$B$3771,0)),MATCH(H$141,'Fuel Model - Calculation'!$B$2:$M$2,0)),0)</f>
        <v>834.56378502732105</v>
      </c>
      <c r="AW149" s="118">
        <f>IFERROR(INDEX('Fuel Model - Calculation'!$B$2:$M$3771,(MATCH(($E149&amp;"Results"&amp;$AV$140&amp;$F149&amp;"USD/ton"),'Fuel Model - Calculation'!$B$2:$B$3771,0)),MATCH(I$141,'Fuel Model - Calculation'!$B$2:$M$2,0)),0)</f>
        <v>699.417596820565</v>
      </c>
      <c r="AX149" s="118">
        <f>IFERROR(INDEX('Fuel Model - Calculation'!$B$2:$M$3771,(MATCH(($E149&amp;"Results"&amp;$AV$140&amp;$F149&amp;"USD/ton"),'Fuel Model - Calculation'!$B$2:$B$3771,0)),MATCH(J$141,'Fuel Model - Calculation'!$B$2:$M$2,0)),0)</f>
        <v>612.07387159729501</v>
      </c>
      <c r="AY149" s="118">
        <f>IFERROR(INDEX('Fuel Model - Calculation'!$B$2:$M$3771,(MATCH(($E149&amp;"Results"&amp;$AV$140&amp;$F149&amp;"USD/ton"),'Fuel Model - Calculation'!$B$2:$B$3771,0)),MATCH(K$141,'Fuel Model - Calculation'!$B$2:$M$2,0)),0)</f>
        <v>644.60958264232977</v>
      </c>
      <c r="AZ149" s="118">
        <f>IFERROR(INDEX('Fuel Model - Calculation'!$B$2:$M$3771,(MATCH(($E149&amp;"Results"&amp;$AV$140&amp;$F149&amp;"USD/ton"),'Fuel Model - Calculation'!$B$2:$B$3771,0)),MATCH(L$141,'Fuel Model - Calculation'!$B$2:$M$2,0)),0)</f>
        <v>593.14324244697627</v>
      </c>
      <c r="BA149" s="118">
        <f>IFERROR(INDEX('Fuel Model - Calculation'!$B$2:$M$3771,(MATCH(($E149&amp;"Results"&amp;$AV$140&amp;$F149&amp;"USD/ton"),'Fuel Model - Calculation'!$B$2:$B$3771,0)),MATCH(M$141,'Fuel Model - Calculation'!$B$2:$M$2,0)),0)</f>
        <v>473.75253072318327</v>
      </c>
      <c r="BB149" s="118">
        <f>IFERROR(INDEX('Fuel Model - Calculation'!$B$2:$M$3771,(MATCH(($E149&amp;"Results"&amp;$AV$140&amp;$F149&amp;"USD/ton"),'Fuel Model - Calculation'!$B$2:$B$3771,0)),MATCH(N$141,'Fuel Model - Calculation'!$B$2:$M$2,0)),0)</f>
        <v>310.3543040757653</v>
      </c>
      <c r="BC149"/>
      <c r="BD149" s="118">
        <f>IFERROR(INDEX('Fuel Model - Calculation'!$B$2:$M$3771,(MATCH(($E149&amp;"Results"&amp;$BD$140&amp;$F149&amp;"USD/ton"),'Fuel Model - Calculation'!$B$2:$B$3771,0)),MATCH(P$141,'Fuel Model - Calculation'!$B$2:$M$2,0)),0)</f>
        <v>955.35995222387487</v>
      </c>
      <c r="BE149" s="118">
        <f>IFERROR(INDEX('Fuel Model - Calculation'!$B$2:$M$3771,(MATCH(($E149&amp;"Results"&amp;$BD$140&amp;$F149&amp;"USD/ton"),'Fuel Model - Calculation'!$B$2:$B$3771,0)),MATCH(Q$141,'Fuel Model - Calculation'!$B$2:$M$2,0)),0)</f>
        <v>791.79350583460177</v>
      </c>
      <c r="BF149" s="118">
        <f>IFERROR(INDEX('Fuel Model - Calculation'!$B$2:$M$3771,(MATCH(($E149&amp;"Results"&amp;$BD$140&amp;$F149&amp;"USD/ton"),'Fuel Model - Calculation'!$B$2:$B$3771,0)),MATCH(R$141,'Fuel Model - Calculation'!$B$2:$M$2,0)),0)</f>
        <v>644.04087502628227</v>
      </c>
      <c r="BG149" s="118">
        <f>IFERROR(INDEX('Fuel Model - Calculation'!$B$2:$M$3771,(MATCH(($E149&amp;"Results"&amp;$BD$140&amp;$F149&amp;"USD/ton"),'Fuel Model - Calculation'!$B$2:$B$3771,0)),MATCH(S$141,'Fuel Model - Calculation'!$B$2:$M$2,0)),0)</f>
        <v>585.70830416221315</v>
      </c>
      <c r="BH149" s="118">
        <f>IFERROR(INDEX('Fuel Model - Calculation'!$B$2:$M$3771,(MATCH(($E149&amp;"Results"&amp;$BD$140&amp;$F149&amp;"USD/ton"),'Fuel Model - Calculation'!$B$2:$B$3771,0)),MATCH(T$141,'Fuel Model - Calculation'!$B$2:$M$2,0)),0)</f>
        <v>451.85237128410148</v>
      </c>
      <c r="BI149" s="118">
        <f>IFERROR(INDEX('Fuel Model - Calculation'!$B$2:$M$3771,(MATCH(($E149&amp;"Results"&amp;$BD$140&amp;$F149&amp;"USD/ton"),'Fuel Model - Calculation'!$B$2:$B$3771,0)),MATCH(U$141,'Fuel Model - Calculation'!$B$2:$M$2,0)),0)</f>
        <v>300.41875021077772</v>
      </c>
      <c r="BJ149" s="118">
        <f>IFERROR(INDEX('Fuel Model - Calculation'!$B$2:$M$3771,(MATCH(($E149&amp;"Results"&amp;$BD$140&amp;$F149&amp;"USD/ton"),'Fuel Model - Calculation'!$B$2:$B$3771,0)),MATCH(V$141,'Fuel Model - Calculation'!$B$2:$M$2,0)),0)</f>
        <v>167.42770167427702</v>
      </c>
      <c r="BL149" s="118">
        <f>IFERROR(IFERROR(INDEX('Fuel Model - Calculation'!$B$2:$M$3771,(MATCH(($E149&amp;"Results"&amp;$BL$140&amp;$F149&amp;"USD/ton"),'Fuel Model - Calculation'!$B$2:$B$3771,0)),MATCH(H$141,'Fuel Model - Calculation'!$B$2:$M$2,0)),0),0)</f>
        <v>0</v>
      </c>
      <c r="BM149" s="118">
        <f>IFERROR(IFERROR(INDEX('Fuel Model - Calculation'!$B$2:$M$3771,(MATCH(($E149&amp;"Results"&amp;$BL$140&amp;$F149&amp;"USD/ton"),'Fuel Model - Calculation'!$B$2:$B$3771,0)),MATCH(I$141,'Fuel Model - Calculation'!$B$2:$M$2,0)),0),0)</f>
        <v>0</v>
      </c>
      <c r="BN149" s="118">
        <f>IFERROR(IFERROR(INDEX('Fuel Model - Calculation'!$B$2:$M$3771,(MATCH(($E149&amp;"Results"&amp;$BL$140&amp;$F149&amp;"USD/ton"),'Fuel Model - Calculation'!$B$2:$B$3771,0)),MATCH(J$141,'Fuel Model - Calculation'!$B$2:$M$2,0)),0),0)</f>
        <v>0</v>
      </c>
      <c r="BO149" s="118">
        <f>IFERROR(IFERROR(INDEX('Fuel Model - Calculation'!$B$2:$M$3771,(MATCH(($E149&amp;"Results"&amp;$BL$140&amp;$F149&amp;"USD/ton"),'Fuel Model - Calculation'!$B$2:$B$3771,0)),MATCH(K$141,'Fuel Model - Calculation'!$B$2:$M$2,0)),0),0)</f>
        <v>0</v>
      </c>
      <c r="BP149" s="118">
        <f>IFERROR(IFERROR(INDEX('Fuel Model - Calculation'!$B$2:$M$3771,(MATCH(($E149&amp;"Results"&amp;$BL$140&amp;$F149&amp;"USD/ton"),'Fuel Model - Calculation'!$B$2:$B$3771,0)),MATCH(L$141,'Fuel Model - Calculation'!$B$2:$M$2,0)),0),0)</f>
        <v>0</v>
      </c>
      <c r="BQ149" s="118">
        <f>IFERROR(IFERROR(INDEX('Fuel Model - Calculation'!$B$2:$M$3771,(MATCH(($E149&amp;"Results"&amp;$BL$140&amp;$F149&amp;"USD/ton"),'Fuel Model - Calculation'!$B$2:$B$3771,0)),MATCH(M$141,'Fuel Model - Calculation'!$B$2:$M$2,0)),0),0)</f>
        <v>0</v>
      </c>
      <c r="BR149" s="118">
        <f>IFERROR(IFERROR(INDEX('Fuel Model - Calculation'!$B$2:$M$3771,(MATCH(($E149&amp;"Results"&amp;$BL$140&amp;$F149&amp;"USD/ton"),'Fuel Model - Calculation'!$B$2:$B$3771,0)),MATCH(N$141,'Fuel Model - Calculation'!$B$2:$M$2,0)),0),0)</f>
        <v>0</v>
      </c>
      <c r="BT149" s="118">
        <f>IFERROR(INDEX('Fuel Model - Calculation'!$B$2:$M$3771,(MATCH(($E149&amp;"Results"&amp;$BT$140&amp;$F149&amp;"USD/ton"),'Fuel Model - Calculation'!$B$2:$B$3771,0)),MATCH(H$141,'Fuel Model - Calculation'!$B$2:$M$2,0)),0)</f>
        <v>0</v>
      </c>
      <c r="BU149" s="118">
        <f>IFERROR(INDEX('Fuel Model - Calculation'!$B$2:$M$3771,(MATCH(($E149&amp;"Results"&amp;$BT$140&amp;$F149&amp;"USD/ton"),'Fuel Model - Calculation'!$B$2:$B$3771,0)),MATCH(I$141,'Fuel Model - Calculation'!$B$2:$M$2,0)),0)</f>
        <v>0</v>
      </c>
      <c r="BV149" s="118">
        <f>IFERROR(INDEX('Fuel Model - Calculation'!$B$2:$M$3771,(MATCH(($E149&amp;"Results"&amp;$BT$140&amp;$F149&amp;"USD/ton"),'Fuel Model - Calculation'!$B$2:$B$3771,0)),MATCH(J$141,'Fuel Model - Calculation'!$B$2:$M$2,0)),0)</f>
        <v>0</v>
      </c>
      <c r="BW149" s="118">
        <f>IFERROR(INDEX('Fuel Model - Calculation'!$B$2:$M$3771,(MATCH(($E149&amp;"Results"&amp;$BT$140&amp;$F149&amp;"USD/ton"),'Fuel Model - Calculation'!$B$2:$B$3771,0)),MATCH(K$141,'Fuel Model - Calculation'!$B$2:$M$2,0)),0)</f>
        <v>0</v>
      </c>
      <c r="BX149" s="118">
        <f>IFERROR(INDEX('Fuel Model - Calculation'!$B$2:$M$3771,(MATCH(($E149&amp;"Results"&amp;$BT$140&amp;$F149&amp;"USD/ton"),'Fuel Model - Calculation'!$B$2:$B$3771,0)),MATCH(L$141,'Fuel Model - Calculation'!$B$2:$M$2,0)),0)</f>
        <v>0</v>
      </c>
      <c r="BY149" s="118">
        <f>IFERROR(INDEX('Fuel Model - Calculation'!$B$2:$M$3771,(MATCH(($E149&amp;"Results"&amp;$BT$140&amp;$F149&amp;"USD/ton"),'Fuel Model - Calculation'!$B$2:$B$3771,0)),MATCH(M$141,'Fuel Model - Calculation'!$B$2:$M$2,0)),0)</f>
        <v>0</v>
      </c>
      <c r="BZ149" s="118">
        <f>IFERROR(INDEX('Fuel Model - Calculation'!$B$2:$M$3771,(MATCH(($E149&amp;"Results"&amp;$BT$140&amp;$F149&amp;"USD/ton"),'Fuel Model - Calculation'!$B$2:$B$3771,0)),MATCH(N$141,'Fuel Model - Calculation'!$B$2:$M$2,0)),0)</f>
        <v>0</v>
      </c>
    </row>
    <row r="150" spans="1:78" x14ac:dyDescent="0.2">
      <c r="A150" s="452"/>
      <c r="B150" s="453" t="str">
        <f>_xlfn.TEXTJOIN(keydelim,TRUE,F150,IF(E150="Africa","Africa&amp;other",E150),"Fuel cost",SUBSTITUTE($G150," ",""))</f>
        <v>e-Hydrogen (compressed) - Asia - Fuel cost - USD/ton</v>
      </c>
      <c r="D150" s="459" t="str">
        <f t="shared" si="166"/>
        <v>Asiae-Hydrogen (compressed)</v>
      </c>
      <c r="E150" t="s">
        <v>198</v>
      </c>
      <c r="F150" s="460" t="s">
        <v>584</v>
      </c>
      <c r="G150" t="s">
        <v>835</v>
      </c>
      <c r="H150" s="118">
        <f>INDEX('Fuel Model - Calculation'!$B$2:$M$3771,(MATCH(($E150&amp;"ResultsCost of "&amp;$F150&amp;"USD/ton"),'Fuel Model - Calculation'!$B$2:$B$3771,0)),MATCH(H$141,'Fuel Model - Calculation'!$B$2:$M$2,0))</f>
        <v>6255.6910575338052</v>
      </c>
      <c r="I150" s="118">
        <f>INDEX('Fuel Model - Calculation'!$B$2:$M$3771,(MATCH(($E150&amp;"ResultsCost of "&amp;$F150&amp;"USD/ton"),'Fuel Model - Calculation'!$B$2:$B$3771,0)),MATCH(I$141,'Fuel Model - Calculation'!$B$2:$M$2,0))</f>
        <v>4395.2346253838678</v>
      </c>
      <c r="J150" s="118">
        <f>INDEX('Fuel Model - Calculation'!$B$2:$M$3771,(MATCH(($E150&amp;"ResultsCost of "&amp;$F150&amp;"USD/ton"),'Fuel Model - Calculation'!$B$2:$B$3771,0)),MATCH(J$141,'Fuel Model - Calculation'!$B$2:$M$2,0))</f>
        <v>3576.426525493684</v>
      </c>
      <c r="K150" s="118">
        <f>INDEX('Fuel Model - Calculation'!$B$2:$M$3771,(MATCH(($E150&amp;"ResultsCost of "&amp;$F150&amp;"USD/ton"),'Fuel Model - Calculation'!$B$2:$B$3771,0)),MATCH(K$141,'Fuel Model - Calculation'!$B$2:$M$2,0))</f>
        <v>3110.7801987617659</v>
      </c>
      <c r="L150" s="118">
        <f>INDEX('Fuel Model - Calculation'!$B$2:$M$3771,(MATCH(($E150&amp;"ResultsCost of "&amp;$F150&amp;"USD/ton"),'Fuel Model - Calculation'!$B$2:$B$3771,0)),MATCH(L$141,'Fuel Model - Calculation'!$B$2:$M$2,0))</f>
        <v>2668.7373944928772</v>
      </c>
      <c r="M150" s="118">
        <f>INDEX('Fuel Model - Calculation'!$B$2:$M$3771,(MATCH(($E150&amp;"ResultsCost of "&amp;$F150&amp;"USD/ton"),'Fuel Model - Calculation'!$B$2:$B$3771,0)),MATCH(M$141,'Fuel Model - Calculation'!$B$2:$M$2,0))</f>
        <v>2127.5866637665586</v>
      </c>
      <c r="N150" s="118">
        <f>INDEX('Fuel Model - Calculation'!$B$2:$M$3771,(MATCH(($E150&amp;"ResultsCost of "&amp;$F150&amp;"USD/ton"),'Fuel Model - Calculation'!$B$2:$B$3771,0)),MATCH(N$141,'Fuel Model - Calculation'!$B$2:$M$2,0))</f>
        <v>1687.3110781370008</v>
      </c>
      <c r="O150"/>
      <c r="P150" s="118">
        <f>IFERROR(INDEX('Fuel Model - Calculation'!G$2:G$3771,(MATCH(($E150&amp;"ResultsTotal RNE "&amp;$F150&amp;"USD/ton"),'Fuel Model - Calculation'!$B$2:$B$3771,0))),0)</f>
        <v>4452.267320282609</v>
      </c>
      <c r="Q150" s="118">
        <f>IFERROR(INDEX('Fuel Model - Calculation'!H$2:H$3771,(MATCH(($E150&amp;"ResultsTotal RNE "&amp;$F150&amp;"USD/ton"),'Fuel Model - Calculation'!$B$2:$B$3771,0))),0)</f>
        <v>2890.5235227287008</v>
      </c>
      <c r="R150" s="118">
        <f>IFERROR(INDEX('Fuel Model - Calculation'!I$2:I$3771,(MATCH(($E150&amp;"ResultsTotal RNE "&amp;$F150&amp;"USD/ton"),'Fuel Model - Calculation'!$B$2:$B$3771,0))),0)</f>
        <v>2306.811778870107</v>
      </c>
      <c r="S150" s="118">
        <f>IFERROR(INDEX('Fuel Model - Calculation'!J$2:J$3771,(MATCH(($E150&amp;"ResultsTotal RNE "&amp;$F150&amp;"USD/ton"),'Fuel Model - Calculation'!$B$2:$B$3771,0))),0)</f>
        <v>1866.9623119572227</v>
      </c>
      <c r="T150" s="118">
        <f>IFERROR(INDEX('Fuel Model - Calculation'!K$2:K$3771,(MATCH(($E150&amp;"ResultsTotal RNE "&amp;$F150&amp;"USD/ton"),'Fuel Model - Calculation'!$B$2:$B$3771,0))),0)</f>
        <v>1610.2417807617994</v>
      </c>
      <c r="U150" s="118">
        <f>IFERROR(INDEX('Fuel Model - Calculation'!L$2:L$3771,(MATCH(($E150&amp;"ResultsTotal RNE "&amp;$F150&amp;"USD/ton"),'Fuel Model - Calculation'!$B$2:$B$3771,0))),0)</f>
        <v>1339.9153828325975</v>
      </c>
      <c r="V150" s="118">
        <f>IFERROR(INDEX('Fuel Model - Calculation'!M$2:M$3771,(MATCH(($E150&amp;"ResultsTotal RNE "&amp;$F150&amp;"USD/ton"),'Fuel Model - Calculation'!$B$2:$B$3771,0))),0)</f>
        <v>1196.0290723869582</v>
      </c>
      <c r="W150"/>
      <c r="X150" s="2">
        <f>INDEX('Fuel Model - Calculation'!$E$2:$M$3771,(MATCH(("WTT Emission - "&amp;$F150),'Fuel Model - Calculation'!$E$2:$E$3771,0)),MATCH(X$141,'Fuel Model - Calculation'!$E$2:$M$2,0))</f>
        <v>0.29135003961027883</v>
      </c>
      <c r="Y150" s="2">
        <f>INDEX('Fuel Model - Calculation'!$E$2:$M$3771,(MATCH(("WTT Emission - "&amp;$F150),'Fuel Model - Calculation'!$E$2:$E$3771,0)),MATCH(Y$141,'Fuel Model - Calculation'!$E$2:$M$2,0))</f>
        <v>0.28997999999999996</v>
      </c>
      <c r="Z150" s="2">
        <f>INDEX('Fuel Model - Calculation'!$E$2:$M$3771,(MATCH(("WTT Emission - "&amp;$F150),'Fuel Model - Calculation'!$E$2:$E$3771,0)),MATCH(Z$141,'Fuel Model - Calculation'!$E$2:$M$2,0))</f>
        <v>0.28613027529683921</v>
      </c>
      <c r="AA150" s="2">
        <f>INDEX('Fuel Model - Calculation'!$E$2:$M$3771,(MATCH(("WTT Emission - "&amp;$F150),'Fuel Model - Calculation'!$E$2:$E$3771,0)),MATCH(AA$141,'Fuel Model - Calculation'!$E$2:$M$2,0))</f>
        <v>0.27590526085528511</v>
      </c>
      <c r="AB150" s="2">
        <f>INDEX('Fuel Model - Calculation'!$E$2:$M$3771,(MATCH(("WTT Emission - "&amp;$F150),'Fuel Model - Calculation'!$E$2:$E$3771,0)),MATCH(AB$141,'Fuel Model - Calculation'!$E$2:$M$2,0))</f>
        <v>0.26362599487969951</v>
      </c>
      <c r="AC150" s="2">
        <f>INDEX('Fuel Model - Calculation'!$E$2:$M$3771,(MATCH(("WTT Emission - "&amp;$F150),'Fuel Model - Calculation'!$E$2:$E$3771,0)),MATCH(AC$141,'Fuel Model - Calculation'!$E$2:$M$2,0))</f>
        <v>0.24727833589356388</v>
      </c>
      <c r="AD150" s="2">
        <f>INDEX('Fuel Model - Calculation'!$E$2:$M$3771,(MATCH(("WTT Emission - "&amp;$F150),'Fuel Model - Calculation'!$E$2:$E$3771,0)),MATCH(AD$141,'Fuel Model - Calculation'!$E$2:$M$2,0))</f>
        <v>0.23440049999999998</v>
      </c>
      <c r="AE150" s="2"/>
      <c r="AF150" s="2">
        <f>'Fuel Model -  Input'!H$47</f>
        <v>0</v>
      </c>
      <c r="AG150" s="2">
        <f>'Fuel Model -  Input'!I$47</f>
        <v>0</v>
      </c>
      <c r="AH150" s="2">
        <f>'Fuel Model -  Input'!J$47</f>
        <v>0</v>
      </c>
      <c r="AI150" s="2">
        <f>'Fuel Model -  Input'!K$47</f>
        <v>0</v>
      </c>
      <c r="AJ150" s="2">
        <f>'Fuel Model -  Input'!L$47</f>
        <v>0</v>
      </c>
      <c r="AK150" s="2">
        <f>'Fuel Model -  Input'!M$47</f>
        <v>0</v>
      </c>
      <c r="AL150" s="2">
        <f>'Fuel Model -  Input'!N$47</f>
        <v>0</v>
      </c>
      <c r="AM150"/>
      <c r="AN150" s="24">
        <f t="shared" si="165"/>
        <v>0.29135003961027883</v>
      </c>
      <c r="AO150" s="24">
        <f t="shared" si="165"/>
        <v>0.28997999999999996</v>
      </c>
      <c r="AP150" s="24">
        <f t="shared" si="165"/>
        <v>0.28613027529683921</v>
      </c>
      <c r="AQ150" s="24">
        <f t="shared" si="165"/>
        <v>0.27590526085528511</v>
      </c>
      <c r="AR150" s="24">
        <f t="shared" si="165"/>
        <v>0.26362599487969951</v>
      </c>
      <c r="AS150" s="24">
        <f t="shared" si="165"/>
        <v>0.24727833589356388</v>
      </c>
      <c r="AT150" s="24">
        <f t="shared" si="165"/>
        <v>0.23440049999999998</v>
      </c>
      <c r="AU150"/>
      <c r="AV150" s="118">
        <f>IFERROR(INDEX('Fuel Model - Calculation'!$B$2:$M$3771,(MATCH(($E150&amp;"Results"&amp;$AV$140&amp;$F150&amp;"USD/ton"),'Fuel Model - Calculation'!$B$2:$B$3771,0)),MATCH(H$141,'Fuel Model - Calculation'!$B$2:$M$2,0)),0)</f>
        <v>834.56378502732105</v>
      </c>
      <c r="AW150" s="118">
        <f>IFERROR(INDEX('Fuel Model - Calculation'!$B$2:$M$3771,(MATCH(($E150&amp;"Results"&amp;$AV$140&amp;$F150&amp;"USD/ton"),'Fuel Model - Calculation'!$B$2:$B$3771,0)),MATCH(I$141,'Fuel Model - Calculation'!$B$2:$M$2,0)),0)</f>
        <v>699.417596820565</v>
      </c>
      <c r="AX150" s="118">
        <f>IFERROR(INDEX('Fuel Model - Calculation'!$B$2:$M$3771,(MATCH(($E150&amp;"Results"&amp;$AV$140&amp;$F150&amp;"USD/ton"),'Fuel Model - Calculation'!$B$2:$B$3771,0)),MATCH(J$141,'Fuel Model - Calculation'!$B$2:$M$2,0)),0)</f>
        <v>612.07387159729501</v>
      </c>
      <c r="AY150" s="118">
        <f>IFERROR(INDEX('Fuel Model - Calculation'!$B$2:$M$3771,(MATCH(($E150&amp;"Results"&amp;$AV$140&amp;$F150&amp;"USD/ton"),'Fuel Model - Calculation'!$B$2:$B$3771,0)),MATCH(K$141,'Fuel Model - Calculation'!$B$2:$M$2,0)),0)</f>
        <v>644.60958264232977</v>
      </c>
      <c r="AZ150" s="118">
        <f>IFERROR(INDEX('Fuel Model - Calculation'!$B$2:$M$3771,(MATCH(($E150&amp;"Results"&amp;$AV$140&amp;$F150&amp;"USD/ton"),'Fuel Model - Calculation'!$B$2:$B$3771,0)),MATCH(L$141,'Fuel Model - Calculation'!$B$2:$M$2,0)),0)</f>
        <v>593.14324244697627</v>
      </c>
      <c r="BA150" s="118">
        <f>IFERROR(INDEX('Fuel Model - Calculation'!$B$2:$M$3771,(MATCH(($E150&amp;"Results"&amp;$AV$140&amp;$F150&amp;"USD/ton"),'Fuel Model - Calculation'!$B$2:$B$3771,0)),MATCH(M$141,'Fuel Model - Calculation'!$B$2:$M$2,0)),0)</f>
        <v>473.75253072318327</v>
      </c>
      <c r="BB150" s="118">
        <f>IFERROR(INDEX('Fuel Model - Calculation'!$B$2:$M$3771,(MATCH(($E150&amp;"Results"&amp;$AV$140&amp;$F150&amp;"USD/ton"),'Fuel Model - Calculation'!$B$2:$B$3771,0)),MATCH(N$141,'Fuel Model - Calculation'!$B$2:$M$2,0)),0)</f>
        <v>310.3543040757653</v>
      </c>
      <c r="BC150"/>
      <c r="BD150" s="118">
        <f>IFERROR(INDEX('Fuel Model - Calculation'!$B$2:$M$3771,(MATCH(($E150&amp;"Results"&amp;$BD$140&amp;$F150&amp;"USD/ton"),'Fuel Model - Calculation'!$B$2:$B$3771,0)),MATCH(P$141,'Fuel Model - Calculation'!$B$2:$M$2,0)),0)</f>
        <v>955.35995222387487</v>
      </c>
      <c r="BE150" s="118">
        <f>IFERROR(INDEX('Fuel Model - Calculation'!$B$2:$M$3771,(MATCH(($E150&amp;"Results"&amp;$BD$140&amp;$F150&amp;"USD/ton"),'Fuel Model - Calculation'!$B$2:$B$3771,0)),MATCH(Q$141,'Fuel Model - Calculation'!$B$2:$M$2,0)),0)</f>
        <v>791.79350583460177</v>
      </c>
      <c r="BF150" s="118">
        <f>IFERROR(INDEX('Fuel Model - Calculation'!$B$2:$M$3771,(MATCH(($E150&amp;"Results"&amp;$BD$140&amp;$F150&amp;"USD/ton"),'Fuel Model - Calculation'!$B$2:$B$3771,0)),MATCH(R$141,'Fuel Model - Calculation'!$B$2:$M$2,0)),0)</f>
        <v>644.04087502628227</v>
      </c>
      <c r="BG150" s="118">
        <f>IFERROR(INDEX('Fuel Model - Calculation'!$B$2:$M$3771,(MATCH(($E150&amp;"Results"&amp;$BD$140&amp;$F150&amp;"USD/ton"),'Fuel Model - Calculation'!$B$2:$B$3771,0)),MATCH(S$141,'Fuel Model - Calculation'!$B$2:$M$2,0)),0)</f>
        <v>585.70830416221315</v>
      </c>
      <c r="BH150" s="118">
        <f>IFERROR(INDEX('Fuel Model - Calculation'!$B$2:$M$3771,(MATCH(($E150&amp;"Results"&amp;$BD$140&amp;$F150&amp;"USD/ton"),'Fuel Model - Calculation'!$B$2:$B$3771,0)),MATCH(T$141,'Fuel Model - Calculation'!$B$2:$M$2,0)),0)</f>
        <v>451.85237128410148</v>
      </c>
      <c r="BI150" s="118">
        <f>IFERROR(INDEX('Fuel Model - Calculation'!$B$2:$M$3771,(MATCH(($E150&amp;"Results"&amp;$BD$140&amp;$F150&amp;"USD/ton"),'Fuel Model - Calculation'!$B$2:$B$3771,0)),MATCH(U$141,'Fuel Model - Calculation'!$B$2:$M$2,0)),0)</f>
        <v>300.41875021077772</v>
      </c>
      <c r="BJ150" s="118">
        <f>IFERROR(INDEX('Fuel Model - Calculation'!$B$2:$M$3771,(MATCH(($E150&amp;"Results"&amp;$BD$140&amp;$F150&amp;"USD/ton"),'Fuel Model - Calculation'!$B$2:$B$3771,0)),MATCH(V$141,'Fuel Model - Calculation'!$B$2:$M$2,0)),0)</f>
        <v>167.42770167427702</v>
      </c>
      <c r="BL150" s="118">
        <f>IFERROR(IFERROR(INDEX('Fuel Model - Calculation'!$B$2:$M$3771,(MATCH(($E150&amp;"Results"&amp;$BL$140&amp;$F150&amp;"USD/ton"),'Fuel Model - Calculation'!$B$2:$B$3771,0)),MATCH(H$141,'Fuel Model - Calculation'!$B$2:$M$2,0)),0),0)</f>
        <v>0</v>
      </c>
      <c r="BM150" s="118">
        <f>IFERROR(IFERROR(INDEX('Fuel Model - Calculation'!$B$2:$M$3771,(MATCH(($E150&amp;"Results"&amp;$BL$140&amp;$F150&amp;"USD/ton"),'Fuel Model - Calculation'!$B$2:$B$3771,0)),MATCH(I$141,'Fuel Model - Calculation'!$B$2:$M$2,0)),0),0)</f>
        <v>0</v>
      </c>
      <c r="BN150" s="118">
        <f>IFERROR(IFERROR(INDEX('Fuel Model - Calculation'!$B$2:$M$3771,(MATCH(($E150&amp;"Results"&amp;$BL$140&amp;$F150&amp;"USD/ton"),'Fuel Model - Calculation'!$B$2:$B$3771,0)),MATCH(J$141,'Fuel Model - Calculation'!$B$2:$M$2,0)),0),0)</f>
        <v>0</v>
      </c>
      <c r="BO150" s="118">
        <f>IFERROR(IFERROR(INDEX('Fuel Model - Calculation'!$B$2:$M$3771,(MATCH(($E150&amp;"Results"&amp;$BL$140&amp;$F150&amp;"USD/ton"),'Fuel Model - Calculation'!$B$2:$B$3771,0)),MATCH(K$141,'Fuel Model - Calculation'!$B$2:$M$2,0)),0),0)</f>
        <v>0</v>
      </c>
      <c r="BP150" s="118">
        <f>IFERROR(IFERROR(INDEX('Fuel Model - Calculation'!$B$2:$M$3771,(MATCH(($E150&amp;"Results"&amp;$BL$140&amp;$F150&amp;"USD/ton"),'Fuel Model - Calculation'!$B$2:$B$3771,0)),MATCH(L$141,'Fuel Model - Calculation'!$B$2:$M$2,0)),0),0)</f>
        <v>0</v>
      </c>
      <c r="BQ150" s="118">
        <f>IFERROR(IFERROR(INDEX('Fuel Model - Calculation'!$B$2:$M$3771,(MATCH(($E150&amp;"Results"&amp;$BL$140&amp;$F150&amp;"USD/ton"),'Fuel Model - Calculation'!$B$2:$B$3771,0)),MATCH(M$141,'Fuel Model - Calculation'!$B$2:$M$2,0)),0),0)</f>
        <v>0</v>
      </c>
      <c r="BR150" s="118">
        <f>IFERROR(IFERROR(INDEX('Fuel Model - Calculation'!$B$2:$M$3771,(MATCH(($E150&amp;"Results"&amp;$BL$140&amp;$F150&amp;"USD/ton"),'Fuel Model - Calculation'!$B$2:$B$3771,0)),MATCH(N$141,'Fuel Model - Calculation'!$B$2:$M$2,0)),0),0)</f>
        <v>0</v>
      </c>
      <c r="BT150" s="118">
        <f>IFERROR(INDEX('Fuel Model - Calculation'!$B$2:$M$3771,(MATCH(($E150&amp;"Results"&amp;$BT$140&amp;$F150&amp;"USD/ton"),'Fuel Model - Calculation'!$B$2:$B$3771,0)),MATCH(H$141,'Fuel Model - Calculation'!$B$2:$M$2,0)),0)</f>
        <v>0</v>
      </c>
      <c r="BU150" s="118">
        <f>IFERROR(INDEX('Fuel Model - Calculation'!$B$2:$M$3771,(MATCH(($E150&amp;"Results"&amp;$BT$140&amp;$F150&amp;"USD/ton"),'Fuel Model - Calculation'!$B$2:$B$3771,0)),MATCH(I$141,'Fuel Model - Calculation'!$B$2:$M$2,0)),0)</f>
        <v>0</v>
      </c>
      <c r="BV150" s="118">
        <f>IFERROR(INDEX('Fuel Model - Calculation'!$B$2:$M$3771,(MATCH(($E150&amp;"Results"&amp;$BT$140&amp;$F150&amp;"USD/ton"),'Fuel Model - Calculation'!$B$2:$B$3771,0)),MATCH(J$141,'Fuel Model - Calculation'!$B$2:$M$2,0)),0)</f>
        <v>0</v>
      </c>
      <c r="BW150" s="118">
        <f>IFERROR(INDEX('Fuel Model - Calculation'!$B$2:$M$3771,(MATCH(($E150&amp;"Results"&amp;$BT$140&amp;$F150&amp;"USD/ton"),'Fuel Model - Calculation'!$B$2:$B$3771,0)),MATCH(K$141,'Fuel Model - Calculation'!$B$2:$M$2,0)),0)</f>
        <v>0</v>
      </c>
      <c r="BX150" s="118">
        <f>IFERROR(INDEX('Fuel Model - Calculation'!$B$2:$M$3771,(MATCH(($E150&amp;"Results"&amp;$BT$140&amp;$F150&amp;"USD/ton"),'Fuel Model - Calculation'!$B$2:$B$3771,0)),MATCH(L$141,'Fuel Model - Calculation'!$B$2:$M$2,0)),0)</f>
        <v>0</v>
      </c>
      <c r="BY150" s="118">
        <f>IFERROR(INDEX('Fuel Model - Calculation'!$B$2:$M$3771,(MATCH(($E150&amp;"Results"&amp;$BT$140&amp;$F150&amp;"USD/ton"),'Fuel Model - Calculation'!$B$2:$B$3771,0)),MATCH(M$141,'Fuel Model - Calculation'!$B$2:$M$2,0)),0)</f>
        <v>0</v>
      </c>
      <c r="BZ150" s="118">
        <f>IFERROR(INDEX('Fuel Model - Calculation'!$B$2:$M$3771,(MATCH(($E150&amp;"Results"&amp;$BT$140&amp;$F150&amp;"USD/ton"),'Fuel Model - Calculation'!$B$2:$B$3771,0)),MATCH(N$141,'Fuel Model - Calculation'!$B$2:$M$2,0)),0)</f>
        <v>0</v>
      </c>
    </row>
    <row r="151" spans="1:78" x14ac:dyDescent="0.2">
      <c r="A151" s="452"/>
      <c r="B151" s="453" t="str">
        <f>_xlfn.TEXTJOIN(keydelim,TRUE,F151,IF(E151="Africa","Africa&amp;other",E151),"Fuel cost",SUBSTITUTE($G151," ",""))</f>
        <v>e-Hydrogen (compressed) - Americas - Fuel cost - USD/ton</v>
      </c>
      <c r="D151" s="459" t="str">
        <f t="shared" si="166"/>
        <v>Americase-Hydrogen (compressed)</v>
      </c>
      <c r="E151" t="s">
        <v>199</v>
      </c>
      <c r="F151" s="460" t="s">
        <v>584</v>
      </c>
      <c r="G151" t="s">
        <v>835</v>
      </c>
      <c r="H151" s="118">
        <f>INDEX('Fuel Model - Calculation'!$B$2:$M$3771,(MATCH(($E151&amp;"ResultsCost of "&amp;$F151&amp;"USD/ton"),'Fuel Model - Calculation'!$B$2:$B$3771,0)),MATCH(H$141,'Fuel Model - Calculation'!$B$2:$M$2,0))</f>
        <v>3917.5510827043104</v>
      </c>
      <c r="I151" s="118">
        <f>INDEX('Fuel Model - Calculation'!$B$2:$M$3771,(MATCH(($E151&amp;"ResultsCost of "&amp;$F151&amp;"USD/ton"),'Fuel Model - Calculation'!$B$2:$B$3771,0)),MATCH(I$141,'Fuel Model - Calculation'!$B$2:$M$2,0))</f>
        <v>3403.7671059207719</v>
      </c>
      <c r="J151" s="118">
        <f>INDEX('Fuel Model - Calculation'!$B$2:$M$3771,(MATCH(($E151&amp;"ResultsCost of "&amp;$F151&amp;"USD/ton"),'Fuel Model - Calculation'!$B$2:$B$3771,0)),MATCH(J$141,'Fuel Model - Calculation'!$B$2:$M$2,0))</f>
        <v>2801.3125143360453</v>
      </c>
      <c r="K151" s="118">
        <f>INDEX('Fuel Model - Calculation'!$B$2:$M$3771,(MATCH(($E151&amp;"ResultsCost of "&amp;$F151&amp;"USD/ton"),'Fuel Model - Calculation'!$B$2:$B$3771,0)),MATCH(K$141,'Fuel Model - Calculation'!$B$2:$M$2,0))</f>
        <v>2562.0142582767162</v>
      </c>
      <c r="L151" s="118">
        <f>INDEX('Fuel Model - Calculation'!$B$2:$M$3771,(MATCH(($E151&amp;"ResultsCost of "&amp;$F151&amp;"USD/ton"),'Fuel Model - Calculation'!$B$2:$B$3771,0)),MATCH(L$141,'Fuel Model - Calculation'!$B$2:$M$2,0))</f>
        <v>2195.0538476919683</v>
      </c>
      <c r="M151" s="118">
        <f>INDEX('Fuel Model - Calculation'!$B$2:$M$3771,(MATCH(($E151&amp;"ResultsCost of "&amp;$F151&amp;"USD/ton"),'Fuel Model - Calculation'!$B$2:$B$3771,0)),MATCH(M$141,'Fuel Model - Calculation'!$B$2:$M$2,0))</f>
        <v>1807.2814897689209</v>
      </c>
      <c r="N151" s="118">
        <f>INDEX('Fuel Model - Calculation'!$B$2:$M$3771,(MATCH(($E151&amp;"ResultsCost of "&amp;$F151&amp;"USD/ton"),'Fuel Model - Calculation'!$B$2:$B$3771,0)),MATCH(N$141,'Fuel Model - Calculation'!$B$2:$M$2,0))</f>
        <v>1424.5607139134172</v>
      </c>
      <c r="O151"/>
      <c r="P151" s="118">
        <f>IFERROR(INDEX('Fuel Model - Calculation'!G$2:G$3771,(MATCH(($E151&amp;"ResultsTotal RNE "&amp;$F151&amp;"USD/ton"),'Fuel Model - Calculation'!$B$2:$B$3771,0))),0)</f>
        <v>2114.1273454531142</v>
      </c>
      <c r="Q151" s="118">
        <f>IFERROR(INDEX('Fuel Model - Calculation'!H$2:H$3771,(MATCH(($E151&amp;"ResultsTotal RNE "&amp;$F151&amp;"USD/ton"),'Fuel Model - Calculation'!$B$2:$B$3771,0))),0)</f>
        <v>1899.0560032656049</v>
      </c>
      <c r="R151" s="118">
        <f>IFERROR(INDEX('Fuel Model - Calculation'!I$2:I$3771,(MATCH(($E151&amp;"ResultsTotal RNE "&amp;$F151&amp;"USD/ton"),'Fuel Model - Calculation'!$B$2:$B$3771,0))),0)</f>
        <v>1531.6977677124682</v>
      </c>
      <c r="S151" s="118">
        <f>IFERROR(INDEX('Fuel Model - Calculation'!J$2:J$3771,(MATCH(($E151&amp;"ResultsTotal RNE "&amp;$F151&amp;"USD/ton"),'Fuel Model - Calculation'!$B$2:$B$3771,0))),0)</f>
        <v>1318.1963714721735</v>
      </c>
      <c r="T151" s="118">
        <f>IFERROR(INDEX('Fuel Model - Calculation'!K$2:K$3771,(MATCH(($E151&amp;"ResultsTotal RNE "&amp;$F151&amp;"USD/ton"),'Fuel Model - Calculation'!$B$2:$B$3771,0))),0)</f>
        <v>1136.5582339608904</v>
      </c>
      <c r="U151" s="118">
        <f>IFERROR(INDEX('Fuel Model - Calculation'!L$2:L$3771,(MATCH(($E151&amp;"ResultsTotal RNE "&amp;$F151&amp;"USD/ton"),'Fuel Model - Calculation'!$B$2:$B$3771,0))),0)</f>
        <v>1019.6102088349598</v>
      </c>
      <c r="V151" s="118">
        <f>IFERROR(INDEX('Fuel Model - Calculation'!M$2:M$3771,(MATCH(($E151&amp;"ResultsTotal RNE "&amp;$F151&amp;"USD/ton"),'Fuel Model - Calculation'!$B$2:$B$3771,0))),0)</f>
        <v>933.27870816337486</v>
      </c>
      <c r="W151"/>
      <c r="X151" s="2">
        <f>INDEX('Fuel Model - Calculation'!$E$2:$M$3771,(MATCH(("WTT Emission - "&amp;$F151),'Fuel Model - Calculation'!$E$2:$E$3771,0)),MATCH(X$141,'Fuel Model - Calculation'!$E$2:$M$2,0))</f>
        <v>0.29135003961027883</v>
      </c>
      <c r="Y151" s="2">
        <f>INDEX('Fuel Model - Calculation'!$E$2:$M$3771,(MATCH(("WTT Emission - "&amp;$F151),'Fuel Model - Calculation'!$E$2:$E$3771,0)),MATCH(Y$141,'Fuel Model - Calculation'!$E$2:$M$2,0))</f>
        <v>0.28997999999999996</v>
      </c>
      <c r="Z151" s="2">
        <f>INDEX('Fuel Model - Calculation'!$E$2:$M$3771,(MATCH(("WTT Emission - "&amp;$F151),'Fuel Model - Calculation'!$E$2:$E$3771,0)),MATCH(Z$141,'Fuel Model - Calculation'!$E$2:$M$2,0))</f>
        <v>0.28613027529683921</v>
      </c>
      <c r="AA151" s="2">
        <f>INDEX('Fuel Model - Calculation'!$E$2:$M$3771,(MATCH(("WTT Emission - "&amp;$F151),'Fuel Model - Calculation'!$E$2:$E$3771,0)),MATCH(AA$141,'Fuel Model - Calculation'!$E$2:$M$2,0))</f>
        <v>0.27590526085528511</v>
      </c>
      <c r="AB151" s="2">
        <f>INDEX('Fuel Model - Calculation'!$E$2:$M$3771,(MATCH(("WTT Emission - "&amp;$F151),'Fuel Model - Calculation'!$E$2:$E$3771,0)),MATCH(AB$141,'Fuel Model - Calculation'!$E$2:$M$2,0))</f>
        <v>0.26362599487969951</v>
      </c>
      <c r="AC151" s="2">
        <f>INDEX('Fuel Model - Calculation'!$E$2:$M$3771,(MATCH(("WTT Emission - "&amp;$F151),'Fuel Model - Calculation'!$E$2:$E$3771,0)),MATCH(AC$141,'Fuel Model - Calculation'!$E$2:$M$2,0))</f>
        <v>0.24727833589356388</v>
      </c>
      <c r="AD151" s="2">
        <f>INDEX('Fuel Model - Calculation'!$E$2:$M$3771,(MATCH(("WTT Emission - "&amp;$F151),'Fuel Model - Calculation'!$E$2:$E$3771,0)),MATCH(AD$141,'Fuel Model - Calculation'!$E$2:$M$2,0))</f>
        <v>0.23440049999999998</v>
      </c>
      <c r="AE151" s="2"/>
      <c r="AF151" s="2">
        <f>'Fuel Model -  Input'!H$47</f>
        <v>0</v>
      </c>
      <c r="AG151" s="2">
        <f>'Fuel Model -  Input'!I$47</f>
        <v>0</v>
      </c>
      <c r="AH151" s="2">
        <f>'Fuel Model -  Input'!J$47</f>
        <v>0</v>
      </c>
      <c r="AI151" s="2">
        <f>'Fuel Model -  Input'!K$47</f>
        <v>0</v>
      </c>
      <c r="AJ151" s="2">
        <f>'Fuel Model -  Input'!L$47</f>
        <v>0</v>
      </c>
      <c r="AK151" s="2">
        <f>'Fuel Model -  Input'!M$47</f>
        <v>0</v>
      </c>
      <c r="AL151" s="2">
        <f>'Fuel Model -  Input'!N$47</f>
        <v>0</v>
      </c>
      <c r="AM151"/>
      <c r="AN151" s="24">
        <f t="shared" si="165"/>
        <v>0.29135003961027883</v>
      </c>
      <c r="AO151" s="24">
        <f t="shared" si="165"/>
        <v>0.28997999999999996</v>
      </c>
      <c r="AP151" s="24">
        <f t="shared" si="165"/>
        <v>0.28613027529683921</v>
      </c>
      <c r="AQ151" s="24">
        <f t="shared" si="165"/>
        <v>0.27590526085528511</v>
      </c>
      <c r="AR151" s="24">
        <f t="shared" si="165"/>
        <v>0.26362599487969951</v>
      </c>
      <c r="AS151" s="24">
        <f t="shared" si="165"/>
        <v>0.24727833589356388</v>
      </c>
      <c r="AT151" s="24">
        <f t="shared" si="165"/>
        <v>0.23440049999999998</v>
      </c>
      <c r="AU151"/>
      <c r="AV151" s="118">
        <f>IFERROR(INDEX('Fuel Model - Calculation'!$B$2:$M$3771,(MATCH(($E151&amp;"Results"&amp;$AV$140&amp;$F151&amp;"USD/ton"),'Fuel Model - Calculation'!$B$2:$B$3771,0)),MATCH(H$141,'Fuel Model - Calculation'!$B$2:$M$2,0)),0)</f>
        <v>834.56378502732105</v>
      </c>
      <c r="AW151" s="118">
        <f>IFERROR(INDEX('Fuel Model - Calculation'!$B$2:$M$3771,(MATCH(($E151&amp;"Results"&amp;$AV$140&amp;$F151&amp;"USD/ton"),'Fuel Model - Calculation'!$B$2:$B$3771,0)),MATCH(I$141,'Fuel Model - Calculation'!$B$2:$M$2,0)),0)</f>
        <v>699.417596820565</v>
      </c>
      <c r="AX151" s="118">
        <f>IFERROR(INDEX('Fuel Model - Calculation'!$B$2:$M$3771,(MATCH(($E151&amp;"Results"&amp;$AV$140&amp;$F151&amp;"USD/ton"),'Fuel Model - Calculation'!$B$2:$B$3771,0)),MATCH(J$141,'Fuel Model - Calculation'!$B$2:$M$2,0)),0)</f>
        <v>612.07387159729501</v>
      </c>
      <c r="AY151" s="118">
        <f>IFERROR(INDEX('Fuel Model - Calculation'!$B$2:$M$3771,(MATCH(($E151&amp;"Results"&amp;$AV$140&amp;$F151&amp;"USD/ton"),'Fuel Model - Calculation'!$B$2:$B$3771,0)),MATCH(K$141,'Fuel Model - Calculation'!$B$2:$M$2,0)),0)</f>
        <v>644.60958264232977</v>
      </c>
      <c r="AZ151" s="118">
        <f>IFERROR(INDEX('Fuel Model - Calculation'!$B$2:$M$3771,(MATCH(($E151&amp;"Results"&amp;$AV$140&amp;$F151&amp;"USD/ton"),'Fuel Model - Calculation'!$B$2:$B$3771,0)),MATCH(L$141,'Fuel Model - Calculation'!$B$2:$M$2,0)),0)</f>
        <v>593.14324244697627</v>
      </c>
      <c r="BA151" s="118">
        <f>IFERROR(INDEX('Fuel Model - Calculation'!$B$2:$M$3771,(MATCH(($E151&amp;"Results"&amp;$AV$140&amp;$F151&amp;"USD/ton"),'Fuel Model - Calculation'!$B$2:$B$3771,0)),MATCH(M$141,'Fuel Model - Calculation'!$B$2:$M$2,0)),0)</f>
        <v>473.75253072318327</v>
      </c>
      <c r="BB151" s="118">
        <f>IFERROR(INDEX('Fuel Model - Calculation'!$B$2:$M$3771,(MATCH(($E151&amp;"Results"&amp;$AV$140&amp;$F151&amp;"USD/ton"),'Fuel Model - Calculation'!$B$2:$B$3771,0)),MATCH(N$141,'Fuel Model - Calculation'!$B$2:$M$2,0)),0)</f>
        <v>310.3543040757653</v>
      </c>
      <c r="BC151"/>
      <c r="BD151" s="118">
        <f>IFERROR(INDEX('Fuel Model - Calculation'!$B$2:$M$3771,(MATCH(($E151&amp;"Results"&amp;$BD$140&amp;$F151&amp;"USD/ton"),'Fuel Model - Calculation'!$B$2:$B$3771,0)),MATCH(P$141,'Fuel Model - Calculation'!$B$2:$M$2,0)),0)</f>
        <v>955.35995222387487</v>
      </c>
      <c r="BE151" s="118">
        <f>IFERROR(INDEX('Fuel Model - Calculation'!$B$2:$M$3771,(MATCH(($E151&amp;"Results"&amp;$BD$140&amp;$F151&amp;"USD/ton"),'Fuel Model - Calculation'!$B$2:$B$3771,0)),MATCH(Q$141,'Fuel Model - Calculation'!$B$2:$M$2,0)),0)</f>
        <v>791.79350583460177</v>
      </c>
      <c r="BF151" s="118">
        <f>IFERROR(INDEX('Fuel Model - Calculation'!$B$2:$M$3771,(MATCH(($E151&amp;"Results"&amp;$BD$140&amp;$F151&amp;"USD/ton"),'Fuel Model - Calculation'!$B$2:$B$3771,0)),MATCH(R$141,'Fuel Model - Calculation'!$B$2:$M$2,0)),0)</f>
        <v>644.04087502628227</v>
      </c>
      <c r="BG151" s="118">
        <f>IFERROR(INDEX('Fuel Model - Calculation'!$B$2:$M$3771,(MATCH(($E151&amp;"Results"&amp;$BD$140&amp;$F151&amp;"USD/ton"),'Fuel Model - Calculation'!$B$2:$B$3771,0)),MATCH(S$141,'Fuel Model - Calculation'!$B$2:$M$2,0)),0)</f>
        <v>585.70830416221315</v>
      </c>
      <c r="BH151" s="118">
        <f>IFERROR(INDEX('Fuel Model - Calculation'!$B$2:$M$3771,(MATCH(($E151&amp;"Results"&amp;$BD$140&amp;$F151&amp;"USD/ton"),'Fuel Model - Calculation'!$B$2:$B$3771,0)),MATCH(T$141,'Fuel Model - Calculation'!$B$2:$M$2,0)),0)</f>
        <v>451.85237128410148</v>
      </c>
      <c r="BI151" s="118">
        <f>IFERROR(INDEX('Fuel Model - Calculation'!$B$2:$M$3771,(MATCH(($E151&amp;"Results"&amp;$BD$140&amp;$F151&amp;"USD/ton"),'Fuel Model - Calculation'!$B$2:$B$3771,0)),MATCH(U$141,'Fuel Model - Calculation'!$B$2:$M$2,0)),0)</f>
        <v>300.41875021077772</v>
      </c>
      <c r="BJ151" s="118">
        <f>IFERROR(INDEX('Fuel Model - Calculation'!$B$2:$M$3771,(MATCH(($E151&amp;"Results"&amp;$BD$140&amp;$F151&amp;"USD/ton"),'Fuel Model - Calculation'!$B$2:$B$3771,0)),MATCH(V$141,'Fuel Model - Calculation'!$B$2:$M$2,0)),0)</f>
        <v>167.42770167427702</v>
      </c>
      <c r="BL151" s="118">
        <f>IFERROR(IFERROR(INDEX('Fuel Model - Calculation'!$B$2:$M$3771,(MATCH(($E151&amp;"Results"&amp;$BL$140&amp;$F151&amp;"USD/ton"),'Fuel Model - Calculation'!$B$2:$B$3771,0)),MATCH(H$141,'Fuel Model - Calculation'!$B$2:$M$2,0)),0),0)</f>
        <v>0</v>
      </c>
      <c r="BM151" s="118">
        <f>IFERROR(IFERROR(INDEX('Fuel Model - Calculation'!$B$2:$M$3771,(MATCH(($E151&amp;"Results"&amp;$BL$140&amp;$F151&amp;"USD/ton"),'Fuel Model - Calculation'!$B$2:$B$3771,0)),MATCH(I$141,'Fuel Model - Calculation'!$B$2:$M$2,0)),0),0)</f>
        <v>0</v>
      </c>
      <c r="BN151" s="118">
        <f>IFERROR(IFERROR(INDEX('Fuel Model - Calculation'!$B$2:$M$3771,(MATCH(($E151&amp;"Results"&amp;$BL$140&amp;$F151&amp;"USD/ton"),'Fuel Model - Calculation'!$B$2:$B$3771,0)),MATCH(J$141,'Fuel Model - Calculation'!$B$2:$M$2,0)),0),0)</f>
        <v>0</v>
      </c>
      <c r="BO151" s="118">
        <f>IFERROR(IFERROR(INDEX('Fuel Model - Calculation'!$B$2:$M$3771,(MATCH(($E151&amp;"Results"&amp;$BL$140&amp;$F151&amp;"USD/ton"),'Fuel Model - Calculation'!$B$2:$B$3771,0)),MATCH(K$141,'Fuel Model - Calculation'!$B$2:$M$2,0)),0),0)</f>
        <v>0</v>
      </c>
      <c r="BP151" s="118">
        <f>IFERROR(IFERROR(INDEX('Fuel Model - Calculation'!$B$2:$M$3771,(MATCH(($E151&amp;"Results"&amp;$BL$140&amp;$F151&amp;"USD/ton"),'Fuel Model - Calculation'!$B$2:$B$3771,0)),MATCH(L$141,'Fuel Model - Calculation'!$B$2:$M$2,0)),0),0)</f>
        <v>0</v>
      </c>
      <c r="BQ151" s="118">
        <f>IFERROR(IFERROR(INDEX('Fuel Model - Calculation'!$B$2:$M$3771,(MATCH(($E151&amp;"Results"&amp;$BL$140&amp;$F151&amp;"USD/ton"),'Fuel Model - Calculation'!$B$2:$B$3771,0)),MATCH(M$141,'Fuel Model - Calculation'!$B$2:$M$2,0)),0),0)</f>
        <v>0</v>
      </c>
      <c r="BR151" s="118">
        <f>IFERROR(IFERROR(INDEX('Fuel Model - Calculation'!$B$2:$M$3771,(MATCH(($E151&amp;"Results"&amp;$BL$140&amp;$F151&amp;"USD/ton"),'Fuel Model - Calculation'!$B$2:$B$3771,0)),MATCH(N$141,'Fuel Model - Calculation'!$B$2:$M$2,0)),0),0)</f>
        <v>0</v>
      </c>
      <c r="BT151" s="118">
        <f>IFERROR(INDEX('Fuel Model - Calculation'!$B$2:$M$3771,(MATCH(($E151&amp;"Results"&amp;$BT$140&amp;$F151&amp;"USD/ton"),'Fuel Model - Calculation'!$B$2:$B$3771,0)),MATCH(H$141,'Fuel Model - Calculation'!$B$2:$M$2,0)),0)</f>
        <v>0</v>
      </c>
      <c r="BU151" s="118">
        <f>IFERROR(INDEX('Fuel Model - Calculation'!$B$2:$M$3771,(MATCH(($E151&amp;"Results"&amp;$BT$140&amp;$F151&amp;"USD/ton"),'Fuel Model - Calculation'!$B$2:$B$3771,0)),MATCH(I$141,'Fuel Model - Calculation'!$B$2:$M$2,0)),0)</f>
        <v>0</v>
      </c>
      <c r="BV151" s="118">
        <f>IFERROR(INDEX('Fuel Model - Calculation'!$B$2:$M$3771,(MATCH(($E151&amp;"Results"&amp;$BT$140&amp;$F151&amp;"USD/ton"),'Fuel Model - Calculation'!$B$2:$B$3771,0)),MATCH(J$141,'Fuel Model - Calculation'!$B$2:$M$2,0)),0)</f>
        <v>0</v>
      </c>
      <c r="BW151" s="118">
        <f>IFERROR(INDEX('Fuel Model - Calculation'!$B$2:$M$3771,(MATCH(($E151&amp;"Results"&amp;$BT$140&amp;$F151&amp;"USD/ton"),'Fuel Model - Calculation'!$B$2:$B$3771,0)),MATCH(K$141,'Fuel Model - Calculation'!$B$2:$M$2,0)),0)</f>
        <v>0</v>
      </c>
      <c r="BX151" s="118">
        <f>IFERROR(INDEX('Fuel Model - Calculation'!$B$2:$M$3771,(MATCH(($E151&amp;"Results"&amp;$BT$140&amp;$F151&amp;"USD/ton"),'Fuel Model - Calculation'!$B$2:$B$3771,0)),MATCH(L$141,'Fuel Model - Calculation'!$B$2:$M$2,0)),0)</f>
        <v>0</v>
      </c>
      <c r="BY151" s="118">
        <f>IFERROR(INDEX('Fuel Model - Calculation'!$B$2:$M$3771,(MATCH(($E151&amp;"Results"&amp;$BT$140&amp;$F151&amp;"USD/ton"),'Fuel Model - Calculation'!$B$2:$B$3771,0)),MATCH(M$141,'Fuel Model - Calculation'!$B$2:$M$2,0)),0)</f>
        <v>0</v>
      </c>
      <c r="BZ151" s="118">
        <f>IFERROR(INDEX('Fuel Model - Calculation'!$B$2:$M$3771,(MATCH(($E151&amp;"Results"&amp;$BT$140&amp;$F151&amp;"USD/ton"),'Fuel Model - Calculation'!$B$2:$B$3771,0)),MATCH(N$141,'Fuel Model - Calculation'!$B$2:$M$2,0)),0)</f>
        <v>0</v>
      </c>
    </row>
    <row r="152" spans="1:78" x14ac:dyDescent="0.2">
      <c r="A152" s="452"/>
      <c r="B152" s="453" t="str">
        <f>_xlfn.TEXTJOIN(keydelim,TRUE,F152,IF(E152="Africa","Africa&amp;other",E152),"Fuel cost",SUBSTITUTE($G152," ",""))</f>
        <v>e-Hydrogen (compressed) - Africa&amp;other - Fuel cost - USD/ton</v>
      </c>
      <c r="D152" s="459" t="str">
        <f t="shared" si="166"/>
        <v>Africae-Hydrogen (compressed)</v>
      </c>
      <c r="E152" t="s">
        <v>200</v>
      </c>
      <c r="F152" s="460" t="s">
        <v>584</v>
      </c>
      <c r="G152" t="s">
        <v>835</v>
      </c>
      <c r="H152" s="118">
        <f>INDEX('Fuel Model - Calculation'!$B$2:$M$3771,(MATCH(($E152&amp;"ResultsCost of "&amp;$F152&amp;"USD/ton"),'Fuel Model - Calculation'!$B$2:$B$3771,0)),MATCH(H$141,'Fuel Model - Calculation'!$B$2:$M$2,0))</f>
        <v>6087.3728137696917</v>
      </c>
      <c r="I152" s="118">
        <f>INDEX('Fuel Model - Calculation'!$B$2:$M$3771,(MATCH(($E152&amp;"ResultsCost of "&amp;$F152&amp;"USD/ton"),'Fuel Model - Calculation'!$B$2:$B$3771,0)),MATCH(I$141,'Fuel Model - Calculation'!$B$2:$M$2,0))</f>
        <v>3917.257522938557</v>
      </c>
      <c r="J152" s="118">
        <f>INDEX('Fuel Model - Calculation'!$B$2:$M$3771,(MATCH(($E152&amp;"ResultsCost of "&amp;$F152&amp;"USD/ton"),'Fuel Model - Calculation'!$B$2:$B$3771,0)),MATCH(J$141,'Fuel Model - Calculation'!$B$2:$M$2,0))</f>
        <v>3140.9164010034965</v>
      </c>
      <c r="K152" s="118">
        <f>INDEX('Fuel Model - Calculation'!$B$2:$M$3771,(MATCH(($E152&amp;"ResultsCost of "&amp;$F152&amp;"USD/ton"),'Fuel Model - Calculation'!$B$2:$B$3771,0)),MATCH(K$141,'Fuel Model - Calculation'!$B$2:$M$2,0))</f>
        <v>2774.1601086515066</v>
      </c>
      <c r="L152" s="118">
        <f>INDEX('Fuel Model - Calculation'!$B$2:$M$3771,(MATCH(($E152&amp;"ResultsCost of "&amp;$F152&amp;"USD/ton"),'Fuel Model - Calculation'!$B$2:$B$3771,0)),MATCH(L$141,'Fuel Model - Calculation'!$B$2:$M$2,0))</f>
        <v>2397.4624784020543</v>
      </c>
      <c r="M152" s="118">
        <f>INDEX('Fuel Model - Calculation'!$B$2:$M$3771,(MATCH(($E152&amp;"ResultsCost of "&amp;$F152&amp;"USD/ton"),'Fuel Model - Calculation'!$B$2:$B$3771,0)),MATCH(M$141,'Fuel Model - Calculation'!$B$2:$M$2,0))</f>
        <v>1924.7159131451044</v>
      </c>
      <c r="N152" s="118">
        <f>INDEX('Fuel Model - Calculation'!$B$2:$M$3771,(MATCH(($E152&amp;"ResultsCost of "&amp;$F152&amp;"USD/ton"),'Fuel Model - Calculation'!$B$2:$B$3771,0)),MATCH(N$141,'Fuel Model - Calculation'!$B$2:$M$2,0))</f>
        <v>1513.7950366190555</v>
      </c>
      <c r="O152"/>
      <c r="P152" s="118">
        <f>IFERROR(INDEX('Fuel Model - Calculation'!G$2:G$3771,(MATCH(($E152&amp;"ResultsTotal RNE "&amp;$F152&amp;"USD/ton"),'Fuel Model - Calculation'!$B$2:$B$3771,0))),0)</f>
        <v>4283.9490765184964</v>
      </c>
      <c r="Q152" s="118">
        <f>IFERROR(INDEX('Fuel Model - Calculation'!H$2:H$3771,(MATCH(($E152&amp;"ResultsTotal RNE "&amp;$F152&amp;"USD/ton"),'Fuel Model - Calculation'!$B$2:$B$3771,0))),0)</f>
        <v>2412.54642028339</v>
      </c>
      <c r="R152" s="118">
        <f>IFERROR(INDEX('Fuel Model - Calculation'!I$2:I$3771,(MATCH(($E152&amp;"ResultsTotal RNE "&amp;$F152&amp;"USD/ton"),'Fuel Model - Calculation'!$B$2:$B$3771,0))),0)</f>
        <v>1871.3016543799195</v>
      </c>
      <c r="S152" s="118">
        <f>IFERROR(INDEX('Fuel Model - Calculation'!J$2:J$3771,(MATCH(($E152&amp;"ResultsTotal RNE "&amp;$F152&amp;"USD/ton"),'Fuel Model - Calculation'!$B$2:$B$3771,0))),0)</f>
        <v>1530.3422218469639</v>
      </c>
      <c r="T152" s="118">
        <f>IFERROR(INDEX('Fuel Model - Calculation'!K$2:K$3771,(MATCH(($E152&amp;"ResultsTotal RNE "&amp;$F152&amp;"USD/ton"),'Fuel Model - Calculation'!$B$2:$B$3771,0))),0)</f>
        <v>1338.9668646709767</v>
      </c>
      <c r="U152" s="118">
        <f>IFERROR(INDEX('Fuel Model - Calculation'!L$2:L$3771,(MATCH(($E152&amp;"ResultsTotal RNE "&amp;$F152&amp;"USD/ton"),'Fuel Model - Calculation'!$B$2:$B$3771,0))),0)</f>
        <v>1137.0446322111436</v>
      </c>
      <c r="V152" s="118">
        <f>IFERROR(INDEX('Fuel Model - Calculation'!M$2:M$3771,(MATCH(($E152&amp;"ResultsTotal RNE "&amp;$F152&amp;"USD/ton"),'Fuel Model - Calculation'!$B$2:$B$3771,0))),0)</f>
        <v>1022.5130308690132</v>
      </c>
      <c r="W152"/>
      <c r="X152" s="2">
        <f>INDEX('Fuel Model - Calculation'!$E$2:$M$3771,(MATCH(("WTT Emission - "&amp;$F152),'Fuel Model - Calculation'!$E$2:$E$3771,0)),MATCH(X$141,'Fuel Model - Calculation'!$E$2:$M$2,0))</f>
        <v>0.29135003961027883</v>
      </c>
      <c r="Y152" s="2">
        <f>INDEX('Fuel Model - Calculation'!$E$2:$M$3771,(MATCH(("WTT Emission - "&amp;$F152),'Fuel Model - Calculation'!$E$2:$E$3771,0)),MATCH(Y$141,'Fuel Model - Calculation'!$E$2:$M$2,0))</f>
        <v>0.28997999999999996</v>
      </c>
      <c r="Z152" s="2">
        <f>INDEX('Fuel Model - Calculation'!$E$2:$M$3771,(MATCH(("WTT Emission - "&amp;$F152),'Fuel Model - Calculation'!$E$2:$E$3771,0)),MATCH(Z$141,'Fuel Model - Calculation'!$E$2:$M$2,0))</f>
        <v>0.28613027529683921</v>
      </c>
      <c r="AA152" s="2">
        <f>INDEX('Fuel Model - Calculation'!$E$2:$M$3771,(MATCH(("WTT Emission - "&amp;$F152),'Fuel Model - Calculation'!$E$2:$E$3771,0)),MATCH(AA$141,'Fuel Model - Calculation'!$E$2:$M$2,0))</f>
        <v>0.27590526085528511</v>
      </c>
      <c r="AB152" s="2">
        <f>INDEX('Fuel Model - Calculation'!$E$2:$M$3771,(MATCH(("WTT Emission - "&amp;$F152),'Fuel Model - Calculation'!$E$2:$E$3771,0)),MATCH(AB$141,'Fuel Model - Calculation'!$E$2:$M$2,0))</f>
        <v>0.26362599487969951</v>
      </c>
      <c r="AC152" s="2">
        <f>INDEX('Fuel Model - Calculation'!$E$2:$M$3771,(MATCH(("WTT Emission - "&amp;$F152),'Fuel Model - Calculation'!$E$2:$E$3771,0)),MATCH(AC$141,'Fuel Model - Calculation'!$E$2:$M$2,0))</f>
        <v>0.24727833589356388</v>
      </c>
      <c r="AD152" s="2">
        <f>INDEX('Fuel Model - Calculation'!$E$2:$M$3771,(MATCH(("WTT Emission - "&amp;$F152),'Fuel Model - Calculation'!$E$2:$E$3771,0)),MATCH(AD$141,'Fuel Model - Calculation'!$E$2:$M$2,0))</f>
        <v>0.23440049999999998</v>
      </c>
      <c r="AE152" s="2"/>
      <c r="AF152" s="2">
        <f>'Fuel Model -  Input'!H$47</f>
        <v>0</v>
      </c>
      <c r="AG152" s="2">
        <f>'Fuel Model -  Input'!I$47</f>
        <v>0</v>
      </c>
      <c r="AH152" s="2">
        <f>'Fuel Model -  Input'!J$47</f>
        <v>0</v>
      </c>
      <c r="AI152" s="2">
        <f>'Fuel Model -  Input'!K$47</f>
        <v>0</v>
      </c>
      <c r="AJ152" s="2">
        <f>'Fuel Model -  Input'!L$47</f>
        <v>0</v>
      </c>
      <c r="AK152" s="2">
        <f>'Fuel Model -  Input'!M$47</f>
        <v>0</v>
      </c>
      <c r="AL152" s="2">
        <f>'Fuel Model -  Input'!N$47</f>
        <v>0</v>
      </c>
      <c r="AM152"/>
      <c r="AN152" s="24">
        <f t="shared" si="165"/>
        <v>0.29135003961027883</v>
      </c>
      <c r="AO152" s="24">
        <f t="shared" si="165"/>
        <v>0.28997999999999996</v>
      </c>
      <c r="AP152" s="24">
        <f t="shared" si="165"/>
        <v>0.28613027529683921</v>
      </c>
      <c r="AQ152" s="24">
        <f t="shared" si="165"/>
        <v>0.27590526085528511</v>
      </c>
      <c r="AR152" s="24">
        <f t="shared" si="165"/>
        <v>0.26362599487969951</v>
      </c>
      <c r="AS152" s="24">
        <f t="shared" si="165"/>
        <v>0.24727833589356388</v>
      </c>
      <c r="AT152" s="24">
        <f t="shared" si="165"/>
        <v>0.23440049999999998</v>
      </c>
      <c r="AU152"/>
      <c r="AV152" s="118">
        <f>IFERROR(INDEX('Fuel Model - Calculation'!$B$2:$M$3771,(MATCH(($E152&amp;"Results"&amp;$AV$140&amp;$F152&amp;"USD/ton"),'Fuel Model - Calculation'!$B$2:$B$3771,0)),MATCH(H$141,'Fuel Model - Calculation'!$B$2:$M$2,0)),0)</f>
        <v>834.56378502732105</v>
      </c>
      <c r="AW152" s="118">
        <f>IFERROR(INDEX('Fuel Model - Calculation'!$B$2:$M$3771,(MATCH(($E152&amp;"Results"&amp;$AV$140&amp;$F152&amp;"USD/ton"),'Fuel Model - Calculation'!$B$2:$B$3771,0)),MATCH(I$141,'Fuel Model - Calculation'!$B$2:$M$2,0)),0)</f>
        <v>699.417596820565</v>
      </c>
      <c r="AX152" s="118">
        <f>IFERROR(INDEX('Fuel Model - Calculation'!$B$2:$M$3771,(MATCH(($E152&amp;"Results"&amp;$AV$140&amp;$F152&amp;"USD/ton"),'Fuel Model - Calculation'!$B$2:$B$3771,0)),MATCH(J$141,'Fuel Model - Calculation'!$B$2:$M$2,0)),0)</f>
        <v>612.07387159729501</v>
      </c>
      <c r="AY152" s="118">
        <f>IFERROR(INDEX('Fuel Model - Calculation'!$B$2:$M$3771,(MATCH(($E152&amp;"Results"&amp;$AV$140&amp;$F152&amp;"USD/ton"),'Fuel Model - Calculation'!$B$2:$B$3771,0)),MATCH(K$141,'Fuel Model - Calculation'!$B$2:$M$2,0)),0)</f>
        <v>644.60958264232977</v>
      </c>
      <c r="AZ152" s="118">
        <f>IFERROR(INDEX('Fuel Model - Calculation'!$B$2:$M$3771,(MATCH(($E152&amp;"Results"&amp;$AV$140&amp;$F152&amp;"USD/ton"),'Fuel Model - Calculation'!$B$2:$B$3771,0)),MATCH(L$141,'Fuel Model - Calculation'!$B$2:$M$2,0)),0)</f>
        <v>593.14324244697627</v>
      </c>
      <c r="BA152" s="118">
        <f>IFERROR(INDEX('Fuel Model - Calculation'!$B$2:$M$3771,(MATCH(($E152&amp;"Results"&amp;$AV$140&amp;$F152&amp;"USD/ton"),'Fuel Model - Calculation'!$B$2:$B$3771,0)),MATCH(M$141,'Fuel Model - Calculation'!$B$2:$M$2,0)),0)</f>
        <v>473.75253072318327</v>
      </c>
      <c r="BB152" s="118">
        <f>IFERROR(INDEX('Fuel Model - Calculation'!$B$2:$M$3771,(MATCH(($E152&amp;"Results"&amp;$AV$140&amp;$F152&amp;"USD/ton"),'Fuel Model - Calculation'!$B$2:$B$3771,0)),MATCH(N$141,'Fuel Model - Calculation'!$B$2:$M$2,0)),0)</f>
        <v>310.3543040757653</v>
      </c>
      <c r="BC152"/>
      <c r="BD152" s="118">
        <f>IFERROR(INDEX('Fuel Model - Calculation'!$B$2:$M$3771,(MATCH(($E152&amp;"Results"&amp;$BD$140&amp;$F152&amp;"USD/ton"),'Fuel Model - Calculation'!$B$2:$B$3771,0)),MATCH(P$141,'Fuel Model - Calculation'!$B$2:$M$2,0)),0)</f>
        <v>955.35995222387487</v>
      </c>
      <c r="BE152" s="118">
        <f>IFERROR(INDEX('Fuel Model - Calculation'!$B$2:$M$3771,(MATCH(($E152&amp;"Results"&amp;$BD$140&amp;$F152&amp;"USD/ton"),'Fuel Model - Calculation'!$B$2:$B$3771,0)),MATCH(Q$141,'Fuel Model - Calculation'!$B$2:$M$2,0)),0)</f>
        <v>791.79350583460177</v>
      </c>
      <c r="BF152" s="118">
        <f>IFERROR(INDEX('Fuel Model - Calculation'!$B$2:$M$3771,(MATCH(($E152&amp;"Results"&amp;$BD$140&amp;$F152&amp;"USD/ton"),'Fuel Model - Calculation'!$B$2:$B$3771,0)),MATCH(R$141,'Fuel Model - Calculation'!$B$2:$M$2,0)),0)</f>
        <v>644.04087502628227</v>
      </c>
      <c r="BG152" s="118">
        <f>IFERROR(INDEX('Fuel Model - Calculation'!$B$2:$M$3771,(MATCH(($E152&amp;"Results"&amp;$BD$140&amp;$F152&amp;"USD/ton"),'Fuel Model - Calculation'!$B$2:$B$3771,0)),MATCH(S$141,'Fuel Model - Calculation'!$B$2:$M$2,0)),0)</f>
        <v>585.70830416221315</v>
      </c>
      <c r="BH152" s="118">
        <f>IFERROR(INDEX('Fuel Model - Calculation'!$B$2:$M$3771,(MATCH(($E152&amp;"Results"&amp;$BD$140&amp;$F152&amp;"USD/ton"),'Fuel Model - Calculation'!$B$2:$B$3771,0)),MATCH(T$141,'Fuel Model - Calculation'!$B$2:$M$2,0)),0)</f>
        <v>451.85237128410148</v>
      </c>
      <c r="BI152" s="118">
        <f>IFERROR(INDEX('Fuel Model - Calculation'!$B$2:$M$3771,(MATCH(($E152&amp;"Results"&amp;$BD$140&amp;$F152&amp;"USD/ton"),'Fuel Model - Calculation'!$B$2:$B$3771,0)),MATCH(U$141,'Fuel Model - Calculation'!$B$2:$M$2,0)),0)</f>
        <v>300.41875021077772</v>
      </c>
      <c r="BJ152" s="118">
        <f>IFERROR(INDEX('Fuel Model - Calculation'!$B$2:$M$3771,(MATCH(($E152&amp;"Results"&amp;$BD$140&amp;$F152&amp;"USD/ton"),'Fuel Model - Calculation'!$B$2:$B$3771,0)),MATCH(V$141,'Fuel Model - Calculation'!$B$2:$M$2,0)),0)</f>
        <v>167.42770167427702</v>
      </c>
      <c r="BL152" s="118">
        <f>IFERROR(IFERROR(INDEX('Fuel Model - Calculation'!$B$2:$M$3771,(MATCH(($E152&amp;"Results"&amp;$BL$140&amp;$F152&amp;"USD/ton"),'Fuel Model - Calculation'!$B$2:$B$3771,0)),MATCH(H$141,'Fuel Model - Calculation'!$B$2:$M$2,0)),0),0)</f>
        <v>0</v>
      </c>
      <c r="BM152" s="118">
        <f>IFERROR(IFERROR(INDEX('Fuel Model - Calculation'!$B$2:$M$3771,(MATCH(($E152&amp;"Results"&amp;$BL$140&amp;$F152&amp;"USD/ton"),'Fuel Model - Calculation'!$B$2:$B$3771,0)),MATCH(I$141,'Fuel Model - Calculation'!$B$2:$M$2,0)),0),0)</f>
        <v>0</v>
      </c>
      <c r="BN152" s="118">
        <f>IFERROR(IFERROR(INDEX('Fuel Model - Calculation'!$B$2:$M$3771,(MATCH(($E152&amp;"Results"&amp;$BL$140&amp;$F152&amp;"USD/ton"),'Fuel Model - Calculation'!$B$2:$B$3771,0)),MATCH(J$141,'Fuel Model - Calculation'!$B$2:$M$2,0)),0),0)</f>
        <v>0</v>
      </c>
      <c r="BO152" s="118">
        <f>IFERROR(IFERROR(INDEX('Fuel Model - Calculation'!$B$2:$M$3771,(MATCH(($E152&amp;"Results"&amp;$BL$140&amp;$F152&amp;"USD/ton"),'Fuel Model - Calculation'!$B$2:$B$3771,0)),MATCH(K$141,'Fuel Model - Calculation'!$B$2:$M$2,0)),0),0)</f>
        <v>0</v>
      </c>
      <c r="BP152" s="118">
        <f>IFERROR(IFERROR(INDEX('Fuel Model - Calculation'!$B$2:$M$3771,(MATCH(($E152&amp;"Results"&amp;$BL$140&amp;$F152&amp;"USD/ton"),'Fuel Model - Calculation'!$B$2:$B$3771,0)),MATCH(L$141,'Fuel Model - Calculation'!$B$2:$M$2,0)),0),0)</f>
        <v>0</v>
      </c>
      <c r="BQ152" s="118">
        <f>IFERROR(IFERROR(INDEX('Fuel Model - Calculation'!$B$2:$M$3771,(MATCH(($E152&amp;"Results"&amp;$BL$140&amp;$F152&amp;"USD/ton"),'Fuel Model - Calculation'!$B$2:$B$3771,0)),MATCH(M$141,'Fuel Model - Calculation'!$B$2:$M$2,0)),0),0)</f>
        <v>0</v>
      </c>
      <c r="BR152" s="118">
        <f>IFERROR(IFERROR(INDEX('Fuel Model - Calculation'!$B$2:$M$3771,(MATCH(($E152&amp;"Results"&amp;$BL$140&amp;$F152&amp;"USD/ton"),'Fuel Model - Calculation'!$B$2:$B$3771,0)),MATCH(N$141,'Fuel Model - Calculation'!$B$2:$M$2,0)),0),0)</f>
        <v>0</v>
      </c>
      <c r="BT152" s="118">
        <f>IFERROR(INDEX('Fuel Model - Calculation'!$B$2:$M$3771,(MATCH(($E152&amp;"Results"&amp;$BT$140&amp;$F152&amp;"USD/ton"),'Fuel Model - Calculation'!$B$2:$B$3771,0)),MATCH(H$141,'Fuel Model - Calculation'!$B$2:$M$2,0)),0)</f>
        <v>0</v>
      </c>
      <c r="BU152" s="118">
        <f>IFERROR(INDEX('Fuel Model - Calculation'!$B$2:$M$3771,(MATCH(($E152&amp;"Results"&amp;$BT$140&amp;$F152&amp;"USD/ton"),'Fuel Model - Calculation'!$B$2:$B$3771,0)),MATCH(I$141,'Fuel Model - Calculation'!$B$2:$M$2,0)),0)</f>
        <v>0</v>
      </c>
      <c r="BV152" s="118">
        <f>IFERROR(INDEX('Fuel Model - Calculation'!$B$2:$M$3771,(MATCH(($E152&amp;"Results"&amp;$BT$140&amp;$F152&amp;"USD/ton"),'Fuel Model - Calculation'!$B$2:$B$3771,0)),MATCH(J$141,'Fuel Model - Calculation'!$B$2:$M$2,0)),0)</f>
        <v>0</v>
      </c>
      <c r="BW152" s="118">
        <f>IFERROR(INDEX('Fuel Model - Calculation'!$B$2:$M$3771,(MATCH(($E152&amp;"Results"&amp;$BT$140&amp;$F152&amp;"USD/ton"),'Fuel Model - Calculation'!$B$2:$B$3771,0)),MATCH(K$141,'Fuel Model - Calculation'!$B$2:$M$2,0)),0)</f>
        <v>0</v>
      </c>
      <c r="BX152" s="118">
        <f>IFERROR(INDEX('Fuel Model - Calculation'!$B$2:$M$3771,(MATCH(($E152&amp;"Results"&amp;$BT$140&amp;$F152&amp;"USD/ton"),'Fuel Model - Calculation'!$B$2:$B$3771,0)),MATCH(L$141,'Fuel Model - Calculation'!$B$2:$M$2,0)),0)</f>
        <v>0</v>
      </c>
      <c r="BY152" s="118">
        <f>IFERROR(INDEX('Fuel Model - Calculation'!$B$2:$M$3771,(MATCH(($E152&amp;"Results"&amp;$BT$140&amp;$F152&amp;"USD/ton"),'Fuel Model - Calculation'!$B$2:$B$3771,0)),MATCH(M$141,'Fuel Model - Calculation'!$B$2:$M$2,0)),0)</f>
        <v>0</v>
      </c>
      <c r="BZ152" s="118">
        <f>IFERROR(INDEX('Fuel Model - Calculation'!$B$2:$M$3771,(MATCH(($E152&amp;"Results"&amp;$BT$140&amp;$F152&amp;"USD/ton"),'Fuel Model - Calculation'!$B$2:$B$3771,0)),MATCH(N$141,'Fuel Model - Calculation'!$B$2:$M$2,0)),0)</f>
        <v>0</v>
      </c>
    </row>
    <row r="153" spans="1:78" x14ac:dyDescent="0.2">
      <c r="A153" s="452"/>
      <c r="B153" s="453"/>
      <c r="D153" s="74"/>
      <c r="E153"/>
      <c r="F153" s="460"/>
      <c r="G153"/>
      <c r="H153" s="118"/>
      <c r="I153"/>
      <c r="J153"/>
      <c r="K153"/>
      <c r="L153"/>
      <c r="M153"/>
      <c r="N153"/>
      <c r="O153"/>
      <c r="P153"/>
      <c r="Q153"/>
      <c r="R153"/>
      <c r="S153"/>
      <c r="T153"/>
      <c r="U153"/>
      <c r="V153"/>
      <c r="W153"/>
      <c r="X153"/>
      <c r="Y153"/>
      <c r="Z153"/>
      <c r="AA153"/>
      <c r="AB153"/>
      <c r="AC153"/>
      <c r="AD153"/>
      <c r="AE153"/>
      <c r="AF153" s="2"/>
      <c r="AG153" s="2"/>
      <c r="AH153" s="2"/>
      <c r="AI153" s="2"/>
      <c r="AJ153" s="2"/>
      <c r="AK153" s="2"/>
      <c r="AL153" s="2"/>
      <c r="AM153"/>
      <c r="AN153" s="24"/>
      <c r="AO153" s="24"/>
      <c r="AP153" s="24"/>
      <c r="AQ153" s="24"/>
      <c r="AR153" s="24"/>
      <c r="AS153" s="24"/>
      <c r="AT153" s="24"/>
      <c r="AU153"/>
      <c r="AV153" s="118"/>
      <c r="AW153" s="118"/>
      <c r="AX153" s="118"/>
      <c r="AY153" s="118"/>
      <c r="AZ153" s="118"/>
      <c r="BA153" s="118"/>
      <c r="BB153" s="118"/>
      <c r="BC153"/>
      <c r="BD153" s="118"/>
      <c r="BE153" s="118"/>
      <c r="BF153" s="118"/>
      <c r="BG153" s="118"/>
      <c r="BH153" s="118"/>
      <c r="BI153" s="118"/>
      <c r="BJ153" s="118"/>
      <c r="BL153" s="118"/>
      <c r="BM153" s="118"/>
      <c r="BN153" s="118"/>
      <c r="BO153" s="118"/>
      <c r="BP153" s="118"/>
      <c r="BQ153" s="118"/>
      <c r="BR153" s="118"/>
      <c r="BT153" s="118"/>
      <c r="BU153" s="118"/>
      <c r="BV153" s="118"/>
      <c r="BW153" s="118"/>
      <c r="BX153" s="118"/>
      <c r="BY153" s="118"/>
      <c r="BZ153" s="118"/>
    </row>
    <row r="154" spans="1:78" x14ac:dyDescent="0.2">
      <c r="A154" s="452"/>
      <c r="B154" s="453" t="str">
        <f>_xlfn.TEXTJOIN(keydelim,TRUE,F154,IF(E154="Africa","Africa&amp;other",E154),"Fuel cost",SUBSTITUTE($G154," ",""))</f>
        <v>e-Ammonia - Europe - Fuel cost - USD/ton</v>
      </c>
      <c r="D154" s="459" t="str">
        <f>E154&amp;F154</f>
        <v>Europee-Ammonia</v>
      </c>
      <c r="E154" t="s">
        <v>195</v>
      </c>
      <c r="F154" s="460" t="s">
        <v>121</v>
      </c>
      <c r="G154" t="s">
        <v>835</v>
      </c>
      <c r="H154" s="118">
        <f>INDEX('Fuel Model - Calculation'!$B$2:$M$3771,(MATCH(($E154&amp;"ResultsCost of "&amp;$F154&amp;"USD/ton"),'Fuel Model - Calculation'!$B$2:$B$3771,0)),MATCH(H$141,'Fuel Model - Calculation'!$B$2:$M$2,0))</f>
        <v>1299.9763694826606</v>
      </c>
      <c r="I154" s="118">
        <f>INDEX('Fuel Model - Calculation'!$B$2:$M$3771,(MATCH(($E154&amp;"ResultsCost of "&amp;$F154&amp;"USD/ton"),'Fuel Model - Calculation'!$B$2:$B$3771,0)),MATCH(I$141,'Fuel Model - Calculation'!$B$2:$M$2,0))</f>
        <v>975.85241126214839</v>
      </c>
      <c r="J154" s="118">
        <f>INDEX('Fuel Model - Calculation'!$B$2:$M$3771,(MATCH(($E154&amp;"ResultsCost of "&amp;$F154&amp;"USD/ton"),'Fuel Model - Calculation'!$B$2:$B$3771,0)),MATCH(J$141,'Fuel Model - Calculation'!$B$2:$M$2,0))</f>
        <v>681.3435551729815</v>
      </c>
      <c r="K154" s="118">
        <f>INDEX('Fuel Model - Calculation'!$B$2:$M$3771,(MATCH(($E154&amp;"ResultsCost of "&amp;$F154&amp;"USD/ton"),'Fuel Model - Calculation'!$B$2:$B$3771,0)),MATCH(K$141,'Fuel Model - Calculation'!$B$2:$M$2,0))</f>
        <v>625.04300782551695</v>
      </c>
      <c r="L154" s="118">
        <f>INDEX('Fuel Model - Calculation'!$B$2:$M$3771,(MATCH(($E154&amp;"ResultsCost of "&amp;$F154&amp;"USD/ton"),'Fuel Model - Calculation'!$B$2:$B$3771,0)),MATCH(L$141,'Fuel Model - Calculation'!$B$2:$M$2,0))</f>
        <v>553.48323465102544</v>
      </c>
      <c r="M154" s="118">
        <f>INDEX('Fuel Model - Calculation'!$B$2:$M$3771,(MATCH(($E154&amp;"ResultsCost of "&amp;$F154&amp;"USD/ton"),'Fuel Model - Calculation'!$B$2:$B$3771,0)),MATCH(M$141,'Fuel Model - Calculation'!$B$2:$M$2,0))</f>
        <v>463.15315252931612</v>
      </c>
      <c r="N154" s="118">
        <f>INDEX('Fuel Model - Calculation'!$B$2:$M$3771,(MATCH(($E154&amp;"ResultsCost of "&amp;$F154&amp;"USD/ton"),'Fuel Model - Calculation'!$B$2:$B$3771,0)),MATCH(N$141,'Fuel Model - Calculation'!$B$2:$M$2,0))</f>
        <v>378.6560077689096</v>
      </c>
      <c r="O154"/>
      <c r="P154" s="118">
        <f>IFERROR(INDEX('Fuel Model - Calculation'!G$2:G$3771,(MATCH(($E154&amp;"ResultsTotal RNE "&amp;$F154&amp;"USD/ton"),'Fuel Model - Calculation'!$B$2:$B$3771,0))),0)</f>
        <v>546.83452917690215</v>
      </c>
      <c r="Q154" s="118">
        <f>IFERROR(INDEX('Fuel Model - Calculation'!H$2:H$3771,(MATCH(($E154&amp;"ResultsTotal RNE "&amp;$F154&amp;"USD/ton"),'Fuel Model - Calculation'!$B$2:$B$3771,0))),0)</f>
        <v>440.45628938322193</v>
      </c>
      <c r="R154" s="118">
        <f>IFERROR(INDEX('Fuel Model - Calculation'!I$2:I$3771,(MATCH(($E154&amp;"ResultsTotal RNE "&amp;$F154&amp;"USD/ton"),'Fuel Model - Calculation'!$B$2:$B$3771,0))),0)</f>
        <v>351.91337864319445</v>
      </c>
      <c r="S154" s="118">
        <f>IFERROR(INDEX('Fuel Model - Calculation'!J$2:J$3771,(MATCH(($E154&amp;"ResultsTotal RNE "&amp;$F154&amp;"USD/ton"),'Fuel Model - Calculation'!$B$2:$B$3771,0))),0)</f>
        <v>306.43496560178272</v>
      </c>
      <c r="T154" s="118">
        <f>IFERROR(INDEX('Fuel Model - Calculation'!K$2:K$3771,(MATCH(($E154&amp;"ResultsTotal RNE "&amp;$F154&amp;"USD/ton"),'Fuel Model - Calculation'!$B$2:$B$3771,0))),0)</f>
        <v>274.18019545708717</v>
      </c>
      <c r="U154" s="118">
        <f>IFERROR(INDEX('Fuel Model - Calculation'!L$2:L$3771,(MATCH(($E154&amp;"ResultsTotal RNE "&amp;$F154&amp;"USD/ton"),'Fuel Model - Calculation'!$B$2:$B$3771,0))),0)</f>
        <v>238.56945745420492</v>
      </c>
      <c r="V154" s="118">
        <f>IFERROR(INDEX('Fuel Model - Calculation'!M$2:M$3771,(MATCH(($E154&amp;"ResultsTotal RNE "&amp;$F154&amp;"USD/ton"),'Fuel Model - Calculation'!$B$2:$B$3771,0))),0)</f>
        <v>213.29403900247559</v>
      </c>
      <c r="W154"/>
      <c r="X154" s="2">
        <f>INDEX('Fuel Model - Calculation'!$E$2:$M$3771,(MATCH(("WTT Emission - "&amp;$F154),'Fuel Model - Calculation'!$E$2:$E$3771,0)),MATCH(X$141,'Fuel Model - Calculation'!$E$2:$M$2,0))</f>
        <v>5.3785507129850182E-2</v>
      </c>
      <c r="Y154" s="2">
        <f>INDEX('Fuel Model - Calculation'!$E$2:$M$3771,(MATCH(("WTT Emission - "&amp;$F154),'Fuel Model - Calculation'!$E$2:$E$3771,0)),MATCH(Y$141,'Fuel Model - Calculation'!$E$2:$M$2,0))</f>
        <v>5.3538899999999987E-2</v>
      </c>
      <c r="Z154" s="2">
        <f>INDEX('Fuel Model - Calculation'!$E$2:$M$3771,(MATCH(("WTT Emission - "&amp;$F154),'Fuel Model - Calculation'!$E$2:$E$3771,0)),MATCH(Z$141,'Fuel Model - Calculation'!$E$2:$M$2,0))</f>
        <v>5.2845949553431054E-2</v>
      </c>
      <c r="AA154" s="2">
        <f>INDEX('Fuel Model - Calculation'!$E$2:$M$3771,(MATCH(("WTT Emission - "&amp;$F154),'Fuel Model - Calculation'!$E$2:$E$3771,0)),MATCH(AA$141,'Fuel Model - Calculation'!$E$2:$M$2,0))</f>
        <v>5.1005446953951317E-2</v>
      </c>
      <c r="AB154" s="2">
        <f>INDEX('Fuel Model - Calculation'!$E$2:$M$3771,(MATCH(("WTT Emission - "&amp;$F154),'Fuel Model - Calculation'!$E$2:$E$3771,0)),MATCH(AB$141,'Fuel Model - Calculation'!$E$2:$M$2,0))</f>
        <v>4.8795179078345907E-2</v>
      </c>
      <c r="AC154" s="2">
        <f>INDEX('Fuel Model - Calculation'!$E$2:$M$3771,(MATCH(("WTT Emission - "&amp;$F154),'Fuel Model - Calculation'!$E$2:$E$3771,0)),MATCH(AC$141,'Fuel Model - Calculation'!$E$2:$M$2,0))</f>
        <v>4.5852600460841497E-2</v>
      </c>
      <c r="AD154" s="2">
        <f>INDEX('Fuel Model - Calculation'!$E$2:$M$3771,(MATCH(("WTT Emission - "&amp;$F154),'Fuel Model - Calculation'!$E$2:$E$3771,0)),MATCH(AD$141,'Fuel Model - Calculation'!$E$2:$M$2,0))</f>
        <v>4.3534589999999998E-2</v>
      </c>
      <c r="AE154" s="2"/>
      <c r="AF154" s="2">
        <f>'Fuel Model -  Input'!H$50</f>
        <v>0</v>
      </c>
      <c r="AG154" s="2">
        <f>'Fuel Model -  Input'!I$50</f>
        <v>0</v>
      </c>
      <c r="AH154" s="2">
        <f>'Fuel Model -  Input'!J$50</f>
        <v>0</v>
      </c>
      <c r="AI154" s="2">
        <f>'Fuel Model -  Input'!K$50</f>
        <v>0</v>
      </c>
      <c r="AJ154" s="2">
        <f>'Fuel Model -  Input'!L$50</f>
        <v>0</v>
      </c>
      <c r="AK154" s="2">
        <f>'Fuel Model -  Input'!M$50</f>
        <v>0</v>
      </c>
      <c r="AL154" s="2">
        <f>'Fuel Model -  Input'!N$50</f>
        <v>0</v>
      </c>
      <c r="AM154"/>
      <c r="AN154" s="24">
        <f t="shared" ref="AN154:AT158" si="167">X154+AF154</f>
        <v>5.3785507129850182E-2</v>
      </c>
      <c r="AO154" s="24">
        <f t="shared" si="167"/>
        <v>5.3538899999999987E-2</v>
      </c>
      <c r="AP154" s="24">
        <f t="shared" si="167"/>
        <v>5.2845949553431054E-2</v>
      </c>
      <c r="AQ154" s="24">
        <f t="shared" si="167"/>
        <v>5.1005446953951317E-2</v>
      </c>
      <c r="AR154" s="24">
        <f t="shared" si="167"/>
        <v>4.8795179078345907E-2</v>
      </c>
      <c r="AS154" s="24">
        <f t="shared" si="167"/>
        <v>4.5852600460841497E-2</v>
      </c>
      <c r="AT154" s="24">
        <f t="shared" si="167"/>
        <v>4.3534589999999998E-2</v>
      </c>
      <c r="AU154"/>
      <c r="AV154" s="118">
        <f>IFERROR(INDEX('Fuel Model - Calculation'!$B$2:$M$3771,(MATCH(($E154&amp;"Results"&amp;$AV$140&amp;$F154&amp;"USD/ton"),'Fuel Model - Calculation'!$B$2:$B$3771,0)),MATCH(H$141,'Fuel Model - Calculation'!$B$2:$M$2,0)),0)</f>
        <v>401.9714813049178</v>
      </c>
      <c r="AW154" s="118">
        <f>IFERROR(INDEX('Fuel Model - Calculation'!$B$2:$M$3771,(MATCH(($E154&amp;"Results"&amp;$AV$140&amp;$F154&amp;"USD/ton"),'Fuel Model - Calculation'!$B$2:$B$3771,0)),MATCH(I$141,'Fuel Model - Calculation'!$B$2:$M$2,0)),0)</f>
        <v>280.47850076103509</v>
      </c>
      <c r="AX154" s="118">
        <f>IFERROR(INDEX('Fuel Model - Calculation'!$B$2:$M$3771,(MATCH(($E154&amp;"Results"&amp;$AV$140&amp;$F154&amp;"USD/ton"),'Fuel Model - Calculation'!$B$2:$B$3771,0)),MATCH(J$141,'Fuel Model - Calculation'!$B$2:$M$2,0)),0)</f>
        <v>167.58996355417977</v>
      </c>
      <c r="AY154" s="118">
        <f>IFERROR(INDEX('Fuel Model - Calculation'!$B$2:$M$3771,(MATCH(($E154&amp;"Results"&amp;$AV$140&amp;$F154&amp;"USD/ton"),'Fuel Model - Calculation'!$B$2:$B$3771,0)),MATCH(K$141,'Fuel Model - Calculation'!$B$2:$M$2,0)),0)</f>
        <v>170.13389154228602</v>
      </c>
      <c r="AZ154" s="118">
        <f>IFERROR(INDEX('Fuel Model - Calculation'!$B$2:$M$3771,(MATCH(($E154&amp;"Results"&amp;$AV$140&amp;$F154&amp;"USD/ton"),'Fuel Model - Calculation'!$B$2:$B$3771,0)),MATCH(L$141,'Fuel Model - Calculation'!$B$2:$M$2,0)),0)</f>
        <v>157.55745030712239</v>
      </c>
      <c r="BA154" s="118">
        <f>IFERROR(INDEX('Fuel Model - Calculation'!$B$2:$M$3771,(MATCH(($E154&amp;"Results"&amp;$AV$140&amp;$F154&amp;"USD/ton"),'Fuel Model - Calculation'!$B$2:$B$3771,0)),MATCH(M$141,'Fuel Model - Calculation'!$B$2:$M$2,0)),0)</f>
        <v>132.75462219683968</v>
      </c>
      <c r="BB154" s="118">
        <f>IFERROR(INDEX('Fuel Model - Calculation'!$B$2:$M$3771,(MATCH(($E154&amp;"Results"&amp;$AV$140&amp;$F154&amp;"USD/ton"),'Fuel Model - Calculation'!$B$2:$B$3771,0)),MATCH(N$141,'Fuel Model - Calculation'!$B$2:$M$2,0)),0)</f>
        <v>100.03044140030443</v>
      </c>
      <c r="BC154"/>
      <c r="BD154" s="118">
        <f>IFERROR(INDEX('Fuel Model - Calculation'!$B$2:$M$3771,(MATCH(($E154&amp;"Results"&amp;$BD$140&amp;$F154&amp;"USD/ton"),'Fuel Model - Calculation'!$B$2:$B$3771,0)),MATCH(P$141,'Fuel Model - Calculation'!$B$2:$M$2,0)),0)</f>
        <v>351.17035900084079</v>
      </c>
      <c r="BE154" s="118">
        <f>IFERROR(INDEX('Fuel Model - Calculation'!$B$2:$M$3771,(MATCH(($E154&amp;"Results"&amp;$BD$140&amp;$F154&amp;"USD/ton"),'Fuel Model - Calculation'!$B$2:$B$3771,0)),MATCH(Q$141,'Fuel Model - Calculation'!$B$2:$M$2,0)),0)</f>
        <v>254.91762111789137</v>
      </c>
      <c r="BF154" s="118">
        <f>IFERROR(INDEX('Fuel Model - Calculation'!$B$2:$M$3771,(MATCH(($E154&amp;"Results"&amp;$BD$140&amp;$F154&amp;"USD/ton"),'Fuel Model - Calculation'!$B$2:$B$3771,0)),MATCH(R$141,'Fuel Model - Calculation'!$B$2:$M$2,0)),0)</f>
        <v>161.84021297560736</v>
      </c>
      <c r="BG154" s="118">
        <f>IFERROR(INDEX('Fuel Model - Calculation'!$B$2:$M$3771,(MATCH(($E154&amp;"Results"&amp;$BD$140&amp;$F154&amp;"USD/ton"),'Fuel Model - Calculation'!$B$2:$B$3771,0)),MATCH(S$141,'Fuel Model - Calculation'!$B$2:$M$2,0)),0)</f>
        <v>148.47415068144818</v>
      </c>
      <c r="BH154" s="118">
        <f>IFERROR(INDEX('Fuel Model - Calculation'!$B$2:$M$3771,(MATCH(($E154&amp;"Results"&amp;$BD$140&amp;$F154&amp;"USD/ton"),'Fuel Model - Calculation'!$B$2:$B$3771,0)),MATCH(T$141,'Fuel Model - Calculation'!$B$2:$M$2,0)),0)</f>
        <v>121.74558888681587</v>
      </c>
      <c r="BI154" s="118">
        <f>IFERROR(INDEX('Fuel Model - Calculation'!$B$2:$M$3771,(MATCH(($E154&amp;"Results"&amp;$BD$140&amp;$F154&amp;"USD/ton"),'Fuel Model - Calculation'!$B$2:$B$3771,0)),MATCH(U$141,'Fuel Model - Calculation'!$B$2:$M$2,0)),0)</f>
        <v>91.829072878271518</v>
      </c>
      <c r="BJ154" s="118">
        <f>IFERROR(INDEX('Fuel Model - Calculation'!$B$2:$M$3771,(MATCH(($E154&amp;"Results"&amp;$BD$140&amp;$F154&amp;"USD/ton"),'Fuel Model - Calculation'!$B$2:$B$3771,0)),MATCH(V$141,'Fuel Model - Calculation'!$B$2:$M$2,0)),0)</f>
        <v>65.331527366129563</v>
      </c>
      <c r="BL154" s="118">
        <f>IFERROR(IFERROR(INDEX('Fuel Model - Calculation'!$B$2:$M$3771,(MATCH(($E154&amp;"Results"&amp;$BL$140&amp;$F154&amp;"USD/ton"),'Fuel Model - Calculation'!$B$2:$B$3771,0)),MATCH(H$141,'Fuel Model - Calculation'!$B$2:$M$2,0)),0),0)</f>
        <v>0</v>
      </c>
      <c r="BM154" s="118">
        <f>IFERROR(IFERROR(INDEX('Fuel Model - Calculation'!$B$2:$M$3771,(MATCH(($E154&amp;"Results"&amp;$BL$140&amp;$F154&amp;"USD/ton"),'Fuel Model - Calculation'!$B$2:$B$3771,0)),MATCH(I$141,'Fuel Model - Calculation'!$B$2:$M$2,0)),0),0)</f>
        <v>0</v>
      </c>
      <c r="BN154" s="118">
        <f>IFERROR(IFERROR(INDEX('Fuel Model - Calculation'!$B$2:$M$3771,(MATCH(($E154&amp;"Results"&amp;$BL$140&amp;$F154&amp;"USD/ton"),'Fuel Model - Calculation'!$B$2:$B$3771,0)),MATCH(J$141,'Fuel Model - Calculation'!$B$2:$M$2,0)),0),0)</f>
        <v>0</v>
      </c>
      <c r="BO154" s="118">
        <f>IFERROR(IFERROR(INDEX('Fuel Model - Calculation'!$B$2:$M$3771,(MATCH(($E154&amp;"Results"&amp;$BL$140&amp;$F154&amp;"USD/ton"),'Fuel Model - Calculation'!$B$2:$B$3771,0)),MATCH(K$141,'Fuel Model - Calculation'!$B$2:$M$2,0)),0),0)</f>
        <v>0</v>
      </c>
      <c r="BP154" s="118">
        <f>IFERROR(IFERROR(INDEX('Fuel Model - Calculation'!$B$2:$M$3771,(MATCH(($E154&amp;"Results"&amp;$BL$140&amp;$F154&amp;"USD/ton"),'Fuel Model - Calculation'!$B$2:$B$3771,0)),MATCH(L$141,'Fuel Model - Calculation'!$B$2:$M$2,0)),0),0)</f>
        <v>0</v>
      </c>
      <c r="BQ154" s="118">
        <f>IFERROR(IFERROR(INDEX('Fuel Model - Calculation'!$B$2:$M$3771,(MATCH(($E154&amp;"Results"&amp;$BL$140&amp;$F154&amp;"USD/ton"),'Fuel Model - Calculation'!$B$2:$B$3771,0)),MATCH(M$141,'Fuel Model - Calculation'!$B$2:$M$2,0)),0),0)</f>
        <v>0</v>
      </c>
      <c r="BR154" s="118">
        <f>IFERROR(IFERROR(INDEX('Fuel Model - Calculation'!$B$2:$M$3771,(MATCH(($E154&amp;"Results"&amp;$BL$140&amp;$F154&amp;"USD/ton"),'Fuel Model - Calculation'!$B$2:$B$3771,0)),MATCH(N$141,'Fuel Model - Calculation'!$B$2:$M$2,0)),0),0)</f>
        <v>0</v>
      </c>
      <c r="BT154" s="118">
        <f>IFERROR(INDEX('Fuel Model - Calculation'!$B$2:$M$3771,(MATCH(($E154&amp;"Results"&amp;$BT$140&amp;$F154&amp;"USD/ton"),'Fuel Model - Calculation'!$B$2:$B$3771,0)),MATCH(H$141,'Fuel Model - Calculation'!$B$2:$M$2,0)),0)</f>
        <v>0</v>
      </c>
      <c r="BU154" s="118">
        <f>IFERROR(INDEX('Fuel Model - Calculation'!$B$2:$M$3771,(MATCH(($E154&amp;"Results"&amp;$BT$140&amp;$F154&amp;"USD/ton"),'Fuel Model - Calculation'!$B$2:$B$3771,0)),MATCH(I$141,'Fuel Model - Calculation'!$B$2:$M$2,0)),0)</f>
        <v>0</v>
      </c>
      <c r="BV154" s="118">
        <f>IFERROR(INDEX('Fuel Model - Calculation'!$B$2:$M$3771,(MATCH(($E154&amp;"Results"&amp;$BT$140&amp;$F154&amp;"USD/ton"),'Fuel Model - Calculation'!$B$2:$B$3771,0)),MATCH(J$141,'Fuel Model - Calculation'!$B$2:$M$2,0)),0)</f>
        <v>0</v>
      </c>
      <c r="BW154" s="118">
        <f>IFERROR(INDEX('Fuel Model - Calculation'!$B$2:$M$3771,(MATCH(($E154&amp;"Results"&amp;$BT$140&amp;$F154&amp;"USD/ton"),'Fuel Model - Calculation'!$B$2:$B$3771,0)),MATCH(K$141,'Fuel Model - Calculation'!$B$2:$M$2,0)),0)</f>
        <v>0</v>
      </c>
      <c r="BX154" s="118">
        <f>IFERROR(INDEX('Fuel Model - Calculation'!$B$2:$M$3771,(MATCH(($E154&amp;"Results"&amp;$BT$140&amp;$F154&amp;"USD/ton"),'Fuel Model - Calculation'!$B$2:$B$3771,0)),MATCH(L$141,'Fuel Model - Calculation'!$B$2:$M$2,0)),0)</f>
        <v>0</v>
      </c>
      <c r="BY154" s="118">
        <f>IFERROR(INDEX('Fuel Model - Calculation'!$B$2:$M$3771,(MATCH(($E154&amp;"Results"&amp;$BT$140&amp;$F154&amp;"USD/ton"),'Fuel Model - Calculation'!$B$2:$B$3771,0)),MATCH(M$141,'Fuel Model - Calculation'!$B$2:$M$2,0)),0)</f>
        <v>0</v>
      </c>
      <c r="BZ154" s="118">
        <f>IFERROR(INDEX('Fuel Model - Calculation'!$B$2:$M$3771,(MATCH(($E154&amp;"Results"&amp;$BT$140&amp;$F154&amp;"USD/ton"),'Fuel Model - Calculation'!$B$2:$B$3771,0)),MATCH(N$141,'Fuel Model - Calculation'!$B$2:$M$2,0)),0)</f>
        <v>0</v>
      </c>
    </row>
    <row r="155" spans="1:78" x14ac:dyDescent="0.2">
      <c r="A155" s="452"/>
      <c r="B155" s="453" t="str">
        <f>_xlfn.TEXTJOIN(keydelim,TRUE,F155,IF(E155="Africa","Africa&amp;other",E155),"Fuel cost",SUBSTITUTE($G155," ",""))</f>
        <v>e-Ammonia - Middle East - Fuel cost - USD/ton</v>
      </c>
      <c r="D155" s="459" t="str">
        <f t="shared" ref="D155:D158" si="168">E155&amp;F155</f>
        <v>Middle Easte-Ammonia</v>
      </c>
      <c r="E155" t="s">
        <v>197</v>
      </c>
      <c r="F155" s="460" t="s">
        <v>121</v>
      </c>
      <c r="G155" t="s">
        <v>835</v>
      </c>
      <c r="H155" s="118">
        <f>INDEX('Fuel Model - Calculation'!$B$2:$M$3771,(MATCH(($E155&amp;"ResultsCost of "&amp;$F155&amp;"USD/ton"),'Fuel Model - Calculation'!$B$2:$B$3771,0)),MATCH(H$141,'Fuel Model - Calculation'!$B$2:$M$2,0))</f>
        <v>1170.9371064301235</v>
      </c>
      <c r="I155" s="118">
        <f>INDEX('Fuel Model - Calculation'!$B$2:$M$3771,(MATCH(($E155&amp;"ResultsCost of "&amp;$F155&amp;"USD/ton"),'Fuel Model - Calculation'!$B$2:$B$3771,0)),MATCH(I$141,'Fuel Model - Calculation'!$B$2:$M$2,0))</f>
        <v>870.20053826706749</v>
      </c>
      <c r="J155" s="118">
        <f>INDEX('Fuel Model - Calculation'!$B$2:$M$3771,(MATCH(($E155&amp;"ResultsCost of "&amp;$F155&amp;"USD/ton"),'Fuel Model - Calculation'!$B$2:$B$3771,0)),MATCH(J$141,'Fuel Model - Calculation'!$B$2:$M$2,0))</f>
        <v>607.1539121293182</v>
      </c>
      <c r="K155" s="118">
        <f>INDEX('Fuel Model - Calculation'!$B$2:$M$3771,(MATCH(($E155&amp;"ResultsCost of "&amp;$F155&amp;"USD/ton"),'Fuel Model - Calculation'!$B$2:$B$3771,0)),MATCH(K$141,'Fuel Model - Calculation'!$B$2:$M$2,0))</f>
        <v>550.34568374823107</v>
      </c>
      <c r="L155" s="118">
        <f>INDEX('Fuel Model - Calculation'!$B$2:$M$3771,(MATCH(($E155&amp;"ResultsCost of "&amp;$F155&amp;"USD/ton"),'Fuel Model - Calculation'!$B$2:$B$3771,0)),MATCH(L$141,'Fuel Model - Calculation'!$B$2:$M$2,0))</f>
        <v>483.59947067365954</v>
      </c>
      <c r="M155" s="118">
        <f>INDEX('Fuel Model - Calculation'!$B$2:$M$3771,(MATCH(($E155&amp;"ResultsCost of "&amp;$F155&amp;"USD/ton"),'Fuel Model - Calculation'!$B$2:$B$3771,0)),MATCH(M$141,'Fuel Model - Calculation'!$B$2:$M$2,0))</f>
        <v>395.03128847804248</v>
      </c>
      <c r="N155" s="118">
        <f>INDEX('Fuel Model - Calculation'!$B$2:$M$3771,(MATCH(($E155&amp;"ResultsCost of "&amp;$F155&amp;"USD/ton"),'Fuel Model - Calculation'!$B$2:$B$3771,0)),MATCH(N$141,'Fuel Model - Calculation'!$B$2:$M$2,0))</f>
        <v>317.68930917212833</v>
      </c>
      <c r="O155"/>
      <c r="P155" s="118">
        <f>IFERROR(INDEX('Fuel Model - Calculation'!G$2:G$3771,(MATCH(($E155&amp;"ResultsTotal RNE "&amp;$F155&amp;"USD/ton"),'Fuel Model - Calculation'!$B$2:$B$3771,0))),0)</f>
        <v>419.87909535112942</v>
      </c>
      <c r="Q155" s="118">
        <f>IFERROR(INDEX('Fuel Model - Calculation'!H$2:H$3771,(MATCH(($E155&amp;"ResultsTotal RNE "&amp;$F155&amp;"USD/ton"),'Fuel Model - Calculation'!$B$2:$B$3771,0))),0)</f>
        <v>336.51829860320959</v>
      </c>
      <c r="R155" s="118">
        <f>IFERROR(INDEX('Fuel Model - Calculation'!I$2:I$3771,(MATCH(($E155&amp;"ResultsTotal RNE "&amp;$F155&amp;"USD/ton"),'Fuel Model - Calculation'!$B$2:$B$3771,0))),0)</f>
        <v>278.94276006223765</v>
      </c>
      <c r="S155" s="118">
        <f>IFERROR(INDEX('Fuel Model - Calculation'!J$2:J$3771,(MATCH(($E155&amp;"ResultsTotal RNE "&amp;$F155&amp;"USD/ton"),'Fuel Model - Calculation'!$B$2:$B$3771,0))),0)</f>
        <v>233.00854307747829</v>
      </c>
      <c r="T155" s="118">
        <f>IFERROR(INDEX('Fuel Model - Calculation'!K$2:K$3771,(MATCH(($E155&amp;"ResultsTotal RNE "&amp;$F155&amp;"USD/ton"),'Fuel Model - Calculation'!$B$2:$B$3771,0))),0)</f>
        <v>205.53833604097534</v>
      </c>
      <c r="U155" s="118">
        <f>IFERROR(INDEX('Fuel Model - Calculation'!L$2:L$3771,(MATCH(($E155&amp;"ResultsTotal RNE "&amp;$F155&amp;"USD/ton"),'Fuel Model - Calculation'!$B$2:$B$3771,0))),0)</f>
        <v>171.73440922932409</v>
      </c>
      <c r="V155" s="118">
        <f>IFERROR(INDEX('Fuel Model - Calculation'!M$2:M$3771,(MATCH(($E155&amp;"ResultsTotal RNE "&amp;$F155&amp;"USD/ton"),'Fuel Model - Calculation'!$B$2:$B$3771,0))),0)</f>
        <v>153.53909721219756</v>
      </c>
      <c r="W155"/>
      <c r="X155" s="2">
        <f>INDEX('Fuel Model - Calculation'!$E$2:$M$3771,(MATCH(("WTT Emission - "&amp;$F155),'Fuel Model - Calculation'!$E$2:$E$3771,0)),MATCH(X$141,'Fuel Model - Calculation'!$E$2:$M$2,0))</f>
        <v>5.3785507129850182E-2</v>
      </c>
      <c r="Y155" s="2">
        <f>INDEX('Fuel Model - Calculation'!$E$2:$M$3771,(MATCH(("WTT Emission - "&amp;$F155),'Fuel Model - Calculation'!$E$2:$E$3771,0)),MATCH(Y$141,'Fuel Model - Calculation'!$E$2:$M$2,0))</f>
        <v>5.3538899999999987E-2</v>
      </c>
      <c r="Z155" s="2">
        <f>INDEX('Fuel Model - Calculation'!$E$2:$M$3771,(MATCH(("WTT Emission - "&amp;$F155),'Fuel Model - Calculation'!$E$2:$E$3771,0)),MATCH(Z$141,'Fuel Model - Calculation'!$E$2:$M$2,0))</f>
        <v>5.2845949553431054E-2</v>
      </c>
      <c r="AA155" s="2">
        <f>INDEX('Fuel Model - Calculation'!$E$2:$M$3771,(MATCH(("WTT Emission - "&amp;$F155),'Fuel Model - Calculation'!$E$2:$E$3771,0)),MATCH(AA$141,'Fuel Model - Calculation'!$E$2:$M$2,0))</f>
        <v>5.1005446953951317E-2</v>
      </c>
      <c r="AB155" s="2">
        <f>INDEX('Fuel Model - Calculation'!$E$2:$M$3771,(MATCH(("WTT Emission - "&amp;$F155),'Fuel Model - Calculation'!$E$2:$E$3771,0)),MATCH(AB$141,'Fuel Model - Calculation'!$E$2:$M$2,0))</f>
        <v>4.8795179078345907E-2</v>
      </c>
      <c r="AC155" s="2">
        <f>INDEX('Fuel Model - Calculation'!$E$2:$M$3771,(MATCH(("WTT Emission - "&amp;$F155),'Fuel Model - Calculation'!$E$2:$E$3771,0)),MATCH(AC$141,'Fuel Model - Calculation'!$E$2:$M$2,0))</f>
        <v>4.5852600460841497E-2</v>
      </c>
      <c r="AD155" s="2">
        <f>INDEX('Fuel Model - Calculation'!$E$2:$M$3771,(MATCH(("WTT Emission - "&amp;$F155),'Fuel Model - Calculation'!$E$2:$E$3771,0)),MATCH(AD$141,'Fuel Model - Calculation'!$E$2:$M$2,0))</f>
        <v>4.3534589999999998E-2</v>
      </c>
      <c r="AE155" s="2"/>
      <c r="AF155" s="2">
        <f>'Fuel Model -  Input'!H$50</f>
        <v>0</v>
      </c>
      <c r="AG155" s="2">
        <f>'Fuel Model -  Input'!I$50</f>
        <v>0</v>
      </c>
      <c r="AH155" s="2">
        <f>'Fuel Model -  Input'!J$50</f>
        <v>0</v>
      </c>
      <c r="AI155" s="2">
        <f>'Fuel Model -  Input'!K$50</f>
        <v>0</v>
      </c>
      <c r="AJ155" s="2">
        <f>'Fuel Model -  Input'!L$50</f>
        <v>0</v>
      </c>
      <c r="AK155" s="2">
        <f>'Fuel Model -  Input'!M$50</f>
        <v>0</v>
      </c>
      <c r="AL155" s="2">
        <f>'Fuel Model -  Input'!N$50</f>
        <v>0</v>
      </c>
      <c r="AM155"/>
      <c r="AN155" s="24">
        <f t="shared" si="167"/>
        <v>5.3785507129850182E-2</v>
      </c>
      <c r="AO155" s="24">
        <f t="shared" si="167"/>
        <v>5.3538899999999987E-2</v>
      </c>
      <c r="AP155" s="24">
        <f t="shared" si="167"/>
        <v>5.2845949553431054E-2</v>
      </c>
      <c r="AQ155" s="24">
        <f t="shared" si="167"/>
        <v>5.1005446953951317E-2</v>
      </c>
      <c r="AR155" s="24">
        <f t="shared" si="167"/>
        <v>4.8795179078345907E-2</v>
      </c>
      <c r="AS155" s="24">
        <f t="shared" si="167"/>
        <v>4.5852600460841497E-2</v>
      </c>
      <c r="AT155" s="24">
        <f t="shared" si="167"/>
        <v>4.3534589999999998E-2</v>
      </c>
      <c r="AU155"/>
      <c r="AV155" s="118">
        <f>IFERROR(INDEX('Fuel Model - Calculation'!$B$2:$M$3771,(MATCH(($E155&amp;"Results"&amp;$AV$140&amp;$F155&amp;"USD/ton"),'Fuel Model - Calculation'!$B$2:$B$3771,0)),MATCH(H$141,'Fuel Model - Calculation'!$B$2:$M$2,0)),0)</f>
        <v>401.9714813049178</v>
      </c>
      <c r="AW155" s="118">
        <f>IFERROR(INDEX('Fuel Model - Calculation'!$B$2:$M$3771,(MATCH(($E155&amp;"Results"&amp;$AV$140&amp;$F155&amp;"USD/ton"),'Fuel Model - Calculation'!$B$2:$B$3771,0)),MATCH(I$141,'Fuel Model - Calculation'!$B$2:$M$2,0)),0)</f>
        <v>280.47850076103509</v>
      </c>
      <c r="AX155" s="118">
        <f>IFERROR(INDEX('Fuel Model - Calculation'!$B$2:$M$3771,(MATCH(($E155&amp;"Results"&amp;$AV$140&amp;$F155&amp;"USD/ton"),'Fuel Model - Calculation'!$B$2:$B$3771,0)),MATCH(J$141,'Fuel Model - Calculation'!$B$2:$M$2,0)),0)</f>
        <v>167.58996355417977</v>
      </c>
      <c r="AY155" s="118">
        <f>IFERROR(INDEX('Fuel Model - Calculation'!$B$2:$M$3771,(MATCH(($E155&amp;"Results"&amp;$AV$140&amp;$F155&amp;"USD/ton"),'Fuel Model - Calculation'!$B$2:$B$3771,0)),MATCH(K$141,'Fuel Model - Calculation'!$B$2:$M$2,0)),0)</f>
        <v>170.13389154228605</v>
      </c>
      <c r="AZ155" s="118">
        <f>IFERROR(INDEX('Fuel Model - Calculation'!$B$2:$M$3771,(MATCH(($E155&amp;"Results"&amp;$AV$140&amp;$F155&amp;"USD/ton"),'Fuel Model - Calculation'!$B$2:$B$3771,0)),MATCH(L$141,'Fuel Model - Calculation'!$B$2:$M$2,0)),0)</f>
        <v>157.55745030712239</v>
      </c>
      <c r="BA155" s="118">
        <f>IFERROR(INDEX('Fuel Model - Calculation'!$B$2:$M$3771,(MATCH(($E155&amp;"Results"&amp;$AV$140&amp;$F155&amp;"USD/ton"),'Fuel Model - Calculation'!$B$2:$B$3771,0)),MATCH(M$141,'Fuel Model - Calculation'!$B$2:$M$2,0)),0)</f>
        <v>132.75462219683965</v>
      </c>
      <c r="BB155" s="118">
        <f>IFERROR(INDEX('Fuel Model - Calculation'!$B$2:$M$3771,(MATCH(($E155&amp;"Results"&amp;$AV$140&amp;$F155&amp;"USD/ton"),'Fuel Model - Calculation'!$B$2:$B$3771,0)),MATCH(N$141,'Fuel Model - Calculation'!$B$2:$M$2,0)),0)</f>
        <v>100.03044140030443</v>
      </c>
      <c r="BC155"/>
      <c r="BD155" s="118">
        <f>IFERROR(INDEX('Fuel Model - Calculation'!$B$2:$M$3771,(MATCH(($E155&amp;"Results"&amp;$BD$140&amp;$F155&amp;"USD/ton"),'Fuel Model - Calculation'!$B$2:$B$3771,0)),MATCH(P$141,'Fuel Model - Calculation'!$B$2:$M$2,0)),0)</f>
        <v>349.08652977407621</v>
      </c>
      <c r="BE155" s="118">
        <f>IFERROR(INDEX('Fuel Model - Calculation'!$B$2:$M$3771,(MATCH(($E155&amp;"Results"&amp;$BD$140&amp;$F155&amp;"USD/ton"),'Fuel Model - Calculation'!$B$2:$B$3771,0)),MATCH(Q$141,'Fuel Model - Calculation'!$B$2:$M$2,0)),0)</f>
        <v>253.20373890282286</v>
      </c>
      <c r="BF155" s="118">
        <f>IFERROR(INDEX('Fuel Model - Calculation'!$B$2:$M$3771,(MATCH(($E155&amp;"Results"&amp;$BD$140&amp;$F155&amp;"USD/ton"),'Fuel Model - Calculation'!$B$2:$B$3771,0)),MATCH(R$141,'Fuel Model - Calculation'!$B$2:$M$2,0)),0)</f>
        <v>160.6211885129008</v>
      </c>
      <c r="BG155" s="118">
        <f>IFERROR(INDEX('Fuel Model - Calculation'!$B$2:$M$3771,(MATCH(($E155&amp;"Results"&amp;$BD$140&amp;$F155&amp;"USD/ton"),'Fuel Model - Calculation'!$B$2:$B$3771,0)),MATCH(S$141,'Fuel Model - Calculation'!$B$2:$M$2,0)),0)</f>
        <v>147.20324912846669</v>
      </c>
      <c r="BH155" s="118">
        <f>IFERROR(INDEX('Fuel Model - Calculation'!$B$2:$M$3771,(MATCH(($E155&amp;"Results"&amp;$BD$140&amp;$F155&amp;"USD/ton"),'Fuel Model - Calculation'!$B$2:$B$3771,0)),MATCH(T$141,'Fuel Model - Calculation'!$B$2:$M$2,0)),0)</f>
        <v>120.50368432556178</v>
      </c>
      <c r="BI155" s="118">
        <f>IFERROR(INDEX('Fuel Model - Calculation'!$B$2:$M$3771,(MATCH(($E155&amp;"Results"&amp;$BD$140&amp;$F155&amp;"USD/ton"),'Fuel Model - Calculation'!$B$2:$B$3771,0)),MATCH(U$141,'Fuel Model - Calculation'!$B$2:$M$2,0)),0)</f>
        <v>90.542257051878778</v>
      </c>
      <c r="BJ155" s="118">
        <f>IFERROR(INDEX('Fuel Model - Calculation'!$B$2:$M$3771,(MATCH(($E155&amp;"Results"&amp;$BD$140&amp;$F155&amp;"USD/ton"),'Fuel Model - Calculation'!$B$2:$B$3771,0)),MATCH(V$141,'Fuel Model - Calculation'!$B$2:$M$2,0)),0)</f>
        <v>64.119770559626389</v>
      </c>
      <c r="BL155" s="118">
        <f>IFERROR(IFERROR(INDEX('Fuel Model - Calculation'!$B$2:$M$3771,(MATCH(($E155&amp;"Results"&amp;$BL$140&amp;$F155&amp;"USD/ton"),'Fuel Model - Calculation'!$B$2:$B$3771,0)),MATCH(H$141,'Fuel Model - Calculation'!$B$2:$M$2,0)),0),0)</f>
        <v>0</v>
      </c>
      <c r="BM155" s="118">
        <f>IFERROR(IFERROR(INDEX('Fuel Model - Calculation'!$B$2:$M$3771,(MATCH(($E155&amp;"Results"&amp;$BL$140&amp;$F155&amp;"USD/ton"),'Fuel Model - Calculation'!$B$2:$B$3771,0)),MATCH(I$141,'Fuel Model - Calculation'!$B$2:$M$2,0)),0),0)</f>
        <v>0</v>
      </c>
      <c r="BN155" s="118">
        <f>IFERROR(IFERROR(INDEX('Fuel Model - Calculation'!$B$2:$M$3771,(MATCH(($E155&amp;"Results"&amp;$BL$140&amp;$F155&amp;"USD/ton"),'Fuel Model - Calculation'!$B$2:$B$3771,0)),MATCH(J$141,'Fuel Model - Calculation'!$B$2:$M$2,0)),0),0)</f>
        <v>0</v>
      </c>
      <c r="BO155" s="118">
        <f>IFERROR(IFERROR(INDEX('Fuel Model - Calculation'!$B$2:$M$3771,(MATCH(($E155&amp;"Results"&amp;$BL$140&amp;$F155&amp;"USD/ton"),'Fuel Model - Calculation'!$B$2:$B$3771,0)),MATCH(K$141,'Fuel Model - Calculation'!$B$2:$M$2,0)),0),0)</f>
        <v>0</v>
      </c>
      <c r="BP155" s="118">
        <f>IFERROR(IFERROR(INDEX('Fuel Model - Calculation'!$B$2:$M$3771,(MATCH(($E155&amp;"Results"&amp;$BL$140&amp;$F155&amp;"USD/ton"),'Fuel Model - Calculation'!$B$2:$B$3771,0)),MATCH(L$141,'Fuel Model - Calculation'!$B$2:$M$2,0)),0),0)</f>
        <v>0</v>
      </c>
      <c r="BQ155" s="118">
        <f>IFERROR(IFERROR(INDEX('Fuel Model - Calculation'!$B$2:$M$3771,(MATCH(($E155&amp;"Results"&amp;$BL$140&amp;$F155&amp;"USD/ton"),'Fuel Model - Calculation'!$B$2:$B$3771,0)),MATCH(M$141,'Fuel Model - Calculation'!$B$2:$M$2,0)),0),0)</f>
        <v>0</v>
      </c>
      <c r="BR155" s="118">
        <f>IFERROR(IFERROR(INDEX('Fuel Model - Calculation'!$B$2:$M$3771,(MATCH(($E155&amp;"Results"&amp;$BL$140&amp;$F155&amp;"USD/ton"),'Fuel Model - Calculation'!$B$2:$B$3771,0)),MATCH(N$141,'Fuel Model - Calculation'!$B$2:$M$2,0)),0),0)</f>
        <v>0</v>
      </c>
      <c r="BT155" s="118">
        <f>IFERROR(INDEX('Fuel Model - Calculation'!$B$2:$M$3771,(MATCH(($E155&amp;"Results"&amp;$BT$140&amp;$F155&amp;"USD/ton"),'Fuel Model - Calculation'!$B$2:$B$3771,0)),MATCH(H$141,'Fuel Model - Calculation'!$B$2:$M$2,0)),0)</f>
        <v>0</v>
      </c>
      <c r="BU155" s="118">
        <f>IFERROR(INDEX('Fuel Model - Calculation'!$B$2:$M$3771,(MATCH(($E155&amp;"Results"&amp;$BT$140&amp;$F155&amp;"USD/ton"),'Fuel Model - Calculation'!$B$2:$B$3771,0)),MATCH(I$141,'Fuel Model - Calculation'!$B$2:$M$2,0)),0)</f>
        <v>0</v>
      </c>
      <c r="BV155" s="118">
        <f>IFERROR(INDEX('Fuel Model - Calculation'!$B$2:$M$3771,(MATCH(($E155&amp;"Results"&amp;$BT$140&amp;$F155&amp;"USD/ton"),'Fuel Model - Calculation'!$B$2:$B$3771,0)),MATCH(J$141,'Fuel Model - Calculation'!$B$2:$M$2,0)),0)</f>
        <v>0</v>
      </c>
      <c r="BW155" s="118">
        <f>IFERROR(INDEX('Fuel Model - Calculation'!$B$2:$M$3771,(MATCH(($E155&amp;"Results"&amp;$BT$140&amp;$F155&amp;"USD/ton"),'Fuel Model - Calculation'!$B$2:$B$3771,0)),MATCH(K$141,'Fuel Model - Calculation'!$B$2:$M$2,0)),0)</f>
        <v>0</v>
      </c>
      <c r="BX155" s="118">
        <f>IFERROR(INDEX('Fuel Model - Calculation'!$B$2:$M$3771,(MATCH(($E155&amp;"Results"&amp;$BT$140&amp;$F155&amp;"USD/ton"),'Fuel Model - Calculation'!$B$2:$B$3771,0)),MATCH(L$141,'Fuel Model - Calculation'!$B$2:$M$2,0)),0)</f>
        <v>0</v>
      </c>
      <c r="BY155" s="118">
        <f>IFERROR(INDEX('Fuel Model - Calculation'!$B$2:$M$3771,(MATCH(($E155&amp;"Results"&amp;$BT$140&amp;$F155&amp;"USD/ton"),'Fuel Model - Calculation'!$B$2:$B$3771,0)),MATCH(M$141,'Fuel Model - Calculation'!$B$2:$M$2,0)),0)</f>
        <v>0</v>
      </c>
      <c r="BZ155" s="118">
        <f>IFERROR(INDEX('Fuel Model - Calculation'!$B$2:$M$3771,(MATCH(($E155&amp;"Results"&amp;$BT$140&amp;$F155&amp;"USD/ton"),'Fuel Model - Calculation'!$B$2:$B$3771,0)),MATCH(N$141,'Fuel Model - Calculation'!$B$2:$M$2,0)),0)</f>
        <v>0</v>
      </c>
    </row>
    <row r="156" spans="1:78" x14ac:dyDescent="0.2">
      <c r="A156" s="452"/>
      <c r="B156" s="453" t="str">
        <f>_xlfn.TEXTJOIN(keydelim,TRUE,F156,IF(E156="Africa","Africa&amp;other",E156),"Fuel cost",SUBSTITUTE($G156," ",""))</f>
        <v>e-Ammonia - Asia - Fuel cost - USD/ton</v>
      </c>
      <c r="D156" s="459" t="str">
        <f t="shared" si="168"/>
        <v>Asiae-Ammonia</v>
      </c>
      <c r="E156" t="s">
        <v>198</v>
      </c>
      <c r="F156" s="460" t="s">
        <v>121</v>
      </c>
      <c r="G156" t="s">
        <v>835</v>
      </c>
      <c r="H156" s="118">
        <f>INDEX('Fuel Model - Calculation'!$B$2:$M$3771,(MATCH(($E156&amp;"ResultsCost of "&amp;$F156&amp;"USD/ton"),'Fuel Model - Calculation'!$B$2:$B$3771,0)),MATCH(H$141,'Fuel Model - Calculation'!$B$2:$M$2,0))</f>
        <v>1579.580653096117</v>
      </c>
      <c r="I156" s="118">
        <f>INDEX('Fuel Model - Calculation'!$B$2:$M$3771,(MATCH(($E156&amp;"ResultsCost of "&amp;$F156&amp;"USD/ton"),'Fuel Model - Calculation'!$B$2:$B$3771,0)),MATCH(I$141,'Fuel Model - Calculation'!$B$2:$M$2,0))</f>
        <v>1070.6095575287031</v>
      </c>
      <c r="J156" s="118">
        <f>INDEX('Fuel Model - Calculation'!$B$2:$M$3771,(MATCH(($E156&amp;"ResultsCost of "&amp;$F156&amp;"USD/ton"),'Fuel Model - Calculation'!$B$2:$B$3771,0)),MATCH(J$141,'Fuel Model - Calculation'!$B$2:$M$2,0))</f>
        <v>756.71816501814601</v>
      </c>
      <c r="K156" s="118">
        <f>INDEX('Fuel Model - Calculation'!$B$2:$M$3771,(MATCH(($E156&amp;"ResultsCost of "&amp;$F156&amp;"USD/ton"),'Fuel Model - Calculation'!$B$2:$B$3771,0)),MATCH(K$141,'Fuel Model - Calculation'!$B$2:$M$2,0))</f>
        <v>664.41540750671697</v>
      </c>
      <c r="L156" s="118">
        <f>INDEX('Fuel Model - Calculation'!$B$2:$M$3771,(MATCH(($E156&amp;"ResultsCost of "&amp;$F156&amp;"USD/ton"),'Fuel Model - Calculation'!$B$2:$B$3771,0)),MATCH(L$141,'Fuel Model - Calculation'!$B$2:$M$2,0))</f>
        <v>577.77837099894293</v>
      </c>
      <c r="M156" s="118">
        <f>INDEX('Fuel Model - Calculation'!$B$2:$M$3771,(MATCH(($E156&amp;"ResultsCost of "&amp;$F156&amp;"USD/ton"),'Fuel Model - Calculation'!$B$2:$B$3771,0)),MATCH(M$141,'Fuel Model - Calculation'!$B$2:$M$2,0))</f>
        <v>473.23342036378403</v>
      </c>
      <c r="N156" s="118">
        <f>INDEX('Fuel Model - Calculation'!$B$2:$M$3771,(MATCH(($E156&amp;"ResultsCost of "&amp;$F156&amp;"USD/ton"),'Fuel Model - Calculation'!$B$2:$B$3771,0)),MATCH(N$141,'Fuel Model - Calculation'!$B$2:$M$2,0))</f>
        <v>387.67660179884467</v>
      </c>
      <c r="O156"/>
      <c r="P156" s="118">
        <f>IFERROR(INDEX('Fuel Model - Calculation'!G$2:G$3771,(MATCH(($E156&amp;"ResultsTotal RNE "&amp;$F156&amp;"USD/ton"),'Fuel Model - Calculation'!$B$2:$B$3771,0))),0)</f>
        <v>821.92353918805111</v>
      </c>
      <c r="Q156" s="118">
        <f>IFERROR(INDEX('Fuel Model - Calculation'!H$2:H$3771,(MATCH(($E156&amp;"ResultsTotal RNE "&amp;$F156&amp;"USD/ton"),'Fuel Model - Calculation'!$B$2:$B$3771,0))),0)</f>
        <v>533.67628743713237</v>
      </c>
      <c r="R156" s="118">
        <f>IFERROR(INDEX('Fuel Model - Calculation'!I$2:I$3771,(MATCH(($E156&amp;"ResultsTotal RNE "&amp;$F156&amp;"USD/ton"),'Fuel Model - Calculation'!$B$2:$B$3771,0))),0)</f>
        <v>426.04949360553348</v>
      </c>
      <c r="S156" s="118">
        <f>IFERROR(INDEX('Fuel Model - Calculation'!J$2:J$3771,(MATCH(($E156&amp;"ResultsTotal RNE "&amp;$F156&amp;"USD/ton"),'Fuel Model - Calculation'!$B$2:$B$3771,0))),0)</f>
        <v>345.13748259953246</v>
      </c>
      <c r="T156" s="118">
        <f>IFERROR(INDEX('Fuel Model - Calculation'!K$2:K$3771,(MATCH(($E156&amp;"ResultsTotal RNE "&amp;$F156&amp;"USD/ton"),'Fuel Model - Calculation'!$B$2:$B$3771,0))),0)</f>
        <v>298.04358287035166</v>
      </c>
      <c r="U156" s="118">
        <f>IFERROR(INDEX('Fuel Model - Calculation'!L$2:L$3771,(MATCH(($E156&amp;"ResultsTotal RNE "&amp;$F156&amp;"USD/ton"),'Fuel Model - Calculation'!$B$2:$B$3771,0))),0)</f>
        <v>248.45930994457848</v>
      </c>
      <c r="V156" s="118">
        <f>IFERROR(INDEX('Fuel Model - Calculation'!M$2:M$3771,(MATCH(($E156&amp;"ResultsTotal RNE "&amp;$F156&amp;"USD/ton"),'Fuel Model - Calculation'!$B$2:$B$3771,0))),0)</f>
        <v>222.13534226440024</v>
      </c>
      <c r="W156"/>
      <c r="X156" s="2">
        <f>INDEX('Fuel Model - Calculation'!$E$2:$M$3771,(MATCH(("WTT Emission - "&amp;$F156),'Fuel Model - Calculation'!$E$2:$E$3771,0)),MATCH(X$141,'Fuel Model - Calculation'!$E$2:$M$2,0))</f>
        <v>5.3785507129850182E-2</v>
      </c>
      <c r="Y156" s="2">
        <f>INDEX('Fuel Model - Calculation'!$E$2:$M$3771,(MATCH(("WTT Emission - "&amp;$F156),'Fuel Model - Calculation'!$E$2:$E$3771,0)),MATCH(Y$141,'Fuel Model - Calculation'!$E$2:$M$2,0))</f>
        <v>5.3538899999999987E-2</v>
      </c>
      <c r="Z156" s="2">
        <f>INDEX('Fuel Model - Calculation'!$E$2:$M$3771,(MATCH(("WTT Emission - "&amp;$F156),'Fuel Model - Calculation'!$E$2:$E$3771,0)),MATCH(Z$141,'Fuel Model - Calculation'!$E$2:$M$2,0))</f>
        <v>5.2845949553431054E-2</v>
      </c>
      <c r="AA156" s="2">
        <f>INDEX('Fuel Model - Calculation'!$E$2:$M$3771,(MATCH(("WTT Emission - "&amp;$F156),'Fuel Model - Calculation'!$E$2:$E$3771,0)),MATCH(AA$141,'Fuel Model - Calculation'!$E$2:$M$2,0))</f>
        <v>5.1005446953951317E-2</v>
      </c>
      <c r="AB156" s="2">
        <f>INDEX('Fuel Model - Calculation'!$E$2:$M$3771,(MATCH(("WTT Emission - "&amp;$F156),'Fuel Model - Calculation'!$E$2:$E$3771,0)),MATCH(AB$141,'Fuel Model - Calculation'!$E$2:$M$2,0))</f>
        <v>4.8795179078345907E-2</v>
      </c>
      <c r="AC156" s="2">
        <f>INDEX('Fuel Model - Calculation'!$E$2:$M$3771,(MATCH(("WTT Emission - "&amp;$F156),'Fuel Model - Calculation'!$E$2:$E$3771,0)),MATCH(AC$141,'Fuel Model - Calculation'!$E$2:$M$2,0))</f>
        <v>4.5852600460841497E-2</v>
      </c>
      <c r="AD156" s="2">
        <f>INDEX('Fuel Model - Calculation'!$E$2:$M$3771,(MATCH(("WTT Emission - "&amp;$F156),'Fuel Model - Calculation'!$E$2:$E$3771,0)),MATCH(AD$141,'Fuel Model - Calculation'!$E$2:$M$2,0))</f>
        <v>4.3534589999999998E-2</v>
      </c>
      <c r="AE156" s="2"/>
      <c r="AF156" s="2">
        <f>'Fuel Model -  Input'!H$50</f>
        <v>0</v>
      </c>
      <c r="AG156" s="2">
        <f>'Fuel Model -  Input'!I$50</f>
        <v>0</v>
      </c>
      <c r="AH156" s="2">
        <f>'Fuel Model -  Input'!J$50</f>
        <v>0</v>
      </c>
      <c r="AI156" s="2">
        <f>'Fuel Model -  Input'!K$50</f>
        <v>0</v>
      </c>
      <c r="AJ156" s="2">
        <f>'Fuel Model -  Input'!L$50</f>
        <v>0</v>
      </c>
      <c r="AK156" s="2">
        <f>'Fuel Model -  Input'!M$50</f>
        <v>0</v>
      </c>
      <c r="AL156" s="2">
        <f>'Fuel Model -  Input'!N$50</f>
        <v>0</v>
      </c>
      <c r="AM156"/>
      <c r="AN156" s="24">
        <f t="shared" si="167"/>
        <v>5.3785507129850182E-2</v>
      </c>
      <c r="AO156" s="24">
        <f t="shared" si="167"/>
        <v>5.3538899999999987E-2</v>
      </c>
      <c r="AP156" s="24">
        <f t="shared" si="167"/>
        <v>5.2845949553431054E-2</v>
      </c>
      <c r="AQ156" s="24">
        <f t="shared" si="167"/>
        <v>5.1005446953951317E-2</v>
      </c>
      <c r="AR156" s="24">
        <f t="shared" si="167"/>
        <v>4.8795179078345907E-2</v>
      </c>
      <c r="AS156" s="24">
        <f t="shared" si="167"/>
        <v>4.5852600460841497E-2</v>
      </c>
      <c r="AT156" s="24">
        <f t="shared" si="167"/>
        <v>4.3534589999999998E-2</v>
      </c>
      <c r="AU156"/>
      <c r="AV156" s="118">
        <f>IFERROR(INDEX('Fuel Model - Calculation'!$B$2:$M$3771,(MATCH(($E156&amp;"Results"&amp;$AV$140&amp;$F156&amp;"USD/ton"),'Fuel Model - Calculation'!$B$2:$B$3771,0)),MATCH(H$141,'Fuel Model - Calculation'!$B$2:$M$2,0)),0)</f>
        <v>401.97148130491786</v>
      </c>
      <c r="AW156" s="118">
        <f>IFERROR(INDEX('Fuel Model - Calculation'!$B$2:$M$3771,(MATCH(($E156&amp;"Results"&amp;$AV$140&amp;$F156&amp;"USD/ton"),'Fuel Model - Calculation'!$B$2:$B$3771,0)),MATCH(I$141,'Fuel Model - Calculation'!$B$2:$M$2,0)),0)</f>
        <v>280.47850076103509</v>
      </c>
      <c r="AX156" s="118">
        <f>IFERROR(INDEX('Fuel Model - Calculation'!$B$2:$M$3771,(MATCH(($E156&amp;"Results"&amp;$AV$140&amp;$F156&amp;"USD/ton"),'Fuel Model - Calculation'!$B$2:$B$3771,0)),MATCH(J$141,'Fuel Model - Calculation'!$B$2:$M$2,0)),0)</f>
        <v>167.58996355417977</v>
      </c>
      <c r="AY156" s="118">
        <f>IFERROR(INDEX('Fuel Model - Calculation'!$B$2:$M$3771,(MATCH(($E156&amp;"Results"&amp;$AV$140&amp;$F156&amp;"USD/ton"),'Fuel Model - Calculation'!$B$2:$B$3771,0)),MATCH(K$141,'Fuel Model - Calculation'!$B$2:$M$2,0)),0)</f>
        <v>170.13389154228602</v>
      </c>
      <c r="AZ156" s="118">
        <f>IFERROR(INDEX('Fuel Model - Calculation'!$B$2:$M$3771,(MATCH(($E156&amp;"Results"&amp;$AV$140&amp;$F156&amp;"USD/ton"),'Fuel Model - Calculation'!$B$2:$B$3771,0)),MATCH(L$141,'Fuel Model - Calculation'!$B$2:$M$2,0)),0)</f>
        <v>157.55745030712239</v>
      </c>
      <c r="BA156" s="118">
        <f>IFERROR(INDEX('Fuel Model - Calculation'!$B$2:$M$3771,(MATCH(($E156&amp;"Results"&amp;$AV$140&amp;$F156&amp;"USD/ton"),'Fuel Model - Calculation'!$B$2:$B$3771,0)),MATCH(M$141,'Fuel Model - Calculation'!$B$2:$M$2,0)),0)</f>
        <v>132.75462219683965</v>
      </c>
      <c r="BB156" s="118">
        <f>IFERROR(INDEX('Fuel Model - Calculation'!$B$2:$M$3771,(MATCH(($E156&amp;"Results"&amp;$AV$140&amp;$F156&amp;"USD/ton"),'Fuel Model - Calculation'!$B$2:$B$3771,0)),MATCH(N$141,'Fuel Model - Calculation'!$B$2:$M$2,0)),0)</f>
        <v>100.03044140030443</v>
      </c>
      <c r="BC156"/>
      <c r="BD156" s="118">
        <f>IFERROR(INDEX('Fuel Model - Calculation'!$B$2:$M$3771,(MATCH(($E156&amp;"Results"&amp;$BD$140&amp;$F156&amp;"USD/ton"),'Fuel Model - Calculation'!$B$2:$B$3771,0)),MATCH(P$141,'Fuel Model - Calculation'!$B$2:$M$2,0)),0)</f>
        <v>355.68563260314806</v>
      </c>
      <c r="BE156" s="118">
        <f>IFERROR(INDEX('Fuel Model - Calculation'!$B$2:$M$3771,(MATCH(($E156&amp;"Results"&amp;$BD$140&amp;$F156&amp;"USD/ton"),'Fuel Model - Calculation'!$B$2:$B$3771,0)),MATCH(Q$141,'Fuel Model - Calculation'!$B$2:$M$2,0)),0)</f>
        <v>256.45476933053567</v>
      </c>
      <c r="BF156" s="118">
        <f>IFERROR(INDEX('Fuel Model - Calculation'!$B$2:$M$3771,(MATCH(($E156&amp;"Results"&amp;$BD$140&amp;$F156&amp;"USD/ton"),'Fuel Model - Calculation'!$B$2:$B$3771,0)),MATCH(R$141,'Fuel Model - Calculation'!$B$2:$M$2,0)),0)</f>
        <v>163.07870785843278</v>
      </c>
      <c r="BG156" s="118">
        <f>IFERROR(INDEX('Fuel Model - Calculation'!$B$2:$M$3771,(MATCH(($E156&amp;"Results"&amp;$BD$140&amp;$F156&amp;"USD/ton"),'Fuel Model - Calculation'!$B$2:$B$3771,0)),MATCH(S$141,'Fuel Model - Calculation'!$B$2:$M$2,0)),0)</f>
        <v>149.14403336489846</v>
      </c>
      <c r="BH156" s="118">
        <f>IFERROR(INDEX('Fuel Model - Calculation'!$B$2:$M$3771,(MATCH(($E156&amp;"Results"&amp;$BD$140&amp;$F156&amp;"USD/ton"),'Fuel Model - Calculation'!$B$2:$B$3771,0)),MATCH(T$141,'Fuel Model - Calculation'!$B$2:$M$2,0)),0)</f>
        <v>122.17733782146885</v>
      </c>
      <c r="BI156" s="118">
        <f>IFERROR(INDEX('Fuel Model - Calculation'!$B$2:$M$3771,(MATCH(($E156&amp;"Results"&amp;$BD$140&amp;$F156&amp;"USD/ton"),'Fuel Model - Calculation'!$B$2:$B$3771,0)),MATCH(U$141,'Fuel Model - Calculation'!$B$2:$M$2,0)),0)</f>
        <v>92.019488222365908</v>
      </c>
      <c r="BJ156" s="118">
        <f>IFERROR(INDEX('Fuel Model - Calculation'!$B$2:$M$3771,(MATCH(($E156&amp;"Results"&amp;$BD$140&amp;$F156&amp;"USD/ton"),'Fuel Model - Calculation'!$B$2:$B$3771,0)),MATCH(V$141,'Fuel Model - Calculation'!$B$2:$M$2,0)),0)</f>
        <v>65.510818134140038</v>
      </c>
      <c r="BL156" s="118">
        <f>IFERROR(IFERROR(INDEX('Fuel Model - Calculation'!$B$2:$M$3771,(MATCH(($E156&amp;"Results"&amp;$BL$140&amp;$F156&amp;"USD/ton"),'Fuel Model - Calculation'!$B$2:$B$3771,0)),MATCH(H$141,'Fuel Model - Calculation'!$B$2:$M$2,0)),0),0)</f>
        <v>0</v>
      </c>
      <c r="BM156" s="118">
        <f>IFERROR(IFERROR(INDEX('Fuel Model - Calculation'!$B$2:$M$3771,(MATCH(($E156&amp;"Results"&amp;$BL$140&amp;$F156&amp;"USD/ton"),'Fuel Model - Calculation'!$B$2:$B$3771,0)),MATCH(I$141,'Fuel Model - Calculation'!$B$2:$M$2,0)),0),0)</f>
        <v>0</v>
      </c>
      <c r="BN156" s="118">
        <f>IFERROR(IFERROR(INDEX('Fuel Model - Calculation'!$B$2:$M$3771,(MATCH(($E156&amp;"Results"&amp;$BL$140&amp;$F156&amp;"USD/ton"),'Fuel Model - Calculation'!$B$2:$B$3771,0)),MATCH(J$141,'Fuel Model - Calculation'!$B$2:$M$2,0)),0),0)</f>
        <v>0</v>
      </c>
      <c r="BO156" s="118">
        <f>IFERROR(IFERROR(INDEX('Fuel Model - Calculation'!$B$2:$M$3771,(MATCH(($E156&amp;"Results"&amp;$BL$140&amp;$F156&amp;"USD/ton"),'Fuel Model - Calculation'!$B$2:$B$3771,0)),MATCH(K$141,'Fuel Model - Calculation'!$B$2:$M$2,0)),0),0)</f>
        <v>0</v>
      </c>
      <c r="BP156" s="118">
        <f>IFERROR(IFERROR(INDEX('Fuel Model - Calculation'!$B$2:$M$3771,(MATCH(($E156&amp;"Results"&amp;$BL$140&amp;$F156&amp;"USD/ton"),'Fuel Model - Calculation'!$B$2:$B$3771,0)),MATCH(L$141,'Fuel Model - Calculation'!$B$2:$M$2,0)),0),0)</f>
        <v>0</v>
      </c>
      <c r="BQ156" s="118">
        <f>IFERROR(IFERROR(INDEX('Fuel Model - Calculation'!$B$2:$M$3771,(MATCH(($E156&amp;"Results"&amp;$BL$140&amp;$F156&amp;"USD/ton"),'Fuel Model - Calculation'!$B$2:$B$3771,0)),MATCH(M$141,'Fuel Model - Calculation'!$B$2:$M$2,0)),0),0)</f>
        <v>0</v>
      </c>
      <c r="BR156" s="118">
        <f>IFERROR(IFERROR(INDEX('Fuel Model - Calculation'!$B$2:$M$3771,(MATCH(($E156&amp;"Results"&amp;$BL$140&amp;$F156&amp;"USD/ton"),'Fuel Model - Calculation'!$B$2:$B$3771,0)),MATCH(N$141,'Fuel Model - Calculation'!$B$2:$M$2,0)),0),0)</f>
        <v>0</v>
      </c>
      <c r="BT156" s="118">
        <f>IFERROR(INDEX('Fuel Model - Calculation'!$B$2:$M$3771,(MATCH(($E156&amp;"Results"&amp;$BT$140&amp;$F156&amp;"USD/ton"),'Fuel Model - Calculation'!$B$2:$B$3771,0)),MATCH(H$141,'Fuel Model - Calculation'!$B$2:$M$2,0)),0)</f>
        <v>0</v>
      </c>
      <c r="BU156" s="118">
        <f>IFERROR(INDEX('Fuel Model - Calculation'!$B$2:$M$3771,(MATCH(($E156&amp;"Results"&amp;$BT$140&amp;$F156&amp;"USD/ton"),'Fuel Model - Calculation'!$B$2:$B$3771,0)),MATCH(I$141,'Fuel Model - Calculation'!$B$2:$M$2,0)),0)</f>
        <v>0</v>
      </c>
      <c r="BV156" s="118">
        <f>IFERROR(INDEX('Fuel Model - Calculation'!$B$2:$M$3771,(MATCH(($E156&amp;"Results"&amp;$BT$140&amp;$F156&amp;"USD/ton"),'Fuel Model - Calculation'!$B$2:$B$3771,0)),MATCH(J$141,'Fuel Model - Calculation'!$B$2:$M$2,0)),0)</f>
        <v>0</v>
      </c>
      <c r="BW156" s="118">
        <f>IFERROR(INDEX('Fuel Model - Calculation'!$B$2:$M$3771,(MATCH(($E156&amp;"Results"&amp;$BT$140&amp;$F156&amp;"USD/ton"),'Fuel Model - Calculation'!$B$2:$B$3771,0)),MATCH(K$141,'Fuel Model - Calculation'!$B$2:$M$2,0)),0)</f>
        <v>0</v>
      </c>
      <c r="BX156" s="118">
        <f>IFERROR(INDEX('Fuel Model - Calculation'!$B$2:$M$3771,(MATCH(($E156&amp;"Results"&amp;$BT$140&amp;$F156&amp;"USD/ton"),'Fuel Model - Calculation'!$B$2:$B$3771,0)),MATCH(L$141,'Fuel Model - Calculation'!$B$2:$M$2,0)),0)</f>
        <v>0</v>
      </c>
      <c r="BY156" s="118">
        <f>IFERROR(INDEX('Fuel Model - Calculation'!$B$2:$M$3771,(MATCH(($E156&amp;"Results"&amp;$BT$140&amp;$F156&amp;"USD/ton"),'Fuel Model - Calculation'!$B$2:$B$3771,0)),MATCH(M$141,'Fuel Model - Calculation'!$B$2:$M$2,0)),0)</f>
        <v>0</v>
      </c>
      <c r="BZ156" s="118">
        <f>IFERROR(INDEX('Fuel Model - Calculation'!$B$2:$M$3771,(MATCH(($E156&amp;"Results"&amp;$BT$140&amp;$F156&amp;"USD/ton"),'Fuel Model - Calculation'!$B$2:$B$3771,0)),MATCH(N$141,'Fuel Model - Calculation'!$B$2:$M$2,0)),0)</f>
        <v>0</v>
      </c>
    </row>
    <row r="157" spans="1:78" x14ac:dyDescent="0.2">
      <c r="A157" s="452"/>
      <c r="B157" s="453" t="str">
        <f>_xlfn.TEXTJOIN(keydelim,TRUE,F157,IF(E157="Africa","Africa&amp;other",E157),"Fuel cost",SUBSTITUTE($G157," ",""))</f>
        <v>e-Ammonia - Americas - Fuel cost - USD/ton</v>
      </c>
      <c r="D157" s="459" t="str">
        <f t="shared" si="168"/>
        <v>Americase-Ammonia</v>
      </c>
      <c r="E157" t="s">
        <v>199</v>
      </c>
      <c r="F157" s="460" t="s">
        <v>121</v>
      </c>
      <c r="G157" t="s">
        <v>835</v>
      </c>
      <c r="H157" s="118">
        <f>INDEX('Fuel Model - Calculation'!$B$2:$M$3771,(MATCH(($E157&amp;"ResultsCost of "&amp;$F157&amp;"USD/ton"),'Fuel Model - Calculation'!$B$2:$B$3771,0)),MATCH(H$141,'Fuel Model - Calculation'!$B$2:$M$2,0))</f>
        <v>1140.8567734101616</v>
      </c>
      <c r="I157" s="118">
        <f>INDEX('Fuel Model - Calculation'!$B$2:$M$3771,(MATCH(($E157&amp;"ResultsCost of "&amp;$F157&amp;"USD/ton"),'Fuel Model - Calculation'!$B$2:$B$3771,0)),MATCH(I$141,'Fuel Model - Calculation'!$B$2:$M$2,0))</f>
        <v>884.53680883894754</v>
      </c>
      <c r="J157" s="118">
        <f>INDEX('Fuel Model - Calculation'!$B$2:$M$3771,(MATCH(($E157&amp;"ResultsCost of "&amp;$F157&amp;"USD/ton"),'Fuel Model - Calculation'!$B$2:$B$3771,0)),MATCH(J$141,'Fuel Model - Calculation'!$B$2:$M$2,0))</f>
        <v>611.16932982120011</v>
      </c>
      <c r="K157" s="118">
        <f>INDEX('Fuel Model - Calculation'!$B$2:$M$3771,(MATCH(($E157&amp;"ResultsCost of "&amp;$F157&amp;"USD/ton"),'Fuel Model - Calculation'!$B$2:$B$3771,0)),MATCH(K$141,'Fuel Model - Calculation'!$B$2:$M$2,0))</f>
        <v>561.21143844507924</v>
      </c>
      <c r="L157" s="118">
        <f>INDEX('Fuel Model - Calculation'!$B$2:$M$3771,(MATCH(($E157&amp;"ResultsCost of "&amp;$F157&amp;"USD/ton"),'Fuel Model - Calculation'!$B$2:$B$3771,0)),MATCH(L$141,'Fuel Model - Calculation'!$B$2:$M$2,0))</f>
        <v>488.51686019227998</v>
      </c>
      <c r="M157" s="118">
        <f>INDEX('Fuel Model - Calculation'!$B$2:$M$3771,(MATCH(($E157&amp;"ResultsCost of "&amp;$F157&amp;"USD/ton"),'Fuel Model - Calculation'!$B$2:$B$3771,0)),MATCH(M$141,'Fuel Model - Calculation'!$B$2:$M$2,0))</f>
        <v>412.69597178014686</v>
      </c>
      <c r="N157" s="118">
        <f>INDEX('Fuel Model - Calculation'!$B$2:$M$3771,(MATCH(($E157&amp;"ResultsCost of "&amp;$F157&amp;"USD/ton"),'Fuel Model - Calculation'!$B$2:$B$3771,0)),MATCH(N$141,'Fuel Model - Calculation'!$B$2:$M$2,0))</f>
        <v>337.88706313586761</v>
      </c>
      <c r="O157"/>
      <c r="P157" s="118">
        <f>IFERROR(INDEX('Fuel Model - Calculation'!G$2:G$3771,(MATCH(($E157&amp;"ResultsTotal RNE "&amp;$F157&amp;"USD/ton"),'Fuel Model - Calculation'!$B$2:$B$3771,0))),0)</f>
        <v>390.28452360734826</v>
      </c>
      <c r="Q157" s="118">
        <f>IFERROR(INDEX('Fuel Model - Calculation'!H$2:H$3771,(MATCH(($E157&amp;"ResultsTotal RNE "&amp;$F157&amp;"USD/ton"),'Fuel Model - Calculation'!$B$2:$B$3771,0))),0)</f>
        <v>350.62200652885326</v>
      </c>
      <c r="R157" s="118">
        <f>IFERROR(INDEX('Fuel Model - Calculation'!I$2:I$3771,(MATCH(($E157&amp;"ResultsTotal RNE "&amp;$F157&amp;"USD/ton"),'Fuel Model - Calculation'!$B$2:$B$3771,0))),0)</f>
        <v>282.89219964459397</v>
      </c>
      <c r="S157" s="118">
        <f>IFERROR(INDEX('Fuel Model - Calculation'!J$2:J$3771,(MATCH(($E157&amp;"ResultsTotal RNE "&amp;$F157&amp;"USD/ton"),'Fuel Model - Calculation'!$B$2:$B$3771,0))),0)</f>
        <v>243.68942763755615</v>
      </c>
      <c r="T157" s="118">
        <f>IFERROR(INDEX('Fuel Model - Calculation'!K$2:K$3771,(MATCH(($E157&amp;"ResultsTotal RNE "&amp;$F157&amp;"USD/ton"),'Fuel Model - Calculation'!$B$2:$B$3771,0))),0)</f>
        <v>210.36833861697755</v>
      </c>
      <c r="U157" s="118">
        <f>IFERROR(INDEX('Fuel Model - Calculation'!L$2:L$3771,(MATCH(($E157&amp;"ResultsTotal RNE "&amp;$F157&amp;"USD/ton"),'Fuel Model - Calculation'!$B$2:$B$3771,0))),0)</f>
        <v>189.06540826782322</v>
      </c>
      <c r="V157" s="118">
        <f>IFERROR(INDEX('Fuel Model - Calculation'!M$2:M$3771,(MATCH(($E157&amp;"ResultsTotal RNE "&amp;$F157&amp;"USD/ton"),'Fuel Model - Calculation'!$B$2:$B$3771,0))),0)</f>
        <v>173.33540634777731</v>
      </c>
      <c r="W157"/>
      <c r="X157" s="2">
        <f>INDEX('Fuel Model - Calculation'!$E$2:$M$3771,(MATCH(("WTT Emission - "&amp;$F157),'Fuel Model - Calculation'!$E$2:$E$3771,0)),MATCH(X$141,'Fuel Model - Calculation'!$E$2:$M$2,0))</f>
        <v>5.3785507129850182E-2</v>
      </c>
      <c r="Y157" s="2">
        <f>INDEX('Fuel Model - Calculation'!$E$2:$M$3771,(MATCH(("WTT Emission - "&amp;$F157),'Fuel Model - Calculation'!$E$2:$E$3771,0)),MATCH(Y$141,'Fuel Model - Calculation'!$E$2:$M$2,0))</f>
        <v>5.3538899999999987E-2</v>
      </c>
      <c r="Z157" s="2">
        <f>INDEX('Fuel Model - Calculation'!$E$2:$M$3771,(MATCH(("WTT Emission - "&amp;$F157),'Fuel Model - Calculation'!$E$2:$E$3771,0)),MATCH(Z$141,'Fuel Model - Calculation'!$E$2:$M$2,0))</f>
        <v>5.2845949553431054E-2</v>
      </c>
      <c r="AA157" s="2">
        <f>INDEX('Fuel Model - Calculation'!$E$2:$M$3771,(MATCH(("WTT Emission - "&amp;$F157),'Fuel Model - Calculation'!$E$2:$E$3771,0)),MATCH(AA$141,'Fuel Model - Calculation'!$E$2:$M$2,0))</f>
        <v>5.1005446953951317E-2</v>
      </c>
      <c r="AB157" s="2">
        <f>INDEX('Fuel Model - Calculation'!$E$2:$M$3771,(MATCH(("WTT Emission - "&amp;$F157),'Fuel Model - Calculation'!$E$2:$E$3771,0)),MATCH(AB$141,'Fuel Model - Calculation'!$E$2:$M$2,0))</f>
        <v>4.8795179078345907E-2</v>
      </c>
      <c r="AC157" s="2">
        <f>INDEX('Fuel Model - Calculation'!$E$2:$M$3771,(MATCH(("WTT Emission - "&amp;$F157),'Fuel Model - Calculation'!$E$2:$E$3771,0)),MATCH(AC$141,'Fuel Model - Calculation'!$E$2:$M$2,0))</f>
        <v>4.5852600460841497E-2</v>
      </c>
      <c r="AD157" s="2">
        <f>INDEX('Fuel Model - Calculation'!$E$2:$M$3771,(MATCH(("WTT Emission - "&amp;$F157),'Fuel Model - Calculation'!$E$2:$E$3771,0)),MATCH(AD$141,'Fuel Model - Calculation'!$E$2:$M$2,0))</f>
        <v>4.3534589999999998E-2</v>
      </c>
      <c r="AE157" s="2"/>
      <c r="AF157" s="2">
        <f>'Fuel Model -  Input'!H$50</f>
        <v>0</v>
      </c>
      <c r="AG157" s="2">
        <f>'Fuel Model -  Input'!I$50</f>
        <v>0</v>
      </c>
      <c r="AH157" s="2">
        <f>'Fuel Model -  Input'!J$50</f>
        <v>0</v>
      </c>
      <c r="AI157" s="2">
        <f>'Fuel Model -  Input'!K$50</f>
        <v>0</v>
      </c>
      <c r="AJ157" s="2">
        <f>'Fuel Model -  Input'!L$50</f>
        <v>0</v>
      </c>
      <c r="AK157" s="2">
        <f>'Fuel Model -  Input'!M$50</f>
        <v>0</v>
      </c>
      <c r="AL157" s="2">
        <f>'Fuel Model -  Input'!N$50</f>
        <v>0</v>
      </c>
      <c r="AM157"/>
      <c r="AN157" s="24">
        <f t="shared" si="167"/>
        <v>5.3785507129850182E-2</v>
      </c>
      <c r="AO157" s="24">
        <f t="shared" si="167"/>
        <v>5.3538899999999987E-2</v>
      </c>
      <c r="AP157" s="24">
        <f t="shared" si="167"/>
        <v>5.2845949553431054E-2</v>
      </c>
      <c r="AQ157" s="24">
        <f t="shared" si="167"/>
        <v>5.1005446953951317E-2</v>
      </c>
      <c r="AR157" s="24">
        <f t="shared" si="167"/>
        <v>4.8795179078345907E-2</v>
      </c>
      <c r="AS157" s="24">
        <f t="shared" si="167"/>
        <v>4.5852600460841497E-2</v>
      </c>
      <c r="AT157" s="24">
        <f t="shared" si="167"/>
        <v>4.3534589999999998E-2</v>
      </c>
      <c r="AU157"/>
      <c r="AV157" s="118">
        <f>IFERROR(INDEX('Fuel Model - Calculation'!$B$2:$M$3771,(MATCH(($E157&amp;"Results"&amp;$AV$140&amp;$F157&amp;"USD/ton"),'Fuel Model - Calculation'!$B$2:$B$3771,0)),MATCH(H$141,'Fuel Model - Calculation'!$B$2:$M$2,0)),0)</f>
        <v>401.9714813049178</v>
      </c>
      <c r="AW157" s="118">
        <f>IFERROR(INDEX('Fuel Model - Calculation'!$B$2:$M$3771,(MATCH(($E157&amp;"Results"&amp;$AV$140&amp;$F157&amp;"USD/ton"),'Fuel Model - Calculation'!$B$2:$B$3771,0)),MATCH(I$141,'Fuel Model - Calculation'!$B$2:$M$2,0)),0)</f>
        <v>280.47850076103504</v>
      </c>
      <c r="AX157" s="118">
        <f>IFERROR(INDEX('Fuel Model - Calculation'!$B$2:$M$3771,(MATCH(($E157&amp;"Results"&amp;$AV$140&amp;$F157&amp;"USD/ton"),'Fuel Model - Calculation'!$B$2:$B$3771,0)),MATCH(J$141,'Fuel Model - Calculation'!$B$2:$M$2,0)),0)</f>
        <v>167.58996355417977</v>
      </c>
      <c r="AY157" s="118">
        <f>IFERROR(INDEX('Fuel Model - Calculation'!$B$2:$M$3771,(MATCH(($E157&amp;"Results"&amp;$AV$140&amp;$F157&amp;"USD/ton"),'Fuel Model - Calculation'!$B$2:$B$3771,0)),MATCH(K$141,'Fuel Model - Calculation'!$B$2:$M$2,0)),0)</f>
        <v>170.13389154228602</v>
      </c>
      <c r="AZ157" s="118">
        <f>IFERROR(INDEX('Fuel Model - Calculation'!$B$2:$M$3771,(MATCH(($E157&amp;"Results"&amp;$AV$140&amp;$F157&amp;"USD/ton"),'Fuel Model - Calculation'!$B$2:$B$3771,0)),MATCH(L$141,'Fuel Model - Calculation'!$B$2:$M$2,0)),0)</f>
        <v>157.55745030712242</v>
      </c>
      <c r="BA157" s="118">
        <f>IFERROR(INDEX('Fuel Model - Calculation'!$B$2:$M$3771,(MATCH(($E157&amp;"Results"&amp;$AV$140&amp;$F157&amp;"USD/ton"),'Fuel Model - Calculation'!$B$2:$B$3771,0)),MATCH(M$141,'Fuel Model - Calculation'!$B$2:$M$2,0)),0)</f>
        <v>132.75462219683965</v>
      </c>
      <c r="BB157" s="118">
        <f>IFERROR(INDEX('Fuel Model - Calculation'!$B$2:$M$3771,(MATCH(($E157&amp;"Results"&amp;$AV$140&amp;$F157&amp;"USD/ton"),'Fuel Model - Calculation'!$B$2:$B$3771,0)),MATCH(N$141,'Fuel Model - Calculation'!$B$2:$M$2,0)),0)</f>
        <v>100.03044140030443</v>
      </c>
      <c r="BC157"/>
      <c r="BD157" s="118">
        <f>IFERROR(INDEX('Fuel Model - Calculation'!$B$2:$M$3771,(MATCH(($E157&amp;"Results"&amp;$BD$140&amp;$F157&amp;"USD/ton"),'Fuel Model - Calculation'!$B$2:$B$3771,0)),MATCH(P$141,'Fuel Model - Calculation'!$B$2:$M$2,0)),0)</f>
        <v>348.6007684978955</v>
      </c>
      <c r="BE157" s="118">
        <f>IFERROR(INDEX('Fuel Model - Calculation'!$B$2:$M$3771,(MATCH(($E157&amp;"Results"&amp;$BD$140&amp;$F157&amp;"USD/ton"),'Fuel Model - Calculation'!$B$2:$B$3771,0)),MATCH(Q$141,'Fuel Model - Calculation'!$B$2:$M$2,0)),0)</f>
        <v>253.43630154905921</v>
      </c>
      <c r="BF157" s="118">
        <f>IFERROR(INDEX('Fuel Model - Calculation'!$B$2:$M$3771,(MATCH(($E157&amp;"Results"&amp;$BD$140&amp;$F157&amp;"USD/ton"),'Fuel Model - Calculation'!$B$2:$B$3771,0)),MATCH(R$141,'Fuel Model - Calculation'!$B$2:$M$2,0)),0)</f>
        <v>160.68716662242628</v>
      </c>
      <c r="BG157" s="118">
        <f>IFERROR(INDEX('Fuel Model - Calculation'!$B$2:$M$3771,(MATCH(($E157&amp;"Results"&amp;$BD$140&amp;$F157&amp;"USD/ton"),'Fuel Model - Calculation'!$B$2:$B$3771,0)),MATCH(S$141,'Fuel Model - Calculation'!$B$2:$M$2,0)),0)</f>
        <v>147.38811926523701</v>
      </c>
      <c r="BH157" s="118">
        <f>IFERROR(INDEX('Fuel Model - Calculation'!$B$2:$M$3771,(MATCH(($E157&amp;"Results"&amp;$BD$140&amp;$F157&amp;"USD/ton"),'Fuel Model - Calculation'!$B$2:$B$3771,0)),MATCH(T$141,'Fuel Model - Calculation'!$B$2:$M$2,0)),0)</f>
        <v>120.59107126818003</v>
      </c>
      <c r="BI157" s="118">
        <f>IFERROR(INDEX('Fuel Model - Calculation'!$B$2:$M$3771,(MATCH(($E157&amp;"Results"&amp;$BD$140&amp;$F157&amp;"USD/ton"),'Fuel Model - Calculation'!$B$2:$B$3771,0)),MATCH(U$141,'Fuel Model - Calculation'!$B$2:$M$2,0)),0)</f>
        <v>90.875941315483999</v>
      </c>
      <c r="BJ157" s="118">
        <f>IFERROR(INDEX('Fuel Model - Calculation'!$B$2:$M$3771,(MATCH(($E157&amp;"Results"&amp;$BD$140&amp;$F157&amp;"USD/ton"),'Fuel Model - Calculation'!$B$2:$B$3771,0)),MATCH(V$141,'Fuel Model - Calculation'!$B$2:$M$2,0)),0)</f>
        <v>64.521215387785873</v>
      </c>
      <c r="BL157" s="118">
        <f>IFERROR(IFERROR(INDEX('Fuel Model - Calculation'!$B$2:$M$3771,(MATCH(($E157&amp;"Results"&amp;$BL$140&amp;$F157&amp;"USD/ton"),'Fuel Model - Calculation'!$B$2:$B$3771,0)),MATCH(H$141,'Fuel Model - Calculation'!$B$2:$M$2,0)),0),0)</f>
        <v>0</v>
      </c>
      <c r="BM157" s="118">
        <f>IFERROR(IFERROR(INDEX('Fuel Model - Calculation'!$B$2:$M$3771,(MATCH(($E157&amp;"Results"&amp;$BL$140&amp;$F157&amp;"USD/ton"),'Fuel Model - Calculation'!$B$2:$B$3771,0)),MATCH(I$141,'Fuel Model - Calculation'!$B$2:$M$2,0)),0),0)</f>
        <v>0</v>
      </c>
      <c r="BN157" s="118">
        <f>IFERROR(IFERROR(INDEX('Fuel Model - Calculation'!$B$2:$M$3771,(MATCH(($E157&amp;"Results"&amp;$BL$140&amp;$F157&amp;"USD/ton"),'Fuel Model - Calculation'!$B$2:$B$3771,0)),MATCH(J$141,'Fuel Model - Calculation'!$B$2:$M$2,0)),0),0)</f>
        <v>0</v>
      </c>
      <c r="BO157" s="118">
        <f>IFERROR(IFERROR(INDEX('Fuel Model - Calculation'!$B$2:$M$3771,(MATCH(($E157&amp;"Results"&amp;$BL$140&amp;$F157&amp;"USD/ton"),'Fuel Model - Calculation'!$B$2:$B$3771,0)),MATCH(K$141,'Fuel Model - Calculation'!$B$2:$M$2,0)),0),0)</f>
        <v>0</v>
      </c>
      <c r="BP157" s="118">
        <f>IFERROR(IFERROR(INDEX('Fuel Model - Calculation'!$B$2:$M$3771,(MATCH(($E157&amp;"Results"&amp;$BL$140&amp;$F157&amp;"USD/ton"),'Fuel Model - Calculation'!$B$2:$B$3771,0)),MATCH(L$141,'Fuel Model - Calculation'!$B$2:$M$2,0)),0),0)</f>
        <v>0</v>
      </c>
      <c r="BQ157" s="118">
        <f>IFERROR(IFERROR(INDEX('Fuel Model - Calculation'!$B$2:$M$3771,(MATCH(($E157&amp;"Results"&amp;$BL$140&amp;$F157&amp;"USD/ton"),'Fuel Model - Calculation'!$B$2:$B$3771,0)),MATCH(M$141,'Fuel Model - Calculation'!$B$2:$M$2,0)),0),0)</f>
        <v>0</v>
      </c>
      <c r="BR157" s="118">
        <f>IFERROR(IFERROR(INDEX('Fuel Model - Calculation'!$B$2:$M$3771,(MATCH(($E157&amp;"Results"&amp;$BL$140&amp;$F157&amp;"USD/ton"),'Fuel Model - Calculation'!$B$2:$B$3771,0)),MATCH(N$141,'Fuel Model - Calculation'!$B$2:$M$2,0)),0),0)</f>
        <v>0</v>
      </c>
      <c r="BT157" s="118">
        <f>IFERROR(INDEX('Fuel Model - Calculation'!$B$2:$M$3771,(MATCH(($E157&amp;"Results"&amp;$BT$140&amp;$F157&amp;"USD/ton"),'Fuel Model - Calculation'!$B$2:$B$3771,0)),MATCH(H$141,'Fuel Model - Calculation'!$B$2:$M$2,0)),0)</f>
        <v>0</v>
      </c>
      <c r="BU157" s="118">
        <f>IFERROR(INDEX('Fuel Model - Calculation'!$B$2:$M$3771,(MATCH(($E157&amp;"Results"&amp;$BT$140&amp;$F157&amp;"USD/ton"),'Fuel Model - Calculation'!$B$2:$B$3771,0)),MATCH(I$141,'Fuel Model - Calculation'!$B$2:$M$2,0)),0)</f>
        <v>0</v>
      </c>
      <c r="BV157" s="118">
        <f>IFERROR(INDEX('Fuel Model - Calculation'!$B$2:$M$3771,(MATCH(($E157&amp;"Results"&amp;$BT$140&amp;$F157&amp;"USD/ton"),'Fuel Model - Calculation'!$B$2:$B$3771,0)),MATCH(J$141,'Fuel Model - Calculation'!$B$2:$M$2,0)),0)</f>
        <v>0</v>
      </c>
      <c r="BW157" s="118">
        <f>IFERROR(INDEX('Fuel Model - Calculation'!$B$2:$M$3771,(MATCH(($E157&amp;"Results"&amp;$BT$140&amp;$F157&amp;"USD/ton"),'Fuel Model - Calculation'!$B$2:$B$3771,0)),MATCH(K$141,'Fuel Model - Calculation'!$B$2:$M$2,0)),0)</f>
        <v>0</v>
      </c>
      <c r="BX157" s="118">
        <f>IFERROR(INDEX('Fuel Model - Calculation'!$B$2:$M$3771,(MATCH(($E157&amp;"Results"&amp;$BT$140&amp;$F157&amp;"USD/ton"),'Fuel Model - Calculation'!$B$2:$B$3771,0)),MATCH(L$141,'Fuel Model - Calculation'!$B$2:$M$2,0)),0)</f>
        <v>0</v>
      </c>
      <c r="BY157" s="118">
        <f>IFERROR(INDEX('Fuel Model - Calculation'!$B$2:$M$3771,(MATCH(($E157&amp;"Results"&amp;$BT$140&amp;$F157&amp;"USD/ton"),'Fuel Model - Calculation'!$B$2:$B$3771,0)),MATCH(M$141,'Fuel Model - Calculation'!$B$2:$M$2,0)),0)</f>
        <v>0</v>
      </c>
      <c r="BZ157" s="118">
        <f>IFERROR(INDEX('Fuel Model - Calculation'!$B$2:$M$3771,(MATCH(($E157&amp;"Results"&amp;$BT$140&amp;$F157&amp;"USD/ton"),'Fuel Model - Calculation'!$B$2:$B$3771,0)),MATCH(N$141,'Fuel Model - Calculation'!$B$2:$M$2,0)),0)</f>
        <v>0</v>
      </c>
    </row>
    <row r="158" spans="1:78" x14ac:dyDescent="0.2">
      <c r="A158" s="452"/>
      <c r="B158" s="453" t="str">
        <f>_xlfn.TEXTJOIN(keydelim,TRUE,F158,IF(E158="Africa","Africa&amp;other",E158),"Fuel cost",SUBSTITUTE($G158," ",""))</f>
        <v>e-Ammonia - Africa&amp;other - Fuel cost - USD/ton</v>
      </c>
      <c r="D158" s="459" t="str">
        <f t="shared" si="168"/>
        <v>Africae-Ammonia</v>
      </c>
      <c r="E158" t="s">
        <v>200</v>
      </c>
      <c r="F158" s="460" t="s">
        <v>121</v>
      </c>
      <c r="G158" t="s">
        <v>835</v>
      </c>
      <c r="H158" s="118">
        <f>INDEX('Fuel Model - Calculation'!$B$2:$M$3771,(MATCH(($E158&amp;"ResultsCost of "&amp;$F158&amp;"USD/ton"),'Fuel Model - Calculation'!$B$2:$B$3771,0)),MATCH(H$141,'Fuel Model - Calculation'!$B$2:$M$2,0))</f>
        <v>1547.9977565539616</v>
      </c>
      <c r="I158" s="118">
        <f>INDEX('Fuel Model - Calculation'!$B$2:$M$3771,(MATCH(($E158&amp;"ResultsCost of "&amp;$F158&amp;"USD/ton"),'Fuel Model - Calculation'!$B$2:$B$3771,0)),MATCH(I$141,'Fuel Model - Calculation'!$B$2:$M$2,0))</f>
        <v>980.90564739867068</v>
      </c>
      <c r="J158" s="118">
        <f>INDEX('Fuel Model - Calculation'!$B$2:$M$3771,(MATCH(($E158&amp;"ResultsCost of "&amp;$F158&amp;"USD/ton"),'Fuel Model - Calculation'!$B$2:$B$3771,0)),MATCH(J$141,'Fuel Model - Calculation'!$B$2:$M$2,0))</f>
        <v>674.93923904910912</v>
      </c>
      <c r="K158" s="118">
        <f>INDEX('Fuel Model - Calculation'!$B$2:$M$3771,(MATCH(($E158&amp;"ResultsCost of "&amp;$F158&amp;"USD/ton"),'Fuel Model - Calculation'!$B$2:$B$3771,0)),MATCH(K$141,'Fuel Model - Calculation'!$B$2:$M$2,0))</f>
        <v>601.10876472462655</v>
      </c>
      <c r="L158" s="118">
        <f>INDEX('Fuel Model - Calculation'!$B$2:$M$3771,(MATCH(($E158&amp;"ResultsCost of "&amp;$F158&amp;"USD/ton"),'Fuel Model - Calculation'!$B$2:$B$3771,0)),MATCH(L$141,'Fuel Model - Calculation'!$B$2:$M$2,0))</f>
        <v>526.65899178944085</v>
      </c>
      <c r="M158" s="118">
        <f>INDEX('Fuel Model - Calculation'!$B$2:$M$3771,(MATCH(($E158&amp;"ResultsCost of "&amp;$F158&amp;"USD/ton"),'Fuel Model - Calculation'!$B$2:$B$3771,0)),MATCH(M$141,'Fuel Model - Calculation'!$B$2:$M$2,0))</f>
        <v>434.89099372861284</v>
      </c>
      <c r="N158" s="118">
        <f>INDEX('Fuel Model - Calculation'!$B$2:$M$3771,(MATCH(($E158&amp;"ResultsCost of "&amp;$F158&amp;"USD/ton"),'Fuel Model - Calculation'!$B$2:$B$3771,0)),MATCH(N$141,'Fuel Model - Calculation'!$B$2:$M$2,0))</f>
        <v>354.79640510213147</v>
      </c>
      <c r="O158"/>
      <c r="P158" s="118">
        <f>IFERROR(INDEX('Fuel Model - Calculation'!G$2:G$3771,(MATCH(($E158&amp;"ResultsTotal RNE "&amp;$F158&amp;"USD/ton"),'Fuel Model - Calculation'!$B$2:$B$3771,0))),0)</f>
        <v>790.85066851959925</v>
      </c>
      <c r="Q158" s="118">
        <f>IFERROR(INDEX('Fuel Model - Calculation'!H$2:H$3771,(MATCH(($E158&amp;"ResultsTotal RNE "&amp;$F158&amp;"USD/ton"),'Fuel Model - Calculation'!$B$2:$B$3771,0))),0)</f>
        <v>445.42755204121107</v>
      </c>
      <c r="R158" s="118">
        <f>IFERROR(INDEX('Fuel Model - Calculation'!I$2:I$3771,(MATCH(($E158&amp;"ResultsTotal RNE "&amp;$F158&amp;"USD/ton"),'Fuel Model - Calculation'!$B$2:$B$3771,0))),0)</f>
        <v>345.6142930838808</v>
      </c>
      <c r="S158" s="118">
        <f>IFERROR(INDEX('Fuel Model - Calculation'!J$2:J$3771,(MATCH(($E158&amp;"ResultsTotal RNE "&amp;$F158&amp;"USD/ton"),'Fuel Model - Calculation'!$B$2:$B$3771,0))),0)</f>
        <v>282.90794012350602</v>
      </c>
      <c r="T158" s="118">
        <f>IFERROR(INDEX('Fuel Model - Calculation'!K$2:K$3771,(MATCH(($E158&amp;"ResultsTotal RNE "&amp;$F158&amp;"USD/ton"),'Fuel Model - Calculation'!$B$2:$B$3771,0))),0)</f>
        <v>247.83264628894452</v>
      </c>
      <c r="U158" s="118">
        <f>IFERROR(INDEX('Fuel Model - Calculation'!L$2:L$3771,(MATCH(($E158&amp;"ResultsTotal RNE "&amp;$F158&amp;"USD/ton"),'Fuel Model - Calculation'!$B$2:$B$3771,0))),0)</f>
        <v>210.8411682670137</v>
      </c>
      <c r="V158" s="118">
        <f>IFERROR(INDEX('Fuel Model - Calculation'!M$2:M$3771,(MATCH(($E158&amp;"ResultsTotal RNE "&amp;$F158&amp;"USD/ton"),'Fuel Model - Calculation'!$B$2:$B$3771,0))),0)</f>
        <v>189.90866302989895</v>
      </c>
      <c r="W158"/>
      <c r="X158" s="2">
        <f>INDEX('Fuel Model - Calculation'!$E$2:$M$3771,(MATCH(("WTT Emission - "&amp;$F158),'Fuel Model - Calculation'!$E$2:$E$3771,0)),MATCH(X$141,'Fuel Model - Calculation'!$E$2:$M$2,0))</f>
        <v>5.3785507129850182E-2</v>
      </c>
      <c r="Y158" s="2">
        <f>INDEX('Fuel Model - Calculation'!$E$2:$M$3771,(MATCH(("WTT Emission - "&amp;$F158),'Fuel Model - Calculation'!$E$2:$E$3771,0)),MATCH(Y$141,'Fuel Model - Calculation'!$E$2:$M$2,0))</f>
        <v>5.3538899999999987E-2</v>
      </c>
      <c r="Z158" s="2">
        <f>INDEX('Fuel Model - Calculation'!$E$2:$M$3771,(MATCH(("WTT Emission - "&amp;$F158),'Fuel Model - Calculation'!$E$2:$E$3771,0)),MATCH(Z$141,'Fuel Model - Calculation'!$E$2:$M$2,0))</f>
        <v>5.2845949553431054E-2</v>
      </c>
      <c r="AA158" s="2">
        <f>INDEX('Fuel Model - Calculation'!$E$2:$M$3771,(MATCH(("WTT Emission - "&amp;$F158),'Fuel Model - Calculation'!$E$2:$E$3771,0)),MATCH(AA$141,'Fuel Model - Calculation'!$E$2:$M$2,0))</f>
        <v>5.1005446953951317E-2</v>
      </c>
      <c r="AB158" s="2">
        <f>INDEX('Fuel Model - Calculation'!$E$2:$M$3771,(MATCH(("WTT Emission - "&amp;$F158),'Fuel Model - Calculation'!$E$2:$E$3771,0)),MATCH(AB$141,'Fuel Model - Calculation'!$E$2:$M$2,0))</f>
        <v>4.8795179078345907E-2</v>
      </c>
      <c r="AC158" s="2">
        <f>INDEX('Fuel Model - Calculation'!$E$2:$M$3771,(MATCH(("WTT Emission - "&amp;$F158),'Fuel Model - Calculation'!$E$2:$E$3771,0)),MATCH(AC$141,'Fuel Model - Calculation'!$E$2:$M$2,0))</f>
        <v>4.5852600460841497E-2</v>
      </c>
      <c r="AD158" s="2">
        <f>INDEX('Fuel Model - Calculation'!$E$2:$M$3771,(MATCH(("WTT Emission - "&amp;$F158),'Fuel Model - Calculation'!$E$2:$E$3771,0)),MATCH(AD$141,'Fuel Model - Calculation'!$E$2:$M$2,0))</f>
        <v>4.3534589999999998E-2</v>
      </c>
      <c r="AE158" s="2"/>
      <c r="AF158" s="2">
        <f>'Fuel Model -  Input'!H$50</f>
        <v>0</v>
      </c>
      <c r="AG158" s="2">
        <f>'Fuel Model -  Input'!I$50</f>
        <v>0</v>
      </c>
      <c r="AH158" s="2">
        <f>'Fuel Model -  Input'!J$50</f>
        <v>0</v>
      </c>
      <c r="AI158" s="2">
        <f>'Fuel Model -  Input'!K$50</f>
        <v>0</v>
      </c>
      <c r="AJ158" s="2">
        <f>'Fuel Model -  Input'!L$50</f>
        <v>0</v>
      </c>
      <c r="AK158" s="2">
        <f>'Fuel Model -  Input'!M$50</f>
        <v>0</v>
      </c>
      <c r="AL158" s="2">
        <f>'Fuel Model -  Input'!N$50</f>
        <v>0</v>
      </c>
      <c r="AM158"/>
      <c r="AN158" s="24">
        <f t="shared" si="167"/>
        <v>5.3785507129850182E-2</v>
      </c>
      <c r="AO158" s="24">
        <f t="shared" si="167"/>
        <v>5.3538899999999987E-2</v>
      </c>
      <c r="AP158" s="24">
        <f t="shared" si="167"/>
        <v>5.2845949553431054E-2</v>
      </c>
      <c r="AQ158" s="24">
        <f t="shared" si="167"/>
        <v>5.1005446953951317E-2</v>
      </c>
      <c r="AR158" s="24">
        <f t="shared" si="167"/>
        <v>4.8795179078345907E-2</v>
      </c>
      <c r="AS158" s="24">
        <f t="shared" si="167"/>
        <v>4.5852600460841497E-2</v>
      </c>
      <c r="AT158" s="24">
        <f t="shared" si="167"/>
        <v>4.3534589999999998E-2</v>
      </c>
      <c r="AU158"/>
      <c r="AV158" s="118">
        <f>IFERROR(INDEX('Fuel Model - Calculation'!$B$2:$M$3771,(MATCH(($E158&amp;"Results"&amp;$AV$140&amp;$F158&amp;"USD/ton"),'Fuel Model - Calculation'!$B$2:$B$3771,0)),MATCH(H$141,'Fuel Model - Calculation'!$B$2:$M$2,0)),0)</f>
        <v>401.97148130491786</v>
      </c>
      <c r="AW158" s="118">
        <f>IFERROR(INDEX('Fuel Model - Calculation'!$B$2:$M$3771,(MATCH(($E158&amp;"Results"&amp;$AV$140&amp;$F158&amp;"USD/ton"),'Fuel Model - Calculation'!$B$2:$B$3771,0)),MATCH(I$141,'Fuel Model - Calculation'!$B$2:$M$2,0)),0)</f>
        <v>280.47850076103509</v>
      </c>
      <c r="AX158" s="118">
        <f>IFERROR(INDEX('Fuel Model - Calculation'!$B$2:$M$3771,(MATCH(($E158&amp;"Results"&amp;$AV$140&amp;$F158&amp;"USD/ton"),'Fuel Model - Calculation'!$B$2:$B$3771,0)),MATCH(J$141,'Fuel Model - Calculation'!$B$2:$M$2,0)),0)</f>
        <v>167.58996355417975</v>
      </c>
      <c r="AY158" s="118">
        <f>IFERROR(INDEX('Fuel Model - Calculation'!$B$2:$M$3771,(MATCH(($E158&amp;"Results"&amp;$AV$140&amp;$F158&amp;"USD/ton"),'Fuel Model - Calculation'!$B$2:$B$3771,0)),MATCH(K$141,'Fuel Model - Calculation'!$B$2:$M$2,0)),0)</f>
        <v>170.13389154228602</v>
      </c>
      <c r="AZ158" s="118">
        <f>IFERROR(INDEX('Fuel Model - Calculation'!$B$2:$M$3771,(MATCH(($E158&amp;"Results"&amp;$AV$140&amp;$F158&amp;"USD/ton"),'Fuel Model - Calculation'!$B$2:$B$3771,0)),MATCH(L$141,'Fuel Model - Calculation'!$B$2:$M$2,0)),0)</f>
        <v>157.55745030712242</v>
      </c>
      <c r="BA158" s="118">
        <f>IFERROR(INDEX('Fuel Model - Calculation'!$B$2:$M$3771,(MATCH(($E158&amp;"Results"&amp;$AV$140&amp;$F158&amp;"USD/ton"),'Fuel Model - Calculation'!$B$2:$B$3771,0)),MATCH(M$141,'Fuel Model - Calculation'!$B$2:$M$2,0)),0)</f>
        <v>132.75462219683965</v>
      </c>
      <c r="BB158" s="118">
        <f>IFERROR(INDEX('Fuel Model - Calculation'!$B$2:$M$3771,(MATCH(($E158&amp;"Results"&amp;$AV$140&amp;$F158&amp;"USD/ton"),'Fuel Model - Calculation'!$B$2:$B$3771,0)),MATCH(N$141,'Fuel Model - Calculation'!$B$2:$M$2,0)),0)</f>
        <v>100.03044140030443</v>
      </c>
      <c r="BC158"/>
      <c r="BD158" s="118">
        <f>IFERROR(INDEX('Fuel Model - Calculation'!$B$2:$M$3771,(MATCH(($E158&amp;"Results"&amp;$BD$140&amp;$F158&amp;"USD/ton"),'Fuel Model - Calculation'!$B$2:$B$3771,0)),MATCH(P$141,'Fuel Model - Calculation'!$B$2:$M$2,0)),0)</f>
        <v>355.17560672944433</v>
      </c>
      <c r="BE158" s="118">
        <f>IFERROR(INDEX('Fuel Model - Calculation'!$B$2:$M$3771,(MATCH(($E158&amp;"Results"&amp;$BD$140&amp;$F158&amp;"USD/ton"),'Fuel Model - Calculation'!$B$2:$B$3771,0)),MATCH(Q$141,'Fuel Model - Calculation'!$B$2:$M$2,0)),0)</f>
        <v>254.9995945964244</v>
      </c>
      <c r="BF158" s="118">
        <f>IFERROR(INDEX('Fuel Model - Calculation'!$B$2:$M$3771,(MATCH(($E158&amp;"Results"&amp;$BD$140&amp;$F158&amp;"USD/ton"),'Fuel Model - Calculation'!$B$2:$B$3771,0)),MATCH(R$141,'Fuel Model - Calculation'!$B$2:$M$2,0)),0)</f>
        <v>161.73498241104855</v>
      </c>
      <c r="BG158" s="118">
        <f>IFERROR(INDEX('Fuel Model - Calculation'!$B$2:$M$3771,(MATCH(($E158&amp;"Results"&amp;$BD$140&amp;$F158&amp;"USD/ton"),'Fuel Model - Calculation'!$B$2:$B$3771,0)),MATCH(S$141,'Fuel Model - Calculation'!$B$2:$M$2,0)),0)</f>
        <v>148.06693305883451</v>
      </c>
      <c r="BH158" s="118">
        <f>IFERROR(INDEX('Fuel Model - Calculation'!$B$2:$M$3771,(MATCH(($E158&amp;"Results"&amp;$BD$140&amp;$F158&amp;"USD/ton"),'Fuel Model - Calculation'!$B$2:$B$3771,0)),MATCH(T$141,'Fuel Model - Calculation'!$B$2:$M$2,0)),0)</f>
        <v>121.26889519337394</v>
      </c>
      <c r="BI158" s="118">
        <f>IFERROR(INDEX('Fuel Model - Calculation'!$B$2:$M$3771,(MATCH(($E158&amp;"Results"&amp;$BD$140&amp;$F158&amp;"USD/ton"),'Fuel Model - Calculation'!$B$2:$B$3771,0)),MATCH(U$141,'Fuel Model - Calculation'!$B$2:$M$2,0)),0)</f>
        <v>91.295203264759493</v>
      </c>
      <c r="BJ158" s="118">
        <f>IFERROR(INDEX('Fuel Model - Calculation'!$B$2:$M$3771,(MATCH(($E158&amp;"Results"&amp;$BD$140&amp;$F158&amp;"USD/ton"),'Fuel Model - Calculation'!$B$2:$B$3771,0)),MATCH(V$141,'Fuel Model - Calculation'!$B$2:$M$2,0)),0)</f>
        <v>64.857300671928087</v>
      </c>
      <c r="BL158" s="118">
        <f>IFERROR(IFERROR(INDEX('Fuel Model - Calculation'!$B$2:$M$3771,(MATCH(($E158&amp;"Results"&amp;$BL$140&amp;$F158&amp;"USD/ton"),'Fuel Model - Calculation'!$B$2:$B$3771,0)),MATCH(H$141,'Fuel Model - Calculation'!$B$2:$M$2,0)),0),0)</f>
        <v>0</v>
      </c>
      <c r="BM158" s="118">
        <f>IFERROR(IFERROR(INDEX('Fuel Model - Calculation'!$B$2:$M$3771,(MATCH(($E158&amp;"Results"&amp;$BL$140&amp;$F158&amp;"USD/ton"),'Fuel Model - Calculation'!$B$2:$B$3771,0)),MATCH(I$141,'Fuel Model - Calculation'!$B$2:$M$2,0)),0),0)</f>
        <v>0</v>
      </c>
      <c r="BN158" s="118">
        <f>IFERROR(IFERROR(INDEX('Fuel Model - Calculation'!$B$2:$M$3771,(MATCH(($E158&amp;"Results"&amp;$BL$140&amp;$F158&amp;"USD/ton"),'Fuel Model - Calculation'!$B$2:$B$3771,0)),MATCH(J$141,'Fuel Model - Calculation'!$B$2:$M$2,0)),0),0)</f>
        <v>0</v>
      </c>
      <c r="BO158" s="118">
        <f>IFERROR(IFERROR(INDEX('Fuel Model - Calculation'!$B$2:$M$3771,(MATCH(($E158&amp;"Results"&amp;$BL$140&amp;$F158&amp;"USD/ton"),'Fuel Model - Calculation'!$B$2:$B$3771,0)),MATCH(K$141,'Fuel Model - Calculation'!$B$2:$M$2,0)),0),0)</f>
        <v>0</v>
      </c>
      <c r="BP158" s="118">
        <f>IFERROR(IFERROR(INDEX('Fuel Model - Calculation'!$B$2:$M$3771,(MATCH(($E158&amp;"Results"&amp;$BL$140&amp;$F158&amp;"USD/ton"),'Fuel Model - Calculation'!$B$2:$B$3771,0)),MATCH(L$141,'Fuel Model - Calculation'!$B$2:$M$2,0)),0),0)</f>
        <v>0</v>
      </c>
      <c r="BQ158" s="118">
        <f>IFERROR(IFERROR(INDEX('Fuel Model - Calculation'!$B$2:$M$3771,(MATCH(($E158&amp;"Results"&amp;$BL$140&amp;$F158&amp;"USD/ton"),'Fuel Model - Calculation'!$B$2:$B$3771,0)),MATCH(M$141,'Fuel Model - Calculation'!$B$2:$M$2,0)),0),0)</f>
        <v>0</v>
      </c>
      <c r="BR158" s="118">
        <f>IFERROR(IFERROR(INDEX('Fuel Model - Calculation'!$B$2:$M$3771,(MATCH(($E158&amp;"Results"&amp;$BL$140&amp;$F158&amp;"USD/ton"),'Fuel Model - Calculation'!$B$2:$B$3771,0)),MATCH(N$141,'Fuel Model - Calculation'!$B$2:$M$2,0)),0),0)</f>
        <v>0</v>
      </c>
      <c r="BT158" s="118">
        <f>IFERROR(INDEX('Fuel Model - Calculation'!$B$2:$M$3771,(MATCH(($E158&amp;"Results"&amp;$BT$140&amp;$F158&amp;"USD/ton"),'Fuel Model - Calculation'!$B$2:$B$3771,0)),MATCH(H$141,'Fuel Model - Calculation'!$B$2:$M$2,0)),0)</f>
        <v>0</v>
      </c>
      <c r="BU158" s="118">
        <f>IFERROR(INDEX('Fuel Model - Calculation'!$B$2:$M$3771,(MATCH(($E158&amp;"Results"&amp;$BT$140&amp;$F158&amp;"USD/ton"),'Fuel Model - Calculation'!$B$2:$B$3771,0)),MATCH(I$141,'Fuel Model - Calculation'!$B$2:$M$2,0)),0)</f>
        <v>0</v>
      </c>
      <c r="BV158" s="118">
        <f>IFERROR(INDEX('Fuel Model - Calculation'!$B$2:$M$3771,(MATCH(($E158&amp;"Results"&amp;$BT$140&amp;$F158&amp;"USD/ton"),'Fuel Model - Calculation'!$B$2:$B$3771,0)),MATCH(J$141,'Fuel Model - Calculation'!$B$2:$M$2,0)),0)</f>
        <v>0</v>
      </c>
      <c r="BW158" s="118">
        <f>IFERROR(INDEX('Fuel Model - Calculation'!$B$2:$M$3771,(MATCH(($E158&amp;"Results"&amp;$BT$140&amp;$F158&amp;"USD/ton"),'Fuel Model - Calculation'!$B$2:$B$3771,0)),MATCH(K$141,'Fuel Model - Calculation'!$B$2:$M$2,0)),0)</f>
        <v>0</v>
      </c>
      <c r="BX158" s="118">
        <f>IFERROR(INDEX('Fuel Model - Calculation'!$B$2:$M$3771,(MATCH(($E158&amp;"Results"&amp;$BT$140&amp;$F158&amp;"USD/ton"),'Fuel Model - Calculation'!$B$2:$B$3771,0)),MATCH(L$141,'Fuel Model - Calculation'!$B$2:$M$2,0)),0)</f>
        <v>0</v>
      </c>
      <c r="BY158" s="118">
        <f>IFERROR(INDEX('Fuel Model - Calculation'!$B$2:$M$3771,(MATCH(($E158&amp;"Results"&amp;$BT$140&amp;$F158&amp;"USD/ton"),'Fuel Model - Calculation'!$B$2:$B$3771,0)),MATCH(M$141,'Fuel Model - Calculation'!$B$2:$M$2,0)),0)</f>
        <v>0</v>
      </c>
      <c r="BZ158" s="118">
        <f>IFERROR(INDEX('Fuel Model - Calculation'!$B$2:$M$3771,(MATCH(($E158&amp;"Results"&amp;$BT$140&amp;$F158&amp;"USD/ton"),'Fuel Model - Calculation'!$B$2:$B$3771,0)),MATCH(N$141,'Fuel Model - Calculation'!$B$2:$M$2,0)),0)</f>
        <v>0</v>
      </c>
    </row>
    <row r="159" spans="1:78" x14ac:dyDescent="0.2">
      <c r="A159" s="452"/>
      <c r="B159" s="453"/>
      <c r="D159" s="459"/>
      <c r="E159"/>
      <c r="F159" s="157"/>
      <c r="G159"/>
      <c r="H159" s="118"/>
      <c r="I159"/>
      <c r="J159"/>
      <c r="K159"/>
      <c r="L159"/>
      <c r="M159"/>
      <c r="N159"/>
      <c r="O159"/>
      <c r="P159"/>
      <c r="Q159"/>
      <c r="R159"/>
      <c r="S159"/>
      <c r="T159"/>
      <c r="U159"/>
      <c r="V159"/>
      <c r="W159"/>
      <c r="X159"/>
      <c r="Y159"/>
      <c r="Z159"/>
      <c r="AA159"/>
      <c r="AB159"/>
      <c r="AC159"/>
      <c r="AD159"/>
      <c r="AE159"/>
      <c r="AF159" s="2"/>
      <c r="AG159" s="2"/>
      <c r="AH159" s="2"/>
      <c r="AI159" s="2"/>
      <c r="AJ159" s="2"/>
      <c r="AK159" s="2"/>
      <c r="AL159" s="2"/>
      <c r="AM159"/>
      <c r="AN159" s="24"/>
      <c r="AO159" s="24"/>
      <c r="AP159" s="24"/>
      <c r="AQ159" s="24"/>
      <c r="AR159" s="24"/>
      <c r="AS159" s="24"/>
      <c r="AT159" s="24"/>
      <c r="AU159"/>
      <c r="AV159" s="118"/>
      <c r="AW159" s="118"/>
      <c r="AX159" s="118"/>
      <c r="AY159" s="118"/>
      <c r="AZ159" s="118"/>
      <c r="BA159" s="118"/>
      <c r="BB159" s="118"/>
      <c r="BC159"/>
      <c r="BD159" s="118"/>
      <c r="BE159" s="118"/>
      <c r="BF159" s="118"/>
      <c r="BG159" s="118"/>
      <c r="BH159" s="118"/>
      <c r="BI159" s="118"/>
      <c r="BJ159" s="118"/>
      <c r="BL159" s="118"/>
      <c r="BM159" s="118"/>
      <c r="BN159" s="118"/>
      <c r="BO159" s="118"/>
      <c r="BP159" s="118"/>
      <c r="BQ159" s="118"/>
      <c r="BR159" s="118"/>
      <c r="BT159" s="118"/>
      <c r="BU159" s="118"/>
      <c r="BV159" s="118"/>
      <c r="BW159" s="118"/>
      <c r="BX159" s="118"/>
      <c r="BY159" s="118"/>
      <c r="BZ159" s="118"/>
    </row>
    <row r="160" spans="1:78" x14ac:dyDescent="0.2">
      <c r="A160" s="452"/>
      <c r="B160" s="453" t="str">
        <f>_xlfn.TEXTJOIN(keydelim,TRUE,F160,IF(E160="Africa","Africa&amp;other",E160),"Fuel cost",SUBSTITUTE($G160," ",""))</f>
        <v>e-Methanol (DAC) - Europe - Fuel cost - USD/ton</v>
      </c>
      <c r="D160" s="459" t="str">
        <f>E160&amp;F160</f>
        <v>Europee-Methanol (DAC)</v>
      </c>
      <c r="E160" t="s">
        <v>195</v>
      </c>
      <c r="F160" s="460" t="s">
        <v>587</v>
      </c>
      <c r="G160" t="s">
        <v>835</v>
      </c>
      <c r="H160" s="118">
        <f>INDEX('Fuel Model - Calculation'!$B$2:$M$3771,(MATCH(($E160&amp;"ResultsCost of "&amp;$F160&amp;"USD/ton"),'Fuel Model - Calculation'!$B$2:$B$3771,0)),MATCH(H$141,'Fuel Model - Calculation'!$B$2:$M$2,0))</f>
        <v>1850.6327067902253</v>
      </c>
      <c r="I160" s="118">
        <f>INDEX('Fuel Model - Calculation'!$B$2:$M$3771,(MATCH(($E160&amp;"ResultsCost of "&amp;$F160&amp;"USD/ton"),'Fuel Model - Calculation'!$B$2:$B$3771,0)),MATCH(I$141,'Fuel Model - Calculation'!$B$2:$M$2,0))</f>
        <v>1488.97476183955</v>
      </c>
      <c r="J160" s="118">
        <f>INDEX('Fuel Model - Calculation'!$B$2:$M$3771,(MATCH(($E160&amp;"ResultsCost of "&amp;$F160&amp;"USD/ton"),'Fuel Model - Calculation'!$B$2:$B$3771,0)),MATCH(J$141,'Fuel Model - Calculation'!$B$2:$M$2,0))</f>
        <v>1180.5219802508213</v>
      </c>
      <c r="K160" s="118">
        <f>INDEX('Fuel Model - Calculation'!$B$2:$M$3771,(MATCH(($E160&amp;"ResultsCost of "&amp;$F160&amp;"USD/ton"),'Fuel Model - Calculation'!$B$2:$B$3771,0)),MATCH(K$141,'Fuel Model - Calculation'!$B$2:$M$2,0))</f>
        <v>1051.0216396268943</v>
      </c>
      <c r="L160" s="118">
        <f>INDEX('Fuel Model - Calculation'!$B$2:$M$3771,(MATCH(($E160&amp;"ResultsCost of "&amp;$F160&amp;"USD/ton"),'Fuel Model - Calculation'!$B$2:$B$3771,0)),MATCH(L$141,'Fuel Model - Calculation'!$B$2:$M$2,0))</f>
        <v>917.90142474794811</v>
      </c>
      <c r="M160" s="118">
        <f>INDEX('Fuel Model - Calculation'!$B$2:$M$3771,(MATCH(($E160&amp;"ResultsCost of "&amp;$F160&amp;"USD/ton"),'Fuel Model - Calculation'!$B$2:$B$3771,0)),MATCH(M$141,'Fuel Model - Calculation'!$B$2:$M$2,0))</f>
        <v>759.49654257608256</v>
      </c>
      <c r="N160" s="118">
        <f>INDEX('Fuel Model - Calculation'!$B$2:$M$3771,(MATCH(($E160&amp;"ResultsCost of "&amp;$F160&amp;"USD/ton"),'Fuel Model - Calculation'!$B$2:$B$3771,0)),MATCH(N$141,'Fuel Model - Calculation'!$B$2:$M$2,0))</f>
        <v>613.42841088782563</v>
      </c>
      <c r="O160"/>
      <c r="P160" s="118">
        <f>IFERROR(INDEX('Fuel Model - Calculation'!G$2:G$3771,(MATCH(($E160&amp;"ResultsTotal RNE "&amp;$F160&amp;"USD/ton"),'Fuel Model - Calculation'!$B$2:$B$3771,0))),0)</f>
        <v>651.92491764918361</v>
      </c>
      <c r="Q160" s="118">
        <f>IFERROR(INDEX('Fuel Model - Calculation'!H$2:H$3771,(MATCH(($E160&amp;"ResultsTotal RNE "&amp;$F160&amp;"USD/ton"),'Fuel Model - Calculation'!$B$2:$B$3771,0))),0)</f>
        <v>525.39420641224103</v>
      </c>
      <c r="R160" s="118">
        <f>IFERROR(INDEX('Fuel Model - Calculation'!I$2:I$3771,(MATCH(($E160&amp;"ResultsTotal RNE "&amp;$F160&amp;"USD/ton"),'Fuel Model - Calculation'!$B$2:$B$3771,0))),0)</f>
        <v>420.44210726564802</v>
      </c>
      <c r="S160" s="118">
        <f>IFERROR(INDEX('Fuel Model - Calculation'!J$2:J$3771,(MATCH(($E160&amp;"ResultsTotal RNE "&amp;$F160&amp;"USD/ton"),'Fuel Model - Calculation'!$B$2:$B$3771,0))),0)</f>
        <v>367.723195867355</v>
      </c>
      <c r="T160" s="118">
        <f>IFERROR(INDEX('Fuel Model - Calculation'!K$2:K$3771,(MATCH(($E160&amp;"ResultsTotal RNE "&amp;$F160&amp;"USD/ton"),'Fuel Model - Calculation'!$B$2:$B$3771,0))),0)</f>
        <v>330.89740965279992</v>
      </c>
      <c r="U160" s="118">
        <f>IFERROR(INDEX('Fuel Model - Calculation'!L$2:L$3771,(MATCH(($E160&amp;"ResultsTotal RNE "&amp;$F160&amp;"USD/ton"),'Fuel Model - Calculation'!$B$2:$B$3771,0))),0)</f>
        <v>290.34283124025603</v>
      </c>
      <c r="V160" s="118">
        <f>IFERROR(INDEX('Fuel Model - Calculation'!M$2:M$3771,(MATCH(($E160&amp;"ResultsTotal RNE "&amp;$F160&amp;"USD/ton"),'Fuel Model - Calculation'!$B$2:$B$3771,0))),0)</f>
        <v>261.49465754694626</v>
      </c>
      <c r="W160"/>
      <c r="X160" s="2">
        <f>INDEX('Fuel Model - Calculation'!$E$2:$M$3771,(MATCH(("WTT Emission - "&amp;$F160),'Fuel Model - Calculation'!$E$2:$E$3771,0)),MATCH(X$141,'Fuel Model - Calculation'!$E$2:$M$2,0))</f>
        <v>-1.3108780207988588</v>
      </c>
      <c r="Y160" s="2">
        <f>INDEX('Fuel Model - Calculation'!$E$2:$M$3771,(MATCH(("WTT Emission - "&amp;$F160),'Fuel Model - Calculation'!$E$2:$E$3771,0)),MATCH(Y$141,'Fuel Model - Calculation'!$E$2:$M$2,0))</f>
        <v>-1.3111366188752263</v>
      </c>
      <c r="Z160" s="2">
        <f>INDEX('Fuel Model - Calculation'!$E$2:$M$3771,(MATCH(("WTT Emission - "&amp;$F160),'Fuel Model - Calculation'!$E$2:$E$3771,0)),MATCH(Z$141,'Fuel Model - Calculation'!$E$2:$M$2,0))</f>
        <v>-1.3118632631235476</v>
      </c>
      <c r="AA160" s="2">
        <f>INDEX('Fuel Model - Calculation'!$E$2:$M$3771,(MATCH(("WTT Emission - "&amp;$F160),'Fuel Model - Calculation'!$E$2:$E$3771,0)),MATCH(AA$141,'Fuel Model - Calculation'!$E$2:$M$2,0))</f>
        <v>-1.3137932577350739</v>
      </c>
      <c r="AB160" s="2">
        <f>INDEX('Fuel Model - Calculation'!$E$2:$M$3771,(MATCH(("WTT Emission - "&amp;$F160),'Fuel Model - Calculation'!$E$2:$E$3771,0)),MATCH(AB$141,'Fuel Model - Calculation'!$E$2:$M$2,0))</f>
        <v>-1.3161109969717115</v>
      </c>
      <c r="AC160" s="2">
        <f>INDEX('Fuel Model - Calculation'!$E$2:$M$3771,(MATCH(("WTT Emission - "&amp;$F160),'Fuel Model - Calculation'!$E$2:$E$3771,0)),MATCH(AC$141,'Fuel Model - Calculation'!$E$2:$M$2,0))</f>
        <v>-1.3191966545944611</v>
      </c>
      <c r="AD160" s="2">
        <f>INDEX('Fuel Model - Calculation'!$E$2:$M$3771,(MATCH(("WTT Emission - "&amp;$F160),'Fuel Model - Calculation'!$E$2:$E$3771,0)),MATCH(AD$141,'Fuel Model - Calculation'!$E$2:$M$2,0))</f>
        <v>-1.3216273752574745</v>
      </c>
      <c r="AE160" s="2"/>
      <c r="AF160" s="2">
        <f>'Fuel Model -  Input'!H$51</f>
        <v>1.375</v>
      </c>
      <c r="AG160" s="2">
        <f>'Fuel Model -  Input'!I$51</f>
        <v>1.375</v>
      </c>
      <c r="AH160" s="2">
        <f>'Fuel Model -  Input'!J$51</f>
        <v>1.375</v>
      </c>
      <c r="AI160" s="2">
        <f>'Fuel Model -  Input'!K$51</f>
        <v>1.375</v>
      </c>
      <c r="AJ160" s="2">
        <f>'Fuel Model -  Input'!L$51</f>
        <v>1.375</v>
      </c>
      <c r="AK160" s="2">
        <f>'Fuel Model -  Input'!M$51</f>
        <v>1.375</v>
      </c>
      <c r="AL160" s="2">
        <f>'Fuel Model -  Input'!N$51</f>
        <v>1.375</v>
      </c>
      <c r="AM160"/>
      <c r="AN160" s="24">
        <f t="shared" ref="AN160:AT164" si="169">X160+AF160</f>
        <v>6.4121979201141155E-2</v>
      </c>
      <c r="AO160" s="24">
        <f t="shared" si="169"/>
        <v>6.3863381124773744E-2</v>
      </c>
      <c r="AP160" s="24">
        <f t="shared" si="169"/>
        <v>6.3136736876452382E-2</v>
      </c>
      <c r="AQ160" s="24">
        <f t="shared" si="169"/>
        <v>6.1206742264926062E-2</v>
      </c>
      <c r="AR160" s="24">
        <f t="shared" si="169"/>
        <v>5.8889003028288478E-2</v>
      </c>
      <c r="AS160" s="24">
        <f t="shared" si="169"/>
        <v>5.5803345405538884E-2</v>
      </c>
      <c r="AT160" s="24">
        <f t="shared" si="169"/>
        <v>5.3372624742525465E-2</v>
      </c>
      <c r="AU160"/>
      <c r="AV160" s="118">
        <f>IFERROR(INDEX('Fuel Model - Calculation'!$B$2:$M$3771,(MATCH(($E160&amp;"Results"&amp;$AV$140&amp;$F160&amp;"USD/ton"),'Fuel Model - Calculation'!$B$2:$B$3771,0)),MATCH(H$141,'Fuel Model - Calculation'!$B$2:$M$2,0)),0)</f>
        <v>457.85913608738241</v>
      </c>
      <c r="AW160" s="118">
        <f>IFERROR(INDEX('Fuel Model - Calculation'!$B$2:$M$3771,(MATCH(($E160&amp;"Results"&amp;$AV$140&amp;$F160&amp;"USD/ton"),'Fuel Model - Calculation'!$B$2:$B$3771,0)),MATCH(I$141,'Fuel Model - Calculation'!$B$2:$M$2,0)),0)</f>
        <v>370.51665394078952</v>
      </c>
      <c r="AX160" s="118">
        <f>IFERROR(INDEX('Fuel Model - Calculation'!$B$2:$M$3771,(MATCH(($E160&amp;"Results"&amp;$AV$140&amp;$F160&amp;"USD/ton"),'Fuel Model - Calculation'!$B$2:$B$3771,0)),MATCH(J$141,'Fuel Model - Calculation'!$B$2:$M$2,0)),0)</f>
        <v>292.19699484282427</v>
      </c>
      <c r="AY160" s="118">
        <f>IFERROR(INDEX('Fuel Model - Calculation'!$B$2:$M$3771,(MATCH(($E160&amp;"Results"&amp;$AV$140&amp;$F160&amp;"USD/ton"),'Fuel Model - Calculation'!$B$2:$B$3771,0)),MATCH(K$141,'Fuel Model - Calculation'!$B$2:$M$2,0)),0)</f>
        <v>278.46318391967247</v>
      </c>
      <c r="AZ160" s="118">
        <f>IFERROR(INDEX('Fuel Model - Calculation'!$B$2:$M$3771,(MATCH(($E160&amp;"Results"&amp;$AV$140&amp;$F160&amp;"USD/ton"),'Fuel Model - Calculation'!$B$2:$B$3771,0)),MATCH(L$141,'Fuel Model - Calculation'!$B$2:$M$2,0)),0)</f>
        <v>248.87379575721386</v>
      </c>
      <c r="BA160" s="118">
        <f>IFERROR(INDEX('Fuel Model - Calculation'!$B$2:$M$3771,(MATCH(($E160&amp;"Results"&amp;$AV$140&amp;$F160&amp;"USD/ton"),'Fuel Model - Calculation'!$B$2:$B$3771,0)),MATCH(M$141,'Fuel Model - Calculation'!$B$2:$M$2,0)),0)</f>
        <v>199.83852877932546</v>
      </c>
      <c r="BB160" s="118">
        <f>IFERROR(INDEX('Fuel Model - Calculation'!$B$2:$M$3771,(MATCH(($E160&amp;"Results"&amp;$AV$140&amp;$F160&amp;"USD/ton"),'Fuel Model - Calculation'!$B$2:$B$3771,0)),MATCH(N$141,'Fuel Model - Calculation'!$B$2:$M$2,0)),0)</f>
        <v>142.49674378576751</v>
      </c>
      <c r="BC160"/>
      <c r="BD160" s="118">
        <f>IFERROR(INDEX('Fuel Model - Calculation'!$B$2:$M$3771,(MATCH(($E160&amp;"Results"&amp;$BD$140&amp;$F160&amp;"USD/ton"),'Fuel Model - Calculation'!$B$2:$B$3771,0)),MATCH(P$141,'Fuel Model - Calculation'!$B$2:$M$2,0)),0)</f>
        <v>318.87450817832826</v>
      </c>
      <c r="BE160" s="118">
        <f>IFERROR(INDEX('Fuel Model - Calculation'!$B$2:$M$3771,(MATCH(($E160&amp;"Results"&amp;$BD$140&amp;$F160&amp;"USD/ton"),'Fuel Model - Calculation'!$B$2:$B$3771,0)),MATCH(Q$141,'Fuel Model - Calculation'!$B$2:$M$2,0)),0)</f>
        <v>260.00097132787175</v>
      </c>
      <c r="BF160" s="118">
        <f>IFERROR(INDEX('Fuel Model - Calculation'!$B$2:$M$3771,(MATCH(($E160&amp;"Results"&amp;$BD$140&amp;$F160&amp;"USD/ton"),'Fuel Model - Calculation'!$B$2:$B$3771,0)),MATCH(R$141,'Fuel Model - Calculation'!$B$2:$M$2,0)),0)</f>
        <v>204.11232794953349</v>
      </c>
      <c r="BG160" s="118">
        <f>IFERROR(INDEX('Fuel Model - Calculation'!$B$2:$M$3771,(MATCH(($E160&amp;"Results"&amp;$BD$140&amp;$F160&amp;"USD/ton"),'Fuel Model - Calculation'!$B$2:$B$3771,0)),MATCH(S$141,'Fuel Model - Calculation'!$B$2:$M$2,0)),0)</f>
        <v>184.10192321244193</v>
      </c>
      <c r="BH160" s="118">
        <f>IFERROR(INDEX('Fuel Model - Calculation'!$B$2:$M$3771,(MATCH(($E160&amp;"Results"&amp;$BD$140&amp;$F160&amp;"USD/ton"),'Fuel Model - Calculation'!$B$2:$B$3771,0)),MATCH(T$141,'Fuel Model - Calculation'!$B$2:$M$2,0)),0)</f>
        <v>149.83631301186711</v>
      </c>
      <c r="BI160" s="118">
        <f>IFERROR(INDEX('Fuel Model - Calculation'!$B$2:$M$3771,(MATCH(($E160&amp;"Results"&amp;$BD$140&amp;$F160&amp;"USD/ton"),'Fuel Model - Calculation'!$B$2:$B$3771,0)),MATCH(U$141,'Fuel Model - Calculation'!$B$2:$M$2,0)),0)</f>
        <v>109.2528743921972</v>
      </c>
      <c r="BJ160" s="118">
        <f>IFERROR(INDEX('Fuel Model - Calculation'!$B$2:$M$3771,(MATCH(($E160&amp;"Results"&amp;$BD$140&amp;$F160&amp;"USD/ton"),'Fuel Model - Calculation'!$B$2:$B$3771,0)),MATCH(V$141,'Fuel Model - Calculation'!$B$2:$M$2,0)),0)</f>
        <v>72.150513068036531</v>
      </c>
      <c r="BL160" s="118">
        <f>IFERROR(IFERROR(INDEX('Fuel Model - Calculation'!$B$2:$M$3771,(MATCH(($E160&amp;"Results"&amp;$BL$140&amp;$F160&amp;"USD/ton"),'Fuel Model - Calculation'!$B$2:$B$3771,0)),MATCH(H$141,'Fuel Model - Calculation'!$B$2:$M$2,0)),0),0)</f>
        <v>421.97414487533121</v>
      </c>
      <c r="BM160" s="118">
        <f>IFERROR(IFERROR(INDEX('Fuel Model - Calculation'!$B$2:$M$3771,(MATCH(($E160&amp;"Results"&amp;$BL$140&amp;$F160&amp;"USD/ton"),'Fuel Model - Calculation'!$B$2:$B$3771,0)),MATCH(I$141,'Fuel Model - Calculation'!$B$2:$M$2,0)),0),0)</f>
        <v>333.06293015864782</v>
      </c>
      <c r="BN160" s="118">
        <f>IFERROR(IFERROR(INDEX('Fuel Model - Calculation'!$B$2:$M$3771,(MATCH(($E160&amp;"Results"&amp;$BL$140&amp;$F160&amp;"USD/ton"),'Fuel Model - Calculation'!$B$2:$B$3771,0)),MATCH(J$141,'Fuel Model - Calculation'!$B$2:$M$2,0)),0),0)</f>
        <v>263.77055019281556</v>
      </c>
      <c r="BO160" s="118">
        <f>IFERROR(IFERROR(INDEX('Fuel Model - Calculation'!$B$2:$M$3771,(MATCH(($E160&amp;"Results"&amp;$BL$140&amp;$F160&amp;"USD/ton"),'Fuel Model - Calculation'!$B$2:$B$3771,0)),MATCH(K$141,'Fuel Model - Calculation'!$B$2:$M$2,0)),0),0)</f>
        <v>220.7333366274249</v>
      </c>
      <c r="BP160" s="118">
        <f>IFERROR(IFERROR(INDEX('Fuel Model - Calculation'!$B$2:$M$3771,(MATCH(($E160&amp;"Results"&amp;$BL$140&amp;$F160&amp;"USD/ton"),'Fuel Model - Calculation'!$B$2:$B$3771,0)),MATCH(L$141,'Fuel Model - Calculation'!$B$2:$M$2,0)),0),0)</f>
        <v>188.29390632606714</v>
      </c>
      <c r="BQ160" s="118">
        <f>IFERROR(IFERROR(INDEX('Fuel Model - Calculation'!$B$2:$M$3771,(MATCH(($E160&amp;"Results"&amp;$BL$140&amp;$F160&amp;"USD/ton"),'Fuel Model - Calculation'!$B$2:$B$3771,0)),MATCH(M$141,'Fuel Model - Calculation'!$B$2:$M$2,0)),0),0)</f>
        <v>160.06230816430386</v>
      </c>
      <c r="BR160" s="118">
        <f>IFERROR(IFERROR(INDEX('Fuel Model - Calculation'!$B$2:$M$3771,(MATCH(($E160&amp;"Results"&amp;$BL$140&amp;$F160&amp;"USD/ton"),'Fuel Model - Calculation'!$B$2:$B$3771,0)),MATCH(N$141,'Fuel Model - Calculation'!$B$2:$M$2,0)),0),0)</f>
        <v>137.28649648707531</v>
      </c>
      <c r="BT160" s="118">
        <f>IFERROR(INDEX('Fuel Model - Calculation'!$B$2:$M$3771,(MATCH(($E160&amp;"Results"&amp;$BT$140&amp;$F160&amp;"USD/ton"),'Fuel Model - Calculation'!$B$2:$B$3771,0)),MATCH(H$141,'Fuel Model - Calculation'!$B$2:$M$2,0)),0)</f>
        <v>0</v>
      </c>
      <c r="BU160" s="118">
        <f>IFERROR(INDEX('Fuel Model - Calculation'!$B$2:$M$3771,(MATCH(($E160&amp;"Results"&amp;$BT$140&amp;$F160&amp;"USD/ton"),'Fuel Model - Calculation'!$B$2:$B$3771,0)),MATCH(I$141,'Fuel Model - Calculation'!$B$2:$M$2,0)),0)</f>
        <v>0</v>
      </c>
      <c r="BV160" s="118">
        <f>IFERROR(INDEX('Fuel Model - Calculation'!$B$2:$M$3771,(MATCH(($E160&amp;"Results"&amp;$BT$140&amp;$F160&amp;"USD/ton"),'Fuel Model - Calculation'!$B$2:$B$3771,0)),MATCH(J$141,'Fuel Model - Calculation'!$B$2:$M$2,0)),0)</f>
        <v>0</v>
      </c>
      <c r="BW160" s="118">
        <f>IFERROR(INDEX('Fuel Model - Calculation'!$B$2:$M$3771,(MATCH(($E160&amp;"Results"&amp;$BT$140&amp;$F160&amp;"USD/ton"),'Fuel Model - Calculation'!$B$2:$B$3771,0)),MATCH(K$141,'Fuel Model - Calculation'!$B$2:$M$2,0)),0)</f>
        <v>0</v>
      </c>
      <c r="BX160" s="118">
        <f>IFERROR(INDEX('Fuel Model - Calculation'!$B$2:$M$3771,(MATCH(($E160&amp;"Results"&amp;$BT$140&amp;$F160&amp;"USD/ton"),'Fuel Model - Calculation'!$B$2:$B$3771,0)),MATCH(L$141,'Fuel Model - Calculation'!$B$2:$M$2,0)),0)</f>
        <v>0</v>
      </c>
      <c r="BY160" s="118">
        <f>IFERROR(INDEX('Fuel Model - Calculation'!$B$2:$M$3771,(MATCH(($E160&amp;"Results"&amp;$BT$140&amp;$F160&amp;"USD/ton"),'Fuel Model - Calculation'!$B$2:$B$3771,0)),MATCH(M$141,'Fuel Model - Calculation'!$B$2:$M$2,0)),0)</f>
        <v>0</v>
      </c>
      <c r="BZ160" s="118">
        <f>IFERROR(INDEX('Fuel Model - Calculation'!$B$2:$M$3771,(MATCH(($E160&amp;"Results"&amp;$BT$140&amp;$F160&amp;"USD/ton"),'Fuel Model - Calculation'!$B$2:$B$3771,0)),MATCH(N$141,'Fuel Model - Calculation'!$B$2:$M$2,0)),0)</f>
        <v>0</v>
      </c>
    </row>
    <row r="161" spans="1:78" x14ac:dyDescent="0.2">
      <c r="A161" s="452"/>
      <c r="B161" s="453" t="str">
        <f>_xlfn.TEXTJOIN(keydelim,TRUE,F161,IF(E161="Africa","Africa&amp;other",E161),"Fuel cost",SUBSTITUTE($G161," ",""))</f>
        <v>e-Methanol (DAC) - Middle East - Fuel cost - USD/ton</v>
      </c>
      <c r="D161" s="459" t="str">
        <f t="shared" ref="D161:D164" si="170">E161&amp;F161</f>
        <v>Middle Easte-Methanol (DAC)</v>
      </c>
      <c r="E161" t="s">
        <v>197</v>
      </c>
      <c r="F161" s="460" t="s">
        <v>587</v>
      </c>
      <c r="G161" t="s">
        <v>835</v>
      </c>
      <c r="H161" s="118">
        <f>INDEX('Fuel Model - Calculation'!$B$2:$M$3771,(MATCH(($E161&amp;"ResultsCost of "&amp;$F161&amp;"USD/ton"),'Fuel Model - Calculation'!$B$2:$B$3771,0)),MATCH(H$141,'Fuel Model - Calculation'!$B$2:$M$2,0))</f>
        <v>1647.1384793168768</v>
      </c>
      <c r="I161" s="118">
        <f>INDEX('Fuel Model - Calculation'!$B$2:$M$3771,(MATCH(($E161&amp;"ResultsCost of "&amp;$F161&amp;"USD/ton"),'Fuel Model - Calculation'!$B$2:$B$3771,0)),MATCH(I$141,'Fuel Model - Calculation'!$B$2:$M$2,0))</f>
        <v>1324.9002560563013</v>
      </c>
      <c r="J161" s="118">
        <f>INDEX('Fuel Model - Calculation'!$B$2:$M$3771,(MATCH(($E161&amp;"ResultsCost of "&amp;$F161&amp;"USD/ton"),'Fuel Model - Calculation'!$B$2:$B$3771,0)),MATCH(J$141,'Fuel Model - Calculation'!$B$2:$M$2,0))</f>
        <v>1066.6807624776734</v>
      </c>
      <c r="K161" s="118">
        <f>INDEX('Fuel Model - Calculation'!$B$2:$M$3771,(MATCH(($E161&amp;"ResultsCost of "&amp;$F161&amp;"USD/ton"),'Fuel Model - Calculation'!$B$2:$B$3771,0)),MATCH(K$141,'Fuel Model - Calculation'!$B$2:$M$2,0))</f>
        <v>936.92308371976128</v>
      </c>
      <c r="L161" s="118">
        <f>INDEX('Fuel Model - Calculation'!$B$2:$M$3771,(MATCH(($E161&amp;"ResultsCost of "&amp;$F161&amp;"USD/ton"),'Fuel Model - Calculation'!$B$2:$B$3771,0)),MATCH(L$141,'Fuel Model - Calculation'!$B$2:$M$2,0))</f>
        <v>811.31921558387739</v>
      </c>
      <c r="M161" s="118">
        <f>INDEX('Fuel Model - Calculation'!$B$2:$M$3771,(MATCH(($E161&amp;"ResultsCost of "&amp;$F161&amp;"USD/ton"),'Fuel Model - Calculation'!$B$2:$B$3771,0)),MATCH(M$141,'Fuel Model - Calculation'!$B$2:$M$2,0))</f>
        <v>655.15859552126699</v>
      </c>
      <c r="N161" s="118">
        <f>INDEX('Fuel Model - Calculation'!$B$2:$M$3771,(MATCH(($E161&amp;"ResultsCost of "&amp;$F161&amp;"USD/ton"),'Fuel Model - Calculation'!$B$2:$B$3771,0)),MATCH(N$141,'Fuel Model - Calculation'!$B$2:$M$2,0))</f>
        <v>519.92224017333228</v>
      </c>
      <c r="O161"/>
      <c r="P161" s="118">
        <f>IFERROR(INDEX('Fuel Model - Calculation'!G$2:G$3771,(MATCH(($E161&amp;"ResultsTotal RNE "&amp;$F161&amp;"USD/ton"),'Fuel Model - Calculation'!$B$2:$B$3771,0))),0)</f>
        <v>500.57125154736997</v>
      </c>
      <c r="Q161" s="118">
        <f>IFERROR(INDEX('Fuel Model - Calculation'!H$2:H$3771,(MATCH(($E161&amp;"ResultsTotal RNE "&amp;$F161&amp;"USD/ton"),'Fuel Model - Calculation'!$B$2:$B$3771,0))),0)</f>
        <v>401.41273651788123</v>
      </c>
      <c r="R161" s="118">
        <f>IFERROR(INDEX('Fuel Model - Calculation'!I$2:I$3771,(MATCH(($E161&amp;"ResultsTotal RNE "&amp;$F161&amp;"USD/ton"),'Fuel Model - Calculation'!$B$2:$B$3771,0))),0)</f>
        <v>333.26178816853928</v>
      </c>
      <c r="S161" s="118">
        <f>IFERROR(INDEX('Fuel Model - Calculation'!J$2:J$3771,(MATCH(($E161&amp;"ResultsTotal RNE "&amp;$F161&amp;"USD/ton"),'Fuel Model - Calculation'!$B$2:$B$3771,0))),0)</f>
        <v>279.61119239960561</v>
      </c>
      <c r="T161" s="118">
        <f>IFERROR(INDEX('Fuel Model - Calculation'!K$2:K$3771,(MATCH(($E161&amp;"ResultsTotal RNE "&amp;$F161&amp;"USD/ton"),'Fuel Model - Calculation'!$B$2:$B$3771,0))),0)</f>
        <v>248.05622035144501</v>
      </c>
      <c r="U161" s="118">
        <f>IFERROR(INDEX('Fuel Model - Calculation'!L$2:L$3771,(MATCH(($E161&amp;"ResultsTotal RNE "&amp;$F161&amp;"USD/ton"),'Fuel Model - Calculation'!$B$2:$B$3771,0))),0)</f>
        <v>209.0035125581239</v>
      </c>
      <c r="V161" s="118">
        <f>IFERROR(INDEX('Fuel Model - Calculation'!M$2:M$3771,(MATCH(($E161&amp;"ResultsTotal RNE "&amp;$F161&amp;"USD/ton"),'Fuel Model - Calculation'!$B$2:$B$3771,0))),0)</f>
        <v>188.23617309391807</v>
      </c>
      <c r="W161"/>
      <c r="X161" s="2">
        <f>INDEX('Fuel Model - Calculation'!$E$2:$M$3771,(MATCH(("WTT Emission - "&amp;$F161),'Fuel Model - Calculation'!$E$2:$E$3771,0)),MATCH(X$141,'Fuel Model - Calculation'!$E$2:$M$2,0))</f>
        <v>-1.3108780207988588</v>
      </c>
      <c r="Y161" s="2">
        <f>INDEX('Fuel Model - Calculation'!$E$2:$M$3771,(MATCH(("WTT Emission - "&amp;$F161),'Fuel Model - Calculation'!$E$2:$E$3771,0)),MATCH(Y$141,'Fuel Model - Calculation'!$E$2:$M$2,0))</f>
        <v>-1.3111366188752263</v>
      </c>
      <c r="Z161" s="2">
        <f>INDEX('Fuel Model - Calculation'!$E$2:$M$3771,(MATCH(("WTT Emission - "&amp;$F161),'Fuel Model - Calculation'!$E$2:$E$3771,0)),MATCH(Z$141,'Fuel Model - Calculation'!$E$2:$M$2,0))</f>
        <v>-1.3118632631235476</v>
      </c>
      <c r="AA161" s="2">
        <f>INDEX('Fuel Model - Calculation'!$E$2:$M$3771,(MATCH(("WTT Emission - "&amp;$F161),'Fuel Model - Calculation'!$E$2:$E$3771,0)),MATCH(AA$141,'Fuel Model - Calculation'!$E$2:$M$2,0))</f>
        <v>-1.3137932577350739</v>
      </c>
      <c r="AB161" s="2">
        <f>INDEX('Fuel Model - Calculation'!$E$2:$M$3771,(MATCH(("WTT Emission - "&amp;$F161),'Fuel Model - Calculation'!$E$2:$E$3771,0)),MATCH(AB$141,'Fuel Model - Calculation'!$E$2:$M$2,0))</f>
        <v>-1.3161109969717115</v>
      </c>
      <c r="AC161" s="2">
        <f>INDEX('Fuel Model - Calculation'!$E$2:$M$3771,(MATCH(("WTT Emission - "&amp;$F161),'Fuel Model - Calculation'!$E$2:$E$3771,0)),MATCH(AC$141,'Fuel Model - Calculation'!$E$2:$M$2,0))</f>
        <v>-1.3191966545944611</v>
      </c>
      <c r="AD161" s="2">
        <f>INDEX('Fuel Model - Calculation'!$E$2:$M$3771,(MATCH(("WTT Emission - "&amp;$F161),'Fuel Model - Calculation'!$E$2:$E$3771,0)),MATCH(AD$141,'Fuel Model - Calculation'!$E$2:$M$2,0))</f>
        <v>-1.3216273752574745</v>
      </c>
      <c r="AE161" s="2"/>
      <c r="AF161" s="2">
        <f>'Fuel Model -  Input'!H$51</f>
        <v>1.375</v>
      </c>
      <c r="AG161" s="2">
        <f>'Fuel Model -  Input'!I$51</f>
        <v>1.375</v>
      </c>
      <c r="AH161" s="2">
        <f>'Fuel Model -  Input'!J$51</f>
        <v>1.375</v>
      </c>
      <c r="AI161" s="2">
        <f>'Fuel Model -  Input'!K$51</f>
        <v>1.375</v>
      </c>
      <c r="AJ161" s="2">
        <f>'Fuel Model -  Input'!L$51</f>
        <v>1.375</v>
      </c>
      <c r="AK161" s="2">
        <f>'Fuel Model -  Input'!M$51</f>
        <v>1.375</v>
      </c>
      <c r="AL161" s="2">
        <f>'Fuel Model -  Input'!N$51</f>
        <v>1.375</v>
      </c>
      <c r="AM161"/>
      <c r="AN161" s="24">
        <f t="shared" si="169"/>
        <v>6.4121979201141155E-2</v>
      </c>
      <c r="AO161" s="24">
        <f t="shared" si="169"/>
        <v>6.3863381124773744E-2</v>
      </c>
      <c r="AP161" s="24">
        <f t="shared" si="169"/>
        <v>6.3136736876452382E-2</v>
      </c>
      <c r="AQ161" s="24">
        <f t="shared" si="169"/>
        <v>6.1206742264926062E-2</v>
      </c>
      <c r="AR161" s="24">
        <f t="shared" si="169"/>
        <v>5.8889003028288478E-2</v>
      </c>
      <c r="AS161" s="24">
        <f t="shared" si="169"/>
        <v>5.5803345405538884E-2</v>
      </c>
      <c r="AT161" s="24">
        <f t="shared" si="169"/>
        <v>5.3372624742525465E-2</v>
      </c>
      <c r="AU161"/>
      <c r="AV161" s="118">
        <f>IFERROR(INDEX('Fuel Model - Calculation'!$B$2:$M$3771,(MATCH(($E161&amp;"Results"&amp;$AV$140&amp;$F161&amp;"USD/ton"),'Fuel Model - Calculation'!$B$2:$B$3771,0)),MATCH(H$141,'Fuel Model - Calculation'!$B$2:$M$2,0)),0)</f>
        <v>457.85913608738241</v>
      </c>
      <c r="AW161" s="118">
        <f>IFERROR(INDEX('Fuel Model - Calculation'!$B$2:$M$3771,(MATCH(($E161&amp;"Results"&amp;$AV$140&amp;$F161&amp;"USD/ton"),'Fuel Model - Calculation'!$B$2:$B$3771,0)),MATCH(I$141,'Fuel Model - Calculation'!$B$2:$M$2,0)),0)</f>
        <v>370.51665394078952</v>
      </c>
      <c r="AX161" s="118">
        <f>IFERROR(INDEX('Fuel Model - Calculation'!$B$2:$M$3771,(MATCH(($E161&amp;"Results"&amp;$AV$140&amp;$F161&amp;"USD/ton"),'Fuel Model - Calculation'!$B$2:$B$3771,0)),MATCH(J$141,'Fuel Model - Calculation'!$B$2:$M$2,0)),0)</f>
        <v>292.19699484282427</v>
      </c>
      <c r="AY161" s="118">
        <f>IFERROR(INDEX('Fuel Model - Calculation'!$B$2:$M$3771,(MATCH(($E161&amp;"Results"&amp;$AV$140&amp;$F161&amp;"USD/ton"),'Fuel Model - Calculation'!$B$2:$B$3771,0)),MATCH(K$141,'Fuel Model - Calculation'!$B$2:$M$2,0)),0)</f>
        <v>278.46318391967247</v>
      </c>
      <c r="AZ161" s="118">
        <f>IFERROR(INDEX('Fuel Model - Calculation'!$B$2:$M$3771,(MATCH(($E161&amp;"Results"&amp;$AV$140&amp;$F161&amp;"USD/ton"),'Fuel Model - Calculation'!$B$2:$B$3771,0)),MATCH(L$141,'Fuel Model - Calculation'!$B$2:$M$2,0)),0)</f>
        <v>248.87379575721383</v>
      </c>
      <c r="BA161" s="118">
        <f>IFERROR(INDEX('Fuel Model - Calculation'!$B$2:$M$3771,(MATCH(($E161&amp;"Results"&amp;$AV$140&amp;$F161&amp;"USD/ton"),'Fuel Model - Calculation'!$B$2:$B$3771,0)),MATCH(M$141,'Fuel Model - Calculation'!$B$2:$M$2,0)),0)</f>
        <v>199.83852877932546</v>
      </c>
      <c r="BB161" s="118">
        <f>IFERROR(INDEX('Fuel Model - Calculation'!$B$2:$M$3771,(MATCH(($E161&amp;"Results"&amp;$AV$140&amp;$F161&amp;"USD/ton"),'Fuel Model - Calculation'!$B$2:$B$3771,0)),MATCH(N$141,'Fuel Model - Calculation'!$B$2:$M$2,0)),0)</f>
        <v>142.49674378576751</v>
      </c>
      <c r="BC161"/>
      <c r="BD161" s="118">
        <f>IFERROR(INDEX('Fuel Model - Calculation'!$B$2:$M$3771,(MATCH(($E161&amp;"Results"&amp;$BD$140&amp;$F161&amp;"USD/ton"),'Fuel Model - Calculation'!$B$2:$B$3771,0)),MATCH(P$141,'Fuel Model - Calculation'!$B$2:$M$2,0)),0)</f>
        <v>318.87450817832837</v>
      </c>
      <c r="BE161" s="118">
        <f>IFERROR(INDEX('Fuel Model - Calculation'!$B$2:$M$3771,(MATCH(($E161&amp;"Results"&amp;$BD$140&amp;$F161&amp;"USD/ton"),'Fuel Model - Calculation'!$B$2:$B$3771,0)),MATCH(Q$141,'Fuel Model - Calculation'!$B$2:$M$2,0)),0)</f>
        <v>260.00097132787192</v>
      </c>
      <c r="BF161" s="118">
        <f>IFERROR(INDEX('Fuel Model - Calculation'!$B$2:$M$3771,(MATCH(($E161&amp;"Results"&amp;$BD$140&amp;$F161&amp;"USD/ton"),'Fuel Model - Calculation'!$B$2:$B$3771,0)),MATCH(R$141,'Fuel Model - Calculation'!$B$2:$M$2,0)),0)</f>
        <v>204.11232794953349</v>
      </c>
      <c r="BG161" s="118">
        <f>IFERROR(INDEX('Fuel Model - Calculation'!$B$2:$M$3771,(MATCH(($E161&amp;"Results"&amp;$BD$140&amp;$F161&amp;"USD/ton"),'Fuel Model - Calculation'!$B$2:$B$3771,0)),MATCH(S$141,'Fuel Model - Calculation'!$B$2:$M$2,0)),0)</f>
        <v>184.10192321244182</v>
      </c>
      <c r="BH161" s="118">
        <f>IFERROR(INDEX('Fuel Model - Calculation'!$B$2:$M$3771,(MATCH(($E161&amp;"Results"&amp;$BD$140&amp;$F161&amp;"USD/ton"),'Fuel Model - Calculation'!$B$2:$B$3771,0)),MATCH(T$141,'Fuel Model - Calculation'!$B$2:$M$2,0)),0)</f>
        <v>149.83631301186711</v>
      </c>
      <c r="BI161" s="118">
        <f>IFERROR(INDEX('Fuel Model - Calculation'!$B$2:$M$3771,(MATCH(($E161&amp;"Results"&amp;$BD$140&amp;$F161&amp;"USD/ton"),'Fuel Model - Calculation'!$B$2:$B$3771,0)),MATCH(U$141,'Fuel Model - Calculation'!$B$2:$M$2,0)),0)</f>
        <v>109.25287439219724</v>
      </c>
      <c r="BJ161" s="118">
        <f>IFERROR(INDEX('Fuel Model - Calculation'!$B$2:$M$3771,(MATCH(($E161&amp;"Results"&amp;$BD$140&amp;$F161&amp;"USD/ton"),'Fuel Model - Calculation'!$B$2:$B$3771,0)),MATCH(V$141,'Fuel Model - Calculation'!$B$2:$M$2,0)),0)</f>
        <v>72.150513068036602</v>
      </c>
      <c r="BL161" s="118">
        <f>IFERROR(IFERROR(INDEX('Fuel Model - Calculation'!$B$2:$M$3771,(MATCH(($E161&amp;"Results"&amp;$BL$140&amp;$F161&amp;"USD/ton"),'Fuel Model - Calculation'!$B$2:$B$3771,0)),MATCH(H$141,'Fuel Model - Calculation'!$B$2:$M$2,0)),0),0)</f>
        <v>369.83358350379615</v>
      </c>
      <c r="BM161" s="118">
        <f>IFERROR(IFERROR(INDEX('Fuel Model - Calculation'!$B$2:$M$3771,(MATCH(($E161&amp;"Results"&amp;$BL$140&amp;$F161&amp;"USD/ton"),'Fuel Model - Calculation'!$B$2:$B$3771,0)),MATCH(I$141,'Fuel Model - Calculation'!$B$2:$M$2,0)),0),0)</f>
        <v>292.96989426975853</v>
      </c>
      <c r="BN161" s="118">
        <f>IFERROR(IFERROR(INDEX('Fuel Model - Calculation'!$B$2:$M$3771,(MATCH(($E161&amp;"Results"&amp;$BL$140&amp;$F161&amp;"USD/ton"),'Fuel Model - Calculation'!$B$2:$B$3771,0)),MATCH(J$141,'Fuel Model - Calculation'!$B$2:$M$2,0)),0),0)</f>
        <v>237.10965151677635</v>
      </c>
      <c r="BO161" s="118">
        <f>IFERROR(IFERROR(INDEX('Fuel Model - Calculation'!$B$2:$M$3771,(MATCH(($E161&amp;"Results"&amp;$BL$140&amp;$F161&amp;"USD/ton"),'Fuel Model - Calculation'!$B$2:$B$3771,0)),MATCH(K$141,'Fuel Model - Calculation'!$B$2:$M$2,0)),0),0)</f>
        <v>194.74678418804132</v>
      </c>
      <c r="BP161" s="118">
        <f>IFERROR(IFERROR(INDEX('Fuel Model - Calculation'!$B$2:$M$3771,(MATCH(($E161&amp;"Results"&amp;$BL$140&amp;$F161&amp;"USD/ton"),'Fuel Model - Calculation'!$B$2:$B$3771,0)),MATCH(L$141,'Fuel Model - Calculation'!$B$2:$M$2,0)),0),0)</f>
        <v>164.55288646335148</v>
      </c>
      <c r="BQ161" s="118">
        <f>IFERROR(IFERROR(INDEX('Fuel Model - Calculation'!$B$2:$M$3771,(MATCH(($E161&amp;"Results"&amp;$BL$140&amp;$F161&amp;"USD/ton"),'Fuel Model - Calculation'!$B$2:$B$3771,0)),MATCH(M$141,'Fuel Model - Calculation'!$B$2:$M$2,0)),0),0)</f>
        <v>137.06367979162036</v>
      </c>
      <c r="BR161" s="118">
        <f>IFERROR(IFERROR(INDEX('Fuel Model - Calculation'!$B$2:$M$3771,(MATCH(($E161&amp;"Results"&amp;$BL$140&amp;$F161&amp;"USD/ton"),'Fuel Model - Calculation'!$B$2:$B$3771,0)),MATCH(N$141,'Fuel Model - Calculation'!$B$2:$M$2,0)),0),0)</f>
        <v>117.03881022561009</v>
      </c>
      <c r="BT161" s="118">
        <f>IFERROR(INDEX('Fuel Model - Calculation'!$B$2:$M$3771,(MATCH(($E161&amp;"Results"&amp;$BT$140&amp;$F161&amp;"USD/ton"),'Fuel Model - Calculation'!$B$2:$B$3771,0)),MATCH(H$141,'Fuel Model - Calculation'!$B$2:$M$2,0)),0)</f>
        <v>0</v>
      </c>
      <c r="BU161" s="118">
        <f>IFERROR(INDEX('Fuel Model - Calculation'!$B$2:$M$3771,(MATCH(($E161&amp;"Results"&amp;$BT$140&amp;$F161&amp;"USD/ton"),'Fuel Model - Calculation'!$B$2:$B$3771,0)),MATCH(I$141,'Fuel Model - Calculation'!$B$2:$M$2,0)),0)</f>
        <v>0</v>
      </c>
      <c r="BV161" s="118">
        <f>IFERROR(INDEX('Fuel Model - Calculation'!$B$2:$M$3771,(MATCH(($E161&amp;"Results"&amp;$BT$140&amp;$F161&amp;"USD/ton"),'Fuel Model - Calculation'!$B$2:$B$3771,0)),MATCH(J$141,'Fuel Model - Calculation'!$B$2:$M$2,0)),0)</f>
        <v>0</v>
      </c>
      <c r="BW161" s="118">
        <f>IFERROR(INDEX('Fuel Model - Calculation'!$B$2:$M$3771,(MATCH(($E161&amp;"Results"&amp;$BT$140&amp;$F161&amp;"USD/ton"),'Fuel Model - Calculation'!$B$2:$B$3771,0)),MATCH(K$141,'Fuel Model - Calculation'!$B$2:$M$2,0)),0)</f>
        <v>0</v>
      </c>
      <c r="BX161" s="118">
        <f>IFERROR(INDEX('Fuel Model - Calculation'!$B$2:$M$3771,(MATCH(($E161&amp;"Results"&amp;$BT$140&amp;$F161&amp;"USD/ton"),'Fuel Model - Calculation'!$B$2:$B$3771,0)),MATCH(L$141,'Fuel Model - Calculation'!$B$2:$M$2,0)),0)</f>
        <v>0</v>
      </c>
      <c r="BY161" s="118">
        <f>IFERROR(INDEX('Fuel Model - Calculation'!$B$2:$M$3771,(MATCH(($E161&amp;"Results"&amp;$BT$140&amp;$F161&amp;"USD/ton"),'Fuel Model - Calculation'!$B$2:$B$3771,0)),MATCH(M$141,'Fuel Model - Calculation'!$B$2:$M$2,0)),0)</f>
        <v>0</v>
      </c>
      <c r="BZ161" s="118">
        <f>IFERROR(INDEX('Fuel Model - Calculation'!$B$2:$M$3771,(MATCH(($E161&amp;"Results"&amp;$BT$140&amp;$F161&amp;"USD/ton"),'Fuel Model - Calculation'!$B$2:$B$3771,0)),MATCH(N$141,'Fuel Model - Calculation'!$B$2:$M$2,0)),0)</f>
        <v>0</v>
      </c>
    </row>
    <row r="162" spans="1:78" x14ac:dyDescent="0.2">
      <c r="A162" s="452"/>
      <c r="B162" s="453" t="str">
        <f>_xlfn.TEXTJOIN(keydelim,TRUE,F162,IF(E162="Africa","Africa&amp;other",E162),"Fuel cost",SUBSTITUTE($G162," ",""))</f>
        <v>e-Methanol (DAC) - Asia - Fuel cost - USD/ton</v>
      </c>
      <c r="D162" s="459" t="str">
        <f t="shared" si="170"/>
        <v>Asiae-Methanol (DAC)</v>
      </c>
      <c r="E162" t="s">
        <v>198</v>
      </c>
      <c r="F162" s="460" t="s">
        <v>587</v>
      </c>
      <c r="G162" t="s">
        <v>835</v>
      </c>
      <c r="H162" s="118">
        <f>INDEX('Fuel Model - Calculation'!$B$2:$M$3771,(MATCH(($E162&amp;"ResultsCost of "&amp;$F162&amp;"USD/ton"),'Fuel Model - Calculation'!$B$2:$B$3771,0)),MATCH(H$141,'Fuel Model - Calculation'!$B$2:$M$2,0))</f>
        <v>2291.567166164763</v>
      </c>
      <c r="I162" s="118">
        <f>INDEX('Fuel Model - Calculation'!$B$2:$M$3771,(MATCH(($E162&amp;"ResultsCost of "&amp;$F162&amp;"USD/ton"),'Fuel Model - Calculation'!$B$2:$B$3771,0)),MATCH(I$141,'Fuel Model - Calculation'!$B$2:$M$2,0))</f>
        <v>1636.1300512099513</v>
      </c>
      <c r="J162" s="118">
        <f>INDEX('Fuel Model - Calculation'!$B$2:$M$3771,(MATCH(($E162&amp;"ResultsCost of "&amp;$F162&amp;"USD/ton"),'Fuel Model - Calculation'!$B$2:$B$3771,0)),MATCH(J$141,'Fuel Model - Calculation'!$B$2:$M$2,0))</f>
        <v>1296.1814850269711</v>
      </c>
      <c r="K162" s="118">
        <f>INDEX('Fuel Model - Calculation'!$B$2:$M$3771,(MATCH(($E162&amp;"ResultsCost of "&amp;$F162&amp;"USD/ton"),'Fuel Model - Calculation'!$B$2:$B$3771,0)),MATCH(K$141,'Fuel Model - Calculation'!$B$2:$M$2,0))</f>
        <v>1111.1621333020812</v>
      </c>
      <c r="L162" s="118">
        <f>INDEX('Fuel Model - Calculation'!$B$2:$M$3771,(MATCH(($E162&amp;"ResultsCost of "&amp;$F162&amp;"USD/ton"),'Fuel Model - Calculation'!$B$2:$B$3771,0)),MATCH(L$141,'Fuel Model - Calculation'!$B$2:$M$2,0))</f>
        <v>954.95479961685214</v>
      </c>
      <c r="M162" s="118">
        <f>INDEX('Fuel Model - Calculation'!$B$2:$M$3771,(MATCH(($E162&amp;"ResultsCost of "&amp;$F162&amp;"USD/ton"),'Fuel Model - Calculation'!$B$2:$B$3771,0)),MATCH(M$141,'Fuel Model - Calculation'!$B$2:$M$2,0))</f>
        <v>774.93585073740132</v>
      </c>
      <c r="N162" s="118">
        <f>INDEX('Fuel Model - Calculation'!$B$2:$M$3771,(MATCH(($E162&amp;"ResultsCost of "&amp;$F162&amp;"USD/ton"),'Fuel Model - Calculation'!$B$2:$B$3771,0)),MATCH(N$141,'Fuel Model - Calculation'!$B$2:$M$2,0))</f>
        <v>627.26352456009181</v>
      </c>
      <c r="O162"/>
      <c r="P162" s="118">
        <f>IFERROR(INDEX('Fuel Model - Calculation'!G$2:G$3771,(MATCH(($E162&amp;"ResultsTotal RNE "&amp;$F162&amp;"USD/ton"),'Fuel Model - Calculation'!$B$2:$B$3771,0))),0)</f>
        <v>979.88039710226985</v>
      </c>
      <c r="Q162" s="118">
        <f>IFERROR(INDEX('Fuel Model - Calculation'!H$2:H$3771,(MATCH(($E162&amp;"ResultsTotal RNE "&amp;$F162&amp;"USD/ton"),'Fuel Model - Calculation'!$B$2:$B$3771,0))),0)</f>
        <v>636.59081792587961</v>
      </c>
      <c r="R162" s="118">
        <f>IFERROR(INDEX('Fuel Model - Calculation'!I$2:I$3771,(MATCH(($E162&amp;"ResultsTotal RNE "&amp;$F162&amp;"USD/ton"),'Fuel Model - Calculation'!$B$2:$B$3771,0))),0)</f>
        <v>509.01488196216621</v>
      </c>
      <c r="S162" s="118">
        <f>IFERROR(INDEX('Fuel Model - Calculation'!J$2:J$3771,(MATCH(($E162&amp;"ResultsTotal RNE "&amp;$F162&amp;"USD/ton"),'Fuel Model - Calculation'!$B$2:$B$3771,0))),0)</f>
        <v>414.1663725152107</v>
      </c>
      <c r="T162" s="118">
        <f>IFERROR(INDEX('Fuel Model - Calculation'!K$2:K$3771,(MATCH(($E162&amp;"ResultsTotal RNE "&amp;$F162&amp;"USD/ton"),'Fuel Model - Calculation'!$B$2:$B$3771,0))),0)</f>
        <v>359.69720340678145</v>
      </c>
      <c r="U162" s="118">
        <f>IFERROR(INDEX('Fuel Model - Calculation'!L$2:L$3771,(MATCH(($E162&amp;"ResultsTotal RNE "&amp;$F162&amp;"USD/ton"),'Fuel Model - Calculation'!$B$2:$B$3771,0))),0)</f>
        <v>302.37893931228263</v>
      </c>
      <c r="V162" s="118">
        <f>IFERROR(INDEX('Fuel Model - Calculation'!M$2:M$3771,(MATCH(($E162&amp;"ResultsTotal RNE "&amp;$F162&amp;"USD/ton"),'Fuel Model - Calculation'!$B$2:$B$3771,0))),0)</f>
        <v>272.33393641080085</v>
      </c>
      <c r="W162"/>
      <c r="X162" s="2">
        <f>INDEX('Fuel Model - Calculation'!$E$2:$M$3771,(MATCH(("WTT Emission - "&amp;$F162),'Fuel Model - Calculation'!$E$2:$E$3771,0)),MATCH(X$141,'Fuel Model - Calculation'!$E$2:$M$2,0))</f>
        <v>-1.3108780207988588</v>
      </c>
      <c r="Y162" s="2">
        <f>INDEX('Fuel Model - Calculation'!$E$2:$M$3771,(MATCH(("WTT Emission - "&amp;$F162),'Fuel Model - Calculation'!$E$2:$E$3771,0)),MATCH(Y$141,'Fuel Model - Calculation'!$E$2:$M$2,0))</f>
        <v>-1.3111366188752263</v>
      </c>
      <c r="Z162" s="2">
        <f>INDEX('Fuel Model - Calculation'!$E$2:$M$3771,(MATCH(("WTT Emission - "&amp;$F162),'Fuel Model - Calculation'!$E$2:$E$3771,0)),MATCH(Z$141,'Fuel Model - Calculation'!$E$2:$M$2,0))</f>
        <v>-1.3118632631235476</v>
      </c>
      <c r="AA162" s="2">
        <f>INDEX('Fuel Model - Calculation'!$E$2:$M$3771,(MATCH(("WTT Emission - "&amp;$F162),'Fuel Model - Calculation'!$E$2:$E$3771,0)),MATCH(AA$141,'Fuel Model - Calculation'!$E$2:$M$2,0))</f>
        <v>-1.3137932577350739</v>
      </c>
      <c r="AB162" s="2">
        <f>INDEX('Fuel Model - Calculation'!$E$2:$M$3771,(MATCH(("WTT Emission - "&amp;$F162),'Fuel Model - Calculation'!$E$2:$E$3771,0)),MATCH(AB$141,'Fuel Model - Calculation'!$E$2:$M$2,0))</f>
        <v>-1.3161109969717115</v>
      </c>
      <c r="AC162" s="2">
        <f>INDEX('Fuel Model - Calculation'!$E$2:$M$3771,(MATCH(("WTT Emission - "&amp;$F162),'Fuel Model - Calculation'!$E$2:$E$3771,0)),MATCH(AC$141,'Fuel Model - Calculation'!$E$2:$M$2,0))</f>
        <v>-1.3191966545944611</v>
      </c>
      <c r="AD162" s="2">
        <f>INDEX('Fuel Model - Calculation'!$E$2:$M$3771,(MATCH(("WTT Emission - "&amp;$F162),'Fuel Model - Calculation'!$E$2:$E$3771,0)),MATCH(AD$141,'Fuel Model - Calculation'!$E$2:$M$2,0))</f>
        <v>-1.3216273752574745</v>
      </c>
      <c r="AE162" s="2"/>
      <c r="AF162" s="2">
        <f>'Fuel Model -  Input'!H$51</f>
        <v>1.375</v>
      </c>
      <c r="AG162" s="2">
        <f>'Fuel Model -  Input'!I$51</f>
        <v>1.375</v>
      </c>
      <c r="AH162" s="2">
        <f>'Fuel Model -  Input'!J$51</f>
        <v>1.375</v>
      </c>
      <c r="AI162" s="2">
        <f>'Fuel Model -  Input'!K$51</f>
        <v>1.375</v>
      </c>
      <c r="AJ162" s="2">
        <f>'Fuel Model -  Input'!L$51</f>
        <v>1.375</v>
      </c>
      <c r="AK162" s="2">
        <f>'Fuel Model -  Input'!M$51</f>
        <v>1.375</v>
      </c>
      <c r="AL162" s="2">
        <f>'Fuel Model -  Input'!N$51</f>
        <v>1.375</v>
      </c>
      <c r="AM162"/>
      <c r="AN162" s="24">
        <f t="shared" si="169"/>
        <v>6.4121979201141155E-2</v>
      </c>
      <c r="AO162" s="24">
        <f t="shared" si="169"/>
        <v>6.3863381124773744E-2</v>
      </c>
      <c r="AP162" s="24">
        <f t="shared" si="169"/>
        <v>6.3136736876452382E-2</v>
      </c>
      <c r="AQ162" s="24">
        <f t="shared" si="169"/>
        <v>6.1206742264926062E-2</v>
      </c>
      <c r="AR162" s="24">
        <f t="shared" si="169"/>
        <v>5.8889003028288478E-2</v>
      </c>
      <c r="AS162" s="24">
        <f t="shared" si="169"/>
        <v>5.5803345405538884E-2</v>
      </c>
      <c r="AT162" s="24">
        <f t="shared" si="169"/>
        <v>5.3372624742525465E-2</v>
      </c>
      <c r="AU162"/>
      <c r="AV162" s="118">
        <f>IFERROR(INDEX('Fuel Model - Calculation'!$B$2:$M$3771,(MATCH(($E162&amp;"Results"&amp;$AV$140&amp;$F162&amp;"USD/ton"),'Fuel Model - Calculation'!$B$2:$B$3771,0)),MATCH(H$141,'Fuel Model - Calculation'!$B$2:$M$2,0)),0)</f>
        <v>457.85913608738241</v>
      </c>
      <c r="AW162" s="118">
        <f>IFERROR(INDEX('Fuel Model - Calculation'!$B$2:$M$3771,(MATCH(($E162&amp;"Results"&amp;$AV$140&amp;$F162&amp;"USD/ton"),'Fuel Model - Calculation'!$B$2:$B$3771,0)),MATCH(I$141,'Fuel Model - Calculation'!$B$2:$M$2,0)),0)</f>
        <v>370.51665394078952</v>
      </c>
      <c r="AX162" s="118">
        <f>IFERROR(INDEX('Fuel Model - Calculation'!$B$2:$M$3771,(MATCH(($E162&amp;"Results"&amp;$AV$140&amp;$F162&amp;"USD/ton"),'Fuel Model - Calculation'!$B$2:$B$3771,0)),MATCH(J$141,'Fuel Model - Calculation'!$B$2:$M$2,0)),0)</f>
        <v>292.19699484282427</v>
      </c>
      <c r="AY162" s="118">
        <f>IFERROR(INDEX('Fuel Model - Calculation'!$B$2:$M$3771,(MATCH(($E162&amp;"Results"&amp;$AV$140&amp;$F162&amp;"USD/ton"),'Fuel Model - Calculation'!$B$2:$B$3771,0)),MATCH(K$141,'Fuel Model - Calculation'!$B$2:$M$2,0)),0)</f>
        <v>278.46318391967247</v>
      </c>
      <c r="AZ162" s="118">
        <f>IFERROR(INDEX('Fuel Model - Calculation'!$B$2:$M$3771,(MATCH(($E162&amp;"Results"&amp;$AV$140&amp;$F162&amp;"USD/ton"),'Fuel Model - Calculation'!$B$2:$B$3771,0)),MATCH(L$141,'Fuel Model - Calculation'!$B$2:$M$2,0)),0)</f>
        <v>248.87379575721386</v>
      </c>
      <c r="BA162" s="118">
        <f>IFERROR(INDEX('Fuel Model - Calculation'!$B$2:$M$3771,(MATCH(($E162&amp;"Results"&amp;$AV$140&amp;$F162&amp;"USD/ton"),'Fuel Model - Calculation'!$B$2:$B$3771,0)),MATCH(M$141,'Fuel Model - Calculation'!$B$2:$M$2,0)),0)</f>
        <v>199.83852877932546</v>
      </c>
      <c r="BB162" s="118">
        <f>IFERROR(INDEX('Fuel Model - Calculation'!$B$2:$M$3771,(MATCH(($E162&amp;"Results"&amp;$AV$140&amp;$F162&amp;"USD/ton"),'Fuel Model - Calculation'!$B$2:$B$3771,0)),MATCH(N$141,'Fuel Model - Calculation'!$B$2:$M$2,0)),0)</f>
        <v>142.49674378576751</v>
      </c>
      <c r="BC162"/>
      <c r="BD162" s="118">
        <f>IFERROR(INDEX('Fuel Model - Calculation'!$B$2:$M$3771,(MATCH(($E162&amp;"Results"&amp;$BD$140&amp;$F162&amp;"USD/ton"),'Fuel Model - Calculation'!$B$2:$B$3771,0)),MATCH(P$141,'Fuel Model - Calculation'!$B$2:$M$2,0)),0)</f>
        <v>318.87450817832831</v>
      </c>
      <c r="BE162" s="118">
        <f>IFERROR(INDEX('Fuel Model - Calculation'!$B$2:$M$3771,(MATCH(($E162&amp;"Results"&amp;$BD$140&amp;$F162&amp;"USD/ton"),'Fuel Model - Calculation'!$B$2:$B$3771,0)),MATCH(Q$141,'Fuel Model - Calculation'!$B$2:$M$2,0)),0)</f>
        <v>260.00097132787192</v>
      </c>
      <c r="BF162" s="118">
        <f>IFERROR(INDEX('Fuel Model - Calculation'!$B$2:$M$3771,(MATCH(($E162&amp;"Results"&amp;$BD$140&amp;$F162&amp;"USD/ton"),'Fuel Model - Calculation'!$B$2:$B$3771,0)),MATCH(R$141,'Fuel Model - Calculation'!$B$2:$M$2,0)),0)</f>
        <v>204.11232794953355</v>
      </c>
      <c r="BG162" s="118">
        <f>IFERROR(INDEX('Fuel Model - Calculation'!$B$2:$M$3771,(MATCH(($E162&amp;"Results"&amp;$BD$140&amp;$F162&amp;"USD/ton"),'Fuel Model - Calculation'!$B$2:$B$3771,0)),MATCH(S$141,'Fuel Model - Calculation'!$B$2:$M$2,0)),0)</f>
        <v>184.10192321244199</v>
      </c>
      <c r="BH162" s="118">
        <f>IFERROR(INDEX('Fuel Model - Calculation'!$B$2:$M$3771,(MATCH(($E162&amp;"Results"&amp;$BD$140&amp;$F162&amp;"USD/ton"),'Fuel Model - Calculation'!$B$2:$B$3771,0)),MATCH(T$141,'Fuel Model - Calculation'!$B$2:$M$2,0)),0)</f>
        <v>149.83631301186713</v>
      </c>
      <c r="BI162" s="118">
        <f>IFERROR(INDEX('Fuel Model - Calculation'!$B$2:$M$3771,(MATCH(($E162&amp;"Results"&amp;$BD$140&amp;$F162&amp;"USD/ton"),'Fuel Model - Calculation'!$B$2:$B$3771,0)),MATCH(U$141,'Fuel Model - Calculation'!$B$2:$M$2,0)),0)</f>
        <v>109.25287439219724</v>
      </c>
      <c r="BJ162" s="118">
        <f>IFERROR(INDEX('Fuel Model - Calculation'!$B$2:$M$3771,(MATCH(($E162&amp;"Results"&amp;$BD$140&amp;$F162&amp;"USD/ton"),'Fuel Model - Calculation'!$B$2:$B$3771,0)),MATCH(V$141,'Fuel Model - Calculation'!$B$2:$M$2,0)),0)</f>
        <v>72.150513068036616</v>
      </c>
      <c r="BL162" s="118">
        <f>IFERROR(IFERROR(INDEX('Fuel Model - Calculation'!$B$2:$M$3771,(MATCH(($E162&amp;"Results"&amp;$BL$140&amp;$F162&amp;"USD/ton"),'Fuel Model - Calculation'!$B$2:$B$3771,0)),MATCH(H$141,'Fuel Model - Calculation'!$B$2:$M$2,0)),0),0)</f>
        <v>534.95312479678273</v>
      </c>
      <c r="BM162" s="118">
        <f>IFERROR(IFERROR(INDEX('Fuel Model - Calculation'!$B$2:$M$3771,(MATCH(($E162&amp;"Results"&amp;$BL$140&amp;$F162&amp;"USD/ton"),'Fuel Model - Calculation'!$B$2:$B$3771,0)),MATCH(I$141,'Fuel Model - Calculation'!$B$2:$M$2,0)),0),0)</f>
        <v>369.02160801541032</v>
      </c>
      <c r="BN162" s="118">
        <f>IFERROR(IFERROR(INDEX('Fuel Model - Calculation'!$B$2:$M$3771,(MATCH(($E162&amp;"Results"&amp;$BL$140&amp;$F162&amp;"USD/ton"),'Fuel Model - Calculation'!$B$2:$B$3771,0)),MATCH(J$141,'Fuel Model - Calculation'!$B$2:$M$2,0)),0),0)</f>
        <v>290.85728027244699</v>
      </c>
      <c r="BO162" s="118">
        <f>IFERROR(IFERROR(INDEX('Fuel Model - Calculation'!$B$2:$M$3771,(MATCH(($E162&amp;"Results"&amp;$BL$140&amp;$F162&amp;"USD/ton"),'Fuel Model - Calculation'!$B$2:$B$3771,0)),MATCH(K$141,'Fuel Model - Calculation'!$B$2:$M$2,0)),0),0)</f>
        <v>234.43065365475599</v>
      </c>
      <c r="BP162" s="118">
        <f>IFERROR(IFERROR(INDEX('Fuel Model - Calculation'!$B$2:$M$3771,(MATCH(($E162&amp;"Results"&amp;$BL$140&amp;$F162&amp;"USD/ton"),'Fuel Model - Calculation'!$B$2:$B$3771,0)),MATCH(L$141,'Fuel Model - Calculation'!$B$2:$M$2,0)),0),0)</f>
        <v>196.54748744098973</v>
      </c>
      <c r="BQ162" s="118">
        <f>IFERROR(IFERROR(INDEX('Fuel Model - Calculation'!$B$2:$M$3771,(MATCH(($E162&amp;"Results"&amp;$BL$140&amp;$F162&amp;"USD/ton"),'Fuel Model - Calculation'!$B$2:$B$3771,0)),MATCH(M$141,'Fuel Model - Calculation'!$B$2:$M$2,0)),0),0)</f>
        <v>163.465508253596</v>
      </c>
      <c r="BR162" s="118">
        <f>IFERROR(IFERROR(INDEX('Fuel Model - Calculation'!$B$2:$M$3771,(MATCH(($E162&amp;"Results"&amp;$BL$140&amp;$F162&amp;"USD/ton"),'Fuel Model - Calculation'!$B$2:$B$3771,0)),MATCH(N$141,'Fuel Model - Calculation'!$B$2:$M$2,0)),0),0)</f>
        <v>140.28233129548687</v>
      </c>
      <c r="BT162" s="118">
        <f>IFERROR(INDEX('Fuel Model - Calculation'!$B$2:$M$3771,(MATCH(($E162&amp;"Results"&amp;$BT$140&amp;$F162&amp;"USD/ton"),'Fuel Model - Calculation'!$B$2:$B$3771,0)),MATCH(H$141,'Fuel Model - Calculation'!$B$2:$M$2,0)),0)</f>
        <v>0</v>
      </c>
      <c r="BU162" s="118">
        <f>IFERROR(INDEX('Fuel Model - Calculation'!$B$2:$M$3771,(MATCH(($E162&amp;"Results"&amp;$BT$140&amp;$F162&amp;"USD/ton"),'Fuel Model - Calculation'!$B$2:$B$3771,0)),MATCH(I$141,'Fuel Model - Calculation'!$B$2:$M$2,0)),0)</f>
        <v>0</v>
      </c>
      <c r="BV162" s="118">
        <f>IFERROR(INDEX('Fuel Model - Calculation'!$B$2:$M$3771,(MATCH(($E162&amp;"Results"&amp;$BT$140&amp;$F162&amp;"USD/ton"),'Fuel Model - Calculation'!$B$2:$B$3771,0)),MATCH(J$141,'Fuel Model - Calculation'!$B$2:$M$2,0)),0)</f>
        <v>0</v>
      </c>
      <c r="BW162" s="118">
        <f>IFERROR(INDEX('Fuel Model - Calculation'!$B$2:$M$3771,(MATCH(($E162&amp;"Results"&amp;$BT$140&amp;$F162&amp;"USD/ton"),'Fuel Model - Calculation'!$B$2:$B$3771,0)),MATCH(K$141,'Fuel Model - Calculation'!$B$2:$M$2,0)),0)</f>
        <v>0</v>
      </c>
      <c r="BX162" s="118">
        <f>IFERROR(INDEX('Fuel Model - Calculation'!$B$2:$M$3771,(MATCH(($E162&amp;"Results"&amp;$BT$140&amp;$F162&amp;"USD/ton"),'Fuel Model - Calculation'!$B$2:$B$3771,0)),MATCH(L$141,'Fuel Model - Calculation'!$B$2:$M$2,0)),0)</f>
        <v>0</v>
      </c>
      <c r="BY162" s="118">
        <f>IFERROR(INDEX('Fuel Model - Calculation'!$B$2:$M$3771,(MATCH(($E162&amp;"Results"&amp;$BT$140&amp;$F162&amp;"USD/ton"),'Fuel Model - Calculation'!$B$2:$B$3771,0)),MATCH(M$141,'Fuel Model - Calculation'!$B$2:$M$2,0)),0)</f>
        <v>0</v>
      </c>
      <c r="BZ162" s="118">
        <f>IFERROR(INDEX('Fuel Model - Calculation'!$B$2:$M$3771,(MATCH(($E162&amp;"Results"&amp;$BT$140&amp;$F162&amp;"USD/ton"),'Fuel Model - Calculation'!$B$2:$B$3771,0)),MATCH(N$141,'Fuel Model - Calculation'!$B$2:$M$2,0)),0)</f>
        <v>0</v>
      </c>
    </row>
    <row r="163" spans="1:78" x14ac:dyDescent="0.2">
      <c r="A163" s="452"/>
      <c r="B163" s="453" t="str">
        <f>_xlfn.TEXTJOIN(keydelim,TRUE,F163,IF(E163="Africa","Africa&amp;other",E163),"Fuel cost",SUBSTITUTE($G163," ",""))</f>
        <v>e-Methanol (DAC) - Americas - Fuel cost - USD/ton</v>
      </c>
      <c r="D163" s="459" t="str">
        <f t="shared" si="170"/>
        <v>Americase-Methanol (DAC)</v>
      </c>
      <c r="E163" t="s">
        <v>199</v>
      </c>
      <c r="F163" s="460" t="s">
        <v>587</v>
      </c>
      <c r="G163" t="s">
        <v>835</v>
      </c>
      <c r="H163" s="118">
        <f>INDEX('Fuel Model - Calculation'!$B$2:$M$3771,(MATCH(($E163&amp;"ResultsCost of "&amp;$F163&amp;"USD/ton"),'Fuel Model - Calculation'!$B$2:$B$3771,0)),MATCH(H$141,'Fuel Model - Calculation'!$B$2:$M$2,0))</f>
        <v>1599.701955074283</v>
      </c>
      <c r="I163" s="118">
        <f>INDEX('Fuel Model - Calculation'!$B$2:$M$3771,(MATCH(($E163&amp;"ResultsCost of "&amp;$F163&amp;"USD/ton"),'Fuel Model - Calculation'!$B$2:$B$3771,0)),MATCH(I$141,'Fuel Model - Calculation'!$B$2:$M$2,0))</f>
        <v>1347.1640971238955</v>
      </c>
      <c r="J163" s="118">
        <f>INDEX('Fuel Model - Calculation'!$B$2:$M$3771,(MATCH(($E163&amp;"ResultsCost of "&amp;$F163&amp;"USD/ton"),'Fuel Model - Calculation'!$B$2:$B$3771,0)),MATCH(J$141,'Fuel Model - Calculation'!$B$2:$M$2,0))</f>
        <v>1072.8422699490416</v>
      </c>
      <c r="K163" s="118">
        <f>INDEX('Fuel Model - Calculation'!$B$2:$M$3771,(MATCH(($E163&amp;"ResultsCost of "&amp;$F163&amp;"USD/ton"),'Fuel Model - Calculation'!$B$2:$B$3771,0)),MATCH(K$141,'Fuel Model - Calculation'!$B$2:$M$2,0))</f>
        <v>953.52029031405357</v>
      </c>
      <c r="L163" s="118">
        <f>INDEX('Fuel Model - Calculation'!$B$2:$M$3771,(MATCH(($E163&amp;"ResultsCost of "&amp;$F163&amp;"USD/ton"),'Fuel Model - Calculation'!$B$2:$B$3771,0)),MATCH(L$141,'Fuel Model - Calculation'!$B$2:$M$2,0))</f>
        <v>818.81890089539797</v>
      </c>
      <c r="M163" s="118">
        <f>INDEX('Fuel Model - Calculation'!$B$2:$M$3771,(MATCH(($E163&amp;"ResultsCost of "&amp;$F163&amp;"USD/ton"),'Fuel Model - Calculation'!$B$2:$B$3771,0)),MATCH(M$141,'Fuel Model - Calculation'!$B$2:$M$2,0))</f>
        <v>682.21447276102924</v>
      </c>
      <c r="N163" s="118">
        <f>INDEX('Fuel Model - Calculation'!$B$2:$M$3771,(MATCH(($E163&amp;"ResultsCost of "&amp;$F163&amp;"USD/ton"),'Fuel Model - Calculation'!$B$2:$B$3771,0)),MATCH(N$141,'Fuel Model - Calculation'!$B$2:$M$2,0))</f>
        <v>550.900047298392</v>
      </c>
      <c r="O163"/>
      <c r="P163" s="118">
        <f>IFERROR(INDEX('Fuel Model - Calculation'!G$2:G$3771,(MATCH(($E163&amp;"ResultsTotal RNE "&amp;$F163&amp;"USD/ton"),'Fuel Model - Calculation'!$B$2:$B$3771,0))),0)</f>
        <v>465.28920969100091</v>
      </c>
      <c r="Q163" s="118">
        <f>IFERROR(INDEX('Fuel Model - Calculation'!H$2:H$3771,(MATCH(($E163&amp;"ResultsTotal RNE "&amp;$F163&amp;"USD/ton"),'Fuel Model - Calculation'!$B$2:$B$3771,0))),0)</f>
        <v>418.23621392454953</v>
      </c>
      <c r="R163" s="118">
        <f>IFERROR(INDEX('Fuel Model - Calculation'!I$2:I$3771,(MATCH(($E163&amp;"ResultsTotal RNE "&amp;$F163&amp;"USD/ton"),'Fuel Model - Calculation'!$B$2:$B$3771,0))),0)</f>
        <v>337.98030926292438</v>
      </c>
      <c r="S163" s="118">
        <f>IFERROR(INDEX('Fuel Model - Calculation'!J$2:J$3771,(MATCH(($E163&amp;"ResultsTotal RNE "&amp;$F163&amp;"USD/ton"),'Fuel Model - Calculation'!$B$2:$B$3771,0))),0)</f>
        <v>292.42829699277434</v>
      </c>
      <c r="T163" s="118">
        <f>IFERROR(INDEX('Fuel Model - Calculation'!K$2:K$3771,(MATCH(($E163&amp;"ResultsTotal RNE "&amp;$F163&amp;"USD/ton"),'Fuel Model - Calculation'!$B$2:$B$3771,0))),0)</f>
        <v>253.88536252690761</v>
      </c>
      <c r="U163" s="118">
        <f>IFERROR(INDEX('Fuel Model - Calculation'!L$2:L$3771,(MATCH(($E163&amp;"ResultsTotal RNE "&amp;$F163&amp;"USD/ton"),'Fuel Model - Calculation'!$B$2:$B$3771,0))),0)</f>
        <v>230.0956145512128</v>
      </c>
      <c r="V163" s="118">
        <f>IFERROR(INDEX('Fuel Model - Calculation'!M$2:M$3771,(MATCH(($E163&amp;"ResultsTotal RNE "&amp;$F163&amp;"USD/ton"),'Fuel Model - Calculation'!$B$2:$B$3771,0))),0)</f>
        <v>212.50609222673467</v>
      </c>
      <c r="W163"/>
      <c r="X163" s="2">
        <f>INDEX('Fuel Model - Calculation'!$E$2:$M$3771,(MATCH(("WTT Emission - "&amp;$F163),'Fuel Model - Calculation'!$E$2:$E$3771,0)),MATCH(X$141,'Fuel Model - Calculation'!$E$2:$M$2,0))</f>
        <v>-1.3108780207988588</v>
      </c>
      <c r="Y163" s="2">
        <f>INDEX('Fuel Model - Calculation'!$E$2:$M$3771,(MATCH(("WTT Emission - "&amp;$F163),'Fuel Model - Calculation'!$E$2:$E$3771,0)),MATCH(Y$141,'Fuel Model - Calculation'!$E$2:$M$2,0))</f>
        <v>-1.3111366188752263</v>
      </c>
      <c r="Z163" s="2">
        <f>INDEX('Fuel Model - Calculation'!$E$2:$M$3771,(MATCH(("WTT Emission - "&amp;$F163),'Fuel Model - Calculation'!$E$2:$E$3771,0)),MATCH(Z$141,'Fuel Model - Calculation'!$E$2:$M$2,0))</f>
        <v>-1.3118632631235476</v>
      </c>
      <c r="AA163" s="2">
        <f>INDEX('Fuel Model - Calculation'!$E$2:$M$3771,(MATCH(("WTT Emission - "&amp;$F163),'Fuel Model - Calculation'!$E$2:$E$3771,0)),MATCH(AA$141,'Fuel Model - Calculation'!$E$2:$M$2,0))</f>
        <v>-1.3137932577350739</v>
      </c>
      <c r="AB163" s="2">
        <f>INDEX('Fuel Model - Calculation'!$E$2:$M$3771,(MATCH(("WTT Emission - "&amp;$F163),'Fuel Model - Calculation'!$E$2:$E$3771,0)),MATCH(AB$141,'Fuel Model - Calculation'!$E$2:$M$2,0))</f>
        <v>-1.3161109969717115</v>
      </c>
      <c r="AC163" s="2">
        <f>INDEX('Fuel Model - Calculation'!$E$2:$M$3771,(MATCH(("WTT Emission - "&amp;$F163),'Fuel Model - Calculation'!$E$2:$E$3771,0)),MATCH(AC$141,'Fuel Model - Calculation'!$E$2:$M$2,0))</f>
        <v>-1.3191966545944611</v>
      </c>
      <c r="AD163" s="2">
        <f>INDEX('Fuel Model - Calculation'!$E$2:$M$3771,(MATCH(("WTT Emission - "&amp;$F163),'Fuel Model - Calculation'!$E$2:$E$3771,0)),MATCH(AD$141,'Fuel Model - Calculation'!$E$2:$M$2,0))</f>
        <v>-1.3216273752574745</v>
      </c>
      <c r="AE163" s="2"/>
      <c r="AF163" s="2">
        <f>'Fuel Model -  Input'!H$51</f>
        <v>1.375</v>
      </c>
      <c r="AG163" s="2">
        <f>'Fuel Model -  Input'!I$51</f>
        <v>1.375</v>
      </c>
      <c r="AH163" s="2">
        <f>'Fuel Model -  Input'!J$51</f>
        <v>1.375</v>
      </c>
      <c r="AI163" s="2">
        <f>'Fuel Model -  Input'!K$51</f>
        <v>1.375</v>
      </c>
      <c r="AJ163" s="2">
        <f>'Fuel Model -  Input'!L$51</f>
        <v>1.375</v>
      </c>
      <c r="AK163" s="2">
        <f>'Fuel Model -  Input'!M$51</f>
        <v>1.375</v>
      </c>
      <c r="AL163" s="2">
        <f>'Fuel Model -  Input'!N$51</f>
        <v>1.375</v>
      </c>
      <c r="AM163"/>
      <c r="AN163" s="24">
        <f t="shared" si="169"/>
        <v>6.4121979201141155E-2</v>
      </c>
      <c r="AO163" s="24">
        <f t="shared" si="169"/>
        <v>6.3863381124773744E-2</v>
      </c>
      <c r="AP163" s="24">
        <f t="shared" si="169"/>
        <v>6.3136736876452382E-2</v>
      </c>
      <c r="AQ163" s="24">
        <f t="shared" si="169"/>
        <v>6.1206742264926062E-2</v>
      </c>
      <c r="AR163" s="24">
        <f t="shared" si="169"/>
        <v>5.8889003028288478E-2</v>
      </c>
      <c r="AS163" s="24">
        <f t="shared" si="169"/>
        <v>5.5803345405538884E-2</v>
      </c>
      <c r="AT163" s="24">
        <f t="shared" si="169"/>
        <v>5.3372624742525465E-2</v>
      </c>
      <c r="AU163"/>
      <c r="AV163" s="118">
        <f>IFERROR(INDEX('Fuel Model - Calculation'!$B$2:$M$3771,(MATCH(($E163&amp;"Results"&amp;$AV$140&amp;$F163&amp;"USD/ton"),'Fuel Model - Calculation'!$B$2:$B$3771,0)),MATCH(H$141,'Fuel Model - Calculation'!$B$2:$M$2,0)),0)</f>
        <v>457.85913608738241</v>
      </c>
      <c r="AW163" s="118">
        <f>IFERROR(INDEX('Fuel Model - Calculation'!$B$2:$M$3771,(MATCH(($E163&amp;"Results"&amp;$AV$140&amp;$F163&amp;"USD/ton"),'Fuel Model - Calculation'!$B$2:$B$3771,0)),MATCH(I$141,'Fuel Model - Calculation'!$B$2:$M$2,0)),0)</f>
        <v>370.51665394078952</v>
      </c>
      <c r="AX163" s="118">
        <f>IFERROR(INDEX('Fuel Model - Calculation'!$B$2:$M$3771,(MATCH(($E163&amp;"Results"&amp;$AV$140&amp;$F163&amp;"USD/ton"),'Fuel Model - Calculation'!$B$2:$B$3771,0)),MATCH(J$141,'Fuel Model - Calculation'!$B$2:$M$2,0)),0)</f>
        <v>292.19699484282427</v>
      </c>
      <c r="AY163" s="118">
        <f>IFERROR(INDEX('Fuel Model - Calculation'!$B$2:$M$3771,(MATCH(($E163&amp;"Results"&amp;$AV$140&amp;$F163&amp;"USD/ton"),'Fuel Model - Calculation'!$B$2:$B$3771,0)),MATCH(K$141,'Fuel Model - Calculation'!$B$2:$M$2,0)),0)</f>
        <v>278.46318391967247</v>
      </c>
      <c r="AZ163" s="118">
        <f>IFERROR(INDEX('Fuel Model - Calculation'!$B$2:$M$3771,(MATCH(($E163&amp;"Results"&amp;$AV$140&amp;$F163&amp;"USD/ton"),'Fuel Model - Calculation'!$B$2:$B$3771,0)),MATCH(L$141,'Fuel Model - Calculation'!$B$2:$M$2,0)),0)</f>
        <v>248.87379575721388</v>
      </c>
      <c r="BA163" s="118">
        <f>IFERROR(INDEX('Fuel Model - Calculation'!$B$2:$M$3771,(MATCH(($E163&amp;"Results"&amp;$AV$140&amp;$F163&amp;"USD/ton"),'Fuel Model - Calculation'!$B$2:$B$3771,0)),MATCH(M$141,'Fuel Model - Calculation'!$B$2:$M$2,0)),0)</f>
        <v>199.83852877932543</v>
      </c>
      <c r="BB163" s="118">
        <f>IFERROR(INDEX('Fuel Model - Calculation'!$B$2:$M$3771,(MATCH(($E163&amp;"Results"&amp;$AV$140&amp;$F163&amp;"USD/ton"),'Fuel Model - Calculation'!$B$2:$B$3771,0)),MATCH(N$141,'Fuel Model - Calculation'!$B$2:$M$2,0)),0)</f>
        <v>142.49674378576751</v>
      </c>
      <c r="BC163"/>
      <c r="BD163" s="118">
        <f>IFERROR(INDEX('Fuel Model - Calculation'!$B$2:$M$3771,(MATCH(($E163&amp;"Results"&amp;$BD$140&amp;$F163&amp;"USD/ton"),'Fuel Model - Calculation'!$B$2:$B$3771,0)),MATCH(P$141,'Fuel Model - Calculation'!$B$2:$M$2,0)),0)</f>
        <v>318.87450817832837</v>
      </c>
      <c r="BE163" s="118">
        <f>IFERROR(INDEX('Fuel Model - Calculation'!$B$2:$M$3771,(MATCH(($E163&amp;"Results"&amp;$BD$140&amp;$F163&amp;"USD/ton"),'Fuel Model - Calculation'!$B$2:$B$3771,0)),MATCH(Q$141,'Fuel Model - Calculation'!$B$2:$M$2,0)),0)</f>
        <v>260.00097132787198</v>
      </c>
      <c r="BF163" s="118">
        <f>IFERROR(INDEX('Fuel Model - Calculation'!$B$2:$M$3771,(MATCH(($E163&amp;"Results"&amp;$BD$140&amp;$F163&amp;"USD/ton"),'Fuel Model - Calculation'!$B$2:$B$3771,0)),MATCH(R$141,'Fuel Model - Calculation'!$B$2:$M$2,0)),0)</f>
        <v>204.11232794953349</v>
      </c>
      <c r="BG163" s="118">
        <f>IFERROR(INDEX('Fuel Model - Calculation'!$B$2:$M$3771,(MATCH(($E163&amp;"Results"&amp;$BD$140&amp;$F163&amp;"USD/ton"),'Fuel Model - Calculation'!$B$2:$B$3771,0)),MATCH(S$141,'Fuel Model - Calculation'!$B$2:$M$2,0)),0)</f>
        <v>184.10192321244187</v>
      </c>
      <c r="BH163" s="118">
        <f>IFERROR(INDEX('Fuel Model - Calculation'!$B$2:$M$3771,(MATCH(($E163&amp;"Results"&amp;$BD$140&amp;$F163&amp;"USD/ton"),'Fuel Model - Calculation'!$B$2:$B$3771,0)),MATCH(T$141,'Fuel Model - Calculation'!$B$2:$M$2,0)),0)</f>
        <v>149.83631301186711</v>
      </c>
      <c r="BI163" s="118">
        <f>IFERROR(INDEX('Fuel Model - Calculation'!$B$2:$M$3771,(MATCH(($E163&amp;"Results"&amp;$BD$140&amp;$F163&amp;"USD/ton"),'Fuel Model - Calculation'!$B$2:$B$3771,0)),MATCH(U$141,'Fuel Model - Calculation'!$B$2:$M$2,0)),0)</f>
        <v>109.25287439219721</v>
      </c>
      <c r="BJ163" s="118">
        <f>IFERROR(INDEX('Fuel Model - Calculation'!$B$2:$M$3771,(MATCH(($E163&amp;"Results"&amp;$BD$140&amp;$F163&amp;"USD/ton"),'Fuel Model - Calculation'!$B$2:$B$3771,0)),MATCH(V$141,'Fuel Model - Calculation'!$B$2:$M$2,0)),0)</f>
        <v>72.15051306803656</v>
      </c>
      <c r="BL163" s="118">
        <f>IFERROR(IFERROR(INDEX('Fuel Model - Calculation'!$B$2:$M$3771,(MATCH(($E163&amp;"Results"&amp;$BL$140&amp;$F163&amp;"USD/ton"),'Fuel Model - Calculation'!$B$2:$B$3771,0)),MATCH(H$141,'Fuel Model - Calculation'!$B$2:$M$2,0)),0),0)</f>
        <v>357.67910111757112</v>
      </c>
      <c r="BM163" s="118">
        <f>IFERROR(IFERROR(INDEX('Fuel Model - Calculation'!$B$2:$M$3771,(MATCH(($E163&amp;"Results"&amp;$BL$140&amp;$F163&amp;"USD/ton"),'Fuel Model - Calculation'!$B$2:$B$3771,0)),MATCH(I$141,'Fuel Model - Calculation'!$B$2:$M$2,0)),0),0)</f>
        <v>298.41025793068457</v>
      </c>
      <c r="BN163" s="118">
        <f>IFERROR(IFERROR(INDEX('Fuel Model - Calculation'!$B$2:$M$3771,(MATCH(($E163&amp;"Results"&amp;$BL$140&amp;$F163&amp;"USD/ton"),'Fuel Model - Calculation'!$B$2:$B$3771,0)),MATCH(J$141,'Fuel Model - Calculation'!$B$2:$M$2,0)),0),0)</f>
        <v>238.55263789375931</v>
      </c>
      <c r="BO163" s="118">
        <f>IFERROR(IFERROR(INDEX('Fuel Model - Calculation'!$B$2:$M$3771,(MATCH(($E163&amp;"Results"&amp;$BL$140&amp;$F163&amp;"USD/ton"),'Fuel Model - Calculation'!$B$2:$B$3771,0)),MATCH(K$141,'Fuel Model - Calculation'!$B$2:$M$2,0)),0),0)</f>
        <v>198.52688618916488</v>
      </c>
      <c r="BP163" s="118">
        <f>IFERROR(IFERROR(INDEX('Fuel Model - Calculation'!$B$2:$M$3771,(MATCH(($E163&amp;"Results"&amp;$BL$140&amp;$F163&amp;"USD/ton"),'Fuel Model - Calculation'!$B$2:$B$3771,0)),MATCH(L$141,'Fuel Model - Calculation'!$B$2:$M$2,0)),0),0)</f>
        <v>166.2234295994094</v>
      </c>
      <c r="BQ163" s="118">
        <f>IFERROR(IFERROR(INDEX('Fuel Model - Calculation'!$B$2:$M$3771,(MATCH(($E163&amp;"Results"&amp;$BL$140&amp;$F163&amp;"USD/ton"),'Fuel Model - Calculation'!$B$2:$B$3771,0)),MATCH(M$141,'Fuel Model - Calculation'!$B$2:$M$2,0)),0),0)</f>
        <v>143.02745503829388</v>
      </c>
      <c r="BR163" s="118">
        <f>IFERROR(IFERROR(INDEX('Fuel Model - Calculation'!$B$2:$M$3771,(MATCH(($E163&amp;"Results"&amp;$BL$140&amp;$F163&amp;"USD/ton"),'Fuel Model - Calculation'!$B$2:$B$3771,0)),MATCH(N$141,'Fuel Model - Calculation'!$B$2:$M$2,0)),0),0)</f>
        <v>123.74669821785328</v>
      </c>
      <c r="BT163" s="118">
        <f>IFERROR(INDEX('Fuel Model - Calculation'!$B$2:$M$3771,(MATCH(($E163&amp;"Results"&amp;$BT$140&amp;$F163&amp;"USD/ton"),'Fuel Model - Calculation'!$B$2:$B$3771,0)),MATCH(H$141,'Fuel Model - Calculation'!$B$2:$M$2,0)),0)</f>
        <v>0</v>
      </c>
      <c r="BU163" s="118">
        <f>IFERROR(INDEX('Fuel Model - Calculation'!$B$2:$M$3771,(MATCH(($E163&amp;"Results"&amp;$BT$140&amp;$F163&amp;"USD/ton"),'Fuel Model - Calculation'!$B$2:$B$3771,0)),MATCH(I$141,'Fuel Model - Calculation'!$B$2:$M$2,0)),0)</f>
        <v>0</v>
      </c>
      <c r="BV163" s="118">
        <f>IFERROR(INDEX('Fuel Model - Calculation'!$B$2:$M$3771,(MATCH(($E163&amp;"Results"&amp;$BT$140&amp;$F163&amp;"USD/ton"),'Fuel Model - Calculation'!$B$2:$B$3771,0)),MATCH(J$141,'Fuel Model - Calculation'!$B$2:$M$2,0)),0)</f>
        <v>0</v>
      </c>
      <c r="BW163" s="118">
        <f>IFERROR(INDEX('Fuel Model - Calculation'!$B$2:$M$3771,(MATCH(($E163&amp;"Results"&amp;$BT$140&amp;$F163&amp;"USD/ton"),'Fuel Model - Calculation'!$B$2:$B$3771,0)),MATCH(K$141,'Fuel Model - Calculation'!$B$2:$M$2,0)),0)</f>
        <v>0</v>
      </c>
      <c r="BX163" s="118">
        <f>IFERROR(INDEX('Fuel Model - Calculation'!$B$2:$M$3771,(MATCH(($E163&amp;"Results"&amp;$BT$140&amp;$F163&amp;"USD/ton"),'Fuel Model - Calculation'!$B$2:$B$3771,0)),MATCH(L$141,'Fuel Model - Calculation'!$B$2:$M$2,0)),0)</f>
        <v>0</v>
      </c>
      <c r="BY163" s="118">
        <f>IFERROR(INDEX('Fuel Model - Calculation'!$B$2:$M$3771,(MATCH(($E163&amp;"Results"&amp;$BT$140&amp;$F163&amp;"USD/ton"),'Fuel Model - Calculation'!$B$2:$B$3771,0)),MATCH(M$141,'Fuel Model - Calculation'!$B$2:$M$2,0)),0)</f>
        <v>0</v>
      </c>
      <c r="BZ163" s="118">
        <f>IFERROR(INDEX('Fuel Model - Calculation'!$B$2:$M$3771,(MATCH(($E163&amp;"Results"&amp;$BT$140&amp;$F163&amp;"USD/ton"),'Fuel Model - Calculation'!$B$2:$B$3771,0)),MATCH(N$141,'Fuel Model - Calculation'!$B$2:$M$2,0)),0)</f>
        <v>0</v>
      </c>
    </row>
    <row r="164" spans="1:78" x14ac:dyDescent="0.2">
      <c r="A164" s="452"/>
      <c r="B164" s="453" t="str">
        <f>_xlfn.TEXTJOIN(keydelim,TRUE,F164,IF(E164="Africa","Africa&amp;other",E164),"Fuel cost",SUBSTITUTE($G164," ",""))</f>
        <v>e-Methanol (DAC) - Africa&amp;other - Fuel cost - USD/ton</v>
      </c>
      <c r="D164" s="459" t="str">
        <f t="shared" si="170"/>
        <v>Africae-Methanol (DAC)</v>
      </c>
      <c r="E164" t="s">
        <v>200</v>
      </c>
      <c r="F164" s="460" t="s">
        <v>587</v>
      </c>
      <c r="G164" t="s">
        <v>835</v>
      </c>
      <c r="H164" s="118">
        <f>INDEX('Fuel Model - Calculation'!$B$2:$M$3771,(MATCH(($E164&amp;"ResultsCost of "&amp;$F164&amp;"USD/ton"),'Fuel Model - Calculation'!$B$2:$B$3771,0)),MATCH(H$141,'Fuel Model - Calculation'!$B$2:$M$2,0))</f>
        <v>2241.7611072863892</v>
      </c>
      <c r="I164" s="118">
        <f>INDEX('Fuel Model - Calculation'!$B$2:$M$3771,(MATCH(($E164&amp;"ResultsCost of "&amp;$F164&amp;"USD/ton"),'Fuel Model - Calculation'!$B$2:$B$3771,0)),MATCH(I$141,'Fuel Model - Calculation'!$B$2:$M$2,0))</f>
        <v>1496.8223011041359</v>
      </c>
      <c r="J164" s="118">
        <f>INDEX('Fuel Model - Calculation'!$B$2:$M$3771,(MATCH(($E164&amp;"ResultsCost of "&amp;$F164&amp;"USD/ton"),'Fuel Model - Calculation'!$B$2:$B$3771,0)),MATCH(J$141,'Fuel Model - Calculation'!$B$2:$M$2,0))</f>
        <v>1170.6947979564306</v>
      </c>
      <c r="K164" s="118">
        <f>INDEX('Fuel Model - Calculation'!$B$2:$M$3771,(MATCH(($E164&amp;"ResultsCost of "&amp;$F164&amp;"USD/ton"),'Fuel Model - Calculation'!$B$2:$B$3771,0)),MATCH(K$141,'Fuel Model - Calculation'!$B$2:$M$2,0))</f>
        <v>1014.4625980778778</v>
      </c>
      <c r="L164" s="118">
        <f>INDEX('Fuel Model - Calculation'!$B$2:$M$3771,(MATCH(($E164&amp;"ResultsCost of "&amp;$F164&amp;"USD/ton"),'Fuel Model - Calculation'!$B$2:$B$3771,0)),MATCH(L$141,'Fuel Model - Calculation'!$B$2:$M$2,0))</f>
        <v>876.99081975724937</v>
      </c>
      <c r="M164" s="118">
        <f>INDEX('Fuel Model - Calculation'!$B$2:$M$3771,(MATCH(($E164&amp;"ResultsCost of "&amp;$F164&amp;"USD/ton"),'Fuel Model - Calculation'!$B$2:$B$3771,0)),MATCH(M$141,'Fuel Model - Calculation'!$B$2:$M$2,0))</f>
        <v>716.20918293508589</v>
      </c>
      <c r="N164" s="118">
        <f>INDEX('Fuel Model - Calculation'!$B$2:$M$3771,(MATCH(($E164&amp;"ResultsCost of "&amp;$F164&amp;"USD/ton"),'Fuel Model - Calculation'!$B$2:$B$3771,0)),MATCH(N$141,'Fuel Model - Calculation'!$B$2:$M$2,0))</f>
        <v>576.83433360482968</v>
      </c>
      <c r="O164"/>
      <c r="P164" s="118">
        <f>IFERROR(INDEX('Fuel Model - Calculation'!G$2:G$3771,(MATCH(($E164&amp;"ResultsTotal RNE "&amp;$F164&amp;"USD/ton"),'Fuel Model - Calculation'!$B$2:$B$3771,0))),0)</f>
        <v>942.83595756743398</v>
      </c>
      <c r="Q164" s="118">
        <f>IFERROR(INDEX('Fuel Model - Calculation'!H$2:H$3771,(MATCH(($E164&amp;"ResultsTotal RNE "&amp;$F164&amp;"USD/ton"),'Fuel Model - Calculation'!$B$2:$B$3771,0))),0)</f>
        <v>531.32413104271575</v>
      </c>
      <c r="R164" s="118">
        <f>IFERROR(INDEX('Fuel Model - Calculation'!I$2:I$3771,(MATCH(($E164&amp;"ResultsTotal RNE "&amp;$F164&amp;"USD/ton"),'Fuel Model - Calculation'!$B$2:$B$3771,0))),0)</f>
        <v>412.91638938411882</v>
      </c>
      <c r="S164" s="118">
        <f>IFERROR(INDEX('Fuel Model - Calculation'!J$2:J$3771,(MATCH(($E164&amp;"ResultsTotal RNE "&amp;$F164&amp;"USD/ton"),'Fuel Model - Calculation'!$B$2:$B$3771,0))),0)</f>
        <v>339.49067030965722</v>
      </c>
      <c r="T164" s="118">
        <f>IFERROR(INDEX('Fuel Model - Calculation'!K$2:K$3771,(MATCH(($E164&amp;"ResultsTotal RNE "&amp;$F164&amp;"USD/ton"),'Fuel Model - Calculation'!$B$2:$B$3771,0))),0)</f>
        <v>299.09957773461997</v>
      </c>
      <c r="U164" s="118">
        <f>IFERROR(INDEX('Fuel Model - Calculation'!L$2:L$3771,(MATCH(($E164&amp;"ResultsTotal RNE "&amp;$F164&amp;"USD/ton"),'Fuel Model - Calculation'!$B$2:$B$3771,0))),0)</f>
        <v>256.59706145913032</v>
      </c>
      <c r="V164" s="118">
        <f>IFERROR(INDEX('Fuel Model - Calculation'!M$2:M$3771,(MATCH(($E164&amp;"ResultsTotal RNE "&amp;$F164&amp;"USD/ton"),'Fuel Model - Calculation'!$B$2:$B$3771,0))),0)</f>
        <v>232.82460699065984</v>
      </c>
      <c r="W164"/>
      <c r="X164" s="2">
        <f>INDEX('Fuel Model - Calculation'!$E$2:$M$3771,(MATCH(("WTT Emission - "&amp;$F164),'Fuel Model - Calculation'!$E$2:$E$3771,0)),MATCH(X$141,'Fuel Model - Calculation'!$E$2:$M$2,0))</f>
        <v>-1.3108780207988588</v>
      </c>
      <c r="Y164" s="2">
        <f>INDEX('Fuel Model - Calculation'!$E$2:$M$3771,(MATCH(("WTT Emission - "&amp;$F164),'Fuel Model - Calculation'!$E$2:$E$3771,0)),MATCH(Y$141,'Fuel Model - Calculation'!$E$2:$M$2,0))</f>
        <v>-1.3111366188752263</v>
      </c>
      <c r="Z164" s="2">
        <f>INDEX('Fuel Model - Calculation'!$E$2:$M$3771,(MATCH(("WTT Emission - "&amp;$F164),'Fuel Model - Calculation'!$E$2:$E$3771,0)),MATCH(Z$141,'Fuel Model - Calculation'!$E$2:$M$2,0))</f>
        <v>-1.3118632631235476</v>
      </c>
      <c r="AA164" s="2">
        <f>INDEX('Fuel Model - Calculation'!$E$2:$M$3771,(MATCH(("WTT Emission - "&amp;$F164),'Fuel Model - Calculation'!$E$2:$E$3771,0)),MATCH(AA$141,'Fuel Model - Calculation'!$E$2:$M$2,0))</f>
        <v>-1.3137932577350739</v>
      </c>
      <c r="AB164" s="2">
        <f>INDEX('Fuel Model - Calculation'!$E$2:$M$3771,(MATCH(("WTT Emission - "&amp;$F164),'Fuel Model - Calculation'!$E$2:$E$3771,0)),MATCH(AB$141,'Fuel Model - Calculation'!$E$2:$M$2,0))</f>
        <v>-1.3161109969717115</v>
      </c>
      <c r="AC164" s="2">
        <f>INDEX('Fuel Model - Calculation'!$E$2:$M$3771,(MATCH(("WTT Emission - "&amp;$F164),'Fuel Model - Calculation'!$E$2:$E$3771,0)),MATCH(AC$141,'Fuel Model - Calculation'!$E$2:$M$2,0))</f>
        <v>-1.3191966545944611</v>
      </c>
      <c r="AD164" s="2">
        <f>INDEX('Fuel Model - Calculation'!$E$2:$M$3771,(MATCH(("WTT Emission - "&amp;$F164),'Fuel Model - Calculation'!$E$2:$E$3771,0)),MATCH(AD$141,'Fuel Model - Calculation'!$E$2:$M$2,0))</f>
        <v>-1.3216273752574745</v>
      </c>
      <c r="AE164" s="2"/>
      <c r="AF164" s="2">
        <f>'Fuel Model -  Input'!H$51</f>
        <v>1.375</v>
      </c>
      <c r="AG164" s="2">
        <f>'Fuel Model -  Input'!I$51</f>
        <v>1.375</v>
      </c>
      <c r="AH164" s="2">
        <f>'Fuel Model -  Input'!J$51</f>
        <v>1.375</v>
      </c>
      <c r="AI164" s="2">
        <f>'Fuel Model -  Input'!K$51</f>
        <v>1.375</v>
      </c>
      <c r="AJ164" s="2">
        <f>'Fuel Model -  Input'!L$51</f>
        <v>1.375</v>
      </c>
      <c r="AK164" s="2">
        <f>'Fuel Model -  Input'!M$51</f>
        <v>1.375</v>
      </c>
      <c r="AL164" s="2">
        <f>'Fuel Model -  Input'!N$51</f>
        <v>1.375</v>
      </c>
      <c r="AM164"/>
      <c r="AN164" s="24">
        <f t="shared" si="169"/>
        <v>6.4121979201141155E-2</v>
      </c>
      <c r="AO164" s="24">
        <f t="shared" si="169"/>
        <v>6.3863381124773744E-2</v>
      </c>
      <c r="AP164" s="24">
        <f t="shared" si="169"/>
        <v>6.3136736876452382E-2</v>
      </c>
      <c r="AQ164" s="24">
        <f t="shared" si="169"/>
        <v>6.1206742264926062E-2</v>
      </c>
      <c r="AR164" s="24">
        <f t="shared" si="169"/>
        <v>5.8889003028288478E-2</v>
      </c>
      <c r="AS164" s="24">
        <f t="shared" si="169"/>
        <v>5.5803345405538884E-2</v>
      </c>
      <c r="AT164" s="24">
        <f t="shared" si="169"/>
        <v>5.3372624742525465E-2</v>
      </c>
      <c r="AU164"/>
      <c r="AV164" s="118">
        <f>IFERROR(INDEX('Fuel Model - Calculation'!$B$2:$M$3771,(MATCH(($E164&amp;"Results"&amp;$AV$140&amp;$F164&amp;"USD/ton"),'Fuel Model - Calculation'!$B$2:$B$3771,0)),MATCH(H$141,'Fuel Model - Calculation'!$B$2:$M$2,0)),0)</f>
        <v>457.85913608738241</v>
      </c>
      <c r="AW164" s="118">
        <f>IFERROR(INDEX('Fuel Model - Calculation'!$B$2:$M$3771,(MATCH(($E164&amp;"Results"&amp;$AV$140&amp;$F164&amp;"USD/ton"),'Fuel Model - Calculation'!$B$2:$B$3771,0)),MATCH(I$141,'Fuel Model - Calculation'!$B$2:$M$2,0)),0)</f>
        <v>370.51665394078952</v>
      </c>
      <c r="AX164" s="118">
        <f>IFERROR(INDEX('Fuel Model - Calculation'!$B$2:$M$3771,(MATCH(($E164&amp;"Results"&amp;$AV$140&amp;$F164&amp;"USD/ton"),'Fuel Model - Calculation'!$B$2:$B$3771,0)),MATCH(J$141,'Fuel Model - Calculation'!$B$2:$M$2,0)),0)</f>
        <v>292.19699484282421</v>
      </c>
      <c r="AY164" s="118">
        <f>IFERROR(INDEX('Fuel Model - Calculation'!$B$2:$M$3771,(MATCH(($E164&amp;"Results"&amp;$AV$140&amp;$F164&amp;"USD/ton"),'Fuel Model - Calculation'!$B$2:$B$3771,0)),MATCH(K$141,'Fuel Model - Calculation'!$B$2:$M$2,0)),0)</f>
        <v>278.46318391967247</v>
      </c>
      <c r="AZ164" s="118">
        <f>IFERROR(INDEX('Fuel Model - Calculation'!$B$2:$M$3771,(MATCH(($E164&amp;"Results"&amp;$AV$140&amp;$F164&amp;"USD/ton"),'Fuel Model - Calculation'!$B$2:$B$3771,0)),MATCH(L$141,'Fuel Model - Calculation'!$B$2:$M$2,0)),0)</f>
        <v>248.87379575721386</v>
      </c>
      <c r="BA164" s="118">
        <f>IFERROR(INDEX('Fuel Model - Calculation'!$B$2:$M$3771,(MATCH(($E164&amp;"Results"&amp;$AV$140&amp;$F164&amp;"USD/ton"),'Fuel Model - Calculation'!$B$2:$B$3771,0)),MATCH(M$141,'Fuel Model - Calculation'!$B$2:$M$2,0)),0)</f>
        <v>199.83852877932546</v>
      </c>
      <c r="BB164" s="118">
        <f>IFERROR(INDEX('Fuel Model - Calculation'!$B$2:$M$3771,(MATCH(($E164&amp;"Results"&amp;$AV$140&amp;$F164&amp;"USD/ton"),'Fuel Model - Calculation'!$B$2:$B$3771,0)),MATCH(N$141,'Fuel Model - Calculation'!$B$2:$M$2,0)),0)</f>
        <v>142.49674378576751</v>
      </c>
      <c r="BC164"/>
      <c r="BD164" s="118">
        <f>IFERROR(INDEX('Fuel Model - Calculation'!$B$2:$M$3771,(MATCH(($E164&amp;"Results"&amp;$BD$140&amp;$F164&amp;"USD/ton"),'Fuel Model - Calculation'!$B$2:$B$3771,0)),MATCH(P$141,'Fuel Model - Calculation'!$B$2:$M$2,0)),0)</f>
        <v>318.87450817832803</v>
      </c>
      <c r="BE164" s="118">
        <f>IFERROR(INDEX('Fuel Model - Calculation'!$B$2:$M$3771,(MATCH(($E164&amp;"Results"&amp;$BD$140&amp;$F164&amp;"USD/ton"),'Fuel Model - Calculation'!$B$2:$B$3771,0)),MATCH(Q$141,'Fuel Model - Calculation'!$B$2:$M$2,0)),0)</f>
        <v>260.00097132787187</v>
      </c>
      <c r="BF164" s="118">
        <f>IFERROR(INDEX('Fuel Model - Calculation'!$B$2:$M$3771,(MATCH(($E164&amp;"Results"&amp;$BD$140&amp;$F164&amp;"USD/ton"),'Fuel Model - Calculation'!$B$2:$B$3771,0)),MATCH(R$141,'Fuel Model - Calculation'!$B$2:$M$2,0)),0)</f>
        <v>204.11232794953358</v>
      </c>
      <c r="BG164" s="118">
        <f>IFERROR(INDEX('Fuel Model - Calculation'!$B$2:$M$3771,(MATCH(($E164&amp;"Results"&amp;$BD$140&amp;$F164&amp;"USD/ton"),'Fuel Model - Calculation'!$B$2:$B$3771,0)),MATCH(S$141,'Fuel Model - Calculation'!$B$2:$M$2,0)),0)</f>
        <v>184.10192321244193</v>
      </c>
      <c r="BH164" s="118">
        <f>IFERROR(INDEX('Fuel Model - Calculation'!$B$2:$M$3771,(MATCH(($E164&amp;"Results"&amp;$BD$140&amp;$F164&amp;"USD/ton"),'Fuel Model - Calculation'!$B$2:$B$3771,0)),MATCH(T$141,'Fuel Model - Calculation'!$B$2:$M$2,0)),0)</f>
        <v>149.83631301186705</v>
      </c>
      <c r="BI164" s="118">
        <f>IFERROR(INDEX('Fuel Model - Calculation'!$B$2:$M$3771,(MATCH(($E164&amp;"Results"&amp;$BD$140&amp;$F164&amp;"USD/ton"),'Fuel Model - Calculation'!$B$2:$B$3771,0)),MATCH(U$141,'Fuel Model - Calculation'!$B$2:$M$2,0)),0)</f>
        <v>109.25287439219717</v>
      </c>
      <c r="BJ164" s="118">
        <f>IFERROR(INDEX('Fuel Model - Calculation'!$B$2:$M$3771,(MATCH(($E164&amp;"Results"&amp;$BD$140&amp;$F164&amp;"USD/ton"),'Fuel Model - Calculation'!$B$2:$B$3771,0)),MATCH(V$141,'Fuel Model - Calculation'!$B$2:$M$2,0)),0)</f>
        <v>72.150513068036574</v>
      </c>
      <c r="BL164" s="118">
        <f>IFERROR(IFERROR(INDEX('Fuel Model - Calculation'!$B$2:$M$3771,(MATCH(($E164&amp;"Results"&amp;$BL$140&amp;$F164&amp;"USD/ton"),'Fuel Model - Calculation'!$B$2:$B$3771,0)),MATCH(H$141,'Fuel Model - Calculation'!$B$2:$M$2,0)),0),0)</f>
        <v>522.1915054532451</v>
      </c>
      <c r="BM164" s="118">
        <f>IFERROR(IFERROR(INDEX('Fuel Model - Calculation'!$B$2:$M$3771,(MATCH(($E164&amp;"Results"&amp;$BL$140&amp;$F164&amp;"USD/ton"),'Fuel Model - Calculation'!$B$2:$B$3771,0)),MATCH(I$141,'Fuel Model - Calculation'!$B$2:$M$2,0)),0),0)</f>
        <v>334.98054479275885</v>
      </c>
      <c r="BN164" s="118">
        <f>IFERROR(IFERROR(INDEX('Fuel Model - Calculation'!$B$2:$M$3771,(MATCH(($E164&amp;"Results"&amp;$BL$140&amp;$F164&amp;"USD/ton"),'Fuel Model - Calculation'!$B$2:$B$3771,0)),MATCH(J$141,'Fuel Model - Calculation'!$B$2:$M$2,0)),0),0)</f>
        <v>261.46908577995407</v>
      </c>
      <c r="BO164" s="118">
        <f>IFERROR(IFERROR(INDEX('Fuel Model - Calculation'!$B$2:$M$3771,(MATCH(($E164&amp;"Results"&amp;$BL$140&amp;$F164&amp;"USD/ton"),'Fuel Model - Calculation'!$B$2:$B$3771,0)),MATCH(K$141,'Fuel Model - Calculation'!$B$2:$M$2,0)),0),0)</f>
        <v>212.40682063610615</v>
      </c>
      <c r="BP164" s="118">
        <f>IFERROR(IFERROR(INDEX('Fuel Model - Calculation'!$B$2:$M$3771,(MATCH(($E164&amp;"Results"&amp;$BL$140&amp;$F164&amp;"USD/ton"),'Fuel Model - Calculation'!$B$2:$B$3771,0)),MATCH(L$141,'Fuel Model - Calculation'!$B$2:$M$2,0)),0),0)</f>
        <v>179.18113325354852</v>
      </c>
      <c r="BQ164" s="118">
        <f>IFERROR(IFERROR(INDEX('Fuel Model - Calculation'!$B$2:$M$3771,(MATCH(($E164&amp;"Results"&amp;$BL$140&amp;$F164&amp;"USD/ton"),'Fuel Model - Calculation'!$B$2:$B$3771,0)),MATCH(M$141,'Fuel Model - Calculation'!$B$2:$M$2,0)),0),0)</f>
        <v>150.5207183044329</v>
      </c>
      <c r="BR164" s="118">
        <f>IFERROR(IFERROR(INDEX('Fuel Model - Calculation'!$B$2:$M$3771,(MATCH(($E164&amp;"Results"&amp;$BL$140&amp;$F164&amp;"USD/ton"),'Fuel Model - Calculation'!$B$2:$B$3771,0)),MATCH(N$141,'Fuel Model - Calculation'!$B$2:$M$2,0)),0),0)</f>
        <v>129.36246976036574</v>
      </c>
      <c r="BT164" s="118">
        <f>IFERROR(INDEX('Fuel Model - Calculation'!$B$2:$M$3771,(MATCH(($E164&amp;"Results"&amp;$BT$140&amp;$F164&amp;"USD/ton"),'Fuel Model - Calculation'!$B$2:$B$3771,0)),MATCH(H$141,'Fuel Model - Calculation'!$B$2:$M$2,0)),0)</f>
        <v>0</v>
      </c>
      <c r="BU164" s="118">
        <f>IFERROR(INDEX('Fuel Model - Calculation'!$B$2:$M$3771,(MATCH(($E164&amp;"Results"&amp;$BT$140&amp;$F164&amp;"USD/ton"),'Fuel Model - Calculation'!$B$2:$B$3771,0)),MATCH(I$141,'Fuel Model - Calculation'!$B$2:$M$2,0)),0)</f>
        <v>0</v>
      </c>
      <c r="BV164" s="118">
        <f>IFERROR(INDEX('Fuel Model - Calculation'!$B$2:$M$3771,(MATCH(($E164&amp;"Results"&amp;$BT$140&amp;$F164&amp;"USD/ton"),'Fuel Model - Calculation'!$B$2:$B$3771,0)),MATCH(J$141,'Fuel Model - Calculation'!$B$2:$M$2,0)),0)</f>
        <v>0</v>
      </c>
      <c r="BW164" s="118">
        <f>IFERROR(INDEX('Fuel Model - Calculation'!$B$2:$M$3771,(MATCH(($E164&amp;"Results"&amp;$BT$140&amp;$F164&amp;"USD/ton"),'Fuel Model - Calculation'!$B$2:$B$3771,0)),MATCH(K$141,'Fuel Model - Calculation'!$B$2:$M$2,0)),0)</f>
        <v>0</v>
      </c>
      <c r="BX164" s="118">
        <f>IFERROR(INDEX('Fuel Model - Calculation'!$B$2:$M$3771,(MATCH(($E164&amp;"Results"&amp;$BT$140&amp;$F164&amp;"USD/ton"),'Fuel Model - Calculation'!$B$2:$B$3771,0)),MATCH(L$141,'Fuel Model - Calculation'!$B$2:$M$2,0)),0)</f>
        <v>0</v>
      </c>
      <c r="BY164" s="118">
        <f>IFERROR(INDEX('Fuel Model - Calculation'!$B$2:$M$3771,(MATCH(($E164&amp;"Results"&amp;$BT$140&amp;$F164&amp;"USD/ton"),'Fuel Model - Calculation'!$B$2:$B$3771,0)),MATCH(M$141,'Fuel Model - Calculation'!$B$2:$M$2,0)),0)</f>
        <v>0</v>
      </c>
      <c r="BZ164" s="118">
        <f>IFERROR(INDEX('Fuel Model - Calculation'!$B$2:$M$3771,(MATCH(($E164&amp;"Results"&amp;$BT$140&amp;$F164&amp;"USD/ton"),'Fuel Model - Calculation'!$B$2:$B$3771,0)),MATCH(N$141,'Fuel Model - Calculation'!$B$2:$M$2,0)),0)</f>
        <v>0</v>
      </c>
    </row>
    <row r="165" spans="1:78" x14ac:dyDescent="0.2">
      <c r="A165" s="452"/>
      <c r="B165" s="453"/>
      <c r="D165" s="74"/>
      <c r="E165"/>
      <c r="F165" s="157"/>
      <c r="G165"/>
      <c r="H165" s="118"/>
      <c r="I165"/>
      <c r="J165"/>
      <c r="K165"/>
      <c r="L165"/>
      <c r="M165"/>
      <c r="N165"/>
      <c r="O165"/>
      <c r="P165"/>
      <c r="Q165"/>
      <c r="R165"/>
      <c r="S165"/>
      <c r="T165"/>
      <c r="U165"/>
      <c r="V165"/>
      <c r="W165"/>
      <c r="X165"/>
      <c r="Y165"/>
      <c r="Z165"/>
      <c r="AA165"/>
      <c r="AB165"/>
      <c r="AC165"/>
      <c r="AD165"/>
      <c r="AE165"/>
      <c r="AF165" s="2"/>
      <c r="AG165" s="2"/>
      <c r="AH165" s="2"/>
      <c r="AI165" s="2"/>
      <c r="AJ165" s="2"/>
      <c r="AK165" s="2"/>
      <c r="AL165" s="2"/>
      <c r="AM165"/>
      <c r="AN165" s="24"/>
      <c r="AO165" s="24"/>
      <c r="AP165" s="24"/>
      <c r="AQ165" s="24"/>
      <c r="AR165" s="24"/>
      <c r="AS165" s="24"/>
      <c r="AT165" s="24"/>
      <c r="AU165"/>
      <c r="AV165" s="118"/>
      <c r="AW165" s="118"/>
      <c r="AX165" s="118"/>
      <c r="AY165" s="118"/>
      <c r="AZ165" s="118"/>
      <c r="BA165" s="118"/>
      <c r="BB165" s="118"/>
      <c r="BC165"/>
      <c r="BD165" s="118"/>
      <c r="BE165" s="118"/>
      <c r="BF165" s="118"/>
      <c r="BG165" s="118"/>
      <c r="BH165" s="118"/>
      <c r="BI165" s="118"/>
      <c r="BJ165" s="118"/>
      <c r="BL165" s="118"/>
      <c r="BM165" s="118"/>
      <c r="BN165" s="118"/>
      <c r="BO165" s="118"/>
      <c r="BP165" s="118"/>
      <c r="BQ165" s="118"/>
      <c r="BR165" s="118"/>
      <c r="BT165" s="118"/>
      <c r="BU165" s="118"/>
      <c r="BV165" s="118"/>
      <c r="BW165" s="118"/>
      <c r="BX165" s="118"/>
      <c r="BY165" s="118"/>
      <c r="BZ165" s="118"/>
    </row>
    <row r="166" spans="1:78" x14ac:dyDescent="0.2">
      <c r="A166" s="452"/>
      <c r="B166" s="453" t="str">
        <f>_xlfn.TEXTJOIN(keydelim,TRUE,F166,IF(E166="Africa","Africa&amp;other",E166),"Fuel cost",SUBSTITUTE($G166," ",""))</f>
        <v>e-Methanol (PS) - Europe - Fuel cost - USD/ton</v>
      </c>
      <c r="D166" s="459" t="str">
        <f>E166&amp;F166</f>
        <v>Europee-Methanol (PS)</v>
      </c>
      <c r="E166" t="s">
        <v>195</v>
      </c>
      <c r="F166" s="460" t="s">
        <v>119</v>
      </c>
      <c r="G166" t="s">
        <v>835</v>
      </c>
      <c r="H166" s="118">
        <f>INDEX('Fuel Model - Calculation'!$B$2:$M$3771,(MATCH(($E166&amp;"ResultsCost of "&amp;$F166&amp;"USD/ton"),'Fuel Model - Calculation'!$B$2:$B$3771,0)),MATCH(H$141,'Fuel Model - Calculation'!$B$2:$M$2,0))</f>
        <v>1680.9060572557414</v>
      </c>
      <c r="I166" s="118">
        <f>INDEX('Fuel Model - Calculation'!$B$2:$M$3771,(MATCH(($E166&amp;"ResultsCost of "&amp;$F166&amp;"USD/ton"),'Fuel Model - Calculation'!$B$2:$B$3771,0)),MATCH(I$141,'Fuel Model - Calculation'!$B$2:$M$2,0))</f>
        <v>1363.7195196411376</v>
      </c>
      <c r="J166" s="118">
        <f>INDEX('Fuel Model - Calculation'!$B$2:$M$3771,(MATCH(($E166&amp;"ResultsCost of "&amp;$F166&amp;"USD/ton"),'Fuel Model - Calculation'!$B$2:$B$3771,0)),MATCH(J$141,'Fuel Model - Calculation'!$B$2:$M$2,0))</f>
        <v>1081.3556308520549</v>
      </c>
      <c r="K166" s="118">
        <f>INDEX('Fuel Model - Calculation'!$B$2:$M$3771,(MATCH(($E166&amp;"ResultsCost of "&amp;$F166&amp;"USD/ton"),'Fuel Model - Calculation'!$B$2:$B$3771,0)),MATCH(K$141,'Fuel Model - Calculation'!$B$2:$M$2,0))</f>
        <v>978.00546818642931</v>
      </c>
      <c r="L166" s="118">
        <f>INDEX('Fuel Model - Calculation'!$B$2:$M$3771,(MATCH(($E166&amp;"ResultsCost of "&amp;$F166&amp;"USD/ton"),'Fuel Model - Calculation'!$B$2:$B$3771,0)),MATCH(L$141,'Fuel Model - Calculation'!$B$2:$M$2,0))</f>
        <v>861.30877023778885</v>
      </c>
      <c r="M166" s="118">
        <f>INDEX('Fuel Model - Calculation'!$B$2:$M$3771,(MATCH(($E166&amp;"ResultsCost of "&amp;$F166&amp;"USD/ton"),'Fuel Model - Calculation'!$B$2:$B$3771,0)),MATCH(M$141,'Fuel Model - Calculation'!$B$2:$M$2,0))</f>
        <v>715.02945380246024</v>
      </c>
      <c r="N166" s="118">
        <f>INDEX('Fuel Model - Calculation'!$B$2:$M$3771,(MATCH(($E166&amp;"ResultsCost of "&amp;$F166&amp;"USD/ton"),'Fuel Model - Calculation'!$B$2:$B$3771,0)),MATCH(N$141,'Fuel Model - Calculation'!$B$2:$M$2,0))</f>
        <v>576.00445831494869</v>
      </c>
      <c r="O166"/>
      <c r="P166" s="118">
        <f>IFERROR(INDEX('Fuel Model - Calculation'!G$2:G$3771,(MATCH(($E166&amp;"ResultsTotal RNE "&amp;$F166&amp;"USD/ton"),'Fuel Model - Calculation'!$B$2:$B$3771,0))),0)</f>
        <v>651.92491764918361</v>
      </c>
      <c r="Q166" s="118">
        <f>IFERROR(INDEX('Fuel Model - Calculation'!H$2:H$3771,(MATCH(($E166&amp;"ResultsTotal RNE "&amp;$F166&amp;"USD/ton"),'Fuel Model - Calculation'!$B$2:$B$3771,0))),0)</f>
        <v>525.39420641224103</v>
      </c>
      <c r="R166" s="118">
        <f>IFERROR(INDEX('Fuel Model - Calculation'!I$2:I$3771,(MATCH(($E166&amp;"ResultsTotal RNE "&amp;$F166&amp;"USD/ton"),'Fuel Model - Calculation'!$B$2:$B$3771,0))),0)</f>
        <v>420.44210726564802</v>
      </c>
      <c r="S166" s="118">
        <f>IFERROR(INDEX('Fuel Model - Calculation'!J$2:J$3771,(MATCH(($E166&amp;"ResultsTotal RNE "&amp;$F166&amp;"USD/ton"),'Fuel Model - Calculation'!$B$2:$B$3771,0))),0)</f>
        <v>367.723195867355</v>
      </c>
      <c r="T166" s="118">
        <f>IFERROR(INDEX('Fuel Model - Calculation'!K$2:K$3771,(MATCH(($E166&amp;"ResultsTotal RNE "&amp;$F166&amp;"USD/ton"),'Fuel Model - Calculation'!$B$2:$B$3771,0))),0)</f>
        <v>330.89740965279992</v>
      </c>
      <c r="U166" s="118">
        <f>IFERROR(INDEX('Fuel Model - Calculation'!L$2:L$3771,(MATCH(($E166&amp;"ResultsTotal RNE "&amp;$F166&amp;"USD/ton"),'Fuel Model - Calculation'!$B$2:$B$3771,0))),0)</f>
        <v>290.34283124025603</v>
      </c>
      <c r="V166" s="118">
        <f>IFERROR(INDEX('Fuel Model - Calculation'!M$2:M$3771,(MATCH(($E166&amp;"ResultsTotal RNE "&amp;$F166&amp;"USD/ton"),'Fuel Model - Calculation'!$B$2:$B$3771,0))),0)</f>
        <v>261.49465754694626</v>
      </c>
      <c r="W166"/>
      <c r="X166" s="2">
        <f>INDEX('Fuel Model - Calculation'!$E$2:$M$3771,(MATCH(("WTT Emission - "&amp;$F166),'Fuel Model - Calculation'!$E$2:$E$3771,0)),MATCH(X$141,'Fuel Model - Calculation'!$E$2:$M$2,0))</f>
        <v>-1.3108780207988588</v>
      </c>
      <c r="Y166" s="2">
        <f>INDEX('Fuel Model - Calculation'!$E$2:$M$3771,(MATCH(("WTT Emission - "&amp;$F166),'Fuel Model - Calculation'!$E$2:$E$3771,0)),MATCH(Y$141,'Fuel Model - Calculation'!$E$2:$M$2,0))</f>
        <v>-1.3111366188752263</v>
      </c>
      <c r="Z166" s="2">
        <f>INDEX('Fuel Model - Calculation'!$E$2:$M$3771,(MATCH(("WTT Emission - "&amp;$F166),'Fuel Model - Calculation'!$E$2:$E$3771,0)),MATCH(Z$141,'Fuel Model - Calculation'!$E$2:$M$2,0))</f>
        <v>-1.3118632631235476</v>
      </c>
      <c r="AA166" s="2">
        <f>INDEX('Fuel Model - Calculation'!$E$2:$M$3771,(MATCH(("WTT Emission - "&amp;$F166),'Fuel Model - Calculation'!$E$2:$E$3771,0)),MATCH(AA$141,'Fuel Model - Calculation'!$E$2:$M$2,0))</f>
        <v>-1.3137932577350739</v>
      </c>
      <c r="AB166" s="2">
        <f>INDEX('Fuel Model - Calculation'!$E$2:$M$3771,(MATCH(("WTT Emission - "&amp;$F166),'Fuel Model - Calculation'!$E$2:$E$3771,0)),MATCH(AB$141,'Fuel Model - Calculation'!$E$2:$M$2,0))</f>
        <v>-1.3161109969717115</v>
      </c>
      <c r="AC166" s="2">
        <f>INDEX('Fuel Model - Calculation'!$E$2:$M$3771,(MATCH(("WTT Emission - "&amp;$F166),'Fuel Model - Calculation'!$E$2:$E$3771,0)),MATCH(AC$141,'Fuel Model - Calculation'!$E$2:$M$2,0))</f>
        <v>-1.3191966545944611</v>
      </c>
      <c r="AD166" s="2">
        <f>INDEX('Fuel Model - Calculation'!$E$2:$M$3771,(MATCH(("WTT Emission - "&amp;$F166),'Fuel Model - Calculation'!$E$2:$E$3771,0)),MATCH(AD$141,'Fuel Model - Calculation'!$E$2:$M$2,0))</f>
        <v>-1.3216273752574745</v>
      </c>
      <c r="AE166" s="2"/>
      <c r="AF166" s="2">
        <f>'Fuel Model -  Input'!H$51</f>
        <v>1.375</v>
      </c>
      <c r="AG166" s="2">
        <f>'Fuel Model -  Input'!I$51</f>
        <v>1.375</v>
      </c>
      <c r="AH166" s="2">
        <f>'Fuel Model -  Input'!J$51</f>
        <v>1.375</v>
      </c>
      <c r="AI166" s="2">
        <f>'Fuel Model -  Input'!K$51</f>
        <v>1.375</v>
      </c>
      <c r="AJ166" s="2">
        <f>'Fuel Model -  Input'!L$51</f>
        <v>1.375</v>
      </c>
      <c r="AK166" s="2">
        <f>'Fuel Model -  Input'!M$51</f>
        <v>1.375</v>
      </c>
      <c r="AL166" s="2">
        <f>'Fuel Model -  Input'!N$51</f>
        <v>1.375</v>
      </c>
      <c r="AM166"/>
      <c r="AN166" s="24">
        <f t="shared" ref="AN166:AT170" si="171">X166+AF166</f>
        <v>6.4121979201141155E-2</v>
      </c>
      <c r="AO166" s="24">
        <f t="shared" si="171"/>
        <v>6.3863381124773744E-2</v>
      </c>
      <c r="AP166" s="24">
        <f t="shared" si="171"/>
        <v>6.3136736876452382E-2</v>
      </c>
      <c r="AQ166" s="24">
        <f t="shared" si="171"/>
        <v>6.1206742264926062E-2</v>
      </c>
      <c r="AR166" s="24">
        <f t="shared" si="171"/>
        <v>5.8889003028288478E-2</v>
      </c>
      <c r="AS166" s="24">
        <f t="shared" si="171"/>
        <v>5.5803345405538884E-2</v>
      </c>
      <c r="AT166" s="24">
        <f t="shared" si="171"/>
        <v>5.3372624742525465E-2</v>
      </c>
      <c r="AU166"/>
      <c r="AV166" s="118">
        <f>IFERROR(INDEX('Fuel Model - Calculation'!$B$2:$M$3771,(MATCH(($E166&amp;"Results"&amp;$AV$140&amp;$F166&amp;"USD/ton"),'Fuel Model - Calculation'!$B$2:$B$3771,0)),MATCH(H$141,'Fuel Model - Calculation'!$B$2:$M$2,0)),0)</f>
        <v>457.85913608738241</v>
      </c>
      <c r="AW166" s="118">
        <f>IFERROR(INDEX('Fuel Model - Calculation'!$B$2:$M$3771,(MATCH(($E166&amp;"Results"&amp;$AV$140&amp;$F166&amp;"USD/ton"),'Fuel Model - Calculation'!$B$2:$B$3771,0)),MATCH(I$141,'Fuel Model - Calculation'!$B$2:$M$2,0)),0)</f>
        <v>370.51665394078952</v>
      </c>
      <c r="AX166" s="118">
        <f>IFERROR(INDEX('Fuel Model - Calculation'!$B$2:$M$3771,(MATCH(($E166&amp;"Results"&amp;$AV$140&amp;$F166&amp;"USD/ton"),'Fuel Model - Calculation'!$B$2:$B$3771,0)),MATCH(J$141,'Fuel Model - Calculation'!$B$2:$M$2,0)),0)</f>
        <v>292.19699484282427</v>
      </c>
      <c r="AY166" s="118">
        <f>IFERROR(INDEX('Fuel Model - Calculation'!$B$2:$M$3771,(MATCH(($E166&amp;"Results"&amp;$AV$140&amp;$F166&amp;"USD/ton"),'Fuel Model - Calculation'!$B$2:$B$3771,0)),MATCH(K$141,'Fuel Model - Calculation'!$B$2:$M$2,0)),0)</f>
        <v>278.46318391967247</v>
      </c>
      <c r="AZ166" s="118">
        <f>IFERROR(INDEX('Fuel Model - Calculation'!$B$2:$M$3771,(MATCH(($E166&amp;"Results"&amp;$AV$140&amp;$F166&amp;"USD/ton"),'Fuel Model - Calculation'!$B$2:$B$3771,0)),MATCH(L$141,'Fuel Model - Calculation'!$B$2:$M$2,0)),0)</f>
        <v>248.87379575721386</v>
      </c>
      <c r="BA166" s="118">
        <f>IFERROR(INDEX('Fuel Model - Calculation'!$B$2:$M$3771,(MATCH(($E166&amp;"Results"&amp;$AV$140&amp;$F166&amp;"USD/ton"),'Fuel Model - Calculation'!$B$2:$B$3771,0)),MATCH(M$141,'Fuel Model - Calculation'!$B$2:$M$2,0)),0)</f>
        <v>199.83852877932546</v>
      </c>
      <c r="BB166" s="118">
        <f>IFERROR(INDEX('Fuel Model - Calculation'!$B$2:$M$3771,(MATCH(($E166&amp;"Results"&amp;$AV$140&amp;$F166&amp;"USD/ton"),'Fuel Model - Calculation'!$B$2:$B$3771,0)),MATCH(N$141,'Fuel Model - Calculation'!$B$2:$M$2,0)),0)</f>
        <v>142.49674378576751</v>
      </c>
      <c r="BC166"/>
      <c r="BD166" s="118">
        <f>IFERROR(INDEX('Fuel Model - Calculation'!$B$2:$M$3771,(MATCH(($E166&amp;"Results"&amp;$BD$140&amp;$F166&amp;"USD/ton"),'Fuel Model - Calculation'!$B$2:$B$3771,0)),MATCH(P$141,'Fuel Model - Calculation'!$B$2:$M$2,0)),0)</f>
        <v>318.87450817832826</v>
      </c>
      <c r="BE166" s="118">
        <f>IFERROR(INDEX('Fuel Model - Calculation'!$B$2:$M$3771,(MATCH(($E166&amp;"Results"&amp;$BD$140&amp;$F166&amp;"USD/ton"),'Fuel Model - Calculation'!$B$2:$B$3771,0)),MATCH(Q$141,'Fuel Model - Calculation'!$B$2:$M$2,0)),0)</f>
        <v>260.00097132787175</v>
      </c>
      <c r="BF166" s="118">
        <f>IFERROR(INDEX('Fuel Model - Calculation'!$B$2:$M$3771,(MATCH(($E166&amp;"Results"&amp;$BD$140&amp;$F166&amp;"USD/ton"),'Fuel Model - Calculation'!$B$2:$B$3771,0)),MATCH(R$141,'Fuel Model - Calculation'!$B$2:$M$2,0)),0)</f>
        <v>204.11232794953349</v>
      </c>
      <c r="BG166" s="118">
        <f>IFERROR(INDEX('Fuel Model - Calculation'!$B$2:$M$3771,(MATCH(($E166&amp;"Results"&amp;$BD$140&amp;$F166&amp;"USD/ton"),'Fuel Model - Calculation'!$B$2:$B$3771,0)),MATCH(S$141,'Fuel Model - Calculation'!$B$2:$M$2,0)),0)</f>
        <v>184.10192321244193</v>
      </c>
      <c r="BH166" s="118">
        <f>IFERROR(INDEX('Fuel Model - Calculation'!$B$2:$M$3771,(MATCH(($E166&amp;"Results"&amp;$BD$140&amp;$F166&amp;"USD/ton"),'Fuel Model - Calculation'!$B$2:$B$3771,0)),MATCH(T$141,'Fuel Model - Calculation'!$B$2:$M$2,0)),0)</f>
        <v>149.83631301186711</v>
      </c>
      <c r="BI166" s="118">
        <f>IFERROR(INDEX('Fuel Model - Calculation'!$B$2:$M$3771,(MATCH(($E166&amp;"Results"&amp;$BD$140&amp;$F166&amp;"USD/ton"),'Fuel Model - Calculation'!$B$2:$B$3771,0)),MATCH(U$141,'Fuel Model - Calculation'!$B$2:$M$2,0)),0)</f>
        <v>109.2528743921972</v>
      </c>
      <c r="BJ166" s="118">
        <f>IFERROR(INDEX('Fuel Model - Calculation'!$B$2:$M$3771,(MATCH(($E166&amp;"Results"&amp;$BD$140&amp;$F166&amp;"USD/ton"),'Fuel Model - Calculation'!$B$2:$B$3771,0)),MATCH(V$141,'Fuel Model - Calculation'!$B$2:$M$2,0)),0)</f>
        <v>72.150513068036531</v>
      </c>
      <c r="BL166" s="118">
        <f>IFERROR(IFERROR(INDEX('Fuel Model - Calculation'!$B$2:$M$3771,(MATCH(($E166&amp;"Results"&amp;$BL$140&amp;$F166&amp;"USD/ton"),'Fuel Model - Calculation'!$B$2:$B$3771,0)),MATCH(H$141,'Fuel Model - Calculation'!$B$2:$M$2,0)),0),0)</f>
        <v>252.24749534084739</v>
      </c>
      <c r="BM166" s="118">
        <f>IFERROR(IFERROR(INDEX('Fuel Model - Calculation'!$B$2:$M$3771,(MATCH(($E166&amp;"Results"&amp;$BL$140&amp;$F166&amp;"USD/ton"),'Fuel Model - Calculation'!$B$2:$B$3771,0)),MATCH(I$141,'Fuel Model - Calculation'!$B$2:$M$2,0)),0),0)</f>
        <v>207.80768796023551</v>
      </c>
      <c r="BN166" s="118">
        <f>IFERROR(IFERROR(INDEX('Fuel Model - Calculation'!$B$2:$M$3771,(MATCH(($E166&amp;"Results"&amp;$BL$140&amp;$F166&amp;"USD/ton"),'Fuel Model - Calculation'!$B$2:$B$3771,0)),MATCH(J$141,'Fuel Model - Calculation'!$B$2:$M$2,0)),0),0)</f>
        <v>164.60420079404909</v>
      </c>
      <c r="BO166" s="118">
        <f>IFERROR(IFERROR(INDEX('Fuel Model - Calculation'!$B$2:$M$3771,(MATCH(($E166&amp;"Results"&amp;$BL$140&amp;$F166&amp;"USD/ton"),'Fuel Model - Calculation'!$B$2:$B$3771,0)),MATCH(K$141,'Fuel Model - Calculation'!$B$2:$M$2,0)),0),0)</f>
        <v>147.71716518695996</v>
      </c>
      <c r="BP166" s="118">
        <f>IFERROR(IFERROR(INDEX('Fuel Model - Calculation'!$B$2:$M$3771,(MATCH(($E166&amp;"Results"&amp;$BL$140&amp;$F166&amp;"USD/ton"),'Fuel Model - Calculation'!$B$2:$B$3771,0)),MATCH(L$141,'Fuel Model - Calculation'!$B$2:$M$2,0)),0),0)</f>
        <v>131.70125181590788</v>
      </c>
      <c r="BQ166" s="118">
        <f>IFERROR(IFERROR(INDEX('Fuel Model - Calculation'!$B$2:$M$3771,(MATCH(($E166&amp;"Results"&amp;$BL$140&amp;$F166&amp;"USD/ton"),'Fuel Model - Calculation'!$B$2:$B$3771,0)),MATCH(M$141,'Fuel Model - Calculation'!$B$2:$M$2,0)),0),0)</f>
        <v>115.59521939068158</v>
      </c>
      <c r="BR166" s="118">
        <f>IFERROR(IFERROR(INDEX('Fuel Model - Calculation'!$B$2:$M$3771,(MATCH(($E166&amp;"Results"&amp;$BL$140&amp;$F166&amp;"USD/ton"),'Fuel Model - Calculation'!$B$2:$B$3771,0)),MATCH(N$141,'Fuel Model - Calculation'!$B$2:$M$2,0)),0),0)</f>
        <v>99.862543914198397</v>
      </c>
      <c r="BT166" s="118">
        <f>IFERROR(INDEX('Fuel Model - Calculation'!$B$2:$M$3771,(MATCH(($E166&amp;"Results"&amp;$BT$140&amp;$F166&amp;"USD/ton"),'Fuel Model - Calculation'!$B$2:$B$3771,0)),MATCH(H$141,'Fuel Model - Calculation'!$B$2:$M$2,0)),0)</f>
        <v>0</v>
      </c>
      <c r="BU166" s="118">
        <f>IFERROR(INDEX('Fuel Model - Calculation'!$B$2:$M$3771,(MATCH(($E166&amp;"Results"&amp;$BT$140&amp;$F166&amp;"USD/ton"),'Fuel Model - Calculation'!$B$2:$B$3771,0)),MATCH(I$141,'Fuel Model - Calculation'!$B$2:$M$2,0)),0)</f>
        <v>0</v>
      </c>
      <c r="BV166" s="118">
        <f>IFERROR(INDEX('Fuel Model - Calculation'!$B$2:$M$3771,(MATCH(($E166&amp;"Results"&amp;$BT$140&amp;$F166&amp;"USD/ton"),'Fuel Model - Calculation'!$B$2:$B$3771,0)),MATCH(J$141,'Fuel Model - Calculation'!$B$2:$M$2,0)),0)</f>
        <v>0</v>
      </c>
      <c r="BW166" s="118">
        <f>IFERROR(INDEX('Fuel Model - Calculation'!$B$2:$M$3771,(MATCH(($E166&amp;"Results"&amp;$BT$140&amp;$F166&amp;"USD/ton"),'Fuel Model - Calculation'!$B$2:$B$3771,0)),MATCH(K$141,'Fuel Model - Calculation'!$B$2:$M$2,0)),0)</f>
        <v>0</v>
      </c>
      <c r="BX166" s="118">
        <f>IFERROR(INDEX('Fuel Model - Calculation'!$B$2:$M$3771,(MATCH(($E166&amp;"Results"&amp;$BT$140&amp;$F166&amp;"USD/ton"),'Fuel Model - Calculation'!$B$2:$B$3771,0)),MATCH(L$141,'Fuel Model - Calculation'!$B$2:$M$2,0)),0)</f>
        <v>0</v>
      </c>
      <c r="BY166" s="118">
        <f>IFERROR(INDEX('Fuel Model - Calculation'!$B$2:$M$3771,(MATCH(($E166&amp;"Results"&amp;$BT$140&amp;$F166&amp;"USD/ton"),'Fuel Model - Calculation'!$B$2:$B$3771,0)),MATCH(M$141,'Fuel Model - Calculation'!$B$2:$M$2,0)),0)</f>
        <v>0</v>
      </c>
      <c r="BZ166" s="118">
        <f>IFERROR(INDEX('Fuel Model - Calculation'!$B$2:$M$3771,(MATCH(($E166&amp;"Results"&amp;$BT$140&amp;$F166&amp;"USD/ton"),'Fuel Model - Calculation'!$B$2:$B$3771,0)),MATCH(N$141,'Fuel Model - Calculation'!$B$2:$M$2,0)),0)</f>
        <v>0</v>
      </c>
    </row>
    <row r="167" spans="1:78" x14ac:dyDescent="0.2">
      <c r="A167" s="452"/>
      <c r="B167" s="453" t="str">
        <f>_xlfn.TEXTJOIN(keydelim,TRUE,F167,IF(E167="Africa","Africa&amp;other",E167),"Fuel cost",SUBSTITUTE($G167," ",""))</f>
        <v>e-Methanol (PS) - Middle East - Fuel cost - USD/ton</v>
      </c>
      <c r="D167" s="459" t="str">
        <f t="shared" ref="D167:D170" si="172">E167&amp;F167</f>
        <v>Middle Easte-Methanol (PS)</v>
      </c>
      <c r="E167" t="s">
        <v>197</v>
      </c>
      <c r="F167" s="460" t="s">
        <v>119</v>
      </c>
      <c r="G167" t="str">
        <f>G166</f>
        <v>USD/ ton</v>
      </c>
      <c r="H167" s="118">
        <f>INDEX('Fuel Model - Calculation'!$B$2:$M$3771,(MATCH(($E167&amp;"ResultsCost of "&amp;$F167&amp;"USD/ton"),'Fuel Model - Calculation'!$B$2:$B$3771,0)),MATCH(H$141,'Fuel Model - Calculation'!$B$2:$M$2,0))</f>
        <v>1521.718012142891</v>
      </c>
      <c r="I167" s="118">
        <f>INDEX('Fuel Model - Calculation'!$B$2:$M$3771,(MATCH(($E167&amp;"ResultsCost of "&amp;$F167&amp;"USD/ton"),'Fuel Model - Calculation'!$B$2:$B$3771,0)),MATCH(I$141,'Fuel Model - Calculation'!$B$2:$M$2,0))</f>
        <v>1233.2945261217783</v>
      </c>
      <c r="J167" s="118">
        <f>INDEX('Fuel Model - Calculation'!$B$2:$M$3771,(MATCH(($E167&amp;"ResultsCost of "&amp;$F167&amp;"USD/ton"),'Fuel Model - Calculation'!$B$2:$B$3771,0)),MATCH(J$141,'Fuel Model - Calculation'!$B$2:$M$2,0))</f>
        <v>989.59225881476016</v>
      </c>
      <c r="K167" s="118">
        <f>INDEX('Fuel Model - Calculation'!$B$2:$M$3771,(MATCH(($E167&amp;"ResultsCost of "&amp;$F167&amp;"USD/ton"),'Fuel Model - Calculation'!$B$2:$B$3771,0)),MATCH(K$141,'Fuel Model - Calculation'!$B$2:$M$2,0))</f>
        <v>885.11537430518138</v>
      </c>
      <c r="L167" s="118">
        <f>INDEX('Fuel Model - Calculation'!$B$2:$M$3771,(MATCH(($E167&amp;"ResultsCost of "&amp;$F167&amp;"USD/ton"),'Fuel Model - Calculation'!$B$2:$B$3771,0)),MATCH(L$141,'Fuel Model - Calculation'!$B$2:$M$2,0))</f>
        <v>773.79850781689299</v>
      </c>
      <c r="M167" s="118">
        <f>INDEX('Fuel Model - Calculation'!$B$2:$M$3771,(MATCH(($E167&amp;"ResultsCost of "&amp;$F167&amp;"USD/ton"),'Fuel Model - Calculation'!$B$2:$B$3771,0)),MATCH(M$141,'Fuel Model - Calculation'!$B$2:$M$2,0))</f>
        <v>628.85221329262902</v>
      </c>
      <c r="N167" s="118">
        <f>INDEX('Fuel Model - Calculation'!$B$2:$M$3771,(MATCH(($E167&amp;"ResultsCost of "&amp;$F167&amp;"USD/ton"),'Fuel Model - Calculation'!$B$2:$B$3771,0)),MATCH(N$141,'Fuel Model - Calculation'!$B$2:$M$2,0))</f>
        <v>498.19024445309088</v>
      </c>
      <c r="O167"/>
      <c r="P167" s="118">
        <f>IFERROR(INDEX('Fuel Model - Calculation'!G$2:G$3771,(MATCH(($E167&amp;"ResultsTotal RNE "&amp;$F167&amp;"USD/ton"),'Fuel Model - Calculation'!$B$2:$B$3771,0))),0)</f>
        <v>500.57125154736997</v>
      </c>
      <c r="Q167" s="118">
        <f>IFERROR(INDEX('Fuel Model - Calculation'!H$2:H$3771,(MATCH(($E167&amp;"ResultsTotal RNE "&amp;$F167&amp;"USD/ton"),'Fuel Model - Calculation'!$B$2:$B$3771,0))),0)</f>
        <v>401.41273651788123</v>
      </c>
      <c r="R167" s="118">
        <f>IFERROR(INDEX('Fuel Model - Calculation'!I$2:I$3771,(MATCH(($E167&amp;"ResultsTotal RNE "&amp;$F167&amp;"USD/ton"),'Fuel Model - Calculation'!$B$2:$B$3771,0))),0)</f>
        <v>333.26178816853928</v>
      </c>
      <c r="S167" s="118">
        <f>IFERROR(INDEX('Fuel Model - Calculation'!J$2:J$3771,(MATCH(($E167&amp;"ResultsTotal RNE "&amp;$F167&amp;"USD/ton"),'Fuel Model - Calculation'!$B$2:$B$3771,0))),0)</f>
        <v>279.61119239960561</v>
      </c>
      <c r="T167" s="118">
        <f>IFERROR(INDEX('Fuel Model - Calculation'!K$2:K$3771,(MATCH(($E167&amp;"ResultsTotal RNE "&amp;$F167&amp;"USD/ton"),'Fuel Model - Calculation'!$B$2:$B$3771,0))),0)</f>
        <v>248.05622035144501</v>
      </c>
      <c r="U167" s="118">
        <f>IFERROR(INDEX('Fuel Model - Calculation'!L$2:L$3771,(MATCH(($E167&amp;"ResultsTotal RNE "&amp;$F167&amp;"USD/ton"),'Fuel Model - Calculation'!$B$2:$B$3771,0))),0)</f>
        <v>209.0035125581239</v>
      </c>
      <c r="V167" s="118">
        <f>IFERROR(INDEX('Fuel Model - Calculation'!M$2:M$3771,(MATCH(($E167&amp;"ResultsTotal RNE "&amp;$F167&amp;"USD/ton"),'Fuel Model - Calculation'!$B$2:$B$3771,0))),0)</f>
        <v>188.23617309391807</v>
      </c>
      <c r="W167"/>
      <c r="X167" s="2">
        <f>INDEX('Fuel Model - Calculation'!$E$2:$M$3771,(MATCH(("WTT Emission - "&amp;$F167),'Fuel Model - Calculation'!$E$2:$E$3771,0)),MATCH(X$141,'Fuel Model - Calculation'!$E$2:$M$2,0))</f>
        <v>-1.3108780207988588</v>
      </c>
      <c r="Y167" s="2">
        <f>INDEX('Fuel Model - Calculation'!$E$2:$M$3771,(MATCH(("WTT Emission - "&amp;$F167),'Fuel Model - Calculation'!$E$2:$E$3771,0)),MATCH(Y$141,'Fuel Model - Calculation'!$E$2:$M$2,0))</f>
        <v>-1.3111366188752263</v>
      </c>
      <c r="Z167" s="2">
        <f>INDEX('Fuel Model - Calculation'!$E$2:$M$3771,(MATCH(("WTT Emission - "&amp;$F167),'Fuel Model - Calculation'!$E$2:$E$3771,0)),MATCH(Z$141,'Fuel Model - Calculation'!$E$2:$M$2,0))</f>
        <v>-1.3118632631235476</v>
      </c>
      <c r="AA167" s="2">
        <f>INDEX('Fuel Model - Calculation'!$E$2:$M$3771,(MATCH(("WTT Emission - "&amp;$F167),'Fuel Model - Calculation'!$E$2:$E$3771,0)),MATCH(AA$141,'Fuel Model - Calculation'!$E$2:$M$2,0))</f>
        <v>-1.3137932577350739</v>
      </c>
      <c r="AB167" s="2">
        <f>INDEX('Fuel Model - Calculation'!$E$2:$M$3771,(MATCH(("WTT Emission - "&amp;$F167),'Fuel Model - Calculation'!$E$2:$E$3771,0)),MATCH(AB$141,'Fuel Model - Calculation'!$E$2:$M$2,0))</f>
        <v>-1.3161109969717115</v>
      </c>
      <c r="AC167" s="2">
        <f>INDEX('Fuel Model - Calculation'!$E$2:$M$3771,(MATCH(("WTT Emission - "&amp;$F167),'Fuel Model - Calculation'!$E$2:$E$3771,0)),MATCH(AC$141,'Fuel Model - Calculation'!$E$2:$M$2,0))</f>
        <v>-1.3191966545944611</v>
      </c>
      <c r="AD167" s="2">
        <f>INDEX('Fuel Model - Calculation'!$E$2:$M$3771,(MATCH(("WTT Emission - "&amp;$F167),'Fuel Model - Calculation'!$E$2:$E$3771,0)),MATCH(AD$141,'Fuel Model - Calculation'!$E$2:$M$2,0))</f>
        <v>-1.3216273752574745</v>
      </c>
      <c r="AE167" s="2"/>
      <c r="AF167" s="2">
        <f>'Fuel Model -  Input'!H$51</f>
        <v>1.375</v>
      </c>
      <c r="AG167" s="2">
        <f>'Fuel Model -  Input'!I$51</f>
        <v>1.375</v>
      </c>
      <c r="AH167" s="2">
        <f>'Fuel Model -  Input'!J$51</f>
        <v>1.375</v>
      </c>
      <c r="AI167" s="2">
        <f>'Fuel Model -  Input'!K$51</f>
        <v>1.375</v>
      </c>
      <c r="AJ167" s="2">
        <f>'Fuel Model -  Input'!L$51</f>
        <v>1.375</v>
      </c>
      <c r="AK167" s="2">
        <f>'Fuel Model -  Input'!M$51</f>
        <v>1.375</v>
      </c>
      <c r="AL167" s="2">
        <f>'Fuel Model -  Input'!N$51</f>
        <v>1.375</v>
      </c>
      <c r="AM167"/>
      <c r="AN167" s="24">
        <f t="shared" si="171"/>
        <v>6.4121979201141155E-2</v>
      </c>
      <c r="AO167" s="24">
        <f t="shared" si="171"/>
        <v>6.3863381124773744E-2</v>
      </c>
      <c r="AP167" s="24">
        <f t="shared" si="171"/>
        <v>6.3136736876452382E-2</v>
      </c>
      <c r="AQ167" s="24">
        <f t="shared" si="171"/>
        <v>6.1206742264926062E-2</v>
      </c>
      <c r="AR167" s="24">
        <f t="shared" si="171"/>
        <v>5.8889003028288478E-2</v>
      </c>
      <c r="AS167" s="24">
        <f t="shared" si="171"/>
        <v>5.5803345405538884E-2</v>
      </c>
      <c r="AT167" s="24">
        <f t="shared" si="171"/>
        <v>5.3372624742525465E-2</v>
      </c>
      <c r="AU167"/>
      <c r="AV167" s="118">
        <f>IFERROR(INDEX('Fuel Model - Calculation'!$B$2:$M$3771,(MATCH(($E167&amp;"Results"&amp;$AV$140&amp;$F167&amp;"USD/ton"),'Fuel Model - Calculation'!$B$2:$B$3771,0)),MATCH(H$141,'Fuel Model - Calculation'!$B$2:$M$2,0)),0)</f>
        <v>457.85913608738241</v>
      </c>
      <c r="AW167" s="118">
        <f>IFERROR(INDEX('Fuel Model - Calculation'!$B$2:$M$3771,(MATCH(($E167&amp;"Results"&amp;$AV$140&amp;$F167&amp;"USD/ton"),'Fuel Model - Calculation'!$B$2:$B$3771,0)),MATCH(I$141,'Fuel Model - Calculation'!$B$2:$M$2,0)),0)</f>
        <v>370.51665394078952</v>
      </c>
      <c r="AX167" s="118">
        <f>IFERROR(INDEX('Fuel Model - Calculation'!$B$2:$M$3771,(MATCH(($E167&amp;"Results"&amp;$AV$140&amp;$F167&amp;"USD/ton"),'Fuel Model - Calculation'!$B$2:$B$3771,0)),MATCH(J$141,'Fuel Model - Calculation'!$B$2:$M$2,0)),0)</f>
        <v>292.19699484282427</v>
      </c>
      <c r="AY167" s="118">
        <f>IFERROR(INDEX('Fuel Model - Calculation'!$B$2:$M$3771,(MATCH(($E167&amp;"Results"&amp;$AV$140&amp;$F167&amp;"USD/ton"),'Fuel Model - Calculation'!$B$2:$B$3771,0)),MATCH(K$141,'Fuel Model - Calculation'!$B$2:$M$2,0)),0)</f>
        <v>278.46318391967247</v>
      </c>
      <c r="AZ167" s="118">
        <f>IFERROR(INDEX('Fuel Model - Calculation'!$B$2:$M$3771,(MATCH(($E167&amp;"Results"&amp;$AV$140&amp;$F167&amp;"USD/ton"),'Fuel Model - Calculation'!$B$2:$B$3771,0)),MATCH(L$141,'Fuel Model - Calculation'!$B$2:$M$2,0)),0)</f>
        <v>248.87379575721383</v>
      </c>
      <c r="BA167" s="118">
        <f>IFERROR(INDEX('Fuel Model - Calculation'!$B$2:$M$3771,(MATCH(($E167&amp;"Results"&amp;$AV$140&amp;$F167&amp;"USD/ton"),'Fuel Model - Calculation'!$B$2:$B$3771,0)),MATCH(M$141,'Fuel Model - Calculation'!$B$2:$M$2,0)),0)</f>
        <v>199.83852877932546</v>
      </c>
      <c r="BB167" s="118">
        <f>IFERROR(INDEX('Fuel Model - Calculation'!$B$2:$M$3771,(MATCH(($E167&amp;"Results"&amp;$AV$140&amp;$F167&amp;"USD/ton"),'Fuel Model - Calculation'!$B$2:$B$3771,0)),MATCH(N$141,'Fuel Model - Calculation'!$B$2:$M$2,0)),0)</f>
        <v>142.49674378576751</v>
      </c>
      <c r="BC167"/>
      <c r="BD167" s="118">
        <f>IFERROR(INDEX('Fuel Model - Calculation'!$B$2:$M$3771,(MATCH(($E167&amp;"Results"&amp;$BD$140&amp;$F167&amp;"USD/ton"),'Fuel Model - Calculation'!$B$2:$B$3771,0)),MATCH(P$141,'Fuel Model - Calculation'!$B$2:$M$2,0)),0)</f>
        <v>318.87450817832837</v>
      </c>
      <c r="BE167" s="118">
        <f>IFERROR(INDEX('Fuel Model - Calculation'!$B$2:$M$3771,(MATCH(($E167&amp;"Results"&amp;$BD$140&amp;$F167&amp;"USD/ton"),'Fuel Model - Calculation'!$B$2:$B$3771,0)),MATCH(Q$141,'Fuel Model - Calculation'!$B$2:$M$2,0)),0)</f>
        <v>260.00097132787192</v>
      </c>
      <c r="BF167" s="118">
        <f>IFERROR(INDEX('Fuel Model - Calculation'!$B$2:$M$3771,(MATCH(($E167&amp;"Results"&amp;$BD$140&amp;$F167&amp;"USD/ton"),'Fuel Model - Calculation'!$B$2:$B$3771,0)),MATCH(R$141,'Fuel Model - Calculation'!$B$2:$M$2,0)),0)</f>
        <v>204.11232794953349</v>
      </c>
      <c r="BG167" s="118">
        <f>IFERROR(INDEX('Fuel Model - Calculation'!$B$2:$M$3771,(MATCH(($E167&amp;"Results"&amp;$BD$140&amp;$F167&amp;"USD/ton"),'Fuel Model - Calculation'!$B$2:$B$3771,0)),MATCH(S$141,'Fuel Model - Calculation'!$B$2:$M$2,0)),0)</f>
        <v>184.10192321244182</v>
      </c>
      <c r="BH167" s="118">
        <f>IFERROR(INDEX('Fuel Model - Calculation'!$B$2:$M$3771,(MATCH(($E167&amp;"Results"&amp;$BD$140&amp;$F167&amp;"USD/ton"),'Fuel Model - Calculation'!$B$2:$B$3771,0)),MATCH(T$141,'Fuel Model - Calculation'!$B$2:$M$2,0)),0)</f>
        <v>149.83631301186711</v>
      </c>
      <c r="BI167" s="118">
        <f>IFERROR(INDEX('Fuel Model - Calculation'!$B$2:$M$3771,(MATCH(($E167&amp;"Results"&amp;$BD$140&amp;$F167&amp;"USD/ton"),'Fuel Model - Calculation'!$B$2:$B$3771,0)),MATCH(U$141,'Fuel Model - Calculation'!$B$2:$M$2,0)),0)</f>
        <v>109.25287439219724</v>
      </c>
      <c r="BJ167" s="118">
        <f>IFERROR(INDEX('Fuel Model - Calculation'!$B$2:$M$3771,(MATCH(($E167&amp;"Results"&amp;$BD$140&amp;$F167&amp;"USD/ton"),'Fuel Model - Calculation'!$B$2:$B$3771,0)),MATCH(V$141,'Fuel Model - Calculation'!$B$2:$M$2,0)),0)</f>
        <v>72.150513068036602</v>
      </c>
      <c r="BL167" s="118">
        <f>IFERROR(IFERROR(INDEX('Fuel Model - Calculation'!$B$2:$M$3771,(MATCH(($E167&amp;"Results"&amp;$BL$140&amp;$F167&amp;"USD/ton"),'Fuel Model - Calculation'!$B$2:$B$3771,0)),MATCH(H$141,'Fuel Model - Calculation'!$B$2:$M$2,0)),0),0)</f>
        <v>244.41311632981018</v>
      </c>
      <c r="BM167" s="118">
        <f>IFERROR(IFERROR(INDEX('Fuel Model - Calculation'!$B$2:$M$3771,(MATCH(($E167&amp;"Results"&amp;$BL$140&amp;$F167&amp;"USD/ton"),'Fuel Model - Calculation'!$B$2:$B$3771,0)),MATCH(I$141,'Fuel Model - Calculation'!$B$2:$M$2,0)),0),0)</f>
        <v>201.3641643352355</v>
      </c>
      <c r="BN167" s="118">
        <f>IFERROR(IFERROR(INDEX('Fuel Model - Calculation'!$B$2:$M$3771,(MATCH(($E167&amp;"Results"&amp;$BL$140&amp;$F167&amp;"USD/ton"),'Fuel Model - Calculation'!$B$2:$B$3771,0)),MATCH(J$141,'Fuel Model - Calculation'!$B$2:$M$2,0)),0),0)</f>
        <v>160.02114785386308</v>
      </c>
      <c r="BO167" s="118">
        <f>IFERROR(IFERROR(INDEX('Fuel Model - Calculation'!$B$2:$M$3771,(MATCH(($E167&amp;"Results"&amp;$BL$140&amp;$F167&amp;"USD/ton"),'Fuel Model - Calculation'!$B$2:$B$3771,0)),MATCH(K$141,'Fuel Model - Calculation'!$B$2:$M$2,0)),0),0)</f>
        <v>142.93907477346147</v>
      </c>
      <c r="BP167" s="118">
        <f>IFERROR(IFERROR(INDEX('Fuel Model - Calculation'!$B$2:$M$3771,(MATCH(($E167&amp;"Results"&amp;$BL$140&amp;$F167&amp;"USD/ton"),'Fuel Model - Calculation'!$B$2:$B$3771,0)),MATCH(L$141,'Fuel Model - Calculation'!$B$2:$M$2,0)),0),0)</f>
        <v>127.03217869636703</v>
      </c>
      <c r="BQ167" s="118">
        <f>IFERROR(IFERROR(INDEX('Fuel Model - Calculation'!$B$2:$M$3771,(MATCH(($E167&amp;"Results"&amp;$BL$140&amp;$F167&amp;"USD/ton"),'Fuel Model - Calculation'!$B$2:$B$3771,0)),MATCH(M$141,'Fuel Model - Calculation'!$B$2:$M$2,0)),0),0)</f>
        <v>110.75729756298243</v>
      </c>
      <c r="BR167" s="118">
        <f>IFERROR(IFERROR(INDEX('Fuel Model - Calculation'!$B$2:$M$3771,(MATCH(($E167&amp;"Results"&amp;$BL$140&amp;$F167&amp;"USD/ton"),'Fuel Model - Calculation'!$B$2:$B$3771,0)),MATCH(N$141,'Fuel Model - Calculation'!$B$2:$M$2,0)),0),0)</f>
        <v>95.30681450536872</v>
      </c>
      <c r="BT167" s="118">
        <f>IFERROR(INDEX('Fuel Model - Calculation'!$B$2:$M$3771,(MATCH(($E167&amp;"Results"&amp;$BT$140&amp;$F167&amp;"USD/ton"),'Fuel Model - Calculation'!$B$2:$B$3771,0)),MATCH(H$141,'Fuel Model - Calculation'!$B$2:$M$2,0)),0)</f>
        <v>0</v>
      </c>
      <c r="BU167" s="118">
        <f>IFERROR(INDEX('Fuel Model - Calculation'!$B$2:$M$3771,(MATCH(($E167&amp;"Results"&amp;$BT$140&amp;$F167&amp;"USD/ton"),'Fuel Model - Calculation'!$B$2:$B$3771,0)),MATCH(I$141,'Fuel Model - Calculation'!$B$2:$M$2,0)),0)</f>
        <v>0</v>
      </c>
      <c r="BV167" s="118">
        <f>IFERROR(INDEX('Fuel Model - Calculation'!$B$2:$M$3771,(MATCH(($E167&amp;"Results"&amp;$BT$140&amp;$F167&amp;"USD/ton"),'Fuel Model - Calculation'!$B$2:$B$3771,0)),MATCH(J$141,'Fuel Model - Calculation'!$B$2:$M$2,0)),0)</f>
        <v>0</v>
      </c>
      <c r="BW167" s="118">
        <f>IFERROR(INDEX('Fuel Model - Calculation'!$B$2:$M$3771,(MATCH(($E167&amp;"Results"&amp;$BT$140&amp;$F167&amp;"USD/ton"),'Fuel Model - Calculation'!$B$2:$B$3771,0)),MATCH(K$141,'Fuel Model - Calculation'!$B$2:$M$2,0)),0)</f>
        <v>0</v>
      </c>
      <c r="BX167" s="118">
        <f>IFERROR(INDEX('Fuel Model - Calculation'!$B$2:$M$3771,(MATCH(($E167&amp;"Results"&amp;$BT$140&amp;$F167&amp;"USD/ton"),'Fuel Model - Calculation'!$B$2:$B$3771,0)),MATCH(L$141,'Fuel Model - Calculation'!$B$2:$M$2,0)),0)</f>
        <v>0</v>
      </c>
      <c r="BY167" s="118">
        <f>IFERROR(INDEX('Fuel Model - Calculation'!$B$2:$M$3771,(MATCH(($E167&amp;"Results"&amp;$BT$140&amp;$F167&amp;"USD/ton"),'Fuel Model - Calculation'!$B$2:$B$3771,0)),MATCH(M$141,'Fuel Model - Calculation'!$B$2:$M$2,0)),0)</f>
        <v>0</v>
      </c>
      <c r="BZ167" s="118">
        <f>IFERROR(INDEX('Fuel Model - Calculation'!$B$2:$M$3771,(MATCH(($E167&amp;"Results"&amp;$BT$140&amp;$F167&amp;"USD/ton"),'Fuel Model - Calculation'!$B$2:$B$3771,0)),MATCH(N$141,'Fuel Model - Calculation'!$B$2:$M$2,0)),0)</f>
        <v>0</v>
      </c>
    </row>
    <row r="168" spans="1:78" x14ac:dyDescent="0.2">
      <c r="A168" s="452"/>
      <c r="B168" s="453" t="str">
        <f>_xlfn.TEXTJOIN(keydelim,TRUE,F168,IF(E168="Africa","Africa&amp;other",E168),"Fuel cost",SUBSTITUTE($G168," ",""))</f>
        <v>e-Methanol (PS) - Asia - Fuel cost - USD/ton</v>
      </c>
      <c r="D168" s="459" t="str">
        <f t="shared" si="172"/>
        <v>Asiae-Methanol (PS)</v>
      </c>
      <c r="E168" t="s">
        <v>198</v>
      </c>
      <c r="F168" s="460" t="s">
        <v>119</v>
      </c>
      <c r="G168" t="str">
        <f>G167</f>
        <v>USD/ ton</v>
      </c>
      <c r="H168" s="118">
        <f>INDEX('Fuel Model - Calculation'!$B$2:$M$3771,(MATCH(($E168&amp;"ResultsCost of "&amp;$F168&amp;"USD/ton"),'Fuel Model - Calculation'!$B$2:$B$3771,0)),MATCH(H$141,'Fuel Model - Calculation'!$B$2:$M$2,0))</f>
        <v>2025.8371910881117</v>
      </c>
      <c r="I168" s="118">
        <f>INDEX('Fuel Model - Calculation'!$B$2:$M$3771,(MATCH(($E168&amp;"ResultsCost of "&amp;$F168&amp;"USD/ton"),'Fuel Model - Calculation'!$B$2:$B$3771,0)),MATCH(I$141,'Fuel Model - Calculation'!$B$2:$M$2,0))</f>
        <v>1480.6952043817562</v>
      </c>
      <c r="J168" s="118">
        <f>INDEX('Fuel Model - Calculation'!$B$2:$M$3771,(MATCH(($E168&amp;"ResultsCost of "&amp;$F168&amp;"USD/ton"),'Fuel Model - Calculation'!$B$2:$B$3771,0)),MATCH(J$141,'Fuel Model - Calculation'!$B$2:$M$2,0))</f>
        <v>1174.5846596171223</v>
      </c>
      <c r="K168" s="118">
        <f>INDEX('Fuel Model - Calculation'!$B$2:$M$3771,(MATCH(($E168&amp;"ResultsCost of "&amp;$F168&amp;"USD/ton"),'Fuel Model - Calculation'!$B$2:$B$3771,0)),MATCH(K$141,'Fuel Model - Calculation'!$B$2:$M$2,0))</f>
        <v>1026.9671404805083</v>
      </c>
      <c r="L168" s="118">
        <f>INDEX('Fuel Model - Calculation'!$B$2:$M$3771,(MATCH(($E168&amp;"ResultsCost of "&amp;$F168&amp;"USD/ton"),'Fuel Model - Calculation'!$B$2:$B$3771,0)),MATCH(L$141,'Fuel Model - Calculation'!$B$2:$M$2,0))</f>
        <v>891.73177032184697</v>
      </c>
      <c r="M168" s="118">
        <f>INDEX('Fuel Model - Calculation'!$B$2:$M$3771,(MATCH(($E168&amp;"ResultsCost of "&amp;$F168&amp;"USD/ton"),'Fuel Model - Calculation'!$B$2:$B$3771,0)),MATCH(M$141,'Fuel Model - Calculation'!$B$2:$M$2,0))</f>
        <v>727.78144874083455</v>
      </c>
      <c r="N168" s="118">
        <f>INDEX('Fuel Model - Calculation'!$B$2:$M$3771,(MATCH(($E168&amp;"ResultsCost of "&amp;$F168&amp;"USD/ton"),'Fuel Model - Calculation'!$B$2:$B$3771,0)),MATCH(N$141,'Fuel Model - Calculation'!$B$2:$M$2,0))</f>
        <v>587.51780001069596</v>
      </c>
      <c r="O168"/>
      <c r="P168" s="118">
        <f>IFERROR(INDEX('Fuel Model - Calculation'!G$2:G$3771,(MATCH(($E168&amp;"ResultsTotal RNE "&amp;$F168&amp;"USD/ton"),'Fuel Model - Calculation'!$B$2:$B$3771,0))),0)</f>
        <v>979.88039710226985</v>
      </c>
      <c r="Q168" s="118">
        <f>IFERROR(INDEX('Fuel Model - Calculation'!H$2:H$3771,(MATCH(($E168&amp;"ResultsTotal RNE "&amp;$F168&amp;"USD/ton"),'Fuel Model - Calculation'!$B$2:$B$3771,0))),0)</f>
        <v>636.59081792587961</v>
      </c>
      <c r="R168" s="118">
        <f>IFERROR(INDEX('Fuel Model - Calculation'!I$2:I$3771,(MATCH(($E168&amp;"ResultsTotal RNE "&amp;$F168&amp;"USD/ton"),'Fuel Model - Calculation'!$B$2:$B$3771,0))),0)</f>
        <v>509.01488196216621</v>
      </c>
      <c r="S168" s="118">
        <f>IFERROR(INDEX('Fuel Model - Calculation'!J$2:J$3771,(MATCH(($E168&amp;"ResultsTotal RNE "&amp;$F168&amp;"USD/ton"),'Fuel Model - Calculation'!$B$2:$B$3771,0))),0)</f>
        <v>414.1663725152107</v>
      </c>
      <c r="T168" s="118">
        <f>IFERROR(INDEX('Fuel Model - Calculation'!K$2:K$3771,(MATCH(($E168&amp;"ResultsTotal RNE "&amp;$F168&amp;"USD/ton"),'Fuel Model - Calculation'!$B$2:$B$3771,0))),0)</f>
        <v>359.69720340678145</v>
      </c>
      <c r="U168" s="118">
        <f>IFERROR(INDEX('Fuel Model - Calculation'!L$2:L$3771,(MATCH(($E168&amp;"ResultsTotal RNE "&amp;$F168&amp;"USD/ton"),'Fuel Model - Calculation'!$B$2:$B$3771,0))),0)</f>
        <v>302.37893931228263</v>
      </c>
      <c r="V168" s="118">
        <f>IFERROR(INDEX('Fuel Model - Calculation'!M$2:M$3771,(MATCH(($E168&amp;"ResultsTotal RNE "&amp;$F168&amp;"USD/ton"),'Fuel Model - Calculation'!$B$2:$B$3771,0))),0)</f>
        <v>272.33393641080085</v>
      </c>
      <c r="W168"/>
      <c r="X168" s="2">
        <f>INDEX('Fuel Model - Calculation'!$E$2:$M$3771,(MATCH(("WTT Emission - "&amp;$F168),'Fuel Model - Calculation'!$E$2:$E$3771,0)),MATCH(X$141,'Fuel Model - Calculation'!$E$2:$M$2,0))</f>
        <v>-1.3108780207988588</v>
      </c>
      <c r="Y168" s="2">
        <f>INDEX('Fuel Model - Calculation'!$E$2:$M$3771,(MATCH(("WTT Emission - "&amp;$F168),'Fuel Model - Calculation'!$E$2:$E$3771,0)),MATCH(Y$141,'Fuel Model - Calculation'!$E$2:$M$2,0))</f>
        <v>-1.3111366188752263</v>
      </c>
      <c r="Z168" s="2">
        <f>INDEX('Fuel Model - Calculation'!$E$2:$M$3771,(MATCH(("WTT Emission - "&amp;$F168),'Fuel Model - Calculation'!$E$2:$E$3771,0)),MATCH(Z$141,'Fuel Model - Calculation'!$E$2:$M$2,0))</f>
        <v>-1.3118632631235476</v>
      </c>
      <c r="AA168" s="2">
        <f>INDEX('Fuel Model - Calculation'!$E$2:$M$3771,(MATCH(("WTT Emission - "&amp;$F168),'Fuel Model - Calculation'!$E$2:$E$3771,0)),MATCH(AA$141,'Fuel Model - Calculation'!$E$2:$M$2,0))</f>
        <v>-1.3137932577350739</v>
      </c>
      <c r="AB168" s="2">
        <f>INDEX('Fuel Model - Calculation'!$E$2:$M$3771,(MATCH(("WTT Emission - "&amp;$F168),'Fuel Model - Calculation'!$E$2:$E$3771,0)),MATCH(AB$141,'Fuel Model - Calculation'!$E$2:$M$2,0))</f>
        <v>-1.3161109969717115</v>
      </c>
      <c r="AC168" s="2">
        <f>INDEX('Fuel Model - Calculation'!$E$2:$M$3771,(MATCH(("WTT Emission - "&amp;$F168),'Fuel Model - Calculation'!$E$2:$E$3771,0)),MATCH(AC$141,'Fuel Model - Calculation'!$E$2:$M$2,0))</f>
        <v>-1.3191966545944611</v>
      </c>
      <c r="AD168" s="2">
        <f>INDEX('Fuel Model - Calculation'!$E$2:$M$3771,(MATCH(("WTT Emission - "&amp;$F168),'Fuel Model - Calculation'!$E$2:$E$3771,0)),MATCH(AD$141,'Fuel Model - Calculation'!$E$2:$M$2,0))</f>
        <v>-1.3216273752574745</v>
      </c>
      <c r="AE168" s="2"/>
      <c r="AF168" s="2">
        <f>'Fuel Model -  Input'!H$51</f>
        <v>1.375</v>
      </c>
      <c r="AG168" s="2">
        <f>'Fuel Model -  Input'!I$51</f>
        <v>1.375</v>
      </c>
      <c r="AH168" s="2">
        <f>'Fuel Model -  Input'!J$51</f>
        <v>1.375</v>
      </c>
      <c r="AI168" s="2">
        <f>'Fuel Model -  Input'!K$51</f>
        <v>1.375</v>
      </c>
      <c r="AJ168" s="2">
        <f>'Fuel Model -  Input'!L$51</f>
        <v>1.375</v>
      </c>
      <c r="AK168" s="2">
        <f>'Fuel Model -  Input'!M$51</f>
        <v>1.375</v>
      </c>
      <c r="AL168" s="2">
        <f>'Fuel Model -  Input'!N$51</f>
        <v>1.375</v>
      </c>
      <c r="AM168"/>
      <c r="AN168" s="24">
        <f t="shared" si="171"/>
        <v>6.4121979201141155E-2</v>
      </c>
      <c r="AO168" s="24">
        <f t="shared" si="171"/>
        <v>6.3863381124773744E-2</v>
      </c>
      <c r="AP168" s="24">
        <f t="shared" si="171"/>
        <v>6.3136736876452382E-2</v>
      </c>
      <c r="AQ168" s="24">
        <f t="shared" si="171"/>
        <v>6.1206742264926062E-2</v>
      </c>
      <c r="AR168" s="24">
        <f t="shared" si="171"/>
        <v>5.8889003028288478E-2</v>
      </c>
      <c r="AS168" s="24">
        <f t="shared" si="171"/>
        <v>5.5803345405538884E-2</v>
      </c>
      <c r="AT168" s="24">
        <f t="shared" si="171"/>
        <v>5.3372624742525465E-2</v>
      </c>
      <c r="AU168"/>
      <c r="AV168" s="118">
        <f>IFERROR(INDEX('Fuel Model - Calculation'!$B$2:$M$3771,(MATCH(($E168&amp;"Results"&amp;$AV$140&amp;$F168&amp;"USD/ton"),'Fuel Model - Calculation'!$B$2:$B$3771,0)),MATCH(H$141,'Fuel Model - Calculation'!$B$2:$M$2,0)),0)</f>
        <v>457.85913608738241</v>
      </c>
      <c r="AW168" s="118">
        <f>IFERROR(INDEX('Fuel Model - Calculation'!$B$2:$M$3771,(MATCH(($E168&amp;"Results"&amp;$AV$140&amp;$F168&amp;"USD/ton"),'Fuel Model - Calculation'!$B$2:$B$3771,0)),MATCH(I$141,'Fuel Model - Calculation'!$B$2:$M$2,0)),0)</f>
        <v>370.51665394078952</v>
      </c>
      <c r="AX168" s="118">
        <f>IFERROR(INDEX('Fuel Model - Calculation'!$B$2:$M$3771,(MATCH(($E168&amp;"Results"&amp;$AV$140&amp;$F168&amp;"USD/ton"),'Fuel Model - Calculation'!$B$2:$B$3771,0)),MATCH(J$141,'Fuel Model - Calculation'!$B$2:$M$2,0)),0)</f>
        <v>292.19699484282427</v>
      </c>
      <c r="AY168" s="118">
        <f>IFERROR(INDEX('Fuel Model - Calculation'!$B$2:$M$3771,(MATCH(($E168&amp;"Results"&amp;$AV$140&amp;$F168&amp;"USD/ton"),'Fuel Model - Calculation'!$B$2:$B$3771,0)),MATCH(K$141,'Fuel Model - Calculation'!$B$2:$M$2,0)),0)</f>
        <v>278.46318391967247</v>
      </c>
      <c r="AZ168" s="118">
        <f>IFERROR(INDEX('Fuel Model - Calculation'!$B$2:$M$3771,(MATCH(($E168&amp;"Results"&amp;$AV$140&amp;$F168&amp;"USD/ton"),'Fuel Model - Calculation'!$B$2:$B$3771,0)),MATCH(L$141,'Fuel Model - Calculation'!$B$2:$M$2,0)),0)</f>
        <v>248.87379575721386</v>
      </c>
      <c r="BA168" s="118">
        <f>IFERROR(INDEX('Fuel Model - Calculation'!$B$2:$M$3771,(MATCH(($E168&amp;"Results"&amp;$AV$140&amp;$F168&amp;"USD/ton"),'Fuel Model - Calculation'!$B$2:$B$3771,0)),MATCH(M$141,'Fuel Model - Calculation'!$B$2:$M$2,0)),0)</f>
        <v>199.83852877932546</v>
      </c>
      <c r="BB168" s="118">
        <f>IFERROR(INDEX('Fuel Model - Calculation'!$B$2:$M$3771,(MATCH(($E168&amp;"Results"&amp;$AV$140&amp;$F168&amp;"USD/ton"),'Fuel Model - Calculation'!$B$2:$B$3771,0)),MATCH(N$141,'Fuel Model - Calculation'!$B$2:$M$2,0)),0)</f>
        <v>142.49674378576751</v>
      </c>
      <c r="BC168"/>
      <c r="BD168" s="118">
        <f>IFERROR(INDEX('Fuel Model - Calculation'!$B$2:$M$3771,(MATCH(($E168&amp;"Results"&amp;$BD$140&amp;$F168&amp;"USD/ton"),'Fuel Model - Calculation'!$B$2:$B$3771,0)),MATCH(P$141,'Fuel Model - Calculation'!$B$2:$M$2,0)),0)</f>
        <v>318.87450817832831</v>
      </c>
      <c r="BE168" s="118">
        <f>IFERROR(INDEX('Fuel Model - Calculation'!$B$2:$M$3771,(MATCH(($E168&amp;"Results"&amp;$BD$140&amp;$F168&amp;"USD/ton"),'Fuel Model - Calculation'!$B$2:$B$3771,0)),MATCH(Q$141,'Fuel Model - Calculation'!$B$2:$M$2,0)),0)</f>
        <v>260.00097132787192</v>
      </c>
      <c r="BF168" s="118">
        <f>IFERROR(INDEX('Fuel Model - Calculation'!$B$2:$M$3771,(MATCH(($E168&amp;"Results"&amp;$BD$140&amp;$F168&amp;"USD/ton"),'Fuel Model - Calculation'!$B$2:$B$3771,0)),MATCH(R$141,'Fuel Model - Calculation'!$B$2:$M$2,0)),0)</f>
        <v>204.11232794953355</v>
      </c>
      <c r="BG168" s="118">
        <f>IFERROR(INDEX('Fuel Model - Calculation'!$B$2:$M$3771,(MATCH(($E168&amp;"Results"&amp;$BD$140&amp;$F168&amp;"USD/ton"),'Fuel Model - Calculation'!$B$2:$B$3771,0)),MATCH(S$141,'Fuel Model - Calculation'!$B$2:$M$2,0)),0)</f>
        <v>184.10192321244199</v>
      </c>
      <c r="BH168" s="118">
        <f>IFERROR(INDEX('Fuel Model - Calculation'!$B$2:$M$3771,(MATCH(($E168&amp;"Results"&amp;$BD$140&amp;$F168&amp;"USD/ton"),'Fuel Model - Calculation'!$B$2:$B$3771,0)),MATCH(T$141,'Fuel Model - Calculation'!$B$2:$M$2,0)),0)</f>
        <v>149.83631301186713</v>
      </c>
      <c r="BI168" s="118">
        <f>IFERROR(INDEX('Fuel Model - Calculation'!$B$2:$M$3771,(MATCH(($E168&amp;"Results"&amp;$BD$140&amp;$F168&amp;"USD/ton"),'Fuel Model - Calculation'!$B$2:$B$3771,0)),MATCH(U$141,'Fuel Model - Calculation'!$B$2:$M$2,0)),0)</f>
        <v>109.25287439219724</v>
      </c>
      <c r="BJ168" s="118">
        <f>IFERROR(INDEX('Fuel Model - Calculation'!$B$2:$M$3771,(MATCH(($E168&amp;"Results"&amp;$BD$140&amp;$F168&amp;"USD/ton"),'Fuel Model - Calculation'!$B$2:$B$3771,0)),MATCH(V$141,'Fuel Model - Calculation'!$B$2:$M$2,0)),0)</f>
        <v>72.150513068036616</v>
      </c>
      <c r="BL168" s="118">
        <f>IFERROR(IFERROR(INDEX('Fuel Model - Calculation'!$B$2:$M$3771,(MATCH(($E168&amp;"Results"&amp;$BL$140&amp;$F168&amp;"USD/ton"),'Fuel Model - Calculation'!$B$2:$B$3771,0)),MATCH(H$141,'Fuel Model - Calculation'!$B$2:$M$2,0)),0),0)</f>
        <v>269.22314972013123</v>
      </c>
      <c r="BM168" s="118">
        <f>IFERROR(IFERROR(INDEX('Fuel Model - Calculation'!$B$2:$M$3771,(MATCH(($E168&amp;"Results"&amp;$BL$140&amp;$F168&amp;"USD/ton"),'Fuel Model - Calculation'!$B$2:$B$3771,0)),MATCH(I$141,'Fuel Model - Calculation'!$B$2:$M$2,0)),0),0)</f>
        <v>213.58676118721525</v>
      </c>
      <c r="BN168" s="118">
        <f>IFERROR(IFERROR(INDEX('Fuel Model - Calculation'!$B$2:$M$3771,(MATCH(($E168&amp;"Results"&amp;$BL$140&amp;$F168&amp;"USD/ton"),'Fuel Model - Calculation'!$B$2:$B$3771,0)),MATCH(J$141,'Fuel Model - Calculation'!$B$2:$M$2,0)),0),0)</f>
        <v>169.26045486259807</v>
      </c>
      <c r="BO168" s="118">
        <f>IFERROR(IFERROR(INDEX('Fuel Model - Calculation'!$B$2:$M$3771,(MATCH(($E168&amp;"Results"&amp;$BL$140&amp;$F168&amp;"USD/ton"),'Fuel Model - Calculation'!$B$2:$B$3771,0)),MATCH(K$141,'Fuel Model - Calculation'!$B$2:$M$2,0)),0),0)</f>
        <v>150.23566083318323</v>
      </c>
      <c r="BP168" s="118">
        <f>IFERROR(IFERROR(INDEX('Fuel Model - Calculation'!$B$2:$M$3771,(MATCH(($E168&amp;"Results"&amp;$BL$140&amp;$F168&amp;"USD/ton"),'Fuel Model - Calculation'!$B$2:$B$3771,0)),MATCH(L$141,'Fuel Model - Calculation'!$B$2:$M$2,0)),0),0)</f>
        <v>133.32445814598449</v>
      </c>
      <c r="BQ168" s="118">
        <f>IFERROR(IFERROR(INDEX('Fuel Model - Calculation'!$B$2:$M$3771,(MATCH(($E168&amp;"Results"&amp;$BL$140&amp;$F168&amp;"USD/ton"),'Fuel Model - Calculation'!$B$2:$B$3771,0)),MATCH(M$141,'Fuel Model - Calculation'!$B$2:$M$2,0)),0),0)</f>
        <v>116.31110625702919</v>
      </c>
      <c r="BR168" s="118">
        <f>IFERROR(IFERROR(INDEX('Fuel Model - Calculation'!$B$2:$M$3771,(MATCH(($E168&amp;"Results"&amp;$BL$140&amp;$F168&amp;"USD/ton"),'Fuel Model - Calculation'!$B$2:$B$3771,0)),MATCH(N$141,'Fuel Model - Calculation'!$B$2:$M$2,0)),0),0)</f>
        <v>100.536606746091</v>
      </c>
      <c r="BT168" s="118">
        <f>IFERROR(INDEX('Fuel Model - Calculation'!$B$2:$M$3771,(MATCH(($E168&amp;"Results"&amp;$BT$140&amp;$F168&amp;"USD/ton"),'Fuel Model - Calculation'!$B$2:$B$3771,0)),MATCH(H$141,'Fuel Model - Calculation'!$B$2:$M$2,0)),0)</f>
        <v>0</v>
      </c>
      <c r="BU168" s="118">
        <f>IFERROR(INDEX('Fuel Model - Calculation'!$B$2:$M$3771,(MATCH(($E168&amp;"Results"&amp;$BT$140&amp;$F168&amp;"USD/ton"),'Fuel Model - Calculation'!$B$2:$B$3771,0)),MATCH(I$141,'Fuel Model - Calculation'!$B$2:$M$2,0)),0)</f>
        <v>0</v>
      </c>
      <c r="BV168" s="118">
        <f>IFERROR(INDEX('Fuel Model - Calculation'!$B$2:$M$3771,(MATCH(($E168&amp;"Results"&amp;$BT$140&amp;$F168&amp;"USD/ton"),'Fuel Model - Calculation'!$B$2:$B$3771,0)),MATCH(J$141,'Fuel Model - Calculation'!$B$2:$M$2,0)),0)</f>
        <v>0</v>
      </c>
      <c r="BW168" s="118">
        <f>IFERROR(INDEX('Fuel Model - Calculation'!$B$2:$M$3771,(MATCH(($E168&amp;"Results"&amp;$BT$140&amp;$F168&amp;"USD/ton"),'Fuel Model - Calculation'!$B$2:$B$3771,0)),MATCH(K$141,'Fuel Model - Calculation'!$B$2:$M$2,0)),0)</f>
        <v>0</v>
      </c>
      <c r="BX168" s="118">
        <f>IFERROR(INDEX('Fuel Model - Calculation'!$B$2:$M$3771,(MATCH(($E168&amp;"Results"&amp;$BT$140&amp;$F168&amp;"USD/ton"),'Fuel Model - Calculation'!$B$2:$B$3771,0)),MATCH(L$141,'Fuel Model - Calculation'!$B$2:$M$2,0)),0)</f>
        <v>0</v>
      </c>
      <c r="BY168" s="118">
        <f>IFERROR(INDEX('Fuel Model - Calculation'!$B$2:$M$3771,(MATCH(($E168&amp;"Results"&amp;$BT$140&amp;$F168&amp;"USD/ton"),'Fuel Model - Calculation'!$B$2:$B$3771,0)),MATCH(M$141,'Fuel Model - Calculation'!$B$2:$M$2,0)),0)</f>
        <v>0</v>
      </c>
      <c r="BZ168" s="118">
        <f>IFERROR(INDEX('Fuel Model - Calculation'!$B$2:$M$3771,(MATCH(($E168&amp;"Results"&amp;$BT$140&amp;$F168&amp;"USD/ton"),'Fuel Model - Calculation'!$B$2:$B$3771,0)),MATCH(N$141,'Fuel Model - Calculation'!$B$2:$M$2,0)),0)</f>
        <v>0</v>
      </c>
    </row>
    <row r="169" spans="1:78" x14ac:dyDescent="0.2">
      <c r="A169" s="452"/>
      <c r="B169" s="453" t="str">
        <f>_xlfn.TEXTJOIN(keydelim,TRUE,F169,IF(E169="Africa","Africa&amp;other",E169),"Fuel cost",SUBSTITUTE($G169," ",""))</f>
        <v>e-Methanol (PS) - Americas - Fuel cost - USD/ton</v>
      </c>
      <c r="D169" s="459" t="str">
        <f t="shared" si="172"/>
        <v>Americase-Methanol (PS)</v>
      </c>
      <c r="E169" t="s">
        <v>199</v>
      </c>
      <c r="F169" s="460" t="s">
        <v>119</v>
      </c>
      <c r="G169" t="str">
        <f>G168</f>
        <v>USD/ ton</v>
      </c>
      <c r="H169" s="118">
        <f>INDEX('Fuel Model - Calculation'!$B$2:$M$3771,(MATCH(($E169&amp;"ResultsCost of "&amp;$F169&amp;"USD/ton"),'Fuel Model - Calculation'!$B$2:$B$3771,0)),MATCH(H$141,'Fuel Model - Calculation'!$B$2:$M$2,0))</f>
        <v>1484.6096987775111</v>
      </c>
      <c r="I169" s="118">
        <f>INDEX('Fuel Model - Calculation'!$B$2:$M$3771,(MATCH(($E169&amp;"ResultsCost of "&amp;$F169&amp;"USD/ton"),'Fuel Model - Calculation'!$B$2:$B$3771,0)),MATCH(I$141,'Fuel Model - Calculation'!$B$2:$M$2,0))</f>
        <v>1250.9923476882382</v>
      </c>
      <c r="J169" s="118">
        <f>INDEX('Fuel Model - Calculation'!$B$2:$M$3771,(MATCH(($E169&amp;"ResultsCost of "&amp;$F169&amp;"USD/ton"),'Fuel Model - Calculation'!$B$2:$B$3771,0)),MATCH(J$141,'Fuel Model - Calculation'!$B$2:$M$2,0))</f>
        <v>994.55883167356774</v>
      </c>
      <c r="K169" s="118">
        <f>INDEX('Fuel Model - Calculation'!$B$2:$M$3771,(MATCH(($E169&amp;"ResultsCost of "&amp;$F169&amp;"USD/ton"),'Fuel Model - Calculation'!$B$2:$B$3771,0)),MATCH(K$141,'Fuel Model - Calculation'!$B$2:$M$2,0))</f>
        <v>898.62751796425732</v>
      </c>
      <c r="L169" s="118">
        <f>INDEX('Fuel Model - Calculation'!$B$2:$M$3771,(MATCH(($E169&amp;"ResultsCost of "&amp;$F169&amp;"USD/ton"),'Fuel Model - Calculation'!$B$2:$B$3771,0)),MATCH(L$141,'Fuel Model - Calculation'!$B$2:$M$2,0))</f>
        <v>779.95619055618579</v>
      </c>
      <c r="M169" s="118">
        <f>INDEX('Fuel Model - Calculation'!$B$2:$M$3771,(MATCH(($E169&amp;"ResultsCost of "&amp;$F169&amp;"USD/ton"),'Fuel Model - Calculation'!$B$2:$B$3771,0)),MATCH(M$141,'Fuel Model - Calculation'!$B$2:$M$2,0))</f>
        <v>651.19883698909223</v>
      </c>
      <c r="N169" s="118">
        <f>INDEX('Fuel Model - Calculation'!$B$2:$M$3771,(MATCH(($E169&amp;"ResultsCost of "&amp;$F169&amp;"USD/ton"),'Fuel Model - Calculation'!$B$2:$B$3771,0)),MATCH(N$141,'Fuel Model - Calculation'!$B$2:$M$2,0))</f>
        <v>523.96943838416223</v>
      </c>
      <c r="O169"/>
      <c r="P169" s="118">
        <f>IFERROR(INDEX('Fuel Model - Calculation'!G$2:G$3771,(MATCH(($E169&amp;"ResultsTotal RNE "&amp;$F169&amp;"USD/ton"),'Fuel Model - Calculation'!$B$2:$B$3771,0))),0)</f>
        <v>465.28920969100091</v>
      </c>
      <c r="Q169" s="118">
        <f>IFERROR(INDEX('Fuel Model - Calculation'!H$2:H$3771,(MATCH(($E169&amp;"ResultsTotal RNE "&amp;$F169&amp;"USD/ton"),'Fuel Model - Calculation'!$B$2:$B$3771,0))),0)</f>
        <v>418.23621392454953</v>
      </c>
      <c r="R169" s="118">
        <f>IFERROR(INDEX('Fuel Model - Calculation'!I$2:I$3771,(MATCH(($E169&amp;"ResultsTotal RNE "&amp;$F169&amp;"USD/ton"),'Fuel Model - Calculation'!$B$2:$B$3771,0))),0)</f>
        <v>337.98030926292438</v>
      </c>
      <c r="S169" s="118">
        <f>IFERROR(INDEX('Fuel Model - Calculation'!J$2:J$3771,(MATCH(($E169&amp;"ResultsTotal RNE "&amp;$F169&amp;"USD/ton"),'Fuel Model - Calculation'!$B$2:$B$3771,0))),0)</f>
        <v>292.42829699277434</v>
      </c>
      <c r="T169" s="118">
        <f>IFERROR(INDEX('Fuel Model - Calculation'!K$2:K$3771,(MATCH(($E169&amp;"ResultsTotal RNE "&amp;$F169&amp;"USD/ton"),'Fuel Model - Calculation'!$B$2:$B$3771,0))),0)</f>
        <v>253.88536252690761</v>
      </c>
      <c r="U169" s="118">
        <f>IFERROR(INDEX('Fuel Model - Calculation'!L$2:L$3771,(MATCH(($E169&amp;"ResultsTotal RNE "&amp;$F169&amp;"USD/ton"),'Fuel Model - Calculation'!$B$2:$B$3771,0))),0)</f>
        <v>230.0956145512128</v>
      </c>
      <c r="V169" s="118">
        <f>IFERROR(INDEX('Fuel Model - Calculation'!M$2:M$3771,(MATCH(($E169&amp;"ResultsTotal RNE "&amp;$F169&amp;"USD/ton"),'Fuel Model - Calculation'!$B$2:$B$3771,0))),0)</f>
        <v>212.50609222673467</v>
      </c>
      <c r="W169"/>
      <c r="X169" s="2">
        <f>INDEX('Fuel Model - Calculation'!$E$2:$M$3771,(MATCH(("WTT Emission - "&amp;$F169),'Fuel Model - Calculation'!$E$2:$E$3771,0)),MATCH(X$141,'Fuel Model - Calculation'!$E$2:$M$2,0))</f>
        <v>-1.3108780207988588</v>
      </c>
      <c r="Y169" s="2">
        <f>INDEX('Fuel Model - Calculation'!$E$2:$M$3771,(MATCH(("WTT Emission - "&amp;$F169),'Fuel Model - Calculation'!$E$2:$E$3771,0)),MATCH(Y$141,'Fuel Model - Calculation'!$E$2:$M$2,0))</f>
        <v>-1.3111366188752263</v>
      </c>
      <c r="Z169" s="2">
        <f>INDEX('Fuel Model - Calculation'!$E$2:$M$3771,(MATCH(("WTT Emission - "&amp;$F169),'Fuel Model - Calculation'!$E$2:$E$3771,0)),MATCH(Z$141,'Fuel Model - Calculation'!$E$2:$M$2,0))</f>
        <v>-1.3118632631235476</v>
      </c>
      <c r="AA169" s="2">
        <f>INDEX('Fuel Model - Calculation'!$E$2:$M$3771,(MATCH(("WTT Emission - "&amp;$F169),'Fuel Model - Calculation'!$E$2:$E$3771,0)),MATCH(AA$141,'Fuel Model - Calculation'!$E$2:$M$2,0))</f>
        <v>-1.3137932577350739</v>
      </c>
      <c r="AB169" s="2">
        <f>INDEX('Fuel Model - Calculation'!$E$2:$M$3771,(MATCH(("WTT Emission - "&amp;$F169),'Fuel Model - Calculation'!$E$2:$E$3771,0)),MATCH(AB$141,'Fuel Model - Calculation'!$E$2:$M$2,0))</f>
        <v>-1.3161109969717115</v>
      </c>
      <c r="AC169" s="2">
        <f>INDEX('Fuel Model - Calculation'!$E$2:$M$3771,(MATCH(("WTT Emission - "&amp;$F169),'Fuel Model - Calculation'!$E$2:$E$3771,0)),MATCH(AC$141,'Fuel Model - Calculation'!$E$2:$M$2,0))</f>
        <v>-1.3191966545944611</v>
      </c>
      <c r="AD169" s="2">
        <f>INDEX('Fuel Model - Calculation'!$E$2:$M$3771,(MATCH(("WTT Emission - "&amp;$F169),'Fuel Model - Calculation'!$E$2:$E$3771,0)),MATCH(AD$141,'Fuel Model - Calculation'!$E$2:$M$2,0))</f>
        <v>-1.3216273752574745</v>
      </c>
      <c r="AE169" s="2"/>
      <c r="AF169" s="2">
        <f>'Fuel Model -  Input'!H$51</f>
        <v>1.375</v>
      </c>
      <c r="AG169" s="2">
        <f>'Fuel Model -  Input'!I$51</f>
        <v>1.375</v>
      </c>
      <c r="AH169" s="2">
        <f>'Fuel Model -  Input'!J$51</f>
        <v>1.375</v>
      </c>
      <c r="AI169" s="2">
        <f>'Fuel Model -  Input'!K$51</f>
        <v>1.375</v>
      </c>
      <c r="AJ169" s="2">
        <f>'Fuel Model -  Input'!L$51</f>
        <v>1.375</v>
      </c>
      <c r="AK169" s="2">
        <f>'Fuel Model -  Input'!M$51</f>
        <v>1.375</v>
      </c>
      <c r="AL169" s="2">
        <f>'Fuel Model -  Input'!N$51</f>
        <v>1.375</v>
      </c>
      <c r="AM169"/>
      <c r="AN169" s="24">
        <f t="shared" si="171"/>
        <v>6.4121979201141155E-2</v>
      </c>
      <c r="AO169" s="24">
        <f t="shared" si="171"/>
        <v>6.3863381124773744E-2</v>
      </c>
      <c r="AP169" s="24">
        <f t="shared" si="171"/>
        <v>6.3136736876452382E-2</v>
      </c>
      <c r="AQ169" s="24">
        <f t="shared" si="171"/>
        <v>6.1206742264926062E-2</v>
      </c>
      <c r="AR169" s="24">
        <f t="shared" si="171"/>
        <v>5.8889003028288478E-2</v>
      </c>
      <c r="AS169" s="24">
        <f t="shared" si="171"/>
        <v>5.5803345405538884E-2</v>
      </c>
      <c r="AT169" s="24">
        <f t="shared" si="171"/>
        <v>5.3372624742525465E-2</v>
      </c>
      <c r="AU169"/>
      <c r="AV169" s="118">
        <f>IFERROR(INDEX('Fuel Model - Calculation'!$B$2:$M$3771,(MATCH(($E169&amp;"Results"&amp;$AV$140&amp;$F169&amp;"USD/ton"),'Fuel Model - Calculation'!$B$2:$B$3771,0)),MATCH(H$141,'Fuel Model - Calculation'!$B$2:$M$2,0)),0)</f>
        <v>457.85913608738241</v>
      </c>
      <c r="AW169" s="118">
        <f>IFERROR(INDEX('Fuel Model - Calculation'!$B$2:$M$3771,(MATCH(($E169&amp;"Results"&amp;$AV$140&amp;$F169&amp;"USD/ton"),'Fuel Model - Calculation'!$B$2:$B$3771,0)),MATCH(I$141,'Fuel Model - Calculation'!$B$2:$M$2,0)),0)</f>
        <v>370.51665394078952</v>
      </c>
      <c r="AX169" s="118">
        <f>IFERROR(INDEX('Fuel Model - Calculation'!$B$2:$M$3771,(MATCH(($E169&amp;"Results"&amp;$AV$140&amp;$F169&amp;"USD/ton"),'Fuel Model - Calculation'!$B$2:$B$3771,0)),MATCH(J$141,'Fuel Model - Calculation'!$B$2:$M$2,0)),0)</f>
        <v>292.19699484282427</v>
      </c>
      <c r="AY169" s="118">
        <f>IFERROR(INDEX('Fuel Model - Calculation'!$B$2:$M$3771,(MATCH(($E169&amp;"Results"&amp;$AV$140&amp;$F169&amp;"USD/ton"),'Fuel Model - Calculation'!$B$2:$B$3771,0)),MATCH(K$141,'Fuel Model - Calculation'!$B$2:$M$2,0)),0)</f>
        <v>278.46318391967247</v>
      </c>
      <c r="AZ169" s="118">
        <f>IFERROR(INDEX('Fuel Model - Calculation'!$B$2:$M$3771,(MATCH(($E169&amp;"Results"&amp;$AV$140&amp;$F169&amp;"USD/ton"),'Fuel Model - Calculation'!$B$2:$B$3771,0)),MATCH(L$141,'Fuel Model - Calculation'!$B$2:$M$2,0)),0)</f>
        <v>248.87379575721388</v>
      </c>
      <c r="BA169" s="118">
        <f>IFERROR(INDEX('Fuel Model - Calculation'!$B$2:$M$3771,(MATCH(($E169&amp;"Results"&amp;$AV$140&amp;$F169&amp;"USD/ton"),'Fuel Model - Calculation'!$B$2:$B$3771,0)),MATCH(M$141,'Fuel Model - Calculation'!$B$2:$M$2,0)),0)</f>
        <v>199.83852877932543</v>
      </c>
      <c r="BB169" s="118">
        <f>IFERROR(INDEX('Fuel Model - Calculation'!$B$2:$M$3771,(MATCH(($E169&amp;"Results"&amp;$AV$140&amp;$F169&amp;"USD/ton"),'Fuel Model - Calculation'!$B$2:$B$3771,0)),MATCH(N$141,'Fuel Model - Calculation'!$B$2:$M$2,0)),0)</f>
        <v>142.49674378576751</v>
      </c>
      <c r="BC169"/>
      <c r="BD169" s="118">
        <f>IFERROR(INDEX('Fuel Model - Calculation'!$B$2:$M$3771,(MATCH(($E169&amp;"Results"&amp;$BD$140&amp;$F169&amp;"USD/ton"),'Fuel Model - Calculation'!$B$2:$B$3771,0)),MATCH(P$141,'Fuel Model - Calculation'!$B$2:$M$2,0)),0)</f>
        <v>318.87450817832837</v>
      </c>
      <c r="BE169" s="118">
        <f>IFERROR(INDEX('Fuel Model - Calculation'!$B$2:$M$3771,(MATCH(($E169&amp;"Results"&amp;$BD$140&amp;$F169&amp;"USD/ton"),'Fuel Model - Calculation'!$B$2:$B$3771,0)),MATCH(Q$141,'Fuel Model - Calculation'!$B$2:$M$2,0)),0)</f>
        <v>260.00097132787198</v>
      </c>
      <c r="BF169" s="118">
        <f>IFERROR(INDEX('Fuel Model - Calculation'!$B$2:$M$3771,(MATCH(($E169&amp;"Results"&amp;$BD$140&amp;$F169&amp;"USD/ton"),'Fuel Model - Calculation'!$B$2:$B$3771,0)),MATCH(R$141,'Fuel Model - Calculation'!$B$2:$M$2,0)),0)</f>
        <v>204.11232794953349</v>
      </c>
      <c r="BG169" s="118">
        <f>IFERROR(INDEX('Fuel Model - Calculation'!$B$2:$M$3771,(MATCH(($E169&amp;"Results"&amp;$BD$140&amp;$F169&amp;"USD/ton"),'Fuel Model - Calculation'!$B$2:$B$3771,0)),MATCH(S$141,'Fuel Model - Calculation'!$B$2:$M$2,0)),0)</f>
        <v>184.10192321244187</v>
      </c>
      <c r="BH169" s="118">
        <f>IFERROR(INDEX('Fuel Model - Calculation'!$B$2:$M$3771,(MATCH(($E169&amp;"Results"&amp;$BD$140&amp;$F169&amp;"USD/ton"),'Fuel Model - Calculation'!$B$2:$B$3771,0)),MATCH(T$141,'Fuel Model - Calculation'!$B$2:$M$2,0)),0)</f>
        <v>149.83631301186711</v>
      </c>
      <c r="BI169" s="118">
        <f>IFERROR(INDEX('Fuel Model - Calculation'!$B$2:$M$3771,(MATCH(($E169&amp;"Results"&amp;$BD$140&amp;$F169&amp;"USD/ton"),'Fuel Model - Calculation'!$B$2:$B$3771,0)),MATCH(U$141,'Fuel Model - Calculation'!$B$2:$M$2,0)),0)</f>
        <v>109.25287439219721</v>
      </c>
      <c r="BJ169" s="118">
        <f>IFERROR(INDEX('Fuel Model - Calculation'!$B$2:$M$3771,(MATCH(($E169&amp;"Results"&amp;$BD$140&amp;$F169&amp;"USD/ton"),'Fuel Model - Calculation'!$B$2:$B$3771,0)),MATCH(V$141,'Fuel Model - Calculation'!$B$2:$M$2,0)),0)</f>
        <v>72.15051306803656</v>
      </c>
      <c r="BL169" s="118">
        <f>IFERROR(IFERROR(INDEX('Fuel Model - Calculation'!$B$2:$M$3771,(MATCH(($E169&amp;"Results"&amp;$BL$140&amp;$F169&amp;"USD/ton"),'Fuel Model - Calculation'!$B$2:$B$3771,0)),MATCH(H$141,'Fuel Model - Calculation'!$B$2:$M$2,0)),0),0)</f>
        <v>242.58684482079937</v>
      </c>
      <c r="BM169" s="118">
        <f>IFERROR(IFERROR(INDEX('Fuel Model - Calculation'!$B$2:$M$3771,(MATCH(($E169&amp;"Results"&amp;$BL$140&amp;$F169&amp;"USD/ton"),'Fuel Model - Calculation'!$B$2:$B$3771,0)),MATCH(I$141,'Fuel Model - Calculation'!$B$2:$M$2,0)),0),0)</f>
        <v>202.23850849502716</v>
      </c>
      <c r="BN169" s="118">
        <f>IFERROR(IFERROR(INDEX('Fuel Model - Calculation'!$B$2:$M$3771,(MATCH(($E169&amp;"Results"&amp;$BL$140&amp;$F169&amp;"USD/ton"),'Fuel Model - Calculation'!$B$2:$B$3771,0)),MATCH(J$141,'Fuel Model - Calculation'!$B$2:$M$2,0)),0),0)</f>
        <v>160.26919961828557</v>
      </c>
      <c r="BO169" s="118">
        <f>IFERROR(IFERROR(INDEX('Fuel Model - Calculation'!$B$2:$M$3771,(MATCH(($E169&amp;"Results"&amp;$BL$140&amp;$F169&amp;"USD/ton"),'Fuel Model - Calculation'!$B$2:$B$3771,0)),MATCH(K$141,'Fuel Model - Calculation'!$B$2:$M$2,0)),0),0)</f>
        <v>143.63411383936858</v>
      </c>
      <c r="BP169" s="118">
        <f>IFERROR(IFERROR(INDEX('Fuel Model - Calculation'!$B$2:$M$3771,(MATCH(($E169&amp;"Results"&amp;$BL$140&amp;$F169&amp;"USD/ton"),'Fuel Model - Calculation'!$B$2:$B$3771,0)),MATCH(L$141,'Fuel Model - Calculation'!$B$2:$M$2,0)),0),0)</f>
        <v>127.36071926019727</v>
      </c>
      <c r="BQ169" s="118">
        <f>IFERROR(IFERROR(INDEX('Fuel Model - Calculation'!$B$2:$M$3771,(MATCH(($E169&amp;"Results"&amp;$BL$140&amp;$F169&amp;"USD/ton"),'Fuel Model - Calculation'!$B$2:$B$3771,0)),MATCH(M$141,'Fuel Model - Calculation'!$B$2:$M$2,0)),0),0)</f>
        <v>112.01181926635682</v>
      </c>
      <c r="BR169" s="118">
        <f>IFERROR(IFERROR(INDEX('Fuel Model - Calculation'!$B$2:$M$3771,(MATCH(($E169&amp;"Results"&amp;$BL$140&amp;$F169&amp;"USD/ton"),'Fuel Model - Calculation'!$B$2:$B$3771,0)),MATCH(N$141,'Fuel Model - Calculation'!$B$2:$M$2,0)),0),0)</f>
        <v>96.816089303623428</v>
      </c>
      <c r="BT169" s="118">
        <f>IFERROR(INDEX('Fuel Model - Calculation'!$B$2:$M$3771,(MATCH(($E169&amp;"Results"&amp;$BT$140&amp;$F169&amp;"USD/ton"),'Fuel Model - Calculation'!$B$2:$B$3771,0)),MATCH(H$141,'Fuel Model - Calculation'!$B$2:$M$2,0)),0)</f>
        <v>0</v>
      </c>
      <c r="BU169" s="118">
        <f>IFERROR(INDEX('Fuel Model - Calculation'!$B$2:$M$3771,(MATCH(($E169&amp;"Results"&amp;$BT$140&amp;$F169&amp;"USD/ton"),'Fuel Model - Calculation'!$B$2:$B$3771,0)),MATCH(I$141,'Fuel Model - Calculation'!$B$2:$M$2,0)),0)</f>
        <v>0</v>
      </c>
      <c r="BV169" s="118">
        <f>IFERROR(INDEX('Fuel Model - Calculation'!$B$2:$M$3771,(MATCH(($E169&amp;"Results"&amp;$BT$140&amp;$F169&amp;"USD/ton"),'Fuel Model - Calculation'!$B$2:$B$3771,0)),MATCH(J$141,'Fuel Model - Calculation'!$B$2:$M$2,0)),0)</f>
        <v>0</v>
      </c>
      <c r="BW169" s="118">
        <f>IFERROR(INDEX('Fuel Model - Calculation'!$B$2:$M$3771,(MATCH(($E169&amp;"Results"&amp;$BT$140&amp;$F169&amp;"USD/ton"),'Fuel Model - Calculation'!$B$2:$B$3771,0)),MATCH(K$141,'Fuel Model - Calculation'!$B$2:$M$2,0)),0)</f>
        <v>0</v>
      </c>
      <c r="BX169" s="118">
        <f>IFERROR(INDEX('Fuel Model - Calculation'!$B$2:$M$3771,(MATCH(($E169&amp;"Results"&amp;$BT$140&amp;$F169&amp;"USD/ton"),'Fuel Model - Calculation'!$B$2:$B$3771,0)),MATCH(L$141,'Fuel Model - Calculation'!$B$2:$M$2,0)),0)</f>
        <v>0</v>
      </c>
      <c r="BY169" s="118">
        <f>IFERROR(INDEX('Fuel Model - Calculation'!$B$2:$M$3771,(MATCH(($E169&amp;"Results"&amp;$BT$140&amp;$F169&amp;"USD/ton"),'Fuel Model - Calculation'!$B$2:$B$3771,0)),MATCH(M$141,'Fuel Model - Calculation'!$B$2:$M$2,0)),0)</f>
        <v>0</v>
      </c>
      <c r="BZ169" s="118">
        <f>IFERROR(INDEX('Fuel Model - Calculation'!$B$2:$M$3771,(MATCH(($E169&amp;"Results"&amp;$BT$140&amp;$F169&amp;"USD/ton"),'Fuel Model - Calculation'!$B$2:$B$3771,0)),MATCH(N$141,'Fuel Model - Calculation'!$B$2:$M$2,0)),0)</f>
        <v>0</v>
      </c>
    </row>
    <row r="170" spans="1:78" x14ac:dyDescent="0.2">
      <c r="A170" s="452"/>
      <c r="B170" s="453" t="str">
        <f>_xlfn.TEXTJOIN(keydelim,TRUE,F170,IF(E170="Africa","Africa&amp;other",E170),"Fuel cost",SUBSTITUTE($G170," ",""))</f>
        <v>e-Methanol (PS) - Africa&amp;other - Fuel cost - USD/ton</v>
      </c>
      <c r="D170" s="459" t="str">
        <f t="shared" si="172"/>
        <v>Africae-Methanol (PS)</v>
      </c>
      <c r="E170" t="s">
        <v>200</v>
      </c>
      <c r="F170" s="460" t="s">
        <v>119</v>
      </c>
      <c r="G170" t="str">
        <f>G169</f>
        <v>USD/ ton</v>
      </c>
      <c r="H170" s="118">
        <f>INDEX('Fuel Model - Calculation'!$B$2:$M$3771,(MATCH(($E170&amp;"ResultsCost of "&amp;$F170&amp;"USD/ton"),'Fuel Model - Calculation'!$B$2:$B$3771,0)),MATCH(H$141,'Fuel Model - Calculation'!$B$2:$M$2,0))</f>
        <v>1986.8752546928288</v>
      </c>
      <c r="I170" s="118">
        <f>INDEX('Fuel Model - Calculation'!$B$2:$M$3771,(MATCH(($E170&amp;"ResultsCost of "&amp;$F170&amp;"USD/ton"),'Fuel Model - Calculation'!$B$2:$B$3771,0)),MATCH(I$141,'Fuel Model - Calculation'!$B$2:$M$2,0))</f>
        <v>1369.9576323378092</v>
      </c>
      <c r="J170" s="118">
        <f>INDEX('Fuel Model - Calculation'!$B$2:$M$3771,(MATCH(($E170&amp;"ResultsCost of "&amp;$F170&amp;"USD/ton"),'Fuel Model - Calculation'!$B$2:$B$3771,0)),MATCH(J$141,'Fuel Model - Calculation'!$B$2:$M$2,0))</f>
        <v>1073.4342874002002</v>
      </c>
      <c r="K170" s="118">
        <f>INDEX('Fuel Model - Calculation'!$B$2:$M$3771,(MATCH(($E170&amp;"ResultsCost of "&amp;$F170&amp;"USD/ton"),'Fuel Model - Calculation'!$B$2:$B$3771,0)),MATCH(K$141,'Fuel Model - Calculation'!$B$2:$M$2,0))</f>
        <v>948.24196439186221</v>
      </c>
      <c r="L170" s="118">
        <f>INDEX('Fuel Model - Calculation'!$B$2:$M$3771,(MATCH(($E170&amp;"ResultsCost of "&amp;$F170&amp;"USD/ton"),'Fuel Model - Calculation'!$B$2:$B$3771,0)),MATCH(L$141,'Fuel Model - Calculation'!$B$2:$M$2,0))</f>
        <v>827.71875735841115</v>
      </c>
      <c r="M170" s="118">
        <f>INDEX('Fuel Model - Calculation'!$B$2:$M$3771,(MATCH(($E170&amp;"ResultsCost of "&amp;$F170&amp;"USD/ton"),'Fuel Model - Calculation'!$B$2:$B$3771,0)),MATCH(M$141,'Fuel Model - Calculation'!$B$2:$M$2,0))</f>
        <v>679.27654406907334</v>
      </c>
      <c r="N170" s="118">
        <f>INDEX('Fuel Model - Calculation'!$B$2:$M$3771,(MATCH(($E170&amp;"ResultsCost of "&amp;$F170&amp;"USD/ton"),'Fuel Model - Calculation'!$B$2:$B$3771,0)),MATCH(N$141,'Fuel Model - Calculation'!$B$2:$M$2,0))</f>
        <v>545.55150174515268</v>
      </c>
      <c r="O170"/>
      <c r="P170" s="118">
        <f>IFERROR(INDEX('Fuel Model - Calculation'!G$2:G$3771,(MATCH(($E170&amp;"ResultsTotal RNE "&amp;$F170&amp;"USD/ton"),'Fuel Model - Calculation'!$B$2:$B$3771,0))),0)</f>
        <v>942.83595756743398</v>
      </c>
      <c r="Q170" s="118">
        <f>IFERROR(INDEX('Fuel Model - Calculation'!H$2:H$3771,(MATCH(($E170&amp;"ResultsTotal RNE "&amp;$F170&amp;"USD/ton"),'Fuel Model - Calculation'!$B$2:$B$3771,0))),0)</f>
        <v>531.32413104271575</v>
      </c>
      <c r="R170" s="118">
        <f>IFERROR(INDEX('Fuel Model - Calculation'!I$2:I$3771,(MATCH(($E170&amp;"ResultsTotal RNE "&amp;$F170&amp;"USD/ton"),'Fuel Model - Calculation'!$B$2:$B$3771,0))),0)</f>
        <v>412.91638938411882</v>
      </c>
      <c r="S170" s="118">
        <f>IFERROR(INDEX('Fuel Model - Calculation'!J$2:J$3771,(MATCH(($E170&amp;"ResultsTotal RNE "&amp;$F170&amp;"USD/ton"),'Fuel Model - Calculation'!$B$2:$B$3771,0))),0)</f>
        <v>339.49067030965722</v>
      </c>
      <c r="T170" s="118">
        <f>IFERROR(INDEX('Fuel Model - Calculation'!K$2:K$3771,(MATCH(($E170&amp;"ResultsTotal RNE "&amp;$F170&amp;"USD/ton"),'Fuel Model - Calculation'!$B$2:$B$3771,0))),0)</f>
        <v>299.09957773461997</v>
      </c>
      <c r="U170" s="118">
        <f>IFERROR(INDEX('Fuel Model - Calculation'!L$2:L$3771,(MATCH(($E170&amp;"ResultsTotal RNE "&amp;$F170&amp;"USD/ton"),'Fuel Model - Calculation'!$B$2:$B$3771,0))),0)</f>
        <v>256.59706145913032</v>
      </c>
      <c r="V170" s="118">
        <f>IFERROR(INDEX('Fuel Model - Calculation'!M$2:M$3771,(MATCH(($E170&amp;"ResultsTotal RNE "&amp;$F170&amp;"USD/ton"),'Fuel Model - Calculation'!$B$2:$B$3771,0))),0)</f>
        <v>232.82460699065984</v>
      </c>
      <c r="W170"/>
      <c r="X170" s="2">
        <f>INDEX('Fuel Model - Calculation'!$E$2:$M$3771,(MATCH(("WTT Emission - "&amp;$F170),'Fuel Model - Calculation'!$E$2:$E$3771,0)),MATCH(X$141,'Fuel Model - Calculation'!$E$2:$M$2,0))</f>
        <v>-1.3108780207988588</v>
      </c>
      <c r="Y170" s="2">
        <f>INDEX('Fuel Model - Calculation'!$E$2:$M$3771,(MATCH(("WTT Emission - "&amp;$F170),'Fuel Model - Calculation'!$E$2:$E$3771,0)),MATCH(Y$141,'Fuel Model - Calculation'!$E$2:$M$2,0))</f>
        <v>-1.3111366188752263</v>
      </c>
      <c r="Z170" s="2">
        <f>INDEX('Fuel Model - Calculation'!$E$2:$M$3771,(MATCH(("WTT Emission - "&amp;$F170),'Fuel Model - Calculation'!$E$2:$E$3771,0)),MATCH(Z$141,'Fuel Model - Calculation'!$E$2:$M$2,0))</f>
        <v>-1.3118632631235476</v>
      </c>
      <c r="AA170" s="2">
        <f>INDEX('Fuel Model - Calculation'!$E$2:$M$3771,(MATCH(("WTT Emission - "&amp;$F170),'Fuel Model - Calculation'!$E$2:$E$3771,0)),MATCH(AA$141,'Fuel Model - Calculation'!$E$2:$M$2,0))</f>
        <v>-1.3137932577350739</v>
      </c>
      <c r="AB170" s="2">
        <f>INDEX('Fuel Model - Calculation'!$E$2:$M$3771,(MATCH(("WTT Emission - "&amp;$F170),'Fuel Model - Calculation'!$E$2:$E$3771,0)),MATCH(AB$141,'Fuel Model - Calculation'!$E$2:$M$2,0))</f>
        <v>-1.3161109969717115</v>
      </c>
      <c r="AC170" s="2">
        <f>INDEX('Fuel Model - Calculation'!$E$2:$M$3771,(MATCH(("WTT Emission - "&amp;$F170),'Fuel Model - Calculation'!$E$2:$E$3771,0)),MATCH(AC$141,'Fuel Model - Calculation'!$E$2:$M$2,0))</f>
        <v>-1.3191966545944611</v>
      </c>
      <c r="AD170" s="2">
        <f>INDEX('Fuel Model - Calculation'!$E$2:$M$3771,(MATCH(("WTT Emission - "&amp;$F170),'Fuel Model - Calculation'!$E$2:$E$3771,0)),MATCH(AD$141,'Fuel Model - Calculation'!$E$2:$M$2,0))</f>
        <v>-1.3216273752574745</v>
      </c>
      <c r="AE170" s="2"/>
      <c r="AF170" s="2">
        <f>'Fuel Model -  Input'!H$51</f>
        <v>1.375</v>
      </c>
      <c r="AG170" s="2">
        <f>'Fuel Model -  Input'!I$51</f>
        <v>1.375</v>
      </c>
      <c r="AH170" s="2">
        <f>'Fuel Model -  Input'!J$51</f>
        <v>1.375</v>
      </c>
      <c r="AI170" s="2">
        <f>'Fuel Model -  Input'!K$51</f>
        <v>1.375</v>
      </c>
      <c r="AJ170" s="2">
        <f>'Fuel Model -  Input'!L$51</f>
        <v>1.375</v>
      </c>
      <c r="AK170" s="2">
        <f>'Fuel Model -  Input'!M$51</f>
        <v>1.375</v>
      </c>
      <c r="AL170" s="2">
        <f>'Fuel Model -  Input'!N$51</f>
        <v>1.375</v>
      </c>
      <c r="AM170"/>
      <c r="AN170" s="24">
        <f t="shared" si="171"/>
        <v>6.4121979201141155E-2</v>
      </c>
      <c r="AO170" s="24">
        <f t="shared" si="171"/>
        <v>6.3863381124773744E-2</v>
      </c>
      <c r="AP170" s="24">
        <f t="shared" si="171"/>
        <v>6.3136736876452382E-2</v>
      </c>
      <c r="AQ170" s="24">
        <f t="shared" si="171"/>
        <v>6.1206742264926062E-2</v>
      </c>
      <c r="AR170" s="24">
        <f t="shared" si="171"/>
        <v>5.8889003028288478E-2</v>
      </c>
      <c r="AS170" s="24">
        <f t="shared" si="171"/>
        <v>5.5803345405538884E-2</v>
      </c>
      <c r="AT170" s="24">
        <f t="shared" si="171"/>
        <v>5.3372624742525465E-2</v>
      </c>
      <c r="AU170"/>
      <c r="AV170" s="118">
        <f>IFERROR(INDEX('Fuel Model - Calculation'!$B$2:$M$3771,(MATCH(($E170&amp;"Results"&amp;$AV$140&amp;$F170&amp;"USD/ton"),'Fuel Model - Calculation'!$B$2:$B$3771,0)),MATCH(H$141,'Fuel Model - Calculation'!$B$2:$M$2,0)),0)</f>
        <v>457.85913608738241</v>
      </c>
      <c r="AW170" s="118">
        <f>IFERROR(INDEX('Fuel Model - Calculation'!$B$2:$M$3771,(MATCH(($E170&amp;"Results"&amp;$AV$140&amp;$F170&amp;"USD/ton"),'Fuel Model - Calculation'!$B$2:$B$3771,0)),MATCH(I$141,'Fuel Model - Calculation'!$B$2:$M$2,0)),0)</f>
        <v>370.51665394078952</v>
      </c>
      <c r="AX170" s="118">
        <f>IFERROR(INDEX('Fuel Model - Calculation'!$B$2:$M$3771,(MATCH(($E170&amp;"Results"&amp;$AV$140&amp;$F170&amp;"USD/ton"),'Fuel Model - Calculation'!$B$2:$B$3771,0)),MATCH(J$141,'Fuel Model - Calculation'!$B$2:$M$2,0)),0)</f>
        <v>292.19699484282421</v>
      </c>
      <c r="AY170" s="118">
        <f>IFERROR(INDEX('Fuel Model - Calculation'!$B$2:$M$3771,(MATCH(($E170&amp;"Results"&amp;$AV$140&amp;$F170&amp;"USD/ton"),'Fuel Model - Calculation'!$B$2:$B$3771,0)),MATCH(K$141,'Fuel Model - Calculation'!$B$2:$M$2,0)),0)</f>
        <v>278.46318391967247</v>
      </c>
      <c r="AZ170" s="118">
        <f>IFERROR(INDEX('Fuel Model - Calculation'!$B$2:$M$3771,(MATCH(($E170&amp;"Results"&amp;$AV$140&amp;$F170&amp;"USD/ton"),'Fuel Model - Calculation'!$B$2:$B$3771,0)),MATCH(L$141,'Fuel Model - Calculation'!$B$2:$M$2,0)),0)</f>
        <v>248.87379575721386</v>
      </c>
      <c r="BA170" s="118">
        <f>IFERROR(INDEX('Fuel Model - Calculation'!$B$2:$M$3771,(MATCH(($E170&amp;"Results"&amp;$AV$140&amp;$F170&amp;"USD/ton"),'Fuel Model - Calculation'!$B$2:$B$3771,0)),MATCH(M$141,'Fuel Model - Calculation'!$B$2:$M$2,0)),0)</f>
        <v>199.83852877932546</v>
      </c>
      <c r="BB170" s="118">
        <f>IFERROR(INDEX('Fuel Model - Calculation'!$B$2:$M$3771,(MATCH(($E170&amp;"Results"&amp;$AV$140&amp;$F170&amp;"USD/ton"),'Fuel Model - Calculation'!$B$2:$B$3771,0)),MATCH(N$141,'Fuel Model - Calculation'!$B$2:$M$2,0)),0)</f>
        <v>142.49674378576751</v>
      </c>
      <c r="BC170"/>
      <c r="BD170" s="118">
        <f>IFERROR(INDEX('Fuel Model - Calculation'!$B$2:$M$3771,(MATCH(($E170&amp;"Results"&amp;$BD$140&amp;$F170&amp;"USD/ton"),'Fuel Model - Calculation'!$B$2:$B$3771,0)),MATCH(P$141,'Fuel Model - Calculation'!$B$2:$M$2,0)),0)</f>
        <v>318.87450817832803</v>
      </c>
      <c r="BE170" s="118">
        <f>IFERROR(INDEX('Fuel Model - Calculation'!$B$2:$M$3771,(MATCH(($E170&amp;"Results"&amp;$BD$140&amp;$F170&amp;"USD/ton"),'Fuel Model - Calculation'!$B$2:$B$3771,0)),MATCH(Q$141,'Fuel Model - Calculation'!$B$2:$M$2,0)),0)</f>
        <v>260.00097132787187</v>
      </c>
      <c r="BF170" s="118">
        <f>IFERROR(INDEX('Fuel Model - Calculation'!$B$2:$M$3771,(MATCH(($E170&amp;"Results"&amp;$BD$140&amp;$F170&amp;"USD/ton"),'Fuel Model - Calculation'!$B$2:$B$3771,0)),MATCH(R$141,'Fuel Model - Calculation'!$B$2:$M$2,0)),0)</f>
        <v>204.11232794953358</v>
      </c>
      <c r="BG170" s="118">
        <f>IFERROR(INDEX('Fuel Model - Calculation'!$B$2:$M$3771,(MATCH(($E170&amp;"Results"&amp;$BD$140&amp;$F170&amp;"USD/ton"),'Fuel Model - Calculation'!$B$2:$B$3771,0)),MATCH(S$141,'Fuel Model - Calculation'!$B$2:$M$2,0)),0)</f>
        <v>184.10192321244193</v>
      </c>
      <c r="BH170" s="118">
        <f>IFERROR(INDEX('Fuel Model - Calculation'!$B$2:$M$3771,(MATCH(($E170&amp;"Results"&amp;$BD$140&amp;$F170&amp;"USD/ton"),'Fuel Model - Calculation'!$B$2:$B$3771,0)),MATCH(T$141,'Fuel Model - Calculation'!$B$2:$M$2,0)),0)</f>
        <v>149.83631301186705</v>
      </c>
      <c r="BI170" s="118">
        <f>IFERROR(INDEX('Fuel Model - Calculation'!$B$2:$M$3771,(MATCH(($E170&amp;"Results"&amp;$BD$140&amp;$F170&amp;"USD/ton"),'Fuel Model - Calculation'!$B$2:$B$3771,0)),MATCH(U$141,'Fuel Model - Calculation'!$B$2:$M$2,0)),0)</f>
        <v>109.25287439219717</v>
      </c>
      <c r="BJ170" s="118">
        <f>IFERROR(INDEX('Fuel Model - Calculation'!$B$2:$M$3771,(MATCH(($E170&amp;"Results"&amp;$BD$140&amp;$F170&amp;"USD/ton"),'Fuel Model - Calculation'!$B$2:$B$3771,0)),MATCH(V$141,'Fuel Model - Calculation'!$B$2:$M$2,0)),0)</f>
        <v>72.150513068036574</v>
      </c>
      <c r="BL170" s="118">
        <f>IFERROR(IFERROR(INDEX('Fuel Model - Calculation'!$B$2:$M$3771,(MATCH(($E170&amp;"Results"&amp;$BL$140&amp;$F170&amp;"USD/ton"),'Fuel Model - Calculation'!$B$2:$B$3771,0)),MATCH(H$141,'Fuel Model - Calculation'!$B$2:$M$2,0)),0),0)</f>
        <v>267.30565285968436</v>
      </c>
      <c r="BM170" s="118">
        <f>IFERROR(IFERROR(INDEX('Fuel Model - Calculation'!$B$2:$M$3771,(MATCH(($E170&amp;"Results"&amp;$BL$140&amp;$F170&amp;"USD/ton"),'Fuel Model - Calculation'!$B$2:$B$3771,0)),MATCH(I$141,'Fuel Model - Calculation'!$B$2:$M$2,0)),0),0)</f>
        <v>208.11587602643195</v>
      </c>
      <c r="BN170" s="118">
        <f>IFERROR(IFERROR(INDEX('Fuel Model - Calculation'!$B$2:$M$3771,(MATCH(($E170&amp;"Results"&amp;$BL$140&amp;$F170&amp;"USD/ton"),'Fuel Model - Calculation'!$B$2:$B$3771,0)),MATCH(J$141,'Fuel Model - Calculation'!$B$2:$M$2,0)),0),0)</f>
        <v>164.20857522372359</v>
      </c>
      <c r="BO170" s="118">
        <f>IFERROR(IFERROR(INDEX('Fuel Model - Calculation'!$B$2:$M$3771,(MATCH(($E170&amp;"Results"&amp;$BL$140&amp;$F170&amp;"USD/ton"),'Fuel Model - Calculation'!$B$2:$B$3771,0)),MATCH(K$141,'Fuel Model - Calculation'!$B$2:$M$2,0)),0),0)</f>
        <v>146.18618695009056</v>
      </c>
      <c r="BP170" s="118">
        <f>IFERROR(IFERROR(INDEX('Fuel Model - Calculation'!$B$2:$M$3771,(MATCH(($E170&amp;"Results"&amp;$BL$140&amp;$F170&amp;"USD/ton"),'Fuel Model - Calculation'!$B$2:$B$3771,0)),MATCH(L$141,'Fuel Model - Calculation'!$B$2:$M$2,0)),0),0)</f>
        <v>129.90907085471031</v>
      </c>
      <c r="BQ170" s="118">
        <f>IFERROR(IFERROR(INDEX('Fuel Model - Calculation'!$B$2:$M$3771,(MATCH(($E170&amp;"Results"&amp;$BL$140&amp;$F170&amp;"USD/ton"),'Fuel Model - Calculation'!$B$2:$B$3771,0)),MATCH(M$141,'Fuel Model - Calculation'!$B$2:$M$2,0)),0),0)</f>
        <v>113.58807943842032</v>
      </c>
      <c r="BR170" s="118">
        <f>IFERROR(IFERROR(INDEX('Fuel Model - Calculation'!$B$2:$M$3771,(MATCH(($E170&amp;"Results"&amp;$BL$140&amp;$F170&amp;"USD/ton"),'Fuel Model - Calculation'!$B$2:$B$3771,0)),MATCH(N$141,'Fuel Model - Calculation'!$B$2:$M$2,0)),0),0)</f>
        <v>98.079637900688738</v>
      </c>
      <c r="BT170" s="118">
        <f>IFERROR(INDEX('Fuel Model - Calculation'!$B$2:$M$3771,(MATCH(($E170&amp;"Results"&amp;$BT$140&amp;$F170&amp;"USD/ton"),'Fuel Model - Calculation'!$B$2:$B$3771,0)),MATCH(H$141,'Fuel Model - Calculation'!$B$2:$M$2,0)),0)</f>
        <v>0</v>
      </c>
      <c r="BU170" s="118">
        <f>IFERROR(INDEX('Fuel Model - Calculation'!$B$2:$M$3771,(MATCH(($E170&amp;"Results"&amp;$BT$140&amp;$F170&amp;"USD/ton"),'Fuel Model - Calculation'!$B$2:$B$3771,0)),MATCH(I$141,'Fuel Model - Calculation'!$B$2:$M$2,0)),0)</f>
        <v>0</v>
      </c>
      <c r="BV170" s="118">
        <f>IFERROR(INDEX('Fuel Model - Calculation'!$B$2:$M$3771,(MATCH(($E170&amp;"Results"&amp;$BT$140&amp;$F170&amp;"USD/ton"),'Fuel Model - Calculation'!$B$2:$B$3771,0)),MATCH(J$141,'Fuel Model - Calculation'!$B$2:$M$2,0)),0)</f>
        <v>0</v>
      </c>
      <c r="BW170" s="118">
        <f>IFERROR(INDEX('Fuel Model - Calculation'!$B$2:$M$3771,(MATCH(($E170&amp;"Results"&amp;$BT$140&amp;$F170&amp;"USD/ton"),'Fuel Model - Calculation'!$B$2:$B$3771,0)),MATCH(K$141,'Fuel Model - Calculation'!$B$2:$M$2,0)),0)</f>
        <v>0</v>
      </c>
      <c r="BX170" s="118">
        <f>IFERROR(INDEX('Fuel Model - Calculation'!$B$2:$M$3771,(MATCH(($E170&amp;"Results"&amp;$BT$140&amp;$F170&amp;"USD/ton"),'Fuel Model - Calculation'!$B$2:$B$3771,0)),MATCH(L$141,'Fuel Model - Calculation'!$B$2:$M$2,0)),0)</f>
        <v>0</v>
      </c>
      <c r="BY170" s="118">
        <f>IFERROR(INDEX('Fuel Model - Calculation'!$B$2:$M$3771,(MATCH(($E170&amp;"Results"&amp;$BT$140&amp;$F170&amp;"USD/ton"),'Fuel Model - Calculation'!$B$2:$B$3771,0)),MATCH(M$141,'Fuel Model - Calculation'!$B$2:$M$2,0)),0)</f>
        <v>0</v>
      </c>
      <c r="BZ170" s="118">
        <f>IFERROR(INDEX('Fuel Model - Calculation'!$B$2:$M$3771,(MATCH(($E170&amp;"Results"&amp;$BT$140&amp;$F170&amp;"USD/ton"),'Fuel Model - Calculation'!$B$2:$B$3771,0)),MATCH(N$141,'Fuel Model - Calculation'!$B$2:$M$2,0)),0)</f>
        <v>0</v>
      </c>
    </row>
    <row r="171" spans="1:78" x14ac:dyDescent="0.2">
      <c r="A171" s="452"/>
      <c r="B171" s="453"/>
      <c r="D171" s="459"/>
      <c r="E171"/>
      <c r="F171" s="157"/>
      <c r="G171"/>
      <c r="H171" s="118"/>
      <c r="I171"/>
      <c r="J171"/>
      <c r="K171"/>
      <c r="L171"/>
      <c r="M171"/>
      <c r="N171"/>
      <c r="O171"/>
      <c r="P171"/>
      <c r="Q171"/>
      <c r="R171"/>
      <c r="S171"/>
      <c r="T171"/>
      <c r="U171"/>
      <c r="V171"/>
      <c r="W171"/>
      <c r="X171"/>
      <c r="Y171"/>
      <c r="Z171"/>
      <c r="AA171"/>
      <c r="AB171"/>
      <c r="AC171"/>
      <c r="AD171"/>
      <c r="AE171"/>
      <c r="AF171" s="2"/>
      <c r="AG171" s="2"/>
      <c r="AH171" s="2"/>
      <c r="AI171" s="2"/>
      <c r="AJ171" s="2"/>
      <c r="AK171" s="2"/>
      <c r="AL171" s="2"/>
      <c r="AM171"/>
      <c r="AN171" s="24"/>
      <c r="AO171" s="24"/>
      <c r="AP171" s="24"/>
      <c r="AQ171" s="24"/>
      <c r="AR171" s="24"/>
      <c r="AS171" s="24"/>
      <c r="AT171" s="24"/>
      <c r="AU171"/>
      <c r="AV171" s="118"/>
      <c r="AW171" s="118"/>
      <c r="AX171" s="118"/>
      <c r="AY171" s="118"/>
      <c r="AZ171" s="118"/>
      <c r="BA171" s="118"/>
      <c r="BB171" s="118"/>
      <c r="BC171"/>
      <c r="BD171" s="118"/>
      <c r="BE171" s="118"/>
      <c r="BF171" s="118"/>
      <c r="BG171" s="118"/>
      <c r="BH171" s="118"/>
      <c r="BI171" s="118"/>
      <c r="BJ171" s="118"/>
      <c r="BL171" s="118"/>
      <c r="BM171" s="118"/>
      <c r="BN171" s="118"/>
      <c r="BO171" s="118"/>
      <c r="BP171" s="118"/>
      <c r="BQ171" s="118"/>
      <c r="BR171" s="118"/>
      <c r="BT171" s="118"/>
      <c r="BU171" s="118"/>
      <c r="BV171" s="118"/>
      <c r="BW171" s="118"/>
      <c r="BX171" s="118"/>
      <c r="BY171" s="118"/>
      <c r="BZ171" s="118"/>
    </row>
    <row r="172" spans="1:78" x14ac:dyDescent="0.2">
      <c r="A172" s="452"/>
      <c r="B172" s="453" t="str">
        <f>_xlfn.TEXTJOIN(keydelim,TRUE,F172,IF(E172="Africa","Africa&amp;other",E172),"Fuel cost",SUBSTITUTE($G172," ",""))</f>
        <v>e-Diesel (DAC) - Europe - Fuel cost - USD/ton</v>
      </c>
      <c r="D172" s="459" t="str">
        <f>E172&amp;F172</f>
        <v>Europee-Diesel (DAC)</v>
      </c>
      <c r="E172" t="s">
        <v>195</v>
      </c>
      <c r="F172" s="460" t="s">
        <v>588</v>
      </c>
      <c r="G172" t="s">
        <v>835</v>
      </c>
      <c r="H172" s="118">
        <f>INDEX('Fuel Model - Calculation'!$B$2:$M$3771,(MATCH(($E172&amp;"ResultsCost of "&amp;$F172&amp;"USD/ton"),'Fuel Model - Calculation'!$B$2:$B$3771,0)),MATCH(H$141,'Fuel Model - Calculation'!$B$2:$M$2,0))</f>
        <v>4575.75599222251</v>
      </c>
      <c r="I172" s="118">
        <f>INDEX('Fuel Model - Calculation'!$B$2:$M$3771,(MATCH(($E172&amp;"ResultsCost of "&amp;$F172&amp;"USD/ton"),'Fuel Model - Calculation'!$B$2:$B$3771,0)),MATCH(I$141,'Fuel Model - Calculation'!$B$2:$M$2,0))</f>
        <v>3666.3271891911131</v>
      </c>
      <c r="J172" s="118">
        <f>INDEX('Fuel Model - Calculation'!$B$2:$M$3771,(MATCH(($E172&amp;"ResultsCost of "&amp;$F172&amp;"USD/ton"),'Fuel Model - Calculation'!$B$2:$B$3771,0)),MATCH(J$141,'Fuel Model - Calculation'!$B$2:$M$2,0))</f>
        <v>2915.3539843026874</v>
      </c>
      <c r="K172" s="118">
        <f>INDEX('Fuel Model - Calculation'!$B$2:$M$3771,(MATCH(($E172&amp;"ResultsCost of "&amp;$F172&amp;"USD/ton"),'Fuel Model - Calculation'!$B$2:$B$3771,0)),MATCH(K$141,'Fuel Model - Calculation'!$B$2:$M$2,0))</f>
        <v>2627.2527651600581</v>
      </c>
      <c r="L172" s="118">
        <f>INDEX('Fuel Model - Calculation'!$B$2:$M$3771,(MATCH(($E172&amp;"ResultsCost of "&amp;$F172&amp;"USD/ton"),'Fuel Model - Calculation'!$B$2:$B$3771,0)),MATCH(L$141,'Fuel Model - Calculation'!$B$2:$M$2,0))</f>
        <v>2325.3533111473339</v>
      </c>
      <c r="M172" s="118">
        <f>INDEX('Fuel Model - Calculation'!$B$2:$M$3771,(MATCH(($E172&amp;"ResultsCost of "&amp;$F172&amp;"USD/ton"),'Fuel Model - Calculation'!$B$2:$B$3771,0)),MATCH(M$141,'Fuel Model - Calculation'!$B$2:$M$2,0))</f>
        <v>1896.7339903904369</v>
      </c>
      <c r="N172" s="118">
        <f>INDEX('Fuel Model - Calculation'!$B$2:$M$3771,(MATCH(($E172&amp;"ResultsCost of "&amp;$F172&amp;"USD/ton"),'Fuel Model - Calculation'!$B$2:$B$3771,0)),MATCH(N$141,'Fuel Model - Calculation'!$B$2:$M$2,0))</f>
        <v>1510.3396783572825</v>
      </c>
      <c r="O172"/>
      <c r="P172" s="118">
        <f>IFERROR(INDEX('Fuel Model - Calculation'!G$2:G$3771,(MATCH(($E172&amp;"ResultsTotal RNE "&amp;$F172&amp;"USD/ton"),'Fuel Model - Calculation'!$B$2:$B$3771,0))),0)</f>
        <v>1416.0099006012485</v>
      </c>
      <c r="Q172" s="118">
        <f>IFERROR(INDEX('Fuel Model - Calculation'!H$2:H$3771,(MATCH(($E172&amp;"ResultsTotal RNE "&amp;$F172&amp;"USD/ton"),'Fuel Model - Calculation'!$B$2:$B$3771,0))),0)</f>
        <v>1138.9130531895148</v>
      </c>
      <c r="R172" s="118">
        <f>IFERROR(INDEX('Fuel Model - Calculation'!I$2:I$3771,(MATCH(($E172&amp;"ResultsTotal RNE "&amp;$F172&amp;"USD/ton"),'Fuel Model - Calculation'!$B$2:$B$3771,0))),0)</f>
        <v>908.66479269685146</v>
      </c>
      <c r="S172" s="118">
        <f>IFERROR(INDEX('Fuel Model - Calculation'!J$2:J$3771,(MATCH(($E172&amp;"ResultsTotal RNE "&amp;$F172&amp;"USD/ton"),'Fuel Model - Calculation'!$B$2:$B$3771,0))),0)</f>
        <v>789.93788571226401</v>
      </c>
      <c r="T172" s="118">
        <f>IFERROR(INDEX('Fuel Model - Calculation'!K$2:K$3771,(MATCH(($E172&amp;"ResultsTotal RNE "&amp;$F172&amp;"USD/ton"),'Fuel Model - Calculation'!$B$2:$B$3771,0))),0)</f>
        <v>705.5385607005561</v>
      </c>
      <c r="U172" s="118">
        <f>IFERROR(INDEX('Fuel Model - Calculation'!L$2:L$3771,(MATCH(($E172&amp;"ResultsTotal RNE "&amp;$F172&amp;"USD/ton"),'Fuel Model - Calculation'!$B$2:$B$3771,0))),0)</f>
        <v>612.61080841195758</v>
      </c>
      <c r="V172" s="118">
        <f>IFERROR(INDEX('Fuel Model - Calculation'!M$2:M$3771,(MATCH(($E172&amp;"ResultsTotal RNE "&amp;$F172&amp;"USD/ton"),'Fuel Model - Calculation'!$B$2:$B$3771,0))),0)</f>
        <v>546.60050663573838</v>
      </c>
      <c r="W172"/>
      <c r="X172" s="2">
        <f>INDEX('Fuel Model - Calculation'!$E$2:$M$3771,(MATCH(("WTT Emission - "&amp;$F172),'Fuel Model - Calculation'!$E$2:$E$3771,0)),MATCH(X$141,'Fuel Model - Calculation'!$E$2:$M$2,0))</f>
        <v>-3.0700604617267326</v>
      </c>
      <c r="Y172" s="2">
        <f>INDEX('Fuel Model - Calculation'!$E$2:$M$3771,(MATCH(("WTT Emission - "&amp;$F172),'Fuel Model - Calculation'!$E$2:$E$3771,0)),MATCH(Y$141,'Fuel Model - Calculation'!$E$2:$M$2,0))</f>
        <v>-3.0708976509117432</v>
      </c>
      <c r="Z172" s="2">
        <f>INDEX('Fuel Model - Calculation'!$E$2:$M$3771,(MATCH(("WTT Emission - "&amp;$F172),'Fuel Model - Calculation'!$E$2:$E$3771,0)),MATCH(Z$141,'Fuel Model - Calculation'!$E$2:$M$2,0))</f>
        <v>-3.0728843377137416</v>
      </c>
      <c r="AA172" s="2">
        <f>INDEX('Fuel Model - Calculation'!$E$2:$M$3771,(MATCH(("WTT Emission - "&amp;$F172),'Fuel Model - Calculation'!$E$2:$E$3771,0)),MATCH(AA$141,'Fuel Model - Calculation'!$E$2:$M$2,0))</f>
        <v>-3.0778527733409353</v>
      </c>
      <c r="AB172" s="2">
        <f>INDEX('Fuel Model - Calculation'!$E$2:$M$3771,(MATCH(("WTT Emission - "&amp;$F172),'Fuel Model - Calculation'!$E$2:$E$3771,0)),MATCH(AB$141,'Fuel Model - Calculation'!$E$2:$M$2,0))</f>
        <v>-3.0837732781424343</v>
      </c>
      <c r="AC172" s="2">
        <f>INDEX('Fuel Model - Calculation'!$E$2:$M$3771,(MATCH(("WTT Emission - "&amp;$F172),'Fuel Model - Calculation'!$E$2:$E$3771,0)),MATCH(AC$141,'Fuel Model - Calculation'!$E$2:$M$2,0))</f>
        <v>-3.0915936071724515</v>
      </c>
      <c r="AD172" s="2">
        <f>INDEX('Fuel Model - Calculation'!$E$2:$M$3771,(MATCH(("WTT Emission - "&amp;$F172),'Fuel Model - Calculation'!$E$2:$E$3771,0)),MATCH(AD$141,'Fuel Model - Calculation'!$E$2:$M$2,0))</f>
        <v>-3.0977718159117433</v>
      </c>
      <c r="AE172" s="2"/>
      <c r="AF172" s="2">
        <f>'Fuel Model -  Input'!H$53</f>
        <v>3.2553300000000003</v>
      </c>
      <c r="AG172" s="2">
        <f>'Fuel Model -  Input'!I$53</f>
        <v>3.2553300000000003</v>
      </c>
      <c r="AH172" s="2">
        <f>'Fuel Model -  Input'!J$53</f>
        <v>3.2553300000000003</v>
      </c>
      <c r="AI172" s="2">
        <f>'Fuel Model -  Input'!K$53</f>
        <v>3.2553300000000003</v>
      </c>
      <c r="AJ172" s="2">
        <f>'Fuel Model -  Input'!L$53</f>
        <v>3.2553300000000003</v>
      </c>
      <c r="AK172" s="2">
        <f>'Fuel Model -  Input'!M$53</f>
        <v>3.2553300000000003</v>
      </c>
      <c r="AL172" s="2">
        <f>'Fuel Model -  Input'!N$53</f>
        <v>3.2553300000000003</v>
      </c>
      <c r="AM172"/>
      <c r="AN172" s="24">
        <f t="shared" ref="AN172:AT176" si="173">X172+AF172</f>
        <v>0.18526953827326764</v>
      </c>
      <c r="AO172" s="24">
        <f t="shared" si="173"/>
        <v>0.18443234908825712</v>
      </c>
      <c r="AP172" s="24">
        <f t="shared" si="173"/>
        <v>0.18244566228625869</v>
      </c>
      <c r="AQ172" s="24">
        <f t="shared" si="173"/>
        <v>0.17747722665906496</v>
      </c>
      <c r="AR172" s="24">
        <f t="shared" si="173"/>
        <v>0.17155672185756599</v>
      </c>
      <c r="AS172" s="24">
        <f t="shared" si="173"/>
        <v>0.16373639282754882</v>
      </c>
      <c r="AT172" s="24">
        <f t="shared" si="173"/>
        <v>0.15755818408825695</v>
      </c>
      <c r="AU172"/>
      <c r="AV172" s="118">
        <f>IFERROR(INDEX('Fuel Model - Calculation'!$B$2:$M$3771,(MATCH(($E172&amp;"Results"&amp;$AV$140&amp;$F172&amp;"USD/ton"),'Fuel Model - Calculation'!$B$2:$B$3771,0)),MATCH(H$141,'Fuel Model - Calculation'!$B$2:$M$2,0)),0)</f>
        <v>975.24497896284106</v>
      </c>
      <c r="AW172" s="118">
        <f>IFERROR(INDEX('Fuel Model - Calculation'!$B$2:$M$3771,(MATCH(($E172&amp;"Results"&amp;$AV$140&amp;$F172&amp;"USD/ton"),'Fuel Model - Calculation'!$B$2:$B$3771,0)),MATCH(I$141,'Fuel Model - Calculation'!$B$2:$M$2,0)),0)</f>
        <v>841.05960383899901</v>
      </c>
      <c r="AX172" s="118">
        <f>IFERROR(INDEX('Fuel Model - Calculation'!$B$2:$M$3771,(MATCH(($E172&amp;"Results"&amp;$AV$140&amp;$F172&amp;"USD/ton"),'Fuel Model - Calculation'!$B$2:$B$3771,0)),MATCH(J$141,'Fuel Model - Calculation'!$B$2:$M$2,0)),0)</f>
        <v>729.3413863173954</v>
      </c>
      <c r="AY172" s="118">
        <f>IFERROR(INDEX('Fuel Model - Calculation'!$B$2:$M$3771,(MATCH(($E172&amp;"Results"&amp;$AV$140&amp;$F172&amp;"USD/ton"),'Fuel Model - Calculation'!$B$2:$B$3771,0)),MATCH(K$141,'Fuel Model - Calculation'!$B$2:$M$2,0)),0)</f>
        <v>715.92483717522839</v>
      </c>
      <c r="AZ172" s="118">
        <f>IFERROR(INDEX('Fuel Model - Calculation'!$B$2:$M$3771,(MATCH(($E172&amp;"Results"&amp;$AV$140&amp;$F172&amp;"USD/ton"),'Fuel Model - Calculation'!$B$2:$B$3771,0)),MATCH(L$141,'Fuel Model - Calculation'!$B$2:$M$2,0)),0)</f>
        <v>663.02732395007888</v>
      </c>
      <c r="BA172" s="118">
        <f>IFERROR(INDEX('Fuel Model - Calculation'!$B$2:$M$3771,(MATCH(($E172&amp;"Results"&amp;$AV$140&amp;$F172&amp;"USD/ton"),'Fuel Model - Calculation'!$B$2:$B$3771,0)),MATCH(M$141,'Fuel Model - Calculation'!$B$2:$M$2,0)),0)</f>
        <v>547.28868943989619</v>
      </c>
      <c r="BB172" s="118">
        <f>IFERROR(INDEX('Fuel Model - Calculation'!$B$2:$M$3771,(MATCH(($E172&amp;"Results"&amp;$AV$140&amp;$F172&amp;"USD/ton"),'Fuel Model - Calculation'!$B$2:$B$3771,0)),MATCH(N$141,'Fuel Model - Calculation'!$B$2:$M$2,0)),0)</f>
        <v>410.86652291560972</v>
      </c>
      <c r="BC172"/>
      <c r="BD172" s="118">
        <f>IFERROR(INDEX('Fuel Model - Calculation'!$B$2:$M$3771,(MATCH(($E172&amp;"Results"&amp;$BD$140&amp;$F172&amp;"USD/ton"),'Fuel Model - Calculation'!$B$2:$B$3771,0)),MATCH(P$141,'Fuel Model - Calculation'!$B$2:$M$2,0)),0)</f>
        <v>1115.3641775452211</v>
      </c>
      <c r="BE172" s="118">
        <f>IFERROR(INDEX('Fuel Model - Calculation'!$B$2:$M$3771,(MATCH(($E172&amp;"Results"&amp;$BD$140&amp;$F172&amp;"USD/ton"),'Fuel Model - Calculation'!$B$2:$B$3771,0)),MATCH(Q$141,'Fuel Model - Calculation'!$B$2:$M$2,0)),0)</f>
        <v>842.48794774226258</v>
      </c>
      <c r="BF172" s="118">
        <f>IFERROR(INDEX('Fuel Model - Calculation'!$B$2:$M$3771,(MATCH(($E172&amp;"Results"&amp;$BD$140&amp;$F172&amp;"USD/ton"),'Fuel Model - Calculation'!$B$2:$B$3771,0)),MATCH(R$141,'Fuel Model - Calculation'!$B$2:$M$2,0)),0)</f>
        <v>609.04421126235241</v>
      </c>
      <c r="BG172" s="118">
        <f>IFERROR(INDEX('Fuel Model - Calculation'!$B$2:$M$3771,(MATCH(($E172&amp;"Results"&amp;$BD$140&amp;$F172&amp;"USD/ton"),'Fuel Model - Calculation'!$B$2:$B$3771,0)),MATCH(S$141,'Fuel Model - Calculation'!$B$2:$M$2,0)),0)</f>
        <v>562.12790295624006</v>
      </c>
      <c r="BH172" s="118">
        <f>IFERROR(INDEX('Fuel Model - Calculation'!$B$2:$M$3771,(MATCH(($E172&amp;"Results"&amp;$BD$140&amp;$F172&amp;"USD/ton"),'Fuel Model - Calculation'!$B$2:$B$3771,0)),MATCH(T$141,'Fuel Model - Calculation'!$B$2:$M$2,0)),0)</f>
        <v>479.71561450352772</v>
      </c>
      <c r="BI172" s="118">
        <f>IFERROR(INDEX('Fuel Model - Calculation'!$B$2:$M$3771,(MATCH(($E172&amp;"Results"&amp;$BD$140&amp;$F172&amp;"USD/ton"),'Fuel Model - Calculation'!$B$2:$B$3771,0)),MATCH(U$141,'Fuel Model - Calculation'!$B$2:$M$2,0)),0)</f>
        <v>331.29181259906545</v>
      </c>
      <c r="BJ172" s="118">
        <f>IFERROR(INDEX('Fuel Model - Calculation'!$B$2:$M$3771,(MATCH(($E172&amp;"Results"&amp;$BD$140&amp;$F172&amp;"USD/ton"),'Fuel Model - Calculation'!$B$2:$B$3771,0)),MATCH(V$141,'Fuel Model - Calculation'!$B$2:$M$2,0)),0)</f>
        <v>205.03601978691017</v>
      </c>
      <c r="BL172" s="118">
        <f>IFERROR(IFERROR(INDEX('Fuel Model - Calculation'!$B$2:$M$3771,(MATCH(($E172&amp;"Results"&amp;$BL$140&amp;$F172&amp;"USD/ton"),'Fuel Model - Calculation'!$B$2:$B$3771,0)),MATCH(H$141,'Fuel Model - Calculation'!$B$2:$M$2,0)),0),0)</f>
        <v>1069.1369351131987</v>
      </c>
      <c r="BM172" s="118">
        <f>IFERROR(IFERROR(INDEX('Fuel Model - Calculation'!$B$2:$M$3771,(MATCH(($E172&amp;"Results"&amp;$BL$140&amp;$F172&amp;"USD/ton"),'Fuel Model - Calculation'!$B$2:$B$3771,0)),MATCH(I$141,'Fuel Model - Calculation'!$B$2:$M$2,0)),0),0)</f>
        <v>843.86658442033661</v>
      </c>
      <c r="BN172" s="118">
        <f>IFERROR(IFERROR(INDEX('Fuel Model - Calculation'!$B$2:$M$3771,(MATCH(($E172&amp;"Results"&amp;$BL$140&amp;$F172&amp;"USD/ton"),'Fuel Model - Calculation'!$B$2:$B$3771,0)),MATCH(J$141,'Fuel Model - Calculation'!$B$2:$M$2,0)),0),0)</f>
        <v>668.30359402608792</v>
      </c>
      <c r="BO172" s="118">
        <f>IFERROR(IFERROR(INDEX('Fuel Model - Calculation'!$B$2:$M$3771,(MATCH(($E172&amp;"Results"&amp;$BL$140&amp;$F172&amp;"USD/ton"),'Fuel Model - Calculation'!$B$2:$B$3771,0)),MATCH(K$141,'Fuel Model - Calculation'!$B$2:$M$2,0)),0),0)</f>
        <v>559.26213931632594</v>
      </c>
      <c r="BP172" s="118">
        <f>IFERROR(IFERROR(INDEX('Fuel Model - Calculation'!$B$2:$M$3771,(MATCH(($E172&amp;"Results"&amp;$BL$140&amp;$F172&amp;"USD/ton"),'Fuel Model - Calculation'!$B$2:$B$3771,0)),MATCH(L$141,'Fuel Model - Calculation'!$B$2:$M$2,0)),0),0)</f>
        <v>477.07181199317108</v>
      </c>
      <c r="BQ172" s="118">
        <f>IFERROR(IFERROR(INDEX('Fuel Model - Calculation'!$B$2:$M$3771,(MATCH(($E172&amp;"Results"&amp;$BL$140&amp;$F172&amp;"USD/ton"),'Fuel Model - Calculation'!$B$2:$B$3771,0)),MATCH(M$141,'Fuel Model - Calculation'!$B$2:$M$2,0)),0),0)</f>
        <v>405.54267993951777</v>
      </c>
      <c r="BR172" s="118">
        <f>IFERROR(IFERROR(INDEX('Fuel Model - Calculation'!$B$2:$M$3771,(MATCH(($E172&amp;"Results"&amp;$BL$140&amp;$F172&amp;"USD/ton"),'Fuel Model - Calculation'!$B$2:$B$3771,0)),MATCH(N$141,'Fuel Model - Calculation'!$B$2:$M$2,0)),0),0)</f>
        <v>347.83662901902431</v>
      </c>
      <c r="BT172" s="118">
        <f>IFERROR(INDEX('Fuel Model - Calculation'!$B$2:$M$3771,(MATCH(($E172&amp;"Results"&amp;$BT$140&amp;$F172&amp;"USD/ton"),'Fuel Model - Calculation'!$B$2:$B$3771,0)),MATCH(H$141,'Fuel Model - Calculation'!$B$2:$M$2,0)),0)</f>
        <v>0</v>
      </c>
      <c r="BU172" s="118">
        <f>IFERROR(INDEX('Fuel Model - Calculation'!$B$2:$M$3771,(MATCH(($E172&amp;"Results"&amp;$BT$140&amp;$F172&amp;"USD/ton"),'Fuel Model - Calculation'!$B$2:$B$3771,0)),MATCH(I$141,'Fuel Model - Calculation'!$B$2:$M$2,0)),0)</f>
        <v>0</v>
      </c>
      <c r="BV172" s="118">
        <f>IFERROR(INDEX('Fuel Model - Calculation'!$B$2:$M$3771,(MATCH(($E172&amp;"Results"&amp;$BT$140&amp;$F172&amp;"USD/ton"),'Fuel Model - Calculation'!$B$2:$B$3771,0)),MATCH(J$141,'Fuel Model - Calculation'!$B$2:$M$2,0)),0)</f>
        <v>0</v>
      </c>
      <c r="BW172" s="118">
        <f>IFERROR(INDEX('Fuel Model - Calculation'!$B$2:$M$3771,(MATCH(($E172&amp;"Results"&amp;$BT$140&amp;$F172&amp;"USD/ton"),'Fuel Model - Calculation'!$B$2:$B$3771,0)),MATCH(K$141,'Fuel Model - Calculation'!$B$2:$M$2,0)),0)</f>
        <v>0</v>
      </c>
      <c r="BX172" s="118">
        <f>IFERROR(INDEX('Fuel Model - Calculation'!$B$2:$M$3771,(MATCH(($E172&amp;"Results"&amp;$BT$140&amp;$F172&amp;"USD/ton"),'Fuel Model - Calculation'!$B$2:$B$3771,0)),MATCH(L$141,'Fuel Model - Calculation'!$B$2:$M$2,0)),0)</f>
        <v>0</v>
      </c>
      <c r="BY172" s="118">
        <f>IFERROR(INDEX('Fuel Model - Calculation'!$B$2:$M$3771,(MATCH(($E172&amp;"Results"&amp;$BT$140&amp;$F172&amp;"USD/ton"),'Fuel Model - Calculation'!$B$2:$B$3771,0)),MATCH(M$141,'Fuel Model - Calculation'!$B$2:$M$2,0)),0)</f>
        <v>0</v>
      </c>
      <c r="BZ172" s="118">
        <f>IFERROR(INDEX('Fuel Model - Calculation'!$B$2:$M$3771,(MATCH(($E172&amp;"Results"&amp;$BT$140&amp;$F172&amp;"USD/ton"),'Fuel Model - Calculation'!$B$2:$B$3771,0)),MATCH(N$141,'Fuel Model - Calculation'!$B$2:$M$2,0)),0)</f>
        <v>0</v>
      </c>
    </row>
    <row r="173" spans="1:78" x14ac:dyDescent="0.2">
      <c r="A173" s="452"/>
      <c r="B173" s="453" t="str">
        <f>_xlfn.TEXTJOIN(keydelim,TRUE,F173,IF(E173="Africa","Africa&amp;other",E173),"Fuel cost",SUBSTITUTE($G173," ",""))</f>
        <v>e-Diesel (DAC) - Middle East - Fuel cost - USD/ton</v>
      </c>
      <c r="D173" s="459" t="str">
        <f t="shared" ref="D173:D176" si="174">E173&amp;F173</f>
        <v>Middle Easte-Diesel (DAC)</v>
      </c>
      <c r="E173" t="s">
        <v>197</v>
      </c>
      <c r="F173" s="460" t="str">
        <f>F172</f>
        <v>e-Diesel (DAC)</v>
      </c>
      <c r="G173" t="s">
        <v>835</v>
      </c>
      <c r="H173" s="118">
        <f>INDEX('Fuel Model - Calculation'!$B$2:$M$3771,(MATCH(($E173&amp;"ResultsCost of "&amp;$F173&amp;"USD/ton"),'Fuel Model - Calculation'!$B$2:$B$3771,0)),MATCH(H$141,'Fuel Model - Calculation'!$B$2:$M$2,0))</f>
        <v>4114.9029033436454</v>
      </c>
      <c r="I173" s="118">
        <f>INDEX('Fuel Model - Calculation'!$B$2:$M$3771,(MATCH(($E173&amp;"ResultsCost of "&amp;$F173&amp;"USD/ton"),'Fuel Model - Calculation'!$B$2:$B$3771,0)),MATCH(I$141,'Fuel Model - Calculation'!$B$2:$M$2,0))</f>
        <v>3295.9868497258012</v>
      </c>
      <c r="J173" s="118">
        <f>INDEX('Fuel Model - Calculation'!$B$2:$M$3771,(MATCH(($E173&amp;"ResultsCost of "&amp;$F173&amp;"USD/ton"),'Fuel Model - Calculation'!$B$2:$B$3771,0)),MATCH(J$141,'Fuel Model - Calculation'!$B$2:$M$2,0))</f>
        <v>2659.3892561973239</v>
      </c>
      <c r="K173" s="118">
        <f>INDEX('Fuel Model - Calculation'!$B$2:$M$3771,(MATCH(($E173&amp;"ResultsCost of "&amp;$F173&amp;"USD/ton"),'Fuel Model - Calculation'!$B$2:$B$3771,0)),MATCH(K$141,'Fuel Model - Calculation'!$B$2:$M$2,0))</f>
        <v>2372.1308168716423</v>
      </c>
      <c r="L173" s="118">
        <f>INDEX('Fuel Model - Calculation'!$B$2:$M$3771,(MATCH(($E173&amp;"ResultsCost of "&amp;$F173&amp;"USD/ton"),'Fuel Model - Calculation'!$B$2:$B$3771,0)),MATCH(L$141,'Fuel Model - Calculation'!$B$2:$M$2,0))</f>
        <v>2088.5679961343394</v>
      </c>
      <c r="M173" s="118">
        <f>INDEX('Fuel Model - Calculation'!$B$2:$M$3771,(MATCH(($E173&amp;"ResultsCost of "&amp;$F173&amp;"USD/ton"),'Fuel Model - Calculation'!$B$2:$B$3771,0)),MATCH(M$141,'Fuel Model - Calculation'!$B$2:$M$2,0))</f>
        <v>1666.8409566151172</v>
      </c>
      <c r="N173" s="118">
        <f>INDEX('Fuel Model - Calculation'!$B$2:$M$3771,(MATCH(($E173&amp;"ResultsCost of "&amp;$F173&amp;"USD/ton"),'Fuel Model - Calculation'!$B$2:$B$3771,0)),MATCH(N$141,'Fuel Model - Calculation'!$B$2:$M$2,0))</f>
        <v>1305.9073127443244</v>
      </c>
      <c r="O173"/>
      <c r="P173" s="118">
        <f>IFERROR(INDEX('Fuel Model - Calculation'!G$2:G$3771,(MATCH(($E173&amp;"ResultsTotal RNE "&amp;$F173&amp;"USD/ton"),'Fuel Model - Calculation'!$B$2:$B$3771,0))),0)</f>
        <v>1087.2630098315458</v>
      </c>
      <c r="Q173" s="118">
        <f>IFERROR(INDEX('Fuel Model - Calculation'!H$2:H$3771,(MATCH(($E173&amp;"ResultsTotal RNE "&amp;$F173&amp;"USD/ton"),'Fuel Model - Calculation'!$B$2:$B$3771,0))),0)</f>
        <v>870.15463771221107</v>
      </c>
      <c r="R173" s="118">
        <f>IFERROR(INDEX('Fuel Model - Calculation'!I$2:I$3771,(MATCH(($E173&amp;"ResultsTotal RNE "&amp;$F173&amp;"USD/ton"),'Fuel Model - Calculation'!$B$2:$B$3771,0))),0)</f>
        <v>720.24958591650989</v>
      </c>
      <c r="S173" s="118">
        <f>IFERROR(INDEX('Fuel Model - Calculation'!J$2:J$3771,(MATCH(($E173&amp;"ResultsTotal RNE "&amp;$F173&amp;"USD/ton"),'Fuel Model - Calculation'!$B$2:$B$3771,0))),0)</f>
        <v>600.65689798177345</v>
      </c>
      <c r="T173" s="118">
        <f>IFERROR(INDEX('Fuel Model - Calculation'!K$2:K$3771,(MATCH(($E173&amp;"ResultsTotal RNE "&amp;$F173&amp;"USD/ton"),'Fuel Model - Calculation'!$B$2:$B$3771,0))),0)</f>
        <v>528.9048012289195</v>
      </c>
      <c r="U173" s="118">
        <f>IFERROR(INDEX('Fuel Model - Calculation'!L$2:L$3771,(MATCH(($E173&amp;"ResultsTotal RNE "&amp;$F173&amp;"USD/ton"),'Fuel Model - Calculation'!$B$2:$B$3771,0))),0)</f>
        <v>440.98836620912095</v>
      </c>
      <c r="V173" s="118">
        <f>IFERROR(INDEX('Fuel Model - Calculation'!M$2:M$3771,(MATCH(($E173&amp;"ResultsTotal RNE "&amp;$F173&amp;"USD/ton"),'Fuel Model - Calculation'!$B$2:$B$3771,0))),0)</f>
        <v>393.46879414481447</v>
      </c>
      <c r="W173"/>
      <c r="X173" s="2">
        <f>INDEX('Fuel Model - Calculation'!$E$2:$M$3771,(MATCH(("WTT Emission - "&amp;$F173),'Fuel Model - Calculation'!$E$2:$E$3771,0)),MATCH(X$141,'Fuel Model - Calculation'!$E$2:$M$2,0))</f>
        <v>-3.0700604617267326</v>
      </c>
      <c r="Y173" s="2">
        <f>INDEX('Fuel Model - Calculation'!$E$2:$M$3771,(MATCH(("WTT Emission - "&amp;$F173),'Fuel Model - Calculation'!$E$2:$E$3771,0)),MATCH(Y$141,'Fuel Model - Calculation'!$E$2:$M$2,0))</f>
        <v>-3.0708976509117432</v>
      </c>
      <c r="Z173" s="2">
        <f>INDEX('Fuel Model - Calculation'!$E$2:$M$3771,(MATCH(("WTT Emission - "&amp;$F173),'Fuel Model - Calculation'!$E$2:$E$3771,0)),MATCH(Z$141,'Fuel Model - Calculation'!$E$2:$M$2,0))</f>
        <v>-3.0728843377137416</v>
      </c>
      <c r="AA173" s="2">
        <f>INDEX('Fuel Model - Calculation'!$E$2:$M$3771,(MATCH(("WTT Emission - "&amp;$F173),'Fuel Model - Calculation'!$E$2:$E$3771,0)),MATCH(AA$141,'Fuel Model - Calculation'!$E$2:$M$2,0))</f>
        <v>-3.0778527733409353</v>
      </c>
      <c r="AB173" s="2">
        <f>INDEX('Fuel Model - Calculation'!$E$2:$M$3771,(MATCH(("WTT Emission - "&amp;$F173),'Fuel Model - Calculation'!$E$2:$E$3771,0)),MATCH(AB$141,'Fuel Model - Calculation'!$E$2:$M$2,0))</f>
        <v>-3.0837732781424343</v>
      </c>
      <c r="AC173" s="2">
        <f>INDEX('Fuel Model - Calculation'!$E$2:$M$3771,(MATCH(("WTT Emission - "&amp;$F173),'Fuel Model - Calculation'!$E$2:$E$3771,0)),MATCH(AC$141,'Fuel Model - Calculation'!$E$2:$M$2,0))</f>
        <v>-3.0915936071724515</v>
      </c>
      <c r="AD173" s="2">
        <f>INDEX('Fuel Model - Calculation'!$E$2:$M$3771,(MATCH(("WTT Emission - "&amp;$F173),'Fuel Model - Calculation'!$E$2:$E$3771,0)),MATCH(AD$141,'Fuel Model - Calculation'!$E$2:$M$2,0))</f>
        <v>-3.0977718159117433</v>
      </c>
      <c r="AE173" s="2"/>
      <c r="AF173" s="2">
        <f>'Fuel Model -  Input'!H$53</f>
        <v>3.2553300000000003</v>
      </c>
      <c r="AG173" s="2">
        <f>'Fuel Model -  Input'!I$53</f>
        <v>3.2553300000000003</v>
      </c>
      <c r="AH173" s="2">
        <f>'Fuel Model -  Input'!J$53</f>
        <v>3.2553300000000003</v>
      </c>
      <c r="AI173" s="2">
        <f>'Fuel Model -  Input'!K$53</f>
        <v>3.2553300000000003</v>
      </c>
      <c r="AJ173" s="2">
        <f>'Fuel Model -  Input'!L$53</f>
        <v>3.2553300000000003</v>
      </c>
      <c r="AK173" s="2">
        <f>'Fuel Model -  Input'!M$53</f>
        <v>3.2553300000000003</v>
      </c>
      <c r="AL173" s="2">
        <f>'Fuel Model -  Input'!N$53</f>
        <v>3.2553300000000003</v>
      </c>
      <c r="AM173"/>
      <c r="AN173" s="24">
        <f t="shared" si="173"/>
        <v>0.18526953827326764</v>
      </c>
      <c r="AO173" s="24">
        <f t="shared" si="173"/>
        <v>0.18443234908825712</v>
      </c>
      <c r="AP173" s="24">
        <f t="shared" si="173"/>
        <v>0.18244566228625869</v>
      </c>
      <c r="AQ173" s="24">
        <f t="shared" si="173"/>
        <v>0.17747722665906496</v>
      </c>
      <c r="AR173" s="24">
        <f t="shared" si="173"/>
        <v>0.17155672185756599</v>
      </c>
      <c r="AS173" s="24">
        <f t="shared" si="173"/>
        <v>0.16373639282754882</v>
      </c>
      <c r="AT173" s="24">
        <f t="shared" si="173"/>
        <v>0.15755818408825695</v>
      </c>
      <c r="AU173"/>
      <c r="AV173" s="118">
        <f>IFERROR(INDEX('Fuel Model - Calculation'!$B$2:$M$3771,(MATCH(($E173&amp;"Results"&amp;$AV$140&amp;$F173&amp;"USD/ton"),'Fuel Model - Calculation'!$B$2:$B$3771,0)),MATCH(H$141,'Fuel Model - Calculation'!$B$2:$M$2,0)),0)</f>
        <v>975.24497896284095</v>
      </c>
      <c r="AW173" s="118">
        <f>IFERROR(INDEX('Fuel Model - Calculation'!$B$2:$M$3771,(MATCH(($E173&amp;"Results"&amp;$AV$140&amp;$F173&amp;"USD/ton"),'Fuel Model - Calculation'!$B$2:$B$3771,0)),MATCH(I$141,'Fuel Model - Calculation'!$B$2:$M$2,0)),0)</f>
        <v>841.05960383899901</v>
      </c>
      <c r="AX173" s="118">
        <f>IFERROR(INDEX('Fuel Model - Calculation'!$B$2:$M$3771,(MATCH(($E173&amp;"Results"&amp;$AV$140&amp;$F173&amp;"USD/ton"),'Fuel Model - Calculation'!$B$2:$B$3771,0)),MATCH(J$141,'Fuel Model - Calculation'!$B$2:$M$2,0)),0)</f>
        <v>729.34138631739529</v>
      </c>
      <c r="AY173" s="118">
        <f>IFERROR(INDEX('Fuel Model - Calculation'!$B$2:$M$3771,(MATCH(($E173&amp;"Results"&amp;$AV$140&amp;$F173&amp;"USD/ton"),'Fuel Model - Calculation'!$B$2:$B$3771,0)),MATCH(K$141,'Fuel Model - Calculation'!$B$2:$M$2,0)),0)</f>
        <v>715.9248371752285</v>
      </c>
      <c r="AZ173" s="118">
        <f>IFERROR(INDEX('Fuel Model - Calculation'!$B$2:$M$3771,(MATCH(($E173&amp;"Results"&amp;$AV$140&amp;$F173&amp;"USD/ton"),'Fuel Model - Calculation'!$B$2:$B$3771,0)),MATCH(L$141,'Fuel Model - Calculation'!$B$2:$M$2,0)),0)</f>
        <v>663.02732395007888</v>
      </c>
      <c r="BA173" s="118">
        <f>IFERROR(INDEX('Fuel Model - Calculation'!$B$2:$M$3771,(MATCH(($E173&amp;"Results"&amp;$AV$140&amp;$F173&amp;"USD/ton"),'Fuel Model - Calculation'!$B$2:$B$3771,0)),MATCH(M$141,'Fuel Model - Calculation'!$B$2:$M$2,0)),0)</f>
        <v>547.28868943989619</v>
      </c>
      <c r="BB173" s="118">
        <f>IFERROR(INDEX('Fuel Model - Calculation'!$B$2:$M$3771,(MATCH(($E173&amp;"Results"&amp;$AV$140&amp;$F173&amp;"USD/ton"),'Fuel Model - Calculation'!$B$2:$B$3771,0)),MATCH(N$141,'Fuel Model - Calculation'!$B$2:$M$2,0)),0)</f>
        <v>410.86652291560972</v>
      </c>
      <c r="BC173"/>
      <c r="BD173" s="118">
        <f>IFERROR(INDEX('Fuel Model - Calculation'!$B$2:$M$3771,(MATCH(($E173&amp;"Results"&amp;$BD$140&amp;$F173&amp;"USD/ton"),'Fuel Model - Calculation'!$B$2:$B$3771,0)),MATCH(P$141,'Fuel Model - Calculation'!$B$2:$M$2,0)),0)</f>
        <v>1115.3641775452213</v>
      </c>
      <c r="BE173" s="118">
        <f>IFERROR(INDEX('Fuel Model - Calculation'!$B$2:$M$3771,(MATCH(($E173&amp;"Results"&amp;$BD$140&amp;$F173&amp;"USD/ton"),'Fuel Model - Calculation'!$B$2:$B$3771,0)),MATCH(Q$141,'Fuel Model - Calculation'!$B$2:$M$2,0)),0)</f>
        <v>842.4879477422628</v>
      </c>
      <c r="BF173" s="118">
        <f>IFERROR(INDEX('Fuel Model - Calculation'!$B$2:$M$3771,(MATCH(($E173&amp;"Results"&amp;$BD$140&amp;$F173&amp;"USD/ton"),'Fuel Model - Calculation'!$B$2:$B$3771,0)),MATCH(R$141,'Fuel Model - Calculation'!$B$2:$M$2,0)),0)</f>
        <v>609.04421126235252</v>
      </c>
      <c r="BG173" s="118">
        <f>IFERROR(INDEX('Fuel Model - Calculation'!$B$2:$M$3771,(MATCH(($E173&amp;"Results"&amp;$BD$140&amp;$F173&amp;"USD/ton"),'Fuel Model - Calculation'!$B$2:$B$3771,0)),MATCH(S$141,'Fuel Model - Calculation'!$B$2:$M$2,0)),0)</f>
        <v>562.12790295623984</v>
      </c>
      <c r="BH173" s="118">
        <f>IFERROR(INDEX('Fuel Model - Calculation'!$B$2:$M$3771,(MATCH(($E173&amp;"Results"&amp;$BD$140&amp;$F173&amp;"USD/ton"),'Fuel Model - Calculation'!$B$2:$B$3771,0)),MATCH(T$141,'Fuel Model - Calculation'!$B$2:$M$2,0)),0)</f>
        <v>479.71561450352772</v>
      </c>
      <c r="BI173" s="118">
        <f>IFERROR(INDEX('Fuel Model - Calculation'!$B$2:$M$3771,(MATCH(($E173&amp;"Results"&amp;$BD$140&amp;$F173&amp;"USD/ton"),'Fuel Model - Calculation'!$B$2:$B$3771,0)),MATCH(U$141,'Fuel Model - Calculation'!$B$2:$M$2,0)),0)</f>
        <v>331.29181259906557</v>
      </c>
      <c r="BJ173" s="118">
        <f>IFERROR(INDEX('Fuel Model - Calculation'!$B$2:$M$3771,(MATCH(($E173&amp;"Results"&amp;$BD$140&amp;$F173&amp;"USD/ton"),'Fuel Model - Calculation'!$B$2:$B$3771,0)),MATCH(V$141,'Fuel Model - Calculation'!$B$2:$M$2,0)),0)</f>
        <v>205.03601978691034</v>
      </c>
      <c r="BL173" s="118">
        <f>IFERROR(IFERROR(INDEX('Fuel Model - Calculation'!$B$2:$M$3771,(MATCH(($E173&amp;"Results"&amp;$BL$140&amp;$F173&amp;"USD/ton"),'Fuel Model - Calculation'!$B$2:$B$3771,0)),MATCH(H$141,'Fuel Model - Calculation'!$B$2:$M$2,0)),0),0)</f>
        <v>937.03073700403684</v>
      </c>
      <c r="BM173" s="118">
        <f>IFERROR(IFERROR(INDEX('Fuel Model - Calculation'!$B$2:$M$3771,(MATCH(($E173&amp;"Results"&amp;$BL$140&amp;$F173&amp;"USD/ton"),'Fuel Model - Calculation'!$B$2:$B$3771,0)),MATCH(I$141,'Fuel Model - Calculation'!$B$2:$M$2,0)),0),0)</f>
        <v>742.28466043232856</v>
      </c>
      <c r="BN173" s="118">
        <f>IFERROR(IFERROR(INDEX('Fuel Model - Calculation'!$B$2:$M$3771,(MATCH(($E173&amp;"Results"&amp;$BL$140&amp;$F173&amp;"USD/ton"),'Fuel Model - Calculation'!$B$2:$B$3771,0)),MATCH(J$141,'Fuel Model - Calculation'!$B$2:$M$2,0)),0),0)</f>
        <v>600.75407270106598</v>
      </c>
      <c r="BO173" s="118">
        <f>IFERROR(IFERROR(INDEX('Fuel Model - Calculation'!$B$2:$M$3771,(MATCH(($E173&amp;"Results"&amp;$BL$140&amp;$F173&amp;"USD/ton"),'Fuel Model - Calculation'!$B$2:$B$3771,0)),MATCH(K$141,'Fuel Model - Calculation'!$B$2:$M$2,0)),0),0)</f>
        <v>493.42117875840057</v>
      </c>
      <c r="BP173" s="118">
        <f>IFERROR(IFERROR(INDEX('Fuel Model - Calculation'!$B$2:$M$3771,(MATCH(($E173&amp;"Results"&amp;$BL$140&amp;$F173&amp;"USD/ton"),'Fuel Model - Calculation'!$B$2:$B$3771,0)),MATCH(L$141,'Fuel Model - Calculation'!$B$2:$M$2,0)),0),0)</f>
        <v>416.92025645181343</v>
      </c>
      <c r="BQ173" s="118">
        <f>IFERROR(IFERROR(INDEX('Fuel Model - Calculation'!$B$2:$M$3771,(MATCH(($E173&amp;"Results"&amp;$BL$140&amp;$F173&amp;"USD/ton"),'Fuel Model - Calculation'!$B$2:$B$3771,0)),MATCH(M$141,'Fuel Model - Calculation'!$B$2:$M$2,0)),0),0)</f>
        <v>347.27208836703448</v>
      </c>
      <c r="BR173" s="118">
        <f>IFERROR(IFERROR(INDEX('Fuel Model - Calculation'!$B$2:$M$3771,(MATCH(($E173&amp;"Results"&amp;$BL$140&amp;$F173&amp;"USD/ton"),'Fuel Model - Calculation'!$B$2:$B$3771,0)),MATCH(N$141,'Fuel Model - Calculation'!$B$2:$M$2,0)),0),0)</f>
        <v>296.53597589698973</v>
      </c>
      <c r="BT173" s="118">
        <f>IFERROR(INDEX('Fuel Model - Calculation'!$B$2:$M$3771,(MATCH(($E173&amp;"Results"&amp;$BT$140&amp;$F173&amp;"USD/ton"),'Fuel Model - Calculation'!$B$2:$B$3771,0)),MATCH(H$141,'Fuel Model - Calculation'!$B$2:$M$2,0)),0)</f>
        <v>0</v>
      </c>
      <c r="BU173" s="118">
        <f>IFERROR(INDEX('Fuel Model - Calculation'!$B$2:$M$3771,(MATCH(($E173&amp;"Results"&amp;$BT$140&amp;$F173&amp;"USD/ton"),'Fuel Model - Calculation'!$B$2:$B$3771,0)),MATCH(I$141,'Fuel Model - Calculation'!$B$2:$M$2,0)),0)</f>
        <v>0</v>
      </c>
      <c r="BV173" s="118">
        <f>IFERROR(INDEX('Fuel Model - Calculation'!$B$2:$M$3771,(MATCH(($E173&amp;"Results"&amp;$BT$140&amp;$F173&amp;"USD/ton"),'Fuel Model - Calculation'!$B$2:$B$3771,0)),MATCH(J$141,'Fuel Model - Calculation'!$B$2:$M$2,0)),0)</f>
        <v>0</v>
      </c>
      <c r="BW173" s="118">
        <f>IFERROR(INDEX('Fuel Model - Calculation'!$B$2:$M$3771,(MATCH(($E173&amp;"Results"&amp;$BT$140&amp;$F173&amp;"USD/ton"),'Fuel Model - Calculation'!$B$2:$B$3771,0)),MATCH(K$141,'Fuel Model - Calculation'!$B$2:$M$2,0)),0)</f>
        <v>0</v>
      </c>
      <c r="BX173" s="118">
        <f>IFERROR(INDEX('Fuel Model - Calculation'!$B$2:$M$3771,(MATCH(($E173&amp;"Results"&amp;$BT$140&amp;$F173&amp;"USD/ton"),'Fuel Model - Calculation'!$B$2:$B$3771,0)),MATCH(L$141,'Fuel Model - Calculation'!$B$2:$M$2,0)),0)</f>
        <v>0</v>
      </c>
      <c r="BY173" s="118">
        <f>IFERROR(INDEX('Fuel Model - Calculation'!$B$2:$M$3771,(MATCH(($E173&amp;"Results"&amp;$BT$140&amp;$F173&amp;"USD/ton"),'Fuel Model - Calculation'!$B$2:$B$3771,0)),MATCH(M$141,'Fuel Model - Calculation'!$B$2:$M$2,0)),0)</f>
        <v>0</v>
      </c>
      <c r="BZ173" s="118">
        <f>IFERROR(INDEX('Fuel Model - Calculation'!$B$2:$M$3771,(MATCH(($E173&amp;"Results"&amp;$BT$140&amp;$F173&amp;"USD/ton"),'Fuel Model - Calculation'!$B$2:$B$3771,0)),MATCH(N$141,'Fuel Model - Calculation'!$B$2:$M$2,0)),0)</f>
        <v>0</v>
      </c>
    </row>
    <row r="174" spans="1:78" x14ac:dyDescent="0.2">
      <c r="A174" s="452"/>
      <c r="B174" s="453" t="str">
        <f>_xlfn.TEXTJOIN(keydelim,TRUE,F174,IF(E174="Africa","Africa&amp;other",E174),"Fuel cost",SUBSTITUTE($G174," ",""))</f>
        <v>e-Diesel (DAC) - Asia - Fuel cost - USD/ton</v>
      </c>
      <c r="D174" s="459" t="str">
        <f t="shared" si="174"/>
        <v>Asiae-Diesel (DAC)</v>
      </c>
      <c r="E174" t="s">
        <v>198</v>
      </c>
      <c r="F174" s="460" t="str">
        <f t="shared" ref="F174:F176" si="175">F173</f>
        <v>e-Diesel (DAC)</v>
      </c>
      <c r="G174" t="s">
        <v>835</v>
      </c>
      <c r="H174" s="118">
        <f>INDEX('Fuel Model - Calculation'!$B$2:$M$3771,(MATCH(($E174&amp;"ResultsCost of "&amp;$F174&amp;"USD/ton"),'Fuel Model - Calculation'!$B$2:$B$3771,0)),MATCH(H$141,'Fuel Model - Calculation'!$B$2:$M$2,0))</f>
        <v>5574.3396381517359</v>
      </c>
      <c r="I174" s="118">
        <f>INDEX('Fuel Model - Calculation'!$B$2:$M$3771,(MATCH(($E174&amp;"ResultsCost of "&amp;$F174&amp;"USD/ton"),'Fuel Model - Calculation'!$B$2:$B$3771,0)),MATCH(I$141,'Fuel Model - Calculation'!$B$2:$M$2,0))</f>
        <v>3998.4783638016561</v>
      </c>
      <c r="J174" s="118">
        <f>INDEX('Fuel Model - Calculation'!$B$2:$M$3771,(MATCH(($E174&amp;"ResultsCost of "&amp;$F174&amp;"USD/ton"),'Fuel Model - Calculation'!$B$2:$B$3771,0)),MATCH(J$141,'Fuel Model - Calculation'!$B$2:$M$2,0))</f>
        <v>3175.4070149354211</v>
      </c>
      <c r="K174" s="118">
        <f>INDEX('Fuel Model - Calculation'!$B$2:$M$3771,(MATCH(($E174&amp;"ResultsCost of "&amp;$F174&amp;"USD/ton"),'Fuel Model - Calculation'!$B$2:$B$3771,0)),MATCH(K$141,'Fuel Model - Calculation'!$B$2:$M$2,0))</f>
        <v>2761.7256320202573</v>
      </c>
      <c r="L174" s="118">
        <f>INDEX('Fuel Model - Calculation'!$B$2:$M$3771,(MATCH(($E174&amp;"ResultsCost of "&amp;$F174&amp;"USD/ton"),'Fuel Model - Calculation'!$B$2:$B$3771,0)),MATCH(L$141,'Fuel Model - Calculation'!$B$2:$M$2,0))</f>
        <v>2407.6718810985531</v>
      </c>
      <c r="M174" s="118">
        <f>INDEX('Fuel Model - Calculation'!$B$2:$M$3771,(MATCH(($E174&amp;"ResultsCost of "&amp;$F174&amp;"USD/ton"),'Fuel Model - Calculation'!$B$2:$B$3771,0)),MATCH(M$141,'Fuel Model - Calculation'!$B$2:$M$2,0))</f>
        <v>1930.7521927107578</v>
      </c>
      <c r="N174" s="118">
        <f>INDEX('Fuel Model - Calculation'!$B$2:$M$3771,(MATCH(($E174&amp;"ResultsCost of "&amp;$F174&amp;"USD/ton"),'Fuel Model - Calculation'!$B$2:$B$3771,0)),MATCH(N$141,'Fuel Model - Calculation'!$B$2:$M$2,0))</f>
        <v>1540.5873614239058</v>
      </c>
      <c r="O174"/>
      <c r="P174" s="118">
        <f>IFERROR(INDEX('Fuel Model - Calculation'!G$2:G$3771,(MATCH(($E174&amp;"ResultsTotal RNE "&amp;$F174&amp;"USD/ton"),'Fuel Model - Calculation'!$B$2:$B$3771,0))),0)</f>
        <v>2128.3437803010243</v>
      </c>
      <c r="Q174" s="118">
        <f>IFERROR(INDEX('Fuel Model - Calculation'!H$2:H$3771,(MATCH(($E174&amp;"ResultsTotal RNE "&amp;$F174&amp;"USD/ton"),'Fuel Model - Calculation'!$B$2:$B$3771,0))),0)</f>
        <v>1379.9573410360354</v>
      </c>
      <c r="R174" s="118">
        <f>IFERROR(INDEX('Fuel Model - Calculation'!I$2:I$3771,(MATCH(($E174&amp;"ResultsTotal RNE "&amp;$F174&amp;"USD/ton"),'Fuel Model - Calculation'!$B$2:$B$3771,0))),0)</f>
        <v>1100.0893921063132</v>
      </c>
      <c r="S174" s="118">
        <f>IFERROR(INDEX('Fuel Model - Calculation'!J$2:J$3771,(MATCH(($E174&amp;"ResultsTotal RNE "&amp;$F174&amp;"USD/ton"),'Fuel Model - Calculation'!$B$2:$B$3771,0))),0)</f>
        <v>889.70647572583005</v>
      </c>
      <c r="T174" s="118">
        <f>IFERROR(INDEX('Fuel Model - Calculation'!K$2:K$3771,(MATCH(($E174&amp;"ResultsTotal RNE "&amp;$F174&amp;"USD/ton"),'Fuel Model - Calculation'!$B$2:$B$3771,0))),0)</f>
        <v>766.94540294503724</v>
      </c>
      <c r="U174" s="118">
        <f>IFERROR(INDEX('Fuel Model - Calculation'!L$2:L$3771,(MATCH(($E174&amp;"ResultsTotal RNE "&amp;$F174&amp;"USD/ton"),'Fuel Model - Calculation'!$B$2:$B$3771,0))),0)</f>
        <v>638.00647554326156</v>
      </c>
      <c r="V174" s="118">
        <f>IFERROR(INDEX('Fuel Model - Calculation'!M$2:M$3771,(MATCH(($E174&amp;"ResultsTotal RNE "&amp;$F174&amp;"USD/ton"),'Fuel Model - Calculation'!$B$2:$B$3771,0))),0)</f>
        <v>569.25777762600796</v>
      </c>
      <c r="W174"/>
      <c r="X174" s="2">
        <f>INDEX('Fuel Model - Calculation'!$E$2:$M$3771,(MATCH(("WTT Emission - "&amp;$F174),'Fuel Model - Calculation'!$E$2:$E$3771,0)),MATCH(X$141,'Fuel Model - Calculation'!$E$2:$M$2,0))</f>
        <v>-3.0700604617267326</v>
      </c>
      <c r="Y174" s="2">
        <f>INDEX('Fuel Model - Calculation'!$E$2:$M$3771,(MATCH(("WTT Emission - "&amp;$F174),'Fuel Model - Calculation'!$E$2:$E$3771,0)),MATCH(Y$141,'Fuel Model - Calculation'!$E$2:$M$2,0))</f>
        <v>-3.0708976509117432</v>
      </c>
      <c r="Z174" s="2">
        <f>INDEX('Fuel Model - Calculation'!$E$2:$M$3771,(MATCH(("WTT Emission - "&amp;$F174),'Fuel Model - Calculation'!$E$2:$E$3771,0)),MATCH(Z$141,'Fuel Model - Calculation'!$E$2:$M$2,0))</f>
        <v>-3.0728843377137416</v>
      </c>
      <c r="AA174" s="2">
        <f>INDEX('Fuel Model - Calculation'!$E$2:$M$3771,(MATCH(("WTT Emission - "&amp;$F174),'Fuel Model - Calculation'!$E$2:$E$3771,0)),MATCH(AA$141,'Fuel Model - Calculation'!$E$2:$M$2,0))</f>
        <v>-3.0778527733409353</v>
      </c>
      <c r="AB174" s="2">
        <f>INDEX('Fuel Model - Calculation'!$E$2:$M$3771,(MATCH(("WTT Emission - "&amp;$F174),'Fuel Model - Calculation'!$E$2:$E$3771,0)),MATCH(AB$141,'Fuel Model - Calculation'!$E$2:$M$2,0))</f>
        <v>-3.0837732781424343</v>
      </c>
      <c r="AC174" s="2">
        <f>INDEX('Fuel Model - Calculation'!$E$2:$M$3771,(MATCH(("WTT Emission - "&amp;$F174),'Fuel Model - Calculation'!$E$2:$E$3771,0)),MATCH(AC$141,'Fuel Model - Calculation'!$E$2:$M$2,0))</f>
        <v>-3.0915936071724515</v>
      </c>
      <c r="AD174" s="2">
        <f>INDEX('Fuel Model - Calculation'!$E$2:$M$3771,(MATCH(("WTT Emission - "&amp;$F174),'Fuel Model - Calculation'!$E$2:$E$3771,0)),MATCH(AD$141,'Fuel Model - Calculation'!$E$2:$M$2,0))</f>
        <v>-3.0977718159117433</v>
      </c>
      <c r="AE174" s="2"/>
      <c r="AF174" s="2">
        <f>'Fuel Model -  Input'!H$53</f>
        <v>3.2553300000000003</v>
      </c>
      <c r="AG174" s="2">
        <f>'Fuel Model -  Input'!I$53</f>
        <v>3.2553300000000003</v>
      </c>
      <c r="AH174" s="2">
        <f>'Fuel Model -  Input'!J$53</f>
        <v>3.2553300000000003</v>
      </c>
      <c r="AI174" s="2">
        <f>'Fuel Model -  Input'!K$53</f>
        <v>3.2553300000000003</v>
      </c>
      <c r="AJ174" s="2">
        <f>'Fuel Model -  Input'!L$53</f>
        <v>3.2553300000000003</v>
      </c>
      <c r="AK174" s="2">
        <f>'Fuel Model -  Input'!M$53</f>
        <v>3.2553300000000003</v>
      </c>
      <c r="AL174" s="2">
        <f>'Fuel Model -  Input'!N$53</f>
        <v>3.2553300000000003</v>
      </c>
      <c r="AM174"/>
      <c r="AN174" s="24">
        <f t="shared" si="173"/>
        <v>0.18526953827326764</v>
      </c>
      <c r="AO174" s="24">
        <f t="shared" si="173"/>
        <v>0.18443234908825712</v>
      </c>
      <c r="AP174" s="24">
        <f t="shared" si="173"/>
        <v>0.18244566228625869</v>
      </c>
      <c r="AQ174" s="24">
        <f t="shared" si="173"/>
        <v>0.17747722665906496</v>
      </c>
      <c r="AR174" s="24">
        <f t="shared" si="173"/>
        <v>0.17155672185756599</v>
      </c>
      <c r="AS174" s="24">
        <f t="shared" si="173"/>
        <v>0.16373639282754882</v>
      </c>
      <c r="AT174" s="24">
        <f t="shared" si="173"/>
        <v>0.15755818408825695</v>
      </c>
      <c r="AU174"/>
      <c r="AV174" s="118">
        <f>IFERROR(INDEX('Fuel Model - Calculation'!$B$2:$M$3771,(MATCH(($E174&amp;"Results"&amp;$AV$140&amp;$F174&amp;"USD/ton"),'Fuel Model - Calculation'!$B$2:$B$3771,0)),MATCH(H$141,'Fuel Model - Calculation'!$B$2:$M$2,0)),0)</f>
        <v>975.24497896284106</v>
      </c>
      <c r="AW174" s="118">
        <f>IFERROR(INDEX('Fuel Model - Calculation'!$B$2:$M$3771,(MATCH(($E174&amp;"Results"&amp;$AV$140&amp;$F174&amp;"USD/ton"),'Fuel Model - Calculation'!$B$2:$B$3771,0)),MATCH(I$141,'Fuel Model - Calculation'!$B$2:$M$2,0)),0)</f>
        <v>841.05960383899901</v>
      </c>
      <c r="AX174" s="118">
        <f>IFERROR(INDEX('Fuel Model - Calculation'!$B$2:$M$3771,(MATCH(($E174&amp;"Results"&amp;$AV$140&amp;$F174&amp;"USD/ton"),'Fuel Model - Calculation'!$B$2:$B$3771,0)),MATCH(J$141,'Fuel Model - Calculation'!$B$2:$M$2,0)),0)</f>
        <v>729.3413863173954</v>
      </c>
      <c r="AY174" s="118">
        <f>IFERROR(INDEX('Fuel Model - Calculation'!$B$2:$M$3771,(MATCH(($E174&amp;"Results"&amp;$AV$140&amp;$F174&amp;"USD/ton"),'Fuel Model - Calculation'!$B$2:$B$3771,0)),MATCH(K$141,'Fuel Model - Calculation'!$B$2:$M$2,0)),0)</f>
        <v>715.92483717522839</v>
      </c>
      <c r="AZ174" s="118">
        <f>IFERROR(INDEX('Fuel Model - Calculation'!$B$2:$M$3771,(MATCH(($E174&amp;"Results"&amp;$AV$140&amp;$F174&amp;"USD/ton"),'Fuel Model - Calculation'!$B$2:$B$3771,0)),MATCH(L$141,'Fuel Model - Calculation'!$B$2:$M$2,0)),0)</f>
        <v>663.02732395007888</v>
      </c>
      <c r="BA174" s="118">
        <f>IFERROR(INDEX('Fuel Model - Calculation'!$B$2:$M$3771,(MATCH(($E174&amp;"Results"&amp;$AV$140&amp;$F174&amp;"USD/ton"),'Fuel Model - Calculation'!$B$2:$B$3771,0)),MATCH(M$141,'Fuel Model - Calculation'!$B$2:$M$2,0)),0)</f>
        <v>547.28868943989619</v>
      </c>
      <c r="BB174" s="118">
        <f>IFERROR(INDEX('Fuel Model - Calculation'!$B$2:$M$3771,(MATCH(($E174&amp;"Results"&amp;$AV$140&amp;$F174&amp;"USD/ton"),'Fuel Model - Calculation'!$B$2:$B$3771,0)),MATCH(N$141,'Fuel Model - Calculation'!$B$2:$M$2,0)),0)</f>
        <v>410.86652291560972</v>
      </c>
      <c r="BC174"/>
      <c r="BD174" s="118">
        <f>IFERROR(INDEX('Fuel Model - Calculation'!$B$2:$M$3771,(MATCH(($E174&amp;"Results"&amp;$BD$140&amp;$F174&amp;"USD/ton"),'Fuel Model - Calculation'!$B$2:$B$3771,0)),MATCH(P$141,'Fuel Model - Calculation'!$B$2:$M$2,0)),0)</f>
        <v>1115.3641775452213</v>
      </c>
      <c r="BE174" s="118">
        <f>IFERROR(INDEX('Fuel Model - Calculation'!$B$2:$M$3771,(MATCH(($E174&amp;"Results"&amp;$BD$140&amp;$F174&amp;"USD/ton"),'Fuel Model - Calculation'!$B$2:$B$3771,0)),MATCH(Q$141,'Fuel Model - Calculation'!$B$2:$M$2,0)),0)</f>
        <v>842.4879477422628</v>
      </c>
      <c r="BF174" s="118">
        <f>IFERROR(INDEX('Fuel Model - Calculation'!$B$2:$M$3771,(MATCH(($E174&amp;"Results"&amp;$BD$140&amp;$F174&amp;"USD/ton"),'Fuel Model - Calculation'!$B$2:$B$3771,0)),MATCH(R$141,'Fuel Model - Calculation'!$B$2:$M$2,0)),0)</f>
        <v>609.04421126235252</v>
      </c>
      <c r="BG174" s="118">
        <f>IFERROR(INDEX('Fuel Model - Calculation'!$B$2:$M$3771,(MATCH(($E174&amp;"Results"&amp;$BD$140&amp;$F174&amp;"USD/ton"),'Fuel Model - Calculation'!$B$2:$B$3771,0)),MATCH(S$141,'Fuel Model - Calculation'!$B$2:$M$2,0)),0)</f>
        <v>562.12790295624029</v>
      </c>
      <c r="BH174" s="118">
        <f>IFERROR(INDEX('Fuel Model - Calculation'!$B$2:$M$3771,(MATCH(($E174&amp;"Results"&amp;$BD$140&amp;$F174&amp;"USD/ton"),'Fuel Model - Calculation'!$B$2:$B$3771,0)),MATCH(T$141,'Fuel Model - Calculation'!$B$2:$M$2,0)),0)</f>
        <v>479.71561450352772</v>
      </c>
      <c r="BI174" s="118">
        <f>IFERROR(INDEX('Fuel Model - Calculation'!$B$2:$M$3771,(MATCH(($E174&amp;"Results"&amp;$BD$140&amp;$F174&amp;"USD/ton"),'Fuel Model - Calculation'!$B$2:$B$3771,0)),MATCH(U$141,'Fuel Model - Calculation'!$B$2:$M$2,0)),0)</f>
        <v>331.29181259906557</v>
      </c>
      <c r="BJ174" s="118">
        <f>IFERROR(INDEX('Fuel Model - Calculation'!$B$2:$M$3771,(MATCH(($E174&amp;"Results"&amp;$BD$140&amp;$F174&amp;"USD/ton"),'Fuel Model - Calculation'!$B$2:$B$3771,0)),MATCH(V$141,'Fuel Model - Calculation'!$B$2:$M$2,0)),0)</f>
        <v>205.03601978691034</v>
      </c>
      <c r="BL174" s="118">
        <f>IFERROR(IFERROR(INDEX('Fuel Model - Calculation'!$B$2:$M$3771,(MATCH(($E174&amp;"Results"&amp;$BL$140&amp;$F174&amp;"USD/ton"),'Fuel Model - Calculation'!$B$2:$B$3771,0)),MATCH(H$141,'Fuel Model - Calculation'!$B$2:$M$2,0)),0),0)</f>
        <v>1355.38670134265</v>
      </c>
      <c r="BM174" s="118">
        <f>IFERROR(IFERROR(INDEX('Fuel Model - Calculation'!$B$2:$M$3771,(MATCH(($E174&amp;"Results"&amp;$BL$140&amp;$F174&amp;"USD/ton"),'Fuel Model - Calculation'!$B$2:$B$3771,0)),MATCH(I$141,'Fuel Model - Calculation'!$B$2:$M$2,0)),0),0)</f>
        <v>934.9734711843588</v>
      </c>
      <c r="BN174" s="118">
        <f>IFERROR(IFERROR(INDEX('Fuel Model - Calculation'!$B$2:$M$3771,(MATCH(($E174&amp;"Results"&amp;$BL$140&amp;$F174&amp;"USD/ton"),'Fuel Model - Calculation'!$B$2:$B$3771,0)),MATCH(J$141,'Fuel Model - Calculation'!$B$2:$M$2,0)),0),0)</f>
        <v>736.93202524935975</v>
      </c>
      <c r="BO174" s="118">
        <f>IFERROR(IFERROR(INDEX('Fuel Model - Calculation'!$B$2:$M$3771,(MATCH(($E174&amp;"Results"&amp;$BL$140&amp;$F174&amp;"USD/ton"),'Fuel Model - Calculation'!$B$2:$B$3771,0)),MATCH(K$141,'Fuel Model - Calculation'!$B$2:$M$2,0)),0),0)</f>
        <v>593.96641616295858</v>
      </c>
      <c r="BP174" s="118">
        <f>IFERROR(IFERROR(INDEX('Fuel Model - Calculation'!$B$2:$M$3771,(MATCH(($E174&amp;"Results"&amp;$BL$140&amp;$F174&amp;"USD/ton"),'Fuel Model - Calculation'!$B$2:$B$3771,0)),MATCH(L$141,'Fuel Model - Calculation'!$B$2:$M$2,0)),0),0)</f>
        <v>497.98353969990899</v>
      </c>
      <c r="BQ174" s="118">
        <f>IFERROR(IFERROR(INDEX('Fuel Model - Calculation'!$B$2:$M$3771,(MATCH(($E174&amp;"Results"&amp;$BL$140&amp;$F174&amp;"USD/ton"),'Fuel Model - Calculation'!$B$2:$B$3771,0)),MATCH(M$141,'Fuel Model - Calculation'!$B$2:$M$2,0)),0),0)</f>
        <v>414.16521512853438</v>
      </c>
      <c r="BR174" s="118">
        <f>IFERROR(IFERROR(INDEX('Fuel Model - Calculation'!$B$2:$M$3771,(MATCH(($E174&amp;"Results"&amp;$BL$140&amp;$F174&amp;"USD/ton"),'Fuel Model - Calculation'!$B$2:$B$3771,0)),MATCH(N$141,'Fuel Model - Calculation'!$B$2:$M$2,0)),0),0)</f>
        <v>355.4270410953776</v>
      </c>
      <c r="BT174" s="118">
        <f>IFERROR(INDEX('Fuel Model - Calculation'!$B$2:$M$3771,(MATCH(($E174&amp;"Results"&amp;$BT$140&amp;$F174&amp;"USD/ton"),'Fuel Model - Calculation'!$B$2:$B$3771,0)),MATCH(H$141,'Fuel Model - Calculation'!$B$2:$M$2,0)),0)</f>
        <v>0</v>
      </c>
      <c r="BU174" s="118">
        <f>IFERROR(INDEX('Fuel Model - Calculation'!$B$2:$M$3771,(MATCH(($E174&amp;"Results"&amp;$BT$140&amp;$F174&amp;"USD/ton"),'Fuel Model - Calculation'!$B$2:$B$3771,0)),MATCH(I$141,'Fuel Model - Calculation'!$B$2:$M$2,0)),0)</f>
        <v>0</v>
      </c>
      <c r="BV174" s="118">
        <f>IFERROR(INDEX('Fuel Model - Calculation'!$B$2:$M$3771,(MATCH(($E174&amp;"Results"&amp;$BT$140&amp;$F174&amp;"USD/ton"),'Fuel Model - Calculation'!$B$2:$B$3771,0)),MATCH(J$141,'Fuel Model - Calculation'!$B$2:$M$2,0)),0)</f>
        <v>0</v>
      </c>
      <c r="BW174" s="118">
        <f>IFERROR(INDEX('Fuel Model - Calculation'!$B$2:$M$3771,(MATCH(($E174&amp;"Results"&amp;$BT$140&amp;$F174&amp;"USD/ton"),'Fuel Model - Calculation'!$B$2:$B$3771,0)),MATCH(K$141,'Fuel Model - Calculation'!$B$2:$M$2,0)),0)</f>
        <v>0</v>
      </c>
      <c r="BX174" s="118">
        <f>IFERROR(INDEX('Fuel Model - Calculation'!$B$2:$M$3771,(MATCH(($E174&amp;"Results"&amp;$BT$140&amp;$F174&amp;"USD/ton"),'Fuel Model - Calculation'!$B$2:$B$3771,0)),MATCH(L$141,'Fuel Model - Calculation'!$B$2:$M$2,0)),0)</f>
        <v>0</v>
      </c>
      <c r="BY174" s="118">
        <f>IFERROR(INDEX('Fuel Model - Calculation'!$B$2:$M$3771,(MATCH(($E174&amp;"Results"&amp;$BT$140&amp;$F174&amp;"USD/ton"),'Fuel Model - Calculation'!$B$2:$B$3771,0)),MATCH(M$141,'Fuel Model - Calculation'!$B$2:$M$2,0)),0)</f>
        <v>0</v>
      </c>
      <c r="BZ174" s="118">
        <f>IFERROR(INDEX('Fuel Model - Calculation'!$B$2:$M$3771,(MATCH(($E174&amp;"Results"&amp;$BT$140&amp;$F174&amp;"USD/ton"),'Fuel Model - Calculation'!$B$2:$B$3771,0)),MATCH(N$141,'Fuel Model - Calculation'!$B$2:$M$2,0)),0)</f>
        <v>0</v>
      </c>
    </row>
    <row r="175" spans="1:78" x14ac:dyDescent="0.2">
      <c r="A175" s="452"/>
      <c r="B175" s="453" t="str">
        <f>_xlfn.TEXTJOIN(keydelim,TRUE,F175,IF(E175="Africa","Africa&amp;other",E175),"Fuel cost",SUBSTITUTE($G175," ",""))</f>
        <v>e-Diesel (DAC) - Americas - Fuel cost - USD/ton</v>
      </c>
      <c r="D175" s="459" t="str">
        <f t="shared" si="174"/>
        <v>Americase-Diesel (DAC)</v>
      </c>
      <c r="E175" t="s">
        <v>199</v>
      </c>
      <c r="F175" s="460" t="str">
        <f t="shared" si="175"/>
        <v>e-Diesel (DAC)</v>
      </c>
      <c r="G175" t="s">
        <v>835</v>
      </c>
      <c r="H175" s="118">
        <f>INDEX('Fuel Model - Calculation'!$B$2:$M$3771,(MATCH(($E175&amp;"ResultsCost of "&amp;$F175&amp;"USD/ton"),'Fuel Model - Calculation'!$B$2:$B$3771,0)),MATCH(H$141,'Fuel Model - Calculation'!$B$2:$M$2,0))</f>
        <v>4007.4734740457561</v>
      </c>
      <c r="I175" s="118">
        <f>INDEX('Fuel Model - Calculation'!$B$2:$M$3771,(MATCH(($E175&amp;"ResultsCost of "&amp;$F175&amp;"USD/ton"),'Fuel Model - Calculation'!$B$2:$B$3771,0)),MATCH(I$141,'Fuel Model - Calculation'!$B$2:$M$2,0))</f>
        <v>3346.2396200718963</v>
      </c>
      <c r="J175" s="118">
        <f>INDEX('Fuel Model - Calculation'!$B$2:$M$3771,(MATCH(($E175&amp;"ResultsCost of "&amp;$F175&amp;"USD/ton"),'Fuel Model - Calculation'!$B$2:$B$3771,0)),MATCH(J$141,'Fuel Model - Calculation'!$B$2:$M$2,0))</f>
        <v>2673.2430133467824</v>
      </c>
      <c r="K175" s="118">
        <f>INDEX('Fuel Model - Calculation'!$B$2:$M$3771,(MATCH(($E175&amp;"ResultsCost of "&amp;$F175&amp;"USD/ton"),'Fuel Model - Calculation'!$B$2:$B$3771,0)),MATCH(K$141,'Fuel Model - Calculation'!$B$2:$M$2,0))</f>
        <v>2409.2418183984942</v>
      </c>
      <c r="L175" s="118">
        <f>INDEX('Fuel Model - Calculation'!$B$2:$M$3771,(MATCH(($E175&amp;"ResultsCost of "&amp;$F175&amp;"USD/ton"),'Fuel Model - Calculation'!$B$2:$B$3771,0)),MATCH(L$141,'Fuel Model - Calculation'!$B$2:$M$2,0))</f>
        <v>2105.2294573942863</v>
      </c>
      <c r="M175" s="118">
        <f>INDEX('Fuel Model - Calculation'!$B$2:$M$3771,(MATCH(($E175&amp;"ResultsCost of "&amp;$F175&amp;"USD/ton"),'Fuel Model - Calculation'!$B$2:$B$3771,0)),MATCH(M$141,'Fuel Model - Calculation'!$B$2:$M$2,0))</f>
        <v>1726.4545284331812</v>
      </c>
      <c r="N175" s="118">
        <f>INDEX('Fuel Model - Calculation'!$B$2:$M$3771,(MATCH(($E175&amp;"ResultsCost of "&amp;$F175&amp;"USD/ton"),'Fuel Model - Calculation'!$B$2:$B$3771,0)),MATCH(N$141,'Fuel Model - Calculation'!$B$2:$M$2,0))</f>
        <v>1373.6340343466272</v>
      </c>
      <c r="O175"/>
      <c r="P175" s="118">
        <f>IFERROR(INDEX('Fuel Model - Calculation'!G$2:G$3771,(MATCH(($E175&amp;"ResultsTotal RNE "&amp;$F175&amp;"USD/ton"),'Fuel Model - Calculation'!$B$2:$B$3771,0))),0)</f>
        <v>1010.6288465567333</v>
      </c>
      <c r="Q175" s="118">
        <f>IFERROR(INDEX('Fuel Model - Calculation'!H$2:H$3771,(MATCH(($E175&amp;"ResultsTotal RNE "&amp;$F175&amp;"USD/ton"),'Fuel Model - Calculation'!$B$2:$B$3771,0))),0)</f>
        <v>906.62340304050531</v>
      </c>
      <c r="R175" s="118">
        <f>IFERROR(INDEX('Fuel Model - Calculation'!I$2:I$3771,(MATCH(($E175&amp;"ResultsTotal RNE "&amp;$F175&amp;"USD/ton"),'Fuel Model - Calculation'!$B$2:$B$3771,0))),0)</f>
        <v>730.44731330387663</v>
      </c>
      <c r="S175" s="118">
        <f>IFERROR(INDEX('Fuel Model - Calculation'!J$2:J$3771,(MATCH(($E175&amp;"ResultsTotal RNE "&amp;$F175&amp;"USD/ton"),'Fuel Model - Calculation'!$B$2:$B$3771,0))),0)</f>
        <v>628.19042487664149</v>
      </c>
      <c r="T175" s="118">
        <f>IFERROR(INDEX('Fuel Model - Calculation'!K$2:K$3771,(MATCH(($E175&amp;"ResultsTotal RNE "&amp;$F175&amp;"USD/ton"),'Fuel Model - Calculation'!$B$2:$B$3771,0))),0)</f>
        <v>541.33368238852154</v>
      </c>
      <c r="U175" s="118">
        <f>IFERROR(INDEX('Fuel Model - Calculation'!L$2:L$3771,(MATCH(($E175&amp;"ResultsTotal RNE "&amp;$F175&amp;"USD/ton"),'Fuel Model - Calculation'!$B$2:$B$3771,0))),0)</f>
        <v>485.49178858706642</v>
      </c>
      <c r="V175" s="118">
        <f>IFERROR(INDEX('Fuel Model - Calculation'!M$2:M$3771,(MATCH(($E175&amp;"ResultsTotal RNE "&amp;$F175&amp;"USD/ton"),'Fuel Model - Calculation'!$B$2:$B$3771,0))),0)</f>
        <v>444.2000412702908</v>
      </c>
      <c r="W175"/>
      <c r="X175" s="2">
        <f>INDEX('Fuel Model - Calculation'!$E$2:$M$3771,(MATCH(("WTT Emission - "&amp;$F175),'Fuel Model - Calculation'!$E$2:$E$3771,0)),MATCH(X$141,'Fuel Model - Calculation'!$E$2:$M$2,0))</f>
        <v>-3.0700604617267326</v>
      </c>
      <c r="Y175" s="2">
        <f>INDEX('Fuel Model - Calculation'!$E$2:$M$3771,(MATCH(("WTT Emission - "&amp;$F175),'Fuel Model - Calculation'!$E$2:$E$3771,0)),MATCH(Y$141,'Fuel Model - Calculation'!$E$2:$M$2,0))</f>
        <v>-3.0708976509117432</v>
      </c>
      <c r="Z175" s="2">
        <f>INDEX('Fuel Model - Calculation'!$E$2:$M$3771,(MATCH(("WTT Emission - "&amp;$F175),'Fuel Model - Calculation'!$E$2:$E$3771,0)),MATCH(Z$141,'Fuel Model - Calculation'!$E$2:$M$2,0))</f>
        <v>-3.0728843377137416</v>
      </c>
      <c r="AA175" s="2">
        <f>INDEX('Fuel Model - Calculation'!$E$2:$M$3771,(MATCH(("WTT Emission - "&amp;$F175),'Fuel Model - Calculation'!$E$2:$E$3771,0)),MATCH(AA$141,'Fuel Model - Calculation'!$E$2:$M$2,0))</f>
        <v>-3.0778527733409353</v>
      </c>
      <c r="AB175" s="2">
        <f>INDEX('Fuel Model - Calculation'!$E$2:$M$3771,(MATCH(("WTT Emission - "&amp;$F175),'Fuel Model - Calculation'!$E$2:$E$3771,0)),MATCH(AB$141,'Fuel Model - Calculation'!$E$2:$M$2,0))</f>
        <v>-3.0837732781424343</v>
      </c>
      <c r="AC175" s="2">
        <f>INDEX('Fuel Model - Calculation'!$E$2:$M$3771,(MATCH(("WTT Emission - "&amp;$F175),'Fuel Model - Calculation'!$E$2:$E$3771,0)),MATCH(AC$141,'Fuel Model - Calculation'!$E$2:$M$2,0))</f>
        <v>-3.0915936071724515</v>
      </c>
      <c r="AD175" s="2">
        <f>INDEX('Fuel Model - Calculation'!$E$2:$M$3771,(MATCH(("WTT Emission - "&amp;$F175),'Fuel Model - Calculation'!$E$2:$E$3771,0)),MATCH(AD$141,'Fuel Model - Calculation'!$E$2:$M$2,0))</f>
        <v>-3.0977718159117433</v>
      </c>
      <c r="AE175" s="2"/>
      <c r="AF175" s="2">
        <f>'Fuel Model -  Input'!H$53</f>
        <v>3.2553300000000003</v>
      </c>
      <c r="AG175" s="2">
        <f>'Fuel Model -  Input'!I$53</f>
        <v>3.2553300000000003</v>
      </c>
      <c r="AH175" s="2">
        <f>'Fuel Model -  Input'!J$53</f>
        <v>3.2553300000000003</v>
      </c>
      <c r="AI175" s="2">
        <f>'Fuel Model -  Input'!K$53</f>
        <v>3.2553300000000003</v>
      </c>
      <c r="AJ175" s="2">
        <f>'Fuel Model -  Input'!L$53</f>
        <v>3.2553300000000003</v>
      </c>
      <c r="AK175" s="2">
        <f>'Fuel Model -  Input'!M$53</f>
        <v>3.2553300000000003</v>
      </c>
      <c r="AL175" s="2">
        <f>'Fuel Model -  Input'!N$53</f>
        <v>3.2553300000000003</v>
      </c>
      <c r="AM175"/>
      <c r="AN175" s="24">
        <f t="shared" si="173"/>
        <v>0.18526953827326764</v>
      </c>
      <c r="AO175" s="24">
        <f t="shared" si="173"/>
        <v>0.18443234908825712</v>
      </c>
      <c r="AP175" s="24">
        <f t="shared" si="173"/>
        <v>0.18244566228625869</v>
      </c>
      <c r="AQ175" s="24">
        <f t="shared" si="173"/>
        <v>0.17747722665906496</v>
      </c>
      <c r="AR175" s="24">
        <f t="shared" si="173"/>
        <v>0.17155672185756599</v>
      </c>
      <c r="AS175" s="24">
        <f t="shared" si="173"/>
        <v>0.16373639282754882</v>
      </c>
      <c r="AT175" s="24">
        <f t="shared" si="173"/>
        <v>0.15755818408825695</v>
      </c>
      <c r="AU175"/>
      <c r="AV175" s="118">
        <f>IFERROR(INDEX('Fuel Model - Calculation'!$B$2:$M$3771,(MATCH(($E175&amp;"Results"&amp;$AV$140&amp;$F175&amp;"USD/ton"),'Fuel Model - Calculation'!$B$2:$B$3771,0)),MATCH(H$141,'Fuel Model - Calculation'!$B$2:$M$2,0)),0)</f>
        <v>975.24497896284106</v>
      </c>
      <c r="AW175" s="118">
        <f>IFERROR(INDEX('Fuel Model - Calculation'!$B$2:$M$3771,(MATCH(($E175&amp;"Results"&amp;$AV$140&amp;$F175&amp;"USD/ton"),'Fuel Model - Calculation'!$B$2:$B$3771,0)),MATCH(I$141,'Fuel Model - Calculation'!$B$2:$M$2,0)),0)</f>
        <v>841.05960383899901</v>
      </c>
      <c r="AX175" s="118">
        <f>IFERROR(INDEX('Fuel Model - Calculation'!$B$2:$M$3771,(MATCH(($E175&amp;"Results"&amp;$AV$140&amp;$F175&amp;"USD/ton"),'Fuel Model - Calculation'!$B$2:$B$3771,0)),MATCH(J$141,'Fuel Model - Calculation'!$B$2:$M$2,0)),0)</f>
        <v>729.3413863173954</v>
      </c>
      <c r="AY175" s="118">
        <f>IFERROR(INDEX('Fuel Model - Calculation'!$B$2:$M$3771,(MATCH(($E175&amp;"Results"&amp;$AV$140&amp;$F175&amp;"USD/ton"),'Fuel Model - Calculation'!$B$2:$B$3771,0)),MATCH(K$141,'Fuel Model - Calculation'!$B$2:$M$2,0)),0)</f>
        <v>715.92483717522828</v>
      </c>
      <c r="AZ175" s="118">
        <f>IFERROR(INDEX('Fuel Model - Calculation'!$B$2:$M$3771,(MATCH(($E175&amp;"Results"&amp;$AV$140&amp;$F175&amp;"USD/ton"),'Fuel Model - Calculation'!$B$2:$B$3771,0)),MATCH(L$141,'Fuel Model - Calculation'!$B$2:$M$2,0)),0)</f>
        <v>663.02732395007899</v>
      </c>
      <c r="BA175" s="118">
        <f>IFERROR(INDEX('Fuel Model - Calculation'!$B$2:$M$3771,(MATCH(($E175&amp;"Results"&amp;$AV$140&amp;$F175&amp;"USD/ton"),'Fuel Model - Calculation'!$B$2:$B$3771,0)),MATCH(M$141,'Fuel Model - Calculation'!$B$2:$M$2,0)),0)</f>
        <v>547.28868943989619</v>
      </c>
      <c r="BB175" s="118">
        <f>IFERROR(INDEX('Fuel Model - Calculation'!$B$2:$M$3771,(MATCH(($E175&amp;"Results"&amp;$AV$140&amp;$F175&amp;"USD/ton"),'Fuel Model - Calculation'!$B$2:$B$3771,0)),MATCH(N$141,'Fuel Model - Calculation'!$B$2:$M$2,0)),0)</f>
        <v>410.86652291560972</v>
      </c>
      <c r="BC175"/>
      <c r="BD175" s="118">
        <f>IFERROR(INDEX('Fuel Model - Calculation'!$B$2:$M$3771,(MATCH(($E175&amp;"Results"&amp;$BD$140&amp;$F175&amp;"USD/ton"),'Fuel Model - Calculation'!$B$2:$B$3771,0)),MATCH(P$141,'Fuel Model - Calculation'!$B$2:$M$2,0)),0)</f>
        <v>1115.3641775452213</v>
      </c>
      <c r="BE175" s="118">
        <f>IFERROR(INDEX('Fuel Model - Calculation'!$B$2:$M$3771,(MATCH(($E175&amp;"Results"&amp;$BD$140&amp;$F175&amp;"USD/ton"),'Fuel Model - Calculation'!$B$2:$B$3771,0)),MATCH(Q$141,'Fuel Model - Calculation'!$B$2:$M$2,0)),0)</f>
        <v>842.48794774226292</v>
      </c>
      <c r="BF175" s="118">
        <f>IFERROR(INDEX('Fuel Model - Calculation'!$B$2:$M$3771,(MATCH(($E175&amp;"Results"&amp;$BD$140&amp;$F175&amp;"USD/ton"),'Fuel Model - Calculation'!$B$2:$B$3771,0)),MATCH(R$141,'Fuel Model - Calculation'!$B$2:$M$2,0)),0)</f>
        <v>609.04421126235252</v>
      </c>
      <c r="BG175" s="118">
        <f>IFERROR(INDEX('Fuel Model - Calculation'!$B$2:$M$3771,(MATCH(($E175&amp;"Results"&amp;$BD$140&amp;$F175&amp;"USD/ton"),'Fuel Model - Calculation'!$B$2:$B$3771,0)),MATCH(S$141,'Fuel Model - Calculation'!$B$2:$M$2,0)),0)</f>
        <v>562.12790295623995</v>
      </c>
      <c r="BH175" s="118">
        <f>IFERROR(INDEX('Fuel Model - Calculation'!$B$2:$M$3771,(MATCH(($E175&amp;"Results"&amp;$BD$140&amp;$F175&amp;"USD/ton"),'Fuel Model - Calculation'!$B$2:$B$3771,0)),MATCH(T$141,'Fuel Model - Calculation'!$B$2:$M$2,0)),0)</f>
        <v>479.71561450352772</v>
      </c>
      <c r="BI175" s="118">
        <f>IFERROR(INDEX('Fuel Model - Calculation'!$B$2:$M$3771,(MATCH(($E175&amp;"Results"&amp;$BD$140&amp;$F175&amp;"USD/ton"),'Fuel Model - Calculation'!$B$2:$B$3771,0)),MATCH(U$141,'Fuel Model - Calculation'!$B$2:$M$2,0)),0)</f>
        <v>331.29181259906551</v>
      </c>
      <c r="BJ175" s="118">
        <f>IFERROR(INDEX('Fuel Model - Calculation'!$B$2:$M$3771,(MATCH(($E175&amp;"Results"&amp;$BD$140&amp;$F175&amp;"USD/ton"),'Fuel Model - Calculation'!$B$2:$B$3771,0)),MATCH(V$141,'Fuel Model - Calculation'!$B$2:$M$2,0)),0)</f>
        <v>205.03601978691017</v>
      </c>
      <c r="BL175" s="118">
        <f>IFERROR(IFERROR(INDEX('Fuel Model - Calculation'!$B$2:$M$3771,(MATCH(($E175&amp;"Results"&amp;$BL$140&amp;$F175&amp;"USD/ton"),'Fuel Model - Calculation'!$B$2:$B$3771,0)),MATCH(H$141,'Fuel Model - Calculation'!$B$2:$M$2,0)),0),0)</f>
        <v>906.23547098096049</v>
      </c>
      <c r="BM175" s="118">
        <f>IFERROR(IFERROR(INDEX('Fuel Model - Calculation'!$B$2:$M$3771,(MATCH(($E175&amp;"Results"&amp;$BL$140&amp;$F175&amp;"USD/ton"),'Fuel Model - Calculation'!$B$2:$B$3771,0)),MATCH(I$141,'Fuel Model - Calculation'!$B$2:$M$2,0)),0),0)</f>
        <v>756.06866545012917</v>
      </c>
      <c r="BN175" s="118">
        <f>IFERROR(IFERROR(INDEX('Fuel Model - Calculation'!$B$2:$M$3771,(MATCH(($E175&amp;"Results"&amp;$BL$140&amp;$F175&amp;"USD/ton"),'Fuel Model - Calculation'!$B$2:$B$3771,0)),MATCH(J$141,'Fuel Model - Calculation'!$B$2:$M$2,0)),0),0)</f>
        <v>604.41010246315818</v>
      </c>
      <c r="BO175" s="118">
        <f>IFERROR(IFERROR(INDEX('Fuel Model - Calculation'!$B$2:$M$3771,(MATCH(($E175&amp;"Results"&amp;$BL$140&amp;$F175&amp;"USD/ton"),'Fuel Model - Calculation'!$B$2:$B$3771,0)),MATCH(K$141,'Fuel Model - Calculation'!$B$2:$M$2,0)),0),0)</f>
        <v>502.99865339038433</v>
      </c>
      <c r="BP175" s="118">
        <f>IFERROR(IFERROR(INDEX('Fuel Model - Calculation'!$B$2:$M$3771,(MATCH(($E175&amp;"Results"&amp;$BL$140&amp;$F175&amp;"USD/ton"),'Fuel Model - Calculation'!$B$2:$B$3771,0)),MATCH(L$141,'Fuel Model - Calculation'!$B$2:$M$2,0)),0),0)</f>
        <v>421.15283655215825</v>
      </c>
      <c r="BQ175" s="118">
        <f>IFERROR(IFERROR(INDEX('Fuel Model - Calculation'!$B$2:$M$3771,(MATCH(($E175&amp;"Results"&amp;$BL$140&amp;$F175&amp;"USD/ton"),'Fuel Model - Calculation'!$B$2:$B$3771,0)),MATCH(M$141,'Fuel Model - Calculation'!$B$2:$M$2,0)),0),0)</f>
        <v>362.3822378071531</v>
      </c>
      <c r="BR175" s="118">
        <f>IFERROR(IFERROR(INDEX('Fuel Model - Calculation'!$B$2:$M$3771,(MATCH(($E175&amp;"Results"&amp;$BL$140&amp;$F175&amp;"USD/ton"),'Fuel Model - Calculation'!$B$2:$B$3771,0)),MATCH(N$141,'Fuel Model - Calculation'!$B$2:$M$2,0)),0),0)</f>
        <v>313.53145037381648</v>
      </c>
      <c r="BT175" s="118">
        <f>IFERROR(INDEX('Fuel Model - Calculation'!$B$2:$M$3771,(MATCH(($E175&amp;"Results"&amp;$BT$140&amp;$F175&amp;"USD/ton"),'Fuel Model - Calculation'!$B$2:$B$3771,0)),MATCH(H$141,'Fuel Model - Calculation'!$B$2:$M$2,0)),0)</f>
        <v>0</v>
      </c>
      <c r="BU175" s="118">
        <f>IFERROR(INDEX('Fuel Model - Calculation'!$B$2:$M$3771,(MATCH(($E175&amp;"Results"&amp;$BT$140&amp;$F175&amp;"USD/ton"),'Fuel Model - Calculation'!$B$2:$B$3771,0)),MATCH(I$141,'Fuel Model - Calculation'!$B$2:$M$2,0)),0)</f>
        <v>0</v>
      </c>
      <c r="BV175" s="118">
        <f>IFERROR(INDEX('Fuel Model - Calculation'!$B$2:$M$3771,(MATCH(($E175&amp;"Results"&amp;$BT$140&amp;$F175&amp;"USD/ton"),'Fuel Model - Calculation'!$B$2:$B$3771,0)),MATCH(J$141,'Fuel Model - Calculation'!$B$2:$M$2,0)),0)</f>
        <v>0</v>
      </c>
      <c r="BW175" s="118">
        <f>IFERROR(INDEX('Fuel Model - Calculation'!$B$2:$M$3771,(MATCH(($E175&amp;"Results"&amp;$BT$140&amp;$F175&amp;"USD/ton"),'Fuel Model - Calculation'!$B$2:$B$3771,0)),MATCH(K$141,'Fuel Model - Calculation'!$B$2:$M$2,0)),0)</f>
        <v>0</v>
      </c>
      <c r="BX175" s="118">
        <f>IFERROR(INDEX('Fuel Model - Calculation'!$B$2:$M$3771,(MATCH(($E175&amp;"Results"&amp;$BT$140&amp;$F175&amp;"USD/ton"),'Fuel Model - Calculation'!$B$2:$B$3771,0)),MATCH(L$141,'Fuel Model - Calculation'!$B$2:$M$2,0)),0)</f>
        <v>0</v>
      </c>
      <c r="BY175" s="118">
        <f>IFERROR(INDEX('Fuel Model - Calculation'!$B$2:$M$3771,(MATCH(($E175&amp;"Results"&amp;$BT$140&amp;$F175&amp;"USD/ton"),'Fuel Model - Calculation'!$B$2:$B$3771,0)),MATCH(M$141,'Fuel Model - Calculation'!$B$2:$M$2,0)),0)</f>
        <v>0</v>
      </c>
      <c r="BZ175" s="118">
        <f>IFERROR(INDEX('Fuel Model - Calculation'!$B$2:$M$3771,(MATCH(($E175&amp;"Results"&amp;$BT$140&amp;$F175&amp;"USD/ton"),'Fuel Model - Calculation'!$B$2:$B$3771,0)),MATCH(N$141,'Fuel Model - Calculation'!$B$2:$M$2,0)),0)</f>
        <v>0</v>
      </c>
    </row>
    <row r="176" spans="1:78" x14ac:dyDescent="0.2">
      <c r="A176" s="452"/>
      <c r="B176" s="453" t="str">
        <f>_xlfn.TEXTJOIN(keydelim,TRUE,F176,IF(E176="Africa","Africa&amp;other",E176),"Fuel cost",SUBSTITUTE($G176," ",""))</f>
        <v>e-Diesel (DAC) - Africa&amp;other - Fuel cost - USD/ton</v>
      </c>
      <c r="D176" s="459" t="str">
        <f t="shared" si="174"/>
        <v>Africae-Diesel (DAC)</v>
      </c>
      <c r="E176" t="s">
        <v>200</v>
      </c>
      <c r="F176" s="460" t="str">
        <f t="shared" si="175"/>
        <v>e-Diesel (DAC)</v>
      </c>
      <c r="G176" t="s">
        <v>835</v>
      </c>
      <c r="H176" s="118">
        <f>INDEX('Fuel Model - Calculation'!$B$2:$M$3771,(MATCH(($E176&amp;"ResultsCost of "&amp;$F176&amp;"USD/ton"),'Fuel Model - Calculation'!$B$2:$B$3771,0)),MATCH(H$141,'Fuel Model - Calculation'!$B$2:$M$2,0))</f>
        <v>5461.5439271186688</v>
      </c>
      <c r="I176" s="118">
        <f>INDEX('Fuel Model - Calculation'!$B$2:$M$3771,(MATCH(($E176&amp;"ResultsCost of "&amp;$F176&amp;"USD/ton"),'Fuel Model - Calculation'!$B$2:$B$3771,0)),MATCH(I$141,'Fuel Model - Calculation'!$B$2:$M$2,0))</f>
        <v>3684.0402418152257</v>
      </c>
      <c r="J176" s="118">
        <f>INDEX('Fuel Model - Calculation'!$B$2:$M$3771,(MATCH(($E176&amp;"ResultsCost of "&amp;$F176&amp;"USD/ton"),'Fuel Model - Calculation'!$B$2:$B$3771,0)),MATCH(J$141,'Fuel Model - Calculation'!$B$2:$M$2,0))</f>
        <v>2893.2581907647264</v>
      </c>
      <c r="K176" s="118">
        <f>INDEX('Fuel Model - Calculation'!$B$2:$M$3771,(MATCH(($E176&amp;"ResultsCost of "&amp;$F176&amp;"USD/ton"),'Fuel Model - Calculation'!$B$2:$B$3771,0)),MATCH(K$141,'Fuel Model - Calculation'!$B$2:$M$2,0))</f>
        <v>2545.5075245355083</v>
      </c>
      <c r="L176" s="118">
        <f>INDEX('Fuel Model - Calculation'!$B$2:$M$3771,(MATCH(($E176&amp;"ResultsCost of "&amp;$F176&amp;"USD/ton"),'Fuel Model - Calculation'!$B$2:$B$3771,0)),MATCH(L$141,'Fuel Model - Calculation'!$B$2:$M$2,0))</f>
        <v>2234.4654362752458</v>
      </c>
      <c r="M176" s="118">
        <f>INDEX('Fuel Model - Calculation'!$B$2:$M$3771,(MATCH(($E176&amp;"ResultsCost of "&amp;$F176&amp;"USD/ton"),'Fuel Model - Calculation'!$B$2:$B$3771,0)),MATCH(M$141,'Fuel Model - Calculation'!$B$2:$M$2,0))</f>
        <v>1801.3567790028683</v>
      </c>
      <c r="N176" s="118">
        <f>INDEX('Fuel Model - Calculation'!$B$2:$M$3771,(MATCH(($E176&amp;"ResultsCost of "&amp;$F176&amp;"USD/ton"),'Fuel Model - Calculation'!$B$2:$B$3771,0)),MATCH(N$141,'Fuel Model - Calculation'!$B$2:$M$2,0))</f>
        <v>1430.33411584496</v>
      </c>
      <c r="O176"/>
      <c r="P176" s="118">
        <f>IFERROR(INDEX('Fuel Model - Calculation'!G$2:G$3771,(MATCH(($E176&amp;"ResultsTotal RNE "&amp;$F176&amp;"USD/ton"),'Fuel Model - Calculation'!$B$2:$B$3771,0))),0)</f>
        <v>2047.8816109262077</v>
      </c>
      <c r="Q176" s="118">
        <f>IFERROR(INDEX('Fuel Model - Calculation'!H$2:H$3771,(MATCH(($E176&amp;"ResultsTotal RNE "&amp;$F176&amp;"USD/ton"),'Fuel Model - Calculation'!$B$2:$B$3771,0))),0)</f>
        <v>1151.7675317575147</v>
      </c>
      <c r="R176" s="118">
        <f>IFERROR(INDEX('Fuel Model - Calculation'!I$2:I$3771,(MATCH(($E176&amp;"ResultsTotal RNE "&amp;$F176&amp;"USD/ton"),'Fuel Model - Calculation'!$B$2:$B$3771,0))),0)</f>
        <v>892.40011615627361</v>
      </c>
      <c r="S176" s="118">
        <f>IFERROR(INDEX('Fuel Model - Calculation'!J$2:J$3771,(MATCH(($E176&amp;"ResultsTotal RNE "&amp;$F176&amp;"USD/ton"),'Fuel Model - Calculation'!$B$2:$B$3771,0))),0)</f>
        <v>729.28916461442509</v>
      </c>
      <c r="T176" s="118">
        <f>IFERROR(INDEX('Fuel Model - Calculation'!K$2:K$3771,(MATCH(($E176&amp;"ResultsTotal RNE "&amp;$F176&amp;"USD/ton"),'Fuel Model - Calculation'!$B$2:$B$3771,0))),0)</f>
        <v>637.73930960188238</v>
      </c>
      <c r="U176" s="118">
        <f>IFERROR(INDEX('Fuel Model - Calculation'!L$2:L$3771,(MATCH(($E176&amp;"ResultsTotal RNE "&amp;$F176&amp;"USD/ton"),'Fuel Model - Calculation'!$B$2:$B$3771,0))),0)</f>
        <v>541.40869462877788</v>
      </c>
      <c r="V176" s="118">
        <f>IFERROR(INDEX('Fuel Model - Calculation'!M$2:M$3771,(MATCH(($E176&amp;"ResultsTotal RNE "&amp;$F176&amp;"USD/ton"),'Fuel Model - Calculation'!$B$2:$B$3771,0))),0)</f>
        <v>486.67169468085177</v>
      </c>
      <c r="W176"/>
      <c r="X176" s="2">
        <f>INDEX('Fuel Model - Calculation'!$E$2:$M$3771,(MATCH(("WTT Emission - "&amp;$F176),'Fuel Model - Calculation'!$E$2:$E$3771,0)),MATCH(X$141,'Fuel Model - Calculation'!$E$2:$M$2,0))</f>
        <v>-3.0700604617267326</v>
      </c>
      <c r="Y176" s="2">
        <f>INDEX('Fuel Model - Calculation'!$E$2:$M$3771,(MATCH(("WTT Emission - "&amp;$F176),'Fuel Model - Calculation'!$E$2:$E$3771,0)),MATCH(Y$141,'Fuel Model - Calculation'!$E$2:$M$2,0))</f>
        <v>-3.0708976509117432</v>
      </c>
      <c r="Z176" s="2">
        <f>INDEX('Fuel Model - Calculation'!$E$2:$M$3771,(MATCH(("WTT Emission - "&amp;$F176),'Fuel Model - Calculation'!$E$2:$E$3771,0)),MATCH(Z$141,'Fuel Model - Calculation'!$E$2:$M$2,0))</f>
        <v>-3.0728843377137416</v>
      </c>
      <c r="AA176" s="2">
        <f>INDEX('Fuel Model - Calculation'!$E$2:$M$3771,(MATCH(("WTT Emission - "&amp;$F176),'Fuel Model - Calculation'!$E$2:$E$3771,0)),MATCH(AA$141,'Fuel Model - Calculation'!$E$2:$M$2,0))</f>
        <v>-3.0778527733409353</v>
      </c>
      <c r="AB176" s="2">
        <f>INDEX('Fuel Model - Calculation'!$E$2:$M$3771,(MATCH(("WTT Emission - "&amp;$F176),'Fuel Model - Calculation'!$E$2:$E$3771,0)),MATCH(AB$141,'Fuel Model - Calculation'!$E$2:$M$2,0))</f>
        <v>-3.0837732781424343</v>
      </c>
      <c r="AC176" s="2">
        <f>INDEX('Fuel Model - Calculation'!$E$2:$M$3771,(MATCH(("WTT Emission - "&amp;$F176),'Fuel Model - Calculation'!$E$2:$E$3771,0)),MATCH(AC$141,'Fuel Model - Calculation'!$E$2:$M$2,0))</f>
        <v>-3.0915936071724515</v>
      </c>
      <c r="AD176" s="2">
        <f>INDEX('Fuel Model - Calculation'!$E$2:$M$3771,(MATCH(("WTT Emission - "&amp;$F176),'Fuel Model - Calculation'!$E$2:$E$3771,0)),MATCH(AD$141,'Fuel Model - Calculation'!$E$2:$M$2,0))</f>
        <v>-3.0977718159117433</v>
      </c>
      <c r="AE176" s="2"/>
      <c r="AF176" s="2">
        <f>'Fuel Model -  Input'!H$53</f>
        <v>3.2553300000000003</v>
      </c>
      <c r="AG176" s="2">
        <f>'Fuel Model -  Input'!I$53</f>
        <v>3.2553300000000003</v>
      </c>
      <c r="AH176" s="2">
        <f>'Fuel Model -  Input'!J$53</f>
        <v>3.2553300000000003</v>
      </c>
      <c r="AI176" s="2">
        <f>'Fuel Model -  Input'!K$53</f>
        <v>3.2553300000000003</v>
      </c>
      <c r="AJ176" s="2">
        <f>'Fuel Model -  Input'!L$53</f>
        <v>3.2553300000000003</v>
      </c>
      <c r="AK176" s="2">
        <f>'Fuel Model -  Input'!M$53</f>
        <v>3.2553300000000003</v>
      </c>
      <c r="AL176" s="2">
        <f>'Fuel Model -  Input'!N$53</f>
        <v>3.2553300000000003</v>
      </c>
      <c r="AM176"/>
      <c r="AN176" s="24">
        <f t="shared" si="173"/>
        <v>0.18526953827326764</v>
      </c>
      <c r="AO176" s="24">
        <f t="shared" si="173"/>
        <v>0.18443234908825712</v>
      </c>
      <c r="AP176" s="24">
        <f t="shared" si="173"/>
        <v>0.18244566228625869</v>
      </c>
      <c r="AQ176" s="24">
        <f t="shared" si="173"/>
        <v>0.17747722665906496</v>
      </c>
      <c r="AR176" s="24">
        <f t="shared" si="173"/>
        <v>0.17155672185756599</v>
      </c>
      <c r="AS176" s="24">
        <f t="shared" si="173"/>
        <v>0.16373639282754882</v>
      </c>
      <c r="AT176" s="24">
        <f t="shared" si="173"/>
        <v>0.15755818408825695</v>
      </c>
      <c r="AU176"/>
      <c r="AV176" s="118">
        <f>IFERROR(INDEX('Fuel Model - Calculation'!$B$2:$M$3771,(MATCH(($E176&amp;"Results"&amp;$AV$140&amp;$F176&amp;"USD/ton"),'Fuel Model - Calculation'!$B$2:$B$3771,0)),MATCH(H$141,'Fuel Model - Calculation'!$B$2:$M$2,0)),0)</f>
        <v>975.24497896284106</v>
      </c>
      <c r="AW176" s="118">
        <f>IFERROR(INDEX('Fuel Model - Calculation'!$B$2:$M$3771,(MATCH(($E176&amp;"Results"&amp;$AV$140&amp;$F176&amp;"USD/ton"),'Fuel Model - Calculation'!$B$2:$B$3771,0)),MATCH(I$141,'Fuel Model - Calculation'!$B$2:$M$2,0)),0)</f>
        <v>841.05960383899901</v>
      </c>
      <c r="AX176" s="118">
        <f>IFERROR(INDEX('Fuel Model - Calculation'!$B$2:$M$3771,(MATCH(($E176&amp;"Results"&amp;$AV$140&amp;$F176&amp;"USD/ton"),'Fuel Model - Calculation'!$B$2:$B$3771,0)),MATCH(J$141,'Fuel Model - Calculation'!$B$2:$M$2,0)),0)</f>
        <v>729.34138631739529</v>
      </c>
      <c r="AY176" s="118">
        <f>IFERROR(INDEX('Fuel Model - Calculation'!$B$2:$M$3771,(MATCH(($E176&amp;"Results"&amp;$AV$140&amp;$F176&amp;"USD/ton"),'Fuel Model - Calculation'!$B$2:$B$3771,0)),MATCH(K$141,'Fuel Model - Calculation'!$B$2:$M$2,0)),0)</f>
        <v>715.92483717522839</v>
      </c>
      <c r="AZ176" s="118">
        <f>IFERROR(INDEX('Fuel Model - Calculation'!$B$2:$M$3771,(MATCH(($E176&amp;"Results"&amp;$AV$140&amp;$F176&amp;"USD/ton"),'Fuel Model - Calculation'!$B$2:$B$3771,0)),MATCH(L$141,'Fuel Model - Calculation'!$B$2:$M$2,0)),0)</f>
        <v>663.02732395007899</v>
      </c>
      <c r="BA176" s="118">
        <f>IFERROR(INDEX('Fuel Model - Calculation'!$B$2:$M$3771,(MATCH(($E176&amp;"Results"&amp;$AV$140&amp;$F176&amp;"USD/ton"),'Fuel Model - Calculation'!$B$2:$B$3771,0)),MATCH(M$141,'Fuel Model - Calculation'!$B$2:$M$2,0)),0)</f>
        <v>547.28868943989619</v>
      </c>
      <c r="BB176" s="118">
        <f>IFERROR(INDEX('Fuel Model - Calculation'!$B$2:$M$3771,(MATCH(($E176&amp;"Results"&amp;$AV$140&amp;$F176&amp;"USD/ton"),'Fuel Model - Calculation'!$B$2:$B$3771,0)),MATCH(N$141,'Fuel Model - Calculation'!$B$2:$M$2,0)),0)</f>
        <v>410.86652291560972</v>
      </c>
      <c r="BC176"/>
      <c r="BD176" s="118">
        <f>IFERROR(INDEX('Fuel Model - Calculation'!$B$2:$M$3771,(MATCH(($E176&amp;"Results"&amp;$BD$140&amp;$F176&amp;"USD/ton"),'Fuel Model - Calculation'!$B$2:$B$3771,0)),MATCH(P$141,'Fuel Model - Calculation'!$B$2:$M$2,0)),0)</f>
        <v>1115.3641775452206</v>
      </c>
      <c r="BE176" s="118">
        <f>IFERROR(INDEX('Fuel Model - Calculation'!$B$2:$M$3771,(MATCH(($E176&amp;"Results"&amp;$BD$140&amp;$F176&amp;"USD/ton"),'Fuel Model - Calculation'!$B$2:$B$3771,0)),MATCH(Q$141,'Fuel Model - Calculation'!$B$2:$M$2,0)),0)</f>
        <v>842.4879477422628</v>
      </c>
      <c r="BF176" s="118">
        <f>IFERROR(INDEX('Fuel Model - Calculation'!$B$2:$M$3771,(MATCH(($E176&amp;"Results"&amp;$BD$140&amp;$F176&amp;"USD/ton"),'Fuel Model - Calculation'!$B$2:$B$3771,0)),MATCH(R$141,'Fuel Model - Calculation'!$B$2:$M$2,0)),0)</f>
        <v>609.04421126235275</v>
      </c>
      <c r="BG176" s="118">
        <f>IFERROR(INDEX('Fuel Model - Calculation'!$B$2:$M$3771,(MATCH(($E176&amp;"Results"&amp;$BD$140&amp;$F176&amp;"USD/ton"),'Fuel Model - Calculation'!$B$2:$B$3771,0)),MATCH(S$141,'Fuel Model - Calculation'!$B$2:$M$2,0)),0)</f>
        <v>562.12790295624018</v>
      </c>
      <c r="BH176" s="118">
        <f>IFERROR(INDEX('Fuel Model - Calculation'!$B$2:$M$3771,(MATCH(($E176&amp;"Results"&amp;$BD$140&amp;$F176&amp;"USD/ton"),'Fuel Model - Calculation'!$B$2:$B$3771,0)),MATCH(T$141,'Fuel Model - Calculation'!$B$2:$M$2,0)),0)</f>
        <v>479.71561450352755</v>
      </c>
      <c r="BI176" s="118">
        <f>IFERROR(INDEX('Fuel Model - Calculation'!$B$2:$M$3771,(MATCH(($E176&amp;"Results"&amp;$BD$140&amp;$F176&amp;"USD/ton"),'Fuel Model - Calculation'!$B$2:$B$3771,0)),MATCH(U$141,'Fuel Model - Calculation'!$B$2:$M$2,0)),0)</f>
        <v>331.29181259906534</v>
      </c>
      <c r="BJ176" s="118">
        <f>IFERROR(INDEX('Fuel Model - Calculation'!$B$2:$M$3771,(MATCH(($E176&amp;"Results"&amp;$BD$140&amp;$F176&amp;"USD/ton"),'Fuel Model - Calculation'!$B$2:$B$3771,0)),MATCH(V$141,'Fuel Model - Calculation'!$B$2:$M$2,0)),0)</f>
        <v>205.03601978691023</v>
      </c>
      <c r="BL176" s="118">
        <f>IFERROR(IFERROR(INDEX('Fuel Model - Calculation'!$B$2:$M$3771,(MATCH(($E176&amp;"Results"&amp;$BL$140&amp;$F176&amp;"USD/ton"),'Fuel Model - Calculation'!$B$2:$B$3771,0)),MATCH(H$141,'Fuel Model - Calculation'!$B$2:$M$2,0)),0),0)</f>
        <v>1323.0531596843996</v>
      </c>
      <c r="BM176" s="118">
        <f>IFERROR(IFERROR(INDEX('Fuel Model - Calculation'!$B$2:$M$3771,(MATCH(($E176&amp;"Results"&amp;$BL$140&amp;$F176&amp;"USD/ton"),'Fuel Model - Calculation'!$B$2:$B$3771,0)),MATCH(I$141,'Fuel Model - Calculation'!$B$2:$M$2,0)),0),0)</f>
        <v>848.72515847644945</v>
      </c>
      <c r="BN176" s="118">
        <f>IFERROR(IFERROR(INDEX('Fuel Model - Calculation'!$B$2:$M$3771,(MATCH(($E176&amp;"Results"&amp;$BL$140&amp;$F176&amp;"USD/ton"),'Fuel Model - Calculation'!$B$2:$B$3771,0)),MATCH(J$141,'Fuel Model - Calculation'!$B$2:$M$2,0)),0),0)</f>
        <v>662.47247702870459</v>
      </c>
      <c r="BO176" s="118">
        <f>IFERROR(IFERROR(INDEX('Fuel Model - Calculation'!$B$2:$M$3771,(MATCH(($E176&amp;"Results"&amp;$BL$140&amp;$F176&amp;"USD/ton"),'Fuel Model - Calculation'!$B$2:$B$3771,0)),MATCH(K$141,'Fuel Model - Calculation'!$B$2:$M$2,0)),0),0)</f>
        <v>538.16561978961499</v>
      </c>
      <c r="BP176" s="118">
        <f>IFERROR(IFERROR(INDEX('Fuel Model - Calculation'!$B$2:$M$3771,(MATCH(($E176&amp;"Results"&amp;$BL$140&amp;$F176&amp;"USD/ton"),'Fuel Model - Calculation'!$B$2:$B$3771,0)),MATCH(L$141,'Fuel Model - Calculation'!$B$2:$M$2,0)),0),0)</f>
        <v>453.98318821975698</v>
      </c>
      <c r="BQ176" s="118">
        <f>IFERROR(IFERROR(INDEX('Fuel Model - Calculation'!$B$2:$M$3771,(MATCH(($E176&amp;"Results"&amp;$BL$140&amp;$F176&amp;"USD/ton"),'Fuel Model - Calculation'!$B$2:$B$3771,0)),MATCH(M$141,'Fuel Model - Calculation'!$B$2:$M$2,0)),0),0)</f>
        <v>381.36758233512899</v>
      </c>
      <c r="BR176" s="118">
        <f>IFERROR(IFERROR(INDEX('Fuel Model - Calculation'!$B$2:$M$3771,(MATCH(($E176&amp;"Results"&amp;$BL$140&amp;$F176&amp;"USD/ton"),'Fuel Model - Calculation'!$B$2:$B$3771,0)),MATCH(N$141,'Fuel Model - Calculation'!$B$2:$M$2,0)),0),0)</f>
        <v>327.75987846158841</v>
      </c>
      <c r="BT176" s="118">
        <f>IFERROR(INDEX('Fuel Model - Calculation'!$B$2:$M$3771,(MATCH(($E176&amp;"Results"&amp;$BT$140&amp;$F176&amp;"USD/ton"),'Fuel Model - Calculation'!$B$2:$B$3771,0)),MATCH(H$141,'Fuel Model - Calculation'!$B$2:$M$2,0)),0)</f>
        <v>0</v>
      </c>
      <c r="BU176" s="118">
        <f>IFERROR(INDEX('Fuel Model - Calculation'!$B$2:$M$3771,(MATCH(($E176&amp;"Results"&amp;$BT$140&amp;$F176&amp;"USD/ton"),'Fuel Model - Calculation'!$B$2:$B$3771,0)),MATCH(I$141,'Fuel Model - Calculation'!$B$2:$M$2,0)),0)</f>
        <v>0</v>
      </c>
      <c r="BV176" s="118">
        <f>IFERROR(INDEX('Fuel Model - Calculation'!$B$2:$M$3771,(MATCH(($E176&amp;"Results"&amp;$BT$140&amp;$F176&amp;"USD/ton"),'Fuel Model - Calculation'!$B$2:$B$3771,0)),MATCH(J$141,'Fuel Model - Calculation'!$B$2:$M$2,0)),0)</f>
        <v>0</v>
      </c>
      <c r="BW176" s="118">
        <f>IFERROR(INDEX('Fuel Model - Calculation'!$B$2:$M$3771,(MATCH(($E176&amp;"Results"&amp;$BT$140&amp;$F176&amp;"USD/ton"),'Fuel Model - Calculation'!$B$2:$B$3771,0)),MATCH(K$141,'Fuel Model - Calculation'!$B$2:$M$2,0)),0)</f>
        <v>0</v>
      </c>
      <c r="BX176" s="118">
        <f>IFERROR(INDEX('Fuel Model - Calculation'!$B$2:$M$3771,(MATCH(($E176&amp;"Results"&amp;$BT$140&amp;$F176&amp;"USD/ton"),'Fuel Model - Calculation'!$B$2:$B$3771,0)),MATCH(L$141,'Fuel Model - Calculation'!$B$2:$M$2,0)),0)</f>
        <v>0</v>
      </c>
      <c r="BY176" s="118">
        <f>IFERROR(INDEX('Fuel Model - Calculation'!$B$2:$M$3771,(MATCH(($E176&amp;"Results"&amp;$BT$140&amp;$F176&amp;"USD/ton"),'Fuel Model - Calculation'!$B$2:$B$3771,0)),MATCH(M$141,'Fuel Model - Calculation'!$B$2:$M$2,0)),0)</f>
        <v>0</v>
      </c>
      <c r="BZ176" s="118">
        <f>IFERROR(INDEX('Fuel Model - Calculation'!$B$2:$M$3771,(MATCH(($E176&amp;"Results"&amp;$BT$140&amp;$F176&amp;"USD/ton"),'Fuel Model - Calculation'!$B$2:$B$3771,0)),MATCH(N$141,'Fuel Model - Calculation'!$B$2:$M$2,0)),0)</f>
        <v>0</v>
      </c>
    </row>
    <row r="177" spans="1:78" x14ac:dyDescent="0.2">
      <c r="A177" s="452"/>
      <c r="B177" s="453"/>
      <c r="D177" s="74"/>
      <c r="E177"/>
      <c r="F177" s="157"/>
      <c r="G177"/>
      <c r="H177" s="118"/>
      <c r="I177"/>
      <c r="J177"/>
      <c r="K177"/>
      <c r="L177"/>
      <c r="M177"/>
      <c r="N177"/>
      <c r="O177"/>
      <c r="P177"/>
      <c r="Q177"/>
      <c r="R177"/>
      <c r="S177"/>
      <c r="T177"/>
      <c r="U177"/>
      <c r="V177"/>
      <c r="W177"/>
      <c r="X177"/>
      <c r="Y177"/>
      <c r="Z177"/>
      <c r="AA177"/>
      <c r="AB177"/>
      <c r="AC177"/>
      <c r="AD177"/>
      <c r="AE177"/>
      <c r="AF177" s="2"/>
      <c r="AG177" s="2"/>
      <c r="AH177" s="2"/>
      <c r="AI177" s="2"/>
      <c r="AJ177" s="2"/>
      <c r="AK177" s="2"/>
      <c r="AL177" s="2"/>
      <c r="AM177"/>
      <c r="AN177" s="24"/>
      <c r="AO177" s="24"/>
      <c r="AP177" s="24"/>
      <c r="AQ177" s="24"/>
      <c r="AR177" s="24"/>
      <c r="AS177" s="24"/>
      <c r="AT177" s="24"/>
      <c r="AU177"/>
      <c r="AV177" s="118"/>
      <c r="AW177" s="118"/>
      <c r="AX177" s="118"/>
      <c r="AY177" s="118"/>
      <c r="AZ177" s="118"/>
      <c r="BA177" s="118"/>
      <c r="BB177" s="118"/>
      <c r="BC177"/>
      <c r="BD177" s="118"/>
      <c r="BE177" s="118"/>
      <c r="BF177" s="118"/>
      <c r="BG177" s="118"/>
      <c r="BH177" s="118"/>
      <c r="BI177" s="118"/>
      <c r="BJ177" s="118"/>
      <c r="BL177" s="118"/>
      <c r="BM177" s="118"/>
      <c r="BN177" s="118"/>
      <c r="BO177" s="118"/>
      <c r="BP177" s="118"/>
      <c r="BQ177" s="118"/>
      <c r="BR177" s="118"/>
      <c r="BT177" s="118"/>
      <c r="BU177" s="118"/>
      <c r="BV177" s="118"/>
      <c r="BW177" s="118"/>
      <c r="BX177" s="118"/>
      <c r="BY177" s="118"/>
      <c r="BZ177" s="118"/>
    </row>
    <row r="178" spans="1:78" x14ac:dyDescent="0.2">
      <c r="A178" s="452"/>
      <c r="B178" s="453" t="str">
        <f>_xlfn.TEXTJOIN(keydelim,TRUE,F178,IF(E178="Africa","Africa&amp;other",E178),"Fuel cost",SUBSTITUTE($G178," ",""))</f>
        <v>e-Diesel (PS) - Europe - Fuel cost - USD/ton</v>
      </c>
      <c r="D178" s="459" t="str">
        <f>E178&amp;F178</f>
        <v>Europee-Diesel (PS)</v>
      </c>
      <c r="E178" t="s">
        <v>195</v>
      </c>
      <c r="F178" s="460" t="s">
        <v>589</v>
      </c>
      <c r="G178" t="s">
        <v>835</v>
      </c>
      <c r="H178" s="118">
        <f>INDEX('Fuel Model - Calculation'!$B$2:$M$3771,(MATCH(($E178&amp;"ResultsCost of "&amp;$F178&amp;"USD/ton"),'Fuel Model - Calculation'!$B$2:$B$3771,0)),MATCH(H$141,'Fuel Model - Calculation'!$B$2:$M$2,0))</f>
        <v>4145.7272046911285</v>
      </c>
      <c r="I178" s="118">
        <f>INDEX('Fuel Model - Calculation'!$B$2:$M$3771,(MATCH(($E178&amp;"ResultsCost of "&amp;$F178&amp;"USD/ton"),'Fuel Model - Calculation'!$B$2:$B$3771,0)),MATCH(I$141,'Fuel Model - Calculation'!$B$2:$M$2,0))</f>
        <v>3348.9736086999769</v>
      </c>
      <c r="J178" s="118">
        <f>INDEX('Fuel Model - Calculation'!$B$2:$M$3771,(MATCH(($E178&amp;"ResultsCost of "&amp;$F178&amp;"USD/ton"),'Fuel Model - Calculation'!$B$2:$B$3771,0)),MATCH(J$141,'Fuel Model - Calculation'!$B$2:$M$2,0))</f>
        <v>2664.100659542979</v>
      </c>
      <c r="K178" s="118">
        <f>INDEX('Fuel Model - Calculation'!$B$2:$M$3771,(MATCH(($E178&amp;"ResultsCost of "&amp;$F178&amp;"USD/ton"),'Fuel Model - Calculation'!$B$2:$B$3771,0)),MATCH(K$141,'Fuel Model - Calculation'!$B$2:$M$2,0))</f>
        <v>2442.254971585236</v>
      </c>
      <c r="L178" s="118">
        <f>INDEX('Fuel Model - Calculation'!$B$2:$M$3771,(MATCH(($E178&amp;"ResultsCost of "&amp;$F178&amp;"USD/ton"),'Fuel Model - Calculation'!$B$2:$B$3771,0)),MATCH(L$141,'Fuel Model - Calculation'!$B$2:$M$2,0))</f>
        <v>2181.9670446480259</v>
      </c>
      <c r="M178" s="118">
        <f>INDEX('Fuel Model - Calculation'!$B$2:$M$3771,(MATCH(($E178&amp;"ResultsCost of "&amp;$F178&amp;"USD/ton"),'Fuel Model - Calculation'!$B$2:$B$3771,0)),MATCH(M$141,'Fuel Model - Calculation'!$B$2:$M$2,0))</f>
        <v>1784.0697250978733</v>
      </c>
      <c r="N178" s="118">
        <f>INDEX('Fuel Model - Calculation'!$B$2:$M$3771,(MATCH(($E178&amp;"ResultsCost of "&amp;$F178&amp;"USD/ton"),'Fuel Model - Calculation'!$B$2:$B$3771,0)),MATCH(N$141,'Fuel Model - Calculation'!$B$2:$M$2,0))</f>
        <v>1415.5202908675387</v>
      </c>
      <c r="O178"/>
      <c r="P178" s="118">
        <f>IFERROR(INDEX('Fuel Model - Calculation'!G$2:G$3771,(MATCH(($E178&amp;"ResultsTotal RNE "&amp;$F178&amp;"USD/ton"),'Fuel Model - Calculation'!$B$2:$B$3771,0))),0)</f>
        <v>1416.0099006012485</v>
      </c>
      <c r="Q178" s="118">
        <f>IFERROR(INDEX('Fuel Model - Calculation'!H$2:H$3771,(MATCH(($E178&amp;"ResultsTotal RNE "&amp;$F178&amp;"USD/ton"),'Fuel Model - Calculation'!$B$2:$B$3771,0))),0)</f>
        <v>1138.9130531895148</v>
      </c>
      <c r="R178" s="118">
        <f>IFERROR(INDEX('Fuel Model - Calculation'!I$2:I$3771,(MATCH(($E178&amp;"ResultsTotal RNE "&amp;$F178&amp;"USD/ton"),'Fuel Model - Calculation'!$B$2:$B$3771,0))),0)</f>
        <v>908.66479269685146</v>
      </c>
      <c r="S178" s="118">
        <f>IFERROR(INDEX('Fuel Model - Calculation'!J$2:J$3771,(MATCH(($E178&amp;"ResultsTotal RNE "&amp;$F178&amp;"USD/ton"),'Fuel Model - Calculation'!$B$2:$B$3771,0))),0)</f>
        <v>789.93788571226401</v>
      </c>
      <c r="T178" s="118">
        <f>IFERROR(INDEX('Fuel Model - Calculation'!K$2:K$3771,(MATCH(($E178&amp;"ResultsTotal RNE "&amp;$F178&amp;"USD/ton"),'Fuel Model - Calculation'!$B$2:$B$3771,0))),0)</f>
        <v>705.5385607005561</v>
      </c>
      <c r="U178" s="118">
        <f>IFERROR(INDEX('Fuel Model - Calculation'!L$2:L$3771,(MATCH(($E178&amp;"ResultsTotal RNE "&amp;$F178&amp;"USD/ton"),'Fuel Model - Calculation'!$B$2:$B$3771,0))),0)</f>
        <v>612.61080841195758</v>
      </c>
      <c r="V178" s="118">
        <f>IFERROR(INDEX('Fuel Model - Calculation'!M$2:M$3771,(MATCH(($E178&amp;"ResultsTotal RNE "&amp;$F178&amp;"USD/ton"),'Fuel Model - Calculation'!$B$2:$B$3771,0))),0)</f>
        <v>546.60050663573838</v>
      </c>
      <c r="W178"/>
      <c r="X178" s="2">
        <f>INDEX('Fuel Model - Calculation'!$E$2:$M$3771,(MATCH(("WTT Emission - "&amp;$F178),'Fuel Model - Calculation'!$E$2:$E$3771,0)),MATCH(X$141,'Fuel Model - Calculation'!$E$2:$M$2,0))</f>
        <v>-3.0700604617267326</v>
      </c>
      <c r="Y178" s="2">
        <f>INDEX('Fuel Model - Calculation'!$E$2:$M$3771,(MATCH(("WTT Emission - "&amp;$F178),'Fuel Model - Calculation'!$E$2:$E$3771,0)),MATCH(Y$141,'Fuel Model - Calculation'!$E$2:$M$2,0))</f>
        <v>-3.0708976509117432</v>
      </c>
      <c r="Z178" s="2">
        <f>INDEX('Fuel Model - Calculation'!$E$2:$M$3771,(MATCH(("WTT Emission - "&amp;$F178),'Fuel Model - Calculation'!$E$2:$E$3771,0)),MATCH(Z$141,'Fuel Model - Calculation'!$E$2:$M$2,0))</f>
        <v>-3.0728843377137416</v>
      </c>
      <c r="AA178" s="2">
        <f>INDEX('Fuel Model - Calculation'!$E$2:$M$3771,(MATCH(("WTT Emission - "&amp;$F178),'Fuel Model - Calculation'!$E$2:$E$3771,0)),MATCH(AA$141,'Fuel Model - Calculation'!$E$2:$M$2,0))</f>
        <v>-3.0778527733409353</v>
      </c>
      <c r="AB178" s="2">
        <f>INDEX('Fuel Model - Calculation'!$E$2:$M$3771,(MATCH(("WTT Emission - "&amp;$F178),'Fuel Model - Calculation'!$E$2:$E$3771,0)),MATCH(AB$141,'Fuel Model - Calculation'!$E$2:$M$2,0))</f>
        <v>-3.0837732781424343</v>
      </c>
      <c r="AC178" s="2">
        <f>INDEX('Fuel Model - Calculation'!$E$2:$M$3771,(MATCH(("WTT Emission - "&amp;$F178),'Fuel Model - Calculation'!$E$2:$E$3771,0)),MATCH(AC$141,'Fuel Model - Calculation'!$E$2:$M$2,0))</f>
        <v>-3.0915936071724515</v>
      </c>
      <c r="AD178" s="2">
        <f>INDEX('Fuel Model - Calculation'!$E$2:$M$3771,(MATCH(("WTT Emission - "&amp;$F178),'Fuel Model - Calculation'!$E$2:$E$3771,0)),MATCH(AD$141,'Fuel Model - Calculation'!$E$2:$M$2,0))</f>
        <v>-3.0977718159117433</v>
      </c>
      <c r="AE178" s="2"/>
      <c r="AF178" s="2">
        <f>'Fuel Model -  Input'!H$53</f>
        <v>3.2553300000000003</v>
      </c>
      <c r="AG178" s="2">
        <f>'Fuel Model -  Input'!I$53</f>
        <v>3.2553300000000003</v>
      </c>
      <c r="AH178" s="2">
        <f>'Fuel Model -  Input'!J$53</f>
        <v>3.2553300000000003</v>
      </c>
      <c r="AI178" s="2">
        <f>'Fuel Model -  Input'!K$53</f>
        <v>3.2553300000000003</v>
      </c>
      <c r="AJ178" s="2">
        <f>'Fuel Model -  Input'!L$53</f>
        <v>3.2553300000000003</v>
      </c>
      <c r="AK178" s="2">
        <f>'Fuel Model -  Input'!M$53</f>
        <v>3.2553300000000003</v>
      </c>
      <c r="AL178" s="2">
        <f>'Fuel Model -  Input'!N$53</f>
        <v>3.2553300000000003</v>
      </c>
      <c r="AM178"/>
      <c r="AN178" s="24">
        <f t="shared" ref="AN178:AT182" si="176">X178+AF178</f>
        <v>0.18526953827326764</v>
      </c>
      <c r="AO178" s="24">
        <f t="shared" si="176"/>
        <v>0.18443234908825712</v>
      </c>
      <c r="AP178" s="24">
        <f t="shared" si="176"/>
        <v>0.18244566228625869</v>
      </c>
      <c r="AQ178" s="24">
        <f t="shared" si="176"/>
        <v>0.17747722665906496</v>
      </c>
      <c r="AR178" s="24">
        <f t="shared" si="176"/>
        <v>0.17155672185756599</v>
      </c>
      <c r="AS178" s="24">
        <f t="shared" si="176"/>
        <v>0.16373639282754882</v>
      </c>
      <c r="AT178" s="24">
        <f t="shared" si="176"/>
        <v>0.15755818408825695</v>
      </c>
      <c r="AU178"/>
      <c r="AV178" s="118">
        <f>IFERROR(INDEX('Fuel Model - Calculation'!$B$2:$M$3771,(MATCH(($E178&amp;"Results"&amp;$AV$140&amp;$F178&amp;"USD/ton"),'Fuel Model - Calculation'!$B$2:$B$3771,0)),MATCH(H$141,'Fuel Model - Calculation'!$B$2:$M$2,0)),0)</f>
        <v>975.24497896284106</v>
      </c>
      <c r="AW178" s="118">
        <f>IFERROR(INDEX('Fuel Model - Calculation'!$B$2:$M$3771,(MATCH(($E178&amp;"Results"&amp;$AV$140&amp;$F178&amp;"USD/ton"),'Fuel Model - Calculation'!$B$2:$B$3771,0)),MATCH(I$141,'Fuel Model - Calculation'!$B$2:$M$2,0)),0)</f>
        <v>841.05960383899901</v>
      </c>
      <c r="AX178" s="118">
        <f>IFERROR(INDEX('Fuel Model - Calculation'!$B$2:$M$3771,(MATCH(($E178&amp;"Results"&amp;$AV$140&amp;$F178&amp;"USD/ton"),'Fuel Model - Calculation'!$B$2:$B$3771,0)),MATCH(J$141,'Fuel Model - Calculation'!$B$2:$M$2,0)),0)</f>
        <v>729.3413863173954</v>
      </c>
      <c r="AY178" s="118">
        <f>IFERROR(INDEX('Fuel Model - Calculation'!$B$2:$M$3771,(MATCH(($E178&amp;"Results"&amp;$AV$140&amp;$F178&amp;"USD/ton"),'Fuel Model - Calculation'!$B$2:$B$3771,0)),MATCH(K$141,'Fuel Model - Calculation'!$B$2:$M$2,0)),0)</f>
        <v>715.92483717522839</v>
      </c>
      <c r="AZ178" s="118">
        <f>IFERROR(INDEX('Fuel Model - Calculation'!$B$2:$M$3771,(MATCH(($E178&amp;"Results"&amp;$AV$140&amp;$F178&amp;"USD/ton"),'Fuel Model - Calculation'!$B$2:$B$3771,0)),MATCH(L$141,'Fuel Model - Calculation'!$B$2:$M$2,0)),0)</f>
        <v>663.02732395007888</v>
      </c>
      <c r="BA178" s="118">
        <f>IFERROR(INDEX('Fuel Model - Calculation'!$B$2:$M$3771,(MATCH(($E178&amp;"Results"&amp;$AV$140&amp;$F178&amp;"USD/ton"),'Fuel Model - Calculation'!$B$2:$B$3771,0)),MATCH(M$141,'Fuel Model - Calculation'!$B$2:$M$2,0)),0)</f>
        <v>547.28868943989619</v>
      </c>
      <c r="BB178" s="118">
        <f>IFERROR(INDEX('Fuel Model - Calculation'!$B$2:$M$3771,(MATCH(($E178&amp;"Results"&amp;$AV$140&amp;$F178&amp;"USD/ton"),'Fuel Model - Calculation'!$B$2:$B$3771,0)),MATCH(N$141,'Fuel Model - Calculation'!$B$2:$M$2,0)),0)</f>
        <v>410.86652291560972</v>
      </c>
      <c r="BC178"/>
      <c r="BD178" s="118">
        <f>IFERROR(INDEX('Fuel Model - Calculation'!$B$2:$M$3771,(MATCH(($E178&amp;"Results"&amp;$BD$140&amp;$F178&amp;"USD/ton"),'Fuel Model - Calculation'!$B$2:$B$3771,0)),MATCH(P$141,'Fuel Model - Calculation'!$B$2:$M$2,0)),0)</f>
        <v>1115.3641775452211</v>
      </c>
      <c r="BE178" s="118">
        <f>IFERROR(INDEX('Fuel Model - Calculation'!$B$2:$M$3771,(MATCH(($E178&amp;"Results"&amp;$BD$140&amp;$F178&amp;"USD/ton"),'Fuel Model - Calculation'!$B$2:$B$3771,0)),MATCH(Q$141,'Fuel Model - Calculation'!$B$2:$M$2,0)),0)</f>
        <v>842.48794774226258</v>
      </c>
      <c r="BF178" s="118">
        <f>IFERROR(INDEX('Fuel Model - Calculation'!$B$2:$M$3771,(MATCH(($E178&amp;"Results"&amp;$BD$140&amp;$F178&amp;"USD/ton"),'Fuel Model - Calculation'!$B$2:$B$3771,0)),MATCH(R$141,'Fuel Model - Calculation'!$B$2:$M$2,0)),0)</f>
        <v>609.04421126235241</v>
      </c>
      <c r="BG178" s="118">
        <f>IFERROR(INDEX('Fuel Model - Calculation'!$B$2:$M$3771,(MATCH(($E178&amp;"Results"&amp;$BD$140&amp;$F178&amp;"USD/ton"),'Fuel Model - Calculation'!$B$2:$B$3771,0)),MATCH(S$141,'Fuel Model - Calculation'!$B$2:$M$2,0)),0)</f>
        <v>562.12790295624006</v>
      </c>
      <c r="BH178" s="118">
        <f>IFERROR(INDEX('Fuel Model - Calculation'!$B$2:$M$3771,(MATCH(($E178&amp;"Results"&amp;$BD$140&amp;$F178&amp;"USD/ton"),'Fuel Model - Calculation'!$B$2:$B$3771,0)),MATCH(T$141,'Fuel Model - Calculation'!$B$2:$M$2,0)),0)</f>
        <v>479.71561450352772</v>
      </c>
      <c r="BI178" s="118">
        <f>IFERROR(INDEX('Fuel Model - Calculation'!$B$2:$M$3771,(MATCH(($E178&amp;"Results"&amp;$BD$140&amp;$F178&amp;"USD/ton"),'Fuel Model - Calculation'!$B$2:$B$3771,0)),MATCH(U$141,'Fuel Model - Calculation'!$B$2:$M$2,0)),0)</f>
        <v>331.29181259906545</v>
      </c>
      <c r="BJ178" s="118">
        <f>IFERROR(INDEX('Fuel Model - Calculation'!$B$2:$M$3771,(MATCH(($E178&amp;"Results"&amp;$BD$140&amp;$F178&amp;"USD/ton"),'Fuel Model - Calculation'!$B$2:$B$3771,0)),MATCH(V$141,'Fuel Model - Calculation'!$B$2:$M$2,0)),0)</f>
        <v>205.03601978691017</v>
      </c>
      <c r="BL178" s="118">
        <f>IFERROR(IFERROR(INDEX('Fuel Model - Calculation'!$B$2:$M$3771,(MATCH(($E178&amp;"Results"&amp;$BL$140&amp;$F178&amp;"USD/ton"),'Fuel Model - Calculation'!$B$2:$B$3771,0)),MATCH(H$141,'Fuel Model - Calculation'!$B$2:$M$2,0)),0),0)</f>
        <v>639.10814758181755</v>
      </c>
      <c r="BM178" s="118">
        <f>IFERROR(IFERROR(INDEX('Fuel Model - Calculation'!$B$2:$M$3771,(MATCH(($E178&amp;"Results"&amp;$BL$140&amp;$F178&amp;"USD/ton"),'Fuel Model - Calculation'!$B$2:$B$3771,0)),MATCH(I$141,'Fuel Model - Calculation'!$B$2:$M$2,0)),0),0)</f>
        <v>526.51300392920018</v>
      </c>
      <c r="BN178" s="118">
        <f>IFERROR(IFERROR(INDEX('Fuel Model - Calculation'!$B$2:$M$3771,(MATCH(($E178&amp;"Results"&amp;$BL$140&amp;$F178&amp;"USD/ton"),'Fuel Model - Calculation'!$B$2:$B$3771,0)),MATCH(J$141,'Fuel Model - Calculation'!$B$2:$M$2,0)),0),0)</f>
        <v>417.05026926637964</v>
      </c>
      <c r="BO178" s="118">
        <f>IFERROR(IFERROR(INDEX('Fuel Model - Calculation'!$B$2:$M$3771,(MATCH(($E178&amp;"Results"&amp;$BL$140&amp;$F178&amp;"USD/ton"),'Fuel Model - Calculation'!$B$2:$B$3771,0)),MATCH(K$141,'Fuel Model - Calculation'!$B$2:$M$2,0)),0),0)</f>
        <v>374.26434574150397</v>
      </c>
      <c r="BP178" s="118">
        <f>IFERROR(IFERROR(INDEX('Fuel Model - Calculation'!$B$2:$M$3771,(MATCH(($E178&amp;"Results"&amp;$BL$140&amp;$F178&amp;"USD/ton"),'Fuel Model - Calculation'!$B$2:$B$3771,0)),MATCH(L$141,'Fuel Model - Calculation'!$B$2:$M$2,0)),0),0)</f>
        <v>333.68554549386312</v>
      </c>
      <c r="BQ178" s="118">
        <f>IFERROR(IFERROR(INDEX('Fuel Model - Calculation'!$B$2:$M$3771,(MATCH(($E178&amp;"Results"&amp;$BL$140&amp;$F178&amp;"USD/ton"),'Fuel Model - Calculation'!$B$2:$B$3771,0)),MATCH(M$141,'Fuel Model - Calculation'!$B$2:$M$2,0)),0),0)</f>
        <v>292.87841464695396</v>
      </c>
      <c r="BR178" s="118">
        <f>IFERROR(IFERROR(INDEX('Fuel Model - Calculation'!$B$2:$M$3771,(MATCH(($E178&amp;"Results"&amp;$BL$140&amp;$F178&amp;"USD/ton"),'Fuel Model - Calculation'!$B$2:$B$3771,0)),MATCH(N$141,'Fuel Model - Calculation'!$B$2:$M$2,0)),0),0)</f>
        <v>253.01724152928051</v>
      </c>
      <c r="BT178" s="118">
        <f>IFERROR(INDEX('Fuel Model - Calculation'!$B$2:$M$3771,(MATCH(($E178&amp;"Results"&amp;$BT$140&amp;$F178&amp;"USD/ton"),'Fuel Model - Calculation'!$B$2:$B$3771,0)),MATCH(H$141,'Fuel Model - Calculation'!$B$2:$M$2,0)),0)</f>
        <v>0</v>
      </c>
      <c r="BU178" s="118">
        <f>IFERROR(INDEX('Fuel Model - Calculation'!$B$2:$M$3771,(MATCH(($E178&amp;"Results"&amp;$BT$140&amp;$F178&amp;"USD/ton"),'Fuel Model - Calculation'!$B$2:$B$3771,0)),MATCH(I$141,'Fuel Model - Calculation'!$B$2:$M$2,0)),0)</f>
        <v>0</v>
      </c>
      <c r="BV178" s="118">
        <f>IFERROR(INDEX('Fuel Model - Calculation'!$B$2:$M$3771,(MATCH(($E178&amp;"Results"&amp;$BT$140&amp;$F178&amp;"USD/ton"),'Fuel Model - Calculation'!$B$2:$B$3771,0)),MATCH(J$141,'Fuel Model - Calculation'!$B$2:$M$2,0)),0)</f>
        <v>0</v>
      </c>
      <c r="BW178" s="118">
        <f>IFERROR(INDEX('Fuel Model - Calculation'!$B$2:$M$3771,(MATCH(($E178&amp;"Results"&amp;$BT$140&amp;$F178&amp;"USD/ton"),'Fuel Model - Calculation'!$B$2:$B$3771,0)),MATCH(K$141,'Fuel Model - Calculation'!$B$2:$M$2,0)),0)</f>
        <v>0</v>
      </c>
      <c r="BX178" s="118">
        <f>IFERROR(INDEX('Fuel Model - Calculation'!$B$2:$M$3771,(MATCH(($E178&amp;"Results"&amp;$BT$140&amp;$F178&amp;"USD/ton"),'Fuel Model - Calculation'!$B$2:$B$3771,0)),MATCH(L$141,'Fuel Model - Calculation'!$B$2:$M$2,0)),0)</f>
        <v>0</v>
      </c>
      <c r="BY178" s="118">
        <f>IFERROR(INDEX('Fuel Model - Calculation'!$B$2:$M$3771,(MATCH(($E178&amp;"Results"&amp;$BT$140&amp;$F178&amp;"USD/ton"),'Fuel Model - Calculation'!$B$2:$B$3771,0)),MATCH(M$141,'Fuel Model - Calculation'!$B$2:$M$2,0)),0)</f>
        <v>0</v>
      </c>
      <c r="BZ178" s="118">
        <f>IFERROR(INDEX('Fuel Model - Calculation'!$B$2:$M$3771,(MATCH(($E178&amp;"Results"&amp;$BT$140&amp;$F178&amp;"USD/ton"),'Fuel Model - Calculation'!$B$2:$B$3771,0)),MATCH(N$141,'Fuel Model - Calculation'!$B$2:$M$2,0)),0)</f>
        <v>0</v>
      </c>
    </row>
    <row r="179" spans="1:78" x14ac:dyDescent="0.2">
      <c r="A179" s="452"/>
      <c r="B179" s="453" t="str">
        <f>_xlfn.TEXTJOIN(keydelim,TRUE,F179,IF(E179="Africa","Africa&amp;other",E179),"Fuel cost",SUBSTITUTE($G179," ",""))</f>
        <v>e-Diesel (PS) - Middle East - Fuel cost - USD/ton</v>
      </c>
      <c r="D179" s="459" t="str">
        <f t="shared" ref="D179:D182" si="177">E179&amp;F179</f>
        <v>Middle Easte-Diesel (PS)</v>
      </c>
      <c r="E179" t="s">
        <v>197</v>
      </c>
      <c r="F179" s="460" t="str">
        <f>F178</f>
        <v>e-Diesel (PS)</v>
      </c>
      <c r="G179" t="s">
        <v>835</v>
      </c>
      <c r="H179" s="118">
        <f>INDEX('Fuel Model - Calculation'!$B$2:$M$3771,(MATCH(($E179&amp;"ResultsCost of "&amp;$F179&amp;"USD/ton"),'Fuel Model - Calculation'!$B$2:$B$3771,0)),MATCH(H$141,'Fuel Model - Calculation'!$B$2:$M$2,0))</f>
        <v>3797.1306997540692</v>
      </c>
      <c r="I179" s="118">
        <f>INDEX('Fuel Model - Calculation'!$B$2:$M$3771,(MATCH(($E179&amp;"ResultsCost of "&amp;$F179&amp;"USD/ton"),'Fuel Model - Calculation'!$B$2:$B$3771,0)),MATCH(I$141,'Fuel Model - Calculation'!$B$2:$M$2,0))</f>
        <v>3063.8895268674573</v>
      </c>
      <c r="J179" s="118">
        <f>INDEX('Fuel Model - Calculation'!$B$2:$M$3771,(MATCH(($E179&amp;"ResultsCost of "&amp;$F179&amp;"USD/ton"),'Fuel Model - Calculation'!$B$2:$B$3771,0)),MATCH(J$141,'Fuel Model - Calculation'!$B$2:$M$2,0))</f>
        <v>2464.0735774061991</v>
      </c>
      <c r="K179" s="118">
        <f>INDEX('Fuel Model - Calculation'!$B$2:$M$3771,(MATCH(($E179&amp;"ResultsCost of "&amp;$F179&amp;"USD/ton"),'Fuel Model - Calculation'!$B$2:$B$3771,0)),MATCH(K$141,'Fuel Model - Calculation'!$B$2:$M$2,0))</f>
        <v>2240.8679508135729</v>
      </c>
      <c r="L179" s="118">
        <f>INDEX('Fuel Model - Calculation'!$B$2:$M$3771,(MATCH(($E179&amp;"ResultsCost of "&amp;$F179&amp;"USD/ton"),'Fuel Model - Calculation'!$B$2:$B$3771,0)),MATCH(L$141,'Fuel Model - Calculation'!$B$2:$M$2,0))</f>
        <v>1993.5034643556844</v>
      </c>
      <c r="M179" s="118">
        <f>INDEX('Fuel Model - Calculation'!$B$2:$M$3771,(MATCH(($E179&amp;"ResultsCost of "&amp;$F179&amp;"USD/ton"),'Fuel Model - Calculation'!$B$2:$B$3771,0)),MATCH(M$141,'Fuel Model - Calculation'!$B$2:$M$2,0))</f>
        <v>1600.1896576874267</v>
      </c>
      <c r="N179" s="118">
        <f>INDEX('Fuel Model - Calculation'!$B$2:$M$3771,(MATCH(($E179&amp;"ResultsCost of "&amp;$F179&amp;"USD/ton"),'Fuel Model - Calculation'!$B$2:$B$3771,0)),MATCH(N$141,'Fuel Model - Calculation'!$B$2:$M$2,0))</f>
        <v>1250.8459314241572</v>
      </c>
      <c r="O179"/>
      <c r="P179" s="118">
        <f>IFERROR(INDEX('Fuel Model - Calculation'!G$2:G$3771,(MATCH(($E179&amp;"ResultsTotal RNE "&amp;$F179&amp;"USD/ton"),'Fuel Model - Calculation'!$B$2:$B$3771,0))),0)</f>
        <v>1087.2630098315458</v>
      </c>
      <c r="Q179" s="118">
        <f>IFERROR(INDEX('Fuel Model - Calculation'!H$2:H$3771,(MATCH(($E179&amp;"ResultsTotal RNE "&amp;$F179&amp;"USD/ton"),'Fuel Model - Calculation'!$B$2:$B$3771,0))),0)</f>
        <v>870.15463771221107</v>
      </c>
      <c r="R179" s="118">
        <f>IFERROR(INDEX('Fuel Model - Calculation'!I$2:I$3771,(MATCH(($E179&amp;"ResultsTotal RNE "&amp;$F179&amp;"USD/ton"),'Fuel Model - Calculation'!$B$2:$B$3771,0))),0)</f>
        <v>720.24958591650989</v>
      </c>
      <c r="S179" s="118">
        <f>IFERROR(INDEX('Fuel Model - Calculation'!J$2:J$3771,(MATCH(($E179&amp;"ResultsTotal RNE "&amp;$F179&amp;"USD/ton"),'Fuel Model - Calculation'!$B$2:$B$3771,0))),0)</f>
        <v>600.65689798177345</v>
      </c>
      <c r="T179" s="118">
        <f>IFERROR(INDEX('Fuel Model - Calculation'!K$2:K$3771,(MATCH(($E179&amp;"ResultsTotal RNE "&amp;$F179&amp;"USD/ton"),'Fuel Model - Calculation'!$B$2:$B$3771,0))),0)</f>
        <v>528.9048012289195</v>
      </c>
      <c r="U179" s="118">
        <f>IFERROR(INDEX('Fuel Model - Calculation'!L$2:L$3771,(MATCH(($E179&amp;"ResultsTotal RNE "&amp;$F179&amp;"USD/ton"),'Fuel Model - Calculation'!$B$2:$B$3771,0))),0)</f>
        <v>440.98836620912095</v>
      </c>
      <c r="V179" s="118">
        <f>IFERROR(INDEX('Fuel Model - Calculation'!M$2:M$3771,(MATCH(($E179&amp;"ResultsTotal RNE "&amp;$F179&amp;"USD/ton"),'Fuel Model - Calculation'!$B$2:$B$3771,0))),0)</f>
        <v>393.46879414481447</v>
      </c>
      <c r="W179"/>
      <c r="X179" s="2">
        <f>INDEX('Fuel Model - Calculation'!$E$2:$M$3771,(MATCH(("WTT Emission - "&amp;$F179),'Fuel Model - Calculation'!$E$2:$E$3771,0)),MATCH(X$141,'Fuel Model - Calculation'!$E$2:$M$2,0))</f>
        <v>-3.0700604617267326</v>
      </c>
      <c r="Y179" s="2">
        <f>INDEX('Fuel Model - Calculation'!$E$2:$M$3771,(MATCH(("WTT Emission - "&amp;$F179),'Fuel Model - Calculation'!$E$2:$E$3771,0)),MATCH(Y$141,'Fuel Model - Calculation'!$E$2:$M$2,0))</f>
        <v>-3.0708976509117432</v>
      </c>
      <c r="Z179" s="2">
        <f>INDEX('Fuel Model - Calculation'!$E$2:$M$3771,(MATCH(("WTT Emission - "&amp;$F179),'Fuel Model - Calculation'!$E$2:$E$3771,0)),MATCH(Z$141,'Fuel Model - Calculation'!$E$2:$M$2,0))</f>
        <v>-3.0728843377137416</v>
      </c>
      <c r="AA179" s="2">
        <f>INDEX('Fuel Model - Calculation'!$E$2:$M$3771,(MATCH(("WTT Emission - "&amp;$F179),'Fuel Model - Calculation'!$E$2:$E$3771,0)),MATCH(AA$141,'Fuel Model - Calculation'!$E$2:$M$2,0))</f>
        <v>-3.0778527733409353</v>
      </c>
      <c r="AB179" s="2">
        <f>INDEX('Fuel Model - Calculation'!$E$2:$M$3771,(MATCH(("WTT Emission - "&amp;$F179),'Fuel Model - Calculation'!$E$2:$E$3771,0)),MATCH(AB$141,'Fuel Model - Calculation'!$E$2:$M$2,0))</f>
        <v>-3.0837732781424343</v>
      </c>
      <c r="AC179" s="2">
        <f>INDEX('Fuel Model - Calculation'!$E$2:$M$3771,(MATCH(("WTT Emission - "&amp;$F179),'Fuel Model - Calculation'!$E$2:$E$3771,0)),MATCH(AC$141,'Fuel Model - Calculation'!$E$2:$M$2,0))</f>
        <v>-3.0915936071724515</v>
      </c>
      <c r="AD179" s="2">
        <f>INDEX('Fuel Model - Calculation'!$E$2:$M$3771,(MATCH(("WTT Emission - "&amp;$F179),'Fuel Model - Calculation'!$E$2:$E$3771,0)),MATCH(AD$141,'Fuel Model - Calculation'!$E$2:$M$2,0))</f>
        <v>-3.0977718159117433</v>
      </c>
      <c r="AE179" s="2"/>
      <c r="AF179" s="2">
        <f>'Fuel Model -  Input'!H$53</f>
        <v>3.2553300000000003</v>
      </c>
      <c r="AG179" s="2">
        <f>'Fuel Model -  Input'!I$53</f>
        <v>3.2553300000000003</v>
      </c>
      <c r="AH179" s="2">
        <f>'Fuel Model -  Input'!J$53</f>
        <v>3.2553300000000003</v>
      </c>
      <c r="AI179" s="2">
        <f>'Fuel Model -  Input'!K$53</f>
        <v>3.2553300000000003</v>
      </c>
      <c r="AJ179" s="2">
        <f>'Fuel Model -  Input'!L$53</f>
        <v>3.2553300000000003</v>
      </c>
      <c r="AK179" s="2">
        <f>'Fuel Model -  Input'!M$53</f>
        <v>3.2553300000000003</v>
      </c>
      <c r="AL179" s="2">
        <f>'Fuel Model -  Input'!N$53</f>
        <v>3.2553300000000003</v>
      </c>
      <c r="AM179"/>
      <c r="AN179" s="24">
        <f t="shared" si="176"/>
        <v>0.18526953827326764</v>
      </c>
      <c r="AO179" s="24">
        <f t="shared" si="176"/>
        <v>0.18443234908825712</v>
      </c>
      <c r="AP179" s="24">
        <f t="shared" si="176"/>
        <v>0.18244566228625869</v>
      </c>
      <c r="AQ179" s="24">
        <f t="shared" si="176"/>
        <v>0.17747722665906496</v>
      </c>
      <c r="AR179" s="24">
        <f t="shared" si="176"/>
        <v>0.17155672185756599</v>
      </c>
      <c r="AS179" s="24">
        <f t="shared" si="176"/>
        <v>0.16373639282754882</v>
      </c>
      <c r="AT179" s="24">
        <f t="shared" si="176"/>
        <v>0.15755818408825695</v>
      </c>
      <c r="AU179"/>
      <c r="AV179" s="118">
        <f>IFERROR(INDEX('Fuel Model - Calculation'!$B$2:$M$3771,(MATCH(($E179&amp;"Results"&amp;$AV$140&amp;$F179&amp;"USD/ton"),'Fuel Model - Calculation'!$B$2:$B$3771,0)),MATCH(H$141,'Fuel Model - Calculation'!$B$2:$M$2,0)),0)</f>
        <v>975.24497896284095</v>
      </c>
      <c r="AW179" s="118">
        <f>IFERROR(INDEX('Fuel Model - Calculation'!$B$2:$M$3771,(MATCH(($E179&amp;"Results"&amp;$AV$140&amp;$F179&amp;"USD/ton"),'Fuel Model - Calculation'!$B$2:$B$3771,0)),MATCH(I$141,'Fuel Model - Calculation'!$B$2:$M$2,0)),0)</f>
        <v>841.05960383899901</v>
      </c>
      <c r="AX179" s="118">
        <f>IFERROR(INDEX('Fuel Model - Calculation'!$B$2:$M$3771,(MATCH(($E179&amp;"Results"&amp;$AV$140&amp;$F179&amp;"USD/ton"),'Fuel Model - Calculation'!$B$2:$B$3771,0)),MATCH(J$141,'Fuel Model - Calculation'!$B$2:$M$2,0)),0)</f>
        <v>729.34138631739529</v>
      </c>
      <c r="AY179" s="118">
        <f>IFERROR(INDEX('Fuel Model - Calculation'!$B$2:$M$3771,(MATCH(($E179&amp;"Results"&amp;$AV$140&amp;$F179&amp;"USD/ton"),'Fuel Model - Calculation'!$B$2:$B$3771,0)),MATCH(K$141,'Fuel Model - Calculation'!$B$2:$M$2,0)),0)</f>
        <v>715.9248371752285</v>
      </c>
      <c r="AZ179" s="118">
        <f>IFERROR(INDEX('Fuel Model - Calculation'!$B$2:$M$3771,(MATCH(($E179&amp;"Results"&amp;$AV$140&amp;$F179&amp;"USD/ton"),'Fuel Model - Calculation'!$B$2:$B$3771,0)),MATCH(L$141,'Fuel Model - Calculation'!$B$2:$M$2,0)),0)</f>
        <v>663.02732395007888</v>
      </c>
      <c r="BA179" s="118">
        <f>IFERROR(INDEX('Fuel Model - Calculation'!$B$2:$M$3771,(MATCH(($E179&amp;"Results"&amp;$AV$140&amp;$F179&amp;"USD/ton"),'Fuel Model - Calculation'!$B$2:$B$3771,0)),MATCH(M$141,'Fuel Model - Calculation'!$B$2:$M$2,0)),0)</f>
        <v>547.28868943989619</v>
      </c>
      <c r="BB179" s="118">
        <f>IFERROR(INDEX('Fuel Model - Calculation'!$B$2:$M$3771,(MATCH(($E179&amp;"Results"&amp;$AV$140&amp;$F179&amp;"USD/ton"),'Fuel Model - Calculation'!$B$2:$B$3771,0)),MATCH(N$141,'Fuel Model - Calculation'!$B$2:$M$2,0)),0)</f>
        <v>410.86652291560972</v>
      </c>
      <c r="BC179"/>
      <c r="BD179" s="118">
        <f>IFERROR(INDEX('Fuel Model - Calculation'!$B$2:$M$3771,(MATCH(($E179&amp;"Results"&amp;$BD$140&amp;$F179&amp;"USD/ton"),'Fuel Model - Calculation'!$B$2:$B$3771,0)),MATCH(P$141,'Fuel Model - Calculation'!$B$2:$M$2,0)),0)</f>
        <v>1115.3641775452213</v>
      </c>
      <c r="BE179" s="118">
        <f>IFERROR(INDEX('Fuel Model - Calculation'!$B$2:$M$3771,(MATCH(($E179&amp;"Results"&amp;$BD$140&amp;$F179&amp;"USD/ton"),'Fuel Model - Calculation'!$B$2:$B$3771,0)),MATCH(Q$141,'Fuel Model - Calculation'!$B$2:$M$2,0)),0)</f>
        <v>842.4879477422628</v>
      </c>
      <c r="BF179" s="118">
        <f>IFERROR(INDEX('Fuel Model - Calculation'!$B$2:$M$3771,(MATCH(($E179&amp;"Results"&amp;$BD$140&amp;$F179&amp;"USD/ton"),'Fuel Model - Calculation'!$B$2:$B$3771,0)),MATCH(R$141,'Fuel Model - Calculation'!$B$2:$M$2,0)),0)</f>
        <v>609.04421126235252</v>
      </c>
      <c r="BG179" s="118">
        <f>IFERROR(INDEX('Fuel Model - Calculation'!$B$2:$M$3771,(MATCH(($E179&amp;"Results"&amp;$BD$140&amp;$F179&amp;"USD/ton"),'Fuel Model - Calculation'!$B$2:$B$3771,0)),MATCH(S$141,'Fuel Model - Calculation'!$B$2:$M$2,0)),0)</f>
        <v>562.12790295623984</v>
      </c>
      <c r="BH179" s="118">
        <f>IFERROR(INDEX('Fuel Model - Calculation'!$B$2:$M$3771,(MATCH(($E179&amp;"Results"&amp;$BD$140&amp;$F179&amp;"USD/ton"),'Fuel Model - Calculation'!$B$2:$B$3771,0)),MATCH(T$141,'Fuel Model - Calculation'!$B$2:$M$2,0)),0)</f>
        <v>479.71561450352772</v>
      </c>
      <c r="BI179" s="118">
        <f>IFERROR(INDEX('Fuel Model - Calculation'!$B$2:$M$3771,(MATCH(($E179&amp;"Results"&amp;$BD$140&amp;$F179&amp;"USD/ton"),'Fuel Model - Calculation'!$B$2:$B$3771,0)),MATCH(U$141,'Fuel Model - Calculation'!$B$2:$M$2,0)),0)</f>
        <v>331.29181259906557</v>
      </c>
      <c r="BJ179" s="118">
        <f>IFERROR(INDEX('Fuel Model - Calculation'!$B$2:$M$3771,(MATCH(($E179&amp;"Results"&amp;$BD$140&amp;$F179&amp;"USD/ton"),'Fuel Model - Calculation'!$B$2:$B$3771,0)),MATCH(V$141,'Fuel Model - Calculation'!$B$2:$M$2,0)),0)</f>
        <v>205.03601978691034</v>
      </c>
      <c r="BL179" s="118">
        <f>IFERROR(IFERROR(INDEX('Fuel Model - Calculation'!$B$2:$M$3771,(MATCH(($E179&amp;"Results"&amp;$BL$140&amp;$F179&amp;"USD/ton"),'Fuel Model - Calculation'!$B$2:$B$3771,0)),MATCH(H$141,'Fuel Model - Calculation'!$B$2:$M$2,0)),0),0)</f>
        <v>619.258533414461</v>
      </c>
      <c r="BM179" s="118">
        <f>IFERROR(IFERROR(INDEX('Fuel Model - Calculation'!$B$2:$M$3771,(MATCH(($E179&amp;"Results"&amp;$BL$140&amp;$F179&amp;"USD/ton"),'Fuel Model - Calculation'!$B$2:$B$3771,0)),MATCH(I$141,'Fuel Model - Calculation'!$B$2:$M$2,0)),0),0)</f>
        <v>510.18733757398468</v>
      </c>
      <c r="BN179" s="118">
        <f>IFERROR(IFERROR(INDEX('Fuel Model - Calculation'!$B$2:$M$3771,(MATCH(($E179&amp;"Results"&amp;$BL$140&amp;$F179&amp;"USD/ton"),'Fuel Model - Calculation'!$B$2:$B$3771,0)),MATCH(J$141,'Fuel Model - Calculation'!$B$2:$M$2,0)),0),0)</f>
        <v>405.43839390994128</v>
      </c>
      <c r="BO179" s="118">
        <f>IFERROR(IFERROR(INDEX('Fuel Model - Calculation'!$B$2:$M$3771,(MATCH(($E179&amp;"Results"&amp;$BL$140&amp;$F179&amp;"USD/ton"),'Fuel Model - Calculation'!$B$2:$B$3771,0)),MATCH(K$141,'Fuel Model - Calculation'!$B$2:$M$2,0)),0),0)</f>
        <v>362.1583127003309</v>
      </c>
      <c r="BP179" s="118">
        <f>IFERROR(IFERROR(INDEX('Fuel Model - Calculation'!$B$2:$M$3771,(MATCH(($E179&amp;"Results"&amp;$BL$140&amp;$F179&amp;"USD/ton"),'Fuel Model - Calculation'!$B$2:$B$3771,0)),MATCH(L$141,'Fuel Model - Calculation'!$B$2:$M$2,0)),0),0)</f>
        <v>321.85572467315825</v>
      </c>
      <c r="BQ179" s="118">
        <f>IFERROR(IFERROR(INDEX('Fuel Model - Calculation'!$B$2:$M$3771,(MATCH(($E179&amp;"Results"&amp;$BL$140&amp;$F179&amp;"USD/ton"),'Fuel Model - Calculation'!$B$2:$B$3771,0)),MATCH(M$141,'Fuel Model - Calculation'!$B$2:$M$2,0)),0),0)</f>
        <v>280.62078943934404</v>
      </c>
      <c r="BR179" s="118">
        <f>IFERROR(IFERROR(INDEX('Fuel Model - Calculation'!$B$2:$M$3771,(MATCH(($E179&amp;"Results"&amp;$BL$140&amp;$F179&amp;"USD/ton"),'Fuel Model - Calculation'!$B$2:$B$3771,0)),MATCH(N$141,'Fuel Model - Calculation'!$B$2:$M$2,0)),0),0)</f>
        <v>241.47459457682271</v>
      </c>
      <c r="BT179" s="118">
        <f>IFERROR(INDEX('Fuel Model - Calculation'!$B$2:$M$3771,(MATCH(($E179&amp;"Results"&amp;$BT$140&amp;$F179&amp;"USD/ton"),'Fuel Model - Calculation'!$B$2:$B$3771,0)),MATCH(H$141,'Fuel Model - Calculation'!$B$2:$M$2,0)),0)</f>
        <v>0</v>
      </c>
      <c r="BU179" s="118">
        <f>IFERROR(INDEX('Fuel Model - Calculation'!$B$2:$M$3771,(MATCH(($E179&amp;"Results"&amp;$BT$140&amp;$F179&amp;"USD/ton"),'Fuel Model - Calculation'!$B$2:$B$3771,0)),MATCH(I$141,'Fuel Model - Calculation'!$B$2:$M$2,0)),0)</f>
        <v>0</v>
      </c>
      <c r="BV179" s="118">
        <f>IFERROR(INDEX('Fuel Model - Calculation'!$B$2:$M$3771,(MATCH(($E179&amp;"Results"&amp;$BT$140&amp;$F179&amp;"USD/ton"),'Fuel Model - Calculation'!$B$2:$B$3771,0)),MATCH(J$141,'Fuel Model - Calculation'!$B$2:$M$2,0)),0)</f>
        <v>0</v>
      </c>
      <c r="BW179" s="118">
        <f>IFERROR(INDEX('Fuel Model - Calculation'!$B$2:$M$3771,(MATCH(($E179&amp;"Results"&amp;$BT$140&amp;$F179&amp;"USD/ton"),'Fuel Model - Calculation'!$B$2:$B$3771,0)),MATCH(K$141,'Fuel Model - Calculation'!$B$2:$M$2,0)),0)</f>
        <v>0</v>
      </c>
      <c r="BX179" s="118">
        <f>IFERROR(INDEX('Fuel Model - Calculation'!$B$2:$M$3771,(MATCH(($E179&amp;"Results"&amp;$BT$140&amp;$F179&amp;"USD/ton"),'Fuel Model - Calculation'!$B$2:$B$3771,0)),MATCH(L$141,'Fuel Model - Calculation'!$B$2:$M$2,0)),0)</f>
        <v>0</v>
      </c>
      <c r="BY179" s="118">
        <f>IFERROR(INDEX('Fuel Model - Calculation'!$B$2:$M$3771,(MATCH(($E179&amp;"Results"&amp;$BT$140&amp;$F179&amp;"USD/ton"),'Fuel Model - Calculation'!$B$2:$B$3771,0)),MATCH(M$141,'Fuel Model - Calculation'!$B$2:$M$2,0)),0)</f>
        <v>0</v>
      </c>
      <c r="BZ179" s="118">
        <f>IFERROR(INDEX('Fuel Model - Calculation'!$B$2:$M$3771,(MATCH(($E179&amp;"Results"&amp;$BT$140&amp;$F179&amp;"USD/ton"),'Fuel Model - Calculation'!$B$2:$B$3771,0)),MATCH(N$141,'Fuel Model - Calculation'!$B$2:$M$2,0)),0)</f>
        <v>0</v>
      </c>
    </row>
    <row r="180" spans="1:78" x14ac:dyDescent="0.2">
      <c r="A180" s="452"/>
      <c r="B180" s="453" t="str">
        <f>_xlfn.TEXTJOIN(keydelim,TRUE,F180,IF(E180="Africa","Africa&amp;other",E180),"Fuel cost",SUBSTITUTE($G180," ",""))</f>
        <v>e-Diesel (PS) - Asia - Fuel cost - USD/ton</v>
      </c>
      <c r="D180" s="459" t="str">
        <f t="shared" si="177"/>
        <v>Asiae-Diesel (PS)</v>
      </c>
      <c r="E180" t="s">
        <v>198</v>
      </c>
      <c r="F180" s="460" t="str">
        <f t="shared" ref="F180:F182" si="178">F179</f>
        <v>e-Diesel (PS)</v>
      </c>
      <c r="G180" t="s">
        <v>835</v>
      </c>
      <c r="H180" s="118">
        <f>INDEX('Fuel Model - Calculation'!$B$2:$M$3771,(MATCH(($E180&amp;"ResultsCost of "&amp;$F180&amp;"USD/ton"),'Fuel Model - Calculation'!$B$2:$B$3771,0)),MATCH(H$141,'Fuel Model - Calculation'!$B$2:$M$2,0))</f>
        <v>4901.071537317991</v>
      </c>
      <c r="I180" s="118">
        <f>INDEX('Fuel Model - Calculation'!$B$2:$M$3771,(MATCH(($E180&amp;"ResultsCost of "&amp;$F180&amp;"USD/ton"),'Fuel Model - Calculation'!$B$2:$B$3771,0)),MATCH(I$141,'Fuel Model - Calculation'!$B$2:$M$2,0))</f>
        <v>3604.6600747764296</v>
      </c>
      <c r="J180" s="118">
        <f>INDEX('Fuel Model - Calculation'!$B$2:$M$3771,(MATCH(($E180&amp;"ResultsCost of "&amp;$F180&amp;"USD/ton"),'Fuel Model - Calculation'!$B$2:$B$3771,0)),MATCH(J$141,'Fuel Model - Calculation'!$B$2:$M$2,0))</f>
        <v>2867.3226007194999</v>
      </c>
      <c r="K180" s="118">
        <f>INDEX('Fuel Model - Calculation'!$B$2:$M$3771,(MATCH(($E180&amp;"ResultsCost of "&amp;$F180&amp;"USD/ton"),'Fuel Model - Calculation'!$B$2:$B$3771,0)),MATCH(K$141,'Fuel Model - Calculation'!$B$2:$M$2,0))</f>
        <v>2548.4045608827628</v>
      </c>
      <c r="L180" s="118">
        <f>INDEX('Fuel Model - Calculation'!$B$2:$M$3771,(MATCH(($E180&amp;"ResultsCost of "&amp;$F180&amp;"USD/ton"),'Fuel Model - Calculation'!$B$2:$B$3771,0)),MATCH(L$141,'Fuel Model - Calculation'!$B$2:$M$2,0))</f>
        <v>2247.4865318539823</v>
      </c>
      <c r="M180" s="118">
        <f>INDEX('Fuel Model - Calculation'!$B$2:$M$3771,(MATCH(($E180&amp;"ResultsCost of "&amp;$F180&amp;"USD/ton"),'Fuel Model - Calculation'!$B$2:$B$3771,0)),MATCH(M$141,'Fuel Model - Calculation'!$B$2:$M$2,0))</f>
        <v>1811.2792026236527</v>
      </c>
      <c r="N180" s="118">
        <f>INDEX('Fuel Model - Calculation'!$B$2:$M$3771,(MATCH(($E180&amp;"ResultsCost of "&amp;$F180&amp;"USD/ton"),'Fuel Model - Calculation'!$B$2:$B$3771,0)),MATCH(N$141,'Fuel Model - Calculation'!$B$2:$M$2,0))</f>
        <v>1439.8854045749881</v>
      </c>
      <c r="O180"/>
      <c r="P180" s="118">
        <f>IFERROR(INDEX('Fuel Model - Calculation'!G$2:G$3771,(MATCH(($E180&amp;"ResultsTotal RNE "&amp;$F180&amp;"USD/ton"),'Fuel Model - Calculation'!$B$2:$B$3771,0))),0)</f>
        <v>2128.3437803010243</v>
      </c>
      <c r="Q180" s="118">
        <f>IFERROR(INDEX('Fuel Model - Calculation'!H$2:H$3771,(MATCH(($E180&amp;"ResultsTotal RNE "&amp;$F180&amp;"USD/ton"),'Fuel Model - Calculation'!$B$2:$B$3771,0))),0)</f>
        <v>1379.9573410360354</v>
      </c>
      <c r="R180" s="118">
        <f>IFERROR(INDEX('Fuel Model - Calculation'!I$2:I$3771,(MATCH(($E180&amp;"ResultsTotal RNE "&amp;$F180&amp;"USD/ton"),'Fuel Model - Calculation'!$B$2:$B$3771,0))),0)</f>
        <v>1100.0893921063132</v>
      </c>
      <c r="S180" s="118">
        <f>IFERROR(INDEX('Fuel Model - Calculation'!J$2:J$3771,(MATCH(($E180&amp;"ResultsTotal RNE "&amp;$F180&amp;"USD/ton"),'Fuel Model - Calculation'!$B$2:$B$3771,0))),0)</f>
        <v>889.70647572583005</v>
      </c>
      <c r="T180" s="118">
        <f>IFERROR(INDEX('Fuel Model - Calculation'!K$2:K$3771,(MATCH(($E180&amp;"ResultsTotal RNE "&amp;$F180&amp;"USD/ton"),'Fuel Model - Calculation'!$B$2:$B$3771,0))),0)</f>
        <v>766.94540294503724</v>
      </c>
      <c r="U180" s="118">
        <f>IFERROR(INDEX('Fuel Model - Calculation'!L$2:L$3771,(MATCH(($E180&amp;"ResultsTotal RNE "&amp;$F180&amp;"USD/ton"),'Fuel Model - Calculation'!$B$2:$B$3771,0))),0)</f>
        <v>638.00647554326156</v>
      </c>
      <c r="V180" s="118">
        <f>IFERROR(INDEX('Fuel Model - Calculation'!M$2:M$3771,(MATCH(($E180&amp;"ResultsTotal RNE "&amp;$F180&amp;"USD/ton"),'Fuel Model - Calculation'!$B$2:$B$3771,0))),0)</f>
        <v>569.25777762600796</v>
      </c>
      <c r="W180"/>
      <c r="X180" s="2">
        <f>INDEX('Fuel Model - Calculation'!$E$2:$M$3771,(MATCH(("WTT Emission - "&amp;$F180),'Fuel Model - Calculation'!$E$2:$E$3771,0)),MATCH(X$141,'Fuel Model - Calculation'!$E$2:$M$2,0))</f>
        <v>-3.0700604617267326</v>
      </c>
      <c r="Y180" s="2">
        <f>INDEX('Fuel Model - Calculation'!$E$2:$M$3771,(MATCH(("WTT Emission - "&amp;$F180),'Fuel Model - Calculation'!$E$2:$E$3771,0)),MATCH(Y$141,'Fuel Model - Calculation'!$E$2:$M$2,0))</f>
        <v>-3.0708976509117432</v>
      </c>
      <c r="Z180" s="2">
        <f>INDEX('Fuel Model - Calculation'!$E$2:$M$3771,(MATCH(("WTT Emission - "&amp;$F180),'Fuel Model - Calculation'!$E$2:$E$3771,0)),MATCH(Z$141,'Fuel Model - Calculation'!$E$2:$M$2,0))</f>
        <v>-3.0728843377137416</v>
      </c>
      <c r="AA180" s="2">
        <f>INDEX('Fuel Model - Calculation'!$E$2:$M$3771,(MATCH(("WTT Emission - "&amp;$F180),'Fuel Model - Calculation'!$E$2:$E$3771,0)),MATCH(AA$141,'Fuel Model - Calculation'!$E$2:$M$2,0))</f>
        <v>-3.0778527733409353</v>
      </c>
      <c r="AB180" s="2">
        <f>INDEX('Fuel Model - Calculation'!$E$2:$M$3771,(MATCH(("WTT Emission - "&amp;$F180),'Fuel Model - Calculation'!$E$2:$E$3771,0)),MATCH(AB$141,'Fuel Model - Calculation'!$E$2:$M$2,0))</f>
        <v>-3.0837732781424343</v>
      </c>
      <c r="AC180" s="2">
        <f>INDEX('Fuel Model - Calculation'!$E$2:$M$3771,(MATCH(("WTT Emission - "&amp;$F180),'Fuel Model - Calculation'!$E$2:$E$3771,0)),MATCH(AC$141,'Fuel Model - Calculation'!$E$2:$M$2,0))</f>
        <v>-3.0915936071724515</v>
      </c>
      <c r="AD180" s="2">
        <f>INDEX('Fuel Model - Calculation'!$E$2:$M$3771,(MATCH(("WTT Emission - "&amp;$F180),'Fuel Model - Calculation'!$E$2:$E$3771,0)),MATCH(AD$141,'Fuel Model - Calculation'!$E$2:$M$2,0))</f>
        <v>-3.0977718159117433</v>
      </c>
      <c r="AE180" s="2"/>
      <c r="AF180" s="2">
        <f>'Fuel Model -  Input'!H$53</f>
        <v>3.2553300000000003</v>
      </c>
      <c r="AG180" s="2">
        <f>'Fuel Model -  Input'!I$53</f>
        <v>3.2553300000000003</v>
      </c>
      <c r="AH180" s="2">
        <f>'Fuel Model -  Input'!J$53</f>
        <v>3.2553300000000003</v>
      </c>
      <c r="AI180" s="2">
        <f>'Fuel Model -  Input'!K$53</f>
        <v>3.2553300000000003</v>
      </c>
      <c r="AJ180" s="2">
        <f>'Fuel Model -  Input'!L$53</f>
        <v>3.2553300000000003</v>
      </c>
      <c r="AK180" s="2">
        <f>'Fuel Model -  Input'!M$53</f>
        <v>3.2553300000000003</v>
      </c>
      <c r="AL180" s="2">
        <f>'Fuel Model -  Input'!N$53</f>
        <v>3.2553300000000003</v>
      </c>
      <c r="AM180"/>
      <c r="AN180" s="24">
        <f t="shared" si="176"/>
        <v>0.18526953827326764</v>
      </c>
      <c r="AO180" s="24">
        <f t="shared" si="176"/>
        <v>0.18443234908825712</v>
      </c>
      <c r="AP180" s="24">
        <f t="shared" si="176"/>
        <v>0.18244566228625869</v>
      </c>
      <c r="AQ180" s="24">
        <f t="shared" si="176"/>
        <v>0.17747722665906496</v>
      </c>
      <c r="AR180" s="24">
        <f t="shared" si="176"/>
        <v>0.17155672185756599</v>
      </c>
      <c r="AS180" s="24">
        <f t="shared" si="176"/>
        <v>0.16373639282754882</v>
      </c>
      <c r="AT180" s="24">
        <f t="shared" si="176"/>
        <v>0.15755818408825695</v>
      </c>
      <c r="AU180"/>
      <c r="AV180" s="118">
        <f>IFERROR(INDEX('Fuel Model - Calculation'!$B$2:$M$3771,(MATCH(($E180&amp;"Results"&amp;$AV$140&amp;$F180&amp;"USD/ton"),'Fuel Model - Calculation'!$B$2:$B$3771,0)),MATCH(H$141,'Fuel Model - Calculation'!$B$2:$M$2,0)),0)</f>
        <v>975.24497896284106</v>
      </c>
      <c r="AW180" s="118">
        <f>IFERROR(INDEX('Fuel Model - Calculation'!$B$2:$M$3771,(MATCH(($E180&amp;"Results"&amp;$AV$140&amp;$F180&amp;"USD/ton"),'Fuel Model - Calculation'!$B$2:$B$3771,0)),MATCH(I$141,'Fuel Model - Calculation'!$B$2:$M$2,0)),0)</f>
        <v>841.05960383899901</v>
      </c>
      <c r="AX180" s="118">
        <f>IFERROR(INDEX('Fuel Model - Calculation'!$B$2:$M$3771,(MATCH(($E180&amp;"Results"&amp;$AV$140&amp;$F180&amp;"USD/ton"),'Fuel Model - Calculation'!$B$2:$B$3771,0)),MATCH(J$141,'Fuel Model - Calculation'!$B$2:$M$2,0)),0)</f>
        <v>729.3413863173954</v>
      </c>
      <c r="AY180" s="118">
        <f>IFERROR(INDEX('Fuel Model - Calculation'!$B$2:$M$3771,(MATCH(($E180&amp;"Results"&amp;$AV$140&amp;$F180&amp;"USD/ton"),'Fuel Model - Calculation'!$B$2:$B$3771,0)),MATCH(K$141,'Fuel Model - Calculation'!$B$2:$M$2,0)),0)</f>
        <v>715.92483717522839</v>
      </c>
      <c r="AZ180" s="118">
        <f>IFERROR(INDEX('Fuel Model - Calculation'!$B$2:$M$3771,(MATCH(($E180&amp;"Results"&amp;$AV$140&amp;$F180&amp;"USD/ton"),'Fuel Model - Calculation'!$B$2:$B$3771,0)),MATCH(L$141,'Fuel Model - Calculation'!$B$2:$M$2,0)),0)</f>
        <v>663.02732395007888</v>
      </c>
      <c r="BA180" s="118">
        <f>IFERROR(INDEX('Fuel Model - Calculation'!$B$2:$M$3771,(MATCH(($E180&amp;"Results"&amp;$AV$140&amp;$F180&amp;"USD/ton"),'Fuel Model - Calculation'!$B$2:$B$3771,0)),MATCH(M$141,'Fuel Model - Calculation'!$B$2:$M$2,0)),0)</f>
        <v>547.28868943989619</v>
      </c>
      <c r="BB180" s="118">
        <f>IFERROR(INDEX('Fuel Model - Calculation'!$B$2:$M$3771,(MATCH(($E180&amp;"Results"&amp;$AV$140&amp;$F180&amp;"USD/ton"),'Fuel Model - Calculation'!$B$2:$B$3771,0)),MATCH(N$141,'Fuel Model - Calculation'!$B$2:$M$2,0)),0)</f>
        <v>410.86652291560972</v>
      </c>
      <c r="BC180"/>
      <c r="BD180" s="118">
        <f>IFERROR(INDEX('Fuel Model - Calculation'!$B$2:$M$3771,(MATCH(($E180&amp;"Results"&amp;$BD$140&amp;$F180&amp;"USD/ton"),'Fuel Model - Calculation'!$B$2:$B$3771,0)),MATCH(P$141,'Fuel Model - Calculation'!$B$2:$M$2,0)),0)</f>
        <v>1115.3641775452213</v>
      </c>
      <c r="BE180" s="118">
        <f>IFERROR(INDEX('Fuel Model - Calculation'!$B$2:$M$3771,(MATCH(($E180&amp;"Results"&amp;$BD$140&amp;$F180&amp;"USD/ton"),'Fuel Model - Calculation'!$B$2:$B$3771,0)),MATCH(Q$141,'Fuel Model - Calculation'!$B$2:$M$2,0)),0)</f>
        <v>842.4879477422628</v>
      </c>
      <c r="BF180" s="118">
        <f>IFERROR(INDEX('Fuel Model - Calculation'!$B$2:$M$3771,(MATCH(($E180&amp;"Results"&amp;$BD$140&amp;$F180&amp;"USD/ton"),'Fuel Model - Calculation'!$B$2:$B$3771,0)),MATCH(R$141,'Fuel Model - Calculation'!$B$2:$M$2,0)),0)</f>
        <v>609.04421126235252</v>
      </c>
      <c r="BG180" s="118">
        <f>IFERROR(INDEX('Fuel Model - Calculation'!$B$2:$M$3771,(MATCH(($E180&amp;"Results"&amp;$BD$140&amp;$F180&amp;"USD/ton"),'Fuel Model - Calculation'!$B$2:$B$3771,0)),MATCH(S$141,'Fuel Model - Calculation'!$B$2:$M$2,0)),0)</f>
        <v>562.12790295624029</v>
      </c>
      <c r="BH180" s="118">
        <f>IFERROR(INDEX('Fuel Model - Calculation'!$B$2:$M$3771,(MATCH(($E180&amp;"Results"&amp;$BD$140&amp;$F180&amp;"USD/ton"),'Fuel Model - Calculation'!$B$2:$B$3771,0)),MATCH(T$141,'Fuel Model - Calculation'!$B$2:$M$2,0)),0)</f>
        <v>479.71561450352772</v>
      </c>
      <c r="BI180" s="118">
        <f>IFERROR(INDEX('Fuel Model - Calculation'!$B$2:$M$3771,(MATCH(($E180&amp;"Results"&amp;$BD$140&amp;$F180&amp;"USD/ton"),'Fuel Model - Calculation'!$B$2:$B$3771,0)),MATCH(U$141,'Fuel Model - Calculation'!$B$2:$M$2,0)),0)</f>
        <v>331.29181259906557</v>
      </c>
      <c r="BJ180" s="118">
        <f>IFERROR(INDEX('Fuel Model - Calculation'!$B$2:$M$3771,(MATCH(($E180&amp;"Results"&amp;$BD$140&amp;$F180&amp;"USD/ton"),'Fuel Model - Calculation'!$B$2:$B$3771,0)),MATCH(V$141,'Fuel Model - Calculation'!$B$2:$M$2,0)),0)</f>
        <v>205.03601978691034</v>
      </c>
      <c r="BL180" s="118">
        <f>IFERROR(IFERROR(INDEX('Fuel Model - Calculation'!$B$2:$M$3771,(MATCH(($E180&amp;"Results"&amp;$BL$140&amp;$F180&amp;"USD/ton"),'Fuel Model - Calculation'!$B$2:$B$3771,0)),MATCH(H$141,'Fuel Model - Calculation'!$B$2:$M$2,0)),0),0)</f>
        <v>682.11860050890516</v>
      </c>
      <c r="BM180" s="118">
        <f>IFERROR(IFERROR(INDEX('Fuel Model - Calculation'!$B$2:$M$3771,(MATCH(($E180&amp;"Results"&amp;$BL$140&amp;$F180&amp;"USD/ton"),'Fuel Model - Calculation'!$B$2:$B$3771,0)),MATCH(I$141,'Fuel Model - Calculation'!$B$2:$M$2,0)),0),0)</f>
        <v>541.15518215913244</v>
      </c>
      <c r="BN180" s="118">
        <f>IFERROR(IFERROR(INDEX('Fuel Model - Calculation'!$B$2:$M$3771,(MATCH(($E180&amp;"Results"&amp;$BL$140&amp;$F180&amp;"USD/ton"),'Fuel Model - Calculation'!$B$2:$B$3771,0)),MATCH(J$141,'Fuel Model - Calculation'!$B$2:$M$2,0)),0),0)</f>
        <v>428.8476110334388</v>
      </c>
      <c r="BO180" s="118">
        <f>IFERROR(IFERROR(INDEX('Fuel Model - Calculation'!$B$2:$M$3771,(MATCH(($E180&amp;"Results"&amp;$BL$140&amp;$F180&amp;"USD/ton"),'Fuel Model - Calculation'!$B$2:$B$3771,0)),MATCH(K$141,'Fuel Model - Calculation'!$B$2:$M$2,0)),0),0)</f>
        <v>380.64534502546383</v>
      </c>
      <c r="BP180" s="118">
        <f>IFERROR(IFERROR(INDEX('Fuel Model - Calculation'!$B$2:$M$3771,(MATCH(($E180&amp;"Results"&amp;$BL$140&amp;$F180&amp;"USD/ton"),'Fuel Model - Calculation'!$B$2:$B$3771,0)),MATCH(L$141,'Fuel Model - Calculation'!$B$2:$M$2,0)),0),0)</f>
        <v>337.79819045533867</v>
      </c>
      <c r="BQ180" s="118">
        <f>IFERROR(IFERROR(INDEX('Fuel Model - Calculation'!$B$2:$M$3771,(MATCH(($E180&amp;"Results"&amp;$BL$140&amp;$F180&amp;"USD/ton"),'Fuel Model - Calculation'!$B$2:$B$3771,0)),MATCH(M$141,'Fuel Model - Calculation'!$B$2:$M$2,0)),0),0)</f>
        <v>294.69222504142925</v>
      </c>
      <c r="BR180" s="118">
        <f>IFERROR(IFERROR(INDEX('Fuel Model - Calculation'!$B$2:$M$3771,(MATCH(($E180&amp;"Results"&amp;$BL$140&amp;$F180&amp;"USD/ton"),'Fuel Model - Calculation'!$B$2:$B$3771,0)),MATCH(N$141,'Fuel Model - Calculation'!$B$2:$M$2,0)),0),0)</f>
        <v>254.72508424646</v>
      </c>
      <c r="BT180" s="118">
        <f>IFERROR(INDEX('Fuel Model - Calculation'!$B$2:$M$3771,(MATCH(($E180&amp;"Results"&amp;$BT$140&amp;$F180&amp;"USD/ton"),'Fuel Model - Calculation'!$B$2:$B$3771,0)),MATCH(H$141,'Fuel Model - Calculation'!$B$2:$M$2,0)),0)</f>
        <v>0</v>
      </c>
      <c r="BU180" s="118">
        <f>IFERROR(INDEX('Fuel Model - Calculation'!$B$2:$M$3771,(MATCH(($E180&amp;"Results"&amp;$BT$140&amp;$F180&amp;"USD/ton"),'Fuel Model - Calculation'!$B$2:$B$3771,0)),MATCH(I$141,'Fuel Model - Calculation'!$B$2:$M$2,0)),0)</f>
        <v>0</v>
      </c>
      <c r="BV180" s="118">
        <f>IFERROR(INDEX('Fuel Model - Calculation'!$B$2:$M$3771,(MATCH(($E180&amp;"Results"&amp;$BT$140&amp;$F180&amp;"USD/ton"),'Fuel Model - Calculation'!$B$2:$B$3771,0)),MATCH(J$141,'Fuel Model - Calculation'!$B$2:$M$2,0)),0)</f>
        <v>0</v>
      </c>
      <c r="BW180" s="118">
        <f>IFERROR(INDEX('Fuel Model - Calculation'!$B$2:$M$3771,(MATCH(($E180&amp;"Results"&amp;$BT$140&amp;$F180&amp;"USD/ton"),'Fuel Model - Calculation'!$B$2:$B$3771,0)),MATCH(K$141,'Fuel Model - Calculation'!$B$2:$M$2,0)),0)</f>
        <v>0</v>
      </c>
      <c r="BX180" s="118">
        <f>IFERROR(INDEX('Fuel Model - Calculation'!$B$2:$M$3771,(MATCH(($E180&amp;"Results"&amp;$BT$140&amp;$F180&amp;"USD/ton"),'Fuel Model - Calculation'!$B$2:$B$3771,0)),MATCH(L$141,'Fuel Model - Calculation'!$B$2:$M$2,0)),0)</f>
        <v>0</v>
      </c>
      <c r="BY180" s="118">
        <f>IFERROR(INDEX('Fuel Model - Calculation'!$B$2:$M$3771,(MATCH(($E180&amp;"Results"&amp;$BT$140&amp;$F180&amp;"USD/ton"),'Fuel Model - Calculation'!$B$2:$B$3771,0)),MATCH(M$141,'Fuel Model - Calculation'!$B$2:$M$2,0)),0)</f>
        <v>0</v>
      </c>
      <c r="BZ180" s="118">
        <f>IFERROR(INDEX('Fuel Model - Calculation'!$B$2:$M$3771,(MATCH(($E180&amp;"Results"&amp;$BT$140&amp;$F180&amp;"USD/ton"),'Fuel Model - Calculation'!$B$2:$B$3771,0)),MATCH(N$141,'Fuel Model - Calculation'!$B$2:$M$2,0)),0)</f>
        <v>0</v>
      </c>
    </row>
    <row r="181" spans="1:78" x14ac:dyDescent="0.2">
      <c r="A181" s="452"/>
      <c r="B181" s="453" t="str">
        <f>_xlfn.TEXTJOIN(keydelim,TRUE,F181,IF(E181="Africa","Africa&amp;other",E181),"Fuel cost",SUBSTITUTE($G181," ",""))</f>
        <v>e-Diesel (PS) - Americas - Fuel cost - USD/ton</v>
      </c>
      <c r="D181" s="459" t="str">
        <f t="shared" si="177"/>
        <v>Americase-Diesel (PS)</v>
      </c>
      <c r="E181" t="s">
        <v>199</v>
      </c>
      <c r="F181" s="460" t="str">
        <f t="shared" si="178"/>
        <v>e-Diesel (PS)</v>
      </c>
      <c r="G181" t="s">
        <v>835</v>
      </c>
      <c r="H181" s="118">
        <f>INDEX('Fuel Model - Calculation'!$B$2:$M$3771,(MATCH(($E181&amp;"ResultsCost of "&amp;$F181&amp;"USD/ton"),'Fuel Model - Calculation'!$B$2:$B$3771,0)),MATCH(H$141,'Fuel Model - Calculation'!$B$2:$M$2,0))</f>
        <v>3715.8693943959302</v>
      </c>
      <c r="I181" s="118">
        <f>INDEX('Fuel Model - Calculation'!$B$2:$M$3771,(MATCH(($E181&amp;"ResultsCost of "&amp;$F181&amp;"USD/ton"),'Fuel Model - Calculation'!$B$2:$B$3771,0)),MATCH(I$141,'Fuel Model - Calculation'!$B$2:$M$2,0))</f>
        <v>3102.5735787164695</v>
      </c>
      <c r="J181" s="118">
        <f>INDEX('Fuel Model - Calculation'!$B$2:$M$3771,(MATCH(($E181&amp;"ResultsCost of "&amp;$F181&amp;"USD/ton"),'Fuel Model - Calculation'!$B$2:$B$3771,0)),MATCH(J$141,'Fuel Model - Calculation'!$B$2:$M$2,0))</f>
        <v>2474.8997824061985</v>
      </c>
      <c r="K181" s="118">
        <f>INDEX('Fuel Model - Calculation'!$B$2:$M$3771,(MATCH(($E181&amp;"ResultsCost of "&amp;$F181&amp;"USD/ton"),'Fuel Model - Calculation'!$B$2:$B$3771,0)),MATCH(K$141,'Fuel Model - Calculation'!$B$2:$M$2,0))</f>
        <v>2270.1624669674566</v>
      </c>
      <c r="L181" s="118">
        <f>INDEX('Fuel Model - Calculation'!$B$2:$M$3771,(MATCH(($E181&amp;"ResultsCost of "&amp;$F181&amp;"USD/ton"),'Fuel Model - Calculation'!$B$2:$B$3771,0)),MATCH(L$141,'Fuel Model - Calculation'!$B$2:$M$2,0))</f>
        <v>2006.7647539832926</v>
      </c>
      <c r="M181" s="118">
        <f>INDEX('Fuel Model - Calculation'!$B$2:$M$3771,(MATCH(($E181&amp;"ResultsCost of "&amp;$F181&amp;"USD/ton"),'Fuel Model - Calculation'!$B$2:$B$3771,0)),MATCH(M$141,'Fuel Model - Calculation'!$B$2:$M$2,0))</f>
        <v>1647.8716053500787</v>
      </c>
      <c r="N181" s="118">
        <f>INDEX('Fuel Model - Calculation'!$B$2:$M$3771,(MATCH(($E181&amp;"ResultsCost of "&amp;$F181&amp;"USD/ton"),'Fuel Model - Calculation'!$B$2:$B$3771,0)),MATCH(N$141,'Fuel Model - Calculation'!$B$2:$M$2,0))</f>
        <v>1305.4011603069193</v>
      </c>
      <c r="O181"/>
      <c r="P181" s="118">
        <f>IFERROR(INDEX('Fuel Model - Calculation'!G$2:G$3771,(MATCH(($E181&amp;"ResultsTotal RNE "&amp;$F181&amp;"USD/ton"),'Fuel Model - Calculation'!$B$2:$B$3771,0))),0)</f>
        <v>1010.6288465567333</v>
      </c>
      <c r="Q181" s="118">
        <f>IFERROR(INDEX('Fuel Model - Calculation'!H$2:H$3771,(MATCH(($E181&amp;"ResultsTotal RNE "&amp;$F181&amp;"USD/ton"),'Fuel Model - Calculation'!$B$2:$B$3771,0))),0)</f>
        <v>906.62340304050531</v>
      </c>
      <c r="R181" s="118">
        <f>IFERROR(INDEX('Fuel Model - Calculation'!I$2:I$3771,(MATCH(($E181&amp;"ResultsTotal RNE "&amp;$F181&amp;"USD/ton"),'Fuel Model - Calculation'!$B$2:$B$3771,0))),0)</f>
        <v>730.44731330387663</v>
      </c>
      <c r="S181" s="118">
        <f>IFERROR(INDEX('Fuel Model - Calculation'!J$2:J$3771,(MATCH(($E181&amp;"ResultsTotal RNE "&amp;$F181&amp;"USD/ton"),'Fuel Model - Calculation'!$B$2:$B$3771,0))),0)</f>
        <v>628.19042487664149</v>
      </c>
      <c r="T181" s="118">
        <f>IFERROR(INDEX('Fuel Model - Calculation'!K$2:K$3771,(MATCH(($E181&amp;"ResultsTotal RNE "&amp;$F181&amp;"USD/ton"),'Fuel Model - Calculation'!$B$2:$B$3771,0))),0)</f>
        <v>541.33368238852154</v>
      </c>
      <c r="U181" s="118">
        <f>IFERROR(INDEX('Fuel Model - Calculation'!L$2:L$3771,(MATCH(($E181&amp;"ResultsTotal RNE "&amp;$F181&amp;"USD/ton"),'Fuel Model - Calculation'!$B$2:$B$3771,0))),0)</f>
        <v>485.49178858706642</v>
      </c>
      <c r="V181" s="118">
        <f>IFERROR(INDEX('Fuel Model - Calculation'!M$2:M$3771,(MATCH(($E181&amp;"ResultsTotal RNE "&amp;$F181&amp;"USD/ton"),'Fuel Model - Calculation'!$B$2:$B$3771,0))),0)</f>
        <v>444.2000412702908</v>
      </c>
      <c r="W181"/>
      <c r="X181" s="2">
        <f>INDEX('Fuel Model - Calculation'!$E$2:$M$3771,(MATCH(("WTT Emission - "&amp;$F181),'Fuel Model - Calculation'!$E$2:$E$3771,0)),MATCH(X$141,'Fuel Model - Calculation'!$E$2:$M$2,0))</f>
        <v>-3.0700604617267326</v>
      </c>
      <c r="Y181" s="2">
        <f>INDEX('Fuel Model - Calculation'!$E$2:$M$3771,(MATCH(("WTT Emission - "&amp;$F181),'Fuel Model - Calculation'!$E$2:$E$3771,0)),MATCH(Y$141,'Fuel Model - Calculation'!$E$2:$M$2,0))</f>
        <v>-3.0708976509117432</v>
      </c>
      <c r="Z181" s="2">
        <f>INDEX('Fuel Model - Calculation'!$E$2:$M$3771,(MATCH(("WTT Emission - "&amp;$F181),'Fuel Model - Calculation'!$E$2:$E$3771,0)),MATCH(Z$141,'Fuel Model - Calculation'!$E$2:$M$2,0))</f>
        <v>-3.0728843377137416</v>
      </c>
      <c r="AA181" s="2">
        <f>INDEX('Fuel Model - Calculation'!$E$2:$M$3771,(MATCH(("WTT Emission - "&amp;$F181),'Fuel Model - Calculation'!$E$2:$E$3771,0)),MATCH(AA$141,'Fuel Model - Calculation'!$E$2:$M$2,0))</f>
        <v>-3.0778527733409353</v>
      </c>
      <c r="AB181" s="2">
        <f>INDEX('Fuel Model - Calculation'!$E$2:$M$3771,(MATCH(("WTT Emission - "&amp;$F181),'Fuel Model - Calculation'!$E$2:$E$3771,0)),MATCH(AB$141,'Fuel Model - Calculation'!$E$2:$M$2,0))</f>
        <v>-3.0837732781424343</v>
      </c>
      <c r="AC181" s="2">
        <f>INDEX('Fuel Model - Calculation'!$E$2:$M$3771,(MATCH(("WTT Emission - "&amp;$F181),'Fuel Model - Calculation'!$E$2:$E$3771,0)),MATCH(AC$141,'Fuel Model - Calculation'!$E$2:$M$2,0))</f>
        <v>-3.0915936071724515</v>
      </c>
      <c r="AD181" s="2">
        <f>INDEX('Fuel Model - Calculation'!$E$2:$M$3771,(MATCH(("WTT Emission - "&amp;$F181),'Fuel Model - Calculation'!$E$2:$E$3771,0)),MATCH(AD$141,'Fuel Model - Calculation'!$E$2:$M$2,0))</f>
        <v>-3.0977718159117433</v>
      </c>
      <c r="AE181" s="2"/>
      <c r="AF181" s="2">
        <f>'Fuel Model -  Input'!H$53</f>
        <v>3.2553300000000003</v>
      </c>
      <c r="AG181" s="2">
        <f>'Fuel Model -  Input'!I$53</f>
        <v>3.2553300000000003</v>
      </c>
      <c r="AH181" s="2">
        <f>'Fuel Model -  Input'!J$53</f>
        <v>3.2553300000000003</v>
      </c>
      <c r="AI181" s="2">
        <f>'Fuel Model -  Input'!K$53</f>
        <v>3.2553300000000003</v>
      </c>
      <c r="AJ181" s="2">
        <f>'Fuel Model -  Input'!L$53</f>
        <v>3.2553300000000003</v>
      </c>
      <c r="AK181" s="2">
        <f>'Fuel Model -  Input'!M$53</f>
        <v>3.2553300000000003</v>
      </c>
      <c r="AL181" s="2">
        <f>'Fuel Model -  Input'!N$53</f>
        <v>3.2553300000000003</v>
      </c>
      <c r="AM181"/>
      <c r="AN181" s="24">
        <f t="shared" si="176"/>
        <v>0.18526953827326764</v>
      </c>
      <c r="AO181" s="24">
        <f t="shared" si="176"/>
        <v>0.18443234908825712</v>
      </c>
      <c r="AP181" s="24">
        <f t="shared" si="176"/>
        <v>0.18244566228625869</v>
      </c>
      <c r="AQ181" s="24">
        <f t="shared" si="176"/>
        <v>0.17747722665906496</v>
      </c>
      <c r="AR181" s="24">
        <f t="shared" si="176"/>
        <v>0.17155672185756599</v>
      </c>
      <c r="AS181" s="24">
        <f t="shared" si="176"/>
        <v>0.16373639282754882</v>
      </c>
      <c r="AT181" s="24">
        <f t="shared" si="176"/>
        <v>0.15755818408825695</v>
      </c>
      <c r="AU181"/>
      <c r="AV181" s="118">
        <f>IFERROR(INDEX('Fuel Model - Calculation'!$B$2:$M$3771,(MATCH(($E181&amp;"Results"&amp;$AV$140&amp;$F181&amp;"USD/ton"),'Fuel Model - Calculation'!$B$2:$B$3771,0)),MATCH(H$141,'Fuel Model - Calculation'!$B$2:$M$2,0)),0)</f>
        <v>975.24497896284106</v>
      </c>
      <c r="AW181" s="118">
        <f>IFERROR(INDEX('Fuel Model - Calculation'!$B$2:$M$3771,(MATCH(($E181&amp;"Results"&amp;$AV$140&amp;$F181&amp;"USD/ton"),'Fuel Model - Calculation'!$B$2:$B$3771,0)),MATCH(I$141,'Fuel Model - Calculation'!$B$2:$M$2,0)),0)</f>
        <v>841.05960383899901</v>
      </c>
      <c r="AX181" s="118">
        <f>IFERROR(INDEX('Fuel Model - Calculation'!$B$2:$M$3771,(MATCH(($E181&amp;"Results"&amp;$AV$140&amp;$F181&amp;"USD/ton"),'Fuel Model - Calculation'!$B$2:$B$3771,0)),MATCH(J$141,'Fuel Model - Calculation'!$B$2:$M$2,0)),0)</f>
        <v>729.3413863173954</v>
      </c>
      <c r="AY181" s="118">
        <f>IFERROR(INDEX('Fuel Model - Calculation'!$B$2:$M$3771,(MATCH(($E181&amp;"Results"&amp;$AV$140&amp;$F181&amp;"USD/ton"),'Fuel Model - Calculation'!$B$2:$B$3771,0)),MATCH(K$141,'Fuel Model - Calculation'!$B$2:$M$2,0)),0)</f>
        <v>715.92483717522828</v>
      </c>
      <c r="AZ181" s="118">
        <f>IFERROR(INDEX('Fuel Model - Calculation'!$B$2:$M$3771,(MATCH(($E181&amp;"Results"&amp;$AV$140&amp;$F181&amp;"USD/ton"),'Fuel Model - Calculation'!$B$2:$B$3771,0)),MATCH(L$141,'Fuel Model - Calculation'!$B$2:$M$2,0)),0)</f>
        <v>663.02732395007899</v>
      </c>
      <c r="BA181" s="118">
        <f>IFERROR(INDEX('Fuel Model - Calculation'!$B$2:$M$3771,(MATCH(($E181&amp;"Results"&amp;$AV$140&amp;$F181&amp;"USD/ton"),'Fuel Model - Calculation'!$B$2:$B$3771,0)),MATCH(M$141,'Fuel Model - Calculation'!$B$2:$M$2,0)),0)</f>
        <v>547.28868943989619</v>
      </c>
      <c r="BB181" s="118">
        <f>IFERROR(INDEX('Fuel Model - Calculation'!$B$2:$M$3771,(MATCH(($E181&amp;"Results"&amp;$AV$140&amp;$F181&amp;"USD/ton"),'Fuel Model - Calculation'!$B$2:$B$3771,0)),MATCH(N$141,'Fuel Model - Calculation'!$B$2:$M$2,0)),0)</f>
        <v>410.86652291560972</v>
      </c>
      <c r="BC181"/>
      <c r="BD181" s="118">
        <f>IFERROR(INDEX('Fuel Model - Calculation'!$B$2:$M$3771,(MATCH(($E181&amp;"Results"&amp;$BD$140&amp;$F181&amp;"USD/ton"),'Fuel Model - Calculation'!$B$2:$B$3771,0)),MATCH(P$141,'Fuel Model - Calculation'!$B$2:$M$2,0)),0)</f>
        <v>1115.3641775452213</v>
      </c>
      <c r="BE181" s="118">
        <f>IFERROR(INDEX('Fuel Model - Calculation'!$B$2:$M$3771,(MATCH(($E181&amp;"Results"&amp;$BD$140&amp;$F181&amp;"USD/ton"),'Fuel Model - Calculation'!$B$2:$B$3771,0)),MATCH(Q$141,'Fuel Model - Calculation'!$B$2:$M$2,0)),0)</f>
        <v>842.48794774226292</v>
      </c>
      <c r="BF181" s="118">
        <f>IFERROR(INDEX('Fuel Model - Calculation'!$B$2:$M$3771,(MATCH(($E181&amp;"Results"&amp;$BD$140&amp;$F181&amp;"USD/ton"),'Fuel Model - Calculation'!$B$2:$B$3771,0)),MATCH(R$141,'Fuel Model - Calculation'!$B$2:$M$2,0)),0)</f>
        <v>609.04421126235252</v>
      </c>
      <c r="BG181" s="118">
        <f>IFERROR(INDEX('Fuel Model - Calculation'!$B$2:$M$3771,(MATCH(($E181&amp;"Results"&amp;$BD$140&amp;$F181&amp;"USD/ton"),'Fuel Model - Calculation'!$B$2:$B$3771,0)),MATCH(S$141,'Fuel Model - Calculation'!$B$2:$M$2,0)),0)</f>
        <v>562.12790295623995</v>
      </c>
      <c r="BH181" s="118">
        <f>IFERROR(INDEX('Fuel Model - Calculation'!$B$2:$M$3771,(MATCH(($E181&amp;"Results"&amp;$BD$140&amp;$F181&amp;"USD/ton"),'Fuel Model - Calculation'!$B$2:$B$3771,0)),MATCH(T$141,'Fuel Model - Calculation'!$B$2:$M$2,0)),0)</f>
        <v>479.71561450352772</v>
      </c>
      <c r="BI181" s="118">
        <f>IFERROR(INDEX('Fuel Model - Calculation'!$B$2:$M$3771,(MATCH(($E181&amp;"Results"&amp;$BD$140&amp;$F181&amp;"USD/ton"),'Fuel Model - Calculation'!$B$2:$B$3771,0)),MATCH(U$141,'Fuel Model - Calculation'!$B$2:$M$2,0)),0)</f>
        <v>331.29181259906551</v>
      </c>
      <c r="BJ181" s="118">
        <f>IFERROR(INDEX('Fuel Model - Calculation'!$B$2:$M$3771,(MATCH(($E181&amp;"Results"&amp;$BD$140&amp;$F181&amp;"USD/ton"),'Fuel Model - Calculation'!$B$2:$B$3771,0)),MATCH(V$141,'Fuel Model - Calculation'!$B$2:$M$2,0)),0)</f>
        <v>205.03601978691017</v>
      </c>
      <c r="BL181" s="118">
        <f>IFERROR(IFERROR(INDEX('Fuel Model - Calculation'!$B$2:$M$3771,(MATCH(($E181&amp;"Results"&amp;$BL$140&amp;$F181&amp;"USD/ton"),'Fuel Model - Calculation'!$B$2:$B$3771,0)),MATCH(H$141,'Fuel Model - Calculation'!$B$2:$M$2,0)),0),0)</f>
        <v>614.63139133113452</v>
      </c>
      <c r="BM181" s="118">
        <f>IFERROR(IFERROR(INDEX('Fuel Model - Calculation'!$B$2:$M$3771,(MATCH(($E181&amp;"Results"&amp;$BL$140&amp;$F181&amp;"USD/ton"),'Fuel Model - Calculation'!$B$2:$B$3771,0)),MATCH(I$141,'Fuel Model - Calculation'!$B$2:$M$2,0)),0),0)</f>
        <v>512.40262409470256</v>
      </c>
      <c r="BN181" s="118">
        <f>IFERROR(IFERROR(INDEX('Fuel Model - Calculation'!$B$2:$M$3771,(MATCH(($E181&amp;"Results"&amp;$BL$140&amp;$F181&amp;"USD/ton"),'Fuel Model - Calculation'!$B$2:$B$3771,0)),MATCH(J$141,'Fuel Model - Calculation'!$B$2:$M$2,0)),0),0)</f>
        <v>406.06687152257422</v>
      </c>
      <c r="BO181" s="118">
        <f>IFERROR(IFERROR(INDEX('Fuel Model - Calculation'!$B$2:$M$3771,(MATCH(($E181&amp;"Results"&amp;$BL$140&amp;$F181&amp;"USD/ton"),'Fuel Model - Calculation'!$B$2:$B$3771,0)),MATCH(K$141,'Fuel Model - Calculation'!$B$2:$M$2,0)),0),0)</f>
        <v>363.91930195934674</v>
      </c>
      <c r="BP181" s="118">
        <f>IFERROR(IFERROR(INDEX('Fuel Model - Calculation'!$B$2:$M$3771,(MATCH(($E181&amp;"Results"&amp;$BL$140&amp;$F181&amp;"USD/ton"),'Fuel Model - Calculation'!$B$2:$B$3771,0)),MATCH(L$141,'Fuel Model - Calculation'!$B$2:$M$2,0)),0),0)</f>
        <v>322.68813314116431</v>
      </c>
      <c r="BQ181" s="118">
        <f>IFERROR(IFERROR(INDEX('Fuel Model - Calculation'!$B$2:$M$3771,(MATCH(($E181&amp;"Results"&amp;$BL$140&amp;$F181&amp;"USD/ton"),'Fuel Model - Calculation'!$B$2:$B$3771,0)),MATCH(M$141,'Fuel Model - Calculation'!$B$2:$M$2,0)),0),0)</f>
        <v>283.79931472405065</v>
      </c>
      <c r="BR181" s="118">
        <f>IFERROR(IFERROR(INDEX('Fuel Model - Calculation'!$B$2:$M$3771,(MATCH(($E181&amp;"Results"&amp;$BL$140&amp;$F181&amp;"USD/ton"),'Fuel Model - Calculation'!$B$2:$B$3771,0)),MATCH(N$141,'Fuel Model - Calculation'!$B$2:$M$2,0)),0),0)</f>
        <v>245.29857633410873</v>
      </c>
      <c r="BT181" s="118">
        <f>IFERROR(INDEX('Fuel Model - Calculation'!$B$2:$M$3771,(MATCH(($E181&amp;"Results"&amp;$BT$140&amp;$F181&amp;"USD/ton"),'Fuel Model - Calculation'!$B$2:$B$3771,0)),MATCH(H$141,'Fuel Model - Calculation'!$B$2:$M$2,0)),0)</f>
        <v>0</v>
      </c>
      <c r="BU181" s="118">
        <f>IFERROR(INDEX('Fuel Model - Calculation'!$B$2:$M$3771,(MATCH(($E181&amp;"Results"&amp;$BT$140&amp;$F181&amp;"USD/ton"),'Fuel Model - Calculation'!$B$2:$B$3771,0)),MATCH(I$141,'Fuel Model - Calculation'!$B$2:$M$2,0)),0)</f>
        <v>0</v>
      </c>
      <c r="BV181" s="118">
        <f>IFERROR(INDEX('Fuel Model - Calculation'!$B$2:$M$3771,(MATCH(($E181&amp;"Results"&amp;$BT$140&amp;$F181&amp;"USD/ton"),'Fuel Model - Calculation'!$B$2:$B$3771,0)),MATCH(J$141,'Fuel Model - Calculation'!$B$2:$M$2,0)),0)</f>
        <v>0</v>
      </c>
      <c r="BW181" s="118">
        <f>IFERROR(INDEX('Fuel Model - Calculation'!$B$2:$M$3771,(MATCH(($E181&amp;"Results"&amp;$BT$140&amp;$F181&amp;"USD/ton"),'Fuel Model - Calculation'!$B$2:$B$3771,0)),MATCH(K$141,'Fuel Model - Calculation'!$B$2:$M$2,0)),0)</f>
        <v>0</v>
      </c>
      <c r="BX181" s="118">
        <f>IFERROR(INDEX('Fuel Model - Calculation'!$B$2:$M$3771,(MATCH(($E181&amp;"Results"&amp;$BT$140&amp;$F181&amp;"USD/ton"),'Fuel Model - Calculation'!$B$2:$B$3771,0)),MATCH(L$141,'Fuel Model - Calculation'!$B$2:$M$2,0)),0)</f>
        <v>0</v>
      </c>
      <c r="BY181" s="118">
        <f>IFERROR(INDEX('Fuel Model - Calculation'!$B$2:$M$3771,(MATCH(($E181&amp;"Results"&amp;$BT$140&amp;$F181&amp;"USD/ton"),'Fuel Model - Calculation'!$B$2:$B$3771,0)),MATCH(M$141,'Fuel Model - Calculation'!$B$2:$M$2,0)),0)</f>
        <v>0</v>
      </c>
      <c r="BZ181" s="118">
        <f>IFERROR(INDEX('Fuel Model - Calculation'!$B$2:$M$3771,(MATCH(($E181&amp;"Results"&amp;$BT$140&amp;$F181&amp;"USD/ton"),'Fuel Model - Calculation'!$B$2:$B$3771,0)),MATCH(N$141,'Fuel Model - Calculation'!$B$2:$M$2,0)),0)</f>
        <v>0</v>
      </c>
    </row>
    <row r="182" spans="1:78" x14ac:dyDescent="0.2">
      <c r="A182" s="452"/>
      <c r="B182" s="453" t="str">
        <f>_xlfn.TEXTJOIN(keydelim,TRUE,F182,IF(E182="Africa","Africa&amp;other",E182),"Fuel cost",SUBSTITUTE($G182," ",""))</f>
        <v>e-Diesel (PS) - Africa&amp;other - Fuel cost - USD/ton</v>
      </c>
      <c r="D182" s="459" t="str">
        <f t="shared" si="177"/>
        <v>Africae-Diesel (PS)</v>
      </c>
      <c r="E182" t="s">
        <v>200</v>
      </c>
      <c r="F182" s="460" t="str">
        <f t="shared" si="178"/>
        <v>e-Diesel (PS)</v>
      </c>
      <c r="G182" t="s">
        <v>835</v>
      </c>
      <c r="H182" s="118">
        <f>INDEX('Fuel Model - Calculation'!$B$2:$M$3771,(MATCH(($E182&amp;"ResultsCost of "&amp;$F182&amp;"USD/ton"),'Fuel Model - Calculation'!$B$2:$B$3771,0)),MATCH(H$141,'Fuel Model - Calculation'!$B$2:$M$2,0))</f>
        <v>4815.7510922849042</v>
      </c>
      <c r="I182" s="118">
        <f>INDEX('Fuel Model - Calculation'!$B$2:$M$3771,(MATCH(($E182&amp;"ResultsCost of "&amp;$F182&amp;"USD/ton"),'Fuel Model - Calculation'!$B$2:$B$3771,0)),MATCH(I$141,'Fuel Model - Calculation'!$B$2:$M$2,0))</f>
        <v>3362.6089295269949</v>
      </c>
      <c r="J182" s="118">
        <f>INDEX('Fuel Model - Calculation'!$B$2:$M$3771,(MATCH(($E182&amp;"ResultsCost of "&amp;$F182&amp;"USD/ton"),'Fuel Model - Calculation'!$B$2:$B$3771,0)),MATCH(J$141,'Fuel Model - Calculation'!$B$2:$M$2,0))</f>
        <v>2646.8336042670044</v>
      </c>
      <c r="K182" s="118">
        <f>INDEX('Fuel Model - Calculation'!$B$2:$M$3771,(MATCH(($E182&amp;"ResultsCost of "&amp;$F182&amp;"USD/ton"),'Fuel Model - Calculation'!$B$2:$B$3771,0)),MATCH(K$141,'Fuel Model - Calculation'!$B$2:$M$2,0))</f>
        <v>2377.7272797026467</v>
      </c>
      <c r="L182" s="118">
        <f>INDEX('Fuel Model - Calculation'!$B$2:$M$3771,(MATCH(($E182&amp;"ResultsCost of "&amp;$F182&amp;"USD/ton"),'Fuel Model - Calculation'!$B$2:$B$3771,0)),MATCH(L$141,'Fuel Model - Calculation'!$B$2:$M$2,0))</f>
        <v>2109.627025155618</v>
      </c>
      <c r="M182" s="118">
        <f>INDEX('Fuel Model - Calculation'!$B$2:$M$3771,(MATCH(($E182&amp;"ResultsCost of "&amp;$F182&amp;"USD/ton"),'Fuel Model - Calculation'!$B$2:$B$3771,0)),MATCH(M$141,'Fuel Model - Calculation'!$B$2:$M$2,0))</f>
        <v>1707.7822109816047</v>
      </c>
      <c r="N182" s="118">
        <f>INDEX('Fuel Model - Calculation'!$B$2:$M$3771,(MATCH(($E182&amp;"ResultsCost of "&amp;$F182&amp;"USD/ton"),'Fuel Model - Calculation'!$B$2:$B$3771,0)),MATCH(N$141,'Fuel Model - Calculation'!$B$2:$M$2,0))</f>
        <v>1351.074210037229</v>
      </c>
      <c r="O182"/>
      <c r="P182" s="118">
        <f>IFERROR(INDEX('Fuel Model - Calculation'!G$2:G$3771,(MATCH(($E182&amp;"ResultsTotal RNE "&amp;$F182&amp;"USD/ton"),'Fuel Model - Calculation'!$B$2:$B$3771,0))),0)</f>
        <v>2047.8816109262077</v>
      </c>
      <c r="Q182" s="118">
        <f>IFERROR(INDEX('Fuel Model - Calculation'!H$2:H$3771,(MATCH(($E182&amp;"ResultsTotal RNE "&amp;$F182&amp;"USD/ton"),'Fuel Model - Calculation'!$B$2:$B$3771,0))),0)</f>
        <v>1151.7675317575147</v>
      </c>
      <c r="R182" s="118">
        <f>IFERROR(INDEX('Fuel Model - Calculation'!I$2:I$3771,(MATCH(($E182&amp;"ResultsTotal RNE "&amp;$F182&amp;"USD/ton"),'Fuel Model - Calculation'!$B$2:$B$3771,0))),0)</f>
        <v>892.40011615627361</v>
      </c>
      <c r="S182" s="118">
        <f>IFERROR(INDEX('Fuel Model - Calculation'!J$2:J$3771,(MATCH(($E182&amp;"ResultsTotal RNE "&amp;$F182&amp;"USD/ton"),'Fuel Model - Calculation'!$B$2:$B$3771,0))),0)</f>
        <v>729.28916461442509</v>
      </c>
      <c r="T182" s="118">
        <f>IFERROR(INDEX('Fuel Model - Calculation'!K$2:K$3771,(MATCH(($E182&amp;"ResultsTotal RNE "&amp;$F182&amp;"USD/ton"),'Fuel Model - Calculation'!$B$2:$B$3771,0))),0)</f>
        <v>637.73930960188238</v>
      </c>
      <c r="U182" s="118">
        <f>IFERROR(INDEX('Fuel Model - Calculation'!L$2:L$3771,(MATCH(($E182&amp;"ResultsTotal RNE "&amp;$F182&amp;"USD/ton"),'Fuel Model - Calculation'!$B$2:$B$3771,0))),0)</f>
        <v>541.40869462877788</v>
      </c>
      <c r="V182" s="118">
        <f>IFERROR(INDEX('Fuel Model - Calculation'!M$2:M$3771,(MATCH(($E182&amp;"ResultsTotal RNE "&amp;$F182&amp;"USD/ton"),'Fuel Model - Calculation'!$B$2:$B$3771,0))),0)</f>
        <v>486.67169468085177</v>
      </c>
      <c r="W182"/>
      <c r="X182" s="2">
        <f>INDEX('Fuel Model - Calculation'!$E$2:$M$3771,(MATCH(("WTT Emission - "&amp;$F182),'Fuel Model - Calculation'!$E$2:$E$3771,0)),MATCH(X$141,'Fuel Model - Calculation'!$E$2:$M$2,0))</f>
        <v>-3.0700604617267326</v>
      </c>
      <c r="Y182" s="2">
        <f>INDEX('Fuel Model - Calculation'!$E$2:$M$3771,(MATCH(("WTT Emission - "&amp;$F182),'Fuel Model - Calculation'!$E$2:$E$3771,0)),MATCH(Y$141,'Fuel Model - Calculation'!$E$2:$M$2,0))</f>
        <v>-3.0708976509117432</v>
      </c>
      <c r="Z182" s="2">
        <f>INDEX('Fuel Model - Calculation'!$E$2:$M$3771,(MATCH(("WTT Emission - "&amp;$F182),'Fuel Model - Calculation'!$E$2:$E$3771,0)),MATCH(Z$141,'Fuel Model - Calculation'!$E$2:$M$2,0))</f>
        <v>-3.0728843377137416</v>
      </c>
      <c r="AA182" s="2">
        <f>INDEX('Fuel Model - Calculation'!$E$2:$M$3771,(MATCH(("WTT Emission - "&amp;$F182),'Fuel Model - Calculation'!$E$2:$E$3771,0)),MATCH(AA$141,'Fuel Model - Calculation'!$E$2:$M$2,0))</f>
        <v>-3.0778527733409353</v>
      </c>
      <c r="AB182" s="2">
        <f>INDEX('Fuel Model - Calculation'!$E$2:$M$3771,(MATCH(("WTT Emission - "&amp;$F182),'Fuel Model - Calculation'!$E$2:$E$3771,0)),MATCH(AB$141,'Fuel Model - Calculation'!$E$2:$M$2,0))</f>
        <v>-3.0837732781424343</v>
      </c>
      <c r="AC182" s="2">
        <f>INDEX('Fuel Model - Calculation'!$E$2:$M$3771,(MATCH(("WTT Emission - "&amp;$F182),'Fuel Model - Calculation'!$E$2:$E$3771,0)),MATCH(AC$141,'Fuel Model - Calculation'!$E$2:$M$2,0))</f>
        <v>-3.0915936071724515</v>
      </c>
      <c r="AD182" s="2">
        <f>INDEX('Fuel Model - Calculation'!$E$2:$M$3771,(MATCH(("WTT Emission - "&amp;$F182),'Fuel Model - Calculation'!$E$2:$E$3771,0)),MATCH(AD$141,'Fuel Model - Calculation'!$E$2:$M$2,0))</f>
        <v>-3.0977718159117433</v>
      </c>
      <c r="AE182" s="2"/>
      <c r="AF182" s="2">
        <f>'Fuel Model -  Input'!H$53</f>
        <v>3.2553300000000003</v>
      </c>
      <c r="AG182" s="2">
        <f>'Fuel Model -  Input'!I$53</f>
        <v>3.2553300000000003</v>
      </c>
      <c r="AH182" s="2">
        <f>'Fuel Model -  Input'!J$53</f>
        <v>3.2553300000000003</v>
      </c>
      <c r="AI182" s="2">
        <f>'Fuel Model -  Input'!K$53</f>
        <v>3.2553300000000003</v>
      </c>
      <c r="AJ182" s="2">
        <f>'Fuel Model -  Input'!L$53</f>
        <v>3.2553300000000003</v>
      </c>
      <c r="AK182" s="2">
        <f>'Fuel Model -  Input'!M$53</f>
        <v>3.2553300000000003</v>
      </c>
      <c r="AL182" s="2">
        <f>'Fuel Model -  Input'!N$53</f>
        <v>3.2553300000000003</v>
      </c>
      <c r="AM182"/>
      <c r="AN182" s="24">
        <f t="shared" si="176"/>
        <v>0.18526953827326764</v>
      </c>
      <c r="AO182" s="24">
        <f t="shared" si="176"/>
        <v>0.18443234908825712</v>
      </c>
      <c r="AP182" s="24">
        <f t="shared" si="176"/>
        <v>0.18244566228625869</v>
      </c>
      <c r="AQ182" s="24">
        <f t="shared" si="176"/>
        <v>0.17747722665906496</v>
      </c>
      <c r="AR182" s="24">
        <f t="shared" si="176"/>
        <v>0.17155672185756599</v>
      </c>
      <c r="AS182" s="24">
        <f t="shared" si="176"/>
        <v>0.16373639282754882</v>
      </c>
      <c r="AT182" s="24">
        <f t="shared" si="176"/>
        <v>0.15755818408825695</v>
      </c>
      <c r="AU182"/>
      <c r="AV182" s="118">
        <f>IFERROR(INDEX('Fuel Model - Calculation'!$B$2:$M$3771,(MATCH(($E182&amp;"Results"&amp;$AV$140&amp;$F182&amp;"USD/ton"),'Fuel Model - Calculation'!$B$2:$B$3771,0)),MATCH(H$141,'Fuel Model - Calculation'!$B$2:$M$2,0)),0)</f>
        <v>975.24497896284106</v>
      </c>
      <c r="AW182" s="118">
        <f>IFERROR(INDEX('Fuel Model - Calculation'!$B$2:$M$3771,(MATCH(($E182&amp;"Results"&amp;$AV$140&amp;$F182&amp;"USD/ton"),'Fuel Model - Calculation'!$B$2:$B$3771,0)),MATCH(I$141,'Fuel Model - Calculation'!$B$2:$M$2,0)),0)</f>
        <v>841.05960383899901</v>
      </c>
      <c r="AX182" s="118">
        <f>IFERROR(INDEX('Fuel Model - Calculation'!$B$2:$M$3771,(MATCH(($E182&amp;"Results"&amp;$AV$140&amp;$F182&amp;"USD/ton"),'Fuel Model - Calculation'!$B$2:$B$3771,0)),MATCH(J$141,'Fuel Model - Calculation'!$B$2:$M$2,0)),0)</f>
        <v>729.34138631739529</v>
      </c>
      <c r="AY182" s="118">
        <f>IFERROR(INDEX('Fuel Model - Calculation'!$B$2:$M$3771,(MATCH(($E182&amp;"Results"&amp;$AV$140&amp;$F182&amp;"USD/ton"),'Fuel Model - Calculation'!$B$2:$B$3771,0)),MATCH(K$141,'Fuel Model - Calculation'!$B$2:$M$2,0)),0)</f>
        <v>715.92483717522839</v>
      </c>
      <c r="AZ182" s="118">
        <f>IFERROR(INDEX('Fuel Model - Calculation'!$B$2:$M$3771,(MATCH(($E182&amp;"Results"&amp;$AV$140&amp;$F182&amp;"USD/ton"),'Fuel Model - Calculation'!$B$2:$B$3771,0)),MATCH(L$141,'Fuel Model - Calculation'!$B$2:$M$2,0)),0)</f>
        <v>663.02732395007899</v>
      </c>
      <c r="BA182" s="118">
        <f>IFERROR(INDEX('Fuel Model - Calculation'!$B$2:$M$3771,(MATCH(($E182&amp;"Results"&amp;$AV$140&amp;$F182&amp;"USD/ton"),'Fuel Model - Calculation'!$B$2:$B$3771,0)),MATCH(M$141,'Fuel Model - Calculation'!$B$2:$M$2,0)),0)</f>
        <v>547.28868943989619</v>
      </c>
      <c r="BB182" s="118">
        <f>IFERROR(INDEX('Fuel Model - Calculation'!$B$2:$M$3771,(MATCH(($E182&amp;"Results"&amp;$AV$140&amp;$F182&amp;"USD/ton"),'Fuel Model - Calculation'!$B$2:$B$3771,0)),MATCH(N$141,'Fuel Model - Calculation'!$B$2:$M$2,0)),0)</f>
        <v>410.86652291560972</v>
      </c>
      <c r="BC182"/>
      <c r="BD182" s="118">
        <f>IFERROR(INDEX('Fuel Model - Calculation'!$B$2:$M$3771,(MATCH(($E182&amp;"Results"&amp;$BD$140&amp;$F182&amp;"USD/ton"),'Fuel Model - Calculation'!$B$2:$B$3771,0)),MATCH(P$141,'Fuel Model - Calculation'!$B$2:$M$2,0)),0)</f>
        <v>1115.3641775452206</v>
      </c>
      <c r="BE182" s="118">
        <f>IFERROR(INDEX('Fuel Model - Calculation'!$B$2:$M$3771,(MATCH(($E182&amp;"Results"&amp;$BD$140&amp;$F182&amp;"USD/ton"),'Fuel Model - Calculation'!$B$2:$B$3771,0)),MATCH(Q$141,'Fuel Model - Calculation'!$B$2:$M$2,0)),0)</f>
        <v>842.4879477422628</v>
      </c>
      <c r="BF182" s="118">
        <f>IFERROR(INDEX('Fuel Model - Calculation'!$B$2:$M$3771,(MATCH(($E182&amp;"Results"&amp;$BD$140&amp;$F182&amp;"USD/ton"),'Fuel Model - Calculation'!$B$2:$B$3771,0)),MATCH(R$141,'Fuel Model - Calculation'!$B$2:$M$2,0)),0)</f>
        <v>609.04421126235275</v>
      </c>
      <c r="BG182" s="118">
        <f>IFERROR(INDEX('Fuel Model - Calculation'!$B$2:$M$3771,(MATCH(($E182&amp;"Results"&amp;$BD$140&amp;$F182&amp;"USD/ton"),'Fuel Model - Calculation'!$B$2:$B$3771,0)),MATCH(S$141,'Fuel Model - Calculation'!$B$2:$M$2,0)),0)</f>
        <v>562.12790295624018</v>
      </c>
      <c r="BH182" s="118">
        <f>IFERROR(INDEX('Fuel Model - Calculation'!$B$2:$M$3771,(MATCH(($E182&amp;"Results"&amp;$BD$140&amp;$F182&amp;"USD/ton"),'Fuel Model - Calculation'!$B$2:$B$3771,0)),MATCH(T$141,'Fuel Model - Calculation'!$B$2:$M$2,0)),0)</f>
        <v>479.71561450352755</v>
      </c>
      <c r="BI182" s="118">
        <f>IFERROR(INDEX('Fuel Model - Calculation'!$B$2:$M$3771,(MATCH(($E182&amp;"Results"&amp;$BD$140&amp;$F182&amp;"USD/ton"),'Fuel Model - Calculation'!$B$2:$B$3771,0)),MATCH(U$141,'Fuel Model - Calculation'!$B$2:$M$2,0)),0)</f>
        <v>331.29181259906534</v>
      </c>
      <c r="BJ182" s="118">
        <f>IFERROR(INDEX('Fuel Model - Calculation'!$B$2:$M$3771,(MATCH(($E182&amp;"Results"&amp;$BD$140&amp;$F182&amp;"USD/ton"),'Fuel Model - Calculation'!$B$2:$B$3771,0)),MATCH(V$141,'Fuel Model - Calculation'!$B$2:$M$2,0)),0)</f>
        <v>205.03601978691023</v>
      </c>
      <c r="BL182" s="118">
        <f>IFERROR(IFERROR(INDEX('Fuel Model - Calculation'!$B$2:$M$3771,(MATCH(($E182&amp;"Results"&amp;$BL$140&amp;$F182&amp;"USD/ton"),'Fuel Model - Calculation'!$B$2:$B$3771,0)),MATCH(H$141,'Fuel Model - Calculation'!$B$2:$M$2,0)),0),0)</f>
        <v>677.26032485063456</v>
      </c>
      <c r="BM182" s="118">
        <f>IFERROR(IFERROR(INDEX('Fuel Model - Calculation'!$B$2:$M$3771,(MATCH(($E182&amp;"Results"&amp;$BL$140&amp;$F182&amp;"USD/ton"),'Fuel Model - Calculation'!$B$2:$B$3771,0)),MATCH(I$141,'Fuel Model - Calculation'!$B$2:$M$2,0)),0),0)</f>
        <v>527.29384618821837</v>
      </c>
      <c r="BN182" s="118">
        <f>IFERROR(IFERROR(INDEX('Fuel Model - Calculation'!$B$2:$M$3771,(MATCH(($E182&amp;"Results"&amp;$BL$140&amp;$F182&amp;"USD/ton"),'Fuel Model - Calculation'!$B$2:$B$3771,0)),MATCH(J$141,'Fuel Model - Calculation'!$B$2:$M$2,0)),0),0)</f>
        <v>416.04789053098301</v>
      </c>
      <c r="BO182" s="118">
        <f>IFERROR(IFERROR(INDEX('Fuel Model - Calculation'!$B$2:$M$3771,(MATCH(($E182&amp;"Results"&amp;$BL$140&amp;$F182&amp;"USD/ton"),'Fuel Model - Calculation'!$B$2:$B$3771,0)),MATCH(K$141,'Fuel Model - Calculation'!$B$2:$M$2,0)),0),0)</f>
        <v>370.38537495675325</v>
      </c>
      <c r="BP182" s="118">
        <f>IFERROR(IFERROR(INDEX('Fuel Model - Calculation'!$B$2:$M$3771,(MATCH(($E182&amp;"Results"&amp;$BL$140&amp;$F182&amp;"USD/ton"),'Fuel Model - Calculation'!$B$2:$B$3771,0)),MATCH(L$141,'Fuel Model - Calculation'!$B$2:$M$2,0)),0),0)</f>
        <v>329.14477710012875</v>
      </c>
      <c r="BQ182" s="118">
        <f>IFERROR(IFERROR(INDEX('Fuel Model - Calculation'!$B$2:$M$3771,(MATCH(($E182&amp;"Results"&amp;$BL$140&amp;$F182&amp;"USD/ton"),'Fuel Model - Calculation'!$B$2:$B$3771,0)),MATCH(M$141,'Fuel Model - Calculation'!$B$2:$M$2,0)),0),0)</f>
        <v>287.79301431386523</v>
      </c>
      <c r="BR182" s="118">
        <f>IFERROR(IFERROR(INDEX('Fuel Model - Calculation'!$B$2:$M$3771,(MATCH(($E182&amp;"Results"&amp;$BL$140&amp;$F182&amp;"USD/ton"),'Fuel Model - Calculation'!$B$2:$B$3771,0)),MATCH(N$141,'Fuel Model - Calculation'!$B$2:$M$2,0)),0),0)</f>
        <v>248.49997265385738</v>
      </c>
      <c r="BT182" s="118">
        <f>IFERROR(INDEX('Fuel Model - Calculation'!$B$2:$M$3771,(MATCH(($E182&amp;"Results"&amp;$BT$140&amp;$F182&amp;"USD/ton"),'Fuel Model - Calculation'!$B$2:$B$3771,0)),MATCH(H$141,'Fuel Model - Calculation'!$B$2:$M$2,0)),0)</f>
        <v>0</v>
      </c>
      <c r="BU182" s="118">
        <f>IFERROR(INDEX('Fuel Model - Calculation'!$B$2:$M$3771,(MATCH(($E182&amp;"Results"&amp;$BT$140&amp;$F182&amp;"USD/ton"),'Fuel Model - Calculation'!$B$2:$B$3771,0)),MATCH(I$141,'Fuel Model - Calculation'!$B$2:$M$2,0)),0)</f>
        <v>0</v>
      </c>
      <c r="BV182" s="118">
        <f>IFERROR(INDEX('Fuel Model - Calculation'!$B$2:$M$3771,(MATCH(($E182&amp;"Results"&amp;$BT$140&amp;$F182&amp;"USD/ton"),'Fuel Model - Calculation'!$B$2:$B$3771,0)),MATCH(J$141,'Fuel Model - Calculation'!$B$2:$M$2,0)),0)</f>
        <v>0</v>
      </c>
      <c r="BW182" s="118">
        <f>IFERROR(INDEX('Fuel Model - Calculation'!$B$2:$M$3771,(MATCH(($E182&amp;"Results"&amp;$BT$140&amp;$F182&amp;"USD/ton"),'Fuel Model - Calculation'!$B$2:$B$3771,0)),MATCH(K$141,'Fuel Model - Calculation'!$B$2:$M$2,0)),0)</f>
        <v>0</v>
      </c>
      <c r="BX182" s="118">
        <f>IFERROR(INDEX('Fuel Model - Calculation'!$B$2:$M$3771,(MATCH(($E182&amp;"Results"&amp;$BT$140&amp;$F182&amp;"USD/ton"),'Fuel Model - Calculation'!$B$2:$B$3771,0)),MATCH(L$141,'Fuel Model - Calculation'!$B$2:$M$2,0)),0)</f>
        <v>0</v>
      </c>
      <c r="BY182" s="118">
        <f>IFERROR(INDEX('Fuel Model - Calculation'!$B$2:$M$3771,(MATCH(($E182&amp;"Results"&amp;$BT$140&amp;$F182&amp;"USD/ton"),'Fuel Model - Calculation'!$B$2:$B$3771,0)),MATCH(M$141,'Fuel Model - Calculation'!$B$2:$M$2,0)),0)</f>
        <v>0</v>
      </c>
      <c r="BZ182" s="118">
        <f>IFERROR(INDEX('Fuel Model - Calculation'!$B$2:$M$3771,(MATCH(($E182&amp;"Results"&amp;$BT$140&amp;$F182&amp;"USD/ton"),'Fuel Model - Calculation'!$B$2:$B$3771,0)),MATCH(N$141,'Fuel Model - Calculation'!$B$2:$M$2,0)),0)</f>
        <v>0</v>
      </c>
    </row>
    <row r="183" spans="1:78" x14ac:dyDescent="0.2">
      <c r="A183" s="452"/>
      <c r="B183" s="453"/>
      <c r="D183" s="459"/>
      <c r="E183"/>
      <c r="F183" s="157"/>
      <c r="G183"/>
      <c r="H183" s="118"/>
      <c r="I183"/>
      <c r="J183"/>
      <c r="K183"/>
      <c r="L183"/>
      <c r="M183"/>
      <c r="N183"/>
      <c r="O183"/>
      <c r="P183"/>
      <c r="Q183"/>
      <c r="R183"/>
      <c r="S183"/>
      <c r="T183"/>
      <c r="U183"/>
      <c r="V183"/>
      <c r="W183"/>
      <c r="X183"/>
      <c r="Y183"/>
      <c r="Z183"/>
      <c r="AA183"/>
      <c r="AB183"/>
      <c r="AC183"/>
      <c r="AD183"/>
      <c r="AE183"/>
      <c r="AF183" s="2"/>
      <c r="AG183" s="2"/>
      <c r="AH183" s="2"/>
      <c r="AI183" s="2"/>
      <c r="AJ183" s="2"/>
      <c r="AK183" s="2"/>
      <c r="AL183" s="2"/>
      <c r="AM183"/>
      <c r="AN183" s="24"/>
      <c r="AO183" s="24"/>
      <c r="AP183" s="24"/>
      <c r="AQ183" s="24"/>
      <c r="AR183" s="24"/>
      <c r="AS183" s="24"/>
      <c r="AT183" s="24"/>
      <c r="AU183"/>
      <c r="AV183" s="118"/>
      <c r="AW183" s="118"/>
      <c r="AX183" s="118"/>
      <c r="AY183" s="118"/>
      <c r="AZ183" s="118"/>
      <c r="BA183" s="118"/>
      <c r="BB183" s="118"/>
      <c r="BC183"/>
      <c r="BD183" s="118"/>
      <c r="BE183" s="118"/>
      <c r="BF183" s="118"/>
      <c r="BG183" s="118"/>
      <c r="BH183" s="118"/>
      <c r="BI183" s="118"/>
      <c r="BJ183" s="118"/>
      <c r="BL183" s="118"/>
      <c r="BM183" s="118"/>
      <c r="BN183" s="118"/>
      <c r="BO183" s="118"/>
      <c r="BP183" s="118"/>
      <c r="BQ183" s="118"/>
      <c r="BR183" s="118"/>
      <c r="BT183" s="118"/>
      <c r="BU183" s="118"/>
      <c r="BV183" s="118"/>
      <c r="BW183" s="118"/>
      <c r="BX183" s="118"/>
      <c r="BY183" s="118"/>
      <c r="BZ183" s="118"/>
    </row>
    <row r="184" spans="1:78" x14ac:dyDescent="0.2">
      <c r="A184" s="452"/>
      <c r="B184" s="453" t="str">
        <f>_xlfn.TEXTJOIN(keydelim,TRUE,F184,IF(E184="Africa","Africa&amp;other",E184),"Fuel cost",SUBSTITUTE($G184," ",""))</f>
        <v>e-Methane (DAC) - Europe - Fuel cost - USD/ton</v>
      </c>
      <c r="D184" s="459" t="str">
        <f>E184&amp;F184</f>
        <v>Europee-Methane (DAC)</v>
      </c>
      <c r="E184" t="s">
        <v>195</v>
      </c>
      <c r="F184" s="460" t="s">
        <v>590</v>
      </c>
      <c r="G184" t="s">
        <v>835</v>
      </c>
      <c r="H184" s="118">
        <f>INDEX('Fuel Model - Calculation'!$B$2:$M$3771,(MATCH(($E184&amp;"ResultsCost of "&amp;$F184&amp;"USD/ton"),'Fuel Model - Calculation'!$B$2:$B$3771,0)),MATCH(H$141,'Fuel Model - Calculation'!$B$2:$M$2,0))</f>
        <v>3786.7099048223154</v>
      </c>
      <c r="I184" s="118">
        <f>INDEX('Fuel Model - Calculation'!$B$2:$M$3771,(MATCH(($E184&amp;"ResultsCost of "&amp;$F184&amp;"USD/ton"),'Fuel Model - Calculation'!$B$2:$B$3771,0)),MATCH(I$141,'Fuel Model - Calculation'!$B$2:$M$2,0))</f>
        <v>3083.9646531240232</v>
      </c>
      <c r="J184" s="118">
        <f>INDEX('Fuel Model - Calculation'!$B$2:$M$3771,(MATCH(($E184&amp;"ResultsCost of "&amp;$F184&amp;"USD/ton"),'Fuel Model - Calculation'!$B$2:$B$3771,0)),MATCH(J$141,'Fuel Model - Calculation'!$B$2:$M$2,0))</f>
        <v>2529.4112447569441</v>
      </c>
      <c r="K184" s="118">
        <f>INDEX('Fuel Model - Calculation'!$B$2:$M$3771,(MATCH(($E184&amp;"ResultsCost of "&amp;$F184&amp;"USD/ton"),'Fuel Model - Calculation'!$B$2:$B$3771,0)),MATCH(K$141,'Fuel Model - Calculation'!$B$2:$M$2,0))</f>
        <v>2281.8006243980235</v>
      </c>
      <c r="L184" s="118">
        <f>INDEX('Fuel Model - Calculation'!$B$2:$M$3771,(MATCH(($E184&amp;"ResultsCost of "&amp;$F184&amp;"USD/ton"),'Fuel Model - Calculation'!$B$2:$B$3771,0)),MATCH(L$141,'Fuel Model - Calculation'!$B$2:$M$2,0))</f>
        <v>2012.8633279331989</v>
      </c>
      <c r="M184" s="118">
        <f>INDEX('Fuel Model - Calculation'!$B$2:$M$3771,(MATCH(($E184&amp;"ResultsCost of "&amp;$F184&amp;"USD/ton"),'Fuel Model - Calculation'!$B$2:$B$3771,0)),MATCH(M$141,'Fuel Model - Calculation'!$B$2:$M$2,0))</f>
        <v>1688.5324002267037</v>
      </c>
      <c r="N184" s="118">
        <f>INDEX('Fuel Model - Calculation'!$B$2:$M$3771,(MATCH(($E184&amp;"ResultsCost of "&amp;$F184&amp;"USD/ton"),'Fuel Model - Calculation'!$B$2:$B$3771,0)),MATCH(N$141,'Fuel Model - Calculation'!$B$2:$M$2,0))</f>
        <v>1391.3104613548026</v>
      </c>
      <c r="O184"/>
      <c r="P184" s="118">
        <f>IFERROR(INDEX('Fuel Model - Calculation'!G$2:G$3771,(MATCH(($E184&amp;"ResultsTotal RNE "&amp;$F184&amp;"USD/ton"),'Fuel Model - Calculation'!$B$2:$B$3771,0))),0)</f>
        <v>1502.9091617840147</v>
      </c>
      <c r="Q184" s="118">
        <f>IFERROR(INDEX('Fuel Model - Calculation'!H$2:H$3771,(MATCH(($E184&amp;"ResultsTotal RNE "&amp;$F184&amp;"USD/ton"),'Fuel Model - Calculation'!$B$2:$B$3771,0))),0)</f>
        <v>1210.4816779438597</v>
      </c>
      <c r="R184" s="118">
        <f>IFERROR(INDEX('Fuel Model - Calculation'!I$2:I$3771,(MATCH(($E184&amp;"ResultsTotal RNE "&amp;$F184&amp;"USD/ton"),'Fuel Model - Calculation'!$B$2:$B$3771,0))),0)</f>
        <v>967.00780901980681</v>
      </c>
      <c r="S184" s="118">
        <f>IFERROR(INDEX('Fuel Model - Calculation'!J$2:J$3771,(MATCH(($E184&amp;"ResultsTotal RNE "&amp;$F184&amp;"USD/ton"),'Fuel Model - Calculation'!$B$2:$B$3771,0))),0)</f>
        <v>841.70876699977339</v>
      </c>
      <c r="T184" s="118">
        <f>IFERROR(INDEX('Fuel Model - Calculation'!K$2:K$3771,(MATCH(($E184&amp;"ResultsTotal RNE "&amp;$F184&amp;"USD/ton"),'Fuel Model - Calculation'!$B$2:$B$3771,0))),0)</f>
        <v>752.72707581852035</v>
      </c>
      <c r="U184" s="118">
        <f>IFERROR(INDEX('Fuel Model - Calculation'!L$2:L$3771,(MATCH(($E184&amp;"ResultsTotal RNE "&amp;$F184&amp;"USD/ton"),'Fuel Model - Calculation'!$B$2:$B$3771,0))),0)</f>
        <v>654.46618316430352</v>
      </c>
      <c r="V184" s="118">
        <f>IFERROR(INDEX('Fuel Model - Calculation'!M$2:M$3771,(MATCH(($E184&amp;"ResultsTotal RNE "&amp;$F184&amp;"USD/ton"),'Fuel Model - Calculation'!$B$2:$B$3771,0))),0)</f>
        <v>584.73664941778952</v>
      </c>
      <c r="W184"/>
      <c r="X184" s="2">
        <f>INDEX('Fuel Model - Calculation'!$E$2:$M$3771,(MATCH(("WTT Emission - "&amp;$F184),'Fuel Model - Calculation'!$E$2:$E$3771,0)),MATCH(X$141,'Fuel Model - Calculation'!$E$2:$M$2,0))</f>
        <v>-2.5989549801948608</v>
      </c>
      <c r="Y184" s="2">
        <f>INDEX('Fuel Model - Calculation'!$E$2:$M$3771,(MATCH(("WTT Emission - "&amp;$F184),'Fuel Model - Calculation'!$E$2:$E$3771,0)),MATCH(Y$141,'Fuel Model - Calculation'!$E$2:$M$2,0))</f>
        <v>-2.59964</v>
      </c>
      <c r="Z184" s="2">
        <f>INDEX('Fuel Model - Calculation'!$E$2:$M$3771,(MATCH(("WTT Emission - "&amp;$F184),'Fuel Model - Calculation'!$E$2:$E$3771,0)),MATCH(Z$141,'Fuel Model - Calculation'!$E$2:$M$2,0))</f>
        <v>-2.6015648623515806</v>
      </c>
      <c r="AA184" s="2">
        <f>INDEX('Fuel Model - Calculation'!$E$2:$M$3771,(MATCH(("WTT Emission - "&amp;$F184),'Fuel Model - Calculation'!$E$2:$E$3771,0)),MATCH(AA$141,'Fuel Model - Calculation'!$E$2:$M$2,0))</f>
        <v>-2.6066773695723575</v>
      </c>
      <c r="AB184" s="2">
        <f>INDEX('Fuel Model - Calculation'!$E$2:$M$3771,(MATCH(("WTT Emission - "&amp;$F184),'Fuel Model - Calculation'!$E$2:$E$3771,0)),MATCH(AB$141,'Fuel Model - Calculation'!$E$2:$M$2,0))</f>
        <v>-2.6128170025601505</v>
      </c>
      <c r="AC184" s="2">
        <f>INDEX('Fuel Model - Calculation'!$E$2:$M$3771,(MATCH(("WTT Emission - "&amp;$F184),'Fuel Model - Calculation'!$E$2:$E$3771,0)),MATCH(AC$141,'Fuel Model - Calculation'!$E$2:$M$2,0))</f>
        <v>-2.6209908320532183</v>
      </c>
      <c r="AD184" s="2">
        <f>INDEX('Fuel Model - Calculation'!$E$2:$M$3771,(MATCH(("WTT Emission - "&amp;$F184),'Fuel Model - Calculation'!$E$2:$E$3771,0)),MATCH(AD$141,'Fuel Model - Calculation'!$E$2:$M$2,0))</f>
        <v>-2.6274297500000001</v>
      </c>
      <c r="AE184" s="2"/>
      <c r="AF184" s="76">
        <f>'Fuel Model -  Input'!H$269</f>
        <v>3.6492599999999999</v>
      </c>
      <c r="AG184" s="76">
        <f>'Fuel Model -  Input'!I$269</f>
        <v>3.6492599999999999</v>
      </c>
      <c r="AH184" s="76">
        <f>'Fuel Model -  Input'!J$269</f>
        <v>3.6492599999999999</v>
      </c>
      <c r="AI184" s="76">
        <f>'Fuel Model -  Input'!K$269</f>
        <v>3.6492599999999999</v>
      </c>
      <c r="AJ184" s="76">
        <f>'Fuel Model -  Input'!L$269</f>
        <v>3.6492599999999999</v>
      </c>
      <c r="AK184" s="76">
        <f>'Fuel Model -  Input'!M$269</f>
        <v>3.6492599999999999</v>
      </c>
      <c r="AL184" s="76">
        <f>'Fuel Model -  Input'!N$269</f>
        <v>3.6492599999999999</v>
      </c>
      <c r="AM184"/>
      <c r="AN184" s="24">
        <f t="shared" ref="AN184:AT188" si="179">X184+AF184</f>
        <v>1.0503050198051391</v>
      </c>
      <c r="AO184" s="24">
        <f t="shared" si="179"/>
        <v>1.04962</v>
      </c>
      <c r="AP184" s="24">
        <f t="shared" si="179"/>
        <v>1.0476951376484194</v>
      </c>
      <c r="AQ184" s="24">
        <f t="shared" si="179"/>
        <v>1.0425826304276424</v>
      </c>
      <c r="AR184" s="24">
        <f t="shared" si="179"/>
        <v>1.0364429974398495</v>
      </c>
      <c r="AS184" s="24">
        <f t="shared" si="179"/>
        <v>1.0282691679467817</v>
      </c>
      <c r="AT184" s="24">
        <f t="shared" si="179"/>
        <v>1.0218302499999998</v>
      </c>
      <c r="AU184"/>
      <c r="AV184" s="118">
        <f>IFERROR(INDEX('Fuel Model - Calculation'!$B$2:$M$3771,(MATCH(($E184&amp;"Results"&amp;$AV$140&amp;$F184&amp;"USD/ton"),'Fuel Model - Calculation'!$B$2:$B$3771,0)),MATCH(H$141,'Fuel Model - Calculation'!$B$2:$M$2,0)),0)</f>
        <v>779.76934830215805</v>
      </c>
      <c r="AW184" s="118">
        <f>IFERROR(INDEX('Fuel Model - Calculation'!$B$2:$M$3771,(MATCH(($E184&amp;"Results"&amp;$AV$140&amp;$F184&amp;"USD/ton"),'Fuel Model - Calculation'!$B$2:$B$3771,0)),MATCH(I$141,'Fuel Model - Calculation'!$B$2:$M$2,0)),0)</f>
        <v>669.47546507694926</v>
      </c>
      <c r="AX184" s="118">
        <f>IFERROR(INDEX('Fuel Model - Calculation'!$B$2:$M$3771,(MATCH(($E184&amp;"Results"&amp;$AV$140&amp;$F184&amp;"USD/ton"),'Fuel Model - Calculation'!$B$2:$B$3771,0)),MATCH(J$141,'Fuel Model - Calculation'!$B$2:$M$2,0)),0)</f>
        <v>597.32644088272252</v>
      </c>
      <c r="AY184" s="118">
        <f>IFERROR(INDEX('Fuel Model - Calculation'!$B$2:$M$3771,(MATCH(($E184&amp;"Results"&amp;$AV$140&amp;$F184&amp;"USD/ton"),'Fuel Model - Calculation'!$B$2:$B$3771,0)),MATCH(K$141,'Fuel Model - Calculation'!$B$2:$M$2,0)),0)</f>
        <v>600.24152790094467</v>
      </c>
      <c r="AZ184" s="118">
        <f>IFERROR(INDEX('Fuel Model - Calculation'!$B$2:$M$3771,(MATCH(($E184&amp;"Results"&amp;$AV$140&amp;$F184&amp;"USD/ton"),'Fuel Model - Calculation'!$B$2:$B$3771,0)),MATCH(L$141,'Fuel Model - Calculation'!$B$2:$M$2,0)),0)</f>
        <v>561.26080769795669</v>
      </c>
      <c r="BA184" s="118">
        <f>IFERROR(INDEX('Fuel Model - Calculation'!$B$2:$M$3771,(MATCH(($E184&amp;"Results"&amp;$AV$140&amp;$F184&amp;"USD/ton"),'Fuel Model - Calculation'!$B$2:$B$3771,0)),MATCH(M$141,'Fuel Model - Calculation'!$B$2:$M$2,0)),0)</f>
        <v>482.23733717358937</v>
      </c>
      <c r="BB184" s="118">
        <f>IFERROR(INDEX('Fuel Model - Calculation'!$B$2:$M$3771,(MATCH(($E184&amp;"Results"&amp;$AV$140&amp;$F184&amp;"USD/ton"),'Fuel Model - Calculation'!$B$2:$B$3771,0)),MATCH(N$141,'Fuel Model - Calculation'!$B$2:$M$2,0)),0)</f>
        <v>381.31048537121603</v>
      </c>
      <c r="BC184"/>
      <c r="BD184" s="118">
        <f>IFERROR(INDEX('Fuel Model - Calculation'!$B$2:$M$3771,(MATCH(($E184&amp;"Results"&amp;$BD$140&amp;$F184&amp;"USD/ton"),'Fuel Model - Calculation'!$B$2:$B$3771,0)),MATCH(P$141,'Fuel Model - Calculation'!$B$2:$M$2,0)),0)</f>
        <v>661.18788706282521</v>
      </c>
      <c r="BE184" s="118">
        <f>IFERROR(INDEX('Fuel Model - Calculation'!$B$2:$M$3771,(MATCH(($E184&amp;"Results"&amp;$BD$140&amp;$F184&amp;"USD/ton"),'Fuel Model - Calculation'!$B$2:$B$3771,0)),MATCH(Q$141,'Fuel Model - Calculation'!$B$2:$M$2,0)),0)</f>
        <v>538.75365097446547</v>
      </c>
      <c r="BF184" s="118">
        <f>IFERROR(INDEX('Fuel Model - Calculation'!$B$2:$M$3771,(MATCH(($E184&amp;"Results"&amp;$BD$140&amp;$F184&amp;"USD/ton"),'Fuel Model - Calculation'!$B$2:$B$3771,0)),MATCH(R$141,'Fuel Model - Calculation'!$B$2:$M$2,0)),0)</f>
        <v>438.22647937765407</v>
      </c>
      <c r="BG184" s="118">
        <f>IFERROR(INDEX('Fuel Model - Calculation'!$B$2:$M$3771,(MATCH(($E184&amp;"Results"&amp;$BD$140&amp;$F184&amp;"USD/ton"),'Fuel Model - Calculation'!$B$2:$B$3771,0)),MATCH(S$141,'Fuel Model - Calculation'!$B$2:$M$2,0)),0)</f>
        <v>398.96156424260221</v>
      </c>
      <c r="BH184" s="118">
        <f>IFERROR(INDEX('Fuel Model - Calculation'!$B$2:$M$3771,(MATCH(($E184&amp;"Results"&amp;$BD$140&amp;$F184&amp;"USD/ton"),'Fuel Model - Calculation'!$B$2:$B$3771,0)),MATCH(T$141,'Fuel Model - Calculation'!$B$2:$M$2,0)),0)</f>
        <v>322.78060920291784</v>
      </c>
      <c r="BI184" s="118">
        <f>IFERROR(INDEX('Fuel Model - Calculation'!$B$2:$M$3771,(MATCH(($E184&amp;"Results"&amp;$BD$140&amp;$F184&amp;"USD/ton"),'Fuel Model - Calculation'!$B$2:$B$3771,0)),MATCH(U$141,'Fuel Model - Calculation'!$B$2:$M$2,0)),0)</f>
        <v>232.1233270774018</v>
      </c>
      <c r="BJ184" s="118">
        <f>IFERROR(INDEX('Fuel Model - Calculation'!$B$2:$M$3771,(MATCH(($E184&amp;"Results"&amp;$BD$140&amp;$F184&amp;"USD/ton"),'Fuel Model - Calculation'!$B$2:$B$3771,0)),MATCH(V$141,'Fuel Model - Calculation'!$B$2:$M$2,0)),0)</f>
        <v>151.04976713188194</v>
      </c>
      <c r="BL184" s="118">
        <f>IFERROR(IFERROR(INDEX('Fuel Model - Calculation'!$B$2:$M$3771,(MATCH(($E184&amp;"Results"&amp;$BL$140&amp;$F184&amp;"USD/ton"),'Fuel Model - Calculation'!$B$2:$B$3771,0)),MATCH(H$141,'Fuel Model - Calculation'!$B$2:$M$2,0)),0),0)</f>
        <v>842.84350767331762</v>
      </c>
      <c r="BM184" s="118">
        <f>IFERROR(IFERROR(INDEX('Fuel Model - Calculation'!$B$2:$M$3771,(MATCH(($E184&amp;"Results"&amp;$BL$140&amp;$F184&amp;"USD/ton"),'Fuel Model - Calculation'!$B$2:$B$3771,0)),MATCH(I$141,'Fuel Model - Calculation'!$B$2:$M$2,0)),0),0)</f>
        <v>665.25385912874913</v>
      </c>
      <c r="BN184" s="118">
        <f>IFERROR(IFERROR(INDEX('Fuel Model - Calculation'!$B$2:$M$3771,(MATCH(($E184&amp;"Results"&amp;$BL$140&amp;$F184&amp;"USD/ton"),'Fuel Model - Calculation'!$B$2:$B$3771,0)),MATCH(J$141,'Fuel Model - Calculation'!$B$2:$M$2,0)),0),0)</f>
        <v>526.85051547676073</v>
      </c>
      <c r="BO184" s="118">
        <f>IFERROR(IFERROR(INDEX('Fuel Model - Calculation'!$B$2:$M$3771,(MATCH(($E184&amp;"Results"&amp;$BL$140&amp;$F184&amp;"USD/ton"),'Fuel Model - Calculation'!$B$2:$B$3771,0)),MATCH(K$141,'Fuel Model - Calculation'!$B$2:$M$2,0)),0),0)</f>
        <v>440.88876525470317</v>
      </c>
      <c r="BP184" s="118">
        <f>IFERROR(IFERROR(INDEX('Fuel Model - Calculation'!$B$2:$M$3771,(MATCH(($E184&amp;"Results"&amp;$BL$140&amp;$F184&amp;"USD/ton"),'Fuel Model - Calculation'!$B$2:$B$3771,0)),MATCH(L$141,'Fuel Model - Calculation'!$B$2:$M$2,0)),0),0)</f>
        <v>376.094835213804</v>
      </c>
      <c r="BQ184" s="118">
        <f>IFERROR(IFERROR(INDEX('Fuel Model - Calculation'!$B$2:$M$3771,(MATCH(($E184&amp;"Results"&amp;$BL$140&amp;$F184&amp;"USD/ton"),'Fuel Model - Calculation'!$B$2:$B$3771,0)),MATCH(M$141,'Fuel Model - Calculation'!$B$2:$M$2,0)),0),0)</f>
        <v>319.70555281140906</v>
      </c>
      <c r="BR184" s="118">
        <f>IFERROR(IFERROR(INDEX('Fuel Model - Calculation'!$B$2:$M$3771,(MATCH(($E184&amp;"Results"&amp;$BL$140&amp;$F184&amp;"USD/ton"),'Fuel Model - Calculation'!$B$2:$B$3771,0)),MATCH(N$141,'Fuel Model - Calculation'!$B$2:$M$2,0)),0),0)</f>
        <v>274.21355943391518</v>
      </c>
      <c r="BT184" s="118">
        <f>IFERROR(INDEX('Fuel Model - Calculation'!$B$2:$M$3771,(MATCH(($E184&amp;"Results"&amp;$BT$140&amp;$F184&amp;"USD/ton"),'Fuel Model - Calculation'!$B$2:$B$3771,0)),MATCH(H$141,'Fuel Model - Calculation'!$B$2:$M$2,0)),0)</f>
        <v>0</v>
      </c>
      <c r="BU184" s="118">
        <f>IFERROR(INDEX('Fuel Model - Calculation'!$B$2:$M$3771,(MATCH(($E184&amp;"Results"&amp;$BT$140&amp;$F184&amp;"USD/ton"),'Fuel Model - Calculation'!$B$2:$B$3771,0)),MATCH(I$141,'Fuel Model - Calculation'!$B$2:$M$2,0)),0)</f>
        <v>0</v>
      </c>
      <c r="BV184" s="118">
        <f>IFERROR(INDEX('Fuel Model - Calculation'!$B$2:$M$3771,(MATCH(($E184&amp;"Results"&amp;$BT$140&amp;$F184&amp;"USD/ton"),'Fuel Model - Calculation'!$B$2:$B$3771,0)),MATCH(J$141,'Fuel Model - Calculation'!$B$2:$M$2,0)),0)</f>
        <v>0</v>
      </c>
      <c r="BW184" s="118">
        <f>IFERROR(INDEX('Fuel Model - Calculation'!$B$2:$M$3771,(MATCH(($E184&amp;"Results"&amp;$BT$140&amp;$F184&amp;"USD/ton"),'Fuel Model - Calculation'!$B$2:$B$3771,0)),MATCH(K$141,'Fuel Model - Calculation'!$B$2:$M$2,0)),0)</f>
        <v>0</v>
      </c>
      <c r="BX184" s="118">
        <f>IFERROR(INDEX('Fuel Model - Calculation'!$B$2:$M$3771,(MATCH(($E184&amp;"Results"&amp;$BT$140&amp;$F184&amp;"USD/ton"),'Fuel Model - Calculation'!$B$2:$B$3771,0)),MATCH(L$141,'Fuel Model - Calculation'!$B$2:$M$2,0)),0)</f>
        <v>0</v>
      </c>
      <c r="BY184" s="118">
        <f>IFERROR(INDEX('Fuel Model - Calculation'!$B$2:$M$3771,(MATCH(($E184&amp;"Results"&amp;$BT$140&amp;$F184&amp;"USD/ton"),'Fuel Model - Calculation'!$B$2:$B$3771,0)),MATCH(M$141,'Fuel Model - Calculation'!$B$2:$M$2,0)),0)</f>
        <v>0</v>
      </c>
      <c r="BZ184" s="118">
        <f>IFERROR(INDEX('Fuel Model - Calculation'!$B$2:$M$3771,(MATCH(($E184&amp;"Results"&amp;$BT$140&amp;$F184&amp;"USD/ton"),'Fuel Model - Calculation'!$B$2:$B$3771,0)),MATCH(N$141,'Fuel Model - Calculation'!$B$2:$M$2,0)),0)</f>
        <v>0</v>
      </c>
    </row>
    <row r="185" spans="1:78" x14ac:dyDescent="0.2">
      <c r="A185" s="452"/>
      <c r="B185" s="453" t="str">
        <f>_xlfn.TEXTJOIN(keydelim,TRUE,F185,IF(E185="Africa","Africa&amp;other",E185),"Fuel cost",SUBSTITUTE($G185," ",""))</f>
        <v>e-Methane (DAC) - Middle East - Fuel cost - USD/ton</v>
      </c>
      <c r="D185" s="459" t="str">
        <f t="shared" ref="D185:D188" si="180">E185&amp;F185</f>
        <v>Middle Easte-Methane (DAC)</v>
      </c>
      <c r="E185" t="s">
        <v>197</v>
      </c>
      <c r="F185" s="460" t="str">
        <f>F184</f>
        <v>e-Methane (DAC)</v>
      </c>
      <c r="G185" t="s">
        <v>835</v>
      </c>
      <c r="H185" s="118">
        <f>INDEX('Fuel Model - Calculation'!$B$2:$M$3771,(MATCH(($E185&amp;"ResultsCost of "&amp;$F185&amp;"USD/ton"),'Fuel Model - Calculation'!$B$2:$B$3771,0)),MATCH(H$141,'Fuel Model - Calculation'!$B$2:$M$2,0))</f>
        <v>3326.0382831169159</v>
      </c>
      <c r="I185" s="118">
        <f>INDEX('Fuel Model - Calculation'!$B$2:$M$3771,(MATCH(($E185&amp;"ResultsCost of "&amp;$F185&amp;"USD/ton"),'Fuel Model - Calculation'!$B$2:$B$3771,0)),MATCH(I$141,'Fuel Model - Calculation'!$B$2:$M$2,0))</f>
        <v>2711.9814695973673</v>
      </c>
      <c r="J185" s="118">
        <f>INDEX('Fuel Model - Calculation'!$B$2:$M$3771,(MATCH(($E185&amp;"ResultsCost of "&amp;$F185&amp;"USD/ton"),'Fuel Model - Calculation'!$B$2:$B$3771,0)),MATCH(J$141,'Fuel Model - Calculation'!$B$2:$M$2,0))</f>
        <v>2271.1973947225174</v>
      </c>
      <c r="K185" s="118">
        <f>INDEX('Fuel Model - Calculation'!$B$2:$M$3771,(MATCH(($E185&amp;"ResultsCost of "&amp;$F185&amp;"USD/ton"),'Fuel Model - Calculation'!$B$2:$B$3771,0)),MATCH(K$141,'Fuel Model - Calculation'!$B$2:$M$2,0))</f>
        <v>2023.5711599463482</v>
      </c>
      <c r="L185" s="118">
        <f>INDEX('Fuel Model - Calculation'!$B$2:$M$3771,(MATCH(($E185&amp;"ResultsCost of "&amp;$F185&amp;"USD/ton"),'Fuel Model - Calculation'!$B$2:$B$3771,0)),MATCH(L$141,'Fuel Model - Calculation'!$B$2:$M$2,0))</f>
        <v>1772.4633967341861</v>
      </c>
      <c r="M185" s="118">
        <f>INDEX('Fuel Model - Calculation'!$B$2:$M$3771,(MATCH(($E185&amp;"ResultsCost of "&amp;$F185&amp;"USD/ton"),'Fuel Model - Calculation'!$B$2:$B$3771,0)),MATCH(M$141,'Fuel Model - Calculation'!$B$2:$M$2,0))</f>
        <v>1454.5507557618373</v>
      </c>
      <c r="N185" s="118">
        <f>INDEX('Fuel Model - Calculation'!$B$2:$M$3771,(MATCH(($E185&amp;"ResultsCost of "&amp;$F185&amp;"USD/ton"),'Fuel Model - Calculation'!$B$2:$B$3771,0)),MATCH(N$141,'Fuel Model - Calculation'!$B$2:$M$2,0))</f>
        <v>1182.6299665913805</v>
      </c>
      <c r="O185"/>
      <c r="P185" s="118">
        <f>IFERROR(INDEX('Fuel Model - Calculation'!G$2:G$3771,(MATCH(($E185&amp;"ResultsTotal RNE "&amp;$F185&amp;"USD/ton"),'Fuel Model - Calculation'!$B$2:$B$3771,0))),0)</f>
        <v>1153.9873683445719</v>
      </c>
      <c r="Q185" s="118">
        <f>IFERROR(INDEX('Fuel Model - Calculation'!H$2:H$3771,(MATCH(($E185&amp;"ResultsTotal RNE "&amp;$F185&amp;"USD/ton"),'Fuel Model - Calculation'!$B$2:$B$3771,0))),0)</f>
        <v>924.83464209909164</v>
      </c>
      <c r="R185" s="118">
        <f>IFERROR(INDEX('Fuel Model - Calculation'!I$2:I$3771,(MATCH(($E185&amp;"ResultsTotal RNE "&amp;$F185&amp;"USD/ton"),'Fuel Model - Calculation'!$B$2:$B$3771,0))),0)</f>
        <v>766.4949490971519</v>
      </c>
      <c r="S185" s="118">
        <f>IFERROR(INDEX('Fuel Model - Calculation'!J$2:J$3771,(MATCH(($E185&amp;"ResultsTotal RNE "&amp;$F185&amp;"USD/ton"),'Fuel Model - Calculation'!$B$2:$B$3771,0))),0)</f>
        <v>640.02269815718728</v>
      </c>
      <c r="T185" s="118">
        <f>IFERROR(INDEX('Fuel Model - Calculation'!K$2:K$3771,(MATCH(($E185&amp;"ResultsTotal RNE "&amp;$F185&amp;"USD/ton"),'Fuel Model - Calculation'!$B$2:$B$3771,0))),0)</f>
        <v>564.27952572870129</v>
      </c>
      <c r="U185" s="118">
        <f>IFERROR(INDEX('Fuel Model - Calculation'!L$2:L$3771,(MATCH(($E185&amp;"ResultsTotal RNE "&amp;$F185&amp;"USD/ton"),'Fuel Model - Calculation'!$B$2:$B$3771,0))),0)</f>
        <v>471.11799023086263</v>
      </c>
      <c r="V185" s="118">
        <f>IFERROR(INDEX('Fuel Model - Calculation'!M$2:M$3771,(MATCH(($E185&amp;"ResultsTotal RNE "&amp;$F185&amp;"USD/ton"),'Fuel Model - Calculation'!$B$2:$B$3771,0))),0)</f>
        <v>420.92098625152238</v>
      </c>
      <c r="W185"/>
      <c r="X185" s="2">
        <f>INDEX('Fuel Model - Calculation'!$E$2:$M$3771,(MATCH(("WTT Emission - "&amp;$F185),'Fuel Model - Calculation'!$E$2:$E$3771,0)),MATCH(X$141,'Fuel Model - Calculation'!$E$2:$M$2,0))</f>
        <v>-2.5989549801948608</v>
      </c>
      <c r="Y185" s="2">
        <f>INDEX('Fuel Model - Calculation'!$E$2:$M$3771,(MATCH(("WTT Emission - "&amp;$F185),'Fuel Model - Calculation'!$E$2:$E$3771,0)),MATCH(Y$141,'Fuel Model - Calculation'!$E$2:$M$2,0))</f>
        <v>-2.59964</v>
      </c>
      <c r="Z185" s="2">
        <f>INDEX('Fuel Model - Calculation'!$E$2:$M$3771,(MATCH(("WTT Emission - "&amp;$F185),'Fuel Model - Calculation'!$E$2:$E$3771,0)),MATCH(Z$141,'Fuel Model - Calculation'!$E$2:$M$2,0))</f>
        <v>-2.6015648623515806</v>
      </c>
      <c r="AA185" s="2">
        <f>INDEX('Fuel Model - Calculation'!$E$2:$M$3771,(MATCH(("WTT Emission - "&amp;$F185),'Fuel Model - Calculation'!$E$2:$E$3771,0)),MATCH(AA$141,'Fuel Model - Calculation'!$E$2:$M$2,0))</f>
        <v>-2.6066773695723575</v>
      </c>
      <c r="AB185" s="2">
        <f>INDEX('Fuel Model - Calculation'!$E$2:$M$3771,(MATCH(("WTT Emission - "&amp;$F185),'Fuel Model - Calculation'!$E$2:$E$3771,0)),MATCH(AB$141,'Fuel Model - Calculation'!$E$2:$M$2,0))</f>
        <v>-2.6128170025601505</v>
      </c>
      <c r="AC185" s="2">
        <f>INDEX('Fuel Model - Calculation'!$E$2:$M$3771,(MATCH(("WTT Emission - "&amp;$F185),'Fuel Model - Calculation'!$E$2:$E$3771,0)),MATCH(AC$141,'Fuel Model - Calculation'!$E$2:$M$2,0))</f>
        <v>-2.6209908320532183</v>
      </c>
      <c r="AD185" s="2">
        <f>INDEX('Fuel Model - Calculation'!$E$2:$M$3771,(MATCH(("WTT Emission - "&amp;$F185),'Fuel Model - Calculation'!$E$2:$E$3771,0)),MATCH(AD$141,'Fuel Model - Calculation'!$E$2:$M$2,0))</f>
        <v>-2.6274297500000001</v>
      </c>
      <c r="AE185" s="2"/>
      <c r="AF185" s="76">
        <f>'Fuel Model -  Input'!H$269</f>
        <v>3.6492599999999999</v>
      </c>
      <c r="AG185" s="76">
        <f>'Fuel Model -  Input'!I$269</f>
        <v>3.6492599999999999</v>
      </c>
      <c r="AH185" s="76">
        <f>'Fuel Model -  Input'!J$269</f>
        <v>3.6492599999999999</v>
      </c>
      <c r="AI185" s="76">
        <f>'Fuel Model -  Input'!K$269</f>
        <v>3.6492599999999999</v>
      </c>
      <c r="AJ185" s="76">
        <f>'Fuel Model -  Input'!L$269</f>
        <v>3.6492599999999999</v>
      </c>
      <c r="AK185" s="76">
        <f>'Fuel Model -  Input'!M$269</f>
        <v>3.6492599999999999</v>
      </c>
      <c r="AL185" s="76">
        <f>'Fuel Model -  Input'!N$269</f>
        <v>3.6492599999999999</v>
      </c>
      <c r="AM185"/>
      <c r="AN185" s="24">
        <f t="shared" si="179"/>
        <v>1.0503050198051391</v>
      </c>
      <c r="AO185" s="24">
        <f t="shared" si="179"/>
        <v>1.04962</v>
      </c>
      <c r="AP185" s="24">
        <f t="shared" si="179"/>
        <v>1.0476951376484194</v>
      </c>
      <c r="AQ185" s="24">
        <f t="shared" si="179"/>
        <v>1.0425826304276424</v>
      </c>
      <c r="AR185" s="24">
        <f t="shared" si="179"/>
        <v>1.0364429974398495</v>
      </c>
      <c r="AS185" s="24">
        <f t="shared" si="179"/>
        <v>1.0282691679467817</v>
      </c>
      <c r="AT185" s="24">
        <f t="shared" si="179"/>
        <v>1.0218302499999998</v>
      </c>
      <c r="AU185"/>
      <c r="AV185" s="118">
        <f>IFERROR(INDEX('Fuel Model - Calculation'!$B$2:$M$3771,(MATCH(($E185&amp;"Results"&amp;$AV$140&amp;$F185&amp;"USD/ton"),'Fuel Model - Calculation'!$B$2:$B$3771,0)),MATCH(H$141,'Fuel Model - Calculation'!$B$2:$M$2,0)),0)</f>
        <v>779.76934830215805</v>
      </c>
      <c r="AW185" s="118">
        <f>IFERROR(INDEX('Fuel Model - Calculation'!$B$2:$M$3771,(MATCH(($E185&amp;"Results"&amp;$AV$140&amp;$F185&amp;"USD/ton"),'Fuel Model - Calculation'!$B$2:$B$3771,0)),MATCH(I$141,'Fuel Model - Calculation'!$B$2:$M$2,0)),0)</f>
        <v>669.47546507694926</v>
      </c>
      <c r="AX185" s="118">
        <f>IFERROR(INDEX('Fuel Model - Calculation'!$B$2:$M$3771,(MATCH(($E185&amp;"Results"&amp;$AV$140&amp;$F185&amp;"USD/ton"),'Fuel Model - Calculation'!$B$2:$B$3771,0)),MATCH(J$141,'Fuel Model - Calculation'!$B$2:$M$2,0)),0)</f>
        <v>597.32644088272252</v>
      </c>
      <c r="AY185" s="118">
        <f>IFERROR(INDEX('Fuel Model - Calculation'!$B$2:$M$3771,(MATCH(($E185&amp;"Results"&amp;$AV$140&amp;$F185&amp;"USD/ton"),'Fuel Model - Calculation'!$B$2:$B$3771,0)),MATCH(K$141,'Fuel Model - Calculation'!$B$2:$M$2,0)),0)</f>
        <v>600.24152790094467</v>
      </c>
      <c r="AZ185" s="118">
        <f>IFERROR(INDEX('Fuel Model - Calculation'!$B$2:$M$3771,(MATCH(($E185&amp;"Results"&amp;$AV$140&amp;$F185&amp;"USD/ton"),'Fuel Model - Calculation'!$B$2:$B$3771,0)),MATCH(L$141,'Fuel Model - Calculation'!$B$2:$M$2,0)),0)</f>
        <v>561.26080769795669</v>
      </c>
      <c r="BA185" s="118">
        <f>IFERROR(INDEX('Fuel Model - Calculation'!$B$2:$M$3771,(MATCH(($E185&amp;"Results"&amp;$AV$140&amp;$F185&amp;"USD/ton"),'Fuel Model - Calculation'!$B$2:$B$3771,0)),MATCH(M$141,'Fuel Model - Calculation'!$B$2:$M$2,0)),0)</f>
        <v>482.23733717358937</v>
      </c>
      <c r="BB185" s="118">
        <f>IFERROR(INDEX('Fuel Model - Calculation'!$B$2:$M$3771,(MATCH(($E185&amp;"Results"&amp;$AV$140&amp;$F185&amp;"USD/ton"),'Fuel Model - Calculation'!$B$2:$B$3771,0)),MATCH(N$141,'Fuel Model - Calculation'!$B$2:$M$2,0)),0)</f>
        <v>381.31048537121603</v>
      </c>
      <c r="BC185"/>
      <c r="BD185" s="118">
        <f>IFERROR(INDEX('Fuel Model - Calculation'!$B$2:$M$3771,(MATCH(($E185&amp;"Results"&amp;$BD$140&amp;$F185&amp;"USD/ton"),'Fuel Model - Calculation'!$B$2:$B$3771,0)),MATCH(P$141,'Fuel Model - Calculation'!$B$2:$M$2,0)),0)</f>
        <v>653.58267090675008</v>
      </c>
      <c r="BE185" s="118">
        <f>IFERROR(INDEX('Fuel Model - Calculation'!$B$2:$M$3771,(MATCH(($E185&amp;"Results"&amp;$BD$140&amp;$F185&amp;"USD/ton"),'Fuel Model - Calculation'!$B$2:$B$3771,0)),MATCH(Q$141,'Fuel Model - Calculation'!$B$2:$M$2,0)),0)</f>
        <v>532.49860639392341</v>
      </c>
      <c r="BF185" s="118">
        <f>IFERROR(INDEX('Fuel Model - Calculation'!$B$2:$M$3771,(MATCH(($E185&amp;"Results"&amp;$BD$140&amp;$F185&amp;"USD/ton"),'Fuel Model - Calculation'!$B$2:$B$3771,0)),MATCH(R$141,'Fuel Model - Calculation'!$B$2:$M$2,0)),0)</f>
        <v>433.77748498821416</v>
      </c>
      <c r="BG185" s="118">
        <f>IFERROR(INDEX('Fuel Model - Calculation'!$B$2:$M$3771,(MATCH(($E185&amp;"Results"&amp;$BD$140&amp;$F185&amp;"USD/ton"),'Fuel Model - Calculation'!$B$2:$B$3771,0)),MATCH(S$141,'Fuel Model - Calculation'!$B$2:$M$2,0)),0)</f>
        <v>394.3232374069035</v>
      </c>
      <c r="BH185" s="118">
        <f>IFERROR(INDEX('Fuel Model - Calculation'!$B$2:$M$3771,(MATCH(($E185&amp;"Results"&amp;$BD$140&amp;$F185&amp;"USD/ton"),'Fuel Model - Calculation'!$B$2:$B$3771,0)),MATCH(T$141,'Fuel Model - Calculation'!$B$2:$M$2,0)),0)</f>
        <v>318.24811080418033</v>
      </c>
      <c r="BI185" s="118">
        <f>IFERROR(INDEX('Fuel Model - Calculation'!$B$2:$M$3771,(MATCH(($E185&amp;"Results"&amp;$BD$140&amp;$F185&amp;"USD/ton"),'Fuel Model - Calculation'!$B$2:$B$3771,0)),MATCH(U$141,'Fuel Model - Calculation'!$B$2:$M$2,0)),0)</f>
        <v>227.42691895188085</v>
      </c>
      <c r="BJ185" s="118">
        <f>IFERROR(INDEX('Fuel Model - Calculation'!$B$2:$M$3771,(MATCH(($E185&amp;"Results"&amp;$BD$140&amp;$F185&amp;"USD/ton"),'Fuel Model - Calculation'!$B$2:$B$3771,0)),MATCH(V$141,'Fuel Model - Calculation'!$B$2:$M$2,0)),0)</f>
        <v>146.62729703515498</v>
      </c>
      <c r="BL185" s="118">
        <f>IFERROR(IFERROR(INDEX('Fuel Model - Calculation'!$B$2:$M$3771,(MATCH(($E185&amp;"Results"&amp;$BL$140&amp;$F185&amp;"USD/ton"),'Fuel Model - Calculation'!$B$2:$B$3771,0)),MATCH(H$141,'Fuel Model - Calculation'!$B$2:$M$2,0)),0),0)</f>
        <v>738.69889556343571</v>
      </c>
      <c r="BM185" s="118">
        <f>IFERROR(IFERROR(INDEX('Fuel Model - Calculation'!$B$2:$M$3771,(MATCH(($E185&amp;"Results"&amp;$BL$140&amp;$F185&amp;"USD/ton"),'Fuel Model - Calculation'!$B$2:$B$3771,0)),MATCH(I$141,'Fuel Model - Calculation'!$B$2:$M$2,0)),0),0)</f>
        <v>585.17275602740324</v>
      </c>
      <c r="BN185" s="118">
        <f>IFERROR(IFERROR(INDEX('Fuel Model - Calculation'!$B$2:$M$3771,(MATCH(($E185&amp;"Results"&amp;$BL$140&amp;$F185&amp;"USD/ton"),'Fuel Model - Calculation'!$B$2:$B$3771,0)),MATCH(J$141,'Fuel Model - Calculation'!$B$2:$M$2,0)),0),0)</f>
        <v>473.59851975442888</v>
      </c>
      <c r="BO185" s="118">
        <f>IFERROR(IFERROR(INDEX('Fuel Model - Calculation'!$B$2:$M$3771,(MATCH(($E185&amp;"Results"&amp;$BL$140&amp;$F185&amp;"USD/ton"),'Fuel Model - Calculation'!$B$2:$B$3771,0)),MATCH(K$141,'Fuel Model - Calculation'!$B$2:$M$2,0)),0),0)</f>
        <v>388.98369648131279</v>
      </c>
      <c r="BP185" s="118">
        <f>IFERROR(IFERROR(INDEX('Fuel Model - Calculation'!$B$2:$M$3771,(MATCH(($E185&amp;"Results"&amp;$BL$140&amp;$F185&amp;"USD/ton"),'Fuel Model - Calculation'!$B$2:$B$3771,0)),MATCH(L$141,'Fuel Model - Calculation'!$B$2:$M$2,0)),0),0)</f>
        <v>328.67495250334798</v>
      </c>
      <c r="BQ185" s="118">
        <f>IFERROR(IFERROR(INDEX('Fuel Model - Calculation'!$B$2:$M$3771,(MATCH(($E185&amp;"Results"&amp;$BL$140&amp;$F185&amp;"USD/ton"),'Fuel Model - Calculation'!$B$2:$B$3771,0)),MATCH(M$141,'Fuel Model - Calculation'!$B$2:$M$2,0)),0),0)</f>
        <v>273.76850940550429</v>
      </c>
      <c r="BR185" s="118">
        <f>IFERROR(IFERROR(INDEX('Fuel Model - Calculation'!$B$2:$M$3771,(MATCH(($E185&amp;"Results"&amp;$BL$140&amp;$F185&amp;"USD/ton"),'Fuel Model - Calculation'!$B$2:$B$3771,0)),MATCH(N$141,'Fuel Model - Calculation'!$B$2:$M$2,0)),0),0)</f>
        <v>233.771197933487</v>
      </c>
      <c r="BT185" s="118">
        <f>IFERROR(INDEX('Fuel Model - Calculation'!$B$2:$M$3771,(MATCH(($E185&amp;"Results"&amp;$BT$140&amp;$F185&amp;"USD/ton"),'Fuel Model - Calculation'!$B$2:$B$3771,0)),MATCH(H$141,'Fuel Model - Calculation'!$B$2:$M$2,0)),0)</f>
        <v>0</v>
      </c>
      <c r="BU185" s="118">
        <f>IFERROR(INDEX('Fuel Model - Calculation'!$B$2:$M$3771,(MATCH(($E185&amp;"Results"&amp;$BT$140&amp;$F185&amp;"USD/ton"),'Fuel Model - Calculation'!$B$2:$B$3771,0)),MATCH(I$141,'Fuel Model - Calculation'!$B$2:$M$2,0)),0)</f>
        <v>0</v>
      </c>
      <c r="BV185" s="118">
        <f>IFERROR(INDEX('Fuel Model - Calculation'!$B$2:$M$3771,(MATCH(($E185&amp;"Results"&amp;$BT$140&amp;$F185&amp;"USD/ton"),'Fuel Model - Calculation'!$B$2:$B$3771,0)),MATCH(J$141,'Fuel Model - Calculation'!$B$2:$M$2,0)),0)</f>
        <v>0</v>
      </c>
      <c r="BW185" s="118">
        <f>IFERROR(INDEX('Fuel Model - Calculation'!$B$2:$M$3771,(MATCH(($E185&amp;"Results"&amp;$BT$140&amp;$F185&amp;"USD/ton"),'Fuel Model - Calculation'!$B$2:$B$3771,0)),MATCH(K$141,'Fuel Model - Calculation'!$B$2:$M$2,0)),0)</f>
        <v>0</v>
      </c>
      <c r="BX185" s="118">
        <f>IFERROR(INDEX('Fuel Model - Calculation'!$B$2:$M$3771,(MATCH(($E185&amp;"Results"&amp;$BT$140&amp;$F185&amp;"USD/ton"),'Fuel Model - Calculation'!$B$2:$B$3771,0)),MATCH(L$141,'Fuel Model - Calculation'!$B$2:$M$2,0)),0)</f>
        <v>0</v>
      </c>
      <c r="BY185" s="118">
        <f>IFERROR(INDEX('Fuel Model - Calculation'!$B$2:$M$3771,(MATCH(($E185&amp;"Results"&amp;$BT$140&amp;$F185&amp;"USD/ton"),'Fuel Model - Calculation'!$B$2:$B$3771,0)),MATCH(M$141,'Fuel Model - Calculation'!$B$2:$M$2,0)),0)</f>
        <v>0</v>
      </c>
      <c r="BZ185" s="118">
        <f>IFERROR(INDEX('Fuel Model - Calculation'!$B$2:$M$3771,(MATCH(($E185&amp;"Results"&amp;$BT$140&amp;$F185&amp;"USD/ton"),'Fuel Model - Calculation'!$B$2:$B$3771,0)),MATCH(N$141,'Fuel Model - Calculation'!$B$2:$M$2,0)),0)</f>
        <v>0</v>
      </c>
    </row>
    <row r="186" spans="1:78" x14ac:dyDescent="0.2">
      <c r="A186" s="452"/>
      <c r="B186" s="453" t="str">
        <f>_xlfn.TEXTJOIN(keydelim,TRUE,F186,IF(E186="Africa","Africa&amp;other",E186),"Fuel cost",SUBSTITUTE($G186," ",""))</f>
        <v>e-Methane (DAC) - Asia - Fuel cost - USD/ton</v>
      </c>
      <c r="D186" s="459" t="str">
        <f t="shared" si="180"/>
        <v>Asiae-Methane (DAC)</v>
      </c>
      <c r="E186" t="s">
        <v>198</v>
      </c>
      <c r="F186" s="460" t="str">
        <f t="shared" ref="F186:F188" si="181">F185</f>
        <v>e-Methane (DAC)</v>
      </c>
      <c r="G186" t="s">
        <v>835</v>
      </c>
      <c r="H186" s="118">
        <f>INDEX('Fuel Model - Calculation'!$B$2:$M$3771,(MATCH(($E186&amp;"ResultsCost of "&amp;$F186&amp;"USD/ton"),'Fuel Model - Calculation'!$B$2:$B$3771,0)),MATCH(H$141,'Fuel Model - Calculation'!$B$2:$M$2,0))</f>
        <v>4784.900344855635</v>
      </c>
      <c r="I186" s="118">
        <f>INDEX('Fuel Model - Calculation'!$B$2:$M$3771,(MATCH(($E186&amp;"ResultsCost of "&amp;$F186&amp;"USD/ton"),'Fuel Model - Calculation'!$B$2:$B$3771,0)),MATCH(I$141,'Fuel Model - Calculation'!$B$2:$M$2,0))</f>
        <v>3417.5892631844163</v>
      </c>
      <c r="J186" s="118">
        <f>INDEX('Fuel Model - Calculation'!$B$2:$M$3771,(MATCH(($E186&amp;"ResultsCost of "&amp;$F186&amp;"USD/ton"),'Fuel Model - Calculation'!$B$2:$B$3771,0)),MATCH(J$141,'Fuel Model - Calculation'!$B$2:$M$2,0))</f>
        <v>2791.7493205919791</v>
      </c>
      <c r="K186" s="118">
        <f>INDEX('Fuel Model - Calculation'!$B$2:$M$3771,(MATCH(($E186&amp;"ResultsCost of "&amp;$F186&amp;"USD/ton"),'Fuel Model - Calculation'!$B$2:$B$3771,0)),MATCH(K$141,'Fuel Model - Calculation'!$B$2:$M$2,0))</f>
        <v>2417.9114397377293</v>
      </c>
      <c r="L186" s="118">
        <f>INDEX('Fuel Model - Calculation'!$B$2:$M$3771,(MATCH(($E186&amp;"ResultsCost of "&amp;$F186&amp;"USD/ton"),'Fuel Model - Calculation'!$B$2:$B$3771,0)),MATCH(L$141,'Fuel Model - Calculation'!$B$2:$M$2,0))</f>
        <v>2096.4385215704742</v>
      </c>
      <c r="M186" s="118">
        <f>INDEX('Fuel Model - Calculation'!$B$2:$M$3771,(MATCH(($E186&amp;"ResultsCost of "&amp;$F186&amp;"USD/ton"),'Fuel Model - Calculation'!$B$2:$B$3771,0)),MATCH(M$141,'Fuel Model - Calculation'!$B$2:$M$2,0))</f>
        <v>1723.1556108126597</v>
      </c>
      <c r="N186" s="118">
        <f>INDEX('Fuel Model - Calculation'!$B$2:$M$3771,(MATCH(($E186&amp;"ResultsCost of "&amp;$F186&amp;"USD/ton"),'Fuel Model - Calculation'!$B$2:$B$3771,0)),MATCH(N$141,'Fuel Model - Calculation'!$B$2:$M$2,0))</f>
        <v>1422.1866949143189</v>
      </c>
      <c r="O186"/>
      <c r="P186" s="118">
        <f>IFERROR(INDEX('Fuel Model - Calculation'!G$2:G$3771,(MATCH(($E186&amp;"ResultsTotal RNE "&amp;$F186&amp;"USD/ton"),'Fuel Model - Calculation'!$B$2:$B$3771,0))),0)</f>
        <v>2258.9583346007948</v>
      </c>
      <c r="Q186" s="118">
        <f>IFERROR(INDEX('Fuel Model - Calculation'!H$2:H$3771,(MATCH(($E186&amp;"ResultsTotal RNE "&amp;$F186&amp;"USD/ton"),'Fuel Model - Calculation'!$B$2:$B$3771,0))),0)</f>
        <v>1466.6730467178963</v>
      </c>
      <c r="R186" s="118">
        <f>IFERROR(INDEX('Fuel Model - Calculation'!I$2:I$3771,(MATCH(($E186&amp;"ResultsTotal RNE "&amp;$F186&amp;"USD/ton"),'Fuel Model - Calculation'!$B$2:$B$3771,0))),0)</f>
        <v>1170.7232868893163</v>
      </c>
      <c r="S186" s="118">
        <f>IFERROR(INDEX('Fuel Model - Calculation'!J$2:J$3771,(MATCH(($E186&amp;"ResultsTotal RNE "&amp;$F186&amp;"USD/ton"),'Fuel Model - Calculation'!$B$2:$B$3771,0))),0)</f>
        <v>948.01598229418323</v>
      </c>
      <c r="T186" s="118">
        <f>IFERROR(INDEX('Fuel Model - Calculation'!K$2:K$3771,(MATCH(($E186&amp;"ResultsTotal RNE "&amp;$F186&amp;"USD/ton"),'Fuel Model - Calculation'!$B$2:$B$3771,0))),0)</f>
        <v>818.24099011406406</v>
      </c>
      <c r="U186" s="118">
        <f>IFERROR(INDEX('Fuel Model - Calculation'!L$2:L$3771,(MATCH(($E186&amp;"ResultsTotal RNE "&amp;$F186&amp;"USD/ton"),'Fuel Model - Calculation'!$B$2:$B$3771,0))),0)</f>
        <v>681.59695707183619</v>
      </c>
      <c r="V186" s="118">
        <f>IFERROR(INDEX('Fuel Model - Calculation'!M$2:M$3771,(MATCH(($E186&amp;"ResultsTotal RNE "&amp;$F186&amp;"USD/ton"),'Fuel Model - Calculation'!$B$2:$B$3771,0))),0)</f>
        <v>608.97471096907555</v>
      </c>
      <c r="W186"/>
      <c r="X186" s="2">
        <f>INDEX('Fuel Model - Calculation'!$E$2:$M$3771,(MATCH(("WTT Emission - "&amp;$F186),'Fuel Model - Calculation'!$E$2:$E$3771,0)),MATCH(X$141,'Fuel Model - Calculation'!$E$2:$M$2,0))</f>
        <v>-2.5989549801948608</v>
      </c>
      <c r="Y186" s="2">
        <f>INDEX('Fuel Model - Calculation'!$E$2:$M$3771,(MATCH(("WTT Emission - "&amp;$F186),'Fuel Model - Calculation'!$E$2:$E$3771,0)),MATCH(Y$141,'Fuel Model - Calculation'!$E$2:$M$2,0))</f>
        <v>-2.59964</v>
      </c>
      <c r="Z186" s="2">
        <f>INDEX('Fuel Model - Calculation'!$E$2:$M$3771,(MATCH(("WTT Emission - "&amp;$F186),'Fuel Model - Calculation'!$E$2:$E$3771,0)),MATCH(Z$141,'Fuel Model - Calculation'!$E$2:$M$2,0))</f>
        <v>-2.6015648623515806</v>
      </c>
      <c r="AA186" s="2">
        <f>INDEX('Fuel Model - Calculation'!$E$2:$M$3771,(MATCH(("WTT Emission - "&amp;$F186),'Fuel Model - Calculation'!$E$2:$E$3771,0)),MATCH(AA$141,'Fuel Model - Calculation'!$E$2:$M$2,0))</f>
        <v>-2.6066773695723575</v>
      </c>
      <c r="AB186" s="2">
        <f>INDEX('Fuel Model - Calculation'!$E$2:$M$3771,(MATCH(("WTT Emission - "&amp;$F186),'Fuel Model - Calculation'!$E$2:$E$3771,0)),MATCH(AB$141,'Fuel Model - Calculation'!$E$2:$M$2,0))</f>
        <v>-2.6128170025601505</v>
      </c>
      <c r="AC186" s="2">
        <f>INDEX('Fuel Model - Calculation'!$E$2:$M$3771,(MATCH(("WTT Emission - "&amp;$F186),'Fuel Model - Calculation'!$E$2:$E$3771,0)),MATCH(AC$141,'Fuel Model - Calculation'!$E$2:$M$2,0))</f>
        <v>-2.6209908320532183</v>
      </c>
      <c r="AD186" s="2">
        <f>INDEX('Fuel Model - Calculation'!$E$2:$M$3771,(MATCH(("WTT Emission - "&amp;$F186),'Fuel Model - Calculation'!$E$2:$E$3771,0)),MATCH(AD$141,'Fuel Model - Calculation'!$E$2:$M$2,0))</f>
        <v>-2.6274297500000001</v>
      </c>
      <c r="AE186" s="2"/>
      <c r="AF186" s="76">
        <f>'Fuel Model -  Input'!H$269</f>
        <v>3.6492599999999999</v>
      </c>
      <c r="AG186" s="76">
        <f>'Fuel Model -  Input'!I$269</f>
        <v>3.6492599999999999</v>
      </c>
      <c r="AH186" s="76">
        <f>'Fuel Model -  Input'!J$269</f>
        <v>3.6492599999999999</v>
      </c>
      <c r="AI186" s="76">
        <f>'Fuel Model -  Input'!K$269</f>
        <v>3.6492599999999999</v>
      </c>
      <c r="AJ186" s="76">
        <f>'Fuel Model -  Input'!L$269</f>
        <v>3.6492599999999999</v>
      </c>
      <c r="AK186" s="76">
        <f>'Fuel Model -  Input'!M$269</f>
        <v>3.6492599999999999</v>
      </c>
      <c r="AL186" s="76">
        <f>'Fuel Model -  Input'!N$269</f>
        <v>3.6492599999999999</v>
      </c>
      <c r="AM186"/>
      <c r="AN186" s="24">
        <f t="shared" si="179"/>
        <v>1.0503050198051391</v>
      </c>
      <c r="AO186" s="24">
        <f t="shared" si="179"/>
        <v>1.04962</v>
      </c>
      <c r="AP186" s="24">
        <f t="shared" si="179"/>
        <v>1.0476951376484194</v>
      </c>
      <c r="AQ186" s="24">
        <f t="shared" si="179"/>
        <v>1.0425826304276424</v>
      </c>
      <c r="AR186" s="24">
        <f t="shared" si="179"/>
        <v>1.0364429974398495</v>
      </c>
      <c r="AS186" s="24">
        <f t="shared" si="179"/>
        <v>1.0282691679467817</v>
      </c>
      <c r="AT186" s="24">
        <f t="shared" si="179"/>
        <v>1.0218302499999998</v>
      </c>
      <c r="AU186"/>
      <c r="AV186" s="118">
        <f>IFERROR(INDEX('Fuel Model - Calculation'!$B$2:$M$3771,(MATCH(($E186&amp;"Results"&amp;$AV$140&amp;$F186&amp;"USD/ton"),'Fuel Model - Calculation'!$B$2:$B$3771,0)),MATCH(H$141,'Fuel Model - Calculation'!$B$2:$M$2,0)),0)</f>
        <v>779.76934830215805</v>
      </c>
      <c r="AW186" s="118">
        <f>IFERROR(INDEX('Fuel Model - Calculation'!$B$2:$M$3771,(MATCH(($E186&amp;"Results"&amp;$AV$140&amp;$F186&amp;"USD/ton"),'Fuel Model - Calculation'!$B$2:$B$3771,0)),MATCH(I$141,'Fuel Model - Calculation'!$B$2:$M$2,0)),0)</f>
        <v>669.47546507694926</v>
      </c>
      <c r="AX186" s="118">
        <f>IFERROR(INDEX('Fuel Model - Calculation'!$B$2:$M$3771,(MATCH(($E186&amp;"Results"&amp;$AV$140&amp;$F186&amp;"USD/ton"),'Fuel Model - Calculation'!$B$2:$B$3771,0)),MATCH(J$141,'Fuel Model - Calculation'!$B$2:$M$2,0)),0)</f>
        <v>597.32644088272252</v>
      </c>
      <c r="AY186" s="118">
        <f>IFERROR(INDEX('Fuel Model - Calculation'!$B$2:$M$3771,(MATCH(($E186&amp;"Results"&amp;$AV$140&amp;$F186&amp;"USD/ton"),'Fuel Model - Calculation'!$B$2:$B$3771,0)),MATCH(K$141,'Fuel Model - Calculation'!$B$2:$M$2,0)),0)</f>
        <v>600.24152790094467</v>
      </c>
      <c r="AZ186" s="118">
        <f>IFERROR(INDEX('Fuel Model - Calculation'!$B$2:$M$3771,(MATCH(($E186&amp;"Results"&amp;$AV$140&amp;$F186&amp;"USD/ton"),'Fuel Model - Calculation'!$B$2:$B$3771,0)),MATCH(L$141,'Fuel Model - Calculation'!$B$2:$M$2,0)),0)</f>
        <v>561.26080769795669</v>
      </c>
      <c r="BA186" s="118">
        <f>IFERROR(INDEX('Fuel Model - Calculation'!$B$2:$M$3771,(MATCH(($E186&amp;"Results"&amp;$AV$140&amp;$F186&amp;"USD/ton"),'Fuel Model - Calculation'!$B$2:$B$3771,0)),MATCH(M$141,'Fuel Model - Calculation'!$B$2:$M$2,0)),0)</f>
        <v>482.23733717358937</v>
      </c>
      <c r="BB186" s="118">
        <f>IFERROR(INDEX('Fuel Model - Calculation'!$B$2:$M$3771,(MATCH(($E186&amp;"Results"&amp;$AV$140&amp;$F186&amp;"USD/ton"),'Fuel Model - Calculation'!$B$2:$B$3771,0)),MATCH(N$141,'Fuel Model - Calculation'!$B$2:$M$2,0)),0)</f>
        <v>381.31048537121603</v>
      </c>
      <c r="BC186"/>
      <c r="BD186" s="118">
        <f>IFERROR(INDEX('Fuel Model - Calculation'!$B$2:$M$3771,(MATCH(($E186&amp;"Results"&amp;$BD$140&amp;$F186&amp;"USD/ton"),'Fuel Model - Calculation'!$B$2:$B$3771,0)),MATCH(P$141,'Fuel Model - Calculation'!$B$2:$M$2,0)),0)</f>
        <v>677.66698780117315</v>
      </c>
      <c r="BE186" s="118">
        <f>IFERROR(INDEX('Fuel Model - Calculation'!$B$2:$M$3771,(MATCH(($E186&amp;"Results"&amp;$BD$140&amp;$F186&amp;"USD/ton"),'Fuel Model - Calculation'!$B$2:$B$3771,0)),MATCH(Q$141,'Fuel Model - Calculation'!$B$2:$M$2,0)),0)</f>
        <v>544.36368094761974</v>
      </c>
      <c r="BF186" s="118">
        <f>IFERROR(INDEX('Fuel Model - Calculation'!$B$2:$M$3771,(MATCH(($E186&amp;"Results"&amp;$BD$140&amp;$F186&amp;"USD/ton"),'Fuel Model - Calculation'!$B$2:$B$3771,0)),MATCH(R$141,'Fuel Model - Calculation'!$B$2:$M$2,0)),0)</f>
        <v>442.74653369453517</v>
      </c>
      <c r="BG186" s="118">
        <f>IFERROR(INDEX('Fuel Model - Calculation'!$B$2:$M$3771,(MATCH(($E186&amp;"Results"&amp;$BD$140&amp;$F186&amp;"USD/ton"),'Fuel Model - Calculation'!$B$2:$B$3771,0)),MATCH(S$141,'Fuel Model - Calculation'!$B$2:$M$2,0)),0)</f>
        <v>401.40639155446451</v>
      </c>
      <c r="BH186" s="118">
        <f>IFERROR(INDEX('Fuel Model - Calculation'!$B$2:$M$3771,(MATCH(($E186&amp;"Results"&amp;$BD$140&amp;$F186&amp;"USD/ton"),'Fuel Model - Calculation'!$B$2:$B$3771,0)),MATCH(T$141,'Fuel Model - Calculation'!$B$2:$M$2,0)),0)</f>
        <v>324.35633524179741</v>
      </c>
      <c r="BI186" s="118">
        <f>IFERROR(INDEX('Fuel Model - Calculation'!$B$2:$M$3771,(MATCH(($E186&amp;"Results"&amp;$BD$140&amp;$F186&amp;"USD/ton"),'Fuel Model - Calculation'!$B$2:$B$3771,0)),MATCH(U$141,'Fuel Model - Calculation'!$B$2:$M$2,0)),0)</f>
        <v>232.81827358869509</v>
      </c>
      <c r="BJ186" s="118">
        <f>IFERROR(INDEX('Fuel Model - Calculation'!$B$2:$M$3771,(MATCH(($E186&amp;"Results"&amp;$BD$140&amp;$F186&amp;"USD/ton"),'Fuel Model - Calculation'!$B$2:$B$3771,0)),MATCH(V$141,'Fuel Model - Calculation'!$B$2:$M$2,0)),0)</f>
        <v>151.70411300053325</v>
      </c>
      <c r="BL186" s="118">
        <f>IFERROR(IFERROR(INDEX('Fuel Model - Calculation'!$B$2:$M$3771,(MATCH(($E186&amp;"Results"&amp;$BL$140&amp;$F186&amp;"USD/ton"),'Fuel Model - Calculation'!$B$2:$B$3771,0)),MATCH(H$141,'Fuel Model - Calculation'!$B$2:$M$2,0)),0),0)</f>
        <v>1068.5056741515093</v>
      </c>
      <c r="BM186" s="118">
        <f>IFERROR(IFERROR(INDEX('Fuel Model - Calculation'!$B$2:$M$3771,(MATCH(($E186&amp;"Results"&amp;$BL$140&amp;$F186&amp;"USD/ton"),'Fuel Model - Calculation'!$B$2:$B$3771,0)),MATCH(I$141,'Fuel Model - Calculation'!$B$2:$M$2,0)),0),0)</f>
        <v>737.07707044195092</v>
      </c>
      <c r="BN186" s="118">
        <f>IFERROR(IFERROR(INDEX('Fuel Model - Calculation'!$B$2:$M$3771,(MATCH(($E186&amp;"Results"&amp;$BL$140&amp;$F186&amp;"USD/ton"),'Fuel Model - Calculation'!$B$2:$B$3771,0)),MATCH(J$141,'Fuel Model - Calculation'!$B$2:$M$2,0)),0),0)</f>
        <v>580.95305912540493</v>
      </c>
      <c r="BO186" s="118">
        <f>IFERROR(IFERROR(INDEX('Fuel Model - Calculation'!$B$2:$M$3771,(MATCH(($E186&amp;"Results"&amp;$BL$140&amp;$F186&amp;"USD/ton"),'Fuel Model - Calculation'!$B$2:$B$3771,0)),MATCH(K$141,'Fuel Model - Calculation'!$B$2:$M$2,0)),0),0)</f>
        <v>468.2475379881368</v>
      </c>
      <c r="BP186" s="118">
        <f>IFERROR(IFERROR(INDEX('Fuel Model - Calculation'!$B$2:$M$3771,(MATCH(($E186&amp;"Results"&amp;$BL$140&amp;$F186&amp;"USD/ton"),'Fuel Model - Calculation'!$B$2:$B$3771,0)),MATCH(L$141,'Fuel Model - Calculation'!$B$2:$M$2,0)),0),0)</f>
        <v>392.58038851665583</v>
      </c>
      <c r="BQ186" s="118">
        <f>IFERROR(IFERROR(INDEX('Fuel Model - Calculation'!$B$2:$M$3771,(MATCH(($E186&amp;"Results"&amp;$BL$140&amp;$F186&amp;"USD/ton"),'Fuel Model - Calculation'!$B$2:$B$3771,0)),MATCH(M$141,'Fuel Model - Calculation'!$B$2:$M$2,0)),0),0)</f>
        <v>326.50304297853904</v>
      </c>
      <c r="BR186" s="118">
        <f>IFERROR(IFERROR(INDEX('Fuel Model - Calculation'!$B$2:$M$3771,(MATCH(($E186&amp;"Results"&amp;$BL$140&amp;$F186&amp;"USD/ton"),'Fuel Model - Calculation'!$B$2:$B$3771,0)),MATCH(N$141,'Fuel Model - Calculation'!$B$2:$M$2,0)),0),0)</f>
        <v>280.19738557349393</v>
      </c>
      <c r="BT186" s="118">
        <f>IFERROR(INDEX('Fuel Model - Calculation'!$B$2:$M$3771,(MATCH(($E186&amp;"Results"&amp;$BT$140&amp;$F186&amp;"USD/ton"),'Fuel Model - Calculation'!$B$2:$B$3771,0)),MATCH(H$141,'Fuel Model - Calculation'!$B$2:$M$2,0)),0)</f>
        <v>0</v>
      </c>
      <c r="BU186" s="118">
        <f>IFERROR(INDEX('Fuel Model - Calculation'!$B$2:$M$3771,(MATCH(($E186&amp;"Results"&amp;$BT$140&amp;$F186&amp;"USD/ton"),'Fuel Model - Calculation'!$B$2:$B$3771,0)),MATCH(I$141,'Fuel Model - Calculation'!$B$2:$M$2,0)),0)</f>
        <v>0</v>
      </c>
      <c r="BV186" s="118">
        <f>IFERROR(INDEX('Fuel Model - Calculation'!$B$2:$M$3771,(MATCH(($E186&amp;"Results"&amp;$BT$140&amp;$F186&amp;"USD/ton"),'Fuel Model - Calculation'!$B$2:$B$3771,0)),MATCH(J$141,'Fuel Model - Calculation'!$B$2:$M$2,0)),0)</f>
        <v>0</v>
      </c>
      <c r="BW186" s="118">
        <f>IFERROR(INDEX('Fuel Model - Calculation'!$B$2:$M$3771,(MATCH(($E186&amp;"Results"&amp;$BT$140&amp;$F186&amp;"USD/ton"),'Fuel Model - Calculation'!$B$2:$B$3771,0)),MATCH(K$141,'Fuel Model - Calculation'!$B$2:$M$2,0)),0)</f>
        <v>0</v>
      </c>
      <c r="BX186" s="118">
        <f>IFERROR(INDEX('Fuel Model - Calculation'!$B$2:$M$3771,(MATCH(($E186&amp;"Results"&amp;$BT$140&amp;$F186&amp;"USD/ton"),'Fuel Model - Calculation'!$B$2:$B$3771,0)),MATCH(L$141,'Fuel Model - Calculation'!$B$2:$M$2,0)),0)</f>
        <v>0</v>
      </c>
      <c r="BY186" s="118">
        <f>IFERROR(INDEX('Fuel Model - Calculation'!$B$2:$M$3771,(MATCH(($E186&amp;"Results"&amp;$BT$140&amp;$F186&amp;"USD/ton"),'Fuel Model - Calculation'!$B$2:$B$3771,0)),MATCH(M$141,'Fuel Model - Calculation'!$B$2:$M$2,0)),0)</f>
        <v>0</v>
      </c>
      <c r="BZ186" s="118">
        <f>IFERROR(INDEX('Fuel Model - Calculation'!$B$2:$M$3771,(MATCH(($E186&amp;"Results"&amp;$BT$140&amp;$F186&amp;"USD/ton"),'Fuel Model - Calculation'!$B$2:$B$3771,0)),MATCH(N$141,'Fuel Model - Calculation'!$B$2:$M$2,0)),0)</f>
        <v>0</v>
      </c>
    </row>
    <row r="187" spans="1:78" x14ac:dyDescent="0.2">
      <c r="A187" s="452"/>
      <c r="B187" s="453" t="str">
        <f>_xlfn.TEXTJOIN(keydelim,TRUE,F187,IF(E187="Africa","Africa&amp;other",E187),"Fuel cost",SUBSTITUTE($G187," ",""))</f>
        <v>e-Methane (DAC) - Americas - Fuel cost - USD/ton</v>
      </c>
      <c r="D187" s="459" t="str">
        <f t="shared" si="180"/>
        <v>Americase-Methane (DAC)</v>
      </c>
      <c r="E187" t="s">
        <v>199</v>
      </c>
      <c r="F187" s="460" t="str">
        <f t="shared" si="181"/>
        <v>e-Methane (DAC)</v>
      </c>
      <c r="G187" t="s">
        <v>835</v>
      </c>
      <c r="H187" s="118">
        <f>INDEX('Fuel Model - Calculation'!$B$2:$M$3771,(MATCH(($E187&amp;"ResultsCost of "&amp;$F187&amp;"USD/ton"),'Fuel Model - Calculation'!$B$2:$B$3771,0)),MATCH(H$141,'Fuel Model - Calculation'!$B$2:$M$2,0))</f>
        <v>3218.6511556183464</v>
      </c>
      <c r="I187" s="118">
        <f>INDEX('Fuel Model - Calculation'!$B$2:$M$3771,(MATCH(($E187&amp;"ResultsCost of "&amp;$F187&amp;"USD/ton"),'Fuel Model - Calculation'!$B$2:$B$3771,0)),MATCH(I$141,'Fuel Model - Calculation'!$B$2:$M$2,0))</f>
        <v>2762.4571631752347</v>
      </c>
      <c r="J187" s="118">
        <f>INDEX('Fuel Model - Calculation'!$B$2:$M$3771,(MATCH(($E187&amp;"ResultsCost of "&amp;$F187&amp;"USD/ton"),'Fuel Model - Calculation'!$B$2:$B$3771,0)),MATCH(J$141,'Fuel Model - Calculation'!$B$2:$M$2,0))</f>
        <v>2285.1728826636972</v>
      </c>
      <c r="K187" s="118">
        <f>INDEX('Fuel Model - Calculation'!$B$2:$M$3771,(MATCH(($E187&amp;"ResultsCost of "&amp;$F187&amp;"USD/ton"),'Fuel Model - Calculation'!$B$2:$B$3771,0)),MATCH(K$141,'Fuel Model - Calculation'!$B$2:$M$2,0))</f>
        <v>2061.1341925032748</v>
      </c>
      <c r="L187" s="118">
        <f>INDEX('Fuel Model - Calculation'!$B$2:$M$3771,(MATCH(($E187&amp;"ResultsCost of "&amp;$F187&amp;"USD/ton"),'Fuel Model - Calculation'!$B$2:$B$3771,0)),MATCH(L$141,'Fuel Model - Calculation'!$B$2:$M$2,0))</f>
        <v>1789.3792014172022</v>
      </c>
      <c r="M187" s="118">
        <f>INDEX('Fuel Model - Calculation'!$B$2:$M$3771,(MATCH(($E187&amp;"ResultsCost of "&amp;$F187&amp;"USD/ton"),'Fuel Model - Calculation'!$B$2:$B$3771,0)),MATCH(M$141,'Fuel Model - Calculation'!$B$2:$M$2,0))</f>
        <v>1515.2245453819578</v>
      </c>
      <c r="N187" s="118">
        <f>INDEX('Fuel Model - Calculation'!$B$2:$M$3771,(MATCH(($E187&amp;"ResultsCost of "&amp;$F187&amp;"USD/ton"),'Fuel Model - Calculation'!$B$2:$B$3771,0)),MATCH(N$141,'Fuel Model - Calculation'!$B$2:$M$2,0))</f>
        <v>1251.764057616042</v>
      </c>
      <c r="O187"/>
      <c r="P187" s="118">
        <f>IFERROR(INDEX('Fuel Model - Calculation'!G$2:G$3771,(MATCH(($E187&amp;"ResultsTotal RNE "&amp;$F187&amp;"USD/ton"),'Fuel Model - Calculation'!$B$2:$B$3771,0))),0)</f>
        <v>1072.6502350078174</v>
      </c>
      <c r="Q187" s="118">
        <f>IFERROR(INDEX('Fuel Model - Calculation'!H$2:H$3771,(MATCH(($E187&amp;"ResultsTotal RNE "&amp;$F187&amp;"USD/ton"),'Fuel Model - Calculation'!$B$2:$B$3771,0))),0)</f>
        <v>963.59508313847357</v>
      </c>
      <c r="R187" s="118">
        <f>IFERROR(INDEX('Fuel Model - Calculation'!I$2:I$3771,(MATCH(($E187&amp;"ResultsTotal RNE "&amp;$F187&amp;"USD/ton"),'Fuel Model - Calculation'!$B$2:$B$3771,0))),0)</f>
        <v>777.34744618639354</v>
      </c>
      <c r="S187" s="118">
        <f>IFERROR(INDEX('Fuel Model - Calculation'!J$2:J$3771,(MATCH(($E187&amp;"ResultsTotal RNE "&amp;$F187&amp;"USD/ton"),'Fuel Model - Calculation'!$B$2:$B$3771,0))),0)</f>
        <v>669.36071497219064</v>
      </c>
      <c r="T187" s="118">
        <f>IFERROR(INDEX('Fuel Model - Calculation'!K$2:K$3771,(MATCH(($E187&amp;"ResultsTotal RNE "&amp;$F187&amp;"USD/ton"),'Fuel Model - Calculation'!$B$2:$B$3771,0))),0)</f>
        <v>577.53968738687286</v>
      </c>
      <c r="U187" s="118">
        <f>IFERROR(INDEX('Fuel Model - Calculation'!L$2:L$3771,(MATCH(($E187&amp;"ResultsTotal RNE "&amp;$F187&amp;"USD/ton"),'Fuel Model - Calculation'!$B$2:$B$3771,0))),0)</f>
        <v>518.66201750152857</v>
      </c>
      <c r="V187" s="118">
        <f>IFERROR(INDEX('Fuel Model - Calculation'!M$2:M$3771,(MATCH(($E187&amp;"ResultsTotal RNE "&amp;$F187&amp;"USD/ton"),'Fuel Model - Calculation'!$B$2:$B$3771,0))),0)</f>
        <v>475.19173628707921</v>
      </c>
      <c r="W187"/>
      <c r="X187" s="2">
        <f>INDEX('Fuel Model - Calculation'!$E$2:$M$3771,(MATCH(("WTT Emission - "&amp;$F187),'Fuel Model - Calculation'!$E$2:$E$3771,0)),MATCH(X$141,'Fuel Model - Calculation'!$E$2:$M$2,0))</f>
        <v>-2.5989549801948608</v>
      </c>
      <c r="Y187" s="2">
        <f>INDEX('Fuel Model - Calculation'!$E$2:$M$3771,(MATCH(("WTT Emission - "&amp;$F187),'Fuel Model - Calculation'!$E$2:$E$3771,0)),MATCH(Y$141,'Fuel Model - Calculation'!$E$2:$M$2,0))</f>
        <v>-2.59964</v>
      </c>
      <c r="Z187" s="2">
        <f>INDEX('Fuel Model - Calculation'!$E$2:$M$3771,(MATCH(("WTT Emission - "&amp;$F187),'Fuel Model - Calculation'!$E$2:$E$3771,0)),MATCH(Z$141,'Fuel Model - Calculation'!$E$2:$M$2,0))</f>
        <v>-2.6015648623515806</v>
      </c>
      <c r="AA187" s="2">
        <f>INDEX('Fuel Model - Calculation'!$E$2:$M$3771,(MATCH(("WTT Emission - "&amp;$F187),'Fuel Model - Calculation'!$E$2:$E$3771,0)),MATCH(AA$141,'Fuel Model - Calculation'!$E$2:$M$2,0))</f>
        <v>-2.6066773695723575</v>
      </c>
      <c r="AB187" s="2">
        <f>INDEX('Fuel Model - Calculation'!$E$2:$M$3771,(MATCH(("WTT Emission - "&amp;$F187),'Fuel Model - Calculation'!$E$2:$E$3771,0)),MATCH(AB$141,'Fuel Model - Calculation'!$E$2:$M$2,0))</f>
        <v>-2.6128170025601505</v>
      </c>
      <c r="AC187" s="2">
        <f>INDEX('Fuel Model - Calculation'!$E$2:$M$3771,(MATCH(("WTT Emission - "&amp;$F187),'Fuel Model - Calculation'!$E$2:$E$3771,0)),MATCH(AC$141,'Fuel Model - Calculation'!$E$2:$M$2,0))</f>
        <v>-2.6209908320532183</v>
      </c>
      <c r="AD187" s="2">
        <f>INDEX('Fuel Model - Calculation'!$E$2:$M$3771,(MATCH(("WTT Emission - "&amp;$F187),'Fuel Model - Calculation'!$E$2:$E$3771,0)),MATCH(AD$141,'Fuel Model - Calculation'!$E$2:$M$2,0))</f>
        <v>-2.6274297500000001</v>
      </c>
      <c r="AE187" s="2"/>
      <c r="AF187" s="76">
        <f>'Fuel Model -  Input'!H$269</f>
        <v>3.6492599999999999</v>
      </c>
      <c r="AG187" s="76">
        <f>'Fuel Model -  Input'!I$269</f>
        <v>3.6492599999999999</v>
      </c>
      <c r="AH187" s="76">
        <f>'Fuel Model -  Input'!J$269</f>
        <v>3.6492599999999999</v>
      </c>
      <c r="AI187" s="76">
        <f>'Fuel Model -  Input'!K$269</f>
        <v>3.6492599999999999</v>
      </c>
      <c r="AJ187" s="76">
        <f>'Fuel Model -  Input'!L$269</f>
        <v>3.6492599999999999</v>
      </c>
      <c r="AK187" s="76">
        <f>'Fuel Model -  Input'!M$269</f>
        <v>3.6492599999999999</v>
      </c>
      <c r="AL187" s="76">
        <f>'Fuel Model -  Input'!N$269</f>
        <v>3.6492599999999999</v>
      </c>
      <c r="AM187"/>
      <c r="AN187" s="24">
        <f t="shared" si="179"/>
        <v>1.0503050198051391</v>
      </c>
      <c r="AO187" s="24">
        <f t="shared" si="179"/>
        <v>1.04962</v>
      </c>
      <c r="AP187" s="24">
        <f t="shared" si="179"/>
        <v>1.0476951376484194</v>
      </c>
      <c r="AQ187" s="24">
        <f t="shared" si="179"/>
        <v>1.0425826304276424</v>
      </c>
      <c r="AR187" s="24">
        <f t="shared" si="179"/>
        <v>1.0364429974398495</v>
      </c>
      <c r="AS187" s="24">
        <f t="shared" si="179"/>
        <v>1.0282691679467817</v>
      </c>
      <c r="AT187" s="24">
        <f t="shared" si="179"/>
        <v>1.0218302499999998</v>
      </c>
      <c r="AU187"/>
      <c r="AV187" s="118">
        <f>IFERROR(INDEX('Fuel Model - Calculation'!$B$2:$M$3771,(MATCH(($E187&amp;"Results"&amp;$AV$140&amp;$F187&amp;"USD/ton"),'Fuel Model - Calculation'!$B$2:$B$3771,0)),MATCH(H$141,'Fuel Model - Calculation'!$B$2:$M$2,0)),0)</f>
        <v>779.76934830215805</v>
      </c>
      <c r="AW187" s="118">
        <f>IFERROR(INDEX('Fuel Model - Calculation'!$B$2:$M$3771,(MATCH(($E187&amp;"Results"&amp;$AV$140&amp;$F187&amp;"USD/ton"),'Fuel Model - Calculation'!$B$2:$B$3771,0)),MATCH(I$141,'Fuel Model - Calculation'!$B$2:$M$2,0)),0)</f>
        <v>669.47546507694926</v>
      </c>
      <c r="AX187" s="118">
        <f>IFERROR(INDEX('Fuel Model - Calculation'!$B$2:$M$3771,(MATCH(($E187&amp;"Results"&amp;$AV$140&amp;$F187&amp;"USD/ton"),'Fuel Model - Calculation'!$B$2:$B$3771,0)),MATCH(J$141,'Fuel Model - Calculation'!$B$2:$M$2,0)),0)</f>
        <v>597.32644088272252</v>
      </c>
      <c r="AY187" s="118">
        <f>IFERROR(INDEX('Fuel Model - Calculation'!$B$2:$M$3771,(MATCH(($E187&amp;"Results"&amp;$AV$140&amp;$F187&amp;"USD/ton"),'Fuel Model - Calculation'!$B$2:$B$3771,0)),MATCH(K$141,'Fuel Model - Calculation'!$B$2:$M$2,0)),0)</f>
        <v>600.24152790094456</v>
      </c>
      <c r="AZ187" s="118">
        <f>IFERROR(INDEX('Fuel Model - Calculation'!$B$2:$M$3771,(MATCH(($E187&amp;"Results"&amp;$AV$140&amp;$F187&amp;"USD/ton"),'Fuel Model - Calculation'!$B$2:$B$3771,0)),MATCH(L$141,'Fuel Model - Calculation'!$B$2:$M$2,0)),0)</f>
        <v>561.26080769795669</v>
      </c>
      <c r="BA187" s="118">
        <f>IFERROR(INDEX('Fuel Model - Calculation'!$B$2:$M$3771,(MATCH(($E187&amp;"Results"&amp;$AV$140&amp;$F187&amp;"USD/ton"),'Fuel Model - Calculation'!$B$2:$B$3771,0)),MATCH(M$141,'Fuel Model - Calculation'!$B$2:$M$2,0)),0)</f>
        <v>482.23733717358937</v>
      </c>
      <c r="BB187" s="118">
        <f>IFERROR(INDEX('Fuel Model - Calculation'!$B$2:$M$3771,(MATCH(($E187&amp;"Results"&amp;$AV$140&amp;$F187&amp;"USD/ton"),'Fuel Model - Calculation'!$B$2:$B$3771,0)),MATCH(N$141,'Fuel Model - Calculation'!$B$2:$M$2,0)),0)</f>
        <v>381.31048537121603</v>
      </c>
      <c r="BC187"/>
      <c r="BD187" s="118">
        <f>IFERROR(INDEX('Fuel Model - Calculation'!$B$2:$M$3771,(MATCH(($E187&amp;"Results"&amp;$BD$140&amp;$F187&amp;"USD/ton"),'Fuel Model - Calculation'!$B$2:$B$3771,0)),MATCH(P$141,'Fuel Model - Calculation'!$B$2:$M$2,0)),0)</f>
        <v>651.80981953382809</v>
      </c>
      <c r="BE187" s="118">
        <f>IFERROR(INDEX('Fuel Model - Calculation'!$B$2:$M$3771,(MATCH(($E187&amp;"Results"&amp;$BD$140&amp;$F187&amp;"USD/ton"),'Fuel Model - Calculation'!$B$2:$B$3771,0)),MATCH(Q$141,'Fuel Model - Calculation'!$B$2:$M$2,0)),0)</f>
        <v>533.34737517580777</v>
      </c>
      <c r="BF187" s="118">
        <f>IFERROR(INDEX('Fuel Model - Calculation'!$B$2:$M$3771,(MATCH(($E187&amp;"Results"&amp;$BD$140&amp;$F187&amp;"USD/ton"),'Fuel Model - Calculation'!$B$2:$B$3771,0)),MATCH(R$141,'Fuel Model - Calculation'!$B$2:$M$2,0)),0)</f>
        <v>434.01828100838009</v>
      </c>
      <c r="BG187" s="118">
        <f>IFERROR(INDEX('Fuel Model - Calculation'!$B$2:$M$3771,(MATCH(($E187&amp;"Results"&amp;$BD$140&amp;$F187&amp;"USD/ton"),'Fuel Model - Calculation'!$B$2:$B$3771,0)),MATCH(S$141,'Fuel Model - Calculation'!$B$2:$M$2,0)),0)</f>
        <v>394.99794593526224</v>
      </c>
      <c r="BH187" s="118">
        <f>IFERROR(INDEX('Fuel Model - Calculation'!$B$2:$M$3771,(MATCH(($E187&amp;"Results"&amp;$BD$140&amp;$F187&amp;"USD/ton"),'Fuel Model - Calculation'!$B$2:$B$3771,0)),MATCH(T$141,'Fuel Model - Calculation'!$B$2:$M$2,0)),0)</f>
        <v>318.56704125169222</v>
      </c>
      <c r="BI187" s="118">
        <f>IFERROR(INDEX('Fuel Model - Calculation'!$B$2:$M$3771,(MATCH(($E187&amp;"Results"&amp;$BD$140&amp;$F187&amp;"USD/ton"),'Fuel Model - Calculation'!$B$2:$B$3771,0)),MATCH(U$141,'Fuel Model - Calculation'!$B$2:$M$2,0)),0)</f>
        <v>228.64474473146186</v>
      </c>
      <c r="BJ187" s="118">
        <f>IFERROR(INDEX('Fuel Model - Calculation'!$B$2:$M$3771,(MATCH(($E187&amp;"Results"&amp;$BD$140&amp;$F187&amp;"USD/ton"),'Fuel Model - Calculation'!$B$2:$B$3771,0)),MATCH(V$141,'Fuel Model - Calculation'!$B$2:$M$2,0)),0)</f>
        <v>148.09242414522615</v>
      </c>
      <c r="BL187" s="118">
        <f>IFERROR(IFERROR(INDEX('Fuel Model - Calculation'!$B$2:$M$3771,(MATCH(($E187&amp;"Results"&amp;$BL$140&amp;$F187&amp;"USD/ton"),'Fuel Model - Calculation'!$B$2:$B$3771,0)),MATCH(H$141,'Fuel Model - Calculation'!$B$2:$M$2,0)),0),0)</f>
        <v>714.4217527745426</v>
      </c>
      <c r="BM187" s="118">
        <f>IFERROR(IFERROR(INDEX('Fuel Model - Calculation'!$B$2:$M$3771,(MATCH(($E187&amp;"Results"&amp;$BL$140&amp;$F187&amp;"USD/ton"),'Fuel Model - Calculation'!$B$2:$B$3771,0)),MATCH(I$141,'Fuel Model - Calculation'!$B$2:$M$2,0)),0),0)</f>
        <v>596.03923978400405</v>
      </c>
      <c r="BN187" s="118">
        <f>IFERROR(IFERROR(INDEX('Fuel Model - Calculation'!$B$2:$M$3771,(MATCH(($E187&amp;"Results"&amp;$BL$140&amp;$F187&amp;"USD/ton"),'Fuel Model - Calculation'!$B$2:$B$3771,0)),MATCH(J$141,'Fuel Model - Calculation'!$B$2:$M$2,0)),0),0)</f>
        <v>476.48071458620097</v>
      </c>
      <c r="BO187" s="118">
        <f>IFERROR(IFERROR(INDEX('Fuel Model - Calculation'!$B$2:$M$3771,(MATCH(($E187&amp;"Results"&amp;$BL$140&amp;$F187&amp;"USD/ton"),'Fuel Model - Calculation'!$B$2:$B$3771,0)),MATCH(K$141,'Fuel Model - Calculation'!$B$2:$M$2,0)),0),0)</f>
        <v>396.53400369487724</v>
      </c>
      <c r="BP187" s="118">
        <f>IFERROR(IFERROR(INDEX('Fuel Model - Calculation'!$B$2:$M$3771,(MATCH(($E187&amp;"Results"&amp;$BL$140&amp;$F187&amp;"USD/ton"),'Fuel Model - Calculation'!$B$2:$B$3771,0)),MATCH(L$141,'Fuel Model - Calculation'!$B$2:$M$2,0)),0),0)</f>
        <v>332.01166508068047</v>
      </c>
      <c r="BQ187" s="118">
        <f>IFERROR(IFERROR(INDEX('Fuel Model - Calculation'!$B$2:$M$3771,(MATCH(($E187&amp;"Results"&amp;$BL$140&amp;$F187&amp;"USD/ton"),'Fuel Model - Calculation'!$B$2:$B$3771,0)),MATCH(M$141,'Fuel Model - Calculation'!$B$2:$M$2,0)),0),0)</f>
        <v>285.68044597537795</v>
      </c>
      <c r="BR187" s="118">
        <f>IFERROR(IFERROR(INDEX('Fuel Model - Calculation'!$B$2:$M$3771,(MATCH(($E187&amp;"Results"&amp;$BL$140&amp;$F187&amp;"USD/ton"),'Fuel Model - Calculation'!$B$2:$B$3771,0)),MATCH(N$141,'Fuel Model - Calculation'!$B$2:$M$2,0)),0),0)</f>
        <v>247.16941181252054</v>
      </c>
      <c r="BT187" s="118">
        <f>IFERROR(INDEX('Fuel Model - Calculation'!$B$2:$M$3771,(MATCH(($E187&amp;"Results"&amp;$BT$140&amp;$F187&amp;"USD/ton"),'Fuel Model - Calculation'!$B$2:$B$3771,0)),MATCH(H$141,'Fuel Model - Calculation'!$B$2:$M$2,0)),0)</f>
        <v>0</v>
      </c>
      <c r="BU187" s="118">
        <f>IFERROR(INDEX('Fuel Model - Calculation'!$B$2:$M$3771,(MATCH(($E187&amp;"Results"&amp;$BT$140&amp;$F187&amp;"USD/ton"),'Fuel Model - Calculation'!$B$2:$B$3771,0)),MATCH(I$141,'Fuel Model - Calculation'!$B$2:$M$2,0)),0)</f>
        <v>0</v>
      </c>
      <c r="BV187" s="118">
        <f>IFERROR(INDEX('Fuel Model - Calculation'!$B$2:$M$3771,(MATCH(($E187&amp;"Results"&amp;$BT$140&amp;$F187&amp;"USD/ton"),'Fuel Model - Calculation'!$B$2:$B$3771,0)),MATCH(J$141,'Fuel Model - Calculation'!$B$2:$M$2,0)),0)</f>
        <v>0</v>
      </c>
      <c r="BW187" s="118">
        <f>IFERROR(INDEX('Fuel Model - Calculation'!$B$2:$M$3771,(MATCH(($E187&amp;"Results"&amp;$BT$140&amp;$F187&amp;"USD/ton"),'Fuel Model - Calculation'!$B$2:$B$3771,0)),MATCH(K$141,'Fuel Model - Calculation'!$B$2:$M$2,0)),0)</f>
        <v>0</v>
      </c>
      <c r="BX187" s="118">
        <f>IFERROR(INDEX('Fuel Model - Calculation'!$B$2:$M$3771,(MATCH(($E187&amp;"Results"&amp;$BT$140&amp;$F187&amp;"USD/ton"),'Fuel Model - Calculation'!$B$2:$B$3771,0)),MATCH(L$141,'Fuel Model - Calculation'!$B$2:$M$2,0)),0)</f>
        <v>0</v>
      </c>
      <c r="BY187" s="118">
        <f>IFERROR(INDEX('Fuel Model - Calculation'!$B$2:$M$3771,(MATCH(($E187&amp;"Results"&amp;$BT$140&amp;$F187&amp;"USD/ton"),'Fuel Model - Calculation'!$B$2:$B$3771,0)),MATCH(M$141,'Fuel Model - Calculation'!$B$2:$M$2,0)),0)</f>
        <v>0</v>
      </c>
      <c r="BZ187" s="118">
        <f>IFERROR(INDEX('Fuel Model - Calculation'!$B$2:$M$3771,(MATCH(($E187&amp;"Results"&amp;$BT$140&amp;$F187&amp;"USD/ton"),'Fuel Model - Calculation'!$B$2:$B$3771,0)),MATCH(N$141,'Fuel Model - Calculation'!$B$2:$M$2,0)),0)</f>
        <v>0</v>
      </c>
    </row>
    <row r="188" spans="1:78" x14ac:dyDescent="0.2">
      <c r="A188" s="452"/>
      <c r="B188" s="453" t="str">
        <f>_xlfn.TEXTJOIN(keydelim,TRUE,F188,IF(E188="Africa","Africa&amp;other",E188),"Fuel cost",SUBSTITUTE($G188," ",""))</f>
        <v>e-Methane (DAC) - Africa&amp;other - Fuel cost - USD/ton</v>
      </c>
      <c r="D188" s="459" t="str">
        <f t="shared" si="180"/>
        <v>Africae-Methane (DAC)</v>
      </c>
      <c r="E188" t="s">
        <v>200</v>
      </c>
      <c r="F188" s="460" t="str">
        <f t="shared" si="181"/>
        <v>e-Methane (DAC)</v>
      </c>
      <c r="G188" t="s">
        <v>835</v>
      </c>
      <c r="H188" s="118">
        <f>INDEX('Fuel Model - Calculation'!$B$2:$M$3771,(MATCH(($E188&amp;"ResultsCost of "&amp;$F188&amp;"USD/ton"),'Fuel Model - Calculation'!$B$2:$B$3771,0)),MATCH(H$141,'Fuel Model - Calculation'!$B$2:$M$2,0))</f>
        <v>4672.149048668326</v>
      </c>
      <c r="I188" s="118">
        <f>INDEX('Fuel Model - Calculation'!$B$2:$M$3771,(MATCH(($E188&amp;"ResultsCost of "&amp;$F188&amp;"USD/ton"),'Fuel Model - Calculation'!$B$2:$B$3771,0)),MATCH(I$141,'Fuel Model - Calculation'!$B$2:$M$2,0))</f>
        <v>3101.7562815342735</v>
      </c>
      <c r="J188" s="118">
        <f>INDEX('Fuel Model - Calculation'!$B$2:$M$3771,(MATCH(($E188&amp;"ResultsCost of "&amp;$F188&amp;"USD/ton"),'Fuel Model - Calculation'!$B$2:$B$3771,0)),MATCH(J$141,'Fuel Model - Calculation'!$B$2:$M$2,0))</f>
        <v>2507.1212989459177</v>
      </c>
      <c r="K188" s="118">
        <f>INDEX('Fuel Model - Calculation'!$B$2:$M$3771,(MATCH(($E188&amp;"ResultsCost of "&amp;$F188&amp;"USD/ton"),'Fuel Model - Calculation'!$B$2:$B$3771,0)),MATCH(K$141,'Fuel Model - Calculation'!$B$2:$M$2,0))</f>
        <v>2199.0596848216014</v>
      </c>
      <c r="L188" s="118">
        <f>INDEX('Fuel Model - Calculation'!$B$2:$M$3771,(MATCH(($E188&amp;"ResultsCost of "&amp;$F188&amp;"USD/ton"),'Fuel Model - Calculation'!$B$2:$B$3771,0)),MATCH(L$141,'Fuel Model - Calculation'!$B$2:$M$2,0))</f>
        <v>1920.5880157379499</v>
      </c>
      <c r="M188" s="118">
        <f>INDEX('Fuel Model - Calculation'!$B$2:$M$3771,(MATCH(($E188&amp;"ResultsCost of "&amp;$F188&amp;"USD/ton"),'Fuel Model - Calculation'!$B$2:$B$3771,0)),MATCH(M$141,'Fuel Model - Calculation'!$B$2:$M$2,0))</f>
        <v>1591.4589204502486</v>
      </c>
      <c r="N188" s="118">
        <f>INDEX('Fuel Model - Calculation'!$B$2:$M$3771,(MATCH(($E188&amp;"ResultsCost of "&amp;$F188&amp;"USD/ton"),'Fuel Model - Calculation'!$B$2:$B$3771,0)),MATCH(N$141,'Fuel Model - Calculation'!$B$2:$M$2,0))</f>
        <v>1309.6423736288784</v>
      </c>
      <c r="O188"/>
      <c r="P188" s="118">
        <f>IFERROR(INDEX('Fuel Model - Calculation'!G$2:G$3771,(MATCH(($E188&amp;"ResultsTotal RNE "&amp;$F188&amp;"USD/ton"),'Fuel Model - Calculation'!$B$2:$B$3771,0))),0)</f>
        <v>2173.5582738532798</v>
      </c>
      <c r="Q188" s="118">
        <f>IFERROR(INDEX('Fuel Model - Calculation'!H$2:H$3771,(MATCH(($E188&amp;"ResultsTotal RNE "&amp;$F188&amp;"USD/ton"),'Fuel Model - Calculation'!$B$2:$B$3771,0))),0)</f>
        <v>1224.1439243660163</v>
      </c>
      <c r="R188" s="118">
        <f>IFERROR(INDEX('Fuel Model - Calculation'!I$2:I$3771,(MATCH(($E188&amp;"ResultsTotal RNE "&amp;$F188&amp;"USD/ton"),'Fuel Model - Calculation'!$B$2:$B$3771,0))),0)</f>
        <v>949.69881966275216</v>
      </c>
      <c r="S188" s="118">
        <f>IFERROR(INDEX('Fuel Model - Calculation'!J$2:J$3771,(MATCH(($E188&amp;"ResultsTotal RNE "&amp;$F188&amp;"USD/ton"),'Fuel Model - Calculation'!$B$2:$B$3771,0))),0)</f>
        <v>777.08525522916591</v>
      </c>
      <c r="T188" s="118">
        <f>IFERROR(INDEX('Fuel Model - Calculation'!K$2:K$3771,(MATCH(($E188&amp;"ResultsTotal RNE "&amp;$F188&amp;"USD/ton"),'Fuel Model - Calculation'!$B$2:$B$3771,0))),0)</f>
        <v>680.39320937255832</v>
      </c>
      <c r="U188" s="118">
        <f>IFERROR(INDEX('Fuel Model - Calculation'!L$2:L$3771,(MATCH(($E188&amp;"ResultsTotal RNE "&amp;$F188&amp;"USD/ton"),'Fuel Model - Calculation'!$B$2:$B$3771,0))),0)</f>
        <v>578.39933125598441</v>
      </c>
      <c r="V188" s="118">
        <f>IFERROR(INDEX('Fuel Model - Calculation'!M$2:M$3771,(MATCH(($E188&amp;"ResultsTotal RNE "&amp;$F188&amp;"USD/ton"),'Fuel Model - Calculation'!$B$2:$B$3771,0))),0)</f>
        <v>520.62662339206918</v>
      </c>
      <c r="W188"/>
      <c r="X188" s="2">
        <f>INDEX('Fuel Model - Calculation'!$E$2:$M$3771,(MATCH(("WTT Emission - "&amp;$F188),'Fuel Model - Calculation'!$E$2:$E$3771,0)),MATCH(X$141,'Fuel Model - Calculation'!$E$2:$M$2,0))</f>
        <v>-2.5989549801948608</v>
      </c>
      <c r="Y188" s="2">
        <f>INDEX('Fuel Model - Calculation'!$E$2:$M$3771,(MATCH(("WTT Emission - "&amp;$F188),'Fuel Model - Calculation'!$E$2:$E$3771,0)),MATCH(Y$141,'Fuel Model - Calculation'!$E$2:$M$2,0))</f>
        <v>-2.59964</v>
      </c>
      <c r="Z188" s="2">
        <f>INDEX('Fuel Model - Calculation'!$E$2:$M$3771,(MATCH(("WTT Emission - "&amp;$F188),'Fuel Model - Calculation'!$E$2:$E$3771,0)),MATCH(Z$141,'Fuel Model - Calculation'!$E$2:$M$2,0))</f>
        <v>-2.6015648623515806</v>
      </c>
      <c r="AA188" s="2">
        <f>INDEX('Fuel Model - Calculation'!$E$2:$M$3771,(MATCH(("WTT Emission - "&amp;$F188),'Fuel Model - Calculation'!$E$2:$E$3771,0)),MATCH(AA$141,'Fuel Model - Calculation'!$E$2:$M$2,0))</f>
        <v>-2.6066773695723575</v>
      </c>
      <c r="AB188" s="2">
        <f>INDEX('Fuel Model - Calculation'!$E$2:$M$3771,(MATCH(("WTT Emission - "&amp;$F188),'Fuel Model - Calculation'!$E$2:$E$3771,0)),MATCH(AB$141,'Fuel Model - Calculation'!$E$2:$M$2,0))</f>
        <v>-2.6128170025601505</v>
      </c>
      <c r="AC188" s="2">
        <f>INDEX('Fuel Model - Calculation'!$E$2:$M$3771,(MATCH(("WTT Emission - "&amp;$F188),'Fuel Model - Calculation'!$E$2:$E$3771,0)),MATCH(AC$141,'Fuel Model - Calculation'!$E$2:$M$2,0))</f>
        <v>-2.6209908320532183</v>
      </c>
      <c r="AD188" s="2">
        <f>INDEX('Fuel Model - Calculation'!$E$2:$M$3771,(MATCH(("WTT Emission - "&amp;$F188),'Fuel Model - Calculation'!$E$2:$E$3771,0)),MATCH(AD$141,'Fuel Model - Calculation'!$E$2:$M$2,0))</f>
        <v>-2.6274297500000001</v>
      </c>
      <c r="AE188" s="2"/>
      <c r="AF188" s="76">
        <f>'Fuel Model -  Input'!H$269</f>
        <v>3.6492599999999999</v>
      </c>
      <c r="AG188" s="76">
        <f>'Fuel Model -  Input'!I$269</f>
        <v>3.6492599999999999</v>
      </c>
      <c r="AH188" s="76">
        <f>'Fuel Model -  Input'!J$269</f>
        <v>3.6492599999999999</v>
      </c>
      <c r="AI188" s="76">
        <f>'Fuel Model -  Input'!K$269</f>
        <v>3.6492599999999999</v>
      </c>
      <c r="AJ188" s="76">
        <f>'Fuel Model -  Input'!L$269</f>
        <v>3.6492599999999999</v>
      </c>
      <c r="AK188" s="76">
        <f>'Fuel Model -  Input'!M$269</f>
        <v>3.6492599999999999</v>
      </c>
      <c r="AL188" s="76">
        <f>'Fuel Model -  Input'!N$269</f>
        <v>3.6492599999999999</v>
      </c>
      <c r="AM188"/>
      <c r="AN188" s="24">
        <f t="shared" si="179"/>
        <v>1.0503050198051391</v>
      </c>
      <c r="AO188" s="24">
        <f t="shared" si="179"/>
        <v>1.04962</v>
      </c>
      <c r="AP188" s="24">
        <f t="shared" si="179"/>
        <v>1.0476951376484194</v>
      </c>
      <c r="AQ188" s="24">
        <f t="shared" si="179"/>
        <v>1.0425826304276424</v>
      </c>
      <c r="AR188" s="24">
        <f t="shared" si="179"/>
        <v>1.0364429974398495</v>
      </c>
      <c r="AS188" s="24">
        <f t="shared" si="179"/>
        <v>1.0282691679467817</v>
      </c>
      <c r="AT188" s="24">
        <f t="shared" si="179"/>
        <v>1.0218302499999998</v>
      </c>
      <c r="AU188"/>
      <c r="AV188" s="118">
        <f>IFERROR(INDEX('Fuel Model - Calculation'!$B$2:$M$3771,(MATCH(($E188&amp;"Results"&amp;$AV$140&amp;$F188&amp;"USD/ton"),'Fuel Model - Calculation'!$B$2:$B$3771,0)),MATCH(H$141,'Fuel Model - Calculation'!$B$2:$M$2,0)),0)</f>
        <v>779.76934830215805</v>
      </c>
      <c r="AW188" s="118">
        <f>IFERROR(INDEX('Fuel Model - Calculation'!$B$2:$M$3771,(MATCH(($E188&amp;"Results"&amp;$AV$140&amp;$F188&amp;"USD/ton"),'Fuel Model - Calculation'!$B$2:$B$3771,0)),MATCH(I$141,'Fuel Model - Calculation'!$B$2:$M$2,0)),0)</f>
        <v>669.47546507694926</v>
      </c>
      <c r="AX188" s="118">
        <f>IFERROR(INDEX('Fuel Model - Calculation'!$B$2:$M$3771,(MATCH(($E188&amp;"Results"&amp;$AV$140&amp;$F188&amp;"USD/ton"),'Fuel Model - Calculation'!$B$2:$B$3771,0)),MATCH(J$141,'Fuel Model - Calculation'!$B$2:$M$2,0)),0)</f>
        <v>597.32644088272252</v>
      </c>
      <c r="AY188" s="118">
        <f>IFERROR(INDEX('Fuel Model - Calculation'!$B$2:$M$3771,(MATCH(($E188&amp;"Results"&amp;$AV$140&amp;$F188&amp;"USD/ton"),'Fuel Model - Calculation'!$B$2:$B$3771,0)),MATCH(K$141,'Fuel Model - Calculation'!$B$2:$M$2,0)),0)</f>
        <v>600.24152790094467</v>
      </c>
      <c r="AZ188" s="118">
        <f>IFERROR(INDEX('Fuel Model - Calculation'!$B$2:$M$3771,(MATCH(($E188&amp;"Results"&amp;$AV$140&amp;$F188&amp;"USD/ton"),'Fuel Model - Calculation'!$B$2:$B$3771,0)),MATCH(L$141,'Fuel Model - Calculation'!$B$2:$M$2,0)),0)</f>
        <v>561.26080769795669</v>
      </c>
      <c r="BA188" s="118">
        <f>IFERROR(INDEX('Fuel Model - Calculation'!$B$2:$M$3771,(MATCH(($E188&amp;"Results"&amp;$AV$140&amp;$F188&amp;"USD/ton"),'Fuel Model - Calculation'!$B$2:$B$3771,0)),MATCH(M$141,'Fuel Model - Calculation'!$B$2:$M$2,0)),0)</f>
        <v>482.23733717358937</v>
      </c>
      <c r="BB188" s="118">
        <f>IFERROR(INDEX('Fuel Model - Calculation'!$B$2:$M$3771,(MATCH(($E188&amp;"Results"&amp;$AV$140&amp;$F188&amp;"USD/ton"),'Fuel Model - Calculation'!$B$2:$B$3771,0)),MATCH(N$141,'Fuel Model - Calculation'!$B$2:$M$2,0)),0)</f>
        <v>381.31048537121603</v>
      </c>
      <c r="BC188"/>
      <c r="BD188" s="118">
        <f>IFERROR(INDEX('Fuel Model - Calculation'!$B$2:$M$3771,(MATCH(($E188&amp;"Results"&amp;$BD$140&amp;$F188&amp;"USD/ton"),'Fuel Model - Calculation'!$B$2:$B$3771,0)),MATCH(P$141,'Fuel Model - Calculation'!$B$2:$M$2,0)),0)</f>
        <v>675.80557950298453</v>
      </c>
      <c r="BE188" s="118">
        <f>IFERROR(INDEX('Fuel Model - Calculation'!$B$2:$M$3771,(MATCH(($E188&amp;"Results"&amp;$BD$140&amp;$F188&amp;"USD/ton"),'Fuel Model - Calculation'!$B$2:$B$3771,0)),MATCH(Q$141,'Fuel Model - Calculation'!$B$2:$M$2,0)),0)</f>
        <v>539.052824253783</v>
      </c>
      <c r="BF188" s="118">
        <f>IFERROR(INDEX('Fuel Model - Calculation'!$B$2:$M$3771,(MATCH(($E188&amp;"Results"&amp;$BD$140&amp;$F188&amp;"USD/ton"),'Fuel Model - Calculation'!$B$2:$B$3771,0)),MATCH(R$141,'Fuel Model - Calculation'!$B$2:$M$2,0)),0)</f>
        <v>437.84242622233006</v>
      </c>
      <c r="BG188" s="118">
        <f>IFERROR(INDEX('Fuel Model - Calculation'!$B$2:$M$3771,(MATCH(($E188&amp;"Results"&amp;$BD$140&amp;$F188&amp;"USD/ton"),'Fuel Model - Calculation'!$B$2:$B$3771,0)),MATCH(S$141,'Fuel Model - Calculation'!$B$2:$M$2,0)),0)</f>
        <v>397.47536853963265</v>
      </c>
      <c r="BH188" s="118">
        <f>IFERROR(INDEX('Fuel Model - Calculation'!$B$2:$M$3771,(MATCH(($E188&amp;"Results"&amp;$BD$140&amp;$F188&amp;"USD/ton"),'Fuel Model - Calculation'!$B$2:$B$3771,0)),MATCH(T$141,'Fuel Model - Calculation'!$B$2:$M$2,0)),0)</f>
        <v>321.04085119765546</v>
      </c>
      <c r="BI188" s="118">
        <f>IFERROR(INDEX('Fuel Model - Calculation'!$B$2:$M$3771,(MATCH(($E188&amp;"Results"&amp;$BD$140&amp;$F188&amp;"USD/ton"),'Fuel Model - Calculation'!$B$2:$B$3771,0)),MATCH(U$141,'Fuel Model - Calculation'!$B$2:$M$2,0)),0)</f>
        <v>230.17489783100757</v>
      </c>
      <c r="BJ188" s="118">
        <f>IFERROR(INDEX('Fuel Model - Calculation'!$B$2:$M$3771,(MATCH(($E188&amp;"Results"&amp;$BD$140&amp;$F188&amp;"USD/ton"),'Fuel Model - Calculation'!$B$2:$B$3771,0)),MATCH(V$141,'Fuel Model - Calculation'!$B$2:$M$2,0)),0)</f>
        <v>149.3190127734824</v>
      </c>
      <c r="BL188" s="118">
        <f>IFERROR(IFERROR(INDEX('Fuel Model - Calculation'!$B$2:$M$3771,(MATCH(($E188&amp;"Results"&amp;$BL$140&amp;$F188&amp;"USD/ton"),'Fuel Model - Calculation'!$B$2:$B$3771,0)),MATCH(H$141,'Fuel Model - Calculation'!$B$2:$M$2,0)),0),0)</f>
        <v>1043.0158470099038</v>
      </c>
      <c r="BM188" s="118">
        <f>IFERROR(IFERROR(INDEX('Fuel Model - Calculation'!$B$2:$M$3771,(MATCH(($E188&amp;"Results"&amp;$BL$140&amp;$F188&amp;"USD/ton"),'Fuel Model - Calculation'!$B$2:$B$3771,0)),MATCH(I$141,'Fuel Model - Calculation'!$B$2:$M$2,0)),0),0)</f>
        <v>669.08406783752514</v>
      </c>
      <c r="BN188" s="118">
        <f>IFERROR(IFERROR(INDEX('Fuel Model - Calculation'!$B$2:$M$3771,(MATCH(($E188&amp;"Results"&amp;$BL$140&amp;$F188&amp;"USD/ton"),'Fuel Model - Calculation'!$B$2:$B$3771,0)),MATCH(J$141,'Fuel Model - Calculation'!$B$2:$M$2,0)),0),0)</f>
        <v>522.25361217811303</v>
      </c>
      <c r="BO188" s="118">
        <f>IFERROR(IFERROR(INDEX('Fuel Model - Calculation'!$B$2:$M$3771,(MATCH(($E188&amp;"Results"&amp;$BL$140&amp;$F188&amp;"USD/ton"),'Fuel Model - Calculation'!$B$2:$B$3771,0)),MATCH(K$141,'Fuel Model - Calculation'!$B$2:$M$2,0)),0),0)</f>
        <v>424.25753315185841</v>
      </c>
      <c r="BP188" s="118">
        <f>IFERROR(IFERROR(INDEX('Fuel Model - Calculation'!$B$2:$M$3771,(MATCH(($E188&amp;"Results"&amp;$BL$140&amp;$F188&amp;"USD/ton"),'Fuel Model - Calculation'!$B$2:$B$3771,0)),MATCH(L$141,'Fuel Model - Calculation'!$B$2:$M$2,0)),0),0)</f>
        <v>357.89314746977942</v>
      </c>
      <c r="BQ188" s="118">
        <f>IFERROR(IFERROR(INDEX('Fuel Model - Calculation'!$B$2:$M$3771,(MATCH(($E188&amp;"Results"&amp;$BL$140&amp;$F188&amp;"USD/ton"),'Fuel Model - Calculation'!$B$2:$B$3771,0)),MATCH(M$141,'Fuel Model - Calculation'!$B$2:$M$2,0)),0),0)</f>
        <v>300.64735418966706</v>
      </c>
      <c r="BR188" s="118">
        <f>IFERROR(IFERROR(INDEX('Fuel Model - Calculation'!$B$2:$M$3771,(MATCH(($E188&amp;"Results"&amp;$BL$140&amp;$F188&amp;"USD/ton"),'Fuel Model - Calculation'!$B$2:$B$3771,0)),MATCH(N$141,'Fuel Model - Calculation'!$B$2:$M$2,0)),0),0)</f>
        <v>258.38625209211062</v>
      </c>
      <c r="BT188" s="118">
        <f>IFERROR(INDEX('Fuel Model - Calculation'!$B$2:$M$3771,(MATCH(($E188&amp;"Results"&amp;$BT$140&amp;$F188&amp;"USD/ton"),'Fuel Model - Calculation'!$B$2:$B$3771,0)),MATCH(H$141,'Fuel Model - Calculation'!$B$2:$M$2,0)),0)</f>
        <v>0</v>
      </c>
      <c r="BU188" s="118">
        <f>IFERROR(INDEX('Fuel Model - Calculation'!$B$2:$M$3771,(MATCH(($E188&amp;"Results"&amp;$BT$140&amp;$F188&amp;"USD/ton"),'Fuel Model - Calculation'!$B$2:$B$3771,0)),MATCH(I$141,'Fuel Model - Calculation'!$B$2:$M$2,0)),0)</f>
        <v>0</v>
      </c>
      <c r="BV188" s="118">
        <f>IFERROR(INDEX('Fuel Model - Calculation'!$B$2:$M$3771,(MATCH(($E188&amp;"Results"&amp;$BT$140&amp;$F188&amp;"USD/ton"),'Fuel Model - Calculation'!$B$2:$B$3771,0)),MATCH(J$141,'Fuel Model - Calculation'!$B$2:$M$2,0)),0)</f>
        <v>0</v>
      </c>
      <c r="BW188" s="118">
        <f>IFERROR(INDEX('Fuel Model - Calculation'!$B$2:$M$3771,(MATCH(($E188&amp;"Results"&amp;$BT$140&amp;$F188&amp;"USD/ton"),'Fuel Model - Calculation'!$B$2:$B$3771,0)),MATCH(K$141,'Fuel Model - Calculation'!$B$2:$M$2,0)),0)</f>
        <v>0</v>
      </c>
      <c r="BX188" s="118">
        <f>IFERROR(INDEX('Fuel Model - Calculation'!$B$2:$M$3771,(MATCH(($E188&amp;"Results"&amp;$BT$140&amp;$F188&amp;"USD/ton"),'Fuel Model - Calculation'!$B$2:$B$3771,0)),MATCH(L$141,'Fuel Model - Calculation'!$B$2:$M$2,0)),0)</f>
        <v>0</v>
      </c>
      <c r="BY188" s="118">
        <f>IFERROR(INDEX('Fuel Model - Calculation'!$B$2:$M$3771,(MATCH(($E188&amp;"Results"&amp;$BT$140&amp;$F188&amp;"USD/ton"),'Fuel Model - Calculation'!$B$2:$B$3771,0)),MATCH(M$141,'Fuel Model - Calculation'!$B$2:$M$2,0)),0)</f>
        <v>0</v>
      </c>
      <c r="BZ188" s="118">
        <f>IFERROR(INDEX('Fuel Model - Calculation'!$B$2:$M$3771,(MATCH(($E188&amp;"Results"&amp;$BT$140&amp;$F188&amp;"USD/ton"),'Fuel Model - Calculation'!$B$2:$B$3771,0)),MATCH(N$141,'Fuel Model - Calculation'!$B$2:$M$2,0)),0)</f>
        <v>0</v>
      </c>
    </row>
    <row r="189" spans="1:78" x14ac:dyDescent="0.2">
      <c r="A189" s="452"/>
      <c r="B189" s="453"/>
      <c r="D189" s="74"/>
      <c r="E189"/>
      <c r="F189" s="157"/>
      <c r="G189"/>
      <c r="H189" s="118"/>
      <c r="I189"/>
      <c r="J189"/>
      <c r="K189"/>
      <c r="L189"/>
      <c r="M189"/>
      <c r="N189"/>
      <c r="O189"/>
      <c r="P189"/>
      <c r="Q189"/>
      <c r="R189"/>
      <c r="S189"/>
      <c r="T189"/>
      <c r="U189"/>
      <c r="V189"/>
      <c r="W189"/>
      <c r="X189"/>
      <c r="Y189"/>
      <c r="Z189"/>
      <c r="AA189"/>
      <c r="AB189"/>
      <c r="AC189"/>
      <c r="AD189"/>
      <c r="AE189"/>
      <c r="AF189" s="76"/>
      <c r="AG189" s="76"/>
      <c r="AH189" s="76"/>
      <c r="AI189" s="76"/>
      <c r="AJ189" s="76"/>
      <c r="AK189" s="76"/>
      <c r="AL189" s="76"/>
      <c r="AM189"/>
      <c r="AN189" s="24"/>
      <c r="AO189" s="24"/>
      <c r="AP189" s="24"/>
      <c r="AQ189" s="24"/>
      <c r="AR189" s="24"/>
      <c r="AS189" s="24"/>
      <c r="AT189" s="24"/>
      <c r="AU189"/>
      <c r="AV189" s="118"/>
      <c r="AW189" s="118"/>
      <c r="AX189" s="118"/>
      <c r="AY189" s="118"/>
      <c r="AZ189" s="118"/>
      <c r="BA189" s="118"/>
      <c r="BB189" s="118"/>
      <c r="BC189"/>
      <c r="BD189" s="118"/>
      <c r="BE189" s="118"/>
      <c r="BF189" s="118"/>
      <c r="BG189" s="118"/>
      <c r="BH189" s="118"/>
      <c r="BI189" s="118"/>
      <c r="BJ189" s="118"/>
      <c r="BL189" s="118"/>
      <c r="BM189" s="118"/>
      <c r="BN189" s="118"/>
      <c r="BO189" s="118"/>
      <c r="BP189" s="118"/>
      <c r="BQ189" s="118"/>
      <c r="BR189" s="118"/>
      <c r="BT189" s="118"/>
      <c r="BU189" s="118"/>
      <c r="BV189" s="118"/>
      <c r="BW189" s="118"/>
      <c r="BX189" s="118"/>
      <c r="BY189" s="118"/>
      <c r="BZ189" s="118"/>
    </row>
    <row r="190" spans="1:78" x14ac:dyDescent="0.2">
      <c r="A190" s="452"/>
      <c r="B190" s="453" t="str">
        <f>_xlfn.TEXTJOIN(keydelim,TRUE,F190,IF(E190="Africa","Africa&amp;other",E190),"Fuel cost",SUBSTITUTE($G190," ",""))</f>
        <v>e-Methane (PS) - Europe - Fuel cost - USD/ton</v>
      </c>
      <c r="D190" s="459" t="str">
        <f>E190&amp;F190</f>
        <v>Europee-Methane (PS)</v>
      </c>
      <c r="E190" t="s">
        <v>195</v>
      </c>
      <c r="F190" s="460" t="s">
        <v>591</v>
      </c>
      <c r="G190" t="s">
        <v>835</v>
      </c>
      <c r="H190" s="118">
        <f>INDEX('Fuel Model - Calculation'!$B$2:$M$3771,(MATCH(($E190&amp;"ResultsCost of "&amp;$F190&amp;"USD/ton"),'Fuel Model - Calculation'!$B$2:$B$3771,0)),MATCH(H$141,'Fuel Model - Calculation'!$B$2:$M$2,0))</f>
        <v>3447.7009717476408</v>
      </c>
      <c r="I190" s="118">
        <f>INDEX('Fuel Model - Calculation'!$B$2:$M$3771,(MATCH(($E190&amp;"ResultsCost of "&amp;$F190&amp;"USD/ton"),'Fuel Model - Calculation'!$B$2:$B$3771,0)),MATCH(I$141,'Fuel Model - Calculation'!$B$2:$M$2,0))</f>
        <v>2833.7821029107381</v>
      </c>
      <c r="J190" s="118">
        <f>INDEX('Fuel Model - Calculation'!$B$2:$M$3771,(MATCH(($E190&amp;"ResultsCost of "&amp;$F190&amp;"USD/ton"),'Fuel Model - Calculation'!$B$2:$B$3771,0)),MATCH(J$141,'Fuel Model - Calculation'!$B$2:$M$2,0))</f>
        <v>2331.3381760974703</v>
      </c>
      <c r="K190" s="118">
        <f>INDEX('Fuel Model - Calculation'!$B$2:$M$3771,(MATCH(($E190&amp;"ResultsCost of "&amp;$F190&amp;"USD/ton"),'Fuel Model - Calculation'!$B$2:$B$3771,0)),MATCH(K$141,'Fuel Model - Calculation'!$B$2:$M$2,0))</f>
        <v>2135.9594471573191</v>
      </c>
      <c r="L190" s="118">
        <f>INDEX('Fuel Model - Calculation'!$B$2:$M$3771,(MATCH(($E190&amp;"ResultsCost of "&amp;$F190&amp;"USD/ton"),'Fuel Model - Calculation'!$B$2:$B$3771,0)),MATCH(L$141,'Fuel Model - Calculation'!$B$2:$M$2,0))</f>
        <v>1899.8261856931713</v>
      </c>
      <c r="M190" s="118">
        <f>INDEX('Fuel Model - Calculation'!$B$2:$M$3771,(MATCH(($E190&amp;"ResultsCost of "&amp;$F190&amp;"USD/ton"),'Fuel Model - Calculation'!$B$2:$B$3771,0)),MATCH(M$141,'Fuel Model - Calculation'!$B$2:$M$2,0))</f>
        <v>1599.7146431836663</v>
      </c>
      <c r="N190" s="118">
        <f>INDEX('Fuel Model - Calculation'!$B$2:$M$3771,(MATCH(($E190&amp;"ResultsCost of "&amp;$F190&amp;"USD/ton"),'Fuel Model - Calculation'!$B$2:$B$3771,0)),MATCH(N$141,'Fuel Model - Calculation'!$B$2:$M$2,0))</f>
        <v>1316.5605368852775</v>
      </c>
      <c r="O190"/>
      <c r="P190" s="118">
        <f>IFERROR(INDEX('Fuel Model - Calculation'!G$2:G$3771,(MATCH(($E190&amp;"ResultsTotal RNE "&amp;$F190&amp;"USD/ton"),'Fuel Model - Calculation'!$B$2:$B$3771,0))),0)</f>
        <v>1502.9091617840147</v>
      </c>
      <c r="Q190" s="118">
        <f>IFERROR(INDEX('Fuel Model - Calculation'!H$2:H$3771,(MATCH(($E190&amp;"ResultsTotal RNE "&amp;$F190&amp;"USD/ton"),'Fuel Model - Calculation'!$B$2:$B$3771,0))),0)</f>
        <v>1210.4816779438597</v>
      </c>
      <c r="R190" s="118">
        <f>IFERROR(INDEX('Fuel Model - Calculation'!I$2:I$3771,(MATCH(($E190&amp;"ResultsTotal RNE "&amp;$F190&amp;"USD/ton"),'Fuel Model - Calculation'!$B$2:$B$3771,0))),0)</f>
        <v>967.00780901980681</v>
      </c>
      <c r="S190" s="118">
        <f>IFERROR(INDEX('Fuel Model - Calculation'!J$2:J$3771,(MATCH(($E190&amp;"ResultsTotal RNE "&amp;$F190&amp;"USD/ton"),'Fuel Model - Calculation'!$B$2:$B$3771,0))),0)</f>
        <v>841.70876699977339</v>
      </c>
      <c r="T190" s="118">
        <f>IFERROR(INDEX('Fuel Model - Calculation'!K$2:K$3771,(MATCH(($E190&amp;"ResultsTotal RNE "&amp;$F190&amp;"USD/ton"),'Fuel Model - Calculation'!$B$2:$B$3771,0))),0)</f>
        <v>752.72707581852035</v>
      </c>
      <c r="U190" s="118">
        <f>IFERROR(INDEX('Fuel Model - Calculation'!L$2:L$3771,(MATCH(($E190&amp;"ResultsTotal RNE "&amp;$F190&amp;"USD/ton"),'Fuel Model - Calculation'!$B$2:$B$3771,0))),0)</f>
        <v>654.46618316430352</v>
      </c>
      <c r="V190" s="118">
        <f>IFERROR(INDEX('Fuel Model - Calculation'!M$2:M$3771,(MATCH(($E190&amp;"ResultsTotal RNE "&amp;$F190&amp;"USD/ton"),'Fuel Model - Calculation'!$B$2:$B$3771,0))),0)</f>
        <v>584.73664941778952</v>
      </c>
      <c r="W190"/>
      <c r="X190" s="2">
        <f>INDEX('Fuel Model - Calculation'!$E$2:$M$3771,(MATCH(("WTT Emission - "&amp;$F190),'Fuel Model - Calculation'!$E$2:$E$3771,0)),MATCH(X$141,'Fuel Model - Calculation'!$E$2:$M$2,0))</f>
        <v>-2.5989549801948608</v>
      </c>
      <c r="Y190" s="2">
        <f>INDEX('Fuel Model - Calculation'!$E$2:$M$3771,(MATCH(("WTT Emission - "&amp;$F190),'Fuel Model - Calculation'!$E$2:$E$3771,0)),MATCH(Y$141,'Fuel Model - Calculation'!$E$2:$M$2,0))</f>
        <v>-2.59964</v>
      </c>
      <c r="Z190" s="2">
        <f>INDEX('Fuel Model - Calculation'!$E$2:$M$3771,(MATCH(("WTT Emission - "&amp;$F190),'Fuel Model - Calculation'!$E$2:$E$3771,0)),MATCH(Z$141,'Fuel Model - Calculation'!$E$2:$M$2,0))</f>
        <v>-2.6015648623515806</v>
      </c>
      <c r="AA190" s="2">
        <f>INDEX('Fuel Model - Calculation'!$E$2:$M$3771,(MATCH(("WTT Emission - "&amp;$F190),'Fuel Model - Calculation'!$E$2:$E$3771,0)),MATCH(AA$141,'Fuel Model - Calculation'!$E$2:$M$2,0))</f>
        <v>-2.6066773695723575</v>
      </c>
      <c r="AB190" s="2">
        <f>INDEX('Fuel Model - Calculation'!$E$2:$M$3771,(MATCH(("WTT Emission - "&amp;$F190),'Fuel Model - Calculation'!$E$2:$E$3771,0)),MATCH(AB$141,'Fuel Model - Calculation'!$E$2:$M$2,0))</f>
        <v>-2.6128170025601505</v>
      </c>
      <c r="AC190" s="2">
        <f>INDEX('Fuel Model - Calculation'!$E$2:$M$3771,(MATCH(("WTT Emission - "&amp;$F190),'Fuel Model - Calculation'!$E$2:$E$3771,0)),MATCH(AC$141,'Fuel Model - Calculation'!$E$2:$M$2,0))</f>
        <v>-2.6209908320532183</v>
      </c>
      <c r="AD190" s="2">
        <f>INDEX('Fuel Model - Calculation'!$E$2:$M$3771,(MATCH(("WTT Emission - "&amp;$F190),'Fuel Model - Calculation'!$E$2:$E$3771,0)),MATCH(AD$141,'Fuel Model - Calculation'!$E$2:$M$2,0))</f>
        <v>-2.6274297500000001</v>
      </c>
      <c r="AE190" s="2"/>
      <c r="AF190" s="76">
        <f>'Fuel Model -  Input'!H$269</f>
        <v>3.6492599999999999</v>
      </c>
      <c r="AG190" s="76">
        <f>'Fuel Model -  Input'!I$269</f>
        <v>3.6492599999999999</v>
      </c>
      <c r="AH190" s="76">
        <f>'Fuel Model -  Input'!J$269</f>
        <v>3.6492599999999999</v>
      </c>
      <c r="AI190" s="76">
        <f>'Fuel Model -  Input'!K$269</f>
        <v>3.6492599999999999</v>
      </c>
      <c r="AJ190" s="76">
        <f>'Fuel Model -  Input'!L$269</f>
        <v>3.6492599999999999</v>
      </c>
      <c r="AK190" s="76">
        <f>'Fuel Model -  Input'!M$269</f>
        <v>3.6492599999999999</v>
      </c>
      <c r="AL190" s="76">
        <f>'Fuel Model -  Input'!N$269</f>
        <v>3.6492599999999999</v>
      </c>
      <c r="AM190"/>
      <c r="AN190" s="24">
        <f t="shared" ref="AN190:AT194" si="182">X190+AF190</f>
        <v>1.0503050198051391</v>
      </c>
      <c r="AO190" s="24">
        <f t="shared" si="182"/>
        <v>1.04962</v>
      </c>
      <c r="AP190" s="24">
        <f t="shared" si="182"/>
        <v>1.0476951376484194</v>
      </c>
      <c r="AQ190" s="24">
        <f t="shared" si="182"/>
        <v>1.0425826304276424</v>
      </c>
      <c r="AR190" s="24">
        <f t="shared" si="182"/>
        <v>1.0364429974398495</v>
      </c>
      <c r="AS190" s="24">
        <f t="shared" si="182"/>
        <v>1.0282691679467817</v>
      </c>
      <c r="AT190" s="24">
        <f t="shared" si="182"/>
        <v>1.0218302499999998</v>
      </c>
      <c r="AU190"/>
      <c r="AV190" s="118">
        <f>IFERROR(INDEX('Fuel Model - Calculation'!$B$2:$M$3771,(MATCH(($E190&amp;"Results"&amp;$AV$140&amp;$F190&amp;"USD/ton"),'Fuel Model - Calculation'!$B$2:$B$3771,0)),MATCH(H$141,'Fuel Model - Calculation'!$B$2:$M$2,0)),0)</f>
        <v>779.76934830215805</v>
      </c>
      <c r="AW190" s="118">
        <f>IFERROR(INDEX('Fuel Model - Calculation'!$B$2:$M$3771,(MATCH(($E190&amp;"Results"&amp;$AV$140&amp;$F190&amp;"USD/ton"),'Fuel Model - Calculation'!$B$2:$B$3771,0)),MATCH(I$141,'Fuel Model - Calculation'!$B$2:$M$2,0)),0)</f>
        <v>669.47546507694926</v>
      </c>
      <c r="AX190" s="118">
        <f>IFERROR(INDEX('Fuel Model - Calculation'!$B$2:$M$3771,(MATCH(($E190&amp;"Results"&amp;$AV$140&amp;$F190&amp;"USD/ton"),'Fuel Model - Calculation'!$B$2:$B$3771,0)),MATCH(J$141,'Fuel Model - Calculation'!$B$2:$M$2,0)),0)</f>
        <v>597.32644088272252</v>
      </c>
      <c r="AY190" s="118">
        <f>IFERROR(INDEX('Fuel Model - Calculation'!$B$2:$M$3771,(MATCH(($E190&amp;"Results"&amp;$AV$140&amp;$F190&amp;"USD/ton"),'Fuel Model - Calculation'!$B$2:$B$3771,0)),MATCH(K$141,'Fuel Model - Calculation'!$B$2:$M$2,0)),0)</f>
        <v>600.24152790094467</v>
      </c>
      <c r="AZ190" s="118">
        <f>IFERROR(INDEX('Fuel Model - Calculation'!$B$2:$M$3771,(MATCH(($E190&amp;"Results"&amp;$AV$140&amp;$F190&amp;"USD/ton"),'Fuel Model - Calculation'!$B$2:$B$3771,0)),MATCH(L$141,'Fuel Model - Calculation'!$B$2:$M$2,0)),0)</f>
        <v>561.26080769795669</v>
      </c>
      <c r="BA190" s="118">
        <f>IFERROR(INDEX('Fuel Model - Calculation'!$B$2:$M$3771,(MATCH(($E190&amp;"Results"&amp;$AV$140&amp;$F190&amp;"USD/ton"),'Fuel Model - Calculation'!$B$2:$B$3771,0)),MATCH(M$141,'Fuel Model - Calculation'!$B$2:$M$2,0)),0)</f>
        <v>482.23733717358937</v>
      </c>
      <c r="BB190" s="118">
        <f>IFERROR(INDEX('Fuel Model - Calculation'!$B$2:$M$3771,(MATCH(($E190&amp;"Results"&amp;$AV$140&amp;$F190&amp;"USD/ton"),'Fuel Model - Calculation'!$B$2:$B$3771,0)),MATCH(N$141,'Fuel Model - Calculation'!$B$2:$M$2,0)),0)</f>
        <v>381.31048537121603</v>
      </c>
      <c r="BC190"/>
      <c r="BD190" s="118">
        <f>IFERROR(INDEX('Fuel Model - Calculation'!$B$2:$M$3771,(MATCH(($E190&amp;"Results"&amp;$BD$140&amp;$F190&amp;"USD/ton"),'Fuel Model - Calculation'!$B$2:$B$3771,0)),MATCH(P$141,'Fuel Model - Calculation'!$B$2:$M$2,0)),0)</f>
        <v>661.18788706282521</v>
      </c>
      <c r="BE190" s="118">
        <f>IFERROR(INDEX('Fuel Model - Calculation'!$B$2:$M$3771,(MATCH(($E190&amp;"Results"&amp;$BD$140&amp;$F190&amp;"USD/ton"),'Fuel Model - Calculation'!$B$2:$B$3771,0)),MATCH(Q$141,'Fuel Model - Calculation'!$B$2:$M$2,0)),0)</f>
        <v>538.75365097446547</v>
      </c>
      <c r="BF190" s="118">
        <f>IFERROR(INDEX('Fuel Model - Calculation'!$B$2:$M$3771,(MATCH(($E190&amp;"Results"&amp;$BD$140&amp;$F190&amp;"USD/ton"),'Fuel Model - Calculation'!$B$2:$B$3771,0)),MATCH(R$141,'Fuel Model - Calculation'!$B$2:$M$2,0)),0)</f>
        <v>438.22647937765407</v>
      </c>
      <c r="BG190" s="118">
        <f>IFERROR(INDEX('Fuel Model - Calculation'!$B$2:$M$3771,(MATCH(($E190&amp;"Results"&amp;$BD$140&amp;$F190&amp;"USD/ton"),'Fuel Model - Calculation'!$B$2:$B$3771,0)),MATCH(S$141,'Fuel Model - Calculation'!$B$2:$M$2,0)),0)</f>
        <v>398.96156424260221</v>
      </c>
      <c r="BH190" s="118">
        <f>IFERROR(INDEX('Fuel Model - Calculation'!$B$2:$M$3771,(MATCH(($E190&amp;"Results"&amp;$BD$140&amp;$F190&amp;"USD/ton"),'Fuel Model - Calculation'!$B$2:$B$3771,0)),MATCH(T$141,'Fuel Model - Calculation'!$B$2:$M$2,0)),0)</f>
        <v>322.78060920291784</v>
      </c>
      <c r="BI190" s="118">
        <f>IFERROR(INDEX('Fuel Model - Calculation'!$B$2:$M$3771,(MATCH(($E190&amp;"Results"&amp;$BD$140&amp;$F190&amp;"USD/ton"),'Fuel Model - Calculation'!$B$2:$B$3771,0)),MATCH(U$141,'Fuel Model - Calculation'!$B$2:$M$2,0)),0)</f>
        <v>232.1233270774018</v>
      </c>
      <c r="BJ190" s="118">
        <f>IFERROR(INDEX('Fuel Model - Calculation'!$B$2:$M$3771,(MATCH(($E190&amp;"Results"&amp;$BD$140&amp;$F190&amp;"USD/ton"),'Fuel Model - Calculation'!$B$2:$B$3771,0)),MATCH(V$141,'Fuel Model - Calculation'!$B$2:$M$2,0)),0)</f>
        <v>151.04976713188194</v>
      </c>
      <c r="BL190" s="118">
        <f>IFERROR(IFERROR(INDEX('Fuel Model - Calculation'!$B$2:$M$3771,(MATCH(($E190&amp;"Results"&amp;$BL$140&amp;$F190&amp;"USD/ton"),'Fuel Model - Calculation'!$B$2:$B$3771,0)),MATCH(H$141,'Fuel Model - Calculation'!$B$2:$M$2,0)),0),0)</f>
        <v>503.83457459864309</v>
      </c>
      <c r="BM190" s="118">
        <f>IFERROR(IFERROR(INDEX('Fuel Model - Calculation'!$B$2:$M$3771,(MATCH(($E190&amp;"Results"&amp;$BL$140&amp;$F190&amp;"USD/ton"),'Fuel Model - Calculation'!$B$2:$B$3771,0)),MATCH(I$141,'Fuel Model - Calculation'!$B$2:$M$2,0)),0),0)</f>
        <v>415.07130891546353</v>
      </c>
      <c r="BN190" s="118">
        <f>IFERROR(IFERROR(INDEX('Fuel Model - Calculation'!$B$2:$M$3771,(MATCH(($E190&amp;"Results"&amp;$BL$140&amp;$F190&amp;"USD/ton"),'Fuel Model - Calculation'!$B$2:$B$3771,0)),MATCH(J$141,'Fuel Model - Calculation'!$B$2:$M$2,0)),0),0)</f>
        <v>328.77744681728717</v>
      </c>
      <c r="BO190" s="118">
        <f>IFERROR(IFERROR(INDEX('Fuel Model - Calculation'!$B$2:$M$3771,(MATCH(($E190&amp;"Results"&amp;$BL$140&amp;$F190&amp;"USD/ton"),'Fuel Model - Calculation'!$B$2:$B$3771,0)),MATCH(K$141,'Fuel Model - Calculation'!$B$2:$M$2,0)),0),0)</f>
        <v>295.0475880139989</v>
      </c>
      <c r="BP190" s="118">
        <f>IFERROR(IFERROR(INDEX('Fuel Model - Calculation'!$B$2:$M$3771,(MATCH(($E190&amp;"Results"&amp;$BL$140&amp;$F190&amp;"USD/ton"),'Fuel Model - Calculation'!$B$2:$B$3771,0)),MATCH(L$141,'Fuel Model - Calculation'!$B$2:$M$2,0)),0),0)</f>
        <v>263.05769297377634</v>
      </c>
      <c r="BQ190" s="118">
        <f>IFERROR(IFERROR(INDEX('Fuel Model - Calculation'!$B$2:$M$3771,(MATCH(($E190&amp;"Results"&amp;$BL$140&amp;$F190&amp;"USD/ton"),'Fuel Model - Calculation'!$B$2:$B$3771,0)),MATCH(M$141,'Fuel Model - Calculation'!$B$2:$M$2,0)),0),0)</f>
        <v>230.88779576837172</v>
      </c>
      <c r="BR190" s="118">
        <f>IFERROR(IFERROR(INDEX('Fuel Model - Calculation'!$B$2:$M$3771,(MATCH(($E190&amp;"Results"&amp;$BL$140&amp;$F190&amp;"USD/ton"),'Fuel Model - Calculation'!$B$2:$B$3771,0)),MATCH(N$141,'Fuel Model - Calculation'!$B$2:$M$2,0)),0),0)</f>
        <v>199.46363496439005</v>
      </c>
      <c r="BT190" s="118">
        <f>IFERROR(INDEX('Fuel Model - Calculation'!$B$2:$M$3771,(MATCH(($E190&amp;"Results"&amp;$BT$140&amp;$F190&amp;"USD/ton"),'Fuel Model - Calculation'!$B$2:$B$3771,0)),MATCH(H$141,'Fuel Model - Calculation'!$B$2:$M$2,0)),0)</f>
        <v>0</v>
      </c>
      <c r="BU190" s="118">
        <f>IFERROR(INDEX('Fuel Model - Calculation'!$B$2:$M$3771,(MATCH(($E190&amp;"Results"&amp;$BT$140&amp;$F190&amp;"USD/ton"),'Fuel Model - Calculation'!$B$2:$B$3771,0)),MATCH(I$141,'Fuel Model - Calculation'!$B$2:$M$2,0)),0)</f>
        <v>0</v>
      </c>
      <c r="BV190" s="118">
        <f>IFERROR(INDEX('Fuel Model - Calculation'!$B$2:$M$3771,(MATCH(($E190&amp;"Results"&amp;$BT$140&amp;$F190&amp;"USD/ton"),'Fuel Model - Calculation'!$B$2:$B$3771,0)),MATCH(J$141,'Fuel Model - Calculation'!$B$2:$M$2,0)),0)</f>
        <v>0</v>
      </c>
      <c r="BW190" s="118">
        <f>IFERROR(INDEX('Fuel Model - Calculation'!$B$2:$M$3771,(MATCH(($E190&amp;"Results"&amp;$BT$140&amp;$F190&amp;"USD/ton"),'Fuel Model - Calculation'!$B$2:$B$3771,0)),MATCH(K$141,'Fuel Model - Calculation'!$B$2:$M$2,0)),0)</f>
        <v>0</v>
      </c>
      <c r="BX190" s="118">
        <f>IFERROR(INDEX('Fuel Model - Calculation'!$B$2:$M$3771,(MATCH(($E190&amp;"Results"&amp;$BT$140&amp;$F190&amp;"USD/ton"),'Fuel Model - Calculation'!$B$2:$B$3771,0)),MATCH(L$141,'Fuel Model - Calculation'!$B$2:$M$2,0)),0)</f>
        <v>0</v>
      </c>
      <c r="BY190" s="118">
        <f>IFERROR(INDEX('Fuel Model - Calculation'!$B$2:$M$3771,(MATCH(($E190&amp;"Results"&amp;$BT$140&amp;$F190&amp;"USD/ton"),'Fuel Model - Calculation'!$B$2:$B$3771,0)),MATCH(M$141,'Fuel Model - Calculation'!$B$2:$M$2,0)),0)</f>
        <v>0</v>
      </c>
      <c r="BZ190" s="118">
        <f>IFERROR(INDEX('Fuel Model - Calculation'!$B$2:$M$3771,(MATCH(($E190&amp;"Results"&amp;$BT$140&amp;$F190&amp;"USD/ton"),'Fuel Model - Calculation'!$B$2:$B$3771,0)),MATCH(N$141,'Fuel Model - Calculation'!$B$2:$M$2,0)),0)</f>
        <v>0</v>
      </c>
    </row>
    <row r="191" spans="1:78" x14ac:dyDescent="0.2">
      <c r="A191" s="452"/>
      <c r="B191" s="453" t="str">
        <f>_xlfn.TEXTJOIN(keydelim,TRUE,F191,IF(E191="Africa","Africa&amp;other",E191),"Fuel cost",SUBSTITUTE($G191," ",""))</f>
        <v>e-Methane (PS) - Middle East - Fuel cost - USD/ton</v>
      </c>
      <c r="D191" s="459" t="str">
        <f t="shared" ref="D191:D194" si="183">E191&amp;F191</f>
        <v>Middle Easte-Methane (PS)</v>
      </c>
      <c r="E191" t="s">
        <v>197</v>
      </c>
      <c r="F191" s="460" t="str">
        <f>F190</f>
        <v>e-Methane (PS)</v>
      </c>
      <c r="G191" t="s">
        <v>835</v>
      </c>
      <c r="H191" s="118">
        <f>INDEX('Fuel Model - Calculation'!$B$2:$M$3771,(MATCH(($E191&amp;"ResultsCost of "&amp;$F191&amp;"USD/ton"),'Fuel Model - Calculation'!$B$2:$B$3771,0)),MATCH(H$141,'Fuel Model - Calculation'!$B$2:$M$2,0))</f>
        <v>3075.5257155325212</v>
      </c>
      <c r="I191" s="118">
        <f>INDEX('Fuel Model - Calculation'!$B$2:$M$3771,(MATCH(($E191&amp;"ResultsCost of "&amp;$F191&amp;"USD/ton"),'Fuel Model - Calculation'!$B$2:$B$3771,0)),MATCH(I$141,'Fuel Model - Calculation'!$B$2:$M$2,0))</f>
        <v>2529.009845201283</v>
      </c>
      <c r="J191" s="118">
        <f>INDEX('Fuel Model - Calculation'!$B$2:$M$3771,(MATCH(($E191&amp;"ResultsCost of "&amp;$F191&amp;"USD/ton"),'Fuel Model - Calculation'!$B$2:$B$3771,0)),MATCH(J$141,'Fuel Model - Calculation'!$B$2:$M$2,0))</f>
        <v>2117.2222149215531</v>
      </c>
      <c r="K191" s="118">
        <f>INDEX('Fuel Model - Calculation'!$B$2:$M$3771,(MATCH(($E191&amp;"ResultsCost of "&amp;$F191&amp;"USD/ton"),'Fuel Model - Calculation'!$B$2:$B$3771,0)),MATCH(K$141,'Fuel Model - Calculation'!$B$2:$M$2,0))</f>
        <v>1920.0913803015428</v>
      </c>
      <c r="L191" s="118">
        <f>INDEX('Fuel Model - Calculation'!$B$2:$M$3771,(MATCH(($E191&amp;"ResultsCost of "&amp;$F191&amp;"USD/ton"),'Fuel Model - Calculation'!$B$2:$B$3771,0)),MATCH(L$141,'Fuel Model - Calculation'!$B$2:$M$2,0))</f>
        <v>1697.5202151938722</v>
      </c>
      <c r="M191" s="118">
        <f>INDEX('Fuel Model - Calculation'!$B$2:$M$3771,(MATCH(($E191&amp;"ResultsCost of "&amp;$F191&amp;"USD/ton"),'Fuel Model - Calculation'!$B$2:$B$3771,0)),MATCH(M$141,'Fuel Model - Calculation'!$B$2:$M$2,0))</f>
        <v>1402.0068647650778</v>
      </c>
      <c r="N191" s="118">
        <f>INDEX('Fuel Model - Calculation'!$B$2:$M$3771,(MATCH(($E191&amp;"ResultsCost of "&amp;$F191&amp;"USD/ton"),'Fuel Model - Calculation'!$B$2:$B$3771,0)),MATCH(N$141,'Fuel Model - Calculation'!$B$2:$M$2,0))</f>
        <v>1139.2228722846871</v>
      </c>
      <c r="O191"/>
      <c r="P191" s="118">
        <f>IFERROR(INDEX('Fuel Model - Calculation'!G$2:G$3771,(MATCH(($E191&amp;"ResultsTotal RNE "&amp;$F191&amp;"USD/ton"),'Fuel Model - Calculation'!$B$2:$B$3771,0))),0)</f>
        <v>1153.9873683445719</v>
      </c>
      <c r="Q191" s="118">
        <f>IFERROR(INDEX('Fuel Model - Calculation'!H$2:H$3771,(MATCH(($E191&amp;"ResultsTotal RNE "&amp;$F191&amp;"USD/ton"),'Fuel Model - Calculation'!$B$2:$B$3771,0))),0)</f>
        <v>924.83464209909164</v>
      </c>
      <c r="R191" s="118">
        <f>IFERROR(INDEX('Fuel Model - Calculation'!I$2:I$3771,(MATCH(($E191&amp;"ResultsTotal RNE "&amp;$F191&amp;"USD/ton"),'Fuel Model - Calculation'!$B$2:$B$3771,0))),0)</f>
        <v>766.4949490971519</v>
      </c>
      <c r="S191" s="118">
        <f>IFERROR(INDEX('Fuel Model - Calculation'!J$2:J$3771,(MATCH(($E191&amp;"ResultsTotal RNE "&amp;$F191&amp;"USD/ton"),'Fuel Model - Calculation'!$B$2:$B$3771,0))),0)</f>
        <v>640.02269815718728</v>
      </c>
      <c r="T191" s="118">
        <f>IFERROR(INDEX('Fuel Model - Calculation'!K$2:K$3771,(MATCH(($E191&amp;"ResultsTotal RNE "&amp;$F191&amp;"USD/ton"),'Fuel Model - Calculation'!$B$2:$B$3771,0))),0)</f>
        <v>564.27952572870129</v>
      </c>
      <c r="U191" s="118">
        <f>IFERROR(INDEX('Fuel Model - Calculation'!L$2:L$3771,(MATCH(($E191&amp;"ResultsTotal RNE "&amp;$F191&amp;"USD/ton"),'Fuel Model - Calculation'!$B$2:$B$3771,0))),0)</f>
        <v>471.11799023086263</v>
      </c>
      <c r="V191" s="118">
        <f>IFERROR(INDEX('Fuel Model - Calculation'!M$2:M$3771,(MATCH(($E191&amp;"ResultsTotal RNE "&amp;$F191&amp;"USD/ton"),'Fuel Model - Calculation'!$B$2:$B$3771,0))),0)</f>
        <v>420.92098625152238</v>
      </c>
      <c r="W191"/>
      <c r="X191" s="2">
        <f>INDEX('Fuel Model - Calculation'!$E$2:$M$3771,(MATCH(("WTT Emission - "&amp;$F191),'Fuel Model - Calculation'!$E$2:$E$3771,0)),MATCH(X$141,'Fuel Model - Calculation'!$E$2:$M$2,0))</f>
        <v>-2.5989549801948608</v>
      </c>
      <c r="Y191" s="2">
        <f>INDEX('Fuel Model - Calculation'!$E$2:$M$3771,(MATCH(("WTT Emission - "&amp;$F191),'Fuel Model - Calculation'!$E$2:$E$3771,0)),MATCH(Y$141,'Fuel Model - Calculation'!$E$2:$M$2,0))</f>
        <v>-2.59964</v>
      </c>
      <c r="Z191" s="2">
        <f>INDEX('Fuel Model - Calculation'!$E$2:$M$3771,(MATCH(("WTT Emission - "&amp;$F191),'Fuel Model - Calculation'!$E$2:$E$3771,0)),MATCH(Z$141,'Fuel Model - Calculation'!$E$2:$M$2,0))</f>
        <v>-2.6015648623515806</v>
      </c>
      <c r="AA191" s="2">
        <f>INDEX('Fuel Model - Calculation'!$E$2:$M$3771,(MATCH(("WTT Emission - "&amp;$F191),'Fuel Model - Calculation'!$E$2:$E$3771,0)),MATCH(AA$141,'Fuel Model - Calculation'!$E$2:$M$2,0))</f>
        <v>-2.6066773695723575</v>
      </c>
      <c r="AB191" s="2">
        <f>INDEX('Fuel Model - Calculation'!$E$2:$M$3771,(MATCH(("WTT Emission - "&amp;$F191),'Fuel Model - Calculation'!$E$2:$E$3771,0)),MATCH(AB$141,'Fuel Model - Calculation'!$E$2:$M$2,0))</f>
        <v>-2.6128170025601505</v>
      </c>
      <c r="AC191" s="2">
        <f>INDEX('Fuel Model - Calculation'!$E$2:$M$3771,(MATCH(("WTT Emission - "&amp;$F191),'Fuel Model - Calculation'!$E$2:$E$3771,0)),MATCH(AC$141,'Fuel Model - Calculation'!$E$2:$M$2,0))</f>
        <v>-2.6209908320532183</v>
      </c>
      <c r="AD191" s="2">
        <f>INDEX('Fuel Model - Calculation'!$E$2:$M$3771,(MATCH(("WTT Emission - "&amp;$F191),'Fuel Model - Calculation'!$E$2:$E$3771,0)),MATCH(AD$141,'Fuel Model - Calculation'!$E$2:$M$2,0))</f>
        <v>-2.6274297500000001</v>
      </c>
      <c r="AE191" s="2"/>
      <c r="AF191" s="76">
        <f>'Fuel Model -  Input'!H$269</f>
        <v>3.6492599999999999</v>
      </c>
      <c r="AG191" s="76">
        <f>'Fuel Model -  Input'!I$269</f>
        <v>3.6492599999999999</v>
      </c>
      <c r="AH191" s="76">
        <f>'Fuel Model -  Input'!J$269</f>
        <v>3.6492599999999999</v>
      </c>
      <c r="AI191" s="76">
        <f>'Fuel Model -  Input'!K$269</f>
        <v>3.6492599999999999</v>
      </c>
      <c r="AJ191" s="76">
        <f>'Fuel Model -  Input'!L$269</f>
        <v>3.6492599999999999</v>
      </c>
      <c r="AK191" s="76">
        <f>'Fuel Model -  Input'!M$269</f>
        <v>3.6492599999999999</v>
      </c>
      <c r="AL191" s="76">
        <f>'Fuel Model -  Input'!N$269</f>
        <v>3.6492599999999999</v>
      </c>
      <c r="AM191"/>
      <c r="AN191" s="24">
        <f t="shared" si="182"/>
        <v>1.0503050198051391</v>
      </c>
      <c r="AO191" s="24">
        <f t="shared" si="182"/>
        <v>1.04962</v>
      </c>
      <c r="AP191" s="24">
        <f t="shared" si="182"/>
        <v>1.0476951376484194</v>
      </c>
      <c r="AQ191" s="24">
        <f t="shared" si="182"/>
        <v>1.0425826304276424</v>
      </c>
      <c r="AR191" s="24">
        <f t="shared" si="182"/>
        <v>1.0364429974398495</v>
      </c>
      <c r="AS191" s="24">
        <f t="shared" si="182"/>
        <v>1.0282691679467817</v>
      </c>
      <c r="AT191" s="24">
        <f t="shared" si="182"/>
        <v>1.0218302499999998</v>
      </c>
      <c r="AU191"/>
      <c r="AV191" s="118">
        <f>IFERROR(INDEX('Fuel Model - Calculation'!$B$2:$M$3771,(MATCH(($E191&amp;"Results"&amp;$AV$140&amp;$F191&amp;"USD/ton"),'Fuel Model - Calculation'!$B$2:$B$3771,0)),MATCH(H$141,'Fuel Model - Calculation'!$B$2:$M$2,0)),0)</f>
        <v>779.76934830215805</v>
      </c>
      <c r="AW191" s="118">
        <f>IFERROR(INDEX('Fuel Model - Calculation'!$B$2:$M$3771,(MATCH(($E191&amp;"Results"&amp;$AV$140&amp;$F191&amp;"USD/ton"),'Fuel Model - Calculation'!$B$2:$B$3771,0)),MATCH(I$141,'Fuel Model - Calculation'!$B$2:$M$2,0)),0)</f>
        <v>669.47546507694926</v>
      </c>
      <c r="AX191" s="118">
        <f>IFERROR(INDEX('Fuel Model - Calculation'!$B$2:$M$3771,(MATCH(($E191&amp;"Results"&amp;$AV$140&amp;$F191&amp;"USD/ton"),'Fuel Model - Calculation'!$B$2:$B$3771,0)),MATCH(J$141,'Fuel Model - Calculation'!$B$2:$M$2,0)),0)</f>
        <v>597.32644088272252</v>
      </c>
      <c r="AY191" s="118">
        <f>IFERROR(INDEX('Fuel Model - Calculation'!$B$2:$M$3771,(MATCH(($E191&amp;"Results"&amp;$AV$140&amp;$F191&amp;"USD/ton"),'Fuel Model - Calculation'!$B$2:$B$3771,0)),MATCH(K$141,'Fuel Model - Calculation'!$B$2:$M$2,0)),0)</f>
        <v>600.24152790094467</v>
      </c>
      <c r="AZ191" s="118">
        <f>IFERROR(INDEX('Fuel Model - Calculation'!$B$2:$M$3771,(MATCH(($E191&amp;"Results"&amp;$AV$140&amp;$F191&amp;"USD/ton"),'Fuel Model - Calculation'!$B$2:$B$3771,0)),MATCH(L$141,'Fuel Model - Calculation'!$B$2:$M$2,0)),0)</f>
        <v>561.26080769795669</v>
      </c>
      <c r="BA191" s="118">
        <f>IFERROR(INDEX('Fuel Model - Calculation'!$B$2:$M$3771,(MATCH(($E191&amp;"Results"&amp;$AV$140&amp;$F191&amp;"USD/ton"),'Fuel Model - Calculation'!$B$2:$B$3771,0)),MATCH(M$141,'Fuel Model - Calculation'!$B$2:$M$2,0)),0)</f>
        <v>482.23733717358937</v>
      </c>
      <c r="BB191" s="118">
        <f>IFERROR(INDEX('Fuel Model - Calculation'!$B$2:$M$3771,(MATCH(($E191&amp;"Results"&amp;$AV$140&amp;$F191&amp;"USD/ton"),'Fuel Model - Calculation'!$B$2:$B$3771,0)),MATCH(N$141,'Fuel Model - Calculation'!$B$2:$M$2,0)),0)</f>
        <v>381.31048537121603</v>
      </c>
      <c r="BC191"/>
      <c r="BD191" s="118">
        <f>IFERROR(INDEX('Fuel Model - Calculation'!$B$2:$M$3771,(MATCH(($E191&amp;"Results"&amp;$BD$140&amp;$F191&amp;"USD/ton"),'Fuel Model - Calculation'!$B$2:$B$3771,0)),MATCH(P$141,'Fuel Model - Calculation'!$B$2:$M$2,0)),0)</f>
        <v>653.58267090675008</v>
      </c>
      <c r="BE191" s="118">
        <f>IFERROR(INDEX('Fuel Model - Calculation'!$B$2:$M$3771,(MATCH(($E191&amp;"Results"&amp;$BD$140&amp;$F191&amp;"USD/ton"),'Fuel Model - Calculation'!$B$2:$B$3771,0)),MATCH(Q$141,'Fuel Model - Calculation'!$B$2:$M$2,0)),0)</f>
        <v>532.49860639392341</v>
      </c>
      <c r="BF191" s="118">
        <f>IFERROR(INDEX('Fuel Model - Calculation'!$B$2:$M$3771,(MATCH(($E191&amp;"Results"&amp;$BD$140&amp;$F191&amp;"USD/ton"),'Fuel Model - Calculation'!$B$2:$B$3771,0)),MATCH(R$141,'Fuel Model - Calculation'!$B$2:$M$2,0)),0)</f>
        <v>433.77748498821416</v>
      </c>
      <c r="BG191" s="118">
        <f>IFERROR(INDEX('Fuel Model - Calculation'!$B$2:$M$3771,(MATCH(($E191&amp;"Results"&amp;$BD$140&amp;$F191&amp;"USD/ton"),'Fuel Model - Calculation'!$B$2:$B$3771,0)),MATCH(S$141,'Fuel Model - Calculation'!$B$2:$M$2,0)),0)</f>
        <v>394.3232374069035</v>
      </c>
      <c r="BH191" s="118">
        <f>IFERROR(INDEX('Fuel Model - Calculation'!$B$2:$M$3771,(MATCH(($E191&amp;"Results"&amp;$BD$140&amp;$F191&amp;"USD/ton"),'Fuel Model - Calculation'!$B$2:$B$3771,0)),MATCH(T$141,'Fuel Model - Calculation'!$B$2:$M$2,0)),0)</f>
        <v>318.24811080418033</v>
      </c>
      <c r="BI191" s="118">
        <f>IFERROR(INDEX('Fuel Model - Calculation'!$B$2:$M$3771,(MATCH(($E191&amp;"Results"&amp;$BD$140&amp;$F191&amp;"USD/ton"),'Fuel Model - Calculation'!$B$2:$B$3771,0)),MATCH(U$141,'Fuel Model - Calculation'!$B$2:$M$2,0)),0)</f>
        <v>227.42691895188085</v>
      </c>
      <c r="BJ191" s="118">
        <f>IFERROR(INDEX('Fuel Model - Calculation'!$B$2:$M$3771,(MATCH(($E191&amp;"Results"&amp;$BD$140&amp;$F191&amp;"USD/ton"),'Fuel Model - Calculation'!$B$2:$B$3771,0)),MATCH(V$141,'Fuel Model - Calculation'!$B$2:$M$2,0)),0)</f>
        <v>146.62729703515498</v>
      </c>
      <c r="BL191" s="118">
        <f>IFERROR(IFERROR(INDEX('Fuel Model - Calculation'!$B$2:$M$3771,(MATCH(($E191&amp;"Results"&amp;$BL$140&amp;$F191&amp;"USD/ton"),'Fuel Model - Calculation'!$B$2:$B$3771,0)),MATCH(H$141,'Fuel Model - Calculation'!$B$2:$M$2,0)),0),0)</f>
        <v>488.1863279790411</v>
      </c>
      <c r="BM191" s="118">
        <f>IFERROR(IFERROR(INDEX('Fuel Model - Calculation'!$B$2:$M$3771,(MATCH(($E191&amp;"Results"&amp;$BL$140&amp;$F191&amp;"USD/ton"),'Fuel Model - Calculation'!$B$2:$B$3771,0)),MATCH(I$141,'Fuel Model - Calculation'!$B$2:$M$2,0)),0),0)</f>
        <v>402.20113163131879</v>
      </c>
      <c r="BN191" s="118">
        <f>IFERROR(IFERROR(INDEX('Fuel Model - Calculation'!$B$2:$M$3771,(MATCH(($E191&amp;"Results"&amp;$BL$140&amp;$F191&amp;"USD/ton"),'Fuel Model - Calculation'!$B$2:$B$3771,0)),MATCH(J$141,'Fuel Model - Calculation'!$B$2:$M$2,0)),0),0)</f>
        <v>319.62333995346467</v>
      </c>
      <c r="BO191" s="118">
        <f>IFERROR(IFERROR(INDEX('Fuel Model - Calculation'!$B$2:$M$3771,(MATCH(($E191&amp;"Results"&amp;$BL$140&amp;$F191&amp;"USD/ton"),'Fuel Model - Calculation'!$B$2:$B$3771,0)),MATCH(K$141,'Fuel Model - Calculation'!$B$2:$M$2,0)),0),0)</f>
        <v>285.50391683650747</v>
      </c>
      <c r="BP191" s="118">
        <f>IFERROR(IFERROR(INDEX('Fuel Model - Calculation'!$B$2:$M$3771,(MATCH(($E191&amp;"Results"&amp;$BL$140&amp;$F191&amp;"USD/ton"),'Fuel Model - Calculation'!$B$2:$B$3771,0)),MATCH(L$141,'Fuel Model - Calculation'!$B$2:$M$2,0)),0),0)</f>
        <v>253.73177096303405</v>
      </c>
      <c r="BQ191" s="118">
        <f>IFERROR(IFERROR(INDEX('Fuel Model - Calculation'!$B$2:$M$3771,(MATCH(($E191&amp;"Results"&amp;$BL$140&amp;$F191&amp;"USD/ton"),'Fuel Model - Calculation'!$B$2:$B$3771,0)),MATCH(M$141,'Fuel Model - Calculation'!$B$2:$M$2,0)),0),0)</f>
        <v>221.22461840874473</v>
      </c>
      <c r="BR191" s="118">
        <f>IFERROR(IFERROR(INDEX('Fuel Model - Calculation'!$B$2:$M$3771,(MATCH(($E191&amp;"Results"&amp;$BL$140&amp;$F191&amp;"USD/ton"),'Fuel Model - Calculation'!$B$2:$B$3771,0)),MATCH(N$141,'Fuel Model - Calculation'!$B$2:$M$2,0)),0),0)</f>
        <v>190.36410362679371</v>
      </c>
      <c r="BT191" s="118">
        <f>IFERROR(INDEX('Fuel Model - Calculation'!$B$2:$M$3771,(MATCH(($E191&amp;"Results"&amp;$BT$140&amp;$F191&amp;"USD/ton"),'Fuel Model - Calculation'!$B$2:$B$3771,0)),MATCH(H$141,'Fuel Model - Calculation'!$B$2:$M$2,0)),0)</f>
        <v>0</v>
      </c>
      <c r="BU191" s="118">
        <f>IFERROR(INDEX('Fuel Model - Calculation'!$B$2:$M$3771,(MATCH(($E191&amp;"Results"&amp;$BT$140&amp;$F191&amp;"USD/ton"),'Fuel Model - Calculation'!$B$2:$B$3771,0)),MATCH(I$141,'Fuel Model - Calculation'!$B$2:$M$2,0)),0)</f>
        <v>0</v>
      </c>
      <c r="BV191" s="118">
        <f>IFERROR(INDEX('Fuel Model - Calculation'!$B$2:$M$3771,(MATCH(($E191&amp;"Results"&amp;$BT$140&amp;$F191&amp;"USD/ton"),'Fuel Model - Calculation'!$B$2:$B$3771,0)),MATCH(J$141,'Fuel Model - Calculation'!$B$2:$M$2,0)),0)</f>
        <v>0</v>
      </c>
      <c r="BW191" s="118">
        <f>IFERROR(INDEX('Fuel Model - Calculation'!$B$2:$M$3771,(MATCH(($E191&amp;"Results"&amp;$BT$140&amp;$F191&amp;"USD/ton"),'Fuel Model - Calculation'!$B$2:$B$3771,0)),MATCH(K$141,'Fuel Model - Calculation'!$B$2:$M$2,0)),0)</f>
        <v>0</v>
      </c>
      <c r="BX191" s="118">
        <f>IFERROR(INDEX('Fuel Model - Calculation'!$B$2:$M$3771,(MATCH(($E191&amp;"Results"&amp;$BT$140&amp;$F191&amp;"USD/ton"),'Fuel Model - Calculation'!$B$2:$B$3771,0)),MATCH(L$141,'Fuel Model - Calculation'!$B$2:$M$2,0)),0)</f>
        <v>0</v>
      </c>
      <c r="BY191" s="118">
        <f>IFERROR(INDEX('Fuel Model - Calculation'!$B$2:$M$3771,(MATCH(($E191&amp;"Results"&amp;$BT$140&amp;$F191&amp;"USD/ton"),'Fuel Model - Calculation'!$B$2:$B$3771,0)),MATCH(M$141,'Fuel Model - Calculation'!$B$2:$M$2,0)),0)</f>
        <v>0</v>
      </c>
      <c r="BZ191" s="118">
        <f>IFERROR(INDEX('Fuel Model - Calculation'!$B$2:$M$3771,(MATCH(($E191&amp;"Results"&amp;$BT$140&amp;$F191&amp;"USD/ton"),'Fuel Model - Calculation'!$B$2:$B$3771,0)),MATCH(N$141,'Fuel Model - Calculation'!$B$2:$M$2,0)),0)</f>
        <v>0</v>
      </c>
    </row>
    <row r="192" spans="1:78" x14ac:dyDescent="0.2">
      <c r="A192" s="452"/>
      <c r="B192" s="453" t="str">
        <f>_xlfn.TEXTJOIN(keydelim,TRUE,F192,IF(E192="Africa","Africa&amp;other",E192),"Fuel cost",SUBSTITUTE($G192," ",""))</f>
        <v>e-Methane (PS) - Asia - Fuel cost - USD/ton</v>
      </c>
      <c r="D192" s="459" t="str">
        <f t="shared" si="183"/>
        <v>Asiae-Methane (PS)</v>
      </c>
      <c r="E192" t="s">
        <v>198</v>
      </c>
      <c r="F192" s="460" t="str">
        <f t="shared" ref="F192:F194" si="184">F191</f>
        <v>e-Methane (PS)</v>
      </c>
      <c r="G192" t="s">
        <v>835</v>
      </c>
      <c r="H192" s="118">
        <f>INDEX('Fuel Model - Calculation'!$B$2:$M$3771,(MATCH(($E192&amp;"ResultsCost of "&amp;$F192&amp;"USD/ton"),'Fuel Model - Calculation'!$B$2:$B$3771,0)),MATCH(H$141,'Fuel Model - Calculation'!$B$2:$M$2,0))</f>
        <v>4254.1361096352093</v>
      </c>
      <c r="I192" s="118">
        <f>INDEX('Fuel Model - Calculation'!$B$2:$M$3771,(MATCH(($E192&amp;"ResultsCost of "&amp;$F192&amp;"USD/ton"),'Fuel Model - Calculation'!$B$2:$B$3771,0)),MATCH(I$141,'Fuel Model - Calculation'!$B$2:$M$2,0))</f>
        <v>3107.1265177618361</v>
      </c>
      <c r="J192" s="118">
        <f>INDEX('Fuel Model - Calculation'!$B$2:$M$3771,(MATCH(($E192&amp;"ResultsCost of "&amp;$F192&amp;"USD/ton"),'Fuel Model - Calculation'!$B$2:$B$3771,0)),MATCH(J$141,'Fuel Model - Calculation'!$B$2:$M$2,0))</f>
        <v>2548.8740257545287</v>
      </c>
      <c r="K192" s="118">
        <f>INDEX('Fuel Model - Calculation'!$B$2:$M$3771,(MATCH(($E192&amp;"ResultsCost of "&amp;$F192&amp;"USD/ton"),'Fuel Model - Calculation'!$B$2:$B$3771,0)),MATCH(K$141,'Fuel Model - Calculation'!$B$2:$M$2,0))</f>
        <v>2249.7418873135407</v>
      </c>
      <c r="L192" s="118">
        <f>INDEX('Fuel Model - Calculation'!$B$2:$M$3771,(MATCH(($E192&amp;"ResultsCost of "&amp;$F192&amp;"USD/ton"),'Fuel Model - Calculation'!$B$2:$B$3771,0)),MATCH(L$141,'Fuel Model - Calculation'!$B$2:$M$2,0))</f>
        <v>1970.1579889267539</v>
      </c>
      <c r="M192" s="118">
        <f>INDEX('Fuel Model - Calculation'!$B$2:$M$3771,(MATCH(($E192&amp;"ResultsCost of "&amp;$F192&amp;"USD/ton"),'Fuel Model - Calculation'!$B$2:$B$3771,0)),MATCH(M$141,'Fuel Model - Calculation'!$B$2:$M$2,0))</f>
        <v>1628.9702630521565</v>
      </c>
      <c r="N192" s="118">
        <f>INDEX('Fuel Model - Calculation'!$B$2:$M$3771,(MATCH(($E192&amp;"ResultsCost of "&amp;$F192&amp;"USD/ton"),'Fuel Model - Calculation'!$B$2:$B$3771,0)),MATCH(N$141,'Fuel Model - Calculation'!$B$2:$M$2,0))</f>
        <v>1342.7993051866204</v>
      </c>
      <c r="O192"/>
      <c r="P192" s="118">
        <f>IFERROR(INDEX('Fuel Model - Calculation'!G$2:G$3771,(MATCH(($E192&amp;"ResultsTotal RNE "&amp;$F192&amp;"USD/ton"),'Fuel Model - Calculation'!$B$2:$B$3771,0))),0)</f>
        <v>2258.9583346007948</v>
      </c>
      <c r="Q192" s="118">
        <f>IFERROR(INDEX('Fuel Model - Calculation'!H$2:H$3771,(MATCH(($E192&amp;"ResultsTotal RNE "&amp;$F192&amp;"USD/ton"),'Fuel Model - Calculation'!$B$2:$B$3771,0))),0)</f>
        <v>1466.6730467178963</v>
      </c>
      <c r="R192" s="118">
        <f>IFERROR(INDEX('Fuel Model - Calculation'!I$2:I$3771,(MATCH(($E192&amp;"ResultsTotal RNE "&amp;$F192&amp;"USD/ton"),'Fuel Model - Calculation'!$B$2:$B$3771,0))),0)</f>
        <v>1170.7232868893163</v>
      </c>
      <c r="S192" s="118">
        <f>IFERROR(INDEX('Fuel Model - Calculation'!J$2:J$3771,(MATCH(($E192&amp;"ResultsTotal RNE "&amp;$F192&amp;"USD/ton"),'Fuel Model - Calculation'!$B$2:$B$3771,0))),0)</f>
        <v>948.01598229418323</v>
      </c>
      <c r="T192" s="118">
        <f>IFERROR(INDEX('Fuel Model - Calculation'!K$2:K$3771,(MATCH(($E192&amp;"ResultsTotal RNE "&amp;$F192&amp;"USD/ton"),'Fuel Model - Calculation'!$B$2:$B$3771,0))),0)</f>
        <v>818.24099011406406</v>
      </c>
      <c r="U192" s="118">
        <f>IFERROR(INDEX('Fuel Model - Calculation'!L$2:L$3771,(MATCH(($E192&amp;"ResultsTotal RNE "&amp;$F192&amp;"USD/ton"),'Fuel Model - Calculation'!$B$2:$B$3771,0))),0)</f>
        <v>681.59695707183619</v>
      </c>
      <c r="V192" s="118">
        <f>IFERROR(INDEX('Fuel Model - Calculation'!M$2:M$3771,(MATCH(($E192&amp;"ResultsTotal RNE "&amp;$F192&amp;"USD/ton"),'Fuel Model - Calculation'!$B$2:$B$3771,0))),0)</f>
        <v>608.97471096907555</v>
      </c>
      <c r="W192"/>
      <c r="X192" s="2">
        <f>INDEX('Fuel Model - Calculation'!$E$2:$M$3771,(MATCH(("WTT Emission - "&amp;$F192),'Fuel Model - Calculation'!$E$2:$E$3771,0)),MATCH(X$141,'Fuel Model - Calculation'!$E$2:$M$2,0))</f>
        <v>-2.5989549801948608</v>
      </c>
      <c r="Y192" s="2">
        <f>INDEX('Fuel Model - Calculation'!$E$2:$M$3771,(MATCH(("WTT Emission - "&amp;$F192),'Fuel Model - Calculation'!$E$2:$E$3771,0)),MATCH(Y$141,'Fuel Model - Calculation'!$E$2:$M$2,0))</f>
        <v>-2.59964</v>
      </c>
      <c r="Z192" s="2">
        <f>INDEX('Fuel Model - Calculation'!$E$2:$M$3771,(MATCH(("WTT Emission - "&amp;$F192),'Fuel Model - Calculation'!$E$2:$E$3771,0)),MATCH(Z$141,'Fuel Model - Calculation'!$E$2:$M$2,0))</f>
        <v>-2.6015648623515806</v>
      </c>
      <c r="AA192" s="2">
        <f>INDEX('Fuel Model - Calculation'!$E$2:$M$3771,(MATCH(("WTT Emission - "&amp;$F192),'Fuel Model - Calculation'!$E$2:$E$3771,0)),MATCH(AA$141,'Fuel Model - Calculation'!$E$2:$M$2,0))</f>
        <v>-2.6066773695723575</v>
      </c>
      <c r="AB192" s="2">
        <f>INDEX('Fuel Model - Calculation'!$E$2:$M$3771,(MATCH(("WTT Emission - "&amp;$F192),'Fuel Model - Calculation'!$E$2:$E$3771,0)),MATCH(AB$141,'Fuel Model - Calculation'!$E$2:$M$2,0))</f>
        <v>-2.6128170025601505</v>
      </c>
      <c r="AC192" s="2">
        <f>INDEX('Fuel Model - Calculation'!$E$2:$M$3771,(MATCH(("WTT Emission - "&amp;$F192),'Fuel Model - Calculation'!$E$2:$E$3771,0)),MATCH(AC$141,'Fuel Model - Calculation'!$E$2:$M$2,0))</f>
        <v>-2.6209908320532183</v>
      </c>
      <c r="AD192" s="2">
        <f>INDEX('Fuel Model - Calculation'!$E$2:$M$3771,(MATCH(("WTT Emission - "&amp;$F192),'Fuel Model - Calculation'!$E$2:$E$3771,0)),MATCH(AD$141,'Fuel Model - Calculation'!$E$2:$M$2,0))</f>
        <v>-2.6274297500000001</v>
      </c>
      <c r="AE192" s="2"/>
      <c r="AF192" s="76">
        <f>'Fuel Model -  Input'!H$269</f>
        <v>3.6492599999999999</v>
      </c>
      <c r="AG192" s="76">
        <f>'Fuel Model -  Input'!I$269</f>
        <v>3.6492599999999999</v>
      </c>
      <c r="AH192" s="76">
        <f>'Fuel Model -  Input'!J$269</f>
        <v>3.6492599999999999</v>
      </c>
      <c r="AI192" s="76">
        <f>'Fuel Model -  Input'!K$269</f>
        <v>3.6492599999999999</v>
      </c>
      <c r="AJ192" s="76">
        <f>'Fuel Model -  Input'!L$269</f>
        <v>3.6492599999999999</v>
      </c>
      <c r="AK192" s="76">
        <f>'Fuel Model -  Input'!M$269</f>
        <v>3.6492599999999999</v>
      </c>
      <c r="AL192" s="76">
        <f>'Fuel Model -  Input'!N$269</f>
        <v>3.6492599999999999</v>
      </c>
      <c r="AM192"/>
      <c r="AN192" s="24">
        <f t="shared" si="182"/>
        <v>1.0503050198051391</v>
      </c>
      <c r="AO192" s="24">
        <f t="shared" si="182"/>
        <v>1.04962</v>
      </c>
      <c r="AP192" s="24">
        <f t="shared" si="182"/>
        <v>1.0476951376484194</v>
      </c>
      <c r="AQ192" s="24">
        <f t="shared" si="182"/>
        <v>1.0425826304276424</v>
      </c>
      <c r="AR192" s="24">
        <f t="shared" si="182"/>
        <v>1.0364429974398495</v>
      </c>
      <c r="AS192" s="24">
        <f t="shared" si="182"/>
        <v>1.0282691679467817</v>
      </c>
      <c r="AT192" s="24">
        <f t="shared" si="182"/>
        <v>1.0218302499999998</v>
      </c>
      <c r="AU192"/>
      <c r="AV192" s="118">
        <f>IFERROR(INDEX('Fuel Model - Calculation'!$B$2:$M$3771,(MATCH(($E192&amp;"Results"&amp;$AV$140&amp;$F192&amp;"USD/ton"),'Fuel Model - Calculation'!$B$2:$B$3771,0)),MATCH(H$141,'Fuel Model - Calculation'!$B$2:$M$2,0)),0)</f>
        <v>779.76934830215805</v>
      </c>
      <c r="AW192" s="118">
        <f>IFERROR(INDEX('Fuel Model - Calculation'!$B$2:$M$3771,(MATCH(($E192&amp;"Results"&amp;$AV$140&amp;$F192&amp;"USD/ton"),'Fuel Model - Calculation'!$B$2:$B$3771,0)),MATCH(I$141,'Fuel Model - Calculation'!$B$2:$M$2,0)),0)</f>
        <v>669.47546507694926</v>
      </c>
      <c r="AX192" s="118">
        <f>IFERROR(INDEX('Fuel Model - Calculation'!$B$2:$M$3771,(MATCH(($E192&amp;"Results"&amp;$AV$140&amp;$F192&amp;"USD/ton"),'Fuel Model - Calculation'!$B$2:$B$3771,0)),MATCH(J$141,'Fuel Model - Calculation'!$B$2:$M$2,0)),0)</f>
        <v>597.32644088272252</v>
      </c>
      <c r="AY192" s="118">
        <f>IFERROR(INDEX('Fuel Model - Calculation'!$B$2:$M$3771,(MATCH(($E192&amp;"Results"&amp;$AV$140&amp;$F192&amp;"USD/ton"),'Fuel Model - Calculation'!$B$2:$B$3771,0)),MATCH(K$141,'Fuel Model - Calculation'!$B$2:$M$2,0)),0)</f>
        <v>600.24152790094467</v>
      </c>
      <c r="AZ192" s="118">
        <f>IFERROR(INDEX('Fuel Model - Calculation'!$B$2:$M$3771,(MATCH(($E192&amp;"Results"&amp;$AV$140&amp;$F192&amp;"USD/ton"),'Fuel Model - Calculation'!$B$2:$B$3771,0)),MATCH(L$141,'Fuel Model - Calculation'!$B$2:$M$2,0)),0)</f>
        <v>561.26080769795669</v>
      </c>
      <c r="BA192" s="118">
        <f>IFERROR(INDEX('Fuel Model - Calculation'!$B$2:$M$3771,(MATCH(($E192&amp;"Results"&amp;$AV$140&amp;$F192&amp;"USD/ton"),'Fuel Model - Calculation'!$B$2:$B$3771,0)),MATCH(M$141,'Fuel Model - Calculation'!$B$2:$M$2,0)),0)</f>
        <v>482.23733717358937</v>
      </c>
      <c r="BB192" s="118">
        <f>IFERROR(INDEX('Fuel Model - Calculation'!$B$2:$M$3771,(MATCH(($E192&amp;"Results"&amp;$AV$140&amp;$F192&amp;"USD/ton"),'Fuel Model - Calculation'!$B$2:$B$3771,0)),MATCH(N$141,'Fuel Model - Calculation'!$B$2:$M$2,0)),0)</f>
        <v>381.31048537121603</v>
      </c>
      <c r="BC192"/>
      <c r="BD192" s="118">
        <f>IFERROR(INDEX('Fuel Model - Calculation'!$B$2:$M$3771,(MATCH(($E192&amp;"Results"&amp;$BD$140&amp;$F192&amp;"USD/ton"),'Fuel Model - Calculation'!$B$2:$B$3771,0)),MATCH(P$141,'Fuel Model - Calculation'!$B$2:$M$2,0)),0)</f>
        <v>677.66698780117315</v>
      </c>
      <c r="BE192" s="118">
        <f>IFERROR(INDEX('Fuel Model - Calculation'!$B$2:$M$3771,(MATCH(($E192&amp;"Results"&amp;$BD$140&amp;$F192&amp;"USD/ton"),'Fuel Model - Calculation'!$B$2:$B$3771,0)),MATCH(Q$141,'Fuel Model - Calculation'!$B$2:$M$2,0)),0)</f>
        <v>544.36368094761974</v>
      </c>
      <c r="BF192" s="118">
        <f>IFERROR(INDEX('Fuel Model - Calculation'!$B$2:$M$3771,(MATCH(($E192&amp;"Results"&amp;$BD$140&amp;$F192&amp;"USD/ton"),'Fuel Model - Calculation'!$B$2:$B$3771,0)),MATCH(R$141,'Fuel Model - Calculation'!$B$2:$M$2,0)),0)</f>
        <v>442.74653369453517</v>
      </c>
      <c r="BG192" s="118">
        <f>IFERROR(INDEX('Fuel Model - Calculation'!$B$2:$M$3771,(MATCH(($E192&amp;"Results"&amp;$BD$140&amp;$F192&amp;"USD/ton"),'Fuel Model - Calculation'!$B$2:$B$3771,0)),MATCH(S$141,'Fuel Model - Calculation'!$B$2:$M$2,0)),0)</f>
        <v>401.40639155446451</v>
      </c>
      <c r="BH192" s="118">
        <f>IFERROR(INDEX('Fuel Model - Calculation'!$B$2:$M$3771,(MATCH(($E192&amp;"Results"&amp;$BD$140&amp;$F192&amp;"USD/ton"),'Fuel Model - Calculation'!$B$2:$B$3771,0)),MATCH(T$141,'Fuel Model - Calculation'!$B$2:$M$2,0)),0)</f>
        <v>324.35633524179741</v>
      </c>
      <c r="BI192" s="118">
        <f>IFERROR(INDEX('Fuel Model - Calculation'!$B$2:$M$3771,(MATCH(($E192&amp;"Results"&amp;$BD$140&amp;$F192&amp;"USD/ton"),'Fuel Model - Calculation'!$B$2:$B$3771,0)),MATCH(U$141,'Fuel Model - Calculation'!$B$2:$M$2,0)),0)</f>
        <v>232.81827358869509</v>
      </c>
      <c r="BJ192" s="118">
        <f>IFERROR(INDEX('Fuel Model - Calculation'!$B$2:$M$3771,(MATCH(($E192&amp;"Results"&amp;$BD$140&amp;$F192&amp;"USD/ton"),'Fuel Model - Calculation'!$B$2:$B$3771,0)),MATCH(V$141,'Fuel Model - Calculation'!$B$2:$M$2,0)),0)</f>
        <v>151.70411300053325</v>
      </c>
      <c r="BL192" s="118">
        <f>IFERROR(IFERROR(INDEX('Fuel Model - Calculation'!$B$2:$M$3771,(MATCH(($E192&amp;"Results"&amp;$BL$140&amp;$F192&amp;"USD/ton"),'Fuel Model - Calculation'!$B$2:$B$3771,0)),MATCH(H$141,'Fuel Model - Calculation'!$B$2:$M$2,0)),0),0)</f>
        <v>537.74143893108374</v>
      </c>
      <c r="BM192" s="118">
        <f>IFERROR(IFERROR(INDEX('Fuel Model - Calculation'!$B$2:$M$3771,(MATCH(($E192&amp;"Results"&amp;$BL$140&amp;$F192&amp;"USD/ton"),'Fuel Model - Calculation'!$B$2:$B$3771,0)),MATCH(I$141,'Fuel Model - Calculation'!$B$2:$M$2,0)),0),0)</f>
        <v>426.61432501937111</v>
      </c>
      <c r="BN192" s="118">
        <f>IFERROR(IFERROR(INDEX('Fuel Model - Calculation'!$B$2:$M$3771,(MATCH(($E192&amp;"Results"&amp;$BL$140&amp;$F192&amp;"USD/ton"),'Fuel Model - Calculation'!$B$2:$B$3771,0)),MATCH(J$141,'Fuel Model - Calculation'!$B$2:$M$2,0)),0),0)</f>
        <v>338.07776428795455</v>
      </c>
      <c r="BO192" s="118">
        <f>IFERROR(IFERROR(INDEX('Fuel Model - Calculation'!$B$2:$M$3771,(MATCH(($E192&amp;"Results"&amp;$BL$140&amp;$F192&amp;"USD/ton"),'Fuel Model - Calculation'!$B$2:$B$3771,0)),MATCH(K$141,'Fuel Model - Calculation'!$B$2:$M$2,0)),0),0)</f>
        <v>300.07798556394818</v>
      </c>
      <c r="BP192" s="118">
        <f>IFERROR(IFERROR(INDEX('Fuel Model - Calculation'!$B$2:$M$3771,(MATCH(($E192&amp;"Results"&amp;$BL$140&amp;$F192&amp;"USD/ton"),'Fuel Model - Calculation'!$B$2:$B$3771,0)),MATCH(L$141,'Fuel Model - Calculation'!$B$2:$M$2,0)),0),0)</f>
        <v>266.29985587293578</v>
      </c>
      <c r="BQ192" s="118">
        <f>IFERROR(IFERROR(INDEX('Fuel Model - Calculation'!$B$2:$M$3771,(MATCH(($E192&amp;"Results"&amp;$BL$140&amp;$F192&amp;"USD/ton"),'Fuel Model - Calculation'!$B$2:$B$3771,0)),MATCH(M$141,'Fuel Model - Calculation'!$B$2:$M$2,0)),0),0)</f>
        <v>232.31769521803577</v>
      </c>
      <c r="BR192" s="118">
        <f>IFERROR(IFERROR(INDEX('Fuel Model - Calculation'!$B$2:$M$3771,(MATCH(($E192&amp;"Results"&amp;$BL$140&amp;$F192&amp;"USD/ton"),'Fuel Model - Calculation'!$B$2:$B$3771,0)),MATCH(N$141,'Fuel Model - Calculation'!$B$2:$M$2,0)),0),0)</f>
        <v>200.80999584579527</v>
      </c>
      <c r="BT192" s="118">
        <f>IFERROR(INDEX('Fuel Model - Calculation'!$B$2:$M$3771,(MATCH(($E192&amp;"Results"&amp;$BT$140&amp;$F192&amp;"USD/ton"),'Fuel Model - Calculation'!$B$2:$B$3771,0)),MATCH(H$141,'Fuel Model - Calculation'!$B$2:$M$2,0)),0)</f>
        <v>0</v>
      </c>
      <c r="BU192" s="118">
        <f>IFERROR(INDEX('Fuel Model - Calculation'!$B$2:$M$3771,(MATCH(($E192&amp;"Results"&amp;$BT$140&amp;$F192&amp;"USD/ton"),'Fuel Model - Calculation'!$B$2:$B$3771,0)),MATCH(I$141,'Fuel Model - Calculation'!$B$2:$M$2,0)),0)</f>
        <v>0</v>
      </c>
      <c r="BV192" s="118">
        <f>IFERROR(INDEX('Fuel Model - Calculation'!$B$2:$M$3771,(MATCH(($E192&amp;"Results"&amp;$BT$140&amp;$F192&amp;"USD/ton"),'Fuel Model - Calculation'!$B$2:$B$3771,0)),MATCH(J$141,'Fuel Model - Calculation'!$B$2:$M$2,0)),0)</f>
        <v>0</v>
      </c>
      <c r="BW192" s="118">
        <f>IFERROR(INDEX('Fuel Model - Calculation'!$B$2:$M$3771,(MATCH(($E192&amp;"Results"&amp;$BT$140&amp;$F192&amp;"USD/ton"),'Fuel Model - Calculation'!$B$2:$B$3771,0)),MATCH(K$141,'Fuel Model - Calculation'!$B$2:$M$2,0)),0)</f>
        <v>0</v>
      </c>
      <c r="BX192" s="118">
        <f>IFERROR(INDEX('Fuel Model - Calculation'!$B$2:$M$3771,(MATCH(($E192&amp;"Results"&amp;$BT$140&amp;$F192&amp;"USD/ton"),'Fuel Model - Calculation'!$B$2:$B$3771,0)),MATCH(L$141,'Fuel Model - Calculation'!$B$2:$M$2,0)),0)</f>
        <v>0</v>
      </c>
      <c r="BY192" s="118">
        <f>IFERROR(INDEX('Fuel Model - Calculation'!$B$2:$M$3771,(MATCH(($E192&amp;"Results"&amp;$BT$140&amp;$F192&amp;"USD/ton"),'Fuel Model - Calculation'!$B$2:$B$3771,0)),MATCH(M$141,'Fuel Model - Calculation'!$B$2:$M$2,0)),0)</f>
        <v>0</v>
      </c>
      <c r="BZ192" s="118">
        <f>IFERROR(INDEX('Fuel Model - Calculation'!$B$2:$M$3771,(MATCH(($E192&amp;"Results"&amp;$BT$140&amp;$F192&amp;"USD/ton"),'Fuel Model - Calculation'!$B$2:$B$3771,0)),MATCH(N$141,'Fuel Model - Calculation'!$B$2:$M$2,0)),0)</f>
        <v>0</v>
      </c>
    </row>
    <row r="193" spans="1:78" x14ac:dyDescent="0.2">
      <c r="A193" s="452"/>
      <c r="B193" s="453" t="str">
        <f>_xlfn.TEXTJOIN(keydelim,TRUE,F193,IF(E193="Africa","Africa&amp;other",E193),"Fuel cost",SUBSTITUTE($G193," ",""))</f>
        <v>e-Methane (PS) - Americas - Fuel cost - USD/ton</v>
      </c>
      <c r="D193" s="459" t="str">
        <f t="shared" si="183"/>
        <v>Americase-Methane (PS)</v>
      </c>
      <c r="E193" t="s">
        <v>199</v>
      </c>
      <c r="F193" s="460" t="str">
        <f t="shared" si="184"/>
        <v>e-Methane (PS)</v>
      </c>
      <c r="G193" t="s">
        <v>835</v>
      </c>
      <c r="H193" s="118">
        <f>INDEX('Fuel Model - Calculation'!$B$2:$M$3771,(MATCH(($E193&amp;"ResultsCost of "&amp;$F193&amp;"USD/ton"),'Fuel Model - Calculation'!$B$2:$B$3771,0)),MATCH(H$141,'Fuel Model - Calculation'!$B$2:$M$2,0))</f>
        <v>2988.7679692163292</v>
      </c>
      <c r="I193" s="118">
        <f>INDEX('Fuel Model - Calculation'!$B$2:$M$3771,(MATCH(($E193&amp;"ResultsCost of "&amp;$F193&amp;"USD/ton"),'Fuel Model - Calculation'!$B$2:$B$3771,0)),MATCH(I$141,'Fuel Model - Calculation'!$B$2:$M$2,0))</f>
        <v>2570.3654541977171</v>
      </c>
      <c r="J193" s="118">
        <f>INDEX('Fuel Model - Calculation'!$B$2:$M$3771,(MATCH(($E193&amp;"ResultsCost of "&amp;$F193&amp;"USD/ton"),'Fuel Model - Calculation'!$B$2:$B$3771,0)),MATCH(J$141,'Fuel Model - Calculation'!$B$2:$M$2,0))</f>
        <v>2128.8109621286812</v>
      </c>
      <c r="K193" s="118">
        <f>INDEX('Fuel Model - Calculation'!$B$2:$M$3771,(MATCH(($E193&amp;"ResultsCost of "&amp;$F193&amp;"USD/ton"),'Fuel Model - Calculation'!$B$2:$B$3771,0)),MATCH(K$141,'Fuel Model - Calculation'!$B$2:$M$2,0))</f>
        <v>1951.4923640758857</v>
      </c>
      <c r="L193" s="118">
        <f>INDEX('Fuel Model - Calculation'!$B$2:$M$3771,(MATCH(($E193&amp;"ResultsCost of "&amp;$F193&amp;"USD/ton"),'Fuel Model - Calculation'!$B$2:$B$3771,0)),MATCH(L$141,'Fuel Model - Calculation'!$B$2:$M$2,0))</f>
        <v>1711.7555282661592</v>
      </c>
      <c r="M193" s="118">
        <f>INDEX('Fuel Model - Calculation'!$B$2:$M$3771,(MATCH(($E193&amp;"ResultsCost of "&amp;$F193&amp;"USD/ton"),'Fuel Model - Calculation'!$B$2:$B$3771,0)),MATCH(M$141,'Fuel Model - Calculation'!$B$2:$M$2,0))</f>
        <v>1453.2744767244083</v>
      </c>
      <c r="N193" s="118">
        <f>INDEX('Fuel Model - Calculation'!$B$2:$M$3771,(MATCH(($E193&amp;"ResultsCost of "&amp;$F193&amp;"USD/ton"),'Fuel Model - Calculation'!$B$2:$B$3771,0)),MATCH(N$141,'Fuel Model - Calculation'!$B$2:$M$2,0))</f>
        <v>1197.9733475530977</v>
      </c>
      <c r="O193"/>
      <c r="P193" s="118">
        <f>IFERROR(INDEX('Fuel Model - Calculation'!G$2:G$3771,(MATCH(($E193&amp;"ResultsTotal RNE "&amp;$F193&amp;"USD/ton"),'Fuel Model - Calculation'!$B$2:$B$3771,0))),0)</f>
        <v>1072.6502350078174</v>
      </c>
      <c r="Q193" s="118">
        <f>IFERROR(INDEX('Fuel Model - Calculation'!H$2:H$3771,(MATCH(($E193&amp;"ResultsTotal RNE "&amp;$F193&amp;"USD/ton"),'Fuel Model - Calculation'!$B$2:$B$3771,0))),0)</f>
        <v>963.59508313847357</v>
      </c>
      <c r="R193" s="118">
        <f>IFERROR(INDEX('Fuel Model - Calculation'!I$2:I$3771,(MATCH(($E193&amp;"ResultsTotal RNE "&amp;$F193&amp;"USD/ton"),'Fuel Model - Calculation'!$B$2:$B$3771,0))),0)</f>
        <v>777.34744618639354</v>
      </c>
      <c r="S193" s="118">
        <f>IFERROR(INDEX('Fuel Model - Calculation'!J$2:J$3771,(MATCH(($E193&amp;"ResultsTotal RNE "&amp;$F193&amp;"USD/ton"),'Fuel Model - Calculation'!$B$2:$B$3771,0))),0)</f>
        <v>669.36071497219064</v>
      </c>
      <c r="T193" s="118">
        <f>IFERROR(INDEX('Fuel Model - Calculation'!K$2:K$3771,(MATCH(($E193&amp;"ResultsTotal RNE "&amp;$F193&amp;"USD/ton"),'Fuel Model - Calculation'!$B$2:$B$3771,0))),0)</f>
        <v>577.53968738687286</v>
      </c>
      <c r="U193" s="118">
        <f>IFERROR(INDEX('Fuel Model - Calculation'!L$2:L$3771,(MATCH(($E193&amp;"ResultsTotal RNE "&amp;$F193&amp;"USD/ton"),'Fuel Model - Calculation'!$B$2:$B$3771,0))),0)</f>
        <v>518.66201750152857</v>
      </c>
      <c r="V193" s="118">
        <f>IFERROR(INDEX('Fuel Model - Calculation'!M$2:M$3771,(MATCH(($E193&amp;"ResultsTotal RNE "&amp;$F193&amp;"USD/ton"),'Fuel Model - Calculation'!$B$2:$B$3771,0))),0)</f>
        <v>475.19173628707921</v>
      </c>
      <c r="W193"/>
      <c r="X193" s="2">
        <f>INDEX('Fuel Model - Calculation'!$E$2:$M$3771,(MATCH(("WTT Emission - "&amp;$F193),'Fuel Model - Calculation'!$E$2:$E$3771,0)),MATCH(X$141,'Fuel Model - Calculation'!$E$2:$M$2,0))</f>
        <v>-2.5989549801948608</v>
      </c>
      <c r="Y193" s="2">
        <f>INDEX('Fuel Model - Calculation'!$E$2:$M$3771,(MATCH(("WTT Emission - "&amp;$F193),'Fuel Model - Calculation'!$E$2:$E$3771,0)),MATCH(Y$141,'Fuel Model - Calculation'!$E$2:$M$2,0))</f>
        <v>-2.59964</v>
      </c>
      <c r="Z193" s="2">
        <f>INDEX('Fuel Model - Calculation'!$E$2:$M$3771,(MATCH(("WTT Emission - "&amp;$F193),'Fuel Model - Calculation'!$E$2:$E$3771,0)),MATCH(Z$141,'Fuel Model - Calculation'!$E$2:$M$2,0))</f>
        <v>-2.6015648623515806</v>
      </c>
      <c r="AA193" s="2">
        <f>INDEX('Fuel Model - Calculation'!$E$2:$M$3771,(MATCH(("WTT Emission - "&amp;$F193),'Fuel Model - Calculation'!$E$2:$E$3771,0)),MATCH(AA$141,'Fuel Model - Calculation'!$E$2:$M$2,0))</f>
        <v>-2.6066773695723575</v>
      </c>
      <c r="AB193" s="2">
        <f>INDEX('Fuel Model - Calculation'!$E$2:$M$3771,(MATCH(("WTT Emission - "&amp;$F193),'Fuel Model - Calculation'!$E$2:$E$3771,0)),MATCH(AB$141,'Fuel Model - Calculation'!$E$2:$M$2,0))</f>
        <v>-2.6128170025601505</v>
      </c>
      <c r="AC193" s="2">
        <f>INDEX('Fuel Model - Calculation'!$E$2:$M$3771,(MATCH(("WTT Emission - "&amp;$F193),'Fuel Model - Calculation'!$E$2:$E$3771,0)),MATCH(AC$141,'Fuel Model - Calculation'!$E$2:$M$2,0))</f>
        <v>-2.6209908320532183</v>
      </c>
      <c r="AD193" s="2">
        <f>INDEX('Fuel Model - Calculation'!$E$2:$M$3771,(MATCH(("WTT Emission - "&amp;$F193),'Fuel Model - Calculation'!$E$2:$E$3771,0)),MATCH(AD$141,'Fuel Model - Calculation'!$E$2:$M$2,0))</f>
        <v>-2.6274297500000001</v>
      </c>
      <c r="AE193" s="2"/>
      <c r="AF193" s="76">
        <f>'Fuel Model -  Input'!H$269</f>
        <v>3.6492599999999999</v>
      </c>
      <c r="AG193" s="76">
        <f>'Fuel Model -  Input'!I$269</f>
        <v>3.6492599999999999</v>
      </c>
      <c r="AH193" s="76">
        <f>'Fuel Model -  Input'!J$269</f>
        <v>3.6492599999999999</v>
      </c>
      <c r="AI193" s="76">
        <f>'Fuel Model -  Input'!K$269</f>
        <v>3.6492599999999999</v>
      </c>
      <c r="AJ193" s="76">
        <f>'Fuel Model -  Input'!L$269</f>
        <v>3.6492599999999999</v>
      </c>
      <c r="AK193" s="76">
        <f>'Fuel Model -  Input'!M$269</f>
        <v>3.6492599999999999</v>
      </c>
      <c r="AL193" s="76">
        <f>'Fuel Model -  Input'!N$269</f>
        <v>3.6492599999999999</v>
      </c>
      <c r="AM193"/>
      <c r="AN193" s="24">
        <f t="shared" si="182"/>
        <v>1.0503050198051391</v>
      </c>
      <c r="AO193" s="24">
        <f t="shared" si="182"/>
        <v>1.04962</v>
      </c>
      <c r="AP193" s="24">
        <f t="shared" si="182"/>
        <v>1.0476951376484194</v>
      </c>
      <c r="AQ193" s="24">
        <f t="shared" si="182"/>
        <v>1.0425826304276424</v>
      </c>
      <c r="AR193" s="24">
        <f t="shared" si="182"/>
        <v>1.0364429974398495</v>
      </c>
      <c r="AS193" s="24">
        <f t="shared" si="182"/>
        <v>1.0282691679467817</v>
      </c>
      <c r="AT193" s="24">
        <f t="shared" si="182"/>
        <v>1.0218302499999998</v>
      </c>
      <c r="AU193"/>
      <c r="AV193" s="118">
        <f>IFERROR(INDEX('Fuel Model - Calculation'!$B$2:$M$3771,(MATCH(($E193&amp;"Results"&amp;$AV$140&amp;$F193&amp;"USD/ton"),'Fuel Model - Calculation'!$B$2:$B$3771,0)),MATCH(H$141,'Fuel Model - Calculation'!$B$2:$M$2,0)),0)</f>
        <v>779.76934830215805</v>
      </c>
      <c r="AW193" s="118">
        <f>IFERROR(INDEX('Fuel Model - Calculation'!$B$2:$M$3771,(MATCH(($E193&amp;"Results"&amp;$AV$140&amp;$F193&amp;"USD/ton"),'Fuel Model - Calculation'!$B$2:$B$3771,0)),MATCH(I$141,'Fuel Model - Calculation'!$B$2:$M$2,0)),0)</f>
        <v>669.47546507694926</v>
      </c>
      <c r="AX193" s="118">
        <f>IFERROR(INDEX('Fuel Model - Calculation'!$B$2:$M$3771,(MATCH(($E193&amp;"Results"&amp;$AV$140&amp;$F193&amp;"USD/ton"),'Fuel Model - Calculation'!$B$2:$B$3771,0)),MATCH(J$141,'Fuel Model - Calculation'!$B$2:$M$2,0)),0)</f>
        <v>597.32644088272252</v>
      </c>
      <c r="AY193" s="118">
        <f>IFERROR(INDEX('Fuel Model - Calculation'!$B$2:$M$3771,(MATCH(($E193&amp;"Results"&amp;$AV$140&amp;$F193&amp;"USD/ton"),'Fuel Model - Calculation'!$B$2:$B$3771,0)),MATCH(K$141,'Fuel Model - Calculation'!$B$2:$M$2,0)),0)</f>
        <v>600.24152790094456</v>
      </c>
      <c r="AZ193" s="118">
        <f>IFERROR(INDEX('Fuel Model - Calculation'!$B$2:$M$3771,(MATCH(($E193&amp;"Results"&amp;$AV$140&amp;$F193&amp;"USD/ton"),'Fuel Model - Calculation'!$B$2:$B$3771,0)),MATCH(L$141,'Fuel Model - Calculation'!$B$2:$M$2,0)),0)</f>
        <v>561.26080769795669</v>
      </c>
      <c r="BA193" s="118">
        <f>IFERROR(INDEX('Fuel Model - Calculation'!$B$2:$M$3771,(MATCH(($E193&amp;"Results"&amp;$AV$140&amp;$F193&amp;"USD/ton"),'Fuel Model - Calculation'!$B$2:$B$3771,0)),MATCH(M$141,'Fuel Model - Calculation'!$B$2:$M$2,0)),0)</f>
        <v>482.23733717358937</v>
      </c>
      <c r="BB193" s="118">
        <f>IFERROR(INDEX('Fuel Model - Calculation'!$B$2:$M$3771,(MATCH(($E193&amp;"Results"&amp;$AV$140&amp;$F193&amp;"USD/ton"),'Fuel Model - Calculation'!$B$2:$B$3771,0)),MATCH(N$141,'Fuel Model - Calculation'!$B$2:$M$2,0)),0)</f>
        <v>381.31048537121603</v>
      </c>
      <c r="BC193"/>
      <c r="BD193" s="118">
        <f>IFERROR(INDEX('Fuel Model - Calculation'!$B$2:$M$3771,(MATCH(($E193&amp;"Results"&amp;$BD$140&amp;$F193&amp;"USD/ton"),'Fuel Model - Calculation'!$B$2:$B$3771,0)),MATCH(P$141,'Fuel Model - Calculation'!$B$2:$M$2,0)),0)</f>
        <v>651.80981953382809</v>
      </c>
      <c r="BE193" s="118">
        <f>IFERROR(INDEX('Fuel Model - Calculation'!$B$2:$M$3771,(MATCH(($E193&amp;"Results"&amp;$BD$140&amp;$F193&amp;"USD/ton"),'Fuel Model - Calculation'!$B$2:$B$3771,0)),MATCH(Q$141,'Fuel Model - Calculation'!$B$2:$M$2,0)),0)</f>
        <v>533.34737517580777</v>
      </c>
      <c r="BF193" s="118">
        <f>IFERROR(INDEX('Fuel Model - Calculation'!$B$2:$M$3771,(MATCH(($E193&amp;"Results"&amp;$BD$140&amp;$F193&amp;"USD/ton"),'Fuel Model - Calculation'!$B$2:$B$3771,0)),MATCH(R$141,'Fuel Model - Calculation'!$B$2:$M$2,0)),0)</f>
        <v>434.01828100838009</v>
      </c>
      <c r="BG193" s="118">
        <f>IFERROR(INDEX('Fuel Model - Calculation'!$B$2:$M$3771,(MATCH(($E193&amp;"Results"&amp;$BD$140&amp;$F193&amp;"USD/ton"),'Fuel Model - Calculation'!$B$2:$B$3771,0)),MATCH(S$141,'Fuel Model - Calculation'!$B$2:$M$2,0)),0)</f>
        <v>394.99794593526224</v>
      </c>
      <c r="BH193" s="118">
        <f>IFERROR(INDEX('Fuel Model - Calculation'!$B$2:$M$3771,(MATCH(($E193&amp;"Results"&amp;$BD$140&amp;$F193&amp;"USD/ton"),'Fuel Model - Calculation'!$B$2:$B$3771,0)),MATCH(T$141,'Fuel Model - Calculation'!$B$2:$M$2,0)),0)</f>
        <v>318.56704125169222</v>
      </c>
      <c r="BI193" s="118">
        <f>IFERROR(INDEX('Fuel Model - Calculation'!$B$2:$M$3771,(MATCH(($E193&amp;"Results"&amp;$BD$140&amp;$F193&amp;"USD/ton"),'Fuel Model - Calculation'!$B$2:$B$3771,0)),MATCH(U$141,'Fuel Model - Calculation'!$B$2:$M$2,0)),0)</f>
        <v>228.64474473146186</v>
      </c>
      <c r="BJ193" s="118">
        <f>IFERROR(INDEX('Fuel Model - Calculation'!$B$2:$M$3771,(MATCH(($E193&amp;"Results"&amp;$BD$140&amp;$F193&amp;"USD/ton"),'Fuel Model - Calculation'!$B$2:$B$3771,0)),MATCH(V$141,'Fuel Model - Calculation'!$B$2:$M$2,0)),0)</f>
        <v>148.09242414522615</v>
      </c>
      <c r="BL193" s="118">
        <f>IFERROR(IFERROR(INDEX('Fuel Model - Calculation'!$B$2:$M$3771,(MATCH(($E193&amp;"Results"&amp;$BL$140&amp;$F193&amp;"USD/ton"),'Fuel Model - Calculation'!$B$2:$B$3771,0)),MATCH(H$141,'Fuel Model - Calculation'!$B$2:$M$2,0)),0),0)</f>
        <v>484.53856637252545</v>
      </c>
      <c r="BM193" s="118">
        <f>IFERROR(IFERROR(INDEX('Fuel Model - Calculation'!$B$2:$M$3771,(MATCH(($E193&amp;"Results"&amp;$BL$140&amp;$F193&amp;"USD/ton"),'Fuel Model - Calculation'!$B$2:$B$3771,0)),MATCH(I$141,'Fuel Model - Calculation'!$B$2:$M$2,0)),0),0)</f>
        <v>403.94753080648672</v>
      </c>
      <c r="BN193" s="118">
        <f>IFERROR(IFERROR(INDEX('Fuel Model - Calculation'!$B$2:$M$3771,(MATCH(($E193&amp;"Results"&amp;$BL$140&amp;$F193&amp;"USD/ton"),'Fuel Model - Calculation'!$B$2:$B$3771,0)),MATCH(J$141,'Fuel Model - Calculation'!$B$2:$M$2,0)),0),0)</f>
        <v>320.11879405118475</v>
      </c>
      <c r="BO193" s="118">
        <f>IFERROR(IFERROR(INDEX('Fuel Model - Calculation'!$B$2:$M$3771,(MATCH(($E193&amp;"Results"&amp;$BL$140&amp;$F193&amp;"USD/ton"),'Fuel Model - Calculation'!$B$2:$B$3771,0)),MATCH(K$141,'Fuel Model - Calculation'!$B$2:$M$2,0)),0),0)</f>
        <v>286.89217526748831</v>
      </c>
      <c r="BP193" s="118">
        <f>IFERROR(IFERROR(INDEX('Fuel Model - Calculation'!$B$2:$M$3771,(MATCH(($E193&amp;"Results"&amp;$BL$140&amp;$F193&amp;"USD/ton"),'Fuel Model - Calculation'!$B$2:$B$3771,0)),MATCH(L$141,'Fuel Model - Calculation'!$B$2:$M$2,0)),0),0)</f>
        <v>254.38799192963725</v>
      </c>
      <c r="BQ193" s="118">
        <f>IFERROR(IFERROR(INDEX('Fuel Model - Calculation'!$B$2:$M$3771,(MATCH(($E193&amp;"Results"&amp;$BL$140&amp;$F193&amp;"USD/ton"),'Fuel Model - Calculation'!$B$2:$B$3771,0)),MATCH(M$141,'Fuel Model - Calculation'!$B$2:$M$2,0)),0),0)</f>
        <v>223.73037731782853</v>
      </c>
      <c r="BR193" s="118">
        <f>IFERROR(IFERROR(INDEX('Fuel Model - Calculation'!$B$2:$M$3771,(MATCH(($E193&amp;"Results"&amp;$BL$140&amp;$F193&amp;"USD/ton"),'Fuel Model - Calculation'!$B$2:$B$3771,0)),MATCH(N$141,'Fuel Model - Calculation'!$B$2:$M$2,0)),0),0)</f>
        <v>193.37870174957624</v>
      </c>
      <c r="BT193" s="118">
        <f>IFERROR(INDEX('Fuel Model - Calculation'!$B$2:$M$3771,(MATCH(($E193&amp;"Results"&amp;$BT$140&amp;$F193&amp;"USD/ton"),'Fuel Model - Calculation'!$B$2:$B$3771,0)),MATCH(H$141,'Fuel Model - Calculation'!$B$2:$M$2,0)),0)</f>
        <v>0</v>
      </c>
      <c r="BU193" s="118">
        <f>IFERROR(INDEX('Fuel Model - Calculation'!$B$2:$M$3771,(MATCH(($E193&amp;"Results"&amp;$BT$140&amp;$F193&amp;"USD/ton"),'Fuel Model - Calculation'!$B$2:$B$3771,0)),MATCH(I$141,'Fuel Model - Calculation'!$B$2:$M$2,0)),0)</f>
        <v>0</v>
      </c>
      <c r="BV193" s="118">
        <f>IFERROR(INDEX('Fuel Model - Calculation'!$B$2:$M$3771,(MATCH(($E193&amp;"Results"&amp;$BT$140&amp;$F193&amp;"USD/ton"),'Fuel Model - Calculation'!$B$2:$B$3771,0)),MATCH(J$141,'Fuel Model - Calculation'!$B$2:$M$2,0)),0)</f>
        <v>0</v>
      </c>
      <c r="BW193" s="118">
        <f>IFERROR(INDEX('Fuel Model - Calculation'!$B$2:$M$3771,(MATCH(($E193&amp;"Results"&amp;$BT$140&amp;$F193&amp;"USD/ton"),'Fuel Model - Calculation'!$B$2:$B$3771,0)),MATCH(K$141,'Fuel Model - Calculation'!$B$2:$M$2,0)),0)</f>
        <v>0</v>
      </c>
      <c r="BX193" s="118">
        <f>IFERROR(INDEX('Fuel Model - Calculation'!$B$2:$M$3771,(MATCH(($E193&amp;"Results"&amp;$BT$140&amp;$F193&amp;"USD/ton"),'Fuel Model - Calculation'!$B$2:$B$3771,0)),MATCH(L$141,'Fuel Model - Calculation'!$B$2:$M$2,0)),0)</f>
        <v>0</v>
      </c>
      <c r="BY193" s="118">
        <f>IFERROR(INDEX('Fuel Model - Calculation'!$B$2:$M$3771,(MATCH(($E193&amp;"Results"&amp;$BT$140&amp;$F193&amp;"USD/ton"),'Fuel Model - Calculation'!$B$2:$B$3771,0)),MATCH(M$141,'Fuel Model - Calculation'!$B$2:$M$2,0)),0)</f>
        <v>0</v>
      </c>
      <c r="BZ193" s="118">
        <f>IFERROR(INDEX('Fuel Model - Calculation'!$B$2:$M$3771,(MATCH(($E193&amp;"Results"&amp;$BT$140&amp;$F193&amp;"USD/ton"),'Fuel Model - Calculation'!$B$2:$B$3771,0)),MATCH(N$141,'Fuel Model - Calculation'!$B$2:$M$2,0)),0)</f>
        <v>0</v>
      </c>
    </row>
    <row r="194" spans="1:78" x14ac:dyDescent="0.2">
      <c r="A194" s="452"/>
      <c r="B194" s="453" t="str">
        <f>_xlfn.TEXTJOIN(keydelim,TRUE,F194,IF(E194="Africa","Africa&amp;other",E194),"Fuel cost",SUBSTITUTE($G194," ",""))</f>
        <v>e-Methane (PS) - Africa&amp;other - Fuel cost - USD/ton</v>
      </c>
      <c r="D194" s="459" t="str">
        <f t="shared" si="183"/>
        <v>Africae-Methane (PS)</v>
      </c>
      <c r="E194" t="s">
        <v>200</v>
      </c>
      <c r="F194" s="460" t="str">
        <f t="shared" si="184"/>
        <v>e-Methane (PS)</v>
      </c>
      <c r="G194" t="s">
        <v>835</v>
      </c>
      <c r="H194" s="118">
        <f>INDEX('Fuel Model - Calculation'!$B$2:$M$3771,(MATCH(($E194&amp;"ResultsCost of "&amp;$F194&amp;"USD/ton"),'Fuel Model - Calculation'!$B$2:$B$3771,0)),MATCH(H$141,'Fuel Model - Calculation'!$B$2:$M$2,0))</f>
        <v>4163.0446671197114</v>
      </c>
      <c r="I194" s="118">
        <f>INDEX('Fuel Model - Calculation'!$B$2:$M$3771,(MATCH(($E194&amp;"ResultsCost of "&amp;$F194&amp;"USD/ton"),'Fuel Model - Calculation'!$B$2:$B$3771,0)),MATCH(I$141,'Fuel Model - Calculation'!$B$2:$M$2,0))</f>
        <v>2848.3590918689792</v>
      </c>
      <c r="J194" s="118">
        <f>INDEX('Fuel Model - Calculation'!$B$2:$M$3771,(MATCH(($E194&amp;"ResultsCost of "&amp;$F194&amp;"USD/ton"),'Fuel Model - Calculation'!$B$2:$B$3771,0)),MATCH(J$141,'Fuel Model - Calculation'!$B$2:$M$2,0))</f>
        <v>2312.8549182425932</v>
      </c>
      <c r="K194" s="118">
        <f>INDEX('Fuel Model - Calculation'!$B$2:$M$3771,(MATCH(($E194&amp;"ResultsCost of "&amp;$F194&amp;"USD/ton"),'Fuel Model - Calculation'!$B$2:$B$3771,0)),MATCH(K$141,'Fuel Model - Calculation'!$B$2:$M$2,0))</f>
        <v>2066.791791506098</v>
      </c>
      <c r="L194" s="118">
        <f>INDEX('Fuel Model - Calculation'!$B$2:$M$3771,(MATCH(($E194&amp;"ResultsCost of "&amp;$F194&amp;"USD/ton"),'Fuel Model - Calculation'!$B$2:$B$3771,0)),MATCH(L$141,'Fuel Model - Calculation'!$B$2:$M$2,0))</f>
        <v>1822.1728914776597</v>
      </c>
      <c r="M194" s="118">
        <f>INDEX('Fuel Model - Calculation'!$B$2:$M$3771,(MATCH(($E194&amp;"ResultsCost of "&amp;$F194&amp;"USD/ton"),'Fuel Model - Calculation'!$B$2:$B$3771,0)),MATCH(M$141,'Fuel Model - Calculation'!$B$2:$M$2,0))</f>
        <v>1517.6903370725665</v>
      </c>
      <c r="N194" s="118">
        <f>INDEX('Fuel Model - Calculation'!$B$2:$M$3771,(MATCH(($E194&amp;"ResultsCost of "&amp;$F194&amp;"USD/ton"),'Fuel Model - Calculation'!$B$2:$B$3771,0)),MATCH(N$141,'Fuel Model - Calculation'!$B$2:$M$2,0))</f>
        <v>1247.1586123492518</v>
      </c>
      <c r="O194"/>
      <c r="P194" s="118">
        <f>IFERROR(INDEX('Fuel Model - Calculation'!G$2:G$3771,(MATCH(($E194&amp;"ResultsTotal RNE "&amp;$F194&amp;"USD/ton"),'Fuel Model - Calculation'!$B$2:$B$3771,0))),0)</f>
        <v>2173.5582738532798</v>
      </c>
      <c r="Q194" s="118">
        <f>IFERROR(INDEX('Fuel Model - Calculation'!H$2:H$3771,(MATCH(($E194&amp;"ResultsTotal RNE "&amp;$F194&amp;"USD/ton"),'Fuel Model - Calculation'!$B$2:$B$3771,0))),0)</f>
        <v>1224.1439243660163</v>
      </c>
      <c r="R194" s="118">
        <f>IFERROR(INDEX('Fuel Model - Calculation'!I$2:I$3771,(MATCH(($E194&amp;"ResultsTotal RNE "&amp;$F194&amp;"USD/ton"),'Fuel Model - Calculation'!$B$2:$B$3771,0))),0)</f>
        <v>949.69881966275216</v>
      </c>
      <c r="S194" s="118">
        <f>IFERROR(INDEX('Fuel Model - Calculation'!J$2:J$3771,(MATCH(($E194&amp;"ResultsTotal RNE "&amp;$F194&amp;"USD/ton"),'Fuel Model - Calculation'!$B$2:$B$3771,0))),0)</f>
        <v>777.08525522916591</v>
      </c>
      <c r="T194" s="118">
        <f>IFERROR(INDEX('Fuel Model - Calculation'!K$2:K$3771,(MATCH(($E194&amp;"ResultsTotal RNE "&amp;$F194&amp;"USD/ton"),'Fuel Model - Calculation'!$B$2:$B$3771,0))),0)</f>
        <v>680.39320937255832</v>
      </c>
      <c r="U194" s="118">
        <f>IFERROR(INDEX('Fuel Model - Calculation'!L$2:L$3771,(MATCH(($E194&amp;"ResultsTotal RNE "&amp;$F194&amp;"USD/ton"),'Fuel Model - Calculation'!$B$2:$B$3771,0))),0)</f>
        <v>578.39933125598441</v>
      </c>
      <c r="V194" s="118">
        <f>IFERROR(INDEX('Fuel Model - Calculation'!M$2:M$3771,(MATCH(($E194&amp;"ResultsTotal RNE "&amp;$F194&amp;"USD/ton"),'Fuel Model - Calculation'!$B$2:$B$3771,0))),0)</f>
        <v>520.62662339206918</v>
      </c>
      <c r="W194"/>
      <c r="X194" s="2">
        <f>INDEX('Fuel Model - Calculation'!$E$2:$M$3771,(MATCH(("WTT Emission - "&amp;$F194),'Fuel Model - Calculation'!$E$2:$E$3771,0)),MATCH(X$141,'Fuel Model - Calculation'!$E$2:$M$2,0))</f>
        <v>-2.5989549801948608</v>
      </c>
      <c r="Y194" s="2">
        <f>INDEX('Fuel Model - Calculation'!$E$2:$M$3771,(MATCH(("WTT Emission - "&amp;$F194),'Fuel Model - Calculation'!$E$2:$E$3771,0)),MATCH(Y$141,'Fuel Model - Calculation'!$E$2:$M$2,0))</f>
        <v>-2.59964</v>
      </c>
      <c r="Z194" s="2">
        <f>INDEX('Fuel Model - Calculation'!$E$2:$M$3771,(MATCH(("WTT Emission - "&amp;$F194),'Fuel Model - Calculation'!$E$2:$E$3771,0)),MATCH(Z$141,'Fuel Model - Calculation'!$E$2:$M$2,0))</f>
        <v>-2.6015648623515806</v>
      </c>
      <c r="AA194" s="2">
        <f>INDEX('Fuel Model - Calculation'!$E$2:$M$3771,(MATCH(("WTT Emission - "&amp;$F194),'Fuel Model - Calculation'!$E$2:$E$3771,0)),MATCH(AA$141,'Fuel Model - Calculation'!$E$2:$M$2,0))</f>
        <v>-2.6066773695723575</v>
      </c>
      <c r="AB194" s="2">
        <f>INDEX('Fuel Model - Calculation'!$E$2:$M$3771,(MATCH(("WTT Emission - "&amp;$F194),'Fuel Model - Calculation'!$E$2:$E$3771,0)),MATCH(AB$141,'Fuel Model - Calculation'!$E$2:$M$2,0))</f>
        <v>-2.6128170025601505</v>
      </c>
      <c r="AC194" s="2">
        <f>INDEX('Fuel Model - Calculation'!$E$2:$M$3771,(MATCH(("WTT Emission - "&amp;$F194),'Fuel Model - Calculation'!$E$2:$E$3771,0)),MATCH(AC$141,'Fuel Model - Calculation'!$E$2:$M$2,0))</f>
        <v>-2.6209908320532183</v>
      </c>
      <c r="AD194" s="2">
        <f>INDEX('Fuel Model - Calculation'!$E$2:$M$3771,(MATCH(("WTT Emission - "&amp;$F194),'Fuel Model - Calculation'!$E$2:$E$3771,0)),MATCH(AD$141,'Fuel Model - Calculation'!$E$2:$M$2,0))</f>
        <v>-2.6274297500000001</v>
      </c>
      <c r="AE194" s="2"/>
      <c r="AF194" s="76">
        <f>'Fuel Model -  Input'!H$269</f>
        <v>3.6492599999999999</v>
      </c>
      <c r="AG194" s="76">
        <f>'Fuel Model -  Input'!I$269</f>
        <v>3.6492599999999999</v>
      </c>
      <c r="AH194" s="76">
        <f>'Fuel Model -  Input'!J$269</f>
        <v>3.6492599999999999</v>
      </c>
      <c r="AI194" s="76">
        <f>'Fuel Model -  Input'!K$269</f>
        <v>3.6492599999999999</v>
      </c>
      <c r="AJ194" s="76">
        <f>'Fuel Model -  Input'!L$269</f>
        <v>3.6492599999999999</v>
      </c>
      <c r="AK194" s="76">
        <f>'Fuel Model -  Input'!M$269</f>
        <v>3.6492599999999999</v>
      </c>
      <c r="AL194" s="76">
        <f>'Fuel Model -  Input'!N$269</f>
        <v>3.6492599999999999</v>
      </c>
      <c r="AM194"/>
      <c r="AN194" s="24">
        <f t="shared" si="182"/>
        <v>1.0503050198051391</v>
      </c>
      <c r="AO194" s="24">
        <f t="shared" si="182"/>
        <v>1.04962</v>
      </c>
      <c r="AP194" s="24">
        <f t="shared" si="182"/>
        <v>1.0476951376484194</v>
      </c>
      <c r="AQ194" s="24">
        <f t="shared" si="182"/>
        <v>1.0425826304276424</v>
      </c>
      <c r="AR194" s="24">
        <f t="shared" si="182"/>
        <v>1.0364429974398495</v>
      </c>
      <c r="AS194" s="24">
        <f t="shared" si="182"/>
        <v>1.0282691679467817</v>
      </c>
      <c r="AT194" s="24">
        <f t="shared" si="182"/>
        <v>1.0218302499999998</v>
      </c>
      <c r="AU194"/>
      <c r="AV194" s="118">
        <f>IFERROR(INDEX('Fuel Model - Calculation'!$B$2:$M$3771,(MATCH(($E194&amp;"Results"&amp;$AV$140&amp;$F194&amp;"USD/ton"),'Fuel Model - Calculation'!$B$2:$B$3771,0)),MATCH(H$141,'Fuel Model - Calculation'!$B$2:$M$2,0)),0)</f>
        <v>779.76934830215805</v>
      </c>
      <c r="AW194" s="118">
        <f>IFERROR(INDEX('Fuel Model - Calculation'!$B$2:$M$3771,(MATCH(($E194&amp;"Results"&amp;$AV$140&amp;$F194&amp;"USD/ton"),'Fuel Model - Calculation'!$B$2:$B$3771,0)),MATCH(I$141,'Fuel Model - Calculation'!$B$2:$M$2,0)),0)</f>
        <v>669.47546507694926</v>
      </c>
      <c r="AX194" s="118">
        <f>IFERROR(INDEX('Fuel Model - Calculation'!$B$2:$M$3771,(MATCH(($E194&amp;"Results"&amp;$AV$140&amp;$F194&amp;"USD/ton"),'Fuel Model - Calculation'!$B$2:$B$3771,0)),MATCH(J$141,'Fuel Model - Calculation'!$B$2:$M$2,0)),0)</f>
        <v>597.32644088272252</v>
      </c>
      <c r="AY194" s="118">
        <f>IFERROR(INDEX('Fuel Model - Calculation'!$B$2:$M$3771,(MATCH(($E194&amp;"Results"&amp;$AV$140&amp;$F194&amp;"USD/ton"),'Fuel Model - Calculation'!$B$2:$B$3771,0)),MATCH(K$141,'Fuel Model - Calculation'!$B$2:$M$2,0)),0)</f>
        <v>600.24152790094467</v>
      </c>
      <c r="AZ194" s="118">
        <f>IFERROR(INDEX('Fuel Model - Calculation'!$B$2:$M$3771,(MATCH(($E194&amp;"Results"&amp;$AV$140&amp;$F194&amp;"USD/ton"),'Fuel Model - Calculation'!$B$2:$B$3771,0)),MATCH(L$141,'Fuel Model - Calculation'!$B$2:$M$2,0)),0)</f>
        <v>561.26080769795669</v>
      </c>
      <c r="BA194" s="118">
        <f>IFERROR(INDEX('Fuel Model - Calculation'!$B$2:$M$3771,(MATCH(($E194&amp;"Results"&amp;$AV$140&amp;$F194&amp;"USD/ton"),'Fuel Model - Calculation'!$B$2:$B$3771,0)),MATCH(M$141,'Fuel Model - Calculation'!$B$2:$M$2,0)),0)</f>
        <v>482.23733717358937</v>
      </c>
      <c r="BB194" s="118">
        <f>IFERROR(INDEX('Fuel Model - Calculation'!$B$2:$M$3771,(MATCH(($E194&amp;"Results"&amp;$AV$140&amp;$F194&amp;"USD/ton"),'Fuel Model - Calculation'!$B$2:$B$3771,0)),MATCH(N$141,'Fuel Model - Calculation'!$B$2:$M$2,0)),0)</f>
        <v>381.31048537121603</v>
      </c>
      <c r="BC194"/>
      <c r="BD194" s="118">
        <f>IFERROR(INDEX('Fuel Model - Calculation'!$B$2:$M$3771,(MATCH(($E194&amp;"Results"&amp;$BD$140&amp;$F194&amp;"USD/ton"),'Fuel Model - Calculation'!$B$2:$B$3771,0)),MATCH(P$141,'Fuel Model - Calculation'!$B$2:$M$2,0)),0)</f>
        <v>675.80557950298453</v>
      </c>
      <c r="BE194" s="118">
        <f>IFERROR(INDEX('Fuel Model - Calculation'!$B$2:$M$3771,(MATCH(($E194&amp;"Results"&amp;$BD$140&amp;$F194&amp;"USD/ton"),'Fuel Model - Calculation'!$B$2:$B$3771,0)),MATCH(Q$141,'Fuel Model - Calculation'!$B$2:$M$2,0)),0)</f>
        <v>539.052824253783</v>
      </c>
      <c r="BF194" s="118">
        <f>IFERROR(INDEX('Fuel Model - Calculation'!$B$2:$M$3771,(MATCH(($E194&amp;"Results"&amp;$BD$140&amp;$F194&amp;"USD/ton"),'Fuel Model - Calculation'!$B$2:$B$3771,0)),MATCH(R$141,'Fuel Model - Calculation'!$B$2:$M$2,0)),0)</f>
        <v>437.84242622233006</v>
      </c>
      <c r="BG194" s="118">
        <f>IFERROR(INDEX('Fuel Model - Calculation'!$B$2:$M$3771,(MATCH(($E194&amp;"Results"&amp;$BD$140&amp;$F194&amp;"USD/ton"),'Fuel Model - Calculation'!$B$2:$B$3771,0)),MATCH(S$141,'Fuel Model - Calculation'!$B$2:$M$2,0)),0)</f>
        <v>397.47536853963265</v>
      </c>
      <c r="BH194" s="118">
        <f>IFERROR(INDEX('Fuel Model - Calculation'!$B$2:$M$3771,(MATCH(($E194&amp;"Results"&amp;$BD$140&amp;$F194&amp;"USD/ton"),'Fuel Model - Calculation'!$B$2:$B$3771,0)),MATCH(T$141,'Fuel Model - Calculation'!$B$2:$M$2,0)),0)</f>
        <v>321.04085119765546</v>
      </c>
      <c r="BI194" s="118">
        <f>IFERROR(INDEX('Fuel Model - Calculation'!$B$2:$M$3771,(MATCH(($E194&amp;"Results"&amp;$BD$140&amp;$F194&amp;"USD/ton"),'Fuel Model - Calculation'!$B$2:$B$3771,0)),MATCH(U$141,'Fuel Model - Calculation'!$B$2:$M$2,0)),0)</f>
        <v>230.17489783100757</v>
      </c>
      <c r="BJ194" s="118">
        <f>IFERROR(INDEX('Fuel Model - Calculation'!$B$2:$M$3771,(MATCH(($E194&amp;"Results"&amp;$BD$140&amp;$F194&amp;"USD/ton"),'Fuel Model - Calculation'!$B$2:$B$3771,0)),MATCH(V$141,'Fuel Model - Calculation'!$B$2:$M$2,0)),0)</f>
        <v>149.3190127734824</v>
      </c>
      <c r="BL194" s="118">
        <f>IFERROR(IFERROR(INDEX('Fuel Model - Calculation'!$B$2:$M$3771,(MATCH(($E194&amp;"Results"&amp;$BL$140&amp;$F194&amp;"USD/ton"),'Fuel Model - Calculation'!$B$2:$B$3771,0)),MATCH(H$141,'Fuel Model - Calculation'!$B$2:$M$2,0)),0),0)</f>
        <v>533.91146546128948</v>
      </c>
      <c r="BM194" s="118">
        <f>IFERROR(IFERROR(INDEX('Fuel Model - Calculation'!$B$2:$M$3771,(MATCH(($E194&amp;"Results"&amp;$BL$140&amp;$F194&amp;"USD/ton"),'Fuel Model - Calculation'!$B$2:$B$3771,0)),MATCH(I$141,'Fuel Model - Calculation'!$B$2:$M$2,0)),0),0)</f>
        <v>415.68687817223116</v>
      </c>
      <c r="BN194" s="118">
        <f>IFERROR(IFERROR(INDEX('Fuel Model - Calculation'!$B$2:$M$3771,(MATCH(($E194&amp;"Results"&amp;$BL$140&amp;$F194&amp;"USD/ton"),'Fuel Model - Calculation'!$B$2:$B$3771,0)),MATCH(J$141,'Fuel Model - Calculation'!$B$2:$M$2,0)),0),0)</f>
        <v>327.98723147478813</v>
      </c>
      <c r="BO194" s="118">
        <f>IFERROR(IFERROR(INDEX('Fuel Model - Calculation'!$B$2:$M$3771,(MATCH(($E194&amp;"Results"&amp;$BL$140&amp;$F194&amp;"USD/ton"),'Fuel Model - Calculation'!$B$2:$B$3771,0)),MATCH(K$141,'Fuel Model - Calculation'!$B$2:$M$2,0)),0),0)</f>
        <v>291.98963983635463</v>
      </c>
      <c r="BP194" s="118">
        <f>IFERROR(IFERROR(INDEX('Fuel Model - Calculation'!$B$2:$M$3771,(MATCH(($E194&amp;"Results"&amp;$BL$140&amp;$F194&amp;"USD/ton"),'Fuel Model - Calculation'!$B$2:$B$3771,0)),MATCH(L$141,'Fuel Model - Calculation'!$B$2:$M$2,0)),0),0)</f>
        <v>259.47802320948932</v>
      </c>
      <c r="BQ194" s="118">
        <f>IFERROR(IFERROR(INDEX('Fuel Model - Calculation'!$B$2:$M$3771,(MATCH(($E194&amp;"Results"&amp;$BL$140&amp;$F194&amp;"USD/ton"),'Fuel Model - Calculation'!$B$2:$B$3771,0)),MATCH(M$141,'Fuel Model - Calculation'!$B$2:$M$2,0)),0),0)</f>
        <v>226.87877081198502</v>
      </c>
      <c r="BR194" s="118">
        <f>IFERROR(IFERROR(INDEX('Fuel Model - Calculation'!$B$2:$M$3771,(MATCH(($E194&amp;"Results"&amp;$BL$140&amp;$F194&amp;"USD/ton"),'Fuel Model - Calculation'!$B$2:$B$3771,0)),MATCH(N$141,'Fuel Model - Calculation'!$B$2:$M$2,0)),0),0)</f>
        <v>195.90249081248399</v>
      </c>
      <c r="BT194" s="118">
        <f>IFERROR(INDEX('Fuel Model - Calculation'!$B$2:$M$3771,(MATCH(($E194&amp;"Results"&amp;$BT$140&amp;$F194&amp;"USD/ton"),'Fuel Model - Calculation'!$B$2:$B$3771,0)),MATCH(H$141,'Fuel Model - Calculation'!$B$2:$M$2,0)),0)</f>
        <v>0</v>
      </c>
      <c r="BU194" s="118">
        <f>IFERROR(INDEX('Fuel Model - Calculation'!$B$2:$M$3771,(MATCH(($E194&amp;"Results"&amp;$BT$140&amp;$F194&amp;"USD/ton"),'Fuel Model - Calculation'!$B$2:$B$3771,0)),MATCH(I$141,'Fuel Model - Calculation'!$B$2:$M$2,0)),0)</f>
        <v>0</v>
      </c>
      <c r="BV194" s="118">
        <f>IFERROR(INDEX('Fuel Model - Calculation'!$B$2:$M$3771,(MATCH(($E194&amp;"Results"&amp;$BT$140&amp;$F194&amp;"USD/ton"),'Fuel Model - Calculation'!$B$2:$B$3771,0)),MATCH(J$141,'Fuel Model - Calculation'!$B$2:$M$2,0)),0)</f>
        <v>0</v>
      </c>
      <c r="BW194" s="118">
        <f>IFERROR(INDEX('Fuel Model - Calculation'!$B$2:$M$3771,(MATCH(($E194&amp;"Results"&amp;$BT$140&amp;$F194&amp;"USD/ton"),'Fuel Model - Calculation'!$B$2:$B$3771,0)),MATCH(K$141,'Fuel Model - Calculation'!$B$2:$M$2,0)),0)</f>
        <v>0</v>
      </c>
      <c r="BX194" s="118">
        <f>IFERROR(INDEX('Fuel Model - Calculation'!$B$2:$M$3771,(MATCH(($E194&amp;"Results"&amp;$BT$140&amp;$F194&amp;"USD/ton"),'Fuel Model - Calculation'!$B$2:$B$3771,0)),MATCH(L$141,'Fuel Model - Calculation'!$B$2:$M$2,0)),0)</f>
        <v>0</v>
      </c>
      <c r="BY194" s="118">
        <f>IFERROR(INDEX('Fuel Model - Calculation'!$B$2:$M$3771,(MATCH(($E194&amp;"Results"&amp;$BT$140&amp;$F194&amp;"USD/ton"),'Fuel Model - Calculation'!$B$2:$B$3771,0)),MATCH(M$141,'Fuel Model - Calculation'!$B$2:$M$2,0)),0)</f>
        <v>0</v>
      </c>
      <c r="BZ194" s="118">
        <f>IFERROR(INDEX('Fuel Model - Calculation'!$B$2:$M$3771,(MATCH(($E194&amp;"Results"&amp;$BT$140&amp;$F194&amp;"USD/ton"),'Fuel Model - Calculation'!$B$2:$B$3771,0)),MATCH(N$141,'Fuel Model - Calculation'!$B$2:$M$2,0)),0)</f>
        <v>0</v>
      </c>
    </row>
    <row r="195" spans="1:78" x14ac:dyDescent="0.2">
      <c r="A195" s="452"/>
      <c r="B195" s="453"/>
      <c r="D195" s="459"/>
      <c r="E195"/>
      <c r="F195"/>
      <c r="G195"/>
      <c r="H195" s="118"/>
      <c r="I195"/>
      <c r="J195"/>
      <c r="K195"/>
      <c r="L195"/>
      <c r="M195"/>
      <c r="N195"/>
      <c r="O195"/>
      <c r="P195"/>
      <c r="Q195"/>
      <c r="R195"/>
      <c r="S195"/>
      <c r="T195"/>
      <c r="U195"/>
      <c r="V195"/>
      <c r="W195"/>
      <c r="X195"/>
      <c r="Y195"/>
      <c r="Z195"/>
      <c r="AA195"/>
      <c r="AB195"/>
      <c r="AC195"/>
      <c r="AD195"/>
      <c r="AE195"/>
      <c r="AF195" s="76"/>
      <c r="AG195" s="76"/>
      <c r="AH195" s="76"/>
      <c r="AI195" s="76"/>
      <c r="AJ195" s="76"/>
      <c r="AK195" s="76"/>
      <c r="AL195" s="76"/>
      <c r="AM195"/>
      <c r="AN195" s="24"/>
      <c r="AO195" s="24"/>
      <c r="AP195" s="24"/>
      <c r="AQ195" s="24"/>
      <c r="AR195" s="24"/>
      <c r="AS195" s="24"/>
      <c r="AT195" s="24"/>
      <c r="AU195"/>
      <c r="AV195" s="118"/>
      <c r="AW195" s="118"/>
      <c r="AX195" s="118"/>
      <c r="AY195" s="118"/>
      <c r="AZ195" s="118"/>
      <c r="BA195" s="118"/>
      <c r="BB195" s="118"/>
      <c r="BC195"/>
      <c r="BD195" s="118"/>
      <c r="BE195" s="118"/>
      <c r="BF195" s="118"/>
      <c r="BG195" s="118"/>
      <c r="BH195" s="118"/>
      <c r="BI195" s="118"/>
      <c r="BJ195" s="118"/>
      <c r="BL195" s="118"/>
      <c r="BM195" s="118"/>
      <c r="BN195" s="118"/>
      <c r="BO195" s="118"/>
      <c r="BP195" s="118"/>
      <c r="BQ195" s="118"/>
      <c r="BR195" s="118"/>
      <c r="BT195" s="118"/>
      <c r="BU195" s="118"/>
      <c r="BV195" s="118"/>
      <c r="BW195" s="118"/>
      <c r="BX195" s="118"/>
      <c r="BY195" s="118"/>
      <c r="BZ195" s="118"/>
    </row>
    <row r="196" spans="1:78" x14ac:dyDescent="0.2">
      <c r="A196" s="452"/>
      <c r="B196" s="453" t="str">
        <f>_xlfn.TEXTJOIN(keydelim,TRUE,F196,IF(E196="Africa","Africa&amp;other",E196),"Fuel cost",SUBSTITUTE($G196," ",""))</f>
        <v>Blue ammonia - Europe - Fuel cost - USD/ton</v>
      </c>
      <c r="D196" s="459" t="str">
        <f>E196&amp;F196</f>
        <v>EuropeBlue ammonia</v>
      </c>
      <c r="E196" t="s">
        <v>195</v>
      </c>
      <c r="F196" s="29" t="s">
        <v>120</v>
      </c>
      <c r="G196" t="s">
        <v>835</v>
      </c>
      <c r="H196" s="118">
        <f>INDEX('Fuel Model - Calculation'!$B$2:$M$3771,(MATCH(($E196&amp;"ResultsCost of "&amp;$F196&amp;"USD/ton"),'Fuel Model - Calculation'!$B$2:$B$3771,0)),MATCH(H$141,'Fuel Model - Calculation'!$B$2:$M$2,0))</f>
        <v>1475.6915676005433</v>
      </c>
      <c r="I196" s="118">
        <f>INDEX('Fuel Model - Calculation'!$B$2:$M$3771,(MATCH(($E196&amp;"ResultsCost of "&amp;$F196&amp;"USD/ton"),'Fuel Model - Calculation'!$B$2:$B$3771,0)),MATCH(I$141,'Fuel Model - Calculation'!$B$2:$M$2,0))</f>
        <v>774.1247900676633</v>
      </c>
      <c r="J196" s="118">
        <f>INDEX('Fuel Model - Calculation'!$B$2:$M$3771,(MATCH(($E196&amp;"ResultsCost of "&amp;$F196&amp;"USD/ton"),'Fuel Model - Calculation'!$B$2:$B$3771,0)),MATCH(J$141,'Fuel Model - Calculation'!$B$2:$M$2,0))</f>
        <v>600.88685547087664</v>
      </c>
      <c r="K196" s="118">
        <f>INDEX('Fuel Model - Calculation'!$B$2:$M$3771,(MATCH(($E196&amp;"ResultsCost of "&amp;$F196&amp;"USD/ton"),'Fuel Model - Calculation'!$B$2:$B$3771,0)),MATCH(K$141,'Fuel Model - Calculation'!$B$2:$M$2,0))</f>
        <v>592.76465593224987</v>
      </c>
      <c r="L196" s="118">
        <f>INDEX('Fuel Model - Calculation'!$B$2:$M$3771,(MATCH(($E196&amp;"ResultsCost of "&amp;$F196&amp;"USD/ton"),'Fuel Model - Calculation'!$B$2:$B$3771,0)),MATCH(L$141,'Fuel Model - Calculation'!$B$2:$M$2,0))</f>
        <v>584.87416205567763</v>
      </c>
      <c r="M196" s="118">
        <f>INDEX('Fuel Model - Calculation'!$B$2:$M$3771,(MATCH(($E196&amp;"ResultsCost of "&amp;$F196&amp;"USD/ton"),'Fuel Model - Calculation'!$B$2:$B$3771,0)),MATCH(M$141,'Fuel Model - Calculation'!$B$2:$M$2,0))</f>
        <v>576.95969784033161</v>
      </c>
      <c r="N196" s="118">
        <f>INDEX('Fuel Model - Calculation'!$B$2:$M$3771,(MATCH(($E196&amp;"ResultsCost of "&amp;$F196&amp;"USD/ton"),'Fuel Model - Calculation'!$B$2:$B$3771,0)),MATCH(N$141,'Fuel Model - Calculation'!$B$2:$M$2,0))</f>
        <v>569.14454106475978</v>
      </c>
      <c r="O196"/>
      <c r="P196" s="118">
        <f>IFERROR(INDEX('Fuel Model - Calculation'!G$2:G$3771,(MATCH(($E196&amp;"ResultsTotal RNE "&amp;$F196&amp;"USD/ton"),'Fuel Model - Calculation'!$B$2:$B$3771,0))),0)</f>
        <v>0</v>
      </c>
      <c r="Q196" s="118">
        <f>IFERROR(INDEX('Fuel Model - Calculation'!H$2:H$3771,(MATCH(($E196&amp;"ResultsTotal RNE "&amp;$F196&amp;"USD/ton"),'Fuel Model - Calculation'!$B$2:$B$3771,0))),0)</f>
        <v>0</v>
      </c>
      <c r="R196" s="118">
        <f>IFERROR(INDEX('Fuel Model - Calculation'!I$2:I$3771,(MATCH(($E196&amp;"ResultsTotal RNE "&amp;$F196&amp;"USD/ton"),'Fuel Model - Calculation'!$B$2:$B$3771,0))),0)</f>
        <v>0</v>
      </c>
      <c r="S196" s="118">
        <f>IFERROR(INDEX('Fuel Model - Calculation'!J$2:J$3771,(MATCH(($E196&amp;"ResultsTotal RNE "&amp;$F196&amp;"USD/ton"),'Fuel Model - Calculation'!$B$2:$B$3771,0))),0)</f>
        <v>0</v>
      </c>
      <c r="T196" s="118">
        <f>IFERROR(INDEX('Fuel Model - Calculation'!K$2:K$3771,(MATCH(($E196&amp;"ResultsTotal RNE "&amp;$F196&amp;"USD/ton"),'Fuel Model - Calculation'!$B$2:$B$3771,0))),0)</f>
        <v>0</v>
      </c>
      <c r="U196" s="118">
        <f>IFERROR(INDEX('Fuel Model - Calculation'!L$2:L$3771,(MATCH(($E196&amp;"ResultsTotal RNE "&amp;$F196&amp;"USD/ton"),'Fuel Model - Calculation'!$B$2:$B$3771,0))),0)</f>
        <v>0</v>
      </c>
      <c r="V196" s="118">
        <f>IFERROR(INDEX('Fuel Model - Calculation'!M$2:M$3771,(MATCH(($E196&amp;"ResultsTotal RNE "&amp;$F196&amp;"USD/ton"),'Fuel Model - Calculation'!$B$2:$B$3771,0))),0)</f>
        <v>0</v>
      </c>
      <c r="W196"/>
      <c r="X196" s="2">
        <f>INDEX('Fuel Model - Calculation'!$E$2:$M$3771,(MATCH(("WTT Emission - "&amp;$F196),'Fuel Model - Calculation'!$E$2:$E$3771,0)),MATCH(X$141,'Fuel Model - Calculation'!$E$2:$M$2,0))</f>
        <v>0.41517900000000002</v>
      </c>
      <c r="Y196" s="2">
        <f>INDEX('Fuel Model - Calculation'!$E$2:$M$3771,(MATCH(("WTT Emission - "&amp;$F196),'Fuel Model - Calculation'!$E$2:$E$3771,0)),MATCH(Y$141,'Fuel Model - Calculation'!$E$2:$M$2,0))</f>
        <v>0.39635270000000006</v>
      </c>
      <c r="Z196" s="2">
        <f>INDEX('Fuel Model - Calculation'!$E$2:$M$3771,(MATCH(("WTT Emission - "&amp;$F196),'Fuel Model - Calculation'!$E$2:$E$3771,0)),MATCH(Z$141,'Fuel Model - Calculation'!$E$2:$M$2,0))</f>
        <v>0.37752639999999982</v>
      </c>
      <c r="AA196" s="2">
        <f>INDEX('Fuel Model - Calculation'!$E$2:$M$3771,(MATCH(("WTT Emission - "&amp;$F196),'Fuel Model - Calculation'!$E$2:$E$3771,0)),MATCH(AA$141,'Fuel Model - Calculation'!$E$2:$M$2,0))</f>
        <v>0.3587000999999998</v>
      </c>
      <c r="AB196" s="2">
        <f>INDEX('Fuel Model - Calculation'!$E$2:$M$3771,(MATCH(("WTT Emission - "&amp;$F196),'Fuel Model - Calculation'!$E$2:$E$3771,0)),MATCH(AB$141,'Fuel Model - Calculation'!$E$2:$M$2,0))</f>
        <v>0.3398738</v>
      </c>
      <c r="AC196" s="2">
        <f>INDEX('Fuel Model - Calculation'!$E$2:$M$3771,(MATCH(("WTT Emission - "&amp;$F196),'Fuel Model - Calculation'!$E$2:$E$3771,0)),MATCH(AC$141,'Fuel Model - Calculation'!$E$2:$M$2,0))</f>
        <v>0.32104749999999999</v>
      </c>
      <c r="AD196" s="2">
        <f>INDEX('Fuel Model - Calculation'!$E$2:$M$3771,(MATCH(("WTT Emission - "&amp;$F196),'Fuel Model - Calculation'!$E$2:$E$3771,0)),MATCH(AD$141,'Fuel Model - Calculation'!$E$2:$M$2,0))</f>
        <v>0.30222120000000002</v>
      </c>
      <c r="AE196" s="2"/>
      <c r="AF196" s="76">
        <f>'Fuel Model -  Input'!H$50</f>
        <v>0</v>
      </c>
      <c r="AG196" s="76">
        <f>'Fuel Model -  Input'!I$50</f>
        <v>0</v>
      </c>
      <c r="AH196" s="76">
        <f>'Fuel Model -  Input'!J$50</f>
        <v>0</v>
      </c>
      <c r="AI196" s="76">
        <f>'Fuel Model -  Input'!K$50</f>
        <v>0</v>
      </c>
      <c r="AJ196" s="76">
        <f>'Fuel Model -  Input'!L$50</f>
        <v>0</v>
      </c>
      <c r="AK196" s="76">
        <f>'Fuel Model -  Input'!M$50</f>
        <v>0</v>
      </c>
      <c r="AL196" s="76">
        <f>'Fuel Model -  Input'!N$50</f>
        <v>0</v>
      </c>
      <c r="AM196"/>
      <c r="AN196" s="24">
        <f t="shared" ref="AN196:AT200" si="185">X196+AF196</f>
        <v>0.41517900000000002</v>
      </c>
      <c r="AO196" s="24">
        <f t="shared" si="185"/>
        <v>0.39635270000000006</v>
      </c>
      <c r="AP196" s="24">
        <f t="shared" si="185"/>
        <v>0.37752639999999982</v>
      </c>
      <c r="AQ196" s="24">
        <f t="shared" si="185"/>
        <v>0.3587000999999998</v>
      </c>
      <c r="AR196" s="24">
        <f t="shared" si="185"/>
        <v>0.3398738</v>
      </c>
      <c r="AS196" s="24">
        <f t="shared" si="185"/>
        <v>0.32104749999999999</v>
      </c>
      <c r="AT196" s="24">
        <f t="shared" si="185"/>
        <v>0.30222120000000002</v>
      </c>
      <c r="AU196"/>
      <c r="AV196" s="118">
        <f>IFERROR(INDEX('Fuel Model - Calculation'!$B$2:$M$3771,(MATCH(($E196&amp;"Results"&amp;$AV$140&amp;$F196&amp;"USD/ton"),'Fuel Model - Calculation'!$B$2:$B$3771,0)),MATCH(H$141,'Fuel Model - Calculation'!$B$2:$M$2,0)),0)</f>
        <v>111.30000000000003</v>
      </c>
      <c r="AW196" s="118">
        <f>IFERROR(INDEX('Fuel Model - Calculation'!$B$2:$M$3771,(MATCH(($E196&amp;"Results"&amp;$AV$140&amp;$F196&amp;"USD/ton"),'Fuel Model - Calculation'!$B$2:$B$3771,0)),MATCH(I$141,'Fuel Model - Calculation'!$B$2:$M$2,0)),0)</f>
        <v>106.00000000000003</v>
      </c>
      <c r="AX196" s="118">
        <f>IFERROR(INDEX('Fuel Model - Calculation'!$B$2:$M$3771,(MATCH(($E196&amp;"Results"&amp;$AV$140&amp;$F196&amp;"USD/ton"),'Fuel Model - Calculation'!$B$2:$B$3771,0)),MATCH(J$141,'Fuel Model - Calculation'!$B$2:$M$2,0)),0)</f>
        <v>100.70000000000002</v>
      </c>
      <c r="AY196" s="118">
        <f>IFERROR(INDEX('Fuel Model - Calculation'!$B$2:$M$3771,(MATCH(($E196&amp;"Results"&amp;$AV$140&amp;$F196&amp;"USD/ton"),'Fuel Model - Calculation'!$B$2:$B$3771,0)),MATCH(K$141,'Fuel Model - Calculation'!$B$2:$M$2,0)),0)</f>
        <v>95.40000000000002</v>
      </c>
      <c r="AZ196" s="118">
        <f>IFERROR(INDEX('Fuel Model - Calculation'!$B$2:$M$3771,(MATCH(($E196&amp;"Results"&amp;$AV$140&amp;$F196&amp;"USD/ton"),'Fuel Model - Calculation'!$B$2:$B$3771,0)),MATCH(L$141,'Fuel Model - Calculation'!$B$2:$M$2,0)),0)</f>
        <v>90.100000000000023</v>
      </c>
      <c r="BA196" s="118">
        <f>IFERROR(INDEX('Fuel Model - Calculation'!$B$2:$M$3771,(MATCH(($E196&amp;"Results"&amp;$AV$140&amp;$F196&amp;"USD/ton"),'Fuel Model - Calculation'!$B$2:$B$3771,0)),MATCH(M$141,'Fuel Model - Calculation'!$B$2:$M$2,0)),0)</f>
        <v>84.800000000000026</v>
      </c>
      <c r="BB196" s="118">
        <f>IFERROR(INDEX('Fuel Model - Calculation'!$B$2:$M$3771,(MATCH(($E196&amp;"Results"&amp;$AV$140&amp;$F196&amp;"USD/ton"),'Fuel Model - Calculation'!$B$2:$B$3771,0)),MATCH(N$141,'Fuel Model - Calculation'!$B$2:$M$2,0)),0)</f>
        <v>79.500000000000014</v>
      </c>
      <c r="BC196"/>
      <c r="BD196" s="118">
        <f>IFERROR(INDEX('Fuel Model - Calculation'!$B$2:$M$3771,(MATCH(($E196&amp;"Results"&amp;$BD$140&amp;$F196&amp;"USD/ton"),'Fuel Model - Calculation'!$B$2:$B$3771,0)),MATCH(P$141,'Fuel Model - Calculation'!$B$2:$M$2,0)),0)</f>
        <v>50.4</v>
      </c>
      <c r="BE196" s="118">
        <f>IFERROR(INDEX('Fuel Model - Calculation'!$B$2:$M$3771,(MATCH(($E196&amp;"Results"&amp;$BD$140&amp;$F196&amp;"USD/ton"),'Fuel Model - Calculation'!$B$2:$B$3771,0)),MATCH(Q$141,'Fuel Model - Calculation'!$B$2:$M$2,0)),0)</f>
        <v>48</v>
      </c>
      <c r="BF196" s="118">
        <f>IFERROR(INDEX('Fuel Model - Calculation'!$B$2:$M$3771,(MATCH(($E196&amp;"Results"&amp;$BD$140&amp;$F196&amp;"USD/ton"),'Fuel Model - Calculation'!$B$2:$B$3771,0)),MATCH(R$141,'Fuel Model - Calculation'!$B$2:$M$2,0)),0)</f>
        <v>45.6</v>
      </c>
      <c r="BG196" s="118">
        <f>IFERROR(INDEX('Fuel Model - Calculation'!$B$2:$M$3771,(MATCH(($E196&amp;"Results"&amp;$BD$140&amp;$F196&amp;"USD/ton"),'Fuel Model - Calculation'!$B$2:$B$3771,0)),MATCH(S$141,'Fuel Model - Calculation'!$B$2:$M$2,0)),0)</f>
        <v>43.2</v>
      </c>
      <c r="BH196" s="118">
        <f>IFERROR(INDEX('Fuel Model - Calculation'!$B$2:$M$3771,(MATCH(($E196&amp;"Results"&amp;$BD$140&amp;$F196&amp;"USD/ton"),'Fuel Model - Calculation'!$B$2:$B$3771,0)),MATCH(T$141,'Fuel Model - Calculation'!$B$2:$M$2,0)),0)</f>
        <v>40.800000000000004</v>
      </c>
      <c r="BI196" s="118">
        <f>IFERROR(INDEX('Fuel Model - Calculation'!$B$2:$M$3771,(MATCH(($E196&amp;"Results"&amp;$BD$140&amp;$F196&amp;"USD/ton"),'Fuel Model - Calculation'!$B$2:$B$3771,0)),MATCH(U$141,'Fuel Model - Calculation'!$B$2:$M$2,0)),0)</f>
        <v>38.4</v>
      </c>
      <c r="BJ196" s="118">
        <f>IFERROR(INDEX('Fuel Model - Calculation'!$B$2:$M$3771,(MATCH(($E196&amp;"Results"&amp;$BD$140&amp;$F196&amp;"USD/ton"),'Fuel Model - Calculation'!$B$2:$B$3771,0)),MATCH(V$141,'Fuel Model - Calculation'!$B$2:$M$2,0)),0)</f>
        <v>36</v>
      </c>
      <c r="BL196" s="118">
        <f>IFERROR(IFERROR(INDEX('Fuel Model - Calculation'!$B$2:$M$3771,(MATCH(($E196&amp;"Results"&amp;$BL$140&amp;$F196&amp;"USD/ton"),'Fuel Model - Calculation'!$B$2:$B$3771,0)),MATCH(H$141,'Fuel Model - Calculation'!$B$2:$M$2,0)),0),0)</f>
        <v>131.21600000000001</v>
      </c>
      <c r="BM196" s="118">
        <f>IFERROR(IFERROR(INDEX('Fuel Model - Calculation'!$B$2:$M$3771,(MATCH(($E196&amp;"Results"&amp;$BL$140&amp;$F196&amp;"USD/ton"),'Fuel Model - Calculation'!$B$2:$B$3771,0)),MATCH(I$141,'Fuel Model - Calculation'!$B$2:$M$2,0)),0),0)</f>
        <v>132.16000000000003</v>
      </c>
      <c r="BN196" s="118">
        <f>IFERROR(IFERROR(INDEX('Fuel Model - Calculation'!$B$2:$M$3771,(MATCH(($E196&amp;"Results"&amp;$BL$140&amp;$F196&amp;"USD/ton"),'Fuel Model - Calculation'!$B$2:$B$3771,0)),MATCH(J$141,'Fuel Model - Calculation'!$B$2:$M$2,0)),0),0)</f>
        <v>133.10400000000001</v>
      </c>
      <c r="BO196" s="118">
        <f>IFERROR(IFERROR(INDEX('Fuel Model - Calculation'!$B$2:$M$3771,(MATCH(($E196&amp;"Results"&amp;$BL$140&amp;$F196&amp;"USD/ton"),'Fuel Model - Calculation'!$B$2:$B$3771,0)),MATCH(K$141,'Fuel Model - Calculation'!$B$2:$M$2,0)),0),0)</f>
        <v>134.048</v>
      </c>
      <c r="BP196" s="118">
        <f>IFERROR(IFERROR(INDEX('Fuel Model - Calculation'!$B$2:$M$3771,(MATCH(($E196&amp;"Results"&amp;$BL$140&amp;$F196&amp;"USD/ton"),'Fuel Model - Calculation'!$B$2:$B$3771,0)),MATCH(L$141,'Fuel Model - Calculation'!$B$2:$M$2,0)),0),0)</f>
        <v>134.99200000000002</v>
      </c>
      <c r="BQ196" s="118">
        <f>IFERROR(IFERROR(INDEX('Fuel Model - Calculation'!$B$2:$M$3771,(MATCH(($E196&amp;"Results"&amp;$BL$140&amp;$F196&amp;"USD/ton"),'Fuel Model - Calculation'!$B$2:$B$3771,0)),MATCH(M$141,'Fuel Model - Calculation'!$B$2:$M$2,0)),0),0)</f>
        <v>135.93600000000001</v>
      </c>
      <c r="BR196" s="118">
        <f>IFERROR(IFERROR(INDEX('Fuel Model - Calculation'!$B$2:$M$3771,(MATCH(($E196&amp;"Results"&amp;$BL$140&amp;$F196&amp;"USD/ton"),'Fuel Model - Calculation'!$B$2:$B$3771,0)),MATCH(N$141,'Fuel Model - Calculation'!$B$2:$M$2,0)),0),0)</f>
        <v>136.88</v>
      </c>
      <c r="BT196" s="118">
        <f>IFERROR(INDEX('Fuel Model - Calculation'!$B$2:$M$3771,(MATCH(($E196&amp;"Results"&amp;$BT$140&amp;$F196&amp;"USD/ton"),'Fuel Model - Calculation'!$B$2:$B$3771,0)),MATCH(H$141,'Fuel Model - Calculation'!$B$2:$M$2,0)),0)</f>
        <v>1182.7755676005434</v>
      </c>
      <c r="BU196" s="118">
        <f>IFERROR(INDEX('Fuel Model - Calculation'!$B$2:$M$3771,(MATCH(($E196&amp;"Results"&amp;$BT$140&amp;$F196&amp;"USD/ton"),'Fuel Model - Calculation'!$B$2:$B$3771,0)),MATCH(I$141,'Fuel Model - Calculation'!$B$2:$M$2,0)),0)</f>
        <v>487.96479006766316</v>
      </c>
      <c r="BV196" s="118">
        <f>IFERROR(INDEX('Fuel Model - Calculation'!$B$2:$M$3771,(MATCH(($E196&amp;"Results"&amp;$BT$140&amp;$F196&amp;"USD/ton"),'Fuel Model - Calculation'!$B$2:$B$3771,0)),MATCH(J$141,'Fuel Model - Calculation'!$B$2:$M$2,0)),0)</f>
        <v>321.48285547087664</v>
      </c>
      <c r="BW196" s="118">
        <f>IFERROR(INDEX('Fuel Model - Calculation'!$B$2:$M$3771,(MATCH(($E196&amp;"Results"&amp;$BT$140&amp;$F196&amp;"USD/ton"),'Fuel Model - Calculation'!$B$2:$B$3771,0)),MATCH(K$141,'Fuel Model - Calculation'!$B$2:$M$2,0)),0)</f>
        <v>320.11665593224984</v>
      </c>
      <c r="BX196" s="118">
        <f>IFERROR(INDEX('Fuel Model - Calculation'!$B$2:$M$3771,(MATCH(($E196&amp;"Results"&amp;$BT$140&amp;$F196&amp;"USD/ton"),'Fuel Model - Calculation'!$B$2:$B$3771,0)),MATCH(L$141,'Fuel Model - Calculation'!$B$2:$M$2,0)),0)</f>
        <v>318.98216205567758</v>
      </c>
      <c r="BY196" s="118">
        <f>IFERROR(INDEX('Fuel Model - Calculation'!$B$2:$M$3771,(MATCH(($E196&amp;"Results"&amp;$BT$140&amp;$F196&amp;"USD/ton"),'Fuel Model - Calculation'!$B$2:$B$3771,0)),MATCH(M$141,'Fuel Model - Calculation'!$B$2:$M$2,0)),0)</f>
        <v>317.82369784033159</v>
      </c>
      <c r="BZ196" s="118">
        <f>IFERROR(INDEX('Fuel Model - Calculation'!$B$2:$M$3771,(MATCH(($E196&amp;"Results"&amp;$BT$140&amp;$F196&amp;"USD/ton"),'Fuel Model - Calculation'!$B$2:$B$3771,0)),MATCH(N$141,'Fuel Model - Calculation'!$B$2:$M$2,0)),0)</f>
        <v>316.76454106475973</v>
      </c>
    </row>
    <row r="197" spans="1:78" x14ac:dyDescent="0.2">
      <c r="A197" s="452"/>
      <c r="B197" s="453" t="str">
        <f>_xlfn.TEXTJOIN(keydelim,TRUE,F197,IF(E197="Africa","Africa&amp;other",E197),"Fuel cost",SUBSTITUTE($G197," ",""))</f>
        <v>Blue ammonia - Middle East - Fuel cost - USD/ton</v>
      </c>
      <c r="D197" s="459" t="str">
        <f t="shared" ref="D197:D200" si="186">E197&amp;F197</f>
        <v>Middle EastBlue ammonia</v>
      </c>
      <c r="E197" t="s">
        <v>197</v>
      </c>
      <c r="F197" s="460" t="str">
        <f t="shared" ref="F197:F200" si="187">F196</f>
        <v>Blue ammonia</v>
      </c>
      <c r="G197" t="s">
        <v>835</v>
      </c>
      <c r="H197" s="118">
        <f>INDEX('Fuel Model - Calculation'!$B$2:$M$3771,(MATCH(($E197&amp;"ResultsCost of "&amp;$F197&amp;"USD/ton"),'Fuel Model - Calculation'!$B$2:$B$3771,0)),MATCH(H$141,'Fuel Model - Calculation'!$B$2:$M$2,0))</f>
        <v>1249.6077383737788</v>
      </c>
      <c r="I197" s="118">
        <f>INDEX('Fuel Model - Calculation'!$B$2:$M$3771,(MATCH(($E197&amp;"ResultsCost of "&amp;$F197&amp;"USD/ton"),'Fuel Model - Calculation'!$B$2:$B$3771,0)),MATCH(I$141,'Fuel Model - Calculation'!$B$2:$M$2,0))</f>
        <v>660.41090785259462</v>
      </c>
      <c r="J197" s="118">
        <f>INDEX('Fuel Model - Calculation'!$B$2:$M$3771,(MATCH(($E197&amp;"ResultsCost of "&amp;$F197&amp;"USD/ton"),'Fuel Model - Calculation'!$B$2:$B$3771,0)),MATCH(J$141,'Fuel Model - Calculation'!$B$2:$M$2,0))</f>
        <v>388.46783100817009</v>
      </c>
      <c r="K197" s="118">
        <f>INDEX('Fuel Model - Calculation'!$B$2:$M$3771,(MATCH(($E197&amp;"ResultsCost of "&amp;$F197&amp;"USD/ton"),'Fuel Model - Calculation'!$B$2:$B$3771,0)),MATCH(K$141,'Fuel Model - Calculation'!$B$2:$M$2,0))</f>
        <v>380.29375437926848</v>
      </c>
      <c r="L197" s="118">
        <f>INDEX('Fuel Model - Calculation'!$B$2:$M$3771,(MATCH(($E197&amp;"ResultsCost of "&amp;$F197&amp;"USD/ton"),'Fuel Model - Calculation'!$B$2:$B$3771,0)),MATCH(L$141,'Fuel Model - Calculation'!$B$2:$M$2,0))</f>
        <v>372.43225749442354</v>
      </c>
      <c r="M197" s="118">
        <f>INDEX('Fuel Model - Calculation'!$B$2:$M$3771,(MATCH(($E197&amp;"ResultsCost of "&amp;$F197&amp;"USD/ton"),'Fuel Model - Calculation'!$B$2:$B$3771,0)),MATCH(M$141,'Fuel Model - Calculation'!$B$2:$M$2,0))</f>
        <v>364.47288201393883</v>
      </c>
      <c r="N197" s="118">
        <f>INDEX('Fuel Model - Calculation'!$B$2:$M$3771,(MATCH(($E197&amp;"ResultsCost of "&amp;$F197&amp;"USD/ton"),'Fuel Model - Calculation'!$B$2:$B$3771,0)),MATCH(N$141,'Fuel Model - Calculation'!$B$2:$M$2,0))</f>
        <v>356.73278425825652</v>
      </c>
      <c r="O197"/>
      <c r="P197" s="118">
        <f>IFERROR(INDEX('Fuel Model - Calculation'!G$2:G$3771,(MATCH(($E197&amp;"ResultsTotal RNE "&amp;$F197&amp;"USD/ton"),'Fuel Model - Calculation'!$B$2:$B$3771,0))),0)</f>
        <v>0</v>
      </c>
      <c r="Q197" s="118">
        <f>IFERROR(INDEX('Fuel Model - Calculation'!H$2:H$3771,(MATCH(($E197&amp;"ResultsTotal RNE "&amp;$F197&amp;"USD/ton"),'Fuel Model - Calculation'!$B$2:$B$3771,0))),0)</f>
        <v>0</v>
      </c>
      <c r="R197" s="118">
        <f>IFERROR(INDEX('Fuel Model - Calculation'!I$2:I$3771,(MATCH(($E197&amp;"ResultsTotal RNE "&amp;$F197&amp;"USD/ton"),'Fuel Model - Calculation'!$B$2:$B$3771,0))),0)</f>
        <v>0</v>
      </c>
      <c r="S197" s="118">
        <f>IFERROR(INDEX('Fuel Model - Calculation'!J$2:J$3771,(MATCH(($E197&amp;"ResultsTotal RNE "&amp;$F197&amp;"USD/ton"),'Fuel Model - Calculation'!$B$2:$B$3771,0))),0)</f>
        <v>0</v>
      </c>
      <c r="T197" s="118">
        <f>IFERROR(INDEX('Fuel Model - Calculation'!K$2:K$3771,(MATCH(($E197&amp;"ResultsTotal RNE "&amp;$F197&amp;"USD/ton"),'Fuel Model - Calculation'!$B$2:$B$3771,0))),0)</f>
        <v>0</v>
      </c>
      <c r="U197" s="118">
        <f>IFERROR(INDEX('Fuel Model - Calculation'!L$2:L$3771,(MATCH(($E197&amp;"ResultsTotal RNE "&amp;$F197&amp;"USD/ton"),'Fuel Model - Calculation'!$B$2:$B$3771,0))),0)</f>
        <v>0</v>
      </c>
      <c r="V197" s="118">
        <f>IFERROR(INDEX('Fuel Model - Calculation'!M$2:M$3771,(MATCH(($E197&amp;"ResultsTotal RNE "&amp;$F197&amp;"USD/ton"),'Fuel Model - Calculation'!$B$2:$B$3771,0))),0)</f>
        <v>0</v>
      </c>
      <c r="W197"/>
      <c r="X197" s="2">
        <f>INDEX('Fuel Model - Calculation'!$E$2:$M$3771,(MATCH(("WTT Emission - "&amp;$F197),'Fuel Model - Calculation'!$E$2:$E$3771,0)),MATCH(X$141,'Fuel Model - Calculation'!$E$2:$M$2,0))</f>
        <v>0.41517900000000002</v>
      </c>
      <c r="Y197" s="2">
        <f>INDEX('Fuel Model - Calculation'!$E$2:$M$3771,(MATCH(("WTT Emission - "&amp;$F197),'Fuel Model - Calculation'!$E$2:$E$3771,0)),MATCH(Y$141,'Fuel Model - Calculation'!$E$2:$M$2,0))</f>
        <v>0.39635270000000006</v>
      </c>
      <c r="Z197" s="2">
        <f>INDEX('Fuel Model - Calculation'!$E$2:$M$3771,(MATCH(("WTT Emission - "&amp;$F197),'Fuel Model - Calculation'!$E$2:$E$3771,0)),MATCH(Z$141,'Fuel Model - Calculation'!$E$2:$M$2,0))</f>
        <v>0.37752639999999982</v>
      </c>
      <c r="AA197" s="2">
        <f>INDEX('Fuel Model - Calculation'!$E$2:$M$3771,(MATCH(("WTT Emission - "&amp;$F197),'Fuel Model - Calculation'!$E$2:$E$3771,0)),MATCH(AA$141,'Fuel Model - Calculation'!$E$2:$M$2,0))</f>
        <v>0.3587000999999998</v>
      </c>
      <c r="AB197" s="2">
        <f>INDEX('Fuel Model - Calculation'!$E$2:$M$3771,(MATCH(("WTT Emission - "&amp;$F197),'Fuel Model - Calculation'!$E$2:$E$3771,0)),MATCH(AB$141,'Fuel Model - Calculation'!$E$2:$M$2,0))</f>
        <v>0.3398738</v>
      </c>
      <c r="AC197" s="2">
        <f>INDEX('Fuel Model - Calculation'!$E$2:$M$3771,(MATCH(("WTT Emission - "&amp;$F197),'Fuel Model - Calculation'!$E$2:$E$3771,0)),MATCH(AC$141,'Fuel Model - Calculation'!$E$2:$M$2,0))</f>
        <v>0.32104749999999999</v>
      </c>
      <c r="AD197" s="2">
        <f>INDEX('Fuel Model - Calculation'!$E$2:$M$3771,(MATCH(("WTT Emission - "&amp;$F197),'Fuel Model - Calculation'!$E$2:$E$3771,0)),MATCH(AD$141,'Fuel Model - Calculation'!$E$2:$M$2,0))</f>
        <v>0.30222120000000002</v>
      </c>
      <c r="AE197" s="2"/>
      <c r="AF197" s="76">
        <f>'Fuel Model -  Input'!H$50</f>
        <v>0</v>
      </c>
      <c r="AG197" s="76">
        <f>'Fuel Model -  Input'!I$50</f>
        <v>0</v>
      </c>
      <c r="AH197" s="76">
        <f>'Fuel Model -  Input'!J$50</f>
        <v>0</v>
      </c>
      <c r="AI197" s="76">
        <f>'Fuel Model -  Input'!K$50</f>
        <v>0</v>
      </c>
      <c r="AJ197" s="76">
        <f>'Fuel Model -  Input'!L$50</f>
        <v>0</v>
      </c>
      <c r="AK197" s="76">
        <f>'Fuel Model -  Input'!M$50</f>
        <v>0</v>
      </c>
      <c r="AL197" s="76">
        <f>'Fuel Model -  Input'!N$50</f>
        <v>0</v>
      </c>
      <c r="AM197"/>
      <c r="AN197" s="24">
        <f t="shared" si="185"/>
        <v>0.41517900000000002</v>
      </c>
      <c r="AO197" s="24">
        <f t="shared" si="185"/>
        <v>0.39635270000000006</v>
      </c>
      <c r="AP197" s="24">
        <f t="shared" si="185"/>
        <v>0.37752639999999982</v>
      </c>
      <c r="AQ197" s="24">
        <f t="shared" si="185"/>
        <v>0.3587000999999998</v>
      </c>
      <c r="AR197" s="24">
        <f t="shared" si="185"/>
        <v>0.3398738</v>
      </c>
      <c r="AS197" s="24">
        <f t="shared" si="185"/>
        <v>0.32104749999999999</v>
      </c>
      <c r="AT197" s="24">
        <f t="shared" si="185"/>
        <v>0.30222120000000002</v>
      </c>
      <c r="AU197"/>
      <c r="AV197" s="118">
        <f>IFERROR(INDEX('Fuel Model - Calculation'!$B$2:$M$3771,(MATCH(($E197&amp;"Results"&amp;$AV$140&amp;$F197&amp;"USD/ton"),'Fuel Model - Calculation'!$B$2:$B$3771,0)),MATCH(H$141,'Fuel Model - Calculation'!$B$2:$M$2,0)),0)</f>
        <v>111.30000000000003</v>
      </c>
      <c r="AW197" s="118">
        <f>IFERROR(INDEX('Fuel Model - Calculation'!$B$2:$M$3771,(MATCH(($E197&amp;"Results"&amp;$AV$140&amp;$F197&amp;"USD/ton"),'Fuel Model - Calculation'!$B$2:$B$3771,0)),MATCH(I$141,'Fuel Model - Calculation'!$B$2:$M$2,0)),0)</f>
        <v>106.00000000000003</v>
      </c>
      <c r="AX197" s="118">
        <f>IFERROR(INDEX('Fuel Model - Calculation'!$B$2:$M$3771,(MATCH(($E197&amp;"Results"&amp;$AV$140&amp;$F197&amp;"USD/ton"),'Fuel Model - Calculation'!$B$2:$B$3771,0)),MATCH(J$141,'Fuel Model - Calculation'!$B$2:$M$2,0)),0)</f>
        <v>100.70000000000002</v>
      </c>
      <c r="AY197" s="118">
        <f>IFERROR(INDEX('Fuel Model - Calculation'!$B$2:$M$3771,(MATCH(($E197&amp;"Results"&amp;$AV$140&amp;$F197&amp;"USD/ton"),'Fuel Model - Calculation'!$B$2:$B$3771,0)),MATCH(K$141,'Fuel Model - Calculation'!$B$2:$M$2,0)),0)</f>
        <v>95.40000000000002</v>
      </c>
      <c r="AZ197" s="118">
        <f>IFERROR(INDEX('Fuel Model - Calculation'!$B$2:$M$3771,(MATCH(($E197&amp;"Results"&amp;$AV$140&amp;$F197&amp;"USD/ton"),'Fuel Model - Calculation'!$B$2:$B$3771,0)),MATCH(L$141,'Fuel Model - Calculation'!$B$2:$M$2,0)),0)</f>
        <v>90.100000000000023</v>
      </c>
      <c r="BA197" s="118">
        <f>IFERROR(INDEX('Fuel Model - Calculation'!$B$2:$M$3771,(MATCH(($E197&amp;"Results"&amp;$AV$140&amp;$F197&amp;"USD/ton"),'Fuel Model - Calculation'!$B$2:$B$3771,0)),MATCH(M$141,'Fuel Model - Calculation'!$B$2:$M$2,0)),0)</f>
        <v>84.800000000000026</v>
      </c>
      <c r="BB197" s="118">
        <f>IFERROR(INDEX('Fuel Model - Calculation'!$B$2:$M$3771,(MATCH(($E197&amp;"Results"&amp;$AV$140&amp;$F197&amp;"USD/ton"),'Fuel Model - Calculation'!$B$2:$B$3771,0)),MATCH(N$141,'Fuel Model - Calculation'!$B$2:$M$2,0)),0)</f>
        <v>79.500000000000014</v>
      </c>
      <c r="BC197"/>
      <c r="BD197" s="118">
        <f>IFERROR(INDEX('Fuel Model - Calculation'!$B$2:$M$3771,(MATCH(($E197&amp;"Results"&amp;$BD$140&amp;$F197&amp;"USD/ton"),'Fuel Model - Calculation'!$B$2:$B$3771,0)),MATCH(P$141,'Fuel Model - Calculation'!$B$2:$M$2,0)),0)</f>
        <v>50.4</v>
      </c>
      <c r="BE197" s="118">
        <f>IFERROR(INDEX('Fuel Model - Calculation'!$B$2:$M$3771,(MATCH(($E197&amp;"Results"&amp;$BD$140&amp;$F197&amp;"USD/ton"),'Fuel Model - Calculation'!$B$2:$B$3771,0)),MATCH(Q$141,'Fuel Model - Calculation'!$B$2:$M$2,0)),0)</f>
        <v>48</v>
      </c>
      <c r="BF197" s="118">
        <f>IFERROR(INDEX('Fuel Model - Calculation'!$B$2:$M$3771,(MATCH(($E197&amp;"Results"&amp;$BD$140&amp;$F197&amp;"USD/ton"),'Fuel Model - Calculation'!$B$2:$B$3771,0)),MATCH(R$141,'Fuel Model - Calculation'!$B$2:$M$2,0)),0)</f>
        <v>45.6</v>
      </c>
      <c r="BG197" s="118">
        <f>IFERROR(INDEX('Fuel Model - Calculation'!$B$2:$M$3771,(MATCH(($E197&amp;"Results"&amp;$BD$140&amp;$F197&amp;"USD/ton"),'Fuel Model - Calculation'!$B$2:$B$3771,0)),MATCH(S$141,'Fuel Model - Calculation'!$B$2:$M$2,0)),0)</f>
        <v>43.2</v>
      </c>
      <c r="BH197" s="118">
        <f>IFERROR(INDEX('Fuel Model - Calculation'!$B$2:$M$3771,(MATCH(($E197&amp;"Results"&amp;$BD$140&amp;$F197&amp;"USD/ton"),'Fuel Model - Calculation'!$B$2:$B$3771,0)),MATCH(T$141,'Fuel Model - Calculation'!$B$2:$M$2,0)),0)</f>
        <v>40.800000000000004</v>
      </c>
      <c r="BI197" s="118">
        <f>IFERROR(INDEX('Fuel Model - Calculation'!$B$2:$M$3771,(MATCH(($E197&amp;"Results"&amp;$BD$140&amp;$F197&amp;"USD/ton"),'Fuel Model - Calculation'!$B$2:$B$3771,0)),MATCH(U$141,'Fuel Model - Calculation'!$B$2:$M$2,0)),0)</f>
        <v>38.4</v>
      </c>
      <c r="BJ197" s="118">
        <f>IFERROR(INDEX('Fuel Model - Calculation'!$B$2:$M$3771,(MATCH(($E197&amp;"Results"&amp;$BD$140&amp;$F197&amp;"USD/ton"),'Fuel Model - Calculation'!$B$2:$B$3771,0)),MATCH(V$141,'Fuel Model - Calculation'!$B$2:$M$2,0)),0)</f>
        <v>36</v>
      </c>
      <c r="BL197" s="118">
        <f>IFERROR(IFERROR(INDEX('Fuel Model - Calculation'!$B$2:$M$3771,(MATCH(($E197&amp;"Results"&amp;$BL$140&amp;$F197&amp;"USD/ton"),'Fuel Model - Calculation'!$B$2:$B$3771,0)),MATCH(H$141,'Fuel Model - Calculation'!$B$2:$M$2,0)),0),0)</f>
        <v>131.21600000000001</v>
      </c>
      <c r="BM197" s="118">
        <f>IFERROR(IFERROR(INDEX('Fuel Model - Calculation'!$B$2:$M$3771,(MATCH(($E197&amp;"Results"&amp;$BL$140&amp;$F197&amp;"USD/ton"),'Fuel Model - Calculation'!$B$2:$B$3771,0)),MATCH(I$141,'Fuel Model - Calculation'!$B$2:$M$2,0)),0),0)</f>
        <v>132.16000000000003</v>
      </c>
      <c r="BN197" s="118">
        <f>IFERROR(IFERROR(INDEX('Fuel Model - Calculation'!$B$2:$M$3771,(MATCH(($E197&amp;"Results"&amp;$BL$140&amp;$F197&amp;"USD/ton"),'Fuel Model - Calculation'!$B$2:$B$3771,0)),MATCH(J$141,'Fuel Model - Calculation'!$B$2:$M$2,0)),0),0)</f>
        <v>133.10400000000001</v>
      </c>
      <c r="BO197" s="118">
        <f>IFERROR(IFERROR(INDEX('Fuel Model - Calculation'!$B$2:$M$3771,(MATCH(($E197&amp;"Results"&amp;$BL$140&amp;$F197&amp;"USD/ton"),'Fuel Model - Calculation'!$B$2:$B$3771,0)),MATCH(K$141,'Fuel Model - Calculation'!$B$2:$M$2,0)),0),0)</f>
        <v>134.048</v>
      </c>
      <c r="BP197" s="118">
        <f>IFERROR(IFERROR(INDEX('Fuel Model - Calculation'!$B$2:$M$3771,(MATCH(($E197&amp;"Results"&amp;$BL$140&amp;$F197&amp;"USD/ton"),'Fuel Model - Calculation'!$B$2:$B$3771,0)),MATCH(L$141,'Fuel Model - Calculation'!$B$2:$M$2,0)),0),0)</f>
        <v>134.99200000000002</v>
      </c>
      <c r="BQ197" s="118">
        <f>IFERROR(IFERROR(INDEX('Fuel Model - Calculation'!$B$2:$M$3771,(MATCH(($E197&amp;"Results"&amp;$BL$140&amp;$F197&amp;"USD/ton"),'Fuel Model - Calculation'!$B$2:$B$3771,0)),MATCH(M$141,'Fuel Model - Calculation'!$B$2:$M$2,0)),0),0)</f>
        <v>135.93600000000001</v>
      </c>
      <c r="BR197" s="118">
        <f>IFERROR(IFERROR(INDEX('Fuel Model - Calculation'!$B$2:$M$3771,(MATCH(($E197&amp;"Results"&amp;$BL$140&amp;$F197&amp;"USD/ton"),'Fuel Model - Calculation'!$B$2:$B$3771,0)),MATCH(N$141,'Fuel Model - Calculation'!$B$2:$M$2,0)),0),0)</f>
        <v>136.88</v>
      </c>
      <c r="BT197" s="118">
        <f>IFERROR(INDEX('Fuel Model - Calculation'!$B$2:$M$3771,(MATCH(($E197&amp;"Results"&amp;$BT$140&amp;$F197&amp;"USD/ton"),'Fuel Model - Calculation'!$B$2:$B$3771,0)),MATCH(H$141,'Fuel Model - Calculation'!$B$2:$M$2,0)),0)</f>
        <v>956.69173837377866</v>
      </c>
      <c r="BU197" s="118">
        <f>IFERROR(INDEX('Fuel Model - Calculation'!$B$2:$M$3771,(MATCH(($E197&amp;"Results"&amp;$BT$140&amp;$F197&amp;"USD/ton"),'Fuel Model - Calculation'!$B$2:$B$3771,0)),MATCH(I$141,'Fuel Model - Calculation'!$B$2:$M$2,0)),0)</f>
        <v>374.25090785259454</v>
      </c>
      <c r="BV197" s="118">
        <f>IFERROR(INDEX('Fuel Model - Calculation'!$B$2:$M$3771,(MATCH(($E197&amp;"Results"&amp;$BT$140&amp;$F197&amp;"USD/ton"),'Fuel Model - Calculation'!$B$2:$B$3771,0)),MATCH(J$141,'Fuel Model - Calculation'!$B$2:$M$2,0)),0)</f>
        <v>109.06383100817007</v>
      </c>
      <c r="BW197" s="118">
        <f>IFERROR(INDEX('Fuel Model - Calculation'!$B$2:$M$3771,(MATCH(($E197&amp;"Results"&amp;$BT$140&amp;$F197&amp;"USD/ton"),'Fuel Model - Calculation'!$B$2:$B$3771,0)),MATCH(K$141,'Fuel Model - Calculation'!$B$2:$M$2,0)),0)</f>
        <v>107.64575437926844</v>
      </c>
      <c r="BX197" s="118">
        <f>IFERROR(INDEX('Fuel Model - Calculation'!$B$2:$M$3771,(MATCH(($E197&amp;"Results"&amp;$BT$140&amp;$F197&amp;"USD/ton"),'Fuel Model - Calculation'!$B$2:$B$3771,0)),MATCH(L$141,'Fuel Model - Calculation'!$B$2:$M$2,0)),0)</f>
        <v>106.54025749442351</v>
      </c>
      <c r="BY197" s="118">
        <f>IFERROR(INDEX('Fuel Model - Calculation'!$B$2:$M$3771,(MATCH(($E197&amp;"Results"&amp;$BT$140&amp;$F197&amp;"USD/ton"),'Fuel Model - Calculation'!$B$2:$B$3771,0)),MATCH(M$141,'Fuel Model - Calculation'!$B$2:$M$2,0)),0)</f>
        <v>105.33688201393879</v>
      </c>
      <c r="BZ197" s="118">
        <f>IFERROR(INDEX('Fuel Model - Calculation'!$B$2:$M$3771,(MATCH(($E197&amp;"Results"&amp;$BT$140&amp;$F197&amp;"USD/ton"),'Fuel Model - Calculation'!$B$2:$B$3771,0)),MATCH(N$141,'Fuel Model - Calculation'!$B$2:$M$2,0)),0)</f>
        <v>104.35278425825648</v>
      </c>
    </row>
    <row r="198" spans="1:78" x14ac:dyDescent="0.2">
      <c r="A198" s="452"/>
      <c r="B198" s="453" t="str">
        <f>_xlfn.TEXTJOIN(keydelim,TRUE,F198,IF(E198="Africa","Africa&amp;other",E198),"Fuel cost",SUBSTITUTE($G198," ",""))</f>
        <v>Blue ammonia - Asia - Fuel cost - USD/ton</v>
      </c>
      <c r="D198" s="459" t="str">
        <f t="shared" si="186"/>
        <v>AsiaBlue ammonia</v>
      </c>
      <c r="E198" t="s">
        <v>198</v>
      </c>
      <c r="F198" s="460" t="str">
        <f t="shared" si="187"/>
        <v>Blue ammonia</v>
      </c>
      <c r="G198" t="s">
        <v>835</v>
      </c>
      <c r="H198" s="118">
        <f>INDEX('Fuel Model - Calculation'!$B$2:$M$3771,(MATCH(($E198&amp;"ResultsCost of "&amp;$F198&amp;"USD/ton"),'Fuel Model - Calculation'!$B$2:$B$3771,0)),MATCH(H$141,'Fuel Model - Calculation'!$B$2:$M$2,0))</f>
        <v>1384.2068412028507</v>
      </c>
      <c r="I198" s="118">
        <f>INDEX('Fuel Model - Calculation'!$B$2:$M$3771,(MATCH(($E198&amp;"ResultsCost of "&amp;$F198&amp;"USD/ton"),'Fuel Model - Calculation'!$B$2:$B$3771,0)),MATCH(I$141,'Fuel Model - Calculation'!$B$2:$M$2,0))</f>
        <v>791.66193828030737</v>
      </c>
      <c r="J198" s="118">
        <f>INDEX('Fuel Model - Calculation'!$B$2:$M$3771,(MATCH(($E198&amp;"ResultsCost of "&amp;$F198&amp;"USD/ton"),'Fuel Model - Calculation'!$B$2:$B$3771,0)),MATCH(J$141,'Fuel Model - Calculation'!$B$2:$M$2,0))</f>
        <v>522.12535035370206</v>
      </c>
      <c r="K198" s="118">
        <f>INDEX('Fuel Model - Calculation'!$B$2:$M$3771,(MATCH(($E198&amp;"ResultsCost of "&amp;$F198&amp;"USD/ton"),'Fuel Model - Calculation'!$B$2:$B$3771,0)),MATCH(K$141,'Fuel Model - Calculation'!$B$2:$M$2,0))</f>
        <v>513.43453861570003</v>
      </c>
      <c r="L198" s="118">
        <f>INDEX('Fuel Model - Calculation'!$B$2:$M$3771,(MATCH(($E198&amp;"ResultsCost of "&amp;$F198&amp;"USD/ton"),'Fuel Model - Calculation'!$B$2:$B$3771,0)),MATCH(L$141,'Fuel Model - Calculation'!$B$2:$M$2,0))</f>
        <v>505.30591099033063</v>
      </c>
      <c r="M198" s="118">
        <f>INDEX('Fuel Model - Calculation'!$B$2:$M$3771,(MATCH(($E198&amp;"ResultsCost of "&amp;$F198&amp;"USD/ton"),'Fuel Model - Calculation'!$B$2:$B$3771,0)),MATCH(M$141,'Fuel Model - Calculation'!$B$2:$M$2,0))</f>
        <v>497.15011318442589</v>
      </c>
      <c r="N198" s="118">
        <f>INDEX('Fuel Model - Calculation'!$B$2:$M$3771,(MATCH(($E198&amp;"ResultsCost of "&amp;$F198&amp;"USD/ton"),'Fuel Model - Calculation'!$B$2:$B$3771,0)),MATCH(N$141,'Fuel Model - Calculation'!$B$2:$M$2,0))</f>
        <v>489.32383183277011</v>
      </c>
      <c r="O198"/>
      <c r="P198" s="118">
        <f>IFERROR(INDEX('Fuel Model - Calculation'!G$2:G$3771,(MATCH(($E198&amp;"ResultsTotal RNE "&amp;$F198&amp;"USD/ton"),'Fuel Model - Calculation'!$B$2:$B$3771,0))),0)</f>
        <v>0</v>
      </c>
      <c r="Q198" s="118">
        <f>IFERROR(INDEX('Fuel Model - Calculation'!H$2:H$3771,(MATCH(($E198&amp;"ResultsTotal RNE "&amp;$F198&amp;"USD/ton"),'Fuel Model - Calculation'!$B$2:$B$3771,0))),0)</f>
        <v>0</v>
      </c>
      <c r="R198" s="118">
        <f>IFERROR(INDEX('Fuel Model - Calculation'!I$2:I$3771,(MATCH(($E198&amp;"ResultsTotal RNE "&amp;$F198&amp;"USD/ton"),'Fuel Model - Calculation'!$B$2:$B$3771,0))),0)</f>
        <v>0</v>
      </c>
      <c r="S198" s="118">
        <f>IFERROR(INDEX('Fuel Model - Calculation'!J$2:J$3771,(MATCH(($E198&amp;"ResultsTotal RNE "&amp;$F198&amp;"USD/ton"),'Fuel Model - Calculation'!$B$2:$B$3771,0))),0)</f>
        <v>0</v>
      </c>
      <c r="T198" s="118">
        <f>IFERROR(INDEX('Fuel Model - Calculation'!K$2:K$3771,(MATCH(($E198&amp;"ResultsTotal RNE "&amp;$F198&amp;"USD/ton"),'Fuel Model - Calculation'!$B$2:$B$3771,0))),0)</f>
        <v>0</v>
      </c>
      <c r="U198" s="118">
        <f>IFERROR(INDEX('Fuel Model - Calculation'!L$2:L$3771,(MATCH(($E198&amp;"ResultsTotal RNE "&amp;$F198&amp;"USD/ton"),'Fuel Model - Calculation'!$B$2:$B$3771,0))),0)</f>
        <v>0</v>
      </c>
      <c r="V198" s="118">
        <f>IFERROR(INDEX('Fuel Model - Calculation'!M$2:M$3771,(MATCH(($E198&amp;"ResultsTotal RNE "&amp;$F198&amp;"USD/ton"),'Fuel Model - Calculation'!$B$2:$B$3771,0))),0)</f>
        <v>0</v>
      </c>
      <c r="W198"/>
      <c r="X198" s="2">
        <f>INDEX('Fuel Model - Calculation'!$E$2:$M$3771,(MATCH(("WTT Emission - "&amp;$F198),'Fuel Model - Calculation'!$E$2:$E$3771,0)),MATCH(X$141,'Fuel Model - Calculation'!$E$2:$M$2,0))</f>
        <v>0.41517900000000002</v>
      </c>
      <c r="Y198" s="2">
        <f>INDEX('Fuel Model - Calculation'!$E$2:$M$3771,(MATCH(("WTT Emission - "&amp;$F198),'Fuel Model - Calculation'!$E$2:$E$3771,0)),MATCH(Y$141,'Fuel Model - Calculation'!$E$2:$M$2,0))</f>
        <v>0.39635270000000006</v>
      </c>
      <c r="Z198" s="2">
        <f>INDEX('Fuel Model - Calculation'!$E$2:$M$3771,(MATCH(("WTT Emission - "&amp;$F198),'Fuel Model - Calculation'!$E$2:$E$3771,0)),MATCH(Z$141,'Fuel Model - Calculation'!$E$2:$M$2,0))</f>
        <v>0.37752639999999982</v>
      </c>
      <c r="AA198" s="2">
        <f>INDEX('Fuel Model - Calculation'!$E$2:$M$3771,(MATCH(("WTT Emission - "&amp;$F198),'Fuel Model - Calculation'!$E$2:$E$3771,0)),MATCH(AA$141,'Fuel Model - Calculation'!$E$2:$M$2,0))</f>
        <v>0.3587000999999998</v>
      </c>
      <c r="AB198" s="2">
        <f>INDEX('Fuel Model - Calculation'!$E$2:$M$3771,(MATCH(("WTT Emission - "&amp;$F198),'Fuel Model - Calculation'!$E$2:$E$3771,0)),MATCH(AB$141,'Fuel Model - Calculation'!$E$2:$M$2,0))</f>
        <v>0.3398738</v>
      </c>
      <c r="AC198" s="2">
        <f>INDEX('Fuel Model - Calculation'!$E$2:$M$3771,(MATCH(("WTT Emission - "&amp;$F198),'Fuel Model - Calculation'!$E$2:$E$3771,0)),MATCH(AC$141,'Fuel Model - Calculation'!$E$2:$M$2,0))</f>
        <v>0.32104749999999999</v>
      </c>
      <c r="AD198" s="2">
        <f>INDEX('Fuel Model - Calculation'!$E$2:$M$3771,(MATCH(("WTT Emission - "&amp;$F198),'Fuel Model - Calculation'!$E$2:$E$3771,0)),MATCH(AD$141,'Fuel Model - Calculation'!$E$2:$M$2,0))</f>
        <v>0.30222120000000002</v>
      </c>
      <c r="AE198" s="2"/>
      <c r="AF198" s="76">
        <f>'Fuel Model -  Input'!H$50</f>
        <v>0</v>
      </c>
      <c r="AG198" s="76">
        <f>'Fuel Model -  Input'!I$50</f>
        <v>0</v>
      </c>
      <c r="AH198" s="76">
        <f>'Fuel Model -  Input'!J$50</f>
        <v>0</v>
      </c>
      <c r="AI198" s="76">
        <f>'Fuel Model -  Input'!K$50</f>
        <v>0</v>
      </c>
      <c r="AJ198" s="76">
        <f>'Fuel Model -  Input'!L$50</f>
        <v>0</v>
      </c>
      <c r="AK198" s="76">
        <f>'Fuel Model -  Input'!M$50</f>
        <v>0</v>
      </c>
      <c r="AL198" s="76">
        <f>'Fuel Model -  Input'!N$50</f>
        <v>0</v>
      </c>
      <c r="AM198"/>
      <c r="AN198" s="24">
        <f t="shared" si="185"/>
        <v>0.41517900000000002</v>
      </c>
      <c r="AO198" s="24">
        <f t="shared" si="185"/>
        <v>0.39635270000000006</v>
      </c>
      <c r="AP198" s="24">
        <f t="shared" si="185"/>
        <v>0.37752639999999982</v>
      </c>
      <c r="AQ198" s="24">
        <f t="shared" si="185"/>
        <v>0.3587000999999998</v>
      </c>
      <c r="AR198" s="24">
        <f t="shared" si="185"/>
        <v>0.3398738</v>
      </c>
      <c r="AS198" s="24">
        <f t="shared" si="185"/>
        <v>0.32104749999999999</v>
      </c>
      <c r="AT198" s="24">
        <f t="shared" si="185"/>
        <v>0.30222120000000002</v>
      </c>
      <c r="AU198"/>
      <c r="AV198" s="118">
        <f>IFERROR(INDEX('Fuel Model - Calculation'!$B$2:$M$3771,(MATCH(($E198&amp;"Results"&amp;$AV$140&amp;$F198&amp;"USD/ton"),'Fuel Model - Calculation'!$B$2:$B$3771,0)),MATCH(H$141,'Fuel Model - Calculation'!$B$2:$M$2,0)),0)</f>
        <v>111.30000000000003</v>
      </c>
      <c r="AW198" s="118">
        <f>IFERROR(INDEX('Fuel Model - Calculation'!$B$2:$M$3771,(MATCH(($E198&amp;"Results"&amp;$AV$140&amp;$F198&amp;"USD/ton"),'Fuel Model - Calculation'!$B$2:$B$3771,0)),MATCH(I$141,'Fuel Model - Calculation'!$B$2:$M$2,0)),0)</f>
        <v>106.00000000000003</v>
      </c>
      <c r="AX198" s="118">
        <f>IFERROR(INDEX('Fuel Model - Calculation'!$B$2:$M$3771,(MATCH(($E198&amp;"Results"&amp;$AV$140&amp;$F198&amp;"USD/ton"),'Fuel Model - Calculation'!$B$2:$B$3771,0)),MATCH(J$141,'Fuel Model - Calculation'!$B$2:$M$2,0)),0)</f>
        <v>100.70000000000002</v>
      </c>
      <c r="AY198" s="118">
        <f>IFERROR(INDEX('Fuel Model - Calculation'!$B$2:$M$3771,(MATCH(($E198&amp;"Results"&amp;$AV$140&amp;$F198&amp;"USD/ton"),'Fuel Model - Calculation'!$B$2:$B$3771,0)),MATCH(K$141,'Fuel Model - Calculation'!$B$2:$M$2,0)),0)</f>
        <v>95.40000000000002</v>
      </c>
      <c r="AZ198" s="118">
        <f>IFERROR(INDEX('Fuel Model - Calculation'!$B$2:$M$3771,(MATCH(($E198&amp;"Results"&amp;$AV$140&amp;$F198&amp;"USD/ton"),'Fuel Model - Calculation'!$B$2:$B$3771,0)),MATCH(L$141,'Fuel Model - Calculation'!$B$2:$M$2,0)),0)</f>
        <v>90.100000000000023</v>
      </c>
      <c r="BA198" s="118">
        <f>IFERROR(INDEX('Fuel Model - Calculation'!$B$2:$M$3771,(MATCH(($E198&amp;"Results"&amp;$AV$140&amp;$F198&amp;"USD/ton"),'Fuel Model - Calculation'!$B$2:$B$3771,0)),MATCH(M$141,'Fuel Model - Calculation'!$B$2:$M$2,0)),0)</f>
        <v>84.800000000000026</v>
      </c>
      <c r="BB198" s="118">
        <f>IFERROR(INDEX('Fuel Model - Calculation'!$B$2:$M$3771,(MATCH(($E198&amp;"Results"&amp;$AV$140&amp;$F198&amp;"USD/ton"),'Fuel Model - Calculation'!$B$2:$B$3771,0)),MATCH(N$141,'Fuel Model - Calculation'!$B$2:$M$2,0)),0)</f>
        <v>79.500000000000014</v>
      </c>
      <c r="BC198"/>
      <c r="BD198" s="118">
        <f>IFERROR(INDEX('Fuel Model - Calculation'!$B$2:$M$3771,(MATCH(($E198&amp;"Results"&amp;$BD$140&amp;$F198&amp;"USD/ton"),'Fuel Model - Calculation'!$B$2:$B$3771,0)),MATCH(P$141,'Fuel Model - Calculation'!$B$2:$M$2,0)),0)</f>
        <v>50.4</v>
      </c>
      <c r="BE198" s="118">
        <f>IFERROR(INDEX('Fuel Model - Calculation'!$B$2:$M$3771,(MATCH(($E198&amp;"Results"&amp;$BD$140&amp;$F198&amp;"USD/ton"),'Fuel Model - Calculation'!$B$2:$B$3771,0)),MATCH(Q$141,'Fuel Model - Calculation'!$B$2:$M$2,0)),0)</f>
        <v>48</v>
      </c>
      <c r="BF198" s="118">
        <f>IFERROR(INDEX('Fuel Model - Calculation'!$B$2:$M$3771,(MATCH(($E198&amp;"Results"&amp;$BD$140&amp;$F198&amp;"USD/ton"),'Fuel Model - Calculation'!$B$2:$B$3771,0)),MATCH(R$141,'Fuel Model - Calculation'!$B$2:$M$2,0)),0)</f>
        <v>45.6</v>
      </c>
      <c r="BG198" s="118">
        <f>IFERROR(INDEX('Fuel Model - Calculation'!$B$2:$M$3771,(MATCH(($E198&amp;"Results"&amp;$BD$140&amp;$F198&amp;"USD/ton"),'Fuel Model - Calculation'!$B$2:$B$3771,0)),MATCH(S$141,'Fuel Model - Calculation'!$B$2:$M$2,0)),0)</f>
        <v>43.2</v>
      </c>
      <c r="BH198" s="118">
        <f>IFERROR(INDEX('Fuel Model - Calculation'!$B$2:$M$3771,(MATCH(($E198&amp;"Results"&amp;$BD$140&amp;$F198&amp;"USD/ton"),'Fuel Model - Calculation'!$B$2:$B$3771,0)),MATCH(T$141,'Fuel Model - Calculation'!$B$2:$M$2,0)),0)</f>
        <v>40.800000000000004</v>
      </c>
      <c r="BI198" s="118">
        <f>IFERROR(INDEX('Fuel Model - Calculation'!$B$2:$M$3771,(MATCH(($E198&amp;"Results"&amp;$BD$140&amp;$F198&amp;"USD/ton"),'Fuel Model - Calculation'!$B$2:$B$3771,0)),MATCH(U$141,'Fuel Model - Calculation'!$B$2:$M$2,0)),0)</f>
        <v>38.4</v>
      </c>
      <c r="BJ198" s="118">
        <f>IFERROR(INDEX('Fuel Model - Calculation'!$B$2:$M$3771,(MATCH(($E198&amp;"Results"&amp;$BD$140&amp;$F198&amp;"USD/ton"),'Fuel Model - Calculation'!$B$2:$B$3771,0)),MATCH(V$141,'Fuel Model - Calculation'!$B$2:$M$2,0)),0)</f>
        <v>36</v>
      </c>
      <c r="BL198" s="118">
        <f>IFERROR(IFERROR(INDEX('Fuel Model - Calculation'!$B$2:$M$3771,(MATCH(($E198&amp;"Results"&amp;$BL$140&amp;$F198&amp;"USD/ton"),'Fuel Model - Calculation'!$B$2:$B$3771,0)),MATCH(H$141,'Fuel Model - Calculation'!$B$2:$M$2,0)),0),0)</f>
        <v>131.21600000000001</v>
      </c>
      <c r="BM198" s="118">
        <f>IFERROR(IFERROR(INDEX('Fuel Model - Calculation'!$B$2:$M$3771,(MATCH(($E198&amp;"Results"&amp;$BL$140&amp;$F198&amp;"USD/ton"),'Fuel Model - Calculation'!$B$2:$B$3771,0)),MATCH(I$141,'Fuel Model - Calculation'!$B$2:$M$2,0)),0),0)</f>
        <v>132.16000000000003</v>
      </c>
      <c r="BN198" s="118">
        <f>IFERROR(IFERROR(INDEX('Fuel Model - Calculation'!$B$2:$M$3771,(MATCH(($E198&amp;"Results"&amp;$BL$140&amp;$F198&amp;"USD/ton"),'Fuel Model - Calculation'!$B$2:$B$3771,0)),MATCH(J$141,'Fuel Model - Calculation'!$B$2:$M$2,0)),0),0)</f>
        <v>133.10400000000001</v>
      </c>
      <c r="BO198" s="118">
        <f>IFERROR(IFERROR(INDEX('Fuel Model - Calculation'!$B$2:$M$3771,(MATCH(($E198&amp;"Results"&amp;$BL$140&amp;$F198&amp;"USD/ton"),'Fuel Model - Calculation'!$B$2:$B$3771,0)),MATCH(K$141,'Fuel Model - Calculation'!$B$2:$M$2,0)),0),0)</f>
        <v>134.048</v>
      </c>
      <c r="BP198" s="118">
        <f>IFERROR(IFERROR(INDEX('Fuel Model - Calculation'!$B$2:$M$3771,(MATCH(($E198&amp;"Results"&amp;$BL$140&amp;$F198&amp;"USD/ton"),'Fuel Model - Calculation'!$B$2:$B$3771,0)),MATCH(L$141,'Fuel Model - Calculation'!$B$2:$M$2,0)),0),0)</f>
        <v>134.99200000000002</v>
      </c>
      <c r="BQ198" s="118">
        <f>IFERROR(IFERROR(INDEX('Fuel Model - Calculation'!$B$2:$M$3771,(MATCH(($E198&amp;"Results"&amp;$BL$140&amp;$F198&amp;"USD/ton"),'Fuel Model - Calculation'!$B$2:$B$3771,0)),MATCH(M$141,'Fuel Model - Calculation'!$B$2:$M$2,0)),0),0)</f>
        <v>135.93600000000001</v>
      </c>
      <c r="BR198" s="118">
        <f>IFERROR(IFERROR(INDEX('Fuel Model - Calculation'!$B$2:$M$3771,(MATCH(($E198&amp;"Results"&amp;$BL$140&amp;$F198&amp;"USD/ton"),'Fuel Model - Calculation'!$B$2:$B$3771,0)),MATCH(N$141,'Fuel Model - Calculation'!$B$2:$M$2,0)),0),0)</f>
        <v>136.88</v>
      </c>
      <c r="BT198" s="118">
        <f>IFERROR(INDEX('Fuel Model - Calculation'!$B$2:$M$3771,(MATCH(($E198&amp;"Results"&amp;$BT$140&amp;$F198&amp;"USD/ton"),'Fuel Model - Calculation'!$B$2:$B$3771,0)),MATCH(H$141,'Fuel Model - Calculation'!$B$2:$M$2,0)),0)</f>
        <v>1091.2908412028505</v>
      </c>
      <c r="BU198" s="118">
        <f>IFERROR(INDEX('Fuel Model - Calculation'!$B$2:$M$3771,(MATCH(($E198&amp;"Results"&amp;$BT$140&amp;$F198&amp;"USD/ton"),'Fuel Model - Calculation'!$B$2:$B$3771,0)),MATCH(I$141,'Fuel Model - Calculation'!$B$2:$M$2,0)),0)</f>
        <v>505.5019382803074</v>
      </c>
      <c r="BV198" s="118">
        <f>IFERROR(INDEX('Fuel Model - Calculation'!$B$2:$M$3771,(MATCH(($E198&amp;"Results"&amp;$BT$140&amp;$F198&amp;"USD/ton"),'Fuel Model - Calculation'!$B$2:$B$3771,0)),MATCH(J$141,'Fuel Model - Calculation'!$B$2:$M$2,0)),0)</f>
        <v>242.72135035370201</v>
      </c>
      <c r="BW198" s="118">
        <f>IFERROR(INDEX('Fuel Model - Calculation'!$B$2:$M$3771,(MATCH(($E198&amp;"Results"&amp;$BT$140&amp;$F198&amp;"USD/ton"),'Fuel Model - Calculation'!$B$2:$B$3771,0)),MATCH(K$141,'Fuel Model - Calculation'!$B$2:$M$2,0)),0)</f>
        <v>240.78653861570004</v>
      </c>
      <c r="BX198" s="118">
        <f>IFERROR(INDEX('Fuel Model - Calculation'!$B$2:$M$3771,(MATCH(($E198&amp;"Results"&amp;$BT$140&amp;$F198&amp;"USD/ton"),'Fuel Model - Calculation'!$B$2:$B$3771,0)),MATCH(L$141,'Fuel Model - Calculation'!$B$2:$M$2,0)),0)</f>
        <v>239.41391099033058</v>
      </c>
      <c r="BY198" s="118">
        <f>IFERROR(INDEX('Fuel Model - Calculation'!$B$2:$M$3771,(MATCH(($E198&amp;"Results"&amp;$BT$140&amp;$F198&amp;"USD/ton"),'Fuel Model - Calculation'!$B$2:$B$3771,0)),MATCH(M$141,'Fuel Model - Calculation'!$B$2:$M$2,0)),0)</f>
        <v>238.0141131844259</v>
      </c>
      <c r="BZ198" s="118">
        <f>IFERROR(INDEX('Fuel Model - Calculation'!$B$2:$M$3771,(MATCH(($E198&amp;"Results"&amp;$BT$140&amp;$F198&amp;"USD/ton"),'Fuel Model - Calculation'!$B$2:$B$3771,0)),MATCH(N$141,'Fuel Model - Calculation'!$B$2:$M$2,0)),0)</f>
        <v>236.94383183277012</v>
      </c>
    </row>
    <row r="199" spans="1:78" x14ac:dyDescent="0.2">
      <c r="A199" s="452"/>
      <c r="B199" s="453" t="str">
        <f>_xlfn.TEXTJOIN(keydelim,TRUE,F199,IF(E199="Africa","Africa&amp;other",E199),"Fuel cost",SUBSTITUTE($G199," ",""))</f>
        <v>Blue ammonia - Americas - Fuel cost - USD/ton</v>
      </c>
      <c r="D199" s="459" t="str">
        <f t="shared" si="186"/>
        <v>AmericasBlue ammonia</v>
      </c>
      <c r="E199" t="s">
        <v>199</v>
      </c>
      <c r="F199" s="460" t="str">
        <f t="shared" si="187"/>
        <v>Blue ammonia</v>
      </c>
      <c r="G199" t="s">
        <v>835</v>
      </c>
      <c r="H199" s="118">
        <f>INDEX('Fuel Model - Calculation'!$B$2:$M$3771,(MATCH(($E199&amp;"ResultsCost of "&amp;$F199&amp;"USD/ton"),'Fuel Model - Calculation'!$B$2:$B$3771,0)),MATCH(H$141,'Fuel Model - Calculation'!$B$2:$M$2,0))</f>
        <v>577.12197709759801</v>
      </c>
      <c r="I199" s="118">
        <f>INDEX('Fuel Model - Calculation'!$B$2:$M$3771,(MATCH(($E199&amp;"ResultsCost of "&amp;$F199&amp;"USD/ton"),'Fuel Model - Calculation'!$B$2:$B$3771,0)),MATCH(I$141,'Fuel Model - Calculation'!$B$2:$M$2,0))</f>
        <v>471.84347049883092</v>
      </c>
      <c r="J199" s="118">
        <f>INDEX('Fuel Model - Calculation'!$B$2:$M$3771,(MATCH(($E199&amp;"ResultsCost of "&amp;$F199&amp;"USD/ton"),'Fuel Model - Calculation'!$B$2:$B$3771,0)),MATCH(J$141,'Fuel Model - Calculation'!$B$2:$M$2,0))</f>
        <v>436.53380911769557</v>
      </c>
      <c r="K199" s="118">
        <f>INDEX('Fuel Model - Calculation'!$B$2:$M$3771,(MATCH(($E199&amp;"ResultsCost of "&amp;$F199&amp;"USD/ton"),'Fuel Model - Calculation'!$B$2:$B$3771,0)),MATCH(K$141,'Fuel Model - Calculation'!$B$2:$M$2,0))</f>
        <v>447.67862451603872</v>
      </c>
      <c r="L199" s="118">
        <f>INDEX('Fuel Model - Calculation'!$B$2:$M$3771,(MATCH(($E199&amp;"ResultsCost of "&amp;$F199&amp;"USD/ton"),'Fuel Model - Calculation'!$B$2:$B$3771,0)),MATCH(L$141,'Fuel Model - Calculation'!$B$2:$M$2,0))</f>
        <v>439.71964443704184</v>
      </c>
      <c r="M199" s="118">
        <f>INDEX('Fuel Model - Calculation'!$B$2:$M$3771,(MATCH(($E199&amp;"ResultsCost of "&amp;$F199&amp;"USD/ton"),'Fuel Model - Calculation'!$B$2:$B$3771,0)),MATCH(M$141,'Fuel Model - Calculation'!$B$2:$M$2,0))</f>
        <v>432.00656627754404</v>
      </c>
      <c r="N199" s="118">
        <f>INDEX('Fuel Model - Calculation'!$B$2:$M$3771,(MATCH(($E199&amp;"ResultsCost of "&amp;$F199&amp;"USD/ton"),'Fuel Model - Calculation'!$B$2:$B$3771,0)),MATCH(N$141,'Fuel Model - Calculation'!$B$2:$M$2,0))</f>
        <v>424.33422908641603</v>
      </c>
      <c r="O199"/>
      <c r="P199" s="118">
        <f>IFERROR(INDEX('Fuel Model - Calculation'!G$2:G$3771,(MATCH(($E199&amp;"ResultsTotal RNE "&amp;$F199&amp;"USD/ton"),'Fuel Model - Calculation'!$B$2:$B$3771,0))),0)</f>
        <v>0</v>
      </c>
      <c r="Q199" s="118">
        <f>IFERROR(INDEX('Fuel Model - Calculation'!H$2:H$3771,(MATCH(($E199&amp;"ResultsTotal RNE "&amp;$F199&amp;"USD/ton"),'Fuel Model - Calculation'!$B$2:$B$3771,0))),0)</f>
        <v>0</v>
      </c>
      <c r="R199" s="118">
        <f>IFERROR(INDEX('Fuel Model - Calculation'!I$2:I$3771,(MATCH(($E199&amp;"ResultsTotal RNE "&amp;$F199&amp;"USD/ton"),'Fuel Model - Calculation'!$B$2:$B$3771,0))),0)</f>
        <v>0</v>
      </c>
      <c r="S199" s="118">
        <f>IFERROR(INDEX('Fuel Model - Calculation'!J$2:J$3771,(MATCH(($E199&amp;"ResultsTotal RNE "&amp;$F199&amp;"USD/ton"),'Fuel Model - Calculation'!$B$2:$B$3771,0))),0)</f>
        <v>0</v>
      </c>
      <c r="T199" s="118">
        <f>IFERROR(INDEX('Fuel Model - Calculation'!K$2:K$3771,(MATCH(($E199&amp;"ResultsTotal RNE "&amp;$F199&amp;"USD/ton"),'Fuel Model - Calculation'!$B$2:$B$3771,0))),0)</f>
        <v>0</v>
      </c>
      <c r="U199" s="118">
        <f>IFERROR(INDEX('Fuel Model - Calculation'!L$2:L$3771,(MATCH(($E199&amp;"ResultsTotal RNE "&amp;$F199&amp;"USD/ton"),'Fuel Model - Calculation'!$B$2:$B$3771,0))),0)</f>
        <v>0</v>
      </c>
      <c r="V199" s="118">
        <f>IFERROR(INDEX('Fuel Model - Calculation'!M$2:M$3771,(MATCH(($E199&amp;"ResultsTotal RNE "&amp;$F199&amp;"USD/ton"),'Fuel Model - Calculation'!$B$2:$B$3771,0))),0)</f>
        <v>0</v>
      </c>
      <c r="W199"/>
      <c r="X199" s="2">
        <f>INDEX('Fuel Model - Calculation'!$E$2:$M$3771,(MATCH(("WTT Emission - "&amp;$F199),'Fuel Model - Calculation'!$E$2:$E$3771,0)),MATCH(X$141,'Fuel Model - Calculation'!$E$2:$M$2,0))</f>
        <v>0.41517900000000002</v>
      </c>
      <c r="Y199" s="2">
        <f>INDEX('Fuel Model - Calculation'!$E$2:$M$3771,(MATCH(("WTT Emission - "&amp;$F199),'Fuel Model - Calculation'!$E$2:$E$3771,0)),MATCH(Y$141,'Fuel Model - Calculation'!$E$2:$M$2,0))</f>
        <v>0.39635270000000006</v>
      </c>
      <c r="Z199" s="2">
        <f>INDEX('Fuel Model - Calculation'!$E$2:$M$3771,(MATCH(("WTT Emission - "&amp;$F199),'Fuel Model - Calculation'!$E$2:$E$3771,0)),MATCH(Z$141,'Fuel Model - Calculation'!$E$2:$M$2,0))</f>
        <v>0.37752639999999982</v>
      </c>
      <c r="AA199" s="2">
        <f>INDEX('Fuel Model - Calculation'!$E$2:$M$3771,(MATCH(("WTT Emission - "&amp;$F199),'Fuel Model - Calculation'!$E$2:$E$3771,0)),MATCH(AA$141,'Fuel Model - Calculation'!$E$2:$M$2,0))</f>
        <v>0.3587000999999998</v>
      </c>
      <c r="AB199" s="2">
        <f>INDEX('Fuel Model - Calculation'!$E$2:$M$3771,(MATCH(("WTT Emission - "&amp;$F199),'Fuel Model - Calculation'!$E$2:$E$3771,0)),MATCH(AB$141,'Fuel Model - Calculation'!$E$2:$M$2,0))</f>
        <v>0.3398738</v>
      </c>
      <c r="AC199" s="2">
        <f>INDEX('Fuel Model - Calculation'!$E$2:$M$3771,(MATCH(("WTT Emission - "&amp;$F199),'Fuel Model - Calculation'!$E$2:$E$3771,0)),MATCH(AC$141,'Fuel Model - Calculation'!$E$2:$M$2,0))</f>
        <v>0.32104749999999999</v>
      </c>
      <c r="AD199" s="2">
        <f>INDEX('Fuel Model - Calculation'!$E$2:$M$3771,(MATCH(("WTT Emission - "&amp;$F199),'Fuel Model - Calculation'!$E$2:$E$3771,0)),MATCH(AD$141,'Fuel Model - Calculation'!$E$2:$M$2,0))</f>
        <v>0.30222120000000002</v>
      </c>
      <c r="AE199" s="2"/>
      <c r="AF199" s="76">
        <f>'Fuel Model -  Input'!H$50</f>
        <v>0</v>
      </c>
      <c r="AG199" s="76">
        <f>'Fuel Model -  Input'!I$50</f>
        <v>0</v>
      </c>
      <c r="AH199" s="76">
        <f>'Fuel Model -  Input'!J$50</f>
        <v>0</v>
      </c>
      <c r="AI199" s="76">
        <f>'Fuel Model -  Input'!K$50</f>
        <v>0</v>
      </c>
      <c r="AJ199" s="76">
        <f>'Fuel Model -  Input'!L$50</f>
        <v>0</v>
      </c>
      <c r="AK199" s="76">
        <f>'Fuel Model -  Input'!M$50</f>
        <v>0</v>
      </c>
      <c r="AL199" s="76">
        <f>'Fuel Model -  Input'!N$50</f>
        <v>0</v>
      </c>
      <c r="AM199"/>
      <c r="AN199" s="24">
        <f t="shared" si="185"/>
        <v>0.41517900000000002</v>
      </c>
      <c r="AO199" s="24">
        <f t="shared" si="185"/>
        <v>0.39635270000000006</v>
      </c>
      <c r="AP199" s="24">
        <f t="shared" si="185"/>
        <v>0.37752639999999982</v>
      </c>
      <c r="AQ199" s="24">
        <f t="shared" si="185"/>
        <v>0.3587000999999998</v>
      </c>
      <c r="AR199" s="24">
        <f t="shared" si="185"/>
        <v>0.3398738</v>
      </c>
      <c r="AS199" s="24">
        <f t="shared" si="185"/>
        <v>0.32104749999999999</v>
      </c>
      <c r="AT199" s="24">
        <f t="shared" si="185"/>
        <v>0.30222120000000002</v>
      </c>
      <c r="AU199"/>
      <c r="AV199" s="118">
        <f>IFERROR(INDEX('Fuel Model - Calculation'!$B$2:$M$3771,(MATCH(($E199&amp;"Results"&amp;$AV$140&amp;$F199&amp;"USD/ton"),'Fuel Model - Calculation'!$B$2:$B$3771,0)),MATCH(H$141,'Fuel Model - Calculation'!$B$2:$M$2,0)),0)</f>
        <v>111.30000000000003</v>
      </c>
      <c r="AW199" s="118">
        <f>IFERROR(INDEX('Fuel Model - Calculation'!$B$2:$M$3771,(MATCH(($E199&amp;"Results"&amp;$AV$140&amp;$F199&amp;"USD/ton"),'Fuel Model - Calculation'!$B$2:$B$3771,0)),MATCH(I$141,'Fuel Model - Calculation'!$B$2:$M$2,0)),0)</f>
        <v>106.00000000000003</v>
      </c>
      <c r="AX199" s="118">
        <f>IFERROR(INDEX('Fuel Model - Calculation'!$B$2:$M$3771,(MATCH(($E199&amp;"Results"&amp;$AV$140&amp;$F199&amp;"USD/ton"),'Fuel Model - Calculation'!$B$2:$B$3771,0)),MATCH(J$141,'Fuel Model - Calculation'!$B$2:$M$2,0)),0)</f>
        <v>100.70000000000002</v>
      </c>
      <c r="AY199" s="118">
        <f>IFERROR(INDEX('Fuel Model - Calculation'!$B$2:$M$3771,(MATCH(($E199&amp;"Results"&amp;$AV$140&amp;$F199&amp;"USD/ton"),'Fuel Model - Calculation'!$B$2:$B$3771,0)),MATCH(K$141,'Fuel Model - Calculation'!$B$2:$M$2,0)),0)</f>
        <v>95.40000000000002</v>
      </c>
      <c r="AZ199" s="118">
        <f>IFERROR(INDEX('Fuel Model - Calculation'!$B$2:$M$3771,(MATCH(($E199&amp;"Results"&amp;$AV$140&amp;$F199&amp;"USD/ton"),'Fuel Model - Calculation'!$B$2:$B$3771,0)),MATCH(L$141,'Fuel Model - Calculation'!$B$2:$M$2,0)),0)</f>
        <v>90.100000000000023</v>
      </c>
      <c r="BA199" s="118">
        <f>IFERROR(INDEX('Fuel Model - Calculation'!$B$2:$M$3771,(MATCH(($E199&amp;"Results"&amp;$AV$140&amp;$F199&amp;"USD/ton"),'Fuel Model - Calculation'!$B$2:$B$3771,0)),MATCH(M$141,'Fuel Model - Calculation'!$B$2:$M$2,0)),0)</f>
        <v>84.800000000000026</v>
      </c>
      <c r="BB199" s="118">
        <f>IFERROR(INDEX('Fuel Model - Calculation'!$B$2:$M$3771,(MATCH(($E199&amp;"Results"&amp;$AV$140&amp;$F199&amp;"USD/ton"),'Fuel Model - Calculation'!$B$2:$B$3771,0)),MATCH(N$141,'Fuel Model - Calculation'!$B$2:$M$2,0)),0)</f>
        <v>79.500000000000014</v>
      </c>
      <c r="BC199"/>
      <c r="BD199" s="118">
        <f>IFERROR(INDEX('Fuel Model - Calculation'!$B$2:$M$3771,(MATCH(($E199&amp;"Results"&amp;$BD$140&amp;$F199&amp;"USD/ton"),'Fuel Model - Calculation'!$B$2:$B$3771,0)),MATCH(P$141,'Fuel Model - Calculation'!$B$2:$M$2,0)),0)</f>
        <v>50.4</v>
      </c>
      <c r="BE199" s="118">
        <f>IFERROR(INDEX('Fuel Model - Calculation'!$B$2:$M$3771,(MATCH(($E199&amp;"Results"&amp;$BD$140&amp;$F199&amp;"USD/ton"),'Fuel Model - Calculation'!$B$2:$B$3771,0)),MATCH(Q$141,'Fuel Model - Calculation'!$B$2:$M$2,0)),0)</f>
        <v>48</v>
      </c>
      <c r="BF199" s="118">
        <f>IFERROR(INDEX('Fuel Model - Calculation'!$B$2:$M$3771,(MATCH(($E199&amp;"Results"&amp;$BD$140&amp;$F199&amp;"USD/ton"),'Fuel Model - Calculation'!$B$2:$B$3771,0)),MATCH(R$141,'Fuel Model - Calculation'!$B$2:$M$2,0)),0)</f>
        <v>45.6</v>
      </c>
      <c r="BG199" s="118">
        <f>IFERROR(INDEX('Fuel Model - Calculation'!$B$2:$M$3771,(MATCH(($E199&amp;"Results"&amp;$BD$140&amp;$F199&amp;"USD/ton"),'Fuel Model - Calculation'!$B$2:$B$3771,0)),MATCH(S$141,'Fuel Model - Calculation'!$B$2:$M$2,0)),0)</f>
        <v>43.2</v>
      </c>
      <c r="BH199" s="118">
        <f>IFERROR(INDEX('Fuel Model - Calculation'!$B$2:$M$3771,(MATCH(($E199&amp;"Results"&amp;$BD$140&amp;$F199&amp;"USD/ton"),'Fuel Model - Calculation'!$B$2:$B$3771,0)),MATCH(T$141,'Fuel Model - Calculation'!$B$2:$M$2,0)),0)</f>
        <v>40.800000000000004</v>
      </c>
      <c r="BI199" s="118">
        <f>IFERROR(INDEX('Fuel Model - Calculation'!$B$2:$M$3771,(MATCH(($E199&amp;"Results"&amp;$BD$140&amp;$F199&amp;"USD/ton"),'Fuel Model - Calculation'!$B$2:$B$3771,0)),MATCH(U$141,'Fuel Model - Calculation'!$B$2:$M$2,0)),0)</f>
        <v>38.4</v>
      </c>
      <c r="BJ199" s="118">
        <f>IFERROR(INDEX('Fuel Model - Calculation'!$B$2:$M$3771,(MATCH(($E199&amp;"Results"&amp;$BD$140&amp;$F199&amp;"USD/ton"),'Fuel Model - Calculation'!$B$2:$B$3771,0)),MATCH(V$141,'Fuel Model - Calculation'!$B$2:$M$2,0)),0)</f>
        <v>36</v>
      </c>
      <c r="BL199" s="118">
        <f>IFERROR(IFERROR(INDEX('Fuel Model - Calculation'!$B$2:$M$3771,(MATCH(($E199&amp;"Results"&amp;$BL$140&amp;$F199&amp;"USD/ton"),'Fuel Model - Calculation'!$B$2:$B$3771,0)),MATCH(H$141,'Fuel Model - Calculation'!$B$2:$M$2,0)),0),0)</f>
        <v>131.21600000000001</v>
      </c>
      <c r="BM199" s="118">
        <f>IFERROR(IFERROR(INDEX('Fuel Model - Calculation'!$B$2:$M$3771,(MATCH(($E199&amp;"Results"&amp;$BL$140&amp;$F199&amp;"USD/ton"),'Fuel Model - Calculation'!$B$2:$B$3771,0)),MATCH(I$141,'Fuel Model - Calculation'!$B$2:$M$2,0)),0),0)</f>
        <v>132.16000000000003</v>
      </c>
      <c r="BN199" s="118">
        <f>IFERROR(IFERROR(INDEX('Fuel Model - Calculation'!$B$2:$M$3771,(MATCH(($E199&amp;"Results"&amp;$BL$140&amp;$F199&amp;"USD/ton"),'Fuel Model - Calculation'!$B$2:$B$3771,0)),MATCH(J$141,'Fuel Model - Calculation'!$B$2:$M$2,0)),0),0)</f>
        <v>133.10400000000001</v>
      </c>
      <c r="BO199" s="118">
        <f>IFERROR(IFERROR(INDEX('Fuel Model - Calculation'!$B$2:$M$3771,(MATCH(($E199&amp;"Results"&amp;$BL$140&amp;$F199&amp;"USD/ton"),'Fuel Model - Calculation'!$B$2:$B$3771,0)),MATCH(K$141,'Fuel Model - Calculation'!$B$2:$M$2,0)),0),0)</f>
        <v>134.048</v>
      </c>
      <c r="BP199" s="118">
        <f>IFERROR(IFERROR(INDEX('Fuel Model - Calculation'!$B$2:$M$3771,(MATCH(($E199&amp;"Results"&amp;$BL$140&amp;$F199&amp;"USD/ton"),'Fuel Model - Calculation'!$B$2:$B$3771,0)),MATCH(L$141,'Fuel Model - Calculation'!$B$2:$M$2,0)),0),0)</f>
        <v>134.99200000000002</v>
      </c>
      <c r="BQ199" s="118">
        <f>IFERROR(IFERROR(INDEX('Fuel Model - Calculation'!$B$2:$M$3771,(MATCH(($E199&amp;"Results"&amp;$BL$140&amp;$F199&amp;"USD/ton"),'Fuel Model - Calculation'!$B$2:$B$3771,0)),MATCH(M$141,'Fuel Model - Calculation'!$B$2:$M$2,0)),0),0)</f>
        <v>135.93600000000001</v>
      </c>
      <c r="BR199" s="118">
        <f>IFERROR(IFERROR(INDEX('Fuel Model - Calculation'!$B$2:$M$3771,(MATCH(($E199&amp;"Results"&amp;$BL$140&amp;$F199&amp;"USD/ton"),'Fuel Model - Calculation'!$B$2:$B$3771,0)),MATCH(N$141,'Fuel Model - Calculation'!$B$2:$M$2,0)),0),0)</f>
        <v>136.88</v>
      </c>
      <c r="BT199" s="118">
        <f>IFERROR(INDEX('Fuel Model - Calculation'!$B$2:$M$3771,(MATCH(($E199&amp;"Results"&amp;$BT$140&amp;$F199&amp;"USD/ton"),'Fuel Model - Calculation'!$B$2:$B$3771,0)),MATCH(H$141,'Fuel Model - Calculation'!$B$2:$M$2,0)),0)</f>
        <v>284.20597709759801</v>
      </c>
      <c r="BU199" s="118">
        <f>IFERROR(INDEX('Fuel Model - Calculation'!$B$2:$M$3771,(MATCH(($E199&amp;"Results"&amp;$BT$140&amp;$F199&amp;"USD/ton"),'Fuel Model - Calculation'!$B$2:$B$3771,0)),MATCH(I$141,'Fuel Model - Calculation'!$B$2:$M$2,0)),0)</f>
        <v>185.68347049883087</v>
      </c>
      <c r="BV199" s="118">
        <f>IFERROR(INDEX('Fuel Model - Calculation'!$B$2:$M$3771,(MATCH(($E199&amp;"Results"&amp;$BT$140&amp;$F199&amp;"USD/ton"),'Fuel Model - Calculation'!$B$2:$B$3771,0)),MATCH(J$141,'Fuel Model - Calculation'!$B$2:$M$2,0)),0)</f>
        <v>157.12980911769554</v>
      </c>
      <c r="BW199" s="118">
        <f>IFERROR(INDEX('Fuel Model - Calculation'!$B$2:$M$3771,(MATCH(($E199&amp;"Results"&amp;$BT$140&amp;$F199&amp;"USD/ton"),'Fuel Model - Calculation'!$B$2:$B$3771,0)),MATCH(K$141,'Fuel Model - Calculation'!$B$2:$M$2,0)),0)</f>
        <v>175.0306245160387</v>
      </c>
      <c r="BX199" s="118">
        <f>IFERROR(INDEX('Fuel Model - Calculation'!$B$2:$M$3771,(MATCH(($E199&amp;"Results"&amp;$BT$140&amp;$F199&amp;"USD/ton"),'Fuel Model - Calculation'!$B$2:$B$3771,0)),MATCH(L$141,'Fuel Model - Calculation'!$B$2:$M$2,0)),0)</f>
        <v>173.82764443704176</v>
      </c>
      <c r="BY199" s="118">
        <f>IFERROR(INDEX('Fuel Model - Calculation'!$B$2:$M$3771,(MATCH(($E199&amp;"Results"&amp;$BT$140&amp;$F199&amp;"USD/ton"),'Fuel Model - Calculation'!$B$2:$B$3771,0)),MATCH(M$141,'Fuel Model - Calculation'!$B$2:$M$2,0)),0)</f>
        <v>172.87056627754401</v>
      </c>
      <c r="BZ199" s="118">
        <f>IFERROR(INDEX('Fuel Model - Calculation'!$B$2:$M$3771,(MATCH(($E199&amp;"Results"&amp;$BT$140&amp;$F199&amp;"USD/ton"),'Fuel Model - Calculation'!$B$2:$B$3771,0)),MATCH(N$141,'Fuel Model - Calculation'!$B$2:$M$2,0)),0)</f>
        <v>171.95422908641601</v>
      </c>
    </row>
    <row r="200" spans="1:78" x14ac:dyDescent="0.2">
      <c r="A200" s="452"/>
      <c r="B200" s="453" t="str">
        <f>_xlfn.TEXTJOIN(keydelim,TRUE,F200,IF(E200="Africa","Africa&amp;other",E200),"Fuel cost",SUBSTITUTE($G200," ",""))</f>
        <v>Blue ammonia - Africa&amp;other - Fuel cost - USD/ton</v>
      </c>
      <c r="D200" s="459" t="str">
        <f t="shared" si="186"/>
        <v>AfricaBlue ammonia</v>
      </c>
      <c r="E200" t="s">
        <v>200</v>
      </c>
      <c r="F200" s="460" t="str">
        <f t="shared" si="187"/>
        <v>Blue ammonia</v>
      </c>
      <c r="G200" t="s">
        <v>835</v>
      </c>
      <c r="H200" s="118">
        <f>INDEX('Fuel Model - Calculation'!$B$2:$M$3771,(MATCH(($E200&amp;"ResultsCost of "&amp;$F200&amp;"USD/ton"),'Fuel Model - Calculation'!$B$2:$B$3771,0)),MATCH(H$141,'Fuel Model - Calculation'!$B$2:$M$2,0))</f>
        <v>1479.6968153291473</v>
      </c>
      <c r="I200" s="118">
        <f>INDEX('Fuel Model - Calculation'!$B$2:$M$3771,(MATCH(($E200&amp;"ResultsCost of "&amp;$F200&amp;"USD/ton"),'Fuel Model - Calculation'!$B$2:$B$3771,0)),MATCH(I$141,'Fuel Model - Calculation'!$B$2:$M$2,0))</f>
        <v>774.20676354619604</v>
      </c>
      <c r="J200" s="118">
        <f>INDEX('Fuel Model - Calculation'!$B$2:$M$3771,(MATCH(($E200&amp;"ResultsCost of "&amp;$F200&amp;"USD/ton"),'Fuel Model - Calculation'!$B$2:$B$3771,0)),MATCH(J$141,'Fuel Model - Calculation'!$B$2:$M$2,0))</f>
        <v>600.7816249063178</v>
      </c>
      <c r="K200" s="118">
        <f>INDEX('Fuel Model - Calculation'!$B$2:$M$3771,(MATCH(($E200&amp;"ResultsCost of "&amp;$F200&amp;"USD/ton"),'Fuel Model - Calculation'!$B$2:$B$3771,0)),MATCH(K$141,'Fuel Model - Calculation'!$B$2:$M$2,0))</f>
        <v>592.35743830963611</v>
      </c>
      <c r="L200" s="118">
        <f>INDEX('Fuel Model - Calculation'!$B$2:$M$3771,(MATCH(($E200&amp;"ResultsCost of "&amp;$F200&amp;"USD/ton"),'Fuel Model - Calculation'!$B$2:$B$3771,0)),MATCH(L$141,'Fuel Model - Calculation'!$B$2:$M$2,0))</f>
        <v>584.39746836223571</v>
      </c>
      <c r="M200" s="118">
        <f>INDEX('Fuel Model - Calculation'!$B$2:$M$3771,(MATCH(($E200&amp;"ResultsCost of "&amp;$F200&amp;"USD/ton"),'Fuel Model - Calculation'!$B$2:$B$3771,0)),MATCH(M$141,'Fuel Model - Calculation'!$B$2:$M$2,0))</f>
        <v>576.42582822681959</v>
      </c>
      <c r="N200" s="118">
        <f>INDEX('Fuel Model - Calculation'!$B$2:$M$3771,(MATCH(($E200&amp;"ResultsCost of "&amp;$F200&amp;"USD/ton"),'Fuel Model - Calculation'!$B$2:$B$3771,0)),MATCH(N$141,'Fuel Model - Calculation'!$B$2:$M$2,0))</f>
        <v>568.67031437055823</v>
      </c>
      <c r="O200"/>
      <c r="P200" s="118">
        <f>IFERROR(INDEX('Fuel Model - Calculation'!G$2:G$3771,(MATCH(($E200&amp;"ResultsTotal RNE "&amp;$F200&amp;"USD/ton"),'Fuel Model - Calculation'!$B$2:$B$3771,0))),0)</f>
        <v>0</v>
      </c>
      <c r="Q200" s="118">
        <f>IFERROR(INDEX('Fuel Model - Calculation'!H$2:H$3771,(MATCH(($E200&amp;"ResultsTotal RNE "&amp;$F200&amp;"USD/ton"),'Fuel Model - Calculation'!$B$2:$B$3771,0))),0)</f>
        <v>0</v>
      </c>
      <c r="R200" s="118">
        <f>IFERROR(INDEX('Fuel Model - Calculation'!I$2:I$3771,(MATCH(($E200&amp;"ResultsTotal RNE "&amp;$F200&amp;"USD/ton"),'Fuel Model - Calculation'!$B$2:$B$3771,0))),0)</f>
        <v>0</v>
      </c>
      <c r="S200" s="118">
        <f>IFERROR(INDEX('Fuel Model - Calculation'!J$2:J$3771,(MATCH(($E200&amp;"ResultsTotal RNE "&amp;$F200&amp;"USD/ton"),'Fuel Model - Calculation'!$B$2:$B$3771,0))),0)</f>
        <v>0</v>
      </c>
      <c r="T200" s="118">
        <f>IFERROR(INDEX('Fuel Model - Calculation'!K$2:K$3771,(MATCH(($E200&amp;"ResultsTotal RNE "&amp;$F200&amp;"USD/ton"),'Fuel Model - Calculation'!$B$2:$B$3771,0))),0)</f>
        <v>0</v>
      </c>
      <c r="U200" s="118">
        <f>IFERROR(INDEX('Fuel Model - Calculation'!L$2:L$3771,(MATCH(($E200&amp;"ResultsTotal RNE "&amp;$F200&amp;"USD/ton"),'Fuel Model - Calculation'!$B$2:$B$3771,0))),0)</f>
        <v>0</v>
      </c>
      <c r="V200" s="118">
        <f>IFERROR(INDEX('Fuel Model - Calculation'!M$2:M$3771,(MATCH(($E200&amp;"ResultsTotal RNE "&amp;$F200&amp;"USD/ton"),'Fuel Model - Calculation'!$B$2:$B$3771,0))),0)</f>
        <v>0</v>
      </c>
      <c r="W200"/>
      <c r="X200" s="2">
        <f>INDEX('Fuel Model - Calculation'!$E$2:$M$3771,(MATCH(("WTT Emission - "&amp;$F200),'Fuel Model - Calculation'!$E$2:$E$3771,0)),MATCH(X$141,'Fuel Model - Calculation'!$E$2:$M$2,0))</f>
        <v>0.41517900000000002</v>
      </c>
      <c r="Y200" s="2">
        <f>INDEX('Fuel Model - Calculation'!$E$2:$M$3771,(MATCH(("WTT Emission - "&amp;$F200),'Fuel Model - Calculation'!$E$2:$E$3771,0)),MATCH(Y$141,'Fuel Model - Calculation'!$E$2:$M$2,0))</f>
        <v>0.39635270000000006</v>
      </c>
      <c r="Z200" s="2">
        <f>INDEX('Fuel Model - Calculation'!$E$2:$M$3771,(MATCH(("WTT Emission - "&amp;$F200),'Fuel Model - Calculation'!$E$2:$E$3771,0)),MATCH(Z$141,'Fuel Model - Calculation'!$E$2:$M$2,0))</f>
        <v>0.37752639999999982</v>
      </c>
      <c r="AA200" s="2">
        <f>INDEX('Fuel Model - Calculation'!$E$2:$M$3771,(MATCH(("WTT Emission - "&amp;$F200),'Fuel Model - Calculation'!$E$2:$E$3771,0)),MATCH(AA$141,'Fuel Model - Calculation'!$E$2:$M$2,0))</f>
        <v>0.3587000999999998</v>
      </c>
      <c r="AB200" s="2">
        <f>INDEX('Fuel Model - Calculation'!$E$2:$M$3771,(MATCH(("WTT Emission - "&amp;$F200),'Fuel Model - Calculation'!$E$2:$E$3771,0)),MATCH(AB$141,'Fuel Model - Calculation'!$E$2:$M$2,0))</f>
        <v>0.3398738</v>
      </c>
      <c r="AC200" s="2">
        <f>INDEX('Fuel Model - Calculation'!$E$2:$M$3771,(MATCH(("WTT Emission - "&amp;$F200),'Fuel Model - Calculation'!$E$2:$E$3771,0)),MATCH(AC$141,'Fuel Model - Calculation'!$E$2:$M$2,0))</f>
        <v>0.32104749999999999</v>
      </c>
      <c r="AD200" s="2">
        <f>INDEX('Fuel Model - Calculation'!$E$2:$M$3771,(MATCH(("WTT Emission - "&amp;$F200),'Fuel Model - Calculation'!$E$2:$E$3771,0)),MATCH(AD$141,'Fuel Model - Calculation'!$E$2:$M$2,0))</f>
        <v>0.30222120000000002</v>
      </c>
      <c r="AE200" s="2"/>
      <c r="AF200" s="76">
        <f>'Fuel Model -  Input'!H$50</f>
        <v>0</v>
      </c>
      <c r="AG200" s="76">
        <f>'Fuel Model -  Input'!I$50</f>
        <v>0</v>
      </c>
      <c r="AH200" s="76">
        <f>'Fuel Model -  Input'!J$50</f>
        <v>0</v>
      </c>
      <c r="AI200" s="76">
        <f>'Fuel Model -  Input'!K$50</f>
        <v>0</v>
      </c>
      <c r="AJ200" s="76">
        <f>'Fuel Model -  Input'!L$50</f>
        <v>0</v>
      </c>
      <c r="AK200" s="76">
        <f>'Fuel Model -  Input'!M$50</f>
        <v>0</v>
      </c>
      <c r="AL200" s="76">
        <f>'Fuel Model -  Input'!N$50</f>
        <v>0</v>
      </c>
      <c r="AM200"/>
      <c r="AN200" s="24">
        <f t="shared" si="185"/>
        <v>0.41517900000000002</v>
      </c>
      <c r="AO200" s="24">
        <f t="shared" si="185"/>
        <v>0.39635270000000006</v>
      </c>
      <c r="AP200" s="24">
        <f t="shared" si="185"/>
        <v>0.37752639999999982</v>
      </c>
      <c r="AQ200" s="24">
        <f t="shared" si="185"/>
        <v>0.3587000999999998</v>
      </c>
      <c r="AR200" s="24">
        <f t="shared" si="185"/>
        <v>0.3398738</v>
      </c>
      <c r="AS200" s="24">
        <f t="shared" si="185"/>
        <v>0.32104749999999999</v>
      </c>
      <c r="AT200" s="24">
        <f t="shared" si="185"/>
        <v>0.30222120000000002</v>
      </c>
      <c r="AU200"/>
      <c r="AV200" s="118">
        <f>IFERROR(INDEX('Fuel Model - Calculation'!$B$2:$M$3771,(MATCH(($E200&amp;"Results"&amp;$AV$140&amp;$F200&amp;"USD/ton"),'Fuel Model - Calculation'!$B$2:$B$3771,0)),MATCH(H$141,'Fuel Model - Calculation'!$B$2:$M$2,0)),0)</f>
        <v>111.30000000000003</v>
      </c>
      <c r="AW200" s="118">
        <f>IFERROR(INDEX('Fuel Model - Calculation'!$B$2:$M$3771,(MATCH(($E200&amp;"Results"&amp;$AV$140&amp;$F200&amp;"USD/ton"),'Fuel Model - Calculation'!$B$2:$B$3771,0)),MATCH(I$141,'Fuel Model - Calculation'!$B$2:$M$2,0)),0)</f>
        <v>106.00000000000003</v>
      </c>
      <c r="AX200" s="118">
        <f>IFERROR(INDEX('Fuel Model - Calculation'!$B$2:$M$3771,(MATCH(($E200&amp;"Results"&amp;$AV$140&amp;$F200&amp;"USD/ton"),'Fuel Model - Calculation'!$B$2:$B$3771,0)),MATCH(J$141,'Fuel Model - Calculation'!$B$2:$M$2,0)),0)</f>
        <v>100.70000000000002</v>
      </c>
      <c r="AY200" s="118">
        <f>IFERROR(INDEX('Fuel Model - Calculation'!$B$2:$M$3771,(MATCH(($E200&amp;"Results"&amp;$AV$140&amp;$F200&amp;"USD/ton"),'Fuel Model - Calculation'!$B$2:$B$3771,0)),MATCH(K$141,'Fuel Model - Calculation'!$B$2:$M$2,0)),0)</f>
        <v>95.40000000000002</v>
      </c>
      <c r="AZ200" s="118">
        <f>IFERROR(INDEX('Fuel Model - Calculation'!$B$2:$M$3771,(MATCH(($E200&amp;"Results"&amp;$AV$140&amp;$F200&amp;"USD/ton"),'Fuel Model - Calculation'!$B$2:$B$3771,0)),MATCH(L$141,'Fuel Model - Calculation'!$B$2:$M$2,0)),0)</f>
        <v>90.100000000000023</v>
      </c>
      <c r="BA200" s="118">
        <f>IFERROR(INDEX('Fuel Model - Calculation'!$B$2:$M$3771,(MATCH(($E200&amp;"Results"&amp;$AV$140&amp;$F200&amp;"USD/ton"),'Fuel Model - Calculation'!$B$2:$B$3771,0)),MATCH(M$141,'Fuel Model - Calculation'!$B$2:$M$2,0)),0)</f>
        <v>84.800000000000026</v>
      </c>
      <c r="BB200" s="118">
        <f>IFERROR(INDEX('Fuel Model - Calculation'!$B$2:$M$3771,(MATCH(($E200&amp;"Results"&amp;$AV$140&amp;$F200&amp;"USD/ton"),'Fuel Model - Calculation'!$B$2:$B$3771,0)),MATCH(N$141,'Fuel Model - Calculation'!$B$2:$M$2,0)),0)</f>
        <v>79.500000000000014</v>
      </c>
      <c r="BC200"/>
      <c r="BD200" s="118">
        <f>IFERROR(INDEX('Fuel Model - Calculation'!$B$2:$M$3771,(MATCH(($E200&amp;"Results"&amp;$BD$140&amp;$F200&amp;"USD/ton"),'Fuel Model - Calculation'!$B$2:$B$3771,0)),MATCH(P$141,'Fuel Model - Calculation'!$B$2:$M$2,0)),0)</f>
        <v>50.4</v>
      </c>
      <c r="BE200" s="118">
        <f>IFERROR(INDEX('Fuel Model - Calculation'!$B$2:$M$3771,(MATCH(($E200&amp;"Results"&amp;$BD$140&amp;$F200&amp;"USD/ton"),'Fuel Model - Calculation'!$B$2:$B$3771,0)),MATCH(Q$141,'Fuel Model - Calculation'!$B$2:$M$2,0)),0)</f>
        <v>48</v>
      </c>
      <c r="BF200" s="118">
        <f>IFERROR(INDEX('Fuel Model - Calculation'!$B$2:$M$3771,(MATCH(($E200&amp;"Results"&amp;$BD$140&amp;$F200&amp;"USD/ton"),'Fuel Model - Calculation'!$B$2:$B$3771,0)),MATCH(R$141,'Fuel Model - Calculation'!$B$2:$M$2,0)),0)</f>
        <v>45.6</v>
      </c>
      <c r="BG200" s="118">
        <f>IFERROR(INDEX('Fuel Model - Calculation'!$B$2:$M$3771,(MATCH(($E200&amp;"Results"&amp;$BD$140&amp;$F200&amp;"USD/ton"),'Fuel Model - Calculation'!$B$2:$B$3771,0)),MATCH(S$141,'Fuel Model - Calculation'!$B$2:$M$2,0)),0)</f>
        <v>43.2</v>
      </c>
      <c r="BH200" s="118">
        <f>IFERROR(INDEX('Fuel Model - Calculation'!$B$2:$M$3771,(MATCH(($E200&amp;"Results"&amp;$BD$140&amp;$F200&amp;"USD/ton"),'Fuel Model - Calculation'!$B$2:$B$3771,0)),MATCH(T$141,'Fuel Model - Calculation'!$B$2:$M$2,0)),0)</f>
        <v>40.800000000000004</v>
      </c>
      <c r="BI200" s="118">
        <f>IFERROR(INDEX('Fuel Model - Calculation'!$B$2:$M$3771,(MATCH(($E200&amp;"Results"&amp;$BD$140&amp;$F200&amp;"USD/ton"),'Fuel Model - Calculation'!$B$2:$B$3771,0)),MATCH(U$141,'Fuel Model - Calculation'!$B$2:$M$2,0)),0)</f>
        <v>38.4</v>
      </c>
      <c r="BJ200" s="118">
        <f>IFERROR(INDEX('Fuel Model - Calculation'!$B$2:$M$3771,(MATCH(($E200&amp;"Results"&amp;$BD$140&amp;$F200&amp;"USD/ton"),'Fuel Model - Calculation'!$B$2:$B$3771,0)),MATCH(V$141,'Fuel Model - Calculation'!$B$2:$M$2,0)),0)</f>
        <v>36</v>
      </c>
      <c r="BL200" s="118">
        <f>IFERROR(IFERROR(INDEX('Fuel Model - Calculation'!$B$2:$M$3771,(MATCH(($E200&amp;"Results"&amp;$BL$140&amp;$F200&amp;"USD/ton"),'Fuel Model - Calculation'!$B$2:$B$3771,0)),MATCH(H$141,'Fuel Model - Calculation'!$B$2:$M$2,0)),0),0)</f>
        <v>131.21600000000001</v>
      </c>
      <c r="BM200" s="118">
        <f>IFERROR(IFERROR(INDEX('Fuel Model - Calculation'!$B$2:$M$3771,(MATCH(($E200&amp;"Results"&amp;$BL$140&amp;$F200&amp;"USD/ton"),'Fuel Model - Calculation'!$B$2:$B$3771,0)),MATCH(I$141,'Fuel Model - Calculation'!$B$2:$M$2,0)),0),0)</f>
        <v>132.16000000000003</v>
      </c>
      <c r="BN200" s="118">
        <f>IFERROR(IFERROR(INDEX('Fuel Model - Calculation'!$B$2:$M$3771,(MATCH(($E200&amp;"Results"&amp;$BL$140&amp;$F200&amp;"USD/ton"),'Fuel Model - Calculation'!$B$2:$B$3771,0)),MATCH(J$141,'Fuel Model - Calculation'!$B$2:$M$2,0)),0),0)</f>
        <v>133.10400000000001</v>
      </c>
      <c r="BO200" s="118">
        <f>IFERROR(IFERROR(INDEX('Fuel Model - Calculation'!$B$2:$M$3771,(MATCH(($E200&amp;"Results"&amp;$BL$140&amp;$F200&amp;"USD/ton"),'Fuel Model - Calculation'!$B$2:$B$3771,0)),MATCH(K$141,'Fuel Model - Calculation'!$B$2:$M$2,0)),0),0)</f>
        <v>134.048</v>
      </c>
      <c r="BP200" s="118">
        <f>IFERROR(IFERROR(INDEX('Fuel Model - Calculation'!$B$2:$M$3771,(MATCH(($E200&amp;"Results"&amp;$BL$140&amp;$F200&amp;"USD/ton"),'Fuel Model - Calculation'!$B$2:$B$3771,0)),MATCH(L$141,'Fuel Model - Calculation'!$B$2:$M$2,0)),0),0)</f>
        <v>134.99200000000002</v>
      </c>
      <c r="BQ200" s="118">
        <f>IFERROR(IFERROR(INDEX('Fuel Model - Calculation'!$B$2:$M$3771,(MATCH(($E200&amp;"Results"&amp;$BL$140&amp;$F200&amp;"USD/ton"),'Fuel Model - Calculation'!$B$2:$B$3771,0)),MATCH(M$141,'Fuel Model - Calculation'!$B$2:$M$2,0)),0),0)</f>
        <v>135.93600000000001</v>
      </c>
      <c r="BR200" s="118">
        <f>IFERROR(IFERROR(INDEX('Fuel Model - Calculation'!$B$2:$M$3771,(MATCH(($E200&amp;"Results"&amp;$BL$140&amp;$F200&amp;"USD/ton"),'Fuel Model - Calculation'!$B$2:$B$3771,0)),MATCH(N$141,'Fuel Model - Calculation'!$B$2:$M$2,0)),0),0)</f>
        <v>136.88</v>
      </c>
      <c r="BT200" s="118">
        <f>IFERROR(INDEX('Fuel Model - Calculation'!$B$2:$M$3771,(MATCH(($E200&amp;"Results"&amp;$BT$140&amp;$F200&amp;"USD/ton"),'Fuel Model - Calculation'!$B$2:$B$3771,0)),MATCH(H$141,'Fuel Model - Calculation'!$B$2:$M$2,0)),0)</f>
        <v>1186.7808153291471</v>
      </c>
      <c r="BU200" s="118">
        <f>IFERROR(INDEX('Fuel Model - Calculation'!$B$2:$M$3771,(MATCH(($E200&amp;"Results"&amp;$BT$140&amp;$F200&amp;"USD/ton"),'Fuel Model - Calculation'!$B$2:$B$3771,0)),MATCH(I$141,'Fuel Model - Calculation'!$B$2:$M$2,0)),0)</f>
        <v>488.04676354619608</v>
      </c>
      <c r="BV200" s="118">
        <f>IFERROR(INDEX('Fuel Model - Calculation'!$B$2:$M$3771,(MATCH(($E200&amp;"Results"&amp;$BT$140&amp;$F200&amp;"USD/ton"),'Fuel Model - Calculation'!$B$2:$B$3771,0)),MATCH(J$141,'Fuel Model - Calculation'!$B$2:$M$2,0)),0)</f>
        <v>321.37762490631775</v>
      </c>
      <c r="BW200" s="118">
        <f>IFERROR(INDEX('Fuel Model - Calculation'!$B$2:$M$3771,(MATCH(($E200&amp;"Results"&amp;$BT$140&amp;$F200&amp;"USD/ton"),'Fuel Model - Calculation'!$B$2:$B$3771,0)),MATCH(K$141,'Fuel Model - Calculation'!$B$2:$M$2,0)),0)</f>
        <v>319.70943830963614</v>
      </c>
      <c r="BX200" s="118">
        <f>IFERROR(INDEX('Fuel Model - Calculation'!$B$2:$M$3771,(MATCH(($E200&amp;"Results"&amp;$BT$140&amp;$F200&amp;"USD/ton"),'Fuel Model - Calculation'!$B$2:$B$3771,0)),MATCH(L$141,'Fuel Model - Calculation'!$B$2:$M$2,0)),0)</f>
        <v>318.50546836223572</v>
      </c>
      <c r="BY200" s="118">
        <f>IFERROR(INDEX('Fuel Model - Calculation'!$B$2:$M$3771,(MATCH(($E200&amp;"Results"&amp;$BT$140&amp;$F200&amp;"USD/ton"),'Fuel Model - Calculation'!$B$2:$B$3771,0)),MATCH(M$141,'Fuel Model - Calculation'!$B$2:$M$2,0)),0)</f>
        <v>317.28982822681957</v>
      </c>
      <c r="BZ200" s="118">
        <f>IFERROR(INDEX('Fuel Model - Calculation'!$B$2:$M$3771,(MATCH(($E200&amp;"Results"&amp;$BT$140&amp;$F200&amp;"USD/ton"),'Fuel Model - Calculation'!$B$2:$B$3771,0)),MATCH(N$141,'Fuel Model - Calculation'!$B$2:$M$2,0)),0)</f>
        <v>316.29031437055824</v>
      </c>
    </row>
    <row r="201" spans="1:78" x14ac:dyDescent="0.2">
      <c r="A201" s="452"/>
      <c r="B201" s="453"/>
      <c r="D201" s="459"/>
      <c r="E201"/>
      <c r="F201"/>
      <c r="G201"/>
      <c r="H201" s="118"/>
      <c r="I201"/>
      <c r="J201"/>
      <c r="K201"/>
      <c r="L201"/>
      <c r="M201"/>
      <c r="N201"/>
      <c r="O201"/>
      <c r="P201"/>
      <c r="Q201"/>
      <c r="R201"/>
      <c r="S201"/>
      <c r="T201"/>
      <c r="U201"/>
      <c r="V201"/>
      <c r="W201"/>
      <c r="X201"/>
      <c r="Y201"/>
      <c r="Z201"/>
      <c r="AA201"/>
      <c r="AB201"/>
      <c r="AC201"/>
      <c r="AD201"/>
      <c r="AE201"/>
      <c r="AF201" s="76"/>
      <c r="AG201" s="76"/>
      <c r="AH201" s="76"/>
      <c r="AI201" s="76"/>
      <c r="AJ201" s="76"/>
      <c r="AK201" s="76"/>
      <c r="AL201" s="76"/>
      <c r="AM201"/>
      <c r="AN201" s="24"/>
      <c r="AO201" s="24"/>
      <c r="AP201" s="24"/>
      <c r="AQ201" s="24"/>
      <c r="AR201" s="24"/>
      <c r="AS201" s="24"/>
      <c r="AT201" s="24"/>
      <c r="AU201"/>
      <c r="AV201" s="118"/>
      <c r="AW201" s="118"/>
      <c r="AX201" s="118"/>
      <c r="AY201" s="118"/>
      <c r="AZ201" s="118"/>
      <c r="BA201" s="118"/>
      <c r="BB201" s="118"/>
      <c r="BC201"/>
      <c r="BD201" s="118"/>
      <c r="BE201" s="118"/>
      <c r="BF201" s="118"/>
      <c r="BG201" s="118"/>
      <c r="BH201" s="118"/>
      <c r="BI201" s="118"/>
      <c r="BJ201" s="118"/>
      <c r="BL201" s="118"/>
      <c r="BM201" s="118"/>
      <c r="BN201" s="118"/>
      <c r="BO201" s="118"/>
      <c r="BP201" s="118"/>
      <c r="BQ201" s="118"/>
      <c r="BR201" s="118"/>
      <c r="BT201" s="118"/>
      <c r="BU201" s="118"/>
      <c r="BV201" s="118"/>
      <c r="BW201" s="118"/>
      <c r="BX201" s="118"/>
      <c r="BY201" s="118"/>
      <c r="BZ201" s="118"/>
    </row>
    <row r="202" spans="1:78" x14ac:dyDescent="0.2">
      <c r="A202" s="452"/>
      <c r="B202" s="453" t="str">
        <f>_xlfn.TEXTJOIN(keydelim,TRUE,F202,IF(E202="Africa","Africa&amp;other",E202),"Fuel cost",SUBSTITUTE($G202," ",""))</f>
        <v>LSFO - Europe - Fuel cost - USD/ton</v>
      </c>
      <c r="D202" s="459" t="str">
        <f>E202&amp;F202</f>
        <v>EuropeLSFO</v>
      </c>
      <c r="E202" t="s">
        <v>195</v>
      </c>
      <c r="F202" t="s">
        <v>117</v>
      </c>
      <c r="G202" t="s">
        <v>835</v>
      </c>
      <c r="H202" s="118">
        <f>INDEX('Fuel Model - Calculation'!$B$2:$M$3771,(MATCH(($E202&amp;"ResultsCost of "&amp;$F202&amp;"USD/ton"),'Fuel Model - Calculation'!$B$2:$B$3771,0)),MATCH(H$141,'Fuel Model - Calculation'!$B$2:$M$2,0))</f>
        <v>884.71322310880964</v>
      </c>
      <c r="I202" s="118">
        <f>INDEX('Fuel Model - Calculation'!$B$2:$M$3771,(MATCH(($E202&amp;"ResultsCost of "&amp;$F202&amp;"USD/ton"),'Fuel Model - Calculation'!$B$2:$B$3771,0)),MATCH(I$141,'Fuel Model - Calculation'!$B$2:$M$2,0))</f>
        <v>634.68557309979826</v>
      </c>
      <c r="J202" s="118">
        <f>INDEX('Fuel Model - Calculation'!$B$2:$M$3771,(MATCH(($E202&amp;"ResultsCost of "&amp;$F202&amp;"USD/ton"),'Fuel Model - Calculation'!$B$2:$B$3771,0)),MATCH(J$141,'Fuel Model - Calculation'!$B$2:$M$2,0))</f>
        <v>553.90740925073305</v>
      </c>
      <c r="K202" s="118">
        <f>INDEX('Fuel Model - Calculation'!$B$2:$M$3771,(MATCH(($E202&amp;"ResultsCost of "&amp;$F202&amp;"USD/ton"),'Fuel Model - Calculation'!$B$2:$B$3771,0)),MATCH(K$141,'Fuel Model - Calculation'!$B$2:$M$2,0))</f>
        <v>553.90740925073305</v>
      </c>
      <c r="L202" s="118">
        <f>INDEX('Fuel Model - Calculation'!$B$2:$M$3771,(MATCH(($E202&amp;"ResultsCost of "&amp;$F202&amp;"USD/ton"),'Fuel Model - Calculation'!$B$2:$B$3771,0)),MATCH(L$141,'Fuel Model - Calculation'!$B$2:$M$2,0))</f>
        <v>553.90740925073305</v>
      </c>
      <c r="M202" s="118">
        <f>INDEX('Fuel Model - Calculation'!$B$2:$M$3771,(MATCH(($E202&amp;"ResultsCost of "&amp;$F202&amp;"USD/ton"),'Fuel Model - Calculation'!$B$2:$B$3771,0)),MATCH(M$141,'Fuel Model - Calculation'!$B$2:$M$2,0))</f>
        <v>553.90740925073305</v>
      </c>
      <c r="N202" s="118">
        <f>INDEX('Fuel Model - Calculation'!$B$2:$M$3771,(MATCH(($E202&amp;"ResultsCost of "&amp;$F202&amp;"USD/ton"),'Fuel Model - Calculation'!$B$2:$B$3771,0)),MATCH(N$141,'Fuel Model - Calculation'!$B$2:$M$2,0))</f>
        <v>553.90740925073305</v>
      </c>
      <c r="O202"/>
      <c r="P202" s="118">
        <f>IFERROR(INDEX('Fuel Model - Calculation'!G$2:G$3771,(MATCH(($E202&amp;"ResultsTotal RNE "&amp;$F202&amp;"USD/ton"),'Fuel Model - Calculation'!$B$2:$B$3771,0))),0)</f>
        <v>0</v>
      </c>
      <c r="Q202" s="118">
        <f>IFERROR(INDEX('Fuel Model - Calculation'!H$2:H$3771,(MATCH(($E202&amp;"ResultsTotal RNE "&amp;$F202&amp;"USD/ton"),'Fuel Model - Calculation'!$B$2:$B$3771,0))),0)</f>
        <v>0</v>
      </c>
      <c r="R202" s="118">
        <f>IFERROR(INDEX('Fuel Model - Calculation'!I$2:I$3771,(MATCH(($E202&amp;"ResultsTotal RNE "&amp;$F202&amp;"USD/ton"),'Fuel Model - Calculation'!$B$2:$B$3771,0))),0)</f>
        <v>0</v>
      </c>
      <c r="S202" s="118">
        <f>IFERROR(INDEX('Fuel Model - Calculation'!J$2:J$3771,(MATCH(($E202&amp;"ResultsTotal RNE "&amp;$F202&amp;"USD/ton"),'Fuel Model - Calculation'!$B$2:$B$3771,0))),0)</f>
        <v>0</v>
      </c>
      <c r="T202" s="118">
        <f>IFERROR(INDEX('Fuel Model - Calculation'!K$2:K$3771,(MATCH(($E202&amp;"ResultsTotal RNE "&amp;$F202&amp;"USD/ton"),'Fuel Model - Calculation'!$B$2:$B$3771,0))),0)</f>
        <v>0</v>
      </c>
      <c r="U202" s="118">
        <f>IFERROR(INDEX('Fuel Model - Calculation'!L$2:L$3771,(MATCH(($E202&amp;"ResultsTotal RNE "&amp;$F202&amp;"USD/ton"),'Fuel Model - Calculation'!$B$2:$B$3771,0))),0)</f>
        <v>0</v>
      </c>
      <c r="V202" s="118">
        <f>IFERROR(INDEX('Fuel Model - Calculation'!M$2:M$3771,(MATCH(($E202&amp;"ResultsTotal RNE "&amp;$F202&amp;"USD/ton"),'Fuel Model - Calculation'!$B$2:$B$3771,0))),0)</f>
        <v>0</v>
      </c>
      <c r="W202"/>
      <c r="X202" s="2">
        <f>INDEX('Fuel Model - Calculation'!$E$2:$M$3771,(MATCH(("WTT Emission - "&amp;$F202),'Fuel Model - Calculation'!$E$2:$E$3771,0)),MATCH(X$141,'Fuel Model - Calculation'!$E$2:$M$2,0))</f>
        <v>0.65508</v>
      </c>
      <c r="Y202" s="2">
        <f>INDEX('Fuel Model - Calculation'!$E$2:$M$3771,(MATCH(("WTT Emission - "&amp;$F202),'Fuel Model - Calculation'!$E$2:$E$3771,0)),MATCH(Y$141,'Fuel Model - Calculation'!$E$2:$M$2,0))</f>
        <v>0.65508</v>
      </c>
      <c r="Z202" s="2">
        <f>INDEX('Fuel Model - Calculation'!$E$2:$M$3771,(MATCH(("WTT Emission - "&amp;$F202),'Fuel Model - Calculation'!$E$2:$E$3771,0)),MATCH(Z$141,'Fuel Model - Calculation'!$E$2:$M$2,0))</f>
        <v>0.65508</v>
      </c>
      <c r="AA202" s="2">
        <f>INDEX('Fuel Model - Calculation'!$E$2:$M$3771,(MATCH(("WTT Emission - "&amp;$F202),'Fuel Model - Calculation'!$E$2:$E$3771,0)),MATCH(AA$141,'Fuel Model - Calculation'!$E$2:$M$2,0))</f>
        <v>0.65508</v>
      </c>
      <c r="AB202" s="2">
        <f>INDEX('Fuel Model - Calculation'!$E$2:$M$3771,(MATCH(("WTT Emission - "&amp;$F202),'Fuel Model - Calculation'!$E$2:$E$3771,0)),MATCH(AB$141,'Fuel Model - Calculation'!$E$2:$M$2,0))</f>
        <v>0.65508</v>
      </c>
      <c r="AC202" s="2">
        <f>INDEX('Fuel Model - Calculation'!$E$2:$M$3771,(MATCH(("WTT Emission - "&amp;$F202),'Fuel Model - Calculation'!$E$2:$E$3771,0)),MATCH(AC$141,'Fuel Model - Calculation'!$E$2:$M$2,0))</f>
        <v>0.65508</v>
      </c>
      <c r="AD202" s="2">
        <f>INDEX('Fuel Model - Calculation'!$E$2:$M$3771,(MATCH(("WTT Emission - "&amp;$F202),'Fuel Model - Calculation'!$E$2:$E$3771,0)),MATCH(AD$141,'Fuel Model - Calculation'!$E$2:$M$2,0))</f>
        <v>0.65508</v>
      </c>
      <c r="AE202" s="2"/>
      <c r="AF202" s="76">
        <f>'Fuel Model -  Input'!H$264</f>
        <v>3.1633300000000002</v>
      </c>
      <c r="AG202" s="76">
        <f>'Fuel Model -  Input'!I$264</f>
        <v>3.1633300000000002</v>
      </c>
      <c r="AH202" s="76">
        <f>'Fuel Model -  Input'!J$264</f>
        <v>3.1633300000000002</v>
      </c>
      <c r="AI202" s="76">
        <f>'Fuel Model -  Input'!K$264</f>
        <v>3.1633300000000002</v>
      </c>
      <c r="AJ202" s="76">
        <f>'Fuel Model -  Input'!L$264</f>
        <v>3.1633300000000002</v>
      </c>
      <c r="AK202" s="76">
        <f>'Fuel Model -  Input'!M$264</f>
        <v>3.1633300000000002</v>
      </c>
      <c r="AL202" s="76">
        <f>'Fuel Model -  Input'!N$264</f>
        <v>3.1633300000000002</v>
      </c>
      <c r="AM202"/>
      <c r="AN202" s="24">
        <f t="shared" ref="AN202:AT206" si="188">X202+AF202</f>
        <v>3.8184100000000001</v>
      </c>
      <c r="AO202" s="24">
        <f t="shared" si="188"/>
        <v>3.8184100000000001</v>
      </c>
      <c r="AP202" s="24">
        <f t="shared" si="188"/>
        <v>3.8184100000000001</v>
      </c>
      <c r="AQ202" s="24">
        <f t="shared" si="188"/>
        <v>3.8184100000000001</v>
      </c>
      <c r="AR202" s="24">
        <f t="shared" si="188"/>
        <v>3.8184100000000001</v>
      </c>
      <c r="AS202" s="24">
        <f t="shared" si="188"/>
        <v>3.8184100000000001</v>
      </c>
      <c r="AT202" s="24">
        <f t="shared" si="188"/>
        <v>3.8184100000000001</v>
      </c>
      <c r="AU202"/>
      <c r="AV202" s="118">
        <f>IFERROR(INDEX('Fuel Model - Calculation'!$B$2:$M$3771,(MATCH(($E202&amp;"Results"&amp;$AV$140&amp;$F202&amp;"USD/ton"),'Fuel Model - Calculation'!$B$2:$B$3771,0)),MATCH(H$141,'Fuel Model - Calculation'!$B$2:$M$2,0)),0)</f>
        <v>0</v>
      </c>
      <c r="AW202" s="118">
        <f>IFERROR(INDEX('Fuel Model - Calculation'!$B$2:$M$3771,(MATCH(($E202&amp;"Results"&amp;$AV$140&amp;$F202&amp;"USD/ton"),'Fuel Model - Calculation'!$B$2:$B$3771,0)),MATCH(I$141,'Fuel Model - Calculation'!$B$2:$M$2,0)),0)</f>
        <v>0</v>
      </c>
      <c r="AX202" s="118">
        <f>IFERROR(INDEX('Fuel Model - Calculation'!$B$2:$M$3771,(MATCH(($E202&amp;"Results"&amp;$AV$140&amp;$F202&amp;"USD/ton"),'Fuel Model - Calculation'!$B$2:$B$3771,0)),MATCH(J$141,'Fuel Model - Calculation'!$B$2:$M$2,0)),0)</f>
        <v>0</v>
      </c>
      <c r="AY202" s="118">
        <f>IFERROR(INDEX('Fuel Model - Calculation'!$B$2:$M$3771,(MATCH(($E202&amp;"Results"&amp;$AV$140&amp;$F202&amp;"USD/ton"),'Fuel Model - Calculation'!$B$2:$B$3771,0)),MATCH(K$141,'Fuel Model - Calculation'!$B$2:$M$2,0)),0)</f>
        <v>0</v>
      </c>
      <c r="AZ202" s="118">
        <f>IFERROR(INDEX('Fuel Model - Calculation'!$B$2:$M$3771,(MATCH(($E202&amp;"Results"&amp;$AV$140&amp;$F202&amp;"USD/ton"),'Fuel Model - Calculation'!$B$2:$B$3771,0)),MATCH(L$141,'Fuel Model - Calculation'!$B$2:$M$2,0)),0)</f>
        <v>0</v>
      </c>
      <c r="BA202" s="118">
        <f>IFERROR(INDEX('Fuel Model - Calculation'!$B$2:$M$3771,(MATCH(($E202&amp;"Results"&amp;$AV$140&amp;$F202&amp;"USD/ton"),'Fuel Model - Calculation'!$B$2:$B$3771,0)),MATCH(M$141,'Fuel Model - Calculation'!$B$2:$M$2,0)),0)</f>
        <v>0</v>
      </c>
      <c r="BB202" s="118">
        <f>IFERROR(INDEX('Fuel Model - Calculation'!$B$2:$M$3771,(MATCH(($E202&amp;"Results"&amp;$AV$140&amp;$F202&amp;"USD/ton"),'Fuel Model - Calculation'!$B$2:$B$3771,0)),MATCH(N$141,'Fuel Model - Calculation'!$B$2:$M$2,0)),0)</f>
        <v>0</v>
      </c>
      <c r="BC202"/>
      <c r="BD202" s="118">
        <f>IFERROR(INDEX('Fuel Model - Calculation'!$B$2:$M$3771,(MATCH(($E202&amp;"Results"&amp;$BD$140&amp;$F202&amp;"USD/ton"),'Fuel Model - Calculation'!$B$2:$B$3771,0)),MATCH(P$141,'Fuel Model - Calculation'!$B$2:$M$2,0)),0)</f>
        <v>0</v>
      </c>
      <c r="BE202" s="118">
        <f>IFERROR(INDEX('Fuel Model - Calculation'!$B$2:$M$3771,(MATCH(($E202&amp;"Results"&amp;$BD$140&amp;$F202&amp;"USD/ton"),'Fuel Model - Calculation'!$B$2:$B$3771,0)),MATCH(Q$141,'Fuel Model - Calculation'!$B$2:$M$2,0)),0)</f>
        <v>0</v>
      </c>
      <c r="BF202" s="118">
        <f>IFERROR(INDEX('Fuel Model - Calculation'!$B$2:$M$3771,(MATCH(($E202&amp;"Results"&amp;$BD$140&amp;$F202&amp;"USD/ton"),'Fuel Model - Calculation'!$B$2:$B$3771,0)),MATCH(R$141,'Fuel Model - Calculation'!$B$2:$M$2,0)),0)</f>
        <v>0</v>
      </c>
      <c r="BG202" s="118">
        <f>IFERROR(INDEX('Fuel Model - Calculation'!$B$2:$M$3771,(MATCH(($E202&amp;"Results"&amp;$BD$140&amp;$F202&amp;"USD/ton"),'Fuel Model - Calculation'!$B$2:$B$3771,0)),MATCH(S$141,'Fuel Model - Calculation'!$B$2:$M$2,0)),0)</f>
        <v>0</v>
      </c>
      <c r="BH202" s="118">
        <f>IFERROR(INDEX('Fuel Model - Calculation'!$B$2:$M$3771,(MATCH(($E202&amp;"Results"&amp;$BD$140&amp;$F202&amp;"USD/ton"),'Fuel Model - Calculation'!$B$2:$B$3771,0)),MATCH(T$141,'Fuel Model - Calculation'!$B$2:$M$2,0)),0)</f>
        <v>0</v>
      </c>
      <c r="BI202" s="118">
        <f>IFERROR(INDEX('Fuel Model - Calculation'!$B$2:$M$3771,(MATCH(($E202&amp;"Results"&amp;$BD$140&amp;$F202&amp;"USD/ton"),'Fuel Model - Calculation'!$B$2:$B$3771,0)),MATCH(U$141,'Fuel Model - Calculation'!$B$2:$M$2,0)),0)</f>
        <v>0</v>
      </c>
      <c r="BJ202" s="118">
        <f>IFERROR(INDEX('Fuel Model - Calculation'!$B$2:$M$3771,(MATCH(($E202&amp;"Results"&amp;$BD$140&amp;$F202&amp;"USD/ton"),'Fuel Model - Calculation'!$B$2:$B$3771,0)),MATCH(V$141,'Fuel Model - Calculation'!$B$2:$M$2,0)),0)</f>
        <v>0</v>
      </c>
      <c r="BL202" s="118">
        <f>IFERROR(IFERROR(INDEX('Fuel Model - Calculation'!$B$2:$M$3771,(MATCH(($E202&amp;"Results"&amp;$BL$140&amp;$F202&amp;"USD/ton"),'Fuel Model - Calculation'!$B$2:$B$3771,0)),MATCH(H$141,'Fuel Model - Calculation'!$B$2:$M$2,0)),0),0)</f>
        <v>0</v>
      </c>
      <c r="BM202" s="118">
        <f>IFERROR(IFERROR(INDEX('Fuel Model - Calculation'!$B$2:$M$3771,(MATCH(($E202&amp;"Results"&amp;$BL$140&amp;$F202&amp;"USD/ton"),'Fuel Model - Calculation'!$B$2:$B$3771,0)),MATCH(I$141,'Fuel Model - Calculation'!$B$2:$M$2,0)),0),0)</f>
        <v>0</v>
      </c>
      <c r="BN202" s="118">
        <f>IFERROR(IFERROR(INDEX('Fuel Model - Calculation'!$B$2:$M$3771,(MATCH(($E202&amp;"Results"&amp;$BL$140&amp;$F202&amp;"USD/ton"),'Fuel Model - Calculation'!$B$2:$B$3771,0)),MATCH(J$141,'Fuel Model - Calculation'!$B$2:$M$2,0)),0),0)</f>
        <v>0</v>
      </c>
      <c r="BO202" s="118">
        <f>IFERROR(IFERROR(INDEX('Fuel Model - Calculation'!$B$2:$M$3771,(MATCH(($E202&amp;"Results"&amp;$BL$140&amp;$F202&amp;"USD/ton"),'Fuel Model - Calculation'!$B$2:$B$3771,0)),MATCH(K$141,'Fuel Model - Calculation'!$B$2:$M$2,0)),0),0)</f>
        <v>0</v>
      </c>
      <c r="BP202" s="118">
        <f>IFERROR(IFERROR(INDEX('Fuel Model - Calculation'!$B$2:$M$3771,(MATCH(($E202&amp;"Results"&amp;$BL$140&amp;$F202&amp;"USD/ton"),'Fuel Model - Calculation'!$B$2:$B$3771,0)),MATCH(L$141,'Fuel Model - Calculation'!$B$2:$M$2,0)),0),0)</f>
        <v>0</v>
      </c>
      <c r="BQ202" s="118">
        <f>IFERROR(IFERROR(INDEX('Fuel Model - Calculation'!$B$2:$M$3771,(MATCH(($E202&amp;"Results"&amp;$BL$140&amp;$F202&amp;"USD/ton"),'Fuel Model - Calculation'!$B$2:$B$3771,0)),MATCH(M$141,'Fuel Model - Calculation'!$B$2:$M$2,0)),0),0)</f>
        <v>0</v>
      </c>
      <c r="BR202" s="118">
        <f>IFERROR(IFERROR(INDEX('Fuel Model - Calculation'!$B$2:$M$3771,(MATCH(($E202&amp;"Results"&amp;$BL$140&amp;$F202&amp;"USD/ton"),'Fuel Model - Calculation'!$B$2:$B$3771,0)),MATCH(N$141,'Fuel Model - Calculation'!$B$2:$M$2,0)),0),0)</f>
        <v>0</v>
      </c>
      <c r="BT202" s="118">
        <f>IFERROR(INDEX('Fuel Model - Calculation'!$B$2:$M$3771,(MATCH(($E202&amp;"Results"&amp;$BT$140&amp;$F202&amp;"USD/ton"),'Fuel Model - Calculation'!$B$2:$B$3771,0)),MATCH(H$141,'Fuel Model - Calculation'!$B$2:$M$2,0)),0)</f>
        <v>0</v>
      </c>
      <c r="BU202" s="118">
        <f>IFERROR(INDEX('Fuel Model - Calculation'!$B$2:$M$3771,(MATCH(($E202&amp;"Results"&amp;$BT$140&amp;$F202&amp;"USD/ton"),'Fuel Model - Calculation'!$B$2:$B$3771,0)),MATCH(I$141,'Fuel Model - Calculation'!$B$2:$M$2,0)),0)</f>
        <v>0</v>
      </c>
      <c r="BV202" s="118">
        <f>IFERROR(INDEX('Fuel Model - Calculation'!$B$2:$M$3771,(MATCH(($E202&amp;"Results"&amp;$BT$140&amp;$F202&amp;"USD/ton"),'Fuel Model - Calculation'!$B$2:$B$3771,0)),MATCH(J$141,'Fuel Model - Calculation'!$B$2:$M$2,0)),0)</f>
        <v>0</v>
      </c>
      <c r="BW202" s="118">
        <f>IFERROR(INDEX('Fuel Model - Calculation'!$B$2:$M$3771,(MATCH(($E202&amp;"Results"&amp;$BT$140&amp;$F202&amp;"USD/ton"),'Fuel Model - Calculation'!$B$2:$B$3771,0)),MATCH(K$141,'Fuel Model - Calculation'!$B$2:$M$2,0)),0)</f>
        <v>0</v>
      </c>
      <c r="BX202" s="118">
        <f>IFERROR(INDEX('Fuel Model - Calculation'!$B$2:$M$3771,(MATCH(($E202&amp;"Results"&amp;$BT$140&amp;$F202&amp;"USD/ton"),'Fuel Model - Calculation'!$B$2:$B$3771,0)),MATCH(L$141,'Fuel Model - Calculation'!$B$2:$M$2,0)),0)</f>
        <v>0</v>
      </c>
      <c r="BY202" s="118">
        <f>IFERROR(INDEX('Fuel Model - Calculation'!$B$2:$M$3771,(MATCH(($E202&amp;"Results"&amp;$BT$140&amp;$F202&amp;"USD/ton"),'Fuel Model - Calculation'!$B$2:$B$3771,0)),MATCH(M$141,'Fuel Model - Calculation'!$B$2:$M$2,0)),0)</f>
        <v>0</v>
      </c>
      <c r="BZ202" s="118">
        <f>IFERROR(INDEX('Fuel Model - Calculation'!$B$2:$M$3771,(MATCH(($E202&amp;"Results"&amp;$BT$140&amp;$F202&amp;"USD/ton"),'Fuel Model - Calculation'!$B$2:$B$3771,0)),MATCH(N$141,'Fuel Model - Calculation'!$B$2:$M$2,0)),0)</f>
        <v>0</v>
      </c>
    </row>
    <row r="203" spans="1:78" x14ac:dyDescent="0.2">
      <c r="A203" s="452"/>
      <c r="B203" s="453" t="str">
        <f>_xlfn.TEXTJOIN(keydelim,TRUE,F203,IF(E203="Africa","Africa&amp;other",E203),"Fuel cost",SUBSTITUTE($G203," ",""))</f>
        <v>LSFO - Middle East - Fuel cost - USD/ton</v>
      </c>
      <c r="D203" s="459" t="str">
        <f t="shared" ref="D203:D206" si="189">E203&amp;F203</f>
        <v>Middle EastLSFO</v>
      </c>
      <c r="E203" t="s">
        <v>197</v>
      </c>
      <c r="F203" s="460" t="str">
        <f t="shared" ref="F203:F206" si="190">F202</f>
        <v>LSFO</v>
      </c>
      <c r="G203" t="str">
        <f>G202</f>
        <v>USD/ ton</v>
      </c>
      <c r="H203" s="118">
        <f>INDEX('Fuel Model - Calculation'!$B$2:$M$3771,(MATCH(($E203&amp;"ResultsCost of "&amp;$F203&amp;"USD/ton"),'Fuel Model - Calculation'!$B$2:$B$3771,0)),MATCH(H$141,'Fuel Model - Calculation'!$B$2:$M$2,0))</f>
        <v>884.71322310880964</v>
      </c>
      <c r="I203" s="118">
        <f>INDEX('Fuel Model - Calculation'!$B$2:$M$3771,(MATCH(($E203&amp;"ResultsCost of "&amp;$F203&amp;"USD/ton"),'Fuel Model - Calculation'!$B$2:$B$3771,0)),MATCH(I$141,'Fuel Model - Calculation'!$B$2:$M$2,0))</f>
        <v>634.68557309979826</v>
      </c>
      <c r="J203" s="118">
        <f>INDEX('Fuel Model - Calculation'!$B$2:$M$3771,(MATCH(($E203&amp;"ResultsCost of "&amp;$F203&amp;"USD/ton"),'Fuel Model - Calculation'!$B$2:$B$3771,0)),MATCH(J$141,'Fuel Model - Calculation'!$B$2:$M$2,0))</f>
        <v>553.90740925073305</v>
      </c>
      <c r="K203" s="118">
        <f>INDEX('Fuel Model - Calculation'!$B$2:$M$3771,(MATCH(($E203&amp;"ResultsCost of "&amp;$F203&amp;"USD/ton"),'Fuel Model - Calculation'!$B$2:$B$3771,0)),MATCH(K$141,'Fuel Model - Calculation'!$B$2:$M$2,0))</f>
        <v>553.90740925073305</v>
      </c>
      <c r="L203" s="118">
        <f>INDEX('Fuel Model - Calculation'!$B$2:$M$3771,(MATCH(($E203&amp;"ResultsCost of "&amp;$F203&amp;"USD/ton"),'Fuel Model - Calculation'!$B$2:$B$3771,0)),MATCH(L$141,'Fuel Model - Calculation'!$B$2:$M$2,0))</f>
        <v>553.90740925073305</v>
      </c>
      <c r="M203" s="118">
        <f>INDEX('Fuel Model - Calculation'!$B$2:$M$3771,(MATCH(($E203&amp;"ResultsCost of "&amp;$F203&amp;"USD/ton"),'Fuel Model - Calculation'!$B$2:$B$3771,0)),MATCH(M$141,'Fuel Model - Calculation'!$B$2:$M$2,0))</f>
        <v>553.90740925073305</v>
      </c>
      <c r="N203" s="118">
        <f>INDEX('Fuel Model - Calculation'!$B$2:$M$3771,(MATCH(($E203&amp;"ResultsCost of "&amp;$F203&amp;"USD/ton"),'Fuel Model - Calculation'!$B$2:$B$3771,0)),MATCH(N$141,'Fuel Model - Calculation'!$B$2:$M$2,0))</f>
        <v>553.90740925073305</v>
      </c>
      <c r="O203"/>
      <c r="P203" s="118">
        <f>IFERROR(INDEX('Fuel Model - Calculation'!G$2:G$3771,(MATCH(($E203&amp;"ResultsTotal RNE "&amp;$F203&amp;"USD/ton"),'Fuel Model - Calculation'!$B$2:$B$3771,0))),0)</f>
        <v>0</v>
      </c>
      <c r="Q203" s="118">
        <f>IFERROR(INDEX('Fuel Model - Calculation'!H$2:H$3771,(MATCH(($E203&amp;"ResultsTotal RNE "&amp;$F203&amp;"USD/ton"),'Fuel Model - Calculation'!$B$2:$B$3771,0))),0)</f>
        <v>0</v>
      </c>
      <c r="R203" s="118">
        <f>IFERROR(INDEX('Fuel Model - Calculation'!I$2:I$3771,(MATCH(($E203&amp;"ResultsTotal RNE "&amp;$F203&amp;"USD/ton"),'Fuel Model - Calculation'!$B$2:$B$3771,0))),0)</f>
        <v>0</v>
      </c>
      <c r="S203" s="118">
        <f>IFERROR(INDEX('Fuel Model - Calculation'!J$2:J$3771,(MATCH(($E203&amp;"ResultsTotal RNE "&amp;$F203&amp;"USD/ton"),'Fuel Model - Calculation'!$B$2:$B$3771,0))),0)</f>
        <v>0</v>
      </c>
      <c r="T203" s="118">
        <f>IFERROR(INDEX('Fuel Model - Calculation'!K$2:K$3771,(MATCH(($E203&amp;"ResultsTotal RNE "&amp;$F203&amp;"USD/ton"),'Fuel Model - Calculation'!$B$2:$B$3771,0))),0)</f>
        <v>0</v>
      </c>
      <c r="U203" s="118">
        <f>IFERROR(INDEX('Fuel Model - Calculation'!L$2:L$3771,(MATCH(($E203&amp;"ResultsTotal RNE "&amp;$F203&amp;"USD/ton"),'Fuel Model - Calculation'!$B$2:$B$3771,0))),0)</f>
        <v>0</v>
      </c>
      <c r="V203" s="118">
        <f>IFERROR(INDEX('Fuel Model - Calculation'!M$2:M$3771,(MATCH(($E203&amp;"ResultsTotal RNE "&amp;$F203&amp;"USD/ton"),'Fuel Model - Calculation'!$B$2:$B$3771,0))),0)</f>
        <v>0</v>
      </c>
      <c r="W203"/>
      <c r="X203" s="2">
        <f>INDEX('Fuel Model - Calculation'!$E$2:$M$3771,(MATCH(("WTT Emission - "&amp;$F203),'Fuel Model - Calculation'!$E$2:$E$3771,0)),MATCH(X$141,'Fuel Model - Calculation'!$E$2:$M$2,0))</f>
        <v>0.65508</v>
      </c>
      <c r="Y203" s="2">
        <f>INDEX('Fuel Model - Calculation'!$E$2:$M$3771,(MATCH(("WTT Emission - "&amp;$F203),'Fuel Model - Calculation'!$E$2:$E$3771,0)),MATCH(Y$141,'Fuel Model - Calculation'!$E$2:$M$2,0))</f>
        <v>0.65508</v>
      </c>
      <c r="Z203" s="2">
        <f>INDEX('Fuel Model - Calculation'!$E$2:$M$3771,(MATCH(("WTT Emission - "&amp;$F203),'Fuel Model - Calculation'!$E$2:$E$3771,0)),MATCH(Z$141,'Fuel Model - Calculation'!$E$2:$M$2,0))</f>
        <v>0.65508</v>
      </c>
      <c r="AA203" s="2">
        <f>INDEX('Fuel Model - Calculation'!$E$2:$M$3771,(MATCH(("WTT Emission - "&amp;$F203),'Fuel Model - Calculation'!$E$2:$E$3771,0)),MATCH(AA$141,'Fuel Model - Calculation'!$E$2:$M$2,0))</f>
        <v>0.65508</v>
      </c>
      <c r="AB203" s="2">
        <f>INDEX('Fuel Model - Calculation'!$E$2:$M$3771,(MATCH(("WTT Emission - "&amp;$F203),'Fuel Model - Calculation'!$E$2:$E$3771,0)),MATCH(AB$141,'Fuel Model - Calculation'!$E$2:$M$2,0))</f>
        <v>0.65508</v>
      </c>
      <c r="AC203" s="2">
        <f>INDEX('Fuel Model - Calculation'!$E$2:$M$3771,(MATCH(("WTT Emission - "&amp;$F203),'Fuel Model - Calculation'!$E$2:$E$3771,0)),MATCH(AC$141,'Fuel Model - Calculation'!$E$2:$M$2,0))</f>
        <v>0.65508</v>
      </c>
      <c r="AD203" s="2">
        <f>INDEX('Fuel Model - Calculation'!$E$2:$M$3771,(MATCH(("WTT Emission - "&amp;$F203),'Fuel Model - Calculation'!$E$2:$E$3771,0)),MATCH(AD$141,'Fuel Model - Calculation'!$E$2:$M$2,0))</f>
        <v>0.65508</v>
      </c>
      <c r="AE203" s="2"/>
      <c r="AF203" s="76">
        <f>'Fuel Model -  Input'!H$264</f>
        <v>3.1633300000000002</v>
      </c>
      <c r="AG203" s="76">
        <f>'Fuel Model -  Input'!I$264</f>
        <v>3.1633300000000002</v>
      </c>
      <c r="AH203" s="76">
        <f>'Fuel Model -  Input'!J$264</f>
        <v>3.1633300000000002</v>
      </c>
      <c r="AI203" s="76">
        <f>'Fuel Model -  Input'!K$264</f>
        <v>3.1633300000000002</v>
      </c>
      <c r="AJ203" s="76">
        <f>'Fuel Model -  Input'!L$264</f>
        <v>3.1633300000000002</v>
      </c>
      <c r="AK203" s="76">
        <f>'Fuel Model -  Input'!M$264</f>
        <v>3.1633300000000002</v>
      </c>
      <c r="AL203" s="76">
        <f>'Fuel Model -  Input'!N$264</f>
        <v>3.1633300000000002</v>
      </c>
      <c r="AM203"/>
      <c r="AN203" s="24">
        <f t="shared" si="188"/>
        <v>3.8184100000000001</v>
      </c>
      <c r="AO203" s="24">
        <f t="shared" si="188"/>
        <v>3.8184100000000001</v>
      </c>
      <c r="AP203" s="24">
        <f t="shared" si="188"/>
        <v>3.8184100000000001</v>
      </c>
      <c r="AQ203" s="24">
        <f t="shared" si="188"/>
        <v>3.8184100000000001</v>
      </c>
      <c r="AR203" s="24">
        <f t="shared" si="188"/>
        <v>3.8184100000000001</v>
      </c>
      <c r="AS203" s="24">
        <f t="shared" si="188"/>
        <v>3.8184100000000001</v>
      </c>
      <c r="AT203" s="24">
        <f t="shared" si="188"/>
        <v>3.8184100000000001</v>
      </c>
      <c r="AU203"/>
      <c r="AV203" s="118">
        <f>IFERROR(INDEX('Fuel Model - Calculation'!$B$2:$M$3771,(MATCH(($E203&amp;"Results"&amp;$AV$140&amp;$F203&amp;"USD/ton"),'Fuel Model - Calculation'!$B$2:$B$3771,0)),MATCH(H$141,'Fuel Model - Calculation'!$B$2:$M$2,0)),0)</f>
        <v>0</v>
      </c>
      <c r="AW203" s="118">
        <f>IFERROR(INDEX('Fuel Model - Calculation'!$B$2:$M$3771,(MATCH(($E203&amp;"Results"&amp;$AV$140&amp;$F203&amp;"USD/ton"),'Fuel Model - Calculation'!$B$2:$B$3771,0)),MATCH(I$141,'Fuel Model - Calculation'!$B$2:$M$2,0)),0)</f>
        <v>0</v>
      </c>
      <c r="AX203" s="118">
        <f>IFERROR(INDEX('Fuel Model - Calculation'!$B$2:$M$3771,(MATCH(($E203&amp;"Results"&amp;$AV$140&amp;$F203&amp;"USD/ton"),'Fuel Model - Calculation'!$B$2:$B$3771,0)),MATCH(J$141,'Fuel Model - Calculation'!$B$2:$M$2,0)),0)</f>
        <v>0</v>
      </c>
      <c r="AY203" s="118">
        <f>IFERROR(INDEX('Fuel Model - Calculation'!$B$2:$M$3771,(MATCH(($E203&amp;"Results"&amp;$AV$140&amp;$F203&amp;"USD/ton"),'Fuel Model - Calculation'!$B$2:$B$3771,0)),MATCH(K$141,'Fuel Model - Calculation'!$B$2:$M$2,0)),0)</f>
        <v>0</v>
      </c>
      <c r="AZ203" s="118">
        <f>IFERROR(INDEX('Fuel Model - Calculation'!$B$2:$M$3771,(MATCH(($E203&amp;"Results"&amp;$AV$140&amp;$F203&amp;"USD/ton"),'Fuel Model - Calculation'!$B$2:$B$3771,0)),MATCH(L$141,'Fuel Model - Calculation'!$B$2:$M$2,0)),0)</f>
        <v>0</v>
      </c>
      <c r="BA203" s="118">
        <f>IFERROR(INDEX('Fuel Model - Calculation'!$B$2:$M$3771,(MATCH(($E203&amp;"Results"&amp;$AV$140&amp;$F203&amp;"USD/ton"),'Fuel Model - Calculation'!$B$2:$B$3771,0)),MATCH(M$141,'Fuel Model - Calculation'!$B$2:$M$2,0)),0)</f>
        <v>0</v>
      </c>
      <c r="BB203" s="118">
        <f>IFERROR(INDEX('Fuel Model - Calculation'!$B$2:$M$3771,(MATCH(($E203&amp;"Results"&amp;$AV$140&amp;$F203&amp;"USD/ton"),'Fuel Model - Calculation'!$B$2:$B$3771,0)),MATCH(N$141,'Fuel Model - Calculation'!$B$2:$M$2,0)),0)</f>
        <v>0</v>
      </c>
      <c r="BC203"/>
      <c r="BD203" s="118">
        <f>IFERROR(INDEX('Fuel Model - Calculation'!$B$2:$M$3771,(MATCH(($E203&amp;"Results"&amp;$BD$140&amp;$F203&amp;"USD/ton"),'Fuel Model - Calculation'!$B$2:$B$3771,0)),MATCH(P$141,'Fuel Model - Calculation'!$B$2:$M$2,0)),0)</f>
        <v>0</v>
      </c>
      <c r="BE203" s="118">
        <f>IFERROR(INDEX('Fuel Model - Calculation'!$B$2:$M$3771,(MATCH(($E203&amp;"Results"&amp;$BD$140&amp;$F203&amp;"USD/ton"),'Fuel Model - Calculation'!$B$2:$B$3771,0)),MATCH(Q$141,'Fuel Model - Calculation'!$B$2:$M$2,0)),0)</f>
        <v>0</v>
      </c>
      <c r="BF203" s="118">
        <f>IFERROR(INDEX('Fuel Model - Calculation'!$B$2:$M$3771,(MATCH(($E203&amp;"Results"&amp;$BD$140&amp;$F203&amp;"USD/ton"),'Fuel Model - Calculation'!$B$2:$B$3771,0)),MATCH(R$141,'Fuel Model - Calculation'!$B$2:$M$2,0)),0)</f>
        <v>0</v>
      </c>
      <c r="BG203" s="118">
        <f>IFERROR(INDEX('Fuel Model - Calculation'!$B$2:$M$3771,(MATCH(($E203&amp;"Results"&amp;$BD$140&amp;$F203&amp;"USD/ton"),'Fuel Model - Calculation'!$B$2:$B$3771,0)),MATCH(S$141,'Fuel Model - Calculation'!$B$2:$M$2,0)),0)</f>
        <v>0</v>
      </c>
      <c r="BH203" s="118">
        <f>IFERROR(INDEX('Fuel Model - Calculation'!$B$2:$M$3771,(MATCH(($E203&amp;"Results"&amp;$BD$140&amp;$F203&amp;"USD/ton"),'Fuel Model - Calculation'!$B$2:$B$3771,0)),MATCH(T$141,'Fuel Model - Calculation'!$B$2:$M$2,0)),0)</f>
        <v>0</v>
      </c>
      <c r="BI203" s="118">
        <f>IFERROR(INDEX('Fuel Model - Calculation'!$B$2:$M$3771,(MATCH(($E203&amp;"Results"&amp;$BD$140&amp;$F203&amp;"USD/ton"),'Fuel Model - Calculation'!$B$2:$B$3771,0)),MATCH(U$141,'Fuel Model - Calculation'!$B$2:$M$2,0)),0)</f>
        <v>0</v>
      </c>
      <c r="BJ203" s="118">
        <f>IFERROR(INDEX('Fuel Model - Calculation'!$B$2:$M$3771,(MATCH(($E203&amp;"Results"&amp;$BD$140&amp;$F203&amp;"USD/ton"),'Fuel Model - Calculation'!$B$2:$B$3771,0)),MATCH(V$141,'Fuel Model - Calculation'!$B$2:$M$2,0)),0)</f>
        <v>0</v>
      </c>
      <c r="BL203" s="118">
        <f>IFERROR(IFERROR(INDEX('Fuel Model - Calculation'!$B$2:$M$3771,(MATCH(($E203&amp;"Results"&amp;$BL$140&amp;$F203&amp;"USD/ton"),'Fuel Model - Calculation'!$B$2:$B$3771,0)),MATCH(H$141,'Fuel Model - Calculation'!$B$2:$M$2,0)),0),0)</f>
        <v>0</v>
      </c>
      <c r="BM203" s="118">
        <f>IFERROR(IFERROR(INDEX('Fuel Model - Calculation'!$B$2:$M$3771,(MATCH(($E203&amp;"Results"&amp;$BL$140&amp;$F203&amp;"USD/ton"),'Fuel Model - Calculation'!$B$2:$B$3771,0)),MATCH(I$141,'Fuel Model - Calculation'!$B$2:$M$2,0)),0),0)</f>
        <v>0</v>
      </c>
      <c r="BN203" s="118">
        <f>IFERROR(IFERROR(INDEX('Fuel Model - Calculation'!$B$2:$M$3771,(MATCH(($E203&amp;"Results"&amp;$BL$140&amp;$F203&amp;"USD/ton"),'Fuel Model - Calculation'!$B$2:$B$3771,0)),MATCH(J$141,'Fuel Model - Calculation'!$B$2:$M$2,0)),0),0)</f>
        <v>0</v>
      </c>
      <c r="BO203" s="118">
        <f>IFERROR(IFERROR(INDEX('Fuel Model - Calculation'!$B$2:$M$3771,(MATCH(($E203&amp;"Results"&amp;$BL$140&amp;$F203&amp;"USD/ton"),'Fuel Model - Calculation'!$B$2:$B$3771,0)),MATCH(K$141,'Fuel Model - Calculation'!$B$2:$M$2,0)),0),0)</f>
        <v>0</v>
      </c>
      <c r="BP203" s="118">
        <f>IFERROR(IFERROR(INDEX('Fuel Model - Calculation'!$B$2:$M$3771,(MATCH(($E203&amp;"Results"&amp;$BL$140&amp;$F203&amp;"USD/ton"),'Fuel Model - Calculation'!$B$2:$B$3771,0)),MATCH(L$141,'Fuel Model - Calculation'!$B$2:$M$2,0)),0),0)</f>
        <v>0</v>
      </c>
      <c r="BQ203" s="118">
        <f>IFERROR(IFERROR(INDEX('Fuel Model - Calculation'!$B$2:$M$3771,(MATCH(($E203&amp;"Results"&amp;$BL$140&amp;$F203&amp;"USD/ton"),'Fuel Model - Calculation'!$B$2:$B$3771,0)),MATCH(M$141,'Fuel Model - Calculation'!$B$2:$M$2,0)),0),0)</f>
        <v>0</v>
      </c>
      <c r="BR203" s="118">
        <f>IFERROR(IFERROR(INDEX('Fuel Model - Calculation'!$B$2:$M$3771,(MATCH(($E203&amp;"Results"&amp;$BL$140&amp;$F203&amp;"USD/ton"),'Fuel Model - Calculation'!$B$2:$B$3771,0)),MATCH(N$141,'Fuel Model - Calculation'!$B$2:$M$2,0)),0),0)</f>
        <v>0</v>
      </c>
      <c r="BT203" s="118">
        <f>IFERROR(INDEX('Fuel Model - Calculation'!$B$2:$M$3771,(MATCH(($E203&amp;"Results"&amp;$BT$140&amp;$F203&amp;"USD/ton"),'Fuel Model - Calculation'!$B$2:$B$3771,0)),MATCH(H$141,'Fuel Model - Calculation'!$B$2:$M$2,0)),0)</f>
        <v>0</v>
      </c>
      <c r="BU203" s="118">
        <f>IFERROR(INDEX('Fuel Model - Calculation'!$B$2:$M$3771,(MATCH(($E203&amp;"Results"&amp;$BT$140&amp;$F203&amp;"USD/ton"),'Fuel Model - Calculation'!$B$2:$B$3771,0)),MATCH(I$141,'Fuel Model - Calculation'!$B$2:$M$2,0)),0)</f>
        <v>0</v>
      </c>
      <c r="BV203" s="118">
        <f>IFERROR(INDEX('Fuel Model - Calculation'!$B$2:$M$3771,(MATCH(($E203&amp;"Results"&amp;$BT$140&amp;$F203&amp;"USD/ton"),'Fuel Model - Calculation'!$B$2:$B$3771,0)),MATCH(J$141,'Fuel Model - Calculation'!$B$2:$M$2,0)),0)</f>
        <v>0</v>
      </c>
      <c r="BW203" s="118">
        <f>IFERROR(INDEX('Fuel Model - Calculation'!$B$2:$M$3771,(MATCH(($E203&amp;"Results"&amp;$BT$140&amp;$F203&amp;"USD/ton"),'Fuel Model - Calculation'!$B$2:$B$3771,0)),MATCH(K$141,'Fuel Model - Calculation'!$B$2:$M$2,0)),0)</f>
        <v>0</v>
      </c>
      <c r="BX203" s="118">
        <f>IFERROR(INDEX('Fuel Model - Calculation'!$B$2:$M$3771,(MATCH(($E203&amp;"Results"&amp;$BT$140&amp;$F203&amp;"USD/ton"),'Fuel Model - Calculation'!$B$2:$B$3771,0)),MATCH(L$141,'Fuel Model - Calculation'!$B$2:$M$2,0)),0)</f>
        <v>0</v>
      </c>
      <c r="BY203" s="118">
        <f>IFERROR(INDEX('Fuel Model - Calculation'!$B$2:$M$3771,(MATCH(($E203&amp;"Results"&amp;$BT$140&amp;$F203&amp;"USD/ton"),'Fuel Model - Calculation'!$B$2:$B$3771,0)),MATCH(M$141,'Fuel Model - Calculation'!$B$2:$M$2,0)),0)</f>
        <v>0</v>
      </c>
      <c r="BZ203" s="118">
        <f>IFERROR(INDEX('Fuel Model - Calculation'!$B$2:$M$3771,(MATCH(($E203&amp;"Results"&amp;$BT$140&amp;$F203&amp;"USD/ton"),'Fuel Model - Calculation'!$B$2:$B$3771,0)),MATCH(N$141,'Fuel Model - Calculation'!$B$2:$M$2,0)),0)</f>
        <v>0</v>
      </c>
    </row>
    <row r="204" spans="1:78" x14ac:dyDescent="0.2">
      <c r="A204" s="452"/>
      <c r="B204" s="453" t="str">
        <f>_xlfn.TEXTJOIN(keydelim,TRUE,F204,IF(E204="Africa","Africa&amp;other",E204),"Fuel cost",SUBSTITUTE($G204," ",""))</f>
        <v>LSFO - Asia - Fuel cost - USD/ton</v>
      </c>
      <c r="D204" s="459" t="str">
        <f t="shared" si="189"/>
        <v>AsiaLSFO</v>
      </c>
      <c r="E204" t="s">
        <v>198</v>
      </c>
      <c r="F204" s="460" t="str">
        <f t="shared" si="190"/>
        <v>LSFO</v>
      </c>
      <c r="G204" t="str">
        <f>G203</f>
        <v>USD/ ton</v>
      </c>
      <c r="H204" s="118">
        <f>INDEX('Fuel Model - Calculation'!$B$2:$M$3771,(MATCH(($E204&amp;"ResultsCost of "&amp;$F204&amp;"USD/ton"),'Fuel Model - Calculation'!$B$2:$B$3771,0)),MATCH(H$141,'Fuel Model - Calculation'!$B$2:$M$2,0))</f>
        <v>884.71322310880964</v>
      </c>
      <c r="I204" s="118">
        <f>INDEX('Fuel Model - Calculation'!$B$2:$M$3771,(MATCH(($E204&amp;"ResultsCost of "&amp;$F204&amp;"USD/ton"),'Fuel Model - Calculation'!$B$2:$B$3771,0)),MATCH(I$141,'Fuel Model - Calculation'!$B$2:$M$2,0))</f>
        <v>634.68557309979826</v>
      </c>
      <c r="J204" s="118">
        <f>INDEX('Fuel Model - Calculation'!$B$2:$M$3771,(MATCH(($E204&amp;"ResultsCost of "&amp;$F204&amp;"USD/ton"),'Fuel Model - Calculation'!$B$2:$B$3771,0)),MATCH(J$141,'Fuel Model - Calculation'!$B$2:$M$2,0))</f>
        <v>553.90740925073305</v>
      </c>
      <c r="K204" s="118">
        <f>INDEX('Fuel Model - Calculation'!$B$2:$M$3771,(MATCH(($E204&amp;"ResultsCost of "&amp;$F204&amp;"USD/ton"),'Fuel Model - Calculation'!$B$2:$B$3771,0)),MATCH(K$141,'Fuel Model - Calculation'!$B$2:$M$2,0))</f>
        <v>553.90740925073305</v>
      </c>
      <c r="L204" s="118">
        <f>INDEX('Fuel Model - Calculation'!$B$2:$M$3771,(MATCH(($E204&amp;"ResultsCost of "&amp;$F204&amp;"USD/ton"),'Fuel Model - Calculation'!$B$2:$B$3771,0)),MATCH(L$141,'Fuel Model - Calculation'!$B$2:$M$2,0))</f>
        <v>553.90740925073305</v>
      </c>
      <c r="M204" s="118">
        <f>INDEX('Fuel Model - Calculation'!$B$2:$M$3771,(MATCH(($E204&amp;"ResultsCost of "&amp;$F204&amp;"USD/ton"),'Fuel Model - Calculation'!$B$2:$B$3771,0)),MATCH(M$141,'Fuel Model - Calculation'!$B$2:$M$2,0))</f>
        <v>553.90740925073305</v>
      </c>
      <c r="N204" s="118">
        <f>INDEX('Fuel Model - Calculation'!$B$2:$M$3771,(MATCH(($E204&amp;"ResultsCost of "&amp;$F204&amp;"USD/ton"),'Fuel Model - Calculation'!$B$2:$B$3771,0)),MATCH(N$141,'Fuel Model - Calculation'!$B$2:$M$2,0))</f>
        <v>553.90740925073305</v>
      </c>
      <c r="O204"/>
      <c r="P204" s="118">
        <f>IFERROR(INDEX('Fuel Model - Calculation'!G$2:G$3771,(MATCH(($E204&amp;"ResultsTotal RNE "&amp;$F204&amp;"USD/ton"),'Fuel Model - Calculation'!$B$2:$B$3771,0))),0)</f>
        <v>0</v>
      </c>
      <c r="Q204" s="118">
        <f>IFERROR(INDEX('Fuel Model - Calculation'!H$2:H$3771,(MATCH(($E204&amp;"ResultsTotal RNE "&amp;$F204&amp;"USD/ton"),'Fuel Model - Calculation'!$B$2:$B$3771,0))),0)</f>
        <v>0</v>
      </c>
      <c r="R204" s="118">
        <f>IFERROR(INDEX('Fuel Model - Calculation'!I$2:I$3771,(MATCH(($E204&amp;"ResultsTotal RNE "&amp;$F204&amp;"USD/ton"),'Fuel Model - Calculation'!$B$2:$B$3771,0))),0)</f>
        <v>0</v>
      </c>
      <c r="S204" s="118">
        <f>IFERROR(INDEX('Fuel Model - Calculation'!J$2:J$3771,(MATCH(($E204&amp;"ResultsTotal RNE "&amp;$F204&amp;"USD/ton"),'Fuel Model - Calculation'!$B$2:$B$3771,0))),0)</f>
        <v>0</v>
      </c>
      <c r="T204" s="118">
        <f>IFERROR(INDEX('Fuel Model - Calculation'!K$2:K$3771,(MATCH(($E204&amp;"ResultsTotal RNE "&amp;$F204&amp;"USD/ton"),'Fuel Model - Calculation'!$B$2:$B$3771,0))),0)</f>
        <v>0</v>
      </c>
      <c r="U204" s="118">
        <f>IFERROR(INDEX('Fuel Model - Calculation'!L$2:L$3771,(MATCH(($E204&amp;"ResultsTotal RNE "&amp;$F204&amp;"USD/ton"),'Fuel Model - Calculation'!$B$2:$B$3771,0))),0)</f>
        <v>0</v>
      </c>
      <c r="V204" s="118">
        <f>IFERROR(INDEX('Fuel Model - Calculation'!M$2:M$3771,(MATCH(($E204&amp;"ResultsTotal RNE "&amp;$F204&amp;"USD/ton"),'Fuel Model - Calculation'!$B$2:$B$3771,0))),0)</f>
        <v>0</v>
      </c>
      <c r="W204"/>
      <c r="X204" s="2">
        <f>INDEX('Fuel Model - Calculation'!$E$2:$M$3771,(MATCH(("WTT Emission - "&amp;$F204),'Fuel Model - Calculation'!$E$2:$E$3771,0)),MATCH(X$141,'Fuel Model - Calculation'!$E$2:$M$2,0))</f>
        <v>0.65508</v>
      </c>
      <c r="Y204" s="2">
        <f>INDEX('Fuel Model - Calculation'!$E$2:$M$3771,(MATCH(("WTT Emission - "&amp;$F204),'Fuel Model - Calculation'!$E$2:$E$3771,0)),MATCH(Y$141,'Fuel Model - Calculation'!$E$2:$M$2,0))</f>
        <v>0.65508</v>
      </c>
      <c r="Z204" s="2">
        <f>INDEX('Fuel Model - Calculation'!$E$2:$M$3771,(MATCH(("WTT Emission - "&amp;$F204),'Fuel Model - Calculation'!$E$2:$E$3771,0)),MATCH(Z$141,'Fuel Model - Calculation'!$E$2:$M$2,0))</f>
        <v>0.65508</v>
      </c>
      <c r="AA204" s="2">
        <f>INDEX('Fuel Model - Calculation'!$E$2:$M$3771,(MATCH(("WTT Emission - "&amp;$F204),'Fuel Model - Calculation'!$E$2:$E$3771,0)),MATCH(AA$141,'Fuel Model - Calculation'!$E$2:$M$2,0))</f>
        <v>0.65508</v>
      </c>
      <c r="AB204" s="2">
        <f>INDEX('Fuel Model - Calculation'!$E$2:$M$3771,(MATCH(("WTT Emission - "&amp;$F204),'Fuel Model - Calculation'!$E$2:$E$3771,0)),MATCH(AB$141,'Fuel Model - Calculation'!$E$2:$M$2,0))</f>
        <v>0.65508</v>
      </c>
      <c r="AC204" s="2">
        <f>INDEX('Fuel Model - Calculation'!$E$2:$M$3771,(MATCH(("WTT Emission - "&amp;$F204),'Fuel Model - Calculation'!$E$2:$E$3771,0)),MATCH(AC$141,'Fuel Model - Calculation'!$E$2:$M$2,0))</f>
        <v>0.65508</v>
      </c>
      <c r="AD204" s="2">
        <f>INDEX('Fuel Model - Calculation'!$E$2:$M$3771,(MATCH(("WTT Emission - "&amp;$F204),'Fuel Model - Calculation'!$E$2:$E$3771,0)),MATCH(AD$141,'Fuel Model - Calculation'!$E$2:$M$2,0))</f>
        <v>0.65508</v>
      </c>
      <c r="AE204" s="2"/>
      <c r="AF204" s="76">
        <f>'Fuel Model -  Input'!H$264</f>
        <v>3.1633300000000002</v>
      </c>
      <c r="AG204" s="76">
        <f>'Fuel Model -  Input'!I$264</f>
        <v>3.1633300000000002</v>
      </c>
      <c r="AH204" s="76">
        <f>'Fuel Model -  Input'!J$264</f>
        <v>3.1633300000000002</v>
      </c>
      <c r="AI204" s="76">
        <f>'Fuel Model -  Input'!K$264</f>
        <v>3.1633300000000002</v>
      </c>
      <c r="AJ204" s="76">
        <f>'Fuel Model -  Input'!L$264</f>
        <v>3.1633300000000002</v>
      </c>
      <c r="AK204" s="76">
        <f>'Fuel Model -  Input'!M$264</f>
        <v>3.1633300000000002</v>
      </c>
      <c r="AL204" s="76">
        <f>'Fuel Model -  Input'!N$264</f>
        <v>3.1633300000000002</v>
      </c>
      <c r="AM204"/>
      <c r="AN204" s="24">
        <f t="shared" si="188"/>
        <v>3.8184100000000001</v>
      </c>
      <c r="AO204" s="24">
        <f t="shared" si="188"/>
        <v>3.8184100000000001</v>
      </c>
      <c r="AP204" s="24">
        <f t="shared" si="188"/>
        <v>3.8184100000000001</v>
      </c>
      <c r="AQ204" s="24">
        <f t="shared" si="188"/>
        <v>3.8184100000000001</v>
      </c>
      <c r="AR204" s="24">
        <f t="shared" si="188"/>
        <v>3.8184100000000001</v>
      </c>
      <c r="AS204" s="24">
        <f t="shared" si="188"/>
        <v>3.8184100000000001</v>
      </c>
      <c r="AT204" s="24">
        <f t="shared" si="188"/>
        <v>3.8184100000000001</v>
      </c>
      <c r="AU204"/>
      <c r="AV204" s="118">
        <f>IFERROR(INDEX('Fuel Model - Calculation'!$B$2:$M$3771,(MATCH(($E204&amp;"Results"&amp;$AV$140&amp;$F204&amp;"USD/ton"),'Fuel Model - Calculation'!$B$2:$B$3771,0)),MATCH(H$141,'Fuel Model - Calculation'!$B$2:$M$2,0)),0)</f>
        <v>0</v>
      </c>
      <c r="AW204" s="118">
        <f>IFERROR(INDEX('Fuel Model - Calculation'!$B$2:$M$3771,(MATCH(($E204&amp;"Results"&amp;$AV$140&amp;$F204&amp;"USD/ton"),'Fuel Model - Calculation'!$B$2:$B$3771,0)),MATCH(I$141,'Fuel Model - Calculation'!$B$2:$M$2,0)),0)</f>
        <v>0</v>
      </c>
      <c r="AX204" s="118">
        <f>IFERROR(INDEX('Fuel Model - Calculation'!$B$2:$M$3771,(MATCH(($E204&amp;"Results"&amp;$AV$140&amp;$F204&amp;"USD/ton"),'Fuel Model - Calculation'!$B$2:$B$3771,0)),MATCH(J$141,'Fuel Model - Calculation'!$B$2:$M$2,0)),0)</f>
        <v>0</v>
      </c>
      <c r="AY204" s="118">
        <f>IFERROR(INDEX('Fuel Model - Calculation'!$B$2:$M$3771,(MATCH(($E204&amp;"Results"&amp;$AV$140&amp;$F204&amp;"USD/ton"),'Fuel Model - Calculation'!$B$2:$B$3771,0)),MATCH(K$141,'Fuel Model - Calculation'!$B$2:$M$2,0)),0)</f>
        <v>0</v>
      </c>
      <c r="AZ204" s="118">
        <f>IFERROR(INDEX('Fuel Model - Calculation'!$B$2:$M$3771,(MATCH(($E204&amp;"Results"&amp;$AV$140&amp;$F204&amp;"USD/ton"),'Fuel Model - Calculation'!$B$2:$B$3771,0)),MATCH(L$141,'Fuel Model - Calculation'!$B$2:$M$2,0)),0)</f>
        <v>0</v>
      </c>
      <c r="BA204" s="118">
        <f>IFERROR(INDEX('Fuel Model - Calculation'!$B$2:$M$3771,(MATCH(($E204&amp;"Results"&amp;$AV$140&amp;$F204&amp;"USD/ton"),'Fuel Model - Calculation'!$B$2:$B$3771,0)),MATCH(M$141,'Fuel Model - Calculation'!$B$2:$M$2,0)),0)</f>
        <v>0</v>
      </c>
      <c r="BB204" s="118">
        <f>IFERROR(INDEX('Fuel Model - Calculation'!$B$2:$M$3771,(MATCH(($E204&amp;"Results"&amp;$AV$140&amp;$F204&amp;"USD/ton"),'Fuel Model - Calculation'!$B$2:$B$3771,0)),MATCH(N$141,'Fuel Model - Calculation'!$B$2:$M$2,0)),0)</f>
        <v>0</v>
      </c>
      <c r="BC204"/>
      <c r="BD204" s="118">
        <f>IFERROR(INDEX('Fuel Model - Calculation'!$B$2:$M$3771,(MATCH(($E204&amp;"Results"&amp;$BD$140&amp;$F204&amp;"USD/ton"),'Fuel Model - Calculation'!$B$2:$B$3771,0)),MATCH(P$141,'Fuel Model - Calculation'!$B$2:$M$2,0)),0)</f>
        <v>0</v>
      </c>
      <c r="BE204" s="118">
        <f>IFERROR(INDEX('Fuel Model - Calculation'!$B$2:$M$3771,(MATCH(($E204&amp;"Results"&amp;$BD$140&amp;$F204&amp;"USD/ton"),'Fuel Model - Calculation'!$B$2:$B$3771,0)),MATCH(Q$141,'Fuel Model - Calculation'!$B$2:$M$2,0)),0)</f>
        <v>0</v>
      </c>
      <c r="BF204" s="118">
        <f>IFERROR(INDEX('Fuel Model - Calculation'!$B$2:$M$3771,(MATCH(($E204&amp;"Results"&amp;$BD$140&amp;$F204&amp;"USD/ton"),'Fuel Model - Calculation'!$B$2:$B$3771,0)),MATCH(R$141,'Fuel Model - Calculation'!$B$2:$M$2,0)),0)</f>
        <v>0</v>
      </c>
      <c r="BG204" s="118">
        <f>IFERROR(INDEX('Fuel Model - Calculation'!$B$2:$M$3771,(MATCH(($E204&amp;"Results"&amp;$BD$140&amp;$F204&amp;"USD/ton"),'Fuel Model - Calculation'!$B$2:$B$3771,0)),MATCH(S$141,'Fuel Model - Calculation'!$B$2:$M$2,0)),0)</f>
        <v>0</v>
      </c>
      <c r="BH204" s="118">
        <f>IFERROR(INDEX('Fuel Model - Calculation'!$B$2:$M$3771,(MATCH(($E204&amp;"Results"&amp;$BD$140&amp;$F204&amp;"USD/ton"),'Fuel Model - Calculation'!$B$2:$B$3771,0)),MATCH(T$141,'Fuel Model - Calculation'!$B$2:$M$2,0)),0)</f>
        <v>0</v>
      </c>
      <c r="BI204" s="118">
        <f>IFERROR(INDEX('Fuel Model - Calculation'!$B$2:$M$3771,(MATCH(($E204&amp;"Results"&amp;$BD$140&amp;$F204&amp;"USD/ton"),'Fuel Model - Calculation'!$B$2:$B$3771,0)),MATCH(U$141,'Fuel Model - Calculation'!$B$2:$M$2,0)),0)</f>
        <v>0</v>
      </c>
      <c r="BJ204" s="118">
        <f>IFERROR(INDEX('Fuel Model - Calculation'!$B$2:$M$3771,(MATCH(($E204&amp;"Results"&amp;$BD$140&amp;$F204&amp;"USD/ton"),'Fuel Model - Calculation'!$B$2:$B$3771,0)),MATCH(V$141,'Fuel Model - Calculation'!$B$2:$M$2,0)),0)</f>
        <v>0</v>
      </c>
      <c r="BL204" s="118">
        <f>IFERROR(IFERROR(INDEX('Fuel Model - Calculation'!$B$2:$M$3771,(MATCH(($E204&amp;"Results"&amp;$BL$140&amp;$F204&amp;"USD/ton"),'Fuel Model - Calculation'!$B$2:$B$3771,0)),MATCH(H$141,'Fuel Model - Calculation'!$B$2:$M$2,0)),0),0)</f>
        <v>0</v>
      </c>
      <c r="BM204" s="118">
        <f>IFERROR(IFERROR(INDEX('Fuel Model - Calculation'!$B$2:$M$3771,(MATCH(($E204&amp;"Results"&amp;$BL$140&amp;$F204&amp;"USD/ton"),'Fuel Model - Calculation'!$B$2:$B$3771,0)),MATCH(I$141,'Fuel Model - Calculation'!$B$2:$M$2,0)),0),0)</f>
        <v>0</v>
      </c>
      <c r="BN204" s="118">
        <f>IFERROR(IFERROR(INDEX('Fuel Model - Calculation'!$B$2:$M$3771,(MATCH(($E204&amp;"Results"&amp;$BL$140&amp;$F204&amp;"USD/ton"),'Fuel Model - Calculation'!$B$2:$B$3771,0)),MATCH(J$141,'Fuel Model - Calculation'!$B$2:$M$2,0)),0),0)</f>
        <v>0</v>
      </c>
      <c r="BO204" s="118">
        <f>IFERROR(IFERROR(INDEX('Fuel Model - Calculation'!$B$2:$M$3771,(MATCH(($E204&amp;"Results"&amp;$BL$140&amp;$F204&amp;"USD/ton"),'Fuel Model - Calculation'!$B$2:$B$3771,0)),MATCH(K$141,'Fuel Model - Calculation'!$B$2:$M$2,0)),0),0)</f>
        <v>0</v>
      </c>
      <c r="BP204" s="118">
        <f>IFERROR(IFERROR(INDEX('Fuel Model - Calculation'!$B$2:$M$3771,(MATCH(($E204&amp;"Results"&amp;$BL$140&amp;$F204&amp;"USD/ton"),'Fuel Model - Calculation'!$B$2:$B$3771,0)),MATCH(L$141,'Fuel Model - Calculation'!$B$2:$M$2,0)),0),0)</f>
        <v>0</v>
      </c>
      <c r="BQ204" s="118">
        <f>IFERROR(IFERROR(INDEX('Fuel Model - Calculation'!$B$2:$M$3771,(MATCH(($E204&amp;"Results"&amp;$BL$140&amp;$F204&amp;"USD/ton"),'Fuel Model - Calculation'!$B$2:$B$3771,0)),MATCH(M$141,'Fuel Model - Calculation'!$B$2:$M$2,0)),0),0)</f>
        <v>0</v>
      </c>
      <c r="BR204" s="118">
        <f>IFERROR(IFERROR(INDEX('Fuel Model - Calculation'!$B$2:$M$3771,(MATCH(($E204&amp;"Results"&amp;$BL$140&amp;$F204&amp;"USD/ton"),'Fuel Model - Calculation'!$B$2:$B$3771,0)),MATCH(N$141,'Fuel Model - Calculation'!$B$2:$M$2,0)),0),0)</f>
        <v>0</v>
      </c>
      <c r="BT204" s="118">
        <f>IFERROR(INDEX('Fuel Model - Calculation'!$B$2:$M$3771,(MATCH(($E204&amp;"Results"&amp;$BT$140&amp;$F204&amp;"USD/ton"),'Fuel Model - Calculation'!$B$2:$B$3771,0)),MATCH(H$141,'Fuel Model - Calculation'!$B$2:$M$2,0)),0)</f>
        <v>0</v>
      </c>
      <c r="BU204" s="118">
        <f>IFERROR(INDEX('Fuel Model - Calculation'!$B$2:$M$3771,(MATCH(($E204&amp;"Results"&amp;$BT$140&amp;$F204&amp;"USD/ton"),'Fuel Model - Calculation'!$B$2:$B$3771,0)),MATCH(I$141,'Fuel Model - Calculation'!$B$2:$M$2,0)),0)</f>
        <v>0</v>
      </c>
      <c r="BV204" s="118">
        <f>IFERROR(INDEX('Fuel Model - Calculation'!$B$2:$M$3771,(MATCH(($E204&amp;"Results"&amp;$BT$140&amp;$F204&amp;"USD/ton"),'Fuel Model - Calculation'!$B$2:$B$3771,0)),MATCH(J$141,'Fuel Model - Calculation'!$B$2:$M$2,0)),0)</f>
        <v>0</v>
      </c>
      <c r="BW204" s="118">
        <f>IFERROR(INDEX('Fuel Model - Calculation'!$B$2:$M$3771,(MATCH(($E204&amp;"Results"&amp;$BT$140&amp;$F204&amp;"USD/ton"),'Fuel Model - Calculation'!$B$2:$B$3771,0)),MATCH(K$141,'Fuel Model - Calculation'!$B$2:$M$2,0)),0)</f>
        <v>0</v>
      </c>
      <c r="BX204" s="118">
        <f>IFERROR(INDEX('Fuel Model - Calculation'!$B$2:$M$3771,(MATCH(($E204&amp;"Results"&amp;$BT$140&amp;$F204&amp;"USD/ton"),'Fuel Model - Calculation'!$B$2:$B$3771,0)),MATCH(L$141,'Fuel Model - Calculation'!$B$2:$M$2,0)),0)</f>
        <v>0</v>
      </c>
      <c r="BY204" s="118">
        <f>IFERROR(INDEX('Fuel Model - Calculation'!$B$2:$M$3771,(MATCH(($E204&amp;"Results"&amp;$BT$140&amp;$F204&amp;"USD/ton"),'Fuel Model - Calculation'!$B$2:$B$3771,0)),MATCH(M$141,'Fuel Model - Calculation'!$B$2:$M$2,0)),0)</f>
        <v>0</v>
      </c>
      <c r="BZ204" s="118">
        <f>IFERROR(INDEX('Fuel Model - Calculation'!$B$2:$M$3771,(MATCH(($E204&amp;"Results"&amp;$BT$140&amp;$F204&amp;"USD/ton"),'Fuel Model - Calculation'!$B$2:$B$3771,0)),MATCH(N$141,'Fuel Model - Calculation'!$B$2:$M$2,0)),0)</f>
        <v>0</v>
      </c>
    </row>
    <row r="205" spans="1:78" x14ac:dyDescent="0.2">
      <c r="A205" s="452"/>
      <c r="B205" s="453" t="str">
        <f>_xlfn.TEXTJOIN(keydelim,TRUE,F205,IF(E205="Africa","Africa&amp;other",E205),"Fuel cost",SUBSTITUTE($G205," ",""))</f>
        <v>LSFO - Americas - Fuel cost - USD/ton</v>
      </c>
      <c r="D205" s="459" t="str">
        <f t="shared" si="189"/>
        <v>AmericasLSFO</v>
      </c>
      <c r="E205" t="s">
        <v>199</v>
      </c>
      <c r="F205" s="460" t="str">
        <f t="shared" si="190"/>
        <v>LSFO</v>
      </c>
      <c r="G205" t="str">
        <f>G204</f>
        <v>USD/ ton</v>
      </c>
      <c r="H205" s="118">
        <f>INDEX('Fuel Model - Calculation'!$B$2:$M$3771,(MATCH(($E205&amp;"ResultsCost of "&amp;$F205&amp;"USD/ton"),'Fuel Model - Calculation'!$B$2:$B$3771,0)),MATCH(H$141,'Fuel Model - Calculation'!$B$2:$M$2,0))</f>
        <v>884.71322310880964</v>
      </c>
      <c r="I205" s="118">
        <f>INDEX('Fuel Model - Calculation'!$B$2:$M$3771,(MATCH(($E205&amp;"ResultsCost of "&amp;$F205&amp;"USD/ton"),'Fuel Model - Calculation'!$B$2:$B$3771,0)),MATCH(I$141,'Fuel Model - Calculation'!$B$2:$M$2,0))</f>
        <v>634.68557309979826</v>
      </c>
      <c r="J205" s="118">
        <f>INDEX('Fuel Model - Calculation'!$B$2:$M$3771,(MATCH(($E205&amp;"ResultsCost of "&amp;$F205&amp;"USD/ton"),'Fuel Model - Calculation'!$B$2:$B$3771,0)),MATCH(J$141,'Fuel Model - Calculation'!$B$2:$M$2,0))</f>
        <v>553.90740925073305</v>
      </c>
      <c r="K205" s="118">
        <f>INDEX('Fuel Model - Calculation'!$B$2:$M$3771,(MATCH(($E205&amp;"ResultsCost of "&amp;$F205&amp;"USD/ton"),'Fuel Model - Calculation'!$B$2:$B$3771,0)),MATCH(K$141,'Fuel Model - Calculation'!$B$2:$M$2,0))</f>
        <v>553.90740925073305</v>
      </c>
      <c r="L205" s="118">
        <f>INDEX('Fuel Model - Calculation'!$B$2:$M$3771,(MATCH(($E205&amp;"ResultsCost of "&amp;$F205&amp;"USD/ton"),'Fuel Model - Calculation'!$B$2:$B$3771,0)),MATCH(L$141,'Fuel Model - Calculation'!$B$2:$M$2,0))</f>
        <v>553.90740925073305</v>
      </c>
      <c r="M205" s="118">
        <f>INDEX('Fuel Model - Calculation'!$B$2:$M$3771,(MATCH(($E205&amp;"ResultsCost of "&amp;$F205&amp;"USD/ton"),'Fuel Model - Calculation'!$B$2:$B$3771,0)),MATCH(M$141,'Fuel Model - Calculation'!$B$2:$M$2,0))</f>
        <v>553.90740925073305</v>
      </c>
      <c r="N205" s="118">
        <f>INDEX('Fuel Model - Calculation'!$B$2:$M$3771,(MATCH(($E205&amp;"ResultsCost of "&amp;$F205&amp;"USD/ton"),'Fuel Model - Calculation'!$B$2:$B$3771,0)),MATCH(N$141,'Fuel Model - Calculation'!$B$2:$M$2,0))</f>
        <v>553.90740925073305</v>
      </c>
      <c r="O205"/>
      <c r="P205" s="118">
        <f>IFERROR(INDEX('Fuel Model - Calculation'!G$2:G$3771,(MATCH(($E205&amp;"ResultsTotal RNE "&amp;$F205&amp;"USD/ton"),'Fuel Model - Calculation'!$B$2:$B$3771,0))),0)</f>
        <v>0</v>
      </c>
      <c r="Q205" s="118">
        <f>IFERROR(INDEX('Fuel Model - Calculation'!H$2:H$3771,(MATCH(($E205&amp;"ResultsTotal RNE "&amp;$F205&amp;"USD/ton"),'Fuel Model - Calculation'!$B$2:$B$3771,0))),0)</f>
        <v>0</v>
      </c>
      <c r="R205" s="118">
        <f>IFERROR(INDEX('Fuel Model - Calculation'!I$2:I$3771,(MATCH(($E205&amp;"ResultsTotal RNE "&amp;$F205&amp;"USD/ton"),'Fuel Model - Calculation'!$B$2:$B$3771,0))),0)</f>
        <v>0</v>
      </c>
      <c r="S205" s="118">
        <f>IFERROR(INDEX('Fuel Model - Calculation'!J$2:J$3771,(MATCH(($E205&amp;"ResultsTotal RNE "&amp;$F205&amp;"USD/ton"),'Fuel Model - Calculation'!$B$2:$B$3771,0))),0)</f>
        <v>0</v>
      </c>
      <c r="T205" s="118">
        <f>IFERROR(INDEX('Fuel Model - Calculation'!K$2:K$3771,(MATCH(($E205&amp;"ResultsTotal RNE "&amp;$F205&amp;"USD/ton"),'Fuel Model - Calculation'!$B$2:$B$3771,0))),0)</f>
        <v>0</v>
      </c>
      <c r="U205" s="118">
        <f>IFERROR(INDEX('Fuel Model - Calculation'!L$2:L$3771,(MATCH(($E205&amp;"ResultsTotal RNE "&amp;$F205&amp;"USD/ton"),'Fuel Model - Calculation'!$B$2:$B$3771,0))),0)</f>
        <v>0</v>
      </c>
      <c r="V205" s="118">
        <f>IFERROR(INDEX('Fuel Model - Calculation'!M$2:M$3771,(MATCH(($E205&amp;"ResultsTotal RNE "&amp;$F205&amp;"USD/ton"),'Fuel Model - Calculation'!$B$2:$B$3771,0))),0)</f>
        <v>0</v>
      </c>
      <c r="W205"/>
      <c r="X205" s="2">
        <f>INDEX('Fuel Model - Calculation'!$E$2:$M$3771,(MATCH(("WTT Emission - "&amp;$F205),'Fuel Model - Calculation'!$E$2:$E$3771,0)),MATCH(X$141,'Fuel Model - Calculation'!$E$2:$M$2,0))</f>
        <v>0.65508</v>
      </c>
      <c r="Y205" s="2">
        <f>INDEX('Fuel Model - Calculation'!$E$2:$M$3771,(MATCH(("WTT Emission - "&amp;$F205),'Fuel Model - Calculation'!$E$2:$E$3771,0)),MATCH(Y$141,'Fuel Model - Calculation'!$E$2:$M$2,0))</f>
        <v>0.65508</v>
      </c>
      <c r="Z205" s="2">
        <f>INDEX('Fuel Model - Calculation'!$E$2:$M$3771,(MATCH(("WTT Emission - "&amp;$F205),'Fuel Model - Calculation'!$E$2:$E$3771,0)),MATCH(Z$141,'Fuel Model - Calculation'!$E$2:$M$2,0))</f>
        <v>0.65508</v>
      </c>
      <c r="AA205" s="2">
        <f>INDEX('Fuel Model - Calculation'!$E$2:$M$3771,(MATCH(("WTT Emission - "&amp;$F205),'Fuel Model - Calculation'!$E$2:$E$3771,0)),MATCH(AA$141,'Fuel Model - Calculation'!$E$2:$M$2,0))</f>
        <v>0.65508</v>
      </c>
      <c r="AB205" s="2">
        <f>INDEX('Fuel Model - Calculation'!$E$2:$M$3771,(MATCH(("WTT Emission - "&amp;$F205),'Fuel Model - Calculation'!$E$2:$E$3771,0)),MATCH(AB$141,'Fuel Model - Calculation'!$E$2:$M$2,0))</f>
        <v>0.65508</v>
      </c>
      <c r="AC205" s="2">
        <f>INDEX('Fuel Model - Calculation'!$E$2:$M$3771,(MATCH(("WTT Emission - "&amp;$F205),'Fuel Model - Calculation'!$E$2:$E$3771,0)),MATCH(AC$141,'Fuel Model - Calculation'!$E$2:$M$2,0))</f>
        <v>0.65508</v>
      </c>
      <c r="AD205" s="2">
        <f>INDEX('Fuel Model - Calculation'!$E$2:$M$3771,(MATCH(("WTT Emission - "&amp;$F205),'Fuel Model - Calculation'!$E$2:$E$3771,0)),MATCH(AD$141,'Fuel Model - Calculation'!$E$2:$M$2,0))</f>
        <v>0.65508</v>
      </c>
      <c r="AE205" s="2"/>
      <c r="AF205" s="76">
        <f>'Fuel Model -  Input'!H$264</f>
        <v>3.1633300000000002</v>
      </c>
      <c r="AG205" s="76">
        <f>'Fuel Model -  Input'!I$264</f>
        <v>3.1633300000000002</v>
      </c>
      <c r="AH205" s="76">
        <f>'Fuel Model -  Input'!J$264</f>
        <v>3.1633300000000002</v>
      </c>
      <c r="AI205" s="76">
        <f>'Fuel Model -  Input'!K$264</f>
        <v>3.1633300000000002</v>
      </c>
      <c r="AJ205" s="76">
        <f>'Fuel Model -  Input'!L$264</f>
        <v>3.1633300000000002</v>
      </c>
      <c r="AK205" s="76">
        <f>'Fuel Model -  Input'!M$264</f>
        <v>3.1633300000000002</v>
      </c>
      <c r="AL205" s="76">
        <f>'Fuel Model -  Input'!N$264</f>
        <v>3.1633300000000002</v>
      </c>
      <c r="AM205"/>
      <c r="AN205" s="24">
        <f t="shared" si="188"/>
        <v>3.8184100000000001</v>
      </c>
      <c r="AO205" s="24">
        <f t="shared" si="188"/>
        <v>3.8184100000000001</v>
      </c>
      <c r="AP205" s="24">
        <f t="shared" si="188"/>
        <v>3.8184100000000001</v>
      </c>
      <c r="AQ205" s="24">
        <f t="shared" si="188"/>
        <v>3.8184100000000001</v>
      </c>
      <c r="AR205" s="24">
        <f t="shared" si="188"/>
        <v>3.8184100000000001</v>
      </c>
      <c r="AS205" s="24">
        <f t="shared" si="188"/>
        <v>3.8184100000000001</v>
      </c>
      <c r="AT205" s="24">
        <f t="shared" si="188"/>
        <v>3.8184100000000001</v>
      </c>
      <c r="AU205"/>
      <c r="AV205" s="118">
        <f>IFERROR(INDEX('Fuel Model - Calculation'!$B$2:$M$3771,(MATCH(($E205&amp;"Results"&amp;$AV$140&amp;$F205&amp;"USD/ton"),'Fuel Model - Calculation'!$B$2:$B$3771,0)),MATCH(H$141,'Fuel Model - Calculation'!$B$2:$M$2,0)),0)</f>
        <v>0</v>
      </c>
      <c r="AW205" s="118">
        <f>IFERROR(INDEX('Fuel Model - Calculation'!$B$2:$M$3771,(MATCH(($E205&amp;"Results"&amp;$AV$140&amp;$F205&amp;"USD/ton"),'Fuel Model - Calculation'!$B$2:$B$3771,0)),MATCH(I$141,'Fuel Model - Calculation'!$B$2:$M$2,0)),0)</f>
        <v>0</v>
      </c>
      <c r="AX205" s="118">
        <f>IFERROR(INDEX('Fuel Model - Calculation'!$B$2:$M$3771,(MATCH(($E205&amp;"Results"&amp;$AV$140&amp;$F205&amp;"USD/ton"),'Fuel Model - Calculation'!$B$2:$B$3771,0)),MATCH(J$141,'Fuel Model - Calculation'!$B$2:$M$2,0)),0)</f>
        <v>0</v>
      </c>
      <c r="AY205" s="118">
        <f>IFERROR(INDEX('Fuel Model - Calculation'!$B$2:$M$3771,(MATCH(($E205&amp;"Results"&amp;$AV$140&amp;$F205&amp;"USD/ton"),'Fuel Model - Calculation'!$B$2:$B$3771,0)),MATCH(K$141,'Fuel Model - Calculation'!$B$2:$M$2,0)),0)</f>
        <v>0</v>
      </c>
      <c r="AZ205" s="118">
        <f>IFERROR(INDEX('Fuel Model - Calculation'!$B$2:$M$3771,(MATCH(($E205&amp;"Results"&amp;$AV$140&amp;$F205&amp;"USD/ton"),'Fuel Model - Calculation'!$B$2:$B$3771,0)),MATCH(L$141,'Fuel Model - Calculation'!$B$2:$M$2,0)),0)</f>
        <v>0</v>
      </c>
      <c r="BA205" s="118">
        <f>IFERROR(INDEX('Fuel Model - Calculation'!$B$2:$M$3771,(MATCH(($E205&amp;"Results"&amp;$AV$140&amp;$F205&amp;"USD/ton"),'Fuel Model - Calculation'!$B$2:$B$3771,0)),MATCH(M$141,'Fuel Model - Calculation'!$B$2:$M$2,0)),0)</f>
        <v>0</v>
      </c>
      <c r="BB205" s="118">
        <f>IFERROR(INDEX('Fuel Model - Calculation'!$B$2:$M$3771,(MATCH(($E205&amp;"Results"&amp;$AV$140&amp;$F205&amp;"USD/ton"),'Fuel Model - Calculation'!$B$2:$B$3771,0)),MATCH(N$141,'Fuel Model - Calculation'!$B$2:$M$2,0)),0)</f>
        <v>0</v>
      </c>
      <c r="BC205"/>
      <c r="BD205" s="118">
        <f>IFERROR(INDEX('Fuel Model - Calculation'!$B$2:$M$3771,(MATCH(($E205&amp;"Results"&amp;$BD$140&amp;$F205&amp;"USD/ton"),'Fuel Model - Calculation'!$B$2:$B$3771,0)),MATCH(P$141,'Fuel Model - Calculation'!$B$2:$M$2,0)),0)</f>
        <v>0</v>
      </c>
      <c r="BE205" s="118">
        <f>IFERROR(INDEX('Fuel Model - Calculation'!$B$2:$M$3771,(MATCH(($E205&amp;"Results"&amp;$BD$140&amp;$F205&amp;"USD/ton"),'Fuel Model - Calculation'!$B$2:$B$3771,0)),MATCH(Q$141,'Fuel Model - Calculation'!$B$2:$M$2,0)),0)</f>
        <v>0</v>
      </c>
      <c r="BF205" s="118">
        <f>IFERROR(INDEX('Fuel Model - Calculation'!$B$2:$M$3771,(MATCH(($E205&amp;"Results"&amp;$BD$140&amp;$F205&amp;"USD/ton"),'Fuel Model - Calculation'!$B$2:$B$3771,0)),MATCH(R$141,'Fuel Model - Calculation'!$B$2:$M$2,0)),0)</f>
        <v>0</v>
      </c>
      <c r="BG205" s="118">
        <f>IFERROR(INDEX('Fuel Model - Calculation'!$B$2:$M$3771,(MATCH(($E205&amp;"Results"&amp;$BD$140&amp;$F205&amp;"USD/ton"),'Fuel Model - Calculation'!$B$2:$B$3771,0)),MATCH(S$141,'Fuel Model - Calculation'!$B$2:$M$2,0)),0)</f>
        <v>0</v>
      </c>
      <c r="BH205" s="118">
        <f>IFERROR(INDEX('Fuel Model - Calculation'!$B$2:$M$3771,(MATCH(($E205&amp;"Results"&amp;$BD$140&amp;$F205&amp;"USD/ton"),'Fuel Model - Calculation'!$B$2:$B$3771,0)),MATCH(T$141,'Fuel Model - Calculation'!$B$2:$M$2,0)),0)</f>
        <v>0</v>
      </c>
      <c r="BI205" s="118">
        <f>IFERROR(INDEX('Fuel Model - Calculation'!$B$2:$M$3771,(MATCH(($E205&amp;"Results"&amp;$BD$140&amp;$F205&amp;"USD/ton"),'Fuel Model - Calculation'!$B$2:$B$3771,0)),MATCH(U$141,'Fuel Model - Calculation'!$B$2:$M$2,0)),0)</f>
        <v>0</v>
      </c>
      <c r="BJ205" s="118">
        <f>IFERROR(INDEX('Fuel Model - Calculation'!$B$2:$M$3771,(MATCH(($E205&amp;"Results"&amp;$BD$140&amp;$F205&amp;"USD/ton"),'Fuel Model - Calculation'!$B$2:$B$3771,0)),MATCH(V$141,'Fuel Model - Calculation'!$B$2:$M$2,0)),0)</f>
        <v>0</v>
      </c>
      <c r="BL205" s="118">
        <f>IFERROR(IFERROR(INDEX('Fuel Model - Calculation'!$B$2:$M$3771,(MATCH(($E205&amp;"Results"&amp;$BL$140&amp;$F205&amp;"USD/ton"),'Fuel Model - Calculation'!$B$2:$B$3771,0)),MATCH(H$141,'Fuel Model - Calculation'!$B$2:$M$2,0)),0),0)</f>
        <v>0</v>
      </c>
      <c r="BM205" s="118">
        <f>IFERROR(IFERROR(INDEX('Fuel Model - Calculation'!$B$2:$M$3771,(MATCH(($E205&amp;"Results"&amp;$BL$140&amp;$F205&amp;"USD/ton"),'Fuel Model - Calculation'!$B$2:$B$3771,0)),MATCH(I$141,'Fuel Model - Calculation'!$B$2:$M$2,0)),0),0)</f>
        <v>0</v>
      </c>
      <c r="BN205" s="118">
        <f>IFERROR(IFERROR(INDEX('Fuel Model - Calculation'!$B$2:$M$3771,(MATCH(($E205&amp;"Results"&amp;$BL$140&amp;$F205&amp;"USD/ton"),'Fuel Model - Calculation'!$B$2:$B$3771,0)),MATCH(J$141,'Fuel Model - Calculation'!$B$2:$M$2,0)),0),0)</f>
        <v>0</v>
      </c>
      <c r="BO205" s="118">
        <f>IFERROR(IFERROR(INDEX('Fuel Model - Calculation'!$B$2:$M$3771,(MATCH(($E205&amp;"Results"&amp;$BL$140&amp;$F205&amp;"USD/ton"),'Fuel Model - Calculation'!$B$2:$B$3771,0)),MATCH(K$141,'Fuel Model - Calculation'!$B$2:$M$2,0)),0),0)</f>
        <v>0</v>
      </c>
      <c r="BP205" s="118">
        <f>IFERROR(IFERROR(INDEX('Fuel Model - Calculation'!$B$2:$M$3771,(MATCH(($E205&amp;"Results"&amp;$BL$140&amp;$F205&amp;"USD/ton"),'Fuel Model - Calculation'!$B$2:$B$3771,0)),MATCH(L$141,'Fuel Model - Calculation'!$B$2:$M$2,0)),0),0)</f>
        <v>0</v>
      </c>
      <c r="BQ205" s="118">
        <f>IFERROR(IFERROR(INDEX('Fuel Model - Calculation'!$B$2:$M$3771,(MATCH(($E205&amp;"Results"&amp;$BL$140&amp;$F205&amp;"USD/ton"),'Fuel Model - Calculation'!$B$2:$B$3771,0)),MATCH(M$141,'Fuel Model - Calculation'!$B$2:$M$2,0)),0),0)</f>
        <v>0</v>
      </c>
      <c r="BR205" s="118">
        <f>IFERROR(IFERROR(INDEX('Fuel Model - Calculation'!$B$2:$M$3771,(MATCH(($E205&amp;"Results"&amp;$BL$140&amp;$F205&amp;"USD/ton"),'Fuel Model - Calculation'!$B$2:$B$3771,0)),MATCH(N$141,'Fuel Model - Calculation'!$B$2:$M$2,0)),0),0)</f>
        <v>0</v>
      </c>
      <c r="BT205" s="118">
        <f>IFERROR(INDEX('Fuel Model - Calculation'!$B$2:$M$3771,(MATCH(($E205&amp;"Results"&amp;$BT$140&amp;$F205&amp;"USD/ton"),'Fuel Model - Calculation'!$B$2:$B$3771,0)),MATCH(H$141,'Fuel Model - Calculation'!$B$2:$M$2,0)),0)</f>
        <v>0</v>
      </c>
      <c r="BU205" s="118">
        <f>IFERROR(INDEX('Fuel Model - Calculation'!$B$2:$M$3771,(MATCH(($E205&amp;"Results"&amp;$BT$140&amp;$F205&amp;"USD/ton"),'Fuel Model - Calculation'!$B$2:$B$3771,0)),MATCH(I$141,'Fuel Model - Calculation'!$B$2:$M$2,0)),0)</f>
        <v>0</v>
      </c>
      <c r="BV205" s="118">
        <f>IFERROR(INDEX('Fuel Model - Calculation'!$B$2:$M$3771,(MATCH(($E205&amp;"Results"&amp;$BT$140&amp;$F205&amp;"USD/ton"),'Fuel Model - Calculation'!$B$2:$B$3771,0)),MATCH(J$141,'Fuel Model - Calculation'!$B$2:$M$2,0)),0)</f>
        <v>0</v>
      </c>
      <c r="BW205" s="118">
        <f>IFERROR(INDEX('Fuel Model - Calculation'!$B$2:$M$3771,(MATCH(($E205&amp;"Results"&amp;$BT$140&amp;$F205&amp;"USD/ton"),'Fuel Model - Calculation'!$B$2:$B$3771,0)),MATCH(K$141,'Fuel Model - Calculation'!$B$2:$M$2,0)),0)</f>
        <v>0</v>
      </c>
      <c r="BX205" s="118">
        <f>IFERROR(INDEX('Fuel Model - Calculation'!$B$2:$M$3771,(MATCH(($E205&amp;"Results"&amp;$BT$140&amp;$F205&amp;"USD/ton"),'Fuel Model - Calculation'!$B$2:$B$3771,0)),MATCH(L$141,'Fuel Model - Calculation'!$B$2:$M$2,0)),0)</f>
        <v>0</v>
      </c>
      <c r="BY205" s="118">
        <f>IFERROR(INDEX('Fuel Model - Calculation'!$B$2:$M$3771,(MATCH(($E205&amp;"Results"&amp;$BT$140&amp;$F205&amp;"USD/ton"),'Fuel Model - Calculation'!$B$2:$B$3771,0)),MATCH(M$141,'Fuel Model - Calculation'!$B$2:$M$2,0)),0)</f>
        <v>0</v>
      </c>
      <c r="BZ205" s="118">
        <f>IFERROR(INDEX('Fuel Model - Calculation'!$B$2:$M$3771,(MATCH(($E205&amp;"Results"&amp;$BT$140&amp;$F205&amp;"USD/ton"),'Fuel Model - Calculation'!$B$2:$B$3771,0)),MATCH(N$141,'Fuel Model - Calculation'!$B$2:$M$2,0)),0)</f>
        <v>0</v>
      </c>
    </row>
    <row r="206" spans="1:78" x14ac:dyDescent="0.2">
      <c r="A206" s="452"/>
      <c r="B206" s="453" t="str">
        <f>_xlfn.TEXTJOIN(keydelim,TRUE,F206,IF(E206="Africa","Africa&amp;other",E206),"Fuel cost",SUBSTITUTE($G206," ",""))</f>
        <v>LSFO - Africa&amp;other - Fuel cost - USD/ton</v>
      </c>
      <c r="D206" s="459" t="str">
        <f t="shared" si="189"/>
        <v>AfricaLSFO</v>
      </c>
      <c r="E206" t="s">
        <v>200</v>
      </c>
      <c r="F206" s="460" t="str">
        <f t="shared" si="190"/>
        <v>LSFO</v>
      </c>
      <c r="G206" t="str">
        <f>G205</f>
        <v>USD/ ton</v>
      </c>
      <c r="H206" s="118">
        <f>INDEX('Fuel Model - Calculation'!$B$2:$M$3771,(MATCH(($E206&amp;"ResultsCost of "&amp;$F206&amp;"USD/ton"),'Fuel Model - Calculation'!$B$2:$B$3771,0)),MATCH(H$141,'Fuel Model - Calculation'!$B$2:$M$2,0))</f>
        <v>884.71322310880964</v>
      </c>
      <c r="I206" s="118">
        <f>INDEX('Fuel Model - Calculation'!$B$2:$M$3771,(MATCH(($E206&amp;"ResultsCost of "&amp;$F206&amp;"USD/ton"),'Fuel Model - Calculation'!$B$2:$B$3771,0)),MATCH(I$141,'Fuel Model - Calculation'!$B$2:$M$2,0))</f>
        <v>634.68557309979826</v>
      </c>
      <c r="J206" s="118">
        <f>INDEX('Fuel Model - Calculation'!$B$2:$M$3771,(MATCH(($E206&amp;"ResultsCost of "&amp;$F206&amp;"USD/ton"),'Fuel Model - Calculation'!$B$2:$B$3771,0)),MATCH(J$141,'Fuel Model - Calculation'!$B$2:$M$2,0))</f>
        <v>553.90740925073305</v>
      </c>
      <c r="K206" s="118">
        <f>INDEX('Fuel Model - Calculation'!$B$2:$M$3771,(MATCH(($E206&amp;"ResultsCost of "&amp;$F206&amp;"USD/ton"),'Fuel Model - Calculation'!$B$2:$B$3771,0)),MATCH(K$141,'Fuel Model - Calculation'!$B$2:$M$2,0))</f>
        <v>553.90740925073305</v>
      </c>
      <c r="L206" s="118">
        <f>INDEX('Fuel Model - Calculation'!$B$2:$M$3771,(MATCH(($E206&amp;"ResultsCost of "&amp;$F206&amp;"USD/ton"),'Fuel Model - Calculation'!$B$2:$B$3771,0)),MATCH(L$141,'Fuel Model - Calculation'!$B$2:$M$2,0))</f>
        <v>553.90740925073305</v>
      </c>
      <c r="M206" s="118">
        <f>INDEX('Fuel Model - Calculation'!$B$2:$M$3771,(MATCH(($E206&amp;"ResultsCost of "&amp;$F206&amp;"USD/ton"),'Fuel Model - Calculation'!$B$2:$B$3771,0)),MATCH(M$141,'Fuel Model - Calculation'!$B$2:$M$2,0))</f>
        <v>553.90740925073305</v>
      </c>
      <c r="N206" s="118">
        <f>INDEX('Fuel Model - Calculation'!$B$2:$M$3771,(MATCH(($E206&amp;"ResultsCost of "&amp;$F206&amp;"USD/ton"),'Fuel Model - Calculation'!$B$2:$B$3771,0)),MATCH(N$141,'Fuel Model - Calculation'!$B$2:$M$2,0))</f>
        <v>553.90740925073305</v>
      </c>
      <c r="O206"/>
      <c r="P206" s="118">
        <f>IFERROR(INDEX('Fuel Model - Calculation'!G$2:G$3771,(MATCH(($E206&amp;"ResultsTotal RNE "&amp;$F206&amp;"USD/ton"),'Fuel Model - Calculation'!$B$2:$B$3771,0))),0)</f>
        <v>0</v>
      </c>
      <c r="Q206" s="118">
        <f>IFERROR(INDEX('Fuel Model - Calculation'!H$2:H$3771,(MATCH(($E206&amp;"ResultsTotal RNE "&amp;$F206&amp;"USD/ton"),'Fuel Model - Calculation'!$B$2:$B$3771,0))),0)</f>
        <v>0</v>
      </c>
      <c r="R206" s="118">
        <f>IFERROR(INDEX('Fuel Model - Calculation'!I$2:I$3771,(MATCH(($E206&amp;"ResultsTotal RNE "&amp;$F206&amp;"USD/ton"),'Fuel Model - Calculation'!$B$2:$B$3771,0))),0)</f>
        <v>0</v>
      </c>
      <c r="S206" s="118">
        <f>IFERROR(INDEX('Fuel Model - Calculation'!J$2:J$3771,(MATCH(($E206&amp;"ResultsTotal RNE "&amp;$F206&amp;"USD/ton"),'Fuel Model - Calculation'!$B$2:$B$3771,0))),0)</f>
        <v>0</v>
      </c>
      <c r="T206" s="118">
        <f>IFERROR(INDEX('Fuel Model - Calculation'!K$2:K$3771,(MATCH(($E206&amp;"ResultsTotal RNE "&amp;$F206&amp;"USD/ton"),'Fuel Model - Calculation'!$B$2:$B$3771,0))),0)</f>
        <v>0</v>
      </c>
      <c r="U206" s="118">
        <f>IFERROR(INDEX('Fuel Model - Calculation'!L$2:L$3771,(MATCH(($E206&amp;"ResultsTotal RNE "&amp;$F206&amp;"USD/ton"),'Fuel Model - Calculation'!$B$2:$B$3771,0))),0)</f>
        <v>0</v>
      </c>
      <c r="V206" s="118">
        <f>IFERROR(INDEX('Fuel Model - Calculation'!M$2:M$3771,(MATCH(($E206&amp;"ResultsTotal RNE "&amp;$F206&amp;"USD/ton"),'Fuel Model - Calculation'!$B$2:$B$3771,0))),0)</f>
        <v>0</v>
      </c>
      <c r="W206"/>
      <c r="X206" s="2">
        <f>INDEX('Fuel Model - Calculation'!$E$2:$M$3771,(MATCH(("WTT Emission - "&amp;$F206),'Fuel Model - Calculation'!$E$2:$E$3771,0)),MATCH(X$141,'Fuel Model - Calculation'!$E$2:$M$2,0))</f>
        <v>0.65508</v>
      </c>
      <c r="Y206" s="2">
        <f>INDEX('Fuel Model - Calculation'!$E$2:$M$3771,(MATCH(("WTT Emission - "&amp;$F206),'Fuel Model - Calculation'!$E$2:$E$3771,0)),MATCH(Y$141,'Fuel Model - Calculation'!$E$2:$M$2,0))</f>
        <v>0.65508</v>
      </c>
      <c r="Z206" s="2">
        <f>INDEX('Fuel Model - Calculation'!$E$2:$M$3771,(MATCH(("WTT Emission - "&amp;$F206),'Fuel Model - Calculation'!$E$2:$E$3771,0)),MATCH(Z$141,'Fuel Model - Calculation'!$E$2:$M$2,0))</f>
        <v>0.65508</v>
      </c>
      <c r="AA206" s="2">
        <f>INDEX('Fuel Model - Calculation'!$E$2:$M$3771,(MATCH(("WTT Emission - "&amp;$F206),'Fuel Model - Calculation'!$E$2:$E$3771,0)),MATCH(AA$141,'Fuel Model - Calculation'!$E$2:$M$2,0))</f>
        <v>0.65508</v>
      </c>
      <c r="AB206" s="2">
        <f>INDEX('Fuel Model - Calculation'!$E$2:$M$3771,(MATCH(("WTT Emission - "&amp;$F206),'Fuel Model - Calculation'!$E$2:$E$3771,0)),MATCH(AB$141,'Fuel Model - Calculation'!$E$2:$M$2,0))</f>
        <v>0.65508</v>
      </c>
      <c r="AC206" s="2">
        <f>INDEX('Fuel Model - Calculation'!$E$2:$M$3771,(MATCH(("WTT Emission - "&amp;$F206),'Fuel Model - Calculation'!$E$2:$E$3771,0)),MATCH(AC$141,'Fuel Model - Calculation'!$E$2:$M$2,0))</f>
        <v>0.65508</v>
      </c>
      <c r="AD206" s="2">
        <f>INDEX('Fuel Model - Calculation'!$E$2:$M$3771,(MATCH(("WTT Emission - "&amp;$F206),'Fuel Model - Calculation'!$E$2:$E$3771,0)),MATCH(AD$141,'Fuel Model - Calculation'!$E$2:$M$2,0))</f>
        <v>0.65508</v>
      </c>
      <c r="AE206" s="2"/>
      <c r="AF206" s="76">
        <f>'Fuel Model -  Input'!H$264</f>
        <v>3.1633300000000002</v>
      </c>
      <c r="AG206" s="76">
        <f>'Fuel Model -  Input'!I$264</f>
        <v>3.1633300000000002</v>
      </c>
      <c r="AH206" s="76">
        <f>'Fuel Model -  Input'!J$264</f>
        <v>3.1633300000000002</v>
      </c>
      <c r="AI206" s="76">
        <f>'Fuel Model -  Input'!K$264</f>
        <v>3.1633300000000002</v>
      </c>
      <c r="AJ206" s="76">
        <f>'Fuel Model -  Input'!L$264</f>
        <v>3.1633300000000002</v>
      </c>
      <c r="AK206" s="76">
        <f>'Fuel Model -  Input'!M$264</f>
        <v>3.1633300000000002</v>
      </c>
      <c r="AL206" s="76">
        <f>'Fuel Model -  Input'!N$264</f>
        <v>3.1633300000000002</v>
      </c>
      <c r="AM206"/>
      <c r="AN206" s="24">
        <f t="shared" si="188"/>
        <v>3.8184100000000001</v>
      </c>
      <c r="AO206" s="24">
        <f t="shared" si="188"/>
        <v>3.8184100000000001</v>
      </c>
      <c r="AP206" s="24">
        <f t="shared" si="188"/>
        <v>3.8184100000000001</v>
      </c>
      <c r="AQ206" s="24">
        <f t="shared" si="188"/>
        <v>3.8184100000000001</v>
      </c>
      <c r="AR206" s="24">
        <f t="shared" si="188"/>
        <v>3.8184100000000001</v>
      </c>
      <c r="AS206" s="24">
        <f t="shared" si="188"/>
        <v>3.8184100000000001</v>
      </c>
      <c r="AT206" s="24">
        <f t="shared" si="188"/>
        <v>3.8184100000000001</v>
      </c>
      <c r="AU206"/>
      <c r="AV206" s="118">
        <f>IFERROR(INDEX('Fuel Model - Calculation'!$B$2:$M$3771,(MATCH(($E206&amp;"Results"&amp;$AV$140&amp;$F206&amp;"USD/ton"),'Fuel Model - Calculation'!$B$2:$B$3771,0)),MATCH(H$141,'Fuel Model - Calculation'!$B$2:$M$2,0)),0)</f>
        <v>0</v>
      </c>
      <c r="AW206" s="118">
        <f>IFERROR(INDEX('Fuel Model - Calculation'!$B$2:$M$3771,(MATCH(($E206&amp;"Results"&amp;$AV$140&amp;$F206&amp;"USD/ton"),'Fuel Model - Calculation'!$B$2:$B$3771,0)),MATCH(I$141,'Fuel Model - Calculation'!$B$2:$M$2,0)),0)</f>
        <v>0</v>
      </c>
      <c r="AX206" s="118">
        <f>IFERROR(INDEX('Fuel Model - Calculation'!$B$2:$M$3771,(MATCH(($E206&amp;"Results"&amp;$AV$140&amp;$F206&amp;"USD/ton"),'Fuel Model - Calculation'!$B$2:$B$3771,0)),MATCH(J$141,'Fuel Model - Calculation'!$B$2:$M$2,0)),0)</f>
        <v>0</v>
      </c>
      <c r="AY206" s="118">
        <f>IFERROR(INDEX('Fuel Model - Calculation'!$B$2:$M$3771,(MATCH(($E206&amp;"Results"&amp;$AV$140&amp;$F206&amp;"USD/ton"),'Fuel Model - Calculation'!$B$2:$B$3771,0)),MATCH(K$141,'Fuel Model - Calculation'!$B$2:$M$2,0)),0)</f>
        <v>0</v>
      </c>
      <c r="AZ206" s="118">
        <f>IFERROR(INDEX('Fuel Model - Calculation'!$B$2:$M$3771,(MATCH(($E206&amp;"Results"&amp;$AV$140&amp;$F206&amp;"USD/ton"),'Fuel Model - Calculation'!$B$2:$B$3771,0)),MATCH(L$141,'Fuel Model - Calculation'!$B$2:$M$2,0)),0)</f>
        <v>0</v>
      </c>
      <c r="BA206" s="118">
        <f>IFERROR(INDEX('Fuel Model - Calculation'!$B$2:$M$3771,(MATCH(($E206&amp;"Results"&amp;$AV$140&amp;$F206&amp;"USD/ton"),'Fuel Model - Calculation'!$B$2:$B$3771,0)),MATCH(M$141,'Fuel Model - Calculation'!$B$2:$M$2,0)),0)</f>
        <v>0</v>
      </c>
      <c r="BB206" s="118">
        <f>IFERROR(INDEX('Fuel Model - Calculation'!$B$2:$M$3771,(MATCH(($E206&amp;"Results"&amp;$AV$140&amp;$F206&amp;"USD/ton"),'Fuel Model - Calculation'!$B$2:$B$3771,0)),MATCH(N$141,'Fuel Model - Calculation'!$B$2:$M$2,0)),0)</f>
        <v>0</v>
      </c>
      <c r="BC206"/>
      <c r="BD206" s="118">
        <f>IFERROR(INDEX('Fuel Model - Calculation'!$B$2:$M$3771,(MATCH(($E206&amp;"Results"&amp;$BD$140&amp;$F206&amp;"USD/ton"),'Fuel Model - Calculation'!$B$2:$B$3771,0)),MATCH(P$141,'Fuel Model - Calculation'!$B$2:$M$2,0)),0)</f>
        <v>0</v>
      </c>
      <c r="BE206" s="118">
        <f>IFERROR(INDEX('Fuel Model - Calculation'!$B$2:$M$3771,(MATCH(($E206&amp;"Results"&amp;$BD$140&amp;$F206&amp;"USD/ton"),'Fuel Model - Calculation'!$B$2:$B$3771,0)),MATCH(Q$141,'Fuel Model - Calculation'!$B$2:$M$2,0)),0)</f>
        <v>0</v>
      </c>
      <c r="BF206" s="118">
        <f>IFERROR(INDEX('Fuel Model - Calculation'!$B$2:$M$3771,(MATCH(($E206&amp;"Results"&amp;$BD$140&amp;$F206&amp;"USD/ton"),'Fuel Model - Calculation'!$B$2:$B$3771,0)),MATCH(R$141,'Fuel Model - Calculation'!$B$2:$M$2,0)),0)</f>
        <v>0</v>
      </c>
      <c r="BG206" s="118">
        <f>IFERROR(INDEX('Fuel Model - Calculation'!$B$2:$M$3771,(MATCH(($E206&amp;"Results"&amp;$BD$140&amp;$F206&amp;"USD/ton"),'Fuel Model - Calculation'!$B$2:$B$3771,0)),MATCH(S$141,'Fuel Model - Calculation'!$B$2:$M$2,0)),0)</f>
        <v>0</v>
      </c>
      <c r="BH206" s="118">
        <f>IFERROR(INDEX('Fuel Model - Calculation'!$B$2:$M$3771,(MATCH(($E206&amp;"Results"&amp;$BD$140&amp;$F206&amp;"USD/ton"),'Fuel Model - Calculation'!$B$2:$B$3771,0)),MATCH(T$141,'Fuel Model - Calculation'!$B$2:$M$2,0)),0)</f>
        <v>0</v>
      </c>
      <c r="BI206" s="118">
        <f>IFERROR(INDEX('Fuel Model - Calculation'!$B$2:$M$3771,(MATCH(($E206&amp;"Results"&amp;$BD$140&amp;$F206&amp;"USD/ton"),'Fuel Model - Calculation'!$B$2:$B$3771,0)),MATCH(U$141,'Fuel Model - Calculation'!$B$2:$M$2,0)),0)</f>
        <v>0</v>
      </c>
      <c r="BJ206" s="118">
        <f>IFERROR(INDEX('Fuel Model - Calculation'!$B$2:$M$3771,(MATCH(($E206&amp;"Results"&amp;$BD$140&amp;$F206&amp;"USD/ton"),'Fuel Model - Calculation'!$B$2:$B$3771,0)),MATCH(V$141,'Fuel Model - Calculation'!$B$2:$M$2,0)),0)</f>
        <v>0</v>
      </c>
      <c r="BL206" s="118">
        <f>IFERROR(IFERROR(INDEX('Fuel Model - Calculation'!$B$2:$M$3771,(MATCH(($E206&amp;"Results"&amp;$BL$140&amp;$F206&amp;"USD/ton"),'Fuel Model - Calculation'!$B$2:$B$3771,0)),MATCH(H$141,'Fuel Model - Calculation'!$B$2:$M$2,0)),0),0)</f>
        <v>0</v>
      </c>
      <c r="BM206" s="118">
        <f>IFERROR(IFERROR(INDEX('Fuel Model - Calculation'!$B$2:$M$3771,(MATCH(($E206&amp;"Results"&amp;$BL$140&amp;$F206&amp;"USD/ton"),'Fuel Model - Calculation'!$B$2:$B$3771,0)),MATCH(I$141,'Fuel Model - Calculation'!$B$2:$M$2,0)),0),0)</f>
        <v>0</v>
      </c>
      <c r="BN206" s="118">
        <f>IFERROR(IFERROR(INDEX('Fuel Model - Calculation'!$B$2:$M$3771,(MATCH(($E206&amp;"Results"&amp;$BL$140&amp;$F206&amp;"USD/ton"),'Fuel Model - Calculation'!$B$2:$B$3771,0)),MATCH(J$141,'Fuel Model - Calculation'!$B$2:$M$2,0)),0),0)</f>
        <v>0</v>
      </c>
      <c r="BO206" s="118">
        <f>IFERROR(IFERROR(INDEX('Fuel Model - Calculation'!$B$2:$M$3771,(MATCH(($E206&amp;"Results"&amp;$BL$140&amp;$F206&amp;"USD/ton"),'Fuel Model - Calculation'!$B$2:$B$3771,0)),MATCH(K$141,'Fuel Model - Calculation'!$B$2:$M$2,0)),0),0)</f>
        <v>0</v>
      </c>
      <c r="BP206" s="118">
        <f>IFERROR(IFERROR(INDEX('Fuel Model - Calculation'!$B$2:$M$3771,(MATCH(($E206&amp;"Results"&amp;$BL$140&amp;$F206&amp;"USD/ton"),'Fuel Model - Calculation'!$B$2:$B$3771,0)),MATCH(L$141,'Fuel Model - Calculation'!$B$2:$M$2,0)),0),0)</f>
        <v>0</v>
      </c>
      <c r="BQ206" s="118">
        <f>IFERROR(IFERROR(INDEX('Fuel Model - Calculation'!$B$2:$M$3771,(MATCH(($E206&amp;"Results"&amp;$BL$140&amp;$F206&amp;"USD/ton"),'Fuel Model - Calculation'!$B$2:$B$3771,0)),MATCH(M$141,'Fuel Model - Calculation'!$B$2:$M$2,0)),0),0)</f>
        <v>0</v>
      </c>
      <c r="BR206" s="118">
        <f>IFERROR(IFERROR(INDEX('Fuel Model - Calculation'!$B$2:$M$3771,(MATCH(($E206&amp;"Results"&amp;$BL$140&amp;$F206&amp;"USD/ton"),'Fuel Model - Calculation'!$B$2:$B$3771,0)),MATCH(N$141,'Fuel Model - Calculation'!$B$2:$M$2,0)),0),0)</f>
        <v>0</v>
      </c>
      <c r="BT206" s="118">
        <f>IFERROR(INDEX('Fuel Model - Calculation'!$B$2:$M$3771,(MATCH(($E206&amp;"Results"&amp;$BT$140&amp;$F206&amp;"USD/ton"),'Fuel Model - Calculation'!$B$2:$B$3771,0)),MATCH(H$141,'Fuel Model - Calculation'!$B$2:$M$2,0)),0)</f>
        <v>0</v>
      </c>
      <c r="BU206" s="118">
        <f>IFERROR(INDEX('Fuel Model - Calculation'!$B$2:$M$3771,(MATCH(($E206&amp;"Results"&amp;$BT$140&amp;$F206&amp;"USD/ton"),'Fuel Model - Calculation'!$B$2:$B$3771,0)),MATCH(I$141,'Fuel Model - Calculation'!$B$2:$M$2,0)),0)</f>
        <v>0</v>
      </c>
      <c r="BV206" s="118">
        <f>IFERROR(INDEX('Fuel Model - Calculation'!$B$2:$M$3771,(MATCH(($E206&amp;"Results"&amp;$BT$140&amp;$F206&amp;"USD/ton"),'Fuel Model - Calculation'!$B$2:$B$3771,0)),MATCH(J$141,'Fuel Model - Calculation'!$B$2:$M$2,0)),0)</f>
        <v>0</v>
      </c>
      <c r="BW206" s="118">
        <f>IFERROR(INDEX('Fuel Model - Calculation'!$B$2:$M$3771,(MATCH(($E206&amp;"Results"&amp;$BT$140&amp;$F206&amp;"USD/ton"),'Fuel Model - Calculation'!$B$2:$B$3771,0)),MATCH(K$141,'Fuel Model - Calculation'!$B$2:$M$2,0)),0)</f>
        <v>0</v>
      </c>
      <c r="BX206" s="118">
        <f>IFERROR(INDEX('Fuel Model - Calculation'!$B$2:$M$3771,(MATCH(($E206&amp;"Results"&amp;$BT$140&amp;$F206&amp;"USD/ton"),'Fuel Model - Calculation'!$B$2:$B$3771,0)),MATCH(L$141,'Fuel Model - Calculation'!$B$2:$M$2,0)),0)</f>
        <v>0</v>
      </c>
      <c r="BY206" s="118">
        <f>IFERROR(INDEX('Fuel Model - Calculation'!$B$2:$M$3771,(MATCH(($E206&amp;"Results"&amp;$BT$140&amp;$F206&amp;"USD/ton"),'Fuel Model - Calculation'!$B$2:$B$3771,0)),MATCH(M$141,'Fuel Model - Calculation'!$B$2:$M$2,0)),0)</f>
        <v>0</v>
      </c>
      <c r="BZ206" s="118">
        <f>IFERROR(INDEX('Fuel Model - Calculation'!$B$2:$M$3771,(MATCH(($E206&amp;"Results"&amp;$BT$140&amp;$F206&amp;"USD/ton"),'Fuel Model - Calculation'!$B$2:$B$3771,0)),MATCH(N$141,'Fuel Model - Calculation'!$B$2:$M$2,0)),0)</f>
        <v>0</v>
      </c>
    </row>
    <row r="207" spans="1:78" x14ac:dyDescent="0.2">
      <c r="A207" s="452"/>
      <c r="B207" s="453"/>
      <c r="D207" s="74"/>
      <c r="E207"/>
      <c r="F207"/>
      <c r="G207"/>
      <c r="H207" s="118"/>
      <c r="I207"/>
      <c r="J207"/>
      <c r="K207"/>
      <c r="L207"/>
      <c r="M207"/>
      <c r="N207"/>
      <c r="O207"/>
      <c r="P207"/>
      <c r="Q207"/>
      <c r="R207"/>
      <c r="S207"/>
      <c r="T207"/>
      <c r="U207"/>
      <c r="V207"/>
      <c r="W207"/>
      <c r="X207"/>
      <c r="Y207"/>
      <c r="Z207"/>
      <c r="AA207"/>
      <c r="AB207"/>
      <c r="AC207"/>
      <c r="AD207"/>
      <c r="AE207"/>
      <c r="AF207" s="76"/>
      <c r="AG207" s="76"/>
      <c r="AH207" s="76"/>
      <c r="AI207" s="76"/>
      <c r="AJ207" s="76"/>
      <c r="AK207" s="76"/>
      <c r="AL207" s="76"/>
      <c r="AM207"/>
      <c r="AN207" s="24"/>
      <c r="AO207" s="24"/>
      <c r="AP207" s="24"/>
      <c r="AQ207" s="24"/>
      <c r="AR207" s="24"/>
      <c r="AS207" s="24"/>
      <c r="AT207" s="24"/>
      <c r="AU207"/>
      <c r="AV207" s="118"/>
      <c r="AW207" s="118"/>
      <c r="AX207" s="118"/>
      <c r="AY207" s="118"/>
      <c r="AZ207" s="118"/>
      <c r="BA207" s="118"/>
      <c r="BB207" s="118"/>
      <c r="BC207"/>
      <c r="BD207" s="118"/>
      <c r="BE207" s="118"/>
      <c r="BF207" s="118"/>
      <c r="BG207" s="118"/>
      <c r="BH207" s="118"/>
      <c r="BI207" s="118"/>
      <c r="BJ207" s="118"/>
      <c r="BL207" s="118"/>
      <c r="BM207" s="118"/>
      <c r="BN207" s="118"/>
      <c r="BO207" s="118"/>
      <c r="BP207" s="118"/>
      <c r="BQ207" s="118"/>
      <c r="BR207" s="118"/>
      <c r="BT207" s="118"/>
      <c r="BU207" s="118"/>
      <c r="BV207" s="118"/>
      <c r="BW207" s="118"/>
      <c r="BX207" s="118"/>
      <c r="BY207" s="118"/>
      <c r="BZ207" s="118"/>
    </row>
    <row r="208" spans="1:78" x14ac:dyDescent="0.2">
      <c r="A208" s="452"/>
      <c r="B208" s="453" t="str">
        <f>_xlfn.TEXTJOIN(keydelim,TRUE,F208,IF(E208="Africa","Africa&amp;other",E208),"Fuel cost",SUBSTITUTE($G208," ",""))</f>
        <v>LNG - Europe - Fuel cost - USD/ton</v>
      </c>
      <c r="D208" s="459" t="str">
        <f>E208&amp;F208</f>
        <v>EuropeLNG</v>
      </c>
      <c r="E208" t="s">
        <v>195</v>
      </c>
      <c r="F208" t="s">
        <v>528</v>
      </c>
      <c r="G208" t="s">
        <v>835</v>
      </c>
      <c r="H208" s="118">
        <f>INDEX('Fuel Model - Calculation'!$B$2:$M$3771,(MATCH(($E208&amp;"ResultsCost of "&amp;$F208&amp;"USD/ton"),'Fuel Model - Calculation'!$B$2:$B$3771,0)),MATCH(H$141,'Fuel Model - Calculation'!$B$2:$M$2,0))</f>
        <v>1986.2453667393854</v>
      </c>
      <c r="I208" s="118">
        <f>INDEX('Fuel Model - Calculation'!$B$2:$M$3771,(MATCH(($E208&amp;"ResultsCost of "&amp;$F208&amp;"USD/ton"),'Fuel Model - Calculation'!$B$2:$B$3771,0)),MATCH(I$141,'Fuel Model - Calculation'!$B$2:$M$2,0))</f>
        <v>925.2568980571649</v>
      </c>
      <c r="J208" s="118">
        <f>INDEX('Fuel Model - Calculation'!$B$2:$M$3771,(MATCH(($E208&amp;"ResultsCost of "&amp;$F208&amp;"USD/ton"),'Fuel Model - Calculation'!$B$2:$B$3771,0)),MATCH(J$141,'Fuel Model - Calculation'!$B$2:$M$2,0))</f>
        <v>690.57888028192156</v>
      </c>
      <c r="K208" s="118">
        <f>INDEX('Fuel Model - Calculation'!$B$2:$M$3771,(MATCH(($E208&amp;"ResultsCost of "&amp;$F208&amp;"USD/ton"),'Fuel Model - Calculation'!$B$2:$B$3771,0)),MATCH(K$141,'Fuel Model - Calculation'!$B$2:$M$2,0))</f>
        <v>683.96081540794216</v>
      </c>
      <c r="L208" s="118">
        <f>INDEX('Fuel Model - Calculation'!$B$2:$M$3771,(MATCH(($E208&amp;"ResultsCost of "&amp;$F208&amp;"USD/ton"),'Fuel Model - Calculation'!$B$2:$B$3771,0)),MATCH(L$141,'Fuel Model - Calculation'!$B$2:$M$2,0))</f>
        <v>678.29361003533563</v>
      </c>
      <c r="M208" s="118">
        <f>INDEX('Fuel Model - Calculation'!$B$2:$M$3771,(MATCH(($E208&amp;"ResultsCost of "&amp;$F208&amp;"USD/ton"),'Fuel Model - Calculation'!$B$2:$B$3771,0)),MATCH(M$141,'Fuel Model - Calculation'!$B$2:$M$2,0))</f>
        <v>672.6416904506774</v>
      </c>
      <c r="N208" s="118">
        <f>INDEX('Fuel Model - Calculation'!$B$2:$M$3771,(MATCH(($E208&amp;"ResultsCost of "&amp;$F208&amp;"USD/ton"),'Fuel Model - Calculation'!$B$2:$B$3771,0)),MATCH(N$141,'Fuel Model - Calculation'!$B$2:$M$2,0))</f>
        <v>667.45258296141014</v>
      </c>
      <c r="O208"/>
      <c r="P208" s="118">
        <f>IFERROR(INDEX('Fuel Model - Calculation'!G$2:G$3771,(MATCH(($E208&amp;"ResultsTotal RNE "&amp;$F208&amp;"USD/ton"),'Fuel Model - Calculation'!$B$2:$B$3771,0))),0)</f>
        <v>0</v>
      </c>
      <c r="Q208" s="118">
        <f>IFERROR(INDEX('Fuel Model - Calculation'!H$2:H$3771,(MATCH(($E208&amp;"ResultsTotal RNE "&amp;$F208&amp;"USD/ton"),'Fuel Model - Calculation'!$B$2:$B$3771,0))),0)</f>
        <v>0</v>
      </c>
      <c r="R208" s="118">
        <f>IFERROR(INDEX('Fuel Model - Calculation'!I$2:I$3771,(MATCH(($E208&amp;"ResultsTotal RNE "&amp;$F208&amp;"USD/ton"),'Fuel Model - Calculation'!$B$2:$B$3771,0))),0)</f>
        <v>0</v>
      </c>
      <c r="S208" s="118">
        <f>IFERROR(INDEX('Fuel Model - Calculation'!J$2:J$3771,(MATCH(($E208&amp;"ResultsTotal RNE "&amp;$F208&amp;"USD/ton"),'Fuel Model - Calculation'!$B$2:$B$3771,0))),0)</f>
        <v>0</v>
      </c>
      <c r="T208" s="118">
        <f>IFERROR(INDEX('Fuel Model - Calculation'!K$2:K$3771,(MATCH(($E208&amp;"ResultsTotal RNE "&amp;$F208&amp;"USD/ton"),'Fuel Model - Calculation'!$B$2:$B$3771,0))),0)</f>
        <v>0</v>
      </c>
      <c r="U208" s="118">
        <f>IFERROR(INDEX('Fuel Model - Calculation'!L$2:L$3771,(MATCH(($E208&amp;"ResultsTotal RNE "&amp;$F208&amp;"USD/ton"),'Fuel Model - Calculation'!$B$2:$B$3771,0))),0)</f>
        <v>0</v>
      </c>
      <c r="V208" s="118">
        <f>IFERROR(INDEX('Fuel Model - Calculation'!M$2:M$3771,(MATCH(($E208&amp;"ResultsTotal RNE "&amp;$F208&amp;"USD/ton"),'Fuel Model - Calculation'!$B$2:$B$3771,0))),0)</f>
        <v>0</v>
      </c>
      <c r="W208"/>
      <c r="X208" s="2">
        <f>INDEX('Fuel Model - Calculation'!$E$2:$M$3771,(MATCH(("WTT Emission - "&amp;$F208),'Fuel Model - Calculation'!$E$2:$E$3771,0)),MATCH(X$141,'Fuel Model - Calculation'!$E$2:$M$2,0))</f>
        <v>0.84480000000000011</v>
      </c>
      <c r="Y208" s="2">
        <f>INDEX('Fuel Model - Calculation'!$E$2:$M$3771,(MATCH(("WTT Emission - "&amp;$F208),'Fuel Model - Calculation'!$E$2:$E$3771,0)),MATCH(Y$141,'Fuel Model - Calculation'!$E$2:$M$2,0))</f>
        <v>0.84480000000000011</v>
      </c>
      <c r="Z208" s="2">
        <f>INDEX('Fuel Model - Calculation'!$E$2:$M$3771,(MATCH(("WTT Emission - "&amp;$F208),'Fuel Model - Calculation'!$E$2:$E$3771,0)),MATCH(Z$141,'Fuel Model - Calculation'!$E$2:$M$2,0))</f>
        <v>0.84480000000000011</v>
      </c>
      <c r="AA208" s="2">
        <f>INDEX('Fuel Model - Calculation'!$E$2:$M$3771,(MATCH(("WTT Emission - "&amp;$F208),'Fuel Model - Calculation'!$E$2:$E$3771,0)),MATCH(AA$141,'Fuel Model - Calculation'!$E$2:$M$2,0))</f>
        <v>0.84480000000000011</v>
      </c>
      <c r="AB208" s="2">
        <f>INDEX('Fuel Model - Calculation'!$E$2:$M$3771,(MATCH(("WTT Emission - "&amp;$F208),'Fuel Model - Calculation'!$E$2:$E$3771,0)),MATCH(AB$141,'Fuel Model - Calculation'!$E$2:$M$2,0))</f>
        <v>0.84480000000000011</v>
      </c>
      <c r="AC208" s="2">
        <f>INDEX('Fuel Model - Calculation'!$E$2:$M$3771,(MATCH(("WTT Emission - "&amp;$F208),'Fuel Model - Calculation'!$E$2:$E$3771,0)),MATCH(AC$141,'Fuel Model - Calculation'!$E$2:$M$2,0))</f>
        <v>0.84480000000000011</v>
      </c>
      <c r="AD208" s="2">
        <f>INDEX('Fuel Model - Calculation'!$E$2:$M$3771,(MATCH(("WTT Emission - "&amp;$F208),'Fuel Model - Calculation'!$E$2:$E$3771,0)),MATCH(AD$141,'Fuel Model - Calculation'!$E$2:$M$2,0))</f>
        <v>0.84480000000000011</v>
      </c>
      <c r="AE208" s="2"/>
      <c r="AF208" s="76">
        <f>'Fuel Model -  Input'!H$269</f>
        <v>3.6492599999999999</v>
      </c>
      <c r="AG208" s="76">
        <f>'Fuel Model -  Input'!I$269</f>
        <v>3.6492599999999999</v>
      </c>
      <c r="AH208" s="76">
        <f>'Fuel Model -  Input'!J$269</f>
        <v>3.6492599999999999</v>
      </c>
      <c r="AI208" s="76">
        <f>'Fuel Model -  Input'!K$269</f>
        <v>3.6492599999999999</v>
      </c>
      <c r="AJ208" s="76">
        <f>'Fuel Model -  Input'!L$269</f>
        <v>3.6492599999999999</v>
      </c>
      <c r="AK208" s="76">
        <f>'Fuel Model -  Input'!M$269</f>
        <v>3.6492599999999999</v>
      </c>
      <c r="AL208" s="76">
        <f>'Fuel Model -  Input'!N$269</f>
        <v>3.6492599999999999</v>
      </c>
      <c r="AM208"/>
      <c r="AN208" s="24">
        <f t="shared" ref="AN208:AT212" si="191">X208+AF208</f>
        <v>4.4940600000000002</v>
      </c>
      <c r="AO208" s="24">
        <f t="shared" si="191"/>
        <v>4.4940600000000002</v>
      </c>
      <c r="AP208" s="24">
        <f t="shared" si="191"/>
        <v>4.4940600000000002</v>
      </c>
      <c r="AQ208" s="24">
        <f t="shared" si="191"/>
        <v>4.4940600000000002</v>
      </c>
      <c r="AR208" s="24">
        <f t="shared" si="191"/>
        <v>4.4940600000000002</v>
      </c>
      <c r="AS208" s="24">
        <f t="shared" si="191"/>
        <v>4.4940600000000002</v>
      </c>
      <c r="AT208" s="24">
        <f t="shared" si="191"/>
        <v>4.4940600000000002</v>
      </c>
      <c r="AU208"/>
      <c r="AV208" s="118">
        <f>IFERROR(INDEX('Fuel Model - Calculation'!$B$2:$M$3771,(MATCH(($E208&amp;"Results"&amp;$AV$140&amp;$F208&amp;"USD/ton"),'Fuel Model - Calculation'!$B$2:$B$3771,0)),MATCH(H$141,'Fuel Model - Calculation'!$B$2:$M$2,0)),0)</f>
        <v>203.48745578849747</v>
      </c>
      <c r="AW208" s="118">
        <f>IFERROR(INDEX('Fuel Model - Calculation'!$B$2:$M$3771,(MATCH(($E208&amp;"Results"&amp;$AV$140&amp;$F208&amp;"USD/ton"),'Fuel Model - Calculation'!$B$2:$B$3771,0)),MATCH(I$141,'Fuel Model - Calculation'!$B$2:$M$2,0)),0)</f>
        <v>198.75000000000006</v>
      </c>
      <c r="AX208" s="118">
        <f>IFERROR(INDEX('Fuel Model - Calculation'!$B$2:$M$3771,(MATCH(($E208&amp;"Results"&amp;$AV$140&amp;$F208&amp;"USD/ton"),'Fuel Model - Calculation'!$B$2:$B$3771,0)),MATCH(J$141,'Fuel Model - Calculation'!$B$2:$M$2,0)),0)</f>
        <v>194.12283841740833</v>
      </c>
      <c r="AY208" s="118">
        <f>IFERROR(INDEX('Fuel Model - Calculation'!$B$2:$M$3771,(MATCH(($E208&amp;"Results"&amp;$AV$140&amp;$F208&amp;"USD/ton"),'Fuel Model - Calculation'!$B$2:$B$3771,0)),MATCH(K$141,'Fuel Model - Calculation'!$B$2:$M$2,0)),0)</f>
        <v>189.60340324644639</v>
      </c>
      <c r="AZ208" s="118">
        <f>IFERROR(INDEX('Fuel Model - Calculation'!$B$2:$M$3771,(MATCH(($E208&amp;"Results"&amp;$AV$140&amp;$F208&amp;"USD/ton"),'Fuel Model - Calculation'!$B$2:$B$3771,0)),MATCH(L$141,'Fuel Model - Calculation'!$B$2:$M$2,0)),0)</f>
        <v>185.18918647446853</v>
      </c>
      <c r="BA208" s="118">
        <f>IFERROR(INDEX('Fuel Model - Calculation'!$B$2:$M$3771,(MATCH(($E208&amp;"Results"&amp;$AV$140&amp;$F208&amp;"USD/ton"),'Fuel Model - Calculation'!$B$2:$B$3771,0)),MATCH(M$141,'Fuel Model - Calculation'!$B$2:$M$2,0)),0)</f>
        <v>180.87773847866441</v>
      </c>
      <c r="BB208" s="118">
        <f>IFERROR(INDEX('Fuel Model - Calculation'!$B$2:$M$3771,(MATCH(($E208&amp;"Results"&amp;$AV$140&amp;$F208&amp;"USD/ton"),'Fuel Model - Calculation'!$B$2:$B$3771,0)),MATCH(N$141,'Fuel Model - Calculation'!$B$2:$M$2,0)),0)</f>
        <v>176.66666666666671</v>
      </c>
      <c r="BC208"/>
      <c r="BD208" s="118">
        <f>IFERROR(INDEX('Fuel Model - Calculation'!$B$2:$M$3771,(MATCH(($E208&amp;"Results"&amp;$BD$140&amp;$F208&amp;"USD/ton"),'Fuel Model - Calculation'!$B$2:$B$3771,0)),MATCH(P$141,'Fuel Model - Calculation'!$B$2:$M$2,0)),0)</f>
        <v>32.75791095088789</v>
      </c>
      <c r="BE208" s="118">
        <f>IFERROR(INDEX('Fuel Model - Calculation'!$B$2:$M$3771,(MATCH(($E208&amp;"Results"&amp;$BD$140&amp;$F208&amp;"USD/ton"),'Fuel Model - Calculation'!$B$2:$B$3771,0)),MATCH(Q$141,'Fuel Model - Calculation'!$B$2:$M$2,0)),0)</f>
        <v>26.506898057164808</v>
      </c>
      <c r="BF208" s="118">
        <f>IFERROR(INDEX('Fuel Model - Calculation'!$B$2:$M$3771,(MATCH(($E208&amp;"Results"&amp;$BD$140&amp;$F208&amp;"USD/ton"),'Fuel Model - Calculation'!$B$2:$B$3771,0)),MATCH(R$141,'Fuel Model - Calculation'!$B$2:$M$2,0)),0)</f>
        <v>21.456041864513253</v>
      </c>
      <c r="BG208" s="118">
        <f>IFERROR(INDEX('Fuel Model - Calculation'!$B$2:$M$3771,(MATCH(($E208&amp;"Results"&amp;$BD$140&amp;$F208&amp;"USD/ton"),'Fuel Model - Calculation'!$B$2:$B$3771,0)),MATCH(S$141,'Fuel Model - Calculation'!$B$2:$M$2,0)),0)</f>
        <v>19.357412161495748</v>
      </c>
      <c r="BH208" s="118">
        <f>IFERROR(INDEX('Fuel Model - Calculation'!$B$2:$M$3771,(MATCH(($E208&amp;"Results"&amp;$BD$140&amp;$F208&amp;"USD/ton"),'Fuel Model - Calculation'!$B$2:$B$3771,0)),MATCH(T$141,'Fuel Model - Calculation'!$B$2:$M$2,0)),0)</f>
        <v>18.104423560867097</v>
      </c>
      <c r="BI208" s="118">
        <f>IFERROR(INDEX('Fuel Model - Calculation'!$B$2:$M$3771,(MATCH(($E208&amp;"Results"&amp;$BD$140&amp;$F208&amp;"USD/ton"),'Fuel Model - Calculation'!$B$2:$B$3771,0)),MATCH(U$141,'Fuel Model - Calculation'!$B$2:$M$2,0)),0)</f>
        <v>16.763951972013</v>
      </c>
      <c r="BJ208" s="118">
        <f>IFERROR(INDEX('Fuel Model - Calculation'!$B$2:$M$3771,(MATCH(($E208&amp;"Results"&amp;$BD$140&amp;$F208&amp;"USD/ton"),'Fuel Model - Calculation'!$B$2:$B$3771,0)),MATCH(V$141,'Fuel Model - Calculation'!$B$2:$M$2,0)),0)</f>
        <v>15.785916294743469</v>
      </c>
      <c r="BL208" s="118">
        <f>IFERROR(IFERROR(INDEX('Fuel Model - Calculation'!$B$2:$M$3771,(MATCH(($E208&amp;"Results"&amp;$BL$140&amp;$F208&amp;"USD/ton"),'Fuel Model - Calculation'!$B$2:$B$3771,0)),MATCH(H$141,'Fuel Model - Calculation'!$B$2:$M$2,0)),0),0)</f>
        <v>0</v>
      </c>
      <c r="BM208" s="118">
        <f>IFERROR(IFERROR(INDEX('Fuel Model - Calculation'!$B$2:$M$3771,(MATCH(($E208&amp;"Results"&amp;$BL$140&amp;$F208&amp;"USD/ton"),'Fuel Model - Calculation'!$B$2:$B$3771,0)),MATCH(I$141,'Fuel Model - Calculation'!$B$2:$M$2,0)),0),0)</f>
        <v>0</v>
      </c>
      <c r="BN208" s="118">
        <f>IFERROR(IFERROR(INDEX('Fuel Model - Calculation'!$B$2:$M$3771,(MATCH(($E208&amp;"Results"&amp;$BL$140&amp;$F208&amp;"USD/ton"),'Fuel Model - Calculation'!$B$2:$B$3771,0)),MATCH(J$141,'Fuel Model - Calculation'!$B$2:$M$2,0)),0),0)</f>
        <v>0</v>
      </c>
      <c r="BO208" s="118">
        <f>IFERROR(IFERROR(INDEX('Fuel Model - Calculation'!$B$2:$M$3771,(MATCH(($E208&amp;"Results"&amp;$BL$140&amp;$F208&amp;"USD/ton"),'Fuel Model - Calculation'!$B$2:$B$3771,0)),MATCH(K$141,'Fuel Model - Calculation'!$B$2:$M$2,0)),0),0)</f>
        <v>0</v>
      </c>
      <c r="BP208" s="118">
        <f>IFERROR(IFERROR(INDEX('Fuel Model - Calculation'!$B$2:$M$3771,(MATCH(($E208&amp;"Results"&amp;$BL$140&amp;$F208&amp;"USD/ton"),'Fuel Model - Calculation'!$B$2:$B$3771,0)),MATCH(L$141,'Fuel Model - Calculation'!$B$2:$M$2,0)),0),0)</f>
        <v>0</v>
      </c>
      <c r="BQ208" s="118">
        <f>IFERROR(IFERROR(INDEX('Fuel Model - Calculation'!$B$2:$M$3771,(MATCH(($E208&amp;"Results"&amp;$BL$140&amp;$F208&amp;"USD/ton"),'Fuel Model - Calculation'!$B$2:$B$3771,0)),MATCH(M$141,'Fuel Model - Calculation'!$B$2:$M$2,0)),0),0)</f>
        <v>0</v>
      </c>
      <c r="BR208" s="118">
        <f>IFERROR(IFERROR(INDEX('Fuel Model - Calculation'!$B$2:$M$3771,(MATCH(($E208&amp;"Results"&amp;$BL$140&amp;$F208&amp;"USD/ton"),'Fuel Model - Calculation'!$B$2:$B$3771,0)),MATCH(N$141,'Fuel Model - Calculation'!$B$2:$M$2,0)),0),0)</f>
        <v>0</v>
      </c>
      <c r="BT208" s="118">
        <f>IFERROR(INDEX('Fuel Model - Calculation'!$B$2:$M$3771,(MATCH(($E208&amp;"Results"&amp;$BT$140&amp;$F208&amp;"USD/ton"),'Fuel Model - Calculation'!$B$2:$B$3771,0)),MATCH(H$141,'Fuel Model - Calculation'!$B$2:$M$2,0)),0)</f>
        <v>1750</v>
      </c>
      <c r="BU208" s="118">
        <f>IFERROR(INDEX('Fuel Model - Calculation'!$B$2:$M$3771,(MATCH(($E208&amp;"Results"&amp;$BT$140&amp;$F208&amp;"USD/ton"),'Fuel Model - Calculation'!$B$2:$B$3771,0)),MATCH(I$141,'Fuel Model - Calculation'!$B$2:$M$2,0)),0)</f>
        <v>700</v>
      </c>
      <c r="BV208" s="118">
        <f>IFERROR(INDEX('Fuel Model - Calculation'!$B$2:$M$3771,(MATCH(($E208&amp;"Results"&amp;$BT$140&amp;$F208&amp;"USD/ton"),'Fuel Model - Calculation'!$B$2:$B$3771,0)),MATCH(J$141,'Fuel Model - Calculation'!$B$2:$M$2,0)),0)</f>
        <v>475</v>
      </c>
      <c r="BW208" s="118">
        <f>IFERROR(INDEX('Fuel Model - Calculation'!$B$2:$M$3771,(MATCH(($E208&amp;"Results"&amp;$BT$140&amp;$F208&amp;"USD/ton"),'Fuel Model - Calculation'!$B$2:$B$3771,0)),MATCH(K$141,'Fuel Model - Calculation'!$B$2:$M$2,0)),0)</f>
        <v>475</v>
      </c>
      <c r="BX208" s="118">
        <f>IFERROR(INDEX('Fuel Model - Calculation'!$B$2:$M$3771,(MATCH(($E208&amp;"Results"&amp;$BT$140&amp;$F208&amp;"USD/ton"),'Fuel Model - Calculation'!$B$2:$B$3771,0)),MATCH(L$141,'Fuel Model - Calculation'!$B$2:$M$2,0)),0)</f>
        <v>475</v>
      </c>
      <c r="BY208" s="118">
        <f>IFERROR(INDEX('Fuel Model - Calculation'!$B$2:$M$3771,(MATCH(($E208&amp;"Results"&amp;$BT$140&amp;$F208&amp;"USD/ton"),'Fuel Model - Calculation'!$B$2:$B$3771,0)),MATCH(M$141,'Fuel Model - Calculation'!$B$2:$M$2,0)),0)</f>
        <v>475</v>
      </c>
      <c r="BZ208" s="118">
        <f>IFERROR(INDEX('Fuel Model - Calculation'!$B$2:$M$3771,(MATCH(($E208&amp;"Results"&amp;$BT$140&amp;$F208&amp;"USD/ton"),'Fuel Model - Calculation'!$B$2:$B$3771,0)),MATCH(N$141,'Fuel Model - Calculation'!$B$2:$M$2,0)),0)</f>
        <v>475</v>
      </c>
    </row>
    <row r="209" spans="1:78" x14ac:dyDescent="0.2">
      <c r="A209" s="452"/>
      <c r="B209" s="453" t="str">
        <f>_xlfn.TEXTJOIN(keydelim,TRUE,F209,IF(E209="Africa","Africa&amp;other",E209),"Fuel cost",SUBSTITUTE($G209," ",""))</f>
        <v>LNG - Middle East - Fuel cost - USD/ton</v>
      </c>
      <c r="D209" s="459" t="str">
        <f t="shared" ref="D209:D212" si="192">E209&amp;F209</f>
        <v>Middle EastLNG</v>
      </c>
      <c r="E209" t="s">
        <v>197</v>
      </c>
      <c r="F209" s="460" t="str">
        <f t="shared" ref="F209:F212" si="193">F208</f>
        <v>LNG</v>
      </c>
      <c r="G209" t="s">
        <v>835</v>
      </c>
      <c r="H209" s="118">
        <f>INDEX('Fuel Model - Calculation'!$B$2:$M$3771,(MATCH(($E209&amp;"ResultsCost of "&amp;$F209&amp;"USD/ton"),'Fuel Model - Calculation'!$B$2:$B$3771,0)),MATCH(H$141,'Fuel Model - Calculation'!$B$2:$M$2,0))</f>
        <v>1628.6401505833101</v>
      </c>
      <c r="I209" s="118">
        <f>INDEX('Fuel Model - Calculation'!$B$2:$M$3771,(MATCH(($E209&amp;"ResultsCost of "&amp;$F209&amp;"USD/ton"),'Fuel Model - Calculation'!$B$2:$B$3771,0)),MATCH(I$141,'Fuel Model - Calculation'!$B$2:$M$2,0))</f>
        <v>744.0018534766225</v>
      </c>
      <c r="J209" s="118">
        <f>INDEX('Fuel Model - Calculation'!$B$2:$M$3771,(MATCH(($E209&amp;"ResultsCost of "&amp;$F209&amp;"USD/ton"),'Fuel Model - Calculation'!$B$2:$B$3771,0)),MATCH(J$141,'Fuel Model - Calculation'!$B$2:$M$2,0))</f>
        <v>356.12988589248164</v>
      </c>
      <c r="K209" s="118">
        <f>INDEX('Fuel Model - Calculation'!$B$2:$M$3771,(MATCH(($E209&amp;"ResultsCost of "&amp;$F209&amp;"USD/ton"),'Fuel Model - Calculation'!$B$2:$B$3771,0)),MATCH(K$141,'Fuel Model - Calculation'!$B$2:$M$2,0))</f>
        <v>349.32248857224363</v>
      </c>
      <c r="L209" s="118">
        <f>INDEX('Fuel Model - Calculation'!$B$2:$M$3771,(MATCH(($E209&amp;"ResultsCost of "&amp;$F209&amp;"USD/ton"),'Fuel Model - Calculation'!$B$2:$B$3771,0)),MATCH(L$141,'Fuel Model - Calculation'!$B$2:$M$2,0))</f>
        <v>343.76111163659812</v>
      </c>
      <c r="M209" s="118">
        <f>INDEX('Fuel Model - Calculation'!$B$2:$M$3771,(MATCH(($E209&amp;"ResultsCost of "&amp;$F209&amp;"USD/ton"),'Fuel Model - Calculation'!$B$2:$B$3771,0)),MATCH(M$141,'Fuel Model - Calculation'!$B$2:$M$2,0))</f>
        <v>337.94528232515637</v>
      </c>
      <c r="N209" s="118">
        <f>INDEX('Fuel Model - Calculation'!$B$2:$M$3771,(MATCH(($E209&amp;"ResultsCost of "&amp;$F209&amp;"USD/ton"),'Fuel Model - Calculation'!$B$2:$B$3771,0)),MATCH(N$141,'Fuel Model - Calculation'!$B$2:$M$2,0))</f>
        <v>333.03011286468308</v>
      </c>
      <c r="O209"/>
      <c r="P209" s="118">
        <f>IFERROR(INDEX('Fuel Model - Calculation'!G$2:G$3771,(MATCH(($E209&amp;"ResultsTotal RNE "&amp;$F209&amp;"USD/ton"),'Fuel Model - Calculation'!$B$2:$B$3771,0))),0)</f>
        <v>0</v>
      </c>
      <c r="Q209" s="118">
        <f>IFERROR(INDEX('Fuel Model - Calculation'!H$2:H$3771,(MATCH(($E209&amp;"ResultsTotal RNE "&amp;$F209&amp;"USD/ton"),'Fuel Model - Calculation'!$B$2:$B$3771,0))),0)</f>
        <v>0</v>
      </c>
      <c r="R209" s="118">
        <f>IFERROR(INDEX('Fuel Model - Calculation'!I$2:I$3771,(MATCH(($E209&amp;"ResultsTotal RNE "&amp;$F209&amp;"USD/ton"),'Fuel Model - Calculation'!$B$2:$B$3771,0))),0)</f>
        <v>0</v>
      </c>
      <c r="S209" s="118">
        <f>IFERROR(INDEX('Fuel Model - Calculation'!J$2:J$3771,(MATCH(($E209&amp;"ResultsTotal RNE "&amp;$F209&amp;"USD/ton"),'Fuel Model - Calculation'!$B$2:$B$3771,0))),0)</f>
        <v>0</v>
      </c>
      <c r="T209" s="118">
        <f>IFERROR(INDEX('Fuel Model - Calculation'!K$2:K$3771,(MATCH(($E209&amp;"ResultsTotal RNE "&amp;$F209&amp;"USD/ton"),'Fuel Model - Calculation'!$B$2:$B$3771,0))),0)</f>
        <v>0</v>
      </c>
      <c r="U209" s="118">
        <f>IFERROR(INDEX('Fuel Model - Calculation'!L$2:L$3771,(MATCH(($E209&amp;"ResultsTotal RNE "&amp;$F209&amp;"USD/ton"),'Fuel Model - Calculation'!$B$2:$B$3771,0))),0)</f>
        <v>0</v>
      </c>
      <c r="V209" s="118">
        <f>IFERROR(INDEX('Fuel Model - Calculation'!M$2:M$3771,(MATCH(($E209&amp;"ResultsTotal RNE "&amp;$F209&amp;"USD/ton"),'Fuel Model - Calculation'!$B$2:$B$3771,0))),0)</f>
        <v>0</v>
      </c>
      <c r="W209"/>
      <c r="X209" s="2">
        <f>INDEX('Fuel Model - Calculation'!$E$2:$M$3771,(MATCH(("WTT Emission - "&amp;$F209),'Fuel Model - Calculation'!$E$2:$E$3771,0)),MATCH(X$141,'Fuel Model - Calculation'!$E$2:$M$2,0))</f>
        <v>0.84480000000000011</v>
      </c>
      <c r="Y209" s="2">
        <f>INDEX('Fuel Model - Calculation'!$E$2:$M$3771,(MATCH(("WTT Emission - "&amp;$F209),'Fuel Model - Calculation'!$E$2:$E$3771,0)),MATCH(Y$141,'Fuel Model - Calculation'!$E$2:$M$2,0))</f>
        <v>0.84480000000000011</v>
      </c>
      <c r="Z209" s="2">
        <f>INDEX('Fuel Model - Calculation'!$E$2:$M$3771,(MATCH(("WTT Emission - "&amp;$F209),'Fuel Model - Calculation'!$E$2:$E$3771,0)),MATCH(Z$141,'Fuel Model - Calculation'!$E$2:$M$2,0))</f>
        <v>0.84480000000000011</v>
      </c>
      <c r="AA209" s="2">
        <f>INDEX('Fuel Model - Calculation'!$E$2:$M$3771,(MATCH(("WTT Emission - "&amp;$F209),'Fuel Model - Calculation'!$E$2:$E$3771,0)),MATCH(AA$141,'Fuel Model - Calculation'!$E$2:$M$2,0))</f>
        <v>0.84480000000000011</v>
      </c>
      <c r="AB209" s="2">
        <f>INDEX('Fuel Model - Calculation'!$E$2:$M$3771,(MATCH(("WTT Emission - "&amp;$F209),'Fuel Model - Calculation'!$E$2:$E$3771,0)),MATCH(AB$141,'Fuel Model - Calculation'!$E$2:$M$2,0))</f>
        <v>0.84480000000000011</v>
      </c>
      <c r="AC209" s="2">
        <f>INDEX('Fuel Model - Calculation'!$E$2:$M$3771,(MATCH(("WTT Emission - "&amp;$F209),'Fuel Model - Calculation'!$E$2:$E$3771,0)),MATCH(AC$141,'Fuel Model - Calculation'!$E$2:$M$2,0))</f>
        <v>0.84480000000000011</v>
      </c>
      <c r="AD209" s="2">
        <f>INDEX('Fuel Model - Calculation'!$E$2:$M$3771,(MATCH(("WTT Emission - "&amp;$F209),'Fuel Model - Calculation'!$E$2:$E$3771,0)),MATCH(AD$141,'Fuel Model - Calculation'!$E$2:$M$2,0))</f>
        <v>0.84480000000000011</v>
      </c>
      <c r="AE209" s="2"/>
      <c r="AF209" s="76">
        <f>'Fuel Model -  Input'!H$269</f>
        <v>3.6492599999999999</v>
      </c>
      <c r="AG209" s="76">
        <f>'Fuel Model -  Input'!I$269</f>
        <v>3.6492599999999999</v>
      </c>
      <c r="AH209" s="76">
        <f>'Fuel Model -  Input'!J$269</f>
        <v>3.6492599999999999</v>
      </c>
      <c r="AI209" s="76">
        <f>'Fuel Model -  Input'!K$269</f>
        <v>3.6492599999999999</v>
      </c>
      <c r="AJ209" s="76">
        <f>'Fuel Model -  Input'!L$269</f>
        <v>3.6492599999999999</v>
      </c>
      <c r="AK209" s="76">
        <f>'Fuel Model -  Input'!M$269</f>
        <v>3.6492599999999999</v>
      </c>
      <c r="AL209" s="76">
        <f>'Fuel Model -  Input'!N$269</f>
        <v>3.6492599999999999</v>
      </c>
      <c r="AM209"/>
      <c r="AN209" s="24">
        <f t="shared" si="191"/>
        <v>4.4940600000000002</v>
      </c>
      <c r="AO209" s="24">
        <f t="shared" si="191"/>
        <v>4.4940600000000002</v>
      </c>
      <c r="AP209" s="24">
        <f t="shared" si="191"/>
        <v>4.4940600000000002</v>
      </c>
      <c r="AQ209" s="24">
        <f t="shared" si="191"/>
        <v>4.4940600000000002</v>
      </c>
      <c r="AR209" s="24">
        <f t="shared" si="191"/>
        <v>4.4940600000000002</v>
      </c>
      <c r="AS209" s="24">
        <f t="shared" si="191"/>
        <v>4.4940600000000002</v>
      </c>
      <c r="AT209" s="24">
        <f t="shared" si="191"/>
        <v>4.4940600000000002</v>
      </c>
      <c r="AU209"/>
      <c r="AV209" s="118">
        <f>IFERROR(INDEX('Fuel Model - Calculation'!$B$2:$M$3771,(MATCH(($E209&amp;"Results"&amp;$AV$140&amp;$F209&amp;"USD/ton"),'Fuel Model - Calculation'!$B$2:$B$3771,0)),MATCH(H$141,'Fuel Model - Calculation'!$B$2:$M$2,0)),0)</f>
        <v>203.48745578849747</v>
      </c>
      <c r="AW209" s="118">
        <f>IFERROR(INDEX('Fuel Model - Calculation'!$B$2:$M$3771,(MATCH(($E209&amp;"Results"&amp;$AV$140&amp;$F209&amp;"USD/ton"),'Fuel Model - Calculation'!$B$2:$B$3771,0)),MATCH(I$141,'Fuel Model - Calculation'!$B$2:$M$2,0)),0)</f>
        <v>198.75000000000006</v>
      </c>
      <c r="AX209" s="118">
        <f>IFERROR(INDEX('Fuel Model - Calculation'!$B$2:$M$3771,(MATCH(($E209&amp;"Results"&amp;$AV$140&amp;$F209&amp;"USD/ton"),'Fuel Model - Calculation'!$B$2:$B$3771,0)),MATCH(J$141,'Fuel Model - Calculation'!$B$2:$M$2,0)),0)</f>
        <v>194.12283841740833</v>
      </c>
      <c r="AY209" s="118">
        <f>IFERROR(INDEX('Fuel Model - Calculation'!$B$2:$M$3771,(MATCH(($E209&amp;"Results"&amp;$AV$140&amp;$F209&amp;"USD/ton"),'Fuel Model - Calculation'!$B$2:$B$3771,0)),MATCH(K$141,'Fuel Model - Calculation'!$B$2:$M$2,0)),0)</f>
        <v>189.60340324644639</v>
      </c>
      <c r="AZ209" s="118">
        <f>IFERROR(INDEX('Fuel Model - Calculation'!$B$2:$M$3771,(MATCH(($E209&amp;"Results"&amp;$AV$140&amp;$F209&amp;"USD/ton"),'Fuel Model - Calculation'!$B$2:$B$3771,0)),MATCH(L$141,'Fuel Model - Calculation'!$B$2:$M$2,0)),0)</f>
        <v>185.18918647446853</v>
      </c>
      <c r="BA209" s="118">
        <f>IFERROR(INDEX('Fuel Model - Calculation'!$B$2:$M$3771,(MATCH(($E209&amp;"Results"&amp;$AV$140&amp;$F209&amp;"USD/ton"),'Fuel Model - Calculation'!$B$2:$B$3771,0)),MATCH(M$141,'Fuel Model - Calculation'!$B$2:$M$2,0)),0)</f>
        <v>180.87773847866441</v>
      </c>
      <c r="BB209" s="118">
        <f>IFERROR(INDEX('Fuel Model - Calculation'!$B$2:$M$3771,(MATCH(($E209&amp;"Results"&amp;$AV$140&amp;$F209&amp;"USD/ton"),'Fuel Model - Calculation'!$B$2:$B$3771,0)),MATCH(N$141,'Fuel Model - Calculation'!$B$2:$M$2,0)),0)</f>
        <v>176.66666666666671</v>
      </c>
      <c r="BC209"/>
      <c r="BD209" s="118">
        <f>IFERROR(INDEX('Fuel Model - Calculation'!$B$2:$M$3771,(MATCH(($E209&amp;"Results"&amp;$BD$140&amp;$F209&amp;"USD/ton"),'Fuel Model - Calculation'!$B$2:$B$3771,0)),MATCH(P$141,'Fuel Model - Calculation'!$B$2:$M$2,0)),0)</f>
        <v>25.152694794812597</v>
      </c>
      <c r="BE209" s="118">
        <f>IFERROR(INDEX('Fuel Model - Calculation'!$B$2:$M$3771,(MATCH(($E209&amp;"Results"&amp;$BD$140&amp;$F209&amp;"USD/ton"),'Fuel Model - Calculation'!$B$2:$B$3771,0)),MATCH(Q$141,'Fuel Model - Calculation'!$B$2:$M$2,0)),0)</f>
        <v>20.251853476622447</v>
      </c>
      <c r="BF209" s="118">
        <f>IFERROR(INDEX('Fuel Model - Calculation'!$B$2:$M$3771,(MATCH(($E209&amp;"Results"&amp;$BD$140&amp;$F209&amp;"USD/ton"),'Fuel Model - Calculation'!$B$2:$B$3771,0)),MATCH(R$141,'Fuel Model - Calculation'!$B$2:$M$2,0)),0)</f>
        <v>17.007047475073279</v>
      </c>
      <c r="BG209" s="118">
        <f>IFERROR(INDEX('Fuel Model - Calculation'!$B$2:$M$3771,(MATCH(($E209&amp;"Results"&amp;$BD$140&amp;$F209&amp;"USD/ton"),'Fuel Model - Calculation'!$B$2:$B$3771,0)),MATCH(S$141,'Fuel Model - Calculation'!$B$2:$M$2,0)),0)</f>
        <v>14.719085325797247</v>
      </c>
      <c r="BH209" s="118">
        <f>IFERROR(INDEX('Fuel Model - Calculation'!$B$2:$M$3771,(MATCH(($E209&amp;"Results"&amp;$BD$140&amp;$F209&amp;"USD/ton"),'Fuel Model - Calculation'!$B$2:$B$3771,0)),MATCH(T$141,'Fuel Model - Calculation'!$B$2:$M$2,0)),0)</f>
        <v>13.571925162129599</v>
      </c>
      <c r="BI209" s="118">
        <f>IFERROR(INDEX('Fuel Model - Calculation'!$B$2:$M$3771,(MATCH(($E209&amp;"Results"&amp;$BD$140&amp;$F209&amp;"USD/ton"),'Fuel Model - Calculation'!$B$2:$B$3771,0)),MATCH(U$141,'Fuel Model - Calculation'!$B$2:$M$2,0)),0)</f>
        <v>12.06754384649196</v>
      </c>
      <c r="BJ209" s="118">
        <f>IFERROR(INDEX('Fuel Model - Calculation'!$B$2:$M$3771,(MATCH(($E209&amp;"Results"&amp;$BD$140&amp;$F209&amp;"USD/ton"),'Fuel Model - Calculation'!$B$2:$B$3771,0)),MATCH(V$141,'Fuel Model - Calculation'!$B$2:$M$2,0)),0)</f>
        <v>11.363446198016351</v>
      </c>
      <c r="BL209" s="118">
        <f>IFERROR(IFERROR(INDEX('Fuel Model - Calculation'!$B$2:$M$3771,(MATCH(($E209&amp;"Results"&amp;$BL$140&amp;$F209&amp;"USD/ton"),'Fuel Model - Calculation'!$B$2:$B$3771,0)),MATCH(H$141,'Fuel Model - Calculation'!$B$2:$M$2,0)),0),0)</f>
        <v>0</v>
      </c>
      <c r="BM209" s="118">
        <f>IFERROR(IFERROR(INDEX('Fuel Model - Calculation'!$B$2:$M$3771,(MATCH(($E209&amp;"Results"&amp;$BL$140&amp;$F209&amp;"USD/ton"),'Fuel Model - Calculation'!$B$2:$B$3771,0)),MATCH(I$141,'Fuel Model - Calculation'!$B$2:$M$2,0)),0),0)</f>
        <v>0</v>
      </c>
      <c r="BN209" s="118">
        <f>IFERROR(IFERROR(INDEX('Fuel Model - Calculation'!$B$2:$M$3771,(MATCH(($E209&amp;"Results"&amp;$BL$140&amp;$F209&amp;"USD/ton"),'Fuel Model - Calculation'!$B$2:$B$3771,0)),MATCH(J$141,'Fuel Model - Calculation'!$B$2:$M$2,0)),0),0)</f>
        <v>0</v>
      </c>
      <c r="BO209" s="118">
        <f>IFERROR(IFERROR(INDEX('Fuel Model - Calculation'!$B$2:$M$3771,(MATCH(($E209&amp;"Results"&amp;$BL$140&amp;$F209&amp;"USD/ton"),'Fuel Model - Calculation'!$B$2:$B$3771,0)),MATCH(K$141,'Fuel Model - Calculation'!$B$2:$M$2,0)),0),0)</f>
        <v>0</v>
      </c>
      <c r="BP209" s="118">
        <f>IFERROR(IFERROR(INDEX('Fuel Model - Calculation'!$B$2:$M$3771,(MATCH(($E209&amp;"Results"&amp;$BL$140&amp;$F209&amp;"USD/ton"),'Fuel Model - Calculation'!$B$2:$B$3771,0)),MATCH(L$141,'Fuel Model - Calculation'!$B$2:$M$2,0)),0),0)</f>
        <v>0</v>
      </c>
      <c r="BQ209" s="118">
        <f>IFERROR(IFERROR(INDEX('Fuel Model - Calculation'!$B$2:$M$3771,(MATCH(($E209&amp;"Results"&amp;$BL$140&amp;$F209&amp;"USD/ton"),'Fuel Model - Calculation'!$B$2:$B$3771,0)),MATCH(M$141,'Fuel Model - Calculation'!$B$2:$M$2,0)),0),0)</f>
        <v>0</v>
      </c>
      <c r="BR209" s="118">
        <f>IFERROR(IFERROR(INDEX('Fuel Model - Calculation'!$B$2:$M$3771,(MATCH(($E209&amp;"Results"&amp;$BL$140&amp;$F209&amp;"USD/ton"),'Fuel Model - Calculation'!$B$2:$B$3771,0)),MATCH(N$141,'Fuel Model - Calculation'!$B$2:$M$2,0)),0),0)</f>
        <v>0</v>
      </c>
      <c r="BT209" s="118">
        <f>IFERROR(INDEX('Fuel Model - Calculation'!$B$2:$M$3771,(MATCH(($E209&amp;"Results"&amp;$BT$140&amp;$F209&amp;"USD/ton"),'Fuel Model - Calculation'!$B$2:$B$3771,0)),MATCH(H$141,'Fuel Model - Calculation'!$B$2:$M$2,0)),0)</f>
        <v>1400</v>
      </c>
      <c r="BU209" s="118">
        <f>IFERROR(INDEX('Fuel Model - Calculation'!$B$2:$M$3771,(MATCH(($E209&amp;"Results"&amp;$BT$140&amp;$F209&amp;"USD/ton"),'Fuel Model - Calculation'!$B$2:$B$3771,0)),MATCH(I$141,'Fuel Model - Calculation'!$B$2:$M$2,0)),0)</f>
        <v>525</v>
      </c>
      <c r="BV209" s="118">
        <f>IFERROR(INDEX('Fuel Model - Calculation'!$B$2:$M$3771,(MATCH(($E209&amp;"Results"&amp;$BT$140&amp;$F209&amp;"USD/ton"),'Fuel Model - Calculation'!$B$2:$B$3771,0)),MATCH(J$141,'Fuel Model - Calculation'!$B$2:$M$2,0)),0)</f>
        <v>145</v>
      </c>
      <c r="BW209" s="118">
        <f>IFERROR(INDEX('Fuel Model - Calculation'!$B$2:$M$3771,(MATCH(($E209&amp;"Results"&amp;$BT$140&amp;$F209&amp;"USD/ton"),'Fuel Model - Calculation'!$B$2:$B$3771,0)),MATCH(K$141,'Fuel Model - Calculation'!$B$2:$M$2,0)),0)</f>
        <v>145</v>
      </c>
      <c r="BX209" s="118">
        <f>IFERROR(INDEX('Fuel Model - Calculation'!$B$2:$M$3771,(MATCH(($E209&amp;"Results"&amp;$BT$140&amp;$F209&amp;"USD/ton"),'Fuel Model - Calculation'!$B$2:$B$3771,0)),MATCH(L$141,'Fuel Model - Calculation'!$B$2:$M$2,0)),0)</f>
        <v>145</v>
      </c>
      <c r="BY209" s="118">
        <f>IFERROR(INDEX('Fuel Model - Calculation'!$B$2:$M$3771,(MATCH(($E209&amp;"Results"&amp;$BT$140&amp;$F209&amp;"USD/ton"),'Fuel Model - Calculation'!$B$2:$B$3771,0)),MATCH(M$141,'Fuel Model - Calculation'!$B$2:$M$2,0)),0)</f>
        <v>145</v>
      </c>
      <c r="BZ209" s="118">
        <f>IFERROR(INDEX('Fuel Model - Calculation'!$B$2:$M$3771,(MATCH(($E209&amp;"Results"&amp;$BT$140&amp;$F209&amp;"USD/ton"),'Fuel Model - Calculation'!$B$2:$B$3771,0)),MATCH(N$141,'Fuel Model - Calculation'!$B$2:$M$2,0)),0)</f>
        <v>145</v>
      </c>
    </row>
    <row r="210" spans="1:78" x14ac:dyDescent="0.2">
      <c r="A210" s="452"/>
      <c r="B210" s="453" t="str">
        <f>_xlfn.TEXTJOIN(keydelim,TRUE,F210,IF(E210="Africa","Africa&amp;other",E210),"Fuel cost",SUBSTITUTE($G210," ",""))</f>
        <v>LNG - Asia - Fuel cost - USD/ton</v>
      </c>
      <c r="D210" s="459" t="str">
        <f t="shared" si="192"/>
        <v>AsiaLNG</v>
      </c>
      <c r="E210" t="s">
        <v>198</v>
      </c>
      <c r="F210" s="460" t="str">
        <f t="shared" si="193"/>
        <v>LNG</v>
      </c>
      <c r="G210" t="s">
        <v>835</v>
      </c>
      <c r="H210" s="118">
        <f>INDEX('Fuel Model - Calculation'!$B$2:$M$3771,(MATCH(($E210&amp;"ResultsCost of "&amp;$F210&amp;"USD/ton"),'Fuel Model - Calculation'!$B$2:$B$3771,0)),MATCH(H$141,'Fuel Model - Calculation'!$B$2:$M$2,0))</f>
        <v>1852.724467477733</v>
      </c>
      <c r="I210" s="118">
        <f>INDEX('Fuel Model - Calculation'!$B$2:$M$3771,(MATCH(($E210&amp;"ResultsCost of "&amp;$F210&amp;"USD/ton"),'Fuel Model - Calculation'!$B$2:$B$3771,0)),MATCH(I$141,'Fuel Model - Calculation'!$B$2:$M$2,0))</f>
        <v>955.86692803031895</v>
      </c>
      <c r="J210" s="118">
        <f>INDEX('Fuel Model - Calculation'!$B$2:$M$3771,(MATCH(($E210&amp;"ResultsCost of "&amp;$F210&amp;"USD/ton"),'Fuel Model - Calculation'!$B$2:$B$3771,0)),MATCH(J$141,'Fuel Model - Calculation'!$B$2:$M$2,0))</f>
        <v>570.09893459880254</v>
      </c>
      <c r="K210" s="118">
        <f>INDEX('Fuel Model - Calculation'!$B$2:$M$3771,(MATCH(($E210&amp;"ResultsCost of "&amp;$F210&amp;"USD/ton"),'Fuel Model - Calculation'!$B$2:$B$3771,0)),MATCH(K$141,'Fuel Model - Calculation'!$B$2:$M$2,0))</f>
        <v>561.40564271980418</v>
      </c>
      <c r="L210" s="118">
        <f>INDEX('Fuel Model - Calculation'!$B$2:$M$3771,(MATCH(($E210&amp;"ResultsCost of "&amp;$F210&amp;"USD/ton"),'Fuel Model - Calculation'!$B$2:$B$3771,0)),MATCH(L$141,'Fuel Model - Calculation'!$B$2:$M$2,0))</f>
        <v>554.8693360742152</v>
      </c>
      <c r="M210" s="118">
        <f>INDEX('Fuel Model - Calculation'!$B$2:$M$3771,(MATCH(($E210&amp;"ResultsCost of "&amp;$F210&amp;"USD/ton"),'Fuel Model - Calculation'!$B$2:$B$3771,0)),MATCH(M$141,'Fuel Model - Calculation'!$B$2:$M$2,0))</f>
        <v>548.33663696197061</v>
      </c>
      <c r="N210" s="118">
        <f>INDEX('Fuel Model - Calculation'!$B$2:$M$3771,(MATCH(($E210&amp;"ResultsCost of "&amp;$F210&amp;"USD/ton"),'Fuel Model - Calculation'!$B$2:$B$3771,0)),MATCH(N$141,'Fuel Model - Calculation'!$B$2:$M$2,0))</f>
        <v>543.10692883006129</v>
      </c>
      <c r="O210"/>
      <c r="P210" s="118">
        <f>IFERROR(INDEX('Fuel Model - Calculation'!G$2:G$3771,(MATCH(($E210&amp;"ResultsTotal RNE "&amp;$F210&amp;"USD/ton"),'Fuel Model - Calculation'!$B$2:$B$3771,0))),0)</f>
        <v>0</v>
      </c>
      <c r="Q210" s="118">
        <f>IFERROR(INDEX('Fuel Model - Calculation'!H$2:H$3771,(MATCH(($E210&amp;"ResultsTotal RNE "&amp;$F210&amp;"USD/ton"),'Fuel Model - Calculation'!$B$2:$B$3771,0))),0)</f>
        <v>0</v>
      </c>
      <c r="R210" s="118">
        <f>IFERROR(INDEX('Fuel Model - Calculation'!I$2:I$3771,(MATCH(($E210&amp;"ResultsTotal RNE "&amp;$F210&amp;"USD/ton"),'Fuel Model - Calculation'!$B$2:$B$3771,0))),0)</f>
        <v>0</v>
      </c>
      <c r="S210" s="118">
        <f>IFERROR(INDEX('Fuel Model - Calculation'!J$2:J$3771,(MATCH(($E210&amp;"ResultsTotal RNE "&amp;$F210&amp;"USD/ton"),'Fuel Model - Calculation'!$B$2:$B$3771,0))),0)</f>
        <v>0</v>
      </c>
      <c r="T210" s="118">
        <f>IFERROR(INDEX('Fuel Model - Calculation'!K$2:K$3771,(MATCH(($E210&amp;"ResultsTotal RNE "&amp;$F210&amp;"USD/ton"),'Fuel Model - Calculation'!$B$2:$B$3771,0))),0)</f>
        <v>0</v>
      </c>
      <c r="U210" s="118">
        <f>IFERROR(INDEX('Fuel Model - Calculation'!L$2:L$3771,(MATCH(($E210&amp;"ResultsTotal RNE "&amp;$F210&amp;"USD/ton"),'Fuel Model - Calculation'!$B$2:$B$3771,0))),0)</f>
        <v>0</v>
      </c>
      <c r="V210" s="118">
        <f>IFERROR(INDEX('Fuel Model - Calculation'!M$2:M$3771,(MATCH(($E210&amp;"ResultsTotal RNE "&amp;$F210&amp;"USD/ton"),'Fuel Model - Calculation'!$B$2:$B$3771,0))),0)</f>
        <v>0</v>
      </c>
      <c r="W210"/>
      <c r="X210" s="2">
        <f>INDEX('Fuel Model - Calculation'!$E$2:$M$3771,(MATCH(("WTT Emission - "&amp;$F210),'Fuel Model - Calculation'!$E$2:$E$3771,0)),MATCH(X$141,'Fuel Model - Calculation'!$E$2:$M$2,0))</f>
        <v>0.84480000000000011</v>
      </c>
      <c r="Y210" s="2">
        <f>INDEX('Fuel Model - Calculation'!$E$2:$M$3771,(MATCH(("WTT Emission - "&amp;$F210),'Fuel Model - Calculation'!$E$2:$E$3771,0)),MATCH(Y$141,'Fuel Model - Calculation'!$E$2:$M$2,0))</f>
        <v>0.84480000000000011</v>
      </c>
      <c r="Z210" s="2">
        <f>INDEX('Fuel Model - Calculation'!$E$2:$M$3771,(MATCH(("WTT Emission - "&amp;$F210),'Fuel Model - Calculation'!$E$2:$E$3771,0)),MATCH(Z$141,'Fuel Model - Calculation'!$E$2:$M$2,0))</f>
        <v>0.84480000000000011</v>
      </c>
      <c r="AA210" s="2">
        <f>INDEX('Fuel Model - Calculation'!$E$2:$M$3771,(MATCH(("WTT Emission - "&amp;$F210),'Fuel Model - Calculation'!$E$2:$E$3771,0)),MATCH(AA$141,'Fuel Model - Calculation'!$E$2:$M$2,0))</f>
        <v>0.84480000000000011</v>
      </c>
      <c r="AB210" s="2">
        <f>INDEX('Fuel Model - Calculation'!$E$2:$M$3771,(MATCH(("WTT Emission - "&amp;$F210),'Fuel Model - Calculation'!$E$2:$E$3771,0)),MATCH(AB$141,'Fuel Model - Calculation'!$E$2:$M$2,0))</f>
        <v>0.84480000000000011</v>
      </c>
      <c r="AC210" s="2">
        <f>INDEX('Fuel Model - Calculation'!$E$2:$M$3771,(MATCH(("WTT Emission - "&amp;$F210),'Fuel Model - Calculation'!$E$2:$E$3771,0)),MATCH(AC$141,'Fuel Model - Calculation'!$E$2:$M$2,0))</f>
        <v>0.84480000000000011</v>
      </c>
      <c r="AD210" s="2">
        <f>INDEX('Fuel Model - Calculation'!$E$2:$M$3771,(MATCH(("WTT Emission - "&amp;$F210),'Fuel Model - Calculation'!$E$2:$E$3771,0)),MATCH(AD$141,'Fuel Model - Calculation'!$E$2:$M$2,0))</f>
        <v>0.84480000000000011</v>
      </c>
      <c r="AE210" s="2"/>
      <c r="AF210" s="76">
        <f>'Fuel Model -  Input'!H$269</f>
        <v>3.6492599999999999</v>
      </c>
      <c r="AG210" s="76">
        <f>'Fuel Model -  Input'!I$269</f>
        <v>3.6492599999999999</v>
      </c>
      <c r="AH210" s="76">
        <f>'Fuel Model -  Input'!J$269</f>
        <v>3.6492599999999999</v>
      </c>
      <c r="AI210" s="76">
        <f>'Fuel Model -  Input'!K$269</f>
        <v>3.6492599999999999</v>
      </c>
      <c r="AJ210" s="76">
        <f>'Fuel Model -  Input'!L$269</f>
        <v>3.6492599999999999</v>
      </c>
      <c r="AK210" s="76">
        <f>'Fuel Model -  Input'!M$269</f>
        <v>3.6492599999999999</v>
      </c>
      <c r="AL210" s="76">
        <f>'Fuel Model -  Input'!N$269</f>
        <v>3.6492599999999999</v>
      </c>
      <c r="AM210"/>
      <c r="AN210" s="24">
        <f t="shared" si="191"/>
        <v>4.4940600000000002</v>
      </c>
      <c r="AO210" s="24">
        <f t="shared" si="191"/>
        <v>4.4940600000000002</v>
      </c>
      <c r="AP210" s="24">
        <f t="shared" si="191"/>
        <v>4.4940600000000002</v>
      </c>
      <c r="AQ210" s="24">
        <f t="shared" si="191"/>
        <v>4.4940600000000002</v>
      </c>
      <c r="AR210" s="24">
        <f t="shared" si="191"/>
        <v>4.4940600000000002</v>
      </c>
      <c r="AS210" s="24">
        <f t="shared" si="191"/>
        <v>4.4940600000000002</v>
      </c>
      <c r="AT210" s="24">
        <f t="shared" si="191"/>
        <v>4.4940600000000002</v>
      </c>
      <c r="AU210"/>
      <c r="AV210" s="118">
        <f>IFERROR(INDEX('Fuel Model - Calculation'!$B$2:$M$3771,(MATCH(($E210&amp;"Results"&amp;$AV$140&amp;$F210&amp;"USD/ton"),'Fuel Model - Calculation'!$B$2:$B$3771,0)),MATCH(H$141,'Fuel Model - Calculation'!$B$2:$M$2,0)),0)</f>
        <v>203.48745578849747</v>
      </c>
      <c r="AW210" s="118">
        <f>IFERROR(INDEX('Fuel Model - Calculation'!$B$2:$M$3771,(MATCH(($E210&amp;"Results"&amp;$AV$140&amp;$F210&amp;"USD/ton"),'Fuel Model - Calculation'!$B$2:$B$3771,0)),MATCH(I$141,'Fuel Model - Calculation'!$B$2:$M$2,0)),0)</f>
        <v>198.75000000000006</v>
      </c>
      <c r="AX210" s="118">
        <f>IFERROR(INDEX('Fuel Model - Calculation'!$B$2:$M$3771,(MATCH(($E210&amp;"Results"&amp;$AV$140&amp;$F210&amp;"USD/ton"),'Fuel Model - Calculation'!$B$2:$B$3771,0)),MATCH(J$141,'Fuel Model - Calculation'!$B$2:$M$2,0)),0)</f>
        <v>194.12283841740833</v>
      </c>
      <c r="AY210" s="118">
        <f>IFERROR(INDEX('Fuel Model - Calculation'!$B$2:$M$3771,(MATCH(($E210&amp;"Results"&amp;$AV$140&amp;$F210&amp;"USD/ton"),'Fuel Model - Calculation'!$B$2:$B$3771,0)),MATCH(K$141,'Fuel Model - Calculation'!$B$2:$M$2,0)),0)</f>
        <v>189.60340324644639</v>
      </c>
      <c r="AZ210" s="118">
        <f>IFERROR(INDEX('Fuel Model - Calculation'!$B$2:$M$3771,(MATCH(($E210&amp;"Results"&amp;$AV$140&amp;$F210&amp;"USD/ton"),'Fuel Model - Calculation'!$B$2:$B$3771,0)),MATCH(L$141,'Fuel Model - Calculation'!$B$2:$M$2,0)),0)</f>
        <v>185.18918647446853</v>
      </c>
      <c r="BA210" s="118">
        <f>IFERROR(INDEX('Fuel Model - Calculation'!$B$2:$M$3771,(MATCH(($E210&amp;"Results"&amp;$AV$140&amp;$F210&amp;"USD/ton"),'Fuel Model - Calculation'!$B$2:$B$3771,0)),MATCH(M$141,'Fuel Model - Calculation'!$B$2:$M$2,0)),0)</f>
        <v>180.87773847866441</v>
      </c>
      <c r="BB210" s="118">
        <f>IFERROR(INDEX('Fuel Model - Calculation'!$B$2:$M$3771,(MATCH(($E210&amp;"Results"&amp;$AV$140&amp;$F210&amp;"USD/ton"),'Fuel Model - Calculation'!$B$2:$B$3771,0)),MATCH(N$141,'Fuel Model - Calculation'!$B$2:$M$2,0)),0)</f>
        <v>176.66666666666671</v>
      </c>
      <c r="BC210"/>
      <c r="BD210" s="118">
        <f>IFERROR(INDEX('Fuel Model - Calculation'!$B$2:$M$3771,(MATCH(($E210&amp;"Results"&amp;$BD$140&amp;$F210&amp;"USD/ton"),'Fuel Model - Calculation'!$B$2:$B$3771,0)),MATCH(P$141,'Fuel Model - Calculation'!$B$2:$M$2,0)),0)</f>
        <v>49.237011689235629</v>
      </c>
      <c r="BE210" s="118">
        <f>IFERROR(INDEX('Fuel Model - Calculation'!$B$2:$M$3771,(MATCH(($E210&amp;"Results"&amp;$BD$140&amp;$F210&amp;"USD/ton"),'Fuel Model - Calculation'!$B$2:$B$3771,0)),MATCH(Q$141,'Fuel Model - Calculation'!$B$2:$M$2,0)),0)</f>
        <v>32.116928030318896</v>
      </c>
      <c r="BF210" s="118">
        <f>IFERROR(INDEX('Fuel Model - Calculation'!$B$2:$M$3771,(MATCH(($E210&amp;"Results"&amp;$BD$140&amp;$F210&amp;"USD/ton"),'Fuel Model - Calculation'!$B$2:$B$3771,0)),MATCH(R$141,'Fuel Model - Calculation'!$B$2:$M$2,0)),0)</f>
        <v>25.976096181394158</v>
      </c>
      <c r="BG210" s="118">
        <f>IFERROR(INDEX('Fuel Model - Calculation'!$B$2:$M$3771,(MATCH(($E210&amp;"Results"&amp;$BD$140&amp;$F210&amp;"USD/ton"),'Fuel Model - Calculation'!$B$2:$B$3771,0)),MATCH(S$141,'Fuel Model - Calculation'!$B$2:$M$2,0)),0)</f>
        <v>21.802239473357776</v>
      </c>
      <c r="BH210" s="118">
        <f>IFERROR(INDEX('Fuel Model - Calculation'!$B$2:$M$3771,(MATCH(($E210&amp;"Results"&amp;$BD$140&amp;$F210&amp;"USD/ton"),'Fuel Model - Calculation'!$B$2:$B$3771,0)),MATCH(T$141,'Fuel Model - Calculation'!$B$2:$M$2,0)),0)</f>
        <v>19.680149599746599</v>
      </c>
      <c r="BI210" s="118">
        <f>IFERROR(INDEX('Fuel Model - Calculation'!$B$2:$M$3771,(MATCH(($E210&amp;"Results"&amp;$BD$140&amp;$F210&amp;"USD/ton"),'Fuel Model - Calculation'!$B$2:$B$3771,0)),MATCH(U$141,'Fuel Model - Calculation'!$B$2:$M$2,0)),0)</f>
        <v>17.458898483306218</v>
      </c>
      <c r="BJ210" s="118">
        <f>IFERROR(INDEX('Fuel Model - Calculation'!$B$2:$M$3771,(MATCH(($E210&amp;"Results"&amp;$BD$140&amp;$F210&amp;"USD/ton"),'Fuel Model - Calculation'!$B$2:$B$3771,0)),MATCH(V$141,'Fuel Model - Calculation'!$B$2:$M$2,0)),0)</f>
        <v>16.440262163394618</v>
      </c>
      <c r="BL210" s="118">
        <f>IFERROR(IFERROR(INDEX('Fuel Model - Calculation'!$B$2:$M$3771,(MATCH(($E210&amp;"Results"&amp;$BL$140&amp;$F210&amp;"USD/ton"),'Fuel Model - Calculation'!$B$2:$B$3771,0)),MATCH(H$141,'Fuel Model - Calculation'!$B$2:$M$2,0)),0),0)</f>
        <v>0</v>
      </c>
      <c r="BM210" s="118">
        <f>IFERROR(IFERROR(INDEX('Fuel Model - Calculation'!$B$2:$M$3771,(MATCH(($E210&amp;"Results"&amp;$BL$140&amp;$F210&amp;"USD/ton"),'Fuel Model - Calculation'!$B$2:$B$3771,0)),MATCH(I$141,'Fuel Model - Calculation'!$B$2:$M$2,0)),0),0)</f>
        <v>0</v>
      </c>
      <c r="BN210" s="118">
        <f>IFERROR(IFERROR(INDEX('Fuel Model - Calculation'!$B$2:$M$3771,(MATCH(($E210&amp;"Results"&amp;$BL$140&amp;$F210&amp;"USD/ton"),'Fuel Model - Calculation'!$B$2:$B$3771,0)),MATCH(J$141,'Fuel Model - Calculation'!$B$2:$M$2,0)),0),0)</f>
        <v>0</v>
      </c>
      <c r="BO210" s="118">
        <f>IFERROR(IFERROR(INDEX('Fuel Model - Calculation'!$B$2:$M$3771,(MATCH(($E210&amp;"Results"&amp;$BL$140&amp;$F210&amp;"USD/ton"),'Fuel Model - Calculation'!$B$2:$B$3771,0)),MATCH(K$141,'Fuel Model - Calculation'!$B$2:$M$2,0)),0),0)</f>
        <v>0</v>
      </c>
      <c r="BP210" s="118">
        <f>IFERROR(IFERROR(INDEX('Fuel Model - Calculation'!$B$2:$M$3771,(MATCH(($E210&amp;"Results"&amp;$BL$140&amp;$F210&amp;"USD/ton"),'Fuel Model - Calculation'!$B$2:$B$3771,0)),MATCH(L$141,'Fuel Model - Calculation'!$B$2:$M$2,0)),0),0)</f>
        <v>0</v>
      </c>
      <c r="BQ210" s="118">
        <f>IFERROR(IFERROR(INDEX('Fuel Model - Calculation'!$B$2:$M$3771,(MATCH(($E210&amp;"Results"&amp;$BL$140&amp;$F210&amp;"USD/ton"),'Fuel Model - Calculation'!$B$2:$B$3771,0)),MATCH(M$141,'Fuel Model - Calculation'!$B$2:$M$2,0)),0),0)</f>
        <v>0</v>
      </c>
      <c r="BR210" s="118">
        <f>IFERROR(IFERROR(INDEX('Fuel Model - Calculation'!$B$2:$M$3771,(MATCH(($E210&amp;"Results"&amp;$BL$140&amp;$F210&amp;"USD/ton"),'Fuel Model - Calculation'!$B$2:$B$3771,0)),MATCH(N$141,'Fuel Model - Calculation'!$B$2:$M$2,0)),0),0)</f>
        <v>0</v>
      </c>
      <c r="BT210" s="118">
        <f>IFERROR(INDEX('Fuel Model - Calculation'!$B$2:$M$3771,(MATCH(($E210&amp;"Results"&amp;$BT$140&amp;$F210&amp;"USD/ton"),'Fuel Model - Calculation'!$B$2:$B$3771,0)),MATCH(H$141,'Fuel Model - Calculation'!$B$2:$M$2,0)),0)</f>
        <v>1600</v>
      </c>
      <c r="BU210" s="118">
        <f>IFERROR(INDEX('Fuel Model - Calculation'!$B$2:$M$3771,(MATCH(($E210&amp;"Results"&amp;$BT$140&amp;$F210&amp;"USD/ton"),'Fuel Model - Calculation'!$B$2:$B$3771,0)),MATCH(I$141,'Fuel Model - Calculation'!$B$2:$M$2,0)),0)</f>
        <v>725</v>
      </c>
      <c r="BV210" s="118">
        <f>IFERROR(INDEX('Fuel Model - Calculation'!$B$2:$M$3771,(MATCH(($E210&amp;"Results"&amp;$BT$140&amp;$F210&amp;"USD/ton"),'Fuel Model - Calculation'!$B$2:$B$3771,0)),MATCH(J$141,'Fuel Model - Calculation'!$B$2:$M$2,0)),0)</f>
        <v>350</v>
      </c>
      <c r="BW210" s="118">
        <f>IFERROR(INDEX('Fuel Model - Calculation'!$B$2:$M$3771,(MATCH(($E210&amp;"Results"&amp;$BT$140&amp;$F210&amp;"USD/ton"),'Fuel Model - Calculation'!$B$2:$B$3771,0)),MATCH(K$141,'Fuel Model - Calculation'!$B$2:$M$2,0)),0)</f>
        <v>350</v>
      </c>
      <c r="BX210" s="118">
        <f>IFERROR(INDEX('Fuel Model - Calculation'!$B$2:$M$3771,(MATCH(($E210&amp;"Results"&amp;$BT$140&amp;$F210&amp;"USD/ton"),'Fuel Model - Calculation'!$B$2:$B$3771,0)),MATCH(L$141,'Fuel Model - Calculation'!$B$2:$M$2,0)),0)</f>
        <v>350</v>
      </c>
      <c r="BY210" s="118">
        <f>IFERROR(INDEX('Fuel Model - Calculation'!$B$2:$M$3771,(MATCH(($E210&amp;"Results"&amp;$BT$140&amp;$F210&amp;"USD/ton"),'Fuel Model - Calculation'!$B$2:$B$3771,0)),MATCH(M$141,'Fuel Model - Calculation'!$B$2:$M$2,0)),0)</f>
        <v>350</v>
      </c>
      <c r="BZ210" s="118">
        <f>IFERROR(INDEX('Fuel Model - Calculation'!$B$2:$M$3771,(MATCH(($E210&amp;"Results"&amp;$BT$140&amp;$F210&amp;"USD/ton"),'Fuel Model - Calculation'!$B$2:$B$3771,0)),MATCH(N$141,'Fuel Model - Calculation'!$B$2:$M$2,0)),0)</f>
        <v>350</v>
      </c>
    </row>
    <row r="211" spans="1:78" x14ac:dyDescent="0.2">
      <c r="A211" s="452"/>
      <c r="B211" s="453" t="str">
        <f>_xlfn.TEXTJOIN(keydelim,TRUE,F211,IF(E211="Africa","Africa&amp;other",E211),"Fuel cost",SUBSTITUTE($G211," ",""))</f>
        <v>LNG - Americas - Fuel cost - USD/ton</v>
      </c>
      <c r="D211" s="459" t="str">
        <f t="shared" si="192"/>
        <v>AmericasLNG</v>
      </c>
      <c r="E211" t="s">
        <v>199</v>
      </c>
      <c r="F211" s="460" t="str">
        <f t="shared" si="193"/>
        <v>LNG</v>
      </c>
      <c r="G211" t="s">
        <v>835</v>
      </c>
      <c r="H211" s="118">
        <f>INDEX('Fuel Model - Calculation'!$B$2:$M$3771,(MATCH(($E211&amp;"ResultsCost of "&amp;$F211&amp;"USD/ton"),'Fuel Model - Calculation'!$B$2:$B$3771,0)),MATCH(H$141,'Fuel Model - Calculation'!$B$2:$M$2,0))</f>
        <v>576.86729921038807</v>
      </c>
      <c r="I211" s="118">
        <f>INDEX('Fuel Model - Calculation'!$B$2:$M$3771,(MATCH(($E211&amp;"ResultsCost of "&amp;$F211&amp;"USD/ton"),'Fuel Model - Calculation'!$B$2:$B$3771,0)),MATCH(I$141,'Fuel Model - Calculation'!$B$2:$M$2,0))</f>
        <v>449.85062225850675</v>
      </c>
      <c r="J211" s="118">
        <f>INDEX('Fuel Model - Calculation'!$B$2:$M$3771,(MATCH(($E211&amp;"ResultsCost of "&amp;$F211&amp;"USD/ton"),'Fuel Model - Calculation'!$B$2:$B$3771,0)),MATCH(J$141,'Fuel Model - Calculation'!$B$2:$M$2,0))</f>
        <v>431.37068191264746</v>
      </c>
      <c r="K211" s="118">
        <f>INDEX('Fuel Model - Calculation'!$B$2:$M$3771,(MATCH(($E211&amp;"ResultsCost of "&amp;$F211&amp;"USD/ton"),'Fuel Model - Calculation'!$B$2:$B$3771,0)),MATCH(K$141,'Fuel Model - Calculation'!$B$2:$M$2,0))</f>
        <v>454.99719710060219</v>
      </c>
      <c r="L211" s="118">
        <f>INDEX('Fuel Model - Calculation'!$B$2:$M$3771,(MATCH(($E211&amp;"ResultsCost of "&amp;$F211&amp;"USD/ton"),'Fuel Model - Calculation'!$B$2:$B$3771,0)),MATCH(L$141,'Fuel Model - Calculation'!$B$2:$M$2,0))</f>
        <v>449.08004208411</v>
      </c>
      <c r="M211" s="118">
        <f>INDEX('Fuel Model - Calculation'!$B$2:$M$3771,(MATCH(($E211&amp;"ResultsCost of "&amp;$F211&amp;"USD/ton"),'Fuel Model - Calculation'!$B$2:$B$3771,0)),MATCH(M$141,'Fuel Model - Calculation'!$B$2:$M$2,0))</f>
        <v>444.16310810473749</v>
      </c>
      <c r="N211" s="118">
        <f>INDEX('Fuel Model - Calculation'!$B$2:$M$3771,(MATCH(($E211&amp;"ResultsCost of "&amp;$F211&amp;"USD/ton"),'Fuel Model - Calculation'!$B$2:$B$3771,0)),MATCH(N$141,'Fuel Model - Calculation'!$B$2:$M$2,0))</f>
        <v>439.49523997475433</v>
      </c>
      <c r="O211"/>
      <c r="P211" s="118">
        <f>IFERROR(INDEX('Fuel Model - Calculation'!G$2:G$3771,(MATCH(($E211&amp;"ResultsTotal RNE "&amp;$F211&amp;"USD/ton"),'Fuel Model - Calculation'!$B$2:$B$3771,0))),0)</f>
        <v>0</v>
      </c>
      <c r="Q211" s="118">
        <f>IFERROR(INDEX('Fuel Model - Calculation'!H$2:H$3771,(MATCH(($E211&amp;"ResultsTotal RNE "&amp;$F211&amp;"USD/ton"),'Fuel Model - Calculation'!$B$2:$B$3771,0))),0)</f>
        <v>0</v>
      </c>
      <c r="R211" s="118">
        <f>IFERROR(INDEX('Fuel Model - Calculation'!I$2:I$3771,(MATCH(($E211&amp;"ResultsTotal RNE "&amp;$F211&amp;"USD/ton"),'Fuel Model - Calculation'!$B$2:$B$3771,0))),0)</f>
        <v>0</v>
      </c>
      <c r="S211" s="118">
        <f>IFERROR(INDEX('Fuel Model - Calculation'!J$2:J$3771,(MATCH(($E211&amp;"ResultsTotal RNE "&amp;$F211&amp;"USD/ton"),'Fuel Model - Calculation'!$B$2:$B$3771,0))),0)</f>
        <v>0</v>
      </c>
      <c r="T211" s="118">
        <f>IFERROR(INDEX('Fuel Model - Calculation'!K$2:K$3771,(MATCH(($E211&amp;"ResultsTotal RNE "&amp;$F211&amp;"USD/ton"),'Fuel Model - Calculation'!$B$2:$B$3771,0))),0)</f>
        <v>0</v>
      </c>
      <c r="U211" s="118">
        <f>IFERROR(INDEX('Fuel Model - Calculation'!L$2:L$3771,(MATCH(($E211&amp;"ResultsTotal RNE "&amp;$F211&amp;"USD/ton"),'Fuel Model - Calculation'!$B$2:$B$3771,0))),0)</f>
        <v>0</v>
      </c>
      <c r="V211" s="118">
        <f>IFERROR(INDEX('Fuel Model - Calculation'!M$2:M$3771,(MATCH(($E211&amp;"ResultsTotal RNE "&amp;$F211&amp;"USD/ton"),'Fuel Model - Calculation'!$B$2:$B$3771,0))),0)</f>
        <v>0</v>
      </c>
      <c r="W211"/>
      <c r="X211" s="2">
        <f>INDEX('Fuel Model - Calculation'!$E$2:$M$3771,(MATCH(("WTT Emission - "&amp;$F211),'Fuel Model - Calculation'!$E$2:$E$3771,0)),MATCH(X$141,'Fuel Model - Calculation'!$E$2:$M$2,0))</f>
        <v>0.84480000000000011</v>
      </c>
      <c r="Y211" s="2">
        <f>INDEX('Fuel Model - Calculation'!$E$2:$M$3771,(MATCH(("WTT Emission - "&amp;$F211),'Fuel Model - Calculation'!$E$2:$E$3771,0)),MATCH(Y$141,'Fuel Model - Calculation'!$E$2:$M$2,0))</f>
        <v>0.84480000000000011</v>
      </c>
      <c r="Z211" s="2">
        <f>INDEX('Fuel Model - Calculation'!$E$2:$M$3771,(MATCH(("WTT Emission - "&amp;$F211),'Fuel Model - Calculation'!$E$2:$E$3771,0)),MATCH(Z$141,'Fuel Model - Calculation'!$E$2:$M$2,0))</f>
        <v>0.84480000000000011</v>
      </c>
      <c r="AA211" s="2">
        <f>INDEX('Fuel Model - Calculation'!$E$2:$M$3771,(MATCH(("WTT Emission - "&amp;$F211),'Fuel Model - Calculation'!$E$2:$E$3771,0)),MATCH(AA$141,'Fuel Model - Calculation'!$E$2:$M$2,0))</f>
        <v>0.84480000000000011</v>
      </c>
      <c r="AB211" s="2">
        <f>INDEX('Fuel Model - Calculation'!$E$2:$M$3771,(MATCH(("WTT Emission - "&amp;$F211),'Fuel Model - Calculation'!$E$2:$E$3771,0)),MATCH(AB$141,'Fuel Model - Calculation'!$E$2:$M$2,0))</f>
        <v>0.84480000000000011</v>
      </c>
      <c r="AC211" s="2">
        <f>INDEX('Fuel Model - Calculation'!$E$2:$M$3771,(MATCH(("WTT Emission - "&amp;$F211),'Fuel Model - Calculation'!$E$2:$E$3771,0)),MATCH(AC$141,'Fuel Model - Calculation'!$E$2:$M$2,0))</f>
        <v>0.84480000000000011</v>
      </c>
      <c r="AD211" s="2">
        <f>INDEX('Fuel Model - Calculation'!$E$2:$M$3771,(MATCH(("WTT Emission - "&amp;$F211),'Fuel Model - Calculation'!$E$2:$E$3771,0)),MATCH(AD$141,'Fuel Model - Calculation'!$E$2:$M$2,0))</f>
        <v>0.84480000000000011</v>
      </c>
      <c r="AE211" s="2"/>
      <c r="AF211" s="76">
        <f>'Fuel Model -  Input'!H$269</f>
        <v>3.6492599999999999</v>
      </c>
      <c r="AG211" s="76">
        <f>'Fuel Model -  Input'!I$269</f>
        <v>3.6492599999999999</v>
      </c>
      <c r="AH211" s="76">
        <f>'Fuel Model -  Input'!J$269</f>
        <v>3.6492599999999999</v>
      </c>
      <c r="AI211" s="76">
        <f>'Fuel Model -  Input'!K$269</f>
        <v>3.6492599999999999</v>
      </c>
      <c r="AJ211" s="76">
        <f>'Fuel Model -  Input'!L$269</f>
        <v>3.6492599999999999</v>
      </c>
      <c r="AK211" s="76">
        <f>'Fuel Model -  Input'!M$269</f>
        <v>3.6492599999999999</v>
      </c>
      <c r="AL211" s="76">
        <f>'Fuel Model -  Input'!N$269</f>
        <v>3.6492599999999999</v>
      </c>
      <c r="AM211"/>
      <c r="AN211" s="24">
        <f t="shared" si="191"/>
        <v>4.4940600000000002</v>
      </c>
      <c r="AO211" s="24">
        <f t="shared" si="191"/>
        <v>4.4940600000000002</v>
      </c>
      <c r="AP211" s="24">
        <f t="shared" si="191"/>
        <v>4.4940600000000002</v>
      </c>
      <c r="AQ211" s="24">
        <f t="shared" si="191"/>
        <v>4.4940600000000002</v>
      </c>
      <c r="AR211" s="24">
        <f t="shared" si="191"/>
        <v>4.4940600000000002</v>
      </c>
      <c r="AS211" s="24">
        <f t="shared" si="191"/>
        <v>4.4940600000000002</v>
      </c>
      <c r="AT211" s="24">
        <f t="shared" si="191"/>
        <v>4.4940600000000002</v>
      </c>
      <c r="AU211"/>
      <c r="AV211" s="118">
        <f>IFERROR(INDEX('Fuel Model - Calculation'!$B$2:$M$3771,(MATCH(($E211&amp;"Results"&amp;$AV$140&amp;$F211&amp;"USD/ton"),'Fuel Model - Calculation'!$B$2:$B$3771,0)),MATCH(H$141,'Fuel Model - Calculation'!$B$2:$M$2,0)),0)</f>
        <v>203.48745578849747</v>
      </c>
      <c r="AW211" s="118">
        <f>IFERROR(INDEX('Fuel Model - Calculation'!$B$2:$M$3771,(MATCH(($E211&amp;"Results"&amp;$AV$140&amp;$F211&amp;"USD/ton"),'Fuel Model - Calculation'!$B$2:$B$3771,0)),MATCH(I$141,'Fuel Model - Calculation'!$B$2:$M$2,0)),0)</f>
        <v>198.75000000000006</v>
      </c>
      <c r="AX211" s="118">
        <f>IFERROR(INDEX('Fuel Model - Calculation'!$B$2:$M$3771,(MATCH(($E211&amp;"Results"&amp;$AV$140&amp;$F211&amp;"USD/ton"),'Fuel Model - Calculation'!$B$2:$B$3771,0)),MATCH(J$141,'Fuel Model - Calculation'!$B$2:$M$2,0)),0)</f>
        <v>194.12283841740833</v>
      </c>
      <c r="AY211" s="118">
        <f>IFERROR(INDEX('Fuel Model - Calculation'!$B$2:$M$3771,(MATCH(($E211&amp;"Results"&amp;$AV$140&amp;$F211&amp;"USD/ton"),'Fuel Model - Calculation'!$B$2:$B$3771,0)),MATCH(K$141,'Fuel Model - Calculation'!$B$2:$M$2,0)),0)</f>
        <v>189.60340324644639</v>
      </c>
      <c r="AZ211" s="118">
        <f>IFERROR(INDEX('Fuel Model - Calculation'!$B$2:$M$3771,(MATCH(($E211&amp;"Results"&amp;$AV$140&amp;$F211&amp;"USD/ton"),'Fuel Model - Calculation'!$B$2:$B$3771,0)),MATCH(L$141,'Fuel Model - Calculation'!$B$2:$M$2,0)),0)</f>
        <v>185.18918647446853</v>
      </c>
      <c r="BA211" s="118">
        <f>IFERROR(INDEX('Fuel Model - Calculation'!$B$2:$M$3771,(MATCH(($E211&amp;"Results"&amp;$AV$140&amp;$F211&amp;"USD/ton"),'Fuel Model - Calculation'!$B$2:$B$3771,0)),MATCH(M$141,'Fuel Model - Calculation'!$B$2:$M$2,0)),0)</f>
        <v>180.87773847866441</v>
      </c>
      <c r="BB211" s="118">
        <f>IFERROR(INDEX('Fuel Model - Calculation'!$B$2:$M$3771,(MATCH(($E211&amp;"Results"&amp;$AV$140&amp;$F211&amp;"USD/ton"),'Fuel Model - Calculation'!$B$2:$B$3771,0)),MATCH(N$141,'Fuel Model - Calculation'!$B$2:$M$2,0)),0)</f>
        <v>176.66666666666671</v>
      </c>
      <c r="BC211"/>
      <c r="BD211" s="118">
        <f>IFERROR(INDEX('Fuel Model - Calculation'!$B$2:$M$3771,(MATCH(($E211&amp;"Results"&amp;$BD$140&amp;$F211&amp;"USD/ton"),'Fuel Model - Calculation'!$B$2:$B$3771,0)),MATCH(P$141,'Fuel Model - Calculation'!$B$2:$M$2,0)),0)</f>
        <v>23.379843421890563</v>
      </c>
      <c r="BE211" s="118">
        <f>IFERROR(INDEX('Fuel Model - Calculation'!$B$2:$M$3771,(MATCH(($E211&amp;"Results"&amp;$BD$140&amp;$F211&amp;"USD/ton"),'Fuel Model - Calculation'!$B$2:$B$3771,0)),MATCH(Q$141,'Fuel Model - Calculation'!$B$2:$M$2,0)),0)</f>
        <v>21.100622258506721</v>
      </c>
      <c r="BF211" s="118">
        <f>IFERROR(INDEX('Fuel Model - Calculation'!$B$2:$M$3771,(MATCH(($E211&amp;"Results"&amp;$BD$140&amp;$F211&amp;"USD/ton"),'Fuel Model - Calculation'!$B$2:$B$3771,0)),MATCH(R$141,'Fuel Model - Calculation'!$B$2:$M$2,0)),0)</f>
        <v>17.247843495239135</v>
      </c>
      <c r="BG211" s="118">
        <f>IFERROR(INDEX('Fuel Model - Calculation'!$B$2:$M$3771,(MATCH(($E211&amp;"Results"&amp;$BD$140&amp;$F211&amp;"USD/ton"),'Fuel Model - Calculation'!$B$2:$B$3771,0)),MATCH(S$141,'Fuel Model - Calculation'!$B$2:$M$2,0)),0)</f>
        <v>15.393793854155806</v>
      </c>
      <c r="BH211" s="118">
        <f>IFERROR(INDEX('Fuel Model - Calculation'!$B$2:$M$3771,(MATCH(($E211&amp;"Results"&amp;$BD$140&amp;$F211&amp;"USD/ton"),'Fuel Model - Calculation'!$B$2:$B$3771,0)),MATCH(T$141,'Fuel Model - Calculation'!$B$2:$M$2,0)),0)</f>
        <v>13.890855609641479</v>
      </c>
      <c r="BI211" s="118">
        <f>IFERROR(INDEX('Fuel Model - Calculation'!$B$2:$M$3771,(MATCH(($E211&amp;"Results"&amp;$BD$140&amp;$F211&amp;"USD/ton"),'Fuel Model - Calculation'!$B$2:$B$3771,0)),MATCH(U$141,'Fuel Model - Calculation'!$B$2:$M$2,0)),0)</f>
        <v>13.28536962607304</v>
      </c>
      <c r="BJ211" s="118">
        <f>IFERROR(INDEX('Fuel Model - Calculation'!$B$2:$M$3771,(MATCH(($E211&amp;"Results"&amp;$BD$140&amp;$F211&amp;"USD/ton"),'Fuel Model - Calculation'!$B$2:$B$3771,0)),MATCH(V$141,'Fuel Model - Calculation'!$B$2:$M$2,0)),0)</f>
        <v>12.828573308087629</v>
      </c>
      <c r="BL211" s="118">
        <f>IFERROR(IFERROR(INDEX('Fuel Model - Calculation'!$B$2:$M$3771,(MATCH(($E211&amp;"Results"&amp;$BL$140&amp;$F211&amp;"USD/ton"),'Fuel Model - Calculation'!$B$2:$B$3771,0)),MATCH(H$141,'Fuel Model - Calculation'!$B$2:$M$2,0)),0),0)</f>
        <v>0</v>
      </c>
      <c r="BM211" s="118">
        <f>IFERROR(IFERROR(INDEX('Fuel Model - Calculation'!$B$2:$M$3771,(MATCH(($E211&amp;"Results"&amp;$BL$140&amp;$F211&amp;"USD/ton"),'Fuel Model - Calculation'!$B$2:$B$3771,0)),MATCH(I$141,'Fuel Model - Calculation'!$B$2:$M$2,0)),0),0)</f>
        <v>0</v>
      </c>
      <c r="BN211" s="118">
        <f>IFERROR(IFERROR(INDEX('Fuel Model - Calculation'!$B$2:$M$3771,(MATCH(($E211&amp;"Results"&amp;$BL$140&amp;$F211&amp;"USD/ton"),'Fuel Model - Calculation'!$B$2:$B$3771,0)),MATCH(J$141,'Fuel Model - Calculation'!$B$2:$M$2,0)),0),0)</f>
        <v>0</v>
      </c>
      <c r="BO211" s="118">
        <f>IFERROR(IFERROR(INDEX('Fuel Model - Calculation'!$B$2:$M$3771,(MATCH(($E211&amp;"Results"&amp;$BL$140&amp;$F211&amp;"USD/ton"),'Fuel Model - Calculation'!$B$2:$B$3771,0)),MATCH(K$141,'Fuel Model - Calculation'!$B$2:$M$2,0)),0),0)</f>
        <v>0</v>
      </c>
      <c r="BP211" s="118">
        <f>IFERROR(IFERROR(INDEX('Fuel Model - Calculation'!$B$2:$M$3771,(MATCH(($E211&amp;"Results"&amp;$BL$140&amp;$F211&amp;"USD/ton"),'Fuel Model - Calculation'!$B$2:$B$3771,0)),MATCH(L$141,'Fuel Model - Calculation'!$B$2:$M$2,0)),0),0)</f>
        <v>0</v>
      </c>
      <c r="BQ211" s="118">
        <f>IFERROR(IFERROR(INDEX('Fuel Model - Calculation'!$B$2:$M$3771,(MATCH(($E211&amp;"Results"&amp;$BL$140&amp;$F211&amp;"USD/ton"),'Fuel Model - Calculation'!$B$2:$B$3771,0)),MATCH(M$141,'Fuel Model - Calculation'!$B$2:$M$2,0)),0),0)</f>
        <v>0</v>
      </c>
      <c r="BR211" s="118">
        <f>IFERROR(IFERROR(INDEX('Fuel Model - Calculation'!$B$2:$M$3771,(MATCH(($E211&amp;"Results"&amp;$BL$140&amp;$F211&amp;"USD/ton"),'Fuel Model - Calculation'!$B$2:$B$3771,0)),MATCH(N$141,'Fuel Model - Calculation'!$B$2:$M$2,0)),0),0)</f>
        <v>0</v>
      </c>
      <c r="BT211" s="118">
        <f>IFERROR(INDEX('Fuel Model - Calculation'!$B$2:$M$3771,(MATCH(($E211&amp;"Results"&amp;$BT$140&amp;$F211&amp;"USD/ton"),'Fuel Model - Calculation'!$B$2:$B$3771,0)),MATCH(H$141,'Fuel Model - Calculation'!$B$2:$M$2,0)),0)</f>
        <v>350</v>
      </c>
      <c r="BU211" s="118">
        <f>IFERROR(INDEX('Fuel Model - Calculation'!$B$2:$M$3771,(MATCH(($E211&amp;"Results"&amp;$BT$140&amp;$F211&amp;"USD/ton"),'Fuel Model - Calculation'!$B$2:$B$3771,0)),MATCH(I$141,'Fuel Model - Calculation'!$B$2:$M$2,0)),0)</f>
        <v>230</v>
      </c>
      <c r="BV211" s="118">
        <f>IFERROR(INDEX('Fuel Model - Calculation'!$B$2:$M$3771,(MATCH(($E211&amp;"Results"&amp;$BT$140&amp;$F211&amp;"USD/ton"),'Fuel Model - Calculation'!$B$2:$B$3771,0)),MATCH(J$141,'Fuel Model - Calculation'!$B$2:$M$2,0)),0)</f>
        <v>220</v>
      </c>
      <c r="BW211" s="118">
        <f>IFERROR(INDEX('Fuel Model - Calculation'!$B$2:$M$3771,(MATCH(($E211&amp;"Results"&amp;$BT$140&amp;$F211&amp;"USD/ton"),'Fuel Model - Calculation'!$B$2:$B$3771,0)),MATCH(K$141,'Fuel Model - Calculation'!$B$2:$M$2,0)),0)</f>
        <v>250</v>
      </c>
      <c r="BX211" s="118">
        <f>IFERROR(INDEX('Fuel Model - Calculation'!$B$2:$M$3771,(MATCH(($E211&amp;"Results"&amp;$BT$140&amp;$F211&amp;"USD/ton"),'Fuel Model - Calculation'!$B$2:$B$3771,0)),MATCH(L$141,'Fuel Model - Calculation'!$B$2:$M$2,0)),0)</f>
        <v>250</v>
      </c>
      <c r="BY211" s="118">
        <f>IFERROR(INDEX('Fuel Model - Calculation'!$B$2:$M$3771,(MATCH(($E211&amp;"Results"&amp;$BT$140&amp;$F211&amp;"USD/ton"),'Fuel Model - Calculation'!$B$2:$B$3771,0)),MATCH(M$141,'Fuel Model - Calculation'!$B$2:$M$2,0)),0)</f>
        <v>250</v>
      </c>
      <c r="BZ211" s="118">
        <f>IFERROR(INDEX('Fuel Model - Calculation'!$B$2:$M$3771,(MATCH(($E211&amp;"Results"&amp;$BT$140&amp;$F211&amp;"USD/ton"),'Fuel Model - Calculation'!$B$2:$B$3771,0)),MATCH(N$141,'Fuel Model - Calculation'!$B$2:$M$2,0)),0)</f>
        <v>250</v>
      </c>
    </row>
    <row r="212" spans="1:78" x14ac:dyDescent="0.2">
      <c r="A212" s="452"/>
      <c r="B212" s="453" t="str">
        <f>_xlfn.TEXTJOIN(keydelim,TRUE,F212,IF(E212="Africa","Africa&amp;other",E212),"Fuel cost",SUBSTITUTE($G212," ",""))</f>
        <v>LNG - Africa&amp;other - Fuel cost - USD/ton</v>
      </c>
      <c r="D212" s="459" t="str">
        <f t="shared" si="192"/>
        <v>AfricaLNG</v>
      </c>
      <c r="E212" t="s">
        <v>200</v>
      </c>
      <c r="F212" s="460" t="str">
        <f t="shared" si="193"/>
        <v>LNG</v>
      </c>
      <c r="G212" t="s">
        <v>835</v>
      </c>
      <c r="H212" s="118">
        <f>INDEX('Fuel Model - Calculation'!$B$2:$M$3771,(MATCH(($E212&amp;"ResultsCost of "&amp;$F212&amp;"USD/ton"),'Fuel Model - Calculation'!$B$2:$B$3771,0)),MATCH(H$141,'Fuel Model - Calculation'!$B$2:$M$2,0))</f>
        <v>2000.8630591795452</v>
      </c>
      <c r="I212" s="118">
        <f>INDEX('Fuel Model - Calculation'!$B$2:$M$3771,(MATCH(($E212&amp;"ResultsCost of "&amp;$F212&amp;"USD/ton"),'Fuel Model - Calculation'!$B$2:$B$3771,0)),MATCH(I$141,'Fuel Model - Calculation'!$B$2:$M$2,0))</f>
        <v>925.5560713364822</v>
      </c>
      <c r="J212" s="118">
        <f>INDEX('Fuel Model - Calculation'!$B$2:$M$3771,(MATCH(($E212&amp;"ResultsCost of "&amp;$F212&amp;"USD/ton"),'Fuel Model - Calculation'!$B$2:$B$3771,0)),MATCH(J$141,'Fuel Model - Calculation'!$B$2:$M$2,0))</f>
        <v>690.19482712659715</v>
      </c>
      <c r="K212" s="118">
        <f>INDEX('Fuel Model - Calculation'!$B$2:$M$3771,(MATCH(($E212&amp;"ResultsCost of "&amp;$F212&amp;"USD/ton"),'Fuel Model - Calculation'!$B$2:$B$3771,0)),MATCH(K$141,'Fuel Model - Calculation'!$B$2:$M$2,0))</f>
        <v>682.4746197049725</v>
      </c>
      <c r="L212" s="118">
        <f>INDEX('Fuel Model - Calculation'!$B$2:$M$3771,(MATCH(($E212&amp;"ResultsCost of "&amp;$F212&amp;"USD/ton"),'Fuel Model - Calculation'!$B$2:$B$3771,0)),MATCH(L$141,'Fuel Model - Calculation'!$B$2:$M$2,0))</f>
        <v>676.55385203007336</v>
      </c>
      <c r="M212" s="118">
        <f>INDEX('Fuel Model - Calculation'!$B$2:$M$3771,(MATCH(($E212&amp;"ResultsCost of "&amp;$F212&amp;"USD/ton"),'Fuel Model - Calculation'!$B$2:$B$3771,0)),MATCH(M$141,'Fuel Model - Calculation'!$B$2:$M$2,0))</f>
        <v>670.69326120428332</v>
      </c>
      <c r="N212" s="118">
        <f>INDEX('Fuel Model - Calculation'!$B$2:$M$3771,(MATCH(($E212&amp;"ResultsCost of "&amp;$F212&amp;"USD/ton"),'Fuel Model - Calculation'!$B$2:$B$3771,0)),MATCH(N$141,'Fuel Model - Calculation'!$B$2:$M$2,0))</f>
        <v>665.72182860301052</v>
      </c>
      <c r="O212"/>
      <c r="P212" s="118">
        <f>IFERROR(INDEX('Fuel Model - Calculation'!G$2:G$3771,(MATCH(($E212&amp;"ResultsTotal RNE "&amp;$F212&amp;"USD/ton"),'Fuel Model - Calculation'!$B$2:$B$3771,0))),0)</f>
        <v>0</v>
      </c>
      <c r="Q212" s="118">
        <f>IFERROR(INDEX('Fuel Model - Calculation'!H$2:H$3771,(MATCH(($E212&amp;"ResultsTotal RNE "&amp;$F212&amp;"USD/ton"),'Fuel Model - Calculation'!$B$2:$B$3771,0))),0)</f>
        <v>0</v>
      </c>
      <c r="R212" s="118">
        <f>IFERROR(INDEX('Fuel Model - Calculation'!I$2:I$3771,(MATCH(($E212&amp;"ResultsTotal RNE "&amp;$F212&amp;"USD/ton"),'Fuel Model - Calculation'!$B$2:$B$3771,0))),0)</f>
        <v>0</v>
      </c>
      <c r="S212" s="118">
        <f>IFERROR(INDEX('Fuel Model - Calculation'!J$2:J$3771,(MATCH(($E212&amp;"ResultsTotal RNE "&amp;$F212&amp;"USD/ton"),'Fuel Model - Calculation'!$B$2:$B$3771,0))),0)</f>
        <v>0</v>
      </c>
      <c r="T212" s="118">
        <f>IFERROR(INDEX('Fuel Model - Calculation'!K$2:K$3771,(MATCH(($E212&amp;"ResultsTotal RNE "&amp;$F212&amp;"USD/ton"),'Fuel Model - Calculation'!$B$2:$B$3771,0))),0)</f>
        <v>0</v>
      </c>
      <c r="U212" s="118">
        <f>IFERROR(INDEX('Fuel Model - Calculation'!L$2:L$3771,(MATCH(($E212&amp;"ResultsTotal RNE "&amp;$F212&amp;"USD/ton"),'Fuel Model - Calculation'!$B$2:$B$3771,0))),0)</f>
        <v>0</v>
      </c>
      <c r="V212" s="118">
        <f>IFERROR(INDEX('Fuel Model - Calculation'!M$2:M$3771,(MATCH(($E212&amp;"ResultsTotal RNE "&amp;$F212&amp;"USD/ton"),'Fuel Model - Calculation'!$B$2:$B$3771,0))),0)</f>
        <v>0</v>
      </c>
      <c r="W212"/>
      <c r="X212" s="2">
        <f>INDEX('Fuel Model - Calculation'!$E$2:$M$3771,(MATCH(("WTT Emission - "&amp;$F212),'Fuel Model - Calculation'!$E$2:$E$3771,0)),MATCH(X$141,'Fuel Model - Calculation'!$E$2:$M$2,0))</f>
        <v>0.84480000000000011</v>
      </c>
      <c r="Y212" s="2">
        <f>INDEX('Fuel Model - Calculation'!$E$2:$M$3771,(MATCH(("WTT Emission - "&amp;$F212),'Fuel Model - Calculation'!$E$2:$E$3771,0)),MATCH(Y$141,'Fuel Model - Calculation'!$E$2:$M$2,0))</f>
        <v>0.84480000000000011</v>
      </c>
      <c r="Z212" s="2">
        <f>INDEX('Fuel Model - Calculation'!$E$2:$M$3771,(MATCH(("WTT Emission - "&amp;$F212),'Fuel Model - Calculation'!$E$2:$E$3771,0)),MATCH(Z$141,'Fuel Model - Calculation'!$E$2:$M$2,0))</f>
        <v>0.84480000000000011</v>
      </c>
      <c r="AA212" s="2">
        <f>INDEX('Fuel Model - Calculation'!$E$2:$M$3771,(MATCH(("WTT Emission - "&amp;$F212),'Fuel Model - Calculation'!$E$2:$E$3771,0)),MATCH(AA$141,'Fuel Model - Calculation'!$E$2:$M$2,0))</f>
        <v>0.84480000000000011</v>
      </c>
      <c r="AB212" s="2">
        <f>INDEX('Fuel Model - Calculation'!$E$2:$M$3771,(MATCH(("WTT Emission - "&amp;$F212),'Fuel Model - Calculation'!$E$2:$E$3771,0)),MATCH(AB$141,'Fuel Model - Calculation'!$E$2:$M$2,0))</f>
        <v>0.84480000000000011</v>
      </c>
      <c r="AC212" s="2">
        <f>INDEX('Fuel Model - Calculation'!$E$2:$M$3771,(MATCH(("WTT Emission - "&amp;$F212),'Fuel Model - Calculation'!$E$2:$E$3771,0)),MATCH(AC$141,'Fuel Model - Calculation'!$E$2:$M$2,0))</f>
        <v>0.84480000000000011</v>
      </c>
      <c r="AD212" s="2">
        <f>INDEX('Fuel Model - Calculation'!$E$2:$M$3771,(MATCH(("WTT Emission - "&amp;$F212),'Fuel Model - Calculation'!$E$2:$E$3771,0)),MATCH(AD$141,'Fuel Model - Calculation'!$E$2:$M$2,0))</f>
        <v>0.84480000000000011</v>
      </c>
      <c r="AE212" s="2"/>
      <c r="AF212" s="76">
        <f>'Fuel Model -  Input'!H$269</f>
        <v>3.6492599999999999</v>
      </c>
      <c r="AG212" s="76">
        <f>'Fuel Model -  Input'!I$269</f>
        <v>3.6492599999999999</v>
      </c>
      <c r="AH212" s="76">
        <f>'Fuel Model -  Input'!J$269</f>
        <v>3.6492599999999999</v>
      </c>
      <c r="AI212" s="76">
        <f>'Fuel Model -  Input'!K$269</f>
        <v>3.6492599999999999</v>
      </c>
      <c r="AJ212" s="76">
        <f>'Fuel Model -  Input'!L$269</f>
        <v>3.6492599999999999</v>
      </c>
      <c r="AK212" s="76">
        <f>'Fuel Model -  Input'!M$269</f>
        <v>3.6492599999999999</v>
      </c>
      <c r="AL212" s="76">
        <f>'Fuel Model -  Input'!N$269</f>
        <v>3.6492599999999999</v>
      </c>
      <c r="AM212"/>
      <c r="AN212" s="24">
        <f t="shared" si="191"/>
        <v>4.4940600000000002</v>
      </c>
      <c r="AO212" s="24">
        <f t="shared" si="191"/>
        <v>4.4940600000000002</v>
      </c>
      <c r="AP212" s="24">
        <f t="shared" si="191"/>
        <v>4.4940600000000002</v>
      </c>
      <c r="AQ212" s="24">
        <f t="shared" si="191"/>
        <v>4.4940600000000002</v>
      </c>
      <c r="AR212" s="24">
        <f t="shared" si="191"/>
        <v>4.4940600000000002</v>
      </c>
      <c r="AS212" s="24">
        <f t="shared" si="191"/>
        <v>4.4940600000000002</v>
      </c>
      <c r="AT212" s="24">
        <f t="shared" si="191"/>
        <v>4.4940600000000002</v>
      </c>
      <c r="AU212"/>
      <c r="AV212" s="118">
        <f>IFERROR(INDEX('Fuel Model - Calculation'!$B$2:$M$3771,(MATCH(($E212&amp;"Results"&amp;$AV$140&amp;$F212&amp;"USD/ton"),'Fuel Model - Calculation'!$B$2:$B$3771,0)),MATCH(H$141,'Fuel Model - Calculation'!$B$2:$M$2,0)),0)</f>
        <v>203.48745578849747</v>
      </c>
      <c r="AW212" s="118">
        <f>IFERROR(INDEX('Fuel Model - Calculation'!$B$2:$M$3771,(MATCH(($E212&amp;"Results"&amp;$AV$140&amp;$F212&amp;"USD/ton"),'Fuel Model - Calculation'!$B$2:$B$3771,0)),MATCH(I$141,'Fuel Model - Calculation'!$B$2:$M$2,0)),0)</f>
        <v>198.75000000000006</v>
      </c>
      <c r="AX212" s="118">
        <f>IFERROR(INDEX('Fuel Model - Calculation'!$B$2:$M$3771,(MATCH(($E212&amp;"Results"&amp;$AV$140&amp;$F212&amp;"USD/ton"),'Fuel Model - Calculation'!$B$2:$B$3771,0)),MATCH(J$141,'Fuel Model - Calculation'!$B$2:$M$2,0)),0)</f>
        <v>194.12283841740833</v>
      </c>
      <c r="AY212" s="118">
        <f>IFERROR(INDEX('Fuel Model - Calculation'!$B$2:$M$3771,(MATCH(($E212&amp;"Results"&amp;$AV$140&amp;$F212&amp;"USD/ton"),'Fuel Model - Calculation'!$B$2:$B$3771,0)),MATCH(K$141,'Fuel Model - Calculation'!$B$2:$M$2,0)),0)</f>
        <v>189.60340324644639</v>
      </c>
      <c r="AZ212" s="118">
        <f>IFERROR(INDEX('Fuel Model - Calculation'!$B$2:$M$3771,(MATCH(($E212&amp;"Results"&amp;$AV$140&amp;$F212&amp;"USD/ton"),'Fuel Model - Calculation'!$B$2:$B$3771,0)),MATCH(L$141,'Fuel Model - Calculation'!$B$2:$M$2,0)),0)</f>
        <v>185.18918647446853</v>
      </c>
      <c r="BA212" s="118">
        <f>IFERROR(INDEX('Fuel Model - Calculation'!$B$2:$M$3771,(MATCH(($E212&amp;"Results"&amp;$AV$140&amp;$F212&amp;"USD/ton"),'Fuel Model - Calculation'!$B$2:$B$3771,0)),MATCH(M$141,'Fuel Model - Calculation'!$B$2:$M$2,0)),0)</f>
        <v>180.87773847866441</v>
      </c>
      <c r="BB212" s="118">
        <f>IFERROR(INDEX('Fuel Model - Calculation'!$B$2:$M$3771,(MATCH(($E212&amp;"Results"&amp;$AV$140&amp;$F212&amp;"USD/ton"),'Fuel Model - Calculation'!$B$2:$B$3771,0)),MATCH(N$141,'Fuel Model - Calculation'!$B$2:$M$2,0)),0)</f>
        <v>176.66666666666671</v>
      </c>
      <c r="BC212"/>
      <c r="BD212" s="118">
        <f>IFERROR(INDEX('Fuel Model - Calculation'!$B$2:$M$3771,(MATCH(($E212&amp;"Results"&amp;$BD$140&amp;$F212&amp;"USD/ton"),'Fuel Model - Calculation'!$B$2:$B$3771,0)),MATCH(P$141,'Fuel Model - Calculation'!$B$2:$M$2,0)),0)</f>
        <v>47.375603391047648</v>
      </c>
      <c r="BE212" s="118">
        <f>IFERROR(INDEX('Fuel Model - Calculation'!$B$2:$M$3771,(MATCH(($E212&amp;"Results"&amp;$BD$140&amp;$F212&amp;"USD/ton"),'Fuel Model - Calculation'!$B$2:$B$3771,0)),MATCH(Q$141,'Fuel Model - Calculation'!$B$2:$M$2,0)),0)</f>
        <v>26.806071336482109</v>
      </c>
      <c r="BF212" s="118">
        <f>IFERROR(INDEX('Fuel Model - Calculation'!$B$2:$M$3771,(MATCH(($E212&amp;"Results"&amp;$BD$140&amp;$F212&amp;"USD/ton"),'Fuel Model - Calculation'!$B$2:$B$3771,0)),MATCH(R$141,'Fuel Model - Calculation'!$B$2:$M$2,0)),0)</f>
        <v>21.071988709188869</v>
      </c>
      <c r="BG212" s="118">
        <f>IFERROR(INDEX('Fuel Model - Calculation'!$B$2:$M$3771,(MATCH(($E212&amp;"Results"&amp;$BD$140&amp;$F212&amp;"USD/ton"),'Fuel Model - Calculation'!$B$2:$B$3771,0)),MATCH(S$141,'Fuel Model - Calculation'!$B$2:$M$2,0)),0)</f>
        <v>17.871216458526131</v>
      </c>
      <c r="BH212" s="118">
        <f>IFERROR(INDEX('Fuel Model - Calculation'!$B$2:$M$3771,(MATCH(($E212&amp;"Results"&amp;$BD$140&amp;$F212&amp;"USD/ton"),'Fuel Model - Calculation'!$B$2:$B$3771,0)),MATCH(T$141,'Fuel Model - Calculation'!$B$2:$M$2,0)),0)</f>
        <v>16.36466555560488</v>
      </c>
      <c r="BI212" s="118">
        <f>IFERROR(INDEX('Fuel Model - Calculation'!$B$2:$M$3771,(MATCH(($E212&amp;"Results"&amp;$BD$140&amp;$F212&amp;"USD/ton"),'Fuel Model - Calculation'!$B$2:$B$3771,0)),MATCH(U$141,'Fuel Model - Calculation'!$B$2:$M$2,0)),0)</f>
        <v>14.815522725618838</v>
      </c>
      <c r="BJ212" s="118">
        <f>IFERROR(INDEX('Fuel Model - Calculation'!$B$2:$M$3771,(MATCH(($E212&amp;"Results"&amp;$BD$140&amp;$F212&amp;"USD/ton"),'Fuel Model - Calculation'!$B$2:$B$3771,0)),MATCH(V$141,'Fuel Model - Calculation'!$B$2:$M$2,0)),0)</f>
        <v>14.055161936343822</v>
      </c>
      <c r="BL212" s="118">
        <f>IFERROR(IFERROR(INDEX('Fuel Model - Calculation'!$B$2:$M$3771,(MATCH(($E212&amp;"Results"&amp;$BL$140&amp;$F212&amp;"USD/ton"),'Fuel Model - Calculation'!$B$2:$B$3771,0)),MATCH(H$141,'Fuel Model - Calculation'!$B$2:$M$2,0)),0),0)</f>
        <v>0</v>
      </c>
      <c r="BM212" s="118">
        <f>IFERROR(IFERROR(INDEX('Fuel Model - Calculation'!$B$2:$M$3771,(MATCH(($E212&amp;"Results"&amp;$BL$140&amp;$F212&amp;"USD/ton"),'Fuel Model - Calculation'!$B$2:$B$3771,0)),MATCH(I$141,'Fuel Model - Calculation'!$B$2:$M$2,0)),0),0)</f>
        <v>0</v>
      </c>
      <c r="BN212" s="118">
        <f>IFERROR(IFERROR(INDEX('Fuel Model - Calculation'!$B$2:$M$3771,(MATCH(($E212&amp;"Results"&amp;$BL$140&amp;$F212&amp;"USD/ton"),'Fuel Model - Calculation'!$B$2:$B$3771,0)),MATCH(J$141,'Fuel Model - Calculation'!$B$2:$M$2,0)),0),0)</f>
        <v>0</v>
      </c>
      <c r="BO212" s="118">
        <f>IFERROR(IFERROR(INDEX('Fuel Model - Calculation'!$B$2:$M$3771,(MATCH(($E212&amp;"Results"&amp;$BL$140&amp;$F212&amp;"USD/ton"),'Fuel Model - Calculation'!$B$2:$B$3771,0)),MATCH(K$141,'Fuel Model - Calculation'!$B$2:$M$2,0)),0),0)</f>
        <v>0</v>
      </c>
      <c r="BP212" s="118">
        <f>IFERROR(IFERROR(INDEX('Fuel Model - Calculation'!$B$2:$M$3771,(MATCH(($E212&amp;"Results"&amp;$BL$140&amp;$F212&amp;"USD/ton"),'Fuel Model - Calculation'!$B$2:$B$3771,0)),MATCH(L$141,'Fuel Model - Calculation'!$B$2:$M$2,0)),0),0)</f>
        <v>0</v>
      </c>
      <c r="BQ212" s="118">
        <f>IFERROR(IFERROR(INDEX('Fuel Model - Calculation'!$B$2:$M$3771,(MATCH(($E212&amp;"Results"&amp;$BL$140&amp;$F212&amp;"USD/ton"),'Fuel Model - Calculation'!$B$2:$B$3771,0)),MATCH(M$141,'Fuel Model - Calculation'!$B$2:$M$2,0)),0),0)</f>
        <v>0</v>
      </c>
      <c r="BR212" s="118">
        <f>IFERROR(IFERROR(INDEX('Fuel Model - Calculation'!$B$2:$M$3771,(MATCH(($E212&amp;"Results"&amp;$BL$140&amp;$F212&amp;"USD/ton"),'Fuel Model - Calculation'!$B$2:$B$3771,0)),MATCH(N$141,'Fuel Model - Calculation'!$B$2:$M$2,0)),0),0)</f>
        <v>0</v>
      </c>
      <c r="BT212" s="118">
        <f>IFERROR(INDEX('Fuel Model - Calculation'!$B$2:$M$3771,(MATCH(($E212&amp;"Results"&amp;$BT$140&amp;$F212&amp;"USD/ton"),'Fuel Model - Calculation'!$B$2:$B$3771,0)),MATCH(H$141,'Fuel Model - Calculation'!$B$2:$M$2,0)),0)</f>
        <v>1750</v>
      </c>
      <c r="BU212" s="118">
        <f>IFERROR(INDEX('Fuel Model - Calculation'!$B$2:$M$3771,(MATCH(($E212&amp;"Results"&amp;$BT$140&amp;$F212&amp;"USD/ton"),'Fuel Model - Calculation'!$B$2:$B$3771,0)),MATCH(I$141,'Fuel Model - Calculation'!$B$2:$M$2,0)),0)</f>
        <v>700</v>
      </c>
      <c r="BV212" s="118">
        <f>IFERROR(INDEX('Fuel Model - Calculation'!$B$2:$M$3771,(MATCH(($E212&amp;"Results"&amp;$BT$140&amp;$F212&amp;"USD/ton"),'Fuel Model - Calculation'!$B$2:$B$3771,0)),MATCH(J$141,'Fuel Model - Calculation'!$B$2:$M$2,0)),0)</f>
        <v>475</v>
      </c>
      <c r="BW212" s="118">
        <f>IFERROR(INDEX('Fuel Model - Calculation'!$B$2:$M$3771,(MATCH(($E212&amp;"Results"&amp;$BT$140&amp;$F212&amp;"USD/ton"),'Fuel Model - Calculation'!$B$2:$B$3771,0)),MATCH(K$141,'Fuel Model - Calculation'!$B$2:$M$2,0)),0)</f>
        <v>475</v>
      </c>
      <c r="BX212" s="118">
        <f>IFERROR(INDEX('Fuel Model - Calculation'!$B$2:$M$3771,(MATCH(($E212&amp;"Results"&amp;$BT$140&amp;$F212&amp;"USD/ton"),'Fuel Model - Calculation'!$B$2:$B$3771,0)),MATCH(L$141,'Fuel Model - Calculation'!$B$2:$M$2,0)),0)</f>
        <v>475</v>
      </c>
      <c r="BY212" s="118">
        <f>IFERROR(INDEX('Fuel Model - Calculation'!$B$2:$M$3771,(MATCH(($E212&amp;"Results"&amp;$BT$140&amp;$F212&amp;"USD/ton"),'Fuel Model - Calculation'!$B$2:$B$3771,0)),MATCH(M$141,'Fuel Model - Calculation'!$B$2:$M$2,0)),0)</f>
        <v>475</v>
      </c>
      <c r="BZ212" s="118">
        <f>IFERROR(INDEX('Fuel Model - Calculation'!$B$2:$M$3771,(MATCH(($E212&amp;"Results"&amp;$BT$140&amp;$F212&amp;"USD/ton"),'Fuel Model - Calculation'!$B$2:$B$3771,0)),MATCH(N$141,'Fuel Model - Calculation'!$B$2:$M$2,0)),0)</f>
        <v>475</v>
      </c>
    </row>
    <row r="213" spans="1:78" x14ac:dyDescent="0.2">
      <c r="A213" s="452"/>
      <c r="B213" s="453"/>
      <c r="D213" s="74"/>
      <c r="E213"/>
      <c r="F213"/>
      <c r="G213"/>
      <c r="H213" s="118"/>
      <c r="I213"/>
      <c r="J213"/>
      <c r="K213"/>
      <c r="L213"/>
      <c r="M213"/>
      <c r="N213"/>
      <c r="O213"/>
      <c r="P213"/>
      <c r="Q213"/>
      <c r="R213"/>
      <c r="S213"/>
      <c r="T213"/>
      <c r="U213"/>
      <c r="V213"/>
      <c r="W213"/>
      <c r="X213"/>
      <c r="Y213"/>
      <c r="Z213"/>
      <c r="AA213"/>
      <c r="AB213"/>
      <c r="AC213"/>
      <c r="AD213"/>
      <c r="AE213"/>
      <c r="AF213" s="2"/>
      <c r="AG213" s="2"/>
      <c r="AH213" s="2"/>
      <c r="AI213" s="2"/>
      <c r="AJ213" s="2"/>
      <c r="AK213" s="2"/>
      <c r="AL213" s="2"/>
      <c r="AM213"/>
      <c r="AN213" s="24"/>
      <c r="AO213" s="24"/>
      <c r="AP213" s="24"/>
      <c r="AQ213" s="24"/>
      <c r="AR213" s="24"/>
      <c r="AS213" s="24"/>
      <c r="AT213" s="24"/>
      <c r="AU213"/>
      <c r="AV213" s="118"/>
      <c r="AW213" s="118"/>
      <c r="AX213" s="118"/>
      <c r="AY213" s="118"/>
      <c r="AZ213" s="118"/>
      <c r="BA213" s="118"/>
      <c r="BB213" s="118"/>
      <c r="BC213"/>
      <c r="BD213" s="118"/>
      <c r="BE213" s="118"/>
      <c r="BF213" s="118"/>
      <c r="BG213" s="118"/>
      <c r="BH213" s="118"/>
      <c r="BI213" s="118"/>
      <c r="BJ213" s="118"/>
      <c r="BL213" s="118"/>
      <c r="BM213" s="118"/>
      <c r="BN213" s="118"/>
      <c r="BO213" s="118"/>
      <c r="BP213" s="118"/>
      <c r="BQ213" s="118"/>
      <c r="BR213" s="118"/>
      <c r="BT213" s="118"/>
      <c r="BU213" s="118"/>
      <c r="BV213" s="118"/>
      <c r="BW213" s="118"/>
      <c r="BX213" s="118"/>
      <c r="BY213" s="118"/>
      <c r="BZ213" s="118"/>
    </row>
    <row r="214" spans="1:78" x14ac:dyDescent="0.2">
      <c r="A214" s="452"/>
      <c r="B214" s="453" t="str">
        <f>_xlfn.TEXTJOIN(keydelim,TRUE,F214,IF(E214="Africa","Africa&amp;other",E214),"Fuel cost",SUBSTITUTE($G214," ",""))</f>
        <v>Blue hydrogen (liquid) - Europe - Fuel cost - USD/ton</v>
      </c>
      <c r="D214" s="459" t="str">
        <f>E214&amp;F214</f>
        <v>EuropeBlue hydrogen (liquid)</v>
      </c>
      <c r="E214" t="s">
        <v>195</v>
      </c>
      <c r="F214" s="29" t="s">
        <v>593</v>
      </c>
      <c r="G214" t="s">
        <v>835</v>
      </c>
      <c r="H214" s="118">
        <f>INDEX('Fuel Model - Calculation'!$B$2:$M$3771,(MATCH(($E214&amp;"ResultsCost of "&amp;$F214&amp;"USD/ton"),'Fuel Model - Calculation'!$B$2:$B$3771,0)),MATCH(H$141,'Fuel Model - Calculation'!$B$2:$M$2,0))</f>
        <v>9246.7921659891381</v>
      </c>
      <c r="I214" s="118">
        <f>INDEX('Fuel Model - Calculation'!$B$2:$M$3771,(MATCH(($E214&amp;"ResultsCost of "&amp;$F214&amp;"USD/ton"),'Fuel Model - Calculation'!$B$2:$B$3771,0)),MATCH(I$141,'Fuel Model - Calculation'!$B$2:$M$2,0))</f>
        <v>5245.2816342860806</v>
      </c>
      <c r="J214" s="118">
        <f>INDEX('Fuel Model - Calculation'!$B$2:$M$3771,(MATCH(($E214&amp;"ResultsCost of "&amp;$F214&amp;"USD/ton"),'Fuel Model - Calculation'!$B$2:$B$3771,0)),MATCH(J$141,'Fuel Model - Calculation'!$B$2:$M$2,0))</f>
        <v>4271.4972787981997</v>
      </c>
      <c r="K214" s="118">
        <f>INDEX('Fuel Model - Calculation'!$B$2:$M$3771,(MATCH(($E214&amp;"ResultsCost of "&amp;$F214&amp;"USD/ton"),'Fuel Model - Calculation'!$B$2:$B$3771,0)),MATCH(K$141,'Fuel Model - Calculation'!$B$2:$M$2,0))</f>
        <v>4143.4830959859155</v>
      </c>
      <c r="L214" s="118">
        <f>INDEX('Fuel Model - Calculation'!$B$2:$M$3771,(MATCH(($E214&amp;"ResultsCost of "&amp;$F214&amp;"USD/ton"),'Fuel Model - Calculation'!$B$2:$B$3771,0)),MATCH(L$141,'Fuel Model - Calculation'!$B$2:$M$2,0))</f>
        <v>4037.3508501027</v>
      </c>
      <c r="M214" s="118">
        <f>INDEX('Fuel Model - Calculation'!$B$2:$M$3771,(MATCH(($E214&amp;"ResultsCost of "&amp;$F214&amp;"USD/ton"),'Fuel Model - Calculation'!$B$2:$B$3771,0)),MATCH(M$141,'Fuel Model - Calculation'!$B$2:$M$2,0))</f>
        <v>3936.4706628579465</v>
      </c>
      <c r="N214" s="118">
        <f>INDEX('Fuel Model - Calculation'!$B$2:$M$3771,(MATCH(($E214&amp;"ResultsCost of "&amp;$F214&amp;"USD/ton"),'Fuel Model - Calculation'!$B$2:$B$3771,0)),MATCH(N$141,'Fuel Model - Calculation'!$B$2:$M$2,0))</f>
        <v>3847.4319382457247</v>
      </c>
      <c r="O214"/>
      <c r="P214" s="118">
        <f>IFERROR(INDEX('Fuel Model - Calculation'!G$2:G$3771,(MATCH(($E214&amp;"ResultsTotal RNE "&amp;$F214&amp;"USD/ton"),'Fuel Model - Calculation'!$B$2:$B$3771,0))),0)</f>
        <v>0</v>
      </c>
      <c r="Q214" s="118">
        <f>IFERROR(INDEX('Fuel Model - Calculation'!H$2:H$3771,(MATCH(($E214&amp;"ResultsTotal RNE "&amp;$F214&amp;"USD/ton"),'Fuel Model - Calculation'!$B$2:$B$3771,0))),0)</f>
        <v>0</v>
      </c>
      <c r="R214" s="118">
        <f>IFERROR(INDEX('Fuel Model - Calculation'!I$2:I$3771,(MATCH(($E214&amp;"ResultsTotal RNE "&amp;$F214&amp;"USD/ton"),'Fuel Model - Calculation'!$B$2:$B$3771,0))),0)</f>
        <v>0</v>
      </c>
      <c r="S214" s="118">
        <f>IFERROR(INDEX('Fuel Model - Calculation'!J$2:J$3771,(MATCH(($E214&amp;"ResultsTotal RNE "&amp;$F214&amp;"USD/ton"),'Fuel Model - Calculation'!$B$2:$B$3771,0))),0)</f>
        <v>0</v>
      </c>
      <c r="T214" s="118">
        <f>IFERROR(INDEX('Fuel Model - Calculation'!K$2:K$3771,(MATCH(($E214&amp;"ResultsTotal RNE "&amp;$F214&amp;"USD/ton"),'Fuel Model - Calculation'!$B$2:$B$3771,0))),0)</f>
        <v>0</v>
      </c>
      <c r="U214" s="118">
        <f>IFERROR(INDEX('Fuel Model - Calculation'!L$2:L$3771,(MATCH(($E214&amp;"ResultsTotal RNE "&amp;$F214&amp;"USD/ton"),'Fuel Model - Calculation'!$B$2:$B$3771,0))),0)</f>
        <v>0</v>
      </c>
      <c r="V214" s="118">
        <f>IFERROR(INDEX('Fuel Model - Calculation'!M$2:M$3771,(MATCH(($E214&amp;"ResultsTotal RNE "&amp;$F214&amp;"USD/ton"),'Fuel Model - Calculation'!$B$2:$B$3771,0))),0)</f>
        <v>0</v>
      </c>
      <c r="W214"/>
      <c r="X214" s="2">
        <f>INDEX('Fuel Model - Calculation'!$E$2:$M$3771,(MATCH(("WTT Emission - "&amp;$F214),'Fuel Model - Calculation'!$E$2:$E$3771,0)),MATCH(X$141,'Fuel Model - Calculation'!$E$2:$M$2,0))</f>
        <v>1.9865325617428082</v>
      </c>
      <c r="Y214" s="2">
        <f>INDEX('Fuel Model - Calculation'!$E$2:$M$3771,(MATCH(("WTT Emission - "&amp;$F214),'Fuel Model - Calculation'!$E$2:$E$3771,0)),MATCH(Y$141,'Fuel Model - Calculation'!$E$2:$M$2,0))</f>
        <v>1.8688949152542371</v>
      </c>
      <c r="Z214" s="2">
        <f>INDEX('Fuel Model - Calculation'!$E$2:$M$3771,(MATCH(("WTT Emission - "&amp;$F214),'Fuel Model - Calculation'!$E$2:$E$3771,0)),MATCH(Z$141,'Fuel Model - Calculation'!$E$2:$M$2,0))</f>
        <v>1.7521101087172288</v>
      </c>
      <c r="AA214" s="2">
        <f>INDEX('Fuel Model - Calculation'!$E$2:$M$3771,(MATCH(("WTT Emission - "&amp;$F214),'Fuel Model - Calculation'!$E$2:$E$3771,0)),MATCH(AA$141,'Fuel Model - Calculation'!$E$2:$M$2,0))</f>
        <v>1.6361611252163055</v>
      </c>
      <c r="AB214" s="2">
        <f>INDEX('Fuel Model - Calculation'!$E$2:$M$3771,(MATCH(("WTT Emission - "&amp;$F214),'Fuel Model - Calculation'!$E$2:$E$3771,0)),MATCH(AB$141,'Fuel Model - Calculation'!$E$2:$M$2,0))</f>
        <v>1.5210312923520297</v>
      </c>
      <c r="AC214" s="2">
        <f>INDEX('Fuel Model - Calculation'!$E$2:$M$3771,(MATCH(("WTT Emission - "&amp;$F214),'Fuel Model - Calculation'!$E$2:$E$3771,0)),MATCH(AC$141,'Fuel Model - Calculation'!$E$2:$M$2,0))</f>
        <v>1.4067042752465706</v>
      </c>
      <c r="AD214" s="2">
        <f>INDEX('Fuel Model - Calculation'!$E$2:$M$3771,(MATCH(("WTT Emission - "&amp;$F214),'Fuel Model - Calculation'!$E$2:$E$3771,0)),MATCH(AD$141,'Fuel Model - Calculation'!$E$2:$M$2,0))</f>
        <v>1.2931640677966105</v>
      </c>
      <c r="AE214" s="2"/>
      <c r="AF214" s="2">
        <f>'Fuel Model -  Input'!H$47</f>
        <v>0</v>
      </c>
      <c r="AG214" s="2">
        <f>'Fuel Model -  Input'!I$47</f>
        <v>0</v>
      </c>
      <c r="AH214" s="2">
        <f>'Fuel Model -  Input'!J$47</f>
        <v>0</v>
      </c>
      <c r="AI214" s="2">
        <f>'Fuel Model -  Input'!K$47</f>
        <v>0</v>
      </c>
      <c r="AJ214" s="2">
        <f>'Fuel Model -  Input'!L$47</f>
        <v>0</v>
      </c>
      <c r="AK214" s="2">
        <f>'Fuel Model -  Input'!M$47</f>
        <v>0</v>
      </c>
      <c r="AL214" s="2">
        <f>'Fuel Model -  Input'!N$47</f>
        <v>0</v>
      </c>
      <c r="AM214"/>
      <c r="AN214" s="24">
        <f t="shared" ref="AN214:AT218" si="194">X214+AF214</f>
        <v>1.9865325617428082</v>
      </c>
      <c r="AO214" s="24">
        <f t="shared" si="194"/>
        <v>1.8688949152542371</v>
      </c>
      <c r="AP214" s="24">
        <f t="shared" si="194"/>
        <v>1.7521101087172288</v>
      </c>
      <c r="AQ214" s="24">
        <f t="shared" si="194"/>
        <v>1.6361611252163055</v>
      </c>
      <c r="AR214" s="24">
        <f t="shared" si="194"/>
        <v>1.5210312923520297</v>
      </c>
      <c r="AS214" s="24">
        <f t="shared" si="194"/>
        <v>1.4067042752465706</v>
      </c>
      <c r="AT214" s="24">
        <f t="shared" si="194"/>
        <v>1.2931640677966105</v>
      </c>
      <c r="AU214"/>
      <c r="AV214" s="118">
        <f>IFERROR(INDEX('Fuel Model - Calculation'!$B$2:$M$3771,(MATCH(($E214&amp;"Results"&amp;$AV$140&amp;$F214&amp;"USD/ton"),'Fuel Model - Calculation'!$B$2:$B$3771,0)),MATCH(H$141,'Fuel Model - Calculation'!$B$2:$M$2,0)),0)</f>
        <v>1274.8413816742118</v>
      </c>
      <c r="AW214" s="118">
        <f>IFERROR(INDEX('Fuel Model - Calculation'!$B$2:$M$3771,(MATCH(($E214&amp;"Results"&amp;$AV$140&amp;$F214&amp;"USD/ton"),'Fuel Model - Calculation'!$B$2:$B$3771,0)),MATCH(I$141,'Fuel Model - Calculation'!$B$2:$M$2,0)),0)</f>
        <v>1265</v>
      </c>
      <c r="AX214" s="118">
        <f>IFERROR(INDEX('Fuel Model - Calculation'!$B$2:$M$3771,(MATCH(($E214&amp;"Results"&amp;$AV$140&amp;$F214&amp;"USD/ton"),'Fuel Model - Calculation'!$B$2:$B$3771,0)),MATCH(J$141,'Fuel Model - Calculation'!$B$2:$M$2,0)),0)</f>
        <v>1255.5110135606965</v>
      </c>
      <c r="AY214" s="118">
        <f>IFERROR(INDEX('Fuel Model - Calculation'!$B$2:$M$3771,(MATCH(($E214&amp;"Results"&amp;$AV$140&amp;$F214&amp;"USD/ton"),'Fuel Model - Calculation'!$B$2:$B$3771,0)),MATCH(K$141,'Fuel Model - Calculation'!$B$2:$M$2,0)),0)</f>
        <v>1246.3618039653368</v>
      </c>
      <c r="AZ214" s="118">
        <f>IFERROR(INDEX('Fuel Model - Calculation'!$B$2:$M$3771,(MATCH(($E214&amp;"Results"&amp;$AV$140&amp;$F214&amp;"USD/ton"),'Fuel Model - Calculation'!$B$2:$B$3771,0)),MATCH(L$141,'Fuel Model - Calculation'!$B$2:$M$2,0)),0)</f>
        <v>1237.5402046559425</v>
      </c>
      <c r="BA214" s="118">
        <f>IFERROR(INDEX('Fuel Model - Calculation'!$B$2:$M$3771,(MATCH(($E214&amp;"Results"&amp;$AV$140&amp;$F214&amp;"USD/ton"),'Fuel Model - Calculation'!$B$2:$B$3771,0)),MATCH(M$141,'Fuel Model - Calculation'!$B$2:$M$2,0)),0)</f>
        <v>1229.0344847285098</v>
      </c>
      <c r="BB214" s="118">
        <f>IFERROR(INDEX('Fuel Model - Calculation'!$B$2:$M$3771,(MATCH(($E214&amp;"Results"&amp;$AV$140&amp;$F214&amp;"USD/ton"),'Fuel Model - Calculation'!$B$2:$B$3771,0)),MATCH(N$141,'Fuel Model - Calculation'!$B$2:$M$2,0)),0)</f>
        <v>1220.8333333333335</v>
      </c>
      <c r="BC214"/>
      <c r="BD214" s="118">
        <f>IFERROR(INDEX('Fuel Model - Calculation'!$B$2:$M$3771,(MATCH(($E214&amp;"Results"&amp;$BD$140&amp;$F214&amp;"USD/ton"),'Fuel Model - Calculation'!$B$2:$B$3771,0)),MATCH(P$141,'Fuel Model - Calculation'!$B$2:$M$2,0)),0)</f>
        <v>1003.3725519649257</v>
      </c>
      <c r="BE214" s="118">
        <f>IFERROR(INDEX('Fuel Model - Calculation'!$B$2:$M$3771,(MATCH(($E214&amp;"Results"&amp;$BD$140&amp;$F214&amp;"USD/ton"),'Fuel Model - Calculation'!$B$2:$B$3771,0)),MATCH(Q$141,'Fuel Model - Calculation'!$B$2:$M$2,0)),0)</f>
        <v>841.78163428608013</v>
      </c>
      <c r="BF214" s="118">
        <f>IFERROR(INDEX('Fuel Model - Calculation'!$B$2:$M$3771,(MATCH(($E214&amp;"Results"&amp;$BD$140&amp;$F214&amp;"USD/ton"),'Fuel Model - Calculation'!$B$2:$B$3771,0)),MATCH(R$141,'Fuel Model - Calculation'!$B$2:$M$2,0)),0)</f>
        <v>709.41419598750383</v>
      </c>
      <c r="BG214" s="118">
        <f>IFERROR(INDEX('Fuel Model - Calculation'!$B$2:$M$3771,(MATCH(($E214&amp;"Results"&amp;$BD$140&amp;$F214&amp;"USD/ton"),'Fuel Model - Calculation'!$B$2:$B$3771,0)),MATCH(S$141,'Fuel Model - Calculation'!$B$2:$M$2,0)),0)</f>
        <v>633.99032902057911</v>
      </c>
      <c r="BH214" s="118">
        <f>IFERROR(INDEX('Fuel Model - Calculation'!$B$2:$M$3771,(MATCH(($E214&amp;"Results"&amp;$BD$140&amp;$F214&amp;"USD/ton"),'Fuel Model - Calculation'!$B$2:$B$3771,0)),MATCH(T$141,'Fuel Model - Calculation'!$B$2:$M$2,0)),0)</f>
        <v>579.15709787175706</v>
      </c>
      <c r="BI214" s="118">
        <f>IFERROR(INDEX('Fuel Model - Calculation'!$B$2:$M$3771,(MATCH(($E214&amp;"Results"&amp;$BD$140&amp;$F214&amp;"USD/ton"),'Fuel Model - Calculation'!$B$2:$B$3771,0)),MATCH(U$141,'Fuel Model - Calculation'!$B$2:$M$2,0)),0)</f>
        <v>528.31893680443648</v>
      </c>
      <c r="BJ214" s="118">
        <f>IFERROR(INDEX('Fuel Model - Calculation'!$B$2:$M$3771,(MATCH(($E214&amp;"Results"&amp;$BD$140&amp;$F214&amp;"USD/ton"),'Fuel Model - Calculation'!$B$2:$B$3771,0)),MATCH(V$141,'Fuel Model - Calculation'!$B$2:$M$2,0)),0)</f>
        <v>488.09860491239112</v>
      </c>
      <c r="BL214" s="118">
        <f>IFERROR(IFERROR(INDEX('Fuel Model - Calculation'!$B$2:$M$3771,(MATCH(($E214&amp;"Results"&amp;$BL$140&amp;$F214&amp;"USD/ton"),'Fuel Model - Calculation'!$B$2:$B$3771,0)),MATCH(H$141,'Fuel Model - Calculation'!$B$2:$M$2,0)),0),0)</f>
        <v>679.59226035000006</v>
      </c>
      <c r="BM214" s="118">
        <f>IFERROR(IFERROR(INDEX('Fuel Model - Calculation'!$B$2:$M$3771,(MATCH(($E214&amp;"Results"&amp;$BL$140&amp;$F214&amp;"USD/ton"),'Fuel Model - Calculation'!$B$2:$B$3771,0)),MATCH(I$141,'Fuel Model - Calculation'!$B$2:$M$2,0)),0),0)</f>
        <v>675</v>
      </c>
      <c r="BN214" s="118">
        <f>IFERROR(IFERROR(INDEX('Fuel Model - Calculation'!$B$2:$M$3771,(MATCH(($E214&amp;"Results"&amp;$BL$140&amp;$F214&amp;"USD/ton"),'Fuel Model - Calculation'!$B$2:$B$3771,0)),MATCH(J$141,'Fuel Model - Calculation'!$B$2:$M$2,0)),0),0)</f>
        <v>670.43877127499991</v>
      </c>
      <c r="BO214" s="118">
        <f>IFERROR(IFERROR(INDEX('Fuel Model - Calculation'!$B$2:$M$3771,(MATCH(($E214&amp;"Results"&amp;$BL$140&amp;$F214&amp;"USD/ton"),'Fuel Model - Calculation'!$B$2:$B$3771,0)),MATCH(K$141,'Fuel Model - Calculation'!$B$2:$M$2,0)),0),0)</f>
        <v>665.90836447499998</v>
      </c>
      <c r="BP214" s="118">
        <f>IFERROR(IFERROR(INDEX('Fuel Model - Calculation'!$B$2:$M$3771,(MATCH(($E214&amp;"Results"&amp;$BL$140&amp;$F214&amp;"USD/ton"),'Fuel Model - Calculation'!$B$2:$B$3771,0)),MATCH(L$141,'Fuel Model - Calculation'!$B$2:$M$2,0)),0),0)</f>
        <v>661.40857132500003</v>
      </c>
      <c r="BQ214" s="118">
        <f>IFERROR(IFERROR(INDEX('Fuel Model - Calculation'!$B$2:$M$3771,(MATCH(($E214&amp;"Results"&amp;$BL$140&amp;$F214&amp;"USD/ton"),'Fuel Model - Calculation'!$B$2:$B$3771,0)),MATCH(M$141,'Fuel Model - Calculation'!$B$2:$M$2,0)),0),0)</f>
        <v>656.93918504999999</v>
      </c>
      <c r="BR214" s="118">
        <f>IFERROR(IFERROR(INDEX('Fuel Model - Calculation'!$B$2:$M$3771,(MATCH(($E214&amp;"Results"&amp;$BL$140&amp;$F214&amp;"USD/ton"),'Fuel Model - Calculation'!$B$2:$B$3771,0)),MATCH(N$141,'Fuel Model - Calculation'!$B$2:$M$2,0)),0),0)</f>
        <v>652.5</v>
      </c>
      <c r="BT214" s="118">
        <f>IFERROR(INDEX('Fuel Model - Calculation'!$B$2:$M$3771,(MATCH(($E214&amp;"Results"&amp;$BT$140&amp;$F214&amp;"USD/ton"),'Fuel Model - Calculation'!$B$2:$B$3771,0)),MATCH(H$141,'Fuel Model - Calculation'!$B$2:$M$2,0)),0)</f>
        <v>6288.9859720000004</v>
      </c>
      <c r="BU214" s="118">
        <f>IFERROR(INDEX('Fuel Model - Calculation'!$B$2:$M$3771,(MATCH(($E214&amp;"Results"&amp;$BT$140&amp;$F214&amp;"USD/ton"),'Fuel Model - Calculation'!$B$2:$B$3771,0)),MATCH(I$141,'Fuel Model - Calculation'!$B$2:$M$2,0)),0)</f>
        <v>2463.5</v>
      </c>
      <c r="BV214" s="118">
        <f>IFERROR(INDEX('Fuel Model - Calculation'!$B$2:$M$3771,(MATCH(($E214&amp;"Results"&amp;$BT$140&amp;$F214&amp;"USD/ton"),'Fuel Model - Calculation'!$B$2:$B$3771,0)),MATCH(J$141,'Fuel Model - Calculation'!$B$2:$M$2,0)),0)</f>
        <v>1636.133297975</v>
      </c>
      <c r="BW214" s="118">
        <f>IFERROR(INDEX('Fuel Model - Calculation'!$B$2:$M$3771,(MATCH(($E214&amp;"Results"&amp;$BT$140&amp;$F214&amp;"USD/ton"),'Fuel Model - Calculation'!$B$2:$B$3771,0)),MATCH(K$141,'Fuel Model - Calculation'!$B$2:$M$2,0)),0)</f>
        <v>1597.222598525</v>
      </c>
      <c r="BX214" s="118">
        <f>IFERROR(INDEX('Fuel Model - Calculation'!$B$2:$M$3771,(MATCH(($E214&amp;"Results"&amp;$BT$140&amp;$F214&amp;"USD/ton"),'Fuel Model - Calculation'!$B$2:$B$3771,0)),MATCH(L$141,'Fuel Model - Calculation'!$B$2:$M$2,0)),0)</f>
        <v>1559.24497625</v>
      </c>
      <c r="BY214" s="118">
        <f>IFERROR(INDEX('Fuel Model - Calculation'!$B$2:$M$3771,(MATCH(($E214&amp;"Results"&amp;$BT$140&amp;$F214&amp;"USD/ton"),'Fuel Model - Calculation'!$B$2:$B$3771,0)),MATCH(M$141,'Fuel Model - Calculation'!$B$2:$M$2,0)),0)</f>
        <v>1522.178056275</v>
      </c>
      <c r="BZ214" s="118">
        <f>IFERROR(INDEX('Fuel Model - Calculation'!$B$2:$M$3771,(MATCH(($E214&amp;"Results"&amp;$BT$140&amp;$F214&amp;"USD/ton"),'Fuel Model - Calculation'!$B$2:$B$3771,0)),MATCH(N$141,'Fuel Model - Calculation'!$B$2:$M$2,0)),0)</f>
        <v>1486</v>
      </c>
    </row>
    <row r="215" spans="1:78" x14ac:dyDescent="0.2">
      <c r="A215" s="452"/>
      <c r="B215" s="453" t="str">
        <f>_xlfn.TEXTJOIN(keydelim,TRUE,F215,IF(E215="Africa","Africa&amp;other",E215),"Fuel cost",SUBSTITUTE($G215," ",""))</f>
        <v>Blue hydrogen (liquid) - Middle East - Fuel cost - USD/ton</v>
      </c>
      <c r="D215" s="459" t="str">
        <f t="shared" ref="D215:D218" si="195">E215&amp;F215</f>
        <v>Middle EastBlue hydrogen (liquid)</v>
      </c>
      <c r="E215" t="s">
        <v>197</v>
      </c>
      <c r="F215" s="460" t="str">
        <f t="shared" ref="F215:F218" si="196">F214</f>
        <v>Blue hydrogen (liquid)</v>
      </c>
      <c r="G215" t="s">
        <v>835</v>
      </c>
      <c r="H215" s="118">
        <f>INDEX('Fuel Model - Calculation'!$B$2:$M$3771,(MATCH(($E215&amp;"ResultsCost of "&amp;$F215&amp;"USD/ton"),'Fuel Model - Calculation'!$B$2:$B$3771,0)),MATCH(H$141,'Fuel Model - Calculation'!$B$2:$M$2,0))</f>
        <v>7864.9413689878829</v>
      </c>
      <c r="I215" s="118">
        <f>INDEX('Fuel Model - Calculation'!$B$2:$M$3771,(MATCH(($E215&amp;"ResultsCost of "&amp;$F215&amp;"USD/ton"),'Fuel Model - Calculation'!$B$2:$B$3771,0)),MATCH(I$141,'Fuel Model - Calculation'!$B$2:$M$2,0))</f>
        <v>4528.5308912770406</v>
      </c>
      <c r="J215" s="118">
        <f>INDEX('Fuel Model - Calculation'!$B$2:$M$3771,(MATCH(($E215&amp;"ResultsCost of "&amp;$F215&amp;"USD/ton"),'Fuel Model - Calculation'!$B$2:$B$3771,0)),MATCH(J$141,'Fuel Model - Calculation'!$B$2:$M$2,0))</f>
        <v>3070.0442389775335</v>
      </c>
      <c r="K215" s="118">
        <f>INDEX('Fuel Model - Calculation'!$B$2:$M$3771,(MATCH(($E215&amp;"ResultsCost of "&amp;$F215&amp;"USD/ton"),'Fuel Model - Calculation'!$B$2:$B$3771,0)),MATCH(K$141,'Fuel Model - Calculation'!$B$2:$M$2,0))</f>
        <v>2965.9072118542745</v>
      </c>
      <c r="L215" s="118">
        <f>INDEX('Fuel Model - Calculation'!$B$2:$M$3771,(MATCH(($E215&amp;"ResultsCost of "&amp;$F215&amp;"USD/ton"),'Fuel Model - Calculation'!$B$2:$B$3771,0)),MATCH(L$141,'Fuel Model - Calculation'!$B$2:$M$2,0))</f>
        <v>2887.9232266237414</v>
      </c>
      <c r="M215" s="118">
        <f>INDEX('Fuel Model - Calculation'!$B$2:$M$3771,(MATCH(($E215&amp;"ResultsCost of "&amp;$F215&amp;"USD/ton"),'Fuel Model - Calculation'!$B$2:$B$3771,0)),MATCH(M$141,'Fuel Model - Calculation'!$B$2:$M$2,0))</f>
        <v>2810.0629655292623</v>
      </c>
      <c r="N215" s="118">
        <f>INDEX('Fuel Model - Calculation'!$B$2:$M$3771,(MATCH(($E215&amp;"ResultsCost of "&amp;$F215&amp;"USD/ton"),'Fuel Model - Calculation'!$B$2:$B$3771,0)),MATCH(N$141,'Fuel Model - Calculation'!$B$2:$M$2,0))</f>
        <v>2750.7241033002729</v>
      </c>
      <c r="O215"/>
      <c r="P215" s="118">
        <f>IFERROR(INDEX('Fuel Model - Calculation'!G$2:G$3771,(MATCH(($E215&amp;"ResultsTotal RNE "&amp;$F215&amp;"USD/ton"),'Fuel Model - Calculation'!$B$2:$B$3771,0))),0)</f>
        <v>0</v>
      </c>
      <c r="Q215" s="118">
        <f>IFERROR(INDEX('Fuel Model - Calculation'!H$2:H$3771,(MATCH(($E215&amp;"ResultsTotal RNE "&amp;$F215&amp;"USD/ton"),'Fuel Model - Calculation'!$B$2:$B$3771,0))),0)</f>
        <v>0</v>
      </c>
      <c r="R215" s="118">
        <f>IFERROR(INDEX('Fuel Model - Calculation'!I$2:I$3771,(MATCH(($E215&amp;"ResultsTotal RNE "&amp;$F215&amp;"USD/ton"),'Fuel Model - Calculation'!$B$2:$B$3771,0))),0)</f>
        <v>0</v>
      </c>
      <c r="S215" s="118">
        <f>IFERROR(INDEX('Fuel Model - Calculation'!J$2:J$3771,(MATCH(($E215&amp;"ResultsTotal RNE "&amp;$F215&amp;"USD/ton"),'Fuel Model - Calculation'!$B$2:$B$3771,0))),0)</f>
        <v>0</v>
      </c>
      <c r="T215" s="118">
        <f>IFERROR(INDEX('Fuel Model - Calculation'!K$2:K$3771,(MATCH(($E215&amp;"ResultsTotal RNE "&amp;$F215&amp;"USD/ton"),'Fuel Model - Calculation'!$B$2:$B$3771,0))),0)</f>
        <v>0</v>
      </c>
      <c r="U215" s="118">
        <f>IFERROR(INDEX('Fuel Model - Calculation'!L$2:L$3771,(MATCH(($E215&amp;"ResultsTotal RNE "&amp;$F215&amp;"USD/ton"),'Fuel Model - Calculation'!$B$2:$B$3771,0))),0)</f>
        <v>0</v>
      </c>
      <c r="V215" s="118">
        <f>IFERROR(INDEX('Fuel Model - Calculation'!M$2:M$3771,(MATCH(($E215&amp;"ResultsTotal RNE "&amp;$F215&amp;"USD/ton"),'Fuel Model - Calculation'!$B$2:$B$3771,0))),0)</f>
        <v>0</v>
      </c>
      <c r="W215"/>
      <c r="X215" s="2">
        <f>INDEX('Fuel Model - Calculation'!$E$2:$M$3771,(MATCH(("WTT Emission - "&amp;$F215),'Fuel Model - Calculation'!$E$2:$E$3771,0)),MATCH(X$141,'Fuel Model - Calculation'!$E$2:$M$2,0))</f>
        <v>1.9865325617428082</v>
      </c>
      <c r="Y215" s="2">
        <f>INDEX('Fuel Model - Calculation'!$E$2:$M$3771,(MATCH(("WTT Emission - "&amp;$F215),'Fuel Model - Calculation'!$E$2:$E$3771,0)),MATCH(Y$141,'Fuel Model - Calculation'!$E$2:$M$2,0))</f>
        <v>1.8688949152542371</v>
      </c>
      <c r="Z215" s="2">
        <f>INDEX('Fuel Model - Calculation'!$E$2:$M$3771,(MATCH(("WTT Emission - "&amp;$F215),'Fuel Model - Calculation'!$E$2:$E$3771,0)),MATCH(Z$141,'Fuel Model - Calculation'!$E$2:$M$2,0))</f>
        <v>1.7521101087172288</v>
      </c>
      <c r="AA215" s="2">
        <f>INDEX('Fuel Model - Calculation'!$E$2:$M$3771,(MATCH(("WTT Emission - "&amp;$F215),'Fuel Model - Calculation'!$E$2:$E$3771,0)),MATCH(AA$141,'Fuel Model - Calculation'!$E$2:$M$2,0))</f>
        <v>1.6361611252163055</v>
      </c>
      <c r="AB215" s="2">
        <f>INDEX('Fuel Model - Calculation'!$E$2:$M$3771,(MATCH(("WTT Emission - "&amp;$F215),'Fuel Model - Calculation'!$E$2:$E$3771,0)),MATCH(AB$141,'Fuel Model - Calculation'!$E$2:$M$2,0))</f>
        <v>1.5210312923520297</v>
      </c>
      <c r="AC215" s="2">
        <f>INDEX('Fuel Model - Calculation'!$E$2:$M$3771,(MATCH(("WTT Emission - "&amp;$F215),'Fuel Model - Calculation'!$E$2:$E$3771,0)),MATCH(AC$141,'Fuel Model - Calculation'!$E$2:$M$2,0))</f>
        <v>1.4067042752465706</v>
      </c>
      <c r="AD215" s="2">
        <f>INDEX('Fuel Model - Calculation'!$E$2:$M$3771,(MATCH(("WTT Emission - "&amp;$F215),'Fuel Model - Calculation'!$E$2:$E$3771,0)),MATCH(AD$141,'Fuel Model - Calculation'!$E$2:$M$2,0))</f>
        <v>1.2931640677966105</v>
      </c>
      <c r="AE215" s="2"/>
      <c r="AF215" s="2">
        <f>'Fuel Model -  Input'!H$47</f>
        <v>0</v>
      </c>
      <c r="AG215" s="2">
        <f>'Fuel Model -  Input'!I$47</f>
        <v>0</v>
      </c>
      <c r="AH215" s="2">
        <f>'Fuel Model -  Input'!J$47</f>
        <v>0</v>
      </c>
      <c r="AI215" s="2">
        <f>'Fuel Model -  Input'!K$47</f>
        <v>0</v>
      </c>
      <c r="AJ215" s="2">
        <f>'Fuel Model -  Input'!L$47</f>
        <v>0</v>
      </c>
      <c r="AK215" s="2">
        <f>'Fuel Model -  Input'!M$47</f>
        <v>0</v>
      </c>
      <c r="AL215" s="2">
        <f>'Fuel Model -  Input'!N$47</f>
        <v>0</v>
      </c>
      <c r="AM215"/>
      <c r="AN215" s="24">
        <f t="shared" si="194"/>
        <v>1.9865325617428082</v>
      </c>
      <c r="AO215" s="24">
        <f t="shared" si="194"/>
        <v>1.8688949152542371</v>
      </c>
      <c r="AP215" s="24">
        <f t="shared" si="194"/>
        <v>1.7521101087172288</v>
      </c>
      <c r="AQ215" s="24">
        <f t="shared" si="194"/>
        <v>1.6361611252163055</v>
      </c>
      <c r="AR215" s="24">
        <f t="shared" si="194"/>
        <v>1.5210312923520297</v>
      </c>
      <c r="AS215" s="24">
        <f t="shared" si="194"/>
        <v>1.4067042752465706</v>
      </c>
      <c r="AT215" s="24">
        <f t="shared" si="194"/>
        <v>1.2931640677966105</v>
      </c>
      <c r="AU215"/>
      <c r="AV215" s="118">
        <f>IFERROR(INDEX('Fuel Model - Calculation'!$B$2:$M$3771,(MATCH(($E215&amp;"Results"&amp;$AV$140&amp;$F215&amp;"USD/ton"),'Fuel Model - Calculation'!$B$2:$B$3771,0)),MATCH(H$141,'Fuel Model - Calculation'!$B$2:$M$2,0)),0)</f>
        <v>1274.8413816742118</v>
      </c>
      <c r="AW215" s="118">
        <f>IFERROR(INDEX('Fuel Model - Calculation'!$B$2:$M$3771,(MATCH(($E215&amp;"Results"&amp;$AV$140&amp;$F215&amp;"USD/ton"),'Fuel Model - Calculation'!$B$2:$B$3771,0)),MATCH(I$141,'Fuel Model - Calculation'!$B$2:$M$2,0)),0)</f>
        <v>1265.0000000000002</v>
      </c>
      <c r="AX215" s="118">
        <f>IFERROR(INDEX('Fuel Model - Calculation'!$B$2:$M$3771,(MATCH(($E215&amp;"Results"&amp;$AV$140&amp;$F215&amp;"USD/ton"),'Fuel Model - Calculation'!$B$2:$B$3771,0)),MATCH(J$141,'Fuel Model - Calculation'!$B$2:$M$2,0)),0)</f>
        <v>1255.5110135606963</v>
      </c>
      <c r="AY215" s="118">
        <f>IFERROR(INDEX('Fuel Model - Calculation'!$B$2:$M$3771,(MATCH(($E215&amp;"Results"&amp;$AV$140&amp;$F215&amp;"USD/ton"),'Fuel Model - Calculation'!$B$2:$B$3771,0)),MATCH(K$141,'Fuel Model - Calculation'!$B$2:$M$2,0)),0)</f>
        <v>1246.3618039653368</v>
      </c>
      <c r="AZ215" s="118">
        <f>IFERROR(INDEX('Fuel Model - Calculation'!$B$2:$M$3771,(MATCH(($E215&amp;"Results"&amp;$AV$140&amp;$F215&amp;"USD/ton"),'Fuel Model - Calculation'!$B$2:$B$3771,0)),MATCH(L$141,'Fuel Model - Calculation'!$B$2:$M$2,0)),0)</f>
        <v>1237.5402046559427</v>
      </c>
      <c r="BA215" s="118">
        <f>IFERROR(INDEX('Fuel Model - Calculation'!$B$2:$M$3771,(MATCH(($E215&amp;"Results"&amp;$AV$140&amp;$F215&amp;"USD/ton"),'Fuel Model - Calculation'!$B$2:$B$3771,0)),MATCH(M$141,'Fuel Model - Calculation'!$B$2:$M$2,0)),0)</f>
        <v>1229.0344847285098</v>
      </c>
      <c r="BB215" s="118">
        <f>IFERROR(INDEX('Fuel Model - Calculation'!$B$2:$M$3771,(MATCH(($E215&amp;"Results"&amp;$AV$140&amp;$F215&amp;"USD/ton"),'Fuel Model - Calculation'!$B$2:$B$3771,0)),MATCH(N$141,'Fuel Model - Calculation'!$B$2:$M$2,0)),0)</f>
        <v>1220.8333333333335</v>
      </c>
      <c r="BC215"/>
      <c r="BD215" s="118">
        <f>IFERROR(INDEX('Fuel Model - Calculation'!$B$2:$M$3771,(MATCH(($E215&amp;"Results"&amp;$BD$140&amp;$F215&amp;"USD/ton"),'Fuel Model - Calculation'!$B$2:$B$3771,0)),MATCH(P$141,'Fuel Model - Calculation'!$B$2:$M$2,0)),0)</f>
        <v>876.61894936367071</v>
      </c>
      <c r="BE215" s="118">
        <f>IFERROR(INDEX('Fuel Model - Calculation'!$B$2:$M$3771,(MATCH(($E215&amp;"Results"&amp;$BD$140&amp;$F215&amp;"USD/ton"),'Fuel Model - Calculation'!$B$2:$B$3771,0)),MATCH(Q$141,'Fuel Model - Calculation'!$B$2:$M$2,0)),0)</f>
        <v>737.53089127704084</v>
      </c>
      <c r="BF215" s="118">
        <f>IFERROR(INDEX('Fuel Model - Calculation'!$B$2:$M$3771,(MATCH(($E215&amp;"Results"&amp;$BD$140&amp;$F215&amp;"USD/ton"),'Fuel Model - Calculation'!$B$2:$B$3771,0)),MATCH(R$141,'Fuel Model - Calculation'!$B$2:$M$2,0)),0)</f>
        <v>635.26428949683759</v>
      </c>
      <c r="BG215" s="118">
        <f>IFERROR(INDEX('Fuel Model - Calculation'!$B$2:$M$3771,(MATCH(($E215&amp;"Results"&amp;$BD$140&amp;$F215&amp;"USD/ton"),'Fuel Model - Calculation'!$B$2:$B$3771,0)),MATCH(S$141,'Fuel Model - Calculation'!$B$2:$M$2,0)),0)</f>
        <v>556.68488175893742</v>
      </c>
      <c r="BH215" s="118">
        <f>IFERROR(INDEX('Fuel Model - Calculation'!$B$2:$M$3771,(MATCH(($E215&amp;"Results"&amp;$BD$140&amp;$F215&amp;"USD/ton"),'Fuel Model - Calculation'!$B$2:$B$3771,0)),MATCH(T$141,'Fuel Model - Calculation'!$B$2:$M$2,0)),0)</f>
        <v>503.61545789279876</v>
      </c>
      <c r="BI215" s="118">
        <f>IFERROR(INDEX('Fuel Model - Calculation'!$B$2:$M$3771,(MATCH(($E215&amp;"Results"&amp;$BD$140&amp;$F215&amp;"USD/ton"),'Fuel Model - Calculation'!$B$2:$B$3771,0)),MATCH(U$141,'Fuel Model - Calculation'!$B$2:$M$2,0)),0)</f>
        <v>450.04546804575244</v>
      </c>
      <c r="BJ215" s="118">
        <f>IFERROR(INDEX('Fuel Model - Calculation'!$B$2:$M$3771,(MATCH(($E215&amp;"Results"&amp;$BD$140&amp;$F215&amp;"USD/ton"),'Fuel Model - Calculation'!$B$2:$B$3771,0)),MATCH(V$141,'Fuel Model - Calculation'!$B$2:$M$2,0)),0)</f>
        <v>414.39076996693922</v>
      </c>
      <c r="BL215" s="118">
        <f>IFERROR(IFERROR(INDEX('Fuel Model - Calculation'!$B$2:$M$3771,(MATCH(($E215&amp;"Results"&amp;$BL$140&amp;$F215&amp;"USD/ton"),'Fuel Model - Calculation'!$B$2:$B$3771,0)),MATCH(H$141,'Fuel Model - Calculation'!$B$2:$M$2,0)),0),0)</f>
        <v>679.59226035000006</v>
      </c>
      <c r="BM215" s="118">
        <f>IFERROR(IFERROR(INDEX('Fuel Model - Calculation'!$B$2:$M$3771,(MATCH(($E215&amp;"Results"&amp;$BL$140&amp;$F215&amp;"USD/ton"),'Fuel Model - Calculation'!$B$2:$B$3771,0)),MATCH(I$141,'Fuel Model - Calculation'!$B$2:$M$2,0)),0),0)</f>
        <v>675</v>
      </c>
      <c r="BN215" s="118">
        <f>IFERROR(IFERROR(INDEX('Fuel Model - Calculation'!$B$2:$M$3771,(MATCH(($E215&amp;"Results"&amp;$BL$140&amp;$F215&amp;"USD/ton"),'Fuel Model - Calculation'!$B$2:$B$3771,0)),MATCH(J$141,'Fuel Model - Calculation'!$B$2:$M$2,0)),0),0)</f>
        <v>670.43877127499991</v>
      </c>
      <c r="BO215" s="118">
        <f>IFERROR(IFERROR(INDEX('Fuel Model - Calculation'!$B$2:$M$3771,(MATCH(($E215&amp;"Results"&amp;$BL$140&amp;$F215&amp;"USD/ton"),'Fuel Model - Calculation'!$B$2:$B$3771,0)),MATCH(K$141,'Fuel Model - Calculation'!$B$2:$M$2,0)),0),0)</f>
        <v>665.90836447499998</v>
      </c>
      <c r="BP215" s="118">
        <f>IFERROR(IFERROR(INDEX('Fuel Model - Calculation'!$B$2:$M$3771,(MATCH(($E215&amp;"Results"&amp;$BL$140&amp;$F215&amp;"USD/ton"),'Fuel Model - Calculation'!$B$2:$B$3771,0)),MATCH(L$141,'Fuel Model - Calculation'!$B$2:$M$2,0)),0),0)</f>
        <v>661.40857132500003</v>
      </c>
      <c r="BQ215" s="118">
        <f>IFERROR(IFERROR(INDEX('Fuel Model - Calculation'!$B$2:$M$3771,(MATCH(($E215&amp;"Results"&amp;$BL$140&amp;$F215&amp;"USD/ton"),'Fuel Model - Calculation'!$B$2:$B$3771,0)),MATCH(M$141,'Fuel Model - Calculation'!$B$2:$M$2,0)),0),0)</f>
        <v>656.93918504999999</v>
      </c>
      <c r="BR215" s="118">
        <f>IFERROR(IFERROR(INDEX('Fuel Model - Calculation'!$B$2:$M$3771,(MATCH(($E215&amp;"Results"&amp;$BL$140&amp;$F215&amp;"USD/ton"),'Fuel Model - Calculation'!$B$2:$B$3771,0)),MATCH(N$141,'Fuel Model - Calculation'!$B$2:$M$2,0)),0),0)</f>
        <v>652.5</v>
      </c>
      <c r="BT215" s="118">
        <f>IFERROR(INDEX('Fuel Model - Calculation'!$B$2:$M$3771,(MATCH(($E215&amp;"Results"&amp;$BT$140&amp;$F215&amp;"USD/ton"),'Fuel Model - Calculation'!$B$2:$B$3771,0)),MATCH(H$141,'Fuel Model - Calculation'!$B$2:$M$2,0)),0)</f>
        <v>5033.8887776000001</v>
      </c>
      <c r="BU215" s="118">
        <f>IFERROR(INDEX('Fuel Model - Calculation'!$B$2:$M$3771,(MATCH(($E215&amp;"Results"&amp;$BT$140&amp;$F215&amp;"USD/ton"),'Fuel Model - Calculation'!$B$2:$B$3771,0)),MATCH(I$141,'Fuel Model - Calculation'!$B$2:$M$2,0)),0)</f>
        <v>1851</v>
      </c>
      <c r="BV215" s="118">
        <f>IFERROR(INDEX('Fuel Model - Calculation'!$B$2:$M$3771,(MATCH(($E215&amp;"Results"&amp;$BT$140&amp;$F215&amp;"USD/ton"),'Fuel Model - Calculation'!$B$2:$B$3771,0)),MATCH(J$141,'Fuel Model - Calculation'!$B$2:$M$2,0)),0)</f>
        <v>508.83016464499997</v>
      </c>
      <c r="BW215" s="118">
        <f>IFERROR(INDEX('Fuel Model - Calculation'!$B$2:$M$3771,(MATCH(($E215&amp;"Results"&amp;$BT$140&amp;$F215&amp;"USD/ton"),'Fuel Model - Calculation'!$B$2:$B$3771,0)),MATCH(K$141,'Fuel Model - Calculation'!$B$2:$M$2,0)),0)</f>
        <v>496.952161655</v>
      </c>
      <c r="BX215" s="118">
        <f>IFERROR(INDEX('Fuel Model - Calculation'!$B$2:$M$3771,(MATCH(($E215&amp;"Results"&amp;$BT$140&amp;$F215&amp;"USD/ton"),'Fuel Model - Calculation'!$B$2:$B$3771,0)),MATCH(L$141,'Fuel Model - Calculation'!$B$2:$M$2,0)),0)</f>
        <v>485.35899274999997</v>
      </c>
      <c r="BY215" s="118">
        <f>IFERROR(INDEX('Fuel Model - Calculation'!$B$2:$M$3771,(MATCH(($E215&amp;"Results"&amp;$BT$140&amp;$F215&amp;"USD/ton"),'Fuel Model - Calculation'!$B$2:$B$3771,0)),MATCH(M$141,'Fuel Model - Calculation'!$B$2:$M$2,0)),0)</f>
        <v>474.04382770500001</v>
      </c>
      <c r="BZ215" s="118">
        <f>IFERROR(INDEX('Fuel Model - Calculation'!$B$2:$M$3771,(MATCH(($E215&amp;"Results"&amp;$BT$140&amp;$F215&amp;"USD/ton"),'Fuel Model - Calculation'!$B$2:$B$3771,0)),MATCH(N$141,'Fuel Model - Calculation'!$B$2:$M$2,0)),0)</f>
        <v>463</v>
      </c>
    </row>
    <row r="216" spans="1:78" x14ac:dyDescent="0.2">
      <c r="A216" s="452"/>
      <c r="B216" s="453" t="str">
        <f>_xlfn.TEXTJOIN(keydelim,TRUE,F216,IF(E216="Africa","Africa&amp;other",E216),"Fuel cost",SUBSTITUTE($G216," ",""))</f>
        <v>Blue hydrogen (liquid) - Asia - Fuel cost - USD/ton</v>
      </c>
      <c r="D216" s="459" t="str">
        <f t="shared" si="195"/>
        <v>AsiaBlue hydrogen (liquid)</v>
      </c>
      <c r="E216" t="s">
        <v>198</v>
      </c>
      <c r="F216" s="460" t="str">
        <f t="shared" si="196"/>
        <v>Blue hydrogen (liquid)</v>
      </c>
      <c r="G216" t="s">
        <v>835</v>
      </c>
      <c r="H216" s="118">
        <f>INDEX('Fuel Model - Calculation'!$B$2:$M$3771,(MATCH(($E216&amp;"ResultsCost of "&amp;$F216&amp;"USD/ton"),'Fuel Model - Calculation'!$B$2:$B$3771,0)),MATCH(H$141,'Fuel Model - Calculation'!$B$2:$M$2,0))</f>
        <v>8983.5450473616002</v>
      </c>
      <c r="I216" s="118">
        <f>INDEX('Fuel Model - Calculation'!$B$2:$M$3771,(MATCH(($E216&amp;"ResultsCost of "&amp;$F216&amp;"USD/ton"),'Fuel Model - Calculation'!$B$2:$B$3771,0)),MATCH(I$141,'Fuel Model - Calculation'!$B$2:$M$2,0))</f>
        <v>5426.2821338386484</v>
      </c>
      <c r="J216" s="118">
        <f>INDEX('Fuel Model - Calculation'!$B$2:$M$3771,(MATCH(($E216&amp;"ResultsCost of "&amp;$F216&amp;"USD/ton"),'Fuel Model - Calculation'!$B$2:$B$3771,0)),MATCH(J$141,'Fuel Model - Calculation'!$B$2:$M$2,0))</f>
        <v>3919.8227547878819</v>
      </c>
      <c r="K216" s="118">
        <f>INDEX('Fuel Model - Calculation'!$B$2:$M$3771,(MATCH(($E216&amp;"ResultsCost of "&amp;$F216&amp;"USD/ton"),'Fuel Model - Calculation'!$B$2:$B$3771,0)),MATCH(K$141,'Fuel Model - Calculation'!$B$2:$M$2,0))</f>
        <v>3767.461112975283</v>
      </c>
      <c r="L216" s="118">
        <f>INDEX('Fuel Model - Calculation'!$B$2:$M$3771,(MATCH(($E216&amp;"ResultsCost of "&amp;$F216&amp;"USD/ton"),'Fuel Model - Calculation'!$B$2:$B$3771,0)),MATCH(L$141,'Fuel Model - Calculation'!$B$2:$M$2,0))</f>
        <v>3656.8379570006919</v>
      </c>
      <c r="M216" s="118">
        <f>INDEX('Fuel Model - Calculation'!$B$2:$M$3771,(MATCH(($E216&amp;"ResultsCost of "&amp;$F216&amp;"USD/ton"),'Fuel Model - Calculation'!$B$2:$B$3771,0)),MATCH(M$141,'Fuel Model - Calculation'!$B$2:$M$2,0))</f>
        <v>3551.0325635878335</v>
      </c>
      <c r="N216" s="118">
        <f>INDEX('Fuel Model - Calculation'!$B$2:$M$3771,(MATCH(($E216&amp;"ResultsCost of "&amp;$F216&amp;"USD/ton"),'Fuel Model - Calculation'!$B$2:$B$3771,0)),MATCH(N$141,'Fuel Model - Calculation'!$B$2:$M$2,0))</f>
        <v>3470.8377027232436</v>
      </c>
      <c r="O216"/>
      <c r="P216" s="118">
        <f>IFERROR(INDEX('Fuel Model - Calculation'!G$2:G$3771,(MATCH(($E216&amp;"ResultsTotal RNE "&amp;$F216&amp;"USD/ton"),'Fuel Model - Calculation'!$B$2:$B$3771,0))),0)</f>
        <v>0</v>
      </c>
      <c r="Q216" s="118">
        <f>IFERROR(INDEX('Fuel Model - Calculation'!H$2:H$3771,(MATCH(($E216&amp;"ResultsTotal RNE "&amp;$F216&amp;"USD/ton"),'Fuel Model - Calculation'!$B$2:$B$3771,0))),0)</f>
        <v>0</v>
      </c>
      <c r="R216" s="118">
        <f>IFERROR(INDEX('Fuel Model - Calculation'!I$2:I$3771,(MATCH(($E216&amp;"ResultsTotal RNE "&amp;$F216&amp;"USD/ton"),'Fuel Model - Calculation'!$B$2:$B$3771,0))),0)</f>
        <v>0</v>
      </c>
      <c r="S216" s="118">
        <f>IFERROR(INDEX('Fuel Model - Calculation'!J$2:J$3771,(MATCH(($E216&amp;"ResultsTotal RNE "&amp;$F216&amp;"USD/ton"),'Fuel Model - Calculation'!$B$2:$B$3771,0))),0)</f>
        <v>0</v>
      </c>
      <c r="T216" s="118">
        <f>IFERROR(INDEX('Fuel Model - Calculation'!K$2:K$3771,(MATCH(($E216&amp;"ResultsTotal RNE "&amp;$F216&amp;"USD/ton"),'Fuel Model - Calculation'!$B$2:$B$3771,0))),0)</f>
        <v>0</v>
      </c>
      <c r="U216" s="118">
        <f>IFERROR(INDEX('Fuel Model - Calculation'!L$2:L$3771,(MATCH(($E216&amp;"ResultsTotal RNE "&amp;$F216&amp;"USD/ton"),'Fuel Model - Calculation'!$B$2:$B$3771,0))),0)</f>
        <v>0</v>
      </c>
      <c r="V216" s="118">
        <f>IFERROR(INDEX('Fuel Model - Calculation'!M$2:M$3771,(MATCH(($E216&amp;"ResultsTotal RNE "&amp;$F216&amp;"USD/ton"),'Fuel Model - Calculation'!$B$2:$B$3771,0))),0)</f>
        <v>0</v>
      </c>
      <c r="W216"/>
      <c r="X216" s="2">
        <f>INDEX('Fuel Model - Calculation'!$E$2:$M$3771,(MATCH(("WTT Emission - "&amp;$F216),'Fuel Model - Calculation'!$E$2:$E$3771,0)),MATCH(X$141,'Fuel Model - Calculation'!$E$2:$M$2,0))</f>
        <v>1.9865325617428082</v>
      </c>
      <c r="Y216" s="2">
        <f>INDEX('Fuel Model - Calculation'!$E$2:$M$3771,(MATCH(("WTT Emission - "&amp;$F216),'Fuel Model - Calculation'!$E$2:$E$3771,0)),MATCH(Y$141,'Fuel Model - Calculation'!$E$2:$M$2,0))</f>
        <v>1.8688949152542371</v>
      </c>
      <c r="Z216" s="2">
        <f>INDEX('Fuel Model - Calculation'!$E$2:$M$3771,(MATCH(("WTT Emission - "&amp;$F216),'Fuel Model - Calculation'!$E$2:$E$3771,0)),MATCH(Z$141,'Fuel Model - Calculation'!$E$2:$M$2,0))</f>
        <v>1.7521101087172288</v>
      </c>
      <c r="AA216" s="2">
        <f>INDEX('Fuel Model - Calculation'!$E$2:$M$3771,(MATCH(("WTT Emission - "&amp;$F216),'Fuel Model - Calculation'!$E$2:$E$3771,0)),MATCH(AA$141,'Fuel Model - Calculation'!$E$2:$M$2,0))</f>
        <v>1.6361611252163055</v>
      </c>
      <c r="AB216" s="2">
        <f>INDEX('Fuel Model - Calculation'!$E$2:$M$3771,(MATCH(("WTT Emission - "&amp;$F216),'Fuel Model - Calculation'!$E$2:$E$3771,0)),MATCH(AB$141,'Fuel Model - Calculation'!$E$2:$M$2,0))</f>
        <v>1.5210312923520297</v>
      </c>
      <c r="AC216" s="2">
        <f>INDEX('Fuel Model - Calculation'!$E$2:$M$3771,(MATCH(("WTT Emission - "&amp;$F216),'Fuel Model - Calculation'!$E$2:$E$3771,0)),MATCH(AC$141,'Fuel Model - Calculation'!$E$2:$M$2,0))</f>
        <v>1.4067042752465706</v>
      </c>
      <c r="AD216" s="2">
        <f>INDEX('Fuel Model - Calculation'!$E$2:$M$3771,(MATCH(("WTT Emission - "&amp;$F216),'Fuel Model - Calculation'!$E$2:$E$3771,0)),MATCH(AD$141,'Fuel Model - Calculation'!$E$2:$M$2,0))</f>
        <v>1.2931640677966105</v>
      </c>
      <c r="AE216" s="2"/>
      <c r="AF216" s="2">
        <f>'Fuel Model -  Input'!H$47</f>
        <v>0</v>
      </c>
      <c r="AG216" s="2">
        <f>'Fuel Model -  Input'!I$47</f>
        <v>0</v>
      </c>
      <c r="AH216" s="2">
        <f>'Fuel Model -  Input'!J$47</f>
        <v>0</v>
      </c>
      <c r="AI216" s="2">
        <f>'Fuel Model -  Input'!K$47</f>
        <v>0</v>
      </c>
      <c r="AJ216" s="2">
        <f>'Fuel Model -  Input'!L$47</f>
        <v>0</v>
      </c>
      <c r="AK216" s="2">
        <f>'Fuel Model -  Input'!M$47</f>
        <v>0</v>
      </c>
      <c r="AL216" s="2">
        <f>'Fuel Model -  Input'!N$47</f>
        <v>0</v>
      </c>
      <c r="AM216"/>
      <c r="AN216" s="24">
        <f t="shared" si="194"/>
        <v>1.9865325617428082</v>
      </c>
      <c r="AO216" s="24">
        <f t="shared" si="194"/>
        <v>1.8688949152542371</v>
      </c>
      <c r="AP216" s="24">
        <f t="shared" si="194"/>
        <v>1.7521101087172288</v>
      </c>
      <c r="AQ216" s="24">
        <f t="shared" si="194"/>
        <v>1.6361611252163055</v>
      </c>
      <c r="AR216" s="24">
        <f t="shared" si="194"/>
        <v>1.5210312923520297</v>
      </c>
      <c r="AS216" s="24">
        <f t="shared" si="194"/>
        <v>1.4067042752465706</v>
      </c>
      <c r="AT216" s="24">
        <f t="shared" si="194"/>
        <v>1.2931640677966105</v>
      </c>
      <c r="AU216"/>
      <c r="AV216" s="118">
        <f>IFERROR(INDEX('Fuel Model - Calculation'!$B$2:$M$3771,(MATCH(($E216&amp;"Results"&amp;$AV$140&amp;$F216&amp;"USD/ton"),'Fuel Model - Calculation'!$B$2:$B$3771,0)),MATCH(H$141,'Fuel Model - Calculation'!$B$2:$M$2,0)),0)</f>
        <v>1274.8413816742118</v>
      </c>
      <c r="AW216" s="118">
        <f>IFERROR(INDEX('Fuel Model - Calculation'!$B$2:$M$3771,(MATCH(($E216&amp;"Results"&amp;$AV$140&amp;$F216&amp;"USD/ton"),'Fuel Model - Calculation'!$B$2:$B$3771,0)),MATCH(I$141,'Fuel Model - Calculation'!$B$2:$M$2,0)),0)</f>
        <v>1265</v>
      </c>
      <c r="AX216" s="118">
        <f>IFERROR(INDEX('Fuel Model - Calculation'!$B$2:$M$3771,(MATCH(($E216&amp;"Results"&amp;$AV$140&amp;$F216&amp;"USD/ton"),'Fuel Model - Calculation'!$B$2:$B$3771,0)),MATCH(J$141,'Fuel Model - Calculation'!$B$2:$M$2,0)),0)</f>
        <v>1255.5110135606963</v>
      </c>
      <c r="AY216" s="118">
        <f>IFERROR(INDEX('Fuel Model - Calculation'!$B$2:$M$3771,(MATCH(($E216&amp;"Results"&amp;$AV$140&amp;$F216&amp;"USD/ton"),'Fuel Model - Calculation'!$B$2:$B$3771,0)),MATCH(K$141,'Fuel Model - Calculation'!$B$2:$M$2,0)),0)</f>
        <v>1246.361803965337</v>
      </c>
      <c r="AZ216" s="118">
        <f>IFERROR(INDEX('Fuel Model - Calculation'!$B$2:$M$3771,(MATCH(($E216&amp;"Results"&amp;$AV$140&amp;$F216&amp;"USD/ton"),'Fuel Model - Calculation'!$B$2:$B$3771,0)),MATCH(L$141,'Fuel Model - Calculation'!$B$2:$M$2,0)),0)</f>
        <v>1237.5402046559427</v>
      </c>
      <c r="BA216" s="118">
        <f>IFERROR(INDEX('Fuel Model - Calculation'!$B$2:$M$3771,(MATCH(($E216&amp;"Results"&amp;$AV$140&amp;$F216&amp;"USD/ton"),'Fuel Model - Calculation'!$B$2:$B$3771,0)),MATCH(M$141,'Fuel Model - Calculation'!$B$2:$M$2,0)),0)</f>
        <v>1229.0344847285098</v>
      </c>
      <c r="BB216" s="118">
        <f>IFERROR(INDEX('Fuel Model - Calculation'!$B$2:$M$3771,(MATCH(($E216&amp;"Results"&amp;$AV$140&amp;$F216&amp;"USD/ton"),'Fuel Model - Calculation'!$B$2:$B$3771,0)),MATCH(N$141,'Fuel Model - Calculation'!$B$2:$M$2,0)),0)</f>
        <v>1220.8333333333335</v>
      </c>
      <c r="BC216"/>
      <c r="BD216" s="118">
        <f>IFERROR(INDEX('Fuel Model - Calculation'!$B$2:$M$3771,(MATCH(($E216&amp;"Results"&amp;$BD$140&amp;$F216&amp;"USD/ton"),'Fuel Model - Calculation'!$B$2:$B$3771,0)),MATCH(P$141,'Fuel Model - Calculation'!$B$2:$M$2,0)),0)</f>
        <v>1278.024230937388</v>
      </c>
      <c r="BE216" s="118">
        <f>IFERROR(INDEX('Fuel Model - Calculation'!$B$2:$M$3771,(MATCH(($E216&amp;"Results"&amp;$BD$140&amp;$F216&amp;"USD/ton"),'Fuel Model - Calculation'!$B$2:$B$3771,0)),MATCH(Q$141,'Fuel Model - Calculation'!$B$2:$M$2,0)),0)</f>
        <v>935.28213383864841</v>
      </c>
      <c r="BF216" s="118">
        <f>IFERROR(INDEX('Fuel Model - Calculation'!$B$2:$M$3771,(MATCH(($E216&amp;"Results"&amp;$BD$140&amp;$F216&amp;"USD/ton"),'Fuel Model - Calculation'!$B$2:$B$3771,0)),MATCH(R$141,'Fuel Model - Calculation'!$B$2:$M$2,0)),0)</f>
        <v>784.74843460218563</v>
      </c>
      <c r="BG216" s="118">
        <f>IFERROR(INDEX('Fuel Model - Calculation'!$B$2:$M$3771,(MATCH(($E216&amp;"Results"&amp;$BD$140&amp;$F216&amp;"USD/ton"),'Fuel Model - Calculation'!$B$2:$B$3771,0)),MATCH(S$141,'Fuel Model - Calculation'!$B$2:$M$2,0)),0)</f>
        <v>674.73745088494616</v>
      </c>
      <c r="BH216" s="118">
        <f>IFERROR(INDEX('Fuel Model - Calculation'!$B$2:$M$3771,(MATCH(($E216&amp;"Results"&amp;$BD$140&amp;$F216&amp;"USD/ton"),'Fuel Model - Calculation'!$B$2:$B$3771,0)),MATCH(T$141,'Fuel Model - Calculation'!$B$2:$M$2,0)),0)</f>
        <v>605.41919851974876</v>
      </c>
      <c r="BI216" s="118">
        <f>IFERROR(INDEX('Fuel Model - Calculation'!$B$2:$M$3771,(MATCH(($E216&amp;"Results"&amp;$BD$140&amp;$F216&amp;"USD/ton"),'Fuel Model - Calculation'!$B$2:$B$3771,0)),MATCH(U$141,'Fuel Model - Calculation'!$B$2:$M$2,0)),0)</f>
        <v>539.90137865932343</v>
      </c>
      <c r="BJ216" s="118">
        <f>IFERROR(INDEX('Fuel Model - Calculation'!$B$2:$M$3771,(MATCH(($E216&amp;"Results"&amp;$BD$140&amp;$F216&amp;"USD/ton"),'Fuel Model - Calculation'!$B$2:$B$3771,0)),MATCH(V$141,'Fuel Model - Calculation'!$B$2:$M$2,0)),0)</f>
        <v>499.00436938991032</v>
      </c>
      <c r="BL216" s="118">
        <f>IFERROR(IFERROR(INDEX('Fuel Model - Calculation'!$B$2:$M$3771,(MATCH(($E216&amp;"Results"&amp;$BL$140&amp;$F216&amp;"USD/ton"),'Fuel Model - Calculation'!$B$2:$B$3771,0)),MATCH(H$141,'Fuel Model - Calculation'!$B$2:$M$2,0)),0),0)</f>
        <v>679.59226035000006</v>
      </c>
      <c r="BM216" s="118">
        <f>IFERROR(IFERROR(INDEX('Fuel Model - Calculation'!$B$2:$M$3771,(MATCH(($E216&amp;"Results"&amp;$BL$140&amp;$F216&amp;"USD/ton"),'Fuel Model - Calculation'!$B$2:$B$3771,0)),MATCH(I$141,'Fuel Model - Calculation'!$B$2:$M$2,0)),0),0)</f>
        <v>675</v>
      </c>
      <c r="BN216" s="118">
        <f>IFERROR(IFERROR(INDEX('Fuel Model - Calculation'!$B$2:$M$3771,(MATCH(($E216&amp;"Results"&amp;$BL$140&amp;$F216&amp;"USD/ton"),'Fuel Model - Calculation'!$B$2:$B$3771,0)),MATCH(J$141,'Fuel Model - Calculation'!$B$2:$M$2,0)),0),0)</f>
        <v>670.43877127499991</v>
      </c>
      <c r="BO216" s="118">
        <f>IFERROR(IFERROR(INDEX('Fuel Model - Calculation'!$B$2:$M$3771,(MATCH(($E216&amp;"Results"&amp;$BL$140&amp;$F216&amp;"USD/ton"),'Fuel Model - Calculation'!$B$2:$B$3771,0)),MATCH(K$141,'Fuel Model - Calculation'!$B$2:$M$2,0)),0),0)</f>
        <v>665.90836447499998</v>
      </c>
      <c r="BP216" s="118">
        <f>IFERROR(IFERROR(INDEX('Fuel Model - Calculation'!$B$2:$M$3771,(MATCH(($E216&amp;"Results"&amp;$BL$140&amp;$F216&amp;"USD/ton"),'Fuel Model - Calculation'!$B$2:$B$3771,0)),MATCH(L$141,'Fuel Model - Calculation'!$B$2:$M$2,0)),0),0)</f>
        <v>661.40857132500003</v>
      </c>
      <c r="BQ216" s="118">
        <f>IFERROR(IFERROR(INDEX('Fuel Model - Calculation'!$B$2:$M$3771,(MATCH(($E216&amp;"Results"&amp;$BL$140&amp;$F216&amp;"USD/ton"),'Fuel Model - Calculation'!$B$2:$B$3771,0)),MATCH(M$141,'Fuel Model - Calculation'!$B$2:$M$2,0)),0),0)</f>
        <v>656.93918504999999</v>
      </c>
      <c r="BR216" s="118">
        <f>IFERROR(IFERROR(INDEX('Fuel Model - Calculation'!$B$2:$M$3771,(MATCH(($E216&amp;"Results"&amp;$BL$140&amp;$F216&amp;"USD/ton"),'Fuel Model - Calculation'!$B$2:$B$3771,0)),MATCH(N$141,'Fuel Model - Calculation'!$B$2:$M$2,0)),0),0)</f>
        <v>652.5</v>
      </c>
      <c r="BT216" s="118">
        <f>IFERROR(INDEX('Fuel Model - Calculation'!$B$2:$M$3771,(MATCH(($E216&amp;"Results"&amp;$BT$140&amp;$F216&amp;"USD/ton"),'Fuel Model - Calculation'!$B$2:$B$3771,0)),MATCH(H$141,'Fuel Model - Calculation'!$B$2:$M$2,0)),0)</f>
        <v>5751.0871744000005</v>
      </c>
      <c r="BU216" s="118">
        <f>IFERROR(INDEX('Fuel Model - Calculation'!$B$2:$M$3771,(MATCH(($E216&amp;"Results"&amp;$BT$140&amp;$F216&amp;"USD/ton"),'Fuel Model - Calculation'!$B$2:$B$3771,0)),MATCH(I$141,'Fuel Model - Calculation'!$B$2:$M$2,0)),0)</f>
        <v>2551</v>
      </c>
      <c r="BV216" s="118">
        <f>IFERROR(INDEX('Fuel Model - Calculation'!$B$2:$M$3771,(MATCH(($E216&amp;"Results"&amp;$BT$140&amp;$F216&amp;"USD/ton"),'Fuel Model - Calculation'!$B$2:$B$3771,0)),MATCH(J$141,'Fuel Model - Calculation'!$B$2:$M$2,0)),0)</f>
        <v>1209.1245353499999</v>
      </c>
      <c r="BW216" s="118">
        <f>IFERROR(INDEX('Fuel Model - Calculation'!$B$2:$M$3771,(MATCH(($E216&amp;"Results"&amp;$BT$140&amp;$F216&amp;"USD/ton"),'Fuel Model - Calculation'!$B$2:$B$3771,0)),MATCH(K$141,'Fuel Model - Calculation'!$B$2:$M$2,0)),0)</f>
        <v>1180.4534936500002</v>
      </c>
      <c r="BX216" s="118">
        <f>IFERROR(INDEX('Fuel Model - Calculation'!$B$2:$M$3771,(MATCH(($E216&amp;"Results"&amp;$BT$140&amp;$F216&amp;"USD/ton"),'Fuel Model - Calculation'!$B$2:$B$3771,0)),MATCH(L$141,'Fuel Model - Calculation'!$B$2:$M$2,0)),0)</f>
        <v>1152.4699825</v>
      </c>
      <c r="BY216" s="118">
        <f>IFERROR(INDEX('Fuel Model - Calculation'!$B$2:$M$3771,(MATCH(($E216&amp;"Results"&amp;$BT$140&amp;$F216&amp;"USD/ton"),'Fuel Model - Calculation'!$B$2:$B$3771,0)),MATCH(M$141,'Fuel Model - Calculation'!$B$2:$M$2,0)),0)</f>
        <v>1125.1575151500001</v>
      </c>
      <c r="BZ216" s="118">
        <f>IFERROR(INDEX('Fuel Model - Calculation'!$B$2:$M$3771,(MATCH(($E216&amp;"Results"&amp;$BT$140&amp;$F216&amp;"USD/ton"),'Fuel Model - Calculation'!$B$2:$B$3771,0)),MATCH(N$141,'Fuel Model - Calculation'!$B$2:$M$2,0)),0)</f>
        <v>1098.5</v>
      </c>
    </row>
    <row r="217" spans="1:78" x14ac:dyDescent="0.2">
      <c r="A217" s="452"/>
      <c r="B217" s="453" t="str">
        <f>_xlfn.TEXTJOIN(keydelim,TRUE,F217,IF(E217="Africa","Africa&amp;other",E217),"Fuel cost",SUBSTITUTE($G217," ",""))</f>
        <v>Blue hydrogen (liquid) - Americas - Fuel cost - USD/ton</v>
      </c>
      <c r="D217" s="459" t="str">
        <f t="shared" si="195"/>
        <v>AmericasBlue hydrogen (liquid)</v>
      </c>
      <c r="E217" t="s">
        <v>199</v>
      </c>
      <c r="F217" s="460" t="str">
        <f t="shared" si="196"/>
        <v>Blue hydrogen (liquid)</v>
      </c>
      <c r="G217" t="s">
        <v>835</v>
      </c>
      <c r="H217" s="118">
        <f>INDEX('Fuel Model - Calculation'!$B$2:$M$3771,(MATCH(($E217&amp;"ResultsCost of "&amp;$F217&amp;"USD/ton"),'Fuel Model - Calculation'!$B$2:$B$3771,0)),MATCH(H$141,'Fuel Model - Calculation'!$B$2:$M$2,0))</f>
        <v>4070.1022629058489</v>
      </c>
      <c r="I217" s="118">
        <f>INDEX('Fuel Model - Calculation'!$B$2:$M$3771,(MATCH(($E217&amp;"ResultsCost of "&amp;$F217&amp;"USD/ton"),'Fuel Model - Calculation'!$B$2:$B$3771,0)),MATCH(I$141,'Fuel Model - Calculation'!$B$2:$M$2,0))</f>
        <v>3510.177037641779</v>
      </c>
      <c r="J217" s="118">
        <f>INDEX('Fuel Model - Calculation'!$B$2:$M$3771,(MATCH(($E217&amp;"ResultsCost of "&amp;$F217&amp;"USD/ton"),'Fuel Model - Calculation'!$B$2:$B$3771,0)),MATCH(J$141,'Fuel Model - Calculation'!$B$2:$M$2,0))</f>
        <v>3330.2627635552981</v>
      </c>
      <c r="K217" s="118">
        <f>INDEX('Fuel Model - Calculation'!$B$2:$M$3771,(MATCH(($E217&amp;"ResultsCost of "&amp;$F217&amp;"USD/ton"),'Fuel Model - Calculation'!$B$2:$B$3771,0)),MATCH(K$141,'Fuel Model - Calculation'!$B$2:$M$2,0))</f>
        <v>3327.2384020885838</v>
      </c>
      <c r="L217" s="118">
        <f>INDEX('Fuel Model - Calculation'!$B$2:$M$3771,(MATCH(($E217&amp;"ResultsCost of "&amp;$F217&amp;"USD/ton"),'Fuel Model - Calculation'!$B$2:$B$3771,0)),MATCH(L$141,'Fuel Model - Calculation'!$B$2:$M$2,0))</f>
        <v>3234.9297288322728</v>
      </c>
      <c r="M217" s="118">
        <f>INDEX('Fuel Model - Calculation'!$B$2:$M$3771,(MATCH(($E217&amp;"ResultsCost of "&amp;$F217&amp;"USD/ton"),'Fuel Model - Calculation'!$B$2:$B$3771,0)),MATCH(M$141,'Fuel Model - Calculation'!$B$2:$M$2,0))</f>
        <v>3163.8573164006139</v>
      </c>
      <c r="N217" s="118">
        <f>INDEX('Fuel Model - Calculation'!$B$2:$M$3771,(MATCH(($E217&amp;"ResultsCost of "&amp;$F217&amp;"USD/ton"),'Fuel Model - Calculation'!$B$2:$B$3771,0)),MATCH(N$141,'Fuel Model - Calculation'!$B$2:$M$2,0))</f>
        <v>3100.6428884681272</v>
      </c>
      <c r="O217"/>
      <c r="P217" s="118">
        <f>IFERROR(INDEX('Fuel Model - Calculation'!G$2:G$3771,(MATCH(($E217&amp;"ResultsTotal RNE "&amp;$F217&amp;"USD/ton"),'Fuel Model - Calculation'!$B$2:$B$3771,0))),0)</f>
        <v>0</v>
      </c>
      <c r="Q217" s="118">
        <f>IFERROR(INDEX('Fuel Model - Calculation'!H$2:H$3771,(MATCH(($E217&amp;"ResultsTotal RNE "&amp;$F217&amp;"USD/ton"),'Fuel Model - Calculation'!$B$2:$B$3771,0))),0)</f>
        <v>0</v>
      </c>
      <c r="R217" s="118">
        <f>IFERROR(INDEX('Fuel Model - Calculation'!I$2:I$3771,(MATCH(($E217&amp;"ResultsTotal RNE "&amp;$F217&amp;"USD/ton"),'Fuel Model - Calculation'!$B$2:$B$3771,0))),0)</f>
        <v>0</v>
      </c>
      <c r="S217" s="118">
        <f>IFERROR(INDEX('Fuel Model - Calculation'!J$2:J$3771,(MATCH(($E217&amp;"ResultsTotal RNE "&amp;$F217&amp;"USD/ton"),'Fuel Model - Calculation'!$B$2:$B$3771,0))),0)</f>
        <v>0</v>
      </c>
      <c r="T217" s="118">
        <f>IFERROR(INDEX('Fuel Model - Calculation'!K$2:K$3771,(MATCH(($E217&amp;"ResultsTotal RNE "&amp;$F217&amp;"USD/ton"),'Fuel Model - Calculation'!$B$2:$B$3771,0))),0)</f>
        <v>0</v>
      </c>
      <c r="U217" s="118">
        <f>IFERROR(INDEX('Fuel Model - Calculation'!L$2:L$3771,(MATCH(($E217&amp;"ResultsTotal RNE "&amp;$F217&amp;"USD/ton"),'Fuel Model - Calculation'!$B$2:$B$3771,0))),0)</f>
        <v>0</v>
      </c>
      <c r="V217" s="118">
        <f>IFERROR(INDEX('Fuel Model - Calculation'!M$2:M$3771,(MATCH(($E217&amp;"ResultsTotal RNE "&amp;$F217&amp;"USD/ton"),'Fuel Model - Calculation'!$B$2:$B$3771,0))),0)</f>
        <v>0</v>
      </c>
      <c r="W217"/>
      <c r="X217" s="2">
        <f>INDEX('Fuel Model - Calculation'!$E$2:$M$3771,(MATCH(("WTT Emission - "&amp;$F217),'Fuel Model - Calculation'!$E$2:$E$3771,0)),MATCH(X$141,'Fuel Model - Calculation'!$E$2:$M$2,0))</f>
        <v>1.9865325617428082</v>
      </c>
      <c r="Y217" s="2">
        <f>INDEX('Fuel Model - Calculation'!$E$2:$M$3771,(MATCH(("WTT Emission - "&amp;$F217),'Fuel Model - Calculation'!$E$2:$E$3771,0)),MATCH(Y$141,'Fuel Model - Calculation'!$E$2:$M$2,0))</f>
        <v>1.8688949152542371</v>
      </c>
      <c r="Z217" s="2">
        <f>INDEX('Fuel Model - Calculation'!$E$2:$M$3771,(MATCH(("WTT Emission - "&amp;$F217),'Fuel Model - Calculation'!$E$2:$E$3771,0)),MATCH(Z$141,'Fuel Model - Calculation'!$E$2:$M$2,0))</f>
        <v>1.7521101087172288</v>
      </c>
      <c r="AA217" s="2">
        <f>INDEX('Fuel Model - Calculation'!$E$2:$M$3771,(MATCH(("WTT Emission - "&amp;$F217),'Fuel Model - Calculation'!$E$2:$E$3771,0)),MATCH(AA$141,'Fuel Model - Calculation'!$E$2:$M$2,0))</f>
        <v>1.6361611252163055</v>
      </c>
      <c r="AB217" s="2">
        <f>INDEX('Fuel Model - Calculation'!$E$2:$M$3771,(MATCH(("WTT Emission - "&amp;$F217),'Fuel Model - Calculation'!$E$2:$E$3771,0)),MATCH(AB$141,'Fuel Model - Calculation'!$E$2:$M$2,0))</f>
        <v>1.5210312923520297</v>
      </c>
      <c r="AC217" s="2">
        <f>INDEX('Fuel Model - Calculation'!$E$2:$M$3771,(MATCH(("WTT Emission - "&amp;$F217),'Fuel Model - Calculation'!$E$2:$E$3771,0)),MATCH(AC$141,'Fuel Model - Calculation'!$E$2:$M$2,0))</f>
        <v>1.4067042752465706</v>
      </c>
      <c r="AD217" s="2">
        <f>INDEX('Fuel Model - Calculation'!$E$2:$M$3771,(MATCH(("WTT Emission - "&amp;$F217),'Fuel Model - Calculation'!$E$2:$E$3771,0)),MATCH(AD$141,'Fuel Model - Calculation'!$E$2:$M$2,0))</f>
        <v>1.2931640677966105</v>
      </c>
      <c r="AE217" s="2"/>
      <c r="AF217" s="2">
        <f>'Fuel Model -  Input'!H$47</f>
        <v>0</v>
      </c>
      <c r="AG217" s="2">
        <f>'Fuel Model -  Input'!I$47</f>
        <v>0</v>
      </c>
      <c r="AH217" s="2">
        <f>'Fuel Model -  Input'!J$47</f>
        <v>0</v>
      </c>
      <c r="AI217" s="2">
        <f>'Fuel Model -  Input'!K$47</f>
        <v>0</v>
      </c>
      <c r="AJ217" s="2">
        <f>'Fuel Model -  Input'!L$47</f>
        <v>0</v>
      </c>
      <c r="AK217" s="2">
        <f>'Fuel Model -  Input'!M$47</f>
        <v>0</v>
      </c>
      <c r="AL217" s="2">
        <f>'Fuel Model -  Input'!N$47</f>
        <v>0</v>
      </c>
      <c r="AM217"/>
      <c r="AN217" s="24">
        <f t="shared" si="194"/>
        <v>1.9865325617428082</v>
      </c>
      <c r="AO217" s="24">
        <f t="shared" si="194"/>
        <v>1.8688949152542371</v>
      </c>
      <c r="AP217" s="24">
        <f t="shared" si="194"/>
        <v>1.7521101087172288</v>
      </c>
      <c r="AQ217" s="24">
        <f t="shared" si="194"/>
        <v>1.6361611252163055</v>
      </c>
      <c r="AR217" s="24">
        <f t="shared" si="194"/>
        <v>1.5210312923520297</v>
      </c>
      <c r="AS217" s="24">
        <f t="shared" si="194"/>
        <v>1.4067042752465706</v>
      </c>
      <c r="AT217" s="24">
        <f t="shared" si="194"/>
        <v>1.2931640677966105</v>
      </c>
      <c r="AU217"/>
      <c r="AV217" s="118">
        <f>IFERROR(INDEX('Fuel Model - Calculation'!$B$2:$M$3771,(MATCH(($E217&amp;"Results"&amp;$AV$140&amp;$F217&amp;"USD/ton"),'Fuel Model - Calculation'!$B$2:$B$3771,0)),MATCH(H$141,'Fuel Model - Calculation'!$B$2:$M$2,0)),0)</f>
        <v>1274.8413816742118</v>
      </c>
      <c r="AW217" s="118">
        <f>IFERROR(INDEX('Fuel Model - Calculation'!$B$2:$M$3771,(MATCH(($E217&amp;"Results"&amp;$AV$140&amp;$F217&amp;"USD/ton"),'Fuel Model - Calculation'!$B$2:$B$3771,0)),MATCH(I$141,'Fuel Model - Calculation'!$B$2:$M$2,0)),0)</f>
        <v>1265</v>
      </c>
      <c r="AX217" s="118">
        <f>IFERROR(INDEX('Fuel Model - Calculation'!$B$2:$M$3771,(MATCH(($E217&amp;"Results"&amp;$AV$140&amp;$F217&amp;"USD/ton"),'Fuel Model - Calculation'!$B$2:$B$3771,0)),MATCH(J$141,'Fuel Model - Calculation'!$B$2:$M$2,0)),0)</f>
        <v>1255.5110135606963</v>
      </c>
      <c r="AY217" s="118">
        <f>IFERROR(INDEX('Fuel Model - Calculation'!$B$2:$M$3771,(MATCH(($E217&amp;"Results"&amp;$AV$140&amp;$F217&amp;"USD/ton"),'Fuel Model - Calculation'!$B$2:$B$3771,0)),MATCH(K$141,'Fuel Model - Calculation'!$B$2:$M$2,0)),0)</f>
        <v>1246.3618039653368</v>
      </c>
      <c r="AZ217" s="118">
        <f>IFERROR(INDEX('Fuel Model - Calculation'!$B$2:$M$3771,(MATCH(($E217&amp;"Results"&amp;$AV$140&amp;$F217&amp;"USD/ton"),'Fuel Model - Calculation'!$B$2:$B$3771,0)),MATCH(L$141,'Fuel Model - Calculation'!$B$2:$M$2,0)),0)</f>
        <v>1237.5402046559427</v>
      </c>
      <c r="BA217" s="118">
        <f>IFERROR(INDEX('Fuel Model - Calculation'!$B$2:$M$3771,(MATCH(($E217&amp;"Results"&amp;$AV$140&amp;$F217&amp;"USD/ton"),'Fuel Model - Calculation'!$B$2:$B$3771,0)),MATCH(M$141,'Fuel Model - Calculation'!$B$2:$M$2,0)),0)</f>
        <v>1229.0344847285098</v>
      </c>
      <c r="BB217" s="118">
        <f>IFERROR(INDEX('Fuel Model - Calculation'!$B$2:$M$3771,(MATCH(($E217&amp;"Results"&amp;$AV$140&amp;$F217&amp;"USD/ton"),'Fuel Model - Calculation'!$B$2:$B$3771,0)),MATCH(N$141,'Fuel Model - Calculation'!$B$2:$M$2,0)),0)</f>
        <v>1220.8333333333335</v>
      </c>
      <c r="BC217"/>
      <c r="BD217" s="118">
        <f>IFERROR(INDEX('Fuel Model - Calculation'!$B$2:$M$3771,(MATCH(($E217&amp;"Results"&amp;$BD$140&amp;$F217&amp;"USD/ton"),'Fuel Model - Calculation'!$B$2:$B$3771,0)),MATCH(P$141,'Fuel Model - Calculation'!$B$2:$M$2,0)),0)</f>
        <v>847.07142648163688</v>
      </c>
      <c r="BE217" s="118">
        <f>IFERROR(INDEX('Fuel Model - Calculation'!$B$2:$M$3771,(MATCH(($E217&amp;"Results"&amp;$BD$140&amp;$F217&amp;"USD/ton"),'Fuel Model - Calculation'!$B$2:$B$3771,0)),MATCH(Q$141,'Fuel Model - Calculation'!$B$2:$M$2,0)),0)</f>
        <v>751.67703764177872</v>
      </c>
      <c r="BF217" s="118">
        <f>IFERROR(INDEX('Fuel Model - Calculation'!$B$2:$M$3771,(MATCH(($E217&amp;"Results"&amp;$BD$140&amp;$F217&amp;"USD/ton"),'Fuel Model - Calculation'!$B$2:$B$3771,0)),MATCH(R$141,'Fuel Model - Calculation'!$B$2:$M$2,0)),0)</f>
        <v>639.27755649960181</v>
      </c>
      <c r="BG217" s="118">
        <f>IFERROR(INDEX('Fuel Model - Calculation'!$B$2:$M$3771,(MATCH(($E217&amp;"Results"&amp;$BD$140&amp;$F217&amp;"USD/ton"),'Fuel Model - Calculation'!$B$2:$B$3771,0)),MATCH(S$141,'Fuel Model - Calculation'!$B$2:$M$2,0)),0)</f>
        <v>567.93002389824676</v>
      </c>
      <c r="BH217" s="118">
        <f>IFERROR(INDEX('Fuel Model - Calculation'!$B$2:$M$3771,(MATCH(($E217&amp;"Results"&amp;$BD$140&amp;$F217&amp;"USD/ton"),'Fuel Model - Calculation'!$B$2:$B$3771,0)),MATCH(T$141,'Fuel Model - Calculation'!$B$2:$M$2,0)),0)</f>
        <v>508.93096535133009</v>
      </c>
      <c r="BI217" s="118">
        <f>IFERROR(INDEX('Fuel Model - Calculation'!$B$2:$M$3771,(MATCH(($E217&amp;"Results"&amp;$BD$140&amp;$F217&amp;"USD/ton"),'Fuel Model - Calculation'!$B$2:$B$3771,0)),MATCH(U$141,'Fuel Model - Calculation'!$B$2:$M$2,0)),0)</f>
        <v>470.34256437210382</v>
      </c>
      <c r="BJ217" s="118">
        <f>IFERROR(INDEX('Fuel Model - Calculation'!$B$2:$M$3771,(MATCH(($E217&amp;"Results"&amp;$BD$140&amp;$F217&amp;"USD/ton"),'Fuel Model - Calculation'!$B$2:$B$3771,0)),MATCH(V$141,'Fuel Model - Calculation'!$B$2:$M$2,0)),0)</f>
        <v>438.80955513479381</v>
      </c>
      <c r="BL217" s="118">
        <f>IFERROR(IFERROR(INDEX('Fuel Model - Calculation'!$B$2:$M$3771,(MATCH(($E217&amp;"Results"&amp;$BL$140&amp;$F217&amp;"USD/ton"),'Fuel Model - Calculation'!$B$2:$B$3771,0)),MATCH(H$141,'Fuel Model - Calculation'!$B$2:$M$2,0)),0),0)</f>
        <v>679.59226035000006</v>
      </c>
      <c r="BM217" s="118">
        <f>IFERROR(IFERROR(INDEX('Fuel Model - Calculation'!$B$2:$M$3771,(MATCH(($E217&amp;"Results"&amp;$BL$140&amp;$F217&amp;"USD/ton"),'Fuel Model - Calculation'!$B$2:$B$3771,0)),MATCH(I$141,'Fuel Model - Calculation'!$B$2:$M$2,0)),0),0)</f>
        <v>675</v>
      </c>
      <c r="BN217" s="118">
        <f>IFERROR(IFERROR(INDEX('Fuel Model - Calculation'!$B$2:$M$3771,(MATCH(($E217&amp;"Results"&amp;$BL$140&amp;$F217&amp;"USD/ton"),'Fuel Model - Calculation'!$B$2:$B$3771,0)),MATCH(J$141,'Fuel Model - Calculation'!$B$2:$M$2,0)),0),0)</f>
        <v>670.43877127499991</v>
      </c>
      <c r="BO217" s="118">
        <f>IFERROR(IFERROR(INDEX('Fuel Model - Calculation'!$B$2:$M$3771,(MATCH(($E217&amp;"Results"&amp;$BL$140&amp;$F217&amp;"USD/ton"),'Fuel Model - Calculation'!$B$2:$B$3771,0)),MATCH(K$141,'Fuel Model - Calculation'!$B$2:$M$2,0)),0),0)</f>
        <v>665.90836447499998</v>
      </c>
      <c r="BP217" s="118">
        <f>IFERROR(IFERROR(INDEX('Fuel Model - Calculation'!$B$2:$M$3771,(MATCH(($E217&amp;"Results"&amp;$BL$140&amp;$F217&amp;"USD/ton"),'Fuel Model - Calculation'!$B$2:$B$3771,0)),MATCH(L$141,'Fuel Model - Calculation'!$B$2:$M$2,0)),0),0)</f>
        <v>661.40857132500003</v>
      </c>
      <c r="BQ217" s="118">
        <f>IFERROR(IFERROR(INDEX('Fuel Model - Calculation'!$B$2:$M$3771,(MATCH(($E217&amp;"Results"&amp;$BL$140&amp;$F217&amp;"USD/ton"),'Fuel Model - Calculation'!$B$2:$B$3771,0)),MATCH(M$141,'Fuel Model - Calculation'!$B$2:$M$2,0)),0),0)</f>
        <v>656.93918504999999</v>
      </c>
      <c r="BR217" s="118">
        <f>IFERROR(IFERROR(INDEX('Fuel Model - Calculation'!$B$2:$M$3771,(MATCH(($E217&amp;"Results"&amp;$BL$140&amp;$F217&amp;"USD/ton"),'Fuel Model - Calculation'!$B$2:$B$3771,0)),MATCH(N$141,'Fuel Model - Calculation'!$B$2:$M$2,0)),0),0)</f>
        <v>652.5</v>
      </c>
      <c r="BT217" s="118">
        <f>IFERROR(INDEX('Fuel Model - Calculation'!$B$2:$M$3771,(MATCH(($E217&amp;"Results"&amp;$BT$140&amp;$F217&amp;"USD/ton"),'Fuel Model - Calculation'!$B$2:$B$3771,0)),MATCH(H$141,'Fuel Model - Calculation'!$B$2:$M$2,0)),0)</f>
        <v>1268.5971944</v>
      </c>
      <c r="BU217" s="118">
        <f>IFERROR(INDEX('Fuel Model - Calculation'!$B$2:$M$3771,(MATCH(($E217&amp;"Results"&amp;$BT$140&amp;$F217&amp;"USD/ton"),'Fuel Model - Calculation'!$B$2:$B$3771,0)),MATCH(I$141,'Fuel Model - Calculation'!$B$2:$M$2,0)),0)</f>
        <v>818.5</v>
      </c>
      <c r="BV217" s="118">
        <f>IFERROR(INDEX('Fuel Model - Calculation'!$B$2:$M$3771,(MATCH(($E217&amp;"Results"&amp;$BT$140&amp;$F217&amp;"USD/ton"),'Fuel Model - Calculation'!$B$2:$B$3771,0)),MATCH(J$141,'Fuel Model - Calculation'!$B$2:$M$2,0)),0)</f>
        <v>765.03542221999999</v>
      </c>
      <c r="BW217" s="118">
        <f>IFERROR(INDEX('Fuel Model - Calculation'!$B$2:$M$3771,(MATCH(($E217&amp;"Results"&amp;$BT$140&amp;$F217&amp;"USD/ton"),'Fuel Model - Calculation'!$B$2:$B$3771,0)),MATCH(K$141,'Fuel Model - Calculation'!$B$2:$M$2,0)),0)</f>
        <v>847.03820975000008</v>
      </c>
      <c r="BX217" s="118">
        <f>IFERROR(INDEX('Fuel Model - Calculation'!$B$2:$M$3771,(MATCH(($E217&amp;"Results"&amp;$BT$140&amp;$F217&amp;"USD/ton"),'Fuel Model - Calculation'!$B$2:$B$3771,0)),MATCH(L$141,'Fuel Model - Calculation'!$B$2:$M$2,0)),0)</f>
        <v>827.04998749999993</v>
      </c>
      <c r="BY217" s="118">
        <f>IFERROR(INDEX('Fuel Model - Calculation'!$B$2:$M$3771,(MATCH(($E217&amp;"Results"&amp;$BT$140&amp;$F217&amp;"USD/ton"),'Fuel Model - Calculation'!$B$2:$B$3771,0)),MATCH(M$141,'Fuel Model - Calculation'!$B$2:$M$2,0)),0)</f>
        <v>807.54108225000004</v>
      </c>
      <c r="BZ217" s="118">
        <f>IFERROR(INDEX('Fuel Model - Calculation'!$B$2:$M$3771,(MATCH(($E217&amp;"Results"&amp;$BT$140&amp;$F217&amp;"USD/ton"),'Fuel Model - Calculation'!$B$2:$B$3771,0)),MATCH(N$141,'Fuel Model - Calculation'!$B$2:$M$2,0)),0)</f>
        <v>788.5</v>
      </c>
    </row>
    <row r="218" spans="1:78" x14ac:dyDescent="0.2">
      <c r="A218" s="452"/>
      <c r="B218" s="453" t="str">
        <f>_xlfn.TEXTJOIN(keydelim,TRUE,F218,IF(E218="Africa","Africa&amp;other",E218),"Fuel cost",SUBSTITUTE($G218," ",""))</f>
        <v>Blue hydrogen (liquid) - Africa&amp;other - Fuel cost - USD/ton</v>
      </c>
      <c r="D218" s="459" t="str">
        <f t="shared" si="195"/>
        <v>AfricaBlue hydrogen (liquid)</v>
      </c>
      <c r="E218" t="s">
        <v>200</v>
      </c>
      <c r="F218" s="460" t="str">
        <f t="shared" si="196"/>
        <v>Blue hydrogen (liquid)</v>
      </c>
      <c r="G218" t="s">
        <v>835</v>
      </c>
      <c r="H218" s="118">
        <f>INDEX('Fuel Model - Calculation'!$B$2:$M$3771,(MATCH(($E218&amp;"ResultsCost of "&amp;$F218&amp;"USD/ton"),'Fuel Model - Calculation'!$B$2:$B$3771,0)),MATCH(H$141,'Fuel Model - Calculation'!$B$2:$M$2,0))</f>
        <v>9490.4203733251343</v>
      </c>
      <c r="I218" s="118">
        <f>INDEX('Fuel Model - Calculation'!$B$2:$M$3771,(MATCH(($E218&amp;"ResultsCost of "&amp;$F218&amp;"USD/ton"),'Fuel Model - Calculation'!$B$2:$B$3771,0)),MATCH(I$141,'Fuel Model - Calculation'!$B$2:$M$2,0))</f>
        <v>5250.2678556080355</v>
      </c>
      <c r="J218" s="118">
        <f>INDEX('Fuel Model - Calculation'!$B$2:$M$3771,(MATCH(($E218&amp;"ResultsCost of "&amp;$F218&amp;"USD/ton"),'Fuel Model - Calculation'!$B$2:$B$3771,0)),MATCH(J$141,'Fuel Model - Calculation'!$B$2:$M$2,0))</f>
        <v>4265.0963928761266</v>
      </c>
      <c r="K218" s="118">
        <f>INDEX('Fuel Model - Calculation'!$B$2:$M$3771,(MATCH(($E218&amp;"ResultsCost of "&amp;$F218&amp;"USD/ton"),'Fuel Model - Calculation'!$B$2:$B$3771,0)),MATCH(K$141,'Fuel Model - Calculation'!$B$2:$M$2,0))</f>
        <v>4118.7131676030886</v>
      </c>
      <c r="L218" s="118">
        <f>INDEX('Fuel Model - Calculation'!$B$2:$M$3771,(MATCH(($E218&amp;"ResultsCost of "&amp;$F218&amp;"USD/ton"),'Fuel Model - Calculation'!$B$2:$B$3771,0)),MATCH(L$141,'Fuel Model - Calculation'!$B$2:$M$2,0))</f>
        <v>4008.3548833483292</v>
      </c>
      <c r="M218" s="118">
        <f>INDEX('Fuel Model - Calculation'!$B$2:$M$3771,(MATCH(($E218&amp;"ResultsCost of "&amp;$F218&amp;"USD/ton"),'Fuel Model - Calculation'!$B$2:$B$3771,0)),MATCH(M$141,'Fuel Model - Calculation'!$B$2:$M$2,0))</f>
        <v>3903.9968420847108</v>
      </c>
      <c r="N218" s="118">
        <f>INDEX('Fuel Model - Calculation'!$B$2:$M$3771,(MATCH(($E218&amp;"ResultsCost of "&amp;$F218&amp;"USD/ton"),'Fuel Model - Calculation'!$B$2:$B$3771,0)),MATCH(N$141,'Fuel Model - Calculation'!$B$2:$M$2,0))</f>
        <v>3818.5860322723975</v>
      </c>
      <c r="O218"/>
      <c r="P218" s="118">
        <f>IFERROR(INDEX('Fuel Model - Calculation'!G$2:G$3771,(MATCH(($E218&amp;"ResultsTotal RNE "&amp;$F218&amp;"USD/ton"),'Fuel Model - Calculation'!$B$2:$B$3771,0))),0)</f>
        <v>0</v>
      </c>
      <c r="Q218" s="118">
        <f>IFERROR(INDEX('Fuel Model - Calculation'!H$2:H$3771,(MATCH(($E218&amp;"ResultsTotal RNE "&amp;$F218&amp;"USD/ton"),'Fuel Model - Calculation'!$B$2:$B$3771,0))),0)</f>
        <v>0</v>
      </c>
      <c r="R218" s="118">
        <f>IFERROR(INDEX('Fuel Model - Calculation'!I$2:I$3771,(MATCH(($E218&amp;"ResultsTotal RNE "&amp;$F218&amp;"USD/ton"),'Fuel Model - Calculation'!$B$2:$B$3771,0))),0)</f>
        <v>0</v>
      </c>
      <c r="S218" s="118">
        <f>IFERROR(INDEX('Fuel Model - Calculation'!J$2:J$3771,(MATCH(($E218&amp;"ResultsTotal RNE "&amp;$F218&amp;"USD/ton"),'Fuel Model - Calculation'!$B$2:$B$3771,0))),0)</f>
        <v>0</v>
      </c>
      <c r="T218" s="118">
        <f>IFERROR(INDEX('Fuel Model - Calculation'!K$2:K$3771,(MATCH(($E218&amp;"ResultsTotal RNE "&amp;$F218&amp;"USD/ton"),'Fuel Model - Calculation'!$B$2:$B$3771,0))),0)</f>
        <v>0</v>
      </c>
      <c r="U218" s="118">
        <f>IFERROR(INDEX('Fuel Model - Calculation'!L$2:L$3771,(MATCH(($E218&amp;"ResultsTotal RNE "&amp;$F218&amp;"USD/ton"),'Fuel Model - Calculation'!$B$2:$B$3771,0))),0)</f>
        <v>0</v>
      </c>
      <c r="V218" s="118">
        <f>IFERROR(INDEX('Fuel Model - Calculation'!M$2:M$3771,(MATCH(($E218&amp;"ResultsTotal RNE "&amp;$F218&amp;"USD/ton"),'Fuel Model - Calculation'!$B$2:$B$3771,0))),0)</f>
        <v>0</v>
      </c>
      <c r="W218"/>
      <c r="X218" s="2">
        <f>INDEX('Fuel Model - Calculation'!$E$2:$M$3771,(MATCH(("WTT Emission - "&amp;$F218),'Fuel Model - Calculation'!$E$2:$E$3771,0)),MATCH(X$141,'Fuel Model - Calculation'!$E$2:$M$2,0))</f>
        <v>1.9865325617428082</v>
      </c>
      <c r="Y218" s="2">
        <f>INDEX('Fuel Model - Calculation'!$E$2:$M$3771,(MATCH(("WTT Emission - "&amp;$F218),'Fuel Model - Calculation'!$E$2:$E$3771,0)),MATCH(Y$141,'Fuel Model - Calculation'!$E$2:$M$2,0))</f>
        <v>1.8688949152542371</v>
      </c>
      <c r="Z218" s="2">
        <f>INDEX('Fuel Model - Calculation'!$E$2:$M$3771,(MATCH(("WTT Emission - "&amp;$F218),'Fuel Model - Calculation'!$E$2:$E$3771,0)),MATCH(Z$141,'Fuel Model - Calculation'!$E$2:$M$2,0))</f>
        <v>1.7521101087172288</v>
      </c>
      <c r="AA218" s="2">
        <f>INDEX('Fuel Model - Calculation'!$E$2:$M$3771,(MATCH(("WTT Emission - "&amp;$F218),'Fuel Model - Calculation'!$E$2:$E$3771,0)),MATCH(AA$141,'Fuel Model - Calculation'!$E$2:$M$2,0))</f>
        <v>1.6361611252163055</v>
      </c>
      <c r="AB218" s="2">
        <f>INDEX('Fuel Model - Calculation'!$E$2:$M$3771,(MATCH(("WTT Emission - "&amp;$F218),'Fuel Model - Calculation'!$E$2:$E$3771,0)),MATCH(AB$141,'Fuel Model - Calculation'!$E$2:$M$2,0))</f>
        <v>1.5210312923520297</v>
      </c>
      <c r="AC218" s="2">
        <f>INDEX('Fuel Model - Calculation'!$E$2:$M$3771,(MATCH(("WTT Emission - "&amp;$F218),'Fuel Model - Calculation'!$E$2:$E$3771,0)),MATCH(AC$141,'Fuel Model - Calculation'!$E$2:$M$2,0))</f>
        <v>1.4067042752465706</v>
      </c>
      <c r="AD218" s="2">
        <f>INDEX('Fuel Model - Calculation'!$E$2:$M$3771,(MATCH(("WTT Emission - "&amp;$F218),'Fuel Model - Calculation'!$E$2:$E$3771,0)),MATCH(AD$141,'Fuel Model - Calculation'!$E$2:$M$2,0))</f>
        <v>1.2931640677966105</v>
      </c>
      <c r="AE218" s="2"/>
      <c r="AF218" s="2">
        <f>'Fuel Model -  Input'!H$47</f>
        <v>0</v>
      </c>
      <c r="AG218" s="2">
        <f>'Fuel Model -  Input'!I$47</f>
        <v>0</v>
      </c>
      <c r="AH218" s="2">
        <f>'Fuel Model -  Input'!J$47</f>
        <v>0</v>
      </c>
      <c r="AI218" s="2">
        <f>'Fuel Model -  Input'!K$47</f>
        <v>0</v>
      </c>
      <c r="AJ218" s="2">
        <f>'Fuel Model -  Input'!L$47</f>
        <v>0</v>
      </c>
      <c r="AK218" s="2">
        <f>'Fuel Model -  Input'!M$47</f>
        <v>0</v>
      </c>
      <c r="AL218" s="2">
        <f>'Fuel Model -  Input'!N$47</f>
        <v>0</v>
      </c>
      <c r="AM218"/>
      <c r="AN218" s="24">
        <f t="shared" si="194"/>
        <v>1.9865325617428082</v>
      </c>
      <c r="AO218" s="24">
        <f t="shared" si="194"/>
        <v>1.8688949152542371</v>
      </c>
      <c r="AP218" s="24">
        <f t="shared" si="194"/>
        <v>1.7521101087172288</v>
      </c>
      <c r="AQ218" s="24">
        <f t="shared" si="194"/>
        <v>1.6361611252163055</v>
      </c>
      <c r="AR218" s="24">
        <f t="shared" si="194"/>
        <v>1.5210312923520297</v>
      </c>
      <c r="AS218" s="24">
        <f t="shared" si="194"/>
        <v>1.4067042752465706</v>
      </c>
      <c r="AT218" s="24">
        <f t="shared" si="194"/>
        <v>1.2931640677966105</v>
      </c>
      <c r="AU218"/>
      <c r="AV218" s="118">
        <f>IFERROR(INDEX('Fuel Model - Calculation'!$B$2:$M$3771,(MATCH(($E218&amp;"Results"&amp;$AV$140&amp;$F218&amp;"USD/ton"),'Fuel Model - Calculation'!$B$2:$B$3771,0)),MATCH(H$141,'Fuel Model - Calculation'!$B$2:$M$2,0)),0)</f>
        <v>1274.8413816742118</v>
      </c>
      <c r="AW218" s="118">
        <f>IFERROR(INDEX('Fuel Model - Calculation'!$B$2:$M$3771,(MATCH(($E218&amp;"Results"&amp;$AV$140&amp;$F218&amp;"USD/ton"),'Fuel Model - Calculation'!$B$2:$B$3771,0)),MATCH(I$141,'Fuel Model - Calculation'!$B$2:$M$2,0)),0)</f>
        <v>1265</v>
      </c>
      <c r="AX218" s="118">
        <f>IFERROR(INDEX('Fuel Model - Calculation'!$B$2:$M$3771,(MATCH(($E218&amp;"Results"&amp;$AV$140&amp;$F218&amp;"USD/ton"),'Fuel Model - Calculation'!$B$2:$B$3771,0)),MATCH(J$141,'Fuel Model - Calculation'!$B$2:$M$2,0)),0)</f>
        <v>1255.5110135606965</v>
      </c>
      <c r="AY218" s="118">
        <f>IFERROR(INDEX('Fuel Model - Calculation'!$B$2:$M$3771,(MATCH(($E218&amp;"Results"&amp;$AV$140&amp;$F218&amp;"USD/ton"),'Fuel Model - Calculation'!$B$2:$B$3771,0)),MATCH(K$141,'Fuel Model - Calculation'!$B$2:$M$2,0)),0)</f>
        <v>1246.361803965337</v>
      </c>
      <c r="AZ218" s="118">
        <f>IFERROR(INDEX('Fuel Model - Calculation'!$B$2:$M$3771,(MATCH(($E218&amp;"Results"&amp;$AV$140&amp;$F218&amp;"USD/ton"),'Fuel Model - Calculation'!$B$2:$B$3771,0)),MATCH(L$141,'Fuel Model - Calculation'!$B$2:$M$2,0)),0)</f>
        <v>1237.5402046559427</v>
      </c>
      <c r="BA218" s="118">
        <f>IFERROR(INDEX('Fuel Model - Calculation'!$B$2:$M$3771,(MATCH(($E218&amp;"Results"&amp;$AV$140&amp;$F218&amp;"USD/ton"),'Fuel Model - Calculation'!$B$2:$B$3771,0)),MATCH(M$141,'Fuel Model - Calculation'!$B$2:$M$2,0)),0)</f>
        <v>1229.0344847285098</v>
      </c>
      <c r="BB218" s="118">
        <f>IFERROR(INDEX('Fuel Model - Calculation'!$B$2:$M$3771,(MATCH(($E218&amp;"Results"&amp;$AV$140&amp;$F218&amp;"USD/ton"),'Fuel Model - Calculation'!$B$2:$B$3771,0)),MATCH(N$141,'Fuel Model - Calculation'!$B$2:$M$2,0)),0)</f>
        <v>1220.8333333333335</v>
      </c>
      <c r="BC218"/>
      <c r="BD218" s="118">
        <f>IFERROR(INDEX('Fuel Model - Calculation'!$B$2:$M$3771,(MATCH(($E218&amp;"Results"&amp;$BD$140&amp;$F218&amp;"USD/ton"),'Fuel Model - Calculation'!$B$2:$B$3771,0)),MATCH(P$141,'Fuel Model - Calculation'!$B$2:$M$2,0)),0)</f>
        <v>1247.0007593009216</v>
      </c>
      <c r="BE218" s="118">
        <f>IFERROR(INDEX('Fuel Model - Calculation'!$B$2:$M$3771,(MATCH(($E218&amp;"Results"&amp;$BD$140&amp;$F218&amp;"USD/ton"),'Fuel Model - Calculation'!$B$2:$B$3771,0)),MATCH(Q$141,'Fuel Model - Calculation'!$B$2:$M$2,0)),0)</f>
        <v>846.76785560803523</v>
      </c>
      <c r="BF218" s="118">
        <f>IFERROR(INDEX('Fuel Model - Calculation'!$B$2:$M$3771,(MATCH(($E218&amp;"Results"&amp;$BD$140&amp;$F218&amp;"USD/ton"),'Fuel Model - Calculation'!$B$2:$B$3771,0)),MATCH(R$141,'Fuel Model - Calculation'!$B$2:$M$2,0)),0)</f>
        <v>703.01331006543069</v>
      </c>
      <c r="BG218" s="118">
        <f>IFERROR(INDEX('Fuel Model - Calculation'!$B$2:$M$3771,(MATCH(($E218&amp;"Results"&amp;$BD$140&amp;$F218&amp;"USD/ton"),'Fuel Model - Calculation'!$B$2:$B$3771,0)),MATCH(S$141,'Fuel Model - Calculation'!$B$2:$M$2,0)),0)</f>
        <v>609.22040063775205</v>
      </c>
      <c r="BH218" s="118">
        <f>IFERROR(INDEX('Fuel Model - Calculation'!$B$2:$M$3771,(MATCH(($E218&amp;"Results"&amp;$BD$140&amp;$F218&amp;"USD/ton"),'Fuel Model - Calculation'!$B$2:$B$3771,0)),MATCH(T$141,'Fuel Model - Calculation'!$B$2:$M$2,0)),0)</f>
        <v>550.16113111738673</v>
      </c>
      <c r="BI218" s="118">
        <f>IFERROR(INDEX('Fuel Model - Calculation'!$B$2:$M$3771,(MATCH(($E218&amp;"Results"&amp;$BD$140&amp;$F218&amp;"USD/ton"),'Fuel Model - Calculation'!$B$2:$B$3771,0)),MATCH(U$141,'Fuel Model - Calculation'!$B$2:$M$2,0)),0)</f>
        <v>495.84511603120035</v>
      </c>
      <c r="BJ218" s="118">
        <f>IFERROR(INDEX('Fuel Model - Calculation'!$B$2:$M$3771,(MATCH(($E218&amp;"Results"&amp;$BD$140&amp;$F218&amp;"USD/ton"),'Fuel Model - Calculation'!$B$2:$B$3771,0)),MATCH(V$141,'Fuel Model - Calculation'!$B$2:$M$2,0)),0)</f>
        <v>459.25269893906369</v>
      </c>
      <c r="BL218" s="118">
        <f>IFERROR(IFERROR(INDEX('Fuel Model - Calculation'!$B$2:$M$3771,(MATCH(($E218&amp;"Results"&amp;$BL$140&amp;$F218&amp;"USD/ton"),'Fuel Model - Calculation'!$B$2:$B$3771,0)),MATCH(H$141,'Fuel Model - Calculation'!$B$2:$M$2,0)),0),0)</f>
        <v>679.59226035000006</v>
      </c>
      <c r="BM218" s="118">
        <f>IFERROR(IFERROR(INDEX('Fuel Model - Calculation'!$B$2:$M$3771,(MATCH(($E218&amp;"Results"&amp;$BL$140&amp;$F218&amp;"USD/ton"),'Fuel Model - Calculation'!$B$2:$B$3771,0)),MATCH(I$141,'Fuel Model - Calculation'!$B$2:$M$2,0)),0),0)</f>
        <v>675</v>
      </c>
      <c r="BN218" s="118">
        <f>IFERROR(IFERROR(INDEX('Fuel Model - Calculation'!$B$2:$M$3771,(MATCH(($E218&amp;"Results"&amp;$BL$140&amp;$F218&amp;"USD/ton"),'Fuel Model - Calculation'!$B$2:$B$3771,0)),MATCH(J$141,'Fuel Model - Calculation'!$B$2:$M$2,0)),0),0)</f>
        <v>670.43877127499991</v>
      </c>
      <c r="BO218" s="118">
        <f>IFERROR(IFERROR(INDEX('Fuel Model - Calculation'!$B$2:$M$3771,(MATCH(($E218&amp;"Results"&amp;$BL$140&amp;$F218&amp;"USD/ton"),'Fuel Model - Calculation'!$B$2:$B$3771,0)),MATCH(K$141,'Fuel Model - Calculation'!$B$2:$M$2,0)),0),0)</f>
        <v>665.90836447499998</v>
      </c>
      <c r="BP218" s="118">
        <f>IFERROR(IFERROR(INDEX('Fuel Model - Calculation'!$B$2:$M$3771,(MATCH(($E218&amp;"Results"&amp;$BL$140&amp;$F218&amp;"USD/ton"),'Fuel Model - Calculation'!$B$2:$B$3771,0)),MATCH(L$141,'Fuel Model - Calculation'!$B$2:$M$2,0)),0),0)</f>
        <v>661.40857132500003</v>
      </c>
      <c r="BQ218" s="118">
        <f>IFERROR(IFERROR(INDEX('Fuel Model - Calculation'!$B$2:$M$3771,(MATCH(($E218&amp;"Results"&amp;$BL$140&amp;$F218&amp;"USD/ton"),'Fuel Model - Calculation'!$B$2:$B$3771,0)),MATCH(M$141,'Fuel Model - Calculation'!$B$2:$M$2,0)),0),0)</f>
        <v>656.93918504999999</v>
      </c>
      <c r="BR218" s="118">
        <f>IFERROR(IFERROR(INDEX('Fuel Model - Calculation'!$B$2:$M$3771,(MATCH(($E218&amp;"Results"&amp;$BL$140&amp;$F218&amp;"USD/ton"),'Fuel Model - Calculation'!$B$2:$B$3771,0)),MATCH(N$141,'Fuel Model - Calculation'!$B$2:$M$2,0)),0),0)</f>
        <v>652.5</v>
      </c>
      <c r="BT218" s="118">
        <f>IFERROR(INDEX('Fuel Model - Calculation'!$B$2:$M$3771,(MATCH(($E218&amp;"Results"&amp;$BT$140&amp;$F218&amp;"USD/ton"),'Fuel Model - Calculation'!$B$2:$B$3771,0)),MATCH(H$141,'Fuel Model - Calculation'!$B$2:$M$2,0)),0)</f>
        <v>6288.9859720000004</v>
      </c>
      <c r="BU218" s="118">
        <f>IFERROR(INDEX('Fuel Model - Calculation'!$B$2:$M$3771,(MATCH(($E218&amp;"Results"&amp;$BT$140&amp;$F218&amp;"USD/ton"),'Fuel Model - Calculation'!$B$2:$B$3771,0)),MATCH(I$141,'Fuel Model - Calculation'!$B$2:$M$2,0)),0)</f>
        <v>2463.5</v>
      </c>
      <c r="BV218" s="118">
        <f>IFERROR(INDEX('Fuel Model - Calculation'!$B$2:$M$3771,(MATCH(($E218&amp;"Results"&amp;$BT$140&amp;$F218&amp;"USD/ton"),'Fuel Model - Calculation'!$B$2:$B$3771,0)),MATCH(J$141,'Fuel Model - Calculation'!$B$2:$M$2,0)),0)</f>
        <v>1636.133297975</v>
      </c>
      <c r="BW218" s="118">
        <f>IFERROR(INDEX('Fuel Model - Calculation'!$B$2:$M$3771,(MATCH(($E218&amp;"Results"&amp;$BT$140&amp;$F218&amp;"USD/ton"),'Fuel Model - Calculation'!$B$2:$B$3771,0)),MATCH(K$141,'Fuel Model - Calculation'!$B$2:$M$2,0)),0)</f>
        <v>1597.222598525</v>
      </c>
      <c r="BX218" s="118">
        <f>IFERROR(INDEX('Fuel Model - Calculation'!$B$2:$M$3771,(MATCH(($E218&amp;"Results"&amp;$BT$140&amp;$F218&amp;"USD/ton"),'Fuel Model - Calculation'!$B$2:$B$3771,0)),MATCH(L$141,'Fuel Model - Calculation'!$B$2:$M$2,0)),0)</f>
        <v>1559.24497625</v>
      </c>
      <c r="BY218" s="118">
        <f>IFERROR(INDEX('Fuel Model - Calculation'!$B$2:$M$3771,(MATCH(($E218&amp;"Results"&amp;$BT$140&amp;$F218&amp;"USD/ton"),'Fuel Model - Calculation'!$B$2:$B$3771,0)),MATCH(M$141,'Fuel Model - Calculation'!$B$2:$M$2,0)),0)</f>
        <v>1522.178056275</v>
      </c>
      <c r="BZ218" s="118">
        <f>IFERROR(INDEX('Fuel Model - Calculation'!$B$2:$M$3771,(MATCH(($E218&amp;"Results"&amp;$BT$140&amp;$F218&amp;"USD/ton"),'Fuel Model - Calculation'!$B$2:$B$3771,0)),MATCH(N$141,'Fuel Model - Calculation'!$B$2:$M$2,0)),0)</f>
        <v>1486</v>
      </c>
    </row>
    <row r="219" spans="1:78" x14ac:dyDescent="0.2">
      <c r="A219" s="452"/>
      <c r="B219" s="453"/>
      <c r="D219" s="74"/>
      <c r="E219"/>
      <c r="F219"/>
      <c r="G219"/>
      <c r="H219" s="118"/>
      <c r="I219"/>
      <c r="J219"/>
      <c r="K219"/>
      <c r="L219"/>
      <c r="M219"/>
      <c r="N219"/>
      <c r="O219"/>
      <c r="P219"/>
      <c r="Q219"/>
      <c r="R219"/>
      <c r="S219"/>
      <c r="T219"/>
      <c r="U219"/>
      <c r="V219"/>
      <c r="W219"/>
      <c r="X219"/>
      <c r="Y219"/>
      <c r="Z219"/>
      <c r="AA219"/>
      <c r="AB219"/>
      <c r="AC219"/>
      <c r="AD219"/>
      <c r="AE219"/>
      <c r="AF219" s="2"/>
      <c r="AG219" s="2"/>
      <c r="AH219" s="2"/>
      <c r="AI219" s="2"/>
      <c r="AJ219" s="2"/>
      <c r="AK219" s="2"/>
      <c r="AL219" s="2"/>
      <c r="AM219"/>
      <c r="AN219" s="24"/>
      <c r="AO219" s="24"/>
      <c r="AP219" s="24"/>
      <c r="AQ219" s="24"/>
      <c r="AR219" s="24"/>
      <c r="AS219" s="24"/>
      <c r="AT219" s="24"/>
      <c r="AU219"/>
      <c r="AV219" s="118"/>
      <c r="AW219" s="118"/>
      <c r="AX219" s="118"/>
      <c r="AY219" s="118"/>
      <c r="AZ219" s="118"/>
      <c r="BA219" s="118"/>
      <c r="BB219" s="118"/>
      <c r="BC219"/>
      <c r="BD219" s="118"/>
      <c r="BE219" s="118"/>
      <c r="BF219" s="118"/>
      <c r="BG219" s="118"/>
      <c r="BH219" s="118"/>
      <c r="BI219" s="118"/>
      <c r="BJ219" s="118"/>
      <c r="BL219" s="118"/>
      <c r="BM219" s="118"/>
      <c r="BN219" s="118"/>
      <c r="BO219" s="118"/>
      <c r="BP219" s="118"/>
      <c r="BQ219" s="118"/>
      <c r="BR219" s="118"/>
      <c r="BT219" s="118"/>
      <c r="BU219" s="118"/>
      <c r="BV219" s="118"/>
      <c r="BW219" s="118"/>
      <c r="BX219" s="118"/>
      <c r="BY219" s="118"/>
      <c r="BZ219" s="118"/>
    </row>
    <row r="220" spans="1:78" x14ac:dyDescent="0.2">
      <c r="A220" s="452"/>
      <c r="B220" s="453" t="str">
        <f>_xlfn.TEXTJOIN(keydelim,TRUE,F220,IF(E220="Africa","Africa&amp;other",E220),"Fuel cost",SUBSTITUTE($G220," ",""))</f>
        <v>Blue hydrogen (compressed) - Europe - Fuel cost - USD/ton</v>
      </c>
      <c r="D220" s="459" t="str">
        <f>E220&amp;F220</f>
        <v>EuropeBlue hydrogen (compressed)</v>
      </c>
      <c r="E220" t="s">
        <v>195</v>
      </c>
      <c r="F220" s="29" t="s">
        <v>592</v>
      </c>
      <c r="G220" t="s">
        <v>835</v>
      </c>
      <c r="H220" s="118">
        <f>INDEX('Fuel Model - Calculation'!$B$2:$M$3771,(MATCH(($E220&amp;"ResultsCost of "&amp;$F220&amp;"USD/ton"),'Fuel Model - Calculation'!$B$2:$B$3771,0)),MATCH(H$141,'Fuel Model - Calculation'!$B$2:$M$2,0))</f>
        <v>7658.1533276383934</v>
      </c>
      <c r="I220" s="118">
        <f>INDEX('Fuel Model - Calculation'!$B$2:$M$3771,(MATCH(($E220&amp;"ResultsCost of "&amp;$F220&amp;"USD/ton"),'Fuel Model - Calculation'!$B$2:$B$3771,0)),MATCH(I$141,'Fuel Model - Calculation'!$B$2:$M$2,0))</f>
        <v>3749.8870716000383</v>
      </c>
      <c r="J220" s="118">
        <f>INDEX('Fuel Model - Calculation'!$B$2:$M$3771,(MATCH(($E220&amp;"ResultsCost of "&amp;$F220&amp;"USD/ton"),'Fuel Model - Calculation'!$B$2:$B$3771,0)),MATCH(J$141,'Fuel Model - Calculation'!$B$2:$M$2,0))</f>
        <v>2851.4446543192103</v>
      </c>
      <c r="K220" s="118">
        <f>INDEX('Fuel Model - Calculation'!$B$2:$M$3771,(MATCH(($E220&amp;"ResultsCost of "&amp;$F220&amp;"USD/ton"),'Fuel Model - Calculation'!$B$2:$B$3771,0)),MATCH(K$141,'Fuel Model - Calculation'!$B$2:$M$2,0))</f>
        <v>2754.7350312436042</v>
      </c>
      <c r="L220" s="118">
        <f>INDEX('Fuel Model - Calculation'!$B$2:$M$3771,(MATCH(($E220&amp;"ResultsCost of "&amp;$F220&amp;"USD/ton"),'Fuel Model - Calculation'!$B$2:$B$3771,0)),MATCH(L$141,'Fuel Model - Calculation'!$B$2:$M$2,0))</f>
        <v>2667.2931986530989</v>
      </c>
      <c r="M220" s="118">
        <f>INDEX('Fuel Model - Calculation'!$B$2:$M$3771,(MATCH(($E220&amp;"ResultsCost of "&amp;$F220&amp;"USD/ton"),'Fuel Model - Calculation'!$B$2:$B$3771,0)),MATCH(M$141,'Fuel Model - Calculation'!$B$2:$M$2,0))</f>
        <v>2586.4083792754191</v>
      </c>
      <c r="N220" s="118">
        <f>INDEX('Fuel Model - Calculation'!$B$2:$M$3771,(MATCH(($E220&amp;"ResultsCost of "&amp;$F220&amp;"USD/ton"),'Fuel Model - Calculation'!$B$2:$B$3771,0)),MATCH(N$141,'Fuel Model - Calculation'!$B$2:$M$2,0))</f>
        <v>2511.9586868491347</v>
      </c>
      <c r="O220"/>
      <c r="P220" s="118">
        <f>IFERROR(INDEX('Fuel Model - Calculation'!G$2:G$3771,(MATCH(($E220&amp;"ResultsTotal RNE "&amp;$F220&amp;"USD/ton"),'Fuel Model - Calculation'!$B$2:$B$3771,0))),0)</f>
        <v>0</v>
      </c>
      <c r="Q220" s="118">
        <f>IFERROR(INDEX('Fuel Model - Calculation'!H$2:H$3771,(MATCH(($E220&amp;"ResultsTotal RNE "&amp;$F220&amp;"USD/ton"),'Fuel Model - Calculation'!$B$2:$B$3771,0))),0)</f>
        <v>0</v>
      </c>
      <c r="R220" s="118">
        <f>IFERROR(INDEX('Fuel Model - Calculation'!I$2:I$3771,(MATCH(($E220&amp;"ResultsTotal RNE "&amp;$F220&amp;"USD/ton"),'Fuel Model - Calculation'!$B$2:$B$3771,0))),0)</f>
        <v>0</v>
      </c>
      <c r="S220" s="118">
        <f>IFERROR(INDEX('Fuel Model - Calculation'!J$2:J$3771,(MATCH(($E220&amp;"ResultsTotal RNE "&amp;$F220&amp;"USD/ton"),'Fuel Model - Calculation'!$B$2:$B$3771,0))),0)</f>
        <v>0</v>
      </c>
      <c r="T220" s="118">
        <f>IFERROR(INDEX('Fuel Model - Calculation'!K$2:K$3771,(MATCH(($E220&amp;"ResultsTotal RNE "&amp;$F220&amp;"USD/ton"),'Fuel Model - Calculation'!$B$2:$B$3771,0))),0)</f>
        <v>0</v>
      </c>
      <c r="U220" s="118">
        <f>IFERROR(INDEX('Fuel Model - Calculation'!L$2:L$3771,(MATCH(($E220&amp;"ResultsTotal RNE "&amp;$F220&amp;"USD/ton"),'Fuel Model - Calculation'!$B$2:$B$3771,0))),0)</f>
        <v>0</v>
      </c>
      <c r="V220" s="118">
        <f>IFERROR(INDEX('Fuel Model - Calculation'!M$2:M$3771,(MATCH(($E220&amp;"ResultsTotal RNE "&amp;$F220&amp;"USD/ton"),'Fuel Model - Calculation'!$B$2:$B$3771,0))),0)</f>
        <v>0</v>
      </c>
      <c r="W220"/>
      <c r="X220" s="2">
        <f>INDEX('Fuel Model - Calculation'!$E$2:$M$3771,(MATCH(("WTT Emission - "&amp;$F220),'Fuel Model - Calculation'!$E$2:$E$3771,0)),MATCH(X$141,'Fuel Model - Calculation'!$E$2:$M$2,0))</f>
        <v>1.9865325617428082</v>
      </c>
      <c r="Y220" s="2">
        <f>INDEX('Fuel Model - Calculation'!$E$2:$M$3771,(MATCH(("WTT Emission - "&amp;$F220),'Fuel Model - Calculation'!$E$2:$E$3771,0)),MATCH(Y$141,'Fuel Model - Calculation'!$E$2:$M$2,0))</f>
        <v>1.8688949152542371</v>
      </c>
      <c r="Z220" s="2">
        <f>INDEX('Fuel Model - Calculation'!$E$2:$M$3771,(MATCH(("WTT Emission - "&amp;$F220),'Fuel Model - Calculation'!$E$2:$E$3771,0)),MATCH(Z$141,'Fuel Model - Calculation'!$E$2:$M$2,0))</f>
        <v>1.7521101087172288</v>
      </c>
      <c r="AA220" s="2">
        <f>INDEX('Fuel Model - Calculation'!$E$2:$M$3771,(MATCH(("WTT Emission - "&amp;$F220),'Fuel Model - Calculation'!$E$2:$E$3771,0)),MATCH(AA$141,'Fuel Model - Calculation'!$E$2:$M$2,0))</f>
        <v>1.6361611252163055</v>
      </c>
      <c r="AB220" s="2">
        <f>INDEX('Fuel Model - Calculation'!$E$2:$M$3771,(MATCH(("WTT Emission - "&amp;$F220),'Fuel Model - Calculation'!$E$2:$E$3771,0)),MATCH(AB$141,'Fuel Model - Calculation'!$E$2:$M$2,0))</f>
        <v>1.5210312923520297</v>
      </c>
      <c r="AC220" s="2">
        <f>INDEX('Fuel Model - Calculation'!$E$2:$M$3771,(MATCH(("WTT Emission - "&amp;$F220),'Fuel Model - Calculation'!$E$2:$E$3771,0)),MATCH(AC$141,'Fuel Model - Calculation'!$E$2:$M$2,0))</f>
        <v>1.4067042752465706</v>
      </c>
      <c r="AD220" s="2">
        <f>INDEX('Fuel Model - Calculation'!$E$2:$M$3771,(MATCH(("WTT Emission - "&amp;$F220),'Fuel Model - Calculation'!$E$2:$E$3771,0)),MATCH(AD$141,'Fuel Model - Calculation'!$E$2:$M$2,0))</f>
        <v>1.2931640677966105</v>
      </c>
      <c r="AE220" s="2"/>
      <c r="AF220" s="2">
        <f>'Fuel Model -  Input'!H$47</f>
        <v>0</v>
      </c>
      <c r="AG220" s="2">
        <f>'Fuel Model -  Input'!I$47</f>
        <v>0</v>
      </c>
      <c r="AH220" s="2">
        <f>'Fuel Model -  Input'!J$47</f>
        <v>0</v>
      </c>
      <c r="AI220" s="2">
        <f>'Fuel Model -  Input'!K$47</f>
        <v>0</v>
      </c>
      <c r="AJ220" s="2">
        <f>'Fuel Model -  Input'!L$47</f>
        <v>0</v>
      </c>
      <c r="AK220" s="2">
        <f>'Fuel Model -  Input'!M$47</f>
        <v>0</v>
      </c>
      <c r="AL220" s="2">
        <f>'Fuel Model -  Input'!N$47</f>
        <v>0</v>
      </c>
      <c r="AM220"/>
      <c r="AN220" s="24">
        <f t="shared" ref="AN220:AT224" si="197">X220+AF220</f>
        <v>1.9865325617428082</v>
      </c>
      <c r="AO220" s="24">
        <f t="shared" si="197"/>
        <v>1.8688949152542371</v>
      </c>
      <c r="AP220" s="24">
        <f t="shared" si="197"/>
        <v>1.7521101087172288</v>
      </c>
      <c r="AQ220" s="24">
        <f t="shared" si="197"/>
        <v>1.6361611252163055</v>
      </c>
      <c r="AR220" s="24">
        <f t="shared" si="197"/>
        <v>1.5210312923520297</v>
      </c>
      <c r="AS220" s="24">
        <f t="shared" si="197"/>
        <v>1.4067042752465706</v>
      </c>
      <c r="AT220" s="24">
        <f t="shared" si="197"/>
        <v>1.2931640677966105</v>
      </c>
      <c r="AU220"/>
      <c r="AV220" s="118">
        <f>IFERROR(INDEX('Fuel Model - Calculation'!$B$2:$M$3771,(MATCH(($E220&amp;"Results"&amp;$AV$140&amp;$F220&amp;"USD/ton"),'Fuel Model - Calculation'!$B$2:$B$3771,0)),MATCH(H$141,'Fuel Model - Calculation'!$B$2:$M$2,0)),0)</f>
        <v>274.84138167421179</v>
      </c>
      <c r="AW220" s="118">
        <f>IFERROR(INDEX('Fuel Model - Calculation'!$B$2:$M$3771,(MATCH(($E220&amp;"Results"&amp;$AV$140&amp;$F220&amp;"USD/ton"),'Fuel Model - Calculation'!$B$2:$B$3771,0)),MATCH(I$141,'Fuel Model - Calculation'!$B$2:$M$2,0)),0)</f>
        <v>265.00000000000006</v>
      </c>
      <c r="AX220" s="118">
        <f>IFERROR(INDEX('Fuel Model - Calculation'!$B$2:$M$3771,(MATCH(($E220&amp;"Results"&amp;$AV$140&amp;$F220&amp;"USD/ton"),'Fuel Model - Calculation'!$B$2:$B$3771,0)),MATCH(J$141,'Fuel Model - Calculation'!$B$2:$M$2,0)),0)</f>
        <v>255.51101356069626</v>
      </c>
      <c r="AY220" s="118">
        <f>IFERROR(INDEX('Fuel Model - Calculation'!$B$2:$M$3771,(MATCH(($E220&amp;"Results"&amp;$AV$140&amp;$F220&amp;"USD/ton"),'Fuel Model - Calculation'!$B$2:$B$3771,0)),MATCH(K$141,'Fuel Model - Calculation'!$B$2:$M$2,0)),0)</f>
        <v>246.36180396533697</v>
      </c>
      <c r="AZ220" s="118">
        <f>IFERROR(INDEX('Fuel Model - Calculation'!$B$2:$M$3771,(MATCH(($E220&amp;"Results"&amp;$AV$140&amp;$F220&amp;"USD/ton"),'Fuel Model - Calculation'!$B$2:$B$3771,0)),MATCH(L$141,'Fuel Model - Calculation'!$B$2:$M$2,0)),0)</f>
        <v>237.54020465594266</v>
      </c>
      <c r="BA220" s="118">
        <f>IFERROR(INDEX('Fuel Model - Calculation'!$B$2:$M$3771,(MATCH(($E220&amp;"Results"&amp;$AV$140&amp;$F220&amp;"USD/ton"),'Fuel Model - Calculation'!$B$2:$B$3771,0)),MATCH(M$141,'Fuel Model - Calculation'!$B$2:$M$2,0)),0)</f>
        <v>229.03448472850988</v>
      </c>
      <c r="BB220" s="118">
        <f>IFERROR(INDEX('Fuel Model - Calculation'!$B$2:$M$3771,(MATCH(($E220&amp;"Results"&amp;$AV$140&amp;$F220&amp;"USD/ton"),'Fuel Model - Calculation'!$B$2:$B$3771,0)),MATCH(N$141,'Fuel Model - Calculation'!$B$2:$M$2,0)),0)</f>
        <v>220.83333333333337</v>
      </c>
      <c r="BC220"/>
      <c r="BD220" s="118">
        <f>IFERROR(INDEX('Fuel Model - Calculation'!$B$2:$M$3771,(MATCH(($E220&amp;"Results"&amp;$BD$140&amp;$F220&amp;"USD/ton"),'Fuel Model - Calculation'!$B$2:$B$3771,0)),MATCH(P$141,'Fuel Model - Calculation'!$B$2:$M$2,0)),0)</f>
        <v>414.73371361418128</v>
      </c>
      <c r="BE220" s="118">
        <f>IFERROR(INDEX('Fuel Model - Calculation'!$B$2:$M$3771,(MATCH(($E220&amp;"Results"&amp;$BD$140&amp;$F220&amp;"USD/ton"),'Fuel Model - Calculation'!$B$2:$B$3771,0)),MATCH(Q$141,'Fuel Model - Calculation'!$B$2:$M$2,0)),0)</f>
        <v>346.38707160003844</v>
      </c>
      <c r="BF220" s="118">
        <f>IFERROR(INDEX('Fuel Model - Calculation'!$B$2:$M$3771,(MATCH(($E220&amp;"Results"&amp;$BD$140&amp;$F220&amp;"USD/ton"),'Fuel Model - Calculation'!$B$2:$B$3771,0)),MATCH(R$141,'Fuel Model - Calculation'!$B$2:$M$2,0)),0)</f>
        <v>289.36157150851443</v>
      </c>
      <c r="BG220" s="118">
        <f>IFERROR(INDEX('Fuel Model - Calculation'!$B$2:$M$3771,(MATCH(($E220&amp;"Results"&amp;$BD$140&amp;$F220&amp;"USD/ton"),'Fuel Model - Calculation'!$B$2:$B$3771,0)),MATCH(S$141,'Fuel Model - Calculation'!$B$2:$M$2,0)),0)</f>
        <v>245.2422642782675</v>
      </c>
      <c r="BH220" s="118">
        <f>IFERROR(INDEX('Fuel Model - Calculation'!$B$2:$M$3771,(MATCH(($E220&amp;"Results"&amp;$BD$140&amp;$F220&amp;"USD/ton"),'Fuel Model - Calculation'!$B$2:$B$3771,0)),MATCH(T$141,'Fuel Model - Calculation'!$B$2:$M$2,0)),0)</f>
        <v>209.09944642215621</v>
      </c>
      <c r="BI220" s="118">
        <f>IFERROR(INDEX('Fuel Model - Calculation'!$B$2:$M$3771,(MATCH(($E220&amp;"Results"&amp;$BD$140&amp;$F220&amp;"USD/ton"),'Fuel Model - Calculation'!$B$2:$B$3771,0)),MATCH(U$141,'Fuel Model - Calculation'!$B$2:$M$2,0)),0)</f>
        <v>178.2566532219092</v>
      </c>
      <c r="BJ220" s="118">
        <f>IFERROR(INDEX('Fuel Model - Calculation'!$B$2:$M$3771,(MATCH(($E220&amp;"Results"&amp;$BD$140&amp;$F220&amp;"USD/ton"),'Fuel Model - Calculation'!$B$2:$B$3771,0)),MATCH(V$141,'Fuel Model - Calculation'!$B$2:$M$2,0)),0)</f>
        <v>152.62535351580107</v>
      </c>
      <c r="BL220" s="118">
        <f>IFERROR(IFERROR(INDEX('Fuel Model - Calculation'!$B$2:$M$3771,(MATCH(($E220&amp;"Results"&amp;$BL$140&amp;$F220&amp;"USD/ton"),'Fuel Model - Calculation'!$B$2:$B$3771,0)),MATCH(H$141,'Fuel Model - Calculation'!$B$2:$M$2,0)),0),0)</f>
        <v>679.59226035000006</v>
      </c>
      <c r="BM220" s="118">
        <f>IFERROR(IFERROR(INDEX('Fuel Model - Calculation'!$B$2:$M$3771,(MATCH(($E220&amp;"Results"&amp;$BL$140&amp;$F220&amp;"USD/ton"),'Fuel Model - Calculation'!$B$2:$B$3771,0)),MATCH(I$141,'Fuel Model - Calculation'!$B$2:$M$2,0)),0),0)</f>
        <v>675</v>
      </c>
      <c r="BN220" s="118">
        <f>IFERROR(IFERROR(INDEX('Fuel Model - Calculation'!$B$2:$M$3771,(MATCH(($E220&amp;"Results"&amp;$BL$140&amp;$F220&amp;"USD/ton"),'Fuel Model - Calculation'!$B$2:$B$3771,0)),MATCH(J$141,'Fuel Model - Calculation'!$B$2:$M$2,0)),0),0)</f>
        <v>670.43877127499991</v>
      </c>
      <c r="BO220" s="118">
        <f>IFERROR(IFERROR(INDEX('Fuel Model - Calculation'!$B$2:$M$3771,(MATCH(($E220&amp;"Results"&amp;$BL$140&amp;$F220&amp;"USD/ton"),'Fuel Model - Calculation'!$B$2:$B$3771,0)),MATCH(K$141,'Fuel Model - Calculation'!$B$2:$M$2,0)),0),0)</f>
        <v>665.90836447499998</v>
      </c>
      <c r="BP220" s="118">
        <f>IFERROR(IFERROR(INDEX('Fuel Model - Calculation'!$B$2:$M$3771,(MATCH(($E220&amp;"Results"&amp;$BL$140&amp;$F220&amp;"USD/ton"),'Fuel Model - Calculation'!$B$2:$B$3771,0)),MATCH(L$141,'Fuel Model - Calculation'!$B$2:$M$2,0)),0),0)</f>
        <v>661.40857132500003</v>
      </c>
      <c r="BQ220" s="118">
        <f>IFERROR(IFERROR(INDEX('Fuel Model - Calculation'!$B$2:$M$3771,(MATCH(($E220&amp;"Results"&amp;$BL$140&amp;$F220&amp;"USD/ton"),'Fuel Model - Calculation'!$B$2:$B$3771,0)),MATCH(M$141,'Fuel Model - Calculation'!$B$2:$M$2,0)),0),0)</f>
        <v>656.93918504999999</v>
      </c>
      <c r="BR220" s="118">
        <f>IFERROR(IFERROR(INDEX('Fuel Model - Calculation'!$B$2:$M$3771,(MATCH(($E220&amp;"Results"&amp;$BL$140&amp;$F220&amp;"USD/ton"),'Fuel Model - Calculation'!$B$2:$B$3771,0)),MATCH(N$141,'Fuel Model - Calculation'!$B$2:$M$2,0)),0),0)</f>
        <v>652.5</v>
      </c>
      <c r="BT220" s="118">
        <f>IFERROR(INDEX('Fuel Model - Calculation'!$B$2:$M$3771,(MATCH(($E220&amp;"Results"&amp;$BT$140&amp;$F220&amp;"USD/ton"),'Fuel Model - Calculation'!$B$2:$B$3771,0)),MATCH(H$141,'Fuel Model - Calculation'!$B$2:$M$2,0)),0)</f>
        <v>6288.9859720000004</v>
      </c>
      <c r="BU220" s="118">
        <f>IFERROR(INDEX('Fuel Model - Calculation'!$B$2:$M$3771,(MATCH(($E220&amp;"Results"&amp;$BT$140&amp;$F220&amp;"USD/ton"),'Fuel Model - Calculation'!$B$2:$B$3771,0)),MATCH(I$141,'Fuel Model - Calculation'!$B$2:$M$2,0)),0)</f>
        <v>2463.5</v>
      </c>
      <c r="BV220" s="118">
        <f>IFERROR(INDEX('Fuel Model - Calculation'!$B$2:$M$3771,(MATCH(($E220&amp;"Results"&amp;$BT$140&amp;$F220&amp;"USD/ton"),'Fuel Model - Calculation'!$B$2:$B$3771,0)),MATCH(J$141,'Fuel Model - Calculation'!$B$2:$M$2,0)),0)</f>
        <v>1636.133297975</v>
      </c>
      <c r="BW220" s="118">
        <f>IFERROR(INDEX('Fuel Model - Calculation'!$B$2:$M$3771,(MATCH(($E220&amp;"Results"&amp;$BT$140&amp;$F220&amp;"USD/ton"),'Fuel Model - Calculation'!$B$2:$B$3771,0)),MATCH(K$141,'Fuel Model - Calculation'!$B$2:$M$2,0)),0)</f>
        <v>1597.222598525</v>
      </c>
      <c r="BX220" s="118">
        <f>IFERROR(INDEX('Fuel Model - Calculation'!$B$2:$M$3771,(MATCH(($E220&amp;"Results"&amp;$BT$140&amp;$F220&amp;"USD/ton"),'Fuel Model - Calculation'!$B$2:$B$3771,0)),MATCH(L$141,'Fuel Model - Calculation'!$B$2:$M$2,0)),0)</f>
        <v>1559.24497625</v>
      </c>
      <c r="BY220" s="118">
        <f>IFERROR(INDEX('Fuel Model - Calculation'!$B$2:$M$3771,(MATCH(($E220&amp;"Results"&amp;$BT$140&amp;$F220&amp;"USD/ton"),'Fuel Model - Calculation'!$B$2:$B$3771,0)),MATCH(M$141,'Fuel Model - Calculation'!$B$2:$M$2,0)),0)</f>
        <v>1522.178056275</v>
      </c>
      <c r="BZ220" s="118">
        <f>IFERROR(INDEX('Fuel Model - Calculation'!$B$2:$M$3771,(MATCH(($E220&amp;"Results"&amp;$BT$140&amp;$F220&amp;"USD/ton"),'Fuel Model - Calculation'!$B$2:$B$3771,0)),MATCH(N$141,'Fuel Model - Calculation'!$B$2:$M$2,0)),0)</f>
        <v>1486</v>
      </c>
    </row>
    <row r="221" spans="1:78" x14ac:dyDescent="0.2">
      <c r="A221" s="452"/>
      <c r="B221" s="453" t="str">
        <f>_xlfn.TEXTJOIN(keydelim,TRUE,F221,IF(E221="Africa","Africa&amp;other",E221),"Fuel cost",SUBSTITUTE($G221," ",""))</f>
        <v>Blue hydrogen (compressed) - Middle East - Fuel cost - USD/ton</v>
      </c>
      <c r="D221" s="459" t="str">
        <f t="shared" ref="D221:D224" si="198">E221&amp;F221</f>
        <v>Middle EastBlue hydrogen (compressed)</v>
      </c>
      <c r="E221" t="s">
        <v>197</v>
      </c>
      <c r="F221" s="460" t="str">
        <f t="shared" ref="F221:F224" si="199">F220</f>
        <v>Blue hydrogen (compressed)</v>
      </c>
      <c r="G221" t="s">
        <v>835</v>
      </c>
      <c r="H221" s="118">
        <f>INDEX('Fuel Model - Calculation'!$B$2:$M$3771,(MATCH(($E221&amp;"ResultsCost of "&amp;$F221&amp;"USD/ton"),'Fuel Model - Calculation'!$B$2:$B$3771,0)),MATCH(H$141,'Fuel Model - Calculation'!$B$2:$M$2,0))</f>
        <v>6389.7470049652611</v>
      </c>
      <c r="I221" s="118">
        <f>INDEX('Fuel Model - Calculation'!$B$2:$M$3771,(MATCH(($E221&amp;"ResultsCost of "&amp;$F221&amp;"USD/ton"),'Fuel Model - Calculation'!$B$2:$B$3771,0)),MATCH(I$141,'Fuel Model - Calculation'!$B$2:$M$2,0))</f>
        <v>3126.4407435840894</v>
      </c>
      <c r="J221" s="118">
        <f>INDEX('Fuel Model - Calculation'!$B$2:$M$3771,(MATCH(($E221&amp;"ResultsCost of "&amp;$F221&amp;"USD/ton"),'Fuel Model - Calculation'!$B$2:$B$3771,0)),MATCH(J$141,'Fuel Model - Calculation'!$B$2:$M$2,0))</f>
        <v>1716.3557808076907</v>
      </c>
      <c r="K221" s="118">
        <f>INDEX('Fuel Model - Calculation'!$B$2:$M$3771,(MATCH(($E221&amp;"ResultsCost of "&amp;$F221&amp;"USD/ton"),'Fuel Model - Calculation'!$B$2:$B$3771,0)),MATCH(K$141,'Fuel Model - Calculation'!$B$2:$M$2,0))</f>
        <v>1646.3475224111321</v>
      </c>
      <c r="L221" s="118">
        <f>INDEX('Fuel Model - Calculation'!$B$2:$M$3771,(MATCH(($E221&amp;"ResultsCost of "&amp;$F221&amp;"USD/ton"),'Fuel Model - Calculation'!$B$2:$B$3771,0)),MATCH(L$141,'Fuel Model - Calculation'!$B$2:$M$2,0))</f>
        <v>1585.4753429553082</v>
      </c>
      <c r="M221" s="118">
        <f>INDEX('Fuel Model - Calculation'!$B$2:$M$3771,(MATCH(($E221&amp;"ResultsCost of "&amp;$F221&amp;"USD/ton"),'Fuel Model - Calculation'!$B$2:$B$3771,0)),MATCH(M$141,'Fuel Model - Calculation'!$B$2:$M$2,0))</f>
        <v>1530.0554364857571</v>
      </c>
      <c r="N221" s="118">
        <f>INDEX('Fuel Model - Calculation'!$B$2:$M$3771,(MATCH(($E221&amp;"ResultsCost of "&amp;$F221&amp;"USD/ton"),'Fuel Model - Calculation'!$B$2:$B$3771,0)),MATCH(N$141,'Fuel Model - Calculation'!$B$2:$M$2,0))</f>
        <v>1481.2193641798622</v>
      </c>
      <c r="O221"/>
      <c r="P221" s="118">
        <f>IFERROR(INDEX('Fuel Model - Calculation'!G$2:G$3771,(MATCH(($E221&amp;"ResultsTotal RNE "&amp;$F221&amp;"USD/ton"),'Fuel Model - Calculation'!$B$2:$B$3771,0))),0)</f>
        <v>0</v>
      </c>
      <c r="Q221" s="118">
        <f>IFERROR(INDEX('Fuel Model - Calculation'!H$2:H$3771,(MATCH(($E221&amp;"ResultsTotal RNE "&amp;$F221&amp;"USD/ton"),'Fuel Model - Calculation'!$B$2:$B$3771,0))),0)</f>
        <v>0</v>
      </c>
      <c r="R221" s="118">
        <f>IFERROR(INDEX('Fuel Model - Calculation'!I$2:I$3771,(MATCH(($E221&amp;"ResultsTotal RNE "&amp;$F221&amp;"USD/ton"),'Fuel Model - Calculation'!$B$2:$B$3771,0))),0)</f>
        <v>0</v>
      </c>
      <c r="S221" s="118">
        <f>IFERROR(INDEX('Fuel Model - Calculation'!J$2:J$3771,(MATCH(($E221&amp;"ResultsTotal RNE "&amp;$F221&amp;"USD/ton"),'Fuel Model - Calculation'!$B$2:$B$3771,0))),0)</f>
        <v>0</v>
      </c>
      <c r="T221" s="118">
        <f>IFERROR(INDEX('Fuel Model - Calculation'!K$2:K$3771,(MATCH(($E221&amp;"ResultsTotal RNE "&amp;$F221&amp;"USD/ton"),'Fuel Model - Calculation'!$B$2:$B$3771,0))),0)</f>
        <v>0</v>
      </c>
      <c r="U221" s="118">
        <f>IFERROR(INDEX('Fuel Model - Calculation'!L$2:L$3771,(MATCH(($E221&amp;"ResultsTotal RNE "&amp;$F221&amp;"USD/ton"),'Fuel Model - Calculation'!$B$2:$B$3771,0))),0)</f>
        <v>0</v>
      </c>
      <c r="V221" s="118">
        <f>IFERROR(INDEX('Fuel Model - Calculation'!M$2:M$3771,(MATCH(($E221&amp;"ResultsTotal RNE "&amp;$F221&amp;"USD/ton"),'Fuel Model - Calculation'!$B$2:$B$3771,0))),0)</f>
        <v>0</v>
      </c>
      <c r="W221"/>
      <c r="X221" s="2">
        <f>INDEX('Fuel Model - Calculation'!$E$2:$M$3771,(MATCH(("WTT Emission - "&amp;$F221),'Fuel Model - Calculation'!$E$2:$E$3771,0)),MATCH(X$141,'Fuel Model - Calculation'!$E$2:$M$2,0))</f>
        <v>1.9865325617428082</v>
      </c>
      <c r="Y221" s="2">
        <f>INDEX('Fuel Model - Calculation'!$E$2:$M$3771,(MATCH(("WTT Emission - "&amp;$F221),'Fuel Model - Calculation'!$E$2:$E$3771,0)),MATCH(Y$141,'Fuel Model - Calculation'!$E$2:$M$2,0))</f>
        <v>1.8688949152542371</v>
      </c>
      <c r="Z221" s="2">
        <f>INDEX('Fuel Model - Calculation'!$E$2:$M$3771,(MATCH(("WTT Emission - "&amp;$F221),'Fuel Model - Calculation'!$E$2:$E$3771,0)),MATCH(Z$141,'Fuel Model - Calculation'!$E$2:$M$2,0))</f>
        <v>1.7521101087172288</v>
      </c>
      <c r="AA221" s="2">
        <f>INDEX('Fuel Model - Calculation'!$E$2:$M$3771,(MATCH(("WTT Emission - "&amp;$F221),'Fuel Model - Calculation'!$E$2:$E$3771,0)),MATCH(AA$141,'Fuel Model - Calculation'!$E$2:$M$2,0))</f>
        <v>1.6361611252163055</v>
      </c>
      <c r="AB221" s="2">
        <f>INDEX('Fuel Model - Calculation'!$E$2:$M$3771,(MATCH(("WTT Emission - "&amp;$F221),'Fuel Model - Calculation'!$E$2:$E$3771,0)),MATCH(AB$141,'Fuel Model - Calculation'!$E$2:$M$2,0))</f>
        <v>1.5210312923520297</v>
      </c>
      <c r="AC221" s="2">
        <f>INDEX('Fuel Model - Calculation'!$E$2:$M$3771,(MATCH(("WTT Emission - "&amp;$F221),'Fuel Model - Calculation'!$E$2:$E$3771,0)),MATCH(AC$141,'Fuel Model - Calculation'!$E$2:$M$2,0))</f>
        <v>1.4067042752465706</v>
      </c>
      <c r="AD221" s="2">
        <f>INDEX('Fuel Model - Calculation'!$E$2:$M$3771,(MATCH(("WTT Emission - "&amp;$F221),'Fuel Model - Calculation'!$E$2:$E$3771,0)),MATCH(AD$141,'Fuel Model - Calculation'!$E$2:$M$2,0))</f>
        <v>1.2931640677966105</v>
      </c>
      <c r="AE221" s="2"/>
      <c r="AF221" s="2">
        <f>'Fuel Model -  Input'!H$47</f>
        <v>0</v>
      </c>
      <c r="AG221" s="2">
        <f>'Fuel Model -  Input'!I$47</f>
        <v>0</v>
      </c>
      <c r="AH221" s="2">
        <f>'Fuel Model -  Input'!J$47</f>
        <v>0</v>
      </c>
      <c r="AI221" s="2">
        <f>'Fuel Model -  Input'!K$47</f>
        <v>0</v>
      </c>
      <c r="AJ221" s="2">
        <f>'Fuel Model -  Input'!L$47</f>
        <v>0</v>
      </c>
      <c r="AK221" s="2">
        <f>'Fuel Model -  Input'!M$47</f>
        <v>0</v>
      </c>
      <c r="AL221" s="2">
        <f>'Fuel Model -  Input'!N$47</f>
        <v>0</v>
      </c>
      <c r="AM221"/>
      <c r="AN221" s="24">
        <f t="shared" si="197"/>
        <v>1.9865325617428082</v>
      </c>
      <c r="AO221" s="24">
        <f t="shared" si="197"/>
        <v>1.8688949152542371</v>
      </c>
      <c r="AP221" s="24">
        <f t="shared" si="197"/>
        <v>1.7521101087172288</v>
      </c>
      <c r="AQ221" s="24">
        <f t="shared" si="197"/>
        <v>1.6361611252163055</v>
      </c>
      <c r="AR221" s="24">
        <f t="shared" si="197"/>
        <v>1.5210312923520297</v>
      </c>
      <c r="AS221" s="24">
        <f t="shared" si="197"/>
        <v>1.4067042752465706</v>
      </c>
      <c r="AT221" s="24">
        <f t="shared" si="197"/>
        <v>1.2931640677966105</v>
      </c>
      <c r="AU221"/>
      <c r="AV221" s="118">
        <f>IFERROR(INDEX('Fuel Model - Calculation'!$B$2:$M$3771,(MATCH(($E221&amp;"Results"&amp;$AV$140&amp;$F221&amp;"USD/ton"),'Fuel Model - Calculation'!$B$2:$B$3771,0)),MATCH(H$141,'Fuel Model - Calculation'!$B$2:$M$2,0)),0)</f>
        <v>274.84138167421179</v>
      </c>
      <c r="AW221" s="118">
        <f>IFERROR(INDEX('Fuel Model - Calculation'!$B$2:$M$3771,(MATCH(($E221&amp;"Results"&amp;$AV$140&amp;$F221&amp;"USD/ton"),'Fuel Model - Calculation'!$B$2:$B$3771,0)),MATCH(I$141,'Fuel Model - Calculation'!$B$2:$M$2,0)),0)</f>
        <v>265.00000000000006</v>
      </c>
      <c r="AX221" s="118">
        <f>IFERROR(INDEX('Fuel Model - Calculation'!$B$2:$M$3771,(MATCH(($E221&amp;"Results"&amp;$AV$140&amp;$F221&amp;"USD/ton"),'Fuel Model - Calculation'!$B$2:$B$3771,0)),MATCH(J$141,'Fuel Model - Calculation'!$B$2:$M$2,0)),0)</f>
        <v>255.51101356069626</v>
      </c>
      <c r="AY221" s="118">
        <f>IFERROR(INDEX('Fuel Model - Calculation'!$B$2:$M$3771,(MATCH(($E221&amp;"Results"&amp;$AV$140&amp;$F221&amp;"USD/ton"),'Fuel Model - Calculation'!$B$2:$B$3771,0)),MATCH(K$141,'Fuel Model - Calculation'!$B$2:$M$2,0)),0)</f>
        <v>246.36180396533697</v>
      </c>
      <c r="AZ221" s="118">
        <f>IFERROR(INDEX('Fuel Model - Calculation'!$B$2:$M$3771,(MATCH(($E221&amp;"Results"&amp;$AV$140&amp;$F221&amp;"USD/ton"),'Fuel Model - Calculation'!$B$2:$B$3771,0)),MATCH(L$141,'Fuel Model - Calculation'!$B$2:$M$2,0)),0)</f>
        <v>237.54020465594266</v>
      </c>
      <c r="BA221" s="118">
        <f>IFERROR(INDEX('Fuel Model - Calculation'!$B$2:$M$3771,(MATCH(($E221&amp;"Results"&amp;$AV$140&amp;$F221&amp;"USD/ton"),'Fuel Model - Calculation'!$B$2:$B$3771,0)),MATCH(M$141,'Fuel Model - Calculation'!$B$2:$M$2,0)),0)</f>
        <v>229.03448472850988</v>
      </c>
      <c r="BB221" s="118">
        <f>IFERROR(INDEX('Fuel Model - Calculation'!$B$2:$M$3771,(MATCH(($E221&amp;"Results"&amp;$AV$140&amp;$F221&amp;"USD/ton"),'Fuel Model - Calculation'!$B$2:$B$3771,0)),MATCH(N$141,'Fuel Model - Calculation'!$B$2:$M$2,0)),0)</f>
        <v>220.83333333333337</v>
      </c>
      <c r="BC221"/>
      <c r="BD221" s="118">
        <f>IFERROR(INDEX('Fuel Model - Calculation'!$B$2:$M$3771,(MATCH(($E221&amp;"Results"&amp;$BD$140&amp;$F221&amp;"USD/ton"),'Fuel Model - Calculation'!$B$2:$B$3771,0)),MATCH(P$141,'Fuel Model - Calculation'!$B$2:$M$2,0)),0)</f>
        <v>401.42458534104952</v>
      </c>
      <c r="BE221" s="118">
        <f>IFERROR(INDEX('Fuel Model - Calculation'!$B$2:$M$3771,(MATCH(($E221&amp;"Results"&amp;$BD$140&amp;$F221&amp;"USD/ton"),'Fuel Model - Calculation'!$B$2:$B$3771,0)),MATCH(Q$141,'Fuel Model - Calculation'!$B$2:$M$2,0)),0)</f>
        <v>335.44074358408926</v>
      </c>
      <c r="BF221" s="118">
        <f>IFERROR(INDEX('Fuel Model - Calculation'!$B$2:$M$3771,(MATCH(($E221&amp;"Results"&amp;$BD$140&amp;$F221&amp;"USD/ton"),'Fuel Model - Calculation'!$B$2:$B$3771,0)),MATCH(R$141,'Fuel Model - Calculation'!$B$2:$M$2,0)),0)</f>
        <v>281.57583132699449</v>
      </c>
      <c r="BG221" s="118">
        <f>IFERROR(INDEX('Fuel Model - Calculation'!$B$2:$M$3771,(MATCH(($E221&amp;"Results"&amp;$BD$140&amp;$F221&amp;"USD/ton"),'Fuel Model - Calculation'!$B$2:$B$3771,0)),MATCH(S$141,'Fuel Model - Calculation'!$B$2:$M$2,0)),0)</f>
        <v>237.12519231579512</v>
      </c>
      <c r="BH221" s="118">
        <f>IFERROR(INDEX('Fuel Model - Calculation'!$B$2:$M$3771,(MATCH(($E221&amp;"Results"&amp;$BD$140&amp;$F221&amp;"USD/ton"),'Fuel Model - Calculation'!$B$2:$B$3771,0)),MATCH(T$141,'Fuel Model - Calculation'!$B$2:$M$2,0)),0)</f>
        <v>201.16757422436558</v>
      </c>
      <c r="BI221" s="118">
        <f>IFERROR(INDEX('Fuel Model - Calculation'!$B$2:$M$3771,(MATCH(($E221&amp;"Results"&amp;$BD$140&amp;$F221&amp;"USD/ton"),'Fuel Model - Calculation'!$B$2:$B$3771,0)),MATCH(U$141,'Fuel Model - Calculation'!$B$2:$M$2,0)),0)</f>
        <v>170.03793900224738</v>
      </c>
      <c r="BJ221" s="118">
        <f>IFERROR(INDEX('Fuel Model - Calculation'!$B$2:$M$3771,(MATCH(($E221&amp;"Results"&amp;$BD$140&amp;$F221&amp;"USD/ton"),'Fuel Model - Calculation'!$B$2:$B$3771,0)),MATCH(V$141,'Fuel Model - Calculation'!$B$2:$M$2,0)),0)</f>
        <v>144.88603084652863</v>
      </c>
      <c r="BL221" s="118">
        <f>IFERROR(IFERROR(INDEX('Fuel Model - Calculation'!$B$2:$M$3771,(MATCH(($E221&amp;"Results"&amp;$BL$140&amp;$F221&amp;"USD/ton"),'Fuel Model - Calculation'!$B$2:$B$3771,0)),MATCH(H$141,'Fuel Model - Calculation'!$B$2:$M$2,0)),0),0)</f>
        <v>679.59226035000006</v>
      </c>
      <c r="BM221" s="118">
        <f>IFERROR(IFERROR(INDEX('Fuel Model - Calculation'!$B$2:$M$3771,(MATCH(($E221&amp;"Results"&amp;$BL$140&amp;$F221&amp;"USD/ton"),'Fuel Model - Calculation'!$B$2:$B$3771,0)),MATCH(I$141,'Fuel Model - Calculation'!$B$2:$M$2,0)),0),0)</f>
        <v>675</v>
      </c>
      <c r="BN221" s="118">
        <f>IFERROR(IFERROR(INDEX('Fuel Model - Calculation'!$B$2:$M$3771,(MATCH(($E221&amp;"Results"&amp;$BL$140&amp;$F221&amp;"USD/ton"),'Fuel Model - Calculation'!$B$2:$B$3771,0)),MATCH(J$141,'Fuel Model - Calculation'!$B$2:$M$2,0)),0),0)</f>
        <v>670.43877127499991</v>
      </c>
      <c r="BO221" s="118">
        <f>IFERROR(IFERROR(INDEX('Fuel Model - Calculation'!$B$2:$M$3771,(MATCH(($E221&amp;"Results"&amp;$BL$140&amp;$F221&amp;"USD/ton"),'Fuel Model - Calculation'!$B$2:$B$3771,0)),MATCH(K$141,'Fuel Model - Calculation'!$B$2:$M$2,0)),0),0)</f>
        <v>665.90836447499998</v>
      </c>
      <c r="BP221" s="118">
        <f>IFERROR(IFERROR(INDEX('Fuel Model - Calculation'!$B$2:$M$3771,(MATCH(($E221&amp;"Results"&amp;$BL$140&amp;$F221&amp;"USD/ton"),'Fuel Model - Calculation'!$B$2:$B$3771,0)),MATCH(L$141,'Fuel Model - Calculation'!$B$2:$M$2,0)),0),0)</f>
        <v>661.40857132500003</v>
      </c>
      <c r="BQ221" s="118">
        <f>IFERROR(IFERROR(INDEX('Fuel Model - Calculation'!$B$2:$M$3771,(MATCH(($E221&amp;"Results"&amp;$BL$140&amp;$F221&amp;"USD/ton"),'Fuel Model - Calculation'!$B$2:$B$3771,0)),MATCH(M$141,'Fuel Model - Calculation'!$B$2:$M$2,0)),0),0)</f>
        <v>656.93918504999999</v>
      </c>
      <c r="BR221" s="118">
        <f>IFERROR(IFERROR(INDEX('Fuel Model - Calculation'!$B$2:$M$3771,(MATCH(($E221&amp;"Results"&amp;$BL$140&amp;$F221&amp;"USD/ton"),'Fuel Model - Calculation'!$B$2:$B$3771,0)),MATCH(N$141,'Fuel Model - Calculation'!$B$2:$M$2,0)),0),0)</f>
        <v>652.5</v>
      </c>
      <c r="BT221" s="118">
        <f>IFERROR(INDEX('Fuel Model - Calculation'!$B$2:$M$3771,(MATCH(($E221&amp;"Results"&amp;$BT$140&amp;$F221&amp;"USD/ton"),'Fuel Model - Calculation'!$B$2:$B$3771,0)),MATCH(H$141,'Fuel Model - Calculation'!$B$2:$M$2,0)),0)</f>
        <v>5033.8887776000001</v>
      </c>
      <c r="BU221" s="118">
        <f>IFERROR(INDEX('Fuel Model - Calculation'!$B$2:$M$3771,(MATCH(($E221&amp;"Results"&amp;$BT$140&amp;$F221&amp;"USD/ton"),'Fuel Model - Calculation'!$B$2:$B$3771,0)),MATCH(I$141,'Fuel Model - Calculation'!$B$2:$M$2,0)),0)</f>
        <v>1851</v>
      </c>
      <c r="BV221" s="118">
        <f>IFERROR(INDEX('Fuel Model - Calculation'!$B$2:$M$3771,(MATCH(($E221&amp;"Results"&amp;$BT$140&amp;$F221&amp;"USD/ton"),'Fuel Model - Calculation'!$B$2:$B$3771,0)),MATCH(J$141,'Fuel Model - Calculation'!$B$2:$M$2,0)),0)</f>
        <v>508.83016464499997</v>
      </c>
      <c r="BW221" s="118">
        <f>IFERROR(INDEX('Fuel Model - Calculation'!$B$2:$M$3771,(MATCH(($E221&amp;"Results"&amp;$BT$140&amp;$F221&amp;"USD/ton"),'Fuel Model - Calculation'!$B$2:$B$3771,0)),MATCH(K$141,'Fuel Model - Calculation'!$B$2:$M$2,0)),0)</f>
        <v>496.952161655</v>
      </c>
      <c r="BX221" s="118">
        <f>IFERROR(INDEX('Fuel Model - Calculation'!$B$2:$M$3771,(MATCH(($E221&amp;"Results"&amp;$BT$140&amp;$F221&amp;"USD/ton"),'Fuel Model - Calculation'!$B$2:$B$3771,0)),MATCH(L$141,'Fuel Model - Calculation'!$B$2:$M$2,0)),0)</f>
        <v>485.35899274999997</v>
      </c>
      <c r="BY221" s="118">
        <f>IFERROR(INDEX('Fuel Model - Calculation'!$B$2:$M$3771,(MATCH(($E221&amp;"Results"&amp;$BT$140&amp;$F221&amp;"USD/ton"),'Fuel Model - Calculation'!$B$2:$B$3771,0)),MATCH(M$141,'Fuel Model - Calculation'!$B$2:$M$2,0)),0)</f>
        <v>474.04382770500001</v>
      </c>
      <c r="BZ221" s="118">
        <f>IFERROR(INDEX('Fuel Model - Calculation'!$B$2:$M$3771,(MATCH(($E221&amp;"Results"&amp;$BT$140&amp;$F221&amp;"USD/ton"),'Fuel Model - Calculation'!$B$2:$B$3771,0)),MATCH(N$141,'Fuel Model - Calculation'!$B$2:$M$2,0)),0)</f>
        <v>463</v>
      </c>
    </row>
    <row r="222" spans="1:78" x14ac:dyDescent="0.2">
      <c r="A222" s="452"/>
      <c r="B222" s="453" t="str">
        <f>_xlfn.TEXTJOIN(keydelim,TRUE,F222,IF(E222="Africa","Africa&amp;other",E222),"Fuel cost",SUBSTITUTE($G222," ",""))</f>
        <v>Blue hydrogen (compressed) - Asia - Fuel cost - USD/ton</v>
      </c>
      <c r="D222" s="459" t="str">
        <f t="shared" si="198"/>
        <v>AsiaBlue hydrogen (compressed)</v>
      </c>
      <c r="E222" t="s">
        <v>198</v>
      </c>
      <c r="F222" s="460" t="str">
        <f t="shared" si="199"/>
        <v>Blue hydrogen (compressed)</v>
      </c>
      <c r="G222" t="s">
        <v>835</v>
      </c>
      <c r="H222" s="118">
        <f>INDEX('Fuel Model - Calculation'!$B$2:$M$3771,(MATCH(($E222&amp;"ResultsCost of "&amp;$F222&amp;"USD/ton"),'Fuel Model - Calculation'!$B$2:$B$3771,0)),MATCH(H$141,'Fuel Model - Calculation'!$B$2:$M$2,0))</f>
        <v>7149.0929563305017</v>
      </c>
      <c r="I222" s="118">
        <f>INDEX('Fuel Model - Calculation'!$B$2:$M$3771,(MATCH(($E222&amp;"ResultsCost of "&amp;$F222&amp;"USD/ton"),'Fuel Model - Calculation'!$B$2:$B$3771,0)),MATCH(I$141,'Fuel Model - Calculation'!$B$2:$M$2,0))</f>
        <v>3847.2046240530581</v>
      </c>
      <c r="J222" s="118">
        <f>INDEX('Fuel Model - Calculation'!$B$2:$M$3771,(MATCH(($E222&amp;"ResultsCost of "&amp;$F222&amp;"USD/ton"),'Fuel Model - Calculation'!$B$2:$B$3771,0)),MATCH(J$141,'Fuel Model - Calculation'!$B$2:$M$2,0))</f>
        <v>2432.3459867487522</v>
      </c>
      <c r="K222" s="118">
        <f>INDEX('Fuel Model - Calculation'!$B$2:$M$3771,(MATCH(($E222&amp;"ResultsCost of "&amp;$F222&amp;"USD/ton"),'Fuel Model - Calculation'!$B$2:$B$3771,0)),MATCH(K$141,'Fuel Model - Calculation'!$B$2:$M$2,0))</f>
        <v>2342.2443741643629</v>
      </c>
      <c r="L222" s="118">
        <f>INDEX('Fuel Model - Calculation'!$B$2:$M$3771,(MATCH(($E222&amp;"ResultsCost of "&amp;$F222&amp;"USD/ton"),'Fuel Model - Calculation'!$B$2:$B$3771,0)),MATCH(L$141,'Fuel Model - Calculation'!$B$2:$M$2,0))</f>
        <v>2263.2757254711382</v>
      </c>
      <c r="M222" s="118">
        <f>INDEX('Fuel Model - Calculation'!$B$2:$M$3771,(MATCH(($E222&amp;"ResultsCost of "&amp;$F222&amp;"USD/ton"),'Fuel Model - Calculation'!$B$2:$B$3771,0)),MATCH(M$141,'Fuel Model - Calculation'!$B$2:$M$2,0))</f>
        <v>2190.6039945451826</v>
      </c>
      <c r="N222" s="118">
        <f>INDEX('Fuel Model - Calculation'!$B$2:$M$3771,(MATCH(($E222&amp;"ResultsCost of "&amp;$F222&amp;"USD/ton"),'Fuel Model - Calculation'!$B$2:$B$3771,0)),MATCH(N$141,'Fuel Model - Calculation'!$B$2:$M$2,0))</f>
        <v>2125.6037921192742</v>
      </c>
      <c r="O222"/>
      <c r="P222" s="118">
        <f>IFERROR(INDEX('Fuel Model - Calculation'!G$2:G$3771,(MATCH(($E222&amp;"ResultsTotal RNE "&amp;$F222&amp;"USD/ton"),'Fuel Model - Calculation'!$B$2:$B$3771,0))),0)</f>
        <v>0</v>
      </c>
      <c r="Q222" s="118">
        <f>IFERROR(INDEX('Fuel Model - Calculation'!H$2:H$3771,(MATCH(($E222&amp;"ResultsTotal RNE "&amp;$F222&amp;"USD/ton"),'Fuel Model - Calculation'!$B$2:$B$3771,0))),0)</f>
        <v>0</v>
      </c>
      <c r="R222" s="118">
        <f>IFERROR(INDEX('Fuel Model - Calculation'!I$2:I$3771,(MATCH(($E222&amp;"ResultsTotal RNE "&amp;$F222&amp;"USD/ton"),'Fuel Model - Calculation'!$B$2:$B$3771,0))),0)</f>
        <v>0</v>
      </c>
      <c r="S222" s="118">
        <f>IFERROR(INDEX('Fuel Model - Calculation'!J$2:J$3771,(MATCH(($E222&amp;"ResultsTotal RNE "&amp;$F222&amp;"USD/ton"),'Fuel Model - Calculation'!$B$2:$B$3771,0))),0)</f>
        <v>0</v>
      </c>
      <c r="T222" s="118">
        <f>IFERROR(INDEX('Fuel Model - Calculation'!K$2:K$3771,(MATCH(($E222&amp;"ResultsTotal RNE "&amp;$F222&amp;"USD/ton"),'Fuel Model - Calculation'!$B$2:$B$3771,0))),0)</f>
        <v>0</v>
      </c>
      <c r="U222" s="118">
        <f>IFERROR(INDEX('Fuel Model - Calculation'!L$2:L$3771,(MATCH(($E222&amp;"ResultsTotal RNE "&amp;$F222&amp;"USD/ton"),'Fuel Model - Calculation'!$B$2:$B$3771,0))),0)</f>
        <v>0</v>
      </c>
      <c r="V222" s="118">
        <f>IFERROR(INDEX('Fuel Model - Calculation'!M$2:M$3771,(MATCH(($E222&amp;"ResultsTotal RNE "&amp;$F222&amp;"USD/ton"),'Fuel Model - Calculation'!$B$2:$B$3771,0))),0)</f>
        <v>0</v>
      </c>
      <c r="W222"/>
      <c r="X222" s="2">
        <f>INDEX('Fuel Model - Calculation'!$E$2:$M$3771,(MATCH(("WTT Emission - "&amp;$F222),'Fuel Model - Calculation'!$E$2:$E$3771,0)),MATCH(X$141,'Fuel Model - Calculation'!$E$2:$M$2,0))</f>
        <v>1.9865325617428082</v>
      </c>
      <c r="Y222" s="2">
        <f>INDEX('Fuel Model - Calculation'!$E$2:$M$3771,(MATCH(("WTT Emission - "&amp;$F222),'Fuel Model - Calculation'!$E$2:$E$3771,0)),MATCH(Y$141,'Fuel Model - Calculation'!$E$2:$M$2,0))</f>
        <v>1.8688949152542371</v>
      </c>
      <c r="Z222" s="2">
        <f>INDEX('Fuel Model - Calculation'!$E$2:$M$3771,(MATCH(("WTT Emission - "&amp;$F222),'Fuel Model - Calculation'!$E$2:$E$3771,0)),MATCH(Z$141,'Fuel Model - Calculation'!$E$2:$M$2,0))</f>
        <v>1.7521101087172288</v>
      </c>
      <c r="AA222" s="2">
        <f>INDEX('Fuel Model - Calculation'!$E$2:$M$3771,(MATCH(("WTT Emission - "&amp;$F222),'Fuel Model - Calculation'!$E$2:$E$3771,0)),MATCH(AA$141,'Fuel Model - Calculation'!$E$2:$M$2,0))</f>
        <v>1.6361611252163055</v>
      </c>
      <c r="AB222" s="2">
        <f>INDEX('Fuel Model - Calculation'!$E$2:$M$3771,(MATCH(("WTT Emission - "&amp;$F222),'Fuel Model - Calculation'!$E$2:$E$3771,0)),MATCH(AB$141,'Fuel Model - Calculation'!$E$2:$M$2,0))</f>
        <v>1.5210312923520297</v>
      </c>
      <c r="AC222" s="2">
        <f>INDEX('Fuel Model - Calculation'!$E$2:$M$3771,(MATCH(("WTT Emission - "&amp;$F222),'Fuel Model - Calculation'!$E$2:$E$3771,0)),MATCH(AC$141,'Fuel Model - Calculation'!$E$2:$M$2,0))</f>
        <v>1.4067042752465706</v>
      </c>
      <c r="AD222" s="2">
        <f>INDEX('Fuel Model - Calculation'!$E$2:$M$3771,(MATCH(("WTT Emission - "&amp;$F222),'Fuel Model - Calculation'!$E$2:$E$3771,0)),MATCH(AD$141,'Fuel Model - Calculation'!$E$2:$M$2,0))</f>
        <v>1.2931640677966105</v>
      </c>
      <c r="AE222" s="2"/>
      <c r="AF222" s="2">
        <f>'Fuel Model -  Input'!H$47</f>
        <v>0</v>
      </c>
      <c r="AG222" s="2">
        <f>'Fuel Model -  Input'!I$47</f>
        <v>0</v>
      </c>
      <c r="AH222" s="2">
        <f>'Fuel Model -  Input'!J$47</f>
        <v>0</v>
      </c>
      <c r="AI222" s="2">
        <f>'Fuel Model -  Input'!K$47</f>
        <v>0</v>
      </c>
      <c r="AJ222" s="2">
        <f>'Fuel Model -  Input'!L$47</f>
        <v>0</v>
      </c>
      <c r="AK222" s="2">
        <f>'Fuel Model -  Input'!M$47</f>
        <v>0</v>
      </c>
      <c r="AL222" s="2">
        <f>'Fuel Model -  Input'!N$47</f>
        <v>0</v>
      </c>
      <c r="AM222"/>
      <c r="AN222" s="24">
        <f t="shared" si="197"/>
        <v>1.9865325617428082</v>
      </c>
      <c r="AO222" s="24">
        <f t="shared" si="197"/>
        <v>1.8688949152542371</v>
      </c>
      <c r="AP222" s="24">
        <f t="shared" si="197"/>
        <v>1.7521101087172288</v>
      </c>
      <c r="AQ222" s="24">
        <f t="shared" si="197"/>
        <v>1.6361611252163055</v>
      </c>
      <c r="AR222" s="24">
        <f t="shared" si="197"/>
        <v>1.5210312923520297</v>
      </c>
      <c r="AS222" s="24">
        <f t="shared" si="197"/>
        <v>1.4067042752465706</v>
      </c>
      <c r="AT222" s="24">
        <f t="shared" si="197"/>
        <v>1.2931640677966105</v>
      </c>
      <c r="AU222"/>
      <c r="AV222" s="118">
        <f>IFERROR(INDEX('Fuel Model - Calculation'!$B$2:$M$3771,(MATCH(($E222&amp;"Results"&amp;$AV$140&amp;$F222&amp;"USD/ton"),'Fuel Model - Calculation'!$B$2:$B$3771,0)),MATCH(H$141,'Fuel Model - Calculation'!$B$2:$M$2,0)),0)</f>
        <v>274.84138167421179</v>
      </c>
      <c r="AW222" s="118">
        <f>IFERROR(INDEX('Fuel Model - Calculation'!$B$2:$M$3771,(MATCH(($E222&amp;"Results"&amp;$AV$140&amp;$F222&amp;"USD/ton"),'Fuel Model - Calculation'!$B$2:$B$3771,0)),MATCH(I$141,'Fuel Model - Calculation'!$B$2:$M$2,0)),0)</f>
        <v>265.00000000000006</v>
      </c>
      <c r="AX222" s="118">
        <f>IFERROR(INDEX('Fuel Model - Calculation'!$B$2:$M$3771,(MATCH(($E222&amp;"Results"&amp;$AV$140&amp;$F222&amp;"USD/ton"),'Fuel Model - Calculation'!$B$2:$B$3771,0)),MATCH(J$141,'Fuel Model - Calculation'!$B$2:$M$2,0)),0)</f>
        <v>255.51101356069626</v>
      </c>
      <c r="AY222" s="118">
        <f>IFERROR(INDEX('Fuel Model - Calculation'!$B$2:$M$3771,(MATCH(($E222&amp;"Results"&amp;$AV$140&amp;$F222&amp;"USD/ton"),'Fuel Model - Calculation'!$B$2:$B$3771,0)),MATCH(K$141,'Fuel Model - Calculation'!$B$2:$M$2,0)),0)</f>
        <v>246.36180396533697</v>
      </c>
      <c r="AZ222" s="118">
        <f>IFERROR(INDEX('Fuel Model - Calculation'!$B$2:$M$3771,(MATCH(($E222&amp;"Results"&amp;$AV$140&amp;$F222&amp;"USD/ton"),'Fuel Model - Calculation'!$B$2:$B$3771,0)),MATCH(L$141,'Fuel Model - Calculation'!$B$2:$M$2,0)),0)</f>
        <v>237.54020465594266</v>
      </c>
      <c r="BA222" s="118">
        <f>IFERROR(INDEX('Fuel Model - Calculation'!$B$2:$M$3771,(MATCH(($E222&amp;"Results"&amp;$AV$140&amp;$F222&amp;"USD/ton"),'Fuel Model - Calculation'!$B$2:$B$3771,0)),MATCH(M$141,'Fuel Model - Calculation'!$B$2:$M$2,0)),0)</f>
        <v>229.03448472850988</v>
      </c>
      <c r="BB222" s="118">
        <f>IFERROR(INDEX('Fuel Model - Calculation'!$B$2:$M$3771,(MATCH(($E222&amp;"Results"&amp;$AV$140&amp;$F222&amp;"USD/ton"),'Fuel Model - Calculation'!$B$2:$B$3771,0)),MATCH(N$141,'Fuel Model - Calculation'!$B$2:$M$2,0)),0)</f>
        <v>220.83333333333337</v>
      </c>
      <c r="BC222"/>
      <c r="BD222" s="118">
        <f>IFERROR(INDEX('Fuel Model - Calculation'!$B$2:$M$3771,(MATCH(($E222&amp;"Results"&amp;$BD$140&amp;$F222&amp;"USD/ton"),'Fuel Model - Calculation'!$B$2:$B$3771,0)),MATCH(P$141,'Fuel Model - Calculation'!$B$2:$M$2,0)),0)</f>
        <v>443.57213990628986</v>
      </c>
      <c r="BE222" s="118">
        <f>IFERROR(INDEX('Fuel Model - Calculation'!$B$2:$M$3771,(MATCH(($E222&amp;"Results"&amp;$BD$140&amp;$F222&amp;"USD/ton"),'Fuel Model - Calculation'!$B$2:$B$3771,0)),MATCH(Q$141,'Fuel Model - Calculation'!$B$2:$M$2,0)),0)</f>
        <v>356.20462405305807</v>
      </c>
      <c r="BF222" s="118">
        <f>IFERROR(INDEX('Fuel Model - Calculation'!$B$2:$M$3771,(MATCH(($E222&amp;"Results"&amp;$BD$140&amp;$F222&amp;"USD/ton"),'Fuel Model - Calculation'!$B$2:$B$3771,0)),MATCH(R$141,'Fuel Model - Calculation'!$B$2:$M$2,0)),0)</f>
        <v>297.27166656305604</v>
      </c>
      <c r="BG222" s="118">
        <f>IFERROR(INDEX('Fuel Model - Calculation'!$B$2:$M$3771,(MATCH(($E222&amp;"Results"&amp;$BD$140&amp;$F222&amp;"USD/ton"),'Fuel Model - Calculation'!$B$2:$B$3771,0)),MATCH(S$141,'Fuel Model - Calculation'!$B$2:$M$2,0)),0)</f>
        <v>249.52071207402605</v>
      </c>
      <c r="BH222" s="118">
        <f>IFERROR(INDEX('Fuel Model - Calculation'!$B$2:$M$3771,(MATCH(($E222&amp;"Results"&amp;$BD$140&amp;$F222&amp;"USD/ton"),'Fuel Model - Calculation'!$B$2:$B$3771,0)),MATCH(T$141,'Fuel Model - Calculation'!$B$2:$M$2,0)),0)</f>
        <v>211.85696699019536</v>
      </c>
      <c r="BI222" s="118">
        <f>IFERROR(INDEX('Fuel Model - Calculation'!$B$2:$M$3771,(MATCH(($E222&amp;"Results"&amp;$BD$140&amp;$F222&amp;"USD/ton"),'Fuel Model - Calculation'!$B$2:$B$3771,0)),MATCH(U$141,'Fuel Model - Calculation'!$B$2:$M$2,0)),0)</f>
        <v>179.47280961667235</v>
      </c>
      <c r="BJ222" s="118">
        <f>IFERROR(INDEX('Fuel Model - Calculation'!$B$2:$M$3771,(MATCH(($E222&amp;"Results"&amp;$BD$140&amp;$F222&amp;"USD/ton"),'Fuel Model - Calculation'!$B$2:$B$3771,0)),MATCH(V$141,'Fuel Model - Calculation'!$B$2:$M$2,0)),0)</f>
        <v>153.77045878594058</v>
      </c>
      <c r="BL222" s="118">
        <f>IFERROR(IFERROR(INDEX('Fuel Model - Calculation'!$B$2:$M$3771,(MATCH(($E222&amp;"Results"&amp;$BL$140&amp;$F222&amp;"USD/ton"),'Fuel Model - Calculation'!$B$2:$B$3771,0)),MATCH(H$141,'Fuel Model - Calculation'!$B$2:$M$2,0)),0),0)</f>
        <v>679.59226035000006</v>
      </c>
      <c r="BM222" s="118">
        <f>IFERROR(IFERROR(INDEX('Fuel Model - Calculation'!$B$2:$M$3771,(MATCH(($E222&amp;"Results"&amp;$BL$140&amp;$F222&amp;"USD/ton"),'Fuel Model - Calculation'!$B$2:$B$3771,0)),MATCH(I$141,'Fuel Model - Calculation'!$B$2:$M$2,0)),0),0)</f>
        <v>675</v>
      </c>
      <c r="BN222" s="118">
        <f>IFERROR(IFERROR(INDEX('Fuel Model - Calculation'!$B$2:$M$3771,(MATCH(($E222&amp;"Results"&amp;$BL$140&amp;$F222&amp;"USD/ton"),'Fuel Model - Calculation'!$B$2:$B$3771,0)),MATCH(J$141,'Fuel Model - Calculation'!$B$2:$M$2,0)),0),0)</f>
        <v>670.43877127499991</v>
      </c>
      <c r="BO222" s="118">
        <f>IFERROR(IFERROR(INDEX('Fuel Model - Calculation'!$B$2:$M$3771,(MATCH(($E222&amp;"Results"&amp;$BL$140&amp;$F222&amp;"USD/ton"),'Fuel Model - Calculation'!$B$2:$B$3771,0)),MATCH(K$141,'Fuel Model - Calculation'!$B$2:$M$2,0)),0),0)</f>
        <v>665.90836447499998</v>
      </c>
      <c r="BP222" s="118">
        <f>IFERROR(IFERROR(INDEX('Fuel Model - Calculation'!$B$2:$M$3771,(MATCH(($E222&amp;"Results"&amp;$BL$140&amp;$F222&amp;"USD/ton"),'Fuel Model - Calculation'!$B$2:$B$3771,0)),MATCH(L$141,'Fuel Model - Calculation'!$B$2:$M$2,0)),0),0)</f>
        <v>661.40857132500003</v>
      </c>
      <c r="BQ222" s="118">
        <f>IFERROR(IFERROR(INDEX('Fuel Model - Calculation'!$B$2:$M$3771,(MATCH(($E222&amp;"Results"&amp;$BL$140&amp;$F222&amp;"USD/ton"),'Fuel Model - Calculation'!$B$2:$B$3771,0)),MATCH(M$141,'Fuel Model - Calculation'!$B$2:$M$2,0)),0),0)</f>
        <v>656.93918504999999</v>
      </c>
      <c r="BR222" s="118">
        <f>IFERROR(IFERROR(INDEX('Fuel Model - Calculation'!$B$2:$M$3771,(MATCH(($E222&amp;"Results"&amp;$BL$140&amp;$F222&amp;"USD/ton"),'Fuel Model - Calculation'!$B$2:$B$3771,0)),MATCH(N$141,'Fuel Model - Calculation'!$B$2:$M$2,0)),0),0)</f>
        <v>652.5</v>
      </c>
      <c r="BT222" s="118">
        <f>IFERROR(INDEX('Fuel Model - Calculation'!$B$2:$M$3771,(MATCH(($E222&amp;"Results"&amp;$BT$140&amp;$F222&amp;"USD/ton"),'Fuel Model - Calculation'!$B$2:$B$3771,0)),MATCH(H$141,'Fuel Model - Calculation'!$B$2:$M$2,0)),0)</f>
        <v>5751.0871744000005</v>
      </c>
      <c r="BU222" s="118">
        <f>IFERROR(INDEX('Fuel Model - Calculation'!$B$2:$M$3771,(MATCH(($E222&amp;"Results"&amp;$BT$140&amp;$F222&amp;"USD/ton"),'Fuel Model - Calculation'!$B$2:$B$3771,0)),MATCH(I$141,'Fuel Model - Calculation'!$B$2:$M$2,0)),0)</f>
        <v>2551</v>
      </c>
      <c r="BV222" s="118">
        <f>IFERROR(INDEX('Fuel Model - Calculation'!$B$2:$M$3771,(MATCH(($E222&amp;"Results"&amp;$BT$140&amp;$F222&amp;"USD/ton"),'Fuel Model - Calculation'!$B$2:$B$3771,0)),MATCH(J$141,'Fuel Model - Calculation'!$B$2:$M$2,0)),0)</f>
        <v>1209.1245353499999</v>
      </c>
      <c r="BW222" s="118">
        <f>IFERROR(INDEX('Fuel Model - Calculation'!$B$2:$M$3771,(MATCH(($E222&amp;"Results"&amp;$BT$140&amp;$F222&amp;"USD/ton"),'Fuel Model - Calculation'!$B$2:$B$3771,0)),MATCH(K$141,'Fuel Model - Calculation'!$B$2:$M$2,0)),0)</f>
        <v>1180.4534936500002</v>
      </c>
      <c r="BX222" s="118">
        <f>IFERROR(INDEX('Fuel Model - Calculation'!$B$2:$M$3771,(MATCH(($E222&amp;"Results"&amp;$BT$140&amp;$F222&amp;"USD/ton"),'Fuel Model - Calculation'!$B$2:$B$3771,0)),MATCH(L$141,'Fuel Model - Calculation'!$B$2:$M$2,0)),0)</f>
        <v>1152.4699825</v>
      </c>
      <c r="BY222" s="118">
        <f>IFERROR(INDEX('Fuel Model - Calculation'!$B$2:$M$3771,(MATCH(($E222&amp;"Results"&amp;$BT$140&amp;$F222&amp;"USD/ton"),'Fuel Model - Calculation'!$B$2:$B$3771,0)),MATCH(M$141,'Fuel Model - Calculation'!$B$2:$M$2,0)),0)</f>
        <v>1125.1575151500001</v>
      </c>
      <c r="BZ222" s="118">
        <f>IFERROR(INDEX('Fuel Model - Calculation'!$B$2:$M$3771,(MATCH(($E222&amp;"Results"&amp;$BT$140&amp;$F222&amp;"USD/ton"),'Fuel Model - Calculation'!$B$2:$B$3771,0)),MATCH(N$141,'Fuel Model - Calculation'!$B$2:$M$2,0)),0)</f>
        <v>1098.5</v>
      </c>
    </row>
    <row r="223" spans="1:78" x14ac:dyDescent="0.2">
      <c r="A223" s="452"/>
      <c r="B223" s="453" t="str">
        <f>_xlfn.TEXTJOIN(keydelim,TRUE,F223,IF(E223="Africa","Africa&amp;other",E223),"Fuel cost",SUBSTITUTE($G223," ",""))</f>
        <v>Blue hydrogen (compressed) - Americas - Fuel cost - USD/ton</v>
      </c>
      <c r="D223" s="459" t="str">
        <f t="shared" si="198"/>
        <v>AmericasBlue hydrogen (compressed)</v>
      </c>
      <c r="E223" t="s">
        <v>199</v>
      </c>
      <c r="F223" s="460" t="str">
        <f t="shared" si="199"/>
        <v>Blue hydrogen (compressed)</v>
      </c>
      <c r="G223" t="s">
        <v>835</v>
      </c>
      <c r="H223" s="118">
        <f>INDEX('Fuel Model - Calculation'!$B$2:$M$3771,(MATCH(($E223&amp;"ResultsCost of "&amp;$F223&amp;"USD/ton"),'Fuel Model - Calculation'!$B$2:$B$3771,0)),MATCH(H$141,'Fuel Model - Calculation'!$B$2:$M$2,0))</f>
        <v>2621.3529318626479</v>
      </c>
      <c r="I223" s="118">
        <f>INDEX('Fuel Model - Calculation'!$B$2:$M$3771,(MATCH(($E223&amp;"ResultsCost of "&amp;$F223&amp;"USD/ton"),'Fuel Model - Calculation'!$B$2:$B$3771,0)),MATCH(I$141,'Fuel Model - Calculation'!$B$2:$M$2,0))</f>
        <v>2095.4260889523866</v>
      </c>
      <c r="J223" s="118">
        <f>INDEX('Fuel Model - Calculation'!$B$2:$M$3771,(MATCH(($E223&amp;"ResultsCost of "&amp;$F223&amp;"USD/ton"),'Fuel Model - Calculation'!$B$2:$B$3771,0)),MATCH(J$141,'Fuel Model - Calculation'!$B$2:$M$2,0))</f>
        <v>1972.9824314179809</v>
      </c>
      <c r="K223" s="118">
        <f>INDEX('Fuel Model - Calculation'!$B$2:$M$3771,(MATCH(($E223&amp;"ResultsCost of "&amp;$F223&amp;"USD/ton"),'Fuel Model - Calculation'!$B$2:$B$3771,0)),MATCH(K$141,'Fuel Model - Calculation'!$B$2:$M$2,0))</f>
        <v>1997.6143104307596</v>
      </c>
      <c r="L223" s="118">
        <f>INDEX('Fuel Model - Calculation'!$B$2:$M$3771,(MATCH(($E223&amp;"ResultsCost of "&amp;$F223&amp;"USD/ton"),'Fuel Model - Calculation'!$B$2:$B$3771,0)),MATCH(L$141,'Fuel Model - Calculation'!$B$2:$M$2,0))</f>
        <v>1927.7244659884541</v>
      </c>
      <c r="M223" s="118">
        <f>INDEX('Fuel Model - Calculation'!$B$2:$M$3771,(MATCH(($E223&amp;"ResultsCost of "&amp;$F223&amp;"USD/ton"),'Fuel Model - Calculation'!$B$2:$B$3771,0)),MATCH(M$141,'Fuel Model - Calculation'!$B$2:$M$2,0))</f>
        <v>1865.6838861450242</v>
      </c>
      <c r="N223" s="118">
        <f>INDEX('Fuel Model - Calculation'!$B$2:$M$3771,(MATCH(($E223&amp;"ResultsCost of "&amp;$F223&amp;"USD/ton"),'Fuel Model - Calculation'!$B$2:$B$3771,0)),MATCH(N$141,'Fuel Model - Calculation'!$B$2:$M$2,0))</f>
        <v>1809.2833366224868</v>
      </c>
      <c r="O223"/>
      <c r="P223" s="118">
        <f>IFERROR(INDEX('Fuel Model - Calculation'!G$2:G$3771,(MATCH(($E223&amp;"ResultsTotal RNE "&amp;$F223&amp;"USD/ton"),'Fuel Model - Calculation'!$B$2:$B$3771,0))),0)</f>
        <v>0</v>
      </c>
      <c r="Q223" s="118">
        <f>IFERROR(INDEX('Fuel Model - Calculation'!H$2:H$3771,(MATCH(($E223&amp;"ResultsTotal RNE "&amp;$F223&amp;"USD/ton"),'Fuel Model - Calculation'!$B$2:$B$3771,0))),0)</f>
        <v>0</v>
      </c>
      <c r="R223" s="118">
        <f>IFERROR(INDEX('Fuel Model - Calculation'!I$2:I$3771,(MATCH(($E223&amp;"ResultsTotal RNE "&amp;$F223&amp;"USD/ton"),'Fuel Model - Calculation'!$B$2:$B$3771,0))),0)</f>
        <v>0</v>
      </c>
      <c r="S223" s="118">
        <f>IFERROR(INDEX('Fuel Model - Calculation'!J$2:J$3771,(MATCH(($E223&amp;"ResultsTotal RNE "&amp;$F223&amp;"USD/ton"),'Fuel Model - Calculation'!$B$2:$B$3771,0))),0)</f>
        <v>0</v>
      </c>
      <c r="T223" s="118">
        <f>IFERROR(INDEX('Fuel Model - Calculation'!K$2:K$3771,(MATCH(($E223&amp;"ResultsTotal RNE "&amp;$F223&amp;"USD/ton"),'Fuel Model - Calculation'!$B$2:$B$3771,0))),0)</f>
        <v>0</v>
      </c>
      <c r="U223" s="118">
        <f>IFERROR(INDEX('Fuel Model - Calculation'!L$2:L$3771,(MATCH(($E223&amp;"ResultsTotal RNE "&amp;$F223&amp;"USD/ton"),'Fuel Model - Calculation'!$B$2:$B$3771,0))),0)</f>
        <v>0</v>
      </c>
      <c r="V223" s="118">
        <f>IFERROR(INDEX('Fuel Model - Calculation'!M$2:M$3771,(MATCH(($E223&amp;"ResultsTotal RNE "&amp;$F223&amp;"USD/ton"),'Fuel Model - Calculation'!$B$2:$B$3771,0))),0)</f>
        <v>0</v>
      </c>
      <c r="W223"/>
      <c r="X223" s="2">
        <f>INDEX('Fuel Model - Calculation'!$E$2:$M$3771,(MATCH(("WTT Emission - "&amp;$F223),'Fuel Model - Calculation'!$E$2:$E$3771,0)),MATCH(X$141,'Fuel Model - Calculation'!$E$2:$M$2,0))</f>
        <v>1.9865325617428082</v>
      </c>
      <c r="Y223" s="2">
        <f>INDEX('Fuel Model - Calculation'!$E$2:$M$3771,(MATCH(("WTT Emission - "&amp;$F223),'Fuel Model - Calculation'!$E$2:$E$3771,0)),MATCH(Y$141,'Fuel Model - Calculation'!$E$2:$M$2,0))</f>
        <v>1.8688949152542371</v>
      </c>
      <c r="Z223" s="2">
        <f>INDEX('Fuel Model - Calculation'!$E$2:$M$3771,(MATCH(("WTT Emission - "&amp;$F223),'Fuel Model - Calculation'!$E$2:$E$3771,0)),MATCH(Z$141,'Fuel Model - Calculation'!$E$2:$M$2,0))</f>
        <v>1.7521101087172288</v>
      </c>
      <c r="AA223" s="2">
        <f>INDEX('Fuel Model - Calculation'!$E$2:$M$3771,(MATCH(("WTT Emission - "&amp;$F223),'Fuel Model - Calculation'!$E$2:$E$3771,0)),MATCH(AA$141,'Fuel Model - Calculation'!$E$2:$M$2,0))</f>
        <v>1.6361611252163055</v>
      </c>
      <c r="AB223" s="2">
        <f>INDEX('Fuel Model - Calculation'!$E$2:$M$3771,(MATCH(("WTT Emission - "&amp;$F223),'Fuel Model - Calculation'!$E$2:$E$3771,0)),MATCH(AB$141,'Fuel Model - Calculation'!$E$2:$M$2,0))</f>
        <v>1.5210312923520297</v>
      </c>
      <c r="AC223" s="2">
        <f>INDEX('Fuel Model - Calculation'!$E$2:$M$3771,(MATCH(("WTT Emission - "&amp;$F223),'Fuel Model - Calculation'!$E$2:$E$3771,0)),MATCH(AC$141,'Fuel Model - Calculation'!$E$2:$M$2,0))</f>
        <v>1.4067042752465706</v>
      </c>
      <c r="AD223" s="2">
        <f>INDEX('Fuel Model - Calculation'!$E$2:$M$3771,(MATCH(("WTT Emission - "&amp;$F223),'Fuel Model - Calculation'!$E$2:$E$3771,0)),MATCH(AD$141,'Fuel Model - Calculation'!$E$2:$M$2,0))</f>
        <v>1.2931640677966105</v>
      </c>
      <c r="AE223" s="2"/>
      <c r="AF223" s="2">
        <f>'Fuel Model -  Input'!H$47</f>
        <v>0</v>
      </c>
      <c r="AG223" s="2">
        <f>'Fuel Model -  Input'!I$47</f>
        <v>0</v>
      </c>
      <c r="AH223" s="2">
        <f>'Fuel Model -  Input'!J$47</f>
        <v>0</v>
      </c>
      <c r="AI223" s="2">
        <f>'Fuel Model -  Input'!K$47</f>
        <v>0</v>
      </c>
      <c r="AJ223" s="2">
        <f>'Fuel Model -  Input'!L$47</f>
        <v>0</v>
      </c>
      <c r="AK223" s="2">
        <f>'Fuel Model -  Input'!M$47</f>
        <v>0</v>
      </c>
      <c r="AL223" s="2">
        <f>'Fuel Model -  Input'!N$47</f>
        <v>0</v>
      </c>
      <c r="AM223"/>
      <c r="AN223" s="24">
        <f t="shared" si="197"/>
        <v>1.9865325617428082</v>
      </c>
      <c r="AO223" s="24">
        <f t="shared" si="197"/>
        <v>1.8688949152542371</v>
      </c>
      <c r="AP223" s="24">
        <f t="shared" si="197"/>
        <v>1.7521101087172288</v>
      </c>
      <c r="AQ223" s="24">
        <f t="shared" si="197"/>
        <v>1.6361611252163055</v>
      </c>
      <c r="AR223" s="24">
        <f t="shared" si="197"/>
        <v>1.5210312923520297</v>
      </c>
      <c r="AS223" s="24">
        <f t="shared" si="197"/>
        <v>1.4067042752465706</v>
      </c>
      <c r="AT223" s="24">
        <f t="shared" si="197"/>
        <v>1.2931640677966105</v>
      </c>
      <c r="AU223"/>
      <c r="AV223" s="118">
        <f>IFERROR(INDEX('Fuel Model - Calculation'!$B$2:$M$3771,(MATCH(($E223&amp;"Results"&amp;$AV$140&amp;$F223&amp;"USD/ton"),'Fuel Model - Calculation'!$B$2:$B$3771,0)),MATCH(H$141,'Fuel Model - Calculation'!$B$2:$M$2,0)),0)</f>
        <v>274.84138167421179</v>
      </c>
      <c r="AW223" s="118">
        <f>IFERROR(INDEX('Fuel Model - Calculation'!$B$2:$M$3771,(MATCH(($E223&amp;"Results"&amp;$AV$140&amp;$F223&amp;"USD/ton"),'Fuel Model - Calculation'!$B$2:$B$3771,0)),MATCH(I$141,'Fuel Model - Calculation'!$B$2:$M$2,0)),0)</f>
        <v>265.00000000000006</v>
      </c>
      <c r="AX223" s="118">
        <f>IFERROR(INDEX('Fuel Model - Calculation'!$B$2:$M$3771,(MATCH(($E223&amp;"Results"&amp;$AV$140&amp;$F223&amp;"USD/ton"),'Fuel Model - Calculation'!$B$2:$B$3771,0)),MATCH(J$141,'Fuel Model - Calculation'!$B$2:$M$2,0)),0)</f>
        <v>255.51101356069626</v>
      </c>
      <c r="AY223" s="118">
        <f>IFERROR(INDEX('Fuel Model - Calculation'!$B$2:$M$3771,(MATCH(($E223&amp;"Results"&amp;$AV$140&amp;$F223&amp;"USD/ton"),'Fuel Model - Calculation'!$B$2:$B$3771,0)),MATCH(K$141,'Fuel Model - Calculation'!$B$2:$M$2,0)),0)</f>
        <v>246.36180396533697</v>
      </c>
      <c r="AZ223" s="118">
        <f>IFERROR(INDEX('Fuel Model - Calculation'!$B$2:$M$3771,(MATCH(($E223&amp;"Results"&amp;$AV$140&amp;$F223&amp;"USD/ton"),'Fuel Model - Calculation'!$B$2:$B$3771,0)),MATCH(L$141,'Fuel Model - Calculation'!$B$2:$M$2,0)),0)</f>
        <v>237.54020465594266</v>
      </c>
      <c r="BA223" s="118">
        <f>IFERROR(INDEX('Fuel Model - Calculation'!$B$2:$M$3771,(MATCH(($E223&amp;"Results"&amp;$AV$140&amp;$F223&amp;"USD/ton"),'Fuel Model - Calculation'!$B$2:$B$3771,0)),MATCH(M$141,'Fuel Model - Calculation'!$B$2:$M$2,0)),0)</f>
        <v>229.03448472850988</v>
      </c>
      <c r="BB223" s="118">
        <f>IFERROR(INDEX('Fuel Model - Calculation'!$B$2:$M$3771,(MATCH(($E223&amp;"Results"&amp;$AV$140&amp;$F223&amp;"USD/ton"),'Fuel Model - Calculation'!$B$2:$B$3771,0)),MATCH(N$141,'Fuel Model - Calculation'!$B$2:$M$2,0)),0)</f>
        <v>220.83333333333337</v>
      </c>
      <c r="BC223"/>
      <c r="BD223" s="118">
        <f>IFERROR(INDEX('Fuel Model - Calculation'!$B$2:$M$3771,(MATCH(($E223&amp;"Results"&amp;$BD$140&amp;$F223&amp;"USD/ton"),'Fuel Model - Calculation'!$B$2:$B$3771,0)),MATCH(P$141,'Fuel Model - Calculation'!$B$2:$M$2,0)),0)</f>
        <v>398.32209543843595</v>
      </c>
      <c r="BE223" s="118">
        <f>IFERROR(INDEX('Fuel Model - Calculation'!$B$2:$M$3771,(MATCH(($E223&amp;"Results"&amp;$BD$140&amp;$F223&amp;"USD/ton"),'Fuel Model - Calculation'!$B$2:$B$3771,0)),MATCH(Q$141,'Fuel Model - Calculation'!$B$2:$M$2,0)),0)</f>
        <v>336.92608895238675</v>
      </c>
      <c r="BF223" s="118">
        <f>IFERROR(INDEX('Fuel Model - Calculation'!$B$2:$M$3771,(MATCH(($E223&amp;"Results"&amp;$BD$140&amp;$F223&amp;"USD/ton"),'Fuel Model - Calculation'!$B$2:$B$3771,0)),MATCH(R$141,'Fuel Model - Calculation'!$B$2:$M$2,0)),0)</f>
        <v>281.99722436228473</v>
      </c>
      <c r="BG223" s="118">
        <f>IFERROR(INDEX('Fuel Model - Calculation'!$B$2:$M$3771,(MATCH(($E223&amp;"Results"&amp;$BD$140&amp;$F223&amp;"USD/ton"),'Fuel Model - Calculation'!$B$2:$B$3771,0)),MATCH(S$141,'Fuel Model - Calculation'!$B$2:$M$2,0)),0)</f>
        <v>238.30593224042261</v>
      </c>
      <c r="BH223" s="118">
        <f>IFERROR(INDEX('Fuel Model - Calculation'!$B$2:$M$3771,(MATCH(($E223&amp;"Results"&amp;$BD$140&amp;$F223&amp;"USD/ton"),'Fuel Model - Calculation'!$B$2:$B$3771,0)),MATCH(T$141,'Fuel Model - Calculation'!$B$2:$M$2,0)),0)</f>
        <v>201.72570250751139</v>
      </c>
      <c r="BI223" s="118">
        <f>IFERROR(INDEX('Fuel Model - Calculation'!$B$2:$M$3771,(MATCH(($E223&amp;"Results"&amp;$BD$140&amp;$F223&amp;"USD/ton"),'Fuel Model - Calculation'!$B$2:$B$3771,0)),MATCH(U$141,'Fuel Model - Calculation'!$B$2:$M$2,0)),0)</f>
        <v>172.16913411651427</v>
      </c>
      <c r="BJ223" s="118">
        <f>IFERROR(INDEX('Fuel Model - Calculation'!$B$2:$M$3771,(MATCH(($E223&amp;"Results"&amp;$BD$140&amp;$F223&amp;"USD/ton"),'Fuel Model - Calculation'!$B$2:$B$3771,0)),MATCH(V$141,'Fuel Model - Calculation'!$B$2:$M$2,0)),0)</f>
        <v>147.45000328915336</v>
      </c>
      <c r="BL223" s="118">
        <f>IFERROR(IFERROR(INDEX('Fuel Model - Calculation'!$B$2:$M$3771,(MATCH(($E223&amp;"Results"&amp;$BL$140&amp;$F223&amp;"USD/ton"),'Fuel Model - Calculation'!$B$2:$B$3771,0)),MATCH(H$141,'Fuel Model - Calculation'!$B$2:$M$2,0)),0),0)</f>
        <v>679.59226035000006</v>
      </c>
      <c r="BM223" s="118">
        <f>IFERROR(IFERROR(INDEX('Fuel Model - Calculation'!$B$2:$M$3771,(MATCH(($E223&amp;"Results"&amp;$BL$140&amp;$F223&amp;"USD/ton"),'Fuel Model - Calculation'!$B$2:$B$3771,0)),MATCH(I$141,'Fuel Model - Calculation'!$B$2:$M$2,0)),0),0)</f>
        <v>675</v>
      </c>
      <c r="BN223" s="118">
        <f>IFERROR(IFERROR(INDEX('Fuel Model - Calculation'!$B$2:$M$3771,(MATCH(($E223&amp;"Results"&amp;$BL$140&amp;$F223&amp;"USD/ton"),'Fuel Model - Calculation'!$B$2:$B$3771,0)),MATCH(J$141,'Fuel Model - Calculation'!$B$2:$M$2,0)),0),0)</f>
        <v>670.43877127499991</v>
      </c>
      <c r="BO223" s="118">
        <f>IFERROR(IFERROR(INDEX('Fuel Model - Calculation'!$B$2:$M$3771,(MATCH(($E223&amp;"Results"&amp;$BL$140&amp;$F223&amp;"USD/ton"),'Fuel Model - Calculation'!$B$2:$B$3771,0)),MATCH(K$141,'Fuel Model - Calculation'!$B$2:$M$2,0)),0),0)</f>
        <v>665.90836447499998</v>
      </c>
      <c r="BP223" s="118">
        <f>IFERROR(IFERROR(INDEX('Fuel Model - Calculation'!$B$2:$M$3771,(MATCH(($E223&amp;"Results"&amp;$BL$140&amp;$F223&amp;"USD/ton"),'Fuel Model - Calculation'!$B$2:$B$3771,0)),MATCH(L$141,'Fuel Model - Calculation'!$B$2:$M$2,0)),0),0)</f>
        <v>661.40857132500003</v>
      </c>
      <c r="BQ223" s="118">
        <f>IFERROR(IFERROR(INDEX('Fuel Model - Calculation'!$B$2:$M$3771,(MATCH(($E223&amp;"Results"&amp;$BL$140&amp;$F223&amp;"USD/ton"),'Fuel Model - Calculation'!$B$2:$B$3771,0)),MATCH(M$141,'Fuel Model - Calculation'!$B$2:$M$2,0)),0),0)</f>
        <v>656.93918504999999</v>
      </c>
      <c r="BR223" s="118">
        <f>IFERROR(IFERROR(INDEX('Fuel Model - Calculation'!$B$2:$M$3771,(MATCH(($E223&amp;"Results"&amp;$BL$140&amp;$F223&amp;"USD/ton"),'Fuel Model - Calculation'!$B$2:$B$3771,0)),MATCH(N$141,'Fuel Model - Calculation'!$B$2:$M$2,0)),0),0)</f>
        <v>652.5</v>
      </c>
      <c r="BT223" s="118">
        <f>IFERROR(INDEX('Fuel Model - Calculation'!$B$2:$M$3771,(MATCH(($E223&amp;"Results"&amp;$BT$140&amp;$F223&amp;"USD/ton"),'Fuel Model - Calculation'!$B$2:$B$3771,0)),MATCH(H$141,'Fuel Model - Calculation'!$B$2:$M$2,0)),0)</f>
        <v>1268.5971944</v>
      </c>
      <c r="BU223" s="118">
        <f>IFERROR(INDEX('Fuel Model - Calculation'!$B$2:$M$3771,(MATCH(($E223&amp;"Results"&amp;$BT$140&amp;$F223&amp;"USD/ton"),'Fuel Model - Calculation'!$B$2:$B$3771,0)),MATCH(I$141,'Fuel Model - Calculation'!$B$2:$M$2,0)),0)</f>
        <v>818.5</v>
      </c>
      <c r="BV223" s="118">
        <f>IFERROR(INDEX('Fuel Model - Calculation'!$B$2:$M$3771,(MATCH(($E223&amp;"Results"&amp;$BT$140&amp;$F223&amp;"USD/ton"),'Fuel Model - Calculation'!$B$2:$B$3771,0)),MATCH(J$141,'Fuel Model - Calculation'!$B$2:$M$2,0)),0)</f>
        <v>765.03542221999999</v>
      </c>
      <c r="BW223" s="118">
        <f>IFERROR(INDEX('Fuel Model - Calculation'!$B$2:$M$3771,(MATCH(($E223&amp;"Results"&amp;$BT$140&amp;$F223&amp;"USD/ton"),'Fuel Model - Calculation'!$B$2:$B$3771,0)),MATCH(K$141,'Fuel Model - Calculation'!$B$2:$M$2,0)),0)</f>
        <v>847.03820975000008</v>
      </c>
      <c r="BX223" s="118">
        <f>IFERROR(INDEX('Fuel Model - Calculation'!$B$2:$M$3771,(MATCH(($E223&amp;"Results"&amp;$BT$140&amp;$F223&amp;"USD/ton"),'Fuel Model - Calculation'!$B$2:$B$3771,0)),MATCH(L$141,'Fuel Model - Calculation'!$B$2:$M$2,0)),0)</f>
        <v>827.04998749999993</v>
      </c>
      <c r="BY223" s="118">
        <f>IFERROR(INDEX('Fuel Model - Calculation'!$B$2:$M$3771,(MATCH(($E223&amp;"Results"&amp;$BT$140&amp;$F223&amp;"USD/ton"),'Fuel Model - Calculation'!$B$2:$B$3771,0)),MATCH(M$141,'Fuel Model - Calculation'!$B$2:$M$2,0)),0)</f>
        <v>807.54108225000004</v>
      </c>
      <c r="BZ223" s="118">
        <f>IFERROR(INDEX('Fuel Model - Calculation'!$B$2:$M$3771,(MATCH(($E223&amp;"Results"&amp;$BT$140&amp;$F223&amp;"USD/ton"),'Fuel Model - Calculation'!$B$2:$B$3771,0)),MATCH(N$141,'Fuel Model - Calculation'!$B$2:$M$2,0)),0)</f>
        <v>788.5</v>
      </c>
    </row>
    <row r="224" spans="1:78" x14ac:dyDescent="0.2">
      <c r="A224" s="452"/>
      <c r="B224" s="453" t="str">
        <f>_xlfn.TEXTJOIN(keydelim,TRUE,F224,IF(E224="Africa","Africa&amp;other",E224),"Fuel cost",SUBSTITUTE($G224," ",""))</f>
        <v>Blue hydrogen (compressed) - Africa&amp;other - Fuel cost - USD/ton</v>
      </c>
      <c r="D224" s="459" t="str">
        <f t="shared" si="198"/>
        <v>AfricaBlue hydrogen (compressed)</v>
      </c>
      <c r="E224" t="s">
        <v>200</v>
      </c>
      <c r="F224" s="460" t="str">
        <f t="shared" si="199"/>
        <v>Blue hydrogen (compressed)</v>
      </c>
      <c r="G224" t="s">
        <v>835</v>
      </c>
      <c r="H224" s="118">
        <f>INDEX('Fuel Model - Calculation'!$B$2:$M$3771,(MATCH(($E224&amp;"ResultsCost of "&amp;$F224&amp;"USD/ton"),'Fuel Model - Calculation'!$B$2:$B$3771,0)),MATCH(H$141,'Fuel Model - Calculation'!$B$2:$M$2,0))</f>
        <v>7683.7342894086732</v>
      </c>
      <c r="I224" s="118">
        <f>INDEX('Fuel Model - Calculation'!$B$2:$M$3771,(MATCH(($E224&amp;"ResultsCost of "&amp;$F224&amp;"USD/ton"),'Fuel Model - Calculation'!$B$2:$B$3771,0)),MATCH(I$141,'Fuel Model - Calculation'!$B$2:$M$2,0))</f>
        <v>3750.4106248388439</v>
      </c>
      <c r="J224" s="118">
        <f>INDEX('Fuel Model - Calculation'!$B$2:$M$3771,(MATCH(($E224&amp;"ResultsCost of "&amp;$F224&amp;"USD/ton"),'Fuel Model - Calculation'!$B$2:$B$3771,0)),MATCH(J$141,'Fuel Model - Calculation'!$B$2:$M$2,0))</f>
        <v>2850.7725612973927</v>
      </c>
      <c r="K224" s="118">
        <f>INDEX('Fuel Model - Calculation'!$B$2:$M$3771,(MATCH(($E224&amp;"ResultsCost of "&amp;$F224&amp;"USD/ton"),'Fuel Model - Calculation'!$B$2:$B$3771,0)),MATCH(K$141,'Fuel Model - Calculation'!$B$2:$M$2,0))</f>
        <v>2752.1341887634076</v>
      </c>
      <c r="L224" s="118">
        <f>INDEX('Fuel Model - Calculation'!$B$2:$M$3771,(MATCH(($E224&amp;"ResultsCost of "&amp;$F224&amp;"USD/ton"),'Fuel Model - Calculation'!$B$2:$B$3771,0)),MATCH(L$141,'Fuel Model - Calculation'!$B$2:$M$2,0))</f>
        <v>2664.2486221438899</v>
      </c>
      <c r="M224" s="118">
        <f>INDEX('Fuel Model - Calculation'!$B$2:$M$3771,(MATCH(($E224&amp;"ResultsCost of "&amp;$F224&amp;"USD/ton"),'Fuel Model - Calculation'!$B$2:$B$3771,0)),MATCH(M$141,'Fuel Model - Calculation'!$B$2:$M$2,0))</f>
        <v>2582.9986280942294</v>
      </c>
      <c r="N224" s="118">
        <f>INDEX('Fuel Model - Calculation'!$B$2:$M$3771,(MATCH(($E224&amp;"ResultsCost of "&amp;$F224&amp;"USD/ton"),'Fuel Model - Calculation'!$B$2:$B$3771,0)),MATCH(N$141,'Fuel Model - Calculation'!$B$2:$M$2,0))</f>
        <v>2508.929866721935</v>
      </c>
      <c r="O224"/>
      <c r="P224" s="118">
        <f>IFERROR(INDEX('Fuel Model - Calculation'!G$2:G$3771,(MATCH(($E224&amp;"ResultsTotal RNE "&amp;$F224&amp;"USD/ton"),'Fuel Model - Calculation'!$B$2:$B$3771,0))),0)</f>
        <v>0</v>
      </c>
      <c r="Q224" s="118">
        <f>IFERROR(INDEX('Fuel Model - Calculation'!H$2:H$3771,(MATCH(($E224&amp;"ResultsTotal RNE "&amp;$F224&amp;"USD/ton"),'Fuel Model - Calculation'!$B$2:$B$3771,0))),0)</f>
        <v>0</v>
      </c>
      <c r="R224" s="118">
        <f>IFERROR(INDEX('Fuel Model - Calculation'!I$2:I$3771,(MATCH(($E224&amp;"ResultsTotal RNE "&amp;$F224&amp;"USD/ton"),'Fuel Model - Calculation'!$B$2:$B$3771,0))),0)</f>
        <v>0</v>
      </c>
      <c r="S224" s="118">
        <f>IFERROR(INDEX('Fuel Model - Calculation'!J$2:J$3771,(MATCH(($E224&amp;"ResultsTotal RNE "&amp;$F224&amp;"USD/ton"),'Fuel Model - Calculation'!$B$2:$B$3771,0))),0)</f>
        <v>0</v>
      </c>
      <c r="T224" s="118">
        <f>IFERROR(INDEX('Fuel Model - Calculation'!K$2:K$3771,(MATCH(($E224&amp;"ResultsTotal RNE "&amp;$F224&amp;"USD/ton"),'Fuel Model - Calculation'!$B$2:$B$3771,0))),0)</f>
        <v>0</v>
      </c>
      <c r="U224" s="118">
        <f>IFERROR(INDEX('Fuel Model - Calculation'!L$2:L$3771,(MATCH(($E224&amp;"ResultsTotal RNE "&amp;$F224&amp;"USD/ton"),'Fuel Model - Calculation'!$B$2:$B$3771,0))),0)</f>
        <v>0</v>
      </c>
      <c r="V224" s="118">
        <f>IFERROR(INDEX('Fuel Model - Calculation'!M$2:M$3771,(MATCH(($E224&amp;"ResultsTotal RNE "&amp;$F224&amp;"USD/ton"),'Fuel Model - Calculation'!$B$2:$B$3771,0))),0)</f>
        <v>0</v>
      </c>
      <c r="W224"/>
      <c r="X224" s="2">
        <f>INDEX('Fuel Model - Calculation'!$E$2:$M$3771,(MATCH(("WTT Emission - "&amp;$F224),'Fuel Model - Calculation'!$E$2:$E$3771,0)),MATCH(X$141,'Fuel Model - Calculation'!$E$2:$M$2,0))</f>
        <v>1.9865325617428082</v>
      </c>
      <c r="Y224" s="2">
        <f>INDEX('Fuel Model - Calculation'!$E$2:$M$3771,(MATCH(("WTT Emission - "&amp;$F224),'Fuel Model - Calculation'!$E$2:$E$3771,0)),MATCH(Y$141,'Fuel Model - Calculation'!$E$2:$M$2,0))</f>
        <v>1.8688949152542371</v>
      </c>
      <c r="Z224" s="2">
        <f>INDEX('Fuel Model - Calculation'!$E$2:$M$3771,(MATCH(("WTT Emission - "&amp;$F224),'Fuel Model - Calculation'!$E$2:$E$3771,0)),MATCH(Z$141,'Fuel Model - Calculation'!$E$2:$M$2,0))</f>
        <v>1.7521101087172288</v>
      </c>
      <c r="AA224" s="2">
        <f>INDEX('Fuel Model - Calculation'!$E$2:$M$3771,(MATCH(("WTT Emission - "&amp;$F224),'Fuel Model - Calculation'!$E$2:$E$3771,0)),MATCH(AA$141,'Fuel Model - Calculation'!$E$2:$M$2,0))</f>
        <v>1.6361611252163055</v>
      </c>
      <c r="AB224" s="2">
        <f>INDEX('Fuel Model - Calculation'!$E$2:$M$3771,(MATCH(("WTT Emission - "&amp;$F224),'Fuel Model - Calculation'!$E$2:$E$3771,0)),MATCH(AB$141,'Fuel Model - Calculation'!$E$2:$M$2,0))</f>
        <v>1.5210312923520297</v>
      </c>
      <c r="AC224" s="2">
        <f>INDEX('Fuel Model - Calculation'!$E$2:$M$3771,(MATCH(("WTT Emission - "&amp;$F224),'Fuel Model - Calculation'!$E$2:$E$3771,0)),MATCH(AC$141,'Fuel Model - Calculation'!$E$2:$M$2,0))</f>
        <v>1.4067042752465706</v>
      </c>
      <c r="AD224" s="2">
        <f>INDEX('Fuel Model - Calculation'!$E$2:$M$3771,(MATCH(("WTT Emission - "&amp;$F224),'Fuel Model - Calculation'!$E$2:$E$3771,0)),MATCH(AD$141,'Fuel Model - Calculation'!$E$2:$M$2,0))</f>
        <v>1.2931640677966105</v>
      </c>
      <c r="AE224" s="2"/>
      <c r="AF224" s="2">
        <f>'Fuel Model -  Input'!H$47</f>
        <v>0</v>
      </c>
      <c r="AG224" s="2">
        <f>'Fuel Model -  Input'!I$47</f>
        <v>0</v>
      </c>
      <c r="AH224" s="2">
        <f>'Fuel Model -  Input'!J$47</f>
        <v>0</v>
      </c>
      <c r="AI224" s="2">
        <f>'Fuel Model -  Input'!K$47</f>
        <v>0</v>
      </c>
      <c r="AJ224" s="2">
        <f>'Fuel Model -  Input'!L$47</f>
        <v>0</v>
      </c>
      <c r="AK224" s="2">
        <f>'Fuel Model -  Input'!M$47</f>
        <v>0</v>
      </c>
      <c r="AL224" s="2">
        <f>'Fuel Model -  Input'!N$47</f>
        <v>0</v>
      </c>
      <c r="AM224"/>
      <c r="AN224" s="24">
        <f t="shared" si="197"/>
        <v>1.9865325617428082</v>
      </c>
      <c r="AO224" s="24">
        <f t="shared" si="197"/>
        <v>1.8688949152542371</v>
      </c>
      <c r="AP224" s="24">
        <f t="shared" si="197"/>
        <v>1.7521101087172288</v>
      </c>
      <c r="AQ224" s="24">
        <f t="shared" si="197"/>
        <v>1.6361611252163055</v>
      </c>
      <c r="AR224" s="24">
        <f t="shared" si="197"/>
        <v>1.5210312923520297</v>
      </c>
      <c r="AS224" s="24">
        <f t="shared" si="197"/>
        <v>1.4067042752465706</v>
      </c>
      <c r="AT224" s="24">
        <f t="shared" si="197"/>
        <v>1.2931640677966105</v>
      </c>
      <c r="AU224"/>
      <c r="AV224" s="118">
        <f>IFERROR(INDEX('Fuel Model - Calculation'!$B$2:$M$3771,(MATCH(($E224&amp;"Results"&amp;$AV$140&amp;$F224&amp;"USD/ton"),'Fuel Model - Calculation'!$B$2:$B$3771,0)),MATCH(H$141,'Fuel Model - Calculation'!$B$2:$M$2,0)),0)</f>
        <v>274.84138167421179</v>
      </c>
      <c r="AW224" s="118">
        <f>IFERROR(INDEX('Fuel Model - Calculation'!$B$2:$M$3771,(MATCH(($E224&amp;"Results"&amp;$AV$140&amp;$F224&amp;"USD/ton"),'Fuel Model - Calculation'!$B$2:$B$3771,0)),MATCH(I$141,'Fuel Model - Calculation'!$B$2:$M$2,0)),0)</f>
        <v>265.00000000000006</v>
      </c>
      <c r="AX224" s="118">
        <f>IFERROR(INDEX('Fuel Model - Calculation'!$B$2:$M$3771,(MATCH(($E224&amp;"Results"&amp;$AV$140&amp;$F224&amp;"USD/ton"),'Fuel Model - Calculation'!$B$2:$B$3771,0)),MATCH(J$141,'Fuel Model - Calculation'!$B$2:$M$2,0)),0)</f>
        <v>255.51101356069626</v>
      </c>
      <c r="AY224" s="118">
        <f>IFERROR(INDEX('Fuel Model - Calculation'!$B$2:$M$3771,(MATCH(($E224&amp;"Results"&amp;$AV$140&amp;$F224&amp;"USD/ton"),'Fuel Model - Calculation'!$B$2:$B$3771,0)),MATCH(K$141,'Fuel Model - Calculation'!$B$2:$M$2,0)),0)</f>
        <v>246.36180396533697</v>
      </c>
      <c r="AZ224" s="118">
        <f>IFERROR(INDEX('Fuel Model - Calculation'!$B$2:$M$3771,(MATCH(($E224&amp;"Results"&amp;$AV$140&amp;$F224&amp;"USD/ton"),'Fuel Model - Calculation'!$B$2:$B$3771,0)),MATCH(L$141,'Fuel Model - Calculation'!$B$2:$M$2,0)),0)</f>
        <v>237.54020465594266</v>
      </c>
      <c r="BA224" s="118">
        <f>IFERROR(INDEX('Fuel Model - Calculation'!$B$2:$M$3771,(MATCH(($E224&amp;"Results"&amp;$AV$140&amp;$F224&amp;"USD/ton"),'Fuel Model - Calculation'!$B$2:$B$3771,0)),MATCH(M$141,'Fuel Model - Calculation'!$B$2:$M$2,0)),0)</f>
        <v>229.03448472850988</v>
      </c>
      <c r="BB224" s="118">
        <f>IFERROR(INDEX('Fuel Model - Calculation'!$B$2:$M$3771,(MATCH(($E224&amp;"Results"&amp;$AV$140&amp;$F224&amp;"USD/ton"),'Fuel Model - Calculation'!$B$2:$B$3771,0)),MATCH(N$141,'Fuel Model - Calculation'!$B$2:$M$2,0)),0)</f>
        <v>220.83333333333337</v>
      </c>
      <c r="BC224"/>
      <c r="BD224" s="118">
        <f>IFERROR(INDEX('Fuel Model - Calculation'!$B$2:$M$3771,(MATCH(($E224&amp;"Results"&amp;$BD$140&amp;$F224&amp;"USD/ton"),'Fuel Model - Calculation'!$B$2:$B$3771,0)),MATCH(P$141,'Fuel Model - Calculation'!$B$2:$M$2,0)),0)</f>
        <v>440.31467538446088</v>
      </c>
      <c r="BE224" s="118">
        <f>IFERROR(INDEX('Fuel Model - Calculation'!$B$2:$M$3771,(MATCH(($E224&amp;"Results"&amp;$BD$140&amp;$F224&amp;"USD/ton"),'Fuel Model - Calculation'!$B$2:$B$3771,0)),MATCH(Q$141,'Fuel Model - Calculation'!$B$2:$M$2,0)),0)</f>
        <v>346.91062483884372</v>
      </c>
      <c r="BF224" s="118">
        <f>IFERROR(INDEX('Fuel Model - Calculation'!$B$2:$M$3771,(MATCH(($E224&amp;"Results"&amp;$BD$140&amp;$F224&amp;"USD/ton"),'Fuel Model - Calculation'!$B$2:$B$3771,0)),MATCH(R$141,'Fuel Model - Calculation'!$B$2:$M$2,0)),0)</f>
        <v>288.68947848669677</v>
      </c>
      <c r="BG224" s="118">
        <f>IFERROR(INDEX('Fuel Model - Calculation'!$B$2:$M$3771,(MATCH(($E224&amp;"Results"&amp;$BD$140&amp;$F224&amp;"USD/ton"),'Fuel Model - Calculation'!$B$2:$B$3771,0)),MATCH(S$141,'Fuel Model - Calculation'!$B$2:$M$2,0)),0)</f>
        <v>242.64142179807067</v>
      </c>
      <c r="BH224" s="118">
        <f>IFERROR(INDEX('Fuel Model - Calculation'!$B$2:$M$3771,(MATCH(($E224&amp;"Results"&amp;$BD$140&amp;$F224&amp;"USD/ton"),'Fuel Model - Calculation'!$B$2:$B$3771,0)),MATCH(T$141,'Fuel Model - Calculation'!$B$2:$M$2,0)),0)</f>
        <v>206.05486991294734</v>
      </c>
      <c r="BI224" s="118">
        <f>IFERROR(INDEX('Fuel Model - Calculation'!$B$2:$M$3771,(MATCH(($E224&amp;"Results"&amp;$BD$140&amp;$F224&amp;"USD/ton"),'Fuel Model - Calculation'!$B$2:$B$3771,0)),MATCH(U$141,'Fuel Model - Calculation'!$B$2:$M$2,0)),0)</f>
        <v>174.84690204071944</v>
      </c>
      <c r="BJ224" s="118">
        <f>IFERROR(INDEX('Fuel Model - Calculation'!$B$2:$M$3771,(MATCH(($E224&amp;"Results"&amp;$BD$140&amp;$F224&amp;"USD/ton"),'Fuel Model - Calculation'!$B$2:$B$3771,0)),MATCH(V$141,'Fuel Model - Calculation'!$B$2:$M$2,0)),0)</f>
        <v>149.5965333886017</v>
      </c>
      <c r="BL224" s="118">
        <f>IFERROR(IFERROR(INDEX('Fuel Model - Calculation'!$B$2:$M$3771,(MATCH(($E224&amp;"Results"&amp;$BL$140&amp;$F224&amp;"USD/ton"),'Fuel Model - Calculation'!$B$2:$B$3771,0)),MATCH(H$141,'Fuel Model - Calculation'!$B$2:$M$2,0)),0),0)</f>
        <v>679.59226035000006</v>
      </c>
      <c r="BM224" s="118">
        <f>IFERROR(IFERROR(INDEX('Fuel Model - Calculation'!$B$2:$M$3771,(MATCH(($E224&amp;"Results"&amp;$BL$140&amp;$F224&amp;"USD/ton"),'Fuel Model - Calculation'!$B$2:$B$3771,0)),MATCH(I$141,'Fuel Model - Calculation'!$B$2:$M$2,0)),0),0)</f>
        <v>675</v>
      </c>
      <c r="BN224" s="118">
        <f>IFERROR(IFERROR(INDEX('Fuel Model - Calculation'!$B$2:$M$3771,(MATCH(($E224&amp;"Results"&amp;$BL$140&amp;$F224&amp;"USD/ton"),'Fuel Model - Calculation'!$B$2:$B$3771,0)),MATCH(J$141,'Fuel Model - Calculation'!$B$2:$M$2,0)),0),0)</f>
        <v>670.43877127499991</v>
      </c>
      <c r="BO224" s="118">
        <f>IFERROR(IFERROR(INDEX('Fuel Model - Calculation'!$B$2:$M$3771,(MATCH(($E224&amp;"Results"&amp;$BL$140&amp;$F224&amp;"USD/ton"),'Fuel Model - Calculation'!$B$2:$B$3771,0)),MATCH(K$141,'Fuel Model - Calculation'!$B$2:$M$2,0)),0),0)</f>
        <v>665.90836447499998</v>
      </c>
      <c r="BP224" s="118">
        <f>IFERROR(IFERROR(INDEX('Fuel Model - Calculation'!$B$2:$M$3771,(MATCH(($E224&amp;"Results"&amp;$BL$140&amp;$F224&amp;"USD/ton"),'Fuel Model - Calculation'!$B$2:$B$3771,0)),MATCH(L$141,'Fuel Model - Calculation'!$B$2:$M$2,0)),0),0)</f>
        <v>661.40857132500003</v>
      </c>
      <c r="BQ224" s="118">
        <f>IFERROR(IFERROR(INDEX('Fuel Model - Calculation'!$B$2:$M$3771,(MATCH(($E224&amp;"Results"&amp;$BL$140&amp;$F224&amp;"USD/ton"),'Fuel Model - Calculation'!$B$2:$B$3771,0)),MATCH(M$141,'Fuel Model - Calculation'!$B$2:$M$2,0)),0),0)</f>
        <v>656.93918504999999</v>
      </c>
      <c r="BR224" s="118">
        <f>IFERROR(IFERROR(INDEX('Fuel Model - Calculation'!$B$2:$M$3771,(MATCH(($E224&amp;"Results"&amp;$BL$140&amp;$F224&amp;"USD/ton"),'Fuel Model - Calculation'!$B$2:$B$3771,0)),MATCH(N$141,'Fuel Model - Calculation'!$B$2:$M$2,0)),0),0)</f>
        <v>652.5</v>
      </c>
      <c r="BT224" s="118">
        <f>IFERROR(INDEX('Fuel Model - Calculation'!$B$2:$M$3771,(MATCH(($E224&amp;"Results"&amp;$BT$140&amp;$F224&amp;"USD/ton"),'Fuel Model - Calculation'!$B$2:$B$3771,0)),MATCH(H$141,'Fuel Model - Calculation'!$B$2:$M$2,0)),0)</f>
        <v>6288.9859720000004</v>
      </c>
      <c r="BU224" s="118">
        <f>IFERROR(INDEX('Fuel Model - Calculation'!$B$2:$M$3771,(MATCH(($E224&amp;"Results"&amp;$BT$140&amp;$F224&amp;"USD/ton"),'Fuel Model - Calculation'!$B$2:$B$3771,0)),MATCH(I$141,'Fuel Model - Calculation'!$B$2:$M$2,0)),0)</f>
        <v>2463.5</v>
      </c>
      <c r="BV224" s="118">
        <f>IFERROR(INDEX('Fuel Model - Calculation'!$B$2:$M$3771,(MATCH(($E224&amp;"Results"&amp;$BT$140&amp;$F224&amp;"USD/ton"),'Fuel Model - Calculation'!$B$2:$B$3771,0)),MATCH(J$141,'Fuel Model - Calculation'!$B$2:$M$2,0)),0)</f>
        <v>1636.133297975</v>
      </c>
      <c r="BW224" s="118">
        <f>IFERROR(INDEX('Fuel Model - Calculation'!$B$2:$M$3771,(MATCH(($E224&amp;"Results"&amp;$BT$140&amp;$F224&amp;"USD/ton"),'Fuel Model - Calculation'!$B$2:$B$3771,0)),MATCH(K$141,'Fuel Model - Calculation'!$B$2:$M$2,0)),0)</f>
        <v>1597.222598525</v>
      </c>
      <c r="BX224" s="118">
        <f>IFERROR(INDEX('Fuel Model - Calculation'!$B$2:$M$3771,(MATCH(($E224&amp;"Results"&amp;$BT$140&amp;$F224&amp;"USD/ton"),'Fuel Model - Calculation'!$B$2:$B$3771,0)),MATCH(L$141,'Fuel Model - Calculation'!$B$2:$M$2,0)),0)</f>
        <v>1559.24497625</v>
      </c>
      <c r="BY224" s="118">
        <f>IFERROR(INDEX('Fuel Model - Calculation'!$B$2:$M$3771,(MATCH(($E224&amp;"Results"&amp;$BT$140&amp;$F224&amp;"USD/ton"),'Fuel Model - Calculation'!$B$2:$B$3771,0)),MATCH(M$141,'Fuel Model - Calculation'!$B$2:$M$2,0)),0)</f>
        <v>1522.178056275</v>
      </c>
      <c r="BZ224" s="118">
        <f>IFERROR(INDEX('Fuel Model - Calculation'!$B$2:$M$3771,(MATCH(($E224&amp;"Results"&amp;$BT$140&amp;$F224&amp;"USD/ton"),'Fuel Model - Calculation'!$B$2:$B$3771,0)),MATCH(N$141,'Fuel Model - Calculation'!$B$2:$M$2,0)),0)</f>
        <v>1486</v>
      </c>
    </row>
    <row r="225" spans="1:78" x14ac:dyDescent="0.2">
      <c r="A225" s="452"/>
      <c r="B225" s="453"/>
      <c r="D225" s="459"/>
      <c r="E225"/>
      <c r="F225"/>
      <c r="G225"/>
      <c r="H225" s="118"/>
      <c r="I225"/>
      <c r="J225"/>
      <c r="K225"/>
      <c r="L225"/>
      <c r="M225"/>
      <c r="N225"/>
      <c r="O225"/>
      <c r="P225"/>
      <c r="Q225"/>
      <c r="R225"/>
      <c r="S225"/>
      <c r="T225"/>
      <c r="U225"/>
      <c r="V225"/>
      <c r="W225"/>
      <c r="X225"/>
      <c r="Y225"/>
      <c r="Z225"/>
      <c r="AA225"/>
      <c r="AB225"/>
      <c r="AC225"/>
      <c r="AD225"/>
      <c r="AE225"/>
      <c r="AF225" s="2"/>
      <c r="AG225" s="2"/>
      <c r="AH225" s="2"/>
      <c r="AI225" s="2"/>
      <c r="AJ225" s="2"/>
      <c r="AK225" s="2"/>
      <c r="AL225" s="2"/>
      <c r="AM225"/>
      <c r="AN225" s="24"/>
      <c r="AO225" s="24"/>
      <c r="AP225" s="24"/>
      <c r="AQ225" s="24"/>
      <c r="AR225" s="24"/>
      <c r="AS225" s="24"/>
      <c r="AT225" s="24"/>
      <c r="AU225"/>
      <c r="AV225" s="118"/>
      <c r="AW225" s="118"/>
      <c r="AX225" s="118"/>
      <c r="AY225" s="118"/>
      <c r="AZ225" s="118"/>
      <c r="BA225" s="118"/>
      <c r="BB225" s="118"/>
      <c r="BC225"/>
      <c r="BD225" s="118"/>
      <c r="BE225" s="118"/>
      <c r="BF225" s="118"/>
      <c r="BG225" s="118"/>
      <c r="BH225" s="118"/>
      <c r="BI225" s="118"/>
      <c r="BJ225" s="118"/>
      <c r="BL225" s="118"/>
      <c r="BM225" s="118"/>
      <c r="BN225" s="118"/>
      <c r="BO225" s="118"/>
      <c r="BP225" s="118"/>
      <c r="BQ225" s="118"/>
      <c r="BR225" s="118"/>
      <c r="BT225" s="118"/>
      <c r="BU225" s="118"/>
      <c r="BV225" s="118"/>
      <c r="BW225" s="118"/>
      <c r="BX225" s="118"/>
      <c r="BY225" s="118"/>
      <c r="BZ225" s="118"/>
    </row>
    <row r="226" spans="1:78" x14ac:dyDescent="0.2">
      <c r="A226" s="452"/>
      <c r="B226" s="453" t="str">
        <f>_xlfn.TEXTJOIN(keydelim,TRUE,F226,IF(E226="Africa","Africa&amp;other",E226),"Fuel cost",SUBSTITUTE($G226," ",""))</f>
        <v>LPG - Europe - Fuel cost - USD/ton</v>
      </c>
      <c r="D226" s="459" t="str">
        <f>E226&amp;F226</f>
        <v>EuropeLPG</v>
      </c>
      <c r="E226" t="s">
        <v>195</v>
      </c>
      <c r="F226" t="s">
        <v>534</v>
      </c>
      <c r="G226" t="str">
        <f>G214</f>
        <v>USD/ ton</v>
      </c>
      <c r="H226" s="118">
        <f>INDEX('Fuel Model - Calculation'!$B$2:$M$3771,(MATCH(($E226&amp;"ResultsCost of "&amp;$F226&amp;"USD/ton"),'Fuel Model - Calculation'!$B$2:$B$3771,0)),MATCH(H$141,'Fuel Model - Calculation'!$B$2:$M$2,0))</f>
        <v>760.15317737821692</v>
      </c>
      <c r="I226" s="118">
        <f>INDEX('Fuel Model - Calculation'!$B$2:$M$3771,(MATCH(($E226&amp;"ResultsCost of "&amp;$F226&amp;"USD/ton"),'Fuel Model - Calculation'!$B$2:$B$3771,0)),MATCH(I$141,'Fuel Model - Calculation'!$B$2:$M$2,0))</f>
        <v>545.32727942350346</v>
      </c>
      <c r="J226" s="118">
        <f>INDEX('Fuel Model - Calculation'!$B$2:$M$3771,(MATCH(($E226&amp;"ResultsCost of "&amp;$F226&amp;"USD/ton"),'Fuel Model - Calculation'!$B$2:$B$3771,0)),MATCH(J$141,'Fuel Model - Calculation'!$B$2:$M$2,0))</f>
        <v>475.92198931505754</v>
      </c>
      <c r="K226" s="118">
        <f>INDEX('Fuel Model - Calculation'!$B$2:$M$3771,(MATCH(($E226&amp;"ResultsCost of "&amp;$F226&amp;"USD/ton"),'Fuel Model - Calculation'!$B$2:$B$3771,0)),MATCH(K$141,'Fuel Model - Calculation'!$B$2:$M$2,0))</f>
        <v>475.92198931505754</v>
      </c>
      <c r="L226" s="118">
        <f>INDEX('Fuel Model - Calculation'!$B$2:$M$3771,(MATCH(($E226&amp;"ResultsCost of "&amp;$F226&amp;"USD/ton"),'Fuel Model - Calculation'!$B$2:$B$3771,0)),MATCH(L$141,'Fuel Model - Calculation'!$B$2:$M$2,0))</f>
        <v>475.92198931505754</v>
      </c>
      <c r="M226" s="118">
        <f>INDEX('Fuel Model - Calculation'!$B$2:$M$3771,(MATCH(($E226&amp;"ResultsCost of "&amp;$F226&amp;"USD/ton"),'Fuel Model - Calculation'!$B$2:$B$3771,0)),MATCH(M$141,'Fuel Model - Calculation'!$B$2:$M$2,0))</f>
        <v>475.92198931505754</v>
      </c>
      <c r="N226" s="118">
        <f>INDEX('Fuel Model - Calculation'!$B$2:$M$3771,(MATCH(($E226&amp;"ResultsCost of "&amp;$F226&amp;"USD/ton"),'Fuel Model - Calculation'!$B$2:$B$3771,0)),MATCH(N$141,'Fuel Model - Calculation'!$B$2:$M$2,0))</f>
        <v>475.92198931505754</v>
      </c>
      <c r="O226"/>
      <c r="P226" s="118">
        <f>IFERROR(INDEX('Fuel Model - Calculation'!G$2:G$3771,(MATCH(($E226&amp;"ResultsTotal RNE "&amp;$F226&amp;"USD/ton"),'Fuel Model - Calculation'!$B$2:$B$3771,0))),0)</f>
        <v>0</v>
      </c>
      <c r="Q226" s="118">
        <f>IFERROR(INDEX('Fuel Model - Calculation'!H$2:H$3771,(MATCH(($E226&amp;"ResultsTotal RNE "&amp;$F226&amp;"USD/ton"),'Fuel Model - Calculation'!$B$2:$B$3771,0))),0)</f>
        <v>0</v>
      </c>
      <c r="R226" s="118">
        <f>IFERROR(INDEX('Fuel Model - Calculation'!I$2:I$3771,(MATCH(($E226&amp;"ResultsTotal RNE "&amp;$F226&amp;"USD/ton"),'Fuel Model - Calculation'!$B$2:$B$3771,0))),0)</f>
        <v>0</v>
      </c>
      <c r="S226" s="118">
        <f>IFERROR(INDEX('Fuel Model - Calculation'!J$2:J$3771,(MATCH(($E226&amp;"ResultsTotal RNE "&amp;$F226&amp;"USD/ton"),'Fuel Model - Calculation'!$B$2:$B$3771,0))),0)</f>
        <v>0</v>
      </c>
      <c r="T226" s="118">
        <f>IFERROR(INDEX('Fuel Model - Calculation'!K$2:K$3771,(MATCH(($E226&amp;"ResultsTotal RNE "&amp;$F226&amp;"USD/ton"),'Fuel Model - Calculation'!$B$2:$B$3771,0))),0)</f>
        <v>0</v>
      </c>
      <c r="U226" s="118">
        <f>IFERROR(INDEX('Fuel Model - Calculation'!L$2:L$3771,(MATCH(($E226&amp;"ResultsTotal RNE "&amp;$F226&amp;"USD/ton"),'Fuel Model - Calculation'!$B$2:$B$3771,0))),0)</f>
        <v>0</v>
      </c>
      <c r="V226" s="118">
        <f>IFERROR(INDEX('Fuel Model - Calculation'!M$2:M$3771,(MATCH(($E226&amp;"ResultsTotal RNE "&amp;$F226&amp;"USD/ton"),'Fuel Model - Calculation'!$B$2:$B$3771,0))),0)</f>
        <v>0</v>
      </c>
      <c r="W226"/>
      <c r="X226" s="2">
        <f>INDEX('Fuel Model - Calculation'!$E$2:$M$3771,(MATCH(("WTT Emission - "&amp;$F226),'Fuel Model - Calculation'!$E$2:$E$3771,0)),MATCH(X$141,'Fuel Model - Calculation'!$E$2:$M$2,0))</f>
        <v>0.81420000000000003</v>
      </c>
      <c r="Y226" s="2">
        <f>INDEX('Fuel Model - Calculation'!$E$2:$M$3771,(MATCH(("WTT Emission - "&amp;$F226),'Fuel Model - Calculation'!$E$2:$E$3771,0)),MATCH(Y$141,'Fuel Model - Calculation'!$E$2:$M$2,0))</f>
        <v>0.81420000000000003</v>
      </c>
      <c r="Z226" s="2">
        <f>INDEX('Fuel Model - Calculation'!$E$2:$M$3771,(MATCH(("WTT Emission - "&amp;$F226),'Fuel Model - Calculation'!$E$2:$E$3771,0)),MATCH(Z$141,'Fuel Model - Calculation'!$E$2:$M$2,0))</f>
        <v>0.81420000000000003</v>
      </c>
      <c r="AA226" s="2">
        <f>INDEX('Fuel Model - Calculation'!$E$2:$M$3771,(MATCH(("WTT Emission - "&amp;$F226),'Fuel Model - Calculation'!$E$2:$E$3771,0)),MATCH(AA$141,'Fuel Model - Calculation'!$E$2:$M$2,0))</f>
        <v>0.81420000000000003</v>
      </c>
      <c r="AB226" s="2">
        <f>INDEX('Fuel Model - Calculation'!$E$2:$M$3771,(MATCH(("WTT Emission - "&amp;$F226),'Fuel Model - Calculation'!$E$2:$E$3771,0)),MATCH(AB$141,'Fuel Model - Calculation'!$E$2:$M$2,0))</f>
        <v>0.81420000000000003</v>
      </c>
      <c r="AC226" s="2">
        <f>INDEX('Fuel Model - Calculation'!$E$2:$M$3771,(MATCH(("WTT Emission - "&amp;$F226),'Fuel Model - Calculation'!$E$2:$E$3771,0)),MATCH(AC$141,'Fuel Model - Calculation'!$E$2:$M$2,0))</f>
        <v>0.81420000000000003</v>
      </c>
      <c r="AD226" s="2">
        <f>INDEX('Fuel Model - Calculation'!$E$2:$M$3771,(MATCH(("WTT Emission - "&amp;$F226),'Fuel Model - Calculation'!$E$2:$E$3771,0)),MATCH(AD$141,'Fuel Model - Calculation'!$E$2:$M$2,0))</f>
        <v>0.81420000000000003</v>
      </c>
      <c r="AE226" s="2"/>
      <c r="AF226" s="2">
        <f>'Fuel Model -  Input'!H$281</f>
        <v>3.036</v>
      </c>
      <c r="AG226" s="2">
        <f>'Fuel Model -  Input'!I$281</f>
        <v>3.036</v>
      </c>
      <c r="AH226" s="2">
        <f>'Fuel Model -  Input'!J$281</f>
        <v>3.036</v>
      </c>
      <c r="AI226" s="2">
        <f>'Fuel Model -  Input'!K$281</f>
        <v>3.036</v>
      </c>
      <c r="AJ226" s="2">
        <f>'Fuel Model -  Input'!L$281</f>
        <v>3.036</v>
      </c>
      <c r="AK226" s="2">
        <f>'Fuel Model -  Input'!M$281</f>
        <v>3.036</v>
      </c>
      <c r="AL226" s="2">
        <f>'Fuel Model -  Input'!N$281</f>
        <v>3.036</v>
      </c>
      <c r="AM226"/>
      <c r="AN226" s="24">
        <f t="shared" ref="AN226:AT230" si="200">X226+AF226</f>
        <v>3.8502000000000001</v>
      </c>
      <c r="AO226" s="24">
        <f t="shared" si="200"/>
        <v>3.8502000000000001</v>
      </c>
      <c r="AP226" s="24">
        <f t="shared" si="200"/>
        <v>3.8502000000000001</v>
      </c>
      <c r="AQ226" s="24">
        <f t="shared" si="200"/>
        <v>3.8502000000000001</v>
      </c>
      <c r="AR226" s="24">
        <f t="shared" si="200"/>
        <v>3.8502000000000001</v>
      </c>
      <c r="AS226" s="24">
        <f t="shared" si="200"/>
        <v>3.8502000000000001</v>
      </c>
      <c r="AT226" s="24">
        <f t="shared" si="200"/>
        <v>3.8502000000000001</v>
      </c>
      <c r="AU226"/>
      <c r="AV226" s="118">
        <f>IFERROR(INDEX('Fuel Model - Calculation'!$B$2:$M$3771,(MATCH(($E226&amp;"Results"&amp;$AV$140&amp;$F226&amp;"USD/ton"),'Fuel Model - Calculation'!$B$2:$B$3771,0)),MATCH(H$141,'Fuel Model - Calculation'!$B$2:$M$2,0)),0)</f>
        <v>0</v>
      </c>
      <c r="AW226" s="118">
        <f>IFERROR(INDEX('Fuel Model - Calculation'!$B$2:$M$3771,(MATCH(($E226&amp;"Results"&amp;$AV$140&amp;$F226&amp;"USD/ton"),'Fuel Model - Calculation'!$B$2:$B$3771,0)),MATCH(I$141,'Fuel Model - Calculation'!$B$2:$M$2,0)),0)</f>
        <v>0</v>
      </c>
      <c r="AX226" s="118">
        <f>IFERROR(INDEX('Fuel Model - Calculation'!$B$2:$M$3771,(MATCH(($E226&amp;"Results"&amp;$AV$140&amp;$F226&amp;"USD/ton"),'Fuel Model - Calculation'!$B$2:$B$3771,0)),MATCH(J$141,'Fuel Model - Calculation'!$B$2:$M$2,0)),0)</f>
        <v>0</v>
      </c>
      <c r="AY226" s="118">
        <f>IFERROR(INDEX('Fuel Model - Calculation'!$B$2:$M$3771,(MATCH(($E226&amp;"Results"&amp;$AV$140&amp;$F226&amp;"USD/ton"),'Fuel Model - Calculation'!$B$2:$B$3771,0)),MATCH(K$141,'Fuel Model - Calculation'!$B$2:$M$2,0)),0)</f>
        <v>0</v>
      </c>
      <c r="AZ226" s="118">
        <f>IFERROR(INDEX('Fuel Model - Calculation'!$B$2:$M$3771,(MATCH(($E226&amp;"Results"&amp;$AV$140&amp;$F226&amp;"USD/ton"),'Fuel Model - Calculation'!$B$2:$B$3771,0)),MATCH(L$141,'Fuel Model - Calculation'!$B$2:$M$2,0)),0)</f>
        <v>0</v>
      </c>
      <c r="BA226" s="118">
        <f>IFERROR(INDEX('Fuel Model - Calculation'!$B$2:$M$3771,(MATCH(($E226&amp;"Results"&amp;$AV$140&amp;$F226&amp;"USD/ton"),'Fuel Model - Calculation'!$B$2:$B$3771,0)),MATCH(M$141,'Fuel Model - Calculation'!$B$2:$M$2,0)),0)</f>
        <v>0</v>
      </c>
      <c r="BB226" s="118">
        <f>IFERROR(INDEX('Fuel Model - Calculation'!$B$2:$M$3771,(MATCH(($E226&amp;"Results"&amp;$AV$140&amp;$F226&amp;"USD/ton"),'Fuel Model - Calculation'!$B$2:$B$3771,0)),MATCH(N$141,'Fuel Model - Calculation'!$B$2:$M$2,0)),0)</f>
        <v>0</v>
      </c>
      <c r="BC226"/>
      <c r="BD226" s="118">
        <f>IFERROR(INDEX('Fuel Model - Calculation'!$B$2:$M$3771,(MATCH(($E226&amp;"Results"&amp;$BD$140&amp;$F226&amp;"USD/ton"),'Fuel Model - Calculation'!$B$2:$B$3771,0)),MATCH(P$141,'Fuel Model - Calculation'!$B$2:$M$2,0)),0)</f>
        <v>0</v>
      </c>
      <c r="BE226" s="118">
        <f>IFERROR(INDEX('Fuel Model - Calculation'!$B$2:$M$3771,(MATCH(($E226&amp;"Results"&amp;$BD$140&amp;$F226&amp;"USD/ton"),'Fuel Model - Calculation'!$B$2:$B$3771,0)),MATCH(Q$141,'Fuel Model - Calculation'!$B$2:$M$2,0)),0)</f>
        <v>0</v>
      </c>
      <c r="BF226" s="118">
        <f>IFERROR(INDEX('Fuel Model - Calculation'!$B$2:$M$3771,(MATCH(($E226&amp;"Results"&amp;$BD$140&amp;$F226&amp;"USD/ton"),'Fuel Model - Calculation'!$B$2:$B$3771,0)),MATCH(R$141,'Fuel Model - Calculation'!$B$2:$M$2,0)),0)</f>
        <v>0</v>
      </c>
      <c r="BG226" s="118">
        <f>IFERROR(INDEX('Fuel Model - Calculation'!$B$2:$M$3771,(MATCH(($E226&amp;"Results"&amp;$BD$140&amp;$F226&amp;"USD/ton"),'Fuel Model - Calculation'!$B$2:$B$3771,0)),MATCH(S$141,'Fuel Model - Calculation'!$B$2:$M$2,0)),0)</f>
        <v>0</v>
      </c>
      <c r="BH226" s="118">
        <f>IFERROR(INDEX('Fuel Model - Calculation'!$B$2:$M$3771,(MATCH(($E226&amp;"Results"&amp;$BD$140&amp;$F226&amp;"USD/ton"),'Fuel Model - Calculation'!$B$2:$B$3771,0)),MATCH(T$141,'Fuel Model - Calculation'!$B$2:$M$2,0)),0)</f>
        <v>0</v>
      </c>
      <c r="BI226" s="118">
        <f>IFERROR(INDEX('Fuel Model - Calculation'!$B$2:$M$3771,(MATCH(($E226&amp;"Results"&amp;$BD$140&amp;$F226&amp;"USD/ton"),'Fuel Model - Calculation'!$B$2:$B$3771,0)),MATCH(U$141,'Fuel Model - Calculation'!$B$2:$M$2,0)),0)</f>
        <v>0</v>
      </c>
      <c r="BJ226" s="118">
        <f>IFERROR(INDEX('Fuel Model - Calculation'!$B$2:$M$3771,(MATCH(($E226&amp;"Results"&amp;$BD$140&amp;$F226&amp;"USD/ton"),'Fuel Model - Calculation'!$B$2:$B$3771,0)),MATCH(V$141,'Fuel Model - Calculation'!$B$2:$M$2,0)),0)</f>
        <v>0</v>
      </c>
      <c r="BL226" s="118">
        <f>IFERROR(IFERROR(INDEX('Fuel Model - Calculation'!$B$2:$M$3771,(MATCH(($E226&amp;"Results"&amp;$BL$140&amp;$F226&amp;"USD/ton"),'Fuel Model - Calculation'!$B$2:$B$3771,0)),MATCH(H$141,'Fuel Model - Calculation'!$B$2:$M$2,0)),0),0)</f>
        <v>0</v>
      </c>
      <c r="BM226" s="118">
        <f>IFERROR(IFERROR(INDEX('Fuel Model - Calculation'!$B$2:$M$3771,(MATCH(($E226&amp;"Results"&amp;$BL$140&amp;$F226&amp;"USD/ton"),'Fuel Model - Calculation'!$B$2:$B$3771,0)),MATCH(I$141,'Fuel Model - Calculation'!$B$2:$M$2,0)),0),0)</f>
        <v>0</v>
      </c>
      <c r="BN226" s="118">
        <f>IFERROR(IFERROR(INDEX('Fuel Model - Calculation'!$B$2:$M$3771,(MATCH(($E226&amp;"Results"&amp;$BL$140&amp;$F226&amp;"USD/ton"),'Fuel Model - Calculation'!$B$2:$B$3771,0)),MATCH(J$141,'Fuel Model - Calculation'!$B$2:$M$2,0)),0),0)</f>
        <v>0</v>
      </c>
      <c r="BO226" s="118">
        <f>IFERROR(IFERROR(INDEX('Fuel Model - Calculation'!$B$2:$M$3771,(MATCH(($E226&amp;"Results"&amp;$BL$140&amp;$F226&amp;"USD/ton"),'Fuel Model - Calculation'!$B$2:$B$3771,0)),MATCH(K$141,'Fuel Model - Calculation'!$B$2:$M$2,0)),0),0)</f>
        <v>0</v>
      </c>
      <c r="BP226" s="118">
        <f>IFERROR(IFERROR(INDEX('Fuel Model - Calculation'!$B$2:$M$3771,(MATCH(($E226&amp;"Results"&amp;$BL$140&amp;$F226&amp;"USD/ton"),'Fuel Model - Calculation'!$B$2:$B$3771,0)),MATCH(L$141,'Fuel Model - Calculation'!$B$2:$M$2,0)),0),0)</f>
        <v>0</v>
      </c>
      <c r="BQ226" s="118">
        <f>IFERROR(IFERROR(INDEX('Fuel Model - Calculation'!$B$2:$M$3771,(MATCH(($E226&amp;"Results"&amp;$BL$140&amp;$F226&amp;"USD/ton"),'Fuel Model - Calculation'!$B$2:$B$3771,0)),MATCH(M$141,'Fuel Model - Calculation'!$B$2:$M$2,0)),0),0)</f>
        <v>0</v>
      </c>
      <c r="BR226" s="118">
        <f>IFERROR(IFERROR(INDEX('Fuel Model - Calculation'!$B$2:$M$3771,(MATCH(($E226&amp;"Results"&amp;$BL$140&amp;$F226&amp;"USD/ton"),'Fuel Model - Calculation'!$B$2:$B$3771,0)),MATCH(N$141,'Fuel Model - Calculation'!$B$2:$M$2,0)),0),0)</f>
        <v>0</v>
      </c>
      <c r="BT226" s="118">
        <f>IFERROR(INDEX('Fuel Model - Calculation'!$B$2:$M$3771,(MATCH(($E226&amp;"Results"&amp;$BT$140&amp;$F226&amp;"USD/ton"),'Fuel Model - Calculation'!$B$2:$B$3771,0)),MATCH(H$141,'Fuel Model - Calculation'!$B$2:$M$2,0)),0)</f>
        <v>0</v>
      </c>
      <c r="BU226" s="118">
        <f>IFERROR(INDEX('Fuel Model - Calculation'!$B$2:$M$3771,(MATCH(($E226&amp;"Results"&amp;$BT$140&amp;$F226&amp;"USD/ton"),'Fuel Model - Calculation'!$B$2:$B$3771,0)),MATCH(I$141,'Fuel Model - Calculation'!$B$2:$M$2,0)),0)</f>
        <v>0</v>
      </c>
      <c r="BV226" s="118">
        <f>IFERROR(INDEX('Fuel Model - Calculation'!$B$2:$M$3771,(MATCH(($E226&amp;"Results"&amp;$BT$140&amp;$F226&amp;"USD/ton"),'Fuel Model - Calculation'!$B$2:$B$3771,0)),MATCH(J$141,'Fuel Model - Calculation'!$B$2:$M$2,0)),0)</f>
        <v>0</v>
      </c>
      <c r="BW226" s="118">
        <f>IFERROR(INDEX('Fuel Model - Calculation'!$B$2:$M$3771,(MATCH(($E226&amp;"Results"&amp;$BT$140&amp;$F226&amp;"USD/ton"),'Fuel Model - Calculation'!$B$2:$B$3771,0)),MATCH(K$141,'Fuel Model - Calculation'!$B$2:$M$2,0)),0)</f>
        <v>0</v>
      </c>
      <c r="BX226" s="118">
        <f>IFERROR(INDEX('Fuel Model - Calculation'!$B$2:$M$3771,(MATCH(($E226&amp;"Results"&amp;$BT$140&amp;$F226&amp;"USD/ton"),'Fuel Model - Calculation'!$B$2:$B$3771,0)),MATCH(L$141,'Fuel Model - Calculation'!$B$2:$M$2,0)),0)</f>
        <v>0</v>
      </c>
      <c r="BY226" s="118">
        <f>IFERROR(INDEX('Fuel Model - Calculation'!$B$2:$M$3771,(MATCH(($E226&amp;"Results"&amp;$BT$140&amp;$F226&amp;"USD/ton"),'Fuel Model - Calculation'!$B$2:$B$3771,0)),MATCH(M$141,'Fuel Model - Calculation'!$B$2:$M$2,0)),0)</f>
        <v>0</v>
      </c>
      <c r="BZ226" s="118">
        <f>IFERROR(INDEX('Fuel Model - Calculation'!$B$2:$M$3771,(MATCH(($E226&amp;"Results"&amp;$BT$140&amp;$F226&amp;"USD/ton"),'Fuel Model - Calculation'!$B$2:$B$3771,0)),MATCH(N$141,'Fuel Model - Calculation'!$B$2:$M$2,0)),0)</f>
        <v>0</v>
      </c>
    </row>
    <row r="227" spans="1:78" x14ac:dyDescent="0.2">
      <c r="A227" s="452"/>
      <c r="B227" s="453" t="str">
        <f>_xlfn.TEXTJOIN(keydelim,TRUE,F227,IF(E227="Africa","Africa&amp;other",E227),"Fuel cost",SUBSTITUTE($G227," ",""))</f>
        <v>LPG - Middle East - Fuel cost - USD/ton</v>
      </c>
      <c r="D227" s="459" t="str">
        <f t="shared" ref="D227:D230" si="201">E227&amp;F227</f>
        <v>Middle EastLPG</v>
      </c>
      <c r="E227" t="s">
        <v>197</v>
      </c>
      <c r="F227" s="460" t="str">
        <f t="shared" ref="F227:F230" si="202">F226</f>
        <v>LPG</v>
      </c>
      <c r="G227" t="str">
        <f>G215</f>
        <v>USD/ ton</v>
      </c>
      <c r="H227" s="118">
        <f>INDEX('Fuel Model - Calculation'!$B$2:$M$3771,(MATCH(($E227&amp;"ResultsCost of "&amp;$F227&amp;"USD/ton"),'Fuel Model - Calculation'!$B$2:$B$3771,0)),MATCH(H$141,'Fuel Model - Calculation'!$B$2:$M$2,0))</f>
        <v>760.15317737821692</v>
      </c>
      <c r="I227" s="118">
        <f>INDEX('Fuel Model - Calculation'!$B$2:$M$3771,(MATCH(($E227&amp;"ResultsCost of "&amp;$F227&amp;"USD/ton"),'Fuel Model - Calculation'!$B$2:$B$3771,0)),MATCH(I$141,'Fuel Model - Calculation'!$B$2:$M$2,0))</f>
        <v>545.32727942350346</v>
      </c>
      <c r="J227" s="118">
        <f>INDEX('Fuel Model - Calculation'!$B$2:$M$3771,(MATCH(($E227&amp;"ResultsCost of "&amp;$F227&amp;"USD/ton"),'Fuel Model - Calculation'!$B$2:$B$3771,0)),MATCH(J$141,'Fuel Model - Calculation'!$B$2:$M$2,0))</f>
        <v>475.92198931505754</v>
      </c>
      <c r="K227" s="118">
        <f>INDEX('Fuel Model - Calculation'!$B$2:$M$3771,(MATCH(($E227&amp;"ResultsCost of "&amp;$F227&amp;"USD/ton"),'Fuel Model - Calculation'!$B$2:$B$3771,0)),MATCH(K$141,'Fuel Model - Calculation'!$B$2:$M$2,0))</f>
        <v>475.92198931505754</v>
      </c>
      <c r="L227" s="118">
        <f>INDEX('Fuel Model - Calculation'!$B$2:$M$3771,(MATCH(($E227&amp;"ResultsCost of "&amp;$F227&amp;"USD/ton"),'Fuel Model - Calculation'!$B$2:$B$3771,0)),MATCH(L$141,'Fuel Model - Calculation'!$B$2:$M$2,0))</f>
        <v>475.92198931505754</v>
      </c>
      <c r="M227" s="118">
        <f>INDEX('Fuel Model - Calculation'!$B$2:$M$3771,(MATCH(($E227&amp;"ResultsCost of "&amp;$F227&amp;"USD/ton"),'Fuel Model - Calculation'!$B$2:$B$3771,0)),MATCH(M$141,'Fuel Model - Calculation'!$B$2:$M$2,0))</f>
        <v>475.92198931505754</v>
      </c>
      <c r="N227" s="118">
        <f>INDEX('Fuel Model - Calculation'!$B$2:$M$3771,(MATCH(($E227&amp;"ResultsCost of "&amp;$F227&amp;"USD/ton"),'Fuel Model - Calculation'!$B$2:$B$3771,0)),MATCH(N$141,'Fuel Model - Calculation'!$B$2:$M$2,0))</f>
        <v>475.92198931505754</v>
      </c>
      <c r="O227"/>
      <c r="P227" s="118">
        <f>IFERROR(INDEX('Fuel Model - Calculation'!G$2:G$3771,(MATCH(($E227&amp;"ResultsTotal RNE "&amp;$F227&amp;"USD/ton"),'Fuel Model - Calculation'!$B$2:$B$3771,0))),0)</f>
        <v>0</v>
      </c>
      <c r="Q227" s="118">
        <f>IFERROR(INDEX('Fuel Model - Calculation'!H$2:H$3771,(MATCH(($E227&amp;"ResultsTotal RNE "&amp;$F227&amp;"USD/ton"),'Fuel Model - Calculation'!$B$2:$B$3771,0))),0)</f>
        <v>0</v>
      </c>
      <c r="R227" s="118">
        <f>IFERROR(INDEX('Fuel Model - Calculation'!I$2:I$3771,(MATCH(($E227&amp;"ResultsTotal RNE "&amp;$F227&amp;"USD/ton"),'Fuel Model - Calculation'!$B$2:$B$3771,0))),0)</f>
        <v>0</v>
      </c>
      <c r="S227" s="118">
        <f>IFERROR(INDEX('Fuel Model - Calculation'!J$2:J$3771,(MATCH(($E227&amp;"ResultsTotal RNE "&amp;$F227&amp;"USD/ton"),'Fuel Model - Calculation'!$B$2:$B$3771,0))),0)</f>
        <v>0</v>
      </c>
      <c r="T227" s="118">
        <f>IFERROR(INDEX('Fuel Model - Calculation'!K$2:K$3771,(MATCH(($E227&amp;"ResultsTotal RNE "&amp;$F227&amp;"USD/ton"),'Fuel Model - Calculation'!$B$2:$B$3771,0))),0)</f>
        <v>0</v>
      </c>
      <c r="U227" s="118">
        <f>IFERROR(INDEX('Fuel Model - Calculation'!L$2:L$3771,(MATCH(($E227&amp;"ResultsTotal RNE "&amp;$F227&amp;"USD/ton"),'Fuel Model - Calculation'!$B$2:$B$3771,0))),0)</f>
        <v>0</v>
      </c>
      <c r="V227" s="118">
        <f>IFERROR(INDEX('Fuel Model - Calculation'!M$2:M$3771,(MATCH(($E227&amp;"ResultsTotal RNE "&amp;$F227&amp;"USD/ton"),'Fuel Model - Calculation'!$B$2:$B$3771,0))),0)</f>
        <v>0</v>
      </c>
      <c r="W227"/>
      <c r="X227" s="2">
        <f>INDEX('Fuel Model - Calculation'!$E$2:$M$3771,(MATCH(("WTT Emission - "&amp;$F227),'Fuel Model - Calculation'!$E$2:$E$3771,0)),MATCH(X$141,'Fuel Model - Calculation'!$E$2:$M$2,0))</f>
        <v>0.81420000000000003</v>
      </c>
      <c r="Y227" s="2">
        <f>INDEX('Fuel Model - Calculation'!$E$2:$M$3771,(MATCH(("WTT Emission - "&amp;$F227),'Fuel Model - Calculation'!$E$2:$E$3771,0)),MATCH(Y$141,'Fuel Model - Calculation'!$E$2:$M$2,0))</f>
        <v>0.81420000000000003</v>
      </c>
      <c r="Z227" s="2">
        <f>INDEX('Fuel Model - Calculation'!$E$2:$M$3771,(MATCH(("WTT Emission - "&amp;$F227),'Fuel Model - Calculation'!$E$2:$E$3771,0)),MATCH(Z$141,'Fuel Model - Calculation'!$E$2:$M$2,0))</f>
        <v>0.81420000000000003</v>
      </c>
      <c r="AA227" s="2">
        <f>INDEX('Fuel Model - Calculation'!$E$2:$M$3771,(MATCH(("WTT Emission - "&amp;$F227),'Fuel Model - Calculation'!$E$2:$E$3771,0)),MATCH(AA$141,'Fuel Model - Calculation'!$E$2:$M$2,0))</f>
        <v>0.81420000000000003</v>
      </c>
      <c r="AB227" s="2">
        <f>INDEX('Fuel Model - Calculation'!$E$2:$M$3771,(MATCH(("WTT Emission - "&amp;$F227),'Fuel Model - Calculation'!$E$2:$E$3771,0)),MATCH(AB$141,'Fuel Model - Calculation'!$E$2:$M$2,0))</f>
        <v>0.81420000000000003</v>
      </c>
      <c r="AC227" s="2">
        <f>INDEX('Fuel Model - Calculation'!$E$2:$M$3771,(MATCH(("WTT Emission - "&amp;$F227),'Fuel Model - Calculation'!$E$2:$E$3771,0)),MATCH(AC$141,'Fuel Model - Calculation'!$E$2:$M$2,0))</f>
        <v>0.81420000000000003</v>
      </c>
      <c r="AD227" s="2">
        <f>INDEX('Fuel Model - Calculation'!$E$2:$M$3771,(MATCH(("WTT Emission - "&amp;$F227),'Fuel Model - Calculation'!$E$2:$E$3771,0)),MATCH(AD$141,'Fuel Model - Calculation'!$E$2:$M$2,0))</f>
        <v>0.81420000000000003</v>
      </c>
      <c r="AE227" s="2"/>
      <c r="AF227" s="2">
        <f>'Fuel Model -  Input'!H$281</f>
        <v>3.036</v>
      </c>
      <c r="AG227" s="2">
        <f>'Fuel Model -  Input'!I$281</f>
        <v>3.036</v>
      </c>
      <c r="AH227" s="2">
        <f>'Fuel Model -  Input'!J$281</f>
        <v>3.036</v>
      </c>
      <c r="AI227" s="2">
        <f>'Fuel Model -  Input'!K$281</f>
        <v>3.036</v>
      </c>
      <c r="AJ227" s="2">
        <f>'Fuel Model -  Input'!L$281</f>
        <v>3.036</v>
      </c>
      <c r="AK227" s="2">
        <f>'Fuel Model -  Input'!M$281</f>
        <v>3.036</v>
      </c>
      <c r="AL227" s="2">
        <f>'Fuel Model -  Input'!N$281</f>
        <v>3.036</v>
      </c>
      <c r="AM227"/>
      <c r="AN227" s="24">
        <f t="shared" si="200"/>
        <v>3.8502000000000001</v>
      </c>
      <c r="AO227" s="24">
        <f t="shared" si="200"/>
        <v>3.8502000000000001</v>
      </c>
      <c r="AP227" s="24">
        <f t="shared" si="200"/>
        <v>3.8502000000000001</v>
      </c>
      <c r="AQ227" s="24">
        <f t="shared" si="200"/>
        <v>3.8502000000000001</v>
      </c>
      <c r="AR227" s="24">
        <f t="shared" si="200"/>
        <v>3.8502000000000001</v>
      </c>
      <c r="AS227" s="24">
        <f t="shared" si="200"/>
        <v>3.8502000000000001</v>
      </c>
      <c r="AT227" s="24">
        <f t="shared" si="200"/>
        <v>3.8502000000000001</v>
      </c>
      <c r="AU227"/>
      <c r="AV227" s="118">
        <f>IFERROR(INDEX('Fuel Model - Calculation'!$B$2:$M$3771,(MATCH(($E227&amp;"Results"&amp;$AV$140&amp;$F227&amp;"USD/ton"),'Fuel Model - Calculation'!$B$2:$B$3771,0)),MATCH(H$141,'Fuel Model - Calculation'!$B$2:$M$2,0)),0)</f>
        <v>0</v>
      </c>
      <c r="AW227" s="118">
        <f>IFERROR(INDEX('Fuel Model - Calculation'!$B$2:$M$3771,(MATCH(($E227&amp;"Results"&amp;$AV$140&amp;$F227&amp;"USD/ton"),'Fuel Model - Calculation'!$B$2:$B$3771,0)),MATCH(I$141,'Fuel Model - Calculation'!$B$2:$M$2,0)),0)</f>
        <v>0</v>
      </c>
      <c r="AX227" s="118">
        <f>IFERROR(INDEX('Fuel Model - Calculation'!$B$2:$M$3771,(MATCH(($E227&amp;"Results"&amp;$AV$140&amp;$F227&amp;"USD/ton"),'Fuel Model - Calculation'!$B$2:$B$3771,0)),MATCH(J$141,'Fuel Model - Calculation'!$B$2:$M$2,0)),0)</f>
        <v>0</v>
      </c>
      <c r="AY227" s="118">
        <f>IFERROR(INDEX('Fuel Model - Calculation'!$B$2:$M$3771,(MATCH(($E227&amp;"Results"&amp;$AV$140&amp;$F227&amp;"USD/ton"),'Fuel Model - Calculation'!$B$2:$B$3771,0)),MATCH(K$141,'Fuel Model - Calculation'!$B$2:$M$2,0)),0)</f>
        <v>0</v>
      </c>
      <c r="AZ227" s="118">
        <f>IFERROR(INDEX('Fuel Model - Calculation'!$B$2:$M$3771,(MATCH(($E227&amp;"Results"&amp;$AV$140&amp;$F227&amp;"USD/ton"),'Fuel Model - Calculation'!$B$2:$B$3771,0)),MATCH(L$141,'Fuel Model - Calculation'!$B$2:$M$2,0)),0)</f>
        <v>0</v>
      </c>
      <c r="BA227" s="118">
        <f>IFERROR(INDEX('Fuel Model - Calculation'!$B$2:$M$3771,(MATCH(($E227&amp;"Results"&amp;$AV$140&amp;$F227&amp;"USD/ton"),'Fuel Model - Calculation'!$B$2:$B$3771,0)),MATCH(M$141,'Fuel Model - Calculation'!$B$2:$M$2,0)),0)</f>
        <v>0</v>
      </c>
      <c r="BB227" s="118">
        <f>IFERROR(INDEX('Fuel Model - Calculation'!$B$2:$M$3771,(MATCH(($E227&amp;"Results"&amp;$AV$140&amp;$F227&amp;"USD/ton"),'Fuel Model - Calculation'!$B$2:$B$3771,0)),MATCH(N$141,'Fuel Model - Calculation'!$B$2:$M$2,0)),0)</f>
        <v>0</v>
      </c>
      <c r="BC227"/>
      <c r="BD227" s="118">
        <f>IFERROR(INDEX('Fuel Model - Calculation'!$B$2:$M$3771,(MATCH(($E227&amp;"Results"&amp;$BD$140&amp;$F227&amp;"USD/ton"),'Fuel Model - Calculation'!$B$2:$B$3771,0)),MATCH(P$141,'Fuel Model - Calculation'!$B$2:$M$2,0)),0)</f>
        <v>0</v>
      </c>
      <c r="BE227" s="118">
        <f>IFERROR(INDEX('Fuel Model - Calculation'!$B$2:$M$3771,(MATCH(($E227&amp;"Results"&amp;$BD$140&amp;$F227&amp;"USD/ton"),'Fuel Model - Calculation'!$B$2:$B$3771,0)),MATCH(Q$141,'Fuel Model - Calculation'!$B$2:$M$2,0)),0)</f>
        <v>0</v>
      </c>
      <c r="BF227" s="118">
        <f>IFERROR(INDEX('Fuel Model - Calculation'!$B$2:$M$3771,(MATCH(($E227&amp;"Results"&amp;$BD$140&amp;$F227&amp;"USD/ton"),'Fuel Model - Calculation'!$B$2:$B$3771,0)),MATCH(R$141,'Fuel Model - Calculation'!$B$2:$M$2,0)),0)</f>
        <v>0</v>
      </c>
      <c r="BG227" s="118">
        <f>IFERROR(INDEX('Fuel Model - Calculation'!$B$2:$M$3771,(MATCH(($E227&amp;"Results"&amp;$BD$140&amp;$F227&amp;"USD/ton"),'Fuel Model - Calculation'!$B$2:$B$3771,0)),MATCH(S$141,'Fuel Model - Calculation'!$B$2:$M$2,0)),0)</f>
        <v>0</v>
      </c>
      <c r="BH227" s="118">
        <f>IFERROR(INDEX('Fuel Model - Calculation'!$B$2:$M$3771,(MATCH(($E227&amp;"Results"&amp;$BD$140&amp;$F227&amp;"USD/ton"),'Fuel Model - Calculation'!$B$2:$B$3771,0)),MATCH(T$141,'Fuel Model - Calculation'!$B$2:$M$2,0)),0)</f>
        <v>0</v>
      </c>
      <c r="BI227" s="118">
        <f>IFERROR(INDEX('Fuel Model - Calculation'!$B$2:$M$3771,(MATCH(($E227&amp;"Results"&amp;$BD$140&amp;$F227&amp;"USD/ton"),'Fuel Model - Calculation'!$B$2:$B$3771,0)),MATCH(U$141,'Fuel Model - Calculation'!$B$2:$M$2,0)),0)</f>
        <v>0</v>
      </c>
      <c r="BJ227" s="118">
        <f>IFERROR(INDEX('Fuel Model - Calculation'!$B$2:$M$3771,(MATCH(($E227&amp;"Results"&amp;$BD$140&amp;$F227&amp;"USD/ton"),'Fuel Model - Calculation'!$B$2:$B$3771,0)),MATCH(V$141,'Fuel Model - Calculation'!$B$2:$M$2,0)),0)</f>
        <v>0</v>
      </c>
      <c r="BL227" s="118">
        <f>IFERROR(IFERROR(INDEX('Fuel Model - Calculation'!$B$2:$M$3771,(MATCH(($E227&amp;"Results"&amp;$BL$140&amp;$F227&amp;"USD/ton"),'Fuel Model - Calculation'!$B$2:$B$3771,0)),MATCH(H$141,'Fuel Model - Calculation'!$B$2:$M$2,0)),0),0)</f>
        <v>0</v>
      </c>
      <c r="BM227" s="118">
        <f>IFERROR(IFERROR(INDEX('Fuel Model - Calculation'!$B$2:$M$3771,(MATCH(($E227&amp;"Results"&amp;$BL$140&amp;$F227&amp;"USD/ton"),'Fuel Model - Calculation'!$B$2:$B$3771,0)),MATCH(I$141,'Fuel Model - Calculation'!$B$2:$M$2,0)),0),0)</f>
        <v>0</v>
      </c>
      <c r="BN227" s="118">
        <f>IFERROR(IFERROR(INDEX('Fuel Model - Calculation'!$B$2:$M$3771,(MATCH(($E227&amp;"Results"&amp;$BL$140&amp;$F227&amp;"USD/ton"),'Fuel Model - Calculation'!$B$2:$B$3771,0)),MATCH(J$141,'Fuel Model - Calculation'!$B$2:$M$2,0)),0),0)</f>
        <v>0</v>
      </c>
      <c r="BO227" s="118">
        <f>IFERROR(IFERROR(INDEX('Fuel Model - Calculation'!$B$2:$M$3771,(MATCH(($E227&amp;"Results"&amp;$BL$140&amp;$F227&amp;"USD/ton"),'Fuel Model - Calculation'!$B$2:$B$3771,0)),MATCH(K$141,'Fuel Model - Calculation'!$B$2:$M$2,0)),0),0)</f>
        <v>0</v>
      </c>
      <c r="BP227" s="118">
        <f>IFERROR(IFERROR(INDEX('Fuel Model - Calculation'!$B$2:$M$3771,(MATCH(($E227&amp;"Results"&amp;$BL$140&amp;$F227&amp;"USD/ton"),'Fuel Model - Calculation'!$B$2:$B$3771,0)),MATCH(L$141,'Fuel Model - Calculation'!$B$2:$M$2,0)),0),0)</f>
        <v>0</v>
      </c>
      <c r="BQ227" s="118">
        <f>IFERROR(IFERROR(INDEX('Fuel Model - Calculation'!$B$2:$M$3771,(MATCH(($E227&amp;"Results"&amp;$BL$140&amp;$F227&amp;"USD/ton"),'Fuel Model - Calculation'!$B$2:$B$3771,0)),MATCH(M$141,'Fuel Model - Calculation'!$B$2:$M$2,0)),0),0)</f>
        <v>0</v>
      </c>
      <c r="BR227" s="118">
        <f>IFERROR(IFERROR(INDEX('Fuel Model - Calculation'!$B$2:$M$3771,(MATCH(($E227&amp;"Results"&amp;$BL$140&amp;$F227&amp;"USD/ton"),'Fuel Model - Calculation'!$B$2:$B$3771,0)),MATCH(N$141,'Fuel Model - Calculation'!$B$2:$M$2,0)),0),0)</f>
        <v>0</v>
      </c>
      <c r="BT227" s="118">
        <f>IFERROR(INDEX('Fuel Model - Calculation'!$B$2:$M$3771,(MATCH(($E227&amp;"Results"&amp;$BT$140&amp;$F227&amp;"USD/ton"),'Fuel Model - Calculation'!$B$2:$B$3771,0)),MATCH(H$141,'Fuel Model - Calculation'!$B$2:$M$2,0)),0)</f>
        <v>0</v>
      </c>
      <c r="BU227" s="118">
        <f>IFERROR(INDEX('Fuel Model - Calculation'!$B$2:$M$3771,(MATCH(($E227&amp;"Results"&amp;$BT$140&amp;$F227&amp;"USD/ton"),'Fuel Model - Calculation'!$B$2:$B$3771,0)),MATCH(I$141,'Fuel Model - Calculation'!$B$2:$M$2,0)),0)</f>
        <v>0</v>
      </c>
      <c r="BV227" s="118">
        <f>IFERROR(INDEX('Fuel Model - Calculation'!$B$2:$M$3771,(MATCH(($E227&amp;"Results"&amp;$BT$140&amp;$F227&amp;"USD/ton"),'Fuel Model - Calculation'!$B$2:$B$3771,0)),MATCH(J$141,'Fuel Model - Calculation'!$B$2:$M$2,0)),0)</f>
        <v>0</v>
      </c>
      <c r="BW227" s="118">
        <f>IFERROR(INDEX('Fuel Model - Calculation'!$B$2:$M$3771,(MATCH(($E227&amp;"Results"&amp;$BT$140&amp;$F227&amp;"USD/ton"),'Fuel Model - Calculation'!$B$2:$B$3771,0)),MATCH(K$141,'Fuel Model - Calculation'!$B$2:$M$2,0)),0)</f>
        <v>0</v>
      </c>
      <c r="BX227" s="118">
        <f>IFERROR(INDEX('Fuel Model - Calculation'!$B$2:$M$3771,(MATCH(($E227&amp;"Results"&amp;$BT$140&amp;$F227&amp;"USD/ton"),'Fuel Model - Calculation'!$B$2:$B$3771,0)),MATCH(L$141,'Fuel Model - Calculation'!$B$2:$M$2,0)),0)</f>
        <v>0</v>
      </c>
      <c r="BY227" s="118">
        <f>IFERROR(INDEX('Fuel Model - Calculation'!$B$2:$M$3771,(MATCH(($E227&amp;"Results"&amp;$BT$140&amp;$F227&amp;"USD/ton"),'Fuel Model - Calculation'!$B$2:$B$3771,0)),MATCH(M$141,'Fuel Model - Calculation'!$B$2:$M$2,0)),0)</f>
        <v>0</v>
      </c>
      <c r="BZ227" s="118">
        <f>IFERROR(INDEX('Fuel Model - Calculation'!$B$2:$M$3771,(MATCH(($E227&amp;"Results"&amp;$BT$140&amp;$F227&amp;"USD/ton"),'Fuel Model - Calculation'!$B$2:$B$3771,0)),MATCH(N$141,'Fuel Model - Calculation'!$B$2:$M$2,0)),0)</f>
        <v>0</v>
      </c>
    </row>
    <row r="228" spans="1:78" x14ac:dyDescent="0.2">
      <c r="A228" s="452"/>
      <c r="B228" s="453" t="str">
        <f>_xlfn.TEXTJOIN(keydelim,TRUE,F228,IF(E228="Africa","Africa&amp;other",E228),"Fuel cost",SUBSTITUTE($G228," ",""))</f>
        <v>LPG - Asia - Fuel cost - USD/ton</v>
      </c>
      <c r="D228" s="459" t="str">
        <f t="shared" si="201"/>
        <v>AsiaLPG</v>
      </c>
      <c r="E228" t="s">
        <v>198</v>
      </c>
      <c r="F228" s="460" t="str">
        <f t="shared" si="202"/>
        <v>LPG</v>
      </c>
      <c r="G228" t="str">
        <f>G216</f>
        <v>USD/ ton</v>
      </c>
      <c r="H228" s="118">
        <f>INDEX('Fuel Model - Calculation'!$B$2:$M$3771,(MATCH(($E228&amp;"ResultsCost of "&amp;$F228&amp;"USD/ton"),'Fuel Model - Calculation'!$B$2:$B$3771,0)),MATCH(H$141,'Fuel Model - Calculation'!$B$2:$M$2,0))</f>
        <v>760.15317737821692</v>
      </c>
      <c r="I228" s="118">
        <f>INDEX('Fuel Model - Calculation'!$B$2:$M$3771,(MATCH(($E228&amp;"ResultsCost of "&amp;$F228&amp;"USD/ton"),'Fuel Model - Calculation'!$B$2:$B$3771,0)),MATCH(I$141,'Fuel Model - Calculation'!$B$2:$M$2,0))</f>
        <v>545.32727942350346</v>
      </c>
      <c r="J228" s="118">
        <f>INDEX('Fuel Model - Calculation'!$B$2:$M$3771,(MATCH(($E228&amp;"ResultsCost of "&amp;$F228&amp;"USD/ton"),'Fuel Model - Calculation'!$B$2:$B$3771,0)),MATCH(J$141,'Fuel Model - Calculation'!$B$2:$M$2,0))</f>
        <v>475.92198931505754</v>
      </c>
      <c r="K228" s="118">
        <f>INDEX('Fuel Model - Calculation'!$B$2:$M$3771,(MATCH(($E228&amp;"ResultsCost of "&amp;$F228&amp;"USD/ton"),'Fuel Model - Calculation'!$B$2:$B$3771,0)),MATCH(K$141,'Fuel Model - Calculation'!$B$2:$M$2,0))</f>
        <v>475.92198931505754</v>
      </c>
      <c r="L228" s="118">
        <f>INDEX('Fuel Model - Calculation'!$B$2:$M$3771,(MATCH(($E228&amp;"ResultsCost of "&amp;$F228&amp;"USD/ton"),'Fuel Model - Calculation'!$B$2:$B$3771,0)),MATCH(L$141,'Fuel Model - Calculation'!$B$2:$M$2,0))</f>
        <v>475.92198931505754</v>
      </c>
      <c r="M228" s="118">
        <f>INDEX('Fuel Model - Calculation'!$B$2:$M$3771,(MATCH(($E228&amp;"ResultsCost of "&amp;$F228&amp;"USD/ton"),'Fuel Model - Calculation'!$B$2:$B$3771,0)),MATCH(M$141,'Fuel Model - Calculation'!$B$2:$M$2,0))</f>
        <v>475.92198931505754</v>
      </c>
      <c r="N228" s="118">
        <f>INDEX('Fuel Model - Calculation'!$B$2:$M$3771,(MATCH(($E228&amp;"ResultsCost of "&amp;$F228&amp;"USD/ton"),'Fuel Model - Calculation'!$B$2:$B$3771,0)),MATCH(N$141,'Fuel Model - Calculation'!$B$2:$M$2,0))</f>
        <v>475.92198931505754</v>
      </c>
      <c r="O228"/>
      <c r="P228" s="118">
        <f>IFERROR(INDEX('Fuel Model - Calculation'!G$2:G$3771,(MATCH(($E228&amp;"ResultsTotal RNE "&amp;$F228&amp;"USD/ton"),'Fuel Model - Calculation'!$B$2:$B$3771,0))),0)</f>
        <v>0</v>
      </c>
      <c r="Q228" s="118">
        <f>IFERROR(INDEX('Fuel Model - Calculation'!H$2:H$3771,(MATCH(($E228&amp;"ResultsTotal RNE "&amp;$F228&amp;"USD/ton"),'Fuel Model - Calculation'!$B$2:$B$3771,0))),0)</f>
        <v>0</v>
      </c>
      <c r="R228" s="118">
        <f>IFERROR(INDEX('Fuel Model - Calculation'!I$2:I$3771,(MATCH(($E228&amp;"ResultsTotal RNE "&amp;$F228&amp;"USD/ton"),'Fuel Model - Calculation'!$B$2:$B$3771,0))),0)</f>
        <v>0</v>
      </c>
      <c r="S228" s="118">
        <f>IFERROR(INDEX('Fuel Model - Calculation'!J$2:J$3771,(MATCH(($E228&amp;"ResultsTotal RNE "&amp;$F228&amp;"USD/ton"),'Fuel Model - Calculation'!$B$2:$B$3771,0))),0)</f>
        <v>0</v>
      </c>
      <c r="T228" s="118">
        <f>IFERROR(INDEX('Fuel Model - Calculation'!K$2:K$3771,(MATCH(($E228&amp;"ResultsTotal RNE "&amp;$F228&amp;"USD/ton"),'Fuel Model - Calculation'!$B$2:$B$3771,0))),0)</f>
        <v>0</v>
      </c>
      <c r="U228" s="118">
        <f>IFERROR(INDEX('Fuel Model - Calculation'!L$2:L$3771,(MATCH(($E228&amp;"ResultsTotal RNE "&amp;$F228&amp;"USD/ton"),'Fuel Model - Calculation'!$B$2:$B$3771,0))),0)</f>
        <v>0</v>
      </c>
      <c r="V228" s="118">
        <f>IFERROR(INDEX('Fuel Model - Calculation'!M$2:M$3771,(MATCH(($E228&amp;"ResultsTotal RNE "&amp;$F228&amp;"USD/ton"),'Fuel Model - Calculation'!$B$2:$B$3771,0))),0)</f>
        <v>0</v>
      </c>
      <c r="W228"/>
      <c r="X228" s="2">
        <f>INDEX('Fuel Model - Calculation'!$E$2:$M$3771,(MATCH(("WTT Emission - "&amp;$F228),'Fuel Model - Calculation'!$E$2:$E$3771,0)),MATCH(X$141,'Fuel Model - Calculation'!$E$2:$M$2,0))</f>
        <v>0.81420000000000003</v>
      </c>
      <c r="Y228" s="2">
        <f>INDEX('Fuel Model - Calculation'!$E$2:$M$3771,(MATCH(("WTT Emission - "&amp;$F228),'Fuel Model - Calculation'!$E$2:$E$3771,0)),MATCH(Y$141,'Fuel Model - Calculation'!$E$2:$M$2,0))</f>
        <v>0.81420000000000003</v>
      </c>
      <c r="Z228" s="2">
        <f>INDEX('Fuel Model - Calculation'!$E$2:$M$3771,(MATCH(("WTT Emission - "&amp;$F228),'Fuel Model - Calculation'!$E$2:$E$3771,0)),MATCH(Z$141,'Fuel Model - Calculation'!$E$2:$M$2,0))</f>
        <v>0.81420000000000003</v>
      </c>
      <c r="AA228" s="2">
        <f>INDEX('Fuel Model - Calculation'!$E$2:$M$3771,(MATCH(("WTT Emission - "&amp;$F228),'Fuel Model - Calculation'!$E$2:$E$3771,0)),MATCH(AA$141,'Fuel Model - Calculation'!$E$2:$M$2,0))</f>
        <v>0.81420000000000003</v>
      </c>
      <c r="AB228" s="2">
        <f>INDEX('Fuel Model - Calculation'!$E$2:$M$3771,(MATCH(("WTT Emission - "&amp;$F228),'Fuel Model - Calculation'!$E$2:$E$3771,0)),MATCH(AB$141,'Fuel Model - Calculation'!$E$2:$M$2,0))</f>
        <v>0.81420000000000003</v>
      </c>
      <c r="AC228" s="2">
        <f>INDEX('Fuel Model - Calculation'!$E$2:$M$3771,(MATCH(("WTT Emission - "&amp;$F228),'Fuel Model - Calculation'!$E$2:$E$3771,0)),MATCH(AC$141,'Fuel Model - Calculation'!$E$2:$M$2,0))</f>
        <v>0.81420000000000003</v>
      </c>
      <c r="AD228" s="2">
        <f>INDEX('Fuel Model - Calculation'!$E$2:$M$3771,(MATCH(("WTT Emission - "&amp;$F228),'Fuel Model - Calculation'!$E$2:$E$3771,0)),MATCH(AD$141,'Fuel Model - Calculation'!$E$2:$M$2,0))</f>
        <v>0.81420000000000003</v>
      </c>
      <c r="AE228" s="2"/>
      <c r="AF228" s="2">
        <f>'Fuel Model -  Input'!H$281</f>
        <v>3.036</v>
      </c>
      <c r="AG228" s="2">
        <f>'Fuel Model -  Input'!I$281</f>
        <v>3.036</v>
      </c>
      <c r="AH228" s="2">
        <f>'Fuel Model -  Input'!J$281</f>
        <v>3.036</v>
      </c>
      <c r="AI228" s="2">
        <f>'Fuel Model -  Input'!K$281</f>
        <v>3.036</v>
      </c>
      <c r="AJ228" s="2">
        <f>'Fuel Model -  Input'!L$281</f>
        <v>3.036</v>
      </c>
      <c r="AK228" s="2">
        <f>'Fuel Model -  Input'!M$281</f>
        <v>3.036</v>
      </c>
      <c r="AL228" s="2">
        <f>'Fuel Model -  Input'!N$281</f>
        <v>3.036</v>
      </c>
      <c r="AM228"/>
      <c r="AN228" s="24">
        <f t="shared" si="200"/>
        <v>3.8502000000000001</v>
      </c>
      <c r="AO228" s="24">
        <f t="shared" si="200"/>
        <v>3.8502000000000001</v>
      </c>
      <c r="AP228" s="24">
        <f t="shared" si="200"/>
        <v>3.8502000000000001</v>
      </c>
      <c r="AQ228" s="24">
        <f t="shared" si="200"/>
        <v>3.8502000000000001</v>
      </c>
      <c r="AR228" s="24">
        <f t="shared" si="200"/>
        <v>3.8502000000000001</v>
      </c>
      <c r="AS228" s="24">
        <f t="shared" si="200"/>
        <v>3.8502000000000001</v>
      </c>
      <c r="AT228" s="24">
        <f t="shared" si="200"/>
        <v>3.8502000000000001</v>
      </c>
      <c r="AU228"/>
      <c r="AV228" s="118">
        <f>IFERROR(INDEX('Fuel Model - Calculation'!$B$2:$M$3771,(MATCH(($E228&amp;"Results"&amp;$AV$140&amp;$F228&amp;"USD/ton"),'Fuel Model - Calculation'!$B$2:$B$3771,0)),MATCH(H$141,'Fuel Model - Calculation'!$B$2:$M$2,0)),0)</f>
        <v>0</v>
      </c>
      <c r="AW228" s="118">
        <f>IFERROR(INDEX('Fuel Model - Calculation'!$B$2:$M$3771,(MATCH(($E228&amp;"Results"&amp;$AV$140&amp;$F228&amp;"USD/ton"),'Fuel Model - Calculation'!$B$2:$B$3771,0)),MATCH(I$141,'Fuel Model - Calculation'!$B$2:$M$2,0)),0)</f>
        <v>0</v>
      </c>
      <c r="AX228" s="118">
        <f>IFERROR(INDEX('Fuel Model - Calculation'!$B$2:$M$3771,(MATCH(($E228&amp;"Results"&amp;$AV$140&amp;$F228&amp;"USD/ton"),'Fuel Model - Calculation'!$B$2:$B$3771,0)),MATCH(J$141,'Fuel Model - Calculation'!$B$2:$M$2,0)),0)</f>
        <v>0</v>
      </c>
      <c r="AY228" s="118">
        <f>IFERROR(INDEX('Fuel Model - Calculation'!$B$2:$M$3771,(MATCH(($E228&amp;"Results"&amp;$AV$140&amp;$F228&amp;"USD/ton"),'Fuel Model - Calculation'!$B$2:$B$3771,0)),MATCH(K$141,'Fuel Model - Calculation'!$B$2:$M$2,0)),0)</f>
        <v>0</v>
      </c>
      <c r="AZ228" s="118">
        <f>IFERROR(INDEX('Fuel Model - Calculation'!$B$2:$M$3771,(MATCH(($E228&amp;"Results"&amp;$AV$140&amp;$F228&amp;"USD/ton"),'Fuel Model - Calculation'!$B$2:$B$3771,0)),MATCH(L$141,'Fuel Model - Calculation'!$B$2:$M$2,0)),0)</f>
        <v>0</v>
      </c>
      <c r="BA228" s="118">
        <f>IFERROR(INDEX('Fuel Model - Calculation'!$B$2:$M$3771,(MATCH(($E228&amp;"Results"&amp;$AV$140&amp;$F228&amp;"USD/ton"),'Fuel Model - Calculation'!$B$2:$B$3771,0)),MATCH(M$141,'Fuel Model - Calculation'!$B$2:$M$2,0)),0)</f>
        <v>0</v>
      </c>
      <c r="BB228" s="118">
        <f>IFERROR(INDEX('Fuel Model - Calculation'!$B$2:$M$3771,(MATCH(($E228&amp;"Results"&amp;$AV$140&amp;$F228&amp;"USD/ton"),'Fuel Model - Calculation'!$B$2:$B$3771,0)),MATCH(N$141,'Fuel Model - Calculation'!$B$2:$M$2,0)),0)</f>
        <v>0</v>
      </c>
      <c r="BC228"/>
      <c r="BD228" s="118">
        <f>IFERROR(INDEX('Fuel Model - Calculation'!$B$2:$M$3771,(MATCH(($E228&amp;"Results"&amp;$BD$140&amp;$F228&amp;"USD/ton"),'Fuel Model - Calculation'!$B$2:$B$3771,0)),MATCH(P$141,'Fuel Model - Calculation'!$B$2:$M$2,0)),0)</f>
        <v>0</v>
      </c>
      <c r="BE228" s="118">
        <f>IFERROR(INDEX('Fuel Model - Calculation'!$B$2:$M$3771,(MATCH(($E228&amp;"Results"&amp;$BD$140&amp;$F228&amp;"USD/ton"),'Fuel Model - Calculation'!$B$2:$B$3771,0)),MATCH(Q$141,'Fuel Model - Calculation'!$B$2:$M$2,0)),0)</f>
        <v>0</v>
      </c>
      <c r="BF228" s="118">
        <f>IFERROR(INDEX('Fuel Model - Calculation'!$B$2:$M$3771,(MATCH(($E228&amp;"Results"&amp;$BD$140&amp;$F228&amp;"USD/ton"),'Fuel Model - Calculation'!$B$2:$B$3771,0)),MATCH(R$141,'Fuel Model - Calculation'!$B$2:$M$2,0)),0)</f>
        <v>0</v>
      </c>
      <c r="BG228" s="118">
        <f>IFERROR(INDEX('Fuel Model - Calculation'!$B$2:$M$3771,(MATCH(($E228&amp;"Results"&amp;$BD$140&amp;$F228&amp;"USD/ton"),'Fuel Model - Calculation'!$B$2:$B$3771,0)),MATCH(S$141,'Fuel Model - Calculation'!$B$2:$M$2,0)),0)</f>
        <v>0</v>
      </c>
      <c r="BH228" s="118">
        <f>IFERROR(INDEX('Fuel Model - Calculation'!$B$2:$M$3771,(MATCH(($E228&amp;"Results"&amp;$BD$140&amp;$F228&amp;"USD/ton"),'Fuel Model - Calculation'!$B$2:$B$3771,0)),MATCH(T$141,'Fuel Model - Calculation'!$B$2:$M$2,0)),0)</f>
        <v>0</v>
      </c>
      <c r="BI228" s="118">
        <f>IFERROR(INDEX('Fuel Model - Calculation'!$B$2:$M$3771,(MATCH(($E228&amp;"Results"&amp;$BD$140&amp;$F228&amp;"USD/ton"),'Fuel Model - Calculation'!$B$2:$B$3771,0)),MATCH(U$141,'Fuel Model - Calculation'!$B$2:$M$2,0)),0)</f>
        <v>0</v>
      </c>
      <c r="BJ228" s="118">
        <f>IFERROR(INDEX('Fuel Model - Calculation'!$B$2:$M$3771,(MATCH(($E228&amp;"Results"&amp;$BD$140&amp;$F228&amp;"USD/ton"),'Fuel Model - Calculation'!$B$2:$B$3771,0)),MATCH(V$141,'Fuel Model - Calculation'!$B$2:$M$2,0)),0)</f>
        <v>0</v>
      </c>
      <c r="BL228" s="118">
        <f>IFERROR(IFERROR(INDEX('Fuel Model - Calculation'!$B$2:$M$3771,(MATCH(($E228&amp;"Results"&amp;$BL$140&amp;$F228&amp;"USD/ton"),'Fuel Model - Calculation'!$B$2:$B$3771,0)),MATCH(H$141,'Fuel Model - Calculation'!$B$2:$M$2,0)),0),0)</f>
        <v>0</v>
      </c>
      <c r="BM228" s="118">
        <f>IFERROR(IFERROR(INDEX('Fuel Model - Calculation'!$B$2:$M$3771,(MATCH(($E228&amp;"Results"&amp;$BL$140&amp;$F228&amp;"USD/ton"),'Fuel Model - Calculation'!$B$2:$B$3771,0)),MATCH(I$141,'Fuel Model - Calculation'!$B$2:$M$2,0)),0),0)</f>
        <v>0</v>
      </c>
      <c r="BN228" s="118">
        <f>IFERROR(IFERROR(INDEX('Fuel Model - Calculation'!$B$2:$M$3771,(MATCH(($E228&amp;"Results"&amp;$BL$140&amp;$F228&amp;"USD/ton"),'Fuel Model - Calculation'!$B$2:$B$3771,0)),MATCH(J$141,'Fuel Model - Calculation'!$B$2:$M$2,0)),0),0)</f>
        <v>0</v>
      </c>
      <c r="BO228" s="118">
        <f>IFERROR(IFERROR(INDEX('Fuel Model - Calculation'!$B$2:$M$3771,(MATCH(($E228&amp;"Results"&amp;$BL$140&amp;$F228&amp;"USD/ton"),'Fuel Model - Calculation'!$B$2:$B$3771,0)),MATCH(K$141,'Fuel Model - Calculation'!$B$2:$M$2,0)),0),0)</f>
        <v>0</v>
      </c>
      <c r="BP228" s="118">
        <f>IFERROR(IFERROR(INDEX('Fuel Model - Calculation'!$B$2:$M$3771,(MATCH(($E228&amp;"Results"&amp;$BL$140&amp;$F228&amp;"USD/ton"),'Fuel Model - Calculation'!$B$2:$B$3771,0)),MATCH(L$141,'Fuel Model - Calculation'!$B$2:$M$2,0)),0),0)</f>
        <v>0</v>
      </c>
      <c r="BQ228" s="118">
        <f>IFERROR(IFERROR(INDEX('Fuel Model - Calculation'!$B$2:$M$3771,(MATCH(($E228&amp;"Results"&amp;$BL$140&amp;$F228&amp;"USD/ton"),'Fuel Model - Calculation'!$B$2:$B$3771,0)),MATCH(M$141,'Fuel Model - Calculation'!$B$2:$M$2,0)),0),0)</f>
        <v>0</v>
      </c>
      <c r="BR228" s="118">
        <f>IFERROR(IFERROR(INDEX('Fuel Model - Calculation'!$B$2:$M$3771,(MATCH(($E228&amp;"Results"&amp;$BL$140&amp;$F228&amp;"USD/ton"),'Fuel Model - Calculation'!$B$2:$B$3771,0)),MATCH(N$141,'Fuel Model - Calculation'!$B$2:$M$2,0)),0),0)</f>
        <v>0</v>
      </c>
      <c r="BT228" s="118">
        <f>IFERROR(INDEX('Fuel Model - Calculation'!$B$2:$M$3771,(MATCH(($E228&amp;"Results"&amp;$BT$140&amp;$F228&amp;"USD/ton"),'Fuel Model - Calculation'!$B$2:$B$3771,0)),MATCH(H$141,'Fuel Model - Calculation'!$B$2:$M$2,0)),0)</f>
        <v>0</v>
      </c>
      <c r="BU228" s="118">
        <f>IFERROR(INDEX('Fuel Model - Calculation'!$B$2:$M$3771,(MATCH(($E228&amp;"Results"&amp;$BT$140&amp;$F228&amp;"USD/ton"),'Fuel Model - Calculation'!$B$2:$B$3771,0)),MATCH(I$141,'Fuel Model - Calculation'!$B$2:$M$2,0)),0)</f>
        <v>0</v>
      </c>
      <c r="BV228" s="118">
        <f>IFERROR(INDEX('Fuel Model - Calculation'!$B$2:$M$3771,(MATCH(($E228&amp;"Results"&amp;$BT$140&amp;$F228&amp;"USD/ton"),'Fuel Model - Calculation'!$B$2:$B$3771,0)),MATCH(J$141,'Fuel Model - Calculation'!$B$2:$M$2,0)),0)</f>
        <v>0</v>
      </c>
      <c r="BW228" s="118">
        <f>IFERROR(INDEX('Fuel Model - Calculation'!$B$2:$M$3771,(MATCH(($E228&amp;"Results"&amp;$BT$140&amp;$F228&amp;"USD/ton"),'Fuel Model - Calculation'!$B$2:$B$3771,0)),MATCH(K$141,'Fuel Model - Calculation'!$B$2:$M$2,0)),0)</f>
        <v>0</v>
      </c>
      <c r="BX228" s="118">
        <f>IFERROR(INDEX('Fuel Model - Calculation'!$B$2:$M$3771,(MATCH(($E228&amp;"Results"&amp;$BT$140&amp;$F228&amp;"USD/ton"),'Fuel Model - Calculation'!$B$2:$B$3771,0)),MATCH(L$141,'Fuel Model - Calculation'!$B$2:$M$2,0)),0)</f>
        <v>0</v>
      </c>
      <c r="BY228" s="118">
        <f>IFERROR(INDEX('Fuel Model - Calculation'!$B$2:$M$3771,(MATCH(($E228&amp;"Results"&amp;$BT$140&amp;$F228&amp;"USD/ton"),'Fuel Model - Calculation'!$B$2:$B$3771,0)),MATCH(M$141,'Fuel Model - Calculation'!$B$2:$M$2,0)),0)</f>
        <v>0</v>
      </c>
      <c r="BZ228" s="118">
        <f>IFERROR(INDEX('Fuel Model - Calculation'!$B$2:$M$3771,(MATCH(($E228&amp;"Results"&amp;$BT$140&amp;$F228&amp;"USD/ton"),'Fuel Model - Calculation'!$B$2:$B$3771,0)),MATCH(N$141,'Fuel Model - Calculation'!$B$2:$M$2,0)),0)</f>
        <v>0</v>
      </c>
    </row>
    <row r="229" spans="1:78" x14ac:dyDescent="0.2">
      <c r="A229" s="452"/>
      <c r="B229" s="453" t="str">
        <f>_xlfn.TEXTJOIN(keydelim,TRUE,F229,IF(E229="Africa","Africa&amp;other",E229),"Fuel cost",SUBSTITUTE($G229," ",""))</f>
        <v>LPG - Americas - Fuel cost - USD/ton</v>
      </c>
      <c r="D229" s="459" t="str">
        <f t="shared" si="201"/>
        <v>AmericasLPG</v>
      </c>
      <c r="E229" t="s">
        <v>199</v>
      </c>
      <c r="F229" s="460" t="str">
        <f t="shared" si="202"/>
        <v>LPG</v>
      </c>
      <c r="G229" t="str">
        <f>G217</f>
        <v>USD/ ton</v>
      </c>
      <c r="H229" s="118">
        <f>INDEX('Fuel Model - Calculation'!$B$2:$M$3771,(MATCH(($E229&amp;"ResultsCost of "&amp;$F229&amp;"USD/ton"),'Fuel Model - Calculation'!$B$2:$B$3771,0)),MATCH(H$141,'Fuel Model - Calculation'!$B$2:$M$2,0))</f>
        <v>760.15317737821692</v>
      </c>
      <c r="I229" s="118">
        <f>INDEX('Fuel Model - Calculation'!$B$2:$M$3771,(MATCH(($E229&amp;"ResultsCost of "&amp;$F229&amp;"USD/ton"),'Fuel Model - Calculation'!$B$2:$B$3771,0)),MATCH(I$141,'Fuel Model - Calculation'!$B$2:$M$2,0))</f>
        <v>545.32727942350346</v>
      </c>
      <c r="J229" s="118">
        <f>INDEX('Fuel Model - Calculation'!$B$2:$M$3771,(MATCH(($E229&amp;"ResultsCost of "&amp;$F229&amp;"USD/ton"),'Fuel Model - Calculation'!$B$2:$B$3771,0)),MATCH(J$141,'Fuel Model - Calculation'!$B$2:$M$2,0))</f>
        <v>475.92198931505754</v>
      </c>
      <c r="K229" s="118">
        <f>INDEX('Fuel Model - Calculation'!$B$2:$M$3771,(MATCH(($E229&amp;"ResultsCost of "&amp;$F229&amp;"USD/ton"),'Fuel Model - Calculation'!$B$2:$B$3771,0)),MATCH(K$141,'Fuel Model - Calculation'!$B$2:$M$2,0))</f>
        <v>475.92198931505754</v>
      </c>
      <c r="L229" s="118">
        <f>INDEX('Fuel Model - Calculation'!$B$2:$M$3771,(MATCH(($E229&amp;"ResultsCost of "&amp;$F229&amp;"USD/ton"),'Fuel Model - Calculation'!$B$2:$B$3771,0)),MATCH(L$141,'Fuel Model - Calculation'!$B$2:$M$2,0))</f>
        <v>475.92198931505754</v>
      </c>
      <c r="M229" s="118">
        <f>INDEX('Fuel Model - Calculation'!$B$2:$M$3771,(MATCH(($E229&amp;"ResultsCost of "&amp;$F229&amp;"USD/ton"),'Fuel Model - Calculation'!$B$2:$B$3771,0)),MATCH(M$141,'Fuel Model - Calculation'!$B$2:$M$2,0))</f>
        <v>475.92198931505754</v>
      </c>
      <c r="N229" s="118">
        <f>INDEX('Fuel Model - Calculation'!$B$2:$M$3771,(MATCH(($E229&amp;"ResultsCost of "&amp;$F229&amp;"USD/ton"),'Fuel Model - Calculation'!$B$2:$B$3771,0)),MATCH(N$141,'Fuel Model - Calculation'!$B$2:$M$2,0))</f>
        <v>475.92198931505754</v>
      </c>
      <c r="O229"/>
      <c r="P229" s="118">
        <f>IFERROR(INDEX('Fuel Model - Calculation'!G$2:G$3771,(MATCH(($E229&amp;"ResultsTotal RNE "&amp;$F229&amp;"USD/ton"),'Fuel Model - Calculation'!$B$2:$B$3771,0))),0)</f>
        <v>0</v>
      </c>
      <c r="Q229" s="118">
        <f>IFERROR(INDEX('Fuel Model - Calculation'!H$2:H$3771,(MATCH(($E229&amp;"ResultsTotal RNE "&amp;$F229&amp;"USD/ton"),'Fuel Model - Calculation'!$B$2:$B$3771,0))),0)</f>
        <v>0</v>
      </c>
      <c r="R229" s="118">
        <f>IFERROR(INDEX('Fuel Model - Calculation'!I$2:I$3771,(MATCH(($E229&amp;"ResultsTotal RNE "&amp;$F229&amp;"USD/ton"),'Fuel Model - Calculation'!$B$2:$B$3771,0))),0)</f>
        <v>0</v>
      </c>
      <c r="S229" s="118">
        <f>IFERROR(INDEX('Fuel Model - Calculation'!J$2:J$3771,(MATCH(($E229&amp;"ResultsTotal RNE "&amp;$F229&amp;"USD/ton"),'Fuel Model - Calculation'!$B$2:$B$3771,0))),0)</f>
        <v>0</v>
      </c>
      <c r="T229" s="118">
        <f>IFERROR(INDEX('Fuel Model - Calculation'!K$2:K$3771,(MATCH(($E229&amp;"ResultsTotal RNE "&amp;$F229&amp;"USD/ton"),'Fuel Model - Calculation'!$B$2:$B$3771,0))),0)</f>
        <v>0</v>
      </c>
      <c r="U229" s="118">
        <f>IFERROR(INDEX('Fuel Model - Calculation'!L$2:L$3771,(MATCH(($E229&amp;"ResultsTotal RNE "&amp;$F229&amp;"USD/ton"),'Fuel Model - Calculation'!$B$2:$B$3771,0))),0)</f>
        <v>0</v>
      </c>
      <c r="V229" s="118">
        <f>IFERROR(INDEX('Fuel Model - Calculation'!M$2:M$3771,(MATCH(($E229&amp;"ResultsTotal RNE "&amp;$F229&amp;"USD/ton"),'Fuel Model - Calculation'!$B$2:$B$3771,0))),0)</f>
        <v>0</v>
      </c>
      <c r="W229"/>
      <c r="X229" s="2">
        <f>INDEX('Fuel Model - Calculation'!$E$2:$M$3771,(MATCH(("WTT Emission - "&amp;$F229),'Fuel Model - Calculation'!$E$2:$E$3771,0)),MATCH(X$141,'Fuel Model - Calculation'!$E$2:$M$2,0))</f>
        <v>0.81420000000000003</v>
      </c>
      <c r="Y229" s="2">
        <f>INDEX('Fuel Model - Calculation'!$E$2:$M$3771,(MATCH(("WTT Emission - "&amp;$F229),'Fuel Model - Calculation'!$E$2:$E$3771,0)),MATCH(Y$141,'Fuel Model - Calculation'!$E$2:$M$2,0))</f>
        <v>0.81420000000000003</v>
      </c>
      <c r="Z229" s="2">
        <f>INDEX('Fuel Model - Calculation'!$E$2:$M$3771,(MATCH(("WTT Emission - "&amp;$F229),'Fuel Model - Calculation'!$E$2:$E$3771,0)),MATCH(Z$141,'Fuel Model - Calculation'!$E$2:$M$2,0))</f>
        <v>0.81420000000000003</v>
      </c>
      <c r="AA229" s="2">
        <f>INDEX('Fuel Model - Calculation'!$E$2:$M$3771,(MATCH(("WTT Emission - "&amp;$F229),'Fuel Model - Calculation'!$E$2:$E$3771,0)),MATCH(AA$141,'Fuel Model - Calculation'!$E$2:$M$2,0))</f>
        <v>0.81420000000000003</v>
      </c>
      <c r="AB229" s="2">
        <f>INDEX('Fuel Model - Calculation'!$E$2:$M$3771,(MATCH(("WTT Emission - "&amp;$F229),'Fuel Model - Calculation'!$E$2:$E$3771,0)),MATCH(AB$141,'Fuel Model - Calculation'!$E$2:$M$2,0))</f>
        <v>0.81420000000000003</v>
      </c>
      <c r="AC229" s="2">
        <f>INDEX('Fuel Model - Calculation'!$E$2:$M$3771,(MATCH(("WTT Emission - "&amp;$F229),'Fuel Model - Calculation'!$E$2:$E$3771,0)),MATCH(AC$141,'Fuel Model - Calculation'!$E$2:$M$2,0))</f>
        <v>0.81420000000000003</v>
      </c>
      <c r="AD229" s="2">
        <f>INDEX('Fuel Model - Calculation'!$E$2:$M$3771,(MATCH(("WTT Emission - "&amp;$F229),'Fuel Model - Calculation'!$E$2:$E$3771,0)),MATCH(AD$141,'Fuel Model - Calculation'!$E$2:$M$2,0))</f>
        <v>0.81420000000000003</v>
      </c>
      <c r="AE229" s="2"/>
      <c r="AF229" s="2">
        <f>'Fuel Model -  Input'!H$281</f>
        <v>3.036</v>
      </c>
      <c r="AG229" s="2">
        <f>'Fuel Model -  Input'!I$281</f>
        <v>3.036</v>
      </c>
      <c r="AH229" s="2">
        <f>'Fuel Model -  Input'!J$281</f>
        <v>3.036</v>
      </c>
      <c r="AI229" s="2">
        <f>'Fuel Model -  Input'!K$281</f>
        <v>3.036</v>
      </c>
      <c r="AJ229" s="2">
        <f>'Fuel Model -  Input'!L$281</f>
        <v>3.036</v>
      </c>
      <c r="AK229" s="2">
        <f>'Fuel Model -  Input'!M$281</f>
        <v>3.036</v>
      </c>
      <c r="AL229" s="2">
        <f>'Fuel Model -  Input'!N$281</f>
        <v>3.036</v>
      </c>
      <c r="AM229"/>
      <c r="AN229" s="24">
        <f t="shared" si="200"/>
        <v>3.8502000000000001</v>
      </c>
      <c r="AO229" s="24">
        <f t="shared" si="200"/>
        <v>3.8502000000000001</v>
      </c>
      <c r="AP229" s="24">
        <f t="shared" si="200"/>
        <v>3.8502000000000001</v>
      </c>
      <c r="AQ229" s="24">
        <f t="shared" si="200"/>
        <v>3.8502000000000001</v>
      </c>
      <c r="AR229" s="24">
        <f t="shared" si="200"/>
        <v>3.8502000000000001</v>
      </c>
      <c r="AS229" s="24">
        <f t="shared" si="200"/>
        <v>3.8502000000000001</v>
      </c>
      <c r="AT229" s="24">
        <f t="shared" si="200"/>
        <v>3.8502000000000001</v>
      </c>
      <c r="AU229"/>
      <c r="AV229" s="118">
        <f>IFERROR(INDEX('Fuel Model - Calculation'!$B$2:$M$3771,(MATCH(($E229&amp;"Results"&amp;$AV$140&amp;$F229&amp;"USD/ton"),'Fuel Model - Calculation'!$B$2:$B$3771,0)),MATCH(H$141,'Fuel Model - Calculation'!$B$2:$M$2,0)),0)</f>
        <v>0</v>
      </c>
      <c r="AW229" s="118">
        <f>IFERROR(INDEX('Fuel Model - Calculation'!$B$2:$M$3771,(MATCH(($E229&amp;"Results"&amp;$AV$140&amp;$F229&amp;"USD/ton"),'Fuel Model - Calculation'!$B$2:$B$3771,0)),MATCH(I$141,'Fuel Model - Calculation'!$B$2:$M$2,0)),0)</f>
        <v>0</v>
      </c>
      <c r="AX229" s="118">
        <f>IFERROR(INDEX('Fuel Model - Calculation'!$B$2:$M$3771,(MATCH(($E229&amp;"Results"&amp;$AV$140&amp;$F229&amp;"USD/ton"),'Fuel Model - Calculation'!$B$2:$B$3771,0)),MATCH(J$141,'Fuel Model - Calculation'!$B$2:$M$2,0)),0)</f>
        <v>0</v>
      </c>
      <c r="AY229" s="118">
        <f>IFERROR(INDEX('Fuel Model - Calculation'!$B$2:$M$3771,(MATCH(($E229&amp;"Results"&amp;$AV$140&amp;$F229&amp;"USD/ton"),'Fuel Model - Calculation'!$B$2:$B$3771,0)),MATCH(K$141,'Fuel Model - Calculation'!$B$2:$M$2,0)),0)</f>
        <v>0</v>
      </c>
      <c r="AZ229" s="118">
        <f>IFERROR(INDEX('Fuel Model - Calculation'!$B$2:$M$3771,(MATCH(($E229&amp;"Results"&amp;$AV$140&amp;$F229&amp;"USD/ton"),'Fuel Model - Calculation'!$B$2:$B$3771,0)),MATCH(L$141,'Fuel Model - Calculation'!$B$2:$M$2,0)),0)</f>
        <v>0</v>
      </c>
      <c r="BA229" s="118">
        <f>IFERROR(INDEX('Fuel Model - Calculation'!$B$2:$M$3771,(MATCH(($E229&amp;"Results"&amp;$AV$140&amp;$F229&amp;"USD/ton"),'Fuel Model - Calculation'!$B$2:$B$3771,0)),MATCH(M$141,'Fuel Model - Calculation'!$B$2:$M$2,0)),0)</f>
        <v>0</v>
      </c>
      <c r="BB229" s="118">
        <f>IFERROR(INDEX('Fuel Model - Calculation'!$B$2:$M$3771,(MATCH(($E229&amp;"Results"&amp;$AV$140&amp;$F229&amp;"USD/ton"),'Fuel Model - Calculation'!$B$2:$B$3771,0)),MATCH(N$141,'Fuel Model - Calculation'!$B$2:$M$2,0)),0)</f>
        <v>0</v>
      </c>
      <c r="BC229"/>
      <c r="BD229" s="118">
        <f>IFERROR(INDEX('Fuel Model - Calculation'!$B$2:$M$3771,(MATCH(($E229&amp;"Results"&amp;$BD$140&amp;$F229&amp;"USD/ton"),'Fuel Model - Calculation'!$B$2:$B$3771,0)),MATCH(P$141,'Fuel Model - Calculation'!$B$2:$M$2,0)),0)</f>
        <v>0</v>
      </c>
      <c r="BE229" s="118">
        <f>IFERROR(INDEX('Fuel Model - Calculation'!$B$2:$M$3771,(MATCH(($E229&amp;"Results"&amp;$BD$140&amp;$F229&amp;"USD/ton"),'Fuel Model - Calculation'!$B$2:$B$3771,0)),MATCH(Q$141,'Fuel Model - Calculation'!$B$2:$M$2,0)),0)</f>
        <v>0</v>
      </c>
      <c r="BF229" s="118">
        <f>IFERROR(INDEX('Fuel Model - Calculation'!$B$2:$M$3771,(MATCH(($E229&amp;"Results"&amp;$BD$140&amp;$F229&amp;"USD/ton"),'Fuel Model - Calculation'!$B$2:$B$3771,0)),MATCH(R$141,'Fuel Model - Calculation'!$B$2:$M$2,0)),0)</f>
        <v>0</v>
      </c>
      <c r="BG229" s="118">
        <f>IFERROR(INDEX('Fuel Model - Calculation'!$B$2:$M$3771,(MATCH(($E229&amp;"Results"&amp;$BD$140&amp;$F229&amp;"USD/ton"),'Fuel Model - Calculation'!$B$2:$B$3771,0)),MATCH(S$141,'Fuel Model - Calculation'!$B$2:$M$2,0)),0)</f>
        <v>0</v>
      </c>
      <c r="BH229" s="118">
        <f>IFERROR(INDEX('Fuel Model - Calculation'!$B$2:$M$3771,(MATCH(($E229&amp;"Results"&amp;$BD$140&amp;$F229&amp;"USD/ton"),'Fuel Model - Calculation'!$B$2:$B$3771,0)),MATCH(T$141,'Fuel Model - Calculation'!$B$2:$M$2,0)),0)</f>
        <v>0</v>
      </c>
      <c r="BI229" s="118">
        <f>IFERROR(INDEX('Fuel Model - Calculation'!$B$2:$M$3771,(MATCH(($E229&amp;"Results"&amp;$BD$140&amp;$F229&amp;"USD/ton"),'Fuel Model - Calculation'!$B$2:$B$3771,0)),MATCH(U$141,'Fuel Model - Calculation'!$B$2:$M$2,0)),0)</f>
        <v>0</v>
      </c>
      <c r="BJ229" s="118">
        <f>IFERROR(INDEX('Fuel Model - Calculation'!$B$2:$M$3771,(MATCH(($E229&amp;"Results"&amp;$BD$140&amp;$F229&amp;"USD/ton"),'Fuel Model - Calculation'!$B$2:$B$3771,0)),MATCH(V$141,'Fuel Model - Calculation'!$B$2:$M$2,0)),0)</f>
        <v>0</v>
      </c>
      <c r="BL229" s="118">
        <f>IFERROR(IFERROR(INDEX('Fuel Model - Calculation'!$B$2:$M$3771,(MATCH(($E229&amp;"Results"&amp;$BL$140&amp;$F229&amp;"USD/ton"),'Fuel Model - Calculation'!$B$2:$B$3771,0)),MATCH(H$141,'Fuel Model - Calculation'!$B$2:$M$2,0)),0),0)</f>
        <v>0</v>
      </c>
      <c r="BM229" s="118">
        <f>IFERROR(IFERROR(INDEX('Fuel Model - Calculation'!$B$2:$M$3771,(MATCH(($E229&amp;"Results"&amp;$BL$140&amp;$F229&amp;"USD/ton"),'Fuel Model - Calculation'!$B$2:$B$3771,0)),MATCH(I$141,'Fuel Model - Calculation'!$B$2:$M$2,0)),0),0)</f>
        <v>0</v>
      </c>
      <c r="BN229" s="118">
        <f>IFERROR(IFERROR(INDEX('Fuel Model - Calculation'!$B$2:$M$3771,(MATCH(($E229&amp;"Results"&amp;$BL$140&amp;$F229&amp;"USD/ton"),'Fuel Model - Calculation'!$B$2:$B$3771,0)),MATCH(J$141,'Fuel Model - Calculation'!$B$2:$M$2,0)),0),0)</f>
        <v>0</v>
      </c>
      <c r="BO229" s="118">
        <f>IFERROR(IFERROR(INDEX('Fuel Model - Calculation'!$B$2:$M$3771,(MATCH(($E229&amp;"Results"&amp;$BL$140&amp;$F229&amp;"USD/ton"),'Fuel Model - Calculation'!$B$2:$B$3771,0)),MATCH(K$141,'Fuel Model - Calculation'!$B$2:$M$2,0)),0),0)</f>
        <v>0</v>
      </c>
      <c r="BP229" s="118">
        <f>IFERROR(IFERROR(INDEX('Fuel Model - Calculation'!$B$2:$M$3771,(MATCH(($E229&amp;"Results"&amp;$BL$140&amp;$F229&amp;"USD/ton"),'Fuel Model - Calculation'!$B$2:$B$3771,0)),MATCH(L$141,'Fuel Model - Calculation'!$B$2:$M$2,0)),0),0)</f>
        <v>0</v>
      </c>
      <c r="BQ229" s="118">
        <f>IFERROR(IFERROR(INDEX('Fuel Model - Calculation'!$B$2:$M$3771,(MATCH(($E229&amp;"Results"&amp;$BL$140&amp;$F229&amp;"USD/ton"),'Fuel Model - Calculation'!$B$2:$B$3771,0)),MATCH(M$141,'Fuel Model - Calculation'!$B$2:$M$2,0)),0),0)</f>
        <v>0</v>
      </c>
      <c r="BR229" s="118">
        <f>IFERROR(IFERROR(INDEX('Fuel Model - Calculation'!$B$2:$M$3771,(MATCH(($E229&amp;"Results"&amp;$BL$140&amp;$F229&amp;"USD/ton"),'Fuel Model - Calculation'!$B$2:$B$3771,0)),MATCH(N$141,'Fuel Model - Calculation'!$B$2:$M$2,0)),0),0)</f>
        <v>0</v>
      </c>
      <c r="BT229" s="118">
        <f>IFERROR(INDEX('Fuel Model - Calculation'!$B$2:$M$3771,(MATCH(($E229&amp;"Results"&amp;$BT$140&amp;$F229&amp;"USD/ton"),'Fuel Model - Calculation'!$B$2:$B$3771,0)),MATCH(H$141,'Fuel Model - Calculation'!$B$2:$M$2,0)),0)</f>
        <v>0</v>
      </c>
      <c r="BU229" s="118">
        <f>IFERROR(INDEX('Fuel Model - Calculation'!$B$2:$M$3771,(MATCH(($E229&amp;"Results"&amp;$BT$140&amp;$F229&amp;"USD/ton"),'Fuel Model - Calculation'!$B$2:$B$3771,0)),MATCH(I$141,'Fuel Model - Calculation'!$B$2:$M$2,0)),0)</f>
        <v>0</v>
      </c>
      <c r="BV229" s="118">
        <f>IFERROR(INDEX('Fuel Model - Calculation'!$B$2:$M$3771,(MATCH(($E229&amp;"Results"&amp;$BT$140&amp;$F229&amp;"USD/ton"),'Fuel Model - Calculation'!$B$2:$B$3771,0)),MATCH(J$141,'Fuel Model - Calculation'!$B$2:$M$2,0)),0)</f>
        <v>0</v>
      </c>
      <c r="BW229" s="118">
        <f>IFERROR(INDEX('Fuel Model - Calculation'!$B$2:$M$3771,(MATCH(($E229&amp;"Results"&amp;$BT$140&amp;$F229&amp;"USD/ton"),'Fuel Model - Calculation'!$B$2:$B$3771,0)),MATCH(K$141,'Fuel Model - Calculation'!$B$2:$M$2,0)),0)</f>
        <v>0</v>
      </c>
      <c r="BX229" s="118">
        <f>IFERROR(INDEX('Fuel Model - Calculation'!$B$2:$M$3771,(MATCH(($E229&amp;"Results"&amp;$BT$140&amp;$F229&amp;"USD/ton"),'Fuel Model - Calculation'!$B$2:$B$3771,0)),MATCH(L$141,'Fuel Model - Calculation'!$B$2:$M$2,0)),0)</f>
        <v>0</v>
      </c>
      <c r="BY229" s="118">
        <f>IFERROR(INDEX('Fuel Model - Calculation'!$B$2:$M$3771,(MATCH(($E229&amp;"Results"&amp;$BT$140&amp;$F229&amp;"USD/ton"),'Fuel Model - Calculation'!$B$2:$B$3771,0)),MATCH(M$141,'Fuel Model - Calculation'!$B$2:$M$2,0)),0)</f>
        <v>0</v>
      </c>
      <c r="BZ229" s="118">
        <f>IFERROR(INDEX('Fuel Model - Calculation'!$B$2:$M$3771,(MATCH(($E229&amp;"Results"&amp;$BT$140&amp;$F229&amp;"USD/ton"),'Fuel Model - Calculation'!$B$2:$B$3771,0)),MATCH(N$141,'Fuel Model - Calculation'!$B$2:$M$2,0)),0)</f>
        <v>0</v>
      </c>
    </row>
    <row r="230" spans="1:78" x14ac:dyDescent="0.2">
      <c r="A230" s="452"/>
      <c r="B230" s="453" t="str">
        <f>_xlfn.TEXTJOIN(keydelim,TRUE,F230,IF(E230="Africa","Africa&amp;other",E230),"Fuel cost",SUBSTITUTE($G230," ",""))</f>
        <v>LPG - Africa&amp;other - Fuel cost - USD/ton</v>
      </c>
      <c r="D230" s="459" t="str">
        <f t="shared" si="201"/>
        <v>AfricaLPG</v>
      </c>
      <c r="E230" t="s">
        <v>200</v>
      </c>
      <c r="F230" s="460" t="str">
        <f t="shared" si="202"/>
        <v>LPG</v>
      </c>
      <c r="G230" t="str">
        <f>G218</f>
        <v>USD/ ton</v>
      </c>
      <c r="H230" s="118">
        <f>INDEX('Fuel Model - Calculation'!$B$2:$M$3771,(MATCH(($E230&amp;"ResultsCost of "&amp;$F230&amp;"USD/ton"),'Fuel Model - Calculation'!$B$2:$B$3771,0)),MATCH(H$141,'Fuel Model - Calculation'!$B$2:$M$2,0))</f>
        <v>760.15317737821692</v>
      </c>
      <c r="I230" s="118">
        <f>INDEX('Fuel Model - Calculation'!$B$2:$M$3771,(MATCH(($E230&amp;"ResultsCost of "&amp;$F230&amp;"USD/ton"),'Fuel Model - Calculation'!$B$2:$B$3771,0)),MATCH(I$141,'Fuel Model - Calculation'!$B$2:$M$2,0))</f>
        <v>545.32727942350346</v>
      </c>
      <c r="J230" s="118">
        <f>INDEX('Fuel Model - Calculation'!$B$2:$M$3771,(MATCH(($E230&amp;"ResultsCost of "&amp;$F230&amp;"USD/ton"),'Fuel Model - Calculation'!$B$2:$B$3771,0)),MATCH(J$141,'Fuel Model - Calculation'!$B$2:$M$2,0))</f>
        <v>475.92198931505754</v>
      </c>
      <c r="K230" s="118">
        <f>INDEX('Fuel Model - Calculation'!$B$2:$M$3771,(MATCH(($E230&amp;"ResultsCost of "&amp;$F230&amp;"USD/ton"),'Fuel Model - Calculation'!$B$2:$B$3771,0)),MATCH(K$141,'Fuel Model - Calculation'!$B$2:$M$2,0))</f>
        <v>475.92198931505754</v>
      </c>
      <c r="L230" s="118">
        <f>INDEX('Fuel Model - Calculation'!$B$2:$M$3771,(MATCH(($E230&amp;"ResultsCost of "&amp;$F230&amp;"USD/ton"),'Fuel Model - Calculation'!$B$2:$B$3771,0)),MATCH(L$141,'Fuel Model - Calculation'!$B$2:$M$2,0))</f>
        <v>475.92198931505754</v>
      </c>
      <c r="M230" s="118">
        <f>INDEX('Fuel Model - Calculation'!$B$2:$M$3771,(MATCH(($E230&amp;"ResultsCost of "&amp;$F230&amp;"USD/ton"),'Fuel Model - Calculation'!$B$2:$B$3771,0)),MATCH(M$141,'Fuel Model - Calculation'!$B$2:$M$2,0))</f>
        <v>475.92198931505754</v>
      </c>
      <c r="N230" s="118">
        <f>INDEX('Fuel Model - Calculation'!$B$2:$M$3771,(MATCH(($E230&amp;"ResultsCost of "&amp;$F230&amp;"USD/ton"),'Fuel Model - Calculation'!$B$2:$B$3771,0)),MATCH(N$141,'Fuel Model - Calculation'!$B$2:$M$2,0))</f>
        <v>475.92198931505754</v>
      </c>
      <c r="O230"/>
      <c r="P230" s="118">
        <f>IFERROR(INDEX('Fuel Model - Calculation'!G$2:G$3771,(MATCH(($E230&amp;"ResultsTotal RNE "&amp;$F230&amp;"USD/ton"),'Fuel Model - Calculation'!$B$2:$B$3771,0))),0)</f>
        <v>0</v>
      </c>
      <c r="Q230" s="118">
        <f>IFERROR(INDEX('Fuel Model - Calculation'!H$2:H$3771,(MATCH(($E230&amp;"ResultsTotal RNE "&amp;$F230&amp;"USD/ton"),'Fuel Model - Calculation'!$B$2:$B$3771,0))),0)</f>
        <v>0</v>
      </c>
      <c r="R230" s="118">
        <f>IFERROR(INDEX('Fuel Model - Calculation'!I$2:I$3771,(MATCH(($E230&amp;"ResultsTotal RNE "&amp;$F230&amp;"USD/ton"),'Fuel Model - Calculation'!$B$2:$B$3771,0))),0)</f>
        <v>0</v>
      </c>
      <c r="S230" s="118">
        <f>IFERROR(INDEX('Fuel Model - Calculation'!J$2:J$3771,(MATCH(($E230&amp;"ResultsTotal RNE "&amp;$F230&amp;"USD/ton"),'Fuel Model - Calculation'!$B$2:$B$3771,0))),0)</f>
        <v>0</v>
      </c>
      <c r="T230" s="118">
        <f>IFERROR(INDEX('Fuel Model - Calculation'!K$2:K$3771,(MATCH(($E230&amp;"ResultsTotal RNE "&amp;$F230&amp;"USD/ton"),'Fuel Model - Calculation'!$B$2:$B$3771,0))),0)</f>
        <v>0</v>
      </c>
      <c r="U230" s="118">
        <f>IFERROR(INDEX('Fuel Model - Calculation'!L$2:L$3771,(MATCH(($E230&amp;"ResultsTotal RNE "&amp;$F230&amp;"USD/ton"),'Fuel Model - Calculation'!$B$2:$B$3771,0))),0)</f>
        <v>0</v>
      </c>
      <c r="V230" s="118">
        <f>IFERROR(INDEX('Fuel Model - Calculation'!M$2:M$3771,(MATCH(($E230&amp;"ResultsTotal RNE "&amp;$F230&amp;"USD/ton"),'Fuel Model - Calculation'!$B$2:$B$3771,0))),0)</f>
        <v>0</v>
      </c>
      <c r="W230"/>
      <c r="X230" s="2">
        <f>INDEX('Fuel Model - Calculation'!$E$2:$M$3771,(MATCH(("WTT Emission - "&amp;$F230),'Fuel Model - Calculation'!$E$2:$E$3771,0)),MATCH(X$141,'Fuel Model - Calculation'!$E$2:$M$2,0))</f>
        <v>0.81420000000000003</v>
      </c>
      <c r="Y230" s="2">
        <f>INDEX('Fuel Model - Calculation'!$E$2:$M$3771,(MATCH(("WTT Emission - "&amp;$F230),'Fuel Model - Calculation'!$E$2:$E$3771,0)),MATCH(Y$141,'Fuel Model - Calculation'!$E$2:$M$2,0))</f>
        <v>0.81420000000000003</v>
      </c>
      <c r="Z230" s="2">
        <f>INDEX('Fuel Model - Calculation'!$E$2:$M$3771,(MATCH(("WTT Emission - "&amp;$F230),'Fuel Model - Calculation'!$E$2:$E$3771,0)),MATCH(Z$141,'Fuel Model - Calculation'!$E$2:$M$2,0))</f>
        <v>0.81420000000000003</v>
      </c>
      <c r="AA230" s="2">
        <f>INDEX('Fuel Model - Calculation'!$E$2:$M$3771,(MATCH(("WTT Emission - "&amp;$F230),'Fuel Model - Calculation'!$E$2:$E$3771,0)),MATCH(AA$141,'Fuel Model - Calculation'!$E$2:$M$2,0))</f>
        <v>0.81420000000000003</v>
      </c>
      <c r="AB230" s="2">
        <f>INDEX('Fuel Model - Calculation'!$E$2:$M$3771,(MATCH(("WTT Emission - "&amp;$F230),'Fuel Model - Calculation'!$E$2:$E$3771,0)),MATCH(AB$141,'Fuel Model - Calculation'!$E$2:$M$2,0))</f>
        <v>0.81420000000000003</v>
      </c>
      <c r="AC230" s="2">
        <f>INDEX('Fuel Model - Calculation'!$E$2:$M$3771,(MATCH(("WTT Emission - "&amp;$F230),'Fuel Model - Calculation'!$E$2:$E$3771,0)),MATCH(AC$141,'Fuel Model - Calculation'!$E$2:$M$2,0))</f>
        <v>0.81420000000000003</v>
      </c>
      <c r="AD230" s="2">
        <f>INDEX('Fuel Model - Calculation'!$E$2:$M$3771,(MATCH(("WTT Emission - "&amp;$F230),'Fuel Model - Calculation'!$E$2:$E$3771,0)),MATCH(AD$141,'Fuel Model - Calculation'!$E$2:$M$2,0))</f>
        <v>0.81420000000000003</v>
      </c>
      <c r="AE230" s="2"/>
      <c r="AF230" s="2">
        <f>'Fuel Model -  Input'!H$281</f>
        <v>3.036</v>
      </c>
      <c r="AG230" s="2">
        <f>'Fuel Model -  Input'!I$281</f>
        <v>3.036</v>
      </c>
      <c r="AH230" s="2">
        <f>'Fuel Model -  Input'!J$281</f>
        <v>3.036</v>
      </c>
      <c r="AI230" s="2">
        <f>'Fuel Model -  Input'!K$281</f>
        <v>3.036</v>
      </c>
      <c r="AJ230" s="2">
        <f>'Fuel Model -  Input'!L$281</f>
        <v>3.036</v>
      </c>
      <c r="AK230" s="2">
        <f>'Fuel Model -  Input'!M$281</f>
        <v>3.036</v>
      </c>
      <c r="AL230" s="2">
        <f>'Fuel Model -  Input'!N$281</f>
        <v>3.036</v>
      </c>
      <c r="AM230"/>
      <c r="AN230" s="24">
        <f t="shared" si="200"/>
        <v>3.8502000000000001</v>
      </c>
      <c r="AO230" s="24">
        <f t="shared" si="200"/>
        <v>3.8502000000000001</v>
      </c>
      <c r="AP230" s="24">
        <f t="shared" si="200"/>
        <v>3.8502000000000001</v>
      </c>
      <c r="AQ230" s="24">
        <f t="shared" si="200"/>
        <v>3.8502000000000001</v>
      </c>
      <c r="AR230" s="24">
        <f t="shared" si="200"/>
        <v>3.8502000000000001</v>
      </c>
      <c r="AS230" s="24">
        <f t="shared" si="200"/>
        <v>3.8502000000000001</v>
      </c>
      <c r="AT230" s="24">
        <f t="shared" si="200"/>
        <v>3.8502000000000001</v>
      </c>
      <c r="AU230"/>
      <c r="AV230" s="118">
        <f>IFERROR(INDEX('Fuel Model - Calculation'!$B$2:$M$3771,(MATCH(($E230&amp;"Results"&amp;$AV$140&amp;$F230&amp;"USD/ton"),'Fuel Model - Calculation'!$B$2:$B$3771,0)),MATCH(H$141,'Fuel Model - Calculation'!$B$2:$M$2,0)),0)</f>
        <v>0</v>
      </c>
      <c r="AW230" s="118">
        <f>IFERROR(INDEX('Fuel Model - Calculation'!$B$2:$M$3771,(MATCH(($E230&amp;"Results"&amp;$AV$140&amp;$F230&amp;"USD/ton"),'Fuel Model - Calculation'!$B$2:$B$3771,0)),MATCH(I$141,'Fuel Model - Calculation'!$B$2:$M$2,0)),0)</f>
        <v>0</v>
      </c>
      <c r="AX230" s="118">
        <f>IFERROR(INDEX('Fuel Model - Calculation'!$B$2:$M$3771,(MATCH(($E230&amp;"Results"&amp;$AV$140&amp;$F230&amp;"USD/ton"),'Fuel Model - Calculation'!$B$2:$B$3771,0)),MATCH(J$141,'Fuel Model - Calculation'!$B$2:$M$2,0)),0)</f>
        <v>0</v>
      </c>
      <c r="AY230" s="118">
        <f>IFERROR(INDEX('Fuel Model - Calculation'!$B$2:$M$3771,(MATCH(($E230&amp;"Results"&amp;$AV$140&amp;$F230&amp;"USD/ton"),'Fuel Model - Calculation'!$B$2:$B$3771,0)),MATCH(K$141,'Fuel Model - Calculation'!$B$2:$M$2,0)),0)</f>
        <v>0</v>
      </c>
      <c r="AZ230" s="118">
        <f>IFERROR(INDEX('Fuel Model - Calculation'!$B$2:$M$3771,(MATCH(($E230&amp;"Results"&amp;$AV$140&amp;$F230&amp;"USD/ton"),'Fuel Model - Calculation'!$B$2:$B$3771,0)),MATCH(L$141,'Fuel Model - Calculation'!$B$2:$M$2,0)),0)</f>
        <v>0</v>
      </c>
      <c r="BA230" s="118">
        <f>IFERROR(INDEX('Fuel Model - Calculation'!$B$2:$M$3771,(MATCH(($E230&amp;"Results"&amp;$AV$140&amp;$F230&amp;"USD/ton"),'Fuel Model - Calculation'!$B$2:$B$3771,0)),MATCH(M$141,'Fuel Model - Calculation'!$B$2:$M$2,0)),0)</f>
        <v>0</v>
      </c>
      <c r="BB230" s="118">
        <f>IFERROR(INDEX('Fuel Model - Calculation'!$B$2:$M$3771,(MATCH(($E230&amp;"Results"&amp;$AV$140&amp;$F230&amp;"USD/ton"),'Fuel Model - Calculation'!$B$2:$B$3771,0)),MATCH(N$141,'Fuel Model - Calculation'!$B$2:$M$2,0)),0)</f>
        <v>0</v>
      </c>
      <c r="BC230"/>
      <c r="BD230" s="118">
        <f>IFERROR(INDEX('Fuel Model - Calculation'!$B$2:$M$3771,(MATCH(($E230&amp;"Results"&amp;$BD$140&amp;$F230&amp;"USD/ton"),'Fuel Model - Calculation'!$B$2:$B$3771,0)),MATCH(P$141,'Fuel Model - Calculation'!$B$2:$M$2,0)),0)</f>
        <v>0</v>
      </c>
      <c r="BE230" s="118">
        <f>IFERROR(INDEX('Fuel Model - Calculation'!$B$2:$M$3771,(MATCH(($E230&amp;"Results"&amp;$BD$140&amp;$F230&amp;"USD/ton"),'Fuel Model - Calculation'!$B$2:$B$3771,0)),MATCH(Q$141,'Fuel Model - Calculation'!$B$2:$M$2,0)),0)</f>
        <v>0</v>
      </c>
      <c r="BF230" s="118">
        <f>IFERROR(INDEX('Fuel Model - Calculation'!$B$2:$M$3771,(MATCH(($E230&amp;"Results"&amp;$BD$140&amp;$F230&amp;"USD/ton"),'Fuel Model - Calculation'!$B$2:$B$3771,0)),MATCH(R$141,'Fuel Model - Calculation'!$B$2:$M$2,0)),0)</f>
        <v>0</v>
      </c>
      <c r="BG230" s="118">
        <f>IFERROR(INDEX('Fuel Model - Calculation'!$B$2:$M$3771,(MATCH(($E230&amp;"Results"&amp;$BD$140&amp;$F230&amp;"USD/ton"),'Fuel Model - Calculation'!$B$2:$B$3771,0)),MATCH(S$141,'Fuel Model - Calculation'!$B$2:$M$2,0)),0)</f>
        <v>0</v>
      </c>
      <c r="BH230" s="118">
        <f>IFERROR(INDEX('Fuel Model - Calculation'!$B$2:$M$3771,(MATCH(($E230&amp;"Results"&amp;$BD$140&amp;$F230&amp;"USD/ton"),'Fuel Model - Calculation'!$B$2:$B$3771,0)),MATCH(T$141,'Fuel Model - Calculation'!$B$2:$M$2,0)),0)</f>
        <v>0</v>
      </c>
      <c r="BI230" s="118">
        <f>IFERROR(INDEX('Fuel Model - Calculation'!$B$2:$M$3771,(MATCH(($E230&amp;"Results"&amp;$BD$140&amp;$F230&amp;"USD/ton"),'Fuel Model - Calculation'!$B$2:$B$3771,0)),MATCH(U$141,'Fuel Model - Calculation'!$B$2:$M$2,0)),0)</f>
        <v>0</v>
      </c>
      <c r="BJ230" s="118">
        <f>IFERROR(INDEX('Fuel Model - Calculation'!$B$2:$M$3771,(MATCH(($E230&amp;"Results"&amp;$BD$140&amp;$F230&amp;"USD/ton"),'Fuel Model - Calculation'!$B$2:$B$3771,0)),MATCH(V$141,'Fuel Model - Calculation'!$B$2:$M$2,0)),0)</f>
        <v>0</v>
      </c>
      <c r="BL230" s="118">
        <f>IFERROR(IFERROR(INDEX('Fuel Model - Calculation'!$B$2:$M$3771,(MATCH(($E230&amp;"Results"&amp;$BL$140&amp;$F230&amp;"USD/ton"),'Fuel Model - Calculation'!$B$2:$B$3771,0)),MATCH(H$141,'Fuel Model - Calculation'!$B$2:$M$2,0)),0),0)</f>
        <v>0</v>
      </c>
      <c r="BM230" s="118">
        <f>IFERROR(IFERROR(INDEX('Fuel Model - Calculation'!$B$2:$M$3771,(MATCH(($E230&amp;"Results"&amp;$BL$140&amp;$F230&amp;"USD/ton"),'Fuel Model - Calculation'!$B$2:$B$3771,0)),MATCH(I$141,'Fuel Model - Calculation'!$B$2:$M$2,0)),0),0)</f>
        <v>0</v>
      </c>
      <c r="BN230" s="118">
        <f>IFERROR(IFERROR(INDEX('Fuel Model - Calculation'!$B$2:$M$3771,(MATCH(($E230&amp;"Results"&amp;$BL$140&amp;$F230&amp;"USD/ton"),'Fuel Model - Calculation'!$B$2:$B$3771,0)),MATCH(J$141,'Fuel Model - Calculation'!$B$2:$M$2,0)),0),0)</f>
        <v>0</v>
      </c>
      <c r="BO230" s="118">
        <f>IFERROR(IFERROR(INDEX('Fuel Model - Calculation'!$B$2:$M$3771,(MATCH(($E230&amp;"Results"&amp;$BL$140&amp;$F230&amp;"USD/ton"),'Fuel Model - Calculation'!$B$2:$B$3771,0)),MATCH(K$141,'Fuel Model - Calculation'!$B$2:$M$2,0)),0),0)</f>
        <v>0</v>
      </c>
      <c r="BP230" s="118">
        <f>IFERROR(IFERROR(INDEX('Fuel Model - Calculation'!$B$2:$M$3771,(MATCH(($E230&amp;"Results"&amp;$BL$140&amp;$F230&amp;"USD/ton"),'Fuel Model - Calculation'!$B$2:$B$3771,0)),MATCH(L$141,'Fuel Model - Calculation'!$B$2:$M$2,0)),0),0)</f>
        <v>0</v>
      </c>
      <c r="BQ230" s="118">
        <f>IFERROR(IFERROR(INDEX('Fuel Model - Calculation'!$B$2:$M$3771,(MATCH(($E230&amp;"Results"&amp;$BL$140&amp;$F230&amp;"USD/ton"),'Fuel Model - Calculation'!$B$2:$B$3771,0)),MATCH(M$141,'Fuel Model - Calculation'!$B$2:$M$2,0)),0),0)</f>
        <v>0</v>
      </c>
      <c r="BR230" s="118">
        <f>IFERROR(IFERROR(INDEX('Fuel Model - Calculation'!$B$2:$M$3771,(MATCH(($E230&amp;"Results"&amp;$BL$140&amp;$F230&amp;"USD/ton"),'Fuel Model - Calculation'!$B$2:$B$3771,0)),MATCH(N$141,'Fuel Model - Calculation'!$B$2:$M$2,0)),0),0)</f>
        <v>0</v>
      </c>
      <c r="BT230" s="118">
        <f>IFERROR(INDEX('Fuel Model - Calculation'!$B$2:$M$3771,(MATCH(($E230&amp;"Results"&amp;$BT$140&amp;$F230&amp;"USD/ton"),'Fuel Model - Calculation'!$B$2:$B$3771,0)),MATCH(H$141,'Fuel Model - Calculation'!$B$2:$M$2,0)),0)</f>
        <v>0</v>
      </c>
      <c r="BU230" s="118">
        <f>IFERROR(INDEX('Fuel Model - Calculation'!$B$2:$M$3771,(MATCH(($E230&amp;"Results"&amp;$BT$140&amp;$F230&amp;"USD/ton"),'Fuel Model - Calculation'!$B$2:$B$3771,0)),MATCH(I$141,'Fuel Model - Calculation'!$B$2:$M$2,0)),0)</f>
        <v>0</v>
      </c>
      <c r="BV230" s="118">
        <f>IFERROR(INDEX('Fuel Model - Calculation'!$B$2:$M$3771,(MATCH(($E230&amp;"Results"&amp;$BT$140&amp;$F230&amp;"USD/ton"),'Fuel Model - Calculation'!$B$2:$B$3771,0)),MATCH(J$141,'Fuel Model - Calculation'!$B$2:$M$2,0)),0)</f>
        <v>0</v>
      </c>
      <c r="BW230" s="118">
        <f>IFERROR(INDEX('Fuel Model - Calculation'!$B$2:$M$3771,(MATCH(($E230&amp;"Results"&amp;$BT$140&amp;$F230&amp;"USD/ton"),'Fuel Model - Calculation'!$B$2:$B$3771,0)),MATCH(K$141,'Fuel Model - Calculation'!$B$2:$M$2,0)),0)</f>
        <v>0</v>
      </c>
      <c r="BX230" s="118">
        <f>IFERROR(INDEX('Fuel Model - Calculation'!$B$2:$M$3771,(MATCH(($E230&amp;"Results"&amp;$BT$140&amp;$F230&amp;"USD/ton"),'Fuel Model - Calculation'!$B$2:$B$3771,0)),MATCH(L$141,'Fuel Model - Calculation'!$B$2:$M$2,0)),0)</f>
        <v>0</v>
      </c>
      <c r="BY230" s="118">
        <f>IFERROR(INDEX('Fuel Model - Calculation'!$B$2:$M$3771,(MATCH(($E230&amp;"Results"&amp;$BT$140&amp;$F230&amp;"USD/ton"),'Fuel Model - Calculation'!$B$2:$B$3771,0)),MATCH(M$141,'Fuel Model - Calculation'!$B$2:$M$2,0)),0)</f>
        <v>0</v>
      </c>
      <c r="BZ230" s="118">
        <f>IFERROR(INDEX('Fuel Model - Calculation'!$B$2:$M$3771,(MATCH(($E230&amp;"Results"&amp;$BT$140&amp;$F230&amp;"USD/ton"),'Fuel Model - Calculation'!$B$2:$B$3771,0)),MATCH(N$141,'Fuel Model - Calculation'!$B$2:$M$2,0)),0)</f>
        <v>0</v>
      </c>
    </row>
    <row r="231" spans="1:78" x14ac:dyDescent="0.2">
      <c r="A231" s="452"/>
      <c r="B231" s="453"/>
      <c r="D231" s="459"/>
      <c r="E231"/>
      <c r="F231"/>
      <c r="G231"/>
      <c r="H231" s="118"/>
      <c r="I231"/>
      <c r="J231"/>
      <c r="K231"/>
      <c r="L231"/>
      <c r="M231"/>
      <c r="N231"/>
      <c r="O231"/>
      <c r="P231"/>
      <c r="Q231"/>
      <c r="R231"/>
      <c r="S231"/>
      <c r="T231"/>
      <c r="U231"/>
      <c r="V231"/>
      <c r="W231"/>
      <c r="X231"/>
      <c r="Y231"/>
      <c r="Z231"/>
      <c r="AA231"/>
      <c r="AB231"/>
      <c r="AC231"/>
      <c r="AD231"/>
      <c r="AE231"/>
      <c r="AF231" s="2"/>
      <c r="AG231" s="2"/>
      <c r="AH231" s="2"/>
      <c r="AI231" s="2"/>
      <c r="AJ231" s="2"/>
      <c r="AK231" s="2"/>
      <c r="AL231" s="2"/>
      <c r="AM231"/>
      <c r="AN231" s="24"/>
      <c r="AO231" s="24"/>
      <c r="AP231" s="24"/>
      <c r="AQ231" s="24"/>
      <c r="AR231" s="24"/>
      <c r="AS231" s="24"/>
      <c r="AT231" s="24"/>
      <c r="AU231"/>
      <c r="AV231" s="118"/>
      <c r="AW231" s="118"/>
      <c r="AX231" s="118"/>
      <c r="AY231" s="118"/>
      <c r="AZ231" s="118"/>
      <c r="BA231" s="118"/>
      <c r="BB231" s="118"/>
      <c r="BC231"/>
      <c r="BD231" s="118"/>
      <c r="BE231" s="118"/>
      <c r="BF231" s="118"/>
      <c r="BG231" s="118"/>
      <c r="BH231" s="118"/>
      <c r="BI231" s="118"/>
      <c r="BJ231" s="118"/>
      <c r="BL231" s="118"/>
      <c r="BM231" s="118"/>
      <c r="BN231" s="118"/>
      <c r="BO231" s="118"/>
      <c r="BP231" s="118"/>
      <c r="BQ231" s="118"/>
      <c r="BR231" s="118"/>
      <c r="BT231" s="118"/>
      <c r="BU231" s="118"/>
      <c r="BV231" s="118"/>
      <c r="BW231" s="118"/>
      <c r="BX231" s="118"/>
      <c r="BY231" s="118"/>
      <c r="BZ231" s="118"/>
    </row>
    <row r="232" spans="1:78" x14ac:dyDescent="0.2">
      <c r="A232" s="452"/>
      <c r="B232" s="453" t="str">
        <f>_xlfn.TEXTJOIN(keydelim,TRUE,F232,IF(E232="Africa","Africa&amp;other",E232),"Fuel cost",SUBSTITUTE($G232," ",""))</f>
        <v>Biomethane - Europe - Fuel cost - USD/ton</v>
      </c>
      <c r="D232" s="459" t="str">
        <f>E232&amp;F232</f>
        <v>EuropeBiomethane</v>
      </c>
      <c r="E232" t="s">
        <v>195</v>
      </c>
      <c r="F232" t="s">
        <v>118</v>
      </c>
      <c r="G232" t="s">
        <v>835</v>
      </c>
      <c r="H232" s="118">
        <f>INDEX('Fuel Model - Calculation'!$B$2:$M$3771,(MATCH(($E232&amp;"ResultsCost of "&amp;$F232&amp;"USD/ton"),'Fuel Model - Calculation'!$B$2:$B$3771,0)),MATCH(H$141,'Fuel Model - Calculation'!$B$2:$M$2,0))</f>
        <v>1254.5189240573652</v>
      </c>
      <c r="I232" s="118">
        <f>INDEX('Fuel Model - Calculation'!$B$2:$M$3771,(MATCH(($E232&amp;"ResultsCost of "&amp;$F232&amp;"USD/ton"),'Fuel Model - Calculation'!$B$2:$B$3771,0)),MATCH(I$141,'Fuel Model - Calculation'!$B$2:$M$2,0))</f>
        <v>1146.0170143731482</v>
      </c>
      <c r="J232" s="118">
        <f>INDEX('Fuel Model - Calculation'!$B$2:$M$3771,(MATCH(($E232&amp;"ResultsCost of "&amp;$F232&amp;"USD/ton"),'Fuel Model - Calculation'!$B$2:$B$3771,0)),MATCH(J$141,'Fuel Model - Calculation'!$B$2:$M$2,0))</f>
        <v>1066.7277132912959</v>
      </c>
      <c r="K232" s="118">
        <f>INDEX('Fuel Model - Calculation'!$B$2:$M$3771,(MATCH(($E232&amp;"ResultsCost of "&amp;$F232&amp;"USD/ton"),'Fuel Model - Calculation'!$B$2:$B$3771,0)),MATCH(K$141,'Fuel Model - Calculation'!$B$2:$M$2,0))</f>
        <v>998.90910731606436</v>
      </c>
      <c r="L232" s="118">
        <f>INDEX('Fuel Model - Calculation'!$B$2:$M$3771,(MATCH(($E232&amp;"ResultsCost of "&amp;$F232&amp;"USD/ton"),'Fuel Model - Calculation'!$B$2:$B$3771,0)),MATCH(L$141,'Fuel Model - Calculation'!$B$2:$M$2,0))</f>
        <v>932.75713261766077</v>
      </c>
      <c r="M232" s="118">
        <f>INDEX('Fuel Model - Calculation'!$B$2:$M$3771,(MATCH(($E232&amp;"ResultsCost of "&amp;$F232&amp;"USD/ton"),'Fuel Model - Calculation'!$B$2:$B$3771,0)),MATCH(M$141,'Fuel Model - Calculation'!$B$2:$M$2,0))</f>
        <v>866.38105287036149</v>
      </c>
      <c r="N232" s="118">
        <f>INDEX('Fuel Model - Calculation'!$B$2:$M$3771,(MATCH(($E232&amp;"ResultsCost of "&amp;$F232&amp;"USD/ton"),'Fuel Model - Calculation'!$B$2:$B$3771,0)),MATCH(N$141,'Fuel Model - Calculation'!$B$2:$M$2,0))</f>
        <v>800.71659673602551</v>
      </c>
      <c r="O232"/>
      <c r="P232" s="118">
        <f>IFERROR(INDEX('Fuel Model - Calculation'!G$2:G$3771,(MATCH(($E232&amp;"ResultsTotal RNE "&amp;$F232&amp;"USD/ton"),'Fuel Model - Calculation'!$B$2:$B$3771,0))),0)</f>
        <v>0</v>
      </c>
      <c r="Q232" s="118">
        <f>IFERROR(INDEX('Fuel Model - Calculation'!H$2:H$3771,(MATCH(($E232&amp;"ResultsTotal RNE "&amp;$F232&amp;"USD/ton"),'Fuel Model - Calculation'!$B$2:$B$3771,0))),0)</f>
        <v>0</v>
      </c>
      <c r="R232" s="118">
        <f>IFERROR(INDEX('Fuel Model - Calculation'!I$2:I$3771,(MATCH(($E232&amp;"ResultsTotal RNE "&amp;$F232&amp;"USD/ton"),'Fuel Model - Calculation'!$B$2:$B$3771,0))),0)</f>
        <v>0</v>
      </c>
      <c r="S232" s="118">
        <f>IFERROR(INDEX('Fuel Model - Calculation'!J$2:J$3771,(MATCH(($E232&amp;"ResultsTotal RNE "&amp;$F232&amp;"USD/ton"),'Fuel Model - Calculation'!$B$2:$B$3771,0))),0)</f>
        <v>0</v>
      </c>
      <c r="T232" s="118">
        <f>IFERROR(INDEX('Fuel Model - Calculation'!K$2:K$3771,(MATCH(($E232&amp;"ResultsTotal RNE "&amp;$F232&amp;"USD/ton"),'Fuel Model - Calculation'!$B$2:$B$3771,0))),0)</f>
        <v>0</v>
      </c>
      <c r="U232" s="118">
        <f>IFERROR(INDEX('Fuel Model - Calculation'!L$2:L$3771,(MATCH(($E232&amp;"ResultsTotal RNE "&amp;$F232&amp;"USD/ton"),'Fuel Model - Calculation'!$B$2:$B$3771,0))),0)</f>
        <v>0</v>
      </c>
      <c r="V232" s="118">
        <f>IFERROR(INDEX('Fuel Model - Calculation'!M$2:M$3771,(MATCH(($E232&amp;"ResultsTotal RNE "&amp;$F232&amp;"USD/ton"),'Fuel Model - Calculation'!$B$2:$B$3771,0))),0)</f>
        <v>0</v>
      </c>
      <c r="W232"/>
      <c r="X232" s="2">
        <f>INDEX('Fuel Model - Calculation'!$E$2:$M$3771,(MATCH(("WTT Emission - "&amp;$F232),'Fuel Model - Calculation'!$E$2:$E$3771,0)),MATCH(X$141,'Fuel Model - Calculation'!$E$2:$M$2,0))</f>
        <v>-1.8889051408968118</v>
      </c>
      <c r="Y232" s="2">
        <f>INDEX('Fuel Model - Calculation'!$E$2:$M$3771,(MATCH(("WTT Emission - "&amp;$F232),'Fuel Model - Calculation'!$E$2:$E$3771,0)),MATCH(Y$141,'Fuel Model - Calculation'!$E$2:$M$2,0))</f>
        <v>-2.0352282533551778</v>
      </c>
      <c r="Z232" s="2">
        <f>INDEX('Fuel Model - Calculation'!$E$2:$M$3771,(MATCH(("WTT Emission - "&amp;$F232),'Fuel Model - Calculation'!$E$2:$E$3771,0)),MATCH(Z$141,'Fuel Model - Calculation'!$E$2:$M$2,0))</f>
        <v>-2.1780980654458442</v>
      </c>
      <c r="AA232" s="2">
        <f>INDEX('Fuel Model - Calculation'!$E$2:$M$3771,(MATCH(("WTT Emission - "&amp;$F232),'Fuel Model - Calculation'!$E$2:$E$3771,0)),MATCH(AA$141,'Fuel Model - Calculation'!$E$2:$M$2,0))</f>
        <v>-2.3175145771688115</v>
      </c>
      <c r="AB232" s="2">
        <f>INDEX('Fuel Model - Calculation'!$E$2:$M$3771,(MATCH(("WTT Emission - "&amp;$F232),'Fuel Model - Calculation'!$E$2:$E$3771,0)),MATCH(AB$141,'Fuel Model - Calculation'!$E$2:$M$2,0))</f>
        <v>-2.4534777885240793</v>
      </c>
      <c r="AC232" s="2">
        <f>INDEX('Fuel Model - Calculation'!$E$2:$M$3771,(MATCH(("WTT Emission - "&amp;$F232),'Fuel Model - Calculation'!$E$2:$E$3771,0)),MATCH(AC$141,'Fuel Model - Calculation'!$E$2:$M$2,0))</f>
        <v>-2.5859876995116484</v>
      </c>
      <c r="AD232" s="2">
        <f>INDEX('Fuel Model - Calculation'!$E$2:$M$3771,(MATCH(("WTT Emission - "&amp;$F232),'Fuel Model - Calculation'!$E$2:$E$3771,0)),MATCH(AD$141,'Fuel Model - Calculation'!$E$2:$M$2,0))</f>
        <v>-2.7150443101315176</v>
      </c>
      <c r="AE232" s="2"/>
      <c r="AF232" s="2">
        <f>'Fuel Model -  Input'!H$269</f>
        <v>3.6492599999999999</v>
      </c>
      <c r="AG232" s="2">
        <f>'Fuel Model -  Input'!I$269</f>
        <v>3.6492599999999999</v>
      </c>
      <c r="AH232" s="2">
        <f>'Fuel Model -  Input'!J$269</f>
        <v>3.6492599999999999</v>
      </c>
      <c r="AI232" s="2">
        <f>'Fuel Model -  Input'!K$269</f>
        <v>3.6492599999999999</v>
      </c>
      <c r="AJ232" s="2">
        <f>'Fuel Model -  Input'!L$269</f>
        <v>3.6492599999999999</v>
      </c>
      <c r="AK232" s="2">
        <f>'Fuel Model -  Input'!M$269</f>
        <v>3.6492599999999999</v>
      </c>
      <c r="AL232" s="2">
        <f>'Fuel Model -  Input'!N$269</f>
        <v>3.6492599999999999</v>
      </c>
      <c r="AM232"/>
      <c r="AN232" s="24">
        <f t="shared" ref="AN232:AT236" si="203">X232+AF232</f>
        <v>1.7603548591031881</v>
      </c>
      <c r="AO232" s="24">
        <f t="shared" si="203"/>
        <v>1.6140317466448222</v>
      </c>
      <c r="AP232" s="24">
        <f t="shared" si="203"/>
        <v>1.4711619345541558</v>
      </c>
      <c r="AQ232" s="24">
        <f t="shared" si="203"/>
        <v>1.3317454228311885</v>
      </c>
      <c r="AR232" s="24">
        <f t="shared" si="203"/>
        <v>1.1957822114759207</v>
      </c>
      <c r="AS232" s="24">
        <f t="shared" si="203"/>
        <v>1.0632723004883515</v>
      </c>
      <c r="AT232" s="24">
        <f t="shared" si="203"/>
        <v>0.93421568986848236</v>
      </c>
      <c r="AU232"/>
      <c r="AV232" s="118">
        <f>IFERROR(INDEX('Fuel Model - Calculation'!$B$2:$M$3771,(MATCH(($E232&amp;"Results"&amp;$AV$140&amp;$F232&amp;"USD/ton"),'Fuel Model - Calculation'!$B$2:$B$3771,0)),MATCH(H$141,'Fuel Model - Calculation'!$B$2:$M$2,0)),0)</f>
        <v>572.92139234957222</v>
      </c>
      <c r="AW232" s="118">
        <f>IFERROR(INDEX('Fuel Model - Calculation'!$B$2:$M$3771,(MATCH(($E232&amp;"Results"&amp;$AV$140&amp;$F232&amp;"USD/ton"),'Fuel Model - Calculation'!$B$2:$B$3771,0)),MATCH(I$141,'Fuel Model - Calculation'!$B$2:$M$2,0)),0)</f>
        <v>535.20819791503743</v>
      </c>
      <c r="AX232" s="118">
        <f>IFERROR(INDEX('Fuel Model - Calculation'!$B$2:$M$3771,(MATCH(($E232&amp;"Results"&amp;$AV$140&amp;$F232&amp;"USD/ton"),'Fuel Model - Calculation'!$B$2:$B$3771,0)),MATCH(J$141,'Fuel Model - Calculation'!$B$2:$M$2,0)),0)</f>
        <v>497.49500348050253</v>
      </c>
      <c r="AY232" s="118">
        <f>IFERROR(INDEX('Fuel Model - Calculation'!$B$2:$M$3771,(MATCH(($E232&amp;"Results"&amp;$AV$140&amp;$F232&amp;"USD/ton"),'Fuel Model - Calculation'!$B$2:$B$3771,0)),MATCH(K$141,'Fuel Model - Calculation'!$B$2:$M$2,0)),0)</f>
        <v>459.78180904596769</v>
      </c>
      <c r="AZ232" s="118">
        <f>IFERROR(INDEX('Fuel Model - Calculation'!$B$2:$M$3771,(MATCH(($E232&amp;"Results"&amp;$AV$140&amp;$F232&amp;"USD/ton"),'Fuel Model - Calculation'!$B$2:$B$3771,0)),MATCH(L$141,'Fuel Model - Calculation'!$B$2:$M$2,0)),0)</f>
        <v>422.06861461143285</v>
      </c>
      <c r="BA232" s="118">
        <f>IFERROR(INDEX('Fuel Model - Calculation'!$B$2:$M$3771,(MATCH(($E232&amp;"Results"&amp;$AV$140&amp;$F232&amp;"USD/ton"),'Fuel Model - Calculation'!$B$2:$B$3771,0)),MATCH(M$141,'Fuel Model - Calculation'!$B$2:$M$2,0)),0)</f>
        <v>384.35542017689801</v>
      </c>
      <c r="BB232" s="118">
        <f>IFERROR(INDEX('Fuel Model - Calculation'!$B$2:$M$3771,(MATCH(($E232&amp;"Results"&amp;$AV$140&amp;$F232&amp;"USD/ton"),'Fuel Model - Calculation'!$B$2:$B$3771,0)),MATCH(N$141,'Fuel Model - Calculation'!$B$2:$M$2,0)),0)</f>
        <v>346.64222574236317</v>
      </c>
      <c r="BC232"/>
      <c r="BD232" s="118">
        <f>IFERROR(INDEX('Fuel Model - Calculation'!$B$2:$M$3771,(MATCH(($E232&amp;"Results"&amp;$BD$140&amp;$F232&amp;"USD/ton"),'Fuel Model - Calculation'!$B$2:$B$3771,0)),MATCH(P$141,'Fuel Model - Calculation'!$B$2:$M$2,0)),0)</f>
        <v>406.15764926676468</v>
      </c>
      <c r="BE232" s="118">
        <f>IFERROR(INDEX('Fuel Model - Calculation'!$B$2:$M$3771,(MATCH(($E232&amp;"Results"&amp;$BD$140&amp;$F232&amp;"USD/ton"),'Fuel Model - Calculation'!$B$2:$B$3771,0)),MATCH(Q$141,'Fuel Model - Calculation'!$B$2:$M$2,0)),0)</f>
        <v>376.76393469800701</v>
      </c>
      <c r="BF232" s="118">
        <f>IFERROR(INDEX('Fuel Model - Calculation'!$B$2:$M$3771,(MATCH(($E232&amp;"Results"&amp;$BD$140&amp;$F232&amp;"USD/ton"),'Fuel Model - Calculation'!$B$2:$B$3771,0)),MATCH(R$141,'Fuel Model - Calculation'!$B$2:$M$2,0)),0)</f>
        <v>349.58282873161426</v>
      </c>
      <c r="BG232" s="118">
        <f>IFERROR(INDEX('Fuel Model - Calculation'!$B$2:$M$3771,(MATCH(($E232&amp;"Results"&amp;$BD$140&amp;$F232&amp;"USD/ton"),'Fuel Model - Calculation'!$B$2:$B$3771,0)),MATCH(S$141,'Fuel Model - Calculation'!$B$2:$M$2,0)),0)</f>
        <v>328.24741787184234</v>
      </c>
      <c r="BH232" s="118">
        <f>IFERROR(INDEX('Fuel Model - Calculation'!$B$2:$M$3771,(MATCH(($E232&amp;"Results"&amp;$BD$140&amp;$F232&amp;"USD/ton"),'Fuel Model - Calculation'!$B$2:$B$3771,0)),MATCH(T$141,'Fuel Model - Calculation'!$B$2:$M$2,0)),0)</f>
        <v>308.57863828889822</v>
      </c>
      <c r="BI232" s="118">
        <f>IFERROR(INDEX('Fuel Model - Calculation'!$B$2:$M$3771,(MATCH(($E232&amp;"Results"&amp;$BD$140&amp;$F232&amp;"USD/ton"),'Fuel Model - Calculation'!$B$2:$B$3771,0)),MATCH(U$141,'Fuel Model - Calculation'!$B$2:$M$2,0)),0)</f>
        <v>288.68575365705851</v>
      </c>
      <c r="BJ232" s="118">
        <f>IFERROR(INDEX('Fuel Model - Calculation'!$B$2:$M$3771,(MATCH(($E232&amp;"Results"&amp;$BD$140&amp;$F232&amp;"USD/ton"),'Fuel Model - Calculation'!$B$2:$B$3771,0)),MATCH(V$141,'Fuel Model - Calculation'!$B$2:$M$2,0)),0)</f>
        <v>269.504492638182</v>
      </c>
      <c r="BL232" s="118">
        <f>IFERROR(IFERROR(INDEX('Fuel Model - Calculation'!$B$2:$M$3771,(MATCH(($E232&amp;"Results"&amp;$BL$140&amp;$F232&amp;"USD/ton"),'Fuel Model - Calculation'!$B$2:$B$3771,0)),MATCH(H$141,'Fuel Model - Calculation'!$B$2:$M$2,0)),0),0)</f>
        <v>0</v>
      </c>
      <c r="BM232" s="118">
        <f>IFERROR(IFERROR(INDEX('Fuel Model - Calculation'!$B$2:$M$3771,(MATCH(($E232&amp;"Results"&amp;$BL$140&amp;$F232&amp;"USD/ton"),'Fuel Model - Calculation'!$B$2:$B$3771,0)),MATCH(I$141,'Fuel Model - Calculation'!$B$2:$M$2,0)),0),0)</f>
        <v>0</v>
      </c>
      <c r="BN232" s="118">
        <f>IFERROR(IFERROR(INDEX('Fuel Model - Calculation'!$B$2:$M$3771,(MATCH(($E232&amp;"Results"&amp;$BL$140&amp;$F232&amp;"USD/ton"),'Fuel Model - Calculation'!$B$2:$B$3771,0)),MATCH(J$141,'Fuel Model - Calculation'!$B$2:$M$2,0)),0),0)</f>
        <v>0</v>
      </c>
      <c r="BO232" s="118">
        <f>IFERROR(IFERROR(INDEX('Fuel Model - Calculation'!$B$2:$M$3771,(MATCH(($E232&amp;"Results"&amp;$BL$140&amp;$F232&amp;"USD/ton"),'Fuel Model - Calculation'!$B$2:$B$3771,0)),MATCH(K$141,'Fuel Model - Calculation'!$B$2:$M$2,0)),0),0)</f>
        <v>0</v>
      </c>
      <c r="BP232" s="118">
        <f>IFERROR(IFERROR(INDEX('Fuel Model - Calculation'!$B$2:$M$3771,(MATCH(($E232&amp;"Results"&amp;$BL$140&amp;$F232&amp;"USD/ton"),'Fuel Model - Calculation'!$B$2:$B$3771,0)),MATCH(L$141,'Fuel Model - Calculation'!$B$2:$M$2,0)),0),0)</f>
        <v>0</v>
      </c>
      <c r="BQ232" s="118">
        <f>IFERROR(IFERROR(INDEX('Fuel Model - Calculation'!$B$2:$M$3771,(MATCH(($E232&amp;"Results"&amp;$BL$140&amp;$F232&amp;"USD/ton"),'Fuel Model - Calculation'!$B$2:$B$3771,0)),MATCH(M$141,'Fuel Model - Calculation'!$B$2:$M$2,0)),0),0)</f>
        <v>0</v>
      </c>
      <c r="BR232" s="118">
        <f>IFERROR(IFERROR(INDEX('Fuel Model - Calculation'!$B$2:$M$3771,(MATCH(($E232&amp;"Results"&amp;$BL$140&amp;$F232&amp;"USD/ton"),'Fuel Model - Calculation'!$B$2:$B$3771,0)),MATCH(N$141,'Fuel Model - Calculation'!$B$2:$M$2,0)),0),0)</f>
        <v>0</v>
      </c>
      <c r="BT232" s="118">
        <f>IFERROR(INDEX('Fuel Model - Calculation'!$B$2:$M$3771,(MATCH(($E232&amp;"Results"&amp;$BT$140&amp;$F232&amp;"USD/ton"),'Fuel Model - Calculation'!$B$2:$B$3771,0)),MATCH(H$141,'Fuel Model - Calculation'!$B$2:$M$2,0)),0)</f>
        <v>275.43988244102837</v>
      </c>
      <c r="BU232" s="118">
        <f>IFERROR(INDEX('Fuel Model - Calculation'!$B$2:$M$3771,(MATCH(($E232&amp;"Results"&amp;$BT$140&amp;$F232&amp;"USD/ton"),'Fuel Model - Calculation'!$B$2:$B$3771,0)),MATCH(I$141,'Fuel Model - Calculation'!$B$2:$M$2,0)),0)</f>
        <v>234.04488176010366</v>
      </c>
      <c r="BV232" s="118">
        <f>IFERROR(INDEX('Fuel Model - Calculation'!$B$2:$M$3771,(MATCH(($E232&amp;"Results"&amp;$BT$140&amp;$F232&amp;"USD/ton"),'Fuel Model - Calculation'!$B$2:$B$3771,0)),MATCH(J$141,'Fuel Model - Calculation'!$B$2:$M$2,0)),0)</f>
        <v>219.64988107917901</v>
      </c>
      <c r="BW232" s="118">
        <f>IFERROR(INDEX('Fuel Model - Calculation'!$B$2:$M$3771,(MATCH(($E232&amp;"Results"&amp;$BT$140&amp;$F232&amp;"USD/ton"),'Fuel Model - Calculation'!$B$2:$B$3771,0)),MATCH(K$141,'Fuel Model - Calculation'!$B$2:$M$2,0)),0)</f>
        <v>210.87988039825433</v>
      </c>
      <c r="BX232" s="118">
        <f>IFERROR(INDEX('Fuel Model - Calculation'!$B$2:$M$3771,(MATCH(($E232&amp;"Results"&amp;$BT$140&amp;$F232&amp;"USD/ton"),'Fuel Model - Calculation'!$B$2:$B$3771,0)),MATCH(L$141,'Fuel Model - Calculation'!$B$2:$M$2,0)),0)</f>
        <v>202.10987971732968</v>
      </c>
      <c r="BY232" s="118">
        <f>IFERROR(INDEX('Fuel Model - Calculation'!$B$2:$M$3771,(MATCH(($E232&amp;"Results"&amp;$BT$140&amp;$F232&amp;"USD/ton"),'Fuel Model - Calculation'!$B$2:$B$3771,0)),MATCH(M$141,'Fuel Model - Calculation'!$B$2:$M$2,0)),0)</f>
        <v>193.33987903640502</v>
      </c>
      <c r="BZ232" s="118">
        <f>IFERROR(INDEX('Fuel Model - Calculation'!$B$2:$M$3771,(MATCH(($E232&amp;"Results"&amp;$BT$140&amp;$F232&amp;"USD/ton"),'Fuel Model - Calculation'!$B$2:$B$3771,0)),MATCH(N$141,'Fuel Model - Calculation'!$B$2:$M$2,0)),0)</f>
        <v>184.56987835548034</v>
      </c>
    </row>
    <row r="233" spans="1:78" x14ac:dyDescent="0.2">
      <c r="A233" s="452"/>
      <c r="B233" s="453" t="str">
        <f>_xlfn.TEXTJOIN(keydelim,TRUE,F233,IF(E233="Africa","Africa&amp;other",E233),"Fuel cost",SUBSTITUTE($G233," ",""))</f>
        <v>Biomethane - Middle East - Fuel cost - USD/ton</v>
      </c>
      <c r="D233" s="459" t="str">
        <f t="shared" ref="D233:D236" si="204">E233&amp;F233</f>
        <v>Middle EastBiomethane</v>
      </c>
      <c r="E233" t="s">
        <v>197</v>
      </c>
      <c r="F233" s="460" t="str">
        <f t="shared" ref="F233:F236" si="205">F232</f>
        <v>Biomethane</v>
      </c>
      <c r="G233" t="s">
        <v>835</v>
      </c>
      <c r="H233" s="118">
        <f>INDEX('Fuel Model - Calculation'!$B$2:$M$3771,(MATCH(($E233&amp;"ResultsCost of "&amp;$F233&amp;"USD/ton"),'Fuel Model - Calculation'!$B$2:$B$3771,0)),MATCH(H$141,'Fuel Model - Calculation'!$B$2:$M$2,0))</f>
        <v>1228.9051013363401</v>
      </c>
      <c r="I233" s="118">
        <f>INDEX('Fuel Model - Calculation'!$B$2:$M$3771,(MATCH(($E233&amp;"ResultsCost of "&amp;$F233&amp;"USD/ton"),'Fuel Model - Calculation'!$B$2:$B$3771,0)),MATCH(I$141,'Fuel Model - Calculation'!$B$2:$M$2,0))</f>
        <v>1129.1045956917369</v>
      </c>
      <c r="J233" s="118">
        <f>INDEX('Fuel Model - Calculation'!$B$2:$M$3771,(MATCH(($E233&amp;"ResultsCost of "&amp;$F233&amp;"USD/ton"),'Fuel Model - Calculation'!$B$2:$B$3771,0)),MATCH(J$141,'Fuel Model - Calculation'!$B$2:$M$2,0))</f>
        <v>1051.1343315629933</v>
      </c>
      <c r="K233" s="118">
        <f>INDEX('Fuel Model - Calculation'!$B$2:$M$3771,(MATCH(($E233&amp;"ResultsCost of "&amp;$F233&amp;"USD/ton"),'Fuel Model - Calculation'!$B$2:$B$3771,0)),MATCH(K$141,'Fuel Model - Calculation'!$B$2:$M$2,0))</f>
        <v>984.50381437891167</v>
      </c>
      <c r="L233" s="118">
        <f>INDEX('Fuel Model - Calculation'!$B$2:$M$3771,(MATCH(($E233&amp;"ResultsCost of "&amp;$F233&amp;"USD/ton"),'Fuel Model - Calculation'!$B$2:$B$3771,0)),MATCH(L$141,'Fuel Model - Calculation'!$B$2:$M$2,0))</f>
        <v>920.1401923818579</v>
      </c>
      <c r="M233" s="118">
        <f>INDEX('Fuel Model - Calculation'!$B$2:$M$3771,(MATCH(($E233&amp;"ResultsCost of "&amp;$F233&amp;"USD/ton"),'Fuel Model - Calculation'!$B$2:$B$3771,0)),MATCH(M$141,'Fuel Model - Calculation'!$B$2:$M$2,0))</f>
        <v>854.99700376464489</v>
      </c>
      <c r="N233" s="118">
        <f>INDEX('Fuel Model - Calculation'!$B$2:$M$3771,(MATCH(($E233&amp;"ResultsCost of "&amp;$F233&amp;"USD/ton"),'Fuel Model - Calculation'!$B$2:$B$3771,0)),MATCH(N$141,'Fuel Model - Calculation'!$B$2:$M$2,0))</f>
        <v>791.47482596122586</v>
      </c>
      <c r="O233"/>
      <c r="P233" s="118">
        <f>IFERROR(INDEX('Fuel Model - Calculation'!G$2:G$3771,(MATCH(($E233&amp;"ResultsTotal RNE "&amp;$F233&amp;"USD/ton"),'Fuel Model - Calculation'!$B$2:$B$3771,0))),0)</f>
        <v>0</v>
      </c>
      <c r="Q233" s="118">
        <f>IFERROR(INDEX('Fuel Model - Calculation'!H$2:H$3771,(MATCH(($E233&amp;"ResultsTotal RNE "&amp;$F233&amp;"USD/ton"),'Fuel Model - Calculation'!$B$2:$B$3771,0))),0)</f>
        <v>0</v>
      </c>
      <c r="R233" s="118">
        <f>IFERROR(INDEX('Fuel Model - Calculation'!I$2:I$3771,(MATCH(($E233&amp;"ResultsTotal RNE "&amp;$F233&amp;"USD/ton"),'Fuel Model - Calculation'!$B$2:$B$3771,0))),0)</f>
        <v>0</v>
      </c>
      <c r="S233" s="118">
        <f>IFERROR(INDEX('Fuel Model - Calculation'!J$2:J$3771,(MATCH(($E233&amp;"ResultsTotal RNE "&amp;$F233&amp;"USD/ton"),'Fuel Model - Calculation'!$B$2:$B$3771,0))),0)</f>
        <v>0</v>
      </c>
      <c r="T233" s="118">
        <f>IFERROR(INDEX('Fuel Model - Calculation'!K$2:K$3771,(MATCH(($E233&amp;"ResultsTotal RNE "&amp;$F233&amp;"USD/ton"),'Fuel Model - Calculation'!$B$2:$B$3771,0))),0)</f>
        <v>0</v>
      </c>
      <c r="U233" s="118">
        <f>IFERROR(INDEX('Fuel Model - Calculation'!L$2:L$3771,(MATCH(($E233&amp;"ResultsTotal RNE "&amp;$F233&amp;"USD/ton"),'Fuel Model - Calculation'!$B$2:$B$3771,0))),0)</f>
        <v>0</v>
      </c>
      <c r="V233" s="118">
        <f>IFERROR(INDEX('Fuel Model - Calculation'!M$2:M$3771,(MATCH(($E233&amp;"ResultsTotal RNE "&amp;$F233&amp;"USD/ton"),'Fuel Model - Calculation'!$B$2:$B$3771,0))),0)</f>
        <v>0</v>
      </c>
      <c r="W233"/>
      <c r="X233" s="2">
        <f>INDEX('Fuel Model - Calculation'!$E$2:$M$3771,(MATCH(("WTT Emission - "&amp;$F233),'Fuel Model - Calculation'!$E$2:$E$3771,0)),MATCH(X$141,'Fuel Model - Calculation'!$E$2:$M$2,0))</f>
        <v>-1.8889051408968118</v>
      </c>
      <c r="Y233" s="2">
        <f>INDEX('Fuel Model - Calculation'!$E$2:$M$3771,(MATCH(("WTT Emission - "&amp;$F233),'Fuel Model - Calculation'!$E$2:$E$3771,0)),MATCH(Y$141,'Fuel Model - Calculation'!$E$2:$M$2,0))</f>
        <v>-2.0352282533551778</v>
      </c>
      <c r="Z233" s="2">
        <f>INDEX('Fuel Model - Calculation'!$E$2:$M$3771,(MATCH(("WTT Emission - "&amp;$F233),'Fuel Model - Calculation'!$E$2:$E$3771,0)),MATCH(Z$141,'Fuel Model - Calculation'!$E$2:$M$2,0))</f>
        <v>-2.1780980654458442</v>
      </c>
      <c r="AA233" s="2">
        <f>INDEX('Fuel Model - Calculation'!$E$2:$M$3771,(MATCH(("WTT Emission - "&amp;$F233),'Fuel Model - Calculation'!$E$2:$E$3771,0)),MATCH(AA$141,'Fuel Model - Calculation'!$E$2:$M$2,0))</f>
        <v>-2.3175145771688115</v>
      </c>
      <c r="AB233" s="2">
        <f>INDEX('Fuel Model - Calculation'!$E$2:$M$3771,(MATCH(("WTT Emission - "&amp;$F233),'Fuel Model - Calculation'!$E$2:$E$3771,0)),MATCH(AB$141,'Fuel Model - Calculation'!$E$2:$M$2,0))</f>
        <v>-2.4534777885240793</v>
      </c>
      <c r="AC233" s="2">
        <f>INDEX('Fuel Model - Calculation'!$E$2:$M$3771,(MATCH(("WTT Emission - "&amp;$F233),'Fuel Model - Calculation'!$E$2:$E$3771,0)),MATCH(AC$141,'Fuel Model - Calculation'!$E$2:$M$2,0))</f>
        <v>-2.5859876995116484</v>
      </c>
      <c r="AD233" s="2">
        <f>INDEX('Fuel Model - Calculation'!$E$2:$M$3771,(MATCH(("WTT Emission - "&amp;$F233),'Fuel Model - Calculation'!$E$2:$E$3771,0)),MATCH(AD$141,'Fuel Model - Calculation'!$E$2:$M$2,0))</f>
        <v>-2.7150443101315176</v>
      </c>
      <c r="AE233" s="2"/>
      <c r="AF233" s="2">
        <f>'Fuel Model -  Input'!H$269</f>
        <v>3.6492599999999999</v>
      </c>
      <c r="AG233" s="2">
        <f>'Fuel Model -  Input'!I$269</f>
        <v>3.6492599999999999</v>
      </c>
      <c r="AH233" s="2">
        <f>'Fuel Model -  Input'!J$269</f>
        <v>3.6492599999999999</v>
      </c>
      <c r="AI233" s="2">
        <f>'Fuel Model -  Input'!K$269</f>
        <v>3.6492599999999999</v>
      </c>
      <c r="AJ233" s="2">
        <f>'Fuel Model -  Input'!L$269</f>
        <v>3.6492599999999999</v>
      </c>
      <c r="AK233" s="2">
        <f>'Fuel Model -  Input'!M$269</f>
        <v>3.6492599999999999</v>
      </c>
      <c r="AL233" s="2">
        <f>'Fuel Model -  Input'!N$269</f>
        <v>3.6492599999999999</v>
      </c>
      <c r="AM233"/>
      <c r="AN233" s="24">
        <f t="shared" si="203"/>
        <v>1.7603548591031881</v>
      </c>
      <c r="AO233" s="24">
        <f t="shared" si="203"/>
        <v>1.6140317466448222</v>
      </c>
      <c r="AP233" s="24">
        <f t="shared" si="203"/>
        <v>1.4711619345541558</v>
      </c>
      <c r="AQ233" s="24">
        <f t="shared" si="203"/>
        <v>1.3317454228311885</v>
      </c>
      <c r="AR233" s="24">
        <f t="shared" si="203"/>
        <v>1.1957822114759207</v>
      </c>
      <c r="AS233" s="24">
        <f t="shared" si="203"/>
        <v>1.0632723004883515</v>
      </c>
      <c r="AT233" s="24">
        <f t="shared" si="203"/>
        <v>0.93421568986848236</v>
      </c>
      <c r="AU233"/>
      <c r="AV233" s="118">
        <f>IFERROR(INDEX('Fuel Model - Calculation'!$B$2:$M$3771,(MATCH(($E233&amp;"Results"&amp;$AV$140&amp;$F233&amp;"USD/ton"),'Fuel Model - Calculation'!$B$2:$B$3771,0)),MATCH(H$141,'Fuel Model - Calculation'!$B$2:$M$2,0)),0)</f>
        <v>572.92139234957222</v>
      </c>
      <c r="AW233" s="118">
        <f>IFERROR(INDEX('Fuel Model - Calculation'!$B$2:$M$3771,(MATCH(($E233&amp;"Results"&amp;$AV$140&amp;$F233&amp;"USD/ton"),'Fuel Model - Calculation'!$B$2:$B$3771,0)),MATCH(I$141,'Fuel Model - Calculation'!$B$2:$M$2,0)),0)</f>
        <v>535.20819791503743</v>
      </c>
      <c r="AX233" s="118">
        <f>IFERROR(INDEX('Fuel Model - Calculation'!$B$2:$M$3771,(MATCH(($E233&amp;"Results"&amp;$AV$140&amp;$F233&amp;"USD/ton"),'Fuel Model - Calculation'!$B$2:$B$3771,0)),MATCH(J$141,'Fuel Model - Calculation'!$B$2:$M$2,0)),0)</f>
        <v>497.49500348050253</v>
      </c>
      <c r="AY233" s="118">
        <f>IFERROR(INDEX('Fuel Model - Calculation'!$B$2:$M$3771,(MATCH(($E233&amp;"Results"&amp;$AV$140&amp;$F233&amp;"USD/ton"),'Fuel Model - Calculation'!$B$2:$B$3771,0)),MATCH(K$141,'Fuel Model - Calculation'!$B$2:$M$2,0)),0)</f>
        <v>459.78180904596769</v>
      </c>
      <c r="AZ233" s="118">
        <f>IFERROR(INDEX('Fuel Model - Calculation'!$B$2:$M$3771,(MATCH(($E233&amp;"Results"&amp;$AV$140&amp;$F233&amp;"USD/ton"),'Fuel Model - Calculation'!$B$2:$B$3771,0)),MATCH(L$141,'Fuel Model - Calculation'!$B$2:$M$2,0)),0)</f>
        <v>422.06861461143285</v>
      </c>
      <c r="BA233" s="118">
        <f>IFERROR(INDEX('Fuel Model - Calculation'!$B$2:$M$3771,(MATCH(($E233&amp;"Results"&amp;$AV$140&amp;$F233&amp;"USD/ton"),'Fuel Model - Calculation'!$B$2:$B$3771,0)),MATCH(M$141,'Fuel Model - Calculation'!$B$2:$M$2,0)),0)</f>
        <v>384.35542017689801</v>
      </c>
      <c r="BB233" s="118">
        <f>IFERROR(INDEX('Fuel Model - Calculation'!$B$2:$M$3771,(MATCH(($E233&amp;"Results"&amp;$AV$140&amp;$F233&amp;"USD/ton"),'Fuel Model - Calculation'!$B$2:$B$3771,0)),MATCH(N$141,'Fuel Model - Calculation'!$B$2:$M$2,0)),0)</f>
        <v>346.64222574236317</v>
      </c>
      <c r="BC233"/>
      <c r="BD233" s="118">
        <f>IFERROR(INDEX('Fuel Model - Calculation'!$B$2:$M$3771,(MATCH(($E233&amp;"Results"&amp;$BD$140&amp;$F233&amp;"USD/ton"),'Fuel Model - Calculation'!$B$2:$B$3771,0)),MATCH(P$141,'Fuel Model - Calculation'!$B$2:$M$2,0)),0)</f>
        <v>391.04382654573948</v>
      </c>
      <c r="BE233" s="118">
        <f>IFERROR(INDEX('Fuel Model - Calculation'!$B$2:$M$3771,(MATCH(($E233&amp;"Results"&amp;$BD$140&amp;$F233&amp;"USD/ton"),'Fuel Model - Calculation'!$B$2:$B$3771,0)),MATCH(Q$141,'Fuel Model - Calculation'!$B$2:$M$2,0)),0)</f>
        <v>364.22651601659589</v>
      </c>
      <c r="BF233" s="118">
        <f>IFERROR(INDEX('Fuel Model - Calculation'!$B$2:$M$3771,(MATCH(($E233&amp;"Results"&amp;$BD$140&amp;$F233&amp;"USD/ton"),'Fuel Model - Calculation'!$B$2:$B$3771,0)),MATCH(R$141,'Fuel Model - Calculation'!$B$2:$M$2,0)),0)</f>
        <v>340.58944700331182</v>
      </c>
      <c r="BG233" s="118">
        <f>IFERROR(INDEX('Fuel Model - Calculation'!$B$2:$M$3771,(MATCH(($E233&amp;"Results"&amp;$BD$140&amp;$F233&amp;"USD/ton"),'Fuel Model - Calculation'!$B$2:$B$3771,0)),MATCH(S$141,'Fuel Model - Calculation'!$B$2:$M$2,0)),0)</f>
        <v>318.79212493468964</v>
      </c>
      <c r="BH233" s="118">
        <f>IFERROR(INDEX('Fuel Model - Calculation'!$B$2:$M$3771,(MATCH(($E233&amp;"Results"&amp;$BD$140&amp;$F233&amp;"USD/ton"),'Fuel Model - Calculation'!$B$2:$B$3771,0)),MATCH(T$141,'Fuel Model - Calculation'!$B$2:$M$2,0)),0)</f>
        <v>299.26169805309542</v>
      </c>
      <c r="BI233" s="118">
        <f>IFERROR(INDEX('Fuel Model - Calculation'!$B$2:$M$3771,(MATCH(($E233&amp;"Results"&amp;$BD$140&amp;$F233&amp;"USD/ton"),'Fuel Model - Calculation'!$B$2:$B$3771,0)),MATCH(U$141,'Fuel Model - Calculation'!$B$2:$M$2,0)),0)</f>
        <v>278.95170455134178</v>
      </c>
      <c r="BJ233" s="118">
        <f>IFERROR(INDEX('Fuel Model - Calculation'!$B$2:$M$3771,(MATCH(($E233&amp;"Results"&amp;$BD$140&amp;$F233&amp;"USD/ton"),'Fuel Model - Calculation'!$B$2:$B$3771,0)),MATCH(V$141,'Fuel Model - Calculation'!$B$2:$M$2,0)),0)</f>
        <v>260.26272186338235</v>
      </c>
      <c r="BL233" s="118">
        <f>IFERROR(IFERROR(INDEX('Fuel Model - Calculation'!$B$2:$M$3771,(MATCH(($E233&amp;"Results"&amp;$BL$140&amp;$F233&amp;"USD/ton"),'Fuel Model - Calculation'!$B$2:$B$3771,0)),MATCH(H$141,'Fuel Model - Calculation'!$B$2:$M$2,0)),0),0)</f>
        <v>0</v>
      </c>
      <c r="BM233" s="118">
        <f>IFERROR(IFERROR(INDEX('Fuel Model - Calculation'!$B$2:$M$3771,(MATCH(($E233&amp;"Results"&amp;$BL$140&amp;$F233&amp;"USD/ton"),'Fuel Model - Calculation'!$B$2:$B$3771,0)),MATCH(I$141,'Fuel Model - Calculation'!$B$2:$M$2,0)),0),0)</f>
        <v>0</v>
      </c>
      <c r="BN233" s="118">
        <f>IFERROR(IFERROR(INDEX('Fuel Model - Calculation'!$B$2:$M$3771,(MATCH(($E233&amp;"Results"&amp;$BL$140&amp;$F233&amp;"USD/ton"),'Fuel Model - Calculation'!$B$2:$B$3771,0)),MATCH(J$141,'Fuel Model - Calculation'!$B$2:$M$2,0)),0),0)</f>
        <v>0</v>
      </c>
      <c r="BO233" s="118">
        <f>IFERROR(IFERROR(INDEX('Fuel Model - Calculation'!$B$2:$M$3771,(MATCH(($E233&amp;"Results"&amp;$BL$140&amp;$F233&amp;"USD/ton"),'Fuel Model - Calculation'!$B$2:$B$3771,0)),MATCH(K$141,'Fuel Model - Calculation'!$B$2:$M$2,0)),0),0)</f>
        <v>0</v>
      </c>
      <c r="BP233" s="118">
        <f>IFERROR(IFERROR(INDEX('Fuel Model - Calculation'!$B$2:$M$3771,(MATCH(($E233&amp;"Results"&amp;$BL$140&amp;$F233&amp;"USD/ton"),'Fuel Model - Calculation'!$B$2:$B$3771,0)),MATCH(L$141,'Fuel Model - Calculation'!$B$2:$M$2,0)),0),0)</f>
        <v>0</v>
      </c>
      <c r="BQ233" s="118">
        <f>IFERROR(IFERROR(INDEX('Fuel Model - Calculation'!$B$2:$M$3771,(MATCH(($E233&amp;"Results"&amp;$BL$140&amp;$F233&amp;"USD/ton"),'Fuel Model - Calculation'!$B$2:$B$3771,0)),MATCH(M$141,'Fuel Model - Calculation'!$B$2:$M$2,0)),0),0)</f>
        <v>0</v>
      </c>
      <c r="BR233" s="118">
        <f>IFERROR(IFERROR(INDEX('Fuel Model - Calculation'!$B$2:$M$3771,(MATCH(($E233&amp;"Results"&amp;$BL$140&amp;$F233&amp;"USD/ton"),'Fuel Model - Calculation'!$B$2:$B$3771,0)),MATCH(N$141,'Fuel Model - Calculation'!$B$2:$M$2,0)),0),0)</f>
        <v>0</v>
      </c>
      <c r="BT233" s="118">
        <f>IFERROR(INDEX('Fuel Model - Calculation'!$B$2:$M$3771,(MATCH(($E233&amp;"Results"&amp;$BT$140&amp;$F233&amp;"USD/ton"),'Fuel Model - Calculation'!$B$2:$B$3771,0)),MATCH(H$141,'Fuel Model - Calculation'!$B$2:$M$2,0)),0)</f>
        <v>264.93988244102837</v>
      </c>
      <c r="BU233" s="118">
        <f>IFERROR(INDEX('Fuel Model - Calculation'!$B$2:$M$3771,(MATCH(($E233&amp;"Results"&amp;$BT$140&amp;$F233&amp;"USD/ton"),'Fuel Model - Calculation'!$B$2:$B$3771,0)),MATCH(I$141,'Fuel Model - Calculation'!$B$2:$M$2,0)),0)</f>
        <v>229.66988176010366</v>
      </c>
      <c r="BV233" s="118">
        <f>IFERROR(INDEX('Fuel Model - Calculation'!$B$2:$M$3771,(MATCH(($E233&amp;"Results"&amp;$BT$140&amp;$F233&amp;"USD/ton"),'Fuel Model - Calculation'!$B$2:$B$3771,0)),MATCH(J$141,'Fuel Model - Calculation'!$B$2:$M$2,0)),0)</f>
        <v>213.04988107917902</v>
      </c>
      <c r="BW233" s="118">
        <f>IFERROR(INDEX('Fuel Model - Calculation'!$B$2:$M$3771,(MATCH(($E233&amp;"Results"&amp;$BT$140&amp;$F233&amp;"USD/ton"),'Fuel Model - Calculation'!$B$2:$B$3771,0)),MATCH(K$141,'Fuel Model - Calculation'!$B$2:$M$2,0)),0)</f>
        <v>205.92988039825434</v>
      </c>
      <c r="BX233" s="118">
        <f>IFERROR(INDEX('Fuel Model - Calculation'!$B$2:$M$3771,(MATCH(($E233&amp;"Results"&amp;$BT$140&amp;$F233&amp;"USD/ton"),'Fuel Model - Calculation'!$B$2:$B$3771,0)),MATCH(L$141,'Fuel Model - Calculation'!$B$2:$M$2,0)),0)</f>
        <v>198.80987971732966</v>
      </c>
      <c r="BY233" s="118">
        <f>IFERROR(INDEX('Fuel Model - Calculation'!$B$2:$M$3771,(MATCH(($E233&amp;"Results"&amp;$BT$140&amp;$F233&amp;"USD/ton"),'Fuel Model - Calculation'!$B$2:$B$3771,0)),MATCH(M$141,'Fuel Model - Calculation'!$B$2:$M$2,0)),0)</f>
        <v>191.68987903640502</v>
      </c>
      <c r="BZ233" s="118">
        <f>IFERROR(INDEX('Fuel Model - Calculation'!$B$2:$M$3771,(MATCH(($E233&amp;"Results"&amp;$BT$140&amp;$F233&amp;"USD/ton"),'Fuel Model - Calculation'!$B$2:$B$3771,0)),MATCH(N$141,'Fuel Model - Calculation'!$B$2:$M$2,0)),0)</f>
        <v>184.56987835548034</v>
      </c>
    </row>
    <row r="234" spans="1:78" x14ac:dyDescent="0.2">
      <c r="A234" s="452"/>
      <c r="B234" s="453" t="str">
        <f>_xlfn.TEXTJOIN(keydelim,TRUE,F234,IF(E234="Africa","Africa&amp;other",E234),"Fuel cost",SUBSTITUTE($G234," ",""))</f>
        <v>Biomethane - Asia - Fuel cost - USD/ton</v>
      </c>
      <c r="D234" s="459" t="str">
        <f t="shared" si="204"/>
        <v>AsiaBiomethane</v>
      </c>
      <c r="E234" t="s">
        <v>198</v>
      </c>
      <c r="F234" s="460" t="str">
        <f t="shared" si="205"/>
        <v>Biomethane</v>
      </c>
      <c r="G234" t="s">
        <v>835</v>
      </c>
      <c r="H234" s="118">
        <f>INDEX('Fuel Model - Calculation'!$B$2:$M$3771,(MATCH(($E234&amp;"ResultsCost of "&amp;$F234&amp;"USD/ton"),'Fuel Model - Calculation'!$B$2:$B$3771,0)),MATCH(H$141,'Fuel Model - Calculation'!$B$2:$M$2,0))</f>
        <v>1282.7677903683307</v>
      </c>
      <c r="I234" s="118">
        <f>INDEX('Fuel Model - Calculation'!$B$2:$M$3771,(MATCH(($E234&amp;"ResultsCost of "&amp;$F234&amp;"USD/ton"),'Fuel Model - Calculation'!$B$2:$B$3771,0)),MATCH(I$141,'Fuel Model - Calculation'!$B$2:$M$2,0))</f>
        <v>1157.8865856440693</v>
      </c>
      <c r="J234" s="118">
        <f>INDEX('Fuel Model - Calculation'!$B$2:$M$3771,(MATCH(($E234&amp;"ResultsCost of "&amp;$F234&amp;"USD/ton"),'Fuel Model - Calculation'!$B$2:$B$3771,0)),MATCH(J$141,'Fuel Model - Calculation'!$B$2:$M$2,0))</f>
        <v>1073.3647385032984</v>
      </c>
      <c r="K234" s="118">
        <f>INDEX('Fuel Model - Calculation'!$B$2:$M$3771,(MATCH(($E234&amp;"ResultsCost of "&amp;$F234&amp;"USD/ton"),'Fuel Model - Calculation'!$B$2:$B$3771,0)),MATCH(K$141,'Fuel Model - Calculation'!$B$2:$M$2,0))</f>
        <v>1002.0179213579063</v>
      </c>
      <c r="L234" s="118">
        <f>INDEX('Fuel Model - Calculation'!$B$2:$M$3771,(MATCH(($E234&amp;"ResultsCost of "&amp;$F234&amp;"USD/ton"),'Fuel Model - Calculation'!$B$2:$B$3771,0)),MATCH(L$141,'Fuel Model - Calculation'!$B$2:$M$2,0))</f>
        <v>934.74617299687588</v>
      </c>
      <c r="M234" s="118">
        <f>INDEX('Fuel Model - Calculation'!$B$2:$M$3771,(MATCH(($E234&amp;"ResultsCost of "&amp;$F234&amp;"USD/ton"),'Fuel Model - Calculation'!$B$2:$B$3771,0)),MATCH(M$141,'Fuel Model - Calculation'!$B$2:$M$2,0))</f>
        <v>867.19643949903082</v>
      </c>
      <c r="N234" s="118">
        <f>INDEX('Fuel Model - Calculation'!$B$2:$M$3771,(MATCH(($E234&amp;"ResultsCost of "&amp;$F234&amp;"USD/ton"),'Fuel Model - Calculation'!$B$2:$B$3771,0)),MATCH(N$141,'Fuel Model - Calculation'!$B$2:$M$2,0))</f>
        <v>802.08400327428262</v>
      </c>
      <c r="O234"/>
      <c r="P234" s="118">
        <f>IFERROR(INDEX('Fuel Model - Calculation'!G$2:G$3771,(MATCH(($E234&amp;"ResultsTotal RNE "&amp;$F234&amp;"USD/ton"),'Fuel Model - Calculation'!$B$2:$B$3771,0))),0)</f>
        <v>0</v>
      </c>
      <c r="Q234" s="118">
        <f>IFERROR(INDEX('Fuel Model - Calculation'!H$2:H$3771,(MATCH(($E234&amp;"ResultsTotal RNE "&amp;$F234&amp;"USD/ton"),'Fuel Model - Calculation'!$B$2:$B$3771,0))),0)</f>
        <v>0</v>
      </c>
      <c r="R234" s="118">
        <f>IFERROR(INDEX('Fuel Model - Calculation'!I$2:I$3771,(MATCH(($E234&amp;"ResultsTotal RNE "&amp;$F234&amp;"USD/ton"),'Fuel Model - Calculation'!$B$2:$B$3771,0))),0)</f>
        <v>0</v>
      </c>
      <c r="S234" s="118">
        <f>IFERROR(INDEX('Fuel Model - Calculation'!J$2:J$3771,(MATCH(($E234&amp;"ResultsTotal RNE "&amp;$F234&amp;"USD/ton"),'Fuel Model - Calculation'!$B$2:$B$3771,0))),0)</f>
        <v>0</v>
      </c>
      <c r="T234" s="118">
        <f>IFERROR(INDEX('Fuel Model - Calculation'!K$2:K$3771,(MATCH(($E234&amp;"ResultsTotal RNE "&amp;$F234&amp;"USD/ton"),'Fuel Model - Calculation'!$B$2:$B$3771,0))),0)</f>
        <v>0</v>
      </c>
      <c r="U234" s="118">
        <f>IFERROR(INDEX('Fuel Model - Calculation'!L$2:L$3771,(MATCH(($E234&amp;"ResultsTotal RNE "&amp;$F234&amp;"USD/ton"),'Fuel Model - Calculation'!$B$2:$B$3771,0))),0)</f>
        <v>0</v>
      </c>
      <c r="V234" s="118">
        <f>IFERROR(INDEX('Fuel Model - Calculation'!M$2:M$3771,(MATCH(($E234&amp;"ResultsTotal RNE "&amp;$F234&amp;"USD/ton"),'Fuel Model - Calculation'!$B$2:$B$3771,0))),0)</f>
        <v>0</v>
      </c>
      <c r="W234"/>
      <c r="X234" s="2">
        <f>INDEX('Fuel Model - Calculation'!$E$2:$M$3771,(MATCH(("WTT Emission - "&amp;$F234),'Fuel Model - Calculation'!$E$2:$E$3771,0)),MATCH(X$141,'Fuel Model - Calculation'!$E$2:$M$2,0))</f>
        <v>-1.8889051408968118</v>
      </c>
      <c r="Y234" s="2">
        <f>INDEX('Fuel Model - Calculation'!$E$2:$M$3771,(MATCH(("WTT Emission - "&amp;$F234),'Fuel Model - Calculation'!$E$2:$E$3771,0)),MATCH(Y$141,'Fuel Model - Calculation'!$E$2:$M$2,0))</f>
        <v>-2.0352282533551778</v>
      </c>
      <c r="Z234" s="2">
        <f>INDEX('Fuel Model - Calculation'!$E$2:$M$3771,(MATCH(("WTT Emission - "&amp;$F234),'Fuel Model - Calculation'!$E$2:$E$3771,0)),MATCH(Z$141,'Fuel Model - Calculation'!$E$2:$M$2,0))</f>
        <v>-2.1780980654458442</v>
      </c>
      <c r="AA234" s="2">
        <f>INDEX('Fuel Model - Calculation'!$E$2:$M$3771,(MATCH(("WTT Emission - "&amp;$F234),'Fuel Model - Calculation'!$E$2:$E$3771,0)),MATCH(AA$141,'Fuel Model - Calculation'!$E$2:$M$2,0))</f>
        <v>-2.3175145771688115</v>
      </c>
      <c r="AB234" s="2">
        <f>INDEX('Fuel Model - Calculation'!$E$2:$M$3771,(MATCH(("WTT Emission - "&amp;$F234),'Fuel Model - Calculation'!$E$2:$E$3771,0)),MATCH(AB$141,'Fuel Model - Calculation'!$E$2:$M$2,0))</f>
        <v>-2.4534777885240793</v>
      </c>
      <c r="AC234" s="2">
        <f>INDEX('Fuel Model - Calculation'!$E$2:$M$3771,(MATCH(("WTT Emission - "&amp;$F234),'Fuel Model - Calculation'!$E$2:$E$3771,0)),MATCH(AC$141,'Fuel Model - Calculation'!$E$2:$M$2,0))</f>
        <v>-2.5859876995116484</v>
      </c>
      <c r="AD234" s="2">
        <f>INDEX('Fuel Model - Calculation'!$E$2:$M$3771,(MATCH(("WTT Emission - "&amp;$F234),'Fuel Model - Calculation'!$E$2:$E$3771,0)),MATCH(AD$141,'Fuel Model - Calculation'!$E$2:$M$2,0))</f>
        <v>-2.7150443101315176</v>
      </c>
      <c r="AE234" s="2"/>
      <c r="AF234" s="2">
        <f>'Fuel Model -  Input'!H$269</f>
        <v>3.6492599999999999</v>
      </c>
      <c r="AG234" s="2">
        <f>'Fuel Model -  Input'!I$269</f>
        <v>3.6492599999999999</v>
      </c>
      <c r="AH234" s="2">
        <f>'Fuel Model -  Input'!J$269</f>
        <v>3.6492599999999999</v>
      </c>
      <c r="AI234" s="2">
        <f>'Fuel Model -  Input'!K$269</f>
        <v>3.6492599999999999</v>
      </c>
      <c r="AJ234" s="2">
        <f>'Fuel Model -  Input'!L$269</f>
        <v>3.6492599999999999</v>
      </c>
      <c r="AK234" s="2">
        <f>'Fuel Model -  Input'!M$269</f>
        <v>3.6492599999999999</v>
      </c>
      <c r="AL234" s="2">
        <f>'Fuel Model -  Input'!N$269</f>
        <v>3.6492599999999999</v>
      </c>
      <c r="AM234"/>
      <c r="AN234" s="24">
        <f t="shared" si="203"/>
        <v>1.7603548591031881</v>
      </c>
      <c r="AO234" s="24">
        <f t="shared" si="203"/>
        <v>1.6140317466448222</v>
      </c>
      <c r="AP234" s="24">
        <f t="shared" si="203"/>
        <v>1.4711619345541558</v>
      </c>
      <c r="AQ234" s="24">
        <f t="shared" si="203"/>
        <v>1.3317454228311885</v>
      </c>
      <c r="AR234" s="24">
        <f t="shared" si="203"/>
        <v>1.1957822114759207</v>
      </c>
      <c r="AS234" s="24">
        <f t="shared" si="203"/>
        <v>1.0632723004883515</v>
      </c>
      <c r="AT234" s="24">
        <f t="shared" si="203"/>
        <v>0.93421568986848236</v>
      </c>
      <c r="AU234"/>
      <c r="AV234" s="118">
        <f>IFERROR(INDEX('Fuel Model - Calculation'!$B$2:$M$3771,(MATCH(($E234&amp;"Results"&amp;$AV$140&amp;$F234&amp;"USD/ton"),'Fuel Model - Calculation'!$B$2:$B$3771,0)),MATCH(H$141,'Fuel Model - Calculation'!$B$2:$M$2,0)),0)</f>
        <v>572.92139234957222</v>
      </c>
      <c r="AW234" s="118">
        <f>IFERROR(INDEX('Fuel Model - Calculation'!$B$2:$M$3771,(MATCH(($E234&amp;"Results"&amp;$AV$140&amp;$F234&amp;"USD/ton"),'Fuel Model - Calculation'!$B$2:$B$3771,0)),MATCH(I$141,'Fuel Model - Calculation'!$B$2:$M$2,0)),0)</f>
        <v>535.20819791503743</v>
      </c>
      <c r="AX234" s="118">
        <f>IFERROR(INDEX('Fuel Model - Calculation'!$B$2:$M$3771,(MATCH(($E234&amp;"Results"&amp;$AV$140&amp;$F234&amp;"USD/ton"),'Fuel Model - Calculation'!$B$2:$B$3771,0)),MATCH(J$141,'Fuel Model - Calculation'!$B$2:$M$2,0)),0)</f>
        <v>497.49500348050253</v>
      </c>
      <c r="AY234" s="118">
        <f>IFERROR(INDEX('Fuel Model - Calculation'!$B$2:$M$3771,(MATCH(($E234&amp;"Results"&amp;$AV$140&amp;$F234&amp;"USD/ton"),'Fuel Model - Calculation'!$B$2:$B$3771,0)),MATCH(K$141,'Fuel Model - Calculation'!$B$2:$M$2,0)),0)</f>
        <v>459.78180904596769</v>
      </c>
      <c r="AZ234" s="118">
        <f>IFERROR(INDEX('Fuel Model - Calculation'!$B$2:$M$3771,(MATCH(($E234&amp;"Results"&amp;$AV$140&amp;$F234&amp;"USD/ton"),'Fuel Model - Calculation'!$B$2:$B$3771,0)),MATCH(L$141,'Fuel Model - Calculation'!$B$2:$M$2,0)),0)</f>
        <v>422.06861461143285</v>
      </c>
      <c r="BA234" s="118">
        <f>IFERROR(INDEX('Fuel Model - Calculation'!$B$2:$M$3771,(MATCH(($E234&amp;"Results"&amp;$AV$140&amp;$F234&amp;"USD/ton"),'Fuel Model - Calculation'!$B$2:$B$3771,0)),MATCH(M$141,'Fuel Model - Calculation'!$B$2:$M$2,0)),0)</f>
        <v>384.35542017689801</v>
      </c>
      <c r="BB234" s="118">
        <f>IFERROR(INDEX('Fuel Model - Calculation'!$B$2:$M$3771,(MATCH(($E234&amp;"Results"&amp;$AV$140&amp;$F234&amp;"USD/ton"),'Fuel Model - Calculation'!$B$2:$B$3771,0)),MATCH(N$141,'Fuel Model - Calculation'!$B$2:$M$2,0)),0)</f>
        <v>346.64222574236317</v>
      </c>
      <c r="BC234"/>
      <c r="BD234" s="118">
        <f>IFERROR(INDEX('Fuel Model - Calculation'!$B$2:$M$3771,(MATCH(($E234&amp;"Results"&amp;$BD$140&amp;$F234&amp;"USD/ton"),'Fuel Model - Calculation'!$B$2:$B$3771,0)),MATCH(P$141,'Fuel Model - Calculation'!$B$2:$M$2,0)),0)</f>
        <v>438.90651557773003</v>
      </c>
      <c r="BE234" s="118">
        <f>IFERROR(INDEX('Fuel Model - Calculation'!$B$2:$M$3771,(MATCH(($E234&amp;"Results"&amp;$BD$140&amp;$F234&amp;"USD/ton"),'Fuel Model - Calculation'!$B$2:$B$3771,0)),MATCH(Q$141,'Fuel Model - Calculation'!$B$2:$M$2,0)),0)</f>
        <v>388.00850596892826</v>
      </c>
      <c r="BF234" s="118">
        <f>IFERROR(INDEX('Fuel Model - Calculation'!$B$2:$M$3771,(MATCH(($E234&amp;"Results"&amp;$BD$140&amp;$F234&amp;"USD/ton"),'Fuel Model - Calculation'!$B$2:$B$3771,0)),MATCH(R$141,'Fuel Model - Calculation'!$B$2:$M$2,0)),0)</f>
        <v>358.71985394361684</v>
      </c>
      <c r="BG234" s="118">
        <f>IFERROR(INDEX('Fuel Model - Calculation'!$B$2:$M$3771,(MATCH(($E234&amp;"Results"&amp;$BD$140&amp;$F234&amp;"USD/ton"),'Fuel Model - Calculation'!$B$2:$B$3771,0)),MATCH(S$141,'Fuel Model - Calculation'!$B$2:$M$2,0)),0)</f>
        <v>333.23123191368438</v>
      </c>
      <c r="BH234" s="118">
        <f>IFERROR(INDEX('Fuel Model - Calculation'!$B$2:$M$3771,(MATCH(($E234&amp;"Results"&amp;$BD$140&amp;$F234&amp;"USD/ton"),'Fuel Model - Calculation'!$B$2:$B$3771,0)),MATCH(T$141,'Fuel Model - Calculation'!$B$2:$M$2,0)),0)</f>
        <v>311.81767866811333</v>
      </c>
      <c r="BI234" s="118">
        <f>IFERROR(INDEX('Fuel Model - Calculation'!$B$2:$M$3771,(MATCH(($E234&amp;"Results"&amp;$BD$140&amp;$F234&amp;"USD/ton"),'Fuel Model - Calculation'!$B$2:$B$3771,0)),MATCH(U$141,'Fuel Model - Calculation'!$B$2:$M$2,0)),0)</f>
        <v>290.12614028572784</v>
      </c>
      <c r="BJ234" s="118">
        <f>IFERROR(INDEX('Fuel Model - Calculation'!$B$2:$M$3771,(MATCH(($E234&amp;"Results"&amp;$BD$140&amp;$F234&amp;"USD/ton"),'Fuel Model - Calculation'!$B$2:$B$3771,0)),MATCH(V$141,'Fuel Model - Calculation'!$B$2:$M$2,0)),0)</f>
        <v>270.87189917643906</v>
      </c>
      <c r="BL234" s="118">
        <f>IFERROR(IFERROR(INDEX('Fuel Model - Calculation'!$B$2:$M$3771,(MATCH(($E234&amp;"Results"&amp;$BL$140&amp;$F234&amp;"USD/ton"),'Fuel Model - Calculation'!$B$2:$B$3771,0)),MATCH(H$141,'Fuel Model - Calculation'!$B$2:$M$2,0)),0),0)</f>
        <v>0</v>
      </c>
      <c r="BM234" s="118">
        <f>IFERROR(IFERROR(INDEX('Fuel Model - Calculation'!$B$2:$M$3771,(MATCH(($E234&amp;"Results"&amp;$BL$140&amp;$F234&amp;"USD/ton"),'Fuel Model - Calculation'!$B$2:$B$3771,0)),MATCH(I$141,'Fuel Model - Calculation'!$B$2:$M$2,0)),0),0)</f>
        <v>0</v>
      </c>
      <c r="BN234" s="118">
        <f>IFERROR(IFERROR(INDEX('Fuel Model - Calculation'!$B$2:$M$3771,(MATCH(($E234&amp;"Results"&amp;$BL$140&amp;$F234&amp;"USD/ton"),'Fuel Model - Calculation'!$B$2:$B$3771,0)),MATCH(J$141,'Fuel Model - Calculation'!$B$2:$M$2,0)),0),0)</f>
        <v>0</v>
      </c>
      <c r="BO234" s="118">
        <f>IFERROR(IFERROR(INDEX('Fuel Model - Calculation'!$B$2:$M$3771,(MATCH(($E234&amp;"Results"&amp;$BL$140&amp;$F234&amp;"USD/ton"),'Fuel Model - Calculation'!$B$2:$B$3771,0)),MATCH(K$141,'Fuel Model - Calculation'!$B$2:$M$2,0)),0),0)</f>
        <v>0</v>
      </c>
      <c r="BP234" s="118">
        <f>IFERROR(IFERROR(INDEX('Fuel Model - Calculation'!$B$2:$M$3771,(MATCH(($E234&amp;"Results"&amp;$BL$140&amp;$F234&amp;"USD/ton"),'Fuel Model - Calculation'!$B$2:$B$3771,0)),MATCH(L$141,'Fuel Model - Calculation'!$B$2:$M$2,0)),0),0)</f>
        <v>0</v>
      </c>
      <c r="BQ234" s="118">
        <f>IFERROR(IFERROR(INDEX('Fuel Model - Calculation'!$B$2:$M$3771,(MATCH(($E234&amp;"Results"&amp;$BL$140&amp;$F234&amp;"USD/ton"),'Fuel Model - Calculation'!$B$2:$B$3771,0)),MATCH(M$141,'Fuel Model - Calculation'!$B$2:$M$2,0)),0),0)</f>
        <v>0</v>
      </c>
      <c r="BR234" s="118">
        <f>IFERROR(IFERROR(INDEX('Fuel Model - Calculation'!$B$2:$M$3771,(MATCH(($E234&amp;"Results"&amp;$BL$140&amp;$F234&amp;"USD/ton"),'Fuel Model - Calculation'!$B$2:$B$3771,0)),MATCH(N$141,'Fuel Model - Calculation'!$B$2:$M$2,0)),0),0)</f>
        <v>0</v>
      </c>
      <c r="BT234" s="118">
        <f>IFERROR(INDEX('Fuel Model - Calculation'!$B$2:$M$3771,(MATCH(($E234&amp;"Results"&amp;$BT$140&amp;$F234&amp;"USD/ton"),'Fuel Model - Calculation'!$B$2:$B$3771,0)),MATCH(H$141,'Fuel Model - Calculation'!$B$2:$M$2,0)),0)</f>
        <v>270.93988244102837</v>
      </c>
      <c r="BU234" s="118">
        <f>IFERROR(INDEX('Fuel Model - Calculation'!$B$2:$M$3771,(MATCH(($E234&amp;"Results"&amp;$BT$140&amp;$F234&amp;"USD/ton"),'Fuel Model - Calculation'!$B$2:$B$3771,0)),MATCH(I$141,'Fuel Model - Calculation'!$B$2:$M$2,0)),0)</f>
        <v>234.66988176010366</v>
      </c>
      <c r="BV234" s="118">
        <f>IFERROR(INDEX('Fuel Model - Calculation'!$B$2:$M$3771,(MATCH(($E234&amp;"Results"&amp;$BT$140&amp;$F234&amp;"USD/ton"),'Fuel Model - Calculation'!$B$2:$B$3771,0)),MATCH(J$141,'Fuel Model - Calculation'!$B$2:$M$2,0)),0)</f>
        <v>217.14988107917901</v>
      </c>
      <c r="BW234" s="118">
        <f>IFERROR(INDEX('Fuel Model - Calculation'!$B$2:$M$3771,(MATCH(($E234&amp;"Results"&amp;$BT$140&amp;$F234&amp;"USD/ton"),'Fuel Model - Calculation'!$B$2:$B$3771,0)),MATCH(K$141,'Fuel Model - Calculation'!$B$2:$M$2,0)),0)</f>
        <v>209.00488039825433</v>
      </c>
      <c r="BX234" s="118">
        <f>IFERROR(INDEX('Fuel Model - Calculation'!$B$2:$M$3771,(MATCH(($E234&amp;"Results"&amp;$BT$140&amp;$F234&amp;"USD/ton"),'Fuel Model - Calculation'!$B$2:$B$3771,0)),MATCH(L$141,'Fuel Model - Calculation'!$B$2:$M$2,0)),0)</f>
        <v>200.85987971732968</v>
      </c>
      <c r="BY234" s="118">
        <f>IFERROR(INDEX('Fuel Model - Calculation'!$B$2:$M$3771,(MATCH(($E234&amp;"Results"&amp;$BT$140&amp;$F234&amp;"USD/ton"),'Fuel Model - Calculation'!$B$2:$B$3771,0)),MATCH(M$141,'Fuel Model - Calculation'!$B$2:$M$2,0)),0)</f>
        <v>192.71487903640502</v>
      </c>
      <c r="BZ234" s="118">
        <f>IFERROR(INDEX('Fuel Model - Calculation'!$B$2:$M$3771,(MATCH(($E234&amp;"Results"&amp;$BT$140&amp;$F234&amp;"USD/ton"),'Fuel Model - Calculation'!$B$2:$B$3771,0)),MATCH(N$141,'Fuel Model - Calculation'!$B$2:$M$2,0)),0)</f>
        <v>184.56987835548034</v>
      </c>
    </row>
    <row r="235" spans="1:78" x14ac:dyDescent="0.2">
      <c r="A235" s="452"/>
      <c r="B235" s="453" t="str">
        <f>_xlfn.TEXTJOIN(keydelim,TRUE,F235,IF(E235="Africa","Africa&amp;other",E235),"Fuel cost",SUBSTITUTE($G235," ",""))</f>
        <v>Biomethane - Americas - Fuel cost - USD/ton</v>
      </c>
      <c r="D235" s="459" t="str">
        <f t="shared" si="204"/>
        <v>AmericasBiomethane</v>
      </c>
      <c r="E235" t="s">
        <v>199</v>
      </c>
      <c r="F235" s="460" t="str">
        <f t="shared" si="205"/>
        <v>Biomethane</v>
      </c>
      <c r="G235" t="s">
        <v>835</v>
      </c>
      <c r="H235" s="118">
        <f>INDEX('Fuel Model - Calculation'!$B$2:$M$3771,(MATCH(($E235&amp;"ResultsCost of "&amp;$F235&amp;"USD/ton"),'Fuel Model - Calculation'!$B$2:$B$3771,0)),MATCH(H$141,'Fuel Model - Calculation'!$B$2:$M$2,0))</f>
        <v>1193.8819192451033</v>
      </c>
      <c r="I235" s="118">
        <f>INDEX('Fuel Model - Calculation'!$B$2:$M$3771,(MATCH(($E235&amp;"ResultsCost of "&amp;$F235&amp;"USD/ton"),'Fuel Model - Calculation'!$B$2:$B$3771,0)),MATCH(I$141,'Fuel Model - Calculation'!$B$2:$M$2,0))</f>
        <v>1123.4308416932918</v>
      </c>
      <c r="J235" s="118">
        <f>INDEX('Fuel Model - Calculation'!$B$2:$M$3771,(MATCH(($E235&amp;"ResultsCost of "&amp;$F235&amp;"USD/ton"),'Fuel Model - Calculation'!$B$2:$B$3771,0)),MATCH(J$141,'Fuel Model - Calculation'!$B$2:$M$2,0))</f>
        <v>1053.1210866223271</v>
      </c>
      <c r="K235" s="118">
        <f>INDEX('Fuel Model - Calculation'!$B$2:$M$3771,(MATCH(($E235&amp;"ResultsCost of "&amp;$F235&amp;"USD/ton"),'Fuel Model - Calculation'!$B$2:$B$3771,0)),MATCH(K$141,'Fuel Model - Calculation'!$B$2:$M$2,0))</f>
        <v>987.45421697747906</v>
      </c>
      <c r="L235" s="118">
        <f>INDEX('Fuel Model - Calculation'!$B$2:$M$3771,(MATCH(($E235&amp;"ResultsCost of "&amp;$F235&amp;"USD/ton"),'Fuel Model - Calculation'!$B$2:$B$3771,0)),MATCH(L$141,'Fuel Model - Calculation'!$B$2:$M$2,0))</f>
        <v>921.84578134349408</v>
      </c>
      <c r="M235" s="118">
        <f>INDEX('Fuel Model - Calculation'!$B$2:$M$3771,(MATCH(($E235&amp;"ResultsCost of "&amp;$F235&amp;"USD/ton"),'Fuel Model - Calculation'!$B$2:$B$3771,0)),MATCH(M$141,'Fuel Model - Calculation'!$B$2:$M$2,0))</f>
        <v>858.04614042905257</v>
      </c>
      <c r="N235" s="118">
        <f>INDEX('Fuel Model - Calculation'!$B$2:$M$3771,(MATCH(($E235&amp;"ResultsCost of "&amp;$F235&amp;"USD/ton"),'Fuel Model - Calculation'!$B$2:$B$3771,0)),MATCH(N$141,'Fuel Model - Calculation'!$B$2:$M$2,0))</f>
        <v>794.53654681203363</v>
      </c>
      <c r="O235"/>
      <c r="P235" s="118">
        <f>IFERROR(INDEX('Fuel Model - Calculation'!G$2:G$3771,(MATCH(($E235&amp;"ResultsTotal RNE "&amp;$F235&amp;"USD/ton"),'Fuel Model - Calculation'!$B$2:$B$3771,0))),0)</f>
        <v>0</v>
      </c>
      <c r="Q235" s="118">
        <f>IFERROR(INDEX('Fuel Model - Calculation'!H$2:H$3771,(MATCH(($E235&amp;"ResultsTotal RNE "&amp;$F235&amp;"USD/ton"),'Fuel Model - Calculation'!$B$2:$B$3771,0))),0)</f>
        <v>0</v>
      </c>
      <c r="R235" s="118">
        <f>IFERROR(INDEX('Fuel Model - Calculation'!I$2:I$3771,(MATCH(($E235&amp;"ResultsTotal RNE "&amp;$F235&amp;"USD/ton"),'Fuel Model - Calculation'!$B$2:$B$3771,0))),0)</f>
        <v>0</v>
      </c>
      <c r="S235" s="118">
        <f>IFERROR(INDEX('Fuel Model - Calculation'!J$2:J$3771,(MATCH(($E235&amp;"ResultsTotal RNE "&amp;$F235&amp;"USD/ton"),'Fuel Model - Calculation'!$B$2:$B$3771,0))),0)</f>
        <v>0</v>
      </c>
      <c r="T235" s="118">
        <f>IFERROR(INDEX('Fuel Model - Calculation'!K$2:K$3771,(MATCH(($E235&amp;"ResultsTotal RNE "&amp;$F235&amp;"USD/ton"),'Fuel Model - Calculation'!$B$2:$B$3771,0))),0)</f>
        <v>0</v>
      </c>
      <c r="U235" s="118">
        <f>IFERROR(INDEX('Fuel Model - Calculation'!L$2:L$3771,(MATCH(($E235&amp;"ResultsTotal RNE "&amp;$F235&amp;"USD/ton"),'Fuel Model - Calculation'!$B$2:$B$3771,0))),0)</f>
        <v>0</v>
      </c>
      <c r="V235" s="118">
        <f>IFERROR(INDEX('Fuel Model - Calculation'!M$2:M$3771,(MATCH(($E235&amp;"ResultsTotal RNE "&amp;$F235&amp;"USD/ton"),'Fuel Model - Calculation'!$B$2:$B$3771,0))),0)</f>
        <v>0</v>
      </c>
      <c r="W235"/>
      <c r="X235" s="2">
        <f>INDEX('Fuel Model - Calculation'!$E$2:$M$3771,(MATCH(("WTT Emission - "&amp;$F235),'Fuel Model - Calculation'!$E$2:$E$3771,0)),MATCH(X$141,'Fuel Model - Calculation'!$E$2:$M$2,0))</f>
        <v>-1.8889051408968118</v>
      </c>
      <c r="Y235" s="2">
        <f>INDEX('Fuel Model - Calculation'!$E$2:$M$3771,(MATCH(("WTT Emission - "&amp;$F235),'Fuel Model - Calculation'!$E$2:$E$3771,0)),MATCH(Y$141,'Fuel Model - Calculation'!$E$2:$M$2,0))</f>
        <v>-2.0352282533551778</v>
      </c>
      <c r="Z235" s="2">
        <f>INDEX('Fuel Model - Calculation'!$E$2:$M$3771,(MATCH(("WTT Emission - "&amp;$F235),'Fuel Model - Calculation'!$E$2:$E$3771,0)),MATCH(Z$141,'Fuel Model - Calculation'!$E$2:$M$2,0))</f>
        <v>-2.1780980654458442</v>
      </c>
      <c r="AA235" s="2">
        <f>INDEX('Fuel Model - Calculation'!$E$2:$M$3771,(MATCH(("WTT Emission - "&amp;$F235),'Fuel Model - Calculation'!$E$2:$E$3771,0)),MATCH(AA$141,'Fuel Model - Calculation'!$E$2:$M$2,0))</f>
        <v>-2.3175145771688115</v>
      </c>
      <c r="AB235" s="2">
        <f>INDEX('Fuel Model - Calculation'!$E$2:$M$3771,(MATCH(("WTT Emission - "&amp;$F235),'Fuel Model - Calculation'!$E$2:$E$3771,0)),MATCH(AB$141,'Fuel Model - Calculation'!$E$2:$M$2,0))</f>
        <v>-2.4534777885240793</v>
      </c>
      <c r="AC235" s="2">
        <f>INDEX('Fuel Model - Calculation'!$E$2:$M$3771,(MATCH(("WTT Emission - "&amp;$F235),'Fuel Model - Calculation'!$E$2:$E$3771,0)),MATCH(AC$141,'Fuel Model - Calculation'!$E$2:$M$2,0))</f>
        <v>-2.5859876995116484</v>
      </c>
      <c r="AD235" s="2">
        <f>INDEX('Fuel Model - Calculation'!$E$2:$M$3771,(MATCH(("WTT Emission - "&amp;$F235),'Fuel Model - Calculation'!$E$2:$E$3771,0)),MATCH(AD$141,'Fuel Model - Calculation'!$E$2:$M$2,0))</f>
        <v>-2.7150443101315176</v>
      </c>
      <c r="AE235" s="2"/>
      <c r="AF235" s="2">
        <f>'Fuel Model -  Input'!H$269</f>
        <v>3.6492599999999999</v>
      </c>
      <c r="AG235" s="2">
        <f>'Fuel Model -  Input'!I$269</f>
        <v>3.6492599999999999</v>
      </c>
      <c r="AH235" s="2">
        <f>'Fuel Model -  Input'!J$269</f>
        <v>3.6492599999999999</v>
      </c>
      <c r="AI235" s="2">
        <f>'Fuel Model -  Input'!K$269</f>
        <v>3.6492599999999999</v>
      </c>
      <c r="AJ235" s="2">
        <f>'Fuel Model -  Input'!L$269</f>
        <v>3.6492599999999999</v>
      </c>
      <c r="AK235" s="2">
        <f>'Fuel Model -  Input'!M$269</f>
        <v>3.6492599999999999</v>
      </c>
      <c r="AL235" s="2">
        <f>'Fuel Model -  Input'!N$269</f>
        <v>3.6492599999999999</v>
      </c>
      <c r="AM235"/>
      <c r="AN235" s="24">
        <f t="shared" si="203"/>
        <v>1.7603548591031881</v>
      </c>
      <c r="AO235" s="24">
        <f t="shared" si="203"/>
        <v>1.6140317466448222</v>
      </c>
      <c r="AP235" s="24">
        <f t="shared" si="203"/>
        <v>1.4711619345541558</v>
      </c>
      <c r="AQ235" s="24">
        <f t="shared" si="203"/>
        <v>1.3317454228311885</v>
      </c>
      <c r="AR235" s="24">
        <f t="shared" si="203"/>
        <v>1.1957822114759207</v>
      </c>
      <c r="AS235" s="24">
        <f t="shared" si="203"/>
        <v>1.0632723004883515</v>
      </c>
      <c r="AT235" s="24">
        <f t="shared" si="203"/>
        <v>0.93421568986848236</v>
      </c>
      <c r="AU235"/>
      <c r="AV235" s="118">
        <f>IFERROR(INDEX('Fuel Model - Calculation'!$B$2:$M$3771,(MATCH(($E235&amp;"Results"&amp;$AV$140&amp;$F235&amp;"USD/ton"),'Fuel Model - Calculation'!$B$2:$B$3771,0)),MATCH(H$141,'Fuel Model - Calculation'!$B$2:$M$2,0)),0)</f>
        <v>572.92139234957222</v>
      </c>
      <c r="AW235" s="118">
        <f>IFERROR(INDEX('Fuel Model - Calculation'!$B$2:$M$3771,(MATCH(($E235&amp;"Results"&amp;$AV$140&amp;$F235&amp;"USD/ton"),'Fuel Model - Calculation'!$B$2:$B$3771,0)),MATCH(I$141,'Fuel Model - Calculation'!$B$2:$M$2,0)),0)</f>
        <v>535.20819791503743</v>
      </c>
      <c r="AX235" s="118">
        <f>IFERROR(INDEX('Fuel Model - Calculation'!$B$2:$M$3771,(MATCH(($E235&amp;"Results"&amp;$AV$140&amp;$F235&amp;"USD/ton"),'Fuel Model - Calculation'!$B$2:$B$3771,0)),MATCH(J$141,'Fuel Model - Calculation'!$B$2:$M$2,0)),0)</f>
        <v>497.49500348050253</v>
      </c>
      <c r="AY235" s="118">
        <f>IFERROR(INDEX('Fuel Model - Calculation'!$B$2:$M$3771,(MATCH(($E235&amp;"Results"&amp;$AV$140&amp;$F235&amp;"USD/ton"),'Fuel Model - Calculation'!$B$2:$B$3771,0)),MATCH(K$141,'Fuel Model - Calculation'!$B$2:$M$2,0)),0)</f>
        <v>459.78180904596769</v>
      </c>
      <c r="AZ235" s="118">
        <f>IFERROR(INDEX('Fuel Model - Calculation'!$B$2:$M$3771,(MATCH(($E235&amp;"Results"&amp;$AV$140&amp;$F235&amp;"USD/ton"),'Fuel Model - Calculation'!$B$2:$B$3771,0)),MATCH(L$141,'Fuel Model - Calculation'!$B$2:$M$2,0)),0)</f>
        <v>422.06861461143285</v>
      </c>
      <c r="BA235" s="118">
        <f>IFERROR(INDEX('Fuel Model - Calculation'!$B$2:$M$3771,(MATCH(($E235&amp;"Results"&amp;$AV$140&amp;$F235&amp;"USD/ton"),'Fuel Model - Calculation'!$B$2:$B$3771,0)),MATCH(M$141,'Fuel Model - Calculation'!$B$2:$M$2,0)),0)</f>
        <v>384.35542017689801</v>
      </c>
      <c r="BB235" s="118">
        <f>IFERROR(INDEX('Fuel Model - Calculation'!$B$2:$M$3771,(MATCH(($E235&amp;"Results"&amp;$AV$140&amp;$F235&amp;"USD/ton"),'Fuel Model - Calculation'!$B$2:$B$3771,0)),MATCH(N$141,'Fuel Model - Calculation'!$B$2:$M$2,0)),0)</f>
        <v>346.64222574236317</v>
      </c>
      <c r="BC235"/>
      <c r="BD235" s="118">
        <f>IFERROR(INDEX('Fuel Model - Calculation'!$B$2:$M$3771,(MATCH(($E235&amp;"Results"&amp;$BD$140&amp;$F235&amp;"USD/ton"),'Fuel Model - Calculation'!$B$2:$B$3771,0)),MATCH(P$141,'Fuel Model - Calculation'!$B$2:$M$2,0)),0)</f>
        <v>387.52064445450259</v>
      </c>
      <c r="BE235" s="118">
        <f>IFERROR(INDEX('Fuel Model - Calculation'!$B$2:$M$3771,(MATCH(($E235&amp;"Results"&amp;$BD$140&amp;$F235&amp;"USD/ton"),'Fuel Model - Calculation'!$B$2:$B$3771,0)),MATCH(Q$141,'Fuel Model - Calculation'!$B$2:$M$2,0)),0)</f>
        <v>365.92776201815064</v>
      </c>
      <c r="BF235" s="118">
        <f>IFERROR(INDEX('Fuel Model - Calculation'!$B$2:$M$3771,(MATCH(($E235&amp;"Results"&amp;$BD$140&amp;$F235&amp;"USD/ton"),'Fuel Model - Calculation'!$B$2:$B$3771,0)),MATCH(R$141,'Fuel Model - Calculation'!$B$2:$M$2,0)),0)</f>
        <v>341.07620206264562</v>
      </c>
      <c r="BG235" s="118">
        <f>IFERROR(INDEX('Fuel Model - Calculation'!$B$2:$M$3771,(MATCH(($E235&amp;"Results"&amp;$BD$140&amp;$F235&amp;"USD/ton"),'Fuel Model - Calculation'!$B$2:$B$3771,0)),MATCH(S$141,'Fuel Model - Calculation'!$B$2:$M$2,0)),0)</f>
        <v>320.16752753325716</v>
      </c>
      <c r="BH235" s="118">
        <f>IFERROR(INDEX('Fuel Model - Calculation'!$B$2:$M$3771,(MATCH(($E235&amp;"Results"&amp;$BD$140&amp;$F235&amp;"USD/ton"),'Fuel Model - Calculation'!$B$2:$B$3771,0)),MATCH(T$141,'Fuel Model - Calculation'!$B$2:$M$2,0)),0)</f>
        <v>299.91728701473158</v>
      </c>
      <c r="BI235" s="118">
        <f>IFERROR(INDEX('Fuel Model - Calculation'!$B$2:$M$3771,(MATCH(($E235&amp;"Results"&amp;$BD$140&amp;$F235&amp;"USD/ton"),'Fuel Model - Calculation'!$B$2:$B$3771,0)),MATCH(U$141,'Fuel Model - Calculation'!$B$2:$M$2,0)),0)</f>
        <v>281.47584121574948</v>
      </c>
      <c r="BJ235" s="118">
        <f>IFERROR(INDEX('Fuel Model - Calculation'!$B$2:$M$3771,(MATCH(($E235&amp;"Results"&amp;$BD$140&amp;$F235&amp;"USD/ton"),'Fuel Model - Calculation'!$B$2:$B$3771,0)),MATCH(V$141,'Fuel Model - Calculation'!$B$2:$M$2,0)),0)</f>
        <v>263.32444271419013</v>
      </c>
      <c r="BL235" s="118">
        <f>IFERROR(IFERROR(INDEX('Fuel Model - Calculation'!$B$2:$M$3771,(MATCH(($E235&amp;"Results"&amp;$BL$140&amp;$F235&amp;"USD/ton"),'Fuel Model - Calculation'!$B$2:$B$3771,0)),MATCH(H$141,'Fuel Model - Calculation'!$B$2:$M$2,0)),0),0)</f>
        <v>0</v>
      </c>
      <c r="BM235" s="118">
        <f>IFERROR(IFERROR(INDEX('Fuel Model - Calculation'!$B$2:$M$3771,(MATCH(($E235&amp;"Results"&amp;$BL$140&amp;$F235&amp;"USD/ton"),'Fuel Model - Calculation'!$B$2:$B$3771,0)),MATCH(I$141,'Fuel Model - Calculation'!$B$2:$M$2,0)),0),0)</f>
        <v>0</v>
      </c>
      <c r="BN235" s="118">
        <f>IFERROR(IFERROR(INDEX('Fuel Model - Calculation'!$B$2:$M$3771,(MATCH(($E235&amp;"Results"&amp;$BL$140&amp;$F235&amp;"USD/ton"),'Fuel Model - Calculation'!$B$2:$B$3771,0)),MATCH(J$141,'Fuel Model - Calculation'!$B$2:$M$2,0)),0),0)</f>
        <v>0</v>
      </c>
      <c r="BO235" s="118">
        <f>IFERROR(IFERROR(INDEX('Fuel Model - Calculation'!$B$2:$M$3771,(MATCH(($E235&amp;"Results"&amp;$BL$140&amp;$F235&amp;"USD/ton"),'Fuel Model - Calculation'!$B$2:$B$3771,0)),MATCH(K$141,'Fuel Model - Calculation'!$B$2:$M$2,0)),0),0)</f>
        <v>0</v>
      </c>
      <c r="BP235" s="118">
        <f>IFERROR(IFERROR(INDEX('Fuel Model - Calculation'!$B$2:$M$3771,(MATCH(($E235&amp;"Results"&amp;$BL$140&amp;$F235&amp;"USD/ton"),'Fuel Model - Calculation'!$B$2:$B$3771,0)),MATCH(L$141,'Fuel Model - Calculation'!$B$2:$M$2,0)),0),0)</f>
        <v>0</v>
      </c>
      <c r="BQ235" s="118">
        <f>IFERROR(IFERROR(INDEX('Fuel Model - Calculation'!$B$2:$M$3771,(MATCH(($E235&amp;"Results"&amp;$BL$140&amp;$F235&amp;"USD/ton"),'Fuel Model - Calculation'!$B$2:$B$3771,0)),MATCH(M$141,'Fuel Model - Calculation'!$B$2:$M$2,0)),0),0)</f>
        <v>0</v>
      </c>
      <c r="BR235" s="118">
        <f>IFERROR(IFERROR(INDEX('Fuel Model - Calculation'!$B$2:$M$3771,(MATCH(($E235&amp;"Results"&amp;$BL$140&amp;$F235&amp;"USD/ton"),'Fuel Model - Calculation'!$B$2:$B$3771,0)),MATCH(N$141,'Fuel Model - Calculation'!$B$2:$M$2,0)),0),0)</f>
        <v>0</v>
      </c>
      <c r="BT235" s="118">
        <f>IFERROR(INDEX('Fuel Model - Calculation'!$B$2:$M$3771,(MATCH(($E235&amp;"Results"&amp;$BT$140&amp;$F235&amp;"USD/ton"),'Fuel Model - Calculation'!$B$2:$B$3771,0)),MATCH(H$141,'Fuel Model - Calculation'!$B$2:$M$2,0)),0)</f>
        <v>233.43988244102835</v>
      </c>
      <c r="BU235" s="118">
        <f>IFERROR(INDEX('Fuel Model - Calculation'!$B$2:$M$3771,(MATCH(($E235&amp;"Results"&amp;$BT$140&amp;$F235&amp;"USD/ton"),'Fuel Model - Calculation'!$B$2:$B$3771,0)),MATCH(I$141,'Fuel Model - Calculation'!$B$2:$M$2,0)),0)</f>
        <v>222.29488176010366</v>
      </c>
      <c r="BV235" s="118">
        <f>IFERROR(INDEX('Fuel Model - Calculation'!$B$2:$M$3771,(MATCH(($E235&amp;"Results"&amp;$BT$140&amp;$F235&amp;"USD/ton"),'Fuel Model - Calculation'!$B$2:$B$3771,0)),MATCH(J$141,'Fuel Model - Calculation'!$B$2:$M$2,0)),0)</f>
        <v>214.54988107917902</v>
      </c>
      <c r="BW235" s="118">
        <f>IFERROR(INDEX('Fuel Model - Calculation'!$B$2:$M$3771,(MATCH(($E235&amp;"Results"&amp;$BT$140&amp;$F235&amp;"USD/ton"),'Fuel Model - Calculation'!$B$2:$B$3771,0)),MATCH(K$141,'Fuel Model - Calculation'!$B$2:$M$2,0)),0)</f>
        <v>207.50488039825433</v>
      </c>
      <c r="BX235" s="118">
        <f>IFERROR(INDEX('Fuel Model - Calculation'!$B$2:$M$3771,(MATCH(($E235&amp;"Results"&amp;$BT$140&amp;$F235&amp;"USD/ton"),'Fuel Model - Calculation'!$B$2:$B$3771,0)),MATCH(L$141,'Fuel Model - Calculation'!$B$2:$M$2,0)),0)</f>
        <v>199.85987971732968</v>
      </c>
      <c r="BY235" s="118">
        <f>IFERROR(INDEX('Fuel Model - Calculation'!$B$2:$M$3771,(MATCH(($E235&amp;"Results"&amp;$BT$140&amp;$F235&amp;"USD/ton"),'Fuel Model - Calculation'!$B$2:$B$3771,0)),MATCH(M$141,'Fuel Model - Calculation'!$B$2:$M$2,0)),0)</f>
        <v>192.21487903640502</v>
      </c>
      <c r="BZ235" s="118">
        <f>IFERROR(INDEX('Fuel Model - Calculation'!$B$2:$M$3771,(MATCH(($E235&amp;"Results"&amp;$BT$140&amp;$F235&amp;"USD/ton"),'Fuel Model - Calculation'!$B$2:$B$3771,0)),MATCH(N$141,'Fuel Model - Calculation'!$B$2:$M$2,0)),0)</f>
        <v>184.56987835548034</v>
      </c>
    </row>
    <row r="236" spans="1:78" x14ac:dyDescent="0.2">
      <c r="A236" s="452"/>
      <c r="B236" s="453" t="str">
        <f>_xlfn.TEXTJOIN(keydelim,TRUE,F236,IF(E236="Africa","Africa&amp;other",E236),"Fuel cost",SUBSTITUTE($G236," ",""))</f>
        <v>Biomethane - Africa&amp;other - Fuel cost - USD/ton</v>
      </c>
      <c r="D236" s="459" t="str">
        <f t="shared" si="204"/>
        <v>AfricaBiomethane</v>
      </c>
      <c r="E236" t="s">
        <v>200</v>
      </c>
      <c r="F236" s="460" t="str">
        <f t="shared" si="205"/>
        <v>Biomethane</v>
      </c>
      <c r="G236" t="s">
        <v>835</v>
      </c>
      <c r="H236" s="118">
        <f>INDEX('Fuel Model - Calculation'!$B$2:$M$3771,(MATCH(($E236&amp;"ResultsCost of "&amp;$F236&amp;"USD/ton"),'Fuel Model - Calculation'!$B$2:$B$3771,0)),MATCH(H$141,'Fuel Model - Calculation'!$B$2:$M$2,0))</f>
        <v>1283.5686193713584</v>
      </c>
      <c r="I236" s="118">
        <f>INDEX('Fuel Model - Calculation'!$B$2:$M$3771,(MATCH(($E236&amp;"ResultsCost of "&amp;$F236&amp;"USD/ton"),'Fuel Model - Calculation'!$B$2:$B$3771,0)),MATCH(I$141,'Fuel Model - Calculation'!$B$2:$M$2,0))</f>
        <v>1146.6166680786964</v>
      </c>
      <c r="J236" s="118">
        <f>INDEX('Fuel Model - Calculation'!$B$2:$M$3771,(MATCH(($E236&amp;"ResultsCost of "&amp;$F236&amp;"USD/ton"),'Fuel Model - Calculation'!$B$2:$B$3771,0)),MATCH(J$141,'Fuel Model - Calculation'!$B$2:$M$2,0))</f>
        <v>1065.9513723190551</v>
      </c>
      <c r="K236" s="118">
        <f>INDEX('Fuel Model - Calculation'!$B$2:$M$3771,(MATCH(($E236&amp;"ResultsCost of "&amp;$F236&amp;"USD/ton"),'Fuel Model - Calculation'!$B$2:$B$3771,0)),MATCH(K$141,'Fuel Model - Calculation'!$B$2:$M$2,0))</f>
        <v>995.87947697062123</v>
      </c>
      <c r="L236" s="118">
        <f>INDEX('Fuel Model - Calculation'!$B$2:$M$3771,(MATCH(($E236&amp;"ResultsCost of "&amp;$F236&amp;"USD/ton"),'Fuel Model - Calculation'!$B$2:$B$3771,0)),MATCH(L$141,'Fuel Model - Calculation'!$B$2:$M$2,0))</f>
        <v>929.1809104254362</v>
      </c>
      <c r="M236" s="118">
        <f>INDEX('Fuel Model - Calculation'!$B$2:$M$3771,(MATCH(($E236&amp;"ResultsCost of "&amp;$F236&amp;"USD/ton"),'Fuel Model - Calculation'!$B$2:$B$3771,0)),MATCH(M$141,'Fuel Model - Calculation'!$B$2:$M$2,0))</f>
        <v>862.34262489380842</v>
      </c>
      <c r="N236" s="118">
        <f>INDEX('Fuel Model - Calculation'!$B$2:$M$3771,(MATCH(($E236&amp;"ResultsCost of "&amp;$F236&amp;"USD/ton"),'Fuel Model - Calculation'!$B$2:$B$3771,0)),MATCH(N$141,'Fuel Model - Calculation'!$B$2:$M$2,0))</f>
        <v>797.09978651504684</v>
      </c>
      <c r="O236"/>
      <c r="P236" s="118">
        <f>IFERROR(INDEX('Fuel Model - Calculation'!G$2:G$3771,(MATCH(($E236&amp;"ResultsTotal RNE "&amp;$F236&amp;"USD/ton"),'Fuel Model - Calculation'!$B$2:$B$3771,0))),0)</f>
        <v>0</v>
      </c>
      <c r="Q236" s="118">
        <f>IFERROR(INDEX('Fuel Model - Calculation'!H$2:H$3771,(MATCH(($E236&amp;"ResultsTotal RNE "&amp;$F236&amp;"USD/ton"),'Fuel Model - Calculation'!$B$2:$B$3771,0))),0)</f>
        <v>0</v>
      </c>
      <c r="R236" s="118">
        <f>IFERROR(INDEX('Fuel Model - Calculation'!I$2:I$3771,(MATCH(($E236&amp;"ResultsTotal RNE "&amp;$F236&amp;"USD/ton"),'Fuel Model - Calculation'!$B$2:$B$3771,0))),0)</f>
        <v>0</v>
      </c>
      <c r="S236" s="118">
        <f>IFERROR(INDEX('Fuel Model - Calculation'!J$2:J$3771,(MATCH(($E236&amp;"ResultsTotal RNE "&amp;$F236&amp;"USD/ton"),'Fuel Model - Calculation'!$B$2:$B$3771,0))),0)</f>
        <v>0</v>
      </c>
      <c r="T236" s="118">
        <f>IFERROR(INDEX('Fuel Model - Calculation'!K$2:K$3771,(MATCH(($E236&amp;"ResultsTotal RNE "&amp;$F236&amp;"USD/ton"),'Fuel Model - Calculation'!$B$2:$B$3771,0))),0)</f>
        <v>0</v>
      </c>
      <c r="U236" s="118">
        <f>IFERROR(INDEX('Fuel Model - Calculation'!L$2:L$3771,(MATCH(($E236&amp;"ResultsTotal RNE "&amp;$F236&amp;"USD/ton"),'Fuel Model - Calculation'!$B$2:$B$3771,0))),0)</f>
        <v>0</v>
      </c>
      <c r="V236" s="118">
        <f>IFERROR(INDEX('Fuel Model - Calculation'!M$2:M$3771,(MATCH(($E236&amp;"ResultsTotal RNE "&amp;$F236&amp;"USD/ton"),'Fuel Model - Calculation'!$B$2:$B$3771,0))),0)</f>
        <v>0</v>
      </c>
      <c r="W236"/>
      <c r="X236" s="2">
        <f>INDEX('Fuel Model - Calculation'!$E$2:$M$3771,(MATCH(("WTT Emission - "&amp;$F236),'Fuel Model - Calculation'!$E$2:$E$3771,0)),MATCH(X$141,'Fuel Model - Calculation'!$E$2:$M$2,0))</f>
        <v>-1.8889051408968118</v>
      </c>
      <c r="Y236" s="2">
        <f>INDEX('Fuel Model - Calculation'!$E$2:$M$3771,(MATCH(("WTT Emission - "&amp;$F236),'Fuel Model - Calculation'!$E$2:$E$3771,0)),MATCH(Y$141,'Fuel Model - Calculation'!$E$2:$M$2,0))</f>
        <v>-2.0352282533551778</v>
      </c>
      <c r="Z236" s="2">
        <f>INDEX('Fuel Model - Calculation'!$E$2:$M$3771,(MATCH(("WTT Emission - "&amp;$F236),'Fuel Model - Calculation'!$E$2:$E$3771,0)),MATCH(Z$141,'Fuel Model - Calculation'!$E$2:$M$2,0))</f>
        <v>-2.1780980654458442</v>
      </c>
      <c r="AA236" s="2">
        <f>INDEX('Fuel Model - Calculation'!$E$2:$M$3771,(MATCH(("WTT Emission - "&amp;$F236),'Fuel Model - Calculation'!$E$2:$E$3771,0)),MATCH(AA$141,'Fuel Model - Calculation'!$E$2:$M$2,0))</f>
        <v>-2.3175145771688115</v>
      </c>
      <c r="AB236" s="2">
        <f>INDEX('Fuel Model - Calculation'!$E$2:$M$3771,(MATCH(("WTT Emission - "&amp;$F236),'Fuel Model - Calculation'!$E$2:$E$3771,0)),MATCH(AB$141,'Fuel Model - Calculation'!$E$2:$M$2,0))</f>
        <v>-2.4534777885240793</v>
      </c>
      <c r="AC236" s="2">
        <f>INDEX('Fuel Model - Calculation'!$E$2:$M$3771,(MATCH(("WTT Emission - "&amp;$F236),'Fuel Model - Calculation'!$E$2:$E$3771,0)),MATCH(AC$141,'Fuel Model - Calculation'!$E$2:$M$2,0))</f>
        <v>-2.5859876995116484</v>
      </c>
      <c r="AD236" s="2">
        <f>INDEX('Fuel Model - Calculation'!$E$2:$M$3771,(MATCH(("WTT Emission - "&amp;$F236),'Fuel Model - Calculation'!$E$2:$E$3771,0)),MATCH(AD$141,'Fuel Model - Calculation'!$E$2:$M$2,0))</f>
        <v>-2.7150443101315176</v>
      </c>
      <c r="AE236" s="2"/>
      <c r="AF236" s="2">
        <f>'Fuel Model -  Input'!H$269</f>
        <v>3.6492599999999999</v>
      </c>
      <c r="AG236" s="2">
        <f>'Fuel Model -  Input'!I$269</f>
        <v>3.6492599999999999</v>
      </c>
      <c r="AH236" s="2">
        <f>'Fuel Model -  Input'!J$269</f>
        <v>3.6492599999999999</v>
      </c>
      <c r="AI236" s="2">
        <f>'Fuel Model -  Input'!K$269</f>
        <v>3.6492599999999999</v>
      </c>
      <c r="AJ236" s="2">
        <f>'Fuel Model -  Input'!L$269</f>
        <v>3.6492599999999999</v>
      </c>
      <c r="AK236" s="2">
        <f>'Fuel Model -  Input'!M$269</f>
        <v>3.6492599999999999</v>
      </c>
      <c r="AL236" s="2">
        <f>'Fuel Model -  Input'!N$269</f>
        <v>3.6492599999999999</v>
      </c>
      <c r="AM236"/>
      <c r="AN236" s="24">
        <f t="shared" si="203"/>
        <v>1.7603548591031881</v>
      </c>
      <c r="AO236" s="24">
        <f t="shared" si="203"/>
        <v>1.6140317466448222</v>
      </c>
      <c r="AP236" s="24">
        <f t="shared" si="203"/>
        <v>1.4711619345541558</v>
      </c>
      <c r="AQ236" s="24">
        <f t="shared" si="203"/>
        <v>1.3317454228311885</v>
      </c>
      <c r="AR236" s="24">
        <f t="shared" si="203"/>
        <v>1.1957822114759207</v>
      </c>
      <c r="AS236" s="24">
        <f t="shared" si="203"/>
        <v>1.0632723004883515</v>
      </c>
      <c r="AT236" s="24">
        <f t="shared" si="203"/>
        <v>0.93421568986848236</v>
      </c>
      <c r="AU236"/>
      <c r="AV236" s="118">
        <f>IFERROR(INDEX('Fuel Model - Calculation'!$B$2:$M$3771,(MATCH(($E236&amp;"Results"&amp;$AV$140&amp;$F236&amp;"USD/ton"),'Fuel Model - Calculation'!$B$2:$B$3771,0)),MATCH(H$141,'Fuel Model - Calculation'!$B$2:$M$2,0)),0)</f>
        <v>572.92139234957222</v>
      </c>
      <c r="AW236" s="118">
        <f>IFERROR(INDEX('Fuel Model - Calculation'!$B$2:$M$3771,(MATCH(($E236&amp;"Results"&amp;$AV$140&amp;$F236&amp;"USD/ton"),'Fuel Model - Calculation'!$B$2:$B$3771,0)),MATCH(I$141,'Fuel Model - Calculation'!$B$2:$M$2,0)),0)</f>
        <v>535.20819791503743</v>
      </c>
      <c r="AX236" s="118">
        <f>IFERROR(INDEX('Fuel Model - Calculation'!$B$2:$M$3771,(MATCH(($E236&amp;"Results"&amp;$AV$140&amp;$F236&amp;"USD/ton"),'Fuel Model - Calculation'!$B$2:$B$3771,0)),MATCH(J$141,'Fuel Model - Calculation'!$B$2:$M$2,0)),0)</f>
        <v>497.49500348050253</v>
      </c>
      <c r="AY236" s="118">
        <f>IFERROR(INDEX('Fuel Model - Calculation'!$B$2:$M$3771,(MATCH(($E236&amp;"Results"&amp;$AV$140&amp;$F236&amp;"USD/ton"),'Fuel Model - Calculation'!$B$2:$B$3771,0)),MATCH(K$141,'Fuel Model - Calculation'!$B$2:$M$2,0)),0)</f>
        <v>459.78180904596769</v>
      </c>
      <c r="AZ236" s="118">
        <f>IFERROR(INDEX('Fuel Model - Calculation'!$B$2:$M$3771,(MATCH(($E236&amp;"Results"&amp;$AV$140&amp;$F236&amp;"USD/ton"),'Fuel Model - Calculation'!$B$2:$B$3771,0)),MATCH(L$141,'Fuel Model - Calculation'!$B$2:$M$2,0)),0)</f>
        <v>422.06861461143285</v>
      </c>
      <c r="BA236" s="118">
        <f>IFERROR(INDEX('Fuel Model - Calculation'!$B$2:$M$3771,(MATCH(($E236&amp;"Results"&amp;$AV$140&amp;$F236&amp;"USD/ton"),'Fuel Model - Calculation'!$B$2:$B$3771,0)),MATCH(M$141,'Fuel Model - Calculation'!$B$2:$M$2,0)),0)</f>
        <v>384.35542017689801</v>
      </c>
      <c r="BB236" s="118">
        <f>IFERROR(INDEX('Fuel Model - Calculation'!$B$2:$M$3771,(MATCH(($E236&amp;"Results"&amp;$AV$140&amp;$F236&amp;"USD/ton"),'Fuel Model - Calculation'!$B$2:$B$3771,0)),MATCH(N$141,'Fuel Model - Calculation'!$B$2:$M$2,0)),0)</f>
        <v>346.64222574236317</v>
      </c>
      <c r="BC236"/>
      <c r="BD236" s="118">
        <f>IFERROR(INDEX('Fuel Model - Calculation'!$B$2:$M$3771,(MATCH(($E236&amp;"Results"&amp;$BD$140&amp;$F236&amp;"USD/ton"),'Fuel Model - Calculation'!$B$2:$B$3771,0)),MATCH(P$141,'Fuel Model - Calculation'!$B$2:$M$2,0)),0)</f>
        <v>435.20734458075776</v>
      </c>
      <c r="BE236" s="118">
        <f>IFERROR(INDEX('Fuel Model - Calculation'!$B$2:$M$3771,(MATCH(($E236&amp;"Results"&amp;$BD$140&amp;$F236&amp;"USD/ton"),'Fuel Model - Calculation'!$B$2:$B$3771,0)),MATCH(Q$141,'Fuel Model - Calculation'!$B$2:$M$2,0)),0)</f>
        <v>377.36358840355524</v>
      </c>
      <c r="BF236" s="118">
        <f>IFERROR(INDEX('Fuel Model - Calculation'!$B$2:$M$3771,(MATCH(($E236&amp;"Results"&amp;$BD$140&amp;$F236&amp;"USD/ton"),'Fuel Model - Calculation'!$B$2:$B$3771,0)),MATCH(R$141,'Fuel Model - Calculation'!$B$2:$M$2,0)),0)</f>
        <v>348.80648775937357</v>
      </c>
      <c r="BG236" s="118">
        <f>IFERROR(INDEX('Fuel Model - Calculation'!$B$2:$M$3771,(MATCH(($E236&amp;"Results"&amp;$BD$140&amp;$F236&amp;"USD/ton"),'Fuel Model - Calculation'!$B$2:$B$3771,0)),MATCH(S$141,'Fuel Model - Calculation'!$B$2:$M$2,0)),0)</f>
        <v>325.21778752639921</v>
      </c>
      <c r="BH236" s="118">
        <f>IFERROR(INDEX('Fuel Model - Calculation'!$B$2:$M$3771,(MATCH(($E236&amp;"Results"&amp;$BD$140&amp;$F236&amp;"USD/ton"),'Fuel Model - Calculation'!$B$2:$B$3771,0)),MATCH(T$141,'Fuel Model - Calculation'!$B$2:$M$2,0)),0)</f>
        <v>305.00241609667358</v>
      </c>
      <c r="BI236" s="118">
        <f>IFERROR(INDEX('Fuel Model - Calculation'!$B$2:$M$3771,(MATCH(($E236&amp;"Results"&amp;$BD$140&amp;$F236&amp;"USD/ton"),'Fuel Model - Calculation'!$B$2:$B$3771,0)),MATCH(U$141,'Fuel Model - Calculation'!$B$2:$M$2,0)),0)</f>
        <v>284.64732568050545</v>
      </c>
      <c r="BJ236" s="118">
        <f>IFERROR(INDEX('Fuel Model - Calculation'!$B$2:$M$3771,(MATCH(($E236&amp;"Results"&amp;$BD$140&amp;$F236&amp;"USD/ton"),'Fuel Model - Calculation'!$B$2:$B$3771,0)),MATCH(V$141,'Fuel Model - Calculation'!$B$2:$M$2,0)),0)</f>
        <v>265.88768241720334</v>
      </c>
      <c r="BL236" s="118">
        <f>IFERROR(IFERROR(INDEX('Fuel Model - Calculation'!$B$2:$M$3771,(MATCH(($E236&amp;"Results"&amp;$BL$140&amp;$F236&amp;"USD/ton"),'Fuel Model - Calculation'!$B$2:$B$3771,0)),MATCH(H$141,'Fuel Model - Calculation'!$B$2:$M$2,0)),0),0)</f>
        <v>0</v>
      </c>
      <c r="BM236" s="118">
        <f>IFERROR(IFERROR(INDEX('Fuel Model - Calculation'!$B$2:$M$3771,(MATCH(($E236&amp;"Results"&amp;$BL$140&amp;$F236&amp;"USD/ton"),'Fuel Model - Calculation'!$B$2:$B$3771,0)),MATCH(I$141,'Fuel Model - Calculation'!$B$2:$M$2,0)),0),0)</f>
        <v>0</v>
      </c>
      <c r="BN236" s="118">
        <f>IFERROR(IFERROR(INDEX('Fuel Model - Calculation'!$B$2:$M$3771,(MATCH(($E236&amp;"Results"&amp;$BL$140&amp;$F236&amp;"USD/ton"),'Fuel Model - Calculation'!$B$2:$B$3771,0)),MATCH(J$141,'Fuel Model - Calculation'!$B$2:$M$2,0)),0),0)</f>
        <v>0</v>
      </c>
      <c r="BO236" s="118">
        <f>IFERROR(IFERROR(INDEX('Fuel Model - Calculation'!$B$2:$M$3771,(MATCH(($E236&amp;"Results"&amp;$BL$140&amp;$F236&amp;"USD/ton"),'Fuel Model - Calculation'!$B$2:$B$3771,0)),MATCH(K$141,'Fuel Model - Calculation'!$B$2:$M$2,0)),0),0)</f>
        <v>0</v>
      </c>
      <c r="BP236" s="118">
        <f>IFERROR(IFERROR(INDEX('Fuel Model - Calculation'!$B$2:$M$3771,(MATCH(($E236&amp;"Results"&amp;$BL$140&amp;$F236&amp;"USD/ton"),'Fuel Model - Calculation'!$B$2:$B$3771,0)),MATCH(L$141,'Fuel Model - Calculation'!$B$2:$M$2,0)),0),0)</f>
        <v>0</v>
      </c>
      <c r="BQ236" s="118">
        <f>IFERROR(IFERROR(INDEX('Fuel Model - Calculation'!$B$2:$M$3771,(MATCH(($E236&amp;"Results"&amp;$BL$140&amp;$F236&amp;"USD/ton"),'Fuel Model - Calculation'!$B$2:$B$3771,0)),MATCH(M$141,'Fuel Model - Calculation'!$B$2:$M$2,0)),0),0)</f>
        <v>0</v>
      </c>
      <c r="BR236" s="118">
        <f>IFERROR(IFERROR(INDEX('Fuel Model - Calculation'!$B$2:$M$3771,(MATCH(($E236&amp;"Results"&amp;$BL$140&amp;$F236&amp;"USD/ton"),'Fuel Model - Calculation'!$B$2:$B$3771,0)),MATCH(N$141,'Fuel Model - Calculation'!$B$2:$M$2,0)),0),0)</f>
        <v>0</v>
      </c>
      <c r="BT236" s="118">
        <f>IFERROR(INDEX('Fuel Model - Calculation'!$B$2:$M$3771,(MATCH(($E236&amp;"Results"&amp;$BT$140&amp;$F236&amp;"USD/ton"),'Fuel Model - Calculation'!$B$2:$B$3771,0)),MATCH(H$141,'Fuel Model - Calculation'!$B$2:$M$2,0)),0)</f>
        <v>275.43988244102837</v>
      </c>
      <c r="BU236" s="118">
        <f>IFERROR(INDEX('Fuel Model - Calculation'!$B$2:$M$3771,(MATCH(($E236&amp;"Results"&amp;$BT$140&amp;$F236&amp;"USD/ton"),'Fuel Model - Calculation'!$B$2:$B$3771,0)),MATCH(I$141,'Fuel Model - Calculation'!$B$2:$M$2,0)),0)</f>
        <v>234.04488176010366</v>
      </c>
      <c r="BV236" s="118">
        <f>IFERROR(INDEX('Fuel Model - Calculation'!$B$2:$M$3771,(MATCH(($E236&amp;"Results"&amp;$BT$140&amp;$F236&amp;"USD/ton"),'Fuel Model - Calculation'!$B$2:$B$3771,0)),MATCH(J$141,'Fuel Model - Calculation'!$B$2:$M$2,0)),0)</f>
        <v>219.64988107917901</v>
      </c>
      <c r="BW236" s="118">
        <f>IFERROR(INDEX('Fuel Model - Calculation'!$B$2:$M$3771,(MATCH(($E236&amp;"Results"&amp;$BT$140&amp;$F236&amp;"USD/ton"),'Fuel Model - Calculation'!$B$2:$B$3771,0)),MATCH(K$141,'Fuel Model - Calculation'!$B$2:$M$2,0)),0)</f>
        <v>210.87988039825433</v>
      </c>
      <c r="BX236" s="118">
        <f>IFERROR(INDEX('Fuel Model - Calculation'!$B$2:$M$3771,(MATCH(($E236&amp;"Results"&amp;$BT$140&amp;$F236&amp;"USD/ton"),'Fuel Model - Calculation'!$B$2:$B$3771,0)),MATCH(L$141,'Fuel Model - Calculation'!$B$2:$M$2,0)),0)</f>
        <v>202.10987971732968</v>
      </c>
      <c r="BY236" s="118">
        <f>IFERROR(INDEX('Fuel Model - Calculation'!$B$2:$M$3771,(MATCH(($E236&amp;"Results"&amp;$BT$140&amp;$F236&amp;"USD/ton"),'Fuel Model - Calculation'!$B$2:$B$3771,0)),MATCH(M$141,'Fuel Model - Calculation'!$B$2:$M$2,0)),0)</f>
        <v>193.33987903640502</v>
      </c>
      <c r="BZ236" s="118">
        <f>IFERROR(INDEX('Fuel Model - Calculation'!$B$2:$M$3771,(MATCH(($E236&amp;"Results"&amp;$BT$140&amp;$F236&amp;"USD/ton"),'Fuel Model - Calculation'!$B$2:$B$3771,0)),MATCH(N$141,'Fuel Model - Calculation'!$B$2:$M$2,0)),0)</f>
        <v>184.56987835548034</v>
      </c>
    </row>
    <row r="237" spans="1:78" x14ac:dyDescent="0.2">
      <c r="A237" s="452"/>
      <c r="B237" s="453"/>
      <c r="D237" s="74"/>
      <c r="E237"/>
      <c r="F237"/>
      <c r="G237"/>
      <c r="H237" s="118"/>
      <c r="I237"/>
      <c r="J237"/>
      <c r="K237"/>
      <c r="L237"/>
      <c r="M237"/>
      <c r="N237"/>
      <c r="O237"/>
      <c r="P237"/>
      <c r="Q237"/>
      <c r="R237"/>
      <c r="S237"/>
      <c r="T237"/>
      <c r="U237"/>
      <c r="V237"/>
      <c r="W237"/>
      <c r="X237"/>
      <c r="Y237"/>
      <c r="Z237"/>
      <c r="AA237"/>
      <c r="AB237"/>
      <c r="AC237"/>
      <c r="AD237"/>
      <c r="AE237"/>
      <c r="AF237" s="2"/>
      <c r="AG237" s="2"/>
      <c r="AH237" s="2"/>
      <c r="AI237" s="2"/>
      <c r="AJ237" s="2"/>
      <c r="AK237" s="2"/>
      <c r="AL237" s="2"/>
      <c r="AM237"/>
      <c r="AN237" s="24"/>
      <c r="AO237" s="24"/>
      <c r="AP237" s="24"/>
      <c r="AQ237" s="24"/>
      <c r="AR237" s="24"/>
      <c r="AS237" s="24"/>
      <c r="AT237" s="24"/>
      <c r="AU237"/>
      <c r="AV237" s="118"/>
      <c r="AW237" s="118"/>
      <c r="AX237" s="118"/>
      <c r="AY237" s="118"/>
      <c r="AZ237" s="118"/>
      <c r="BA237" s="118"/>
      <c r="BB237" s="118"/>
      <c r="BC237"/>
      <c r="BD237" s="118"/>
      <c r="BE237" s="118"/>
      <c r="BF237" s="118"/>
      <c r="BG237" s="118"/>
      <c r="BH237" s="118"/>
      <c r="BI237" s="118"/>
      <c r="BJ237" s="118"/>
      <c r="BL237" s="118"/>
      <c r="BM237" s="118"/>
      <c r="BN237" s="118"/>
      <c r="BO237" s="118"/>
      <c r="BP237" s="118"/>
      <c r="BQ237" s="118"/>
      <c r="BR237" s="118"/>
      <c r="BT237" s="118"/>
      <c r="BU237" s="118"/>
      <c r="BV237" s="118"/>
      <c r="BW237" s="118"/>
      <c r="BX237" s="118"/>
      <c r="BY237" s="118"/>
      <c r="BZ237" s="118"/>
    </row>
    <row r="238" spans="1:78" x14ac:dyDescent="0.2">
      <c r="A238" s="452"/>
      <c r="B238" s="453" t="str">
        <f>_xlfn.TEXTJOIN(keydelim,TRUE,F238,IF(E238="Africa","Africa&amp;other",E238),"Fuel cost",SUBSTITUTE($G238," ",""))</f>
        <v>Biodiesel (HtL) - Europe - Fuel cost - USD/ton</v>
      </c>
      <c r="D238" s="459" t="str">
        <f>E238&amp;F238</f>
        <v>EuropeBiodiesel (HtL)</v>
      </c>
      <c r="E238" t="s">
        <v>195</v>
      </c>
      <c r="F238" s="29" t="s">
        <v>594</v>
      </c>
      <c r="G238" t="s">
        <v>835</v>
      </c>
      <c r="H238" s="118">
        <f>INDEX('Fuel Model - Calculation'!$B$2:$M$3771,(MATCH(($E238&amp;"ResultsCost of "&amp;$F238&amp;"USD/ton"),'Fuel Model - Calculation'!$B$2:$B$3771,0)),MATCH(H$141,'Fuel Model - Calculation'!$B$2:$M$2,0))</f>
        <v>6870.3485857649594</v>
      </c>
      <c r="I238" s="118">
        <f>INDEX('Fuel Model - Calculation'!$B$2:$M$3771,(MATCH(($E238&amp;"ResultsCost of "&amp;$F238&amp;"USD/ton"),'Fuel Model - Calculation'!$B$2:$B$3771,0)),MATCH(I$141,'Fuel Model - Calculation'!$B$2:$M$2,0))</f>
        <v>2254.2177174588669</v>
      </c>
      <c r="J238" s="118">
        <f>INDEX('Fuel Model - Calculation'!$B$2:$M$3771,(MATCH(($E238&amp;"ResultsCost of "&amp;$F238&amp;"USD/ton"),'Fuel Model - Calculation'!$B$2:$B$3771,0)),MATCH(J$141,'Fuel Model - Calculation'!$B$2:$M$2,0))</f>
        <v>1037.2328869880616</v>
      </c>
      <c r="K238" s="118">
        <f>INDEX('Fuel Model - Calculation'!$B$2:$M$3771,(MATCH(($E238&amp;"ResultsCost of "&amp;$F238&amp;"USD/ton"),'Fuel Model - Calculation'!$B$2:$B$3771,0)),MATCH(K$141,'Fuel Model - Calculation'!$B$2:$M$2,0))</f>
        <v>1020.25653680792</v>
      </c>
      <c r="L238" s="118">
        <f>INDEX('Fuel Model - Calculation'!$B$2:$M$3771,(MATCH(($E238&amp;"ResultsCost of "&amp;$F238&amp;"USD/ton"),'Fuel Model - Calculation'!$B$2:$B$3771,0)),MATCH(L$141,'Fuel Model - Calculation'!$B$2:$M$2,0))</f>
        <v>999.18177078054873</v>
      </c>
      <c r="M238" s="118">
        <f>INDEX('Fuel Model - Calculation'!$B$2:$M$3771,(MATCH(($E238&amp;"ResultsCost of "&amp;$F238&amp;"USD/ton"),'Fuel Model - Calculation'!$B$2:$B$3771,0)),MATCH(M$141,'Fuel Model - Calculation'!$B$2:$M$2,0))</f>
        <v>971.49628534591409</v>
      </c>
      <c r="N238" s="118">
        <f>INDEX('Fuel Model - Calculation'!$B$2:$M$3771,(MATCH(($E238&amp;"ResultsCost of "&amp;$F238&amp;"USD/ton"),'Fuel Model - Calculation'!$B$2:$B$3771,0)),MATCH(N$141,'Fuel Model - Calculation'!$B$2:$M$2,0))</f>
        <v>919.45765626413083</v>
      </c>
      <c r="O238"/>
      <c r="P238" s="118">
        <f>IFERROR(INDEX('Fuel Model - Calculation'!G$2:G$3771,(MATCH(($E238&amp;"ResultsTotal RNE "&amp;$F238&amp;"USD/ton"),'Fuel Model - Calculation'!$B$2:$B$3771,0))),0)</f>
        <v>43.701576611944951</v>
      </c>
      <c r="Q238" s="118">
        <f>IFERROR(INDEX('Fuel Model - Calculation'!H$2:H$3771,(MATCH(($E238&amp;"ResultsTotal RNE "&amp;$F238&amp;"USD/ton"),'Fuel Model - Calculation'!$B$2:$B$3771,0))),0)</f>
        <v>35.36224388444419</v>
      </c>
      <c r="R238" s="118">
        <f>IFERROR(INDEX('Fuel Model - Calculation'!I$2:I$3771,(MATCH(($E238&amp;"ResultsTotal RNE "&amp;$F238&amp;"USD/ton"),'Fuel Model - Calculation'!$B$2:$B$3771,0))),0)</f>
        <v>28.519294993998994</v>
      </c>
      <c r="S238" s="118">
        <f>IFERROR(INDEX('Fuel Model - Calculation'!J$2:J$3771,(MATCH(($E238&amp;"ResultsTotal RNE "&amp;$F238&amp;"USD/ton"),'Fuel Model - Calculation'!$B$2:$B$3771,0))),0)</f>
        <v>25.63532866254312</v>
      </c>
      <c r="T238" s="118">
        <f>IFERROR(INDEX('Fuel Model - Calculation'!K$2:K$3771,(MATCH(($E238&amp;"ResultsTotal RNE "&amp;$F238&amp;"USD/ton"),'Fuel Model - Calculation'!$B$2:$B$3771,0))),0)</f>
        <v>23.887616084774027</v>
      </c>
      <c r="U238" s="118">
        <f>IFERROR(INDEX('Fuel Model - Calculation'!L$2:L$3771,(MATCH(($E238&amp;"ResultsTotal RNE "&amp;$F238&amp;"USD/ton"),'Fuel Model - Calculation'!$B$2:$B$3771,0))),0)</f>
        <v>22.037132918055487</v>
      </c>
      <c r="V238" s="118">
        <f>IFERROR(INDEX('Fuel Model - Calculation'!M$2:M$3771,(MATCH(($E238&amp;"ResultsTotal RNE "&amp;$F238&amp;"USD/ton"),'Fuel Model - Calculation'!$B$2:$B$3771,0))),0)</f>
        <v>20.674407235670209</v>
      </c>
      <c r="W238"/>
      <c r="X238" s="2">
        <f>INDEX('Fuel Model - Calculation'!$E$2:$M$3771,(MATCH(("WTT Emission - "&amp;$F238),'Fuel Model - Calculation'!$E$2:$E$3771,0)),MATCH(X$141,'Fuel Model - Calculation'!$E$2:$M$2,0))</f>
        <v>-2.3060680943922076</v>
      </c>
      <c r="Y238" s="2">
        <f>INDEX('Fuel Model - Calculation'!$E$2:$M$3771,(MATCH(("WTT Emission - "&amp;$F238),'Fuel Model - Calculation'!$E$2:$E$3771,0)),MATCH(Y$141,'Fuel Model - Calculation'!$E$2:$M$2,0))</f>
        <v>-2.5003986922241022</v>
      </c>
      <c r="Z238" s="2">
        <f>INDEX('Fuel Model - Calculation'!$E$2:$M$3771,(MATCH(("WTT Emission - "&amp;$F238),'Fuel Model - Calculation'!$E$2:$E$3771,0)),MATCH(Z$141,'Fuel Model - Calculation'!$E$2:$M$2,0))</f>
        <v>-2.6518987620116352</v>
      </c>
      <c r="AA238" s="2">
        <f>INDEX('Fuel Model - Calculation'!$E$2:$M$3771,(MATCH(("WTT Emission - "&amp;$F238),'Fuel Model - Calculation'!$E$2:$E$3771,0)),MATCH(AA$141,'Fuel Model - Calculation'!$E$2:$M$2,0))</f>
        <v>-2.9405528396694591</v>
      </c>
      <c r="AB238" s="2">
        <f>INDEX('Fuel Model - Calculation'!$E$2:$M$3771,(MATCH(("WTT Emission - "&amp;$F238),'Fuel Model - Calculation'!$E$2:$E$3771,0)),MATCH(AB$141,'Fuel Model - Calculation'!$E$2:$M$2,0))</f>
        <v>-3.0124184563878584</v>
      </c>
      <c r="AC238" s="2">
        <f>INDEX('Fuel Model - Calculation'!$E$2:$M$3771,(MATCH(("WTT Emission - "&amp;$F238),'Fuel Model - Calculation'!$E$2:$E$3771,0)),MATCH(AC$141,'Fuel Model - Calculation'!$E$2:$M$2,0))</f>
        <v>-3.0902555672657961</v>
      </c>
      <c r="AD238" s="2">
        <f>INDEX('Fuel Model - Calculation'!$E$2:$M$3771,(MATCH(("WTT Emission - "&amp;$F238),'Fuel Model - Calculation'!$E$2:$E$3771,0)),MATCH(AD$141,'Fuel Model - Calculation'!$E$2:$M$2,0))</f>
        <v>-3.18536199131356</v>
      </c>
      <c r="AE238" s="2"/>
      <c r="AF238" s="2">
        <f>'Fuel Model -  Input'!H$55</f>
        <v>3.2553300000000003</v>
      </c>
      <c r="AG238" s="2">
        <f>'Fuel Model -  Input'!I$55</f>
        <v>3.2553300000000003</v>
      </c>
      <c r="AH238" s="2">
        <f>'Fuel Model -  Input'!J$55</f>
        <v>3.2553300000000003</v>
      </c>
      <c r="AI238" s="2">
        <f>'Fuel Model -  Input'!K$55</f>
        <v>3.2553300000000003</v>
      </c>
      <c r="AJ238" s="2">
        <f>'Fuel Model -  Input'!L$55</f>
        <v>3.2553300000000003</v>
      </c>
      <c r="AK238" s="2">
        <f>'Fuel Model -  Input'!M$55</f>
        <v>3.2553300000000003</v>
      </c>
      <c r="AL238" s="2">
        <f>'Fuel Model -  Input'!N$55</f>
        <v>3.2553300000000003</v>
      </c>
      <c r="AM238"/>
      <c r="AN238" s="24">
        <f t="shared" ref="AN238:AT242" si="206">X238+AF238</f>
        <v>0.94926190560779267</v>
      </c>
      <c r="AO238" s="24">
        <f t="shared" si="206"/>
        <v>0.75493130777589812</v>
      </c>
      <c r="AP238" s="24">
        <f t="shared" si="206"/>
        <v>0.60343123798836507</v>
      </c>
      <c r="AQ238" s="24">
        <f t="shared" si="206"/>
        <v>0.31477716033054115</v>
      </c>
      <c r="AR238" s="24">
        <f t="shared" si="206"/>
        <v>0.24291154361214184</v>
      </c>
      <c r="AS238" s="24">
        <f t="shared" si="206"/>
        <v>0.16507443273420419</v>
      </c>
      <c r="AT238" s="24">
        <f t="shared" si="206"/>
        <v>6.9968008686440264E-2</v>
      </c>
      <c r="AU238"/>
      <c r="AV238" s="118">
        <f>IFERROR(INDEX('Fuel Model - Calculation'!$B$2:$M$3771,(MATCH(($E238&amp;"Results"&amp;$AV$140&amp;$F238&amp;"USD/ton"),'Fuel Model - Calculation'!$B$2:$B$3771,0)),MATCH(H$141,'Fuel Model - Calculation'!$B$2:$M$2,0)),0)</f>
        <v>1314.6947939385132</v>
      </c>
      <c r="AW238" s="118">
        <f>IFERROR(INDEX('Fuel Model - Calculation'!$B$2:$M$3771,(MATCH(($E238&amp;"Results"&amp;$AV$140&amp;$F238&amp;"USD/ton"),'Fuel Model - Calculation'!$B$2:$B$3771,0)),MATCH(I$141,'Fuel Model - Calculation'!$B$2:$M$2,0)),0)</f>
        <v>788.81687636310789</v>
      </c>
      <c r="AX238" s="118">
        <f>IFERROR(INDEX('Fuel Model - Calculation'!$B$2:$M$3771,(MATCH(($E238&amp;"Results"&amp;$AV$140&amp;$F238&amp;"USD/ton"),'Fuel Model - Calculation'!$B$2:$B$3771,0)),MATCH(J$141,'Fuel Model - Calculation'!$B$2:$M$2,0)),0)</f>
        <v>262.93895878770263</v>
      </c>
      <c r="AY238" s="118">
        <f>IFERROR(INDEX('Fuel Model - Calculation'!$B$2:$M$3771,(MATCH(($E238&amp;"Results"&amp;$AV$140&amp;$F238&amp;"USD/ton"),'Fuel Model - Calculation'!$B$2:$B$3771,0)),MATCH(K$141,'Fuel Model - Calculation'!$B$2:$M$2,0)),0)</f>
        <v>247.16262126044049</v>
      </c>
      <c r="AZ238" s="118">
        <f>IFERROR(INDEX('Fuel Model - Calculation'!$B$2:$M$3771,(MATCH(($E238&amp;"Results"&amp;$AV$140&amp;$F238&amp;"USD/ton"),'Fuel Model - Calculation'!$B$2:$B$3771,0)),MATCH(L$141,'Fuel Model - Calculation'!$B$2:$M$2,0)),0)</f>
        <v>239.2744524968094</v>
      </c>
      <c r="BA238" s="118">
        <f>IFERROR(INDEX('Fuel Model - Calculation'!$B$2:$M$3771,(MATCH(($E238&amp;"Results"&amp;$AV$140&amp;$F238&amp;"USD/ton"),'Fuel Model - Calculation'!$B$2:$B$3771,0)),MATCH(M$141,'Fuel Model - Calculation'!$B$2:$M$2,0)),0)</f>
        <v>231.38628373317832</v>
      </c>
      <c r="BB238" s="118">
        <f>IFERROR(INDEX('Fuel Model - Calculation'!$B$2:$M$3771,(MATCH(($E238&amp;"Results"&amp;$AV$140&amp;$F238&amp;"USD/ton"),'Fuel Model - Calculation'!$B$2:$B$3771,0)),MATCH(N$141,'Fuel Model - Calculation'!$B$2:$M$2,0)),0)</f>
        <v>223.49811496954723</v>
      </c>
      <c r="BC238"/>
      <c r="BD238" s="118">
        <f>IFERROR(INDEX('Fuel Model - Calculation'!$B$2:$M$3771,(MATCH(($E238&amp;"Results"&amp;$BD$140&amp;$F238&amp;"USD/ton"),'Fuel Model - Calculation'!$B$2:$B$3771,0)),MATCH(P$141,'Fuel Model - Calculation'!$B$2:$M$2,0)),0)</f>
        <v>4821.1718011339271</v>
      </c>
      <c r="BE238" s="118">
        <f>IFERROR(INDEX('Fuel Model - Calculation'!$B$2:$M$3771,(MATCH(($E238&amp;"Results"&amp;$BD$140&amp;$F238&amp;"USD/ton"),'Fuel Model - Calculation'!$B$2:$B$3771,0)),MATCH(Q$141,'Fuel Model - Calculation'!$B$2:$M$2,0)),0)</f>
        <v>964.23436022678538</v>
      </c>
      <c r="BF238" s="118">
        <f>IFERROR(INDEX('Fuel Model - Calculation'!$B$2:$M$3771,(MATCH(($E238&amp;"Results"&amp;$BD$140&amp;$F238&amp;"USD/ton"),'Fuel Model - Calculation'!$B$2:$B$3771,0)),MATCH(R$141,'Fuel Model - Calculation'!$B$2:$M$2,0)),0)</f>
        <v>321.41145340892848</v>
      </c>
      <c r="BG238" s="118">
        <f>IFERROR(INDEX('Fuel Model - Calculation'!$B$2:$M$3771,(MATCH(($E238&amp;"Results"&amp;$BD$140&amp;$F238&amp;"USD/ton"),'Fuel Model - Calculation'!$B$2:$B$3771,0)),MATCH(S$141,'Fuel Model - Calculation'!$B$2:$M$2,0)),0)</f>
        <v>302.12676620439277</v>
      </c>
      <c r="BH238" s="118">
        <f>IFERROR(INDEX('Fuel Model - Calculation'!$B$2:$M$3771,(MATCH(($E238&amp;"Results"&amp;$BD$140&amp;$F238&amp;"USD/ton"),'Fuel Model - Calculation'!$B$2:$B$3771,0)),MATCH(T$141,'Fuel Model - Calculation'!$B$2:$M$2,0)),0)</f>
        <v>292.48442260212494</v>
      </c>
      <c r="BI238" s="118">
        <f>IFERROR(INDEX('Fuel Model - Calculation'!$B$2:$M$3771,(MATCH(($E238&amp;"Results"&amp;$BD$140&amp;$F238&amp;"USD/ton"),'Fuel Model - Calculation'!$B$2:$B$3771,0)),MATCH(U$141,'Fuel Model - Calculation'!$B$2:$M$2,0)),0)</f>
        <v>282.84207899985711</v>
      </c>
      <c r="BJ238" s="118">
        <f>IFERROR(INDEX('Fuel Model - Calculation'!$B$2:$M$3771,(MATCH(($E238&amp;"Results"&amp;$BD$140&amp;$F238&amp;"USD/ton"),'Fuel Model - Calculation'!$B$2:$B$3771,0)),MATCH(V$141,'Fuel Model - Calculation'!$B$2:$M$2,0)),0)</f>
        <v>273.19973539758922</v>
      </c>
      <c r="BL238" s="118">
        <f>IFERROR(IFERROR(INDEX('Fuel Model - Calculation'!$B$2:$M$3771,(MATCH(($E238&amp;"Results"&amp;$BL$140&amp;$F238&amp;"USD/ton"),'Fuel Model - Calculation'!$B$2:$B$3771,0)),MATCH(H$141,'Fuel Model - Calculation'!$B$2:$M$2,0)),0),0)</f>
        <v>0</v>
      </c>
      <c r="BM238" s="118">
        <f>IFERROR(IFERROR(INDEX('Fuel Model - Calculation'!$B$2:$M$3771,(MATCH(($E238&amp;"Results"&amp;$BL$140&amp;$F238&amp;"USD/ton"),'Fuel Model - Calculation'!$B$2:$B$3771,0)),MATCH(I$141,'Fuel Model - Calculation'!$B$2:$M$2,0)),0),0)</f>
        <v>0</v>
      </c>
      <c r="BN238" s="118">
        <f>IFERROR(IFERROR(INDEX('Fuel Model - Calculation'!$B$2:$M$3771,(MATCH(($E238&amp;"Results"&amp;$BL$140&amp;$F238&amp;"USD/ton"),'Fuel Model - Calculation'!$B$2:$B$3771,0)),MATCH(J$141,'Fuel Model - Calculation'!$B$2:$M$2,0)),0),0)</f>
        <v>0</v>
      </c>
      <c r="BO238" s="118">
        <f>IFERROR(IFERROR(INDEX('Fuel Model - Calculation'!$B$2:$M$3771,(MATCH(($E238&amp;"Results"&amp;$BL$140&amp;$F238&amp;"USD/ton"),'Fuel Model - Calculation'!$B$2:$B$3771,0)),MATCH(K$141,'Fuel Model - Calculation'!$B$2:$M$2,0)),0),0)</f>
        <v>0</v>
      </c>
      <c r="BP238" s="118">
        <f>IFERROR(IFERROR(INDEX('Fuel Model - Calculation'!$B$2:$M$3771,(MATCH(($E238&amp;"Results"&amp;$BL$140&amp;$F238&amp;"USD/ton"),'Fuel Model - Calculation'!$B$2:$B$3771,0)),MATCH(L$141,'Fuel Model - Calculation'!$B$2:$M$2,0)),0),0)</f>
        <v>0</v>
      </c>
      <c r="BQ238" s="118">
        <f>IFERROR(IFERROR(INDEX('Fuel Model - Calculation'!$B$2:$M$3771,(MATCH(($E238&amp;"Results"&amp;$BL$140&amp;$F238&amp;"USD/ton"),'Fuel Model - Calculation'!$B$2:$B$3771,0)),MATCH(M$141,'Fuel Model - Calculation'!$B$2:$M$2,0)),0),0)</f>
        <v>0</v>
      </c>
      <c r="BR238" s="118">
        <f>IFERROR(IFERROR(INDEX('Fuel Model - Calculation'!$B$2:$M$3771,(MATCH(($E238&amp;"Results"&amp;$BL$140&amp;$F238&amp;"USD/ton"),'Fuel Model - Calculation'!$B$2:$B$3771,0)),MATCH(N$141,'Fuel Model - Calculation'!$B$2:$M$2,0)),0),0)</f>
        <v>0</v>
      </c>
      <c r="BT238" s="118">
        <f>IFERROR(INDEX('Fuel Model - Calculation'!$B$2:$M$3771,(MATCH(($E238&amp;"Results"&amp;$BT$140&amp;$F238&amp;"USD/ton"),'Fuel Model - Calculation'!$B$2:$B$3771,0)),MATCH(H$141,'Fuel Model - Calculation'!$B$2:$M$2,0)),0)</f>
        <v>690.78041408057379</v>
      </c>
      <c r="BU238" s="118">
        <f>IFERROR(INDEX('Fuel Model - Calculation'!$B$2:$M$3771,(MATCH(($E238&amp;"Results"&amp;$BT$140&amp;$F238&amp;"USD/ton"),'Fuel Model - Calculation'!$B$2:$B$3771,0)),MATCH(I$141,'Fuel Model - Calculation'!$B$2:$M$2,0)),0)</f>
        <v>465.80423698452915</v>
      </c>
      <c r="BV238" s="118">
        <f>IFERROR(INDEX('Fuel Model - Calculation'!$B$2:$M$3771,(MATCH(($E238&amp;"Results"&amp;$BT$140&amp;$F238&amp;"USD/ton"),'Fuel Model - Calculation'!$B$2:$B$3771,0)),MATCH(J$141,'Fuel Model - Calculation'!$B$2:$M$2,0)),0)</f>
        <v>424.36317979743137</v>
      </c>
      <c r="BW238" s="118">
        <f>IFERROR(INDEX('Fuel Model - Calculation'!$B$2:$M$3771,(MATCH(($E238&amp;"Results"&amp;$BT$140&amp;$F238&amp;"USD/ton"),'Fuel Model - Calculation'!$B$2:$B$3771,0)),MATCH(K$141,'Fuel Model - Calculation'!$B$2:$M$2,0)),0)</f>
        <v>445.33182068054373</v>
      </c>
      <c r="BX238" s="118">
        <f>IFERROR(INDEX('Fuel Model - Calculation'!$B$2:$M$3771,(MATCH(($E238&amp;"Results"&amp;$BT$140&amp;$F238&amp;"USD/ton"),'Fuel Model - Calculation'!$B$2:$B$3771,0)),MATCH(L$141,'Fuel Model - Calculation'!$B$2:$M$2,0)),0)</f>
        <v>443.53527959684038</v>
      </c>
      <c r="BY238" s="118">
        <f>IFERROR(INDEX('Fuel Model - Calculation'!$B$2:$M$3771,(MATCH(($E238&amp;"Results"&amp;$BT$140&amp;$F238&amp;"USD/ton"),'Fuel Model - Calculation'!$B$2:$B$3771,0)),MATCH(M$141,'Fuel Model - Calculation'!$B$2:$M$2,0)),0)</f>
        <v>435.23078969482322</v>
      </c>
      <c r="BZ238" s="118">
        <f>IFERROR(INDEX('Fuel Model - Calculation'!$B$2:$M$3771,(MATCH(($E238&amp;"Results"&amp;$BT$140&amp;$F238&amp;"USD/ton"),'Fuel Model - Calculation'!$B$2:$B$3771,0)),MATCH(N$141,'Fuel Model - Calculation'!$B$2:$M$2,0)),0)</f>
        <v>402.08539866132423</v>
      </c>
    </row>
    <row r="239" spans="1:78" x14ac:dyDescent="0.2">
      <c r="A239" s="452"/>
      <c r="B239" s="453" t="str">
        <f>_xlfn.TEXTJOIN(keydelim,TRUE,F239,IF(E239="Africa","Africa&amp;other",E239),"Fuel cost",SUBSTITUTE($G239," ",""))</f>
        <v>Biodiesel (HtL) - Middle East - Fuel cost - USD/ton</v>
      </c>
      <c r="D239" s="459" t="str">
        <f t="shared" ref="D239:D242" si="207">E239&amp;F239</f>
        <v>Middle EastBiodiesel (HtL)</v>
      </c>
      <c r="E239" t="s">
        <v>197</v>
      </c>
      <c r="F239" s="460" t="str">
        <f t="shared" ref="F239:F242" si="208">F238</f>
        <v>Biodiesel (HtL)</v>
      </c>
      <c r="G239" t="s">
        <v>835</v>
      </c>
      <c r="H239" s="118">
        <f>INDEX('Fuel Model - Calculation'!$B$2:$M$3771,(MATCH(($E239&amp;"ResultsCost of "&amp;$F239&amp;"USD/ton"),'Fuel Model - Calculation'!$B$2:$B$3771,0)),MATCH(H$141,'Fuel Model - Calculation'!$B$2:$M$2,0))</f>
        <v>6799.915994836183</v>
      </c>
      <c r="I239" s="118">
        <f>INDEX('Fuel Model - Calculation'!$B$2:$M$3771,(MATCH(($E239&amp;"ResultsCost of "&amp;$F239&amp;"USD/ton"),'Fuel Model - Calculation'!$B$2:$B$3771,0)),MATCH(I$141,'Fuel Model - Calculation'!$B$2:$M$2,0))</f>
        <v>2224.41348544826</v>
      </c>
      <c r="J239" s="118">
        <f>INDEX('Fuel Model - Calculation'!$B$2:$M$3771,(MATCH(($E239&amp;"ResultsCost of "&amp;$F239&amp;"USD/ton"),'Fuel Model - Calculation'!$B$2:$B$3771,0)),MATCH(J$141,'Fuel Model - Calculation'!$B$2:$M$2,0))</f>
        <v>976.43375921860127</v>
      </c>
      <c r="K239" s="118">
        <f>INDEX('Fuel Model - Calculation'!$B$2:$M$3771,(MATCH(($E239&amp;"ResultsCost of "&amp;$F239&amp;"USD/ton"),'Fuel Model - Calculation'!$B$2:$B$3771,0)),MATCH(K$141,'Fuel Model - Calculation'!$B$2:$M$2,0))</f>
        <v>959.41398159459106</v>
      </c>
      <c r="L239" s="118">
        <f>INDEX('Fuel Model - Calculation'!$B$2:$M$3771,(MATCH(($E239&amp;"ResultsCost of "&amp;$F239&amp;"USD/ton"),'Fuel Model - Calculation'!$B$2:$B$3771,0)),MATCH(L$141,'Fuel Model - Calculation'!$B$2:$M$2,0))</f>
        <v>945.67612700882444</v>
      </c>
      <c r="M239" s="118">
        <f>INDEX('Fuel Model - Calculation'!$B$2:$M$3771,(MATCH(($E239&amp;"ResultsCost of "&amp;$F239&amp;"USD/ton"),'Fuel Model - Calculation'!$B$2:$B$3771,0)),MATCH(M$141,'Fuel Model - Calculation'!$B$2:$M$2,0))</f>
        <v>926.92963809148955</v>
      </c>
      <c r="N239" s="118">
        <f>INDEX('Fuel Model - Calculation'!$B$2:$M$3771,(MATCH(($E239&amp;"ResultsCost of "&amp;$F239&amp;"USD/ton"),'Fuel Model - Calculation'!$B$2:$B$3771,0)),MATCH(N$141,'Fuel Model - Calculation'!$B$2:$M$2,0))</f>
        <v>898.1632758894433</v>
      </c>
      <c r="O239"/>
      <c r="P239" s="118">
        <f>IFERROR(INDEX('Fuel Model - Calculation'!G$2:G$3771,(MATCH(($E239&amp;"ResultsTotal RNE "&amp;$F239&amp;"USD/ton"),'Fuel Model - Calculation'!$B$2:$B$3771,0))),0)</f>
        <v>33.555632415643338</v>
      </c>
      <c r="Q239" s="118">
        <f>IFERROR(INDEX('Fuel Model - Calculation'!H$2:H$3771,(MATCH(($E239&amp;"ResultsTotal RNE "&amp;$F239&amp;"USD/ton"),'Fuel Model - Calculation'!$B$2:$B$3771,0))),0)</f>
        <v>27.017532576158093</v>
      </c>
      <c r="R239" s="118">
        <f>IFERROR(INDEX('Fuel Model - Calculation'!I$2:I$3771,(MATCH(($E239&amp;"ResultsTotal RNE "&amp;$F239&amp;"USD/ton"),'Fuel Model - Calculation'!$B$2:$B$3771,0))),0)</f>
        <v>22.605707379829621</v>
      </c>
      <c r="S239" s="118">
        <f>IFERROR(INDEX('Fuel Model - Calculation'!J$2:J$3771,(MATCH(($E239&amp;"ResultsTotal RNE "&amp;$F239&amp;"USD/ton"),'Fuel Model - Calculation'!$B$2:$B$3771,0))),0)</f>
        <v>19.49271869560026</v>
      </c>
      <c r="T239" s="118">
        <f>IFERROR(INDEX('Fuel Model - Calculation'!K$2:K$3771,(MATCH(($E239&amp;"ResultsTotal RNE "&amp;$F239&amp;"USD/ton"),'Fuel Model - Calculation'!$B$2:$B$3771,0))),0)</f>
        <v>17.907277561987673</v>
      </c>
      <c r="U239" s="118">
        <f>IFERROR(INDEX('Fuel Model - Calculation'!L$2:L$3771,(MATCH(($E239&amp;"ResultsTotal RNE "&amp;$F239&amp;"USD/ton"),'Fuel Model - Calculation'!$B$2:$B$3771,0))),0)</f>
        <v>15.863447245827011</v>
      </c>
      <c r="V239" s="118">
        <f>IFERROR(INDEX('Fuel Model - Calculation'!M$2:M$3771,(MATCH(($E239&amp;"ResultsTotal RNE "&amp;$F239&amp;"USD/ton"),'Fuel Model - Calculation'!$B$2:$B$3771,0))),0)</f>
        <v>14.882412266220379</v>
      </c>
      <c r="W239"/>
      <c r="X239" s="2">
        <f>INDEX('Fuel Model - Calculation'!$E$2:$M$3771,(MATCH(("WTT Emission - "&amp;$F239),'Fuel Model - Calculation'!$E$2:$E$3771,0)),MATCH(X$141,'Fuel Model - Calculation'!$E$2:$M$2,0))</f>
        <v>-2.3060680943922076</v>
      </c>
      <c r="Y239" s="2">
        <f>INDEX('Fuel Model - Calculation'!$E$2:$M$3771,(MATCH(("WTT Emission - "&amp;$F239),'Fuel Model - Calculation'!$E$2:$E$3771,0)),MATCH(Y$141,'Fuel Model - Calculation'!$E$2:$M$2,0))</f>
        <v>-2.5003986922241022</v>
      </c>
      <c r="Z239" s="2">
        <f>INDEX('Fuel Model - Calculation'!$E$2:$M$3771,(MATCH(("WTT Emission - "&amp;$F239),'Fuel Model - Calculation'!$E$2:$E$3771,0)),MATCH(Z$141,'Fuel Model - Calculation'!$E$2:$M$2,0))</f>
        <v>-2.6518987620116352</v>
      </c>
      <c r="AA239" s="2">
        <f>INDEX('Fuel Model - Calculation'!$E$2:$M$3771,(MATCH(("WTT Emission - "&amp;$F239),'Fuel Model - Calculation'!$E$2:$E$3771,0)),MATCH(AA$141,'Fuel Model - Calculation'!$E$2:$M$2,0))</f>
        <v>-2.9405528396694591</v>
      </c>
      <c r="AB239" s="2">
        <f>INDEX('Fuel Model - Calculation'!$E$2:$M$3771,(MATCH(("WTT Emission - "&amp;$F239),'Fuel Model - Calculation'!$E$2:$E$3771,0)),MATCH(AB$141,'Fuel Model - Calculation'!$E$2:$M$2,0))</f>
        <v>-3.0124184563878584</v>
      </c>
      <c r="AC239" s="2">
        <f>INDEX('Fuel Model - Calculation'!$E$2:$M$3771,(MATCH(("WTT Emission - "&amp;$F239),'Fuel Model - Calculation'!$E$2:$E$3771,0)),MATCH(AC$141,'Fuel Model - Calculation'!$E$2:$M$2,0))</f>
        <v>-3.0902555672657961</v>
      </c>
      <c r="AD239" s="2">
        <f>INDEX('Fuel Model - Calculation'!$E$2:$M$3771,(MATCH(("WTT Emission - "&amp;$F239),'Fuel Model - Calculation'!$E$2:$E$3771,0)),MATCH(AD$141,'Fuel Model - Calculation'!$E$2:$M$2,0))</f>
        <v>-3.18536199131356</v>
      </c>
      <c r="AE239" s="2"/>
      <c r="AF239" s="2">
        <f>'Fuel Model -  Input'!H$55</f>
        <v>3.2553300000000003</v>
      </c>
      <c r="AG239" s="2">
        <f>'Fuel Model -  Input'!I$55</f>
        <v>3.2553300000000003</v>
      </c>
      <c r="AH239" s="2">
        <f>'Fuel Model -  Input'!J$55</f>
        <v>3.2553300000000003</v>
      </c>
      <c r="AI239" s="2">
        <f>'Fuel Model -  Input'!K$55</f>
        <v>3.2553300000000003</v>
      </c>
      <c r="AJ239" s="2">
        <f>'Fuel Model -  Input'!L$55</f>
        <v>3.2553300000000003</v>
      </c>
      <c r="AK239" s="2">
        <f>'Fuel Model -  Input'!M$55</f>
        <v>3.2553300000000003</v>
      </c>
      <c r="AL239" s="2">
        <f>'Fuel Model -  Input'!N$55</f>
        <v>3.2553300000000003</v>
      </c>
      <c r="AM239"/>
      <c r="AN239" s="24">
        <f t="shared" si="206"/>
        <v>0.94926190560779267</v>
      </c>
      <c r="AO239" s="24">
        <f t="shared" si="206"/>
        <v>0.75493130777589812</v>
      </c>
      <c r="AP239" s="24">
        <f t="shared" si="206"/>
        <v>0.60343123798836507</v>
      </c>
      <c r="AQ239" s="24">
        <f t="shared" si="206"/>
        <v>0.31477716033054115</v>
      </c>
      <c r="AR239" s="24">
        <f t="shared" si="206"/>
        <v>0.24291154361214184</v>
      </c>
      <c r="AS239" s="24">
        <f t="shared" si="206"/>
        <v>0.16507443273420419</v>
      </c>
      <c r="AT239" s="24">
        <f t="shared" si="206"/>
        <v>6.9968008686440264E-2</v>
      </c>
      <c r="AU239"/>
      <c r="AV239" s="118">
        <f>IFERROR(INDEX('Fuel Model - Calculation'!$B$2:$M$3771,(MATCH(($E239&amp;"Results"&amp;$AV$140&amp;$F239&amp;"USD/ton"),'Fuel Model - Calculation'!$B$2:$B$3771,0)),MATCH(H$141,'Fuel Model - Calculation'!$B$2:$M$2,0)),0)</f>
        <v>1314.6947939385132</v>
      </c>
      <c r="AW239" s="118">
        <f>IFERROR(INDEX('Fuel Model - Calculation'!$B$2:$M$3771,(MATCH(($E239&amp;"Results"&amp;$AV$140&amp;$F239&amp;"USD/ton"),'Fuel Model - Calculation'!$B$2:$B$3771,0)),MATCH(I$141,'Fuel Model - Calculation'!$B$2:$M$2,0)),0)</f>
        <v>788.81687636310789</v>
      </c>
      <c r="AX239" s="118">
        <f>IFERROR(INDEX('Fuel Model - Calculation'!$B$2:$M$3771,(MATCH(($E239&amp;"Results"&amp;$AV$140&amp;$F239&amp;"USD/ton"),'Fuel Model - Calculation'!$B$2:$B$3771,0)),MATCH(J$141,'Fuel Model - Calculation'!$B$2:$M$2,0)),0)</f>
        <v>262.93895878770263</v>
      </c>
      <c r="AY239" s="118">
        <f>IFERROR(INDEX('Fuel Model - Calculation'!$B$2:$M$3771,(MATCH(($E239&amp;"Results"&amp;$AV$140&amp;$F239&amp;"USD/ton"),'Fuel Model - Calculation'!$B$2:$B$3771,0)),MATCH(K$141,'Fuel Model - Calculation'!$B$2:$M$2,0)),0)</f>
        <v>247.16262126044049</v>
      </c>
      <c r="AZ239" s="118">
        <f>IFERROR(INDEX('Fuel Model - Calculation'!$B$2:$M$3771,(MATCH(($E239&amp;"Results"&amp;$AV$140&amp;$F239&amp;"USD/ton"),'Fuel Model - Calculation'!$B$2:$B$3771,0)),MATCH(L$141,'Fuel Model - Calculation'!$B$2:$M$2,0)),0)</f>
        <v>239.2744524968094</v>
      </c>
      <c r="BA239" s="118">
        <f>IFERROR(INDEX('Fuel Model - Calculation'!$B$2:$M$3771,(MATCH(($E239&amp;"Results"&amp;$AV$140&amp;$F239&amp;"USD/ton"),'Fuel Model - Calculation'!$B$2:$B$3771,0)),MATCH(M$141,'Fuel Model - Calculation'!$B$2:$M$2,0)),0)</f>
        <v>231.38628373317832</v>
      </c>
      <c r="BB239" s="118">
        <f>IFERROR(INDEX('Fuel Model - Calculation'!$B$2:$M$3771,(MATCH(($E239&amp;"Results"&amp;$AV$140&amp;$F239&amp;"USD/ton"),'Fuel Model - Calculation'!$B$2:$B$3771,0)),MATCH(N$141,'Fuel Model - Calculation'!$B$2:$M$2,0)),0)</f>
        <v>223.49811496954723</v>
      </c>
      <c r="BC239"/>
      <c r="BD239" s="118">
        <f>IFERROR(INDEX('Fuel Model - Calculation'!$B$2:$M$3771,(MATCH(($E239&amp;"Results"&amp;$BD$140&amp;$F239&amp;"USD/ton"),'Fuel Model - Calculation'!$B$2:$B$3771,0)),MATCH(P$141,'Fuel Model - Calculation'!$B$2:$M$2,0)),0)</f>
        <v>4821.1718011339271</v>
      </c>
      <c r="BE239" s="118">
        <f>IFERROR(INDEX('Fuel Model - Calculation'!$B$2:$M$3771,(MATCH(($E239&amp;"Results"&amp;$BD$140&amp;$F239&amp;"USD/ton"),'Fuel Model - Calculation'!$B$2:$B$3771,0)),MATCH(Q$141,'Fuel Model - Calculation'!$B$2:$M$2,0)),0)</f>
        <v>964.23436022678538</v>
      </c>
      <c r="BF239" s="118">
        <f>IFERROR(INDEX('Fuel Model - Calculation'!$B$2:$M$3771,(MATCH(($E239&amp;"Results"&amp;$BD$140&amp;$F239&amp;"USD/ton"),'Fuel Model - Calculation'!$B$2:$B$3771,0)),MATCH(R$141,'Fuel Model - Calculation'!$B$2:$M$2,0)),0)</f>
        <v>321.41145340892848</v>
      </c>
      <c r="BG239" s="118">
        <f>IFERROR(INDEX('Fuel Model - Calculation'!$B$2:$M$3771,(MATCH(($E239&amp;"Results"&amp;$BD$140&amp;$F239&amp;"USD/ton"),'Fuel Model - Calculation'!$B$2:$B$3771,0)),MATCH(S$141,'Fuel Model - Calculation'!$B$2:$M$2,0)),0)</f>
        <v>302.12676620439277</v>
      </c>
      <c r="BH239" s="118">
        <f>IFERROR(INDEX('Fuel Model - Calculation'!$B$2:$M$3771,(MATCH(($E239&amp;"Results"&amp;$BD$140&amp;$F239&amp;"USD/ton"),'Fuel Model - Calculation'!$B$2:$B$3771,0)),MATCH(T$141,'Fuel Model - Calculation'!$B$2:$M$2,0)),0)</f>
        <v>292.48442260212494</v>
      </c>
      <c r="BI239" s="118">
        <f>IFERROR(INDEX('Fuel Model - Calculation'!$B$2:$M$3771,(MATCH(($E239&amp;"Results"&amp;$BD$140&amp;$F239&amp;"USD/ton"),'Fuel Model - Calculation'!$B$2:$B$3771,0)),MATCH(U$141,'Fuel Model - Calculation'!$B$2:$M$2,0)),0)</f>
        <v>282.84207899985711</v>
      </c>
      <c r="BJ239" s="118">
        <f>IFERROR(INDEX('Fuel Model - Calculation'!$B$2:$M$3771,(MATCH(($E239&amp;"Results"&amp;$BD$140&amp;$F239&amp;"USD/ton"),'Fuel Model - Calculation'!$B$2:$B$3771,0)),MATCH(V$141,'Fuel Model - Calculation'!$B$2:$M$2,0)),0)</f>
        <v>273.19973539758922</v>
      </c>
      <c r="BL239" s="118">
        <f>IFERROR(IFERROR(INDEX('Fuel Model - Calculation'!$B$2:$M$3771,(MATCH(($E239&amp;"Results"&amp;$BL$140&amp;$F239&amp;"USD/ton"),'Fuel Model - Calculation'!$B$2:$B$3771,0)),MATCH(H$141,'Fuel Model - Calculation'!$B$2:$M$2,0)),0),0)</f>
        <v>0</v>
      </c>
      <c r="BM239" s="118">
        <f>IFERROR(IFERROR(INDEX('Fuel Model - Calculation'!$B$2:$M$3771,(MATCH(($E239&amp;"Results"&amp;$BL$140&amp;$F239&amp;"USD/ton"),'Fuel Model - Calculation'!$B$2:$B$3771,0)),MATCH(I$141,'Fuel Model - Calculation'!$B$2:$M$2,0)),0),0)</f>
        <v>0</v>
      </c>
      <c r="BN239" s="118">
        <f>IFERROR(IFERROR(INDEX('Fuel Model - Calculation'!$B$2:$M$3771,(MATCH(($E239&amp;"Results"&amp;$BL$140&amp;$F239&amp;"USD/ton"),'Fuel Model - Calculation'!$B$2:$B$3771,0)),MATCH(J$141,'Fuel Model - Calculation'!$B$2:$M$2,0)),0),0)</f>
        <v>0</v>
      </c>
      <c r="BO239" s="118">
        <f>IFERROR(IFERROR(INDEX('Fuel Model - Calculation'!$B$2:$M$3771,(MATCH(($E239&amp;"Results"&amp;$BL$140&amp;$F239&amp;"USD/ton"),'Fuel Model - Calculation'!$B$2:$B$3771,0)),MATCH(K$141,'Fuel Model - Calculation'!$B$2:$M$2,0)),0),0)</f>
        <v>0</v>
      </c>
      <c r="BP239" s="118">
        <f>IFERROR(IFERROR(INDEX('Fuel Model - Calculation'!$B$2:$M$3771,(MATCH(($E239&amp;"Results"&amp;$BL$140&amp;$F239&amp;"USD/ton"),'Fuel Model - Calculation'!$B$2:$B$3771,0)),MATCH(L$141,'Fuel Model - Calculation'!$B$2:$M$2,0)),0),0)</f>
        <v>0</v>
      </c>
      <c r="BQ239" s="118">
        <f>IFERROR(IFERROR(INDEX('Fuel Model - Calculation'!$B$2:$M$3771,(MATCH(($E239&amp;"Results"&amp;$BL$140&amp;$F239&amp;"USD/ton"),'Fuel Model - Calculation'!$B$2:$B$3771,0)),MATCH(M$141,'Fuel Model - Calculation'!$B$2:$M$2,0)),0),0)</f>
        <v>0</v>
      </c>
      <c r="BR239" s="118">
        <f>IFERROR(IFERROR(INDEX('Fuel Model - Calculation'!$B$2:$M$3771,(MATCH(($E239&amp;"Results"&amp;$BL$140&amp;$F239&amp;"USD/ton"),'Fuel Model - Calculation'!$B$2:$B$3771,0)),MATCH(N$141,'Fuel Model - Calculation'!$B$2:$M$2,0)),0),0)</f>
        <v>0</v>
      </c>
      <c r="BT239" s="118">
        <f>IFERROR(INDEX('Fuel Model - Calculation'!$B$2:$M$3771,(MATCH(($E239&amp;"Results"&amp;$BT$140&amp;$F239&amp;"USD/ton"),'Fuel Model - Calculation'!$B$2:$B$3771,0)),MATCH(H$141,'Fuel Model - Calculation'!$B$2:$M$2,0)),0)</f>
        <v>630.49376734809857</v>
      </c>
      <c r="BU239" s="118">
        <f>IFERROR(INDEX('Fuel Model - Calculation'!$B$2:$M$3771,(MATCH(($E239&amp;"Results"&amp;$BT$140&amp;$F239&amp;"USD/ton"),'Fuel Model - Calculation'!$B$2:$B$3771,0)),MATCH(I$141,'Fuel Model - Calculation'!$B$2:$M$2,0)),0)</f>
        <v>444.34471628220854</v>
      </c>
      <c r="BV239" s="118">
        <f>IFERROR(INDEX('Fuel Model - Calculation'!$B$2:$M$3771,(MATCH(($E239&amp;"Results"&amp;$BT$140&amp;$F239&amp;"USD/ton"),'Fuel Model - Calculation'!$B$2:$B$3771,0)),MATCH(J$141,'Fuel Model - Calculation'!$B$2:$M$2,0)),0)</f>
        <v>369.4776396421405</v>
      </c>
      <c r="BW239" s="118">
        <f>IFERROR(INDEX('Fuel Model - Calculation'!$B$2:$M$3771,(MATCH(($E239&amp;"Results"&amp;$BT$140&amp;$F239&amp;"USD/ton"),'Fuel Model - Calculation'!$B$2:$B$3771,0)),MATCH(K$141,'Fuel Model - Calculation'!$B$2:$M$2,0)),0)</f>
        <v>390.63187543415756</v>
      </c>
      <c r="BX239" s="118">
        <f>IFERROR(INDEX('Fuel Model - Calculation'!$B$2:$M$3771,(MATCH(($E239&amp;"Results"&amp;$BT$140&amp;$F239&amp;"USD/ton"),'Fuel Model - Calculation'!$B$2:$B$3771,0)),MATCH(L$141,'Fuel Model - Calculation'!$B$2:$M$2,0)),0)</f>
        <v>396.00997434790236</v>
      </c>
      <c r="BY239" s="118">
        <f>IFERROR(INDEX('Fuel Model - Calculation'!$B$2:$M$3771,(MATCH(($E239&amp;"Results"&amp;$BT$140&amp;$F239&amp;"USD/ton"),'Fuel Model - Calculation'!$B$2:$B$3771,0)),MATCH(M$141,'Fuel Model - Calculation'!$B$2:$M$2,0)),0)</f>
        <v>396.83782811262711</v>
      </c>
      <c r="BZ239" s="118">
        <f>IFERROR(INDEX('Fuel Model - Calculation'!$B$2:$M$3771,(MATCH(($E239&amp;"Results"&amp;$BT$140&amp;$F239&amp;"USD/ton"),'Fuel Model - Calculation'!$B$2:$B$3771,0)),MATCH(N$141,'Fuel Model - Calculation'!$B$2:$M$2,0)),0)</f>
        <v>386.58301325608647</v>
      </c>
    </row>
    <row r="240" spans="1:78" x14ac:dyDescent="0.2">
      <c r="A240" s="452"/>
      <c r="B240" s="453" t="str">
        <f>_xlfn.TEXTJOIN(keydelim,TRUE,F240,IF(E240="Africa","Africa&amp;other",E240),"Fuel cost",SUBSTITUTE($G240," ",""))</f>
        <v>Biodiesel (HtL) - Asia - Fuel cost - USD/ton</v>
      </c>
      <c r="D240" s="459" t="str">
        <f t="shared" si="207"/>
        <v>AsiaBiodiesel (HtL)</v>
      </c>
      <c r="E240" t="s">
        <v>198</v>
      </c>
      <c r="F240" s="460" t="str">
        <f t="shared" si="208"/>
        <v>Biodiesel (HtL)</v>
      </c>
      <c r="G240" t="s">
        <v>835</v>
      </c>
      <c r="H240" s="118">
        <f>INDEX('Fuel Model - Calculation'!$B$2:$M$3771,(MATCH(($E240&amp;"ResultsCost of "&amp;$F240&amp;"USD/ton"),'Fuel Model - Calculation'!$B$2:$B$3771,0)),MATCH(H$141,'Fuel Model - Calculation'!$B$2:$M$2,0))</f>
        <v>6830.3420629802004</v>
      </c>
      <c r="I240" s="118">
        <f>INDEX('Fuel Model - Calculation'!$B$2:$M$3771,(MATCH(($E240&amp;"ResultsCost of "&amp;$F240&amp;"USD/ton"),'Fuel Model - Calculation'!$B$2:$B$3771,0)),MATCH(I$141,'Fuel Model - Calculation'!$B$2:$M$2,0))</f>
        <v>2238.5453168583863</v>
      </c>
      <c r="J240" s="118">
        <f>INDEX('Fuel Model - Calculation'!$B$2:$M$3771,(MATCH(($E240&amp;"ResultsCost of "&amp;$F240&amp;"USD/ton"),'Fuel Model - Calculation'!$B$2:$B$3771,0)),MATCH(J$141,'Fuel Model - Calculation'!$B$2:$M$2,0))</f>
        <v>986.67669318684057</v>
      </c>
      <c r="K240" s="118">
        <f>INDEX('Fuel Model - Calculation'!$B$2:$M$3771,(MATCH(($E240&amp;"ResultsCost of "&amp;$F240&amp;"USD/ton"),'Fuel Model - Calculation'!$B$2:$B$3771,0)),MATCH(K$141,'Fuel Model - Calculation'!$B$2:$M$2,0))</f>
        <v>967.14813007363568</v>
      </c>
      <c r="L240" s="118">
        <f>INDEX('Fuel Model - Calculation'!$B$2:$M$3771,(MATCH(($E240&amp;"ResultsCost of "&amp;$F240&amp;"USD/ton"),'Fuel Model - Calculation'!$B$2:$B$3771,0)),MATCH(L$141,'Fuel Model - Calculation'!$B$2:$M$2,0))</f>
        <v>949.95231662801484</v>
      </c>
      <c r="M240" s="118">
        <f>INDEX('Fuel Model - Calculation'!$B$2:$M$3771,(MATCH(($E240&amp;"ResultsCost of "&amp;$F240&amp;"USD/ton"),'Fuel Model - Calculation'!$B$2:$B$3771,0)),MATCH(M$141,'Fuel Model - Calculation'!$B$2:$M$2,0))</f>
        <v>925.71934798909729</v>
      </c>
      <c r="N240" s="118">
        <f>INDEX('Fuel Model - Calculation'!$B$2:$M$3771,(MATCH(($E240&amp;"ResultsCost of "&amp;$F240&amp;"USD/ton"),'Fuel Model - Calculation'!$B$2:$B$3771,0)),MATCH(N$141,'Fuel Model - Calculation'!$B$2:$M$2,0))</f>
        <v>887.49575264178122</v>
      </c>
      <c r="O240"/>
      <c r="P240" s="118">
        <f>IFERROR(INDEX('Fuel Model - Calculation'!G$2:G$3771,(MATCH(($E240&amp;"ResultsTotal RNE "&amp;$F240&amp;"USD/ton"),'Fuel Model - Calculation'!$B$2:$B$3771,0))),0)</f>
        <v>65.685966413008941</v>
      </c>
      <c r="Q240" s="118">
        <f>IFERROR(INDEX('Fuel Model - Calculation'!H$2:H$3771,(MATCH(($E240&amp;"ResultsTotal RNE "&amp;$F240&amp;"USD/ton"),'Fuel Model - Calculation'!$B$2:$B$3771,0))),0)</f>
        <v>42.846456019786586</v>
      </c>
      <c r="R240" s="118">
        <f>IFERROR(INDEX('Fuel Model - Calculation'!I$2:I$3771,(MATCH(($E240&amp;"ResultsTotal RNE "&amp;$F240&amp;"USD/ton"),'Fuel Model - Calculation'!$B$2:$B$3771,0))),0)</f>
        <v>34.527335212508767</v>
      </c>
      <c r="S240" s="118">
        <f>IFERROR(INDEX('Fuel Model - Calculation'!J$2:J$3771,(MATCH(($E240&amp;"ResultsTotal RNE "&amp;$F240&amp;"USD/ton"),'Fuel Model - Calculation'!$B$2:$B$3771,0))),0)</f>
        <v>28.873052338614396</v>
      </c>
      <c r="T240" s="118">
        <f>IFERROR(INDEX('Fuel Model - Calculation'!K$2:K$3771,(MATCH(($E240&amp;"ResultsTotal RNE "&amp;$F240&amp;"USD/ton"),'Fuel Model - Calculation'!$B$2:$B$3771,0))),0)</f>
        <v>25.966684691680424</v>
      </c>
      <c r="U240" s="118">
        <f>IFERROR(INDEX('Fuel Model - Calculation'!L$2:L$3771,(MATCH(($E240&amp;"ResultsTotal RNE "&amp;$F240&amp;"USD/ton"),'Fuel Model - Calculation'!$B$2:$B$3771,0))),0)</f>
        <v>22.950678164777443</v>
      </c>
      <c r="V240" s="118">
        <f>IFERROR(INDEX('Fuel Model - Calculation'!M$2:M$3771,(MATCH(($E240&amp;"ResultsTotal RNE "&amp;$F240&amp;"USD/ton"),'Fuel Model - Calculation'!$B$2:$B$3771,0))),0)</f>
        <v>21.531387135277107</v>
      </c>
      <c r="W240"/>
      <c r="X240" s="2">
        <f>INDEX('Fuel Model - Calculation'!$E$2:$M$3771,(MATCH(("WTT Emission - "&amp;$F240),'Fuel Model - Calculation'!$E$2:$E$3771,0)),MATCH(X$141,'Fuel Model - Calculation'!$E$2:$M$2,0))</f>
        <v>-2.3060680943922076</v>
      </c>
      <c r="Y240" s="2">
        <f>INDEX('Fuel Model - Calculation'!$E$2:$M$3771,(MATCH(("WTT Emission - "&amp;$F240),'Fuel Model - Calculation'!$E$2:$E$3771,0)),MATCH(Y$141,'Fuel Model - Calculation'!$E$2:$M$2,0))</f>
        <v>-2.5003986922241022</v>
      </c>
      <c r="Z240" s="2">
        <f>INDEX('Fuel Model - Calculation'!$E$2:$M$3771,(MATCH(("WTT Emission - "&amp;$F240),'Fuel Model - Calculation'!$E$2:$E$3771,0)),MATCH(Z$141,'Fuel Model - Calculation'!$E$2:$M$2,0))</f>
        <v>-2.6518987620116352</v>
      </c>
      <c r="AA240" s="2">
        <f>INDEX('Fuel Model - Calculation'!$E$2:$M$3771,(MATCH(("WTT Emission - "&amp;$F240),'Fuel Model - Calculation'!$E$2:$E$3771,0)),MATCH(AA$141,'Fuel Model - Calculation'!$E$2:$M$2,0))</f>
        <v>-2.9405528396694591</v>
      </c>
      <c r="AB240" s="2">
        <f>INDEX('Fuel Model - Calculation'!$E$2:$M$3771,(MATCH(("WTT Emission - "&amp;$F240),'Fuel Model - Calculation'!$E$2:$E$3771,0)),MATCH(AB$141,'Fuel Model - Calculation'!$E$2:$M$2,0))</f>
        <v>-3.0124184563878584</v>
      </c>
      <c r="AC240" s="2">
        <f>INDEX('Fuel Model - Calculation'!$E$2:$M$3771,(MATCH(("WTT Emission - "&amp;$F240),'Fuel Model - Calculation'!$E$2:$E$3771,0)),MATCH(AC$141,'Fuel Model - Calculation'!$E$2:$M$2,0))</f>
        <v>-3.0902555672657961</v>
      </c>
      <c r="AD240" s="2">
        <f>INDEX('Fuel Model - Calculation'!$E$2:$M$3771,(MATCH(("WTT Emission - "&amp;$F240),'Fuel Model - Calculation'!$E$2:$E$3771,0)),MATCH(AD$141,'Fuel Model - Calculation'!$E$2:$M$2,0))</f>
        <v>-3.18536199131356</v>
      </c>
      <c r="AE240" s="2"/>
      <c r="AF240" s="2">
        <f>'Fuel Model -  Input'!H$55</f>
        <v>3.2553300000000003</v>
      </c>
      <c r="AG240" s="2">
        <f>'Fuel Model -  Input'!I$55</f>
        <v>3.2553300000000003</v>
      </c>
      <c r="AH240" s="2">
        <f>'Fuel Model -  Input'!J$55</f>
        <v>3.2553300000000003</v>
      </c>
      <c r="AI240" s="2">
        <f>'Fuel Model -  Input'!K$55</f>
        <v>3.2553300000000003</v>
      </c>
      <c r="AJ240" s="2">
        <f>'Fuel Model -  Input'!L$55</f>
        <v>3.2553300000000003</v>
      </c>
      <c r="AK240" s="2">
        <f>'Fuel Model -  Input'!M$55</f>
        <v>3.2553300000000003</v>
      </c>
      <c r="AL240" s="2">
        <f>'Fuel Model -  Input'!N$55</f>
        <v>3.2553300000000003</v>
      </c>
      <c r="AM240"/>
      <c r="AN240" s="24">
        <f t="shared" si="206"/>
        <v>0.94926190560779267</v>
      </c>
      <c r="AO240" s="24">
        <f t="shared" si="206"/>
        <v>0.75493130777589812</v>
      </c>
      <c r="AP240" s="24">
        <f t="shared" si="206"/>
        <v>0.60343123798836507</v>
      </c>
      <c r="AQ240" s="24">
        <f t="shared" si="206"/>
        <v>0.31477716033054115</v>
      </c>
      <c r="AR240" s="24">
        <f t="shared" si="206"/>
        <v>0.24291154361214184</v>
      </c>
      <c r="AS240" s="24">
        <f t="shared" si="206"/>
        <v>0.16507443273420419</v>
      </c>
      <c r="AT240" s="24">
        <f t="shared" si="206"/>
        <v>6.9968008686440264E-2</v>
      </c>
      <c r="AU240"/>
      <c r="AV240" s="118">
        <f>IFERROR(INDEX('Fuel Model - Calculation'!$B$2:$M$3771,(MATCH(($E240&amp;"Results"&amp;$AV$140&amp;$F240&amp;"USD/ton"),'Fuel Model - Calculation'!$B$2:$B$3771,0)),MATCH(H$141,'Fuel Model - Calculation'!$B$2:$M$2,0)),0)</f>
        <v>1314.6947939385132</v>
      </c>
      <c r="AW240" s="118">
        <f>IFERROR(INDEX('Fuel Model - Calculation'!$B$2:$M$3771,(MATCH(($E240&amp;"Results"&amp;$AV$140&amp;$F240&amp;"USD/ton"),'Fuel Model - Calculation'!$B$2:$B$3771,0)),MATCH(I$141,'Fuel Model - Calculation'!$B$2:$M$2,0)),0)</f>
        <v>788.81687636310789</v>
      </c>
      <c r="AX240" s="118">
        <f>IFERROR(INDEX('Fuel Model - Calculation'!$B$2:$M$3771,(MATCH(($E240&amp;"Results"&amp;$AV$140&amp;$F240&amp;"USD/ton"),'Fuel Model - Calculation'!$B$2:$B$3771,0)),MATCH(J$141,'Fuel Model - Calculation'!$B$2:$M$2,0)),0)</f>
        <v>262.93895878770263</v>
      </c>
      <c r="AY240" s="118">
        <f>IFERROR(INDEX('Fuel Model - Calculation'!$B$2:$M$3771,(MATCH(($E240&amp;"Results"&amp;$AV$140&amp;$F240&amp;"USD/ton"),'Fuel Model - Calculation'!$B$2:$B$3771,0)),MATCH(K$141,'Fuel Model - Calculation'!$B$2:$M$2,0)),0)</f>
        <v>247.16262126044049</v>
      </c>
      <c r="AZ240" s="118">
        <f>IFERROR(INDEX('Fuel Model - Calculation'!$B$2:$M$3771,(MATCH(($E240&amp;"Results"&amp;$AV$140&amp;$F240&amp;"USD/ton"),'Fuel Model - Calculation'!$B$2:$B$3771,0)),MATCH(L$141,'Fuel Model - Calculation'!$B$2:$M$2,0)),0)</f>
        <v>239.2744524968094</v>
      </c>
      <c r="BA240" s="118">
        <f>IFERROR(INDEX('Fuel Model - Calculation'!$B$2:$M$3771,(MATCH(($E240&amp;"Results"&amp;$AV$140&amp;$F240&amp;"USD/ton"),'Fuel Model - Calculation'!$B$2:$B$3771,0)),MATCH(M$141,'Fuel Model - Calculation'!$B$2:$M$2,0)),0)</f>
        <v>231.38628373317832</v>
      </c>
      <c r="BB240" s="118">
        <f>IFERROR(INDEX('Fuel Model - Calculation'!$B$2:$M$3771,(MATCH(($E240&amp;"Results"&amp;$AV$140&amp;$F240&amp;"USD/ton"),'Fuel Model - Calculation'!$B$2:$B$3771,0)),MATCH(N$141,'Fuel Model - Calculation'!$B$2:$M$2,0)),0)</f>
        <v>223.49811496954723</v>
      </c>
      <c r="BC240"/>
      <c r="BD240" s="118">
        <f>IFERROR(INDEX('Fuel Model - Calculation'!$B$2:$M$3771,(MATCH(($E240&amp;"Results"&amp;$BD$140&amp;$F240&amp;"USD/ton"),'Fuel Model - Calculation'!$B$2:$B$3771,0)),MATCH(P$141,'Fuel Model - Calculation'!$B$2:$M$2,0)),0)</f>
        <v>4821.1718011339271</v>
      </c>
      <c r="BE240" s="118">
        <f>IFERROR(INDEX('Fuel Model - Calculation'!$B$2:$M$3771,(MATCH(($E240&amp;"Results"&amp;$BD$140&amp;$F240&amp;"USD/ton"),'Fuel Model - Calculation'!$B$2:$B$3771,0)),MATCH(Q$141,'Fuel Model - Calculation'!$B$2:$M$2,0)),0)</f>
        <v>964.23436022678538</v>
      </c>
      <c r="BF240" s="118">
        <f>IFERROR(INDEX('Fuel Model - Calculation'!$B$2:$M$3771,(MATCH(($E240&amp;"Results"&amp;$BD$140&amp;$F240&amp;"USD/ton"),'Fuel Model - Calculation'!$B$2:$B$3771,0)),MATCH(R$141,'Fuel Model - Calculation'!$B$2:$M$2,0)),0)</f>
        <v>321.41145340892848</v>
      </c>
      <c r="BG240" s="118">
        <f>IFERROR(INDEX('Fuel Model - Calculation'!$B$2:$M$3771,(MATCH(($E240&amp;"Results"&amp;$BD$140&amp;$F240&amp;"USD/ton"),'Fuel Model - Calculation'!$B$2:$B$3771,0)),MATCH(S$141,'Fuel Model - Calculation'!$B$2:$M$2,0)),0)</f>
        <v>302.12676620439277</v>
      </c>
      <c r="BH240" s="118">
        <f>IFERROR(INDEX('Fuel Model - Calculation'!$B$2:$M$3771,(MATCH(($E240&amp;"Results"&amp;$BD$140&amp;$F240&amp;"USD/ton"),'Fuel Model - Calculation'!$B$2:$B$3771,0)),MATCH(T$141,'Fuel Model - Calculation'!$B$2:$M$2,0)),0)</f>
        <v>292.48442260212494</v>
      </c>
      <c r="BI240" s="118">
        <f>IFERROR(INDEX('Fuel Model - Calculation'!$B$2:$M$3771,(MATCH(($E240&amp;"Results"&amp;$BD$140&amp;$F240&amp;"USD/ton"),'Fuel Model - Calculation'!$B$2:$B$3771,0)),MATCH(U$141,'Fuel Model - Calculation'!$B$2:$M$2,0)),0)</f>
        <v>282.84207899985711</v>
      </c>
      <c r="BJ240" s="118">
        <f>IFERROR(INDEX('Fuel Model - Calculation'!$B$2:$M$3771,(MATCH(($E240&amp;"Results"&amp;$BD$140&amp;$F240&amp;"USD/ton"),'Fuel Model - Calculation'!$B$2:$B$3771,0)),MATCH(V$141,'Fuel Model - Calculation'!$B$2:$M$2,0)),0)</f>
        <v>273.19973539758922</v>
      </c>
      <c r="BL240" s="118">
        <f>IFERROR(IFERROR(INDEX('Fuel Model - Calculation'!$B$2:$M$3771,(MATCH(($E240&amp;"Results"&amp;$BL$140&amp;$F240&amp;"USD/ton"),'Fuel Model - Calculation'!$B$2:$B$3771,0)),MATCH(H$141,'Fuel Model - Calculation'!$B$2:$M$2,0)),0),0)</f>
        <v>0</v>
      </c>
      <c r="BM240" s="118">
        <f>IFERROR(IFERROR(INDEX('Fuel Model - Calculation'!$B$2:$M$3771,(MATCH(($E240&amp;"Results"&amp;$BL$140&amp;$F240&amp;"USD/ton"),'Fuel Model - Calculation'!$B$2:$B$3771,0)),MATCH(I$141,'Fuel Model - Calculation'!$B$2:$M$2,0)),0),0)</f>
        <v>0</v>
      </c>
      <c r="BN240" s="118">
        <f>IFERROR(IFERROR(INDEX('Fuel Model - Calculation'!$B$2:$M$3771,(MATCH(($E240&amp;"Results"&amp;$BL$140&amp;$F240&amp;"USD/ton"),'Fuel Model - Calculation'!$B$2:$B$3771,0)),MATCH(J$141,'Fuel Model - Calculation'!$B$2:$M$2,0)),0),0)</f>
        <v>0</v>
      </c>
      <c r="BO240" s="118">
        <f>IFERROR(IFERROR(INDEX('Fuel Model - Calculation'!$B$2:$M$3771,(MATCH(($E240&amp;"Results"&amp;$BL$140&amp;$F240&amp;"USD/ton"),'Fuel Model - Calculation'!$B$2:$B$3771,0)),MATCH(K$141,'Fuel Model - Calculation'!$B$2:$M$2,0)),0),0)</f>
        <v>0</v>
      </c>
      <c r="BP240" s="118">
        <f>IFERROR(IFERROR(INDEX('Fuel Model - Calculation'!$B$2:$M$3771,(MATCH(($E240&amp;"Results"&amp;$BL$140&amp;$F240&amp;"USD/ton"),'Fuel Model - Calculation'!$B$2:$B$3771,0)),MATCH(L$141,'Fuel Model - Calculation'!$B$2:$M$2,0)),0),0)</f>
        <v>0</v>
      </c>
      <c r="BQ240" s="118">
        <f>IFERROR(IFERROR(INDEX('Fuel Model - Calculation'!$B$2:$M$3771,(MATCH(($E240&amp;"Results"&amp;$BL$140&amp;$F240&amp;"USD/ton"),'Fuel Model - Calculation'!$B$2:$B$3771,0)),MATCH(M$141,'Fuel Model - Calculation'!$B$2:$M$2,0)),0),0)</f>
        <v>0</v>
      </c>
      <c r="BR240" s="118">
        <f>IFERROR(IFERROR(INDEX('Fuel Model - Calculation'!$B$2:$M$3771,(MATCH(($E240&amp;"Results"&amp;$BL$140&amp;$F240&amp;"USD/ton"),'Fuel Model - Calculation'!$B$2:$B$3771,0)),MATCH(N$141,'Fuel Model - Calculation'!$B$2:$M$2,0)),0),0)</f>
        <v>0</v>
      </c>
      <c r="BT240" s="118">
        <f>IFERROR(INDEX('Fuel Model - Calculation'!$B$2:$M$3771,(MATCH(($E240&amp;"Results"&amp;$BT$140&amp;$F240&amp;"USD/ton"),'Fuel Model - Calculation'!$B$2:$B$3771,0)),MATCH(H$141,'Fuel Model - Calculation'!$B$2:$M$2,0)),0)</f>
        <v>628.78950149475099</v>
      </c>
      <c r="BU240" s="118">
        <f>IFERROR(INDEX('Fuel Model - Calculation'!$B$2:$M$3771,(MATCH(($E240&amp;"Results"&amp;$BT$140&amp;$F240&amp;"USD/ton"),'Fuel Model - Calculation'!$B$2:$B$3771,0)),MATCH(I$141,'Fuel Model - Calculation'!$B$2:$M$2,0)),0)</f>
        <v>442.64762424870628</v>
      </c>
      <c r="BV240" s="118">
        <f>IFERROR(INDEX('Fuel Model - Calculation'!$B$2:$M$3771,(MATCH(($E240&amp;"Results"&amp;$BT$140&amp;$F240&amp;"USD/ton"),'Fuel Model - Calculation'!$B$2:$B$3771,0)),MATCH(J$141,'Fuel Model - Calculation'!$B$2:$M$2,0)),0)</f>
        <v>367.79894577770068</v>
      </c>
      <c r="BW240" s="118">
        <f>IFERROR(INDEX('Fuel Model - Calculation'!$B$2:$M$3771,(MATCH(($E240&amp;"Results"&amp;$BT$140&amp;$F240&amp;"USD/ton"),'Fuel Model - Calculation'!$B$2:$B$3771,0)),MATCH(K$141,'Fuel Model - Calculation'!$B$2:$M$2,0)),0)</f>
        <v>388.98569027018806</v>
      </c>
      <c r="BX240" s="118">
        <f>IFERROR(INDEX('Fuel Model - Calculation'!$B$2:$M$3771,(MATCH(($E240&amp;"Results"&amp;$BT$140&amp;$F240&amp;"USD/ton"),'Fuel Model - Calculation'!$B$2:$B$3771,0)),MATCH(L$141,'Fuel Model - Calculation'!$B$2:$M$2,0)),0)</f>
        <v>392.22675683740005</v>
      </c>
      <c r="BY240" s="118">
        <f>IFERROR(INDEX('Fuel Model - Calculation'!$B$2:$M$3771,(MATCH(($E240&amp;"Results"&amp;$BT$140&amp;$F240&amp;"USD/ton"),'Fuel Model - Calculation'!$B$2:$B$3771,0)),MATCH(M$141,'Fuel Model - Calculation'!$B$2:$M$2,0)),0)</f>
        <v>388.54030709128455</v>
      </c>
      <c r="BZ240" s="118">
        <f>IFERROR(INDEX('Fuel Model - Calculation'!$B$2:$M$3771,(MATCH(($E240&amp;"Results"&amp;$BT$140&amp;$F240&amp;"USD/ton"),'Fuel Model - Calculation'!$B$2:$B$3771,0)),MATCH(N$141,'Fuel Model - Calculation'!$B$2:$M$2,0)),0)</f>
        <v>369.2665151393677</v>
      </c>
    </row>
    <row r="241" spans="1:78" x14ac:dyDescent="0.2">
      <c r="A241" s="452"/>
      <c r="B241" s="453" t="str">
        <f>_xlfn.TEXTJOIN(keydelim,TRUE,F241,IF(E241="Africa","Africa&amp;other",E241),"Fuel cost",SUBSTITUTE($G241," ",""))</f>
        <v>Biodiesel (HtL) - Americas - Fuel cost - USD/ton</v>
      </c>
      <c r="D241" s="459" t="str">
        <f t="shared" si="207"/>
        <v>AmericasBiodiesel (HtL)</v>
      </c>
      <c r="E241" t="s">
        <v>199</v>
      </c>
      <c r="F241" s="460" t="str">
        <f t="shared" si="208"/>
        <v>Biodiesel (HtL)</v>
      </c>
      <c r="G241" t="s">
        <v>835</v>
      </c>
      <c r="H241" s="118">
        <f>INDEX('Fuel Model - Calculation'!$B$2:$M$3771,(MATCH(($E241&amp;"ResultsCost of "&amp;$F241&amp;"USD/ton"),'Fuel Model - Calculation'!$B$2:$B$3771,0)),MATCH(H$141,'Fuel Model - Calculation'!$B$2:$M$2,0))</f>
        <v>6534.0862364726536</v>
      </c>
      <c r="I241" s="118">
        <f>INDEX('Fuel Model - Calculation'!$B$2:$M$3771,(MATCH(($E241&amp;"ResultsCost of "&amp;$F241&amp;"USD/ton"),'Fuel Model - Calculation'!$B$2:$B$3771,0)),MATCH(I$141,'Fuel Model - Calculation'!$B$2:$M$2,0))</f>
        <v>2132.8806442695704</v>
      </c>
      <c r="J241" s="118">
        <f>INDEX('Fuel Model - Calculation'!$B$2:$M$3771,(MATCH(($E241&amp;"ResultsCost of "&amp;$F241&amp;"USD/ton"),'Fuel Model - Calculation'!$B$2:$B$3771,0)),MATCH(J$141,'Fuel Model - Calculation'!$B$2:$M$2,0))</f>
        <v>965.71481253963861</v>
      </c>
      <c r="K241" s="118">
        <f>INDEX('Fuel Model - Calculation'!$B$2:$M$3771,(MATCH(($E241&amp;"ResultsCost of "&amp;$F241&amp;"USD/ton"),'Fuel Model - Calculation'!$B$2:$B$3771,0)),MATCH(K$141,'Fuel Model - Calculation'!$B$2:$M$2,0))</f>
        <v>955.13604633477144</v>
      </c>
      <c r="L241" s="118">
        <f>INDEX('Fuel Model - Calculation'!$B$2:$M$3771,(MATCH(($E241&amp;"ResultsCost of "&amp;$F241&amp;"USD/ton"),'Fuel Model - Calculation'!$B$2:$B$3771,0)),MATCH(L$141,'Fuel Model - Calculation'!$B$2:$M$2,0))</f>
        <v>937.34274541318587</v>
      </c>
      <c r="M241" s="118">
        <f>INDEX('Fuel Model - Calculation'!$B$2:$M$3771,(MATCH(($E241&amp;"ResultsCost of "&amp;$F241&amp;"USD/ton"),'Fuel Model - Calculation'!$B$2:$B$3771,0)),MATCH(M$141,'Fuel Model - Calculation'!$B$2:$M$2,0))</f>
        <v>917.78169663099675</v>
      </c>
      <c r="N241" s="118">
        <f>INDEX('Fuel Model - Calculation'!$B$2:$M$3771,(MATCH(($E241&amp;"ResultsCost of "&amp;$F241&amp;"USD/ton"),'Fuel Model - Calculation'!$B$2:$B$3771,0)),MATCH(N$141,'Fuel Model - Calculation'!$B$2:$M$2,0))</f>
        <v>882.30022580437685</v>
      </c>
      <c r="O241"/>
      <c r="P241" s="118">
        <f>IFERROR(INDEX('Fuel Model - Calculation'!G$2:G$3771,(MATCH(($E241&amp;"ResultsTotal RNE "&amp;$F241&amp;"USD/ton"),'Fuel Model - Calculation'!$B$2:$B$3771,0))),0)</f>
        <v>31.190512118091394</v>
      </c>
      <c r="Q241" s="118">
        <f>IFERROR(INDEX('Fuel Model - Calculation'!H$2:H$3771,(MATCH(($E241&amp;"ResultsTotal RNE "&amp;$F241&amp;"USD/ton"),'Fuel Model - Calculation'!$B$2:$B$3771,0))),0)</f>
        <v>28.149855513446543</v>
      </c>
      <c r="R241" s="118">
        <f>IFERROR(INDEX('Fuel Model - Calculation'!I$2:I$3771,(MATCH(($E241&amp;"ResultsTotal RNE "&amp;$F241&amp;"USD/ton"),'Fuel Model - Calculation'!$B$2:$B$3771,0))),0)</f>
        <v>22.925772598561746</v>
      </c>
      <c r="S241" s="118">
        <f>IFERROR(INDEX('Fuel Model - Calculation'!J$2:J$3771,(MATCH(($E241&amp;"ResultsTotal RNE "&amp;$F241&amp;"USD/ton"),'Fuel Model - Calculation'!$B$2:$B$3771,0))),0)</f>
        <v>20.386245925975459</v>
      </c>
      <c r="T241" s="118">
        <f>IFERROR(INDEX('Fuel Model - Calculation'!K$2:K$3771,(MATCH(($E241&amp;"ResultsTotal RNE "&amp;$F241&amp;"USD/ton"),'Fuel Model - Calculation'!$B$2:$B$3771,0))),0)</f>
        <v>18.328085662411063</v>
      </c>
      <c r="U241" s="118">
        <f>IFERROR(INDEX('Fuel Model - Calculation'!L$2:L$3771,(MATCH(($E241&amp;"ResultsTotal RNE "&amp;$F241&amp;"USD/ton"),'Fuel Model - Calculation'!$B$2:$B$3771,0))),0)</f>
        <v>17.464345925354795</v>
      </c>
      <c r="V241" s="118">
        <f>IFERROR(INDEX('Fuel Model - Calculation'!M$2:M$3771,(MATCH(($E241&amp;"ResultsTotal RNE "&amp;$F241&amp;"USD/ton"),'Fuel Model - Calculation'!$B$2:$B$3771,0))),0)</f>
        <v>16.801251436533263</v>
      </c>
      <c r="W241"/>
      <c r="X241" s="2">
        <f>INDEX('Fuel Model - Calculation'!$E$2:$M$3771,(MATCH(("WTT Emission - "&amp;$F241),'Fuel Model - Calculation'!$E$2:$E$3771,0)),MATCH(X$141,'Fuel Model - Calculation'!$E$2:$M$2,0))</f>
        <v>-2.3060680943922076</v>
      </c>
      <c r="Y241" s="2">
        <f>INDEX('Fuel Model - Calculation'!$E$2:$M$3771,(MATCH(("WTT Emission - "&amp;$F241),'Fuel Model - Calculation'!$E$2:$E$3771,0)),MATCH(Y$141,'Fuel Model - Calculation'!$E$2:$M$2,0))</f>
        <v>-2.5003986922241022</v>
      </c>
      <c r="Z241" s="2">
        <f>INDEX('Fuel Model - Calculation'!$E$2:$M$3771,(MATCH(("WTT Emission - "&amp;$F241),'Fuel Model - Calculation'!$E$2:$E$3771,0)),MATCH(Z$141,'Fuel Model - Calculation'!$E$2:$M$2,0))</f>
        <v>-2.6518987620116352</v>
      </c>
      <c r="AA241" s="2">
        <f>INDEX('Fuel Model - Calculation'!$E$2:$M$3771,(MATCH(("WTT Emission - "&amp;$F241),'Fuel Model - Calculation'!$E$2:$E$3771,0)),MATCH(AA$141,'Fuel Model - Calculation'!$E$2:$M$2,0))</f>
        <v>-2.9405528396694591</v>
      </c>
      <c r="AB241" s="2">
        <f>INDEX('Fuel Model - Calculation'!$E$2:$M$3771,(MATCH(("WTT Emission - "&amp;$F241),'Fuel Model - Calculation'!$E$2:$E$3771,0)),MATCH(AB$141,'Fuel Model - Calculation'!$E$2:$M$2,0))</f>
        <v>-3.0124184563878584</v>
      </c>
      <c r="AC241" s="2">
        <f>INDEX('Fuel Model - Calculation'!$E$2:$M$3771,(MATCH(("WTT Emission - "&amp;$F241),'Fuel Model - Calculation'!$E$2:$E$3771,0)),MATCH(AC$141,'Fuel Model - Calculation'!$E$2:$M$2,0))</f>
        <v>-3.0902555672657961</v>
      </c>
      <c r="AD241" s="2">
        <f>INDEX('Fuel Model - Calculation'!$E$2:$M$3771,(MATCH(("WTT Emission - "&amp;$F241),'Fuel Model - Calculation'!$E$2:$E$3771,0)),MATCH(AD$141,'Fuel Model - Calculation'!$E$2:$M$2,0))</f>
        <v>-3.18536199131356</v>
      </c>
      <c r="AE241" s="2"/>
      <c r="AF241" s="2">
        <f>'Fuel Model -  Input'!H$55</f>
        <v>3.2553300000000003</v>
      </c>
      <c r="AG241" s="2">
        <f>'Fuel Model -  Input'!I$55</f>
        <v>3.2553300000000003</v>
      </c>
      <c r="AH241" s="2">
        <f>'Fuel Model -  Input'!J$55</f>
        <v>3.2553300000000003</v>
      </c>
      <c r="AI241" s="2">
        <f>'Fuel Model -  Input'!K$55</f>
        <v>3.2553300000000003</v>
      </c>
      <c r="AJ241" s="2">
        <f>'Fuel Model -  Input'!L$55</f>
        <v>3.2553300000000003</v>
      </c>
      <c r="AK241" s="2">
        <f>'Fuel Model -  Input'!M$55</f>
        <v>3.2553300000000003</v>
      </c>
      <c r="AL241" s="2">
        <f>'Fuel Model -  Input'!N$55</f>
        <v>3.2553300000000003</v>
      </c>
      <c r="AM241"/>
      <c r="AN241" s="24">
        <f t="shared" si="206"/>
        <v>0.94926190560779267</v>
      </c>
      <c r="AO241" s="24">
        <f t="shared" si="206"/>
        <v>0.75493130777589812</v>
      </c>
      <c r="AP241" s="24">
        <f t="shared" si="206"/>
        <v>0.60343123798836507</v>
      </c>
      <c r="AQ241" s="24">
        <f t="shared" si="206"/>
        <v>0.31477716033054115</v>
      </c>
      <c r="AR241" s="24">
        <f t="shared" si="206"/>
        <v>0.24291154361214184</v>
      </c>
      <c r="AS241" s="24">
        <f t="shared" si="206"/>
        <v>0.16507443273420419</v>
      </c>
      <c r="AT241" s="24">
        <f t="shared" si="206"/>
        <v>6.9968008686440264E-2</v>
      </c>
      <c r="AU241"/>
      <c r="AV241" s="118">
        <f>IFERROR(INDEX('Fuel Model - Calculation'!$B$2:$M$3771,(MATCH(($E241&amp;"Results"&amp;$AV$140&amp;$F241&amp;"USD/ton"),'Fuel Model - Calculation'!$B$2:$B$3771,0)),MATCH(H$141,'Fuel Model - Calculation'!$B$2:$M$2,0)),0)</f>
        <v>1314.6947939385132</v>
      </c>
      <c r="AW241" s="118">
        <f>IFERROR(INDEX('Fuel Model - Calculation'!$B$2:$M$3771,(MATCH(($E241&amp;"Results"&amp;$AV$140&amp;$F241&amp;"USD/ton"),'Fuel Model - Calculation'!$B$2:$B$3771,0)),MATCH(I$141,'Fuel Model - Calculation'!$B$2:$M$2,0)),0)</f>
        <v>788.81687636310789</v>
      </c>
      <c r="AX241" s="118">
        <f>IFERROR(INDEX('Fuel Model - Calculation'!$B$2:$M$3771,(MATCH(($E241&amp;"Results"&amp;$AV$140&amp;$F241&amp;"USD/ton"),'Fuel Model - Calculation'!$B$2:$B$3771,0)),MATCH(J$141,'Fuel Model - Calculation'!$B$2:$M$2,0)),0)</f>
        <v>262.93895878770263</v>
      </c>
      <c r="AY241" s="118">
        <f>IFERROR(INDEX('Fuel Model - Calculation'!$B$2:$M$3771,(MATCH(($E241&amp;"Results"&amp;$AV$140&amp;$F241&amp;"USD/ton"),'Fuel Model - Calculation'!$B$2:$B$3771,0)),MATCH(K$141,'Fuel Model - Calculation'!$B$2:$M$2,0)),0)</f>
        <v>247.16262126044049</v>
      </c>
      <c r="AZ241" s="118">
        <f>IFERROR(INDEX('Fuel Model - Calculation'!$B$2:$M$3771,(MATCH(($E241&amp;"Results"&amp;$AV$140&amp;$F241&amp;"USD/ton"),'Fuel Model - Calculation'!$B$2:$B$3771,0)),MATCH(L$141,'Fuel Model - Calculation'!$B$2:$M$2,0)),0)</f>
        <v>239.2744524968094</v>
      </c>
      <c r="BA241" s="118">
        <f>IFERROR(INDEX('Fuel Model - Calculation'!$B$2:$M$3771,(MATCH(($E241&amp;"Results"&amp;$AV$140&amp;$F241&amp;"USD/ton"),'Fuel Model - Calculation'!$B$2:$B$3771,0)),MATCH(M$141,'Fuel Model - Calculation'!$B$2:$M$2,0)),0)</f>
        <v>231.38628373317832</v>
      </c>
      <c r="BB241" s="118">
        <f>IFERROR(INDEX('Fuel Model - Calculation'!$B$2:$M$3771,(MATCH(($E241&amp;"Results"&amp;$AV$140&amp;$F241&amp;"USD/ton"),'Fuel Model - Calculation'!$B$2:$B$3771,0)),MATCH(N$141,'Fuel Model - Calculation'!$B$2:$M$2,0)),0)</f>
        <v>223.49811496954723</v>
      </c>
      <c r="BC241"/>
      <c r="BD241" s="118">
        <f>IFERROR(INDEX('Fuel Model - Calculation'!$B$2:$M$3771,(MATCH(($E241&amp;"Results"&amp;$BD$140&amp;$F241&amp;"USD/ton"),'Fuel Model - Calculation'!$B$2:$B$3771,0)),MATCH(P$141,'Fuel Model - Calculation'!$B$2:$M$2,0)),0)</f>
        <v>4821.1718011339271</v>
      </c>
      <c r="BE241" s="118">
        <f>IFERROR(INDEX('Fuel Model - Calculation'!$B$2:$M$3771,(MATCH(($E241&amp;"Results"&amp;$BD$140&amp;$F241&amp;"USD/ton"),'Fuel Model - Calculation'!$B$2:$B$3771,0)),MATCH(Q$141,'Fuel Model - Calculation'!$B$2:$M$2,0)),0)</f>
        <v>964.23436022678538</v>
      </c>
      <c r="BF241" s="118">
        <f>IFERROR(INDEX('Fuel Model - Calculation'!$B$2:$M$3771,(MATCH(($E241&amp;"Results"&amp;$BD$140&amp;$F241&amp;"USD/ton"),'Fuel Model - Calculation'!$B$2:$B$3771,0)),MATCH(R$141,'Fuel Model - Calculation'!$B$2:$M$2,0)),0)</f>
        <v>321.41145340892848</v>
      </c>
      <c r="BG241" s="118">
        <f>IFERROR(INDEX('Fuel Model - Calculation'!$B$2:$M$3771,(MATCH(($E241&amp;"Results"&amp;$BD$140&amp;$F241&amp;"USD/ton"),'Fuel Model - Calculation'!$B$2:$B$3771,0)),MATCH(S$141,'Fuel Model - Calculation'!$B$2:$M$2,0)),0)</f>
        <v>302.12676620439277</v>
      </c>
      <c r="BH241" s="118">
        <f>IFERROR(INDEX('Fuel Model - Calculation'!$B$2:$M$3771,(MATCH(($E241&amp;"Results"&amp;$BD$140&amp;$F241&amp;"USD/ton"),'Fuel Model - Calculation'!$B$2:$B$3771,0)),MATCH(T$141,'Fuel Model - Calculation'!$B$2:$M$2,0)),0)</f>
        <v>292.48442260212494</v>
      </c>
      <c r="BI241" s="118">
        <f>IFERROR(INDEX('Fuel Model - Calculation'!$B$2:$M$3771,(MATCH(($E241&amp;"Results"&amp;$BD$140&amp;$F241&amp;"USD/ton"),'Fuel Model - Calculation'!$B$2:$B$3771,0)),MATCH(U$141,'Fuel Model - Calculation'!$B$2:$M$2,0)),0)</f>
        <v>282.84207899985711</v>
      </c>
      <c r="BJ241" s="118">
        <f>IFERROR(INDEX('Fuel Model - Calculation'!$B$2:$M$3771,(MATCH(($E241&amp;"Results"&amp;$BD$140&amp;$F241&amp;"USD/ton"),'Fuel Model - Calculation'!$B$2:$B$3771,0)),MATCH(V$141,'Fuel Model - Calculation'!$B$2:$M$2,0)),0)</f>
        <v>273.19973539758922</v>
      </c>
      <c r="BL241" s="118">
        <f>IFERROR(IFERROR(INDEX('Fuel Model - Calculation'!$B$2:$M$3771,(MATCH(($E241&amp;"Results"&amp;$BL$140&amp;$F241&amp;"USD/ton"),'Fuel Model - Calculation'!$B$2:$B$3771,0)),MATCH(H$141,'Fuel Model - Calculation'!$B$2:$M$2,0)),0),0)</f>
        <v>0</v>
      </c>
      <c r="BM241" s="118">
        <f>IFERROR(IFERROR(INDEX('Fuel Model - Calculation'!$B$2:$M$3771,(MATCH(($E241&amp;"Results"&amp;$BL$140&amp;$F241&amp;"USD/ton"),'Fuel Model - Calculation'!$B$2:$B$3771,0)),MATCH(I$141,'Fuel Model - Calculation'!$B$2:$M$2,0)),0),0)</f>
        <v>0</v>
      </c>
      <c r="BN241" s="118">
        <f>IFERROR(IFERROR(INDEX('Fuel Model - Calculation'!$B$2:$M$3771,(MATCH(($E241&amp;"Results"&amp;$BL$140&amp;$F241&amp;"USD/ton"),'Fuel Model - Calculation'!$B$2:$B$3771,0)),MATCH(J$141,'Fuel Model - Calculation'!$B$2:$M$2,0)),0),0)</f>
        <v>0</v>
      </c>
      <c r="BO241" s="118">
        <f>IFERROR(IFERROR(INDEX('Fuel Model - Calculation'!$B$2:$M$3771,(MATCH(($E241&amp;"Results"&amp;$BL$140&amp;$F241&amp;"USD/ton"),'Fuel Model - Calculation'!$B$2:$B$3771,0)),MATCH(K$141,'Fuel Model - Calculation'!$B$2:$M$2,0)),0),0)</f>
        <v>0</v>
      </c>
      <c r="BP241" s="118">
        <f>IFERROR(IFERROR(INDEX('Fuel Model - Calculation'!$B$2:$M$3771,(MATCH(($E241&amp;"Results"&amp;$BL$140&amp;$F241&amp;"USD/ton"),'Fuel Model - Calculation'!$B$2:$B$3771,0)),MATCH(L$141,'Fuel Model - Calculation'!$B$2:$M$2,0)),0),0)</f>
        <v>0</v>
      </c>
      <c r="BQ241" s="118">
        <f>IFERROR(IFERROR(INDEX('Fuel Model - Calculation'!$B$2:$M$3771,(MATCH(($E241&amp;"Results"&amp;$BL$140&amp;$F241&amp;"USD/ton"),'Fuel Model - Calculation'!$B$2:$B$3771,0)),MATCH(M$141,'Fuel Model - Calculation'!$B$2:$M$2,0)),0),0)</f>
        <v>0</v>
      </c>
      <c r="BR241" s="118">
        <f>IFERROR(IFERROR(INDEX('Fuel Model - Calculation'!$B$2:$M$3771,(MATCH(($E241&amp;"Results"&amp;$BL$140&amp;$F241&amp;"USD/ton"),'Fuel Model - Calculation'!$B$2:$B$3771,0)),MATCH(N$141,'Fuel Model - Calculation'!$B$2:$M$2,0)),0),0)</f>
        <v>0</v>
      </c>
      <c r="BT241" s="118">
        <f>IFERROR(INDEX('Fuel Model - Calculation'!$B$2:$M$3771,(MATCH(($E241&amp;"Results"&amp;$BT$140&amp;$F241&amp;"USD/ton"),'Fuel Model - Calculation'!$B$2:$B$3771,0)),MATCH(H$141,'Fuel Model - Calculation'!$B$2:$M$2,0)),0)</f>
        <v>367.02912928212095</v>
      </c>
      <c r="BU241" s="118">
        <f>IFERROR(INDEX('Fuel Model - Calculation'!$B$2:$M$3771,(MATCH(($E241&amp;"Results"&amp;$BT$140&amp;$F241&amp;"USD/ton"),'Fuel Model - Calculation'!$B$2:$B$3771,0)),MATCH(I$141,'Fuel Model - Calculation'!$B$2:$M$2,0)),0)</f>
        <v>351.67955216623091</v>
      </c>
      <c r="BV241" s="118">
        <f>IFERROR(INDEX('Fuel Model - Calculation'!$B$2:$M$3771,(MATCH(($E241&amp;"Results"&amp;$BT$140&amp;$F241&amp;"USD/ton"),'Fuel Model - Calculation'!$B$2:$B$3771,0)),MATCH(J$141,'Fuel Model - Calculation'!$B$2:$M$2,0)),0)</f>
        <v>358.43862774444568</v>
      </c>
      <c r="BW241" s="118">
        <f>IFERROR(INDEX('Fuel Model - Calculation'!$B$2:$M$3771,(MATCH(($E241&amp;"Results"&amp;$BT$140&amp;$F241&amp;"USD/ton"),'Fuel Model - Calculation'!$B$2:$B$3771,0)),MATCH(K$141,'Fuel Model - Calculation'!$B$2:$M$2,0)),0)</f>
        <v>385.46041294396275</v>
      </c>
      <c r="BX241" s="118">
        <f>IFERROR(INDEX('Fuel Model - Calculation'!$B$2:$M$3771,(MATCH(($E241&amp;"Results"&amp;$BT$140&amp;$F241&amp;"USD/ton"),'Fuel Model - Calculation'!$B$2:$B$3771,0)),MATCH(L$141,'Fuel Model - Calculation'!$B$2:$M$2,0)),0)</f>
        <v>387.25578465184054</v>
      </c>
      <c r="BY241" s="118">
        <f>IFERROR(INDEX('Fuel Model - Calculation'!$B$2:$M$3771,(MATCH(($E241&amp;"Results"&amp;$BT$140&amp;$F241&amp;"USD/ton"),'Fuel Model - Calculation'!$B$2:$B$3771,0)),MATCH(M$141,'Fuel Model - Calculation'!$B$2:$M$2,0)),0)</f>
        <v>386.0889879726065</v>
      </c>
      <c r="BZ241" s="118">
        <f>IFERROR(INDEX('Fuel Model - Calculation'!$B$2:$M$3771,(MATCH(($E241&amp;"Results"&amp;$BT$140&amp;$F241&amp;"USD/ton"),'Fuel Model - Calculation'!$B$2:$B$3771,0)),MATCH(N$141,'Fuel Model - Calculation'!$B$2:$M$2,0)),0)</f>
        <v>368.8011240007072</v>
      </c>
    </row>
    <row r="242" spans="1:78" x14ac:dyDescent="0.2">
      <c r="A242" s="452"/>
      <c r="B242" s="453" t="str">
        <f>_xlfn.TEXTJOIN(keydelim,TRUE,F242,IF(E242="Africa","Africa&amp;other",E242),"Fuel cost",SUBSTITUTE($G242," ",""))</f>
        <v>Biodiesel (HtL) - Africa&amp;other - Fuel cost - USD/ton</v>
      </c>
      <c r="D242" s="459" t="str">
        <f t="shared" si="207"/>
        <v>AfricaBiodiesel (HtL)</v>
      </c>
      <c r="E242" t="s">
        <v>200</v>
      </c>
      <c r="F242" s="460" t="str">
        <f t="shared" si="208"/>
        <v>Biodiesel (HtL)</v>
      </c>
      <c r="G242" t="s">
        <v>835</v>
      </c>
      <c r="H242" s="118">
        <f>INDEX('Fuel Model - Calculation'!$B$2:$M$3771,(MATCH(($E242&amp;"ResultsCost of "&amp;$F242&amp;"USD/ton"),'Fuel Model - Calculation'!$B$2:$B$3771,0)),MATCH(H$141,'Fuel Model - Calculation'!$B$2:$M$2,0))</f>
        <v>6913.4170095252111</v>
      </c>
      <c r="I242" s="118">
        <f>INDEX('Fuel Model - Calculation'!$B$2:$M$3771,(MATCH(($E242&amp;"ResultsCost of "&amp;$F242&amp;"USD/ton"),'Fuel Model - Calculation'!$B$2:$B$3771,0)),MATCH(I$141,'Fuel Model - Calculation'!$B$2:$M$2,0))</f>
        <v>2277.931008676107</v>
      </c>
      <c r="J242" s="118">
        <f>INDEX('Fuel Model - Calculation'!$B$2:$M$3771,(MATCH(($E242&amp;"ResultsCost of "&amp;$F242&amp;"USD/ton"),'Fuel Model - Calculation'!$B$2:$B$3771,0)),MATCH(J$141,'Fuel Model - Calculation'!$B$2:$M$2,0))</f>
        <v>1059.8678259084766</v>
      </c>
      <c r="K242" s="118">
        <f>INDEX('Fuel Model - Calculation'!$B$2:$M$3771,(MATCH(($E242&amp;"ResultsCost of "&amp;$F242&amp;"USD/ton"),'Fuel Model - Calculation'!$B$2:$B$3771,0)),MATCH(K$141,'Fuel Model - Calculation'!$B$2:$M$2,0))</f>
        <v>1042.0939638480768</v>
      </c>
      <c r="L242" s="118">
        <f>INDEX('Fuel Model - Calculation'!$B$2:$M$3771,(MATCH(($E242&amp;"ResultsCost of "&amp;$F242&amp;"USD/ton"),'Fuel Model - Calculation'!$B$2:$B$3771,0)),MATCH(L$141,'Fuel Model - Calculation'!$B$2:$M$2,0))</f>
        <v>1020.9033191142904</v>
      </c>
      <c r="M242" s="118">
        <f>INDEX('Fuel Model - Calculation'!$B$2:$M$3771,(MATCH(($E242&amp;"ResultsCost of "&amp;$F242&amp;"USD/ton"),'Fuel Model - Calculation'!$B$2:$B$3771,0)),MATCH(M$141,'Fuel Model - Calculation'!$B$2:$M$2,0))</f>
        <v>991.08279827462457</v>
      </c>
      <c r="N242" s="118">
        <f>INDEX('Fuel Model - Calculation'!$B$2:$M$3771,(MATCH(($E242&amp;"ResultsCost of "&amp;$F242&amp;"USD/ton"),'Fuel Model - Calculation'!$B$2:$B$3771,0)),MATCH(N$141,'Fuel Model - Calculation'!$B$2:$M$2,0))</f>
        <v>935.93444722497964</v>
      </c>
      <c r="O242"/>
      <c r="P242" s="118">
        <f>IFERROR(INDEX('Fuel Model - Calculation'!G$2:G$3771,(MATCH(($E242&amp;"ResultsTotal RNE "&amp;$F242&amp;"USD/ton"),'Fuel Model - Calculation'!$B$2:$B$3771,0))),0)</f>
        <v>63.202704355445796</v>
      </c>
      <c r="Q242" s="118">
        <f>IFERROR(INDEX('Fuel Model - Calculation'!H$2:H$3771,(MATCH(($E242&amp;"ResultsTotal RNE "&amp;$F242&amp;"USD/ton"),'Fuel Model - Calculation'!$B$2:$B$3771,0))),0)</f>
        <v>35.761364084933575</v>
      </c>
      <c r="R242" s="118">
        <f>IFERROR(INDEX('Fuel Model - Calculation'!I$2:I$3771,(MATCH(($E242&amp;"ResultsTotal RNE "&amp;$F242&amp;"USD/ton"),'Fuel Model - Calculation'!$B$2:$B$3771,0))),0)</f>
        <v>28.008812897662878</v>
      </c>
      <c r="S242" s="118">
        <f>IFERROR(INDEX('Fuel Model - Calculation'!J$2:J$3771,(MATCH(($E242&amp;"ResultsTotal RNE "&amp;$F242&amp;"USD/ton"),'Fuel Model - Calculation'!$B$2:$B$3771,0))),0)</f>
        <v>23.667136066103538</v>
      </c>
      <c r="T242" s="118">
        <f>IFERROR(INDEX('Fuel Model - Calculation'!K$2:K$3771,(MATCH(($E242&amp;"ResultsTotal RNE "&amp;$F242&amp;"USD/ton"),'Fuel Model - Calculation'!$B$2:$B$3771,0))),0)</f>
        <v>21.592117906088809</v>
      </c>
      <c r="U242" s="118">
        <f>IFERROR(INDEX('Fuel Model - Calculation'!L$2:L$3771,(MATCH(($E242&amp;"ResultsTotal RNE "&amp;$F242&amp;"USD/ton"),'Fuel Model - Calculation'!$B$2:$B$3771,0))),0)</f>
        <v>19.475815971079118</v>
      </c>
      <c r="V242" s="118">
        <f>IFERROR(INDEX('Fuel Model - Calculation'!M$2:M$3771,(MATCH(($E242&amp;"ResultsTotal RNE "&amp;$F242&amp;"USD/ton"),'Fuel Model - Calculation'!$B$2:$B$3771,0))),0)</f>
        <v>18.407682912396016</v>
      </c>
      <c r="W242"/>
      <c r="X242" s="2">
        <f>INDEX('Fuel Model - Calculation'!$E$2:$M$3771,(MATCH(("WTT Emission - "&amp;$F242),'Fuel Model - Calculation'!$E$2:$E$3771,0)),MATCH(X$141,'Fuel Model - Calculation'!$E$2:$M$2,0))</f>
        <v>-2.3060680943922076</v>
      </c>
      <c r="Y242" s="2">
        <f>INDEX('Fuel Model - Calculation'!$E$2:$M$3771,(MATCH(("WTT Emission - "&amp;$F242),'Fuel Model - Calculation'!$E$2:$E$3771,0)),MATCH(Y$141,'Fuel Model - Calculation'!$E$2:$M$2,0))</f>
        <v>-2.5003986922241022</v>
      </c>
      <c r="Z242" s="2">
        <f>INDEX('Fuel Model - Calculation'!$E$2:$M$3771,(MATCH(("WTT Emission - "&amp;$F242),'Fuel Model - Calculation'!$E$2:$E$3771,0)),MATCH(Z$141,'Fuel Model - Calculation'!$E$2:$M$2,0))</f>
        <v>-2.6518987620116352</v>
      </c>
      <c r="AA242" s="2">
        <f>INDEX('Fuel Model - Calculation'!$E$2:$M$3771,(MATCH(("WTT Emission - "&amp;$F242),'Fuel Model - Calculation'!$E$2:$E$3771,0)),MATCH(AA$141,'Fuel Model - Calculation'!$E$2:$M$2,0))</f>
        <v>-2.9405528396694591</v>
      </c>
      <c r="AB242" s="2">
        <f>INDEX('Fuel Model - Calculation'!$E$2:$M$3771,(MATCH(("WTT Emission - "&amp;$F242),'Fuel Model - Calculation'!$E$2:$E$3771,0)),MATCH(AB$141,'Fuel Model - Calculation'!$E$2:$M$2,0))</f>
        <v>-3.0124184563878584</v>
      </c>
      <c r="AC242" s="2">
        <f>INDEX('Fuel Model - Calculation'!$E$2:$M$3771,(MATCH(("WTT Emission - "&amp;$F242),'Fuel Model - Calculation'!$E$2:$E$3771,0)),MATCH(AC$141,'Fuel Model - Calculation'!$E$2:$M$2,0))</f>
        <v>-3.0902555672657961</v>
      </c>
      <c r="AD242" s="2">
        <f>INDEX('Fuel Model - Calculation'!$E$2:$M$3771,(MATCH(("WTT Emission - "&amp;$F242),'Fuel Model - Calculation'!$E$2:$E$3771,0)),MATCH(AD$141,'Fuel Model - Calculation'!$E$2:$M$2,0))</f>
        <v>-3.18536199131356</v>
      </c>
      <c r="AE242" s="2"/>
      <c r="AF242" s="2">
        <f>'Fuel Model -  Input'!H$55</f>
        <v>3.2553300000000003</v>
      </c>
      <c r="AG242" s="2">
        <f>'Fuel Model -  Input'!I$55</f>
        <v>3.2553300000000003</v>
      </c>
      <c r="AH242" s="2">
        <f>'Fuel Model -  Input'!J$55</f>
        <v>3.2553300000000003</v>
      </c>
      <c r="AI242" s="2">
        <f>'Fuel Model -  Input'!K$55</f>
        <v>3.2553300000000003</v>
      </c>
      <c r="AJ242" s="2">
        <f>'Fuel Model -  Input'!L$55</f>
        <v>3.2553300000000003</v>
      </c>
      <c r="AK242" s="2">
        <f>'Fuel Model -  Input'!M$55</f>
        <v>3.2553300000000003</v>
      </c>
      <c r="AL242" s="2">
        <f>'Fuel Model -  Input'!N$55</f>
        <v>3.2553300000000003</v>
      </c>
      <c r="AM242"/>
      <c r="AN242" s="24">
        <f t="shared" si="206"/>
        <v>0.94926190560779267</v>
      </c>
      <c r="AO242" s="24">
        <f t="shared" si="206"/>
        <v>0.75493130777589812</v>
      </c>
      <c r="AP242" s="24">
        <f t="shared" si="206"/>
        <v>0.60343123798836507</v>
      </c>
      <c r="AQ242" s="24">
        <f t="shared" si="206"/>
        <v>0.31477716033054115</v>
      </c>
      <c r="AR242" s="24">
        <f t="shared" si="206"/>
        <v>0.24291154361214184</v>
      </c>
      <c r="AS242" s="24">
        <f t="shared" si="206"/>
        <v>0.16507443273420419</v>
      </c>
      <c r="AT242" s="24">
        <f t="shared" si="206"/>
        <v>6.9968008686440264E-2</v>
      </c>
      <c r="AU242"/>
      <c r="AV242" s="118">
        <f>IFERROR(INDEX('Fuel Model - Calculation'!$B$2:$M$3771,(MATCH(($E242&amp;"Results"&amp;$AV$140&amp;$F242&amp;"USD/ton"),'Fuel Model - Calculation'!$B$2:$B$3771,0)),MATCH(H$141,'Fuel Model - Calculation'!$B$2:$M$2,0)),0)</f>
        <v>1314.6947939385132</v>
      </c>
      <c r="AW242" s="118">
        <f>IFERROR(INDEX('Fuel Model - Calculation'!$B$2:$M$3771,(MATCH(($E242&amp;"Results"&amp;$AV$140&amp;$F242&amp;"USD/ton"),'Fuel Model - Calculation'!$B$2:$B$3771,0)),MATCH(I$141,'Fuel Model - Calculation'!$B$2:$M$2,0)),0)</f>
        <v>788.81687636310789</v>
      </c>
      <c r="AX242" s="118">
        <f>IFERROR(INDEX('Fuel Model - Calculation'!$B$2:$M$3771,(MATCH(($E242&amp;"Results"&amp;$AV$140&amp;$F242&amp;"USD/ton"),'Fuel Model - Calculation'!$B$2:$B$3771,0)),MATCH(J$141,'Fuel Model - Calculation'!$B$2:$M$2,0)),0)</f>
        <v>262.93895878770263</v>
      </c>
      <c r="AY242" s="118">
        <f>IFERROR(INDEX('Fuel Model - Calculation'!$B$2:$M$3771,(MATCH(($E242&amp;"Results"&amp;$AV$140&amp;$F242&amp;"USD/ton"),'Fuel Model - Calculation'!$B$2:$B$3771,0)),MATCH(K$141,'Fuel Model - Calculation'!$B$2:$M$2,0)),0)</f>
        <v>247.16262126044049</v>
      </c>
      <c r="AZ242" s="118">
        <f>IFERROR(INDEX('Fuel Model - Calculation'!$B$2:$M$3771,(MATCH(($E242&amp;"Results"&amp;$AV$140&amp;$F242&amp;"USD/ton"),'Fuel Model - Calculation'!$B$2:$B$3771,0)),MATCH(L$141,'Fuel Model - Calculation'!$B$2:$M$2,0)),0)</f>
        <v>239.2744524968094</v>
      </c>
      <c r="BA242" s="118">
        <f>IFERROR(INDEX('Fuel Model - Calculation'!$B$2:$M$3771,(MATCH(($E242&amp;"Results"&amp;$AV$140&amp;$F242&amp;"USD/ton"),'Fuel Model - Calculation'!$B$2:$B$3771,0)),MATCH(M$141,'Fuel Model - Calculation'!$B$2:$M$2,0)),0)</f>
        <v>231.38628373317832</v>
      </c>
      <c r="BB242" s="118">
        <f>IFERROR(INDEX('Fuel Model - Calculation'!$B$2:$M$3771,(MATCH(($E242&amp;"Results"&amp;$AV$140&amp;$F242&amp;"USD/ton"),'Fuel Model - Calculation'!$B$2:$B$3771,0)),MATCH(N$141,'Fuel Model - Calculation'!$B$2:$M$2,0)),0)</f>
        <v>223.49811496954723</v>
      </c>
      <c r="BC242"/>
      <c r="BD242" s="118">
        <f>IFERROR(INDEX('Fuel Model - Calculation'!$B$2:$M$3771,(MATCH(($E242&amp;"Results"&amp;$BD$140&amp;$F242&amp;"USD/ton"),'Fuel Model - Calculation'!$B$2:$B$3771,0)),MATCH(P$141,'Fuel Model - Calculation'!$B$2:$M$2,0)),0)</f>
        <v>4821.1718011339271</v>
      </c>
      <c r="BE242" s="118">
        <f>IFERROR(INDEX('Fuel Model - Calculation'!$B$2:$M$3771,(MATCH(($E242&amp;"Results"&amp;$BD$140&amp;$F242&amp;"USD/ton"),'Fuel Model - Calculation'!$B$2:$B$3771,0)),MATCH(Q$141,'Fuel Model - Calculation'!$B$2:$M$2,0)),0)</f>
        <v>964.23436022678538</v>
      </c>
      <c r="BF242" s="118">
        <f>IFERROR(INDEX('Fuel Model - Calculation'!$B$2:$M$3771,(MATCH(($E242&amp;"Results"&amp;$BD$140&amp;$F242&amp;"USD/ton"),'Fuel Model - Calculation'!$B$2:$B$3771,0)),MATCH(R$141,'Fuel Model - Calculation'!$B$2:$M$2,0)),0)</f>
        <v>321.41145340892848</v>
      </c>
      <c r="BG242" s="118">
        <f>IFERROR(INDEX('Fuel Model - Calculation'!$B$2:$M$3771,(MATCH(($E242&amp;"Results"&amp;$BD$140&amp;$F242&amp;"USD/ton"),'Fuel Model - Calculation'!$B$2:$B$3771,0)),MATCH(S$141,'Fuel Model - Calculation'!$B$2:$M$2,0)),0)</f>
        <v>302.12676620439277</v>
      </c>
      <c r="BH242" s="118">
        <f>IFERROR(INDEX('Fuel Model - Calculation'!$B$2:$M$3771,(MATCH(($E242&amp;"Results"&amp;$BD$140&amp;$F242&amp;"USD/ton"),'Fuel Model - Calculation'!$B$2:$B$3771,0)),MATCH(T$141,'Fuel Model - Calculation'!$B$2:$M$2,0)),0)</f>
        <v>292.48442260212494</v>
      </c>
      <c r="BI242" s="118">
        <f>IFERROR(INDEX('Fuel Model - Calculation'!$B$2:$M$3771,(MATCH(($E242&amp;"Results"&amp;$BD$140&amp;$F242&amp;"USD/ton"),'Fuel Model - Calculation'!$B$2:$B$3771,0)),MATCH(U$141,'Fuel Model - Calculation'!$B$2:$M$2,0)),0)</f>
        <v>282.84207899985711</v>
      </c>
      <c r="BJ242" s="118">
        <f>IFERROR(INDEX('Fuel Model - Calculation'!$B$2:$M$3771,(MATCH(($E242&amp;"Results"&amp;$BD$140&amp;$F242&amp;"USD/ton"),'Fuel Model - Calculation'!$B$2:$B$3771,0)),MATCH(V$141,'Fuel Model - Calculation'!$B$2:$M$2,0)),0)</f>
        <v>273.19973539758922</v>
      </c>
      <c r="BL242" s="118">
        <f>IFERROR(IFERROR(INDEX('Fuel Model - Calculation'!$B$2:$M$3771,(MATCH(($E242&amp;"Results"&amp;$BL$140&amp;$F242&amp;"USD/ton"),'Fuel Model - Calculation'!$B$2:$B$3771,0)),MATCH(H$141,'Fuel Model - Calculation'!$B$2:$M$2,0)),0),0)</f>
        <v>0</v>
      </c>
      <c r="BM242" s="118">
        <f>IFERROR(IFERROR(INDEX('Fuel Model - Calculation'!$B$2:$M$3771,(MATCH(($E242&amp;"Results"&amp;$BL$140&amp;$F242&amp;"USD/ton"),'Fuel Model - Calculation'!$B$2:$B$3771,0)),MATCH(I$141,'Fuel Model - Calculation'!$B$2:$M$2,0)),0),0)</f>
        <v>0</v>
      </c>
      <c r="BN242" s="118">
        <f>IFERROR(IFERROR(INDEX('Fuel Model - Calculation'!$B$2:$M$3771,(MATCH(($E242&amp;"Results"&amp;$BL$140&amp;$F242&amp;"USD/ton"),'Fuel Model - Calculation'!$B$2:$B$3771,0)),MATCH(J$141,'Fuel Model - Calculation'!$B$2:$M$2,0)),0),0)</f>
        <v>0</v>
      </c>
      <c r="BO242" s="118">
        <f>IFERROR(IFERROR(INDEX('Fuel Model - Calculation'!$B$2:$M$3771,(MATCH(($E242&amp;"Results"&amp;$BL$140&amp;$F242&amp;"USD/ton"),'Fuel Model - Calculation'!$B$2:$B$3771,0)),MATCH(K$141,'Fuel Model - Calculation'!$B$2:$M$2,0)),0),0)</f>
        <v>0</v>
      </c>
      <c r="BP242" s="118">
        <f>IFERROR(IFERROR(INDEX('Fuel Model - Calculation'!$B$2:$M$3771,(MATCH(($E242&amp;"Results"&amp;$BL$140&amp;$F242&amp;"USD/ton"),'Fuel Model - Calculation'!$B$2:$B$3771,0)),MATCH(L$141,'Fuel Model - Calculation'!$B$2:$M$2,0)),0),0)</f>
        <v>0</v>
      </c>
      <c r="BQ242" s="118">
        <f>IFERROR(IFERROR(INDEX('Fuel Model - Calculation'!$B$2:$M$3771,(MATCH(($E242&amp;"Results"&amp;$BL$140&amp;$F242&amp;"USD/ton"),'Fuel Model - Calculation'!$B$2:$B$3771,0)),MATCH(M$141,'Fuel Model - Calculation'!$B$2:$M$2,0)),0),0)</f>
        <v>0</v>
      </c>
      <c r="BR242" s="118">
        <f>IFERROR(IFERROR(INDEX('Fuel Model - Calculation'!$B$2:$M$3771,(MATCH(($E242&amp;"Results"&amp;$BL$140&amp;$F242&amp;"USD/ton"),'Fuel Model - Calculation'!$B$2:$B$3771,0)),MATCH(N$141,'Fuel Model - Calculation'!$B$2:$M$2,0)),0),0)</f>
        <v>0</v>
      </c>
      <c r="BT242" s="118">
        <f>IFERROR(INDEX('Fuel Model - Calculation'!$B$2:$M$3771,(MATCH(($E242&amp;"Results"&amp;$BT$140&amp;$F242&amp;"USD/ton"),'Fuel Model - Calculation'!$B$2:$B$3771,0)),MATCH(H$141,'Fuel Model - Calculation'!$B$2:$M$2,0)),0)</f>
        <v>714.34771009732503</v>
      </c>
      <c r="BU242" s="118">
        <f>IFERROR(INDEX('Fuel Model - Calculation'!$B$2:$M$3771,(MATCH(($E242&amp;"Results"&amp;$BT$140&amp;$F242&amp;"USD/ton"),'Fuel Model - Calculation'!$B$2:$B$3771,0)),MATCH(I$141,'Fuel Model - Calculation'!$B$2:$M$2,0)),0)</f>
        <v>489.11840800128027</v>
      </c>
      <c r="BV242" s="118">
        <f>IFERROR(INDEX('Fuel Model - Calculation'!$B$2:$M$3771,(MATCH(($E242&amp;"Results"&amp;$BT$140&amp;$F242&amp;"USD/ton"),'Fuel Model - Calculation'!$B$2:$B$3771,0)),MATCH(J$141,'Fuel Model - Calculation'!$B$2:$M$2,0)),0)</f>
        <v>447.5086008141825</v>
      </c>
      <c r="BW242" s="118">
        <f>IFERROR(INDEX('Fuel Model - Calculation'!$B$2:$M$3771,(MATCH(($E242&amp;"Results"&amp;$BT$140&amp;$F242&amp;"USD/ton"),'Fuel Model - Calculation'!$B$2:$B$3771,0)),MATCH(K$141,'Fuel Model - Calculation'!$B$2:$M$2,0)),0)</f>
        <v>469.13744031714009</v>
      </c>
      <c r="BX242" s="118">
        <f>IFERROR(INDEX('Fuel Model - Calculation'!$B$2:$M$3771,(MATCH(($E242&amp;"Results"&amp;$BT$140&amp;$F242&amp;"USD/ton"),'Fuel Model - Calculation'!$B$2:$B$3771,0)),MATCH(L$141,'Fuel Model - Calculation'!$B$2:$M$2,0)),0)</f>
        <v>467.55232610926726</v>
      </c>
      <c r="BY242" s="118">
        <f>IFERROR(INDEX('Fuel Model - Calculation'!$B$2:$M$3771,(MATCH(($E242&amp;"Results"&amp;$BT$140&amp;$F242&amp;"USD/ton"),'Fuel Model - Calculation'!$B$2:$B$3771,0)),MATCH(M$141,'Fuel Model - Calculation'!$B$2:$M$2,0)),0)</f>
        <v>457.37861957051007</v>
      </c>
      <c r="BZ242" s="118">
        <f>IFERROR(INDEX('Fuel Model - Calculation'!$B$2:$M$3771,(MATCH(($E242&amp;"Results"&amp;$BT$140&amp;$F242&amp;"USD/ton"),'Fuel Model - Calculation'!$B$2:$B$3771,0)),MATCH(N$141,'Fuel Model - Calculation'!$B$2:$M$2,0)),0)</f>
        <v>420.8289139454472</v>
      </c>
    </row>
    <row r="243" spans="1:78" x14ac:dyDescent="0.2">
      <c r="A243" s="452"/>
      <c r="B243" s="453"/>
      <c r="D243" s="459"/>
      <c r="E243"/>
      <c r="F243"/>
      <c r="G243"/>
      <c r="H243" s="118"/>
      <c r="I243"/>
      <c r="J243"/>
      <c r="K243"/>
      <c r="L243"/>
      <c r="M243"/>
      <c r="N243"/>
      <c r="O243"/>
      <c r="P243"/>
      <c r="Q243"/>
      <c r="R243"/>
      <c r="S243"/>
      <c r="T243"/>
      <c r="U243"/>
      <c r="V243"/>
      <c r="W243"/>
      <c r="X243"/>
      <c r="Y243"/>
      <c r="Z243"/>
      <c r="AA243"/>
      <c r="AB243"/>
      <c r="AC243"/>
      <c r="AD243"/>
      <c r="AE243"/>
      <c r="AF243" s="2"/>
      <c r="AG243" s="2"/>
      <c r="AH243" s="2"/>
      <c r="AI243" s="2"/>
      <c r="AJ243" s="2"/>
      <c r="AK243" s="2"/>
      <c r="AL243" s="2"/>
      <c r="AM243"/>
      <c r="AN243" s="24"/>
      <c r="AO243" s="24"/>
      <c r="AP243" s="24"/>
      <c r="AQ243" s="24"/>
      <c r="AR243" s="24"/>
      <c r="AS243" s="24"/>
      <c r="AT243" s="24"/>
      <c r="AU243"/>
      <c r="AV243" s="118"/>
      <c r="AW243" s="118"/>
      <c r="AX243" s="118"/>
      <c r="AY243" s="118"/>
      <c r="AZ243" s="118"/>
      <c r="BA243" s="118"/>
      <c r="BB243" s="118"/>
      <c r="BC243"/>
      <c r="BD243" s="118"/>
      <c r="BE243" s="118"/>
      <c r="BF243" s="118"/>
      <c r="BG243" s="118"/>
      <c r="BH243" s="118"/>
      <c r="BI243" s="118"/>
      <c r="BJ243" s="118"/>
      <c r="BL243" s="118"/>
      <c r="BM243" s="118"/>
      <c r="BN243" s="118"/>
      <c r="BO243" s="118"/>
      <c r="BP243" s="118"/>
      <c r="BQ243" s="118"/>
      <c r="BR243" s="118"/>
      <c r="BT243" s="118"/>
      <c r="BU243" s="118"/>
      <c r="BV243" s="118"/>
      <c r="BW243" s="118"/>
      <c r="BX243" s="118"/>
      <c r="BY243" s="118"/>
      <c r="BZ243" s="118"/>
    </row>
    <row r="244" spans="1:78" x14ac:dyDescent="0.2">
      <c r="A244" s="452"/>
      <c r="B244" s="453" t="str">
        <f>_xlfn.TEXTJOIN(keydelim,TRUE,F244,IF(E244="Africa","Africa&amp;other",E244),"Fuel cost",SUBSTITUTE($G244," ",""))</f>
        <v>Biodiesel (Pyr) - Europe - Fuel cost - USD/ton</v>
      </c>
      <c r="D244" s="459" t="str">
        <f>E244&amp;F244</f>
        <v>EuropeBiodiesel (Pyr)</v>
      </c>
      <c r="E244" t="s">
        <v>195</v>
      </c>
      <c r="F244" s="29" t="s">
        <v>123</v>
      </c>
      <c r="G244" t="s">
        <v>835</v>
      </c>
      <c r="H244" s="118">
        <f>INDEX('Fuel Model - Calculation'!$B$2:$M$3771,(MATCH(($E244&amp;"ResultsCost of "&amp;$F244&amp;"USD/ton"),'Fuel Model - Calculation'!$B$2:$B$3771,0)),MATCH(H$141,'Fuel Model - Calculation'!$B$2:$M$2,0))</f>
        <v>2788.9311707720599</v>
      </c>
      <c r="I244" s="118">
        <f>INDEX('Fuel Model - Calculation'!$B$2:$M$3771,(MATCH(($E244&amp;"ResultsCost of "&amp;$F244&amp;"USD/ton"),'Fuel Model - Calculation'!$B$2:$B$3771,0)),MATCH(I$141,'Fuel Model - Calculation'!$B$2:$M$2,0))</f>
        <v>1729.4332323483279</v>
      </c>
      <c r="J244" s="118">
        <f>INDEX('Fuel Model - Calculation'!$B$2:$M$3771,(MATCH(($E244&amp;"ResultsCost of "&amp;$F244&amp;"USD/ton"),'Fuel Model - Calculation'!$B$2:$B$3771,0)),MATCH(J$141,'Fuel Model - Calculation'!$B$2:$M$2,0))</f>
        <v>1052.8556240526912</v>
      </c>
      <c r="K244" s="118">
        <f>INDEX('Fuel Model - Calculation'!$B$2:$M$3771,(MATCH(($E244&amp;"ResultsCost of "&amp;$F244&amp;"USD/ton"),'Fuel Model - Calculation'!$B$2:$B$3771,0)),MATCH(K$141,'Fuel Model - Calculation'!$B$2:$M$2,0))</f>
        <v>1073.1790863041242</v>
      </c>
      <c r="L244" s="118">
        <f>INDEX('Fuel Model - Calculation'!$B$2:$M$3771,(MATCH(($E244&amp;"ResultsCost of "&amp;$F244&amp;"USD/ton"),'Fuel Model - Calculation'!$B$2:$B$3771,0)),MATCH(L$141,'Fuel Model - Calculation'!$B$2:$M$2,0))</f>
        <v>1065.081454988509</v>
      </c>
      <c r="M244" s="118">
        <f>INDEX('Fuel Model - Calculation'!$B$2:$M$3771,(MATCH(($E244&amp;"ResultsCost of "&amp;$F244&amp;"USD/ton"),'Fuel Model - Calculation'!$B$2:$B$3771,0)),MATCH(M$141,'Fuel Model - Calculation'!$B$2:$M$2,0))</f>
        <v>1045.0513017974279</v>
      </c>
      <c r="N244" s="118">
        <f>INDEX('Fuel Model - Calculation'!$B$2:$M$3771,(MATCH(($E244&amp;"ResultsCost of "&amp;$F244&amp;"USD/ton"),'Fuel Model - Calculation'!$B$2:$B$3771,0)),MATCH(N$141,'Fuel Model - Calculation'!$B$2:$M$2,0))</f>
        <v>973.70458193001991</v>
      </c>
      <c r="O244"/>
      <c r="P244" s="118">
        <f>IFERROR(INDEX('Fuel Model - Calculation'!G$2:G$3771,(MATCH(($E244&amp;"ResultsTotal RNE "&amp;$F244&amp;"USD/ton"),'Fuel Model - Calculation'!$B$2:$B$3771,0))),0)</f>
        <v>0</v>
      </c>
      <c r="Q244" s="118">
        <f>IFERROR(INDEX('Fuel Model - Calculation'!H$2:H$3771,(MATCH(($E244&amp;"ResultsTotal RNE "&amp;$F244&amp;"USD/ton"),'Fuel Model - Calculation'!$B$2:$B$3771,0))),0)</f>
        <v>0</v>
      </c>
      <c r="R244" s="118">
        <f>IFERROR(INDEX('Fuel Model - Calculation'!I$2:I$3771,(MATCH(($E244&amp;"ResultsTotal RNE "&amp;$F244&amp;"USD/ton"),'Fuel Model - Calculation'!$B$2:$B$3771,0))),0)</f>
        <v>0</v>
      </c>
      <c r="S244" s="118">
        <f>IFERROR(INDEX('Fuel Model - Calculation'!J$2:J$3771,(MATCH(($E244&amp;"ResultsTotal RNE "&amp;$F244&amp;"USD/ton"),'Fuel Model - Calculation'!$B$2:$B$3771,0))),0)</f>
        <v>0</v>
      </c>
      <c r="T244" s="118">
        <f>IFERROR(INDEX('Fuel Model - Calculation'!K$2:K$3771,(MATCH(($E244&amp;"ResultsTotal RNE "&amp;$F244&amp;"USD/ton"),'Fuel Model - Calculation'!$B$2:$B$3771,0))),0)</f>
        <v>0</v>
      </c>
      <c r="U244" s="118">
        <f>IFERROR(INDEX('Fuel Model - Calculation'!L$2:L$3771,(MATCH(($E244&amp;"ResultsTotal RNE "&amp;$F244&amp;"USD/ton"),'Fuel Model - Calculation'!$B$2:$B$3771,0))),0)</f>
        <v>0</v>
      </c>
      <c r="V244" s="118">
        <f>IFERROR(INDEX('Fuel Model - Calculation'!M$2:M$3771,(MATCH(($E244&amp;"ResultsTotal RNE "&amp;$F244&amp;"USD/ton"),'Fuel Model - Calculation'!$B$2:$B$3771,0))),0)</f>
        <v>0</v>
      </c>
      <c r="W244"/>
      <c r="X244" s="2">
        <f>INDEX('Fuel Model - Calculation'!$E$2:$M$3771,(MATCH(("WTT Emission - "&amp;$F244),'Fuel Model - Calculation'!$E$2:$E$3771,0)),MATCH(X$141,'Fuel Model - Calculation'!$E$2:$M$2,0))</f>
        <v>-1.7225127511261726</v>
      </c>
      <c r="Y244" s="2">
        <f>INDEX('Fuel Model - Calculation'!$E$2:$M$3771,(MATCH(("WTT Emission - "&amp;$F244),'Fuel Model - Calculation'!$E$2:$E$3771,0)),MATCH(Y$141,'Fuel Model - Calculation'!$E$2:$M$2,0))</f>
        <v>-2.0617732206771975</v>
      </c>
      <c r="Z244" s="2">
        <f>INDEX('Fuel Model - Calculation'!$E$2:$M$3771,(MATCH(("WTT Emission - "&amp;$F244),'Fuel Model - Calculation'!$E$2:$E$3771,0)),MATCH(Z$141,'Fuel Model - Calculation'!$E$2:$M$2,0))</f>
        <v>-2.3119134835064319</v>
      </c>
      <c r="AA244" s="2">
        <f>INDEX('Fuel Model - Calculation'!$E$2:$M$3771,(MATCH(("WTT Emission - "&amp;$F244),'Fuel Model - Calculation'!$E$2:$E$3771,0)),MATCH(AA$141,'Fuel Model - Calculation'!$E$2:$M$2,0))</f>
        <v>-2.8473340827058715</v>
      </c>
      <c r="AB244" s="2">
        <f>INDEX('Fuel Model - Calculation'!$E$2:$M$3771,(MATCH(("WTT Emission - "&amp;$F244),'Fuel Model - Calculation'!$E$2:$E$3771,0)),MATCH(AB$141,'Fuel Model - Calculation'!$E$2:$M$2,0))</f>
        <v>-2.9318346831513074</v>
      </c>
      <c r="AC244" s="2">
        <f>INDEX('Fuel Model - Calculation'!$E$2:$M$3771,(MATCH(("WTT Emission - "&amp;$F244),'Fuel Model - Calculation'!$E$2:$E$3771,0)),MATCH(AC$141,'Fuel Model - Calculation'!$E$2:$M$2,0))</f>
        <v>-3.0287559914485835</v>
      </c>
      <c r="AD244" s="2">
        <f>INDEX('Fuel Model - Calculation'!$E$2:$M$3771,(MATCH(("WTT Emission - "&amp;$F244),'Fuel Model - Calculation'!$E$2:$E$3771,0)),MATCH(AD$141,'Fuel Model - Calculation'!$E$2:$M$2,0))</f>
        <v>-3.1615974711390979</v>
      </c>
      <c r="AE244" s="2"/>
      <c r="AF244" s="2">
        <f>'Fuel Model -  Input'!H$54</f>
        <v>3.2553300000000003</v>
      </c>
      <c r="AG244" s="2">
        <f>'Fuel Model -  Input'!I$54</f>
        <v>3.2553300000000003</v>
      </c>
      <c r="AH244" s="2">
        <f>'Fuel Model -  Input'!J$54</f>
        <v>3.2553300000000003</v>
      </c>
      <c r="AI244" s="2">
        <f>'Fuel Model -  Input'!K$54</f>
        <v>3.2553300000000003</v>
      </c>
      <c r="AJ244" s="2">
        <f>'Fuel Model -  Input'!L$54</f>
        <v>3.2553300000000003</v>
      </c>
      <c r="AK244" s="2">
        <f>'Fuel Model -  Input'!M$54</f>
        <v>3.2553300000000003</v>
      </c>
      <c r="AL244" s="2">
        <f>'Fuel Model -  Input'!N$54</f>
        <v>3.2553300000000003</v>
      </c>
      <c r="AM244"/>
      <c r="AN244" s="24">
        <f t="shared" ref="AN244:AT248" si="209">X244+AF244</f>
        <v>1.5328172488738276</v>
      </c>
      <c r="AO244" s="24">
        <f t="shared" si="209"/>
        <v>1.1935567793228028</v>
      </c>
      <c r="AP244" s="24">
        <f t="shared" si="209"/>
        <v>0.94341651649356839</v>
      </c>
      <c r="AQ244" s="24">
        <f t="shared" si="209"/>
        <v>0.40799591729412876</v>
      </c>
      <c r="AR244" s="24">
        <f t="shared" si="209"/>
        <v>0.32349531684869293</v>
      </c>
      <c r="AS244" s="24">
        <f t="shared" si="209"/>
        <v>0.22657400855141674</v>
      </c>
      <c r="AT244" s="24">
        <f t="shared" si="209"/>
        <v>9.3732528860902331E-2</v>
      </c>
      <c r="AU244"/>
      <c r="AV244" s="118">
        <f>IFERROR(INDEX('Fuel Model - Calculation'!$B$2:$M$3771,(MATCH(($E244&amp;"Results"&amp;$AV$140&amp;$F244&amp;"USD/ton"),'Fuel Model - Calculation'!$B$2:$B$3771,0)),MATCH(H$141,'Fuel Model - Calculation'!$B$2:$M$2,0)),0)</f>
        <v>1027.3166666666668</v>
      </c>
      <c r="AW244" s="118">
        <f>IFERROR(INDEX('Fuel Model - Calculation'!$B$2:$M$3771,(MATCH(($E244&amp;"Results"&amp;$AV$140&amp;$F244&amp;"USD/ton"),'Fuel Model - Calculation'!$B$2:$B$3771,0)),MATCH(I$141,'Fuel Model - Calculation'!$B$2:$M$2,0)),0)</f>
        <v>616.3900000000001</v>
      </c>
      <c r="AX244" s="118">
        <f>IFERROR(INDEX('Fuel Model - Calculation'!$B$2:$M$3771,(MATCH(($E244&amp;"Results"&amp;$AV$140&amp;$F244&amp;"USD/ton"),'Fuel Model - Calculation'!$B$2:$B$3771,0)),MATCH(J$141,'Fuel Model - Calculation'!$B$2:$M$2,0)),0)</f>
        <v>205.46333333333337</v>
      </c>
      <c r="AY244" s="118">
        <f>IFERROR(INDEX('Fuel Model - Calculation'!$B$2:$M$3771,(MATCH(($E244&amp;"Results"&amp;$AV$140&amp;$F244&amp;"USD/ton"),'Fuel Model - Calculation'!$B$2:$B$3771,0)),MATCH(K$141,'Fuel Model - Calculation'!$B$2:$M$2,0)),0)</f>
        <v>184.91700000000006</v>
      </c>
      <c r="AZ244" s="118">
        <f>IFERROR(INDEX('Fuel Model - Calculation'!$B$2:$M$3771,(MATCH(($E244&amp;"Results"&amp;$AV$140&amp;$F244&amp;"USD/ton"),'Fuel Model - Calculation'!$B$2:$B$3771,0)),MATCH(L$141,'Fuel Model - Calculation'!$B$2:$M$2,0)),0)</f>
        <v>178.06822222222226</v>
      </c>
      <c r="BA244" s="118">
        <f>IFERROR(INDEX('Fuel Model - Calculation'!$B$2:$M$3771,(MATCH(($E244&amp;"Results"&amp;$AV$140&amp;$F244&amp;"USD/ton"),'Fuel Model - Calculation'!$B$2:$B$3771,0)),MATCH(M$141,'Fuel Model - Calculation'!$B$2:$M$2,0)),0)</f>
        <v>171.21944444444452</v>
      </c>
      <c r="BB244" s="118">
        <f>IFERROR(INDEX('Fuel Model - Calculation'!$B$2:$M$3771,(MATCH(($E244&amp;"Results"&amp;$AV$140&amp;$F244&amp;"USD/ton"),'Fuel Model - Calculation'!$B$2:$B$3771,0)),MATCH(N$141,'Fuel Model - Calculation'!$B$2:$M$2,0)),0)</f>
        <v>164.37066666666675</v>
      </c>
      <c r="BC244"/>
      <c r="BD244" s="118">
        <f>IFERROR(INDEX('Fuel Model - Calculation'!$B$2:$M$3771,(MATCH(($E244&amp;"Results"&amp;$BD$140&amp;$F244&amp;"USD/ton"),'Fuel Model - Calculation'!$B$2:$B$3771,0)),MATCH(P$141,'Fuel Model - Calculation'!$B$2:$M$2,0)),0)</f>
        <v>489.32691127965455</v>
      </c>
      <c r="BE244" s="118">
        <f>IFERROR(INDEX('Fuel Model - Calculation'!$B$2:$M$3771,(MATCH(($E244&amp;"Results"&amp;$BD$140&amp;$F244&amp;"USD/ton"),'Fuel Model - Calculation'!$B$2:$B$3771,0)),MATCH(Q$141,'Fuel Model - Calculation'!$B$2:$M$2,0)),0)</f>
        <v>300.26059674877609</v>
      </c>
      <c r="BF244" s="118">
        <f>IFERROR(INDEX('Fuel Model - Calculation'!$B$2:$M$3771,(MATCH(($E244&amp;"Results"&amp;$BD$140&amp;$F244&amp;"USD/ton"),'Fuel Model - Calculation'!$B$2:$B$3771,0)),MATCH(R$141,'Fuel Model - Calculation'!$B$2:$M$2,0)),0)</f>
        <v>112.36156293538291</v>
      </c>
      <c r="BG244" s="118">
        <f>IFERROR(INDEX('Fuel Model - Calculation'!$B$2:$M$3771,(MATCH(($E244&amp;"Results"&amp;$BD$140&amp;$F244&amp;"USD/ton"),'Fuel Model - Calculation'!$B$2:$B$3771,0)),MATCH(S$141,'Fuel Model - Calculation'!$B$2:$M$2,0)),0)</f>
        <v>101.17109434968907</v>
      </c>
      <c r="BH244" s="118">
        <f>IFERROR(INDEX('Fuel Model - Calculation'!$B$2:$M$3771,(MATCH(($E244&amp;"Results"&amp;$BD$140&amp;$F244&amp;"USD/ton"),'Fuel Model - Calculation'!$B$2:$B$3771,0)),MATCH(T$141,'Fuel Model - Calculation'!$B$2:$M$2,0)),0)</f>
        <v>96.902653359085278</v>
      </c>
      <c r="BI244" s="118">
        <f>IFERROR(INDEX('Fuel Model - Calculation'!$B$2:$M$3771,(MATCH(($E244&amp;"Results"&amp;$BD$140&amp;$F244&amp;"USD/ton"),'Fuel Model - Calculation'!$B$2:$B$3771,0)),MATCH(U$141,'Fuel Model - Calculation'!$B$2:$M$2,0)),0)</f>
        <v>92.549125808391153</v>
      </c>
      <c r="BJ244" s="118">
        <f>IFERROR(INDEX('Fuel Model - Calculation'!$B$2:$M$3771,(MATCH(($E244&amp;"Results"&amp;$BD$140&amp;$F244&amp;"USD/ton"),'Fuel Model - Calculation'!$B$2:$B$3771,0)),MATCH(V$141,'Fuel Model - Calculation'!$B$2:$M$2,0)),0)</f>
        <v>88.548105934852089</v>
      </c>
      <c r="BL244" s="118">
        <f>IFERROR(IFERROR(INDEX('Fuel Model - Calculation'!$B$2:$M$3771,(MATCH(($E244&amp;"Results"&amp;$BL$140&amp;$F244&amp;"USD/ton"),'Fuel Model - Calculation'!$B$2:$B$3771,0)),MATCH(H$141,'Fuel Model - Calculation'!$B$2:$M$2,0)),0),0)</f>
        <v>0</v>
      </c>
      <c r="BM244" s="118">
        <f>IFERROR(IFERROR(INDEX('Fuel Model - Calculation'!$B$2:$M$3771,(MATCH(($E244&amp;"Results"&amp;$BL$140&amp;$F244&amp;"USD/ton"),'Fuel Model - Calculation'!$B$2:$B$3771,0)),MATCH(I$141,'Fuel Model - Calculation'!$B$2:$M$2,0)),0),0)</f>
        <v>0</v>
      </c>
      <c r="BN244" s="118">
        <f>IFERROR(IFERROR(INDEX('Fuel Model - Calculation'!$B$2:$M$3771,(MATCH(($E244&amp;"Results"&amp;$BL$140&amp;$F244&amp;"USD/ton"),'Fuel Model - Calculation'!$B$2:$B$3771,0)),MATCH(J$141,'Fuel Model - Calculation'!$B$2:$M$2,0)),0),0)</f>
        <v>0</v>
      </c>
      <c r="BO244" s="118">
        <f>IFERROR(IFERROR(INDEX('Fuel Model - Calculation'!$B$2:$M$3771,(MATCH(($E244&amp;"Results"&amp;$BL$140&amp;$F244&amp;"USD/ton"),'Fuel Model - Calculation'!$B$2:$B$3771,0)),MATCH(K$141,'Fuel Model - Calculation'!$B$2:$M$2,0)),0),0)</f>
        <v>0</v>
      </c>
      <c r="BP244" s="118">
        <f>IFERROR(IFERROR(INDEX('Fuel Model - Calculation'!$B$2:$M$3771,(MATCH(($E244&amp;"Results"&amp;$BL$140&amp;$F244&amp;"USD/ton"),'Fuel Model - Calculation'!$B$2:$B$3771,0)),MATCH(L$141,'Fuel Model - Calculation'!$B$2:$M$2,0)),0),0)</f>
        <v>0</v>
      </c>
      <c r="BQ244" s="118">
        <f>IFERROR(IFERROR(INDEX('Fuel Model - Calculation'!$B$2:$M$3771,(MATCH(($E244&amp;"Results"&amp;$BL$140&amp;$F244&amp;"USD/ton"),'Fuel Model - Calculation'!$B$2:$B$3771,0)),MATCH(M$141,'Fuel Model - Calculation'!$B$2:$M$2,0)),0),0)</f>
        <v>0</v>
      </c>
      <c r="BR244" s="118">
        <f>IFERROR(IFERROR(INDEX('Fuel Model - Calculation'!$B$2:$M$3771,(MATCH(($E244&amp;"Results"&amp;$BL$140&amp;$F244&amp;"USD/ton"),'Fuel Model - Calculation'!$B$2:$B$3771,0)),MATCH(N$141,'Fuel Model - Calculation'!$B$2:$M$2,0)),0),0)</f>
        <v>0</v>
      </c>
      <c r="BT244" s="118">
        <f>IFERROR(INDEX('Fuel Model - Calculation'!$B$2:$M$3771,(MATCH(($E244&amp;"Results"&amp;$BT$140&amp;$F244&amp;"USD/ton"),'Fuel Model - Calculation'!$B$2:$B$3771,0)),MATCH(H$141,'Fuel Model - Calculation'!$B$2:$M$2,0)),0)</f>
        <v>1272.2875928257383</v>
      </c>
      <c r="BU244" s="118">
        <f>IFERROR(INDEX('Fuel Model - Calculation'!$B$2:$M$3771,(MATCH(($E244&amp;"Results"&amp;$BT$140&amp;$F244&amp;"USD/ton"),'Fuel Model - Calculation'!$B$2:$B$3771,0)),MATCH(I$141,'Fuel Model - Calculation'!$B$2:$M$2,0)),0)</f>
        <v>812.78263559955167</v>
      </c>
      <c r="BV244" s="118">
        <f>IFERROR(INDEX('Fuel Model - Calculation'!$B$2:$M$3771,(MATCH(($E244&amp;"Results"&amp;$BT$140&amp;$F244&amp;"USD/ton"),'Fuel Model - Calculation'!$B$2:$B$3771,0)),MATCH(J$141,'Fuel Model - Calculation'!$B$2:$M$2,0)),0)</f>
        <v>735.03072778397495</v>
      </c>
      <c r="BW244" s="118">
        <f>IFERROR(INDEX('Fuel Model - Calculation'!$B$2:$M$3771,(MATCH(($E244&amp;"Results"&amp;$BT$140&amp;$F244&amp;"USD/ton"),'Fuel Model - Calculation'!$B$2:$B$3771,0)),MATCH(K$141,'Fuel Model - Calculation'!$B$2:$M$2,0)),0)</f>
        <v>787.09099195443514</v>
      </c>
      <c r="BX244" s="118">
        <f>IFERROR(INDEX('Fuel Model - Calculation'!$B$2:$M$3771,(MATCH(($E244&amp;"Results"&amp;$BT$140&amp;$F244&amp;"USD/ton"),'Fuel Model - Calculation'!$B$2:$B$3771,0)),MATCH(L$141,'Fuel Model - Calculation'!$B$2:$M$2,0)),0)</f>
        <v>790.11057940720139</v>
      </c>
      <c r="BY244" s="118">
        <f>IFERROR(INDEX('Fuel Model - Calculation'!$B$2:$M$3771,(MATCH(($E244&amp;"Results"&amp;$BT$140&amp;$F244&amp;"USD/ton"),'Fuel Model - Calculation'!$B$2:$B$3771,0)),MATCH(M$141,'Fuel Model - Calculation'!$B$2:$M$2,0)),0)</f>
        <v>781.28273154459225</v>
      </c>
      <c r="BZ244" s="118">
        <f>IFERROR(INDEX('Fuel Model - Calculation'!$B$2:$M$3771,(MATCH(($E244&amp;"Results"&amp;$BT$140&amp;$F244&amp;"USD/ton"),'Fuel Model - Calculation'!$B$2:$B$3771,0)),MATCH(N$141,'Fuel Model - Calculation'!$B$2:$M$2,0)),0)</f>
        <v>720.78580932850105</v>
      </c>
    </row>
    <row r="245" spans="1:78" x14ac:dyDescent="0.2">
      <c r="A245" s="452"/>
      <c r="B245" s="453" t="str">
        <f>_xlfn.TEXTJOIN(keydelim,TRUE,F245,IF(E245="Africa","Africa&amp;other",E245),"Fuel cost",SUBSTITUTE($G245," ",""))</f>
        <v>Biodiesel (Pyr) - Middle East - Fuel cost - USD/ton</v>
      </c>
      <c r="D245" s="459" t="str">
        <f t="shared" ref="D245:D248" si="210">E245&amp;F245</f>
        <v>Middle EastBiodiesel (Pyr)</v>
      </c>
      <c r="E245" t="s">
        <v>197</v>
      </c>
      <c r="F245" s="460" t="str">
        <f t="shared" ref="F245:F248" si="211">F244</f>
        <v>Biodiesel (Pyr)</v>
      </c>
      <c r="G245" t="s">
        <v>835</v>
      </c>
      <c r="H245" s="118">
        <f>INDEX('Fuel Model - Calculation'!$B$2:$M$3771,(MATCH(($E245&amp;"ResultsCost of "&amp;$F245&amp;"USD/ton"),'Fuel Model - Calculation'!$B$2:$B$3771,0)),MATCH(H$141,'Fuel Model - Calculation'!$B$2:$M$2,0))</f>
        <v>2683.1636313031977</v>
      </c>
      <c r="I245" s="118">
        <f>INDEX('Fuel Model - Calculation'!$B$2:$M$3771,(MATCH(($E245&amp;"ResultsCost of "&amp;$F245&amp;"USD/ton"),'Fuel Model - Calculation'!$B$2:$B$3771,0)),MATCH(I$141,'Fuel Model - Calculation'!$B$2:$M$2,0))</f>
        <v>1704.0502030185771</v>
      </c>
      <c r="J245" s="118">
        <f>INDEX('Fuel Model - Calculation'!$B$2:$M$3771,(MATCH(($E245&amp;"ResultsCost of "&amp;$F245&amp;"USD/ton"),'Fuel Model - Calculation'!$B$2:$B$3771,0)),MATCH(J$141,'Fuel Model - Calculation'!$B$2:$M$2,0))</f>
        <v>958.01395295521024</v>
      </c>
      <c r="K245" s="118">
        <f>INDEX('Fuel Model - Calculation'!$B$2:$M$3771,(MATCH(($E245&amp;"ResultsCost of "&amp;$F245&amp;"USD/ton"),'Fuel Model - Calculation'!$B$2:$B$3771,0)),MATCH(K$141,'Fuel Model - Calculation'!$B$2:$M$2,0))</f>
        <v>976.85020834225713</v>
      </c>
      <c r="L245" s="118">
        <f>INDEX('Fuel Model - Calculation'!$B$2:$M$3771,(MATCH(($E245&amp;"ResultsCost of "&amp;$F245&amp;"USD/ton"),'Fuel Model - Calculation'!$B$2:$B$3771,0)),MATCH(L$141,'Fuel Model - Calculation'!$B$2:$M$2,0))</f>
        <v>985.46785591860794</v>
      </c>
      <c r="M245" s="118">
        <f>INDEX('Fuel Model - Calculation'!$B$2:$M$3771,(MATCH(($E245&amp;"ResultsCost of "&amp;$F245&amp;"USD/ton"),'Fuel Model - Calculation'!$B$2:$B$3771,0)),MATCH(M$141,'Fuel Model - Calculation'!$B$2:$M$2,0))</f>
        <v>982.5844595924334</v>
      </c>
      <c r="N245" s="118">
        <f>INDEX('Fuel Model - Calculation'!$B$2:$M$3771,(MATCH(($E245&amp;"ResultsCost of "&amp;$F245&amp;"USD/ton"),'Fuel Model - Calculation'!$B$2:$B$3771,0)),MATCH(N$141,'Fuel Model - Calculation'!$B$2:$M$2,0))</f>
        <v>957.42747396996447</v>
      </c>
      <c r="O245"/>
      <c r="P245" s="118">
        <f>IFERROR(INDEX('Fuel Model - Calculation'!G$2:G$3771,(MATCH(($E245&amp;"ResultsTotal RNE "&amp;$F245&amp;"USD/ton"),'Fuel Model - Calculation'!$B$2:$B$3771,0))),0)</f>
        <v>0</v>
      </c>
      <c r="Q245" s="118">
        <f>IFERROR(INDEX('Fuel Model - Calculation'!H$2:H$3771,(MATCH(($E245&amp;"ResultsTotal RNE "&amp;$F245&amp;"USD/ton"),'Fuel Model - Calculation'!$B$2:$B$3771,0))),0)</f>
        <v>0</v>
      </c>
      <c r="R245" s="118">
        <f>IFERROR(INDEX('Fuel Model - Calculation'!I$2:I$3771,(MATCH(($E245&amp;"ResultsTotal RNE "&amp;$F245&amp;"USD/ton"),'Fuel Model - Calculation'!$B$2:$B$3771,0))),0)</f>
        <v>0</v>
      </c>
      <c r="S245" s="118">
        <f>IFERROR(INDEX('Fuel Model - Calculation'!J$2:J$3771,(MATCH(($E245&amp;"ResultsTotal RNE "&amp;$F245&amp;"USD/ton"),'Fuel Model - Calculation'!$B$2:$B$3771,0))),0)</f>
        <v>0</v>
      </c>
      <c r="T245" s="118">
        <f>IFERROR(INDEX('Fuel Model - Calculation'!K$2:K$3771,(MATCH(($E245&amp;"ResultsTotal RNE "&amp;$F245&amp;"USD/ton"),'Fuel Model - Calculation'!$B$2:$B$3771,0))),0)</f>
        <v>0</v>
      </c>
      <c r="U245" s="118">
        <f>IFERROR(INDEX('Fuel Model - Calculation'!L$2:L$3771,(MATCH(($E245&amp;"ResultsTotal RNE "&amp;$F245&amp;"USD/ton"),'Fuel Model - Calculation'!$B$2:$B$3771,0))),0)</f>
        <v>0</v>
      </c>
      <c r="V245" s="118">
        <f>IFERROR(INDEX('Fuel Model - Calculation'!M$2:M$3771,(MATCH(($E245&amp;"ResultsTotal RNE "&amp;$F245&amp;"USD/ton"),'Fuel Model - Calculation'!$B$2:$B$3771,0))),0)</f>
        <v>0</v>
      </c>
      <c r="W245"/>
      <c r="X245" s="2">
        <f>INDEX('Fuel Model - Calculation'!$E$2:$M$3771,(MATCH(("WTT Emission - "&amp;$F245),'Fuel Model - Calculation'!$E$2:$E$3771,0)),MATCH(X$141,'Fuel Model - Calculation'!$E$2:$M$2,0))</f>
        <v>-1.7225127511261726</v>
      </c>
      <c r="Y245" s="2">
        <f>INDEX('Fuel Model - Calculation'!$E$2:$M$3771,(MATCH(("WTT Emission - "&amp;$F245),'Fuel Model - Calculation'!$E$2:$E$3771,0)),MATCH(Y$141,'Fuel Model - Calculation'!$E$2:$M$2,0))</f>
        <v>-2.0617732206771975</v>
      </c>
      <c r="Z245" s="2">
        <f>INDEX('Fuel Model - Calculation'!$E$2:$M$3771,(MATCH(("WTT Emission - "&amp;$F245),'Fuel Model - Calculation'!$E$2:$E$3771,0)),MATCH(Z$141,'Fuel Model - Calculation'!$E$2:$M$2,0))</f>
        <v>-2.3119134835064319</v>
      </c>
      <c r="AA245" s="2">
        <f>INDEX('Fuel Model - Calculation'!$E$2:$M$3771,(MATCH(("WTT Emission - "&amp;$F245),'Fuel Model - Calculation'!$E$2:$E$3771,0)),MATCH(AA$141,'Fuel Model - Calculation'!$E$2:$M$2,0))</f>
        <v>-2.8473340827058715</v>
      </c>
      <c r="AB245" s="2">
        <f>INDEX('Fuel Model - Calculation'!$E$2:$M$3771,(MATCH(("WTT Emission - "&amp;$F245),'Fuel Model - Calculation'!$E$2:$E$3771,0)),MATCH(AB$141,'Fuel Model - Calculation'!$E$2:$M$2,0))</f>
        <v>-2.9318346831513074</v>
      </c>
      <c r="AC245" s="2">
        <f>INDEX('Fuel Model - Calculation'!$E$2:$M$3771,(MATCH(("WTT Emission - "&amp;$F245),'Fuel Model - Calculation'!$E$2:$E$3771,0)),MATCH(AC$141,'Fuel Model - Calculation'!$E$2:$M$2,0))</f>
        <v>-3.0287559914485835</v>
      </c>
      <c r="AD245" s="2">
        <f>INDEX('Fuel Model - Calculation'!$E$2:$M$3771,(MATCH(("WTT Emission - "&amp;$F245),'Fuel Model - Calculation'!$E$2:$E$3771,0)),MATCH(AD$141,'Fuel Model - Calculation'!$E$2:$M$2,0))</f>
        <v>-3.1615974711390979</v>
      </c>
      <c r="AE245" s="2"/>
      <c r="AF245" s="2">
        <f>'Fuel Model -  Input'!H$54</f>
        <v>3.2553300000000003</v>
      </c>
      <c r="AG245" s="2">
        <f>'Fuel Model -  Input'!I$54</f>
        <v>3.2553300000000003</v>
      </c>
      <c r="AH245" s="2">
        <f>'Fuel Model -  Input'!J$54</f>
        <v>3.2553300000000003</v>
      </c>
      <c r="AI245" s="2">
        <f>'Fuel Model -  Input'!K$54</f>
        <v>3.2553300000000003</v>
      </c>
      <c r="AJ245" s="2">
        <f>'Fuel Model -  Input'!L$54</f>
        <v>3.2553300000000003</v>
      </c>
      <c r="AK245" s="2">
        <f>'Fuel Model -  Input'!M$54</f>
        <v>3.2553300000000003</v>
      </c>
      <c r="AL245" s="2">
        <f>'Fuel Model -  Input'!N$54</f>
        <v>3.2553300000000003</v>
      </c>
      <c r="AM245"/>
      <c r="AN245" s="24">
        <f t="shared" si="209"/>
        <v>1.5328172488738276</v>
      </c>
      <c r="AO245" s="24">
        <f t="shared" si="209"/>
        <v>1.1935567793228028</v>
      </c>
      <c r="AP245" s="24">
        <f t="shared" si="209"/>
        <v>0.94341651649356839</v>
      </c>
      <c r="AQ245" s="24">
        <f t="shared" si="209"/>
        <v>0.40799591729412876</v>
      </c>
      <c r="AR245" s="24">
        <f t="shared" si="209"/>
        <v>0.32349531684869293</v>
      </c>
      <c r="AS245" s="24">
        <f t="shared" si="209"/>
        <v>0.22657400855141674</v>
      </c>
      <c r="AT245" s="24">
        <f t="shared" si="209"/>
        <v>9.3732528860902331E-2</v>
      </c>
      <c r="AU245"/>
      <c r="AV245" s="118">
        <f>IFERROR(INDEX('Fuel Model - Calculation'!$B$2:$M$3771,(MATCH(($E245&amp;"Results"&amp;$AV$140&amp;$F245&amp;"USD/ton"),'Fuel Model - Calculation'!$B$2:$B$3771,0)),MATCH(H$141,'Fuel Model - Calculation'!$B$2:$M$2,0)),0)</f>
        <v>1027.3166666666668</v>
      </c>
      <c r="AW245" s="118">
        <f>IFERROR(INDEX('Fuel Model - Calculation'!$B$2:$M$3771,(MATCH(($E245&amp;"Results"&amp;$AV$140&amp;$F245&amp;"USD/ton"),'Fuel Model - Calculation'!$B$2:$B$3771,0)),MATCH(I$141,'Fuel Model - Calculation'!$B$2:$M$2,0)),0)</f>
        <v>616.3900000000001</v>
      </c>
      <c r="AX245" s="118">
        <f>IFERROR(INDEX('Fuel Model - Calculation'!$B$2:$M$3771,(MATCH(($E245&amp;"Results"&amp;$AV$140&amp;$F245&amp;"USD/ton"),'Fuel Model - Calculation'!$B$2:$B$3771,0)),MATCH(J$141,'Fuel Model - Calculation'!$B$2:$M$2,0)),0)</f>
        <v>205.46333333333337</v>
      </c>
      <c r="AY245" s="118">
        <f>IFERROR(INDEX('Fuel Model - Calculation'!$B$2:$M$3771,(MATCH(($E245&amp;"Results"&amp;$AV$140&amp;$F245&amp;"USD/ton"),'Fuel Model - Calculation'!$B$2:$B$3771,0)),MATCH(K$141,'Fuel Model - Calculation'!$B$2:$M$2,0)),0)</f>
        <v>184.91700000000006</v>
      </c>
      <c r="AZ245" s="118">
        <f>IFERROR(INDEX('Fuel Model - Calculation'!$B$2:$M$3771,(MATCH(($E245&amp;"Results"&amp;$AV$140&amp;$F245&amp;"USD/ton"),'Fuel Model - Calculation'!$B$2:$B$3771,0)),MATCH(L$141,'Fuel Model - Calculation'!$B$2:$M$2,0)),0)</f>
        <v>178.06822222222226</v>
      </c>
      <c r="BA245" s="118">
        <f>IFERROR(INDEX('Fuel Model - Calculation'!$B$2:$M$3771,(MATCH(($E245&amp;"Results"&amp;$AV$140&amp;$F245&amp;"USD/ton"),'Fuel Model - Calculation'!$B$2:$B$3771,0)),MATCH(M$141,'Fuel Model - Calculation'!$B$2:$M$2,0)),0)</f>
        <v>171.21944444444452</v>
      </c>
      <c r="BB245" s="118">
        <f>IFERROR(INDEX('Fuel Model - Calculation'!$B$2:$M$3771,(MATCH(($E245&amp;"Results"&amp;$AV$140&amp;$F245&amp;"USD/ton"),'Fuel Model - Calculation'!$B$2:$B$3771,0)),MATCH(N$141,'Fuel Model - Calculation'!$B$2:$M$2,0)),0)</f>
        <v>164.37066666666675</v>
      </c>
      <c r="BC245"/>
      <c r="BD245" s="118">
        <f>IFERROR(INDEX('Fuel Model - Calculation'!$B$2:$M$3771,(MATCH(($E245&amp;"Results"&amp;$BD$140&amp;$F245&amp;"USD/ton"),'Fuel Model - Calculation'!$B$2:$B$3771,0)),MATCH(P$141,'Fuel Model - Calculation'!$B$2:$M$2,0)),0)</f>
        <v>481.93002538686432</v>
      </c>
      <c r="BE245" s="118">
        <f>IFERROR(INDEX('Fuel Model - Calculation'!$B$2:$M$3771,(MATCH(($E245&amp;"Results"&amp;$BD$140&amp;$F245&amp;"USD/ton"),'Fuel Model - Calculation'!$B$2:$B$3771,0)),MATCH(Q$141,'Fuel Model - Calculation'!$B$2:$M$2,0)),0)</f>
        <v>294.1768970790925</v>
      </c>
      <c r="BF245" s="118">
        <f>IFERROR(INDEX('Fuel Model - Calculation'!$B$2:$M$3771,(MATCH(($E245&amp;"Results"&amp;$BD$140&amp;$F245&amp;"USD/ton"),'Fuel Model - Calculation'!$B$2:$B$3771,0)),MATCH(R$141,'Fuel Model - Calculation'!$B$2:$M$2,0)),0)</f>
        <v>108.0344401868647</v>
      </c>
      <c r="BG245" s="118">
        <f>IFERROR(INDEX('Fuel Model - Calculation'!$B$2:$M$3771,(MATCH(($E245&amp;"Results"&amp;$BD$140&amp;$F245&amp;"USD/ton"),'Fuel Model - Calculation'!$B$2:$B$3771,0)),MATCH(S$141,'Fuel Model - Calculation'!$B$2:$M$2,0)),0)</f>
        <v>96.659825552980195</v>
      </c>
      <c r="BH245" s="118">
        <f>IFERROR(INDEX('Fuel Model - Calculation'!$B$2:$M$3771,(MATCH(($E245&amp;"Results"&amp;$BD$140&amp;$F245&amp;"USD/ton"),'Fuel Model - Calculation'!$B$2:$B$3771,0)),MATCH(T$141,'Fuel Model - Calculation'!$B$2:$M$2,0)),0)</f>
        <v>92.494314032932948</v>
      </c>
      <c r="BI245" s="118">
        <f>IFERROR(INDEX('Fuel Model - Calculation'!$B$2:$M$3771,(MATCH(($E245&amp;"Results"&amp;$BD$140&amp;$F245&amp;"USD/ton"),'Fuel Model - Calculation'!$B$2:$B$3771,0)),MATCH(U$141,'Fuel Model - Calculation'!$B$2:$M$2,0)),0)</f>
        <v>87.981366747039331</v>
      </c>
      <c r="BJ245" s="118">
        <f>IFERROR(INDEX('Fuel Model - Calculation'!$B$2:$M$3771,(MATCH(($E245&amp;"Results"&amp;$BD$140&amp;$F245&amp;"USD/ton"),'Fuel Model - Calculation'!$B$2:$B$3771,0)),MATCH(V$141,'Fuel Model - Calculation'!$B$2:$M$2,0)),0)</f>
        <v>84.246780897083667</v>
      </c>
      <c r="BL245" s="118">
        <f>IFERROR(IFERROR(INDEX('Fuel Model - Calculation'!$B$2:$M$3771,(MATCH(($E245&amp;"Results"&amp;$BL$140&amp;$F245&amp;"USD/ton"),'Fuel Model - Calculation'!$B$2:$B$3771,0)),MATCH(H$141,'Fuel Model - Calculation'!$B$2:$M$2,0)),0),0)</f>
        <v>0</v>
      </c>
      <c r="BM245" s="118">
        <f>IFERROR(IFERROR(INDEX('Fuel Model - Calculation'!$B$2:$M$3771,(MATCH(($E245&amp;"Results"&amp;$BL$140&amp;$F245&amp;"USD/ton"),'Fuel Model - Calculation'!$B$2:$B$3771,0)),MATCH(I$141,'Fuel Model - Calculation'!$B$2:$M$2,0)),0),0)</f>
        <v>0</v>
      </c>
      <c r="BN245" s="118">
        <f>IFERROR(IFERROR(INDEX('Fuel Model - Calculation'!$B$2:$M$3771,(MATCH(($E245&amp;"Results"&amp;$BL$140&amp;$F245&amp;"USD/ton"),'Fuel Model - Calculation'!$B$2:$B$3771,0)),MATCH(J$141,'Fuel Model - Calculation'!$B$2:$M$2,0)),0),0)</f>
        <v>0</v>
      </c>
      <c r="BO245" s="118">
        <f>IFERROR(IFERROR(INDEX('Fuel Model - Calculation'!$B$2:$M$3771,(MATCH(($E245&amp;"Results"&amp;$BL$140&amp;$F245&amp;"USD/ton"),'Fuel Model - Calculation'!$B$2:$B$3771,0)),MATCH(K$141,'Fuel Model - Calculation'!$B$2:$M$2,0)),0),0)</f>
        <v>0</v>
      </c>
      <c r="BP245" s="118">
        <f>IFERROR(IFERROR(INDEX('Fuel Model - Calculation'!$B$2:$M$3771,(MATCH(($E245&amp;"Results"&amp;$BL$140&amp;$F245&amp;"USD/ton"),'Fuel Model - Calculation'!$B$2:$B$3771,0)),MATCH(L$141,'Fuel Model - Calculation'!$B$2:$M$2,0)),0),0)</f>
        <v>0</v>
      </c>
      <c r="BQ245" s="118">
        <f>IFERROR(IFERROR(INDEX('Fuel Model - Calculation'!$B$2:$M$3771,(MATCH(($E245&amp;"Results"&amp;$BL$140&amp;$F245&amp;"USD/ton"),'Fuel Model - Calculation'!$B$2:$B$3771,0)),MATCH(M$141,'Fuel Model - Calculation'!$B$2:$M$2,0)),0),0)</f>
        <v>0</v>
      </c>
      <c r="BR245" s="118">
        <f>IFERROR(IFERROR(INDEX('Fuel Model - Calculation'!$B$2:$M$3771,(MATCH(($E245&amp;"Results"&amp;$BL$140&amp;$F245&amp;"USD/ton"),'Fuel Model - Calculation'!$B$2:$B$3771,0)),MATCH(N$141,'Fuel Model - Calculation'!$B$2:$M$2,0)),0),0)</f>
        <v>0</v>
      </c>
      <c r="BT245" s="118">
        <f>IFERROR(INDEX('Fuel Model - Calculation'!$B$2:$M$3771,(MATCH(($E245&amp;"Results"&amp;$BT$140&amp;$F245&amp;"USD/ton"),'Fuel Model - Calculation'!$B$2:$B$3771,0)),MATCH(H$141,'Fuel Model - Calculation'!$B$2:$M$2,0)),0)</f>
        <v>1173.9169392496665</v>
      </c>
      <c r="BU245" s="118">
        <f>IFERROR(INDEX('Fuel Model - Calculation'!$B$2:$M$3771,(MATCH(($E245&amp;"Results"&amp;$BT$140&amp;$F245&amp;"USD/ton"),'Fuel Model - Calculation'!$B$2:$B$3771,0)),MATCH(I$141,'Fuel Model - Calculation'!$B$2:$M$2,0)),0)</f>
        <v>793.48330593948447</v>
      </c>
      <c r="BV245" s="118">
        <f>IFERROR(INDEX('Fuel Model - Calculation'!$B$2:$M$3771,(MATCH(($E245&amp;"Results"&amp;$BT$140&amp;$F245&amp;"USD/ton"),'Fuel Model - Calculation'!$B$2:$B$3771,0)),MATCH(J$141,'Fuel Model - Calculation'!$B$2:$M$2,0)),0)</f>
        <v>644.51617943501219</v>
      </c>
      <c r="BW245" s="118">
        <f>IFERROR(INDEX('Fuel Model - Calculation'!$B$2:$M$3771,(MATCH(($E245&amp;"Results"&amp;$BT$140&amp;$F245&amp;"USD/ton"),'Fuel Model - Calculation'!$B$2:$B$3771,0)),MATCH(K$141,'Fuel Model - Calculation'!$B$2:$M$2,0)),0)</f>
        <v>695.27338278927687</v>
      </c>
      <c r="BX245" s="118">
        <f>IFERROR(INDEX('Fuel Model - Calculation'!$B$2:$M$3771,(MATCH(($E245&amp;"Results"&amp;$BT$140&amp;$F245&amp;"USD/ton"),'Fuel Model - Calculation'!$B$2:$B$3771,0)),MATCH(L$141,'Fuel Model - Calculation'!$B$2:$M$2,0)),0)</f>
        <v>714.9053196634527</v>
      </c>
      <c r="BY245" s="118">
        <f>IFERROR(INDEX('Fuel Model - Calculation'!$B$2:$M$3771,(MATCH(($E245&amp;"Results"&amp;$BT$140&amp;$F245&amp;"USD/ton"),'Fuel Model - Calculation'!$B$2:$B$3771,0)),MATCH(M$141,'Fuel Model - Calculation'!$B$2:$M$2,0)),0)</f>
        <v>723.38364840094948</v>
      </c>
      <c r="BZ245" s="118">
        <f>IFERROR(INDEX('Fuel Model - Calculation'!$B$2:$M$3771,(MATCH(($E245&amp;"Results"&amp;$BT$140&amp;$F245&amp;"USD/ton"),'Fuel Model - Calculation'!$B$2:$B$3771,0)),MATCH(N$141,'Fuel Model - Calculation'!$B$2:$M$2,0)),0)</f>
        <v>708.81002640621409</v>
      </c>
    </row>
    <row r="246" spans="1:78" x14ac:dyDescent="0.2">
      <c r="A246" s="452"/>
      <c r="B246" s="453" t="str">
        <f>_xlfn.TEXTJOIN(keydelim,TRUE,F246,IF(E246="Africa","Africa&amp;other",E246),"Fuel cost",SUBSTITUTE($G246," ",""))</f>
        <v>Biodiesel (Pyr) - Asia - Fuel cost - USD/ton</v>
      </c>
      <c r="D246" s="459" t="str">
        <f t="shared" si="210"/>
        <v>AsiaBiodiesel (Pyr)</v>
      </c>
      <c r="E246" t="s">
        <v>198</v>
      </c>
      <c r="F246" s="460" t="str">
        <f t="shared" si="211"/>
        <v>Biodiesel (Pyr)</v>
      </c>
      <c r="G246" t="s">
        <v>835</v>
      </c>
      <c r="H246" s="118">
        <f>INDEX('Fuel Model - Calculation'!$B$2:$M$3771,(MATCH(($E246&amp;"ResultsCost of "&amp;$F246&amp;"USD/ton"),'Fuel Model - Calculation'!$B$2:$B$3771,0)),MATCH(H$141,'Fuel Model - Calculation'!$B$2:$M$2,0))</f>
        <v>2630.4121079534866</v>
      </c>
      <c r="I246" s="118">
        <f>INDEX('Fuel Model - Calculation'!$B$2:$M$3771,(MATCH(($E246&amp;"ResultsCost of "&amp;$F246&amp;"USD/ton"),'Fuel Model - Calculation'!$B$2:$B$3771,0)),MATCH(I$141,'Fuel Model - Calculation'!$B$2:$M$2,0))</f>
        <v>1641.1181797328313</v>
      </c>
      <c r="J246" s="118">
        <f>INDEX('Fuel Model - Calculation'!$B$2:$M$3771,(MATCH(($E246&amp;"ResultsCost of "&amp;$F246&amp;"USD/ton"),'Fuel Model - Calculation'!$B$2:$B$3771,0)),MATCH(J$141,'Fuel Model - Calculation'!$B$2:$M$2,0))</f>
        <v>892.30350306954097</v>
      </c>
      <c r="K246" s="118">
        <f>INDEX('Fuel Model - Calculation'!$B$2:$M$3771,(MATCH(($E246&amp;"ResultsCost of "&amp;$F246&amp;"USD/ton"),'Fuel Model - Calculation'!$B$2:$B$3771,0)),MATCH(K$141,'Fuel Model - Calculation'!$B$2:$M$2,0))</f>
        <v>911.06224067428229</v>
      </c>
      <c r="L246" s="118">
        <f>INDEX('Fuel Model - Calculation'!$B$2:$M$3771,(MATCH(($E246&amp;"ResultsCost of "&amp;$F246&amp;"USD/ton"),'Fuel Model - Calculation'!$B$2:$B$3771,0)),MATCH(L$141,'Fuel Model - Calculation'!$B$2:$M$2,0))</f>
        <v>914.28663758342827</v>
      </c>
      <c r="M246" s="118">
        <f>INDEX('Fuel Model - Calculation'!$B$2:$M$3771,(MATCH(($E246&amp;"ResultsCost of "&amp;$F246&amp;"USD/ton"),'Fuel Model - Calculation'!$B$2:$B$3771,0)),MATCH(M$141,'Fuel Model - Calculation'!$B$2:$M$2,0))</f>
        <v>901.31625742275628</v>
      </c>
      <c r="N246" s="118">
        <f>INDEX('Fuel Model - Calculation'!$B$2:$M$3771,(MATCH(($E246&amp;"ResultsCost of "&amp;$F246&amp;"USD/ton"),'Fuel Model - Calculation'!$B$2:$B$3771,0)),MATCH(N$141,'Fuel Model - Calculation'!$B$2:$M$2,0))</f>
        <v>858.78297517888154</v>
      </c>
      <c r="O246"/>
      <c r="P246" s="118">
        <f>IFERROR(INDEX('Fuel Model - Calculation'!G$2:G$3771,(MATCH(($E246&amp;"ResultsTotal RNE "&amp;$F246&amp;"USD/ton"),'Fuel Model - Calculation'!$B$2:$B$3771,0))),0)</f>
        <v>0</v>
      </c>
      <c r="Q246" s="118">
        <f>IFERROR(INDEX('Fuel Model - Calculation'!H$2:H$3771,(MATCH(($E246&amp;"ResultsTotal RNE "&amp;$F246&amp;"USD/ton"),'Fuel Model - Calculation'!$B$2:$B$3771,0))),0)</f>
        <v>0</v>
      </c>
      <c r="R246" s="118">
        <f>IFERROR(INDEX('Fuel Model - Calculation'!I$2:I$3771,(MATCH(($E246&amp;"ResultsTotal RNE "&amp;$F246&amp;"USD/ton"),'Fuel Model - Calculation'!$B$2:$B$3771,0))),0)</f>
        <v>0</v>
      </c>
      <c r="S246" s="118">
        <f>IFERROR(INDEX('Fuel Model - Calculation'!J$2:J$3771,(MATCH(($E246&amp;"ResultsTotal RNE "&amp;$F246&amp;"USD/ton"),'Fuel Model - Calculation'!$B$2:$B$3771,0))),0)</f>
        <v>0</v>
      </c>
      <c r="T246" s="118">
        <f>IFERROR(INDEX('Fuel Model - Calculation'!K$2:K$3771,(MATCH(($E246&amp;"ResultsTotal RNE "&amp;$F246&amp;"USD/ton"),'Fuel Model - Calculation'!$B$2:$B$3771,0))),0)</f>
        <v>0</v>
      </c>
      <c r="U246" s="118">
        <f>IFERROR(INDEX('Fuel Model - Calculation'!L$2:L$3771,(MATCH(($E246&amp;"ResultsTotal RNE "&amp;$F246&amp;"USD/ton"),'Fuel Model - Calculation'!$B$2:$B$3771,0))),0)</f>
        <v>0</v>
      </c>
      <c r="V246" s="118">
        <f>IFERROR(INDEX('Fuel Model - Calculation'!M$2:M$3771,(MATCH(($E246&amp;"ResultsTotal RNE "&amp;$F246&amp;"USD/ton"),'Fuel Model - Calculation'!$B$2:$B$3771,0))),0)</f>
        <v>0</v>
      </c>
      <c r="W246"/>
      <c r="X246" s="2">
        <f>INDEX('Fuel Model - Calculation'!$E$2:$M$3771,(MATCH(("WTT Emission - "&amp;$F246),'Fuel Model - Calculation'!$E$2:$E$3771,0)),MATCH(X$141,'Fuel Model - Calculation'!$E$2:$M$2,0))</f>
        <v>-1.7225127511261726</v>
      </c>
      <c r="Y246" s="2">
        <f>INDEX('Fuel Model - Calculation'!$E$2:$M$3771,(MATCH(("WTT Emission - "&amp;$F246),'Fuel Model - Calculation'!$E$2:$E$3771,0)),MATCH(Y$141,'Fuel Model - Calculation'!$E$2:$M$2,0))</f>
        <v>-2.0617732206771975</v>
      </c>
      <c r="Z246" s="2">
        <f>INDEX('Fuel Model - Calculation'!$E$2:$M$3771,(MATCH(("WTT Emission - "&amp;$F246),'Fuel Model - Calculation'!$E$2:$E$3771,0)),MATCH(Z$141,'Fuel Model - Calculation'!$E$2:$M$2,0))</f>
        <v>-2.3119134835064319</v>
      </c>
      <c r="AA246" s="2">
        <f>INDEX('Fuel Model - Calculation'!$E$2:$M$3771,(MATCH(("WTT Emission - "&amp;$F246),'Fuel Model - Calculation'!$E$2:$E$3771,0)),MATCH(AA$141,'Fuel Model - Calculation'!$E$2:$M$2,0))</f>
        <v>-2.8473340827058715</v>
      </c>
      <c r="AB246" s="2">
        <f>INDEX('Fuel Model - Calculation'!$E$2:$M$3771,(MATCH(("WTT Emission - "&amp;$F246),'Fuel Model - Calculation'!$E$2:$E$3771,0)),MATCH(AB$141,'Fuel Model - Calculation'!$E$2:$M$2,0))</f>
        <v>-2.9318346831513074</v>
      </c>
      <c r="AC246" s="2">
        <f>INDEX('Fuel Model - Calculation'!$E$2:$M$3771,(MATCH(("WTT Emission - "&amp;$F246),'Fuel Model - Calculation'!$E$2:$E$3771,0)),MATCH(AC$141,'Fuel Model - Calculation'!$E$2:$M$2,0))</f>
        <v>-3.0287559914485835</v>
      </c>
      <c r="AD246" s="2">
        <f>INDEX('Fuel Model - Calculation'!$E$2:$M$3771,(MATCH(("WTT Emission - "&amp;$F246),'Fuel Model - Calculation'!$E$2:$E$3771,0)),MATCH(AD$141,'Fuel Model - Calculation'!$E$2:$M$2,0))</f>
        <v>-3.1615974711390979</v>
      </c>
      <c r="AE246" s="2"/>
      <c r="AF246" s="2">
        <f>'Fuel Model -  Input'!H$54</f>
        <v>3.2553300000000003</v>
      </c>
      <c r="AG246" s="2">
        <f>'Fuel Model -  Input'!I$54</f>
        <v>3.2553300000000003</v>
      </c>
      <c r="AH246" s="2">
        <f>'Fuel Model -  Input'!J$54</f>
        <v>3.2553300000000003</v>
      </c>
      <c r="AI246" s="2">
        <f>'Fuel Model -  Input'!K$54</f>
        <v>3.2553300000000003</v>
      </c>
      <c r="AJ246" s="2">
        <f>'Fuel Model -  Input'!L$54</f>
        <v>3.2553300000000003</v>
      </c>
      <c r="AK246" s="2">
        <f>'Fuel Model -  Input'!M$54</f>
        <v>3.2553300000000003</v>
      </c>
      <c r="AL246" s="2">
        <f>'Fuel Model -  Input'!N$54</f>
        <v>3.2553300000000003</v>
      </c>
      <c r="AM246"/>
      <c r="AN246" s="24">
        <f t="shared" si="209"/>
        <v>1.5328172488738276</v>
      </c>
      <c r="AO246" s="24">
        <f t="shared" si="209"/>
        <v>1.1935567793228028</v>
      </c>
      <c r="AP246" s="24">
        <f t="shared" si="209"/>
        <v>0.94341651649356839</v>
      </c>
      <c r="AQ246" s="24">
        <f t="shared" si="209"/>
        <v>0.40799591729412876</v>
      </c>
      <c r="AR246" s="24">
        <f t="shared" si="209"/>
        <v>0.32349531684869293</v>
      </c>
      <c r="AS246" s="24">
        <f t="shared" si="209"/>
        <v>0.22657400855141674</v>
      </c>
      <c r="AT246" s="24">
        <f t="shared" si="209"/>
        <v>9.3732528860902331E-2</v>
      </c>
      <c r="AU246"/>
      <c r="AV246" s="118">
        <f>IFERROR(INDEX('Fuel Model - Calculation'!$B$2:$M$3771,(MATCH(($E246&amp;"Results"&amp;$AV$140&amp;$F246&amp;"USD/ton"),'Fuel Model - Calculation'!$B$2:$B$3771,0)),MATCH(H$141,'Fuel Model - Calculation'!$B$2:$M$2,0)),0)</f>
        <v>1027.3166666666668</v>
      </c>
      <c r="AW246" s="118">
        <f>IFERROR(INDEX('Fuel Model - Calculation'!$B$2:$M$3771,(MATCH(($E246&amp;"Results"&amp;$AV$140&amp;$F246&amp;"USD/ton"),'Fuel Model - Calculation'!$B$2:$B$3771,0)),MATCH(I$141,'Fuel Model - Calculation'!$B$2:$M$2,0)),0)</f>
        <v>616.3900000000001</v>
      </c>
      <c r="AX246" s="118">
        <f>IFERROR(INDEX('Fuel Model - Calculation'!$B$2:$M$3771,(MATCH(($E246&amp;"Results"&amp;$AV$140&amp;$F246&amp;"USD/ton"),'Fuel Model - Calculation'!$B$2:$B$3771,0)),MATCH(J$141,'Fuel Model - Calculation'!$B$2:$M$2,0)),0)</f>
        <v>205.46333333333337</v>
      </c>
      <c r="AY246" s="118">
        <f>IFERROR(INDEX('Fuel Model - Calculation'!$B$2:$M$3771,(MATCH(($E246&amp;"Results"&amp;$AV$140&amp;$F246&amp;"USD/ton"),'Fuel Model - Calculation'!$B$2:$B$3771,0)),MATCH(K$141,'Fuel Model - Calculation'!$B$2:$M$2,0)),0)</f>
        <v>184.91700000000006</v>
      </c>
      <c r="AZ246" s="118">
        <f>IFERROR(INDEX('Fuel Model - Calculation'!$B$2:$M$3771,(MATCH(($E246&amp;"Results"&amp;$AV$140&amp;$F246&amp;"USD/ton"),'Fuel Model - Calculation'!$B$2:$B$3771,0)),MATCH(L$141,'Fuel Model - Calculation'!$B$2:$M$2,0)),0)</f>
        <v>178.06822222222226</v>
      </c>
      <c r="BA246" s="118">
        <f>IFERROR(INDEX('Fuel Model - Calculation'!$B$2:$M$3771,(MATCH(($E246&amp;"Results"&amp;$AV$140&amp;$F246&amp;"USD/ton"),'Fuel Model - Calculation'!$B$2:$B$3771,0)),MATCH(M$141,'Fuel Model - Calculation'!$B$2:$M$2,0)),0)</f>
        <v>171.21944444444452</v>
      </c>
      <c r="BB246" s="118">
        <f>IFERROR(INDEX('Fuel Model - Calculation'!$B$2:$M$3771,(MATCH(($E246&amp;"Results"&amp;$AV$140&amp;$F246&amp;"USD/ton"),'Fuel Model - Calculation'!$B$2:$B$3771,0)),MATCH(N$141,'Fuel Model - Calculation'!$B$2:$M$2,0)),0)</f>
        <v>164.37066666666675</v>
      </c>
      <c r="BC246"/>
      <c r="BD246" s="118">
        <f>IFERROR(INDEX('Fuel Model - Calculation'!$B$2:$M$3771,(MATCH(($E246&amp;"Results"&amp;$BD$140&amp;$F246&amp;"USD/ton"),'Fuel Model - Calculation'!$B$2:$B$3771,0)),MATCH(P$141,'Fuel Model - Calculation'!$B$2:$M$2,0)),0)</f>
        <v>505.35459876096053</v>
      </c>
      <c r="BE246" s="118">
        <f>IFERROR(INDEX('Fuel Model - Calculation'!$B$2:$M$3771,(MATCH(($E246&amp;"Results"&amp;$BD$140&amp;$F246&amp;"USD/ton"),'Fuel Model - Calculation'!$B$2:$B$3771,0)),MATCH(Q$141,'Fuel Model - Calculation'!$B$2:$M$2,0)),0)</f>
        <v>305.71695074515861</v>
      </c>
      <c r="BF246" s="118">
        <f>IFERROR(INDEX('Fuel Model - Calculation'!$B$2:$M$3771,(MATCH(($E246&amp;"Results"&amp;$BD$140&amp;$F246&amp;"USD/ton"),'Fuel Model - Calculation'!$B$2:$B$3771,0)),MATCH(R$141,'Fuel Model - Calculation'!$B$2:$M$2,0)),0)</f>
        <v>116.75779906135726</v>
      </c>
      <c r="BG246" s="118">
        <f>IFERROR(INDEX('Fuel Model - Calculation'!$B$2:$M$3771,(MATCH(($E246&amp;"Results"&amp;$BD$140&amp;$F246&amp;"USD/ton"),'Fuel Model - Calculation'!$B$2:$B$3771,0)),MATCH(S$141,'Fuel Model - Calculation'!$B$2:$M$2,0)),0)</f>
        <v>103.54895032147159</v>
      </c>
      <c r="BH246" s="118">
        <f>IFERROR(INDEX('Fuel Model - Calculation'!$B$2:$M$3771,(MATCH(($E246&amp;"Results"&amp;$BD$140&amp;$F246&amp;"USD/ton"),'Fuel Model - Calculation'!$B$2:$B$3771,0)),MATCH(T$141,'Fuel Model - Calculation'!$B$2:$M$2,0)),0)</f>
        <v>98.435215415007818</v>
      </c>
      <c r="BI246" s="118">
        <f>IFERROR(INDEX('Fuel Model - Calculation'!$B$2:$M$3771,(MATCH(($E246&amp;"Results"&amp;$BD$140&amp;$F246&amp;"USD/ton"),'Fuel Model - Calculation'!$B$2:$B$3771,0)),MATCH(U$141,'Fuel Model - Calculation'!$B$2:$M$2,0)),0)</f>
        <v>93.225035597164506</v>
      </c>
      <c r="BJ246" s="118">
        <f>IFERROR(INDEX('Fuel Model - Calculation'!$B$2:$M$3771,(MATCH(($E246&amp;"Results"&amp;$BD$140&amp;$F246&amp;"USD/ton"),'Fuel Model - Calculation'!$B$2:$B$3771,0)),MATCH(V$141,'Fuel Model - Calculation'!$B$2:$M$2,0)),0)</f>
        <v>89.184527257468247</v>
      </c>
      <c r="BL246" s="118">
        <f>IFERROR(IFERROR(INDEX('Fuel Model - Calculation'!$B$2:$M$3771,(MATCH(($E246&amp;"Results"&amp;$BL$140&amp;$F246&amp;"USD/ton"),'Fuel Model - Calculation'!$B$2:$B$3771,0)),MATCH(H$141,'Fuel Model - Calculation'!$B$2:$M$2,0)),0),0)</f>
        <v>0</v>
      </c>
      <c r="BM246" s="118">
        <f>IFERROR(IFERROR(INDEX('Fuel Model - Calculation'!$B$2:$M$3771,(MATCH(($E246&amp;"Results"&amp;$BL$140&amp;$F246&amp;"USD/ton"),'Fuel Model - Calculation'!$B$2:$B$3771,0)),MATCH(I$141,'Fuel Model - Calculation'!$B$2:$M$2,0)),0),0)</f>
        <v>0</v>
      </c>
      <c r="BN246" s="118">
        <f>IFERROR(IFERROR(INDEX('Fuel Model - Calculation'!$B$2:$M$3771,(MATCH(($E246&amp;"Results"&amp;$BL$140&amp;$F246&amp;"USD/ton"),'Fuel Model - Calculation'!$B$2:$B$3771,0)),MATCH(J$141,'Fuel Model - Calculation'!$B$2:$M$2,0)),0),0)</f>
        <v>0</v>
      </c>
      <c r="BO246" s="118">
        <f>IFERROR(IFERROR(INDEX('Fuel Model - Calculation'!$B$2:$M$3771,(MATCH(($E246&amp;"Results"&amp;$BL$140&amp;$F246&amp;"USD/ton"),'Fuel Model - Calculation'!$B$2:$B$3771,0)),MATCH(K$141,'Fuel Model - Calculation'!$B$2:$M$2,0)),0),0)</f>
        <v>0</v>
      </c>
      <c r="BP246" s="118">
        <f>IFERROR(IFERROR(INDEX('Fuel Model - Calculation'!$B$2:$M$3771,(MATCH(($E246&amp;"Results"&amp;$BL$140&amp;$F246&amp;"USD/ton"),'Fuel Model - Calculation'!$B$2:$B$3771,0)),MATCH(L$141,'Fuel Model - Calculation'!$B$2:$M$2,0)),0),0)</f>
        <v>0</v>
      </c>
      <c r="BQ246" s="118">
        <f>IFERROR(IFERROR(INDEX('Fuel Model - Calculation'!$B$2:$M$3771,(MATCH(($E246&amp;"Results"&amp;$BL$140&amp;$F246&amp;"USD/ton"),'Fuel Model - Calculation'!$B$2:$B$3771,0)),MATCH(M$141,'Fuel Model - Calculation'!$B$2:$M$2,0)),0),0)</f>
        <v>0</v>
      </c>
      <c r="BR246" s="118">
        <f>IFERROR(IFERROR(INDEX('Fuel Model - Calculation'!$B$2:$M$3771,(MATCH(($E246&amp;"Results"&amp;$BL$140&amp;$F246&amp;"USD/ton"),'Fuel Model - Calculation'!$B$2:$B$3771,0)),MATCH(N$141,'Fuel Model - Calculation'!$B$2:$M$2,0)),0),0)</f>
        <v>0</v>
      </c>
      <c r="BT246" s="118">
        <f>IFERROR(INDEX('Fuel Model - Calculation'!$B$2:$M$3771,(MATCH(($E246&amp;"Results"&amp;$BT$140&amp;$F246&amp;"USD/ton"),'Fuel Model - Calculation'!$B$2:$B$3771,0)),MATCH(H$141,'Fuel Model - Calculation'!$B$2:$M$2,0)),0)</f>
        <v>1097.7408425258593</v>
      </c>
      <c r="BU246" s="118">
        <f>IFERROR(INDEX('Fuel Model - Calculation'!$B$2:$M$3771,(MATCH(($E246&amp;"Results"&amp;$BT$140&amp;$F246&amp;"USD/ton"),'Fuel Model - Calculation'!$B$2:$B$3771,0)),MATCH(I$141,'Fuel Model - Calculation'!$B$2:$M$2,0)),0)</f>
        <v>719.01122898767278</v>
      </c>
      <c r="BV246" s="118">
        <f>IFERROR(INDEX('Fuel Model - Calculation'!$B$2:$M$3771,(MATCH(($E246&amp;"Results"&amp;$BT$140&amp;$F246&amp;"USD/ton"),'Fuel Model - Calculation'!$B$2:$B$3771,0)),MATCH(J$141,'Fuel Model - Calculation'!$B$2:$M$2,0)),0)</f>
        <v>570.08237067485038</v>
      </c>
      <c r="BW246" s="118">
        <f>IFERROR(INDEX('Fuel Model - Calculation'!$B$2:$M$3771,(MATCH(($E246&amp;"Results"&amp;$BT$140&amp;$F246&amp;"USD/ton"),'Fuel Model - Calculation'!$B$2:$B$3771,0)),MATCH(K$141,'Fuel Model - Calculation'!$B$2:$M$2,0)),0)</f>
        <v>622.59629035281068</v>
      </c>
      <c r="BX246" s="118">
        <f>IFERROR(INDEX('Fuel Model - Calculation'!$B$2:$M$3771,(MATCH(($E246&amp;"Results"&amp;$BT$140&amp;$F246&amp;"USD/ton"),'Fuel Model - Calculation'!$B$2:$B$3771,0)),MATCH(L$141,'Fuel Model - Calculation'!$B$2:$M$2,0)),0)</f>
        <v>637.78319994619824</v>
      </c>
      <c r="BY246" s="118">
        <f>IFERROR(INDEX('Fuel Model - Calculation'!$B$2:$M$3771,(MATCH(($E246&amp;"Results"&amp;$BT$140&amp;$F246&amp;"USD/ton"),'Fuel Model - Calculation'!$B$2:$B$3771,0)),MATCH(M$141,'Fuel Model - Calculation'!$B$2:$M$2,0)),0)</f>
        <v>636.87177738114724</v>
      </c>
      <c r="BZ246" s="118">
        <f>IFERROR(INDEX('Fuel Model - Calculation'!$B$2:$M$3771,(MATCH(($E246&amp;"Results"&amp;$BT$140&amp;$F246&amp;"USD/ton"),'Fuel Model - Calculation'!$B$2:$B$3771,0)),MATCH(N$141,'Fuel Model - Calculation'!$B$2:$M$2,0)),0)</f>
        <v>605.22778125474656</v>
      </c>
    </row>
    <row r="247" spans="1:78" x14ac:dyDescent="0.2">
      <c r="A247" s="452"/>
      <c r="B247" s="453" t="str">
        <f>_xlfn.TEXTJOIN(keydelim,TRUE,F247,IF(E247="Africa","Africa&amp;other",E247),"Fuel cost",SUBSTITUTE($G247," ",""))</f>
        <v>Biodiesel (Pyr) - Americas - Fuel cost - USD/ton</v>
      </c>
      <c r="D247" s="459" t="str">
        <f t="shared" si="210"/>
        <v>AmericasBiodiesel (Pyr)</v>
      </c>
      <c r="E247" t="s">
        <v>199</v>
      </c>
      <c r="F247" s="460" t="str">
        <f t="shared" si="211"/>
        <v>Biodiesel (Pyr)</v>
      </c>
      <c r="G247" t="s">
        <v>835</v>
      </c>
      <c r="H247" s="118">
        <f>INDEX('Fuel Model - Calculation'!$B$2:$M$3771,(MATCH(($E247&amp;"ResultsCost of "&amp;$F247&amp;"USD/ton"),'Fuel Model - Calculation'!$B$2:$B$3771,0)),MATCH(H$141,'Fuel Model - Calculation'!$B$2:$M$2,0))</f>
        <v>2089.5163427105836</v>
      </c>
      <c r="I247" s="118">
        <f>INDEX('Fuel Model - Calculation'!$B$2:$M$3771,(MATCH(($E247&amp;"ResultsCost of "&amp;$F247&amp;"USD/ton"),'Fuel Model - Calculation'!$B$2:$B$3771,0)),MATCH(I$141,'Fuel Model - Calculation'!$B$2:$M$2,0))</f>
        <v>1468.2156261569269</v>
      </c>
      <c r="J247" s="118">
        <f>INDEX('Fuel Model - Calculation'!$B$2:$M$3771,(MATCH(($E247&amp;"ResultsCost of "&amp;$F247&amp;"USD/ton"),'Fuel Model - Calculation'!$B$2:$B$3771,0)),MATCH(J$141,'Fuel Model - Calculation'!$B$2:$M$2,0))</f>
        <v>893.05955241658489</v>
      </c>
      <c r="K247" s="118">
        <f>INDEX('Fuel Model - Calculation'!$B$2:$M$3771,(MATCH(($E247&amp;"ResultsCost of "&amp;$F247&amp;"USD/ton"),'Fuel Model - Calculation'!$B$2:$B$3771,0)),MATCH(K$141,'Fuel Model - Calculation'!$B$2:$M$2,0))</f>
        <v>924.52233688116007</v>
      </c>
      <c r="L247" s="118">
        <f>INDEX('Fuel Model - Calculation'!$B$2:$M$3771,(MATCH(($E247&amp;"ResultsCost of "&amp;$F247&amp;"USD/ton"),'Fuel Model - Calculation'!$B$2:$B$3771,0)),MATCH(L$141,'Fuel Model - Calculation'!$B$2:$M$2,0))</f>
        <v>923.65278141771046</v>
      </c>
      <c r="M247" s="118">
        <f>INDEX('Fuel Model - Calculation'!$B$2:$M$3771,(MATCH(($E247&amp;"ResultsCost of "&amp;$F247&amp;"USD/ton"),'Fuel Model - Calculation'!$B$2:$B$3771,0)),MATCH(M$141,'Fuel Model - Calculation'!$B$2:$M$2,0))</f>
        <v>919.18388221884402</v>
      </c>
      <c r="N247" s="118">
        <f>INDEX('Fuel Model - Calculation'!$B$2:$M$3771,(MATCH(($E247&amp;"ResultsCost of "&amp;$F247&amp;"USD/ton"),'Fuel Model - Calculation'!$B$2:$B$3771,0)),MATCH(N$141,'Fuel Model - Calculation'!$B$2:$M$2,0))</f>
        <v>879.63868142280683</v>
      </c>
      <c r="O247"/>
      <c r="P247" s="118">
        <f>IFERROR(INDEX('Fuel Model - Calculation'!G$2:G$3771,(MATCH(($E247&amp;"ResultsTotal RNE "&amp;$F247&amp;"USD/ton"),'Fuel Model - Calculation'!$B$2:$B$3771,0))),0)</f>
        <v>0</v>
      </c>
      <c r="Q247" s="118">
        <f>IFERROR(INDEX('Fuel Model - Calculation'!H$2:H$3771,(MATCH(($E247&amp;"ResultsTotal RNE "&amp;$F247&amp;"USD/ton"),'Fuel Model - Calculation'!$B$2:$B$3771,0))),0)</f>
        <v>0</v>
      </c>
      <c r="R247" s="118">
        <f>IFERROR(INDEX('Fuel Model - Calculation'!I$2:I$3771,(MATCH(($E247&amp;"ResultsTotal RNE "&amp;$F247&amp;"USD/ton"),'Fuel Model - Calculation'!$B$2:$B$3771,0))),0)</f>
        <v>0</v>
      </c>
      <c r="S247" s="118">
        <f>IFERROR(INDEX('Fuel Model - Calculation'!J$2:J$3771,(MATCH(($E247&amp;"ResultsTotal RNE "&amp;$F247&amp;"USD/ton"),'Fuel Model - Calculation'!$B$2:$B$3771,0))),0)</f>
        <v>0</v>
      </c>
      <c r="T247" s="118">
        <f>IFERROR(INDEX('Fuel Model - Calculation'!K$2:K$3771,(MATCH(($E247&amp;"ResultsTotal RNE "&amp;$F247&amp;"USD/ton"),'Fuel Model - Calculation'!$B$2:$B$3771,0))),0)</f>
        <v>0</v>
      </c>
      <c r="U247" s="118">
        <f>IFERROR(INDEX('Fuel Model - Calculation'!L$2:L$3771,(MATCH(($E247&amp;"ResultsTotal RNE "&amp;$F247&amp;"USD/ton"),'Fuel Model - Calculation'!$B$2:$B$3771,0))),0)</f>
        <v>0</v>
      </c>
      <c r="V247" s="118">
        <f>IFERROR(INDEX('Fuel Model - Calculation'!M$2:M$3771,(MATCH(($E247&amp;"ResultsTotal RNE "&amp;$F247&amp;"USD/ton"),'Fuel Model - Calculation'!$B$2:$B$3771,0))),0)</f>
        <v>0</v>
      </c>
      <c r="W247"/>
      <c r="X247" s="2">
        <f>INDEX('Fuel Model - Calculation'!$E$2:$M$3771,(MATCH(("WTT Emission - "&amp;$F247),'Fuel Model - Calculation'!$E$2:$E$3771,0)),MATCH(X$141,'Fuel Model - Calculation'!$E$2:$M$2,0))</f>
        <v>-1.7225127511261726</v>
      </c>
      <c r="Y247" s="2">
        <f>INDEX('Fuel Model - Calculation'!$E$2:$M$3771,(MATCH(("WTT Emission - "&amp;$F247),'Fuel Model - Calculation'!$E$2:$E$3771,0)),MATCH(Y$141,'Fuel Model - Calculation'!$E$2:$M$2,0))</f>
        <v>-2.0617732206771975</v>
      </c>
      <c r="Z247" s="2">
        <f>INDEX('Fuel Model - Calculation'!$E$2:$M$3771,(MATCH(("WTT Emission - "&amp;$F247),'Fuel Model - Calculation'!$E$2:$E$3771,0)),MATCH(Z$141,'Fuel Model - Calculation'!$E$2:$M$2,0))</f>
        <v>-2.3119134835064319</v>
      </c>
      <c r="AA247" s="2">
        <f>INDEX('Fuel Model - Calculation'!$E$2:$M$3771,(MATCH(("WTT Emission - "&amp;$F247),'Fuel Model - Calculation'!$E$2:$E$3771,0)),MATCH(AA$141,'Fuel Model - Calculation'!$E$2:$M$2,0))</f>
        <v>-2.8473340827058715</v>
      </c>
      <c r="AB247" s="2">
        <f>INDEX('Fuel Model - Calculation'!$E$2:$M$3771,(MATCH(("WTT Emission - "&amp;$F247),'Fuel Model - Calculation'!$E$2:$E$3771,0)),MATCH(AB$141,'Fuel Model - Calculation'!$E$2:$M$2,0))</f>
        <v>-2.9318346831513074</v>
      </c>
      <c r="AC247" s="2">
        <f>INDEX('Fuel Model - Calculation'!$E$2:$M$3771,(MATCH(("WTT Emission - "&amp;$F247),'Fuel Model - Calculation'!$E$2:$E$3771,0)),MATCH(AC$141,'Fuel Model - Calculation'!$E$2:$M$2,0))</f>
        <v>-3.0287559914485835</v>
      </c>
      <c r="AD247" s="2">
        <f>INDEX('Fuel Model - Calculation'!$E$2:$M$3771,(MATCH(("WTT Emission - "&amp;$F247),'Fuel Model - Calculation'!$E$2:$E$3771,0)),MATCH(AD$141,'Fuel Model - Calculation'!$E$2:$M$2,0))</f>
        <v>-3.1615974711390979</v>
      </c>
      <c r="AE247" s="2"/>
      <c r="AF247" s="2">
        <f>'Fuel Model -  Input'!H$54</f>
        <v>3.2553300000000003</v>
      </c>
      <c r="AG247" s="2">
        <f>'Fuel Model -  Input'!I$54</f>
        <v>3.2553300000000003</v>
      </c>
      <c r="AH247" s="2">
        <f>'Fuel Model -  Input'!J$54</f>
        <v>3.2553300000000003</v>
      </c>
      <c r="AI247" s="2">
        <f>'Fuel Model -  Input'!K$54</f>
        <v>3.2553300000000003</v>
      </c>
      <c r="AJ247" s="2">
        <f>'Fuel Model -  Input'!L$54</f>
        <v>3.2553300000000003</v>
      </c>
      <c r="AK247" s="2">
        <f>'Fuel Model -  Input'!M$54</f>
        <v>3.2553300000000003</v>
      </c>
      <c r="AL247" s="2">
        <f>'Fuel Model -  Input'!N$54</f>
        <v>3.2553300000000003</v>
      </c>
      <c r="AM247"/>
      <c r="AN247" s="24">
        <f t="shared" si="209"/>
        <v>1.5328172488738276</v>
      </c>
      <c r="AO247" s="24">
        <f t="shared" si="209"/>
        <v>1.1935567793228028</v>
      </c>
      <c r="AP247" s="24">
        <f t="shared" si="209"/>
        <v>0.94341651649356839</v>
      </c>
      <c r="AQ247" s="24">
        <f t="shared" si="209"/>
        <v>0.40799591729412876</v>
      </c>
      <c r="AR247" s="24">
        <f t="shared" si="209"/>
        <v>0.32349531684869293</v>
      </c>
      <c r="AS247" s="24">
        <f t="shared" si="209"/>
        <v>0.22657400855141674</v>
      </c>
      <c r="AT247" s="24">
        <f t="shared" si="209"/>
        <v>9.3732528860902331E-2</v>
      </c>
      <c r="AU247"/>
      <c r="AV247" s="118">
        <f>IFERROR(INDEX('Fuel Model - Calculation'!$B$2:$M$3771,(MATCH(($E247&amp;"Results"&amp;$AV$140&amp;$F247&amp;"USD/ton"),'Fuel Model - Calculation'!$B$2:$B$3771,0)),MATCH(H$141,'Fuel Model - Calculation'!$B$2:$M$2,0)),0)</f>
        <v>1027.3166666666668</v>
      </c>
      <c r="AW247" s="118">
        <f>IFERROR(INDEX('Fuel Model - Calculation'!$B$2:$M$3771,(MATCH(($E247&amp;"Results"&amp;$AV$140&amp;$F247&amp;"USD/ton"),'Fuel Model - Calculation'!$B$2:$B$3771,0)),MATCH(I$141,'Fuel Model - Calculation'!$B$2:$M$2,0)),0)</f>
        <v>616.3900000000001</v>
      </c>
      <c r="AX247" s="118">
        <f>IFERROR(INDEX('Fuel Model - Calculation'!$B$2:$M$3771,(MATCH(($E247&amp;"Results"&amp;$AV$140&amp;$F247&amp;"USD/ton"),'Fuel Model - Calculation'!$B$2:$B$3771,0)),MATCH(J$141,'Fuel Model - Calculation'!$B$2:$M$2,0)),0)</f>
        <v>205.46333333333337</v>
      </c>
      <c r="AY247" s="118">
        <f>IFERROR(INDEX('Fuel Model - Calculation'!$B$2:$M$3771,(MATCH(($E247&amp;"Results"&amp;$AV$140&amp;$F247&amp;"USD/ton"),'Fuel Model - Calculation'!$B$2:$B$3771,0)),MATCH(K$141,'Fuel Model - Calculation'!$B$2:$M$2,0)),0)</f>
        <v>184.91700000000006</v>
      </c>
      <c r="AZ247" s="118">
        <f>IFERROR(INDEX('Fuel Model - Calculation'!$B$2:$M$3771,(MATCH(($E247&amp;"Results"&amp;$AV$140&amp;$F247&amp;"USD/ton"),'Fuel Model - Calculation'!$B$2:$B$3771,0)),MATCH(L$141,'Fuel Model - Calculation'!$B$2:$M$2,0)),0)</f>
        <v>178.06822222222226</v>
      </c>
      <c r="BA247" s="118">
        <f>IFERROR(INDEX('Fuel Model - Calculation'!$B$2:$M$3771,(MATCH(($E247&amp;"Results"&amp;$AV$140&amp;$F247&amp;"USD/ton"),'Fuel Model - Calculation'!$B$2:$B$3771,0)),MATCH(M$141,'Fuel Model - Calculation'!$B$2:$M$2,0)),0)</f>
        <v>171.21944444444452</v>
      </c>
      <c r="BB247" s="118">
        <f>IFERROR(INDEX('Fuel Model - Calculation'!$B$2:$M$3771,(MATCH(($E247&amp;"Results"&amp;$AV$140&amp;$F247&amp;"USD/ton"),'Fuel Model - Calculation'!$B$2:$B$3771,0)),MATCH(N$141,'Fuel Model - Calculation'!$B$2:$M$2,0)),0)</f>
        <v>164.37066666666675</v>
      </c>
      <c r="BC247"/>
      <c r="BD247" s="118">
        <f>IFERROR(INDEX('Fuel Model - Calculation'!$B$2:$M$3771,(MATCH(($E247&amp;"Results"&amp;$BD$140&amp;$F247&amp;"USD/ton"),'Fuel Model - Calculation'!$B$2:$B$3771,0)),MATCH(P$141,'Fuel Model - Calculation'!$B$2:$M$2,0)),0)</f>
        <v>480.20573786613352</v>
      </c>
      <c r="BE247" s="118">
        <f>IFERROR(INDEX('Fuel Model - Calculation'!$B$2:$M$3771,(MATCH(($E247&amp;"Results"&amp;$BD$140&amp;$F247&amp;"USD/ton"),'Fuel Model - Calculation'!$B$2:$B$3771,0)),MATCH(Q$141,'Fuel Model - Calculation'!$B$2:$M$2,0)),0)</f>
        <v>295.00241547332581</v>
      </c>
      <c r="BF247" s="118">
        <f>IFERROR(INDEX('Fuel Model - Calculation'!$B$2:$M$3771,(MATCH(($E247&amp;"Results"&amp;$BD$140&amp;$F247&amp;"USD/ton"),'Fuel Model - Calculation'!$B$2:$B$3771,0)),MATCH(R$141,'Fuel Model - Calculation'!$B$2:$M$2,0)),0)</f>
        <v>108.26864006337735</v>
      </c>
      <c r="BG247" s="118">
        <f>IFERROR(INDEX('Fuel Model - Calculation'!$B$2:$M$3771,(MATCH(($E247&amp;"Results"&amp;$BD$140&amp;$F247&amp;"USD/ton"),'Fuel Model - Calculation'!$B$2:$B$3771,0)),MATCH(S$141,'Fuel Model - Calculation'!$B$2:$M$2,0)),0)</f>
        <v>97.316051739421184</v>
      </c>
      <c r="BH247" s="118">
        <f>IFERROR(INDEX('Fuel Model - Calculation'!$B$2:$M$3771,(MATCH(($E247&amp;"Results"&amp;$BD$140&amp;$F247&amp;"USD/ton"),'Fuel Model - Calculation'!$B$2:$B$3771,0)),MATCH(T$141,'Fuel Model - Calculation'!$B$2:$M$2,0)),0)</f>
        <v>92.804507994494102</v>
      </c>
      <c r="BI247" s="118">
        <f>IFERROR(INDEX('Fuel Model - Calculation'!$B$2:$M$3771,(MATCH(($E247&amp;"Results"&amp;$BD$140&amp;$F247&amp;"USD/ton"),'Fuel Model - Calculation'!$B$2:$B$3771,0)),MATCH(U$141,'Fuel Model - Calculation'!$B$2:$M$2,0)),0)</f>
        <v>89.165832532625672</v>
      </c>
      <c r="BJ247" s="118">
        <f>IFERROR(INDEX('Fuel Model - Calculation'!$B$2:$M$3771,(MATCH(($E247&amp;"Results"&amp;$BD$140&amp;$F247&amp;"USD/ton"),'Fuel Model - Calculation'!$B$2:$B$3771,0)),MATCH(V$141,'Fuel Model - Calculation'!$B$2:$M$2,0)),0)</f>
        <v>85.67177366904761</v>
      </c>
      <c r="BL247" s="118">
        <f>IFERROR(IFERROR(INDEX('Fuel Model - Calculation'!$B$2:$M$3771,(MATCH(($E247&amp;"Results"&amp;$BL$140&amp;$F247&amp;"USD/ton"),'Fuel Model - Calculation'!$B$2:$B$3771,0)),MATCH(H$141,'Fuel Model - Calculation'!$B$2:$M$2,0)),0),0)</f>
        <v>0</v>
      </c>
      <c r="BM247" s="118">
        <f>IFERROR(IFERROR(INDEX('Fuel Model - Calculation'!$B$2:$M$3771,(MATCH(($E247&amp;"Results"&amp;$BL$140&amp;$F247&amp;"USD/ton"),'Fuel Model - Calculation'!$B$2:$B$3771,0)),MATCH(I$141,'Fuel Model - Calculation'!$B$2:$M$2,0)),0),0)</f>
        <v>0</v>
      </c>
      <c r="BN247" s="118">
        <f>IFERROR(IFERROR(INDEX('Fuel Model - Calculation'!$B$2:$M$3771,(MATCH(($E247&amp;"Results"&amp;$BL$140&amp;$F247&amp;"USD/ton"),'Fuel Model - Calculation'!$B$2:$B$3771,0)),MATCH(J$141,'Fuel Model - Calculation'!$B$2:$M$2,0)),0),0)</f>
        <v>0</v>
      </c>
      <c r="BO247" s="118">
        <f>IFERROR(IFERROR(INDEX('Fuel Model - Calculation'!$B$2:$M$3771,(MATCH(($E247&amp;"Results"&amp;$BL$140&amp;$F247&amp;"USD/ton"),'Fuel Model - Calculation'!$B$2:$B$3771,0)),MATCH(K$141,'Fuel Model - Calculation'!$B$2:$M$2,0)),0),0)</f>
        <v>0</v>
      </c>
      <c r="BP247" s="118">
        <f>IFERROR(IFERROR(INDEX('Fuel Model - Calculation'!$B$2:$M$3771,(MATCH(($E247&amp;"Results"&amp;$BL$140&amp;$F247&amp;"USD/ton"),'Fuel Model - Calculation'!$B$2:$B$3771,0)),MATCH(L$141,'Fuel Model - Calculation'!$B$2:$M$2,0)),0),0)</f>
        <v>0</v>
      </c>
      <c r="BQ247" s="118">
        <f>IFERROR(IFERROR(INDEX('Fuel Model - Calculation'!$B$2:$M$3771,(MATCH(($E247&amp;"Results"&amp;$BL$140&amp;$F247&amp;"USD/ton"),'Fuel Model - Calculation'!$B$2:$B$3771,0)),MATCH(M$141,'Fuel Model - Calculation'!$B$2:$M$2,0)),0),0)</f>
        <v>0</v>
      </c>
      <c r="BR247" s="118">
        <f>IFERROR(IFERROR(INDEX('Fuel Model - Calculation'!$B$2:$M$3771,(MATCH(($E247&amp;"Results"&amp;$BL$140&amp;$F247&amp;"USD/ton"),'Fuel Model - Calculation'!$B$2:$B$3771,0)),MATCH(N$141,'Fuel Model - Calculation'!$B$2:$M$2,0)),0),0)</f>
        <v>0</v>
      </c>
      <c r="BT247" s="118">
        <f>IFERROR(INDEX('Fuel Model - Calculation'!$B$2:$M$3771,(MATCH(($E247&amp;"Results"&amp;$BT$140&amp;$F247&amp;"USD/ton"),'Fuel Model - Calculation'!$B$2:$B$3771,0)),MATCH(H$141,'Fuel Model - Calculation'!$B$2:$M$2,0)),0)</f>
        <v>581.99393817778309</v>
      </c>
      <c r="BU247" s="118">
        <f>IFERROR(INDEX('Fuel Model - Calculation'!$B$2:$M$3771,(MATCH(($E247&amp;"Results"&amp;$BT$140&amp;$F247&amp;"USD/ton"),'Fuel Model - Calculation'!$B$2:$B$3771,0)),MATCH(I$141,'Fuel Model - Calculation'!$B$2:$M$2,0)),0)</f>
        <v>556.82321068360102</v>
      </c>
      <c r="BV247" s="118">
        <f>IFERROR(INDEX('Fuel Model - Calculation'!$B$2:$M$3771,(MATCH(($E247&amp;"Results"&amp;$BT$140&amp;$F247&amp;"USD/ton"),'Fuel Model - Calculation'!$B$2:$B$3771,0)),MATCH(J$141,'Fuel Model - Calculation'!$B$2:$M$2,0)),0)</f>
        <v>579.32757901987418</v>
      </c>
      <c r="BW247" s="118">
        <f>IFERROR(INDEX('Fuel Model - Calculation'!$B$2:$M$3771,(MATCH(($E247&amp;"Results"&amp;$BT$140&amp;$F247&amp;"USD/ton"),'Fuel Model - Calculation'!$B$2:$B$3771,0)),MATCH(K$141,'Fuel Model - Calculation'!$B$2:$M$2,0)),0)</f>
        <v>642.2892851417389</v>
      </c>
      <c r="BX247" s="118">
        <f>IFERROR(INDEX('Fuel Model - Calculation'!$B$2:$M$3771,(MATCH(($E247&amp;"Results"&amp;$BT$140&amp;$F247&amp;"USD/ton"),'Fuel Model - Calculation'!$B$2:$B$3771,0)),MATCH(L$141,'Fuel Model - Calculation'!$B$2:$M$2,0)),0)</f>
        <v>652.78005120099408</v>
      </c>
      <c r="BY247" s="118">
        <f>IFERROR(INDEX('Fuel Model - Calculation'!$B$2:$M$3771,(MATCH(($E247&amp;"Results"&amp;$BT$140&amp;$F247&amp;"USD/ton"),'Fuel Model - Calculation'!$B$2:$B$3771,0)),MATCH(M$141,'Fuel Model - Calculation'!$B$2:$M$2,0)),0)</f>
        <v>658.79860524177377</v>
      </c>
      <c r="BZ247" s="118">
        <f>IFERROR(INDEX('Fuel Model - Calculation'!$B$2:$M$3771,(MATCH(($E247&amp;"Results"&amp;$BT$140&amp;$F247&amp;"USD/ton"),'Fuel Model - Calculation'!$B$2:$B$3771,0)),MATCH(N$141,'Fuel Model - Calculation'!$B$2:$M$2,0)),0)</f>
        <v>629.59624108709249</v>
      </c>
    </row>
    <row r="248" spans="1:78" x14ac:dyDescent="0.2">
      <c r="A248" s="452"/>
      <c r="B248" s="453" t="str">
        <f>_xlfn.TEXTJOIN(keydelim,TRUE,F248,IF(E248="Africa","Africa&amp;other",E248),"Fuel cost",SUBSTITUTE($G248," ",""))</f>
        <v>Biodiesel (Pyr) - Africa&amp;other - Fuel cost - USD/ton</v>
      </c>
      <c r="D248" s="459" t="str">
        <f t="shared" si="210"/>
        <v>AfricaBiodiesel (Pyr)</v>
      </c>
      <c r="E248" t="s">
        <v>200</v>
      </c>
      <c r="F248" s="460" t="str">
        <f t="shared" si="211"/>
        <v>Biodiesel (Pyr)</v>
      </c>
      <c r="G248" t="s">
        <v>835</v>
      </c>
      <c r="H248" s="118">
        <f>INDEX('Fuel Model - Calculation'!$B$2:$M$3771,(MATCH(($E248&amp;"ResultsCost of "&amp;$F248&amp;"USD/ton"),'Fuel Model - Calculation'!$B$2:$B$3771,0)),MATCH(H$141,'Fuel Model - Calculation'!$B$2:$M$2,0))</f>
        <v>2887.6394781298486</v>
      </c>
      <c r="I248" s="118">
        <f>INDEX('Fuel Model - Calculation'!$B$2:$M$3771,(MATCH(($E248&amp;"ResultsCost of "&amp;$F248&amp;"USD/ton"),'Fuel Model - Calculation'!$B$2:$B$3771,0)),MATCH(I$141,'Fuel Model - Calculation'!$B$2:$M$2,0))</f>
        <v>1813.688748827208</v>
      </c>
      <c r="J248" s="118">
        <f>INDEX('Fuel Model - Calculation'!$B$2:$M$3771,(MATCH(($E248&amp;"ResultsCost of "&amp;$F248&amp;"USD/ton"),'Fuel Model - Calculation'!$B$2:$B$3771,0)),MATCH(J$141,'Fuel Model - Calculation'!$B$2:$M$2,0))</f>
        <v>1136.0956297705002</v>
      </c>
      <c r="K248" s="118">
        <f>INDEX('Fuel Model - Calculation'!$B$2:$M$3771,(MATCH(($E248&amp;"ResultsCost of "&amp;$F248&amp;"USD/ton"),'Fuel Model - Calculation'!$B$2:$B$3771,0)),MATCH(K$141,'Fuel Model - Calculation'!$B$2:$M$2,0))</f>
        <v>1158.4094519047273</v>
      </c>
      <c r="L248" s="118">
        <f>INDEX('Fuel Model - Calculation'!$B$2:$M$3771,(MATCH(($E248&amp;"ResultsCost of "&amp;$F248&amp;"USD/ton"),'Fuel Model - Calculation'!$B$2:$B$3771,0)),MATCH(L$141,'Fuel Model - Calculation'!$B$2:$M$2,0))</f>
        <v>1152.1940702666525</v>
      </c>
      <c r="M248" s="118">
        <f>INDEX('Fuel Model - Calculation'!$B$2:$M$3771,(MATCH(($E248&amp;"ResultsCost of "&amp;$F248&amp;"USD/ton"),'Fuel Model - Calculation'!$B$2:$B$3771,0)),MATCH(M$141,'Fuel Model - Calculation'!$B$2:$M$2,0))</f>
        <v>1128.0729913771636</v>
      </c>
      <c r="N248" s="118">
        <f>INDEX('Fuel Model - Calculation'!$B$2:$M$3771,(MATCH(($E248&amp;"ResultsCost of "&amp;$F248&amp;"USD/ton"),'Fuel Model - Calculation'!$B$2:$B$3771,0)),MATCH(N$141,'Fuel Model - Calculation'!$B$2:$M$2,0))</f>
        <v>1049.8570092625719</v>
      </c>
      <c r="O248"/>
      <c r="P248" s="118">
        <f>IFERROR(INDEX('Fuel Model - Calculation'!G$2:G$3771,(MATCH(($E248&amp;"ResultsTotal RNE "&amp;$F248&amp;"USD/ton"),'Fuel Model - Calculation'!$B$2:$B$3771,0))),0)</f>
        <v>0</v>
      </c>
      <c r="Q248" s="118">
        <f>IFERROR(INDEX('Fuel Model - Calculation'!H$2:H$3771,(MATCH(($E248&amp;"ResultsTotal RNE "&amp;$F248&amp;"USD/ton"),'Fuel Model - Calculation'!$B$2:$B$3771,0))),0)</f>
        <v>0</v>
      </c>
      <c r="R248" s="118">
        <f>IFERROR(INDEX('Fuel Model - Calculation'!I$2:I$3771,(MATCH(($E248&amp;"ResultsTotal RNE "&amp;$F248&amp;"USD/ton"),'Fuel Model - Calculation'!$B$2:$B$3771,0))),0)</f>
        <v>0</v>
      </c>
      <c r="S248" s="118">
        <f>IFERROR(INDEX('Fuel Model - Calculation'!J$2:J$3771,(MATCH(($E248&amp;"ResultsTotal RNE "&amp;$F248&amp;"USD/ton"),'Fuel Model - Calculation'!$B$2:$B$3771,0))),0)</f>
        <v>0</v>
      </c>
      <c r="T248" s="118">
        <f>IFERROR(INDEX('Fuel Model - Calculation'!K$2:K$3771,(MATCH(($E248&amp;"ResultsTotal RNE "&amp;$F248&amp;"USD/ton"),'Fuel Model - Calculation'!$B$2:$B$3771,0))),0)</f>
        <v>0</v>
      </c>
      <c r="U248" s="118">
        <f>IFERROR(INDEX('Fuel Model - Calculation'!L$2:L$3771,(MATCH(($E248&amp;"ResultsTotal RNE "&amp;$F248&amp;"USD/ton"),'Fuel Model - Calculation'!$B$2:$B$3771,0))),0)</f>
        <v>0</v>
      </c>
      <c r="V248" s="118">
        <f>IFERROR(INDEX('Fuel Model - Calculation'!M$2:M$3771,(MATCH(($E248&amp;"ResultsTotal RNE "&amp;$F248&amp;"USD/ton"),'Fuel Model - Calculation'!$B$2:$B$3771,0))),0)</f>
        <v>0</v>
      </c>
      <c r="W248"/>
      <c r="X248" s="2">
        <f>INDEX('Fuel Model - Calculation'!$E$2:$M$3771,(MATCH(("WTT Emission - "&amp;$F248),'Fuel Model - Calculation'!$E$2:$E$3771,0)),MATCH(X$141,'Fuel Model - Calculation'!$E$2:$M$2,0))</f>
        <v>-1.7225127511261726</v>
      </c>
      <c r="Y248" s="2">
        <f>INDEX('Fuel Model - Calculation'!$E$2:$M$3771,(MATCH(("WTT Emission - "&amp;$F248),'Fuel Model - Calculation'!$E$2:$E$3771,0)),MATCH(Y$141,'Fuel Model - Calculation'!$E$2:$M$2,0))</f>
        <v>-2.0617732206771975</v>
      </c>
      <c r="Z248" s="2">
        <f>INDEX('Fuel Model - Calculation'!$E$2:$M$3771,(MATCH(("WTT Emission - "&amp;$F248),'Fuel Model - Calculation'!$E$2:$E$3771,0)),MATCH(Z$141,'Fuel Model - Calculation'!$E$2:$M$2,0))</f>
        <v>-2.3119134835064319</v>
      </c>
      <c r="AA248" s="2">
        <f>INDEX('Fuel Model - Calculation'!$E$2:$M$3771,(MATCH(("WTT Emission - "&amp;$F248),'Fuel Model - Calculation'!$E$2:$E$3771,0)),MATCH(AA$141,'Fuel Model - Calculation'!$E$2:$M$2,0))</f>
        <v>-2.8473340827058715</v>
      </c>
      <c r="AB248" s="2">
        <f>INDEX('Fuel Model - Calculation'!$E$2:$M$3771,(MATCH(("WTT Emission - "&amp;$F248),'Fuel Model - Calculation'!$E$2:$E$3771,0)),MATCH(AB$141,'Fuel Model - Calculation'!$E$2:$M$2,0))</f>
        <v>-2.9318346831513074</v>
      </c>
      <c r="AC248" s="2">
        <f>INDEX('Fuel Model - Calculation'!$E$2:$M$3771,(MATCH(("WTT Emission - "&amp;$F248),'Fuel Model - Calculation'!$E$2:$E$3771,0)),MATCH(AC$141,'Fuel Model - Calculation'!$E$2:$M$2,0))</f>
        <v>-3.0287559914485835</v>
      </c>
      <c r="AD248" s="2">
        <f>INDEX('Fuel Model - Calculation'!$E$2:$M$3771,(MATCH(("WTT Emission - "&amp;$F248),'Fuel Model - Calculation'!$E$2:$E$3771,0)),MATCH(AD$141,'Fuel Model - Calculation'!$E$2:$M$2,0))</f>
        <v>-3.1615974711390979</v>
      </c>
      <c r="AE248" s="2"/>
      <c r="AF248" s="2">
        <f>'Fuel Model -  Input'!H$54</f>
        <v>3.2553300000000003</v>
      </c>
      <c r="AG248" s="2">
        <f>'Fuel Model -  Input'!I$54</f>
        <v>3.2553300000000003</v>
      </c>
      <c r="AH248" s="2">
        <f>'Fuel Model -  Input'!J$54</f>
        <v>3.2553300000000003</v>
      </c>
      <c r="AI248" s="2">
        <f>'Fuel Model -  Input'!K$54</f>
        <v>3.2553300000000003</v>
      </c>
      <c r="AJ248" s="2">
        <f>'Fuel Model -  Input'!L$54</f>
        <v>3.2553300000000003</v>
      </c>
      <c r="AK248" s="2">
        <f>'Fuel Model -  Input'!M$54</f>
        <v>3.2553300000000003</v>
      </c>
      <c r="AL248" s="2">
        <f>'Fuel Model -  Input'!N$54</f>
        <v>3.2553300000000003</v>
      </c>
      <c r="AM248"/>
      <c r="AN248" s="24">
        <f t="shared" si="209"/>
        <v>1.5328172488738276</v>
      </c>
      <c r="AO248" s="24">
        <f t="shared" si="209"/>
        <v>1.1935567793228028</v>
      </c>
      <c r="AP248" s="24">
        <f t="shared" si="209"/>
        <v>0.94341651649356839</v>
      </c>
      <c r="AQ248" s="24">
        <f t="shared" si="209"/>
        <v>0.40799591729412876</v>
      </c>
      <c r="AR248" s="24">
        <f t="shared" si="209"/>
        <v>0.32349531684869293</v>
      </c>
      <c r="AS248" s="24">
        <f t="shared" si="209"/>
        <v>0.22657400855141674</v>
      </c>
      <c r="AT248" s="24">
        <f t="shared" si="209"/>
        <v>9.3732528860902331E-2</v>
      </c>
      <c r="AU248"/>
      <c r="AV248" s="118">
        <f>IFERROR(INDEX('Fuel Model - Calculation'!$B$2:$M$3771,(MATCH(($E248&amp;"Results"&amp;$AV$140&amp;$F248&amp;"USD/ton"),'Fuel Model - Calculation'!$B$2:$B$3771,0)),MATCH(H$141,'Fuel Model - Calculation'!$B$2:$M$2,0)),0)</f>
        <v>1027.3166666666668</v>
      </c>
      <c r="AW248" s="118">
        <f>IFERROR(INDEX('Fuel Model - Calculation'!$B$2:$M$3771,(MATCH(($E248&amp;"Results"&amp;$AV$140&amp;$F248&amp;"USD/ton"),'Fuel Model - Calculation'!$B$2:$B$3771,0)),MATCH(I$141,'Fuel Model - Calculation'!$B$2:$M$2,0)),0)</f>
        <v>616.3900000000001</v>
      </c>
      <c r="AX248" s="118">
        <f>IFERROR(INDEX('Fuel Model - Calculation'!$B$2:$M$3771,(MATCH(($E248&amp;"Results"&amp;$AV$140&amp;$F248&amp;"USD/ton"),'Fuel Model - Calculation'!$B$2:$B$3771,0)),MATCH(J$141,'Fuel Model - Calculation'!$B$2:$M$2,0)),0)</f>
        <v>205.46333333333337</v>
      </c>
      <c r="AY248" s="118">
        <f>IFERROR(INDEX('Fuel Model - Calculation'!$B$2:$M$3771,(MATCH(($E248&amp;"Results"&amp;$AV$140&amp;$F248&amp;"USD/ton"),'Fuel Model - Calculation'!$B$2:$B$3771,0)),MATCH(K$141,'Fuel Model - Calculation'!$B$2:$M$2,0)),0)</f>
        <v>184.91700000000006</v>
      </c>
      <c r="AZ248" s="118">
        <f>IFERROR(INDEX('Fuel Model - Calculation'!$B$2:$M$3771,(MATCH(($E248&amp;"Results"&amp;$AV$140&amp;$F248&amp;"USD/ton"),'Fuel Model - Calculation'!$B$2:$B$3771,0)),MATCH(L$141,'Fuel Model - Calculation'!$B$2:$M$2,0)),0)</f>
        <v>178.06822222222226</v>
      </c>
      <c r="BA248" s="118">
        <f>IFERROR(INDEX('Fuel Model - Calculation'!$B$2:$M$3771,(MATCH(($E248&amp;"Results"&amp;$AV$140&amp;$F248&amp;"USD/ton"),'Fuel Model - Calculation'!$B$2:$B$3771,0)),MATCH(M$141,'Fuel Model - Calculation'!$B$2:$M$2,0)),0)</f>
        <v>171.21944444444452</v>
      </c>
      <c r="BB248" s="118">
        <f>IFERROR(INDEX('Fuel Model - Calculation'!$B$2:$M$3771,(MATCH(($E248&amp;"Results"&amp;$AV$140&amp;$F248&amp;"USD/ton"),'Fuel Model - Calculation'!$B$2:$B$3771,0)),MATCH(N$141,'Fuel Model - Calculation'!$B$2:$M$2,0)),0)</f>
        <v>164.37066666666675</v>
      </c>
      <c r="BC248"/>
      <c r="BD248" s="118">
        <f>IFERROR(INDEX('Fuel Model - Calculation'!$B$2:$M$3771,(MATCH(($E248&amp;"Results"&amp;$BD$140&amp;$F248&amp;"USD/ton"),'Fuel Model - Calculation'!$B$2:$B$3771,0)),MATCH(P$141,'Fuel Model - Calculation'!$B$2:$M$2,0)),0)</f>
        <v>503.54418016153772</v>
      </c>
      <c r="BE248" s="118">
        <f>IFERROR(INDEX('Fuel Model - Calculation'!$B$2:$M$3771,(MATCH(($E248&amp;"Results"&amp;$BD$140&amp;$F248&amp;"USD/ton"),'Fuel Model - Calculation'!$B$2:$B$3771,0)),MATCH(Q$141,'Fuel Model - Calculation'!$B$2:$M$2,0)),0)</f>
        <v>300.55157475175031</v>
      </c>
      <c r="BF248" s="118">
        <f>IFERROR(INDEX('Fuel Model - Calculation'!$B$2:$M$3771,(MATCH(($E248&amp;"Results"&amp;$BD$140&amp;$F248&amp;"USD/ton"),'Fuel Model - Calculation'!$B$2:$B$3771,0)),MATCH(R$141,'Fuel Model - Calculation'!$B$2:$M$2,0)),0)</f>
        <v>111.98803017728619</v>
      </c>
      <c r="BG248" s="118">
        <f>IFERROR(INDEX('Fuel Model - Calculation'!$B$2:$M$3771,(MATCH(($E248&amp;"Results"&amp;$BD$140&amp;$F248&amp;"USD/ton"),'Fuel Model - Calculation'!$B$2:$B$3771,0)),MATCH(S$141,'Fuel Model - Calculation'!$B$2:$M$2,0)),0)</f>
        <v>99.725610118390833</v>
      </c>
      <c r="BH248" s="118">
        <f>IFERROR(INDEX('Fuel Model - Calculation'!$B$2:$M$3771,(MATCH(($E248&amp;"Results"&amp;$BD$140&amp;$F248&amp;"USD/ton"),'Fuel Model - Calculation'!$B$2:$B$3771,0)),MATCH(T$141,'Fuel Model - Calculation'!$B$2:$M$2,0)),0)</f>
        <v>95.210552676882713</v>
      </c>
      <c r="BI248" s="118">
        <f>IFERROR(INDEX('Fuel Model - Calculation'!$B$2:$M$3771,(MATCH(($E248&amp;"Results"&amp;$BD$140&amp;$F248&amp;"USD/ton"),'Fuel Model - Calculation'!$B$2:$B$3771,0)),MATCH(U$141,'Fuel Model - Calculation'!$B$2:$M$2,0)),0)</f>
        <v>90.654070032199968</v>
      </c>
      <c r="BJ248" s="118">
        <f>IFERROR(INDEX('Fuel Model - Calculation'!$B$2:$M$3771,(MATCH(($E248&amp;"Results"&amp;$BD$140&amp;$F248&amp;"USD/ton"),'Fuel Model - Calculation'!$B$2:$B$3771,0)),MATCH(V$141,'Fuel Model - Calculation'!$B$2:$M$2,0)),0)</f>
        <v>86.864762261930338</v>
      </c>
      <c r="BL248" s="118">
        <f>IFERROR(IFERROR(INDEX('Fuel Model - Calculation'!$B$2:$M$3771,(MATCH(($E248&amp;"Results"&amp;$BL$140&amp;$F248&amp;"USD/ton"),'Fuel Model - Calculation'!$B$2:$B$3771,0)),MATCH(H$141,'Fuel Model - Calculation'!$B$2:$M$2,0)),0),0)</f>
        <v>0</v>
      </c>
      <c r="BM248" s="118">
        <f>IFERROR(IFERROR(INDEX('Fuel Model - Calculation'!$B$2:$M$3771,(MATCH(($E248&amp;"Results"&amp;$BL$140&amp;$F248&amp;"USD/ton"),'Fuel Model - Calculation'!$B$2:$B$3771,0)),MATCH(I$141,'Fuel Model - Calculation'!$B$2:$M$2,0)),0),0)</f>
        <v>0</v>
      </c>
      <c r="BN248" s="118">
        <f>IFERROR(IFERROR(INDEX('Fuel Model - Calculation'!$B$2:$M$3771,(MATCH(($E248&amp;"Results"&amp;$BL$140&amp;$F248&amp;"USD/ton"),'Fuel Model - Calculation'!$B$2:$B$3771,0)),MATCH(J$141,'Fuel Model - Calculation'!$B$2:$M$2,0)),0),0)</f>
        <v>0</v>
      </c>
      <c r="BO248" s="118">
        <f>IFERROR(IFERROR(INDEX('Fuel Model - Calculation'!$B$2:$M$3771,(MATCH(($E248&amp;"Results"&amp;$BL$140&amp;$F248&amp;"USD/ton"),'Fuel Model - Calculation'!$B$2:$B$3771,0)),MATCH(K$141,'Fuel Model - Calculation'!$B$2:$M$2,0)),0),0)</f>
        <v>0</v>
      </c>
      <c r="BP248" s="118">
        <f>IFERROR(IFERROR(INDEX('Fuel Model - Calculation'!$B$2:$M$3771,(MATCH(($E248&amp;"Results"&amp;$BL$140&amp;$F248&amp;"USD/ton"),'Fuel Model - Calculation'!$B$2:$B$3771,0)),MATCH(L$141,'Fuel Model - Calculation'!$B$2:$M$2,0)),0),0)</f>
        <v>0</v>
      </c>
      <c r="BQ248" s="118">
        <f>IFERROR(IFERROR(INDEX('Fuel Model - Calculation'!$B$2:$M$3771,(MATCH(($E248&amp;"Results"&amp;$BL$140&amp;$F248&amp;"USD/ton"),'Fuel Model - Calculation'!$B$2:$B$3771,0)),MATCH(M$141,'Fuel Model - Calculation'!$B$2:$M$2,0)),0),0)</f>
        <v>0</v>
      </c>
      <c r="BR248" s="118">
        <f>IFERROR(IFERROR(INDEX('Fuel Model - Calculation'!$B$2:$M$3771,(MATCH(($E248&amp;"Results"&amp;$BL$140&amp;$F248&amp;"USD/ton"),'Fuel Model - Calculation'!$B$2:$B$3771,0)),MATCH(N$141,'Fuel Model - Calculation'!$B$2:$M$2,0)),0),0)</f>
        <v>0</v>
      </c>
      <c r="BT248" s="118">
        <f>IFERROR(INDEX('Fuel Model - Calculation'!$B$2:$M$3771,(MATCH(($E248&amp;"Results"&amp;$BT$140&amp;$F248&amp;"USD/ton"),'Fuel Model - Calculation'!$B$2:$B$3771,0)),MATCH(H$141,'Fuel Model - Calculation'!$B$2:$M$2,0)),0)</f>
        <v>1356.7786313016441</v>
      </c>
      <c r="BU248" s="118">
        <f>IFERROR(INDEX('Fuel Model - Calculation'!$B$2:$M$3771,(MATCH(($E248&amp;"Results"&amp;$BT$140&amp;$F248&amp;"USD/ton"),'Fuel Model - Calculation'!$B$2:$B$3771,0)),MATCH(I$141,'Fuel Model - Calculation'!$B$2:$M$2,0)),0)</f>
        <v>896.74717407545756</v>
      </c>
      <c r="BV248" s="118">
        <f>IFERROR(INDEX('Fuel Model - Calculation'!$B$2:$M$3771,(MATCH(($E248&amp;"Results"&amp;$BT$140&amp;$F248&amp;"USD/ton"),'Fuel Model - Calculation'!$B$2:$B$3771,0)),MATCH(J$141,'Fuel Model - Calculation'!$B$2:$M$2,0)),0)</f>
        <v>818.64426625988074</v>
      </c>
      <c r="BW248" s="118">
        <f>IFERROR(INDEX('Fuel Model - Calculation'!$B$2:$M$3771,(MATCH(($E248&amp;"Results"&amp;$BT$140&amp;$F248&amp;"USD/ton"),'Fuel Model - Calculation'!$B$2:$B$3771,0)),MATCH(K$141,'Fuel Model - Calculation'!$B$2:$M$2,0)),0)</f>
        <v>873.7668417863365</v>
      </c>
      <c r="BX248" s="118">
        <f>IFERROR(INDEX('Fuel Model - Calculation'!$B$2:$M$3771,(MATCH(($E248&amp;"Results"&amp;$BT$140&amp;$F248&amp;"USD/ton"),'Fuel Model - Calculation'!$B$2:$B$3771,0)),MATCH(L$141,'Fuel Model - Calculation'!$B$2:$M$2,0)),0)</f>
        <v>878.91529536754763</v>
      </c>
      <c r="BY248" s="118">
        <f>IFERROR(INDEX('Fuel Model - Calculation'!$B$2:$M$3771,(MATCH(($E248&amp;"Results"&amp;$BT$140&amp;$F248&amp;"USD/ton"),'Fuel Model - Calculation'!$B$2:$B$3771,0)),MATCH(M$141,'Fuel Model - Calculation'!$B$2:$M$2,0)),0)</f>
        <v>866.19947690051913</v>
      </c>
      <c r="BZ248" s="118">
        <f>IFERROR(INDEX('Fuel Model - Calculation'!$B$2:$M$3771,(MATCH(($E248&amp;"Results"&amp;$BT$140&amp;$F248&amp;"USD/ton"),'Fuel Model - Calculation'!$B$2:$B$3771,0)),MATCH(N$141,'Fuel Model - Calculation'!$B$2:$M$2,0)),0)</f>
        <v>798.62158033397486</v>
      </c>
    </row>
    <row r="249" spans="1:78" x14ac:dyDescent="0.2">
      <c r="A249" s="452"/>
      <c r="B249" s="453"/>
      <c r="D249" s="74"/>
      <c r="E249"/>
      <c r="F249"/>
      <c r="G249"/>
      <c r="H249" s="118"/>
      <c r="I249"/>
      <c r="J249"/>
      <c r="K249"/>
      <c r="L249"/>
      <c r="M249"/>
      <c r="N249"/>
      <c r="O249"/>
      <c r="P249"/>
      <c r="Q249"/>
      <c r="R249"/>
      <c r="S249"/>
      <c r="T249"/>
      <c r="U249"/>
      <c r="V249"/>
      <c r="W249"/>
      <c r="X249"/>
      <c r="Y249"/>
      <c r="Z249"/>
      <c r="AA249"/>
      <c r="AB249"/>
      <c r="AC249"/>
      <c r="AD249"/>
      <c r="AE249"/>
      <c r="AF249" s="2"/>
      <c r="AG249" s="2"/>
      <c r="AH249" s="2"/>
      <c r="AI249" s="2"/>
      <c r="AJ249" s="2"/>
      <c r="AK249" s="2"/>
      <c r="AL249" s="2"/>
      <c r="AM249"/>
      <c r="AN249" s="24"/>
      <c r="AO249" s="24"/>
      <c r="AP249" s="24"/>
      <c r="AQ249" s="24"/>
      <c r="AR249" s="24"/>
      <c r="AS249" s="24"/>
      <c r="AT249" s="24"/>
      <c r="AU249"/>
      <c r="AV249" s="118"/>
      <c r="AW249" s="118"/>
      <c r="AX249" s="118"/>
      <c r="AY249" s="118"/>
      <c r="AZ249" s="118"/>
      <c r="BA249" s="118"/>
      <c r="BB249" s="118"/>
      <c r="BC249"/>
      <c r="BD249" s="118"/>
      <c r="BE249" s="118"/>
      <c r="BF249" s="118"/>
      <c r="BG249" s="118"/>
      <c r="BH249" s="118"/>
      <c r="BI249" s="118"/>
      <c r="BJ249" s="118"/>
      <c r="BL249" s="118"/>
      <c r="BM249" s="118"/>
      <c r="BN249" s="118"/>
      <c r="BO249" s="118"/>
      <c r="BP249" s="118"/>
      <c r="BQ249" s="118"/>
      <c r="BR249" s="118"/>
      <c r="BT249" s="118"/>
      <c r="BU249" s="118"/>
      <c r="BV249" s="118"/>
      <c r="BW249" s="118"/>
      <c r="BX249" s="118"/>
      <c r="BY249" s="118"/>
      <c r="BZ249" s="118"/>
    </row>
    <row r="250" spans="1:78" x14ac:dyDescent="0.2">
      <c r="A250" s="452"/>
      <c r="B250" s="453" t="str">
        <f>_xlfn.TEXTJOIN(keydelim,TRUE,F250,IF(E250="Africa","Africa&amp;other",E250),"Fuel cost",SUBSTITUTE($G250," ",""))</f>
        <v>Biomethanol - Europe - Fuel cost - USD/ton</v>
      </c>
      <c r="D250" s="459" t="str">
        <f>E250&amp;F250</f>
        <v>EuropeBiomethanol</v>
      </c>
      <c r="E250" t="s">
        <v>195</v>
      </c>
      <c r="F250" t="s">
        <v>586</v>
      </c>
      <c r="G250" t="s">
        <v>835</v>
      </c>
      <c r="H250" s="118">
        <f>INDEX('Fuel Model - Calculation'!$B$2:$M$3771,(MATCH(($E250&amp;"ResultsCost of "&amp;$F250&amp;"USD/ton"),'Fuel Model - Calculation'!$B$2:$B$3771,0)),MATCH(H$141,'Fuel Model - Calculation'!$B$2:$M$2,0))</f>
        <v>1005.1679168634591</v>
      </c>
      <c r="I250" s="118">
        <f>INDEX('Fuel Model - Calculation'!$B$2:$M$3771,(MATCH(($E250&amp;"ResultsCost of "&amp;$F250&amp;"USD/ton"),'Fuel Model - Calculation'!$B$2:$B$3771,0)),MATCH(I$141,'Fuel Model - Calculation'!$B$2:$M$2,0))</f>
        <v>709.06900790931672</v>
      </c>
      <c r="J250" s="118">
        <f>INDEX('Fuel Model - Calculation'!$B$2:$M$3771,(MATCH(($E250&amp;"ResultsCost of "&amp;$F250&amp;"USD/ton"),'Fuel Model - Calculation'!$B$2:$B$3771,0)),MATCH(J$141,'Fuel Model - Calculation'!$B$2:$M$2,0))</f>
        <v>599.38082807450667</v>
      </c>
      <c r="K250" s="118">
        <f>INDEX('Fuel Model - Calculation'!$B$2:$M$3771,(MATCH(($E250&amp;"ResultsCost of "&amp;$F250&amp;"USD/ton"),'Fuel Model - Calculation'!$B$2:$B$3771,0)),MATCH(K$141,'Fuel Model - Calculation'!$B$2:$M$2,0))</f>
        <v>555.33474100900685</v>
      </c>
      <c r="L250" s="118">
        <f>INDEX('Fuel Model - Calculation'!$B$2:$M$3771,(MATCH(($E250&amp;"ResultsCost of "&amp;$F250&amp;"USD/ton"),'Fuel Model - Calculation'!$B$2:$B$3771,0)),MATCH(L$141,'Fuel Model - Calculation'!$B$2:$M$2,0))</f>
        <v>510.82483825797152</v>
      </c>
      <c r="M250" s="118">
        <f>INDEX('Fuel Model - Calculation'!$B$2:$M$3771,(MATCH(($E250&amp;"ResultsCost of "&amp;$F250&amp;"USD/ton"),'Fuel Model - Calculation'!$B$2:$B$3771,0)),MATCH(M$141,'Fuel Model - Calculation'!$B$2:$M$2,0))</f>
        <v>485.99759419628617</v>
      </c>
      <c r="N250" s="118">
        <f>INDEX('Fuel Model - Calculation'!$B$2:$M$3771,(MATCH(($E250&amp;"ResultsCost of "&amp;$F250&amp;"USD/ton"),'Fuel Model - Calculation'!$B$2:$B$3771,0)),MATCH(N$141,'Fuel Model - Calculation'!$B$2:$M$2,0))</f>
        <v>461.4905592102117</v>
      </c>
      <c r="O250"/>
      <c r="P250" s="118">
        <f>IFERROR(INDEX('Fuel Model - Calculation'!G$2:G$3771,(MATCH(($E250&amp;"ResultsTotal RNE "&amp;$F250&amp;"USD/ton"),'Fuel Model - Calculation'!$B$2:$B$3771,0))),0)</f>
        <v>0</v>
      </c>
      <c r="Q250" s="118">
        <f>IFERROR(INDEX('Fuel Model - Calculation'!H$2:H$3771,(MATCH(($E250&amp;"ResultsTotal RNE "&amp;$F250&amp;"USD/ton"),'Fuel Model - Calculation'!$B$2:$B$3771,0))),0)</f>
        <v>0</v>
      </c>
      <c r="R250" s="118">
        <f>IFERROR(INDEX('Fuel Model - Calculation'!I$2:I$3771,(MATCH(($E250&amp;"ResultsTotal RNE "&amp;$F250&amp;"USD/ton"),'Fuel Model - Calculation'!$B$2:$B$3771,0))),0)</f>
        <v>0</v>
      </c>
      <c r="S250" s="118">
        <f>IFERROR(INDEX('Fuel Model - Calculation'!J$2:J$3771,(MATCH(($E250&amp;"ResultsTotal RNE "&amp;$F250&amp;"USD/ton"),'Fuel Model - Calculation'!$B$2:$B$3771,0))),0)</f>
        <v>0</v>
      </c>
      <c r="T250" s="118">
        <f>IFERROR(INDEX('Fuel Model - Calculation'!K$2:K$3771,(MATCH(($E250&amp;"ResultsTotal RNE "&amp;$F250&amp;"USD/ton"),'Fuel Model - Calculation'!$B$2:$B$3771,0))),0)</f>
        <v>0</v>
      </c>
      <c r="U250" s="118">
        <f>IFERROR(INDEX('Fuel Model - Calculation'!L$2:L$3771,(MATCH(($E250&amp;"ResultsTotal RNE "&amp;$F250&amp;"USD/ton"),'Fuel Model - Calculation'!$B$2:$B$3771,0))),0)</f>
        <v>0</v>
      </c>
      <c r="V250" s="118">
        <f>IFERROR(INDEX('Fuel Model - Calculation'!M$2:M$3771,(MATCH(($E250&amp;"ResultsTotal RNE "&amp;$F250&amp;"USD/ton"),'Fuel Model - Calculation'!$B$2:$B$3771,0))),0)</f>
        <v>0</v>
      </c>
      <c r="W250"/>
      <c r="X250" s="2">
        <f>INDEX('Fuel Model - Calculation'!$E$2:$M$3771,(MATCH(("WTT Emission - "&amp;$F250),'Fuel Model - Calculation'!$E$2:$E$3771,0)),MATCH(X$141,'Fuel Model - Calculation'!$E$2:$M$2,0))</f>
        <v>-1.1543863202019162</v>
      </c>
      <c r="Y250" s="2">
        <f>INDEX('Fuel Model - Calculation'!$E$2:$M$3771,(MATCH(("WTT Emission - "&amp;$F250),'Fuel Model - Calculation'!$E$2:$E$3771,0)),MATCH(Y$141,'Fuel Model - Calculation'!$E$2:$M$2,0))</f>
        <v>-1.1870545355839788</v>
      </c>
      <c r="Z250" s="2">
        <f>INDEX('Fuel Model - Calculation'!$E$2:$M$3771,(MATCH(("WTT Emission - "&amp;$F250),'Fuel Model - Calculation'!$E$2:$E$3771,0)),MATCH(Z$141,'Fuel Model - Calculation'!$E$2:$M$2,0))</f>
        <v>-1.2197315254758454</v>
      </c>
      <c r="AA250" s="2">
        <f>INDEX('Fuel Model - Calculation'!$E$2:$M$3771,(MATCH(("WTT Emission - "&amp;$F250),'Fuel Model - Calculation'!$E$2:$E$3771,0)),MATCH(AA$141,'Fuel Model - Calculation'!$E$2:$M$2,0))</f>
        <v>-1.2524085153677118</v>
      </c>
      <c r="AB250" s="2">
        <f>INDEX('Fuel Model - Calculation'!$E$2:$M$3771,(MATCH(("WTT Emission - "&amp;$F250),'Fuel Model - Calculation'!$E$2:$E$3771,0)),MATCH(AB$141,'Fuel Model - Calculation'!$E$2:$M$2,0))</f>
        <v>-1.2850855052595782</v>
      </c>
      <c r="AC250" s="2">
        <f>INDEX('Fuel Model - Calculation'!$E$2:$M$3771,(MATCH(("WTT Emission - "&amp;$F250),'Fuel Model - Calculation'!$E$2:$E$3771,0)),MATCH(AC$141,'Fuel Model - Calculation'!$E$2:$M$2,0))</f>
        <v>-1.3177624951514446</v>
      </c>
      <c r="AD250" s="2">
        <f>INDEX('Fuel Model - Calculation'!$E$2:$M$3771,(MATCH(("WTT Emission - "&amp;$F250),'Fuel Model - Calculation'!$E$2:$E$3771,0)),MATCH(AD$141,'Fuel Model - Calculation'!$E$2:$M$2,0))</f>
        <v>-1.3504394850433112</v>
      </c>
      <c r="AE250" s="2"/>
      <c r="AF250" s="2">
        <f>'Fuel Model -  Input'!H$51</f>
        <v>1.375</v>
      </c>
      <c r="AG250" s="2">
        <f>'Fuel Model -  Input'!I$51</f>
        <v>1.375</v>
      </c>
      <c r="AH250" s="2">
        <f>'Fuel Model -  Input'!J$51</f>
        <v>1.375</v>
      </c>
      <c r="AI250" s="2">
        <f>'Fuel Model -  Input'!K$51</f>
        <v>1.375</v>
      </c>
      <c r="AJ250" s="2">
        <f>'Fuel Model -  Input'!L$51</f>
        <v>1.375</v>
      </c>
      <c r="AK250" s="2">
        <f>'Fuel Model -  Input'!M$51</f>
        <v>1.375</v>
      </c>
      <c r="AL250" s="2">
        <f>'Fuel Model -  Input'!N$51</f>
        <v>1.375</v>
      </c>
      <c r="AM250"/>
      <c r="AN250" s="24">
        <f t="shared" ref="AN250:AT254" si="212">X250+AF250</f>
        <v>0.22061367979808377</v>
      </c>
      <c r="AO250" s="24">
        <f t="shared" si="212"/>
        <v>0.18794546441602122</v>
      </c>
      <c r="AP250" s="24">
        <f t="shared" si="212"/>
        <v>0.1552684745241546</v>
      </c>
      <c r="AQ250" s="24">
        <f t="shared" si="212"/>
        <v>0.12259148463228819</v>
      </c>
      <c r="AR250" s="24">
        <f t="shared" si="212"/>
        <v>8.9914494740421791E-2</v>
      </c>
      <c r="AS250" s="24">
        <f t="shared" si="212"/>
        <v>5.7237504848555387E-2</v>
      </c>
      <c r="AT250" s="24">
        <f t="shared" si="212"/>
        <v>2.4560514956688762E-2</v>
      </c>
      <c r="AU250"/>
      <c r="AV250" s="118">
        <f>IFERROR(INDEX('Fuel Model - Calculation'!$B$2:$M$3771,(MATCH(($E250&amp;"Results"&amp;$AV$140&amp;$F250&amp;"USD/ton"),'Fuel Model - Calculation'!$B$2:$B$3771,0)),MATCH(H$141,'Fuel Model - Calculation'!$B$2:$M$2,0)),0)</f>
        <v>477.00000000000011</v>
      </c>
      <c r="AW250" s="118">
        <f>IFERROR(INDEX('Fuel Model - Calculation'!$B$2:$M$3771,(MATCH(($E250&amp;"Results"&amp;$AV$140&amp;$F250&amp;"USD/ton"),'Fuel Model - Calculation'!$B$2:$B$3771,0)),MATCH(I$141,'Fuel Model - Calculation'!$B$2:$M$2,0)),0)</f>
        <v>300.33333333333343</v>
      </c>
      <c r="AX250" s="118">
        <f>IFERROR(INDEX('Fuel Model - Calculation'!$B$2:$M$3771,(MATCH(($E250&amp;"Results"&amp;$AV$140&amp;$F250&amp;"USD/ton"),'Fuel Model - Calculation'!$B$2:$B$3771,0)),MATCH(J$141,'Fuel Model - Calculation'!$B$2:$M$2,0)),0)</f>
        <v>234.08333333333337</v>
      </c>
      <c r="AY250" s="118">
        <f>IFERROR(INDEX('Fuel Model - Calculation'!$B$2:$M$3771,(MATCH(($E250&amp;"Results"&amp;$AV$140&amp;$F250&amp;"USD/ton"),'Fuel Model - Calculation'!$B$2:$B$3771,0)),MATCH(K$141,'Fuel Model - Calculation'!$B$2:$M$2,0)),0)</f>
        <v>205.37500000000006</v>
      </c>
      <c r="AZ250" s="118">
        <f>IFERROR(INDEX('Fuel Model - Calculation'!$B$2:$M$3771,(MATCH(($E250&amp;"Results"&amp;$AV$140&amp;$F250&amp;"USD/ton"),'Fuel Model - Calculation'!$B$2:$B$3771,0)),MATCH(L$141,'Fuel Model - Calculation'!$B$2:$M$2,0)),0)</f>
        <v>176.66666666666671</v>
      </c>
      <c r="BA250" s="118">
        <f>IFERROR(INDEX('Fuel Model - Calculation'!$B$2:$M$3771,(MATCH(($E250&amp;"Results"&amp;$AV$140&amp;$F250&amp;"USD/ton"),'Fuel Model - Calculation'!$B$2:$B$3771,0)),MATCH(M$141,'Fuel Model - Calculation'!$B$2:$M$2,0)),0)</f>
        <v>159.00000000000003</v>
      </c>
      <c r="BB250" s="118">
        <f>IFERROR(INDEX('Fuel Model - Calculation'!$B$2:$M$3771,(MATCH(($E250&amp;"Results"&amp;$AV$140&amp;$F250&amp;"USD/ton"),'Fuel Model - Calculation'!$B$2:$B$3771,0)),MATCH(N$141,'Fuel Model - Calculation'!$B$2:$M$2,0)),0)</f>
        <v>141.33333333333337</v>
      </c>
      <c r="BC250"/>
      <c r="BD250" s="118">
        <f>IFERROR(INDEX('Fuel Model - Calculation'!$B$2:$M$3771,(MATCH(($E250&amp;"Results"&amp;$BD$140&amp;$F250&amp;"USD/ton"),'Fuel Model - Calculation'!$B$2:$B$3771,0)),MATCH(P$141,'Fuel Model - Calculation'!$B$2:$M$2,0)),0)</f>
        <v>352.72750092275277</v>
      </c>
      <c r="BE250" s="118">
        <f>IFERROR(INDEX('Fuel Model - Calculation'!$B$2:$M$3771,(MATCH(($E250&amp;"Results"&amp;$BD$140&amp;$F250&amp;"USD/ton"),'Fuel Model - Calculation'!$B$2:$B$3771,0)),MATCH(Q$141,'Fuel Model - Calculation'!$B$2:$M$2,0)),0)</f>
        <v>227.24558912008018</v>
      </c>
      <c r="BF250" s="118">
        <f>IFERROR(INDEX('Fuel Model - Calculation'!$B$2:$M$3771,(MATCH(($E250&amp;"Results"&amp;$BD$140&amp;$F250&amp;"USD/ton"),'Fuel Model - Calculation'!$B$2:$B$3771,0)),MATCH(R$141,'Fuel Model - Calculation'!$B$2:$M$2,0)),0)</f>
        <v>177.75773977007344</v>
      </c>
      <c r="BG250" s="118">
        <f>IFERROR(INDEX('Fuel Model - Calculation'!$B$2:$M$3771,(MATCH(($E250&amp;"Results"&amp;$BD$140&amp;$F250&amp;"USD/ton"),'Fuel Model - Calculation'!$B$2:$B$3771,0)),MATCH(S$141,'Fuel Model - Calculation'!$B$2:$M$2,0)),0)</f>
        <v>156.37031652271014</v>
      </c>
      <c r="BH250" s="118">
        <f>IFERROR(INDEX('Fuel Model - Calculation'!$B$2:$M$3771,(MATCH(($E250&amp;"Results"&amp;$BD$140&amp;$F250&amp;"USD/ton"),'Fuel Model - Calculation'!$B$2:$B$3771,0)),MATCH(T$141,'Fuel Model - Calculation'!$B$2:$M$2,0)),0)</f>
        <v>135.72901149285076</v>
      </c>
      <c r="BI250" s="118">
        <f>IFERROR(INDEX('Fuel Model - Calculation'!$B$2:$M$3771,(MATCH(($E250&amp;"Results"&amp;$BD$140&amp;$F250&amp;"USD/ton"),'Fuel Model - Calculation'!$B$2:$B$3771,0)),MATCH(U$141,'Fuel Model - Calculation'!$B$2:$M$2,0)),0)</f>
        <v>122.51876458263541</v>
      </c>
      <c r="BJ250" s="118">
        <f>IFERROR(INDEX('Fuel Model - Calculation'!$B$2:$M$3771,(MATCH(($E250&amp;"Results"&amp;$BD$140&amp;$F250&amp;"USD/ton"),'Fuel Model - Calculation'!$B$2:$B$3771,0)),MATCH(V$141,'Fuel Model - Calculation'!$B$2:$M$2,0)),0)</f>
        <v>109.6287267480308</v>
      </c>
      <c r="BL250" s="118">
        <f>IFERROR(IFERROR(INDEX('Fuel Model - Calculation'!$B$2:$M$3771,(MATCH(($E250&amp;"Results"&amp;$BL$140&amp;$F250&amp;"USD/ton"),'Fuel Model - Calculation'!$B$2:$B$3771,0)),MATCH(H$141,'Fuel Model - Calculation'!$B$2:$M$2,0)),0),0)</f>
        <v>0</v>
      </c>
      <c r="BM250" s="118">
        <f>IFERROR(IFERROR(INDEX('Fuel Model - Calculation'!$B$2:$M$3771,(MATCH(($E250&amp;"Results"&amp;$BL$140&amp;$F250&amp;"USD/ton"),'Fuel Model - Calculation'!$B$2:$B$3771,0)),MATCH(I$141,'Fuel Model - Calculation'!$B$2:$M$2,0)),0),0)</f>
        <v>0</v>
      </c>
      <c r="BN250" s="118">
        <f>IFERROR(IFERROR(INDEX('Fuel Model - Calculation'!$B$2:$M$3771,(MATCH(($E250&amp;"Results"&amp;$BL$140&amp;$F250&amp;"USD/ton"),'Fuel Model - Calculation'!$B$2:$B$3771,0)),MATCH(J$141,'Fuel Model - Calculation'!$B$2:$M$2,0)),0),0)</f>
        <v>0</v>
      </c>
      <c r="BO250" s="118">
        <f>IFERROR(IFERROR(INDEX('Fuel Model - Calculation'!$B$2:$M$3771,(MATCH(($E250&amp;"Results"&amp;$BL$140&amp;$F250&amp;"USD/ton"),'Fuel Model - Calculation'!$B$2:$B$3771,0)),MATCH(K$141,'Fuel Model - Calculation'!$B$2:$M$2,0)),0),0)</f>
        <v>0</v>
      </c>
      <c r="BP250" s="118">
        <f>IFERROR(IFERROR(INDEX('Fuel Model - Calculation'!$B$2:$M$3771,(MATCH(($E250&amp;"Results"&amp;$BL$140&amp;$F250&amp;"USD/ton"),'Fuel Model - Calculation'!$B$2:$B$3771,0)),MATCH(L$141,'Fuel Model - Calculation'!$B$2:$M$2,0)),0),0)</f>
        <v>0</v>
      </c>
      <c r="BQ250" s="118">
        <f>IFERROR(IFERROR(INDEX('Fuel Model - Calculation'!$B$2:$M$3771,(MATCH(($E250&amp;"Results"&amp;$BL$140&amp;$F250&amp;"USD/ton"),'Fuel Model - Calculation'!$B$2:$B$3771,0)),MATCH(M$141,'Fuel Model - Calculation'!$B$2:$M$2,0)),0),0)</f>
        <v>0</v>
      </c>
      <c r="BR250" s="118">
        <f>IFERROR(IFERROR(INDEX('Fuel Model - Calculation'!$B$2:$M$3771,(MATCH(($E250&amp;"Results"&amp;$BL$140&amp;$F250&amp;"USD/ton"),'Fuel Model - Calculation'!$B$2:$B$3771,0)),MATCH(N$141,'Fuel Model - Calculation'!$B$2:$M$2,0)),0),0)</f>
        <v>0</v>
      </c>
      <c r="BT250" s="118">
        <f>IFERROR(INDEX('Fuel Model - Calculation'!$B$2:$M$3771,(MATCH(($E250&amp;"Results"&amp;$BT$140&amp;$F250&amp;"USD/ton"),'Fuel Model - Calculation'!$B$2:$B$3771,0)),MATCH(H$141,'Fuel Model - Calculation'!$B$2:$M$2,0)),0)</f>
        <v>175.44041594070632</v>
      </c>
      <c r="BU250" s="118">
        <f>IFERROR(INDEX('Fuel Model - Calculation'!$B$2:$M$3771,(MATCH(($E250&amp;"Results"&amp;$BT$140&amp;$F250&amp;"USD/ton"),'Fuel Model - Calculation'!$B$2:$B$3771,0)),MATCH(I$141,'Fuel Model - Calculation'!$B$2:$M$2,0)),0)</f>
        <v>181.49008545590308</v>
      </c>
      <c r="BV250" s="118">
        <f>IFERROR(INDEX('Fuel Model - Calculation'!$B$2:$M$3771,(MATCH(($E250&amp;"Results"&amp;$BT$140&amp;$F250&amp;"USD/ton"),'Fuel Model - Calculation'!$B$2:$B$3771,0)),MATCH(J$141,'Fuel Model - Calculation'!$B$2:$M$2,0)),0)</f>
        <v>187.53975497109985</v>
      </c>
      <c r="BW250" s="118">
        <f>IFERROR(INDEX('Fuel Model - Calculation'!$B$2:$M$3771,(MATCH(($E250&amp;"Results"&amp;$BT$140&amp;$F250&amp;"USD/ton"),'Fuel Model - Calculation'!$B$2:$B$3771,0)),MATCH(K$141,'Fuel Model - Calculation'!$B$2:$M$2,0)),0)</f>
        <v>193.58942448629662</v>
      </c>
      <c r="BX250" s="118">
        <f>IFERROR(INDEX('Fuel Model - Calculation'!$B$2:$M$3771,(MATCH(($E250&amp;"Results"&amp;$BT$140&amp;$F250&amp;"USD/ton"),'Fuel Model - Calculation'!$B$2:$B$3771,0)),MATCH(L$141,'Fuel Model - Calculation'!$B$2:$M$2,0)),0)</f>
        <v>198.42916009845402</v>
      </c>
      <c r="BY250" s="118">
        <f>IFERROR(INDEX('Fuel Model - Calculation'!$B$2:$M$3771,(MATCH(($E250&amp;"Results"&amp;$BT$140&amp;$F250&amp;"USD/ton"),'Fuel Model - Calculation'!$B$2:$B$3771,0)),MATCH(M$141,'Fuel Model - Calculation'!$B$2:$M$2,0)),0)</f>
        <v>204.47882961365079</v>
      </c>
      <c r="BZ250" s="118">
        <f>IFERROR(INDEX('Fuel Model - Calculation'!$B$2:$M$3771,(MATCH(($E250&amp;"Results"&amp;$BT$140&amp;$F250&amp;"USD/ton"),'Fuel Model - Calculation'!$B$2:$B$3771,0)),MATCH(N$141,'Fuel Model - Calculation'!$B$2:$M$2,0)),0)</f>
        <v>210.52849912884756</v>
      </c>
    </row>
    <row r="251" spans="1:78" x14ac:dyDescent="0.2">
      <c r="A251" s="452"/>
      <c r="B251" s="453" t="str">
        <f>_xlfn.TEXTJOIN(keydelim,TRUE,F251,IF(E251="Africa","Africa&amp;other",E251),"Fuel cost",SUBSTITUTE($G251," ",""))</f>
        <v>Biomethanol - Middle East - Fuel cost - USD/ton</v>
      </c>
      <c r="D251" s="459" t="str">
        <f t="shared" ref="D251:D254" si="213">E251&amp;F251</f>
        <v>Middle EastBiomethanol</v>
      </c>
      <c r="E251" t="s">
        <v>197</v>
      </c>
      <c r="F251" s="460" t="str">
        <f t="shared" ref="F251:F254" si="214">F250</f>
        <v>Biomethanol</v>
      </c>
      <c r="G251" t="s">
        <v>835</v>
      </c>
      <c r="H251" s="118">
        <f>INDEX('Fuel Model - Calculation'!$B$2:$M$3771,(MATCH(($E251&amp;"ResultsCost of "&amp;$F251&amp;"USD/ton"),'Fuel Model - Calculation'!$B$2:$B$3771,0)),MATCH(H$141,'Fuel Model - Calculation'!$B$2:$M$2,0))</f>
        <v>1017.8573603178172</v>
      </c>
      <c r="I251" s="118">
        <f>INDEX('Fuel Model - Calculation'!$B$2:$M$3771,(MATCH(($E251&amp;"ResultsCost of "&amp;$F251&amp;"USD/ton"),'Fuel Model - Calculation'!$B$2:$B$3771,0)),MATCH(I$141,'Fuel Model - Calculation'!$B$2:$M$2,0))</f>
        <v>721.73256900898184</v>
      </c>
      <c r="J251" s="118">
        <f>INDEX('Fuel Model - Calculation'!$B$2:$M$3771,(MATCH(($E251&amp;"ResultsCost of "&amp;$F251&amp;"USD/ton"),'Fuel Model - Calculation'!$B$2:$B$3771,0)),MATCH(J$141,'Fuel Model - Calculation'!$B$2:$M$2,0))</f>
        <v>612.43041184438846</v>
      </c>
      <c r="K251" s="118">
        <f>INDEX('Fuel Model - Calculation'!$B$2:$M$3771,(MATCH(($E251&amp;"ResultsCost of "&amp;$F251&amp;"USD/ton"),'Fuel Model - Calculation'!$B$2:$B$3771,0)),MATCH(K$141,'Fuel Model - Calculation'!$B$2:$M$2,0))</f>
        <v>567.02150040119852</v>
      </c>
      <c r="L251" s="118">
        <f>INDEX('Fuel Model - Calculation'!$B$2:$M$3771,(MATCH(($E251&amp;"ResultsCost of "&amp;$F251&amp;"USD/ton"),'Fuel Model - Calculation'!$B$2:$B$3771,0)),MATCH(L$141,'Fuel Model - Calculation'!$B$2:$M$2,0))</f>
        <v>523.82610625534608</v>
      </c>
      <c r="M251" s="118">
        <f>INDEX('Fuel Model - Calculation'!$B$2:$M$3771,(MATCH(($E251&amp;"ResultsCost of "&amp;$F251&amp;"USD/ton"),'Fuel Model - Calculation'!$B$2:$B$3771,0)),MATCH(M$141,'Fuel Model - Calculation'!$B$2:$M$2,0))</f>
        <v>497.65931431372428</v>
      </c>
      <c r="N251" s="118">
        <f>INDEX('Fuel Model - Calculation'!$B$2:$M$3771,(MATCH(($E251&amp;"ResultsCost of "&amp;$F251&amp;"USD/ton"),'Fuel Model - Calculation'!$B$2:$B$3771,0)),MATCH(N$141,'Fuel Model - Calculation'!$B$2:$M$2,0))</f>
        <v>472.19163883922494</v>
      </c>
      <c r="O251"/>
      <c r="P251" s="118">
        <f>IFERROR(INDEX('Fuel Model - Calculation'!G$2:G$3771,(MATCH(($E251&amp;"ResultsTotal RNE "&amp;$F251&amp;"USD/ton"),'Fuel Model - Calculation'!$B$2:$B$3771,0))),0)</f>
        <v>0</v>
      </c>
      <c r="Q251" s="118">
        <f>IFERROR(INDEX('Fuel Model - Calculation'!H$2:H$3771,(MATCH(($E251&amp;"ResultsTotal RNE "&amp;$F251&amp;"USD/ton"),'Fuel Model - Calculation'!$B$2:$B$3771,0))),0)</f>
        <v>0</v>
      </c>
      <c r="R251" s="118">
        <f>IFERROR(INDEX('Fuel Model - Calculation'!I$2:I$3771,(MATCH(($E251&amp;"ResultsTotal RNE "&amp;$F251&amp;"USD/ton"),'Fuel Model - Calculation'!$B$2:$B$3771,0))),0)</f>
        <v>0</v>
      </c>
      <c r="S251" s="118">
        <f>IFERROR(INDEX('Fuel Model - Calculation'!J$2:J$3771,(MATCH(($E251&amp;"ResultsTotal RNE "&amp;$F251&amp;"USD/ton"),'Fuel Model - Calculation'!$B$2:$B$3771,0))),0)</f>
        <v>0</v>
      </c>
      <c r="T251" s="118">
        <f>IFERROR(INDEX('Fuel Model - Calculation'!K$2:K$3771,(MATCH(($E251&amp;"ResultsTotal RNE "&amp;$F251&amp;"USD/ton"),'Fuel Model - Calculation'!$B$2:$B$3771,0))),0)</f>
        <v>0</v>
      </c>
      <c r="U251" s="118">
        <f>IFERROR(INDEX('Fuel Model - Calculation'!L$2:L$3771,(MATCH(($E251&amp;"ResultsTotal RNE "&amp;$F251&amp;"USD/ton"),'Fuel Model - Calculation'!$B$2:$B$3771,0))),0)</f>
        <v>0</v>
      </c>
      <c r="V251" s="118">
        <f>IFERROR(INDEX('Fuel Model - Calculation'!M$2:M$3771,(MATCH(($E251&amp;"ResultsTotal RNE "&amp;$F251&amp;"USD/ton"),'Fuel Model - Calculation'!$B$2:$B$3771,0))),0)</f>
        <v>0</v>
      </c>
      <c r="W251"/>
      <c r="X251" s="2">
        <f>INDEX('Fuel Model - Calculation'!$E$2:$M$3771,(MATCH(("WTT Emission - "&amp;$F251),'Fuel Model - Calculation'!$E$2:$E$3771,0)),MATCH(X$141,'Fuel Model - Calculation'!$E$2:$M$2,0))</f>
        <v>-1.1543863202019162</v>
      </c>
      <c r="Y251" s="2">
        <f>INDEX('Fuel Model - Calculation'!$E$2:$M$3771,(MATCH(("WTT Emission - "&amp;$F251),'Fuel Model - Calculation'!$E$2:$E$3771,0)),MATCH(Y$141,'Fuel Model - Calculation'!$E$2:$M$2,0))</f>
        <v>-1.1870545355839788</v>
      </c>
      <c r="Z251" s="2">
        <f>INDEX('Fuel Model - Calculation'!$E$2:$M$3771,(MATCH(("WTT Emission - "&amp;$F251),'Fuel Model - Calculation'!$E$2:$E$3771,0)),MATCH(Z$141,'Fuel Model - Calculation'!$E$2:$M$2,0))</f>
        <v>-1.2197315254758454</v>
      </c>
      <c r="AA251" s="2">
        <f>INDEX('Fuel Model - Calculation'!$E$2:$M$3771,(MATCH(("WTT Emission - "&amp;$F251),'Fuel Model - Calculation'!$E$2:$E$3771,0)),MATCH(AA$141,'Fuel Model - Calculation'!$E$2:$M$2,0))</f>
        <v>-1.2524085153677118</v>
      </c>
      <c r="AB251" s="2">
        <f>INDEX('Fuel Model - Calculation'!$E$2:$M$3771,(MATCH(("WTT Emission - "&amp;$F251),'Fuel Model - Calculation'!$E$2:$E$3771,0)),MATCH(AB$141,'Fuel Model - Calculation'!$E$2:$M$2,0))</f>
        <v>-1.2850855052595782</v>
      </c>
      <c r="AC251" s="2">
        <f>INDEX('Fuel Model - Calculation'!$E$2:$M$3771,(MATCH(("WTT Emission - "&amp;$F251),'Fuel Model - Calculation'!$E$2:$E$3771,0)),MATCH(AC$141,'Fuel Model - Calculation'!$E$2:$M$2,0))</f>
        <v>-1.3177624951514446</v>
      </c>
      <c r="AD251" s="2">
        <f>INDEX('Fuel Model - Calculation'!$E$2:$M$3771,(MATCH(("WTT Emission - "&amp;$F251),'Fuel Model - Calculation'!$E$2:$E$3771,0)),MATCH(AD$141,'Fuel Model - Calculation'!$E$2:$M$2,0))</f>
        <v>-1.3504394850433112</v>
      </c>
      <c r="AE251" s="2"/>
      <c r="AF251" s="2">
        <f>'Fuel Model -  Input'!H$51</f>
        <v>1.375</v>
      </c>
      <c r="AG251" s="2">
        <f>'Fuel Model -  Input'!I$51</f>
        <v>1.375</v>
      </c>
      <c r="AH251" s="2">
        <f>'Fuel Model -  Input'!J$51</f>
        <v>1.375</v>
      </c>
      <c r="AI251" s="2">
        <f>'Fuel Model -  Input'!K$51</f>
        <v>1.375</v>
      </c>
      <c r="AJ251" s="2">
        <f>'Fuel Model -  Input'!L$51</f>
        <v>1.375</v>
      </c>
      <c r="AK251" s="2">
        <f>'Fuel Model -  Input'!M$51</f>
        <v>1.375</v>
      </c>
      <c r="AL251" s="2">
        <f>'Fuel Model -  Input'!N$51</f>
        <v>1.375</v>
      </c>
      <c r="AM251"/>
      <c r="AN251" s="24">
        <f t="shared" si="212"/>
        <v>0.22061367979808377</v>
      </c>
      <c r="AO251" s="24">
        <f t="shared" si="212"/>
        <v>0.18794546441602122</v>
      </c>
      <c r="AP251" s="24">
        <f t="shared" si="212"/>
        <v>0.1552684745241546</v>
      </c>
      <c r="AQ251" s="24">
        <f t="shared" si="212"/>
        <v>0.12259148463228819</v>
      </c>
      <c r="AR251" s="24">
        <f t="shared" si="212"/>
        <v>8.9914494740421791E-2</v>
      </c>
      <c r="AS251" s="24">
        <f t="shared" si="212"/>
        <v>5.7237504848555387E-2</v>
      </c>
      <c r="AT251" s="24">
        <f t="shared" si="212"/>
        <v>2.4560514956688762E-2</v>
      </c>
      <c r="AU251"/>
      <c r="AV251" s="118">
        <f>IFERROR(INDEX('Fuel Model - Calculation'!$B$2:$M$3771,(MATCH(($E251&amp;"Results"&amp;$AV$140&amp;$F251&amp;"USD/ton"),'Fuel Model - Calculation'!$B$2:$B$3771,0)),MATCH(H$141,'Fuel Model - Calculation'!$B$2:$M$2,0)),0)</f>
        <v>477.00000000000011</v>
      </c>
      <c r="AW251" s="118">
        <f>IFERROR(INDEX('Fuel Model - Calculation'!$B$2:$M$3771,(MATCH(($E251&amp;"Results"&amp;$AV$140&amp;$F251&amp;"USD/ton"),'Fuel Model - Calculation'!$B$2:$B$3771,0)),MATCH(I$141,'Fuel Model - Calculation'!$B$2:$M$2,0)),0)</f>
        <v>300.33333333333343</v>
      </c>
      <c r="AX251" s="118">
        <f>IFERROR(INDEX('Fuel Model - Calculation'!$B$2:$M$3771,(MATCH(($E251&amp;"Results"&amp;$AV$140&amp;$F251&amp;"USD/ton"),'Fuel Model - Calculation'!$B$2:$B$3771,0)),MATCH(J$141,'Fuel Model - Calculation'!$B$2:$M$2,0)),0)</f>
        <v>234.08333333333337</v>
      </c>
      <c r="AY251" s="118">
        <f>IFERROR(INDEX('Fuel Model - Calculation'!$B$2:$M$3771,(MATCH(($E251&amp;"Results"&amp;$AV$140&amp;$F251&amp;"USD/ton"),'Fuel Model - Calculation'!$B$2:$B$3771,0)),MATCH(K$141,'Fuel Model - Calculation'!$B$2:$M$2,0)),0)</f>
        <v>205.37500000000006</v>
      </c>
      <c r="AZ251" s="118">
        <f>IFERROR(INDEX('Fuel Model - Calculation'!$B$2:$M$3771,(MATCH(($E251&amp;"Results"&amp;$AV$140&amp;$F251&amp;"USD/ton"),'Fuel Model - Calculation'!$B$2:$B$3771,0)),MATCH(L$141,'Fuel Model - Calculation'!$B$2:$M$2,0)),0)</f>
        <v>176.66666666666671</v>
      </c>
      <c r="BA251" s="118">
        <f>IFERROR(INDEX('Fuel Model - Calculation'!$B$2:$M$3771,(MATCH(($E251&amp;"Results"&amp;$AV$140&amp;$F251&amp;"USD/ton"),'Fuel Model - Calculation'!$B$2:$B$3771,0)),MATCH(M$141,'Fuel Model - Calculation'!$B$2:$M$2,0)),0)</f>
        <v>159.00000000000003</v>
      </c>
      <c r="BB251" s="118">
        <f>IFERROR(INDEX('Fuel Model - Calculation'!$B$2:$M$3771,(MATCH(($E251&amp;"Results"&amp;$AV$140&amp;$F251&amp;"USD/ton"),'Fuel Model - Calculation'!$B$2:$B$3771,0)),MATCH(N$141,'Fuel Model - Calculation'!$B$2:$M$2,0)),0)</f>
        <v>141.33333333333337</v>
      </c>
      <c r="BC251"/>
      <c r="BD251" s="118">
        <f>IFERROR(INDEX('Fuel Model - Calculation'!$B$2:$M$3771,(MATCH(($E251&amp;"Results"&amp;$BD$140&amp;$F251&amp;"USD/ton"),'Fuel Model - Calculation'!$B$2:$B$3771,0)),MATCH(P$141,'Fuel Model - Calculation'!$B$2:$M$2,0)),0)</f>
        <v>346.05800192848113</v>
      </c>
      <c r="BE251" s="118">
        <f>IFERROR(INDEX('Fuel Model - Calculation'!$B$2:$M$3771,(MATCH(($E251&amp;"Results"&amp;$BD$140&amp;$F251&amp;"USD/ton"),'Fuel Model - Calculation'!$B$2:$B$3771,0)),MATCH(Q$141,'Fuel Model - Calculation'!$B$2:$M$2,0)),0)</f>
        <v>221.76014167415508</v>
      </c>
      <c r="BF251" s="118">
        <f>IFERROR(INDEX('Fuel Model - Calculation'!$B$2:$M$3771,(MATCH(($E251&amp;"Results"&amp;$BD$140&amp;$F251&amp;"USD/ton"),'Fuel Model - Calculation'!$B$2:$B$3771,0)),MATCH(R$141,'Fuel Model - Calculation'!$B$2:$M$2,0)),0)</f>
        <v>173.86824889740427</v>
      </c>
      <c r="BG251" s="118">
        <f>IFERROR(INDEX('Fuel Model - Calculation'!$B$2:$M$3771,(MATCH(($E251&amp;"Results"&amp;$BD$140&amp;$F251&amp;"USD/ton"),'Fuel Model - Calculation'!$B$2:$B$3771,0)),MATCH(S$141,'Fuel Model - Calculation'!$B$2:$M$2,0)),0)</f>
        <v>152.32793517539022</v>
      </c>
      <c r="BH251" s="118">
        <f>IFERROR(INDEX('Fuel Model - Calculation'!$B$2:$M$3771,(MATCH(($E251&amp;"Results"&amp;$BD$140&amp;$F251&amp;"USD/ton"),'Fuel Model - Calculation'!$B$2:$B$3771,0)),MATCH(T$141,'Fuel Model - Calculation'!$B$2:$M$2,0)),0)</f>
        <v>131.79120484767441</v>
      </c>
      <c r="BI251" s="118">
        <f>IFERROR(INDEX('Fuel Model - Calculation'!$B$2:$M$3771,(MATCH(($E251&amp;"Results"&amp;$BD$140&amp;$F251&amp;"USD/ton"),'Fuel Model - Calculation'!$B$2:$B$3771,0)),MATCH(U$141,'Fuel Model - Calculation'!$B$2:$M$2,0)),0)</f>
        <v>118.45134396056187</v>
      </c>
      <c r="BJ251" s="118">
        <f>IFERROR(INDEX('Fuel Model - Calculation'!$B$2:$M$3771,(MATCH(($E251&amp;"Results"&amp;$BD$140&amp;$F251&amp;"USD/ton"),'Fuel Model - Calculation'!$B$2:$B$3771,0)),MATCH(V$141,'Fuel Model - Calculation'!$B$2:$M$2,0)),0)</f>
        <v>105.81059954057176</v>
      </c>
      <c r="BL251" s="118">
        <f>IFERROR(IFERROR(INDEX('Fuel Model - Calculation'!$B$2:$M$3771,(MATCH(($E251&amp;"Results"&amp;$BL$140&amp;$F251&amp;"USD/ton"),'Fuel Model - Calculation'!$B$2:$B$3771,0)),MATCH(H$141,'Fuel Model - Calculation'!$B$2:$M$2,0)),0),0)</f>
        <v>0</v>
      </c>
      <c r="BM251" s="118">
        <f>IFERROR(IFERROR(INDEX('Fuel Model - Calculation'!$B$2:$M$3771,(MATCH(($E251&amp;"Results"&amp;$BL$140&amp;$F251&amp;"USD/ton"),'Fuel Model - Calculation'!$B$2:$B$3771,0)),MATCH(I$141,'Fuel Model - Calculation'!$B$2:$M$2,0)),0),0)</f>
        <v>0</v>
      </c>
      <c r="BN251" s="118">
        <f>IFERROR(IFERROR(INDEX('Fuel Model - Calculation'!$B$2:$M$3771,(MATCH(($E251&amp;"Results"&amp;$BL$140&amp;$F251&amp;"USD/ton"),'Fuel Model - Calculation'!$B$2:$B$3771,0)),MATCH(J$141,'Fuel Model - Calculation'!$B$2:$M$2,0)),0),0)</f>
        <v>0</v>
      </c>
      <c r="BO251" s="118">
        <f>IFERROR(IFERROR(INDEX('Fuel Model - Calculation'!$B$2:$M$3771,(MATCH(($E251&amp;"Results"&amp;$BL$140&amp;$F251&amp;"USD/ton"),'Fuel Model - Calculation'!$B$2:$B$3771,0)),MATCH(K$141,'Fuel Model - Calculation'!$B$2:$M$2,0)),0),0)</f>
        <v>0</v>
      </c>
      <c r="BP251" s="118">
        <f>IFERROR(IFERROR(INDEX('Fuel Model - Calculation'!$B$2:$M$3771,(MATCH(($E251&amp;"Results"&amp;$BL$140&amp;$F251&amp;"USD/ton"),'Fuel Model - Calculation'!$B$2:$B$3771,0)),MATCH(L$141,'Fuel Model - Calculation'!$B$2:$M$2,0)),0),0)</f>
        <v>0</v>
      </c>
      <c r="BQ251" s="118">
        <f>IFERROR(IFERROR(INDEX('Fuel Model - Calculation'!$B$2:$M$3771,(MATCH(($E251&amp;"Results"&amp;$BL$140&amp;$F251&amp;"USD/ton"),'Fuel Model - Calculation'!$B$2:$B$3771,0)),MATCH(M$141,'Fuel Model - Calculation'!$B$2:$M$2,0)),0),0)</f>
        <v>0</v>
      </c>
      <c r="BR251" s="118">
        <f>IFERROR(IFERROR(INDEX('Fuel Model - Calculation'!$B$2:$M$3771,(MATCH(($E251&amp;"Results"&amp;$BL$140&amp;$F251&amp;"USD/ton"),'Fuel Model - Calculation'!$B$2:$B$3771,0)),MATCH(N$141,'Fuel Model - Calculation'!$B$2:$M$2,0)),0),0)</f>
        <v>0</v>
      </c>
      <c r="BT251" s="118">
        <f>IFERROR(INDEX('Fuel Model - Calculation'!$B$2:$M$3771,(MATCH(($E251&amp;"Results"&amp;$BT$140&amp;$F251&amp;"USD/ton"),'Fuel Model - Calculation'!$B$2:$B$3771,0)),MATCH(H$141,'Fuel Model - Calculation'!$B$2:$M$2,0)),0)</f>
        <v>194.79935838933596</v>
      </c>
      <c r="BU251" s="118">
        <f>IFERROR(INDEX('Fuel Model - Calculation'!$B$2:$M$3771,(MATCH(($E251&amp;"Results"&amp;$BT$140&amp;$F251&amp;"USD/ton"),'Fuel Model - Calculation'!$B$2:$B$3771,0)),MATCH(I$141,'Fuel Model - Calculation'!$B$2:$M$2,0)),0)</f>
        <v>199.63909400149339</v>
      </c>
      <c r="BV251" s="118">
        <f>IFERROR(INDEX('Fuel Model - Calculation'!$B$2:$M$3771,(MATCH(($E251&amp;"Results"&amp;$BT$140&amp;$F251&amp;"USD/ton"),'Fuel Model - Calculation'!$B$2:$B$3771,0)),MATCH(J$141,'Fuel Model - Calculation'!$B$2:$M$2,0)),0)</f>
        <v>204.47882961365079</v>
      </c>
      <c r="BW251" s="118">
        <f>IFERROR(INDEX('Fuel Model - Calculation'!$B$2:$M$3771,(MATCH(($E251&amp;"Results"&amp;$BT$140&amp;$F251&amp;"USD/ton"),'Fuel Model - Calculation'!$B$2:$B$3771,0)),MATCH(K$141,'Fuel Model - Calculation'!$B$2:$M$2,0)),0)</f>
        <v>209.31856522580821</v>
      </c>
      <c r="BX251" s="118">
        <f>IFERROR(INDEX('Fuel Model - Calculation'!$B$2:$M$3771,(MATCH(($E251&amp;"Results"&amp;$BT$140&amp;$F251&amp;"USD/ton"),'Fuel Model - Calculation'!$B$2:$B$3771,0)),MATCH(L$141,'Fuel Model - Calculation'!$B$2:$M$2,0)),0)</f>
        <v>215.36823474100498</v>
      </c>
      <c r="BY251" s="118">
        <f>IFERROR(INDEX('Fuel Model - Calculation'!$B$2:$M$3771,(MATCH(($E251&amp;"Results"&amp;$BT$140&amp;$F251&amp;"USD/ton"),'Fuel Model - Calculation'!$B$2:$B$3771,0)),MATCH(M$141,'Fuel Model - Calculation'!$B$2:$M$2,0)),0)</f>
        <v>220.20797035316241</v>
      </c>
      <c r="BZ251" s="118">
        <f>IFERROR(INDEX('Fuel Model - Calculation'!$B$2:$M$3771,(MATCH(($E251&amp;"Results"&amp;$BT$140&amp;$F251&amp;"USD/ton"),'Fuel Model - Calculation'!$B$2:$B$3771,0)),MATCH(N$141,'Fuel Model - Calculation'!$B$2:$M$2,0)),0)</f>
        <v>225.04770596531981</v>
      </c>
    </row>
    <row r="252" spans="1:78" x14ac:dyDescent="0.2">
      <c r="A252" s="452"/>
      <c r="B252" s="453" t="str">
        <f>_xlfn.TEXTJOIN(keydelim,TRUE,F252,IF(E252="Africa","Africa&amp;other",E252),"Fuel cost",SUBSTITUTE($G252," ",""))</f>
        <v>Biomethanol - Asia - Fuel cost - USD/ton</v>
      </c>
      <c r="D252" s="459" t="str">
        <f t="shared" si="213"/>
        <v>AsiaBiomethanol</v>
      </c>
      <c r="E252" t="s">
        <v>198</v>
      </c>
      <c r="F252" s="460" t="str">
        <f t="shared" si="214"/>
        <v>Biomethanol</v>
      </c>
      <c r="G252" t="s">
        <v>835</v>
      </c>
      <c r="H252" s="118">
        <f>INDEX('Fuel Model - Calculation'!$B$2:$M$3771,(MATCH(($E252&amp;"ResultsCost of "&amp;$F252&amp;"USD/ton"),'Fuel Model - Calculation'!$B$2:$B$3771,0)),MATCH(H$141,'Fuel Model - Calculation'!$B$2:$M$2,0))</f>
        <v>986.9512757095813</v>
      </c>
      <c r="I252" s="118">
        <f>INDEX('Fuel Model - Calculation'!$B$2:$M$3771,(MATCH(($E252&amp;"ResultsCost of "&amp;$F252&amp;"USD/ton"),'Fuel Model - Calculation'!$B$2:$B$3771,0)),MATCH(I$141,'Fuel Model - Calculation'!$B$2:$M$2,0))</f>
        <v>681.32058553457</v>
      </c>
      <c r="J252" s="118">
        <f>INDEX('Fuel Model - Calculation'!$B$2:$M$3771,(MATCH(($E252&amp;"ResultsCost of "&amp;$F252&amp;"USD/ton"),'Fuel Model - Calculation'!$B$2:$B$3771,0)),MATCH(J$141,'Fuel Model - Calculation'!$B$2:$M$2,0))</f>
        <v>569.45429312526596</v>
      </c>
      <c r="K252" s="118">
        <f>INDEX('Fuel Model - Calculation'!$B$2:$M$3771,(MATCH(($E252&amp;"ResultsCost of "&amp;$F252&amp;"USD/ton"),'Fuel Model - Calculation'!$B$2:$B$3771,0)),MATCH(K$141,'Fuel Model - Calculation'!$B$2:$M$2,0))</f>
        <v>523.58730063532232</v>
      </c>
      <c r="L252" s="118">
        <f>INDEX('Fuel Model - Calculation'!$B$2:$M$3771,(MATCH(($E252&amp;"ResultsCost of "&amp;$F252&amp;"USD/ton"),'Fuel Model - Calculation'!$B$2:$B$3771,0)),MATCH(L$141,'Fuel Model - Calculation'!$B$2:$M$2,0))</f>
        <v>479.52560393690737</v>
      </c>
      <c r="M252" s="118">
        <f>INDEX('Fuel Model - Calculation'!$B$2:$M$3771,(MATCH(($E252&amp;"ResultsCost of "&amp;$F252&amp;"USD/ton"),'Fuel Model - Calculation'!$B$2:$B$3771,0)),MATCH(M$141,'Fuel Model - Calculation'!$B$2:$M$2,0))</f>
        <v>452.72131759680371</v>
      </c>
      <c r="N252" s="118">
        <f>INDEX('Fuel Model - Calculation'!$B$2:$M$3771,(MATCH(($E252&amp;"ResultsCost of "&amp;$F252&amp;"USD/ton"),'Fuel Model - Calculation'!$B$2:$B$3771,0)),MATCH(N$141,'Fuel Model - Calculation'!$B$2:$M$2,0))</f>
        <v>428.17733760343026</v>
      </c>
      <c r="O252"/>
      <c r="P252" s="118">
        <f>IFERROR(INDEX('Fuel Model - Calculation'!G$2:G$3771,(MATCH(($E252&amp;"ResultsTotal RNE "&amp;$F252&amp;"USD/ton"),'Fuel Model - Calculation'!$B$2:$B$3771,0))),0)</f>
        <v>0</v>
      </c>
      <c r="Q252" s="118">
        <f>IFERROR(INDEX('Fuel Model - Calculation'!H$2:H$3771,(MATCH(($E252&amp;"ResultsTotal RNE "&amp;$F252&amp;"USD/ton"),'Fuel Model - Calculation'!$B$2:$B$3771,0))),0)</f>
        <v>0</v>
      </c>
      <c r="R252" s="118">
        <f>IFERROR(INDEX('Fuel Model - Calculation'!I$2:I$3771,(MATCH(($E252&amp;"ResultsTotal RNE "&amp;$F252&amp;"USD/ton"),'Fuel Model - Calculation'!$B$2:$B$3771,0))),0)</f>
        <v>0</v>
      </c>
      <c r="S252" s="118">
        <f>IFERROR(INDEX('Fuel Model - Calculation'!J$2:J$3771,(MATCH(($E252&amp;"ResultsTotal RNE "&amp;$F252&amp;"USD/ton"),'Fuel Model - Calculation'!$B$2:$B$3771,0))),0)</f>
        <v>0</v>
      </c>
      <c r="T252" s="118">
        <f>IFERROR(INDEX('Fuel Model - Calculation'!K$2:K$3771,(MATCH(($E252&amp;"ResultsTotal RNE "&amp;$F252&amp;"USD/ton"),'Fuel Model - Calculation'!$B$2:$B$3771,0))),0)</f>
        <v>0</v>
      </c>
      <c r="U252" s="118">
        <f>IFERROR(INDEX('Fuel Model - Calculation'!L$2:L$3771,(MATCH(($E252&amp;"ResultsTotal RNE "&amp;$F252&amp;"USD/ton"),'Fuel Model - Calculation'!$B$2:$B$3771,0))),0)</f>
        <v>0</v>
      </c>
      <c r="V252" s="118">
        <f>IFERROR(INDEX('Fuel Model - Calculation'!M$2:M$3771,(MATCH(($E252&amp;"ResultsTotal RNE "&amp;$F252&amp;"USD/ton"),'Fuel Model - Calculation'!$B$2:$B$3771,0))),0)</f>
        <v>0</v>
      </c>
      <c r="W252"/>
      <c r="X252" s="2">
        <f>INDEX('Fuel Model - Calculation'!$E$2:$M$3771,(MATCH(("WTT Emission - "&amp;$F252),'Fuel Model - Calculation'!$E$2:$E$3771,0)),MATCH(X$141,'Fuel Model - Calculation'!$E$2:$M$2,0))</f>
        <v>-1.1543863202019162</v>
      </c>
      <c r="Y252" s="2">
        <f>INDEX('Fuel Model - Calculation'!$E$2:$M$3771,(MATCH(("WTT Emission - "&amp;$F252),'Fuel Model - Calculation'!$E$2:$E$3771,0)),MATCH(Y$141,'Fuel Model - Calculation'!$E$2:$M$2,0))</f>
        <v>-1.1870545355839788</v>
      </c>
      <c r="Z252" s="2">
        <f>INDEX('Fuel Model - Calculation'!$E$2:$M$3771,(MATCH(("WTT Emission - "&amp;$F252),'Fuel Model - Calculation'!$E$2:$E$3771,0)),MATCH(Z$141,'Fuel Model - Calculation'!$E$2:$M$2,0))</f>
        <v>-1.2197315254758454</v>
      </c>
      <c r="AA252" s="2">
        <f>INDEX('Fuel Model - Calculation'!$E$2:$M$3771,(MATCH(("WTT Emission - "&amp;$F252),'Fuel Model - Calculation'!$E$2:$E$3771,0)),MATCH(AA$141,'Fuel Model - Calculation'!$E$2:$M$2,0))</f>
        <v>-1.2524085153677118</v>
      </c>
      <c r="AB252" s="2">
        <f>INDEX('Fuel Model - Calculation'!$E$2:$M$3771,(MATCH(("WTT Emission - "&amp;$F252),'Fuel Model - Calculation'!$E$2:$E$3771,0)),MATCH(AB$141,'Fuel Model - Calculation'!$E$2:$M$2,0))</f>
        <v>-1.2850855052595782</v>
      </c>
      <c r="AC252" s="2">
        <f>INDEX('Fuel Model - Calculation'!$E$2:$M$3771,(MATCH(("WTT Emission - "&amp;$F252),'Fuel Model - Calculation'!$E$2:$E$3771,0)),MATCH(AC$141,'Fuel Model - Calculation'!$E$2:$M$2,0))</f>
        <v>-1.3177624951514446</v>
      </c>
      <c r="AD252" s="2">
        <f>INDEX('Fuel Model - Calculation'!$E$2:$M$3771,(MATCH(("WTT Emission - "&amp;$F252),'Fuel Model - Calculation'!$E$2:$E$3771,0)),MATCH(AD$141,'Fuel Model - Calculation'!$E$2:$M$2,0))</f>
        <v>-1.3504394850433112</v>
      </c>
      <c r="AE252" s="2"/>
      <c r="AF252" s="2">
        <f>'Fuel Model -  Input'!H$51</f>
        <v>1.375</v>
      </c>
      <c r="AG252" s="2">
        <f>'Fuel Model -  Input'!I$51</f>
        <v>1.375</v>
      </c>
      <c r="AH252" s="2">
        <f>'Fuel Model -  Input'!J$51</f>
        <v>1.375</v>
      </c>
      <c r="AI252" s="2">
        <f>'Fuel Model -  Input'!K$51</f>
        <v>1.375</v>
      </c>
      <c r="AJ252" s="2">
        <f>'Fuel Model -  Input'!L$51</f>
        <v>1.375</v>
      </c>
      <c r="AK252" s="2">
        <f>'Fuel Model -  Input'!M$51</f>
        <v>1.375</v>
      </c>
      <c r="AL252" s="2">
        <f>'Fuel Model -  Input'!N$51</f>
        <v>1.375</v>
      </c>
      <c r="AM252"/>
      <c r="AN252" s="24">
        <f t="shared" si="212"/>
        <v>0.22061367979808377</v>
      </c>
      <c r="AO252" s="24">
        <f t="shared" si="212"/>
        <v>0.18794546441602122</v>
      </c>
      <c r="AP252" s="24">
        <f t="shared" si="212"/>
        <v>0.1552684745241546</v>
      </c>
      <c r="AQ252" s="24">
        <f t="shared" si="212"/>
        <v>0.12259148463228819</v>
      </c>
      <c r="AR252" s="24">
        <f t="shared" si="212"/>
        <v>8.9914494740421791E-2</v>
      </c>
      <c r="AS252" s="24">
        <f t="shared" si="212"/>
        <v>5.7237504848555387E-2</v>
      </c>
      <c r="AT252" s="24">
        <f t="shared" si="212"/>
        <v>2.4560514956688762E-2</v>
      </c>
      <c r="AU252"/>
      <c r="AV252" s="118">
        <f>IFERROR(INDEX('Fuel Model - Calculation'!$B$2:$M$3771,(MATCH(($E252&amp;"Results"&amp;$AV$140&amp;$F252&amp;"USD/ton"),'Fuel Model - Calculation'!$B$2:$B$3771,0)),MATCH(H$141,'Fuel Model - Calculation'!$B$2:$M$2,0)),0)</f>
        <v>477.00000000000011</v>
      </c>
      <c r="AW252" s="118">
        <f>IFERROR(INDEX('Fuel Model - Calculation'!$B$2:$M$3771,(MATCH(($E252&amp;"Results"&amp;$AV$140&amp;$F252&amp;"USD/ton"),'Fuel Model - Calculation'!$B$2:$B$3771,0)),MATCH(I$141,'Fuel Model - Calculation'!$B$2:$M$2,0)),0)</f>
        <v>300.33333333333343</v>
      </c>
      <c r="AX252" s="118">
        <f>IFERROR(INDEX('Fuel Model - Calculation'!$B$2:$M$3771,(MATCH(($E252&amp;"Results"&amp;$AV$140&amp;$F252&amp;"USD/ton"),'Fuel Model - Calculation'!$B$2:$B$3771,0)),MATCH(J$141,'Fuel Model - Calculation'!$B$2:$M$2,0)),0)</f>
        <v>234.08333333333337</v>
      </c>
      <c r="AY252" s="118">
        <f>IFERROR(INDEX('Fuel Model - Calculation'!$B$2:$M$3771,(MATCH(($E252&amp;"Results"&amp;$AV$140&amp;$F252&amp;"USD/ton"),'Fuel Model - Calculation'!$B$2:$B$3771,0)),MATCH(K$141,'Fuel Model - Calculation'!$B$2:$M$2,0)),0)</f>
        <v>205.37500000000006</v>
      </c>
      <c r="AZ252" s="118">
        <f>IFERROR(INDEX('Fuel Model - Calculation'!$B$2:$M$3771,(MATCH(($E252&amp;"Results"&amp;$AV$140&amp;$F252&amp;"USD/ton"),'Fuel Model - Calculation'!$B$2:$B$3771,0)),MATCH(L$141,'Fuel Model - Calculation'!$B$2:$M$2,0)),0)</f>
        <v>176.66666666666671</v>
      </c>
      <c r="BA252" s="118">
        <f>IFERROR(INDEX('Fuel Model - Calculation'!$B$2:$M$3771,(MATCH(($E252&amp;"Results"&amp;$AV$140&amp;$F252&amp;"USD/ton"),'Fuel Model - Calculation'!$B$2:$B$3771,0)),MATCH(M$141,'Fuel Model - Calculation'!$B$2:$M$2,0)),0)</f>
        <v>159.00000000000003</v>
      </c>
      <c r="BB252" s="118">
        <f>IFERROR(INDEX('Fuel Model - Calculation'!$B$2:$M$3771,(MATCH(($E252&amp;"Results"&amp;$AV$140&amp;$F252&amp;"USD/ton"),'Fuel Model - Calculation'!$B$2:$B$3771,0)),MATCH(N$141,'Fuel Model - Calculation'!$B$2:$M$2,0)),0)</f>
        <v>141.33333333333337</v>
      </c>
      <c r="BC252"/>
      <c r="BD252" s="118">
        <f>IFERROR(INDEX('Fuel Model - Calculation'!$B$2:$M$3771,(MATCH(($E252&amp;"Results"&amp;$BD$140&amp;$F252&amp;"USD/ton"),'Fuel Model - Calculation'!$B$2:$B$3771,0)),MATCH(P$141,'Fuel Model - Calculation'!$B$2:$M$2,0)),0)</f>
        <v>367.17907515093748</v>
      </c>
      <c r="BE252" s="118">
        <f>IFERROR(INDEX('Fuel Model - Calculation'!$B$2:$M$3771,(MATCH(($E252&amp;"Results"&amp;$BD$140&amp;$F252&amp;"USD/ton"),'Fuel Model - Calculation'!$B$2:$B$3771,0)),MATCH(Q$141,'Fuel Model - Calculation'!$B$2:$M$2,0)),0)</f>
        <v>232.16538212739607</v>
      </c>
      <c r="BF252" s="118">
        <f>IFERROR(INDEX('Fuel Model - Calculation'!$B$2:$M$3771,(MATCH(($E252&amp;"Results"&amp;$BD$140&amp;$F252&amp;"USD/ton"),'Fuel Model - Calculation'!$B$2:$B$3771,0)),MATCH(R$141,'Fuel Model - Calculation'!$B$2:$M$2,0)),0)</f>
        <v>181.70935410593466</v>
      </c>
      <c r="BG252" s="118">
        <f>IFERROR(INDEX('Fuel Model - Calculation'!$B$2:$M$3771,(MATCH(($E252&amp;"Results"&amp;$BD$140&amp;$F252&amp;"USD/ton"),'Fuel Model - Calculation'!$B$2:$B$3771,0)),MATCH(S$141,'Fuel Model - Calculation'!$B$2:$M$2,0)),0)</f>
        <v>158.50102543412754</v>
      </c>
      <c r="BH252" s="118">
        <f>IFERROR(INDEX('Fuel Model - Calculation'!$B$2:$M$3771,(MATCH(($E252&amp;"Results"&amp;$BD$140&amp;$F252&amp;"USD/ton"),'Fuel Model - Calculation'!$B$2:$B$3771,0)),MATCH(T$141,'Fuel Model - Calculation'!$B$2:$M$2,0)),0)</f>
        <v>137.09799255384914</v>
      </c>
      <c r="BI252" s="118">
        <f>IFERROR(INDEX('Fuel Model - Calculation'!$B$2:$M$3771,(MATCH(($E252&amp;"Results"&amp;$BD$140&amp;$F252&amp;"USD/ton"),'Fuel Model - Calculation'!$B$2:$B$3771,0)),MATCH(U$141,'Fuel Model - Calculation'!$B$2:$M$2,0)),0)</f>
        <v>123.1206372682548</v>
      </c>
      <c r="BJ252" s="118">
        <f>IFERROR(INDEX('Fuel Model - Calculation'!$B$2:$M$3771,(MATCH(($E252&amp;"Results"&amp;$BD$140&amp;$F252&amp;"USD/ton"),'Fuel Model - Calculation'!$B$2:$B$3771,0)),MATCH(V$141,'Fuel Model - Calculation'!$B$2:$M$2,0)),0)</f>
        <v>110.19365442635119</v>
      </c>
      <c r="BL252" s="118">
        <f>IFERROR(IFERROR(INDEX('Fuel Model - Calculation'!$B$2:$M$3771,(MATCH(($E252&amp;"Results"&amp;$BL$140&amp;$F252&amp;"USD/ton"),'Fuel Model - Calculation'!$B$2:$B$3771,0)),MATCH(H$141,'Fuel Model - Calculation'!$B$2:$M$2,0)),0),0)</f>
        <v>0</v>
      </c>
      <c r="BM252" s="118">
        <f>IFERROR(IFERROR(INDEX('Fuel Model - Calculation'!$B$2:$M$3771,(MATCH(($E252&amp;"Results"&amp;$BL$140&amp;$F252&amp;"USD/ton"),'Fuel Model - Calculation'!$B$2:$B$3771,0)),MATCH(I$141,'Fuel Model - Calculation'!$B$2:$M$2,0)),0),0)</f>
        <v>0</v>
      </c>
      <c r="BN252" s="118">
        <f>IFERROR(IFERROR(INDEX('Fuel Model - Calculation'!$B$2:$M$3771,(MATCH(($E252&amp;"Results"&amp;$BL$140&amp;$F252&amp;"USD/ton"),'Fuel Model - Calculation'!$B$2:$B$3771,0)),MATCH(J$141,'Fuel Model - Calculation'!$B$2:$M$2,0)),0),0)</f>
        <v>0</v>
      </c>
      <c r="BO252" s="118">
        <f>IFERROR(IFERROR(INDEX('Fuel Model - Calculation'!$B$2:$M$3771,(MATCH(($E252&amp;"Results"&amp;$BL$140&amp;$F252&amp;"USD/ton"),'Fuel Model - Calculation'!$B$2:$B$3771,0)),MATCH(K$141,'Fuel Model - Calculation'!$B$2:$M$2,0)),0),0)</f>
        <v>0</v>
      </c>
      <c r="BP252" s="118">
        <f>IFERROR(IFERROR(INDEX('Fuel Model - Calculation'!$B$2:$M$3771,(MATCH(($E252&amp;"Results"&amp;$BL$140&amp;$F252&amp;"USD/ton"),'Fuel Model - Calculation'!$B$2:$B$3771,0)),MATCH(L$141,'Fuel Model - Calculation'!$B$2:$M$2,0)),0),0)</f>
        <v>0</v>
      </c>
      <c r="BQ252" s="118">
        <f>IFERROR(IFERROR(INDEX('Fuel Model - Calculation'!$B$2:$M$3771,(MATCH(($E252&amp;"Results"&amp;$BL$140&amp;$F252&amp;"USD/ton"),'Fuel Model - Calculation'!$B$2:$B$3771,0)),MATCH(M$141,'Fuel Model - Calculation'!$B$2:$M$2,0)),0),0)</f>
        <v>0</v>
      </c>
      <c r="BR252" s="118">
        <f>IFERROR(IFERROR(INDEX('Fuel Model - Calculation'!$B$2:$M$3771,(MATCH(($E252&amp;"Results"&amp;$BL$140&amp;$F252&amp;"USD/ton"),'Fuel Model - Calculation'!$B$2:$B$3771,0)),MATCH(N$141,'Fuel Model - Calculation'!$B$2:$M$2,0)),0),0)</f>
        <v>0</v>
      </c>
      <c r="BT252" s="118">
        <f>IFERROR(INDEX('Fuel Model - Calculation'!$B$2:$M$3771,(MATCH(($E252&amp;"Results"&amp;$BT$140&amp;$F252&amp;"USD/ton"),'Fuel Model - Calculation'!$B$2:$B$3771,0)),MATCH(H$141,'Fuel Model - Calculation'!$B$2:$M$2,0)),0)</f>
        <v>142.77220055864376</v>
      </c>
      <c r="BU252" s="118">
        <f>IFERROR(INDEX('Fuel Model - Calculation'!$B$2:$M$3771,(MATCH(($E252&amp;"Results"&amp;$BT$140&amp;$F252&amp;"USD/ton"),'Fuel Model - Calculation'!$B$2:$B$3771,0)),MATCH(I$141,'Fuel Model - Calculation'!$B$2:$M$2,0)),0)</f>
        <v>148.82187007384053</v>
      </c>
      <c r="BV252" s="118">
        <f>IFERROR(INDEX('Fuel Model - Calculation'!$B$2:$M$3771,(MATCH(($E252&amp;"Results"&amp;$BT$140&amp;$F252&amp;"USD/ton"),'Fuel Model - Calculation'!$B$2:$B$3771,0)),MATCH(J$141,'Fuel Model - Calculation'!$B$2:$M$2,0)),0)</f>
        <v>153.66160568599796</v>
      </c>
      <c r="BW252" s="118">
        <f>IFERROR(INDEX('Fuel Model - Calculation'!$B$2:$M$3771,(MATCH(($E252&amp;"Results"&amp;$BT$140&amp;$F252&amp;"USD/ton"),'Fuel Model - Calculation'!$B$2:$B$3771,0)),MATCH(K$141,'Fuel Model - Calculation'!$B$2:$M$2,0)),0)</f>
        <v>159.71127520119472</v>
      </c>
      <c r="BX252" s="118">
        <f>IFERROR(INDEX('Fuel Model - Calculation'!$B$2:$M$3771,(MATCH(($E252&amp;"Results"&amp;$BT$140&amp;$F252&amp;"USD/ton"),'Fuel Model - Calculation'!$B$2:$B$3771,0)),MATCH(L$141,'Fuel Model - Calculation'!$B$2:$M$2,0)),0)</f>
        <v>165.76094471639149</v>
      </c>
      <c r="BY252" s="118">
        <f>IFERROR(INDEX('Fuel Model - Calculation'!$B$2:$M$3771,(MATCH(($E252&amp;"Results"&amp;$BT$140&amp;$F252&amp;"USD/ton"),'Fuel Model - Calculation'!$B$2:$B$3771,0)),MATCH(M$141,'Fuel Model - Calculation'!$B$2:$M$2,0)),0)</f>
        <v>170.60068032854889</v>
      </c>
      <c r="BZ252" s="118">
        <f>IFERROR(INDEX('Fuel Model - Calculation'!$B$2:$M$3771,(MATCH(($E252&amp;"Results"&amp;$BT$140&amp;$F252&amp;"USD/ton"),'Fuel Model - Calculation'!$B$2:$B$3771,0)),MATCH(N$141,'Fuel Model - Calculation'!$B$2:$M$2,0)),0)</f>
        <v>176.65034984374566</v>
      </c>
    </row>
    <row r="253" spans="1:78" x14ac:dyDescent="0.2">
      <c r="A253" s="452"/>
      <c r="B253" s="453" t="str">
        <f>_xlfn.TEXTJOIN(keydelim,TRUE,F253,IF(E253="Africa","Africa&amp;other",E253),"Fuel cost",SUBSTITUTE($G253," ",""))</f>
        <v>Biomethanol - Americas - Fuel cost - USD/ton</v>
      </c>
      <c r="D253" s="459" t="str">
        <f t="shared" si="213"/>
        <v>AmericasBiomethanol</v>
      </c>
      <c r="E253" t="s">
        <v>199</v>
      </c>
      <c r="F253" s="460" t="str">
        <f t="shared" si="214"/>
        <v>Biomethanol</v>
      </c>
      <c r="G253" t="s">
        <v>835</v>
      </c>
      <c r="H253" s="118">
        <f>INDEX('Fuel Model - Calculation'!$B$2:$M$3771,(MATCH(($E253&amp;"ResultsCost of "&amp;$F253&amp;"USD/ton"),'Fuel Model - Calculation'!$B$2:$B$3771,0)),MATCH(H$141,'Fuel Model - Calculation'!$B$2:$M$2,0))</f>
        <v>984.84435242391737</v>
      </c>
      <c r="I253" s="118">
        <f>INDEX('Fuel Model - Calculation'!$B$2:$M$3771,(MATCH(($E253&amp;"ResultsCost of "&amp;$F253&amp;"USD/ton"),'Fuel Model - Calculation'!$B$2:$B$3771,0)),MATCH(I$141,'Fuel Model - Calculation'!$B$2:$M$2,0))</f>
        <v>691.0186269965792</v>
      </c>
      <c r="J253" s="118">
        <f>INDEX('Fuel Model - Calculation'!$B$2:$M$3771,(MATCH(($E253&amp;"ResultsCost of "&amp;$F253&amp;"USD/ton"),'Fuel Model - Calculation'!$B$2:$B$3771,0)),MATCH(J$141,'Fuel Model - Calculation'!$B$2:$M$2,0))</f>
        <v>582.39257789027681</v>
      </c>
      <c r="K253" s="118">
        <f>INDEX('Fuel Model - Calculation'!$B$2:$M$3771,(MATCH(($E253&amp;"ResultsCost of "&amp;$F253&amp;"USD/ton"),'Fuel Model - Calculation'!$B$2:$B$3771,0)),MATCH(K$141,'Fuel Model - Calculation'!$B$2:$M$2,0))</f>
        <v>537.3611728735051</v>
      </c>
      <c r="L253" s="118">
        <f>INDEX('Fuel Model - Calculation'!$B$2:$M$3771,(MATCH(($E253&amp;"ResultsCost of "&amp;$F253&amp;"USD/ton"),'Fuel Model - Calculation'!$B$2:$B$3771,0)),MATCH(L$141,'Fuel Model - Calculation'!$B$2:$M$2,0))</f>
        <v>492.64490958145183</v>
      </c>
      <c r="M253" s="118">
        <f>INDEX('Fuel Model - Calculation'!$B$2:$M$3771,(MATCH(($E253&amp;"ResultsCost of "&amp;$F253&amp;"USD/ton"),'Fuel Model - Calculation'!$B$2:$B$3771,0)),MATCH(M$141,'Fuel Model - Calculation'!$B$2:$M$2,0))</f>
        <v>468.46568974254984</v>
      </c>
      <c r="N253" s="118">
        <f>INDEX('Fuel Model - Calculation'!$B$2:$M$3771,(MATCH(($E253&amp;"ResultsCost of "&amp;$F253&amp;"USD/ton"),'Fuel Model - Calculation'!$B$2:$B$3771,0)),MATCH(N$141,'Fuel Model - Calculation'!$B$2:$M$2,0))</f>
        <v>443.20820466208778</v>
      </c>
      <c r="O253"/>
      <c r="P253" s="118">
        <f>IFERROR(INDEX('Fuel Model - Calculation'!G$2:G$3771,(MATCH(($E253&amp;"ResultsTotal RNE "&amp;$F253&amp;"USD/ton"),'Fuel Model - Calculation'!$B$2:$B$3771,0))),0)</f>
        <v>0</v>
      </c>
      <c r="Q253" s="118">
        <f>IFERROR(INDEX('Fuel Model - Calculation'!H$2:H$3771,(MATCH(($E253&amp;"ResultsTotal RNE "&amp;$F253&amp;"USD/ton"),'Fuel Model - Calculation'!$B$2:$B$3771,0))),0)</f>
        <v>0</v>
      </c>
      <c r="R253" s="118">
        <f>IFERROR(INDEX('Fuel Model - Calculation'!I$2:I$3771,(MATCH(($E253&amp;"ResultsTotal RNE "&amp;$F253&amp;"USD/ton"),'Fuel Model - Calculation'!$B$2:$B$3771,0))),0)</f>
        <v>0</v>
      </c>
      <c r="S253" s="118">
        <f>IFERROR(INDEX('Fuel Model - Calculation'!J$2:J$3771,(MATCH(($E253&amp;"ResultsTotal RNE "&amp;$F253&amp;"USD/ton"),'Fuel Model - Calculation'!$B$2:$B$3771,0))),0)</f>
        <v>0</v>
      </c>
      <c r="T253" s="118">
        <f>IFERROR(INDEX('Fuel Model - Calculation'!K$2:K$3771,(MATCH(($E253&amp;"ResultsTotal RNE "&amp;$F253&amp;"USD/ton"),'Fuel Model - Calculation'!$B$2:$B$3771,0))),0)</f>
        <v>0</v>
      </c>
      <c r="U253" s="118">
        <f>IFERROR(INDEX('Fuel Model - Calculation'!L$2:L$3771,(MATCH(($E253&amp;"ResultsTotal RNE "&amp;$F253&amp;"USD/ton"),'Fuel Model - Calculation'!$B$2:$B$3771,0))),0)</f>
        <v>0</v>
      </c>
      <c r="V253" s="118">
        <f>IFERROR(INDEX('Fuel Model - Calculation'!M$2:M$3771,(MATCH(($E253&amp;"ResultsTotal RNE "&amp;$F253&amp;"USD/ton"),'Fuel Model - Calculation'!$B$2:$B$3771,0))),0)</f>
        <v>0</v>
      </c>
      <c r="W253"/>
      <c r="X253" s="2">
        <f>INDEX('Fuel Model - Calculation'!$E$2:$M$3771,(MATCH(("WTT Emission - "&amp;$F253),'Fuel Model - Calculation'!$E$2:$E$3771,0)),MATCH(X$141,'Fuel Model - Calculation'!$E$2:$M$2,0))</f>
        <v>-1.1543863202019162</v>
      </c>
      <c r="Y253" s="2">
        <f>INDEX('Fuel Model - Calculation'!$E$2:$M$3771,(MATCH(("WTT Emission - "&amp;$F253),'Fuel Model - Calculation'!$E$2:$E$3771,0)),MATCH(Y$141,'Fuel Model - Calculation'!$E$2:$M$2,0))</f>
        <v>-1.1870545355839788</v>
      </c>
      <c r="Z253" s="2">
        <f>INDEX('Fuel Model - Calculation'!$E$2:$M$3771,(MATCH(("WTT Emission - "&amp;$F253),'Fuel Model - Calculation'!$E$2:$E$3771,0)),MATCH(Z$141,'Fuel Model - Calculation'!$E$2:$M$2,0))</f>
        <v>-1.2197315254758454</v>
      </c>
      <c r="AA253" s="2">
        <f>INDEX('Fuel Model - Calculation'!$E$2:$M$3771,(MATCH(("WTT Emission - "&amp;$F253),'Fuel Model - Calculation'!$E$2:$E$3771,0)),MATCH(AA$141,'Fuel Model - Calculation'!$E$2:$M$2,0))</f>
        <v>-1.2524085153677118</v>
      </c>
      <c r="AB253" s="2">
        <f>INDEX('Fuel Model - Calculation'!$E$2:$M$3771,(MATCH(("WTT Emission - "&amp;$F253),'Fuel Model - Calculation'!$E$2:$E$3771,0)),MATCH(AB$141,'Fuel Model - Calculation'!$E$2:$M$2,0))</f>
        <v>-1.2850855052595782</v>
      </c>
      <c r="AC253" s="2">
        <f>INDEX('Fuel Model - Calculation'!$E$2:$M$3771,(MATCH(("WTT Emission - "&amp;$F253),'Fuel Model - Calculation'!$E$2:$E$3771,0)),MATCH(AC$141,'Fuel Model - Calculation'!$E$2:$M$2,0))</f>
        <v>-1.3177624951514446</v>
      </c>
      <c r="AD253" s="2">
        <f>INDEX('Fuel Model - Calculation'!$E$2:$M$3771,(MATCH(("WTT Emission - "&amp;$F253),'Fuel Model - Calculation'!$E$2:$E$3771,0)),MATCH(AD$141,'Fuel Model - Calculation'!$E$2:$M$2,0))</f>
        <v>-1.3504394850433112</v>
      </c>
      <c r="AE253" s="2"/>
      <c r="AF253" s="2">
        <f>'Fuel Model -  Input'!H$51</f>
        <v>1.375</v>
      </c>
      <c r="AG253" s="2">
        <f>'Fuel Model -  Input'!I$51</f>
        <v>1.375</v>
      </c>
      <c r="AH253" s="2">
        <f>'Fuel Model -  Input'!J$51</f>
        <v>1.375</v>
      </c>
      <c r="AI253" s="2">
        <f>'Fuel Model -  Input'!K$51</f>
        <v>1.375</v>
      </c>
      <c r="AJ253" s="2">
        <f>'Fuel Model -  Input'!L$51</f>
        <v>1.375</v>
      </c>
      <c r="AK253" s="2">
        <f>'Fuel Model -  Input'!M$51</f>
        <v>1.375</v>
      </c>
      <c r="AL253" s="2">
        <f>'Fuel Model -  Input'!N$51</f>
        <v>1.375</v>
      </c>
      <c r="AM253"/>
      <c r="AN253" s="24">
        <f t="shared" si="212"/>
        <v>0.22061367979808377</v>
      </c>
      <c r="AO253" s="24">
        <f t="shared" si="212"/>
        <v>0.18794546441602122</v>
      </c>
      <c r="AP253" s="24">
        <f t="shared" si="212"/>
        <v>0.1552684745241546</v>
      </c>
      <c r="AQ253" s="24">
        <f t="shared" si="212"/>
        <v>0.12259148463228819</v>
      </c>
      <c r="AR253" s="24">
        <f t="shared" si="212"/>
        <v>8.9914494740421791E-2</v>
      </c>
      <c r="AS253" s="24">
        <f t="shared" si="212"/>
        <v>5.7237504848555387E-2</v>
      </c>
      <c r="AT253" s="24">
        <f t="shared" si="212"/>
        <v>2.4560514956688762E-2</v>
      </c>
      <c r="AU253"/>
      <c r="AV253" s="118">
        <f>IFERROR(INDEX('Fuel Model - Calculation'!$B$2:$M$3771,(MATCH(($E253&amp;"Results"&amp;$AV$140&amp;$F253&amp;"USD/ton"),'Fuel Model - Calculation'!$B$2:$B$3771,0)),MATCH(H$141,'Fuel Model - Calculation'!$B$2:$M$2,0)),0)</f>
        <v>477.00000000000011</v>
      </c>
      <c r="AW253" s="118">
        <f>IFERROR(INDEX('Fuel Model - Calculation'!$B$2:$M$3771,(MATCH(($E253&amp;"Results"&amp;$AV$140&amp;$F253&amp;"USD/ton"),'Fuel Model - Calculation'!$B$2:$B$3771,0)),MATCH(I$141,'Fuel Model - Calculation'!$B$2:$M$2,0)),0)</f>
        <v>300.33333333333343</v>
      </c>
      <c r="AX253" s="118">
        <f>IFERROR(INDEX('Fuel Model - Calculation'!$B$2:$M$3771,(MATCH(($E253&amp;"Results"&amp;$AV$140&amp;$F253&amp;"USD/ton"),'Fuel Model - Calculation'!$B$2:$B$3771,0)),MATCH(J$141,'Fuel Model - Calculation'!$B$2:$M$2,0)),0)</f>
        <v>234.08333333333337</v>
      </c>
      <c r="AY253" s="118">
        <f>IFERROR(INDEX('Fuel Model - Calculation'!$B$2:$M$3771,(MATCH(($E253&amp;"Results"&amp;$AV$140&amp;$F253&amp;"USD/ton"),'Fuel Model - Calculation'!$B$2:$B$3771,0)),MATCH(K$141,'Fuel Model - Calculation'!$B$2:$M$2,0)),0)</f>
        <v>205.37500000000006</v>
      </c>
      <c r="AZ253" s="118">
        <f>IFERROR(INDEX('Fuel Model - Calculation'!$B$2:$M$3771,(MATCH(($E253&amp;"Results"&amp;$AV$140&amp;$F253&amp;"USD/ton"),'Fuel Model - Calculation'!$B$2:$B$3771,0)),MATCH(L$141,'Fuel Model - Calculation'!$B$2:$M$2,0)),0)</f>
        <v>176.66666666666671</v>
      </c>
      <c r="BA253" s="118">
        <f>IFERROR(INDEX('Fuel Model - Calculation'!$B$2:$M$3771,(MATCH(($E253&amp;"Results"&amp;$AV$140&amp;$F253&amp;"USD/ton"),'Fuel Model - Calculation'!$B$2:$B$3771,0)),MATCH(M$141,'Fuel Model - Calculation'!$B$2:$M$2,0)),0)</f>
        <v>159.00000000000003</v>
      </c>
      <c r="BB253" s="118">
        <f>IFERROR(INDEX('Fuel Model - Calculation'!$B$2:$M$3771,(MATCH(($E253&amp;"Results"&amp;$AV$140&amp;$F253&amp;"USD/ton"),'Fuel Model - Calculation'!$B$2:$B$3771,0)),MATCH(N$141,'Fuel Model - Calculation'!$B$2:$M$2,0)),0)</f>
        <v>141.33333333333337</v>
      </c>
      <c r="BC253"/>
      <c r="BD253" s="118">
        <f>IFERROR(INDEX('Fuel Model - Calculation'!$B$2:$M$3771,(MATCH(($E253&amp;"Results"&amp;$BD$140&amp;$F253&amp;"USD/ton"),'Fuel Model - Calculation'!$B$2:$B$3771,0)),MATCH(P$141,'Fuel Model - Calculation'!$B$2:$M$2,0)),0)</f>
        <v>344.50327551360448</v>
      </c>
      <c r="BE253" s="118">
        <f>IFERROR(INDEX('Fuel Model - Calculation'!$B$2:$M$3771,(MATCH(($E253&amp;"Results"&amp;$BD$140&amp;$F253&amp;"USD/ton"),'Fuel Model - Calculation'!$B$2:$B$3771,0)),MATCH(Q$141,'Fuel Model - Calculation'!$B$2:$M$2,0)),0)</f>
        <v>222.50448114077554</v>
      </c>
      <c r="BF253" s="118">
        <f>IFERROR(INDEX('Fuel Model - Calculation'!$B$2:$M$3771,(MATCH(($E253&amp;"Results"&amp;$BD$140&amp;$F253&amp;"USD/ton"),'Fuel Model - Calculation'!$B$2:$B$3771,0)),MATCH(R$141,'Fuel Model - Calculation'!$B$2:$M$2,0)),0)</f>
        <v>174.07876251927649</v>
      </c>
      <c r="BG253" s="118">
        <f>IFERROR(INDEX('Fuel Model - Calculation'!$B$2:$M$3771,(MATCH(($E253&amp;"Results"&amp;$BD$140&amp;$F253&amp;"USD/ton"),'Fuel Model - Calculation'!$B$2:$B$3771,0)),MATCH(S$141,'Fuel Model - Calculation'!$B$2:$M$2,0)),0)</f>
        <v>152.91595522368067</v>
      </c>
      <c r="BH253" s="118">
        <f>IFERROR(INDEX('Fuel Model - Calculation'!$B$2:$M$3771,(MATCH(($E253&amp;"Results"&amp;$BD$140&amp;$F253&amp;"USD/ton"),'Fuel Model - Calculation'!$B$2:$B$3771,0)),MATCH(T$141,'Fuel Model - Calculation'!$B$2:$M$2,0)),0)</f>
        <v>132.06828965280334</v>
      </c>
      <c r="BI253" s="118">
        <f>IFERROR(INDEX('Fuel Model - Calculation'!$B$2:$M$3771,(MATCH(($E253&amp;"Results"&amp;$BD$140&amp;$F253&amp;"USD/ton"),'Fuel Model - Calculation'!$B$2:$B$3771,0)),MATCH(U$141,'Fuel Model - Calculation'!$B$2:$M$2,0)),0)</f>
        <v>119.50606696537128</v>
      </c>
      <c r="BJ253" s="118">
        <f>IFERROR(INDEX('Fuel Model - Calculation'!$B$2:$M$3771,(MATCH(($E253&amp;"Results"&amp;$BD$140&amp;$F253&amp;"USD/ton"),'Fuel Model - Calculation'!$B$2:$B$3771,0)),MATCH(V$141,'Fuel Model - Calculation'!$B$2:$M$2,0)),0)</f>
        <v>107.07551293941845</v>
      </c>
      <c r="BL253" s="118">
        <f>IFERROR(IFERROR(INDEX('Fuel Model - Calculation'!$B$2:$M$3771,(MATCH(($E253&amp;"Results"&amp;$BL$140&amp;$F253&amp;"USD/ton"),'Fuel Model - Calculation'!$B$2:$B$3771,0)),MATCH(H$141,'Fuel Model - Calculation'!$B$2:$M$2,0)),0),0)</f>
        <v>0</v>
      </c>
      <c r="BM253" s="118">
        <f>IFERROR(IFERROR(INDEX('Fuel Model - Calculation'!$B$2:$M$3771,(MATCH(($E253&amp;"Results"&amp;$BL$140&amp;$F253&amp;"USD/ton"),'Fuel Model - Calculation'!$B$2:$B$3771,0)),MATCH(I$141,'Fuel Model - Calculation'!$B$2:$M$2,0)),0),0)</f>
        <v>0</v>
      </c>
      <c r="BN253" s="118">
        <f>IFERROR(IFERROR(INDEX('Fuel Model - Calculation'!$B$2:$M$3771,(MATCH(($E253&amp;"Results"&amp;$BL$140&amp;$F253&amp;"USD/ton"),'Fuel Model - Calculation'!$B$2:$B$3771,0)),MATCH(J$141,'Fuel Model - Calculation'!$B$2:$M$2,0)),0),0)</f>
        <v>0</v>
      </c>
      <c r="BO253" s="118">
        <f>IFERROR(IFERROR(INDEX('Fuel Model - Calculation'!$B$2:$M$3771,(MATCH(($E253&amp;"Results"&amp;$BL$140&amp;$F253&amp;"USD/ton"),'Fuel Model - Calculation'!$B$2:$B$3771,0)),MATCH(K$141,'Fuel Model - Calculation'!$B$2:$M$2,0)),0),0)</f>
        <v>0</v>
      </c>
      <c r="BP253" s="118">
        <f>IFERROR(IFERROR(INDEX('Fuel Model - Calculation'!$B$2:$M$3771,(MATCH(($E253&amp;"Results"&amp;$BL$140&amp;$F253&amp;"USD/ton"),'Fuel Model - Calculation'!$B$2:$B$3771,0)),MATCH(L$141,'Fuel Model - Calculation'!$B$2:$M$2,0)),0),0)</f>
        <v>0</v>
      </c>
      <c r="BQ253" s="118">
        <f>IFERROR(IFERROR(INDEX('Fuel Model - Calculation'!$B$2:$M$3771,(MATCH(($E253&amp;"Results"&amp;$BL$140&amp;$F253&amp;"USD/ton"),'Fuel Model - Calculation'!$B$2:$B$3771,0)),MATCH(M$141,'Fuel Model - Calculation'!$B$2:$M$2,0)),0),0)</f>
        <v>0</v>
      </c>
      <c r="BR253" s="118">
        <f>IFERROR(IFERROR(INDEX('Fuel Model - Calculation'!$B$2:$M$3771,(MATCH(($E253&amp;"Results"&amp;$BL$140&amp;$F253&amp;"USD/ton"),'Fuel Model - Calculation'!$B$2:$B$3771,0)),MATCH(N$141,'Fuel Model - Calculation'!$B$2:$M$2,0)),0),0)</f>
        <v>0</v>
      </c>
      <c r="BT253" s="118">
        <f>IFERROR(INDEX('Fuel Model - Calculation'!$B$2:$M$3771,(MATCH(($E253&amp;"Results"&amp;$BT$140&amp;$F253&amp;"USD/ton"),'Fuel Model - Calculation'!$B$2:$B$3771,0)),MATCH(H$141,'Fuel Model - Calculation'!$B$2:$M$2,0)),0)</f>
        <v>163.34107691031278</v>
      </c>
      <c r="BU253" s="118">
        <f>IFERROR(INDEX('Fuel Model - Calculation'!$B$2:$M$3771,(MATCH(($E253&amp;"Results"&amp;$BT$140&amp;$F253&amp;"USD/ton"),'Fuel Model - Calculation'!$B$2:$B$3771,0)),MATCH(I$141,'Fuel Model - Calculation'!$B$2:$M$2,0)),0)</f>
        <v>168.18081252247018</v>
      </c>
      <c r="BV253" s="118">
        <f>IFERROR(INDEX('Fuel Model - Calculation'!$B$2:$M$3771,(MATCH(($E253&amp;"Results"&amp;$BT$140&amp;$F253&amp;"USD/ton"),'Fuel Model - Calculation'!$B$2:$B$3771,0)),MATCH(J$141,'Fuel Model - Calculation'!$B$2:$M$2,0)),0)</f>
        <v>174.23048203766695</v>
      </c>
      <c r="BW253" s="118">
        <f>IFERROR(INDEX('Fuel Model - Calculation'!$B$2:$M$3771,(MATCH(($E253&amp;"Results"&amp;$BT$140&amp;$F253&amp;"USD/ton"),'Fuel Model - Calculation'!$B$2:$B$3771,0)),MATCH(K$141,'Fuel Model - Calculation'!$B$2:$M$2,0)),0)</f>
        <v>179.07021764982437</v>
      </c>
      <c r="BX253" s="118">
        <f>IFERROR(INDEX('Fuel Model - Calculation'!$B$2:$M$3771,(MATCH(($E253&amp;"Results"&amp;$BT$140&amp;$F253&amp;"USD/ton"),'Fuel Model - Calculation'!$B$2:$B$3771,0)),MATCH(L$141,'Fuel Model - Calculation'!$B$2:$M$2,0)),0)</f>
        <v>183.9099532619818</v>
      </c>
      <c r="BY253" s="118">
        <f>IFERROR(INDEX('Fuel Model - Calculation'!$B$2:$M$3771,(MATCH(($E253&amp;"Results"&amp;$BT$140&amp;$F253&amp;"USD/ton"),'Fuel Model - Calculation'!$B$2:$B$3771,0)),MATCH(M$141,'Fuel Model - Calculation'!$B$2:$M$2,0)),0)</f>
        <v>189.95962277717854</v>
      </c>
      <c r="BZ253" s="118">
        <f>IFERROR(INDEX('Fuel Model - Calculation'!$B$2:$M$3771,(MATCH(($E253&amp;"Results"&amp;$BT$140&amp;$F253&amp;"USD/ton"),'Fuel Model - Calculation'!$B$2:$B$3771,0)),MATCH(N$141,'Fuel Model - Calculation'!$B$2:$M$2,0)),0)</f>
        <v>194.79935838933596</v>
      </c>
    </row>
    <row r="254" spans="1:78" x14ac:dyDescent="0.2">
      <c r="A254" s="452"/>
      <c r="B254" s="453" t="str">
        <f>_xlfn.TEXTJOIN(keydelim,TRUE,F254,IF(E254="Africa","Africa&amp;other",E254),"Fuel cost",SUBSTITUTE($G254," ",""))</f>
        <v>Biomethanol - Africa&amp;other - Fuel cost - USD/ton</v>
      </c>
      <c r="D254" s="459" t="str">
        <f t="shared" si="213"/>
        <v>AfricaBiomethanol</v>
      </c>
      <c r="E254" t="s">
        <v>200</v>
      </c>
      <c r="F254" s="460" t="str">
        <f t="shared" si="214"/>
        <v>Biomethanol</v>
      </c>
      <c r="G254" t="s">
        <v>835</v>
      </c>
      <c r="H254" s="118">
        <f>INDEX('Fuel Model - Calculation'!$B$2:$M$3771,(MATCH(($E254&amp;"ResultsCost of "&amp;$F254&amp;"USD/ton"),'Fuel Model - Calculation'!$B$2:$B$3771,0)),MATCH(H$141,'Fuel Model - Calculation'!$B$2:$M$2,0))</f>
        <v>1043.3957154259911</v>
      </c>
      <c r="I254" s="118">
        <f>INDEX('Fuel Model - Calculation'!$B$2:$M$3771,(MATCH(($E254&amp;"ResultsCost of "&amp;$F254&amp;"USD/ton"),'Fuel Model - Calculation'!$B$2:$B$3771,0)),MATCH(I$141,'Fuel Model - Calculation'!$B$2:$M$2,0))</f>
        <v>734.73998399857635</v>
      </c>
      <c r="J254" s="118">
        <f>INDEX('Fuel Model - Calculation'!$B$2:$M$3771,(MATCH(($E254&amp;"ResultsCost of "&amp;$F254&amp;"USD/ton"),'Fuel Model - Calculation'!$B$2:$B$3771,0)),MATCH(J$141,'Fuel Model - Calculation'!$B$2:$M$2,0))</f>
        <v>624.45368523365198</v>
      </c>
      <c r="K254" s="118">
        <f>INDEX('Fuel Model - Calculation'!$B$2:$M$3771,(MATCH(($E254&amp;"ResultsCost of "&amp;$F254&amp;"USD/ton"),'Fuel Model - Calculation'!$B$2:$B$3771,0)),MATCH(K$141,'Fuel Model - Calculation'!$B$2:$M$2,0))</f>
        <v>580.65804184442868</v>
      </c>
      <c r="L254" s="118">
        <f>INDEX('Fuel Model - Calculation'!$B$2:$M$3771,(MATCH(($E254&amp;"ResultsCost of "&amp;$F254&amp;"USD/ton"),'Fuel Model - Calculation'!$B$2:$B$3771,0)),MATCH(L$141,'Fuel Model - Calculation'!$B$2:$M$2,0))</f>
        <v>537.14182700649462</v>
      </c>
      <c r="M254" s="118">
        <f>INDEX('Fuel Model - Calculation'!$B$2:$M$3771,(MATCH(($E254&amp;"ResultsCost of "&amp;$F254&amp;"USD/ton"),'Fuel Model - Calculation'!$B$2:$B$3771,0)),MATCH(M$141,'Fuel Model - Calculation'!$B$2:$M$2,0))</f>
        <v>512.13859683779435</v>
      </c>
      <c r="N254" s="118">
        <f>INDEX('Fuel Model - Calculation'!$B$2:$M$3771,(MATCH(($E254&amp;"ResultsCost of "&amp;$F254&amp;"USD/ton"),'Fuel Model - Calculation'!$B$2:$B$3771,0)),MATCH(N$141,'Fuel Model - Calculation'!$B$2:$M$2,0))</f>
        <v>487.82479703823822</v>
      </c>
      <c r="O254"/>
      <c r="P254" s="118">
        <f>IFERROR(INDEX('Fuel Model - Calculation'!G$2:G$3771,(MATCH(($E254&amp;"ResultsTotal RNE "&amp;$F254&amp;"USD/ton"),'Fuel Model - Calculation'!$B$2:$B$3771,0))),0)</f>
        <v>0</v>
      </c>
      <c r="Q254" s="118">
        <f>IFERROR(INDEX('Fuel Model - Calculation'!H$2:H$3771,(MATCH(($E254&amp;"ResultsTotal RNE "&amp;$F254&amp;"USD/ton"),'Fuel Model - Calculation'!$B$2:$B$3771,0))),0)</f>
        <v>0</v>
      </c>
      <c r="R254" s="118">
        <f>IFERROR(INDEX('Fuel Model - Calculation'!I$2:I$3771,(MATCH(($E254&amp;"ResultsTotal RNE "&amp;$F254&amp;"USD/ton"),'Fuel Model - Calculation'!$B$2:$B$3771,0))),0)</f>
        <v>0</v>
      </c>
      <c r="S254" s="118">
        <f>IFERROR(INDEX('Fuel Model - Calculation'!J$2:J$3771,(MATCH(($E254&amp;"ResultsTotal RNE "&amp;$F254&amp;"USD/ton"),'Fuel Model - Calculation'!$B$2:$B$3771,0))),0)</f>
        <v>0</v>
      </c>
      <c r="T254" s="118">
        <f>IFERROR(INDEX('Fuel Model - Calculation'!K$2:K$3771,(MATCH(($E254&amp;"ResultsTotal RNE "&amp;$F254&amp;"USD/ton"),'Fuel Model - Calculation'!$B$2:$B$3771,0))),0)</f>
        <v>0</v>
      </c>
      <c r="U254" s="118">
        <f>IFERROR(INDEX('Fuel Model - Calculation'!L$2:L$3771,(MATCH(($E254&amp;"ResultsTotal RNE "&amp;$F254&amp;"USD/ton"),'Fuel Model - Calculation'!$B$2:$B$3771,0))),0)</f>
        <v>0</v>
      </c>
      <c r="V254" s="118">
        <f>IFERROR(INDEX('Fuel Model - Calculation'!M$2:M$3771,(MATCH(($E254&amp;"ResultsTotal RNE "&amp;$F254&amp;"USD/ton"),'Fuel Model - Calculation'!$B$2:$B$3771,0))),0)</f>
        <v>0</v>
      </c>
      <c r="W254"/>
      <c r="X254" s="2">
        <f>INDEX('Fuel Model - Calculation'!$E$2:$M$3771,(MATCH(("WTT Emission - "&amp;$F254),'Fuel Model - Calculation'!$E$2:$E$3771,0)),MATCH(X$141,'Fuel Model - Calculation'!$E$2:$M$2,0))</f>
        <v>-1.1543863202019162</v>
      </c>
      <c r="Y254" s="2">
        <f>INDEX('Fuel Model - Calculation'!$E$2:$M$3771,(MATCH(("WTT Emission - "&amp;$F254),'Fuel Model - Calculation'!$E$2:$E$3771,0)),MATCH(Y$141,'Fuel Model - Calculation'!$E$2:$M$2,0))</f>
        <v>-1.1870545355839788</v>
      </c>
      <c r="Z254" s="2">
        <f>INDEX('Fuel Model - Calculation'!$E$2:$M$3771,(MATCH(("WTT Emission - "&amp;$F254),'Fuel Model - Calculation'!$E$2:$E$3771,0)),MATCH(Z$141,'Fuel Model - Calculation'!$E$2:$M$2,0))</f>
        <v>-1.2197315254758454</v>
      </c>
      <c r="AA254" s="2">
        <f>INDEX('Fuel Model - Calculation'!$E$2:$M$3771,(MATCH(("WTT Emission - "&amp;$F254),'Fuel Model - Calculation'!$E$2:$E$3771,0)),MATCH(AA$141,'Fuel Model - Calculation'!$E$2:$M$2,0))</f>
        <v>-1.2524085153677118</v>
      </c>
      <c r="AB254" s="2">
        <f>INDEX('Fuel Model - Calculation'!$E$2:$M$3771,(MATCH(("WTT Emission - "&amp;$F254),'Fuel Model - Calculation'!$E$2:$E$3771,0)),MATCH(AB$141,'Fuel Model - Calculation'!$E$2:$M$2,0))</f>
        <v>-1.2850855052595782</v>
      </c>
      <c r="AC254" s="2">
        <f>INDEX('Fuel Model - Calculation'!$E$2:$M$3771,(MATCH(("WTT Emission - "&amp;$F254),'Fuel Model - Calculation'!$E$2:$E$3771,0)),MATCH(AC$141,'Fuel Model - Calculation'!$E$2:$M$2,0))</f>
        <v>-1.3177624951514446</v>
      </c>
      <c r="AD254" s="2">
        <f>INDEX('Fuel Model - Calculation'!$E$2:$M$3771,(MATCH(("WTT Emission - "&amp;$F254),'Fuel Model - Calculation'!$E$2:$E$3771,0)),MATCH(AD$141,'Fuel Model - Calculation'!$E$2:$M$2,0))</f>
        <v>-1.3504394850433112</v>
      </c>
      <c r="AE254" s="2"/>
      <c r="AF254" s="2">
        <f>'Fuel Model -  Input'!H$51</f>
        <v>1.375</v>
      </c>
      <c r="AG254" s="2">
        <f>'Fuel Model -  Input'!I$51</f>
        <v>1.375</v>
      </c>
      <c r="AH254" s="2">
        <f>'Fuel Model -  Input'!J$51</f>
        <v>1.375</v>
      </c>
      <c r="AI254" s="2">
        <f>'Fuel Model -  Input'!K$51</f>
        <v>1.375</v>
      </c>
      <c r="AJ254" s="2">
        <f>'Fuel Model -  Input'!L$51</f>
        <v>1.375</v>
      </c>
      <c r="AK254" s="2">
        <f>'Fuel Model -  Input'!M$51</f>
        <v>1.375</v>
      </c>
      <c r="AL254" s="2">
        <f>'Fuel Model -  Input'!N$51</f>
        <v>1.375</v>
      </c>
      <c r="AM254"/>
      <c r="AN254" s="24">
        <f t="shared" si="212"/>
        <v>0.22061367979808377</v>
      </c>
      <c r="AO254" s="24">
        <f t="shared" si="212"/>
        <v>0.18794546441602122</v>
      </c>
      <c r="AP254" s="24">
        <f t="shared" si="212"/>
        <v>0.1552684745241546</v>
      </c>
      <c r="AQ254" s="24">
        <f t="shared" si="212"/>
        <v>0.12259148463228819</v>
      </c>
      <c r="AR254" s="24">
        <f t="shared" si="212"/>
        <v>8.9914494740421791E-2</v>
      </c>
      <c r="AS254" s="24">
        <f t="shared" si="212"/>
        <v>5.7237504848555387E-2</v>
      </c>
      <c r="AT254" s="24">
        <f t="shared" si="212"/>
        <v>2.4560514956688762E-2</v>
      </c>
      <c r="AU254"/>
      <c r="AV254" s="118">
        <f>IFERROR(INDEX('Fuel Model - Calculation'!$B$2:$M$3771,(MATCH(($E254&amp;"Results"&amp;$AV$140&amp;$F254&amp;"USD/ton"),'Fuel Model - Calculation'!$B$2:$B$3771,0)),MATCH(H$141,'Fuel Model - Calculation'!$B$2:$M$2,0)),0)</f>
        <v>477.00000000000011</v>
      </c>
      <c r="AW254" s="118">
        <f>IFERROR(INDEX('Fuel Model - Calculation'!$B$2:$M$3771,(MATCH(($E254&amp;"Results"&amp;$AV$140&amp;$F254&amp;"USD/ton"),'Fuel Model - Calculation'!$B$2:$B$3771,0)),MATCH(I$141,'Fuel Model - Calculation'!$B$2:$M$2,0)),0)</f>
        <v>300.33333333333343</v>
      </c>
      <c r="AX254" s="118">
        <f>IFERROR(INDEX('Fuel Model - Calculation'!$B$2:$M$3771,(MATCH(($E254&amp;"Results"&amp;$AV$140&amp;$F254&amp;"USD/ton"),'Fuel Model - Calculation'!$B$2:$B$3771,0)),MATCH(J$141,'Fuel Model - Calculation'!$B$2:$M$2,0)),0)</f>
        <v>234.08333333333337</v>
      </c>
      <c r="AY254" s="118">
        <f>IFERROR(INDEX('Fuel Model - Calculation'!$B$2:$M$3771,(MATCH(($E254&amp;"Results"&amp;$AV$140&amp;$F254&amp;"USD/ton"),'Fuel Model - Calculation'!$B$2:$B$3771,0)),MATCH(K$141,'Fuel Model - Calculation'!$B$2:$M$2,0)),0)</f>
        <v>205.37500000000006</v>
      </c>
      <c r="AZ254" s="118">
        <f>IFERROR(INDEX('Fuel Model - Calculation'!$B$2:$M$3771,(MATCH(($E254&amp;"Results"&amp;$AV$140&amp;$F254&amp;"USD/ton"),'Fuel Model - Calculation'!$B$2:$B$3771,0)),MATCH(L$141,'Fuel Model - Calculation'!$B$2:$M$2,0)),0)</f>
        <v>176.66666666666671</v>
      </c>
      <c r="BA254" s="118">
        <f>IFERROR(INDEX('Fuel Model - Calculation'!$B$2:$M$3771,(MATCH(($E254&amp;"Results"&amp;$AV$140&amp;$F254&amp;"USD/ton"),'Fuel Model - Calculation'!$B$2:$B$3771,0)),MATCH(M$141,'Fuel Model - Calculation'!$B$2:$M$2,0)),0)</f>
        <v>159.00000000000003</v>
      </c>
      <c r="BB254" s="118">
        <f>IFERROR(INDEX('Fuel Model - Calculation'!$B$2:$M$3771,(MATCH(($E254&amp;"Results"&amp;$AV$140&amp;$F254&amp;"USD/ton"),'Fuel Model - Calculation'!$B$2:$B$3771,0)),MATCH(N$141,'Fuel Model - Calculation'!$B$2:$M$2,0)),0)</f>
        <v>141.33333333333337</v>
      </c>
      <c r="BC254"/>
      <c r="BD254" s="118">
        <f>IFERROR(INDEX('Fuel Model - Calculation'!$B$2:$M$3771,(MATCH(($E254&amp;"Results"&amp;$BD$140&amp;$F254&amp;"USD/ton"),'Fuel Model - Calculation'!$B$2:$B$3771,0)),MATCH(P$141,'Fuel Model - Calculation'!$B$2:$M$2,0)),0)</f>
        <v>365.54668752145813</v>
      </c>
      <c r="BE254" s="118">
        <f>IFERROR(INDEX('Fuel Model - Calculation'!$B$2:$M$3771,(MATCH(($E254&amp;"Results"&amp;$BD$140&amp;$F254&amp;"USD/ton"),'Fuel Model - Calculation'!$B$2:$B$3771,0)),MATCH(Q$141,'Fuel Model - Calculation'!$B$2:$M$2,0)),0)</f>
        <v>227.50795324551348</v>
      </c>
      <c r="BF254" s="118">
        <f>IFERROR(INDEX('Fuel Model - Calculation'!$B$2:$M$3771,(MATCH(($E254&amp;"Results"&amp;$BD$140&amp;$F254&amp;"USD/ton"),'Fuel Model - Calculation'!$B$2:$B$3771,0)),MATCH(R$141,'Fuel Model - Calculation'!$B$2:$M$2,0)),0)</f>
        <v>177.42198496539228</v>
      </c>
      <c r="BG254" s="118">
        <f>IFERROR(INDEX('Fuel Model - Calculation'!$B$2:$M$3771,(MATCH(($E254&amp;"Results"&amp;$BD$140&amp;$F254&amp;"USD/ton"),'Fuel Model - Calculation'!$B$2:$B$3771,0)),MATCH(S$141,'Fuel Model - Calculation'!$B$2:$M$2,0)),0)</f>
        <v>155.07507149126621</v>
      </c>
      <c r="BH254" s="118">
        <f>IFERROR(INDEX('Fuel Model - Calculation'!$B$2:$M$3771,(MATCH(($E254&amp;"Results"&amp;$BD$140&amp;$F254&amp;"USD/ton"),'Fuel Model - Calculation'!$B$2:$B$3771,0)),MATCH(T$141,'Fuel Model - Calculation'!$B$2:$M$2,0)),0)</f>
        <v>134.2175204714687</v>
      </c>
      <c r="BI254" s="118">
        <f>IFERROR(INDEX('Fuel Model - Calculation'!$B$2:$M$3771,(MATCH(($E254&amp;"Results"&amp;$BD$140&amp;$F254&amp;"USD/ton"),'Fuel Model - Calculation'!$B$2:$B$3771,0)),MATCH(U$141,'Fuel Model - Calculation'!$B$2:$M$2,0)),0)</f>
        <v>120.83128745423836</v>
      </c>
      <c r="BJ254" s="118">
        <f>IFERROR(INDEX('Fuel Model - Calculation'!$B$2:$M$3771,(MATCH(($E254&amp;"Results"&amp;$BD$140&amp;$F254&amp;"USD/ton"),'Fuel Model - Calculation'!$B$2:$B$3771,0)),MATCH(V$141,'Fuel Model - Calculation'!$B$2:$M$2,0)),0)</f>
        <v>108.1344848061521</v>
      </c>
      <c r="BL254" s="118">
        <f>IFERROR(IFERROR(INDEX('Fuel Model - Calculation'!$B$2:$M$3771,(MATCH(($E254&amp;"Results"&amp;$BL$140&amp;$F254&amp;"USD/ton"),'Fuel Model - Calculation'!$B$2:$B$3771,0)),MATCH(H$141,'Fuel Model - Calculation'!$B$2:$M$2,0)),0),0)</f>
        <v>0</v>
      </c>
      <c r="BM254" s="118">
        <f>IFERROR(IFERROR(INDEX('Fuel Model - Calculation'!$B$2:$M$3771,(MATCH(($E254&amp;"Results"&amp;$BL$140&amp;$F254&amp;"USD/ton"),'Fuel Model - Calculation'!$B$2:$B$3771,0)),MATCH(I$141,'Fuel Model - Calculation'!$B$2:$M$2,0)),0),0)</f>
        <v>0</v>
      </c>
      <c r="BN254" s="118">
        <f>IFERROR(IFERROR(INDEX('Fuel Model - Calculation'!$B$2:$M$3771,(MATCH(($E254&amp;"Results"&amp;$BL$140&amp;$F254&amp;"USD/ton"),'Fuel Model - Calculation'!$B$2:$B$3771,0)),MATCH(J$141,'Fuel Model - Calculation'!$B$2:$M$2,0)),0),0)</f>
        <v>0</v>
      </c>
      <c r="BO254" s="118">
        <f>IFERROR(IFERROR(INDEX('Fuel Model - Calculation'!$B$2:$M$3771,(MATCH(($E254&amp;"Results"&amp;$BL$140&amp;$F254&amp;"USD/ton"),'Fuel Model - Calculation'!$B$2:$B$3771,0)),MATCH(K$141,'Fuel Model - Calculation'!$B$2:$M$2,0)),0),0)</f>
        <v>0</v>
      </c>
      <c r="BP254" s="118">
        <f>IFERROR(IFERROR(INDEX('Fuel Model - Calculation'!$B$2:$M$3771,(MATCH(($E254&amp;"Results"&amp;$BL$140&amp;$F254&amp;"USD/ton"),'Fuel Model - Calculation'!$B$2:$B$3771,0)),MATCH(L$141,'Fuel Model - Calculation'!$B$2:$M$2,0)),0),0)</f>
        <v>0</v>
      </c>
      <c r="BQ254" s="118">
        <f>IFERROR(IFERROR(INDEX('Fuel Model - Calculation'!$B$2:$M$3771,(MATCH(($E254&amp;"Results"&amp;$BL$140&amp;$F254&amp;"USD/ton"),'Fuel Model - Calculation'!$B$2:$B$3771,0)),MATCH(M$141,'Fuel Model - Calculation'!$B$2:$M$2,0)),0),0)</f>
        <v>0</v>
      </c>
      <c r="BR254" s="118">
        <f>IFERROR(IFERROR(INDEX('Fuel Model - Calculation'!$B$2:$M$3771,(MATCH(($E254&amp;"Results"&amp;$BL$140&amp;$F254&amp;"USD/ton"),'Fuel Model - Calculation'!$B$2:$B$3771,0)),MATCH(N$141,'Fuel Model - Calculation'!$B$2:$M$2,0)),0),0)</f>
        <v>0</v>
      </c>
      <c r="BT254" s="118">
        <f>IFERROR(INDEX('Fuel Model - Calculation'!$B$2:$M$3771,(MATCH(($E254&amp;"Results"&amp;$BT$140&amp;$F254&amp;"USD/ton"),'Fuel Model - Calculation'!$B$2:$B$3771,0)),MATCH(H$141,'Fuel Model - Calculation'!$B$2:$M$2,0)),0)</f>
        <v>200.84902790453273</v>
      </c>
      <c r="BU254" s="118">
        <f>IFERROR(INDEX('Fuel Model - Calculation'!$B$2:$M$3771,(MATCH(($E254&amp;"Results"&amp;$BT$140&amp;$F254&amp;"USD/ton"),'Fuel Model - Calculation'!$B$2:$B$3771,0)),MATCH(I$141,'Fuel Model - Calculation'!$B$2:$M$2,0)),0)</f>
        <v>206.8986974197295</v>
      </c>
      <c r="BV254" s="118">
        <f>IFERROR(INDEX('Fuel Model - Calculation'!$B$2:$M$3771,(MATCH(($E254&amp;"Results"&amp;$BT$140&amp;$F254&amp;"USD/ton"),'Fuel Model - Calculation'!$B$2:$B$3771,0)),MATCH(J$141,'Fuel Model - Calculation'!$B$2:$M$2,0)),0)</f>
        <v>212.94836693492627</v>
      </c>
      <c r="BW254" s="118">
        <f>IFERROR(INDEX('Fuel Model - Calculation'!$B$2:$M$3771,(MATCH(($E254&amp;"Results"&amp;$BT$140&amp;$F254&amp;"USD/ton"),'Fuel Model - Calculation'!$B$2:$B$3771,0)),MATCH(K$141,'Fuel Model - Calculation'!$B$2:$M$2,0)),0)</f>
        <v>220.20797035316241</v>
      </c>
      <c r="BX254" s="118">
        <f>IFERROR(INDEX('Fuel Model - Calculation'!$B$2:$M$3771,(MATCH(($E254&amp;"Results"&amp;$BT$140&amp;$F254&amp;"USD/ton"),'Fuel Model - Calculation'!$B$2:$B$3771,0)),MATCH(L$141,'Fuel Model - Calculation'!$B$2:$M$2,0)),0)</f>
        <v>226.25763986835918</v>
      </c>
      <c r="BY254" s="118">
        <f>IFERROR(INDEX('Fuel Model - Calculation'!$B$2:$M$3771,(MATCH(($E254&amp;"Results"&amp;$BT$140&amp;$F254&amp;"USD/ton"),'Fuel Model - Calculation'!$B$2:$B$3771,0)),MATCH(M$141,'Fuel Model - Calculation'!$B$2:$M$2,0)),0)</f>
        <v>232.30730938355595</v>
      </c>
      <c r="BZ254" s="118">
        <f>IFERROR(INDEX('Fuel Model - Calculation'!$B$2:$M$3771,(MATCH(($E254&amp;"Results"&amp;$BT$140&amp;$F254&amp;"USD/ton"),'Fuel Model - Calculation'!$B$2:$B$3771,0)),MATCH(N$141,'Fuel Model - Calculation'!$B$2:$M$2,0)),0)</f>
        <v>238.35697889875271</v>
      </c>
    </row>
    <row r="255" spans="1:78" x14ac:dyDescent="0.2">
      <c r="A255" s="452"/>
      <c r="B255" s="453"/>
      <c r="D255" s="459"/>
      <c r="E255"/>
      <c r="F255"/>
      <c r="G255"/>
      <c r="H255" s="118"/>
      <c r="I255"/>
      <c r="J255"/>
      <c r="K255"/>
      <c r="L255"/>
      <c r="M255"/>
      <c r="N255"/>
      <c r="O255"/>
      <c r="P255"/>
      <c r="Q255"/>
      <c r="R255"/>
      <c r="S255"/>
      <c r="T255"/>
      <c r="U255"/>
      <c r="V255"/>
      <c r="W255"/>
      <c r="X255"/>
      <c r="Y255"/>
      <c r="Z255"/>
      <c r="AA255"/>
      <c r="AB255"/>
      <c r="AC255"/>
      <c r="AD255"/>
      <c r="AE255"/>
      <c r="AF255" s="2"/>
      <c r="AG255" s="2"/>
      <c r="AH255" s="2"/>
      <c r="AI255" s="2"/>
      <c r="AJ255" s="2"/>
      <c r="AK255" s="2"/>
      <c r="AL255" s="2"/>
      <c r="AM255"/>
      <c r="AN255" s="24"/>
      <c r="AO255" s="24"/>
      <c r="AP255" s="24"/>
      <c r="AQ255" s="24"/>
      <c r="AR255" s="24"/>
      <c r="AS255" s="24"/>
      <c r="AT255" s="24"/>
      <c r="AU255"/>
      <c r="AV255" s="118"/>
      <c r="AW255" s="118"/>
      <c r="AX255" s="118"/>
      <c r="AY255" s="118"/>
      <c r="AZ255" s="118"/>
      <c r="BA255" s="118"/>
      <c r="BB255" s="118"/>
      <c r="BC255"/>
      <c r="BD255" s="118"/>
      <c r="BE255" s="118"/>
      <c r="BF255" s="118"/>
      <c r="BG255" s="118"/>
      <c r="BH255" s="118"/>
      <c r="BI255" s="118"/>
      <c r="BJ255" s="118"/>
      <c r="BL255" s="118"/>
      <c r="BM255" s="118"/>
      <c r="BN255" s="118"/>
      <c r="BO255" s="118"/>
      <c r="BP255" s="118"/>
      <c r="BQ255" s="118"/>
      <c r="BR255" s="118"/>
      <c r="BT255" s="118"/>
      <c r="BU255" s="118"/>
      <c r="BV255" s="118"/>
      <c r="BW255" s="118"/>
      <c r="BX255" s="118"/>
      <c r="BY255" s="118"/>
      <c r="BZ255" s="118"/>
    </row>
    <row r="256" spans="1:78" x14ac:dyDescent="0.2">
      <c r="A256" s="452"/>
      <c r="B256" s="453" t="str">
        <f>_xlfn.TEXTJOIN(keydelim,TRUE,F256,IF(E256="Africa","Africa&amp;other",E256),"Fuel cost",SUBSTITUTE($G256," ",""))</f>
        <v>Biodiesel (HtL blend) - Europe - Fuel cost - USD/ton</v>
      </c>
      <c r="D256" s="459" t="str">
        <f>E256&amp;F256</f>
        <v>EuropeBiodiesel (HtL blend)</v>
      </c>
      <c r="E256" t="s">
        <v>195</v>
      </c>
      <c r="F256" s="29" t="s">
        <v>595</v>
      </c>
      <c r="G256" t="s">
        <v>835</v>
      </c>
      <c r="H256" s="118">
        <f>INDEX('Fuel Model - Calculation'!$B$2:$M$3771,(MATCH(($E256&amp;"ResultsCost of "&amp;$F256&amp;"USD/ton"),'Fuel Model - Calculation'!$B$2:$B$3771,0)),MATCH(H$141,'Fuel Model - Calculation'!$B$2:$M$2,0))</f>
        <v>1529.0166595154024</v>
      </c>
      <c r="I256" s="118">
        <f>INDEX('Fuel Model - Calculation'!$B$2:$M$3771,(MATCH(($E256&amp;"ResultsCost of "&amp;$F256&amp;"USD/ton"),'Fuel Model - Calculation'!$B$2:$B$3771,0)),MATCH(I$141,'Fuel Model - Calculation'!$B$2:$M$2,0))</f>
        <v>1019.7193969719121</v>
      </c>
      <c r="J256" s="118">
        <f>INDEX('Fuel Model - Calculation'!$B$2:$M$3771,(MATCH(($E256&amp;"ResultsCost of "&amp;$F256&amp;"USD/ton"),'Fuel Model - Calculation'!$B$2:$B$3771,0)),MATCH(J$141,'Fuel Model - Calculation'!$B$2:$M$2,0))</f>
        <v>612.432251920407</v>
      </c>
      <c r="K256" s="118">
        <f>INDEX('Fuel Model - Calculation'!$B$2:$M$3771,(MATCH(($E256&amp;"ResultsCost of "&amp;$F256&amp;"USD/ton"),'Fuel Model - Calculation'!$B$2:$B$3771,0)),MATCH(K$141,'Fuel Model - Calculation'!$B$2:$M$2,0))</f>
        <v>598.71543057033568</v>
      </c>
      <c r="L256" s="118">
        <f>INDEX('Fuel Model - Calculation'!$B$2:$M$3771,(MATCH(($E256&amp;"ResultsCost of "&amp;$F256&amp;"USD/ton"),'Fuel Model - Calculation'!$B$2:$B$3771,0)),MATCH(L$141,'Fuel Model - Calculation'!$B$2:$M$2,0))</f>
        <v>592.62860820285584</v>
      </c>
      <c r="M256" s="118">
        <f>INDEX('Fuel Model - Calculation'!$B$2:$M$3771,(MATCH(($E256&amp;"ResultsCost of "&amp;$F256&amp;"USD/ton"),'Fuel Model - Calculation'!$B$2:$B$3771,0)),MATCH(M$141,'Fuel Model - Calculation'!$B$2:$M$2,0))</f>
        <v>587.08727004628349</v>
      </c>
      <c r="N256" s="118">
        <f>INDEX('Fuel Model - Calculation'!$B$2:$M$3771,(MATCH(($E256&amp;"ResultsCost of "&amp;$F256&amp;"USD/ton"),'Fuel Model - Calculation'!$B$2:$B$3771,0)),MATCH(N$141,'Fuel Model - Calculation'!$B$2:$M$2,0))</f>
        <v>581.69601111565976</v>
      </c>
      <c r="O256"/>
      <c r="P256" s="118">
        <f>IFERROR(INDEX('Fuel Model - Calculation'!G$2:G$3771,(MATCH(($E256&amp;"ResultsTotal RNE "&amp;$F256&amp;"USD/ton"),'Fuel Model - Calculation'!$B$2:$B$3771,0))),0)</f>
        <v>13.446638957521523</v>
      </c>
      <c r="Q256" s="118">
        <f>IFERROR(INDEX('Fuel Model - Calculation'!H$2:H$3771,(MATCH(($E256&amp;"ResultsTotal RNE "&amp;$F256&amp;"USD/ton"),'Fuel Model - Calculation'!$B$2:$B$3771,0))),0)</f>
        <v>10.880690425982827</v>
      </c>
      <c r="R256" s="118">
        <f>IFERROR(INDEX('Fuel Model - Calculation'!I$2:I$3771,(MATCH(($E256&amp;"ResultsTotal RNE "&amp;$F256&amp;"USD/ton"),'Fuel Model - Calculation'!$B$2:$B$3771,0))),0)</f>
        <v>8.7751676904612292</v>
      </c>
      <c r="S256" s="118">
        <f>IFERROR(INDEX('Fuel Model - Calculation'!J$2:J$3771,(MATCH(($E256&amp;"ResultsTotal RNE "&amp;$F256&amp;"USD/ton"),'Fuel Model - Calculation'!$B$2:$B$3771,0))),0)</f>
        <v>7.8877934346286525</v>
      </c>
      <c r="T256" s="118">
        <f>IFERROR(INDEX('Fuel Model - Calculation'!K$2:K$3771,(MATCH(($E256&amp;"ResultsTotal RNE "&amp;$F256&amp;"USD/ton"),'Fuel Model - Calculation'!$B$2:$B$3771,0))),0)</f>
        <v>7.3500357183920091</v>
      </c>
      <c r="U256" s="118">
        <f>IFERROR(INDEX('Fuel Model - Calculation'!L$2:L$3771,(MATCH(($E256&amp;"ResultsTotal RNE "&amp;$F256&amp;"USD/ton"),'Fuel Model - Calculation'!$B$2:$B$3771,0))),0)</f>
        <v>6.7806562824786116</v>
      </c>
      <c r="V256" s="118">
        <f>IFERROR(INDEX('Fuel Model - Calculation'!M$2:M$3771,(MATCH(($E256&amp;"ResultsTotal RNE "&amp;$F256&amp;"USD/ton"),'Fuel Model - Calculation'!$B$2:$B$3771,0))),0)</f>
        <v>6.3613560725139102</v>
      </c>
      <c r="W256"/>
      <c r="X256" s="2">
        <f>INDEX('Fuel Model - Calculation'!$E$2:$M$3771,(MATCH(("WTT Emission - "&amp;$F256),'Fuel Model - Calculation'!$E$2:$E$3771,0)),MATCH(X$141,'Fuel Model - Calculation'!$E$2:$M$2,0))</f>
        <v>-0.12831027398621947</v>
      </c>
      <c r="Y256" s="2">
        <f>INDEX('Fuel Model - Calculation'!$E$2:$M$3771,(MATCH(("WTT Emission - "&amp;$F256),'Fuel Model - Calculation'!$E$2:$E$3771,0)),MATCH(Y$141,'Fuel Model - Calculation'!$E$2:$M$2,0))</f>
        <v>-0.14444862911648365</v>
      </c>
      <c r="Z256" s="2">
        <f>INDEX('Fuel Model - Calculation'!$E$2:$M$3771,(MATCH(("WTT Emission - "&amp;$F256),'Fuel Model - Calculation'!$E$2:$E$3771,0)),MATCH(Z$141,'Fuel Model - Calculation'!$E$2:$M$2,0))</f>
        <v>-0.16059327432165488</v>
      </c>
      <c r="AA256" s="2">
        <f>INDEX('Fuel Model - Calculation'!$E$2:$M$3771,(MATCH(("WTT Emission - "&amp;$F256),'Fuel Model - Calculation'!$E$2:$E$3771,0)),MATCH(AA$141,'Fuel Model - Calculation'!$E$2:$M$2,0))</f>
        <v>-0.17673791952682633</v>
      </c>
      <c r="AB256" s="2">
        <f>INDEX('Fuel Model - Calculation'!$E$2:$M$3771,(MATCH(("WTT Emission - "&amp;$F256),'Fuel Model - Calculation'!$E$2:$E$3771,0)),MATCH(AB$141,'Fuel Model - Calculation'!$E$2:$M$2,0))</f>
        <v>-0.19288256473199777</v>
      </c>
      <c r="AC256" s="2">
        <f>INDEX('Fuel Model - Calculation'!$E$2:$M$3771,(MATCH(("WTT Emission - "&amp;$F256),'Fuel Model - Calculation'!$E$2:$E$3771,0)),MATCH(AC$141,'Fuel Model - Calculation'!$E$2:$M$2,0))</f>
        <v>-0.20902720993716911</v>
      </c>
      <c r="AD256" s="2">
        <f>INDEX('Fuel Model - Calculation'!$E$2:$M$3771,(MATCH(("WTT Emission - "&amp;$F256),'Fuel Model - Calculation'!$E$2:$E$3771,0)),MATCH(AD$141,'Fuel Model - Calculation'!$E$2:$M$2,0))</f>
        <v>-0.22517185514234067</v>
      </c>
      <c r="AE256" s="2"/>
      <c r="AF256" s="2">
        <f>'Fuel Model -  Input'!$H$57*'Fuel Model -  Input'!$H$319+'Fuel Model -  Input'!$H$320*'Fuel Model -  Input'!$H$48</f>
        <v>2.5286646666666668</v>
      </c>
      <c r="AG256" s="2">
        <f>'Fuel Model -  Input'!$H$57*'Fuel Model -  Input'!$H$319+'Fuel Model -  Input'!$H$320*'Fuel Model -  Input'!$H$48</f>
        <v>2.5286646666666668</v>
      </c>
      <c r="AH256" s="2">
        <f>'Fuel Model -  Input'!$H$57*'Fuel Model -  Input'!$H$319+'Fuel Model -  Input'!$H$320*'Fuel Model -  Input'!$H$48</f>
        <v>2.5286646666666668</v>
      </c>
      <c r="AI256" s="2">
        <f>'Fuel Model -  Input'!$H$57*'Fuel Model -  Input'!$H$319+'Fuel Model -  Input'!$H$320*'Fuel Model -  Input'!$H$48</f>
        <v>2.5286646666666668</v>
      </c>
      <c r="AJ256" s="2">
        <f>'Fuel Model -  Input'!$H$57*'Fuel Model -  Input'!$H$319+'Fuel Model -  Input'!$H$320*'Fuel Model -  Input'!$H$48</f>
        <v>2.5286646666666668</v>
      </c>
      <c r="AK256" s="2">
        <f>'Fuel Model -  Input'!$H$57*'Fuel Model -  Input'!$H$319+'Fuel Model -  Input'!$H$320*'Fuel Model -  Input'!$H$48</f>
        <v>2.5286646666666668</v>
      </c>
      <c r="AL256" s="2">
        <f>'Fuel Model -  Input'!$H$57*'Fuel Model -  Input'!$H$319+'Fuel Model -  Input'!$H$320*'Fuel Model -  Input'!$H$48</f>
        <v>2.5286646666666668</v>
      </c>
      <c r="AM256"/>
      <c r="AN256" s="24">
        <f t="shared" ref="AN256:AN260" si="215">X256+AF256</f>
        <v>2.4003543926804474</v>
      </c>
      <c r="AO256" s="24">
        <f t="shared" ref="AO256:AO260" si="216">Y256+AG256</f>
        <v>2.3842160375501833</v>
      </c>
      <c r="AP256" s="24">
        <f t="shared" ref="AP256:AP260" si="217">Z256+AH256</f>
        <v>2.3680713923450121</v>
      </c>
      <c r="AQ256" s="24">
        <f t="shared" ref="AQ256:AQ260" si="218">AA256+AI256</f>
        <v>2.3519267471398404</v>
      </c>
      <c r="AR256" s="24">
        <f t="shared" ref="AR256:AR260" si="219">AB256+AJ256</f>
        <v>2.3357821019346692</v>
      </c>
      <c r="AS256" s="24">
        <f t="shared" ref="AS256:AS260" si="220">AC256+AK256</f>
        <v>2.3196374567294975</v>
      </c>
      <c r="AT256" s="24">
        <f t="shared" ref="AT256:AT260" si="221">AD256+AL256</f>
        <v>2.3034928115243263</v>
      </c>
      <c r="AU256"/>
      <c r="AV256" s="118">
        <f>IFERROR(INDEX('Fuel Model - Calculation'!$B$2:$M$3771,(MATCH(($E256&amp;"Results"&amp;$AV$140&amp;$F256&amp;"USD/ton"),'Fuel Model - Calculation'!$B$2:$B$3771,0)),MATCH(H$141,'Fuel Model - Calculation'!$B$2:$M$2,0)),0)</f>
        <v>404.521475058004</v>
      </c>
      <c r="AW256" s="118">
        <f>IFERROR(INDEX('Fuel Model - Calculation'!$B$2:$M$3771,(MATCH(($E256&amp;"Results"&amp;$AV$140&amp;$F256&amp;"USD/ton"),'Fuel Model - Calculation'!$B$2:$B$3771,0)),MATCH(I$141,'Fuel Model - Calculation'!$B$2:$M$2,0)),0)</f>
        <v>242.71288503480241</v>
      </c>
      <c r="AX256" s="118">
        <f>IFERROR(INDEX('Fuel Model - Calculation'!$B$2:$M$3771,(MATCH(($E256&amp;"Results"&amp;$AV$140&amp;$F256&amp;"USD/ton"),'Fuel Model - Calculation'!$B$2:$B$3771,0)),MATCH(J$141,'Fuel Model - Calculation'!$B$2:$M$2,0)),0)</f>
        <v>80.904295011600823</v>
      </c>
      <c r="AY256" s="118">
        <f>IFERROR(INDEX('Fuel Model - Calculation'!$B$2:$M$3771,(MATCH(($E256&amp;"Results"&amp;$AV$140&amp;$F256&amp;"USD/ton"),'Fuel Model - Calculation'!$B$2:$B$3771,0)),MATCH(K$141,'Fuel Model - Calculation'!$B$2:$M$2,0)),0)</f>
        <v>77.056818082617085</v>
      </c>
      <c r="AZ256" s="118">
        <f>IFERROR(INDEX('Fuel Model - Calculation'!$B$2:$M$3771,(MATCH(($E256&amp;"Results"&amp;$AV$140&amp;$F256&amp;"USD/ton"),'Fuel Model - Calculation'!$B$2:$B$3771,0)),MATCH(L$141,'Fuel Model - Calculation'!$B$2:$M$2,0)),0)</f>
        <v>75.133079618125223</v>
      </c>
      <c r="BA256" s="118">
        <f>IFERROR(INDEX('Fuel Model - Calculation'!$B$2:$M$3771,(MATCH(($E256&amp;"Results"&amp;$AV$140&amp;$F256&amp;"USD/ton"),'Fuel Model - Calculation'!$B$2:$B$3771,0)),MATCH(M$141,'Fuel Model - Calculation'!$B$2:$M$2,0)),0)</f>
        <v>73.20934115363336</v>
      </c>
      <c r="BB256" s="118">
        <f>IFERROR(INDEX('Fuel Model - Calculation'!$B$2:$M$3771,(MATCH(($E256&amp;"Results"&amp;$AV$140&amp;$F256&amp;"USD/ton"),'Fuel Model - Calculation'!$B$2:$B$3771,0)),MATCH(N$141,'Fuel Model - Calculation'!$B$2:$M$2,0)),0)</f>
        <v>71.285602689141498</v>
      </c>
      <c r="BC256"/>
      <c r="BD256" s="118">
        <f>IFERROR(INDEX('Fuel Model - Calculation'!$B$2:$M$3771,(MATCH(($E256&amp;"Results"&amp;$BD$140&amp;$F256&amp;"USD/ton"),'Fuel Model - Calculation'!$B$2:$B$3771,0)),MATCH(P$141,'Fuel Model - Calculation'!$B$2:$M$2,0)),0)</f>
        <v>494.47915909065927</v>
      </c>
      <c r="BE256" s="118">
        <f>IFERROR(INDEX('Fuel Model - Calculation'!$B$2:$M$3771,(MATCH(($E256&amp;"Results"&amp;$BD$140&amp;$F256&amp;"USD/ton"),'Fuel Model - Calculation'!$B$2:$B$3771,0)),MATCH(Q$141,'Fuel Model - Calculation'!$B$2:$M$2,0)),0)</f>
        <v>296.6874954543955</v>
      </c>
      <c r="BF256" s="118">
        <f>IFERROR(INDEX('Fuel Model - Calculation'!$B$2:$M$3771,(MATCH(($E256&amp;"Results"&amp;$BD$140&amp;$F256&amp;"USD/ton"),'Fuel Model - Calculation'!$B$2:$B$3771,0)),MATCH(R$141,'Fuel Model - Calculation'!$B$2:$M$2,0)),0)</f>
        <v>98.895831818131853</v>
      </c>
      <c r="BG256" s="118">
        <f>IFERROR(INDEX('Fuel Model - Calculation'!$B$2:$M$3771,(MATCH(($E256&amp;"Results"&amp;$BD$140&amp;$F256&amp;"USD/ton"),'Fuel Model - Calculation'!$B$2:$B$3771,0)),MATCH(S$141,'Fuel Model - Calculation'!$B$2:$M$2,0)),0)</f>
        <v>87.028331999956023</v>
      </c>
      <c r="BH256" s="118">
        <f>IFERROR(INDEX('Fuel Model - Calculation'!$B$2:$M$3771,(MATCH(($E256&amp;"Results"&amp;$BD$140&amp;$F256&amp;"USD/ton"),'Fuel Model - Calculation'!$B$2:$B$3771,0)),MATCH(T$141,'Fuel Model - Calculation'!$B$2:$M$2,0)),0)</f>
        <v>81.094582090868116</v>
      </c>
      <c r="BI256" s="118">
        <f>IFERROR(INDEX('Fuel Model - Calculation'!$B$2:$M$3771,(MATCH(($E256&amp;"Results"&amp;$BD$140&amp;$F256&amp;"USD/ton"),'Fuel Model - Calculation'!$B$2:$B$3771,0)),MATCH(U$141,'Fuel Model - Calculation'!$B$2:$M$2,0)),0)</f>
        <v>75.160832181780194</v>
      </c>
      <c r="BJ256" s="118">
        <f>IFERROR(INDEX('Fuel Model - Calculation'!$B$2:$M$3771,(MATCH(($E256&amp;"Results"&amp;$BD$140&amp;$F256&amp;"USD/ton"),'Fuel Model - Calculation'!$B$2:$B$3771,0)),MATCH(V$141,'Fuel Model - Calculation'!$B$2:$M$2,0)),0)</f>
        <v>69.227082272692286</v>
      </c>
      <c r="BL256" s="118">
        <f>IFERROR(IFERROR(INDEX('Fuel Model - Calculation'!$B$2:$M$3771,(MATCH(($E256&amp;"Results"&amp;$BL$140&amp;$F256&amp;"USD/ton"),'Fuel Model - Calculation'!$B$2:$B$3771,0)),MATCH(H$141,'Fuel Model - Calculation'!$B$2:$M$2,0)),0),0)</f>
        <v>0</v>
      </c>
      <c r="BM256" s="118">
        <f>IFERROR(IFERROR(INDEX('Fuel Model - Calculation'!$B$2:$M$3771,(MATCH(($E256&amp;"Results"&amp;$BL$140&amp;$F256&amp;"USD/ton"),'Fuel Model - Calculation'!$B$2:$B$3771,0)),MATCH(I$141,'Fuel Model - Calculation'!$B$2:$M$2,0)),0),0)</f>
        <v>0</v>
      </c>
      <c r="BN256" s="118">
        <f>IFERROR(IFERROR(INDEX('Fuel Model - Calculation'!$B$2:$M$3771,(MATCH(($E256&amp;"Results"&amp;$BL$140&amp;$F256&amp;"USD/ton"),'Fuel Model - Calculation'!$B$2:$B$3771,0)),MATCH(J$141,'Fuel Model - Calculation'!$B$2:$M$2,0)),0),0)</f>
        <v>0</v>
      </c>
      <c r="BO256" s="118">
        <f>IFERROR(IFERROR(INDEX('Fuel Model - Calculation'!$B$2:$M$3771,(MATCH(($E256&amp;"Results"&amp;$BL$140&amp;$F256&amp;"USD/ton"),'Fuel Model - Calculation'!$B$2:$B$3771,0)),MATCH(K$141,'Fuel Model - Calculation'!$B$2:$M$2,0)),0),0)</f>
        <v>0</v>
      </c>
      <c r="BP256" s="118">
        <f>IFERROR(IFERROR(INDEX('Fuel Model - Calculation'!$B$2:$M$3771,(MATCH(($E256&amp;"Results"&amp;$BL$140&amp;$F256&amp;"USD/ton"),'Fuel Model - Calculation'!$B$2:$B$3771,0)),MATCH(L$141,'Fuel Model - Calculation'!$B$2:$M$2,0)),0),0)</f>
        <v>0</v>
      </c>
      <c r="BQ256" s="118">
        <f>IFERROR(IFERROR(INDEX('Fuel Model - Calculation'!$B$2:$M$3771,(MATCH(($E256&amp;"Results"&amp;$BL$140&amp;$F256&amp;"USD/ton"),'Fuel Model - Calculation'!$B$2:$B$3771,0)),MATCH(M$141,'Fuel Model - Calculation'!$B$2:$M$2,0)),0),0)</f>
        <v>0</v>
      </c>
      <c r="BR256" s="118">
        <f>IFERROR(IFERROR(INDEX('Fuel Model - Calculation'!$B$2:$M$3771,(MATCH(($E256&amp;"Results"&amp;$BL$140&amp;$F256&amp;"USD/ton"),'Fuel Model - Calculation'!$B$2:$B$3771,0)),MATCH(N$141,'Fuel Model - Calculation'!$B$2:$M$2,0)),0),0)</f>
        <v>0</v>
      </c>
      <c r="BT256" s="118">
        <f>IFERROR(INDEX('Fuel Model - Calculation'!$B$2:$M$3771,(MATCH(($E256&amp;"Results"&amp;$BT$140&amp;$F256&amp;"USD/ton"),'Fuel Model - Calculation'!$B$2:$B$3771,0)),MATCH(H$141,'Fuel Model - Calculation'!$B$2:$M$2,0)),0)</f>
        <v>616.56938640921749</v>
      </c>
      <c r="BU256" s="118">
        <f>IFERROR(INDEX('Fuel Model - Calculation'!$B$2:$M$3771,(MATCH(($E256&amp;"Results"&amp;$BT$140&amp;$F256&amp;"USD/ton"),'Fuel Model - Calculation'!$B$2:$B$3771,0)),MATCH(I$141,'Fuel Model - Calculation'!$B$2:$M$2,0)),0)</f>
        <v>469.4383260567314</v>
      </c>
      <c r="BV256" s="118">
        <f>IFERROR(INDEX('Fuel Model - Calculation'!$B$2:$M$3771,(MATCH(($E256&amp;"Results"&amp;$BT$140&amp;$F256&amp;"USD/ton"),'Fuel Model - Calculation'!$B$2:$B$3771,0)),MATCH(J$141,'Fuel Model - Calculation'!$B$2:$M$2,0)),0)</f>
        <v>423.8569574002131</v>
      </c>
      <c r="BW256" s="118">
        <f>IFERROR(INDEX('Fuel Model - Calculation'!$B$2:$M$3771,(MATCH(($E256&amp;"Results"&amp;$BT$140&amp;$F256&amp;"USD/ton"),'Fuel Model - Calculation'!$B$2:$B$3771,0)),MATCH(K$141,'Fuel Model - Calculation'!$B$2:$M$2,0)),0)</f>
        <v>426.74248705313386</v>
      </c>
      <c r="BX256" s="118">
        <f>IFERROR(INDEX('Fuel Model - Calculation'!$B$2:$M$3771,(MATCH(($E256&amp;"Results"&amp;$BT$140&amp;$F256&amp;"USD/ton"),'Fuel Model - Calculation'!$B$2:$B$3771,0)),MATCH(L$141,'Fuel Model - Calculation'!$B$2:$M$2,0)),0)</f>
        <v>429.05091077547047</v>
      </c>
      <c r="BY256" s="118">
        <f>IFERROR(INDEX('Fuel Model - Calculation'!$B$2:$M$3771,(MATCH(($E256&amp;"Results"&amp;$BT$140&amp;$F256&amp;"USD/ton"),'Fuel Model - Calculation'!$B$2:$B$3771,0)),MATCH(M$141,'Fuel Model - Calculation'!$B$2:$M$2,0)),0)</f>
        <v>431.93644042839128</v>
      </c>
      <c r="BZ256" s="118">
        <f>IFERROR(INDEX('Fuel Model - Calculation'!$B$2:$M$3771,(MATCH(($E256&amp;"Results"&amp;$BT$140&amp;$F256&amp;"USD/ton"),'Fuel Model - Calculation'!$B$2:$B$3771,0)),MATCH(N$141,'Fuel Model - Calculation'!$B$2:$M$2,0)),0)</f>
        <v>434.82197008131203</v>
      </c>
    </row>
    <row r="257" spans="1:78" x14ac:dyDescent="0.2">
      <c r="A257" s="452"/>
      <c r="B257" s="453" t="str">
        <f>_xlfn.TEXTJOIN(keydelim,TRUE,F257,IF(E257="Africa","Africa&amp;other",E257),"Fuel cost",SUBSTITUTE($G257," ",""))</f>
        <v>Biodiesel (HtL blend) - Middle East - Fuel cost - USD/ton</v>
      </c>
      <c r="D257" s="459" t="str">
        <f t="shared" ref="D257:D260" si="222">E257&amp;F257</f>
        <v>Middle EastBiodiesel (HtL blend)</v>
      </c>
      <c r="E257" t="s">
        <v>197</v>
      </c>
      <c r="F257" s="460" t="str">
        <f t="shared" ref="F257:F260" si="223">F256</f>
        <v>Biodiesel (HtL blend)</v>
      </c>
      <c r="G257" t="s">
        <v>835</v>
      </c>
      <c r="H257" s="118">
        <f>INDEX('Fuel Model - Calculation'!$B$2:$M$3771,(MATCH(($E257&amp;"ResultsCost of "&amp;$F257&amp;"USD/ton"),'Fuel Model - Calculation'!$B$2:$B$3771,0)),MATCH(H$141,'Fuel Model - Calculation'!$B$2:$M$2,0))</f>
        <v>1535.1285254212712</v>
      </c>
      <c r="I257" s="118">
        <f>INDEX('Fuel Model - Calculation'!$B$2:$M$3771,(MATCH(($E257&amp;"ResultsCost of "&amp;$F257&amp;"USD/ton"),'Fuel Model - Calculation'!$B$2:$B$3771,0)),MATCH(I$141,'Fuel Model - Calculation'!$B$2:$M$2,0))</f>
        <v>1025.8083824512019</v>
      </c>
      <c r="J257" s="118">
        <f>INDEX('Fuel Model - Calculation'!$B$2:$M$3771,(MATCH(($E257&amp;"ResultsCost of "&amp;$F257&amp;"USD/ton"),'Fuel Model - Calculation'!$B$2:$B$3771,0)),MATCH(J$141,'Fuel Model - Calculation'!$B$2:$M$2,0))</f>
        <v>618.69216952884074</v>
      </c>
      <c r="K257" s="118">
        <f>INDEX('Fuel Model - Calculation'!$B$2:$M$3771,(MATCH(($E257&amp;"ResultsCost of "&amp;$F257&amp;"USD/ton"),'Fuel Model - Calculation'!$B$2:$B$3771,0)),MATCH(K$141,'Fuel Model - Calculation'!$B$2:$M$2,0))</f>
        <v>604.3277738319473</v>
      </c>
      <c r="L257" s="118">
        <f>INDEX('Fuel Model - Calculation'!$B$2:$M$3771,(MATCH(($E257&amp;"ResultsCost of "&amp;$F257&amp;"USD/ton"),'Fuel Model - Calculation'!$B$2:$B$3771,0)),MATCH(L$141,'Fuel Model - Calculation'!$B$2:$M$2,0))</f>
        <v>598.8679870701767</v>
      </c>
      <c r="M257" s="118">
        <f>INDEX('Fuel Model - Calculation'!$B$2:$M$3771,(MATCH(($E257&amp;"ResultsCost of "&amp;$F257&amp;"USD/ton"),'Fuel Model - Calculation'!$B$2:$B$3771,0)),MATCH(M$141,'Fuel Model - Calculation'!$B$2:$M$2,0))</f>
        <v>592.69005155242257</v>
      </c>
      <c r="N257" s="118">
        <f>INDEX('Fuel Model - Calculation'!$B$2:$M$3771,(MATCH(($E257&amp;"ResultsCost of "&amp;$F257&amp;"USD/ton"),'Fuel Model - Calculation'!$B$2:$B$3771,0)),MATCH(N$141,'Fuel Model - Calculation'!$B$2:$M$2,0))</f>
        <v>586.83912998437734</v>
      </c>
      <c r="O257"/>
      <c r="P257" s="118">
        <f>IFERROR(INDEX('Fuel Model - Calculation'!G$2:G$3771,(MATCH(($E257&amp;"ResultsTotal RNE "&amp;$F257&amp;"USD/ton"),'Fuel Model - Calculation'!$B$2:$B$3771,0))),0)</f>
        <v>10.324809974044104</v>
      </c>
      <c r="Q257" s="118">
        <f>IFERROR(INDEX('Fuel Model - Calculation'!H$2:H$3771,(MATCH(($E257&amp;"ResultsTotal RNE "&amp;$F257&amp;"USD/ton"),'Fuel Model - Calculation'!$B$2:$B$3771,0))),0)</f>
        <v>8.3130869465101824</v>
      </c>
      <c r="R257" s="118">
        <f>IFERROR(INDEX('Fuel Model - Calculation'!I$2:I$3771,(MATCH(($E257&amp;"ResultsTotal RNE "&amp;$F257&amp;"USD/ton"),'Fuel Model - Calculation'!$B$2:$B$3771,0))),0)</f>
        <v>6.955602270716807</v>
      </c>
      <c r="S257" s="118">
        <f>IFERROR(INDEX('Fuel Model - Calculation'!J$2:J$3771,(MATCH(($E257&amp;"ResultsTotal RNE "&amp;$F257&amp;"USD/ton"),'Fuel Model - Calculation'!$B$2:$B$3771,0))),0)</f>
        <v>5.9977595986462342</v>
      </c>
      <c r="T257" s="118">
        <f>IFERROR(INDEX('Fuel Model - Calculation'!K$2:K$3771,(MATCH(($E257&amp;"ResultsTotal RNE "&amp;$F257&amp;"USD/ton"),'Fuel Model - Calculation'!$B$2:$B$3771,0))),0)</f>
        <v>5.509931557534669</v>
      </c>
      <c r="U257" s="118">
        <f>IFERROR(INDEX('Fuel Model - Calculation'!L$2:L$3771,(MATCH(($E257&amp;"ResultsTotal RNE "&amp;$F257&amp;"USD/ton"),'Fuel Model - Calculation'!$B$2:$B$3771,0))),0)</f>
        <v>4.8810606910236958</v>
      </c>
      <c r="V257" s="118">
        <f>IFERROR(INDEX('Fuel Model - Calculation'!M$2:M$3771,(MATCH(($E257&amp;"ResultsTotal RNE "&amp;$F257&amp;"USD/ton"),'Fuel Model - Calculation'!$B$2:$B$3771,0))),0)</f>
        <v>4.5792037742216554</v>
      </c>
      <c r="W257"/>
      <c r="X257" s="2">
        <f>INDEX('Fuel Model - Calculation'!$E$2:$M$3771,(MATCH(("WTT Emission - "&amp;$F257),'Fuel Model - Calculation'!$E$2:$E$3771,0)),MATCH(X$141,'Fuel Model - Calculation'!$E$2:$M$2,0))</f>
        <v>-0.12831027398621947</v>
      </c>
      <c r="Y257" s="2">
        <f>INDEX('Fuel Model - Calculation'!$E$2:$M$3771,(MATCH(("WTT Emission - "&amp;$F257),'Fuel Model - Calculation'!$E$2:$E$3771,0)),MATCH(Y$141,'Fuel Model - Calculation'!$E$2:$M$2,0))</f>
        <v>-0.14444862911648365</v>
      </c>
      <c r="Z257" s="2">
        <f>INDEX('Fuel Model - Calculation'!$E$2:$M$3771,(MATCH(("WTT Emission - "&amp;$F257),'Fuel Model - Calculation'!$E$2:$E$3771,0)),MATCH(Z$141,'Fuel Model - Calculation'!$E$2:$M$2,0))</f>
        <v>-0.16059327432165488</v>
      </c>
      <c r="AA257" s="2">
        <f>INDEX('Fuel Model - Calculation'!$E$2:$M$3771,(MATCH(("WTT Emission - "&amp;$F257),'Fuel Model - Calculation'!$E$2:$E$3771,0)),MATCH(AA$141,'Fuel Model - Calculation'!$E$2:$M$2,0))</f>
        <v>-0.17673791952682633</v>
      </c>
      <c r="AB257" s="2">
        <f>INDEX('Fuel Model - Calculation'!$E$2:$M$3771,(MATCH(("WTT Emission - "&amp;$F257),'Fuel Model - Calculation'!$E$2:$E$3771,0)),MATCH(AB$141,'Fuel Model - Calculation'!$E$2:$M$2,0))</f>
        <v>-0.19288256473199777</v>
      </c>
      <c r="AC257" s="2">
        <f>INDEX('Fuel Model - Calculation'!$E$2:$M$3771,(MATCH(("WTT Emission - "&amp;$F257),'Fuel Model - Calculation'!$E$2:$E$3771,0)),MATCH(AC$141,'Fuel Model - Calculation'!$E$2:$M$2,0))</f>
        <v>-0.20902720993716911</v>
      </c>
      <c r="AD257" s="2">
        <f>INDEX('Fuel Model - Calculation'!$E$2:$M$3771,(MATCH(("WTT Emission - "&amp;$F257),'Fuel Model - Calculation'!$E$2:$E$3771,0)),MATCH(AD$141,'Fuel Model - Calculation'!$E$2:$M$2,0))</f>
        <v>-0.22517185514234067</v>
      </c>
      <c r="AE257" s="2"/>
      <c r="AF257" s="2">
        <f>'Fuel Model -  Input'!$H$57*'Fuel Model -  Input'!$H$319+'Fuel Model -  Input'!$H$320*'Fuel Model -  Input'!$H$48</f>
        <v>2.5286646666666668</v>
      </c>
      <c r="AG257" s="2">
        <f>'Fuel Model -  Input'!$H$57*'Fuel Model -  Input'!$H$319+'Fuel Model -  Input'!$H$320*'Fuel Model -  Input'!$H$48</f>
        <v>2.5286646666666668</v>
      </c>
      <c r="AH257" s="2">
        <f>'Fuel Model -  Input'!$H$57*'Fuel Model -  Input'!$H$319+'Fuel Model -  Input'!$H$320*'Fuel Model -  Input'!$H$48</f>
        <v>2.5286646666666668</v>
      </c>
      <c r="AI257" s="2">
        <f>'Fuel Model -  Input'!$H$57*'Fuel Model -  Input'!$H$319+'Fuel Model -  Input'!$H$320*'Fuel Model -  Input'!$H$48</f>
        <v>2.5286646666666668</v>
      </c>
      <c r="AJ257" s="2">
        <f>'Fuel Model -  Input'!$H$57*'Fuel Model -  Input'!$H$319+'Fuel Model -  Input'!$H$320*'Fuel Model -  Input'!$H$48</f>
        <v>2.5286646666666668</v>
      </c>
      <c r="AK257" s="2">
        <f>'Fuel Model -  Input'!$H$57*'Fuel Model -  Input'!$H$319+'Fuel Model -  Input'!$H$320*'Fuel Model -  Input'!$H$48</f>
        <v>2.5286646666666668</v>
      </c>
      <c r="AL257" s="2">
        <f>'Fuel Model -  Input'!$H$57*'Fuel Model -  Input'!$H$319+'Fuel Model -  Input'!$H$320*'Fuel Model -  Input'!$H$48</f>
        <v>2.5286646666666668</v>
      </c>
      <c r="AM257"/>
      <c r="AN257" s="24">
        <f t="shared" si="215"/>
        <v>2.4003543926804474</v>
      </c>
      <c r="AO257" s="24">
        <f t="shared" si="216"/>
        <v>2.3842160375501833</v>
      </c>
      <c r="AP257" s="24">
        <f t="shared" si="217"/>
        <v>2.3680713923450121</v>
      </c>
      <c r="AQ257" s="24">
        <f t="shared" si="218"/>
        <v>2.3519267471398404</v>
      </c>
      <c r="AR257" s="24">
        <f t="shared" si="219"/>
        <v>2.3357821019346692</v>
      </c>
      <c r="AS257" s="24">
        <f t="shared" si="220"/>
        <v>2.3196374567294975</v>
      </c>
      <c r="AT257" s="24">
        <f t="shared" si="221"/>
        <v>2.3034928115243263</v>
      </c>
      <c r="AU257"/>
      <c r="AV257" s="118">
        <f>IFERROR(INDEX('Fuel Model - Calculation'!$B$2:$M$3771,(MATCH(($E257&amp;"Results"&amp;$AV$140&amp;$F257&amp;"USD/ton"),'Fuel Model - Calculation'!$B$2:$B$3771,0)),MATCH(H$141,'Fuel Model - Calculation'!$B$2:$M$2,0)),0)</f>
        <v>404.521475058004</v>
      </c>
      <c r="AW257" s="118">
        <f>IFERROR(INDEX('Fuel Model - Calculation'!$B$2:$M$3771,(MATCH(($E257&amp;"Results"&amp;$AV$140&amp;$F257&amp;"USD/ton"),'Fuel Model - Calculation'!$B$2:$B$3771,0)),MATCH(I$141,'Fuel Model - Calculation'!$B$2:$M$2,0)),0)</f>
        <v>242.71288503480241</v>
      </c>
      <c r="AX257" s="118">
        <f>IFERROR(INDEX('Fuel Model - Calculation'!$B$2:$M$3771,(MATCH(($E257&amp;"Results"&amp;$AV$140&amp;$F257&amp;"USD/ton"),'Fuel Model - Calculation'!$B$2:$B$3771,0)),MATCH(J$141,'Fuel Model - Calculation'!$B$2:$M$2,0)),0)</f>
        <v>80.904295011600823</v>
      </c>
      <c r="AY257" s="118">
        <f>IFERROR(INDEX('Fuel Model - Calculation'!$B$2:$M$3771,(MATCH(($E257&amp;"Results"&amp;$AV$140&amp;$F257&amp;"USD/ton"),'Fuel Model - Calculation'!$B$2:$B$3771,0)),MATCH(K$141,'Fuel Model - Calculation'!$B$2:$M$2,0)),0)</f>
        <v>77.056818082617085</v>
      </c>
      <c r="AZ257" s="118">
        <f>IFERROR(INDEX('Fuel Model - Calculation'!$B$2:$M$3771,(MATCH(($E257&amp;"Results"&amp;$AV$140&amp;$F257&amp;"USD/ton"),'Fuel Model - Calculation'!$B$2:$B$3771,0)),MATCH(L$141,'Fuel Model - Calculation'!$B$2:$M$2,0)),0)</f>
        <v>75.133079618125223</v>
      </c>
      <c r="BA257" s="118">
        <f>IFERROR(INDEX('Fuel Model - Calculation'!$B$2:$M$3771,(MATCH(($E257&amp;"Results"&amp;$AV$140&amp;$F257&amp;"USD/ton"),'Fuel Model - Calculation'!$B$2:$B$3771,0)),MATCH(M$141,'Fuel Model - Calculation'!$B$2:$M$2,0)),0)</f>
        <v>73.20934115363336</v>
      </c>
      <c r="BB257" s="118">
        <f>IFERROR(INDEX('Fuel Model - Calculation'!$B$2:$M$3771,(MATCH(($E257&amp;"Results"&amp;$AV$140&amp;$F257&amp;"USD/ton"),'Fuel Model - Calculation'!$B$2:$B$3771,0)),MATCH(N$141,'Fuel Model - Calculation'!$B$2:$M$2,0)),0)</f>
        <v>71.285602689141498</v>
      </c>
      <c r="BC257"/>
      <c r="BD257" s="118">
        <f>IFERROR(INDEX('Fuel Model - Calculation'!$B$2:$M$3771,(MATCH(($E257&amp;"Results"&amp;$BD$140&amp;$F257&amp;"USD/ton"),'Fuel Model - Calculation'!$B$2:$B$3771,0)),MATCH(P$141,'Fuel Model - Calculation'!$B$2:$M$2,0)),0)</f>
        <v>494.47915909065927</v>
      </c>
      <c r="BE257" s="118">
        <f>IFERROR(INDEX('Fuel Model - Calculation'!$B$2:$M$3771,(MATCH(($E257&amp;"Results"&amp;$BD$140&amp;$F257&amp;"USD/ton"),'Fuel Model - Calculation'!$B$2:$B$3771,0)),MATCH(Q$141,'Fuel Model - Calculation'!$B$2:$M$2,0)),0)</f>
        <v>296.6874954543955</v>
      </c>
      <c r="BF257" s="118">
        <f>IFERROR(INDEX('Fuel Model - Calculation'!$B$2:$M$3771,(MATCH(($E257&amp;"Results"&amp;$BD$140&amp;$F257&amp;"USD/ton"),'Fuel Model - Calculation'!$B$2:$B$3771,0)),MATCH(R$141,'Fuel Model - Calculation'!$B$2:$M$2,0)),0)</f>
        <v>98.895831818131853</v>
      </c>
      <c r="BG257" s="118">
        <f>IFERROR(INDEX('Fuel Model - Calculation'!$B$2:$M$3771,(MATCH(($E257&amp;"Results"&amp;$BD$140&amp;$F257&amp;"USD/ton"),'Fuel Model - Calculation'!$B$2:$B$3771,0)),MATCH(S$141,'Fuel Model - Calculation'!$B$2:$M$2,0)),0)</f>
        <v>87.028331999956023</v>
      </c>
      <c r="BH257" s="118">
        <f>IFERROR(INDEX('Fuel Model - Calculation'!$B$2:$M$3771,(MATCH(($E257&amp;"Results"&amp;$BD$140&amp;$F257&amp;"USD/ton"),'Fuel Model - Calculation'!$B$2:$B$3771,0)),MATCH(T$141,'Fuel Model - Calculation'!$B$2:$M$2,0)),0)</f>
        <v>81.094582090868116</v>
      </c>
      <c r="BI257" s="118">
        <f>IFERROR(INDEX('Fuel Model - Calculation'!$B$2:$M$3771,(MATCH(($E257&amp;"Results"&amp;$BD$140&amp;$F257&amp;"USD/ton"),'Fuel Model - Calculation'!$B$2:$B$3771,0)),MATCH(U$141,'Fuel Model - Calculation'!$B$2:$M$2,0)),0)</f>
        <v>75.160832181780194</v>
      </c>
      <c r="BJ257" s="118">
        <f>IFERROR(INDEX('Fuel Model - Calculation'!$B$2:$M$3771,(MATCH(($E257&amp;"Results"&amp;$BD$140&amp;$F257&amp;"USD/ton"),'Fuel Model - Calculation'!$B$2:$B$3771,0)),MATCH(V$141,'Fuel Model - Calculation'!$B$2:$M$2,0)),0)</f>
        <v>69.227082272692286</v>
      </c>
      <c r="BL257" s="118">
        <f>IFERROR(IFERROR(INDEX('Fuel Model - Calculation'!$B$2:$M$3771,(MATCH(($E257&amp;"Results"&amp;$BL$140&amp;$F257&amp;"USD/ton"),'Fuel Model - Calculation'!$B$2:$B$3771,0)),MATCH(H$141,'Fuel Model - Calculation'!$B$2:$M$2,0)),0),0)</f>
        <v>0</v>
      </c>
      <c r="BM257" s="118">
        <f>IFERROR(IFERROR(INDEX('Fuel Model - Calculation'!$B$2:$M$3771,(MATCH(($E257&amp;"Results"&amp;$BL$140&amp;$F257&amp;"USD/ton"),'Fuel Model - Calculation'!$B$2:$B$3771,0)),MATCH(I$141,'Fuel Model - Calculation'!$B$2:$M$2,0)),0),0)</f>
        <v>0</v>
      </c>
      <c r="BN257" s="118">
        <f>IFERROR(IFERROR(INDEX('Fuel Model - Calculation'!$B$2:$M$3771,(MATCH(($E257&amp;"Results"&amp;$BL$140&amp;$F257&amp;"USD/ton"),'Fuel Model - Calculation'!$B$2:$B$3771,0)),MATCH(J$141,'Fuel Model - Calculation'!$B$2:$M$2,0)),0),0)</f>
        <v>0</v>
      </c>
      <c r="BO257" s="118">
        <f>IFERROR(IFERROR(INDEX('Fuel Model - Calculation'!$B$2:$M$3771,(MATCH(($E257&amp;"Results"&amp;$BL$140&amp;$F257&amp;"USD/ton"),'Fuel Model - Calculation'!$B$2:$B$3771,0)),MATCH(K$141,'Fuel Model - Calculation'!$B$2:$M$2,0)),0),0)</f>
        <v>0</v>
      </c>
      <c r="BP257" s="118">
        <f>IFERROR(IFERROR(INDEX('Fuel Model - Calculation'!$B$2:$M$3771,(MATCH(($E257&amp;"Results"&amp;$BL$140&amp;$F257&amp;"USD/ton"),'Fuel Model - Calculation'!$B$2:$B$3771,0)),MATCH(L$141,'Fuel Model - Calculation'!$B$2:$M$2,0)),0),0)</f>
        <v>0</v>
      </c>
      <c r="BQ257" s="118">
        <f>IFERROR(IFERROR(INDEX('Fuel Model - Calculation'!$B$2:$M$3771,(MATCH(($E257&amp;"Results"&amp;$BL$140&amp;$F257&amp;"USD/ton"),'Fuel Model - Calculation'!$B$2:$B$3771,0)),MATCH(M$141,'Fuel Model - Calculation'!$B$2:$M$2,0)),0),0)</f>
        <v>0</v>
      </c>
      <c r="BR257" s="118">
        <f>IFERROR(IFERROR(INDEX('Fuel Model - Calculation'!$B$2:$M$3771,(MATCH(($E257&amp;"Results"&amp;$BL$140&amp;$F257&amp;"USD/ton"),'Fuel Model - Calculation'!$B$2:$B$3771,0)),MATCH(N$141,'Fuel Model - Calculation'!$B$2:$M$2,0)),0),0)</f>
        <v>0</v>
      </c>
      <c r="BT257" s="118">
        <f>IFERROR(INDEX('Fuel Model - Calculation'!$B$2:$M$3771,(MATCH(($E257&amp;"Results"&amp;$BT$140&amp;$F257&amp;"USD/ton"),'Fuel Model - Calculation'!$B$2:$B$3771,0)),MATCH(H$141,'Fuel Model - Calculation'!$B$2:$M$2,0)),0)</f>
        <v>625.80308129856394</v>
      </c>
      <c r="BU257" s="118">
        <f>IFERROR(INDEX('Fuel Model - Calculation'!$B$2:$M$3771,(MATCH(($E257&amp;"Results"&amp;$BT$140&amp;$F257&amp;"USD/ton"),'Fuel Model - Calculation'!$B$2:$B$3771,0)),MATCH(I$141,'Fuel Model - Calculation'!$B$2:$M$2,0)),0)</f>
        <v>478.09491501549377</v>
      </c>
      <c r="BV257" s="118">
        <f>IFERROR(INDEX('Fuel Model - Calculation'!$B$2:$M$3771,(MATCH(($E257&amp;"Results"&amp;$BT$140&amp;$F257&amp;"USD/ton"),'Fuel Model - Calculation'!$B$2:$B$3771,0)),MATCH(J$141,'Fuel Model - Calculation'!$B$2:$M$2,0)),0)</f>
        <v>431.93644042839128</v>
      </c>
      <c r="BW257" s="118">
        <f>IFERROR(INDEX('Fuel Model - Calculation'!$B$2:$M$3771,(MATCH(($E257&amp;"Results"&amp;$BT$140&amp;$F257&amp;"USD/ton"),'Fuel Model - Calculation'!$B$2:$B$3771,0)),MATCH(K$141,'Fuel Model - Calculation'!$B$2:$M$2,0)),0)</f>
        <v>434.24486415072789</v>
      </c>
      <c r="BX257" s="118">
        <f>IFERROR(INDEX('Fuel Model - Calculation'!$B$2:$M$3771,(MATCH(($E257&amp;"Results"&amp;$BT$140&amp;$F257&amp;"USD/ton"),'Fuel Model - Calculation'!$B$2:$B$3771,0)),MATCH(L$141,'Fuel Model - Calculation'!$B$2:$M$2,0)),0)</f>
        <v>437.13039380364864</v>
      </c>
      <c r="BY257" s="118">
        <f>IFERROR(INDEX('Fuel Model - Calculation'!$B$2:$M$3771,(MATCH(($E257&amp;"Results"&amp;$BT$140&amp;$F257&amp;"USD/ton"),'Fuel Model - Calculation'!$B$2:$B$3771,0)),MATCH(M$141,'Fuel Model - Calculation'!$B$2:$M$2,0)),0)</f>
        <v>439.43881752598531</v>
      </c>
      <c r="BZ257" s="118">
        <f>IFERROR(INDEX('Fuel Model - Calculation'!$B$2:$M$3771,(MATCH(($E257&amp;"Results"&amp;$BT$140&amp;$F257&amp;"USD/ton"),'Fuel Model - Calculation'!$B$2:$B$3771,0)),MATCH(N$141,'Fuel Model - Calculation'!$B$2:$M$2,0)),0)</f>
        <v>441.74724124832193</v>
      </c>
    </row>
    <row r="258" spans="1:78" x14ac:dyDescent="0.2">
      <c r="A258" s="452"/>
      <c r="B258" s="453" t="str">
        <f>_xlfn.TEXTJOIN(keydelim,TRUE,F258,IF(E258="Africa","Africa&amp;other",E258),"Fuel cost",SUBSTITUTE($G258," ",""))</f>
        <v>Biodiesel (HtL blend) - Asia - Fuel cost - USD/ton</v>
      </c>
      <c r="D258" s="459" t="str">
        <f t="shared" si="222"/>
        <v>AsiaBiodiesel (HtL blend)</v>
      </c>
      <c r="E258" t="s">
        <v>198</v>
      </c>
      <c r="F258" s="460" t="str">
        <f t="shared" si="223"/>
        <v>Biodiesel (HtL blend)</v>
      </c>
      <c r="G258" t="s">
        <v>835</v>
      </c>
      <c r="H258" s="118">
        <f>INDEX('Fuel Model - Calculation'!$B$2:$M$3771,(MATCH(($E258&amp;"ResultsCost of "&amp;$F258&amp;"USD/ton"),'Fuel Model - Calculation'!$B$2:$B$3771,0)),MATCH(H$141,'Fuel Model - Calculation'!$B$2:$M$2,0))</f>
        <v>1520.1992270207265</v>
      </c>
      <c r="I258" s="118">
        <f>INDEX('Fuel Model - Calculation'!$B$2:$M$3771,(MATCH(($E258&amp;"ResultsCost of "&amp;$F258&amp;"USD/ton"),'Fuel Model - Calculation'!$B$2:$B$3771,0)),MATCH(I$141,'Fuel Model - Calculation'!$B$2:$M$2,0))</f>
        <v>1006.4403713493222</v>
      </c>
      <c r="J258" s="118">
        <f>INDEX('Fuel Model - Calculation'!$B$2:$M$3771,(MATCH(($E258&amp;"ResultsCost of "&amp;$F258&amp;"USD/ton"),'Fuel Model - Calculation'!$B$2:$B$3771,0)),MATCH(J$141,'Fuel Model - Calculation'!$B$2:$M$2,0))</f>
        <v>598.12191362359215</v>
      </c>
      <c r="K258" s="118">
        <f>INDEX('Fuel Model - Calculation'!$B$2:$M$3771,(MATCH(($E258&amp;"ResultsCost of "&amp;$F258&amp;"USD/ton"),'Fuel Model - Calculation'!$B$2:$B$3771,0)),MATCH(K$141,'Fuel Model - Calculation'!$B$2:$M$2,0))</f>
        <v>583.55268718353966</v>
      </c>
      <c r="L258" s="118">
        <f>INDEX('Fuel Model - Calculation'!$B$2:$M$3771,(MATCH(($E258&amp;"ResultsCost of "&amp;$F258&amp;"USD/ton"),'Fuel Model - Calculation'!$B$2:$B$3771,0)),MATCH(L$141,'Fuel Model - Calculation'!$B$2:$M$2,0))</f>
        <v>577.68646149459323</v>
      </c>
      <c r="M258" s="118">
        <f>INDEX('Fuel Model - Calculation'!$B$2:$M$3771,(MATCH(($E258&amp;"ResultsCost of "&amp;$F258&amp;"USD/ton"),'Fuel Model - Calculation'!$B$2:$B$3771,0)),MATCH(M$141,'Fuel Model - Calculation'!$B$2:$M$2,0))</f>
        <v>571.20939483507232</v>
      </c>
      <c r="N258" s="118">
        <f>INDEX('Fuel Model - Calculation'!$B$2:$M$3771,(MATCH(($E258&amp;"ResultsCost of "&amp;$F258&amp;"USD/ton"),'Fuel Model - Calculation'!$B$2:$B$3771,0)),MATCH(N$141,'Fuel Model - Calculation'!$B$2:$M$2,0))</f>
        <v>565.80073118225937</v>
      </c>
      <c r="O258"/>
      <c r="P258" s="118">
        <f>IFERROR(INDEX('Fuel Model - Calculation'!G$2:G$3771,(MATCH(($E258&amp;"ResultsTotal RNE "&amp;$F258&amp;"USD/ton"),'Fuel Model - Calculation'!$B$2:$B$3771,0))),0)</f>
        <v>20.211066588618138</v>
      </c>
      <c r="Q258" s="118">
        <f>IFERROR(INDEX('Fuel Model - Calculation'!H$2:H$3771,(MATCH(($E258&amp;"ResultsTotal RNE "&amp;$F258&amp;"USD/ton"),'Fuel Model - Calculation'!$B$2:$B$3771,0))),0)</f>
        <v>13.183524929165102</v>
      </c>
      <c r="R258" s="118">
        <f>IFERROR(INDEX('Fuel Model - Calculation'!I$2:I$3771,(MATCH(($E258&amp;"ResultsTotal RNE "&amp;$F258&amp;"USD/ton"),'Fuel Model - Calculation'!$B$2:$B$3771,0))),0)</f>
        <v>10.623795450002699</v>
      </c>
      <c r="S258" s="118">
        <f>IFERROR(INDEX('Fuel Model - Calculation'!J$2:J$3771,(MATCH(($E258&amp;"ResultsTotal RNE "&amp;$F258&amp;"USD/ton"),'Fuel Model - Calculation'!$B$2:$B$3771,0))),0)</f>
        <v>8.8840161041890457</v>
      </c>
      <c r="T258" s="118">
        <f>IFERROR(INDEX('Fuel Model - Calculation'!K$2:K$3771,(MATCH(($E258&amp;"ResultsTotal RNE "&amp;$F258&amp;"USD/ton"),'Fuel Model - Calculation'!$B$2:$B$3771,0))),0)</f>
        <v>7.9897491359016684</v>
      </c>
      <c r="U258" s="118">
        <f>IFERROR(INDEX('Fuel Model - Calculation'!L$2:L$3771,(MATCH(($E258&amp;"ResultsTotal RNE "&amp;$F258&amp;"USD/ton"),'Fuel Model - Calculation'!$B$2:$B$3771,0))),0)</f>
        <v>7.0617471276238284</v>
      </c>
      <c r="V258" s="118">
        <f>IFERROR(INDEX('Fuel Model - Calculation'!M$2:M$3771,(MATCH(($E258&amp;"ResultsTotal RNE "&amp;$F258&amp;"USD/ton"),'Fuel Model - Calculation'!$B$2:$B$3771,0))),0)</f>
        <v>6.6250421954698799</v>
      </c>
      <c r="W258"/>
      <c r="X258" s="2">
        <f>INDEX('Fuel Model - Calculation'!$E$2:$M$3771,(MATCH(("WTT Emission - "&amp;$F258),'Fuel Model - Calculation'!$E$2:$E$3771,0)),MATCH(X$141,'Fuel Model - Calculation'!$E$2:$M$2,0))</f>
        <v>-0.12831027398621947</v>
      </c>
      <c r="Y258" s="2">
        <f>INDEX('Fuel Model - Calculation'!$E$2:$M$3771,(MATCH(("WTT Emission - "&amp;$F258),'Fuel Model - Calculation'!$E$2:$E$3771,0)),MATCH(Y$141,'Fuel Model - Calculation'!$E$2:$M$2,0))</f>
        <v>-0.14444862911648365</v>
      </c>
      <c r="Z258" s="2">
        <f>INDEX('Fuel Model - Calculation'!$E$2:$M$3771,(MATCH(("WTT Emission - "&amp;$F258),'Fuel Model - Calculation'!$E$2:$E$3771,0)),MATCH(Z$141,'Fuel Model - Calculation'!$E$2:$M$2,0))</f>
        <v>-0.16059327432165488</v>
      </c>
      <c r="AA258" s="2">
        <f>INDEX('Fuel Model - Calculation'!$E$2:$M$3771,(MATCH(("WTT Emission - "&amp;$F258),'Fuel Model - Calculation'!$E$2:$E$3771,0)),MATCH(AA$141,'Fuel Model - Calculation'!$E$2:$M$2,0))</f>
        <v>-0.17673791952682633</v>
      </c>
      <c r="AB258" s="2">
        <f>INDEX('Fuel Model - Calculation'!$E$2:$M$3771,(MATCH(("WTT Emission - "&amp;$F258),'Fuel Model - Calculation'!$E$2:$E$3771,0)),MATCH(AB$141,'Fuel Model - Calculation'!$E$2:$M$2,0))</f>
        <v>-0.19288256473199777</v>
      </c>
      <c r="AC258" s="2">
        <f>INDEX('Fuel Model - Calculation'!$E$2:$M$3771,(MATCH(("WTT Emission - "&amp;$F258),'Fuel Model - Calculation'!$E$2:$E$3771,0)),MATCH(AC$141,'Fuel Model - Calculation'!$E$2:$M$2,0))</f>
        <v>-0.20902720993716911</v>
      </c>
      <c r="AD258" s="2">
        <f>INDEX('Fuel Model - Calculation'!$E$2:$M$3771,(MATCH(("WTT Emission - "&amp;$F258),'Fuel Model - Calculation'!$E$2:$E$3771,0)),MATCH(AD$141,'Fuel Model - Calculation'!$E$2:$M$2,0))</f>
        <v>-0.22517185514234067</v>
      </c>
      <c r="AE258" s="2"/>
      <c r="AF258" s="2">
        <f>'Fuel Model -  Input'!$H$57*'Fuel Model -  Input'!$H$319+'Fuel Model -  Input'!$H$320*'Fuel Model -  Input'!$H$48</f>
        <v>2.5286646666666668</v>
      </c>
      <c r="AG258" s="2">
        <f>'Fuel Model -  Input'!$H$57*'Fuel Model -  Input'!$H$319+'Fuel Model -  Input'!$H$320*'Fuel Model -  Input'!$H$48</f>
        <v>2.5286646666666668</v>
      </c>
      <c r="AH258" s="2">
        <f>'Fuel Model -  Input'!$H$57*'Fuel Model -  Input'!$H$319+'Fuel Model -  Input'!$H$320*'Fuel Model -  Input'!$H$48</f>
        <v>2.5286646666666668</v>
      </c>
      <c r="AI258" s="2">
        <f>'Fuel Model -  Input'!$H$57*'Fuel Model -  Input'!$H$319+'Fuel Model -  Input'!$H$320*'Fuel Model -  Input'!$H$48</f>
        <v>2.5286646666666668</v>
      </c>
      <c r="AJ258" s="2">
        <f>'Fuel Model -  Input'!$H$57*'Fuel Model -  Input'!$H$319+'Fuel Model -  Input'!$H$320*'Fuel Model -  Input'!$H$48</f>
        <v>2.5286646666666668</v>
      </c>
      <c r="AK258" s="2">
        <f>'Fuel Model -  Input'!$H$57*'Fuel Model -  Input'!$H$319+'Fuel Model -  Input'!$H$320*'Fuel Model -  Input'!$H$48</f>
        <v>2.5286646666666668</v>
      </c>
      <c r="AL258" s="2">
        <f>'Fuel Model -  Input'!$H$57*'Fuel Model -  Input'!$H$319+'Fuel Model -  Input'!$H$320*'Fuel Model -  Input'!$H$48</f>
        <v>2.5286646666666668</v>
      </c>
      <c r="AM258"/>
      <c r="AN258" s="24">
        <f t="shared" si="215"/>
        <v>2.4003543926804474</v>
      </c>
      <c r="AO258" s="24">
        <f t="shared" si="216"/>
        <v>2.3842160375501833</v>
      </c>
      <c r="AP258" s="24">
        <f t="shared" si="217"/>
        <v>2.3680713923450121</v>
      </c>
      <c r="AQ258" s="24">
        <f t="shared" si="218"/>
        <v>2.3519267471398404</v>
      </c>
      <c r="AR258" s="24">
        <f t="shared" si="219"/>
        <v>2.3357821019346692</v>
      </c>
      <c r="AS258" s="24">
        <f t="shared" si="220"/>
        <v>2.3196374567294975</v>
      </c>
      <c r="AT258" s="24">
        <f t="shared" si="221"/>
        <v>2.3034928115243263</v>
      </c>
      <c r="AU258"/>
      <c r="AV258" s="118">
        <f>IFERROR(INDEX('Fuel Model - Calculation'!$B$2:$M$3771,(MATCH(($E258&amp;"Results"&amp;$AV$140&amp;$F258&amp;"USD/ton"),'Fuel Model - Calculation'!$B$2:$B$3771,0)),MATCH(H$141,'Fuel Model - Calculation'!$B$2:$M$2,0)),0)</f>
        <v>404.521475058004</v>
      </c>
      <c r="AW258" s="118">
        <f>IFERROR(INDEX('Fuel Model - Calculation'!$B$2:$M$3771,(MATCH(($E258&amp;"Results"&amp;$AV$140&amp;$F258&amp;"USD/ton"),'Fuel Model - Calculation'!$B$2:$B$3771,0)),MATCH(I$141,'Fuel Model - Calculation'!$B$2:$M$2,0)),0)</f>
        <v>242.71288503480241</v>
      </c>
      <c r="AX258" s="118">
        <f>IFERROR(INDEX('Fuel Model - Calculation'!$B$2:$M$3771,(MATCH(($E258&amp;"Results"&amp;$AV$140&amp;$F258&amp;"USD/ton"),'Fuel Model - Calculation'!$B$2:$B$3771,0)),MATCH(J$141,'Fuel Model - Calculation'!$B$2:$M$2,0)),0)</f>
        <v>80.904295011600823</v>
      </c>
      <c r="AY258" s="118">
        <f>IFERROR(INDEX('Fuel Model - Calculation'!$B$2:$M$3771,(MATCH(($E258&amp;"Results"&amp;$AV$140&amp;$F258&amp;"USD/ton"),'Fuel Model - Calculation'!$B$2:$B$3771,0)),MATCH(K$141,'Fuel Model - Calculation'!$B$2:$M$2,0)),0)</f>
        <v>77.056818082617085</v>
      </c>
      <c r="AZ258" s="118">
        <f>IFERROR(INDEX('Fuel Model - Calculation'!$B$2:$M$3771,(MATCH(($E258&amp;"Results"&amp;$AV$140&amp;$F258&amp;"USD/ton"),'Fuel Model - Calculation'!$B$2:$B$3771,0)),MATCH(L$141,'Fuel Model - Calculation'!$B$2:$M$2,0)),0)</f>
        <v>75.133079618125223</v>
      </c>
      <c r="BA258" s="118">
        <f>IFERROR(INDEX('Fuel Model - Calculation'!$B$2:$M$3771,(MATCH(($E258&amp;"Results"&amp;$AV$140&amp;$F258&amp;"USD/ton"),'Fuel Model - Calculation'!$B$2:$B$3771,0)),MATCH(M$141,'Fuel Model - Calculation'!$B$2:$M$2,0)),0)</f>
        <v>73.20934115363336</v>
      </c>
      <c r="BB258" s="118">
        <f>IFERROR(INDEX('Fuel Model - Calculation'!$B$2:$M$3771,(MATCH(($E258&amp;"Results"&amp;$AV$140&amp;$F258&amp;"USD/ton"),'Fuel Model - Calculation'!$B$2:$B$3771,0)),MATCH(N$141,'Fuel Model - Calculation'!$B$2:$M$2,0)),0)</f>
        <v>71.285602689141498</v>
      </c>
      <c r="BC258"/>
      <c r="BD258" s="118">
        <f>IFERROR(INDEX('Fuel Model - Calculation'!$B$2:$M$3771,(MATCH(($E258&amp;"Results"&amp;$BD$140&amp;$F258&amp;"USD/ton"),'Fuel Model - Calculation'!$B$2:$B$3771,0)),MATCH(P$141,'Fuel Model - Calculation'!$B$2:$M$2,0)),0)</f>
        <v>494.47915909065927</v>
      </c>
      <c r="BE258" s="118">
        <f>IFERROR(INDEX('Fuel Model - Calculation'!$B$2:$M$3771,(MATCH(($E258&amp;"Results"&amp;$BD$140&amp;$F258&amp;"USD/ton"),'Fuel Model - Calculation'!$B$2:$B$3771,0)),MATCH(Q$141,'Fuel Model - Calculation'!$B$2:$M$2,0)),0)</f>
        <v>296.6874954543955</v>
      </c>
      <c r="BF258" s="118">
        <f>IFERROR(INDEX('Fuel Model - Calculation'!$B$2:$M$3771,(MATCH(($E258&amp;"Results"&amp;$BD$140&amp;$F258&amp;"USD/ton"),'Fuel Model - Calculation'!$B$2:$B$3771,0)),MATCH(R$141,'Fuel Model - Calculation'!$B$2:$M$2,0)),0)</f>
        <v>98.895831818131853</v>
      </c>
      <c r="BG258" s="118">
        <f>IFERROR(INDEX('Fuel Model - Calculation'!$B$2:$M$3771,(MATCH(($E258&amp;"Results"&amp;$BD$140&amp;$F258&amp;"USD/ton"),'Fuel Model - Calculation'!$B$2:$B$3771,0)),MATCH(S$141,'Fuel Model - Calculation'!$B$2:$M$2,0)),0)</f>
        <v>87.028331999956023</v>
      </c>
      <c r="BH258" s="118">
        <f>IFERROR(INDEX('Fuel Model - Calculation'!$B$2:$M$3771,(MATCH(($E258&amp;"Results"&amp;$BD$140&amp;$F258&amp;"USD/ton"),'Fuel Model - Calculation'!$B$2:$B$3771,0)),MATCH(T$141,'Fuel Model - Calculation'!$B$2:$M$2,0)),0)</f>
        <v>81.094582090868116</v>
      </c>
      <c r="BI258" s="118">
        <f>IFERROR(INDEX('Fuel Model - Calculation'!$B$2:$M$3771,(MATCH(($E258&amp;"Results"&amp;$BD$140&amp;$F258&amp;"USD/ton"),'Fuel Model - Calculation'!$B$2:$B$3771,0)),MATCH(U$141,'Fuel Model - Calculation'!$B$2:$M$2,0)),0)</f>
        <v>75.160832181780194</v>
      </c>
      <c r="BJ258" s="118">
        <f>IFERROR(INDEX('Fuel Model - Calculation'!$B$2:$M$3771,(MATCH(($E258&amp;"Results"&amp;$BD$140&amp;$F258&amp;"USD/ton"),'Fuel Model - Calculation'!$B$2:$B$3771,0)),MATCH(V$141,'Fuel Model - Calculation'!$B$2:$M$2,0)),0)</f>
        <v>69.227082272692286</v>
      </c>
      <c r="BL258" s="118">
        <f>IFERROR(IFERROR(INDEX('Fuel Model - Calculation'!$B$2:$M$3771,(MATCH(($E258&amp;"Results"&amp;$BL$140&amp;$F258&amp;"USD/ton"),'Fuel Model - Calculation'!$B$2:$B$3771,0)),MATCH(H$141,'Fuel Model - Calculation'!$B$2:$M$2,0)),0),0)</f>
        <v>0</v>
      </c>
      <c r="BM258" s="118">
        <f>IFERROR(IFERROR(INDEX('Fuel Model - Calculation'!$B$2:$M$3771,(MATCH(($E258&amp;"Results"&amp;$BL$140&amp;$F258&amp;"USD/ton"),'Fuel Model - Calculation'!$B$2:$B$3771,0)),MATCH(I$141,'Fuel Model - Calculation'!$B$2:$M$2,0)),0),0)</f>
        <v>0</v>
      </c>
      <c r="BN258" s="118">
        <f>IFERROR(IFERROR(INDEX('Fuel Model - Calculation'!$B$2:$M$3771,(MATCH(($E258&amp;"Results"&amp;$BL$140&amp;$F258&amp;"USD/ton"),'Fuel Model - Calculation'!$B$2:$B$3771,0)),MATCH(J$141,'Fuel Model - Calculation'!$B$2:$M$2,0)),0),0)</f>
        <v>0</v>
      </c>
      <c r="BO258" s="118">
        <f>IFERROR(IFERROR(INDEX('Fuel Model - Calculation'!$B$2:$M$3771,(MATCH(($E258&amp;"Results"&amp;$BL$140&amp;$F258&amp;"USD/ton"),'Fuel Model - Calculation'!$B$2:$B$3771,0)),MATCH(K$141,'Fuel Model - Calculation'!$B$2:$M$2,0)),0),0)</f>
        <v>0</v>
      </c>
      <c r="BP258" s="118">
        <f>IFERROR(IFERROR(INDEX('Fuel Model - Calculation'!$B$2:$M$3771,(MATCH(($E258&amp;"Results"&amp;$BL$140&amp;$F258&amp;"USD/ton"),'Fuel Model - Calculation'!$B$2:$B$3771,0)),MATCH(L$141,'Fuel Model - Calculation'!$B$2:$M$2,0)),0),0)</f>
        <v>0</v>
      </c>
      <c r="BQ258" s="118">
        <f>IFERROR(IFERROR(INDEX('Fuel Model - Calculation'!$B$2:$M$3771,(MATCH(($E258&amp;"Results"&amp;$BL$140&amp;$F258&amp;"USD/ton"),'Fuel Model - Calculation'!$B$2:$B$3771,0)),MATCH(M$141,'Fuel Model - Calculation'!$B$2:$M$2,0)),0),0)</f>
        <v>0</v>
      </c>
      <c r="BR258" s="118">
        <f>IFERROR(IFERROR(INDEX('Fuel Model - Calculation'!$B$2:$M$3771,(MATCH(($E258&amp;"Results"&amp;$BL$140&amp;$F258&amp;"USD/ton"),'Fuel Model - Calculation'!$B$2:$B$3771,0)),MATCH(N$141,'Fuel Model - Calculation'!$B$2:$M$2,0)),0),0)</f>
        <v>0</v>
      </c>
      <c r="BT258" s="118">
        <f>IFERROR(INDEX('Fuel Model - Calculation'!$B$2:$M$3771,(MATCH(($E258&amp;"Results"&amp;$BT$140&amp;$F258&amp;"USD/ton"),'Fuel Model - Calculation'!$B$2:$B$3771,0)),MATCH(H$141,'Fuel Model - Calculation'!$B$2:$M$2,0)),0)</f>
        <v>600.98752628344528</v>
      </c>
      <c r="BU258" s="118">
        <f>IFERROR(INDEX('Fuel Model - Calculation'!$B$2:$M$3771,(MATCH(($E258&amp;"Results"&amp;$BT$140&amp;$F258&amp;"USD/ton"),'Fuel Model - Calculation'!$B$2:$B$3771,0)),MATCH(I$141,'Fuel Model - Calculation'!$B$2:$M$2,0)),0)</f>
        <v>453.85646593095919</v>
      </c>
      <c r="BV258" s="118">
        <f>IFERROR(INDEX('Fuel Model - Calculation'!$B$2:$M$3771,(MATCH(($E258&amp;"Results"&amp;$BT$140&amp;$F258&amp;"USD/ton"),'Fuel Model - Calculation'!$B$2:$B$3771,0)),MATCH(J$141,'Fuel Model - Calculation'!$B$2:$M$2,0)),0)</f>
        <v>407.69799134385676</v>
      </c>
      <c r="BW258" s="118">
        <f>IFERROR(INDEX('Fuel Model - Calculation'!$B$2:$M$3771,(MATCH(($E258&amp;"Results"&amp;$BT$140&amp;$F258&amp;"USD/ton"),'Fuel Model - Calculation'!$B$2:$B$3771,0)),MATCH(K$141,'Fuel Model - Calculation'!$B$2:$M$2,0)),0)</f>
        <v>410.58352099677751</v>
      </c>
      <c r="BX258" s="118">
        <f>IFERROR(INDEX('Fuel Model - Calculation'!$B$2:$M$3771,(MATCH(($E258&amp;"Results"&amp;$BT$140&amp;$F258&amp;"USD/ton"),'Fuel Model - Calculation'!$B$2:$B$3771,0)),MATCH(L$141,'Fuel Model - Calculation'!$B$2:$M$2,0)),0)</f>
        <v>413.46905064969826</v>
      </c>
      <c r="BY258" s="118">
        <f>IFERROR(INDEX('Fuel Model - Calculation'!$B$2:$M$3771,(MATCH(($E258&amp;"Results"&amp;$BT$140&amp;$F258&amp;"USD/ton"),'Fuel Model - Calculation'!$B$2:$B$3771,0)),MATCH(M$141,'Fuel Model - Calculation'!$B$2:$M$2,0)),0)</f>
        <v>415.77747437203493</v>
      </c>
      <c r="BZ258" s="118">
        <f>IFERROR(INDEX('Fuel Model - Calculation'!$B$2:$M$3771,(MATCH(($E258&amp;"Results"&amp;$BT$140&amp;$F258&amp;"USD/ton"),'Fuel Model - Calculation'!$B$2:$B$3771,0)),MATCH(N$141,'Fuel Model - Calculation'!$B$2:$M$2,0)),0)</f>
        <v>418.66300402495568</v>
      </c>
    </row>
    <row r="259" spans="1:78" x14ac:dyDescent="0.2">
      <c r="A259" s="452"/>
      <c r="B259" s="453" t="str">
        <f>_xlfn.TEXTJOIN(keydelim,TRUE,F259,IF(E259="Africa","Africa&amp;other",E259),"Fuel cost",SUBSTITUTE($G259," ",""))</f>
        <v>Biodiesel (HtL blend) - Americas - Fuel cost - USD/ton</v>
      </c>
      <c r="D259" s="459" t="str">
        <f t="shared" si="222"/>
        <v>AmericasBiodiesel (HtL blend)</v>
      </c>
      <c r="E259" t="s">
        <v>199</v>
      </c>
      <c r="F259" s="460" t="str">
        <f t="shared" si="223"/>
        <v>Biodiesel (HtL blend)</v>
      </c>
      <c r="G259" t="s">
        <v>835</v>
      </c>
      <c r="H259" s="118">
        <f>INDEX('Fuel Model - Calculation'!$B$2:$M$3771,(MATCH(($E259&amp;"ResultsCost of "&amp;$F259&amp;"USD/ton"),'Fuel Model - Calculation'!$B$2:$B$3771,0)),MATCH(H$141,'Fuel Model - Calculation'!$B$2:$M$2,0))</f>
        <v>1519.3960419037594</v>
      </c>
      <c r="I259" s="118">
        <f>INDEX('Fuel Model - Calculation'!$B$2:$M$3771,(MATCH(($E259&amp;"ResultsCost of "&amp;$F259&amp;"USD/ton"),'Fuel Model - Calculation'!$B$2:$B$3771,0)),MATCH(I$141,'Fuel Model - Calculation'!$B$2:$M$2,0))</f>
        <v>1011.1520353136409</v>
      </c>
      <c r="J259" s="118">
        <f>INDEX('Fuel Model - Calculation'!$B$2:$M$3771,(MATCH(($E259&amp;"ResultsCost of "&amp;$F259&amp;"USD/ton"),'Fuel Model - Calculation'!$B$2:$B$3771,0)),MATCH(J$141,'Fuel Model - Calculation'!$B$2:$M$2,0))</f>
        <v>604.36300287000063</v>
      </c>
      <c r="K259" s="118">
        <f>INDEX('Fuel Model - Calculation'!$B$2:$M$3771,(MATCH(($E259&amp;"ResultsCost of "&amp;$F259&amp;"USD/ton"),'Fuel Model - Calculation'!$B$2:$B$3771,0)),MATCH(K$141,'Fuel Model - Calculation'!$B$2:$M$2,0))</f>
        <v>590.17505702284348</v>
      </c>
      <c r="L259" s="118">
        <f>INDEX('Fuel Model - Calculation'!$B$2:$M$3771,(MATCH(($E259&amp;"ResultsCost of "&amp;$F259&amp;"USD/ton"),'Fuel Model - Calculation'!$B$2:$B$3771,0)),MATCH(L$141,'Fuel Model - Calculation'!$B$2:$M$2,0))</f>
        <v>583.9927122905035</v>
      </c>
      <c r="M259" s="118">
        <f>INDEX('Fuel Model - Calculation'!$B$2:$M$3771,(MATCH(($E259&amp;"ResultsCost of "&amp;$F259&amp;"USD/ton"),'Fuel Model - Calculation'!$B$2:$B$3771,0)),MATCH(M$141,'Fuel Model - Calculation'!$B$2:$M$2,0))</f>
        <v>578.75498749690405</v>
      </c>
      <c r="N259" s="118">
        <f>INDEX('Fuel Model - Calculation'!$B$2:$M$3771,(MATCH(($E259&amp;"ResultsCost of "&amp;$F259&amp;"USD/ton"),'Fuel Model - Calculation'!$B$2:$B$3771,0)),MATCH(N$141,'Fuel Model - Calculation'!$B$2:$M$2,0))</f>
        <v>573.00189377217748</v>
      </c>
      <c r="O259"/>
      <c r="P259" s="118">
        <f>IFERROR(INDEX('Fuel Model - Calculation'!G$2:G$3771,(MATCH(($E259&amp;"ResultsTotal RNE "&amp;$F259&amp;"USD/ton"),'Fuel Model - Calculation'!$B$2:$B$3771,0))),0)</f>
        <v>9.5970806517204306</v>
      </c>
      <c r="Q259" s="118">
        <f>IFERROR(INDEX('Fuel Model - Calculation'!H$2:H$3771,(MATCH(($E259&amp;"ResultsTotal RNE "&amp;$F259&amp;"USD/ton"),'Fuel Model - Calculation'!$B$2:$B$3771,0))),0)</f>
        <v>8.6614940041373991</v>
      </c>
      <c r="R259" s="118">
        <f>IFERROR(INDEX('Fuel Model - Calculation'!I$2:I$3771,(MATCH(($E259&amp;"ResultsTotal RNE "&amp;$F259&amp;"USD/ton"),'Fuel Model - Calculation'!$B$2:$B$3771,0))),0)</f>
        <v>7.0540838764805374</v>
      </c>
      <c r="S259" s="118">
        <f>IFERROR(INDEX('Fuel Model - Calculation'!J$2:J$3771,(MATCH(($E259&amp;"ResultsTotal RNE "&amp;$F259&amp;"USD/ton"),'Fuel Model - Calculation'!$B$2:$B$3771,0))),0)</f>
        <v>6.2726910541462955</v>
      </c>
      <c r="T259" s="118">
        <f>IFERROR(INDEX('Fuel Model - Calculation'!K$2:K$3771,(MATCH(($E259&amp;"ResultsTotal RNE "&amp;$F259&amp;"USD/ton"),'Fuel Model - Calculation'!$B$2:$B$3771,0))),0)</f>
        <v>5.6394109730495581</v>
      </c>
      <c r="U259" s="118">
        <f>IFERROR(INDEX('Fuel Model - Calculation'!L$2:L$3771,(MATCH(($E259&amp;"ResultsTotal RNE "&amp;$F259&amp;"USD/ton"),'Fuel Model - Calculation'!$B$2:$B$3771,0))),0)</f>
        <v>5.3736449001091673</v>
      </c>
      <c r="V259" s="118">
        <f>IFERROR(INDEX('Fuel Model - Calculation'!M$2:M$3771,(MATCH(($E259&amp;"ResultsTotal RNE "&amp;$F259&amp;"USD/ton"),'Fuel Model - Calculation'!$B$2:$B$3771,0))),0)</f>
        <v>5.1696158266256198</v>
      </c>
      <c r="W259"/>
      <c r="X259" s="2">
        <f>INDEX('Fuel Model - Calculation'!$E$2:$M$3771,(MATCH(("WTT Emission - "&amp;$F259),'Fuel Model - Calculation'!$E$2:$E$3771,0)),MATCH(X$141,'Fuel Model - Calculation'!$E$2:$M$2,0))</f>
        <v>-0.12831027398621947</v>
      </c>
      <c r="Y259" s="2">
        <f>INDEX('Fuel Model - Calculation'!$E$2:$M$3771,(MATCH(("WTT Emission - "&amp;$F259),'Fuel Model - Calculation'!$E$2:$E$3771,0)),MATCH(Y$141,'Fuel Model - Calculation'!$E$2:$M$2,0))</f>
        <v>-0.14444862911648365</v>
      </c>
      <c r="Z259" s="2">
        <f>INDEX('Fuel Model - Calculation'!$E$2:$M$3771,(MATCH(("WTT Emission - "&amp;$F259),'Fuel Model - Calculation'!$E$2:$E$3771,0)),MATCH(Z$141,'Fuel Model - Calculation'!$E$2:$M$2,0))</f>
        <v>-0.16059327432165488</v>
      </c>
      <c r="AA259" s="2">
        <f>INDEX('Fuel Model - Calculation'!$E$2:$M$3771,(MATCH(("WTT Emission - "&amp;$F259),'Fuel Model - Calculation'!$E$2:$E$3771,0)),MATCH(AA$141,'Fuel Model - Calculation'!$E$2:$M$2,0))</f>
        <v>-0.17673791952682633</v>
      </c>
      <c r="AB259" s="2">
        <f>INDEX('Fuel Model - Calculation'!$E$2:$M$3771,(MATCH(("WTT Emission - "&amp;$F259),'Fuel Model - Calculation'!$E$2:$E$3771,0)),MATCH(AB$141,'Fuel Model - Calculation'!$E$2:$M$2,0))</f>
        <v>-0.19288256473199777</v>
      </c>
      <c r="AC259" s="2">
        <f>INDEX('Fuel Model - Calculation'!$E$2:$M$3771,(MATCH(("WTT Emission - "&amp;$F259),'Fuel Model - Calculation'!$E$2:$E$3771,0)),MATCH(AC$141,'Fuel Model - Calculation'!$E$2:$M$2,0))</f>
        <v>-0.20902720993716911</v>
      </c>
      <c r="AD259" s="2">
        <f>INDEX('Fuel Model - Calculation'!$E$2:$M$3771,(MATCH(("WTT Emission - "&amp;$F259),'Fuel Model - Calculation'!$E$2:$E$3771,0)),MATCH(AD$141,'Fuel Model - Calculation'!$E$2:$M$2,0))</f>
        <v>-0.22517185514234067</v>
      </c>
      <c r="AE259" s="2"/>
      <c r="AF259" s="2">
        <f>'Fuel Model -  Input'!$H$57*'Fuel Model -  Input'!$H$319+'Fuel Model -  Input'!$H$320*'Fuel Model -  Input'!$H$48</f>
        <v>2.5286646666666668</v>
      </c>
      <c r="AG259" s="2">
        <f>'Fuel Model -  Input'!$H$57*'Fuel Model -  Input'!$H$319+'Fuel Model -  Input'!$H$320*'Fuel Model -  Input'!$H$48</f>
        <v>2.5286646666666668</v>
      </c>
      <c r="AH259" s="2">
        <f>'Fuel Model -  Input'!$H$57*'Fuel Model -  Input'!$H$319+'Fuel Model -  Input'!$H$320*'Fuel Model -  Input'!$H$48</f>
        <v>2.5286646666666668</v>
      </c>
      <c r="AI259" s="2">
        <f>'Fuel Model -  Input'!$H$57*'Fuel Model -  Input'!$H$319+'Fuel Model -  Input'!$H$320*'Fuel Model -  Input'!$H$48</f>
        <v>2.5286646666666668</v>
      </c>
      <c r="AJ259" s="2">
        <f>'Fuel Model -  Input'!$H$57*'Fuel Model -  Input'!$H$319+'Fuel Model -  Input'!$H$320*'Fuel Model -  Input'!$H$48</f>
        <v>2.5286646666666668</v>
      </c>
      <c r="AK259" s="2">
        <f>'Fuel Model -  Input'!$H$57*'Fuel Model -  Input'!$H$319+'Fuel Model -  Input'!$H$320*'Fuel Model -  Input'!$H$48</f>
        <v>2.5286646666666668</v>
      </c>
      <c r="AL259" s="2">
        <f>'Fuel Model -  Input'!$H$57*'Fuel Model -  Input'!$H$319+'Fuel Model -  Input'!$H$320*'Fuel Model -  Input'!$H$48</f>
        <v>2.5286646666666668</v>
      </c>
      <c r="AM259"/>
      <c r="AN259" s="24">
        <f t="shared" si="215"/>
        <v>2.4003543926804474</v>
      </c>
      <c r="AO259" s="24">
        <f t="shared" si="216"/>
        <v>2.3842160375501833</v>
      </c>
      <c r="AP259" s="24">
        <f t="shared" si="217"/>
        <v>2.3680713923450121</v>
      </c>
      <c r="AQ259" s="24">
        <f t="shared" si="218"/>
        <v>2.3519267471398404</v>
      </c>
      <c r="AR259" s="24">
        <f t="shared" si="219"/>
        <v>2.3357821019346692</v>
      </c>
      <c r="AS259" s="24">
        <f t="shared" si="220"/>
        <v>2.3196374567294975</v>
      </c>
      <c r="AT259" s="24">
        <f t="shared" si="221"/>
        <v>2.3034928115243263</v>
      </c>
      <c r="AU259"/>
      <c r="AV259" s="118">
        <f>IFERROR(INDEX('Fuel Model - Calculation'!$B$2:$M$3771,(MATCH(($E259&amp;"Results"&amp;$AV$140&amp;$F259&amp;"USD/ton"),'Fuel Model - Calculation'!$B$2:$B$3771,0)),MATCH(H$141,'Fuel Model - Calculation'!$B$2:$M$2,0)),0)</f>
        <v>404.521475058004</v>
      </c>
      <c r="AW259" s="118">
        <f>IFERROR(INDEX('Fuel Model - Calculation'!$B$2:$M$3771,(MATCH(($E259&amp;"Results"&amp;$AV$140&amp;$F259&amp;"USD/ton"),'Fuel Model - Calculation'!$B$2:$B$3771,0)),MATCH(I$141,'Fuel Model - Calculation'!$B$2:$M$2,0)),0)</f>
        <v>242.71288503480241</v>
      </c>
      <c r="AX259" s="118">
        <f>IFERROR(INDEX('Fuel Model - Calculation'!$B$2:$M$3771,(MATCH(($E259&amp;"Results"&amp;$AV$140&amp;$F259&amp;"USD/ton"),'Fuel Model - Calculation'!$B$2:$B$3771,0)),MATCH(J$141,'Fuel Model - Calculation'!$B$2:$M$2,0)),0)</f>
        <v>80.904295011600823</v>
      </c>
      <c r="AY259" s="118">
        <f>IFERROR(INDEX('Fuel Model - Calculation'!$B$2:$M$3771,(MATCH(($E259&amp;"Results"&amp;$AV$140&amp;$F259&amp;"USD/ton"),'Fuel Model - Calculation'!$B$2:$B$3771,0)),MATCH(K$141,'Fuel Model - Calculation'!$B$2:$M$2,0)),0)</f>
        <v>77.056818082617085</v>
      </c>
      <c r="AZ259" s="118">
        <f>IFERROR(INDEX('Fuel Model - Calculation'!$B$2:$M$3771,(MATCH(($E259&amp;"Results"&amp;$AV$140&amp;$F259&amp;"USD/ton"),'Fuel Model - Calculation'!$B$2:$B$3771,0)),MATCH(L$141,'Fuel Model - Calculation'!$B$2:$M$2,0)),0)</f>
        <v>75.133079618125223</v>
      </c>
      <c r="BA259" s="118">
        <f>IFERROR(INDEX('Fuel Model - Calculation'!$B$2:$M$3771,(MATCH(($E259&amp;"Results"&amp;$AV$140&amp;$F259&amp;"USD/ton"),'Fuel Model - Calculation'!$B$2:$B$3771,0)),MATCH(M$141,'Fuel Model - Calculation'!$B$2:$M$2,0)),0)</f>
        <v>73.20934115363336</v>
      </c>
      <c r="BB259" s="118">
        <f>IFERROR(INDEX('Fuel Model - Calculation'!$B$2:$M$3771,(MATCH(($E259&amp;"Results"&amp;$AV$140&amp;$F259&amp;"USD/ton"),'Fuel Model - Calculation'!$B$2:$B$3771,0)),MATCH(N$141,'Fuel Model - Calculation'!$B$2:$M$2,0)),0)</f>
        <v>71.285602689141498</v>
      </c>
      <c r="BC259"/>
      <c r="BD259" s="118">
        <f>IFERROR(INDEX('Fuel Model - Calculation'!$B$2:$M$3771,(MATCH(($E259&amp;"Results"&amp;$BD$140&amp;$F259&amp;"USD/ton"),'Fuel Model - Calculation'!$B$2:$B$3771,0)),MATCH(P$141,'Fuel Model - Calculation'!$B$2:$M$2,0)),0)</f>
        <v>494.47915909065927</v>
      </c>
      <c r="BE259" s="118">
        <f>IFERROR(INDEX('Fuel Model - Calculation'!$B$2:$M$3771,(MATCH(($E259&amp;"Results"&amp;$BD$140&amp;$F259&amp;"USD/ton"),'Fuel Model - Calculation'!$B$2:$B$3771,0)),MATCH(Q$141,'Fuel Model - Calculation'!$B$2:$M$2,0)),0)</f>
        <v>296.6874954543955</v>
      </c>
      <c r="BF259" s="118">
        <f>IFERROR(INDEX('Fuel Model - Calculation'!$B$2:$M$3771,(MATCH(($E259&amp;"Results"&amp;$BD$140&amp;$F259&amp;"USD/ton"),'Fuel Model - Calculation'!$B$2:$B$3771,0)),MATCH(R$141,'Fuel Model - Calculation'!$B$2:$M$2,0)),0)</f>
        <v>98.895831818131853</v>
      </c>
      <c r="BG259" s="118">
        <f>IFERROR(INDEX('Fuel Model - Calculation'!$B$2:$M$3771,(MATCH(($E259&amp;"Results"&amp;$BD$140&amp;$F259&amp;"USD/ton"),'Fuel Model - Calculation'!$B$2:$B$3771,0)),MATCH(S$141,'Fuel Model - Calculation'!$B$2:$M$2,0)),0)</f>
        <v>87.028331999956023</v>
      </c>
      <c r="BH259" s="118">
        <f>IFERROR(INDEX('Fuel Model - Calculation'!$B$2:$M$3771,(MATCH(($E259&amp;"Results"&amp;$BD$140&amp;$F259&amp;"USD/ton"),'Fuel Model - Calculation'!$B$2:$B$3771,0)),MATCH(T$141,'Fuel Model - Calculation'!$B$2:$M$2,0)),0)</f>
        <v>81.094582090868116</v>
      </c>
      <c r="BI259" s="118">
        <f>IFERROR(INDEX('Fuel Model - Calculation'!$B$2:$M$3771,(MATCH(($E259&amp;"Results"&amp;$BD$140&amp;$F259&amp;"USD/ton"),'Fuel Model - Calculation'!$B$2:$B$3771,0)),MATCH(U$141,'Fuel Model - Calculation'!$B$2:$M$2,0)),0)</f>
        <v>75.160832181780194</v>
      </c>
      <c r="BJ259" s="118">
        <f>IFERROR(INDEX('Fuel Model - Calculation'!$B$2:$M$3771,(MATCH(($E259&amp;"Results"&amp;$BD$140&amp;$F259&amp;"USD/ton"),'Fuel Model - Calculation'!$B$2:$B$3771,0)),MATCH(V$141,'Fuel Model - Calculation'!$B$2:$M$2,0)),0)</f>
        <v>69.227082272692286</v>
      </c>
      <c r="BL259" s="118">
        <f>IFERROR(IFERROR(INDEX('Fuel Model - Calculation'!$B$2:$M$3771,(MATCH(($E259&amp;"Results"&amp;$BL$140&amp;$F259&amp;"USD/ton"),'Fuel Model - Calculation'!$B$2:$B$3771,0)),MATCH(H$141,'Fuel Model - Calculation'!$B$2:$M$2,0)),0),0)</f>
        <v>0</v>
      </c>
      <c r="BM259" s="118">
        <f>IFERROR(IFERROR(INDEX('Fuel Model - Calculation'!$B$2:$M$3771,(MATCH(($E259&amp;"Results"&amp;$BL$140&amp;$F259&amp;"USD/ton"),'Fuel Model - Calculation'!$B$2:$B$3771,0)),MATCH(I$141,'Fuel Model - Calculation'!$B$2:$M$2,0)),0),0)</f>
        <v>0</v>
      </c>
      <c r="BN259" s="118">
        <f>IFERROR(IFERROR(INDEX('Fuel Model - Calculation'!$B$2:$M$3771,(MATCH(($E259&amp;"Results"&amp;$BL$140&amp;$F259&amp;"USD/ton"),'Fuel Model - Calculation'!$B$2:$B$3771,0)),MATCH(J$141,'Fuel Model - Calculation'!$B$2:$M$2,0)),0),0)</f>
        <v>0</v>
      </c>
      <c r="BO259" s="118">
        <f>IFERROR(IFERROR(INDEX('Fuel Model - Calculation'!$B$2:$M$3771,(MATCH(($E259&amp;"Results"&amp;$BL$140&amp;$F259&amp;"USD/ton"),'Fuel Model - Calculation'!$B$2:$B$3771,0)),MATCH(K$141,'Fuel Model - Calculation'!$B$2:$M$2,0)),0),0)</f>
        <v>0</v>
      </c>
      <c r="BP259" s="118">
        <f>IFERROR(IFERROR(INDEX('Fuel Model - Calculation'!$B$2:$M$3771,(MATCH(($E259&amp;"Results"&amp;$BL$140&amp;$F259&amp;"USD/ton"),'Fuel Model - Calculation'!$B$2:$B$3771,0)),MATCH(L$141,'Fuel Model - Calculation'!$B$2:$M$2,0)),0),0)</f>
        <v>0</v>
      </c>
      <c r="BQ259" s="118">
        <f>IFERROR(IFERROR(INDEX('Fuel Model - Calculation'!$B$2:$M$3771,(MATCH(($E259&amp;"Results"&amp;$BL$140&amp;$F259&amp;"USD/ton"),'Fuel Model - Calculation'!$B$2:$B$3771,0)),MATCH(M$141,'Fuel Model - Calculation'!$B$2:$M$2,0)),0),0)</f>
        <v>0</v>
      </c>
      <c r="BR259" s="118">
        <f>IFERROR(IFERROR(INDEX('Fuel Model - Calculation'!$B$2:$M$3771,(MATCH(($E259&amp;"Results"&amp;$BL$140&amp;$F259&amp;"USD/ton"),'Fuel Model - Calculation'!$B$2:$B$3771,0)),MATCH(N$141,'Fuel Model - Calculation'!$B$2:$M$2,0)),0),0)</f>
        <v>0</v>
      </c>
      <c r="BT259" s="118">
        <f>IFERROR(INDEX('Fuel Model - Calculation'!$B$2:$M$3771,(MATCH(($E259&amp;"Results"&amp;$BT$140&amp;$F259&amp;"USD/ton"),'Fuel Model - Calculation'!$B$2:$B$3771,0)),MATCH(H$141,'Fuel Model - Calculation'!$B$2:$M$2,0)),0)</f>
        <v>610.79832710337587</v>
      </c>
      <c r="BU259" s="118">
        <f>IFERROR(INDEX('Fuel Model - Calculation'!$B$2:$M$3771,(MATCH(($E259&amp;"Results"&amp;$BT$140&amp;$F259&amp;"USD/ton"),'Fuel Model - Calculation'!$B$2:$B$3771,0)),MATCH(I$141,'Fuel Model - Calculation'!$B$2:$M$2,0)),0)</f>
        <v>463.0901608203057</v>
      </c>
      <c r="BV259" s="118">
        <f>IFERROR(INDEX('Fuel Model - Calculation'!$B$2:$M$3771,(MATCH(($E259&amp;"Results"&amp;$BT$140&amp;$F259&amp;"USD/ton"),'Fuel Model - Calculation'!$B$2:$B$3771,0)),MATCH(J$141,'Fuel Model - Calculation'!$B$2:$M$2,0)),0)</f>
        <v>417.5087921637874</v>
      </c>
      <c r="BW259" s="118">
        <f>IFERROR(INDEX('Fuel Model - Calculation'!$B$2:$M$3771,(MATCH(($E259&amp;"Results"&amp;$BT$140&amp;$F259&amp;"USD/ton"),'Fuel Model - Calculation'!$B$2:$B$3771,0)),MATCH(K$141,'Fuel Model - Calculation'!$B$2:$M$2,0)),0)</f>
        <v>419.81721588612402</v>
      </c>
      <c r="BX259" s="118">
        <f>IFERROR(INDEX('Fuel Model - Calculation'!$B$2:$M$3771,(MATCH(($E259&amp;"Results"&amp;$BT$140&amp;$F259&amp;"USD/ton"),'Fuel Model - Calculation'!$B$2:$B$3771,0)),MATCH(L$141,'Fuel Model - Calculation'!$B$2:$M$2,0)),0)</f>
        <v>422.12563960846063</v>
      </c>
      <c r="BY259" s="118">
        <f>IFERROR(INDEX('Fuel Model - Calculation'!$B$2:$M$3771,(MATCH(($E259&amp;"Results"&amp;$BT$140&amp;$F259&amp;"USD/ton"),'Fuel Model - Calculation'!$B$2:$B$3771,0)),MATCH(M$141,'Fuel Model - Calculation'!$B$2:$M$2,0)),0)</f>
        <v>425.01116926138138</v>
      </c>
      <c r="BZ259" s="118">
        <f>IFERROR(INDEX('Fuel Model - Calculation'!$B$2:$M$3771,(MATCH(($E259&amp;"Results"&amp;$BT$140&amp;$F259&amp;"USD/ton"),'Fuel Model - Calculation'!$B$2:$B$3771,0)),MATCH(N$141,'Fuel Model - Calculation'!$B$2:$M$2,0)),0)</f>
        <v>427.31959298371805</v>
      </c>
    </row>
    <row r="260" spans="1:78" x14ac:dyDescent="0.2">
      <c r="A260" s="452"/>
      <c r="B260" s="453" t="str">
        <f>_xlfn.TEXTJOIN(keydelim,TRUE,F260,IF(E260="Africa","Africa&amp;other",E260),"Fuel cost",SUBSTITUTE($G260," ",""))</f>
        <v>Biodiesel (HtL blend) - Africa&amp;other - Fuel cost - USD/ton</v>
      </c>
      <c r="D260" s="459" t="str">
        <f t="shared" si="222"/>
        <v>AfricaBiodiesel (HtL blend)</v>
      </c>
      <c r="E260" t="s">
        <v>200</v>
      </c>
      <c r="F260" s="460" t="str">
        <f t="shared" si="223"/>
        <v>Biodiesel (HtL blend)</v>
      </c>
      <c r="G260" t="s">
        <v>835</v>
      </c>
      <c r="H260" s="118">
        <f>INDEX('Fuel Model - Calculation'!$B$2:$M$3771,(MATCH(($E260&amp;"ResultsCost of "&amp;$F260&amp;"USD/ton"),'Fuel Model - Calculation'!$B$2:$B$3771,0)),MATCH(H$141,'Fuel Model - Calculation'!$B$2:$M$2,0))</f>
        <v>3138.7788707140003</v>
      </c>
      <c r="I260" s="118">
        <f>INDEX('Fuel Model - Calculation'!$B$2:$M$3771,(MATCH(($E260&amp;"ResultsCost of "&amp;$F260&amp;"USD/ton"),'Fuel Model - Calculation'!$B$2:$B$3771,0)),MATCH(I$141,'Fuel Model - Calculation'!$B$2:$M$2,0))</f>
        <v>1228.2665132735206</v>
      </c>
      <c r="J260" s="118">
        <f>INDEX('Fuel Model - Calculation'!$B$2:$M$3771,(MATCH(($E260&amp;"ResultsCost of "&amp;$F260&amp;"USD/ton"),'Fuel Model - Calculation'!$B$2:$B$3771,0)),MATCH(J$141,'Fuel Model - Calculation'!$B$2:$M$2,0))</f>
        <v>712.82517679801913</v>
      </c>
      <c r="K260" s="118">
        <f>INDEX('Fuel Model - Calculation'!$B$2:$M$3771,(MATCH(($E260&amp;"ResultsCost of "&amp;$F260&amp;"USD/ton"),'Fuel Model - Calculation'!$B$2:$B$3771,0)),MATCH(K$141,'Fuel Model - Calculation'!$B$2:$M$2,0))</f>
        <v>701.39239065205743</v>
      </c>
      <c r="L260" s="118">
        <f>INDEX('Fuel Model - Calculation'!$B$2:$M$3771,(MATCH(($E260&amp;"ResultsCost of "&amp;$F260&amp;"USD/ton"),'Fuel Model - Calculation'!$B$2:$B$3771,0)),MATCH(L$141,'Fuel Model - Calculation'!$B$2:$M$2,0))</f>
        <v>697.1570905078429</v>
      </c>
      <c r="M260" s="118">
        <f>INDEX('Fuel Model - Calculation'!$B$2:$M$3771,(MATCH(($E260&amp;"ResultsCost of "&amp;$F260&amp;"USD/ton"),'Fuel Model - Calculation'!$B$2:$B$3771,0)),MATCH(M$141,'Fuel Model - Calculation'!$B$2:$M$2,0))</f>
        <v>692.90527685363043</v>
      </c>
      <c r="N260" s="118">
        <f>INDEX('Fuel Model - Calculation'!$B$2:$M$3771,(MATCH(($E260&amp;"ResultsCost of "&amp;$F260&amp;"USD/ton"),'Fuel Model - Calculation'!$B$2:$B$3771,0)),MATCH(N$141,'Fuel Model - Calculation'!$B$2:$M$2,0))</f>
        <v>689.07273074994851</v>
      </c>
      <c r="O260"/>
      <c r="P260" s="118">
        <f>IFERROR(INDEX('Fuel Model - Calculation'!G$2:G$3771,(MATCH(($E260&amp;"ResultsTotal RNE "&amp;$F260&amp;"USD/ton"),'Fuel Model - Calculation'!$B$2:$B$3771,0))),0)</f>
        <v>25.281081742178319</v>
      </c>
      <c r="Q260" s="118">
        <f>IFERROR(INDEX('Fuel Model - Calculation'!H$2:H$3771,(MATCH(($E260&amp;"ResultsTotal RNE "&amp;$F260&amp;"USD/ton"),'Fuel Model - Calculation'!$B$2:$B$3771,0))),0)</f>
        <v>14.304545633973431</v>
      </c>
      <c r="R260" s="118">
        <f>IFERROR(INDEX('Fuel Model - Calculation'!I$2:I$3771,(MATCH(($E260&amp;"ResultsTotal RNE "&amp;$F260&amp;"USD/ton"),'Fuel Model - Calculation'!$B$2:$B$3771,0))),0)</f>
        <v>11.203525159065151</v>
      </c>
      <c r="S260" s="118">
        <f>IFERROR(INDEX('Fuel Model - Calculation'!J$2:J$3771,(MATCH(($E260&amp;"ResultsTotal RNE "&amp;$F260&amp;"USD/ton"),'Fuel Model - Calculation'!$B$2:$B$3771,0))),0)</f>
        <v>9.4668544264414152</v>
      </c>
      <c r="T260" s="118">
        <f>IFERROR(INDEX('Fuel Model - Calculation'!K$2:K$3771,(MATCH(($E260&amp;"ResultsTotal RNE "&amp;$F260&amp;"USD/ton"),'Fuel Model - Calculation'!$B$2:$B$3771,0))),0)</f>
        <v>8.6368471624355241</v>
      </c>
      <c r="U260" s="118">
        <f>IFERROR(INDEX('Fuel Model - Calculation'!L$2:L$3771,(MATCH(($E260&amp;"ResultsTotal RNE "&amp;$F260&amp;"USD/ton"),'Fuel Model - Calculation'!$B$2:$B$3771,0))),0)</f>
        <v>7.790326388431648</v>
      </c>
      <c r="V260" s="118">
        <f>IFERROR(INDEX('Fuel Model - Calculation'!M$2:M$3771,(MATCH(($E260&amp;"ResultsTotal RNE "&amp;$F260&amp;"USD/ton"),'Fuel Model - Calculation'!$B$2:$B$3771,0))),0)</f>
        <v>7.3630731649584069</v>
      </c>
      <c r="W260"/>
      <c r="X260" s="2">
        <f>INDEX('Fuel Model - Calculation'!$E$2:$M$3771,(MATCH(("WTT Emission - "&amp;$F260),'Fuel Model - Calculation'!$E$2:$E$3771,0)),MATCH(X$141,'Fuel Model - Calculation'!$E$2:$M$2,0))</f>
        <v>-0.12831027398621947</v>
      </c>
      <c r="Y260" s="2">
        <f>INDEX('Fuel Model - Calculation'!$E$2:$M$3771,(MATCH(("WTT Emission - "&amp;$F260),'Fuel Model - Calculation'!$E$2:$E$3771,0)),MATCH(Y$141,'Fuel Model - Calculation'!$E$2:$M$2,0))</f>
        <v>-0.14444862911648365</v>
      </c>
      <c r="Z260" s="2">
        <f>INDEX('Fuel Model - Calculation'!$E$2:$M$3771,(MATCH(("WTT Emission - "&amp;$F260),'Fuel Model - Calculation'!$E$2:$E$3771,0)),MATCH(Z$141,'Fuel Model - Calculation'!$E$2:$M$2,0))</f>
        <v>-0.16059327432165488</v>
      </c>
      <c r="AA260" s="2">
        <f>INDEX('Fuel Model - Calculation'!$E$2:$M$3771,(MATCH(("WTT Emission - "&amp;$F260),'Fuel Model - Calculation'!$E$2:$E$3771,0)),MATCH(AA$141,'Fuel Model - Calculation'!$E$2:$M$2,0))</f>
        <v>-0.17673791952682633</v>
      </c>
      <c r="AB260" s="2">
        <f>INDEX('Fuel Model - Calculation'!$E$2:$M$3771,(MATCH(("WTT Emission - "&amp;$F260),'Fuel Model - Calculation'!$E$2:$E$3771,0)),MATCH(AB$141,'Fuel Model - Calculation'!$E$2:$M$2,0))</f>
        <v>-0.19288256473199777</v>
      </c>
      <c r="AC260" s="2">
        <f>INDEX('Fuel Model - Calculation'!$E$2:$M$3771,(MATCH(("WTT Emission - "&amp;$F260),'Fuel Model - Calculation'!$E$2:$E$3771,0)),MATCH(AC$141,'Fuel Model - Calculation'!$E$2:$M$2,0))</f>
        <v>-0.20902720993716911</v>
      </c>
      <c r="AD260" s="2">
        <f>INDEX('Fuel Model - Calculation'!$E$2:$M$3771,(MATCH(("WTT Emission - "&amp;$F260),'Fuel Model - Calculation'!$E$2:$E$3771,0)),MATCH(AD$141,'Fuel Model - Calculation'!$E$2:$M$2,0))</f>
        <v>-0.22517185514234067</v>
      </c>
      <c r="AE260" s="2"/>
      <c r="AF260" s="2">
        <f>'Fuel Model -  Input'!$H$57*'Fuel Model -  Input'!$H$319+'Fuel Model -  Input'!$H$320*'Fuel Model -  Input'!$H$48</f>
        <v>2.5286646666666668</v>
      </c>
      <c r="AG260" s="2">
        <f>'Fuel Model -  Input'!$H$57*'Fuel Model -  Input'!$H$319+'Fuel Model -  Input'!$H$320*'Fuel Model -  Input'!$H$48</f>
        <v>2.5286646666666668</v>
      </c>
      <c r="AH260" s="2">
        <f>'Fuel Model -  Input'!$H$57*'Fuel Model -  Input'!$H$319+'Fuel Model -  Input'!$H$320*'Fuel Model -  Input'!$H$48</f>
        <v>2.5286646666666668</v>
      </c>
      <c r="AI260" s="2">
        <f>'Fuel Model -  Input'!$H$57*'Fuel Model -  Input'!$H$319+'Fuel Model -  Input'!$H$320*'Fuel Model -  Input'!$H$48</f>
        <v>2.5286646666666668</v>
      </c>
      <c r="AJ260" s="2">
        <f>'Fuel Model -  Input'!$H$57*'Fuel Model -  Input'!$H$319+'Fuel Model -  Input'!$H$320*'Fuel Model -  Input'!$H$48</f>
        <v>2.5286646666666668</v>
      </c>
      <c r="AK260" s="2">
        <f>'Fuel Model -  Input'!$H$57*'Fuel Model -  Input'!$H$319+'Fuel Model -  Input'!$H$320*'Fuel Model -  Input'!$H$48</f>
        <v>2.5286646666666668</v>
      </c>
      <c r="AL260" s="2">
        <f>'Fuel Model -  Input'!$H$57*'Fuel Model -  Input'!$H$319+'Fuel Model -  Input'!$H$320*'Fuel Model -  Input'!$H$48</f>
        <v>2.5286646666666668</v>
      </c>
      <c r="AM260"/>
      <c r="AN260" s="24">
        <f t="shared" si="215"/>
        <v>2.4003543926804474</v>
      </c>
      <c r="AO260" s="24">
        <f t="shared" si="216"/>
        <v>2.3842160375501833</v>
      </c>
      <c r="AP260" s="24">
        <f t="shared" si="217"/>
        <v>2.3680713923450121</v>
      </c>
      <c r="AQ260" s="24">
        <f t="shared" si="218"/>
        <v>2.3519267471398404</v>
      </c>
      <c r="AR260" s="24">
        <f t="shared" si="219"/>
        <v>2.3357821019346692</v>
      </c>
      <c r="AS260" s="24">
        <f t="shared" si="220"/>
        <v>2.3196374567294975</v>
      </c>
      <c r="AT260" s="24">
        <f t="shared" si="221"/>
        <v>2.3034928115243263</v>
      </c>
      <c r="AU260"/>
      <c r="AV260" s="118">
        <f>IFERROR(INDEX('Fuel Model - Calculation'!$B$2:$M$3771,(MATCH(($E260&amp;"Results"&amp;$AV$140&amp;$F260&amp;"USD/ton"),'Fuel Model - Calculation'!$B$2:$B$3771,0)),MATCH(H$141,'Fuel Model - Calculation'!$B$2:$M$2,0)),0)</f>
        <v>525.87791757540526</v>
      </c>
      <c r="AW260" s="118">
        <f>IFERROR(INDEX('Fuel Model - Calculation'!$B$2:$M$3771,(MATCH(($E260&amp;"Results"&amp;$AV$140&amp;$F260&amp;"USD/ton"),'Fuel Model - Calculation'!$B$2:$B$3771,0)),MATCH(I$141,'Fuel Model - Calculation'!$B$2:$M$2,0)),0)</f>
        <v>315.5267505452432</v>
      </c>
      <c r="AX260" s="118">
        <f>IFERROR(INDEX('Fuel Model - Calculation'!$B$2:$M$3771,(MATCH(($E260&amp;"Results"&amp;$AV$140&amp;$F260&amp;"USD/ton"),'Fuel Model - Calculation'!$B$2:$B$3771,0)),MATCH(J$141,'Fuel Model - Calculation'!$B$2:$M$2,0)),0)</f>
        <v>105.17558351508106</v>
      </c>
      <c r="AY260" s="118">
        <f>IFERROR(INDEX('Fuel Model - Calculation'!$B$2:$M$3771,(MATCH(($E260&amp;"Results"&amp;$AV$140&amp;$F260&amp;"USD/ton"),'Fuel Model - Calculation'!$B$2:$B$3771,0)),MATCH(K$141,'Fuel Model - Calculation'!$B$2:$M$2,0)),0)</f>
        <v>98.865048504176201</v>
      </c>
      <c r="AZ260" s="118">
        <f>IFERROR(INDEX('Fuel Model - Calculation'!$B$2:$M$3771,(MATCH(($E260&amp;"Results"&amp;$AV$140&amp;$F260&amp;"USD/ton"),'Fuel Model - Calculation'!$B$2:$B$3771,0)),MATCH(L$141,'Fuel Model - Calculation'!$B$2:$M$2,0)),0)</f>
        <v>95.709780998723772</v>
      </c>
      <c r="BA260" s="118">
        <f>IFERROR(INDEX('Fuel Model - Calculation'!$B$2:$M$3771,(MATCH(($E260&amp;"Results"&amp;$AV$140&amp;$F260&amp;"USD/ton"),'Fuel Model - Calculation'!$B$2:$B$3771,0)),MATCH(M$141,'Fuel Model - Calculation'!$B$2:$M$2,0)),0)</f>
        <v>92.55451349327133</v>
      </c>
      <c r="BB260" s="118">
        <f>IFERROR(INDEX('Fuel Model - Calculation'!$B$2:$M$3771,(MATCH(($E260&amp;"Results"&amp;$AV$140&amp;$F260&amp;"USD/ton"),'Fuel Model - Calculation'!$B$2:$B$3771,0)),MATCH(N$141,'Fuel Model - Calculation'!$B$2:$M$2,0)),0)</f>
        <v>89.399245987818901</v>
      </c>
      <c r="BC260"/>
      <c r="BD260" s="118">
        <f>IFERROR(INDEX('Fuel Model - Calculation'!$B$2:$M$3771,(MATCH(($E260&amp;"Results"&amp;$BD$140&amp;$F260&amp;"USD/ton"),'Fuel Model - Calculation'!$B$2:$B$3771,0)),MATCH(P$141,'Fuel Model - Calculation'!$B$2:$M$2,0)),0)</f>
        <v>1928.468720453571</v>
      </c>
      <c r="BE260" s="118">
        <f>IFERROR(INDEX('Fuel Model - Calculation'!$B$2:$M$3771,(MATCH(($E260&amp;"Results"&amp;$BD$140&amp;$F260&amp;"USD/ton"),'Fuel Model - Calculation'!$B$2:$B$3771,0)),MATCH(Q$141,'Fuel Model - Calculation'!$B$2:$M$2,0)),0)</f>
        <v>385.69374409071418</v>
      </c>
      <c r="BF260" s="118">
        <f>IFERROR(INDEX('Fuel Model - Calculation'!$B$2:$M$3771,(MATCH(($E260&amp;"Results"&amp;$BD$140&amp;$F260&amp;"USD/ton"),'Fuel Model - Calculation'!$B$2:$B$3771,0)),MATCH(R$141,'Fuel Model - Calculation'!$B$2:$M$2,0)),0)</f>
        <v>128.56458136357139</v>
      </c>
      <c r="BG260" s="118">
        <f>IFERROR(INDEX('Fuel Model - Calculation'!$B$2:$M$3771,(MATCH(($E260&amp;"Results"&amp;$BD$140&amp;$F260&amp;"USD/ton"),'Fuel Model - Calculation'!$B$2:$B$3771,0)),MATCH(S$141,'Fuel Model - Calculation'!$B$2:$M$2,0)),0)</f>
        <v>120.85070648175711</v>
      </c>
      <c r="BH260" s="118">
        <f>IFERROR(INDEX('Fuel Model - Calculation'!$B$2:$M$3771,(MATCH(($E260&amp;"Results"&amp;$BD$140&amp;$F260&amp;"USD/ton"),'Fuel Model - Calculation'!$B$2:$B$3771,0)),MATCH(T$141,'Fuel Model - Calculation'!$B$2:$M$2,0)),0)</f>
        <v>116.99376904084998</v>
      </c>
      <c r="BI260" s="118">
        <f>IFERROR(INDEX('Fuel Model - Calculation'!$B$2:$M$3771,(MATCH(($E260&amp;"Results"&amp;$BD$140&amp;$F260&amp;"USD/ton"),'Fuel Model - Calculation'!$B$2:$B$3771,0)),MATCH(U$141,'Fuel Model - Calculation'!$B$2:$M$2,0)),0)</f>
        <v>113.13683159994285</v>
      </c>
      <c r="BJ260" s="118">
        <f>IFERROR(INDEX('Fuel Model - Calculation'!$B$2:$M$3771,(MATCH(($E260&amp;"Results"&amp;$BD$140&amp;$F260&amp;"USD/ton"),'Fuel Model - Calculation'!$B$2:$B$3771,0)),MATCH(V$141,'Fuel Model - Calculation'!$B$2:$M$2,0)),0)</f>
        <v>109.27989415903569</v>
      </c>
      <c r="BL260" s="118">
        <f>IFERROR(IFERROR(INDEX('Fuel Model - Calculation'!$B$2:$M$3771,(MATCH(($E260&amp;"Results"&amp;$BL$140&amp;$F260&amp;"USD/ton"),'Fuel Model - Calculation'!$B$2:$B$3771,0)),MATCH(H$141,'Fuel Model - Calculation'!$B$2:$M$2,0)),0),0)</f>
        <v>0</v>
      </c>
      <c r="BM260" s="118">
        <f>IFERROR(IFERROR(INDEX('Fuel Model - Calculation'!$B$2:$M$3771,(MATCH(($E260&amp;"Results"&amp;$BL$140&amp;$F260&amp;"USD/ton"),'Fuel Model - Calculation'!$B$2:$B$3771,0)),MATCH(I$141,'Fuel Model - Calculation'!$B$2:$M$2,0)),0),0)</f>
        <v>0</v>
      </c>
      <c r="BN260" s="118">
        <f>IFERROR(IFERROR(INDEX('Fuel Model - Calculation'!$B$2:$M$3771,(MATCH(($E260&amp;"Results"&amp;$BL$140&amp;$F260&amp;"USD/ton"),'Fuel Model - Calculation'!$B$2:$B$3771,0)),MATCH(J$141,'Fuel Model - Calculation'!$B$2:$M$2,0)),0),0)</f>
        <v>0</v>
      </c>
      <c r="BO260" s="118">
        <f>IFERROR(IFERROR(INDEX('Fuel Model - Calculation'!$B$2:$M$3771,(MATCH(($E260&amp;"Results"&amp;$BL$140&amp;$F260&amp;"USD/ton"),'Fuel Model - Calculation'!$B$2:$B$3771,0)),MATCH(K$141,'Fuel Model - Calculation'!$B$2:$M$2,0)),0),0)</f>
        <v>0</v>
      </c>
      <c r="BP260" s="118">
        <f>IFERROR(IFERROR(INDEX('Fuel Model - Calculation'!$B$2:$M$3771,(MATCH(($E260&amp;"Results"&amp;$BL$140&amp;$F260&amp;"USD/ton"),'Fuel Model - Calculation'!$B$2:$B$3771,0)),MATCH(L$141,'Fuel Model - Calculation'!$B$2:$M$2,0)),0),0)</f>
        <v>0</v>
      </c>
      <c r="BQ260" s="118">
        <f>IFERROR(IFERROR(INDEX('Fuel Model - Calculation'!$B$2:$M$3771,(MATCH(($E260&amp;"Results"&amp;$BL$140&amp;$F260&amp;"USD/ton"),'Fuel Model - Calculation'!$B$2:$B$3771,0)),MATCH(M$141,'Fuel Model - Calculation'!$B$2:$M$2,0)),0),0)</f>
        <v>0</v>
      </c>
      <c r="BR260" s="118">
        <f>IFERROR(IFERROR(INDEX('Fuel Model - Calculation'!$B$2:$M$3771,(MATCH(($E260&amp;"Results"&amp;$BL$140&amp;$F260&amp;"USD/ton"),'Fuel Model - Calculation'!$B$2:$B$3771,0)),MATCH(N$141,'Fuel Model - Calculation'!$B$2:$M$2,0)),0),0)</f>
        <v>0</v>
      </c>
      <c r="BT260" s="118">
        <f>IFERROR(INDEX('Fuel Model - Calculation'!$B$2:$M$3771,(MATCH(($E260&amp;"Results"&amp;$BT$140&amp;$F260&amp;"USD/ton"),'Fuel Model - Calculation'!$B$2:$B$3771,0)),MATCH(H$141,'Fuel Model - Calculation'!$B$2:$M$2,0)),0)</f>
        <v>659.15115094284545</v>
      </c>
      <c r="BU260" s="118">
        <f>IFERROR(INDEX('Fuel Model - Calculation'!$B$2:$M$3771,(MATCH(($E260&amp;"Results"&amp;$BT$140&amp;$F260&amp;"USD/ton"),'Fuel Model - Calculation'!$B$2:$B$3771,0)),MATCH(I$141,'Fuel Model - Calculation'!$B$2:$M$2,0)),0)</f>
        <v>512.74147300358959</v>
      </c>
      <c r="BV260" s="118">
        <f>IFERROR(INDEX('Fuel Model - Calculation'!$B$2:$M$3771,(MATCH(($E260&amp;"Results"&amp;$BT$140&amp;$F260&amp;"USD/ton"),'Fuel Model - Calculation'!$B$2:$B$3771,0)),MATCH(J$141,'Fuel Model - Calculation'!$B$2:$M$2,0)),0)</f>
        <v>467.88148676030147</v>
      </c>
      <c r="BW260" s="118">
        <f>IFERROR(INDEX('Fuel Model - Calculation'!$B$2:$M$3771,(MATCH(($E260&amp;"Results"&amp;$BT$140&amp;$F260&amp;"USD/ton"),'Fuel Model - Calculation'!$B$2:$B$3771,0)),MATCH(K$141,'Fuel Model - Calculation'!$B$2:$M$2,0)),0)</f>
        <v>472.20978123968268</v>
      </c>
      <c r="BX260" s="118">
        <f>IFERROR(INDEX('Fuel Model - Calculation'!$B$2:$M$3771,(MATCH(($E260&amp;"Results"&amp;$BT$140&amp;$F260&amp;"USD/ton"),'Fuel Model - Calculation'!$B$2:$B$3771,0)),MATCH(L$141,'Fuel Model - Calculation'!$B$2:$M$2,0)),0)</f>
        <v>475.81669330583361</v>
      </c>
      <c r="BY260" s="118">
        <f>IFERROR(INDEX('Fuel Model - Calculation'!$B$2:$M$3771,(MATCH(($E260&amp;"Results"&amp;$BT$140&amp;$F260&amp;"USD/ton"),'Fuel Model - Calculation'!$B$2:$B$3771,0)),MATCH(M$141,'Fuel Model - Calculation'!$B$2:$M$2,0)),0)</f>
        <v>479.42360537198459</v>
      </c>
      <c r="BZ260" s="118">
        <f>IFERROR(INDEX('Fuel Model - Calculation'!$B$2:$M$3771,(MATCH(($E260&amp;"Results"&amp;$BT$140&amp;$F260&amp;"USD/ton"),'Fuel Model - Calculation'!$B$2:$B$3771,0)),MATCH(N$141,'Fuel Model - Calculation'!$B$2:$M$2,0)),0)</f>
        <v>483.03051743813558</v>
      </c>
    </row>
    <row r="261" spans="1:78" x14ac:dyDescent="0.2">
      <c r="A261" s="452"/>
      <c r="B261" s="453"/>
      <c r="D261" s="74"/>
      <c r="E261"/>
      <c r="F261"/>
      <c r="G261"/>
      <c r="H261" s="118"/>
      <c r="I261"/>
      <c r="J261"/>
      <c r="K261"/>
      <c r="L261"/>
      <c r="M261"/>
      <c r="N261"/>
      <c r="O261"/>
      <c r="P261"/>
      <c r="Q261"/>
      <c r="R261"/>
      <c r="S261"/>
      <c r="T261"/>
      <c r="U261"/>
      <c r="V261"/>
      <c r="W261"/>
      <c r="X261"/>
      <c r="Y261"/>
      <c r="Z261"/>
      <c r="AA261"/>
      <c r="AB261"/>
      <c r="AC261"/>
      <c r="AD261"/>
      <c r="AE261"/>
      <c r="AF261" s="2"/>
      <c r="AG261" s="2"/>
      <c r="AH261" s="2"/>
      <c r="AI261" s="2"/>
      <c r="AJ261" s="2"/>
      <c r="AK261" s="2"/>
      <c r="AL261" s="2"/>
      <c r="AM261"/>
      <c r="AN261" s="24"/>
      <c r="AO261" s="24"/>
      <c r="AP261" s="24"/>
      <c r="AQ261" s="24"/>
      <c r="AR261" s="24"/>
      <c r="AS261" s="24"/>
      <c r="AT261" s="24"/>
      <c r="AU261"/>
      <c r="AV261" s="118"/>
      <c r="AW261" s="118"/>
      <c r="AX261" s="118"/>
      <c r="AY261" s="118"/>
      <c r="AZ261" s="118"/>
      <c r="BA261" s="118"/>
      <c r="BB261" s="118"/>
      <c r="BC261"/>
      <c r="BD261" s="118"/>
      <c r="BE261" s="118"/>
      <c r="BF261" s="118"/>
      <c r="BG261" s="118"/>
      <c r="BH261" s="118"/>
      <c r="BI261" s="118"/>
      <c r="BJ261" s="118"/>
      <c r="BL261" s="118"/>
      <c r="BM261" s="118"/>
      <c r="BN261" s="118"/>
      <c r="BO261" s="118"/>
      <c r="BP261" s="118"/>
      <c r="BQ261" s="118"/>
      <c r="BR261" s="118"/>
      <c r="BT261" s="118"/>
      <c r="BU261" s="118"/>
      <c r="BV261" s="118"/>
      <c r="BW261" s="118"/>
      <c r="BX261" s="118"/>
      <c r="BY261" s="118"/>
      <c r="BZ261" s="118"/>
    </row>
    <row r="262" spans="1:78" x14ac:dyDescent="0.2">
      <c r="A262" s="452"/>
      <c r="B262" s="453" t="str">
        <f>_xlfn.TEXTJOIN(keydelim,TRUE,F262,IF(E262="Africa","Africa&amp;other",E262),"Fuel cost",SUBSTITUTE($G262," ",""))</f>
        <v>Biodiesel (Pyr blend) - Europe - Fuel cost - USD/ton</v>
      </c>
      <c r="D262" s="459" t="str">
        <f>E262&amp;F262</f>
        <v>EuropeBiodiesel (Pyr blend)</v>
      </c>
      <c r="E262" t="s">
        <v>195</v>
      </c>
      <c r="F262" s="29" t="s">
        <v>596</v>
      </c>
      <c r="G262" t="s">
        <v>835</v>
      </c>
      <c r="H262" s="118">
        <f>INDEX('Fuel Model - Calculation'!$B$2:$M$3771,(MATCH(($E262&amp;"ResultsCost of "&amp;$F262&amp;"USD/ton"),'Fuel Model - Calculation'!$B$2:$B$3771,0)),MATCH(H$141,'Fuel Model - Calculation'!$B$2:$M$2,0))</f>
        <v>839.12231315477857</v>
      </c>
      <c r="I262" s="118">
        <f>INDEX('Fuel Model - Calculation'!$B$2:$M$3771,(MATCH(($E262&amp;"ResultsCost of "&amp;$F262&amp;"USD/ton"),'Fuel Model - Calculation'!$B$2:$B$3771,0)),MATCH(I$141,'Fuel Model - Calculation'!$B$2:$M$2,0))</f>
        <v>600.77888417236034</v>
      </c>
      <c r="J262" s="118">
        <f>INDEX('Fuel Model - Calculation'!$B$2:$M$3771,(MATCH(($E262&amp;"ResultsCost of "&amp;$F262&amp;"USD/ton"),'Fuel Model - Calculation'!$B$2:$B$3771,0)),MATCH(J$141,'Fuel Model - Calculation'!$B$2:$M$2,0))</f>
        <v>480.94074854264682</v>
      </c>
      <c r="K262" s="118">
        <f>INDEX('Fuel Model - Calculation'!$B$2:$M$3771,(MATCH(($E262&amp;"ResultsCost of "&amp;$F262&amp;"USD/ton"),'Fuel Model - Calculation'!$B$2:$B$3771,0)),MATCH(K$141,'Fuel Model - Calculation'!$B$2:$M$2,0))</f>
        <v>480.42760497739374</v>
      </c>
      <c r="L262" s="118">
        <f>INDEX('Fuel Model - Calculation'!$B$2:$M$3771,(MATCH(($E262&amp;"ResultsCost of "&amp;$F262&amp;"USD/ton"),'Fuel Model - Calculation'!$B$2:$B$3771,0)),MATCH(L$141,'Fuel Model - Calculation'!$B$2:$M$2,0))</f>
        <v>481.5680881026363</v>
      </c>
      <c r="M262" s="118">
        <f>INDEX('Fuel Model - Calculation'!$B$2:$M$3771,(MATCH(($E262&amp;"ResultsCost of "&amp;$F262&amp;"USD/ton"),'Fuel Model - Calculation'!$B$2:$B$3771,0)),MATCH(M$141,'Fuel Model - Calculation'!$B$2:$M$2,0))</f>
        <v>483.274479602621</v>
      </c>
      <c r="N262" s="118">
        <f>INDEX('Fuel Model - Calculation'!$B$2:$M$3771,(MATCH(($E262&amp;"ResultsCost of "&amp;$F262&amp;"USD/ton"),'Fuel Model - Calculation'!$B$2:$B$3771,0)),MATCH(N$141,'Fuel Model - Calculation'!$B$2:$M$2,0))</f>
        <v>484.99012802943412</v>
      </c>
      <c r="O262"/>
      <c r="P262" s="118">
        <f>IFERROR(INDEX('Fuel Model - Calculation'!G$2:G$3771,(MATCH(($E262&amp;"ResultsTotal RNE "&amp;$F262&amp;"USD/ton"),'Fuel Model - Calculation'!$B$2:$B$3771,0))),0)</f>
        <v>0</v>
      </c>
      <c r="Q262" s="118">
        <f>IFERROR(INDEX('Fuel Model - Calculation'!H$2:H$3771,(MATCH(($E262&amp;"ResultsTotal RNE "&amp;$F262&amp;"USD/ton"),'Fuel Model - Calculation'!$B$2:$B$3771,0))),0)</f>
        <v>0</v>
      </c>
      <c r="R262" s="118">
        <f>IFERROR(INDEX('Fuel Model - Calculation'!I$2:I$3771,(MATCH(($E262&amp;"ResultsTotal RNE "&amp;$F262&amp;"USD/ton"),'Fuel Model - Calculation'!$B$2:$B$3771,0))),0)</f>
        <v>0</v>
      </c>
      <c r="S262" s="118">
        <f>IFERROR(INDEX('Fuel Model - Calculation'!J$2:J$3771,(MATCH(($E262&amp;"ResultsTotal RNE "&amp;$F262&amp;"USD/ton"),'Fuel Model - Calculation'!$B$2:$B$3771,0))),0)</f>
        <v>0</v>
      </c>
      <c r="T262" s="118">
        <f>IFERROR(INDEX('Fuel Model - Calculation'!K$2:K$3771,(MATCH(($E262&amp;"ResultsTotal RNE "&amp;$F262&amp;"USD/ton"),'Fuel Model - Calculation'!$B$2:$B$3771,0))),0)</f>
        <v>0</v>
      </c>
      <c r="U262" s="118">
        <f>IFERROR(INDEX('Fuel Model - Calculation'!L$2:L$3771,(MATCH(($E262&amp;"ResultsTotal RNE "&amp;$F262&amp;"USD/ton"),'Fuel Model - Calculation'!$B$2:$B$3771,0))),0)</f>
        <v>0</v>
      </c>
      <c r="V262" s="118">
        <f>IFERROR(INDEX('Fuel Model - Calculation'!M$2:M$3771,(MATCH(($E262&amp;"ResultsTotal RNE "&amp;$F262&amp;"USD/ton"),'Fuel Model - Calculation'!$B$2:$B$3771,0))),0)</f>
        <v>0</v>
      </c>
      <c r="W262"/>
      <c r="X262" s="2">
        <f>INDEX('Fuel Model - Calculation'!$E$2:$M$3771,(MATCH(("WTT Emission - "&amp;$F262),'Fuel Model - Calculation'!$E$2:$E$3771,0)),MATCH(X$141,'Fuel Model - Calculation'!$E$2:$M$2,0))</f>
        <v>-4.5728858394620486E-2</v>
      </c>
      <c r="Y262" s="2">
        <f>INDEX('Fuel Model - Calculation'!$E$2:$M$3771,(MATCH(("WTT Emission - "&amp;$F262),'Fuel Model - Calculation'!$E$2:$E$3771,0)),MATCH(Y$141,'Fuel Model - Calculation'!$E$2:$M$2,0))</f>
        <v>-5.3398785735186971E-2</v>
      </c>
      <c r="Z262" s="2">
        <f>INDEX('Fuel Model - Calculation'!$E$2:$M$3771,(MATCH(("WTT Emission - "&amp;$F262),'Fuel Model - Calculation'!$E$2:$E$3771,0)),MATCH(Z$141,'Fuel Model - Calculation'!$E$2:$M$2,0))</f>
        <v>-6.1068713075753567E-2</v>
      </c>
      <c r="AA262" s="2">
        <f>INDEX('Fuel Model - Calculation'!$E$2:$M$3771,(MATCH(("WTT Emission - "&amp;$F262),'Fuel Model - Calculation'!$E$2:$E$3771,0)),MATCH(AA$141,'Fuel Model - Calculation'!$E$2:$M$2,0))</f>
        <v>-6.8738640416320052E-2</v>
      </c>
      <c r="AB262" s="2">
        <f>INDEX('Fuel Model - Calculation'!$E$2:$M$3771,(MATCH(("WTT Emission - "&amp;$F262),'Fuel Model - Calculation'!$E$2:$E$3771,0)),MATCH(AB$141,'Fuel Model - Calculation'!$E$2:$M$2,0))</f>
        <v>-7.6408567756886647E-2</v>
      </c>
      <c r="AC262" s="2">
        <f>INDEX('Fuel Model - Calculation'!$E$2:$M$3771,(MATCH(("WTT Emission - "&amp;$F262),'Fuel Model - Calculation'!$E$2:$E$3771,0)),MATCH(AC$141,'Fuel Model - Calculation'!$E$2:$M$2,0))</f>
        <v>-8.4078495097453243E-2</v>
      </c>
      <c r="AD262" s="2">
        <f>INDEX('Fuel Model - Calculation'!$E$2:$M$3771,(MATCH(("WTT Emission - "&amp;$F262),'Fuel Model - Calculation'!$E$2:$E$3771,0)),MATCH(AD$141,'Fuel Model - Calculation'!$E$2:$M$2,0))</f>
        <v>-9.1748422438019728E-2</v>
      </c>
      <c r="AE262" s="2"/>
      <c r="AF262" s="2">
        <f>+'Fuel Model -  Input'!$H$56*'Fuel Model -  Input'!$H$344+'Fuel Model -  Input'!$H$345*'Fuel Model -  Input'!$H$48</f>
        <v>2.7698309999999999</v>
      </c>
      <c r="AG262" s="2">
        <f>+'Fuel Model -  Input'!$H$56*'Fuel Model -  Input'!$H$344+'Fuel Model -  Input'!$H$345*'Fuel Model -  Input'!$H$48</f>
        <v>2.7698309999999999</v>
      </c>
      <c r="AH262" s="2">
        <f>+'Fuel Model -  Input'!$H$56*'Fuel Model -  Input'!$H$344+'Fuel Model -  Input'!$H$345*'Fuel Model -  Input'!$H$48</f>
        <v>2.7698309999999999</v>
      </c>
      <c r="AI262" s="2">
        <f>+'Fuel Model -  Input'!$H$56*'Fuel Model -  Input'!$H$344+'Fuel Model -  Input'!$H$345*'Fuel Model -  Input'!$H$48</f>
        <v>2.7698309999999999</v>
      </c>
      <c r="AJ262" s="2">
        <f>+'Fuel Model -  Input'!$H$56*'Fuel Model -  Input'!$H$344+'Fuel Model -  Input'!$H$345*'Fuel Model -  Input'!$H$48</f>
        <v>2.7698309999999999</v>
      </c>
      <c r="AK262" s="2">
        <f>+'Fuel Model -  Input'!$H$56*'Fuel Model -  Input'!$H$344+'Fuel Model -  Input'!$H$345*'Fuel Model -  Input'!$H$48</f>
        <v>2.7698309999999999</v>
      </c>
      <c r="AL262" s="2">
        <f>+'Fuel Model -  Input'!$H$56*'Fuel Model -  Input'!$H$344+'Fuel Model -  Input'!$H$345*'Fuel Model -  Input'!$H$48</f>
        <v>2.7698309999999999</v>
      </c>
      <c r="AM262"/>
      <c r="AN262" s="24">
        <f t="shared" ref="AN262:AN266" si="224">X262+AF262</f>
        <v>2.7241021416053792</v>
      </c>
      <c r="AO262" s="24">
        <f t="shared" ref="AO262:AO266" si="225">Y262+AG262</f>
        <v>2.7164322142648132</v>
      </c>
      <c r="AP262" s="24">
        <f t="shared" ref="AP262:AP266" si="226">Z262+AH262</f>
        <v>2.7087622869242463</v>
      </c>
      <c r="AQ262" s="24">
        <f t="shared" ref="AQ262:AQ266" si="227">AA262+AI262</f>
        <v>2.7010923595836798</v>
      </c>
      <c r="AR262" s="24">
        <f t="shared" ref="AR262:AR266" si="228">AB262+AJ262</f>
        <v>2.6934224322431133</v>
      </c>
      <c r="AS262" s="24">
        <f t="shared" ref="AS262:AS266" si="229">AC262+AK262</f>
        <v>2.6857525049025468</v>
      </c>
      <c r="AT262" s="24">
        <f t="shared" ref="AT262:AT266" si="230">AD262+AL262</f>
        <v>2.6780825775619803</v>
      </c>
      <c r="AU262"/>
      <c r="AV262" s="118">
        <f>IFERROR(INDEX('Fuel Model - Calculation'!$B$2:$M$3771,(MATCH(($E262&amp;"Results"&amp;$AV$140&amp;$F262&amp;"USD/ton"),'Fuel Model - Calculation'!$B$2:$B$3771,0)),MATCH(H$141,'Fuel Model - Calculation'!$B$2:$M$2,0)),0)</f>
        <v>121.28838712032712</v>
      </c>
      <c r="AW262" s="118">
        <f>IFERROR(INDEX('Fuel Model - Calculation'!$B$2:$M$3771,(MATCH(($E262&amp;"Results"&amp;$AV$140&amp;$F262&amp;"USD/ton"),'Fuel Model - Calculation'!$B$2:$B$3771,0)),MATCH(I$141,'Fuel Model - Calculation'!$B$2:$M$2,0)),0)</f>
        <v>72.773032272196289</v>
      </c>
      <c r="AX262" s="118">
        <f>IFERROR(INDEX('Fuel Model - Calculation'!$B$2:$M$3771,(MATCH(($E262&amp;"Results"&amp;$AV$140&amp;$F262&amp;"USD/ton"),'Fuel Model - Calculation'!$B$2:$B$3771,0)),MATCH(J$141,'Fuel Model - Calculation'!$B$2:$M$2,0)),0)</f>
        <v>24.257677424065424</v>
      </c>
      <c r="AY262" s="118">
        <f>IFERROR(INDEX('Fuel Model - Calculation'!$B$2:$M$3771,(MATCH(($E262&amp;"Results"&amp;$AV$140&amp;$F262&amp;"USD/ton"),'Fuel Model - Calculation'!$B$2:$B$3771,0)),MATCH(K$141,'Fuel Model - Calculation'!$B$2:$M$2,0)),0)</f>
        <v>21.831909681658885</v>
      </c>
      <c r="AZ262" s="118">
        <f>IFERROR(INDEX('Fuel Model - Calculation'!$B$2:$M$3771,(MATCH(($E262&amp;"Results"&amp;$AV$140&amp;$F262&amp;"USD/ton"),'Fuel Model - Calculation'!$B$2:$B$3771,0)),MATCH(L$141,'Fuel Model - Calculation'!$B$2:$M$2,0)),0)</f>
        <v>21.023320434190037</v>
      </c>
      <c r="BA262" s="118">
        <f>IFERROR(INDEX('Fuel Model - Calculation'!$B$2:$M$3771,(MATCH(($E262&amp;"Results"&amp;$AV$140&amp;$F262&amp;"USD/ton"),'Fuel Model - Calculation'!$B$2:$B$3771,0)),MATCH(M$141,'Fuel Model - Calculation'!$B$2:$M$2,0)),0)</f>
        <v>20.214731186721192</v>
      </c>
      <c r="BB262" s="118">
        <f>IFERROR(INDEX('Fuel Model - Calculation'!$B$2:$M$3771,(MATCH(($E262&amp;"Results"&amp;$AV$140&amp;$F262&amp;"USD/ton"),'Fuel Model - Calculation'!$B$2:$B$3771,0)),MATCH(N$141,'Fuel Model - Calculation'!$B$2:$M$2,0)),0)</f>
        <v>19.406141939252343</v>
      </c>
      <c r="BC262"/>
      <c r="BD262" s="118">
        <f>IFERROR(INDEX('Fuel Model - Calculation'!$B$2:$M$3771,(MATCH(($E262&amp;"Results"&amp;$BD$140&amp;$F262&amp;"USD/ton"),'Fuel Model - Calculation'!$B$2:$B$3771,0)),MATCH(P$141,'Fuel Model - Calculation'!$B$2:$M$2,0)),0)</f>
        <v>44.561107091334925</v>
      </c>
      <c r="BE262" s="118">
        <f>IFERROR(INDEX('Fuel Model - Calculation'!$B$2:$M$3771,(MATCH(($E262&amp;"Results"&amp;$BD$140&amp;$F262&amp;"USD/ton"),'Fuel Model - Calculation'!$B$2:$B$3771,0)),MATCH(Q$141,'Fuel Model - Calculation'!$B$2:$M$2,0)),0)</f>
        <v>26.911674133516023</v>
      </c>
      <c r="BF262" s="118">
        <f>IFERROR(INDEX('Fuel Model - Calculation'!$B$2:$M$3771,(MATCH(($E262&amp;"Results"&amp;$BD$140&amp;$F262&amp;"USD/ton"),'Fuel Model - Calculation'!$B$2:$B$3771,0)),MATCH(R$141,'Fuel Model - Calculation'!$B$2:$M$2,0)),0)</f>
        <v>9.2928942164396204</v>
      </c>
      <c r="BG262" s="118">
        <f>IFERROR(INDEX('Fuel Model - Calculation'!$B$2:$M$3771,(MATCH(($E262&amp;"Results"&amp;$BD$140&amp;$F262&amp;"USD/ton"),'Fuel Model - Calculation'!$B$2:$B$3771,0)),MATCH(S$141,'Fuel Model - Calculation'!$B$2:$M$2,0)),0)</f>
        <v>8.3648045637535553</v>
      </c>
      <c r="BH262" s="118">
        <f>IFERROR(INDEX('Fuel Model - Calculation'!$B$2:$M$3771,(MATCH(($E262&amp;"Results"&amp;$BD$140&amp;$F262&amp;"USD/ton"),'Fuel Model - Calculation'!$B$2:$B$3771,0)),MATCH(T$141,'Fuel Model - Calculation'!$B$2:$M$2,0)),0)</f>
        <v>8.0413058725933926</v>
      </c>
      <c r="BI262" s="118">
        <f>IFERROR(INDEX('Fuel Model - Calculation'!$B$2:$M$3771,(MATCH(($E262&amp;"Results"&amp;$BD$140&amp;$F262&amp;"USD/ton"),'Fuel Model - Calculation'!$B$2:$B$3771,0)),MATCH(U$141,'Fuel Model - Calculation'!$B$2:$M$2,0)),0)</f>
        <v>7.7155727902075224</v>
      </c>
      <c r="BJ262" s="118">
        <f>IFERROR(INDEX('Fuel Model - Calculation'!$B$2:$M$3771,(MATCH(($E262&amp;"Results"&amp;$BD$140&amp;$F262&amp;"USD/ton"),'Fuel Model - Calculation'!$B$2:$B$3771,0)),MATCH(V$141,'Fuel Model - Calculation'!$B$2:$M$2,0)),0)</f>
        <v>7.3990966346499834</v>
      </c>
      <c r="BL262" s="118">
        <f>IFERROR(IFERROR(INDEX('Fuel Model - Calculation'!$B$2:$M$3771,(MATCH(($E262&amp;"Results"&amp;$BL$140&amp;$F262&amp;"USD/ton"),'Fuel Model - Calculation'!$B$2:$B$3771,0)),MATCH(H$141,'Fuel Model - Calculation'!$B$2:$M$2,0)),0),0)</f>
        <v>0</v>
      </c>
      <c r="BM262" s="118">
        <f>IFERROR(IFERROR(INDEX('Fuel Model - Calculation'!$B$2:$M$3771,(MATCH(($E262&amp;"Results"&amp;$BL$140&amp;$F262&amp;"USD/ton"),'Fuel Model - Calculation'!$B$2:$B$3771,0)),MATCH(I$141,'Fuel Model - Calculation'!$B$2:$M$2,0)),0),0)</f>
        <v>0</v>
      </c>
      <c r="BN262" s="118">
        <f>IFERROR(IFERROR(INDEX('Fuel Model - Calculation'!$B$2:$M$3771,(MATCH(($E262&amp;"Results"&amp;$BL$140&amp;$F262&amp;"USD/ton"),'Fuel Model - Calculation'!$B$2:$B$3771,0)),MATCH(J$141,'Fuel Model - Calculation'!$B$2:$M$2,0)),0),0)</f>
        <v>0</v>
      </c>
      <c r="BO262" s="118">
        <f>IFERROR(IFERROR(INDEX('Fuel Model - Calculation'!$B$2:$M$3771,(MATCH(($E262&amp;"Results"&amp;$BL$140&amp;$F262&amp;"USD/ton"),'Fuel Model - Calculation'!$B$2:$B$3771,0)),MATCH(K$141,'Fuel Model - Calculation'!$B$2:$M$2,0)),0),0)</f>
        <v>0</v>
      </c>
      <c r="BP262" s="118">
        <f>IFERROR(IFERROR(INDEX('Fuel Model - Calculation'!$B$2:$M$3771,(MATCH(($E262&amp;"Results"&amp;$BL$140&amp;$F262&amp;"USD/ton"),'Fuel Model - Calculation'!$B$2:$B$3771,0)),MATCH(L$141,'Fuel Model - Calculation'!$B$2:$M$2,0)),0),0)</f>
        <v>0</v>
      </c>
      <c r="BQ262" s="118">
        <f>IFERROR(IFERROR(INDEX('Fuel Model - Calculation'!$B$2:$M$3771,(MATCH(($E262&amp;"Results"&amp;$BL$140&amp;$F262&amp;"USD/ton"),'Fuel Model - Calculation'!$B$2:$B$3771,0)),MATCH(M$141,'Fuel Model - Calculation'!$B$2:$M$2,0)),0),0)</f>
        <v>0</v>
      </c>
      <c r="BR262" s="118">
        <f>IFERROR(IFERROR(INDEX('Fuel Model - Calculation'!$B$2:$M$3771,(MATCH(($E262&amp;"Results"&amp;$BL$140&amp;$F262&amp;"USD/ton"),'Fuel Model - Calculation'!$B$2:$B$3771,0)),MATCH(N$141,'Fuel Model - Calculation'!$B$2:$M$2,0)),0),0)</f>
        <v>0</v>
      </c>
      <c r="BT262" s="118">
        <f>IFERROR(INDEX('Fuel Model - Calculation'!$B$2:$M$3771,(MATCH(($E262&amp;"Results"&amp;$BT$140&amp;$F262&amp;"USD/ton"),'Fuel Model - Calculation'!$B$2:$B$3771,0)),MATCH(H$141,'Fuel Model - Calculation'!$B$2:$M$2,0)),0)</f>
        <v>673.27281894311648</v>
      </c>
      <c r="BU262" s="118">
        <f>IFERROR(INDEX('Fuel Model - Calculation'!$B$2:$M$3771,(MATCH(($E262&amp;"Results"&amp;$BT$140&amp;$F262&amp;"USD/ton"),'Fuel Model - Calculation'!$B$2:$B$3771,0)),MATCH(I$141,'Fuel Model - Calculation'!$B$2:$M$2,0)),0)</f>
        <v>501.09417776664799</v>
      </c>
      <c r="BV262" s="118">
        <f>IFERROR(INDEX('Fuel Model - Calculation'!$B$2:$M$3771,(MATCH(($E262&amp;"Results"&amp;$BT$140&amp;$F262&amp;"USD/ton"),'Fuel Model - Calculation'!$B$2:$B$3771,0)),MATCH(J$141,'Fuel Model - Calculation'!$B$2:$M$2,0)),0)</f>
        <v>447.39017690214177</v>
      </c>
      <c r="BW262" s="118">
        <f>IFERROR(INDEX('Fuel Model - Calculation'!$B$2:$M$3771,(MATCH(($E262&amp;"Results"&amp;$BT$140&amp;$F262&amp;"USD/ton"),'Fuel Model - Calculation'!$B$2:$B$3771,0)),MATCH(K$141,'Fuel Model - Calculation'!$B$2:$M$2,0)),0)</f>
        <v>450.23089073198128</v>
      </c>
      <c r="BX262" s="118">
        <f>IFERROR(INDEX('Fuel Model - Calculation'!$B$2:$M$3771,(MATCH(($E262&amp;"Results"&amp;$BT$140&amp;$F262&amp;"USD/ton"),'Fuel Model - Calculation'!$B$2:$B$3771,0)),MATCH(L$141,'Fuel Model - Calculation'!$B$2:$M$2,0)),0)</f>
        <v>452.50346179585284</v>
      </c>
      <c r="BY262" s="118">
        <f>IFERROR(INDEX('Fuel Model - Calculation'!$B$2:$M$3771,(MATCH(($E262&amp;"Results"&amp;$BT$140&amp;$F262&amp;"USD/ton"),'Fuel Model - Calculation'!$B$2:$B$3771,0)),MATCH(M$141,'Fuel Model - Calculation'!$B$2:$M$2,0)),0)</f>
        <v>455.34417562569229</v>
      </c>
      <c r="BZ262" s="118">
        <f>IFERROR(INDEX('Fuel Model - Calculation'!$B$2:$M$3771,(MATCH(($E262&amp;"Results"&amp;$BT$140&amp;$F262&amp;"USD/ton"),'Fuel Model - Calculation'!$B$2:$B$3771,0)),MATCH(N$141,'Fuel Model - Calculation'!$B$2:$M$2,0)),0)</f>
        <v>458.18488945553179</v>
      </c>
    </row>
    <row r="263" spans="1:78" x14ac:dyDescent="0.2">
      <c r="A263" s="452"/>
      <c r="B263" s="453" t="str">
        <f>_xlfn.TEXTJOIN(keydelim,TRUE,F263,IF(E263="Africa","Africa&amp;other",E263),"Fuel cost",SUBSTITUTE($G263," ",""))</f>
        <v>Biodiesel (Pyr blend) - Middle East - Fuel cost - USD/ton</v>
      </c>
      <c r="D263" s="459" t="str">
        <f t="shared" ref="D263:D266" si="231">E263&amp;F263</f>
        <v>Middle EastBiodiesel (Pyr blend)</v>
      </c>
      <c r="E263" t="s">
        <v>197</v>
      </c>
      <c r="F263" s="460" t="str">
        <f t="shared" ref="F263:F266" si="232">F262</f>
        <v>Biodiesel (Pyr blend)</v>
      </c>
      <c r="G263" t="s">
        <v>835</v>
      </c>
      <c r="H263" s="118">
        <f>INDEX('Fuel Model - Calculation'!$B$2:$M$3771,(MATCH(($E263&amp;"ResultsCost of "&amp;$F263&amp;"USD/ton"),'Fuel Model - Calculation'!$B$2:$B$3771,0)),MATCH(H$141,'Fuel Model - Calculation'!$B$2:$M$2,0))</f>
        <v>848.01835360820166</v>
      </c>
      <c r="I263" s="118">
        <f>INDEX('Fuel Model - Calculation'!$B$2:$M$3771,(MATCH(($E263&amp;"ResultsCost of "&amp;$F263&amp;"USD/ton"),'Fuel Model - Calculation'!$B$2:$B$3771,0)),MATCH(I$141,'Fuel Model - Calculation'!$B$2:$M$2,0))</f>
        <v>609.14126641027224</v>
      </c>
      <c r="J263" s="118">
        <f>INDEX('Fuel Model - Calculation'!$B$2:$M$3771,(MATCH(($E263&amp;"ResultsCost of "&amp;$F263&amp;"USD/ton"),'Fuel Model - Calculation'!$B$2:$B$3771,0)),MATCH(J$141,'Fuel Model - Calculation'!$B$2:$M$2,0))</f>
        <v>488.78111609939975</v>
      </c>
      <c r="K263" s="118">
        <f>INDEX('Fuel Model - Calculation'!$B$2:$M$3771,(MATCH(($E263&amp;"ResultsCost of "&amp;$F263&amp;"USD/ton"),'Fuel Model - Calculation'!$B$2:$B$3771,0)),MATCH(K$141,'Fuel Model - Calculation'!$B$2:$M$2,0))</f>
        <v>487.69499405365588</v>
      </c>
      <c r="L263" s="118">
        <f>INDEX('Fuel Model - Calculation'!$B$2:$M$3771,(MATCH(($E263&amp;"ResultsCost of "&amp;$F263&amp;"USD/ton"),'Fuel Model - Calculation'!$B$2:$B$3771,0)),MATCH(L$141,'Fuel Model - Calculation'!$B$2:$M$2,0))</f>
        <v>489.40632289472859</v>
      </c>
      <c r="M263" s="118">
        <f>INDEX('Fuel Model - Calculation'!$B$2:$M$3771,(MATCH(($E263&amp;"ResultsCost of "&amp;$F263&amp;"USD/ton"),'Fuel Model - Calculation'!$B$2:$B$3771,0)),MATCH(M$141,'Fuel Model - Calculation'!$B$2:$M$2,0))</f>
        <v>490.54038523247851</v>
      </c>
      <c r="N263" s="118">
        <f>INDEX('Fuel Model - Calculation'!$B$2:$M$3771,(MATCH(($E263&amp;"ResultsCost of "&amp;$F263&amp;"USD/ton"),'Fuel Model - Calculation'!$B$2:$B$3771,0)),MATCH(N$141,'Fuel Model - Calculation'!$B$2:$M$2,0))</f>
        <v>491.69488750764077</v>
      </c>
      <c r="O263"/>
      <c r="P263" s="118">
        <f>IFERROR(INDEX('Fuel Model - Calculation'!G$2:G$3771,(MATCH(($E263&amp;"ResultsTotal RNE "&amp;$F263&amp;"USD/ton"),'Fuel Model - Calculation'!$B$2:$B$3771,0))),0)</f>
        <v>0</v>
      </c>
      <c r="Q263" s="118">
        <f>IFERROR(INDEX('Fuel Model - Calculation'!H$2:H$3771,(MATCH(($E263&amp;"ResultsTotal RNE "&amp;$F263&amp;"USD/ton"),'Fuel Model - Calculation'!$B$2:$B$3771,0))),0)</f>
        <v>0</v>
      </c>
      <c r="R263" s="118">
        <f>IFERROR(INDEX('Fuel Model - Calculation'!I$2:I$3771,(MATCH(($E263&amp;"ResultsTotal RNE "&amp;$F263&amp;"USD/ton"),'Fuel Model - Calculation'!$B$2:$B$3771,0))),0)</f>
        <v>0</v>
      </c>
      <c r="S263" s="118">
        <f>IFERROR(INDEX('Fuel Model - Calculation'!J$2:J$3771,(MATCH(($E263&amp;"ResultsTotal RNE "&amp;$F263&amp;"USD/ton"),'Fuel Model - Calculation'!$B$2:$B$3771,0))),0)</f>
        <v>0</v>
      </c>
      <c r="T263" s="118">
        <f>IFERROR(INDEX('Fuel Model - Calculation'!K$2:K$3771,(MATCH(($E263&amp;"ResultsTotal RNE "&amp;$F263&amp;"USD/ton"),'Fuel Model - Calculation'!$B$2:$B$3771,0))),0)</f>
        <v>0</v>
      </c>
      <c r="U263" s="118">
        <f>IFERROR(INDEX('Fuel Model - Calculation'!L$2:L$3771,(MATCH(($E263&amp;"ResultsTotal RNE "&amp;$F263&amp;"USD/ton"),'Fuel Model - Calculation'!$B$2:$B$3771,0))),0)</f>
        <v>0</v>
      </c>
      <c r="V263" s="118">
        <f>IFERROR(INDEX('Fuel Model - Calculation'!M$2:M$3771,(MATCH(($E263&amp;"ResultsTotal RNE "&amp;$F263&amp;"USD/ton"),'Fuel Model - Calculation'!$B$2:$B$3771,0))),0)</f>
        <v>0</v>
      </c>
      <c r="W263"/>
      <c r="X263" s="2">
        <f>INDEX('Fuel Model - Calculation'!$E$2:$M$3771,(MATCH(("WTT Emission - "&amp;$F263),'Fuel Model - Calculation'!$E$2:$E$3771,0)),MATCH(X$141,'Fuel Model - Calculation'!$E$2:$M$2,0))</f>
        <v>-4.5728858394620486E-2</v>
      </c>
      <c r="Y263" s="2">
        <f>INDEX('Fuel Model - Calculation'!$E$2:$M$3771,(MATCH(("WTT Emission - "&amp;$F263),'Fuel Model - Calculation'!$E$2:$E$3771,0)),MATCH(Y$141,'Fuel Model - Calculation'!$E$2:$M$2,0))</f>
        <v>-5.3398785735186971E-2</v>
      </c>
      <c r="Z263" s="2">
        <f>INDEX('Fuel Model - Calculation'!$E$2:$M$3771,(MATCH(("WTT Emission - "&amp;$F263),'Fuel Model - Calculation'!$E$2:$E$3771,0)),MATCH(Z$141,'Fuel Model - Calculation'!$E$2:$M$2,0))</f>
        <v>-6.1068713075753567E-2</v>
      </c>
      <c r="AA263" s="2">
        <f>INDEX('Fuel Model - Calculation'!$E$2:$M$3771,(MATCH(("WTT Emission - "&amp;$F263),'Fuel Model - Calculation'!$E$2:$E$3771,0)),MATCH(AA$141,'Fuel Model - Calculation'!$E$2:$M$2,0))</f>
        <v>-6.8738640416320052E-2</v>
      </c>
      <c r="AB263" s="2">
        <f>INDEX('Fuel Model - Calculation'!$E$2:$M$3771,(MATCH(("WTT Emission - "&amp;$F263),'Fuel Model - Calculation'!$E$2:$E$3771,0)),MATCH(AB$141,'Fuel Model - Calculation'!$E$2:$M$2,0))</f>
        <v>-7.6408567756886647E-2</v>
      </c>
      <c r="AC263" s="2">
        <f>INDEX('Fuel Model - Calculation'!$E$2:$M$3771,(MATCH(("WTT Emission - "&amp;$F263),'Fuel Model - Calculation'!$E$2:$E$3771,0)),MATCH(AC$141,'Fuel Model - Calculation'!$E$2:$M$2,0))</f>
        <v>-8.4078495097453243E-2</v>
      </c>
      <c r="AD263" s="2">
        <f>INDEX('Fuel Model - Calculation'!$E$2:$M$3771,(MATCH(("WTT Emission - "&amp;$F263),'Fuel Model - Calculation'!$E$2:$E$3771,0)),MATCH(AD$141,'Fuel Model - Calculation'!$E$2:$M$2,0))</f>
        <v>-9.1748422438019728E-2</v>
      </c>
      <c r="AE263" s="2"/>
      <c r="AF263" s="2">
        <f>+'Fuel Model -  Input'!$H$56*'Fuel Model -  Input'!$H$344+'Fuel Model -  Input'!$H$345*'Fuel Model -  Input'!$H$48</f>
        <v>2.7698309999999999</v>
      </c>
      <c r="AG263" s="2">
        <f>+'Fuel Model -  Input'!$H$56*'Fuel Model -  Input'!$H$344+'Fuel Model -  Input'!$H$345*'Fuel Model -  Input'!$H$48</f>
        <v>2.7698309999999999</v>
      </c>
      <c r="AH263" s="2">
        <f>+'Fuel Model -  Input'!$H$56*'Fuel Model -  Input'!$H$344+'Fuel Model -  Input'!$H$345*'Fuel Model -  Input'!$H$48</f>
        <v>2.7698309999999999</v>
      </c>
      <c r="AI263" s="2">
        <f>+'Fuel Model -  Input'!$H$56*'Fuel Model -  Input'!$H$344+'Fuel Model -  Input'!$H$345*'Fuel Model -  Input'!$H$48</f>
        <v>2.7698309999999999</v>
      </c>
      <c r="AJ263" s="2">
        <f>+'Fuel Model -  Input'!$H$56*'Fuel Model -  Input'!$H$344+'Fuel Model -  Input'!$H$345*'Fuel Model -  Input'!$H$48</f>
        <v>2.7698309999999999</v>
      </c>
      <c r="AK263" s="2">
        <f>+'Fuel Model -  Input'!$H$56*'Fuel Model -  Input'!$H$344+'Fuel Model -  Input'!$H$345*'Fuel Model -  Input'!$H$48</f>
        <v>2.7698309999999999</v>
      </c>
      <c r="AL263" s="2">
        <f>+'Fuel Model -  Input'!$H$56*'Fuel Model -  Input'!$H$344+'Fuel Model -  Input'!$H$345*'Fuel Model -  Input'!$H$48</f>
        <v>2.7698309999999999</v>
      </c>
      <c r="AM263"/>
      <c r="AN263" s="24">
        <f t="shared" si="224"/>
        <v>2.7241021416053792</v>
      </c>
      <c r="AO263" s="24">
        <f t="shared" si="225"/>
        <v>2.7164322142648132</v>
      </c>
      <c r="AP263" s="24">
        <f t="shared" si="226"/>
        <v>2.7087622869242463</v>
      </c>
      <c r="AQ263" s="24">
        <f t="shared" si="227"/>
        <v>2.7010923595836798</v>
      </c>
      <c r="AR263" s="24">
        <f t="shared" si="228"/>
        <v>2.6934224322431133</v>
      </c>
      <c r="AS263" s="24">
        <f t="shared" si="229"/>
        <v>2.6857525049025468</v>
      </c>
      <c r="AT263" s="24">
        <f t="shared" si="230"/>
        <v>2.6780825775619803</v>
      </c>
      <c r="AU263"/>
      <c r="AV263" s="118">
        <f>IFERROR(INDEX('Fuel Model - Calculation'!$B$2:$M$3771,(MATCH(($E263&amp;"Results"&amp;$AV$140&amp;$F263&amp;"USD/ton"),'Fuel Model - Calculation'!$B$2:$B$3771,0)),MATCH(H$141,'Fuel Model - Calculation'!$B$2:$M$2,0)),0)</f>
        <v>121.28838712032712</v>
      </c>
      <c r="AW263" s="118">
        <f>IFERROR(INDEX('Fuel Model - Calculation'!$B$2:$M$3771,(MATCH(($E263&amp;"Results"&amp;$AV$140&amp;$F263&amp;"USD/ton"),'Fuel Model - Calculation'!$B$2:$B$3771,0)),MATCH(I$141,'Fuel Model - Calculation'!$B$2:$M$2,0)),0)</f>
        <v>72.773032272196289</v>
      </c>
      <c r="AX263" s="118">
        <f>IFERROR(INDEX('Fuel Model - Calculation'!$B$2:$M$3771,(MATCH(($E263&amp;"Results"&amp;$AV$140&amp;$F263&amp;"USD/ton"),'Fuel Model - Calculation'!$B$2:$B$3771,0)),MATCH(J$141,'Fuel Model - Calculation'!$B$2:$M$2,0)),0)</f>
        <v>24.257677424065424</v>
      </c>
      <c r="AY263" s="118">
        <f>IFERROR(INDEX('Fuel Model - Calculation'!$B$2:$M$3771,(MATCH(($E263&amp;"Results"&amp;$AV$140&amp;$F263&amp;"USD/ton"),'Fuel Model - Calculation'!$B$2:$B$3771,0)),MATCH(K$141,'Fuel Model - Calculation'!$B$2:$M$2,0)),0)</f>
        <v>21.831909681658885</v>
      </c>
      <c r="AZ263" s="118">
        <f>IFERROR(INDEX('Fuel Model - Calculation'!$B$2:$M$3771,(MATCH(($E263&amp;"Results"&amp;$AV$140&amp;$F263&amp;"USD/ton"),'Fuel Model - Calculation'!$B$2:$B$3771,0)),MATCH(L$141,'Fuel Model - Calculation'!$B$2:$M$2,0)),0)</f>
        <v>21.023320434190037</v>
      </c>
      <c r="BA263" s="118">
        <f>IFERROR(INDEX('Fuel Model - Calculation'!$B$2:$M$3771,(MATCH(($E263&amp;"Results"&amp;$AV$140&amp;$F263&amp;"USD/ton"),'Fuel Model - Calculation'!$B$2:$B$3771,0)),MATCH(M$141,'Fuel Model - Calculation'!$B$2:$M$2,0)),0)</f>
        <v>20.214731186721192</v>
      </c>
      <c r="BB263" s="118">
        <f>IFERROR(INDEX('Fuel Model - Calculation'!$B$2:$M$3771,(MATCH(($E263&amp;"Results"&amp;$AV$140&amp;$F263&amp;"USD/ton"),'Fuel Model - Calculation'!$B$2:$B$3771,0)),MATCH(N$141,'Fuel Model - Calculation'!$B$2:$M$2,0)),0)</f>
        <v>19.406141939252343</v>
      </c>
      <c r="BC263"/>
      <c r="BD263" s="118">
        <f>IFERROR(INDEX('Fuel Model - Calculation'!$B$2:$M$3771,(MATCH(($E263&amp;"Results"&amp;$BD$140&amp;$F263&amp;"USD/ton"),'Fuel Model - Calculation'!$B$2:$B$3771,0)),MATCH(P$141,'Fuel Model - Calculation'!$B$2:$M$2,0)),0)</f>
        <v>44.366863289271699</v>
      </c>
      <c r="BE263" s="118">
        <f>IFERROR(INDEX('Fuel Model - Calculation'!$B$2:$M$3771,(MATCH(($E263&amp;"Results"&amp;$BD$140&amp;$F263&amp;"USD/ton"),'Fuel Model - Calculation'!$B$2:$B$3771,0)),MATCH(Q$141,'Fuel Model - Calculation'!$B$2:$M$2,0)),0)</f>
        <v>26.751914881909624</v>
      </c>
      <c r="BF263" s="118">
        <f>IFERROR(INDEX('Fuel Model - Calculation'!$B$2:$M$3771,(MATCH(($E263&amp;"Results"&amp;$BD$140&amp;$F263&amp;"USD/ton"),'Fuel Model - Calculation'!$B$2:$B$3771,0)),MATCH(R$141,'Fuel Model - Calculation'!$B$2:$M$2,0)),0)</f>
        <v>9.1792630496420262</v>
      </c>
      <c r="BG263" s="118">
        <f>IFERROR(INDEX('Fuel Model - Calculation'!$B$2:$M$3771,(MATCH(($E263&amp;"Results"&amp;$BD$140&amp;$F263&amp;"USD/ton"),'Fuel Model - Calculation'!$B$2:$B$3771,0)),MATCH(S$141,'Fuel Model - Calculation'!$B$2:$M$2,0)),0)</f>
        <v>8.2463376824331309</v>
      </c>
      <c r="BH263" s="118">
        <f>IFERROR(INDEX('Fuel Model - Calculation'!$B$2:$M$3771,(MATCH(($E263&amp;"Results"&amp;$BD$140&amp;$F263&amp;"USD/ton"),'Fuel Model - Calculation'!$B$2:$B$3771,0)),MATCH(T$141,'Fuel Model - Calculation'!$B$2:$M$2,0)),0)</f>
        <v>7.9255419411352541</v>
      </c>
      <c r="BI263" s="118">
        <f>IFERROR(INDEX('Fuel Model - Calculation'!$B$2:$M$3771,(MATCH(($E263&amp;"Results"&amp;$BD$140&amp;$F263&amp;"USD/ton"),'Fuel Model - Calculation'!$B$2:$B$3771,0)),MATCH(U$141,'Fuel Model - Calculation'!$B$2:$M$2,0)),0)</f>
        <v>7.5956224624823756</v>
      </c>
      <c r="BJ263" s="118">
        <f>IFERROR(INDEX('Fuel Model - Calculation'!$B$2:$M$3771,(MATCH(($E263&amp;"Results"&amp;$BD$140&amp;$F263&amp;"USD/ton"),'Fuel Model - Calculation'!$B$2:$B$3771,0)),MATCH(V$141,'Fuel Model - Calculation'!$B$2:$M$2,0)),0)</f>
        <v>7.2861429212419893</v>
      </c>
      <c r="BL263" s="118">
        <f>IFERROR(IFERROR(INDEX('Fuel Model - Calculation'!$B$2:$M$3771,(MATCH(($E263&amp;"Results"&amp;$BL$140&amp;$F263&amp;"USD/ton"),'Fuel Model - Calculation'!$B$2:$B$3771,0)),MATCH(H$141,'Fuel Model - Calculation'!$B$2:$M$2,0)),0),0)</f>
        <v>0</v>
      </c>
      <c r="BM263" s="118">
        <f>IFERROR(IFERROR(INDEX('Fuel Model - Calculation'!$B$2:$M$3771,(MATCH(($E263&amp;"Results"&amp;$BL$140&amp;$F263&amp;"USD/ton"),'Fuel Model - Calculation'!$B$2:$B$3771,0)),MATCH(I$141,'Fuel Model - Calculation'!$B$2:$M$2,0)),0),0)</f>
        <v>0</v>
      </c>
      <c r="BN263" s="118">
        <f>IFERROR(IFERROR(INDEX('Fuel Model - Calculation'!$B$2:$M$3771,(MATCH(($E263&amp;"Results"&amp;$BL$140&amp;$F263&amp;"USD/ton"),'Fuel Model - Calculation'!$B$2:$B$3771,0)),MATCH(J$141,'Fuel Model - Calculation'!$B$2:$M$2,0)),0),0)</f>
        <v>0</v>
      </c>
      <c r="BO263" s="118">
        <f>IFERROR(IFERROR(INDEX('Fuel Model - Calculation'!$B$2:$M$3771,(MATCH(($E263&amp;"Results"&amp;$BL$140&amp;$F263&amp;"USD/ton"),'Fuel Model - Calculation'!$B$2:$B$3771,0)),MATCH(K$141,'Fuel Model - Calculation'!$B$2:$M$2,0)),0),0)</f>
        <v>0</v>
      </c>
      <c r="BP263" s="118">
        <f>IFERROR(IFERROR(INDEX('Fuel Model - Calculation'!$B$2:$M$3771,(MATCH(($E263&amp;"Results"&amp;$BL$140&amp;$F263&amp;"USD/ton"),'Fuel Model - Calculation'!$B$2:$B$3771,0)),MATCH(L$141,'Fuel Model - Calculation'!$B$2:$M$2,0)),0),0)</f>
        <v>0</v>
      </c>
      <c r="BQ263" s="118">
        <f>IFERROR(IFERROR(INDEX('Fuel Model - Calculation'!$B$2:$M$3771,(MATCH(($E263&amp;"Results"&amp;$BL$140&amp;$F263&amp;"USD/ton"),'Fuel Model - Calculation'!$B$2:$B$3771,0)),MATCH(M$141,'Fuel Model - Calculation'!$B$2:$M$2,0)),0),0)</f>
        <v>0</v>
      </c>
      <c r="BR263" s="118">
        <f>IFERROR(IFERROR(INDEX('Fuel Model - Calculation'!$B$2:$M$3771,(MATCH(($E263&amp;"Results"&amp;$BL$140&amp;$F263&amp;"USD/ton"),'Fuel Model - Calculation'!$B$2:$B$3771,0)),MATCH(N$141,'Fuel Model - Calculation'!$B$2:$M$2,0)),0),0)</f>
        <v>0</v>
      </c>
      <c r="BT263" s="118">
        <f>IFERROR(INDEX('Fuel Model - Calculation'!$B$2:$M$3771,(MATCH(($E263&amp;"Results"&amp;$BT$140&amp;$F263&amp;"USD/ton"),'Fuel Model - Calculation'!$B$2:$B$3771,0)),MATCH(H$141,'Fuel Model - Calculation'!$B$2:$M$2,0)),0)</f>
        <v>682.36310319860286</v>
      </c>
      <c r="BU263" s="118">
        <f>IFERROR(INDEX('Fuel Model - Calculation'!$B$2:$M$3771,(MATCH(($E263&amp;"Results"&amp;$BT$140&amp;$F263&amp;"USD/ton"),'Fuel Model - Calculation'!$B$2:$B$3771,0)),MATCH(I$141,'Fuel Model - Calculation'!$B$2:$M$2,0)),0)</f>
        <v>509.61631925616638</v>
      </c>
      <c r="BV263" s="118">
        <f>IFERROR(INDEX('Fuel Model - Calculation'!$B$2:$M$3771,(MATCH(($E263&amp;"Results"&amp;$BT$140&amp;$F263&amp;"USD/ton"),'Fuel Model - Calculation'!$B$2:$B$3771,0)),MATCH(J$141,'Fuel Model - Calculation'!$B$2:$M$2,0)),0)</f>
        <v>455.34417562569229</v>
      </c>
      <c r="BW263" s="118">
        <f>IFERROR(INDEX('Fuel Model - Calculation'!$B$2:$M$3771,(MATCH(($E263&amp;"Results"&amp;$BT$140&amp;$F263&amp;"USD/ton"),'Fuel Model - Calculation'!$B$2:$B$3771,0)),MATCH(K$141,'Fuel Model - Calculation'!$B$2:$M$2,0)),0)</f>
        <v>457.61674668956385</v>
      </c>
      <c r="BX263" s="118">
        <f>IFERROR(INDEX('Fuel Model - Calculation'!$B$2:$M$3771,(MATCH(($E263&amp;"Results"&amp;$BT$140&amp;$F263&amp;"USD/ton"),'Fuel Model - Calculation'!$B$2:$B$3771,0)),MATCH(L$141,'Fuel Model - Calculation'!$B$2:$M$2,0)),0)</f>
        <v>460.4574605194033</v>
      </c>
      <c r="BY263" s="118">
        <f>IFERROR(INDEX('Fuel Model - Calculation'!$B$2:$M$3771,(MATCH(($E263&amp;"Results"&amp;$BT$140&amp;$F263&amp;"USD/ton"),'Fuel Model - Calculation'!$B$2:$B$3771,0)),MATCH(M$141,'Fuel Model - Calculation'!$B$2:$M$2,0)),0)</f>
        <v>462.73003158327492</v>
      </c>
      <c r="BZ263" s="118">
        <f>IFERROR(INDEX('Fuel Model - Calculation'!$B$2:$M$3771,(MATCH(($E263&amp;"Results"&amp;$BT$140&amp;$F263&amp;"USD/ton"),'Fuel Model - Calculation'!$B$2:$B$3771,0)),MATCH(N$141,'Fuel Model - Calculation'!$B$2:$M$2,0)),0)</f>
        <v>465.00260264714643</v>
      </c>
    </row>
    <row r="264" spans="1:78" x14ac:dyDescent="0.2">
      <c r="A264" s="452"/>
      <c r="B264" s="453" t="str">
        <f>_xlfn.TEXTJOIN(keydelim,TRUE,F264,IF(E264="Africa","Africa&amp;other",E264),"Fuel cost",SUBSTITUTE($G264," ",""))</f>
        <v>Biodiesel (Pyr blend) - Asia - Fuel cost - USD/ton</v>
      </c>
      <c r="D264" s="459" t="str">
        <f t="shared" si="231"/>
        <v>AsiaBiodiesel (Pyr blend)</v>
      </c>
      <c r="E264" t="s">
        <v>198</v>
      </c>
      <c r="F264" s="460" t="str">
        <f t="shared" si="232"/>
        <v>Biodiesel (Pyr blend)</v>
      </c>
      <c r="G264" t="s">
        <v>835</v>
      </c>
      <c r="H264" s="118">
        <f>INDEX('Fuel Model - Calculation'!$B$2:$M$3771,(MATCH(($E264&amp;"ResultsCost of "&amp;$F264&amp;"USD/ton"),'Fuel Model - Calculation'!$B$2:$B$3771,0)),MATCH(H$141,'Fuel Model - Calculation'!$B$2:$M$2,0))</f>
        <v>824.20334896726308</v>
      </c>
      <c r="I264" s="118">
        <f>INDEX('Fuel Model - Calculation'!$B$2:$M$3771,(MATCH(($E264&amp;"ResultsCost of "&amp;$F264&amp;"USD/ton"),'Fuel Model - Calculation'!$B$2:$B$3771,0)),MATCH(I$141,'Fuel Model - Calculation'!$B$2:$M$2,0))</f>
        <v>585.58231451157519</v>
      </c>
      <c r="J264" s="118">
        <f>INDEX('Fuel Model - Calculation'!$B$2:$M$3771,(MATCH(($E264&amp;"ResultsCost of "&amp;$F264&amp;"USD/ton"),'Fuel Model - Calculation'!$B$2:$B$3771,0)),MATCH(J$141,'Fuel Model - Calculation'!$B$2:$M$2,0))</f>
        <v>465.14819719438447</v>
      </c>
      <c r="K264" s="118">
        <f>INDEX('Fuel Model - Calculation'!$B$2:$M$3771,(MATCH(($E264&amp;"ResultsCost of "&amp;$F264&amp;"USD/ton"),'Fuel Model - Calculation'!$B$2:$B$3771,0)),MATCH(K$141,'Fuel Model - Calculation'!$B$2:$M$2,0))</f>
        <v>464.58205053555361</v>
      </c>
      <c r="L264" s="118">
        <f>INDEX('Fuel Model - Calculation'!$B$2:$M$3771,(MATCH(($E264&amp;"ResultsCost of "&amp;$F264&amp;"USD/ton"),'Fuel Model - Calculation'!$B$2:$B$3771,0)),MATCH(L$141,'Fuel Model - Calculation'!$B$2:$M$2,0))</f>
        <v>466.26847882814525</v>
      </c>
      <c r="M264" s="118">
        <f>INDEX('Fuel Model - Calculation'!$B$2:$M$3771,(MATCH(($E264&amp;"ResultsCost of "&amp;$F264&amp;"USD/ton"),'Fuel Model - Calculation'!$B$2:$B$3771,0)),MATCH(M$141,'Fuel Model - Calculation'!$B$2:$M$2,0))</f>
        <v>467.38423169081449</v>
      </c>
      <c r="N264" s="118">
        <f>INDEX('Fuel Model - Calculation'!$B$2:$M$3771,(MATCH(($E264&amp;"ResultsCost of "&amp;$F264&amp;"USD/ton"),'Fuel Model - Calculation'!$B$2:$B$3771,0)),MATCH(N$141,'Fuel Model - Calculation'!$B$2:$M$2,0))</f>
        <v>469.09884314207932</v>
      </c>
      <c r="O264"/>
      <c r="P264" s="118">
        <f>IFERROR(INDEX('Fuel Model - Calculation'!G$2:G$3771,(MATCH(($E264&amp;"ResultsTotal RNE "&amp;$F264&amp;"USD/ton"),'Fuel Model - Calculation'!$B$2:$B$3771,0))),0)</f>
        <v>0</v>
      </c>
      <c r="Q264" s="118">
        <f>IFERROR(INDEX('Fuel Model - Calculation'!H$2:H$3771,(MATCH(($E264&amp;"ResultsTotal RNE "&amp;$F264&amp;"USD/ton"),'Fuel Model - Calculation'!$B$2:$B$3771,0))),0)</f>
        <v>0</v>
      </c>
      <c r="R264" s="118">
        <f>IFERROR(INDEX('Fuel Model - Calculation'!I$2:I$3771,(MATCH(($E264&amp;"ResultsTotal RNE "&amp;$F264&amp;"USD/ton"),'Fuel Model - Calculation'!$B$2:$B$3771,0))),0)</f>
        <v>0</v>
      </c>
      <c r="S264" s="118">
        <f>IFERROR(INDEX('Fuel Model - Calculation'!J$2:J$3771,(MATCH(($E264&amp;"ResultsTotal RNE "&amp;$F264&amp;"USD/ton"),'Fuel Model - Calculation'!$B$2:$B$3771,0))),0)</f>
        <v>0</v>
      </c>
      <c r="T264" s="118">
        <f>IFERROR(INDEX('Fuel Model - Calculation'!K$2:K$3771,(MATCH(($E264&amp;"ResultsTotal RNE "&amp;$F264&amp;"USD/ton"),'Fuel Model - Calculation'!$B$2:$B$3771,0))),0)</f>
        <v>0</v>
      </c>
      <c r="U264" s="118">
        <f>IFERROR(INDEX('Fuel Model - Calculation'!L$2:L$3771,(MATCH(($E264&amp;"ResultsTotal RNE "&amp;$F264&amp;"USD/ton"),'Fuel Model - Calculation'!$B$2:$B$3771,0))),0)</f>
        <v>0</v>
      </c>
      <c r="V264" s="118">
        <f>IFERROR(INDEX('Fuel Model - Calculation'!M$2:M$3771,(MATCH(($E264&amp;"ResultsTotal RNE "&amp;$F264&amp;"USD/ton"),'Fuel Model - Calculation'!$B$2:$B$3771,0))),0)</f>
        <v>0</v>
      </c>
      <c r="W264"/>
      <c r="X264" s="2">
        <f>INDEX('Fuel Model - Calculation'!$E$2:$M$3771,(MATCH(("WTT Emission - "&amp;$F264),'Fuel Model - Calculation'!$E$2:$E$3771,0)),MATCH(X$141,'Fuel Model - Calculation'!$E$2:$M$2,0))</f>
        <v>-4.5728858394620486E-2</v>
      </c>
      <c r="Y264" s="2">
        <f>INDEX('Fuel Model - Calculation'!$E$2:$M$3771,(MATCH(("WTT Emission - "&amp;$F264),'Fuel Model - Calculation'!$E$2:$E$3771,0)),MATCH(Y$141,'Fuel Model - Calculation'!$E$2:$M$2,0))</f>
        <v>-5.3398785735186971E-2</v>
      </c>
      <c r="Z264" s="2">
        <f>INDEX('Fuel Model - Calculation'!$E$2:$M$3771,(MATCH(("WTT Emission - "&amp;$F264),'Fuel Model - Calculation'!$E$2:$E$3771,0)),MATCH(Z$141,'Fuel Model - Calculation'!$E$2:$M$2,0))</f>
        <v>-6.1068713075753567E-2</v>
      </c>
      <c r="AA264" s="2">
        <f>INDEX('Fuel Model - Calculation'!$E$2:$M$3771,(MATCH(("WTT Emission - "&amp;$F264),'Fuel Model - Calculation'!$E$2:$E$3771,0)),MATCH(AA$141,'Fuel Model - Calculation'!$E$2:$M$2,0))</f>
        <v>-6.8738640416320052E-2</v>
      </c>
      <c r="AB264" s="2">
        <f>INDEX('Fuel Model - Calculation'!$E$2:$M$3771,(MATCH(("WTT Emission - "&amp;$F264),'Fuel Model - Calculation'!$E$2:$E$3771,0)),MATCH(AB$141,'Fuel Model - Calculation'!$E$2:$M$2,0))</f>
        <v>-7.6408567756886647E-2</v>
      </c>
      <c r="AC264" s="2">
        <f>INDEX('Fuel Model - Calculation'!$E$2:$M$3771,(MATCH(("WTT Emission - "&amp;$F264),'Fuel Model - Calculation'!$E$2:$E$3771,0)),MATCH(AC$141,'Fuel Model - Calculation'!$E$2:$M$2,0))</f>
        <v>-8.4078495097453243E-2</v>
      </c>
      <c r="AD264" s="2">
        <f>INDEX('Fuel Model - Calculation'!$E$2:$M$3771,(MATCH(("WTT Emission - "&amp;$F264),'Fuel Model - Calculation'!$E$2:$E$3771,0)),MATCH(AD$141,'Fuel Model - Calculation'!$E$2:$M$2,0))</f>
        <v>-9.1748422438019728E-2</v>
      </c>
      <c r="AE264" s="2"/>
      <c r="AF264" s="2">
        <f>+'Fuel Model -  Input'!$H$56*'Fuel Model -  Input'!$H$344+'Fuel Model -  Input'!$H$345*'Fuel Model -  Input'!$H$48</f>
        <v>2.7698309999999999</v>
      </c>
      <c r="AG264" s="2">
        <f>+'Fuel Model -  Input'!$H$56*'Fuel Model -  Input'!$H$344+'Fuel Model -  Input'!$H$345*'Fuel Model -  Input'!$H$48</f>
        <v>2.7698309999999999</v>
      </c>
      <c r="AH264" s="2">
        <f>+'Fuel Model -  Input'!$H$56*'Fuel Model -  Input'!$H$344+'Fuel Model -  Input'!$H$345*'Fuel Model -  Input'!$H$48</f>
        <v>2.7698309999999999</v>
      </c>
      <c r="AI264" s="2">
        <f>+'Fuel Model -  Input'!$H$56*'Fuel Model -  Input'!$H$344+'Fuel Model -  Input'!$H$345*'Fuel Model -  Input'!$H$48</f>
        <v>2.7698309999999999</v>
      </c>
      <c r="AJ264" s="2">
        <f>+'Fuel Model -  Input'!$H$56*'Fuel Model -  Input'!$H$344+'Fuel Model -  Input'!$H$345*'Fuel Model -  Input'!$H$48</f>
        <v>2.7698309999999999</v>
      </c>
      <c r="AK264" s="2">
        <f>+'Fuel Model -  Input'!$H$56*'Fuel Model -  Input'!$H$344+'Fuel Model -  Input'!$H$345*'Fuel Model -  Input'!$H$48</f>
        <v>2.7698309999999999</v>
      </c>
      <c r="AL264" s="2">
        <f>+'Fuel Model -  Input'!$H$56*'Fuel Model -  Input'!$H$344+'Fuel Model -  Input'!$H$345*'Fuel Model -  Input'!$H$48</f>
        <v>2.7698309999999999</v>
      </c>
      <c r="AM264"/>
      <c r="AN264" s="24">
        <f t="shared" si="224"/>
        <v>2.7241021416053792</v>
      </c>
      <c r="AO264" s="24">
        <f t="shared" si="225"/>
        <v>2.7164322142648132</v>
      </c>
      <c r="AP264" s="24">
        <f t="shared" si="226"/>
        <v>2.7087622869242463</v>
      </c>
      <c r="AQ264" s="24">
        <f t="shared" si="227"/>
        <v>2.7010923595836798</v>
      </c>
      <c r="AR264" s="24">
        <f t="shared" si="228"/>
        <v>2.6934224322431133</v>
      </c>
      <c r="AS264" s="24">
        <f t="shared" si="229"/>
        <v>2.6857525049025468</v>
      </c>
      <c r="AT264" s="24">
        <f t="shared" si="230"/>
        <v>2.6780825775619803</v>
      </c>
      <c r="AU264"/>
      <c r="AV264" s="118">
        <f>IFERROR(INDEX('Fuel Model - Calculation'!$B$2:$M$3771,(MATCH(($E264&amp;"Results"&amp;$AV$140&amp;$F264&amp;"USD/ton"),'Fuel Model - Calculation'!$B$2:$B$3771,0)),MATCH(H$141,'Fuel Model - Calculation'!$B$2:$M$2,0)),0)</f>
        <v>121.28838712032712</v>
      </c>
      <c r="AW264" s="118">
        <f>IFERROR(INDEX('Fuel Model - Calculation'!$B$2:$M$3771,(MATCH(($E264&amp;"Results"&amp;$AV$140&amp;$F264&amp;"USD/ton"),'Fuel Model - Calculation'!$B$2:$B$3771,0)),MATCH(I$141,'Fuel Model - Calculation'!$B$2:$M$2,0)),0)</f>
        <v>72.773032272196289</v>
      </c>
      <c r="AX264" s="118">
        <f>IFERROR(INDEX('Fuel Model - Calculation'!$B$2:$M$3771,(MATCH(($E264&amp;"Results"&amp;$AV$140&amp;$F264&amp;"USD/ton"),'Fuel Model - Calculation'!$B$2:$B$3771,0)),MATCH(J$141,'Fuel Model - Calculation'!$B$2:$M$2,0)),0)</f>
        <v>24.257677424065424</v>
      </c>
      <c r="AY264" s="118">
        <f>IFERROR(INDEX('Fuel Model - Calculation'!$B$2:$M$3771,(MATCH(($E264&amp;"Results"&amp;$AV$140&amp;$F264&amp;"USD/ton"),'Fuel Model - Calculation'!$B$2:$B$3771,0)),MATCH(K$141,'Fuel Model - Calculation'!$B$2:$M$2,0)),0)</f>
        <v>21.831909681658885</v>
      </c>
      <c r="AZ264" s="118">
        <f>IFERROR(INDEX('Fuel Model - Calculation'!$B$2:$M$3771,(MATCH(($E264&amp;"Results"&amp;$AV$140&amp;$F264&amp;"USD/ton"),'Fuel Model - Calculation'!$B$2:$B$3771,0)),MATCH(L$141,'Fuel Model - Calculation'!$B$2:$M$2,0)),0)</f>
        <v>21.023320434190037</v>
      </c>
      <c r="BA264" s="118">
        <f>IFERROR(INDEX('Fuel Model - Calculation'!$B$2:$M$3771,(MATCH(($E264&amp;"Results"&amp;$AV$140&amp;$F264&amp;"USD/ton"),'Fuel Model - Calculation'!$B$2:$B$3771,0)),MATCH(M$141,'Fuel Model - Calculation'!$B$2:$M$2,0)),0)</f>
        <v>20.214731186721192</v>
      </c>
      <c r="BB264" s="118">
        <f>IFERROR(INDEX('Fuel Model - Calculation'!$B$2:$M$3771,(MATCH(($E264&amp;"Results"&amp;$AV$140&amp;$F264&amp;"USD/ton"),'Fuel Model - Calculation'!$B$2:$B$3771,0)),MATCH(N$141,'Fuel Model - Calculation'!$B$2:$M$2,0)),0)</f>
        <v>19.406141939252343</v>
      </c>
      <c r="BC264"/>
      <c r="BD264" s="118">
        <f>IFERROR(INDEX('Fuel Model - Calculation'!$B$2:$M$3771,(MATCH(($E264&amp;"Results"&amp;$BD$140&amp;$F264&amp;"USD/ton"),'Fuel Model - Calculation'!$B$2:$B$3771,0)),MATCH(P$141,'Fuel Model - Calculation'!$B$2:$M$2,0)),0)</f>
        <v>44.981997584952587</v>
      </c>
      <c r="BE264" s="118">
        <f>IFERROR(INDEX('Fuel Model - Calculation'!$B$2:$M$3771,(MATCH(($E264&amp;"Results"&amp;$BD$140&amp;$F264&amp;"USD/ton"),'Fuel Model - Calculation'!$B$2:$B$3771,0)),MATCH(Q$141,'Fuel Model - Calculation'!$B$2:$M$2,0)),0)</f>
        <v>27.054959153864008</v>
      </c>
      <c r="BF264" s="118">
        <f>IFERROR(INDEX('Fuel Model - Calculation'!$B$2:$M$3771,(MATCH(($E264&amp;"Results"&amp;$BD$140&amp;$F264&amp;"USD/ton"),'Fuel Model - Calculation'!$B$2:$B$3771,0)),MATCH(R$141,'Fuel Model - Calculation'!$B$2:$M$2,0)),0)</f>
        <v>9.4083403152782257</v>
      </c>
      <c r="BG264" s="118">
        <f>IFERROR(INDEX('Fuel Model - Calculation'!$B$2:$M$3771,(MATCH(($E264&amp;"Results"&amp;$BD$140&amp;$F264&amp;"USD/ton"),'Fuel Model - Calculation'!$B$2:$B$3771,0)),MATCH(S$141,'Fuel Model - Calculation'!$B$2:$M$2,0)),0)</f>
        <v>8.4272475690144546</v>
      </c>
      <c r="BH264" s="118">
        <f>IFERROR(INDEX('Fuel Model - Calculation'!$B$2:$M$3771,(MATCH(($E264&amp;"Results"&amp;$BD$140&amp;$F264&amp;"USD/ton"),'Fuel Model - Calculation'!$B$2:$B$3771,0)),MATCH(T$141,'Fuel Model - Calculation'!$B$2:$M$2,0)),0)</f>
        <v>8.0815512792354482</v>
      </c>
      <c r="BI264" s="118">
        <f>IFERROR(INDEX('Fuel Model - Calculation'!$B$2:$M$3771,(MATCH(($E264&amp;"Results"&amp;$BD$140&amp;$F264&amp;"USD/ton"),'Fuel Model - Calculation'!$B$2:$B$3771,0)),MATCH(U$141,'Fuel Model - Calculation'!$B$2:$M$2,0)),0)</f>
        <v>7.7333223255019696</v>
      </c>
      <c r="BJ264" s="118">
        <f>IFERROR(INDEX('Fuel Model - Calculation'!$B$2:$M$3771,(MATCH(($E264&amp;"Results"&amp;$BD$140&amp;$F264&amp;"USD/ton"),'Fuel Model - Calculation'!$B$2:$B$3771,0)),MATCH(V$141,'Fuel Model - Calculation'!$B$2:$M$2,0)),0)</f>
        <v>7.4158091943961821</v>
      </c>
      <c r="BL264" s="118">
        <f>IFERROR(IFERROR(INDEX('Fuel Model - Calculation'!$B$2:$M$3771,(MATCH(($E264&amp;"Results"&amp;$BL$140&amp;$F264&amp;"USD/ton"),'Fuel Model - Calculation'!$B$2:$B$3771,0)),MATCH(H$141,'Fuel Model - Calculation'!$B$2:$M$2,0)),0),0)</f>
        <v>0</v>
      </c>
      <c r="BM264" s="118">
        <f>IFERROR(IFERROR(INDEX('Fuel Model - Calculation'!$B$2:$M$3771,(MATCH(($E264&amp;"Results"&amp;$BL$140&amp;$F264&amp;"USD/ton"),'Fuel Model - Calculation'!$B$2:$B$3771,0)),MATCH(I$141,'Fuel Model - Calculation'!$B$2:$M$2,0)),0),0)</f>
        <v>0</v>
      </c>
      <c r="BN264" s="118">
        <f>IFERROR(IFERROR(INDEX('Fuel Model - Calculation'!$B$2:$M$3771,(MATCH(($E264&amp;"Results"&amp;$BL$140&amp;$F264&amp;"USD/ton"),'Fuel Model - Calculation'!$B$2:$B$3771,0)),MATCH(J$141,'Fuel Model - Calculation'!$B$2:$M$2,0)),0),0)</f>
        <v>0</v>
      </c>
      <c r="BO264" s="118">
        <f>IFERROR(IFERROR(INDEX('Fuel Model - Calculation'!$B$2:$M$3771,(MATCH(($E264&amp;"Results"&amp;$BL$140&amp;$F264&amp;"USD/ton"),'Fuel Model - Calculation'!$B$2:$B$3771,0)),MATCH(K$141,'Fuel Model - Calculation'!$B$2:$M$2,0)),0),0)</f>
        <v>0</v>
      </c>
      <c r="BP264" s="118">
        <f>IFERROR(IFERROR(INDEX('Fuel Model - Calculation'!$B$2:$M$3771,(MATCH(($E264&amp;"Results"&amp;$BL$140&amp;$F264&amp;"USD/ton"),'Fuel Model - Calculation'!$B$2:$B$3771,0)),MATCH(L$141,'Fuel Model - Calculation'!$B$2:$M$2,0)),0),0)</f>
        <v>0</v>
      </c>
      <c r="BQ264" s="118">
        <f>IFERROR(IFERROR(INDEX('Fuel Model - Calculation'!$B$2:$M$3771,(MATCH(($E264&amp;"Results"&amp;$BL$140&amp;$F264&amp;"USD/ton"),'Fuel Model - Calculation'!$B$2:$B$3771,0)),MATCH(M$141,'Fuel Model - Calculation'!$B$2:$M$2,0)),0),0)</f>
        <v>0</v>
      </c>
      <c r="BR264" s="118">
        <f>IFERROR(IFERROR(INDEX('Fuel Model - Calculation'!$B$2:$M$3771,(MATCH(($E264&amp;"Results"&amp;$BL$140&amp;$F264&amp;"USD/ton"),'Fuel Model - Calculation'!$B$2:$B$3771,0)),MATCH(N$141,'Fuel Model - Calculation'!$B$2:$M$2,0)),0),0)</f>
        <v>0</v>
      </c>
      <c r="BT264" s="118">
        <f>IFERROR(INDEX('Fuel Model - Calculation'!$B$2:$M$3771,(MATCH(($E264&amp;"Results"&amp;$BT$140&amp;$F264&amp;"USD/ton"),'Fuel Model - Calculation'!$B$2:$B$3771,0)),MATCH(H$141,'Fuel Model - Calculation'!$B$2:$M$2,0)),0)</f>
        <v>657.93296426198344</v>
      </c>
      <c r="BU264" s="118">
        <f>IFERROR(INDEX('Fuel Model - Calculation'!$B$2:$M$3771,(MATCH(($E264&amp;"Results"&amp;$BT$140&amp;$F264&amp;"USD/ton"),'Fuel Model - Calculation'!$B$2:$B$3771,0)),MATCH(I$141,'Fuel Model - Calculation'!$B$2:$M$2,0)),0)</f>
        <v>485.7543230855149</v>
      </c>
      <c r="BV264" s="118">
        <f>IFERROR(INDEX('Fuel Model - Calculation'!$B$2:$M$3771,(MATCH(($E264&amp;"Results"&amp;$BT$140&amp;$F264&amp;"USD/ton"),'Fuel Model - Calculation'!$B$2:$B$3771,0)),MATCH(J$141,'Fuel Model - Calculation'!$B$2:$M$2,0)),0)</f>
        <v>431.48217945504081</v>
      </c>
      <c r="BW264" s="118">
        <f>IFERROR(INDEX('Fuel Model - Calculation'!$B$2:$M$3771,(MATCH(($E264&amp;"Results"&amp;$BT$140&amp;$F264&amp;"USD/ton"),'Fuel Model - Calculation'!$B$2:$B$3771,0)),MATCH(K$141,'Fuel Model - Calculation'!$B$2:$M$2,0)),0)</f>
        <v>434.32289328488025</v>
      </c>
      <c r="BX264" s="118">
        <f>IFERROR(INDEX('Fuel Model - Calculation'!$B$2:$M$3771,(MATCH(($E264&amp;"Results"&amp;$BT$140&amp;$F264&amp;"USD/ton"),'Fuel Model - Calculation'!$B$2:$B$3771,0)),MATCH(L$141,'Fuel Model - Calculation'!$B$2:$M$2,0)),0)</f>
        <v>437.16360711471975</v>
      </c>
      <c r="BY264" s="118">
        <f>IFERROR(INDEX('Fuel Model - Calculation'!$B$2:$M$3771,(MATCH(($E264&amp;"Results"&amp;$BT$140&amp;$F264&amp;"USD/ton"),'Fuel Model - Calculation'!$B$2:$B$3771,0)),MATCH(M$141,'Fuel Model - Calculation'!$B$2:$M$2,0)),0)</f>
        <v>439.43617817859132</v>
      </c>
      <c r="BZ264" s="118">
        <f>IFERROR(INDEX('Fuel Model - Calculation'!$B$2:$M$3771,(MATCH(($E264&amp;"Results"&amp;$BT$140&amp;$F264&amp;"USD/ton"),'Fuel Model - Calculation'!$B$2:$B$3771,0)),MATCH(N$141,'Fuel Model - Calculation'!$B$2:$M$2,0)),0)</f>
        <v>442.27689200843076</v>
      </c>
    </row>
    <row r="265" spans="1:78" x14ac:dyDescent="0.2">
      <c r="A265" s="452"/>
      <c r="B265" s="453" t="str">
        <f>_xlfn.TEXTJOIN(keydelim,TRUE,F265,IF(E265="Africa","Africa&amp;other",E265),"Fuel cost",SUBSTITUTE($G265," ",""))</f>
        <v>Biodiesel (Pyr blend) - Americas - Fuel cost - USD/ton</v>
      </c>
      <c r="D265" s="459" t="str">
        <f t="shared" si="231"/>
        <v>AmericasBiodiesel (Pyr blend)</v>
      </c>
      <c r="E265" t="s">
        <v>199</v>
      </c>
      <c r="F265" s="460" t="str">
        <f t="shared" si="232"/>
        <v>Biodiesel (Pyr blend)</v>
      </c>
      <c r="G265" t="s">
        <v>835</v>
      </c>
      <c r="H265" s="118">
        <f>INDEX('Fuel Model - Calculation'!$B$2:$M$3771,(MATCH(($E265&amp;"ResultsCost of "&amp;$F265&amp;"USD/ton"),'Fuel Model - Calculation'!$B$2:$B$3771,0)),MATCH(H$141,'Fuel Model - Calculation'!$B$2:$M$2,0))</f>
        <v>833.2013615347737</v>
      </c>
      <c r="I265" s="118">
        <f>INDEX('Fuel Model - Calculation'!$B$2:$M$3771,(MATCH(($E265&amp;"ResultsCost of "&amp;$F265&amp;"USD/ton"),'Fuel Model - Calculation'!$B$2:$B$3771,0)),MATCH(I$141,'Fuel Model - Calculation'!$B$2:$M$2,0))</f>
        <v>594.39123278430782</v>
      </c>
      <c r="J265" s="118">
        <f>INDEX('Fuel Model - Calculation'!$B$2:$M$3771,(MATCH(($E265&amp;"ResultsCost of "&amp;$F265&amp;"USD/ton"),'Fuel Model - Calculation'!$B$2:$B$3771,0)),MATCH(J$141,'Fuel Model - Calculation'!$B$2:$M$2,0))</f>
        <v>474.58369708893866</v>
      </c>
      <c r="K265" s="118">
        <f>INDEX('Fuel Model - Calculation'!$B$2:$M$3771,(MATCH(($E265&amp;"ResultsCost of "&amp;$F265&amp;"USD/ton"),'Fuel Model - Calculation'!$B$2:$B$3771,0)),MATCH(K$141,'Fuel Model - Calculation'!$B$2:$M$2,0))</f>
        <v>473.50865754415526</v>
      </c>
      <c r="L265" s="118">
        <f>INDEX('Fuel Model - Calculation'!$B$2:$M$3771,(MATCH(($E265&amp;"ResultsCost of "&amp;$F265&amp;"USD/ton"),'Fuel Model - Calculation'!$B$2:$B$3771,0)),MATCH(L$141,'Fuel Model - Calculation'!$B$2:$M$2,0))</f>
        <v>474.64275673919042</v>
      </c>
      <c r="M265" s="118">
        <f>INDEX('Fuel Model - Calculation'!$B$2:$M$3771,(MATCH(($E265&amp;"ResultsCost of "&amp;$F265&amp;"USD/ton"),'Fuel Model - Calculation'!$B$2:$B$3771,0)),MATCH(M$141,'Fuel Model - Calculation'!$B$2:$M$2,0))</f>
        <v>476.36792040757933</v>
      </c>
      <c r="N265" s="118">
        <f>INDEX('Fuel Model - Calculation'!$B$2:$M$3771,(MATCH(($E265&amp;"ResultsCost of "&amp;$F265&amp;"USD/ton"),'Fuel Model - Calculation'!$B$2:$B$3771,0)),MATCH(N$141,'Fuel Model - Calculation'!$B$2:$M$2,0))</f>
        <v>477.52873897273315</v>
      </c>
      <c r="O265"/>
      <c r="P265" s="118">
        <f>IFERROR(INDEX('Fuel Model - Calculation'!G$2:G$3771,(MATCH(($E265&amp;"ResultsTotal RNE "&amp;$F265&amp;"USD/ton"),'Fuel Model - Calculation'!$B$2:$B$3771,0))),0)</f>
        <v>0</v>
      </c>
      <c r="Q265" s="118">
        <f>IFERROR(INDEX('Fuel Model - Calculation'!H$2:H$3771,(MATCH(($E265&amp;"ResultsTotal RNE "&amp;$F265&amp;"USD/ton"),'Fuel Model - Calculation'!$B$2:$B$3771,0))),0)</f>
        <v>0</v>
      </c>
      <c r="R265" s="118">
        <f>IFERROR(INDEX('Fuel Model - Calculation'!I$2:I$3771,(MATCH(($E265&amp;"ResultsTotal RNE "&amp;$F265&amp;"USD/ton"),'Fuel Model - Calculation'!$B$2:$B$3771,0))),0)</f>
        <v>0</v>
      </c>
      <c r="S265" s="118">
        <f>IFERROR(INDEX('Fuel Model - Calculation'!J$2:J$3771,(MATCH(($E265&amp;"ResultsTotal RNE "&amp;$F265&amp;"USD/ton"),'Fuel Model - Calculation'!$B$2:$B$3771,0))),0)</f>
        <v>0</v>
      </c>
      <c r="T265" s="118">
        <f>IFERROR(INDEX('Fuel Model - Calculation'!K$2:K$3771,(MATCH(($E265&amp;"ResultsTotal RNE "&amp;$F265&amp;"USD/ton"),'Fuel Model - Calculation'!$B$2:$B$3771,0))),0)</f>
        <v>0</v>
      </c>
      <c r="U265" s="118">
        <f>IFERROR(INDEX('Fuel Model - Calculation'!L$2:L$3771,(MATCH(($E265&amp;"ResultsTotal RNE "&amp;$F265&amp;"USD/ton"),'Fuel Model - Calculation'!$B$2:$B$3771,0))),0)</f>
        <v>0</v>
      </c>
      <c r="V265" s="118">
        <f>IFERROR(INDEX('Fuel Model - Calculation'!M$2:M$3771,(MATCH(($E265&amp;"ResultsTotal RNE "&amp;$F265&amp;"USD/ton"),'Fuel Model - Calculation'!$B$2:$B$3771,0))),0)</f>
        <v>0</v>
      </c>
      <c r="W265"/>
      <c r="X265" s="2">
        <f>INDEX('Fuel Model - Calculation'!$E$2:$M$3771,(MATCH(("WTT Emission - "&amp;$F265),'Fuel Model - Calculation'!$E$2:$E$3771,0)),MATCH(X$141,'Fuel Model - Calculation'!$E$2:$M$2,0))</f>
        <v>-4.5728858394620486E-2</v>
      </c>
      <c r="Y265" s="2">
        <f>INDEX('Fuel Model - Calculation'!$E$2:$M$3771,(MATCH(("WTT Emission - "&amp;$F265),'Fuel Model - Calculation'!$E$2:$E$3771,0)),MATCH(Y$141,'Fuel Model - Calculation'!$E$2:$M$2,0))</f>
        <v>-5.3398785735186971E-2</v>
      </c>
      <c r="Z265" s="2">
        <f>INDEX('Fuel Model - Calculation'!$E$2:$M$3771,(MATCH(("WTT Emission - "&amp;$F265),'Fuel Model - Calculation'!$E$2:$E$3771,0)),MATCH(Z$141,'Fuel Model - Calculation'!$E$2:$M$2,0))</f>
        <v>-6.1068713075753567E-2</v>
      </c>
      <c r="AA265" s="2">
        <f>INDEX('Fuel Model - Calculation'!$E$2:$M$3771,(MATCH(("WTT Emission - "&amp;$F265),'Fuel Model - Calculation'!$E$2:$E$3771,0)),MATCH(AA$141,'Fuel Model - Calculation'!$E$2:$M$2,0))</f>
        <v>-6.8738640416320052E-2</v>
      </c>
      <c r="AB265" s="2">
        <f>INDEX('Fuel Model - Calculation'!$E$2:$M$3771,(MATCH(("WTT Emission - "&amp;$F265),'Fuel Model - Calculation'!$E$2:$E$3771,0)),MATCH(AB$141,'Fuel Model - Calculation'!$E$2:$M$2,0))</f>
        <v>-7.6408567756886647E-2</v>
      </c>
      <c r="AC265" s="2">
        <f>INDEX('Fuel Model - Calculation'!$E$2:$M$3771,(MATCH(("WTT Emission - "&amp;$F265),'Fuel Model - Calculation'!$E$2:$E$3771,0)),MATCH(AC$141,'Fuel Model - Calculation'!$E$2:$M$2,0))</f>
        <v>-8.4078495097453243E-2</v>
      </c>
      <c r="AD265" s="2">
        <f>INDEX('Fuel Model - Calculation'!$E$2:$M$3771,(MATCH(("WTT Emission - "&amp;$F265),'Fuel Model - Calculation'!$E$2:$E$3771,0)),MATCH(AD$141,'Fuel Model - Calculation'!$E$2:$M$2,0))</f>
        <v>-9.1748422438019728E-2</v>
      </c>
      <c r="AE265" s="2"/>
      <c r="AF265" s="2">
        <f>+'Fuel Model -  Input'!$H$56*'Fuel Model -  Input'!$H$344+'Fuel Model -  Input'!$H$345*'Fuel Model -  Input'!$H$48</f>
        <v>2.7698309999999999</v>
      </c>
      <c r="AG265" s="2">
        <f>+'Fuel Model -  Input'!$H$56*'Fuel Model -  Input'!$H$344+'Fuel Model -  Input'!$H$345*'Fuel Model -  Input'!$H$48</f>
        <v>2.7698309999999999</v>
      </c>
      <c r="AH265" s="2">
        <f>+'Fuel Model -  Input'!$H$56*'Fuel Model -  Input'!$H$344+'Fuel Model -  Input'!$H$345*'Fuel Model -  Input'!$H$48</f>
        <v>2.7698309999999999</v>
      </c>
      <c r="AI265" s="2">
        <f>+'Fuel Model -  Input'!$H$56*'Fuel Model -  Input'!$H$344+'Fuel Model -  Input'!$H$345*'Fuel Model -  Input'!$H$48</f>
        <v>2.7698309999999999</v>
      </c>
      <c r="AJ265" s="2">
        <f>+'Fuel Model -  Input'!$H$56*'Fuel Model -  Input'!$H$344+'Fuel Model -  Input'!$H$345*'Fuel Model -  Input'!$H$48</f>
        <v>2.7698309999999999</v>
      </c>
      <c r="AK265" s="2">
        <f>+'Fuel Model -  Input'!$H$56*'Fuel Model -  Input'!$H$344+'Fuel Model -  Input'!$H$345*'Fuel Model -  Input'!$H$48</f>
        <v>2.7698309999999999</v>
      </c>
      <c r="AL265" s="2">
        <f>+'Fuel Model -  Input'!$H$56*'Fuel Model -  Input'!$H$344+'Fuel Model -  Input'!$H$345*'Fuel Model -  Input'!$H$48</f>
        <v>2.7698309999999999</v>
      </c>
      <c r="AM265"/>
      <c r="AN265" s="24">
        <f t="shared" si="224"/>
        <v>2.7241021416053792</v>
      </c>
      <c r="AO265" s="24">
        <f t="shared" si="225"/>
        <v>2.7164322142648132</v>
      </c>
      <c r="AP265" s="24">
        <f t="shared" si="226"/>
        <v>2.7087622869242463</v>
      </c>
      <c r="AQ265" s="24">
        <f t="shared" si="227"/>
        <v>2.7010923595836798</v>
      </c>
      <c r="AR265" s="24">
        <f t="shared" si="228"/>
        <v>2.6934224322431133</v>
      </c>
      <c r="AS265" s="24">
        <f t="shared" si="229"/>
        <v>2.6857525049025468</v>
      </c>
      <c r="AT265" s="24">
        <f t="shared" si="230"/>
        <v>2.6780825775619803</v>
      </c>
      <c r="AU265"/>
      <c r="AV265" s="118">
        <f>IFERROR(INDEX('Fuel Model - Calculation'!$B$2:$M$3771,(MATCH(($E265&amp;"Results"&amp;$AV$140&amp;$F265&amp;"USD/ton"),'Fuel Model - Calculation'!$B$2:$B$3771,0)),MATCH(H$141,'Fuel Model - Calculation'!$B$2:$M$2,0)),0)</f>
        <v>121.28838712032712</v>
      </c>
      <c r="AW265" s="118">
        <f>IFERROR(INDEX('Fuel Model - Calculation'!$B$2:$M$3771,(MATCH(($E265&amp;"Results"&amp;$AV$140&amp;$F265&amp;"USD/ton"),'Fuel Model - Calculation'!$B$2:$B$3771,0)),MATCH(I$141,'Fuel Model - Calculation'!$B$2:$M$2,0)),0)</f>
        <v>72.773032272196289</v>
      </c>
      <c r="AX265" s="118">
        <f>IFERROR(INDEX('Fuel Model - Calculation'!$B$2:$M$3771,(MATCH(($E265&amp;"Results"&amp;$AV$140&amp;$F265&amp;"USD/ton"),'Fuel Model - Calculation'!$B$2:$B$3771,0)),MATCH(J$141,'Fuel Model - Calculation'!$B$2:$M$2,0)),0)</f>
        <v>24.257677424065424</v>
      </c>
      <c r="AY265" s="118">
        <f>IFERROR(INDEX('Fuel Model - Calculation'!$B$2:$M$3771,(MATCH(($E265&amp;"Results"&amp;$AV$140&amp;$F265&amp;"USD/ton"),'Fuel Model - Calculation'!$B$2:$B$3771,0)),MATCH(K$141,'Fuel Model - Calculation'!$B$2:$M$2,0)),0)</f>
        <v>21.831909681658885</v>
      </c>
      <c r="AZ265" s="118">
        <f>IFERROR(INDEX('Fuel Model - Calculation'!$B$2:$M$3771,(MATCH(($E265&amp;"Results"&amp;$AV$140&amp;$F265&amp;"USD/ton"),'Fuel Model - Calculation'!$B$2:$B$3771,0)),MATCH(L$141,'Fuel Model - Calculation'!$B$2:$M$2,0)),0)</f>
        <v>21.023320434190037</v>
      </c>
      <c r="BA265" s="118">
        <f>IFERROR(INDEX('Fuel Model - Calculation'!$B$2:$M$3771,(MATCH(($E265&amp;"Results"&amp;$AV$140&amp;$F265&amp;"USD/ton"),'Fuel Model - Calculation'!$B$2:$B$3771,0)),MATCH(M$141,'Fuel Model - Calculation'!$B$2:$M$2,0)),0)</f>
        <v>20.214731186721192</v>
      </c>
      <c r="BB265" s="118">
        <f>IFERROR(INDEX('Fuel Model - Calculation'!$B$2:$M$3771,(MATCH(($E265&amp;"Results"&amp;$AV$140&amp;$F265&amp;"USD/ton"),'Fuel Model - Calculation'!$B$2:$B$3771,0)),MATCH(N$141,'Fuel Model - Calculation'!$B$2:$M$2,0)),0)</f>
        <v>19.406141939252343</v>
      </c>
      <c r="BC265"/>
      <c r="BD265" s="118">
        <f>IFERROR(INDEX('Fuel Model - Calculation'!$B$2:$M$3771,(MATCH(($E265&amp;"Results"&amp;$BD$140&amp;$F265&amp;"USD/ton"),'Fuel Model - Calculation'!$B$2:$B$3771,0)),MATCH(P$141,'Fuel Model - Calculation'!$B$2:$M$2,0)),0)</f>
        <v>44.321583131008971</v>
      </c>
      <c r="BE265" s="118">
        <f>IFERROR(INDEX('Fuel Model - Calculation'!$B$2:$M$3771,(MATCH(($E265&amp;"Results"&amp;$BD$140&amp;$F265&amp;"USD/ton"),'Fuel Model - Calculation'!$B$2:$B$3771,0)),MATCH(Q$141,'Fuel Model - Calculation'!$B$2:$M$2,0)),0)</f>
        <v>26.773593171110392</v>
      </c>
      <c r="BF265" s="118">
        <f>IFERROR(INDEX('Fuel Model - Calculation'!$B$2:$M$3771,(MATCH(($E265&amp;"Results"&amp;$BD$140&amp;$F265&amp;"USD/ton"),'Fuel Model - Calculation'!$B$2:$B$3771,0)),MATCH(R$141,'Fuel Model - Calculation'!$B$2:$M$2,0)),0)</f>
        <v>9.1854131883782326</v>
      </c>
      <c r="BG265" s="118">
        <f>IFERROR(INDEX('Fuel Model - Calculation'!$B$2:$M$3771,(MATCH(($E265&amp;"Results"&amp;$BD$140&amp;$F265&amp;"USD/ton"),'Fuel Model - Calculation'!$B$2:$B$3771,0)),MATCH(S$141,'Fuel Model - Calculation'!$B$2:$M$2,0)),0)</f>
        <v>8.2635703221297891</v>
      </c>
      <c r="BH265" s="118">
        <f>IFERROR(INDEX('Fuel Model - Calculation'!$B$2:$M$3771,(MATCH(($E265&amp;"Results"&amp;$BD$140&amp;$F265&amp;"USD/ton"),'Fuel Model - Calculation'!$B$2:$B$3771,0)),MATCH(T$141,'Fuel Model - Calculation'!$B$2:$M$2,0)),0)</f>
        <v>7.9336877007622109</v>
      </c>
      <c r="BI265" s="118">
        <f>IFERROR(INDEX('Fuel Model - Calculation'!$B$2:$M$3771,(MATCH(($E265&amp;"Results"&amp;$BD$140&amp;$F265&amp;"USD/ton"),'Fuel Model - Calculation'!$B$2:$B$3771,0)),MATCH(U$141,'Fuel Model - Calculation'!$B$2:$M$2,0)),0)</f>
        <v>7.6267267867805693</v>
      </c>
      <c r="BJ265" s="118">
        <f>IFERROR(INDEX('Fuel Model - Calculation'!$B$2:$M$3771,(MATCH(($E265&amp;"Results"&amp;$BD$140&amp;$F265&amp;"USD/ton"),'Fuel Model - Calculation'!$B$2:$B$3771,0)),MATCH(V$141,'Fuel Model - Calculation'!$B$2:$M$2,0)),0)</f>
        <v>7.3235635355316706</v>
      </c>
      <c r="BL265" s="118">
        <f>IFERROR(IFERROR(INDEX('Fuel Model - Calculation'!$B$2:$M$3771,(MATCH(($E265&amp;"Results"&amp;$BL$140&amp;$F265&amp;"USD/ton"),'Fuel Model - Calculation'!$B$2:$B$3771,0)),MATCH(H$141,'Fuel Model - Calculation'!$B$2:$M$2,0)),0),0)</f>
        <v>0</v>
      </c>
      <c r="BM265" s="118">
        <f>IFERROR(IFERROR(INDEX('Fuel Model - Calculation'!$B$2:$M$3771,(MATCH(($E265&amp;"Results"&amp;$BL$140&amp;$F265&amp;"USD/ton"),'Fuel Model - Calculation'!$B$2:$B$3771,0)),MATCH(I$141,'Fuel Model - Calculation'!$B$2:$M$2,0)),0),0)</f>
        <v>0</v>
      </c>
      <c r="BN265" s="118">
        <f>IFERROR(IFERROR(INDEX('Fuel Model - Calculation'!$B$2:$M$3771,(MATCH(($E265&amp;"Results"&amp;$BL$140&amp;$F265&amp;"USD/ton"),'Fuel Model - Calculation'!$B$2:$B$3771,0)),MATCH(J$141,'Fuel Model - Calculation'!$B$2:$M$2,0)),0),0)</f>
        <v>0</v>
      </c>
      <c r="BO265" s="118">
        <f>IFERROR(IFERROR(INDEX('Fuel Model - Calculation'!$B$2:$M$3771,(MATCH(($E265&amp;"Results"&amp;$BL$140&amp;$F265&amp;"USD/ton"),'Fuel Model - Calculation'!$B$2:$B$3771,0)),MATCH(K$141,'Fuel Model - Calculation'!$B$2:$M$2,0)),0),0)</f>
        <v>0</v>
      </c>
      <c r="BP265" s="118">
        <f>IFERROR(IFERROR(INDEX('Fuel Model - Calculation'!$B$2:$M$3771,(MATCH(($E265&amp;"Results"&amp;$BL$140&amp;$F265&amp;"USD/ton"),'Fuel Model - Calculation'!$B$2:$B$3771,0)),MATCH(L$141,'Fuel Model - Calculation'!$B$2:$M$2,0)),0),0)</f>
        <v>0</v>
      </c>
      <c r="BQ265" s="118">
        <f>IFERROR(IFERROR(INDEX('Fuel Model - Calculation'!$B$2:$M$3771,(MATCH(($E265&amp;"Results"&amp;$BL$140&amp;$F265&amp;"USD/ton"),'Fuel Model - Calculation'!$B$2:$B$3771,0)),MATCH(M$141,'Fuel Model - Calculation'!$B$2:$M$2,0)),0),0)</f>
        <v>0</v>
      </c>
      <c r="BR265" s="118">
        <f>IFERROR(IFERROR(INDEX('Fuel Model - Calculation'!$B$2:$M$3771,(MATCH(($E265&amp;"Results"&amp;$BL$140&amp;$F265&amp;"USD/ton"),'Fuel Model - Calculation'!$B$2:$B$3771,0)),MATCH(N$141,'Fuel Model - Calculation'!$B$2:$M$2,0)),0),0)</f>
        <v>0</v>
      </c>
      <c r="BT265" s="118">
        <f>IFERROR(INDEX('Fuel Model - Calculation'!$B$2:$M$3771,(MATCH(($E265&amp;"Results"&amp;$BT$140&amp;$F265&amp;"USD/ton"),'Fuel Model - Calculation'!$B$2:$B$3771,0)),MATCH(H$141,'Fuel Model - Calculation'!$B$2:$M$2,0)),0)</f>
        <v>667.59139128343759</v>
      </c>
      <c r="BU265" s="118">
        <f>IFERROR(INDEX('Fuel Model - Calculation'!$B$2:$M$3771,(MATCH(($E265&amp;"Results"&amp;$BT$140&amp;$F265&amp;"USD/ton"),'Fuel Model - Calculation'!$B$2:$B$3771,0)),MATCH(I$141,'Fuel Model - Calculation'!$B$2:$M$2,0)),0)</f>
        <v>494.84460734100116</v>
      </c>
      <c r="BV265" s="118">
        <f>IFERROR(INDEX('Fuel Model - Calculation'!$B$2:$M$3771,(MATCH(($E265&amp;"Results"&amp;$BT$140&amp;$F265&amp;"USD/ton"),'Fuel Model - Calculation'!$B$2:$B$3771,0)),MATCH(J$141,'Fuel Model - Calculation'!$B$2:$M$2,0)),0)</f>
        <v>441.14060647649501</v>
      </c>
      <c r="BW265" s="118">
        <f>IFERROR(INDEX('Fuel Model - Calculation'!$B$2:$M$3771,(MATCH(($E265&amp;"Results"&amp;$BT$140&amp;$F265&amp;"USD/ton"),'Fuel Model - Calculation'!$B$2:$B$3771,0)),MATCH(K$141,'Fuel Model - Calculation'!$B$2:$M$2,0)),0)</f>
        <v>443.41317754036658</v>
      </c>
      <c r="BX265" s="118">
        <f>IFERROR(INDEX('Fuel Model - Calculation'!$B$2:$M$3771,(MATCH(($E265&amp;"Results"&amp;$BT$140&amp;$F265&amp;"USD/ton"),'Fuel Model - Calculation'!$B$2:$B$3771,0)),MATCH(L$141,'Fuel Model - Calculation'!$B$2:$M$2,0)),0)</f>
        <v>445.68574860423814</v>
      </c>
      <c r="BY265" s="118">
        <f>IFERROR(INDEX('Fuel Model - Calculation'!$B$2:$M$3771,(MATCH(($E265&amp;"Results"&amp;$BT$140&amp;$F265&amp;"USD/ton"),'Fuel Model - Calculation'!$B$2:$B$3771,0)),MATCH(M$141,'Fuel Model - Calculation'!$B$2:$M$2,0)),0)</f>
        <v>448.52646243407759</v>
      </c>
      <c r="BZ265" s="118">
        <f>IFERROR(INDEX('Fuel Model - Calculation'!$B$2:$M$3771,(MATCH(($E265&amp;"Results"&amp;$BT$140&amp;$F265&amp;"USD/ton"),'Fuel Model - Calculation'!$B$2:$B$3771,0)),MATCH(N$141,'Fuel Model - Calculation'!$B$2:$M$2,0)),0)</f>
        <v>450.79903349794915</v>
      </c>
    </row>
    <row r="266" spans="1:78" x14ac:dyDescent="0.2">
      <c r="A266" s="452"/>
      <c r="B266" s="453" t="str">
        <f>_xlfn.TEXTJOIN(keydelim,TRUE,F266,IF(E266="Africa","Africa&amp;other",E266),"Fuel cost",SUBSTITUTE($G266," ",""))</f>
        <v>Biodiesel (Pyr blend) - Africa&amp;other - Fuel cost - USD/ton</v>
      </c>
      <c r="D266" s="459" t="str">
        <f t="shared" si="231"/>
        <v>AfricaBiodiesel (Pyr blend)</v>
      </c>
      <c r="E266" t="s">
        <v>200</v>
      </c>
      <c r="F266" s="460" t="str">
        <f t="shared" si="232"/>
        <v>Biodiesel (Pyr blend)</v>
      </c>
      <c r="G266" t="s">
        <v>835</v>
      </c>
      <c r="H266" s="118">
        <f>INDEX('Fuel Model - Calculation'!$B$2:$M$3771,(MATCH(($E266&amp;"ResultsCost of "&amp;$F266&amp;"USD/ton"),'Fuel Model - Calculation'!$B$2:$B$3771,0)),MATCH(H$141,'Fuel Model - Calculation'!$B$2:$M$2,0))</f>
        <v>851.42665975495208</v>
      </c>
      <c r="I266" s="118">
        <f>INDEX('Fuel Model - Calculation'!$B$2:$M$3771,(MATCH(($E266&amp;"ResultsCost of "&amp;$F266&amp;"USD/ton"),'Fuel Model - Calculation'!$B$2:$B$3771,0)),MATCH(I$141,'Fuel Model - Calculation'!$B$2:$M$2,0))</f>
        <v>612.7175234021397</v>
      </c>
      <c r="J266" s="118">
        <f>INDEX('Fuel Model - Calculation'!$B$2:$M$3771,(MATCH(($E266&amp;"ResultsCost of "&amp;$F266&amp;"USD/ton"),'Fuel Model - Calculation'!$B$2:$B$3771,0)),MATCH(J$141,'Fuel Model - Calculation'!$B$2:$M$2,0))</f>
        <v>492.86193757803193</v>
      </c>
      <c r="K266" s="118">
        <f>INDEX('Fuel Model - Calculation'!$B$2:$M$3771,(MATCH(($E266&amp;"ResultsCost of "&amp;$F266&amp;"USD/ton"),'Fuel Model - Calculation'!$B$2:$B$3771,0)),MATCH(K$141,'Fuel Model - Calculation'!$B$2:$M$2,0))</f>
        <v>492.88878710430265</v>
      </c>
      <c r="L266" s="118">
        <f>INDEX('Fuel Model - Calculation'!$B$2:$M$3771,(MATCH(($E266&amp;"ResultsCost of "&amp;$F266&amp;"USD/ton"),'Fuel Model - Calculation'!$B$2:$B$3771,0)),MATCH(L$141,'Fuel Model - Calculation'!$B$2:$M$2,0))</f>
        <v>494.59093679488359</v>
      </c>
      <c r="M266" s="118">
        <f>INDEX('Fuel Model - Calculation'!$B$2:$M$3771,(MATCH(($E266&amp;"ResultsCost of "&amp;$F266&amp;"USD/ton"),'Fuel Model - Calculation'!$B$2:$B$3771,0)),MATCH(M$141,'Fuel Model - Calculation'!$B$2:$M$2,0))</f>
        <v>496.29199865078891</v>
      </c>
      <c r="N266" s="118">
        <f>INDEX('Fuel Model - Calculation'!$B$2:$M$3771,(MATCH(($E266&amp;"ResultsCost of "&amp;$F266&amp;"USD/ton"),'Fuel Model - Calculation'!$B$2:$B$3771,0)),MATCH(N$141,'Fuel Model - Calculation'!$B$2:$M$2,0))</f>
        <v>498.01320668261388</v>
      </c>
      <c r="O266"/>
      <c r="P266" s="118">
        <f>IFERROR(INDEX('Fuel Model - Calculation'!G$2:G$3771,(MATCH(($E266&amp;"ResultsTotal RNE "&amp;$F266&amp;"USD/ton"),'Fuel Model - Calculation'!$B$2:$B$3771,0))),0)</f>
        <v>0</v>
      </c>
      <c r="Q266" s="118">
        <f>IFERROR(INDEX('Fuel Model - Calculation'!H$2:H$3771,(MATCH(($E266&amp;"ResultsTotal RNE "&amp;$F266&amp;"USD/ton"),'Fuel Model - Calculation'!$B$2:$B$3771,0))),0)</f>
        <v>0</v>
      </c>
      <c r="R266" s="118">
        <f>IFERROR(INDEX('Fuel Model - Calculation'!I$2:I$3771,(MATCH(($E266&amp;"ResultsTotal RNE "&amp;$F266&amp;"USD/ton"),'Fuel Model - Calculation'!$B$2:$B$3771,0))),0)</f>
        <v>0</v>
      </c>
      <c r="S266" s="118">
        <f>IFERROR(INDEX('Fuel Model - Calculation'!J$2:J$3771,(MATCH(($E266&amp;"ResultsTotal RNE "&amp;$F266&amp;"USD/ton"),'Fuel Model - Calculation'!$B$2:$B$3771,0))),0)</f>
        <v>0</v>
      </c>
      <c r="T266" s="118">
        <f>IFERROR(INDEX('Fuel Model - Calculation'!K$2:K$3771,(MATCH(($E266&amp;"ResultsTotal RNE "&amp;$F266&amp;"USD/ton"),'Fuel Model - Calculation'!$B$2:$B$3771,0))),0)</f>
        <v>0</v>
      </c>
      <c r="U266" s="118">
        <f>IFERROR(INDEX('Fuel Model - Calculation'!L$2:L$3771,(MATCH(($E266&amp;"ResultsTotal RNE "&amp;$F266&amp;"USD/ton"),'Fuel Model - Calculation'!$B$2:$B$3771,0))),0)</f>
        <v>0</v>
      </c>
      <c r="V266" s="118">
        <f>IFERROR(INDEX('Fuel Model - Calculation'!M$2:M$3771,(MATCH(($E266&amp;"ResultsTotal RNE "&amp;$F266&amp;"USD/ton"),'Fuel Model - Calculation'!$B$2:$B$3771,0))),0)</f>
        <v>0</v>
      </c>
      <c r="W266"/>
      <c r="X266" s="2">
        <f>INDEX('Fuel Model - Calculation'!$E$2:$M$3771,(MATCH(("WTT Emission - "&amp;$F266),'Fuel Model - Calculation'!$E$2:$E$3771,0)),MATCH(X$141,'Fuel Model - Calculation'!$E$2:$M$2,0))</f>
        <v>-4.5728858394620486E-2</v>
      </c>
      <c r="Y266" s="2">
        <f>INDEX('Fuel Model - Calculation'!$E$2:$M$3771,(MATCH(("WTT Emission - "&amp;$F266),'Fuel Model - Calculation'!$E$2:$E$3771,0)),MATCH(Y$141,'Fuel Model - Calculation'!$E$2:$M$2,0))</f>
        <v>-5.3398785735186971E-2</v>
      </c>
      <c r="Z266" s="2">
        <f>INDEX('Fuel Model - Calculation'!$E$2:$M$3771,(MATCH(("WTT Emission - "&amp;$F266),'Fuel Model - Calculation'!$E$2:$E$3771,0)),MATCH(Z$141,'Fuel Model - Calculation'!$E$2:$M$2,0))</f>
        <v>-6.1068713075753567E-2</v>
      </c>
      <c r="AA266" s="2">
        <f>INDEX('Fuel Model - Calculation'!$E$2:$M$3771,(MATCH(("WTT Emission - "&amp;$F266),'Fuel Model - Calculation'!$E$2:$E$3771,0)),MATCH(AA$141,'Fuel Model - Calculation'!$E$2:$M$2,0))</f>
        <v>-6.8738640416320052E-2</v>
      </c>
      <c r="AB266" s="2">
        <f>INDEX('Fuel Model - Calculation'!$E$2:$M$3771,(MATCH(("WTT Emission - "&amp;$F266),'Fuel Model - Calculation'!$E$2:$E$3771,0)),MATCH(AB$141,'Fuel Model - Calculation'!$E$2:$M$2,0))</f>
        <v>-7.6408567756886647E-2</v>
      </c>
      <c r="AC266" s="2">
        <f>INDEX('Fuel Model - Calculation'!$E$2:$M$3771,(MATCH(("WTT Emission - "&amp;$F266),'Fuel Model - Calculation'!$E$2:$E$3771,0)),MATCH(AC$141,'Fuel Model - Calculation'!$E$2:$M$2,0))</f>
        <v>-8.4078495097453243E-2</v>
      </c>
      <c r="AD266" s="2">
        <f>INDEX('Fuel Model - Calculation'!$E$2:$M$3771,(MATCH(("WTT Emission - "&amp;$F266),'Fuel Model - Calculation'!$E$2:$E$3771,0)),MATCH(AD$141,'Fuel Model - Calculation'!$E$2:$M$2,0))</f>
        <v>-9.1748422438019728E-2</v>
      </c>
      <c r="AE266" s="2"/>
      <c r="AF266" s="2">
        <f>+'Fuel Model -  Input'!$H$56*'Fuel Model -  Input'!$H$344+'Fuel Model -  Input'!$H$345*'Fuel Model -  Input'!$H$48</f>
        <v>2.7698309999999999</v>
      </c>
      <c r="AG266" s="2">
        <f>+'Fuel Model -  Input'!$H$56*'Fuel Model -  Input'!$H$344+'Fuel Model -  Input'!$H$345*'Fuel Model -  Input'!$H$48</f>
        <v>2.7698309999999999</v>
      </c>
      <c r="AH266" s="2">
        <f>+'Fuel Model -  Input'!$H$56*'Fuel Model -  Input'!$H$344+'Fuel Model -  Input'!$H$345*'Fuel Model -  Input'!$H$48</f>
        <v>2.7698309999999999</v>
      </c>
      <c r="AI266" s="2">
        <f>+'Fuel Model -  Input'!$H$56*'Fuel Model -  Input'!$H$344+'Fuel Model -  Input'!$H$345*'Fuel Model -  Input'!$H$48</f>
        <v>2.7698309999999999</v>
      </c>
      <c r="AJ266" s="2">
        <f>+'Fuel Model -  Input'!$H$56*'Fuel Model -  Input'!$H$344+'Fuel Model -  Input'!$H$345*'Fuel Model -  Input'!$H$48</f>
        <v>2.7698309999999999</v>
      </c>
      <c r="AK266" s="2">
        <f>+'Fuel Model -  Input'!$H$56*'Fuel Model -  Input'!$H$344+'Fuel Model -  Input'!$H$345*'Fuel Model -  Input'!$H$48</f>
        <v>2.7698309999999999</v>
      </c>
      <c r="AL266" s="2">
        <f>+'Fuel Model -  Input'!$H$56*'Fuel Model -  Input'!$H$344+'Fuel Model -  Input'!$H$345*'Fuel Model -  Input'!$H$48</f>
        <v>2.7698309999999999</v>
      </c>
      <c r="AM266"/>
      <c r="AN266" s="24">
        <f t="shared" si="224"/>
        <v>2.7241021416053792</v>
      </c>
      <c r="AO266" s="24">
        <f t="shared" si="225"/>
        <v>2.7164322142648132</v>
      </c>
      <c r="AP266" s="24">
        <f t="shared" si="226"/>
        <v>2.7087622869242463</v>
      </c>
      <c r="AQ266" s="24">
        <f t="shared" si="227"/>
        <v>2.7010923595836798</v>
      </c>
      <c r="AR266" s="24">
        <f t="shared" si="228"/>
        <v>2.6934224322431133</v>
      </c>
      <c r="AS266" s="24">
        <f t="shared" si="229"/>
        <v>2.6857525049025468</v>
      </c>
      <c r="AT266" s="24">
        <f t="shared" si="230"/>
        <v>2.6780825775619803</v>
      </c>
      <c r="AU266"/>
      <c r="AV266" s="118">
        <f>IFERROR(INDEX('Fuel Model - Calculation'!$B$2:$M$3771,(MATCH(($E266&amp;"Results"&amp;$AV$140&amp;$F266&amp;"USD/ton"),'Fuel Model - Calculation'!$B$2:$B$3771,0)),MATCH(H$141,'Fuel Model - Calculation'!$B$2:$M$2,0)),0)</f>
        <v>121.28838712032712</v>
      </c>
      <c r="AW266" s="118">
        <f>IFERROR(INDEX('Fuel Model - Calculation'!$B$2:$M$3771,(MATCH(($E266&amp;"Results"&amp;$AV$140&amp;$F266&amp;"USD/ton"),'Fuel Model - Calculation'!$B$2:$B$3771,0)),MATCH(I$141,'Fuel Model - Calculation'!$B$2:$M$2,0)),0)</f>
        <v>72.773032272196289</v>
      </c>
      <c r="AX266" s="118">
        <f>IFERROR(INDEX('Fuel Model - Calculation'!$B$2:$M$3771,(MATCH(($E266&amp;"Results"&amp;$AV$140&amp;$F266&amp;"USD/ton"),'Fuel Model - Calculation'!$B$2:$B$3771,0)),MATCH(J$141,'Fuel Model - Calculation'!$B$2:$M$2,0)),0)</f>
        <v>24.257677424065424</v>
      </c>
      <c r="AY266" s="118">
        <f>IFERROR(INDEX('Fuel Model - Calculation'!$B$2:$M$3771,(MATCH(($E266&amp;"Results"&amp;$AV$140&amp;$F266&amp;"USD/ton"),'Fuel Model - Calculation'!$B$2:$B$3771,0)),MATCH(K$141,'Fuel Model - Calculation'!$B$2:$M$2,0)),0)</f>
        <v>21.831909681658885</v>
      </c>
      <c r="AZ266" s="118">
        <f>IFERROR(INDEX('Fuel Model - Calculation'!$B$2:$M$3771,(MATCH(($E266&amp;"Results"&amp;$AV$140&amp;$F266&amp;"USD/ton"),'Fuel Model - Calculation'!$B$2:$B$3771,0)),MATCH(L$141,'Fuel Model - Calculation'!$B$2:$M$2,0)),0)</f>
        <v>21.023320434190037</v>
      </c>
      <c r="BA266" s="118">
        <f>IFERROR(INDEX('Fuel Model - Calculation'!$B$2:$M$3771,(MATCH(($E266&amp;"Results"&amp;$AV$140&amp;$F266&amp;"USD/ton"),'Fuel Model - Calculation'!$B$2:$B$3771,0)),MATCH(M$141,'Fuel Model - Calculation'!$B$2:$M$2,0)),0)</f>
        <v>20.214731186721192</v>
      </c>
      <c r="BB266" s="118">
        <f>IFERROR(INDEX('Fuel Model - Calculation'!$B$2:$M$3771,(MATCH(($E266&amp;"Results"&amp;$AV$140&amp;$F266&amp;"USD/ton"),'Fuel Model - Calculation'!$B$2:$B$3771,0)),MATCH(N$141,'Fuel Model - Calculation'!$B$2:$M$2,0)),0)</f>
        <v>19.406141939252343</v>
      </c>
      <c r="BC266"/>
      <c r="BD266" s="118">
        <f>IFERROR(INDEX('Fuel Model - Calculation'!$B$2:$M$3771,(MATCH(($E266&amp;"Results"&amp;$BD$140&amp;$F266&amp;"USD/ton"),'Fuel Model - Calculation'!$B$2:$B$3771,0)),MATCH(P$141,'Fuel Model - Calculation'!$B$2:$M$2,0)),0)</f>
        <v>44.934455606182752</v>
      </c>
      <c r="BE266" s="118">
        <f>IFERROR(INDEX('Fuel Model - Calculation'!$B$2:$M$3771,(MATCH(($E266&amp;"Results"&amp;$BD$140&amp;$F266&amp;"USD/ton"),'Fuel Model - Calculation'!$B$2:$B$3771,0)),MATCH(Q$141,'Fuel Model - Calculation'!$B$2:$M$2,0)),0)</f>
        <v>26.919315277969741</v>
      </c>
      <c r="BF266" s="118">
        <f>IFERROR(INDEX('Fuel Model - Calculation'!$B$2:$M$3771,(MATCH(($E266&amp;"Results"&amp;$BD$140&amp;$F266&amp;"USD/ton"),'Fuel Model - Calculation'!$B$2:$B$3771,0)),MATCH(R$141,'Fuel Model - Calculation'!$B$2:$M$2,0)),0)</f>
        <v>9.2830851664989442</v>
      </c>
      <c r="BG266" s="118">
        <f>IFERROR(INDEX('Fuel Model - Calculation'!$B$2:$M$3771,(MATCH(($E266&amp;"Results"&amp;$BD$140&amp;$F266&amp;"USD/ton"),'Fuel Model - Calculation'!$B$2:$B$3771,0)),MATCH(S$141,'Fuel Model - Calculation'!$B$2:$M$2,0)),0)</f>
        <v>8.3268458393688149</v>
      </c>
      <c r="BH266" s="118">
        <f>IFERROR(INDEX('Fuel Model - Calculation'!$B$2:$M$3771,(MATCH(($E266&amp;"Results"&amp;$BD$140&amp;$F266&amp;"USD/ton"),'Fuel Model - Calculation'!$B$2:$B$3771,0)),MATCH(T$141,'Fuel Model - Calculation'!$B$2:$M$2,0)),0)</f>
        <v>7.9968709475791844</v>
      </c>
      <c r="BI266" s="118">
        <f>IFERROR(INDEX('Fuel Model - Calculation'!$B$2:$M$3771,(MATCH(($E266&amp;"Results"&amp;$BD$140&amp;$F266&amp;"USD/ton"),'Fuel Model - Calculation'!$B$2:$B$3771,0)),MATCH(U$141,'Fuel Model - Calculation'!$B$2:$M$2,0)),0)</f>
        <v>7.665808221113922</v>
      </c>
      <c r="BJ266" s="118">
        <f>IFERROR(INDEX('Fuel Model - Calculation'!$B$2:$M$3771,(MATCH(($E266&amp;"Results"&amp;$BD$140&amp;$F266&amp;"USD/ton"),'Fuel Model - Calculation'!$B$2:$B$3771,0)),MATCH(V$141,'Fuel Model - Calculation'!$B$2:$M$2,0)),0)</f>
        <v>7.3548916705682617</v>
      </c>
      <c r="BL266" s="118">
        <f>IFERROR(IFERROR(INDEX('Fuel Model - Calculation'!$B$2:$M$3771,(MATCH(($E266&amp;"Results"&amp;$BL$140&amp;$F266&amp;"USD/ton"),'Fuel Model - Calculation'!$B$2:$B$3771,0)),MATCH(H$141,'Fuel Model - Calculation'!$B$2:$M$2,0)),0),0)</f>
        <v>0</v>
      </c>
      <c r="BM266" s="118">
        <f>IFERROR(IFERROR(INDEX('Fuel Model - Calculation'!$B$2:$M$3771,(MATCH(($E266&amp;"Results"&amp;$BL$140&amp;$F266&amp;"USD/ton"),'Fuel Model - Calculation'!$B$2:$B$3771,0)),MATCH(I$141,'Fuel Model - Calculation'!$B$2:$M$2,0)),0),0)</f>
        <v>0</v>
      </c>
      <c r="BN266" s="118">
        <f>IFERROR(IFERROR(INDEX('Fuel Model - Calculation'!$B$2:$M$3771,(MATCH(($E266&amp;"Results"&amp;$BL$140&amp;$F266&amp;"USD/ton"),'Fuel Model - Calculation'!$B$2:$B$3771,0)),MATCH(J$141,'Fuel Model - Calculation'!$B$2:$M$2,0)),0),0)</f>
        <v>0</v>
      </c>
      <c r="BO266" s="118">
        <f>IFERROR(IFERROR(INDEX('Fuel Model - Calculation'!$B$2:$M$3771,(MATCH(($E266&amp;"Results"&amp;$BL$140&amp;$F266&amp;"USD/ton"),'Fuel Model - Calculation'!$B$2:$B$3771,0)),MATCH(K$141,'Fuel Model - Calculation'!$B$2:$M$2,0)),0),0)</f>
        <v>0</v>
      </c>
      <c r="BP266" s="118">
        <f>IFERROR(IFERROR(INDEX('Fuel Model - Calculation'!$B$2:$M$3771,(MATCH(($E266&amp;"Results"&amp;$BL$140&amp;$F266&amp;"USD/ton"),'Fuel Model - Calculation'!$B$2:$B$3771,0)),MATCH(L$141,'Fuel Model - Calculation'!$B$2:$M$2,0)),0),0)</f>
        <v>0</v>
      </c>
      <c r="BQ266" s="118">
        <f>IFERROR(IFERROR(INDEX('Fuel Model - Calculation'!$B$2:$M$3771,(MATCH(($E266&amp;"Results"&amp;$BL$140&amp;$F266&amp;"USD/ton"),'Fuel Model - Calculation'!$B$2:$B$3771,0)),MATCH(M$141,'Fuel Model - Calculation'!$B$2:$M$2,0)),0),0)</f>
        <v>0</v>
      </c>
      <c r="BR266" s="118">
        <f>IFERROR(IFERROR(INDEX('Fuel Model - Calculation'!$B$2:$M$3771,(MATCH(($E266&amp;"Results"&amp;$BL$140&amp;$F266&amp;"USD/ton"),'Fuel Model - Calculation'!$B$2:$B$3771,0)),MATCH(N$141,'Fuel Model - Calculation'!$B$2:$M$2,0)),0),0)</f>
        <v>0</v>
      </c>
      <c r="BT266" s="118">
        <f>IFERROR(INDEX('Fuel Model - Calculation'!$B$2:$M$3771,(MATCH(($E266&amp;"Results"&amp;$BT$140&amp;$F266&amp;"USD/ton"),'Fuel Model - Calculation'!$B$2:$B$3771,0)),MATCH(H$141,'Fuel Model - Calculation'!$B$2:$M$2,0)),0)</f>
        <v>685.20381702844224</v>
      </c>
      <c r="BU266" s="118">
        <f>IFERROR(INDEX('Fuel Model - Calculation'!$B$2:$M$3771,(MATCH(($E266&amp;"Results"&amp;$BT$140&amp;$F266&amp;"USD/ton"),'Fuel Model - Calculation'!$B$2:$B$3771,0)),MATCH(I$141,'Fuel Model - Calculation'!$B$2:$M$2,0)),0)</f>
        <v>513.0251758519737</v>
      </c>
      <c r="BV266" s="118">
        <f>IFERROR(INDEX('Fuel Model - Calculation'!$B$2:$M$3771,(MATCH(($E266&amp;"Results"&amp;$BT$140&amp;$F266&amp;"USD/ton"),'Fuel Model - Calculation'!$B$2:$B$3771,0)),MATCH(J$141,'Fuel Model - Calculation'!$B$2:$M$2,0)),0)</f>
        <v>459.32117498746754</v>
      </c>
      <c r="BW266" s="118">
        <f>IFERROR(INDEX('Fuel Model - Calculation'!$B$2:$M$3771,(MATCH(($E266&amp;"Results"&amp;$BT$140&amp;$F266&amp;"USD/ton"),'Fuel Model - Calculation'!$B$2:$B$3771,0)),MATCH(K$141,'Fuel Model - Calculation'!$B$2:$M$2,0)),0)</f>
        <v>462.73003158327492</v>
      </c>
      <c r="BX266" s="118">
        <f>IFERROR(INDEX('Fuel Model - Calculation'!$B$2:$M$3771,(MATCH(($E266&amp;"Results"&amp;$BT$140&amp;$F266&amp;"USD/ton"),'Fuel Model - Calculation'!$B$2:$B$3771,0)),MATCH(L$141,'Fuel Model - Calculation'!$B$2:$M$2,0)),0)</f>
        <v>465.57074541311437</v>
      </c>
      <c r="BY266" s="118">
        <f>IFERROR(INDEX('Fuel Model - Calculation'!$B$2:$M$3771,(MATCH(($E266&amp;"Results"&amp;$BT$140&amp;$F266&amp;"USD/ton"),'Fuel Model - Calculation'!$B$2:$B$3771,0)),MATCH(M$141,'Fuel Model - Calculation'!$B$2:$M$2,0)),0)</f>
        <v>468.41145924295381</v>
      </c>
      <c r="BZ266" s="118">
        <f>IFERROR(INDEX('Fuel Model - Calculation'!$B$2:$M$3771,(MATCH(($E266&amp;"Results"&amp;$BT$140&amp;$F266&amp;"USD/ton"),'Fuel Model - Calculation'!$B$2:$B$3771,0)),MATCH(N$141,'Fuel Model - Calculation'!$B$2:$M$2,0)),0)</f>
        <v>471.25217307279325</v>
      </c>
    </row>
    <row r="267" spans="1:78" x14ac:dyDescent="0.2">
      <c r="D267" s="74"/>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78" ht="15" x14ac:dyDescent="0.25">
      <c r="A268" s="452"/>
      <c r="B268" s="453"/>
      <c r="D268" s="457" t="s">
        <v>836</v>
      </c>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
      <c r="AO268" s="24"/>
      <c r="AP268" s="24"/>
      <c r="AQ268" s="24"/>
      <c r="AR268" s="24"/>
      <c r="AS268" s="24"/>
      <c r="AT268" s="24"/>
      <c r="AU268"/>
      <c r="AV268" s="24"/>
      <c r="AW268" s="24"/>
      <c r="AX268" s="24"/>
      <c r="AY268" s="24"/>
      <c r="AZ268" s="24"/>
      <c r="BA268" s="24"/>
      <c r="BB268" s="24"/>
      <c r="BC268"/>
    </row>
    <row r="269" spans="1:78" x14ac:dyDescent="0.2">
      <c r="A269" s="452"/>
      <c r="B269" s="453"/>
      <c r="D269" s="74"/>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s="24"/>
      <c r="AO269" s="24"/>
      <c r="AP269" s="24"/>
      <c r="AQ269" s="24"/>
      <c r="AR269" s="24"/>
      <c r="AS269" s="24"/>
      <c r="AT269" s="24"/>
      <c r="AU269"/>
      <c r="AV269" s="24"/>
      <c r="AW269" s="24"/>
      <c r="AX269" s="24"/>
      <c r="AY269" s="24"/>
      <c r="AZ269" s="24"/>
      <c r="BA269" s="24"/>
      <c r="BB269" s="24"/>
      <c r="BC269"/>
    </row>
    <row r="270" spans="1:78" ht="15" x14ac:dyDescent="0.25">
      <c r="A270" s="452"/>
      <c r="B270" s="453"/>
      <c r="D270" s="74"/>
      <c r="E270" s="30" t="s">
        <v>722</v>
      </c>
      <c r="F270" s="30" t="s">
        <v>834</v>
      </c>
      <c r="G270" s="30"/>
      <c r="I270" s="30">
        <v>2025</v>
      </c>
      <c r="J270" s="30">
        <v>2030</v>
      </c>
      <c r="K270" s="30">
        <v>2035</v>
      </c>
      <c r="L270" s="30">
        <v>2040</v>
      </c>
      <c r="M270" s="30">
        <v>2045</v>
      </c>
      <c r="N270" s="30">
        <v>2050</v>
      </c>
      <c r="O270"/>
      <c r="P270" s="30"/>
      <c r="Q270" s="30"/>
      <c r="R270" s="30"/>
      <c r="S270" s="30"/>
      <c r="T270" s="30"/>
      <c r="U270" s="30"/>
      <c r="V270" s="30"/>
      <c r="W270"/>
      <c r="X270" s="30"/>
      <c r="Y270" s="30"/>
      <c r="Z270" s="30"/>
      <c r="AA270" s="30"/>
      <c r="AB270" s="30"/>
      <c r="AC270" s="30"/>
      <c r="AD270" s="30"/>
      <c r="AE270" s="30"/>
      <c r="AF270" s="30"/>
      <c r="AG270" s="30"/>
      <c r="AH270" s="30"/>
      <c r="AI270" s="30"/>
      <c r="AJ270" s="30"/>
      <c r="AK270" s="30"/>
      <c r="AL270" s="30"/>
      <c r="AM270"/>
      <c r="AN270" s="30"/>
      <c r="AO270" s="30"/>
      <c r="AP270" s="30"/>
      <c r="AQ270" s="30"/>
      <c r="AR270" s="30"/>
      <c r="AS270" s="30"/>
      <c r="AT270" s="30"/>
      <c r="AU270"/>
      <c r="AV270" s="30"/>
      <c r="AW270" s="30"/>
      <c r="AX270" s="30"/>
      <c r="AY270" s="30"/>
      <c r="AZ270" s="30"/>
      <c r="BA270" s="30"/>
      <c r="BB270" s="30"/>
      <c r="BC270"/>
    </row>
    <row r="271" spans="1:78" x14ac:dyDescent="0.2">
      <c r="A271" s="452"/>
      <c r="B271" s="453" t="str">
        <f t="shared" ref="B271:B291" si="233">_xlfn.TEXTJOIN(keydelim,TRUE,F271,IF(E271="Africa","Africa&amp;other",E271),"Prim. energy efficiency",SUBSTITUTE($G271," ",""))</f>
        <v>e-Hydrogen (liquid) - Global - Prim. energy efficiency - %</v>
      </c>
      <c r="D271" s="459" t="str">
        <f t="shared" ref="D271:D289" si="234">+E271&amp;F271</f>
        <v>Globale-Hydrogen (liquid)</v>
      </c>
      <c r="E271" t="s">
        <v>109</v>
      </c>
      <c r="F271" s="29" t="s">
        <v>585</v>
      </c>
      <c r="G271" t="s">
        <v>178</v>
      </c>
      <c r="H271" s="9">
        <f>INDEX('Fuel Model - Calculation'!$B$2:$M$3771,(MATCH(($E271&amp;"ResultsAverage Primary EE of "&amp;$F271&amp;"%"),'Fuel Model - Calculation'!$B$2:$B$3771,0)),MATCH(H$141,'Fuel Model - Calculation'!$B$2:$M$2,0))</f>
        <v>0.53158370554247458</v>
      </c>
      <c r="I271" s="9">
        <f>INDEX('Fuel Model - Calculation'!$B$2:$M$3771,(MATCH(($E271&amp;"ResultsAverage Primary EE of "&amp;$F271&amp;"%"),'Fuel Model - Calculation'!$B$2:$B$3771,0)),MATCH(I$141,'Fuel Model - Calculation'!$B$2:$M$2,0))</f>
        <v>0.53390833756130562</v>
      </c>
      <c r="J271" s="9">
        <f>INDEX('Fuel Model - Calculation'!$B$2:$M$3771,(MATCH(($E271&amp;"ResultsAverage Primary EE of "&amp;$F271&amp;"%"),'Fuel Model - Calculation'!$B$2:$B$3771,0)),MATCH(J$141,'Fuel Model - Calculation'!$B$2:$M$2,0))</f>
        <v>0.54131189142534042</v>
      </c>
      <c r="K271" s="9">
        <f>INDEX('Fuel Model - Calculation'!$B$2:$M$3771,(MATCH(($E271&amp;"ResultsAverage Primary EE of "&amp;$F271&amp;"%"),'Fuel Model - Calculation'!$B$2:$B$3771,0)),MATCH(K$141,'Fuel Model - Calculation'!$B$2:$M$2,0))</f>
        <v>0.56029386332368492</v>
      </c>
      <c r="L271" s="9">
        <f>INDEX('Fuel Model - Calculation'!$B$2:$M$3771,(MATCH(($E271&amp;"ResultsAverage Primary EE of "&amp;$F271&amp;"%"),'Fuel Model - Calculation'!$B$2:$B$3771,0)),MATCH(L$141,'Fuel Model - Calculation'!$B$2:$M$2,0))</f>
        <v>0.58328989995912273</v>
      </c>
      <c r="M271" s="9">
        <f>INDEX('Fuel Model - Calculation'!$B$2:$M$3771,(MATCH(($E271&amp;"ResultsAverage Primary EE of "&amp;$F271&amp;"%"),'Fuel Model - Calculation'!$B$2:$B$3771,0)),MATCH(M$141,'Fuel Model - Calculation'!$B$2:$M$2,0))</f>
        <v>0.61375917189403317</v>
      </c>
      <c r="N271" s="9">
        <f>INDEX('Fuel Model - Calculation'!$B$2:$M$3771,(MATCH(($E271&amp;"ResultsAverage Primary EE of "&amp;$F271&amp;"%"),'Fuel Model - Calculation'!$B$2:$B$3771,0)),MATCH(N$141,'Fuel Model - Calculation'!$B$2:$M$2,0))</f>
        <v>0.63915343915343925</v>
      </c>
      <c r="O271"/>
      <c r="P271" s="118"/>
      <c r="Q271" s="118"/>
      <c r="R271" s="118"/>
      <c r="S271" s="118"/>
      <c r="T271" s="118"/>
      <c r="U271" s="118"/>
      <c r="V271" s="118"/>
      <c r="W271"/>
      <c r="X271" s="2"/>
      <c r="Y271" s="2"/>
      <c r="Z271" s="2"/>
      <c r="AA271" s="2"/>
      <c r="AB271" s="2"/>
      <c r="AC271" s="2"/>
      <c r="AD271" s="2"/>
      <c r="AE271" s="2"/>
      <c r="AF271" s="2"/>
      <c r="AG271" s="2"/>
      <c r="AH271" s="2"/>
      <c r="AI271" s="2"/>
      <c r="AJ271" s="2"/>
      <c r="AK271" s="2"/>
      <c r="AL271" s="2"/>
      <c r="AM271"/>
      <c r="AN271" s="24"/>
      <c r="AO271" s="24"/>
      <c r="AP271" s="24"/>
      <c r="AQ271" s="24"/>
      <c r="AR271" s="24"/>
      <c r="AS271" s="24"/>
      <c r="AT271" s="24"/>
      <c r="AU271"/>
      <c r="AV271" s="24"/>
      <c r="AW271" s="24"/>
      <c r="AX271" s="24"/>
      <c r="AY271" s="24"/>
      <c r="AZ271" s="24"/>
      <c r="BA271" s="24"/>
      <c r="BB271" s="24"/>
      <c r="BC271"/>
    </row>
    <row r="272" spans="1:78" x14ac:dyDescent="0.2">
      <c r="A272" s="452"/>
      <c r="B272" s="453" t="str">
        <f t="shared" si="233"/>
        <v>e-Hydrogen (compressed) - Global - Prim. energy efficiency - %</v>
      </c>
      <c r="D272" s="459" t="str">
        <f t="shared" si="234"/>
        <v>Globale-Hydrogen (compressed)</v>
      </c>
      <c r="E272" t="s">
        <v>109</v>
      </c>
      <c r="F272" s="29" t="s">
        <v>584</v>
      </c>
      <c r="G272" t="s">
        <v>178</v>
      </c>
      <c r="H272" s="9">
        <f>INDEX('Fuel Model - Calculation'!$B$2:$M$3771,(MATCH(($E272&amp;"ResultsAverage Primary EE of "&amp;$F272&amp;"%"),'Fuel Model - Calculation'!$B$2:$B$3771,0)),MATCH(H$141,'Fuel Model - Calculation'!$B$2:$M$2,0))</f>
        <v>0.62090526196973861</v>
      </c>
      <c r="I272" s="9">
        <f>INDEX('Fuel Model - Calculation'!$B$2:$M$3771,(MATCH(($E272&amp;"ResultsAverage Primary EE of "&amp;$F272&amp;"%"),'Fuel Model - Calculation'!$B$2:$B$3771,0)),MATCH(I$141,'Fuel Model - Calculation'!$B$2:$M$2,0))</f>
        <v>0.62417085168914133</v>
      </c>
      <c r="J272" s="9">
        <f>INDEX('Fuel Model - Calculation'!$B$2:$M$3771,(MATCH(($E272&amp;"ResultsAverage Primary EE of "&amp;$F272&amp;"%"),'Fuel Model - Calculation'!$B$2:$B$3771,0)),MATCH(J$141,'Fuel Model - Calculation'!$B$2:$M$2,0))</f>
        <v>0.63467726108676525</v>
      </c>
      <c r="K272" s="9">
        <f>INDEX('Fuel Model - Calculation'!$B$2:$M$3771,(MATCH(($E272&amp;"ResultsAverage Primary EE of "&amp;$F272&amp;"%"),'Fuel Model - Calculation'!$B$2:$B$3771,0)),MATCH(K$141,'Fuel Model - Calculation'!$B$2:$M$2,0))</f>
        <v>0.66141189245873089</v>
      </c>
      <c r="L272" s="9">
        <f>INDEX('Fuel Model - Calculation'!$B$2:$M$3771,(MATCH(($E272&amp;"ResultsAverage Primary EE of "&amp;$F272&amp;"%"),'Fuel Model - Calculation'!$B$2:$B$3771,0)),MATCH(L$141,'Fuel Model - Calculation'!$B$2:$M$2,0))</f>
        <v>0.69385844908622296</v>
      </c>
      <c r="M272" s="9">
        <f>INDEX('Fuel Model - Calculation'!$B$2:$M$3771,(MATCH(($E272&amp;"ResultsAverage Primary EE of "&amp;$F272&amp;"%"),'Fuel Model - Calculation'!$B$2:$B$3771,0)),MATCH(M$141,'Fuel Model - Calculation'!$B$2:$M$2,0))</f>
        <v>0.73679503467693408</v>
      </c>
      <c r="N272" s="9">
        <f>INDEX('Fuel Model - Calculation'!$B$2:$M$3771,(MATCH(($E272&amp;"ResultsAverage Primary EE of "&amp;$F272&amp;"%"),'Fuel Model - Calculation'!$B$2:$B$3771,0)),MATCH(N$141,'Fuel Model - Calculation'!$B$2:$M$2,0))</f>
        <v>0.77295687554154879</v>
      </c>
      <c r="O272"/>
      <c r="P272" s="118"/>
      <c r="Q272" s="118"/>
      <c r="R272" s="118"/>
      <c r="S272" s="118"/>
      <c r="T272" s="118"/>
      <c r="U272" s="118"/>
      <c r="V272" s="118"/>
      <c r="W272"/>
      <c r="X272" s="2"/>
      <c r="Y272" s="2"/>
      <c r="Z272" s="2"/>
      <c r="AA272" s="2"/>
      <c r="AB272" s="2"/>
      <c r="AC272" s="2"/>
      <c r="AD272" s="2"/>
      <c r="AE272" s="2"/>
      <c r="AF272" s="2"/>
      <c r="AG272" s="2"/>
      <c r="AH272" s="2"/>
      <c r="AI272" s="2"/>
      <c r="AJ272" s="2"/>
      <c r="AK272" s="2"/>
      <c r="AL272" s="2"/>
      <c r="AM272"/>
      <c r="AN272" s="24"/>
      <c r="AO272" s="24"/>
      <c r="AP272" s="24"/>
      <c r="AQ272" s="24"/>
      <c r="AR272" s="24"/>
      <c r="AS272" s="24"/>
      <c r="AT272" s="24"/>
      <c r="AU272"/>
      <c r="AV272" s="24"/>
      <c r="AW272" s="24"/>
      <c r="AX272" s="24"/>
      <c r="AY272" s="24"/>
      <c r="AZ272" s="24"/>
      <c r="BA272" s="24"/>
      <c r="BB272" s="24"/>
      <c r="BC272"/>
    </row>
    <row r="273" spans="1:55" x14ac:dyDescent="0.2">
      <c r="A273" s="452"/>
      <c r="B273" s="453" t="str">
        <f t="shared" si="233"/>
        <v>e-Ammonia - Global - Prim. energy efficiency - %</v>
      </c>
      <c r="D273" s="459" t="str">
        <f t="shared" si="234"/>
        <v>Globale-Ammonia</v>
      </c>
      <c r="E273" t="s">
        <v>109</v>
      </c>
      <c r="F273" s="29" t="s">
        <v>121</v>
      </c>
      <c r="G273" t="s">
        <v>178</v>
      </c>
      <c r="H273" s="9">
        <f>INDEX('Fuel Model - Calculation'!$B$2:$M$3771,(MATCH(($E273&amp;"ResultsAverage Primary EE of "&amp;$F273&amp;"%"),'Fuel Model - Calculation'!$B$2:$B$3771,0)),MATCH(H$141,'Fuel Model - Calculation'!$B$2:$M$2,0))</f>
        <v>0.52678895799360559</v>
      </c>
      <c r="I273" s="9">
        <f>INDEX('Fuel Model - Calculation'!$B$2:$M$3771,(MATCH(($E273&amp;"ResultsAverage Primary EE of "&amp;$F273&amp;"%"),'Fuel Model - Calculation'!$B$2:$B$3771,0)),MATCH(I$141,'Fuel Model - Calculation'!$B$2:$M$2,0))</f>
        <v>0.52948932360592504</v>
      </c>
      <c r="J273" s="9">
        <f>INDEX('Fuel Model - Calculation'!$B$2:$M$3771,(MATCH(($E273&amp;"ResultsAverage Primary EE of "&amp;$F273&amp;"%"),'Fuel Model - Calculation'!$B$2:$B$3771,0)),MATCH(J$141,'Fuel Model - Calculation'!$B$2:$M$2,0))</f>
        <v>0.53817237573831711</v>
      </c>
      <c r="K273" s="9">
        <f>INDEX('Fuel Model - Calculation'!$B$2:$M$3771,(MATCH(($E273&amp;"ResultsAverage Primary EE of "&amp;$F273&amp;"%"),'Fuel Model - Calculation'!$B$2:$B$3771,0)),MATCH(K$141,'Fuel Model - Calculation'!$B$2:$M$2,0))</f>
        <v>0.56023392300523689</v>
      </c>
      <c r="L273" s="9">
        <f>INDEX('Fuel Model - Calculation'!$B$2:$M$3771,(MATCH(($E273&amp;"ResultsAverage Primary EE of "&amp;$F273&amp;"%"),'Fuel Model - Calculation'!$B$2:$B$3771,0)),MATCH(L$141,'Fuel Model - Calculation'!$B$2:$M$2,0))</f>
        <v>0.58694480967656215</v>
      </c>
      <c r="M273" s="9">
        <f>INDEX('Fuel Model - Calculation'!$B$2:$M$3771,(MATCH(($E273&amp;"ResultsAverage Primary EE of "&amp;$F273&amp;"%"),'Fuel Model - Calculation'!$B$2:$B$3771,0)),MATCH(M$141,'Fuel Model - Calculation'!$B$2:$M$2,0))</f>
        <v>0.6221836576515305</v>
      </c>
      <c r="N273" s="9">
        <f>INDEX('Fuel Model - Calculation'!$B$2:$M$3771,(MATCH(($E273&amp;"ResultsAverage Primary EE of "&amp;$F273&amp;"%"),'Fuel Model - Calculation'!$B$2:$B$3771,0)),MATCH(N$141,'Fuel Model - Calculation'!$B$2:$M$2,0))</f>
        <v>0.65176758552513991</v>
      </c>
      <c r="O273"/>
      <c r="P273" s="118"/>
      <c r="Q273" s="118"/>
      <c r="R273" s="118"/>
      <c r="S273" s="118"/>
      <c r="T273" s="118"/>
      <c r="U273" s="118"/>
      <c r="V273" s="118"/>
      <c r="W273"/>
      <c r="X273" s="2"/>
      <c r="Y273" s="2"/>
      <c r="Z273" s="2"/>
      <c r="AA273" s="2"/>
      <c r="AB273" s="2"/>
      <c r="AC273" s="2"/>
      <c r="AD273" s="2"/>
      <c r="AE273" s="2"/>
      <c r="AF273" s="2"/>
      <c r="AG273" s="2"/>
      <c r="AH273" s="2"/>
      <c r="AI273" s="2"/>
      <c r="AJ273" s="2"/>
      <c r="AK273" s="2"/>
      <c r="AL273" s="2"/>
      <c r="AM273"/>
      <c r="AN273" s="24"/>
      <c r="AO273" s="24"/>
      <c r="AP273" s="24"/>
      <c r="AQ273" s="24"/>
      <c r="AR273" s="24"/>
      <c r="AS273" s="24"/>
      <c r="AT273" s="24"/>
      <c r="AU273"/>
      <c r="AV273" s="24"/>
      <c r="AW273" s="24"/>
      <c r="AX273" s="24"/>
      <c r="AY273" s="24"/>
      <c r="AZ273" s="24"/>
      <c r="BA273" s="24"/>
      <c r="BB273" s="24"/>
      <c r="BC273"/>
    </row>
    <row r="274" spans="1:55" x14ac:dyDescent="0.2">
      <c r="A274" s="452"/>
      <c r="B274" s="453" t="str">
        <f t="shared" si="233"/>
        <v>e-Methanol (DAC) - Global - Prim. energy efficiency - %</v>
      </c>
      <c r="D274" s="459" t="str">
        <f t="shared" si="234"/>
        <v>Globale-Methanol (DAC)</v>
      </c>
      <c r="E274" t="s">
        <v>109</v>
      </c>
      <c r="F274" s="29" t="s">
        <v>587</v>
      </c>
      <c r="G274" t="s">
        <v>178</v>
      </c>
      <c r="H274" s="9">
        <f>INDEX('Fuel Model - Calculation'!$B$2:$M$3771,(MATCH(($E274&amp;"ResultsAverage Primary EE of "&amp;$F274&amp;"%"),'Fuel Model - Calculation'!$B$2:$B$3771,0)),MATCH(H$141,'Fuel Model - Calculation'!$B$2:$M$2,0))</f>
        <v>0.34664058675865317</v>
      </c>
      <c r="I274" s="9">
        <f>INDEX('Fuel Model - Calculation'!$B$2:$M$3771,(MATCH(($E274&amp;"ResultsAverage Primary EE of "&amp;$F274&amp;"%"),'Fuel Model - Calculation'!$B$2:$B$3771,0)),MATCH(I$141,'Fuel Model - Calculation'!$B$2:$M$2,0))</f>
        <v>0.35375542248376846</v>
      </c>
      <c r="J274" s="9">
        <f>INDEX('Fuel Model - Calculation'!$B$2:$M$3771,(MATCH(($E274&amp;"ResultsAverage Primary EE of "&amp;$F274&amp;"%"),'Fuel Model - Calculation'!$B$2:$B$3771,0)),MATCH(J$141,'Fuel Model - Calculation'!$B$2:$M$2,0))</f>
        <v>0.36345835145166255</v>
      </c>
      <c r="K274" s="9">
        <f>INDEX('Fuel Model - Calculation'!$B$2:$M$3771,(MATCH(($E274&amp;"ResultsAverage Primary EE of "&amp;$F274&amp;"%"),'Fuel Model - Calculation'!$B$2:$B$3771,0)),MATCH(K$141,'Fuel Model - Calculation'!$B$2:$M$2,0))</f>
        <v>0.37928684789326383</v>
      </c>
      <c r="L274" s="9">
        <f>INDEX('Fuel Model - Calculation'!$B$2:$M$3771,(MATCH(($E274&amp;"ResultsAverage Primary EE of "&amp;$F274&amp;"%"),'Fuel Model - Calculation'!$B$2:$B$3771,0)),MATCH(L$141,'Fuel Model - Calculation'!$B$2:$M$2,0))</f>
        <v>0.39738073378529432</v>
      </c>
      <c r="M274" s="9">
        <f>INDEX('Fuel Model - Calculation'!$B$2:$M$3771,(MATCH(($E274&amp;"ResultsAverage Primary EE of "&amp;$F274&amp;"%"),'Fuel Model - Calculation'!$B$2:$B$3771,0)),MATCH(M$141,'Fuel Model - Calculation'!$B$2:$M$2,0))</f>
        <v>0.4194835639606701</v>
      </c>
      <c r="N274" s="9">
        <f>INDEX('Fuel Model - Calculation'!$B$2:$M$3771,(MATCH(($E274&amp;"ResultsAverage Primary EE of "&amp;$F274&amp;"%"),'Fuel Model - Calculation'!$B$2:$B$3771,0)),MATCH(N$141,'Fuel Model - Calculation'!$B$2:$M$2,0))</f>
        <v>0.43917067499997209</v>
      </c>
      <c r="O274"/>
      <c r="P274" s="118"/>
      <c r="Q274" s="118"/>
      <c r="R274" s="118"/>
      <c r="S274" s="118"/>
      <c r="T274" s="118"/>
      <c r="U274" s="118"/>
      <c r="V274" s="118"/>
      <c r="W274"/>
      <c r="X274" s="2"/>
      <c r="Y274" s="2"/>
      <c r="Z274" s="2"/>
      <c r="AA274" s="2"/>
      <c r="AB274" s="2"/>
      <c r="AC274" s="2"/>
      <c r="AD274" s="2"/>
      <c r="AE274" s="2"/>
      <c r="AF274" s="2"/>
      <c r="AG274" s="2"/>
      <c r="AH274" s="2"/>
      <c r="AI274" s="2"/>
      <c r="AJ274" s="2"/>
      <c r="AK274" s="2"/>
      <c r="AL274" s="2"/>
      <c r="AM274"/>
      <c r="AN274" s="24"/>
      <c r="AO274" s="24"/>
      <c r="AP274" s="24"/>
      <c r="AQ274" s="24"/>
      <c r="AR274" s="24"/>
      <c r="AS274" s="24"/>
      <c r="AT274" s="24"/>
      <c r="AU274"/>
      <c r="AV274" s="24"/>
      <c r="AW274" s="24"/>
      <c r="AX274" s="24"/>
      <c r="AY274" s="24"/>
      <c r="AZ274" s="24"/>
      <c r="BA274" s="24"/>
      <c r="BB274" s="24"/>
      <c r="BC274"/>
    </row>
    <row r="275" spans="1:55" x14ac:dyDescent="0.2">
      <c r="A275" s="452"/>
      <c r="B275" s="453" t="str">
        <f t="shared" si="233"/>
        <v>e-Methanol (PS) - Global - Prim. energy efficiency - %</v>
      </c>
      <c r="D275" s="459" t="str">
        <f t="shared" si="234"/>
        <v>Globale-Methanol (PS)</v>
      </c>
      <c r="E275" t="s">
        <v>109</v>
      </c>
      <c r="F275" s="29" t="s">
        <v>119</v>
      </c>
      <c r="G275" t="s">
        <v>178</v>
      </c>
      <c r="H275" s="9">
        <f>INDEX('Fuel Model - Calculation'!$B$2:$M$3771,(MATCH(($E275&amp;"ResultsAverage Primary EE of "&amp;$F275&amp;"%"),'Fuel Model - Calculation'!$B$2:$B$3771,0)),MATCH(H$141,'Fuel Model - Calculation'!$B$2:$M$2,0))</f>
        <v>0.46714237462884445</v>
      </c>
      <c r="I275" s="9">
        <f>INDEX('Fuel Model - Calculation'!$B$2:$M$3771,(MATCH(($E275&amp;"ResultsAverage Primary EE of "&amp;$F275&amp;"%"),'Fuel Model - Calculation'!$B$2:$B$3771,0)),MATCH(I$141,'Fuel Model - Calculation'!$B$2:$M$2,0))</f>
        <v>0.46924470895162751</v>
      </c>
      <c r="J275" s="9">
        <f>INDEX('Fuel Model - Calculation'!$B$2:$M$3771,(MATCH(($E275&amp;"ResultsAverage Primary EE of "&amp;$F275&amp;"%"),'Fuel Model - Calculation'!$B$2:$B$3771,0)),MATCH(J$141,'Fuel Model - Calculation'!$B$2:$M$2,0))</f>
        <v>0.47598708209665719</v>
      </c>
      <c r="K275" s="9">
        <f>INDEX('Fuel Model - Calculation'!$B$2:$M$3771,(MATCH(($E275&amp;"ResultsAverage Primary EE of "&amp;$F275&amp;"%"),'Fuel Model - Calculation'!$B$2:$B$3771,0)),MATCH(K$141,'Fuel Model - Calculation'!$B$2:$M$2,0))</f>
        <v>0.4929972768034423</v>
      </c>
      <c r="L275" s="9">
        <f>INDEX('Fuel Model - Calculation'!$B$2:$M$3771,(MATCH(($E275&amp;"ResultsAverage Primary EE of "&amp;$F275&amp;"%"),'Fuel Model - Calculation'!$B$2:$B$3771,0)),MATCH(L$141,'Fuel Model - Calculation'!$B$2:$M$2,0))</f>
        <v>0.51336374799578455</v>
      </c>
      <c r="M275" s="9">
        <f>INDEX('Fuel Model - Calculation'!$B$2:$M$3771,(MATCH(($E275&amp;"ResultsAverage Primary EE of "&amp;$F275&amp;"%"),'Fuel Model - Calculation'!$B$2:$B$3771,0)),MATCH(M$141,'Fuel Model - Calculation'!$B$2:$M$2,0))</f>
        <v>0.53985693158107728</v>
      </c>
      <c r="N275" s="9">
        <f>INDEX('Fuel Model - Calculation'!$B$2:$M$3771,(MATCH(($E275&amp;"ResultsAverage Primary EE of "&amp;$F275&amp;"%"),'Fuel Model - Calculation'!$B$2:$B$3771,0)),MATCH(N$141,'Fuel Model - Calculation'!$B$2:$M$2,0))</f>
        <v>0.56177540563152228</v>
      </c>
      <c r="O275"/>
      <c r="P275" s="118"/>
      <c r="Q275" s="118"/>
      <c r="R275" s="118"/>
      <c r="S275" s="118"/>
      <c r="T275" s="118"/>
      <c r="U275" s="118"/>
      <c r="V275" s="118"/>
      <c r="W275"/>
      <c r="X275" s="2"/>
      <c r="Y275" s="2"/>
      <c r="Z275" s="2"/>
      <c r="AA275" s="2"/>
      <c r="AB275" s="2"/>
      <c r="AC275" s="2"/>
      <c r="AD275" s="2"/>
      <c r="AE275" s="2"/>
      <c r="AF275" s="2"/>
      <c r="AG275" s="2"/>
      <c r="AH275" s="2"/>
      <c r="AI275" s="2"/>
      <c r="AJ275" s="2"/>
      <c r="AK275" s="2"/>
      <c r="AL275" s="2"/>
      <c r="AM275"/>
      <c r="AN275" s="24"/>
      <c r="AO275" s="24"/>
      <c r="AP275" s="24"/>
      <c r="AQ275" s="24"/>
      <c r="AR275" s="24"/>
      <c r="AS275" s="24"/>
      <c r="AT275" s="24"/>
      <c r="AU275"/>
      <c r="AV275" s="24"/>
      <c r="AW275" s="24"/>
      <c r="AX275" s="24"/>
      <c r="AY275" s="24"/>
      <c r="AZ275" s="24"/>
      <c r="BA275" s="24"/>
      <c r="BB275" s="24"/>
      <c r="BC275"/>
    </row>
    <row r="276" spans="1:55" x14ac:dyDescent="0.2">
      <c r="A276" s="452"/>
      <c r="B276" s="453" t="str">
        <f t="shared" si="233"/>
        <v>e-Diesel (DAC) - Global - Prim. energy efficiency - %</v>
      </c>
      <c r="D276" s="459" t="str">
        <f t="shared" si="234"/>
        <v>Globale-Diesel (DAC)</v>
      </c>
      <c r="E276" t="s">
        <v>109</v>
      </c>
      <c r="F276" s="29" t="s">
        <v>588</v>
      </c>
      <c r="G276" t="s">
        <v>178</v>
      </c>
      <c r="H276" s="9">
        <f>INDEX('Fuel Model - Calculation'!$B$2:$M$3771,(MATCH(($E276&amp;"ResultsAverage Primary EE of "&amp;$F276&amp;"%"),'Fuel Model - Calculation'!$B$2:$B$3771,0)),MATCH(H$141,'Fuel Model - Calculation'!$B$2:$M$2,0))</f>
        <v>0.32865139517542086</v>
      </c>
      <c r="I276" s="9">
        <f>INDEX('Fuel Model - Calculation'!$B$2:$M$3771,(MATCH(($E276&amp;"ResultsAverage Primary EE of "&amp;$F276&amp;"%"),'Fuel Model - Calculation'!$B$2:$B$3771,0)),MATCH(I$141,'Fuel Model - Calculation'!$B$2:$M$2,0))</f>
        <v>0.33654303760053605</v>
      </c>
      <c r="J276" s="9">
        <f>INDEX('Fuel Model - Calculation'!$B$2:$M$3771,(MATCH(($E276&amp;"ResultsAverage Primary EE of "&amp;$F276&amp;"%"),'Fuel Model - Calculation'!$B$2:$B$3771,0)),MATCH(J$141,'Fuel Model - Calculation'!$B$2:$M$2,0))</f>
        <v>0.34720899460809718</v>
      </c>
      <c r="K276" s="9">
        <f>INDEX('Fuel Model - Calculation'!$B$2:$M$3771,(MATCH(($E276&amp;"ResultsAverage Primary EE of "&amp;$F276&amp;"%"),'Fuel Model - Calculation'!$B$2:$B$3771,0)),MATCH(K$141,'Fuel Model - Calculation'!$B$2:$M$2,0))</f>
        <v>0.36450441446732751</v>
      </c>
      <c r="L276" s="9">
        <f>INDEX('Fuel Model - Calculation'!$B$2:$M$3771,(MATCH(($E276&amp;"ResultsAverage Primary EE of "&amp;$F276&amp;"%"),'Fuel Model - Calculation'!$B$2:$B$3771,0)),MATCH(L$141,'Fuel Model - Calculation'!$B$2:$M$2,0))</f>
        <v>0.38446878675331092</v>
      </c>
      <c r="M276" s="9">
        <f>INDEX('Fuel Model - Calculation'!$B$2:$M$3771,(MATCH(($E276&amp;"ResultsAverage Primary EE of "&amp;$F276&amp;"%"),'Fuel Model - Calculation'!$B$2:$B$3771,0)),MATCH(M$141,'Fuel Model - Calculation'!$B$2:$M$2,0))</f>
        <v>0.40912875220999845</v>
      </c>
      <c r="N276" s="9">
        <f>INDEX('Fuel Model - Calculation'!$B$2:$M$3771,(MATCH(($E276&amp;"ResultsAverage Primary EE of "&amp;$F276&amp;"%"),'Fuel Model - Calculation'!$B$2:$B$3771,0)),MATCH(N$141,'Fuel Model - Calculation'!$B$2:$M$2,0))</f>
        <v>0.43149377239360348</v>
      </c>
      <c r="O276"/>
      <c r="P276" s="118"/>
      <c r="Q276" s="118"/>
      <c r="R276" s="118"/>
      <c r="S276" s="118"/>
      <c r="T276" s="118"/>
      <c r="U276" s="118"/>
      <c r="V276" s="118"/>
      <c r="W276"/>
      <c r="X276" s="2"/>
      <c r="Y276" s="2"/>
      <c r="Z276" s="2"/>
      <c r="AA276" s="2"/>
      <c r="AB276" s="2"/>
      <c r="AC276" s="2"/>
      <c r="AD276" s="2"/>
      <c r="AE276" s="2"/>
      <c r="AF276" s="2"/>
      <c r="AG276" s="2"/>
      <c r="AH276" s="2"/>
      <c r="AI276" s="2"/>
      <c r="AJ276" s="2"/>
      <c r="AK276" s="2"/>
      <c r="AL276" s="2"/>
      <c r="AM276"/>
      <c r="AN276" s="24"/>
      <c r="AO276" s="24"/>
      <c r="AP276" s="24"/>
      <c r="AQ276" s="24"/>
      <c r="AR276" s="24"/>
      <c r="AS276" s="24"/>
      <c r="AT276" s="24"/>
      <c r="AU276"/>
      <c r="AV276" s="24"/>
      <c r="AW276" s="24"/>
      <c r="AX276" s="24"/>
      <c r="AY276" s="24"/>
      <c r="AZ276" s="24"/>
      <c r="BA276" s="24"/>
      <c r="BB276" s="24"/>
      <c r="BC276"/>
    </row>
    <row r="277" spans="1:55" x14ac:dyDescent="0.2">
      <c r="A277" s="452"/>
      <c r="B277" s="453" t="str">
        <f t="shared" si="233"/>
        <v>e-Diesel (PS) - Global - Prim. energy efficiency - %</v>
      </c>
      <c r="D277" s="459" t="str">
        <f t="shared" si="234"/>
        <v>Globale-Diesel (PS)</v>
      </c>
      <c r="E277" t="s">
        <v>109</v>
      </c>
      <c r="F277" s="29" t="s">
        <v>589</v>
      </c>
      <c r="G277" t="s">
        <v>178</v>
      </c>
      <c r="H277" s="9">
        <f>INDEX('Fuel Model - Calculation'!$B$2:$M$3771,(MATCH(($E277&amp;"ResultsAverage Primary EE of "&amp;$F277&amp;"%"),'Fuel Model - Calculation'!$B$2:$B$3771,0)),MATCH(H$141,'Fuel Model - Calculation'!$B$2:$M$2,0))</f>
        <v>0.46209780490741142</v>
      </c>
      <c r="I277" s="9">
        <f>INDEX('Fuel Model - Calculation'!$B$2:$M$3771,(MATCH(($E277&amp;"ResultsAverage Primary EE of "&amp;$F277&amp;"%"),'Fuel Model - Calculation'!$B$2:$B$3771,0)),MATCH(I$141,'Fuel Model - Calculation'!$B$2:$M$2,0))</f>
        <v>0.46514224667843035</v>
      </c>
      <c r="J277" s="9">
        <f>INDEX('Fuel Model - Calculation'!$B$2:$M$3771,(MATCH(($E277&amp;"ResultsAverage Primary EE of "&amp;$F277&amp;"%"),'Fuel Model - Calculation'!$B$2:$B$3771,0)),MATCH(J$141,'Fuel Model - Calculation'!$B$2:$M$2,0))</f>
        <v>0.4734701920337428</v>
      </c>
      <c r="K277" s="9">
        <f>INDEX('Fuel Model - Calculation'!$B$2:$M$3771,(MATCH(($E277&amp;"ResultsAverage Primary EE of "&amp;$F277&amp;"%"),'Fuel Model - Calculation'!$B$2:$B$3771,0)),MATCH(K$141,'Fuel Model - Calculation'!$B$2:$M$2,0))</f>
        <v>0.49373180849355236</v>
      </c>
      <c r="L277" s="9">
        <f>INDEX('Fuel Model - Calculation'!$B$2:$M$3771,(MATCH(($E277&amp;"ResultsAverage Primary EE of "&amp;$F277&amp;"%"),'Fuel Model - Calculation'!$B$2:$B$3771,0)),MATCH(L$141,'Fuel Model - Calculation'!$B$2:$M$2,0))</f>
        <v>0.51822523331391057</v>
      </c>
      <c r="M277" s="9">
        <f>INDEX('Fuel Model - Calculation'!$B$2:$M$3771,(MATCH(($E277&amp;"ResultsAverage Primary EE of "&amp;$F277&amp;"%"),'Fuel Model - Calculation'!$B$2:$B$3771,0)),MATCH(M$141,'Fuel Model - Calculation'!$B$2:$M$2,0))</f>
        <v>0.55048498018602732</v>
      </c>
      <c r="N277" s="9">
        <f>INDEX('Fuel Model - Calculation'!$B$2:$M$3771,(MATCH(($E277&amp;"ResultsAverage Primary EE of "&amp;$F277&amp;"%"),'Fuel Model - Calculation'!$B$2:$B$3771,0)),MATCH(N$141,'Fuel Model - Calculation'!$B$2:$M$2,0))</f>
        <v>0.57778787591233627</v>
      </c>
      <c r="O277"/>
      <c r="P277" s="118"/>
      <c r="Q277" s="118"/>
      <c r="R277" s="118"/>
      <c r="S277" s="118"/>
      <c r="T277" s="118"/>
      <c r="U277" s="118"/>
      <c r="V277" s="118"/>
      <c r="W277"/>
      <c r="X277" s="2"/>
      <c r="Y277" s="2"/>
      <c r="Z277" s="2"/>
      <c r="AA277" s="2"/>
      <c r="AB277" s="2"/>
      <c r="AC277" s="2"/>
      <c r="AD277" s="2"/>
      <c r="AE277" s="2"/>
      <c r="AF277" s="2"/>
      <c r="AG277" s="2"/>
      <c r="AH277" s="2"/>
      <c r="AI277" s="2"/>
      <c r="AJ277" s="2"/>
      <c r="AK277" s="2"/>
      <c r="AL277" s="2"/>
      <c r="AM277"/>
      <c r="AN277" s="24"/>
      <c r="AO277" s="24"/>
      <c r="AP277" s="24"/>
      <c r="AQ277" s="24"/>
      <c r="AR277" s="24"/>
      <c r="AS277" s="24"/>
      <c r="AT277" s="24"/>
      <c r="AU277"/>
      <c r="AV277" s="24"/>
      <c r="AW277" s="24"/>
      <c r="AX277" s="24"/>
      <c r="AY277" s="24"/>
      <c r="AZ277" s="24"/>
      <c r="BA277" s="24"/>
      <c r="BB277" s="24"/>
      <c r="BC277"/>
    </row>
    <row r="278" spans="1:55" x14ac:dyDescent="0.2">
      <c r="A278" s="452"/>
      <c r="B278" s="453" t="str">
        <f t="shared" si="233"/>
        <v>e-Methane (DAC) - Global - Prim. energy efficiency - %</v>
      </c>
      <c r="D278" s="459" t="str">
        <f t="shared" si="234"/>
        <v>Globale-Methane (DAC)</v>
      </c>
      <c r="E278" t="s">
        <v>109</v>
      </c>
      <c r="F278" s="29" t="s">
        <v>590</v>
      </c>
      <c r="G278" t="s">
        <v>178</v>
      </c>
      <c r="H278" s="9">
        <f>INDEX('Fuel Model - Calculation'!$B$2:$M$3771,(MATCH(($E278&amp;"ResultsAverage Primary EE of "&amp;$F278&amp;"%"),'Fuel Model - Calculation'!$B$2:$B$3771,0)),MATCH(H$141,'Fuel Model - Calculation'!$B$2:$M$2,0))</f>
        <v>0.38517301543254556</v>
      </c>
      <c r="I278" s="9">
        <f>INDEX('Fuel Model - Calculation'!$B$2:$M$3771,(MATCH(($E278&amp;"ResultsAverage Primary EE of "&amp;$F278&amp;"%"),'Fuel Model - Calculation'!$B$2:$B$3771,0)),MATCH(I$141,'Fuel Model - Calculation'!$B$2:$M$2,0))</f>
        <v>0.39252249244217852</v>
      </c>
      <c r="J278" s="9">
        <f>INDEX('Fuel Model - Calculation'!$B$2:$M$3771,(MATCH(($E278&amp;"ResultsAverage Primary EE of "&amp;$F278&amp;"%"),'Fuel Model - Calculation'!$B$2:$B$3771,0)),MATCH(J$141,'Fuel Model - Calculation'!$B$2:$M$2,0))</f>
        <v>0.40325754916416606</v>
      </c>
      <c r="K278" s="9">
        <f>INDEX('Fuel Model - Calculation'!$B$2:$M$3771,(MATCH(($E278&amp;"ResultsAverage Primary EE of "&amp;$F278&amp;"%"),'Fuel Model - Calculation'!$B$2:$B$3771,0)),MATCH(K$141,'Fuel Model - Calculation'!$B$2:$M$2,0))</f>
        <v>0.4219891773215062</v>
      </c>
      <c r="L278" s="9">
        <f>INDEX('Fuel Model - Calculation'!$B$2:$M$3771,(MATCH(($E278&amp;"ResultsAverage Primary EE of "&amp;$F278&amp;"%"),'Fuel Model - Calculation'!$B$2:$B$3771,0)),MATCH(L$141,'Fuel Model - Calculation'!$B$2:$M$2,0))</f>
        <v>0.44376869213751075</v>
      </c>
      <c r="M278" s="9">
        <f>INDEX('Fuel Model - Calculation'!$B$2:$M$3771,(MATCH(($E278&amp;"ResultsAverage Primary EE of "&amp;$F278&amp;"%"),'Fuel Model - Calculation'!$B$2:$B$3771,0)),MATCH(M$141,'Fuel Model - Calculation'!$B$2:$M$2,0))</f>
        <v>0.47098092400363362</v>
      </c>
      <c r="N278" s="9">
        <f>INDEX('Fuel Model - Calculation'!$B$2:$M$3771,(MATCH(($E278&amp;"ResultsAverage Primary EE of "&amp;$F278&amp;"%"),'Fuel Model - Calculation'!$B$2:$B$3771,0)),MATCH(N$141,'Fuel Model - Calculation'!$B$2:$M$2,0))</f>
        <v>0.49516401302724666</v>
      </c>
      <c r="O278"/>
      <c r="P278" s="118"/>
      <c r="Q278" s="118"/>
      <c r="R278" s="118"/>
      <c r="S278" s="118"/>
      <c r="T278" s="118"/>
      <c r="U278" s="118"/>
      <c r="V278" s="118"/>
      <c r="W278"/>
      <c r="X278" s="2"/>
      <c r="Y278" s="2"/>
      <c r="Z278" s="2"/>
      <c r="AA278" s="2"/>
      <c r="AB278" s="2"/>
      <c r="AC278" s="2"/>
      <c r="AD278" s="2"/>
      <c r="AE278" s="2"/>
      <c r="AF278" s="76"/>
      <c r="AG278" s="76"/>
      <c r="AH278" s="76"/>
      <c r="AI278" s="76"/>
      <c r="AJ278" s="76"/>
      <c r="AK278" s="76"/>
      <c r="AL278" s="76"/>
      <c r="AM278"/>
      <c r="AN278" s="24"/>
      <c r="AO278" s="24"/>
      <c r="AP278" s="24"/>
      <c r="AQ278" s="24"/>
      <c r="AR278" s="24"/>
      <c r="AS278" s="24"/>
      <c r="AT278" s="24"/>
      <c r="AU278"/>
      <c r="AV278" s="24"/>
      <c r="AW278" s="24"/>
      <c r="AX278" s="24"/>
      <c r="AY278" s="24"/>
      <c r="AZ278" s="24"/>
      <c r="BA278" s="24"/>
      <c r="BB278" s="24"/>
      <c r="BC278"/>
    </row>
    <row r="279" spans="1:55" x14ac:dyDescent="0.2">
      <c r="A279" s="452"/>
      <c r="B279" s="453" t="str">
        <f t="shared" si="233"/>
        <v>e-Methane (PS) - Global - Prim. energy efficiency - %</v>
      </c>
      <c r="D279" s="459" t="str">
        <f t="shared" si="234"/>
        <v>Globale-Methane (PS)</v>
      </c>
      <c r="E279" t="s">
        <v>109</v>
      </c>
      <c r="F279" s="29" t="s">
        <v>591</v>
      </c>
      <c r="G279" t="s">
        <v>178</v>
      </c>
      <c r="H279" s="9">
        <f>INDEX('Fuel Model - Calculation'!$B$2:$M$3771,(MATCH(($E279&amp;"ResultsAverage Primary EE of "&amp;$F279&amp;"%"),'Fuel Model - Calculation'!$B$2:$B$3771,0)),MATCH(H$141,'Fuel Model - Calculation'!$B$2:$M$2,0))</f>
        <v>0.4988372126301463</v>
      </c>
      <c r="I279" s="9">
        <f>INDEX('Fuel Model - Calculation'!$B$2:$M$3771,(MATCH(($E279&amp;"ResultsAverage Primary EE of "&amp;$F279&amp;"%"),'Fuel Model - Calculation'!$B$2:$B$3771,0)),MATCH(I$141,'Fuel Model - Calculation'!$B$2:$M$2,0))</f>
        <v>0.50136609042740987</v>
      </c>
      <c r="J279" s="9">
        <f>INDEX('Fuel Model - Calculation'!$B$2:$M$3771,(MATCH(($E279&amp;"ResultsAverage Primary EE of "&amp;$F279&amp;"%"),'Fuel Model - Calculation'!$B$2:$B$3771,0)),MATCH(J$141,'Fuel Model - Calculation'!$B$2:$M$2,0))</f>
        <v>0.50949579387287647</v>
      </c>
      <c r="K279" s="9">
        <f>INDEX('Fuel Model - Calculation'!$B$2:$M$3771,(MATCH(($E279&amp;"ResultsAverage Primary EE of "&amp;$F279&amp;"%"),'Fuel Model - Calculation'!$B$2:$B$3771,0)),MATCH(K$141,'Fuel Model - Calculation'!$B$2:$M$2,0))</f>
        <v>0.53013819465351619</v>
      </c>
      <c r="L279" s="9">
        <f>INDEX('Fuel Model - Calculation'!$B$2:$M$3771,(MATCH(($E279&amp;"ResultsAverage Primary EE of "&amp;$F279&amp;"%"),'Fuel Model - Calculation'!$B$2:$B$3771,0)),MATCH(L$141,'Fuel Model - Calculation'!$B$2:$M$2,0))</f>
        <v>0.55510549592942915</v>
      </c>
      <c r="M279" s="9">
        <f>INDEX('Fuel Model - Calculation'!$B$2:$M$3771,(MATCH(($E279&amp;"ResultsAverage Primary EE of "&amp;$F279&amp;"%"),'Fuel Model - Calculation'!$B$2:$B$3771,0)),MATCH(M$141,'Fuel Model - Calculation'!$B$2:$M$2,0))</f>
        <v>0.58800166002163434</v>
      </c>
      <c r="N279" s="9">
        <f>INDEX('Fuel Model - Calculation'!$B$2:$M$3771,(MATCH(($E279&amp;"ResultsAverage Primary EE of "&amp;$F279&amp;"%"),'Fuel Model - Calculation'!$B$2:$B$3771,0)),MATCH(N$141,'Fuel Model - Calculation'!$B$2:$M$2,0))</f>
        <v>0.61558164568843399</v>
      </c>
      <c r="O279"/>
      <c r="P279" s="118"/>
      <c r="Q279" s="118"/>
      <c r="R279" s="118"/>
      <c r="S279" s="118"/>
      <c r="T279" s="118"/>
      <c r="U279" s="118"/>
      <c r="V279" s="118"/>
      <c r="W279"/>
      <c r="X279" s="2"/>
      <c r="Y279" s="2"/>
      <c r="Z279" s="2"/>
      <c r="AA279" s="2"/>
      <c r="AB279" s="2"/>
      <c r="AC279" s="2"/>
      <c r="AD279" s="2"/>
      <c r="AE279" s="2"/>
      <c r="AF279" s="76"/>
      <c r="AG279" s="76"/>
      <c r="AH279" s="76"/>
      <c r="AI279" s="76"/>
      <c r="AJ279" s="76"/>
      <c r="AK279" s="76"/>
      <c r="AL279" s="76"/>
      <c r="AM279"/>
      <c r="AN279" s="24"/>
      <c r="AO279" s="24"/>
      <c r="AP279" s="24"/>
      <c r="AQ279" s="24"/>
      <c r="AR279" s="24"/>
      <c r="AS279" s="24"/>
      <c r="AT279" s="24"/>
      <c r="AU279"/>
      <c r="AV279" s="24"/>
      <c r="AW279" s="24"/>
      <c r="AX279" s="24"/>
      <c r="AY279" s="24"/>
      <c r="AZ279" s="24"/>
      <c r="BA279" s="24"/>
      <c r="BB279" s="24"/>
      <c r="BC279"/>
    </row>
    <row r="280" spans="1:55" x14ac:dyDescent="0.2">
      <c r="A280" s="452"/>
      <c r="B280" s="453" t="str">
        <f t="shared" si="233"/>
        <v>Blue ammonia - Global - Prim. energy efficiency - %</v>
      </c>
      <c r="D280" s="459" t="str">
        <f t="shared" si="234"/>
        <v>GlobalBlue ammonia</v>
      </c>
      <c r="E280" t="s">
        <v>109</v>
      </c>
      <c r="F280" s="29" t="s">
        <v>120</v>
      </c>
      <c r="G280" t="s">
        <v>178</v>
      </c>
      <c r="H280" s="117"/>
      <c r="I280" s="117"/>
      <c r="J280" s="117"/>
      <c r="K280" s="117"/>
      <c r="L280" s="117"/>
      <c r="M280" s="117"/>
      <c r="N280" s="117"/>
      <c r="O280"/>
      <c r="P280" s="118"/>
      <c r="Q280" s="118"/>
      <c r="R280" s="118"/>
      <c r="S280" s="118"/>
      <c r="T280" s="118"/>
      <c r="U280" s="118"/>
      <c r="V280" s="118"/>
      <c r="W280"/>
      <c r="X280" s="2"/>
      <c r="Y280" s="2"/>
      <c r="Z280" s="2"/>
      <c r="AA280" s="2"/>
      <c r="AB280" s="2"/>
      <c r="AC280" s="2"/>
      <c r="AD280" s="2"/>
      <c r="AE280" s="2"/>
      <c r="AF280" s="76"/>
      <c r="AG280" s="76"/>
      <c r="AH280" s="76"/>
      <c r="AI280" s="76"/>
      <c r="AJ280" s="76"/>
      <c r="AK280" s="76"/>
      <c r="AL280" s="76"/>
      <c r="AM280"/>
      <c r="AN280" s="24"/>
      <c r="AO280" s="24"/>
      <c r="AP280" s="24"/>
      <c r="AQ280" s="24"/>
      <c r="AR280" s="24"/>
      <c r="AS280" s="24"/>
      <c r="AT280" s="24"/>
      <c r="AU280"/>
      <c r="AV280" s="24"/>
      <c r="AW280" s="24"/>
      <c r="AX280" s="24"/>
      <c r="AY280" s="24"/>
      <c r="AZ280" s="24"/>
      <c r="BA280" s="24"/>
      <c r="BB280" s="24"/>
      <c r="BC280"/>
    </row>
    <row r="281" spans="1:55" x14ac:dyDescent="0.2">
      <c r="A281" s="452"/>
      <c r="B281" s="453" t="str">
        <f t="shared" si="233"/>
        <v>LSFO - Global - Prim. energy efficiency - %</v>
      </c>
      <c r="D281" s="459" t="str">
        <f t="shared" si="234"/>
        <v>GlobalLSFO</v>
      </c>
      <c r="E281" t="s">
        <v>109</v>
      </c>
      <c r="F281" t="s">
        <v>117</v>
      </c>
      <c r="G281" t="s">
        <v>178</v>
      </c>
      <c r="H281" s="117"/>
      <c r="I281" s="117"/>
      <c r="J281" s="117"/>
      <c r="K281" s="117"/>
      <c r="L281" s="117"/>
      <c r="M281" s="117"/>
      <c r="N281" s="117"/>
      <c r="O281"/>
      <c r="P281" s="118"/>
      <c r="Q281" s="118"/>
      <c r="R281" s="118"/>
      <c r="S281" s="118"/>
      <c r="T281" s="118"/>
      <c r="U281" s="118"/>
      <c r="V281" s="118"/>
      <c r="W281"/>
      <c r="X281" s="2"/>
      <c r="Y281" s="2"/>
      <c r="Z281" s="2"/>
      <c r="AA281" s="2"/>
      <c r="AB281" s="2"/>
      <c r="AC281" s="2"/>
      <c r="AD281" s="2"/>
      <c r="AE281" s="2"/>
      <c r="AF281" s="76"/>
      <c r="AG281" s="76"/>
      <c r="AH281" s="76"/>
      <c r="AI281" s="76"/>
      <c r="AJ281" s="76"/>
      <c r="AK281" s="76"/>
      <c r="AL281" s="76"/>
      <c r="AM281"/>
      <c r="AN281" s="24"/>
      <c r="AO281" s="24"/>
      <c r="AP281" s="24"/>
      <c r="AQ281" s="24"/>
      <c r="AR281" s="24"/>
      <c r="AS281" s="24"/>
      <c r="AT281" s="24"/>
      <c r="AU281"/>
      <c r="AV281" s="24"/>
      <c r="AW281" s="24"/>
      <c r="AX281" s="24"/>
      <c r="AY281" s="24"/>
      <c r="AZ281" s="24"/>
      <c r="BA281" s="24"/>
      <c r="BB281" s="24"/>
      <c r="BC281"/>
    </row>
    <row r="282" spans="1:55" x14ac:dyDescent="0.2">
      <c r="A282" s="452"/>
      <c r="B282" s="453" t="str">
        <f t="shared" si="233"/>
        <v>LNG - Global - Prim. energy efficiency - %</v>
      </c>
      <c r="D282" s="459" t="str">
        <f t="shared" si="234"/>
        <v>GlobalLNG</v>
      </c>
      <c r="E282" t="s">
        <v>109</v>
      </c>
      <c r="F282" t="s">
        <v>528</v>
      </c>
      <c r="G282" t="s">
        <v>178</v>
      </c>
      <c r="H282" s="117"/>
      <c r="I282" s="117"/>
      <c r="J282" s="117"/>
      <c r="K282" s="117"/>
      <c r="L282" s="117"/>
      <c r="M282" s="117"/>
      <c r="N282" s="117"/>
      <c r="O282"/>
      <c r="P282" s="118"/>
      <c r="Q282" s="118"/>
      <c r="R282" s="118"/>
      <c r="S282" s="118"/>
      <c r="T282" s="118"/>
      <c r="U282" s="118"/>
      <c r="V282" s="118"/>
      <c r="W282"/>
      <c r="X282" s="2"/>
      <c r="Y282" s="2"/>
      <c r="Z282" s="2"/>
      <c r="AA282" s="2"/>
      <c r="AB282" s="2"/>
      <c r="AC282" s="2"/>
      <c r="AD282" s="2"/>
      <c r="AE282" s="2"/>
      <c r="AF282" s="76"/>
      <c r="AG282" s="76"/>
      <c r="AH282" s="76"/>
      <c r="AI282" s="76"/>
      <c r="AJ282" s="76"/>
      <c r="AK282" s="76"/>
      <c r="AL282" s="76"/>
      <c r="AM282"/>
      <c r="AN282" s="24"/>
      <c r="AO282" s="24"/>
      <c r="AP282" s="24"/>
      <c r="AQ282" s="24"/>
      <c r="AR282" s="24"/>
      <c r="AS282" s="24"/>
      <c r="AT282" s="24"/>
      <c r="AU282"/>
      <c r="AV282" s="24"/>
      <c r="AW282" s="24"/>
      <c r="AX282" s="24"/>
      <c r="AY282" s="24"/>
      <c r="AZ282" s="24"/>
      <c r="BA282" s="24"/>
      <c r="BB282" s="24"/>
      <c r="BC282"/>
    </row>
    <row r="283" spans="1:55" x14ac:dyDescent="0.2">
      <c r="A283" s="452"/>
      <c r="B283" s="453" t="str">
        <f t="shared" si="233"/>
        <v>Blue hydrogen (liquid) - Global - Prim. energy efficiency - %</v>
      </c>
      <c r="D283" s="459" t="str">
        <f t="shared" si="234"/>
        <v>GlobalBlue hydrogen (liquid)</v>
      </c>
      <c r="E283" t="s">
        <v>109</v>
      </c>
      <c r="F283" s="29" t="s">
        <v>593</v>
      </c>
      <c r="G283" t="s">
        <v>178</v>
      </c>
      <c r="H283" s="117"/>
      <c r="I283" s="117"/>
      <c r="J283" s="117"/>
      <c r="K283" s="117"/>
      <c r="L283" s="117"/>
      <c r="M283" s="117"/>
      <c r="N283" s="117"/>
      <c r="O283"/>
      <c r="P283" s="118"/>
      <c r="Q283" s="118"/>
      <c r="R283" s="118"/>
      <c r="S283" s="118"/>
      <c r="T283" s="118"/>
      <c r="U283" s="118"/>
      <c r="V283" s="118"/>
      <c r="W283"/>
      <c r="X283" s="2"/>
      <c r="Y283" s="2"/>
      <c r="Z283" s="2"/>
      <c r="AA283" s="2"/>
      <c r="AB283" s="2"/>
      <c r="AC283" s="2"/>
      <c r="AD283" s="2"/>
      <c r="AE283" s="2"/>
      <c r="AF283" s="2"/>
      <c r="AG283" s="2"/>
      <c r="AH283" s="2"/>
      <c r="AI283" s="2"/>
      <c r="AJ283" s="2"/>
      <c r="AK283" s="2"/>
      <c r="AL283" s="2"/>
      <c r="AM283"/>
      <c r="AN283" s="24"/>
      <c r="AO283" s="24"/>
      <c r="AP283" s="24"/>
      <c r="AQ283" s="24"/>
      <c r="AR283" s="24"/>
      <c r="AS283" s="24"/>
      <c r="AT283" s="24"/>
      <c r="AU283"/>
      <c r="AV283" s="24"/>
      <c r="AW283" s="24"/>
      <c r="AX283" s="24"/>
      <c r="AY283" s="24"/>
      <c r="AZ283" s="24"/>
      <c r="BA283" s="24"/>
      <c r="BB283" s="24"/>
      <c r="BC283"/>
    </row>
    <row r="284" spans="1:55" x14ac:dyDescent="0.2">
      <c r="A284" s="452"/>
      <c r="B284" s="453" t="str">
        <f t="shared" si="233"/>
        <v>Blue hydrogen (compressed) - Global - Prim. energy efficiency - %</v>
      </c>
      <c r="D284" s="459" t="str">
        <f t="shared" si="234"/>
        <v>GlobalBlue hydrogen (compressed)</v>
      </c>
      <c r="E284" t="s">
        <v>109</v>
      </c>
      <c r="F284" s="29" t="s">
        <v>592</v>
      </c>
      <c r="G284" t="s">
        <v>178</v>
      </c>
      <c r="H284" s="117"/>
      <c r="I284" s="117"/>
      <c r="J284" s="117"/>
      <c r="K284" s="117"/>
      <c r="L284" s="117"/>
      <c r="M284" s="117"/>
      <c r="N284" s="117"/>
      <c r="O284"/>
      <c r="P284" s="118"/>
      <c r="Q284" s="118"/>
      <c r="R284" s="118"/>
      <c r="S284" s="118"/>
      <c r="T284" s="118"/>
      <c r="U284" s="118"/>
      <c r="V284" s="118"/>
      <c r="W284"/>
      <c r="X284" s="2"/>
      <c r="Y284" s="2"/>
      <c r="Z284" s="2"/>
      <c r="AA284" s="2"/>
      <c r="AB284" s="2"/>
      <c r="AC284" s="2"/>
      <c r="AD284" s="2"/>
      <c r="AE284" s="2"/>
      <c r="AF284" s="2"/>
      <c r="AG284" s="2"/>
      <c r="AH284" s="2"/>
      <c r="AI284" s="2"/>
      <c r="AJ284" s="2"/>
      <c r="AK284" s="2"/>
      <c r="AL284" s="2"/>
      <c r="AM284"/>
      <c r="AN284" s="24"/>
      <c r="AO284" s="24"/>
      <c r="AP284" s="24"/>
      <c r="AQ284" s="24"/>
      <c r="AR284" s="24"/>
      <c r="AS284" s="24"/>
      <c r="AT284" s="24"/>
      <c r="AU284"/>
      <c r="AV284" s="24"/>
      <c r="AW284" s="24"/>
      <c r="AX284" s="24"/>
      <c r="AY284" s="24"/>
      <c r="AZ284" s="24"/>
      <c r="BA284" s="24"/>
      <c r="BB284" s="24"/>
      <c r="BC284"/>
    </row>
    <row r="285" spans="1:55" x14ac:dyDescent="0.2">
      <c r="A285" s="452"/>
      <c r="B285" s="453" t="str">
        <f t="shared" si="233"/>
        <v>LPG - Global - Prim. energy efficiency - %</v>
      </c>
      <c r="D285" s="459" t="str">
        <f t="shared" si="234"/>
        <v>GlobalLPG</v>
      </c>
      <c r="E285" t="s">
        <v>109</v>
      </c>
      <c r="F285" t="s">
        <v>534</v>
      </c>
      <c r="G285" t="s">
        <v>178</v>
      </c>
      <c r="H285" s="117"/>
      <c r="I285" s="117"/>
      <c r="J285" s="117"/>
      <c r="K285" s="117"/>
      <c r="L285" s="117"/>
      <c r="M285" s="117"/>
      <c r="N285" s="117"/>
      <c r="O285"/>
      <c r="P285" s="118"/>
      <c r="Q285" s="118"/>
      <c r="R285" s="118"/>
      <c r="S285" s="118"/>
      <c r="T285" s="118"/>
      <c r="U285" s="118"/>
      <c r="V285" s="118"/>
      <c r="W285"/>
      <c r="X285" s="2"/>
      <c r="Y285" s="2"/>
      <c r="Z285" s="2"/>
      <c r="AA285" s="2"/>
      <c r="AB285" s="2"/>
      <c r="AC285" s="2"/>
      <c r="AD285" s="2"/>
      <c r="AE285" s="2"/>
      <c r="AF285" s="2"/>
      <c r="AG285" s="2"/>
      <c r="AH285" s="2"/>
      <c r="AI285" s="2"/>
      <c r="AJ285" s="2"/>
      <c r="AK285" s="2"/>
      <c r="AL285" s="2"/>
      <c r="AM285"/>
      <c r="AN285" s="24"/>
      <c r="AO285" s="24"/>
      <c r="AP285" s="24"/>
      <c r="AQ285" s="24"/>
      <c r="AR285" s="24"/>
      <c r="AS285" s="24"/>
      <c r="AT285" s="24"/>
      <c r="AU285"/>
      <c r="AV285" s="24"/>
      <c r="AW285" s="24"/>
      <c r="AX285" s="24"/>
      <c r="AY285" s="24"/>
      <c r="AZ285" s="24"/>
      <c r="BA285" s="24"/>
      <c r="BB285" s="24"/>
      <c r="BC285"/>
    </row>
    <row r="286" spans="1:55" x14ac:dyDescent="0.2">
      <c r="A286" s="452"/>
      <c r="B286" s="453" t="str">
        <f t="shared" si="233"/>
        <v>Biomethane - Global - Prim. energy efficiency - %</v>
      </c>
      <c r="D286" s="459" t="str">
        <f t="shared" si="234"/>
        <v>GlobalBiomethane</v>
      </c>
      <c r="E286" t="s">
        <v>109</v>
      </c>
      <c r="F286" t="s">
        <v>118</v>
      </c>
      <c r="G286" t="s">
        <v>178</v>
      </c>
      <c r="H286" s="117"/>
      <c r="I286" s="117"/>
      <c r="J286" s="117"/>
      <c r="K286" s="117"/>
      <c r="L286" s="117"/>
      <c r="M286" s="117"/>
      <c r="N286" s="117"/>
      <c r="O286"/>
      <c r="P286" s="118"/>
      <c r="Q286" s="118"/>
      <c r="R286" s="118"/>
      <c r="S286" s="118"/>
      <c r="T286" s="118"/>
      <c r="U286" s="118"/>
      <c r="V286" s="118"/>
      <c r="W286"/>
      <c r="X286" s="2"/>
      <c r="Y286" s="2"/>
      <c r="Z286" s="2"/>
      <c r="AA286" s="2"/>
      <c r="AB286" s="2"/>
      <c r="AC286" s="2"/>
      <c r="AD286" s="2"/>
      <c r="AE286" s="2"/>
      <c r="AF286" s="2"/>
      <c r="AG286" s="2"/>
      <c r="AH286" s="2"/>
      <c r="AI286" s="2"/>
      <c r="AJ286" s="2"/>
      <c r="AK286" s="2"/>
      <c r="AL286" s="2"/>
      <c r="AM286"/>
      <c r="AN286" s="24"/>
      <c r="AO286" s="24"/>
      <c r="AP286" s="24"/>
      <c r="AQ286" s="24"/>
      <c r="AR286" s="24"/>
      <c r="AS286" s="24"/>
      <c r="AT286" s="24"/>
      <c r="AU286"/>
      <c r="AV286" s="24"/>
      <c r="AW286" s="24"/>
      <c r="AX286" s="24"/>
      <c r="AY286" s="24"/>
      <c r="AZ286" s="24"/>
      <c r="BA286" s="24"/>
      <c r="BB286" s="24"/>
      <c r="BC286"/>
    </row>
    <row r="287" spans="1:55" x14ac:dyDescent="0.2">
      <c r="A287" s="452"/>
      <c r="B287" s="453" t="str">
        <f t="shared" si="233"/>
        <v>Biodiesel (HtL) - Global - Prim. energy efficiency - %</v>
      </c>
      <c r="D287" s="459" t="str">
        <f t="shared" si="234"/>
        <v>GlobalBiodiesel (HtL)</v>
      </c>
      <c r="E287" t="s">
        <v>109</v>
      </c>
      <c r="F287" s="29" t="s">
        <v>594</v>
      </c>
      <c r="G287" t="s">
        <v>178</v>
      </c>
      <c r="H287" s="117"/>
      <c r="I287" s="117"/>
      <c r="J287" s="117"/>
      <c r="K287" s="117"/>
      <c r="L287" s="117"/>
      <c r="M287" s="117"/>
      <c r="N287" s="117"/>
      <c r="O287"/>
      <c r="P287" s="118"/>
      <c r="Q287" s="118"/>
      <c r="R287" s="118"/>
      <c r="S287" s="118"/>
      <c r="T287" s="118"/>
      <c r="U287" s="118"/>
      <c r="V287" s="118"/>
      <c r="W287"/>
      <c r="X287" s="2"/>
      <c r="Y287" s="2"/>
      <c r="Z287" s="2"/>
      <c r="AA287" s="2"/>
      <c r="AB287" s="2"/>
      <c r="AC287" s="2"/>
      <c r="AD287" s="2"/>
      <c r="AE287" s="2"/>
      <c r="AF287" s="2"/>
      <c r="AG287" s="2"/>
      <c r="AH287" s="2"/>
      <c r="AI287" s="2"/>
      <c r="AJ287" s="2"/>
      <c r="AK287" s="2"/>
      <c r="AL287" s="2"/>
      <c r="AM287"/>
      <c r="AN287" s="24"/>
      <c r="AO287" s="24"/>
      <c r="AP287" s="24"/>
      <c r="AQ287" s="24"/>
      <c r="AR287" s="24"/>
      <c r="AS287" s="24"/>
      <c r="AT287" s="24"/>
      <c r="AU287"/>
      <c r="AV287" s="24"/>
      <c r="AW287" s="24"/>
      <c r="AX287" s="24"/>
      <c r="AY287" s="24"/>
      <c r="AZ287" s="24"/>
      <c r="BA287" s="24"/>
      <c r="BB287" s="24"/>
      <c r="BC287"/>
    </row>
    <row r="288" spans="1:55" x14ac:dyDescent="0.2">
      <c r="A288" s="452"/>
      <c r="B288" s="453" t="str">
        <f t="shared" si="233"/>
        <v>Biodiesel (Pyr) - Global - Prim. energy efficiency - %</v>
      </c>
      <c r="D288" s="459" t="str">
        <f t="shared" si="234"/>
        <v>GlobalBiodiesel (Pyr)</v>
      </c>
      <c r="E288" t="s">
        <v>109</v>
      </c>
      <c r="F288" s="29" t="s">
        <v>123</v>
      </c>
      <c r="G288" t="s">
        <v>178</v>
      </c>
      <c r="H288" s="117"/>
      <c r="I288" s="117"/>
      <c r="J288" s="117"/>
      <c r="K288" s="117"/>
      <c r="L288" s="117"/>
      <c r="M288" s="117"/>
      <c r="N288" s="117"/>
      <c r="O288"/>
      <c r="P288" s="118"/>
      <c r="Q288" s="118"/>
      <c r="R288" s="118"/>
      <c r="S288" s="118"/>
      <c r="T288" s="118"/>
      <c r="U288" s="118"/>
      <c r="V288" s="118"/>
      <c r="W288"/>
      <c r="X288" s="2"/>
      <c r="Y288" s="2"/>
      <c r="Z288" s="2"/>
      <c r="AA288" s="2"/>
      <c r="AB288" s="2"/>
      <c r="AC288" s="2"/>
      <c r="AD288" s="2"/>
      <c r="AE288" s="2"/>
      <c r="AF288" s="2"/>
      <c r="AG288" s="2"/>
      <c r="AH288" s="2"/>
      <c r="AI288" s="2"/>
      <c r="AJ288" s="2"/>
      <c r="AK288" s="2"/>
      <c r="AL288" s="2"/>
      <c r="AM288"/>
      <c r="AN288" s="24"/>
      <c r="AO288" s="24"/>
      <c r="AP288" s="24"/>
      <c r="AQ288" s="24"/>
      <c r="AR288" s="24"/>
      <c r="AS288" s="24"/>
      <c r="AT288" s="24"/>
      <c r="AU288"/>
      <c r="AV288" s="24"/>
      <c r="AW288" s="24"/>
      <c r="AX288" s="24"/>
      <c r="AY288" s="24"/>
      <c r="AZ288" s="24"/>
      <c r="BA288" s="24"/>
      <c r="BB288" s="24"/>
      <c r="BC288"/>
    </row>
    <row r="289" spans="1:55" x14ac:dyDescent="0.2">
      <c r="A289" s="452"/>
      <c r="B289" s="453" t="str">
        <f t="shared" si="233"/>
        <v>Biomethanol - Global - Prim. energy efficiency - %</v>
      </c>
      <c r="D289" s="459" t="str">
        <f t="shared" si="234"/>
        <v>GlobalBiomethanol</v>
      </c>
      <c r="E289" t="s">
        <v>109</v>
      </c>
      <c r="F289" t="s">
        <v>586</v>
      </c>
      <c r="G289" t="s">
        <v>178</v>
      </c>
      <c r="H289" s="9">
        <f>INDEX('Fuel Model - Calculation'!$B$2:$M$3771,(MATCH(($E289&amp;"ResultsAverage Primary EE of "&amp;$F289&amp;"%"),'Fuel Model - Calculation'!$B$2:$B$3771,0)),MATCH(H$141,'Fuel Model - Calculation'!$B$2:$M$2,0))</f>
        <v>0.38249254485049838</v>
      </c>
      <c r="I289" s="9">
        <f>INDEX('Fuel Model - Calculation'!$B$2:$M$3771,(MATCH(($E289&amp;"ResultsAverage Primary EE of "&amp;$F289&amp;"%"),'Fuel Model - Calculation'!$B$2:$B$3771,0)),MATCH(I$141,'Fuel Model - Calculation'!$B$2:$M$2,0))</f>
        <v>0.38249254485049838</v>
      </c>
      <c r="J289" s="9">
        <f>INDEX('Fuel Model - Calculation'!$B$2:$M$3771,(MATCH(($E289&amp;"ResultsAverage Primary EE of "&amp;$F289&amp;"%"),'Fuel Model - Calculation'!$B$2:$B$3771,0)),MATCH(J$141,'Fuel Model - Calculation'!$B$2:$M$2,0))</f>
        <v>0.38249254485049838</v>
      </c>
      <c r="K289" s="9">
        <f>INDEX('Fuel Model - Calculation'!$B$2:$M$3771,(MATCH(($E289&amp;"ResultsAverage Primary EE of "&amp;$F289&amp;"%"),'Fuel Model - Calculation'!$B$2:$B$3771,0)),MATCH(K$141,'Fuel Model - Calculation'!$B$2:$M$2,0))</f>
        <v>0.38249254485049838</v>
      </c>
      <c r="L289" s="9">
        <f>INDEX('Fuel Model - Calculation'!$B$2:$M$3771,(MATCH(($E289&amp;"ResultsAverage Primary EE of "&amp;$F289&amp;"%"),'Fuel Model - Calculation'!$B$2:$B$3771,0)),MATCH(L$141,'Fuel Model - Calculation'!$B$2:$M$2,0))</f>
        <v>0.38249254485049838</v>
      </c>
      <c r="M289" s="9">
        <f>INDEX('Fuel Model - Calculation'!$B$2:$M$3771,(MATCH(($E289&amp;"ResultsAverage Primary EE of "&amp;$F289&amp;"%"),'Fuel Model - Calculation'!$B$2:$B$3771,0)),MATCH(M$141,'Fuel Model - Calculation'!$B$2:$M$2,0))</f>
        <v>0.38249254485049838</v>
      </c>
      <c r="N289" s="9">
        <f>INDEX('Fuel Model - Calculation'!$B$2:$M$3771,(MATCH(($E289&amp;"ResultsAverage Primary EE of "&amp;$F289&amp;"%"),'Fuel Model - Calculation'!$B$2:$B$3771,0)),MATCH(N$141,'Fuel Model - Calculation'!$B$2:$M$2,0))</f>
        <v>0.38249254485049838</v>
      </c>
      <c r="O289"/>
      <c r="P289" s="118"/>
      <c r="Q289" s="118"/>
      <c r="R289" s="118"/>
      <c r="S289" s="118"/>
      <c r="T289" s="118"/>
      <c r="U289" s="118"/>
      <c r="V289" s="118"/>
      <c r="W289"/>
      <c r="X289" s="2"/>
      <c r="Y289" s="2"/>
      <c r="Z289" s="2"/>
      <c r="AA289" s="2"/>
      <c r="AB289" s="2"/>
      <c r="AC289" s="2"/>
      <c r="AD289" s="2"/>
      <c r="AE289" s="2"/>
      <c r="AF289" s="2"/>
      <c r="AG289" s="2"/>
      <c r="AH289" s="2"/>
      <c r="AI289" s="2"/>
      <c r="AJ289" s="2"/>
      <c r="AK289" s="2"/>
      <c r="AL289" s="2"/>
      <c r="AM289"/>
      <c r="AN289" s="24"/>
      <c r="AO289" s="24"/>
      <c r="AP289" s="24"/>
      <c r="AQ289" s="24"/>
      <c r="AR289" s="24"/>
      <c r="AS289" s="24"/>
      <c r="AT289" s="24"/>
      <c r="AU289"/>
      <c r="AV289" s="24"/>
      <c r="AW289" s="24"/>
      <c r="AX289" s="24"/>
      <c r="AY289" s="24"/>
      <c r="AZ289" s="24"/>
      <c r="BA289" s="24"/>
      <c r="BB289" s="24"/>
      <c r="BC289"/>
    </row>
    <row r="290" spans="1:55" x14ac:dyDescent="0.2">
      <c r="A290" s="452"/>
      <c r="B290" s="453" t="str">
        <f t="shared" si="233"/>
        <v>Biodiesel (HtL blend) - Global - Prim. energy efficiency - %</v>
      </c>
      <c r="D290" s="459" t="str">
        <f t="shared" ref="D290" si="235">+E290&amp;F290</f>
        <v>GlobalBiodiesel (HtL blend)</v>
      </c>
      <c r="E290" t="s">
        <v>109</v>
      </c>
      <c r="F290" s="29" t="s">
        <v>595</v>
      </c>
      <c r="G290" t="s">
        <v>178</v>
      </c>
      <c r="H290" s="117"/>
      <c r="I290" s="117"/>
      <c r="J290" s="117"/>
      <c r="K290" s="117"/>
      <c r="L290" s="117"/>
      <c r="M290" s="117"/>
      <c r="N290" s="117"/>
      <c r="O290"/>
      <c r="P290" s="118"/>
      <c r="Q290" s="118"/>
      <c r="R290" s="118"/>
      <c r="S290" s="118"/>
      <c r="T290" s="118"/>
      <c r="U290" s="118"/>
      <c r="V290" s="118"/>
      <c r="W290"/>
      <c r="X290" s="2"/>
      <c r="Y290" s="2"/>
      <c r="Z290" s="2"/>
      <c r="AA290" s="2"/>
      <c r="AB290" s="2"/>
      <c r="AC290" s="2"/>
      <c r="AD290" s="2"/>
      <c r="AE290" s="2"/>
      <c r="AF290" s="2"/>
      <c r="AG290" s="2"/>
      <c r="AH290" s="2"/>
      <c r="AI290" s="2"/>
      <c r="AJ290" s="2"/>
      <c r="AK290" s="2"/>
      <c r="AL290" s="2"/>
      <c r="AM290"/>
      <c r="AN290" s="24"/>
      <c r="AO290" s="24"/>
      <c r="AP290" s="24"/>
      <c r="AQ290" s="24"/>
      <c r="AR290" s="24"/>
      <c r="AS290" s="24"/>
      <c r="AT290" s="24"/>
      <c r="AU290"/>
      <c r="AV290" s="24"/>
      <c r="AW290" s="24"/>
      <c r="AX290" s="24"/>
      <c r="AY290" s="24"/>
      <c r="AZ290" s="24"/>
      <c r="BA290" s="24"/>
      <c r="BB290" s="24"/>
      <c r="BC290"/>
    </row>
    <row r="291" spans="1:55" x14ac:dyDescent="0.2">
      <c r="A291" s="452"/>
      <c r="B291" s="453" t="str">
        <f t="shared" si="233"/>
        <v>Biodiesel (Pyr blend) - Global - Prim. energy efficiency - %</v>
      </c>
      <c r="D291" s="459" t="str">
        <f t="shared" ref="D291" si="236">+E291&amp;F291</f>
        <v>GlobalBiodiesel (Pyr blend)</v>
      </c>
      <c r="E291" t="s">
        <v>109</v>
      </c>
      <c r="F291" s="29" t="s">
        <v>596</v>
      </c>
      <c r="G291" t="s">
        <v>178</v>
      </c>
      <c r="H291" s="117"/>
      <c r="I291" s="117"/>
      <c r="J291" s="117"/>
      <c r="K291" s="117"/>
      <c r="L291" s="117"/>
      <c r="M291" s="117"/>
      <c r="N291" s="117"/>
      <c r="O291"/>
      <c r="P291" s="118"/>
      <c r="Q291" s="118"/>
      <c r="R291" s="118"/>
      <c r="S291" s="118"/>
      <c r="T291" s="118"/>
      <c r="U291" s="118"/>
      <c r="V291" s="118"/>
      <c r="W291"/>
      <c r="X291" s="2"/>
      <c r="Y291" s="2"/>
      <c r="Z291" s="2"/>
      <c r="AA291" s="2"/>
      <c r="AB291" s="2"/>
      <c r="AC291" s="2"/>
      <c r="AD291" s="2"/>
      <c r="AE291" s="2"/>
      <c r="AF291" s="2"/>
      <c r="AG291" s="2"/>
      <c r="AH291" s="2"/>
      <c r="AI291" s="2"/>
      <c r="AJ291" s="2"/>
      <c r="AK291" s="2"/>
      <c r="AL291" s="2"/>
      <c r="AM291"/>
      <c r="AN291" s="24"/>
      <c r="AO291" s="24"/>
      <c r="AP291" s="24"/>
      <c r="AQ291" s="24"/>
      <c r="AR291" s="24"/>
      <c r="AS291" s="24"/>
      <c r="AT291" s="24"/>
      <c r="AU291"/>
      <c r="AV291" s="24"/>
      <c r="AW291" s="24"/>
      <c r="AX291" s="24"/>
      <c r="AY291" s="24"/>
      <c r="AZ291" s="24"/>
      <c r="BA291" s="24"/>
      <c r="BB291" s="24"/>
      <c r="BC291"/>
    </row>
    <row r="292" spans="1:55" x14ac:dyDescent="0.2">
      <c r="D292" s="74"/>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sheetData>
  <conditionalFormatting sqref="V1:Z1">
    <cfRule type="colorScale" priority="603">
      <colorScale>
        <cfvo type="min"/>
        <cfvo type="percentile" val="50"/>
        <cfvo type="max"/>
        <color rgb="FFF8696B"/>
        <color rgb="FFFFEB84"/>
        <color rgb="FF63BE7B"/>
      </colorScale>
    </cfRule>
  </conditionalFormatting>
  <pageMargins left="0.7" right="0.7" top="0.75" bottom="0.75" header="0.3" footer="0.3"/>
  <pageSetup paperSize="9" orientation="portrait" r:id="rId1"/>
  <headerFooter>
    <oddFooter>&amp;C_x000D_&amp;1#&amp;"Calibri"&amp;10&amp;K000000 Business External</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049B5-ECC3-4C30-9CE4-42AA8CF3BAEA}">
  <sheetPr codeName="Sheet36">
    <tabColor theme="2"/>
    <outlinePr summaryBelow="0" summaryRight="0"/>
  </sheetPr>
  <dimension ref="A1:AC3567"/>
  <sheetViews>
    <sheetView showGridLines="0" workbookViewId="0"/>
  </sheetViews>
  <sheetFormatPr defaultColWidth="8" defaultRowHeight="14.25" outlineLevelRow="3" outlineLevelCol="1" x14ac:dyDescent="0.2"/>
  <cols>
    <col min="1" max="1" width="1.42578125" customWidth="1" collapsed="1"/>
    <col min="2" max="2" width="55.85546875" hidden="1" customWidth="1" outlineLevel="1"/>
    <col min="3" max="3" width="11.5703125" customWidth="1"/>
    <col min="4" max="4" width="22" customWidth="1"/>
    <col min="5" max="5" width="44.42578125" customWidth="1"/>
    <col min="6" max="6" width="24" style="450" customWidth="1"/>
    <col min="7" max="7" width="11.7109375" customWidth="1"/>
    <col min="8" max="8" width="11.5703125" customWidth="1"/>
    <col min="9" max="13" width="10.42578125" customWidth="1"/>
    <col min="14" max="14" width="3" customWidth="1"/>
  </cols>
  <sheetData>
    <row r="1" spans="2:29" ht="4.7" customHeight="1" x14ac:dyDescent="0.2"/>
    <row r="2" spans="2:29" s="30" customFormat="1" ht="15" x14ac:dyDescent="0.25">
      <c r="F2" s="450"/>
      <c r="G2" s="462">
        <v>2020</v>
      </c>
      <c r="H2" s="462">
        <v>2025</v>
      </c>
      <c r="I2" s="462">
        <v>2030</v>
      </c>
      <c r="J2" s="462">
        <v>2035</v>
      </c>
      <c r="K2" s="462">
        <v>2040</v>
      </c>
      <c r="L2" s="462">
        <v>2045</v>
      </c>
      <c r="M2" s="462">
        <v>2050</v>
      </c>
    </row>
    <row r="3" spans="2:29" s="30" customFormat="1" ht="15.75" thickBot="1" x14ac:dyDescent="0.3">
      <c r="F3" s="450"/>
    </row>
    <row r="4" spans="2:29" s="466" customFormat="1" ht="15.75" collapsed="1" thickBot="1" x14ac:dyDescent="0.3">
      <c r="B4" s="463" t="s">
        <v>585</v>
      </c>
      <c r="C4" s="464" t="str">
        <f>+B4</f>
        <v>e-Hydrogen (liquid)</v>
      </c>
      <c r="D4" s="465"/>
      <c r="E4" s="465"/>
      <c r="F4" s="465"/>
      <c r="G4" s="738">
        <v>2020</v>
      </c>
      <c r="H4" s="738">
        <v>2025</v>
      </c>
      <c r="I4" s="738">
        <v>2030</v>
      </c>
      <c r="J4" s="738">
        <v>2035</v>
      </c>
      <c r="K4" s="738">
        <v>2040</v>
      </c>
      <c r="L4" s="738">
        <v>2045</v>
      </c>
      <c r="M4" s="739">
        <v>2050</v>
      </c>
    </row>
    <row r="5" spans="2:29" s="466" customFormat="1" ht="15" hidden="1" outlineLevel="1" collapsed="1" x14ac:dyDescent="0.25">
      <c r="B5" s="30" t="s">
        <v>837</v>
      </c>
      <c r="C5" s="30" t="str">
        <f>+B5</f>
        <v>Liqiud H2</v>
      </c>
      <c r="D5"/>
      <c r="E5"/>
      <c r="F5" s="450"/>
      <c r="G5" s="8"/>
      <c r="H5" s="8"/>
      <c r="I5" s="8"/>
      <c r="J5" s="8"/>
      <c r="K5" s="8"/>
      <c r="L5" s="8"/>
      <c r="M5" s="8"/>
    </row>
    <row r="6" spans="2:29" hidden="1" outlineLevel="2" x14ac:dyDescent="0.2">
      <c r="B6" t="str">
        <f>+C6&amp;D6&amp;E6&amp;F6</f>
        <v>EuropeResultsCost of e-Hydrogen (liquid)USD/ton</v>
      </c>
      <c r="C6" t="str">
        <f>+C12</f>
        <v>Europe</v>
      </c>
      <c r="D6" t="s">
        <v>838</v>
      </c>
      <c r="E6" t="s">
        <v>839</v>
      </c>
      <c r="F6" s="450" t="s">
        <v>205</v>
      </c>
      <c r="G6" s="8">
        <f>G76+G144</f>
        <v>6354.2036845687862</v>
      </c>
      <c r="H6" s="8">
        <f t="shared" ref="G6:M10" si="0">H76+H144</f>
        <v>5385.7264904860403</v>
      </c>
      <c r="I6" s="8">
        <f t="shared" si="0"/>
        <v>4595.0749333228287</v>
      </c>
      <c r="J6" s="8">
        <f t="shared" si="0"/>
        <v>4290.1736026644066</v>
      </c>
      <c r="K6" s="8">
        <f t="shared" si="0"/>
        <v>3909.8681854032302</v>
      </c>
      <c r="L6" s="8">
        <f t="shared" si="0"/>
        <v>3424.3139948824114</v>
      </c>
      <c r="M6" s="8">
        <f t="shared" si="0"/>
        <v>2975.1806675892203</v>
      </c>
      <c r="O6" s="18"/>
      <c r="P6" s="18"/>
      <c r="Q6" s="18"/>
      <c r="R6" s="18"/>
      <c r="S6" s="18"/>
      <c r="T6" s="18"/>
      <c r="U6" s="18"/>
      <c r="W6" s="18"/>
      <c r="X6" s="18"/>
      <c r="Y6" s="18"/>
      <c r="Z6" s="18"/>
      <c r="AA6" s="18"/>
      <c r="AB6" s="18"/>
      <c r="AC6" s="18"/>
    </row>
    <row r="7" spans="2:29" hidden="1" outlineLevel="2" x14ac:dyDescent="0.2">
      <c r="B7" t="str">
        <f>+C7&amp;D7&amp;E7&amp;F7</f>
        <v>Middle EastResultsCost of e-Hydrogen (liquid)USD/ton</v>
      </c>
      <c r="C7" t="str">
        <f>+C13</f>
        <v>Middle East</v>
      </c>
      <c r="D7" t="s">
        <v>838</v>
      </c>
      <c r="E7" t="s">
        <v>839</v>
      </c>
      <c r="F7" s="450" t="s">
        <v>205</v>
      </c>
      <c r="G7" s="8">
        <f t="shared" si="0"/>
        <v>5553.0559115698779</v>
      </c>
      <c r="H7" s="8">
        <f t="shared" si="0"/>
        <v>4729.4680632441386</v>
      </c>
      <c r="I7" s="8">
        <f t="shared" si="0"/>
        <v>4133.6170396876259</v>
      </c>
      <c r="J7" s="8">
        <f t="shared" si="0"/>
        <v>3823.7975254609964</v>
      </c>
      <c r="K7" s="8">
        <f t="shared" si="0"/>
        <v>3471.406648640741</v>
      </c>
      <c r="L7" s="8">
        <f t="shared" si="0"/>
        <v>2993.8247319772022</v>
      </c>
      <c r="M7" s="8">
        <f t="shared" si="0"/>
        <v>2587.4774557761425</v>
      </c>
      <c r="O7" s="18"/>
      <c r="P7" s="18"/>
      <c r="Q7" s="18"/>
      <c r="R7" s="18"/>
      <c r="S7" s="18"/>
      <c r="T7" s="18"/>
      <c r="U7" s="18"/>
      <c r="W7" s="18"/>
      <c r="X7" s="18"/>
      <c r="Y7" s="18"/>
      <c r="Z7" s="18"/>
      <c r="AA7" s="18"/>
      <c r="AB7" s="18"/>
      <c r="AC7" s="18"/>
    </row>
    <row r="8" spans="2:29" hidden="1" outlineLevel="2" x14ac:dyDescent="0.2">
      <c r="B8" t="str">
        <f>+C8&amp;D8&amp;E8&amp;F8</f>
        <v>AsiaResultsCost of e-Hydrogen (liquid)USD/ton</v>
      </c>
      <c r="C8" t="str">
        <f>+C14</f>
        <v>Asia</v>
      </c>
      <c r="D8" t="s">
        <v>838</v>
      </c>
      <c r="E8" t="s">
        <v>839</v>
      </c>
      <c r="F8" s="450" t="s">
        <v>205</v>
      </c>
      <c r="G8" s="8">
        <f t="shared" si="0"/>
        <v>8090.1431485649036</v>
      </c>
      <c r="H8" s="8">
        <f t="shared" si="0"/>
        <v>5974.3121351694581</v>
      </c>
      <c r="I8" s="8">
        <f t="shared" si="0"/>
        <v>5063.9032935328141</v>
      </c>
      <c r="J8" s="8">
        <f t="shared" si="0"/>
        <v>4535.996937572686</v>
      </c>
      <c r="K8" s="8">
        <f t="shared" si="0"/>
        <v>4062.2996260224309</v>
      </c>
      <c r="L8" s="8">
        <f t="shared" si="0"/>
        <v>3488.0152328092095</v>
      </c>
      <c r="M8" s="8">
        <f t="shared" si="0"/>
        <v>3032.5449887409704</v>
      </c>
      <c r="O8" s="18"/>
      <c r="P8" s="18"/>
      <c r="Q8" s="18"/>
      <c r="R8" s="18"/>
      <c r="S8" s="18"/>
      <c r="T8" s="18"/>
      <c r="U8" s="18"/>
      <c r="W8" s="18"/>
      <c r="X8" s="18"/>
      <c r="Y8" s="18"/>
      <c r="Z8" s="18"/>
      <c r="AA8" s="18"/>
      <c r="AB8" s="18"/>
      <c r="AC8" s="18"/>
    </row>
    <row r="9" spans="2:29" hidden="1" outlineLevel="2" x14ac:dyDescent="0.2">
      <c r="B9" t="str">
        <f>+C9&amp;D9&amp;E9&amp;F9</f>
        <v>AmericasResultsCost of e-Hydrogen (liquid)USD/ton</v>
      </c>
      <c r="C9" t="str">
        <f>+C15</f>
        <v>Americas</v>
      </c>
      <c r="D9" t="s">
        <v>838</v>
      </c>
      <c r="E9" t="s">
        <v>839</v>
      </c>
      <c r="F9" s="450" t="s">
        <v>205</v>
      </c>
      <c r="G9" s="8">
        <f t="shared" si="0"/>
        <v>5366.3004137475109</v>
      </c>
      <c r="H9" s="8">
        <f t="shared" si="0"/>
        <v>4818.5180546101637</v>
      </c>
      <c r="I9" s="8">
        <f t="shared" si="0"/>
        <v>4158.5928464733624</v>
      </c>
      <c r="J9" s="8">
        <f t="shared" si="0"/>
        <v>3891.6383499345402</v>
      </c>
      <c r="K9" s="8">
        <f t="shared" si="0"/>
        <v>3502.2591105357869</v>
      </c>
      <c r="L9" s="8">
        <f t="shared" si="0"/>
        <v>3105.4549200245101</v>
      </c>
      <c r="M9" s="8">
        <f t="shared" si="0"/>
        <v>2715.9202657590577</v>
      </c>
      <c r="O9" s="18"/>
      <c r="P9" s="18"/>
      <c r="Q9" s="18"/>
      <c r="R9" s="18"/>
      <c r="S9" s="18"/>
      <c r="T9" s="18"/>
      <c r="U9" s="18"/>
      <c r="W9" s="18"/>
      <c r="X9" s="18"/>
      <c r="Y9" s="18"/>
      <c r="Z9" s="18"/>
      <c r="AA9" s="18"/>
      <c r="AB9" s="18"/>
      <c r="AC9" s="18"/>
    </row>
    <row r="10" spans="2:29" hidden="1" outlineLevel="2" x14ac:dyDescent="0.2">
      <c r="B10" t="str">
        <f>+C10&amp;D10&amp;E10&amp;F10</f>
        <v>AfricaResultsCost of e-Hydrogen (liquid)USD/ton</v>
      </c>
      <c r="C10" t="str">
        <f>+C16</f>
        <v>Africa</v>
      </c>
      <c r="D10" t="s">
        <v>838</v>
      </c>
      <c r="E10" t="s">
        <v>839</v>
      </c>
      <c r="F10" s="450" t="s">
        <v>205</v>
      </c>
      <c r="G10" s="8">
        <f t="shared" si="0"/>
        <v>7894.0588976861527</v>
      </c>
      <c r="H10" s="8">
        <f t="shared" si="0"/>
        <v>5417.1147537077486</v>
      </c>
      <c r="I10" s="8">
        <f t="shared" si="0"/>
        <v>4555.2402325822304</v>
      </c>
      <c r="J10" s="8">
        <f t="shared" si="0"/>
        <v>4140.739087491188</v>
      </c>
      <c r="K10" s="8">
        <f t="shared" si="0"/>
        <v>3741.5687396064941</v>
      </c>
      <c r="L10" s="8">
        <f t="shared" si="0"/>
        <v>3245.7141271355858</v>
      </c>
      <c r="M10" s="8">
        <f t="shared" si="0"/>
        <v>2823.4512021695173</v>
      </c>
      <c r="O10" s="18"/>
      <c r="P10" s="18"/>
      <c r="Q10" s="18"/>
      <c r="R10" s="18"/>
      <c r="S10" s="18"/>
      <c r="T10" s="18"/>
      <c r="U10" s="18"/>
      <c r="W10" s="18"/>
      <c r="X10" s="18"/>
      <c r="Y10" s="18"/>
      <c r="Z10" s="18"/>
      <c r="AA10" s="18"/>
      <c r="AB10" s="18"/>
      <c r="AC10" s="18"/>
    </row>
    <row r="11" spans="2:29" hidden="1" outlineLevel="2" x14ac:dyDescent="0.2"/>
    <row r="12" spans="2:29" hidden="1" outlineLevel="2" x14ac:dyDescent="0.2">
      <c r="B12" t="str">
        <f>+C12&amp;D12&amp;E12&amp;F12</f>
        <v>EuropeResultsTotal RNE e-Hydrogen (liquid)USD/ton</v>
      </c>
      <c r="C12" t="s">
        <v>195</v>
      </c>
      <c r="D12" t="s">
        <v>838</v>
      </c>
      <c r="E12" t="s">
        <v>840</v>
      </c>
      <c r="F12" s="450" t="s">
        <v>205</v>
      </c>
      <c r="G12" s="8">
        <f t="shared" ref="G12:M16" si="1">G82+G144-SUM(G$176:G$177)</f>
        <v>3450.7799473175901</v>
      </c>
      <c r="H12" s="8">
        <f t="shared" si="1"/>
        <v>2781.0153878308747</v>
      </c>
      <c r="I12" s="8">
        <f t="shared" si="1"/>
        <v>2225.4601866992521</v>
      </c>
      <c r="J12" s="8">
        <f t="shared" si="1"/>
        <v>1946.3557158598642</v>
      </c>
      <c r="K12" s="8">
        <f t="shared" si="1"/>
        <v>1751.3725716721519</v>
      </c>
      <c r="L12" s="8">
        <f t="shared" si="1"/>
        <v>1536.6427139484504</v>
      </c>
      <c r="M12" s="8">
        <f t="shared" si="1"/>
        <v>1383.8986618391777</v>
      </c>
    </row>
    <row r="13" spans="2:29" hidden="1" outlineLevel="2" x14ac:dyDescent="0.2">
      <c r="B13" t="str">
        <f>+C13&amp;D13&amp;E13&amp;F13</f>
        <v>Middle EastResultsTotal RNE e-Hydrogen (liquid)USD/ton</v>
      </c>
      <c r="C13" t="s">
        <v>197</v>
      </c>
      <c r="D13" t="s">
        <v>838</v>
      </c>
      <c r="E13" t="s">
        <v>840</v>
      </c>
      <c r="F13" s="450" t="s">
        <v>205</v>
      </c>
      <c r="G13" s="8">
        <f t="shared" si="1"/>
        <v>2649.6321743186818</v>
      </c>
      <c r="H13" s="8">
        <f t="shared" si="1"/>
        <v>2124.7569605889717</v>
      </c>
      <c r="I13" s="8">
        <f t="shared" si="1"/>
        <v>1764.0022930640494</v>
      </c>
      <c r="J13" s="8">
        <f t="shared" si="1"/>
        <v>1479.979638656454</v>
      </c>
      <c r="K13" s="8">
        <f t="shared" si="1"/>
        <v>1312.9110349096627</v>
      </c>
      <c r="L13" s="8">
        <f t="shared" si="1"/>
        <v>1106.1534510432411</v>
      </c>
      <c r="M13" s="8">
        <f t="shared" si="1"/>
        <v>996.19545002609993</v>
      </c>
    </row>
    <row r="14" spans="2:29" hidden="1" outlineLevel="2" x14ac:dyDescent="0.2">
      <c r="B14" t="str">
        <f>+C14&amp;D14&amp;E14&amp;F14</f>
        <v>AsiaResultsTotal RNE e-Hydrogen (liquid)USD/ton</v>
      </c>
      <c r="C14" t="s">
        <v>198</v>
      </c>
      <c r="D14" t="s">
        <v>838</v>
      </c>
      <c r="E14" t="s">
        <v>840</v>
      </c>
      <c r="F14" s="450" t="s">
        <v>205</v>
      </c>
      <c r="G14" s="8">
        <f t="shared" si="1"/>
        <v>5186.7194113137075</v>
      </c>
      <c r="H14" s="8">
        <f t="shared" si="1"/>
        <v>3369.6010325142906</v>
      </c>
      <c r="I14" s="8">
        <f t="shared" si="1"/>
        <v>2694.2885469092366</v>
      </c>
      <c r="J14" s="8">
        <f t="shared" si="1"/>
        <v>2192.179050768143</v>
      </c>
      <c r="K14" s="8">
        <f t="shared" si="1"/>
        <v>1903.8040122913526</v>
      </c>
      <c r="L14" s="8">
        <f t="shared" si="1"/>
        <v>1600.3439518752484</v>
      </c>
      <c r="M14" s="8">
        <f t="shared" si="1"/>
        <v>1441.2629829909279</v>
      </c>
    </row>
    <row r="15" spans="2:29" hidden="1" outlineLevel="2" x14ac:dyDescent="0.2">
      <c r="B15" t="str">
        <f>+C15&amp;D15&amp;E15&amp;F15</f>
        <v>AmericasResultsTotal RNE e-Hydrogen (liquid)USD/ton</v>
      </c>
      <c r="C15" t="s">
        <v>199</v>
      </c>
      <c r="D15" t="s">
        <v>838</v>
      </c>
      <c r="E15" t="s">
        <v>840</v>
      </c>
      <c r="F15" s="450" t="s">
        <v>205</v>
      </c>
      <c r="G15" s="8">
        <f t="shared" si="1"/>
        <v>2462.8766764963152</v>
      </c>
      <c r="H15" s="8">
        <f t="shared" si="1"/>
        <v>2213.8069519549967</v>
      </c>
      <c r="I15" s="8">
        <f t="shared" si="1"/>
        <v>1788.9780998497854</v>
      </c>
      <c r="J15" s="8">
        <f t="shared" si="1"/>
        <v>1547.8204631299977</v>
      </c>
      <c r="K15" s="8">
        <f t="shared" si="1"/>
        <v>1343.7634968047091</v>
      </c>
      <c r="L15" s="8">
        <f t="shared" si="1"/>
        <v>1217.7836390905495</v>
      </c>
      <c r="M15" s="8">
        <f t="shared" si="1"/>
        <v>1124.6382600090155</v>
      </c>
    </row>
    <row r="16" spans="2:29" hidden="1" outlineLevel="2" x14ac:dyDescent="0.2">
      <c r="B16" t="str">
        <f>+C16&amp;D16&amp;E16&amp;F16</f>
        <v>AfricaResultsTotal RNE e-Hydrogen (liquid)USD/ton</v>
      </c>
      <c r="C16" t="s">
        <v>200</v>
      </c>
      <c r="D16" t="s">
        <v>838</v>
      </c>
      <c r="E16" t="s">
        <v>840</v>
      </c>
      <c r="F16" s="450" t="s">
        <v>205</v>
      </c>
      <c r="G16" s="8">
        <f t="shared" si="1"/>
        <v>4990.6351604349566</v>
      </c>
      <c r="H16" s="8">
        <f t="shared" si="1"/>
        <v>2812.4036510525812</v>
      </c>
      <c r="I16" s="8">
        <f t="shared" si="1"/>
        <v>2185.6254859586534</v>
      </c>
      <c r="J16" s="8">
        <f t="shared" si="1"/>
        <v>1796.9212006866455</v>
      </c>
      <c r="K16" s="8">
        <f t="shared" si="1"/>
        <v>1583.0731258754158</v>
      </c>
      <c r="L16" s="8">
        <f t="shared" si="1"/>
        <v>1358.0428462016248</v>
      </c>
      <c r="M16" s="8">
        <f t="shared" si="1"/>
        <v>1232.1691964194752</v>
      </c>
    </row>
    <row r="17" spans="2:13" hidden="1" outlineLevel="2" x14ac:dyDescent="0.2">
      <c r="G17" s="8"/>
      <c r="H17" s="8"/>
      <c r="I17" s="8"/>
      <c r="J17" s="8"/>
      <c r="K17" s="8"/>
      <c r="L17" s="8"/>
      <c r="M17" s="8"/>
    </row>
    <row r="18" spans="2:13" hidden="1" outlineLevel="2" x14ac:dyDescent="0.2">
      <c r="B18" t="str">
        <f>+C18&amp;D18&amp;E18&amp;F18</f>
        <v>EuropeResultsShare of RNE e-Hydrogen (liquid)%</v>
      </c>
      <c r="C18" t="str">
        <f>+C6</f>
        <v>Europe</v>
      </c>
      <c r="D18" t="s">
        <v>838</v>
      </c>
      <c r="E18" s="48" t="s">
        <v>841</v>
      </c>
      <c r="F18" s="128" t="s">
        <v>178</v>
      </c>
      <c r="G18" s="9">
        <f>+G12/G6</f>
        <v>0.54307040167721177</v>
      </c>
      <c r="H18" s="9">
        <f t="shared" ref="H18:M18" si="2">+H12/H6</f>
        <v>0.51636773474174313</v>
      </c>
      <c r="I18" s="9">
        <f t="shared" si="2"/>
        <v>0.4843142318660642</v>
      </c>
      <c r="J18" s="9">
        <f t="shared" si="2"/>
        <v>0.45367761217193692</v>
      </c>
      <c r="K18" s="9">
        <f t="shared" si="2"/>
        <v>0.44793647474116327</v>
      </c>
      <c r="L18" s="9">
        <f t="shared" si="2"/>
        <v>0.44874468762062741</v>
      </c>
      <c r="M18" s="9">
        <f t="shared" si="2"/>
        <v>0.46514777301257021</v>
      </c>
    </row>
    <row r="19" spans="2:13" hidden="1" outlineLevel="2" x14ac:dyDescent="0.2">
      <c r="B19" t="str">
        <f>+C19&amp;D19&amp;E19&amp;F19</f>
        <v>Middle EastResultsShare of RNE e-Hydrogen (liquid)%</v>
      </c>
      <c r="C19" t="str">
        <f>+C7</f>
        <v>Middle East</v>
      </c>
      <c r="D19" t="s">
        <v>838</v>
      </c>
      <c r="E19" s="48" t="s">
        <v>841</v>
      </c>
      <c r="F19" s="128" t="s">
        <v>178</v>
      </c>
      <c r="G19" s="9">
        <f t="shared" ref="G19:M19" si="3">+G13/G7</f>
        <v>0.47714847761538509</v>
      </c>
      <c r="H19" s="9">
        <f t="shared" si="3"/>
        <v>0.44925918352253608</v>
      </c>
      <c r="I19" s="9">
        <f t="shared" si="3"/>
        <v>0.42674545709666262</v>
      </c>
      <c r="J19" s="9">
        <f t="shared" si="3"/>
        <v>0.38704445745411897</v>
      </c>
      <c r="K19" s="9">
        <f t="shared" si="3"/>
        <v>0.37820721332769941</v>
      </c>
      <c r="L19" s="9">
        <f t="shared" si="3"/>
        <v>0.36947835964756287</v>
      </c>
      <c r="M19" s="9">
        <f t="shared" si="3"/>
        <v>0.38500642693610643</v>
      </c>
    </row>
    <row r="20" spans="2:13" hidden="1" outlineLevel="2" x14ac:dyDescent="0.2">
      <c r="B20" t="str">
        <f>+C20&amp;D20&amp;E20&amp;F20</f>
        <v>AsiaResultsShare of RNE e-Hydrogen (liquid)%</v>
      </c>
      <c r="C20" t="str">
        <f>+C8</f>
        <v>Asia</v>
      </c>
      <c r="D20" t="s">
        <v>838</v>
      </c>
      <c r="E20" s="48" t="s">
        <v>841</v>
      </c>
      <c r="F20" s="128" t="s">
        <v>178</v>
      </c>
      <c r="G20" s="9">
        <f t="shared" ref="G20:M20" si="4">+G14/G8</f>
        <v>0.64111590067893554</v>
      </c>
      <c r="H20" s="9">
        <f t="shared" si="4"/>
        <v>0.56401489515055503</v>
      </c>
      <c r="I20" s="9">
        <f t="shared" si="4"/>
        <v>0.53205766199171944</v>
      </c>
      <c r="J20" s="9">
        <f t="shared" si="4"/>
        <v>0.48328494946939432</v>
      </c>
      <c r="K20" s="9">
        <f t="shared" si="4"/>
        <v>0.46865179517923633</v>
      </c>
      <c r="L20" s="9">
        <f t="shared" si="4"/>
        <v>0.4588122026595477</v>
      </c>
      <c r="M20" s="9">
        <f t="shared" si="4"/>
        <v>0.47526516122331319</v>
      </c>
    </row>
    <row r="21" spans="2:13" hidden="1" outlineLevel="2" x14ac:dyDescent="0.2">
      <c r="B21" t="str">
        <f>+C21&amp;D21&amp;E21&amp;F21</f>
        <v>AmericasResultsShare of RNE e-Hydrogen (liquid)%</v>
      </c>
      <c r="C21" t="str">
        <f>+C9</f>
        <v>Americas</v>
      </c>
      <c r="D21" t="s">
        <v>838</v>
      </c>
      <c r="E21" s="48" t="s">
        <v>841</v>
      </c>
      <c r="F21" s="128" t="s">
        <v>178</v>
      </c>
      <c r="G21" s="9">
        <f t="shared" ref="G21:M21" si="5">+G15/G9</f>
        <v>0.45895244145982983</v>
      </c>
      <c r="H21" s="9">
        <f t="shared" si="5"/>
        <v>0.45943730559168822</v>
      </c>
      <c r="I21" s="9">
        <f t="shared" si="5"/>
        <v>0.43018832713255489</v>
      </c>
      <c r="J21" s="9">
        <f t="shared" si="5"/>
        <v>0.39772977958140254</v>
      </c>
      <c r="K21" s="9">
        <f t="shared" si="5"/>
        <v>0.38368477442525256</v>
      </c>
      <c r="L21" s="9">
        <f t="shared" si="5"/>
        <v>0.39214339620197675</v>
      </c>
      <c r="M21" s="9">
        <f t="shared" si="5"/>
        <v>0.4140910446406999</v>
      </c>
    </row>
    <row r="22" spans="2:13" hidden="1" outlineLevel="2" x14ac:dyDescent="0.2">
      <c r="B22" t="str">
        <f>+C22&amp;D22&amp;E22&amp;F22</f>
        <v>AfricaResultsShare of RNE e-Hydrogen (liquid)%</v>
      </c>
      <c r="C22" t="str">
        <f>+C10</f>
        <v>Africa</v>
      </c>
      <c r="D22" t="s">
        <v>838</v>
      </c>
      <c r="E22" s="48" t="s">
        <v>841</v>
      </c>
      <c r="F22" s="128" t="s">
        <v>178</v>
      </c>
      <c r="G22" s="9">
        <f t="shared" ref="G22:M22" si="6">+G16/G10</f>
        <v>0.63220140932794078</v>
      </c>
      <c r="H22" s="9">
        <f t="shared" si="6"/>
        <v>0.51917003403474682</v>
      </c>
      <c r="I22" s="9">
        <f t="shared" si="6"/>
        <v>0.47980465889055585</v>
      </c>
      <c r="J22" s="9">
        <f t="shared" si="6"/>
        <v>0.43396146502323413</v>
      </c>
      <c r="K22" s="9">
        <f t="shared" si="6"/>
        <v>0.42310411382203011</v>
      </c>
      <c r="L22" s="9">
        <f t="shared" si="6"/>
        <v>0.41841110862099473</v>
      </c>
      <c r="M22" s="9">
        <f t="shared" si="6"/>
        <v>0.43640534515797058</v>
      </c>
    </row>
    <row r="23" spans="2:13" hidden="1" outlineLevel="2" x14ac:dyDescent="0.2">
      <c r="G23" s="8"/>
      <c r="H23" s="8"/>
      <c r="I23" s="8"/>
      <c r="J23" s="8"/>
      <c r="K23" s="8"/>
      <c r="L23" s="8"/>
      <c r="M23" s="8"/>
    </row>
    <row r="24" spans="2:13" ht="15" hidden="1" outlineLevel="2" collapsed="1" x14ac:dyDescent="0.25">
      <c r="B24" s="30" t="s">
        <v>842</v>
      </c>
      <c r="C24" s="30" t="str">
        <f>+B24</f>
        <v>Capex and Opex</v>
      </c>
      <c r="G24" s="8"/>
      <c r="H24" s="8"/>
      <c r="I24" s="8"/>
      <c r="J24" s="8"/>
      <c r="K24" s="8"/>
      <c r="L24" s="8"/>
      <c r="M24" s="8"/>
    </row>
    <row r="25" spans="2:13" hidden="1" outlineLevel="3" x14ac:dyDescent="0.2">
      <c r="B25" t="str">
        <f>+C25&amp;D25&amp;E25&amp;F25</f>
        <v>EuropeResultsTotal Capex e-Hydrogen (liquid)USD/ton</v>
      </c>
      <c r="C25" t="str">
        <f>+C6</f>
        <v>Europe</v>
      </c>
      <c r="D25" t="s">
        <v>838</v>
      </c>
      <c r="E25" t="s">
        <v>843</v>
      </c>
      <c r="F25" s="450" t="s">
        <v>205</v>
      </c>
      <c r="G25" s="8">
        <f t="shared" ref="G25:M29" si="7">+G89+G$176</f>
        <v>1834.563785027321</v>
      </c>
      <c r="H25" s="8">
        <f t="shared" si="7"/>
        <v>1699.417596820565</v>
      </c>
      <c r="I25" s="8">
        <f t="shared" si="7"/>
        <v>1612.073871597295</v>
      </c>
      <c r="J25" s="8">
        <f t="shared" si="7"/>
        <v>1644.6095826423298</v>
      </c>
      <c r="K25" s="8">
        <f t="shared" si="7"/>
        <v>1593.1432424469763</v>
      </c>
      <c r="L25" s="8">
        <f t="shared" si="7"/>
        <v>1473.7525307231833</v>
      </c>
      <c r="M25" s="8">
        <f t="shared" si="7"/>
        <v>1310.3543040757654</v>
      </c>
    </row>
    <row r="26" spans="2:13" hidden="1" outlineLevel="3" x14ac:dyDescent="0.2">
      <c r="B26" t="str">
        <f>+C26&amp;D26&amp;E26&amp;F26</f>
        <v>Middle EastResultsTotal Capex e-Hydrogen (liquid)USD/ton</v>
      </c>
      <c r="C26" t="str">
        <f>+C7</f>
        <v>Middle East</v>
      </c>
      <c r="D26" t="s">
        <v>838</v>
      </c>
      <c r="E26" t="s">
        <v>843</v>
      </c>
      <c r="F26" s="450" t="s">
        <v>205</v>
      </c>
      <c r="G26" s="8">
        <f t="shared" si="7"/>
        <v>1834.563785027321</v>
      </c>
      <c r="H26" s="8">
        <f t="shared" si="7"/>
        <v>1699.417596820565</v>
      </c>
      <c r="I26" s="8">
        <f t="shared" si="7"/>
        <v>1612.073871597295</v>
      </c>
      <c r="J26" s="8">
        <f t="shared" si="7"/>
        <v>1644.6095826423298</v>
      </c>
      <c r="K26" s="8">
        <f t="shared" si="7"/>
        <v>1593.1432424469763</v>
      </c>
      <c r="L26" s="8">
        <f t="shared" si="7"/>
        <v>1473.7525307231833</v>
      </c>
      <c r="M26" s="8">
        <f t="shared" si="7"/>
        <v>1310.3543040757654</v>
      </c>
    </row>
    <row r="27" spans="2:13" hidden="1" outlineLevel="3" x14ac:dyDescent="0.2">
      <c r="B27" t="str">
        <f>+C27&amp;D27&amp;E27&amp;F27</f>
        <v>AsiaResultsTotal Capex e-Hydrogen (liquid)USD/ton</v>
      </c>
      <c r="C27" t="str">
        <f>+C8</f>
        <v>Asia</v>
      </c>
      <c r="D27" t="s">
        <v>838</v>
      </c>
      <c r="E27" t="s">
        <v>843</v>
      </c>
      <c r="F27" s="450" t="s">
        <v>205</v>
      </c>
      <c r="G27" s="8">
        <f t="shared" si="7"/>
        <v>1834.563785027321</v>
      </c>
      <c r="H27" s="8">
        <f t="shared" si="7"/>
        <v>1699.417596820565</v>
      </c>
      <c r="I27" s="8">
        <f t="shared" si="7"/>
        <v>1612.073871597295</v>
      </c>
      <c r="J27" s="8">
        <f t="shared" si="7"/>
        <v>1644.6095826423298</v>
      </c>
      <c r="K27" s="8">
        <f t="shared" si="7"/>
        <v>1593.1432424469763</v>
      </c>
      <c r="L27" s="8">
        <f t="shared" si="7"/>
        <v>1473.7525307231833</v>
      </c>
      <c r="M27" s="8">
        <f t="shared" si="7"/>
        <v>1310.3543040757654</v>
      </c>
    </row>
    <row r="28" spans="2:13" hidden="1" outlineLevel="3" x14ac:dyDescent="0.2">
      <c r="B28" t="str">
        <f>+C28&amp;D28&amp;E28&amp;F28</f>
        <v>AmericasResultsTotal Capex e-Hydrogen (liquid)USD/ton</v>
      </c>
      <c r="C28" t="str">
        <f>+C9</f>
        <v>Americas</v>
      </c>
      <c r="D28" t="s">
        <v>838</v>
      </c>
      <c r="E28" t="s">
        <v>843</v>
      </c>
      <c r="F28" s="450" t="s">
        <v>205</v>
      </c>
      <c r="G28" s="8">
        <f t="shared" si="7"/>
        <v>1834.563785027321</v>
      </c>
      <c r="H28" s="8">
        <f t="shared" si="7"/>
        <v>1699.417596820565</v>
      </c>
      <c r="I28" s="8">
        <f t="shared" si="7"/>
        <v>1612.073871597295</v>
      </c>
      <c r="J28" s="8">
        <f t="shared" si="7"/>
        <v>1644.6095826423298</v>
      </c>
      <c r="K28" s="8">
        <f t="shared" si="7"/>
        <v>1593.1432424469763</v>
      </c>
      <c r="L28" s="8">
        <f t="shared" si="7"/>
        <v>1473.7525307231833</v>
      </c>
      <c r="M28" s="8">
        <f t="shared" si="7"/>
        <v>1310.3543040757654</v>
      </c>
    </row>
    <row r="29" spans="2:13" hidden="1" outlineLevel="3" x14ac:dyDescent="0.2">
      <c r="B29" t="str">
        <f>+C29&amp;D29&amp;E29&amp;F29</f>
        <v>AfricaResultsTotal Capex e-Hydrogen (liquid)USD/ton</v>
      </c>
      <c r="C29" t="str">
        <f>+C10</f>
        <v>Africa</v>
      </c>
      <c r="D29" t="s">
        <v>838</v>
      </c>
      <c r="E29" t="s">
        <v>843</v>
      </c>
      <c r="F29" s="450" t="s">
        <v>205</v>
      </c>
      <c r="G29" s="8">
        <f t="shared" si="7"/>
        <v>1834.563785027321</v>
      </c>
      <c r="H29" s="8">
        <f t="shared" si="7"/>
        <v>1699.417596820565</v>
      </c>
      <c r="I29" s="8">
        <f t="shared" si="7"/>
        <v>1612.073871597295</v>
      </c>
      <c r="J29" s="8">
        <f t="shared" si="7"/>
        <v>1644.6095826423298</v>
      </c>
      <c r="K29" s="8">
        <f t="shared" si="7"/>
        <v>1593.1432424469763</v>
      </c>
      <c r="L29" s="8">
        <f t="shared" si="7"/>
        <v>1473.7525307231833</v>
      </c>
      <c r="M29" s="8">
        <f t="shared" si="7"/>
        <v>1310.3543040757654</v>
      </c>
    </row>
    <row r="30" spans="2:13" hidden="1" outlineLevel="3" x14ac:dyDescent="0.2">
      <c r="G30" s="8"/>
      <c r="H30" s="8"/>
      <c r="I30" s="8"/>
      <c r="J30" s="8"/>
      <c r="K30" s="8"/>
      <c r="L30" s="8"/>
      <c r="M30" s="8"/>
    </row>
    <row r="31" spans="2:13" hidden="1" outlineLevel="3" x14ac:dyDescent="0.2">
      <c r="B31" t="str">
        <f>+C31&amp;D31&amp;E31&amp;F31</f>
        <v>EuropeResultsTotal Opex e-Hydrogen (liquid)USD/ton</v>
      </c>
      <c r="C31" t="str">
        <f>+C25</f>
        <v>Europe</v>
      </c>
      <c r="D31" t="s">
        <v>838</v>
      </c>
      <c r="E31" t="s">
        <v>844</v>
      </c>
      <c r="F31" s="450" t="s">
        <v>205</v>
      </c>
      <c r="G31" s="8">
        <f t="shared" ref="G31:M35" si="8">+G95+G$177</f>
        <v>1055.3599522238749</v>
      </c>
      <c r="H31" s="8">
        <f t="shared" si="8"/>
        <v>891.79350583460177</v>
      </c>
      <c r="I31" s="8">
        <f t="shared" si="8"/>
        <v>744.04087502628227</v>
      </c>
      <c r="J31" s="8">
        <f t="shared" si="8"/>
        <v>685.70830416221315</v>
      </c>
      <c r="K31" s="8">
        <f t="shared" si="8"/>
        <v>551.85237128410154</v>
      </c>
      <c r="L31" s="8">
        <f t="shared" si="8"/>
        <v>400.41875021077772</v>
      </c>
      <c r="M31" s="8">
        <f t="shared" si="8"/>
        <v>267.42770167427705</v>
      </c>
    </row>
    <row r="32" spans="2:13" hidden="1" outlineLevel="3" x14ac:dyDescent="0.2">
      <c r="B32" t="str">
        <f>+C32&amp;D32&amp;E32&amp;F32</f>
        <v>Middle EastResultsTotal Opex e-Hydrogen (liquid)USD/ton</v>
      </c>
      <c r="C32" t="str">
        <f>+C26</f>
        <v>Middle East</v>
      </c>
      <c r="D32" t="s">
        <v>838</v>
      </c>
      <c r="E32" t="s">
        <v>844</v>
      </c>
      <c r="F32" s="450" t="s">
        <v>205</v>
      </c>
      <c r="G32" s="8">
        <f t="shared" si="8"/>
        <v>1055.3599522238749</v>
      </c>
      <c r="H32" s="8">
        <f t="shared" si="8"/>
        <v>891.79350583460177</v>
      </c>
      <c r="I32" s="8">
        <f t="shared" si="8"/>
        <v>744.04087502628227</v>
      </c>
      <c r="J32" s="8">
        <f t="shared" si="8"/>
        <v>685.70830416221315</v>
      </c>
      <c r="K32" s="8">
        <f t="shared" si="8"/>
        <v>551.85237128410154</v>
      </c>
      <c r="L32" s="8">
        <f t="shared" si="8"/>
        <v>400.41875021077772</v>
      </c>
      <c r="M32" s="8">
        <f t="shared" si="8"/>
        <v>267.42770167427705</v>
      </c>
    </row>
    <row r="33" spans="2:29" hidden="1" outlineLevel="3" x14ac:dyDescent="0.2">
      <c r="B33" t="str">
        <f>+C33&amp;D33&amp;E33&amp;F33</f>
        <v>AsiaResultsTotal Opex e-Hydrogen (liquid)USD/ton</v>
      </c>
      <c r="C33" t="str">
        <f>+C27</f>
        <v>Asia</v>
      </c>
      <c r="D33" t="s">
        <v>838</v>
      </c>
      <c r="E33" t="s">
        <v>844</v>
      </c>
      <c r="F33" s="450" t="s">
        <v>205</v>
      </c>
      <c r="G33" s="8">
        <f t="shared" si="8"/>
        <v>1055.3599522238749</v>
      </c>
      <c r="H33" s="8">
        <f t="shared" si="8"/>
        <v>891.79350583460177</v>
      </c>
      <c r="I33" s="8">
        <f t="shared" si="8"/>
        <v>744.04087502628227</v>
      </c>
      <c r="J33" s="8">
        <f t="shared" si="8"/>
        <v>685.70830416221315</v>
      </c>
      <c r="K33" s="8">
        <f t="shared" si="8"/>
        <v>551.85237128410154</v>
      </c>
      <c r="L33" s="8">
        <f t="shared" si="8"/>
        <v>400.41875021077772</v>
      </c>
      <c r="M33" s="8">
        <f t="shared" si="8"/>
        <v>267.42770167427705</v>
      </c>
    </row>
    <row r="34" spans="2:29" hidden="1" outlineLevel="3" x14ac:dyDescent="0.2">
      <c r="B34" t="str">
        <f>+C34&amp;D34&amp;E34&amp;F34</f>
        <v>AmericasResultsTotal Opex e-Hydrogen (liquid)USD/ton</v>
      </c>
      <c r="C34" t="str">
        <f>+C28</f>
        <v>Americas</v>
      </c>
      <c r="D34" t="s">
        <v>838</v>
      </c>
      <c r="E34" t="s">
        <v>844</v>
      </c>
      <c r="F34" s="450" t="s">
        <v>205</v>
      </c>
      <c r="G34" s="8">
        <f t="shared" si="8"/>
        <v>1055.3599522238749</v>
      </c>
      <c r="H34" s="8">
        <f t="shared" si="8"/>
        <v>891.79350583460177</v>
      </c>
      <c r="I34" s="8">
        <f t="shared" si="8"/>
        <v>744.04087502628227</v>
      </c>
      <c r="J34" s="8">
        <f t="shared" si="8"/>
        <v>685.70830416221315</v>
      </c>
      <c r="K34" s="8">
        <f t="shared" si="8"/>
        <v>551.85237128410154</v>
      </c>
      <c r="L34" s="8">
        <f t="shared" si="8"/>
        <v>400.41875021077772</v>
      </c>
      <c r="M34" s="8">
        <f t="shared" si="8"/>
        <v>267.42770167427705</v>
      </c>
    </row>
    <row r="35" spans="2:29" hidden="1" outlineLevel="3" x14ac:dyDescent="0.2">
      <c r="B35" t="str">
        <f>+C35&amp;D35&amp;E35&amp;F35</f>
        <v>AfricaResultsTotal Opex e-Hydrogen (liquid)USD/ton</v>
      </c>
      <c r="C35" t="str">
        <f>+C29</f>
        <v>Africa</v>
      </c>
      <c r="D35" t="s">
        <v>838</v>
      </c>
      <c r="E35" t="s">
        <v>844</v>
      </c>
      <c r="F35" s="450" t="s">
        <v>205</v>
      </c>
      <c r="G35" s="8">
        <f t="shared" si="8"/>
        <v>1055.3599522238749</v>
      </c>
      <c r="H35" s="8">
        <f t="shared" si="8"/>
        <v>891.79350583460177</v>
      </c>
      <c r="I35" s="8">
        <f t="shared" si="8"/>
        <v>744.04087502628227</v>
      </c>
      <c r="J35" s="8">
        <f t="shared" si="8"/>
        <v>685.70830416221315</v>
      </c>
      <c r="K35" s="8">
        <f t="shared" si="8"/>
        <v>551.85237128410154</v>
      </c>
      <c r="L35" s="8">
        <f t="shared" si="8"/>
        <v>400.41875021077772</v>
      </c>
      <c r="M35" s="8">
        <f t="shared" si="8"/>
        <v>267.42770167427705</v>
      </c>
    </row>
    <row r="36" spans="2:29" hidden="1" outlineLevel="1" x14ac:dyDescent="0.2">
      <c r="G36" s="9"/>
      <c r="H36" s="9"/>
      <c r="I36" s="9"/>
      <c r="J36" s="9"/>
      <c r="K36" s="9"/>
      <c r="L36" s="9"/>
      <c r="M36" s="9"/>
    </row>
    <row r="37" spans="2:29" ht="15" hidden="1" outlineLevel="1" collapsed="1" x14ac:dyDescent="0.25">
      <c r="B37" s="30" t="s">
        <v>845</v>
      </c>
      <c r="C37" s="30" t="str">
        <f>+B37</f>
        <v>Compressed H2</v>
      </c>
      <c r="G37" s="18"/>
      <c r="H37" s="18"/>
      <c r="I37" s="18"/>
      <c r="J37" s="18"/>
      <c r="K37" s="18"/>
      <c r="L37" s="18"/>
      <c r="M37" s="18"/>
    </row>
    <row r="38" spans="2:29" hidden="1" outlineLevel="2" x14ac:dyDescent="0.2">
      <c r="B38" t="str">
        <f>+C38&amp;D38&amp;E38&amp;F38</f>
        <v>EuropeResultsCost of e-Hydrogen (compressed)USD/ton</v>
      </c>
      <c r="C38" t="str">
        <f>+C44</f>
        <v>Europe</v>
      </c>
      <c r="D38" t="s">
        <v>838</v>
      </c>
      <c r="E38" t="s">
        <v>846</v>
      </c>
      <c r="F38" s="450" t="s">
        <v>205</v>
      </c>
      <c r="G38" s="8">
        <f t="shared" ref="G38:M42" si="9">G76+G181</f>
        <v>4765.5648462180416</v>
      </c>
      <c r="H38" s="8">
        <f t="shared" si="9"/>
        <v>3890.331927799999</v>
      </c>
      <c r="I38" s="8">
        <f t="shared" si="9"/>
        <v>3175.0223088438393</v>
      </c>
      <c r="J38" s="8">
        <f t="shared" si="9"/>
        <v>2901.4255379220949</v>
      </c>
      <c r="K38" s="8">
        <f t="shared" si="9"/>
        <v>2539.8105339536291</v>
      </c>
      <c r="L38" s="8">
        <f t="shared" si="9"/>
        <v>2074.2517112998839</v>
      </c>
      <c r="M38" s="8">
        <f t="shared" si="9"/>
        <v>1639.70741619263</v>
      </c>
      <c r="O38" s="18"/>
      <c r="P38" s="18"/>
      <c r="Q38" s="18"/>
      <c r="R38" s="18"/>
      <c r="S38" s="18"/>
      <c r="T38" s="18"/>
      <c r="U38" s="18"/>
      <c r="W38" s="18"/>
      <c r="X38" s="18"/>
      <c r="Y38" s="18"/>
      <c r="Z38" s="18"/>
      <c r="AA38" s="18"/>
      <c r="AB38" s="18"/>
      <c r="AC38" s="18"/>
    </row>
    <row r="39" spans="2:29" hidden="1" outlineLevel="2" x14ac:dyDescent="0.2">
      <c r="B39" t="str">
        <f>+C39&amp;D39&amp;E39&amp;F39</f>
        <v>Middle EastResultsCost of e-Hydrogen (compressed)USD/ton</v>
      </c>
      <c r="C39" t="str">
        <f>+C45</f>
        <v>Middle East</v>
      </c>
      <c r="D39" t="s">
        <v>838</v>
      </c>
      <c r="E39" t="s">
        <v>846</v>
      </c>
      <c r="F39" s="450" t="s">
        <v>205</v>
      </c>
      <c r="G39" s="8">
        <f t="shared" si="9"/>
        <v>4077.8615475472566</v>
      </c>
      <c r="H39" s="8">
        <f t="shared" si="9"/>
        <v>3327.377915551187</v>
      </c>
      <c r="I39" s="8">
        <f t="shared" si="9"/>
        <v>2779.9285815177832</v>
      </c>
      <c r="J39" s="8">
        <f t="shared" si="9"/>
        <v>2504.2378360178541</v>
      </c>
      <c r="K39" s="8">
        <f t="shared" si="9"/>
        <v>2168.9587649723076</v>
      </c>
      <c r="L39" s="8">
        <f t="shared" si="9"/>
        <v>1713.817202933697</v>
      </c>
      <c r="M39" s="8">
        <f t="shared" si="9"/>
        <v>1317.972716655732</v>
      </c>
      <c r="O39" s="18"/>
      <c r="P39" s="18"/>
      <c r="Q39" s="18"/>
      <c r="R39" s="18"/>
      <c r="S39" s="18"/>
      <c r="T39" s="18"/>
      <c r="U39" s="18"/>
      <c r="W39" s="18"/>
      <c r="X39" s="18"/>
      <c r="Y39" s="18"/>
      <c r="Z39" s="18"/>
      <c r="AA39" s="18"/>
      <c r="AB39" s="18"/>
      <c r="AC39" s="18"/>
    </row>
    <row r="40" spans="2:29" hidden="1" outlineLevel="2" x14ac:dyDescent="0.2">
      <c r="B40" t="str">
        <f>+C40&amp;D40&amp;E40&amp;F40</f>
        <v>AsiaResultsCost of e-Hydrogen (compressed)USD/ton</v>
      </c>
      <c r="C40" t="str">
        <f>+C46</f>
        <v>Asia</v>
      </c>
      <c r="D40" t="s">
        <v>838</v>
      </c>
      <c r="E40" t="s">
        <v>846</v>
      </c>
      <c r="F40" s="450" t="s">
        <v>205</v>
      </c>
      <c r="G40" s="8">
        <f t="shared" si="9"/>
        <v>6255.6910575338052</v>
      </c>
      <c r="H40" s="8">
        <f t="shared" si="9"/>
        <v>4395.2346253838678</v>
      </c>
      <c r="I40" s="8">
        <f t="shared" si="9"/>
        <v>3576.426525493684</v>
      </c>
      <c r="J40" s="8">
        <f t="shared" si="9"/>
        <v>3110.7801987617659</v>
      </c>
      <c r="K40" s="8">
        <f t="shared" si="9"/>
        <v>2668.7373944928772</v>
      </c>
      <c r="L40" s="8">
        <f t="shared" si="9"/>
        <v>2127.5866637665586</v>
      </c>
      <c r="M40" s="8">
        <f t="shared" si="9"/>
        <v>1687.3110781370008</v>
      </c>
      <c r="O40" s="18"/>
      <c r="P40" s="18"/>
      <c r="Q40" s="18"/>
      <c r="R40" s="18"/>
      <c r="S40" s="18"/>
      <c r="T40" s="18"/>
      <c r="U40" s="18"/>
      <c r="W40" s="18"/>
      <c r="X40" s="18"/>
      <c r="Y40" s="18"/>
      <c r="Z40" s="18"/>
      <c r="AA40" s="18"/>
      <c r="AB40" s="18"/>
      <c r="AC40" s="18"/>
    </row>
    <row r="41" spans="2:29" hidden="1" outlineLevel="2" x14ac:dyDescent="0.2">
      <c r="B41" t="str">
        <f>+C41&amp;D41&amp;E41&amp;F41</f>
        <v>AmericasResultsCost of e-Hydrogen (compressed)USD/ton</v>
      </c>
      <c r="C41" t="str">
        <f>+C47</f>
        <v>Americas</v>
      </c>
      <c r="D41" t="s">
        <v>838</v>
      </c>
      <c r="E41" t="s">
        <v>846</v>
      </c>
      <c r="F41" s="450" t="s">
        <v>205</v>
      </c>
      <c r="G41" s="8">
        <f t="shared" si="9"/>
        <v>3917.5510827043104</v>
      </c>
      <c r="H41" s="8">
        <f t="shared" si="9"/>
        <v>3403.7671059207719</v>
      </c>
      <c r="I41" s="8">
        <f t="shared" si="9"/>
        <v>2801.3125143360453</v>
      </c>
      <c r="J41" s="8">
        <f t="shared" si="9"/>
        <v>2562.0142582767162</v>
      </c>
      <c r="K41" s="8">
        <f t="shared" si="9"/>
        <v>2195.0538476919683</v>
      </c>
      <c r="L41" s="8">
        <f t="shared" si="9"/>
        <v>1807.2814897689209</v>
      </c>
      <c r="M41" s="8">
        <f t="shared" si="9"/>
        <v>1424.5607139134172</v>
      </c>
      <c r="O41" s="18"/>
      <c r="P41" s="18"/>
      <c r="Q41" s="18"/>
      <c r="R41" s="18"/>
      <c r="S41" s="18"/>
      <c r="T41" s="18"/>
      <c r="U41" s="18"/>
      <c r="W41" s="18"/>
      <c r="X41" s="18"/>
      <c r="Y41" s="18"/>
      <c r="Z41" s="18"/>
      <c r="AA41" s="18"/>
      <c r="AB41" s="18"/>
      <c r="AC41" s="18"/>
    </row>
    <row r="42" spans="2:29" hidden="1" outlineLevel="2" x14ac:dyDescent="0.2">
      <c r="B42" t="str">
        <f>+C42&amp;D42&amp;E42&amp;F42</f>
        <v>AfricaResultsCost of e-Hydrogen (compressed)USD/ton</v>
      </c>
      <c r="C42" t="str">
        <f>+C48</f>
        <v>Africa</v>
      </c>
      <c r="D42" t="s">
        <v>838</v>
      </c>
      <c r="E42" t="s">
        <v>846</v>
      </c>
      <c r="F42" s="450" t="s">
        <v>205</v>
      </c>
      <c r="G42" s="8">
        <f t="shared" si="9"/>
        <v>6087.3728137696917</v>
      </c>
      <c r="H42" s="8">
        <f t="shared" si="9"/>
        <v>3917.257522938557</v>
      </c>
      <c r="I42" s="8">
        <f t="shared" si="9"/>
        <v>3140.9164010034965</v>
      </c>
      <c r="J42" s="8">
        <f t="shared" si="9"/>
        <v>2774.1601086515066</v>
      </c>
      <c r="K42" s="8">
        <f t="shared" si="9"/>
        <v>2397.4624784020543</v>
      </c>
      <c r="L42" s="8">
        <f t="shared" si="9"/>
        <v>1924.7159131451044</v>
      </c>
      <c r="M42" s="8">
        <f t="shared" si="9"/>
        <v>1513.7950366190555</v>
      </c>
      <c r="O42" s="18"/>
      <c r="P42" s="18"/>
      <c r="Q42" s="18"/>
      <c r="R42" s="18"/>
      <c r="S42" s="18"/>
      <c r="T42" s="18"/>
      <c r="U42" s="18"/>
      <c r="W42" s="18"/>
      <c r="X42" s="18"/>
      <c r="Y42" s="18"/>
      <c r="Z42" s="18"/>
      <c r="AA42" s="18"/>
      <c r="AB42" s="18"/>
      <c r="AC42" s="18"/>
    </row>
    <row r="43" spans="2:29" hidden="1" outlineLevel="2" x14ac:dyDescent="0.2">
      <c r="G43" s="8"/>
      <c r="H43" s="8"/>
      <c r="I43" s="8"/>
      <c r="J43" s="8"/>
      <c r="K43" s="8"/>
      <c r="L43" s="8"/>
      <c r="M43" s="8"/>
    </row>
    <row r="44" spans="2:29" hidden="1" outlineLevel="2" x14ac:dyDescent="0.2">
      <c r="B44" t="str">
        <f>+C44&amp;D44&amp;E44&amp;F44</f>
        <v>EuropeResultsTotal RNE e-Hydrogen (compressed)USD/ton</v>
      </c>
      <c r="C44" t="str">
        <f>+C6</f>
        <v>Europe</v>
      </c>
      <c r="D44" t="s">
        <v>838</v>
      </c>
      <c r="E44" t="s">
        <v>847</v>
      </c>
      <c r="F44" s="450" t="s">
        <v>205</v>
      </c>
      <c r="G44" s="8">
        <f t="shared" ref="G44:M48" si="10">G82+G181</f>
        <v>2962.1411089668454</v>
      </c>
      <c r="H44" s="8">
        <f t="shared" si="10"/>
        <v>2385.6208251448329</v>
      </c>
      <c r="I44" s="8">
        <f t="shared" si="10"/>
        <v>1905.4075622202627</v>
      </c>
      <c r="J44" s="8">
        <f t="shared" si="10"/>
        <v>1657.6076511175525</v>
      </c>
      <c r="K44" s="8">
        <f t="shared" si="10"/>
        <v>1481.3149202225513</v>
      </c>
      <c r="L44" s="8">
        <f t="shared" si="10"/>
        <v>1286.5804303659231</v>
      </c>
      <c r="M44" s="8">
        <f t="shared" si="10"/>
        <v>1148.4254104425877</v>
      </c>
      <c r="P44" s="18"/>
      <c r="Q44" s="18"/>
      <c r="R44" s="18"/>
      <c r="S44" s="18"/>
      <c r="T44" s="18"/>
    </row>
    <row r="45" spans="2:29" hidden="1" outlineLevel="2" x14ac:dyDescent="0.2">
      <c r="B45" t="str">
        <f>+C45&amp;D45&amp;E45&amp;F45</f>
        <v>Middle EastResultsTotal RNE e-Hydrogen (compressed)USD/ton</v>
      </c>
      <c r="C45" t="str">
        <f>+C7</f>
        <v>Middle East</v>
      </c>
      <c r="D45" t="s">
        <v>838</v>
      </c>
      <c r="E45" t="s">
        <v>847</v>
      </c>
      <c r="F45" s="450" t="s">
        <v>205</v>
      </c>
      <c r="G45" s="8">
        <f t="shared" si="10"/>
        <v>2274.4378102960604</v>
      </c>
      <c r="H45" s="8">
        <f t="shared" si="10"/>
        <v>1822.66681289602</v>
      </c>
      <c r="I45" s="8">
        <f t="shared" si="10"/>
        <v>1510.3138348942064</v>
      </c>
      <c r="J45" s="8">
        <f t="shared" si="10"/>
        <v>1260.4199492133116</v>
      </c>
      <c r="K45" s="8">
        <f t="shared" si="10"/>
        <v>1110.4631512412298</v>
      </c>
      <c r="L45" s="8">
        <f t="shared" si="10"/>
        <v>926.14592199973595</v>
      </c>
      <c r="M45" s="8">
        <f t="shared" si="10"/>
        <v>826.69071090568957</v>
      </c>
      <c r="P45" s="18"/>
      <c r="Q45" s="18"/>
      <c r="R45" s="18"/>
      <c r="S45" s="18"/>
      <c r="T45" s="18"/>
    </row>
    <row r="46" spans="2:29" hidden="1" outlineLevel="2" x14ac:dyDescent="0.2">
      <c r="B46" t="str">
        <f>+C46&amp;D46&amp;E46&amp;F46</f>
        <v>AsiaResultsTotal RNE e-Hydrogen (compressed)USD/ton</v>
      </c>
      <c r="C46" t="str">
        <f>+C8</f>
        <v>Asia</v>
      </c>
      <c r="D46" t="s">
        <v>838</v>
      </c>
      <c r="E46" t="s">
        <v>847</v>
      </c>
      <c r="F46" s="450" t="s">
        <v>205</v>
      </c>
      <c r="G46" s="8">
        <f t="shared" si="10"/>
        <v>4452.267320282609</v>
      </c>
      <c r="H46" s="8">
        <f t="shared" si="10"/>
        <v>2890.5235227287008</v>
      </c>
      <c r="I46" s="8">
        <f t="shared" si="10"/>
        <v>2306.811778870107</v>
      </c>
      <c r="J46" s="8">
        <f t="shared" si="10"/>
        <v>1866.9623119572227</v>
      </c>
      <c r="K46" s="8">
        <f t="shared" si="10"/>
        <v>1610.2417807617994</v>
      </c>
      <c r="L46" s="8">
        <f t="shared" si="10"/>
        <v>1339.9153828325975</v>
      </c>
      <c r="M46" s="8">
        <f t="shared" si="10"/>
        <v>1196.0290723869582</v>
      </c>
      <c r="P46" s="18"/>
      <c r="Q46" s="18"/>
      <c r="R46" s="18"/>
      <c r="S46" s="18"/>
      <c r="T46" s="18"/>
    </row>
    <row r="47" spans="2:29" hidden="1" outlineLevel="2" x14ac:dyDescent="0.2">
      <c r="B47" t="str">
        <f>+C47&amp;D47&amp;E47&amp;F47</f>
        <v>AmericasResultsTotal RNE e-Hydrogen (compressed)USD/ton</v>
      </c>
      <c r="C47" t="str">
        <f>+C9</f>
        <v>Americas</v>
      </c>
      <c r="D47" t="s">
        <v>838</v>
      </c>
      <c r="E47" t="s">
        <v>847</v>
      </c>
      <c r="F47" s="450" t="s">
        <v>205</v>
      </c>
      <c r="G47" s="8">
        <f t="shared" si="10"/>
        <v>2114.1273454531142</v>
      </c>
      <c r="H47" s="8">
        <f t="shared" si="10"/>
        <v>1899.0560032656049</v>
      </c>
      <c r="I47" s="8">
        <f t="shared" si="10"/>
        <v>1531.6977677124682</v>
      </c>
      <c r="J47" s="8">
        <f t="shared" si="10"/>
        <v>1318.1963714721735</v>
      </c>
      <c r="K47" s="8">
        <f t="shared" si="10"/>
        <v>1136.5582339608904</v>
      </c>
      <c r="L47" s="8">
        <f t="shared" si="10"/>
        <v>1019.6102088349598</v>
      </c>
      <c r="M47" s="8">
        <f t="shared" si="10"/>
        <v>933.27870816337486</v>
      </c>
      <c r="P47" s="18"/>
      <c r="Q47" s="18"/>
      <c r="R47" s="18"/>
      <c r="S47" s="18"/>
      <c r="T47" s="18"/>
    </row>
    <row r="48" spans="2:29" hidden="1" outlineLevel="2" x14ac:dyDescent="0.2">
      <c r="B48" t="str">
        <f>+C48&amp;D48&amp;E48&amp;F48</f>
        <v>AfricaResultsTotal RNE e-Hydrogen (compressed)USD/ton</v>
      </c>
      <c r="C48" t="str">
        <f>+C10</f>
        <v>Africa</v>
      </c>
      <c r="D48" t="s">
        <v>838</v>
      </c>
      <c r="E48" t="s">
        <v>847</v>
      </c>
      <c r="F48" s="450" t="s">
        <v>205</v>
      </c>
      <c r="G48" s="8">
        <f t="shared" si="10"/>
        <v>4283.9490765184964</v>
      </c>
      <c r="H48" s="8">
        <f t="shared" si="10"/>
        <v>2412.54642028339</v>
      </c>
      <c r="I48" s="8">
        <f t="shared" si="10"/>
        <v>1871.3016543799195</v>
      </c>
      <c r="J48" s="8">
        <f t="shared" si="10"/>
        <v>1530.3422218469639</v>
      </c>
      <c r="K48" s="8">
        <f t="shared" si="10"/>
        <v>1338.9668646709767</v>
      </c>
      <c r="L48" s="8">
        <f t="shared" si="10"/>
        <v>1137.0446322111436</v>
      </c>
      <c r="M48" s="8">
        <f t="shared" si="10"/>
        <v>1022.5130308690132</v>
      </c>
      <c r="P48" s="18"/>
      <c r="Q48" s="18"/>
      <c r="R48" s="18"/>
      <c r="S48" s="18"/>
      <c r="T48" s="18"/>
    </row>
    <row r="49" spans="2:13" hidden="1" outlineLevel="2" x14ac:dyDescent="0.2">
      <c r="G49" s="8"/>
      <c r="H49" s="8"/>
      <c r="I49" s="8"/>
      <c r="J49" s="8"/>
      <c r="K49" s="8"/>
      <c r="L49" s="8"/>
      <c r="M49" s="8"/>
    </row>
    <row r="50" spans="2:13" hidden="1" outlineLevel="2" x14ac:dyDescent="0.2">
      <c r="B50" t="str">
        <f>+C50&amp;D50&amp;E50&amp;F50</f>
        <v>EuropeResultsShare of RNE e-Hydrogen (compressed)%</v>
      </c>
      <c r="C50" t="str">
        <f>+C38</f>
        <v>Europe</v>
      </c>
      <c r="D50" t="s">
        <v>838</v>
      </c>
      <c r="E50" s="48" t="s">
        <v>848</v>
      </c>
      <c r="F50" s="128" t="s">
        <v>178</v>
      </c>
      <c r="G50" s="9">
        <f>+G44/G38</f>
        <v>0.62157188172931999</v>
      </c>
      <c r="H50" s="9">
        <f t="shared" ref="H50:M50" si="11">+H44/H38</f>
        <v>0.61321781005301335</v>
      </c>
      <c r="I50" s="9">
        <f t="shared" si="11"/>
        <v>0.60012414933679714</v>
      </c>
      <c r="J50" s="9">
        <f t="shared" si="11"/>
        <v>0.57130801030471257</v>
      </c>
      <c r="K50" s="9">
        <f t="shared" si="11"/>
        <v>0.58323835594013507</v>
      </c>
      <c r="L50" s="9">
        <f t="shared" si="11"/>
        <v>0.62026244132138331</v>
      </c>
      <c r="M50" s="9">
        <f t="shared" si="11"/>
        <v>0.70038434851335252</v>
      </c>
    </row>
    <row r="51" spans="2:13" hidden="1" outlineLevel="2" x14ac:dyDescent="0.2">
      <c r="B51" t="str">
        <f>+C51&amp;D51&amp;E51&amp;F51</f>
        <v>Middle EastResultsShare of RNE e-Hydrogen (compressed)%</v>
      </c>
      <c r="C51" t="str">
        <f>+C39</f>
        <v>Middle East</v>
      </c>
      <c r="D51" t="s">
        <v>838</v>
      </c>
      <c r="E51" s="48" t="s">
        <v>848</v>
      </c>
      <c r="F51" s="128" t="s">
        <v>178</v>
      </c>
      <c r="G51" s="9">
        <f t="shared" ref="G51:M51" si="12">+G45/G39</f>
        <v>0.55775258276340556</v>
      </c>
      <c r="H51" s="9">
        <f t="shared" si="12"/>
        <v>0.54777871920631882</v>
      </c>
      <c r="I51" s="9">
        <f t="shared" si="12"/>
        <v>0.54329231511034226</v>
      </c>
      <c r="J51" s="9">
        <f t="shared" si="12"/>
        <v>0.50331479346130503</v>
      </c>
      <c r="K51" s="9">
        <f t="shared" si="12"/>
        <v>0.51197983528995661</v>
      </c>
      <c r="L51" s="9">
        <f t="shared" si="12"/>
        <v>0.54039947808574196</v>
      </c>
      <c r="M51" s="9">
        <f t="shared" si="12"/>
        <v>0.62724417619460449</v>
      </c>
    </row>
    <row r="52" spans="2:13" hidden="1" outlineLevel="2" x14ac:dyDescent="0.2">
      <c r="B52" t="str">
        <f>+C52&amp;D52&amp;E52&amp;F52</f>
        <v>AsiaResultsShare of RNE e-Hydrogen (compressed)%</v>
      </c>
      <c r="C52" t="str">
        <f>+C40</f>
        <v>Asia</v>
      </c>
      <c r="D52" t="s">
        <v>838</v>
      </c>
      <c r="E52" s="48" t="s">
        <v>848</v>
      </c>
      <c r="F52" s="128" t="s">
        <v>178</v>
      </c>
      <c r="G52" s="9">
        <f t="shared" ref="G52:M52" si="13">+G46/G40</f>
        <v>0.71171470575112383</v>
      </c>
      <c r="H52" s="9">
        <f t="shared" si="13"/>
        <v>0.65764942468259024</v>
      </c>
      <c r="I52" s="9">
        <f t="shared" si="13"/>
        <v>0.64500466105666143</v>
      </c>
      <c r="J52" s="9">
        <f t="shared" si="13"/>
        <v>0.6001588645512016</v>
      </c>
      <c r="K52" s="9">
        <f t="shared" si="13"/>
        <v>0.60337213548423452</v>
      </c>
      <c r="L52" s="9">
        <f t="shared" si="13"/>
        <v>0.62978181131314648</v>
      </c>
      <c r="M52" s="9">
        <f t="shared" si="13"/>
        <v>0.70883732578080483</v>
      </c>
    </row>
    <row r="53" spans="2:13" hidden="1" outlineLevel="2" x14ac:dyDescent="0.2">
      <c r="B53" t="str">
        <f>+C53&amp;D53&amp;E53&amp;F53</f>
        <v>AmericasResultsShare of RNE e-Hydrogen (compressed)%</v>
      </c>
      <c r="C53" t="str">
        <f>+C41</f>
        <v>Americas</v>
      </c>
      <c r="D53" t="s">
        <v>838</v>
      </c>
      <c r="E53" s="48" t="s">
        <v>848</v>
      </c>
      <c r="F53" s="128" t="s">
        <v>178</v>
      </c>
      <c r="G53" s="9">
        <f t="shared" ref="G53:M53" si="14">+G47/G41</f>
        <v>0.53965533590278514</v>
      </c>
      <c r="H53" s="9">
        <f t="shared" si="14"/>
        <v>0.55792771484342807</v>
      </c>
      <c r="I53" s="9">
        <f t="shared" si="14"/>
        <v>0.54677861176638642</v>
      </c>
      <c r="J53" s="9">
        <f t="shared" si="14"/>
        <v>0.51451562660655525</v>
      </c>
      <c r="K53" s="9">
        <f t="shared" si="14"/>
        <v>0.51778148183287009</v>
      </c>
      <c r="L53" s="9">
        <f t="shared" si="14"/>
        <v>0.56416790334378253</v>
      </c>
      <c r="M53" s="9">
        <f t="shared" si="14"/>
        <v>0.65513438567287219</v>
      </c>
    </row>
    <row r="54" spans="2:13" hidden="1" outlineLevel="2" x14ac:dyDescent="0.2">
      <c r="B54" t="str">
        <f>+C54&amp;D54&amp;E54&amp;F54</f>
        <v>AfricaResultsShare of RNE e-Hydrogen (compressed)%</v>
      </c>
      <c r="C54" t="str">
        <f>+C42</f>
        <v>Africa</v>
      </c>
      <c r="D54" t="s">
        <v>838</v>
      </c>
      <c r="E54" s="48" t="s">
        <v>848</v>
      </c>
      <c r="F54" s="128" t="s">
        <v>178</v>
      </c>
      <c r="G54" s="9">
        <f t="shared" ref="G54:M54" si="15">+G48/G42</f>
        <v>0.70374350439456668</v>
      </c>
      <c r="H54" s="9">
        <f t="shared" si="15"/>
        <v>0.61587638958022917</v>
      </c>
      <c r="I54" s="9">
        <f t="shared" si="15"/>
        <v>0.59578206340737183</v>
      </c>
      <c r="J54" s="9">
        <f t="shared" si="15"/>
        <v>0.55164163635488539</v>
      </c>
      <c r="K54" s="9">
        <f t="shared" si="15"/>
        <v>0.55849335567638114</v>
      </c>
      <c r="L54" s="9">
        <f t="shared" si="15"/>
        <v>0.59075971910739944</v>
      </c>
      <c r="M54" s="9">
        <f t="shared" si="15"/>
        <v>0.67546332636465578</v>
      </c>
    </row>
    <row r="55" spans="2:13" hidden="1" outlineLevel="2" x14ac:dyDescent="0.2"/>
    <row r="56" spans="2:13" ht="15" hidden="1" outlineLevel="2" collapsed="1" x14ac:dyDescent="0.25">
      <c r="B56" s="30" t="s">
        <v>842</v>
      </c>
      <c r="C56" s="30" t="str">
        <f>+B56</f>
        <v>Capex and Opex</v>
      </c>
      <c r="E56" s="30"/>
      <c r="G56" s="8"/>
      <c r="H56" s="8"/>
      <c r="I56" s="8"/>
      <c r="J56" s="8"/>
      <c r="K56" s="8"/>
      <c r="L56" s="8"/>
      <c r="M56" s="8"/>
    </row>
    <row r="57" spans="2:13" hidden="1" outlineLevel="3" x14ac:dyDescent="0.2">
      <c r="B57" t="str">
        <f>+C57&amp;D57&amp;E57&amp;F57</f>
        <v>EuropeResultsTotal Capex e-Hydrogen (compressed)USD/ton</v>
      </c>
      <c r="C57" t="str">
        <f>+C38</f>
        <v>Europe</v>
      </c>
      <c r="D57" t="s">
        <v>838</v>
      </c>
      <c r="E57" t="s">
        <v>849</v>
      </c>
      <c r="F57" s="450" t="s">
        <v>205</v>
      </c>
      <c r="G57" s="8">
        <f>+G89</f>
        <v>834.56378502732105</v>
      </c>
      <c r="H57" s="8">
        <f t="shared" ref="H57:M57" si="16">+H89</f>
        <v>699.417596820565</v>
      </c>
      <c r="I57" s="8">
        <f t="shared" si="16"/>
        <v>612.07387159729501</v>
      </c>
      <c r="J57" s="8">
        <f t="shared" si="16"/>
        <v>644.60958264232977</v>
      </c>
      <c r="K57" s="8">
        <f t="shared" si="16"/>
        <v>593.14324244697627</v>
      </c>
      <c r="L57" s="8">
        <f t="shared" si="16"/>
        <v>473.75253072318327</v>
      </c>
      <c r="M57" s="8">
        <f t="shared" si="16"/>
        <v>310.3543040757653</v>
      </c>
    </row>
    <row r="58" spans="2:13" hidden="1" outlineLevel="3" x14ac:dyDescent="0.2">
      <c r="B58" t="str">
        <f>+C58&amp;D58&amp;E58&amp;F58</f>
        <v>Middle EastResultsTotal Capex e-Hydrogen (compressed)USD/ton</v>
      </c>
      <c r="C58" t="str">
        <f>+C39</f>
        <v>Middle East</v>
      </c>
      <c r="D58" t="s">
        <v>838</v>
      </c>
      <c r="E58" t="s">
        <v>849</v>
      </c>
      <c r="F58" s="450" t="s">
        <v>205</v>
      </c>
      <c r="G58" s="8">
        <f t="shared" ref="G58:M58" si="17">+G90</f>
        <v>834.56378502732105</v>
      </c>
      <c r="H58" s="8">
        <f t="shared" si="17"/>
        <v>699.417596820565</v>
      </c>
      <c r="I58" s="8">
        <f t="shared" si="17"/>
        <v>612.07387159729501</v>
      </c>
      <c r="J58" s="8">
        <f t="shared" si="17"/>
        <v>644.60958264232977</v>
      </c>
      <c r="K58" s="8">
        <f t="shared" si="17"/>
        <v>593.14324244697627</v>
      </c>
      <c r="L58" s="8">
        <f t="shared" si="17"/>
        <v>473.75253072318327</v>
      </c>
      <c r="M58" s="8">
        <f t="shared" si="17"/>
        <v>310.3543040757653</v>
      </c>
    </row>
    <row r="59" spans="2:13" hidden="1" outlineLevel="3" x14ac:dyDescent="0.2">
      <c r="B59" t="str">
        <f>+C59&amp;D59&amp;E59&amp;F59</f>
        <v>AsiaResultsTotal Capex e-Hydrogen (compressed)USD/ton</v>
      </c>
      <c r="C59" t="str">
        <f>+C40</f>
        <v>Asia</v>
      </c>
      <c r="D59" t="s">
        <v>838</v>
      </c>
      <c r="E59" t="s">
        <v>849</v>
      </c>
      <c r="F59" s="450" t="s">
        <v>205</v>
      </c>
      <c r="G59" s="8">
        <f t="shared" ref="G59:M59" si="18">+G91</f>
        <v>834.56378502732105</v>
      </c>
      <c r="H59" s="8">
        <f t="shared" si="18"/>
        <v>699.417596820565</v>
      </c>
      <c r="I59" s="8">
        <f t="shared" si="18"/>
        <v>612.07387159729501</v>
      </c>
      <c r="J59" s="8">
        <f t="shared" si="18"/>
        <v>644.60958264232977</v>
      </c>
      <c r="K59" s="8">
        <f t="shared" si="18"/>
        <v>593.14324244697627</v>
      </c>
      <c r="L59" s="8">
        <f t="shared" si="18"/>
        <v>473.75253072318327</v>
      </c>
      <c r="M59" s="8">
        <f t="shared" si="18"/>
        <v>310.3543040757653</v>
      </c>
    </row>
    <row r="60" spans="2:13" hidden="1" outlineLevel="3" x14ac:dyDescent="0.2">
      <c r="B60" t="str">
        <f>+C60&amp;D60&amp;E60&amp;F60</f>
        <v>AmericasResultsTotal Capex e-Hydrogen (compressed)USD/ton</v>
      </c>
      <c r="C60" t="str">
        <f>+C41</f>
        <v>Americas</v>
      </c>
      <c r="D60" t="s">
        <v>838</v>
      </c>
      <c r="E60" t="s">
        <v>849</v>
      </c>
      <c r="F60" s="450" t="s">
        <v>205</v>
      </c>
      <c r="G60" s="8">
        <f t="shared" ref="G60:M60" si="19">+G92</f>
        <v>834.56378502732105</v>
      </c>
      <c r="H60" s="8">
        <f t="shared" si="19"/>
        <v>699.417596820565</v>
      </c>
      <c r="I60" s="8">
        <f t="shared" si="19"/>
        <v>612.07387159729501</v>
      </c>
      <c r="J60" s="8">
        <f t="shared" si="19"/>
        <v>644.60958264232977</v>
      </c>
      <c r="K60" s="8">
        <f t="shared" si="19"/>
        <v>593.14324244697627</v>
      </c>
      <c r="L60" s="8">
        <f t="shared" si="19"/>
        <v>473.75253072318327</v>
      </c>
      <c r="M60" s="8">
        <f t="shared" si="19"/>
        <v>310.3543040757653</v>
      </c>
    </row>
    <row r="61" spans="2:13" hidden="1" outlineLevel="3" x14ac:dyDescent="0.2">
      <c r="B61" t="str">
        <f>+C61&amp;D61&amp;E61&amp;F61</f>
        <v>AfricaResultsTotal Capex e-Hydrogen (compressed)USD/ton</v>
      </c>
      <c r="C61" t="str">
        <f>+C42</f>
        <v>Africa</v>
      </c>
      <c r="D61" t="s">
        <v>838</v>
      </c>
      <c r="E61" t="s">
        <v>849</v>
      </c>
      <c r="F61" s="450" t="s">
        <v>205</v>
      </c>
      <c r="G61" s="8">
        <f t="shared" ref="G61:M61" si="20">+G93</f>
        <v>834.56378502732105</v>
      </c>
      <c r="H61" s="8">
        <f t="shared" si="20"/>
        <v>699.417596820565</v>
      </c>
      <c r="I61" s="8">
        <f t="shared" si="20"/>
        <v>612.07387159729501</v>
      </c>
      <c r="J61" s="8">
        <f t="shared" si="20"/>
        <v>644.60958264232977</v>
      </c>
      <c r="K61" s="8">
        <f t="shared" si="20"/>
        <v>593.14324244697627</v>
      </c>
      <c r="L61" s="8">
        <f t="shared" si="20"/>
        <v>473.75253072318327</v>
      </c>
      <c r="M61" s="8">
        <f t="shared" si="20"/>
        <v>310.3543040757653</v>
      </c>
    </row>
    <row r="62" spans="2:13" hidden="1" outlineLevel="3" x14ac:dyDescent="0.2">
      <c r="G62" s="8"/>
      <c r="H62" s="8"/>
      <c r="I62" s="8"/>
      <c r="J62" s="8"/>
      <c r="K62" s="8"/>
      <c r="L62" s="8"/>
      <c r="M62" s="8"/>
    </row>
    <row r="63" spans="2:13" hidden="1" outlineLevel="3" x14ac:dyDescent="0.2">
      <c r="B63" t="str">
        <f>+C63&amp;D63&amp;E63&amp;F63</f>
        <v>EuropeResultsShare of Capex e-Hydrogen (compressed)%</v>
      </c>
      <c r="C63" t="str">
        <f>+C44</f>
        <v>Europe</v>
      </c>
      <c r="D63" t="s">
        <v>838</v>
      </c>
      <c r="E63" s="48" t="s">
        <v>850</v>
      </c>
      <c r="F63" s="450" t="s">
        <v>178</v>
      </c>
      <c r="G63" s="9">
        <f>+G57/G38</f>
        <v>0.17512379160880204</v>
      </c>
      <c r="H63" s="9">
        <f t="shared" ref="H63:M63" si="21">+H57/H38</f>
        <v>0.17978352742155063</v>
      </c>
      <c r="I63" s="9">
        <f t="shared" si="21"/>
        <v>0.19277781762112317</v>
      </c>
      <c r="J63" s="9">
        <f t="shared" si="21"/>
        <v>0.22216995549848845</v>
      </c>
      <c r="K63" s="9">
        <f t="shared" si="21"/>
        <v>0.23353838190585505</v>
      </c>
      <c r="L63" s="9">
        <f t="shared" si="21"/>
        <v>0.22839683734733135</v>
      </c>
      <c r="M63" s="9">
        <f t="shared" si="21"/>
        <v>0.18927419673224519</v>
      </c>
    </row>
    <row r="64" spans="2:13" hidden="1" outlineLevel="3" x14ac:dyDescent="0.2">
      <c r="B64" t="str">
        <f>+C64&amp;D64&amp;E64&amp;F64</f>
        <v>Middle EastResultsShare of Capex e-Hydrogen (compressed)%</v>
      </c>
      <c r="C64" t="str">
        <f>+C45</f>
        <v>Middle East</v>
      </c>
      <c r="D64" t="s">
        <v>838</v>
      </c>
      <c r="E64" s="48" t="s">
        <v>850</v>
      </c>
      <c r="F64" s="450" t="s">
        <v>178</v>
      </c>
      <c r="G64" s="9">
        <f t="shared" ref="G64:M64" si="22">+G58/G39</f>
        <v>0.20465721439936888</v>
      </c>
      <c r="H64" s="9">
        <f t="shared" si="22"/>
        <v>0.21020082917293301</v>
      </c>
      <c r="I64" s="9">
        <f t="shared" si="22"/>
        <v>0.22017611375581289</v>
      </c>
      <c r="J64" s="9">
        <f t="shared" si="22"/>
        <v>0.25740749275929958</v>
      </c>
      <c r="K64" s="9">
        <f t="shared" si="22"/>
        <v>0.27346911892746345</v>
      </c>
      <c r="L64" s="9">
        <f t="shared" si="22"/>
        <v>0.27643119109331959</v>
      </c>
      <c r="M64" s="9">
        <f t="shared" si="22"/>
        <v>0.23547854986199462</v>
      </c>
    </row>
    <row r="65" spans="2:13" hidden="1" outlineLevel="3" x14ac:dyDescent="0.2">
      <c r="B65" t="str">
        <f>+C65&amp;D65&amp;E65&amp;F65</f>
        <v>AsiaResultsShare of Capex e-Hydrogen (compressed)%</v>
      </c>
      <c r="C65" t="str">
        <f>+C46</f>
        <v>Asia</v>
      </c>
      <c r="D65" t="s">
        <v>838</v>
      </c>
      <c r="E65" s="48" t="s">
        <v>850</v>
      </c>
      <c r="F65" s="450" t="s">
        <v>178</v>
      </c>
      <c r="G65" s="9">
        <f t="shared" ref="G65:M65" si="23">+G59/G40</f>
        <v>0.13340872772517207</v>
      </c>
      <c r="H65" s="9">
        <f t="shared" si="23"/>
        <v>0.15913088980078732</v>
      </c>
      <c r="I65" s="9">
        <f t="shared" si="23"/>
        <v>0.17114118442928317</v>
      </c>
      <c r="J65" s="9">
        <f t="shared" si="23"/>
        <v>0.20721797795257735</v>
      </c>
      <c r="K65" s="9">
        <f t="shared" si="23"/>
        <v>0.22225612893609092</v>
      </c>
      <c r="L65" s="9">
        <f t="shared" si="23"/>
        <v>0.22267131994730532</v>
      </c>
      <c r="M65" s="9">
        <f t="shared" si="23"/>
        <v>0.18393425379416975</v>
      </c>
    </row>
    <row r="66" spans="2:13" hidden="1" outlineLevel="3" x14ac:dyDescent="0.2">
      <c r="B66" t="str">
        <f>+C66&amp;D66&amp;E66&amp;F66</f>
        <v>AmericasResultsShare of Capex e-Hydrogen (compressed)%</v>
      </c>
      <c r="C66" t="str">
        <f>+C47</f>
        <v>Americas</v>
      </c>
      <c r="D66" t="s">
        <v>838</v>
      </c>
      <c r="E66" s="48" t="s">
        <v>850</v>
      </c>
      <c r="F66" s="450" t="s">
        <v>178</v>
      </c>
      <c r="G66" s="9">
        <f t="shared" ref="G66:M66" si="24">+G60/G41</f>
        <v>0.21303201091923385</v>
      </c>
      <c r="H66" s="9">
        <f t="shared" si="24"/>
        <v>0.20548338798031884</v>
      </c>
      <c r="I66" s="9">
        <f t="shared" si="24"/>
        <v>0.21849539045177402</v>
      </c>
      <c r="J66" s="9">
        <f t="shared" si="24"/>
        <v>0.25160265231151074</v>
      </c>
      <c r="K66" s="9">
        <f t="shared" si="24"/>
        <v>0.27021808283685078</v>
      </c>
      <c r="L66" s="9">
        <f t="shared" si="24"/>
        <v>0.2621354412166072</v>
      </c>
      <c r="M66" s="9">
        <f t="shared" si="24"/>
        <v>0.21785965388810252</v>
      </c>
    </row>
    <row r="67" spans="2:13" hidden="1" outlineLevel="3" x14ac:dyDescent="0.2">
      <c r="B67" t="str">
        <f>+C67&amp;D67&amp;E67&amp;F67</f>
        <v>AfricaResultsShare of Capex e-Hydrogen (compressed)%</v>
      </c>
      <c r="C67" t="str">
        <f>+C48</f>
        <v>Africa</v>
      </c>
      <c r="D67" t="s">
        <v>838</v>
      </c>
      <c r="E67" s="48" t="s">
        <v>850</v>
      </c>
      <c r="F67" s="450" t="s">
        <v>178</v>
      </c>
      <c r="G67" s="9">
        <f t="shared" ref="G67:M67" si="25">+G61/G42</f>
        <v>0.13709753132575195</v>
      </c>
      <c r="H67" s="9">
        <f t="shared" si="25"/>
        <v>0.17854777040440584</v>
      </c>
      <c r="I67" s="9">
        <f t="shared" si="25"/>
        <v>0.19487111194737386</v>
      </c>
      <c r="J67" s="9">
        <f t="shared" si="25"/>
        <v>0.23236206902119594</v>
      </c>
      <c r="K67" s="9">
        <f t="shared" si="25"/>
        <v>0.24740459873320536</v>
      </c>
      <c r="L67" s="9">
        <f t="shared" si="25"/>
        <v>0.24614153573918471</v>
      </c>
      <c r="M67" s="9">
        <f t="shared" si="25"/>
        <v>0.20501738780232606</v>
      </c>
    </row>
    <row r="68" spans="2:13" hidden="1" outlineLevel="3" x14ac:dyDescent="0.2">
      <c r="G68" s="8"/>
      <c r="H68" s="8"/>
      <c r="I68" s="8"/>
      <c r="J68" s="8"/>
      <c r="K68" s="8"/>
      <c r="L68" s="8"/>
      <c r="M68" s="8"/>
    </row>
    <row r="69" spans="2:13" hidden="1" outlineLevel="3" x14ac:dyDescent="0.2">
      <c r="B69" t="str">
        <f>+C69&amp;D69&amp;E69&amp;F69</f>
        <v>EuropeResultsTotal Opex e-Hydrogen (compressed)USD/ton</v>
      </c>
      <c r="C69" t="str">
        <f>+C57</f>
        <v>Europe</v>
      </c>
      <c r="D69" t="s">
        <v>838</v>
      </c>
      <c r="E69" t="s">
        <v>851</v>
      </c>
      <c r="F69" s="450" t="s">
        <v>205</v>
      </c>
      <c r="G69" s="8">
        <f t="shared" ref="G69:M69" si="26">+G95</f>
        <v>955.35995222387487</v>
      </c>
      <c r="H69" s="8">
        <f t="shared" si="26"/>
        <v>791.79350583460177</v>
      </c>
      <c r="I69" s="8">
        <f t="shared" si="26"/>
        <v>644.04087502628227</v>
      </c>
      <c r="J69" s="8">
        <f t="shared" si="26"/>
        <v>585.70830416221315</v>
      </c>
      <c r="K69" s="8">
        <f t="shared" si="26"/>
        <v>451.85237128410148</v>
      </c>
      <c r="L69" s="8">
        <f t="shared" si="26"/>
        <v>300.41875021077772</v>
      </c>
      <c r="M69" s="8">
        <f t="shared" si="26"/>
        <v>167.42770167427702</v>
      </c>
    </row>
    <row r="70" spans="2:13" hidden="1" outlineLevel="3" x14ac:dyDescent="0.2">
      <c r="B70" t="str">
        <f>+C70&amp;D70&amp;E70&amp;F70</f>
        <v>Middle EastResultsTotal Opex e-Hydrogen (compressed)USD/ton</v>
      </c>
      <c r="C70" t="str">
        <f>+C58</f>
        <v>Middle East</v>
      </c>
      <c r="D70" t="s">
        <v>838</v>
      </c>
      <c r="E70" t="s">
        <v>851</v>
      </c>
      <c r="F70" s="450" t="s">
        <v>205</v>
      </c>
      <c r="G70" s="8">
        <f t="shared" ref="G70:M70" si="27">+G96</f>
        <v>955.35995222387487</v>
      </c>
      <c r="H70" s="8">
        <f t="shared" si="27"/>
        <v>791.79350583460177</v>
      </c>
      <c r="I70" s="8">
        <f t="shared" si="27"/>
        <v>644.04087502628227</v>
      </c>
      <c r="J70" s="8">
        <f t="shared" si="27"/>
        <v>585.70830416221315</v>
      </c>
      <c r="K70" s="8">
        <f t="shared" si="27"/>
        <v>451.85237128410148</v>
      </c>
      <c r="L70" s="8">
        <f t="shared" si="27"/>
        <v>300.41875021077772</v>
      </c>
      <c r="M70" s="8">
        <f t="shared" si="27"/>
        <v>167.42770167427702</v>
      </c>
    </row>
    <row r="71" spans="2:13" hidden="1" outlineLevel="3" x14ac:dyDescent="0.2">
      <c r="B71" t="str">
        <f>+C71&amp;D71&amp;E71&amp;F71</f>
        <v>AsiaResultsTotal Opex e-Hydrogen (compressed)USD/ton</v>
      </c>
      <c r="C71" t="str">
        <f>+C59</f>
        <v>Asia</v>
      </c>
      <c r="D71" t="s">
        <v>838</v>
      </c>
      <c r="E71" t="s">
        <v>851</v>
      </c>
      <c r="F71" s="450" t="s">
        <v>205</v>
      </c>
      <c r="G71" s="8">
        <f t="shared" ref="G71:M71" si="28">+G97</f>
        <v>955.35995222387487</v>
      </c>
      <c r="H71" s="8">
        <f t="shared" si="28"/>
        <v>791.79350583460177</v>
      </c>
      <c r="I71" s="8">
        <f t="shared" si="28"/>
        <v>644.04087502628227</v>
      </c>
      <c r="J71" s="8">
        <f t="shared" si="28"/>
        <v>585.70830416221315</v>
      </c>
      <c r="K71" s="8">
        <f t="shared" si="28"/>
        <v>451.85237128410148</v>
      </c>
      <c r="L71" s="8">
        <f t="shared" si="28"/>
        <v>300.41875021077772</v>
      </c>
      <c r="M71" s="8">
        <f t="shared" si="28"/>
        <v>167.42770167427702</v>
      </c>
    </row>
    <row r="72" spans="2:13" hidden="1" outlineLevel="3" x14ac:dyDescent="0.2">
      <c r="B72" t="str">
        <f>+C72&amp;D72&amp;E72&amp;F72</f>
        <v>AmericasResultsTotal Opex e-Hydrogen (compressed)USD/ton</v>
      </c>
      <c r="C72" t="str">
        <f>+C60</f>
        <v>Americas</v>
      </c>
      <c r="D72" t="s">
        <v>838</v>
      </c>
      <c r="E72" t="s">
        <v>851</v>
      </c>
      <c r="F72" s="450" t="s">
        <v>205</v>
      </c>
      <c r="G72" s="8">
        <f t="shared" ref="G72:M72" si="29">+G98</f>
        <v>955.35995222387487</v>
      </c>
      <c r="H72" s="8">
        <f t="shared" si="29"/>
        <v>791.79350583460177</v>
      </c>
      <c r="I72" s="8">
        <f t="shared" si="29"/>
        <v>644.04087502628227</v>
      </c>
      <c r="J72" s="8">
        <f t="shared" si="29"/>
        <v>585.70830416221315</v>
      </c>
      <c r="K72" s="8">
        <f t="shared" si="29"/>
        <v>451.85237128410148</v>
      </c>
      <c r="L72" s="8">
        <f t="shared" si="29"/>
        <v>300.41875021077772</v>
      </c>
      <c r="M72" s="8">
        <f t="shared" si="29"/>
        <v>167.42770167427702</v>
      </c>
    </row>
    <row r="73" spans="2:13" hidden="1" outlineLevel="3" x14ac:dyDescent="0.2">
      <c r="B73" t="str">
        <f>+C73&amp;D73&amp;E73&amp;F73</f>
        <v>AfricaResultsTotal Opex e-Hydrogen (compressed)USD/ton</v>
      </c>
      <c r="C73" t="str">
        <f>+C61</f>
        <v>Africa</v>
      </c>
      <c r="D73" t="s">
        <v>838</v>
      </c>
      <c r="E73" t="s">
        <v>851</v>
      </c>
      <c r="F73" s="450" t="s">
        <v>205</v>
      </c>
      <c r="G73" s="8">
        <f t="shared" ref="G73:M73" si="30">+G99</f>
        <v>955.35995222387487</v>
      </c>
      <c r="H73" s="8">
        <f t="shared" si="30"/>
        <v>791.79350583460177</v>
      </c>
      <c r="I73" s="8">
        <f t="shared" si="30"/>
        <v>644.04087502628227</v>
      </c>
      <c r="J73" s="8">
        <f t="shared" si="30"/>
        <v>585.70830416221315</v>
      </c>
      <c r="K73" s="8">
        <f t="shared" si="30"/>
        <v>451.85237128410148</v>
      </c>
      <c r="L73" s="8">
        <f t="shared" si="30"/>
        <v>300.41875021077772</v>
      </c>
      <c r="M73" s="8">
        <f t="shared" si="30"/>
        <v>167.42770167427702</v>
      </c>
    </row>
    <row r="74" spans="2:13" hidden="1" outlineLevel="1" x14ac:dyDescent="0.2">
      <c r="G74" s="8"/>
      <c r="H74" s="8"/>
      <c r="I74" s="8"/>
      <c r="J74" s="8"/>
      <c r="K74" s="8"/>
      <c r="L74" s="8"/>
      <c r="M74" s="8"/>
    </row>
    <row r="75" spans="2:13" ht="15" hidden="1" outlineLevel="1" collapsed="1" x14ac:dyDescent="0.25">
      <c r="B75" s="30" t="s">
        <v>852</v>
      </c>
      <c r="C75" s="30" t="str">
        <f>+B75</f>
        <v>Green H2</v>
      </c>
    </row>
    <row r="76" spans="2:13" hidden="1" outlineLevel="2" x14ac:dyDescent="0.2">
      <c r="B76" t="str">
        <f>+C76&amp;D76&amp;E76&amp;F76</f>
        <v>EuropeResultsCost of e-HydrogenUSD/ton</v>
      </c>
      <c r="C76" t="str">
        <f>+C82</f>
        <v>Europe</v>
      </c>
      <c r="D76" t="s">
        <v>838</v>
      </c>
      <c r="E76" t="s">
        <v>853</v>
      </c>
      <c r="F76" s="450" t="s">
        <v>205</v>
      </c>
      <c r="G76" s="8">
        <f t="shared" ref="G76:M80" si="31">SUM(G$139*G121,G$140*G127,G$141*G133)</f>
        <v>4708.2385020539878</v>
      </c>
      <c r="H76" s="8">
        <f t="shared" si="31"/>
        <v>3843.9448561999607</v>
      </c>
      <c r="I76" s="8">
        <f t="shared" si="31"/>
        <v>3137.4742355809412</v>
      </c>
      <c r="J76" s="8">
        <f t="shared" si="31"/>
        <v>2867.5500666394773</v>
      </c>
      <c r="K76" s="8">
        <f t="shared" si="31"/>
        <v>2508.1277927221117</v>
      </c>
      <c r="L76" s="8">
        <f t="shared" si="31"/>
        <v>2044.9147953488614</v>
      </c>
      <c r="M76" s="8">
        <f t="shared" si="31"/>
        <v>1612.0820626768289</v>
      </c>
    </row>
    <row r="77" spans="2:13" hidden="1" outlineLevel="2" x14ac:dyDescent="0.2">
      <c r="B77" t="str">
        <f>+C77&amp;D77&amp;E77&amp;F77</f>
        <v>Middle EastResultsCost of e-HydrogenUSD/ton</v>
      </c>
      <c r="C77" t="str">
        <f>+C83</f>
        <v>Middle East</v>
      </c>
      <c r="D77" t="s">
        <v>838</v>
      </c>
      <c r="E77" t="s">
        <v>853</v>
      </c>
      <c r="F77" s="450" t="s">
        <v>205</v>
      </c>
      <c r="G77" s="8">
        <f t="shared" si="31"/>
        <v>4033.8443316563344</v>
      </c>
      <c r="H77" s="8">
        <f t="shared" si="31"/>
        <v>3291.9371719670976</v>
      </c>
      <c r="I77" s="8">
        <f t="shared" si="31"/>
        <v>2750.1662484364051</v>
      </c>
      <c r="J77" s="8">
        <f t="shared" si="31"/>
        <v>2478.4794366977089</v>
      </c>
      <c r="K77" s="8">
        <f t="shared" si="31"/>
        <v>2145.2078959385808</v>
      </c>
      <c r="L77" s="8">
        <f t="shared" si="31"/>
        <v>1692.6990012023361</v>
      </c>
      <c r="M77" s="8">
        <f t="shared" si="31"/>
        <v>1298.0866858092033</v>
      </c>
    </row>
    <row r="78" spans="2:13" hidden="1" outlineLevel="2" x14ac:dyDescent="0.2">
      <c r="B78" t="str">
        <f>+C78&amp;D78&amp;E78&amp;F78</f>
        <v>AsiaResultsCost of e-HydrogenUSD/ton</v>
      </c>
      <c r="C78" t="str">
        <f>+C84</f>
        <v>Asia</v>
      </c>
      <c r="D78" t="s">
        <v>838</v>
      </c>
      <c r="E78" t="s">
        <v>853</v>
      </c>
      <c r="F78" s="450" t="s">
        <v>205</v>
      </c>
      <c r="G78" s="8">
        <f t="shared" si="31"/>
        <v>6169.5262870776432</v>
      </c>
      <c r="H78" s="8">
        <f t="shared" si="31"/>
        <v>4339.0300013308097</v>
      </c>
      <c r="I78" s="8">
        <f t="shared" si="31"/>
        <v>3530.9683571762444</v>
      </c>
      <c r="J78" s="8">
        <f t="shared" si="31"/>
        <v>3072.6262796833898</v>
      </c>
      <c r="K78" s="8">
        <f t="shared" si="31"/>
        <v>2634.2971326933207</v>
      </c>
      <c r="L78" s="8">
        <f t="shared" si="31"/>
        <v>2097.0335914207726</v>
      </c>
      <c r="M78" s="8">
        <f t="shared" si="31"/>
        <v>1658.5406193510603</v>
      </c>
    </row>
    <row r="79" spans="2:13" hidden="1" outlineLevel="2" x14ac:dyDescent="0.2">
      <c r="B79" t="str">
        <f>+C79&amp;D79&amp;E79&amp;F79</f>
        <v>AmericasResultsCost of e-HydrogenUSD/ton</v>
      </c>
      <c r="C79" t="str">
        <f>+C85</f>
        <v>Americas</v>
      </c>
      <c r="D79" t="s">
        <v>838</v>
      </c>
      <c r="E79" t="s">
        <v>853</v>
      </c>
      <c r="F79" s="450" t="s">
        <v>205</v>
      </c>
      <c r="G79" s="8">
        <f t="shared" si="31"/>
        <v>3876.636356716002</v>
      </c>
      <c r="H79" s="8">
        <f t="shared" si="31"/>
        <v>3366.8410169683852</v>
      </c>
      <c r="I79" s="8">
        <f t="shared" si="31"/>
        <v>2771.1287882193769</v>
      </c>
      <c r="J79" s="8">
        <f t="shared" si="31"/>
        <v>2535.0751190319434</v>
      </c>
      <c r="K79" s="8">
        <f t="shared" si="31"/>
        <v>2170.7448503750957</v>
      </c>
      <c r="L79" s="8">
        <f t="shared" si="31"/>
        <v>1784.032092923293</v>
      </c>
      <c r="M79" s="8">
        <f t="shared" si="31"/>
        <v>1402.1107106242639</v>
      </c>
    </row>
    <row r="80" spans="2:13" hidden="1" outlineLevel="2" x14ac:dyDescent="0.2">
      <c r="B80" t="str">
        <f>+C80&amp;D80&amp;E80&amp;F80</f>
        <v>AfricaResultsCost of e-HydrogenUSD/ton</v>
      </c>
      <c r="C80" t="str">
        <f>+C86</f>
        <v>Africa</v>
      </c>
      <c r="D80" t="s">
        <v>838</v>
      </c>
      <c r="E80" t="s">
        <v>853</v>
      </c>
      <c r="F80" s="450" t="s">
        <v>205</v>
      </c>
      <c r="G80" s="8">
        <f t="shared" si="31"/>
        <v>6004.465507835358</v>
      </c>
      <c r="H80" s="8">
        <f t="shared" si="31"/>
        <v>3870.3468980997131</v>
      </c>
      <c r="I80" s="8">
        <f t="shared" si="31"/>
        <v>3104.040420762416</v>
      </c>
      <c r="J80" s="8">
        <f t="shared" si="31"/>
        <v>2742.8854798490856</v>
      </c>
      <c r="K80" s="8">
        <f t="shared" si="31"/>
        <v>2368.824313679746</v>
      </c>
      <c r="L80" s="8">
        <f t="shared" si="31"/>
        <v>1898.7887483752716</v>
      </c>
      <c r="M80" s="8">
        <f t="shared" si="31"/>
        <v>1489.1985032304538</v>
      </c>
    </row>
    <row r="81" spans="2:13" hidden="1" outlineLevel="2" x14ac:dyDescent="0.2">
      <c r="G81" s="8"/>
      <c r="H81" s="8"/>
      <c r="I81" s="8"/>
      <c r="J81" s="8"/>
      <c r="K81" s="8"/>
      <c r="L81" s="8"/>
      <c r="M81" s="8"/>
    </row>
    <row r="82" spans="2:13" hidden="1" outlineLevel="2" x14ac:dyDescent="0.2">
      <c r="B82" t="str">
        <f>+C82&amp;D82&amp;E82&amp;F82</f>
        <v>EuropeResultsCost of RNE e-HydrogenUSD/ton</v>
      </c>
      <c r="C82" t="str">
        <f>+C38</f>
        <v>Europe</v>
      </c>
      <c r="D82" t="s">
        <v>838</v>
      </c>
      <c r="E82" t="s">
        <v>854</v>
      </c>
      <c r="F82" s="450" t="s">
        <v>205</v>
      </c>
      <c r="G82" s="8">
        <f t="shared" ref="G82:M86" si="32">SUM(G$139*G102,G$140*G108,G$141*G114)</f>
        <v>2904.8147648027916</v>
      </c>
      <c r="H82" s="8">
        <f t="shared" si="32"/>
        <v>2339.2337535447946</v>
      </c>
      <c r="I82" s="8">
        <f t="shared" si="32"/>
        <v>1867.8594889573644</v>
      </c>
      <c r="J82" s="8">
        <f t="shared" si="32"/>
        <v>1623.7321798349349</v>
      </c>
      <c r="K82" s="8">
        <f t="shared" si="32"/>
        <v>1449.6321789910339</v>
      </c>
      <c r="L82" s="8">
        <f t="shared" si="32"/>
        <v>1257.2435144149003</v>
      </c>
      <c r="M82" s="8">
        <f t="shared" si="32"/>
        <v>1120.8000569267865</v>
      </c>
    </row>
    <row r="83" spans="2:13" hidden="1" outlineLevel="2" x14ac:dyDescent="0.2">
      <c r="B83" t="str">
        <f>+C83&amp;D83&amp;E83&amp;F83</f>
        <v>Middle EastResultsCost of RNE e-HydrogenUSD/ton</v>
      </c>
      <c r="C83" t="str">
        <f>+C39</f>
        <v>Middle East</v>
      </c>
      <c r="D83" t="s">
        <v>838</v>
      </c>
      <c r="E83" t="s">
        <v>854</v>
      </c>
      <c r="F83" s="450" t="s">
        <v>205</v>
      </c>
      <c r="G83" s="8">
        <f t="shared" si="32"/>
        <v>2230.4205944051382</v>
      </c>
      <c r="H83" s="8">
        <f t="shared" si="32"/>
        <v>1787.2260693119308</v>
      </c>
      <c r="I83" s="8">
        <f t="shared" si="32"/>
        <v>1480.5515018128281</v>
      </c>
      <c r="J83" s="8">
        <f t="shared" si="32"/>
        <v>1234.6615498931665</v>
      </c>
      <c r="K83" s="8">
        <f t="shared" si="32"/>
        <v>1086.712282207503</v>
      </c>
      <c r="L83" s="8">
        <f t="shared" si="32"/>
        <v>905.02772026837499</v>
      </c>
      <c r="M83" s="8">
        <f t="shared" si="32"/>
        <v>806.804680059161</v>
      </c>
    </row>
    <row r="84" spans="2:13" hidden="1" outlineLevel="2" x14ac:dyDescent="0.2">
      <c r="B84" t="str">
        <f>+C84&amp;D84&amp;E84&amp;F84</f>
        <v>AsiaResultsCost of RNE e-HydrogenUSD/ton</v>
      </c>
      <c r="C84" t="str">
        <f>+C40</f>
        <v>Asia</v>
      </c>
      <c r="D84" t="s">
        <v>838</v>
      </c>
      <c r="E84" t="s">
        <v>854</v>
      </c>
      <c r="F84" s="450" t="s">
        <v>205</v>
      </c>
      <c r="G84" s="8">
        <f t="shared" si="32"/>
        <v>4366.1025498264471</v>
      </c>
      <c r="H84" s="8">
        <f t="shared" si="32"/>
        <v>2834.3188986756427</v>
      </c>
      <c r="I84" s="8">
        <f t="shared" si="32"/>
        <v>2261.3536105526673</v>
      </c>
      <c r="J84" s="8">
        <f t="shared" si="32"/>
        <v>1828.8083928788467</v>
      </c>
      <c r="K84" s="8">
        <f t="shared" si="32"/>
        <v>1575.8015189622429</v>
      </c>
      <c r="L84" s="8">
        <f t="shared" si="32"/>
        <v>1309.3623104868116</v>
      </c>
      <c r="M84" s="8">
        <f t="shared" si="32"/>
        <v>1167.2586136010177</v>
      </c>
    </row>
    <row r="85" spans="2:13" hidden="1" outlineLevel="2" x14ac:dyDescent="0.2">
      <c r="B85" t="str">
        <f>+C85&amp;D85&amp;E85&amp;F85</f>
        <v>AmericasResultsCost of RNE e-HydrogenUSD/ton</v>
      </c>
      <c r="C85" t="str">
        <f>+C41</f>
        <v>Americas</v>
      </c>
      <c r="D85" t="s">
        <v>838</v>
      </c>
      <c r="E85" t="s">
        <v>854</v>
      </c>
      <c r="F85" s="450" t="s">
        <v>205</v>
      </c>
      <c r="G85" s="8">
        <f t="shared" si="32"/>
        <v>2073.2126194648058</v>
      </c>
      <c r="H85" s="8">
        <f t="shared" si="32"/>
        <v>1862.129914313218</v>
      </c>
      <c r="I85" s="8">
        <f t="shared" si="32"/>
        <v>1501.5140415957997</v>
      </c>
      <c r="J85" s="8">
        <f t="shared" si="32"/>
        <v>1291.2572322274009</v>
      </c>
      <c r="K85" s="8">
        <f t="shared" si="32"/>
        <v>1112.2492366440179</v>
      </c>
      <c r="L85" s="8">
        <f t="shared" si="32"/>
        <v>996.36081198933198</v>
      </c>
      <c r="M85" s="8">
        <f t="shared" si="32"/>
        <v>910.82870487422156</v>
      </c>
    </row>
    <row r="86" spans="2:13" hidden="1" outlineLevel="2" x14ac:dyDescent="0.2">
      <c r="B86" t="str">
        <f>+C86&amp;D86&amp;E86&amp;F86</f>
        <v>AfricaResultsCost of RNE e-HydrogenUSD/ton</v>
      </c>
      <c r="C86" t="str">
        <f>+C42</f>
        <v>Africa</v>
      </c>
      <c r="D86" t="s">
        <v>838</v>
      </c>
      <c r="E86" t="s">
        <v>854</v>
      </c>
      <c r="F86" s="450" t="s">
        <v>205</v>
      </c>
      <c r="G86" s="8">
        <f t="shared" si="32"/>
        <v>4201.0417705841628</v>
      </c>
      <c r="H86" s="8">
        <f t="shared" si="32"/>
        <v>2365.6357954445461</v>
      </c>
      <c r="I86" s="8">
        <f t="shared" si="32"/>
        <v>1834.425674138839</v>
      </c>
      <c r="J86" s="8">
        <f t="shared" si="32"/>
        <v>1499.0675930445432</v>
      </c>
      <c r="K86" s="8">
        <f t="shared" si="32"/>
        <v>1310.3286999486681</v>
      </c>
      <c r="L86" s="8">
        <f t="shared" si="32"/>
        <v>1111.1174674413107</v>
      </c>
      <c r="M86" s="8">
        <f t="shared" si="32"/>
        <v>997.91649748041152</v>
      </c>
    </row>
    <row r="87" spans="2:13" hidden="1" outlineLevel="2" x14ac:dyDescent="0.2">
      <c r="G87" s="8"/>
      <c r="H87" s="8"/>
      <c r="I87" s="8"/>
      <c r="J87" s="8"/>
      <c r="K87" s="8"/>
      <c r="L87" s="8"/>
      <c r="M87" s="8"/>
    </row>
    <row r="88" spans="2:13" ht="15" hidden="1" outlineLevel="2" collapsed="1" x14ac:dyDescent="0.25">
      <c r="B88" s="30" t="s">
        <v>842</v>
      </c>
      <c r="C88" s="30" t="str">
        <f>+B88</f>
        <v>Capex and Opex</v>
      </c>
      <c r="E88" s="30" t="s">
        <v>855</v>
      </c>
      <c r="G88" s="8"/>
      <c r="H88" s="8"/>
      <c r="I88" s="8"/>
      <c r="J88" s="8"/>
      <c r="K88" s="8"/>
      <c r="L88" s="8"/>
      <c r="M88" s="8"/>
    </row>
    <row r="89" spans="2:13" hidden="1" outlineLevel="3" x14ac:dyDescent="0.2">
      <c r="B89" t="str">
        <f>+C89&amp;D89&amp;E89&amp;F89</f>
        <v>EuropeResultsTotal Capex e-HydrogenUSD/ton</v>
      </c>
      <c r="C89" t="str">
        <f>+C76</f>
        <v>Europe</v>
      </c>
      <c r="D89" t="s">
        <v>838</v>
      </c>
      <c r="E89" t="s">
        <v>856</v>
      </c>
      <c r="F89" s="450" t="s">
        <v>205</v>
      </c>
      <c r="G89" s="8">
        <f t="shared" ref="G89:M89" si="33">+G$139*G197+G$140*G219+G$141*G241</f>
        <v>834.56378502732105</v>
      </c>
      <c r="H89" s="8">
        <f t="shared" si="33"/>
        <v>699.417596820565</v>
      </c>
      <c r="I89" s="8">
        <f t="shared" si="33"/>
        <v>612.07387159729501</v>
      </c>
      <c r="J89" s="8">
        <f t="shared" si="33"/>
        <v>644.60958264232977</v>
      </c>
      <c r="K89" s="8">
        <f t="shared" si="33"/>
        <v>593.14324244697627</v>
      </c>
      <c r="L89" s="8">
        <f t="shared" si="33"/>
        <v>473.75253072318327</v>
      </c>
      <c r="M89" s="8">
        <f t="shared" si="33"/>
        <v>310.3543040757653</v>
      </c>
    </row>
    <row r="90" spans="2:13" hidden="1" outlineLevel="3" x14ac:dyDescent="0.2">
      <c r="B90" t="str">
        <f>+C90&amp;D90&amp;E90&amp;F90</f>
        <v>Middle EastResultsTotal Capex e-HydrogenUSD/ton</v>
      </c>
      <c r="C90" t="str">
        <f>+C77</f>
        <v>Middle East</v>
      </c>
      <c r="D90" t="s">
        <v>838</v>
      </c>
      <c r="E90" t="s">
        <v>856</v>
      </c>
      <c r="F90" s="450" t="s">
        <v>205</v>
      </c>
      <c r="G90" s="8">
        <f t="shared" ref="G90:M90" si="34">+G$139*G264+G$140*G286+G$141*G308</f>
        <v>834.56378502732105</v>
      </c>
      <c r="H90" s="8">
        <f t="shared" si="34"/>
        <v>699.417596820565</v>
      </c>
      <c r="I90" s="8">
        <f t="shared" si="34"/>
        <v>612.07387159729501</v>
      </c>
      <c r="J90" s="8">
        <f t="shared" si="34"/>
        <v>644.60958264232977</v>
      </c>
      <c r="K90" s="8">
        <f t="shared" si="34"/>
        <v>593.14324244697627</v>
      </c>
      <c r="L90" s="8">
        <f t="shared" si="34"/>
        <v>473.75253072318327</v>
      </c>
      <c r="M90" s="8">
        <f t="shared" si="34"/>
        <v>310.3543040757653</v>
      </c>
    </row>
    <row r="91" spans="2:13" hidden="1" outlineLevel="3" x14ac:dyDescent="0.2">
      <c r="B91" t="str">
        <f>+C91&amp;D91&amp;E91&amp;F91</f>
        <v>AsiaResultsTotal Capex e-HydrogenUSD/ton</v>
      </c>
      <c r="C91" t="str">
        <f>+C78</f>
        <v>Asia</v>
      </c>
      <c r="D91" t="s">
        <v>838</v>
      </c>
      <c r="E91" t="s">
        <v>856</v>
      </c>
      <c r="F91" s="450" t="s">
        <v>205</v>
      </c>
      <c r="G91" s="8">
        <f t="shared" ref="G91:M91" si="35">+G139*G331+G140*G353+G141*G375</f>
        <v>834.56378502732105</v>
      </c>
      <c r="H91" s="8">
        <f t="shared" si="35"/>
        <v>699.417596820565</v>
      </c>
      <c r="I91" s="8">
        <f t="shared" si="35"/>
        <v>612.07387159729501</v>
      </c>
      <c r="J91" s="8">
        <f t="shared" si="35"/>
        <v>644.60958264232977</v>
      </c>
      <c r="K91" s="8">
        <f t="shared" si="35"/>
        <v>593.14324244697627</v>
      </c>
      <c r="L91" s="8">
        <f t="shared" si="35"/>
        <v>473.75253072318327</v>
      </c>
      <c r="M91" s="8">
        <f t="shared" si="35"/>
        <v>310.3543040757653</v>
      </c>
    </row>
    <row r="92" spans="2:13" hidden="1" outlineLevel="3" x14ac:dyDescent="0.2">
      <c r="B92" t="str">
        <f>+C92&amp;D92&amp;E92&amp;F92</f>
        <v>AmericasResultsTotal Capex e-HydrogenUSD/ton</v>
      </c>
      <c r="C92" t="str">
        <f>+C79</f>
        <v>Americas</v>
      </c>
      <c r="D92" t="s">
        <v>838</v>
      </c>
      <c r="E92" t="s">
        <v>856</v>
      </c>
      <c r="F92" s="450" t="s">
        <v>205</v>
      </c>
      <c r="G92" s="8">
        <f t="shared" ref="G92:M92" si="36">+G139*G398+G140*G420+G141*G442</f>
        <v>834.56378502732105</v>
      </c>
      <c r="H92" s="8">
        <f t="shared" si="36"/>
        <v>699.417596820565</v>
      </c>
      <c r="I92" s="8">
        <f t="shared" si="36"/>
        <v>612.07387159729501</v>
      </c>
      <c r="J92" s="8">
        <f t="shared" si="36"/>
        <v>644.60958264232977</v>
      </c>
      <c r="K92" s="8">
        <f t="shared" si="36"/>
        <v>593.14324244697627</v>
      </c>
      <c r="L92" s="8">
        <f t="shared" si="36"/>
        <v>473.75253072318327</v>
      </c>
      <c r="M92" s="8">
        <f t="shared" si="36"/>
        <v>310.3543040757653</v>
      </c>
    </row>
    <row r="93" spans="2:13" hidden="1" outlineLevel="3" x14ac:dyDescent="0.2">
      <c r="B93" t="str">
        <f>+C93&amp;D93&amp;E93&amp;F93</f>
        <v>AfricaResultsTotal Capex e-HydrogenUSD/ton</v>
      </c>
      <c r="C93" t="str">
        <f>+C80</f>
        <v>Africa</v>
      </c>
      <c r="D93" t="s">
        <v>838</v>
      </c>
      <c r="E93" t="s">
        <v>856</v>
      </c>
      <c r="F93" s="450" t="s">
        <v>205</v>
      </c>
      <c r="G93" s="8">
        <f t="shared" ref="G93:M93" si="37">+G139*G465+G140*G487+G141*G509</f>
        <v>834.56378502732105</v>
      </c>
      <c r="H93" s="8">
        <f t="shared" si="37"/>
        <v>699.417596820565</v>
      </c>
      <c r="I93" s="8">
        <f t="shared" si="37"/>
        <v>612.07387159729501</v>
      </c>
      <c r="J93" s="8">
        <f t="shared" si="37"/>
        <v>644.60958264232977</v>
      </c>
      <c r="K93" s="8">
        <f t="shared" si="37"/>
        <v>593.14324244697627</v>
      </c>
      <c r="L93" s="8">
        <f t="shared" si="37"/>
        <v>473.75253072318327</v>
      </c>
      <c r="M93" s="8">
        <f t="shared" si="37"/>
        <v>310.3543040757653</v>
      </c>
    </row>
    <row r="94" spans="2:13" hidden="1" outlineLevel="3" x14ac:dyDescent="0.2">
      <c r="G94" s="8"/>
      <c r="H94" s="8"/>
      <c r="I94" s="8"/>
      <c r="J94" s="8"/>
      <c r="K94" s="8"/>
      <c r="L94" s="8"/>
      <c r="M94" s="8"/>
    </row>
    <row r="95" spans="2:13" hidden="1" outlineLevel="3" x14ac:dyDescent="0.2">
      <c r="B95" t="str">
        <f>+C95&amp;D95&amp;E95&amp;F95</f>
        <v>EuropeResultsTotal Opex e-HydrogenUSD/ton</v>
      </c>
      <c r="C95" t="str">
        <f>+C89</f>
        <v>Europe</v>
      </c>
      <c r="D95" t="s">
        <v>838</v>
      </c>
      <c r="E95" t="s">
        <v>857</v>
      </c>
      <c r="F95" s="450" t="s">
        <v>205</v>
      </c>
      <c r="G95" s="8">
        <f t="shared" ref="G95:M95" si="38">+G139*G214+G140*G236+G141*G258</f>
        <v>955.35995222387487</v>
      </c>
      <c r="H95" s="8">
        <f t="shared" si="38"/>
        <v>791.79350583460177</v>
      </c>
      <c r="I95" s="8">
        <f t="shared" si="38"/>
        <v>644.04087502628227</v>
      </c>
      <c r="J95" s="8">
        <f t="shared" si="38"/>
        <v>585.70830416221315</v>
      </c>
      <c r="K95" s="8">
        <f t="shared" si="38"/>
        <v>451.85237128410148</v>
      </c>
      <c r="L95" s="8">
        <f t="shared" si="38"/>
        <v>300.41875021077772</v>
      </c>
      <c r="M95" s="8">
        <f t="shared" si="38"/>
        <v>167.42770167427702</v>
      </c>
    </row>
    <row r="96" spans="2:13" hidden="1" outlineLevel="3" x14ac:dyDescent="0.2">
      <c r="B96" t="str">
        <f>+C96&amp;D96&amp;E96&amp;F96</f>
        <v>Middle EastResultsTotal Opex e-HydrogenUSD/ton</v>
      </c>
      <c r="C96" t="str">
        <f>+C90</f>
        <v>Middle East</v>
      </c>
      <c r="D96" t="s">
        <v>838</v>
      </c>
      <c r="E96" t="s">
        <v>857</v>
      </c>
      <c r="F96" s="450" t="s">
        <v>205</v>
      </c>
      <c r="G96" s="8">
        <f t="shared" ref="G96:M96" si="39">+G139*G281+G140*G303+G141*G325</f>
        <v>955.35995222387487</v>
      </c>
      <c r="H96" s="8">
        <f t="shared" si="39"/>
        <v>791.79350583460177</v>
      </c>
      <c r="I96" s="8">
        <f t="shared" si="39"/>
        <v>644.04087502628227</v>
      </c>
      <c r="J96" s="8">
        <f t="shared" si="39"/>
        <v>585.70830416221315</v>
      </c>
      <c r="K96" s="8">
        <f t="shared" si="39"/>
        <v>451.85237128410148</v>
      </c>
      <c r="L96" s="8">
        <f t="shared" si="39"/>
        <v>300.41875021077772</v>
      </c>
      <c r="M96" s="8">
        <f t="shared" si="39"/>
        <v>167.42770167427702</v>
      </c>
    </row>
    <row r="97" spans="2:14" hidden="1" outlineLevel="3" x14ac:dyDescent="0.2">
      <c r="B97" t="str">
        <f>+C97&amp;D97&amp;E97&amp;F97</f>
        <v>AsiaResultsTotal Opex e-HydrogenUSD/ton</v>
      </c>
      <c r="C97" t="str">
        <f>+C91</f>
        <v>Asia</v>
      </c>
      <c r="D97" t="s">
        <v>838</v>
      </c>
      <c r="E97" t="s">
        <v>857</v>
      </c>
      <c r="F97" s="450" t="s">
        <v>205</v>
      </c>
      <c r="G97" s="8">
        <f t="shared" ref="G97:M97" si="40">+G139*G348+G140*G370+G141*G392</f>
        <v>955.35995222387487</v>
      </c>
      <c r="H97" s="8">
        <f t="shared" si="40"/>
        <v>791.79350583460177</v>
      </c>
      <c r="I97" s="8">
        <f t="shared" si="40"/>
        <v>644.04087502628227</v>
      </c>
      <c r="J97" s="8">
        <f t="shared" si="40"/>
        <v>585.70830416221315</v>
      </c>
      <c r="K97" s="8">
        <f t="shared" si="40"/>
        <v>451.85237128410148</v>
      </c>
      <c r="L97" s="8">
        <f t="shared" si="40"/>
        <v>300.41875021077772</v>
      </c>
      <c r="M97" s="8">
        <f t="shared" si="40"/>
        <v>167.42770167427702</v>
      </c>
    </row>
    <row r="98" spans="2:14" hidden="1" outlineLevel="3" x14ac:dyDescent="0.2">
      <c r="B98" t="str">
        <f>+C98&amp;D98&amp;E98&amp;F98</f>
        <v>AmericasResultsTotal Opex e-HydrogenUSD/ton</v>
      </c>
      <c r="C98" t="str">
        <f>+C92</f>
        <v>Americas</v>
      </c>
      <c r="D98" t="s">
        <v>838</v>
      </c>
      <c r="E98" t="s">
        <v>857</v>
      </c>
      <c r="F98" s="450" t="s">
        <v>205</v>
      </c>
      <c r="G98" s="8">
        <f t="shared" ref="G98:M98" si="41">+G139*G415+G140*G437+G141*G459</f>
        <v>955.35995222387487</v>
      </c>
      <c r="H98" s="8">
        <f t="shared" si="41"/>
        <v>791.79350583460177</v>
      </c>
      <c r="I98" s="8">
        <f t="shared" si="41"/>
        <v>644.04087502628227</v>
      </c>
      <c r="J98" s="8">
        <f t="shared" si="41"/>
        <v>585.70830416221315</v>
      </c>
      <c r="K98" s="8">
        <f t="shared" si="41"/>
        <v>451.85237128410148</v>
      </c>
      <c r="L98" s="8">
        <f t="shared" si="41"/>
        <v>300.41875021077772</v>
      </c>
      <c r="M98" s="8">
        <f t="shared" si="41"/>
        <v>167.42770167427702</v>
      </c>
    </row>
    <row r="99" spans="2:14" hidden="1" outlineLevel="3" x14ac:dyDescent="0.2">
      <c r="B99" t="str">
        <f>+C99&amp;D99&amp;E99&amp;F99</f>
        <v>AfricaResultsTotal Opex e-HydrogenUSD/ton</v>
      </c>
      <c r="C99" t="str">
        <f>+C93</f>
        <v>Africa</v>
      </c>
      <c r="D99" t="s">
        <v>838</v>
      </c>
      <c r="E99" t="s">
        <v>857</v>
      </c>
      <c r="F99" s="450" t="s">
        <v>205</v>
      </c>
      <c r="G99" s="8">
        <f t="shared" ref="G99:M99" si="42">+G139*G482+G140*G504+G141*G526</f>
        <v>955.35995222387487</v>
      </c>
      <c r="H99" s="8">
        <f t="shared" si="42"/>
        <v>791.79350583460177</v>
      </c>
      <c r="I99" s="8">
        <f t="shared" si="42"/>
        <v>644.04087502628227</v>
      </c>
      <c r="J99" s="8">
        <f t="shared" si="42"/>
        <v>585.70830416221315</v>
      </c>
      <c r="K99" s="8">
        <f t="shared" si="42"/>
        <v>451.85237128410148</v>
      </c>
      <c r="L99" s="8">
        <f t="shared" si="42"/>
        <v>300.41875021077772</v>
      </c>
      <c r="M99" s="8">
        <f t="shared" si="42"/>
        <v>167.42770167427702</v>
      </c>
    </row>
    <row r="100" spans="2:14" hidden="1" outlineLevel="1" x14ac:dyDescent="0.2">
      <c r="G100" s="467"/>
      <c r="H100" s="467"/>
      <c r="I100" s="467"/>
      <c r="J100" s="467"/>
      <c r="K100" s="467"/>
      <c r="L100" s="467"/>
      <c r="M100" s="467"/>
    </row>
    <row r="101" spans="2:14" ht="15" hidden="1" outlineLevel="1" collapsed="1" x14ac:dyDescent="0.25">
      <c r="B101" s="30" t="s">
        <v>54</v>
      </c>
      <c r="C101" s="30" t="str">
        <f>+B101</f>
        <v>Electricity</v>
      </c>
      <c r="G101" s="468"/>
      <c r="H101" s="468"/>
      <c r="I101" s="468"/>
      <c r="J101" s="468"/>
      <c r="K101" s="468"/>
      <c r="L101" s="468"/>
      <c r="M101" s="468"/>
    </row>
    <row r="102" spans="2:14" hidden="1" outlineLevel="2" x14ac:dyDescent="0.2">
      <c r="B102" t="str">
        <f>+C102&amp;D102&amp;E102&amp;F102</f>
        <v>EuropeFeedstockTotal electricity (Alk)USD/ ton H2</v>
      </c>
      <c r="C102" t="s">
        <v>195</v>
      </c>
      <c r="D102" t="s">
        <v>777</v>
      </c>
      <c r="E102" t="s">
        <v>858</v>
      </c>
      <c r="F102" s="450" t="s">
        <v>859</v>
      </c>
      <c r="G102" s="469">
        <f t="shared" ref="G102:M106" si="43">INDEX(G$196:G$1072,MATCH($B102,$B$196:$B$1072,0))</f>
        <v>2740.878200939987</v>
      </c>
      <c r="H102" s="469">
        <f t="shared" si="43"/>
        <v>2208.9081714304007</v>
      </c>
      <c r="I102" s="469">
        <f t="shared" si="43"/>
        <v>1780.7935622888306</v>
      </c>
      <c r="J102" s="469">
        <f t="shared" si="43"/>
        <v>1600.1344722248182</v>
      </c>
      <c r="K102" s="469">
        <f t="shared" si="43"/>
        <v>1490.5244380292695</v>
      </c>
      <c r="L102" s="469">
        <f t="shared" si="43"/>
        <v>1374.5989962171543</v>
      </c>
      <c r="M102" s="469">
        <f t="shared" si="43"/>
        <v>1289.1831640707167</v>
      </c>
      <c r="N102" s="93"/>
    </row>
    <row r="103" spans="2:14" hidden="1" outlineLevel="2" x14ac:dyDescent="0.2">
      <c r="B103" t="str">
        <f>+C103&amp;D103&amp;E103&amp;F103</f>
        <v>Middle EastFeedstockTotal electricity (Alk)USD/ ton H2</v>
      </c>
      <c r="C103" t="s">
        <v>197</v>
      </c>
      <c r="D103" t="s">
        <v>777</v>
      </c>
      <c r="E103" t="s">
        <v>858</v>
      </c>
      <c r="F103" s="450" t="s">
        <v>859</v>
      </c>
      <c r="G103" s="469">
        <f t="shared" si="43"/>
        <v>2104.544241583571</v>
      </c>
      <c r="H103" s="469">
        <f t="shared" si="43"/>
        <v>1687.654456385204</v>
      </c>
      <c r="I103" s="469">
        <f t="shared" si="43"/>
        <v>1411.53903634211</v>
      </c>
      <c r="J103" s="469">
        <f t="shared" si="43"/>
        <v>1216.7182076267129</v>
      </c>
      <c r="K103" s="469">
        <f t="shared" si="43"/>
        <v>1117.3670377986703</v>
      </c>
      <c r="L103" s="469">
        <f t="shared" si="43"/>
        <v>989.50615498586808</v>
      </c>
      <c r="M103" s="469">
        <f t="shared" si="43"/>
        <v>928.01477283800205</v>
      </c>
    </row>
    <row r="104" spans="2:14" hidden="1" outlineLevel="2" x14ac:dyDescent="0.2">
      <c r="B104" t="str">
        <f>+C104&amp;D104&amp;E104&amp;F104</f>
        <v>AsiaFeedstockTotal electricity (Alk)USD/ ton H2</v>
      </c>
      <c r="C104" t="s">
        <v>198</v>
      </c>
      <c r="D104" t="s">
        <v>777</v>
      </c>
      <c r="E104" t="s">
        <v>858</v>
      </c>
      <c r="F104" s="450" t="s">
        <v>859</v>
      </c>
      <c r="G104" s="469">
        <f t="shared" si="43"/>
        <v>4119.696528291448</v>
      </c>
      <c r="H104" s="469">
        <f t="shared" si="43"/>
        <v>2676.4106691932416</v>
      </c>
      <c r="I104" s="469">
        <f t="shared" si="43"/>
        <v>2155.9458704137642</v>
      </c>
      <c r="J104" s="469">
        <f t="shared" si="43"/>
        <v>1802.2303116743037</v>
      </c>
      <c r="K104" s="469">
        <f t="shared" si="43"/>
        <v>1620.2528527834188</v>
      </c>
      <c r="L104" s="469">
        <f t="shared" si="43"/>
        <v>1431.5827419617779</v>
      </c>
      <c r="M104" s="469">
        <f t="shared" si="43"/>
        <v>1342.6214100105603</v>
      </c>
    </row>
    <row r="105" spans="2:14" hidden="1" outlineLevel="2" x14ac:dyDescent="0.2">
      <c r="B105" t="str">
        <f>+C105&amp;D105&amp;E105&amp;F105</f>
        <v>AmericasFeedstockTotal electricity (Alk)USD/ ton H2</v>
      </c>
      <c r="C105" t="s">
        <v>199</v>
      </c>
      <c r="D105" t="s">
        <v>777</v>
      </c>
      <c r="E105" t="s">
        <v>858</v>
      </c>
      <c r="F105" s="450" t="s">
        <v>859</v>
      </c>
      <c r="G105" s="469">
        <f t="shared" si="43"/>
        <v>1956.2084796104218</v>
      </c>
      <c r="H105" s="469">
        <f t="shared" si="43"/>
        <v>1758.3851882088936</v>
      </c>
      <c r="I105" s="469">
        <f t="shared" si="43"/>
        <v>1431.52445607814</v>
      </c>
      <c r="J105" s="469">
        <f t="shared" si="43"/>
        <v>1272.4913846362986</v>
      </c>
      <c r="K105" s="469">
        <f t="shared" si="43"/>
        <v>1143.6243568704353</v>
      </c>
      <c r="L105" s="469">
        <f t="shared" si="43"/>
        <v>1089.3645951063279</v>
      </c>
      <c r="M105" s="469">
        <f t="shared" si="43"/>
        <v>1047.6668201604898</v>
      </c>
    </row>
    <row r="106" spans="2:14" hidden="1" outlineLevel="2" x14ac:dyDescent="0.2">
      <c r="B106" t="str">
        <f>+C106&amp;D106&amp;E106&amp;F106</f>
        <v>AfricaFeedstockTotal electricity (Alk)USD/ ton H2</v>
      </c>
      <c r="C106" t="s">
        <v>200</v>
      </c>
      <c r="D106" t="s">
        <v>777</v>
      </c>
      <c r="E106" t="s">
        <v>858</v>
      </c>
      <c r="F106" s="450" t="s">
        <v>859</v>
      </c>
      <c r="G106" s="469">
        <f t="shared" si="43"/>
        <v>3963.9511440634601</v>
      </c>
      <c r="H106" s="469">
        <f t="shared" si="43"/>
        <v>2233.8392780401759</v>
      </c>
      <c r="I106" s="469">
        <f t="shared" si="43"/>
        <v>1748.9181870030689</v>
      </c>
      <c r="J106" s="469">
        <f t="shared" si="43"/>
        <v>1477.2816364762236</v>
      </c>
      <c r="K106" s="469">
        <f t="shared" si="43"/>
        <v>1347.2913870358364</v>
      </c>
      <c r="L106" s="469">
        <f t="shared" si="43"/>
        <v>1214.8330358538144</v>
      </c>
      <c r="M106" s="469">
        <f t="shared" si="43"/>
        <v>1147.8382248014123</v>
      </c>
    </row>
    <row r="107" spans="2:14" hidden="1" outlineLevel="2" x14ac:dyDescent="0.2">
      <c r="G107" s="470"/>
      <c r="H107" s="470"/>
      <c r="I107" s="470"/>
      <c r="J107" s="470"/>
      <c r="K107" s="470"/>
      <c r="L107" s="470"/>
      <c r="M107" s="470"/>
    </row>
    <row r="108" spans="2:14" hidden="1" outlineLevel="2" x14ac:dyDescent="0.2">
      <c r="B108" t="str">
        <f>+C108&amp;D108&amp;E108&amp;F108</f>
        <v>EuropeFeedstockTotal electricity (PEM)USD/ ton H2</v>
      </c>
      <c r="C108" t="str">
        <f>+C102</f>
        <v>Europe</v>
      </c>
      <c r="D108" t="s">
        <v>777</v>
      </c>
      <c r="E108" t="s">
        <v>860</v>
      </c>
      <c r="F108" s="450" t="s">
        <v>859</v>
      </c>
      <c r="G108" s="469">
        <f t="shared" ref="G108:M112" si="44">INDEX(G$196:G$1072,MATCH($B108,$B$196:$B$1072,0))</f>
        <v>3560.5610202540124</v>
      </c>
      <c r="H108" s="469">
        <f t="shared" si="44"/>
        <v>2783.224296002305</v>
      </c>
      <c r="I108" s="469">
        <f t="shared" si="44"/>
        <v>2176.3361251100864</v>
      </c>
      <c r="J108" s="469">
        <f t="shared" si="44"/>
        <v>1896.7527585844393</v>
      </c>
      <c r="K108" s="469">
        <f t="shared" si="44"/>
        <v>1713.7015625988538</v>
      </c>
      <c r="L108" s="469">
        <f t="shared" si="44"/>
        <v>1532.900490259407</v>
      </c>
      <c r="M108" s="469">
        <f t="shared" si="44"/>
        <v>1394.4226060356732</v>
      </c>
      <c r="N108" s="93"/>
    </row>
    <row r="109" spans="2:14" hidden="1" outlineLevel="2" x14ac:dyDescent="0.2">
      <c r="B109" t="str">
        <f>+C109&amp;D109&amp;E109&amp;F109</f>
        <v>Middle EastFeedstockTotal electricity (PEM)USD/ ton H2</v>
      </c>
      <c r="C109" t="str">
        <f t="shared" ref="C109:C131" si="45">+C103</f>
        <v>Middle East</v>
      </c>
      <c r="D109" t="s">
        <v>777</v>
      </c>
      <c r="E109" t="s">
        <v>860</v>
      </c>
      <c r="F109" s="450" t="s">
        <v>859</v>
      </c>
      <c r="G109" s="469">
        <f t="shared" si="44"/>
        <v>2733.9260056914068</v>
      </c>
      <c r="H109" s="469">
        <f t="shared" si="44"/>
        <v>2126.4446150453568</v>
      </c>
      <c r="I109" s="469">
        <f t="shared" si="44"/>
        <v>1725.0642982143493</v>
      </c>
      <c r="J109" s="469">
        <f t="shared" si="44"/>
        <v>1442.2622953226621</v>
      </c>
      <c r="K109" s="469">
        <f t="shared" si="44"/>
        <v>1284.6710793979159</v>
      </c>
      <c r="L109" s="469">
        <f t="shared" si="44"/>
        <v>1103.4596084143488</v>
      </c>
      <c r="M109" s="469">
        <f t="shared" si="44"/>
        <v>1003.7710808247778</v>
      </c>
    </row>
    <row r="110" spans="2:14" hidden="1" outlineLevel="2" x14ac:dyDescent="0.2">
      <c r="B110" t="str">
        <f>+C110&amp;D110&amp;E110&amp;F110</f>
        <v>AsiaFeedstockTotal electricity (PEM)USD/ ton H2</v>
      </c>
      <c r="C110" t="str">
        <f t="shared" si="45"/>
        <v>Asia</v>
      </c>
      <c r="D110" t="s">
        <v>777</v>
      </c>
      <c r="E110" t="s">
        <v>860</v>
      </c>
      <c r="F110" s="450" t="s">
        <v>859</v>
      </c>
      <c r="G110" s="469">
        <f t="shared" si="44"/>
        <v>5351.7266359664427</v>
      </c>
      <c r="H110" s="469">
        <f t="shared" si="44"/>
        <v>3372.2774431834841</v>
      </c>
      <c r="I110" s="469">
        <f t="shared" si="44"/>
        <v>2634.8157253739937</v>
      </c>
      <c r="J110" s="469">
        <f t="shared" si="44"/>
        <v>2136.3112754641338</v>
      </c>
      <c r="K110" s="469">
        <f t="shared" si="44"/>
        <v>1862.8542912663538</v>
      </c>
      <c r="L110" s="469">
        <f t="shared" si="44"/>
        <v>1596.4465949991429</v>
      </c>
      <c r="M110" s="469">
        <f t="shared" si="44"/>
        <v>1452.2231577665245</v>
      </c>
    </row>
    <row r="111" spans="2:14" hidden="1" outlineLevel="2" x14ac:dyDescent="0.2">
      <c r="B111" t="str">
        <f>+C111&amp;D111&amp;E111&amp;F111</f>
        <v>AmericasFeedstockTotal electricity (PEM)USD/ ton H2</v>
      </c>
      <c r="C111" t="str">
        <f t="shared" si="45"/>
        <v>Americas</v>
      </c>
      <c r="D111" t="s">
        <v>777</v>
      </c>
      <c r="E111" t="s">
        <v>860</v>
      </c>
      <c r="F111" s="450" t="s">
        <v>859</v>
      </c>
      <c r="G111" s="469">
        <f t="shared" si="44"/>
        <v>2541.2291788823422</v>
      </c>
      <c r="H111" s="469">
        <f t="shared" si="44"/>
        <v>2215.5653371432059</v>
      </c>
      <c r="I111" s="469">
        <f t="shared" si="44"/>
        <v>1749.4887974196963</v>
      </c>
      <c r="J111" s="469">
        <f t="shared" si="44"/>
        <v>1508.3741935313562</v>
      </c>
      <c r="K111" s="469">
        <f t="shared" si="44"/>
        <v>1314.8599227170059</v>
      </c>
      <c r="L111" s="469">
        <f t="shared" si="44"/>
        <v>1214.8179407268588</v>
      </c>
      <c r="M111" s="469">
        <f t="shared" si="44"/>
        <v>1133.1906422144073</v>
      </c>
    </row>
    <row r="112" spans="2:14" hidden="1" outlineLevel="2" x14ac:dyDescent="0.2">
      <c r="B112" t="str">
        <f>+C112&amp;D112&amp;E112&amp;F112</f>
        <v>AfricaFeedstockTotal electricity (PEM)USD/ ton H2</v>
      </c>
      <c r="C112" t="str">
        <f t="shared" si="45"/>
        <v>Africa</v>
      </c>
      <c r="D112" t="s">
        <v>777</v>
      </c>
      <c r="E112" t="s">
        <v>860</v>
      </c>
      <c r="F112" s="450" t="s">
        <v>859</v>
      </c>
      <c r="G112" s="469">
        <f t="shared" si="44"/>
        <v>5149.4042766669754</v>
      </c>
      <c r="H112" s="469">
        <f t="shared" si="44"/>
        <v>2814.6374903306214</v>
      </c>
      <c r="I112" s="469">
        <f t="shared" si="44"/>
        <v>2137.3807221903439</v>
      </c>
      <c r="J112" s="469">
        <f t="shared" si="44"/>
        <v>1751.1265883150895</v>
      </c>
      <c r="K112" s="469">
        <f t="shared" si="44"/>
        <v>1549.0221403494697</v>
      </c>
      <c r="L112" s="469">
        <f t="shared" si="44"/>
        <v>1354.7355711508533</v>
      </c>
      <c r="M112" s="469">
        <f t="shared" si="44"/>
        <v>1241.5393043770378</v>
      </c>
    </row>
    <row r="113" spans="2:21" hidden="1" outlineLevel="2" x14ac:dyDescent="0.2">
      <c r="G113" s="468"/>
      <c r="H113" s="468"/>
      <c r="I113" s="468"/>
      <c r="J113" s="468"/>
      <c r="K113" s="468"/>
      <c r="L113" s="468"/>
      <c r="M113" s="468"/>
    </row>
    <row r="114" spans="2:21" hidden="1" outlineLevel="2" x14ac:dyDescent="0.2">
      <c r="B114" t="str">
        <f>+C114&amp;D114&amp;E114&amp;F114</f>
        <v>EuropeFeedstockTotal electricity (SO)USD/ ton H2</v>
      </c>
      <c r="C114" t="str">
        <f t="shared" si="45"/>
        <v>Europe</v>
      </c>
      <c r="D114" t="s">
        <v>777</v>
      </c>
      <c r="E114" t="s">
        <v>861</v>
      </c>
      <c r="F114" s="450" t="s">
        <v>859</v>
      </c>
      <c r="G114" s="469">
        <f t="shared" ref="G114:M118" si="46">INDEX(G$196:G$1072,MATCH($B114,$B$196:$B$1072,0))</f>
        <v>2448.4777460920968</v>
      </c>
      <c r="H114" s="469">
        <f t="shared" si="46"/>
        <v>1943.8391908587528</v>
      </c>
      <c r="I114" s="469">
        <f t="shared" si="46"/>
        <v>1543.7340980124063</v>
      </c>
      <c r="J114" s="469">
        <f t="shared" si="46"/>
        <v>1366.4434061588413</v>
      </c>
      <c r="K114" s="469">
        <f t="shared" si="46"/>
        <v>1253.8642400909619</v>
      </c>
      <c r="L114" s="469">
        <f t="shared" si="46"/>
        <v>1139.1048104815402</v>
      </c>
      <c r="M114" s="469">
        <f t="shared" si="46"/>
        <v>1052.3944196495647</v>
      </c>
      <c r="N114" s="93"/>
    </row>
    <row r="115" spans="2:21" hidden="1" outlineLevel="2" x14ac:dyDescent="0.2">
      <c r="B115" t="str">
        <f>+C115&amp;D115&amp;E115&amp;F115</f>
        <v>Middle EastFeedstockTotal electricity (SO)USD/ ton H2</v>
      </c>
      <c r="C115" t="str">
        <f t="shared" si="45"/>
        <v>Middle East</v>
      </c>
      <c r="D115" t="s">
        <v>777</v>
      </c>
      <c r="E115" t="s">
        <v>861</v>
      </c>
      <c r="F115" s="450" t="s">
        <v>859</v>
      </c>
      <c r="G115" s="469">
        <f t="shared" si="46"/>
        <v>1880.0287219681786</v>
      </c>
      <c r="H115" s="469">
        <f t="shared" si="46"/>
        <v>1485.1359216189794</v>
      </c>
      <c r="I115" s="469">
        <f t="shared" si="46"/>
        <v>1223.6347812691974</v>
      </c>
      <c r="J115" s="469">
        <f t="shared" si="46"/>
        <v>1039.0230326413059</v>
      </c>
      <c r="K115" s="469">
        <f t="shared" si="46"/>
        <v>939.95545192436953</v>
      </c>
      <c r="L115" s="469">
        <f t="shared" si="46"/>
        <v>819.98548249152907</v>
      </c>
      <c r="M115" s="469">
        <f t="shared" si="46"/>
        <v>757.56307986775687</v>
      </c>
    </row>
    <row r="116" spans="2:21" hidden="1" outlineLevel="2" x14ac:dyDescent="0.2">
      <c r="B116" t="str">
        <f>+C116&amp;D116&amp;E116&amp;F116</f>
        <v>AsiaFeedstockTotal electricity (SO)USD/ ton H2</v>
      </c>
      <c r="C116" t="str">
        <f t="shared" si="45"/>
        <v>Asia</v>
      </c>
      <c r="D116" t="s">
        <v>777</v>
      </c>
      <c r="E116" t="s">
        <v>861</v>
      </c>
      <c r="F116" s="450" t="s">
        <v>859</v>
      </c>
      <c r="G116" s="469">
        <f t="shared" si="46"/>
        <v>3680.2019391869148</v>
      </c>
      <c r="H116" s="469">
        <f t="shared" si="46"/>
        <v>2355.2413888900523</v>
      </c>
      <c r="I116" s="469">
        <f t="shared" si="46"/>
        <v>1868.9460834242143</v>
      </c>
      <c r="J116" s="469">
        <f t="shared" si="46"/>
        <v>1539.0242310965884</v>
      </c>
      <c r="K116" s="469">
        <f t="shared" si="46"/>
        <v>1362.9948360300552</v>
      </c>
      <c r="L116" s="469">
        <f t="shared" si="46"/>
        <v>1186.326188552955</v>
      </c>
      <c r="M116" s="469">
        <f t="shared" si="46"/>
        <v>1096.0174775596411</v>
      </c>
    </row>
    <row r="117" spans="2:21" hidden="1" outlineLevel="2" x14ac:dyDescent="0.2">
      <c r="B117" t="str">
        <f>+C117&amp;D117&amp;E117&amp;F117</f>
        <v>AmericasFeedstockTotal electricity (SO)USD/ ton H2</v>
      </c>
      <c r="C117" t="str">
        <f t="shared" si="45"/>
        <v>Americas</v>
      </c>
      <c r="D117" t="s">
        <v>777</v>
      </c>
      <c r="E117" t="s">
        <v>861</v>
      </c>
      <c r="F117" s="450" t="s">
        <v>859</v>
      </c>
      <c r="G117" s="469">
        <f t="shared" si="46"/>
        <v>1747.5176122018593</v>
      </c>
      <c r="H117" s="469">
        <f t="shared" si="46"/>
        <v>1547.3789656238264</v>
      </c>
      <c r="I117" s="469">
        <f t="shared" si="46"/>
        <v>1240.9597394018774</v>
      </c>
      <c r="J117" s="469">
        <f t="shared" si="46"/>
        <v>1086.6508359841805</v>
      </c>
      <c r="K117" s="469">
        <f t="shared" si="46"/>
        <v>962.04372675217076</v>
      </c>
      <c r="L117" s="469">
        <f t="shared" si="46"/>
        <v>902.73632824467768</v>
      </c>
      <c r="M117" s="469">
        <f t="shared" si="46"/>
        <v>855.23822053917524</v>
      </c>
    </row>
    <row r="118" spans="2:21" hidden="1" outlineLevel="2" x14ac:dyDescent="0.2">
      <c r="B118" t="str">
        <f>+C118&amp;D118&amp;E118&amp;F118</f>
        <v>AfricaFeedstockTotal electricity (SO)USD/ ton H2</v>
      </c>
      <c r="C118" t="str">
        <f t="shared" si="45"/>
        <v>Africa</v>
      </c>
      <c r="D118" t="s">
        <v>777</v>
      </c>
      <c r="E118" t="s">
        <v>861</v>
      </c>
      <c r="F118" s="450" t="s">
        <v>859</v>
      </c>
      <c r="G118" s="469">
        <f t="shared" si="46"/>
        <v>3541.0716753145502</v>
      </c>
      <c r="H118" s="469">
        <f t="shared" si="46"/>
        <v>1965.7785646753548</v>
      </c>
      <c r="I118" s="469">
        <f t="shared" si="46"/>
        <v>1516.1019767168154</v>
      </c>
      <c r="J118" s="469">
        <f t="shared" si="46"/>
        <v>1261.5325688195428</v>
      </c>
      <c r="K118" s="469">
        <f t="shared" si="46"/>
        <v>1133.3732262856154</v>
      </c>
      <c r="L118" s="469">
        <f t="shared" si="46"/>
        <v>1006.7097087086495</v>
      </c>
      <c r="M118" s="469">
        <f t="shared" si="46"/>
        <v>937.01079575625488</v>
      </c>
    </row>
    <row r="119" spans="2:21" hidden="1" outlineLevel="1" x14ac:dyDescent="0.2">
      <c r="G119" s="469"/>
      <c r="H119" s="469"/>
      <c r="I119" s="469"/>
      <c r="J119" s="469"/>
      <c r="K119" s="469"/>
      <c r="L119" s="469"/>
      <c r="M119" s="469"/>
    </row>
    <row r="120" spans="2:21" ht="15" hidden="1" outlineLevel="1" collapsed="1" x14ac:dyDescent="0.25">
      <c r="B120" s="30" t="s">
        <v>862</v>
      </c>
      <c r="C120" s="30" t="str">
        <f>+B120</f>
        <v>Split in Alkaline, PEM and SO</v>
      </c>
      <c r="G120" s="469"/>
      <c r="H120" s="469"/>
      <c r="I120" s="469"/>
      <c r="J120" s="469"/>
      <c r="K120" s="469"/>
      <c r="L120" s="469"/>
      <c r="M120" s="469"/>
    </row>
    <row r="121" spans="2:21" hidden="1" outlineLevel="2" x14ac:dyDescent="0.2">
      <c r="B121" t="str">
        <f>+C121&amp;D121&amp;E121&amp;F121</f>
        <v>EuropeResultsCost of e-Hydrogen (Alk)USD/ton</v>
      </c>
      <c r="C121" t="str">
        <f>+C114</f>
        <v>Europe</v>
      </c>
      <c r="D121" t="s">
        <v>838</v>
      </c>
      <c r="E121" t="s">
        <v>863</v>
      </c>
      <c r="F121" s="450" t="s">
        <v>205</v>
      </c>
      <c r="G121" s="469">
        <f t="shared" ref="G121:M125" si="47">INDEX(G$196:G$1072,MATCH($B121,$B$196:$B$1072,0))</f>
        <v>4433.3113438584514</v>
      </c>
      <c r="H121" s="469">
        <f t="shared" si="47"/>
        <v>3536.2505526243804</v>
      </c>
      <c r="I121" s="469">
        <f t="shared" si="47"/>
        <v>2745.9622583071623</v>
      </c>
      <c r="J121" s="469">
        <f t="shared" si="47"/>
        <v>2472.606494687323</v>
      </c>
      <c r="K121" s="469">
        <f t="shared" si="47"/>
        <v>2271.0318908248323</v>
      </c>
      <c r="L121" s="469">
        <f t="shared" si="47"/>
        <v>2063.8695862418363</v>
      </c>
      <c r="M121" s="469">
        <f t="shared" si="47"/>
        <v>1887.9402247843987</v>
      </c>
      <c r="N121" s="93"/>
      <c r="O121" s="469"/>
      <c r="P121" s="469"/>
      <c r="Q121" s="469"/>
      <c r="R121" s="469"/>
      <c r="S121" s="469"/>
      <c r="T121" s="469"/>
      <c r="U121" s="469"/>
    </row>
    <row r="122" spans="2:21" hidden="1" outlineLevel="2" x14ac:dyDescent="0.2">
      <c r="B122" t="str">
        <f>+C122&amp;D122&amp;E122&amp;F122</f>
        <v>Middle EastResultsCost of e-Hydrogen (Alk)USD/ton</v>
      </c>
      <c r="C122" t="str">
        <f>+C115</f>
        <v>Middle East</v>
      </c>
      <c r="D122" t="s">
        <v>838</v>
      </c>
      <c r="E122" t="s">
        <v>863</v>
      </c>
      <c r="F122" s="450" t="s">
        <v>205</v>
      </c>
      <c r="G122" s="469">
        <f t="shared" si="47"/>
        <v>3796.9773845020354</v>
      </c>
      <c r="H122" s="469">
        <f t="shared" si="47"/>
        <v>3014.9968375791836</v>
      </c>
      <c r="I122" s="469">
        <f t="shared" si="47"/>
        <v>2376.7077323604422</v>
      </c>
      <c r="J122" s="469">
        <f t="shared" si="47"/>
        <v>2089.190230089217</v>
      </c>
      <c r="K122" s="469">
        <f t="shared" si="47"/>
        <v>1897.8744905942331</v>
      </c>
      <c r="L122" s="469">
        <f t="shared" si="47"/>
        <v>1678.77674501055</v>
      </c>
      <c r="M122" s="469">
        <f t="shared" si="47"/>
        <v>1526.7718335516838</v>
      </c>
      <c r="O122" s="469"/>
      <c r="P122" s="469"/>
      <c r="Q122" s="469"/>
      <c r="R122" s="469"/>
      <c r="S122" s="469"/>
      <c r="T122" s="469"/>
      <c r="U122" s="469"/>
    </row>
    <row r="123" spans="2:21" hidden="1" outlineLevel="2" x14ac:dyDescent="0.2">
      <c r="B123" t="str">
        <f>+C123&amp;D123&amp;E123&amp;F123</f>
        <v>AsiaResultsCost of e-Hydrogen (Alk)USD/ton</v>
      </c>
      <c r="C123" t="str">
        <f>+C116</f>
        <v>Asia</v>
      </c>
      <c r="D123" t="s">
        <v>838</v>
      </c>
      <c r="E123" t="s">
        <v>863</v>
      </c>
      <c r="F123" s="450" t="s">
        <v>205</v>
      </c>
      <c r="G123" s="469">
        <f t="shared" si="47"/>
        <v>5812.129671209912</v>
      </c>
      <c r="H123" s="469">
        <f t="shared" si="47"/>
        <v>4003.7530503872213</v>
      </c>
      <c r="I123" s="469">
        <f t="shared" si="47"/>
        <v>3121.1145664320961</v>
      </c>
      <c r="J123" s="469">
        <f t="shared" si="47"/>
        <v>2674.7023341368085</v>
      </c>
      <c r="K123" s="469">
        <f t="shared" si="47"/>
        <v>2400.7603055789818</v>
      </c>
      <c r="L123" s="469">
        <f t="shared" si="47"/>
        <v>2120.8533319864596</v>
      </c>
      <c r="M123" s="469">
        <f t="shared" si="47"/>
        <v>1941.3784707242421</v>
      </c>
      <c r="O123" s="469"/>
      <c r="P123" s="469"/>
      <c r="Q123" s="469"/>
      <c r="R123" s="469"/>
      <c r="S123" s="469"/>
      <c r="T123" s="469"/>
      <c r="U123" s="469"/>
    </row>
    <row r="124" spans="2:21" hidden="1" outlineLevel="2" x14ac:dyDescent="0.2">
      <c r="B124" t="str">
        <f>+C124&amp;D124&amp;E124&amp;F124</f>
        <v>AmericasResultsCost of e-Hydrogen (Alk)USD/ton</v>
      </c>
      <c r="C124" t="str">
        <f>+C117</f>
        <v>Americas</v>
      </c>
      <c r="D124" t="s">
        <v>838</v>
      </c>
      <c r="E124" t="s">
        <v>863</v>
      </c>
      <c r="F124" s="450" t="s">
        <v>205</v>
      </c>
      <c r="G124" s="469">
        <f t="shared" si="47"/>
        <v>3648.6416225288863</v>
      </c>
      <c r="H124" s="469">
        <f t="shared" si="47"/>
        <v>3085.7275694028735</v>
      </c>
      <c r="I124" s="469">
        <f t="shared" si="47"/>
        <v>2396.6931520964722</v>
      </c>
      <c r="J124" s="469">
        <f t="shared" si="47"/>
        <v>2144.9634070988031</v>
      </c>
      <c r="K124" s="469">
        <f t="shared" si="47"/>
        <v>1924.1318096659982</v>
      </c>
      <c r="L124" s="469">
        <f t="shared" si="47"/>
        <v>1778.6351851310098</v>
      </c>
      <c r="M124" s="469">
        <f t="shared" si="47"/>
        <v>1646.4238808741716</v>
      </c>
      <c r="O124" s="469"/>
      <c r="P124" s="469"/>
      <c r="Q124" s="469"/>
      <c r="R124" s="469"/>
      <c r="S124" s="469"/>
      <c r="T124" s="469"/>
      <c r="U124" s="469"/>
    </row>
    <row r="125" spans="2:21" hidden="1" outlineLevel="2" x14ac:dyDescent="0.2">
      <c r="B125" t="str">
        <f>+C125&amp;D125&amp;E125&amp;F125</f>
        <v>AfricaResultsCost of e-Hydrogen (Alk)USD/ton</v>
      </c>
      <c r="C125" t="str">
        <f>+C118</f>
        <v>Africa</v>
      </c>
      <c r="D125" t="s">
        <v>838</v>
      </c>
      <c r="E125" t="s">
        <v>863</v>
      </c>
      <c r="F125" s="450" t="s">
        <v>205</v>
      </c>
      <c r="G125" s="469">
        <f t="shared" si="47"/>
        <v>5656.3842869819237</v>
      </c>
      <c r="H125" s="469">
        <f t="shared" si="47"/>
        <v>3561.1816592341556</v>
      </c>
      <c r="I125" s="469">
        <f t="shared" si="47"/>
        <v>2714.0868830214008</v>
      </c>
      <c r="J125" s="469">
        <f t="shared" si="47"/>
        <v>2349.7536589387282</v>
      </c>
      <c r="K125" s="469">
        <f t="shared" si="47"/>
        <v>2127.7988398313992</v>
      </c>
      <c r="L125" s="469">
        <f t="shared" si="47"/>
        <v>1904.1036258784964</v>
      </c>
      <c r="M125" s="469">
        <f t="shared" si="47"/>
        <v>1746.595285515094</v>
      </c>
      <c r="O125" s="469"/>
      <c r="P125" s="469"/>
      <c r="Q125" s="469"/>
      <c r="R125" s="469"/>
      <c r="S125" s="469"/>
      <c r="T125" s="469"/>
      <c r="U125" s="469"/>
    </row>
    <row r="126" spans="2:21" ht="15" hidden="1" outlineLevel="2" x14ac:dyDescent="0.25">
      <c r="E126" s="30"/>
      <c r="G126" s="469"/>
      <c r="H126" s="469"/>
      <c r="I126" s="469"/>
      <c r="J126" s="469"/>
      <c r="K126" s="469"/>
      <c r="L126" s="469"/>
      <c r="M126" s="469"/>
      <c r="O126" s="469"/>
      <c r="P126" s="469"/>
      <c r="Q126" s="469"/>
      <c r="R126" s="469"/>
      <c r="S126" s="469"/>
      <c r="T126" s="469"/>
      <c r="U126" s="469"/>
    </row>
    <row r="127" spans="2:21" hidden="1" outlineLevel="2" x14ac:dyDescent="0.2">
      <c r="B127" t="str">
        <f>+C127&amp;D127&amp;E127&amp;F127</f>
        <v>EuropeResultsCost of e-Hydrogen (PEM)USD/ton</v>
      </c>
      <c r="C127" t="str">
        <f t="shared" si="45"/>
        <v>Europe</v>
      </c>
      <c r="D127" t="s">
        <v>838</v>
      </c>
      <c r="E127" t="s">
        <v>864</v>
      </c>
      <c r="F127" s="450" t="s">
        <v>205</v>
      </c>
      <c r="G127" s="469">
        <f t="shared" ref="G127:M131" si="48">INDEX(G$196:G$1072,MATCH($B127,$B$196:$B$1072,0))</f>
        <v>5807.9471348361349</v>
      </c>
      <c r="H127" s="469">
        <f t="shared" si="48"/>
        <v>4452.1656963067189</v>
      </c>
      <c r="I127" s="469">
        <f t="shared" si="48"/>
        <v>3325.9311260608374</v>
      </c>
      <c r="J127" s="469">
        <f t="shared" si="48"/>
        <v>2882.2881849184018</v>
      </c>
      <c r="K127" s="469">
        <f t="shared" si="48"/>
        <v>2550.3781945270089</v>
      </c>
      <c r="L127" s="469">
        <f t="shared" si="48"/>
        <v>2234.57619547685</v>
      </c>
      <c r="M127" s="469">
        <f t="shared" si="48"/>
        <v>1973.7309943326461</v>
      </c>
      <c r="N127" s="93"/>
      <c r="O127" s="469"/>
      <c r="P127" s="469"/>
      <c r="Q127" s="469"/>
      <c r="R127" s="469"/>
      <c r="S127" s="469"/>
      <c r="T127" s="469"/>
      <c r="U127" s="469"/>
    </row>
    <row r="128" spans="2:21" hidden="1" outlineLevel="2" x14ac:dyDescent="0.2">
      <c r="B128" t="str">
        <f>+C128&amp;D128&amp;E128&amp;F128</f>
        <v>Middle EastResultsCost of e-Hydrogen (PEM)USD/ton</v>
      </c>
      <c r="C128" t="str">
        <f t="shared" si="45"/>
        <v>Middle East</v>
      </c>
      <c r="D128" t="s">
        <v>838</v>
      </c>
      <c r="E128" t="s">
        <v>864</v>
      </c>
      <c r="F128" s="450" t="s">
        <v>205</v>
      </c>
      <c r="G128" s="469">
        <f t="shared" si="48"/>
        <v>4981.3121202735292</v>
      </c>
      <c r="H128" s="469">
        <f t="shared" si="48"/>
        <v>3795.3860153497712</v>
      </c>
      <c r="I128" s="469">
        <f t="shared" si="48"/>
        <v>2874.6592991651005</v>
      </c>
      <c r="J128" s="469">
        <f t="shared" si="48"/>
        <v>2427.7977216566246</v>
      </c>
      <c r="K128" s="469">
        <f t="shared" si="48"/>
        <v>2121.347711326071</v>
      </c>
      <c r="L128" s="469">
        <f t="shared" si="48"/>
        <v>1805.1353136317919</v>
      </c>
      <c r="M128" s="469">
        <f t="shared" si="48"/>
        <v>1583.0794691217504</v>
      </c>
      <c r="O128" s="469"/>
      <c r="P128" s="469"/>
      <c r="Q128" s="469"/>
      <c r="R128" s="469"/>
      <c r="S128" s="469"/>
      <c r="T128" s="469"/>
      <c r="U128" s="469"/>
    </row>
    <row r="129" spans="2:21" hidden="1" outlineLevel="2" x14ac:dyDescent="0.2">
      <c r="B129" t="str">
        <f>+C129&amp;D129&amp;E129&amp;F129</f>
        <v>AsiaResultsCost of e-Hydrogen (PEM)USD/ton</v>
      </c>
      <c r="C129" t="str">
        <f t="shared" si="45"/>
        <v>Asia</v>
      </c>
      <c r="D129" t="s">
        <v>838</v>
      </c>
      <c r="E129" t="s">
        <v>864</v>
      </c>
      <c r="F129" s="450" t="s">
        <v>205</v>
      </c>
      <c r="G129" s="469">
        <f t="shared" si="48"/>
        <v>7599.1127505485656</v>
      </c>
      <c r="H129" s="469">
        <f t="shared" si="48"/>
        <v>5041.2188434878981</v>
      </c>
      <c r="I129" s="469">
        <f t="shared" si="48"/>
        <v>3784.4107263247452</v>
      </c>
      <c r="J129" s="469">
        <f t="shared" si="48"/>
        <v>3121.8467017980965</v>
      </c>
      <c r="K129" s="469">
        <f t="shared" si="48"/>
        <v>2699.5309231945089</v>
      </c>
      <c r="L129" s="469">
        <f t="shared" si="48"/>
        <v>2298.1223002165862</v>
      </c>
      <c r="M129" s="469">
        <f t="shared" si="48"/>
        <v>2031.5315460634972</v>
      </c>
      <c r="O129" s="469"/>
      <c r="P129" s="469"/>
      <c r="Q129" s="469"/>
      <c r="R129" s="469"/>
      <c r="S129" s="469"/>
      <c r="T129" s="469"/>
      <c r="U129" s="469"/>
    </row>
    <row r="130" spans="2:21" hidden="1" outlineLevel="2" x14ac:dyDescent="0.2">
      <c r="B130" t="str">
        <f>+C130&amp;D130&amp;E130&amp;F130</f>
        <v>AmericasResultsCost of e-Hydrogen (PEM)USD/ton</v>
      </c>
      <c r="C130" t="str">
        <f t="shared" si="45"/>
        <v>Americas</v>
      </c>
      <c r="D130" t="s">
        <v>838</v>
      </c>
      <c r="E130" t="s">
        <v>864</v>
      </c>
      <c r="F130" s="450" t="s">
        <v>205</v>
      </c>
      <c r="G130" s="469">
        <f t="shared" si="48"/>
        <v>4788.6152934644642</v>
      </c>
      <c r="H130" s="469">
        <f t="shared" si="48"/>
        <v>3884.5067374476203</v>
      </c>
      <c r="I130" s="469">
        <f t="shared" si="48"/>
        <v>2899.0837983704478</v>
      </c>
      <c r="J130" s="469">
        <f t="shared" si="48"/>
        <v>2493.9096198653187</v>
      </c>
      <c r="K130" s="469">
        <f t="shared" si="48"/>
        <v>2151.5365546451608</v>
      </c>
      <c r="L130" s="469">
        <f t="shared" si="48"/>
        <v>1916.4936459443018</v>
      </c>
      <c r="M130" s="469">
        <f t="shared" si="48"/>
        <v>1712.4990305113799</v>
      </c>
      <c r="O130" s="469"/>
      <c r="P130" s="469"/>
      <c r="Q130" s="469"/>
      <c r="R130" s="469"/>
      <c r="S130" s="469"/>
      <c r="T130" s="469"/>
      <c r="U130" s="469"/>
    </row>
    <row r="131" spans="2:21" hidden="1" outlineLevel="2" x14ac:dyDescent="0.2">
      <c r="B131" t="str">
        <f>+C131&amp;D131&amp;E131&amp;F131</f>
        <v>AfricaResultsCost of e-Hydrogen (PEM)USD/ton</v>
      </c>
      <c r="C131" t="str">
        <f t="shared" si="45"/>
        <v>Africa</v>
      </c>
      <c r="D131" t="s">
        <v>838</v>
      </c>
      <c r="E131" t="s">
        <v>864</v>
      </c>
      <c r="F131" s="450" t="s">
        <v>205</v>
      </c>
      <c r="G131" s="469">
        <f t="shared" si="48"/>
        <v>7396.7903912490983</v>
      </c>
      <c r="H131" s="469">
        <f t="shared" si="48"/>
        <v>4483.5788906350353</v>
      </c>
      <c r="I131" s="469">
        <f t="shared" si="48"/>
        <v>3286.9757231410949</v>
      </c>
      <c r="J131" s="469">
        <f t="shared" si="48"/>
        <v>2736.6620146490523</v>
      </c>
      <c r="K131" s="469">
        <f t="shared" si="48"/>
        <v>2385.6987722776248</v>
      </c>
      <c r="L131" s="469">
        <f t="shared" si="48"/>
        <v>2056.4112763682965</v>
      </c>
      <c r="M131" s="469">
        <f t="shared" si="48"/>
        <v>1820.8476926740107</v>
      </c>
      <c r="O131" s="469"/>
      <c r="P131" s="469"/>
      <c r="Q131" s="469"/>
      <c r="R131" s="469"/>
      <c r="S131" s="469"/>
      <c r="T131" s="469"/>
      <c r="U131" s="469"/>
    </row>
    <row r="132" spans="2:21" ht="15" hidden="1" outlineLevel="2" x14ac:dyDescent="0.25">
      <c r="E132" s="30"/>
      <c r="G132" s="471"/>
      <c r="H132" s="471"/>
      <c r="I132" s="471"/>
      <c r="J132" s="471"/>
      <c r="K132" s="471"/>
      <c r="L132" s="471"/>
      <c r="M132" s="471"/>
      <c r="O132" s="471"/>
      <c r="P132" s="471"/>
      <c r="Q132" s="471"/>
      <c r="R132" s="471"/>
      <c r="S132" s="471"/>
      <c r="T132" s="471"/>
      <c r="U132" s="471"/>
    </row>
    <row r="133" spans="2:21" hidden="1" outlineLevel="2" x14ac:dyDescent="0.2">
      <c r="B133" t="str">
        <f>+C133&amp;D133&amp;E133&amp;F133</f>
        <v>EuropeResultsCost of e-Hydrogen (SO)USD/ton</v>
      </c>
      <c r="C133" t="str">
        <f>+C127</f>
        <v>Europe</v>
      </c>
      <c r="D133" t="s">
        <v>838</v>
      </c>
      <c r="E133" t="s">
        <v>865</v>
      </c>
      <c r="F133" s="450" t="s">
        <v>205</v>
      </c>
      <c r="G133" s="469">
        <f t="shared" ref="G133:M137" si="49">INDEX(G$196:G$1072,MATCH($B133,$B$196:$B$1072,0))</f>
        <v>6611.9552516495905</v>
      </c>
      <c r="H133" s="469">
        <f t="shared" si="49"/>
        <v>5110.5609057243037</v>
      </c>
      <c r="I133" s="469">
        <f t="shared" si="49"/>
        <v>3906.0885169005041</v>
      </c>
      <c r="J133" s="469">
        <f t="shared" si="49"/>
        <v>3116.1076629953232</v>
      </c>
      <c r="K133" s="469">
        <f t="shared" si="49"/>
        <v>2498.9544006728484</v>
      </c>
      <c r="L133" s="469">
        <f t="shared" si="49"/>
        <v>1963.6313381511518</v>
      </c>
      <c r="M133" s="469">
        <f t="shared" si="49"/>
        <v>1521.6698297628745</v>
      </c>
      <c r="N133" s="93"/>
      <c r="O133" s="469"/>
      <c r="P133" s="469"/>
      <c r="Q133" s="469"/>
      <c r="R133" s="469"/>
      <c r="S133" s="469"/>
      <c r="T133" s="469"/>
      <c r="U133" s="469"/>
    </row>
    <row r="134" spans="2:21" hidden="1" outlineLevel="2" x14ac:dyDescent="0.2">
      <c r="B134" t="str">
        <f>+C134&amp;D134&amp;E134&amp;F134</f>
        <v>Middle EastResultsCost of e-Hydrogen (SO)USD/ton</v>
      </c>
      <c r="C134" t="str">
        <f>+C128</f>
        <v>Middle East</v>
      </c>
      <c r="D134" t="s">
        <v>838</v>
      </c>
      <c r="E134" t="s">
        <v>865</v>
      </c>
      <c r="F134" s="450" t="s">
        <v>205</v>
      </c>
      <c r="G134" s="469">
        <f t="shared" si="49"/>
        <v>6043.5062275256723</v>
      </c>
      <c r="H134" s="469">
        <f t="shared" si="49"/>
        <v>4651.8576364845303</v>
      </c>
      <c r="I134" s="469">
        <f t="shared" si="49"/>
        <v>3585.9892001572953</v>
      </c>
      <c r="J134" s="469">
        <f t="shared" si="49"/>
        <v>2788.687289477788</v>
      </c>
      <c r="K134" s="469">
        <f t="shared" si="49"/>
        <v>2185.045612506256</v>
      </c>
      <c r="L134" s="469">
        <f t="shared" si="49"/>
        <v>1644.5120101611406</v>
      </c>
      <c r="M134" s="469">
        <f t="shared" si="49"/>
        <v>1226.8384899810667</v>
      </c>
      <c r="O134" s="469"/>
      <c r="P134" s="469"/>
      <c r="Q134" s="469"/>
      <c r="R134" s="469"/>
      <c r="S134" s="469"/>
      <c r="T134" s="469"/>
      <c r="U134" s="469"/>
    </row>
    <row r="135" spans="2:21" hidden="1" outlineLevel="2" x14ac:dyDescent="0.2">
      <c r="B135" t="str">
        <f>+C135&amp;D135&amp;E135&amp;F135</f>
        <v>AsiaResultsCost of e-Hydrogen (SO)USD/ton</v>
      </c>
      <c r="C135" t="str">
        <f>+C129</f>
        <v>Asia</v>
      </c>
      <c r="D135" t="s">
        <v>838</v>
      </c>
      <c r="E135" t="s">
        <v>865</v>
      </c>
      <c r="F135" s="450" t="s">
        <v>205</v>
      </c>
      <c r="G135" s="469">
        <f t="shared" si="49"/>
        <v>7843.6794447444081</v>
      </c>
      <c r="H135" s="469">
        <f t="shared" si="49"/>
        <v>5521.9631037556028</v>
      </c>
      <c r="I135" s="469">
        <f t="shared" si="49"/>
        <v>4231.3005023123114</v>
      </c>
      <c r="J135" s="469">
        <f t="shared" si="49"/>
        <v>3288.688487933071</v>
      </c>
      <c r="K135" s="469">
        <f t="shared" si="49"/>
        <v>2608.0849966119417</v>
      </c>
      <c r="L135" s="469">
        <f t="shared" si="49"/>
        <v>2010.8527162225664</v>
      </c>
      <c r="M135" s="469">
        <f t="shared" si="49"/>
        <v>1565.2928876729509</v>
      </c>
      <c r="O135" s="469"/>
      <c r="P135" s="469"/>
      <c r="Q135" s="469"/>
      <c r="R135" s="469"/>
      <c r="S135" s="469"/>
      <c r="T135" s="469"/>
      <c r="U135" s="469"/>
    </row>
    <row r="136" spans="2:21" hidden="1" outlineLevel="2" x14ac:dyDescent="0.2">
      <c r="B136" t="str">
        <f>+C136&amp;D136&amp;E136&amp;F136</f>
        <v>AmericasResultsCost of e-Hydrogen (SO)USD/ton</v>
      </c>
      <c r="C136" t="str">
        <f>+C130</f>
        <v>Americas</v>
      </c>
      <c r="D136" t="s">
        <v>838</v>
      </c>
      <c r="E136" t="s">
        <v>865</v>
      </c>
      <c r="F136" s="450" t="s">
        <v>205</v>
      </c>
      <c r="G136" s="469">
        <f t="shared" si="49"/>
        <v>5910.995117759353</v>
      </c>
      <c r="H136" s="469">
        <f t="shared" si="49"/>
        <v>4714.1006804893768</v>
      </c>
      <c r="I136" s="469">
        <f t="shared" si="49"/>
        <v>3603.3141582899752</v>
      </c>
      <c r="J136" s="469">
        <f t="shared" si="49"/>
        <v>2836.3150928206624</v>
      </c>
      <c r="K136" s="469">
        <f t="shared" si="49"/>
        <v>2207.1338873340574</v>
      </c>
      <c r="L136" s="469">
        <f t="shared" si="49"/>
        <v>1727.262855914289</v>
      </c>
      <c r="M136" s="469">
        <f t="shared" si="49"/>
        <v>1324.5136306524851</v>
      </c>
      <c r="O136" s="469"/>
      <c r="P136" s="469"/>
      <c r="Q136" s="469"/>
      <c r="R136" s="469"/>
      <c r="S136" s="469"/>
      <c r="T136" s="469"/>
      <c r="U136" s="469"/>
    </row>
    <row r="137" spans="2:21" hidden="1" outlineLevel="2" x14ac:dyDescent="0.2">
      <c r="B137" t="str">
        <f>+C137&amp;D137&amp;E137&amp;F137</f>
        <v>AfricaResultsCost of e-Hydrogen (SO)USD/ton</v>
      </c>
      <c r="C137" t="str">
        <f>+C131</f>
        <v>Africa</v>
      </c>
      <c r="D137" t="s">
        <v>838</v>
      </c>
      <c r="E137" t="s">
        <v>865</v>
      </c>
      <c r="F137" s="450" t="s">
        <v>205</v>
      </c>
      <c r="G137" s="469">
        <f t="shared" si="49"/>
        <v>7704.5491808720435</v>
      </c>
      <c r="H137" s="469">
        <f t="shared" si="49"/>
        <v>5132.5002795409055</v>
      </c>
      <c r="I137" s="469">
        <f t="shared" si="49"/>
        <v>3878.4563956049133</v>
      </c>
      <c r="J137" s="469">
        <f t="shared" si="49"/>
        <v>3011.1968256560249</v>
      </c>
      <c r="K137" s="469">
        <f t="shared" si="49"/>
        <v>2378.4633868675019</v>
      </c>
      <c r="L137" s="469">
        <f t="shared" si="49"/>
        <v>1831.2362363782609</v>
      </c>
      <c r="M137" s="469">
        <f t="shared" si="49"/>
        <v>1406.2862058695646</v>
      </c>
      <c r="O137" s="469"/>
      <c r="P137" s="469"/>
      <c r="Q137" s="469"/>
      <c r="R137" s="469"/>
      <c r="S137" s="469"/>
      <c r="T137" s="469"/>
      <c r="U137" s="469"/>
    </row>
    <row r="138" spans="2:21" hidden="1" outlineLevel="2" x14ac:dyDescent="0.2"/>
    <row r="139" spans="2:21" ht="15" hidden="1" outlineLevel="2" x14ac:dyDescent="0.25">
      <c r="B139" s="472" t="str">
        <f>+C139&amp;D139&amp;E139&amp;F139</f>
        <v>GlobalResultsElectrolysis AlkalineMarketshare</v>
      </c>
      <c r="C139" s="472" t="s">
        <v>109</v>
      </c>
      <c r="D139" s="472" t="s">
        <v>838</v>
      </c>
      <c r="E139" s="473" t="s">
        <v>866</v>
      </c>
      <c r="F139" s="474" t="s">
        <v>867</v>
      </c>
      <c r="G139" s="475">
        <f>INDEX('Fuel Model -  Input'!$B$3:$N$373,MATCH($B139,'Fuel Model -  Input'!$B$3:$B$373,0),MATCH(G$2,'Fuel Model -  Input'!$B$3:$N$3,0))</f>
        <v>0.8</v>
      </c>
      <c r="H139" s="475">
        <f>INDEX('Fuel Model -  Input'!$B$3:$N$373,MATCH($B139,'Fuel Model -  Input'!$B$3:$B$373,0),MATCH(H$2,'Fuel Model -  Input'!$B$3:$N$3,0))</f>
        <v>0.7</v>
      </c>
      <c r="I139" s="475">
        <f>INDEX('Fuel Model -  Input'!$B$3:$N$373,MATCH($B139,'Fuel Model -  Input'!$B$3:$B$373,0),MATCH(I$2,'Fuel Model -  Input'!$B$3:$N$3,0))</f>
        <v>0.5</v>
      </c>
      <c r="J139" s="475">
        <f>INDEX('Fuel Model -  Input'!$B$3:$N$373,MATCH($B139,'Fuel Model -  Input'!$B$3:$B$373,0),MATCH(J$2,'Fuel Model -  Input'!$B$3:$N$3,0))</f>
        <v>0.25</v>
      </c>
      <c r="K139" s="475">
        <f>INDEX('Fuel Model -  Input'!$B$3:$N$373,MATCH($B139,'Fuel Model -  Input'!$B$3:$B$373,0),MATCH(K$2,'Fuel Model -  Input'!$B$3:$N$3,0))</f>
        <v>0.05</v>
      </c>
      <c r="L139" s="475">
        <f>INDEX('Fuel Model -  Input'!$B$3:$N$373,MATCH($B139,'Fuel Model -  Input'!$B$3:$B$373,0),MATCH(L$2,'Fuel Model -  Input'!$B$3:$N$3,0))</f>
        <v>0</v>
      </c>
      <c r="M139" s="475">
        <f>INDEX('Fuel Model -  Input'!$B$3:$N$373,MATCH($B139,'Fuel Model -  Input'!$B$3:$B$373,0),MATCH(M$2,'Fuel Model -  Input'!$B$3:$N$3,0))</f>
        <v>0</v>
      </c>
    </row>
    <row r="140" spans="2:21" ht="15" hidden="1" outlineLevel="2" x14ac:dyDescent="0.25">
      <c r="B140" t="str">
        <f>+C140&amp;D140&amp;E140&amp;F140</f>
        <v>GlobalResultsElectrolysis PEMMarketshare</v>
      </c>
      <c r="C140" t="s">
        <v>109</v>
      </c>
      <c r="D140" t="s">
        <v>838</v>
      </c>
      <c r="E140" s="30" t="s">
        <v>868</v>
      </c>
      <c r="F140" s="450" t="s">
        <v>867</v>
      </c>
      <c r="G140" s="467">
        <f>INDEX('Fuel Model -  Input'!$B$3:$N$373,MATCH($B140,'Fuel Model -  Input'!$B$3:$B$373,0),MATCH(G$2,'Fuel Model -  Input'!$B$3:$N$3,0))</f>
        <v>0.19999999999999996</v>
      </c>
      <c r="H140" s="467">
        <f>INDEX('Fuel Model -  Input'!$B$3:$N$373,MATCH($B140,'Fuel Model -  Input'!$B$3:$B$373,0),MATCH(H$2,'Fuel Model -  Input'!$B$3:$N$3,0))</f>
        <v>0.25</v>
      </c>
      <c r="I140" s="467">
        <f>INDEX('Fuel Model -  Input'!$B$3:$N$373,MATCH($B140,'Fuel Model -  Input'!$B$3:$B$373,0),MATCH(I$2,'Fuel Model -  Input'!$B$3:$N$3,0))</f>
        <v>0.32499999999999996</v>
      </c>
      <c r="J140" s="467">
        <f>INDEX('Fuel Model -  Input'!$B$3:$N$373,MATCH($B140,'Fuel Model -  Input'!$B$3:$B$373,0),MATCH(J$2,'Fuel Model -  Input'!$B$3:$N$3,0))</f>
        <v>0.375</v>
      </c>
      <c r="K140" s="467">
        <f>INDEX('Fuel Model -  Input'!$B$3:$N$373,MATCH($B140,'Fuel Model -  Input'!$B$3:$B$373,0),MATCH(K$2,'Fuel Model -  Input'!$B$3:$N$3,0))</f>
        <v>0.39999999999999997</v>
      </c>
      <c r="L140" s="467">
        <f>INDEX('Fuel Model -  Input'!$B$3:$N$373,MATCH($B140,'Fuel Model -  Input'!$B$3:$B$373,0),MATCH(L$2,'Fuel Model -  Input'!$B$3:$N$3,0))</f>
        <v>0.30000000000000004</v>
      </c>
      <c r="M140" s="467">
        <f>INDEX('Fuel Model -  Input'!$B$3:$N$373,MATCH($B140,'Fuel Model -  Input'!$B$3:$B$373,0),MATCH(M$2,'Fuel Model -  Input'!$B$3:$N$3,0))</f>
        <v>0.19999999999999996</v>
      </c>
    </row>
    <row r="141" spans="2:21" ht="15" hidden="1" outlineLevel="2" x14ac:dyDescent="0.25">
      <c r="B141" s="476" t="str">
        <f>+C141&amp;D141&amp;E141&amp;F141</f>
        <v>GlobalResultsElectrolysis Solid OxideMarketshare</v>
      </c>
      <c r="C141" s="476" t="s">
        <v>109</v>
      </c>
      <c r="D141" s="476" t="s">
        <v>838</v>
      </c>
      <c r="E141" s="477" t="s">
        <v>869</v>
      </c>
      <c r="F141" s="478" t="s">
        <v>867</v>
      </c>
      <c r="G141" s="479">
        <f>INDEX('Fuel Model -  Input'!$B$3:$N$373,MATCH($B141,'Fuel Model -  Input'!$B$3:$B$373,0),MATCH(G$2,'Fuel Model -  Input'!$B$3:$N$3,0))</f>
        <v>0</v>
      </c>
      <c r="H141" s="479">
        <f>INDEX('Fuel Model -  Input'!$B$3:$N$373,MATCH($B141,'Fuel Model -  Input'!$B$3:$B$373,0),MATCH(H$2,'Fuel Model -  Input'!$B$3:$N$3,0))</f>
        <v>0.05</v>
      </c>
      <c r="I141" s="479">
        <f>INDEX('Fuel Model -  Input'!$B$3:$N$373,MATCH($B141,'Fuel Model -  Input'!$B$3:$B$373,0),MATCH(I$2,'Fuel Model -  Input'!$B$3:$N$3,0))</f>
        <v>0.17499999999999999</v>
      </c>
      <c r="J141" s="479">
        <f>INDEX('Fuel Model -  Input'!$B$3:$N$373,MATCH($B141,'Fuel Model -  Input'!$B$3:$B$373,0),MATCH(J$2,'Fuel Model -  Input'!$B$3:$N$3,0))</f>
        <v>0.375</v>
      </c>
      <c r="K141" s="479">
        <f>INDEX('Fuel Model -  Input'!$B$3:$N$373,MATCH($B141,'Fuel Model -  Input'!$B$3:$B$373,0),MATCH(K$2,'Fuel Model -  Input'!$B$3:$N$3,0))</f>
        <v>0.55000000000000004</v>
      </c>
      <c r="L141" s="479">
        <f>INDEX('Fuel Model -  Input'!$B$3:$N$373,MATCH($B141,'Fuel Model -  Input'!$B$3:$B$373,0),MATCH(L$2,'Fuel Model -  Input'!$B$3:$N$3,0))</f>
        <v>0.7</v>
      </c>
      <c r="M141" s="479">
        <f>INDEX('Fuel Model -  Input'!$B$3:$N$373,MATCH($B141,'Fuel Model -  Input'!$B$3:$B$373,0),MATCH(M$2,'Fuel Model -  Input'!$B$3:$N$3,0))</f>
        <v>0.8</v>
      </c>
    </row>
    <row r="142" spans="2:21" ht="15" hidden="1" outlineLevel="1" x14ac:dyDescent="0.25">
      <c r="E142" s="30"/>
      <c r="G142" s="118"/>
      <c r="H142" s="118"/>
      <c r="I142" s="118"/>
      <c r="J142" s="118"/>
      <c r="K142" s="118"/>
      <c r="L142" s="118"/>
      <c r="M142" s="118"/>
    </row>
    <row r="143" spans="2:21" ht="15" hidden="1" outlineLevel="1" collapsed="1" x14ac:dyDescent="0.25">
      <c r="B143" s="405" t="s">
        <v>870</v>
      </c>
      <c r="C143" s="30" t="str">
        <f>+B143</f>
        <v>Liquifaction</v>
      </c>
    </row>
    <row r="144" spans="2:21" ht="15" hidden="1" outlineLevel="2" x14ac:dyDescent="0.25">
      <c r="B144" s="12" t="str">
        <f>+C144&amp;D144&amp;E144&amp;F144</f>
        <v>EuropeResultsH2 Liquifaction costUSD/ton</v>
      </c>
      <c r="C144" t="str">
        <f>+C133</f>
        <v>Europe</v>
      </c>
      <c r="D144" t="s">
        <v>838</v>
      </c>
      <c r="E144" s="30" t="s">
        <v>871</v>
      </c>
      <c r="F144" s="450" t="s">
        <v>205</v>
      </c>
      <c r="G144" s="118">
        <f t="shared" ref="G144:M148" si="50">G170*G$175+G$176+G$177</f>
        <v>1645.9651825147982</v>
      </c>
      <c r="H144" s="118">
        <f t="shared" si="50"/>
        <v>1541.7816342860801</v>
      </c>
      <c r="I144" s="118">
        <f t="shared" si="50"/>
        <v>1457.6006977418876</v>
      </c>
      <c r="J144" s="118">
        <f t="shared" si="50"/>
        <v>1422.6235360249291</v>
      </c>
      <c r="K144" s="118">
        <f t="shared" si="50"/>
        <v>1401.7403926811182</v>
      </c>
      <c r="L144" s="118">
        <f t="shared" si="50"/>
        <v>1379.39919953355</v>
      </c>
      <c r="M144" s="118">
        <f t="shared" si="50"/>
        <v>1363.0986049123912</v>
      </c>
      <c r="N144" s="93"/>
    </row>
    <row r="145" spans="2:21" ht="15" hidden="1" outlineLevel="2" x14ac:dyDescent="0.25">
      <c r="B145" s="12" t="str">
        <f>+C145&amp;D145&amp;E145&amp;F145</f>
        <v>Middle EastResultsH2 Liquifaction costUSD/ton</v>
      </c>
      <c r="C145" t="str">
        <f>+C134</f>
        <v>Middle East</v>
      </c>
      <c r="D145" t="s">
        <v>838</v>
      </c>
      <c r="E145" s="30" t="s">
        <v>871</v>
      </c>
      <c r="F145" s="450" t="s">
        <v>205</v>
      </c>
      <c r="G145" s="118">
        <f t="shared" si="50"/>
        <v>1519.2115799135433</v>
      </c>
      <c r="H145" s="118">
        <f t="shared" si="50"/>
        <v>1437.5308912770408</v>
      </c>
      <c r="I145" s="118">
        <f t="shared" si="50"/>
        <v>1383.4507912512213</v>
      </c>
      <c r="J145" s="118">
        <f t="shared" si="50"/>
        <v>1345.3180887632875</v>
      </c>
      <c r="K145" s="118">
        <f t="shared" si="50"/>
        <v>1326.1987527021599</v>
      </c>
      <c r="L145" s="118">
        <f t="shared" si="50"/>
        <v>1301.125730774866</v>
      </c>
      <c r="M145" s="118">
        <f t="shared" si="50"/>
        <v>1289.3907699669392</v>
      </c>
    </row>
    <row r="146" spans="2:21" ht="15" hidden="1" outlineLevel="2" x14ac:dyDescent="0.25">
      <c r="B146" s="12" t="str">
        <f>+C146&amp;D146&amp;E146&amp;F146</f>
        <v>AsiaResultsH2 Liquifaction costUSD/ton</v>
      </c>
      <c r="C146" t="str">
        <f>+C135</f>
        <v>Asia</v>
      </c>
      <c r="D146" t="s">
        <v>838</v>
      </c>
      <c r="E146" s="30" t="s">
        <v>871</v>
      </c>
      <c r="F146" s="450" t="s">
        <v>205</v>
      </c>
      <c r="G146" s="118">
        <f t="shared" si="50"/>
        <v>1920.6168614872604</v>
      </c>
      <c r="H146" s="118">
        <f t="shared" si="50"/>
        <v>1635.2821338386484</v>
      </c>
      <c r="I146" s="118">
        <f t="shared" si="50"/>
        <v>1532.9349363565693</v>
      </c>
      <c r="J146" s="118">
        <f t="shared" si="50"/>
        <v>1463.3706578892964</v>
      </c>
      <c r="K146" s="118">
        <f t="shared" si="50"/>
        <v>1428.0024933291099</v>
      </c>
      <c r="L146" s="118">
        <f t="shared" si="50"/>
        <v>1390.9816413884369</v>
      </c>
      <c r="M146" s="118">
        <f t="shared" si="50"/>
        <v>1374.0043693899102</v>
      </c>
    </row>
    <row r="147" spans="2:21" ht="15" hidden="1" outlineLevel="2" x14ac:dyDescent="0.25">
      <c r="B147" s="12" t="str">
        <f>+C147&amp;D147&amp;E147&amp;F147</f>
        <v>AmericasResultsH2 Liquifaction costUSD/ton</v>
      </c>
      <c r="C147" t="str">
        <f>+C136</f>
        <v>Americas</v>
      </c>
      <c r="D147" t="s">
        <v>838</v>
      </c>
      <c r="E147" s="30" t="s">
        <v>871</v>
      </c>
      <c r="F147" s="450" t="s">
        <v>205</v>
      </c>
      <c r="G147" s="118">
        <f t="shared" si="50"/>
        <v>1489.6640570315094</v>
      </c>
      <c r="H147" s="118">
        <f t="shared" si="50"/>
        <v>1451.6770376417787</v>
      </c>
      <c r="I147" s="118">
        <f t="shared" si="50"/>
        <v>1387.4640582539855</v>
      </c>
      <c r="J147" s="118">
        <f t="shared" si="50"/>
        <v>1356.5632309025968</v>
      </c>
      <c r="K147" s="118">
        <f t="shared" si="50"/>
        <v>1331.5142601606913</v>
      </c>
      <c r="L147" s="118">
        <f t="shared" si="50"/>
        <v>1321.4228271012173</v>
      </c>
      <c r="M147" s="118">
        <f t="shared" si="50"/>
        <v>1313.8095551347938</v>
      </c>
    </row>
    <row r="148" spans="2:21" ht="15" hidden="1" outlineLevel="2" x14ac:dyDescent="0.25">
      <c r="B148" s="12" t="str">
        <f>+C148&amp;D148&amp;E148&amp;F148</f>
        <v>AfricaResultsH2 Liquifaction costUSD/ton</v>
      </c>
      <c r="C148" t="str">
        <f>+C137</f>
        <v>Africa</v>
      </c>
      <c r="D148" t="s">
        <v>838</v>
      </c>
      <c r="E148" s="30" t="s">
        <v>871</v>
      </c>
      <c r="F148" s="450" t="s">
        <v>205</v>
      </c>
      <c r="G148" s="118">
        <f t="shared" si="50"/>
        <v>1889.5933898507942</v>
      </c>
      <c r="H148" s="118">
        <f t="shared" si="50"/>
        <v>1546.7678556080352</v>
      </c>
      <c r="I148" s="118">
        <f t="shared" si="50"/>
        <v>1451.1998118198144</v>
      </c>
      <c r="J148" s="118">
        <f t="shared" si="50"/>
        <v>1397.8536076421021</v>
      </c>
      <c r="K148" s="118">
        <f t="shared" si="50"/>
        <v>1372.7444259267479</v>
      </c>
      <c r="L148" s="118">
        <f t="shared" si="50"/>
        <v>1346.9253787603141</v>
      </c>
      <c r="M148" s="118">
        <f t="shared" si="50"/>
        <v>1334.2526989390637</v>
      </c>
    </row>
    <row r="149" spans="2:21" ht="15" hidden="1" outlineLevel="2" x14ac:dyDescent="0.25">
      <c r="B149" s="12"/>
      <c r="E149" s="30"/>
      <c r="G149" s="118"/>
      <c r="H149" s="118"/>
      <c r="I149" s="118"/>
      <c r="J149" s="118"/>
      <c r="K149" s="118"/>
      <c r="L149" s="118"/>
      <c r="M149" s="118"/>
    </row>
    <row r="150" spans="2:21" ht="15" hidden="1" outlineLevel="2" x14ac:dyDescent="0.25">
      <c r="B150" s="480" t="s">
        <v>872</v>
      </c>
      <c r="C150" s="30" t="str">
        <f>+B150</f>
        <v>Share of total cost</v>
      </c>
      <c r="E150" s="30"/>
      <c r="G150" s="118"/>
      <c r="H150" s="118"/>
      <c r="I150" s="118"/>
      <c r="J150" s="118"/>
      <c r="K150" s="118"/>
      <c r="L150" s="118"/>
      <c r="M150" s="118"/>
    </row>
    <row r="151" spans="2:21" ht="15" hidden="1" outlineLevel="3" x14ac:dyDescent="0.25">
      <c r="B151" s="12" t="str">
        <f>+C151&amp;D151&amp;E151&amp;F151</f>
        <v>EuropeResultsH2 Liquifaction Capex share%</v>
      </c>
      <c r="C151" t="str">
        <f>+C144</f>
        <v>Europe</v>
      </c>
      <c r="D151" t="s">
        <v>838</v>
      </c>
      <c r="E151" s="30" t="s">
        <v>873</v>
      </c>
      <c r="F151" s="450" t="s">
        <v>178</v>
      </c>
      <c r="G151" s="9">
        <f>+G$176/G144</f>
        <v>0.60754626563372605</v>
      </c>
      <c r="H151" s="9">
        <f t="shared" ref="H151:M151" si="51">+H$176/H144</f>
        <v>0.64860028019664961</v>
      </c>
      <c r="I151" s="9">
        <f t="shared" si="51"/>
        <v>0.68605894711027393</v>
      </c>
      <c r="J151" s="9">
        <f t="shared" si="51"/>
        <v>0.70292665253815723</v>
      </c>
      <c r="K151" s="9">
        <f t="shared" si="51"/>
        <v>0.71339886131646191</v>
      </c>
      <c r="L151" s="9">
        <f t="shared" si="51"/>
        <v>0.72495329875365622</v>
      </c>
      <c r="M151" s="9">
        <f t="shared" si="51"/>
        <v>0.73362264211566097</v>
      </c>
      <c r="N151" s="93"/>
      <c r="O151" s="86"/>
      <c r="P151" s="86"/>
      <c r="Q151" s="86"/>
      <c r="R151" s="86"/>
      <c r="S151" s="86"/>
      <c r="T151" s="86"/>
      <c r="U151" s="86"/>
    </row>
    <row r="152" spans="2:21" ht="15" hidden="1" outlineLevel="3" x14ac:dyDescent="0.25">
      <c r="B152" s="12" t="str">
        <f>+C152&amp;D152&amp;E152&amp;F152</f>
        <v>Middle EastResultsH2 Liquifaction Capex share%</v>
      </c>
      <c r="C152" t="str">
        <f>+C145</f>
        <v>Middle East</v>
      </c>
      <c r="D152" t="s">
        <v>838</v>
      </c>
      <c r="E152" s="30" t="s">
        <v>873</v>
      </c>
      <c r="F152" s="450" t="s">
        <v>178</v>
      </c>
      <c r="G152" s="9">
        <f t="shared" ref="G152:M152" si="52">+G$176/G145</f>
        <v>0.65823616224470127</v>
      </c>
      <c r="H152" s="9">
        <f t="shared" si="52"/>
        <v>0.69563722495844449</v>
      </c>
      <c r="I152" s="9">
        <f t="shared" si="52"/>
        <v>0.72283019123186842</v>
      </c>
      <c r="J152" s="9">
        <f t="shared" si="52"/>
        <v>0.74331863100069617</v>
      </c>
      <c r="K152" s="9">
        <f t="shared" si="52"/>
        <v>0.75403479151407538</v>
      </c>
      <c r="L152" s="9">
        <f t="shared" si="52"/>
        <v>0.76856523266545873</v>
      </c>
      <c r="M152" s="9">
        <f t="shared" si="52"/>
        <v>0.77556007324733733</v>
      </c>
      <c r="O152" s="86"/>
      <c r="P152" s="86"/>
      <c r="Q152" s="86"/>
      <c r="R152" s="86"/>
      <c r="S152" s="86"/>
      <c r="T152" s="86"/>
      <c r="U152" s="86"/>
    </row>
    <row r="153" spans="2:21" ht="15" hidden="1" outlineLevel="3" x14ac:dyDescent="0.25">
      <c r="B153" s="12" t="str">
        <f>+C153&amp;D153&amp;E153&amp;F153</f>
        <v>AsiaResultsH2 Liquifaction Capex share%</v>
      </c>
      <c r="C153" t="str">
        <f>+C146</f>
        <v>Asia</v>
      </c>
      <c r="D153" t="s">
        <v>838</v>
      </c>
      <c r="E153" s="30" t="s">
        <v>873</v>
      </c>
      <c r="F153" s="450" t="s">
        <v>178</v>
      </c>
      <c r="G153" s="9">
        <f t="shared" ref="G153:M153" si="53">+G$176/G146</f>
        <v>0.52066605268977695</v>
      </c>
      <c r="H153" s="9">
        <f t="shared" si="53"/>
        <v>0.61151527269035089</v>
      </c>
      <c r="I153" s="9">
        <f t="shared" si="53"/>
        <v>0.65234340759221521</v>
      </c>
      <c r="J153" s="9">
        <f t="shared" si="53"/>
        <v>0.68335386841933643</v>
      </c>
      <c r="K153" s="9">
        <f t="shared" si="53"/>
        <v>0.7002788893377172</v>
      </c>
      <c r="L153" s="9">
        <f t="shared" si="53"/>
        <v>0.71891674932663341</v>
      </c>
      <c r="M153" s="9">
        <f t="shared" si="53"/>
        <v>0.72779972340555454</v>
      </c>
      <c r="O153" s="86"/>
      <c r="P153" s="86"/>
      <c r="Q153" s="86"/>
      <c r="R153" s="86"/>
      <c r="S153" s="86"/>
      <c r="T153" s="86"/>
      <c r="U153" s="86"/>
    </row>
    <row r="154" spans="2:21" ht="15" hidden="1" outlineLevel="3" x14ac:dyDescent="0.25">
      <c r="B154" s="12" t="str">
        <f>+C154&amp;D154&amp;E154&amp;F154</f>
        <v>AmericasResultsH2 Liquifaction Capex share%</v>
      </c>
      <c r="C154" t="str">
        <f>+C147</f>
        <v>Americas</v>
      </c>
      <c r="D154" t="s">
        <v>838</v>
      </c>
      <c r="E154" s="30" t="s">
        <v>873</v>
      </c>
      <c r="F154" s="450" t="s">
        <v>178</v>
      </c>
      <c r="G154" s="9">
        <f t="shared" ref="G154:M154" si="54">+G$176/G147</f>
        <v>0.67129229256744294</v>
      </c>
      <c r="H154" s="9">
        <f t="shared" si="54"/>
        <v>0.68885845409835833</v>
      </c>
      <c r="I154" s="9">
        <f t="shared" si="54"/>
        <v>0.72073939072585524</v>
      </c>
      <c r="J154" s="9">
        <f t="shared" si="54"/>
        <v>0.73715693984617614</v>
      </c>
      <c r="K154" s="9">
        <f t="shared" si="54"/>
        <v>0.75102462656263025</v>
      </c>
      <c r="L154" s="9">
        <f t="shared" si="54"/>
        <v>0.75676004643697803</v>
      </c>
      <c r="M154" s="9">
        <f t="shared" si="54"/>
        <v>0.76114532436735272</v>
      </c>
      <c r="O154" s="86"/>
      <c r="P154" s="86"/>
      <c r="Q154" s="86"/>
      <c r="R154" s="86"/>
      <c r="S154" s="86"/>
      <c r="T154" s="86"/>
      <c r="U154" s="86"/>
    </row>
    <row r="155" spans="2:21" ht="15" hidden="1" outlineLevel="3" x14ac:dyDescent="0.25">
      <c r="B155" s="12" t="str">
        <f>+C155&amp;D155&amp;E155&amp;F155</f>
        <v>AfricaResultsH2 Liquifaction Capex share%</v>
      </c>
      <c r="C155" t="str">
        <f>+C148</f>
        <v>Africa</v>
      </c>
      <c r="D155" t="s">
        <v>838</v>
      </c>
      <c r="E155" s="30" t="s">
        <v>873</v>
      </c>
      <c r="F155" s="450" t="s">
        <v>178</v>
      </c>
      <c r="G155" s="9">
        <f t="shared" ref="G155:M155" si="55">+G$176/G148</f>
        <v>0.52921438303663937</v>
      </c>
      <c r="H155" s="9">
        <f t="shared" si="55"/>
        <v>0.64650942697984859</v>
      </c>
      <c r="I155" s="9">
        <f t="shared" si="55"/>
        <v>0.6890849846142092</v>
      </c>
      <c r="J155" s="9">
        <f t="shared" si="55"/>
        <v>0.71538249394140696</v>
      </c>
      <c r="K155" s="9">
        <f t="shared" si="55"/>
        <v>0.72846771847199021</v>
      </c>
      <c r="L155" s="9">
        <f t="shared" si="55"/>
        <v>0.74243162670257357</v>
      </c>
      <c r="M155" s="9">
        <f t="shared" si="55"/>
        <v>0.74948321318379485</v>
      </c>
      <c r="O155" s="86"/>
      <c r="P155" s="86"/>
      <c r="Q155" s="86"/>
      <c r="R155" s="86"/>
      <c r="S155" s="86"/>
      <c r="T155" s="86"/>
      <c r="U155" s="86"/>
    </row>
    <row r="156" spans="2:21" ht="15" hidden="1" outlineLevel="3" x14ac:dyDescent="0.25">
      <c r="B156" s="12"/>
      <c r="E156" s="30"/>
      <c r="G156" s="118"/>
      <c r="H156" s="118"/>
      <c r="I156" s="118"/>
      <c r="J156" s="118"/>
      <c r="K156" s="118"/>
      <c r="L156" s="118"/>
      <c r="M156" s="118"/>
    </row>
    <row r="157" spans="2:21" ht="15" hidden="1" outlineLevel="3" x14ac:dyDescent="0.25">
      <c r="B157" s="12" t="str">
        <f>+C157&amp;D157&amp;E157&amp;F157</f>
        <v>EuropeResultsH2 Liquifaction Opex share%</v>
      </c>
      <c r="C157" t="str">
        <f>+C151</f>
        <v>Europe</v>
      </c>
      <c r="D157" t="s">
        <v>838</v>
      </c>
      <c r="E157" s="30" t="s">
        <v>874</v>
      </c>
      <c r="F157" s="450" t="s">
        <v>178</v>
      </c>
      <c r="G157" s="9">
        <f>+G$177/G144</f>
        <v>6.0754626563372605E-2</v>
      </c>
      <c r="H157" s="9">
        <f t="shared" ref="H157:M157" si="56">+H$177/H144</f>
        <v>6.4860028019664964E-2</v>
      </c>
      <c r="I157" s="9">
        <f t="shared" si="56"/>
        <v>6.860589471102739E-2</v>
      </c>
      <c r="J157" s="9">
        <f t="shared" si="56"/>
        <v>7.0292665253815723E-2</v>
      </c>
      <c r="K157" s="9">
        <f t="shared" si="56"/>
        <v>7.1339886131646199E-2</v>
      </c>
      <c r="L157" s="9">
        <f t="shared" si="56"/>
        <v>7.2495329875365624E-2</v>
      </c>
      <c r="M157" s="9">
        <f t="shared" si="56"/>
        <v>7.3362264211566094E-2</v>
      </c>
      <c r="N157" s="93"/>
    </row>
    <row r="158" spans="2:21" ht="15" hidden="1" outlineLevel="3" x14ac:dyDescent="0.25">
      <c r="B158" s="12" t="str">
        <f>+C158&amp;D158&amp;E158&amp;F158</f>
        <v>Middle EastResultsH2 Liquifaction Opex share%</v>
      </c>
      <c r="C158" t="str">
        <f>+C152</f>
        <v>Middle East</v>
      </c>
      <c r="D158" t="s">
        <v>838</v>
      </c>
      <c r="E158" s="30" t="s">
        <v>874</v>
      </c>
      <c r="F158" s="450" t="s">
        <v>178</v>
      </c>
      <c r="G158" s="9">
        <f t="shared" ref="G158:M158" si="57">+G$177/G145</f>
        <v>6.5823616224470125E-2</v>
      </c>
      <c r="H158" s="9">
        <f t="shared" si="57"/>
        <v>6.9563722495844443E-2</v>
      </c>
      <c r="I158" s="9">
        <f t="shared" si="57"/>
        <v>7.228301912318684E-2</v>
      </c>
      <c r="J158" s="9">
        <f t="shared" si="57"/>
        <v>7.4331863100069617E-2</v>
      </c>
      <c r="K158" s="9">
        <f t="shared" si="57"/>
        <v>7.5403479151407535E-2</v>
      </c>
      <c r="L158" s="9">
        <f t="shared" si="57"/>
        <v>7.6856523266545879E-2</v>
      </c>
      <c r="M158" s="9">
        <f t="shared" si="57"/>
        <v>7.7556007324733736E-2</v>
      </c>
    </row>
    <row r="159" spans="2:21" ht="15" hidden="1" outlineLevel="3" x14ac:dyDescent="0.25">
      <c r="B159" s="12" t="str">
        <f>+C159&amp;D159&amp;E159&amp;F159</f>
        <v>AsiaResultsH2 Liquifaction Opex share%</v>
      </c>
      <c r="C159" t="str">
        <f>+C153</f>
        <v>Asia</v>
      </c>
      <c r="D159" t="s">
        <v>838</v>
      </c>
      <c r="E159" s="30" t="s">
        <v>874</v>
      </c>
      <c r="F159" s="450" t="s">
        <v>178</v>
      </c>
      <c r="G159" s="9">
        <f t="shared" ref="G159:M159" si="58">+G$177/G146</f>
        <v>5.2066605268977696E-2</v>
      </c>
      <c r="H159" s="9">
        <f t="shared" si="58"/>
        <v>6.115152726903509E-2</v>
      </c>
      <c r="I159" s="9">
        <f t="shared" si="58"/>
        <v>6.5234340759221521E-2</v>
      </c>
      <c r="J159" s="9">
        <f t="shared" si="58"/>
        <v>6.8335386841933646E-2</v>
      </c>
      <c r="K159" s="9">
        <f t="shared" si="58"/>
        <v>7.0027888933771723E-2</v>
      </c>
      <c r="L159" s="9">
        <f t="shared" si="58"/>
        <v>7.1891674932663338E-2</v>
      </c>
      <c r="M159" s="9">
        <f t="shared" si="58"/>
        <v>7.2779972340555457E-2</v>
      </c>
    </row>
    <row r="160" spans="2:21" ht="15" hidden="1" outlineLevel="3" x14ac:dyDescent="0.25">
      <c r="B160" s="12" t="str">
        <f>+C160&amp;D160&amp;E160&amp;F160</f>
        <v>AmericasResultsH2 Liquifaction Opex share%</v>
      </c>
      <c r="C160" t="str">
        <f>+C154</f>
        <v>Americas</v>
      </c>
      <c r="D160" t="s">
        <v>838</v>
      </c>
      <c r="E160" s="30" t="s">
        <v>874</v>
      </c>
      <c r="F160" s="450" t="s">
        <v>178</v>
      </c>
      <c r="G160" s="9">
        <f t="shared" ref="G160:M160" si="59">+G$177/G147</f>
        <v>6.7129229256744291E-2</v>
      </c>
      <c r="H160" s="9">
        <f t="shared" si="59"/>
        <v>6.8885845409835833E-2</v>
      </c>
      <c r="I160" s="9">
        <f t="shared" si="59"/>
        <v>7.2073939072585524E-2</v>
      </c>
      <c r="J160" s="9">
        <f t="shared" si="59"/>
        <v>7.3715693984617622E-2</v>
      </c>
      <c r="K160" s="9">
        <f t="shared" si="59"/>
        <v>7.5102462656263025E-2</v>
      </c>
      <c r="L160" s="9">
        <f t="shared" si="59"/>
        <v>7.5676004643697808E-2</v>
      </c>
      <c r="M160" s="9">
        <f t="shared" si="59"/>
        <v>7.6114532436735272E-2</v>
      </c>
    </row>
    <row r="161" spans="2:14" ht="15" hidden="1" outlineLevel="3" x14ac:dyDescent="0.25">
      <c r="B161" s="12" t="str">
        <f>+C161&amp;D161&amp;E161&amp;F161</f>
        <v>AfricaResultsH2 Liquifaction Opex share%</v>
      </c>
      <c r="C161" t="str">
        <f>+C155</f>
        <v>Africa</v>
      </c>
      <c r="D161" t="s">
        <v>838</v>
      </c>
      <c r="E161" s="30" t="s">
        <v>874</v>
      </c>
      <c r="F161" s="450" t="s">
        <v>178</v>
      </c>
      <c r="G161" s="9">
        <f t="shared" ref="G161:M161" si="60">+G$177/G148</f>
        <v>5.2921438303663935E-2</v>
      </c>
      <c r="H161" s="9">
        <f t="shared" si="60"/>
        <v>6.4650942697984853E-2</v>
      </c>
      <c r="I161" s="9">
        <f t="shared" si="60"/>
        <v>6.8908498461420914E-2</v>
      </c>
      <c r="J161" s="9">
        <f t="shared" si="60"/>
        <v>7.1538249394140691E-2</v>
      </c>
      <c r="K161" s="9">
        <f t="shared" si="60"/>
        <v>7.2846771847199024E-2</v>
      </c>
      <c r="L161" s="9">
        <f t="shared" si="60"/>
        <v>7.4243162670257351E-2</v>
      </c>
      <c r="M161" s="9">
        <f t="shared" si="60"/>
        <v>7.4948321318379488E-2</v>
      </c>
    </row>
    <row r="162" spans="2:14" ht="15" hidden="1" outlineLevel="3" x14ac:dyDescent="0.25">
      <c r="B162" s="12"/>
      <c r="E162" s="30"/>
      <c r="G162" s="118"/>
      <c r="H162" s="118"/>
      <c r="I162" s="118"/>
      <c r="J162" s="118"/>
      <c r="K162" s="118"/>
      <c r="L162" s="118"/>
      <c r="M162" s="118"/>
    </row>
    <row r="163" spans="2:14" ht="15" hidden="1" outlineLevel="3" x14ac:dyDescent="0.25">
      <c r="B163" s="12" t="str">
        <f>+C163&amp;D163&amp;E163&amp;F163</f>
        <v>EuropeResultsH2 Liquifaction Electricity share%</v>
      </c>
      <c r="C163" t="str">
        <f>+C157</f>
        <v>Europe</v>
      </c>
      <c r="D163" t="s">
        <v>838</v>
      </c>
      <c r="E163" s="30" t="s">
        <v>875</v>
      </c>
      <c r="F163" s="450" t="s">
        <v>178</v>
      </c>
      <c r="G163" s="9">
        <f>G170*G$175/G144</f>
        <v>0.33169910780290135</v>
      </c>
      <c r="H163" s="9">
        <f t="shared" ref="H163:M163" si="61">H170*H$175/H144</f>
        <v>0.28653969178368538</v>
      </c>
      <c r="I163" s="9">
        <f t="shared" si="61"/>
        <v>0.24533515817869869</v>
      </c>
      <c r="J163" s="9">
        <f t="shared" si="61"/>
        <v>0.22678068220802702</v>
      </c>
      <c r="K163" s="9">
        <f t="shared" si="61"/>
        <v>0.21526125255189188</v>
      </c>
      <c r="L163" s="9">
        <f t="shared" si="61"/>
        <v>0.20255137137097812</v>
      </c>
      <c r="M163" s="9">
        <f t="shared" si="61"/>
        <v>0.19301509367277284</v>
      </c>
      <c r="N163" s="93"/>
    </row>
    <row r="164" spans="2:14" ht="15" hidden="1" outlineLevel="3" x14ac:dyDescent="0.25">
      <c r="B164" s="12" t="str">
        <f>+C164&amp;D164&amp;E164&amp;F164</f>
        <v>Middle EastResultsH2 Liquifaction Electricity share%</v>
      </c>
      <c r="C164" t="str">
        <f>+C158</f>
        <v>Middle East</v>
      </c>
      <c r="D164" t="s">
        <v>838</v>
      </c>
      <c r="E164" s="30" t="s">
        <v>875</v>
      </c>
      <c r="F164" s="450" t="s">
        <v>178</v>
      </c>
      <c r="G164" s="9">
        <f t="shared" ref="G164:M164" si="62">G171*G$175/G145</f>
        <v>0.27594022153082859</v>
      </c>
      <c r="H164" s="9">
        <f t="shared" si="62"/>
        <v>0.23479905254571107</v>
      </c>
      <c r="I164" s="9">
        <f t="shared" si="62"/>
        <v>0.20488678964494472</v>
      </c>
      <c r="J164" s="9">
        <f t="shared" si="62"/>
        <v>0.1823495058992341</v>
      </c>
      <c r="K164" s="9">
        <f t="shared" si="62"/>
        <v>0.1705617293345171</v>
      </c>
      <c r="L164" s="9">
        <f t="shared" si="62"/>
        <v>0.15457824406799531</v>
      </c>
      <c r="M164" s="9">
        <f t="shared" si="62"/>
        <v>0.146883919427929</v>
      </c>
    </row>
    <row r="165" spans="2:14" ht="15" hidden="1" outlineLevel="3" x14ac:dyDescent="0.25">
      <c r="B165" s="12" t="str">
        <f>+C165&amp;D165&amp;E165&amp;F165</f>
        <v>AsiaResultsH2 Liquifaction Electricity share%</v>
      </c>
      <c r="C165" t="str">
        <f>+C159</f>
        <v>Asia</v>
      </c>
      <c r="D165" t="s">
        <v>838</v>
      </c>
      <c r="E165" s="30" t="s">
        <v>875</v>
      </c>
      <c r="F165" s="450" t="s">
        <v>178</v>
      </c>
      <c r="G165" s="9">
        <f t="shared" ref="G165:M165" si="63">G172*G$175/G146</f>
        <v>0.42726734204124539</v>
      </c>
      <c r="H165" s="9">
        <f t="shared" si="63"/>
        <v>0.32733320004061395</v>
      </c>
      <c r="I165" s="9">
        <f t="shared" si="63"/>
        <v>0.28242225164856327</v>
      </c>
      <c r="J165" s="9">
        <f t="shared" si="63"/>
        <v>0.24831074473872988</v>
      </c>
      <c r="K165" s="9">
        <f t="shared" si="63"/>
        <v>0.22969322172851114</v>
      </c>
      <c r="L165" s="9">
        <f t="shared" si="63"/>
        <v>0.20919157574070329</v>
      </c>
      <c r="M165" s="9">
        <f t="shared" si="63"/>
        <v>0.1994203042538901</v>
      </c>
    </row>
    <row r="166" spans="2:14" ht="15" hidden="1" outlineLevel="3" x14ac:dyDescent="0.25">
      <c r="B166" s="12" t="str">
        <f>+C166&amp;D166&amp;E166&amp;F166</f>
        <v>AmericasResultsH2 Liquifaction Electricity share%</v>
      </c>
      <c r="C166" t="str">
        <f>+C160</f>
        <v>Americas</v>
      </c>
      <c r="D166" t="s">
        <v>838</v>
      </c>
      <c r="E166" s="30" t="s">
        <v>875</v>
      </c>
      <c r="F166" s="450" t="s">
        <v>178</v>
      </c>
      <c r="G166" s="9">
        <f t="shared" ref="G166:M166" si="64">G173*G$175/G147</f>
        <v>0.26157847817581276</v>
      </c>
      <c r="H166" s="9">
        <f t="shared" si="64"/>
        <v>0.24225570049180586</v>
      </c>
      <c r="I166" s="9">
        <f t="shared" si="64"/>
        <v>0.20718667020155934</v>
      </c>
      <c r="J166" s="9">
        <f t="shared" si="64"/>
        <v>0.18912736616920614</v>
      </c>
      <c r="K166" s="9">
        <f t="shared" si="64"/>
        <v>0.17387291078110681</v>
      </c>
      <c r="L166" s="9">
        <f t="shared" si="64"/>
        <v>0.16756394891932419</v>
      </c>
      <c r="M166" s="9">
        <f t="shared" si="64"/>
        <v>0.16274014319591201</v>
      </c>
    </row>
    <row r="167" spans="2:14" ht="15" hidden="1" outlineLevel="3" x14ac:dyDescent="0.25">
      <c r="B167" s="12" t="str">
        <f>+C167&amp;D167&amp;E167&amp;F167</f>
        <v>AfricaResultsH2 Liquifaction Electricity share%</v>
      </c>
      <c r="C167" t="str">
        <f>+C161</f>
        <v>Africa</v>
      </c>
      <c r="D167" t="s">
        <v>838</v>
      </c>
      <c r="E167" s="30" t="s">
        <v>875</v>
      </c>
      <c r="F167" s="450" t="s">
        <v>178</v>
      </c>
      <c r="G167" s="9">
        <f t="shared" ref="G167:M167" si="65">G174*G$175/G148</f>
        <v>0.41786417865969666</v>
      </c>
      <c r="H167" s="9">
        <f t="shared" si="65"/>
        <v>0.28883963032216653</v>
      </c>
      <c r="I167" s="9">
        <f t="shared" si="65"/>
        <v>0.24200651692437003</v>
      </c>
      <c r="J167" s="9">
        <f t="shared" si="65"/>
        <v>0.21307925666445238</v>
      </c>
      <c r="K167" s="9">
        <f t="shared" si="65"/>
        <v>0.19868550968081083</v>
      </c>
      <c r="L167" s="9">
        <f t="shared" si="65"/>
        <v>0.183325210627169</v>
      </c>
      <c r="M167" s="9">
        <f t="shared" si="65"/>
        <v>0.17556846549782562</v>
      </c>
    </row>
    <row r="168" spans="2:14" ht="15" hidden="1" outlineLevel="2" x14ac:dyDescent="0.25">
      <c r="B168" s="12"/>
      <c r="E168" s="30"/>
      <c r="G168" s="118"/>
      <c r="H168" s="118"/>
      <c r="I168" s="118"/>
      <c r="J168" s="118"/>
      <c r="K168" s="118"/>
      <c r="L168" s="118"/>
      <c r="M168" s="118"/>
    </row>
    <row r="169" spans="2:14" ht="15" hidden="1" outlineLevel="2" x14ac:dyDescent="0.25">
      <c r="B169" s="480" t="s">
        <v>173</v>
      </c>
      <c r="C169" s="30" t="str">
        <f>+B169</f>
        <v>General</v>
      </c>
      <c r="E169" s="30"/>
      <c r="G169" s="118"/>
      <c r="H169" s="118"/>
      <c r="I169" s="118"/>
      <c r="J169" s="118"/>
      <c r="K169" s="118"/>
      <c r="L169" s="118"/>
      <c r="M169" s="118"/>
    </row>
    <row r="170" spans="2:14" ht="15" hidden="1" outlineLevel="2" x14ac:dyDescent="0.25">
      <c r="B170" s="12" t="str">
        <f t="shared" ref="B170:B178" si="66">+C170&amp;D170&amp;E170&amp;F170</f>
        <v>EuropeFeedstockElectricityUSD/MWh</v>
      </c>
      <c r="C170" t="str">
        <f>+C144</f>
        <v>Europe</v>
      </c>
      <c r="D170" t="s">
        <v>777</v>
      </c>
      <c r="E170" s="30" t="s">
        <v>54</v>
      </c>
      <c r="F170" s="450" t="s">
        <v>196</v>
      </c>
      <c r="G170" s="481">
        <f t="shared" ref="G170:M174" si="67">INDEX(G$187:G$1021,MATCH($B170,$B$187:$B$1021,0))</f>
        <v>54.596518251479822</v>
      </c>
      <c r="H170" s="481">
        <f t="shared" si="67"/>
        <v>44.178163428608016</v>
      </c>
      <c r="I170" s="481">
        <f t="shared" si="67"/>
        <v>35.760069774188757</v>
      </c>
      <c r="J170" s="481">
        <f t="shared" si="67"/>
        <v>32.262353602492915</v>
      </c>
      <c r="K170" s="481">
        <f t="shared" si="67"/>
        <v>30.17403926811183</v>
      </c>
      <c r="L170" s="481">
        <f t="shared" si="67"/>
        <v>27.939919953355002</v>
      </c>
      <c r="M170" s="481">
        <f t="shared" si="67"/>
        <v>26.309860491239117</v>
      </c>
      <c r="N170" s="93"/>
    </row>
    <row r="171" spans="2:14" ht="15" hidden="1" outlineLevel="2" x14ac:dyDescent="0.25">
      <c r="B171" s="12" t="str">
        <f t="shared" si="66"/>
        <v>Middle EastFeedstockElectricityUSD/MWh</v>
      </c>
      <c r="C171" t="s">
        <v>197</v>
      </c>
      <c r="D171" t="s">
        <v>777</v>
      </c>
      <c r="E171" s="30" t="s">
        <v>54</v>
      </c>
      <c r="F171" s="450" t="s">
        <v>196</v>
      </c>
      <c r="G171" s="481">
        <f t="shared" si="67"/>
        <v>41.921157991354328</v>
      </c>
      <c r="H171" s="481">
        <f t="shared" si="67"/>
        <v>33.753089127704079</v>
      </c>
      <c r="I171" s="481">
        <f t="shared" si="67"/>
        <v>28.34507912512213</v>
      </c>
      <c r="J171" s="481">
        <f t="shared" si="67"/>
        <v>24.531808876328746</v>
      </c>
      <c r="K171" s="481">
        <f t="shared" si="67"/>
        <v>22.619875270215999</v>
      </c>
      <c r="L171" s="481">
        <f t="shared" si="67"/>
        <v>20.112573077486601</v>
      </c>
      <c r="M171" s="481">
        <f t="shared" si="67"/>
        <v>18.93907699669392</v>
      </c>
    </row>
    <row r="172" spans="2:14" ht="15" hidden="1" outlineLevel="2" x14ac:dyDescent="0.25">
      <c r="B172" s="12" t="str">
        <f t="shared" si="66"/>
        <v>AsiaFeedstockElectricityUSD/MWh</v>
      </c>
      <c r="C172" t="s">
        <v>198</v>
      </c>
      <c r="D172" t="s">
        <v>777</v>
      </c>
      <c r="E172" s="30" t="s">
        <v>54</v>
      </c>
      <c r="F172" s="450" t="s">
        <v>196</v>
      </c>
      <c r="G172" s="481">
        <f t="shared" si="67"/>
        <v>82.061686148726054</v>
      </c>
      <c r="H172" s="481">
        <f t="shared" si="67"/>
        <v>53.528213383864831</v>
      </c>
      <c r="I172" s="481">
        <f t="shared" si="67"/>
        <v>43.29349363565693</v>
      </c>
      <c r="J172" s="481">
        <f t="shared" si="67"/>
        <v>36.337065788929628</v>
      </c>
      <c r="K172" s="481">
        <f t="shared" si="67"/>
        <v>32.800249332911001</v>
      </c>
      <c r="L172" s="481">
        <f t="shared" si="67"/>
        <v>29.0981641388437</v>
      </c>
      <c r="M172" s="481">
        <f t="shared" si="67"/>
        <v>27.400436938991028</v>
      </c>
    </row>
    <row r="173" spans="2:14" ht="15" hidden="1" outlineLevel="2" x14ac:dyDescent="0.25">
      <c r="B173" s="12" t="str">
        <f t="shared" si="66"/>
        <v>AmericasFeedstockElectricityUSD/MWh</v>
      </c>
      <c r="C173" t="s">
        <v>199</v>
      </c>
      <c r="D173" t="s">
        <v>777</v>
      </c>
      <c r="E173" s="30" t="s">
        <v>54</v>
      </c>
      <c r="F173" s="450" t="s">
        <v>196</v>
      </c>
      <c r="G173" s="481">
        <f t="shared" si="67"/>
        <v>38.96640570315094</v>
      </c>
      <c r="H173" s="481">
        <f t="shared" si="67"/>
        <v>35.167703764177872</v>
      </c>
      <c r="I173" s="481">
        <f t="shared" si="67"/>
        <v>28.746405825398561</v>
      </c>
      <c r="J173" s="481">
        <f t="shared" si="67"/>
        <v>25.656323090259679</v>
      </c>
      <c r="K173" s="481">
        <f t="shared" si="67"/>
        <v>23.151426016069131</v>
      </c>
      <c r="L173" s="481">
        <f t="shared" si="67"/>
        <v>22.142282710121734</v>
      </c>
      <c r="M173" s="481">
        <f t="shared" si="67"/>
        <v>21.380955513479382</v>
      </c>
    </row>
    <row r="174" spans="2:14" ht="15" hidden="1" outlineLevel="2" x14ac:dyDescent="0.25">
      <c r="B174" s="12" t="str">
        <f t="shared" si="66"/>
        <v>AfricaFeedstockElectricityUSD/MWh</v>
      </c>
      <c r="C174" t="s">
        <v>200</v>
      </c>
      <c r="D174" t="s">
        <v>777</v>
      </c>
      <c r="E174" s="30" t="s">
        <v>54</v>
      </c>
      <c r="F174" s="450" t="s">
        <v>196</v>
      </c>
      <c r="G174" s="481">
        <f t="shared" si="67"/>
        <v>78.959338985079413</v>
      </c>
      <c r="H174" s="481">
        <f t="shared" si="67"/>
        <v>44.676785560803516</v>
      </c>
      <c r="I174" s="481">
        <f t="shared" si="67"/>
        <v>35.119981181981451</v>
      </c>
      <c r="J174" s="481">
        <f t="shared" si="67"/>
        <v>29.785360764210218</v>
      </c>
      <c r="K174" s="481">
        <f t="shared" si="67"/>
        <v>27.274442592674799</v>
      </c>
      <c r="L174" s="481">
        <f t="shared" si="67"/>
        <v>24.692537876031398</v>
      </c>
      <c r="M174" s="481">
        <f t="shared" si="67"/>
        <v>23.425269893906371</v>
      </c>
    </row>
    <row r="175" spans="2:14" ht="15" hidden="1" outlineLevel="2" x14ac:dyDescent="0.25">
      <c r="B175" s="12" t="str">
        <f t="shared" si="66"/>
        <v>GlobalProcess - OpexH2 LiquifactionmWh/ ton H2</v>
      </c>
      <c r="C175" t="s">
        <v>109</v>
      </c>
      <c r="D175" t="s">
        <v>876</v>
      </c>
      <c r="E175" s="30" t="s">
        <v>877</v>
      </c>
      <c r="F175" s="450" t="s">
        <v>878</v>
      </c>
      <c r="G175" s="481">
        <f>+INDEX('Fuel Model -  Input'!$B$3:$N$373,MATCH($B175,'Fuel Model -  Input'!$B$3:$B$373,0),MATCH(G$2,'Fuel Model -  Input'!$B$3:$N$3,0))</f>
        <v>10</v>
      </c>
      <c r="H175" s="481">
        <f>+INDEX('Fuel Model -  Input'!$B$3:$N$373,MATCH($B175,'Fuel Model -  Input'!$B$3:$B$373,0),MATCH(H$2,'Fuel Model -  Input'!$B$3:$N$3,0))</f>
        <v>10</v>
      </c>
      <c r="I175" s="481">
        <f>+INDEX('Fuel Model -  Input'!$B$3:$N$373,MATCH($B175,'Fuel Model -  Input'!$B$3:$B$373,0),MATCH(I$2,'Fuel Model -  Input'!$B$3:$N$3,0))</f>
        <v>10</v>
      </c>
      <c r="J175" s="481">
        <f>+INDEX('Fuel Model -  Input'!$B$3:$N$373,MATCH($B175,'Fuel Model -  Input'!$B$3:$B$373,0),MATCH(J$2,'Fuel Model -  Input'!$B$3:$N$3,0))</f>
        <v>10</v>
      </c>
      <c r="K175" s="481">
        <f>+INDEX('Fuel Model -  Input'!$B$3:$N$373,MATCH($B175,'Fuel Model -  Input'!$B$3:$B$373,0),MATCH(K$2,'Fuel Model -  Input'!$B$3:$N$3,0))</f>
        <v>10</v>
      </c>
      <c r="L175" s="481">
        <f>+INDEX('Fuel Model -  Input'!$B$3:$N$373,MATCH($B175,'Fuel Model -  Input'!$B$3:$B$373,0),MATCH(L$2,'Fuel Model -  Input'!$B$3:$N$3,0))</f>
        <v>10</v>
      </c>
      <c r="M175" s="481">
        <f>+INDEX('Fuel Model -  Input'!$B$3:$N$373,MATCH($B175,'Fuel Model -  Input'!$B$3:$B$373,0),MATCH(M$2,'Fuel Model -  Input'!$B$3:$N$3,0))</f>
        <v>10</v>
      </c>
      <c r="N175" s="93"/>
    </row>
    <row r="176" spans="2:14" ht="15" hidden="1" outlineLevel="2" x14ac:dyDescent="0.25">
      <c r="B176" s="12" t="str">
        <f t="shared" si="66"/>
        <v>GlobalProcess - CapexH2 LiquifactionUSD/ ton H2 output</v>
      </c>
      <c r="C176" t="s">
        <v>109</v>
      </c>
      <c r="D176" t="s">
        <v>879</v>
      </c>
      <c r="E176" s="30" t="s">
        <v>877</v>
      </c>
      <c r="F176" s="450" t="s">
        <v>880</v>
      </c>
      <c r="G176" s="481">
        <f>+INDEX('Fuel Model -  Input'!$B$3:$N$373,MATCH($B176,'Fuel Model -  Input'!$B$3:$B$373,0),MATCH(G$2,'Fuel Model -  Input'!$B$3:$N$3,0))</f>
        <v>1000</v>
      </c>
      <c r="H176" s="481">
        <f>+INDEX('Fuel Model -  Input'!$B$3:$N$373,MATCH($B176,'Fuel Model -  Input'!$B$3:$B$373,0),MATCH(H$2,'Fuel Model -  Input'!$B$3:$N$3,0))</f>
        <v>1000</v>
      </c>
      <c r="I176" s="481">
        <f>+INDEX('Fuel Model -  Input'!$B$3:$N$373,MATCH($B176,'Fuel Model -  Input'!$B$3:$B$373,0),MATCH(I$2,'Fuel Model -  Input'!$B$3:$N$3,0))</f>
        <v>1000</v>
      </c>
      <c r="J176" s="481">
        <f>+INDEX('Fuel Model -  Input'!$B$3:$N$373,MATCH($B176,'Fuel Model -  Input'!$B$3:$B$373,0),MATCH(J$2,'Fuel Model -  Input'!$B$3:$N$3,0))</f>
        <v>1000</v>
      </c>
      <c r="K176" s="481">
        <f>+INDEX('Fuel Model -  Input'!$B$3:$N$373,MATCH($B176,'Fuel Model -  Input'!$B$3:$B$373,0),MATCH(K$2,'Fuel Model -  Input'!$B$3:$N$3,0))</f>
        <v>1000</v>
      </c>
      <c r="L176" s="481">
        <f>+INDEX('Fuel Model -  Input'!$B$3:$N$373,MATCH($B176,'Fuel Model -  Input'!$B$3:$B$373,0),MATCH(L$2,'Fuel Model -  Input'!$B$3:$N$3,0))</f>
        <v>1000</v>
      </c>
      <c r="M176" s="481">
        <f>+INDEX('Fuel Model -  Input'!$B$3:$N$373,MATCH($B176,'Fuel Model -  Input'!$B$3:$B$373,0),MATCH(M$2,'Fuel Model -  Input'!$B$3:$N$3,0))</f>
        <v>1000</v>
      </c>
      <c r="N176" s="93"/>
    </row>
    <row r="177" spans="2:14" hidden="1" outlineLevel="2" x14ac:dyDescent="0.2">
      <c r="B177" s="12" t="str">
        <f t="shared" si="66"/>
        <v>GlobalOpexOpexUSD/ton H2</v>
      </c>
      <c r="C177" t="s">
        <v>109</v>
      </c>
      <c r="D177" t="s">
        <v>219</v>
      </c>
      <c r="E177" s="48" t="s">
        <v>219</v>
      </c>
      <c r="F177" s="128" t="s">
        <v>881</v>
      </c>
      <c r="G177" s="14">
        <f t="shared" ref="G177:M177" si="68">G176*G178</f>
        <v>100</v>
      </c>
      <c r="H177" s="14">
        <f t="shared" si="68"/>
        <v>100</v>
      </c>
      <c r="I177" s="14">
        <f t="shared" si="68"/>
        <v>100</v>
      </c>
      <c r="J177" s="14">
        <f t="shared" si="68"/>
        <v>100</v>
      </c>
      <c r="K177" s="14">
        <f t="shared" si="68"/>
        <v>100</v>
      </c>
      <c r="L177" s="14">
        <f t="shared" si="68"/>
        <v>100</v>
      </c>
      <c r="M177" s="14">
        <f t="shared" si="68"/>
        <v>100</v>
      </c>
      <c r="N177" s="8"/>
    </row>
    <row r="178" spans="2:14" hidden="1" outlineLevel="2" x14ac:dyDescent="0.2">
      <c r="B178" s="12" t="str">
        <f t="shared" si="66"/>
        <v>GlobalOpexPlant - Hydrogen liquifaction - opexPercent of Capex</v>
      </c>
      <c r="C178" t="s">
        <v>109</v>
      </c>
      <c r="D178" t="s">
        <v>219</v>
      </c>
      <c r="E178" s="48" t="s">
        <v>882</v>
      </c>
      <c r="F178" s="128" t="s">
        <v>883</v>
      </c>
      <c r="G178" s="467">
        <f>INDEX('Fuel Model -  Input'!$B$3:$N$373,MATCH($B178,'Fuel Model -  Input'!$B$3:$B$373,0),MATCH(G$2,'Fuel Model -  Input'!$B$3:$N$3,0))</f>
        <v>0.1</v>
      </c>
      <c r="H178" s="467">
        <f>INDEX('Fuel Model -  Input'!$B$3:$N$373,MATCH($B178,'Fuel Model -  Input'!$B$3:$B$373,0),MATCH(H$2,'Fuel Model -  Input'!$B$3:$N$3,0))</f>
        <v>0.1</v>
      </c>
      <c r="I178" s="467">
        <f>INDEX('Fuel Model -  Input'!$B$3:$N$373,MATCH($B178,'Fuel Model -  Input'!$B$3:$B$373,0),MATCH(I$2,'Fuel Model -  Input'!$B$3:$N$3,0))</f>
        <v>0.1</v>
      </c>
      <c r="J178" s="467">
        <f>INDEX('Fuel Model -  Input'!$B$3:$N$373,MATCH($B178,'Fuel Model -  Input'!$B$3:$B$373,0),MATCH(J$2,'Fuel Model -  Input'!$B$3:$N$3,0))</f>
        <v>0.1</v>
      </c>
      <c r="K178" s="467">
        <f>INDEX('Fuel Model -  Input'!$B$3:$N$373,MATCH($B178,'Fuel Model -  Input'!$B$3:$B$373,0),MATCH(K$2,'Fuel Model -  Input'!$B$3:$N$3,0))</f>
        <v>0.1</v>
      </c>
      <c r="L178" s="467">
        <f>INDEX('Fuel Model -  Input'!$B$3:$N$373,MATCH($B178,'Fuel Model -  Input'!$B$3:$B$373,0),MATCH(L$2,'Fuel Model -  Input'!$B$3:$N$3,0))</f>
        <v>0.1</v>
      </c>
      <c r="M178" s="467">
        <f>INDEX('Fuel Model -  Input'!$B$3:$N$373,MATCH($B178,'Fuel Model -  Input'!$B$3:$B$373,0),MATCH(M$2,'Fuel Model -  Input'!$B$3:$N$3,0))</f>
        <v>0.1</v>
      </c>
    </row>
    <row r="179" spans="2:14" hidden="1" outlineLevel="1" x14ac:dyDescent="0.2"/>
    <row r="180" spans="2:14" ht="15" hidden="1" outlineLevel="1" collapsed="1" x14ac:dyDescent="0.25">
      <c r="B180" s="405" t="s">
        <v>884</v>
      </c>
      <c r="C180" s="30" t="str">
        <f>+B180</f>
        <v>Compression (350 bar)</v>
      </c>
    </row>
    <row r="181" spans="2:14" ht="15" hidden="1" outlineLevel="2" x14ac:dyDescent="0.25">
      <c r="B181" s="12" t="str">
        <f>+C181&amp;D181&amp;E181&amp;F181</f>
        <v>EuropeResultsH2 Compression costUSD/ton</v>
      </c>
      <c r="C181" t="str">
        <f>+C170</f>
        <v>Europe</v>
      </c>
      <c r="D181" t="s">
        <v>838</v>
      </c>
      <c r="E181" s="30" t="s">
        <v>885</v>
      </c>
      <c r="F181" s="450" t="s">
        <v>205</v>
      </c>
      <c r="G181" s="118">
        <f t="shared" ref="G181:M185" si="69">G187*G$192</f>
        <v>57.326344164053815</v>
      </c>
      <c r="H181" s="118">
        <f t="shared" si="69"/>
        <v>46.387071600038418</v>
      </c>
      <c r="I181" s="118">
        <f t="shared" si="69"/>
        <v>37.5480732628982</v>
      </c>
      <c r="J181" s="118">
        <f t="shared" si="69"/>
        <v>33.875471282617561</v>
      </c>
      <c r="K181" s="118">
        <f t="shared" si="69"/>
        <v>31.682741231517422</v>
      </c>
      <c r="L181" s="118">
        <f t="shared" si="69"/>
        <v>29.336915951022753</v>
      </c>
      <c r="M181" s="118">
        <f t="shared" si="69"/>
        <v>27.625353515801073</v>
      </c>
      <c r="N181" s="93"/>
    </row>
    <row r="182" spans="2:14" ht="15" hidden="1" outlineLevel="2" x14ac:dyDescent="0.25">
      <c r="B182" s="12" t="str">
        <f>+C182&amp;D182&amp;E182&amp;F182</f>
        <v>Middle EastResultsH2 Compression costUSD/ton</v>
      </c>
      <c r="C182" t="str">
        <f>+C171</f>
        <v>Middle East</v>
      </c>
      <c r="D182" t="s">
        <v>838</v>
      </c>
      <c r="E182" s="30" t="s">
        <v>885</v>
      </c>
      <c r="F182" s="450" t="s">
        <v>205</v>
      </c>
      <c r="G182" s="118">
        <f t="shared" si="69"/>
        <v>44.017215890922046</v>
      </c>
      <c r="H182" s="118">
        <f t="shared" si="69"/>
        <v>35.440743584089283</v>
      </c>
      <c r="I182" s="118">
        <f t="shared" si="69"/>
        <v>29.762333081378237</v>
      </c>
      <c r="J182" s="118">
        <f t="shared" si="69"/>
        <v>25.758399320145184</v>
      </c>
      <c r="K182" s="118">
        <f t="shared" si="69"/>
        <v>23.750869033726801</v>
      </c>
      <c r="L182" s="118">
        <f t="shared" si="69"/>
        <v>21.118201731360934</v>
      </c>
      <c r="M182" s="118">
        <f t="shared" si="69"/>
        <v>19.886030846528616</v>
      </c>
    </row>
    <row r="183" spans="2:14" ht="15" hidden="1" outlineLevel="2" x14ac:dyDescent="0.25">
      <c r="B183" s="12" t="str">
        <f>+C183&amp;D183&amp;E183&amp;F183</f>
        <v>AsiaResultsH2 Compression costUSD/ton</v>
      </c>
      <c r="C183" t="str">
        <f>+C172</f>
        <v>Asia</v>
      </c>
      <c r="D183" t="s">
        <v>838</v>
      </c>
      <c r="E183" s="30" t="s">
        <v>885</v>
      </c>
      <c r="F183" s="450" t="s">
        <v>205</v>
      </c>
      <c r="G183" s="118">
        <f t="shared" si="69"/>
        <v>86.164770456162358</v>
      </c>
      <c r="H183" s="118">
        <f t="shared" si="69"/>
        <v>56.204624053058076</v>
      </c>
      <c r="I183" s="118">
        <f t="shared" si="69"/>
        <v>45.458168317439778</v>
      </c>
      <c r="J183" s="118">
        <f t="shared" si="69"/>
        <v>38.153919078376113</v>
      </c>
      <c r="K183" s="118">
        <f t="shared" si="69"/>
        <v>34.440261799556552</v>
      </c>
      <c r="L183" s="118">
        <f t="shared" si="69"/>
        <v>30.553072345785885</v>
      </c>
      <c r="M183" s="118">
        <f t="shared" si="69"/>
        <v>28.77045878594058</v>
      </c>
    </row>
    <row r="184" spans="2:14" ht="15" hidden="1" outlineLevel="2" x14ac:dyDescent="0.25">
      <c r="B184" s="12" t="str">
        <f>+C184&amp;D184&amp;E184&amp;F184</f>
        <v>AmericasResultsH2 Compression costUSD/ton</v>
      </c>
      <c r="C184" t="str">
        <f>+C173</f>
        <v>Americas</v>
      </c>
      <c r="D184" t="s">
        <v>838</v>
      </c>
      <c r="E184" s="30" t="s">
        <v>885</v>
      </c>
      <c r="F184" s="450" t="s">
        <v>205</v>
      </c>
      <c r="G184" s="118">
        <f t="shared" si="69"/>
        <v>40.91472598830849</v>
      </c>
      <c r="H184" s="118">
        <f t="shared" si="69"/>
        <v>36.92608895238677</v>
      </c>
      <c r="I184" s="118">
        <f t="shared" si="69"/>
        <v>30.183726116668492</v>
      </c>
      <c r="J184" s="118">
        <f t="shared" si="69"/>
        <v>26.939139244772665</v>
      </c>
      <c r="K184" s="118">
        <f t="shared" si="69"/>
        <v>24.308997316872588</v>
      </c>
      <c r="L184" s="118">
        <f t="shared" si="69"/>
        <v>23.249396845627821</v>
      </c>
      <c r="M184" s="118">
        <f t="shared" si="69"/>
        <v>22.450003289153351</v>
      </c>
    </row>
    <row r="185" spans="2:14" ht="15" hidden="1" outlineLevel="2" x14ac:dyDescent="0.25">
      <c r="B185" s="12" t="str">
        <f>+C185&amp;D185&amp;E185&amp;F185</f>
        <v>AfricaResultsH2 Compression costUSD/ton</v>
      </c>
      <c r="C185" t="str">
        <f>+C174</f>
        <v>Africa</v>
      </c>
      <c r="D185" t="s">
        <v>838</v>
      </c>
      <c r="E185" s="30" t="s">
        <v>885</v>
      </c>
      <c r="F185" s="450" t="s">
        <v>205</v>
      </c>
      <c r="G185" s="118">
        <f t="shared" si="69"/>
        <v>82.90730593433338</v>
      </c>
      <c r="H185" s="118">
        <f t="shared" si="69"/>
        <v>46.910624838843695</v>
      </c>
      <c r="I185" s="118">
        <f t="shared" si="69"/>
        <v>36.875980241080526</v>
      </c>
      <c r="J185" s="118">
        <f t="shared" si="69"/>
        <v>31.274628802420729</v>
      </c>
      <c r="K185" s="118">
        <f t="shared" si="69"/>
        <v>28.638164722308538</v>
      </c>
      <c r="L185" s="118">
        <f t="shared" si="69"/>
        <v>25.92716476983297</v>
      </c>
      <c r="M185" s="118">
        <f t="shared" si="69"/>
        <v>24.596533388601692</v>
      </c>
    </row>
    <row r="186" spans="2:14" ht="15" hidden="1" outlineLevel="2" x14ac:dyDescent="0.25">
      <c r="B186" s="12"/>
      <c r="E186" s="30"/>
      <c r="G186" s="118"/>
      <c r="H186" s="118"/>
      <c r="I186" s="118"/>
      <c r="J186" s="118"/>
      <c r="K186" s="118"/>
      <c r="L186" s="118"/>
      <c r="M186" s="118"/>
    </row>
    <row r="187" spans="2:14" ht="15" hidden="1" outlineLevel="2" x14ac:dyDescent="0.25">
      <c r="B187" s="12" t="str">
        <f t="shared" ref="B187:B192" si="70">+C187&amp;D187&amp;E187&amp;F187</f>
        <v>EuropeFeedstockElectricityUSD/MWh</v>
      </c>
      <c r="C187" t="str">
        <f>+C181</f>
        <v>Europe</v>
      </c>
      <c r="D187" t="s">
        <v>777</v>
      </c>
      <c r="E187" s="30" t="s">
        <v>54</v>
      </c>
      <c r="F187" s="450" t="s">
        <v>196</v>
      </c>
      <c r="G187" s="481">
        <f t="shared" ref="G187:M191" si="71">INDEX(G$196:G$1072,MATCH($B187,$B$196:$B$1072,0))</f>
        <v>54.596518251479822</v>
      </c>
      <c r="H187" s="481">
        <f t="shared" si="71"/>
        <v>44.178163428608016</v>
      </c>
      <c r="I187" s="481">
        <f t="shared" si="71"/>
        <v>35.760069774188757</v>
      </c>
      <c r="J187" s="481">
        <f t="shared" si="71"/>
        <v>32.262353602492915</v>
      </c>
      <c r="K187" s="481">
        <f t="shared" si="71"/>
        <v>30.17403926811183</v>
      </c>
      <c r="L187" s="481">
        <f t="shared" si="71"/>
        <v>27.939919953355002</v>
      </c>
      <c r="M187" s="481">
        <f t="shared" si="71"/>
        <v>26.309860491239117</v>
      </c>
      <c r="N187" s="93"/>
    </row>
    <row r="188" spans="2:14" ht="15" hidden="1" outlineLevel="2" x14ac:dyDescent="0.25">
      <c r="B188" s="12" t="str">
        <f t="shared" si="70"/>
        <v>Middle EastFeedstockElectricityUSD/MWh</v>
      </c>
      <c r="C188" t="str">
        <f>+C182</f>
        <v>Middle East</v>
      </c>
      <c r="D188" t="s">
        <v>777</v>
      </c>
      <c r="E188" s="30" t="s">
        <v>54</v>
      </c>
      <c r="F188" s="450" t="s">
        <v>196</v>
      </c>
      <c r="G188" s="481">
        <f t="shared" si="71"/>
        <v>41.921157991354328</v>
      </c>
      <c r="H188" s="481">
        <f t="shared" si="71"/>
        <v>33.753089127704079</v>
      </c>
      <c r="I188" s="481">
        <f t="shared" si="71"/>
        <v>28.34507912512213</v>
      </c>
      <c r="J188" s="481">
        <f t="shared" si="71"/>
        <v>24.531808876328746</v>
      </c>
      <c r="K188" s="481">
        <f t="shared" si="71"/>
        <v>22.619875270215999</v>
      </c>
      <c r="L188" s="481">
        <f t="shared" si="71"/>
        <v>20.112573077486601</v>
      </c>
      <c r="M188" s="481">
        <f t="shared" si="71"/>
        <v>18.93907699669392</v>
      </c>
    </row>
    <row r="189" spans="2:14" ht="15" hidden="1" outlineLevel="2" x14ac:dyDescent="0.25">
      <c r="B189" s="12" t="str">
        <f t="shared" si="70"/>
        <v>AsiaFeedstockElectricityUSD/MWh</v>
      </c>
      <c r="C189" t="str">
        <f>+C183</f>
        <v>Asia</v>
      </c>
      <c r="D189" t="s">
        <v>777</v>
      </c>
      <c r="E189" s="30" t="s">
        <v>54</v>
      </c>
      <c r="F189" s="450" t="s">
        <v>196</v>
      </c>
      <c r="G189" s="481">
        <f t="shared" si="71"/>
        <v>82.061686148726054</v>
      </c>
      <c r="H189" s="481">
        <f t="shared" si="71"/>
        <v>53.528213383864831</v>
      </c>
      <c r="I189" s="481">
        <f t="shared" si="71"/>
        <v>43.29349363565693</v>
      </c>
      <c r="J189" s="481">
        <f t="shared" si="71"/>
        <v>36.337065788929628</v>
      </c>
      <c r="K189" s="481">
        <f t="shared" si="71"/>
        <v>32.800249332911001</v>
      </c>
      <c r="L189" s="481">
        <f t="shared" si="71"/>
        <v>29.0981641388437</v>
      </c>
      <c r="M189" s="481">
        <f t="shared" si="71"/>
        <v>27.400436938991028</v>
      </c>
    </row>
    <row r="190" spans="2:14" ht="15" hidden="1" outlineLevel="2" x14ac:dyDescent="0.25">
      <c r="B190" s="12" t="str">
        <f t="shared" si="70"/>
        <v>AmericasFeedstockElectricityUSD/MWh</v>
      </c>
      <c r="C190" t="str">
        <f>+C184</f>
        <v>Americas</v>
      </c>
      <c r="D190" t="s">
        <v>777</v>
      </c>
      <c r="E190" s="30" t="s">
        <v>54</v>
      </c>
      <c r="F190" s="450" t="s">
        <v>196</v>
      </c>
      <c r="G190" s="481">
        <f t="shared" si="71"/>
        <v>38.96640570315094</v>
      </c>
      <c r="H190" s="481">
        <f t="shared" si="71"/>
        <v>35.167703764177872</v>
      </c>
      <c r="I190" s="481">
        <f t="shared" si="71"/>
        <v>28.746405825398561</v>
      </c>
      <c r="J190" s="481">
        <f t="shared" si="71"/>
        <v>25.656323090259679</v>
      </c>
      <c r="K190" s="481">
        <f t="shared" si="71"/>
        <v>23.151426016069131</v>
      </c>
      <c r="L190" s="481">
        <f t="shared" si="71"/>
        <v>22.142282710121734</v>
      </c>
      <c r="M190" s="481">
        <f t="shared" si="71"/>
        <v>21.380955513479382</v>
      </c>
    </row>
    <row r="191" spans="2:14" ht="15" hidden="1" outlineLevel="2" x14ac:dyDescent="0.25">
      <c r="B191" s="12" t="str">
        <f t="shared" si="70"/>
        <v>AfricaFeedstockElectricityUSD/MWh</v>
      </c>
      <c r="C191" t="str">
        <f>+C185</f>
        <v>Africa</v>
      </c>
      <c r="D191" t="s">
        <v>777</v>
      </c>
      <c r="E191" s="30" t="s">
        <v>54</v>
      </c>
      <c r="F191" s="450" t="s">
        <v>196</v>
      </c>
      <c r="G191" s="481">
        <f t="shared" si="71"/>
        <v>78.959338985079413</v>
      </c>
      <c r="H191" s="481">
        <f t="shared" si="71"/>
        <v>44.676785560803516</v>
      </c>
      <c r="I191" s="481">
        <f t="shared" si="71"/>
        <v>35.119981181981451</v>
      </c>
      <c r="J191" s="481">
        <f t="shared" si="71"/>
        <v>29.785360764210218</v>
      </c>
      <c r="K191" s="481">
        <f t="shared" si="71"/>
        <v>27.274442592674799</v>
      </c>
      <c r="L191" s="481">
        <f t="shared" si="71"/>
        <v>24.692537876031398</v>
      </c>
      <c r="M191" s="481">
        <f t="shared" si="71"/>
        <v>23.425269893906371</v>
      </c>
    </row>
    <row r="192" spans="2:14" ht="15" hidden="1" outlineLevel="2" x14ac:dyDescent="0.25">
      <c r="B192" s="12" t="str">
        <f t="shared" si="70"/>
        <v>GlobalProcess - OpexH2 CompressionmWh/ ton H2</v>
      </c>
      <c r="C192" t="s">
        <v>109</v>
      </c>
      <c r="D192" t="s">
        <v>876</v>
      </c>
      <c r="E192" s="30" t="s">
        <v>886</v>
      </c>
      <c r="F192" s="450" t="s">
        <v>878</v>
      </c>
      <c r="G192" s="482">
        <f>+INDEX('Fuel Model -  Input'!$B$3:$N$373,MATCH($B192,'Fuel Model -  Input'!$B$3:$B$373,0),MATCH(G$2,'Fuel Model -  Input'!$B$3:$N$3,0))</f>
        <v>1.05</v>
      </c>
      <c r="H192" s="482">
        <f>+INDEX('Fuel Model -  Input'!$B$3:$N$373,MATCH($B192,'Fuel Model -  Input'!$B$3:$B$373,0),MATCH(H$2,'Fuel Model -  Input'!$B$3:$N$3,0))</f>
        <v>1.05</v>
      </c>
      <c r="I192" s="482">
        <f>+INDEX('Fuel Model -  Input'!$B$3:$N$373,MATCH($B192,'Fuel Model -  Input'!$B$3:$B$373,0),MATCH(I$2,'Fuel Model -  Input'!$B$3:$N$3,0))</f>
        <v>1.05</v>
      </c>
      <c r="J192" s="482">
        <f>+INDEX('Fuel Model -  Input'!$B$3:$N$373,MATCH($B192,'Fuel Model -  Input'!$B$3:$B$373,0),MATCH(J$2,'Fuel Model -  Input'!$B$3:$N$3,0))</f>
        <v>1.05</v>
      </c>
      <c r="K192" s="482">
        <f>+INDEX('Fuel Model -  Input'!$B$3:$N$373,MATCH($B192,'Fuel Model -  Input'!$B$3:$B$373,0),MATCH(K$2,'Fuel Model -  Input'!$B$3:$N$3,0))</f>
        <v>1.05</v>
      </c>
      <c r="L192" s="482">
        <f>+INDEX('Fuel Model -  Input'!$B$3:$N$373,MATCH($B192,'Fuel Model -  Input'!$B$3:$B$373,0),MATCH(L$2,'Fuel Model -  Input'!$B$3:$N$3,0))</f>
        <v>1.05</v>
      </c>
      <c r="M192" s="482">
        <f>+INDEX('Fuel Model -  Input'!$B$3:$N$373,MATCH($B192,'Fuel Model -  Input'!$B$3:$B$373,0),MATCH(M$2,'Fuel Model -  Input'!$B$3:$N$3,0))</f>
        <v>1.05</v>
      </c>
      <c r="N192" s="93"/>
    </row>
    <row r="193" spans="2:15" hidden="1" outlineLevel="1" x14ac:dyDescent="0.2"/>
    <row r="194" spans="2:15" s="30" customFormat="1" ht="15" hidden="1" outlineLevel="1" collapsed="1" x14ac:dyDescent="0.25">
      <c r="B194" s="30" t="s">
        <v>195</v>
      </c>
      <c r="C194" s="30" t="str">
        <f>+B194</f>
        <v>Europe</v>
      </c>
      <c r="F194" s="450"/>
    </row>
    <row r="195" spans="2:15" s="487" customFormat="1" ht="15" hidden="1" outlineLevel="2" collapsed="1" x14ac:dyDescent="0.25">
      <c r="B195" s="483" t="s">
        <v>887</v>
      </c>
      <c r="C195" s="484"/>
      <c r="D195" s="484"/>
      <c r="E195" s="484"/>
      <c r="F195" s="485"/>
      <c r="G195" s="486">
        <f t="shared" ref="G195:M195" si="72">G196</f>
        <v>4433.3113438584514</v>
      </c>
      <c r="H195" s="486">
        <f t="shared" si="72"/>
        <v>3536.2505526243804</v>
      </c>
      <c r="I195" s="486">
        <f t="shared" si="72"/>
        <v>2745.9622583071623</v>
      </c>
      <c r="J195" s="486">
        <f t="shared" si="72"/>
        <v>2472.606494687323</v>
      </c>
      <c r="K195" s="486">
        <f t="shared" si="72"/>
        <v>2271.0318908248323</v>
      </c>
      <c r="L195" s="486">
        <f t="shared" si="72"/>
        <v>2063.8695862418363</v>
      </c>
      <c r="M195" s="486">
        <f t="shared" si="72"/>
        <v>1887.9402247843987</v>
      </c>
    </row>
    <row r="196" spans="2:15" ht="15" hidden="1" outlineLevel="3" x14ac:dyDescent="0.25">
      <c r="B196" s="3" t="str">
        <f t="shared" ref="B196:B204" si="73">+C196&amp;D196&amp;E196&amp;F196</f>
        <v>EuropeResultsCost of e-Hydrogen (Alk)USD/ton</v>
      </c>
      <c r="C196" t="str">
        <f>$B$194</f>
        <v>Europe</v>
      </c>
      <c r="D196" t="s">
        <v>838</v>
      </c>
      <c r="E196" s="30" t="s">
        <v>863</v>
      </c>
      <c r="F196" s="450" t="s">
        <v>205</v>
      </c>
      <c r="G196" s="488">
        <f t="shared" ref="G196:M196" si="74">SUM(G197:G198)</f>
        <v>4433.3113438584514</v>
      </c>
      <c r="H196" s="488">
        <f t="shared" si="74"/>
        <v>3536.2505526243804</v>
      </c>
      <c r="I196" s="488">
        <f t="shared" si="74"/>
        <v>2745.9622583071623</v>
      </c>
      <c r="J196" s="488">
        <f t="shared" si="74"/>
        <v>2472.606494687323</v>
      </c>
      <c r="K196" s="488">
        <f t="shared" si="74"/>
        <v>2271.0318908248323</v>
      </c>
      <c r="L196" s="488">
        <f t="shared" si="74"/>
        <v>2063.8695862418363</v>
      </c>
      <c r="M196" s="488">
        <f t="shared" si="74"/>
        <v>1887.9402247843987</v>
      </c>
      <c r="O196" s="95"/>
    </row>
    <row r="197" spans="2:15" ht="15" hidden="1" outlineLevel="3" x14ac:dyDescent="0.25">
      <c r="B197" s="3" t="str">
        <f t="shared" si="73"/>
        <v>EuropeResultsCapex (Alk)USD/ton</v>
      </c>
      <c r="C197" t="str">
        <f>$B$194</f>
        <v>Europe</v>
      </c>
      <c r="D197" t="s">
        <v>838</v>
      </c>
      <c r="E197" s="228" t="s">
        <v>888</v>
      </c>
      <c r="F197" s="450" t="s">
        <v>205</v>
      </c>
      <c r="G197" s="488">
        <f t="shared" ref="G197:M197" si="75">G200</f>
        <v>787.464217475032</v>
      </c>
      <c r="H197" s="488">
        <f t="shared" si="75"/>
        <v>616.22695755115865</v>
      </c>
      <c r="I197" s="488">
        <f t="shared" si="75"/>
        <v>446.35788397320005</v>
      </c>
      <c r="J197" s="488">
        <f t="shared" si="75"/>
        <v>402.8806831018826</v>
      </c>
      <c r="K197" s="488">
        <f t="shared" si="75"/>
        <v>359.74685839083924</v>
      </c>
      <c r="L197" s="488">
        <f t="shared" si="75"/>
        <v>316.9543475337004</v>
      </c>
      <c r="M197" s="488">
        <f t="shared" si="75"/>
        <v>274.50109927278885</v>
      </c>
      <c r="O197" s="95"/>
    </row>
    <row r="198" spans="2:15" ht="15" hidden="1" outlineLevel="3" x14ac:dyDescent="0.25">
      <c r="B198" s="3" t="str">
        <f t="shared" si="73"/>
        <v>EuropeResultsOpex (Alk)USD/ton</v>
      </c>
      <c r="C198" t="str">
        <f>$B$194</f>
        <v>Europe</v>
      </c>
      <c r="D198" t="s">
        <v>838</v>
      </c>
      <c r="E198" s="228" t="s">
        <v>889</v>
      </c>
      <c r="F198" s="450" t="s">
        <v>205</v>
      </c>
      <c r="G198" s="488">
        <f>SUM(G206,G210,G214)</f>
        <v>3645.8471263834194</v>
      </c>
      <c r="H198" s="488">
        <f t="shared" ref="H198:M198" si="76">SUM(H206,H210,H214)</f>
        <v>2920.0235950732217</v>
      </c>
      <c r="I198" s="488">
        <f t="shared" si="76"/>
        <v>2299.6043743339624</v>
      </c>
      <c r="J198" s="488">
        <f t="shared" si="76"/>
        <v>2069.7258115854402</v>
      </c>
      <c r="K198" s="488">
        <f t="shared" si="76"/>
        <v>1911.2850324339931</v>
      </c>
      <c r="L198" s="488">
        <f t="shared" si="76"/>
        <v>1746.9152387081358</v>
      </c>
      <c r="M198" s="488">
        <f t="shared" si="76"/>
        <v>1613.4391255116097</v>
      </c>
      <c r="O198" s="95"/>
    </row>
    <row r="199" spans="2:15" hidden="1" outlineLevel="3" x14ac:dyDescent="0.2">
      <c r="B199" s="12" t="str">
        <f t="shared" si="73"/>
        <v/>
      </c>
    </row>
    <row r="200" spans="2:15" ht="15" hidden="1" outlineLevel="3" x14ac:dyDescent="0.25">
      <c r="B200" s="3" t="str">
        <f t="shared" si="73"/>
        <v>EuropeCapexCost per ton H2 (Alk)USD/ ton H2</v>
      </c>
      <c r="C200" t="str">
        <f>$B$194</f>
        <v>Europe</v>
      </c>
      <c r="D200" t="s">
        <v>218</v>
      </c>
      <c r="E200" t="s">
        <v>890</v>
      </c>
      <c r="F200" s="489" t="s">
        <v>859</v>
      </c>
      <c r="G200" s="490">
        <f t="shared" ref="G200:M200" si="77">G202/G201</f>
        <v>787.464217475032</v>
      </c>
      <c r="H200" s="490">
        <f t="shared" si="77"/>
        <v>616.22695755115865</v>
      </c>
      <c r="I200" s="490">
        <f t="shared" si="77"/>
        <v>446.35788397320005</v>
      </c>
      <c r="J200" s="490">
        <f t="shared" si="77"/>
        <v>402.8806831018826</v>
      </c>
      <c r="K200" s="490">
        <f t="shared" si="77"/>
        <v>359.74685839083924</v>
      </c>
      <c r="L200" s="490">
        <f t="shared" si="77"/>
        <v>316.9543475337004</v>
      </c>
      <c r="M200" s="490">
        <f t="shared" si="77"/>
        <v>274.50109927278885</v>
      </c>
    </row>
    <row r="201" spans="2:15" hidden="1" outlineLevel="3" x14ac:dyDescent="0.2">
      <c r="B201" s="12" t="str">
        <f t="shared" si="73"/>
        <v>GlobalPlant capexAnnualisation factor#</v>
      </c>
      <c r="C201" t="s">
        <v>109</v>
      </c>
      <c r="D201" t="s">
        <v>786</v>
      </c>
      <c r="E201" t="s">
        <v>764</v>
      </c>
      <c r="F201" s="450" t="s">
        <v>787</v>
      </c>
      <c r="G201" s="491">
        <f>+INDEX('Fuel Model -  Input'!$B$3:$N$373,MATCH($B201,'Fuel Model -  Input'!$B$3:$B$373,0),MATCH(G$2,'Fuel Model -  Input'!$B$3:$N$3,0))</f>
        <v>11.32075471698113</v>
      </c>
      <c r="H201" s="491">
        <f>+INDEX('Fuel Model -  Input'!$B$3:$N$373,MATCH($B201,'Fuel Model -  Input'!$B$3:$B$373,0),MATCH(H$2,'Fuel Model -  Input'!$B$3:$N$3,0))</f>
        <v>11.32075471698113</v>
      </c>
      <c r="I201" s="491">
        <f>+INDEX('Fuel Model -  Input'!$B$3:$N$373,MATCH($B201,'Fuel Model -  Input'!$B$3:$B$373,0),MATCH(I$2,'Fuel Model -  Input'!$B$3:$N$3,0))</f>
        <v>11.32075471698113</v>
      </c>
      <c r="J201" s="491">
        <f>+INDEX('Fuel Model -  Input'!$B$3:$N$373,MATCH($B201,'Fuel Model -  Input'!$B$3:$B$373,0),MATCH(J$2,'Fuel Model -  Input'!$B$3:$N$3,0))</f>
        <v>11.32075471698113</v>
      </c>
      <c r="K201" s="491">
        <f>+INDEX('Fuel Model -  Input'!$B$3:$N$373,MATCH($B201,'Fuel Model -  Input'!$B$3:$B$373,0),MATCH(K$2,'Fuel Model -  Input'!$B$3:$N$3,0))</f>
        <v>11.32075471698113</v>
      </c>
      <c r="L201" s="491">
        <f>+INDEX('Fuel Model -  Input'!$B$3:$N$373,MATCH($B201,'Fuel Model -  Input'!$B$3:$B$373,0),MATCH(L$2,'Fuel Model -  Input'!$B$3:$N$3,0))</f>
        <v>11.32075471698113</v>
      </c>
      <c r="M201" s="491">
        <f>INDEX('Fuel Model -  Input'!$B$3:$N$373,MATCH($B201,'Fuel Model -  Input'!$B$3:$B$373,0),MATCH(M$2,'Fuel Model -  Input'!$B$3:$N$3,0))</f>
        <v>11.32075471698113</v>
      </c>
      <c r="O201" s="95"/>
    </row>
    <row r="202" spans="2:15" ht="12.75" hidden="1" outlineLevel="3" x14ac:dyDescent="0.2">
      <c r="B202" s="12" t="str">
        <f t="shared" si="73"/>
        <v>EuropePlant capexElectrolyser unit cost (Alk)USD/ ton H2 cap</v>
      </c>
      <c r="C202" t="str">
        <f>+C200</f>
        <v>Europe</v>
      </c>
      <c r="D202" t="s">
        <v>786</v>
      </c>
      <c r="E202" t="s">
        <v>891</v>
      </c>
      <c r="F202" t="s">
        <v>892</v>
      </c>
      <c r="G202" s="8">
        <f>G204/(365*24*G203)*G208</f>
        <v>8914.6892544343227</v>
      </c>
      <c r="H202" s="8">
        <f t="shared" ref="H202:M202" si="78">H204/(365*24*H203)*H208</f>
        <v>6976.1542364282095</v>
      </c>
      <c r="I202" s="8">
        <f t="shared" si="78"/>
        <v>5053.1081204513202</v>
      </c>
      <c r="J202" s="8">
        <f t="shared" si="78"/>
        <v>4560.9133936062171</v>
      </c>
      <c r="K202" s="8">
        <f t="shared" si="78"/>
        <v>4072.6059440472354</v>
      </c>
      <c r="L202" s="8">
        <f t="shared" si="78"/>
        <v>3588.1624249098149</v>
      </c>
      <c r="M202" s="8">
        <f t="shared" si="78"/>
        <v>3107.5596144089295</v>
      </c>
    </row>
    <row r="203" spans="2:15" hidden="1" outlineLevel="3" x14ac:dyDescent="0.2">
      <c r="B203" s="12" t="str">
        <f t="shared" si="73"/>
        <v>EuropeGeneralCapacity factor%</v>
      </c>
      <c r="C203" t="str">
        <f>$B$194</f>
        <v>Europe</v>
      </c>
      <c r="D203" t="s">
        <v>173</v>
      </c>
      <c r="E203" t="s">
        <v>893</v>
      </c>
      <c r="F203" s="450" t="s">
        <v>178</v>
      </c>
      <c r="G203" s="467">
        <f>+INDEX('Fuel Model -  Input'!$B$3:$N$373,MATCH($B203,'Fuel Model -  Input'!$B$3:$B$373,0),MATCH(G$2,'Fuel Model -  Input'!$B$3:$N$3,0))</f>
        <v>0.9</v>
      </c>
      <c r="H203" s="467">
        <f>+INDEX('Fuel Model -  Input'!$B$3:$N$373,MATCH($B203,'Fuel Model -  Input'!$B$3:$B$373,0),MATCH(H$2,'Fuel Model -  Input'!$B$3:$N$3,0))</f>
        <v>0.9</v>
      </c>
      <c r="I203" s="467">
        <f>+INDEX('Fuel Model -  Input'!$B$3:$N$373,MATCH($B203,'Fuel Model -  Input'!$B$3:$B$373,0),MATCH(I$2,'Fuel Model -  Input'!$B$3:$N$3,0))</f>
        <v>0.9</v>
      </c>
      <c r="J203" s="467">
        <f>+INDEX('Fuel Model -  Input'!$B$3:$N$373,MATCH($B203,'Fuel Model -  Input'!$B$3:$B$373,0),MATCH(J$2,'Fuel Model -  Input'!$B$3:$N$3,0))</f>
        <v>0.9</v>
      </c>
      <c r="K203" s="467">
        <f>+INDEX('Fuel Model -  Input'!$B$3:$N$373,MATCH($B203,'Fuel Model -  Input'!$B$3:$B$373,0),MATCH(K$2,'Fuel Model -  Input'!$B$3:$N$3,0))</f>
        <v>0.9</v>
      </c>
      <c r="L203" s="467">
        <f>+INDEX('Fuel Model -  Input'!$B$3:$N$373,MATCH($B203,'Fuel Model -  Input'!$B$3:$B$373,0),MATCH(L$2,'Fuel Model -  Input'!$B$3:$N$3,0))</f>
        <v>0.9</v>
      </c>
      <c r="M203" s="467">
        <f>INDEX('Fuel Model -  Input'!$B$3:$N$373,MATCH($B203,'Fuel Model -  Input'!$B$3:$B$373,0),MATCH(M$2,'Fuel Model -  Input'!$B$3:$N$3,0))</f>
        <v>0.9</v>
      </c>
      <c r="O203" s="118"/>
    </row>
    <row r="204" spans="2:15" hidden="1" outlineLevel="3" x14ac:dyDescent="0.2">
      <c r="B204" s="12" t="str">
        <f t="shared" si="73"/>
        <v>GlobalCapexElectrolyser unit cost (Alk)USD/MW</v>
      </c>
      <c r="C204" t="s">
        <v>109</v>
      </c>
      <c r="D204" t="s">
        <v>218</v>
      </c>
      <c r="E204" t="s">
        <v>891</v>
      </c>
      <c r="F204" s="450" t="s">
        <v>279</v>
      </c>
      <c r="G204" s="491">
        <f>+INDEX('Fuel Model -  Input'!$B$3:$N$373,MATCH($B204,'Fuel Model -  Input'!$B$3:$B$373,0),MATCH(G$2,'Fuel Model -  Input'!$B$3:$N$3,0))</f>
        <v>1400000</v>
      </c>
      <c r="H204" s="491">
        <f>+INDEX('Fuel Model -  Input'!$B$3:$N$373,MATCH($B204,'Fuel Model -  Input'!$B$3:$B$373,0),MATCH(H$2,'Fuel Model -  Input'!$B$3:$N$3,0))</f>
        <v>1100000</v>
      </c>
      <c r="I204" s="491">
        <f>+INDEX('Fuel Model -  Input'!$B$3:$N$373,MATCH($B204,'Fuel Model -  Input'!$B$3:$B$373,0),MATCH(I$2,'Fuel Model -  Input'!$B$3:$N$3,0))</f>
        <v>800000</v>
      </c>
      <c r="J204" s="491">
        <f>+INDEX('Fuel Model -  Input'!$B$3:$N$373,MATCH($B204,'Fuel Model -  Input'!$B$3:$B$373,0),MATCH(J$2,'Fuel Model -  Input'!$B$3:$N$3,0))</f>
        <v>725000</v>
      </c>
      <c r="K204" s="491">
        <f>+INDEX('Fuel Model -  Input'!$B$3:$N$373,MATCH($B204,'Fuel Model -  Input'!$B$3:$B$373,0),MATCH(K$2,'Fuel Model -  Input'!$B$3:$N$3,0))</f>
        <v>650000</v>
      </c>
      <c r="L204" s="491">
        <f>+INDEX('Fuel Model -  Input'!$B$3:$N$373,MATCH($B204,'Fuel Model -  Input'!$B$3:$B$373,0),MATCH(L$2,'Fuel Model -  Input'!$B$3:$N$3,0))</f>
        <v>575000</v>
      </c>
      <c r="M204" s="491">
        <f>INDEX('Fuel Model -  Input'!$B$3:$N$373,MATCH($B204,'Fuel Model -  Input'!$B$3:$B$373,0),MATCH(M$2,'Fuel Model -  Input'!$B$3:$N$3,0))</f>
        <v>500000</v>
      </c>
      <c r="O204" s="118"/>
    </row>
    <row r="205" spans="2:15" ht="12.75" hidden="1" outlineLevel="3" x14ac:dyDescent="0.2">
      <c r="B205" s="48"/>
      <c r="F205"/>
    </row>
    <row r="206" spans="2:15" ht="15" hidden="1" outlineLevel="3" x14ac:dyDescent="0.25">
      <c r="B206" s="3" t="str">
        <f>+C206&amp;D206&amp;E206&amp;F206</f>
        <v>EuropeFeedstockTotal Electricity (Alk)USD/ ton H2</v>
      </c>
      <c r="C206" t="str">
        <f>$B$194</f>
        <v>Europe</v>
      </c>
      <c r="D206" t="s">
        <v>777</v>
      </c>
      <c r="E206" t="s">
        <v>894</v>
      </c>
      <c r="F206" s="489" t="s">
        <v>859</v>
      </c>
      <c r="G206" s="492">
        <f t="shared" ref="G206:M206" si="79">G207*G208</f>
        <v>2740.878200939987</v>
      </c>
      <c r="H206" s="492">
        <f t="shared" si="79"/>
        <v>2208.9081714304007</v>
      </c>
      <c r="I206" s="492">
        <f t="shared" si="79"/>
        <v>1780.7935622888306</v>
      </c>
      <c r="J206" s="492">
        <f t="shared" si="79"/>
        <v>1600.1344722248182</v>
      </c>
      <c r="K206" s="492">
        <f t="shared" si="79"/>
        <v>1490.5244380292695</v>
      </c>
      <c r="L206" s="492">
        <f t="shared" si="79"/>
        <v>1374.5989962171543</v>
      </c>
      <c r="M206" s="492">
        <f t="shared" si="79"/>
        <v>1289.1831640707167</v>
      </c>
    </row>
    <row r="207" spans="2:15" hidden="1" outlineLevel="3" x14ac:dyDescent="0.2">
      <c r="B207" s="12" t="str">
        <f>+C207&amp;D207&amp;E207&amp;F207</f>
        <v>EuropeFeedstockElectricityUSD/MWh</v>
      </c>
      <c r="C207" t="str">
        <f>$B$194</f>
        <v>Europe</v>
      </c>
      <c r="D207" t="s">
        <v>777</v>
      </c>
      <c r="E207" t="s">
        <v>54</v>
      </c>
      <c r="F207" s="450" t="s">
        <v>196</v>
      </c>
      <c r="G207" s="491">
        <f>+INDEX('Fuel Model -  Input'!$B$3:$N$373,MATCH($B207,'Fuel Model -  Input'!$B$3:$B$373,0),MATCH(G$2,'Fuel Model -  Input'!$B$3:$N$3,0))</f>
        <v>54.596518251479822</v>
      </c>
      <c r="H207" s="491">
        <f>+INDEX('Fuel Model -  Input'!$B$3:$N$373,MATCH($B207,'Fuel Model -  Input'!$B$3:$B$373,0),MATCH(H$2,'Fuel Model -  Input'!$B$3:$N$3,0))</f>
        <v>44.178163428608016</v>
      </c>
      <c r="I207" s="491">
        <f>+INDEX('Fuel Model -  Input'!$B$3:$N$373,MATCH($B207,'Fuel Model -  Input'!$B$3:$B$373,0),MATCH(I$2,'Fuel Model -  Input'!$B$3:$N$3,0))</f>
        <v>35.760069774188757</v>
      </c>
      <c r="J207" s="491">
        <f>+INDEX('Fuel Model -  Input'!$B$3:$N$373,MATCH($B207,'Fuel Model -  Input'!$B$3:$B$373,0),MATCH(J$2,'Fuel Model -  Input'!$B$3:$N$3,0))</f>
        <v>32.262353602492915</v>
      </c>
      <c r="K207" s="491">
        <f>+INDEX('Fuel Model -  Input'!$B$3:$N$373,MATCH($B207,'Fuel Model -  Input'!$B$3:$B$373,0),MATCH(K$2,'Fuel Model -  Input'!$B$3:$N$3,0))</f>
        <v>30.17403926811183</v>
      </c>
      <c r="L207" s="491">
        <f>+INDEX('Fuel Model -  Input'!$B$3:$N$373,MATCH($B207,'Fuel Model -  Input'!$B$3:$B$373,0),MATCH(L$2,'Fuel Model -  Input'!$B$3:$N$3,0))</f>
        <v>27.939919953355002</v>
      </c>
      <c r="M207" s="491">
        <f>INDEX('Fuel Model -  Input'!$B$3:$N$373,MATCH($B207,'Fuel Model -  Input'!$B$3:$B$373,0),MATCH(M$2,'Fuel Model -  Input'!$B$3:$N$3,0))</f>
        <v>26.309860491239117</v>
      </c>
      <c r="O207" s="118"/>
    </row>
    <row r="208" spans="2:15" hidden="1" outlineLevel="3" x14ac:dyDescent="0.2">
      <c r="B208" s="12" t="str">
        <f>+C208&amp;D208&amp;E208&amp;F208</f>
        <v>GlobalFeedstockSystem efficiency (Alk)kWh/kg H2</v>
      </c>
      <c r="C208" t="s">
        <v>109</v>
      </c>
      <c r="D208" t="s">
        <v>777</v>
      </c>
      <c r="E208" t="s">
        <v>895</v>
      </c>
      <c r="F208" s="450" t="s">
        <v>896</v>
      </c>
      <c r="G208" s="491">
        <f>+INDEX('Fuel Model -  Input'!$B$3:$N$373,MATCH($B208,'Fuel Model -  Input'!$B$3:$B$373,0),MATCH(G$2,'Fuel Model -  Input'!$B$3:$N$3,0))</f>
        <v>50.202435772828721</v>
      </c>
      <c r="H208" s="491">
        <f>+INDEX('Fuel Model -  Input'!$B$3:$N$373,MATCH($B208,'Fuel Model -  Input'!$B$3:$B$373,0),MATCH(H$2,'Fuel Model -  Input'!$B$3:$N$3,0))</f>
        <v>50</v>
      </c>
      <c r="I208" s="491">
        <f>+INDEX('Fuel Model -  Input'!$B$3:$N$373,MATCH($B208,'Fuel Model -  Input'!$B$3:$B$373,0),MATCH(I$2,'Fuel Model -  Input'!$B$3:$N$3,0))</f>
        <v>49.798380527047762</v>
      </c>
      <c r="J208" s="491">
        <f>+INDEX('Fuel Model -  Input'!$B$3:$N$373,MATCH($B208,'Fuel Model -  Input'!$B$3:$B$373,0),MATCH(J$2,'Fuel Model -  Input'!$B$3:$N$3,0))</f>
        <v>49.597574062332995</v>
      </c>
      <c r="K208" s="491">
        <f>+INDEX('Fuel Model -  Input'!$B$3:$N$373,MATCH($B208,'Fuel Model -  Input'!$B$3:$B$373,0),MATCH(K$2,'Fuel Model -  Input'!$B$3:$N$3,0))</f>
        <v>49.397577327489856</v>
      </c>
      <c r="L208" s="491">
        <f>+INDEX('Fuel Model -  Input'!$B$3:$N$373,MATCH($B208,'Fuel Model -  Input'!$B$3:$B$373,0),MATCH(L$2,'Fuel Model -  Input'!$B$3:$N$3,0))</f>
        <v>49.198387057372138</v>
      </c>
      <c r="M208" s="491">
        <f>INDEX('Fuel Model -  Input'!$B$3:$N$373,MATCH($B208,'Fuel Model -  Input'!$B$3:$B$373,0),MATCH(M$2,'Fuel Model -  Input'!$B$3:$N$3,0))</f>
        <v>49</v>
      </c>
      <c r="O208" s="118"/>
    </row>
    <row r="209" spans="2:15" hidden="1" outlineLevel="3" x14ac:dyDescent="0.2">
      <c r="B209" s="12"/>
      <c r="G209" s="493"/>
      <c r="H209" s="493"/>
      <c r="I209" s="493"/>
      <c r="J209" s="493"/>
      <c r="K209" s="493"/>
      <c r="L209" s="493"/>
      <c r="M209" s="493"/>
      <c r="O209" s="118"/>
    </row>
    <row r="210" spans="2:15" ht="15" hidden="1" outlineLevel="3" x14ac:dyDescent="0.25">
      <c r="B210" t="str">
        <f t="shared" ref="B210:B212" si="80">+C210&amp;D210&amp;E210&amp;F210</f>
        <v>GlobalFeedstockCost of H2O in H2USD/ton H2</v>
      </c>
      <c r="C210" s="494" t="str">
        <f>C208</f>
        <v>Global</v>
      </c>
      <c r="D210" t="s">
        <v>777</v>
      </c>
      <c r="E210" t="s">
        <v>897</v>
      </c>
      <c r="F210" s="127" t="s">
        <v>881</v>
      </c>
      <c r="G210" s="261">
        <f t="shared" ref="G210:M210" si="81">G211*G212</f>
        <v>13.5</v>
      </c>
      <c r="H210" s="261">
        <f t="shared" si="81"/>
        <v>13.5</v>
      </c>
      <c r="I210" s="261">
        <f t="shared" si="81"/>
        <v>13.5</v>
      </c>
      <c r="J210" s="261">
        <f t="shared" si="81"/>
        <v>13.5</v>
      </c>
      <c r="K210" s="261">
        <f t="shared" si="81"/>
        <v>13.5</v>
      </c>
      <c r="L210" s="261">
        <f t="shared" si="81"/>
        <v>13.5</v>
      </c>
      <c r="M210" s="261">
        <f t="shared" si="81"/>
        <v>13.5</v>
      </c>
    </row>
    <row r="211" spans="2:15" hidden="1" outlineLevel="3" x14ac:dyDescent="0.2">
      <c r="B211" t="str">
        <f t="shared" si="80"/>
        <v>GlobalFeedstockConversion H2O:H2 (actual)ton H2O/ton H2</v>
      </c>
      <c r="C211" t="s">
        <v>109</v>
      </c>
      <c r="D211" t="s">
        <v>777</v>
      </c>
      <c r="E211" t="s">
        <v>898</v>
      </c>
      <c r="F211" s="128" t="s">
        <v>899</v>
      </c>
      <c r="G211" s="495">
        <f>INDEX('Fuel Model -  Input'!$B$3:$N$373,MATCH($B211,'Fuel Model -  Input'!$B$3:$B$373,0),MATCH(G$2,'Fuel Model -  Input'!$B$3:$N$3,0))</f>
        <v>9</v>
      </c>
      <c r="H211" s="495">
        <f>INDEX('Fuel Model -  Input'!$B$3:$N$373,MATCH($B211,'Fuel Model -  Input'!$B$3:$B$373,0),MATCH(H$2,'Fuel Model -  Input'!$B$3:$N$3,0))</f>
        <v>9</v>
      </c>
      <c r="I211" s="495">
        <f>INDEX('Fuel Model -  Input'!$B$3:$N$373,MATCH($B211,'Fuel Model -  Input'!$B$3:$B$373,0),MATCH(I$2,'Fuel Model -  Input'!$B$3:$N$3,0))</f>
        <v>9</v>
      </c>
      <c r="J211" s="495">
        <f>INDEX('Fuel Model -  Input'!$B$3:$N$373,MATCH($B211,'Fuel Model -  Input'!$B$3:$B$373,0),MATCH(J$2,'Fuel Model -  Input'!$B$3:$N$3,0))</f>
        <v>9</v>
      </c>
      <c r="K211" s="495">
        <f>INDEX('Fuel Model -  Input'!$B$3:$N$373,MATCH($B211,'Fuel Model -  Input'!$B$3:$B$373,0),MATCH(K$2,'Fuel Model -  Input'!$B$3:$N$3,0))</f>
        <v>9</v>
      </c>
      <c r="L211" s="495">
        <f>INDEX('Fuel Model -  Input'!$B$3:$N$373,MATCH($B211,'Fuel Model -  Input'!$B$3:$B$373,0),MATCH(L$2,'Fuel Model -  Input'!$B$3:$N$3,0))</f>
        <v>9</v>
      </c>
      <c r="M211" s="495">
        <f>INDEX('Fuel Model -  Input'!$B$3:$N$373,MATCH($B211,'Fuel Model -  Input'!$B$3:$B$373,0),MATCH(M$2,'Fuel Model -  Input'!$B$3:$N$3,0))</f>
        <v>9</v>
      </c>
    </row>
    <row r="212" spans="2:15" hidden="1" outlineLevel="3" x14ac:dyDescent="0.2">
      <c r="B212" t="str">
        <f t="shared" si="80"/>
        <v>GlobalFeedstockDemineralized water costUSD/ton demin H2O</v>
      </c>
      <c r="C212" s="494" t="s">
        <v>109</v>
      </c>
      <c r="D212" t="s">
        <v>777</v>
      </c>
      <c r="E212" t="s">
        <v>900</v>
      </c>
      <c r="F212" s="450" t="s">
        <v>901</v>
      </c>
      <c r="G212" s="495">
        <f>+INDEX('Fuel Model -  Input'!$B$3:$N$373,MATCH($B212,'Fuel Model -  Input'!$B$3:$B$373,0),MATCH(G$2,'Fuel Model -  Input'!$B$3:$N$3,0))</f>
        <v>1.5</v>
      </c>
      <c r="H212" s="495">
        <f>+INDEX('Fuel Model -  Input'!$B$3:$N$373,MATCH($B212,'Fuel Model -  Input'!$B$3:$B$373,0),MATCH(H$2,'Fuel Model -  Input'!$B$3:$N$3,0))</f>
        <v>1.5</v>
      </c>
      <c r="I212" s="495">
        <f>+INDEX('Fuel Model -  Input'!$B$3:$N$373,MATCH($B212,'Fuel Model -  Input'!$B$3:$B$373,0),MATCH(I$2,'Fuel Model -  Input'!$B$3:$N$3,0))</f>
        <v>1.5</v>
      </c>
      <c r="J212" s="495">
        <f>+INDEX('Fuel Model -  Input'!$B$3:$N$373,MATCH($B212,'Fuel Model -  Input'!$B$3:$B$373,0),MATCH(J$2,'Fuel Model -  Input'!$B$3:$N$3,0))</f>
        <v>1.5</v>
      </c>
      <c r="K212" s="495">
        <f>+INDEX('Fuel Model -  Input'!$B$3:$N$373,MATCH($B212,'Fuel Model -  Input'!$B$3:$B$373,0),MATCH(K$2,'Fuel Model -  Input'!$B$3:$N$3,0))</f>
        <v>1.5</v>
      </c>
      <c r="L212" s="495">
        <f>+INDEX('Fuel Model -  Input'!$B$3:$N$373,MATCH($B212,'Fuel Model -  Input'!$B$3:$B$373,0),MATCH(L$2,'Fuel Model -  Input'!$B$3:$N$3,0))</f>
        <v>1.5</v>
      </c>
      <c r="M212" s="495">
        <f>+INDEX('Fuel Model -  Input'!$B$3:$N$373,MATCH($B212,'Fuel Model -  Input'!$B$3:$B$373,0),MATCH(M$2,'Fuel Model -  Input'!$B$3:$N$3,0))</f>
        <v>1.5</v>
      </c>
    </row>
    <row r="213" spans="2:15" ht="12.75" hidden="1" outlineLevel="3" x14ac:dyDescent="0.2">
      <c r="F213"/>
    </row>
    <row r="214" spans="2:15" ht="15" hidden="1" outlineLevel="3" x14ac:dyDescent="0.25">
      <c r="B214" s="496" t="str">
        <f>+C214&amp;D214&amp;E214&amp;F214</f>
        <v>EuropeOpexPlantUSD/ ton H2</v>
      </c>
      <c r="C214" t="str">
        <f>$B$194</f>
        <v>Europe</v>
      </c>
      <c r="D214" t="s">
        <v>219</v>
      </c>
      <c r="E214" t="s">
        <v>902</v>
      </c>
      <c r="F214" s="489" t="s">
        <v>859</v>
      </c>
      <c r="G214" s="492">
        <f t="shared" ref="G214:M214" si="82">G202*G215</f>
        <v>891.46892544343234</v>
      </c>
      <c r="H214" s="492">
        <f t="shared" si="82"/>
        <v>697.61542364282104</v>
      </c>
      <c r="I214" s="492">
        <f t="shared" si="82"/>
        <v>505.31081204513202</v>
      </c>
      <c r="J214" s="492">
        <f t="shared" si="82"/>
        <v>456.09133936062176</v>
      </c>
      <c r="K214" s="492">
        <f t="shared" si="82"/>
        <v>407.26059440472358</v>
      </c>
      <c r="L214" s="492">
        <f t="shared" si="82"/>
        <v>358.81624249098149</v>
      </c>
      <c r="M214" s="492">
        <f t="shared" si="82"/>
        <v>310.75596144089297</v>
      </c>
    </row>
    <row r="215" spans="2:15" hidden="1" outlineLevel="3" x14ac:dyDescent="0.2">
      <c r="B215" s="497" t="str">
        <f>+C215&amp;D215&amp;E215&amp;F215</f>
        <v>GlobalOpexPlant - Electrolysis - opex (Alk)Percent of Capex</v>
      </c>
      <c r="C215" t="s">
        <v>109</v>
      </c>
      <c r="D215" s="157" t="s">
        <v>219</v>
      </c>
      <c r="E215" s="498" t="s">
        <v>903</v>
      </c>
      <c r="F215" s="450" t="s">
        <v>883</v>
      </c>
      <c r="G215" s="467">
        <f>+INDEX('Fuel Model -  Input'!$B$3:$N$373,MATCH($B215,'Fuel Model -  Input'!$B$3:$B$373,0),MATCH(G$2,'Fuel Model -  Input'!$B$3:$N$3,0))</f>
        <v>0.1</v>
      </c>
      <c r="H215" s="467">
        <f>+INDEX('Fuel Model -  Input'!$B$3:$N$373,MATCH($B215,'Fuel Model -  Input'!$B$3:$B$373,0),MATCH(H$2,'Fuel Model -  Input'!$B$3:$N$3,0))</f>
        <v>0.1</v>
      </c>
      <c r="I215" s="467">
        <f>+INDEX('Fuel Model -  Input'!$B$3:$N$373,MATCH($B215,'Fuel Model -  Input'!$B$3:$B$373,0),MATCH(I$2,'Fuel Model -  Input'!$B$3:$N$3,0))</f>
        <v>0.1</v>
      </c>
      <c r="J215" s="467">
        <f>+INDEX('Fuel Model -  Input'!$B$3:$N$373,MATCH($B215,'Fuel Model -  Input'!$B$3:$B$373,0),MATCH(J$2,'Fuel Model -  Input'!$B$3:$N$3,0))</f>
        <v>0.1</v>
      </c>
      <c r="K215" s="467">
        <f>+INDEX('Fuel Model -  Input'!$B$3:$N$373,MATCH($B215,'Fuel Model -  Input'!$B$3:$B$373,0),MATCH(K$2,'Fuel Model -  Input'!$B$3:$N$3,0))</f>
        <v>0.1</v>
      </c>
      <c r="L215" s="467">
        <f>+INDEX('Fuel Model -  Input'!$B$3:$N$373,MATCH($B215,'Fuel Model -  Input'!$B$3:$B$373,0),MATCH(L$2,'Fuel Model -  Input'!$B$3:$N$3,0))</f>
        <v>0.1</v>
      </c>
      <c r="M215" s="467">
        <f>INDEX('Fuel Model -  Input'!$B$3:$N$373,MATCH($B215,'Fuel Model -  Input'!$B$3:$B$373,0),MATCH(M$2,'Fuel Model -  Input'!$B$3:$N$3,0))</f>
        <v>0.1</v>
      </c>
    </row>
    <row r="216" spans="2:15" hidden="1" outlineLevel="2" x14ac:dyDescent="0.2">
      <c r="G216" s="499"/>
      <c r="H216" s="499"/>
      <c r="I216" s="499"/>
      <c r="J216" s="499"/>
      <c r="K216" s="499"/>
      <c r="L216" s="499"/>
      <c r="M216" s="499"/>
      <c r="O216" s="95"/>
    </row>
    <row r="217" spans="2:15" s="501" customFormat="1" ht="15" hidden="1" outlineLevel="2" collapsed="1" x14ac:dyDescent="0.25">
      <c r="B217" s="500" t="s">
        <v>904</v>
      </c>
      <c r="C217"/>
      <c r="F217" s="502"/>
      <c r="G217" s="503">
        <f t="shared" ref="G217:M217" si="83">G218</f>
        <v>5807.9471348361349</v>
      </c>
      <c r="H217" s="503">
        <f t="shared" si="83"/>
        <v>4452.1656963067189</v>
      </c>
      <c r="I217" s="503">
        <f t="shared" si="83"/>
        <v>3325.9311260608374</v>
      </c>
      <c r="J217" s="503">
        <f t="shared" si="83"/>
        <v>2882.2881849184018</v>
      </c>
      <c r="K217" s="503">
        <f t="shared" si="83"/>
        <v>2550.3781945270089</v>
      </c>
      <c r="L217" s="503">
        <f t="shared" si="83"/>
        <v>2234.57619547685</v>
      </c>
      <c r="M217" s="503">
        <f t="shared" si="83"/>
        <v>1973.7309943326461</v>
      </c>
      <c r="O217" s="504"/>
    </row>
    <row r="218" spans="2:15" ht="15" hidden="1" outlineLevel="3" x14ac:dyDescent="0.25">
      <c r="B218" s="3" t="str">
        <f t="shared" ref="B218:B226" si="84">+C218&amp;D218&amp;E218&amp;F218</f>
        <v>EuropeResultsCost of e-Hydrogen (PEM)USD/ton</v>
      </c>
      <c r="C218" t="str">
        <f>$B$194</f>
        <v>Europe</v>
      </c>
      <c r="D218" t="s">
        <v>838</v>
      </c>
      <c r="E218" s="30" t="s">
        <v>864</v>
      </c>
      <c r="F218" s="450" t="s">
        <v>205</v>
      </c>
      <c r="G218" s="488">
        <f t="shared" ref="G218:M218" si="85">SUM(G219:G220)</f>
        <v>5807.9471348361349</v>
      </c>
      <c r="H218" s="488">
        <f t="shared" si="85"/>
        <v>4452.1656963067189</v>
      </c>
      <c r="I218" s="488">
        <f t="shared" si="85"/>
        <v>3325.9311260608374</v>
      </c>
      <c r="J218" s="488">
        <f t="shared" si="85"/>
        <v>2882.2881849184018</v>
      </c>
      <c r="K218" s="488">
        <f t="shared" si="85"/>
        <v>2550.3781945270089</v>
      </c>
      <c r="L218" s="488">
        <f t="shared" si="85"/>
        <v>2234.57619547685</v>
      </c>
      <c r="M218" s="488">
        <f t="shared" si="85"/>
        <v>1973.7309943326461</v>
      </c>
      <c r="O218" s="95"/>
    </row>
    <row r="219" spans="2:15" ht="15" hidden="1" outlineLevel="3" x14ac:dyDescent="0.25">
      <c r="B219" s="3" t="str">
        <f t="shared" si="84"/>
        <v>EuropeResultsCapex (PEM)USD/ton</v>
      </c>
      <c r="C219" t="str">
        <f>$B$194</f>
        <v>Europe</v>
      </c>
      <c r="D219" t="s">
        <v>838</v>
      </c>
      <c r="E219" s="228" t="s">
        <v>905</v>
      </c>
      <c r="F219" s="450" t="s">
        <v>205</v>
      </c>
      <c r="G219" s="488">
        <f t="shared" ref="G219:M219" si="86">G222</f>
        <v>1022.9620552364776</v>
      </c>
      <c r="H219" s="488">
        <f t="shared" si="86"/>
        <v>776.44596651445988</v>
      </c>
      <c r="I219" s="488">
        <f t="shared" si="86"/>
        <v>545.50106659752987</v>
      </c>
      <c r="J219" s="488">
        <f t="shared" si="86"/>
        <v>477.56301755776087</v>
      </c>
      <c r="K219" s="488">
        <f t="shared" si="86"/>
        <v>413.61197282986342</v>
      </c>
      <c r="L219" s="488">
        <f t="shared" si="86"/>
        <v>353.45542668176478</v>
      </c>
      <c r="M219" s="488">
        <f t="shared" si="86"/>
        <v>296.90935227464911</v>
      </c>
      <c r="O219" s="95"/>
    </row>
    <row r="220" spans="2:15" ht="15" hidden="1" outlineLevel="3" x14ac:dyDescent="0.25">
      <c r="B220" s="3" t="str">
        <f t="shared" si="84"/>
        <v>EuropeResultsOpex (PEM)USD/ton</v>
      </c>
      <c r="C220" t="str">
        <f>$B$194</f>
        <v>Europe</v>
      </c>
      <c r="D220" t="s">
        <v>838</v>
      </c>
      <c r="E220" s="228" t="s">
        <v>906</v>
      </c>
      <c r="F220" s="450" t="s">
        <v>205</v>
      </c>
      <c r="G220" s="488">
        <f>SUM(G228,G232,G236)</f>
        <v>4784.9850795996572</v>
      </c>
      <c r="H220" s="488">
        <f t="shared" ref="H220:M220" si="87">SUM(H228,H232,H236)</f>
        <v>3675.7197297922594</v>
      </c>
      <c r="I220" s="488">
        <f t="shared" si="87"/>
        <v>2780.4300594633078</v>
      </c>
      <c r="J220" s="488">
        <f t="shared" si="87"/>
        <v>2404.7251673606411</v>
      </c>
      <c r="K220" s="488">
        <f t="shared" si="87"/>
        <v>2136.7662216971453</v>
      </c>
      <c r="L220" s="488">
        <f t="shared" si="87"/>
        <v>1881.1207687950853</v>
      </c>
      <c r="M220" s="488">
        <f t="shared" si="87"/>
        <v>1676.821642057997</v>
      </c>
      <c r="O220" s="95"/>
    </row>
    <row r="221" spans="2:15" hidden="1" outlineLevel="3" x14ac:dyDescent="0.2">
      <c r="B221" s="12" t="str">
        <f t="shared" si="84"/>
        <v/>
      </c>
    </row>
    <row r="222" spans="2:15" ht="15" hidden="1" outlineLevel="3" x14ac:dyDescent="0.25">
      <c r="B222" s="3" t="str">
        <f t="shared" si="84"/>
        <v>EuropeCapexCost per ton H2 (PEM)USD/ ton H2</v>
      </c>
      <c r="C222" t="str">
        <f>$B$194</f>
        <v>Europe</v>
      </c>
      <c r="D222" t="s">
        <v>218</v>
      </c>
      <c r="E222" t="s">
        <v>907</v>
      </c>
      <c r="F222" s="489" t="s">
        <v>859</v>
      </c>
      <c r="G222" s="490">
        <f t="shared" ref="G222:M222" si="88">G224/G223</f>
        <v>1022.9620552364776</v>
      </c>
      <c r="H222" s="490">
        <f t="shared" si="88"/>
        <v>776.44596651445988</v>
      </c>
      <c r="I222" s="490">
        <f t="shared" si="88"/>
        <v>545.50106659752987</v>
      </c>
      <c r="J222" s="490">
        <f t="shared" si="88"/>
        <v>477.56301755776087</v>
      </c>
      <c r="K222" s="490">
        <f t="shared" si="88"/>
        <v>413.61197282986342</v>
      </c>
      <c r="L222" s="490">
        <f t="shared" si="88"/>
        <v>353.45542668176478</v>
      </c>
      <c r="M222" s="490">
        <f t="shared" si="88"/>
        <v>296.90935227464911</v>
      </c>
      <c r="O222" s="118"/>
    </row>
    <row r="223" spans="2:15" hidden="1" outlineLevel="3" x14ac:dyDescent="0.2">
      <c r="B223" s="12" t="str">
        <f t="shared" si="84"/>
        <v>GlobalPlant capexAnnualisation factor#</v>
      </c>
      <c r="C223" t="s">
        <v>109</v>
      </c>
      <c r="D223" t="s">
        <v>786</v>
      </c>
      <c r="E223" t="s">
        <v>764</v>
      </c>
      <c r="F223" s="450" t="s">
        <v>787</v>
      </c>
      <c r="G223" s="491">
        <f>+INDEX('Fuel Model -  Input'!$B$3:$N$373,MATCH($B223,'Fuel Model -  Input'!$B$3:$B$373,0),MATCH(G$2,'Fuel Model -  Input'!$B$3:$N$3,0))</f>
        <v>11.32075471698113</v>
      </c>
      <c r="H223" s="491">
        <f>+INDEX('Fuel Model -  Input'!$B$3:$N$373,MATCH($B223,'Fuel Model -  Input'!$B$3:$B$373,0),MATCH(H$2,'Fuel Model -  Input'!$B$3:$N$3,0))</f>
        <v>11.32075471698113</v>
      </c>
      <c r="I223" s="491">
        <f>+INDEX('Fuel Model -  Input'!$B$3:$N$373,MATCH($B223,'Fuel Model -  Input'!$B$3:$B$373,0),MATCH(I$2,'Fuel Model -  Input'!$B$3:$N$3,0))</f>
        <v>11.32075471698113</v>
      </c>
      <c r="J223" s="491">
        <f>+INDEX('Fuel Model -  Input'!$B$3:$N$373,MATCH($B223,'Fuel Model -  Input'!$B$3:$B$373,0),MATCH(J$2,'Fuel Model -  Input'!$B$3:$N$3,0))</f>
        <v>11.32075471698113</v>
      </c>
      <c r="K223" s="491">
        <f>+INDEX('Fuel Model -  Input'!$B$3:$N$373,MATCH($B223,'Fuel Model -  Input'!$B$3:$B$373,0),MATCH(K$2,'Fuel Model -  Input'!$B$3:$N$3,0))</f>
        <v>11.32075471698113</v>
      </c>
      <c r="L223" s="491">
        <f>+INDEX('Fuel Model -  Input'!$B$3:$N$373,MATCH($B223,'Fuel Model -  Input'!$B$3:$B$373,0),MATCH(L$2,'Fuel Model -  Input'!$B$3:$N$3,0))</f>
        <v>11.32075471698113</v>
      </c>
      <c r="M223" s="491">
        <f>INDEX('Fuel Model -  Input'!$B$3:$N$373,MATCH($B223,'Fuel Model -  Input'!$B$3:$B$373,0),MATCH(M$2,'Fuel Model -  Input'!$B$3:$N$3,0))</f>
        <v>11.32075471698113</v>
      </c>
      <c r="O223" s="95"/>
    </row>
    <row r="224" spans="2:15" ht="12.75" hidden="1" outlineLevel="3" x14ac:dyDescent="0.2">
      <c r="B224" s="12" t="str">
        <f t="shared" si="84"/>
        <v>EuropePlant capexElectrolyser unit cost (PEM)USD/ ton H2 cap</v>
      </c>
      <c r="C224" t="str">
        <f>+C222</f>
        <v>Europe</v>
      </c>
      <c r="D224" t="s">
        <v>786</v>
      </c>
      <c r="E224" t="s">
        <v>908</v>
      </c>
      <c r="F224" t="s">
        <v>892</v>
      </c>
      <c r="G224" s="8">
        <f>G226/(365*24*G225)*G230</f>
        <v>11580.702512111064</v>
      </c>
      <c r="H224" s="8">
        <f t="shared" ref="H224:M224" si="89">H226/(365*24*H225)*H230</f>
        <v>8789.954337899544</v>
      </c>
      <c r="I224" s="8">
        <f t="shared" si="89"/>
        <v>6175.483772802223</v>
      </c>
      <c r="J224" s="8">
        <f t="shared" si="89"/>
        <v>5406.3737836727632</v>
      </c>
      <c r="K224" s="8">
        <f t="shared" si="89"/>
        <v>4682.3996924135472</v>
      </c>
      <c r="L224" s="8">
        <f t="shared" si="89"/>
        <v>4001.3821888501661</v>
      </c>
      <c r="M224" s="8">
        <f t="shared" si="89"/>
        <v>3361.2379502790459</v>
      </c>
      <c r="O224" s="95"/>
    </row>
    <row r="225" spans="2:15" hidden="1" outlineLevel="3" x14ac:dyDescent="0.2">
      <c r="B225" s="12" t="str">
        <f t="shared" si="84"/>
        <v>EuropeGeneralCapacity factor%</v>
      </c>
      <c r="C225" t="str">
        <f>$B$194</f>
        <v>Europe</v>
      </c>
      <c r="D225" t="s">
        <v>173</v>
      </c>
      <c r="E225" t="s">
        <v>893</v>
      </c>
      <c r="F225" s="450" t="s">
        <v>178</v>
      </c>
      <c r="G225" s="467">
        <f>+INDEX('Fuel Model -  Input'!$B$3:$N$373,MATCH($B225,'Fuel Model -  Input'!$B$3:$B$373,0),MATCH(G$2,'Fuel Model -  Input'!$B$3:$N$3,0))</f>
        <v>0.9</v>
      </c>
      <c r="H225" s="467">
        <f>+INDEX('Fuel Model -  Input'!$B$3:$N$373,MATCH($B225,'Fuel Model -  Input'!$B$3:$B$373,0),MATCH(H$2,'Fuel Model -  Input'!$B$3:$N$3,0))</f>
        <v>0.9</v>
      </c>
      <c r="I225" s="467">
        <f>+INDEX('Fuel Model -  Input'!$B$3:$N$373,MATCH($B225,'Fuel Model -  Input'!$B$3:$B$373,0),MATCH(I$2,'Fuel Model -  Input'!$B$3:$N$3,0))</f>
        <v>0.9</v>
      </c>
      <c r="J225" s="467">
        <f>+INDEX('Fuel Model -  Input'!$B$3:$N$373,MATCH($B225,'Fuel Model -  Input'!$B$3:$B$373,0),MATCH(J$2,'Fuel Model -  Input'!$B$3:$N$3,0))</f>
        <v>0.9</v>
      </c>
      <c r="K225" s="467">
        <f>+INDEX('Fuel Model -  Input'!$B$3:$N$373,MATCH($B225,'Fuel Model -  Input'!$B$3:$B$373,0),MATCH(K$2,'Fuel Model -  Input'!$B$3:$N$3,0))</f>
        <v>0.9</v>
      </c>
      <c r="L225" s="467">
        <f>+INDEX('Fuel Model -  Input'!$B$3:$N$373,MATCH($B225,'Fuel Model -  Input'!$B$3:$B$373,0),MATCH(L$2,'Fuel Model -  Input'!$B$3:$N$3,0))</f>
        <v>0.9</v>
      </c>
      <c r="M225" s="467">
        <f>INDEX('Fuel Model -  Input'!$B$3:$N$373,MATCH($B225,'Fuel Model -  Input'!$B$3:$B$373,0),MATCH(M$2,'Fuel Model -  Input'!$B$3:$N$3,0))</f>
        <v>0.9</v>
      </c>
      <c r="O225" s="95"/>
    </row>
    <row r="226" spans="2:15" hidden="1" outlineLevel="3" x14ac:dyDescent="0.2">
      <c r="B226" s="12" t="str">
        <f t="shared" si="84"/>
        <v>GlobalCapexElectrolyser unit cost (PEM)USD/MW</v>
      </c>
      <c r="C226" t="s">
        <v>109</v>
      </c>
      <c r="D226" t="s">
        <v>218</v>
      </c>
      <c r="E226" t="s">
        <v>908</v>
      </c>
      <c r="F226" s="450" t="s">
        <v>279</v>
      </c>
      <c r="G226" s="491">
        <f>+INDEX('Fuel Model -  Input'!$B$3:$N$373,MATCH($B226,'Fuel Model -  Input'!$B$3:$B$373,0),MATCH(G$2,'Fuel Model -  Input'!$B$3:$N$3,0))</f>
        <v>1400000</v>
      </c>
      <c r="H226" s="491">
        <f>+INDEX('Fuel Model -  Input'!$B$3:$N$373,MATCH($B226,'Fuel Model -  Input'!$B$3:$B$373,0),MATCH(H$2,'Fuel Model -  Input'!$B$3:$N$3,0))</f>
        <v>1100000</v>
      </c>
      <c r="I226" s="491">
        <f>+INDEX('Fuel Model -  Input'!$B$3:$N$373,MATCH($B226,'Fuel Model -  Input'!$B$3:$B$373,0),MATCH(I$2,'Fuel Model -  Input'!$B$3:$N$3,0))</f>
        <v>800000</v>
      </c>
      <c r="J226" s="491">
        <f>+INDEX('Fuel Model -  Input'!$B$3:$N$373,MATCH($B226,'Fuel Model -  Input'!$B$3:$B$373,0),MATCH(J$2,'Fuel Model -  Input'!$B$3:$N$3,0))</f>
        <v>725000</v>
      </c>
      <c r="K226" s="491">
        <f>+INDEX('Fuel Model -  Input'!$B$3:$N$373,MATCH($B226,'Fuel Model -  Input'!$B$3:$B$373,0),MATCH(K$2,'Fuel Model -  Input'!$B$3:$N$3,0))</f>
        <v>650000</v>
      </c>
      <c r="L226" s="491">
        <f>+INDEX('Fuel Model -  Input'!$B$3:$N$373,MATCH($B226,'Fuel Model -  Input'!$B$3:$B$373,0),MATCH(L$2,'Fuel Model -  Input'!$B$3:$N$3,0))</f>
        <v>575000</v>
      </c>
      <c r="M226" s="491">
        <f>INDEX('Fuel Model -  Input'!$B$3:$N$373,MATCH($B226,'Fuel Model -  Input'!$B$3:$B$373,0),MATCH(M$2,'Fuel Model -  Input'!$B$3:$N$3,0))</f>
        <v>500000</v>
      </c>
      <c r="O226" s="95"/>
    </row>
    <row r="227" spans="2:15" ht="12.75" hidden="1" outlineLevel="3" x14ac:dyDescent="0.2">
      <c r="B227" s="48"/>
      <c r="F227"/>
      <c r="O227" s="95"/>
    </row>
    <row r="228" spans="2:15" ht="15" hidden="1" outlineLevel="3" x14ac:dyDescent="0.25">
      <c r="B228" s="3" t="str">
        <f>+C228&amp;D228&amp;E228&amp;F228</f>
        <v>EuropeFeedstockTotal Electricity (PEM)USD/ ton H2</v>
      </c>
      <c r="C228" t="str">
        <f>$B$194</f>
        <v>Europe</v>
      </c>
      <c r="D228" t="s">
        <v>777</v>
      </c>
      <c r="E228" t="s">
        <v>909</v>
      </c>
      <c r="F228" s="489" t="s">
        <v>859</v>
      </c>
      <c r="G228" s="492">
        <f t="shared" ref="G228:M228" si="90">G229*G230</f>
        <v>3560.5610202540124</v>
      </c>
      <c r="H228" s="492">
        <f t="shared" si="90"/>
        <v>2783.224296002305</v>
      </c>
      <c r="I228" s="492">
        <f t="shared" si="90"/>
        <v>2176.3361251100864</v>
      </c>
      <c r="J228" s="492">
        <f t="shared" si="90"/>
        <v>1896.7527585844393</v>
      </c>
      <c r="K228" s="492">
        <f t="shared" si="90"/>
        <v>1713.7015625988538</v>
      </c>
      <c r="L228" s="492">
        <f t="shared" si="90"/>
        <v>1532.900490259407</v>
      </c>
      <c r="M228" s="492">
        <f t="shared" si="90"/>
        <v>1394.4226060356732</v>
      </c>
      <c r="O228" s="95"/>
    </row>
    <row r="229" spans="2:15" hidden="1" outlineLevel="3" x14ac:dyDescent="0.2">
      <c r="B229" s="12" t="str">
        <f>+C229&amp;D229&amp;E229&amp;F229</f>
        <v>EuropeFeedstockElectricityUSD/MWh</v>
      </c>
      <c r="C229" t="str">
        <f>$B$194</f>
        <v>Europe</v>
      </c>
      <c r="D229" t="s">
        <v>777</v>
      </c>
      <c r="E229" t="s">
        <v>54</v>
      </c>
      <c r="F229" s="450" t="s">
        <v>196</v>
      </c>
      <c r="G229" s="491">
        <f>+INDEX('Fuel Model -  Input'!$B$3:$N$373,MATCH($B229,'Fuel Model -  Input'!$B$3:$B$373,0),MATCH(G$2,'Fuel Model -  Input'!$B$3:$N$3,0))</f>
        <v>54.596518251479822</v>
      </c>
      <c r="H229" s="491">
        <f>+INDEX('Fuel Model -  Input'!$B$3:$N$373,MATCH($B229,'Fuel Model -  Input'!$B$3:$B$373,0),MATCH(H$2,'Fuel Model -  Input'!$B$3:$N$3,0))</f>
        <v>44.178163428608016</v>
      </c>
      <c r="I229" s="491">
        <f>+INDEX('Fuel Model -  Input'!$B$3:$N$373,MATCH($B229,'Fuel Model -  Input'!$B$3:$B$373,0),MATCH(I$2,'Fuel Model -  Input'!$B$3:$N$3,0))</f>
        <v>35.760069774188757</v>
      </c>
      <c r="J229" s="491">
        <f>+INDEX('Fuel Model -  Input'!$B$3:$N$373,MATCH($B229,'Fuel Model -  Input'!$B$3:$B$373,0),MATCH(J$2,'Fuel Model -  Input'!$B$3:$N$3,0))</f>
        <v>32.262353602492915</v>
      </c>
      <c r="K229" s="491">
        <f>+INDEX('Fuel Model -  Input'!$B$3:$N$373,MATCH($B229,'Fuel Model -  Input'!$B$3:$B$373,0),MATCH(K$2,'Fuel Model -  Input'!$B$3:$N$3,0))</f>
        <v>30.17403926811183</v>
      </c>
      <c r="L229" s="491">
        <f>+INDEX('Fuel Model -  Input'!$B$3:$N$373,MATCH($B229,'Fuel Model -  Input'!$B$3:$B$373,0),MATCH(L$2,'Fuel Model -  Input'!$B$3:$N$3,0))</f>
        <v>27.939919953355002</v>
      </c>
      <c r="M229" s="491">
        <f>INDEX('Fuel Model -  Input'!$B$3:$N$373,MATCH($B229,'Fuel Model -  Input'!$B$3:$B$373,0),MATCH(M$2,'Fuel Model -  Input'!$B$3:$N$3,0))</f>
        <v>26.309860491239117</v>
      </c>
      <c r="O229" s="95"/>
    </row>
    <row r="230" spans="2:15" s="86" customFormat="1" hidden="1" outlineLevel="3" x14ac:dyDescent="0.2">
      <c r="B230" s="12" t="str">
        <f>+C230&amp;D230&amp;E230&amp;F230</f>
        <v>GlobalFeedstockSystem efficiency (PEM)kWh/kg H2</v>
      </c>
      <c r="C230" t="s">
        <v>109</v>
      </c>
      <c r="D230" t="s">
        <v>777</v>
      </c>
      <c r="E230" t="s">
        <v>910</v>
      </c>
      <c r="F230" s="450" t="s">
        <v>896</v>
      </c>
      <c r="G230" s="491">
        <f>+INDEX('Fuel Model -  Input'!$B$3:$N$373,MATCH($B230,'Fuel Model -  Input'!$B$3:$B$373,0),MATCH(G$2,'Fuel Model -  Input'!$B$3:$N$3,0))</f>
        <v>65.215899003916874</v>
      </c>
      <c r="H230" s="491">
        <f>+INDEX('Fuel Model -  Input'!$B$3:$N$373,MATCH($B230,'Fuel Model -  Input'!$B$3:$B$373,0),MATCH(H$2,'Fuel Model -  Input'!$B$3:$N$3,0))</f>
        <v>63</v>
      </c>
      <c r="I230" s="491">
        <f>+INDEX('Fuel Model -  Input'!$B$3:$N$373,MATCH($B230,'Fuel Model -  Input'!$B$3:$B$373,0),MATCH(I$2,'Fuel Model -  Input'!$B$3:$N$3,0))</f>
        <v>60.859392580965903</v>
      </c>
      <c r="J230" s="491">
        <f>+INDEX('Fuel Model -  Input'!$B$3:$N$373,MATCH($B230,'Fuel Model -  Input'!$B$3:$B$373,0),MATCH(J$2,'Fuel Model -  Input'!$B$3:$N$3,0))</f>
        <v>58.791518497208372</v>
      </c>
      <c r="K230" s="491">
        <f>+INDEX('Fuel Model -  Input'!$B$3:$N$373,MATCH($B230,'Fuel Model -  Input'!$B$3:$B$373,0),MATCH(K$2,'Fuel Model -  Input'!$B$3:$N$3,0))</f>
        <v>56.793906423059092</v>
      </c>
      <c r="L230" s="491">
        <f>+INDEX('Fuel Model -  Input'!$B$3:$N$373,MATCH($B230,'Fuel Model -  Input'!$B$3:$B$373,0),MATCH(L$2,'Fuel Model -  Input'!$B$3:$N$3,0))</f>
        <v>54.864169003295146</v>
      </c>
      <c r="M230" s="491">
        <f>INDEX('Fuel Model -  Input'!$B$3:$N$373,MATCH($B230,'Fuel Model -  Input'!$B$3:$B$373,0),MATCH(M$2,'Fuel Model -  Input'!$B$3:$N$3,0))</f>
        <v>53</v>
      </c>
      <c r="O230" s="95"/>
    </row>
    <row r="231" spans="2:15" hidden="1" outlineLevel="3" x14ac:dyDescent="0.2">
      <c r="B231" s="12"/>
      <c r="G231" s="493"/>
      <c r="H231" s="493"/>
      <c r="I231" s="493"/>
      <c r="J231" s="493"/>
      <c r="K231" s="493"/>
      <c r="L231" s="493"/>
      <c r="M231" s="493"/>
      <c r="O231" s="118"/>
    </row>
    <row r="232" spans="2:15" ht="15" hidden="1" outlineLevel="3" x14ac:dyDescent="0.25">
      <c r="B232" t="str">
        <f t="shared" ref="B232:B234" si="91">+C232&amp;D232&amp;E232&amp;F232</f>
        <v>GlobalFeedstockCost of H2O in H2USD/ton H2</v>
      </c>
      <c r="C232" s="494" t="str">
        <f>C230</f>
        <v>Global</v>
      </c>
      <c r="D232" t="s">
        <v>777</v>
      </c>
      <c r="E232" t="s">
        <v>897</v>
      </c>
      <c r="F232" s="127" t="s">
        <v>881</v>
      </c>
      <c r="G232" s="261">
        <f t="shared" ref="G232:M232" si="92">G233*G234</f>
        <v>13.5</v>
      </c>
      <c r="H232" s="261">
        <f t="shared" si="92"/>
        <v>13.5</v>
      </c>
      <c r="I232" s="261">
        <f t="shared" si="92"/>
        <v>13.5</v>
      </c>
      <c r="J232" s="261">
        <f t="shared" si="92"/>
        <v>13.5</v>
      </c>
      <c r="K232" s="261">
        <f t="shared" si="92"/>
        <v>13.5</v>
      </c>
      <c r="L232" s="261">
        <f t="shared" si="92"/>
        <v>13.5</v>
      </c>
      <c r="M232" s="261">
        <f t="shared" si="92"/>
        <v>13.5</v>
      </c>
    </row>
    <row r="233" spans="2:15" hidden="1" outlineLevel="3" x14ac:dyDescent="0.2">
      <c r="B233" t="str">
        <f t="shared" si="91"/>
        <v>GlobalFeedstockConversion H2O:H2 (actual)ton H2O/ton H2</v>
      </c>
      <c r="C233" t="s">
        <v>109</v>
      </c>
      <c r="D233" t="s">
        <v>777</v>
      </c>
      <c r="E233" t="s">
        <v>898</v>
      </c>
      <c r="F233" s="128" t="s">
        <v>899</v>
      </c>
      <c r="G233" s="495">
        <f>INDEX('Fuel Model -  Input'!$B$3:$N$373,MATCH($B233,'Fuel Model -  Input'!$B$3:$B$373,0),MATCH(G$2,'Fuel Model -  Input'!$B$3:$N$3,0))</f>
        <v>9</v>
      </c>
      <c r="H233" s="495">
        <f>INDEX('Fuel Model -  Input'!$B$3:$N$373,MATCH($B233,'Fuel Model -  Input'!$B$3:$B$373,0),MATCH(H$2,'Fuel Model -  Input'!$B$3:$N$3,0))</f>
        <v>9</v>
      </c>
      <c r="I233" s="495">
        <f>INDEX('Fuel Model -  Input'!$B$3:$N$373,MATCH($B233,'Fuel Model -  Input'!$B$3:$B$373,0),MATCH(I$2,'Fuel Model -  Input'!$B$3:$N$3,0))</f>
        <v>9</v>
      </c>
      <c r="J233" s="495">
        <f>INDEX('Fuel Model -  Input'!$B$3:$N$373,MATCH($B233,'Fuel Model -  Input'!$B$3:$B$373,0),MATCH(J$2,'Fuel Model -  Input'!$B$3:$N$3,0))</f>
        <v>9</v>
      </c>
      <c r="K233" s="495">
        <f>INDEX('Fuel Model -  Input'!$B$3:$N$373,MATCH($B233,'Fuel Model -  Input'!$B$3:$B$373,0),MATCH(K$2,'Fuel Model -  Input'!$B$3:$N$3,0))</f>
        <v>9</v>
      </c>
      <c r="L233" s="495">
        <f>INDEX('Fuel Model -  Input'!$B$3:$N$373,MATCH($B233,'Fuel Model -  Input'!$B$3:$B$373,0),MATCH(L$2,'Fuel Model -  Input'!$B$3:$N$3,0))</f>
        <v>9</v>
      </c>
      <c r="M233" s="495">
        <f>INDEX('Fuel Model -  Input'!$B$3:$N$373,MATCH($B233,'Fuel Model -  Input'!$B$3:$B$373,0),MATCH(M$2,'Fuel Model -  Input'!$B$3:$N$3,0))</f>
        <v>9</v>
      </c>
    </row>
    <row r="234" spans="2:15" hidden="1" outlineLevel="3" x14ac:dyDescent="0.2">
      <c r="B234" t="str">
        <f t="shared" si="91"/>
        <v>GlobalFeedstockDemineralized water costUSD/ton demin H2O</v>
      </c>
      <c r="C234" s="494" t="s">
        <v>109</v>
      </c>
      <c r="D234" t="s">
        <v>777</v>
      </c>
      <c r="E234" t="s">
        <v>900</v>
      </c>
      <c r="F234" s="450" t="s">
        <v>901</v>
      </c>
      <c r="G234" s="495">
        <f>+INDEX('Fuel Model -  Input'!$B$3:$N$373,MATCH($B234,'Fuel Model -  Input'!$B$3:$B$373,0),MATCH(G$2,'Fuel Model -  Input'!$B$3:$N$3,0))</f>
        <v>1.5</v>
      </c>
      <c r="H234" s="495">
        <f>+INDEX('Fuel Model -  Input'!$B$3:$N$373,MATCH($B234,'Fuel Model -  Input'!$B$3:$B$373,0),MATCH(H$2,'Fuel Model -  Input'!$B$3:$N$3,0))</f>
        <v>1.5</v>
      </c>
      <c r="I234" s="495">
        <f>+INDEX('Fuel Model -  Input'!$B$3:$N$373,MATCH($B234,'Fuel Model -  Input'!$B$3:$B$373,0),MATCH(I$2,'Fuel Model -  Input'!$B$3:$N$3,0))</f>
        <v>1.5</v>
      </c>
      <c r="J234" s="495">
        <f>+INDEX('Fuel Model -  Input'!$B$3:$N$373,MATCH($B234,'Fuel Model -  Input'!$B$3:$B$373,0),MATCH(J$2,'Fuel Model -  Input'!$B$3:$N$3,0))</f>
        <v>1.5</v>
      </c>
      <c r="K234" s="495">
        <f>+INDEX('Fuel Model -  Input'!$B$3:$N$373,MATCH($B234,'Fuel Model -  Input'!$B$3:$B$373,0),MATCH(K$2,'Fuel Model -  Input'!$B$3:$N$3,0))</f>
        <v>1.5</v>
      </c>
      <c r="L234" s="495">
        <f>+INDEX('Fuel Model -  Input'!$B$3:$N$373,MATCH($B234,'Fuel Model -  Input'!$B$3:$B$373,0),MATCH(L$2,'Fuel Model -  Input'!$B$3:$N$3,0))</f>
        <v>1.5</v>
      </c>
      <c r="M234" s="495">
        <f>+INDEX('Fuel Model -  Input'!$B$3:$N$373,MATCH($B234,'Fuel Model -  Input'!$B$3:$B$373,0),MATCH(M$2,'Fuel Model -  Input'!$B$3:$N$3,0))</f>
        <v>1.5</v>
      </c>
    </row>
    <row r="235" spans="2:15" ht="12.75" hidden="1" outlineLevel="3" x14ac:dyDescent="0.2">
      <c r="F235"/>
      <c r="O235" s="118"/>
    </row>
    <row r="236" spans="2:15" ht="15" hidden="1" outlineLevel="3" x14ac:dyDescent="0.25">
      <c r="B236" s="496" t="str">
        <f>+C236&amp;D236&amp;E236&amp;F236</f>
        <v>EuropeOpexPlantUSD/ ton H2</v>
      </c>
      <c r="C236" t="str">
        <f>$B$194</f>
        <v>Europe</v>
      </c>
      <c r="D236" t="s">
        <v>219</v>
      </c>
      <c r="E236" t="s">
        <v>902</v>
      </c>
      <c r="F236" s="489" t="s">
        <v>859</v>
      </c>
      <c r="G236" s="492">
        <f t="shared" ref="G236:M236" si="93">G224*G237</f>
        <v>1210.9240593456448</v>
      </c>
      <c r="H236" s="492">
        <f t="shared" si="93"/>
        <v>878.9954337899544</v>
      </c>
      <c r="I236" s="492">
        <f t="shared" si="93"/>
        <v>590.59393435322147</v>
      </c>
      <c r="J236" s="492">
        <f t="shared" si="93"/>
        <v>494.4724087762018</v>
      </c>
      <c r="K236" s="492">
        <f t="shared" si="93"/>
        <v>409.56465909829154</v>
      </c>
      <c r="L236" s="492">
        <f t="shared" si="93"/>
        <v>334.72027853567823</v>
      </c>
      <c r="M236" s="492">
        <f t="shared" si="93"/>
        <v>268.89903602232368</v>
      </c>
      <c r="O236" s="95"/>
    </row>
    <row r="237" spans="2:15" hidden="1" outlineLevel="3" x14ac:dyDescent="0.2">
      <c r="B237" s="497" t="str">
        <f>+C237&amp;D237&amp;E237&amp;F237</f>
        <v>GlobalOpexPlant - Electrolysis - opex (PEM)Percent of Capex</v>
      </c>
      <c r="C237" t="s">
        <v>109</v>
      </c>
      <c r="D237" s="157" t="s">
        <v>219</v>
      </c>
      <c r="E237" s="498" t="s">
        <v>911</v>
      </c>
      <c r="F237" s="450" t="s">
        <v>883</v>
      </c>
      <c r="G237" s="467">
        <f>+INDEX('Fuel Model -  Input'!$B$3:$N$373,MATCH($B237,'Fuel Model -  Input'!$B$3:$B$373,0),MATCH(G$2,'Fuel Model -  Input'!$B$3:$N$3,0))</f>
        <v>0.10456395525912733</v>
      </c>
      <c r="H237" s="467">
        <f>+INDEX('Fuel Model -  Input'!$B$3:$N$373,MATCH($B237,'Fuel Model -  Input'!$B$3:$B$373,0),MATCH(H$2,'Fuel Model -  Input'!$B$3:$N$3,0))</f>
        <v>0.1</v>
      </c>
      <c r="I237" s="467">
        <f>+INDEX('Fuel Model -  Input'!$B$3:$N$373,MATCH($B237,'Fuel Model -  Input'!$B$3:$B$373,0),MATCH(I$2,'Fuel Model -  Input'!$B$3:$N$3,0))</f>
        <v>9.5635249979003703E-2</v>
      </c>
      <c r="J237" s="467">
        <f>+INDEX('Fuel Model -  Input'!$B$3:$N$373,MATCH($B237,'Fuel Model -  Input'!$B$3:$B$373,0),MATCH(J$2,'Fuel Model -  Input'!$B$3:$N$3,0))</f>
        <v>9.146101038546528E-2</v>
      </c>
      <c r="K237" s="467">
        <f>+INDEX('Fuel Model -  Input'!$B$3:$N$373,MATCH($B237,'Fuel Model -  Input'!$B$3:$B$373,0),MATCH(K$2,'Fuel Model -  Input'!$B$3:$N$3,0))</f>
        <v>8.7468965915462257E-2</v>
      </c>
      <c r="L237" s="467">
        <f>+INDEX('Fuel Model -  Input'!$B$3:$N$373,MATCH($B237,'Fuel Model -  Input'!$B$3:$B$373,0),MATCH(L$2,'Fuel Model -  Input'!$B$3:$N$3,0))</f>
        <v>8.365116420730187E-2</v>
      </c>
      <c r="M237" s="467">
        <f>INDEX('Fuel Model -  Input'!$B$3:$N$373,MATCH($B237,'Fuel Model -  Input'!$B$3:$B$373,0),MATCH(M$2,'Fuel Model -  Input'!$B$3:$N$3,0))</f>
        <v>0.08</v>
      </c>
      <c r="O237" s="95"/>
    </row>
    <row r="238" spans="2:15" hidden="1" outlineLevel="2" x14ac:dyDescent="0.2"/>
    <row r="239" spans="2:15" s="506" customFormat="1" ht="15" hidden="1" outlineLevel="2" collapsed="1" x14ac:dyDescent="0.25">
      <c r="B239" s="505" t="s">
        <v>912</v>
      </c>
      <c r="C239"/>
      <c r="F239" s="507"/>
      <c r="G239" s="508">
        <f t="shared" ref="G239:M239" si="94">G240</f>
        <v>6611.9552516495905</v>
      </c>
      <c r="H239" s="508">
        <f t="shared" si="94"/>
        <v>5110.5609057243037</v>
      </c>
      <c r="I239" s="508">
        <f t="shared" si="94"/>
        <v>3906.0885169005041</v>
      </c>
      <c r="J239" s="508">
        <f t="shared" si="94"/>
        <v>3116.1076629953232</v>
      </c>
      <c r="K239" s="508">
        <f t="shared" si="94"/>
        <v>2498.9544006728484</v>
      </c>
      <c r="L239" s="508">
        <f t="shared" si="94"/>
        <v>1963.6313381511518</v>
      </c>
      <c r="M239" s="508">
        <f t="shared" si="94"/>
        <v>1521.6698297628745</v>
      </c>
    </row>
    <row r="240" spans="2:15" ht="15" hidden="1" outlineLevel="3" x14ac:dyDescent="0.25">
      <c r="B240" s="3" t="str">
        <f t="shared" ref="B240:B248" si="95">+C240&amp;D240&amp;E240&amp;F240</f>
        <v>EuropeResultsCost of e-Hydrogen (SO)USD/ton</v>
      </c>
      <c r="C240" t="str">
        <f>$B$194</f>
        <v>Europe</v>
      </c>
      <c r="D240" t="s">
        <v>838</v>
      </c>
      <c r="E240" s="30" t="s">
        <v>865</v>
      </c>
      <c r="F240" s="450" t="s">
        <v>205</v>
      </c>
      <c r="G240" s="488">
        <f t="shared" ref="G240:M240" si="96">SUM(G241:G242)</f>
        <v>6611.9552516495905</v>
      </c>
      <c r="H240" s="488">
        <f t="shared" si="96"/>
        <v>5110.5609057243037</v>
      </c>
      <c r="I240" s="488">
        <f t="shared" si="96"/>
        <v>3906.0885169005041</v>
      </c>
      <c r="J240" s="488">
        <f t="shared" si="96"/>
        <v>3116.1076629953232</v>
      </c>
      <c r="K240" s="488">
        <f t="shared" si="96"/>
        <v>2498.9544006728484</v>
      </c>
      <c r="L240" s="488">
        <f t="shared" si="96"/>
        <v>1963.6313381511518</v>
      </c>
      <c r="M240" s="488">
        <f t="shared" si="96"/>
        <v>1521.6698297628745</v>
      </c>
      <c r="O240" s="95"/>
    </row>
    <row r="241" spans="2:15" ht="15" hidden="1" outlineLevel="3" x14ac:dyDescent="0.25">
      <c r="B241" s="3" t="str">
        <f t="shared" si="95"/>
        <v>EuropeResultsCapex (SO)USD/ton</v>
      </c>
      <c r="C241" t="str">
        <f>$B$194</f>
        <v>Europe</v>
      </c>
      <c r="D241" t="s">
        <v>838</v>
      </c>
      <c r="E241" s="228" t="s">
        <v>913</v>
      </c>
      <c r="F241" s="450" t="s">
        <v>205</v>
      </c>
      <c r="G241" s="488">
        <f t="shared" ref="G241:M241" si="97">G244</f>
        <v>1758.6412738718229</v>
      </c>
      <c r="H241" s="488">
        <f t="shared" si="97"/>
        <v>1478.9446981227807</v>
      </c>
      <c r="I241" s="488">
        <f t="shared" si="97"/>
        <v>1209.1833312371305</v>
      </c>
      <c r="J241" s="488">
        <f t="shared" si="97"/>
        <v>972.80874742053015</v>
      </c>
      <c r="K241" s="488">
        <f t="shared" si="97"/>
        <v>744.92929162816165</v>
      </c>
      <c r="L241" s="488">
        <f t="shared" si="97"/>
        <v>525.30843245521976</v>
      </c>
      <c r="M241" s="488">
        <f t="shared" si="97"/>
        <v>313.71554202604437</v>
      </c>
      <c r="O241" s="95"/>
    </row>
    <row r="242" spans="2:15" ht="15" hidden="1" outlineLevel="3" x14ac:dyDescent="0.25">
      <c r="B242" s="3" t="str">
        <f t="shared" si="95"/>
        <v>EuropeResultsOpex (SO)USD/ton</v>
      </c>
      <c r="C242" t="str">
        <f>$B$194</f>
        <v>Europe</v>
      </c>
      <c r="D242" t="s">
        <v>838</v>
      </c>
      <c r="E242" s="228" t="s">
        <v>914</v>
      </c>
      <c r="F242" s="450" t="s">
        <v>205</v>
      </c>
      <c r="G242" s="488">
        <f>SUM(G250,G254,G258)</f>
        <v>4853.3139777777678</v>
      </c>
      <c r="H242" s="488">
        <f t="shared" ref="H242:M242" si="98">SUM(H250,H254,H258)</f>
        <v>3631.616207601523</v>
      </c>
      <c r="I242" s="488">
        <f t="shared" si="98"/>
        <v>2696.9051856633737</v>
      </c>
      <c r="J242" s="488">
        <f t="shared" si="98"/>
        <v>2143.2989155747932</v>
      </c>
      <c r="K242" s="488">
        <f t="shared" si="98"/>
        <v>1754.0251090446868</v>
      </c>
      <c r="L242" s="488">
        <f t="shared" si="98"/>
        <v>1438.3229056959319</v>
      </c>
      <c r="M242" s="488">
        <f t="shared" si="98"/>
        <v>1207.9542877368301</v>
      </c>
      <c r="O242" s="95"/>
    </row>
    <row r="243" spans="2:15" hidden="1" outlineLevel="3" x14ac:dyDescent="0.2">
      <c r="B243" s="12" t="str">
        <f t="shared" si="95"/>
        <v/>
      </c>
    </row>
    <row r="244" spans="2:15" ht="15" hidden="1" outlineLevel="3" x14ac:dyDescent="0.25">
      <c r="B244" s="3" t="str">
        <f t="shared" si="95"/>
        <v>EuropeCapexCost per ton H2 (SO)USD/ ton H2</v>
      </c>
      <c r="C244" t="str">
        <f>$B$194</f>
        <v>Europe</v>
      </c>
      <c r="D244" t="s">
        <v>218</v>
      </c>
      <c r="E244" t="s">
        <v>915</v>
      </c>
      <c r="F244" s="489" t="s">
        <v>859</v>
      </c>
      <c r="G244" s="490">
        <f t="shared" ref="G244:M244" si="99">G246/G245</f>
        <v>1758.6412738718229</v>
      </c>
      <c r="H244" s="490">
        <f t="shared" si="99"/>
        <v>1478.9446981227807</v>
      </c>
      <c r="I244" s="490">
        <f t="shared" si="99"/>
        <v>1209.1833312371305</v>
      </c>
      <c r="J244" s="490">
        <f t="shared" si="99"/>
        <v>972.80874742053015</v>
      </c>
      <c r="K244" s="490">
        <f t="shared" si="99"/>
        <v>744.92929162816165</v>
      </c>
      <c r="L244" s="490">
        <f t="shared" si="99"/>
        <v>525.30843245521976</v>
      </c>
      <c r="M244" s="490">
        <f t="shared" si="99"/>
        <v>313.71554202604437</v>
      </c>
      <c r="O244" s="118"/>
    </row>
    <row r="245" spans="2:15" hidden="1" outlineLevel="3" x14ac:dyDescent="0.2">
      <c r="B245" s="12" t="str">
        <f t="shared" si="95"/>
        <v>GlobalPlant capexAnnualisation factor#</v>
      </c>
      <c r="C245" t="s">
        <v>109</v>
      </c>
      <c r="D245" t="s">
        <v>786</v>
      </c>
      <c r="E245" t="s">
        <v>764</v>
      </c>
      <c r="F245" s="450" t="s">
        <v>787</v>
      </c>
      <c r="G245" s="491">
        <f>+INDEX('Fuel Model -  Input'!$B$3:$N$373,MATCH($B245,'Fuel Model -  Input'!$B$3:$B$373,0),MATCH(G$2,'Fuel Model -  Input'!$B$3:$N$3,0))</f>
        <v>11.32075471698113</v>
      </c>
      <c r="H245" s="491">
        <f>+INDEX('Fuel Model -  Input'!$B$3:$N$373,MATCH($B245,'Fuel Model -  Input'!$B$3:$B$373,0),MATCH(H$2,'Fuel Model -  Input'!$B$3:$N$3,0))</f>
        <v>11.32075471698113</v>
      </c>
      <c r="I245" s="491">
        <f>+INDEX('Fuel Model -  Input'!$B$3:$N$373,MATCH($B245,'Fuel Model -  Input'!$B$3:$B$373,0),MATCH(I$2,'Fuel Model -  Input'!$B$3:$N$3,0))</f>
        <v>11.32075471698113</v>
      </c>
      <c r="J245" s="491">
        <f>+INDEX('Fuel Model -  Input'!$B$3:$N$373,MATCH($B245,'Fuel Model -  Input'!$B$3:$B$373,0),MATCH(J$2,'Fuel Model -  Input'!$B$3:$N$3,0))</f>
        <v>11.32075471698113</v>
      </c>
      <c r="K245" s="491">
        <f>+INDEX('Fuel Model -  Input'!$B$3:$N$373,MATCH($B245,'Fuel Model -  Input'!$B$3:$B$373,0),MATCH(K$2,'Fuel Model -  Input'!$B$3:$N$3,0))</f>
        <v>11.32075471698113</v>
      </c>
      <c r="L245" s="491">
        <f>+INDEX('Fuel Model -  Input'!$B$3:$N$373,MATCH($B245,'Fuel Model -  Input'!$B$3:$B$373,0),MATCH(L$2,'Fuel Model -  Input'!$B$3:$N$3,0))</f>
        <v>11.32075471698113</v>
      </c>
      <c r="M245" s="491">
        <f>INDEX('Fuel Model -  Input'!$B$3:$N$373,MATCH($B245,'Fuel Model -  Input'!$B$3:$B$373,0),MATCH(M$2,'Fuel Model -  Input'!$B$3:$N$3,0))</f>
        <v>11.32075471698113</v>
      </c>
      <c r="O245" s="95"/>
    </row>
    <row r="246" spans="2:15" ht="12.75" hidden="1" outlineLevel="3" x14ac:dyDescent="0.2">
      <c r="B246" s="12" t="str">
        <f t="shared" si="95"/>
        <v>EuropePlant capexElectrolyser unit cost (SO)USD/ ton H2 cap</v>
      </c>
      <c r="C246" t="str">
        <f>+C244</f>
        <v>Europe</v>
      </c>
      <c r="D246" t="s">
        <v>786</v>
      </c>
      <c r="E246" t="s">
        <v>916</v>
      </c>
      <c r="F246" t="s">
        <v>892</v>
      </c>
      <c r="G246" s="8">
        <f>G248/(365*24*G247)*G252</f>
        <v>19909.146496662142</v>
      </c>
      <c r="H246" s="8">
        <f t="shared" ref="H246:M246" si="100">H248/(365*24*H247)*H252</f>
        <v>16742.770167427701</v>
      </c>
      <c r="I246" s="8">
        <f t="shared" si="100"/>
        <v>13688.867900797701</v>
      </c>
      <c r="J246" s="8">
        <f t="shared" si="100"/>
        <v>11012.929216081471</v>
      </c>
      <c r="K246" s="8">
        <f t="shared" si="100"/>
        <v>8433.1617920169228</v>
      </c>
      <c r="L246" s="8">
        <f t="shared" si="100"/>
        <v>5946.8879145873925</v>
      </c>
      <c r="M246" s="8">
        <f t="shared" si="100"/>
        <v>3551.4967021816337</v>
      </c>
      <c r="O246" s="95"/>
    </row>
    <row r="247" spans="2:15" hidden="1" outlineLevel="3" x14ac:dyDescent="0.2">
      <c r="B247" s="12" t="str">
        <f t="shared" si="95"/>
        <v>EuropeGeneralCapacity factor%</v>
      </c>
      <c r="C247" t="str">
        <f>$B$194</f>
        <v>Europe</v>
      </c>
      <c r="D247" t="s">
        <v>173</v>
      </c>
      <c r="E247" t="s">
        <v>893</v>
      </c>
      <c r="F247" s="450" t="s">
        <v>178</v>
      </c>
      <c r="G247" s="467">
        <f>+INDEX('Fuel Model -  Input'!$B$3:$N$373,MATCH($B247,'Fuel Model -  Input'!$B$3:$B$373,0),MATCH(G$2,'Fuel Model -  Input'!$B$3:$N$3,0))</f>
        <v>0.9</v>
      </c>
      <c r="H247" s="467">
        <f>+INDEX('Fuel Model -  Input'!$B$3:$N$373,MATCH($B247,'Fuel Model -  Input'!$B$3:$B$373,0),MATCH(H$2,'Fuel Model -  Input'!$B$3:$N$3,0))</f>
        <v>0.9</v>
      </c>
      <c r="I247" s="467">
        <f>+INDEX('Fuel Model -  Input'!$B$3:$N$373,MATCH($B247,'Fuel Model -  Input'!$B$3:$B$373,0),MATCH(I$2,'Fuel Model -  Input'!$B$3:$N$3,0))</f>
        <v>0.9</v>
      </c>
      <c r="J247" s="467">
        <f>+INDEX('Fuel Model -  Input'!$B$3:$N$373,MATCH($B247,'Fuel Model -  Input'!$B$3:$B$373,0),MATCH(J$2,'Fuel Model -  Input'!$B$3:$N$3,0))</f>
        <v>0.9</v>
      </c>
      <c r="K247" s="467">
        <f>+INDEX('Fuel Model -  Input'!$B$3:$N$373,MATCH($B247,'Fuel Model -  Input'!$B$3:$B$373,0),MATCH(K$2,'Fuel Model -  Input'!$B$3:$N$3,0))</f>
        <v>0.9</v>
      </c>
      <c r="L247" s="467">
        <f>+INDEX('Fuel Model -  Input'!$B$3:$N$373,MATCH($B247,'Fuel Model -  Input'!$B$3:$B$373,0),MATCH(L$2,'Fuel Model -  Input'!$B$3:$N$3,0))</f>
        <v>0.9</v>
      </c>
      <c r="M247" s="467">
        <f>INDEX('Fuel Model -  Input'!$B$3:$N$373,MATCH($B247,'Fuel Model -  Input'!$B$3:$B$373,0),MATCH(M$2,'Fuel Model -  Input'!$B$3:$N$3,0))</f>
        <v>0.9</v>
      </c>
      <c r="O247" s="95"/>
    </row>
    <row r="248" spans="2:15" hidden="1" outlineLevel="3" x14ac:dyDescent="0.2">
      <c r="B248" s="12" t="str">
        <f t="shared" si="95"/>
        <v>GlobalCapexElectrolyser unit cost (SO)USD/MW</v>
      </c>
      <c r="C248" t="s">
        <v>109</v>
      </c>
      <c r="D248" t="s">
        <v>218</v>
      </c>
      <c r="E248" t="s">
        <v>916</v>
      </c>
      <c r="F248" s="450" t="s">
        <v>279</v>
      </c>
      <c r="G248" s="491">
        <f>+INDEX('Fuel Model -  Input'!$B$3:$N$373,MATCH($B248,'Fuel Model -  Input'!$B$3:$B$373,0),MATCH(G$2,'Fuel Model -  Input'!$B$3:$N$3,0))</f>
        <v>3500000</v>
      </c>
      <c r="H248" s="491">
        <f>+INDEX('Fuel Model -  Input'!$B$3:$N$373,MATCH($B248,'Fuel Model -  Input'!$B$3:$B$373,0),MATCH(H$2,'Fuel Model -  Input'!$B$3:$N$3,0))</f>
        <v>3000000</v>
      </c>
      <c r="I248" s="491">
        <f>+INDEX('Fuel Model -  Input'!$B$3:$N$373,MATCH($B248,'Fuel Model -  Input'!$B$3:$B$373,0),MATCH(I$2,'Fuel Model -  Input'!$B$3:$N$3,0))</f>
        <v>2500000</v>
      </c>
      <c r="J248" s="491">
        <f>+INDEX('Fuel Model -  Input'!$B$3:$N$373,MATCH($B248,'Fuel Model -  Input'!$B$3:$B$373,0),MATCH(J$2,'Fuel Model -  Input'!$B$3:$N$3,0))</f>
        <v>2050000</v>
      </c>
      <c r="K248" s="491">
        <f>+INDEX('Fuel Model -  Input'!$B$3:$N$373,MATCH($B248,'Fuel Model -  Input'!$B$3:$B$373,0),MATCH(K$2,'Fuel Model -  Input'!$B$3:$N$3,0))</f>
        <v>1600000</v>
      </c>
      <c r="L248" s="491">
        <f>+INDEX('Fuel Model -  Input'!$B$3:$N$373,MATCH($B248,'Fuel Model -  Input'!$B$3:$B$373,0),MATCH(L$2,'Fuel Model -  Input'!$B$3:$N$3,0))</f>
        <v>1150000</v>
      </c>
      <c r="M248" s="491">
        <f>INDEX('Fuel Model -  Input'!$B$3:$N$373,MATCH($B248,'Fuel Model -  Input'!$B$3:$B$373,0),MATCH(M$2,'Fuel Model -  Input'!$B$3:$N$3,0))</f>
        <v>700000</v>
      </c>
      <c r="O248" s="95"/>
    </row>
    <row r="249" spans="2:15" ht="12.75" hidden="1" outlineLevel="3" x14ac:dyDescent="0.2">
      <c r="B249" s="48"/>
      <c r="F249"/>
      <c r="O249" s="95"/>
    </row>
    <row r="250" spans="2:15" ht="15" hidden="1" outlineLevel="3" x14ac:dyDescent="0.25">
      <c r="B250" s="3" t="str">
        <f>+C250&amp;D250&amp;E250&amp;F250</f>
        <v>EuropeFeedstockTotal Electricity (SO)USD/ ton H2</v>
      </c>
      <c r="C250" t="str">
        <f>$B$194</f>
        <v>Europe</v>
      </c>
      <c r="D250" t="s">
        <v>777</v>
      </c>
      <c r="E250" t="s">
        <v>917</v>
      </c>
      <c r="F250" s="489" t="s">
        <v>859</v>
      </c>
      <c r="G250" s="492">
        <f t="shared" ref="G250:M250" si="101">G251*G252</f>
        <v>2448.4777460920968</v>
      </c>
      <c r="H250" s="492">
        <f t="shared" si="101"/>
        <v>1943.8391908587528</v>
      </c>
      <c r="I250" s="492">
        <f t="shared" si="101"/>
        <v>1543.7340980124063</v>
      </c>
      <c r="J250" s="492">
        <f t="shared" si="101"/>
        <v>1366.4434061588413</v>
      </c>
      <c r="K250" s="492">
        <f t="shared" si="101"/>
        <v>1253.8642400909619</v>
      </c>
      <c r="L250" s="492">
        <f t="shared" si="101"/>
        <v>1139.1048104815402</v>
      </c>
      <c r="M250" s="492">
        <f t="shared" si="101"/>
        <v>1052.3944196495647</v>
      </c>
      <c r="O250" s="95"/>
    </row>
    <row r="251" spans="2:15" hidden="1" outlineLevel="3" x14ac:dyDescent="0.2">
      <c r="B251" s="12" t="str">
        <f>+C251&amp;D251&amp;E251&amp;F251</f>
        <v>EuropeFeedstockElectricityUSD/MWh</v>
      </c>
      <c r="C251" t="str">
        <f>$B$194</f>
        <v>Europe</v>
      </c>
      <c r="D251" t="s">
        <v>777</v>
      </c>
      <c r="E251" t="s">
        <v>54</v>
      </c>
      <c r="F251" s="450" t="s">
        <v>196</v>
      </c>
      <c r="G251" s="491">
        <f>+INDEX('Fuel Model -  Input'!$B$3:$N$373,MATCH($B251,'Fuel Model -  Input'!$B$3:$B$373,0),MATCH(G$2,'Fuel Model -  Input'!$B$3:$N$3,0))</f>
        <v>54.596518251479822</v>
      </c>
      <c r="H251" s="491">
        <f>+INDEX('Fuel Model -  Input'!$B$3:$N$373,MATCH($B251,'Fuel Model -  Input'!$B$3:$B$373,0),MATCH(H$2,'Fuel Model -  Input'!$B$3:$N$3,0))</f>
        <v>44.178163428608016</v>
      </c>
      <c r="I251" s="491">
        <f>+INDEX('Fuel Model -  Input'!$B$3:$N$373,MATCH($B251,'Fuel Model -  Input'!$B$3:$B$373,0),MATCH(I$2,'Fuel Model -  Input'!$B$3:$N$3,0))</f>
        <v>35.760069774188757</v>
      </c>
      <c r="J251" s="491">
        <f>+INDEX('Fuel Model -  Input'!$B$3:$N$373,MATCH($B251,'Fuel Model -  Input'!$B$3:$B$373,0),MATCH(J$2,'Fuel Model -  Input'!$B$3:$N$3,0))</f>
        <v>32.262353602492915</v>
      </c>
      <c r="K251" s="491">
        <f>+INDEX('Fuel Model -  Input'!$B$3:$N$373,MATCH($B251,'Fuel Model -  Input'!$B$3:$B$373,0),MATCH(K$2,'Fuel Model -  Input'!$B$3:$N$3,0))</f>
        <v>30.17403926811183</v>
      </c>
      <c r="L251" s="491">
        <f>+INDEX('Fuel Model -  Input'!$B$3:$N$373,MATCH($B251,'Fuel Model -  Input'!$B$3:$B$373,0),MATCH(L$2,'Fuel Model -  Input'!$B$3:$N$3,0))</f>
        <v>27.939919953355002</v>
      </c>
      <c r="M251" s="491">
        <f>INDEX('Fuel Model -  Input'!$B$3:$N$373,MATCH($B251,'Fuel Model -  Input'!$B$3:$B$373,0),MATCH(M$2,'Fuel Model -  Input'!$B$3:$N$3,0))</f>
        <v>26.309860491239117</v>
      </c>
      <c r="O251" s="95"/>
    </row>
    <row r="252" spans="2:15" s="86" customFormat="1" hidden="1" outlineLevel="3" x14ac:dyDescent="0.2">
      <c r="B252" s="12" t="str">
        <f>+C252&amp;D252&amp;E252&amp;F252</f>
        <v>GlobalFeedstockSystem efficiency (SO)kWh/kg H2</v>
      </c>
      <c r="C252" t="s">
        <v>109</v>
      </c>
      <c r="D252" t="s">
        <v>777</v>
      </c>
      <c r="E252" t="s">
        <v>918</v>
      </c>
      <c r="F252" s="450" t="s">
        <v>896</v>
      </c>
      <c r="G252" s="491">
        <f>+INDEX('Fuel Model -  Input'!$B$3:$N$373,MATCH($B252,'Fuel Model -  Input'!$B$3:$B$373,0),MATCH(G$2,'Fuel Model -  Input'!$B$3:$N$3,0))</f>
        <v>44.846774565624095</v>
      </c>
      <c r="H252" s="491">
        <f>+INDEX('Fuel Model -  Input'!$B$3:$N$373,MATCH($B252,'Fuel Model -  Input'!$B$3:$B$373,0),MATCH(H$2,'Fuel Model -  Input'!$B$3:$N$3,0))</f>
        <v>44</v>
      </c>
      <c r="I252" s="491">
        <f>+INDEX('Fuel Model -  Input'!$B$3:$N$373,MATCH($B252,'Fuel Model -  Input'!$B$3:$B$373,0),MATCH(I$2,'Fuel Model -  Input'!$B$3:$N$3,0))</f>
        <v>43.169213811955629</v>
      </c>
      <c r="J252" s="491">
        <f>+INDEX('Fuel Model -  Input'!$B$3:$N$373,MATCH($B252,'Fuel Model -  Input'!$B$3:$B$373,0),MATCH(J$2,'Fuel Model -  Input'!$B$3:$N$3,0))</f>
        <v>42.354114116871379</v>
      </c>
      <c r="K252" s="491">
        <f>+INDEX('Fuel Model -  Input'!$B$3:$N$373,MATCH($B252,'Fuel Model -  Input'!$B$3:$B$373,0),MATCH(K$2,'Fuel Model -  Input'!$B$3:$N$3,0))</f>
        <v>41.554404730163384</v>
      </c>
      <c r="L252" s="491">
        <f>+INDEX('Fuel Model -  Input'!$B$3:$N$373,MATCH($B252,'Fuel Model -  Input'!$B$3:$B$373,0),MATCH(L$2,'Fuel Model -  Input'!$B$3:$N$3,0))</f>
        <v>40.769795059658264</v>
      </c>
      <c r="M252" s="491">
        <f>+INDEX('Fuel Model -  Input'!$B$3:$N$373,MATCH($B252,'Fuel Model -  Input'!$B$3:$B$373,0),MATCH(M$2,'Fuel Model -  Input'!$B$3:$N$3,0))</f>
        <v>40</v>
      </c>
      <c r="O252" s="95"/>
    </row>
    <row r="253" spans="2:15" hidden="1" outlineLevel="3" x14ac:dyDescent="0.2">
      <c r="B253" s="12"/>
      <c r="G253" s="493"/>
      <c r="H253" s="493"/>
      <c r="I253" s="493"/>
      <c r="J253" s="493"/>
      <c r="K253" s="493"/>
      <c r="L253" s="493"/>
      <c r="M253" s="493"/>
      <c r="O253" s="118"/>
    </row>
    <row r="254" spans="2:15" ht="15" hidden="1" outlineLevel="3" x14ac:dyDescent="0.25">
      <c r="B254" t="str">
        <f t="shared" ref="B254:B256" si="102">+C254&amp;D254&amp;E254&amp;F254</f>
        <v>GlobalFeedstockCost of H2O in H2USD/ton H2</v>
      </c>
      <c r="C254" s="494" t="str">
        <f>C252</f>
        <v>Global</v>
      </c>
      <c r="D254" t="s">
        <v>777</v>
      </c>
      <c r="E254" t="s">
        <v>897</v>
      </c>
      <c r="F254" s="127" t="s">
        <v>881</v>
      </c>
      <c r="G254" s="261">
        <f t="shared" ref="G254:M254" si="103">G255*G256</f>
        <v>13.5</v>
      </c>
      <c r="H254" s="261">
        <f t="shared" si="103"/>
        <v>13.5</v>
      </c>
      <c r="I254" s="261">
        <f t="shared" si="103"/>
        <v>13.5</v>
      </c>
      <c r="J254" s="261">
        <f t="shared" si="103"/>
        <v>13.5</v>
      </c>
      <c r="K254" s="261">
        <f t="shared" si="103"/>
        <v>13.5</v>
      </c>
      <c r="L254" s="261">
        <f t="shared" si="103"/>
        <v>13.5</v>
      </c>
      <c r="M254" s="261">
        <f t="shared" si="103"/>
        <v>13.5</v>
      </c>
    </row>
    <row r="255" spans="2:15" hidden="1" outlineLevel="3" x14ac:dyDescent="0.2">
      <c r="B255" t="str">
        <f t="shared" si="102"/>
        <v>GlobalFeedstockConversion H2O:H2 (actual)ton H2O/ton H2</v>
      </c>
      <c r="C255" t="s">
        <v>109</v>
      </c>
      <c r="D255" t="s">
        <v>777</v>
      </c>
      <c r="E255" t="s">
        <v>898</v>
      </c>
      <c r="F255" s="128" t="s">
        <v>899</v>
      </c>
      <c r="G255" s="495">
        <f>INDEX('Fuel Model -  Input'!$B$3:$N$373,MATCH($B255,'Fuel Model -  Input'!$B$3:$B$373,0),MATCH(G$2,'Fuel Model -  Input'!$B$3:$N$3,0))</f>
        <v>9</v>
      </c>
      <c r="H255" s="495">
        <f>INDEX('Fuel Model -  Input'!$B$3:$N$373,MATCH($B255,'Fuel Model -  Input'!$B$3:$B$373,0),MATCH(H$2,'Fuel Model -  Input'!$B$3:$N$3,0))</f>
        <v>9</v>
      </c>
      <c r="I255" s="495">
        <f>INDEX('Fuel Model -  Input'!$B$3:$N$373,MATCH($B255,'Fuel Model -  Input'!$B$3:$B$373,0),MATCH(I$2,'Fuel Model -  Input'!$B$3:$N$3,0))</f>
        <v>9</v>
      </c>
      <c r="J255" s="495">
        <f>INDEX('Fuel Model -  Input'!$B$3:$N$373,MATCH($B255,'Fuel Model -  Input'!$B$3:$B$373,0),MATCH(J$2,'Fuel Model -  Input'!$B$3:$N$3,0))</f>
        <v>9</v>
      </c>
      <c r="K255" s="495">
        <f>INDEX('Fuel Model -  Input'!$B$3:$N$373,MATCH($B255,'Fuel Model -  Input'!$B$3:$B$373,0),MATCH(K$2,'Fuel Model -  Input'!$B$3:$N$3,0))</f>
        <v>9</v>
      </c>
      <c r="L255" s="495">
        <f>INDEX('Fuel Model -  Input'!$B$3:$N$373,MATCH($B255,'Fuel Model -  Input'!$B$3:$B$373,0),MATCH(L$2,'Fuel Model -  Input'!$B$3:$N$3,0))</f>
        <v>9</v>
      </c>
      <c r="M255" s="495">
        <f>INDEX('Fuel Model -  Input'!$B$3:$N$373,MATCH($B255,'Fuel Model -  Input'!$B$3:$B$373,0),MATCH(M$2,'Fuel Model -  Input'!$B$3:$N$3,0))</f>
        <v>9</v>
      </c>
    </row>
    <row r="256" spans="2:15" hidden="1" outlineLevel="3" x14ac:dyDescent="0.2">
      <c r="B256" t="str">
        <f t="shared" si="102"/>
        <v>GlobalFeedstockDemineralized water costUSD/ton demin H2O</v>
      </c>
      <c r="C256" s="494" t="s">
        <v>109</v>
      </c>
      <c r="D256" t="s">
        <v>777</v>
      </c>
      <c r="E256" t="s">
        <v>900</v>
      </c>
      <c r="F256" s="450" t="s">
        <v>901</v>
      </c>
      <c r="G256" s="495">
        <f>+INDEX('Fuel Model -  Input'!$B$3:$N$373,MATCH($B256,'Fuel Model -  Input'!$B$3:$B$373,0),MATCH(G$2,'Fuel Model -  Input'!$B$3:$N$3,0))</f>
        <v>1.5</v>
      </c>
      <c r="H256" s="495">
        <f>+INDEX('Fuel Model -  Input'!$B$3:$N$373,MATCH($B256,'Fuel Model -  Input'!$B$3:$B$373,0),MATCH(H$2,'Fuel Model -  Input'!$B$3:$N$3,0))</f>
        <v>1.5</v>
      </c>
      <c r="I256" s="495">
        <f>+INDEX('Fuel Model -  Input'!$B$3:$N$373,MATCH($B256,'Fuel Model -  Input'!$B$3:$B$373,0),MATCH(I$2,'Fuel Model -  Input'!$B$3:$N$3,0))</f>
        <v>1.5</v>
      </c>
      <c r="J256" s="495">
        <f>+INDEX('Fuel Model -  Input'!$B$3:$N$373,MATCH($B256,'Fuel Model -  Input'!$B$3:$B$373,0),MATCH(J$2,'Fuel Model -  Input'!$B$3:$N$3,0))</f>
        <v>1.5</v>
      </c>
      <c r="K256" s="495">
        <f>+INDEX('Fuel Model -  Input'!$B$3:$N$373,MATCH($B256,'Fuel Model -  Input'!$B$3:$B$373,0),MATCH(K$2,'Fuel Model -  Input'!$B$3:$N$3,0))</f>
        <v>1.5</v>
      </c>
      <c r="L256" s="495">
        <f>+INDEX('Fuel Model -  Input'!$B$3:$N$373,MATCH($B256,'Fuel Model -  Input'!$B$3:$B$373,0),MATCH(L$2,'Fuel Model -  Input'!$B$3:$N$3,0))</f>
        <v>1.5</v>
      </c>
      <c r="M256" s="495">
        <f>+INDEX('Fuel Model -  Input'!$B$3:$N$373,MATCH($B256,'Fuel Model -  Input'!$B$3:$B$373,0),MATCH(M$2,'Fuel Model -  Input'!$B$3:$N$3,0))</f>
        <v>1.5</v>
      </c>
    </row>
    <row r="257" spans="2:15" ht="12.75" hidden="1" outlineLevel="3" x14ac:dyDescent="0.2">
      <c r="F257"/>
      <c r="O257" s="118"/>
    </row>
    <row r="258" spans="2:15" ht="15" hidden="1" outlineLevel="3" x14ac:dyDescent="0.25">
      <c r="B258" s="496" t="str">
        <f>+C258&amp;D258&amp;E258&amp;F258</f>
        <v>EuropeOpexPlantUSD/ ton H2</v>
      </c>
      <c r="C258" t="str">
        <f>$B$194</f>
        <v>Europe</v>
      </c>
      <c r="D258" t="s">
        <v>219</v>
      </c>
      <c r="E258" t="s">
        <v>902</v>
      </c>
      <c r="F258" s="489" t="s">
        <v>859</v>
      </c>
      <c r="G258" s="492">
        <f t="shared" ref="G258:M258" si="104">G246*G259</f>
        <v>2391.336231685671</v>
      </c>
      <c r="H258" s="492">
        <f t="shared" si="104"/>
        <v>1674.2770167427702</v>
      </c>
      <c r="I258" s="492">
        <f t="shared" si="104"/>
        <v>1139.6710876509674</v>
      </c>
      <c r="J258" s="492">
        <f t="shared" si="104"/>
        <v>763.35550941595204</v>
      </c>
      <c r="K258" s="492">
        <f t="shared" si="104"/>
        <v>486.6608689537249</v>
      </c>
      <c r="L258" s="492">
        <f t="shared" si="104"/>
        <v>285.71809521439178</v>
      </c>
      <c r="M258" s="492">
        <f t="shared" si="104"/>
        <v>142.05986808726536</v>
      </c>
      <c r="O258" s="95"/>
    </row>
    <row r="259" spans="2:15" hidden="1" outlineLevel="3" x14ac:dyDescent="0.2">
      <c r="B259" s="497" t="str">
        <f>+C259&amp;D259&amp;E259&amp;F259</f>
        <v>GlobalOpexPlant - Electrolysis - opex (SO)Percent of Capex</v>
      </c>
      <c r="C259" t="s">
        <v>109</v>
      </c>
      <c r="D259" s="157" t="s">
        <v>219</v>
      </c>
      <c r="E259" s="498" t="s">
        <v>919</v>
      </c>
      <c r="F259" s="450" t="s">
        <v>883</v>
      </c>
      <c r="G259" s="467">
        <f>+INDEX('Fuel Model -  Input'!$B$3:$N$373,MATCH($B259,'Fuel Model -  Input'!$B$3:$B$373,0),MATCH(G$2,'Fuel Model -  Input'!$B$3:$N$3,0))</f>
        <v>0.12011244339814313</v>
      </c>
      <c r="H259" s="467">
        <f>+INDEX('Fuel Model -  Input'!$B$3:$N$373,MATCH($B259,'Fuel Model -  Input'!$B$3:$B$373,0),MATCH(H$2,'Fuel Model -  Input'!$B$3:$N$3,0))</f>
        <v>0.1</v>
      </c>
      <c r="I259" s="467">
        <f>+INDEX('Fuel Model -  Input'!$B$3:$N$373,MATCH($B259,'Fuel Model -  Input'!$B$3:$B$373,0),MATCH(I$2,'Fuel Model -  Input'!$B$3:$N$3,0))</f>
        <v>8.3255320740187322E-2</v>
      </c>
      <c r="J259" s="467">
        <f>+INDEX('Fuel Model -  Input'!$B$3:$N$373,MATCH($B259,'Fuel Model -  Input'!$B$3:$B$373,0),MATCH(J$2,'Fuel Model -  Input'!$B$3:$N$3,0))</f>
        <v>6.9314484315514638E-2</v>
      </c>
      <c r="K259" s="467">
        <f>+INDEX('Fuel Model -  Input'!$B$3:$N$373,MATCH($B259,'Fuel Model -  Input'!$B$3:$B$373,0),MATCH(K$2,'Fuel Model -  Input'!$B$3:$N$3,0))</f>
        <v>5.7707996236288542E-2</v>
      </c>
      <c r="L259" s="467">
        <f>+INDEX('Fuel Model -  Input'!$B$3:$N$373,MATCH($B259,'Fuel Model -  Input'!$B$3:$B$373,0),MATCH(L$2,'Fuel Model -  Input'!$B$3:$N$3,0))</f>
        <v>4.8044977359257245E-2</v>
      </c>
      <c r="M259" s="467">
        <f>INDEX('Fuel Model -  Input'!$B$3:$N$373,MATCH($B259,'Fuel Model -  Input'!$B$3:$B$373,0),MATCH(M$2,'Fuel Model -  Input'!$B$3:$N$3,0))</f>
        <v>0.04</v>
      </c>
      <c r="O259" s="95"/>
    </row>
    <row r="260" spans="2:15" hidden="1" outlineLevel="1" x14ac:dyDescent="0.2"/>
    <row r="261" spans="2:15" s="30" customFormat="1" ht="15" hidden="1" outlineLevel="1" collapsed="1" x14ac:dyDescent="0.25">
      <c r="B261" s="30" t="s">
        <v>197</v>
      </c>
      <c r="C261" s="30" t="str">
        <f>+B261</f>
        <v>Middle East</v>
      </c>
      <c r="F261" s="450"/>
    </row>
    <row r="262" spans="2:15" s="487" customFormat="1" ht="15" hidden="1" outlineLevel="2" collapsed="1" x14ac:dyDescent="0.25">
      <c r="B262" s="483" t="s">
        <v>887</v>
      </c>
      <c r="C262" s="509"/>
      <c r="D262" s="484"/>
      <c r="E262" s="484"/>
      <c r="F262" s="485"/>
      <c r="G262" s="486">
        <f t="shared" ref="G262:M262" si="105">G263</f>
        <v>3796.9773845020354</v>
      </c>
      <c r="H262" s="486">
        <f t="shared" si="105"/>
        <v>3014.9968375791836</v>
      </c>
      <c r="I262" s="486">
        <f t="shared" si="105"/>
        <v>2376.7077323604422</v>
      </c>
      <c r="J262" s="486">
        <f t="shared" si="105"/>
        <v>2089.190230089217</v>
      </c>
      <c r="K262" s="486">
        <f t="shared" si="105"/>
        <v>1897.8744905942331</v>
      </c>
      <c r="L262" s="486">
        <f t="shared" si="105"/>
        <v>1678.77674501055</v>
      </c>
      <c r="M262" s="486">
        <f t="shared" si="105"/>
        <v>1526.7718335516838</v>
      </c>
    </row>
    <row r="263" spans="2:15" ht="15" hidden="1" outlineLevel="3" x14ac:dyDescent="0.25">
      <c r="B263" s="3" t="str">
        <f t="shared" ref="B263:B271" si="106">+C263&amp;D263&amp;E263&amp;F263</f>
        <v>Middle EastResultsCost of e-Hydrogen (Alk)USD/ton</v>
      </c>
      <c r="C263" t="str">
        <f>$B$261</f>
        <v>Middle East</v>
      </c>
      <c r="D263" t="s">
        <v>838</v>
      </c>
      <c r="E263" s="30" t="s">
        <v>863</v>
      </c>
      <c r="F263" s="450" t="s">
        <v>205</v>
      </c>
      <c r="G263" s="488">
        <f t="shared" ref="G263:M263" si="107">SUM(G264:G265)</f>
        <v>3796.9773845020354</v>
      </c>
      <c r="H263" s="488">
        <f t="shared" si="107"/>
        <v>3014.9968375791836</v>
      </c>
      <c r="I263" s="488">
        <f t="shared" si="107"/>
        <v>2376.7077323604422</v>
      </c>
      <c r="J263" s="488">
        <f t="shared" si="107"/>
        <v>2089.190230089217</v>
      </c>
      <c r="K263" s="488">
        <f t="shared" si="107"/>
        <v>1897.8744905942331</v>
      </c>
      <c r="L263" s="488">
        <f t="shared" si="107"/>
        <v>1678.77674501055</v>
      </c>
      <c r="M263" s="488">
        <f t="shared" si="107"/>
        <v>1526.7718335516838</v>
      </c>
      <c r="O263" s="95"/>
    </row>
    <row r="264" spans="2:15" ht="15" hidden="1" outlineLevel="3" x14ac:dyDescent="0.25">
      <c r="B264" s="3" t="str">
        <f t="shared" si="106"/>
        <v>Middle EastResultsCapex (Alk)USD/ton</v>
      </c>
      <c r="C264" t="str">
        <f>$B$261</f>
        <v>Middle East</v>
      </c>
      <c r="D264" t="s">
        <v>838</v>
      </c>
      <c r="E264" s="228" t="s">
        <v>888</v>
      </c>
      <c r="F264" s="450" t="s">
        <v>205</v>
      </c>
      <c r="G264" s="488">
        <f t="shared" ref="G264:M264" si="108">G267</f>
        <v>787.464217475032</v>
      </c>
      <c r="H264" s="488">
        <f t="shared" si="108"/>
        <v>616.22695755115865</v>
      </c>
      <c r="I264" s="488">
        <f t="shared" si="108"/>
        <v>446.35788397320005</v>
      </c>
      <c r="J264" s="488">
        <f t="shared" si="108"/>
        <v>402.8806831018826</v>
      </c>
      <c r="K264" s="488">
        <f t="shared" si="108"/>
        <v>359.74685839083924</v>
      </c>
      <c r="L264" s="488">
        <f t="shared" si="108"/>
        <v>316.9543475337004</v>
      </c>
      <c r="M264" s="488">
        <f t="shared" si="108"/>
        <v>274.50109927278885</v>
      </c>
      <c r="O264" s="95"/>
    </row>
    <row r="265" spans="2:15" ht="15" hidden="1" outlineLevel="3" x14ac:dyDescent="0.25">
      <c r="B265" s="3" t="str">
        <f t="shared" si="106"/>
        <v>Middle EastResultsOpex (Alk)USD/ton</v>
      </c>
      <c r="C265" t="str">
        <f>$B$261</f>
        <v>Middle East</v>
      </c>
      <c r="D265" t="s">
        <v>838</v>
      </c>
      <c r="E265" s="228" t="s">
        <v>889</v>
      </c>
      <c r="F265" s="450" t="s">
        <v>205</v>
      </c>
      <c r="G265" s="488">
        <f>SUM(G273,G277,G281)</f>
        <v>3009.5131670270034</v>
      </c>
      <c r="H265" s="488">
        <f t="shared" ref="H265:M265" si="109">SUM(H273,H277,H281)</f>
        <v>2398.769880028025</v>
      </c>
      <c r="I265" s="488">
        <f t="shared" si="109"/>
        <v>1930.349848387242</v>
      </c>
      <c r="J265" s="488">
        <f t="shared" si="109"/>
        <v>1686.3095469873347</v>
      </c>
      <c r="K265" s="488">
        <f t="shared" si="109"/>
        <v>1538.1276322033939</v>
      </c>
      <c r="L265" s="488">
        <f t="shared" si="109"/>
        <v>1361.8223974768496</v>
      </c>
      <c r="M265" s="488">
        <f t="shared" si="109"/>
        <v>1252.2707342788949</v>
      </c>
      <c r="O265" s="95"/>
    </row>
    <row r="266" spans="2:15" hidden="1" outlineLevel="3" x14ac:dyDescent="0.2">
      <c r="B266" s="12" t="str">
        <f t="shared" si="106"/>
        <v/>
      </c>
    </row>
    <row r="267" spans="2:15" ht="15" hidden="1" outlineLevel="3" x14ac:dyDescent="0.25">
      <c r="B267" s="3" t="str">
        <f t="shared" si="106"/>
        <v>Middle EastCapexCost per ton H2USD/ ton H2</v>
      </c>
      <c r="C267" t="str">
        <f>$B$261</f>
        <v>Middle East</v>
      </c>
      <c r="D267" t="s">
        <v>218</v>
      </c>
      <c r="E267" t="s">
        <v>920</v>
      </c>
      <c r="F267" s="489" t="s">
        <v>859</v>
      </c>
      <c r="G267" s="490">
        <f t="shared" ref="G267:M267" si="110">G269/G268</f>
        <v>787.464217475032</v>
      </c>
      <c r="H267" s="490">
        <f t="shared" si="110"/>
        <v>616.22695755115865</v>
      </c>
      <c r="I267" s="490">
        <f t="shared" si="110"/>
        <v>446.35788397320005</v>
      </c>
      <c r="J267" s="490">
        <f t="shared" si="110"/>
        <v>402.8806831018826</v>
      </c>
      <c r="K267" s="490">
        <f t="shared" si="110"/>
        <v>359.74685839083924</v>
      </c>
      <c r="L267" s="490">
        <f t="shared" si="110"/>
        <v>316.9543475337004</v>
      </c>
      <c r="M267" s="490">
        <f t="shared" si="110"/>
        <v>274.50109927278885</v>
      </c>
    </row>
    <row r="268" spans="2:15" hidden="1" outlineLevel="3" x14ac:dyDescent="0.2">
      <c r="B268" s="12" t="str">
        <f t="shared" si="106"/>
        <v>GlobalPlant capexAnnualisation factor#</v>
      </c>
      <c r="C268" t="s">
        <v>109</v>
      </c>
      <c r="D268" t="s">
        <v>786</v>
      </c>
      <c r="E268" t="s">
        <v>764</v>
      </c>
      <c r="F268" s="450" t="s">
        <v>787</v>
      </c>
      <c r="G268" s="491">
        <f>+INDEX('Fuel Model -  Input'!$B$3:$N$373,MATCH($B268,'Fuel Model -  Input'!$B$3:$B$373,0),MATCH(G$2,'Fuel Model -  Input'!$B$3:$N$3,0))</f>
        <v>11.32075471698113</v>
      </c>
      <c r="H268" s="491">
        <f>+INDEX('Fuel Model -  Input'!$B$3:$N$373,MATCH($B268,'Fuel Model -  Input'!$B$3:$B$373,0),MATCH(H$2,'Fuel Model -  Input'!$B$3:$N$3,0))</f>
        <v>11.32075471698113</v>
      </c>
      <c r="I268" s="491">
        <f>+INDEX('Fuel Model -  Input'!$B$3:$N$373,MATCH($B268,'Fuel Model -  Input'!$B$3:$B$373,0),MATCH(I$2,'Fuel Model -  Input'!$B$3:$N$3,0))</f>
        <v>11.32075471698113</v>
      </c>
      <c r="J268" s="491">
        <f>+INDEX('Fuel Model -  Input'!$B$3:$N$373,MATCH($B268,'Fuel Model -  Input'!$B$3:$B$373,0),MATCH(J$2,'Fuel Model -  Input'!$B$3:$N$3,0))</f>
        <v>11.32075471698113</v>
      </c>
      <c r="K268" s="491">
        <f>+INDEX('Fuel Model -  Input'!$B$3:$N$373,MATCH($B268,'Fuel Model -  Input'!$B$3:$B$373,0),MATCH(K$2,'Fuel Model -  Input'!$B$3:$N$3,0))</f>
        <v>11.32075471698113</v>
      </c>
      <c r="L268" s="491">
        <f>+INDEX('Fuel Model -  Input'!$B$3:$N$373,MATCH($B268,'Fuel Model -  Input'!$B$3:$B$373,0),MATCH(L$2,'Fuel Model -  Input'!$B$3:$N$3,0))</f>
        <v>11.32075471698113</v>
      </c>
      <c r="M268" s="491">
        <f>INDEX('Fuel Model -  Input'!$B$3:$N$373,MATCH($B268,'Fuel Model -  Input'!$B$3:$B$373,0),MATCH(M$2,'Fuel Model -  Input'!$B$3:$N$3,0))</f>
        <v>11.32075471698113</v>
      </c>
      <c r="O268" s="95"/>
    </row>
    <row r="269" spans="2:15" ht="12.75" hidden="1" outlineLevel="3" x14ac:dyDescent="0.2">
      <c r="B269" s="12" t="str">
        <f t="shared" si="106"/>
        <v>Middle EastPlant capexElectrolyser unit cost (Alk)USD/ ton H2 cap</v>
      </c>
      <c r="C269" t="str">
        <f>+C267</f>
        <v>Middle East</v>
      </c>
      <c r="D269" t="s">
        <v>786</v>
      </c>
      <c r="E269" t="s">
        <v>891</v>
      </c>
      <c r="F269" t="s">
        <v>892</v>
      </c>
      <c r="G269" s="8">
        <f>G271/(365*24*G270)*G275</f>
        <v>8914.6892544343227</v>
      </c>
      <c r="H269" s="8">
        <f t="shared" ref="H269" si="111">H271/(365*24*H270)*H275</f>
        <v>6976.1542364282095</v>
      </c>
      <c r="I269" s="8">
        <f t="shared" ref="I269" si="112">I271/(365*24*I270)*I275</f>
        <v>5053.1081204513202</v>
      </c>
      <c r="J269" s="8">
        <f t="shared" ref="J269" si="113">J271/(365*24*J270)*J275</f>
        <v>4560.9133936062171</v>
      </c>
      <c r="K269" s="8">
        <f t="shared" ref="K269" si="114">K271/(365*24*K270)*K275</f>
        <v>4072.6059440472354</v>
      </c>
      <c r="L269" s="8">
        <f t="shared" ref="L269" si="115">L271/(365*24*L270)*L275</f>
        <v>3588.1624249098149</v>
      </c>
      <c r="M269" s="8">
        <f t="shared" ref="M269" si="116">M271/(365*24*M270)*M275</f>
        <v>3107.5596144089295</v>
      </c>
    </row>
    <row r="270" spans="2:15" hidden="1" outlineLevel="3" x14ac:dyDescent="0.2">
      <c r="B270" s="12" t="str">
        <f t="shared" si="106"/>
        <v>Middle EastGeneralCapacity factor%</v>
      </c>
      <c r="C270" t="str">
        <f>$B$261</f>
        <v>Middle East</v>
      </c>
      <c r="D270" t="s">
        <v>173</v>
      </c>
      <c r="E270" t="s">
        <v>893</v>
      </c>
      <c r="F270" s="450" t="s">
        <v>178</v>
      </c>
      <c r="G270" s="467">
        <f>+INDEX('Fuel Model -  Input'!$B$3:$N$373,MATCH($B270,'Fuel Model -  Input'!$B$3:$B$373,0),MATCH(G$2,'Fuel Model -  Input'!$B$3:$N$3,0))</f>
        <v>0.9</v>
      </c>
      <c r="H270" s="467">
        <f>+INDEX('Fuel Model -  Input'!$B$3:$N$373,MATCH($B270,'Fuel Model -  Input'!$B$3:$B$373,0),MATCH(H$2,'Fuel Model -  Input'!$B$3:$N$3,0))</f>
        <v>0.9</v>
      </c>
      <c r="I270" s="467">
        <f>+INDEX('Fuel Model -  Input'!$B$3:$N$373,MATCH($B270,'Fuel Model -  Input'!$B$3:$B$373,0),MATCH(I$2,'Fuel Model -  Input'!$B$3:$N$3,0))</f>
        <v>0.9</v>
      </c>
      <c r="J270" s="467">
        <f>+INDEX('Fuel Model -  Input'!$B$3:$N$373,MATCH($B270,'Fuel Model -  Input'!$B$3:$B$373,0),MATCH(J$2,'Fuel Model -  Input'!$B$3:$N$3,0))</f>
        <v>0.9</v>
      </c>
      <c r="K270" s="467">
        <f>+INDEX('Fuel Model -  Input'!$B$3:$N$373,MATCH($B270,'Fuel Model -  Input'!$B$3:$B$373,0),MATCH(K$2,'Fuel Model -  Input'!$B$3:$N$3,0))</f>
        <v>0.9</v>
      </c>
      <c r="L270" s="467">
        <f>+INDEX('Fuel Model -  Input'!$B$3:$N$373,MATCH($B270,'Fuel Model -  Input'!$B$3:$B$373,0),MATCH(L$2,'Fuel Model -  Input'!$B$3:$N$3,0))</f>
        <v>0.9</v>
      </c>
      <c r="M270" s="467">
        <f>INDEX('Fuel Model -  Input'!$B$3:$N$373,MATCH($B270,'Fuel Model -  Input'!$B$3:$B$373,0),MATCH(M$2,'Fuel Model -  Input'!$B$3:$N$3,0))</f>
        <v>0.9</v>
      </c>
      <c r="O270" s="118"/>
    </row>
    <row r="271" spans="2:15" hidden="1" outlineLevel="3" x14ac:dyDescent="0.2">
      <c r="B271" s="12" t="str">
        <f t="shared" si="106"/>
        <v>GlobalCapexElectrolyser unit cost (Alk)USD/MW</v>
      </c>
      <c r="C271" t="s">
        <v>109</v>
      </c>
      <c r="D271" t="s">
        <v>218</v>
      </c>
      <c r="E271" t="s">
        <v>891</v>
      </c>
      <c r="F271" s="450" t="s">
        <v>279</v>
      </c>
      <c r="G271" s="491">
        <f>+INDEX('Fuel Model -  Input'!$B$3:$N$373,MATCH($B271,'Fuel Model -  Input'!$B$3:$B$373,0),MATCH(G$2,'Fuel Model -  Input'!$B$3:$N$3,0))</f>
        <v>1400000</v>
      </c>
      <c r="H271" s="491">
        <f>+INDEX('Fuel Model -  Input'!$B$3:$N$373,MATCH($B271,'Fuel Model -  Input'!$B$3:$B$373,0),MATCH(H$2,'Fuel Model -  Input'!$B$3:$N$3,0))</f>
        <v>1100000</v>
      </c>
      <c r="I271" s="491">
        <f>+INDEX('Fuel Model -  Input'!$B$3:$N$373,MATCH($B271,'Fuel Model -  Input'!$B$3:$B$373,0),MATCH(I$2,'Fuel Model -  Input'!$B$3:$N$3,0))</f>
        <v>800000</v>
      </c>
      <c r="J271" s="491">
        <f>+INDEX('Fuel Model -  Input'!$B$3:$N$373,MATCH($B271,'Fuel Model -  Input'!$B$3:$B$373,0),MATCH(J$2,'Fuel Model -  Input'!$B$3:$N$3,0))</f>
        <v>725000</v>
      </c>
      <c r="K271" s="491">
        <f>+INDEX('Fuel Model -  Input'!$B$3:$N$373,MATCH($B271,'Fuel Model -  Input'!$B$3:$B$373,0),MATCH(K$2,'Fuel Model -  Input'!$B$3:$N$3,0))</f>
        <v>650000</v>
      </c>
      <c r="L271" s="491">
        <f>+INDEX('Fuel Model -  Input'!$B$3:$N$373,MATCH($B271,'Fuel Model -  Input'!$B$3:$B$373,0),MATCH(L$2,'Fuel Model -  Input'!$B$3:$N$3,0))</f>
        <v>575000</v>
      </c>
      <c r="M271" s="491">
        <f>INDEX('Fuel Model -  Input'!$B$3:$N$373,MATCH($B271,'Fuel Model -  Input'!$B$3:$B$373,0),MATCH(M$2,'Fuel Model -  Input'!$B$3:$N$3,0))</f>
        <v>500000</v>
      </c>
      <c r="O271" s="118"/>
    </row>
    <row r="272" spans="2:15" ht="12.75" hidden="1" outlineLevel="3" x14ac:dyDescent="0.2">
      <c r="B272" s="48"/>
      <c r="F272"/>
    </row>
    <row r="273" spans="2:15" ht="15" hidden="1" outlineLevel="3" x14ac:dyDescent="0.25">
      <c r="B273" s="3" t="str">
        <f>+C273&amp;D273&amp;E273&amp;F273</f>
        <v>Middle EastFeedstockTotal Electricity (Alk)USD/ ton H2</v>
      </c>
      <c r="C273" t="str">
        <f>$B$261</f>
        <v>Middle East</v>
      </c>
      <c r="D273" t="s">
        <v>777</v>
      </c>
      <c r="E273" t="s">
        <v>894</v>
      </c>
      <c r="F273" s="489" t="s">
        <v>859</v>
      </c>
      <c r="G273" s="492">
        <f t="shared" ref="G273:M273" si="117">G274*G275</f>
        <v>2104.544241583571</v>
      </c>
      <c r="H273" s="492">
        <f t="shared" si="117"/>
        <v>1687.654456385204</v>
      </c>
      <c r="I273" s="492">
        <f t="shared" si="117"/>
        <v>1411.53903634211</v>
      </c>
      <c r="J273" s="492">
        <f t="shared" si="117"/>
        <v>1216.7182076267129</v>
      </c>
      <c r="K273" s="492">
        <f t="shared" si="117"/>
        <v>1117.3670377986703</v>
      </c>
      <c r="L273" s="492">
        <f t="shared" si="117"/>
        <v>989.50615498586808</v>
      </c>
      <c r="M273" s="492">
        <f t="shared" si="117"/>
        <v>928.01477283800205</v>
      </c>
    </row>
    <row r="274" spans="2:15" hidden="1" outlineLevel="3" x14ac:dyDescent="0.2">
      <c r="B274" s="12" t="str">
        <f>+C274&amp;D274&amp;E274&amp;F274</f>
        <v>Middle EastFeedstockElectricityUSD/MWh</v>
      </c>
      <c r="C274" t="str">
        <f>$B$261</f>
        <v>Middle East</v>
      </c>
      <c r="D274" t="s">
        <v>777</v>
      </c>
      <c r="E274" t="s">
        <v>54</v>
      </c>
      <c r="F274" s="450" t="s">
        <v>196</v>
      </c>
      <c r="G274" s="491">
        <f>+INDEX('Fuel Model -  Input'!$B$3:$N$373,MATCH($B274,'Fuel Model -  Input'!$B$3:$B$373,0),MATCH(G$2,'Fuel Model -  Input'!$B$3:$N$3,0))</f>
        <v>41.921157991354328</v>
      </c>
      <c r="H274" s="491">
        <f>+INDEX('Fuel Model -  Input'!$B$3:$N$373,MATCH($B274,'Fuel Model -  Input'!$B$3:$B$373,0),MATCH(H$2,'Fuel Model -  Input'!$B$3:$N$3,0))</f>
        <v>33.753089127704079</v>
      </c>
      <c r="I274" s="491">
        <f>+INDEX('Fuel Model -  Input'!$B$3:$N$373,MATCH($B274,'Fuel Model -  Input'!$B$3:$B$373,0),MATCH(I$2,'Fuel Model -  Input'!$B$3:$N$3,0))</f>
        <v>28.34507912512213</v>
      </c>
      <c r="J274" s="491">
        <f>+INDEX('Fuel Model -  Input'!$B$3:$N$373,MATCH($B274,'Fuel Model -  Input'!$B$3:$B$373,0),MATCH(J$2,'Fuel Model -  Input'!$B$3:$N$3,0))</f>
        <v>24.531808876328746</v>
      </c>
      <c r="K274" s="491">
        <f>+INDEX('Fuel Model -  Input'!$B$3:$N$373,MATCH($B274,'Fuel Model -  Input'!$B$3:$B$373,0),MATCH(K$2,'Fuel Model -  Input'!$B$3:$N$3,0))</f>
        <v>22.619875270215999</v>
      </c>
      <c r="L274" s="491">
        <f>+INDEX('Fuel Model -  Input'!$B$3:$N$373,MATCH($B274,'Fuel Model -  Input'!$B$3:$B$373,0),MATCH(L$2,'Fuel Model -  Input'!$B$3:$N$3,0))</f>
        <v>20.112573077486601</v>
      </c>
      <c r="M274" s="491">
        <f>INDEX('Fuel Model -  Input'!$B$3:$N$373,MATCH($B274,'Fuel Model -  Input'!$B$3:$B$373,0),MATCH(M$2,'Fuel Model -  Input'!$B$3:$N$3,0))</f>
        <v>18.93907699669392</v>
      </c>
      <c r="O274" s="118"/>
    </row>
    <row r="275" spans="2:15" hidden="1" outlineLevel="3" x14ac:dyDescent="0.2">
      <c r="B275" s="12" t="str">
        <f>+C275&amp;D275&amp;E275&amp;F275</f>
        <v>GlobalFeedstockSystem efficiency (Alk)kWh/kg H2</v>
      </c>
      <c r="C275" t="s">
        <v>109</v>
      </c>
      <c r="D275" t="s">
        <v>777</v>
      </c>
      <c r="E275" t="s">
        <v>895</v>
      </c>
      <c r="F275" s="450" t="s">
        <v>896</v>
      </c>
      <c r="G275" s="491">
        <f>+INDEX('Fuel Model -  Input'!$B$3:$N$373,MATCH($B275,'Fuel Model -  Input'!$B$3:$B$373,0),MATCH(G$2,'Fuel Model -  Input'!$B$3:$N$3,0))</f>
        <v>50.202435772828721</v>
      </c>
      <c r="H275" s="491">
        <f>+INDEX('Fuel Model -  Input'!$B$3:$N$373,MATCH($B275,'Fuel Model -  Input'!$B$3:$B$373,0),MATCH(H$2,'Fuel Model -  Input'!$B$3:$N$3,0))</f>
        <v>50</v>
      </c>
      <c r="I275" s="491">
        <f>+INDEX('Fuel Model -  Input'!$B$3:$N$373,MATCH($B275,'Fuel Model -  Input'!$B$3:$B$373,0),MATCH(I$2,'Fuel Model -  Input'!$B$3:$N$3,0))</f>
        <v>49.798380527047762</v>
      </c>
      <c r="J275" s="491">
        <f>+INDEX('Fuel Model -  Input'!$B$3:$N$373,MATCH($B275,'Fuel Model -  Input'!$B$3:$B$373,0),MATCH(J$2,'Fuel Model -  Input'!$B$3:$N$3,0))</f>
        <v>49.597574062332995</v>
      </c>
      <c r="K275" s="491">
        <f>+INDEX('Fuel Model -  Input'!$B$3:$N$373,MATCH($B275,'Fuel Model -  Input'!$B$3:$B$373,0),MATCH(K$2,'Fuel Model -  Input'!$B$3:$N$3,0))</f>
        <v>49.397577327489856</v>
      </c>
      <c r="L275" s="491">
        <f>+INDEX('Fuel Model -  Input'!$B$3:$N$373,MATCH($B275,'Fuel Model -  Input'!$B$3:$B$373,0),MATCH(L$2,'Fuel Model -  Input'!$B$3:$N$3,0))</f>
        <v>49.198387057372138</v>
      </c>
      <c r="M275" s="491">
        <f>+INDEX('Fuel Model -  Input'!$B$3:$N$373,MATCH($B275,'Fuel Model -  Input'!$B$3:$B$373,0),MATCH(M$2,'Fuel Model -  Input'!$B$3:$N$3,0))</f>
        <v>49</v>
      </c>
      <c r="O275" s="118"/>
    </row>
    <row r="276" spans="2:15" hidden="1" outlineLevel="3" x14ac:dyDescent="0.2">
      <c r="B276" s="12"/>
      <c r="G276" s="493"/>
      <c r="H276" s="493"/>
      <c r="I276" s="493"/>
      <c r="J276" s="493"/>
      <c r="K276" s="493"/>
      <c r="L276" s="493"/>
      <c r="M276" s="493"/>
      <c r="O276" s="118"/>
    </row>
    <row r="277" spans="2:15" ht="15" hidden="1" outlineLevel="3" x14ac:dyDescent="0.25">
      <c r="B277" t="str">
        <f t="shared" ref="B277:B279" si="118">+C277&amp;D277&amp;E277&amp;F277</f>
        <v>GlobalFeedstockCost of H2O in H2USD/ton H2</v>
      </c>
      <c r="C277" s="494" t="str">
        <f>C275</f>
        <v>Global</v>
      </c>
      <c r="D277" t="s">
        <v>777</v>
      </c>
      <c r="E277" t="s">
        <v>897</v>
      </c>
      <c r="F277" s="127" t="s">
        <v>881</v>
      </c>
      <c r="G277" s="261">
        <f t="shared" ref="G277:M277" si="119">G278*G279</f>
        <v>13.5</v>
      </c>
      <c r="H277" s="261">
        <f t="shared" si="119"/>
        <v>13.5</v>
      </c>
      <c r="I277" s="261">
        <f t="shared" si="119"/>
        <v>13.5</v>
      </c>
      <c r="J277" s="261">
        <f t="shared" si="119"/>
        <v>13.5</v>
      </c>
      <c r="K277" s="261">
        <f t="shared" si="119"/>
        <v>13.5</v>
      </c>
      <c r="L277" s="261">
        <f t="shared" si="119"/>
        <v>13.5</v>
      </c>
      <c r="M277" s="261">
        <f t="shared" si="119"/>
        <v>13.5</v>
      </c>
    </row>
    <row r="278" spans="2:15" hidden="1" outlineLevel="3" x14ac:dyDescent="0.2">
      <c r="B278" t="str">
        <f t="shared" si="118"/>
        <v>GlobalFeedstockConversion H2O:H2 (actual)ton H2O/ton H2</v>
      </c>
      <c r="C278" t="s">
        <v>109</v>
      </c>
      <c r="D278" t="s">
        <v>777</v>
      </c>
      <c r="E278" t="s">
        <v>898</v>
      </c>
      <c r="F278" s="128" t="s">
        <v>899</v>
      </c>
      <c r="G278" s="495">
        <f>INDEX('Fuel Model -  Input'!$B$3:$N$373,MATCH($B278,'Fuel Model -  Input'!$B$3:$B$373,0),MATCH(G$2,'Fuel Model -  Input'!$B$3:$N$3,0))</f>
        <v>9</v>
      </c>
      <c r="H278" s="495">
        <f>INDEX('Fuel Model -  Input'!$B$3:$N$373,MATCH($B278,'Fuel Model -  Input'!$B$3:$B$373,0),MATCH(H$2,'Fuel Model -  Input'!$B$3:$N$3,0))</f>
        <v>9</v>
      </c>
      <c r="I278" s="495">
        <f>INDEX('Fuel Model -  Input'!$B$3:$N$373,MATCH($B278,'Fuel Model -  Input'!$B$3:$B$373,0),MATCH(I$2,'Fuel Model -  Input'!$B$3:$N$3,0))</f>
        <v>9</v>
      </c>
      <c r="J278" s="495">
        <f>INDEX('Fuel Model -  Input'!$B$3:$N$373,MATCH($B278,'Fuel Model -  Input'!$B$3:$B$373,0),MATCH(J$2,'Fuel Model -  Input'!$B$3:$N$3,0))</f>
        <v>9</v>
      </c>
      <c r="K278" s="495">
        <f>INDEX('Fuel Model -  Input'!$B$3:$N$373,MATCH($B278,'Fuel Model -  Input'!$B$3:$B$373,0),MATCH(K$2,'Fuel Model -  Input'!$B$3:$N$3,0))</f>
        <v>9</v>
      </c>
      <c r="L278" s="495">
        <f>INDEX('Fuel Model -  Input'!$B$3:$N$373,MATCH($B278,'Fuel Model -  Input'!$B$3:$B$373,0),MATCH(L$2,'Fuel Model -  Input'!$B$3:$N$3,0))</f>
        <v>9</v>
      </c>
      <c r="M278" s="495">
        <f>INDEX('Fuel Model -  Input'!$B$3:$N$373,MATCH($B278,'Fuel Model -  Input'!$B$3:$B$373,0),MATCH(M$2,'Fuel Model -  Input'!$B$3:$N$3,0))</f>
        <v>9</v>
      </c>
    </row>
    <row r="279" spans="2:15" hidden="1" outlineLevel="3" x14ac:dyDescent="0.2">
      <c r="B279" t="str">
        <f t="shared" si="118"/>
        <v>GlobalFeedstockDemineralized water costUSD/ton demin H2O</v>
      </c>
      <c r="C279" s="494" t="s">
        <v>109</v>
      </c>
      <c r="D279" t="s">
        <v>777</v>
      </c>
      <c r="E279" t="s">
        <v>900</v>
      </c>
      <c r="F279" s="450" t="s">
        <v>901</v>
      </c>
      <c r="G279" s="495">
        <f>+INDEX('Fuel Model -  Input'!$B$3:$N$373,MATCH($B279,'Fuel Model -  Input'!$B$3:$B$373,0),MATCH(G$2,'Fuel Model -  Input'!$B$3:$N$3,0))</f>
        <v>1.5</v>
      </c>
      <c r="H279" s="495">
        <f>+INDEX('Fuel Model -  Input'!$B$3:$N$373,MATCH($B279,'Fuel Model -  Input'!$B$3:$B$373,0),MATCH(H$2,'Fuel Model -  Input'!$B$3:$N$3,0))</f>
        <v>1.5</v>
      </c>
      <c r="I279" s="495">
        <f>+INDEX('Fuel Model -  Input'!$B$3:$N$373,MATCH($B279,'Fuel Model -  Input'!$B$3:$B$373,0),MATCH(I$2,'Fuel Model -  Input'!$B$3:$N$3,0))</f>
        <v>1.5</v>
      </c>
      <c r="J279" s="495">
        <f>+INDEX('Fuel Model -  Input'!$B$3:$N$373,MATCH($B279,'Fuel Model -  Input'!$B$3:$B$373,0),MATCH(J$2,'Fuel Model -  Input'!$B$3:$N$3,0))</f>
        <v>1.5</v>
      </c>
      <c r="K279" s="495">
        <f>+INDEX('Fuel Model -  Input'!$B$3:$N$373,MATCH($B279,'Fuel Model -  Input'!$B$3:$B$373,0),MATCH(K$2,'Fuel Model -  Input'!$B$3:$N$3,0))</f>
        <v>1.5</v>
      </c>
      <c r="L279" s="495">
        <f>+INDEX('Fuel Model -  Input'!$B$3:$N$373,MATCH($B279,'Fuel Model -  Input'!$B$3:$B$373,0),MATCH(L$2,'Fuel Model -  Input'!$B$3:$N$3,0))</f>
        <v>1.5</v>
      </c>
      <c r="M279" s="495">
        <f>+INDEX('Fuel Model -  Input'!$B$3:$N$373,MATCH($B279,'Fuel Model -  Input'!$B$3:$B$373,0),MATCH(M$2,'Fuel Model -  Input'!$B$3:$N$3,0))</f>
        <v>1.5</v>
      </c>
    </row>
    <row r="280" spans="2:15" ht="12.75" hidden="1" outlineLevel="3" x14ac:dyDescent="0.2">
      <c r="F280"/>
    </row>
    <row r="281" spans="2:15" ht="15" hidden="1" outlineLevel="3" x14ac:dyDescent="0.25">
      <c r="B281" s="496" t="str">
        <f>+C281&amp;D281&amp;E281&amp;F281</f>
        <v>Middle EastOpexPlantUSD/ ton H2</v>
      </c>
      <c r="C281" t="str">
        <f>$B$261</f>
        <v>Middle East</v>
      </c>
      <c r="D281" t="s">
        <v>219</v>
      </c>
      <c r="E281" t="s">
        <v>902</v>
      </c>
      <c r="F281" s="489" t="s">
        <v>859</v>
      </c>
      <c r="G281" s="492">
        <f t="shared" ref="G281:M281" si="120">G269*G282</f>
        <v>891.46892544343234</v>
      </c>
      <c r="H281" s="492">
        <f t="shared" si="120"/>
        <v>697.61542364282104</v>
      </c>
      <c r="I281" s="492">
        <f t="shared" si="120"/>
        <v>505.31081204513202</v>
      </c>
      <c r="J281" s="492">
        <f t="shared" si="120"/>
        <v>456.09133936062176</v>
      </c>
      <c r="K281" s="492">
        <f t="shared" si="120"/>
        <v>407.26059440472358</v>
      </c>
      <c r="L281" s="492">
        <f t="shared" si="120"/>
        <v>358.81624249098149</v>
      </c>
      <c r="M281" s="492">
        <f t="shared" si="120"/>
        <v>310.75596144089297</v>
      </c>
    </row>
    <row r="282" spans="2:15" hidden="1" outlineLevel="3" x14ac:dyDescent="0.2">
      <c r="B282" s="497" t="str">
        <f>+C282&amp;D282&amp;E282&amp;F282</f>
        <v>GlobalOpexPlant - Electrolysis - opex (Alk)Percent of Capex</v>
      </c>
      <c r="C282" t="s">
        <v>109</v>
      </c>
      <c r="D282" s="157" t="s">
        <v>219</v>
      </c>
      <c r="E282" s="498" t="s">
        <v>903</v>
      </c>
      <c r="F282" s="450" t="s">
        <v>883</v>
      </c>
      <c r="G282" s="467">
        <f>+INDEX('Fuel Model -  Input'!$B$3:$N$373,MATCH($B282,'Fuel Model -  Input'!$B$3:$B$373,0),MATCH(G$2,'Fuel Model -  Input'!$B$3:$N$3,0))</f>
        <v>0.1</v>
      </c>
      <c r="H282" s="467">
        <f>+INDEX('Fuel Model -  Input'!$B$3:$N$373,MATCH($B282,'Fuel Model -  Input'!$B$3:$B$373,0),MATCH(H$2,'Fuel Model -  Input'!$B$3:$N$3,0))</f>
        <v>0.1</v>
      </c>
      <c r="I282" s="467">
        <f>+INDEX('Fuel Model -  Input'!$B$3:$N$373,MATCH($B282,'Fuel Model -  Input'!$B$3:$B$373,0),MATCH(I$2,'Fuel Model -  Input'!$B$3:$N$3,0))</f>
        <v>0.1</v>
      </c>
      <c r="J282" s="467">
        <f>+INDEX('Fuel Model -  Input'!$B$3:$N$373,MATCH($B282,'Fuel Model -  Input'!$B$3:$B$373,0),MATCH(J$2,'Fuel Model -  Input'!$B$3:$N$3,0))</f>
        <v>0.1</v>
      </c>
      <c r="K282" s="467">
        <f>+INDEX('Fuel Model -  Input'!$B$3:$N$373,MATCH($B282,'Fuel Model -  Input'!$B$3:$B$373,0),MATCH(K$2,'Fuel Model -  Input'!$B$3:$N$3,0))</f>
        <v>0.1</v>
      </c>
      <c r="L282" s="467">
        <f>+INDEX('Fuel Model -  Input'!$B$3:$N$373,MATCH($B282,'Fuel Model -  Input'!$B$3:$B$373,0),MATCH(L$2,'Fuel Model -  Input'!$B$3:$N$3,0))</f>
        <v>0.1</v>
      </c>
      <c r="M282" s="467">
        <f>INDEX('Fuel Model -  Input'!$B$3:$N$373,MATCH($B282,'Fuel Model -  Input'!$B$3:$B$373,0),MATCH(M$2,'Fuel Model -  Input'!$B$3:$N$3,0))</f>
        <v>0.1</v>
      </c>
    </row>
    <row r="283" spans="2:15" hidden="1" outlineLevel="2" x14ac:dyDescent="0.2">
      <c r="B283" s="12"/>
      <c r="G283" s="499"/>
      <c r="H283" s="499"/>
      <c r="I283" s="499"/>
      <c r="J283" s="499"/>
      <c r="K283" s="499"/>
      <c r="L283" s="499"/>
      <c r="M283" s="499"/>
    </row>
    <row r="284" spans="2:15" s="501" customFormat="1" ht="15" hidden="1" outlineLevel="2" collapsed="1" x14ac:dyDescent="0.25">
      <c r="B284" s="500" t="s">
        <v>904</v>
      </c>
      <c r="C284"/>
      <c r="F284" s="502"/>
      <c r="G284" s="503">
        <f t="shared" ref="G284:M284" si="121">G285</f>
        <v>4981.3121202735292</v>
      </c>
      <c r="H284" s="503">
        <f t="shared" si="121"/>
        <v>3795.3860153497712</v>
      </c>
      <c r="I284" s="503">
        <f t="shared" si="121"/>
        <v>2874.6592991651005</v>
      </c>
      <c r="J284" s="503">
        <f t="shared" si="121"/>
        <v>2427.7977216566246</v>
      </c>
      <c r="K284" s="503">
        <f t="shared" si="121"/>
        <v>2121.347711326071</v>
      </c>
      <c r="L284" s="503">
        <f t="shared" si="121"/>
        <v>1805.1353136317919</v>
      </c>
      <c r="M284" s="503">
        <f t="shared" si="121"/>
        <v>1583.0794691217504</v>
      </c>
      <c r="O284" s="504"/>
    </row>
    <row r="285" spans="2:15" ht="15" hidden="1" outlineLevel="3" x14ac:dyDescent="0.25">
      <c r="B285" s="3" t="str">
        <f t="shared" ref="B285:B293" si="122">+C285&amp;D285&amp;E285&amp;F285</f>
        <v>Middle EastResultsCost of e-Hydrogen (PEM)USD/ton</v>
      </c>
      <c r="C285" t="str">
        <f>$B$261</f>
        <v>Middle East</v>
      </c>
      <c r="D285" t="s">
        <v>838</v>
      </c>
      <c r="E285" s="30" t="s">
        <v>864</v>
      </c>
      <c r="F285" s="450" t="s">
        <v>205</v>
      </c>
      <c r="G285" s="488">
        <f t="shared" ref="G285:M285" si="123">SUM(G286:G287)</f>
        <v>4981.3121202735292</v>
      </c>
      <c r="H285" s="488">
        <f t="shared" si="123"/>
        <v>3795.3860153497712</v>
      </c>
      <c r="I285" s="488">
        <f t="shared" si="123"/>
        <v>2874.6592991651005</v>
      </c>
      <c r="J285" s="488">
        <f t="shared" si="123"/>
        <v>2427.7977216566246</v>
      </c>
      <c r="K285" s="488">
        <f t="shared" si="123"/>
        <v>2121.347711326071</v>
      </c>
      <c r="L285" s="488">
        <f t="shared" si="123"/>
        <v>1805.1353136317919</v>
      </c>
      <c r="M285" s="488">
        <f t="shared" si="123"/>
        <v>1583.0794691217504</v>
      </c>
      <c r="O285" s="95"/>
    </row>
    <row r="286" spans="2:15" ht="15" hidden="1" outlineLevel="3" x14ac:dyDescent="0.25">
      <c r="B286" s="3" t="str">
        <f t="shared" si="122"/>
        <v>Middle EastResultsCapex (PEM)USD/ton</v>
      </c>
      <c r="C286" t="str">
        <f>$B$261</f>
        <v>Middle East</v>
      </c>
      <c r="D286" t="s">
        <v>838</v>
      </c>
      <c r="E286" s="228" t="s">
        <v>905</v>
      </c>
      <c r="F286" s="450" t="s">
        <v>205</v>
      </c>
      <c r="G286" s="488">
        <f t="shared" ref="G286:M286" si="124">G289</f>
        <v>1022.9620552364776</v>
      </c>
      <c r="H286" s="488">
        <f t="shared" si="124"/>
        <v>776.44596651445988</v>
      </c>
      <c r="I286" s="488">
        <f t="shared" si="124"/>
        <v>545.50106659752987</v>
      </c>
      <c r="J286" s="488">
        <f t="shared" si="124"/>
        <v>477.56301755776087</v>
      </c>
      <c r="K286" s="488">
        <f t="shared" si="124"/>
        <v>413.61197282986342</v>
      </c>
      <c r="L286" s="488">
        <f t="shared" si="124"/>
        <v>353.45542668176478</v>
      </c>
      <c r="M286" s="488">
        <f t="shared" si="124"/>
        <v>296.90935227464911</v>
      </c>
      <c r="O286" s="95"/>
    </row>
    <row r="287" spans="2:15" ht="15" hidden="1" outlineLevel="3" x14ac:dyDescent="0.25">
      <c r="B287" s="3" t="str">
        <f t="shared" si="122"/>
        <v>Middle EastResultsOpex (PEM)USD/ton</v>
      </c>
      <c r="C287" t="str">
        <f>$B$261</f>
        <v>Middle East</v>
      </c>
      <c r="D287" t="s">
        <v>838</v>
      </c>
      <c r="E287" s="228" t="s">
        <v>906</v>
      </c>
      <c r="F287" s="450" t="s">
        <v>205</v>
      </c>
      <c r="G287" s="488">
        <f>SUM(G295,G299,G303)</f>
        <v>3958.3500650370515</v>
      </c>
      <c r="H287" s="488">
        <f t="shared" ref="H287:M287" si="125">SUM(H295,H299,H303)</f>
        <v>3018.9400488353112</v>
      </c>
      <c r="I287" s="488">
        <f t="shared" si="125"/>
        <v>2329.1582325675708</v>
      </c>
      <c r="J287" s="488">
        <f t="shared" si="125"/>
        <v>1950.2347040988639</v>
      </c>
      <c r="K287" s="488">
        <f t="shared" si="125"/>
        <v>1707.7357384962074</v>
      </c>
      <c r="L287" s="488">
        <f t="shared" si="125"/>
        <v>1451.6798869500271</v>
      </c>
      <c r="M287" s="488">
        <f t="shared" si="125"/>
        <v>1286.1701168471013</v>
      </c>
      <c r="O287" s="95"/>
    </row>
    <row r="288" spans="2:15" hidden="1" outlineLevel="3" x14ac:dyDescent="0.2">
      <c r="B288" s="12" t="str">
        <f t="shared" si="122"/>
        <v/>
      </c>
    </row>
    <row r="289" spans="2:15" ht="15" hidden="1" outlineLevel="3" x14ac:dyDescent="0.25">
      <c r="B289" s="3" t="str">
        <f t="shared" si="122"/>
        <v>Middle EastCapexCost per ton H2USD/ ton H2</v>
      </c>
      <c r="C289" t="str">
        <f>$B$261</f>
        <v>Middle East</v>
      </c>
      <c r="D289" t="s">
        <v>218</v>
      </c>
      <c r="E289" t="s">
        <v>920</v>
      </c>
      <c r="F289" s="489" t="s">
        <v>859</v>
      </c>
      <c r="G289" s="490">
        <f t="shared" ref="G289:M289" si="126">G291/G290</f>
        <v>1022.9620552364776</v>
      </c>
      <c r="H289" s="490">
        <f t="shared" si="126"/>
        <v>776.44596651445988</v>
      </c>
      <c r="I289" s="490">
        <f t="shared" si="126"/>
        <v>545.50106659752987</v>
      </c>
      <c r="J289" s="490">
        <f t="shared" si="126"/>
        <v>477.56301755776087</v>
      </c>
      <c r="K289" s="490">
        <f t="shared" si="126"/>
        <v>413.61197282986342</v>
      </c>
      <c r="L289" s="490">
        <f t="shared" si="126"/>
        <v>353.45542668176478</v>
      </c>
      <c r="M289" s="490">
        <f t="shared" si="126"/>
        <v>296.90935227464911</v>
      </c>
      <c r="O289" s="118"/>
    </row>
    <row r="290" spans="2:15" hidden="1" outlineLevel="3" x14ac:dyDescent="0.2">
      <c r="B290" s="12" t="str">
        <f t="shared" si="122"/>
        <v>GlobalPlant capexAnnualisation factor#</v>
      </c>
      <c r="C290" t="s">
        <v>109</v>
      </c>
      <c r="D290" t="s">
        <v>786</v>
      </c>
      <c r="E290" t="s">
        <v>764</v>
      </c>
      <c r="F290" s="450" t="s">
        <v>787</v>
      </c>
      <c r="G290" s="491">
        <f>+INDEX('Fuel Model -  Input'!$B$3:$N$373,MATCH($B290,'Fuel Model -  Input'!$B$3:$B$373,0),MATCH(G$2,'Fuel Model -  Input'!$B$3:$N$3,0))</f>
        <v>11.32075471698113</v>
      </c>
      <c r="H290" s="491">
        <f>+INDEX('Fuel Model -  Input'!$B$3:$N$373,MATCH($B290,'Fuel Model -  Input'!$B$3:$B$373,0),MATCH(H$2,'Fuel Model -  Input'!$B$3:$N$3,0))</f>
        <v>11.32075471698113</v>
      </c>
      <c r="I290" s="491">
        <f>+INDEX('Fuel Model -  Input'!$B$3:$N$373,MATCH($B290,'Fuel Model -  Input'!$B$3:$B$373,0),MATCH(I$2,'Fuel Model -  Input'!$B$3:$N$3,0))</f>
        <v>11.32075471698113</v>
      </c>
      <c r="J290" s="491">
        <f>+INDEX('Fuel Model -  Input'!$B$3:$N$373,MATCH($B290,'Fuel Model -  Input'!$B$3:$B$373,0),MATCH(J$2,'Fuel Model -  Input'!$B$3:$N$3,0))</f>
        <v>11.32075471698113</v>
      </c>
      <c r="K290" s="491">
        <f>+INDEX('Fuel Model -  Input'!$B$3:$N$373,MATCH($B290,'Fuel Model -  Input'!$B$3:$B$373,0),MATCH(K$2,'Fuel Model -  Input'!$B$3:$N$3,0))</f>
        <v>11.32075471698113</v>
      </c>
      <c r="L290" s="491">
        <f>+INDEX('Fuel Model -  Input'!$B$3:$N$373,MATCH($B290,'Fuel Model -  Input'!$B$3:$B$373,0),MATCH(L$2,'Fuel Model -  Input'!$B$3:$N$3,0))</f>
        <v>11.32075471698113</v>
      </c>
      <c r="M290" s="491">
        <f>INDEX('Fuel Model -  Input'!$B$3:$N$373,MATCH($B290,'Fuel Model -  Input'!$B$3:$B$373,0),MATCH(M$2,'Fuel Model -  Input'!$B$3:$N$3,0))</f>
        <v>11.32075471698113</v>
      </c>
      <c r="O290" s="95"/>
    </row>
    <row r="291" spans="2:15" ht="12.75" hidden="1" outlineLevel="3" x14ac:dyDescent="0.2">
      <c r="B291" s="12" t="str">
        <f t="shared" si="122"/>
        <v>Middle EastPlant capexElectrolyser unit cost (PEM)USD/ ton H2 cap</v>
      </c>
      <c r="C291" t="str">
        <f>+C289</f>
        <v>Middle East</v>
      </c>
      <c r="D291" t="s">
        <v>786</v>
      </c>
      <c r="E291" t="s">
        <v>908</v>
      </c>
      <c r="F291" t="s">
        <v>892</v>
      </c>
      <c r="G291" s="8">
        <f>G293/(365*24*G292)*G297</f>
        <v>11580.702512111064</v>
      </c>
      <c r="H291" s="8">
        <f t="shared" ref="H291" si="127">H293/(365*24*H292)*H297</f>
        <v>8789.954337899544</v>
      </c>
      <c r="I291" s="8">
        <f t="shared" ref="I291" si="128">I293/(365*24*I292)*I297</f>
        <v>6175.483772802223</v>
      </c>
      <c r="J291" s="8">
        <f t="shared" ref="J291" si="129">J293/(365*24*J292)*J297</f>
        <v>5406.3737836727632</v>
      </c>
      <c r="K291" s="8">
        <f t="shared" ref="K291" si="130">K293/(365*24*K292)*K297</f>
        <v>4682.3996924135472</v>
      </c>
      <c r="L291" s="8">
        <f t="shared" ref="L291" si="131">L293/(365*24*L292)*L297</f>
        <v>4001.3821888501661</v>
      </c>
      <c r="M291" s="8">
        <f t="shared" ref="M291" si="132">M293/(365*24*M292)*M297</f>
        <v>3361.2379502790459</v>
      </c>
      <c r="O291" s="95"/>
    </row>
    <row r="292" spans="2:15" hidden="1" outlineLevel="3" x14ac:dyDescent="0.2">
      <c r="B292" s="12" t="str">
        <f t="shared" si="122"/>
        <v>Middle EastGeneralCapacity factor%</v>
      </c>
      <c r="C292" t="str">
        <f>$B$261</f>
        <v>Middle East</v>
      </c>
      <c r="D292" t="s">
        <v>173</v>
      </c>
      <c r="E292" t="s">
        <v>893</v>
      </c>
      <c r="F292" s="450" t="s">
        <v>178</v>
      </c>
      <c r="G292" s="467">
        <f>+INDEX('Fuel Model -  Input'!$B$3:$N$373,MATCH($B292,'Fuel Model -  Input'!$B$3:$B$373,0),MATCH(G$2,'Fuel Model -  Input'!$B$3:$N$3,0))</f>
        <v>0.9</v>
      </c>
      <c r="H292" s="467">
        <f>+INDEX('Fuel Model -  Input'!$B$3:$N$373,MATCH($B292,'Fuel Model -  Input'!$B$3:$B$373,0),MATCH(H$2,'Fuel Model -  Input'!$B$3:$N$3,0))</f>
        <v>0.9</v>
      </c>
      <c r="I292" s="467">
        <f>+INDEX('Fuel Model -  Input'!$B$3:$N$373,MATCH($B292,'Fuel Model -  Input'!$B$3:$B$373,0),MATCH(I$2,'Fuel Model -  Input'!$B$3:$N$3,0))</f>
        <v>0.9</v>
      </c>
      <c r="J292" s="467">
        <f>+INDEX('Fuel Model -  Input'!$B$3:$N$373,MATCH($B292,'Fuel Model -  Input'!$B$3:$B$373,0),MATCH(J$2,'Fuel Model -  Input'!$B$3:$N$3,0))</f>
        <v>0.9</v>
      </c>
      <c r="K292" s="467">
        <f>+INDEX('Fuel Model -  Input'!$B$3:$N$373,MATCH($B292,'Fuel Model -  Input'!$B$3:$B$373,0),MATCH(K$2,'Fuel Model -  Input'!$B$3:$N$3,0))</f>
        <v>0.9</v>
      </c>
      <c r="L292" s="467">
        <f>+INDEX('Fuel Model -  Input'!$B$3:$N$373,MATCH($B292,'Fuel Model -  Input'!$B$3:$B$373,0),MATCH(L$2,'Fuel Model -  Input'!$B$3:$N$3,0))</f>
        <v>0.9</v>
      </c>
      <c r="M292" s="467">
        <f>INDEX('Fuel Model -  Input'!$B$3:$N$373,MATCH($B292,'Fuel Model -  Input'!$B$3:$B$373,0),MATCH(M$2,'Fuel Model -  Input'!$B$3:$N$3,0))</f>
        <v>0.9</v>
      </c>
      <c r="O292" s="95"/>
    </row>
    <row r="293" spans="2:15" hidden="1" outlineLevel="3" x14ac:dyDescent="0.2">
      <c r="B293" s="12" t="str">
        <f t="shared" si="122"/>
        <v>GlobalCapexElectrolyser unit cost (PEM)USD/MW</v>
      </c>
      <c r="C293" t="s">
        <v>109</v>
      </c>
      <c r="D293" t="s">
        <v>218</v>
      </c>
      <c r="E293" t="s">
        <v>908</v>
      </c>
      <c r="F293" s="450" t="s">
        <v>279</v>
      </c>
      <c r="G293" s="491">
        <f>+INDEX('Fuel Model -  Input'!$B$3:$N$373,MATCH($B293,'Fuel Model -  Input'!$B$3:$B$373,0),MATCH(G$2,'Fuel Model -  Input'!$B$3:$N$3,0))</f>
        <v>1400000</v>
      </c>
      <c r="H293" s="491">
        <f>+INDEX('Fuel Model -  Input'!$B$3:$N$373,MATCH($B293,'Fuel Model -  Input'!$B$3:$B$373,0),MATCH(H$2,'Fuel Model -  Input'!$B$3:$N$3,0))</f>
        <v>1100000</v>
      </c>
      <c r="I293" s="491">
        <f>+INDEX('Fuel Model -  Input'!$B$3:$N$373,MATCH($B293,'Fuel Model -  Input'!$B$3:$B$373,0),MATCH(I$2,'Fuel Model -  Input'!$B$3:$N$3,0))</f>
        <v>800000</v>
      </c>
      <c r="J293" s="491">
        <f>+INDEX('Fuel Model -  Input'!$B$3:$N$373,MATCH($B293,'Fuel Model -  Input'!$B$3:$B$373,0),MATCH(J$2,'Fuel Model -  Input'!$B$3:$N$3,0))</f>
        <v>725000</v>
      </c>
      <c r="K293" s="491">
        <f>+INDEX('Fuel Model -  Input'!$B$3:$N$373,MATCH($B293,'Fuel Model -  Input'!$B$3:$B$373,0),MATCH(K$2,'Fuel Model -  Input'!$B$3:$N$3,0))</f>
        <v>650000</v>
      </c>
      <c r="L293" s="491">
        <f>+INDEX('Fuel Model -  Input'!$B$3:$N$373,MATCH($B293,'Fuel Model -  Input'!$B$3:$B$373,0),MATCH(L$2,'Fuel Model -  Input'!$B$3:$N$3,0))</f>
        <v>575000</v>
      </c>
      <c r="M293" s="491">
        <f>INDEX('Fuel Model -  Input'!$B$3:$N$373,MATCH($B293,'Fuel Model -  Input'!$B$3:$B$373,0),MATCH(M$2,'Fuel Model -  Input'!$B$3:$N$3,0))</f>
        <v>500000</v>
      </c>
      <c r="O293" s="95"/>
    </row>
    <row r="294" spans="2:15" ht="12.75" hidden="1" outlineLevel="3" x14ac:dyDescent="0.2">
      <c r="B294" s="48"/>
      <c r="F294"/>
      <c r="O294" s="95"/>
    </row>
    <row r="295" spans="2:15" ht="15" hidden="1" outlineLevel="3" x14ac:dyDescent="0.25">
      <c r="B295" s="3" t="str">
        <f>+C295&amp;D295&amp;E295&amp;F295</f>
        <v>Middle EastFeedstockTotal Electricity (PEM)USD/ ton H2</v>
      </c>
      <c r="C295" t="str">
        <f>$B$261</f>
        <v>Middle East</v>
      </c>
      <c r="D295" t="s">
        <v>777</v>
      </c>
      <c r="E295" t="s">
        <v>909</v>
      </c>
      <c r="F295" s="489" t="s">
        <v>859</v>
      </c>
      <c r="G295" s="492">
        <f t="shared" ref="G295:M295" si="133">G296*G297</f>
        <v>2733.9260056914068</v>
      </c>
      <c r="H295" s="492">
        <f t="shared" si="133"/>
        <v>2126.4446150453568</v>
      </c>
      <c r="I295" s="492">
        <f t="shared" si="133"/>
        <v>1725.0642982143493</v>
      </c>
      <c r="J295" s="492">
        <f t="shared" si="133"/>
        <v>1442.2622953226621</v>
      </c>
      <c r="K295" s="492">
        <f t="shared" si="133"/>
        <v>1284.6710793979159</v>
      </c>
      <c r="L295" s="492">
        <f t="shared" si="133"/>
        <v>1103.4596084143488</v>
      </c>
      <c r="M295" s="492">
        <f t="shared" si="133"/>
        <v>1003.7710808247778</v>
      </c>
      <c r="O295" s="95"/>
    </row>
    <row r="296" spans="2:15" hidden="1" outlineLevel="3" x14ac:dyDescent="0.2">
      <c r="B296" s="12" t="str">
        <f>+C296&amp;D296&amp;E296&amp;F296</f>
        <v>Middle EastFeedstockElectricityUSD/MWh</v>
      </c>
      <c r="C296" t="str">
        <f>$B$261</f>
        <v>Middle East</v>
      </c>
      <c r="D296" t="s">
        <v>777</v>
      </c>
      <c r="E296" t="s">
        <v>54</v>
      </c>
      <c r="F296" s="450" t="s">
        <v>196</v>
      </c>
      <c r="G296" s="491">
        <f>+INDEX('Fuel Model -  Input'!$B$3:$N$373,MATCH($B296,'Fuel Model -  Input'!$B$3:$B$373,0),MATCH(G$2,'Fuel Model -  Input'!$B$3:$N$3,0))</f>
        <v>41.921157991354328</v>
      </c>
      <c r="H296" s="491">
        <f>+INDEX('Fuel Model -  Input'!$B$3:$N$373,MATCH($B296,'Fuel Model -  Input'!$B$3:$B$373,0),MATCH(H$2,'Fuel Model -  Input'!$B$3:$N$3,0))</f>
        <v>33.753089127704079</v>
      </c>
      <c r="I296" s="491">
        <f>+INDEX('Fuel Model -  Input'!$B$3:$N$373,MATCH($B296,'Fuel Model -  Input'!$B$3:$B$373,0),MATCH(I$2,'Fuel Model -  Input'!$B$3:$N$3,0))</f>
        <v>28.34507912512213</v>
      </c>
      <c r="J296" s="491">
        <f>+INDEX('Fuel Model -  Input'!$B$3:$N$373,MATCH($B296,'Fuel Model -  Input'!$B$3:$B$373,0),MATCH(J$2,'Fuel Model -  Input'!$B$3:$N$3,0))</f>
        <v>24.531808876328746</v>
      </c>
      <c r="K296" s="491">
        <f>+INDEX('Fuel Model -  Input'!$B$3:$N$373,MATCH($B296,'Fuel Model -  Input'!$B$3:$B$373,0),MATCH(K$2,'Fuel Model -  Input'!$B$3:$N$3,0))</f>
        <v>22.619875270215999</v>
      </c>
      <c r="L296" s="491">
        <f>+INDEX('Fuel Model -  Input'!$B$3:$N$373,MATCH($B296,'Fuel Model -  Input'!$B$3:$B$373,0),MATCH(L$2,'Fuel Model -  Input'!$B$3:$N$3,0))</f>
        <v>20.112573077486601</v>
      </c>
      <c r="M296" s="491">
        <f>INDEX('Fuel Model -  Input'!$B$3:$N$373,MATCH($B296,'Fuel Model -  Input'!$B$3:$B$373,0),MATCH(M$2,'Fuel Model -  Input'!$B$3:$N$3,0))</f>
        <v>18.93907699669392</v>
      </c>
      <c r="O296" s="95"/>
    </row>
    <row r="297" spans="2:15" s="86" customFormat="1" hidden="1" outlineLevel="3" x14ac:dyDescent="0.2">
      <c r="B297" s="12" t="str">
        <f>+C297&amp;D297&amp;E297&amp;F297</f>
        <v>GlobalFeedstockSystem efficiency (PEM)kWh/kg H2</v>
      </c>
      <c r="C297" t="s">
        <v>109</v>
      </c>
      <c r="D297" t="s">
        <v>777</v>
      </c>
      <c r="E297" t="s">
        <v>910</v>
      </c>
      <c r="F297" s="450" t="s">
        <v>896</v>
      </c>
      <c r="G297" s="491">
        <f>+INDEX('Fuel Model -  Input'!$B$3:$N$373,MATCH($B297,'Fuel Model -  Input'!$B$3:$B$373,0),MATCH(G$2,'Fuel Model -  Input'!$B$3:$N$3,0))</f>
        <v>65.215899003916874</v>
      </c>
      <c r="H297" s="491">
        <f>+INDEX('Fuel Model -  Input'!$B$3:$N$373,MATCH($B297,'Fuel Model -  Input'!$B$3:$B$373,0),MATCH(H$2,'Fuel Model -  Input'!$B$3:$N$3,0))</f>
        <v>63</v>
      </c>
      <c r="I297" s="491">
        <f>+INDEX('Fuel Model -  Input'!$B$3:$N$373,MATCH($B297,'Fuel Model -  Input'!$B$3:$B$373,0),MATCH(I$2,'Fuel Model -  Input'!$B$3:$N$3,0))</f>
        <v>60.859392580965903</v>
      </c>
      <c r="J297" s="491">
        <f>+INDEX('Fuel Model -  Input'!$B$3:$N$373,MATCH($B297,'Fuel Model -  Input'!$B$3:$B$373,0),MATCH(J$2,'Fuel Model -  Input'!$B$3:$N$3,0))</f>
        <v>58.791518497208372</v>
      </c>
      <c r="K297" s="491">
        <f>+INDEX('Fuel Model -  Input'!$B$3:$N$373,MATCH($B297,'Fuel Model -  Input'!$B$3:$B$373,0),MATCH(K$2,'Fuel Model -  Input'!$B$3:$N$3,0))</f>
        <v>56.793906423059092</v>
      </c>
      <c r="L297" s="491">
        <f>+INDEX('Fuel Model -  Input'!$B$3:$N$373,MATCH($B297,'Fuel Model -  Input'!$B$3:$B$373,0),MATCH(L$2,'Fuel Model -  Input'!$B$3:$N$3,0))</f>
        <v>54.864169003295146</v>
      </c>
      <c r="M297" s="491">
        <f>+INDEX('Fuel Model -  Input'!$B$3:$N$373,MATCH($B297,'Fuel Model -  Input'!$B$3:$B$373,0),MATCH(M$2,'Fuel Model -  Input'!$B$3:$N$3,0))</f>
        <v>53</v>
      </c>
      <c r="O297" s="95"/>
    </row>
    <row r="298" spans="2:15" hidden="1" outlineLevel="3" x14ac:dyDescent="0.2">
      <c r="B298" s="12"/>
      <c r="G298" s="493"/>
      <c r="H298" s="493"/>
      <c r="I298" s="493"/>
      <c r="J298" s="493"/>
      <c r="K298" s="493"/>
      <c r="L298" s="493"/>
      <c r="M298" s="493"/>
      <c r="O298" s="118"/>
    </row>
    <row r="299" spans="2:15" ht="15" hidden="1" outlineLevel="3" x14ac:dyDescent="0.25">
      <c r="B299" t="str">
        <f t="shared" ref="B299:B301" si="134">+C299&amp;D299&amp;E299&amp;F299</f>
        <v>GlobalFeedstockCost of H2O in H2USD/ton H2</v>
      </c>
      <c r="C299" s="494" t="str">
        <f>C297</f>
        <v>Global</v>
      </c>
      <c r="D299" t="s">
        <v>777</v>
      </c>
      <c r="E299" t="s">
        <v>897</v>
      </c>
      <c r="F299" s="127" t="s">
        <v>881</v>
      </c>
      <c r="G299" s="261">
        <f t="shared" ref="G299:M299" si="135">G300*G301</f>
        <v>13.5</v>
      </c>
      <c r="H299" s="261">
        <f t="shared" si="135"/>
        <v>13.5</v>
      </c>
      <c r="I299" s="261">
        <f t="shared" si="135"/>
        <v>13.5</v>
      </c>
      <c r="J299" s="261">
        <f t="shared" si="135"/>
        <v>13.5</v>
      </c>
      <c r="K299" s="261">
        <f t="shared" si="135"/>
        <v>13.5</v>
      </c>
      <c r="L299" s="261">
        <f t="shared" si="135"/>
        <v>13.5</v>
      </c>
      <c r="M299" s="261">
        <f t="shared" si="135"/>
        <v>13.5</v>
      </c>
    </row>
    <row r="300" spans="2:15" hidden="1" outlineLevel="3" x14ac:dyDescent="0.2">
      <c r="B300" t="str">
        <f t="shared" si="134"/>
        <v>GlobalFeedstockConversion H2O:H2 (actual)ton H2O/ton H2</v>
      </c>
      <c r="C300" t="s">
        <v>109</v>
      </c>
      <c r="D300" t="s">
        <v>777</v>
      </c>
      <c r="E300" t="s">
        <v>898</v>
      </c>
      <c r="F300" s="128" t="s">
        <v>899</v>
      </c>
      <c r="G300" s="495">
        <f>INDEX('Fuel Model -  Input'!$B$3:$N$373,MATCH($B300,'Fuel Model -  Input'!$B$3:$B$373,0),MATCH(G$2,'Fuel Model -  Input'!$B$3:$N$3,0))</f>
        <v>9</v>
      </c>
      <c r="H300" s="495">
        <f>INDEX('Fuel Model -  Input'!$B$3:$N$373,MATCH($B300,'Fuel Model -  Input'!$B$3:$B$373,0),MATCH(H$2,'Fuel Model -  Input'!$B$3:$N$3,0))</f>
        <v>9</v>
      </c>
      <c r="I300" s="495">
        <f>INDEX('Fuel Model -  Input'!$B$3:$N$373,MATCH($B300,'Fuel Model -  Input'!$B$3:$B$373,0),MATCH(I$2,'Fuel Model -  Input'!$B$3:$N$3,0))</f>
        <v>9</v>
      </c>
      <c r="J300" s="495">
        <f>INDEX('Fuel Model -  Input'!$B$3:$N$373,MATCH($B300,'Fuel Model -  Input'!$B$3:$B$373,0),MATCH(J$2,'Fuel Model -  Input'!$B$3:$N$3,0))</f>
        <v>9</v>
      </c>
      <c r="K300" s="495">
        <f>INDEX('Fuel Model -  Input'!$B$3:$N$373,MATCH($B300,'Fuel Model -  Input'!$B$3:$B$373,0),MATCH(K$2,'Fuel Model -  Input'!$B$3:$N$3,0))</f>
        <v>9</v>
      </c>
      <c r="L300" s="495">
        <f>INDEX('Fuel Model -  Input'!$B$3:$N$373,MATCH($B300,'Fuel Model -  Input'!$B$3:$B$373,0),MATCH(L$2,'Fuel Model -  Input'!$B$3:$N$3,0))</f>
        <v>9</v>
      </c>
      <c r="M300" s="495">
        <f>INDEX('Fuel Model -  Input'!$B$3:$N$373,MATCH($B300,'Fuel Model -  Input'!$B$3:$B$373,0),MATCH(M$2,'Fuel Model -  Input'!$B$3:$N$3,0))</f>
        <v>9</v>
      </c>
    </row>
    <row r="301" spans="2:15" hidden="1" outlineLevel="3" x14ac:dyDescent="0.2">
      <c r="B301" t="str">
        <f t="shared" si="134"/>
        <v>GlobalFeedstockDemineralized water costUSD/ton demin H2O</v>
      </c>
      <c r="C301" s="494" t="s">
        <v>109</v>
      </c>
      <c r="D301" t="s">
        <v>777</v>
      </c>
      <c r="E301" t="s">
        <v>900</v>
      </c>
      <c r="F301" s="450" t="s">
        <v>901</v>
      </c>
      <c r="G301" s="495">
        <f>+INDEX('Fuel Model -  Input'!$B$3:$N$373,MATCH($B301,'Fuel Model -  Input'!$B$3:$B$373,0),MATCH(G$2,'Fuel Model -  Input'!$B$3:$N$3,0))</f>
        <v>1.5</v>
      </c>
      <c r="H301" s="495">
        <f>+INDEX('Fuel Model -  Input'!$B$3:$N$373,MATCH($B301,'Fuel Model -  Input'!$B$3:$B$373,0),MATCH(H$2,'Fuel Model -  Input'!$B$3:$N$3,0))</f>
        <v>1.5</v>
      </c>
      <c r="I301" s="495">
        <f>+INDEX('Fuel Model -  Input'!$B$3:$N$373,MATCH($B301,'Fuel Model -  Input'!$B$3:$B$373,0),MATCH(I$2,'Fuel Model -  Input'!$B$3:$N$3,0))</f>
        <v>1.5</v>
      </c>
      <c r="J301" s="495">
        <f>+INDEX('Fuel Model -  Input'!$B$3:$N$373,MATCH($B301,'Fuel Model -  Input'!$B$3:$B$373,0),MATCH(J$2,'Fuel Model -  Input'!$B$3:$N$3,0))</f>
        <v>1.5</v>
      </c>
      <c r="K301" s="495">
        <f>+INDEX('Fuel Model -  Input'!$B$3:$N$373,MATCH($B301,'Fuel Model -  Input'!$B$3:$B$373,0),MATCH(K$2,'Fuel Model -  Input'!$B$3:$N$3,0))</f>
        <v>1.5</v>
      </c>
      <c r="L301" s="495">
        <f>+INDEX('Fuel Model -  Input'!$B$3:$N$373,MATCH($B301,'Fuel Model -  Input'!$B$3:$B$373,0),MATCH(L$2,'Fuel Model -  Input'!$B$3:$N$3,0))</f>
        <v>1.5</v>
      </c>
      <c r="M301" s="495">
        <f>+INDEX('Fuel Model -  Input'!$B$3:$N$373,MATCH($B301,'Fuel Model -  Input'!$B$3:$B$373,0),MATCH(M$2,'Fuel Model -  Input'!$B$3:$N$3,0))</f>
        <v>1.5</v>
      </c>
    </row>
    <row r="302" spans="2:15" ht="12.75" hidden="1" outlineLevel="3" x14ac:dyDescent="0.2">
      <c r="F302"/>
      <c r="O302" s="118"/>
    </row>
    <row r="303" spans="2:15" ht="15" hidden="1" outlineLevel="3" x14ac:dyDescent="0.25">
      <c r="B303" s="496" t="str">
        <f>+C303&amp;D303&amp;E303&amp;F303</f>
        <v>Middle EastOpexPlantUSD/ ton H2</v>
      </c>
      <c r="C303" t="str">
        <f>$B$261</f>
        <v>Middle East</v>
      </c>
      <c r="D303" t="s">
        <v>219</v>
      </c>
      <c r="E303" t="s">
        <v>902</v>
      </c>
      <c r="F303" s="489" t="s">
        <v>859</v>
      </c>
      <c r="G303" s="492">
        <f t="shared" ref="G303:M303" si="136">G291*G304</f>
        <v>1210.9240593456448</v>
      </c>
      <c r="H303" s="492">
        <f t="shared" si="136"/>
        <v>878.9954337899544</v>
      </c>
      <c r="I303" s="492">
        <f t="shared" si="136"/>
        <v>590.59393435322147</v>
      </c>
      <c r="J303" s="492">
        <f t="shared" si="136"/>
        <v>494.4724087762018</v>
      </c>
      <c r="K303" s="492">
        <f t="shared" si="136"/>
        <v>409.56465909829154</v>
      </c>
      <c r="L303" s="492">
        <f t="shared" si="136"/>
        <v>334.72027853567823</v>
      </c>
      <c r="M303" s="492">
        <f t="shared" si="136"/>
        <v>268.89903602232368</v>
      </c>
      <c r="O303" s="95"/>
    </row>
    <row r="304" spans="2:15" hidden="1" outlineLevel="3" x14ac:dyDescent="0.2">
      <c r="B304" s="497" t="str">
        <f>+C304&amp;D304&amp;E304&amp;F304</f>
        <v>GlobalOpexPlant - Electrolysis - opex (PEM)Percent of Capex</v>
      </c>
      <c r="C304" t="s">
        <v>109</v>
      </c>
      <c r="D304" s="157" t="s">
        <v>219</v>
      </c>
      <c r="E304" s="498" t="s">
        <v>911</v>
      </c>
      <c r="F304" s="450" t="s">
        <v>883</v>
      </c>
      <c r="G304" s="467">
        <f>+INDEX('Fuel Model -  Input'!$B$3:$N$373,MATCH($B304,'Fuel Model -  Input'!$B$3:$B$373,0),MATCH(G$2,'Fuel Model -  Input'!$B$3:$N$3,0))</f>
        <v>0.10456395525912733</v>
      </c>
      <c r="H304" s="467">
        <f>+INDEX('Fuel Model -  Input'!$B$3:$N$373,MATCH($B304,'Fuel Model -  Input'!$B$3:$B$373,0),MATCH(H$2,'Fuel Model -  Input'!$B$3:$N$3,0))</f>
        <v>0.1</v>
      </c>
      <c r="I304" s="467">
        <f>+INDEX('Fuel Model -  Input'!$B$3:$N$373,MATCH($B304,'Fuel Model -  Input'!$B$3:$B$373,0),MATCH(I$2,'Fuel Model -  Input'!$B$3:$N$3,0))</f>
        <v>9.5635249979003703E-2</v>
      </c>
      <c r="J304" s="467">
        <f>+INDEX('Fuel Model -  Input'!$B$3:$N$373,MATCH($B304,'Fuel Model -  Input'!$B$3:$B$373,0),MATCH(J$2,'Fuel Model -  Input'!$B$3:$N$3,0))</f>
        <v>9.146101038546528E-2</v>
      </c>
      <c r="K304" s="467">
        <f>+INDEX('Fuel Model -  Input'!$B$3:$N$373,MATCH($B304,'Fuel Model -  Input'!$B$3:$B$373,0),MATCH(K$2,'Fuel Model -  Input'!$B$3:$N$3,0))</f>
        <v>8.7468965915462257E-2</v>
      </c>
      <c r="L304" s="467">
        <f>+INDEX('Fuel Model -  Input'!$B$3:$N$373,MATCH($B304,'Fuel Model -  Input'!$B$3:$B$373,0),MATCH(L$2,'Fuel Model -  Input'!$B$3:$N$3,0))</f>
        <v>8.365116420730187E-2</v>
      </c>
      <c r="M304" s="467">
        <f>INDEX('Fuel Model -  Input'!$B$3:$N$373,MATCH($B304,'Fuel Model -  Input'!$B$3:$B$373,0),MATCH(M$2,'Fuel Model -  Input'!$B$3:$N$3,0))</f>
        <v>0.08</v>
      </c>
      <c r="O304" s="95"/>
    </row>
    <row r="305" spans="2:15" hidden="1" outlineLevel="2" x14ac:dyDescent="0.2"/>
    <row r="306" spans="2:15" s="506" customFormat="1" ht="15" hidden="1" outlineLevel="2" collapsed="1" x14ac:dyDescent="0.25">
      <c r="B306" s="505" t="s">
        <v>912</v>
      </c>
      <c r="C306"/>
      <c r="F306" s="507"/>
      <c r="G306" s="508">
        <f t="shared" ref="G306:M306" si="137">G307</f>
        <v>6043.5062275256723</v>
      </c>
      <c r="H306" s="508">
        <f t="shared" si="137"/>
        <v>4651.8576364845303</v>
      </c>
      <c r="I306" s="508">
        <f t="shared" si="137"/>
        <v>3585.9892001572953</v>
      </c>
      <c r="J306" s="508">
        <f t="shared" si="137"/>
        <v>2788.687289477788</v>
      </c>
      <c r="K306" s="508">
        <f t="shared" si="137"/>
        <v>2185.045612506256</v>
      </c>
      <c r="L306" s="508">
        <f t="shared" si="137"/>
        <v>1644.5120101611406</v>
      </c>
      <c r="M306" s="508">
        <f t="shared" si="137"/>
        <v>1226.8384899810667</v>
      </c>
    </row>
    <row r="307" spans="2:15" ht="15" hidden="1" outlineLevel="3" x14ac:dyDescent="0.25">
      <c r="B307" s="3" t="str">
        <f t="shared" ref="B307:B315" si="138">+C307&amp;D307&amp;E307&amp;F307</f>
        <v>Middle EastResultsCost of e-Hydrogen (SO)USD/ton</v>
      </c>
      <c r="C307" t="str">
        <f>$B$261</f>
        <v>Middle East</v>
      </c>
      <c r="D307" t="s">
        <v>838</v>
      </c>
      <c r="E307" s="30" t="s">
        <v>865</v>
      </c>
      <c r="F307" s="450" t="s">
        <v>205</v>
      </c>
      <c r="G307" s="488">
        <f t="shared" ref="G307:M307" si="139">SUM(G308:G309)</f>
        <v>6043.5062275256723</v>
      </c>
      <c r="H307" s="488">
        <f t="shared" si="139"/>
        <v>4651.8576364845303</v>
      </c>
      <c r="I307" s="488">
        <f t="shared" si="139"/>
        <v>3585.9892001572953</v>
      </c>
      <c r="J307" s="488">
        <f t="shared" si="139"/>
        <v>2788.687289477788</v>
      </c>
      <c r="K307" s="488">
        <f t="shared" si="139"/>
        <v>2185.045612506256</v>
      </c>
      <c r="L307" s="488">
        <f t="shared" si="139"/>
        <v>1644.5120101611406</v>
      </c>
      <c r="M307" s="488">
        <f t="shared" si="139"/>
        <v>1226.8384899810667</v>
      </c>
      <c r="O307" s="95"/>
    </row>
    <row r="308" spans="2:15" ht="15" hidden="1" outlineLevel="3" x14ac:dyDescent="0.25">
      <c r="B308" s="3" t="str">
        <f t="shared" si="138"/>
        <v>Middle EastResultsCapex (SO)USD/ton</v>
      </c>
      <c r="C308" t="str">
        <f>$B$261</f>
        <v>Middle East</v>
      </c>
      <c r="D308" t="s">
        <v>838</v>
      </c>
      <c r="E308" s="228" t="s">
        <v>913</v>
      </c>
      <c r="F308" s="450" t="s">
        <v>205</v>
      </c>
      <c r="G308" s="488">
        <f t="shared" ref="G308:M308" si="140">G311</f>
        <v>1758.6412738718229</v>
      </c>
      <c r="H308" s="488">
        <f t="shared" si="140"/>
        <v>1478.9446981227807</v>
      </c>
      <c r="I308" s="488">
        <f t="shared" si="140"/>
        <v>1209.1833312371305</v>
      </c>
      <c r="J308" s="488">
        <f t="shared" si="140"/>
        <v>972.80874742053015</v>
      </c>
      <c r="K308" s="488">
        <f t="shared" si="140"/>
        <v>744.92929162816165</v>
      </c>
      <c r="L308" s="488">
        <f t="shared" si="140"/>
        <v>525.30843245521976</v>
      </c>
      <c r="M308" s="488">
        <f t="shared" si="140"/>
        <v>313.71554202604437</v>
      </c>
      <c r="O308" s="95"/>
    </row>
    <row r="309" spans="2:15" ht="15" hidden="1" outlineLevel="3" x14ac:dyDescent="0.25">
      <c r="B309" s="3" t="str">
        <f t="shared" si="138"/>
        <v>Middle EastResultsOpex (SO)USD/ton</v>
      </c>
      <c r="C309" t="str">
        <f>$B$261</f>
        <v>Middle East</v>
      </c>
      <c r="D309" t="s">
        <v>838</v>
      </c>
      <c r="E309" s="228" t="s">
        <v>914</v>
      </c>
      <c r="F309" s="450" t="s">
        <v>205</v>
      </c>
      <c r="G309" s="488">
        <f>SUM(G317,G321,G325)</f>
        <v>4284.8649536538496</v>
      </c>
      <c r="H309" s="488">
        <f t="shared" ref="H309:M309" si="141">SUM(H317,H321,H325)</f>
        <v>3172.9129383617496</v>
      </c>
      <c r="I309" s="488">
        <f t="shared" si="141"/>
        <v>2376.8058689201648</v>
      </c>
      <c r="J309" s="488">
        <f t="shared" si="141"/>
        <v>1815.8785420572581</v>
      </c>
      <c r="K309" s="488">
        <f t="shared" si="141"/>
        <v>1440.1163208780945</v>
      </c>
      <c r="L309" s="488">
        <f t="shared" si="141"/>
        <v>1119.2035777059209</v>
      </c>
      <c r="M309" s="488">
        <f t="shared" si="141"/>
        <v>913.12294795502225</v>
      </c>
      <c r="O309" s="95"/>
    </row>
    <row r="310" spans="2:15" hidden="1" outlineLevel="3" x14ac:dyDescent="0.2">
      <c r="B310" s="12" t="str">
        <f t="shared" si="138"/>
        <v/>
      </c>
    </row>
    <row r="311" spans="2:15" ht="15" hidden="1" outlineLevel="3" x14ac:dyDescent="0.25">
      <c r="B311" s="3" t="str">
        <f t="shared" si="138"/>
        <v>Middle EastCapexCost per ton H2USD/ ton H2</v>
      </c>
      <c r="C311" t="str">
        <f>$B$261</f>
        <v>Middle East</v>
      </c>
      <c r="D311" t="s">
        <v>218</v>
      </c>
      <c r="E311" t="s">
        <v>920</v>
      </c>
      <c r="F311" s="489" t="s">
        <v>859</v>
      </c>
      <c r="G311" s="490">
        <f t="shared" ref="G311:M311" si="142">G313/G312</f>
        <v>1758.6412738718229</v>
      </c>
      <c r="H311" s="490">
        <f t="shared" si="142"/>
        <v>1478.9446981227807</v>
      </c>
      <c r="I311" s="490">
        <f t="shared" si="142"/>
        <v>1209.1833312371305</v>
      </c>
      <c r="J311" s="490">
        <f t="shared" si="142"/>
        <v>972.80874742053015</v>
      </c>
      <c r="K311" s="490">
        <f t="shared" si="142"/>
        <v>744.92929162816165</v>
      </c>
      <c r="L311" s="490">
        <f t="shared" si="142"/>
        <v>525.30843245521976</v>
      </c>
      <c r="M311" s="490">
        <f t="shared" si="142"/>
        <v>313.71554202604437</v>
      </c>
      <c r="O311" s="118"/>
    </row>
    <row r="312" spans="2:15" hidden="1" outlineLevel="3" x14ac:dyDescent="0.2">
      <c r="B312" s="12" t="str">
        <f t="shared" si="138"/>
        <v>GlobalPlant capexAnnualisation factor#</v>
      </c>
      <c r="C312" t="s">
        <v>109</v>
      </c>
      <c r="D312" t="s">
        <v>786</v>
      </c>
      <c r="E312" t="s">
        <v>764</v>
      </c>
      <c r="F312" s="450" t="s">
        <v>787</v>
      </c>
      <c r="G312" s="491">
        <f>+INDEX('Fuel Model -  Input'!$B$3:$N$373,MATCH($B312,'Fuel Model -  Input'!$B$3:$B$373,0),MATCH(G$2,'Fuel Model -  Input'!$B$3:$N$3,0))</f>
        <v>11.32075471698113</v>
      </c>
      <c r="H312" s="491">
        <f>+INDEX('Fuel Model -  Input'!$B$3:$N$373,MATCH($B312,'Fuel Model -  Input'!$B$3:$B$373,0),MATCH(H$2,'Fuel Model -  Input'!$B$3:$N$3,0))</f>
        <v>11.32075471698113</v>
      </c>
      <c r="I312" s="491">
        <f>+INDEX('Fuel Model -  Input'!$B$3:$N$373,MATCH($B312,'Fuel Model -  Input'!$B$3:$B$373,0),MATCH(I$2,'Fuel Model -  Input'!$B$3:$N$3,0))</f>
        <v>11.32075471698113</v>
      </c>
      <c r="J312" s="491">
        <f>+INDEX('Fuel Model -  Input'!$B$3:$N$373,MATCH($B312,'Fuel Model -  Input'!$B$3:$B$373,0),MATCH(J$2,'Fuel Model -  Input'!$B$3:$N$3,0))</f>
        <v>11.32075471698113</v>
      </c>
      <c r="K312" s="491">
        <f>+INDEX('Fuel Model -  Input'!$B$3:$N$373,MATCH($B312,'Fuel Model -  Input'!$B$3:$B$373,0),MATCH(K$2,'Fuel Model -  Input'!$B$3:$N$3,0))</f>
        <v>11.32075471698113</v>
      </c>
      <c r="L312" s="491">
        <f>+INDEX('Fuel Model -  Input'!$B$3:$N$373,MATCH($B312,'Fuel Model -  Input'!$B$3:$B$373,0),MATCH(L$2,'Fuel Model -  Input'!$B$3:$N$3,0))</f>
        <v>11.32075471698113</v>
      </c>
      <c r="M312" s="491">
        <f>INDEX('Fuel Model -  Input'!$B$3:$N$373,MATCH($B312,'Fuel Model -  Input'!$B$3:$B$373,0),MATCH(M$2,'Fuel Model -  Input'!$B$3:$N$3,0))</f>
        <v>11.32075471698113</v>
      </c>
      <c r="O312" s="95"/>
    </row>
    <row r="313" spans="2:15" ht="12.75" hidden="1" outlineLevel="3" x14ac:dyDescent="0.2">
      <c r="B313" s="12" t="str">
        <f t="shared" si="138"/>
        <v>Middle EastPlant capexElectrolyser unit cost (SO)USD/ ton H2 cap</v>
      </c>
      <c r="C313" t="str">
        <f>+C311</f>
        <v>Middle East</v>
      </c>
      <c r="D313" t="s">
        <v>786</v>
      </c>
      <c r="E313" t="s">
        <v>916</v>
      </c>
      <c r="F313" t="s">
        <v>892</v>
      </c>
      <c r="G313" s="8">
        <f>G315/(365*24*G314)*G319</f>
        <v>19909.146496662142</v>
      </c>
      <c r="H313" s="8">
        <f t="shared" ref="H313" si="143">H315/(365*24*H314)*H319</f>
        <v>16742.770167427701</v>
      </c>
      <c r="I313" s="8">
        <f t="shared" ref="I313" si="144">I315/(365*24*I314)*I319</f>
        <v>13688.867900797701</v>
      </c>
      <c r="J313" s="8">
        <f t="shared" ref="J313" si="145">J315/(365*24*J314)*J319</f>
        <v>11012.929216081471</v>
      </c>
      <c r="K313" s="8">
        <f t="shared" ref="K313" si="146">K315/(365*24*K314)*K319</f>
        <v>8433.1617920169228</v>
      </c>
      <c r="L313" s="8">
        <f t="shared" ref="L313" si="147">L315/(365*24*L314)*L319</f>
        <v>5946.8879145873925</v>
      </c>
      <c r="M313" s="8">
        <f t="shared" ref="M313" si="148">M315/(365*24*M314)*M319</f>
        <v>3551.4967021816337</v>
      </c>
      <c r="O313" s="95"/>
    </row>
    <row r="314" spans="2:15" hidden="1" outlineLevel="3" x14ac:dyDescent="0.2">
      <c r="B314" s="12" t="str">
        <f t="shared" si="138"/>
        <v>Middle EastGeneralCapacity factor%</v>
      </c>
      <c r="C314" t="str">
        <f>$B$261</f>
        <v>Middle East</v>
      </c>
      <c r="D314" t="s">
        <v>173</v>
      </c>
      <c r="E314" t="s">
        <v>893</v>
      </c>
      <c r="F314" s="450" t="s">
        <v>178</v>
      </c>
      <c r="G314" s="467">
        <f>+INDEX('Fuel Model -  Input'!$B$3:$N$373,MATCH($B314,'Fuel Model -  Input'!$B$3:$B$373,0),MATCH(G$2,'Fuel Model -  Input'!$B$3:$N$3,0))</f>
        <v>0.9</v>
      </c>
      <c r="H314" s="467">
        <f>+INDEX('Fuel Model -  Input'!$B$3:$N$373,MATCH($B314,'Fuel Model -  Input'!$B$3:$B$373,0),MATCH(H$2,'Fuel Model -  Input'!$B$3:$N$3,0))</f>
        <v>0.9</v>
      </c>
      <c r="I314" s="467">
        <f>+INDEX('Fuel Model -  Input'!$B$3:$N$373,MATCH($B314,'Fuel Model -  Input'!$B$3:$B$373,0),MATCH(I$2,'Fuel Model -  Input'!$B$3:$N$3,0))</f>
        <v>0.9</v>
      </c>
      <c r="J314" s="467">
        <f>+INDEX('Fuel Model -  Input'!$B$3:$N$373,MATCH($B314,'Fuel Model -  Input'!$B$3:$B$373,0),MATCH(J$2,'Fuel Model -  Input'!$B$3:$N$3,0))</f>
        <v>0.9</v>
      </c>
      <c r="K314" s="467">
        <f>+INDEX('Fuel Model -  Input'!$B$3:$N$373,MATCH($B314,'Fuel Model -  Input'!$B$3:$B$373,0),MATCH(K$2,'Fuel Model -  Input'!$B$3:$N$3,0))</f>
        <v>0.9</v>
      </c>
      <c r="L314" s="467">
        <f>+INDEX('Fuel Model -  Input'!$B$3:$N$373,MATCH($B314,'Fuel Model -  Input'!$B$3:$B$373,0),MATCH(L$2,'Fuel Model -  Input'!$B$3:$N$3,0))</f>
        <v>0.9</v>
      </c>
      <c r="M314" s="467">
        <f>INDEX('Fuel Model -  Input'!$B$3:$N$373,MATCH($B314,'Fuel Model -  Input'!$B$3:$B$373,0),MATCH(M$2,'Fuel Model -  Input'!$B$3:$N$3,0))</f>
        <v>0.9</v>
      </c>
      <c r="O314" s="95"/>
    </row>
    <row r="315" spans="2:15" hidden="1" outlineLevel="3" x14ac:dyDescent="0.2">
      <c r="B315" s="12" t="str">
        <f t="shared" si="138"/>
        <v>GlobalCapexElectrolyser unit cost (SO)USD/MW</v>
      </c>
      <c r="C315" t="s">
        <v>109</v>
      </c>
      <c r="D315" t="s">
        <v>218</v>
      </c>
      <c r="E315" t="s">
        <v>916</v>
      </c>
      <c r="F315" s="450" t="s">
        <v>279</v>
      </c>
      <c r="G315" s="491">
        <f>+INDEX('Fuel Model -  Input'!$B$3:$N$373,MATCH($B315,'Fuel Model -  Input'!$B$3:$B$373,0),MATCH(G$2,'Fuel Model -  Input'!$B$3:$N$3,0))</f>
        <v>3500000</v>
      </c>
      <c r="H315" s="491">
        <f>+INDEX('Fuel Model -  Input'!$B$3:$N$373,MATCH($B315,'Fuel Model -  Input'!$B$3:$B$373,0),MATCH(H$2,'Fuel Model -  Input'!$B$3:$N$3,0))</f>
        <v>3000000</v>
      </c>
      <c r="I315" s="491">
        <f>+INDEX('Fuel Model -  Input'!$B$3:$N$373,MATCH($B315,'Fuel Model -  Input'!$B$3:$B$373,0),MATCH(I$2,'Fuel Model -  Input'!$B$3:$N$3,0))</f>
        <v>2500000</v>
      </c>
      <c r="J315" s="491">
        <f>+INDEX('Fuel Model -  Input'!$B$3:$N$373,MATCH($B315,'Fuel Model -  Input'!$B$3:$B$373,0),MATCH(J$2,'Fuel Model -  Input'!$B$3:$N$3,0))</f>
        <v>2050000</v>
      </c>
      <c r="K315" s="491">
        <f>+INDEX('Fuel Model -  Input'!$B$3:$N$373,MATCH($B315,'Fuel Model -  Input'!$B$3:$B$373,0),MATCH(K$2,'Fuel Model -  Input'!$B$3:$N$3,0))</f>
        <v>1600000</v>
      </c>
      <c r="L315" s="491">
        <f>+INDEX('Fuel Model -  Input'!$B$3:$N$373,MATCH($B315,'Fuel Model -  Input'!$B$3:$B$373,0),MATCH(L$2,'Fuel Model -  Input'!$B$3:$N$3,0))</f>
        <v>1150000</v>
      </c>
      <c r="M315" s="491">
        <f>INDEX('Fuel Model -  Input'!$B$3:$N$373,MATCH($B315,'Fuel Model -  Input'!$B$3:$B$373,0),MATCH(M$2,'Fuel Model -  Input'!$B$3:$N$3,0))</f>
        <v>700000</v>
      </c>
      <c r="O315" s="95"/>
    </row>
    <row r="316" spans="2:15" ht="12.75" hidden="1" outlineLevel="3" x14ac:dyDescent="0.2">
      <c r="B316" s="48"/>
      <c r="F316"/>
      <c r="O316" s="95"/>
    </row>
    <row r="317" spans="2:15" ht="15" hidden="1" outlineLevel="3" x14ac:dyDescent="0.25">
      <c r="B317" s="3" t="str">
        <f>+C317&amp;D317&amp;E317&amp;F317</f>
        <v>Middle EastFeedstockTotal Electricity (SO)USD/ ton H2</v>
      </c>
      <c r="C317" t="str">
        <f>B261</f>
        <v>Middle East</v>
      </c>
      <c r="D317" t="s">
        <v>777</v>
      </c>
      <c r="E317" t="s">
        <v>917</v>
      </c>
      <c r="F317" s="489" t="s">
        <v>859</v>
      </c>
      <c r="G317" s="492">
        <f t="shared" ref="G317:M317" si="149">G318*G319</f>
        <v>1880.0287219681786</v>
      </c>
      <c r="H317" s="492">
        <f t="shared" si="149"/>
        <v>1485.1359216189794</v>
      </c>
      <c r="I317" s="492">
        <f t="shared" si="149"/>
        <v>1223.6347812691974</v>
      </c>
      <c r="J317" s="492">
        <f t="shared" si="149"/>
        <v>1039.0230326413059</v>
      </c>
      <c r="K317" s="492">
        <f t="shared" si="149"/>
        <v>939.95545192436953</v>
      </c>
      <c r="L317" s="492">
        <f t="shared" si="149"/>
        <v>819.98548249152907</v>
      </c>
      <c r="M317" s="492">
        <f t="shared" si="149"/>
        <v>757.56307986775687</v>
      </c>
      <c r="O317" s="95"/>
    </row>
    <row r="318" spans="2:15" hidden="1" outlineLevel="3" x14ac:dyDescent="0.2">
      <c r="B318" s="12" t="str">
        <f>+C318&amp;D318&amp;E318&amp;F318</f>
        <v>Middle EastFeedstockElectricityUSD/MWh</v>
      </c>
      <c r="C318" t="str">
        <f>B261</f>
        <v>Middle East</v>
      </c>
      <c r="D318" t="s">
        <v>777</v>
      </c>
      <c r="E318" t="s">
        <v>54</v>
      </c>
      <c r="F318" s="450" t="s">
        <v>196</v>
      </c>
      <c r="G318" s="491">
        <f>+INDEX('Fuel Model -  Input'!$B$3:$N$373,MATCH($B318,'Fuel Model -  Input'!$B$3:$B$373,0),MATCH(G$2,'Fuel Model -  Input'!$B$3:$N$3,0))</f>
        <v>41.921157991354328</v>
      </c>
      <c r="H318" s="491">
        <f>+INDEX('Fuel Model -  Input'!$B$3:$N$373,MATCH($B318,'Fuel Model -  Input'!$B$3:$B$373,0),MATCH(H$2,'Fuel Model -  Input'!$B$3:$N$3,0))</f>
        <v>33.753089127704079</v>
      </c>
      <c r="I318" s="491">
        <f>+INDEX('Fuel Model -  Input'!$B$3:$N$373,MATCH($B318,'Fuel Model -  Input'!$B$3:$B$373,0),MATCH(I$2,'Fuel Model -  Input'!$B$3:$N$3,0))</f>
        <v>28.34507912512213</v>
      </c>
      <c r="J318" s="491">
        <f>+INDEX('Fuel Model -  Input'!$B$3:$N$373,MATCH($B318,'Fuel Model -  Input'!$B$3:$B$373,0),MATCH(J$2,'Fuel Model -  Input'!$B$3:$N$3,0))</f>
        <v>24.531808876328746</v>
      </c>
      <c r="K318" s="491">
        <f>+INDEX('Fuel Model -  Input'!$B$3:$N$373,MATCH($B318,'Fuel Model -  Input'!$B$3:$B$373,0),MATCH(K$2,'Fuel Model -  Input'!$B$3:$N$3,0))</f>
        <v>22.619875270215999</v>
      </c>
      <c r="L318" s="491">
        <f>+INDEX('Fuel Model -  Input'!$B$3:$N$373,MATCH($B318,'Fuel Model -  Input'!$B$3:$B$373,0),MATCH(L$2,'Fuel Model -  Input'!$B$3:$N$3,0))</f>
        <v>20.112573077486601</v>
      </c>
      <c r="M318" s="491">
        <f>INDEX('Fuel Model -  Input'!$B$3:$N$373,MATCH($B318,'Fuel Model -  Input'!$B$3:$B$373,0),MATCH(M$2,'Fuel Model -  Input'!$B$3:$N$3,0))</f>
        <v>18.93907699669392</v>
      </c>
      <c r="O318" s="95"/>
    </row>
    <row r="319" spans="2:15" s="86" customFormat="1" hidden="1" outlineLevel="3" x14ac:dyDescent="0.2">
      <c r="B319" s="12" t="str">
        <f>+C319&amp;D319&amp;E319&amp;F319</f>
        <v>GlobalFeedstockSystem efficiency (SO)kWh/kg H2</v>
      </c>
      <c r="C319" t="s">
        <v>109</v>
      </c>
      <c r="D319" t="s">
        <v>777</v>
      </c>
      <c r="E319" t="s">
        <v>918</v>
      </c>
      <c r="F319" s="450" t="s">
        <v>896</v>
      </c>
      <c r="G319" s="491">
        <f>+INDEX('Fuel Model -  Input'!$B$3:$N$373,MATCH($B319,'Fuel Model -  Input'!$B$3:$B$373,0),MATCH(G$2,'Fuel Model -  Input'!$B$3:$N$3,0))</f>
        <v>44.846774565624095</v>
      </c>
      <c r="H319" s="491">
        <f>+INDEX('Fuel Model -  Input'!$B$3:$N$373,MATCH($B319,'Fuel Model -  Input'!$B$3:$B$373,0),MATCH(H$2,'Fuel Model -  Input'!$B$3:$N$3,0))</f>
        <v>44</v>
      </c>
      <c r="I319" s="491">
        <f>+INDEX('Fuel Model -  Input'!$B$3:$N$373,MATCH($B319,'Fuel Model -  Input'!$B$3:$B$373,0),MATCH(I$2,'Fuel Model -  Input'!$B$3:$N$3,0))</f>
        <v>43.169213811955629</v>
      </c>
      <c r="J319" s="491">
        <f>+INDEX('Fuel Model -  Input'!$B$3:$N$373,MATCH($B319,'Fuel Model -  Input'!$B$3:$B$373,0),MATCH(J$2,'Fuel Model -  Input'!$B$3:$N$3,0))</f>
        <v>42.354114116871379</v>
      </c>
      <c r="K319" s="491">
        <f>+INDEX('Fuel Model -  Input'!$B$3:$N$373,MATCH($B319,'Fuel Model -  Input'!$B$3:$B$373,0),MATCH(K$2,'Fuel Model -  Input'!$B$3:$N$3,0))</f>
        <v>41.554404730163384</v>
      </c>
      <c r="L319" s="491">
        <f>+INDEX('Fuel Model -  Input'!$B$3:$N$373,MATCH($B319,'Fuel Model -  Input'!$B$3:$B$373,0),MATCH(L$2,'Fuel Model -  Input'!$B$3:$N$3,0))</f>
        <v>40.769795059658264</v>
      </c>
      <c r="M319" s="491">
        <f>+INDEX('Fuel Model -  Input'!$B$3:$N$373,MATCH($B319,'Fuel Model -  Input'!$B$3:$B$373,0),MATCH(M$2,'Fuel Model -  Input'!$B$3:$N$3,0))</f>
        <v>40</v>
      </c>
      <c r="O319" s="95"/>
    </row>
    <row r="320" spans="2:15" hidden="1" outlineLevel="3" x14ac:dyDescent="0.2">
      <c r="B320" s="12"/>
      <c r="G320" s="493"/>
      <c r="H320" s="493"/>
      <c r="I320" s="493"/>
      <c r="J320" s="493"/>
      <c r="K320" s="493"/>
      <c r="L320" s="493"/>
      <c r="M320" s="493"/>
      <c r="O320" s="118"/>
    </row>
    <row r="321" spans="2:15" ht="15" hidden="1" outlineLevel="3" x14ac:dyDescent="0.25">
      <c r="B321" t="str">
        <f t="shared" ref="B321:B323" si="150">+C321&amp;D321&amp;E321&amp;F321</f>
        <v>GlobalFeedstockCost of H2O in H2USD/ton H2</v>
      </c>
      <c r="C321" s="494" t="str">
        <f>C319</f>
        <v>Global</v>
      </c>
      <c r="D321" t="s">
        <v>777</v>
      </c>
      <c r="E321" t="s">
        <v>897</v>
      </c>
      <c r="F321" s="127" t="s">
        <v>881</v>
      </c>
      <c r="G321" s="261">
        <f t="shared" ref="G321:M321" si="151">G322*G323</f>
        <v>13.5</v>
      </c>
      <c r="H321" s="261">
        <f t="shared" si="151"/>
        <v>13.5</v>
      </c>
      <c r="I321" s="261">
        <f t="shared" si="151"/>
        <v>13.5</v>
      </c>
      <c r="J321" s="261">
        <f t="shared" si="151"/>
        <v>13.5</v>
      </c>
      <c r="K321" s="261">
        <f t="shared" si="151"/>
        <v>13.5</v>
      </c>
      <c r="L321" s="261">
        <f t="shared" si="151"/>
        <v>13.5</v>
      </c>
      <c r="M321" s="261">
        <f t="shared" si="151"/>
        <v>13.5</v>
      </c>
    </row>
    <row r="322" spans="2:15" hidden="1" outlineLevel="3" x14ac:dyDescent="0.2">
      <c r="B322" t="str">
        <f t="shared" si="150"/>
        <v>GlobalFeedstockConversion H2O:H2 (actual)ton H2O/ton H2</v>
      </c>
      <c r="C322" t="s">
        <v>109</v>
      </c>
      <c r="D322" t="s">
        <v>777</v>
      </c>
      <c r="E322" t="s">
        <v>898</v>
      </c>
      <c r="F322" s="128" t="s">
        <v>899</v>
      </c>
      <c r="G322" s="495">
        <f>INDEX('Fuel Model -  Input'!$B$3:$N$373,MATCH($B322,'Fuel Model -  Input'!$B$3:$B$373,0),MATCH(G$2,'Fuel Model -  Input'!$B$3:$N$3,0))</f>
        <v>9</v>
      </c>
      <c r="H322" s="495">
        <f>INDEX('Fuel Model -  Input'!$B$3:$N$373,MATCH($B322,'Fuel Model -  Input'!$B$3:$B$373,0),MATCH(H$2,'Fuel Model -  Input'!$B$3:$N$3,0))</f>
        <v>9</v>
      </c>
      <c r="I322" s="495">
        <f>INDEX('Fuel Model -  Input'!$B$3:$N$373,MATCH($B322,'Fuel Model -  Input'!$B$3:$B$373,0),MATCH(I$2,'Fuel Model -  Input'!$B$3:$N$3,0))</f>
        <v>9</v>
      </c>
      <c r="J322" s="495">
        <f>INDEX('Fuel Model -  Input'!$B$3:$N$373,MATCH($B322,'Fuel Model -  Input'!$B$3:$B$373,0),MATCH(J$2,'Fuel Model -  Input'!$B$3:$N$3,0))</f>
        <v>9</v>
      </c>
      <c r="K322" s="495">
        <f>INDEX('Fuel Model -  Input'!$B$3:$N$373,MATCH($B322,'Fuel Model -  Input'!$B$3:$B$373,0),MATCH(K$2,'Fuel Model -  Input'!$B$3:$N$3,0))</f>
        <v>9</v>
      </c>
      <c r="L322" s="495">
        <f>INDEX('Fuel Model -  Input'!$B$3:$N$373,MATCH($B322,'Fuel Model -  Input'!$B$3:$B$373,0),MATCH(L$2,'Fuel Model -  Input'!$B$3:$N$3,0))</f>
        <v>9</v>
      </c>
      <c r="M322" s="495">
        <f>INDEX('Fuel Model -  Input'!$B$3:$N$373,MATCH($B322,'Fuel Model -  Input'!$B$3:$B$373,0),MATCH(M$2,'Fuel Model -  Input'!$B$3:$N$3,0))</f>
        <v>9</v>
      </c>
    </row>
    <row r="323" spans="2:15" hidden="1" outlineLevel="3" x14ac:dyDescent="0.2">
      <c r="B323" t="str">
        <f t="shared" si="150"/>
        <v>GlobalFeedstockDemineralized water costUSD/ton demin H2O</v>
      </c>
      <c r="C323" s="494" t="s">
        <v>109</v>
      </c>
      <c r="D323" t="s">
        <v>777</v>
      </c>
      <c r="E323" t="s">
        <v>900</v>
      </c>
      <c r="F323" s="450" t="s">
        <v>901</v>
      </c>
      <c r="G323" s="495">
        <f>+INDEX('Fuel Model -  Input'!$B$3:$N$373,MATCH($B323,'Fuel Model -  Input'!$B$3:$B$373,0),MATCH(G$2,'Fuel Model -  Input'!$B$3:$N$3,0))</f>
        <v>1.5</v>
      </c>
      <c r="H323" s="495">
        <f>+INDEX('Fuel Model -  Input'!$B$3:$N$373,MATCH($B323,'Fuel Model -  Input'!$B$3:$B$373,0),MATCH(H$2,'Fuel Model -  Input'!$B$3:$N$3,0))</f>
        <v>1.5</v>
      </c>
      <c r="I323" s="495">
        <f>+INDEX('Fuel Model -  Input'!$B$3:$N$373,MATCH($B323,'Fuel Model -  Input'!$B$3:$B$373,0),MATCH(I$2,'Fuel Model -  Input'!$B$3:$N$3,0))</f>
        <v>1.5</v>
      </c>
      <c r="J323" s="495">
        <f>+INDEX('Fuel Model -  Input'!$B$3:$N$373,MATCH($B323,'Fuel Model -  Input'!$B$3:$B$373,0),MATCH(J$2,'Fuel Model -  Input'!$B$3:$N$3,0))</f>
        <v>1.5</v>
      </c>
      <c r="K323" s="495">
        <f>+INDEX('Fuel Model -  Input'!$B$3:$N$373,MATCH($B323,'Fuel Model -  Input'!$B$3:$B$373,0),MATCH(K$2,'Fuel Model -  Input'!$B$3:$N$3,0))</f>
        <v>1.5</v>
      </c>
      <c r="L323" s="495">
        <f>+INDEX('Fuel Model -  Input'!$B$3:$N$373,MATCH($B323,'Fuel Model -  Input'!$B$3:$B$373,0),MATCH(L$2,'Fuel Model -  Input'!$B$3:$N$3,0))</f>
        <v>1.5</v>
      </c>
      <c r="M323" s="495">
        <f>+INDEX('Fuel Model -  Input'!$B$3:$N$373,MATCH($B323,'Fuel Model -  Input'!$B$3:$B$373,0),MATCH(M$2,'Fuel Model -  Input'!$B$3:$N$3,0))</f>
        <v>1.5</v>
      </c>
    </row>
    <row r="324" spans="2:15" ht="12.75" hidden="1" outlineLevel="3" x14ac:dyDescent="0.2">
      <c r="F324"/>
      <c r="O324" s="118"/>
    </row>
    <row r="325" spans="2:15" ht="15" hidden="1" outlineLevel="3" x14ac:dyDescent="0.25">
      <c r="B325" s="496" t="str">
        <f>+C325&amp;D325&amp;E325&amp;F325</f>
        <v>Middle EastOpexPlantUSD/ ton H2</v>
      </c>
      <c r="C325" t="str">
        <f>$B$261</f>
        <v>Middle East</v>
      </c>
      <c r="D325" t="s">
        <v>219</v>
      </c>
      <c r="E325" t="s">
        <v>902</v>
      </c>
      <c r="F325" s="489" t="s">
        <v>859</v>
      </c>
      <c r="G325" s="492">
        <f t="shared" ref="G325:M325" si="152">G313*G326</f>
        <v>2391.336231685671</v>
      </c>
      <c r="H325" s="492">
        <f t="shared" si="152"/>
        <v>1674.2770167427702</v>
      </c>
      <c r="I325" s="492">
        <f t="shared" si="152"/>
        <v>1139.6710876509674</v>
      </c>
      <c r="J325" s="492">
        <f t="shared" si="152"/>
        <v>763.35550941595204</v>
      </c>
      <c r="K325" s="492">
        <f t="shared" si="152"/>
        <v>486.6608689537249</v>
      </c>
      <c r="L325" s="492">
        <f t="shared" si="152"/>
        <v>285.71809521439178</v>
      </c>
      <c r="M325" s="492">
        <f t="shared" si="152"/>
        <v>142.05986808726536</v>
      </c>
      <c r="O325" s="95"/>
    </row>
    <row r="326" spans="2:15" hidden="1" outlineLevel="3" x14ac:dyDescent="0.2">
      <c r="B326" s="497" t="str">
        <f>+C326&amp;D326&amp;E326&amp;F326</f>
        <v>GlobalOpexPlant - Electrolysis - opex (SO)Percent of Capex</v>
      </c>
      <c r="C326" t="s">
        <v>109</v>
      </c>
      <c r="D326" s="157" t="s">
        <v>219</v>
      </c>
      <c r="E326" s="498" t="s">
        <v>919</v>
      </c>
      <c r="F326" s="450" t="s">
        <v>883</v>
      </c>
      <c r="G326" s="467">
        <f>+INDEX('Fuel Model -  Input'!$B$3:$N$373,MATCH($B326,'Fuel Model -  Input'!$B$3:$B$373,0),MATCH(G$2,'Fuel Model -  Input'!$B$3:$N$3,0))</f>
        <v>0.12011244339814313</v>
      </c>
      <c r="H326" s="467">
        <f>+INDEX('Fuel Model -  Input'!$B$3:$N$373,MATCH($B326,'Fuel Model -  Input'!$B$3:$B$373,0),MATCH(H$2,'Fuel Model -  Input'!$B$3:$N$3,0))</f>
        <v>0.1</v>
      </c>
      <c r="I326" s="467">
        <f>+INDEX('Fuel Model -  Input'!$B$3:$N$373,MATCH($B326,'Fuel Model -  Input'!$B$3:$B$373,0),MATCH(I$2,'Fuel Model -  Input'!$B$3:$N$3,0))</f>
        <v>8.3255320740187322E-2</v>
      </c>
      <c r="J326" s="467">
        <f>+INDEX('Fuel Model -  Input'!$B$3:$N$373,MATCH($B326,'Fuel Model -  Input'!$B$3:$B$373,0),MATCH(J$2,'Fuel Model -  Input'!$B$3:$N$3,0))</f>
        <v>6.9314484315514638E-2</v>
      </c>
      <c r="K326" s="467">
        <f>+INDEX('Fuel Model -  Input'!$B$3:$N$373,MATCH($B326,'Fuel Model -  Input'!$B$3:$B$373,0),MATCH(K$2,'Fuel Model -  Input'!$B$3:$N$3,0))</f>
        <v>5.7707996236288542E-2</v>
      </c>
      <c r="L326" s="467">
        <f>+INDEX('Fuel Model -  Input'!$B$3:$N$373,MATCH($B326,'Fuel Model -  Input'!$B$3:$B$373,0),MATCH(L$2,'Fuel Model -  Input'!$B$3:$N$3,0))</f>
        <v>4.8044977359257245E-2</v>
      </c>
      <c r="M326" s="467">
        <f>INDEX('Fuel Model -  Input'!$B$3:$N$373,MATCH($B326,'Fuel Model -  Input'!$B$3:$B$373,0),MATCH(M$2,'Fuel Model -  Input'!$B$3:$N$3,0))</f>
        <v>0.04</v>
      </c>
      <c r="O326" s="95"/>
    </row>
    <row r="327" spans="2:15" hidden="1" outlineLevel="1" x14ac:dyDescent="0.2"/>
    <row r="328" spans="2:15" s="30" customFormat="1" ht="15" hidden="1" outlineLevel="1" collapsed="1" x14ac:dyDescent="0.25">
      <c r="B328" s="30" t="s">
        <v>198</v>
      </c>
      <c r="C328" s="30" t="str">
        <f>+B328</f>
        <v>Asia</v>
      </c>
      <c r="F328" s="450"/>
    </row>
    <row r="329" spans="2:15" s="487" customFormat="1" ht="15" hidden="1" outlineLevel="2" collapsed="1" x14ac:dyDescent="0.25">
      <c r="B329" s="483" t="s">
        <v>887</v>
      </c>
      <c r="C329" s="509"/>
      <c r="D329" s="484"/>
      <c r="E329" s="484"/>
      <c r="F329" s="485"/>
      <c r="G329" s="486">
        <f t="shared" ref="G329:M329" si="153">G330</f>
        <v>5812.129671209912</v>
      </c>
      <c r="H329" s="486">
        <f t="shared" si="153"/>
        <v>4003.7530503872213</v>
      </c>
      <c r="I329" s="486">
        <f t="shared" si="153"/>
        <v>3121.1145664320961</v>
      </c>
      <c r="J329" s="486">
        <f t="shared" si="153"/>
        <v>2674.7023341368085</v>
      </c>
      <c r="K329" s="486">
        <f t="shared" si="153"/>
        <v>2400.7603055789818</v>
      </c>
      <c r="L329" s="486">
        <f t="shared" si="153"/>
        <v>2120.8533319864596</v>
      </c>
      <c r="M329" s="486">
        <f t="shared" si="153"/>
        <v>1941.3784707242421</v>
      </c>
    </row>
    <row r="330" spans="2:15" ht="15" hidden="1" outlineLevel="3" x14ac:dyDescent="0.25">
      <c r="B330" s="3" t="str">
        <f t="shared" ref="B330:B338" si="154">+C330&amp;D330&amp;E330&amp;F330</f>
        <v>AsiaResultsCost of e-Hydrogen (Alk)USD/ton</v>
      </c>
      <c r="C330" t="str">
        <f>$B$328</f>
        <v>Asia</v>
      </c>
      <c r="D330" t="s">
        <v>838</v>
      </c>
      <c r="E330" s="30" t="s">
        <v>863</v>
      </c>
      <c r="F330" s="450" t="s">
        <v>205</v>
      </c>
      <c r="G330" s="488">
        <f t="shared" ref="G330:M330" si="155">SUM(G331:G332)</f>
        <v>5812.129671209912</v>
      </c>
      <c r="H330" s="488">
        <f t="shared" si="155"/>
        <v>4003.7530503872213</v>
      </c>
      <c r="I330" s="488">
        <f t="shared" si="155"/>
        <v>3121.1145664320961</v>
      </c>
      <c r="J330" s="488">
        <f t="shared" si="155"/>
        <v>2674.7023341368085</v>
      </c>
      <c r="K330" s="488">
        <f t="shared" si="155"/>
        <v>2400.7603055789818</v>
      </c>
      <c r="L330" s="488">
        <f t="shared" si="155"/>
        <v>2120.8533319864596</v>
      </c>
      <c r="M330" s="488">
        <f t="shared" si="155"/>
        <v>1941.3784707242421</v>
      </c>
      <c r="O330" s="95"/>
    </row>
    <row r="331" spans="2:15" ht="15" hidden="1" outlineLevel="3" x14ac:dyDescent="0.25">
      <c r="B331" s="3" t="str">
        <f t="shared" si="154"/>
        <v>AsiaResultsCapex (Alk)USD/ton</v>
      </c>
      <c r="C331" t="str">
        <f>$B$328</f>
        <v>Asia</v>
      </c>
      <c r="D331" t="s">
        <v>838</v>
      </c>
      <c r="E331" s="228" t="s">
        <v>888</v>
      </c>
      <c r="F331" s="450" t="s">
        <v>205</v>
      </c>
      <c r="G331" s="488">
        <f t="shared" ref="G331:M331" si="156">G334</f>
        <v>787.464217475032</v>
      </c>
      <c r="H331" s="488">
        <f t="shared" si="156"/>
        <v>616.22695755115865</v>
      </c>
      <c r="I331" s="488">
        <f t="shared" si="156"/>
        <v>446.35788397320005</v>
      </c>
      <c r="J331" s="488">
        <f t="shared" si="156"/>
        <v>402.8806831018826</v>
      </c>
      <c r="K331" s="488">
        <f t="shared" si="156"/>
        <v>359.74685839083924</v>
      </c>
      <c r="L331" s="488">
        <f t="shared" si="156"/>
        <v>316.9543475337004</v>
      </c>
      <c r="M331" s="488">
        <f t="shared" si="156"/>
        <v>274.50109927278885</v>
      </c>
      <c r="O331" s="95"/>
    </row>
    <row r="332" spans="2:15" ht="15" hidden="1" outlineLevel="3" x14ac:dyDescent="0.25">
      <c r="B332" s="3" t="str">
        <f t="shared" si="154"/>
        <v>AsiaResultsOpex (Alk)USD/ton</v>
      </c>
      <c r="C332" t="str">
        <f>$B$328</f>
        <v>Asia</v>
      </c>
      <c r="D332" t="s">
        <v>838</v>
      </c>
      <c r="E332" s="228" t="s">
        <v>889</v>
      </c>
      <c r="F332" s="450" t="s">
        <v>205</v>
      </c>
      <c r="G332" s="488">
        <f>SUM(G340,G344,G348)</f>
        <v>5024.6654537348804</v>
      </c>
      <c r="H332" s="488">
        <f t="shared" ref="H332:M332" si="157">SUM(H340,H344,H348)</f>
        <v>3387.5260928360626</v>
      </c>
      <c r="I332" s="488">
        <f t="shared" si="157"/>
        <v>2674.7566824588962</v>
      </c>
      <c r="J332" s="488">
        <f t="shared" si="157"/>
        <v>2271.8216510349257</v>
      </c>
      <c r="K332" s="488">
        <f t="shared" si="157"/>
        <v>2041.0134471881424</v>
      </c>
      <c r="L332" s="488">
        <f t="shared" si="157"/>
        <v>1803.8989844527594</v>
      </c>
      <c r="M332" s="488">
        <f t="shared" si="157"/>
        <v>1666.8773714514532</v>
      </c>
      <c r="O332" s="95"/>
    </row>
    <row r="333" spans="2:15" hidden="1" outlineLevel="3" x14ac:dyDescent="0.2">
      <c r="B333" s="12" t="str">
        <f t="shared" si="154"/>
        <v/>
      </c>
    </row>
    <row r="334" spans="2:15" ht="15" hidden="1" outlineLevel="3" x14ac:dyDescent="0.25">
      <c r="B334" s="3" t="str">
        <f t="shared" si="154"/>
        <v>AsiaCapexCost per ton H2USD/ ton H2</v>
      </c>
      <c r="C334" t="str">
        <f>$B$328</f>
        <v>Asia</v>
      </c>
      <c r="D334" t="s">
        <v>218</v>
      </c>
      <c r="E334" t="s">
        <v>920</v>
      </c>
      <c r="F334" s="489" t="s">
        <v>859</v>
      </c>
      <c r="G334" s="490">
        <f t="shared" ref="G334:M334" si="158">G336/G335</f>
        <v>787.464217475032</v>
      </c>
      <c r="H334" s="490">
        <f t="shared" si="158"/>
        <v>616.22695755115865</v>
      </c>
      <c r="I334" s="490">
        <f t="shared" si="158"/>
        <v>446.35788397320005</v>
      </c>
      <c r="J334" s="490">
        <f t="shared" si="158"/>
        <v>402.8806831018826</v>
      </c>
      <c r="K334" s="490">
        <f t="shared" si="158"/>
        <v>359.74685839083924</v>
      </c>
      <c r="L334" s="490">
        <f t="shared" si="158"/>
        <v>316.9543475337004</v>
      </c>
      <c r="M334" s="490">
        <f t="shared" si="158"/>
        <v>274.50109927278885</v>
      </c>
    </row>
    <row r="335" spans="2:15" hidden="1" outlineLevel="3" x14ac:dyDescent="0.2">
      <c r="B335" s="12" t="str">
        <f t="shared" si="154"/>
        <v>GlobalPlant capexAnnualisation factor#</v>
      </c>
      <c r="C335" t="s">
        <v>109</v>
      </c>
      <c r="D335" t="s">
        <v>786</v>
      </c>
      <c r="E335" t="s">
        <v>764</v>
      </c>
      <c r="F335" s="450" t="s">
        <v>787</v>
      </c>
      <c r="G335" s="491">
        <f>+INDEX('Fuel Model -  Input'!$B$3:$N$373,MATCH($B335,'Fuel Model -  Input'!$B$3:$B$373,0),MATCH(G$2,'Fuel Model -  Input'!$B$3:$N$3,0))</f>
        <v>11.32075471698113</v>
      </c>
      <c r="H335" s="491">
        <f>+INDEX('Fuel Model -  Input'!$B$3:$N$373,MATCH($B335,'Fuel Model -  Input'!$B$3:$B$373,0),MATCH(H$2,'Fuel Model -  Input'!$B$3:$N$3,0))</f>
        <v>11.32075471698113</v>
      </c>
      <c r="I335" s="491">
        <f>+INDEX('Fuel Model -  Input'!$B$3:$N$373,MATCH($B335,'Fuel Model -  Input'!$B$3:$B$373,0),MATCH(I$2,'Fuel Model -  Input'!$B$3:$N$3,0))</f>
        <v>11.32075471698113</v>
      </c>
      <c r="J335" s="491">
        <f>+INDEX('Fuel Model -  Input'!$B$3:$N$373,MATCH($B335,'Fuel Model -  Input'!$B$3:$B$373,0),MATCH(J$2,'Fuel Model -  Input'!$B$3:$N$3,0))</f>
        <v>11.32075471698113</v>
      </c>
      <c r="K335" s="491">
        <f>+INDEX('Fuel Model -  Input'!$B$3:$N$373,MATCH($B335,'Fuel Model -  Input'!$B$3:$B$373,0),MATCH(K$2,'Fuel Model -  Input'!$B$3:$N$3,0))</f>
        <v>11.32075471698113</v>
      </c>
      <c r="L335" s="491">
        <f>+INDEX('Fuel Model -  Input'!$B$3:$N$373,MATCH($B335,'Fuel Model -  Input'!$B$3:$B$373,0),MATCH(L$2,'Fuel Model -  Input'!$B$3:$N$3,0))</f>
        <v>11.32075471698113</v>
      </c>
      <c r="M335" s="491">
        <f>INDEX('Fuel Model -  Input'!$B$3:$N$373,MATCH($B335,'Fuel Model -  Input'!$B$3:$B$373,0),MATCH(M$2,'Fuel Model -  Input'!$B$3:$N$3,0))</f>
        <v>11.32075471698113</v>
      </c>
      <c r="O335" s="95"/>
    </row>
    <row r="336" spans="2:15" ht="12.75" hidden="1" outlineLevel="3" x14ac:dyDescent="0.2">
      <c r="B336" s="12" t="str">
        <f t="shared" si="154"/>
        <v>AsiaPlant capexElectrolyser unit cost (Alk)USD/ ton H2 cap</v>
      </c>
      <c r="C336" t="str">
        <f>+C334</f>
        <v>Asia</v>
      </c>
      <c r="D336" t="s">
        <v>786</v>
      </c>
      <c r="E336" t="s">
        <v>891</v>
      </c>
      <c r="F336" t="s">
        <v>892</v>
      </c>
      <c r="G336" s="8">
        <f>G338/(365*24*G337)*G342</f>
        <v>8914.6892544343227</v>
      </c>
      <c r="H336" s="8">
        <f t="shared" ref="H336" si="159">H338/(365*24*H337)*H342</f>
        <v>6976.1542364282095</v>
      </c>
      <c r="I336" s="8">
        <f t="shared" ref="I336" si="160">I338/(365*24*I337)*I342</f>
        <v>5053.1081204513202</v>
      </c>
      <c r="J336" s="8">
        <f t="shared" ref="J336" si="161">J338/(365*24*J337)*J342</f>
        <v>4560.9133936062171</v>
      </c>
      <c r="K336" s="8">
        <f t="shared" ref="K336" si="162">K338/(365*24*K337)*K342</f>
        <v>4072.6059440472354</v>
      </c>
      <c r="L336" s="8">
        <f t="shared" ref="L336" si="163">L338/(365*24*L337)*L342</f>
        <v>3588.1624249098149</v>
      </c>
      <c r="M336" s="8">
        <f t="shared" ref="M336" si="164">M338/(365*24*M337)*M342</f>
        <v>3107.5596144089295</v>
      </c>
    </row>
    <row r="337" spans="2:15" hidden="1" outlineLevel="3" x14ac:dyDescent="0.2">
      <c r="B337" s="12" t="str">
        <f t="shared" si="154"/>
        <v>AsiaGeneralCapacity factor%</v>
      </c>
      <c r="C337" t="str">
        <f>$B$328</f>
        <v>Asia</v>
      </c>
      <c r="D337" t="s">
        <v>173</v>
      </c>
      <c r="E337" t="s">
        <v>893</v>
      </c>
      <c r="F337" s="450" t="s">
        <v>178</v>
      </c>
      <c r="G337" s="467">
        <f>+INDEX('Fuel Model -  Input'!$B$3:$N$373,MATCH($B337,'Fuel Model -  Input'!$B$3:$B$373,0),MATCH(G$2,'Fuel Model -  Input'!$B$3:$N$3,0))</f>
        <v>0.9</v>
      </c>
      <c r="H337" s="467">
        <f>+INDEX('Fuel Model -  Input'!$B$3:$N$373,MATCH($B337,'Fuel Model -  Input'!$B$3:$B$373,0),MATCH(H$2,'Fuel Model -  Input'!$B$3:$N$3,0))</f>
        <v>0.9</v>
      </c>
      <c r="I337" s="467">
        <f>+INDEX('Fuel Model -  Input'!$B$3:$N$373,MATCH($B337,'Fuel Model -  Input'!$B$3:$B$373,0),MATCH(I$2,'Fuel Model -  Input'!$B$3:$N$3,0))</f>
        <v>0.9</v>
      </c>
      <c r="J337" s="467">
        <f>+INDEX('Fuel Model -  Input'!$B$3:$N$373,MATCH($B337,'Fuel Model -  Input'!$B$3:$B$373,0),MATCH(J$2,'Fuel Model -  Input'!$B$3:$N$3,0))</f>
        <v>0.9</v>
      </c>
      <c r="K337" s="467">
        <f>+INDEX('Fuel Model -  Input'!$B$3:$N$373,MATCH($B337,'Fuel Model -  Input'!$B$3:$B$373,0),MATCH(K$2,'Fuel Model -  Input'!$B$3:$N$3,0))</f>
        <v>0.9</v>
      </c>
      <c r="L337" s="467">
        <f>+INDEX('Fuel Model -  Input'!$B$3:$N$373,MATCH($B337,'Fuel Model -  Input'!$B$3:$B$373,0),MATCH(L$2,'Fuel Model -  Input'!$B$3:$N$3,0))</f>
        <v>0.9</v>
      </c>
      <c r="M337" s="467">
        <f>INDEX('Fuel Model -  Input'!$B$3:$N$373,MATCH($B337,'Fuel Model -  Input'!$B$3:$B$373,0),MATCH(M$2,'Fuel Model -  Input'!$B$3:$N$3,0))</f>
        <v>0.9</v>
      </c>
      <c r="O337" s="118"/>
    </row>
    <row r="338" spans="2:15" hidden="1" outlineLevel="3" x14ac:dyDescent="0.2">
      <c r="B338" s="12" t="str">
        <f t="shared" si="154"/>
        <v>GlobalCapexElectrolyser unit cost (Alk)USD/MW</v>
      </c>
      <c r="C338" t="s">
        <v>109</v>
      </c>
      <c r="D338" t="s">
        <v>218</v>
      </c>
      <c r="E338" t="s">
        <v>891</v>
      </c>
      <c r="F338" s="450" t="s">
        <v>279</v>
      </c>
      <c r="G338" s="491">
        <f>+INDEX('Fuel Model -  Input'!$B$3:$N$373,MATCH($B338,'Fuel Model -  Input'!$B$3:$B$373,0),MATCH(G$2,'Fuel Model -  Input'!$B$3:$N$3,0))</f>
        <v>1400000</v>
      </c>
      <c r="H338" s="491">
        <f>+INDEX('Fuel Model -  Input'!$B$3:$N$373,MATCH($B338,'Fuel Model -  Input'!$B$3:$B$373,0),MATCH(H$2,'Fuel Model -  Input'!$B$3:$N$3,0))</f>
        <v>1100000</v>
      </c>
      <c r="I338" s="491">
        <f>+INDEX('Fuel Model -  Input'!$B$3:$N$373,MATCH($B338,'Fuel Model -  Input'!$B$3:$B$373,0),MATCH(I$2,'Fuel Model -  Input'!$B$3:$N$3,0))</f>
        <v>800000</v>
      </c>
      <c r="J338" s="491">
        <f>+INDEX('Fuel Model -  Input'!$B$3:$N$373,MATCH($B338,'Fuel Model -  Input'!$B$3:$B$373,0),MATCH(J$2,'Fuel Model -  Input'!$B$3:$N$3,0))</f>
        <v>725000</v>
      </c>
      <c r="K338" s="491">
        <f>+INDEX('Fuel Model -  Input'!$B$3:$N$373,MATCH($B338,'Fuel Model -  Input'!$B$3:$B$373,0),MATCH(K$2,'Fuel Model -  Input'!$B$3:$N$3,0))</f>
        <v>650000</v>
      </c>
      <c r="L338" s="491">
        <f>+INDEX('Fuel Model -  Input'!$B$3:$N$373,MATCH($B338,'Fuel Model -  Input'!$B$3:$B$373,0),MATCH(L$2,'Fuel Model -  Input'!$B$3:$N$3,0))</f>
        <v>575000</v>
      </c>
      <c r="M338" s="491">
        <f>INDEX('Fuel Model -  Input'!$B$3:$N$373,MATCH($B338,'Fuel Model -  Input'!$B$3:$B$373,0),MATCH(M$2,'Fuel Model -  Input'!$B$3:$N$3,0))</f>
        <v>500000</v>
      </c>
      <c r="O338" s="118"/>
    </row>
    <row r="339" spans="2:15" ht="12.75" hidden="1" outlineLevel="3" x14ac:dyDescent="0.2">
      <c r="B339" s="48"/>
      <c r="F339"/>
    </row>
    <row r="340" spans="2:15" ht="15" hidden="1" outlineLevel="3" x14ac:dyDescent="0.25">
      <c r="B340" s="3" t="str">
        <f>+C340&amp;D340&amp;E340&amp;F340</f>
        <v>AsiaFeedstockTotal Electricity (Alk)USD/ ton H2</v>
      </c>
      <c r="C340" t="str">
        <f>$B$328</f>
        <v>Asia</v>
      </c>
      <c r="D340" t="s">
        <v>777</v>
      </c>
      <c r="E340" t="s">
        <v>894</v>
      </c>
      <c r="F340" s="489" t="s">
        <v>859</v>
      </c>
      <c r="G340" s="492">
        <f t="shared" ref="G340:M340" si="165">G341*G342</f>
        <v>4119.696528291448</v>
      </c>
      <c r="H340" s="492">
        <f t="shared" si="165"/>
        <v>2676.4106691932416</v>
      </c>
      <c r="I340" s="492">
        <f t="shared" si="165"/>
        <v>2155.9458704137642</v>
      </c>
      <c r="J340" s="492">
        <f t="shared" si="165"/>
        <v>1802.2303116743037</v>
      </c>
      <c r="K340" s="492">
        <f t="shared" si="165"/>
        <v>1620.2528527834188</v>
      </c>
      <c r="L340" s="492">
        <f t="shared" si="165"/>
        <v>1431.5827419617779</v>
      </c>
      <c r="M340" s="492">
        <f t="shared" si="165"/>
        <v>1342.6214100105603</v>
      </c>
    </row>
    <row r="341" spans="2:15" hidden="1" outlineLevel="3" x14ac:dyDescent="0.2">
      <c r="B341" s="12" t="str">
        <f>+C341&amp;D341&amp;E341&amp;F341</f>
        <v>AsiaFeedstockElectricityUSD/MWh</v>
      </c>
      <c r="C341" t="str">
        <f>$B$328</f>
        <v>Asia</v>
      </c>
      <c r="D341" t="s">
        <v>777</v>
      </c>
      <c r="E341" t="s">
        <v>54</v>
      </c>
      <c r="F341" s="450" t="s">
        <v>196</v>
      </c>
      <c r="G341" s="491">
        <f>+INDEX('Fuel Model -  Input'!$B$3:$N$373,MATCH($B341,'Fuel Model -  Input'!$B$3:$B$373,0),MATCH(G$2,'Fuel Model -  Input'!$B$3:$N$3,0))</f>
        <v>82.061686148726054</v>
      </c>
      <c r="H341" s="491">
        <f>+INDEX('Fuel Model -  Input'!$B$3:$N$373,MATCH($B341,'Fuel Model -  Input'!$B$3:$B$373,0),MATCH(H$2,'Fuel Model -  Input'!$B$3:$N$3,0))</f>
        <v>53.528213383864831</v>
      </c>
      <c r="I341" s="491">
        <f>+INDEX('Fuel Model -  Input'!$B$3:$N$373,MATCH($B341,'Fuel Model -  Input'!$B$3:$B$373,0),MATCH(I$2,'Fuel Model -  Input'!$B$3:$N$3,0))</f>
        <v>43.29349363565693</v>
      </c>
      <c r="J341" s="491">
        <f>+INDEX('Fuel Model -  Input'!$B$3:$N$373,MATCH($B341,'Fuel Model -  Input'!$B$3:$B$373,0),MATCH(J$2,'Fuel Model -  Input'!$B$3:$N$3,0))</f>
        <v>36.337065788929628</v>
      </c>
      <c r="K341" s="491">
        <f>+INDEX('Fuel Model -  Input'!$B$3:$N$373,MATCH($B341,'Fuel Model -  Input'!$B$3:$B$373,0),MATCH(K$2,'Fuel Model -  Input'!$B$3:$N$3,0))</f>
        <v>32.800249332911001</v>
      </c>
      <c r="L341" s="491">
        <f>+INDEX('Fuel Model -  Input'!$B$3:$N$373,MATCH($B341,'Fuel Model -  Input'!$B$3:$B$373,0),MATCH(L$2,'Fuel Model -  Input'!$B$3:$N$3,0))</f>
        <v>29.0981641388437</v>
      </c>
      <c r="M341" s="491">
        <f>INDEX('Fuel Model -  Input'!$B$3:$N$373,MATCH($B341,'Fuel Model -  Input'!$B$3:$B$373,0),MATCH(M$2,'Fuel Model -  Input'!$B$3:$N$3,0))</f>
        <v>27.400436938991028</v>
      </c>
      <c r="O341" s="118"/>
    </row>
    <row r="342" spans="2:15" hidden="1" outlineLevel="3" x14ac:dyDescent="0.2">
      <c r="B342" s="12" t="str">
        <f>+C342&amp;D342&amp;E342&amp;F342</f>
        <v>GlobalFeedstockSystem efficiency (Alk)kWh/kg H2</v>
      </c>
      <c r="C342" t="s">
        <v>109</v>
      </c>
      <c r="D342" t="s">
        <v>777</v>
      </c>
      <c r="E342" t="s">
        <v>895</v>
      </c>
      <c r="F342" s="450" t="s">
        <v>896</v>
      </c>
      <c r="G342" s="491">
        <f>+INDEX('Fuel Model -  Input'!$B$3:$N$373,MATCH($B342,'Fuel Model -  Input'!$B$3:$B$373,0),MATCH(G$2,'Fuel Model -  Input'!$B$3:$N$3,0))</f>
        <v>50.202435772828721</v>
      </c>
      <c r="H342" s="491">
        <f>+INDEX('Fuel Model -  Input'!$B$3:$N$373,MATCH($B342,'Fuel Model -  Input'!$B$3:$B$373,0),MATCH(H$2,'Fuel Model -  Input'!$B$3:$N$3,0))</f>
        <v>50</v>
      </c>
      <c r="I342" s="491">
        <f>+INDEX('Fuel Model -  Input'!$B$3:$N$373,MATCH($B342,'Fuel Model -  Input'!$B$3:$B$373,0),MATCH(I$2,'Fuel Model -  Input'!$B$3:$N$3,0))</f>
        <v>49.798380527047762</v>
      </c>
      <c r="J342" s="491">
        <f>+INDEX('Fuel Model -  Input'!$B$3:$N$373,MATCH($B342,'Fuel Model -  Input'!$B$3:$B$373,0),MATCH(J$2,'Fuel Model -  Input'!$B$3:$N$3,0))</f>
        <v>49.597574062332995</v>
      </c>
      <c r="K342" s="491">
        <f>+INDEX('Fuel Model -  Input'!$B$3:$N$373,MATCH($B342,'Fuel Model -  Input'!$B$3:$B$373,0),MATCH(K$2,'Fuel Model -  Input'!$B$3:$N$3,0))</f>
        <v>49.397577327489856</v>
      </c>
      <c r="L342" s="491">
        <f>+INDEX('Fuel Model -  Input'!$B$3:$N$373,MATCH($B342,'Fuel Model -  Input'!$B$3:$B$373,0),MATCH(L$2,'Fuel Model -  Input'!$B$3:$N$3,0))</f>
        <v>49.198387057372138</v>
      </c>
      <c r="M342" s="491">
        <f>INDEX('Fuel Model -  Input'!$B$3:$N$373,MATCH($B342,'Fuel Model -  Input'!$B$3:$B$373,0),MATCH(M$2,'Fuel Model -  Input'!$B$3:$N$3,0))</f>
        <v>49</v>
      </c>
      <c r="O342" s="118"/>
    </row>
    <row r="343" spans="2:15" hidden="1" outlineLevel="3" x14ac:dyDescent="0.2">
      <c r="B343" s="12"/>
      <c r="G343" s="493"/>
      <c r="H343" s="493"/>
      <c r="I343" s="493"/>
      <c r="J343" s="493"/>
      <c r="K343" s="493"/>
      <c r="L343" s="493"/>
      <c r="M343" s="493"/>
      <c r="O343" s="118"/>
    </row>
    <row r="344" spans="2:15" ht="15" hidden="1" outlineLevel="3" x14ac:dyDescent="0.25">
      <c r="B344" t="str">
        <f t="shared" ref="B344:B346" si="166">+C344&amp;D344&amp;E344&amp;F344</f>
        <v>GlobalFeedstockCost of H2O in H2USD/ton H2</v>
      </c>
      <c r="C344" s="494" t="str">
        <f>C342</f>
        <v>Global</v>
      </c>
      <c r="D344" t="s">
        <v>777</v>
      </c>
      <c r="E344" t="s">
        <v>897</v>
      </c>
      <c r="F344" s="127" t="s">
        <v>881</v>
      </c>
      <c r="G344" s="261">
        <f t="shared" ref="G344:M344" si="167">G345*G346</f>
        <v>13.5</v>
      </c>
      <c r="H344" s="261">
        <f t="shared" si="167"/>
        <v>13.5</v>
      </c>
      <c r="I344" s="261">
        <f t="shared" si="167"/>
        <v>13.5</v>
      </c>
      <c r="J344" s="261">
        <f t="shared" si="167"/>
        <v>13.5</v>
      </c>
      <c r="K344" s="261">
        <f t="shared" si="167"/>
        <v>13.5</v>
      </c>
      <c r="L344" s="261">
        <f t="shared" si="167"/>
        <v>13.5</v>
      </c>
      <c r="M344" s="261">
        <f t="shared" si="167"/>
        <v>13.5</v>
      </c>
    </row>
    <row r="345" spans="2:15" hidden="1" outlineLevel="3" x14ac:dyDescent="0.2">
      <c r="B345" t="str">
        <f t="shared" si="166"/>
        <v>GlobalFeedstockConversion H2O:H2 (actual)ton H2O/ton H2</v>
      </c>
      <c r="C345" t="s">
        <v>109</v>
      </c>
      <c r="D345" t="s">
        <v>777</v>
      </c>
      <c r="E345" t="s">
        <v>898</v>
      </c>
      <c r="F345" s="128" t="s">
        <v>899</v>
      </c>
      <c r="G345" s="495">
        <f>INDEX('Fuel Model -  Input'!$B$3:$N$373,MATCH($B345,'Fuel Model -  Input'!$B$3:$B$373,0),MATCH(G$2,'Fuel Model -  Input'!$B$3:$N$3,0))</f>
        <v>9</v>
      </c>
      <c r="H345" s="495">
        <f>INDEX('Fuel Model -  Input'!$B$3:$N$373,MATCH($B345,'Fuel Model -  Input'!$B$3:$B$373,0),MATCH(H$2,'Fuel Model -  Input'!$B$3:$N$3,0))</f>
        <v>9</v>
      </c>
      <c r="I345" s="495">
        <f>INDEX('Fuel Model -  Input'!$B$3:$N$373,MATCH($B345,'Fuel Model -  Input'!$B$3:$B$373,0),MATCH(I$2,'Fuel Model -  Input'!$B$3:$N$3,0))</f>
        <v>9</v>
      </c>
      <c r="J345" s="495">
        <f>INDEX('Fuel Model -  Input'!$B$3:$N$373,MATCH($B345,'Fuel Model -  Input'!$B$3:$B$373,0),MATCH(J$2,'Fuel Model -  Input'!$B$3:$N$3,0))</f>
        <v>9</v>
      </c>
      <c r="K345" s="495">
        <f>INDEX('Fuel Model -  Input'!$B$3:$N$373,MATCH($B345,'Fuel Model -  Input'!$B$3:$B$373,0),MATCH(K$2,'Fuel Model -  Input'!$B$3:$N$3,0))</f>
        <v>9</v>
      </c>
      <c r="L345" s="495">
        <f>INDEX('Fuel Model -  Input'!$B$3:$N$373,MATCH($B345,'Fuel Model -  Input'!$B$3:$B$373,0),MATCH(L$2,'Fuel Model -  Input'!$B$3:$N$3,0))</f>
        <v>9</v>
      </c>
      <c r="M345" s="495">
        <f>INDEX('Fuel Model -  Input'!$B$3:$N$373,MATCH($B345,'Fuel Model -  Input'!$B$3:$B$373,0),MATCH(M$2,'Fuel Model -  Input'!$B$3:$N$3,0))</f>
        <v>9</v>
      </c>
    </row>
    <row r="346" spans="2:15" hidden="1" outlineLevel="3" x14ac:dyDescent="0.2">
      <c r="B346" t="str">
        <f t="shared" si="166"/>
        <v>GlobalFeedstockDemineralized water costUSD/ton demin H2O</v>
      </c>
      <c r="C346" s="494" t="s">
        <v>109</v>
      </c>
      <c r="D346" t="s">
        <v>777</v>
      </c>
      <c r="E346" t="s">
        <v>900</v>
      </c>
      <c r="F346" s="450" t="s">
        <v>901</v>
      </c>
      <c r="G346" s="495">
        <f>+INDEX('Fuel Model -  Input'!$B$3:$N$373,MATCH($B346,'Fuel Model -  Input'!$B$3:$B$373,0),MATCH(G$2,'Fuel Model -  Input'!$B$3:$N$3,0))</f>
        <v>1.5</v>
      </c>
      <c r="H346" s="495">
        <f>+INDEX('Fuel Model -  Input'!$B$3:$N$373,MATCH($B346,'Fuel Model -  Input'!$B$3:$B$373,0),MATCH(H$2,'Fuel Model -  Input'!$B$3:$N$3,0))</f>
        <v>1.5</v>
      </c>
      <c r="I346" s="495">
        <f>+INDEX('Fuel Model -  Input'!$B$3:$N$373,MATCH($B346,'Fuel Model -  Input'!$B$3:$B$373,0),MATCH(I$2,'Fuel Model -  Input'!$B$3:$N$3,0))</f>
        <v>1.5</v>
      </c>
      <c r="J346" s="495">
        <f>+INDEX('Fuel Model -  Input'!$B$3:$N$373,MATCH($B346,'Fuel Model -  Input'!$B$3:$B$373,0),MATCH(J$2,'Fuel Model -  Input'!$B$3:$N$3,0))</f>
        <v>1.5</v>
      </c>
      <c r="K346" s="495">
        <f>+INDEX('Fuel Model -  Input'!$B$3:$N$373,MATCH($B346,'Fuel Model -  Input'!$B$3:$B$373,0),MATCH(K$2,'Fuel Model -  Input'!$B$3:$N$3,0))</f>
        <v>1.5</v>
      </c>
      <c r="L346" s="495">
        <f>+INDEX('Fuel Model -  Input'!$B$3:$N$373,MATCH($B346,'Fuel Model -  Input'!$B$3:$B$373,0),MATCH(L$2,'Fuel Model -  Input'!$B$3:$N$3,0))</f>
        <v>1.5</v>
      </c>
      <c r="M346" s="495">
        <f>+INDEX('Fuel Model -  Input'!$B$3:$N$373,MATCH($B346,'Fuel Model -  Input'!$B$3:$B$373,0),MATCH(M$2,'Fuel Model -  Input'!$B$3:$N$3,0))</f>
        <v>1.5</v>
      </c>
    </row>
    <row r="347" spans="2:15" ht="12.75" hidden="1" outlineLevel="3" x14ac:dyDescent="0.2">
      <c r="F347"/>
    </row>
    <row r="348" spans="2:15" ht="15" hidden="1" outlineLevel="3" x14ac:dyDescent="0.25">
      <c r="B348" s="496" t="str">
        <f>+C348&amp;D348&amp;E348&amp;F348</f>
        <v>AsiaOpexPlantUSD/ ton H2</v>
      </c>
      <c r="C348" t="str">
        <f>$B$328</f>
        <v>Asia</v>
      </c>
      <c r="D348" t="s">
        <v>219</v>
      </c>
      <c r="E348" t="s">
        <v>902</v>
      </c>
      <c r="F348" s="489" t="s">
        <v>859</v>
      </c>
      <c r="G348" s="492">
        <f t="shared" ref="G348:M348" si="168">G336*G349</f>
        <v>891.46892544343234</v>
      </c>
      <c r="H348" s="492">
        <f t="shared" si="168"/>
        <v>697.61542364282104</v>
      </c>
      <c r="I348" s="492">
        <f t="shared" si="168"/>
        <v>505.31081204513202</v>
      </c>
      <c r="J348" s="492">
        <f t="shared" si="168"/>
        <v>456.09133936062176</v>
      </c>
      <c r="K348" s="492">
        <f t="shared" si="168"/>
        <v>407.26059440472358</v>
      </c>
      <c r="L348" s="492">
        <f t="shared" si="168"/>
        <v>358.81624249098149</v>
      </c>
      <c r="M348" s="492">
        <f t="shared" si="168"/>
        <v>310.75596144089297</v>
      </c>
    </row>
    <row r="349" spans="2:15" hidden="1" outlineLevel="3" x14ac:dyDescent="0.2">
      <c r="B349" s="497" t="str">
        <f>+C349&amp;D349&amp;E349&amp;F349</f>
        <v>GlobalOpexPlant - Electrolysis - opex (Alk)Percent of Capex</v>
      </c>
      <c r="C349" t="s">
        <v>109</v>
      </c>
      <c r="D349" s="157" t="s">
        <v>219</v>
      </c>
      <c r="E349" s="498" t="s">
        <v>903</v>
      </c>
      <c r="F349" s="450" t="s">
        <v>883</v>
      </c>
      <c r="G349" s="467">
        <f>+INDEX('Fuel Model -  Input'!$B$3:$N$373,MATCH($B349,'Fuel Model -  Input'!$B$3:$B$373,0),MATCH(G$2,'Fuel Model -  Input'!$B$3:$N$3,0))</f>
        <v>0.1</v>
      </c>
      <c r="H349" s="467">
        <f>+INDEX('Fuel Model -  Input'!$B$3:$N$373,MATCH($B349,'Fuel Model -  Input'!$B$3:$B$373,0),MATCH(H$2,'Fuel Model -  Input'!$B$3:$N$3,0))</f>
        <v>0.1</v>
      </c>
      <c r="I349" s="467">
        <f>+INDEX('Fuel Model -  Input'!$B$3:$N$373,MATCH($B349,'Fuel Model -  Input'!$B$3:$B$373,0),MATCH(I$2,'Fuel Model -  Input'!$B$3:$N$3,0))</f>
        <v>0.1</v>
      </c>
      <c r="J349" s="467">
        <f>+INDEX('Fuel Model -  Input'!$B$3:$N$373,MATCH($B349,'Fuel Model -  Input'!$B$3:$B$373,0),MATCH(J$2,'Fuel Model -  Input'!$B$3:$N$3,0))</f>
        <v>0.1</v>
      </c>
      <c r="K349" s="467">
        <f>+INDEX('Fuel Model -  Input'!$B$3:$N$373,MATCH($B349,'Fuel Model -  Input'!$B$3:$B$373,0),MATCH(K$2,'Fuel Model -  Input'!$B$3:$N$3,0))</f>
        <v>0.1</v>
      </c>
      <c r="L349" s="467">
        <f>+INDEX('Fuel Model -  Input'!$B$3:$N$373,MATCH($B349,'Fuel Model -  Input'!$B$3:$B$373,0),MATCH(L$2,'Fuel Model -  Input'!$B$3:$N$3,0))</f>
        <v>0.1</v>
      </c>
      <c r="M349" s="467">
        <f>INDEX('Fuel Model -  Input'!$B$3:$N$373,MATCH($B349,'Fuel Model -  Input'!$B$3:$B$373,0),MATCH(M$2,'Fuel Model -  Input'!$B$3:$N$3,0))</f>
        <v>0.1</v>
      </c>
    </row>
    <row r="350" spans="2:15" hidden="1" outlineLevel="2" x14ac:dyDescent="0.2">
      <c r="B350" s="12"/>
      <c r="G350" s="499"/>
      <c r="H350" s="499"/>
      <c r="I350" s="499"/>
      <c r="J350" s="499"/>
      <c r="K350" s="499"/>
      <c r="L350" s="499"/>
      <c r="M350" s="499"/>
    </row>
    <row r="351" spans="2:15" s="501" customFormat="1" ht="15" hidden="1" outlineLevel="2" collapsed="1" x14ac:dyDescent="0.25">
      <c r="B351" s="500" t="s">
        <v>904</v>
      </c>
      <c r="C351"/>
      <c r="F351" s="502"/>
      <c r="G351" s="503">
        <f t="shared" ref="G351:M351" si="169">G352</f>
        <v>7599.1127505485656</v>
      </c>
      <c r="H351" s="503">
        <f t="shared" si="169"/>
        <v>5041.2188434878981</v>
      </c>
      <c r="I351" s="503">
        <f t="shared" si="169"/>
        <v>3784.4107263247452</v>
      </c>
      <c r="J351" s="503">
        <f t="shared" si="169"/>
        <v>3121.8467017980965</v>
      </c>
      <c r="K351" s="503">
        <f t="shared" si="169"/>
        <v>2699.5309231945089</v>
      </c>
      <c r="L351" s="503">
        <f t="shared" si="169"/>
        <v>2298.1223002165862</v>
      </c>
      <c r="M351" s="503">
        <f t="shared" si="169"/>
        <v>2031.5315460634972</v>
      </c>
      <c r="O351" s="504"/>
    </row>
    <row r="352" spans="2:15" ht="15" hidden="1" outlineLevel="3" x14ac:dyDescent="0.25">
      <c r="B352" s="3" t="str">
        <f t="shared" ref="B352:B360" si="170">+C352&amp;D352&amp;E352&amp;F352</f>
        <v>AsiaResultsCost of e-Hydrogen (PEM)USD/ton</v>
      </c>
      <c r="C352" t="str">
        <f>$B$328</f>
        <v>Asia</v>
      </c>
      <c r="D352" t="s">
        <v>838</v>
      </c>
      <c r="E352" s="30" t="s">
        <v>864</v>
      </c>
      <c r="F352" s="450" t="s">
        <v>205</v>
      </c>
      <c r="G352" s="488">
        <f t="shared" ref="G352:M352" si="171">SUM(G353:G354)</f>
        <v>7599.1127505485656</v>
      </c>
      <c r="H352" s="488">
        <f t="shared" si="171"/>
        <v>5041.2188434878981</v>
      </c>
      <c r="I352" s="488">
        <f t="shared" si="171"/>
        <v>3784.4107263247452</v>
      </c>
      <c r="J352" s="488">
        <f t="shared" si="171"/>
        <v>3121.8467017980965</v>
      </c>
      <c r="K352" s="488">
        <f t="shared" si="171"/>
        <v>2699.5309231945089</v>
      </c>
      <c r="L352" s="488">
        <f t="shared" si="171"/>
        <v>2298.1223002165862</v>
      </c>
      <c r="M352" s="488">
        <f t="shared" si="171"/>
        <v>2031.5315460634972</v>
      </c>
      <c r="O352" s="95"/>
    </row>
    <row r="353" spans="2:15" ht="15" hidden="1" outlineLevel="3" x14ac:dyDescent="0.25">
      <c r="B353" s="3" t="str">
        <f t="shared" si="170"/>
        <v>AsiaResultsCapex (PEM)USD/ton</v>
      </c>
      <c r="C353" t="str">
        <f>$B$328</f>
        <v>Asia</v>
      </c>
      <c r="D353" t="s">
        <v>838</v>
      </c>
      <c r="E353" s="228" t="s">
        <v>905</v>
      </c>
      <c r="F353" s="450" t="s">
        <v>205</v>
      </c>
      <c r="G353" s="488">
        <f t="shared" ref="G353:M353" si="172">G356</f>
        <v>1022.9620552364776</v>
      </c>
      <c r="H353" s="488">
        <f t="shared" si="172"/>
        <v>776.44596651445988</v>
      </c>
      <c r="I353" s="488">
        <f t="shared" si="172"/>
        <v>545.50106659752987</v>
      </c>
      <c r="J353" s="488">
        <f t="shared" si="172"/>
        <v>477.56301755776087</v>
      </c>
      <c r="K353" s="488">
        <f t="shared" si="172"/>
        <v>413.61197282986342</v>
      </c>
      <c r="L353" s="488">
        <f t="shared" si="172"/>
        <v>353.45542668176478</v>
      </c>
      <c r="M353" s="488">
        <f t="shared" si="172"/>
        <v>296.90935227464911</v>
      </c>
      <c r="O353" s="95"/>
    </row>
    <row r="354" spans="2:15" ht="15" hidden="1" outlineLevel="3" x14ac:dyDescent="0.25">
      <c r="B354" s="3" t="str">
        <f t="shared" si="170"/>
        <v>AsiaResultsOpex (PEM)USD/ton</v>
      </c>
      <c r="C354" t="str">
        <f>$B$328</f>
        <v>Asia</v>
      </c>
      <c r="D354" t="s">
        <v>838</v>
      </c>
      <c r="E354" s="228" t="s">
        <v>906</v>
      </c>
      <c r="F354" s="450" t="s">
        <v>205</v>
      </c>
      <c r="G354" s="488">
        <f>SUM(G362,G366,G370)</f>
        <v>6576.1506953120879</v>
      </c>
      <c r="H354" s="488">
        <f t="shared" ref="H354:M354" si="173">SUM(H362,H366,H370)</f>
        <v>4264.7728769734385</v>
      </c>
      <c r="I354" s="488">
        <f t="shared" si="173"/>
        <v>3238.9096597272151</v>
      </c>
      <c r="J354" s="488">
        <f t="shared" si="173"/>
        <v>2644.2836842403358</v>
      </c>
      <c r="K354" s="488">
        <f t="shared" si="173"/>
        <v>2285.9189503646453</v>
      </c>
      <c r="L354" s="488">
        <f t="shared" si="173"/>
        <v>1944.6668735348212</v>
      </c>
      <c r="M354" s="488">
        <f t="shared" si="173"/>
        <v>1734.6221937888481</v>
      </c>
      <c r="O354" s="95"/>
    </row>
    <row r="355" spans="2:15" hidden="1" outlineLevel="3" x14ac:dyDescent="0.2">
      <c r="B355" s="12" t="str">
        <f t="shared" si="170"/>
        <v/>
      </c>
    </row>
    <row r="356" spans="2:15" ht="15" hidden="1" outlineLevel="3" x14ac:dyDescent="0.25">
      <c r="B356" s="3" t="str">
        <f t="shared" si="170"/>
        <v>AsiaCapexCost per ton H2USD/ ton H2</v>
      </c>
      <c r="C356" t="str">
        <f>$B$328</f>
        <v>Asia</v>
      </c>
      <c r="D356" t="s">
        <v>218</v>
      </c>
      <c r="E356" t="s">
        <v>920</v>
      </c>
      <c r="F356" s="489" t="s">
        <v>859</v>
      </c>
      <c r="G356" s="490">
        <f t="shared" ref="G356:M356" si="174">G358/G357</f>
        <v>1022.9620552364776</v>
      </c>
      <c r="H356" s="490">
        <f t="shared" si="174"/>
        <v>776.44596651445988</v>
      </c>
      <c r="I356" s="490">
        <f t="shared" si="174"/>
        <v>545.50106659752987</v>
      </c>
      <c r="J356" s="490">
        <f t="shared" si="174"/>
        <v>477.56301755776087</v>
      </c>
      <c r="K356" s="490">
        <f t="shared" si="174"/>
        <v>413.61197282986342</v>
      </c>
      <c r="L356" s="490">
        <f t="shared" si="174"/>
        <v>353.45542668176478</v>
      </c>
      <c r="M356" s="490">
        <f t="shared" si="174"/>
        <v>296.90935227464911</v>
      </c>
      <c r="O356" s="118"/>
    </row>
    <row r="357" spans="2:15" hidden="1" outlineLevel="3" x14ac:dyDescent="0.2">
      <c r="B357" s="12" t="str">
        <f t="shared" si="170"/>
        <v>GlobalPlant capexAnnualisation factor#</v>
      </c>
      <c r="C357" t="s">
        <v>109</v>
      </c>
      <c r="D357" t="s">
        <v>786</v>
      </c>
      <c r="E357" t="s">
        <v>764</v>
      </c>
      <c r="F357" s="450" t="s">
        <v>787</v>
      </c>
      <c r="G357" s="491">
        <f>+INDEX('Fuel Model -  Input'!$B$3:$N$373,MATCH($B357,'Fuel Model -  Input'!$B$3:$B$373,0),MATCH(G$2,'Fuel Model -  Input'!$B$3:$N$3,0))</f>
        <v>11.32075471698113</v>
      </c>
      <c r="H357" s="491">
        <f>+INDEX('Fuel Model -  Input'!$B$3:$N$373,MATCH($B357,'Fuel Model -  Input'!$B$3:$B$373,0),MATCH(H$2,'Fuel Model -  Input'!$B$3:$N$3,0))</f>
        <v>11.32075471698113</v>
      </c>
      <c r="I357" s="491">
        <f>+INDEX('Fuel Model -  Input'!$B$3:$N$373,MATCH($B357,'Fuel Model -  Input'!$B$3:$B$373,0),MATCH(I$2,'Fuel Model -  Input'!$B$3:$N$3,0))</f>
        <v>11.32075471698113</v>
      </c>
      <c r="J357" s="491">
        <f>+INDEX('Fuel Model -  Input'!$B$3:$N$373,MATCH($B357,'Fuel Model -  Input'!$B$3:$B$373,0),MATCH(J$2,'Fuel Model -  Input'!$B$3:$N$3,0))</f>
        <v>11.32075471698113</v>
      </c>
      <c r="K357" s="491">
        <f>+INDEX('Fuel Model -  Input'!$B$3:$N$373,MATCH($B357,'Fuel Model -  Input'!$B$3:$B$373,0),MATCH(K$2,'Fuel Model -  Input'!$B$3:$N$3,0))</f>
        <v>11.32075471698113</v>
      </c>
      <c r="L357" s="491">
        <f>+INDEX('Fuel Model -  Input'!$B$3:$N$373,MATCH($B357,'Fuel Model -  Input'!$B$3:$B$373,0),MATCH(L$2,'Fuel Model -  Input'!$B$3:$N$3,0))</f>
        <v>11.32075471698113</v>
      </c>
      <c r="M357" s="491">
        <f>INDEX('Fuel Model -  Input'!$B$3:$N$373,MATCH($B357,'Fuel Model -  Input'!$B$3:$B$373,0),MATCH(M$2,'Fuel Model -  Input'!$B$3:$N$3,0))</f>
        <v>11.32075471698113</v>
      </c>
      <c r="O357" s="95"/>
    </row>
    <row r="358" spans="2:15" ht="12.75" hidden="1" outlineLevel="3" x14ac:dyDescent="0.2">
      <c r="B358" s="12" t="str">
        <f t="shared" si="170"/>
        <v>AsiaPlant capexElectrolyser unit cost (PEM)USD/ ton H2 cap</v>
      </c>
      <c r="C358" t="str">
        <f>+C356</f>
        <v>Asia</v>
      </c>
      <c r="D358" t="s">
        <v>786</v>
      </c>
      <c r="E358" t="s">
        <v>908</v>
      </c>
      <c r="F358" t="s">
        <v>892</v>
      </c>
      <c r="G358" s="8">
        <f>G360/(365*24*G359)*G364</f>
        <v>11580.702512111064</v>
      </c>
      <c r="H358" s="8">
        <f t="shared" ref="H358" si="175">H360/(365*24*H359)*H364</f>
        <v>8789.954337899544</v>
      </c>
      <c r="I358" s="8">
        <f t="shared" ref="I358" si="176">I360/(365*24*I359)*I364</f>
        <v>6175.483772802223</v>
      </c>
      <c r="J358" s="8">
        <f t="shared" ref="J358" si="177">J360/(365*24*J359)*J364</f>
        <v>5406.3737836727632</v>
      </c>
      <c r="K358" s="8">
        <f t="shared" ref="K358" si="178">K360/(365*24*K359)*K364</f>
        <v>4682.3996924135472</v>
      </c>
      <c r="L358" s="8">
        <f t="shared" ref="L358" si="179">L360/(365*24*L359)*L364</f>
        <v>4001.3821888501661</v>
      </c>
      <c r="M358" s="8">
        <f t="shared" ref="M358" si="180">M360/(365*24*M359)*M364</f>
        <v>3361.2379502790459</v>
      </c>
      <c r="O358" s="95"/>
    </row>
    <row r="359" spans="2:15" hidden="1" outlineLevel="3" x14ac:dyDescent="0.2">
      <c r="B359" s="12" t="str">
        <f t="shared" si="170"/>
        <v>AsiaGeneralCapacity factor%</v>
      </c>
      <c r="C359" t="str">
        <f>$B$328</f>
        <v>Asia</v>
      </c>
      <c r="D359" t="s">
        <v>173</v>
      </c>
      <c r="E359" t="s">
        <v>893</v>
      </c>
      <c r="F359" s="450" t="s">
        <v>178</v>
      </c>
      <c r="G359" s="467">
        <f>+INDEX('Fuel Model -  Input'!$B$3:$N$373,MATCH($B359,'Fuel Model -  Input'!$B$3:$B$373,0),MATCH(G$2,'Fuel Model -  Input'!$B$3:$N$3,0))</f>
        <v>0.9</v>
      </c>
      <c r="H359" s="467">
        <f>+INDEX('Fuel Model -  Input'!$B$3:$N$373,MATCH($B359,'Fuel Model -  Input'!$B$3:$B$373,0),MATCH(H$2,'Fuel Model -  Input'!$B$3:$N$3,0))</f>
        <v>0.9</v>
      </c>
      <c r="I359" s="467">
        <f>+INDEX('Fuel Model -  Input'!$B$3:$N$373,MATCH($B359,'Fuel Model -  Input'!$B$3:$B$373,0),MATCH(I$2,'Fuel Model -  Input'!$B$3:$N$3,0))</f>
        <v>0.9</v>
      </c>
      <c r="J359" s="467">
        <f>+INDEX('Fuel Model -  Input'!$B$3:$N$373,MATCH($B359,'Fuel Model -  Input'!$B$3:$B$373,0),MATCH(J$2,'Fuel Model -  Input'!$B$3:$N$3,0))</f>
        <v>0.9</v>
      </c>
      <c r="K359" s="467">
        <f>+INDEX('Fuel Model -  Input'!$B$3:$N$373,MATCH($B359,'Fuel Model -  Input'!$B$3:$B$373,0),MATCH(K$2,'Fuel Model -  Input'!$B$3:$N$3,0))</f>
        <v>0.9</v>
      </c>
      <c r="L359" s="467">
        <f>+INDEX('Fuel Model -  Input'!$B$3:$N$373,MATCH($B359,'Fuel Model -  Input'!$B$3:$B$373,0),MATCH(L$2,'Fuel Model -  Input'!$B$3:$N$3,0))</f>
        <v>0.9</v>
      </c>
      <c r="M359" s="467">
        <f>INDEX('Fuel Model -  Input'!$B$3:$N$373,MATCH($B359,'Fuel Model -  Input'!$B$3:$B$373,0),MATCH(M$2,'Fuel Model -  Input'!$B$3:$N$3,0))</f>
        <v>0.9</v>
      </c>
      <c r="O359" s="95"/>
    </row>
    <row r="360" spans="2:15" hidden="1" outlineLevel="3" x14ac:dyDescent="0.2">
      <c r="B360" s="12" t="str">
        <f t="shared" si="170"/>
        <v>GlobalCapexElectrolyser unit cost (PEM)USD/MW</v>
      </c>
      <c r="C360" t="s">
        <v>109</v>
      </c>
      <c r="D360" t="s">
        <v>218</v>
      </c>
      <c r="E360" t="s">
        <v>908</v>
      </c>
      <c r="F360" s="450" t="s">
        <v>279</v>
      </c>
      <c r="G360" s="491">
        <f>+INDEX('Fuel Model -  Input'!$B$3:$N$373,MATCH($B360,'Fuel Model -  Input'!$B$3:$B$373,0),MATCH(G$2,'Fuel Model -  Input'!$B$3:$N$3,0))</f>
        <v>1400000</v>
      </c>
      <c r="H360" s="491">
        <f>+INDEX('Fuel Model -  Input'!$B$3:$N$373,MATCH($B360,'Fuel Model -  Input'!$B$3:$B$373,0),MATCH(H$2,'Fuel Model -  Input'!$B$3:$N$3,0))</f>
        <v>1100000</v>
      </c>
      <c r="I360" s="491">
        <f>+INDEX('Fuel Model -  Input'!$B$3:$N$373,MATCH($B360,'Fuel Model -  Input'!$B$3:$B$373,0),MATCH(I$2,'Fuel Model -  Input'!$B$3:$N$3,0))</f>
        <v>800000</v>
      </c>
      <c r="J360" s="491">
        <f>+INDEX('Fuel Model -  Input'!$B$3:$N$373,MATCH($B360,'Fuel Model -  Input'!$B$3:$B$373,0),MATCH(J$2,'Fuel Model -  Input'!$B$3:$N$3,0))</f>
        <v>725000</v>
      </c>
      <c r="K360" s="491">
        <f>+INDEX('Fuel Model -  Input'!$B$3:$N$373,MATCH($B360,'Fuel Model -  Input'!$B$3:$B$373,0),MATCH(K$2,'Fuel Model -  Input'!$B$3:$N$3,0))</f>
        <v>650000</v>
      </c>
      <c r="L360" s="491">
        <f>+INDEX('Fuel Model -  Input'!$B$3:$N$373,MATCH($B360,'Fuel Model -  Input'!$B$3:$B$373,0),MATCH(L$2,'Fuel Model -  Input'!$B$3:$N$3,0))</f>
        <v>575000</v>
      </c>
      <c r="M360" s="491">
        <f>INDEX('Fuel Model -  Input'!$B$3:$N$373,MATCH($B360,'Fuel Model -  Input'!$B$3:$B$373,0),MATCH(M$2,'Fuel Model -  Input'!$B$3:$N$3,0))</f>
        <v>500000</v>
      </c>
      <c r="O360" s="95"/>
    </row>
    <row r="361" spans="2:15" ht="12.75" hidden="1" outlineLevel="3" x14ac:dyDescent="0.2">
      <c r="B361" s="48"/>
      <c r="F361"/>
      <c r="O361" s="95"/>
    </row>
    <row r="362" spans="2:15" ht="15" hidden="1" outlineLevel="3" x14ac:dyDescent="0.25">
      <c r="B362" s="3" t="str">
        <f>+C362&amp;D362&amp;E362&amp;F362</f>
        <v>AsiaFeedstockTotal Electricity (PEM)USD/ ton H2</v>
      </c>
      <c r="C362" t="str">
        <f>$B$328</f>
        <v>Asia</v>
      </c>
      <c r="D362" t="s">
        <v>777</v>
      </c>
      <c r="E362" t="s">
        <v>909</v>
      </c>
      <c r="F362" s="489" t="s">
        <v>859</v>
      </c>
      <c r="G362" s="492">
        <f t="shared" ref="G362:M362" si="181">G363*G364</f>
        <v>5351.7266359664427</v>
      </c>
      <c r="H362" s="492">
        <f t="shared" si="181"/>
        <v>3372.2774431834841</v>
      </c>
      <c r="I362" s="492">
        <f t="shared" si="181"/>
        <v>2634.8157253739937</v>
      </c>
      <c r="J362" s="492">
        <f t="shared" si="181"/>
        <v>2136.3112754641338</v>
      </c>
      <c r="K362" s="492">
        <f t="shared" si="181"/>
        <v>1862.8542912663538</v>
      </c>
      <c r="L362" s="492">
        <f t="shared" si="181"/>
        <v>1596.4465949991429</v>
      </c>
      <c r="M362" s="492">
        <f t="shared" si="181"/>
        <v>1452.2231577665245</v>
      </c>
      <c r="O362" s="95"/>
    </row>
    <row r="363" spans="2:15" hidden="1" outlineLevel="3" x14ac:dyDescent="0.2">
      <c r="B363" s="12" t="str">
        <f>+C363&amp;D363&amp;E363&amp;F363</f>
        <v>AsiaFeedstockElectricityUSD/MWh</v>
      </c>
      <c r="C363" t="str">
        <f>$B$328</f>
        <v>Asia</v>
      </c>
      <c r="D363" t="s">
        <v>777</v>
      </c>
      <c r="E363" t="s">
        <v>54</v>
      </c>
      <c r="F363" s="450" t="s">
        <v>196</v>
      </c>
      <c r="G363" s="491">
        <f>+INDEX('Fuel Model -  Input'!$B$3:$N$373,MATCH($B363,'Fuel Model -  Input'!$B$3:$B$373,0),MATCH(G$2,'Fuel Model -  Input'!$B$3:$N$3,0))</f>
        <v>82.061686148726054</v>
      </c>
      <c r="H363" s="491">
        <f>+INDEX('Fuel Model -  Input'!$B$3:$N$373,MATCH($B363,'Fuel Model -  Input'!$B$3:$B$373,0),MATCH(H$2,'Fuel Model -  Input'!$B$3:$N$3,0))</f>
        <v>53.528213383864831</v>
      </c>
      <c r="I363" s="491">
        <f>+INDEX('Fuel Model -  Input'!$B$3:$N$373,MATCH($B363,'Fuel Model -  Input'!$B$3:$B$373,0),MATCH(I$2,'Fuel Model -  Input'!$B$3:$N$3,0))</f>
        <v>43.29349363565693</v>
      </c>
      <c r="J363" s="491">
        <f>+INDEX('Fuel Model -  Input'!$B$3:$N$373,MATCH($B363,'Fuel Model -  Input'!$B$3:$B$373,0),MATCH(J$2,'Fuel Model -  Input'!$B$3:$N$3,0))</f>
        <v>36.337065788929628</v>
      </c>
      <c r="K363" s="491">
        <f>+INDEX('Fuel Model -  Input'!$B$3:$N$373,MATCH($B363,'Fuel Model -  Input'!$B$3:$B$373,0),MATCH(K$2,'Fuel Model -  Input'!$B$3:$N$3,0))</f>
        <v>32.800249332911001</v>
      </c>
      <c r="L363" s="491">
        <f>+INDEX('Fuel Model -  Input'!$B$3:$N$373,MATCH($B363,'Fuel Model -  Input'!$B$3:$B$373,0),MATCH(L$2,'Fuel Model -  Input'!$B$3:$N$3,0))</f>
        <v>29.0981641388437</v>
      </c>
      <c r="M363" s="491">
        <f>INDEX('Fuel Model -  Input'!$B$3:$N$373,MATCH($B363,'Fuel Model -  Input'!$B$3:$B$373,0),MATCH(M$2,'Fuel Model -  Input'!$B$3:$N$3,0))</f>
        <v>27.400436938991028</v>
      </c>
      <c r="O363" s="95"/>
    </row>
    <row r="364" spans="2:15" s="86" customFormat="1" hidden="1" outlineLevel="3" x14ac:dyDescent="0.2">
      <c r="B364" s="12" t="str">
        <f>+C364&amp;D364&amp;E364&amp;F364</f>
        <v>GlobalFeedstockSystem efficiency (PEM)kWh/kg H2</v>
      </c>
      <c r="C364" t="s">
        <v>109</v>
      </c>
      <c r="D364" t="s">
        <v>777</v>
      </c>
      <c r="E364" t="s">
        <v>910</v>
      </c>
      <c r="F364" s="450" t="s">
        <v>896</v>
      </c>
      <c r="G364" s="491">
        <f>+INDEX('Fuel Model -  Input'!$B$3:$N$373,MATCH($B364,'Fuel Model -  Input'!$B$3:$B$373,0),MATCH(G$2,'Fuel Model -  Input'!$B$3:$N$3,0))</f>
        <v>65.215899003916874</v>
      </c>
      <c r="H364" s="491">
        <f>+INDEX('Fuel Model -  Input'!$B$3:$N$373,MATCH($B364,'Fuel Model -  Input'!$B$3:$B$373,0),MATCH(H$2,'Fuel Model -  Input'!$B$3:$N$3,0))</f>
        <v>63</v>
      </c>
      <c r="I364" s="491">
        <f>+INDEX('Fuel Model -  Input'!$B$3:$N$373,MATCH($B364,'Fuel Model -  Input'!$B$3:$B$373,0),MATCH(I$2,'Fuel Model -  Input'!$B$3:$N$3,0))</f>
        <v>60.859392580965903</v>
      </c>
      <c r="J364" s="491">
        <f>+INDEX('Fuel Model -  Input'!$B$3:$N$373,MATCH($B364,'Fuel Model -  Input'!$B$3:$B$373,0),MATCH(J$2,'Fuel Model -  Input'!$B$3:$N$3,0))</f>
        <v>58.791518497208372</v>
      </c>
      <c r="K364" s="491">
        <f>+INDEX('Fuel Model -  Input'!$B$3:$N$373,MATCH($B364,'Fuel Model -  Input'!$B$3:$B$373,0),MATCH(K$2,'Fuel Model -  Input'!$B$3:$N$3,0))</f>
        <v>56.793906423059092</v>
      </c>
      <c r="L364" s="491">
        <f>+INDEX('Fuel Model -  Input'!$B$3:$N$373,MATCH($B364,'Fuel Model -  Input'!$B$3:$B$373,0),MATCH(L$2,'Fuel Model -  Input'!$B$3:$N$3,0))</f>
        <v>54.864169003295146</v>
      </c>
      <c r="M364" s="491">
        <f>+INDEX('Fuel Model -  Input'!$B$3:$N$373,MATCH($B364,'Fuel Model -  Input'!$B$3:$B$373,0),MATCH(M$2,'Fuel Model -  Input'!$B$3:$N$3,0))</f>
        <v>53</v>
      </c>
      <c r="O364" s="95"/>
    </row>
    <row r="365" spans="2:15" hidden="1" outlineLevel="3" x14ac:dyDescent="0.2">
      <c r="B365" s="12"/>
      <c r="G365" s="493"/>
      <c r="H365" s="493"/>
      <c r="I365" s="493"/>
      <c r="J365" s="493"/>
      <c r="K365" s="493"/>
      <c r="L365" s="493"/>
      <c r="M365" s="493"/>
      <c r="O365" s="118"/>
    </row>
    <row r="366" spans="2:15" ht="15" hidden="1" outlineLevel="3" x14ac:dyDescent="0.25">
      <c r="B366" t="str">
        <f t="shared" ref="B366:B368" si="182">+C366&amp;D366&amp;E366&amp;F366</f>
        <v>GlobalFeedstockCost of H2O in H2USD/ton H2</v>
      </c>
      <c r="C366" s="494" t="str">
        <f>C364</f>
        <v>Global</v>
      </c>
      <c r="D366" t="s">
        <v>777</v>
      </c>
      <c r="E366" t="s">
        <v>897</v>
      </c>
      <c r="F366" s="127" t="s">
        <v>881</v>
      </c>
      <c r="G366" s="261">
        <f t="shared" ref="G366:M366" si="183">G367*G368</f>
        <v>13.5</v>
      </c>
      <c r="H366" s="261">
        <f t="shared" si="183"/>
        <v>13.5</v>
      </c>
      <c r="I366" s="261">
        <f t="shared" si="183"/>
        <v>13.5</v>
      </c>
      <c r="J366" s="261">
        <f t="shared" si="183"/>
        <v>13.5</v>
      </c>
      <c r="K366" s="261">
        <f t="shared" si="183"/>
        <v>13.5</v>
      </c>
      <c r="L366" s="261">
        <f t="shared" si="183"/>
        <v>13.5</v>
      </c>
      <c r="M366" s="261">
        <f t="shared" si="183"/>
        <v>13.5</v>
      </c>
    </row>
    <row r="367" spans="2:15" hidden="1" outlineLevel="3" x14ac:dyDescent="0.2">
      <c r="B367" t="str">
        <f t="shared" si="182"/>
        <v>GlobalFeedstockConversion H2O:H2 (actual)ton H2O/ton H2</v>
      </c>
      <c r="C367" t="s">
        <v>109</v>
      </c>
      <c r="D367" t="s">
        <v>777</v>
      </c>
      <c r="E367" t="s">
        <v>898</v>
      </c>
      <c r="F367" s="128" t="s">
        <v>899</v>
      </c>
      <c r="G367" s="495">
        <f>INDEX('Fuel Model -  Input'!$B$3:$N$373,MATCH($B367,'Fuel Model -  Input'!$B$3:$B$373,0),MATCH(G$2,'Fuel Model -  Input'!$B$3:$N$3,0))</f>
        <v>9</v>
      </c>
      <c r="H367" s="495">
        <f>INDEX('Fuel Model -  Input'!$B$3:$N$373,MATCH($B367,'Fuel Model -  Input'!$B$3:$B$373,0),MATCH(H$2,'Fuel Model -  Input'!$B$3:$N$3,0))</f>
        <v>9</v>
      </c>
      <c r="I367" s="495">
        <f>INDEX('Fuel Model -  Input'!$B$3:$N$373,MATCH($B367,'Fuel Model -  Input'!$B$3:$B$373,0),MATCH(I$2,'Fuel Model -  Input'!$B$3:$N$3,0))</f>
        <v>9</v>
      </c>
      <c r="J367" s="495">
        <f>INDEX('Fuel Model -  Input'!$B$3:$N$373,MATCH($B367,'Fuel Model -  Input'!$B$3:$B$373,0),MATCH(J$2,'Fuel Model -  Input'!$B$3:$N$3,0))</f>
        <v>9</v>
      </c>
      <c r="K367" s="495">
        <f>INDEX('Fuel Model -  Input'!$B$3:$N$373,MATCH($B367,'Fuel Model -  Input'!$B$3:$B$373,0),MATCH(K$2,'Fuel Model -  Input'!$B$3:$N$3,0))</f>
        <v>9</v>
      </c>
      <c r="L367" s="495">
        <f>INDEX('Fuel Model -  Input'!$B$3:$N$373,MATCH($B367,'Fuel Model -  Input'!$B$3:$B$373,0),MATCH(L$2,'Fuel Model -  Input'!$B$3:$N$3,0))</f>
        <v>9</v>
      </c>
      <c r="M367" s="495">
        <f>INDEX('Fuel Model -  Input'!$B$3:$N$373,MATCH($B367,'Fuel Model -  Input'!$B$3:$B$373,0),MATCH(M$2,'Fuel Model -  Input'!$B$3:$N$3,0))</f>
        <v>9</v>
      </c>
    </row>
    <row r="368" spans="2:15" hidden="1" outlineLevel="3" x14ac:dyDescent="0.2">
      <c r="B368" t="str">
        <f t="shared" si="182"/>
        <v>GlobalFeedstockDemineralized water costUSD/ton demin H2O</v>
      </c>
      <c r="C368" s="494" t="s">
        <v>109</v>
      </c>
      <c r="D368" t="s">
        <v>777</v>
      </c>
      <c r="E368" t="s">
        <v>900</v>
      </c>
      <c r="F368" s="450" t="s">
        <v>901</v>
      </c>
      <c r="G368" s="495">
        <f>+INDEX('Fuel Model -  Input'!$B$3:$N$373,MATCH($B368,'Fuel Model -  Input'!$B$3:$B$373,0),MATCH(G$2,'Fuel Model -  Input'!$B$3:$N$3,0))</f>
        <v>1.5</v>
      </c>
      <c r="H368" s="495">
        <f>+INDEX('Fuel Model -  Input'!$B$3:$N$373,MATCH($B368,'Fuel Model -  Input'!$B$3:$B$373,0),MATCH(H$2,'Fuel Model -  Input'!$B$3:$N$3,0))</f>
        <v>1.5</v>
      </c>
      <c r="I368" s="495">
        <f>+INDEX('Fuel Model -  Input'!$B$3:$N$373,MATCH($B368,'Fuel Model -  Input'!$B$3:$B$373,0),MATCH(I$2,'Fuel Model -  Input'!$B$3:$N$3,0))</f>
        <v>1.5</v>
      </c>
      <c r="J368" s="495">
        <f>+INDEX('Fuel Model -  Input'!$B$3:$N$373,MATCH($B368,'Fuel Model -  Input'!$B$3:$B$373,0),MATCH(J$2,'Fuel Model -  Input'!$B$3:$N$3,0))</f>
        <v>1.5</v>
      </c>
      <c r="K368" s="495">
        <f>+INDEX('Fuel Model -  Input'!$B$3:$N$373,MATCH($B368,'Fuel Model -  Input'!$B$3:$B$373,0),MATCH(K$2,'Fuel Model -  Input'!$B$3:$N$3,0))</f>
        <v>1.5</v>
      </c>
      <c r="L368" s="495">
        <f>+INDEX('Fuel Model -  Input'!$B$3:$N$373,MATCH($B368,'Fuel Model -  Input'!$B$3:$B$373,0),MATCH(L$2,'Fuel Model -  Input'!$B$3:$N$3,0))</f>
        <v>1.5</v>
      </c>
      <c r="M368" s="495">
        <f>+INDEX('Fuel Model -  Input'!$B$3:$N$373,MATCH($B368,'Fuel Model -  Input'!$B$3:$B$373,0),MATCH(M$2,'Fuel Model -  Input'!$B$3:$N$3,0))</f>
        <v>1.5</v>
      </c>
    </row>
    <row r="369" spans="2:15" ht="12.75" hidden="1" outlineLevel="3" x14ac:dyDescent="0.2">
      <c r="F369"/>
      <c r="O369" s="118"/>
    </row>
    <row r="370" spans="2:15" ht="15" hidden="1" outlineLevel="3" x14ac:dyDescent="0.25">
      <c r="B370" s="496" t="str">
        <f>+C370&amp;D370&amp;E370&amp;F370</f>
        <v>AsiaOpexPlantUSD/ ton H2</v>
      </c>
      <c r="C370" t="str">
        <f>$B$328</f>
        <v>Asia</v>
      </c>
      <c r="D370" t="s">
        <v>219</v>
      </c>
      <c r="E370" t="s">
        <v>902</v>
      </c>
      <c r="F370" s="489" t="s">
        <v>859</v>
      </c>
      <c r="G370" s="492">
        <f t="shared" ref="G370:M370" si="184">G358*G371</f>
        <v>1210.9240593456448</v>
      </c>
      <c r="H370" s="492">
        <f t="shared" si="184"/>
        <v>878.9954337899544</v>
      </c>
      <c r="I370" s="492">
        <f t="shared" si="184"/>
        <v>590.59393435322147</v>
      </c>
      <c r="J370" s="492">
        <f t="shared" si="184"/>
        <v>494.4724087762018</v>
      </c>
      <c r="K370" s="492">
        <f t="shared" si="184"/>
        <v>409.56465909829154</v>
      </c>
      <c r="L370" s="492">
        <f t="shared" si="184"/>
        <v>334.72027853567823</v>
      </c>
      <c r="M370" s="492">
        <f t="shared" si="184"/>
        <v>268.89903602232368</v>
      </c>
      <c r="O370" s="95"/>
    </row>
    <row r="371" spans="2:15" hidden="1" outlineLevel="3" x14ac:dyDescent="0.2">
      <c r="B371" s="497" t="str">
        <f>+C371&amp;D371&amp;E371&amp;F371</f>
        <v>GlobalOpexPlant - Electrolysis - opex (PEM)Percent of Capex</v>
      </c>
      <c r="C371" t="s">
        <v>109</v>
      </c>
      <c r="D371" s="157" t="s">
        <v>219</v>
      </c>
      <c r="E371" s="498" t="s">
        <v>911</v>
      </c>
      <c r="F371" s="450" t="s">
        <v>883</v>
      </c>
      <c r="G371" s="467">
        <f>+INDEX('Fuel Model -  Input'!$B$3:$N$373,MATCH($B371,'Fuel Model -  Input'!$B$3:$B$373,0),MATCH(G$2,'Fuel Model -  Input'!$B$3:$N$3,0))</f>
        <v>0.10456395525912733</v>
      </c>
      <c r="H371" s="467">
        <f>+INDEX('Fuel Model -  Input'!$B$3:$N$373,MATCH($B371,'Fuel Model -  Input'!$B$3:$B$373,0),MATCH(H$2,'Fuel Model -  Input'!$B$3:$N$3,0))</f>
        <v>0.1</v>
      </c>
      <c r="I371" s="467">
        <f>+INDEX('Fuel Model -  Input'!$B$3:$N$373,MATCH($B371,'Fuel Model -  Input'!$B$3:$B$373,0),MATCH(I$2,'Fuel Model -  Input'!$B$3:$N$3,0))</f>
        <v>9.5635249979003703E-2</v>
      </c>
      <c r="J371" s="467">
        <f>+INDEX('Fuel Model -  Input'!$B$3:$N$373,MATCH($B371,'Fuel Model -  Input'!$B$3:$B$373,0),MATCH(J$2,'Fuel Model -  Input'!$B$3:$N$3,0))</f>
        <v>9.146101038546528E-2</v>
      </c>
      <c r="K371" s="467">
        <f>+INDEX('Fuel Model -  Input'!$B$3:$N$373,MATCH($B371,'Fuel Model -  Input'!$B$3:$B$373,0),MATCH(K$2,'Fuel Model -  Input'!$B$3:$N$3,0))</f>
        <v>8.7468965915462257E-2</v>
      </c>
      <c r="L371" s="467">
        <f>+INDEX('Fuel Model -  Input'!$B$3:$N$373,MATCH($B371,'Fuel Model -  Input'!$B$3:$B$373,0),MATCH(L$2,'Fuel Model -  Input'!$B$3:$N$3,0))</f>
        <v>8.365116420730187E-2</v>
      </c>
      <c r="M371" s="467">
        <f>INDEX('Fuel Model -  Input'!$B$3:$N$373,MATCH($B371,'Fuel Model -  Input'!$B$3:$B$373,0),MATCH(M$2,'Fuel Model -  Input'!$B$3:$N$3,0))</f>
        <v>0.08</v>
      </c>
      <c r="O371" s="95"/>
    </row>
    <row r="372" spans="2:15" hidden="1" outlineLevel="2" x14ac:dyDescent="0.2"/>
    <row r="373" spans="2:15" s="506" customFormat="1" ht="15" hidden="1" outlineLevel="2" collapsed="1" x14ac:dyDescent="0.25">
      <c r="B373" s="505" t="s">
        <v>912</v>
      </c>
      <c r="C373"/>
      <c r="F373" s="507"/>
      <c r="G373" s="508">
        <f t="shared" ref="G373:M373" si="185">G374</f>
        <v>7843.6794447444081</v>
      </c>
      <c r="H373" s="508">
        <f t="shared" si="185"/>
        <v>5521.9631037556028</v>
      </c>
      <c r="I373" s="508">
        <f t="shared" si="185"/>
        <v>4231.3005023123114</v>
      </c>
      <c r="J373" s="508">
        <f t="shared" si="185"/>
        <v>3288.688487933071</v>
      </c>
      <c r="K373" s="508">
        <f t="shared" si="185"/>
        <v>2608.0849966119417</v>
      </c>
      <c r="L373" s="508">
        <f t="shared" si="185"/>
        <v>2010.8527162225664</v>
      </c>
      <c r="M373" s="508">
        <f t="shared" si="185"/>
        <v>1565.2928876729509</v>
      </c>
    </row>
    <row r="374" spans="2:15" ht="15" hidden="1" outlineLevel="3" x14ac:dyDescent="0.25">
      <c r="B374" s="3" t="str">
        <f t="shared" ref="B374:B382" si="186">+C374&amp;D374&amp;E374&amp;F374</f>
        <v>AsiaResultsCost of e-Hydrogen (SO)USD/ton</v>
      </c>
      <c r="C374" t="str">
        <f>$B$328</f>
        <v>Asia</v>
      </c>
      <c r="D374" t="s">
        <v>838</v>
      </c>
      <c r="E374" s="30" t="s">
        <v>865</v>
      </c>
      <c r="F374" s="450" t="s">
        <v>205</v>
      </c>
      <c r="G374" s="488">
        <f t="shared" ref="G374:M374" si="187">SUM(G375:G376)</f>
        <v>7843.6794447444081</v>
      </c>
      <c r="H374" s="488">
        <f t="shared" si="187"/>
        <v>5521.9631037556028</v>
      </c>
      <c r="I374" s="488">
        <f t="shared" si="187"/>
        <v>4231.3005023123114</v>
      </c>
      <c r="J374" s="488">
        <f t="shared" si="187"/>
        <v>3288.688487933071</v>
      </c>
      <c r="K374" s="488">
        <f t="shared" si="187"/>
        <v>2608.0849966119417</v>
      </c>
      <c r="L374" s="488">
        <f t="shared" si="187"/>
        <v>2010.8527162225664</v>
      </c>
      <c r="M374" s="488">
        <f t="shared" si="187"/>
        <v>1565.2928876729509</v>
      </c>
      <c r="O374" s="95"/>
    </row>
    <row r="375" spans="2:15" ht="15" hidden="1" outlineLevel="3" x14ac:dyDescent="0.25">
      <c r="B375" s="3" t="str">
        <f t="shared" si="186"/>
        <v>AsiaResultsCapex (SO)USD/ton</v>
      </c>
      <c r="C375" t="str">
        <f>$B$328</f>
        <v>Asia</v>
      </c>
      <c r="D375" t="s">
        <v>838</v>
      </c>
      <c r="E375" s="228" t="s">
        <v>913</v>
      </c>
      <c r="F375" s="450" t="s">
        <v>205</v>
      </c>
      <c r="G375" s="488">
        <f t="shared" ref="G375:M375" si="188">G378</f>
        <v>1758.6412738718229</v>
      </c>
      <c r="H375" s="488">
        <f t="shared" si="188"/>
        <v>1478.9446981227807</v>
      </c>
      <c r="I375" s="488">
        <f t="shared" si="188"/>
        <v>1209.1833312371305</v>
      </c>
      <c r="J375" s="488">
        <f t="shared" si="188"/>
        <v>972.80874742053015</v>
      </c>
      <c r="K375" s="488">
        <f t="shared" si="188"/>
        <v>744.92929162816165</v>
      </c>
      <c r="L375" s="488">
        <f t="shared" si="188"/>
        <v>525.30843245521976</v>
      </c>
      <c r="M375" s="488">
        <f t="shared" si="188"/>
        <v>313.71554202604437</v>
      </c>
      <c r="O375" s="95"/>
    </row>
    <row r="376" spans="2:15" ht="15" hidden="1" outlineLevel="3" x14ac:dyDescent="0.25">
      <c r="B376" s="3" t="str">
        <f t="shared" si="186"/>
        <v>AsiaResultsOpex (SO)USD/ton</v>
      </c>
      <c r="C376" t="str">
        <f>$B$328</f>
        <v>Asia</v>
      </c>
      <c r="D376" t="s">
        <v>838</v>
      </c>
      <c r="E376" s="228" t="s">
        <v>914</v>
      </c>
      <c r="F376" s="450" t="s">
        <v>205</v>
      </c>
      <c r="G376" s="488">
        <f>SUM(G384,G388,G392)</f>
        <v>6085.0381708725854</v>
      </c>
      <c r="H376" s="488">
        <f t="shared" ref="H376:M376" si="189">SUM(H384,H388,H392)</f>
        <v>4043.0184056328226</v>
      </c>
      <c r="I376" s="488">
        <f t="shared" si="189"/>
        <v>3022.1171710751814</v>
      </c>
      <c r="J376" s="488">
        <f t="shared" si="189"/>
        <v>2315.8797405125406</v>
      </c>
      <c r="K376" s="488">
        <f t="shared" si="189"/>
        <v>1863.1557049837802</v>
      </c>
      <c r="L376" s="488">
        <f t="shared" si="189"/>
        <v>1485.5442837673468</v>
      </c>
      <c r="M376" s="488">
        <f t="shared" si="189"/>
        <v>1251.5773456469065</v>
      </c>
      <c r="O376" s="95"/>
    </row>
    <row r="377" spans="2:15" hidden="1" outlineLevel="3" x14ac:dyDescent="0.2">
      <c r="B377" s="12" t="str">
        <f t="shared" si="186"/>
        <v/>
      </c>
    </row>
    <row r="378" spans="2:15" ht="15" hidden="1" outlineLevel="3" x14ac:dyDescent="0.25">
      <c r="B378" s="3" t="str">
        <f t="shared" si="186"/>
        <v>AsiaCapexCost per ton H2USD/ ton H2</v>
      </c>
      <c r="C378" t="str">
        <f>$B$328</f>
        <v>Asia</v>
      </c>
      <c r="D378" t="s">
        <v>218</v>
      </c>
      <c r="E378" t="s">
        <v>920</v>
      </c>
      <c r="F378" s="489" t="s">
        <v>859</v>
      </c>
      <c r="G378" s="490">
        <f t="shared" ref="G378:M378" si="190">G380/G379</f>
        <v>1758.6412738718229</v>
      </c>
      <c r="H378" s="490">
        <f t="shared" si="190"/>
        <v>1478.9446981227807</v>
      </c>
      <c r="I378" s="490">
        <f t="shared" si="190"/>
        <v>1209.1833312371305</v>
      </c>
      <c r="J378" s="490">
        <f t="shared" si="190"/>
        <v>972.80874742053015</v>
      </c>
      <c r="K378" s="490">
        <f t="shared" si="190"/>
        <v>744.92929162816165</v>
      </c>
      <c r="L378" s="490">
        <f t="shared" si="190"/>
        <v>525.30843245521976</v>
      </c>
      <c r="M378" s="490">
        <f t="shared" si="190"/>
        <v>313.71554202604437</v>
      </c>
      <c r="O378" s="118"/>
    </row>
    <row r="379" spans="2:15" hidden="1" outlineLevel="3" x14ac:dyDescent="0.2">
      <c r="B379" s="12" t="str">
        <f t="shared" si="186"/>
        <v>GlobalPlant capexAnnualisation factor#</v>
      </c>
      <c r="C379" t="s">
        <v>109</v>
      </c>
      <c r="D379" t="s">
        <v>786</v>
      </c>
      <c r="E379" t="s">
        <v>764</v>
      </c>
      <c r="F379" s="450" t="s">
        <v>787</v>
      </c>
      <c r="G379" s="491">
        <f>+INDEX('Fuel Model -  Input'!$B$3:$N$373,MATCH($B379,'Fuel Model -  Input'!$B$3:$B$373,0),MATCH(G$2,'Fuel Model -  Input'!$B$3:$N$3,0))</f>
        <v>11.32075471698113</v>
      </c>
      <c r="H379" s="491">
        <f>+INDEX('Fuel Model -  Input'!$B$3:$N$373,MATCH($B379,'Fuel Model -  Input'!$B$3:$B$373,0),MATCH(H$2,'Fuel Model -  Input'!$B$3:$N$3,0))</f>
        <v>11.32075471698113</v>
      </c>
      <c r="I379" s="491">
        <f>+INDEX('Fuel Model -  Input'!$B$3:$N$373,MATCH($B379,'Fuel Model -  Input'!$B$3:$B$373,0),MATCH(I$2,'Fuel Model -  Input'!$B$3:$N$3,0))</f>
        <v>11.32075471698113</v>
      </c>
      <c r="J379" s="491">
        <f>+INDEX('Fuel Model -  Input'!$B$3:$N$373,MATCH($B379,'Fuel Model -  Input'!$B$3:$B$373,0),MATCH(J$2,'Fuel Model -  Input'!$B$3:$N$3,0))</f>
        <v>11.32075471698113</v>
      </c>
      <c r="K379" s="491">
        <f>+INDEX('Fuel Model -  Input'!$B$3:$N$373,MATCH($B379,'Fuel Model -  Input'!$B$3:$B$373,0),MATCH(K$2,'Fuel Model -  Input'!$B$3:$N$3,0))</f>
        <v>11.32075471698113</v>
      </c>
      <c r="L379" s="491">
        <f>+INDEX('Fuel Model -  Input'!$B$3:$N$373,MATCH($B379,'Fuel Model -  Input'!$B$3:$B$373,0),MATCH(L$2,'Fuel Model -  Input'!$B$3:$N$3,0))</f>
        <v>11.32075471698113</v>
      </c>
      <c r="M379" s="491">
        <f>INDEX('Fuel Model -  Input'!$B$3:$N$373,MATCH($B379,'Fuel Model -  Input'!$B$3:$B$373,0),MATCH(M$2,'Fuel Model -  Input'!$B$3:$N$3,0))</f>
        <v>11.32075471698113</v>
      </c>
      <c r="O379" s="95"/>
    </row>
    <row r="380" spans="2:15" ht="12.75" hidden="1" outlineLevel="3" x14ac:dyDescent="0.2">
      <c r="B380" s="12" t="str">
        <f t="shared" si="186"/>
        <v>AsiaPlant capexElectrolyser unit cost (SO)USD/ ton H2 cap</v>
      </c>
      <c r="C380" t="str">
        <f>+C378</f>
        <v>Asia</v>
      </c>
      <c r="D380" t="s">
        <v>786</v>
      </c>
      <c r="E380" t="s">
        <v>916</v>
      </c>
      <c r="F380" t="s">
        <v>892</v>
      </c>
      <c r="G380" s="8">
        <f>G382/(365*24*G381)*G386</f>
        <v>19909.146496662142</v>
      </c>
      <c r="H380" s="8">
        <f t="shared" ref="H380" si="191">H382/(365*24*H381)*H386</f>
        <v>16742.770167427701</v>
      </c>
      <c r="I380" s="8">
        <f t="shared" ref="I380" si="192">I382/(365*24*I381)*I386</f>
        <v>13688.867900797701</v>
      </c>
      <c r="J380" s="8">
        <f t="shared" ref="J380" si="193">J382/(365*24*J381)*J386</f>
        <v>11012.929216081471</v>
      </c>
      <c r="K380" s="8">
        <f t="shared" ref="K380" si="194">K382/(365*24*K381)*K386</f>
        <v>8433.1617920169228</v>
      </c>
      <c r="L380" s="8">
        <f t="shared" ref="L380" si="195">L382/(365*24*L381)*L386</f>
        <v>5946.8879145873925</v>
      </c>
      <c r="M380" s="8">
        <f t="shared" ref="M380" si="196">M382/(365*24*M381)*M386</f>
        <v>3551.4967021816337</v>
      </c>
      <c r="O380" s="95"/>
    </row>
    <row r="381" spans="2:15" hidden="1" outlineLevel="3" x14ac:dyDescent="0.2">
      <c r="B381" s="12" t="str">
        <f t="shared" si="186"/>
        <v>AsiaGeneralCapacity factor%</v>
      </c>
      <c r="C381" t="str">
        <f>$B$328</f>
        <v>Asia</v>
      </c>
      <c r="D381" t="s">
        <v>173</v>
      </c>
      <c r="E381" t="s">
        <v>893</v>
      </c>
      <c r="F381" s="450" t="s">
        <v>178</v>
      </c>
      <c r="G381" s="467">
        <f>+INDEX('Fuel Model -  Input'!$B$3:$N$373,MATCH($B381,'Fuel Model -  Input'!$B$3:$B$373,0),MATCH(G$2,'Fuel Model -  Input'!$B$3:$N$3,0))</f>
        <v>0.9</v>
      </c>
      <c r="H381" s="467">
        <f>+INDEX('Fuel Model -  Input'!$B$3:$N$373,MATCH($B381,'Fuel Model -  Input'!$B$3:$B$373,0),MATCH(H$2,'Fuel Model -  Input'!$B$3:$N$3,0))</f>
        <v>0.9</v>
      </c>
      <c r="I381" s="467">
        <f>+INDEX('Fuel Model -  Input'!$B$3:$N$373,MATCH($B381,'Fuel Model -  Input'!$B$3:$B$373,0),MATCH(I$2,'Fuel Model -  Input'!$B$3:$N$3,0))</f>
        <v>0.9</v>
      </c>
      <c r="J381" s="467">
        <f>+INDEX('Fuel Model -  Input'!$B$3:$N$373,MATCH($B381,'Fuel Model -  Input'!$B$3:$B$373,0),MATCH(J$2,'Fuel Model -  Input'!$B$3:$N$3,0))</f>
        <v>0.9</v>
      </c>
      <c r="K381" s="467">
        <f>+INDEX('Fuel Model -  Input'!$B$3:$N$373,MATCH($B381,'Fuel Model -  Input'!$B$3:$B$373,0),MATCH(K$2,'Fuel Model -  Input'!$B$3:$N$3,0))</f>
        <v>0.9</v>
      </c>
      <c r="L381" s="467">
        <f>+INDEX('Fuel Model -  Input'!$B$3:$N$373,MATCH($B381,'Fuel Model -  Input'!$B$3:$B$373,0),MATCH(L$2,'Fuel Model -  Input'!$B$3:$N$3,0))</f>
        <v>0.9</v>
      </c>
      <c r="M381" s="467">
        <f>INDEX('Fuel Model -  Input'!$B$3:$N$373,MATCH($B381,'Fuel Model -  Input'!$B$3:$B$373,0),MATCH(M$2,'Fuel Model -  Input'!$B$3:$N$3,0))</f>
        <v>0.9</v>
      </c>
      <c r="O381" s="95"/>
    </row>
    <row r="382" spans="2:15" hidden="1" outlineLevel="3" x14ac:dyDescent="0.2">
      <c r="B382" s="12" t="str">
        <f t="shared" si="186"/>
        <v>GlobalCapexElectrolyser unit cost (SO)USD/MW</v>
      </c>
      <c r="C382" t="s">
        <v>109</v>
      </c>
      <c r="D382" t="s">
        <v>218</v>
      </c>
      <c r="E382" t="s">
        <v>916</v>
      </c>
      <c r="F382" s="450" t="s">
        <v>279</v>
      </c>
      <c r="G382" s="491">
        <f>+INDEX('Fuel Model -  Input'!$B$3:$N$373,MATCH($B382,'Fuel Model -  Input'!$B$3:$B$373,0),MATCH(G$2,'Fuel Model -  Input'!$B$3:$N$3,0))</f>
        <v>3500000</v>
      </c>
      <c r="H382" s="491">
        <f>+INDEX('Fuel Model -  Input'!$B$3:$N$373,MATCH($B382,'Fuel Model -  Input'!$B$3:$B$373,0),MATCH(H$2,'Fuel Model -  Input'!$B$3:$N$3,0))</f>
        <v>3000000</v>
      </c>
      <c r="I382" s="491">
        <f>+INDEX('Fuel Model -  Input'!$B$3:$N$373,MATCH($B382,'Fuel Model -  Input'!$B$3:$B$373,0),MATCH(I$2,'Fuel Model -  Input'!$B$3:$N$3,0))</f>
        <v>2500000</v>
      </c>
      <c r="J382" s="491">
        <f>+INDEX('Fuel Model -  Input'!$B$3:$N$373,MATCH($B382,'Fuel Model -  Input'!$B$3:$B$373,0),MATCH(J$2,'Fuel Model -  Input'!$B$3:$N$3,0))</f>
        <v>2050000</v>
      </c>
      <c r="K382" s="491">
        <f>+INDEX('Fuel Model -  Input'!$B$3:$N$373,MATCH($B382,'Fuel Model -  Input'!$B$3:$B$373,0),MATCH(K$2,'Fuel Model -  Input'!$B$3:$N$3,0))</f>
        <v>1600000</v>
      </c>
      <c r="L382" s="491">
        <f>+INDEX('Fuel Model -  Input'!$B$3:$N$373,MATCH($B382,'Fuel Model -  Input'!$B$3:$B$373,0),MATCH(L$2,'Fuel Model -  Input'!$B$3:$N$3,0))</f>
        <v>1150000</v>
      </c>
      <c r="M382" s="491">
        <f>INDEX('Fuel Model -  Input'!$B$3:$N$373,MATCH($B382,'Fuel Model -  Input'!$B$3:$B$373,0),MATCH(M$2,'Fuel Model -  Input'!$B$3:$N$3,0))</f>
        <v>700000</v>
      </c>
      <c r="O382" s="95"/>
    </row>
    <row r="383" spans="2:15" ht="12.75" hidden="1" outlineLevel="3" x14ac:dyDescent="0.2">
      <c r="B383" s="48"/>
      <c r="F383"/>
      <c r="O383" s="95"/>
    </row>
    <row r="384" spans="2:15" ht="15" hidden="1" outlineLevel="3" x14ac:dyDescent="0.25">
      <c r="B384" s="3" t="str">
        <f>+C384&amp;D384&amp;E384&amp;F384</f>
        <v>AsiaFeedstockTotal Electricity (SO)USD/ ton H2</v>
      </c>
      <c r="C384" t="str">
        <f>$B$328</f>
        <v>Asia</v>
      </c>
      <c r="D384" t="s">
        <v>777</v>
      </c>
      <c r="E384" t="s">
        <v>917</v>
      </c>
      <c r="F384" s="489" t="s">
        <v>859</v>
      </c>
      <c r="G384" s="492">
        <f t="shared" ref="G384:M384" si="197">G385*G386</f>
        <v>3680.2019391869148</v>
      </c>
      <c r="H384" s="492">
        <f t="shared" si="197"/>
        <v>2355.2413888900523</v>
      </c>
      <c r="I384" s="492">
        <f t="shared" si="197"/>
        <v>1868.9460834242143</v>
      </c>
      <c r="J384" s="492">
        <f t="shared" si="197"/>
        <v>1539.0242310965884</v>
      </c>
      <c r="K384" s="492">
        <f t="shared" si="197"/>
        <v>1362.9948360300552</v>
      </c>
      <c r="L384" s="492">
        <f t="shared" si="197"/>
        <v>1186.326188552955</v>
      </c>
      <c r="M384" s="492">
        <f t="shared" si="197"/>
        <v>1096.0174775596411</v>
      </c>
      <c r="O384" s="95"/>
    </row>
    <row r="385" spans="2:15" hidden="1" outlineLevel="3" x14ac:dyDescent="0.2">
      <c r="B385" s="12" t="str">
        <f>+C385&amp;D385&amp;E385&amp;F385</f>
        <v>AsiaFeedstockElectricityUSD/MWh</v>
      </c>
      <c r="C385" t="str">
        <f>$B$328</f>
        <v>Asia</v>
      </c>
      <c r="D385" t="s">
        <v>777</v>
      </c>
      <c r="E385" t="s">
        <v>54</v>
      </c>
      <c r="F385" s="450" t="s">
        <v>196</v>
      </c>
      <c r="G385" s="491">
        <f>+INDEX('Fuel Model -  Input'!$B$3:$N$373,MATCH($B385,'Fuel Model -  Input'!$B$3:$B$373,0),MATCH(G$2,'Fuel Model -  Input'!$B$3:$N$3,0))</f>
        <v>82.061686148726054</v>
      </c>
      <c r="H385" s="491">
        <f>+INDEX('Fuel Model -  Input'!$B$3:$N$373,MATCH($B385,'Fuel Model -  Input'!$B$3:$B$373,0),MATCH(H$2,'Fuel Model -  Input'!$B$3:$N$3,0))</f>
        <v>53.528213383864831</v>
      </c>
      <c r="I385" s="491">
        <f>+INDEX('Fuel Model -  Input'!$B$3:$N$373,MATCH($B385,'Fuel Model -  Input'!$B$3:$B$373,0),MATCH(I$2,'Fuel Model -  Input'!$B$3:$N$3,0))</f>
        <v>43.29349363565693</v>
      </c>
      <c r="J385" s="491">
        <f>+INDEX('Fuel Model -  Input'!$B$3:$N$373,MATCH($B385,'Fuel Model -  Input'!$B$3:$B$373,0),MATCH(J$2,'Fuel Model -  Input'!$B$3:$N$3,0))</f>
        <v>36.337065788929628</v>
      </c>
      <c r="K385" s="491">
        <f>+INDEX('Fuel Model -  Input'!$B$3:$N$373,MATCH($B385,'Fuel Model -  Input'!$B$3:$B$373,0),MATCH(K$2,'Fuel Model -  Input'!$B$3:$N$3,0))</f>
        <v>32.800249332911001</v>
      </c>
      <c r="L385" s="491">
        <f>+INDEX('Fuel Model -  Input'!$B$3:$N$373,MATCH($B385,'Fuel Model -  Input'!$B$3:$B$373,0),MATCH(L$2,'Fuel Model -  Input'!$B$3:$N$3,0))</f>
        <v>29.0981641388437</v>
      </c>
      <c r="M385" s="491">
        <f>INDEX('Fuel Model -  Input'!$B$3:$N$373,MATCH($B385,'Fuel Model -  Input'!$B$3:$B$373,0),MATCH(M$2,'Fuel Model -  Input'!$B$3:$N$3,0))</f>
        <v>27.400436938991028</v>
      </c>
      <c r="O385" s="95"/>
    </row>
    <row r="386" spans="2:15" s="86" customFormat="1" hidden="1" outlineLevel="3" x14ac:dyDescent="0.2">
      <c r="B386" s="12" t="str">
        <f>+C386&amp;D386&amp;E386&amp;F386</f>
        <v>GlobalFeedstockSystem efficiency (SO)kWh/kg H2</v>
      </c>
      <c r="C386" t="s">
        <v>109</v>
      </c>
      <c r="D386" t="s">
        <v>777</v>
      </c>
      <c r="E386" t="s">
        <v>918</v>
      </c>
      <c r="F386" s="450" t="s">
        <v>896</v>
      </c>
      <c r="G386" s="491">
        <f>+INDEX('Fuel Model -  Input'!$B$3:$N$373,MATCH($B386,'Fuel Model -  Input'!$B$3:$B$373,0),MATCH(G$2,'Fuel Model -  Input'!$B$3:$N$3,0))</f>
        <v>44.846774565624095</v>
      </c>
      <c r="H386" s="491">
        <f>+INDEX('Fuel Model -  Input'!$B$3:$N$373,MATCH($B386,'Fuel Model -  Input'!$B$3:$B$373,0),MATCH(H$2,'Fuel Model -  Input'!$B$3:$N$3,0))</f>
        <v>44</v>
      </c>
      <c r="I386" s="491">
        <f>+INDEX('Fuel Model -  Input'!$B$3:$N$373,MATCH($B386,'Fuel Model -  Input'!$B$3:$B$373,0),MATCH(I$2,'Fuel Model -  Input'!$B$3:$N$3,0))</f>
        <v>43.169213811955629</v>
      </c>
      <c r="J386" s="491">
        <f>+INDEX('Fuel Model -  Input'!$B$3:$N$373,MATCH($B386,'Fuel Model -  Input'!$B$3:$B$373,0),MATCH(J$2,'Fuel Model -  Input'!$B$3:$N$3,0))</f>
        <v>42.354114116871379</v>
      </c>
      <c r="K386" s="491">
        <f>+INDEX('Fuel Model -  Input'!$B$3:$N$373,MATCH($B386,'Fuel Model -  Input'!$B$3:$B$373,0),MATCH(K$2,'Fuel Model -  Input'!$B$3:$N$3,0))</f>
        <v>41.554404730163384</v>
      </c>
      <c r="L386" s="491">
        <f>+INDEX('Fuel Model -  Input'!$B$3:$N$373,MATCH($B386,'Fuel Model -  Input'!$B$3:$B$373,0),MATCH(L$2,'Fuel Model -  Input'!$B$3:$N$3,0))</f>
        <v>40.769795059658264</v>
      </c>
      <c r="M386" s="491">
        <f>+INDEX('Fuel Model -  Input'!$B$3:$N$373,MATCH($B386,'Fuel Model -  Input'!$B$3:$B$373,0),MATCH(M$2,'Fuel Model -  Input'!$B$3:$N$3,0))</f>
        <v>40</v>
      </c>
      <c r="O386" s="95"/>
    </row>
    <row r="387" spans="2:15" hidden="1" outlineLevel="3" x14ac:dyDescent="0.2">
      <c r="B387" s="12"/>
      <c r="G387" s="493"/>
      <c r="H387" s="493"/>
      <c r="I387" s="493"/>
      <c r="J387" s="493"/>
      <c r="K387" s="493"/>
      <c r="L387" s="493"/>
      <c r="M387" s="493"/>
      <c r="O387" s="118"/>
    </row>
    <row r="388" spans="2:15" ht="15" hidden="1" outlineLevel="3" x14ac:dyDescent="0.25">
      <c r="B388" t="str">
        <f t="shared" ref="B388:B390" si="198">+C388&amp;D388&amp;E388&amp;F388</f>
        <v>GlobalFeedstockCost of H2O in H2USD/ton H2</v>
      </c>
      <c r="C388" s="494" t="str">
        <f>C386</f>
        <v>Global</v>
      </c>
      <c r="D388" t="s">
        <v>777</v>
      </c>
      <c r="E388" t="s">
        <v>897</v>
      </c>
      <c r="F388" s="127" t="s">
        <v>881</v>
      </c>
      <c r="G388" s="261">
        <f t="shared" ref="G388:M388" si="199">G389*G390</f>
        <v>13.5</v>
      </c>
      <c r="H388" s="261">
        <f t="shared" si="199"/>
        <v>13.5</v>
      </c>
      <c r="I388" s="261">
        <f t="shared" si="199"/>
        <v>13.5</v>
      </c>
      <c r="J388" s="261">
        <f t="shared" si="199"/>
        <v>13.5</v>
      </c>
      <c r="K388" s="261">
        <f t="shared" si="199"/>
        <v>13.5</v>
      </c>
      <c r="L388" s="261">
        <f t="shared" si="199"/>
        <v>13.5</v>
      </c>
      <c r="M388" s="261">
        <f t="shared" si="199"/>
        <v>13.5</v>
      </c>
    </row>
    <row r="389" spans="2:15" hidden="1" outlineLevel="3" x14ac:dyDescent="0.2">
      <c r="B389" t="str">
        <f t="shared" si="198"/>
        <v>GlobalFeedstockConversion H2O:H2 (actual)ton H2O/ton H2</v>
      </c>
      <c r="C389" t="s">
        <v>109</v>
      </c>
      <c r="D389" t="s">
        <v>777</v>
      </c>
      <c r="E389" t="s">
        <v>898</v>
      </c>
      <c r="F389" s="128" t="s">
        <v>899</v>
      </c>
      <c r="G389" s="495">
        <f>INDEX('Fuel Model -  Input'!$B$3:$N$373,MATCH($B389,'Fuel Model -  Input'!$B$3:$B$373,0),MATCH(G$2,'Fuel Model -  Input'!$B$3:$N$3,0))</f>
        <v>9</v>
      </c>
      <c r="H389" s="495">
        <f>INDEX('Fuel Model -  Input'!$B$3:$N$373,MATCH($B389,'Fuel Model -  Input'!$B$3:$B$373,0),MATCH(H$2,'Fuel Model -  Input'!$B$3:$N$3,0))</f>
        <v>9</v>
      </c>
      <c r="I389" s="495">
        <f>INDEX('Fuel Model -  Input'!$B$3:$N$373,MATCH($B389,'Fuel Model -  Input'!$B$3:$B$373,0),MATCH(I$2,'Fuel Model -  Input'!$B$3:$N$3,0))</f>
        <v>9</v>
      </c>
      <c r="J389" s="495">
        <f>INDEX('Fuel Model -  Input'!$B$3:$N$373,MATCH($B389,'Fuel Model -  Input'!$B$3:$B$373,0),MATCH(J$2,'Fuel Model -  Input'!$B$3:$N$3,0))</f>
        <v>9</v>
      </c>
      <c r="K389" s="495">
        <f>INDEX('Fuel Model -  Input'!$B$3:$N$373,MATCH($B389,'Fuel Model -  Input'!$B$3:$B$373,0),MATCH(K$2,'Fuel Model -  Input'!$B$3:$N$3,0))</f>
        <v>9</v>
      </c>
      <c r="L389" s="495">
        <f>INDEX('Fuel Model -  Input'!$B$3:$N$373,MATCH($B389,'Fuel Model -  Input'!$B$3:$B$373,0),MATCH(L$2,'Fuel Model -  Input'!$B$3:$N$3,0))</f>
        <v>9</v>
      </c>
      <c r="M389" s="495">
        <f>INDEX('Fuel Model -  Input'!$B$3:$N$373,MATCH($B389,'Fuel Model -  Input'!$B$3:$B$373,0),MATCH(M$2,'Fuel Model -  Input'!$B$3:$N$3,0))</f>
        <v>9</v>
      </c>
    </row>
    <row r="390" spans="2:15" hidden="1" outlineLevel="3" x14ac:dyDescent="0.2">
      <c r="B390" t="str">
        <f t="shared" si="198"/>
        <v>GlobalFeedstockDemineralized water costUSD/ton demin H2O</v>
      </c>
      <c r="C390" s="494" t="s">
        <v>109</v>
      </c>
      <c r="D390" t="s">
        <v>777</v>
      </c>
      <c r="E390" t="s">
        <v>900</v>
      </c>
      <c r="F390" s="450" t="s">
        <v>901</v>
      </c>
      <c r="G390" s="495">
        <f>+INDEX('Fuel Model -  Input'!$B$3:$N$373,MATCH($B390,'Fuel Model -  Input'!$B$3:$B$373,0),MATCH(G$2,'Fuel Model -  Input'!$B$3:$N$3,0))</f>
        <v>1.5</v>
      </c>
      <c r="H390" s="495">
        <f>+INDEX('Fuel Model -  Input'!$B$3:$N$373,MATCH($B390,'Fuel Model -  Input'!$B$3:$B$373,0),MATCH(H$2,'Fuel Model -  Input'!$B$3:$N$3,0))</f>
        <v>1.5</v>
      </c>
      <c r="I390" s="495">
        <f>+INDEX('Fuel Model -  Input'!$B$3:$N$373,MATCH($B390,'Fuel Model -  Input'!$B$3:$B$373,0),MATCH(I$2,'Fuel Model -  Input'!$B$3:$N$3,0))</f>
        <v>1.5</v>
      </c>
      <c r="J390" s="495">
        <f>+INDEX('Fuel Model -  Input'!$B$3:$N$373,MATCH($B390,'Fuel Model -  Input'!$B$3:$B$373,0),MATCH(J$2,'Fuel Model -  Input'!$B$3:$N$3,0))</f>
        <v>1.5</v>
      </c>
      <c r="K390" s="495">
        <f>+INDEX('Fuel Model -  Input'!$B$3:$N$373,MATCH($B390,'Fuel Model -  Input'!$B$3:$B$373,0),MATCH(K$2,'Fuel Model -  Input'!$B$3:$N$3,0))</f>
        <v>1.5</v>
      </c>
      <c r="L390" s="495">
        <f>+INDEX('Fuel Model -  Input'!$B$3:$N$373,MATCH($B390,'Fuel Model -  Input'!$B$3:$B$373,0),MATCH(L$2,'Fuel Model -  Input'!$B$3:$N$3,0))</f>
        <v>1.5</v>
      </c>
      <c r="M390" s="495">
        <f>+INDEX('Fuel Model -  Input'!$B$3:$N$373,MATCH($B390,'Fuel Model -  Input'!$B$3:$B$373,0),MATCH(M$2,'Fuel Model -  Input'!$B$3:$N$3,0))</f>
        <v>1.5</v>
      </c>
    </row>
    <row r="391" spans="2:15" ht="12.75" hidden="1" outlineLevel="3" x14ac:dyDescent="0.2">
      <c r="F391"/>
      <c r="O391" s="118"/>
    </row>
    <row r="392" spans="2:15" ht="15" hidden="1" outlineLevel="3" x14ac:dyDescent="0.25">
      <c r="B392" s="496" t="str">
        <f>+C392&amp;D392&amp;E392&amp;F392</f>
        <v>AsiaOpexPlantUSD/ ton H2</v>
      </c>
      <c r="C392" t="str">
        <f>$B$328</f>
        <v>Asia</v>
      </c>
      <c r="D392" t="s">
        <v>219</v>
      </c>
      <c r="E392" t="s">
        <v>902</v>
      </c>
      <c r="F392" s="489" t="s">
        <v>859</v>
      </c>
      <c r="G392" s="492">
        <f t="shared" ref="G392:M392" si="200">G380*G393</f>
        <v>2391.336231685671</v>
      </c>
      <c r="H392" s="492">
        <f t="shared" si="200"/>
        <v>1674.2770167427702</v>
      </c>
      <c r="I392" s="492">
        <f t="shared" si="200"/>
        <v>1139.6710876509674</v>
      </c>
      <c r="J392" s="492">
        <f t="shared" si="200"/>
        <v>763.35550941595204</v>
      </c>
      <c r="K392" s="492">
        <f t="shared" si="200"/>
        <v>486.6608689537249</v>
      </c>
      <c r="L392" s="492">
        <f t="shared" si="200"/>
        <v>285.71809521439178</v>
      </c>
      <c r="M392" s="492">
        <f t="shared" si="200"/>
        <v>142.05986808726536</v>
      </c>
      <c r="O392" s="95"/>
    </row>
    <row r="393" spans="2:15" hidden="1" outlineLevel="3" x14ac:dyDescent="0.2">
      <c r="B393" s="497" t="str">
        <f>+C393&amp;D393&amp;E393&amp;F393</f>
        <v>GlobalOpexPlant - Electrolysis - opex (SO)Percent of Capex</v>
      </c>
      <c r="C393" t="s">
        <v>109</v>
      </c>
      <c r="D393" s="157" t="s">
        <v>219</v>
      </c>
      <c r="E393" s="498" t="s">
        <v>919</v>
      </c>
      <c r="F393" s="450" t="s">
        <v>883</v>
      </c>
      <c r="G393" s="467">
        <f>+INDEX('Fuel Model -  Input'!$B$3:$N$373,MATCH($B393,'Fuel Model -  Input'!$B$3:$B$373,0),MATCH(G$2,'Fuel Model -  Input'!$B$3:$N$3,0))</f>
        <v>0.12011244339814313</v>
      </c>
      <c r="H393" s="467">
        <f>+INDEX('Fuel Model -  Input'!$B$3:$N$373,MATCH($B393,'Fuel Model -  Input'!$B$3:$B$373,0),MATCH(H$2,'Fuel Model -  Input'!$B$3:$N$3,0))</f>
        <v>0.1</v>
      </c>
      <c r="I393" s="467">
        <f>+INDEX('Fuel Model -  Input'!$B$3:$N$373,MATCH($B393,'Fuel Model -  Input'!$B$3:$B$373,0),MATCH(I$2,'Fuel Model -  Input'!$B$3:$N$3,0))</f>
        <v>8.3255320740187322E-2</v>
      </c>
      <c r="J393" s="467">
        <f>+INDEX('Fuel Model -  Input'!$B$3:$N$373,MATCH($B393,'Fuel Model -  Input'!$B$3:$B$373,0),MATCH(J$2,'Fuel Model -  Input'!$B$3:$N$3,0))</f>
        <v>6.9314484315514638E-2</v>
      </c>
      <c r="K393" s="467">
        <f>+INDEX('Fuel Model -  Input'!$B$3:$N$373,MATCH($B393,'Fuel Model -  Input'!$B$3:$B$373,0),MATCH(K$2,'Fuel Model -  Input'!$B$3:$N$3,0))</f>
        <v>5.7707996236288542E-2</v>
      </c>
      <c r="L393" s="467">
        <f>+INDEX('Fuel Model -  Input'!$B$3:$N$373,MATCH($B393,'Fuel Model -  Input'!$B$3:$B$373,0),MATCH(L$2,'Fuel Model -  Input'!$B$3:$N$3,0))</f>
        <v>4.8044977359257245E-2</v>
      </c>
      <c r="M393" s="467">
        <f>INDEX('Fuel Model -  Input'!$B$3:$N$373,MATCH($B393,'Fuel Model -  Input'!$B$3:$B$373,0),MATCH(M$2,'Fuel Model -  Input'!$B$3:$N$3,0))</f>
        <v>0.04</v>
      </c>
      <c r="O393" s="95"/>
    </row>
    <row r="394" spans="2:15" hidden="1" outlineLevel="1" x14ac:dyDescent="0.2"/>
    <row r="395" spans="2:15" s="30" customFormat="1" ht="15" hidden="1" outlineLevel="1" collapsed="1" x14ac:dyDescent="0.25">
      <c r="B395" s="30" t="s">
        <v>199</v>
      </c>
      <c r="C395" s="30" t="str">
        <f>+B395</f>
        <v>Americas</v>
      </c>
      <c r="F395" s="450"/>
    </row>
    <row r="396" spans="2:15" s="487" customFormat="1" ht="15" hidden="1" outlineLevel="2" collapsed="1" x14ac:dyDescent="0.25">
      <c r="B396" s="510" t="s">
        <v>887</v>
      </c>
      <c r="C396" s="509"/>
      <c r="D396" s="484"/>
      <c r="E396" s="484"/>
      <c r="F396" s="485"/>
      <c r="G396" s="486">
        <f t="shared" ref="G396:M396" si="201">G397</f>
        <v>3648.6416225288863</v>
      </c>
      <c r="H396" s="486">
        <f t="shared" si="201"/>
        <v>3085.7275694028735</v>
      </c>
      <c r="I396" s="486">
        <f t="shared" si="201"/>
        <v>2396.6931520964722</v>
      </c>
      <c r="J396" s="486">
        <f t="shared" si="201"/>
        <v>2144.9634070988031</v>
      </c>
      <c r="K396" s="486">
        <f t="shared" si="201"/>
        <v>1924.1318096659982</v>
      </c>
      <c r="L396" s="486">
        <f t="shared" si="201"/>
        <v>1778.6351851310098</v>
      </c>
      <c r="M396" s="486">
        <f t="shared" si="201"/>
        <v>1646.4238808741716</v>
      </c>
    </row>
    <row r="397" spans="2:15" ht="15" hidden="1" outlineLevel="3" x14ac:dyDescent="0.25">
      <c r="B397" s="3" t="str">
        <f t="shared" ref="B397:B405" si="202">+C397&amp;D397&amp;E397&amp;F397</f>
        <v>AmericasResultsCost of e-Hydrogen (Alk)USD/ton</v>
      </c>
      <c r="C397" t="str">
        <f>$B$395</f>
        <v>Americas</v>
      </c>
      <c r="D397" t="s">
        <v>838</v>
      </c>
      <c r="E397" s="30" t="s">
        <v>863</v>
      </c>
      <c r="F397" s="450" t="s">
        <v>205</v>
      </c>
      <c r="G397" s="488">
        <f t="shared" ref="G397:M397" si="203">SUM(G398:G399)</f>
        <v>3648.6416225288863</v>
      </c>
      <c r="H397" s="488">
        <f t="shared" si="203"/>
        <v>3085.7275694028735</v>
      </c>
      <c r="I397" s="488">
        <f t="shared" si="203"/>
        <v>2396.6931520964722</v>
      </c>
      <c r="J397" s="488">
        <f t="shared" si="203"/>
        <v>2144.9634070988031</v>
      </c>
      <c r="K397" s="488">
        <f t="shared" si="203"/>
        <v>1924.1318096659982</v>
      </c>
      <c r="L397" s="488">
        <f t="shared" si="203"/>
        <v>1778.6351851310098</v>
      </c>
      <c r="M397" s="488">
        <f t="shared" si="203"/>
        <v>1646.4238808741716</v>
      </c>
      <c r="O397" s="95"/>
    </row>
    <row r="398" spans="2:15" ht="15" hidden="1" outlineLevel="3" x14ac:dyDescent="0.25">
      <c r="B398" s="3" t="str">
        <f t="shared" si="202"/>
        <v>AmericasResultsCapex (Alk)USD/ton</v>
      </c>
      <c r="C398" t="str">
        <f>$B$395</f>
        <v>Americas</v>
      </c>
      <c r="D398" t="s">
        <v>838</v>
      </c>
      <c r="E398" s="228" t="s">
        <v>888</v>
      </c>
      <c r="F398" s="450" t="s">
        <v>205</v>
      </c>
      <c r="G398" s="488">
        <f t="shared" ref="G398:M398" si="204">G401</f>
        <v>787.464217475032</v>
      </c>
      <c r="H398" s="488">
        <f t="shared" si="204"/>
        <v>616.22695755115865</v>
      </c>
      <c r="I398" s="488">
        <f t="shared" si="204"/>
        <v>446.35788397320005</v>
      </c>
      <c r="J398" s="488">
        <f t="shared" si="204"/>
        <v>402.8806831018826</v>
      </c>
      <c r="K398" s="488">
        <f t="shared" si="204"/>
        <v>359.74685839083924</v>
      </c>
      <c r="L398" s="488">
        <f t="shared" si="204"/>
        <v>316.9543475337004</v>
      </c>
      <c r="M398" s="488">
        <f t="shared" si="204"/>
        <v>274.50109927278885</v>
      </c>
      <c r="O398" s="95"/>
    </row>
    <row r="399" spans="2:15" ht="15" hidden="1" outlineLevel="3" x14ac:dyDescent="0.25">
      <c r="B399" s="3" t="str">
        <f t="shared" si="202"/>
        <v>AmericasResultsOpex (Alk)USD/ton</v>
      </c>
      <c r="C399" t="str">
        <f>$B$395</f>
        <v>Americas</v>
      </c>
      <c r="D399" t="s">
        <v>838</v>
      </c>
      <c r="E399" s="228" t="s">
        <v>889</v>
      </c>
      <c r="F399" s="450" t="s">
        <v>205</v>
      </c>
      <c r="G399" s="488">
        <f>SUM(G407,G411,G415)</f>
        <v>2861.1774050538543</v>
      </c>
      <c r="H399" s="488">
        <f t="shared" ref="H399:M399" si="205">SUM(H407,H411,H415)</f>
        <v>2469.5006118517149</v>
      </c>
      <c r="I399" s="488">
        <f t="shared" si="205"/>
        <v>1950.335268123272</v>
      </c>
      <c r="J399" s="488">
        <f t="shared" si="205"/>
        <v>1742.0827239969203</v>
      </c>
      <c r="K399" s="488">
        <f t="shared" si="205"/>
        <v>1564.384951275159</v>
      </c>
      <c r="L399" s="488">
        <f t="shared" si="205"/>
        <v>1461.6808375973094</v>
      </c>
      <c r="M399" s="488">
        <f t="shared" si="205"/>
        <v>1371.9227816013827</v>
      </c>
      <c r="O399" s="95"/>
    </row>
    <row r="400" spans="2:15" hidden="1" outlineLevel="3" x14ac:dyDescent="0.2">
      <c r="B400" s="12" t="str">
        <f t="shared" si="202"/>
        <v/>
      </c>
    </row>
    <row r="401" spans="2:15" ht="15" hidden="1" outlineLevel="3" x14ac:dyDescent="0.25">
      <c r="B401" s="3" t="str">
        <f t="shared" si="202"/>
        <v>AmericasCapexCost per ton H2USD/ ton H2</v>
      </c>
      <c r="C401" t="str">
        <f>$B$395</f>
        <v>Americas</v>
      </c>
      <c r="D401" t="s">
        <v>218</v>
      </c>
      <c r="E401" t="s">
        <v>920</v>
      </c>
      <c r="F401" s="489" t="s">
        <v>859</v>
      </c>
      <c r="G401" s="490">
        <f t="shared" ref="G401:M401" si="206">G403/G402</f>
        <v>787.464217475032</v>
      </c>
      <c r="H401" s="490">
        <f t="shared" si="206"/>
        <v>616.22695755115865</v>
      </c>
      <c r="I401" s="490">
        <f t="shared" si="206"/>
        <v>446.35788397320005</v>
      </c>
      <c r="J401" s="490">
        <f t="shared" si="206"/>
        <v>402.8806831018826</v>
      </c>
      <c r="K401" s="490">
        <f t="shared" si="206"/>
        <v>359.74685839083924</v>
      </c>
      <c r="L401" s="490">
        <f t="shared" si="206"/>
        <v>316.9543475337004</v>
      </c>
      <c r="M401" s="490">
        <f t="shared" si="206"/>
        <v>274.50109927278885</v>
      </c>
    </row>
    <row r="402" spans="2:15" hidden="1" outlineLevel="3" x14ac:dyDescent="0.2">
      <c r="B402" s="12" t="str">
        <f t="shared" si="202"/>
        <v>GlobalPlant capexAnnualisation factor#</v>
      </c>
      <c r="C402" t="s">
        <v>109</v>
      </c>
      <c r="D402" t="s">
        <v>786</v>
      </c>
      <c r="E402" t="s">
        <v>764</v>
      </c>
      <c r="F402" s="450" t="s">
        <v>787</v>
      </c>
      <c r="G402" s="491">
        <f>+INDEX('Fuel Model -  Input'!$B$3:$N$373,MATCH($B402,'Fuel Model -  Input'!$B$3:$B$373,0),MATCH(G$2,'Fuel Model -  Input'!$B$3:$N$3,0))</f>
        <v>11.32075471698113</v>
      </c>
      <c r="H402" s="491">
        <f>+INDEX('Fuel Model -  Input'!$B$3:$N$373,MATCH($B402,'Fuel Model -  Input'!$B$3:$B$373,0),MATCH(H$2,'Fuel Model -  Input'!$B$3:$N$3,0))</f>
        <v>11.32075471698113</v>
      </c>
      <c r="I402" s="491">
        <f>+INDEX('Fuel Model -  Input'!$B$3:$N$373,MATCH($B402,'Fuel Model -  Input'!$B$3:$B$373,0),MATCH(I$2,'Fuel Model -  Input'!$B$3:$N$3,0))</f>
        <v>11.32075471698113</v>
      </c>
      <c r="J402" s="491">
        <f>+INDEX('Fuel Model -  Input'!$B$3:$N$373,MATCH($B402,'Fuel Model -  Input'!$B$3:$B$373,0),MATCH(J$2,'Fuel Model -  Input'!$B$3:$N$3,0))</f>
        <v>11.32075471698113</v>
      </c>
      <c r="K402" s="491">
        <f>+INDEX('Fuel Model -  Input'!$B$3:$N$373,MATCH($B402,'Fuel Model -  Input'!$B$3:$B$373,0),MATCH(K$2,'Fuel Model -  Input'!$B$3:$N$3,0))</f>
        <v>11.32075471698113</v>
      </c>
      <c r="L402" s="491">
        <f>+INDEX('Fuel Model -  Input'!$B$3:$N$373,MATCH($B402,'Fuel Model -  Input'!$B$3:$B$373,0),MATCH(L$2,'Fuel Model -  Input'!$B$3:$N$3,0))</f>
        <v>11.32075471698113</v>
      </c>
      <c r="M402" s="491">
        <f>INDEX('Fuel Model -  Input'!$B$3:$N$373,MATCH($B402,'Fuel Model -  Input'!$B$3:$B$373,0),MATCH(M$2,'Fuel Model -  Input'!$B$3:$N$3,0))</f>
        <v>11.32075471698113</v>
      </c>
      <c r="O402" s="95"/>
    </row>
    <row r="403" spans="2:15" ht="12.75" hidden="1" outlineLevel="3" x14ac:dyDescent="0.2">
      <c r="B403" s="12" t="str">
        <f t="shared" si="202"/>
        <v>AmericasPlant capexElectrolyser unit cost (Alk)USD/ ton H2 cap</v>
      </c>
      <c r="C403" t="str">
        <f>+C401</f>
        <v>Americas</v>
      </c>
      <c r="D403" t="s">
        <v>786</v>
      </c>
      <c r="E403" t="s">
        <v>891</v>
      </c>
      <c r="F403" t="s">
        <v>892</v>
      </c>
      <c r="G403" s="8">
        <f>G405/(365*24*G404)*G409</f>
        <v>8914.6892544343227</v>
      </c>
      <c r="H403" s="8">
        <f t="shared" ref="H403" si="207">H405/(365*24*H404)*H409</f>
        <v>6976.1542364282095</v>
      </c>
      <c r="I403" s="8">
        <f t="shared" ref="I403" si="208">I405/(365*24*I404)*I409</f>
        <v>5053.1081204513202</v>
      </c>
      <c r="J403" s="8">
        <f t="shared" ref="J403" si="209">J405/(365*24*J404)*J409</f>
        <v>4560.9133936062171</v>
      </c>
      <c r="K403" s="8">
        <f t="shared" ref="K403" si="210">K405/(365*24*K404)*K409</f>
        <v>4072.6059440472354</v>
      </c>
      <c r="L403" s="8">
        <f t="shared" ref="L403" si="211">L405/(365*24*L404)*L409</f>
        <v>3588.1624249098149</v>
      </c>
      <c r="M403" s="8">
        <f t="shared" ref="M403" si="212">M405/(365*24*M404)*M409</f>
        <v>3107.5596144089295</v>
      </c>
    </row>
    <row r="404" spans="2:15" hidden="1" outlineLevel="3" x14ac:dyDescent="0.2">
      <c r="B404" s="12" t="str">
        <f t="shared" si="202"/>
        <v>AmericasGeneralCapacity factor%</v>
      </c>
      <c r="C404" t="str">
        <f>$B$395</f>
        <v>Americas</v>
      </c>
      <c r="D404" t="s">
        <v>173</v>
      </c>
      <c r="E404" t="s">
        <v>893</v>
      </c>
      <c r="F404" s="450" t="s">
        <v>178</v>
      </c>
      <c r="G404" s="467">
        <f>+INDEX('Fuel Model -  Input'!$B$3:$N$373,MATCH($B404,'Fuel Model -  Input'!$B$3:$B$373,0),MATCH(G$2,'Fuel Model -  Input'!$B$3:$N$3,0))</f>
        <v>0.9</v>
      </c>
      <c r="H404" s="467">
        <f>+INDEX('Fuel Model -  Input'!$B$3:$N$373,MATCH($B404,'Fuel Model -  Input'!$B$3:$B$373,0),MATCH(H$2,'Fuel Model -  Input'!$B$3:$N$3,0))</f>
        <v>0.9</v>
      </c>
      <c r="I404" s="467">
        <f>+INDEX('Fuel Model -  Input'!$B$3:$N$373,MATCH($B404,'Fuel Model -  Input'!$B$3:$B$373,0),MATCH(I$2,'Fuel Model -  Input'!$B$3:$N$3,0))</f>
        <v>0.9</v>
      </c>
      <c r="J404" s="467">
        <f>+INDEX('Fuel Model -  Input'!$B$3:$N$373,MATCH($B404,'Fuel Model -  Input'!$B$3:$B$373,0),MATCH(J$2,'Fuel Model -  Input'!$B$3:$N$3,0))</f>
        <v>0.9</v>
      </c>
      <c r="K404" s="467">
        <f>+INDEX('Fuel Model -  Input'!$B$3:$N$373,MATCH($B404,'Fuel Model -  Input'!$B$3:$B$373,0),MATCH(K$2,'Fuel Model -  Input'!$B$3:$N$3,0))</f>
        <v>0.9</v>
      </c>
      <c r="L404" s="467">
        <f>+INDEX('Fuel Model -  Input'!$B$3:$N$373,MATCH($B404,'Fuel Model -  Input'!$B$3:$B$373,0),MATCH(L$2,'Fuel Model -  Input'!$B$3:$N$3,0))</f>
        <v>0.9</v>
      </c>
      <c r="M404" s="467">
        <f>INDEX('Fuel Model -  Input'!$B$3:$N$373,MATCH($B404,'Fuel Model -  Input'!$B$3:$B$373,0),MATCH(M$2,'Fuel Model -  Input'!$B$3:$N$3,0))</f>
        <v>0.9</v>
      </c>
      <c r="O404" s="118"/>
    </row>
    <row r="405" spans="2:15" hidden="1" outlineLevel="3" x14ac:dyDescent="0.2">
      <c r="B405" s="12" t="str">
        <f t="shared" si="202"/>
        <v>GlobalCapexElectrolyser unit cost (Alk)USD/MW</v>
      </c>
      <c r="C405" t="s">
        <v>109</v>
      </c>
      <c r="D405" t="s">
        <v>218</v>
      </c>
      <c r="E405" t="s">
        <v>891</v>
      </c>
      <c r="F405" s="450" t="s">
        <v>279</v>
      </c>
      <c r="G405" s="491">
        <f>+INDEX('Fuel Model -  Input'!$B$3:$N$373,MATCH($B405,'Fuel Model -  Input'!$B$3:$B$373,0),MATCH(G$2,'Fuel Model -  Input'!$B$3:$N$3,0))</f>
        <v>1400000</v>
      </c>
      <c r="H405" s="491">
        <f>+INDEX('Fuel Model -  Input'!$B$3:$N$373,MATCH($B405,'Fuel Model -  Input'!$B$3:$B$373,0),MATCH(H$2,'Fuel Model -  Input'!$B$3:$N$3,0))</f>
        <v>1100000</v>
      </c>
      <c r="I405" s="491">
        <f>+INDEX('Fuel Model -  Input'!$B$3:$N$373,MATCH($B405,'Fuel Model -  Input'!$B$3:$B$373,0),MATCH(I$2,'Fuel Model -  Input'!$B$3:$N$3,0))</f>
        <v>800000</v>
      </c>
      <c r="J405" s="491">
        <f>+INDEX('Fuel Model -  Input'!$B$3:$N$373,MATCH($B405,'Fuel Model -  Input'!$B$3:$B$373,0),MATCH(J$2,'Fuel Model -  Input'!$B$3:$N$3,0))</f>
        <v>725000</v>
      </c>
      <c r="K405" s="491">
        <f>+INDEX('Fuel Model -  Input'!$B$3:$N$373,MATCH($B405,'Fuel Model -  Input'!$B$3:$B$373,0),MATCH(K$2,'Fuel Model -  Input'!$B$3:$N$3,0))</f>
        <v>650000</v>
      </c>
      <c r="L405" s="491">
        <f>+INDEX('Fuel Model -  Input'!$B$3:$N$373,MATCH($B405,'Fuel Model -  Input'!$B$3:$B$373,0),MATCH(L$2,'Fuel Model -  Input'!$B$3:$N$3,0))</f>
        <v>575000</v>
      </c>
      <c r="M405" s="491">
        <f>INDEX('Fuel Model -  Input'!$B$3:$N$373,MATCH($B405,'Fuel Model -  Input'!$B$3:$B$373,0),MATCH(M$2,'Fuel Model -  Input'!$B$3:$N$3,0))</f>
        <v>500000</v>
      </c>
      <c r="O405" s="118"/>
    </row>
    <row r="406" spans="2:15" ht="12.75" hidden="1" outlineLevel="3" x14ac:dyDescent="0.2">
      <c r="B406" s="48"/>
      <c r="F406"/>
    </row>
    <row r="407" spans="2:15" ht="15" hidden="1" outlineLevel="3" x14ac:dyDescent="0.25">
      <c r="B407" s="3" t="str">
        <f>+C407&amp;D407&amp;E407&amp;F407</f>
        <v>AmericasFeedstockTotal Electricity (Alk)USD/ ton H2</v>
      </c>
      <c r="C407" t="str">
        <f>$B$395</f>
        <v>Americas</v>
      </c>
      <c r="D407" t="s">
        <v>777</v>
      </c>
      <c r="E407" t="s">
        <v>894</v>
      </c>
      <c r="F407" s="489" t="s">
        <v>859</v>
      </c>
      <c r="G407" s="492">
        <f t="shared" ref="G407:M407" si="213">G408*G409</f>
        <v>1956.2084796104218</v>
      </c>
      <c r="H407" s="492">
        <f t="shared" si="213"/>
        <v>1758.3851882088936</v>
      </c>
      <c r="I407" s="492">
        <f t="shared" si="213"/>
        <v>1431.52445607814</v>
      </c>
      <c r="J407" s="492">
        <f t="shared" si="213"/>
        <v>1272.4913846362986</v>
      </c>
      <c r="K407" s="492">
        <f t="shared" si="213"/>
        <v>1143.6243568704353</v>
      </c>
      <c r="L407" s="492">
        <f t="shared" si="213"/>
        <v>1089.3645951063279</v>
      </c>
      <c r="M407" s="492">
        <f t="shared" si="213"/>
        <v>1047.6668201604898</v>
      </c>
    </row>
    <row r="408" spans="2:15" hidden="1" outlineLevel="3" x14ac:dyDescent="0.2">
      <c r="B408" s="12" t="str">
        <f>+C408&amp;D408&amp;E408&amp;F408</f>
        <v>AmericasFeedstockElectricityUSD/MWh</v>
      </c>
      <c r="C408" t="str">
        <f>$B$395</f>
        <v>Americas</v>
      </c>
      <c r="D408" t="s">
        <v>777</v>
      </c>
      <c r="E408" t="s">
        <v>54</v>
      </c>
      <c r="F408" s="450" t="s">
        <v>196</v>
      </c>
      <c r="G408" s="491">
        <f>+INDEX('Fuel Model -  Input'!$B$3:$N$373,MATCH($B408,'Fuel Model -  Input'!$B$3:$B$373,0),MATCH(G$2,'Fuel Model -  Input'!$B$3:$N$3,0))</f>
        <v>38.96640570315094</v>
      </c>
      <c r="H408" s="491">
        <f>+INDEX('Fuel Model -  Input'!$B$3:$N$373,MATCH($B408,'Fuel Model -  Input'!$B$3:$B$373,0),MATCH(H$2,'Fuel Model -  Input'!$B$3:$N$3,0))</f>
        <v>35.167703764177872</v>
      </c>
      <c r="I408" s="491">
        <f>+INDEX('Fuel Model -  Input'!$B$3:$N$373,MATCH($B408,'Fuel Model -  Input'!$B$3:$B$373,0),MATCH(I$2,'Fuel Model -  Input'!$B$3:$N$3,0))</f>
        <v>28.746405825398561</v>
      </c>
      <c r="J408" s="491">
        <f>+INDEX('Fuel Model -  Input'!$B$3:$N$373,MATCH($B408,'Fuel Model -  Input'!$B$3:$B$373,0),MATCH(J$2,'Fuel Model -  Input'!$B$3:$N$3,0))</f>
        <v>25.656323090259679</v>
      </c>
      <c r="K408" s="491">
        <f>+INDEX('Fuel Model -  Input'!$B$3:$N$373,MATCH($B408,'Fuel Model -  Input'!$B$3:$B$373,0),MATCH(K$2,'Fuel Model -  Input'!$B$3:$N$3,0))</f>
        <v>23.151426016069131</v>
      </c>
      <c r="L408" s="491">
        <f>+INDEX('Fuel Model -  Input'!$B$3:$N$373,MATCH($B408,'Fuel Model -  Input'!$B$3:$B$373,0),MATCH(L$2,'Fuel Model -  Input'!$B$3:$N$3,0))</f>
        <v>22.142282710121734</v>
      </c>
      <c r="M408" s="491">
        <f>INDEX('Fuel Model -  Input'!$B$3:$N$373,MATCH($B408,'Fuel Model -  Input'!$B$3:$B$373,0),MATCH(M$2,'Fuel Model -  Input'!$B$3:$N$3,0))</f>
        <v>21.380955513479382</v>
      </c>
      <c r="O408" s="118"/>
    </row>
    <row r="409" spans="2:15" hidden="1" outlineLevel="3" x14ac:dyDescent="0.2">
      <c r="B409" s="12" t="str">
        <f>+C409&amp;D409&amp;E409&amp;F409</f>
        <v>GlobalFeedstockSystem efficiency (Alk)kWh/kg H2</v>
      </c>
      <c r="C409" t="s">
        <v>109</v>
      </c>
      <c r="D409" t="s">
        <v>777</v>
      </c>
      <c r="E409" t="s">
        <v>895</v>
      </c>
      <c r="F409" s="450" t="s">
        <v>896</v>
      </c>
      <c r="G409" s="491">
        <f>+INDEX('Fuel Model -  Input'!$B$3:$N$373,MATCH($B409,'Fuel Model -  Input'!$B$3:$B$373,0),MATCH(G$2,'Fuel Model -  Input'!$B$3:$N$3,0))</f>
        <v>50.202435772828721</v>
      </c>
      <c r="H409" s="491">
        <f>+INDEX('Fuel Model -  Input'!$B$3:$N$373,MATCH($B409,'Fuel Model -  Input'!$B$3:$B$373,0),MATCH(H$2,'Fuel Model -  Input'!$B$3:$N$3,0))</f>
        <v>50</v>
      </c>
      <c r="I409" s="491">
        <f>+INDEX('Fuel Model -  Input'!$B$3:$N$373,MATCH($B409,'Fuel Model -  Input'!$B$3:$B$373,0),MATCH(I$2,'Fuel Model -  Input'!$B$3:$N$3,0))</f>
        <v>49.798380527047762</v>
      </c>
      <c r="J409" s="491">
        <f>+INDEX('Fuel Model -  Input'!$B$3:$N$373,MATCH($B409,'Fuel Model -  Input'!$B$3:$B$373,0),MATCH(J$2,'Fuel Model -  Input'!$B$3:$N$3,0))</f>
        <v>49.597574062332995</v>
      </c>
      <c r="K409" s="491">
        <f>+INDEX('Fuel Model -  Input'!$B$3:$N$373,MATCH($B409,'Fuel Model -  Input'!$B$3:$B$373,0),MATCH(K$2,'Fuel Model -  Input'!$B$3:$N$3,0))</f>
        <v>49.397577327489856</v>
      </c>
      <c r="L409" s="491">
        <f>+INDEX('Fuel Model -  Input'!$B$3:$N$373,MATCH($B409,'Fuel Model -  Input'!$B$3:$B$373,0),MATCH(L$2,'Fuel Model -  Input'!$B$3:$N$3,0))</f>
        <v>49.198387057372138</v>
      </c>
      <c r="M409" s="491">
        <f>INDEX('Fuel Model -  Input'!$B$3:$N$373,MATCH($B409,'Fuel Model -  Input'!$B$3:$B$373,0),MATCH(M$2,'Fuel Model -  Input'!$B$3:$N$3,0))</f>
        <v>49</v>
      </c>
      <c r="O409" s="118"/>
    </row>
    <row r="410" spans="2:15" hidden="1" outlineLevel="3" x14ac:dyDescent="0.2">
      <c r="B410" s="12"/>
      <c r="G410" s="493"/>
      <c r="H410" s="493"/>
      <c r="I410" s="493"/>
      <c r="J410" s="493"/>
      <c r="K410" s="493"/>
      <c r="L410" s="493"/>
      <c r="M410" s="493"/>
      <c r="O410" s="118"/>
    </row>
    <row r="411" spans="2:15" ht="15" hidden="1" outlineLevel="3" x14ac:dyDescent="0.25">
      <c r="B411" t="str">
        <f t="shared" ref="B411:B413" si="214">+C411&amp;D411&amp;E411&amp;F411</f>
        <v>GlobalFeedstockCost of H2O in H2USD/ton H2</v>
      </c>
      <c r="C411" s="494" t="str">
        <f>C409</f>
        <v>Global</v>
      </c>
      <c r="D411" t="s">
        <v>777</v>
      </c>
      <c r="E411" t="s">
        <v>897</v>
      </c>
      <c r="F411" s="127" t="s">
        <v>881</v>
      </c>
      <c r="G411" s="261">
        <f t="shared" ref="G411:M411" si="215">G412*G413</f>
        <v>13.5</v>
      </c>
      <c r="H411" s="261">
        <f t="shared" si="215"/>
        <v>13.5</v>
      </c>
      <c r="I411" s="261">
        <f t="shared" si="215"/>
        <v>13.5</v>
      </c>
      <c r="J411" s="261">
        <f t="shared" si="215"/>
        <v>13.5</v>
      </c>
      <c r="K411" s="261">
        <f t="shared" si="215"/>
        <v>13.5</v>
      </c>
      <c r="L411" s="261">
        <f t="shared" si="215"/>
        <v>13.5</v>
      </c>
      <c r="M411" s="261">
        <f t="shared" si="215"/>
        <v>13.5</v>
      </c>
    </row>
    <row r="412" spans="2:15" hidden="1" outlineLevel="3" x14ac:dyDescent="0.2">
      <c r="B412" t="str">
        <f t="shared" si="214"/>
        <v>GlobalFeedstockConversion H2O:H2 (actual)ton H2O/ton H2</v>
      </c>
      <c r="C412" t="s">
        <v>109</v>
      </c>
      <c r="D412" t="s">
        <v>777</v>
      </c>
      <c r="E412" t="s">
        <v>898</v>
      </c>
      <c r="F412" s="128" t="s">
        <v>899</v>
      </c>
      <c r="G412" s="495">
        <f>INDEX('Fuel Model -  Input'!$B$3:$N$373,MATCH($B412,'Fuel Model -  Input'!$B$3:$B$373,0),MATCH(G$2,'Fuel Model -  Input'!$B$3:$N$3,0))</f>
        <v>9</v>
      </c>
      <c r="H412" s="495">
        <f>INDEX('Fuel Model -  Input'!$B$3:$N$373,MATCH($B412,'Fuel Model -  Input'!$B$3:$B$373,0),MATCH(H$2,'Fuel Model -  Input'!$B$3:$N$3,0))</f>
        <v>9</v>
      </c>
      <c r="I412" s="495">
        <f>INDEX('Fuel Model -  Input'!$B$3:$N$373,MATCH($B412,'Fuel Model -  Input'!$B$3:$B$373,0),MATCH(I$2,'Fuel Model -  Input'!$B$3:$N$3,0))</f>
        <v>9</v>
      </c>
      <c r="J412" s="495">
        <f>INDEX('Fuel Model -  Input'!$B$3:$N$373,MATCH($B412,'Fuel Model -  Input'!$B$3:$B$373,0),MATCH(J$2,'Fuel Model -  Input'!$B$3:$N$3,0))</f>
        <v>9</v>
      </c>
      <c r="K412" s="495">
        <f>INDEX('Fuel Model -  Input'!$B$3:$N$373,MATCH($B412,'Fuel Model -  Input'!$B$3:$B$373,0),MATCH(K$2,'Fuel Model -  Input'!$B$3:$N$3,0))</f>
        <v>9</v>
      </c>
      <c r="L412" s="495">
        <f>INDEX('Fuel Model -  Input'!$B$3:$N$373,MATCH($B412,'Fuel Model -  Input'!$B$3:$B$373,0),MATCH(L$2,'Fuel Model -  Input'!$B$3:$N$3,0))</f>
        <v>9</v>
      </c>
      <c r="M412" s="495">
        <f>INDEX('Fuel Model -  Input'!$B$3:$N$373,MATCH($B412,'Fuel Model -  Input'!$B$3:$B$373,0),MATCH(M$2,'Fuel Model -  Input'!$B$3:$N$3,0))</f>
        <v>9</v>
      </c>
    </row>
    <row r="413" spans="2:15" hidden="1" outlineLevel="3" x14ac:dyDescent="0.2">
      <c r="B413" t="str">
        <f t="shared" si="214"/>
        <v>GlobalFeedstockDemineralized water costUSD/ton demin H2O</v>
      </c>
      <c r="C413" s="494" t="s">
        <v>109</v>
      </c>
      <c r="D413" t="s">
        <v>777</v>
      </c>
      <c r="E413" t="s">
        <v>900</v>
      </c>
      <c r="F413" s="450" t="s">
        <v>901</v>
      </c>
      <c r="G413" s="495">
        <f>+INDEX('Fuel Model -  Input'!$B$3:$N$373,MATCH($B413,'Fuel Model -  Input'!$B$3:$B$373,0),MATCH(G$2,'Fuel Model -  Input'!$B$3:$N$3,0))</f>
        <v>1.5</v>
      </c>
      <c r="H413" s="495">
        <f>+INDEX('Fuel Model -  Input'!$B$3:$N$373,MATCH($B413,'Fuel Model -  Input'!$B$3:$B$373,0),MATCH(H$2,'Fuel Model -  Input'!$B$3:$N$3,0))</f>
        <v>1.5</v>
      </c>
      <c r="I413" s="495">
        <f>+INDEX('Fuel Model -  Input'!$B$3:$N$373,MATCH($B413,'Fuel Model -  Input'!$B$3:$B$373,0),MATCH(I$2,'Fuel Model -  Input'!$B$3:$N$3,0))</f>
        <v>1.5</v>
      </c>
      <c r="J413" s="495">
        <f>+INDEX('Fuel Model -  Input'!$B$3:$N$373,MATCH($B413,'Fuel Model -  Input'!$B$3:$B$373,0),MATCH(J$2,'Fuel Model -  Input'!$B$3:$N$3,0))</f>
        <v>1.5</v>
      </c>
      <c r="K413" s="495">
        <f>+INDEX('Fuel Model -  Input'!$B$3:$N$373,MATCH($B413,'Fuel Model -  Input'!$B$3:$B$373,0),MATCH(K$2,'Fuel Model -  Input'!$B$3:$N$3,0))</f>
        <v>1.5</v>
      </c>
      <c r="L413" s="495">
        <f>+INDEX('Fuel Model -  Input'!$B$3:$N$373,MATCH($B413,'Fuel Model -  Input'!$B$3:$B$373,0),MATCH(L$2,'Fuel Model -  Input'!$B$3:$N$3,0))</f>
        <v>1.5</v>
      </c>
      <c r="M413" s="495">
        <f>+INDEX('Fuel Model -  Input'!$B$3:$N$373,MATCH($B413,'Fuel Model -  Input'!$B$3:$B$373,0),MATCH(M$2,'Fuel Model -  Input'!$B$3:$N$3,0))</f>
        <v>1.5</v>
      </c>
    </row>
    <row r="414" spans="2:15" ht="12.75" hidden="1" outlineLevel="3" x14ac:dyDescent="0.2">
      <c r="F414"/>
    </row>
    <row r="415" spans="2:15" ht="15" hidden="1" outlineLevel="3" x14ac:dyDescent="0.25">
      <c r="B415" s="496" t="str">
        <f>+C415&amp;D415&amp;E415&amp;F415</f>
        <v>AmericasOpexPlantUSD/ ton H2</v>
      </c>
      <c r="C415" t="str">
        <f>$B$395</f>
        <v>Americas</v>
      </c>
      <c r="D415" t="s">
        <v>219</v>
      </c>
      <c r="E415" t="s">
        <v>902</v>
      </c>
      <c r="F415" s="489" t="s">
        <v>859</v>
      </c>
      <c r="G415" s="492">
        <f t="shared" ref="G415:M415" si="216">G403*G416</f>
        <v>891.46892544343234</v>
      </c>
      <c r="H415" s="492">
        <f t="shared" si="216"/>
        <v>697.61542364282104</v>
      </c>
      <c r="I415" s="492">
        <f t="shared" si="216"/>
        <v>505.31081204513202</v>
      </c>
      <c r="J415" s="492">
        <f t="shared" si="216"/>
        <v>456.09133936062176</v>
      </c>
      <c r="K415" s="492">
        <f t="shared" si="216"/>
        <v>407.26059440472358</v>
      </c>
      <c r="L415" s="492">
        <f t="shared" si="216"/>
        <v>358.81624249098149</v>
      </c>
      <c r="M415" s="492">
        <f t="shared" si="216"/>
        <v>310.75596144089297</v>
      </c>
    </row>
    <row r="416" spans="2:15" hidden="1" outlineLevel="3" x14ac:dyDescent="0.2">
      <c r="B416" s="497" t="str">
        <f>+C416&amp;D416&amp;E416&amp;F416</f>
        <v>GlobalOpexPlant - Electrolysis - opex (Alk)Percent of Capex</v>
      </c>
      <c r="C416" t="s">
        <v>109</v>
      </c>
      <c r="D416" s="157" t="s">
        <v>219</v>
      </c>
      <c r="E416" s="498" t="s">
        <v>903</v>
      </c>
      <c r="F416" s="450" t="s">
        <v>883</v>
      </c>
      <c r="G416" s="467">
        <f>+INDEX('Fuel Model -  Input'!$B$3:$N$373,MATCH($B416,'Fuel Model -  Input'!$B$3:$B$373,0),MATCH(G$2,'Fuel Model -  Input'!$B$3:$N$3,0))</f>
        <v>0.1</v>
      </c>
      <c r="H416" s="467">
        <f>+INDEX('Fuel Model -  Input'!$B$3:$N$373,MATCH($B416,'Fuel Model -  Input'!$B$3:$B$373,0),MATCH(H$2,'Fuel Model -  Input'!$B$3:$N$3,0))</f>
        <v>0.1</v>
      </c>
      <c r="I416" s="467">
        <f>+INDEX('Fuel Model -  Input'!$B$3:$N$373,MATCH($B416,'Fuel Model -  Input'!$B$3:$B$373,0),MATCH(I$2,'Fuel Model -  Input'!$B$3:$N$3,0))</f>
        <v>0.1</v>
      </c>
      <c r="J416" s="467">
        <f>+INDEX('Fuel Model -  Input'!$B$3:$N$373,MATCH($B416,'Fuel Model -  Input'!$B$3:$B$373,0),MATCH(J$2,'Fuel Model -  Input'!$B$3:$N$3,0))</f>
        <v>0.1</v>
      </c>
      <c r="K416" s="467">
        <f>+INDEX('Fuel Model -  Input'!$B$3:$N$373,MATCH($B416,'Fuel Model -  Input'!$B$3:$B$373,0),MATCH(K$2,'Fuel Model -  Input'!$B$3:$N$3,0))</f>
        <v>0.1</v>
      </c>
      <c r="L416" s="467">
        <f>+INDEX('Fuel Model -  Input'!$B$3:$N$373,MATCH($B416,'Fuel Model -  Input'!$B$3:$B$373,0),MATCH(L$2,'Fuel Model -  Input'!$B$3:$N$3,0))</f>
        <v>0.1</v>
      </c>
      <c r="M416" s="467">
        <f>INDEX('Fuel Model -  Input'!$B$3:$N$373,MATCH($B416,'Fuel Model -  Input'!$B$3:$B$373,0),MATCH(M$2,'Fuel Model -  Input'!$B$3:$N$3,0))</f>
        <v>0.1</v>
      </c>
    </row>
    <row r="417" spans="2:15" hidden="1" outlineLevel="2" x14ac:dyDescent="0.2">
      <c r="B417" s="12"/>
      <c r="G417" s="499"/>
      <c r="H417" s="499"/>
      <c r="I417" s="499"/>
      <c r="J417" s="499"/>
      <c r="K417" s="499"/>
      <c r="L417" s="499"/>
      <c r="M417" s="499"/>
    </row>
    <row r="418" spans="2:15" s="501" customFormat="1" ht="15" hidden="1" outlineLevel="2" collapsed="1" x14ac:dyDescent="0.25">
      <c r="B418" s="500" t="s">
        <v>904</v>
      </c>
      <c r="C418"/>
      <c r="F418" s="502"/>
      <c r="G418" s="503">
        <f t="shared" ref="G418:M418" si="217">G419</f>
        <v>4788.6152934644642</v>
      </c>
      <c r="H418" s="503">
        <f t="shared" si="217"/>
        <v>3884.5067374476203</v>
      </c>
      <c r="I418" s="503">
        <f t="shared" si="217"/>
        <v>2899.0837983704478</v>
      </c>
      <c r="J418" s="503">
        <f t="shared" si="217"/>
        <v>2493.9096198653187</v>
      </c>
      <c r="K418" s="503">
        <f t="shared" si="217"/>
        <v>2151.5365546451608</v>
      </c>
      <c r="L418" s="503">
        <f t="shared" si="217"/>
        <v>1916.4936459443018</v>
      </c>
      <c r="M418" s="503">
        <f t="shared" si="217"/>
        <v>1712.4990305113799</v>
      </c>
      <c r="O418" s="504"/>
    </row>
    <row r="419" spans="2:15" ht="15" hidden="1" outlineLevel="3" x14ac:dyDescent="0.25">
      <c r="B419" s="3" t="str">
        <f t="shared" ref="B419:B427" si="218">+C419&amp;D419&amp;E419&amp;F419</f>
        <v>AmericasResultsCost of e-Hydrogen (PEM)USD/ton</v>
      </c>
      <c r="C419" t="str">
        <f>$B$395</f>
        <v>Americas</v>
      </c>
      <c r="D419" t="s">
        <v>838</v>
      </c>
      <c r="E419" s="30" t="s">
        <v>864</v>
      </c>
      <c r="F419" s="450" t="s">
        <v>205</v>
      </c>
      <c r="G419" s="488">
        <f t="shared" ref="G419:M419" si="219">SUM(G420:G421)</f>
        <v>4788.6152934644642</v>
      </c>
      <c r="H419" s="488">
        <f t="shared" si="219"/>
        <v>3884.5067374476203</v>
      </c>
      <c r="I419" s="488">
        <f t="shared" si="219"/>
        <v>2899.0837983704478</v>
      </c>
      <c r="J419" s="488">
        <f t="shared" si="219"/>
        <v>2493.9096198653187</v>
      </c>
      <c r="K419" s="488">
        <f t="shared" si="219"/>
        <v>2151.5365546451608</v>
      </c>
      <c r="L419" s="488">
        <f t="shared" si="219"/>
        <v>1916.4936459443018</v>
      </c>
      <c r="M419" s="488">
        <f t="shared" si="219"/>
        <v>1712.4990305113799</v>
      </c>
      <c r="O419" s="95"/>
    </row>
    <row r="420" spans="2:15" ht="15" hidden="1" outlineLevel="3" x14ac:dyDescent="0.25">
      <c r="B420" s="3" t="str">
        <f t="shared" si="218"/>
        <v>AmericasResultsCapex (PEM)USD/ton</v>
      </c>
      <c r="C420" t="str">
        <f>$B$395</f>
        <v>Americas</v>
      </c>
      <c r="D420" t="s">
        <v>838</v>
      </c>
      <c r="E420" s="228" t="s">
        <v>905</v>
      </c>
      <c r="F420" s="450" t="s">
        <v>205</v>
      </c>
      <c r="G420" s="488">
        <f t="shared" ref="G420:M420" si="220">G423</f>
        <v>1022.9620552364776</v>
      </c>
      <c r="H420" s="488">
        <f t="shared" si="220"/>
        <v>776.44596651445988</v>
      </c>
      <c r="I420" s="488">
        <f t="shared" si="220"/>
        <v>545.50106659752987</v>
      </c>
      <c r="J420" s="488">
        <f t="shared" si="220"/>
        <v>477.56301755776087</v>
      </c>
      <c r="K420" s="488">
        <f t="shared" si="220"/>
        <v>413.61197282986342</v>
      </c>
      <c r="L420" s="488">
        <f t="shared" si="220"/>
        <v>353.45542668176478</v>
      </c>
      <c r="M420" s="488">
        <f t="shared" si="220"/>
        <v>296.90935227464911</v>
      </c>
      <c r="O420" s="95"/>
    </row>
    <row r="421" spans="2:15" ht="15" hidden="1" outlineLevel="3" x14ac:dyDescent="0.25">
      <c r="B421" s="3" t="str">
        <f t="shared" si="218"/>
        <v>AmericasResultsOpex (PEM)USD/ton</v>
      </c>
      <c r="C421" t="str">
        <f>$B$395</f>
        <v>Americas</v>
      </c>
      <c r="D421" t="s">
        <v>838</v>
      </c>
      <c r="E421" s="228" t="s">
        <v>906</v>
      </c>
      <c r="F421" s="450" t="s">
        <v>205</v>
      </c>
      <c r="G421" s="488">
        <f>SUM(G429,G433,G437)</f>
        <v>3765.653238227987</v>
      </c>
      <c r="H421" s="488">
        <f t="shared" ref="H421:M421" si="221">SUM(H429,H433,H437)</f>
        <v>3108.0607709331603</v>
      </c>
      <c r="I421" s="488">
        <f t="shared" si="221"/>
        <v>2353.5827317729177</v>
      </c>
      <c r="J421" s="488">
        <f t="shared" si="221"/>
        <v>2016.346602307558</v>
      </c>
      <c r="K421" s="488">
        <f t="shared" si="221"/>
        <v>1737.9245818152974</v>
      </c>
      <c r="L421" s="488">
        <f t="shared" si="221"/>
        <v>1563.038219262537</v>
      </c>
      <c r="M421" s="488">
        <f t="shared" si="221"/>
        <v>1415.5896782367308</v>
      </c>
      <c r="O421" s="95"/>
    </row>
    <row r="422" spans="2:15" hidden="1" outlineLevel="3" x14ac:dyDescent="0.2">
      <c r="B422" s="12" t="str">
        <f t="shared" si="218"/>
        <v/>
      </c>
    </row>
    <row r="423" spans="2:15" ht="15" hidden="1" outlineLevel="3" x14ac:dyDescent="0.25">
      <c r="B423" s="3" t="str">
        <f t="shared" si="218"/>
        <v>AmericasCapexCost per ton H2USD/ ton H2</v>
      </c>
      <c r="C423" t="str">
        <f>$B$395</f>
        <v>Americas</v>
      </c>
      <c r="D423" t="s">
        <v>218</v>
      </c>
      <c r="E423" t="s">
        <v>920</v>
      </c>
      <c r="F423" s="489" t="s">
        <v>859</v>
      </c>
      <c r="G423" s="490">
        <f t="shared" ref="G423:M423" si="222">G425/G424</f>
        <v>1022.9620552364776</v>
      </c>
      <c r="H423" s="490">
        <f t="shared" si="222"/>
        <v>776.44596651445988</v>
      </c>
      <c r="I423" s="490">
        <f t="shared" si="222"/>
        <v>545.50106659752987</v>
      </c>
      <c r="J423" s="490">
        <f t="shared" si="222"/>
        <v>477.56301755776087</v>
      </c>
      <c r="K423" s="490">
        <f t="shared" si="222"/>
        <v>413.61197282986342</v>
      </c>
      <c r="L423" s="490">
        <f t="shared" si="222"/>
        <v>353.45542668176478</v>
      </c>
      <c r="M423" s="490">
        <f t="shared" si="222"/>
        <v>296.90935227464911</v>
      </c>
      <c r="O423" s="118"/>
    </row>
    <row r="424" spans="2:15" hidden="1" outlineLevel="3" x14ac:dyDescent="0.2">
      <c r="B424" s="12" t="str">
        <f t="shared" si="218"/>
        <v>GlobalPlant capexAnnualisation factor#</v>
      </c>
      <c r="C424" t="s">
        <v>109</v>
      </c>
      <c r="D424" t="s">
        <v>786</v>
      </c>
      <c r="E424" t="s">
        <v>764</v>
      </c>
      <c r="F424" s="450" t="s">
        <v>787</v>
      </c>
      <c r="G424" s="491">
        <f>+INDEX('Fuel Model -  Input'!$B$3:$N$373,MATCH($B424,'Fuel Model -  Input'!$B$3:$B$373,0),MATCH(G$2,'Fuel Model -  Input'!$B$3:$N$3,0))</f>
        <v>11.32075471698113</v>
      </c>
      <c r="H424" s="491">
        <f>+INDEX('Fuel Model -  Input'!$B$3:$N$373,MATCH($B424,'Fuel Model -  Input'!$B$3:$B$373,0),MATCH(H$2,'Fuel Model -  Input'!$B$3:$N$3,0))</f>
        <v>11.32075471698113</v>
      </c>
      <c r="I424" s="491">
        <f>+INDEX('Fuel Model -  Input'!$B$3:$N$373,MATCH($B424,'Fuel Model -  Input'!$B$3:$B$373,0),MATCH(I$2,'Fuel Model -  Input'!$B$3:$N$3,0))</f>
        <v>11.32075471698113</v>
      </c>
      <c r="J424" s="491">
        <f>+INDEX('Fuel Model -  Input'!$B$3:$N$373,MATCH($B424,'Fuel Model -  Input'!$B$3:$B$373,0),MATCH(J$2,'Fuel Model -  Input'!$B$3:$N$3,0))</f>
        <v>11.32075471698113</v>
      </c>
      <c r="K424" s="491">
        <f>+INDEX('Fuel Model -  Input'!$B$3:$N$373,MATCH($B424,'Fuel Model -  Input'!$B$3:$B$373,0),MATCH(K$2,'Fuel Model -  Input'!$B$3:$N$3,0))</f>
        <v>11.32075471698113</v>
      </c>
      <c r="L424" s="491">
        <f>+INDEX('Fuel Model -  Input'!$B$3:$N$373,MATCH($B424,'Fuel Model -  Input'!$B$3:$B$373,0),MATCH(L$2,'Fuel Model -  Input'!$B$3:$N$3,0))</f>
        <v>11.32075471698113</v>
      </c>
      <c r="M424" s="491">
        <f>INDEX('Fuel Model -  Input'!$B$3:$N$373,MATCH($B424,'Fuel Model -  Input'!$B$3:$B$373,0),MATCH(M$2,'Fuel Model -  Input'!$B$3:$N$3,0))</f>
        <v>11.32075471698113</v>
      </c>
      <c r="O424" s="95"/>
    </row>
    <row r="425" spans="2:15" ht="12.75" hidden="1" outlineLevel="3" x14ac:dyDescent="0.2">
      <c r="B425" s="12" t="str">
        <f t="shared" si="218"/>
        <v>AmericasPlant capexElectrolyser unit cost (PEM)USD/ ton H2 cap</v>
      </c>
      <c r="C425" t="str">
        <f>+C423</f>
        <v>Americas</v>
      </c>
      <c r="D425" t="s">
        <v>786</v>
      </c>
      <c r="E425" t="s">
        <v>908</v>
      </c>
      <c r="F425" t="s">
        <v>892</v>
      </c>
      <c r="G425" s="8">
        <f>G427/(365*24*G426)*G431</f>
        <v>11580.702512111064</v>
      </c>
      <c r="H425" s="8">
        <f t="shared" ref="H425" si="223">H427/(365*24*H426)*H431</f>
        <v>8789.954337899544</v>
      </c>
      <c r="I425" s="8">
        <f t="shared" ref="I425" si="224">I427/(365*24*I426)*I431</f>
        <v>6175.483772802223</v>
      </c>
      <c r="J425" s="8">
        <f t="shared" ref="J425" si="225">J427/(365*24*J426)*J431</f>
        <v>5406.3737836727632</v>
      </c>
      <c r="K425" s="8">
        <f t="shared" ref="K425" si="226">K427/(365*24*K426)*K431</f>
        <v>4682.3996924135472</v>
      </c>
      <c r="L425" s="8">
        <f t="shared" ref="L425" si="227">L427/(365*24*L426)*L431</f>
        <v>4001.3821888501661</v>
      </c>
      <c r="M425" s="8">
        <f t="shared" ref="M425" si="228">M427/(365*24*M426)*M431</f>
        <v>3361.2379502790459</v>
      </c>
      <c r="O425" s="95"/>
    </row>
    <row r="426" spans="2:15" hidden="1" outlineLevel="3" x14ac:dyDescent="0.2">
      <c r="B426" s="12" t="str">
        <f t="shared" si="218"/>
        <v>AmericasGeneralCapacity factor%</v>
      </c>
      <c r="C426" t="str">
        <f>$B$395</f>
        <v>Americas</v>
      </c>
      <c r="D426" t="s">
        <v>173</v>
      </c>
      <c r="E426" t="s">
        <v>893</v>
      </c>
      <c r="F426" s="450" t="s">
        <v>178</v>
      </c>
      <c r="G426" s="467">
        <f>+INDEX('Fuel Model -  Input'!$B$3:$N$373,MATCH($B426,'Fuel Model -  Input'!$B$3:$B$373,0),MATCH(G$2,'Fuel Model -  Input'!$B$3:$N$3,0))</f>
        <v>0.9</v>
      </c>
      <c r="H426" s="467">
        <f>+INDEX('Fuel Model -  Input'!$B$3:$N$373,MATCH($B426,'Fuel Model -  Input'!$B$3:$B$373,0),MATCH(H$2,'Fuel Model -  Input'!$B$3:$N$3,0))</f>
        <v>0.9</v>
      </c>
      <c r="I426" s="467">
        <f>+INDEX('Fuel Model -  Input'!$B$3:$N$373,MATCH($B426,'Fuel Model -  Input'!$B$3:$B$373,0),MATCH(I$2,'Fuel Model -  Input'!$B$3:$N$3,0))</f>
        <v>0.9</v>
      </c>
      <c r="J426" s="467">
        <f>+INDEX('Fuel Model -  Input'!$B$3:$N$373,MATCH($B426,'Fuel Model -  Input'!$B$3:$B$373,0),MATCH(J$2,'Fuel Model -  Input'!$B$3:$N$3,0))</f>
        <v>0.9</v>
      </c>
      <c r="K426" s="467">
        <f>+INDEX('Fuel Model -  Input'!$B$3:$N$373,MATCH($B426,'Fuel Model -  Input'!$B$3:$B$373,0),MATCH(K$2,'Fuel Model -  Input'!$B$3:$N$3,0))</f>
        <v>0.9</v>
      </c>
      <c r="L426" s="467">
        <f>+INDEX('Fuel Model -  Input'!$B$3:$N$373,MATCH($B426,'Fuel Model -  Input'!$B$3:$B$373,0),MATCH(L$2,'Fuel Model -  Input'!$B$3:$N$3,0))</f>
        <v>0.9</v>
      </c>
      <c r="M426" s="467">
        <f>INDEX('Fuel Model -  Input'!$B$3:$N$373,MATCH($B426,'Fuel Model -  Input'!$B$3:$B$373,0),MATCH(M$2,'Fuel Model -  Input'!$B$3:$N$3,0))</f>
        <v>0.9</v>
      </c>
      <c r="O426" s="95"/>
    </row>
    <row r="427" spans="2:15" hidden="1" outlineLevel="3" x14ac:dyDescent="0.2">
      <c r="B427" s="12" t="str">
        <f t="shared" si="218"/>
        <v>GlobalCapexElectrolyser unit cost (PEM)USD/MW</v>
      </c>
      <c r="C427" t="s">
        <v>109</v>
      </c>
      <c r="D427" t="s">
        <v>218</v>
      </c>
      <c r="E427" t="s">
        <v>908</v>
      </c>
      <c r="F427" s="450" t="s">
        <v>279</v>
      </c>
      <c r="G427" s="491">
        <f>+INDEX('Fuel Model -  Input'!$B$3:$N$373,MATCH($B427,'Fuel Model -  Input'!$B$3:$B$373,0),MATCH(G$2,'Fuel Model -  Input'!$B$3:$N$3,0))</f>
        <v>1400000</v>
      </c>
      <c r="H427" s="491">
        <f>+INDEX('Fuel Model -  Input'!$B$3:$N$373,MATCH($B427,'Fuel Model -  Input'!$B$3:$B$373,0),MATCH(H$2,'Fuel Model -  Input'!$B$3:$N$3,0))</f>
        <v>1100000</v>
      </c>
      <c r="I427" s="491">
        <f>+INDEX('Fuel Model -  Input'!$B$3:$N$373,MATCH($B427,'Fuel Model -  Input'!$B$3:$B$373,0),MATCH(I$2,'Fuel Model -  Input'!$B$3:$N$3,0))</f>
        <v>800000</v>
      </c>
      <c r="J427" s="491">
        <f>+INDEX('Fuel Model -  Input'!$B$3:$N$373,MATCH($B427,'Fuel Model -  Input'!$B$3:$B$373,0),MATCH(J$2,'Fuel Model -  Input'!$B$3:$N$3,0))</f>
        <v>725000</v>
      </c>
      <c r="K427" s="491">
        <f>+INDEX('Fuel Model -  Input'!$B$3:$N$373,MATCH($B427,'Fuel Model -  Input'!$B$3:$B$373,0),MATCH(K$2,'Fuel Model -  Input'!$B$3:$N$3,0))</f>
        <v>650000</v>
      </c>
      <c r="L427" s="491">
        <f>+INDEX('Fuel Model -  Input'!$B$3:$N$373,MATCH($B427,'Fuel Model -  Input'!$B$3:$B$373,0),MATCH(L$2,'Fuel Model -  Input'!$B$3:$N$3,0))</f>
        <v>575000</v>
      </c>
      <c r="M427" s="491">
        <f>INDEX('Fuel Model -  Input'!$B$3:$N$373,MATCH($B427,'Fuel Model -  Input'!$B$3:$B$373,0),MATCH(M$2,'Fuel Model -  Input'!$B$3:$N$3,0))</f>
        <v>500000</v>
      </c>
      <c r="O427" s="95"/>
    </row>
    <row r="428" spans="2:15" ht="12.75" hidden="1" outlineLevel="3" x14ac:dyDescent="0.2">
      <c r="B428" s="48"/>
      <c r="F428"/>
      <c r="O428" s="95"/>
    </row>
    <row r="429" spans="2:15" ht="15" hidden="1" outlineLevel="3" x14ac:dyDescent="0.25">
      <c r="B429" s="3" t="str">
        <f>+C429&amp;D429&amp;E429&amp;F429</f>
        <v>AmericasFeedstockTotal Electricity (PEM)USD/ ton H2</v>
      </c>
      <c r="C429" t="str">
        <f>$B$395</f>
        <v>Americas</v>
      </c>
      <c r="D429" t="s">
        <v>777</v>
      </c>
      <c r="E429" t="s">
        <v>909</v>
      </c>
      <c r="F429" s="489" t="s">
        <v>859</v>
      </c>
      <c r="G429" s="492">
        <f t="shared" ref="G429:M429" si="229">G430*G431</f>
        <v>2541.2291788823422</v>
      </c>
      <c r="H429" s="492">
        <f t="shared" si="229"/>
        <v>2215.5653371432059</v>
      </c>
      <c r="I429" s="492">
        <f t="shared" si="229"/>
        <v>1749.4887974196963</v>
      </c>
      <c r="J429" s="492">
        <f t="shared" si="229"/>
        <v>1508.3741935313562</v>
      </c>
      <c r="K429" s="492">
        <f t="shared" si="229"/>
        <v>1314.8599227170059</v>
      </c>
      <c r="L429" s="492">
        <f t="shared" si="229"/>
        <v>1214.8179407268588</v>
      </c>
      <c r="M429" s="492">
        <f t="shared" si="229"/>
        <v>1133.1906422144073</v>
      </c>
      <c r="O429" s="95"/>
    </row>
    <row r="430" spans="2:15" hidden="1" outlineLevel="3" x14ac:dyDescent="0.2">
      <c r="B430" s="12" t="str">
        <f>+C430&amp;D430&amp;E430&amp;F430</f>
        <v>AmericasFeedstockElectricityUSD/MWh</v>
      </c>
      <c r="C430" t="str">
        <f>$B$395</f>
        <v>Americas</v>
      </c>
      <c r="D430" t="s">
        <v>777</v>
      </c>
      <c r="E430" t="s">
        <v>54</v>
      </c>
      <c r="F430" s="450" t="s">
        <v>196</v>
      </c>
      <c r="G430" s="491">
        <f>+INDEX('Fuel Model -  Input'!$B$3:$N$373,MATCH($B430,'Fuel Model -  Input'!$B$3:$B$373,0),MATCH(G$2,'Fuel Model -  Input'!$B$3:$N$3,0))</f>
        <v>38.96640570315094</v>
      </c>
      <c r="H430" s="491">
        <f>+INDEX('Fuel Model -  Input'!$B$3:$N$373,MATCH($B430,'Fuel Model -  Input'!$B$3:$B$373,0),MATCH(H$2,'Fuel Model -  Input'!$B$3:$N$3,0))</f>
        <v>35.167703764177872</v>
      </c>
      <c r="I430" s="491">
        <f>+INDEX('Fuel Model -  Input'!$B$3:$N$373,MATCH($B430,'Fuel Model -  Input'!$B$3:$B$373,0),MATCH(I$2,'Fuel Model -  Input'!$B$3:$N$3,0))</f>
        <v>28.746405825398561</v>
      </c>
      <c r="J430" s="491">
        <f>+INDEX('Fuel Model -  Input'!$B$3:$N$373,MATCH($B430,'Fuel Model -  Input'!$B$3:$B$373,0),MATCH(J$2,'Fuel Model -  Input'!$B$3:$N$3,0))</f>
        <v>25.656323090259679</v>
      </c>
      <c r="K430" s="491">
        <f>+INDEX('Fuel Model -  Input'!$B$3:$N$373,MATCH($B430,'Fuel Model -  Input'!$B$3:$B$373,0),MATCH(K$2,'Fuel Model -  Input'!$B$3:$N$3,0))</f>
        <v>23.151426016069131</v>
      </c>
      <c r="L430" s="491">
        <f>+INDEX('Fuel Model -  Input'!$B$3:$N$373,MATCH($B430,'Fuel Model -  Input'!$B$3:$B$373,0),MATCH(L$2,'Fuel Model -  Input'!$B$3:$N$3,0))</f>
        <v>22.142282710121734</v>
      </c>
      <c r="M430" s="491">
        <f>INDEX('Fuel Model -  Input'!$B$3:$N$373,MATCH($B430,'Fuel Model -  Input'!$B$3:$B$373,0),MATCH(M$2,'Fuel Model -  Input'!$B$3:$N$3,0))</f>
        <v>21.380955513479382</v>
      </c>
      <c r="O430" s="95"/>
    </row>
    <row r="431" spans="2:15" s="86" customFormat="1" hidden="1" outlineLevel="3" x14ac:dyDescent="0.2">
      <c r="B431" s="12" t="str">
        <f>+C431&amp;D431&amp;E431&amp;F431</f>
        <v>GlobalFeedstockSystem efficiency (PEM)kWh/kg H2</v>
      </c>
      <c r="C431" t="s">
        <v>109</v>
      </c>
      <c r="D431" t="s">
        <v>777</v>
      </c>
      <c r="E431" t="s">
        <v>910</v>
      </c>
      <c r="F431" s="450" t="s">
        <v>896</v>
      </c>
      <c r="G431" s="491">
        <f>+INDEX('Fuel Model -  Input'!$B$3:$N$373,MATCH($B431,'Fuel Model -  Input'!$B$3:$B$373,0),MATCH(G$2,'Fuel Model -  Input'!$B$3:$N$3,0))</f>
        <v>65.215899003916874</v>
      </c>
      <c r="H431" s="491">
        <f>+INDEX('Fuel Model -  Input'!$B$3:$N$373,MATCH($B431,'Fuel Model -  Input'!$B$3:$B$373,0),MATCH(H$2,'Fuel Model -  Input'!$B$3:$N$3,0))</f>
        <v>63</v>
      </c>
      <c r="I431" s="491">
        <f>+INDEX('Fuel Model -  Input'!$B$3:$N$373,MATCH($B431,'Fuel Model -  Input'!$B$3:$B$373,0),MATCH(I$2,'Fuel Model -  Input'!$B$3:$N$3,0))</f>
        <v>60.859392580965903</v>
      </c>
      <c r="J431" s="491">
        <f>+INDEX('Fuel Model -  Input'!$B$3:$N$373,MATCH($B431,'Fuel Model -  Input'!$B$3:$B$373,0),MATCH(J$2,'Fuel Model -  Input'!$B$3:$N$3,0))</f>
        <v>58.791518497208372</v>
      </c>
      <c r="K431" s="491">
        <f>+INDEX('Fuel Model -  Input'!$B$3:$N$373,MATCH($B431,'Fuel Model -  Input'!$B$3:$B$373,0),MATCH(K$2,'Fuel Model -  Input'!$B$3:$N$3,0))</f>
        <v>56.793906423059092</v>
      </c>
      <c r="L431" s="491">
        <f>+INDEX('Fuel Model -  Input'!$B$3:$N$373,MATCH($B431,'Fuel Model -  Input'!$B$3:$B$373,0),MATCH(L$2,'Fuel Model -  Input'!$B$3:$N$3,0))</f>
        <v>54.864169003295146</v>
      </c>
      <c r="M431" s="491">
        <f>+INDEX('Fuel Model -  Input'!$B$3:$N$373,MATCH($B431,'Fuel Model -  Input'!$B$3:$B$373,0),MATCH(M$2,'Fuel Model -  Input'!$B$3:$N$3,0))</f>
        <v>53</v>
      </c>
      <c r="O431" s="95"/>
    </row>
    <row r="432" spans="2:15" hidden="1" outlineLevel="3" x14ac:dyDescent="0.2">
      <c r="B432" s="12"/>
      <c r="G432" s="493"/>
      <c r="H432" s="493"/>
      <c r="I432" s="493"/>
      <c r="J432" s="493"/>
      <c r="K432" s="493"/>
      <c r="L432" s="493"/>
      <c r="M432" s="493"/>
      <c r="O432" s="118"/>
    </row>
    <row r="433" spans="2:15" ht="15" hidden="1" outlineLevel="3" x14ac:dyDescent="0.25">
      <c r="B433" t="str">
        <f t="shared" ref="B433:B435" si="230">+C433&amp;D433&amp;E433&amp;F433</f>
        <v>GlobalFeedstockCost of H2O in H2USD/ton H2</v>
      </c>
      <c r="C433" s="494" t="str">
        <f>C431</f>
        <v>Global</v>
      </c>
      <c r="D433" t="s">
        <v>777</v>
      </c>
      <c r="E433" t="s">
        <v>897</v>
      </c>
      <c r="F433" s="127" t="s">
        <v>881</v>
      </c>
      <c r="G433" s="261">
        <f t="shared" ref="G433:M433" si="231">G434*G435</f>
        <v>13.5</v>
      </c>
      <c r="H433" s="261">
        <f t="shared" si="231"/>
        <v>13.5</v>
      </c>
      <c r="I433" s="261">
        <f t="shared" si="231"/>
        <v>13.5</v>
      </c>
      <c r="J433" s="261">
        <f t="shared" si="231"/>
        <v>13.5</v>
      </c>
      <c r="K433" s="261">
        <f t="shared" si="231"/>
        <v>13.5</v>
      </c>
      <c r="L433" s="261">
        <f t="shared" si="231"/>
        <v>13.5</v>
      </c>
      <c r="M433" s="261">
        <f t="shared" si="231"/>
        <v>13.5</v>
      </c>
    </row>
    <row r="434" spans="2:15" hidden="1" outlineLevel="3" x14ac:dyDescent="0.2">
      <c r="B434" t="str">
        <f t="shared" si="230"/>
        <v>GlobalFeedstockConversion H2O:H2 (actual)ton H2O/ton H2</v>
      </c>
      <c r="C434" t="s">
        <v>109</v>
      </c>
      <c r="D434" t="s">
        <v>777</v>
      </c>
      <c r="E434" t="s">
        <v>898</v>
      </c>
      <c r="F434" s="128" t="s">
        <v>899</v>
      </c>
      <c r="G434" s="495">
        <f>INDEX('Fuel Model -  Input'!$B$3:$N$373,MATCH($B434,'Fuel Model -  Input'!$B$3:$B$373,0),MATCH(G$2,'Fuel Model -  Input'!$B$3:$N$3,0))</f>
        <v>9</v>
      </c>
      <c r="H434" s="495">
        <f>INDEX('Fuel Model -  Input'!$B$3:$N$373,MATCH($B434,'Fuel Model -  Input'!$B$3:$B$373,0),MATCH(H$2,'Fuel Model -  Input'!$B$3:$N$3,0))</f>
        <v>9</v>
      </c>
      <c r="I434" s="495">
        <f>INDEX('Fuel Model -  Input'!$B$3:$N$373,MATCH($B434,'Fuel Model -  Input'!$B$3:$B$373,0),MATCH(I$2,'Fuel Model -  Input'!$B$3:$N$3,0))</f>
        <v>9</v>
      </c>
      <c r="J434" s="495">
        <f>INDEX('Fuel Model -  Input'!$B$3:$N$373,MATCH($B434,'Fuel Model -  Input'!$B$3:$B$373,0),MATCH(J$2,'Fuel Model -  Input'!$B$3:$N$3,0))</f>
        <v>9</v>
      </c>
      <c r="K434" s="495">
        <f>INDEX('Fuel Model -  Input'!$B$3:$N$373,MATCH($B434,'Fuel Model -  Input'!$B$3:$B$373,0),MATCH(K$2,'Fuel Model -  Input'!$B$3:$N$3,0))</f>
        <v>9</v>
      </c>
      <c r="L434" s="495">
        <f>INDEX('Fuel Model -  Input'!$B$3:$N$373,MATCH($B434,'Fuel Model -  Input'!$B$3:$B$373,0),MATCH(L$2,'Fuel Model -  Input'!$B$3:$N$3,0))</f>
        <v>9</v>
      </c>
      <c r="M434" s="495">
        <f>INDEX('Fuel Model -  Input'!$B$3:$N$373,MATCH($B434,'Fuel Model -  Input'!$B$3:$B$373,0),MATCH(M$2,'Fuel Model -  Input'!$B$3:$N$3,0))</f>
        <v>9</v>
      </c>
    </row>
    <row r="435" spans="2:15" hidden="1" outlineLevel="3" x14ac:dyDescent="0.2">
      <c r="B435" t="str">
        <f t="shared" si="230"/>
        <v>GlobalFeedstockDemineralized water costUSD/ton demin H2O</v>
      </c>
      <c r="C435" s="494" t="s">
        <v>109</v>
      </c>
      <c r="D435" t="s">
        <v>777</v>
      </c>
      <c r="E435" t="s">
        <v>900</v>
      </c>
      <c r="F435" s="450" t="s">
        <v>901</v>
      </c>
      <c r="G435" s="495">
        <f>+INDEX('Fuel Model -  Input'!$B$3:$N$373,MATCH($B435,'Fuel Model -  Input'!$B$3:$B$373,0),MATCH(G$2,'Fuel Model -  Input'!$B$3:$N$3,0))</f>
        <v>1.5</v>
      </c>
      <c r="H435" s="495">
        <f>+INDEX('Fuel Model -  Input'!$B$3:$N$373,MATCH($B435,'Fuel Model -  Input'!$B$3:$B$373,0),MATCH(H$2,'Fuel Model -  Input'!$B$3:$N$3,0))</f>
        <v>1.5</v>
      </c>
      <c r="I435" s="495">
        <f>+INDEX('Fuel Model -  Input'!$B$3:$N$373,MATCH($B435,'Fuel Model -  Input'!$B$3:$B$373,0),MATCH(I$2,'Fuel Model -  Input'!$B$3:$N$3,0))</f>
        <v>1.5</v>
      </c>
      <c r="J435" s="495">
        <f>+INDEX('Fuel Model -  Input'!$B$3:$N$373,MATCH($B435,'Fuel Model -  Input'!$B$3:$B$373,0),MATCH(J$2,'Fuel Model -  Input'!$B$3:$N$3,0))</f>
        <v>1.5</v>
      </c>
      <c r="K435" s="495">
        <f>+INDEX('Fuel Model -  Input'!$B$3:$N$373,MATCH($B435,'Fuel Model -  Input'!$B$3:$B$373,0),MATCH(K$2,'Fuel Model -  Input'!$B$3:$N$3,0))</f>
        <v>1.5</v>
      </c>
      <c r="L435" s="495">
        <f>+INDEX('Fuel Model -  Input'!$B$3:$N$373,MATCH($B435,'Fuel Model -  Input'!$B$3:$B$373,0),MATCH(L$2,'Fuel Model -  Input'!$B$3:$N$3,0))</f>
        <v>1.5</v>
      </c>
      <c r="M435" s="495">
        <f>+INDEX('Fuel Model -  Input'!$B$3:$N$373,MATCH($B435,'Fuel Model -  Input'!$B$3:$B$373,0),MATCH(M$2,'Fuel Model -  Input'!$B$3:$N$3,0))</f>
        <v>1.5</v>
      </c>
    </row>
    <row r="436" spans="2:15" ht="12.75" hidden="1" outlineLevel="3" x14ac:dyDescent="0.2">
      <c r="F436"/>
      <c r="O436" s="118"/>
    </row>
    <row r="437" spans="2:15" ht="15" hidden="1" outlineLevel="3" x14ac:dyDescent="0.25">
      <c r="B437" s="496" t="str">
        <f>+C437&amp;D437&amp;E437&amp;F437</f>
        <v>AmericasOpexPlantUSD/ ton H2</v>
      </c>
      <c r="C437" t="str">
        <f>$B$395</f>
        <v>Americas</v>
      </c>
      <c r="D437" t="s">
        <v>219</v>
      </c>
      <c r="E437" t="s">
        <v>902</v>
      </c>
      <c r="F437" s="489" t="s">
        <v>859</v>
      </c>
      <c r="G437" s="492">
        <f t="shared" ref="G437:M437" si="232">G425*G438</f>
        <v>1210.9240593456448</v>
      </c>
      <c r="H437" s="492">
        <f t="shared" si="232"/>
        <v>878.9954337899544</v>
      </c>
      <c r="I437" s="492">
        <f t="shared" si="232"/>
        <v>590.59393435322147</v>
      </c>
      <c r="J437" s="492">
        <f t="shared" si="232"/>
        <v>494.4724087762018</v>
      </c>
      <c r="K437" s="492">
        <f t="shared" si="232"/>
        <v>409.56465909829154</v>
      </c>
      <c r="L437" s="492">
        <f t="shared" si="232"/>
        <v>334.72027853567823</v>
      </c>
      <c r="M437" s="492">
        <f t="shared" si="232"/>
        <v>268.89903602232368</v>
      </c>
      <c r="O437" s="95"/>
    </row>
    <row r="438" spans="2:15" hidden="1" outlineLevel="3" x14ac:dyDescent="0.2">
      <c r="B438" s="497" t="str">
        <f>+C438&amp;D438&amp;E438&amp;F438</f>
        <v>GlobalOpexPlant - Electrolysis - opex (PEM)Percent of Capex</v>
      </c>
      <c r="C438" t="s">
        <v>109</v>
      </c>
      <c r="D438" s="157" t="s">
        <v>219</v>
      </c>
      <c r="E438" s="498" t="s">
        <v>911</v>
      </c>
      <c r="F438" s="450" t="s">
        <v>883</v>
      </c>
      <c r="G438" s="467">
        <f>+INDEX('Fuel Model -  Input'!$B$3:$N$373,MATCH($B438,'Fuel Model -  Input'!$B$3:$B$373,0),MATCH(G$2,'Fuel Model -  Input'!$B$3:$N$3,0))</f>
        <v>0.10456395525912733</v>
      </c>
      <c r="H438" s="467">
        <f>+INDEX('Fuel Model -  Input'!$B$3:$N$373,MATCH($B438,'Fuel Model -  Input'!$B$3:$B$373,0),MATCH(H$2,'Fuel Model -  Input'!$B$3:$N$3,0))</f>
        <v>0.1</v>
      </c>
      <c r="I438" s="467">
        <f>+INDEX('Fuel Model -  Input'!$B$3:$N$373,MATCH($B438,'Fuel Model -  Input'!$B$3:$B$373,0),MATCH(I$2,'Fuel Model -  Input'!$B$3:$N$3,0))</f>
        <v>9.5635249979003703E-2</v>
      </c>
      <c r="J438" s="467">
        <f>+INDEX('Fuel Model -  Input'!$B$3:$N$373,MATCH($B438,'Fuel Model -  Input'!$B$3:$B$373,0),MATCH(J$2,'Fuel Model -  Input'!$B$3:$N$3,0))</f>
        <v>9.146101038546528E-2</v>
      </c>
      <c r="K438" s="467">
        <f>+INDEX('Fuel Model -  Input'!$B$3:$N$373,MATCH($B438,'Fuel Model -  Input'!$B$3:$B$373,0),MATCH(K$2,'Fuel Model -  Input'!$B$3:$N$3,0))</f>
        <v>8.7468965915462257E-2</v>
      </c>
      <c r="L438" s="467">
        <f>+INDEX('Fuel Model -  Input'!$B$3:$N$373,MATCH($B438,'Fuel Model -  Input'!$B$3:$B$373,0),MATCH(L$2,'Fuel Model -  Input'!$B$3:$N$3,0))</f>
        <v>8.365116420730187E-2</v>
      </c>
      <c r="M438" s="467">
        <f>INDEX('Fuel Model -  Input'!$B$3:$N$373,MATCH($B438,'Fuel Model -  Input'!$B$3:$B$373,0),MATCH(M$2,'Fuel Model -  Input'!$B$3:$N$3,0))</f>
        <v>0.08</v>
      </c>
      <c r="O438" s="95"/>
    </row>
    <row r="439" spans="2:15" hidden="1" outlineLevel="2" x14ac:dyDescent="0.2"/>
    <row r="440" spans="2:15" s="506" customFormat="1" ht="15" hidden="1" outlineLevel="2" collapsed="1" x14ac:dyDescent="0.25">
      <c r="B440" s="505" t="s">
        <v>912</v>
      </c>
      <c r="C440"/>
      <c r="F440" s="507"/>
      <c r="G440" s="508">
        <f t="shared" ref="G440:M440" si="233">G441</f>
        <v>5910.995117759353</v>
      </c>
      <c r="H440" s="508">
        <f t="shared" si="233"/>
        <v>4714.1006804893768</v>
      </c>
      <c r="I440" s="508">
        <f t="shared" si="233"/>
        <v>3603.3141582899752</v>
      </c>
      <c r="J440" s="508">
        <f t="shared" si="233"/>
        <v>2836.3150928206624</v>
      </c>
      <c r="K440" s="508">
        <f t="shared" si="233"/>
        <v>2207.1338873340574</v>
      </c>
      <c r="L440" s="508">
        <f t="shared" si="233"/>
        <v>1727.262855914289</v>
      </c>
      <c r="M440" s="508">
        <f t="shared" si="233"/>
        <v>1324.5136306524851</v>
      </c>
    </row>
    <row r="441" spans="2:15" ht="15" hidden="1" outlineLevel="3" x14ac:dyDescent="0.25">
      <c r="B441" s="3" t="str">
        <f t="shared" ref="B441:B449" si="234">+C441&amp;D441&amp;E441&amp;F441</f>
        <v>AmericasResultsCost of e-Hydrogen (SO)USD/ton</v>
      </c>
      <c r="C441" t="str">
        <f>$B$395</f>
        <v>Americas</v>
      </c>
      <c r="D441" t="s">
        <v>838</v>
      </c>
      <c r="E441" s="30" t="s">
        <v>865</v>
      </c>
      <c r="F441" s="450" t="s">
        <v>205</v>
      </c>
      <c r="G441" s="488">
        <f t="shared" ref="G441:M441" si="235">SUM(G442:G443)</f>
        <v>5910.995117759353</v>
      </c>
      <c r="H441" s="488">
        <f t="shared" si="235"/>
        <v>4714.1006804893768</v>
      </c>
      <c r="I441" s="488">
        <f t="shared" si="235"/>
        <v>3603.3141582899752</v>
      </c>
      <c r="J441" s="488">
        <f t="shared" si="235"/>
        <v>2836.3150928206624</v>
      </c>
      <c r="K441" s="488">
        <f t="shared" si="235"/>
        <v>2207.1338873340574</v>
      </c>
      <c r="L441" s="488">
        <f t="shared" si="235"/>
        <v>1727.262855914289</v>
      </c>
      <c r="M441" s="488">
        <f t="shared" si="235"/>
        <v>1324.5136306524851</v>
      </c>
      <c r="O441" s="95"/>
    </row>
    <row r="442" spans="2:15" ht="15" hidden="1" outlineLevel="3" x14ac:dyDescent="0.25">
      <c r="B442" s="3" t="str">
        <f t="shared" si="234"/>
        <v>AmericasResultsCapex (SO)USD/ton</v>
      </c>
      <c r="C442" t="str">
        <f>$B$395</f>
        <v>Americas</v>
      </c>
      <c r="D442" t="s">
        <v>838</v>
      </c>
      <c r="E442" s="228" t="s">
        <v>913</v>
      </c>
      <c r="F442" s="450" t="s">
        <v>205</v>
      </c>
      <c r="G442" s="488">
        <f t="shared" ref="G442:M442" si="236">G445</f>
        <v>1758.6412738718229</v>
      </c>
      <c r="H442" s="488">
        <f t="shared" si="236"/>
        <v>1478.9446981227807</v>
      </c>
      <c r="I442" s="488">
        <f t="shared" si="236"/>
        <v>1209.1833312371305</v>
      </c>
      <c r="J442" s="488">
        <f t="shared" si="236"/>
        <v>972.80874742053015</v>
      </c>
      <c r="K442" s="488">
        <f t="shared" si="236"/>
        <v>744.92929162816165</v>
      </c>
      <c r="L442" s="488">
        <f t="shared" si="236"/>
        <v>525.30843245521976</v>
      </c>
      <c r="M442" s="488">
        <f t="shared" si="236"/>
        <v>313.71554202604437</v>
      </c>
      <c r="O442" s="95"/>
    </row>
    <row r="443" spans="2:15" ht="15" hidden="1" outlineLevel="3" x14ac:dyDescent="0.25">
      <c r="B443" s="3" t="str">
        <f t="shared" si="234"/>
        <v>AmericasResultsOpex (SO)USD/ton</v>
      </c>
      <c r="C443" t="str">
        <f>$B$395</f>
        <v>Americas</v>
      </c>
      <c r="D443" t="s">
        <v>838</v>
      </c>
      <c r="E443" s="228" t="s">
        <v>914</v>
      </c>
      <c r="F443" s="450" t="s">
        <v>205</v>
      </c>
      <c r="G443" s="488">
        <f>SUM(G451,G455,G459)</f>
        <v>4152.3538438875303</v>
      </c>
      <c r="H443" s="488">
        <f t="shared" ref="H443:M443" si="237">SUM(H451,H455,H459)</f>
        <v>3235.1559823665966</v>
      </c>
      <c r="I443" s="488">
        <f t="shared" si="237"/>
        <v>2394.1308270528448</v>
      </c>
      <c r="J443" s="488">
        <f t="shared" si="237"/>
        <v>1863.5063454001324</v>
      </c>
      <c r="K443" s="488">
        <f t="shared" si="237"/>
        <v>1462.2045957058956</v>
      </c>
      <c r="L443" s="488">
        <f t="shared" si="237"/>
        <v>1201.9544234590694</v>
      </c>
      <c r="M443" s="488">
        <f t="shared" si="237"/>
        <v>1010.7980886264406</v>
      </c>
      <c r="O443" s="95"/>
    </row>
    <row r="444" spans="2:15" hidden="1" outlineLevel="3" x14ac:dyDescent="0.2">
      <c r="B444" s="12" t="str">
        <f t="shared" si="234"/>
        <v/>
      </c>
    </row>
    <row r="445" spans="2:15" ht="15" hidden="1" outlineLevel="3" x14ac:dyDescent="0.25">
      <c r="B445" s="3" t="str">
        <f t="shared" si="234"/>
        <v>AmericasCapexCost per ton H2USD/ ton H2</v>
      </c>
      <c r="C445" t="str">
        <f>$B$395</f>
        <v>Americas</v>
      </c>
      <c r="D445" t="s">
        <v>218</v>
      </c>
      <c r="E445" t="s">
        <v>920</v>
      </c>
      <c r="F445" s="489" t="s">
        <v>859</v>
      </c>
      <c r="G445" s="490">
        <f t="shared" ref="G445:M445" si="238">G447/G446</f>
        <v>1758.6412738718229</v>
      </c>
      <c r="H445" s="490">
        <f t="shared" si="238"/>
        <v>1478.9446981227807</v>
      </c>
      <c r="I445" s="490">
        <f t="shared" si="238"/>
        <v>1209.1833312371305</v>
      </c>
      <c r="J445" s="490">
        <f t="shared" si="238"/>
        <v>972.80874742053015</v>
      </c>
      <c r="K445" s="490">
        <f t="shared" si="238"/>
        <v>744.92929162816165</v>
      </c>
      <c r="L445" s="490">
        <f t="shared" si="238"/>
        <v>525.30843245521976</v>
      </c>
      <c r="M445" s="490">
        <f t="shared" si="238"/>
        <v>313.71554202604437</v>
      </c>
      <c r="O445" s="118"/>
    </row>
    <row r="446" spans="2:15" hidden="1" outlineLevel="3" x14ac:dyDescent="0.2">
      <c r="B446" s="12" t="str">
        <f t="shared" si="234"/>
        <v>GlobalPlant capexAnnualisation factor#</v>
      </c>
      <c r="C446" t="s">
        <v>109</v>
      </c>
      <c r="D446" t="s">
        <v>786</v>
      </c>
      <c r="E446" t="s">
        <v>764</v>
      </c>
      <c r="F446" s="450" t="s">
        <v>787</v>
      </c>
      <c r="G446" s="491">
        <f>+INDEX('Fuel Model -  Input'!$B$3:$N$373,MATCH($B446,'Fuel Model -  Input'!$B$3:$B$373,0),MATCH(G$2,'Fuel Model -  Input'!$B$3:$N$3,0))</f>
        <v>11.32075471698113</v>
      </c>
      <c r="H446" s="491">
        <f>+INDEX('Fuel Model -  Input'!$B$3:$N$373,MATCH($B446,'Fuel Model -  Input'!$B$3:$B$373,0),MATCH(H$2,'Fuel Model -  Input'!$B$3:$N$3,0))</f>
        <v>11.32075471698113</v>
      </c>
      <c r="I446" s="491">
        <f>+INDEX('Fuel Model -  Input'!$B$3:$N$373,MATCH($B446,'Fuel Model -  Input'!$B$3:$B$373,0),MATCH(I$2,'Fuel Model -  Input'!$B$3:$N$3,0))</f>
        <v>11.32075471698113</v>
      </c>
      <c r="J446" s="491">
        <f>+INDEX('Fuel Model -  Input'!$B$3:$N$373,MATCH($B446,'Fuel Model -  Input'!$B$3:$B$373,0),MATCH(J$2,'Fuel Model -  Input'!$B$3:$N$3,0))</f>
        <v>11.32075471698113</v>
      </c>
      <c r="K446" s="491">
        <f>+INDEX('Fuel Model -  Input'!$B$3:$N$373,MATCH($B446,'Fuel Model -  Input'!$B$3:$B$373,0),MATCH(K$2,'Fuel Model -  Input'!$B$3:$N$3,0))</f>
        <v>11.32075471698113</v>
      </c>
      <c r="L446" s="491">
        <f>+INDEX('Fuel Model -  Input'!$B$3:$N$373,MATCH($B446,'Fuel Model -  Input'!$B$3:$B$373,0),MATCH(L$2,'Fuel Model -  Input'!$B$3:$N$3,0))</f>
        <v>11.32075471698113</v>
      </c>
      <c r="M446" s="491">
        <f>INDEX('Fuel Model -  Input'!$B$3:$N$373,MATCH($B446,'Fuel Model -  Input'!$B$3:$B$373,0),MATCH(M$2,'Fuel Model -  Input'!$B$3:$N$3,0))</f>
        <v>11.32075471698113</v>
      </c>
      <c r="O446" s="95"/>
    </row>
    <row r="447" spans="2:15" ht="12.75" hidden="1" outlineLevel="3" x14ac:dyDescent="0.2">
      <c r="B447" s="12" t="str">
        <f t="shared" si="234"/>
        <v>AmericasPlant capexElectrolyser unit cost (SO)USD/ ton H2 cap</v>
      </c>
      <c r="C447" t="str">
        <f>+C445</f>
        <v>Americas</v>
      </c>
      <c r="D447" t="s">
        <v>786</v>
      </c>
      <c r="E447" t="s">
        <v>916</v>
      </c>
      <c r="F447" t="s">
        <v>892</v>
      </c>
      <c r="G447" s="8">
        <f>G449/(365*24*G448)*G453</f>
        <v>19909.146496662142</v>
      </c>
      <c r="H447" s="8">
        <f t="shared" ref="H447" si="239">H449/(365*24*H448)*H453</f>
        <v>16742.770167427701</v>
      </c>
      <c r="I447" s="8">
        <f t="shared" ref="I447" si="240">I449/(365*24*I448)*I453</f>
        <v>13688.867900797701</v>
      </c>
      <c r="J447" s="8">
        <f t="shared" ref="J447" si="241">J449/(365*24*J448)*J453</f>
        <v>11012.929216081471</v>
      </c>
      <c r="K447" s="8">
        <f t="shared" ref="K447" si="242">K449/(365*24*K448)*K453</f>
        <v>8433.1617920169228</v>
      </c>
      <c r="L447" s="8">
        <f t="shared" ref="L447" si="243">L449/(365*24*L448)*L453</f>
        <v>5946.8879145873925</v>
      </c>
      <c r="M447" s="8">
        <f t="shared" ref="M447" si="244">M449/(365*24*M448)*M453</f>
        <v>3551.4967021816337</v>
      </c>
      <c r="O447" s="95"/>
    </row>
    <row r="448" spans="2:15" hidden="1" outlineLevel="3" x14ac:dyDescent="0.2">
      <c r="B448" s="12" t="str">
        <f t="shared" si="234"/>
        <v>AmericasGeneralCapacity factor%</v>
      </c>
      <c r="C448" t="str">
        <f>$B$395</f>
        <v>Americas</v>
      </c>
      <c r="D448" t="s">
        <v>173</v>
      </c>
      <c r="E448" t="s">
        <v>893</v>
      </c>
      <c r="F448" s="450" t="s">
        <v>178</v>
      </c>
      <c r="G448" s="467">
        <f>+INDEX('Fuel Model -  Input'!$B$3:$N$373,MATCH($B448,'Fuel Model -  Input'!$B$3:$B$373,0),MATCH(G$2,'Fuel Model -  Input'!$B$3:$N$3,0))</f>
        <v>0.9</v>
      </c>
      <c r="H448" s="467">
        <f>+INDEX('Fuel Model -  Input'!$B$3:$N$373,MATCH($B448,'Fuel Model -  Input'!$B$3:$B$373,0),MATCH(H$2,'Fuel Model -  Input'!$B$3:$N$3,0))</f>
        <v>0.9</v>
      </c>
      <c r="I448" s="467">
        <f>+INDEX('Fuel Model -  Input'!$B$3:$N$373,MATCH($B448,'Fuel Model -  Input'!$B$3:$B$373,0),MATCH(I$2,'Fuel Model -  Input'!$B$3:$N$3,0))</f>
        <v>0.9</v>
      </c>
      <c r="J448" s="467">
        <f>+INDEX('Fuel Model -  Input'!$B$3:$N$373,MATCH($B448,'Fuel Model -  Input'!$B$3:$B$373,0),MATCH(J$2,'Fuel Model -  Input'!$B$3:$N$3,0))</f>
        <v>0.9</v>
      </c>
      <c r="K448" s="467">
        <f>+INDEX('Fuel Model -  Input'!$B$3:$N$373,MATCH($B448,'Fuel Model -  Input'!$B$3:$B$373,0),MATCH(K$2,'Fuel Model -  Input'!$B$3:$N$3,0))</f>
        <v>0.9</v>
      </c>
      <c r="L448" s="467">
        <f>+INDEX('Fuel Model -  Input'!$B$3:$N$373,MATCH($B448,'Fuel Model -  Input'!$B$3:$B$373,0),MATCH(L$2,'Fuel Model -  Input'!$B$3:$N$3,0))</f>
        <v>0.9</v>
      </c>
      <c r="M448" s="467">
        <f>INDEX('Fuel Model -  Input'!$B$3:$N$373,MATCH($B448,'Fuel Model -  Input'!$B$3:$B$373,0),MATCH(M$2,'Fuel Model -  Input'!$B$3:$N$3,0))</f>
        <v>0.9</v>
      </c>
      <c r="O448" s="95"/>
    </row>
    <row r="449" spans="2:15" hidden="1" outlineLevel="3" x14ac:dyDescent="0.2">
      <c r="B449" s="12" t="str">
        <f t="shared" si="234"/>
        <v>GlobalCapexElectrolyser unit cost (SO)USD/MW</v>
      </c>
      <c r="C449" t="s">
        <v>109</v>
      </c>
      <c r="D449" t="s">
        <v>218</v>
      </c>
      <c r="E449" t="s">
        <v>916</v>
      </c>
      <c r="F449" s="450" t="s">
        <v>279</v>
      </c>
      <c r="G449" s="491">
        <f>+INDEX('Fuel Model -  Input'!$B$3:$N$373,MATCH($B449,'Fuel Model -  Input'!$B$3:$B$373,0),MATCH(G$2,'Fuel Model -  Input'!$B$3:$N$3,0))</f>
        <v>3500000</v>
      </c>
      <c r="H449" s="491">
        <f>+INDEX('Fuel Model -  Input'!$B$3:$N$373,MATCH($B449,'Fuel Model -  Input'!$B$3:$B$373,0),MATCH(H$2,'Fuel Model -  Input'!$B$3:$N$3,0))</f>
        <v>3000000</v>
      </c>
      <c r="I449" s="491">
        <f>+INDEX('Fuel Model -  Input'!$B$3:$N$373,MATCH($B449,'Fuel Model -  Input'!$B$3:$B$373,0),MATCH(I$2,'Fuel Model -  Input'!$B$3:$N$3,0))</f>
        <v>2500000</v>
      </c>
      <c r="J449" s="491">
        <f>+INDEX('Fuel Model -  Input'!$B$3:$N$373,MATCH($B449,'Fuel Model -  Input'!$B$3:$B$373,0),MATCH(J$2,'Fuel Model -  Input'!$B$3:$N$3,0))</f>
        <v>2050000</v>
      </c>
      <c r="K449" s="491">
        <f>+INDEX('Fuel Model -  Input'!$B$3:$N$373,MATCH($B449,'Fuel Model -  Input'!$B$3:$B$373,0),MATCH(K$2,'Fuel Model -  Input'!$B$3:$N$3,0))</f>
        <v>1600000</v>
      </c>
      <c r="L449" s="491">
        <f>+INDEX('Fuel Model -  Input'!$B$3:$N$373,MATCH($B449,'Fuel Model -  Input'!$B$3:$B$373,0),MATCH(L$2,'Fuel Model -  Input'!$B$3:$N$3,0))</f>
        <v>1150000</v>
      </c>
      <c r="M449" s="491">
        <f>INDEX('Fuel Model -  Input'!$B$3:$N$373,MATCH($B449,'Fuel Model -  Input'!$B$3:$B$373,0),MATCH(M$2,'Fuel Model -  Input'!$B$3:$N$3,0))</f>
        <v>700000</v>
      </c>
      <c r="O449" s="95"/>
    </row>
    <row r="450" spans="2:15" ht="12.75" hidden="1" outlineLevel="3" x14ac:dyDescent="0.2">
      <c r="B450" s="48"/>
      <c r="F450"/>
      <c r="O450" s="95"/>
    </row>
    <row r="451" spans="2:15" ht="15" hidden="1" outlineLevel="3" x14ac:dyDescent="0.25">
      <c r="B451" s="3" t="str">
        <f>+C451&amp;D451&amp;E451&amp;F451</f>
        <v>AmericasFeedstockTotal Electricity (SO)USD/ ton H2</v>
      </c>
      <c r="C451" t="str">
        <f>$B$395</f>
        <v>Americas</v>
      </c>
      <c r="D451" t="s">
        <v>777</v>
      </c>
      <c r="E451" t="s">
        <v>917</v>
      </c>
      <c r="F451" s="489" t="s">
        <v>859</v>
      </c>
      <c r="G451" s="492">
        <f t="shared" ref="G451:M451" si="245">G452*G453</f>
        <v>1747.5176122018593</v>
      </c>
      <c r="H451" s="492">
        <f t="shared" si="245"/>
        <v>1547.3789656238264</v>
      </c>
      <c r="I451" s="492">
        <f t="shared" si="245"/>
        <v>1240.9597394018774</v>
      </c>
      <c r="J451" s="492">
        <f t="shared" si="245"/>
        <v>1086.6508359841805</v>
      </c>
      <c r="K451" s="492">
        <f t="shared" si="245"/>
        <v>962.04372675217076</v>
      </c>
      <c r="L451" s="492">
        <f t="shared" si="245"/>
        <v>902.73632824467768</v>
      </c>
      <c r="M451" s="492">
        <f t="shared" si="245"/>
        <v>855.23822053917524</v>
      </c>
      <c r="O451" s="95"/>
    </row>
    <row r="452" spans="2:15" hidden="1" outlineLevel="3" x14ac:dyDescent="0.2">
      <c r="B452" s="12" t="str">
        <f>+C452&amp;D452&amp;E452&amp;F452</f>
        <v>AmericasFeedstockElectricityUSD/MWh</v>
      </c>
      <c r="C452" t="str">
        <f>$B$395</f>
        <v>Americas</v>
      </c>
      <c r="D452" t="s">
        <v>777</v>
      </c>
      <c r="E452" t="s">
        <v>54</v>
      </c>
      <c r="F452" s="450" t="s">
        <v>196</v>
      </c>
      <c r="G452" s="491">
        <f>+INDEX('Fuel Model -  Input'!$B$3:$N$373,MATCH($B452,'Fuel Model -  Input'!$B$3:$B$373,0),MATCH(G$2,'Fuel Model -  Input'!$B$3:$N$3,0))</f>
        <v>38.96640570315094</v>
      </c>
      <c r="H452" s="491">
        <f>+INDEX('Fuel Model -  Input'!$B$3:$N$373,MATCH($B452,'Fuel Model -  Input'!$B$3:$B$373,0),MATCH(H$2,'Fuel Model -  Input'!$B$3:$N$3,0))</f>
        <v>35.167703764177872</v>
      </c>
      <c r="I452" s="491">
        <f>+INDEX('Fuel Model -  Input'!$B$3:$N$373,MATCH($B452,'Fuel Model -  Input'!$B$3:$B$373,0),MATCH(I$2,'Fuel Model -  Input'!$B$3:$N$3,0))</f>
        <v>28.746405825398561</v>
      </c>
      <c r="J452" s="491">
        <f>+INDEX('Fuel Model -  Input'!$B$3:$N$373,MATCH($B452,'Fuel Model -  Input'!$B$3:$B$373,0),MATCH(J$2,'Fuel Model -  Input'!$B$3:$N$3,0))</f>
        <v>25.656323090259679</v>
      </c>
      <c r="K452" s="491">
        <f>+INDEX('Fuel Model -  Input'!$B$3:$N$373,MATCH($B452,'Fuel Model -  Input'!$B$3:$B$373,0),MATCH(K$2,'Fuel Model -  Input'!$B$3:$N$3,0))</f>
        <v>23.151426016069131</v>
      </c>
      <c r="L452" s="491">
        <f>+INDEX('Fuel Model -  Input'!$B$3:$N$373,MATCH($B452,'Fuel Model -  Input'!$B$3:$B$373,0),MATCH(L$2,'Fuel Model -  Input'!$B$3:$N$3,0))</f>
        <v>22.142282710121734</v>
      </c>
      <c r="M452" s="491">
        <f>INDEX('Fuel Model -  Input'!$B$3:$N$373,MATCH($B452,'Fuel Model -  Input'!$B$3:$B$373,0),MATCH(M$2,'Fuel Model -  Input'!$B$3:$N$3,0))</f>
        <v>21.380955513479382</v>
      </c>
      <c r="O452" s="95"/>
    </row>
    <row r="453" spans="2:15" s="86" customFormat="1" hidden="1" outlineLevel="3" x14ac:dyDescent="0.2">
      <c r="B453" s="12" t="str">
        <f>+C453&amp;D453&amp;E453&amp;F453</f>
        <v>GlobalFeedstockSystem efficiency (SO)kWh/kg H2</v>
      </c>
      <c r="C453" t="s">
        <v>109</v>
      </c>
      <c r="D453" t="s">
        <v>777</v>
      </c>
      <c r="E453" t="s">
        <v>918</v>
      </c>
      <c r="F453" s="450" t="s">
        <v>896</v>
      </c>
      <c r="G453" s="491">
        <f>+INDEX('Fuel Model -  Input'!$B$3:$N$373,MATCH($B453,'Fuel Model -  Input'!$B$3:$B$373,0),MATCH(G$2,'Fuel Model -  Input'!$B$3:$N$3,0))</f>
        <v>44.846774565624095</v>
      </c>
      <c r="H453" s="491">
        <f>+INDEX('Fuel Model -  Input'!$B$3:$N$373,MATCH($B453,'Fuel Model -  Input'!$B$3:$B$373,0),MATCH(H$2,'Fuel Model -  Input'!$B$3:$N$3,0))</f>
        <v>44</v>
      </c>
      <c r="I453" s="491">
        <f>+INDEX('Fuel Model -  Input'!$B$3:$N$373,MATCH($B453,'Fuel Model -  Input'!$B$3:$B$373,0),MATCH(I$2,'Fuel Model -  Input'!$B$3:$N$3,0))</f>
        <v>43.169213811955629</v>
      </c>
      <c r="J453" s="491">
        <f>+INDEX('Fuel Model -  Input'!$B$3:$N$373,MATCH($B453,'Fuel Model -  Input'!$B$3:$B$373,0),MATCH(J$2,'Fuel Model -  Input'!$B$3:$N$3,0))</f>
        <v>42.354114116871379</v>
      </c>
      <c r="K453" s="491">
        <f>+INDEX('Fuel Model -  Input'!$B$3:$N$373,MATCH($B453,'Fuel Model -  Input'!$B$3:$B$373,0),MATCH(K$2,'Fuel Model -  Input'!$B$3:$N$3,0))</f>
        <v>41.554404730163384</v>
      </c>
      <c r="L453" s="491">
        <f>+INDEX('Fuel Model -  Input'!$B$3:$N$373,MATCH($B453,'Fuel Model -  Input'!$B$3:$B$373,0),MATCH(L$2,'Fuel Model -  Input'!$B$3:$N$3,0))</f>
        <v>40.769795059658264</v>
      </c>
      <c r="M453" s="491">
        <f>+INDEX('Fuel Model -  Input'!$B$3:$N$373,MATCH($B453,'Fuel Model -  Input'!$B$3:$B$373,0),MATCH(M$2,'Fuel Model -  Input'!$B$3:$N$3,0))</f>
        <v>40</v>
      </c>
      <c r="O453" s="95"/>
    </row>
    <row r="454" spans="2:15" hidden="1" outlineLevel="3" x14ac:dyDescent="0.2">
      <c r="B454" s="12"/>
      <c r="G454" s="493"/>
      <c r="H454" s="493"/>
      <c r="I454" s="493"/>
      <c r="J454" s="493"/>
      <c r="K454" s="493"/>
      <c r="L454" s="493"/>
      <c r="M454" s="493"/>
      <c r="O454" s="118"/>
    </row>
    <row r="455" spans="2:15" ht="15" hidden="1" outlineLevel="3" x14ac:dyDescent="0.25">
      <c r="B455" t="str">
        <f t="shared" ref="B455:B457" si="246">+C455&amp;D455&amp;E455&amp;F455</f>
        <v>GlobalFeedstockCost of H2O in H2USD/ton H2</v>
      </c>
      <c r="C455" s="494" t="str">
        <f>C453</f>
        <v>Global</v>
      </c>
      <c r="D455" t="s">
        <v>777</v>
      </c>
      <c r="E455" t="s">
        <v>897</v>
      </c>
      <c r="F455" s="127" t="s">
        <v>881</v>
      </c>
      <c r="G455" s="261">
        <f t="shared" ref="G455:M455" si="247">G456*G457</f>
        <v>13.5</v>
      </c>
      <c r="H455" s="261">
        <f t="shared" si="247"/>
        <v>13.5</v>
      </c>
      <c r="I455" s="261">
        <f t="shared" si="247"/>
        <v>13.5</v>
      </c>
      <c r="J455" s="261">
        <f t="shared" si="247"/>
        <v>13.5</v>
      </c>
      <c r="K455" s="261">
        <f t="shared" si="247"/>
        <v>13.5</v>
      </c>
      <c r="L455" s="261">
        <f t="shared" si="247"/>
        <v>13.5</v>
      </c>
      <c r="M455" s="261">
        <f t="shared" si="247"/>
        <v>13.5</v>
      </c>
    </row>
    <row r="456" spans="2:15" hidden="1" outlineLevel="3" x14ac:dyDescent="0.2">
      <c r="B456" t="str">
        <f t="shared" si="246"/>
        <v>GlobalFeedstockConversion H2O:H2 (actual)ton H2O/ton H2</v>
      </c>
      <c r="C456" t="s">
        <v>109</v>
      </c>
      <c r="D456" t="s">
        <v>777</v>
      </c>
      <c r="E456" t="s">
        <v>898</v>
      </c>
      <c r="F456" s="128" t="s">
        <v>899</v>
      </c>
      <c r="G456" s="495">
        <f>INDEX('Fuel Model -  Input'!$B$3:$N$373,MATCH($B456,'Fuel Model -  Input'!$B$3:$B$373,0),MATCH(G$2,'Fuel Model -  Input'!$B$3:$N$3,0))</f>
        <v>9</v>
      </c>
      <c r="H456" s="495">
        <f>INDEX('Fuel Model -  Input'!$B$3:$N$373,MATCH($B456,'Fuel Model -  Input'!$B$3:$B$373,0),MATCH(H$2,'Fuel Model -  Input'!$B$3:$N$3,0))</f>
        <v>9</v>
      </c>
      <c r="I456" s="495">
        <f>INDEX('Fuel Model -  Input'!$B$3:$N$373,MATCH($B456,'Fuel Model -  Input'!$B$3:$B$373,0),MATCH(I$2,'Fuel Model -  Input'!$B$3:$N$3,0))</f>
        <v>9</v>
      </c>
      <c r="J456" s="495">
        <f>INDEX('Fuel Model -  Input'!$B$3:$N$373,MATCH($B456,'Fuel Model -  Input'!$B$3:$B$373,0),MATCH(J$2,'Fuel Model -  Input'!$B$3:$N$3,0))</f>
        <v>9</v>
      </c>
      <c r="K456" s="495">
        <f>INDEX('Fuel Model -  Input'!$B$3:$N$373,MATCH($B456,'Fuel Model -  Input'!$B$3:$B$373,0),MATCH(K$2,'Fuel Model -  Input'!$B$3:$N$3,0))</f>
        <v>9</v>
      </c>
      <c r="L456" s="495">
        <f>INDEX('Fuel Model -  Input'!$B$3:$N$373,MATCH($B456,'Fuel Model -  Input'!$B$3:$B$373,0),MATCH(L$2,'Fuel Model -  Input'!$B$3:$N$3,0))</f>
        <v>9</v>
      </c>
      <c r="M456" s="495">
        <f>INDEX('Fuel Model -  Input'!$B$3:$N$373,MATCH($B456,'Fuel Model -  Input'!$B$3:$B$373,0),MATCH(M$2,'Fuel Model -  Input'!$B$3:$N$3,0))</f>
        <v>9</v>
      </c>
    </row>
    <row r="457" spans="2:15" hidden="1" outlineLevel="3" x14ac:dyDescent="0.2">
      <c r="B457" t="str">
        <f t="shared" si="246"/>
        <v>GlobalFeedstockDemineralized water costUSD/ton demin H2O</v>
      </c>
      <c r="C457" s="494" t="s">
        <v>109</v>
      </c>
      <c r="D457" t="s">
        <v>777</v>
      </c>
      <c r="E457" t="s">
        <v>900</v>
      </c>
      <c r="F457" s="450" t="s">
        <v>901</v>
      </c>
      <c r="G457" s="495">
        <f>+INDEX('Fuel Model -  Input'!$B$3:$N$373,MATCH($B457,'Fuel Model -  Input'!$B$3:$B$373,0),MATCH(G$2,'Fuel Model -  Input'!$B$3:$N$3,0))</f>
        <v>1.5</v>
      </c>
      <c r="H457" s="495">
        <f>+INDEX('Fuel Model -  Input'!$B$3:$N$373,MATCH($B457,'Fuel Model -  Input'!$B$3:$B$373,0),MATCH(H$2,'Fuel Model -  Input'!$B$3:$N$3,0))</f>
        <v>1.5</v>
      </c>
      <c r="I457" s="495">
        <f>+INDEX('Fuel Model -  Input'!$B$3:$N$373,MATCH($B457,'Fuel Model -  Input'!$B$3:$B$373,0),MATCH(I$2,'Fuel Model -  Input'!$B$3:$N$3,0))</f>
        <v>1.5</v>
      </c>
      <c r="J457" s="495">
        <f>+INDEX('Fuel Model -  Input'!$B$3:$N$373,MATCH($B457,'Fuel Model -  Input'!$B$3:$B$373,0),MATCH(J$2,'Fuel Model -  Input'!$B$3:$N$3,0))</f>
        <v>1.5</v>
      </c>
      <c r="K457" s="495">
        <f>+INDEX('Fuel Model -  Input'!$B$3:$N$373,MATCH($B457,'Fuel Model -  Input'!$B$3:$B$373,0),MATCH(K$2,'Fuel Model -  Input'!$B$3:$N$3,0))</f>
        <v>1.5</v>
      </c>
      <c r="L457" s="495">
        <f>+INDEX('Fuel Model -  Input'!$B$3:$N$373,MATCH($B457,'Fuel Model -  Input'!$B$3:$B$373,0),MATCH(L$2,'Fuel Model -  Input'!$B$3:$N$3,0))</f>
        <v>1.5</v>
      </c>
      <c r="M457" s="495">
        <f>+INDEX('Fuel Model -  Input'!$B$3:$N$373,MATCH($B457,'Fuel Model -  Input'!$B$3:$B$373,0),MATCH(M$2,'Fuel Model -  Input'!$B$3:$N$3,0))</f>
        <v>1.5</v>
      </c>
    </row>
    <row r="458" spans="2:15" ht="12.75" hidden="1" outlineLevel="3" x14ac:dyDescent="0.2">
      <c r="F458"/>
      <c r="O458" s="118"/>
    </row>
    <row r="459" spans="2:15" ht="15" hidden="1" outlineLevel="3" x14ac:dyDescent="0.25">
      <c r="B459" s="496" t="str">
        <f>+C459&amp;D459&amp;E459&amp;F459</f>
        <v>AmericasOpexPlantUSD/ ton H2</v>
      </c>
      <c r="C459" t="str">
        <f>$B$395</f>
        <v>Americas</v>
      </c>
      <c r="D459" t="s">
        <v>219</v>
      </c>
      <c r="E459" t="s">
        <v>902</v>
      </c>
      <c r="F459" s="489" t="s">
        <v>859</v>
      </c>
      <c r="G459" s="492">
        <f t="shared" ref="G459:M459" si="248">G447*G460</f>
        <v>2391.336231685671</v>
      </c>
      <c r="H459" s="492">
        <f t="shared" si="248"/>
        <v>1674.2770167427702</v>
      </c>
      <c r="I459" s="492">
        <f t="shared" si="248"/>
        <v>1139.6710876509674</v>
      </c>
      <c r="J459" s="492">
        <f t="shared" si="248"/>
        <v>763.35550941595204</v>
      </c>
      <c r="K459" s="492">
        <f t="shared" si="248"/>
        <v>486.6608689537249</v>
      </c>
      <c r="L459" s="492">
        <f t="shared" si="248"/>
        <v>285.71809521439178</v>
      </c>
      <c r="M459" s="492">
        <f t="shared" si="248"/>
        <v>142.05986808726536</v>
      </c>
      <c r="O459" s="95"/>
    </row>
    <row r="460" spans="2:15" hidden="1" outlineLevel="3" x14ac:dyDescent="0.2">
      <c r="B460" s="497" t="str">
        <f>+C460&amp;D460&amp;E460&amp;F460</f>
        <v>GlobalOpexPlant - Electrolysis - opex (SO)Percent of Capex</v>
      </c>
      <c r="C460" t="s">
        <v>109</v>
      </c>
      <c r="D460" s="157" t="s">
        <v>219</v>
      </c>
      <c r="E460" s="498" t="s">
        <v>919</v>
      </c>
      <c r="F460" s="450" t="s">
        <v>883</v>
      </c>
      <c r="G460" s="467">
        <f>+INDEX('Fuel Model -  Input'!$B$3:$N$373,MATCH($B460,'Fuel Model -  Input'!$B$3:$B$373,0),MATCH(G$2,'Fuel Model -  Input'!$B$3:$N$3,0))</f>
        <v>0.12011244339814313</v>
      </c>
      <c r="H460" s="467">
        <f>+INDEX('Fuel Model -  Input'!$B$3:$N$373,MATCH($B460,'Fuel Model -  Input'!$B$3:$B$373,0),MATCH(H$2,'Fuel Model -  Input'!$B$3:$N$3,0))</f>
        <v>0.1</v>
      </c>
      <c r="I460" s="467">
        <f>+INDEX('Fuel Model -  Input'!$B$3:$N$373,MATCH($B460,'Fuel Model -  Input'!$B$3:$B$373,0),MATCH(I$2,'Fuel Model -  Input'!$B$3:$N$3,0))</f>
        <v>8.3255320740187322E-2</v>
      </c>
      <c r="J460" s="467">
        <f>+INDEX('Fuel Model -  Input'!$B$3:$N$373,MATCH($B460,'Fuel Model -  Input'!$B$3:$B$373,0),MATCH(J$2,'Fuel Model -  Input'!$B$3:$N$3,0))</f>
        <v>6.9314484315514638E-2</v>
      </c>
      <c r="K460" s="467">
        <f>+INDEX('Fuel Model -  Input'!$B$3:$N$373,MATCH($B460,'Fuel Model -  Input'!$B$3:$B$373,0),MATCH(K$2,'Fuel Model -  Input'!$B$3:$N$3,0))</f>
        <v>5.7707996236288542E-2</v>
      </c>
      <c r="L460" s="467">
        <f>+INDEX('Fuel Model -  Input'!$B$3:$N$373,MATCH($B460,'Fuel Model -  Input'!$B$3:$B$373,0),MATCH(L$2,'Fuel Model -  Input'!$B$3:$N$3,0))</f>
        <v>4.8044977359257245E-2</v>
      </c>
      <c r="M460" s="467">
        <f>INDEX('Fuel Model -  Input'!$B$3:$N$373,MATCH($B460,'Fuel Model -  Input'!$B$3:$B$373,0),MATCH(M$2,'Fuel Model -  Input'!$B$3:$N$3,0))</f>
        <v>0.04</v>
      </c>
      <c r="O460" s="95"/>
    </row>
    <row r="461" spans="2:15" hidden="1" outlineLevel="1" x14ac:dyDescent="0.2"/>
    <row r="462" spans="2:15" s="30" customFormat="1" ht="15" hidden="1" outlineLevel="1" collapsed="1" x14ac:dyDescent="0.25">
      <c r="B462" s="30" t="s">
        <v>200</v>
      </c>
      <c r="C462" s="30" t="str">
        <f>+B462</f>
        <v>Africa</v>
      </c>
      <c r="F462" s="450"/>
    </row>
    <row r="463" spans="2:15" s="487" customFormat="1" ht="15" hidden="1" outlineLevel="2" collapsed="1" x14ac:dyDescent="0.25">
      <c r="B463" s="483" t="s">
        <v>887</v>
      </c>
      <c r="C463" s="509"/>
      <c r="D463" s="484"/>
      <c r="E463" s="484"/>
      <c r="F463" s="485"/>
      <c r="G463" s="486">
        <f t="shared" ref="G463:M463" si="249">G464</f>
        <v>5656.3842869819237</v>
      </c>
      <c r="H463" s="486">
        <f t="shared" si="249"/>
        <v>3561.1816592341556</v>
      </c>
      <c r="I463" s="486">
        <f t="shared" si="249"/>
        <v>2714.0868830214008</v>
      </c>
      <c r="J463" s="486">
        <f t="shared" si="249"/>
        <v>2349.7536589387282</v>
      </c>
      <c r="K463" s="486">
        <f t="shared" si="249"/>
        <v>2127.7988398313992</v>
      </c>
      <c r="L463" s="486">
        <f t="shared" si="249"/>
        <v>1904.1036258784964</v>
      </c>
      <c r="M463" s="486">
        <f t="shared" si="249"/>
        <v>1746.595285515094</v>
      </c>
    </row>
    <row r="464" spans="2:15" ht="15" hidden="1" outlineLevel="3" x14ac:dyDescent="0.25">
      <c r="B464" s="3" t="str">
        <f t="shared" ref="B464:B472" si="250">+C464&amp;D464&amp;E464&amp;F464</f>
        <v>AfricaResultsCost of e-Hydrogen (Alk)USD/ton</v>
      </c>
      <c r="C464" t="str">
        <f>$B$462</f>
        <v>Africa</v>
      </c>
      <c r="D464" t="s">
        <v>838</v>
      </c>
      <c r="E464" s="30" t="s">
        <v>863</v>
      </c>
      <c r="F464" s="450" t="s">
        <v>205</v>
      </c>
      <c r="G464" s="488">
        <f t="shared" ref="G464:M464" si="251">SUM(G465:G466)</f>
        <v>5656.3842869819237</v>
      </c>
      <c r="H464" s="488">
        <f t="shared" si="251"/>
        <v>3561.1816592341556</v>
      </c>
      <c r="I464" s="488">
        <f t="shared" si="251"/>
        <v>2714.0868830214008</v>
      </c>
      <c r="J464" s="488">
        <f t="shared" si="251"/>
        <v>2349.7536589387282</v>
      </c>
      <c r="K464" s="488">
        <f t="shared" si="251"/>
        <v>2127.7988398313992</v>
      </c>
      <c r="L464" s="488">
        <f t="shared" si="251"/>
        <v>1904.1036258784964</v>
      </c>
      <c r="M464" s="488">
        <f t="shared" si="251"/>
        <v>1746.595285515094</v>
      </c>
      <c r="O464" s="95"/>
    </row>
    <row r="465" spans="2:15" ht="15" hidden="1" outlineLevel="3" x14ac:dyDescent="0.25">
      <c r="B465" s="3" t="str">
        <f t="shared" si="250"/>
        <v>AfricaResultsCapex (Alk)USD/ton</v>
      </c>
      <c r="C465" t="str">
        <f>$B$462</f>
        <v>Africa</v>
      </c>
      <c r="D465" t="s">
        <v>838</v>
      </c>
      <c r="E465" s="228" t="s">
        <v>888</v>
      </c>
      <c r="F465" s="450" t="s">
        <v>205</v>
      </c>
      <c r="G465" s="488">
        <f t="shared" ref="G465:M465" si="252">G468</f>
        <v>787.464217475032</v>
      </c>
      <c r="H465" s="488">
        <f t="shared" si="252"/>
        <v>616.22695755115865</v>
      </c>
      <c r="I465" s="488">
        <f t="shared" si="252"/>
        <v>446.35788397320005</v>
      </c>
      <c r="J465" s="488">
        <f t="shared" si="252"/>
        <v>402.8806831018826</v>
      </c>
      <c r="K465" s="488">
        <f t="shared" si="252"/>
        <v>359.74685839083924</v>
      </c>
      <c r="L465" s="488">
        <f t="shared" si="252"/>
        <v>316.9543475337004</v>
      </c>
      <c r="M465" s="488">
        <f t="shared" si="252"/>
        <v>274.50109927278885</v>
      </c>
      <c r="O465" s="95"/>
    </row>
    <row r="466" spans="2:15" ht="15" hidden="1" outlineLevel="3" x14ac:dyDescent="0.25">
      <c r="B466" s="3" t="str">
        <f t="shared" si="250"/>
        <v>AfricaResultsOpex (Alk)USD/ton</v>
      </c>
      <c r="C466" t="str">
        <f>$B$462</f>
        <v>Africa</v>
      </c>
      <c r="D466" t="s">
        <v>838</v>
      </c>
      <c r="E466" s="228" t="s">
        <v>889</v>
      </c>
      <c r="F466" s="450" t="s">
        <v>205</v>
      </c>
      <c r="G466" s="488">
        <f>SUM(G474,G478,G482)</f>
        <v>4868.9200695068921</v>
      </c>
      <c r="H466" s="488">
        <f t="shared" ref="H466:M466" si="253">SUM(H474,H478,H482)</f>
        <v>2944.954701682997</v>
      </c>
      <c r="I466" s="488">
        <f t="shared" si="253"/>
        <v>2267.7289990482009</v>
      </c>
      <c r="J466" s="488">
        <f t="shared" si="253"/>
        <v>1946.8729758368454</v>
      </c>
      <c r="K466" s="488">
        <f t="shared" si="253"/>
        <v>1768.05198144056</v>
      </c>
      <c r="L466" s="488">
        <f t="shared" si="253"/>
        <v>1587.1492783447959</v>
      </c>
      <c r="M466" s="488">
        <f t="shared" si="253"/>
        <v>1472.0941862423051</v>
      </c>
      <c r="O466" s="95"/>
    </row>
    <row r="467" spans="2:15" hidden="1" outlineLevel="3" x14ac:dyDescent="0.2">
      <c r="B467" s="12" t="str">
        <f t="shared" si="250"/>
        <v/>
      </c>
    </row>
    <row r="468" spans="2:15" ht="15" hidden="1" outlineLevel="3" x14ac:dyDescent="0.25">
      <c r="B468" s="3" t="str">
        <f t="shared" si="250"/>
        <v>AfricaCapexCost per ton H2USD/ ton H2</v>
      </c>
      <c r="C468" t="str">
        <f>$B$462</f>
        <v>Africa</v>
      </c>
      <c r="D468" t="s">
        <v>218</v>
      </c>
      <c r="E468" t="s">
        <v>920</v>
      </c>
      <c r="F468" s="489" t="s">
        <v>859</v>
      </c>
      <c r="G468" s="490">
        <f t="shared" ref="G468:M468" si="254">G470/G469</f>
        <v>787.464217475032</v>
      </c>
      <c r="H468" s="490">
        <f t="shared" si="254"/>
        <v>616.22695755115865</v>
      </c>
      <c r="I468" s="490">
        <f t="shared" si="254"/>
        <v>446.35788397320005</v>
      </c>
      <c r="J468" s="490">
        <f t="shared" si="254"/>
        <v>402.8806831018826</v>
      </c>
      <c r="K468" s="490">
        <f t="shared" si="254"/>
        <v>359.74685839083924</v>
      </c>
      <c r="L468" s="490">
        <f t="shared" si="254"/>
        <v>316.9543475337004</v>
      </c>
      <c r="M468" s="490">
        <f t="shared" si="254"/>
        <v>274.50109927278885</v>
      </c>
    </row>
    <row r="469" spans="2:15" hidden="1" outlineLevel="3" x14ac:dyDescent="0.2">
      <c r="B469" s="12" t="str">
        <f t="shared" si="250"/>
        <v>GlobalPlant capexAnnualisation factor#</v>
      </c>
      <c r="C469" t="s">
        <v>109</v>
      </c>
      <c r="D469" t="s">
        <v>786</v>
      </c>
      <c r="E469" t="s">
        <v>764</v>
      </c>
      <c r="F469" s="450" t="s">
        <v>787</v>
      </c>
      <c r="G469" s="491">
        <f>+INDEX('Fuel Model -  Input'!$B$3:$N$373,MATCH($B469,'Fuel Model -  Input'!$B$3:$B$373,0),MATCH(G$2,'Fuel Model -  Input'!$B$3:$N$3,0))</f>
        <v>11.32075471698113</v>
      </c>
      <c r="H469" s="491">
        <f>+INDEX('Fuel Model -  Input'!$B$3:$N$373,MATCH($B469,'Fuel Model -  Input'!$B$3:$B$373,0),MATCH(H$2,'Fuel Model -  Input'!$B$3:$N$3,0))</f>
        <v>11.32075471698113</v>
      </c>
      <c r="I469" s="491">
        <f>+INDEX('Fuel Model -  Input'!$B$3:$N$373,MATCH($B469,'Fuel Model -  Input'!$B$3:$B$373,0),MATCH(I$2,'Fuel Model -  Input'!$B$3:$N$3,0))</f>
        <v>11.32075471698113</v>
      </c>
      <c r="J469" s="491">
        <f>+INDEX('Fuel Model -  Input'!$B$3:$N$373,MATCH($B469,'Fuel Model -  Input'!$B$3:$B$373,0),MATCH(J$2,'Fuel Model -  Input'!$B$3:$N$3,0))</f>
        <v>11.32075471698113</v>
      </c>
      <c r="K469" s="491">
        <f>+INDEX('Fuel Model -  Input'!$B$3:$N$373,MATCH($B469,'Fuel Model -  Input'!$B$3:$B$373,0),MATCH(K$2,'Fuel Model -  Input'!$B$3:$N$3,0))</f>
        <v>11.32075471698113</v>
      </c>
      <c r="L469" s="491">
        <f>+INDEX('Fuel Model -  Input'!$B$3:$N$373,MATCH($B469,'Fuel Model -  Input'!$B$3:$B$373,0),MATCH(L$2,'Fuel Model -  Input'!$B$3:$N$3,0))</f>
        <v>11.32075471698113</v>
      </c>
      <c r="M469" s="491">
        <f>INDEX('Fuel Model -  Input'!$B$3:$N$373,MATCH($B469,'Fuel Model -  Input'!$B$3:$B$373,0),MATCH(M$2,'Fuel Model -  Input'!$B$3:$N$3,0))</f>
        <v>11.32075471698113</v>
      </c>
      <c r="O469" s="95"/>
    </row>
    <row r="470" spans="2:15" ht="12.75" hidden="1" outlineLevel="3" x14ac:dyDescent="0.2">
      <c r="B470" s="12" t="str">
        <f t="shared" si="250"/>
        <v>AfricaPlant capexElectrolyser unit cost (Alk)USD/ ton H2 cap</v>
      </c>
      <c r="C470" t="str">
        <f>+C468</f>
        <v>Africa</v>
      </c>
      <c r="D470" t="s">
        <v>786</v>
      </c>
      <c r="E470" t="s">
        <v>891</v>
      </c>
      <c r="F470" t="s">
        <v>892</v>
      </c>
      <c r="G470" s="8">
        <f>G472/(365*24*G471)*G476</f>
        <v>8914.6892544343227</v>
      </c>
      <c r="H470" s="8">
        <f t="shared" ref="H470" si="255">H472/(365*24*H471)*H476</f>
        <v>6976.1542364282095</v>
      </c>
      <c r="I470" s="8">
        <f t="shared" ref="I470" si="256">I472/(365*24*I471)*I476</f>
        <v>5053.1081204513202</v>
      </c>
      <c r="J470" s="8">
        <f t="shared" ref="J470" si="257">J472/(365*24*J471)*J476</f>
        <v>4560.9133936062171</v>
      </c>
      <c r="K470" s="8">
        <f t="shared" ref="K470" si="258">K472/(365*24*K471)*K476</f>
        <v>4072.6059440472354</v>
      </c>
      <c r="L470" s="8">
        <f t="shared" ref="L470" si="259">L472/(365*24*L471)*L476</f>
        <v>3588.1624249098149</v>
      </c>
      <c r="M470" s="8">
        <f t="shared" ref="M470" si="260">M472/(365*24*M471)*M476</f>
        <v>3107.5596144089295</v>
      </c>
    </row>
    <row r="471" spans="2:15" hidden="1" outlineLevel="3" x14ac:dyDescent="0.2">
      <c r="B471" s="12" t="str">
        <f t="shared" si="250"/>
        <v>AfricaGeneralCapacity factor%</v>
      </c>
      <c r="C471" t="str">
        <f>$B$462</f>
        <v>Africa</v>
      </c>
      <c r="D471" t="s">
        <v>173</v>
      </c>
      <c r="E471" t="s">
        <v>893</v>
      </c>
      <c r="F471" s="450" t="s">
        <v>178</v>
      </c>
      <c r="G471" s="467">
        <f>+INDEX('Fuel Model -  Input'!$B$3:$N$373,MATCH($B471,'Fuel Model -  Input'!$B$3:$B$373,0),MATCH(G$2,'Fuel Model -  Input'!$B$3:$N$3,0))</f>
        <v>0.9</v>
      </c>
      <c r="H471" s="467">
        <f>+INDEX('Fuel Model -  Input'!$B$3:$N$373,MATCH($B471,'Fuel Model -  Input'!$B$3:$B$373,0),MATCH(H$2,'Fuel Model -  Input'!$B$3:$N$3,0))</f>
        <v>0.9</v>
      </c>
      <c r="I471" s="467">
        <f>+INDEX('Fuel Model -  Input'!$B$3:$N$373,MATCH($B471,'Fuel Model -  Input'!$B$3:$B$373,0),MATCH(I$2,'Fuel Model -  Input'!$B$3:$N$3,0))</f>
        <v>0.9</v>
      </c>
      <c r="J471" s="467">
        <f>+INDEX('Fuel Model -  Input'!$B$3:$N$373,MATCH($B471,'Fuel Model -  Input'!$B$3:$B$373,0),MATCH(J$2,'Fuel Model -  Input'!$B$3:$N$3,0))</f>
        <v>0.9</v>
      </c>
      <c r="K471" s="467">
        <f>+INDEX('Fuel Model -  Input'!$B$3:$N$373,MATCH($B471,'Fuel Model -  Input'!$B$3:$B$373,0),MATCH(K$2,'Fuel Model -  Input'!$B$3:$N$3,0))</f>
        <v>0.9</v>
      </c>
      <c r="L471" s="467">
        <f>+INDEX('Fuel Model -  Input'!$B$3:$N$373,MATCH($B471,'Fuel Model -  Input'!$B$3:$B$373,0),MATCH(L$2,'Fuel Model -  Input'!$B$3:$N$3,0))</f>
        <v>0.9</v>
      </c>
      <c r="M471" s="467">
        <f>INDEX('Fuel Model -  Input'!$B$3:$N$373,MATCH($B471,'Fuel Model -  Input'!$B$3:$B$373,0),MATCH(M$2,'Fuel Model -  Input'!$B$3:$N$3,0))</f>
        <v>0.9</v>
      </c>
      <c r="O471" s="118"/>
    </row>
    <row r="472" spans="2:15" hidden="1" outlineLevel="3" x14ac:dyDescent="0.2">
      <c r="B472" s="12" t="str">
        <f t="shared" si="250"/>
        <v>GlobalCapexElectrolyser unit cost (Alk)USD/MW</v>
      </c>
      <c r="C472" t="s">
        <v>109</v>
      </c>
      <c r="D472" t="s">
        <v>218</v>
      </c>
      <c r="E472" t="s">
        <v>891</v>
      </c>
      <c r="F472" s="450" t="s">
        <v>279</v>
      </c>
      <c r="G472" s="491">
        <f>+INDEX('Fuel Model -  Input'!$B$3:$N$373,MATCH($B472,'Fuel Model -  Input'!$B$3:$B$373,0),MATCH(G$2,'Fuel Model -  Input'!$B$3:$N$3,0))</f>
        <v>1400000</v>
      </c>
      <c r="H472" s="491">
        <f>+INDEX('Fuel Model -  Input'!$B$3:$N$373,MATCH($B472,'Fuel Model -  Input'!$B$3:$B$373,0),MATCH(H$2,'Fuel Model -  Input'!$B$3:$N$3,0))</f>
        <v>1100000</v>
      </c>
      <c r="I472" s="491">
        <f>+INDEX('Fuel Model -  Input'!$B$3:$N$373,MATCH($B472,'Fuel Model -  Input'!$B$3:$B$373,0),MATCH(I$2,'Fuel Model -  Input'!$B$3:$N$3,0))</f>
        <v>800000</v>
      </c>
      <c r="J472" s="491">
        <f>+INDEX('Fuel Model -  Input'!$B$3:$N$373,MATCH($B472,'Fuel Model -  Input'!$B$3:$B$373,0),MATCH(J$2,'Fuel Model -  Input'!$B$3:$N$3,0))</f>
        <v>725000</v>
      </c>
      <c r="K472" s="491">
        <f>+INDEX('Fuel Model -  Input'!$B$3:$N$373,MATCH($B472,'Fuel Model -  Input'!$B$3:$B$373,0),MATCH(K$2,'Fuel Model -  Input'!$B$3:$N$3,0))</f>
        <v>650000</v>
      </c>
      <c r="L472" s="491">
        <f>+INDEX('Fuel Model -  Input'!$B$3:$N$373,MATCH($B472,'Fuel Model -  Input'!$B$3:$B$373,0),MATCH(L$2,'Fuel Model -  Input'!$B$3:$N$3,0))</f>
        <v>575000</v>
      </c>
      <c r="M472" s="491">
        <f>INDEX('Fuel Model -  Input'!$B$3:$N$373,MATCH($B472,'Fuel Model -  Input'!$B$3:$B$373,0),MATCH(M$2,'Fuel Model -  Input'!$B$3:$N$3,0))</f>
        <v>500000</v>
      </c>
      <c r="O472" s="118"/>
    </row>
    <row r="473" spans="2:15" ht="12.75" hidden="1" outlineLevel="3" x14ac:dyDescent="0.2">
      <c r="B473" s="48"/>
      <c r="F473"/>
    </row>
    <row r="474" spans="2:15" ht="15" hidden="1" outlineLevel="3" x14ac:dyDescent="0.25">
      <c r="B474" s="3" t="str">
        <f>+C474&amp;D474&amp;E474&amp;F474</f>
        <v>AfricaFeedstockTotal Electricity (Alk)USD/ ton H2</v>
      </c>
      <c r="C474" t="str">
        <f>$B$462</f>
        <v>Africa</v>
      </c>
      <c r="D474" t="s">
        <v>777</v>
      </c>
      <c r="E474" t="s">
        <v>894</v>
      </c>
      <c r="F474" s="489" t="s">
        <v>859</v>
      </c>
      <c r="G474" s="492">
        <f t="shared" ref="G474:M474" si="261">G475*G476</f>
        <v>3963.9511440634601</v>
      </c>
      <c r="H474" s="492">
        <f t="shared" si="261"/>
        <v>2233.8392780401759</v>
      </c>
      <c r="I474" s="492">
        <f t="shared" si="261"/>
        <v>1748.9181870030689</v>
      </c>
      <c r="J474" s="492">
        <f t="shared" si="261"/>
        <v>1477.2816364762236</v>
      </c>
      <c r="K474" s="492">
        <f t="shared" si="261"/>
        <v>1347.2913870358364</v>
      </c>
      <c r="L474" s="492">
        <f t="shared" si="261"/>
        <v>1214.8330358538144</v>
      </c>
      <c r="M474" s="492">
        <f t="shared" si="261"/>
        <v>1147.8382248014123</v>
      </c>
    </row>
    <row r="475" spans="2:15" hidden="1" outlineLevel="3" x14ac:dyDescent="0.2">
      <c r="B475" s="12" t="str">
        <f>+C475&amp;D475&amp;E475&amp;F475</f>
        <v>AfricaFeedstockElectricityUSD/MWh</v>
      </c>
      <c r="C475" t="str">
        <f>$B$462</f>
        <v>Africa</v>
      </c>
      <c r="D475" t="s">
        <v>777</v>
      </c>
      <c r="E475" t="s">
        <v>54</v>
      </c>
      <c r="F475" s="450" t="s">
        <v>196</v>
      </c>
      <c r="G475" s="491">
        <f>+INDEX('Fuel Model -  Input'!$B$3:$N$373,MATCH($B475,'Fuel Model -  Input'!$B$3:$B$373,0),MATCH(G$2,'Fuel Model -  Input'!$B$3:$N$3,0))</f>
        <v>78.959338985079413</v>
      </c>
      <c r="H475" s="491">
        <f>+INDEX('Fuel Model -  Input'!$B$3:$N$373,MATCH($B475,'Fuel Model -  Input'!$B$3:$B$373,0),MATCH(H$2,'Fuel Model -  Input'!$B$3:$N$3,0))</f>
        <v>44.676785560803516</v>
      </c>
      <c r="I475" s="491">
        <f>+INDEX('Fuel Model -  Input'!$B$3:$N$373,MATCH($B475,'Fuel Model -  Input'!$B$3:$B$373,0),MATCH(I$2,'Fuel Model -  Input'!$B$3:$N$3,0))</f>
        <v>35.119981181981451</v>
      </c>
      <c r="J475" s="491">
        <f>+INDEX('Fuel Model -  Input'!$B$3:$N$373,MATCH($B475,'Fuel Model -  Input'!$B$3:$B$373,0),MATCH(J$2,'Fuel Model -  Input'!$B$3:$N$3,0))</f>
        <v>29.785360764210218</v>
      </c>
      <c r="K475" s="491">
        <f>+INDEX('Fuel Model -  Input'!$B$3:$N$373,MATCH($B475,'Fuel Model -  Input'!$B$3:$B$373,0),MATCH(K$2,'Fuel Model -  Input'!$B$3:$N$3,0))</f>
        <v>27.274442592674799</v>
      </c>
      <c r="L475" s="491">
        <f>+INDEX('Fuel Model -  Input'!$B$3:$N$373,MATCH($B475,'Fuel Model -  Input'!$B$3:$B$373,0),MATCH(L$2,'Fuel Model -  Input'!$B$3:$N$3,0))</f>
        <v>24.692537876031398</v>
      </c>
      <c r="M475" s="491">
        <f>INDEX('Fuel Model -  Input'!$B$3:$N$373,MATCH($B475,'Fuel Model -  Input'!$B$3:$B$373,0),MATCH(M$2,'Fuel Model -  Input'!$B$3:$N$3,0))</f>
        <v>23.425269893906371</v>
      </c>
      <c r="O475" s="118"/>
    </row>
    <row r="476" spans="2:15" hidden="1" outlineLevel="3" x14ac:dyDescent="0.2">
      <c r="B476" s="12" t="str">
        <f>+C476&amp;D476&amp;E476&amp;F476</f>
        <v>GlobalFeedstockSystem efficiency (Alk)kWh/kg H2</v>
      </c>
      <c r="C476" t="s">
        <v>109</v>
      </c>
      <c r="D476" t="s">
        <v>777</v>
      </c>
      <c r="E476" t="s">
        <v>895</v>
      </c>
      <c r="F476" s="450" t="s">
        <v>896</v>
      </c>
      <c r="G476" s="491">
        <f>+INDEX('Fuel Model -  Input'!$B$3:$N$373,MATCH($B476,'Fuel Model -  Input'!$B$3:$B$373,0),MATCH(G$2,'Fuel Model -  Input'!$B$3:$N$3,0))</f>
        <v>50.202435772828721</v>
      </c>
      <c r="H476" s="491">
        <f>+INDEX('Fuel Model -  Input'!$B$3:$N$373,MATCH($B476,'Fuel Model -  Input'!$B$3:$B$373,0),MATCH(H$2,'Fuel Model -  Input'!$B$3:$N$3,0))</f>
        <v>50</v>
      </c>
      <c r="I476" s="491">
        <f>+INDEX('Fuel Model -  Input'!$B$3:$N$373,MATCH($B476,'Fuel Model -  Input'!$B$3:$B$373,0),MATCH(I$2,'Fuel Model -  Input'!$B$3:$N$3,0))</f>
        <v>49.798380527047762</v>
      </c>
      <c r="J476" s="491">
        <f>+INDEX('Fuel Model -  Input'!$B$3:$N$373,MATCH($B476,'Fuel Model -  Input'!$B$3:$B$373,0),MATCH(J$2,'Fuel Model -  Input'!$B$3:$N$3,0))</f>
        <v>49.597574062332995</v>
      </c>
      <c r="K476" s="491">
        <f>+INDEX('Fuel Model -  Input'!$B$3:$N$373,MATCH($B476,'Fuel Model -  Input'!$B$3:$B$373,0),MATCH(K$2,'Fuel Model -  Input'!$B$3:$N$3,0))</f>
        <v>49.397577327489856</v>
      </c>
      <c r="L476" s="491">
        <f>+INDEX('Fuel Model -  Input'!$B$3:$N$373,MATCH($B476,'Fuel Model -  Input'!$B$3:$B$373,0),MATCH(L$2,'Fuel Model -  Input'!$B$3:$N$3,0))</f>
        <v>49.198387057372138</v>
      </c>
      <c r="M476" s="491">
        <f>INDEX('Fuel Model -  Input'!$B$3:$N$373,MATCH($B476,'Fuel Model -  Input'!$B$3:$B$373,0),MATCH(M$2,'Fuel Model -  Input'!$B$3:$N$3,0))</f>
        <v>49</v>
      </c>
      <c r="O476" s="118"/>
    </row>
    <row r="477" spans="2:15" hidden="1" outlineLevel="3" x14ac:dyDescent="0.2">
      <c r="B477" s="12"/>
      <c r="G477" s="493"/>
      <c r="H477" s="493"/>
      <c r="I477" s="493"/>
      <c r="J477" s="493"/>
      <c r="K477" s="493"/>
      <c r="L477" s="493"/>
      <c r="M477" s="493"/>
      <c r="O477" s="118"/>
    </row>
    <row r="478" spans="2:15" ht="15" hidden="1" outlineLevel="3" x14ac:dyDescent="0.25">
      <c r="B478" t="str">
        <f t="shared" ref="B478:B480" si="262">+C478&amp;D478&amp;E478&amp;F478</f>
        <v>GlobalFeedstockCost of H2O in H2USD/ton H2</v>
      </c>
      <c r="C478" s="494" t="str">
        <f>C476</f>
        <v>Global</v>
      </c>
      <c r="D478" t="s">
        <v>777</v>
      </c>
      <c r="E478" t="s">
        <v>897</v>
      </c>
      <c r="F478" s="127" t="s">
        <v>881</v>
      </c>
      <c r="G478" s="261">
        <f t="shared" ref="G478:M478" si="263">G479*G480</f>
        <v>13.5</v>
      </c>
      <c r="H478" s="261">
        <f t="shared" si="263"/>
        <v>13.5</v>
      </c>
      <c r="I478" s="261">
        <f t="shared" si="263"/>
        <v>13.5</v>
      </c>
      <c r="J478" s="261">
        <f t="shared" si="263"/>
        <v>13.5</v>
      </c>
      <c r="K478" s="261">
        <f t="shared" si="263"/>
        <v>13.5</v>
      </c>
      <c r="L478" s="261">
        <f t="shared" si="263"/>
        <v>13.5</v>
      </c>
      <c r="M478" s="261">
        <f t="shared" si="263"/>
        <v>13.5</v>
      </c>
    </row>
    <row r="479" spans="2:15" hidden="1" outlineLevel="3" x14ac:dyDescent="0.2">
      <c r="B479" t="str">
        <f t="shared" si="262"/>
        <v>GlobalFeedstockConversion H2O:H2 (actual)ton H2O/ton H2</v>
      </c>
      <c r="C479" t="s">
        <v>109</v>
      </c>
      <c r="D479" t="s">
        <v>777</v>
      </c>
      <c r="E479" t="s">
        <v>898</v>
      </c>
      <c r="F479" s="128" t="s">
        <v>899</v>
      </c>
      <c r="G479" s="495">
        <f>INDEX('Fuel Model -  Input'!$B$3:$N$373,MATCH($B479,'Fuel Model -  Input'!$B$3:$B$373,0),MATCH(G$2,'Fuel Model -  Input'!$B$3:$N$3,0))</f>
        <v>9</v>
      </c>
      <c r="H479" s="495">
        <f>INDEX('Fuel Model -  Input'!$B$3:$N$373,MATCH($B479,'Fuel Model -  Input'!$B$3:$B$373,0),MATCH(H$2,'Fuel Model -  Input'!$B$3:$N$3,0))</f>
        <v>9</v>
      </c>
      <c r="I479" s="495">
        <f>INDEX('Fuel Model -  Input'!$B$3:$N$373,MATCH($B479,'Fuel Model -  Input'!$B$3:$B$373,0),MATCH(I$2,'Fuel Model -  Input'!$B$3:$N$3,0))</f>
        <v>9</v>
      </c>
      <c r="J479" s="495">
        <f>INDEX('Fuel Model -  Input'!$B$3:$N$373,MATCH($B479,'Fuel Model -  Input'!$B$3:$B$373,0),MATCH(J$2,'Fuel Model -  Input'!$B$3:$N$3,0))</f>
        <v>9</v>
      </c>
      <c r="K479" s="495">
        <f>INDEX('Fuel Model -  Input'!$B$3:$N$373,MATCH($B479,'Fuel Model -  Input'!$B$3:$B$373,0),MATCH(K$2,'Fuel Model -  Input'!$B$3:$N$3,0))</f>
        <v>9</v>
      </c>
      <c r="L479" s="495">
        <f>INDEX('Fuel Model -  Input'!$B$3:$N$373,MATCH($B479,'Fuel Model -  Input'!$B$3:$B$373,0),MATCH(L$2,'Fuel Model -  Input'!$B$3:$N$3,0))</f>
        <v>9</v>
      </c>
      <c r="M479" s="495">
        <f>INDEX('Fuel Model -  Input'!$B$3:$N$373,MATCH($B479,'Fuel Model -  Input'!$B$3:$B$373,0),MATCH(M$2,'Fuel Model -  Input'!$B$3:$N$3,0))</f>
        <v>9</v>
      </c>
    </row>
    <row r="480" spans="2:15" hidden="1" outlineLevel="3" x14ac:dyDescent="0.2">
      <c r="B480" t="str">
        <f t="shared" si="262"/>
        <v>GlobalFeedstockDemineralized water costUSD/ton demin H2O</v>
      </c>
      <c r="C480" s="494" t="s">
        <v>109</v>
      </c>
      <c r="D480" t="s">
        <v>777</v>
      </c>
      <c r="E480" t="s">
        <v>900</v>
      </c>
      <c r="F480" s="450" t="s">
        <v>901</v>
      </c>
      <c r="G480" s="495">
        <f>+INDEX('Fuel Model -  Input'!$B$3:$N$373,MATCH($B480,'Fuel Model -  Input'!$B$3:$B$373,0),MATCH(G$2,'Fuel Model -  Input'!$B$3:$N$3,0))</f>
        <v>1.5</v>
      </c>
      <c r="H480" s="495">
        <f>+INDEX('Fuel Model -  Input'!$B$3:$N$373,MATCH($B480,'Fuel Model -  Input'!$B$3:$B$373,0),MATCH(H$2,'Fuel Model -  Input'!$B$3:$N$3,0))</f>
        <v>1.5</v>
      </c>
      <c r="I480" s="495">
        <f>+INDEX('Fuel Model -  Input'!$B$3:$N$373,MATCH($B480,'Fuel Model -  Input'!$B$3:$B$373,0),MATCH(I$2,'Fuel Model -  Input'!$B$3:$N$3,0))</f>
        <v>1.5</v>
      </c>
      <c r="J480" s="495">
        <f>+INDEX('Fuel Model -  Input'!$B$3:$N$373,MATCH($B480,'Fuel Model -  Input'!$B$3:$B$373,0),MATCH(J$2,'Fuel Model -  Input'!$B$3:$N$3,0))</f>
        <v>1.5</v>
      </c>
      <c r="K480" s="495">
        <f>+INDEX('Fuel Model -  Input'!$B$3:$N$373,MATCH($B480,'Fuel Model -  Input'!$B$3:$B$373,0),MATCH(K$2,'Fuel Model -  Input'!$B$3:$N$3,0))</f>
        <v>1.5</v>
      </c>
      <c r="L480" s="495">
        <f>+INDEX('Fuel Model -  Input'!$B$3:$N$373,MATCH($B480,'Fuel Model -  Input'!$B$3:$B$373,0),MATCH(L$2,'Fuel Model -  Input'!$B$3:$N$3,0))</f>
        <v>1.5</v>
      </c>
      <c r="M480" s="495">
        <f>+INDEX('Fuel Model -  Input'!$B$3:$N$373,MATCH($B480,'Fuel Model -  Input'!$B$3:$B$373,0),MATCH(M$2,'Fuel Model -  Input'!$B$3:$N$3,0))</f>
        <v>1.5</v>
      </c>
    </row>
    <row r="481" spans="2:15" ht="12.75" hidden="1" outlineLevel="3" x14ac:dyDescent="0.2">
      <c r="F481"/>
    </row>
    <row r="482" spans="2:15" ht="15" hidden="1" outlineLevel="3" x14ac:dyDescent="0.25">
      <c r="B482" s="496" t="str">
        <f>+C482&amp;D482&amp;E482&amp;F482</f>
        <v>AfricaOpexPlantUSD/ ton H2</v>
      </c>
      <c r="C482" t="str">
        <f>$B$462</f>
        <v>Africa</v>
      </c>
      <c r="D482" t="s">
        <v>219</v>
      </c>
      <c r="E482" t="s">
        <v>902</v>
      </c>
      <c r="F482" s="489" t="s">
        <v>859</v>
      </c>
      <c r="G482" s="492">
        <f t="shared" ref="G482:M482" si="264">G470*G483</f>
        <v>891.46892544343234</v>
      </c>
      <c r="H482" s="492">
        <f t="shared" si="264"/>
        <v>697.61542364282104</v>
      </c>
      <c r="I482" s="492">
        <f t="shared" si="264"/>
        <v>505.31081204513202</v>
      </c>
      <c r="J482" s="492">
        <f t="shared" si="264"/>
        <v>456.09133936062176</v>
      </c>
      <c r="K482" s="492">
        <f t="shared" si="264"/>
        <v>407.26059440472358</v>
      </c>
      <c r="L482" s="492">
        <f t="shared" si="264"/>
        <v>358.81624249098149</v>
      </c>
      <c r="M482" s="492">
        <f t="shared" si="264"/>
        <v>310.75596144089297</v>
      </c>
    </row>
    <row r="483" spans="2:15" hidden="1" outlineLevel="3" x14ac:dyDescent="0.2">
      <c r="B483" s="497" t="str">
        <f>+C483&amp;D483&amp;E483&amp;F483</f>
        <v>GlobalOpexPlant - Electrolysis - opex (Alk)Percent of Capex</v>
      </c>
      <c r="C483" t="s">
        <v>109</v>
      </c>
      <c r="D483" s="157" t="s">
        <v>219</v>
      </c>
      <c r="E483" s="498" t="s">
        <v>903</v>
      </c>
      <c r="F483" s="450" t="s">
        <v>883</v>
      </c>
      <c r="G483" s="467">
        <f>+INDEX('Fuel Model -  Input'!$B$3:$N$373,MATCH($B483,'Fuel Model -  Input'!$B$3:$B$373,0),MATCH(G$2,'Fuel Model -  Input'!$B$3:$N$3,0))</f>
        <v>0.1</v>
      </c>
      <c r="H483" s="467">
        <f>+INDEX('Fuel Model -  Input'!$B$3:$N$373,MATCH($B483,'Fuel Model -  Input'!$B$3:$B$373,0),MATCH(H$2,'Fuel Model -  Input'!$B$3:$N$3,0))</f>
        <v>0.1</v>
      </c>
      <c r="I483" s="467">
        <f>+INDEX('Fuel Model -  Input'!$B$3:$N$373,MATCH($B483,'Fuel Model -  Input'!$B$3:$B$373,0),MATCH(I$2,'Fuel Model -  Input'!$B$3:$N$3,0))</f>
        <v>0.1</v>
      </c>
      <c r="J483" s="467">
        <f>+INDEX('Fuel Model -  Input'!$B$3:$N$373,MATCH($B483,'Fuel Model -  Input'!$B$3:$B$373,0),MATCH(J$2,'Fuel Model -  Input'!$B$3:$N$3,0))</f>
        <v>0.1</v>
      </c>
      <c r="K483" s="467">
        <f>+INDEX('Fuel Model -  Input'!$B$3:$N$373,MATCH($B483,'Fuel Model -  Input'!$B$3:$B$373,0),MATCH(K$2,'Fuel Model -  Input'!$B$3:$N$3,0))</f>
        <v>0.1</v>
      </c>
      <c r="L483" s="467">
        <f>+INDEX('Fuel Model -  Input'!$B$3:$N$373,MATCH($B483,'Fuel Model -  Input'!$B$3:$B$373,0),MATCH(L$2,'Fuel Model -  Input'!$B$3:$N$3,0))</f>
        <v>0.1</v>
      </c>
      <c r="M483" s="467">
        <f>INDEX('Fuel Model -  Input'!$B$3:$N$373,MATCH($B483,'Fuel Model -  Input'!$B$3:$B$373,0),MATCH(M$2,'Fuel Model -  Input'!$B$3:$N$3,0))</f>
        <v>0.1</v>
      </c>
    </row>
    <row r="484" spans="2:15" hidden="1" outlineLevel="2" x14ac:dyDescent="0.2">
      <c r="B484" s="12"/>
      <c r="G484" s="499"/>
      <c r="H484" s="499"/>
      <c r="I484" s="499"/>
      <c r="J484" s="499"/>
      <c r="K484" s="499"/>
      <c r="L484" s="499"/>
      <c r="M484" s="499"/>
    </row>
    <row r="485" spans="2:15" s="501" customFormat="1" ht="15" hidden="1" outlineLevel="2" collapsed="1" x14ac:dyDescent="0.25">
      <c r="B485" s="511" t="s">
        <v>904</v>
      </c>
      <c r="C485"/>
      <c r="F485" s="502"/>
      <c r="G485" s="503">
        <f t="shared" ref="G485:M485" si="265">G486</f>
        <v>7396.7903912490983</v>
      </c>
      <c r="H485" s="503">
        <f t="shared" si="265"/>
        <v>4483.5788906350353</v>
      </c>
      <c r="I485" s="503">
        <f t="shared" si="265"/>
        <v>3286.9757231410949</v>
      </c>
      <c r="J485" s="503">
        <f t="shared" si="265"/>
        <v>2736.6620146490523</v>
      </c>
      <c r="K485" s="503">
        <f t="shared" si="265"/>
        <v>2385.6987722776248</v>
      </c>
      <c r="L485" s="503">
        <f t="shared" si="265"/>
        <v>2056.4112763682965</v>
      </c>
      <c r="M485" s="503">
        <f t="shared" si="265"/>
        <v>1820.8476926740107</v>
      </c>
      <c r="O485" s="504"/>
    </row>
    <row r="486" spans="2:15" ht="15" hidden="1" outlineLevel="3" x14ac:dyDescent="0.25">
      <c r="B486" s="3" t="str">
        <f t="shared" ref="B486:B494" si="266">+C486&amp;D486&amp;E486&amp;F486</f>
        <v>AfricaResultsCost of e-Hydrogen (PEM)USD/ton</v>
      </c>
      <c r="C486" t="str">
        <f>$B$462</f>
        <v>Africa</v>
      </c>
      <c r="D486" t="s">
        <v>838</v>
      </c>
      <c r="E486" s="30" t="s">
        <v>864</v>
      </c>
      <c r="F486" s="450" t="s">
        <v>205</v>
      </c>
      <c r="G486" s="488">
        <f t="shared" ref="G486:M486" si="267">SUM(G487:G488)</f>
        <v>7396.7903912490983</v>
      </c>
      <c r="H486" s="488">
        <f t="shared" si="267"/>
        <v>4483.5788906350353</v>
      </c>
      <c r="I486" s="488">
        <f t="shared" si="267"/>
        <v>3286.9757231410949</v>
      </c>
      <c r="J486" s="488">
        <f t="shared" si="267"/>
        <v>2736.6620146490523</v>
      </c>
      <c r="K486" s="488">
        <f t="shared" si="267"/>
        <v>2385.6987722776248</v>
      </c>
      <c r="L486" s="488">
        <f t="shared" si="267"/>
        <v>2056.4112763682965</v>
      </c>
      <c r="M486" s="488">
        <f t="shared" si="267"/>
        <v>1820.8476926740107</v>
      </c>
      <c r="O486" s="95"/>
    </row>
    <row r="487" spans="2:15" ht="15" hidden="1" outlineLevel="3" x14ac:dyDescent="0.25">
      <c r="B487" s="3" t="str">
        <f t="shared" si="266"/>
        <v>AfricaResultsCapex (PEM)USD/ton</v>
      </c>
      <c r="C487" t="str">
        <f>$B$462</f>
        <v>Africa</v>
      </c>
      <c r="D487" t="s">
        <v>838</v>
      </c>
      <c r="E487" s="228" t="s">
        <v>905</v>
      </c>
      <c r="F487" s="450" t="s">
        <v>205</v>
      </c>
      <c r="G487" s="488">
        <f t="shared" ref="G487:M487" si="268">G490</f>
        <v>1022.9620552364776</v>
      </c>
      <c r="H487" s="488">
        <f t="shared" si="268"/>
        <v>776.44596651445988</v>
      </c>
      <c r="I487" s="488">
        <f t="shared" si="268"/>
        <v>545.50106659752987</v>
      </c>
      <c r="J487" s="488">
        <f t="shared" si="268"/>
        <v>477.56301755776087</v>
      </c>
      <c r="K487" s="488">
        <f t="shared" si="268"/>
        <v>413.61197282986342</v>
      </c>
      <c r="L487" s="488">
        <f t="shared" si="268"/>
        <v>353.45542668176478</v>
      </c>
      <c r="M487" s="488">
        <f t="shared" si="268"/>
        <v>296.90935227464911</v>
      </c>
      <c r="O487" s="95"/>
    </row>
    <row r="488" spans="2:15" ht="15" hidden="1" outlineLevel="3" x14ac:dyDescent="0.25">
      <c r="B488" s="3" t="str">
        <f t="shared" si="266"/>
        <v>AfricaResultsOpex (PEM)USD/ton</v>
      </c>
      <c r="C488" t="str">
        <f>$B$462</f>
        <v>Africa</v>
      </c>
      <c r="D488" t="s">
        <v>838</v>
      </c>
      <c r="E488" s="228" t="s">
        <v>906</v>
      </c>
      <c r="F488" s="450" t="s">
        <v>205</v>
      </c>
      <c r="G488" s="488">
        <f>SUM(G496,G500,G504)</f>
        <v>6373.8283360126206</v>
      </c>
      <c r="H488" s="488">
        <f t="shared" ref="H488:M488" si="269">SUM(H496,H500,H504)</f>
        <v>3707.1329241205758</v>
      </c>
      <c r="I488" s="488">
        <f t="shared" si="269"/>
        <v>2741.4746565435653</v>
      </c>
      <c r="J488" s="488">
        <f t="shared" si="269"/>
        <v>2259.0989970912915</v>
      </c>
      <c r="K488" s="488">
        <f t="shared" si="269"/>
        <v>1972.0867994477612</v>
      </c>
      <c r="L488" s="488">
        <f t="shared" si="269"/>
        <v>1702.9558496865316</v>
      </c>
      <c r="M488" s="488">
        <f t="shared" si="269"/>
        <v>1523.9383403993616</v>
      </c>
      <c r="O488" s="95"/>
    </row>
    <row r="489" spans="2:15" hidden="1" outlineLevel="3" x14ac:dyDescent="0.2">
      <c r="B489" s="12" t="str">
        <f t="shared" si="266"/>
        <v/>
      </c>
    </row>
    <row r="490" spans="2:15" ht="15" hidden="1" outlineLevel="3" x14ac:dyDescent="0.25">
      <c r="B490" s="3" t="str">
        <f t="shared" si="266"/>
        <v>AfricaCapexCost per ton H2USD/ ton H2</v>
      </c>
      <c r="C490" t="str">
        <f>$B$462</f>
        <v>Africa</v>
      </c>
      <c r="D490" t="s">
        <v>218</v>
      </c>
      <c r="E490" t="s">
        <v>920</v>
      </c>
      <c r="F490" s="489" t="s">
        <v>859</v>
      </c>
      <c r="G490" s="490">
        <f t="shared" ref="G490:M490" si="270">G492/G491</f>
        <v>1022.9620552364776</v>
      </c>
      <c r="H490" s="490">
        <f t="shared" si="270"/>
        <v>776.44596651445988</v>
      </c>
      <c r="I490" s="490">
        <f t="shared" si="270"/>
        <v>545.50106659752987</v>
      </c>
      <c r="J490" s="490">
        <f t="shared" si="270"/>
        <v>477.56301755776087</v>
      </c>
      <c r="K490" s="490">
        <f t="shared" si="270"/>
        <v>413.61197282986342</v>
      </c>
      <c r="L490" s="490">
        <f t="shared" si="270"/>
        <v>353.45542668176478</v>
      </c>
      <c r="M490" s="490">
        <f t="shared" si="270"/>
        <v>296.90935227464911</v>
      </c>
      <c r="O490" s="118"/>
    </row>
    <row r="491" spans="2:15" hidden="1" outlineLevel="3" x14ac:dyDescent="0.2">
      <c r="B491" s="12" t="str">
        <f t="shared" si="266"/>
        <v>GlobalPlant capexAnnualisation factor#</v>
      </c>
      <c r="C491" t="s">
        <v>109</v>
      </c>
      <c r="D491" t="s">
        <v>786</v>
      </c>
      <c r="E491" t="s">
        <v>764</v>
      </c>
      <c r="F491" s="450" t="s">
        <v>787</v>
      </c>
      <c r="G491" s="491">
        <f>+INDEX('Fuel Model -  Input'!$B$3:$N$373,MATCH($B491,'Fuel Model -  Input'!$B$3:$B$373,0),MATCH(G$2,'Fuel Model -  Input'!$B$3:$N$3,0))</f>
        <v>11.32075471698113</v>
      </c>
      <c r="H491" s="491">
        <f>+INDEX('Fuel Model -  Input'!$B$3:$N$373,MATCH($B491,'Fuel Model -  Input'!$B$3:$B$373,0),MATCH(H$2,'Fuel Model -  Input'!$B$3:$N$3,0))</f>
        <v>11.32075471698113</v>
      </c>
      <c r="I491" s="491">
        <f>+INDEX('Fuel Model -  Input'!$B$3:$N$373,MATCH($B491,'Fuel Model -  Input'!$B$3:$B$373,0),MATCH(I$2,'Fuel Model -  Input'!$B$3:$N$3,0))</f>
        <v>11.32075471698113</v>
      </c>
      <c r="J491" s="491">
        <f>+INDEX('Fuel Model -  Input'!$B$3:$N$373,MATCH($B491,'Fuel Model -  Input'!$B$3:$B$373,0),MATCH(J$2,'Fuel Model -  Input'!$B$3:$N$3,0))</f>
        <v>11.32075471698113</v>
      </c>
      <c r="K491" s="491">
        <f>+INDEX('Fuel Model -  Input'!$B$3:$N$373,MATCH($B491,'Fuel Model -  Input'!$B$3:$B$373,0),MATCH(K$2,'Fuel Model -  Input'!$B$3:$N$3,0))</f>
        <v>11.32075471698113</v>
      </c>
      <c r="L491" s="491">
        <f>+INDEX('Fuel Model -  Input'!$B$3:$N$373,MATCH($B491,'Fuel Model -  Input'!$B$3:$B$373,0),MATCH(L$2,'Fuel Model -  Input'!$B$3:$N$3,0))</f>
        <v>11.32075471698113</v>
      </c>
      <c r="M491" s="491">
        <f>INDEX('Fuel Model -  Input'!$B$3:$N$373,MATCH($B491,'Fuel Model -  Input'!$B$3:$B$373,0),MATCH(M$2,'Fuel Model -  Input'!$B$3:$N$3,0))</f>
        <v>11.32075471698113</v>
      </c>
      <c r="O491" s="95"/>
    </row>
    <row r="492" spans="2:15" ht="12.75" hidden="1" outlineLevel="3" x14ac:dyDescent="0.2">
      <c r="B492" s="12" t="str">
        <f t="shared" si="266"/>
        <v>AfricaPlant capexElectrolyser unit cost (PEM)USD/ ton H2 cap</v>
      </c>
      <c r="C492" t="str">
        <f>+C490</f>
        <v>Africa</v>
      </c>
      <c r="D492" t="s">
        <v>786</v>
      </c>
      <c r="E492" t="s">
        <v>908</v>
      </c>
      <c r="F492" t="s">
        <v>892</v>
      </c>
      <c r="G492" s="8">
        <f>G494/(365*24*G493)*G498</f>
        <v>11580.702512111064</v>
      </c>
      <c r="H492" s="8">
        <f t="shared" ref="H492" si="271">H494/(365*24*H493)*H498</f>
        <v>8789.954337899544</v>
      </c>
      <c r="I492" s="8">
        <f t="shared" ref="I492" si="272">I494/(365*24*I493)*I498</f>
        <v>6175.483772802223</v>
      </c>
      <c r="J492" s="8">
        <f t="shared" ref="J492" si="273">J494/(365*24*J493)*J498</f>
        <v>5406.3737836727632</v>
      </c>
      <c r="K492" s="8">
        <f t="shared" ref="K492" si="274">K494/(365*24*K493)*K498</f>
        <v>4682.3996924135472</v>
      </c>
      <c r="L492" s="8">
        <f t="shared" ref="L492" si="275">L494/(365*24*L493)*L498</f>
        <v>4001.3821888501661</v>
      </c>
      <c r="M492" s="8">
        <f t="shared" ref="M492" si="276">M494/(365*24*M493)*M498</f>
        <v>3361.2379502790459</v>
      </c>
      <c r="O492" s="95"/>
    </row>
    <row r="493" spans="2:15" hidden="1" outlineLevel="3" x14ac:dyDescent="0.2">
      <c r="B493" s="12" t="str">
        <f t="shared" si="266"/>
        <v>AfricaGeneralCapacity factor%</v>
      </c>
      <c r="C493" t="str">
        <f>$B$462</f>
        <v>Africa</v>
      </c>
      <c r="D493" t="s">
        <v>173</v>
      </c>
      <c r="E493" t="s">
        <v>893</v>
      </c>
      <c r="F493" s="450" t="s">
        <v>178</v>
      </c>
      <c r="G493" s="467">
        <f>+INDEX('Fuel Model -  Input'!$B$3:$N$373,MATCH($B493,'Fuel Model -  Input'!$B$3:$B$373,0),MATCH(G$2,'Fuel Model -  Input'!$B$3:$N$3,0))</f>
        <v>0.9</v>
      </c>
      <c r="H493" s="467">
        <f>+INDEX('Fuel Model -  Input'!$B$3:$N$373,MATCH($B493,'Fuel Model -  Input'!$B$3:$B$373,0),MATCH(H$2,'Fuel Model -  Input'!$B$3:$N$3,0))</f>
        <v>0.9</v>
      </c>
      <c r="I493" s="467">
        <f>+INDEX('Fuel Model -  Input'!$B$3:$N$373,MATCH($B493,'Fuel Model -  Input'!$B$3:$B$373,0),MATCH(I$2,'Fuel Model -  Input'!$B$3:$N$3,0))</f>
        <v>0.9</v>
      </c>
      <c r="J493" s="467">
        <f>+INDEX('Fuel Model -  Input'!$B$3:$N$373,MATCH($B493,'Fuel Model -  Input'!$B$3:$B$373,0),MATCH(J$2,'Fuel Model -  Input'!$B$3:$N$3,0))</f>
        <v>0.9</v>
      </c>
      <c r="K493" s="467">
        <f>+INDEX('Fuel Model -  Input'!$B$3:$N$373,MATCH($B493,'Fuel Model -  Input'!$B$3:$B$373,0),MATCH(K$2,'Fuel Model -  Input'!$B$3:$N$3,0))</f>
        <v>0.9</v>
      </c>
      <c r="L493" s="467">
        <f>+INDEX('Fuel Model -  Input'!$B$3:$N$373,MATCH($B493,'Fuel Model -  Input'!$B$3:$B$373,0),MATCH(L$2,'Fuel Model -  Input'!$B$3:$N$3,0))</f>
        <v>0.9</v>
      </c>
      <c r="M493" s="467">
        <f>INDEX('Fuel Model -  Input'!$B$3:$N$373,MATCH($B493,'Fuel Model -  Input'!$B$3:$B$373,0),MATCH(M$2,'Fuel Model -  Input'!$B$3:$N$3,0))</f>
        <v>0.9</v>
      </c>
      <c r="O493" s="95"/>
    </row>
    <row r="494" spans="2:15" hidden="1" outlineLevel="3" x14ac:dyDescent="0.2">
      <c r="B494" s="12" t="str">
        <f t="shared" si="266"/>
        <v>GlobalCapexElectrolyser unit cost (PEM)USD/MW</v>
      </c>
      <c r="C494" t="s">
        <v>109</v>
      </c>
      <c r="D494" t="s">
        <v>218</v>
      </c>
      <c r="E494" t="s">
        <v>908</v>
      </c>
      <c r="F494" s="450" t="s">
        <v>279</v>
      </c>
      <c r="G494" s="491">
        <f>+INDEX('Fuel Model -  Input'!$B$3:$N$373,MATCH($B494,'Fuel Model -  Input'!$B$3:$B$373,0),MATCH(G$2,'Fuel Model -  Input'!$B$3:$N$3,0))</f>
        <v>1400000</v>
      </c>
      <c r="H494" s="491">
        <f>+INDEX('Fuel Model -  Input'!$B$3:$N$373,MATCH($B494,'Fuel Model -  Input'!$B$3:$B$373,0),MATCH(H$2,'Fuel Model -  Input'!$B$3:$N$3,0))</f>
        <v>1100000</v>
      </c>
      <c r="I494" s="491">
        <f>+INDEX('Fuel Model -  Input'!$B$3:$N$373,MATCH($B494,'Fuel Model -  Input'!$B$3:$B$373,0),MATCH(I$2,'Fuel Model -  Input'!$B$3:$N$3,0))</f>
        <v>800000</v>
      </c>
      <c r="J494" s="491">
        <f>+INDEX('Fuel Model -  Input'!$B$3:$N$373,MATCH($B494,'Fuel Model -  Input'!$B$3:$B$373,0),MATCH(J$2,'Fuel Model -  Input'!$B$3:$N$3,0))</f>
        <v>725000</v>
      </c>
      <c r="K494" s="491">
        <f>+INDEX('Fuel Model -  Input'!$B$3:$N$373,MATCH($B494,'Fuel Model -  Input'!$B$3:$B$373,0),MATCH(K$2,'Fuel Model -  Input'!$B$3:$N$3,0))</f>
        <v>650000</v>
      </c>
      <c r="L494" s="491">
        <f>+INDEX('Fuel Model -  Input'!$B$3:$N$373,MATCH($B494,'Fuel Model -  Input'!$B$3:$B$373,0),MATCH(L$2,'Fuel Model -  Input'!$B$3:$N$3,0))</f>
        <v>575000</v>
      </c>
      <c r="M494" s="491">
        <f>INDEX('Fuel Model -  Input'!$B$3:$N$373,MATCH($B494,'Fuel Model -  Input'!$B$3:$B$373,0),MATCH(M$2,'Fuel Model -  Input'!$B$3:$N$3,0))</f>
        <v>500000</v>
      </c>
      <c r="O494" s="95"/>
    </row>
    <row r="495" spans="2:15" ht="12.75" hidden="1" outlineLevel="3" x14ac:dyDescent="0.2">
      <c r="B495" s="48"/>
      <c r="F495"/>
      <c r="O495" s="95"/>
    </row>
    <row r="496" spans="2:15" ht="15" hidden="1" outlineLevel="3" x14ac:dyDescent="0.25">
      <c r="B496" s="3" t="str">
        <f>+C496&amp;D496&amp;E496&amp;F496</f>
        <v>AfricaFeedstockTotal Electricity (PEM)USD/ ton H2</v>
      </c>
      <c r="C496" t="str">
        <f>$B$462</f>
        <v>Africa</v>
      </c>
      <c r="D496" t="s">
        <v>777</v>
      </c>
      <c r="E496" t="s">
        <v>909</v>
      </c>
      <c r="F496" s="489" t="s">
        <v>859</v>
      </c>
      <c r="G496" s="492">
        <f t="shared" ref="G496:M496" si="277">G497*G498</f>
        <v>5149.4042766669754</v>
      </c>
      <c r="H496" s="492">
        <f t="shared" si="277"/>
        <v>2814.6374903306214</v>
      </c>
      <c r="I496" s="492">
        <f t="shared" si="277"/>
        <v>2137.3807221903439</v>
      </c>
      <c r="J496" s="492">
        <f t="shared" si="277"/>
        <v>1751.1265883150895</v>
      </c>
      <c r="K496" s="492">
        <f t="shared" si="277"/>
        <v>1549.0221403494697</v>
      </c>
      <c r="L496" s="492">
        <f t="shared" si="277"/>
        <v>1354.7355711508533</v>
      </c>
      <c r="M496" s="492">
        <f t="shared" si="277"/>
        <v>1241.5393043770378</v>
      </c>
      <c r="O496" s="95"/>
    </row>
    <row r="497" spans="2:15" hidden="1" outlineLevel="3" x14ac:dyDescent="0.2">
      <c r="B497" s="12" t="str">
        <f>+C497&amp;D497&amp;E497&amp;F497</f>
        <v>AfricaFeedstockElectricityUSD/MWh</v>
      </c>
      <c r="C497" t="str">
        <f>$B$462</f>
        <v>Africa</v>
      </c>
      <c r="D497" t="s">
        <v>777</v>
      </c>
      <c r="E497" t="s">
        <v>54</v>
      </c>
      <c r="F497" s="450" t="s">
        <v>196</v>
      </c>
      <c r="G497" s="491">
        <f>+INDEX('Fuel Model -  Input'!$B$3:$N$373,MATCH($B497,'Fuel Model -  Input'!$B$3:$B$373,0),MATCH(G$2,'Fuel Model -  Input'!$B$3:$N$3,0))</f>
        <v>78.959338985079413</v>
      </c>
      <c r="H497" s="491">
        <f>+INDEX('Fuel Model -  Input'!$B$3:$N$373,MATCH($B497,'Fuel Model -  Input'!$B$3:$B$373,0),MATCH(H$2,'Fuel Model -  Input'!$B$3:$N$3,0))</f>
        <v>44.676785560803516</v>
      </c>
      <c r="I497" s="491">
        <f>+INDEX('Fuel Model -  Input'!$B$3:$N$373,MATCH($B497,'Fuel Model -  Input'!$B$3:$B$373,0),MATCH(I$2,'Fuel Model -  Input'!$B$3:$N$3,0))</f>
        <v>35.119981181981451</v>
      </c>
      <c r="J497" s="491">
        <f>+INDEX('Fuel Model -  Input'!$B$3:$N$373,MATCH($B497,'Fuel Model -  Input'!$B$3:$B$373,0),MATCH(J$2,'Fuel Model -  Input'!$B$3:$N$3,0))</f>
        <v>29.785360764210218</v>
      </c>
      <c r="K497" s="491">
        <f>+INDEX('Fuel Model -  Input'!$B$3:$N$373,MATCH($B497,'Fuel Model -  Input'!$B$3:$B$373,0),MATCH(K$2,'Fuel Model -  Input'!$B$3:$N$3,0))</f>
        <v>27.274442592674799</v>
      </c>
      <c r="L497" s="491">
        <f>+INDEX('Fuel Model -  Input'!$B$3:$N$373,MATCH($B497,'Fuel Model -  Input'!$B$3:$B$373,0),MATCH(L$2,'Fuel Model -  Input'!$B$3:$N$3,0))</f>
        <v>24.692537876031398</v>
      </c>
      <c r="M497" s="491">
        <f>INDEX('Fuel Model -  Input'!$B$3:$N$373,MATCH($B497,'Fuel Model -  Input'!$B$3:$B$373,0),MATCH(M$2,'Fuel Model -  Input'!$B$3:$N$3,0))</f>
        <v>23.425269893906371</v>
      </c>
      <c r="O497" s="95"/>
    </row>
    <row r="498" spans="2:15" s="86" customFormat="1" hidden="1" outlineLevel="3" x14ac:dyDescent="0.2">
      <c r="B498" s="12" t="str">
        <f>+C498&amp;D498&amp;E498&amp;F498</f>
        <v>GlobalFeedstockSystem efficiency (PEM)kWh/kg H2</v>
      </c>
      <c r="C498" t="s">
        <v>109</v>
      </c>
      <c r="D498" t="s">
        <v>777</v>
      </c>
      <c r="E498" t="s">
        <v>910</v>
      </c>
      <c r="F498" s="450" t="s">
        <v>896</v>
      </c>
      <c r="G498" s="491">
        <f>+INDEX('Fuel Model -  Input'!$B$3:$N$373,MATCH($B498,'Fuel Model -  Input'!$B$3:$B$373,0),MATCH(G$2,'Fuel Model -  Input'!$B$3:$N$3,0))</f>
        <v>65.215899003916874</v>
      </c>
      <c r="H498" s="491">
        <f>+INDEX('Fuel Model -  Input'!$B$3:$N$373,MATCH($B498,'Fuel Model -  Input'!$B$3:$B$373,0),MATCH(H$2,'Fuel Model -  Input'!$B$3:$N$3,0))</f>
        <v>63</v>
      </c>
      <c r="I498" s="491">
        <f>+INDEX('Fuel Model -  Input'!$B$3:$N$373,MATCH($B498,'Fuel Model -  Input'!$B$3:$B$373,0),MATCH(I$2,'Fuel Model -  Input'!$B$3:$N$3,0))</f>
        <v>60.859392580965903</v>
      </c>
      <c r="J498" s="491">
        <f>+INDEX('Fuel Model -  Input'!$B$3:$N$373,MATCH($B498,'Fuel Model -  Input'!$B$3:$B$373,0),MATCH(J$2,'Fuel Model -  Input'!$B$3:$N$3,0))</f>
        <v>58.791518497208372</v>
      </c>
      <c r="K498" s="491">
        <f>+INDEX('Fuel Model -  Input'!$B$3:$N$373,MATCH($B498,'Fuel Model -  Input'!$B$3:$B$373,0),MATCH(K$2,'Fuel Model -  Input'!$B$3:$N$3,0))</f>
        <v>56.793906423059092</v>
      </c>
      <c r="L498" s="491">
        <f>+INDEX('Fuel Model -  Input'!$B$3:$N$373,MATCH($B498,'Fuel Model -  Input'!$B$3:$B$373,0),MATCH(L$2,'Fuel Model -  Input'!$B$3:$N$3,0))</f>
        <v>54.864169003295146</v>
      </c>
      <c r="M498" s="491">
        <f>+INDEX('Fuel Model -  Input'!$B$3:$N$373,MATCH($B498,'Fuel Model -  Input'!$B$3:$B$373,0),MATCH(M$2,'Fuel Model -  Input'!$B$3:$N$3,0))</f>
        <v>53</v>
      </c>
      <c r="O498" s="95"/>
    </row>
    <row r="499" spans="2:15" hidden="1" outlineLevel="3" x14ac:dyDescent="0.2">
      <c r="B499" s="12"/>
      <c r="G499" s="493"/>
      <c r="H499" s="493"/>
      <c r="I499" s="493"/>
      <c r="J499" s="493"/>
      <c r="K499" s="493"/>
      <c r="L499" s="493"/>
      <c r="M499" s="493"/>
      <c r="O499" s="118"/>
    </row>
    <row r="500" spans="2:15" ht="15" hidden="1" outlineLevel="3" x14ac:dyDescent="0.25">
      <c r="B500" t="str">
        <f t="shared" ref="B500:B502" si="278">+C500&amp;D500&amp;E500&amp;F500</f>
        <v>GlobalFeedstockCost of H2O in H2USD/ton H2</v>
      </c>
      <c r="C500" s="494" t="str">
        <f>C498</f>
        <v>Global</v>
      </c>
      <c r="D500" t="s">
        <v>777</v>
      </c>
      <c r="E500" t="s">
        <v>897</v>
      </c>
      <c r="F500" s="127" t="s">
        <v>881</v>
      </c>
      <c r="G500" s="261">
        <f t="shared" ref="G500:M500" si="279">G501*G502</f>
        <v>13.5</v>
      </c>
      <c r="H500" s="261">
        <f t="shared" si="279"/>
        <v>13.5</v>
      </c>
      <c r="I500" s="261">
        <f t="shared" si="279"/>
        <v>13.5</v>
      </c>
      <c r="J500" s="261">
        <f t="shared" si="279"/>
        <v>13.5</v>
      </c>
      <c r="K500" s="261">
        <f t="shared" si="279"/>
        <v>13.5</v>
      </c>
      <c r="L500" s="261">
        <f t="shared" si="279"/>
        <v>13.5</v>
      </c>
      <c r="M500" s="261">
        <f t="shared" si="279"/>
        <v>13.5</v>
      </c>
    </row>
    <row r="501" spans="2:15" hidden="1" outlineLevel="3" x14ac:dyDescent="0.2">
      <c r="B501" t="str">
        <f t="shared" si="278"/>
        <v>GlobalFeedstockConversion H2O:H2 (actual)ton H2O/ton H2</v>
      </c>
      <c r="C501" t="s">
        <v>109</v>
      </c>
      <c r="D501" t="s">
        <v>777</v>
      </c>
      <c r="E501" t="s">
        <v>898</v>
      </c>
      <c r="F501" s="128" t="s">
        <v>899</v>
      </c>
      <c r="G501" s="495">
        <f>INDEX('Fuel Model -  Input'!$B$3:$N$373,MATCH($B501,'Fuel Model -  Input'!$B$3:$B$373,0),MATCH(G$2,'Fuel Model -  Input'!$B$3:$N$3,0))</f>
        <v>9</v>
      </c>
      <c r="H501" s="495">
        <f>INDEX('Fuel Model -  Input'!$B$3:$N$373,MATCH($B501,'Fuel Model -  Input'!$B$3:$B$373,0),MATCH(H$2,'Fuel Model -  Input'!$B$3:$N$3,0))</f>
        <v>9</v>
      </c>
      <c r="I501" s="495">
        <f>INDEX('Fuel Model -  Input'!$B$3:$N$373,MATCH($B501,'Fuel Model -  Input'!$B$3:$B$373,0),MATCH(I$2,'Fuel Model -  Input'!$B$3:$N$3,0))</f>
        <v>9</v>
      </c>
      <c r="J501" s="495">
        <f>INDEX('Fuel Model -  Input'!$B$3:$N$373,MATCH($B501,'Fuel Model -  Input'!$B$3:$B$373,0),MATCH(J$2,'Fuel Model -  Input'!$B$3:$N$3,0))</f>
        <v>9</v>
      </c>
      <c r="K501" s="495">
        <f>INDEX('Fuel Model -  Input'!$B$3:$N$373,MATCH($B501,'Fuel Model -  Input'!$B$3:$B$373,0),MATCH(K$2,'Fuel Model -  Input'!$B$3:$N$3,0))</f>
        <v>9</v>
      </c>
      <c r="L501" s="495">
        <f>INDEX('Fuel Model -  Input'!$B$3:$N$373,MATCH($B501,'Fuel Model -  Input'!$B$3:$B$373,0),MATCH(L$2,'Fuel Model -  Input'!$B$3:$N$3,0))</f>
        <v>9</v>
      </c>
      <c r="M501" s="495">
        <f>INDEX('Fuel Model -  Input'!$B$3:$N$373,MATCH($B501,'Fuel Model -  Input'!$B$3:$B$373,0),MATCH(M$2,'Fuel Model -  Input'!$B$3:$N$3,0))</f>
        <v>9</v>
      </c>
    </row>
    <row r="502" spans="2:15" hidden="1" outlineLevel="3" x14ac:dyDescent="0.2">
      <c r="B502" t="str">
        <f t="shared" si="278"/>
        <v>GlobalFeedstockDemineralized water costUSD/ton demin H2O</v>
      </c>
      <c r="C502" s="494" t="s">
        <v>109</v>
      </c>
      <c r="D502" t="s">
        <v>777</v>
      </c>
      <c r="E502" t="s">
        <v>900</v>
      </c>
      <c r="F502" s="450" t="s">
        <v>901</v>
      </c>
      <c r="G502" s="495">
        <f>+INDEX('Fuel Model -  Input'!$B$3:$N$373,MATCH($B502,'Fuel Model -  Input'!$B$3:$B$373,0),MATCH(G$2,'Fuel Model -  Input'!$B$3:$N$3,0))</f>
        <v>1.5</v>
      </c>
      <c r="H502" s="495">
        <f>+INDEX('Fuel Model -  Input'!$B$3:$N$373,MATCH($B502,'Fuel Model -  Input'!$B$3:$B$373,0),MATCH(H$2,'Fuel Model -  Input'!$B$3:$N$3,0))</f>
        <v>1.5</v>
      </c>
      <c r="I502" s="495">
        <f>+INDEX('Fuel Model -  Input'!$B$3:$N$373,MATCH($B502,'Fuel Model -  Input'!$B$3:$B$373,0),MATCH(I$2,'Fuel Model -  Input'!$B$3:$N$3,0))</f>
        <v>1.5</v>
      </c>
      <c r="J502" s="495">
        <f>+INDEX('Fuel Model -  Input'!$B$3:$N$373,MATCH($B502,'Fuel Model -  Input'!$B$3:$B$373,0),MATCH(J$2,'Fuel Model -  Input'!$B$3:$N$3,0))</f>
        <v>1.5</v>
      </c>
      <c r="K502" s="495">
        <f>+INDEX('Fuel Model -  Input'!$B$3:$N$373,MATCH($B502,'Fuel Model -  Input'!$B$3:$B$373,0),MATCH(K$2,'Fuel Model -  Input'!$B$3:$N$3,0))</f>
        <v>1.5</v>
      </c>
      <c r="L502" s="495">
        <f>+INDEX('Fuel Model -  Input'!$B$3:$N$373,MATCH($B502,'Fuel Model -  Input'!$B$3:$B$373,0),MATCH(L$2,'Fuel Model -  Input'!$B$3:$N$3,0))</f>
        <v>1.5</v>
      </c>
      <c r="M502" s="495">
        <f>+INDEX('Fuel Model -  Input'!$B$3:$N$373,MATCH($B502,'Fuel Model -  Input'!$B$3:$B$373,0),MATCH(M$2,'Fuel Model -  Input'!$B$3:$N$3,0))</f>
        <v>1.5</v>
      </c>
    </row>
    <row r="503" spans="2:15" ht="12.75" hidden="1" outlineLevel="3" x14ac:dyDescent="0.2">
      <c r="F503"/>
      <c r="O503" s="118"/>
    </row>
    <row r="504" spans="2:15" ht="15" hidden="1" outlineLevel="3" x14ac:dyDescent="0.25">
      <c r="B504" s="496" t="str">
        <f>+C504&amp;D504&amp;E504&amp;F504</f>
        <v>AfricaOpexPlantUSD/ ton H2</v>
      </c>
      <c r="C504" t="str">
        <f>$B$462</f>
        <v>Africa</v>
      </c>
      <c r="D504" t="s">
        <v>219</v>
      </c>
      <c r="E504" t="s">
        <v>902</v>
      </c>
      <c r="F504" s="489" t="s">
        <v>859</v>
      </c>
      <c r="G504" s="492">
        <f t="shared" ref="G504:M504" si="280">G492*G505</f>
        <v>1210.9240593456448</v>
      </c>
      <c r="H504" s="492">
        <f t="shared" si="280"/>
        <v>878.9954337899544</v>
      </c>
      <c r="I504" s="492">
        <f t="shared" si="280"/>
        <v>590.59393435322147</v>
      </c>
      <c r="J504" s="492">
        <f t="shared" si="280"/>
        <v>494.4724087762018</v>
      </c>
      <c r="K504" s="492">
        <f t="shared" si="280"/>
        <v>409.56465909829154</v>
      </c>
      <c r="L504" s="492">
        <f t="shared" si="280"/>
        <v>334.72027853567823</v>
      </c>
      <c r="M504" s="492">
        <f t="shared" si="280"/>
        <v>268.89903602232368</v>
      </c>
      <c r="O504" s="95"/>
    </row>
    <row r="505" spans="2:15" hidden="1" outlineLevel="3" x14ac:dyDescent="0.2">
      <c r="B505" s="497" t="str">
        <f>+C505&amp;D505&amp;E505&amp;F505</f>
        <v>GlobalOpexPlant - Electrolysis - opex (PEM)Percent of Capex</v>
      </c>
      <c r="C505" t="s">
        <v>109</v>
      </c>
      <c r="D505" s="157" t="s">
        <v>219</v>
      </c>
      <c r="E505" s="498" t="s">
        <v>911</v>
      </c>
      <c r="F505" s="450" t="s">
        <v>883</v>
      </c>
      <c r="G505" s="467">
        <f>+INDEX('Fuel Model -  Input'!$B$3:$N$373,MATCH($B505,'Fuel Model -  Input'!$B$3:$B$373,0),MATCH(G$2,'Fuel Model -  Input'!$B$3:$N$3,0))</f>
        <v>0.10456395525912733</v>
      </c>
      <c r="H505" s="467">
        <f>+INDEX('Fuel Model -  Input'!$B$3:$N$373,MATCH($B505,'Fuel Model -  Input'!$B$3:$B$373,0),MATCH(H$2,'Fuel Model -  Input'!$B$3:$N$3,0))</f>
        <v>0.1</v>
      </c>
      <c r="I505" s="467">
        <f>+INDEX('Fuel Model -  Input'!$B$3:$N$373,MATCH($B505,'Fuel Model -  Input'!$B$3:$B$373,0),MATCH(I$2,'Fuel Model -  Input'!$B$3:$N$3,0))</f>
        <v>9.5635249979003703E-2</v>
      </c>
      <c r="J505" s="467">
        <f>+INDEX('Fuel Model -  Input'!$B$3:$N$373,MATCH($B505,'Fuel Model -  Input'!$B$3:$B$373,0),MATCH(J$2,'Fuel Model -  Input'!$B$3:$N$3,0))</f>
        <v>9.146101038546528E-2</v>
      </c>
      <c r="K505" s="467">
        <f>+INDEX('Fuel Model -  Input'!$B$3:$N$373,MATCH($B505,'Fuel Model -  Input'!$B$3:$B$373,0),MATCH(K$2,'Fuel Model -  Input'!$B$3:$N$3,0))</f>
        <v>8.7468965915462257E-2</v>
      </c>
      <c r="L505" s="467">
        <f>+INDEX('Fuel Model -  Input'!$B$3:$N$373,MATCH($B505,'Fuel Model -  Input'!$B$3:$B$373,0),MATCH(L$2,'Fuel Model -  Input'!$B$3:$N$3,0))</f>
        <v>8.365116420730187E-2</v>
      </c>
      <c r="M505" s="467">
        <f>INDEX('Fuel Model -  Input'!$B$3:$N$373,MATCH($B505,'Fuel Model -  Input'!$B$3:$B$373,0),MATCH(M$2,'Fuel Model -  Input'!$B$3:$N$3,0))</f>
        <v>0.08</v>
      </c>
      <c r="O505" s="95"/>
    </row>
    <row r="506" spans="2:15" hidden="1" outlineLevel="2" x14ac:dyDescent="0.2"/>
    <row r="507" spans="2:15" s="506" customFormat="1" ht="15" hidden="1" outlineLevel="2" collapsed="1" x14ac:dyDescent="0.25">
      <c r="B507" s="505" t="s">
        <v>912</v>
      </c>
      <c r="C507"/>
      <c r="F507" s="507"/>
      <c r="G507" s="508">
        <f t="shared" ref="G507:M507" si="281">G508</f>
        <v>7704.5491808720435</v>
      </c>
      <c r="H507" s="508">
        <f t="shared" si="281"/>
        <v>5132.5002795409055</v>
      </c>
      <c r="I507" s="508">
        <f t="shared" si="281"/>
        <v>3878.4563956049133</v>
      </c>
      <c r="J507" s="508">
        <f t="shared" si="281"/>
        <v>3011.1968256560249</v>
      </c>
      <c r="K507" s="508">
        <f t="shared" si="281"/>
        <v>2378.4633868675019</v>
      </c>
      <c r="L507" s="508">
        <f t="shared" si="281"/>
        <v>1831.2362363782609</v>
      </c>
      <c r="M507" s="508">
        <f t="shared" si="281"/>
        <v>1406.2862058695646</v>
      </c>
    </row>
    <row r="508" spans="2:15" ht="15" hidden="1" outlineLevel="3" x14ac:dyDescent="0.25">
      <c r="B508" s="3" t="str">
        <f t="shared" ref="B508:B516" si="282">+C508&amp;D508&amp;E508&amp;F508</f>
        <v>AfricaResultsCost of e-Hydrogen (SO)USD/ton</v>
      </c>
      <c r="C508" t="str">
        <f>$B$462</f>
        <v>Africa</v>
      </c>
      <c r="D508" t="s">
        <v>838</v>
      </c>
      <c r="E508" s="30" t="s">
        <v>865</v>
      </c>
      <c r="F508" s="450" t="s">
        <v>205</v>
      </c>
      <c r="G508" s="488">
        <f t="shared" ref="G508:M508" si="283">SUM(G509:G510)</f>
        <v>7704.5491808720435</v>
      </c>
      <c r="H508" s="488">
        <f t="shared" si="283"/>
        <v>5132.5002795409055</v>
      </c>
      <c r="I508" s="488">
        <f t="shared" si="283"/>
        <v>3878.4563956049133</v>
      </c>
      <c r="J508" s="488">
        <f t="shared" si="283"/>
        <v>3011.1968256560249</v>
      </c>
      <c r="K508" s="488">
        <f t="shared" si="283"/>
        <v>2378.4633868675019</v>
      </c>
      <c r="L508" s="488">
        <f t="shared" si="283"/>
        <v>1831.2362363782609</v>
      </c>
      <c r="M508" s="488">
        <f t="shared" si="283"/>
        <v>1406.2862058695646</v>
      </c>
      <c r="O508" s="95"/>
    </row>
    <row r="509" spans="2:15" ht="15" hidden="1" outlineLevel="3" x14ac:dyDescent="0.25">
      <c r="B509" s="3" t="str">
        <f t="shared" si="282"/>
        <v>AfricaResultsCapex (SO)USD/ton</v>
      </c>
      <c r="C509" t="str">
        <f>$B$462</f>
        <v>Africa</v>
      </c>
      <c r="D509" t="s">
        <v>838</v>
      </c>
      <c r="E509" s="228" t="s">
        <v>913</v>
      </c>
      <c r="F509" s="450" t="s">
        <v>205</v>
      </c>
      <c r="G509" s="488">
        <f t="shared" ref="G509:M509" si="284">G512</f>
        <v>1758.6412738718229</v>
      </c>
      <c r="H509" s="488">
        <f t="shared" si="284"/>
        <v>1478.9446981227807</v>
      </c>
      <c r="I509" s="488">
        <f t="shared" si="284"/>
        <v>1209.1833312371305</v>
      </c>
      <c r="J509" s="488">
        <f t="shared" si="284"/>
        <v>972.80874742053015</v>
      </c>
      <c r="K509" s="488">
        <f t="shared" si="284"/>
        <v>744.92929162816165</v>
      </c>
      <c r="L509" s="488">
        <f t="shared" si="284"/>
        <v>525.30843245521976</v>
      </c>
      <c r="M509" s="488">
        <f t="shared" si="284"/>
        <v>313.71554202604437</v>
      </c>
      <c r="O509" s="95"/>
    </row>
    <row r="510" spans="2:15" ht="15" hidden="1" outlineLevel="3" x14ac:dyDescent="0.25">
      <c r="B510" s="3" t="str">
        <f t="shared" si="282"/>
        <v>AfricaResultsOpex (SO)USD/ton</v>
      </c>
      <c r="C510" t="str">
        <f>$B$462</f>
        <v>Africa</v>
      </c>
      <c r="D510" t="s">
        <v>838</v>
      </c>
      <c r="E510" s="228" t="s">
        <v>914</v>
      </c>
      <c r="F510" s="450" t="s">
        <v>205</v>
      </c>
      <c r="G510" s="488">
        <f>SUM(G518,G522,G526)</f>
        <v>5945.9079070002208</v>
      </c>
      <c r="H510" s="488">
        <f t="shared" ref="H510:M510" si="285">SUM(H518,H522,H526)</f>
        <v>3653.5555814181253</v>
      </c>
      <c r="I510" s="488">
        <f t="shared" si="285"/>
        <v>2669.2730643677828</v>
      </c>
      <c r="J510" s="488">
        <f t="shared" si="285"/>
        <v>2038.388078235495</v>
      </c>
      <c r="K510" s="488">
        <f t="shared" si="285"/>
        <v>1633.5340952393403</v>
      </c>
      <c r="L510" s="488">
        <f t="shared" si="285"/>
        <v>1305.9278039230412</v>
      </c>
      <c r="M510" s="488">
        <f t="shared" si="285"/>
        <v>1092.5706638435202</v>
      </c>
      <c r="O510" s="95"/>
    </row>
    <row r="511" spans="2:15" hidden="1" outlineLevel="3" x14ac:dyDescent="0.2">
      <c r="B511" s="12" t="str">
        <f t="shared" si="282"/>
        <v/>
      </c>
    </row>
    <row r="512" spans="2:15" ht="15" hidden="1" outlineLevel="3" x14ac:dyDescent="0.25">
      <c r="B512" s="3" t="str">
        <f t="shared" si="282"/>
        <v>AfricaCapexCost per ton H2USD/ ton H2</v>
      </c>
      <c r="C512" t="str">
        <f>$B$462</f>
        <v>Africa</v>
      </c>
      <c r="D512" t="s">
        <v>218</v>
      </c>
      <c r="E512" t="s">
        <v>920</v>
      </c>
      <c r="F512" s="489" t="s">
        <v>859</v>
      </c>
      <c r="G512" s="490">
        <f t="shared" ref="G512:M512" si="286">G514/G513</f>
        <v>1758.6412738718229</v>
      </c>
      <c r="H512" s="490">
        <f t="shared" si="286"/>
        <v>1478.9446981227807</v>
      </c>
      <c r="I512" s="490">
        <f t="shared" si="286"/>
        <v>1209.1833312371305</v>
      </c>
      <c r="J512" s="490">
        <f t="shared" si="286"/>
        <v>972.80874742053015</v>
      </c>
      <c r="K512" s="490">
        <f t="shared" si="286"/>
        <v>744.92929162816165</v>
      </c>
      <c r="L512" s="490">
        <f t="shared" si="286"/>
        <v>525.30843245521976</v>
      </c>
      <c r="M512" s="490">
        <f t="shared" si="286"/>
        <v>313.71554202604437</v>
      </c>
      <c r="O512" s="118"/>
    </row>
    <row r="513" spans="2:15" hidden="1" outlineLevel="3" x14ac:dyDescent="0.2">
      <c r="B513" s="12" t="str">
        <f t="shared" si="282"/>
        <v>GlobalPlant capexAnnualisation factor#</v>
      </c>
      <c r="C513" t="s">
        <v>109</v>
      </c>
      <c r="D513" t="s">
        <v>786</v>
      </c>
      <c r="E513" t="s">
        <v>764</v>
      </c>
      <c r="F513" s="450" t="s">
        <v>787</v>
      </c>
      <c r="G513" s="491">
        <f>+INDEX('Fuel Model -  Input'!$B$3:$N$373,MATCH($B513,'Fuel Model -  Input'!$B$3:$B$373,0),MATCH(G$2,'Fuel Model -  Input'!$B$3:$N$3,0))</f>
        <v>11.32075471698113</v>
      </c>
      <c r="H513" s="491">
        <f>+INDEX('Fuel Model -  Input'!$B$3:$N$373,MATCH($B513,'Fuel Model -  Input'!$B$3:$B$373,0),MATCH(H$2,'Fuel Model -  Input'!$B$3:$N$3,0))</f>
        <v>11.32075471698113</v>
      </c>
      <c r="I513" s="491">
        <f>+INDEX('Fuel Model -  Input'!$B$3:$N$373,MATCH($B513,'Fuel Model -  Input'!$B$3:$B$373,0),MATCH(I$2,'Fuel Model -  Input'!$B$3:$N$3,0))</f>
        <v>11.32075471698113</v>
      </c>
      <c r="J513" s="491">
        <f>+INDEX('Fuel Model -  Input'!$B$3:$N$373,MATCH($B513,'Fuel Model -  Input'!$B$3:$B$373,0),MATCH(J$2,'Fuel Model -  Input'!$B$3:$N$3,0))</f>
        <v>11.32075471698113</v>
      </c>
      <c r="K513" s="491">
        <f>+INDEX('Fuel Model -  Input'!$B$3:$N$373,MATCH($B513,'Fuel Model -  Input'!$B$3:$B$373,0),MATCH(K$2,'Fuel Model -  Input'!$B$3:$N$3,0))</f>
        <v>11.32075471698113</v>
      </c>
      <c r="L513" s="491">
        <f>+INDEX('Fuel Model -  Input'!$B$3:$N$373,MATCH($B513,'Fuel Model -  Input'!$B$3:$B$373,0),MATCH(L$2,'Fuel Model -  Input'!$B$3:$N$3,0))</f>
        <v>11.32075471698113</v>
      </c>
      <c r="M513" s="491">
        <f>INDEX('Fuel Model -  Input'!$B$3:$N$373,MATCH($B513,'Fuel Model -  Input'!$B$3:$B$373,0),MATCH(M$2,'Fuel Model -  Input'!$B$3:$N$3,0))</f>
        <v>11.32075471698113</v>
      </c>
      <c r="O513" s="95"/>
    </row>
    <row r="514" spans="2:15" ht="12.75" hidden="1" outlineLevel="3" x14ac:dyDescent="0.2">
      <c r="B514" s="12" t="str">
        <f t="shared" si="282"/>
        <v>AfricaPlant capexElectrolyser unit cost (SO)USD/ ton H2 cap</v>
      </c>
      <c r="C514" t="str">
        <f>+C512</f>
        <v>Africa</v>
      </c>
      <c r="D514" t="s">
        <v>786</v>
      </c>
      <c r="E514" t="s">
        <v>916</v>
      </c>
      <c r="F514" t="s">
        <v>892</v>
      </c>
      <c r="G514" s="8">
        <f>G516/(365*24*G515)*G520</f>
        <v>19909.146496662142</v>
      </c>
      <c r="H514" s="8">
        <f t="shared" ref="H514" si="287">H516/(365*24*H515)*H520</f>
        <v>16742.770167427701</v>
      </c>
      <c r="I514" s="8">
        <f t="shared" ref="I514" si="288">I516/(365*24*I515)*I520</f>
        <v>13688.867900797701</v>
      </c>
      <c r="J514" s="8">
        <f t="shared" ref="J514" si="289">J516/(365*24*J515)*J520</f>
        <v>11012.929216081471</v>
      </c>
      <c r="K514" s="8">
        <f t="shared" ref="K514" si="290">K516/(365*24*K515)*K520</f>
        <v>8433.1617920169228</v>
      </c>
      <c r="L514" s="8">
        <f t="shared" ref="L514" si="291">L516/(365*24*L515)*L520</f>
        <v>5946.8879145873925</v>
      </c>
      <c r="M514" s="8">
        <f t="shared" ref="M514" si="292">M516/(365*24*M515)*M520</f>
        <v>3551.4967021816337</v>
      </c>
      <c r="O514" s="95"/>
    </row>
    <row r="515" spans="2:15" hidden="1" outlineLevel="3" x14ac:dyDescent="0.2">
      <c r="B515" s="12" t="str">
        <f t="shared" si="282"/>
        <v>AfricaGeneralCapacity factor%</v>
      </c>
      <c r="C515" t="str">
        <f>$B$462</f>
        <v>Africa</v>
      </c>
      <c r="D515" t="s">
        <v>173</v>
      </c>
      <c r="E515" t="s">
        <v>893</v>
      </c>
      <c r="F515" s="450" t="s">
        <v>178</v>
      </c>
      <c r="G515" s="467">
        <f>+INDEX('Fuel Model -  Input'!$B$3:$N$373,MATCH($B515,'Fuel Model -  Input'!$B$3:$B$373,0),MATCH(G$2,'Fuel Model -  Input'!$B$3:$N$3,0))</f>
        <v>0.9</v>
      </c>
      <c r="H515" s="467">
        <f>+INDEX('Fuel Model -  Input'!$B$3:$N$373,MATCH($B515,'Fuel Model -  Input'!$B$3:$B$373,0),MATCH(H$2,'Fuel Model -  Input'!$B$3:$N$3,0))</f>
        <v>0.9</v>
      </c>
      <c r="I515" s="467">
        <f>+INDEX('Fuel Model -  Input'!$B$3:$N$373,MATCH($B515,'Fuel Model -  Input'!$B$3:$B$373,0),MATCH(I$2,'Fuel Model -  Input'!$B$3:$N$3,0))</f>
        <v>0.9</v>
      </c>
      <c r="J515" s="467">
        <f>+INDEX('Fuel Model -  Input'!$B$3:$N$373,MATCH($B515,'Fuel Model -  Input'!$B$3:$B$373,0),MATCH(J$2,'Fuel Model -  Input'!$B$3:$N$3,0))</f>
        <v>0.9</v>
      </c>
      <c r="K515" s="467">
        <f>+INDEX('Fuel Model -  Input'!$B$3:$N$373,MATCH($B515,'Fuel Model -  Input'!$B$3:$B$373,0),MATCH(K$2,'Fuel Model -  Input'!$B$3:$N$3,0))</f>
        <v>0.9</v>
      </c>
      <c r="L515" s="467">
        <f>+INDEX('Fuel Model -  Input'!$B$3:$N$373,MATCH($B515,'Fuel Model -  Input'!$B$3:$B$373,0),MATCH(L$2,'Fuel Model -  Input'!$B$3:$N$3,0))</f>
        <v>0.9</v>
      </c>
      <c r="M515" s="467">
        <f>INDEX('Fuel Model -  Input'!$B$3:$N$373,MATCH($B515,'Fuel Model -  Input'!$B$3:$B$373,0),MATCH(M$2,'Fuel Model -  Input'!$B$3:$N$3,0))</f>
        <v>0.9</v>
      </c>
      <c r="O515" s="95"/>
    </row>
    <row r="516" spans="2:15" hidden="1" outlineLevel="3" x14ac:dyDescent="0.2">
      <c r="B516" s="12" t="str">
        <f t="shared" si="282"/>
        <v>GlobalCapexElectrolyser unit cost (SO)USD/MW</v>
      </c>
      <c r="C516" t="s">
        <v>109</v>
      </c>
      <c r="D516" t="s">
        <v>218</v>
      </c>
      <c r="E516" t="s">
        <v>916</v>
      </c>
      <c r="F516" s="450" t="s">
        <v>279</v>
      </c>
      <c r="G516" s="491">
        <f>+INDEX('Fuel Model -  Input'!$B$3:$N$373,MATCH($B516,'Fuel Model -  Input'!$B$3:$B$373,0),MATCH(G$2,'Fuel Model -  Input'!$B$3:$N$3,0))</f>
        <v>3500000</v>
      </c>
      <c r="H516" s="491">
        <f>+INDEX('Fuel Model -  Input'!$B$3:$N$373,MATCH($B516,'Fuel Model -  Input'!$B$3:$B$373,0),MATCH(H$2,'Fuel Model -  Input'!$B$3:$N$3,0))</f>
        <v>3000000</v>
      </c>
      <c r="I516" s="491">
        <f>+INDEX('Fuel Model -  Input'!$B$3:$N$373,MATCH($B516,'Fuel Model -  Input'!$B$3:$B$373,0),MATCH(I$2,'Fuel Model -  Input'!$B$3:$N$3,0))</f>
        <v>2500000</v>
      </c>
      <c r="J516" s="491">
        <f>+INDEX('Fuel Model -  Input'!$B$3:$N$373,MATCH($B516,'Fuel Model -  Input'!$B$3:$B$373,0),MATCH(J$2,'Fuel Model -  Input'!$B$3:$N$3,0))</f>
        <v>2050000</v>
      </c>
      <c r="K516" s="491">
        <f>+INDEX('Fuel Model -  Input'!$B$3:$N$373,MATCH($B516,'Fuel Model -  Input'!$B$3:$B$373,0),MATCH(K$2,'Fuel Model -  Input'!$B$3:$N$3,0))</f>
        <v>1600000</v>
      </c>
      <c r="L516" s="491">
        <f>+INDEX('Fuel Model -  Input'!$B$3:$N$373,MATCH($B516,'Fuel Model -  Input'!$B$3:$B$373,0),MATCH(L$2,'Fuel Model -  Input'!$B$3:$N$3,0))</f>
        <v>1150000</v>
      </c>
      <c r="M516" s="491">
        <f>INDEX('Fuel Model -  Input'!$B$3:$N$373,MATCH($B516,'Fuel Model -  Input'!$B$3:$B$373,0),MATCH(M$2,'Fuel Model -  Input'!$B$3:$N$3,0))</f>
        <v>700000</v>
      </c>
      <c r="O516" s="95"/>
    </row>
    <row r="517" spans="2:15" ht="12.75" hidden="1" outlineLevel="3" x14ac:dyDescent="0.2">
      <c r="B517" s="48"/>
      <c r="F517"/>
      <c r="O517" s="95"/>
    </row>
    <row r="518" spans="2:15" ht="15" hidden="1" outlineLevel="3" x14ac:dyDescent="0.25">
      <c r="B518" s="3" t="str">
        <f>+C518&amp;D518&amp;E518&amp;F518</f>
        <v>AfricaFeedstockTotal Electricity (SO)USD/ ton H2</v>
      </c>
      <c r="C518" t="str">
        <f>$B$462</f>
        <v>Africa</v>
      </c>
      <c r="D518" t="s">
        <v>777</v>
      </c>
      <c r="E518" t="s">
        <v>917</v>
      </c>
      <c r="F518" s="489" t="s">
        <v>859</v>
      </c>
      <c r="G518" s="492">
        <f t="shared" ref="G518:M518" si="293">G519*G520</f>
        <v>3541.0716753145502</v>
      </c>
      <c r="H518" s="492">
        <f t="shared" si="293"/>
        <v>1965.7785646753548</v>
      </c>
      <c r="I518" s="492">
        <f t="shared" si="293"/>
        <v>1516.1019767168154</v>
      </c>
      <c r="J518" s="492">
        <f t="shared" si="293"/>
        <v>1261.5325688195428</v>
      </c>
      <c r="K518" s="492">
        <f t="shared" si="293"/>
        <v>1133.3732262856154</v>
      </c>
      <c r="L518" s="492">
        <f t="shared" si="293"/>
        <v>1006.7097087086495</v>
      </c>
      <c r="M518" s="492">
        <f t="shared" si="293"/>
        <v>937.01079575625488</v>
      </c>
      <c r="O518" s="95"/>
    </row>
    <row r="519" spans="2:15" hidden="1" outlineLevel="3" x14ac:dyDescent="0.2">
      <c r="B519" s="12" t="str">
        <f>+C519&amp;D519&amp;E519&amp;F519</f>
        <v>AfricaFeedstockElectricityUSD/MWh</v>
      </c>
      <c r="C519" t="str">
        <f>$B$462</f>
        <v>Africa</v>
      </c>
      <c r="D519" t="s">
        <v>777</v>
      </c>
      <c r="E519" t="s">
        <v>54</v>
      </c>
      <c r="F519" s="450" t="s">
        <v>196</v>
      </c>
      <c r="G519" s="491">
        <f>+INDEX('Fuel Model -  Input'!$B$3:$N$373,MATCH($B519,'Fuel Model -  Input'!$B$3:$B$373,0),MATCH(G$2,'Fuel Model -  Input'!$B$3:$N$3,0))</f>
        <v>78.959338985079413</v>
      </c>
      <c r="H519" s="491">
        <f>+INDEX('Fuel Model -  Input'!$B$3:$N$373,MATCH($B519,'Fuel Model -  Input'!$B$3:$B$373,0),MATCH(H$2,'Fuel Model -  Input'!$B$3:$N$3,0))</f>
        <v>44.676785560803516</v>
      </c>
      <c r="I519" s="491">
        <f>+INDEX('Fuel Model -  Input'!$B$3:$N$373,MATCH($B519,'Fuel Model -  Input'!$B$3:$B$373,0),MATCH(I$2,'Fuel Model -  Input'!$B$3:$N$3,0))</f>
        <v>35.119981181981451</v>
      </c>
      <c r="J519" s="491">
        <f>+INDEX('Fuel Model -  Input'!$B$3:$N$373,MATCH($B519,'Fuel Model -  Input'!$B$3:$B$373,0),MATCH(J$2,'Fuel Model -  Input'!$B$3:$N$3,0))</f>
        <v>29.785360764210218</v>
      </c>
      <c r="K519" s="491">
        <f>+INDEX('Fuel Model -  Input'!$B$3:$N$373,MATCH($B519,'Fuel Model -  Input'!$B$3:$B$373,0),MATCH(K$2,'Fuel Model -  Input'!$B$3:$N$3,0))</f>
        <v>27.274442592674799</v>
      </c>
      <c r="L519" s="491">
        <f>+INDEX('Fuel Model -  Input'!$B$3:$N$373,MATCH($B519,'Fuel Model -  Input'!$B$3:$B$373,0),MATCH(L$2,'Fuel Model -  Input'!$B$3:$N$3,0))</f>
        <v>24.692537876031398</v>
      </c>
      <c r="M519" s="491">
        <f>INDEX('Fuel Model -  Input'!$B$3:$N$373,MATCH($B519,'Fuel Model -  Input'!$B$3:$B$373,0),MATCH(M$2,'Fuel Model -  Input'!$B$3:$N$3,0))</f>
        <v>23.425269893906371</v>
      </c>
      <c r="O519" s="95"/>
    </row>
    <row r="520" spans="2:15" s="86" customFormat="1" hidden="1" outlineLevel="3" x14ac:dyDescent="0.2">
      <c r="B520" s="12" t="str">
        <f>+C520&amp;D520&amp;E520&amp;F520</f>
        <v>GlobalFeedstockSystem efficiency (SO)kWh/kg H2</v>
      </c>
      <c r="C520" t="s">
        <v>109</v>
      </c>
      <c r="D520" t="s">
        <v>777</v>
      </c>
      <c r="E520" t="s">
        <v>918</v>
      </c>
      <c r="F520" s="450" t="s">
        <v>896</v>
      </c>
      <c r="G520" s="491">
        <f>+INDEX('Fuel Model -  Input'!$B$3:$N$373,MATCH($B520,'Fuel Model -  Input'!$B$3:$B$373,0),MATCH(G$2,'Fuel Model -  Input'!$B$3:$N$3,0))</f>
        <v>44.846774565624095</v>
      </c>
      <c r="H520" s="491">
        <f>+INDEX('Fuel Model -  Input'!$B$3:$N$373,MATCH($B520,'Fuel Model -  Input'!$B$3:$B$373,0),MATCH(H$2,'Fuel Model -  Input'!$B$3:$N$3,0))</f>
        <v>44</v>
      </c>
      <c r="I520" s="491">
        <f>+INDEX('Fuel Model -  Input'!$B$3:$N$373,MATCH($B520,'Fuel Model -  Input'!$B$3:$B$373,0),MATCH(I$2,'Fuel Model -  Input'!$B$3:$N$3,0))</f>
        <v>43.169213811955629</v>
      </c>
      <c r="J520" s="491">
        <f>+INDEX('Fuel Model -  Input'!$B$3:$N$373,MATCH($B520,'Fuel Model -  Input'!$B$3:$B$373,0),MATCH(J$2,'Fuel Model -  Input'!$B$3:$N$3,0))</f>
        <v>42.354114116871379</v>
      </c>
      <c r="K520" s="491">
        <f>+INDEX('Fuel Model -  Input'!$B$3:$N$373,MATCH($B520,'Fuel Model -  Input'!$B$3:$B$373,0),MATCH(K$2,'Fuel Model -  Input'!$B$3:$N$3,0))</f>
        <v>41.554404730163384</v>
      </c>
      <c r="L520" s="491">
        <f>+INDEX('Fuel Model -  Input'!$B$3:$N$373,MATCH($B520,'Fuel Model -  Input'!$B$3:$B$373,0),MATCH(L$2,'Fuel Model -  Input'!$B$3:$N$3,0))</f>
        <v>40.769795059658264</v>
      </c>
      <c r="M520" s="491">
        <f>+INDEX('Fuel Model -  Input'!$B$3:$N$373,MATCH($B520,'Fuel Model -  Input'!$B$3:$B$373,0),MATCH(M$2,'Fuel Model -  Input'!$B$3:$N$3,0))</f>
        <v>40</v>
      </c>
      <c r="O520" s="95"/>
    </row>
    <row r="521" spans="2:15" hidden="1" outlineLevel="3" x14ac:dyDescent="0.2">
      <c r="B521" s="12"/>
      <c r="G521" s="493"/>
      <c r="H521" s="493"/>
      <c r="I521" s="493"/>
      <c r="J521" s="493"/>
      <c r="K521" s="493"/>
      <c r="L521" s="493"/>
      <c r="M521" s="493"/>
      <c r="O521" s="118"/>
    </row>
    <row r="522" spans="2:15" ht="15" hidden="1" outlineLevel="3" x14ac:dyDescent="0.25">
      <c r="B522" t="str">
        <f t="shared" ref="B522:B524" si="294">+C522&amp;D522&amp;E522&amp;F522</f>
        <v>GlobalFeedstockCost of H2O in H2USD/ton H2</v>
      </c>
      <c r="C522" s="494" t="str">
        <f>C520</f>
        <v>Global</v>
      </c>
      <c r="D522" t="s">
        <v>777</v>
      </c>
      <c r="E522" t="s">
        <v>897</v>
      </c>
      <c r="F522" s="127" t="s">
        <v>881</v>
      </c>
      <c r="G522" s="261">
        <f t="shared" ref="G522:M522" si="295">G523*G524</f>
        <v>13.5</v>
      </c>
      <c r="H522" s="261">
        <f t="shared" si="295"/>
        <v>13.5</v>
      </c>
      <c r="I522" s="261">
        <f t="shared" si="295"/>
        <v>13.5</v>
      </c>
      <c r="J522" s="261">
        <f t="shared" si="295"/>
        <v>13.5</v>
      </c>
      <c r="K522" s="261">
        <f t="shared" si="295"/>
        <v>13.5</v>
      </c>
      <c r="L522" s="261">
        <f t="shared" si="295"/>
        <v>13.5</v>
      </c>
      <c r="M522" s="261">
        <f t="shared" si="295"/>
        <v>13.5</v>
      </c>
    </row>
    <row r="523" spans="2:15" hidden="1" outlineLevel="3" x14ac:dyDescent="0.2">
      <c r="B523" t="str">
        <f t="shared" si="294"/>
        <v>GlobalFeedstockConversion H2O:H2 (actual)ton H2O/ton H2</v>
      </c>
      <c r="C523" t="s">
        <v>109</v>
      </c>
      <c r="D523" t="s">
        <v>777</v>
      </c>
      <c r="E523" t="s">
        <v>898</v>
      </c>
      <c r="F523" s="128" t="s">
        <v>899</v>
      </c>
      <c r="G523" s="495">
        <f>INDEX('Fuel Model -  Input'!$B$3:$N$373,MATCH($B523,'Fuel Model -  Input'!$B$3:$B$373,0),MATCH(G$2,'Fuel Model -  Input'!$B$3:$N$3,0))</f>
        <v>9</v>
      </c>
      <c r="H523" s="495">
        <f>INDEX('Fuel Model -  Input'!$B$3:$N$373,MATCH($B523,'Fuel Model -  Input'!$B$3:$B$373,0),MATCH(H$2,'Fuel Model -  Input'!$B$3:$N$3,0))</f>
        <v>9</v>
      </c>
      <c r="I523" s="495">
        <f>INDEX('Fuel Model -  Input'!$B$3:$N$373,MATCH($B523,'Fuel Model -  Input'!$B$3:$B$373,0),MATCH(I$2,'Fuel Model -  Input'!$B$3:$N$3,0))</f>
        <v>9</v>
      </c>
      <c r="J523" s="495">
        <f>INDEX('Fuel Model -  Input'!$B$3:$N$373,MATCH($B523,'Fuel Model -  Input'!$B$3:$B$373,0),MATCH(J$2,'Fuel Model -  Input'!$B$3:$N$3,0))</f>
        <v>9</v>
      </c>
      <c r="K523" s="495">
        <f>INDEX('Fuel Model -  Input'!$B$3:$N$373,MATCH($B523,'Fuel Model -  Input'!$B$3:$B$373,0),MATCH(K$2,'Fuel Model -  Input'!$B$3:$N$3,0))</f>
        <v>9</v>
      </c>
      <c r="L523" s="495">
        <f>INDEX('Fuel Model -  Input'!$B$3:$N$373,MATCH($B523,'Fuel Model -  Input'!$B$3:$B$373,0),MATCH(L$2,'Fuel Model -  Input'!$B$3:$N$3,0))</f>
        <v>9</v>
      </c>
      <c r="M523" s="495">
        <f>INDEX('Fuel Model -  Input'!$B$3:$N$373,MATCH($B523,'Fuel Model -  Input'!$B$3:$B$373,0),MATCH(M$2,'Fuel Model -  Input'!$B$3:$N$3,0))</f>
        <v>9</v>
      </c>
    </row>
    <row r="524" spans="2:15" hidden="1" outlineLevel="3" x14ac:dyDescent="0.2">
      <c r="B524" t="str">
        <f t="shared" si="294"/>
        <v>GlobalFeedstockDemineralized water costUSD/ton demin H2O</v>
      </c>
      <c r="C524" s="494" t="s">
        <v>109</v>
      </c>
      <c r="D524" t="s">
        <v>777</v>
      </c>
      <c r="E524" t="s">
        <v>900</v>
      </c>
      <c r="F524" s="450" t="s">
        <v>901</v>
      </c>
      <c r="G524" s="495">
        <f>+INDEX('Fuel Model -  Input'!$B$3:$N$373,MATCH($B524,'Fuel Model -  Input'!$B$3:$B$373,0),MATCH(G$2,'Fuel Model -  Input'!$B$3:$N$3,0))</f>
        <v>1.5</v>
      </c>
      <c r="H524" s="495">
        <f>+INDEX('Fuel Model -  Input'!$B$3:$N$373,MATCH($B524,'Fuel Model -  Input'!$B$3:$B$373,0),MATCH(H$2,'Fuel Model -  Input'!$B$3:$N$3,0))</f>
        <v>1.5</v>
      </c>
      <c r="I524" s="495">
        <f>+INDEX('Fuel Model -  Input'!$B$3:$N$373,MATCH($B524,'Fuel Model -  Input'!$B$3:$B$373,0),MATCH(I$2,'Fuel Model -  Input'!$B$3:$N$3,0))</f>
        <v>1.5</v>
      </c>
      <c r="J524" s="495">
        <f>+INDEX('Fuel Model -  Input'!$B$3:$N$373,MATCH($B524,'Fuel Model -  Input'!$B$3:$B$373,0),MATCH(J$2,'Fuel Model -  Input'!$B$3:$N$3,0))</f>
        <v>1.5</v>
      </c>
      <c r="K524" s="495">
        <f>+INDEX('Fuel Model -  Input'!$B$3:$N$373,MATCH($B524,'Fuel Model -  Input'!$B$3:$B$373,0),MATCH(K$2,'Fuel Model -  Input'!$B$3:$N$3,0))</f>
        <v>1.5</v>
      </c>
      <c r="L524" s="495">
        <f>+INDEX('Fuel Model -  Input'!$B$3:$N$373,MATCH($B524,'Fuel Model -  Input'!$B$3:$B$373,0),MATCH(L$2,'Fuel Model -  Input'!$B$3:$N$3,0))</f>
        <v>1.5</v>
      </c>
      <c r="M524" s="495">
        <f>+INDEX('Fuel Model -  Input'!$B$3:$N$373,MATCH($B524,'Fuel Model -  Input'!$B$3:$B$373,0),MATCH(M$2,'Fuel Model -  Input'!$B$3:$N$3,0))</f>
        <v>1.5</v>
      </c>
    </row>
    <row r="525" spans="2:15" ht="12.75" hidden="1" outlineLevel="3" x14ac:dyDescent="0.2">
      <c r="F525"/>
      <c r="O525" s="118"/>
    </row>
    <row r="526" spans="2:15" ht="15" hidden="1" outlineLevel="3" x14ac:dyDescent="0.25">
      <c r="B526" s="496" t="str">
        <f>+C526&amp;D526&amp;E526&amp;F526</f>
        <v>AfricaOpexPlantUSD/ ton H2</v>
      </c>
      <c r="C526" t="str">
        <f>$B$462</f>
        <v>Africa</v>
      </c>
      <c r="D526" t="s">
        <v>219</v>
      </c>
      <c r="E526" t="s">
        <v>902</v>
      </c>
      <c r="F526" s="489" t="s">
        <v>859</v>
      </c>
      <c r="G526" s="492">
        <f t="shared" ref="G526:M526" si="296">G514*G527</f>
        <v>2391.336231685671</v>
      </c>
      <c r="H526" s="492">
        <f t="shared" si="296"/>
        <v>1674.2770167427702</v>
      </c>
      <c r="I526" s="492">
        <f t="shared" si="296"/>
        <v>1139.6710876509674</v>
      </c>
      <c r="J526" s="492">
        <f t="shared" si="296"/>
        <v>763.35550941595204</v>
      </c>
      <c r="K526" s="492">
        <f t="shared" si="296"/>
        <v>486.6608689537249</v>
      </c>
      <c r="L526" s="492">
        <f t="shared" si="296"/>
        <v>285.71809521439178</v>
      </c>
      <c r="M526" s="492">
        <f t="shared" si="296"/>
        <v>142.05986808726536</v>
      </c>
      <c r="O526" s="95"/>
    </row>
    <row r="527" spans="2:15" hidden="1" outlineLevel="3" x14ac:dyDescent="0.2">
      <c r="B527" s="497" t="str">
        <f>+C527&amp;D527&amp;E527&amp;F527</f>
        <v>GlobalOpexPlant - Electrolysis - opex (SO)Percent of Capex</v>
      </c>
      <c r="C527" t="s">
        <v>109</v>
      </c>
      <c r="D527" s="157" t="s">
        <v>219</v>
      </c>
      <c r="E527" s="498" t="s">
        <v>919</v>
      </c>
      <c r="F527" s="450" t="s">
        <v>883</v>
      </c>
      <c r="G527" s="467">
        <f>+INDEX('Fuel Model -  Input'!$B$3:$N$373,MATCH($B527,'Fuel Model -  Input'!$B$3:$B$373,0),MATCH(G$2,'Fuel Model -  Input'!$B$3:$N$3,0))</f>
        <v>0.12011244339814313</v>
      </c>
      <c r="H527" s="467">
        <f>+INDEX('Fuel Model -  Input'!$B$3:$N$373,MATCH($B527,'Fuel Model -  Input'!$B$3:$B$373,0),MATCH(H$2,'Fuel Model -  Input'!$B$3:$N$3,0))</f>
        <v>0.1</v>
      </c>
      <c r="I527" s="467">
        <f>+INDEX('Fuel Model -  Input'!$B$3:$N$373,MATCH($B527,'Fuel Model -  Input'!$B$3:$B$373,0),MATCH(I$2,'Fuel Model -  Input'!$B$3:$N$3,0))</f>
        <v>8.3255320740187322E-2</v>
      </c>
      <c r="J527" s="467">
        <f>+INDEX('Fuel Model -  Input'!$B$3:$N$373,MATCH($B527,'Fuel Model -  Input'!$B$3:$B$373,0),MATCH(J$2,'Fuel Model -  Input'!$B$3:$N$3,0))</f>
        <v>6.9314484315514638E-2</v>
      </c>
      <c r="K527" s="467">
        <f>+INDEX('Fuel Model -  Input'!$B$3:$N$373,MATCH($B527,'Fuel Model -  Input'!$B$3:$B$373,0),MATCH(K$2,'Fuel Model -  Input'!$B$3:$N$3,0))</f>
        <v>5.7707996236288542E-2</v>
      </c>
      <c r="L527" s="467">
        <f>+INDEX('Fuel Model -  Input'!$B$3:$N$373,MATCH($B527,'Fuel Model -  Input'!$B$3:$B$373,0),MATCH(L$2,'Fuel Model -  Input'!$B$3:$N$3,0))</f>
        <v>4.8044977359257245E-2</v>
      </c>
      <c r="M527" s="467">
        <f>INDEX('Fuel Model -  Input'!$B$3:$N$373,MATCH($B527,'Fuel Model -  Input'!$B$3:$B$373,0),MATCH(M$2,'Fuel Model -  Input'!$B$3:$N$3,0))</f>
        <v>0.04</v>
      </c>
      <c r="O527" s="95"/>
    </row>
    <row r="528" spans="2:15" hidden="1" outlineLevel="1" x14ac:dyDescent="0.2"/>
    <row r="529" spans="2:15" ht="15" hidden="1" outlineLevel="1" x14ac:dyDescent="0.25">
      <c r="B529" s="30" t="s">
        <v>921</v>
      </c>
    </row>
    <row r="530" spans="2:15" ht="15" hidden="1" outlineLevel="1" x14ac:dyDescent="0.25">
      <c r="B530" s="257" t="str">
        <f>+C530&amp;D530&amp;E530&amp;F530</f>
        <v>GlobalResultsAverage Primary EE of e-Hydrogen (liquid)%</v>
      </c>
      <c r="C530" s="257" t="s">
        <v>109</v>
      </c>
      <c r="D530" s="257" t="s">
        <v>838</v>
      </c>
      <c r="E530" s="257" t="s">
        <v>922</v>
      </c>
      <c r="F530" s="512" t="s">
        <v>178</v>
      </c>
      <c r="G530" s="513">
        <f t="shared" ref="G530:M530" si="297">SUMPRODUCT(G533:G535,G139:G141)</f>
        <v>0.53158370554247458</v>
      </c>
      <c r="H530" s="513">
        <f t="shared" si="297"/>
        <v>0.53390833756130562</v>
      </c>
      <c r="I530" s="513">
        <f t="shared" si="297"/>
        <v>0.54131189142534042</v>
      </c>
      <c r="J530" s="513">
        <f t="shared" si="297"/>
        <v>0.56029386332368492</v>
      </c>
      <c r="K530" s="513">
        <f t="shared" si="297"/>
        <v>0.58328989995912273</v>
      </c>
      <c r="L530" s="513">
        <f t="shared" si="297"/>
        <v>0.61375917189403317</v>
      </c>
      <c r="M530" s="513">
        <f t="shared" si="297"/>
        <v>0.63915343915343925</v>
      </c>
    </row>
    <row r="531" spans="2:15" hidden="1" outlineLevel="1" collapsed="1" x14ac:dyDescent="0.2"/>
    <row r="532" spans="2:15" hidden="1" outlineLevel="2" x14ac:dyDescent="0.2">
      <c r="B532" t="str">
        <f>+C532&amp;D532&amp;E532&amp;F532</f>
        <v>GlobalConversionsLHVkWh/kg H2</v>
      </c>
      <c r="C532" t="s">
        <v>109</v>
      </c>
      <c r="D532" t="s">
        <v>499</v>
      </c>
      <c r="E532" t="s">
        <v>582</v>
      </c>
      <c r="F532" s="450" t="s">
        <v>896</v>
      </c>
      <c r="G532" s="514">
        <v>33.333333333333336</v>
      </c>
      <c r="H532" s="514">
        <v>33.333333333333336</v>
      </c>
      <c r="I532" s="514">
        <v>33.333333333333336</v>
      </c>
      <c r="J532" s="514">
        <v>33.333333333333336</v>
      </c>
      <c r="K532" s="514">
        <v>33.333333333333336</v>
      </c>
      <c r="L532" s="514">
        <v>33.333333333333336</v>
      </c>
      <c r="M532" s="514">
        <v>33.333333333333336</v>
      </c>
      <c r="N532" s="86"/>
    </row>
    <row r="533" spans="2:15" ht="15" hidden="1" outlineLevel="2" x14ac:dyDescent="0.25">
      <c r="B533" t="str">
        <f>+C533&amp;D533&amp;E533&amp;F533</f>
        <v>GlobalResultsPrimary EE of Liq H2 (Alk)%</v>
      </c>
      <c r="C533" t="s">
        <v>109</v>
      </c>
      <c r="D533" t="s">
        <v>838</v>
      </c>
      <c r="E533" s="30" t="s">
        <v>923</v>
      </c>
      <c r="F533" s="450" t="s">
        <v>178</v>
      </c>
      <c r="G533" s="86">
        <f t="shared" ref="G533:M533" si="298">G532/(G208+G175)</f>
        <v>0.55368745309766576</v>
      </c>
      <c r="H533" s="86">
        <f t="shared" si="298"/>
        <v>0.55555555555555558</v>
      </c>
      <c r="I533" s="86">
        <f t="shared" si="298"/>
        <v>0.55742869689014629</v>
      </c>
      <c r="J533" s="86">
        <f t="shared" si="298"/>
        <v>0.55930688216386226</v>
      </c>
      <c r="K533" s="86">
        <f t="shared" si="298"/>
        <v>0.56119011638385963</v>
      </c>
      <c r="L533" s="86">
        <f t="shared" si="298"/>
        <v>0.56307840450160107</v>
      </c>
      <c r="M533" s="86">
        <f t="shared" si="298"/>
        <v>0.56497175141242939</v>
      </c>
      <c r="N533" s="86"/>
    </row>
    <row r="534" spans="2:15" ht="15" hidden="1" outlineLevel="2" x14ac:dyDescent="0.25">
      <c r="B534" t="str">
        <f>+C534&amp;D534&amp;E534&amp;F534</f>
        <v>GlobalResultsPrimary EE of Liq H2 (PEM)%</v>
      </c>
      <c r="C534" t="s">
        <v>109</v>
      </c>
      <c r="D534" t="s">
        <v>838</v>
      </c>
      <c r="E534" s="30" t="s">
        <v>924</v>
      </c>
      <c r="F534" s="450" t="s">
        <v>178</v>
      </c>
      <c r="G534" s="86">
        <f t="shared" ref="G534:M534" si="299">G532/(G230+G175)</f>
        <v>0.44316871532171009</v>
      </c>
      <c r="H534" s="86">
        <f t="shared" si="299"/>
        <v>0.45662100456621008</v>
      </c>
      <c r="I534" s="86">
        <f t="shared" si="299"/>
        <v>0.47041517178186004</v>
      </c>
      <c r="J534" s="86">
        <f t="shared" si="299"/>
        <v>0.48455585894191355</v>
      </c>
      <c r="K534" s="86">
        <f t="shared" si="299"/>
        <v>0.49904751972742456</v>
      </c>
      <c r="L534" s="86">
        <f t="shared" si="299"/>
        <v>0.51389440187910185</v>
      </c>
      <c r="M534" s="86">
        <f t="shared" si="299"/>
        <v>0.52910052910052918</v>
      </c>
      <c r="N534" s="86"/>
    </row>
    <row r="535" spans="2:15" ht="15" hidden="1" outlineLevel="2" x14ac:dyDescent="0.25">
      <c r="B535" t="str">
        <f>+C535&amp;D535&amp;E535&amp;F535</f>
        <v>GlobalResultsPrimary EE of Liq H2 (SO)%</v>
      </c>
      <c r="C535" t="s">
        <v>109</v>
      </c>
      <c r="D535" t="s">
        <v>838</v>
      </c>
      <c r="E535" s="30" t="s">
        <v>925</v>
      </c>
      <c r="F535" s="450" t="s">
        <v>178</v>
      </c>
      <c r="G535" s="86">
        <f t="shared" ref="G535:M535" si="300">G532/(G252+G175)</f>
        <v>0.60775375757876238</v>
      </c>
      <c r="H535" s="86">
        <f t="shared" si="300"/>
        <v>0.61728395061728403</v>
      </c>
      <c r="I535" s="86">
        <f t="shared" si="300"/>
        <v>0.62692921229235865</v>
      </c>
      <c r="J535" s="86">
        <f t="shared" si="300"/>
        <v>0.63668985514533805</v>
      </c>
      <c r="K535" s="86">
        <f t="shared" si="300"/>
        <v>0.6465661568162907</v>
      </c>
      <c r="L535" s="86">
        <f t="shared" si="300"/>
        <v>0.65655835904328952</v>
      </c>
      <c r="M535" s="86">
        <f t="shared" si="300"/>
        <v>0.66666666666666674</v>
      </c>
      <c r="N535" s="86"/>
    </row>
    <row r="536" spans="2:15" hidden="1" outlineLevel="2" x14ac:dyDescent="0.2"/>
    <row r="537" spans="2:15" s="263" customFormat="1" ht="15" hidden="1" outlineLevel="1" x14ac:dyDescent="0.25">
      <c r="B537" s="515" t="s">
        <v>926</v>
      </c>
      <c r="C537" s="157"/>
      <c r="D537" s="157"/>
      <c r="E537" s="157"/>
      <c r="F537" s="157"/>
      <c r="G537" s="157"/>
      <c r="H537" s="157"/>
      <c r="I537" s="157"/>
      <c r="J537" s="157"/>
      <c r="K537" s="157"/>
      <c r="L537" s="157"/>
      <c r="M537" s="157"/>
    </row>
    <row r="538" spans="2:15" s="263" customFormat="1" ht="15" hidden="1" outlineLevel="1" x14ac:dyDescent="0.25">
      <c r="B538" s="516" t="str">
        <f>+C538&amp;D538&amp;E538&amp;F538</f>
        <v>GlobalCO2intensityWTT emission - e-Hydrogen (liquid)tonCO2eq/tonH2</v>
      </c>
      <c r="C538" s="516" t="s">
        <v>109</v>
      </c>
      <c r="D538" s="516" t="s">
        <v>927</v>
      </c>
      <c r="E538" s="516" t="s">
        <v>928</v>
      </c>
      <c r="F538" s="516" t="s">
        <v>929</v>
      </c>
      <c r="G538" s="517">
        <f t="shared" ref="G538:M538" si="301">SUMPRODUCT(G540:G542,G139:G141)+G548</f>
        <v>0.29135003961027883</v>
      </c>
      <c r="H538" s="517">
        <f t="shared" si="301"/>
        <v>0.28997999999999996</v>
      </c>
      <c r="I538" s="517">
        <f t="shared" si="301"/>
        <v>0.28613027529683921</v>
      </c>
      <c r="J538" s="517">
        <f t="shared" si="301"/>
        <v>0.27590526085528511</v>
      </c>
      <c r="K538" s="517">
        <f t="shared" si="301"/>
        <v>0.26362599487969951</v>
      </c>
      <c r="L538" s="517">
        <f t="shared" si="301"/>
        <v>0.24727833589356388</v>
      </c>
      <c r="M538" s="517">
        <f t="shared" si="301"/>
        <v>0.23440049999999998</v>
      </c>
    </row>
    <row r="539" spans="2:15" s="263" customFormat="1" hidden="1" outlineLevel="1" collapsed="1" x14ac:dyDescent="0.2">
      <c r="B539" s="157"/>
      <c r="C539" s="157"/>
      <c r="D539" s="157"/>
      <c r="E539" s="157"/>
      <c r="F539" s="157"/>
      <c r="G539" s="518"/>
      <c r="H539" s="518"/>
      <c r="I539" s="518"/>
      <c r="J539" s="518"/>
      <c r="K539" s="518"/>
      <c r="L539" s="518"/>
      <c r="M539" s="518"/>
    </row>
    <row r="540" spans="2:15" s="263" customFormat="1" hidden="1" outlineLevel="2" x14ac:dyDescent="0.2">
      <c r="B540" s="157" t="str">
        <f t="shared" ref="B540:B551" si="302">+C540&amp;D540&amp;E540&amp;F540</f>
        <v>GlobalCO2intensityHydrogen (Alk)tonCO2eq/tonH2</v>
      </c>
      <c r="C540" s="157" t="s">
        <v>109</v>
      </c>
      <c r="D540" s="157" t="s">
        <v>927</v>
      </c>
      <c r="E540" s="157" t="s">
        <v>930</v>
      </c>
      <c r="F540" s="450" t="s">
        <v>929</v>
      </c>
      <c r="G540" s="518">
        <f>G$576*(G$543+G$546)+G577</f>
        <v>0.27522558010009018</v>
      </c>
      <c r="H540" s="518">
        <f t="shared" ref="H540:M540" si="303">H$576*(H$543+H$546)+H577</f>
        <v>0.27413849999999995</v>
      </c>
      <c r="I540" s="518">
        <f t="shared" si="303"/>
        <v>0.27305580343024644</v>
      </c>
      <c r="J540" s="518">
        <f t="shared" si="303"/>
        <v>0.27197747271472816</v>
      </c>
      <c r="K540" s="518">
        <f t="shared" si="303"/>
        <v>0.27090349024862048</v>
      </c>
      <c r="L540" s="518">
        <f t="shared" si="303"/>
        <v>0.26983383849808834</v>
      </c>
      <c r="M540" s="518">
        <f t="shared" si="303"/>
        <v>0.26876849999999997</v>
      </c>
      <c r="N540" s="519"/>
    </row>
    <row r="541" spans="2:15" s="263" customFormat="1" hidden="1" outlineLevel="2" x14ac:dyDescent="0.2">
      <c r="B541" s="157" t="str">
        <f t="shared" si="302"/>
        <v>GlobalCO2intensityHydrogen (PEM)tonCO2eq/tonH2</v>
      </c>
      <c r="C541" s="157" t="s">
        <v>109</v>
      </c>
      <c r="D541" s="157" t="s">
        <v>927</v>
      </c>
      <c r="E541" s="157" t="s">
        <v>931</v>
      </c>
      <c r="F541" s="450" t="s">
        <v>929</v>
      </c>
      <c r="G541" s="518">
        <f>G$576*(G544+G546)+G578</f>
        <v>0.3558478776510336</v>
      </c>
      <c r="H541" s="518">
        <f t="shared" ref="H541:M541" si="304">H$576*(H544+H546)+H578</f>
        <v>0.34394849999999999</v>
      </c>
      <c r="I541" s="518">
        <f t="shared" si="304"/>
        <v>0.33245343815978684</v>
      </c>
      <c r="J541" s="518">
        <f t="shared" si="304"/>
        <v>0.32134895433000893</v>
      </c>
      <c r="K541" s="518">
        <f t="shared" si="304"/>
        <v>0.31062177749182729</v>
      </c>
      <c r="L541" s="518">
        <f t="shared" si="304"/>
        <v>0.30025908754769493</v>
      </c>
      <c r="M541" s="518">
        <f t="shared" si="304"/>
        <v>0.29024849999999996</v>
      </c>
    </row>
    <row r="542" spans="2:15" s="263" customFormat="1" hidden="1" outlineLevel="2" x14ac:dyDescent="0.2">
      <c r="B542" s="157" t="str">
        <f t="shared" si="302"/>
        <v>GlobalCO2intensityHydrogen (SO)tonCO2eq/tonH2</v>
      </c>
      <c r="C542" s="157" t="s">
        <v>109</v>
      </c>
      <c r="D542" s="157" t="s">
        <v>927</v>
      </c>
      <c r="E542" s="157" t="s">
        <v>932</v>
      </c>
      <c r="F542" s="450" t="s">
        <v>929</v>
      </c>
      <c r="G542" s="518">
        <f>G$576*(G545+G546)+G579</f>
        <v>0.24646567941740136</v>
      </c>
      <c r="H542" s="518">
        <f t="shared" ref="H542:M542" si="305">H$576*(H545+H546)+H579</f>
        <v>0.24191849999999998</v>
      </c>
      <c r="I542" s="518">
        <f t="shared" si="305"/>
        <v>0.2374571781702017</v>
      </c>
      <c r="J542" s="518">
        <f t="shared" si="305"/>
        <v>0.23308009280759928</v>
      </c>
      <c r="K542" s="518">
        <f t="shared" si="305"/>
        <v>0.22878565340097734</v>
      </c>
      <c r="L542" s="518">
        <f t="shared" si="305"/>
        <v>0.22457229947036486</v>
      </c>
      <c r="M542" s="518">
        <f t="shared" si="305"/>
        <v>0.22043849999999998</v>
      </c>
    </row>
    <row r="543" spans="2:15" hidden="1" outlineLevel="3" x14ac:dyDescent="0.2">
      <c r="B543" s="12" t="str">
        <f>+C543&amp;D543&amp;E543&amp;F543</f>
        <v>GlobalFeedstockSystem efficiency (Alk)kWh/kg H2</v>
      </c>
      <c r="C543" t="s">
        <v>109</v>
      </c>
      <c r="D543" t="s">
        <v>777</v>
      </c>
      <c r="E543" t="s">
        <v>895</v>
      </c>
      <c r="F543" s="450" t="s">
        <v>896</v>
      </c>
      <c r="G543" s="491">
        <f>+INDEX('Fuel Model -  Input'!$B$3:$N$373,MATCH($B543,'Fuel Model -  Input'!$B$3:$B$373,0),MATCH(G$2,'Fuel Model -  Input'!$B$3:$N$3,0))</f>
        <v>50.202435772828721</v>
      </c>
      <c r="H543" s="491">
        <f>+INDEX('Fuel Model -  Input'!$B$3:$N$373,MATCH($B543,'Fuel Model -  Input'!$B$3:$B$373,0),MATCH(H$2,'Fuel Model -  Input'!$B$3:$N$3,0))</f>
        <v>50</v>
      </c>
      <c r="I543" s="491">
        <f>+INDEX('Fuel Model -  Input'!$B$3:$N$373,MATCH($B543,'Fuel Model -  Input'!$B$3:$B$373,0),MATCH(I$2,'Fuel Model -  Input'!$B$3:$N$3,0))</f>
        <v>49.798380527047762</v>
      </c>
      <c r="J543" s="491">
        <f>+INDEX('Fuel Model -  Input'!$B$3:$N$373,MATCH($B543,'Fuel Model -  Input'!$B$3:$B$373,0),MATCH(J$2,'Fuel Model -  Input'!$B$3:$N$3,0))</f>
        <v>49.597574062332995</v>
      </c>
      <c r="K543" s="491">
        <f>+INDEX('Fuel Model -  Input'!$B$3:$N$373,MATCH($B543,'Fuel Model -  Input'!$B$3:$B$373,0),MATCH(K$2,'Fuel Model -  Input'!$B$3:$N$3,0))</f>
        <v>49.397577327489856</v>
      </c>
      <c r="L543" s="491">
        <f>+INDEX('Fuel Model -  Input'!$B$3:$N$373,MATCH($B543,'Fuel Model -  Input'!$B$3:$B$373,0),MATCH(L$2,'Fuel Model -  Input'!$B$3:$N$3,0))</f>
        <v>49.198387057372138</v>
      </c>
      <c r="M543" s="491">
        <f>INDEX('Fuel Model -  Input'!$B$3:$N$373,MATCH($B543,'Fuel Model -  Input'!$B$3:$B$373,0),MATCH(M$2,'Fuel Model -  Input'!$B$3:$N$3,0))</f>
        <v>49</v>
      </c>
      <c r="O543" s="118"/>
    </row>
    <row r="544" spans="2:15" hidden="1" outlineLevel="2" x14ac:dyDescent="0.2">
      <c r="B544" s="48" t="str">
        <f t="shared" si="302"/>
        <v>GlobalFeedstockSystem efficiency (PEM)kWh/kg H2</v>
      </c>
      <c r="C544" s="157" t="s">
        <v>109</v>
      </c>
      <c r="D544" s="86" t="s">
        <v>777</v>
      </c>
      <c r="E544" t="s">
        <v>910</v>
      </c>
      <c r="F544" s="450" t="s">
        <v>896</v>
      </c>
      <c r="G544" s="482">
        <f>+INDEX('Fuel Model -  Input'!$B$3:$N$373,MATCH($B544,'Fuel Model -  Input'!$B$3:$B$373,0),MATCH(G$2,'Fuel Model -  Input'!$B$3:$N$3,0))</f>
        <v>65.215899003916874</v>
      </c>
      <c r="H544" s="482">
        <f>+INDEX('Fuel Model -  Input'!$B$3:$N$373,MATCH($B544,'Fuel Model -  Input'!$B$3:$B$373,0),MATCH(H$2,'Fuel Model -  Input'!$B$3:$N$3,0))</f>
        <v>63</v>
      </c>
      <c r="I544" s="482">
        <f>+INDEX('Fuel Model -  Input'!$B$3:$N$373,MATCH($B544,'Fuel Model -  Input'!$B$3:$B$373,0),MATCH(I$2,'Fuel Model -  Input'!$B$3:$N$3,0))</f>
        <v>60.859392580965903</v>
      </c>
      <c r="J544" s="482">
        <f>+INDEX('Fuel Model -  Input'!$B$3:$N$373,MATCH($B544,'Fuel Model -  Input'!$B$3:$B$373,0),MATCH(J$2,'Fuel Model -  Input'!$B$3:$N$3,0))</f>
        <v>58.791518497208372</v>
      </c>
      <c r="K544" s="482">
        <f>+INDEX('Fuel Model -  Input'!$B$3:$N$373,MATCH($B544,'Fuel Model -  Input'!$B$3:$B$373,0),MATCH(K$2,'Fuel Model -  Input'!$B$3:$N$3,0))</f>
        <v>56.793906423059092</v>
      </c>
      <c r="L544" s="482">
        <f>+INDEX('Fuel Model -  Input'!$B$3:$N$373,MATCH($B544,'Fuel Model -  Input'!$B$3:$B$373,0),MATCH(L$2,'Fuel Model -  Input'!$B$3:$N$3,0))</f>
        <v>54.864169003295146</v>
      </c>
      <c r="M544" s="482">
        <f>+INDEX('Fuel Model -  Input'!$B$3:$N$373,MATCH($B544,'Fuel Model -  Input'!$B$3:$B$373,0),MATCH(M$2,'Fuel Model -  Input'!$B$3:$N$3,0))</f>
        <v>53</v>
      </c>
      <c r="N544" s="93"/>
    </row>
    <row r="545" spans="2:14" hidden="1" outlineLevel="2" x14ac:dyDescent="0.2">
      <c r="B545" s="48" t="str">
        <f t="shared" si="302"/>
        <v>GlobalFeedstockSystem efficiency (SO)kWh/kg H2</v>
      </c>
      <c r="C545" s="157" t="s">
        <v>109</v>
      </c>
      <c r="D545" s="86" t="s">
        <v>777</v>
      </c>
      <c r="E545" t="s">
        <v>918</v>
      </c>
      <c r="F545" s="450" t="s">
        <v>896</v>
      </c>
      <c r="G545" s="482">
        <f>+INDEX('Fuel Model -  Input'!$B$3:$N$373,MATCH($B545,'Fuel Model -  Input'!$B$3:$B$373,0),MATCH(G$2,'Fuel Model -  Input'!$B$3:$N$3,0))</f>
        <v>44.846774565624095</v>
      </c>
      <c r="H545" s="482">
        <f>+INDEX('Fuel Model -  Input'!$B$3:$N$373,MATCH($B545,'Fuel Model -  Input'!$B$3:$B$373,0),MATCH(H$2,'Fuel Model -  Input'!$B$3:$N$3,0))</f>
        <v>44</v>
      </c>
      <c r="I545" s="482">
        <f>+INDEX('Fuel Model -  Input'!$B$3:$N$373,MATCH($B545,'Fuel Model -  Input'!$B$3:$B$373,0),MATCH(I$2,'Fuel Model -  Input'!$B$3:$N$3,0))</f>
        <v>43.169213811955629</v>
      </c>
      <c r="J545" s="482">
        <f>+INDEX('Fuel Model -  Input'!$B$3:$N$373,MATCH($B545,'Fuel Model -  Input'!$B$3:$B$373,0),MATCH(J$2,'Fuel Model -  Input'!$B$3:$N$3,0))</f>
        <v>42.354114116871379</v>
      </c>
      <c r="K545" s="482">
        <f>+INDEX('Fuel Model -  Input'!$B$3:$N$373,MATCH($B545,'Fuel Model -  Input'!$B$3:$B$373,0),MATCH(K$2,'Fuel Model -  Input'!$B$3:$N$3,0))</f>
        <v>41.554404730163384</v>
      </c>
      <c r="L545" s="482">
        <f>+INDEX('Fuel Model -  Input'!$B$3:$N$373,MATCH($B545,'Fuel Model -  Input'!$B$3:$B$373,0),MATCH(L$2,'Fuel Model -  Input'!$B$3:$N$3,0))</f>
        <v>40.769795059658264</v>
      </c>
      <c r="M545" s="482">
        <f>+INDEX('Fuel Model -  Input'!$B$3:$N$373,MATCH($B545,'Fuel Model -  Input'!$B$3:$B$373,0),MATCH(M$2,'Fuel Model -  Input'!$B$3:$N$3,0))</f>
        <v>40</v>
      </c>
      <c r="N545" s="93"/>
    </row>
    <row r="546" spans="2:14" hidden="1" outlineLevel="2" x14ac:dyDescent="0.2">
      <c r="B546" s="48" t="str">
        <f t="shared" si="302"/>
        <v>GlobalProcess - OpexH2 CompressionmWh/ ton H2</v>
      </c>
      <c r="C546" t="s">
        <v>109</v>
      </c>
      <c r="D546" t="s">
        <v>876</v>
      </c>
      <c r="E546" t="s">
        <v>886</v>
      </c>
      <c r="F546" s="450" t="s">
        <v>878</v>
      </c>
      <c r="G546" s="482">
        <f>+INDEX('Fuel Model -  Input'!$B$3:$N$373,MATCH($B546,'Fuel Model -  Input'!$B$3:$B$373,0),MATCH(G$2,'Fuel Model -  Input'!$B$3:$N$3,0))</f>
        <v>1.05</v>
      </c>
      <c r="H546" s="482">
        <f>+INDEX('Fuel Model -  Input'!$B$3:$N$373,MATCH($B546,'Fuel Model -  Input'!$B$3:$B$373,0),MATCH(H$2,'Fuel Model -  Input'!$B$3:$N$3,0))</f>
        <v>1.05</v>
      </c>
      <c r="I546" s="482">
        <f>+INDEX('Fuel Model -  Input'!$B$3:$N$373,MATCH($B546,'Fuel Model -  Input'!$B$3:$B$373,0),MATCH(I$2,'Fuel Model -  Input'!$B$3:$N$3,0))</f>
        <v>1.05</v>
      </c>
      <c r="J546" s="482">
        <f>+INDEX('Fuel Model -  Input'!$B$3:$N$373,MATCH($B546,'Fuel Model -  Input'!$B$3:$B$373,0),MATCH(J$2,'Fuel Model -  Input'!$B$3:$N$3,0))</f>
        <v>1.05</v>
      </c>
      <c r="K546" s="482">
        <f>+INDEX('Fuel Model -  Input'!$B$3:$N$373,MATCH($B546,'Fuel Model -  Input'!$B$3:$B$373,0),MATCH(K$2,'Fuel Model -  Input'!$B$3:$N$3,0))</f>
        <v>1.05</v>
      </c>
      <c r="L546" s="482">
        <f>+INDEX('Fuel Model -  Input'!$B$3:$N$373,MATCH($B546,'Fuel Model -  Input'!$B$3:$B$373,0),MATCH(L$2,'Fuel Model -  Input'!$B$3:$N$3,0))</f>
        <v>1.05</v>
      </c>
      <c r="M546" s="482">
        <f>+INDEX('Fuel Model -  Input'!$B$3:$N$373,MATCH($B546,'Fuel Model -  Input'!$B$3:$B$373,0),MATCH(M$2,'Fuel Model -  Input'!$B$3:$N$3,0))</f>
        <v>1.05</v>
      </c>
      <c r="N546" s="93"/>
    </row>
    <row r="547" spans="2:14" s="263" customFormat="1" hidden="1" outlineLevel="2" x14ac:dyDescent="0.2">
      <c r="B547" s="157" t="str">
        <f t="shared" ref="B547:B549" si="306">+C547&amp;D547&amp;E547&amp;F547</f>
        <v/>
      </c>
      <c r="C547" s="157"/>
      <c r="D547" s="157"/>
      <c r="E547" s="157"/>
      <c r="F547" s="450"/>
      <c r="G547" s="157"/>
      <c r="H547" s="157"/>
      <c r="I547" s="157"/>
      <c r="J547" s="157"/>
      <c r="K547" s="157"/>
      <c r="L547" s="157"/>
      <c r="M547" s="157"/>
    </row>
    <row r="548" spans="2:14" hidden="1" outlineLevel="2" x14ac:dyDescent="0.2">
      <c r="B548" s="496" t="str">
        <f t="shared" si="306"/>
        <v>GlobalCO2intensityWater CO2 impact on H2 productiontonCO2eq/tonH2</v>
      </c>
      <c r="C548" s="157" t="s">
        <v>109</v>
      </c>
      <c r="D548" s="157" t="s">
        <v>927</v>
      </c>
      <c r="E548" t="s">
        <v>933</v>
      </c>
      <c r="F548" s="157" t="s">
        <v>929</v>
      </c>
      <c r="G548" s="520">
        <f>+G549*G550</f>
        <v>0</v>
      </c>
      <c r="H548" s="520">
        <f t="shared" ref="H548" si="307">+H549*H550</f>
        <v>0</v>
      </c>
      <c r="I548" s="520">
        <f t="shared" ref="I548" si="308">+I549*I550</f>
        <v>0</v>
      </c>
      <c r="J548" s="520">
        <f t="shared" ref="J548" si="309">+J549*J550</f>
        <v>0</v>
      </c>
      <c r="K548" s="520">
        <f t="shared" ref="K548" si="310">+K549*K550</f>
        <v>0</v>
      </c>
      <c r="L548" s="520">
        <f t="shared" ref="L548" si="311">+L549*L550</f>
        <v>0</v>
      </c>
      <c r="M548" s="520">
        <f t="shared" ref="M548" si="312">+M549*M550</f>
        <v>0</v>
      </c>
    </row>
    <row r="549" spans="2:14" hidden="1" outlineLevel="2" x14ac:dyDescent="0.2">
      <c r="B549" s="496" t="str">
        <f t="shared" si="306"/>
        <v>GlobalFeedstockConversion H2O:H2 (actual)ton H2O/ton H2</v>
      </c>
      <c r="C549" t="s">
        <v>109</v>
      </c>
      <c r="D549" t="s">
        <v>777</v>
      </c>
      <c r="E549" t="s">
        <v>898</v>
      </c>
      <c r="F549" s="128" t="s">
        <v>899</v>
      </c>
      <c r="G549" s="521">
        <f>INDEX('Fuel Model -  Input'!$B$3:$N$373,MATCH($B549,'Fuel Model -  Input'!$B$3:$B$373,0),MATCH(G$2,'Fuel Model -  Input'!$B$3:$N$3,0))</f>
        <v>9</v>
      </c>
      <c r="H549" s="521">
        <f>INDEX('Fuel Model -  Input'!$B$3:$N$373,MATCH($B549,'Fuel Model -  Input'!$B$3:$B$373,0),MATCH(H$2,'Fuel Model -  Input'!$B$3:$N$3,0))</f>
        <v>9</v>
      </c>
      <c r="I549" s="521">
        <f>INDEX('Fuel Model -  Input'!$B$3:$N$373,MATCH($B549,'Fuel Model -  Input'!$B$3:$B$373,0),MATCH(I$2,'Fuel Model -  Input'!$B$3:$N$3,0))</f>
        <v>9</v>
      </c>
      <c r="J549" s="521">
        <f>INDEX('Fuel Model -  Input'!$B$3:$N$373,MATCH($B549,'Fuel Model -  Input'!$B$3:$B$373,0),MATCH(J$2,'Fuel Model -  Input'!$B$3:$N$3,0))</f>
        <v>9</v>
      </c>
      <c r="K549" s="521">
        <f>INDEX('Fuel Model -  Input'!$B$3:$N$373,MATCH($B549,'Fuel Model -  Input'!$B$3:$B$373,0),MATCH(K$2,'Fuel Model -  Input'!$B$3:$N$3,0))</f>
        <v>9</v>
      </c>
      <c r="L549" s="521">
        <f>INDEX('Fuel Model -  Input'!$B$3:$N$373,MATCH($B549,'Fuel Model -  Input'!$B$3:$B$373,0),MATCH(L$2,'Fuel Model -  Input'!$B$3:$N$3,0))</f>
        <v>9</v>
      </c>
      <c r="M549" s="521">
        <f>INDEX('Fuel Model -  Input'!$B$3:$N$373,MATCH($B549,'Fuel Model -  Input'!$B$3:$B$373,0),MATCH(M$2,'Fuel Model -  Input'!$B$3:$N$3,0))</f>
        <v>9</v>
      </c>
    </row>
    <row r="550" spans="2:14" hidden="1" outlineLevel="2" x14ac:dyDescent="0.2">
      <c r="B550" s="496" t="str">
        <f>+C550&amp;D550&amp;E550&amp;F550</f>
        <v>GlobalCO2intensityDemineralized watertonCO2eq/tonH2O</v>
      </c>
      <c r="C550" s="157" t="s">
        <v>109</v>
      </c>
      <c r="D550" s="157" t="s">
        <v>927</v>
      </c>
      <c r="E550" s="157" t="s">
        <v>934</v>
      </c>
      <c r="F550" s="157" t="s">
        <v>935</v>
      </c>
      <c r="G550" s="521">
        <f>INDEX('Fuel Model -  Input'!$B$3:$N$373,MATCH($B550,'Fuel Model -  Input'!$B$3:$B$373,0),MATCH(G$2,'Fuel Model -  Input'!$B$3:$N$3,0))</f>
        <v>0</v>
      </c>
      <c r="H550" s="521">
        <f>INDEX('Fuel Model -  Input'!$B$3:$N$373,MATCH($B550,'Fuel Model -  Input'!$B$3:$B$373,0),MATCH(H$2,'Fuel Model -  Input'!$B$3:$N$3,0))</f>
        <v>0</v>
      </c>
      <c r="I550" s="521">
        <f>INDEX('Fuel Model -  Input'!$B$3:$N$373,MATCH($B550,'Fuel Model -  Input'!$B$3:$B$373,0),MATCH(I$2,'Fuel Model -  Input'!$B$3:$N$3,0))</f>
        <v>0</v>
      </c>
      <c r="J550" s="521">
        <f>INDEX('Fuel Model -  Input'!$B$3:$N$373,MATCH($B550,'Fuel Model -  Input'!$B$3:$B$373,0),MATCH(J$2,'Fuel Model -  Input'!$B$3:$N$3,0))</f>
        <v>0</v>
      </c>
      <c r="K550" s="521">
        <f>INDEX('Fuel Model -  Input'!$B$3:$N$373,MATCH($B550,'Fuel Model -  Input'!$B$3:$B$373,0),MATCH(K$2,'Fuel Model -  Input'!$B$3:$N$3,0))</f>
        <v>0</v>
      </c>
      <c r="L550" s="521">
        <f>INDEX('Fuel Model -  Input'!$B$3:$N$373,MATCH($B550,'Fuel Model -  Input'!$B$3:$B$373,0),MATCH(L$2,'Fuel Model -  Input'!$B$3:$N$3,0))</f>
        <v>0</v>
      </c>
      <c r="M550" s="521">
        <f>INDEX('Fuel Model -  Input'!$B$3:$N$373,MATCH($B550,'Fuel Model -  Input'!$B$3:$B$373,0),MATCH(M$2,'Fuel Model -  Input'!$B$3:$N$3,0))</f>
        <v>0</v>
      </c>
    </row>
    <row r="551" spans="2:14" s="263" customFormat="1" hidden="1" outlineLevel="2" x14ac:dyDescent="0.2">
      <c r="B551" s="157" t="str">
        <f t="shared" si="302"/>
        <v/>
      </c>
      <c r="C551" s="157"/>
      <c r="D551" s="157"/>
      <c r="E551" s="157"/>
      <c r="F551" s="450"/>
      <c r="G551" s="157"/>
      <c r="H551" s="157"/>
      <c r="I551" s="157"/>
      <c r="J551" s="157"/>
      <c r="K551" s="157"/>
      <c r="L551" s="157"/>
      <c r="M551" s="157"/>
    </row>
    <row r="552" spans="2:14" s="263" customFormat="1" hidden="1" outlineLevel="2" x14ac:dyDescent="0.2">
      <c r="B552" s="157" t="s">
        <v>936</v>
      </c>
      <c r="C552" s="157" t="s">
        <v>109</v>
      </c>
      <c r="D552" s="157" t="s">
        <v>927</v>
      </c>
      <c r="E552" s="157" t="s">
        <v>54</v>
      </c>
      <c r="F552" s="450" t="s">
        <v>937</v>
      </c>
      <c r="G552" s="341">
        <f>+INDEX('Fuel Model -  Input'!$B$3:$N$373,MATCH($B552,'Fuel Model -  Input'!$B$3:$B$373,0),MATCH(G$2,'Fuel Model -  Input'!$B$3:$N$3,0))</f>
        <v>5.3699999999999998E-3</v>
      </c>
      <c r="H552" s="341">
        <f>+INDEX('Fuel Model -  Input'!$B$3:$N$373,MATCH($B552,'Fuel Model -  Input'!$B$3:$B$373,0),MATCH(H$2,'Fuel Model -  Input'!$B$3:$N$3,0))</f>
        <v>5.3699999999999998E-3</v>
      </c>
      <c r="I552" s="341">
        <f>+INDEX('Fuel Model -  Input'!$B$3:$N$373,MATCH($B552,'Fuel Model -  Input'!$B$3:$B$373,0),MATCH(I$2,'Fuel Model -  Input'!$B$3:$N$3,0))</f>
        <v>5.3699999999999998E-3</v>
      </c>
      <c r="J552" s="341">
        <f>+INDEX('Fuel Model -  Input'!$B$3:$N$373,MATCH($B552,'Fuel Model -  Input'!$B$3:$B$373,0),MATCH(J$2,'Fuel Model -  Input'!$B$3:$N$3,0))</f>
        <v>5.3699999999999998E-3</v>
      </c>
      <c r="K552" s="341">
        <f>+INDEX('Fuel Model -  Input'!$B$3:$N$373,MATCH($B552,'Fuel Model -  Input'!$B$3:$B$373,0),MATCH(K$2,'Fuel Model -  Input'!$B$3:$N$3,0))</f>
        <v>5.3699999999999998E-3</v>
      </c>
      <c r="L552" s="341">
        <f>+INDEX('Fuel Model -  Input'!$B$3:$N$373,MATCH($B552,'Fuel Model -  Input'!$B$3:$B$373,0),MATCH(L$2,'Fuel Model -  Input'!$B$3:$N$3,0))</f>
        <v>5.3699999999999998E-3</v>
      </c>
      <c r="M552" s="341">
        <f>INDEX('Fuel Model -  Input'!$B$3:$N$373,MATCH($B552,'Fuel Model -  Input'!$B$3:$B$373,0),MATCH(M$2,'Fuel Model -  Input'!$B$3:$N$3,0))</f>
        <v>5.3699999999999998E-3</v>
      </c>
    </row>
    <row r="553" spans="2:14" s="263" customFormat="1" hidden="1" outlineLevel="2" x14ac:dyDescent="0.2">
      <c r="B553" s="157" t="s">
        <v>938</v>
      </c>
      <c r="C553" s="157" t="s">
        <v>109</v>
      </c>
      <c r="D553" s="157" t="s">
        <v>927</v>
      </c>
      <c r="E553" s="157" t="s">
        <v>939</v>
      </c>
      <c r="F553" s="450" t="s">
        <v>929</v>
      </c>
      <c r="G553" s="341">
        <f>+INDEX('Fuel Model -  Input'!$B$3:$N$373,MATCH($B553,'Fuel Model -  Input'!$B$3:$B$373,0),MATCH(G$2,'Fuel Model -  Input'!$B$3:$N$3,0))</f>
        <v>0</v>
      </c>
      <c r="H553" s="341">
        <f>+INDEX('Fuel Model -  Input'!$B$3:$N$373,MATCH($B553,'Fuel Model -  Input'!$B$3:$B$373,0),MATCH(H$2,'Fuel Model -  Input'!$B$3:$N$3,0))</f>
        <v>0</v>
      </c>
      <c r="I553" s="341">
        <f>+INDEX('Fuel Model -  Input'!$B$3:$N$373,MATCH($B553,'Fuel Model -  Input'!$B$3:$B$373,0),MATCH(I$2,'Fuel Model -  Input'!$B$3:$N$3,0))</f>
        <v>0</v>
      </c>
      <c r="J553" s="341">
        <f>+INDEX('Fuel Model -  Input'!$B$3:$N$373,MATCH($B553,'Fuel Model -  Input'!$B$3:$B$373,0),MATCH(J$2,'Fuel Model -  Input'!$B$3:$N$3,0))</f>
        <v>0</v>
      </c>
      <c r="K553" s="341">
        <f>+INDEX('Fuel Model -  Input'!$B$3:$N$373,MATCH($B553,'Fuel Model -  Input'!$B$3:$B$373,0),MATCH(K$2,'Fuel Model -  Input'!$B$3:$N$3,0))</f>
        <v>0</v>
      </c>
      <c r="L553" s="341">
        <f>+INDEX('Fuel Model -  Input'!$B$3:$N$373,MATCH($B553,'Fuel Model -  Input'!$B$3:$B$373,0),MATCH(L$2,'Fuel Model -  Input'!$B$3:$N$3,0))</f>
        <v>0</v>
      </c>
      <c r="M553" s="341">
        <f>INDEX('Fuel Model -  Input'!$B$3:$N$373,MATCH($B553,'Fuel Model -  Input'!$B$3:$B$373,0),MATCH(M$2,'Fuel Model -  Input'!$B$3:$N$3,0))</f>
        <v>0</v>
      </c>
    </row>
    <row r="554" spans="2:14" s="263" customFormat="1" hidden="1" outlineLevel="2" x14ac:dyDescent="0.2">
      <c r="B554" s="157" t="s">
        <v>940</v>
      </c>
      <c r="C554" s="157" t="s">
        <v>109</v>
      </c>
      <c r="D554" s="157" t="s">
        <v>927</v>
      </c>
      <c r="E554" s="157" t="s">
        <v>941</v>
      </c>
      <c r="F554" s="450" t="s">
        <v>929</v>
      </c>
      <c r="G554" s="341">
        <f>+INDEX('Fuel Model -  Input'!$B$3:$N$373,MATCH($B554,'Fuel Model -  Input'!$B$3:$B$373,0),MATCH(G$2,'Fuel Model -  Input'!$B$3:$N$3,0))</f>
        <v>0</v>
      </c>
      <c r="H554" s="341">
        <f>+INDEX('Fuel Model -  Input'!$B$3:$N$373,MATCH($B554,'Fuel Model -  Input'!$B$3:$B$373,0),MATCH(H$2,'Fuel Model -  Input'!$B$3:$N$3,0))</f>
        <v>0</v>
      </c>
      <c r="I554" s="341">
        <f>+INDEX('Fuel Model -  Input'!$B$3:$N$373,MATCH($B554,'Fuel Model -  Input'!$B$3:$B$373,0),MATCH(I$2,'Fuel Model -  Input'!$B$3:$N$3,0))</f>
        <v>0</v>
      </c>
      <c r="J554" s="341">
        <f>+INDEX('Fuel Model -  Input'!$B$3:$N$373,MATCH($B554,'Fuel Model -  Input'!$B$3:$B$373,0),MATCH(J$2,'Fuel Model -  Input'!$B$3:$N$3,0))</f>
        <v>0</v>
      </c>
      <c r="K554" s="341">
        <f>+INDEX('Fuel Model -  Input'!$B$3:$N$373,MATCH($B554,'Fuel Model -  Input'!$B$3:$B$373,0),MATCH(K$2,'Fuel Model -  Input'!$B$3:$N$3,0))</f>
        <v>0</v>
      </c>
      <c r="L554" s="341">
        <f>+INDEX('Fuel Model -  Input'!$B$3:$N$373,MATCH($B554,'Fuel Model -  Input'!$B$3:$B$373,0),MATCH(L$2,'Fuel Model -  Input'!$B$3:$N$3,0))</f>
        <v>0</v>
      </c>
      <c r="M554" s="341">
        <f>INDEX('Fuel Model -  Input'!$B$3:$N$373,MATCH($B554,'Fuel Model -  Input'!$B$3:$B$373,0),MATCH(M$2,'Fuel Model -  Input'!$B$3:$N$3,0))</f>
        <v>0</v>
      </c>
    </row>
    <row r="555" spans="2:14" s="263" customFormat="1" hidden="1" outlineLevel="2" x14ac:dyDescent="0.2">
      <c r="B555" s="157" t="s">
        <v>942</v>
      </c>
      <c r="C555" s="157" t="s">
        <v>109</v>
      </c>
      <c r="D555" s="157" t="s">
        <v>927</v>
      </c>
      <c r="E555" s="157" t="s">
        <v>943</v>
      </c>
      <c r="F555" s="450" t="s">
        <v>929</v>
      </c>
      <c r="G555" s="341">
        <f>+INDEX('Fuel Model -  Input'!$B$3:$N$373,MATCH($B555,'Fuel Model -  Input'!$B$3:$B$373,0),MATCH(G$2,'Fuel Model -  Input'!$B$3:$N$3,0))</f>
        <v>0</v>
      </c>
      <c r="H555" s="341">
        <f>+INDEX('Fuel Model -  Input'!$B$3:$N$373,MATCH($B555,'Fuel Model -  Input'!$B$3:$B$373,0),MATCH(H$2,'Fuel Model -  Input'!$B$3:$N$3,0))</f>
        <v>0</v>
      </c>
      <c r="I555" s="341">
        <f>+INDEX('Fuel Model -  Input'!$B$3:$N$373,MATCH($B555,'Fuel Model -  Input'!$B$3:$B$373,0),MATCH(I$2,'Fuel Model -  Input'!$B$3:$N$3,0))</f>
        <v>0</v>
      </c>
      <c r="J555" s="341">
        <f>+INDEX('Fuel Model -  Input'!$B$3:$N$373,MATCH($B555,'Fuel Model -  Input'!$B$3:$B$373,0),MATCH(J$2,'Fuel Model -  Input'!$B$3:$N$3,0))</f>
        <v>0</v>
      </c>
      <c r="K555" s="341">
        <f>+INDEX('Fuel Model -  Input'!$B$3:$N$373,MATCH($B555,'Fuel Model -  Input'!$B$3:$B$373,0),MATCH(K$2,'Fuel Model -  Input'!$B$3:$N$3,0))</f>
        <v>0</v>
      </c>
      <c r="L555" s="341">
        <f>+INDEX('Fuel Model -  Input'!$B$3:$N$373,MATCH($B555,'Fuel Model -  Input'!$B$3:$B$373,0),MATCH(L$2,'Fuel Model -  Input'!$B$3:$N$3,0))</f>
        <v>0</v>
      </c>
      <c r="M555" s="341">
        <f>INDEX('Fuel Model -  Input'!$B$3:$N$373,MATCH($B555,'Fuel Model -  Input'!$B$3:$B$373,0),MATCH(M$2,'Fuel Model -  Input'!$B$3:$N$3,0))</f>
        <v>0</v>
      </c>
    </row>
    <row r="556" spans="2:14" hidden="1" outlineLevel="2" x14ac:dyDescent="0.2"/>
    <row r="557" spans="2:14" ht="15" hidden="1" outlineLevel="1" x14ac:dyDescent="0.25">
      <c r="B557" s="30" t="s">
        <v>944</v>
      </c>
    </row>
    <row r="558" spans="2:14" ht="15" hidden="1" outlineLevel="1" x14ac:dyDescent="0.25">
      <c r="B558" s="257" t="str">
        <f>+C558&amp;D558&amp;E558&amp;F558</f>
        <v>GlobalResultsAverage Primary EE of e-Hydrogen (compressed)%</v>
      </c>
      <c r="C558" s="257" t="s">
        <v>109</v>
      </c>
      <c r="D558" s="257" t="s">
        <v>838</v>
      </c>
      <c r="E558" s="257" t="s">
        <v>945</v>
      </c>
      <c r="F558" s="512" t="s">
        <v>178</v>
      </c>
      <c r="G558" s="513">
        <f t="shared" ref="G558:M558" si="313">SUMPRODUCT(G561:G563,G139:G141)</f>
        <v>0.62090526196973861</v>
      </c>
      <c r="H558" s="513">
        <f t="shared" si="313"/>
        <v>0.62417085168914133</v>
      </c>
      <c r="I558" s="513">
        <f t="shared" si="313"/>
        <v>0.63467726108676525</v>
      </c>
      <c r="J558" s="513">
        <f t="shared" si="313"/>
        <v>0.66141189245873089</v>
      </c>
      <c r="K558" s="513">
        <f t="shared" si="313"/>
        <v>0.69385844908622296</v>
      </c>
      <c r="L558" s="513">
        <f t="shared" si="313"/>
        <v>0.73679503467693408</v>
      </c>
      <c r="M558" s="513">
        <f t="shared" si="313"/>
        <v>0.77295687554154879</v>
      </c>
    </row>
    <row r="559" spans="2:14" hidden="1" outlineLevel="1" collapsed="1" x14ac:dyDescent="0.2"/>
    <row r="560" spans="2:14" hidden="1" outlineLevel="2" x14ac:dyDescent="0.2">
      <c r="B560" t="str">
        <f>+C560&amp;D560&amp;E560&amp;F560</f>
        <v>GlobalConversionsLHVkWh/kg H2</v>
      </c>
      <c r="C560" t="s">
        <v>109</v>
      </c>
      <c r="D560" t="s">
        <v>499</v>
      </c>
      <c r="E560" t="s">
        <v>582</v>
      </c>
      <c r="F560" s="450" t="s">
        <v>896</v>
      </c>
      <c r="G560" s="514">
        <v>33.333333333333336</v>
      </c>
      <c r="H560" s="514">
        <v>33.333333333333336</v>
      </c>
      <c r="I560" s="514">
        <v>33.333333333333336</v>
      </c>
      <c r="J560" s="514">
        <v>33.333333333333336</v>
      </c>
      <c r="K560" s="514">
        <v>33.333333333333336</v>
      </c>
      <c r="L560" s="514">
        <v>33.333333333333336</v>
      </c>
      <c r="M560" s="514">
        <v>33.333333333333336</v>
      </c>
      <c r="N560" s="86"/>
    </row>
    <row r="561" spans="2:14" ht="15" hidden="1" outlineLevel="2" x14ac:dyDescent="0.25">
      <c r="B561" t="str">
        <f>+C561&amp;D561&amp;E561&amp;F561</f>
        <v>GlobalResultsPrimary EE of Compressed H2 (Alk)%</v>
      </c>
      <c r="C561" t="s">
        <v>109</v>
      </c>
      <c r="D561" t="s">
        <v>838</v>
      </c>
      <c r="E561" s="30" t="s">
        <v>946</v>
      </c>
      <c r="F561" s="450" t="s">
        <v>178</v>
      </c>
      <c r="G561" s="86">
        <f t="shared" ref="G561:M561" si="314">G$560/(G208+G192)</f>
        <v>0.65037559348554652</v>
      </c>
      <c r="H561" s="86">
        <f t="shared" si="314"/>
        <v>0.65295461965393409</v>
      </c>
      <c r="I561" s="86">
        <f t="shared" si="314"/>
        <v>0.65554365719872532</v>
      </c>
      <c r="J561" s="86">
        <f t="shared" si="314"/>
        <v>0.65814274326958544</v>
      </c>
      <c r="K561" s="86">
        <f t="shared" si="314"/>
        <v>0.66075191514041964</v>
      </c>
      <c r="L561" s="86">
        <f t="shared" si="314"/>
        <v>0.66337121020967926</v>
      </c>
      <c r="M561" s="86">
        <f t="shared" si="314"/>
        <v>0.6660006660006661</v>
      </c>
    </row>
    <row r="562" spans="2:14" ht="15" hidden="1" outlineLevel="2" x14ac:dyDescent="0.25">
      <c r="B562" t="str">
        <f>+C562&amp;D562&amp;E562&amp;F562</f>
        <v>GlobalResultsPrimary EE of Compressed H2 (PEM)%</v>
      </c>
      <c r="C562" t="s">
        <v>109</v>
      </c>
      <c r="D562" t="s">
        <v>838</v>
      </c>
      <c r="E562" s="30" t="s">
        <v>947</v>
      </c>
      <c r="F562" s="450" t="s">
        <v>178</v>
      </c>
      <c r="G562" s="86">
        <f t="shared" ref="G562:M562" si="315">G560/(G230+G192)</f>
        <v>0.50302393590650685</v>
      </c>
      <c r="H562" s="86">
        <f t="shared" si="315"/>
        <v>0.52042674993494675</v>
      </c>
      <c r="I562" s="86">
        <f t="shared" si="315"/>
        <v>0.53842126281144775</v>
      </c>
      <c r="J562" s="86">
        <f t="shared" si="315"/>
        <v>0.55702686312828686</v>
      </c>
      <c r="K562" s="86">
        <f t="shared" si="315"/>
        <v>0.57626352358604227</v>
      </c>
      <c r="L562" s="86">
        <f t="shared" si="315"/>
        <v>0.59615181496069325</v>
      </c>
      <c r="M562" s="86">
        <f t="shared" si="315"/>
        <v>0.61671292013567691</v>
      </c>
    </row>
    <row r="563" spans="2:14" ht="15" hidden="1" outlineLevel="2" x14ac:dyDescent="0.25">
      <c r="B563" t="str">
        <f>+C563&amp;D563&amp;E563&amp;F563</f>
        <v>GlobalResultsPrimary EE of Compressed H2 (SO)%</v>
      </c>
      <c r="C563" t="s">
        <v>109</v>
      </c>
      <c r="D563" t="s">
        <v>838</v>
      </c>
      <c r="E563" s="30" t="s">
        <v>948</v>
      </c>
      <c r="F563" s="450" t="s">
        <v>178</v>
      </c>
      <c r="G563" s="86">
        <f t="shared" ref="G563:M563" si="316">G560/(G252+G192)</f>
        <v>0.72626744795917397</v>
      </c>
      <c r="H563" s="86">
        <f t="shared" si="316"/>
        <v>0.73991860895301531</v>
      </c>
      <c r="I563" s="86">
        <f t="shared" si="316"/>
        <v>0.7538201261353259</v>
      </c>
      <c r="J563" s="86">
        <f t="shared" si="316"/>
        <v>0.76797635458193847</v>
      </c>
      <c r="K563" s="86">
        <f t="shared" si="316"/>
        <v>0.78239171617233638</v>
      </c>
      <c r="L563" s="86">
        <f t="shared" si="316"/>
        <v>0.7970707002696088</v>
      </c>
      <c r="M563" s="86">
        <f t="shared" si="316"/>
        <v>0.81201786439301671</v>
      </c>
    </row>
    <row r="564" spans="2:14" hidden="1" outlineLevel="2" x14ac:dyDescent="0.2"/>
    <row r="565" spans="2:14" s="157" customFormat="1" ht="15" hidden="1" outlineLevel="1" x14ac:dyDescent="0.25">
      <c r="B565" s="515" t="s">
        <v>949</v>
      </c>
    </row>
    <row r="566" spans="2:14" s="157" customFormat="1" ht="15" hidden="1" outlineLevel="1" x14ac:dyDescent="0.25">
      <c r="B566" s="516" t="str">
        <f>+C566&amp;D566&amp;E566&amp;F566</f>
        <v>GlobalCO2intensityWTT emission - e-Hydrogen (compressed)tonCO2eq/tonH2</v>
      </c>
      <c r="C566" s="516" t="s">
        <v>109</v>
      </c>
      <c r="D566" s="516" t="s">
        <v>927</v>
      </c>
      <c r="E566" s="516" t="s">
        <v>950</v>
      </c>
      <c r="F566" s="516" t="s">
        <v>929</v>
      </c>
      <c r="G566" s="517">
        <f t="shared" ref="G566:M566" si="317">SUMPRODUCT(G568:G570,G139:G141)+G572</f>
        <v>0.29135003961027883</v>
      </c>
      <c r="H566" s="517">
        <f t="shared" si="317"/>
        <v>0.28997999999999996</v>
      </c>
      <c r="I566" s="517">
        <f t="shared" si="317"/>
        <v>0.28613027529683921</v>
      </c>
      <c r="J566" s="517">
        <f t="shared" si="317"/>
        <v>0.27590526085528511</v>
      </c>
      <c r="K566" s="517">
        <f t="shared" si="317"/>
        <v>0.26362599487969951</v>
      </c>
      <c r="L566" s="517">
        <f t="shared" si="317"/>
        <v>0.24727833589356388</v>
      </c>
      <c r="M566" s="517">
        <f t="shared" si="317"/>
        <v>0.23440049999999998</v>
      </c>
    </row>
    <row r="567" spans="2:14" s="157" customFormat="1" hidden="1" outlineLevel="1" collapsed="1" x14ac:dyDescent="0.2">
      <c r="G567" s="518"/>
      <c r="H567" s="518"/>
      <c r="I567" s="518"/>
      <c r="J567" s="518"/>
      <c r="K567" s="518"/>
      <c r="L567" s="518"/>
      <c r="M567" s="518"/>
    </row>
    <row r="568" spans="2:14" s="157" customFormat="1" hidden="1" outlineLevel="2" x14ac:dyDescent="0.2">
      <c r="B568" s="157" t="str">
        <f>+C568&amp;D568&amp;E568&amp;F568</f>
        <v>GlobalCO2intensityHydrogen (Alk)tonCO2eq/tonH2</v>
      </c>
      <c r="C568" s="157" t="s">
        <v>109</v>
      </c>
      <c r="D568" s="157" t="s">
        <v>927</v>
      </c>
      <c r="E568" s="157" t="s">
        <v>930</v>
      </c>
      <c r="F568" s="450" t="s">
        <v>929</v>
      </c>
      <c r="G568" s="518">
        <f t="shared" ref="G568:M568" si="318">G$576*(G208+G192)+G577</f>
        <v>0.27522558010009018</v>
      </c>
      <c r="H568" s="518">
        <f t="shared" si="318"/>
        <v>0.27413849999999995</v>
      </c>
      <c r="I568" s="518">
        <f t="shared" si="318"/>
        <v>0.27305580343024644</v>
      </c>
      <c r="J568" s="518">
        <f t="shared" si="318"/>
        <v>0.27197747271472816</v>
      </c>
      <c r="K568" s="518">
        <f t="shared" si="318"/>
        <v>0.27090349024862048</v>
      </c>
      <c r="L568" s="518">
        <f t="shared" si="318"/>
        <v>0.26983383849808834</v>
      </c>
      <c r="M568" s="518">
        <f t="shared" si="318"/>
        <v>0.26876849999999997</v>
      </c>
      <c r="N568" s="518"/>
    </row>
    <row r="569" spans="2:14" s="157" customFormat="1" hidden="1" outlineLevel="2" x14ac:dyDescent="0.2">
      <c r="B569" s="157" t="str">
        <f>+C569&amp;D569&amp;E569&amp;F569</f>
        <v>GlobalCO2intensityHydrogen (PEM)tonCO2eq/tonH2</v>
      </c>
      <c r="C569" s="157" t="s">
        <v>109</v>
      </c>
      <c r="D569" s="157" t="s">
        <v>927</v>
      </c>
      <c r="E569" s="157" t="s">
        <v>931</v>
      </c>
      <c r="F569" s="450" t="s">
        <v>929</v>
      </c>
      <c r="G569" s="518">
        <f t="shared" ref="G569:M569" si="319">G$576*(G230+G192)+G578</f>
        <v>0.3558478776510336</v>
      </c>
      <c r="H569" s="518">
        <f t="shared" si="319"/>
        <v>0.34394849999999999</v>
      </c>
      <c r="I569" s="518">
        <f t="shared" si="319"/>
        <v>0.33245343815978684</v>
      </c>
      <c r="J569" s="518">
        <f t="shared" si="319"/>
        <v>0.32134895433000893</v>
      </c>
      <c r="K569" s="518">
        <f t="shared" si="319"/>
        <v>0.31062177749182729</v>
      </c>
      <c r="L569" s="518">
        <f t="shared" si="319"/>
        <v>0.30025908754769493</v>
      </c>
      <c r="M569" s="518">
        <f t="shared" si="319"/>
        <v>0.29024849999999996</v>
      </c>
    </row>
    <row r="570" spans="2:14" s="157" customFormat="1" hidden="1" outlineLevel="2" x14ac:dyDescent="0.2">
      <c r="B570" s="157" t="str">
        <f>+C570&amp;D570&amp;E570&amp;F570</f>
        <v>GlobalCO2intensityHydrogen (SO)tonCO2eq/tonH2</v>
      </c>
      <c r="C570" s="157" t="s">
        <v>109</v>
      </c>
      <c r="D570" s="157" t="s">
        <v>927</v>
      </c>
      <c r="E570" s="157" t="s">
        <v>932</v>
      </c>
      <c r="F570" s="450" t="s">
        <v>929</v>
      </c>
      <c r="G570" s="518">
        <f t="shared" ref="G570:M570" si="320">G$576*(G252+G192)+G579</f>
        <v>0.24646567941740136</v>
      </c>
      <c r="H570" s="518">
        <f t="shared" si="320"/>
        <v>0.24191849999999998</v>
      </c>
      <c r="I570" s="518">
        <f t="shared" si="320"/>
        <v>0.2374571781702017</v>
      </c>
      <c r="J570" s="518">
        <f t="shared" si="320"/>
        <v>0.23308009280759928</v>
      </c>
      <c r="K570" s="518">
        <f t="shared" si="320"/>
        <v>0.22878565340097734</v>
      </c>
      <c r="L570" s="518">
        <f t="shared" si="320"/>
        <v>0.22457229947036486</v>
      </c>
      <c r="M570" s="518">
        <f t="shared" si="320"/>
        <v>0.22043849999999998</v>
      </c>
    </row>
    <row r="571" spans="2:14" s="263" customFormat="1" hidden="1" outlineLevel="2" x14ac:dyDescent="0.2">
      <c r="B571" s="157" t="str">
        <f t="shared" ref="B571:B573" si="321">+C571&amp;D571&amp;E571&amp;F571</f>
        <v/>
      </c>
      <c r="C571" s="157"/>
      <c r="D571" s="157"/>
      <c r="E571" s="157"/>
      <c r="F571" s="450"/>
      <c r="G571" s="157"/>
      <c r="H571" s="157"/>
      <c r="I571" s="157"/>
      <c r="J571" s="157"/>
      <c r="K571" s="157"/>
      <c r="L571" s="157"/>
      <c r="M571" s="157"/>
    </row>
    <row r="572" spans="2:14" hidden="1" outlineLevel="2" x14ac:dyDescent="0.2">
      <c r="B572" s="496" t="str">
        <f t="shared" si="321"/>
        <v>GlobalCO2intensityWater CO2 impact on H2 productiontonCO2eq/tonH2</v>
      </c>
      <c r="C572" s="157" t="s">
        <v>109</v>
      </c>
      <c r="D572" s="157" t="s">
        <v>927</v>
      </c>
      <c r="E572" t="s">
        <v>933</v>
      </c>
      <c r="F572" s="157" t="s">
        <v>929</v>
      </c>
      <c r="G572" s="520">
        <f>+G573*G574</f>
        <v>0</v>
      </c>
      <c r="H572" s="520">
        <f t="shared" ref="H572" si="322">+H573*H574</f>
        <v>0</v>
      </c>
      <c r="I572" s="520">
        <f t="shared" ref="I572" si="323">+I573*I574</f>
        <v>0</v>
      </c>
      <c r="J572" s="520">
        <f t="shared" ref="J572" si="324">+J573*J574</f>
        <v>0</v>
      </c>
      <c r="K572" s="520">
        <f t="shared" ref="K572" si="325">+K573*K574</f>
        <v>0</v>
      </c>
      <c r="L572" s="520">
        <f t="shared" ref="L572" si="326">+L573*L574</f>
        <v>0</v>
      </c>
      <c r="M572" s="520">
        <f t="shared" ref="M572" si="327">+M573*M574</f>
        <v>0</v>
      </c>
    </row>
    <row r="573" spans="2:14" hidden="1" outlineLevel="2" x14ac:dyDescent="0.2">
      <c r="B573" s="496" t="str">
        <f t="shared" si="321"/>
        <v>GlobalFeedstockConversion H2O:H2 (actual)ton H2O/ton H2</v>
      </c>
      <c r="C573" t="s">
        <v>109</v>
      </c>
      <c r="D573" t="s">
        <v>777</v>
      </c>
      <c r="E573" t="s">
        <v>898</v>
      </c>
      <c r="F573" s="128" t="s">
        <v>899</v>
      </c>
      <c r="G573" s="521">
        <f>INDEX('Fuel Model -  Input'!$B$3:$N$373,MATCH($B573,'Fuel Model -  Input'!$B$3:$B$373,0),MATCH(G$2,'Fuel Model -  Input'!$B$3:$N$3,0))</f>
        <v>9</v>
      </c>
      <c r="H573" s="521">
        <f>INDEX('Fuel Model -  Input'!$B$3:$N$373,MATCH($B573,'Fuel Model -  Input'!$B$3:$B$373,0),MATCH(H$2,'Fuel Model -  Input'!$B$3:$N$3,0))</f>
        <v>9</v>
      </c>
      <c r="I573" s="521">
        <f>INDEX('Fuel Model -  Input'!$B$3:$N$373,MATCH($B573,'Fuel Model -  Input'!$B$3:$B$373,0),MATCH(I$2,'Fuel Model -  Input'!$B$3:$N$3,0))</f>
        <v>9</v>
      </c>
      <c r="J573" s="521">
        <f>INDEX('Fuel Model -  Input'!$B$3:$N$373,MATCH($B573,'Fuel Model -  Input'!$B$3:$B$373,0),MATCH(J$2,'Fuel Model -  Input'!$B$3:$N$3,0))</f>
        <v>9</v>
      </c>
      <c r="K573" s="521">
        <f>INDEX('Fuel Model -  Input'!$B$3:$N$373,MATCH($B573,'Fuel Model -  Input'!$B$3:$B$373,0),MATCH(K$2,'Fuel Model -  Input'!$B$3:$N$3,0))</f>
        <v>9</v>
      </c>
      <c r="L573" s="521">
        <f>INDEX('Fuel Model -  Input'!$B$3:$N$373,MATCH($B573,'Fuel Model -  Input'!$B$3:$B$373,0),MATCH(L$2,'Fuel Model -  Input'!$B$3:$N$3,0))</f>
        <v>9</v>
      </c>
      <c r="M573" s="521">
        <f>INDEX('Fuel Model -  Input'!$B$3:$N$373,MATCH($B573,'Fuel Model -  Input'!$B$3:$B$373,0),MATCH(M$2,'Fuel Model -  Input'!$B$3:$N$3,0))</f>
        <v>9</v>
      </c>
    </row>
    <row r="574" spans="2:14" hidden="1" outlineLevel="2" x14ac:dyDescent="0.2">
      <c r="B574" s="496" t="str">
        <f>+C574&amp;D574&amp;E574&amp;F574</f>
        <v>GlobalCO2intensityDemineralized watertonCO2eq/tonH2O</v>
      </c>
      <c r="C574" s="157" t="s">
        <v>109</v>
      </c>
      <c r="D574" s="157" t="s">
        <v>927</v>
      </c>
      <c r="E574" s="157" t="s">
        <v>934</v>
      </c>
      <c r="F574" s="157" t="s">
        <v>935</v>
      </c>
      <c r="G574" s="521">
        <f>INDEX('Fuel Model -  Input'!$B$3:$N$373,MATCH($B574,'Fuel Model -  Input'!$B$3:$B$373,0),MATCH(G$2,'Fuel Model -  Input'!$B$3:$N$3,0))</f>
        <v>0</v>
      </c>
      <c r="H574" s="521">
        <f>INDEX('Fuel Model -  Input'!$B$3:$N$373,MATCH($B574,'Fuel Model -  Input'!$B$3:$B$373,0),MATCH(H$2,'Fuel Model -  Input'!$B$3:$N$3,0))</f>
        <v>0</v>
      </c>
      <c r="I574" s="521">
        <f>INDEX('Fuel Model -  Input'!$B$3:$N$373,MATCH($B574,'Fuel Model -  Input'!$B$3:$B$373,0),MATCH(I$2,'Fuel Model -  Input'!$B$3:$N$3,0))</f>
        <v>0</v>
      </c>
      <c r="J574" s="521">
        <f>INDEX('Fuel Model -  Input'!$B$3:$N$373,MATCH($B574,'Fuel Model -  Input'!$B$3:$B$373,0),MATCH(J$2,'Fuel Model -  Input'!$B$3:$N$3,0))</f>
        <v>0</v>
      </c>
      <c r="K574" s="521">
        <f>INDEX('Fuel Model -  Input'!$B$3:$N$373,MATCH($B574,'Fuel Model -  Input'!$B$3:$B$373,0),MATCH(K$2,'Fuel Model -  Input'!$B$3:$N$3,0))</f>
        <v>0</v>
      </c>
      <c r="L574" s="521">
        <f>INDEX('Fuel Model -  Input'!$B$3:$N$373,MATCH($B574,'Fuel Model -  Input'!$B$3:$B$373,0),MATCH(L$2,'Fuel Model -  Input'!$B$3:$N$3,0))</f>
        <v>0</v>
      </c>
      <c r="M574" s="521">
        <f>INDEX('Fuel Model -  Input'!$B$3:$N$373,MATCH($B574,'Fuel Model -  Input'!$B$3:$B$373,0),MATCH(M$2,'Fuel Model -  Input'!$B$3:$N$3,0))</f>
        <v>0</v>
      </c>
    </row>
    <row r="575" spans="2:14" s="157" customFormat="1" hidden="1" outlineLevel="2" x14ac:dyDescent="0.2">
      <c r="B575" s="157" t="str">
        <f>+C575&amp;D575&amp;E575&amp;F575</f>
        <v/>
      </c>
      <c r="F575" s="450"/>
    </row>
    <row r="576" spans="2:14" s="157" customFormat="1" hidden="1" outlineLevel="2" x14ac:dyDescent="0.2">
      <c r="B576" s="157" t="s">
        <v>936</v>
      </c>
      <c r="C576" s="157" t="s">
        <v>109</v>
      </c>
      <c r="D576" s="157" t="s">
        <v>927</v>
      </c>
      <c r="E576" s="157" t="s">
        <v>54</v>
      </c>
      <c r="F576" s="450" t="s">
        <v>937</v>
      </c>
      <c r="G576" s="514">
        <f>+INDEX('Fuel Model -  Input'!$B$3:$N$373,MATCH($B576,'Fuel Model -  Input'!$B$3:$B$373,0),MATCH(G$2,'Fuel Model -  Input'!$B$3:$N$3,0))</f>
        <v>5.3699999999999998E-3</v>
      </c>
      <c r="H576" s="514">
        <f>+INDEX('Fuel Model -  Input'!$B$3:$N$373,MATCH($B576,'Fuel Model -  Input'!$B$3:$B$373,0),MATCH(H$2,'Fuel Model -  Input'!$B$3:$N$3,0))</f>
        <v>5.3699999999999998E-3</v>
      </c>
      <c r="I576" s="514">
        <f>+INDEX('Fuel Model -  Input'!$B$3:$N$373,MATCH($B576,'Fuel Model -  Input'!$B$3:$B$373,0),MATCH(I$2,'Fuel Model -  Input'!$B$3:$N$3,0))</f>
        <v>5.3699999999999998E-3</v>
      </c>
      <c r="J576" s="514">
        <f>+INDEX('Fuel Model -  Input'!$B$3:$N$373,MATCH($B576,'Fuel Model -  Input'!$B$3:$B$373,0),MATCH(J$2,'Fuel Model -  Input'!$B$3:$N$3,0))</f>
        <v>5.3699999999999998E-3</v>
      </c>
      <c r="K576" s="514">
        <f>+INDEX('Fuel Model -  Input'!$B$3:$N$373,MATCH($B576,'Fuel Model -  Input'!$B$3:$B$373,0),MATCH(K$2,'Fuel Model -  Input'!$B$3:$N$3,0))</f>
        <v>5.3699999999999998E-3</v>
      </c>
      <c r="L576" s="514">
        <f>+INDEX('Fuel Model -  Input'!$B$3:$N$373,MATCH($B576,'Fuel Model -  Input'!$B$3:$B$373,0),MATCH(L$2,'Fuel Model -  Input'!$B$3:$N$3,0))</f>
        <v>5.3699999999999998E-3</v>
      </c>
      <c r="M576" s="514">
        <f>INDEX('Fuel Model -  Input'!$B$3:$N$373,MATCH($B576,'Fuel Model -  Input'!$B$3:$B$373,0),MATCH(M$2,'Fuel Model -  Input'!$B$3:$N$3,0))</f>
        <v>5.3699999999999998E-3</v>
      </c>
    </row>
    <row r="577" spans="2:14" s="157" customFormat="1" hidden="1" outlineLevel="2" x14ac:dyDescent="0.2">
      <c r="B577" s="157" t="s">
        <v>938</v>
      </c>
      <c r="C577" s="157" t="s">
        <v>109</v>
      </c>
      <c r="D577" s="157" t="s">
        <v>927</v>
      </c>
      <c r="E577" s="157" t="s">
        <v>939</v>
      </c>
      <c r="F577" s="450" t="s">
        <v>929</v>
      </c>
      <c r="G577" s="514">
        <f>+INDEX('Fuel Model -  Input'!$B$3:$N$373,MATCH($B577,'Fuel Model -  Input'!$B$3:$B$373,0),MATCH(G$2,'Fuel Model -  Input'!$B$3:$N$3,0))</f>
        <v>0</v>
      </c>
      <c r="H577" s="514">
        <f>+INDEX('Fuel Model -  Input'!$B$3:$N$373,MATCH($B577,'Fuel Model -  Input'!$B$3:$B$373,0),MATCH(H$2,'Fuel Model -  Input'!$B$3:$N$3,0))</f>
        <v>0</v>
      </c>
      <c r="I577" s="514">
        <f>+INDEX('Fuel Model -  Input'!$B$3:$N$373,MATCH($B577,'Fuel Model -  Input'!$B$3:$B$373,0),MATCH(I$2,'Fuel Model -  Input'!$B$3:$N$3,0))</f>
        <v>0</v>
      </c>
      <c r="J577" s="514">
        <f>+INDEX('Fuel Model -  Input'!$B$3:$N$373,MATCH($B577,'Fuel Model -  Input'!$B$3:$B$373,0),MATCH(J$2,'Fuel Model -  Input'!$B$3:$N$3,0))</f>
        <v>0</v>
      </c>
      <c r="K577" s="514">
        <f>+INDEX('Fuel Model -  Input'!$B$3:$N$373,MATCH($B577,'Fuel Model -  Input'!$B$3:$B$373,0),MATCH(K$2,'Fuel Model -  Input'!$B$3:$N$3,0))</f>
        <v>0</v>
      </c>
      <c r="L577" s="514">
        <f>+INDEX('Fuel Model -  Input'!$B$3:$N$373,MATCH($B577,'Fuel Model -  Input'!$B$3:$B$373,0),MATCH(L$2,'Fuel Model -  Input'!$B$3:$N$3,0))</f>
        <v>0</v>
      </c>
      <c r="M577" s="514">
        <f>INDEX('Fuel Model -  Input'!$B$3:$N$373,MATCH($B577,'Fuel Model -  Input'!$B$3:$B$373,0),MATCH(M$2,'Fuel Model -  Input'!$B$3:$N$3,0))</f>
        <v>0</v>
      </c>
    </row>
    <row r="578" spans="2:14" s="157" customFormat="1" hidden="1" outlineLevel="2" x14ac:dyDescent="0.2">
      <c r="B578" s="157" t="s">
        <v>940</v>
      </c>
      <c r="C578" s="157" t="s">
        <v>109</v>
      </c>
      <c r="D578" s="157" t="s">
        <v>927</v>
      </c>
      <c r="E578" s="157" t="s">
        <v>941</v>
      </c>
      <c r="F578" s="450" t="s">
        <v>929</v>
      </c>
      <c r="G578" s="514">
        <f>+INDEX('Fuel Model -  Input'!$B$3:$N$373,MATCH($B578,'Fuel Model -  Input'!$B$3:$B$373,0),MATCH(G$2,'Fuel Model -  Input'!$B$3:$N$3,0))</f>
        <v>0</v>
      </c>
      <c r="H578" s="514">
        <f>+INDEX('Fuel Model -  Input'!$B$3:$N$373,MATCH($B578,'Fuel Model -  Input'!$B$3:$B$373,0),MATCH(H$2,'Fuel Model -  Input'!$B$3:$N$3,0))</f>
        <v>0</v>
      </c>
      <c r="I578" s="514">
        <f>+INDEX('Fuel Model -  Input'!$B$3:$N$373,MATCH($B578,'Fuel Model -  Input'!$B$3:$B$373,0),MATCH(I$2,'Fuel Model -  Input'!$B$3:$N$3,0))</f>
        <v>0</v>
      </c>
      <c r="J578" s="514">
        <f>+INDEX('Fuel Model -  Input'!$B$3:$N$373,MATCH($B578,'Fuel Model -  Input'!$B$3:$B$373,0),MATCH(J$2,'Fuel Model -  Input'!$B$3:$N$3,0))</f>
        <v>0</v>
      </c>
      <c r="K578" s="514">
        <f>+INDEX('Fuel Model -  Input'!$B$3:$N$373,MATCH($B578,'Fuel Model -  Input'!$B$3:$B$373,0),MATCH(K$2,'Fuel Model -  Input'!$B$3:$N$3,0))</f>
        <v>0</v>
      </c>
      <c r="L578" s="514">
        <f>+INDEX('Fuel Model -  Input'!$B$3:$N$373,MATCH($B578,'Fuel Model -  Input'!$B$3:$B$373,0),MATCH(L$2,'Fuel Model -  Input'!$B$3:$N$3,0))</f>
        <v>0</v>
      </c>
      <c r="M578" s="514">
        <f>INDEX('Fuel Model -  Input'!$B$3:$N$373,MATCH($B578,'Fuel Model -  Input'!$B$3:$B$373,0),MATCH(M$2,'Fuel Model -  Input'!$B$3:$N$3,0))</f>
        <v>0</v>
      </c>
    </row>
    <row r="579" spans="2:14" s="157" customFormat="1" hidden="1" outlineLevel="2" x14ac:dyDescent="0.2">
      <c r="B579" s="157" t="s">
        <v>942</v>
      </c>
      <c r="C579" s="157" t="s">
        <v>109</v>
      </c>
      <c r="D579" s="157" t="s">
        <v>927</v>
      </c>
      <c r="E579" s="157" t="s">
        <v>943</v>
      </c>
      <c r="F579" s="450" t="s">
        <v>929</v>
      </c>
      <c r="G579" s="514">
        <f>+INDEX('Fuel Model -  Input'!$B$3:$N$373,MATCH($B579,'Fuel Model -  Input'!$B$3:$B$373,0),MATCH(G$2,'Fuel Model -  Input'!$B$3:$N$3,0))</f>
        <v>0</v>
      </c>
      <c r="H579" s="514">
        <f>+INDEX('Fuel Model -  Input'!$B$3:$N$373,MATCH($B579,'Fuel Model -  Input'!$B$3:$B$373,0),MATCH(H$2,'Fuel Model -  Input'!$B$3:$N$3,0))</f>
        <v>0</v>
      </c>
      <c r="I579" s="514">
        <f>+INDEX('Fuel Model -  Input'!$B$3:$N$373,MATCH($B579,'Fuel Model -  Input'!$B$3:$B$373,0),MATCH(I$2,'Fuel Model -  Input'!$B$3:$N$3,0))</f>
        <v>0</v>
      </c>
      <c r="J579" s="514">
        <f>+INDEX('Fuel Model -  Input'!$B$3:$N$373,MATCH($B579,'Fuel Model -  Input'!$B$3:$B$373,0),MATCH(J$2,'Fuel Model -  Input'!$B$3:$N$3,0))</f>
        <v>0</v>
      </c>
      <c r="K579" s="514">
        <f>+INDEX('Fuel Model -  Input'!$B$3:$N$373,MATCH($B579,'Fuel Model -  Input'!$B$3:$B$373,0),MATCH(K$2,'Fuel Model -  Input'!$B$3:$N$3,0))</f>
        <v>0</v>
      </c>
      <c r="L579" s="514">
        <f>+INDEX('Fuel Model -  Input'!$B$3:$N$373,MATCH($B579,'Fuel Model -  Input'!$B$3:$B$373,0),MATCH(L$2,'Fuel Model -  Input'!$B$3:$N$3,0))</f>
        <v>0</v>
      </c>
      <c r="M579" s="514">
        <f>INDEX('Fuel Model -  Input'!$B$3:$N$373,MATCH($B579,'Fuel Model -  Input'!$B$3:$B$373,0),MATCH(M$2,'Fuel Model -  Input'!$B$3:$N$3,0))</f>
        <v>0</v>
      </c>
    </row>
    <row r="580" spans="2:14" hidden="1" outlineLevel="2" x14ac:dyDescent="0.2">
      <c r="G580" s="520"/>
      <c r="H580" s="520"/>
      <c r="I580" s="520"/>
      <c r="J580" s="520"/>
      <c r="K580" s="520"/>
      <c r="L580" s="520"/>
      <c r="M580" s="520"/>
    </row>
    <row r="581" spans="2:14" ht="15" thickBot="1" x14ac:dyDescent="0.25"/>
    <row r="582" spans="2:14" s="466" customFormat="1" ht="15.75" collapsed="1" thickBot="1" x14ac:dyDescent="0.3">
      <c r="B582" s="463" t="s">
        <v>121</v>
      </c>
      <c r="C582" s="464" t="str">
        <f>+B582</f>
        <v>e-Ammonia</v>
      </c>
      <c r="D582" s="465"/>
      <c r="E582" s="465"/>
      <c r="F582" s="465"/>
      <c r="G582" s="738">
        <v>2020</v>
      </c>
      <c r="H582" s="738">
        <v>2025</v>
      </c>
      <c r="I582" s="738">
        <v>2030</v>
      </c>
      <c r="J582" s="738">
        <v>2035</v>
      </c>
      <c r="K582" s="738">
        <v>2040</v>
      </c>
      <c r="L582" s="738">
        <v>2045</v>
      </c>
      <c r="M582" s="739">
        <v>2050</v>
      </c>
    </row>
    <row r="583" spans="2:14" ht="15" hidden="1" outlineLevel="1" x14ac:dyDescent="0.25">
      <c r="B583" t="str">
        <f>+C583&amp;D583&amp;E583&amp;F583</f>
        <v>EuropeResultsCost of e-AmmoniaUSD/ton</v>
      </c>
      <c r="C583" t="s">
        <v>195</v>
      </c>
      <c r="D583" t="s">
        <v>838</v>
      </c>
      <c r="E583" s="30" t="s">
        <v>951</v>
      </c>
      <c r="F583" s="522" t="s">
        <v>205</v>
      </c>
      <c r="G583" s="8">
        <f t="shared" ref="G583:M583" si="328">+G596</f>
        <v>1299.9763694826606</v>
      </c>
      <c r="H583" s="8">
        <f t="shared" si="328"/>
        <v>975.85241126214839</v>
      </c>
      <c r="I583" s="8">
        <f t="shared" si="328"/>
        <v>681.3435551729815</v>
      </c>
      <c r="J583" s="8">
        <f t="shared" si="328"/>
        <v>625.04300782551695</v>
      </c>
      <c r="K583" s="8">
        <f t="shared" si="328"/>
        <v>553.48323465102544</v>
      </c>
      <c r="L583" s="8">
        <f t="shared" si="328"/>
        <v>463.15315252931612</v>
      </c>
      <c r="M583" s="8">
        <f t="shared" si="328"/>
        <v>378.6560077689096</v>
      </c>
      <c r="N583" s="93"/>
    </row>
    <row r="584" spans="2:14" ht="15" hidden="1" outlineLevel="1" x14ac:dyDescent="0.25">
      <c r="B584" t="str">
        <f>+C584&amp;D584&amp;E584&amp;F584</f>
        <v>Middle EastResultsCost of e-AmmoniaUSD/ton</v>
      </c>
      <c r="C584" t="s">
        <v>197</v>
      </c>
      <c r="D584" t="s">
        <v>838</v>
      </c>
      <c r="E584" s="30" t="s">
        <v>951</v>
      </c>
      <c r="F584" s="522" t="s">
        <v>205</v>
      </c>
      <c r="G584" s="8">
        <f t="shared" ref="G584:M584" si="329">+G623</f>
        <v>1170.9371064301235</v>
      </c>
      <c r="H584" s="8">
        <f t="shared" si="329"/>
        <v>870.20053826706749</v>
      </c>
      <c r="I584" s="8">
        <f t="shared" si="329"/>
        <v>607.1539121293182</v>
      </c>
      <c r="J584" s="8">
        <f t="shared" si="329"/>
        <v>550.34568374823107</v>
      </c>
      <c r="K584" s="8">
        <f t="shared" si="329"/>
        <v>483.59947067365954</v>
      </c>
      <c r="L584" s="8">
        <f t="shared" si="329"/>
        <v>395.03128847804248</v>
      </c>
      <c r="M584" s="8">
        <f t="shared" si="329"/>
        <v>317.68930917212833</v>
      </c>
    </row>
    <row r="585" spans="2:14" ht="15" hidden="1" outlineLevel="1" x14ac:dyDescent="0.25">
      <c r="B585" t="str">
        <f>+C585&amp;D585&amp;E585&amp;F585</f>
        <v>AsiaResultsCost of e-AmmoniaUSD/ton</v>
      </c>
      <c r="C585" t="s">
        <v>198</v>
      </c>
      <c r="D585" t="s">
        <v>838</v>
      </c>
      <c r="E585" s="30" t="s">
        <v>951</v>
      </c>
      <c r="F585" s="522" t="s">
        <v>205</v>
      </c>
      <c r="G585" s="8">
        <f t="shared" ref="G585:M585" si="330">+G650</f>
        <v>1579.580653096117</v>
      </c>
      <c r="H585" s="8">
        <f t="shared" si="330"/>
        <v>1070.6095575287031</v>
      </c>
      <c r="I585" s="8">
        <f t="shared" si="330"/>
        <v>756.71816501814601</v>
      </c>
      <c r="J585" s="8">
        <f t="shared" si="330"/>
        <v>664.41540750671697</v>
      </c>
      <c r="K585" s="8">
        <f t="shared" si="330"/>
        <v>577.77837099894293</v>
      </c>
      <c r="L585" s="8">
        <f t="shared" si="330"/>
        <v>473.23342036378403</v>
      </c>
      <c r="M585" s="8">
        <f t="shared" si="330"/>
        <v>387.67660179884467</v>
      </c>
    </row>
    <row r="586" spans="2:14" ht="15" hidden="1" outlineLevel="1" x14ac:dyDescent="0.25">
      <c r="B586" t="str">
        <f>+C586&amp;D586&amp;E586&amp;F586</f>
        <v>AmericasResultsCost of e-AmmoniaUSD/ton</v>
      </c>
      <c r="C586" t="s">
        <v>199</v>
      </c>
      <c r="D586" t="s">
        <v>838</v>
      </c>
      <c r="E586" s="30" t="s">
        <v>951</v>
      </c>
      <c r="F586" s="522" t="s">
        <v>205</v>
      </c>
      <c r="G586" s="8">
        <f t="shared" ref="G586:M586" si="331">+G677</f>
        <v>1140.8567734101616</v>
      </c>
      <c r="H586" s="8">
        <f t="shared" si="331"/>
        <v>884.53680883894754</v>
      </c>
      <c r="I586" s="8">
        <f t="shared" si="331"/>
        <v>611.16932982120011</v>
      </c>
      <c r="J586" s="8">
        <f t="shared" si="331"/>
        <v>561.21143844507924</v>
      </c>
      <c r="K586" s="8">
        <f t="shared" si="331"/>
        <v>488.51686019227998</v>
      </c>
      <c r="L586" s="8">
        <f t="shared" si="331"/>
        <v>412.69597178014686</v>
      </c>
      <c r="M586" s="8">
        <f t="shared" si="331"/>
        <v>337.88706313586761</v>
      </c>
    </row>
    <row r="587" spans="2:14" ht="15" hidden="1" outlineLevel="1" x14ac:dyDescent="0.25">
      <c r="B587" t="str">
        <f>+C587&amp;D587&amp;E587&amp;F587</f>
        <v>AfricaResultsCost of e-AmmoniaUSD/ton</v>
      </c>
      <c r="C587" t="s">
        <v>200</v>
      </c>
      <c r="D587" t="s">
        <v>838</v>
      </c>
      <c r="E587" s="30" t="s">
        <v>951</v>
      </c>
      <c r="F587" s="522" t="s">
        <v>205</v>
      </c>
      <c r="G587" s="8">
        <f t="shared" ref="G587:M587" si="332">+G704</f>
        <v>1547.9977565539616</v>
      </c>
      <c r="H587" s="8">
        <f t="shared" si="332"/>
        <v>980.90564739867068</v>
      </c>
      <c r="I587" s="8">
        <f t="shared" si="332"/>
        <v>674.93923904910912</v>
      </c>
      <c r="J587" s="8">
        <f t="shared" si="332"/>
        <v>601.10876472462655</v>
      </c>
      <c r="K587" s="8">
        <f t="shared" si="332"/>
        <v>526.65899178944085</v>
      </c>
      <c r="L587" s="8">
        <f t="shared" si="332"/>
        <v>434.89099372861284</v>
      </c>
      <c r="M587" s="8">
        <f t="shared" si="332"/>
        <v>354.79640510213147</v>
      </c>
    </row>
    <row r="588" spans="2:14" ht="15" hidden="1" outlineLevel="1" x14ac:dyDescent="0.25">
      <c r="E588" s="30"/>
      <c r="F588" s="522"/>
      <c r="G588" s="8"/>
      <c r="H588" s="8"/>
      <c r="I588" s="8"/>
      <c r="J588" s="8"/>
      <c r="K588" s="8"/>
      <c r="L588" s="8"/>
      <c r="M588" s="8"/>
    </row>
    <row r="589" spans="2:14" ht="15" hidden="1" outlineLevel="1" x14ac:dyDescent="0.25">
      <c r="B589" t="str">
        <f>+C589&amp;D589&amp;E589&amp;F589</f>
        <v>EuropeResultsCost of RNE e-AmmoniaUSD/ton</v>
      </c>
      <c r="C589" t="s">
        <v>195</v>
      </c>
      <c r="D589" t="s">
        <v>838</v>
      </c>
      <c r="E589" s="30" t="s">
        <v>952</v>
      </c>
      <c r="F589" s="522" t="s">
        <v>205</v>
      </c>
      <c r="G589" s="8">
        <f>+G599</f>
        <v>546.83452917690215</v>
      </c>
      <c r="H589" s="8">
        <f t="shared" ref="H589:M589" si="333">+H599</f>
        <v>440.45628938322193</v>
      </c>
      <c r="I589" s="8">
        <f t="shared" si="333"/>
        <v>351.91337864319445</v>
      </c>
      <c r="J589" s="8">
        <f t="shared" si="333"/>
        <v>306.43496560178272</v>
      </c>
      <c r="K589" s="8">
        <f t="shared" si="333"/>
        <v>274.18019545708717</v>
      </c>
      <c r="L589" s="8">
        <f t="shared" si="333"/>
        <v>238.56945745420492</v>
      </c>
      <c r="M589" s="8">
        <f t="shared" si="333"/>
        <v>213.29403900247559</v>
      </c>
      <c r="N589" s="93"/>
    </row>
    <row r="590" spans="2:14" ht="15" hidden="1" outlineLevel="1" x14ac:dyDescent="0.25">
      <c r="B590" t="str">
        <f>+C590&amp;D590&amp;E590&amp;F590</f>
        <v>Middle EastResultsCost of RNE e-AmmoniaUSD/ton</v>
      </c>
      <c r="C590" t="s">
        <v>197</v>
      </c>
      <c r="D590" t="s">
        <v>838</v>
      </c>
      <c r="E590" s="30" t="s">
        <v>952</v>
      </c>
      <c r="F590" s="522" t="s">
        <v>205</v>
      </c>
      <c r="G590" s="8">
        <f>+G626</f>
        <v>419.87909535112942</v>
      </c>
      <c r="H590" s="8">
        <f t="shared" ref="H590:M590" si="334">+H626</f>
        <v>336.51829860320959</v>
      </c>
      <c r="I590" s="8">
        <f t="shared" si="334"/>
        <v>278.94276006223765</v>
      </c>
      <c r="J590" s="8">
        <f t="shared" si="334"/>
        <v>233.00854307747829</v>
      </c>
      <c r="K590" s="8">
        <f t="shared" si="334"/>
        <v>205.53833604097534</v>
      </c>
      <c r="L590" s="8">
        <f t="shared" si="334"/>
        <v>171.73440922932409</v>
      </c>
      <c r="M590" s="8">
        <f t="shared" si="334"/>
        <v>153.53909721219756</v>
      </c>
    </row>
    <row r="591" spans="2:14" ht="15" hidden="1" outlineLevel="1" x14ac:dyDescent="0.25">
      <c r="B591" t="str">
        <f>+C591&amp;D591&amp;E591&amp;F591</f>
        <v>AsiaResultsCost of RNE e-AmmoniaUSD/ton</v>
      </c>
      <c r="C591" t="s">
        <v>198</v>
      </c>
      <c r="D591" t="s">
        <v>838</v>
      </c>
      <c r="E591" s="30" t="s">
        <v>952</v>
      </c>
      <c r="F591" s="522" t="s">
        <v>205</v>
      </c>
      <c r="G591" s="8">
        <f>+G653</f>
        <v>821.92353918805111</v>
      </c>
      <c r="H591" s="8">
        <f t="shared" ref="H591:M591" si="335">+H653</f>
        <v>533.67628743713237</v>
      </c>
      <c r="I591" s="8">
        <f t="shared" si="335"/>
        <v>426.04949360553348</v>
      </c>
      <c r="J591" s="8">
        <f t="shared" si="335"/>
        <v>345.13748259953246</v>
      </c>
      <c r="K591" s="8">
        <f t="shared" si="335"/>
        <v>298.04358287035166</v>
      </c>
      <c r="L591" s="8">
        <f t="shared" si="335"/>
        <v>248.45930994457848</v>
      </c>
      <c r="M591" s="8">
        <f t="shared" si="335"/>
        <v>222.13534226440024</v>
      </c>
    </row>
    <row r="592" spans="2:14" ht="15" hidden="1" outlineLevel="1" x14ac:dyDescent="0.25">
      <c r="B592" t="str">
        <f>+C592&amp;D592&amp;E592&amp;F592</f>
        <v>AmericasResultsCost of RNE e-AmmoniaUSD/ton</v>
      </c>
      <c r="C592" t="s">
        <v>199</v>
      </c>
      <c r="D592" t="s">
        <v>838</v>
      </c>
      <c r="E592" s="30" t="s">
        <v>952</v>
      </c>
      <c r="F592" s="522" t="s">
        <v>205</v>
      </c>
      <c r="G592" s="8">
        <f>+G680</f>
        <v>390.28452360734826</v>
      </c>
      <c r="H592" s="8">
        <f t="shared" ref="H592:M592" si="336">+H680</f>
        <v>350.62200652885326</v>
      </c>
      <c r="I592" s="8">
        <f t="shared" si="336"/>
        <v>282.89219964459397</v>
      </c>
      <c r="J592" s="8">
        <f t="shared" si="336"/>
        <v>243.68942763755615</v>
      </c>
      <c r="K592" s="8">
        <f t="shared" si="336"/>
        <v>210.36833861697755</v>
      </c>
      <c r="L592" s="8">
        <f t="shared" si="336"/>
        <v>189.06540826782322</v>
      </c>
      <c r="M592" s="8">
        <f t="shared" si="336"/>
        <v>173.33540634777731</v>
      </c>
    </row>
    <row r="593" spans="2:13" ht="15" hidden="1" outlineLevel="1" x14ac:dyDescent="0.25">
      <c r="B593" t="str">
        <f>+C593&amp;D593&amp;E593&amp;F593</f>
        <v>AfricaResultsCost of RNE e-AmmoniaUSD/ton</v>
      </c>
      <c r="C593" t="s">
        <v>200</v>
      </c>
      <c r="D593" t="s">
        <v>838</v>
      </c>
      <c r="E593" s="30" t="s">
        <v>952</v>
      </c>
      <c r="F593" s="522" t="s">
        <v>205</v>
      </c>
      <c r="G593" s="8">
        <f>+G707</f>
        <v>790.85066851959925</v>
      </c>
      <c r="H593" s="8">
        <f t="shared" ref="H593:M593" si="337">+H707</f>
        <v>445.42755204121107</v>
      </c>
      <c r="I593" s="8">
        <f t="shared" si="337"/>
        <v>345.6142930838808</v>
      </c>
      <c r="J593" s="8">
        <f t="shared" si="337"/>
        <v>282.90794012350602</v>
      </c>
      <c r="K593" s="8">
        <f t="shared" si="337"/>
        <v>247.83264628894452</v>
      </c>
      <c r="L593" s="8">
        <f t="shared" si="337"/>
        <v>210.8411682670137</v>
      </c>
      <c r="M593" s="8">
        <f t="shared" si="337"/>
        <v>189.90866302989895</v>
      </c>
    </row>
    <row r="594" spans="2:13" hidden="1" outlineLevel="1" x14ac:dyDescent="0.2">
      <c r="E594" s="522"/>
      <c r="F594" s="522"/>
      <c r="G594" s="8"/>
      <c r="H594" s="8"/>
      <c r="I594" s="8"/>
      <c r="J594" s="8"/>
      <c r="K594" s="8"/>
      <c r="L594" s="8"/>
      <c r="M594" s="8"/>
    </row>
    <row r="595" spans="2:13" s="30" customFormat="1" ht="15" hidden="1" outlineLevel="1" collapsed="1" x14ac:dyDescent="0.25">
      <c r="B595" s="30" t="s">
        <v>195</v>
      </c>
      <c r="C595" s="30" t="str">
        <f>+B595</f>
        <v>Europe</v>
      </c>
    </row>
    <row r="596" spans="2:13" ht="15" hidden="1" outlineLevel="2" x14ac:dyDescent="0.25">
      <c r="B596" t="str">
        <f>+C596&amp;D596&amp;E596&amp;F596</f>
        <v>EuropeResultsCost of e-AmmoniaUSD/ton</v>
      </c>
      <c r="C596" t="str">
        <f>+$B$595</f>
        <v>Europe</v>
      </c>
      <c r="D596" s="30" t="s">
        <v>838</v>
      </c>
      <c r="E596" s="30" t="s">
        <v>951</v>
      </c>
      <c r="F596" s="522" t="s">
        <v>205</v>
      </c>
      <c r="G596" s="490">
        <f t="shared" ref="G596:M596" si="338">SUM(G597:G599)</f>
        <v>1299.9763694826606</v>
      </c>
      <c r="H596" s="490">
        <f t="shared" si="338"/>
        <v>975.85241126214839</v>
      </c>
      <c r="I596" s="490">
        <f t="shared" si="338"/>
        <v>681.3435551729815</v>
      </c>
      <c r="J596" s="490">
        <f t="shared" si="338"/>
        <v>625.04300782551695</v>
      </c>
      <c r="K596" s="490">
        <f t="shared" si="338"/>
        <v>553.48323465102544</v>
      </c>
      <c r="L596" s="490">
        <f t="shared" si="338"/>
        <v>463.15315252931612</v>
      </c>
      <c r="M596" s="490">
        <f t="shared" si="338"/>
        <v>378.6560077689096</v>
      </c>
    </row>
    <row r="597" spans="2:13" ht="15" hidden="1" outlineLevel="2" x14ac:dyDescent="0.25">
      <c r="B597" t="str">
        <f>+C597&amp;D597&amp;E597&amp;F597</f>
        <v>EuropeResultsTotal Capex e-AmmoniaUSD/ton</v>
      </c>
      <c r="C597" t="str">
        <f>+$B$595</f>
        <v>Europe</v>
      </c>
      <c r="D597" s="30" t="s">
        <v>838</v>
      </c>
      <c r="E597" s="228" t="s">
        <v>953</v>
      </c>
      <c r="F597" s="522" t="s">
        <v>205</v>
      </c>
      <c r="G597" s="490">
        <f>G601+G616*G618</f>
        <v>401.9714813049178</v>
      </c>
      <c r="H597" s="490">
        <f t="shared" ref="H597:M597" si="339">H601+H616*H618</f>
        <v>280.47850076103509</v>
      </c>
      <c r="I597" s="490">
        <f t="shared" si="339"/>
        <v>167.58996355417977</v>
      </c>
      <c r="J597" s="490">
        <f t="shared" si="339"/>
        <v>170.13389154228602</v>
      </c>
      <c r="K597" s="490">
        <f t="shared" si="339"/>
        <v>157.55745030712239</v>
      </c>
      <c r="L597" s="490">
        <f t="shared" si="339"/>
        <v>132.75462219683968</v>
      </c>
      <c r="M597" s="490">
        <f t="shared" si="339"/>
        <v>100.03044140030443</v>
      </c>
    </row>
    <row r="598" spans="2:13" ht="15" hidden="1" outlineLevel="2" x14ac:dyDescent="0.25">
      <c r="B598" t="str">
        <f>+C598&amp;D598&amp;E598&amp;F598</f>
        <v>EuropeResultsTotal Opex e-AmmoniaUSD/ton</v>
      </c>
      <c r="C598" t="str">
        <f>+$B$595</f>
        <v>Europe</v>
      </c>
      <c r="D598" s="30" t="s">
        <v>838</v>
      </c>
      <c r="E598" s="228" t="s">
        <v>954</v>
      </c>
      <c r="F598" s="522" t="s">
        <v>205</v>
      </c>
      <c r="G598" s="490">
        <f>+G605+G612+G616*(1-SUM(G617:G618))</f>
        <v>351.17035900084079</v>
      </c>
      <c r="H598" s="490">
        <f t="shared" ref="H598:M598" si="340">+H605+H612+H616*(1-SUM(H617:H618))</f>
        <v>254.91762111789137</v>
      </c>
      <c r="I598" s="490">
        <f t="shared" si="340"/>
        <v>161.84021297560736</v>
      </c>
      <c r="J598" s="490">
        <f t="shared" si="340"/>
        <v>148.47415068144818</v>
      </c>
      <c r="K598" s="490">
        <f t="shared" si="340"/>
        <v>121.74558888681587</v>
      </c>
      <c r="L598" s="490">
        <f t="shared" si="340"/>
        <v>91.829072878271518</v>
      </c>
      <c r="M598" s="490">
        <f t="shared" si="340"/>
        <v>65.331527366129563</v>
      </c>
    </row>
    <row r="599" spans="2:13" ht="15" hidden="1" outlineLevel="2" x14ac:dyDescent="0.25">
      <c r="B599" t="str">
        <f>+C599&amp;D599&amp;E599&amp;F599</f>
        <v>EuropeResultsTotal RNE e-AmmoniaUSD/ton</v>
      </c>
      <c r="C599" t="str">
        <f>+$B$595</f>
        <v>Europe</v>
      </c>
      <c r="D599" s="30" t="s">
        <v>838</v>
      </c>
      <c r="E599" s="228" t="s">
        <v>955</v>
      </c>
      <c r="F599" s="522" t="s">
        <v>205</v>
      </c>
      <c r="G599" s="490">
        <f>+G608+G616*G617</f>
        <v>546.83452917690215</v>
      </c>
      <c r="H599" s="490">
        <f t="shared" ref="H599:M599" si="341">+H608+H616*H617</f>
        <v>440.45628938322193</v>
      </c>
      <c r="I599" s="490">
        <f t="shared" si="341"/>
        <v>351.91337864319445</v>
      </c>
      <c r="J599" s="490">
        <f t="shared" si="341"/>
        <v>306.43496560178272</v>
      </c>
      <c r="K599" s="490">
        <f t="shared" si="341"/>
        <v>274.18019545708717</v>
      </c>
      <c r="L599" s="490">
        <f t="shared" si="341"/>
        <v>238.56945745420492</v>
      </c>
      <c r="M599" s="490">
        <f t="shared" si="341"/>
        <v>213.29403900247559</v>
      </c>
    </row>
    <row r="600" spans="2:13" hidden="1" outlineLevel="2" x14ac:dyDescent="0.2">
      <c r="E600" s="48"/>
      <c r="F600" s="128"/>
      <c r="G600" s="8"/>
      <c r="H600" s="8"/>
      <c r="I600" s="8"/>
      <c r="J600" s="8"/>
      <c r="K600" s="8"/>
      <c r="L600" s="8"/>
      <c r="M600" s="8"/>
    </row>
    <row r="601" spans="2:13" hidden="1" outlineLevel="2" x14ac:dyDescent="0.2">
      <c r="B601" t="str">
        <f>+C601&amp;D601&amp;E601&amp;F601</f>
        <v>EuropeCapexCapex per yearUSD m/year</v>
      </c>
      <c r="C601" t="str">
        <f>+$B$595</f>
        <v>Europe</v>
      </c>
      <c r="D601" t="s">
        <v>218</v>
      </c>
      <c r="E601" t="s">
        <v>956</v>
      </c>
      <c r="F601" s="128" t="s">
        <v>957</v>
      </c>
      <c r="G601" s="523">
        <f t="shared" ref="G601:M601" si="342">G603/G602</f>
        <v>251.75000000000006</v>
      </c>
      <c r="H601" s="523">
        <f t="shared" si="342"/>
        <v>154.58333333333337</v>
      </c>
      <c r="I601" s="523">
        <f t="shared" si="342"/>
        <v>57.416666666666679</v>
      </c>
      <c r="J601" s="523">
        <f t="shared" si="342"/>
        <v>54.104166666666679</v>
      </c>
      <c r="K601" s="523">
        <f t="shared" si="342"/>
        <v>50.791666666666679</v>
      </c>
      <c r="L601" s="523">
        <f t="shared" si="342"/>
        <v>47.479166666666679</v>
      </c>
      <c r="M601" s="523">
        <f t="shared" si="342"/>
        <v>44.166666666666679</v>
      </c>
    </row>
    <row r="602" spans="2:13" hidden="1" outlineLevel="2" x14ac:dyDescent="0.2">
      <c r="B602" t="str">
        <f>+C602&amp;D602&amp;E602&amp;F602</f>
        <v>GlobalPlant capexAnnualisation factor#</v>
      </c>
      <c r="C602" t="s">
        <v>109</v>
      </c>
      <c r="D602" t="s">
        <v>786</v>
      </c>
      <c r="E602" t="s">
        <v>764</v>
      </c>
      <c r="F602" s="450" t="s">
        <v>787</v>
      </c>
      <c r="G602" s="491">
        <f>INDEX('Fuel Model -  Input'!$B$3:$N$373,MATCH($B602,'Fuel Model -  Input'!$B$3:$B$373,0),MATCH(G$2,'Fuel Model -  Input'!$B$3:$N$3,0))</f>
        <v>11.32075471698113</v>
      </c>
      <c r="H602" s="491">
        <f>INDEX('Fuel Model -  Input'!$B$3:$N$373,MATCH($B602,'Fuel Model -  Input'!$B$3:$B$373,0),MATCH(H$2,'Fuel Model -  Input'!$B$3:$N$3,0))</f>
        <v>11.32075471698113</v>
      </c>
      <c r="I602" s="491">
        <f>INDEX('Fuel Model -  Input'!$B$3:$N$373,MATCH($B602,'Fuel Model -  Input'!$B$3:$B$373,0),MATCH(I$2,'Fuel Model -  Input'!$B$3:$N$3,0))</f>
        <v>11.32075471698113</v>
      </c>
      <c r="J602" s="491">
        <f>INDEX('Fuel Model -  Input'!$B$3:$N$373,MATCH($B602,'Fuel Model -  Input'!$B$3:$B$373,0),MATCH(J$2,'Fuel Model -  Input'!$B$3:$N$3,0))</f>
        <v>11.32075471698113</v>
      </c>
      <c r="K602" s="491">
        <f>INDEX('Fuel Model -  Input'!$B$3:$N$373,MATCH($B602,'Fuel Model -  Input'!$B$3:$B$373,0),MATCH(K$2,'Fuel Model -  Input'!$B$3:$N$3,0))</f>
        <v>11.32075471698113</v>
      </c>
      <c r="L602" s="491">
        <f>INDEX('Fuel Model -  Input'!$B$3:$N$373,MATCH($B602,'Fuel Model -  Input'!$B$3:$B$373,0),MATCH(L$2,'Fuel Model -  Input'!$B$3:$N$3,0))</f>
        <v>11.32075471698113</v>
      </c>
      <c r="M602" s="491">
        <f>INDEX('Fuel Model -  Input'!$B$3:$N$373,MATCH($B602,'Fuel Model -  Input'!$B$3:$B$373,0),MATCH(M$2,'Fuel Model -  Input'!$B$3:$N$3,0))</f>
        <v>11.32075471698113</v>
      </c>
    </row>
    <row r="603" spans="2:13" hidden="1" outlineLevel="2" x14ac:dyDescent="0.2">
      <c r="B603" t="str">
        <f>+C603&amp;D603&amp;E603&amp;F603</f>
        <v>GlobalCapexAmmonia plant unit costUSD/ ton NH3</v>
      </c>
      <c r="C603" t="s">
        <v>109</v>
      </c>
      <c r="D603" t="s">
        <v>218</v>
      </c>
      <c r="E603" t="s">
        <v>958</v>
      </c>
      <c r="F603" s="128" t="s">
        <v>959</v>
      </c>
      <c r="G603" s="491">
        <f>INDEX('Fuel Model -  Input'!$B$3:$N$373,MATCH($B603,'Fuel Model -  Input'!$B$3:$B$373,0),MATCH(G$2,'Fuel Model -  Input'!$B$3:$N$3,0))</f>
        <v>2850</v>
      </c>
      <c r="H603" s="491">
        <f>INDEX('Fuel Model -  Input'!$B$3:$N$373,MATCH($B603,'Fuel Model -  Input'!$B$3:$B$373,0),MATCH(H$2,'Fuel Model -  Input'!$B$3:$N$3,0))</f>
        <v>1750</v>
      </c>
      <c r="I603" s="491">
        <f>INDEX('Fuel Model -  Input'!$B$3:$N$373,MATCH($B603,'Fuel Model -  Input'!$B$3:$B$373,0),MATCH(I$2,'Fuel Model -  Input'!$B$3:$N$3,0))</f>
        <v>650</v>
      </c>
      <c r="J603" s="491">
        <f>INDEX('Fuel Model -  Input'!$B$3:$N$373,MATCH($B603,'Fuel Model -  Input'!$B$3:$B$373,0),MATCH(J$2,'Fuel Model -  Input'!$B$3:$N$3,0))</f>
        <v>612.5</v>
      </c>
      <c r="K603" s="491">
        <f>INDEX('Fuel Model -  Input'!$B$3:$N$373,MATCH($B603,'Fuel Model -  Input'!$B$3:$B$373,0),MATCH(K$2,'Fuel Model -  Input'!$B$3:$N$3,0))</f>
        <v>575</v>
      </c>
      <c r="L603" s="491">
        <f>INDEX('Fuel Model -  Input'!$B$3:$N$373,MATCH($B603,'Fuel Model -  Input'!$B$3:$B$373,0),MATCH(L$2,'Fuel Model -  Input'!$B$3:$N$3,0))</f>
        <v>537.5</v>
      </c>
      <c r="M603" s="491">
        <f>INDEX('Fuel Model -  Input'!$B$3:$N$373,MATCH($B603,'Fuel Model -  Input'!$B$3:$B$373,0),MATCH(M$2,'Fuel Model -  Input'!$B$3:$N$3,0))</f>
        <v>500</v>
      </c>
    </row>
    <row r="604" spans="2:13" hidden="1" outlineLevel="2" x14ac:dyDescent="0.2">
      <c r="E604" s="48"/>
      <c r="F604" s="128"/>
      <c r="G604" s="8"/>
      <c r="H604" s="8"/>
      <c r="I604" s="8"/>
      <c r="J604" s="8"/>
      <c r="K604" s="8"/>
      <c r="L604" s="8"/>
      <c r="M604" s="8"/>
    </row>
    <row r="605" spans="2:13" hidden="1" outlineLevel="2" x14ac:dyDescent="0.2">
      <c r="B605" t="str">
        <f>+C605&amp;D605&amp;E605&amp;F605</f>
        <v>EuropeOpexOpexUSD/ton NH3</v>
      </c>
      <c r="C605" t="str">
        <f>+$B$595</f>
        <v>Europe</v>
      </c>
      <c r="D605" t="s">
        <v>219</v>
      </c>
      <c r="E605" s="48" t="s">
        <v>219</v>
      </c>
      <c r="F605" s="128" t="s">
        <v>960</v>
      </c>
      <c r="G605" s="8">
        <f t="shared" ref="G605:M605" si="343">G603*G606</f>
        <v>114</v>
      </c>
      <c r="H605" s="8">
        <f t="shared" si="343"/>
        <v>70</v>
      </c>
      <c r="I605" s="8">
        <f t="shared" si="343"/>
        <v>26</v>
      </c>
      <c r="J605" s="8">
        <f t="shared" si="343"/>
        <v>24.5</v>
      </c>
      <c r="K605" s="8">
        <f t="shared" si="343"/>
        <v>23</v>
      </c>
      <c r="L605" s="8">
        <f t="shared" si="343"/>
        <v>21.5</v>
      </c>
      <c r="M605" s="8">
        <f t="shared" si="343"/>
        <v>20</v>
      </c>
    </row>
    <row r="606" spans="2:13" hidden="1" outlineLevel="2" x14ac:dyDescent="0.2">
      <c r="B606" t="str">
        <f>+C606&amp;D606&amp;E606&amp;F606</f>
        <v>GlobalOpexPlant - Ammonia synthesis - opexPercent of Capex</v>
      </c>
      <c r="C606" t="s">
        <v>109</v>
      </c>
      <c r="D606" t="s">
        <v>219</v>
      </c>
      <c r="E606" s="48" t="s">
        <v>961</v>
      </c>
      <c r="F606" s="128" t="s">
        <v>883</v>
      </c>
      <c r="G606" s="467">
        <f>INDEX('Fuel Model -  Input'!$B$3:$N$373,MATCH($B606,'Fuel Model -  Input'!$B$3:$B$373,0),MATCH(G$2,'Fuel Model -  Input'!$B$3:$N$3,0))</f>
        <v>0.04</v>
      </c>
      <c r="H606" s="467">
        <f>INDEX('Fuel Model -  Input'!$B$3:$N$373,MATCH($B606,'Fuel Model -  Input'!$B$3:$B$373,0),MATCH(H$2,'Fuel Model -  Input'!$B$3:$N$3,0))</f>
        <v>0.04</v>
      </c>
      <c r="I606" s="467">
        <f>INDEX('Fuel Model -  Input'!$B$3:$N$373,MATCH($B606,'Fuel Model -  Input'!$B$3:$B$373,0),MATCH(I$2,'Fuel Model -  Input'!$B$3:$N$3,0))</f>
        <v>0.04</v>
      </c>
      <c r="J606" s="467">
        <f>INDEX('Fuel Model -  Input'!$B$3:$N$373,MATCH($B606,'Fuel Model -  Input'!$B$3:$B$373,0),MATCH(J$2,'Fuel Model -  Input'!$B$3:$N$3,0))</f>
        <v>0.04</v>
      </c>
      <c r="K606" s="467">
        <f>INDEX('Fuel Model -  Input'!$B$3:$N$373,MATCH($B606,'Fuel Model -  Input'!$B$3:$B$373,0),MATCH(K$2,'Fuel Model -  Input'!$B$3:$N$3,0))</f>
        <v>0.04</v>
      </c>
      <c r="L606" s="467">
        <f>INDEX('Fuel Model -  Input'!$B$3:$N$373,MATCH($B606,'Fuel Model -  Input'!$B$3:$B$373,0),MATCH(L$2,'Fuel Model -  Input'!$B$3:$N$3,0))</f>
        <v>0.04</v>
      </c>
      <c r="M606" s="467">
        <f>INDEX('Fuel Model -  Input'!$B$3:$N$373,MATCH($B606,'Fuel Model -  Input'!$B$3:$B$373,0),MATCH(M$2,'Fuel Model -  Input'!$B$3:$N$3,0))</f>
        <v>0.04</v>
      </c>
    </row>
    <row r="607" spans="2:13" hidden="1" outlineLevel="2" x14ac:dyDescent="0.2">
      <c r="E607" s="48"/>
      <c r="F607" s="128"/>
      <c r="G607" s="8"/>
      <c r="H607" s="8"/>
      <c r="I607" s="8"/>
      <c r="J607" s="8"/>
      <c r="K607" s="8"/>
      <c r="L607" s="8"/>
      <c r="M607" s="8"/>
    </row>
    <row r="608" spans="2:13" hidden="1" outlineLevel="2" x14ac:dyDescent="0.2">
      <c r="B608" t="str">
        <f>+C608&amp;D608&amp;E608&amp;F608</f>
        <v>EuropeSynthesisElectricity costUSD/ton NH3</v>
      </c>
      <c r="C608" t="str">
        <f>+$B$595</f>
        <v>Europe</v>
      </c>
      <c r="D608" t="s">
        <v>962</v>
      </c>
      <c r="E608" s="48" t="s">
        <v>94</v>
      </c>
      <c r="F608" s="128" t="s">
        <v>960</v>
      </c>
      <c r="G608" s="260">
        <f t="shared" ref="G608:M608" si="344">G609*G610</f>
        <v>13.649129562869955</v>
      </c>
      <c r="H608" s="260">
        <f t="shared" si="344"/>
        <v>11.044540857152004</v>
      </c>
      <c r="I608" s="260">
        <f t="shared" si="344"/>
        <v>8.9400174435471893</v>
      </c>
      <c r="J608" s="260">
        <f t="shared" si="344"/>
        <v>8.0655884006232288</v>
      </c>
      <c r="K608" s="260">
        <f t="shared" si="344"/>
        <v>7.5435098170279575</v>
      </c>
      <c r="L608" s="260">
        <f t="shared" si="344"/>
        <v>6.9849799883387504</v>
      </c>
      <c r="M608" s="260">
        <f t="shared" si="344"/>
        <v>6.5774651228097794</v>
      </c>
    </row>
    <row r="609" spans="2:13" hidden="1" outlineLevel="2" x14ac:dyDescent="0.2">
      <c r="B609" t="str">
        <f>+C609&amp;D609&amp;E609&amp;F609</f>
        <v>EuropeFeedstockElectricityUSD/MWh</v>
      </c>
      <c r="C609" t="str">
        <f>+$B$595</f>
        <v>Europe</v>
      </c>
      <c r="D609" t="s">
        <v>777</v>
      </c>
      <c r="E609" s="48" t="s">
        <v>54</v>
      </c>
      <c r="F609" s="128" t="s">
        <v>196</v>
      </c>
      <c r="G609" s="491">
        <f>INDEX('Fuel Model -  Input'!$B$3:$N$373,MATCH($B609,'Fuel Model -  Input'!$B$3:$B$373,0),MATCH(G$2,'Fuel Model -  Input'!$B$3:$N$3,0))</f>
        <v>54.596518251479822</v>
      </c>
      <c r="H609" s="491">
        <f>INDEX('Fuel Model -  Input'!$B$3:$N$373,MATCH($B609,'Fuel Model -  Input'!$B$3:$B$373,0),MATCH(H$2,'Fuel Model -  Input'!$B$3:$N$3,0))</f>
        <v>44.178163428608016</v>
      </c>
      <c r="I609" s="491">
        <f>INDEX('Fuel Model -  Input'!$B$3:$N$373,MATCH($B609,'Fuel Model -  Input'!$B$3:$B$373,0),MATCH(I$2,'Fuel Model -  Input'!$B$3:$N$3,0))</f>
        <v>35.760069774188757</v>
      </c>
      <c r="J609" s="491">
        <f>INDEX('Fuel Model -  Input'!$B$3:$N$373,MATCH($B609,'Fuel Model -  Input'!$B$3:$B$373,0),MATCH(J$2,'Fuel Model -  Input'!$B$3:$N$3,0))</f>
        <v>32.262353602492915</v>
      </c>
      <c r="K609" s="491">
        <f>INDEX('Fuel Model -  Input'!$B$3:$N$373,MATCH($B609,'Fuel Model -  Input'!$B$3:$B$373,0),MATCH(K$2,'Fuel Model -  Input'!$B$3:$N$3,0))</f>
        <v>30.17403926811183</v>
      </c>
      <c r="L609" s="491">
        <f>INDEX('Fuel Model -  Input'!$B$3:$N$373,MATCH($B609,'Fuel Model -  Input'!$B$3:$B$373,0),MATCH(L$2,'Fuel Model -  Input'!$B$3:$N$3,0))</f>
        <v>27.939919953355002</v>
      </c>
      <c r="M609" s="491">
        <f>INDEX('Fuel Model -  Input'!$B$3:$N$373,MATCH($B609,'Fuel Model -  Input'!$B$3:$B$373,0),MATCH(M$2,'Fuel Model -  Input'!$B$3:$N$3,0))</f>
        <v>26.309860491239117</v>
      </c>
    </row>
    <row r="610" spans="2:13" hidden="1" outlineLevel="2" x14ac:dyDescent="0.2">
      <c r="B610" t="str">
        <f>+C610&amp;D610&amp;E610&amp;F610</f>
        <v>GlobalSynthesisElectricity demandmWh/ton NH3</v>
      </c>
      <c r="C610" t="s">
        <v>109</v>
      </c>
      <c r="D610" t="s">
        <v>962</v>
      </c>
      <c r="E610" s="48" t="s">
        <v>963</v>
      </c>
      <c r="F610" s="128" t="s">
        <v>964</v>
      </c>
      <c r="G610" s="482">
        <f>INDEX('Fuel Model -  Input'!$B$3:$N$373,MATCH($B610,'Fuel Model -  Input'!$B$3:$B$373,0),MATCH(G$2,'Fuel Model -  Input'!$B$3:$N$3,0))</f>
        <v>0.25</v>
      </c>
      <c r="H610" s="482">
        <f>INDEX('Fuel Model -  Input'!$B$3:$N$373,MATCH($B610,'Fuel Model -  Input'!$B$3:$B$373,0),MATCH(H$2,'Fuel Model -  Input'!$B$3:$N$3,0))</f>
        <v>0.25</v>
      </c>
      <c r="I610" s="482">
        <f>INDEX('Fuel Model -  Input'!$B$3:$N$373,MATCH($B610,'Fuel Model -  Input'!$B$3:$B$373,0),MATCH(I$2,'Fuel Model -  Input'!$B$3:$N$3,0))</f>
        <v>0.25</v>
      </c>
      <c r="J610" s="482">
        <f>INDEX('Fuel Model -  Input'!$B$3:$N$373,MATCH($B610,'Fuel Model -  Input'!$B$3:$B$373,0),MATCH(J$2,'Fuel Model -  Input'!$B$3:$N$3,0))</f>
        <v>0.25</v>
      </c>
      <c r="K610" s="482">
        <f>INDEX('Fuel Model -  Input'!$B$3:$N$373,MATCH($B610,'Fuel Model -  Input'!$B$3:$B$373,0),MATCH(K$2,'Fuel Model -  Input'!$B$3:$N$3,0))</f>
        <v>0.25</v>
      </c>
      <c r="L610" s="482">
        <f>INDEX('Fuel Model -  Input'!$B$3:$N$373,MATCH($B610,'Fuel Model -  Input'!$B$3:$B$373,0),MATCH(L$2,'Fuel Model -  Input'!$B$3:$N$3,0))</f>
        <v>0.25</v>
      </c>
      <c r="M610" s="482">
        <f>INDEX('Fuel Model -  Input'!$B$3:$N$373,MATCH($B610,'Fuel Model -  Input'!$B$3:$B$373,0),MATCH(M$2,'Fuel Model -  Input'!$B$3:$N$3,0))</f>
        <v>0.25</v>
      </c>
    </row>
    <row r="611" spans="2:13" hidden="1" outlineLevel="2" x14ac:dyDescent="0.2">
      <c r="E611" s="48"/>
      <c r="F611" s="128"/>
      <c r="G611" s="524"/>
      <c r="H611" s="524"/>
      <c r="I611" s="524"/>
      <c r="J611" s="524"/>
      <c r="K611" s="524"/>
      <c r="L611" s="524"/>
      <c r="M611" s="524"/>
    </row>
    <row r="612" spans="2:13" hidden="1" outlineLevel="2" x14ac:dyDescent="0.2">
      <c r="B612" t="str">
        <f>+C612&amp;D612&amp;E612&amp;F612</f>
        <v>EuropeFeedstockFeedstock N2USD/ton NH3</v>
      </c>
      <c r="C612" t="str">
        <f>+$B$595</f>
        <v>Europe</v>
      </c>
      <c r="D612" t="s">
        <v>777</v>
      </c>
      <c r="E612" s="48" t="s">
        <v>965</v>
      </c>
      <c r="F612" s="128" t="s">
        <v>960</v>
      </c>
      <c r="G612" s="77">
        <f>G613*G614</f>
        <v>62.775567600543297</v>
      </c>
      <c r="H612" s="77">
        <f t="shared" ref="H612:M612" si="345">H613*H614</f>
        <v>39.964790067663159</v>
      </c>
      <c r="I612" s="77">
        <f t="shared" si="345"/>
        <v>17.482855470876636</v>
      </c>
      <c r="J612" s="77">
        <f t="shared" si="345"/>
        <v>16.116655932249834</v>
      </c>
      <c r="K612" s="77">
        <f t="shared" si="345"/>
        <v>14.982162055677588</v>
      </c>
      <c r="L612" s="77">
        <f t="shared" si="345"/>
        <v>13.823697840331564</v>
      </c>
      <c r="M612" s="77">
        <f t="shared" si="345"/>
        <v>12.764541064759714</v>
      </c>
    </row>
    <row r="613" spans="2:13" hidden="1" outlineLevel="2" x14ac:dyDescent="0.2">
      <c r="B613" t="str">
        <f>+C613&amp;D613&amp;E613&amp;F613</f>
        <v>GlobalFeedstockConversion N2 : Ammonia (actual)kg N2/kg NH3</v>
      </c>
      <c r="C613" t="s">
        <v>109</v>
      </c>
      <c r="D613" t="s">
        <v>777</v>
      </c>
      <c r="E613" t="s">
        <v>966</v>
      </c>
      <c r="F613" s="128" t="s">
        <v>967</v>
      </c>
      <c r="G613" s="482">
        <f>INDEX('Fuel Model -  Input'!$B$3:$N$373,MATCH($B613,'Fuel Model -  Input'!$B$3:$B$373,0),MATCH(G$2,'Fuel Model -  Input'!$B$3:$N$3,0))</f>
        <v>0.82199999999999995</v>
      </c>
      <c r="H613" s="482">
        <f>INDEX('Fuel Model -  Input'!$B$3:$N$373,MATCH($B613,'Fuel Model -  Input'!$B$3:$B$373,0),MATCH(H$2,'Fuel Model -  Input'!$B$3:$N$3,0))</f>
        <v>0.82199999999999995</v>
      </c>
      <c r="I613" s="482">
        <f>INDEX('Fuel Model -  Input'!$B$3:$N$373,MATCH($B613,'Fuel Model -  Input'!$B$3:$B$373,0),MATCH(I$2,'Fuel Model -  Input'!$B$3:$N$3,0))</f>
        <v>0.82199999999999995</v>
      </c>
      <c r="J613" s="482">
        <f>INDEX('Fuel Model -  Input'!$B$3:$N$373,MATCH($B613,'Fuel Model -  Input'!$B$3:$B$373,0),MATCH(J$2,'Fuel Model -  Input'!$B$3:$N$3,0))</f>
        <v>0.82199999999999995</v>
      </c>
      <c r="K613" s="482">
        <f>INDEX('Fuel Model -  Input'!$B$3:$N$373,MATCH($B613,'Fuel Model -  Input'!$B$3:$B$373,0),MATCH(K$2,'Fuel Model -  Input'!$B$3:$N$3,0))</f>
        <v>0.82199999999999995</v>
      </c>
      <c r="L613" s="482">
        <f>INDEX('Fuel Model -  Input'!$B$3:$N$373,MATCH($B613,'Fuel Model -  Input'!$B$3:$B$373,0),MATCH(L$2,'Fuel Model -  Input'!$B$3:$N$3,0))</f>
        <v>0.82199999999999995</v>
      </c>
      <c r="M613" s="482">
        <f>INDEX('Fuel Model -  Input'!$B$3:$N$373,MATCH($B613,'Fuel Model -  Input'!$B$3:$B$373,0),MATCH(M$2,'Fuel Model -  Input'!$B$3:$N$3,0))</f>
        <v>0.82199999999999995</v>
      </c>
    </row>
    <row r="614" spans="2:13" hidden="1" outlineLevel="2" x14ac:dyDescent="0.2">
      <c r="B614" t="str">
        <f>+C614&amp;D614&amp;E614&amp;F614</f>
        <v>EuropeFeedstockCost of N2USD/ton</v>
      </c>
      <c r="C614" t="s">
        <v>195</v>
      </c>
      <c r="D614" t="s">
        <v>777</v>
      </c>
      <c r="E614" t="s">
        <v>968</v>
      </c>
      <c r="F614" s="128" t="s">
        <v>205</v>
      </c>
      <c r="G614" s="482">
        <f t="shared" ref="G614:M614" si="346">INDEX(G$1654:G$1658,MATCH($B614,$B$1654:$B$1658,0))</f>
        <v>76.36930365029599</v>
      </c>
      <c r="H614" s="482">
        <f t="shared" si="346"/>
        <v>48.618966019054945</v>
      </c>
      <c r="I614" s="482">
        <f t="shared" si="346"/>
        <v>21.268680621504423</v>
      </c>
      <c r="J614" s="482">
        <f t="shared" si="346"/>
        <v>19.60663738716525</v>
      </c>
      <c r="K614" s="482">
        <f t="shared" si="346"/>
        <v>18.226474520289038</v>
      </c>
      <c r="L614" s="482">
        <f t="shared" si="346"/>
        <v>16.81715065733767</v>
      </c>
      <c r="M614" s="482">
        <f t="shared" si="346"/>
        <v>15.528638764914493</v>
      </c>
    </row>
    <row r="615" spans="2:13" hidden="1" outlineLevel="2" x14ac:dyDescent="0.2">
      <c r="F615" s="128"/>
      <c r="G615" s="520"/>
      <c r="H615" s="520"/>
      <c r="I615" s="520"/>
      <c r="J615" s="520"/>
      <c r="K615" s="520"/>
      <c r="L615" s="520"/>
      <c r="M615" s="520"/>
    </row>
    <row r="616" spans="2:13" hidden="1" outlineLevel="2" x14ac:dyDescent="0.2">
      <c r="B616" t="str">
        <f>+C616&amp;D616&amp;E616&amp;F616</f>
        <v>EuropeFeedstockFeedstock H2USD/ton NH3</v>
      </c>
      <c r="C616" t="str">
        <f>+$B$595</f>
        <v>Europe</v>
      </c>
      <c r="D616" t="s">
        <v>777</v>
      </c>
      <c r="E616" s="48" t="s">
        <v>970</v>
      </c>
      <c r="F616" s="128" t="s">
        <v>960</v>
      </c>
      <c r="G616" s="8">
        <f t="shared" ref="G616:M616" si="347">G619*G620</f>
        <v>857.80167231924747</v>
      </c>
      <c r="H616" s="8">
        <f t="shared" si="347"/>
        <v>700.25974700399979</v>
      </c>
      <c r="I616" s="8">
        <f t="shared" si="347"/>
        <v>571.50401559189106</v>
      </c>
      <c r="J616" s="8">
        <f t="shared" si="347"/>
        <v>522.25659682597711</v>
      </c>
      <c r="K616" s="8">
        <f t="shared" si="347"/>
        <v>457.16589611165324</v>
      </c>
      <c r="L616" s="8">
        <f t="shared" si="347"/>
        <v>373.36530803397909</v>
      </c>
      <c r="M616" s="8">
        <f t="shared" si="347"/>
        <v>295.14733491467342</v>
      </c>
    </row>
    <row r="617" spans="2:13" hidden="1" outlineLevel="2" x14ac:dyDescent="0.2">
      <c r="B617" t="str">
        <f>+C617&amp;D617&amp;E617&amp;F617</f>
        <v>EuropeResultsShare of RNE e-Hydrogen (compressed)%</v>
      </c>
      <c r="C617" t="str">
        <f>+$B$595</f>
        <v>Europe</v>
      </c>
      <c r="D617" t="s">
        <v>838</v>
      </c>
      <c r="E617" s="48" t="s">
        <v>848</v>
      </c>
      <c r="F617" s="128" t="s">
        <v>178</v>
      </c>
      <c r="G617" s="525">
        <f t="shared" ref="G617:M618" si="348">+INDEX(G$4:G$581,MATCH($B617,$B$4:$B$581,0))</f>
        <v>0.62157188172931999</v>
      </c>
      <c r="H617" s="525">
        <f t="shared" si="348"/>
        <v>0.61321781005301335</v>
      </c>
      <c r="I617" s="525">
        <f t="shared" si="348"/>
        <v>0.60012414933679714</v>
      </c>
      <c r="J617" s="525">
        <f t="shared" si="348"/>
        <v>0.57130801030471257</v>
      </c>
      <c r="K617" s="525">
        <f t="shared" si="348"/>
        <v>0.58323835594013507</v>
      </c>
      <c r="L617" s="525">
        <f t="shared" si="348"/>
        <v>0.62026244132138331</v>
      </c>
      <c r="M617" s="525">
        <f t="shared" si="348"/>
        <v>0.70038434851335252</v>
      </c>
    </row>
    <row r="618" spans="2:13" hidden="1" outlineLevel="2" x14ac:dyDescent="0.2">
      <c r="B618" t="str">
        <f>+C618&amp;D618&amp;E618&amp;F618</f>
        <v>EuropeResultsShare of Capex e-Hydrogen (compressed)%</v>
      </c>
      <c r="C618" t="str">
        <f>+$B$595</f>
        <v>Europe</v>
      </c>
      <c r="D618" t="s">
        <v>838</v>
      </c>
      <c r="E618" s="48" t="s">
        <v>850</v>
      </c>
      <c r="F618" s="128" t="s">
        <v>178</v>
      </c>
      <c r="G618" s="525">
        <f t="shared" si="348"/>
        <v>0.17512379160880204</v>
      </c>
      <c r="H618" s="525">
        <f t="shared" si="348"/>
        <v>0.17978352742155063</v>
      </c>
      <c r="I618" s="525">
        <f t="shared" si="348"/>
        <v>0.19277781762112317</v>
      </c>
      <c r="J618" s="525">
        <f t="shared" si="348"/>
        <v>0.22216995549848845</v>
      </c>
      <c r="K618" s="525">
        <f t="shared" si="348"/>
        <v>0.23353838190585505</v>
      </c>
      <c r="L618" s="525">
        <f t="shared" si="348"/>
        <v>0.22839683734733135</v>
      </c>
      <c r="M618" s="525">
        <f t="shared" si="348"/>
        <v>0.18927419673224519</v>
      </c>
    </row>
    <row r="619" spans="2:13" hidden="1" outlineLevel="2" x14ac:dyDescent="0.2">
      <c r="B619" t="str">
        <f>+C619&amp;D619&amp;E619&amp;F619</f>
        <v>GlobalFeedstockConversion H2 : Ammonia (actual)kg H2/kg NH3</v>
      </c>
      <c r="C619" t="s">
        <v>109</v>
      </c>
      <c r="D619" t="s">
        <v>777</v>
      </c>
      <c r="E619" t="s">
        <v>971</v>
      </c>
      <c r="F619" s="128" t="s">
        <v>972</v>
      </c>
      <c r="G619" s="482">
        <f>INDEX('Fuel Model -  Input'!$B$3:$N$373,MATCH($B619,'Fuel Model -  Input'!$B$3:$B$373,0),MATCH(G$2,'Fuel Model -  Input'!$B$3:$N$3,0))</f>
        <v>0.18</v>
      </c>
      <c r="H619" s="482">
        <f>INDEX('Fuel Model -  Input'!$B$3:$N$373,MATCH($B619,'Fuel Model -  Input'!$B$3:$B$373,0),MATCH(H$2,'Fuel Model -  Input'!$B$3:$N$3,0))</f>
        <v>0.18</v>
      </c>
      <c r="I619" s="482">
        <f>INDEX('Fuel Model -  Input'!$B$3:$N$373,MATCH($B619,'Fuel Model -  Input'!$B$3:$B$373,0),MATCH(I$2,'Fuel Model -  Input'!$B$3:$N$3,0))</f>
        <v>0.18</v>
      </c>
      <c r="J619" s="482">
        <f>INDEX('Fuel Model -  Input'!$B$3:$N$373,MATCH($B619,'Fuel Model -  Input'!$B$3:$B$373,0),MATCH(J$2,'Fuel Model -  Input'!$B$3:$N$3,0))</f>
        <v>0.18</v>
      </c>
      <c r="K619" s="482">
        <f>INDEX('Fuel Model -  Input'!$B$3:$N$373,MATCH($B619,'Fuel Model -  Input'!$B$3:$B$373,0),MATCH(K$2,'Fuel Model -  Input'!$B$3:$N$3,0))</f>
        <v>0.18</v>
      </c>
      <c r="L619" s="482">
        <f>INDEX('Fuel Model -  Input'!$B$3:$N$373,MATCH($B619,'Fuel Model -  Input'!$B$3:$B$373,0),MATCH(L$2,'Fuel Model -  Input'!$B$3:$N$3,0))</f>
        <v>0.18</v>
      </c>
      <c r="M619" s="482">
        <f>INDEX('Fuel Model -  Input'!$B$3:$N$373,MATCH($B619,'Fuel Model -  Input'!$B$3:$B$373,0),MATCH(M$2,'Fuel Model -  Input'!$B$3:$N$3,0))</f>
        <v>0.18</v>
      </c>
    </row>
    <row r="620" spans="2:13" hidden="1" outlineLevel="2" x14ac:dyDescent="0.2">
      <c r="B620" t="str">
        <f>+C620&amp;D620&amp;E620&amp;F620</f>
        <v>EuropeResultsCost of e-Hydrogen (compressed)USD/ton</v>
      </c>
      <c r="C620" t="str">
        <f>B595</f>
        <v>Europe</v>
      </c>
      <c r="D620" t="s">
        <v>838</v>
      </c>
      <c r="E620" t="s">
        <v>846</v>
      </c>
      <c r="F620" s="128" t="s">
        <v>205</v>
      </c>
      <c r="G620" s="491">
        <f>INDEX(G$4:G619,MATCH($B620,$B$4:$B619,0))</f>
        <v>4765.5648462180416</v>
      </c>
      <c r="H620" s="491">
        <f>INDEX(H$4:H619,MATCH($B620,$B$4:$B619,0))</f>
        <v>3890.331927799999</v>
      </c>
      <c r="I620" s="491">
        <f>INDEX(I$4:I619,MATCH($B620,$B$4:$B619,0))</f>
        <v>3175.0223088438393</v>
      </c>
      <c r="J620" s="491">
        <f>INDEX(J$4:J619,MATCH($B620,$B$4:$B619,0))</f>
        <v>2901.4255379220949</v>
      </c>
      <c r="K620" s="491">
        <f>INDEX(K$4:K619,MATCH($B620,$B$4:$B619,0))</f>
        <v>2539.8105339536291</v>
      </c>
      <c r="L620" s="491">
        <f>INDEX(L$4:L619,MATCH($B620,$B$4:$B619,0))</f>
        <v>2074.2517112998839</v>
      </c>
      <c r="M620" s="491">
        <f>INDEX(M$4:M619,MATCH($B620,$B$4:$B619,0))</f>
        <v>1639.70741619263</v>
      </c>
    </row>
    <row r="621" spans="2:13" ht="12.75" hidden="1" outlineLevel="1" x14ac:dyDescent="0.2">
      <c r="F621"/>
    </row>
    <row r="622" spans="2:13" s="30" customFormat="1" ht="15" hidden="1" outlineLevel="1" collapsed="1" x14ac:dyDescent="0.25">
      <c r="B622" s="30" t="s">
        <v>197</v>
      </c>
      <c r="C622" s="30" t="str">
        <f>+B622</f>
        <v>Middle East</v>
      </c>
    </row>
    <row r="623" spans="2:13" ht="15" hidden="1" outlineLevel="2" x14ac:dyDescent="0.25">
      <c r="B623" t="str">
        <f>+C623&amp;D623&amp;E623&amp;F623</f>
        <v>Middle EastResultsCost of e-AmmoniaUSD/ton</v>
      </c>
      <c r="C623" t="str">
        <f>+$B$622</f>
        <v>Middle East</v>
      </c>
      <c r="D623" s="30" t="s">
        <v>838</v>
      </c>
      <c r="E623" s="30" t="s">
        <v>951</v>
      </c>
      <c r="F623" s="522" t="s">
        <v>205</v>
      </c>
      <c r="G623" s="490">
        <f t="shared" ref="G623:M623" si="349">SUM(G624:G626)</f>
        <v>1170.9371064301235</v>
      </c>
      <c r="H623" s="490">
        <f t="shared" si="349"/>
        <v>870.20053826706749</v>
      </c>
      <c r="I623" s="490">
        <f t="shared" si="349"/>
        <v>607.1539121293182</v>
      </c>
      <c r="J623" s="490">
        <f t="shared" si="349"/>
        <v>550.34568374823107</v>
      </c>
      <c r="K623" s="490">
        <f t="shared" si="349"/>
        <v>483.59947067365954</v>
      </c>
      <c r="L623" s="490">
        <f t="shared" si="349"/>
        <v>395.03128847804248</v>
      </c>
      <c r="M623" s="490">
        <f t="shared" si="349"/>
        <v>317.68930917212833</v>
      </c>
    </row>
    <row r="624" spans="2:13" ht="15" hidden="1" outlineLevel="2" x14ac:dyDescent="0.25">
      <c r="B624" t="str">
        <f>+C624&amp;D624&amp;E624&amp;F624</f>
        <v>Middle EastResultsTotal Capex e-AmmoniaUSD/ton</v>
      </c>
      <c r="C624" t="str">
        <f>+$B$622</f>
        <v>Middle East</v>
      </c>
      <c r="D624" s="30" t="s">
        <v>838</v>
      </c>
      <c r="E624" s="228" t="s">
        <v>953</v>
      </c>
      <c r="F624" s="522" t="s">
        <v>205</v>
      </c>
      <c r="G624" s="490">
        <f>G628+G643*G645</f>
        <v>401.9714813049178</v>
      </c>
      <c r="H624" s="490">
        <f t="shared" ref="H624:M624" si="350">H628+H643*H645</f>
        <v>280.47850076103509</v>
      </c>
      <c r="I624" s="490">
        <f t="shared" si="350"/>
        <v>167.58996355417977</v>
      </c>
      <c r="J624" s="490">
        <f t="shared" si="350"/>
        <v>170.13389154228605</v>
      </c>
      <c r="K624" s="490">
        <f t="shared" si="350"/>
        <v>157.55745030712239</v>
      </c>
      <c r="L624" s="490">
        <f t="shared" si="350"/>
        <v>132.75462219683965</v>
      </c>
      <c r="M624" s="490">
        <f t="shared" si="350"/>
        <v>100.03044140030443</v>
      </c>
    </row>
    <row r="625" spans="2:13" ht="15" hidden="1" outlineLevel="2" x14ac:dyDescent="0.25">
      <c r="B625" t="str">
        <f>+C625&amp;D625&amp;E625&amp;F625</f>
        <v>Middle EastResultsTotal Opex e-AmmoniaUSD/ton</v>
      </c>
      <c r="C625" t="str">
        <f>+$B$622</f>
        <v>Middle East</v>
      </c>
      <c r="D625" s="30" t="s">
        <v>838</v>
      </c>
      <c r="E625" s="228" t="s">
        <v>954</v>
      </c>
      <c r="F625" s="522" t="s">
        <v>205</v>
      </c>
      <c r="G625" s="490">
        <f>+G632+G639+G643*(1-SUM(G644:G645))</f>
        <v>349.08652977407621</v>
      </c>
      <c r="H625" s="490">
        <f t="shared" ref="H625:M625" si="351">+H632+H639+H643*(1-SUM(H644:H645))</f>
        <v>253.20373890282286</v>
      </c>
      <c r="I625" s="490">
        <f t="shared" si="351"/>
        <v>160.6211885129008</v>
      </c>
      <c r="J625" s="490">
        <f t="shared" si="351"/>
        <v>147.20324912846669</v>
      </c>
      <c r="K625" s="490">
        <f t="shared" si="351"/>
        <v>120.50368432556178</v>
      </c>
      <c r="L625" s="490">
        <f t="shared" si="351"/>
        <v>90.542257051878778</v>
      </c>
      <c r="M625" s="490">
        <f t="shared" si="351"/>
        <v>64.119770559626389</v>
      </c>
    </row>
    <row r="626" spans="2:13" ht="15" hidden="1" outlineLevel="2" x14ac:dyDescent="0.25">
      <c r="B626" t="str">
        <f>+C626&amp;D626&amp;E626&amp;F626</f>
        <v>Middle EastResultsTotal RNE e-AmmoniaUSD/ton</v>
      </c>
      <c r="C626" t="str">
        <f>+$B$622</f>
        <v>Middle East</v>
      </c>
      <c r="D626" s="30" t="s">
        <v>838</v>
      </c>
      <c r="E626" s="228" t="s">
        <v>955</v>
      </c>
      <c r="F626" s="522" t="s">
        <v>205</v>
      </c>
      <c r="G626" s="490">
        <f>+G635+G643*G644</f>
        <v>419.87909535112942</v>
      </c>
      <c r="H626" s="490">
        <f t="shared" ref="H626:M626" si="352">+H635+H643*H644</f>
        <v>336.51829860320959</v>
      </c>
      <c r="I626" s="490">
        <f t="shared" si="352"/>
        <v>278.94276006223765</v>
      </c>
      <c r="J626" s="490">
        <f t="shared" si="352"/>
        <v>233.00854307747829</v>
      </c>
      <c r="K626" s="490">
        <f t="shared" si="352"/>
        <v>205.53833604097534</v>
      </c>
      <c r="L626" s="490">
        <f t="shared" si="352"/>
        <v>171.73440922932409</v>
      </c>
      <c r="M626" s="490">
        <f t="shared" si="352"/>
        <v>153.53909721219756</v>
      </c>
    </row>
    <row r="627" spans="2:13" hidden="1" outlineLevel="2" x14ac:dyDescent="0.2">
      <c r="E627" s="48"/>
      <c r="F627" s="128"/>
      <c r="G627" s="8"/>
      <c r="H627" s="8"/>
      <c r="I627" s="8"/>
      <c r="J627" s="8"/>
      <c r="K627" s="8"/>
      <c r="L627" s="8"/>
      <c r="M627" s="8"/>
    </row>
    <row r="628" spans="2:13" hidden="1" outlineLevel="2" x14ac:dyDescent="0.2">
      <c r="B628" t="str">
        <f>+C628&amp;D628&amp;E628&amp;F628</f>
        <v>Middle EastCapexCapex per yearUSD m/year</v>
      </c>
      <c r="C628" t="str">
        <f>+$B$622</f>
        <v>Middle East</v>
      </c>
      <c r="D628" t="s">
        <v>218</v>
      </c>
      <c r="E628" t="s">
        <v>956</v>
      </c>
      <c r="F628" s="128" t="s">
        <v>957</v>
      </c>
      <c r="G628" s="523">
        <f t="shared" ref="G628:M628" si="353">G630/G629</f>
        <v>251.75000000000006</v>
      </c>
      <c r="H628" s="523">
        <f t="shared" si="353"/>
        <v>154.58333333333337</v>
      </c>
      <c r="I628" s="523">
        <f t="shared" si="353"/>
        <v>57.416666666666679</v>
      </c>
      <c r="J628" s="523">
        <f t="shared" si="353"/>
        <v>54.104166666666679</v>
      </c>
      <c r="K628" s="523">
        <f t="shared" si="353"/>
        <v>50.791666666666679</v>
      </c>
      <c r="L628" s="523">
        <f t="shared" si="353"/>
        <v>47.479166666666679</v>
      </c>
      <c r="M628" s="523">
        <f t="shared" si="353"/>
        <v>44.166666666666679</v>
      </c>
    </row>
    <row r="629" spans="2:13" hidden="1" outlineLevel="2" x14ac:dyDescent="0.2">
      <c r="B629" t="str">
        <f>+C629&amp;D629&amp;E629&amp;F629</f>
        <v>GlobalPlant capexAnnualisation factor#</v>
      </c>
      <c r="C629" t="s">
        <v>109</v>
      </c>
      <c r="D629" t="s">
        <v>786</v>
      </c>
      <c r="E629" t="s">
        <v>764</v>
      </c>
      <c r="F629" s="450" t="s">
        <v>787</v>
      </c>
      <c r="G629" s="491">
        <f>INDEX('Fuel Model -  Input'!$B$3:$N$373,MATCH($B629,'Fuel Model -  Input'!$B$3:$B$373,0),MATCH(G$2,'Fuel Model -  Input'!$B$3:$N$3,0))</f>
        <v>11.32075471698113</v>
      </c>
      <c r="H629" s="491">
        <f>INDEX('Fuel Model -  Input'!$B$3:$N$373,MATCH($B629,'Fuel Model -  Input'!$B$3:$B$373,0),MATCH(H$2,'Fuel Model -  Input'!$B$3:$N$3,0))</f>
        <v>11.32075471698113</v>
      </c>
      <c r="I629" s="491">
        <f>INDEX('Fuel Model -  Input'!$B$3:$N$373,MATCH($B629,'Fuel Model -  Input'!$B$3:$B$373,0),MATCH(I$2,'Fuel Model -  Input'!$B$3:$N$3,0))</f>
        <v>11.32075471698113</v>
      </c>
      <c r="J629" s="491">
        <f>INDEX('Fuel Model -  Input'!$B$3:$N$373,MATCH($B629,'Fuel Model -  Input'!$B$3:$B$373,0),MATCH(J$2,'Fuel Model -  Input'!$B$3:$N$3,0))</f>
        <v>11.32075471698113</v>
      </c>
      <c r="K629" s="491">
        <f>INDEX('Fuel Model -  Input'!$B$3:$N$373,MATCH($B629,'Fuel Model -  Input'!$B$3:$B$373,0),MATCH(K$2,'Fuel Model -  Input'!$B$3:$N$3,0))</f>
        <v>11.32075471698113</v>
      </c>
      <c r="L629" s="491">
        <f>INDEX('Fuel Model -  Input'!$B$3:$N$373,MATCH($B629,'Fuel Model -  Input'!$B$3:$B$373,0),MATCH(L$2,'Fuel Model -  Input'!$B$3:$N$3,0))</f>
        <v>11.32075471698113</v>
      </c>
      <c r="M629" s="491">
        <f>INDEX('Fuel Model -  Input'!$B$3:$N$373,MATCH($B629,'Fuel Model -  Input'!$B$3:$B$373,0),MATCH(M$2,'Fuel Model -  Input'!$B$3:$N$3,0))</f>
        <v>11.32075471698113</v>
      </c>
    </row>
    <row r="630" spans="2:13" hidden="1" outlineLevel="2" x14ac:dyDescent="0.2">
      <c r="B630" t="str">
        <f>+C630&amp;D630&amp;E630&amp;F630</f>
        <v>GlobalCapexAmmonia plant unit costUSD/ ton NH3</v>
      </c>
      <c r="C630" t="s">
        <v>109</v>
      </c>
      <c r="D630" t="s">
        <v>218</v>
      </c>
      <c r="E630" t="s">
        <v>958</v>
      </c>
      <c r="F630" s="128" t="s">
        <v>959</v>
      </c>
      <c r="G630" s="491">
        <f>INDEX('Fuel Model -  Input'!$B$3:$N$373,MATCH($B630,'Fuel Model -  Input'!$B$3:$B$373,0),MATCH(G$2,'Fuel Model -  Input'!$B$3:$N$3,0))</f>
        <v>2850</v>
      </c>
      <c r="H630" s="491">
        <f>INDEX('Fuel Model -  Input'!$B$3:$N$373,MATCH($B630,'Fuel Model -  Input'!$B$3:$B$373,0),MATCH(H$2,'Fuel Model -  Input'!$B$3:$N$3,0))</f>
        <v>1750</v>
      </c>
      <c r="I630" s="491">
        <f>INDEX('Fuel Model -  Input'!$B$3:$N$373,MATCH($B630,'Fuel Model -  Input'!$B$3:$B$373,0),MATCH(I$2,'Fuel Model -  Input'!$B$3:$N$3,0))</f>
        <v>650</v>
      </c>
      <c r="J630" s="491">
        <f>INDEX('Fuel Model -  Input'!$B$3:$N$373,MATCH($B630,'Fuel Model -  Input'!$B$3:$B$373,0),MATCH(J$2,'Fuel Model -  Input'!$B$3:$N$3,0))</f>
        <v>612.5</v>
      </c>
      <c r="K630" s="491">
        <f>INDEX('Fuel Model -  Input'!$B$3:$N$373,MATCH($B630,'Fuel Model -  Input'!$B$3:$B$373,0),MATCH(K$2,'Fuel Model -  Input'!$B$3:$N$3,0))</f>
        <v>575</v>
      </c>
      <c r="L630" s="491">
        <f>INDEX('Fuel Model -  Input'!$B$3:$N$373,MATCH($B630,'Fuel Model -  Input'!$B$3:$B$373,0),MATCH(L$2,'Fuel Model -  Input'!$B$3:$N$3,0))</f>
        <v>537.5</v>
      </c>
      <c r="M630" s="491">
        <f>INDEX('Fuel Model -  Input'!$B$3:$N$373,MATCH($B630,'Fuel Model -  Input'!$B$3:$B$373,0),MATCH(M$2,'Fuel Model -  Input'!$B$3:$N$3,0))</f>
        <v>500</v>
      </c>
    </row>
    <row r="631" spans="2:13" hidden="1" outlineLevel="2" x14ac:dyDescent="0.2">
      <c r="E631" s="48"/>
      <c r="F631" s="128"/>
      <c r="G631" s="8"/>
      <c r="H631" s="8"/>
      <c r="I631" s="8"/>
      <c r="J631" s="8"/>
      <c r="K631" s="8"/>
      <c r="L631" s="8"/>
      <c r="M631" s="8"/>
    </row>
    <row r="632" spans="2:13" hidden="1" outlineLevel="2" x14ac:dyDescent="0.2">
      <c r="B632" t="str">
        <f>+C632&amp;D632&amp;E632&amp;F632</f>
        <v>Middle EastOpexOpexUSD/ton NH3</v>
      </c>
      <c r="C632" t="str">
        <f>+$B$622</f>
        <v>Middle East</v>
      </c>
      <c r="D632" t="s">
        <v>219</v>
      </c>
      <c r="E632" s="48" t="s">
        <v>219</v>
      </c>
      <c r="F632" s="128" t="s">
        <v>960</v>
      </c>
      <c r="G632" s="8">
        <f t="shared" ref="G632:M632" si="354">G630*G633</f>
        <v>114</v>
      </c>
      <c r="H632" s="8">
        <f t="shared" si="354"/>
        <v>70</v>
      </c>
      <c r="I632" s="8">
        <f t="shared" si="354"/>
        <v>26</v>
      </c>
      <c r="J632" s="8">
        <f t="shared" si="354"/>
        <v>24.5</v>
      </c>
      <c r="K632" s="8">
        <f t="shared" si="354"/>
        <v>23</v>
      </c>
      <c r="L632" s="8">
        <f t="shared" si="354"/>
        <v>21.5</v>
      </c>
      <c r="M632" s="8">
        <f t="shared" si="354"/>
        <v>20</v>
      </c>
    </row>
    <row r="633" spans="2:13" hidden="1" outlineLevel="2" x14ac:dyDescent="0.2">
      <c r="B633" t="str">
        <f>+C633&amp;D633&amp;E633&amp;F633</f>
        <v>GlobalOpexPlant - Ammonia synthesis - opexPercent of Capex</v>
      </c>
      <c r="C633" t="s">
        <v>109</v>
      </c>
      <c r="D633" t="s">
        <v>219</v>
      </c>
      <c r="E633" s="48" t="s">
        <v>961</v>
      </c>
      <c r="F633" s="128" t="s">
        <v>883</v>
      </c>
      <c r="G633" s="467">
        <f>INDEX('Fuel Model -  Input'!$B$3:$N$373,MATCH($B633,'Fuel Model -  Input'!$B$3:$B$373,0),MATCH(G$2,'Fuel Model -  Input'!$B$3:$N$3,0))</f>
        <v>0.04</v>
      </c>
      <c r="H633" s="467">
        <f>INDEX('Fuel Model -  Input'!$B$3:$N$373,MATCH($B633,'Fuel Model -  Input'!$B$3:$B$373,0),MATCH(H$2,'Fuel Model -  Input'!$B$3:$N$3,0))</f>
        <v>0.04</v>
      </c>
      <c r="I633" s="467">
        <f>INDEX('Fuel Model -  Input'!$B$3:$N$373,MATCH($B633,'Fuel Model -  Input'!$B$3:$B$373,0),MATCH(I$2,'Fuel Model -  Input'!$B$3:$N$3,0))</f>
        <v>0.04</v>
      </c>
      <c r="J633" s="467">
        <f>INDEX('Fuel Model -  Input'!$B$3:$N$373,MATCH($B633,'Fuel Model -  Input'!$B$3:$B$373,0),MATCH(J$2,'Fuel Model -  Input'!$B$3:$N$3,0))</f>
        <v>0.04</v>
      </c>
      <c r="K633" s="467">
        <f>INDEX('Fuel Model -  Input'!$B$3:$N$373,MATCH($B633,'Fuel Model -  Input'!$B$3:$B$373,0),MATCH(K$2,'Fuel Model -  Input'!$B$3:$N$3,0))</f>
        <v>0.04</v>
      </c>
      <c r="L633" s="467">
        <f>INDEX('Fuel Model -  Input'!$B$3:$N$373,MATCH($B633,'Fuel Model -  Input'!$B$3:$B$373,0),MATCH(L$2,'Fuel Model -  Input'!$B$3:$N$3,0))</f>
        <v>0.04</v>
      </c>
      <c r="M633" s="467">
        <f>INDEX('Fuel Model -  Input'!$B$3:$N$373,MATCH($B633,'Fuel Model -  Input'!$B$3:$B$373,0),MATCH(M$2,'Fuel Model -  Input'!$B$3:$N$3,0))</f>
        <v>0.04</v>
      </c>
    </row>
    <row r="634" spans="2:13" hidden="1" outlineLevel="2" x14ac:dyDescent="0.2">
      <c r="E634" s="48"/>
      <c r="F634" s="128"/>
      <c r="G634" s="8"/>
      <c r="H634" s="8"/>
      <c r="I634" s="8"/>
      <c r="J634" s="8"/>
      <c r="K634" s="8"/>
      <c r="L634" s="8"/>
      <c r="M634" s="8"/>
    </row>
    <row r="635" spans="2:13" hidden="1" outlineLevel="2" x14ac:dyDescent="0.2">
      <c r="B635" t="str">
        <f>+C635&amp;D635&amp;E635&amp;F635</f>
        <v>Middle EastSynthesisElectricity costUSD/ton NH3</v>
      </c>
      <c r="C635" t="str">
        <f>+$B$622</f>
        <v>Middle East</v>
      </c>
      <c r="D635" t="s">
        <v>962</v>
      </c>
      <c r="E635" s="48" t="s">
        <v>94</v>
      </c>
      <c r="F635" s="128" t="s">
        <v>960</v>
      </c>
      <c r="G635" s="260">
        <f t="shared" ref="G635:M635" si="355">G636*G637</f>
        <v>10.480289497838582</v>
      </c>
      <c r="H635" s="260">
        <f t="shared" si="355"/>
        <v>8.4382722819260199</v>
      </c>
      <c r="I635" s="260">
        <f t="shared" si="355"/>
        <v>7.0862697812805324</v>
      </c>
      <c r="J635" s="260">
        <f t="shared" si="355"/>
        <v>6.1329522190821866</v>
      </c>
      <c r="K635" s="260">
        <f t="shared" si="355"/>
        <v>5.6549688175539998</v>
      </c>
      <c r="L635" s="260">
        <f t="shared" si="355"/>
        <v>5.0281432693716503</v>
      </c>
      <c r="M635" s="260">
        <f t="shared" si="355"/>
        <v>4.7347692491734801</v>
      </c>
    </row>
    <row r="636" spans="2:13" hidden="1" outlineLevel="2" x14ac:dyDescent="0.2">
      <c r="B636" t="str">
        <f>+C636&amp;D636&amp;E636&amp;F636</f>
        <v>Middle EastFeedstockElectricityUSD/MWh</v>
      </c>
      <c r="C636" t="str">
        <f>+$B$622</f>
        <v>Middle East</v>
      </c>
      <c r="D636" t="s">
        <v>777</v>
      </c>
      <c r="E636" s="48" t="s">
        <v>54</v>
      </c>
      <c r="F636" s="128" t="s">
        <v>196</v>
      </c>
      <c r="G636" s="491">
        <f>INDEX('Fuel Model -  Input'!$B$3:$N$373,MATCH($B636,'Fuel Model -  Input'!$B$3:$B$373,0),MATCH(G$2,'Fuel Model -  Input'!$B$3:$N$3,0))</f>
        <v>41.921157991354328</v>
      </c>
      <c r="H636" s="491">
        <f>INDEX('Fuel Model -  Input'!$B$3:$N$373,MATCH($B636,'Fuel Model -  Input'!$B$3:$B$373,0),MATCH(H$2,'Fuel Model -  Input'!$B$3:$N$3,0))</f>
        <v>33.753089127704079</v>
      </c>
      <c r="I636" s="491">
        <f>INDEX('Fuel Model -  Input'!$B$3:$N$373,MATCH($B636,'Fuel Model -  Input'!$B$3:$B$373,0),MATCH(I$2,'Fuel Model -  Input'!$B$3:$N$3,0))</f>
        <v>28.34507912512213</v>
      </c>
      <c r="J636" s="491">
        <f>INDEX('Fuel Model -  Input'!$B$3:$N$373,MATCH($B636,'Fuel Model -  Input'!$B$3:$B$373,0),MATCH(J$2,'Fuel Model -  Input'!$B$3:$N$3,0))</f>
        <v>24.531808876328746</v>
      </c>
      <c r="K636" s="491">
        <f>INDEX('Fuel Model -  Input'!$B$3:$N$373,MATCH($B636,'Fuel Model -  Input'!$B$3:$B$373,0),MATCH(K$2,'Fuel Model -  Input'!$B$3:$N$3,0))</f>
        <v>22.619875270215999</v>
      </c>
      <c r="L636" s="491">
        <f>INDEX('Fuel Model -  Input'!$B$3:$N$373,MATCH($B636,'Fuel Model -  Input'!$B$3:$B$373,0),MATCH(L$2,'Fuel Model -  Input'!$B$3:$N$3,0))</f>
        <v>20.112573077486601</v>
      </c>
      <c r="M636" s="491">
        <f>INDEX('Fuel Model -  Input'!$B$3:$N$373,MATCH($B636,'Fuel Model -  Input'!$B$3:$B$373,0),MATCH(M$2,'Fuel Model -  Input'!$B$3:$N$3,0))</f>
        <v>18.93907699669392</v>
      </c>
    </row>
    <row r="637" spans="2:13" hidden="1" outlineLevel="2" x14ac:dyDescent="0.2">
      <c r="B637" t="str">
        <f>+C637&amp;D637&amp;E637&amp;F637</f>
        <v>GlobalSynthesisElectricity demandmWh/ton NH3</v>
      </c>
      <c r="C637" t="s">
        <v>109</v>
      </c>
      <c r="D637" t="s">
        <v>962</v>
      </c>
      <c r="E637" s="48" t="s">
        <v>963</v>
      </c>
      <c r="F637" s="128" t="s">
        <v>964</v>
      </c>
      <c r="G637" s="482">
        <f>INDEX('Fuel Model -  Input'!$B$3:$N$373,MATCH($B637,'Fuel Model -  Input'!$B$3:$B$373,0),MATCH(G$2,'Fuel Model -  Input'!$B$3:$N$3,0))</f>
        <v>0.25</v>
      </c>
      <c r="H637" s="482">
        <f>INDEX('Fuel Model -  Input'!$B$3:$N$373,MATCH($B637,'Fuel Model -  Input'!$B$3:$B$373,0),MATCH(H$2,'Fuel Model -  Input'!$B$3:$N$3,0))</f>
        <v>0.25</v>
      </c>
      <c r="I637" s="482">
        <f>INDEX('Fuel Model -  Input'!$B$3:$N$373,MATCH($B637,'Fuel Model -  Input'!$B$3:$B$373,0),MATCH(I$2,'Fuel Model -  Input'!$B$3:$N$3,0))</f>
        <v>0.25</v>
      </c>
      <c r="J637" s="482">
        <f>INDEX('Fuel Model -  Input'!$B$3:$N$373,MATCH($B637,'Fuel Model -  Input'!$B$3:$B$373,0),MATCH(J$2,'Fuel Model -  Input'!$B$3:$N$3,0))</f>
        <v>0.25</v>
      </c>
      <c r="K637" s="482">
        <f>INDEX('Fuel Model -  Input'!$B$3:$N$373,MATCH($B637,'Fuel Model -  Input'!$B$3:$B$373,0),MATCH(K$2,'Fuel Model -  Input'!$B$3:$N$3,0))</f>
        <v>0.25</v>
      </c>
      <c r="L637" s="482">
        <f>INDEX('Fuel Model -  Input'!$B$3:$N$373,MATCH($B637,'Fuel Model -  Input'!$B$3:$B$373,0),MATCH(L$2,'Fuel Model -  Input'!$B$3:$N$3,0))</f>
        <v>0.25</v>
      </c>
      <c r="M637" s="482">
        <f>INDEX('Fuel Model -  Input'!$B$3:$N$373,MATCH($B637,'Fuel Model -  Input'!$B$3:$B$373,0),MATCH(M$2,'Fuel Model -  Input'!$B$3:$N$3,0))</f>
        <v>0.25</v>
      </c>
    </row>
    <row r="638" spans="2:13" hidden="1" outlineLevel="2" x14ac:dyDescent="0.2">
      <c r="E638" s="48"/>
      <c r="F638" s="128"/>
      <c r="G638" s="524"/>
      <c r="H638" s="524"/>
      <c r="I638" s="524"/>
      <c r="J638" s="524"/>
      <c r="K638" s="524"/>
      <c r="L638" s="524"/>
      <c r="M638" s="524"/>
    </row>
    <row r="639" spans="2:13" hidden="1" outlineLevel="2" x14ac:dyDescent="0.2">
      <c r="B639" t="str">
        <f>+C639&amp;D639&amp;E639&amp;F639</f>
        <v>Middle EastFeedstockFeedstock N2USD/ton NH3</v>
      </c>
      <c r="C639" t="str">
        <f>+$B$622</f>
        <v>Middle East</v>
      </c>
      <c r="D639" t="s">
        <v>777</v>
      </c>
      <c r="E639" s="48" t="s">
        <v>965</v>
      </c>
      <c r="F639" s="128" t="s">
        <v>960</v>
      </c>
      <c r="G639" s="77">
        <f>G640*G641</f>
        <v>60.691738373778669</v>
      </c>
      <c r="H639" s="77">
        <f t="shared" ref="H639" si="356">H640*H641</f>
        <v>38.250907852594551</v>
      </c>
      <c r="I639" s="77">
        <f t="shared" ref="I639" si="357">I640*I641</f>
        <v>16.263831008170079</v>
      </c>
      <c r="J639" s="77">
        <f t="shared" ref="J639" si="358">J640*J641</f>
        <v>14.845754379268447</v>
      </c>
      <c r="K639" s="77">
        <f t="shared" ref="K639" si="359">K640*K641</f>
        <v>13.740257494423512</v>
      </c>
      <c r="L639" s="77">
        <f t="shared" ref="L639" si="360">L640*L641</f>
        <v>12.536882013938799</v>
      </c>
      <c r="M639" s="77">
        <f t="shared" ref="M639" si="361">M640*M641</f>
        <v>11.552784258256482</v>
      </c>
    </row>
    <row r="640" spans="2:13" hidden="1" outlineLevel="2" x14ac:dyDescent="0.2">
      <c r="B640" t="str">
        <f>+C640&amp;D640&amp;E640&amp;F640</f>
        <v>GlobalFeedstockConversion N2 : Ammonia (actual)kg N2/kg NH3</v>
      </c>
      <c r="C640" t="s">
        <v>109</v>
      </c>
      <c r="D640" t="s">
        <v>777</v>
      </c>
      <c r="E640" t="s">
        <v>966</v>
      </c>
      <c r="F640" s="128" t="s">
        <v>967</v>
      </c>
      <c r="G640" s="482">
        <f>INDEX('Fuel Model -  Input'!$B$3:$N$373,MATCH($B640,'Fuel Model -  Input'!$B$3:$B$373,0),MATCH(G$2,'Fuel Model -  Input'!$B$3:$N$3,0))</f>
        <v>0.82199999999999995</v>
      </c>
      <c r="H640" s="482">
        <f>INDEX('Fuel Model -  Input'!$B$3:$N$373,MATCH($B640,'Fuel Model -  Input'!$B$3:$B$373,0),MATCH(H$2,'Fuel Model -  Input'!$B$3:$N$3,0))</f>
        <v>0.82199999999999995</v>
      </c>
      <c r="I640" s="482">
        <f>INDEX('Fuel Model -  Input'!$B$3:$N$373,MATCH($B640,'Fuel Model -  Input'!$B$3:$B$373,0),MATCH(I$2,'Fuel Model -  Input'!$B$3:$N$3,0))</f>
        <v>0.82199999999999995</v>
      </c>
      <c r="J640" s="482">
        <f>INDEX('Fuel Model -  Input'!$B$3:$N$373,MATCH($B640,'Fuel Model -  Input'!$B$3:$B$373,0),MATCH(J$2,'Fuel Model -  Input'!$B$3:$N$3,0))</f>
        <v>0.82199999999999995</v>
      </c>
      <c r="K640" s="482">
        <f>INDEX('Fuel Model -  Input'!$B$3:$N$373,MATCH($B640,'Fuel Model -  Input'!$B$3:$B$373,0),MATCH(K$2,'Fuel Model -  Input'!$B$3:$N$3,0))</f>
        <v>0.82199999999999995</v>
      </c>
      <c r="L640" s="482">
        <f>INDEX('Fuel Model -  Input'!$B$3:$N$373,MATCH($B640,'Fuel Model -  Input'!$B$3:$B$373,0),MATCH(L$2,'Fuel Model -  Input'!$B$3:$N$3,0))</f>
        <v>0.82199999999999995</v>
      </c>
      <c r="M640" s="482">
        <f>INDEX('Fuel Model -  Input'!$B$3:$N$373,MATCH($B640,'Fuel Model -  Input'!$B$3:$B$373,0),MATCH(M$2,'Fuel Model -  Input'!$B$3:$N$3,0))</f>
        <v>0.82199999999999995</v>
      </c>
    </row>
    <row r="641" spans="2:13" hidden="1" outlineLevel="2" x14ac:dyDescent="0.2">
      <c r="B641" t="str">
        <f>+C641&amp;D641&amp;E641&amp;F641</f>
        <v>Middle EastFeedstockCost of N2USD/ton</v>
      </c>
      <c r="C641" t="str">
        <f>+$B$622</f>
        <v>Middle East</v>
      </c>
      <c r="D641" t="s">
        <v>777</v>
      </c>
      <c r="E641" t="s">
        <v>968</v>
      </c>
      <c r="F641" s="128" t="s">
        <v>205</v>
      </c>
      <c r="G641" s="482">
        <f t="shared" ref="G641:M641" si="362">INDEX(G$1654:G$1658,MATCH($B641,$B$1654:$B$1658,0))</f>
        <v>73.83423159827089</v>
      </c>
      <c r="H641" s="482">
        <f t="shared" si="362"/>
        <v>46.533951158874153</v>
      </c>
      <c r="I641" s="482">
        <f t="shared" si="362"/>
        <v>19.785682491691094</v>
      </c>
      <c r="J641" s="482">
        <f t="shared" si="362"/>
        <v>18.060528441932419</v>
      </c>
      <c r="K641" s="482">
        <f t="shared" si="362"/>
        <v>16.715641720709868</v>
      </c>
      <c r="L641" s="482">
        <f t="shared" si="362"/>
        <v>15.25168128216399</v>
      </c>
      <c r="M641" s="482">
        <f t="shared" si="362"/>
        <v>14.054482066005454</v>
      </c>
    </row>
    <row r="642" spans="2:13" hidden="1" outlineLevel="2" x14ac:dyDescent="0.2">
      <c r="F642" s="128"/>
      <c r="G642" s="520"/>
      <c r="H642" s="520"/>
      <c r="I642" s="520"/>
      <c r="J642" s="520"/>
      <c r="K642" s="520"/>
      <c r="L642" s="520"/>
      <c r="M642" s="520"/>
    </row>
    <row r="643" spans="2:13" hidden="1" outlineLevel="2" x14ac:dyDescent="0.2">
      <c r="B643" t="str">
        <f>+C643&amp;D643&amp;E643&amp;F643</f>
        <v>Middle EastFeedstockFeedstock H2USD/ton NH3</v>
      </c>
      <c r="C643" t="str">
        <f>+$B$622</f>
        <v>Middle East</v>
      </c>
      <c r="D643" t="s">
        <v>777</v>
      </c>
      <c r="E643" s="48" t="s">
        <v>970</v>
      </c>
      <c r="F643" s="128" t="s">
        <v>960</v>
      </c>
      <c r="G643" s="8">
        <f t="shared" ref="G643:M643" si="363">G646*G647</f>
        <v>734.01507855850616</v>
      </c>
      <c r="H643" s="8">
        <f t="shared" si="363"/>
        <v>598.92802479921363</v>
      </c>
      <c r="I643" s="8">
        <f t="shared" si="363"/>
        <v>500.38714467320096</v>
      </c>
      <c r="J643" s="8">
        <f t="shared" si="363"/>
        <v>450.76281048321374</v>
      </c>
      <c r="K643" s="8">
        <f t="shared" si="363"/>
        <v>390.41257769501533</v>
      </c>
      <c r="L643" s="8">
        <f t="shared" si="363"/>
        <v>308.48709652806542</v>
      </c>
      <c r="M643" s="8">
        <f t="shared" si="363"/>
        <v>237.23508899803176</v>
      </c>
    </row>
    <row r="644" spans="2:13" hidden="1" outlineLevel="2" x14ac:dyDescent="0.2">
      <c r="B644" t="str">
        <f>+C644&amp;D644&amp;E644&amp;F644</f>
        <v>Middle EastResultsShare of RNE e-Hydrogen (compressed)%</v>
      </c>
      <c r="C644" t="str">
        <f>+$B$622</f>
        <v>Middle East</v>
      </c>
      <c r="D644" t="s">
        <v>838</v>
      </c>
      <c r="E644" s="48" t="s">
        <v>848</v>
      </c>
      <c r="F644" s="128" t="s">
        <v>178</v>
      </c>
      <c r="G644" s="525">
        <f t="shared" ref="G644:M644" si="364">+INDEX($A:$M,MATCH($B644,$B:$B,0),MATCH(G$2,$2:$2,0))</f>
        <v>0.55775258276340556</v>
      </c>
      <c r="H644" s="525">
        <f t="shared" si="364"/>
        <v>0.54777871920631882</v>
      </c>
      <c r="I644" s="525">
        <f t="shared" si="364"/>
        <v>0.54329231511034226</v>
      </c>
      <c r="J644" s="525">
        <f t="shared" si="364"/>
        <v>0.50331479346130503</v>
      </c>
      <c r="K644" s="525">
        <f t="shared" si="364"/>
        <v>0.51197983528995661</v>
      </c>
      <c r="L644" s="525">
        <f t="shared" si="364"/>
        <v>0.54039947808574196</v>
      </c>
      <c r="M644" s="525">
        <f t="shared" si="364"/>
        <v>0.62724417619460449</v>
      </c>
    </row>
    <row r="645" spans="2:13" hidden="1" outlineLevel="2" x14ac:dyDescent="0.2">
      <c r="B645" t="str">
        <f>+C645&amp;D645&amp;E645&amp;F645</f>
        <v>Middle EastResultsShare of Capex e-Hydrogen (compressed)%</v>
      </c>
      <c r="C645" t="str">
        <f>+$B$622</f>
        <v>Middle East</v>
      </c>
      <c r="D645" t="s">
        <v>838</v>
      </c>
      <c r="E645" s="48" t="s">
        <v>850</v>
      </c>
      <c r="F645" s="128" t="s">
        <v>178</v>
      </c>
      <c r="G645" s="525">
        <f t="shared" ref="G645:M645" si="365">+INDEX(G$4:G$581,MATCH($B645,$B$4:$B$581,0))</f>
        <v>0.20465721439936888</v>
      </c>
      <c r="H645" s="525">
        <f t="shared" si="365"/>
        <v>0.21020082917293301</v>
      </c>
      <c r="I645" s="525">
        <f t="shared" si="365"/>
        <v>0.22017611375581289</v>
      </c>
      <c r="J645" s="525">
        <f t="shared" si="365"/>
        <v>0.25740749275929958</v>
      </c>
      <c r="K645" s="525">
        <f t="shared" si="365"/>
        <v>0.27346911892746345</v>
      </c>
      <c r="L645" s="525">
        <f t="shared" si="365"/>
        <v>0.27643119109331959</v>
      </c>
      <c r="M645" s="525">
        <f t="shared" si="365"/>
        <v>0.23547854986199462</v>
      </c>
    </row>
    <row r="646" spans="2:13" hidden="1" outlineLevel="2" x14ac:dyDescent="0.2">
      <c r="B646" t="str">
        <f>+C646&amp;D646&amp;E646&amp;F646</f>
        <v>GlobalFeedstockConversion H2 : Ammonia (actual)kg H2/kg NH3</v>
      </c>
      <c r="C646" t="s">
        <v>109</v>
      </c>
      <c r="D646" t="s">
        <v>777</v>
      </c>
      <c r="E646" t="s">
        <v>971</v>
      </c>
      <c r="F646" s="128" t="s">
        <v>972</v>
      </c>
      <c r="G646" s="482">
        <f>INDEX('Fuel Model -  Input'!$B$3:$N$373,MATCH($B646,'Fuel Model -  Input'!$B$3:$B$373,0),MATCH(G$2,'Fuel Model -  Input'!$B$3:$N$3,0))</f>
        <v>0.18</v>
      </c>
      <c r="H646" s="482">
        <f>INDEX('Fuel Model -  Input'!$B$3:$N$373,MATCH($B646,'Fuel Model -  Input'!$B$3:$B$373,0),MATCH(H$2,'Fuel Model -  Input'!$B$3:$N$3,0))</f>
        <v>0.18</v>
      </c>
      <c r="I646" s="482">
        <f>INDEX('Fuel Model -  Input'!$B$3:$N$373,MATCH($B646,'Fuel Model -  Input'!$B$3:$B$373,0),MATCH(I$2,'Fuel Model -  Input'!$B$3:$N$3,0))</f>
        <v>0.18</v>
      </c>
      <c r="J646" s="482">
        <f>INDEX('Fuel Model -  Input'!$B$3:$N$373,MATCH($B646,'Fuel Model -  Input'!$B$3:$B$373,0),MATCH(J$2,'Fuel Model -  Input'!$B$3:$N$3,0))</f>
        <v>0.18</v>
      </c>
      <c r="K646" s="482">
        <f>INDEX('Fuel Model -  Input'!$B$3:$N$373,MATCH($B646,'Fuel Model -  Input'!$B$3:$B$373,0),MATCH(K$2,'Fuel Model -  Input'!$B$3:$N$3,0))</f>
        <v>0.18</v>
      </c>
      <c r="L646" s="482">
        <f>INDEX('Fuel Model -  Input'!$B$3:$N$373,MATCH($B646,'Fuel Model -  Input'!$B$3:$B$373,0),MATCH(L$2,'Fuel Model -  Input'!$B$3:$N$3,0))</f>
        <v>0.18</v>
      </c>
      <c r="M646" s="482">
        <f>INDEX('Fuel Model -  Input'!$B$3:$N$373,MATCH($B646,'Fuel Model -  Input'!$B$3:$B$373,0),MATCH(M$2,'Fuel Model -  Input'!$B$3:$N$3,0))</f>
        <v>0.18</v>
      </c>
    </row>
    <row r="647" spans="2:13" hidden="1" outlineLevel="2" x14ac:dyDescent="0.2">
      <c r="B647" t="str">
        <f>+C647&amp;D647&amp;E647&amp;F647</f>
        <v>Middle EastResultsCost of e-Hydrogen (compressed)USD/ton</v>
      </c>
      <c r="C647" t="str">
        <f>B622</f>
        <v>Middle East</v>
      </c>
      <c r="D647" t="s">
        <v>838</v>
      </c>
      <c r="E647" t="s">
        <v>846</v>
      </c>
      <c r="F647" s="128" t="s">
        <v>205</v>
      </c>
      <c r="G647" s="491">
        <f>INDEX(G$4:G646,MATCH($B647,$B$4:$B646,0))</f>
        <v>4077.8615475472566</v>
      </c>
      <c r="H647" s="491">
        <f>INDEX(H$4:H646,MATCH($B647,$B$4:$B646,0))</f>
        <v>3327.377915551187</v>
      </c>
      <c r="I647" s="491">
        <f>INDEX(I$4:I646,MATCH($B647,$B$4:$B646,0))</f>
        <v>2779.9285815177832</v>
      </c>
      <c r="J647" s="491">
        <f>INDEX(J$4:J646,MATCH($B647,$B$4:$B646,0))</f>
        <v>2504.2378360178541</v>
      </c>
      <c r="K647" s="491">
        <f>INDEX(K$4:K646,MATCH($B647,$B$4:$B646,0))</f>
        <v>2168.9587649723076</v>
      </c>
      <c r="L647" s="491">
        <f>INDEX(L$4:L646,MATCH($B647,$B$4:$B646,0))</f>
        <v>1713.817202933697</v>
      </c>
      <c r="M647" s="491">
        <f>INDEX(M$4:M646,MATCH($B647,$B$4:$B646,0))</f>
        <v>1317.972716655732</v>
      </c>
    </row>
    <row r="648" spans="2:13" ht="12.75" hidden="1" outlineLevel="1" x14ac:dyDescent="0.2">
      <c r="F648"/>
    </row>
    <row r="649" spans="2:13" ht="15" hidden="1" outlineLevel="1" collapsed="1" x14ac:dyDescent="0.25">
      <c r="B649" s="30" t="s">
        <v>198</v>
      </c>
      <c r="C649" s="30" t="str">
        <f>+B649</f>
        <v>Asia</v>
      </c>
      <c r="D649" s="30"/>
      <c r="E649" s="30"/>
      <c r="F649" s="30"/>
      <c r="G649" s="30"/>
      <c r="H649" s="30"/>
      <c r="I649" s="30"/>
      <c r="J649" s="30"/>
      <c r="K649" s="30"/>
      <c r="L649" s="30"/>
      <c r="M649" s="30"/>
    </row>
    <row r="650" spans="2:13" ht="15" hidden="1" outlineLevel="2" x14ac:dyDescent="0.25">
      <c r="B650" t="str">
        <f>+C650&amp;D650&amp;E650&amp;F650</f>
        <v>AsiaResultsCost of e-AmmoniaUSD/ton</v>
      </c>
      <c r="C650" t="str">
        <f>+$B$649</f>
        <v>Asia</v>
      </c>
      <c r="D650" s="30" t="s">
        <v>838</v>
      </c>
      <c r="E650" s="30" t="s">
        <v>951</v>
      </c>
      <c r="F650" s="522" t="s">
        <v>205</v>
      </c>
      <c r="G650" s="490">
        <f t="shared" ref="G650:M650" si="366">SUM(G651:G653)</f>
        <v>1579.580653096117</v>
      </c>
      <c r="H650" s="490">
        <f t="shared" si="366"/>
        <v>1070.6095575287031</v>
      </c>
      <c r="I650" s="490">
        <f t="shared" si="366"/>
        <v>756.71816501814601</v>
      </c>
      <c r="J650" s="490">
        <f t="shared" si="366"/>
        <v>664.41540750671697</v>
      </c>
      <c r="K650" s="490">
        <f t="shared" si="366"/>
        <v>577.77837099894293</v>
      </c>
      <c r="L650" s="490">
        <f t="shared" si="366"/>
        <v>473.23342036378403</v>
      </c>
      <c r="M650" s="490">
        <f t="shared" si="366"/>
        <v>387.67660179884467</v>
      </c>
    </row>
    <row r="651" spans="2:13" ht="15" hidden="1" outlineLevel="2" x14ac:dyDescent="0.25">
      <c r="B651" t="str">
        <f>+C651&amp;D651&amp;E651&amp;F651</f>
        <v>AsiaResultsTotal Capex e-AmmoniaUSD/ton</v>
      </c>
      <c r="C651" t="str">
        <f>+$B$649</f>
        <v>Asia</v>
      </c>
      <c r="D651" s="30" t="s">
        <v>838</v>
      </c>
      <c r="E651" s="228" t="s">
        <v>953</v>
      </c>
      <c r="F651" s="522" t="s">
        <v>205</v>
      </c>
      <c r="G651" s="490">
        <f>G655+G670*G672</f>
        <v>401.97148130491786</v>
      </c>
      <c r="H651" s="490">
        <f t="shared" ref="H651:M651" si="367">H655+H670*H672</f>
        <v>280.47850076103509</v>
      </c>
      <c r="I651" s="490">
        <f t="shared" si="367"/>
        <v>167.58996355417977</v>
      </c>
      <c r="J651" s="490">
        <f t="shared" si="367"/>
        <v>170.13389154228602</v>
      </c>
      <c r="K651" s="490">
        <f t="shared" si="367"/>
        <v>157.55745030712239</v>
      </c>
      <c r="L651" s="490">
        <f t="shared" si="367"/>
        <v>132.75462219683965</v>
      </c>
      <c r="M651" s="490">
        <f t="shared" si="367"/>
        <v>100.03044140030443</v>
      </c>
    </row>
    <row r="652" spans="2:13" ht="15" hidden="1" outlineLevel="2" x14ac:dyDescent="0.25">
      <c r="B652" t="str">
        <f>+C652&amp;D652&amp;E652&amp;F652</f>
        <v>AsiaResultsTotal Opex e-AmmoniaUSD/ton</v>
      </c>
      <c r="C652" t="str">
        <f>+$B$649</f>
        <v>Asia</v>
      </c>
      <c r="D652" s="30" t="s">
        <v>838</v>
      </c>
      <c r="E652" s="228" t="s">
        <v>954</v>
      </c>
      <c r="F652" s="522" t="s">
        <v>205</v>
      </c>
      <c r="G652" s="490">
        <f>+G659+G666+G670*(1-SUM(G671:G672))</f>
        <v>355.68563260314806</v>
      </c>
      <c r="H652" s="490">
        <f t="shared" ref="H652:M652" si="368">+H659+H666+H670*(1-SUM(H671:H672))</f>
        <v>256.45476933053567</v>
      </c>
      <c r="I652" s="490">
        <f t="shared" si="368"/>
        <v>163.07870785843278</v>
      </c>
      <c r="J652" s="490">
        <f t="shared" si="368"/>
        <v>149.14403336489846</v>
      </c>
      <c r="K652" s="490">
        <f t="shared" si="368"/>
        <v>122.17733782146885</v>
      </c>
      <c r="L652" s="490">
        <f t="shared" si="368"/>
        <v>92.019488222365908</v>
      </c>
      <c r="M652" s="490">
        <f t="shared" si="368"/>
        <v>65.510818134140038</v>
      </c>
    </row>
    <row r="653" spans="2:13" ht="15" hidden="1" outlineLevel="2" x14ac:dyDescent="0.25">
      <c r="B653" t="str">
        <f>+C653&amp;D653&amp;E653&amp;F653</f>
        <v>AsiaResultsTotal RNE e-AmmoniaUSD/ton</v>
      </c>
      <c r="C653" t="str">
        <f>+$B$649</f>
        <v>Asia</v>
      </c>
      <c r="D653" s="30" t="s">
        <v>838</v>
      </c>
      <c r="E653" s="228" t="s">
        <v>955</v>
      </c>
      <c r="F653" s="522" t="s">
        <v>205</v>
      </c>
      <c r="G653" s="490">
        <f>+G662+G670*G671</f>
        <v>821.92353918805111</v>
      </c>
      <c r="H653" s="490">
        <f t="shared" ref="H653:M653" si="369">+H662+H670*H671</f>
        <v>533.67628743713237</v>
      </c>
      <c r="I653" s="490">
        <f t="shared" si="369"/>
        <v>426.04949360553348</v>
      </c>
      <c r="J653" s="490">
        <f t="shared" si="369"/>
        <v>345.13748259953246</v>
      </c>
      <c r="K653" s="490">
        <f t="shared" si="369"/>
        <v>298.04358287035166</v>
      </c>
      <c r="L653" s="490">
        <f t="shared" si="369"/>
        <v>248.45930994457848</v>
      </c>
      <c r="M653" s="490">
        <f t="shared" si="369"/>
        <v>222.13534226440024</v>
      </c>
    </row>
    <row r="654" spans="2:13" hidden="1" outlineLevel="2" x14ac:dyDescent="0.2">
      <c r="E654" s="48"/>
      <c r="F654" s="128"/>
      <c r="G654" s="8"/>
      <c r="H654" s="8"/>
      <c r="I654" s="8"/>
      <c r="J654" s="8"/>
      <c r="K654" s="8"/>
      <c r="L654" s="8"/>
      <c r="M654" s="8"/>
    </row>
    <row r="655" spans="2:13" hidden="1" outlineLevel="2" x14ac:dyDescent="0.2">
      <c r="B655" t="str">
        <f>+C655&amp;D655&amp;E655&amp;F655</f>
        <v>AsiaCapexCapex per yearUSD m/year</v>
      </c>
      <c r="C655" t="str">
        <f>+$B$649</f>
        <v>Asia</v>
      </c>
      <c r="D655" t="s">
        <v>218</v>
      </c>
      <c r="E655" t="s">
        <v>956</v>
      </c>
      <c r="F655" s="128" t="s">
        <v>957</v>
      </c>
      <c r="G655" s="523">
        <f t="shared" ref="G655:M655" si="370">G657/G656</f>
        <v>251.75000000000006</v>
      </c>
      <c r="H655" s="523">
        <f t="shared" si="370"/>
        <v>154.58333333333337</v>
      </c>
      <c r="I655" s="523">
        <f t="shared" si="370"/>
        <v>57.416666666666679</v>
      </c>
      <c r="J655" s="523">
        <f t="shared" si="370"/>
        <v>54.104166666666679</v>
      </c>
      <c r="K655" s="523">
        <f t="shared" si="370"/>
        <v>50.791666666666679</v>
      </c>
      <c r="L655" s="523">
        <f t="shared" si="370"/>
        <v>47.479166666666679</v>
      </c>
      <c r="M655" s="523">
        <f t="shared" si="370"/>
        <v>44.166666666666679</v>
      </c>
    </row>
    <row r="656" spans="2:13" hidden="1" outlineLevel="2" x14ac:dyDescent="0.2">
      <c r="B656" t="str">
        <f>+C656&amp;D656&amp;E656&amp;F656</f>
        <v>GlobalPlant capexAnnualisation factor#</v>
      </c>
      <c r="C656" t="s">
        <v>109</v>
      </c>
      <c r="D656" t="s">
        <v>786</v>
      </c>
      <c r="E656" t="s">
        <v>764</v>
      </c>
      <c r="F656" s="450" t="s">
        <v>787</v>
      </c>
      <c r="G656" s="491">
        <f>INDEX('Fuel Model -  Input'!$B$3:$N$373,MATCH($B656,'Fuel Model -  Input'!$B$3:$B$373,0),MATCH(G$2,'Fuel Model -  Input'!$B$3:$N$3,0))</f>
        <v>11.32075471698113</v>
      </c>
      <c r="H656" s="491">
        <f>INDEX('Fuel Model -  Input'!$B$3:$N$373,MATCH($B656,'Fuel Model -  Input'!$B$3:$B$373,0),MATCH(H$2,'Fuel Model -  Input'!$B$3:$N$3,0))</f>
        <v>11.32075471698113</v>
      </c>
      <c r="I656" s="491">
        <f>INDEX('Fuel Model -  Input'!$B$3:$N$373,MATCH($B656,'Fuel Model -  Input'!$B$3:$B$373,0),MATCH(I$2,'Fuel Model -  Input'!$B$3:$N$3,0))</f>
        <v>11.32075471698113</v>
      </c>
      <c r="J656" s="491">
        <f>INDEX('Fuel Model -  Input'!$B$3:$N$373,MATCH($B656,'Fuel Model -  Input'!$B$3:$B$373,0),MATCH(J$2,'Fuel Model -  Input'!$B$3:$N$3,0))</f>
        <v>11.32075471698113</v>
      </c>
      <c r="K656" s="491">
        <f>INDEX('Fuel Model -  Input'!$B$3:$N$373,MATCH($B656,'Fuel Model -  Input'!$B$3:$B$373,0),MATCH(K$2,'Fuel Model -  Input'!$B$3:$N$3,0))</f>
        <v>11.32075471698113</v>
      </c>
      <c r="L656" s="491">
        <f>INDEX('Fuel Model -  Input'!$B$3:$N$373,MATCH($B656,'Fuel Model -  Input'!$B$3:$B$373,0),MATCH(L$2,'Fuel Model -  Input'!$B$3:$N$3,0))</f>
        <v>11.32075471698113</v>
      </c>
      <c r="M656" s="491">
        <f>INDEX('Fuel Model -  Input'!$B$3:$N$373,MATCH($B656,'Fuel Model -  Input'!$B$3:$B$373,0),MATCH(M$2,'Fuel Model -  Input'!$B$3:$N$3,0))</f>
        <v>11.32075471698113</v>
      </c>
    </row>
    <row r="657" spans="2:13" hidden="1" outlineLevel="2" x14ac:dyDescent="0.2">
      <c r="B657" t="str">
        <f>+C657&amp;D657&amp;E657&amp;F657</f>
        <v>GlobalCapexAmmonia plant unit costUSD/ ton NH3</v>
      </c>
      <c r="C657" t="s">
        <v>109</v>
      </c>
      <c r="D657" t="s">
        <v>218</v>
      </c>
      <c r="E657" t="s">
        <v>958</v>
      </c>
      <c r="F657" s="128" t="s">
        <v>959</v>
      </c>
      <c r="G657" s="491">
        <f>INDEX('Fuel Model -  Input'!$B$3:$N$373,MATCH($B657,'Fuel Model -  Input'!$B$3:$B$373,0),MATCH(G$2,'Fuel Model -  Input'!$B$3:$N$3,0))</f>
        <v>2850</v>
      </c>
      <c r="H657" s="491">
        <f>INDEX('Fuel Model -  Input'!$B$3:$N$373,MATCH($B657,'Fuel Model -  Input'!$B$3:$B$373,0),MATCH(H$2,'Fuel Model -  Input'!$B$3:$N$3,0))</f>
        <v>1750</v>
      </c>
      <c r="I657" s="491">
        <f>INDEX('Fuel Model -  Input'!$B$3:$N$373,MATCH($B657,'Fuel Model -  Input'!$B$3:$B$373,0),MATCH(I$2,'Fuel Model -  Input'!$B$3:$N$3,0))</f>
        <v>650</v>
      </c>
      <c r="J657" s="491">
        <f>INDEX('Fuel Model -  Input'!$B$3:$N$373,MATCH($B657,'Fuel Model -  Input'!$B$3:$B$373,0),MATCH(J$2,'Fuel Model -  Input'!$B$3:$N$3,0))</f>
        <v>612.5</v>
      </c>
      <c r="K657" s="491">
        <f>INDEX('Fuel Model -  Input'!$B$3:$N$373,MATCH($B657,'Fuel Model -  Input'!$B$3:$B$373,0),MATCH(K$2,'Fuel Model -  Input'!$B$3:$N$3,0))</f>
        <v>575</v>
      </c>
      <c r="L657" s="491">
        <f>INDEX('Fuel Model -  Input'!$B$3:$N$373,MATCH($B657,'Fuel Model -  Input'!$B$3:$B$373,0),MATCH(L$2,'Fuel Model -  Input'!$B$3:$N$3,0))</f>
        <v>537.5</v>
      </c>
      <c r="M657" s="491">
        <f>INDEX('Fuel Model -  Input'!$B$3:$N$373,MATCH($B657,'Fuel Model -  Input'!$B$3:$B$373,0),MATCH(M$2,'Fuel Model -  Input'!$B$3:$N$3,0))</f>
        <v>500</v>
      </c>
    </row>
    <row r="658" spans="2:13" hidden="1" outlineLevel="2" x14ac:dyDescent="0.2">
      <c r="E658" s="48"/>
      <c r="F658" s="128"/>
      <c r="G658" s="8"/>
      <c r="H658" s="8"/>
      <c r="I658" s="8"/>
      <c r="J658" s="8"/>
      <c r="K658" s="8"/>
      <c r="L658" s="8"/>
      <c r="M658" s="8"/>
    </row>
    <row r="659" spans="2:13" hidden="1" outlineLevel="2" x14ac:dyDescent="0.2">
      <c r="B659" t="str">
        <f>+C659&amp;D659&amp;E659&amp;F659</f>
        <v>AsiaOpexOpexUSD/ton NH3</v>
      </c>
      <c r="C659" t="str">
        <f>+$B$649</f>
        <v>Asia</v>
      </c>
      <c r="D659" t="s">
        <v>219</v>
      </c>
      <c r="E659" s="48" t="s">
        <v>219</v>
      </c>
      <c r="F659" s="128" t="s">
        <v>960</v>
      </c>
      <c r="G659" s="8">
        <f t="shared" ref="G659:M659" si="371">G657*G660</f>
        <v>114</v>
      </c>
      <c r="H659" s="8">
        <f t="shared" si="371"/>
        <v>70</v>
      </c>
      <c r="I659" s="8">
        <f t="shared" si="371"/>
        <v>26</v>
      </c>
      <c r="J659" s="8">
        <f t="shared" si="371"/>
        <v>24.5</v>
      </c>
      <c r="K659" s="8">
        <f t="shared" si="371"/>
        <v>23</v>
      </c>
      <c r="L659" s="8">
        <f t="shared" si="371"/>
        <v>21.5</v>
      </c>
      <c r="M659" s="8">
        <f t="shared" si="371"/>
        <v>20</v>
      </c>
    </row>
    <row r="660" spans="2:13" hidden="1" outlineLevel="2" x14ac:dyDescent="0.2">
      <c r="B660" t="str">
        <f>+C660&amp;D660&amp;E660&amp;F660</f>
        <v>GlobalOpexPlant - Ammonia synthesis - opexPercent of Capex</v>
      </c>
      <c r="C660" t="s">
        <v>109</v>
      </c>
      <c r="D660" t="s">
        <v>219</v>
      </c>
      <c r="E660" s="48" t="s">
        <v>961</v>
      </c>
      <c r="F660" s="128" t="s">
        <v>883</v>
      </c>
      <c r="G660" s="467">
        <f>INDEX('Fuel Model -  Input'!$B$3:$N$373,MATCH($B660,'Fuel Model -  Input'!$B$3:$B$373,0),MATCH(G$2,'Fuel Model -  Input'!$B$3:$N$3,0))</f>
        <v>0.04</v>
      </c>
      <c r="H660" s="467">
        <f>INDEX('Fuel Model -  Input'!$B$3:$N$373,MATCH($B660,'Fuel Model -  Input'!$B$3:$B$373,0),MATCH(H$2,'Fuel Model -  Input'!$B$3:$N$3,0))</f>
        <v>0.04</v>
      </c>
      <c r="I660" s="467">
        <f>INDEX('Fuel Model -  Input'!$B$3:$N$373,MATCH($B660,'Fuel Model -  Input'!$B$3:$B$373,0),MATCH(I$2,'Fuel Model -  Input'!$B$3:$N$3,0))</f>
        <v>0.04</v>
      </c>
      <c r="J660" s="467">
        <f>INDEX('Fuel Model -  Input'!$B$3:$N$373,MATCH($B660,'Fuel Model -  Input'!$B$3:$B$373,0),MATCH(J$2,'Fuel Model -  Input'!$B$3:$N$3,0))</f>
        <v>0.04</v>
      </c>
      <c r="K660" s="467">
        <f>INDEX('Fuel Model -  Input'!$B$3:$N$373,MATCH($B660,'Fuel Model -  Input'!$B$3:$B$373,0),MATCH(K$2,'Fuel Model -  Input'!$B$3:$N$3,0))</f>
        <v>0.04</v>
      </c>
      <c r="L660" s="467">
        <f>INDEX('Fuel Model -  Input'!$B$3:$N$373,MATCH($B660,'Fuel Model -  Input'!$B$3:$B$373,0),MATCH(L$2,'Fuel Model -  Input'!$B$3:$N$3,0))</f>
        <v>0.04</v>
      </c>
      <c r="M660" s="467">
        <f>INDEX('Fuel Model -  Input'!$B$3:$N$373,MATCH($B660,'Fuel Model -  Input'!$B$3:$B$373,0),MATCH(M$2,'Fuel Model -  Input'!$B$3:$N$3,0))</f>
        <v>0.04</v>
      </c>
    </row>
    <row r="661" spans="2:13" hidden="1" outlineLevel="2" x14ac:dyDescent="0.2">
      <c r="E661" s="48"/>
      <c r="F661" s="128"/>
      <c r="G661" s="8"/>
      <c r="H661" s="8"/>
      <c r="I661" s="8"/>
      <c r="J661" s="8"/>
      <c r="K661" s="8"/>
      <c r="L661" s="8"/>
      <c r="M661" s="8"/>
    </row>
    <row r="662" spans="2:13" hidden="1" outlineLevel="2" x14ac:dyDescent="0.2">
      <c r="B662" t="str">
        <f>+C662&amp;D662&amp;E662&amp;F662</f>
        <v>AsiaSynthesisElectricity costUSD/ton NH3</v>
      </c>
      <c r="C662" t="str">
        <f>+$B$649</f>
        <v>Asia</v>
      </c>
      <c r="D662" t="s">
        <v>962</v>
      </c>
      <c r="E662" s="48" t="s">
        <v>94</v>
      </c>
      <c r="F662" s="128" t="s">
        <v>960</v>
      </c>
      <c r="G662" s="260">
        <f t="shared" ref="G662:M662" si="372">G663*G664</f>
        <v>20.515421537181513</v>
      </c>
      <c r="H662" s="260">
        <f t="shared" si="372"/>
        <v>13.382053345966208</v>
      </c>
      <c r="I662" s="260">
        <f t="shared" si="372"/>
        <v>10.823373408914232</v>
      </c>
      <c r="J662" s="260">
        <f t="shared" si="372"/>
        <v>9.0842664472324071</v>
      </c>
      <c r="K662" s="260">
        <f t="shared" si="372"/>
        <v>8.2000623332277502</v>
      </c>
      <c r="L662" s="260">
        <f t="shared" si="372"/>
        <v>7.2745410347109249</v>
      </c>
      <c r="M662" s="260">
        <f t="shared" si="372"/>
        <v>6.850109234747757</v>
      </c>
    </row>
    <row r="663" spans="2:13" hidden="1" outlineLevel="2" x14ac:dyDescent="0.2">
      <c r="B663" t="str">
        <f>+C663&amp;D663&amp;E663&amp;F663</f>
        <v>AsiaFeedstockElectricityUSD/MWh</v>
      </c>
      <c r="C663" t="str">
        <f>+$B$649</f>
        <v>Asia</v>
      </c>
      <c r="D663" t="s">
        <v>777</v>
      </c>
      <c r="E663" s="48" t="s">
        <v>54</v>
      </c>
      <c r="F663" s="128" t="s">
        <v>196</v>
      </c>
      <c r="G663" s="491">
        <f>INDEX('Fuel Model -  Input'!$B$3:$N$373,MATCH($B663,'Fuel Model -  Input'!$B$3:$B$373,0),MATCH(G$2,'Fuel Model -  Input'!$B$3:$N$3,0))</f>
        <v>82.061686148726054</v>
      </c>
      <c r="H663" s="491">
        <f>INDEX('Fuel Model -  Input'!$B$3:$N$373,MATCH($B663,'Fuel Model -  Input'!$B$3:$B$373,0),MATCH(H$2,'Fuel Model -  Input'!$B$3:$N$3,0))</f>
        <v>53.528213383864831</v>
      </c>
      <c r="I663" s="491">
        <f>INDEX('Fuel Model -  Input'!$B$3:$N$373,MATCH($B663,'Fuel Model -  Input'!$B$3:$B$373,0),MATCH(I$2,'Fuel Model -  Input'!$B$3:$N$3,0))</f>
        <v>43.29349363565693</v>
      </c>
      <c r="J663" s="491">
        <f>INDEX('Fuel Model -  Input'!$B$3:$N$373,MATCH($B663,'Fuel Model -  Input'!$B$3:$B$373,0),MATCH(J$2,'Fuel Model -  Input'!$B$3:$N$3,0))</f>
        <v>36.337065788929628</v>
      </c>
      <c r="K663" s="491">
        <f>INDEX('Fuel Model -  Input'!$B$3:$N$373,MATCH($B663,'Fuel Model -  Input'!$B$3:$B$373,0),MATCH(K$2,'Fuel Model -  Input'!$B$3:$N$3,0))</f>
        <v>32.800249332911001</v>
      </c>
      <c r="L663" s="491">
        <f>INDEX('Fuel Model -  Input'!$B$3:$N$373,MATCH($B663,'Fuel Model -  Input'!$B$3:$B$373,0),MATCH(L$2,'Fuel Model -  Input'!$B$3:$N$3,0))</f>
        <v>29.0981641388437</v>
      </c>
      <c r="M663" s="491">
        <f>INDEX('Fuel Model -  Input'!$B$3:$N$373,MATCH($B663,'Fuel Model -  Input'!$B$3:$B$373,0),MATCH(M$2,'Fuel Model -  Input'!$B$3:$N$3,0))</f>
        <v>27.400436938991028</v>
      </c>
    </row>
    <row r="664" spans="2:13" hidden="1" outlineLevel="2" x14ac:dyDescent="0.2">
      <c r="B664" t="str">
        <f>+C664&amp;D664&amp;E664&amp;F664</f>
        <v>GlobalSynthesisElectricity demandmWh/ton NH3</v>
      </c>
      <c r="C664" t="s">
        <v>109</v>
      </c>
      <c r="D664" t="s">
        <v>962</v>
      </c>
      <c r="E664" s="48" t="s">
        <v>963</v>
      </c>
      <c r="F664" s="128" t="s">
        <v>964</v>
      </c>
      <c r="G664" s="482">
        <f>INDEX('Fuel Model -  Input'!$B$3:$N$373,MATCH($B664,'Fuel Model -  Input'!$B$3:$B$373,0),MATCH(G$2,'Fuel Model -  Input'!$B$3:$N$3,0))</f>
        <v>0.25</v>
      </c>
      <c r="H664" s="482">
        <f>INDEX('Fuel Model -  Input'!$B$3:$N$373,MATCH($B664,'Fuel Model -  Input'!$B$3:$B$373,0),MATCH(H$2,'Fuel Model -  Input'!$B$3:$N$3,0))</f>
        <v>0.25</v>
      </c>
      <c r="I664" s="482">
        <f>INDEX('Fuel Model -  Input'!$B$3:$N$373,MATCH($B664,'Fuel Model -  Input'!$B$3:$B$373,0),MATCH(I$2,'Fuel Model -  Input'!$B$3:$N$3,0))</f>
        <v>0.25</v>
      </c>
      <c r="J664" s="482">
        <f>INDEX('Fuel Model -  Input'!$B$3:$N$373,MATCH($B664,'Fuel Model -  Input'!$B$3:$B$373,0),MATCH(J$2,'Fuel Model -  Input'!$B$3:$N$3,0))</f>
        <v>0.25</v>
      </c>
      <c r="K664" s="482">
        <f>INDEX('Fuel Model -  Input'!$B$3:$N$373,MATCH($B664,'Fuel Model -  Input'!$B$3:$B$373,0),MATCH(K$2,'Fuel Model -  Input'!$B$3:$N$3,0))</f>
        <v>0.25</v>
      </c>
      <c r="L664" s="482">
        <f>INDEX('Fuel Model -  Input'!$B$3:$N$373,MATCH($B664,'Fuel Model -  Input'!$B$3:$B$373,0),MATCH(L$2,'Fuel Model -  Input'!$B$3:$N$3,0))</f>
        <v>0.25</v>
      </c>
      <c r="M664" s="482">
        <f>INDEX('Fuel Model -  Input'!$B$3:$N$373,MATCH($B664,'Fuel Model -  Input'!$B$3:$B$373,0),MATCH(M$2,'Fuel Model -  Input'!$B$3:$N$3,0))</f>
        <v>0.25</v>
      </c>
    </row>
    <row r="665" spans="2:13" hidden="1" outlineLevel="2" x14ac:dyDescent="0.2">
      <c r="E665" s="48"/>
      <c r="F665" s="128"/>
      <c r="G665" s="524"/>
      <c r="H665" s="524"/>
      <c r="I665" s="524"/>
      <c r="J665" s="524"/>
      <c r="K665" s="524"/>
      <c r="L665" s="524"/>
      <c r="M665" s="524"/>
    </row>
    <row r="666" spans="2:13" hidden="1" outlineLevel="2" x14ac:dyDescent="0.2">
      <c r="B666" t="str">
        <f>+C666&amp;D666&amp;E666&amp;F666</f>
        <v>AsiaFeedstockFeedstock N2USD/ton NH3</v>
      </c>
      <c r="C666" t="str">
        <f>+$B$649</f>
        <v>Asia</v>
      </c>
      <c r="D666" t="s">
        <v>777</v>
      </c>
      <c r="E666" s="48" t="s">
        <v>965</v>
      </c>
      <c r="F666" s="128" t="s">
        <v>960</v>
      </c>
      <c r="G666" s="77">
        <f>G667*G668</f>
        <v>67.290841202850586</v>
      </c>
      <c r="H666" s="77">
        <f t="shared" ref="H666" si="373">H667*H668</f>
        <v>41.501938280307378</v>
      </c>
      <c r="I666" s="77">
        <f t="shared" ref="I666" si="374">I667*I668</f>
        <v>18.721350353702</v>
      </c>
      <c r="J666" s="77">
        <f t="shared" ref="J666" si="375">J667*J668</f>
        <v>16.786538615700032</v>
      </c>
      <c r="K666" s="77">
        <f t="shared" ref="K666" si="376">K667*K668</f>
        <v>15.413910990330571</v>
      </c>
      <c r="L666" s="77">
        <f t="shared" ref="L666" si="377">L667*L668</f>
        <v>14.014113184425904</v>
      </c>
      <c r="M666" s="77">
        <f t="shared" ref="M666" si="378">M667*M668</f>
        <v>12.943831832770128</v>
      </c>
    </row>
    <row r="667" spans="2:13" hidden="1" outlineLevel="2" x14ac:dyDescent="0.2">
      <c r="B667" t="str">
        <f>+C667&amp;D667&amp;E667&amp;F667</f>
        <v>GlobalFeedstockConversion N2 : Ammonia (actual)kg N2/kg NH3</v>
      </c>
      <c r="C667" t="s">
        <v>109</v>
      </c>
      <c r="D667" t="s">
        <v>777</v>
      </c>
      <c r="E667" t="s">
        <v>966</v>
      </c>
      <c r="F667" s="128" t="s">
        <v>967</v>
      </c>
      <c r="G667" s="482">
        <f>INDEX('Fuel Model -  Input'!$B$3:$N$373,MATCH($B667,'Fuel Model -  Input'!$B$3:$B$373,0),MATCH(G$2,'Fuel Model -  Input'!$B$3:$N$3,0))</f>
        <v>0.82199999999999995</v>
      </c>
      <c r="H667" s="482">
        <f>INDEX('Fuel Model -  Input'!$B$3:$N$373,MATCH($B667,'Fuel Model -  Input'!$B$3:$B$373,0),MATCH(H$2,'Fuel Model -  Input'!$B$3:$N$3,0))</f>
        <v>0.82199999999999995</v>
      </c>
      <c r="I667" s="482">
        <f>INDEX('Fuel Model -  Input'!$B$3:$N$373,MATCH($B667,'Fuel Model -  Input'!$B$3:$B$373,0),MATCH(I$2,'Fuel Model -  Input'!$B$3:$N$3,0))</f>
        <v>0.82199999999999995</v>
      </c>
      <c r="J667" s="482">
        <f>INDEX('Fuel Model -  Input'!$B$3:$N$373,MATCH($B667,'Fuel Model -  Input'!$B$3:$B$373,0),MATCH(J$2,'Fuel Model -  Input'!$B$3:$N$3,0))</f>
        <v>0.82199999999999995</v>
      </c>
      <c r="K667" s="482">
        <f>INDEX('Fuel Model -  Input'!$B$3:$N$373,MATCH($B667,'Fuel Model -  Input'!$B$3:$B$373,0),MATCH(K$2,'Fuel Model -  Input'!$B$3:$N$3,0))</f>
        <v>0.82199999999999995</v>
      </c>
      <c r="L667" s="482">
        <f>INDEX('Fuel Model -  Input'!$B$3:$N$373,MATCH($B667,'Fuel Model -  Input'!$B$3:$B$373,0),MATCH(L$2,'Fuel Model -  Input'!$B$3:$N$3,0))</f>
        <v>0.82199999999999995</v>
      </c>
      <c r="M667" s="482">
        <f>INDEX('Fuel Model -  Input'!$B$3:$N$373,MATCH($B667,'Fuel Model -  Input'!$B$3:$B$373,0),MATCH(M$2,'Fuel Model -  Input'!$B$3:$N$3,0))</f>
        <v>0.82199999999999995</v>
      </c>
    </row>
    <row r="668" spans="2:13" hidden="1" outlineLevel="2" x14ac:dyDescent="0.2">
      <c r="B668" t="str">
        <f>+C668&amp;D668&amp;E668&amp;F668</f>
        <v>AsiaFeedstockCost of N2USD/ton</v>
      </c>
      <c r="C668" t="s">
        <v>198</v>
      </c>
      <c r="D668" t="s">
        <v>777</v>
      </c>
      <c r="E668" t="s">
        <v>968</v>
      </c>
      <c r="F668" s="128" t="s">
        <v>205</v>
      </c>
      <c r="G668" s="482">
        <f t="shared" ref="G668:M668" si="379">INDEX(G$1654:G$1658,MATCH($B668,$B$1654:$B$1658,0))</f>
        <v>81.862337229745236</v>
      </c>
      <c r="H668" s="482">
        <f t="shared" si="379"/>
        <v>50.488976010106306</v>
      </c>
      <c r="I668" s="482">
        <f t="shared" si="379"/>
        <v>22.775365393798054</v>
      </c>
      <c r="J668" s="482">
        <f t="shared" si="379"/>
        <v>20.421579824452593</v>
      </c>
      <c r="K668" s="482">
        <f t="shared" si="379"/>
        <v>18.751716533248871</v>
      </c>
      <c r="L668" s="482">
        <f t="shared" si="379"/>
        <v>17.048799494435407</v>
      </c>
      <c r="M668" s="482">
        <f t="shared" si="379"/>
        <v>15.746754054464876</v>
      </c>
    </row>
    <row r="669" spans="2:13" hidden="1" outlineLevel="2" x14ac:dyDescent="0.2">
      <c r="F669" s="128"/>
      <c r="G669" s="520"/>
      <c r="H669" s="520"/>
      <c r="I669" s="520"/>
      <c r="J669" s="520"/>
      <c r="K669" s="520"/>
      <c r="L669" s="520"/>
      <c r="M669" s="520"/>
    </row>
    <row r="670" spans="2:13" hidden="1" outlineLevel="2" x14ac:dyDescent="0.2">
      <c r="B670" t="str">
        <f>+C670&amp;D670&amp;E670&amp;F670</f>
        <v>AsiaFeedstockFeedstock H2USD/ton NH3</v>
      </c>
      <c r="C670" t="str">
        <f>+$B$649</f>
        <v>Asia</v>
      </c>
      <c r="D670" t="s">
        <v>777</v>
      </c>
      <c r="E670" s="48" t="s">
        <v>970</v>
      </c>
      <c r="F670" s="128" t="s">
        <v>960</v>
      </c>
      <c r="G670" s="8">
        <f t="shared" ref="G670:M670" si="380">G673*G674</f>
        <v>1126.024390356085</v>
      </c>
      <c r="H670" s="8">
        <f t="shared" si="380"/>
        <v>791.14223256909622</v>
      </c>
      <c r="I670" s="8">
        <f t="shared" si="380"/>
        <v>643.7567745888631</v>
      </c>
      <c r="J670" s="8">
        <f t="shared" si="380"/>
        <v>559.94043577711784</v>
      </c>
      <c r="K670" s="8">
        <f t="shared" si="380"/>
        <v>480.37273100871789</v>
      </c>
      <c r="L670" s="8">
        <f t="shared" si="380"/>
        <v>382.9655994779805</v>
      </c>
      <c r="M670" s="8">
        <f t="shared" si="380"/>
        <v>303.71599406466015</v>
      </c>
    </row>
    <row r="671" spans="2:13" hidden="1" outlineLevel="2" x14ac:dyDescent="0.2">
      <c r="B671" t="str">
        <f>+C671&amp;D671&amp;E671&amp;F671</f>
        <v>AsiaResultsShare of RNE e-Hydrogen (compressed)%</v>
      </c>
      <c r="C671" t="str">
        <f>+$B$649</f>
        <v>Asia</v>
      </c>
      <c r="D671" t="s">
        <v>838</v>
      </c>
      <c r="E671" s="48" t="s">
        <v>848</v>
      </c>
      <c r="F671" s="128" t="s">
        <v>178</v>
      </c>
      <c r="G671" s="525">
        <f t="shared" ref="G671:M671" si="381">+INDEX($A:$M,MATCH($B671,$B:$B,0),MATCH(G$2,$2:$2,0))</f>
        <v>0.71171470575112383</v>
      </c>
      <c r="H671" s="525">
        <f t="shared" si="381"/>
        <v>0.65764942468259024</v>
      </c>
      <c r="I671" s="525">
        <f t="shared" si="381"/>
        <v>0.64500466105666143</v>
      </c>
      <c r="J671" s="525">
        <f t="shared" si="381"/>
        <v>0.6001588645512016</v>
      </c>
      <c r="K671" s="525">
        <f t="shared" si="381"/>
        <v>0.60337213548423452</v>
      </c>
      <c r="L671" s="525">
        <f t="shared" si="381"/>
        <v>0.62978181131314648</v>
      </c>
      <c r="M671" s="525">
        <f t="shared" si="381"/>
        <v>0.70883732578080483</v>
      </c>
    </row>
    <row r="672" spans="2:13" hidden="1" outlineLevel="2" x14ac:dyDescent="0.2">
      <c r="B672" t="str">
        <f>+C672&amp;D672&amp;E672&amp;F672</f>
        <v>AsiaResultsShare of Capex e-Hydrogen (compressed)%</v>
      </c>
      <c r="C672" t="str">
        <f>+$B$649</f>
        <v>Asia</v>
      </c>
      <c r="D672" t="s">
        <v>838</v>
      </c>
      <c r="E672" s="48" t="s">
        <v>850</v>
      </c>
      <c r="F672" s="128" t="s">
        <v>178</v>
      </c>
      <c r="G672" s="525">
        <f t="shared" ref="G672:M672" si="382">+INDEX(G$4:G$581,MATCH($B672,$B$4:$B$581,0))</f>
        <v>0.13340872772517207</v>
      </c>
      <c r="H672" s="525">
        <f t="shared" si="382"/>
        <v>0.15913088980078732</v>
      </c>
      <c r="I672" s="525">
        <f t="shared" si="382"/>
        <v>0.17114118442928317</v>
      </c>
      <c r="J672" s="525">
        <f t="shared" si="382"/>
        <v>0.20721797795257735</v>
      </c>
      <c r="K672" s="525">
        <f t="shared" si="382"/>
        <v>0.22225612893609092</v>
      </c>
      <c r="L672" s="525">
        <f t="shared" si="382"/>
        <v>0.22267131994730532</v>
      </c>
      <c r="M672" s="525">
        <f t="shared" si="382"/>
        <v>0.18393425379416975</v>
      </c>
    </row>
    <row r="673" spans="2:13" hidden="1" outlineLevel="2" x14ac:dyDescent="0.2">
      <c r="B673" t="str">
        <f>+C673&amp;D673&amp;E673&amp;F673</f>
        <v>GlobalFeedstockConversion H2 : Ammonia (actual)kg H2/kg NH3</v>
      </c>
      <c r="C673" t="s">
        <v>109</v>
      </c>
      <c r="D673" t="s">
        <v>777</v>
      </c>
      <c r="E673" t="s">
        <v>971</v>
      </c>
      <c r="F673" s="128" t="s">
        <v>972</v>
      </c>
      <c r="G673" s="482">
        <f>INDEX('Fuel Model -  Input'!$B$3:$N$373,MATCH($B673,'Fuel Model -  Input'!$B$3:$B$373,0),MATCH(G$2,'Fuel Model -  Input'!$B$3:$N$3,0))</f>
        <v>0.18</v>
      </c>
      <c r="H673" s="482">
        <f>INDEX('Fuel Model -  Input'!$B$3:$N$373,MATCH($B673,'Fuel Model -  Input'!$B$3:$B$373,0),MATCH(H$2,'Fuel Model -  Input'!$B$3:$N$3,0))</f>
        <v>0.18</v>
      </c>
      <c r="I673" s="482">
        <f>INDEX('Fuel Model -  Input'!$B$3:$N$373,MATCH($B673,'Fuel Model -  Input'!$B$3:$B$373,0),MATCH(I$2,'Fuel Model -  Input'!$B$3:$N$3,0))</f>
        <v>0.18</v>
      </c>
      <c r="J673" s="482">
        <f>INDEX('Fuel Model -  Input'!$B$3:$N$373,MATCH($B673,'Fuel Model -  Input'!$B$3:$B$373,0),MATCH(J$2,'Fuel Model -  Input'!$B$3:$N$3,0))</f>
        <v>0.18</v>
      </c>
      <c r="K673" s="482">
        <f>INDEX('Fuel Model -  Input'!$B$3:$N$373,MATCH($B673,'Fuel Model -  Input'!$B$3:$B$373,0),MATCH(K$2,'Fuel Model -  Input'!$B$3:$N$3,0))</f>
        <v>0.18</v>
      </c>
      <c r="L673" s="482">
        <f>INDEX('Fuel Model -  Input'!$B$3:$N$373,MATCH($B673,'Fuel Model -  Input'!$B$3:$B$373,0),MATCH(L$2,'Fuel Model -  Input'!$B$3:$N$3,0))</f>
        <v>0.18</v>
      </c>
      <c r="M673" s="482">
        <f>INDEX('Fuel Model -  Input'!$B$3:$N$373,MATCH($B673,'Fuel Model -  Input'!$B$3:$B$373,0),MATCH(M$2,'Fuel Model -  Input'!$B$3:$N$3,0))</f>
        <v>0.18</v>
      </c>
    </row>
    <row r="674" spans="2:13" hidden="1" outlineLevel="2" x14ac:dyDescent="0.2">
      <c r="B674" t="str">
        <f>+C674&amp;D674&amp;E674&amp;F674</f>
        <v>AsiaResultsCost of e-Hydrogen (compressed)USD/ton</v>
      </c>
      <c r="C674" t="str">
        <f>+$B$649</f>
        <v>Asia</v>
      </c>
      <c r="D674" t="s">
        <v>838</v>
      </c>
      <c r="E674" t="s">
        <v>846</v>
      </c>
      <c r="F674" s="128" t="s">
        <v>205</v>
      </c>
      <c r="G674" s="491">
        <f>INDEX(G$4:G673,MATCH($B674,$B$4:$B673,0))</f>
        <v>6255.6910575338052</v>
      </c>
      <c r="H674" s="491">
        <f>INDEX(H$4:H673,MATCH($B674,$B$4:$B673,0))</f>
        <v>4395.2346253838678</v>
      </c>
      <c r="I674" s="491">
        <f>INDEX(I$4:I673,MATCH($B674,$B$4:$B673,0))</f>
        <v>3576.426525493684</v>
      </c>
      <c r="J674" s="491">
        <f>INDEX(J$4:J673,MATCH($B674,$B$4:$B673,0))</f>
        <v>3110.7801987617659</v>
      </c>
      <c r="K674" s="491">
        <f>INDEX(K$4:K673,MATCH($B674,$B$4:$B673,0))</f>
        <v>2668.7373944928772</v>
      </c>
      <c r="L674" s="491">
        <f>INDEX(L$4:L673,MATCH($B674,$B$4:$B673,0))</f>
        <v>2127.5866637665586</v>
      </c>
      <c r="M674" s="491">
        <f>INDEX(M$4:M673,MATCH($B674,$B$4:$B673,0))</f>
        <v>1687.3110781370008</v>
      </c>
    </row>
    <row r="675" spans="2:13" ht="12.75" hidden="1" outlineLevel="1" x14ac:dyDescent="0.2">
      <c r="F675"/>
    </row>
    <row r="676" spans="2:13" ht="15" hidden="1" outlineLevel="1" collapsed="1" x14ac:dyDescent="0.25">
      <c r="B676" s="30" t="s">
        <v>199</v>
      </c>
      <c r="C676" s="30" t="str">
        <f>+B676</f>
        <v>Americas</v>
      </c>
      <c r="D676" s="30"/>
      <c r="E676" s="30"/>
      <c r="F676" s="30"/>
      <c r="G676" s="30"/>
      <c r="H676" s="30"/>
      <c r="I676" s="30"/>
      <c r="J676" s="30"/>
      <c r="K676" s="30"/>
      <c r="L676" s="30"/>
      <c r="M676" s="30"/>
    </row>
    <row r="677" spans="2:13" ht="15" hidden="1" outlineLevel="2" x14ac:dyDescent="0.25">
      <c r="B677" t="str">
        <f>+C677&amp;D677&amp;E677&amp;F677</f>
        <v>AmericasResultsCost of e-AmmoniaUSD/ton</v>
      </c>
      <c r="C677" t="str">
        <f>+$B$676</f>
        <v>Americas</v>
      </c>
      <c r="D677" s="30" t="s">
        <v>838</v>
      </c>
      <c r="E677" s="30" t="s">
        <v>951</v>
      </c>
      <c r="F677" s="522" t="s">
        <v>205</v>
      </c>
      <c r="G677" s="490">
        <f t="shared" ref="G677:M677" si="383">SUM(G678:G680)</f>
        <v>1140.8567734101616</v>
      </c>
      <c r="H677" s="490">
        <f t="shared" si="383"/>
        <v>884.53680883894754</v>
      </c>
      <c r="I677" s="490">
        <f t="shared" si="383"/>
        <v>611.16932982120011</v>
      </c>
      <c r="J677" s="490">
        <f t="shared" si="383"/>
        <v>561.21143844507924</v>
      </c>
      <c r="K677" s="490">
        <f t="shared" si="383"/>
        <v>488.51686019227998</v>
      </c>
      <c r="L677" s="490">
        <f t="shared" si="383"/>
        <v>412.69597178014686</v>
      </c>
      <c r="M677" s="490">
        <f t="shared" si="383"/>
        <v>337.88706313586761</v>
      </c>
    </row>
    <row r="678" spans="2:13" ht="15" hidden="1" outlineLevel="2" x14ac:dyDescent="0.25">
      <c r="B678" t="str">
        <f>+C678&amp;D678&amp;E678&amp;F678</f>
        <v>AmericasResultsTotal Capex e-AmmoniaUSD/ton</v>
      </c>
      <c r="C678" t="str">
        <f>+$B$676</f>
        <v>Americas</v>
      </c>
      <c r="D678" s="30" t="s">
        <v>838</v>
      </c>
      <c r="E678" s="228" t="s">
        <v>953</v>
      </c>
      <c r="F678" s="522" t="s">
        <v>205</v>
      </c>
      <c r="G678" s="490">
        <f>G682+G697*G699</f>
        <v>401.9714813049178</v>
      </c>
      <c r="H678" s="490">
        <f t="shared" ref="H678:M678" si="384">H682+H697*H699</f>
        <v>280.47850076103504</v>
      </c>
      <c r="I678" s="490">
        <f t="shared" si="384"/>
        <v>167.58996355417977</v>
      </c>
      <c r="J678" s="490">
        <f t="shared" si="384"/>
        <v>170.13389154228602</v>
      </c>
      <c r="K678" s="490">
        <f t="shared" si="384"/>
        <v>157.55745030712242</v>
      </c>
      <c r="L678" s="490">
        <f t="shared" si="384"/>
        <v>132.75462219683965</v>
      </c>
      <c r="M678" s="490">
        <f t="shared" si="384"/>
        <v>100.03044140030443</v>
      </c>
    </row>
    <row r="679" spans="2:13" ht="15" hidden="1" outlineLevel="2" x14ac:dyDescent="0.25">
      <c r="B679" t="str">
        <f>+C679&amp;D679&amp;E679&amp;F679</f>
        <v>AmericasResultsTotal Opex e-AmmoniaUSD/ton</v>
      </c>
      <c r="C679" t="str">
        <f>+$B$676</f>
        <v>Americas</v>
      </c>
      <c r="D679" s="30" t="s">
        <v>838</v>
      </c>
      <c r="E679" s="228" t="s">
        <v>954</v>
      </c>
      <c r="F679" s="522" t="s">
        <v>205</v>
      </c>
      <c r="G679" s="490">
        <f>+G686+G693+G697*(1-SUM(G698:G699))</f>
        <v>348.6007684978955</v>
      </c>
      <c r="H679" s="490">
        <f t="shared" ref="H679:M679" si="385">+H686+H693+H697*(1-SUM(H698:H699))</f>
        <v>253.43630154905921</v>
      </c>
      <c r="I679" s="490">
        <f t="shared" si="385"/>
        <v>160.68716662242628</v>
      </c>
      <c r="J679" s="490">
        <f t="shared" si="385"/>
        <v>147.38811926523701</v>
      </c>
      <c r="K679" s="490">
        <f t="shared" si="385"/>
        <v>120.59107126818003</v>
      </c>
      <c r="L679" s="490">
        <f t="shared" si="385"/>
        <v>90.875941315483999</v>
      </c>
      <c r="M679" s="490">
        <f t="shared" si="385"/>
        <v>64.521215387785873</v>
      </c>
    </row>
    <row r="680" spans="2:13" ht="15" hidden="1" outlineLevel="2" x14ac:dyDescent="0.25">
      <c r="B680" t="str">
        <f>+C680&amp;D680&amp;E680&amp;F680</f>
        <v>AmericasResultsTotal RNE e-AmmoniaUSD/ton</v>
      </c>
      <c r="C680" t="str">
        <f>+$B$676</f>
        <v>Americas</v>
      </c>
      <c r="D680" s="30" t="s">
        <v>838</v>
      </c>
      <c r="E680" s="228" t="s">
        <v>955</v>
      </c>
      <c r="F680" s="522" t="s">
        <v>205</v>
      </c>
      <c r="G680" s="490">
        <f>+G689+G697*G698</f>
        <v>390.28452360734826</v>
      </c>
      <c r="H680" s="490">
        <f t="shared" ref="H680:M680" si="386">+H689+H697*H698</f>
        <v>350.62200652885326</v>
      </c>
      <c r="I680" s="490">
        <f t="shared" si="386"/>
        <v>282.89219964459397</v>
      </c>
      <c r="J680" s="490">
        <f t="shared" si="386"/>
        <v>243.68942763755615</v>
      </c>
      <c r="K680" s="490">
        <f t="shared" si="386"/>
        <v>210.36833861697755</v>
      </c>
      <c r="L680" s="490">
        <f t="shared" si="386"/>
        <v>189.06540826782322</v>
      </c>
      <c r="M680" s="490">
        <f t="shared" si="386"/>
        <v>173.33540634777731</v>
      </c>
    </row>
    <row r="681" spans="2:13" hidden="1" outlineLevel="2" x14ac:dyDescent="0.2">
      <c r="E681" s="48"/>
      <c r="F681" s="128"/>
      <c r="G681" s="8"/>
      <c r="H681" s="8"/>
      <c r="I681" s="8"/>
      <c r="J681" s="8"/>
      <c r="K681" s="8"/>
      <c r="L681" s="8"/>
      <c r="M681" s="8"/>
    </row>
    <row r="682" spans="2:13" hidden="1" outlineLevel="2" x14ac:dyDescent="0.2">
      <c r="B682" t="str">
        <f>+C682&amp;D682&amp;E682&amp;F682</f>
        <v>AmericasCapexCapex per yearUSD m/year</v>
      </c>
      <c r="C682" t="str">
        <f>+$B$676</f>
        <v>Americas</v>
      </c>
      <c r="D682" t="s">
        <v>218</v>
      </c>
      <c r="E682" t="s">
        <v>956</v>
      </c>
      <c r="F682" s="128" t="s">
        <v>957</v>
      </c>
      <c r="G682" s="523">
        <f t="shared" ref="G682:M682" si="387">G684/G683</f>
        <v>251.75000000000006</v>
      </c>
      <c r="H682" s="523">
        <f t="shared" si="387"/>
        <v>154.58333333333337</v>
      </c>
      <c r="I682" s="523">
        <f t="shared" si="387"/>
        <v>57.416666666666679</v>
      </c>
      <c r="J682" s="523">
        <f t="shared" si="387"/>
        <v>54.104166666666679</v>
      </c>
      <c r="K682" s="523">
        <f t="shared" si="387"/>
        <v>50.791666666666679</v>
      </c>
      <c r="L682" s="523">
        <f t="shared" si="387"/>
        <v>47.479166666666679</v>
      </c>
      <c r="M682" s="523">
        <f t="shared" si="387"/>
        <v>44.166666666666679</v>
      </c>
    </row>
    <row r="683" spans="2:13" hidden="1" outlineLevel="2" x14ac:dyDescent="0.2">
      <c r="B683" t="str">
        <f>+C683&amp;D683&amp;E683&amp;F683</f>
        <v>GlobalPlant capexAnnualisation factor#</v>
      </c>
      <c r="C683" t="s">
        <v>109</v>
      </c>
      <c r="D683" t="s">
        <v>786</v>
      </c>
      <c r="E683" t="s">
        <v>764</v>
      </c>
      <c r="F683" s="450" t="s">
        <v>787</v>
      </c>
      <c r="G683" s="491">
        <f>INDEX('Fuel Model -  Input'!$B$3:$N$373,MATCH($B683,'Fuel Model -  Input'!$B$3:$B$373,0),MATCH(G$2,'Fuel Model -  Input'!$B$3:$N$3,0))</f>
        <v>11.32075471698113</v>
      </c>
      <c r="H683" s="491">
        <f>INDEX('Fuel Model -  Input'!$B$3:$N$373,MATCH($B683,'Fuel Model -  Input'!$B$3:$B$373,0),MATCH(H$2,'Fuel Model -  Input'!$B$3:$N$3,0))</f>
        <v>11.32075471698113</v>
      </c>
      <c r="I683" s="491">
        <f>INDEX('Fuel Model -  Input'!$B$3:$N$373,MATCH($B683,'Fuel Model -  Input'!$B$3:$B$373,0),MATCH(I$2,'Fuel Model -  Input'!$B$3:$N$3,0))</f>
        <v>11.32075471698113</v>
      </c>
      <c r="J683" s="491">
        <f>INDEX('Fuel Model -  Input'!$B$3:$N$373,MATCH($B683,'Fuel Model -  Input'!$B$3:$B$373,0),MATCH(J$2,'Fuel Model -  Input'!$B$3:$N$3,0))</f>
        <v>11.32075471698113</v>
      </c>
      <c r="K683" s="491">
        <f>INDEX('Fuel Model -  Input'!$B$3:$N$373,MATCH($B683,'Fuel Model -  Input'!$B$3:$B$373,0),MATCH(K$2,'Fuel Model -  Input'!$B$3:$N$3,0))</f>
        <v>11.32075471698113</v>
      </c>
      <c r="L683" s="491">
        <f>INDEX('Fuel Model -  Input'!$B$3:$N$373,MATCH($B683,'Fuel Model -  Input'!$B$3:$B$373,0),MATCH(L$2,'Fuel Model -  Input'!$B$3:$N$3,0))</f>
        <v>11.32075471698113</v>
      </c>
      <c r="M683" s="491">
        <f>INDEX('Fuel Model -  Input'!$B$3:$N$373,MATCH($B683,'Fuel Model -  Input'!$B$3:$B$373,0),MATCH(M$2,'Fuel Model -  Input'!$B$3:$N$3,0))</f>
        <v>11.32075471698113</v>
      </c>
    </row>
    <row r="684" spans="2:13" hidden="1" outlineLevel="2" x14ac:dyDescent="0.2">
      <c r="B684" t="str">
        <f>+C684&amp;D684&amp;E684&amp;F684</f>
        <v>GlobalCapexAmmonia plant unit costUSD/ ton NH3</v>
      </c>
      <c r="C684" t="s">
        <v>109</v>
      </c>
      <c r="D684" t="s">
        <v>218</v>
      </c>
      <c r="E684" t="s">
        <v>958</v>
      </c>
      <c r="F684" s="128" t="s">
        <v>959</v>
      </c>
      <c r="G684" s="491">
        <f>INDEX('Fuel Model -  Input'!$B$3:$N$373,MATCH($B684,'Fuel Model -  Input'!$B$3:$B$373,0),MATCH(G$2,'Fuel Model -  Input'!$B$3:$N$3,0))</f>
        <v>2850</v>
      </c>
      <c r="H684" s="491">
        <f>INDEX('Fuel Model -  Input'!$B$3:$N$373,MATCH($B684,'Fuel Model -  Input'!$B$3:$B$373,0),MATCH(H$2,'Fuel Model -  Input'!$B$3:$N$3,0))</f>
        <v>1750</v>
      </c>
      <c r="I684" s="491">
        <f>INDEX('Fuel Model -  Input'!$B$3:$N$373,MATCH($B684,'Fuel Model -  Input'!$B$3:$B$373,0),MATCH(I$2,'Fuel Model -  Input'!$B$3:$N$3,0))</f>
        <v>650</v>
      </c>
      <c r="J684" s="491">
        <f>INDEX('Fuel Model -  Input'!$B$3:$N$373,MATCH($B684,'Fuel Model -  Input'!$B$3:$B$373,0),MATCH(J$2,'Fuel Model -  Input'!$B$3:$N$3,0))</f>
        <v>612.5</v>
      </c>
      <c r="K684" s="491">
        <f>INDEX('Fuel Model -  Input'!$B$3:$N$373,MATCH($B684,'Fuel Model -  Input'!$B$3:$B$373,0),MATCH(K$2,'Fuel Model -  Input'!$B$3:$N$3,0))</f>
        <v>575</v>
      </c>
      <c r="L684" s="491">
        <f>INDEX('Fuel Model -  Input'!$B$3:$N$373,MATCH($B684,'Fuel Model -  Input'!$B$3:$B$373,0),MATCH(L$2,'Fuel Model -  Input'!$B$3:$N$3,0))</f>
        <v>537.5</v>
      </c>
      <c r="M684" s="491">
        <f>INDEX('Fuel Model -  Input'!$B$3:$N$373,MATCH($B684,'Fuel Model -  Input'!$B$3:$B$373,0),MATCH(M$2,'Fuel Model -  Input'!$B$3:$N$3,0))</f>
        <v>500</v>
      </c>
    </row>
    <row r="685" spans="2:13" hidden="1" outlineLevel="2" x14ac:dyDescent="0.2">
      <c r="E685" s="48"/>
      <c r="F685" s="128"/>
      <c r="G685" s="8"/>
      <c r="H685" s="8"/>
      <c r="I685" s="8"/>
      <c r="J685" s="8"/>
      <c r="K685" s="8"/>
      <c r="L685" s="8"/>
      <c r="M685" s="8"/>
    </row>
    <row r="686" spans="2:13" hidden="1" outlineLevel="2" x14ac:dyDescent="0.2">
      <c r="B686" t="str">
        <f>+C686&amp;D686&amp;E686&amp;F686</f>
        <v>AmericasOpexOpexUSD/ton NH3</v>
      </c>
      <c r="C686" t="str">
        <f>+$B$676</f>
        <v>Americas</v>
      </c>
      <c r="D686" t="s">
        <v>219</v>
      </c>
      <c r="E686" s="48" t="s">
        <v>219</v>
      </c>
      <c r="F686" s="128" t="s">
        <v>960</v>
      </c>
      <c r="G686" s="8">
        <f t="shared" ref="G686:M686" si="388">G684*G687</f>
        <v>114</v>
      </c>
      <c r="H686" s="8">
        <f t="shared" si="388"/>
        <v>70</v>
      </c>
      <c r="I686" s="8">
        <f t="shared" si="388"/>
        <v>26</v>
      </c>
      <c r="J686" s="8">
        <f t="shared" si="388"/>
        <v>24.5</v>
      </c>
      <c r="K686" s="8">
        <f t="shared" si="388"/>
        <v>23</v>
      </c>
      <c r="L686" s="8">
        <f t="shared" si="388"/>
        <v>21.5</v>
      </c>
      <c r="M686" s="8">
        <f t="shared" si="388"/>
        <v>20</v>
      </c>
    </row>
    <row r="687" spans="2:13" hidden="1" outlineLevel="2" x14ac:dyDescent="0.2">
      <c r="B687" t="str">
        <f>+C687&amp;D687&amp;E687&amp;F687</f>
        <v>GlobalOpexPlant - Ammonia synthesis - opexPercent of Capex</v>
      </c>
      <c r="C687" t="s">
        <v>109</v>
      </c>
      <c r="D687" t="s">
        <v>219</v>
      </c>
      <c r="E687" s="48" t="s">
        <v>961</v>
      </c>
      <c r="F687" s="128" t="s">
        <v>883</v>
      </c>
      <c r="G687" s="467">
        <f>INDEX('Fuel Model -  Input'!$B$3:$N$373,MATCH($B687,'Fuel Model -  Input'!$B$3:$B$373,0),MATCH(G$2,'Fuel Model -  Input'!$B$3:$N$3,0))</f>
        <v>0.04</v>
      </c>
      <c r="H687" s="467">
        <f>INDEX('Fuel Model -  Input'!$B$3:$N$373,MATCH($B687,'Fuel Model -  Input'!$B$3:$B$373,0),MATCH(H$2,'Fuel Model -  Input'!$B$3:$N$3,0))</f>
        <v>0.04</v>
      </c>
      <c r="I687" s="467">
        <f>INDEX('Fuel Model -  Input'!$B$3:$N$373,MATCH($B687,'Fuel Model -  Input'!$B$3:$B$373,0),MATCH(I$2,'Fuel Model -  Input'!$B$3:$N$3,0))</f>
        <v>0.04</v>
      </c>
      <c r="J687" s="467">
        <f>INDEX('Fuel Model -  Input'!$B$3:$N$373,MATCH($B687,'Fuel Model -  Input'!$B$3:$B$373,0),MATCH(J$2,'Fuel Model -  Input'!$B$3:$N$3,0))</f>
        <v>0.04</v>
      </c>
      <c r="K687" s="467">
        <f>INDEX('Fuel Model -  Input'!$B$3:$N$373,MATCH($B687,'Fuel Model -  Input'!$B$3:$B$373,0),MATCH(K$2,'Fuel Model -  Input'!$B$3:$N$3,0))</f>
        <v>0.04</v>
      </c>
      <c r="L687" s="467">
        <f>INDEX('Fuel Model -  Input'!$B$3:$N$373,MATCH($B687,'Fuel Model -  Input'!$B$3:$B$373,0),MATCH(L$2,'Fuel Model -  Input'!$B$3:$N$3,0))</f>
        <v>0.04</v>
      </c>
      <c r="M687" s="467">
        <f>INDEX('Fuel Model -  Input'!$B$3:$N$373,MATCH($B687,'Fuel Model -  Input'!$B$3:$B$373,0),MATCH(M$2,'Fuel Model -  Input'!$B$3:$N$3,0))</f>
        <v>0.04</v>
      </c>
    </row>
    <row r="688" spans="2:13" hidden="1" outlineLevel="2" x14ac:dyDescent="0.2">
      <c r="E688" s="48"/>
      <c r="F688" s="128"/>
      <c r="G688" s="8"/>
      <c r="H688" s="8"/>
      <c r="I688" s="8"/>
      <c r="J688" s="8"/>
      <c r="K688" s="8"/>
      <c r="L688" s="8"/>
      <c r="M688" s="8"/>
    </row>
    <row r="689" spans="2:13" hidden="1" outlineLevel="2" x14ac:dyDescent="0.2">
      <c r="B689" t="str">
        <f>+C689&amp;D689&amp;E689&amp;F689</f>
        <v>AmericasSynthesisElectricity costUSD/ton NH3</v>
      </c>
      <c r="C689" t="str">
        <f>+$B$676</f>
        <v>Americas</v>
      </c>
      <c r="D689" t="s">
        <v>962</v>
      </c>
      <c r="E689" s="48" t="s">
        <v>94</v>
      </c>
      <c r="F689" s="128" t="s">
        <v>960</v>
      </c>
      <c r="G689" s="260">
        <f t="shared" ref="G689:M689" si="389">G690*G691</f>
        <v>9.741601425787735</v>
      </c>
      <c r="H689" s="260">
        <f t="shared" si="389"/>
        <v>8.7919259410444681</v>
      </c>
      <c r="I689" s="260">
        <f t="shared" si="389"/>
        <v>7.1866014563496403</v>
      </c>
      <c r="J689" s="260">
        <f t="shared" si="389"/>
        <v>6.4140807725649198</v>
      </c>
      <c r="K689" s="260">
        <f t="shared" si="389"/>
        <v>5.7878565040172827</v>
      </c>
      <c r="L689" s="260">
        <f t="shared" si="389"/>
        <v>5.5355706775304334</v>
      </c>
      <c r="M689" s="260">
        <f t="shared" si="389"/>
        <v>5.3452388783698455</v>
      </c>
    </row>
    <row r="690" spans="2:13" hidden="1" outlineLevel="2" x14ac:dyDescent="0.2">
      <c r="B690" t="str">
        <f>+C690&amp;D690&amp;E690&amp;F690</f>
        <v>AmericasFeedstockElectricityUSD/MWh</v>
      </c>
      <c r="C690" t="str">
        <f>+$B$676</f>
        <v>Americas</v>
      </c>
      <c r="D690" t="s">
        <v>777</v>
      </c>
      <c r="E690" s="48" t="s">
        <v>54</v>
      </c>
      <c r="F690" s="128" t="s">
        <v>196</v>
      </c>
      <c r="G690" s="491">
        <f>INDEX('Fuel Model -  Input'!$B$3:$N$373,MATCH($B690,'Fuel Model -  Input'!$B$3:$B$373,0),MATCH(G$2,'Fuel Model -  Input'!$B$3:$N$3,0))</f>
        <v>38.96640570315094</v>
      </c>
      <c r="H690" s="491">
        <f>INDEX('Fuel Model -  Input'!$B$3:$N$373,MATCH($B690,'Fuel Model -  Input'!$B$3:$B$373,0),MATCH(H$2,'Fuel Model -  Input'!$B$3:$N$3,0))</f>
        <v>35.167703764177872</v>
      </c>
      <c r="I690" s="491">
        <f>INDEX('Fuel Model -  Input'!$B$3:$N$373,MATCH($B690,'Fuel Model -  Input'!$B$3:$B$373,0),MATCH(I$2,'Fuel Model -  Input'!$B$3:$N$3,0))</f>
        <v>28.746405825398561</v>
      </c>
      <c r="J690" s="491">
        <f>INDEX('Fuel Model -  Input'!$B$3:$N$373,MATCH($B690,'Fuel Model -  Input'!$B$3:$B$373,0),MATCH(J$2,'Fuel Model -  Input'!$B$3:$N$3,0))</f>
        <v>25.656323090259679</v>
      </c>
      <c r="K690" s="491">
        <f>INDEX('Fuel Model -  Input'!$B$3:$N$373,MATCH($B690,'Fuel Model -  Input'!$B$3:$B$373,0),MATCH(K$2,'Fuel Model -  Input'!$B$3:$N$3,0))</f>
        <v>23.151426016069131</v>
      </c>
      <c r="L690" s="491">
        <f>INDEX('Fuel Model -  Input'!$B$3:$N$373,MATCH($B690,'Fuel Model -  Input'!$B$3:$B$373,0),MATCH(L$2,'Fuel Model -  Input'!$B$3:$N$3,0))</f>
        <v>22.142282710121734</v>
      </c>
      <c r="M690" s="491">
        <f>INDEX('Fuel Model -  Input'!$B$3:$N$373,MATCH($B690,'Fuel Model -  Input'!$B$3:$B$373,0),MATCH(M$2,'Fuel Model -  Input'!$B$3:$N$3,0))</f>
        <v>21.380955513479382</v>
      </c>
    </row>
    <row r="691" spans="2:13" hidden="1" outlineLevel="2" x14ac:dyDescent="0.2">
      <c r="B691" t="str">
        <f>+C691&amp;D691&amp;E691&amp;F691</f>
        <v>GlobalSynthesisElectricity demandmWh/ton NH3</v>
      </c>
      <c r="C691" t="s">
        <v>109</v>
      </c>
      <c r="D691" t="s">
        <v>962</v>
      </c>
      <c r="E691" s="48" t="s">
        <v>963</v>
      </c>
      <c r="F691" s="128" t="s">
        <v>964</v>
      </c>
      <c r="G691" s="482">
        <f>INDEX('Fuel Model -  Input'!$B$3:$N$373,MATCH($B691,'Fuel Model -  Input'!$B$3:$B$373,0),MATCH(G$2,'Fuel Model -  Input'!$B$3:$N$3,0))</f>
        <v>0.25</v>
      </c>
      <c r="H691" s="482">
        <f>INDEX('Fuel Model -  Input'!$B$3:$N$373,MATCH($B691,'Fuel Model -  Input'!$B$3:$B$373,0),MATCH(H$2,'Fuel Model -  Input'!$B$3:$N$3,0))</f>
        <v>0.25</v>
      </c>
      <c r="I691" s="482">
        <f>INDEX('Fuel Model -  Input'!$B$3:$N$373,MATCH($B691,'Fuel Model -  Input'!$B$3:$B$373,0),MATCH(I$2,'Fuel Model -  Input'!$B$3:$N$3,0))</f>
        <v>0.25</v>
      </c>
      <c r="J691" s="482">
        <f>INDEX('Fuel Model -  Input'!$B$3:$N$373,MATCH($B691,'Fuel Model -  Input'!$B$3:$B$373,0),MATCH(J$2,'Fuel Model -  Input'!$B$3:$N$3,0))</f>
        <v>0.25</v>
      </c>
      <c r="K691" s="482">
        <f>INDEX('Fuel Model -  Input'!$B$3:$N$373,MATCH($B691,'Fuel Model -  Input'!$B$3:$B$373,0),MATCH(K$2,'Fuel Model -  Input'!$B$3:$N$3,0))</f>
        <v>0.25</v>
      </c>
      <c r="L691" s="482">
        <f>INDEX('Fuel Model -  Input'!$B$3:$N$373,MATCH($B691,'Fuel Model -  Input'!$B$3:$B$373,0),MATCH(L$2,'Fuel Model -  Input'!$B$3:$N$3,0))</f>
        <v>0.25</v>
      </c>
      <c r="M691" s="482">
        <f>INDEX('Fuel Model -  Input'!$B$3:$N$373,MATCH($B691,'Fuel Model -  Input'!$B$3:$B$373,0),MATCH(M$2,'Fuel Model -  Input'!$B$3:$N$3,0))</f>
        <v>0.25</v>
      </c>
    </row>
    <row r="692" spans="2:13" hidden="1" outlineLevel="2" x14ac:dyDescent="0.2">
      <c r="E692" s="48"/>
      <c r="F692" s="128"/>
      <c r="G692" s="524"/>
      <c r="H692" s="524"/>
      <c r="I692" s="524"/>
      <c r="J692" s="524"/>
      <c r="K692" s="524"/>
      <c r="L692" s="524"/>
      <c r="M692" s="524"/>
    </row>
    <row r="693" spans="2:13" hidden="1" outlineLevel="2" x14ac:dyDescent="0.2">
      <c r="B693" t="str">
        <f>+C693&amp;D693&amp;E693&amp;F693</f>
        <v>AmericasFeedstockFeedstock N2USD/ton NH3</v>
      </c>
      <c r="C693" t="str">
        <f>+$B$676</f>
        <v>Americas</v>
      </c>
      <c r="D693" t="s">
        <v>777</v>
      </c>
      <c r="E693" s="48" t="s">
        <v>965</v>
      </c>
      <c r="F693" s="128" t="s">
        <v>960</v>
      </c>
      <c r="G693" s="77">
        <f>G694*G695</f>
        <v>60.205977097598023</v>
      </c>
      <c r="H693" s="77">
        <f t="shared" ref="H693" si="390">H694*H695</f>
        <v>38.483470498830847</v>
      </c>
      <c r="I693" s="77">
        <f t="shared" ref="I693" si="391">I694*I695</f>
        <v>16.329809117695525</v>
      </c>
      <c r="J693" s="77">
        <f t="shared" ref="J693" si="392">J694*J695</f>
        <v>15.030624516038692</v>
      </c>
      <c r="K693" s="77">
        <f t="shared" ref="K693" si="393">K694*K695</f>
        <v>13.827644437041767</v>
      </c>
      <c r="L693" s="77">
        <f t="shared" ref="L693" si="394">L694*L695</f>
        <v>12.870566277544013</v>
      </c>
      <c r="M693" s="77">
        <f t="shared" ref="M693" si="395">M694*M695</f>
        <v>11.954229086416012</v>
      </c>
    </row>
    <row r="694" spans="2:13" hidden="1" outlineLevel="2" x14ac:dyDescent="0.2">
      <c r="B694" t="str">
        <f>+C694&amp;D694&amp;E694&amp;F694</f>
        <v>GlobalFeedstockConversion N2 : Ammonia (actual)kg N2/kg NH3</v>
      </c>
      <c r="C694" t="s">
        <v>109</v>
      </c>
      <c r="D694" t="s">
        <v>777</v>
      </c>
      <c r="E694" t="s">
        <v>966</v>
      </c>
      <c r="F694" s="128" t="s">
        <v>967</v>
      </c>
      <c r="G694" s="482">
        <f>INDEX('Fuel Model -  Input'!$B$3:$N$373,MATCH($B694,'Fuel Model -  Input'!$B$3:$B$373,0),MATCH(G$2,'Fuel Model -  Input'!$B$3:$N$3,0))</f>
        <v>0.82199999999999995</v>
      </c>
      <c r="H694" s="482">
        <f>INDEX('Fuel Model -  Input'!$B$3:$N$373,MATCH($B694,'Fuel Model -  Input'!$B$3:$B$373,0),MATCH(H$2,'Fuel Model -  Input'!$B$3:$N$3,0))</f>
        <v>0.82199999999999995</v>
      </c>
      <c r="I694" s="482">
        <f>INDEX('Fuel Model -  Input'!$B$3:$N$373,MATCH($B694,'Fuel Model -  Input'!$B$3:$B$373,0),MATCH(I$2,'Fuel Model -  Input'!$B$3:$N$3,0))</f>
        <v>0.82199999999999995</v>
      </c>
      <c r="J694" s="482">
        <f>INDEX('Fuel Model -  Input'!$B$3:$N$373,MATCH($B694,'Fuel Model -  Input'!$B$3:$B$373,0),MATCH(J$2,'Fuel Model -  Input'!$B$3:$N$3,0))</f>
        <v>0.82199999999999995</v>
      </c>
      <c r="K694" s="482">
        <f>INDEX('Fuel Model -  Input'!$B$3:$N$373,MATCH($B694,'Fuel Model -  Input'!$B$3:$B$373,0),MATCH(K$2,'Fuel Model -  Input'!$B$3:$N$3,0))</f>
        <v>0.82199999999999995</v>
      </c>
      <c r="L694" s="482">
        <f>INDEX('Fuel Model -  Input'!$B$3:$N$373,MATCH($B694,'Fuel Model -  Input'!$B$3:$B$373,0),MATCH(L$2,'Fuel Model -  Input'!$B$3:$N$3,0))</f>
        <v>0.82199999999999995</v>
      </c>
      <c r="M694" s="482">
        <f>INDEX('Fuel Model -  Input'!$B$3:$N$373,MATCH($B694,'Fuel Model -  Input'!$B$3:$B$373,0),MATCH(M$2,'Fuel Model -  Input'!$B$3:$N$3,0))</f>
        <v>0.82199999999999995</v>
      </c>
    </row>
    <row r="695" spans="2:13" hidden="1" outlineLevel="2" x14ac:dyDescent="0.2">
      <c r="B695" t="str">
        <f>+C695&amp;D695&amp;E695&amp;F695</f>
        <v>AmericasFeedstockCost of N2USD/ton</v>
      </c>
      <c r="C695" t="str">
        <f>+$B$676</f>
        <v>Americas</v>
      </c>
      <c r="D695" t="s">
        <v>777</v>
      </c>
      <c r="E695" t="s">
        <v>968</v>
      </c>
      <c r="F695" s="128" t="s">
        <v>205</v>
      </c>
      <c r="G695" s="482">
        <f t="shared" ref="G695:M695" si="396">INDEX(G$1654:G$1658,MATCH($B695,$B$1654:$B$1658,0))</f>
        <v>73.243281140630202</v>
      </c>
      <c r="H695" s="482">
        <f t="shared" si="396"/>
        <v>46.816874086168916</v>
      </c>
      <c r="I695" s="482">
        <f t="shared" si="396"/>
        <v>19.865947831746382</v>
      </c>
      <c r="J695" s="482">
        <f t="shared" si="396"/>
        <v>18.285431284718605</v>
      </c>
      <c r="K695" s="482">
        <f t="shared" si="396"/>
        <v>16.821951869880497</v>
      </c>
      <c r="L695" s="482">
        <f t="shared" si="396"/>
        <v>15.657623208691014</v>
      </c>
      <c r="M695" s="482">
        <f t="shared" si="396"/>
        <v>14.542857769362545</v>
      </c>
    </row>
    <row r="696" spans="2:13" hidden="1" outlineLevel="2" x14ac:dyDescent="0.2">
      <c r="F696" s="128"/>
      <c r="G696" s="520"/>
      <c r="H696" s="520"/>
      <c r="I696" s="520"/>
      <c r="J696" s="520"/>
      <c r="K696" s="520"/>
      <c r="L696" s="520"/>
      <c r="M696" s="520"/>
    </row>
    <row r="697" spans="2:13" hidden="1" outlineLevel="2" x14ac:dyDescent="0.2">
      <c r="B697" t="str">
        <f>+C697&amp;D697&amp;E697&amp;F697</f>
        <v>AmericasFeedstockFeedstock H2USD/ton NH3</v>
      </c>
      <c r="C697" t="str">
        <f>+$B$676</f>
        <v>Americas</v>
      </c>
      <c r="D697" t="s">
        <v>777</v>
      </c>
      <c r="E697" s="48" t="s">
        <v>970</v>
      </c>
      <c r="F697" s="128" t="s">
        <v>960</v>
      </c>
      <c r="G697" s="8">
        <f t="shared" ref="G697:M697" si="397">G700*G701</f>
        <v>705.15919488677582</v>
      </c>
      <c r="H697" s="8">
        <f t="shared" si="397"/>
        <v>612.67807906573887</v>
      </c>
      <c r="I697" s="8">
        <f t="shared" si="397"/>
        <v>504.23625258048816</v>
      </c>
      <c r="J697" s="8">
        <f t="shared" si="397"/>
        <v>461.16256648980891</v>
      </c>
      <c r="K697" s="8">
        <f t="shared" si="397"/>
        <v>395.1096925845543</v>
      </c>
      <c r="L697" s="8">
        <f t="shared" si="397"/>
        <v>325.31066815840575</v>
      </c>
      <c r="M697" s="8">
        <f t="shared" si="397"/>
        <v>256.42092850441509</v>
      </c>
    </row>
    <row r="698" spans="2:13" hidden="1" outlineLevel="2" x14ac:dyDescent="0.2">
      <c r="B698" t="str">
        <f>+C698&amp;D698&amp;E698&amp;F698</f>
        <v>AmericasResultsShare of RNE e-Hydrogen (compressed)%</v>
      </c>
      <c r="C698" t="str">
        <f>+$B$676</f>
        <v>Americas</v>
      </c>
      <c r="D698" t="s">
        <v>838</v>
      </c>
      <c r="E698" s="48" t="s">
        <v>848</v>
      </c>
      <c r="F698" s="128" t="s">
        <v>178</v>
      </c>
      <c r="G698" s="525">
        <f t="shared" ref="G698:M698" si="398">+INDEX($A:$M,MATCH($B698,$B:$B,0),MATCH(G$2,$2:$2,0))</f>
        <v>0.53965533590278514</v>
      </c>
      <c r="H698" s="525">
        <f t="shared" si="398"/>
        <v>0.55792771484342807</v>
      </c>
      <c r="I698" s="525">
        <f t="shared" si="398"/>
        <v>0.54677861176638642</v>
      </c>
      <c r="J698" s="525">
        <f t="shared" si="398"/>
        <v>0.51451562660655525</v>
      </c>
      <c r="K698" s="525">
        <f t="shared" si="398"/>
        <v>0.51778148183287009</v>
      </c>
      <c r="L698" s="525">
        <f t="shared" si="398"/>
        <v>0.56416790334378253</v>
      </c>
      <c r="M698" s="525">
        <f t="shared" si="398"/>
        <v>0.65513438567287219</v>
      </c>
    </row>
    <row r="699" spans="2:13" hidden="1" outlineLevel="2" x14ac:dyDescent="0.2">
      <c r="B699" t="str">
        <f>+C699&amp;D699&amp;E699&amp;F699</f>
        <v>AmericasResultsShare of Capex e-Hydrogen (compressed)%</v>
      </c>
      <c r="C699" t="str">
        <f>+$B$676</f>
        <v>Americas</v>
      </c>
      <c r="D699" t="s">
        <v>838</v>
      </c>
      <c r="E699" s="48" t="s">
        <v>850</v>
      </c>
      <c r="F699" s="128" t="s">
        <v>178</v>
      </c>
      <c r="G699" s="525">
        <f t="shared" ref="G699:M699" si="399">+INDEX(G$4:G$581,MATCH($B699,$B$4:$B$581,0))</f>
        <v>0.21303201091923385</v>
      </c>
      <c r="H699" s="525">
        <f t="shared" si="399"/>
        <v>0.20548338798031884</v>
      </c>
      <c r="I699" s="525">
        <f t="shared" si="399"/>
        <v>0.21849539045177402</v>
      </c>
      <c r="J699" s="525">
        <f t="shared" si="399"/>
        <v>0.25160265231151074</v>
      </c>
      <c r="K699" s="525">
        <f t="shared" si="399"/>
        <v>0.27021808283685078</v>
      </c>
      <c r="L699" s="525">
        <f t="shared" si="399"/>
        <v>0.2621354412166072</v>
      </c>
      <c r="M699" s="525">
        <f t="shared" si="399"/>
        <v>0.21785965388810252</v>
      </c>
    </row>
    <row r="700" spans="2:13" hidden="1" outlineLevel="2" x14ac:dyDescent="0.2">
      <c r="B700" t="str">
        <f>+C700&amp;D700&amp;E700&amp;F700</f>
        <v>GlobalFeedstockConversion H2 : Ammonia (actual)kg H2/kg NH3</v>
      </c>
      <c r="C700" t="s">
        <v>109</v>
      </c>
      <c r="D700" t="s">
        <v>777</v>
      </c>
      <c r="E700" t="s">
        <v>971</v>
      </c>
      <c r="F700" s="128" t="s">
        <v>972</v>
      </c>
      <c r="G700" s="482">
        <f>INDEX('Fuel Model -  Input'!$B$3:$N$373,MATCH($B700,'Fuel Model -  Input'!$B$3:$B$373,0),MATCH(G$2,'Fuel Model -  Input'!$B$3:$N$3,0))</f>
        <v>0.18</v>
      </c>
      <c r="H700" s="482">
        <f>INDEX('Fuel Model -  Input'!$B$3:$N$373,MATCH($B700,'Fuel Model -  Input'!$B$3:$B$373,0),MATCH(H$2,'Fuel Model -  Input'!$B$3:$N$3,0))</f>
        <v>0.18</v>
      </c>
      <c r="I700" s="482">
        <f>INDEX('Fuel Model -  Input'!$B$3:$N$373,MATCH($B700,'Fuel Model -  Input'!$B$3:$B$373,0),MATCH(I$2,'Fuel Model -  Input'!$B$3:$N$3,0))</f>
        <v>0.18</v>
      </c>
      <c r="J700" s="482">
        <f>INDEX('Fuel Model -  Input'!$B$3:$N$373,MATCH($B700,'Fuel Model -  Input'!$B$3:$B$373,0),MATCH(J$2,'Fuel Model -  Input'!$B$3:$N$3,0))</f>
        <v>0.18</v>
      </c>
      <c r="K700" s="482">
        <f>INDEX('Fuel Model -  Input'!$B$3:$N$373,MATCH($B700,'Fuel Model -  Input'!$B$3:$B$373,0),MATCH(K$2,'Fuel Model -  Input'!$B$3:$N$3,0))</f>
        <v>0.18</v>
      </c>
      <c r="L700" s="482">
        <f>INDEX('Fuel Model -  Input'!$B$3:$N$373,MATCH($B700,'Fuel Model -  Input'!$B$3:$B$373,0),MATCH(L$2,'Fuel Model -  Input'!$B$3:$N$3,0))</f>
        <v>0.18</v>
      </c>
      <c r="M700" s="482">
        <f>INDEX('Fuel Model -  Input'!$B$3:$N$373,MATCH($B700,'Fuel Model -  Input'!$B$3:$B$373,0),MATCH(M$2,'Fuel Model -  Input'!$B$3:$N$3,0))</f>
        <v>0.18</v>
      </c>
    </row>
    <row r="701" spans="2:13" hidden="1" outlineLevel="2" x14ac:dyDescent="0.2">
      <c r="B701" t="str">
        <f>+C701&amp;D701&amp;E701&amp;F701</f>
        <v>AmericasResultsCost of e-Hydrogen (compressed)USD/ton</v>
      </c>
      <c r="C701" t="str">
        <f>+$B$676</f>
        <v>Americas</v>
      </c>
      <c r="D701" t="s">
        <v>838</v>
      </c>
      <c r="E701" t="s">
        <v>846</v>
      </c>
      <c r="F701" s="128" t="s">
        <v>205</v>
      </c>
      <c r="G701" s="491">
        <f>INDEX(G$4:G700,MATCH($B701,$B$4:$B700,0))</f>
        <v>3917.5510827043104</v>
      </c>
      <c r="H701" s="491">
        <f>INDEX(H$4:H700,MATCH($B701,$B$4:$B700,0))</f>
        <v>3403.7671059207719</v>
      </c>
      <c r="I701" s="491">
        <f>INDEX(I$4:I700,MATCH($B701,$B$4:$B700,0))</f>
        <v>2801.3125143360453</v>
      </c>
      <c r="J701" s="491">
        <f>INDEX(J$4:J700,MATCH($B701,$B$4:$B700,0))</f>
        <v>2562.0142582767162</v>
      </c>
      <c r="K701" s="491">
        <f>INDEX(K$4:K700,MATCH($B701,$B$4:$B700,0))</f>
        <v>2195.0538476919683</v>
      </c>
      <c r="L701" s="491">
        <f>INDEX(L$4:L700,MATCH($B701,$B$4:$B700,0))</f>
        <v>1807.2814897689209</v>
      </c>
      <c r="M701" s="491">
        <f>INDEX(M$4:M700,MATCH($B701,$B$4:$B700,0))</f>
        <v>1424.5607139134172</v>
      </c>
    </row>
    <row r="702" spans="2:13" ht="12.75" hidden="1" outlineLevel="1" x14ac:dyDescent="0.2">
      <c r="F702"/>
    </row>
    <row r="703" spans="2:13" ht="15" hidden="1" outlineLevel="1" collapsed="1" x14ac:dyDescent="0.25">
      <c r="B703" s="30" t="s">
        <v>200</v>
      </c>
      <c r="C703" s="30" t="str">
        <f>+B703</f>
        <v>Africa</v>
      </c>
      <c r="D703" s="30"/>
      <c r="E703" s="30"/>
      <c r="F703" s="30"/>
      <c r="G703" s="30"/>
      <c r="H703" s="30"/>
      <c r="I703" s="30"/>
      <c r="J703" s="30"/>
      <c r="K703" s="30"/>
      <c r="L703" s="30"/>
      <c r="M703" s="30"/>
    </row>
    <row r="704" spans="2:13" ht="15" hidden="1" outlineLevel="2" x14ac:dyDescent="0.25">
      <c r="B704" t="str">
        <f>+C704&amp;D704&amp;E704&amp;F704</f>
        <v>AfricaResultsCost of e-AmmoniaUSD/ton</v>
      </c>
      <c r="C704" t="str">
        <f>+$B$703</f>
        <v>Africa</v>
      </c>
      <c r="D704" s="30" t="s">
        <v>838</v>
      </c>
      <c r="E704" s="30" t="s">
        <v>951</v>
      </c>
      <c r="F704" s="522" t="s">
        <v>205</v>
      </c>
      <c r="G704" s="490">
        <f t="shared" ref="G704:M704" si="400">SUM(G705:G707)</f>
        <v>1547.9977565539616</v>
      </c>
      <c r="H704" s="490">
        <f t="shared" si="400"/>
        <v>980.90564739867068</v>
      </c>
      <c r="I704" s="490">
        <f t="shared" si="400"/>
        <v>674.93923904910912</v>
      </c>
      <c r="J704" s="490">
        <f t="shared" si="400"/>
        <v>601.10876472462655</v>
      </c>
      <c r="K704" s="490">
        <f t="shared" si="400"/>
        <v>526.65899178944085</v>
      </c>
      <c r="L704" s="490">
        <f t="shared" si="400"/>
        <v>434.89099372861284</v>
      </c>
      <c r="M704" s="490">
        <f t="shared" si="400"/>
        <v>354.79640510213147</v>
      </c>
    </row>
    <row r="705" spans="2:13" ht="15" hidden="1" outlineLevel="2" x14ac:dyDescent="0.25">
      <c r="B705" t="str">
        <f>+C705&amp;D705&amp;E705&amp;F705</f>
        <v>AfricaResultsTotal Capex e-AmmoniaUSD/ton</v>
      </c>
      <c r="C705" t="str">
        <f>+$B$703</f>
        <v>Africa</v>
      </c>
      <c r="D705" s="30" t="s">
        <v>838</v>
      </c>
      <c r="E705" s="228" t="s">
        <v>953</v>
      </c>
      <c r="F705" s="522" t="s">
        <v>205</v>
      </c>
      <c r="G705" s="490">
        <f>G709+G724*G726</f>
        <v>401.97148130491786</v>
      </c>
      <c r="H705" s="490">
        <f t="shared" ref="H705:M705" si="401">H709+H724*H726</f>
        <v>280.47850076103509</v>
      </c>
      <c r="I705" s="490">
        <f t="shared" si="401"/>
        <v>167.58996355417975</v>
      </c>
      <c r="J705" s="490">
        <f t="shared" si="401"/>
        <v>170.13389154228602</v>
      </c>
      <c r="K705" s="490">
        <f t="shared" si="401"/>
        <v>157.55745030712242</v>
      </c>
      <c r="L705" s="490">
        <f t="shared" si="401"/>
        <v>132.75462219683965</v>
      </c>
      <c r="M705" s="490">
        <f t="shared" si="401"/>
        <v>100.03044140030443</v>
      </c>
    </row>
    <row r="706" spans="2:13" ht="15" hidden="1" outlineLevel="2" x14ac:dyDescent="0.25">
      <c r="B706" t="str">
        <f>+C706&amp;D706&amp;E706&amp;F706</f>
        <v>AfricaResultsTotal Opex e-AmmoniaUSD/ton</v>
      </c>
      <c r="C706" t="str">
        <f>+$B$703</f>
        <v>Africa</v>
      </c>
      <c r="D706" s="30" t="s">
        <v>838</v>
      </c>
      <c r="E706" s="228" t="s">
        <v>954</v>
      </c>
      <c r="F706" s="522" t="s">
        <v>205</v>
      </c>
      <c r="G706" s="490">
        <f>+G713+G720+G724*(1-SUM(G725:G726))</f>
        <v>355.17560672944433</v>
      </c>
      <c r="H706" s="490">
        <f t="shared" ref="H706:M706" si="402">+H713+H720+H724*(1-SUM(H725:H726))</f>
        <v>254.9995945964244</v>
      </c>
      <c r="I706" s="490">
        <f t="shared" si="402"/>
        <v>161.73498241104855</v>
      </c>
      <c r="J706" s="490">
        <f t="shared" si="402"/>
        <v>148.06693305883451</v>
      </c>
      <c r="K706" s="490">
        <f t="shared" si="402"/>
        <v>121.26889519337394</v>
      </c>
      <c r="L706" s="490">
        <f t="shared" si="402"/>
        <v>91.295203264759493</v>
      </c>
      <c r="M706" s="490">
        <f t="shared" si="402"/>
        <v>64.857300671928087</v>
      </c>
    </row>
    <row r="707" spans="2:13" ht="15" hidden="1" outlineLevel="2" x14ac:dyDescent="0.25">
      <c r="B707" t="str">
        <f>+C707&amp;D707&amp;E707&amp;F707</f>
        <v>AfricaResultsTotal RNE e-AmmoniaUSD/ton</v>
      </c>
      <c r="C707" t="str">
        <f>+$B$703</f>
        <v>Africa</v>
      </c>
      <c r="D707" s="30" t="s">
        <v>838</v>
      </c>
      <c r="E707" s="228" t="s">
        <v>955</v>
      </c>
      <c r="F707" s="522" t="s">
        <v>205</v>
      </c>
      <c r="G707" s="490">
        <f>+G716+G724*G725</f>
        <v>790.85066851959925</v>
      </c>
      <c r="H707" s="490">
        <f t="shared" ref="H707:M707" si="403">+H716+H724*H725</f>
        <v>445.42755204121107</v>
      </c>
      <c r="I707" s="490">
        <f t="shared" si="403"/>
        <v>345.6142930838808</v>
      </c>
      <c r="J707" s="490">
        <f t="shared" si="403"/>
        <v>282.90794012350602</v>
      </c>
      <c r="K707" s="490">
        <f t="shared" si="403"/>
        <v>247.83264628894452</v>
      </c>
      <c r="L707" s="490">
        <f t="shared" si="403"/>
        <v>210.8411682670137</v>
      </c>
      <c r="M707" s="490">
        <f t="shared" si="403"/>
        <v>189.90866302989895</v>
      </c>
    </row>
    <row r="708" spans="2:13" hidden="1" outlineLevel="2" x14ac:dyDescent="0.2">
      <c r="E708" s="48"/>
      <c r="F708" s="128"/>
      <c r="G708" s="8"/>
      <c r="H708" s="8"/>
      <c r="I708" s="8"/>
      <c r="J708" s="8"/>
      <c r="K708" s="8"/>
      <c r="L708" s="8"/>
      <c r="M708" s="8"/>
    </row>
    <row r="709" spans="2:13" hidden="1" outlineLevel="2" x14ac:dyDescent="0.2">
      <c r="B709" t="str">
        <f>+C709&amp;D709&amp;E709&amp;F709</f>
        <v>AfricaCapexCapex per yearUSD m/year</v>
      </c>
      <c r="C709" t="str">
        <f>+$B$703</f>
        <v>Africa</v>
      </c>
      <c r="D709" t="s">
        <v>218</v>
      </c>
      <c r="E709" t="s">
        <v>956</v>
      </c>
      <c r="F709" s="128" t="s">
        <v>957</v>
      </c>
      <c r="G709" s="523">
        <f t="shared" ref="G709:M709" si="404">G711/G710</f>
        <v>251.75000000000006</v>
      </c>
      <c r="H709" s="523">
        <f t="shared" si="404"/>
        <v>154.58333333333337</v>
      </c>
      <c r="I709" s="523">
        <f t="shared" si="404"/>
        <v>57.416666666666679</v>
      </c>
      <c r="J709" s="523">
        <f t="shared" si="404"/>
        <v>54.104166666666679</v>
      </c>
      <c r="K709" s="523">
        <f t="shared" si="404"/>
        <v>50.791666666666679</v>
      </c>
      <c r="L709" s="523">
        <f t="shared" si="404"/>
        <v>47.479166666666679</v>
      </c>
      <c r="M709" s="523">
        <f t="shared" si="404"/>
        <v>44.166666666666679</v>
      </c>
    </row>
    <row r="710" spans="2:13" hidden="1" outlineLevel="2" x14ac:dyDescent="0.2">
      <c r="B710" t="str">
        <f>+C710&amp;D710&amp;E710&amp;F710</f>
        <v>GlobalPlant capexAnnualisation factor#</v>
      </c>
      <c r="C710" t="s">
        <v>109</v>
      </c>
      <c r="D710" t="s">
        <v>786</v>
      </c>
      <c r="E710" t="s">
        <v>764</v>
      </c>
      <c r="F710" s="450" t="s">
        <v>787</v>
      </c>
      <c r="G710" s="491">
        <f>INDEX('Fuel Model -  Input'!$B$3:$N$373,MATCH($B710,'Fuel Model -  Input'!$B$3:$B$373,0),MATCH(G$2,'Fuel Model -  Input'!$B$3:$N$3,0))</f>
        <v>11.32075471698113</v>
      </c>
      <c r="H710" s="491">
        <f>INDEX('Fuel Model -  Input'!$B$3:$N$373,MATCH($B710,'Fuel Model -  Input'!$B$3:$B$373,0),MATCH(H$2,'Fuel Model -  Input'!$B$3:$N$3,0))</f>
        <v>11.32075471698113</v>
      </c>
      <c r="I710" s="491">
        <f>INDEX('Fuel Model -  Input'!$B$3:$N$373,MATCH($B710,'Fuel Model -  Input'!$B$3:$B$373,0),MATCH(I$2,'Fuel Model -  Input'!$B$3:$N$3,0))</f>
        <v>11.32075471698113</v>
      </c>
      <c r="J710" s="491">
        <f>INDEX('Fuel Model -  Input'!$B$3:$N$373,MATCH($B710,'Fuel Model -  Input'!$B$3:$B$373,0),MATCH(J$2,'Fuel Model -  Input'!$B$3:$N$3,0))</f>
        <v>11.32075471698113</v>
      </c>
      <c r="K710" s="491">
        <f>INDEX('Fuel Model -  Input'!$B$3:$N$373,MATCH($B710,'Fuel Model -  Input'!$B$3:$B$373,0),MATCH(K$2,'Fuel Model -  Input'!$B$3:$N$3,0))</f>
        <v>11.32075471698113</v>
      </c>
      <c r="L710" s="491">
        <f>INDEX('Fuel Model -  Input'!$B$3:$N$373,MATCH($B710,'Fuel Model -  Input'!$B$3:$B$373,0),MATCH(L$2,'Fuel Model -  Input'!$B$3:$N$3,0))</f>
        <v>11.32075471698113</v>
      </c>
      <c r="M710" s="491">
        <f>INDEX('Fuel Model -  Input'!$B$3:$N$373,MATCH($B710,'Fuel Model -  Input'!$B$3:$B$373,0),MATCH(M$2,'Fuel Model -  Input'!$B$3:$N$3,0))</f>
        <v>11.32075471698113</v>
      </c>
    </row>
    <row r="711" spans="2:13" hidden="1" outlineLevel="2" x14ac:dyDescent="0.2">
      <c r="B711" t="str">
        <f>+C711&amp;D711&amp;E711&amp;F711</f>
        <v>GlobalCapexAmmonia plant unit costUSD/ ton NH3</v>
      </c>
      <c r="C711" t="s">
        <v>109</v>
      </c>
      <c r="D711" t="s">
        <v>218</v>
      </c>
      <c r="E711" t="s">
        <v>958</v>
      </c>
      <c r="F711" s="128" t="s">
        <v>959</v>
      </c>
      <c r="G711" s="491">
        <f>INDEX('Fuel Model -  Input'!$B$3:$N$373,MATCH($B711,'Fuel Model -  Input'!$B$3:$B$373,0),MATCH(G$2,'Fuel Model -  Input'!$B$3:$N$3,0))</f>
        <v>2850</v>
      </c>
      <c r="H711" s="491">
        <f>INDEX('Fuel Model -  Input'!$B$3:$N$373,MATCH($B711,'Fuel Model -  Input'!$B$3:$B$373,0),MATCH(H$2,'Fuel Model -  Input'!$B$3:$N$3,0))</f>
        <v>1750</v>
      </c>
      <c r="I711" s="491">
        <f>INDEX('Fuel Model -  Input'!$B$3:$N$373,MATCH($B711,'Fuel Model -  Input'!$B$3:$B$373,0),MATCH(I$2,'Fuel Model -  Input'!$B$3:$N$3,0))</f>
        <v>650</v>
      </c>
      <c r="J711" s="491">
        <f>INDEX('Fuel Model -  Input'!$B$3:$N$373,MATCH($B711,'Fuel Model -  Input'!$B$3:$B$373,0),MATCH(J$2,'Fuel Model -  Input'!$B$3:$N$3,0))</f>
        <v>612.5</v>
      </c>
      <c r="K711" s="491">
        <f>INDEX('Fuel Model -  Input'!$B$3:$N$373,MATCH($B711,'Fuel Model -  Input'!$B$3:$B$373,0),MATCH(K$2,'Fuel Model -  Input'!$B$3:$N$3,0))</f>
        <v>575</v>
      </c>
      <c r="L711" s="491">
        <f>INDEX('Fuel Model -  Input'!$B$3:$N$373,MATCH($B711,'Fuel Model -  Input'!$B$3:$B$373,0),MATCH(L$2,'Fuel Model -  Input'!$B$3:$N$3,0))</f>
        <v>537.5</v>
      </c>
      <c r="M711" s="491">
        <f>INDEX('Fuel Model -  Input'!$B$3:$N$373,MATCH($B711,'Fuel Model -  Input'!$B$3:$B$373,0),MATCH(M$2,'Fuel Model -  Input'!$B$3:$N$3,0))</f>
        <v>500</v>
      </c>
    </row>
    <row r="712" spans="2:13" hidden="1" outlineLevel="2" x14ac:dyDescent="0.2">
      <c r="E712" s="48"/>
      <c r="F712" s="128"/>
      <c r="G712" s="8"/>
      <c r="H712" s="8"/>
      <c r="I712" s="8"/>
      <c r="J712" s="8"/>
      <c r="K712" s="8"/>
      <c r="L712" s="8"/>
      <c r="M712" s="8"/>
    </row>
    <row r="713" spans="2:13" hidden="1" outlineLevel="2" x14ac:dyDescent="0.2">
      <c r="B713" t="str">
        <f>+C713&amp;D713&amp;E713&amp;F713</f>
        <v>AfricaOpexOpexUSD/ton NH3</v>
      </c>
      <c r="C713" t="str">
        <f>+$B$703</f>
        <v>Africa</v>
      </c>
      <c r="D713" t="s">
        <v>219</v>
      </c>
      <c r="E713" s="48" t="s">
        <v>219</v>
      </c>
      <c r="F713" s="128" t="s">
        <v>960</v>
      </c>
      <c r="G713" s="8">
        <f t="shared" ref="G713:M713" si="405">G711*G714</f>
        <v>114</v>
      </c>
      <c r="H713" s="8">
        <f t="shared" si="405"/>
        <v>70</v>
      </c>
      <c r="I713" s="8">
        <f t="shared" si="405"/>
        <v>26</v>
      </c>
      <c r="J713" s="8">
        <f t="shared" si="405"/>
        <v>24.5</v>
      </c>
      <c r="K713" s="8">
        <f t="shared" si="405"/>
        <v>23</v>
      </c>
      <c r="L713" s="8">
        <f t="shared" si="405"/>
        <v>21.5</v>
      </c>
      <c r="M713" s="8">
        <f t="shared" si="405"/>
        <v>20</v>
      </c>
    </row>
    <row r="714" spans="2:13" hidden="1" outlineLevel="2" x14ac:dyDescent="0.2">
      <c r="B714" t="str">
        <f>+C714&amp;D714&amp;E714&amp;F714</f>
        <v>GlobalOpexPlant - Ammonia synthesis - opexPercent of Capex</v>
      </c>
      <c r="C714" t="s">
        <v>109</v>
      </c>
      <c r="D714" t="s">
        <v>219</v>
      </c>
      <c r="E714" s="48" t="s">
        <v>961</v>
      </c>
      <c r="F714" s="128" t="s">
        <v>883</v>
      </c>
      <c r="G714" s="467">
        <f>INDEX('Fuel Model -  Input'!$B$3:$N$373,MATCH($B714,'Fuel Model -  Input'!$B$3:$B$373,0),MATCH(G$2,'Fuel Model -  Input'!$B$3:$N$3,0))</f>
        <v>0.04</v>
      </c>
      <c r="H714" s="467">
        <f>INDEX('Fuel Model -  Input'!$B$3:$N$373,MATCH($B714,'Fuel Model -  Input'!$B$3:$B$373,0),MATCH(H$2,'Fuel Model -  Input'!$B$3:$N$3,0))</f>
        <v>0.04</v>
      </c>
      <c r="I714" s="467">
        <f>INDEX('Fuel Model -  Input'!$B$3:$N$373,MATCH($B714,'Fuel Model -  Input'!$B$3:$B$373,0),MATCH(I$2,'Fuel Model -  Input'!$B$3:$N$3,0))</f>
        <v>0.04</v>
      </c>
      <c r="J714" s="467">
        <f>INDEX('Fuel Model -  Input'!$B$3:$N$373,MATCH($B714,'Fuel Model -  Input'!$B$3:$B$373,0),MATCH(J$2,'Fuel Model -  Input'!$B$3:$N$3,0))</f>
        <v>0.04</v>
      </c>
      <c r="K714" s="467">
        <f>INDEX('Fuel Model -  Input'!$B$3:$N$373,MATCH($B714,'Fuel Model -  Input'!$B$3:$B$373,0),MATCH(K$2,'Fuel Model -  Input'!$B$3:$N$3,0))</f>
        <v>0.04</v>
      </c>
      <c r="L714" s="467">
        <f>INDEX('Fuel Model -  Input'!$B$3:$N$373,MATCH($B714,'Fuel Model -  Input'!$B$3:$B$373,0),MATCH(L$2,'Fuel Model -  Input'!$B$3:$N$3,0))</f>
        <v>0.04</v>
      </c>
      <c r="M714" s="467">
        <f>INDEX('Fuel Model -  Input'!$B$3:$N$373,MATCH($B714,'Fuel Model -  Input'!$B$3:$B$373,0),MATCH(M$2,'Fuel Model -  Input'!$B$3:$N$3,0))</f>
        <v>0.04</v>
      </c>
    </row>
    <row r="715" spans="2:13" hidden="1" outlineLevel="2" x14ac:dyDescent="0.2">
      <c r="E715" s="48"/>
      <c r="F715" s="128"/>
      <c r="G715" s="8"/>
      <c r="H715" s="8"/>
      <c r="I715" s="8"/>
      <c r="J715" s="8"/>
      <c r="K715" s="8"/>
      <c r="L715" s="8"/>
      <c r="M715" s="8"/>
    </row>
    <row r="716" spans="2:13" hidden="1" outlineLevel="2" x14ac:dyDescent="0.2">
      <c r="B716" t="str">
        <f>+C716&amp;D716&amp;E716&amp;F716</f>
        <v>AfricaSynthesisElectricity costUSD/ton NH3</v>
      </c>
      <c r="C716" t="str">
        <f>+$B$703</f>
        <v>Africa</v>
      </c>
      <c r="D716" t="s">
        <v>962</v>
      </c>
      <c r="E716" s="48" t="s">
        <v>94</v>
      </c>
      <c r="F716" s="128" t="s">
        <v>960</v>
      </c>
      <c r="G716" s="260">
        <f t="shared" ref="G716:M716" si="406">G717*G718</f>
        <v>19.739834746269853</v>
      </c>
      <c r="H716" s="260">
        <f t="shared" si="406"/>
        <v>11.169196390200879</v>
      </c>
      <c r="I716" s="260">
        <f t="shared" si="406"/>
        <v>8.7799952954953628</v>
      </c>
      <c r="J716" s="260">
        <f t="shared" si="406"/>
        <v>7.4463401910525544</v>
      </c>
      <c r="K716" s="260">
        <f t="shared" si="406"/>
        <v>6.8186106481686997</v>
      </c>
      <c r="L716" s="260">
        <f t="shared" si="406"/>
        <v>6.1731344690078496</v>
      </c>
      <c r="M716" s="260">
        <f t="shared" si="406"/>
        <v>5.8563174734765928</v>
      </c>
    </row>
    <row r="717" spans="2:13" hidden="1" outlineLevel="2" x14ac:dyDescent="0.2">
      <c r="B717" t="str">
        <f>+C717&amp;D717&amp;E717&amp;F717</f>
        <v>AfricaFeedstockElectricityUSD/MWh</v>
      </c>
      <c r="C717" t="str">
        <f>+$B$703</f>
        <v>Africa</v>
      </c>
      <c r="D717" t="s">
        <v>777</v>
      </c>
      <c r="E717" s="48" t="s">
        <v>54</v>
      </c>
      <c r="F717" s="128" t="s">
        <v>196</v>
      </c>
      <c r="G717" s="491">
        <f>INDEX('Fuel Model -  Input'!$B$3:$N$373,MATCH($B717,'Fuel Model -  Input'!$B$3:$B$373,0),MATCH(G$2,'Fuel Model -  Input'!$B$3:$N$3,0))</f>
        <v>78.959338985079413</v>
      </c>
      <c r="H717" s="491">
        <f>INDEX('Fuel Model -  Input'!$B$3:$N$373,MATCH($B717,'Fuel Model -  Input'!$B$3:$B$373,0),MATCH(H$2,'Fuel Model -  Input'!$B$3:$N$3,0))</f>
        <v>44.676785560803516</v>
      </c>
      <c r="I717" s="491">
        <f>INDEX('Fuel Model -  Input'!$B$3:$N$373,MATCH($B717,'Fuel Model -  Input'!$B$3:$B$373,0),MATCH(I$2,'Fuel Model -  Input'!$B$3:$N$3,0))</f>
        <v>35.119981181981451</v>
      </c>
      <c r="J717" s="491">
        <f>INDEX('Fuel Model -  Input'!$B$3:$N$373,MATCH($B717,'Fuel Model -  Input'!$B$3:$B$373,0),MATCH(J$2,'Fuel Model -  Input'!$B$3:$N$3,0))</f>
        <v>29.785360764210218</v>
      </c>
      <c r="K717" s="491">
        <f>INDEX('Fuel Model -  Input'!$B$3:$N$373,MATCH($B717,'Fuel Model -  Input'!$B$3:$B$373,0),MATCH(K$2,'Fuel Model -  Input'!$B$3:$N$3,0))</f>
        <v>27.274442592674799</v>
      </c>
      <c r="L717" s="491">
        <f>INDEX('Fuel Model -  Input'!$B$3:$N$373,MATCH($B717,'Fuel Model -  Input'!$B$3:$B$373,0),MATCH(L$2,'Fuel Model -  Input'!$B$3:$N$3,0))</f>
        <v>24.692537876031398</v>
      </c>
      <c r="M717" s="491">
        <f>INDEX('Fuel Model -  Input'!$B$3:$N$373,MATCH($B717,'Fuel Model -  Input'!$B$3:$B$373,0),MATCH(M$2,'Fuel Model -  Input'!$B$3:$N$3,0))</f>
        <v>23.425269893906371</v>
      </c>
    </row>
    <row r="718" spans="2:13" hidden="1" outlineLevel="2" x14ac:dyDescent="0.2">
      <c r="B718" t="str">
        <f>+C718&amp;D718&amp;E718&amp;F718</f>
        <v>GlobalSynthesisElectricity demandmWh/ton NH3</v>
      </c>
      <c r="C718" t="s">
        <v>109</v>
      </c>
      <c r="D718" t="s">
        <v>962</v>
      </c>
      <c r="E718" s="48" t="s">
        <v>963</v>
      </c>
      <c r="F718" s="128" t="s">
        <v>964</v>
      </c>
      <c r="G718" s="482">
        <f>INDEX('Fuel Model -  Input'!$B$3:$N$373,MATCH($B718,'Fuel Model -  Input'!$B$3:$B$373,0),MATCH(G$2,'Fuel Model -  Input'!$B$3:$N$3,0))</f>
        <v>0.25</v>
      </c>
      <c r="H718" s="482">
        <f>INDEX('Fuel Model -  Input'!$B$3:$N$373,MATCH($B718,'Fuel Model -  Input'!$B$3:$B$373,0),MATCH(H$2,'Fuel Model -  Input'!$B$3:$N$3,0))</f>
        <v>0.25</v>
      </c>
      <c r="I718" s="482">
        <f>INDEX('Fuel Model -  Input'!$B$3:$N$373,MATCH($B718,'Fuel Model -  Input'!$B$3:$B$373,0),MATCH(I$2,'Fuel Model -  Input'!$B$3:$N$3,0))</f>
        <v>0.25</v>
      </c>
      <c r="J718" s="482">
        <f>INDEX('Fuel Model -  Input'!$B$3:$N$373,MATCH($B718,'Fuel Model -  Input'!$B$3:$B$373,0),MATCH(J$2,'Fuel Model -  Input'!$B$3:$N$3,0))</f>
        <v>0.25</v>
      </c>
      <c r="K718" s="482">
        <f>INDEX('Fuel Model -  Input'!$B$3:$N$373,MATCH($B718,'Fuel Model -  Input'!$B$3:$B$373,0),MATCH(K$2,'Fuel Model -  Input'!$B$3:$N$3,0))</f>
        <v>0.25</v>
      </c>
      <c r="L718" s="482">
        <f>INDEX('Fuel Model -  Input'!$B$3:$N$373,MATCH($B718,'Fuel Model -  Input'!$B$3:$B$373,0),MATCH(L$2,'Fuel Model -  Input'!$B$3:$N$3,0))</f>
        <v>0.25</v>
      </c>
      <c r="M718" s="482">
        <f>INDEX('Fuel Model -  Input'!$B$3:$N$373,MATCH($B718,'Fuel Model -  Input'!$B$3:$B$373,0),MATCH(M$2,'Fuel Model -  Input'!$B$3:$N$3,0))</f>
        <v>0.25</v>
      </c>
    </row>
    <row r="719" spans="2:13" hidden="1" outlineLevel="2" x14ac:dyDescent="0.2">
      <c r="E719" s="48"/>
      <c r="F719" s="128"/>
      <c r="G719" s="524"/>
      <c r="H719" s="524"/>
      <c r="I719" s="524"/>
      <c r="J719" s="524"/>
      <c r="K719" s="524"/>
      <c r="L719" s="524"/>
      <c r="M719" s="524"/>
    </row>
    <row r="720" spans="2:13" hidden="1" outlineLevel="2" x14ac:dyDescent="0.2">
      <c r="B720" t="str">
        <f>+C720&amp;D720&amp;E720&amp;F720</f>
        <v>AfricaFeedstockFeedstock N2USD/ton NH3</v>
      </c>
      <c r="C720" t="str">
        <f>+$B$703</f>
        <v>Africa</v>
      </c>
      <c r="D720" t="s">
        <v>777</v>
      </c>
      <c r="E720" s="48" t="s">
        <v>965</v>
      </c>
      <c r="F720" s="128" t="s">
        <v>960</v>
      </c>
      <c r="G720" s="77">
        <f>G721*G722</f>
        <v>66.78081532914706</v>
      </c>
      <c r="H720" s="77">
        <f t="shared" ref="H720" si="407">H721*H722</f>
        <v>40.046763546196097</v>
      </c>
      <c r="I720" s="77">
        <f t="shared" ref="I720" si="408">I721*I722</f>
        <v>17.377624906317752</v>
      </c>
      <c r="J720" s="77">
        <f t="shared" ref="J720" si="409">J721*J722</f>
        <v>15.709438309636161</v>
      </c>
      <c r="K720" s="77">
        <f t="shared" ref="K720" si="410">K721*K722</f>
        <v>14.505468362235741</v>
      </c>
      <c r="L720" s="77">
        <f t="shared" ref="L720" si="411">L721*L722</f>
        <v>13.289828226819562</v>
      </c>
      <c r="M720" s="77">
        <f t="shared" ref="M720" si="412">M721*M722</f>
        <v>12.290314370558209</v>
      </c>
    </row>
    <row r="721" spans="2:13" hidden="1" outlineLevel="2" x14ac:dyDescent="0.2">
      <c r="B721" t="str">
        <f>+C721&amp;D721&amp;E721&amp;F721</f>
        <v>GlobalFeedstockConversion N2 : Ammonia (actual)kg N2/kg NH3</v>
      </c>
      <c r="C721" t="s">
        <v>109</v>
      </c>
      <c r="D721" t="s">
        <v>777</v>
      </c>
      <c r="E721" t="s">
        <v>966</v>
      </c>
      <c r="F721" s="128" t="s">
        <v>967</v>
      </c>
      <c r="G721" s="482">
        <f>INDEX('Fuel Model -  Input'!$B$3:$N$373,MATCH($B721,'Fuel Model -  Input'!$B$3:$B$373,0),MATCH(G$2,'Fuel Model -  Input'!$B$3:$N$3,0))</f>
        <v>0.82199999999999995</v>
      </c>
      <c r="H721" s="482">
        <f>INDEX('Fuel Model -  Input'!$B$3:$N$373,MATCH($B721,'Fuel Model -  Input'!$B$3:$B$373,0),MATCH(H$2,'Fuel Model -  Input'!$B$3:$N$3,0))</f>
        <v>0.82199999999999995</v>
      </c>
      <c r="I721" s="482">
        <f>INDEX('Fuel Model -  Input'!$B$3:$N$373,MATCH($B721,'Fuel Model -  Input'!$B$3:$B$373,0),MATCH(I$2,'Fuel Model -  Input'!$B$3:$N$3,0))</f>
        <v>0.82199999999999995</v>
      </c>
      <c r="J721" s="482">
        <f>INDEX('Fuel Model -  Input'!$B$3:$N$373,MATCH($B721,'Fuel Model -  Input'!$B$3:$B$373,0),MATCH(J$2,'Fuel Model -  Input'!$B$3:$N$3,0))</f>
        <v>0.82199999999999995</v>
      </c>
      <c r="K721" s="482">
        <f>INDEX('Fuel Model -  Input'!$B$3:$N$373,MATCH($B721,'Fuel Model -  Input'!$B$3:$B$373,0),MATCH(K$2,'Fuel Model -  Input'!$B$3:$N$3,0))</f>
        <v>0.82199999999999995</v>
      </c>
      <c r="L721" s="482">
        <f>INDEX('Fuel Model -  Input'!$B$3:$N$373,MATCH($B721,'Fuel Model -  Input'!$B$3:$B$373,0),MATCH(L$2,'Fuel Model -  Input'!$B$3:$N$3,0))</f>
        <v>0.82199999999999995</v>
      </c>
      <c r="M721" s="482">
        <f>INDEX('Fuel Model -  Input'!$B$3:$N$373,MATCH($B721,'Fuel Model -  Input'!$B$3:$B$373,0),MATCH(M$2,'Fuel Model -  Input'!$B$3:$N$3,0))</f>
        <v>0.82199999999999995</v>
      </c>
    </row>
    <row r="722" spans="2:13" hidden="1" outlineLevel="2" x14ac:dyDescent="0.2">
      <c r="B722" t="str">
        <f>+C722&amp;D722&amp;E722&amp;F722</f>
        <v>AfricaFeedstockCost of N2USD/ton</v>
      </c>
      <c r="C722" t="str">
        <f>+$B$703</f>
        <v>Africa</v>
      </c>
      <c r="D722" t="s">
        <v>777</v>
      </c>
      <c r="E722" t="s">
        <v>968</v>
      </c>
      <c r="F722" s="128" t="s">
        <v>205</v>
      </c>
      <c r="G722" s="482">
        <f t="shared" ref="G722:M722" si="413">INDEX(G$1654:G$1658,MATCH($B722,$B$1654:$B$1658,0))</f>
        <v>81.2418677970159</v>
      </c>
      <c r="H722" s="482">
        <f t="shared" si="413"/>
        <v>48.71869044549404</v>
      </c>
      <c r="I722" s="482">
        <f t="shared" si="413"/>
        <v>21.14066290306296</v>
      </c>
      <c r="J722" s="482">
        <f t="shared" si="413"/>
        <v>19.111238819508714</v>
      </c>
      <c r="K722" s="482">
        <f t="shared" si="413"/>
        <v>17.646555185201631</v>
      </c>
      <c r="L722" s="482">
        <f t="shared" si="413"/>
        <v>16.167674241872948</v>
      </c>
      <c r="M722" s="482">
        <f t="shared" si="413"/>
        <v>14.951720645447944</v>
      </c>
    </row>
    <row r="723" spans="2:13" hidden="1" outlineLevel="2" x14ac:dyDescent="0.2">
      <c r="F723" s="128"/>
      <c r="G723" s="520"/>
      <c r="H723" s="520"/>
      <c r="I723" s="520"/>
      <c r="J723" s="520"/>
      <c r="K723" s="520"/>
      <c r="L723" s="520"/>
      <c r="M723" s="520"/>
    </row>
    <row r="724" spans="2:13" hidden="1" outlineLevel="2" x14ac:dyDescent="0.2">
      <c r="B724" t="str">
        <f>+C724&amp;D724&amp;E724&amp;F724</f>
        <v>AfricaFeedstockFeedstock H2USD/ton NH3</v>
      </c>
      <c r="C724" t="str">
        <f>+$B$703</f>
        <v>Africa</v>
      </c>
      <c r="D724" t="s">
        <v>777</v>
      </c>
      <c r="E724" s="48" t="s">
        <v>970</v>
      </c>
      <c r="F724" s="128" t="s">
        <v>960</v>
      </c>
      <c r="G724" s="8">
        <f t="shared" ref="G724:M724" si="414">G727*G728</f>
        <v>1095.7271064785446</v>
      </c>
      <c r="H724" s="8">
        <f t="shared" si="414"/>
        <v>705.10635412894021</v>
      </c>
      <c r="I724" s="8">
        <f t="shared" si="414"/>
        <v>565.3649521806293</v>
      </c>
      <c r="J724" s="8">
        <f t="shared" si="414"/>
        <v>499.34881955727116</v>
      </c>
      <c r="K724" s="8">
        <f t="shared" si="414"/>
        <v>431.54324611236979</v>
      </c>
      <c r="L724" s="8">
        <f t="shared" si="414"/>
        <v>346.44886436611876</v>
      </c>
      <c r="M724" s="8">
        <f t="shared" si="414"/>
        <v>272.48310659142999</v>
      </c>
    </row>
    <row r="725" spans="2:13" hidden="1" outlineLevel="2" x14ac:dyDescent="0.2">
      <c r="B725" t="str">
        <f>+C725&amp;D725&amp;E725&amp;F725</f>
        <v>AfricaResultsShare of RNE e-Hydrogen (compressed)%</v>
      </c>
      <c r="C725" t="str">
        <f>+$B$703</f>
        <v>Africa</v>
      </c>
      <c r="D725" t="s">
        <v>838</v>
      </c>
      <c r="E725" s="48" t="s">
        <v>848</v>
      </c>
      <c r="F725" s="128" t="s">
        <v>178</v>
      </c>
      <c r="G725" s="525">
        <f t="shared" ref="G725:M725" si="415">+INDEX($A:$M,MATCH($B725,$B:$B,0),MATCH(G$2,$2:$2,0))</f>
        <v>0.70374350439456668</v>
      </c>
      <c r="H725" s="525">
        <f t="shared" si="415"/>
        <v>0.61587638958022917</v>
      </c>
      <c r="I725" s="525">
        <f t="shared" si="415"/>
        <v>0.59578206340737183</v>
      </c>
      <c r="J725" s="525">
        <f t="shared" si="415"/>
        <v>0.55164163635488539</v>
      </c>
      <c r="K725" s="525">
        <f t="shared" si="415"/>
        <v>0.55849335567638114</v>
      </c>
      <c r="L725" s="525">
        <f t="shared" si="415"/>
        <v>0.59075971910739944</v>
      </c>
      <c r="M725" s="525">
        <f t="shared" si="415"/>
        <v>0.67546332636465578</v>
      </c>
    </row>
    <row r="726" spans="2:13" hidden="1" outlineLevel="2" x14ac:dyDescent="0.2">
      <c r="B726" t="str">
        <f>+C726&amp;D726&amp;E726&amp;F726</f>
        <v>AfricaResultsShare of Capex e-Hydrogen (compressed)%</v>
      </c>
      <c r="C726" t="str">
        <f>+$B$703</f>
        <v>Africa</v>
      </c>
      <c r="D726" t="s">
        <v>838</v>
      </c>
      <c r="E726" s="48" t="s">
        <v>850</v>
      </c>
      <c r="F726" s="128" t="s">
        <v>178</v>
      </c>
      <c r="G726" s="525">
        <f t="shared" ref="G726:M726" si="416">+INDEX(G$4:G$581,MATCH($B726,$B$4:$B$581,0))</f>
        <v>0.13709753132575195</v>
      </c>
      <c r="H726" s="525">
        <f t="shared" si="416"/>
        <v>0.17854777040440584</v>
      </c>
      <c r="I726" s="525">
        <f t="shared" si="416"/>
        <v>0.19487111194737386</v>
      </c>
      <c r="J726" s="525">
        <f t="shared" si="416"/>
        <v>0.23236206902119594</v>
      </c>
      <c r="K726" s="525">
        <f t="shared" si="416"/>
        <v>0.24740459873320536</v>
      </c>
      <c r="L726" s="525">
        <f t="shared" si="416"/>
        <v>0.24614153573918471</v>
      </c>
      <c r="M726" s="525">
        <f t="shared" si="416"/>
        <v>0.20501738780232606</v>
      </c>
    </row>
    <row r="727" spans="2:13" hidden="1" outlineLevel="2" x14ac:dyDescent="0.2">
      <c r="B727" t="str">
        <f>+C727&amp;D727&amp;E727&amp;F727</f>
        <v>GlobalFeedstockConversion H2 : Ammonia (actual)kg H2/kg NH3</v>
      </c>
      <c r="C727" t="s">
        <v>109</v>
      </c>
      <c r="D727" t="s">
        <v>777</v>
      </c>
      <c r="E727" t="s">
        <v>971</v>
      </c>
      <c r="F727" s="128" t="s">
        <v>972</v>
      </c>
      <c r="G727" s="482">
        <f>INDEX('Fuel Model -  Input'!$B$3:$N$373,MATCH($B727,'Fuel Model -  Input'!$B$3:$B$373,0),MATCH(G$2,'Fuel Model -  Input'!$B$3:$N$3,0))</f>
        <v>0.18</v>
      </c>
      <c r="H727" s="482">
        <f>INDEX('Fuel Model -  Input'!$B$3:$N$373,MATCH($B727,'Fuel Model -  Input'!$B$3:$B$373,0),MATCH(H$2,'Fuel Model -  Input'!$B$3:$N$3,0))</f>
        <v>0.18</v>
      </c>
      <c r="I727" s="482">
        <f>INDEX('Fuel Model -  Input'!$B$3:$N$373,MATCH($B727,'Fuel Model -  Input'!$B$3:$B$373,0),MATCH(I$2,'Fuel Model -  Input'!$B$3:$N$3,0))</f>
        <v>0.18</v>
      </c>
      <c r="J727" s="482">
        <f>INDEX('Fuel Model -  Input'!$B$3:$N$373,MATCH($B727,'Fuel Model -  Input'!$B$3:$B$373,0),MATCH(J$2,'Fuel Model -  Input'!$B$3:$N$3,0))</f>
        <v>0.18</v>
      </c>
      <c r="K727" s="482">
        <f>INDEX('Fuel Model -  Input'!$B$3:$N$373,MATCH($B727,'Fuel Model -  Input'!$B$3:$B$373,0),MATCH(K$2,'Fuel Model -  Input'!$B$3:$N$3,0))</f>
        <v>0.18</v>
      </c>
      <c r="L727" s="482">
        <f>INDEX('Fuel Model -  Input'!$B$3:$N$373,MATCH($B727,'Fuel Model -  Input'!$B$3:$B$373,0),MATCH(L$2,'Fuel Model -  Input'!$B$3:$N$3,0))</f>
        <v>0.18</v>
      </c>
      <c r="M727" s="482">
        <f>INDEX('Fuel Model -  Input'!$B$3:$N$373,MATCH($B727,'Fuel Model -  Input'!$B$3:$B$373,0),MATCH(M$2,'Fuel Model -  Input'!$B$3:$N$3,0))</f>
        <v>0.18</v>
      </c>
    </row>
    <row r="728" spans="2:13" hidden="1" outlineLevel="2" x14ac:dyDescent="0.2">
      <c r="B728" t="str">
        <f>+C728&amp;D728&amp;E728&amp;F728</f>
        <v>AfricaResultsCost of e-Hydrogen (compressed)USD/ton</v>
      </c>
      <c r="C728" t="str">
        <f>+$B$703</f>
        <v>Africa</v>
      </c>
      <c r="D728" t="s">
        <v>838</v>
      </c>
      <c r="E728" t="s">
        <v>846</v>
      </c>
      <c r="F728" s="128" t="s">
        <v>205</v>
      </c>
      <c r="G728" s="491">
        <f>INDEX(G$4:G727,MATCH($B728,$B$4:$B727,0))</f>
        <v>6087.3728137696917</v>
      </c>
      <c r="H728" s="491">
        <f>INDEX(H$4:H727,MATCH($B728,$B$4:$B727,0))</f>
        <v>3917.257522938557</v>
      </c>
      <c r="I728" s="491">
        <f>INDEX(I$4:I727,MATCH($B728,$B$4:$B727,0))</f>
        <v>3140.9164010034965</v>
      </c>
      <c r="J728" s="491">
        <f>INDEX(J$4:J727,MATCH($B728,$B$4:$B727,0))</f>
        <v>2774.1601086515066</v>
      </c>
      <c r="K728" s="491">
        <f>INDEX(K$4:K727,MATCH($B728,$B$4:$B727,0))</f>
        <v>2397.4624784020543</v>
      </c>
      <c r="L728" s="491">
        <f>INDEX(L$4:L727,MATCH($B728,$B$4:$B727,0))</f>
        <v>1924.7159131451044</v>
      </c>
      <c r="M728" s="491">
        <f>INDEX(M$4:M727,MATCH($B728,$B$4:$B727,0))</f>
        <v>1513.7950366190555</v>
      </c>
    </row>
    <row r="729" spans="2:13" ht="12.75" hidden="1" outlineLevel="2" x14ac:dyDescent="0.2">
      <c r="F729" s="24"/>
      <c r="G729" s="526"/>
      <c r="I729" s="86"/>
      <c r="M729" s="86"/>
    </row>
    <row r="730" spans="2:13" ht="12.75" hidden="1" outlineLevel="1" x14ac:dyDescent="0.2">
      <c r="F730"/>
      <c r="G730" s="8"/>
    </row>
    <row r="731" spans="2:13" ht="15" hidden="1" outlineLevel="1" x14ac:dyDescent="0.25">
      <c r="B731" s="30" t="s">
        <v>973</v>
      </c>
      <c r="C731" s="30" t="str">
        <f>+B731</f>
        <v>KEY PROCESS INDICATORS</v>
      </c>
      <c r="F731"/>
    </row>
    <row r="732" spans="2:13" ht="12.75" hidden="1" outlineLevel="1" x14ac:dyDescent="0.2">
      <c r="F732"/>
    </row>
    <row r="733" spans="2:13" ht="15" hidden="1" outlineLevel="1" x14ac:dyDescent="0.25">
      <c r="B733" s="30" t="s">
        <v>974</v>
      </c>
      <c r="C733" s="30" t="str">
        <f>+B733</f>
        <v>Primary energy efficiency - green Ammonia</v>
      </c>
      <c r="F733"/>
    </row>
    <row r="734" spans="2:13" s="157" customFormat="1" ht="15" hidden="1" outlineLevel="1" x14ac:dyDescent="0.25">
      <c r="B734" s="527" t="str">
        <f>+C734&amp;D734&amp;E734&amp;F734</f>
        <v>GlobalResultsAverage Primary EE of e-Ammonia%</v>
      </c>
      <c r="C734" s="516" t="s">
        <v>109</v>
      </c>
      <c r="D734" s="516" t="s">
        <v>838</v>
      </c>
      <c r="E734" s="516" t="s">
        <v>975</v>
      </c>
      <c r="F734" s="512" t="s">
        <v>178</v>
      </c>
      <c r="G734" s="528">
        <f t="shared" ref="G734:M734" si="417">G738/3600/(G610+G619*G737/3600/G736)</f>
        <v>0.52678895799360559</v>
      </c>
      <c r="H734" s="529">
        <f t="shared" si="417"/>
        <v>0.52948932360592504</v>
      </c>
      <c r="I734" s="529">
        <f t="shared" si="417"/>
        <v>0.53817237573831711</v>
      </c>
      <c r="J734" s="529">
        <f t="shared" si="417"/>
        <v>0.56023392300523689</v>
      </c>
      <c r="K734" s="529">
        <f t="shared" si="417"/>
        <v>0.58694480967656215</v>
      </c>
      <c r="L734" s="529">
        <f t="shared" si="417"/>
        <v>0.6221836576515305</v>
      </c>
      <c r="M734" s="529">
        <f t="shared" si="417"/>
        <v>0.65176758552513991</v>
      </c>
    </row>
    <row r="735" spans="2:13" s="157" customFormat="1" hidden="1" outlineLevel="1" collapsed="1" x14ac:dyDescent="0.2">
      <c r="B735" s="496"/>
      <c r="F735" s="450"/>
      <c r="G735" s="530"/>
      <c r="H735" s="530"/>
      <c r="I735" s="530"/>
      <c r="J735" s="530"/>
      <c r="K735" s="530"/>
      <c r="L735" s="530"/>
      <c r="M735" s="530"/>
    </row>
    <row r="736" spans="2:13" hidden="1" outlineLevel="2" x14ac:dyDescent="0.2">
      <c r="B736" s="496" t="str">
        <f>+C736&amp;D736&amp;E736&amp;F736</f>
        <v>GlobalResultsAverage Primary EE of e-Hydrogen (compressed)%</v>
      </c>
      <c r="C736" s="157" t="s">
        <v>109</v>
      </c>
      <c r="D736" s="157" t="s">
        <v>838</v>
      </c>
      <c r="E736" s="157" t="s">
        <v>945</v>
      </c>
      <c r="F736" s="157" t="s">
        <v>178</v>
      </c>
      <c r="G736" s="531">
        <f>INDEX(G$4:G735,MATCH($B736,$B$4:$B735,0))</f>
        <v>0.62090526196973861</v>
      </c>
      <c r="H736" s="531">
        <f>INDEX(H$4:H735,MATCH($B736,$B$4:$B735,0))</f>
        <v>0.62417085168914133</v>
      </c>
      <c r="I736" s="531">
        <f>INDEX(I$4:I735,MATCH($B736,$B$4:$B735,0))</f>
        <v>0.63467726108676525</v>
      </c>
      <c r="J736" s="531">
        <f>INDEX(J$4:J735,MATCH($B736,$B$4:$B735,0))</f>
        <v>0.66141189245873089</v>
      </c>
      <c r="K736" s="531">
        <f>INDEX(K$4:K735,MATCH($B736,$B$4:$B735,0))</f>
        <v>0.69385844908622296</v>
      </c>
      <c r="L736" s="531">
        <f>INDEX(L$4:L735,MATCH($B736,$B$4:$B735,0))</f>
        <v>0.73679503467693408</v>
      </c>
      <c r="M736" s="531">
        <f>INDEX(M$4:M735,MATCH($B736,$B$4:$B735,0))</f>
        <v>0.77295687554154879</v>
      </c>
    </row>
    <row r="737" spans="2:14" hidden="1" outlineLevel="2" x14ac:dyDescent="0.2">
      <c r="B737" s="496" t="str">
        <f>+C737&amp;D737&amp;E737&amp;F737</f>
        <v>GlobalLHVe-Hydrogen (compressed)MJ/ ton</v>
      </c>
      <c r="C737" t="s">
        <v>109</v>
      </c>
      <c r="D737" t="s">
        <v>582</v>
      </c>
      <c r="E737" t="s">
        <v>584</v>
      </c>
      <c r="F737" s="157" t="s">
        <v>583</v>
      </c>
      <c r="G737" s="532">
        <f>+INDEX('Fuel Model -  Input'!$B$3:$N$373,MATCH($B737,'Fuel Model -  Input'!$B$3:$B$373,0),MATCH(G$2,'Fuel Model -  Input'!$B$3:$N$3,0))</f>
        <v>120000</v>
      </c>
      <c r="H737" s="532">
        <f>+INDEX('Fuel Model -  Input'!$B$3:$N$373,MATCH($B737,'Fuel Model -  Input'!$B$3:$B$373,0),MATCH(H$2,'Fuel Model -  Input'!$B$3:$N$3,0))</f>
        <v>120000</v>
      </c>
      <c r="I737" s="532">
        <f>+INDEX('Fuel Model -  Input'!$B$3:$N$373,MATCH($B737,'Fuel Model -  Input'!$B$3:$B$373,0),MATCH(I$2,'Fuel Model -  Input'!$B$3:$N$3,0))</f>
        <v>120000</v>
      </c>
      <c r="J737" s="532">
        <f>+INDEX('Fuel Model -  Input'!$B$3:$N$373,MATCH($B737,'Fuel Model -  Input'!$B$3:$B$373,0),MATCH(J$2,'Fuel Model -  Input'!$B$3:$N$3,0))</f>
        <v>120000</v>
      </c>
      <c r="K737" s="532">
        <f>+INDEX('Fuel Model -  Input'!$B$3:$N$373,MATCH($B737,'Fuel Model -  Input'!$B$3:$B$373,0),MATCH(K$2,'Fuel Model -  Input'!$B$3:$N$3,0))</f>
        <v>120000</v>
      </c>
      <c r="L737" s="532">
        <f>+INDEX('Fuel Model -  Input'!$B$3:$N$373,MATCH($B737,'Fuel Model -  Input'!$B$3:$B$373,0),MATCH(L$2,'Fuel Model -  Input'!$B$3:$N$3,0))</f>
        <v>120000</v>
      </c>
      <c r="M737" s="532">
        <f>+INDEX('Fuel Model -  Input'!$B$3:$N$373,MATCH($B737,'Fuel Model -  Input'!$B$3:$B$373,0),MATCH(M$2,'Fuel Model -  Input'!$B$3:$N$3,0))</f>
        <v>120000</v>
      </c>
    </row>
    <row r="738" spans="2:14" hidden="1" outlineLevel="2" x14ac:dyDescent="0.2">
      <c r="B738" s="496" t="str">
        <f>+C738&amp;D738&amp;E738&amp;F738</f>
        <v>GlobalLHVe-AmmoniaMJ/ ton</v>
      </c>
      <c r="C738" t="s">
        <v>109</v>
      </c>
      <c r="D738" t="s">
        <v>582</v>
      </c>
      <c r="E738" t="s">
        <v>121</v>
      </c>
      <c r="F738" s="157" t="s">
        <v>583</v>
      </c>
      <c r="G738" s="532">
        <f>+INDEX('Fuel Model -  Input'!$B$3:$N$373,MATCH($B738,'Fuel Model -  Input'!$B$3:$B$373,0),MATCH(G$2,'Fuel Model -  Input'!$B$3:$N$3,0))</f>
        <v>18800</v>
      </c>
      <c r="H738" s="532">
        <f>+INDEX('Fuel Model -  Input'!$B$3:$N$373,MATCH($B738,'Fuel Model -  Input'!$B$3:$B$373,0),MATCH(H$2,'Fuel Model -  Input'!$B$3:$N$3,0))</f>
        <v>18800</v>
      </c>
      <c r="I738" s="532">
        <f>+INDEX('Fuel Model -  Input'!$B$3:$N$373,MATCH($B738,'Fuel Model -  Input'!$B$3:$B$373,0),MATCH(I$2,'Fuel Model -  Input'!$B$3:$N$3,0))</f>
        <v>18800</v>
      </c>
      <c r="J738" s="532">
        <f>+INDEX('Fuel Model -  Input'!$B$3:$N$373,MATCH($B738,'Fuel Model -  Input'!$B$3:$B$373,0),MATCH(J$2,'Fuel Model -  Input'!$B$3:$N$3,0))</f>
        <v>18800</v>
      </c>
      <c r="K738" s="532">
        <f>+INDEX('Fuel Model -  Input'!$B$3:$N$373,MATCH($B738,'Fuel Model -  Input'!$B$3:$B$373,0),MATCH(K$2,'Fuel Model -  Input'!$B$3:$N$3,0))</f>
        <v>18800</v>
      </c>
      <c r="L738" s="532">
        <f>+INDEX('Fuel Model -  Input'!$B$3:$N$373,MATCH($B738,'Fuel Model -  Input'!$B$3:$B$373,0),MATCH(L$2,'Fuel Model -  Input'!$B$3:$N$3,0))</f>
        <v>18800</v>
      </c>
      <c r="M738" s="532">
        <f>+INDEX('Fuel Model -  Input'!$B$3:$N$373,MATCH($B738,'Fuel Model -  Input'!$B$3:$B$373,0),MATCH(M$2,'Fuel Model -  Input'!$B$3:$N$3,0))</f>
        <v>18800</v>
      </c>
    </row>
    <row r="739" spans="2:14" ht="12.75" hidden="1" outlineLevel="2" x14ac:dyDescent="0.2">
      <c r="F739"/>
    </row>
    <row r="740" spans="2:14" ht="15" hidden="1" outlineLevel="1" x14ac:dyDescent="0.25">
      <c r="B740" s="30" t="s">
        <v>976</v>
      </c>
      <c r="C740" s="30" t="str">
        <f>+B740</f>
        <v>CO2eq intensity ton/ton green Ammonia</v>
      </c>
      <c r="F740"/>
    </row>
    <row r="741" spans="2:14" s="157" customFormat="1" ht="15" hidden="1" outlineLevel="1" x14ac:dyDescent="0.25">
      <c r="B741" s="527" t="str">
        <f>+C741&amp;D741&amp;E741&amp;F741</f>
        <v>GlobalResultsWTT Emission - e-AmmoniatonCO2eq/tonNH3</v>
      </c>
      <c r="C741" s="516" t="s">
        <v>109</v>
      </c>
      <c r="D741" s="516" t="s">
        <v>838</v>
      </c>
      <c r="E741" s="516" t="s">
        <v>977</v>
      </c>
      <c r="F741" s="516" t="s">
        <v>978</v>
      </c>
      <c r="G741" s="533">
        <f t="shared" ref="G741:M741" si="418">G743*G619+G744*G610+G745+G746*G613</f>
        <v>5.3785507129850182E-2</v>
      </c>
      <c r="H741" s="533">
        <f t="shared" si="418"/>
        <v>5.3538899999999987E-2</v>
      </c>
      <c r="I741" s="533">
        <f t="shared" si="418"/>
        <v>5.2845949553431054E-2</v>
      </c>
      <c r="J741" s="533">
        <f t="shared" si="418"/>
        <v>5.1005446953951317E-2</v>
      </c>
      <c r="K741" s="533">
        <f t="shared" si="418"/>
        <v>4.8795179078345907E-2</v>
      </c>
      <c r="L741" s="533">
        <f t="shared" si="418"/>
        <v>4.5852600460841497E-2</v>
      </c>
      <c r="M741" s="533">
        <f t="shared" si="418"/>
        <v>4.3534589999999998E-2</v>
      </c>
    </row>
    <row r="742" spans="2:14" ht="12.75" hidden="1" outlineLevel="1" collapsed="1" x14ac:dyDescent="0.2">
      <c r="F742"/>
    </row>
    <row r="743" spans="2:14" s="157" customFormat="1" hidden="1" outlineLevel="2" x14ac:dyDescent="0.2">
      <c r="B743" s="496" t="str">
        <f>+C743&amp;D743&amp;E743&amp;F743</f>
        <v>GlobalCO2intensityWTT emission - e-Hydrogen (compressed)tonCO2eq/tonH2</v>
      </c>
      <c r="C743" s="157" t="s">
        <v>109</v>
      </c>
      <c r="D743" s="157" t="s">
        <v>927</v>
      </c>
      <c r="E743" s="157" t="s">
        <v>950</v>
      </c>
      <c r="F743" s="157" t="s">
        <v>929</v>
      </c>
      <c r="G743" s="521">
        <f>INDEX(G$4:G742,MATCH($B743,$B$4:$B742,0))</f>
        <v>0.29135003961027883</v>
      </c>
      <c r="H743" s="521">
        <f>INDEX(H$4:H742,MATCH($B743,$B$4:$B742,0))</f>
        <v>0.28997999999999996</v>
      </c>
      <c r="I743" s="521">
        <f>INDEX(I$4:I742,MATCH($B743,$B$4:$B742,0))</f>
        <v>0.28613027529683921</v>
      </c>
      <c r="J743" s="521">
        <f>INDEX(J$4:J742,MATCH($B743,$B$4:$B742,0))</f>
        <v>0.27590526085528511</v>
      </c>
      <c r="K743" s="521">
        <f>INDEX(K$4:K742,MATCH($B743,$B$4:$B742,0))</f>
        <v>0.26362599487969951</v>
      </c>
      <c r="L743" s="521">
        <f>INDEX(L$4:L742,MATCH($B743,$B$4:$B742,0))</f>
        <v>0.24727833589356388</v>
      </c>
      <c r="M743" s="521">
        <f>INDEX(M$4:M742,MATCH($B743,$B$4:$B742,0))</f>
        <v>0.23440049999999998</v>
      </c>
    </row>
    <row r="744" spans="2:14" s="157" customFormat="1" hidden="1" outlineLevel="2" x14ac:dyDescent="0.2">
      <c r="B744" s="496" t="str">
        <f>+C744&amp;D744&amp;E744&amp;F744</f>
        <v>GlobalCO2intensityElectricitytonCO2eq/MWH</v>
      </c>
      <c r="C744" s="157" t="s">
        <v>109</v>
      </c>
      <c r="D744" s="157" t="s">
        <v>927</v>
      </c>
      <c r="E744" s="157" t="s">
        <v>54</v>
      </c>
      <c r="F744" s="157" t="s">
        <v>937</v>
      </c>
      <c r="G744" s="521">
        <f>+INDEX('Fuel Model -  Input'!$B$3:$N$373,MATCH($B744,'Fuel Model -  Input'!$B$3:$B$373,0),MATCH(G$2,'Fuel Model -  Input'!$B$3:$N$3,0))</f>
        <v>5.3699999999999998E-3</v>
      </c>
      <c r="H744" s="521">
        <f>+INDEX('Fuel Model -  Input'!$B$3:$N$373,MATCH($B744,'Fuel Model -  Input'!$B$3:$B$373,0),MATCH(H$2,'Fuel Model -  Input'!$B$3:$N$3,0))</f>
        <v>5.3699999999999998E-3</v>
      </c>
      <c r="I744" s="521">
        <f>+INDEX('Fuel Model -  Input'!$B$3:$N$373,MATCH($B744,'Fuel Model -  Input'!$B$3:$B$373,0),MATCH(I$2,'Fuel Model -  Input'!$B$3:$N$3,0))</f>
        <v>5.3699999999999998E-3</v>
      </c>
      <c r="J744" s="521">
        <f>+INDEX('Fuel Model -  Input'!$B$3:$N$373,MATCH($B744,'Fuel Model -  Input'!$B$3:$B$373,0),MATCH(J$2,'Fuel Model -  Input'!$B$3:$N$3,0))</f>
        <v>5.3699999999999998E-3</v>
      </c>
      <c r="K744" s="521">
        <f>+INDEX('Fuel Model -  Input'!$B$3:$N$373,MATCH($B744,'Fuel Model -  Input'!$B$3:$B$373,0),MATCH(K$2,'Fuel Model -  Input'!$B$3:$N$3,0))</f>
        <v>5.3699999999999998E-3</v>
      </c>
      <c r="L744" s="521">
        <f>+INDEX('Fuel Model -  Input'!$B$3:$N$373,MATCH($B744,'Fuel Model -  Input'!$B$3:$B$373,0),MATCH(L$2,'Fuel Model -  Input'!$B$3:$N$3,0))</f>
        <v>5.3699999999999998E-3</v>
      </c>
      <c r="M744" s="521">
        <f>+INDEX('Fuel Model -  Input'!$B$3:$N$373,MATCH($B744,'Fuel Model -  Input'!$B$3:$B$373,0),MATCH(M$2,'Fuel Model -  Input'!$B$3:$N$3,0))</f>
        <v>5.3699999999999998E-3</v>
      </c>
    </row>
    <row r="745" spans="2:14" s="157" customFormat="1" hidden="1" outlineLevel="2" x14ac:dyDescent="0.2">
      <c r="B745" s="496" t="str">
        <f>+C745&amp;D745&amp;E745&amp;F745</f>
        <v>GlobalCO2intensityAmmonia synthesis process tonCO2eq/ton NH3</v>
      </c>
      <c r="C745" s="157" t="s">
        <v>109</v>
      </c>
      <c r="D745" s="157" t="s">
        <v>927</v>
      </c>
      <c r="E745" s="157" t="s">
        <v>979</v>
      </c>
      <c r="F745" s="157" t="s">
        <v>980</v>
      </c>
      <c r="G745" s="521">
        <f>+INDEX('Fuel Model -  Input'!$B$3:$N$373,MATCH($B745,'Fuel Model -  Input'!$B$3:$B$373,0),MATCH(G$2,'Fuel Model -  Input'!$B$3:$N$3,0))</f>
        <v>0</v>
      </c>
      <c r="H745" s="521">
        <f>+INDEX('Fuel Model -  Input'!$B$3:$N$373,MATCH($B745,'Fuel Model -  Input'!$B$3:$B$373,0),MATCH(H$2,'Fuel Model -  Input'!$B$3:$N$3,0))</f>
        <v>0</v>
      </c>
      <c r="I745" s="521">
        <f>+INDEX('Fuel Model -  Input'!$B$3:$N$373,MATCH($B745,'Fuel Model -  Input'!$B$3:$B$373,0),MATCH(I$2,'Fuel Model -  Input'!$B$3:$N$3,0))</f>
        <v>0</v>
      </c>
      <c r="J745" s="521">
        <f>+INDEX('Fuel Model -  Input'!$B$3:$N$373,MATCH($B745,'Fuel Model -  Input'!$B$3:$B$373,0),MATCH(J$2,'Fuel Model -  Input'!$B$3:$N$3,0))</f>
        <v>0</v>
      </c>
      <c r="K745" s="521">
        <f>+INDEX('Fuel Model -  Input'!$B$3:$N$373,MATCH($B745,'Fuel Model -  Input'!$B$3:$B$373,0),MATCH(K$2,'Fuel Model -  Input'!$B$3:$N$3,0))</f>
        <v>0</v>
      </c>
      <c r="L745" s="521">
        <f>+INDEX('Fuel Model -  Input'!$B$3:$N$373,MATCH($B745,'Fuel Model -  Input'!$B$3:$B$373,0),MATCH(L$2,'Fuel Model -  Input'!$B$3:$N$3,0))</f>
        <v>0</v>
      </c>
      <c r="M745" s="521">
        <f>+INDEX('Fuel Model -  Input'!$B$3:$N$373,MATCH($B745,'Fuel Model -  Input'!$B$3:$B$373,0),MATCH(M$2,'Fuel Model -  Input'!$B$3:$N$3,0))</f>
        <v>0</v>
      </c>
    </row>
    <row r="746" spans="2:14" s="157" customFormat="1" hidden="1" outlineLevel="2" x14ac:dyDescent="0.2">
      <c r="B746" s="496" t="str">
        <f>+C746&amp;D746&amp;E746&amp;F746</f>
        <v>GlobalCO2intensityN2tonCO2eq/ton N2</v>
      </c>
      <c r="C746" s="157" t="s">
        <v>109</v>
      </c>
      <c r="D746" s="157" t="s">
        <v>927</v>
      </c>
      <c r="E746" s="157" t="s">
        <v>981</v>
      </c>
      <c r="F746" s="157" t="s">
        <v>982</v>
      </c>
      <c r="G746" s="521">
        <f>+INDEX('Fuel Model -  Input'!$B$3:$N$373,MATCH($B746,'Fuel Model -  Input'!$B$3:$B$373,0),MATCH(G$2,'Fuel Model -  Input'!$B$3:$N$3,0))</f>
        <v>0</v>
      </c>
      <c r="H746" s="521">
        <f>+INDEX('Fuel Model -  Input'!$B$3:$N$373,MATCH($B746,'Fuel Model -  Input'!$B$3:$B$373,0),MATCH(H$2,'Fuel Model -  Input'!$B$3:$N$3,0))</f>
        <v>0</v>
      </c>
      <c r="I746" s="521">
        <f>+INDEX('Fuel Model -  Input'!$B$3:$N$373,MATCH($B746,'Fuel Model -  Input'!$B$3:$B$373,0),MATCH(I$2,'Fuel Model -  Input'!$B$3:$N$3,0))</f>
        <v>0</v>
      </c>
      <c r="J746" s="521">
        <f>+INDEX('Fuel Model -  Input'!$B$3:$N$373,MATCH($B746,'Fuel Model -  Input'!$B$3:$B$373,0),MATCH(J$2,'Fuel Model -  Input'!$B$3:$N$3,0))</f>
        <v>0</v>
      </c>
      <c r="K746" s="521">
        <f>+INDEX('Fuel Model -  Input'!$B$3:$N$373,MATCH($B746,'Fuel Model -  Input'!$B$3:$B$373,0),MATCH(K$2,'Fuel Model -  Input'!$B$3:$N$3,0))</f>
        <v>0</v>
      </c>
      <c r="L746" s="521">
        <f>+INDEX('Fuel Model -  Input'!$B$3:$N$373,MATCH($B746,'Fuel Model -  Input'!$B$3:$B$373,0),MATCH(L$2,'Fuel Model -  Input'!$B$3:$N$3,0))</f>
        <v>0</v>
      </c>
      <c r="M746" s="521">
        <f>+INDEX('Fuel Model -  Input'!$B$3:$N$373,MATCH($B746,'Fuel Model -  Input'!$B$3:$B$373,0),MATCH(M$2,'Fuel Model -  Input'!$B$3:$N$3,0))</f>
        <v>0</v>
      </c>
    </row>
    <row r="747" spans="2:14" hidden="1" outlineLevel="2" x14ac:dyDescent="0.2"/>
    <row r="748" spans="2:14" ht="15" thickBot="1" x14ac:dyDescent="0.25"/>
    <row r="749" spans="2:14" s="466" customFormat="1" ht="15.75" collapsed="1" thickBot="1" x14ac:dyDescent="0.3">
      <c r="B749" s="463" t="s">
        <v>983</v>
      </c>
      <c r="C749" s="464" t="str">
        <f>+B749</f>
        <v>e-Methanol</v>
      </c>
      <c r="D749" s="465"/>
      <c r="E749" s="465"/>
      <c r="F749" s="465"/>
      <c r="G749" s="738">
        <v>2020</v>
      </c>
      <c r="H749" s="738">
        <v>2025</v>
      </c>
      <c r="I749" s="738">
        <v>2030</v>
      </c>
      <c r="J749" s="738">
        <v>2035</v>
      </c>
      <c r="K749" s="738">
        <v>2040</v>
      </c>
      <c r="L749" s="738">
        <v>2045</v>
      </c>
      <c r="M749" s="739">
        <v>2050</v>
      </c>
    </row>
    <row r="750" spans="2:14" ht="15" hidden="1" outlineLevel="1" x14ac:dyDescent="0.25">
      <c r="B750" s="30" t="s">
        <v>984</v>
      </c>
      <c r="C750" s="30" t="str">
        <f>+B750</f>
        <v>e Methanol DAC</v>
      </c>
      <c r="E750" s="30"/>
      <c r="F750" s="522"/>
      <c r="G750" s="8"/>
      <c r="H750" s="8"/>
      <c r="I750" s="8"/>
      <c r="J750" s="8"/>
      <c r="K750" s="8"/>
      <c r="L750" s="8"/>
      <c r="M750" s="8"/>
      <c r="N750" s="93"/>
    </row>
    <row r="751" spans="2:14" ht="15" hidden="1" outlineLevel="1" x14ac:dyDescent="0.25">
      <c r="B751" t="str">
        <f>+C751&amp;D751&amp;E751&amp;F751</f>
        <v>EuropeResultsCost of e-Methanol (DAC)USD/ton</v>
      </c>
      <c r="C751" t="s">
        <v>195</v>
      </c>
      <c r="D751" t="s">
        <v>838</v>
      </c>
      <c r="E751" s="30" t="s">
        <v>985</v>
      </c>
      <c r="F751" s="522" t="s">
        <v>205</v>
      </c>
      <c r="G751" s="8">
        <f t="shared" ref="G751:M751" si="419">G777</f>
        <v>1850.6327067902253</v>
      </c>
      <c r="H751" s="8">
        <f t="shared" si="419"/>
        <v>1488.97476183955</v>
      </c>
      <c r="I751" s="8">
        <f t="shared" si="419"/>
        <v>1180.5219802508213</v>
      </c>
      <c r="J751" s="8">
        <f t="shared" si="419"/>
        <v>1051.0216396268943</v>
      </c>
      <c r="K751" s="8">
        <f t="shared" si="419"/>
        <v>917.90142474794811</v>
      </c>
      <c r="L751" s="8">
        <f t="shared" si="419"/>
        <v>759.49654257608256</v>
      </c>
      <c r="M751" s="8">
        <f t="shared" si="419"/>
        <v>613.42841088782563</v>
      </c>
      <c r="N751" s="93"/>
    </row>
    <row r="752" spans="2:14" ht="15" hidden="1" outlineLevel="1" x14ac:dyDescent="0.25">
      <c r="B752" t="str">
        <f>+C752&amp;D752&amp;E752&amp;F752</f>
        <v>Middle EastResultsCost of e-Methanol (DAC)USD/ton</v>
      </c>
      <c r="C752" t="s">
        <v>197</v>
      </c>
      <c r="D752" t="s">
        <v>838</v>
      </c>
      <c r="E752" s="30" t="s">
        <v>985</v>
      </c>
      <c r="F752" s="522" t="s">
        <v>205</v>
      </c>
      <c r="G752" s="8">
        <f t="shared" ref="G752:M752" si="420">G814</f>
        <v>1647.1384793168768</v>
      </c>
      <c r="H752" s="8">
        <f t="shared" si="420"/>
        <v>1324.9002560563013</v>
      </c>
      <c r="I752" s="8">
        <f t="shared" si="420"/>
        <v>1066.6807624776734</v>
      </c>
      <c r="J752" s="8">
        <f t="shared" si="420"/>
        <v>936.92308371976128</v>
      </c>
      <c r="K752" s="8">
        <f t="shared" si="420"/>
        <v>811.31921558387739</v>
      </c>
      <c r="L752" s="8">
        <f t="shared" si="420"/>
        <v>655.15859552126699</v>
      </c>
      <c r="M752" s="8">
        <f t="shared" si="420"/>
        <v>519.92224017333228</v>
      </c>
    </row>
    <row r="753" spans="2:22" ht="15" hidden="1" outlineLevel="1" x14ac:dyDescent="0.25">
      <c r="B753" s="157" t="str">
        <f>+C753&amp;D753&amp;E753&amp;F753</f>
        <v>AsiaResultsCost of e-Methanol (DAC)USD/ton</v>
      </c>
      <c r="C753" s="157" t="s">
        <v>198</v>
      </c>
      <c r="D753" s="157" t="s">
        <v>838</v>
      </c>
      <c r="E753" s="30" t="s">
        <v>985</v>
      </c>
      <c r="F753" s="522" t="s">
        <v>205</v>
      </c>
      <c r="G753" s="8">
        <f t="shared" ref="G753:M753" si="421">G851</f>
        <v>2291.567166164763</v>
      </c>
      <c r="H753" s="8">
        <f t="shared" si="421"/>
        <v>1636.1300512099513</v>
      </c>
      <c r="I753" s="8">
        <f t="shared" si="421"/>
        <v>1296.1814850269711</v>
      </c>
      <c r="J753" s="8">
        <f t="shared" si="421"/>
        <v>1111.1621333020812</v>
      </c>
      <c r="K753" s="8">
        <f t="shared" si="421"/>
        <v>954.95479961685214</v>
      </c>
      <c r="L753" s="8">
        <f t="shared" si="421"/>
        <v>774.93585073740132</v>
      </c>
      <c r="M753" s="8">
        <f t="shared" si="421"/>
        <v>627.26352456009181</v>
      </c>
    </row>
    <row r="754" spans="2:22" ht="15" hidden="1" outlineLevel="1" x14ac:dyDescent="0.25">
      <c r="B754" s="157" t="str">
        <f>+C754&amp;D754&amp;E754&amp;F754</f>
        <v>AmericasResultsCost of e-Methanol (DAC)USD/ton</v>
      </c>
      <c r="C754" s="157" t="s">
        <v>199</v>
      </c>
      <c r="D754" s="157" t="s">
        <v>838</v>
      </c>
      <c r="E754" s="30" t="s">
        <v>985</v>
      </c>
      <c r="F754" s="522" t="s">
        <v>205</v>
      </c>
      <c r="G754" s="8">
        <f t="shared" ref="G754:M754" si="422">G888</f>
        <v>1599.701955074283</v>
      </c>
      <c r="H754" s="8">
        <f t="shared" si="422"/>
        <v>1347.1640971238955</v>
      </c>
      <c r="I754" s="8">
        <f t="shared" si="422"/>
        <v>1072.8422699490416</v>
      </c>
      <c r="J754" s="8">
        <f t="shared" si="422"/>
        <v>953.52029031405357</v>
      </c>
      <c r="K754" s="8">
        <f t="shared" si="422"/>
        <v>818.81890089539797</v>
      </c>
      <c r="L754" s="8">
        <f t="shared" si="422"/>
        <v>682.21447276102924</v>
      </c>
      <c r="M754" s="8">
        <f t="shared" si="422"/>
        <v>550.900047298392</v>
      </c>
    </row>
    <row r="755" spans="2:22" ht="15" hidden="1" outlineLevel="1" x14ac:dyDescent="0.25">
      <c r="B755" s="157" t="str">
        <f>+C755&amp;D755&amp;E755&amp;F755</f>
        <v>AfricaResultsCost of e-Methanol (DAC)USD/ton</v>
      </c>
      <c r="C755" s="157" t="s">
        <v>200</v>
      </c>
      <c r="D755" s="157" t="s">
        <v>838</v>
      </c>
      <c r="E755" s="30" t="s">
        <v>985</v>
      </c>
      <c r="F755" s="522" t="s">
        <v>205</v>
      </c>
      <c r="G755" s="8">
        <f t="shared" ref="G755:M755" si="423">G925</f>
        <v>2241.7611072863892</v>
      </c>
      <c r="H755" s="8">
        <f t="shared" si="423"/>
        <v>1496.8223011041359</v>
      </c>
      <c r="I755" s="8">
        <f t="shared" si="423"/>
        <v>1170.6947979564306</v>
      </c>
      <c r="J755" s="8">
        <f t="shared" si="423"/>
        <v>1014.4625980778778</v>
      </c>
      <c r="K755" s="8">
        <f t="shared" si="423"/>
        <v>876.99081975724937</v>
      </c>
      <c r="L755" s="8">
        <f t="shared" si="423"/>
        <v>716.20918293508589</v>
      </c>
      <c r="M755" s="8">
        <f t="shared" si="423"/>
        <v>576.83433360482968</v>
      </c>
    </row>
    <row r="756" spans="2:22" ht="15" hidden="1" outlineLevel="1" x14ac:dyDescent="0.25">
      <c r="E756" s="30"/>
      <c r="F756" s="522"/>
      <c r="G756" s="8"/>
      <c r="H756" s="8"/>
      <c r="I756" s="8"/>
      <c r="J756" s="8"/>
      <c r="K756" s="8"/>
      <c r="L756" s="8"/>
      <c r="M756" s="8"/>
    </row>
    <row r="757" spans="2:22" ht="15" hidden="1" outlineLevel="1" x14ac:dyDescent="0.25">
      <c r="B757" t="str">
        <f>+C757&amp;D757&amp;E757&amp;F757</f>
        <v>EuropeResultsCost of e-Methanol (DAC) RNEUSD/ton</v>
      </c>
      <c r="C757" t="s">
        <v>195</v>
      </c>
      <c r="D757" t="s">
        <v>838</v>
      </c>
      <c r="E757" s="30" t="s">
        <v>986</v>
      </c>
      <c r="F757" s="522" t="s">
        <v>205</v>
      </c>
      <c r="G757" s="14">
        <f>+G783</f>
        <v>651.92491764918361</v>
      </c>
      <c r="H757" s="14">
        <f t="shared" ref="H757:M757" si="424">+H783</f>
        <v>525.39420641224103</v>
      </c>
      <c r="I757" s="14">
        <f t="shared" si="424"/>
        <v>420.44210726564802</v>
      </c>
      <c r="J757" s="14">
        <f t="shared" si="424"/>
        <v>367.723195867355</v>
      </c>
      <c r="K757" s="14">
        <f t="shared" si="424"/>
        <v>330.89740965279992</v>
      </c>
      <c r="L757" s="14">
        <f t="shared" si="424"/>
        <v>290.34283124025603</v>
      </c>
      <c r="M757" s="14">
        <f t="shared" si="424"/>
        <v>261.49465754694626</v>
      </c>
      <c r="N757" s="93"/>
    </row>
    <row r="758" spans="2:22" ht="15" hidden="1" outlineLevel="1" x14ac:dyDescent="0.25">
      <c r="B758" t="str">
        <f>+C758&amp;D758&amp;E758&amp;F758</f>
        <v>Middle EastResultsCost of e-Methanol (DAC) RNEUSD/ton</v>
      </c>
      <c r="C758" t="s">
        <v>197</v>
      </c>
      <c r="D758" t="s">
        <v>838</v>
      </c>
      <c r="E758" s="30" t="s">
        <v>986</v>
      </c>
      <c r="F758" s="522" t="s">
        <v>205</v>
      </c>
      <c r="G758" s="18">
        <f>+G820</f>
        <v>500.57125154736997</v>
      </c>
      <c r="H758" s="18">
        <f t="shared" ref="H758:M758" si="425">+H820</f>
        <v>401.41273651788123</v>
      </c>
      <c r="I758" s="18">
        <f t="shared" si="425"/>
        <v>333.26178816853928</v>
      </c>
      <c r="J758" s="18">
        <f t="shared" si="425"/>
        <v>279.61119239960561</v>
      </c>
      <c r="K758" s="18">
        <f t="shared" si="425"/>
        <v>248.05622035144501</v>
      </c>
      <c r="L758" s="18">
        <f t="shared" si="425"/>
        <v>209.0035125581239</v>
      </c>
      <c r="M758" s="18">
        <f t="shared" si="425"/>
        <v>188.23617309391807</v>
      </c>
    </row>
    <row r="759" spans="2:22" ht="15" hidden="1" outlineLevel="1" x14ac:dyDescent="0.25">
      <c r="B759" t="str">
        <f>+C759&amp;D759&amp;E759&amp;F759</f>
        <v>AsiaResultsCost of e-Methanol (DAC) RNEUSD/ton</v>
      </c>
      <c r="C759" t="s">
        <v>198</v>
      </c>
      <c r="D759" t="s">
        <v>838</v>
      </c>
      <c r="E759" s="30" t="s">
        <v>986</v>
      </c>
      <c r="F759" s="522" t="s">
        <v>205</v>
      </c>
      <c r="G759" s="18">
        <f>+G857</f>
        <v>979.88039710226985</v>
      </c>
      <c r="H759" s="18">
        <f t="shared" ref="H759:M759" si="426">+H857</f>
        <v>636.59081792587961</v>
      </c>
      <c r="I759" s="18">
        <f t="shared" si="426"/>
        <v>509.01488196216621</v>
      </c>
      <c r="J759" s="18">
        <f t="shared" si="426"/>
        <v>414.1663725152107</v>
      </c>
      <c r="K759" s="18">
        <f t="shared" si="426"/>
        <v>359.69720340678145</v>
      </c>
      <c r="L759" s="18">
        <f t="shared" si="426"/>
        <v>302.37893931228263</v>
      </c>
      <c r="M759" s="18">
        <f t="shared" si="426"/>
        <v>272.33393641080085</v>
      </c>
    </row>
    <row r="760" spans="2:22" ht="15" hidden="1" outlineLevel="1" x14ac:dyDescent="0.25">
      <c r="B760" t="str">
        <f>+C760&amp;D760&amp;E760&amp;F760</f>
        <v>AmericasResultsCost of e-Methanol (DAC) RNEUSD/ton</v>
      </c>
      <c r="C760" t="s">
        <v>199</v>
      </c>
      <c r="D760" t="s">
        <v>838</v>
      </c>
      <c r="E760" s="30" t="s">
        <v>986</v>
      </c>
      <c r="F760" s="522" t="s">
        <v>205</v>
      </c>
      <c r="G760" s="18">
        <f>+G894</f>
        <v>465.28920969100091</v>
      </c>
      <c r="H760" s="18">
        <f t="shared" ref="H760:M760" si="427">+H894</f>
        <v>418.23621392454953</v>
      </c>
      <c r="I760" s="18">
        <f t="shared" si="427"/>
        <v>337.98030926292438</v>
      </c>
      <c r="J760" s="18">
        <f t="shared" si="427"/>
        <v>292.42829699277434</v>
      </c>
      <c r="K760" s="18">
        <f t="shared" si="427"/>
        <v>253.88536252690761</v>
      </c>
      <c r="L760" s="18">
        <f t="shared" si="427"/>
        <v>230.0956145512128</v>
      </c>
      <c r="M760" s="18">
        <f t="shared" si="427"/>
        <v>212.50609222673467</v>
      </c>
    </row>
    <row r="761" spans="2:22" ht="15" hidden="1" outlineLevel="1" x14ac:dyDescent="0.25">
      <c r="B761" t="str">
        <f>+C761&amp;D761&amp;E761&amp;F761</f>
        <v>AfricaResultsCost of e-Methanol (DAC) RNEUSD/ton</v>
      </c>
      <c r="C761" t="s">
        <v>200</v>
      </c>
      <c r="D761" t="s">
        <v>838</v>
      </c>
      <c r="E761" s="30" t="s">
        <v>986</v>
      </c>
      <c r="F761" s="522" t="s">
        <v>205</v>
      </c>
      <c r="G761" s="18">
        <f>+G931</f>
        <v>942.83595756743398</v>
      </c>
      <c r="H761" s="18">
        <f t="shared" ref="H761:M761" si="428">+H931</f>
        <v>531.32413104271575</v>
      </c>
      <c r="I761" s="18">
        <f t="shared" si="428"/>
        <v>412.91638938411882</v>
      </c>
      <c r="J761" s="18">
        <f t="shared" si="428"/>
        <v>339.49067030965722</v>
      </c>
      <c r="K761" s="18">
        <f t="shared" si="428"/>
        <v>299.09957773461997</v>
      </c>
      <c r="L761" s="18">
        <f t="shared" si="428"/>
        <v>256.59706145913032</v>
      </c>
      <c r="M761" s="18">
        <f t="shared" si="428"/>
        <v>232.82460699065984</v>
      </c>
    </row>
    <row r="762" spans="2:22" s="466" customFormat="1" ht="15" hidden="1" outlineLevel="1" x14ac:dyDescent="0.25">
      <c r="F762" s="534"/>
    </row>
    <row r="763" spans="2:22" s="466" customFormat="1" ht="15" hidden="1" outlineLevel="1" x14ac:dyDescent="0.25">
      <c r="B763" s="30" t="s">
        <v>987</v>
      </c>
      <c r="C763" s="30" t="str">
        <f>+B763</f>
        <v>e Methanol PS</v>
      </c>
      <c r="F763" s="534"/>
    </row>
    <row r="764" spans="2:22" ht="15" hidden="1" outlineLevel="1" x14ac:dyDescent="0.25">
      <c r="B764" t="str">
        <f>+C764&amp;D764&amp;E764&amp;F764</f>
        <v>EuropeResultsCost of e-Methanol (PS)USD/ton</v>
      </c>
      <c r="C764" t="s">
        <v>195</v>
      </c>
      <c r="D764" t="s">
        <v>838</v>
      </c>
      <c r="E764" s="30" t="s">
        <v>988</v>
      </c>
      <c r="F764" s="522" t="s">
        <v>205</v>
      </c>
      <c r="G764" s="8">
        <f t="shared" ref="G764:M764" si="429">G778</f>
        <v>1680.9060572557414</v>
      </c>
      <c r="H764" s="8">
        <f t="shared" si="429"/>
        <v>1363.7195196411376</v>
      </c>
      <c r="I764" s="8">
        <f t="shared" si="429"/>
        <v>1081.3556308520549</v>
      </c>
      <c r="J764" s="8">
        <f t="shared" si="429"/>
        <v>978.00546818642931</v>
      </c>
      <c r="K764" s="8">
        <f t="shared" si="429"/>
        <v>861.30877023778885</v>
      </c>
      <c r="L764" s="8">
        <f t="shared" si="429"/>
        <v>715.02945380246024</v>
      </c>
      <c r="M764" s="8">
        <f t="shared" si="429"/>
        <v>576.00445831494869</v>
      </c>
      <c r="N764" s="93"/>
      <c r="P764" s="18"/>
      <c r="Q764" s="18"/>
      <c r="R764" s="18"/>
      <c r="S764" s="18"/>
      <c r="T764" s="18"/>
      <c r="U764" s="18"/>
      <c r="V764" s="18"/>
    </row>
    <row r="765" spans="2:22" ht="15" hidden="1" outlineLevel="1" x14ac:dyDescent="0.25">
      <c r="B765" t="str">
        <f>+C765&amp;D765&amp;E765&amp;F765</f>
        <v>Middle EastResultsCost of e-Methanol (PS)USD/ton</v>
      </c>
      <c r="C765" t="s">
        <v>197</v>
      </c>
      <c r="D765" t="s">
        <v>838</v>
      </c>
      <c r="E765" s="30" t="s">
        <v>988</v>
      </c>
      <c r="F765" s="522" t="s">
        <v>205</v>
      </c>
      <c r="G765" s="8">
        <f t="shared" ref="G765:M765" si="430">G815</f>
        <v>1521.718012142891</v>
      </c>
      <c r="H765" s="8">
        <f t="shared" si="430"/>
        <v>1233.2945261217783</v>
      </c>
      <c r="I765" s="8">
        <f t="shared" si="430"/>
        <v>989.59225881476016</v>
      </c>
      <c r="J765" s="8">
        <f t="shared" si="430"/>
        <v>885.11537430518138</v>
      </c>
      <c r="K765" s="8">
        <f t="shared" si="430"/>
        <v>773.79850781689299</v>
      </c>
      <c r="L765" s="8">
        <f t="shared" si="430"/>
        <v>628.85221329262902</v>
      </c>
      <c r="M765" s="8">
        <f t="shared" si="430"/>
        <v>498.19024445309088</v>
      </c>
      <c r="P765" s="18"/>
      <c r="Q765" s="18"/>
      <c r="R765" s="18"/>
      <c r="S765" s="18"/>
      <c r="T765" s="18"/>
      <c r="U765" s="18"/>
      <c r="V765" s="18"/>
    </row>
    <row r="766" spans="2:22" ht="15" hidden="1" outlineLevel="1" x14ac:dyDescent="0.25">
      <c r="B766" s="157" t="str">
        <f>+C766&amp;D766&amp;E766&amp;F766</f>
        <v>AsiaResultsCost of e-Methanol (PS)USD/ton</v>
      </c>
      <c r="C766" s="157" t="s">
        <v>198</v>
      </c>
      <c r="D766" s="157" t="s">
        <v>838</v>
      </c>
      <c r="E766" s="30" t="s">
        <v>988</v>
      </c>
      <c r="F766" s="522" t="s">
        <v>205</v>
      </c>
      <c r="G766" s="8">
        <f t="shared" ref="G766:M766" si="431">G852</f>
        <v>2025.8371910881117</v>
      </c>
      <c r="H766" s="8">
        <f t="shared" si="431"/>
        <v>1480.6952043817562</v>
      </c>
      <c r="I766" s="8">
        <f t="shared" si="431"/>
        <v>1174.5846596171223</v>
      </c>
      <c r="J766" s="8">
        <f t="shared" si="431"/>
        <v>1026.9671404805083</v>
      </c>
      <c r="K766" s="8">
        <f t="shared" si="431"/>
        <v>891.73177032184697</v>
      </c>
      <c r="L766" s="8">
        <f t="shared" si="431"/>
        <v>727.78144874083455</v>
      </c>
      <c r="M766" s="8">
        <f t="shared" si="431"/>
        <v>587.51780001069596</v>
      </c>
      <c r="P766" s="18"/>
      <c r="Q766" s="18"/>
      <c r="R766" s="18"/>
      <c r="S766" s="18"/>
      <c r="T766" s="18"/>
      <c r="U766" s="18"/>
      <c r="V766" s="18"/>
    </row>
    <row r="767" spans="2:22" ht="15" hidden="1" outlineLevel="1" x14ac:dyDescent="0.25">
      <c r="B767" s="157" t="str">
        <f>+C767&amp;D767&amp;E767&amp;F767</f>
        <v>AmericasResultsCost of e-Methanol (PS)USD/ton</v>
      </c>
      <c r="C767" s="157" t="s">
        <v>199</v>
      </c>
      <c r="D767" s="157" t="s">
        <v>838</v>
      </c>
      <c r="E767" s="30" t="s">
        <v>988</v>
      </c>
      <c r="F767" s="522" t="s">
        <v>205</v>
      </c>
      <c r="G767" s="8">
        <f t="shared" ref="G767:M767" si="432">G889</f>
        <v>1484.6096987775111</v>
      </c>
      <c r="H767" s="8">
        <f t="shared" si="432"/>
        <v>1250.9923476882382</v>
      </c>
      <c r="I767" s="8">
        <f t="shared" si="432"/>
        <v>994.55883167356774</v>
      </c>
      <c r="J767" s="8">
        <f t="shared" si="432"/>
        <v>898.62751796425732</v>
      </c>
      <c r="K767" s="8">
        <f t="shared" si="432"/>
        <v>779.95619055618579</v>
      </c>
      <c r="L767" s="8">
        <f t="shared" si="432"/>
        <v>651.19883698909223</v>
      </c>
      <c r="M767" s="8">
        <f t="shared" si="432"/>
        <v>523.96943838416223</v>
      </c>
      <c r="P767" s="18"/>
      <c r="Q767" s="18"/>
      <c r="R767" s="18"/>
      <c r="S767" s="18"/>
      <c r="T767" s="18"/>
      <c r="U767" s="18"/>
      <c r="V767" s="18"/>
    </row>
    <row r="768" spans="2:22" ht="15" hidden="1" outlineLevel="1" x14ac:dyDescent="0.25">
      <c r="B768" s="157" t="str">
        <f>+C768&amp;D768&amp;E768&amp;F768</f>
        <v>AfricaResultsCost of e-Methanol (PS)USD/ton</v>
      </c>
      <c r="C768" s="157" t="s">
        <v>200</v>
      </c>
      <c r="D768" s="157" t="s">
        <v>838</v>
      </c>
      <c r="E768" s="30" t="s">
        <v>988</v>
      </c>
      <c r="F768" s="522" t="s">
        <v>205</v>
      </c>
      <c r="G768" s="8">
        <f t="shared" ref="G768:M768" si="433">G926</f>
        <v>1986.8752546928288</v>
      </c>
      <c r="H768" s="8">
        <f t="shared" si="433"/>
        <v>1369.9576323378092</v>
      </c>
      <c r="I768" s="8">
        <f t="shared" si="433"/>
        <v>1073.4342874002002</v>
      </c>
      <c r="J768" s="8">
        <f t="shared" si="433"/>
        <v>948.24196439186221</v>
      </c>
      <c r="K768" s="8">
        <f t="shared" si="433"/>
        <v>827.71875735841115</v>
      </c>
      <c r="L768" s="8">
        <f t="shared" si="433"/>
        <v>679.27654406907334</v>
      </c>
      <c r="M768" s="8">
        <f t="shared" si="433"/>
        <v>545.55150174515268</v>
      </c>
      <c r="P768" s="18"/>
      <c r="Q768" s="18"/>
      <c r="R768" s="18"/>
      <c r="S768" s="18"/>
      <c r="T768" s="18"/>
      <c r="U768" s="18"/>
      <c r="V768" s="18"/>
    </row>
    <row r="769" spans="2:22" ht="15" hidden="1" outlineLevel="1" x14ac:dyDescent="0.25">
      <c r="E769" s="30"/>
      <c r="F769" s="522"/>
      <c r="G769" s="8"/>
      <c r="H769" s="8"/>
      <c r="I769" s="8"/>
      <c r="J769" s="8"/>
      <c r="K769" s="8"/>
      <c r="L769" s="8"/>
      <c r="M769" s="8"/>
    </row>
    <row r="770" spans="2:22" ht="15" hidden="1" outlineLevel="1" x14ac:dyDescent="0.25">
      <c r="B770" t="str">
        <f>+C770&amp;D770&amp;E770&amp;F770</f>
        <v>EuropeResultsCost of e-Methanol (PS) RNEUSD/ton</v>
      </c>
      <c r="C770" t="s">
        <v>195</v>
      </c>
      <c r="D770" t="s">
        <v>838</v>
      </c>
      <c r="E770" s="30" t="s">
        <v>989</v>
      </c>
      <c r="F770" s="522" t="s">
        <v>205</v>
      </c>
      <c r="G770" s="14">
        <f t="shared" ref="G770:M770" si="434">+G784</f>
        <v>651.92491764918361</v>
      </c>
      <c r="H770" s="14">
        <f t="shared" si="434"/>
        <v>525.39420641224103</v>
      </c>
      <c r="I770" s="14">
        <f t="shared" si="434"/>
        <v>420.44210726564802</v>
      </c>
      <c r="J770" s="14">
        <f t="shared" si="434"/>
        <v>367.723195867355</v>
      </c>
      <c r="K770" s="14">
        <f t="shared" si="434"/>
        <v>330.89740965279992</v>
      </c>
      <c r="L770" s="14">
        <f t="shared" si="434"/>
        <v>290.34283124025603</v>
      </c>
      <c r="M770" s="14">
        <f t="shared" si="434"/>
        <v>261.49465754694626</v>
      </c>
      <c r="N770" s="93"/>
      <c r="P770" s="18"/>
      <c r="Q770" s="18"/>
      <c r="R770" s="18"/>
      <c r="S770" s="18"/>
      <c r="T770" s="18"/>
      <c r="U770" s="18"/>
      <c r="V770" s="18"/>
    </row>
    <row r="771" spans="2:22" ht="15" hidden="1" outlineLevel="1" x14ac:dyDescent="0.25">
      <c r="B771" t="str">
        <f>+C771&amp;D771&amp;E771&amp;F771</f>
        <v>Middle EastResultsCost of e-Methanol (PS) RNEUSD/ton</v>
      </c>
      <c r="C771" t="s">
        <v>197</v>
      </c>
      <c r="D771" t="s">
        <v>838</v>
      </c>
      <c r="E771" s="30" t="s">
        <v>989</v>
      </c>
      <c r="F771" s="522" t="s">
        <v>205</v>
      </c>
      <c r="G771" s="18">
        <f t="shared" ref="G771:M771" si="435">+G821</f>
        <v>500.57125154736997</v>
      </c>
      <c r="H771" s="18">
        <f t="shared" si="435"/>
        <v>401.41273651788123</v>
      </c>
      <c r="I771" s="18">
        <f t="shared" si="435"/>
        <v>333.26178816853928</v>
      </c>
      <c r="J771" s="18">
        <f t="shared" si="435"/>
        <v>279.61119239960561</v>
      </c>
      <c r="K771" s="18">
        <f t="shared" si="435"/>
        <v>248.05622035144501</v>
      </c>
      <c r="L771" s="18">
        <f t="shared" si="435"/>
        <v>209.0035125581239</v>
      </c>
      <c r="M771" s="18">
        <f t="shared" si="435"/>
        <v>188.23617309391807</v>
      </c>
      <c r="P771" s="18"/>
      <c r="Q771" s="18"/>
      <c r="R771" s="18"/>
      <c r="S771" s="18"/>
      <c r="T771" s="18"/>
      <c r="U771" s="18"/>
      <c r="V771" s="18"/>
    </row>
    <row r="772" spans="2:22" ht="15" hidden="1" outlineLevel="1" x14ac:dyDescent="0.25">
      <c r="B772" t="str">
        <f>+C772&amp;D772&amp;E772&amp;F772</f>
        <v>AsiaResultsCost of e-Methanol (PS) RNEUSD/ton</v>
      </c>
      <c r="C772" t="s">
        <v>198</v>
      </c>
      <c r="D772" t="s">
        <v>838</v>
      </c>
      <c r="E772" s="30" t="s">
        <v>989</v>
      </c>
      <c r="F772" s="522" t="s">
        <v>205</v>
      </c>
      <c r="G772" s="18">
        <f t="shared" ref="G772:M772" si="436">+G858</f>
        <v>979.88039710226985</v>
      </c>
      <c r="H772" s="18">
        <f t="shared" si="436"/>
        <v>636.59081792587961</v>
      </c>
      <c r="I772" s="18">
        <f t="shared" si="436"/>
        <v>509.01488196216621</v>
      </c>
      <c r="J772" s="18">
        <f t="shared" si="436"/>
        <v>414.1663725152107</v>
      </c>
      <c r="K772" s="18">
        <f t="shared" si="436"/>
        <v>359.69720340678145</v>
      </c>
      <c r="L772" s="18">
        <f t="shared" si="436"/>
        <v>302.37893931228263</v>
      </c>
      <c r="M772" s="18">
        <f t="shared" si="436"/>
        <v>272.33393641080085</v>
      </c>
      <c r="P772" s="18"/>
      <c r="Q772" s="18"/>
      <c r="R772" s="18"/>
      <c r="S772" s="18"/>
      <c r="T772" s="18"/>
      <c r="U772" s="18"/>
      <c r="V772" s="18"/>
    </row>
    <row r="773" spans="2:22" ht="15" hidden="1" outlineLevel="1" x14ac:dyDescent="0.25">
      <c r="B773" t="str">
        <f>+C773&amp;D773&amp;E773&amp;F773</f>
        <v>AmericasResultsCost of e-Methanol (PS) RNEUSD/ton</v>
      </c>
      <c r="C773" t="s">
        <v>199</v>
      </c>
      <c r="D773" t="s">
        <v>838</v>
      </c>
      <c r="E773" s="30" t="s">
        <v>989</v>
      </c>
      <c r="F773" s="522" t="s">
        <v>205</v>
      </c>
      <c r="G773" s="18">
        <f t="shared" ref="G773:M773" si="437">+G895</f>
        <v>465.28920969100091</v>
      </c>
      <c r="H773" s="18">
        <f t="shared" si="437"/>
        <v>418.23621392454953</v>
      </c>
      <c r="I773" s="18">
        <f t="shared" si="437"/>
        <v>337.98030926292438</v>
      </c>
      <c r="J773" s="18">
        <f t="shared" si="437"/>
        <v>292.42829699277434</v>
      </c>
      <c r="K773" s="18">
        <f t="shared" si="437"/>
        <v>253.88536252690761</v>
      </c>
      <c r="L773" s="18">
        <f t="shared" si="437"/>
        <v>230.0956145512128</v>
      </c>
      <c r="M773" s="18">
        <f t="shared" si="437"/>
        <v>212.50609222673467</v>
      </c>
      <c r="P773" s="18"/>
      <c r="Q773" s="18"/>
      <c r="R773" s="18"/>
      <c r="S773" s="18"/>
      <c r="T773" s="18"/>
      <c r="U773" s="18"/>
      <c r="V773" s="18"/>
    </row>
    <row r="774" spans="2:22" ht="15" hidden="1" outlineLevel="1" x14ac:dyDescent="0.25">
      <c r="B774" t="str">
        <f>+C774&amp;D774&amp;E774&amp;F774</f>
        <v>AfricaResultsCost of e-Methanol (PS) RNEUSD/ton</v>
      </c>
      <c r="C774" t="s">
        <v>200</v>
      </c>
      <c r="D774" t="s">
        <v>838</v>
      </c>
      <c r="E774" s="30" t="s">
        <v>989</v>
      </c>
      <c r="F774" s="522" t="s">
        <v>205</v>
      </c>
      <c r="G774" s="18">
        <f t="shared" ref="G774:M774" si="438">+G932</f>
        <v>942.83595756743398</v>
      </c>
      <c r="H774" s="18">
        <f t="shared" si="438"/>
        <v>531.32413104271575</v>
      </c>
      <c r="I774" s="18">
        <f t="shared" si="438"/>
        <v>412.91638938411882</v>
      </c>
      <c r="J774" s="18">
        <f t="shared" si="438"/>
        <v>339.49067030965722</v>
      </c>
      <c r="K774" s="18">
        <f t="shared" si="438"/>
        <v>299.09957773461997</v>
      </c>
      <c r="L774" s="18">
        <f t="shared" si="438"/>
        <v>256.59706145913032</v>
      </c>
      <c r="M774" s="18">
        <f t="shared" si="438"/>
        <v>232.82460699065984</v>
      </c>
      <c r="P774" s="18"/>
      <c r="Q774" s="18"/>
      <c r="R774" s="18"/>
      <c r="S774" s="18"/>
      <c r="T774" s="18"/>
      <c r="U774" s="18"/>
      <c r="V774" s="18"/>
    </row>
    <row r="775" spans="2:22" hidden="1" outlineLevel="1" x14ac:dyDescent="0.2">
      <c r="B775" s="157"/>
      <c r="C775" s="157"/>
      <c r="D775" s="157"/>
      <c r="E775" s="157"/>
      <c r="F775" s="157"/>
    </row>
    <row r="776" spans="2:22" s="30" customFormat="1" ht="15" hidden="1" outlineLevel="1" collapsed="1" x14ac:dyDescent="0.25">
      <c r="B776" s="515" t="s">
        <v>195</v>
      </c>
      <c r="C776" s="515" t="str">
        <f>+B776</f>
        <v>Europe</v>
      </c>
      <c r="D776" s="515"/>
      <c r="E776" s="515"/>
      <c r="F776" s="515"/>
    </row>
    <row r="777" spans="2:22" ht="15" hidden="1" outlineLevel="2" x14ac:dyDescent="0.25">
      <c r="B777" s="157" t="str">
        <f t="shared" ref="B777:B782" si="439">+C777&amp;D777&amp;E777&amp;F777</f>
        <v>EuropeResultsTotal cost of e-Methanol (DAC)USD/ton</v>
      </c>
      <c r="C777" s="157" t="str">
        <f t="shared" ref="C777:C786" si="440">+$B$776</f>
        <v>Europe</v>
      </c>
      <c r="D777" s="515" t="s">
        <v>838</v>
      </c>
      <c r="E777" s="535" t="s">
        <v>990</v>
      </c>
      <c r="F777" s="489" t="s">
        <v>205</v>
      </c>
      <c r="G777" s="492">
        <f>+G779+G781+G783+G785</f>
        <v>1850.6327067902253</v>
      </c>
      <c r="H777" s="492">
        <f t="shared" ref="H777:M777" si="441">+H779+H781+H783+H785</f>
        <v>1488.97476183955</v>
      </c>
      <c r="I777" s="492">
        <f t="shared" si="441"/>
        <v>1180.5219802508213</v>
      </c>
      <c r="J777" s="492">
        <f t="shared" si="441"/>
        <v>1051.0216396268943</v>
      </c>
      <c r="K777" s="492">
        <f t="shared" si="441"/>
        <v>917.90142474794811</v>
      </c>
      <c r="L777" s="492">
        <f t="shared" si="441"/>
        <v>759.49654257608256</v>
      </c>
      <c r="M777" s="492">
        <f t="shared" si="441"/>
        <v>613.42841088782563</v>
      </c>
    </row>
    <row r="778" spans="2:22" ht="15" hidden="1" outlineLevel="2" x14ac:dyDescent="0.25">
      <c r="B778" s="157" t="str">
        <f t="shared" si="439"/>
        <v>EuropeResultsTotal cost of e-Methanol (PS)USD/ton</v>
      </c>
      <c r="C778" s="157" t="str">
        <f t="shared" si="440"/>
        <v>Europe</v>
      </c>
      <c r="D778" s="515" t="s">
        <v>838</v>
      </c>
      <c r="E778" s="535" t="s">
        <v>991</v>
      </c>
      <c r="F778" s="489" t="s">
        <v>205</v>
      </c>
      <c r="G778" s="492">
        <f>+G780+G782+G784+G786</f>
        <v>1680.9060572557414</v>
      </c>
      <c r="H778" s="492">
        <f t="shared" ref="H778:M778" si="442">+H780+H782+H784+H786</f>
        <v>1363.7195196411376</v>
      </c>
      <c r="I778" s="492">
        <f t="shared" si="442"/>
        <v>1081.3556308520549</v>
      </c>
      <c r="J778" s="492">
        <f t="shared" si="442"/>
        <v>978.00546818642931</v>
      </c>
      <c r="K778" s="492">
        <f t="shared" si="442"/>
        <v>861.30877023778885</v>
      </c>
      <c r="L778" s="492">
        <f t="shared" si="442"/>
        <v>715.02945380246024</v>
      </c>
      <c r="M778" s="492">
        <f t="shared" si="442"/>
        <v>576.00445831494869</v>
      </c>
    </row>
    <row r="779" spans="2:22" ht="15" hidden="1" outlineLevel="2" x14ac:dyDescent="0.25">
      <c r="B779" s="157" t="str">
        <f t="shared" si="439"/>
        <v>EuropeResultsTotal Capex e-Methanol (DAC)USD/ton</v>
      </c>
      <c r="C779" s="157" t="str">
        <f t="shared" si="440"/>
        <v>Europe</v>
      </c>
      <c r="D779" s="515" t="s">
        <v>838</v>
      </c>
      <c r="E779" s="536" t="s">
        <v>992</v>
      </c>
      <c r="F779" s="489" t="s">
        <v>205</v>
      </c>
      <c r="G779" s="490">
        <f>G788+G807*G809</f>
        <v>457.85913608738241</v>
      </c>
      <c r="H779" s="490">
        <f t="shared" ref="H779:M779" si="443">H788+H807*H809</f>
        <v>370.51665394078952</v>
      </c>
      <c r="I779" s="490">
        <f t="shared" si="443"/>
        <v>292.19699484282427</v>
      </c>
      <c r="J779" s="490">
        <f t="shared" si="443"/>
        <v>278.46318391967247</v>
      </c>
      <c r="K779" s="490">
        <f t="shared" si="443"/>
        <v>248.87379575721386</v>
      </c>
      <c r="L779" s="490">
        <f t="shared" si="443"/>
        <v>199.83852877932546</v>
      </c>
      <c r="M779" s="490">
        <f t="shared" si="443"/>
        <v>142.49674378576751</v>
      </c>
    </row>
    <row r="780" spans="2:22" ht="15" hidden="1" outlineLevel="2" x14ac:dyDescent="0.25">
      <c r="B780" s="157" t="str">
        <f t="shared" si="439"/>
        <v>EuropeResultsTotal Capex e-Methanol (PS)USD/ton</v>
      </c>
      <c r="C780" s="157" t="str">
        <f t="shared" si="440"/>
        <v>Europe</v>
      </c>
      <c r="D780" s="515" t="s">
        <v>838</v>
      </c>
      <c r="E780" s="536" t="s">
        <v>993</v>
      </c>
      <c r="F780" s="489" t="s">
        <v>205</v>
      </c>
      <c r="G780" s="490">
        <f>+G779</f>
        <v>457.85913608738241</v>
      </c>
      <c r="H780" s="490">
        <f t="shared" ref="H780:M780" si="444">+H779</f>
        <v>370.51665394078952</v>
      </c>
      <c r="I780" s="490">
        <f t="shared" si="444"/>
        <v>292.19699484282427</v>
      </c>
      <c r="J780" s="490">
        <f t="shared" si="444"/>
        <v>278.46318391967247</v>
      </c>
      <c r="K780" s="490">
        <f t="shared" si="444"/>
        <v>248.87379575721386</v>
      </c>
      <c r="L780" s="490">
        <f t="shared" si="444"/>
        <v>199.83852877932546</v>
      </c>
      <c r="M780" s="490">
        <f t="shared" si="444"/>
        <v>142.49674378576751</v>
      </c>
    </row>
    <row r="781" spans="2:22" ht="15" hidden="1" outlineLevel="2" x14ac:dyDescent="0.25">
      <c r="B781" s="157" t="str">
        <f t="shared" si="439"/>
        <v>EuropeResultsTotal Opex e-Methanol (DAC)USD/ton</v>
      </c>
      <c r="C781" s="157" t="str">
        <f t="shared" si="440"/>
        <v>Europe</v>
      </c>
      <c r="D781" s="515" t="s">
        <v>838</v>
      </c>
      <c r="E781" s="536" t="s">
        <v>994</v>
      </c>
      <c r="F781" s="489" t="s">
        <v>205</v>
      </c>
      <c r="G781" s="490">
        <f>G792+G807*(1-SUM(G808:G809))</f>
        <v>318.87450817832826</v>
      </c>
      <c r="H781" s="490">
        <f t="shared" ref="H781:M781" si="445">H792+H807*(1-SUM(H808:H809))</f>
        <v>260.00097132787175</v>
      </c>
      <c r="I781" s="490">
        <f t="shared" si="445"/>
        <v>204.11232794953349</v>
      </c>
      <c r="J781" s="490">
        <f t="shared" si="445"/>
        <v>184.10192321244193</v>
      </c>
      <c r="K781" s="490">
        <f t="shared" si="445"/>
        <v>149.83631301186711</v>
      </c>
      <c r="L781" s="490">
        <f t="shared" si="445"/>
        <v>109.2528743921972</v>
      </c>
      <c r="M781" s="490">
        <f t="shared" si="445"/>
        <v>72.150513068036531</v>
      </c>
    </row>
    <row r="782" spans="2:22" ht="15" hidden="1" outlineLevel="2" x14ac:dyDescent="0.25">
      <c r="B782" s="157" t="str">
        <f t="shared" si="439"/>
        <v>EuropeResultsTotal Opex e-Methanol (PS)USD/ton</v>
      </c>
      <c r="C782" s="157" t="str">
        <f t="shared" si="440"/>
        <v>Europe</v>
      </c>
      <c r="D782" s="515" t="s">
        <v>838</v>
      </c>
      <c r="E782" s="536" t="s">
        <v>995</v>
      </c>
      <c r="F782" s="489" t="s">
        <v>205</v>
      </c>
      <c r="G782" s="490">
        <f>+G781</f>
        <v>318.87450817832826</v>
      </c>
      <c r="H782" s="490">
        <f t="shared" ref="H782:M782" si="446">+H781</f>
        <v>260.00097132787175</v>
      </c>
      <c r="I782" s="490">
        <f t="shared" si="446"/>
        <v>204.11232794953349</v>
      </c>
      <c r="J782" s="490">
        <f t="shared" si="446"/>
        <v>184.10192321244193</v>
      </c>
      <c r="K782" s="490">
        <f t="shared" si="446"/>
        <v>149.83631301186711</v>
      </c>
      <c r="L782" s="490">
        <f t="shared" si="446"/>
        <v>109.2528743921972</v>
      </c>
      <c r="M782" s="490">
        <f t="shared" si="446"/>
        <v>72.150513068036531</v>
      </c>
    </row>
    <row r="783" spans="2:22" ht="15" hidden="1" outlineLevel="2" x14ac:dyDescent="0.25">
      <c r="B783" s="157" t="str">
        <f>+C783&amp;D783&amp;E783&amp;F783</f>
        <v>EuropeResultsTotal RNE e-Methanol (DAC)USD/ton</v>
      </c>
      <c r="C783" s="157" t="str">
        <f t="shared" si="440"/>
        <v>Europe</v>
      </c>
      <c r="D783" s="515" t="s">
        <v>838</v>
      </c>
      <c r="E783" s="536" t="s">
        <v>996</v>
      </c>
      <c r="F783" s="489" t="s">
        <v>205</v>
      </c>
      <c r="G783" s="490">
        <f>G795+G807*G808</f>
        <v>651.92491764918361</v>
      </c>
      <c r="H783" s="490">
        <f t="shared" ref="H783:M783" si="447">H795+H807*H808</f>
        <v>525.39420641224103</v>
      </c>
      <c r="I783" s="490">
        <f t="shared" si="447"/>
        <v>420.44210726564802</v>
      </c>
      <c r="J783" s="490">
        <f t="shared" si="447"/>
        <v>367.723195867355</v>
      </c>
      <c r="K783" s="490">
        <f t="shared" si="447"/>
        <v>330.89740965279992</v>
      </c>
      <c r="L783" s="490">
        <f t="shared" si="447"/>
        <v>290.34283124025603</v>
      </c>
      <c r="M783" s="490">
        <f t="shared" si="447"/>
        <v>261.49465754694626</v>
      </c>
    </row>
    <row r="784" spans="2:22" ht="15" hidden="1" outlineLevel="2" x14ac:dyDescent="0.25">
      <c r="B784" s="157" t="str">
        <f>+C784&amp;D784&amp;E784&amp;F784</f>
        <v>EuropeResultsTotal RNE e-Methanol (PS)USD/ton</v>
      </c>
      <c r="C784" s="157" t="str">
        <f t="shared" si="440"/>
        <v>Europe</v>
      </c>
      <c r="D784" s="515" t="s">
        <v>838</v>
      </c>
      <c r="E784" s="536" t="s">
        <v>997</v>
      </c>
      <c r="F784" s="489" t="s">
        <v>205</v>
      </c>
      <c r="G784" s="490">
        <f>+G783</f>
        <v>651.92491764918361</v>
      </c>
      <c r="H784" s="490">
        <f t="shared" ref="H784:M784" si="448">+H783</f>
        <v>525.39420641224103</v>
      </c>
      <c r="I784" s="490">
        <f t="shared" si="448"/>
        <v>420.44210726564802</v>
      </c>
      <c r="J784" s="490">
        <f t="shared" si="448"/>
        <v>367.723195867355</v>
      </c>
      <c r="K784" s="490">
        <f t="shared" si="448"/>
        <v>330.89740965279992</v>
      </c>
      <c r="L784" s="490">
        <f t="shared" si="448"/>
        <v>290.34283124025603</v>
      </c>
      <c r="M784" s="490">
        <f t="shared" si="448"/>
        <v>261.49465754694626</v>
      </c>
    </row>
    <row r="785" spans="2:13" ht="15" hidden="1" outlineLevel="2" x14ac:dyDescent="0.25">
      <c r="B785" s="157" t="str">
        <f>+C785&amp;D785&amp;E785&amp;F785</f>
        <v>EuropeResultsTotal CO2 e-Methanol (DAC)USD/ton</v>
      </c>
      <c r="C785" s="157" t="str">
        <f t="shared" si="440"/>
        <v>Europe</v>
      </c>
      <c r="D785" s="515" t="s">
        <v>838</v>
      </c>
      <c r="E785" s="536" t="s">
        <v>998</v>
      </c>
      <c r="F785" s="489" t="s">
        <v>205</v>
      </c>
      <c r="G785" s="490">
        <f>+G799</f>
        <v>421.97414487533121</v>
      </c>
      <c r="H785" s="490">
        <f t="shared" ref="H785:M785" si="449">+H799</f>
        <v>333.06293015864782</v>
      </c>
      <c r="I785" s="490">
        <f t="shared" si="449"/>
        <v>263.77055019281556</v>
      </c>
      <c r="J785" s="490">
        <f t="shared" si="449"/>
        <v>220.7333366274249</v>
      </c>
      <c r="K785" s="490">
        <f t="shared" si="449"/>
        <v>188.29390632606714</v>
      </c>
      <c r="L785" s="490">
        <f t="shared" si="449"/>
        <v>160.06230816430386</v>
      </c>
      <c r="M785" s="490">
        <f t="shared" si="449"/>
        <v>137.28649648707531</v>
      </c>
    </row>
    <row r="786" spans="2:13" ht="15" hidden="1" outlineLevel="2" x14ac:dyDescent="0.25">
      <c r="B786" s="157" t="str">
        <f>+C786&amp;D786&amp;E786&amp;F786</f>
        <v>EuropeResultsTotal CO2 e-Methanol (PS)USD/ton</v>
      </c>
      <c r="C786" s="157" t="str">
        <f t="shared" si="440"/>
        <v>Europe</v>
      </c>
      <c r="D786" s="515" t="s">
        <v>838</v>
      </c>
      <c r="E786" s="536" t="s">
        <v>999</v>
      </c>
      <c r="F786" s="489" t="s">
        <v>205</v>
      </c>
      <c r="G786" s="490">
        <f>+G803</f>
        <v>252.24749534084739</v>
      </c>
      <c r="H786" s="490">
        <f t="shared" ref="H786:M786" si="450">+H803</f>
        <v>207.80768796023551</v>
      </c>
      <c r="I786" s="490">
        <f t="shared" si="450"/>
        <v>164.60420079404909</v>
      </c>
      <c r="J786" s="490">
        <f t="shared" si="450"/>
        <v>147.71716518695996</v>
      </c>
      <c r="K786" s="490">
        <f t="shared" si="450"/>
        <v>131.70125181590788</v>
      </c>
      <c r="L786" s="490">
        <f t="shared" si="450"/>
        <v>115.59521939068158</v>
      </c>
      <c r="M786" s="490">
        <f t="shared" si="450"/>
        <v>99.862543914198397</v>
      </c>
    </row>
    <row r="787" spans="2:13" hidden="1" outlineLevel="2" x14ac:dyDescent="0.2">
      <c r="B787" s="157"/>
      <c r="C787" s="157"/>
      <c r="D787" s="157"/>
      <c r="E787" s="498"/>
      <c r="G787" s="8"/>
      <c r="H787" s="8"/>
      <c r="I787" s="8"/>
      <c r="J787" s="8"/>
      <c r="K787" s="8"/>
      <c r="L787" s="8"/>
      <c r="M787" s="8"/>
    </row>
    <row r="788" spans="2:13" hidden="1" outlineLevel="2" x14ac:dyDescent="0.2">
      <c r="B788" s="157" t="str">
        <f>+C788&amp;D788&amp;E788&amp;F788</f>
        <v>EuropeCapexCapex per yearUSD m/ton</v>
      </c>
      <c r="C788" s="157" t="str">
        <f>+$B$776</f>
        <v>Europe</v>
      </c>
      <c r="D788" s="157" t="s">
        <v>218</v>
      </c>
      <c r="E788" s="157" t="s">
        <v>956</v>
      </c>
      <c r="F788" s="450" t="s">
        <v>1000</v>
      </c>
      <c r="G788" s="523">
        <f t="shared" ref="G788:M788" si="451">G790/G789</f>
        <v>300.33333333333343</v>
      </c>
      <c r="H788" s="523">
        <f t="shared" si="451"/>
        <v>238.50000000000006</v>
      </c>
      <c r="I788" s="523">
        <f t="shared" si="451"/>
        <v>176.66666666666671</v>
      </c>
      <c r="J788" s="523">
        <f t="shared" si="451"/>
        <v>156.79166666666671</v>
      </c>
      <c r="K788" s="523">
        <f t="shared" si="451"/>
        <v>136.91666666666669</v>
      </c>
      <c r="L788" s="523">
        <f t="shared" si="451"/>
        <v>110.41666666666669</v>
      </c>
      <c r="M788" s="523">
        <f t="shared" si="451"/>
        <v>83.916666666666686</v>
      </c>
    </row>
    <row r="789" spans="2:13" hidden="1" outlineLevel="2" x14ac:dyDescent="0.2">
      <c r="B789" s="157" t="str">
        <f>+C789&amp;D789&amp;E789&amp;F789</f>
        <v>GlobalPlant capexAnnualisation factor#</v>
      </c>
      <c r="C789" s="157" t="s">
        <v>109</v>
      </c>
      <c r="D789" t="s">
        <v>786</v>
      </c>
      <c r="E789" t="s">
        <v>764</v>
      </c>
      <c r="F789" s="450" t="s">
        <v>787</v>
      </c>
      <c r="G789" s="532">
        <f>INDEX('Fuel Model -  Input'!$B$3:$N$373,MATCH($B789,'Fuel Model -  Input'!$B$3:$B$373,0),MATCH(G$2,'Fuel Model -  Input'!$B$3:$N$3,0))</f>
        <v>11.32075471698113</v>
      </c>
      <c r="H789" s="532">
        <f>INDEX('Fuel Model -  Input'!$B$3:$N$373,MATCH($B789,'Fuel Model -  Input'!$B$3:$B$373,0),MATCH(H$2,'Fuel Model -  Input'!$B$3:$N$3,0))</f>
        <v>11.32075471698113</v>
      </c>
      <c r="I789" s="532">
        <f>INDEX('Fuel Model -  Input'!$B$3:$N$373,MATCH($B789,'Fuel Model -  Input'!$B$3:$B$373,0),MATCH(I$2,'Fuel Model -  Input'!$B$3:$N$3,0))</f>
        <v>11.32075471698113</v>
      </c>
      <c r="J789" s="532">
        <f>INDEX('Fuel Model -  Input'!$B$3:$N$373,MATCH($B789,'Fuel Model -  Input'!$B$3:$B$373,0),MATCH(J$2,'Fuel Model -  Input'!$B$3:$N$3,0))</f>
        <v>11.32075471698113</v>
      </c>
      <c r="K789" s="532">
        <f>INDEX('Fuel Model -  Input'!$B$3:$N$373,MATCH($B789,'Fuel Model -  Input'!$B$3:$B$373,0),MATCH(K$2,'Fuel Model -  Input'!$B$3:$N$3,0))</f>
        <v>11.32075471698113</v>
      </c>
      <c r="L789" s="532">
        <f>INDEX('Fuel Model -  Input'!$B$3:$N$373,MATCH($B789,'Fuel Model -  Input'!$B$3:$B$373,0),MATCH(L$2,'Fuel Model -  Input'!$B$3:$N$3,0))</f>
        <v>11.32075471698113</v>
      </c>
      <c r="M789" s="532">
        <f>INDEX('Fuel Model -  Input'!$B$3:$N$373,MATCH($B789,'Fuel Model -  Input'!$B$3:$B$373,0),MATCH(M$2,'Fuel Model -  Input'!$B$3:$N$3,0))</f>
        <v>11.32075471698113</v>
      </c>
    </row>
    <row r="790" spans="2:13" s="263" customFormat="1" hidden="1" outlineLevel="2" x14ac:dyDescent="0.2">
      <c r="B790" s="157" t="str">
        <f>+C790&amp;D790&amp;E790&amp;F790</f>
        <v>GlobalCapexMethanol plant unit costUSD/ ton MeOH</v>
      </c>
      <c r="C790" s="157" t="s">
        <v>109</v>
      </c>
      <c r="D790" s="157" t="s">
        <v>218</v>
      </c>
      <c r="E790" s="157" t="s">
        <v>1001</v>
      </c>
      <c r="F790" s="450" t="s">
        <v>1002</v>
      </c>
      <c r="G790" s="532">
        <f>INDEX('Fuel Model -  Input'!$B$3:$N$373,MATCH($B790,'Fuel Model -  Input'!$B$3:$B$373,0),MATCH(G$2,'Fuel Model -  Input'!$B$3:$N$3,0))</f>
        <v>3400</v>
      </c>
      <c r="H790" s="532">
        <f>INDEX('Fuel Model -  Input'!$B$3:$N$373,MATCH($B790,'Fuel Model -  Input'!$B$3:$B$373,0),MATCH(H$2,'Fuel Model -  Input'!$B$3:$N$3,0))</f>
        <v>2700</v>
      </c>
      <c r="I790" s="532">
        <f>INDEX('Fuel Model -  Input'!$B$3:$N$373,MATCH($B790,'Fuel Model -  Input'!$B$3:$B$373,0),MATCH(I$2,'Fuel Model -  Input'!$B$3:$N$3,0))</f>
        <v>2000</v>
      </c>
      <c r="J790" s="532">
        <f>INDEX('Fuel Model -  Input'!$B$3:$N$373,MATCH($B790,'Fuel Model -  Input'!$B$3:$B$373,0),MATCH(J$2,'Fuel Model -  Input'!$B$3:$N$3,0))</f>
        <v>1775</v>
      </c>
      <c r="K790" s="532">
        <f>INDEX('Fuel Model -  Input'!$B$3:$N$373,MATCH($B790,'Fuel Model -  Input'!$B$3:$B$373,0),MATCH(K$2,'Fuel Model -  Input'!$B$3:$N$3,0))</f>
        <v>1550</v>
      </c>
      <c r="L790" s="532">
        <f>INDEX('Fuel Model -  Input'!$B$3:$N$373,MATCH($B790,'Fuel Model -  Input'!$B$3:$B$373,0),MATCH(L$2,'Fuel Model -  Input'!$B$3:$N$3,0))</f>
        <v>1250</v>
      </c>
      <c r="M790" s="532">
        <f>INDEX('Fuel Model -  Input'!$B$3:$N$373,MATCH($B790,'Fuel Model -  Input'!$B$3:$B$373,0),MATCH(M$2,'Fuel Model -  Input'!$B$3:$N$3,0))</f>
        <v>950</v>
      </c>
    </row>
    <row r="791" spans="2:13" hidden="1" outlineLevel="2" x14ac:dyDescent="0.2">
      <c r="B791" s="157"/>
      <c r="C791" s="157"/>
      <c r="D791" s="157"/>
      <c r="E791" s="498"/>
      <c r="G791" s="8"/>
      <c r="H791" s="8"/>
      <c r="I791" s="8"/>
      <c r="J791" s="8"/>
      <c r="K791" s="8"/>
      <c r="L791" s="8"/>
      <c r="M791" s="8"/>
    </row>
    <row r="792" spans="2:13" hidden="1" outlineLevel="2" x14ac:dyDescent="0.2">
      <c r="B792" s="157" t="str">
        <f>+C792&amp;D792&amp;E792&amp;F792</f>
        <v>EuropeOpexOpexUSD/ton MeOH</v>
      </c>
      <c r="C792" s="157" t="str">
        <f>+$B$776</f>
        <v>Europe</v>
      </c>
      <c r="D792" s="157" t="s">
        <v>219</v>
      </c>
      <c r="E792" s="498" t="s">
        <v>219</v>
      </c>
      <c r="F792" s="450" t="s">
        <v>1003</v>
      </c>
      <c r="G792" s="8">
        <f t="shared" ref="G792:M792" si="452">G790*G793</f>
        <v>136</v>
      </c>
      <c r="H792" s="8">
        <f t="shared" si="452"/>
        <v>108</v>
      </c>
      <c r="I792" s="8">
        <f t="shared" si="452"/>
        <v>80</v>
      </c>
      <c r="J792" s="8">
        <f t="shared" si="452"/>
        <v>71</v>
      </c>
      <c r="K792" s="8">
        <f t="shared" si="452"/>
        <v>62</v>
      </c>
      <c r="L792" s="8">
        <f t="shared" si="452"/>
        <v>50</v>
      </c>
      <c r="M792" s="8">
        <f t="shared" si="452"/>
        <v>38</v>
      </c>
    </row>
    <row r="793" spans="2:13" hidden="1" outlineLevel="2" x14ac:dyDescent="0.2">
      <c r="B793" s="157" t="str">
        <f>+C793&amp;D793&amp;E793&amp;F793</f>
        <v>GlobalOpexPlant - Methanol synthesis - opexPercent of Capex</v>
      </c>
      <c r="C793" s="157" t="s">
        <v>109</v>
      </c>
      <c r="D793" s="157" t="s">
        <v>219</v>
      </c>
      <c r="E793" s="498" t="s">
        <v>1004</v>
      </c>
      <c r="F793" s="450" t="s">
        <v>883</v>
      </c>
      <c r="G793" s="531">
        <f>INDEX('Fuel Model -  Input'!$B$3:$N$373,MATCH($B793,'Fuel Model -  Input'!$B$3:$B$373,0),MATCH(G$2,'Fuel Model -  Input'!$B$3:$N$3,0))</f>
        <v>0.04</v>
      </c>
      <c r="H793" s="531">
        <f>INDEX('Fuel Model -  Input'!$B$3:$N$373,MATCH($B793,'Fuel Model -  Input'!$B$3:$B$373,0),MATCH(H$2,'Fuel Model -  Input'!$B$3:$N$3,0))</f>
        <v>0.04</v>
      </c>
      <c r="I793" s="531">
        <f>INDEX('Fuel Model -  Input'!$B$3:$N$373,MATCH($B793,'Fuel Model -  Input'!$B$3:$B$373,0),MATCH(I$2,'Fuel Model -  Input'!$B$3:$N$3,0))</f>
        <v>0.04</v>
      </c>
      <c r="J793" s="531">
        <f>INDEX('Fuel Model -  Input'!$B$3:$N$373,MATCH($B793,'Fuel Model -  Input'!$B$3:$B$373,0),MATCH(J$2,'Fuel Model -  Input'!$B$3:$N$3,0))</f>
        <v>0.04</v>
      </c>
      <c r="K793" s="531">
        <f>INDEX('Fuel Model -  Input'!$B$3:$N$373,MATCH($B793,'Fuel Model -  Input'!$B$3:$B$373,0),MATCH(K$2,'Fuel Model -  Input'!$B$3:$N$3,0))</f>
        <v>0.04</v>
      </c>
      <c r="L793" s="531">
        <f>INDEX('Fuel Model -  Input'!$B$3:$N$373,MATCH($B793,'Fuel Model -  Input'!$B$3:$B$373,0),MATCH(L$2,'Fuel Model -  Input'!$B$3:$N$3,0))</f>
        <v>0.04</v>
      </c>
      <c r="M793" s="531">
        <f>INDEX('Fuel Model -  Input'!$B$3:$N$373,MATCH($B793,'Fuel Model -  Input'!$B$3:$B$373,0),MATCH(M$2,'Fuel Model -  Input'!$B$3:$N$3,0))</f>
        <v>0.04</v>
      </c>
    </row>
    <row r="794" spans="2:13" hidden="1" outlineLevel="2" x14ac:dyDescent="0.2">
      <c r="B794" s="157"/>
      <c r="C794" s="157"/>
      <c r="D794" s="157"/>
      <c r="E794" s="498"/>
      <c r="G794" s="8"/>
      <c r="H794" s="8"/>
      <c r="I794" s="8"/>
      <c r="J794" s="8"/>
      <c r="K794" s="8"/>
      <c r="L794" s="8"/>
      <c r="M794" s="8"/>
    </row>
    <row r="795" spans="2:13" hidden="1" outlineLevel="2" x14ac:dyDescent="0.2">
      <c r="B795" s="460" t="str">
        <f>+C795&amp;D795&amp;E795&amp;F795</f>
        <v>EuropeMethanol SynthesisElectricity costUSD/ton MeOH</v>
      </c>
      <c r="C795" s="157" t="str">
        <f>+$B$776</f>
        <v>Europe</v>
      </c>
      <c r="D795" s="157" t="s">
        <v>1005</v>
      </c>
      <c r="E795" s="498" t="s">
        <v>94</v>
      </c>
      <c r="F795" s="450" t="s">
        <v>1003</v>
      </c>
      <c r="G795" s="260">
        <f t="shared" ref="G795:M795" si="453">G796*G797</f>
        <v>92.814081027515698</v>
      </c>
      <c r="H795" s="260">
        <f t="shared" si="453"/>
        <v>75.102877828633623</v>
      </c>
      <c r="I795" s="260">
        <f t="shared" si="453"/>
        <v>60.792118616120888</v>
      </c>
      <c r="J795" s="260">
        <f t="shared" si="453"/>
        <v>54.846001124237951</v>
      </c>
      <c r="K795" s="260">
        <f t="shared" si="453"/>
        <v>51.295866755790108</v>
      </c>
      <c r="L795" s="260">
        <f t="shared" si="453"/>
        <v>47.497863920703502</v>
      </c>
      <c r="M795" s="260">
        <f t="shared" si="453"/>
        <v>44.726762835106499</v>
      </c>
    </row>
    <row r="796" spans="2:13" hidden="1" outlineLevel="2" x14ac:dyDescent="0.2">
      <c r="B796" s="460" t="str">
        <f>+C796&amp;D796&amp;E796&amp;F796</f>
        <v>EuropeFeedstockElectricityUSD/MWh</v>
      </c>
      <c r="C796" s="157" t="str">
        <f>+$B$776</f>
        <v>Europe</v>
      </c>
      <c r="D796" s="157" t="s">
        <v>777</v>
      </c>
      <c r="E796" s="498" t="s">
        <v>54</v>
      </c>
      <c r="F796" s="450" t="s">
        <v>196</v>
      </c>
      <c r="G796" s="532">
        <f>INDEX('Fuel Model -  Input'!$B$3:$N$373,MATCH($B796,'Fuel Model -  Input'!$B$3:$B$373,0),MATCH(G$2,'Fuel Model -  Input'!$B$3:$N$3,0))</f>
        <v>54.596518251479822</v>
      </c>
      <c r="H796" s="532">
        <f>INDEX('Fuel Model -  Input'!$B$3:$N$373,MATCH($B796,'Fuel Model -  Input'!$B$3:$B$373,0),MATCH(H$2,'Fuel Model -  Input'!$B$3:$N$3,0))</f>
        <v>44.178163428608016</v>
      </c>
      <c r="I796" s="532">
        <f>INDEX('Fuel Model -  Input'!$B$3:$N$373,MATCH($B796,'Fuel Model -  Input'!$B$3:$B$373,0),MATCH(I$2,'Fuel Model -  Input'!$B$3:$N$3,0))</f>
        <v>35.760069774188757</v>
      </c>
      <c r="J796" s="532">
        <f>INDEX('Fuel Model -  Input'!$B$3:$N$373,MATCH($B796,'Fuel Model -  Input'!$B$3:$B$373,0),MATCH(J$2,'Fuel Model -  Input'!$B$3:$N$3,0))</f>
        <v>32.262353602492915</v>
      </c>
      <c r="K796" s="532">
        <f>INDEX('Fuel Model -  Input'!$B$3:$N$373,MATCH($B796,'Fuel Model -  Input'!$B$3:$B$373,0),MATCH(K$2,'Fuel Model -  Input'!$B$3:$N$3,0))</f>
        <v>30.17403926811183</v>
      </c>
      <c r="L796" s="532">
        <f>INDEX('Fuel Model -  Input'!$B$3:$N$373,MATCH($B796,'Fuel Model -  Input'!$B$3:$B$373,0),MATCH(L$2,'Fuel Model -  Input'!$B$3:$N$3,0))</f>
        <v>27.939919953355002</v>
      </c>
      <c r="M796" s="532">
        <f>INDEX('Fuel Model -  Input'!$B$3:$N$373,MATCH($B796,'Fuel Model -  Input'!$B$3:$B$373,0),MATCH(M$2,'Fuel Model -  Input'!$B$3:$N$3,0))</f>
        <v>26.309860491239117</v>
      </c>
    </row>
    <row r="797" spans="2:13" hidden="1" outlineLevel="2" x14ac:dyDescent="0.2">
      <c r="B797" s="460" t="str">
        <f>+C797&amp;D797&amp;E797&amp;F797</f>
        <v>GlobalMethanol SynthesisElectricity demandmWh/ton MeOH</v>
      </c>
      <c r="C797" s="157" t="s">
        <v>109</v>
      </c>
      <c r="D797" s="157" t="s">
        <v>1005</v>
      </c>
      <c r="E797" s="498" t="s">
        <v>963</v>
      </c>
      <c r="F797" s="450" t="s">
        <v>1006</v>
      </c>
      <c r="G797" s="521">
        <f>INDEX('Fuel Model -  Input'!$B$3:$N$373,MATCH($B797,'Fuel Model -  Input'!$B$3:$B$373,0),MATCH(G$2,'Fuel Model -  Input'!$B$3:$N$3,0))</f>
        <v>1.7</v>
      </c>
      <c r="H797" s="521">
        <f>INDEX('Fuel Model -  Input'!$B$3:$N$373,MATCH($B797,'Fuel Model -  Input'!$B$3:$B$373,0),MATCH(H$2,'Fuel Model -  Input'!$B$3:$N$3,0))</f>
        <v>1.7</v>
      </c>
      <c r="I797" s="521">
        <f>INDEX('Fuel Model -  Input'!$B$3:$N$373,MATCH($B797,'Fuel Model -  Input'!$B$3:$B$373,0),MATCH(I$2,'Fuel Model -  Input'!$B$3:$N$3,0))</f>
        <v>1.7</v>
      </c>
      <c r="J797" s="521">
        <f>INDEX('Fuel Model -  Input'!$B$3:$N$373,MATCH($B797,'Fuel Model -  Input'!$B$3:$B$373,0),MATCH(J$2,'Fuel Model -  Input'!$B$3:$N$3,0))</f>
        <v>1.7</v>
      </c>
      <c r="K797" s="521">
        <f>INDEX('Fuel Model -  Input'!$B$3:$N$373,MATCH($B797,'Fuel Model -  Input'!$B$3:$B$373,0),MATCH(K$2,'Fuel Model -  Input'!$B$3:$N$3,0))</f>
        <v>1.7</v>
      </c>
      <c r="L797" s="521">
        <f>INDEX('Fuel Model -  Input'!$B$3:$N$373,MATCH($B797,'Fuel Model -  Input'!$B$3:$B$373,0),MATCH(L$2,'Fuel Model -  Input'!$B$3:$N$3,0))</f>
        <v>1.7</v>
      </c>
      <c r="M797" s="521">
        <f>INDEX('Fuel Model -  Input'!$B$3:$N$373,MATCH($B797,'Fuel Model -  Input'!$B$3:$B$373,0),MATCH(M$2,'Fuel Model -  Input'!$B$3:$N$3,0))</f>
        <v>1.7</v>
      </c>
    </row>
    <row r="798" spans="2:13" hidden="1" outlineLevel="2" x14ac:dyDescent="0.2">
      <c r="C798" s="157"/>
      <c r="E798" s="48"/>
      <c r="F798" s="128"/>
      <c r="G798" s="524"/>
      <c r="H798" s="524"/>
      <c r="I798" s="524"/>
      <c r="J798" s="524"/>
      <c r="K798" s="524"/>
      <c r="L798" s="524"/>
      <c r="M798" s="524"/>
    </row>
    <row r="799" spans="2:13" hidden="1" outlineLevel="2" x14ac:dyDescent="0.2">
      <c r="B799" s="78" t="str">
        <f>+C799&amp;D799&amp;E799&amp;F799</f>
        <v>EuropeFeedstockFeedstock CO2USD/ton MeOH</v>
      </c>
      <c r="C799" s="157" t="str">
        <f>+$B$776</f>
        <v>Europe</v>
      </c>
      <c r="D799" t="s">
        <v>777</v>
      </c>
      <c r="E799" s="48" t="s">
        <v>1007</v>
      </c>
      <c r="F799" s="128" t="s">
        <v>1003</v>
      </c>
      <c r="G799" s="8">
        <f t="shared" ref="G799:M799" si="454">G800*G801</f>
        <v>421.97414487533121</v>
      </c>
      <c r="H799" s="8">
        <f t="shared" si="454"/>
        <v>333.06293015864782</v>
      </c>
      <c r="I799" s="8">
        <f t="shared" si="454"/>
        <v>263.77055019281556</v>
      </c>
      <c r="J799" s="8">
        <f t="shared" si="454"/>
        <v>220.7333366274249</v>
      </c>
      <c r="K799" s="8">
        <f t="shared" si="454"/>
        <v>188.29390632606714</v>
      </c>
      <c r="L799" s="8">
        <f t="shared" si="454"/>
        <v>160.06230816430386</v>
      </c>
      <c r="M799" s="8">
        <f t="shared" si="454"/>
        <v>137.28649648707531</v>
      </c>
    </row>
    <row r="800" spans="2:13" hidden="1" outlineLevel="2" x14ac:dyDescent="0.2">
      <c r="B800" s="78" t="str">
        <f>+C800&amp;D800&amp;E800&amp;F800</f>
        <v>GlobalFeedstockConversion CO2 : MeOH (actual)kg CO2/kg MeOH</v>
      </c>
      <c r="C800" s="157" t="s">
        <v>109</v>
      </c>
      <c r="D800" t="s">
        <v>777</v>
      </c>
      <c r="E800" t="s">
        <v>1008</v>
      </c>
      <c r="F800" s="128" t="s">
        <v>1009</v>
      </c>
      <c r="G800" s="521">
        <f>INDEX('Fuel Model -  Input'!$B$3:$N$373,MATCH($B800,'Fuel Model -  Input'!$B$3:$B$373,0),MATCH(G$2,'Fuel Model -  Input'!$B$3:$N$3,0))</f>
        <v>1.3735097684289368</v>
      </c>
      <c r="H800" s="521">
        <f>INDEX('Fuel Model -  Input'!$B$3:$N$373,MATCH($B800,'Fuel Model -  Input'!$B$3:$B$373,0),MATCH(H$2,'Fuel Model -  Input'!$B$3:$N$3,0))</f>
        <v>1.3735097684289368</v>
      </c>
      <c r="I800" s="521">
        <f>INDEX('Fuel Model -  Input'!$B$3:$N$373,MATCH($B800,'Fuel Model -  Input'!$B$3:$B$373,0),MATCH(I$2,'Fuel Model -  Input'!$B$3:$N$3,0))</f>
        <v>1.3735097684289368</v>
      </c>
      <c r="J800" s="521">
        <f>INDEX('Fuel Model -  Input'!$B$3:$N$373,MATCH($B800,'Fuel Model -  Input'!$B$3:$B$373,0),MATCH(J$2,'Fuel Model -  Input'!$B$3:$N$3,0))</f>
        <v>1.3735097684289368</v>
      </c>
      <c r="K800" s="521">
        <f>INDEX('Fuel Model -  Input'!$B$3:$N$373,MATCH($B800,'Fuel Model -  Input'!$B$3:$B$373,0),MATCH(K$2,'Fuel Model -  Input'!$B$3:$N$3,0))</f>
        <v>1.3735097684289368</v>
      </c>
      <c r="L800" s="521">
        <f>INDEX('Fuel Model -  Input'!$B$3:$N$373,MATCH($B800,'Fuel Model -  Input'!$B$3:$B$373,0),MATCH(L$2,'Fuel Model -  Input'!$B$3:$N$3,0))</f>
        <v>1.3735097684289368</v>
      </c>
      <c r="M800" s="521">
        <f>INDEX('Fuel Model -  Input'!$B$3:$N$373,MATCH($B800,'Fuel Model -  Input'!$B$3:$B$373,0),MATCH(M$2,'Fuel Model -  Input'!$B$3:$N$3,0))</f>
        <v>1.3735097684289368</v>
      </c>
    </row>
    <row r="801" spans="2:13" hidden="1" outlineLevel="2" x14ac:dyDescent="0.2">
      <c r="B801" s="78" t="str">
        <f>+C801&amp;D801&amp;E801&amp;F801</f>
        <v>EuropeFeedstockCost of CO2 DACUSD/ton</v>
      </c>
      <c r="C801" s="157" t="str">
        <f>B776</f>
        <v>Europe</v>
      </c>
      <c r="D801" t="s">
        <v>777</v>
      </c>
      <c r="E801" t="s">
        <v>1010</v>
      </c>
      <c r="F801" s="128" t="s">
        <v>205</v>
      </c>
      <c r="G801" s="532">
        <f t="shared" ref="G801:M801" si="455">INDEX(G$1564:G$1568,MATCH($C801,$C$1564:$C$1568,0))</f>
        <v>307.22325721643637</v>
      </c>
      <c r="H801" s="532">
        <f t="shared" si="455"/>
        <v>242.4903978219358</v>
      </c>
      <c r="I801" s="532">
        <f t="shared" si="455"/>
        <v>192.04126265117469</v>
      </c>
      <c r="J801" s="532">
        <f t="shared" si="455"/>
        <v>160.70751129779481</v>
      </c>
      <c r="K801" s="532">
        <f t="shared" si="455"/>
        <v>137.08960114746296</v>
      </c>
      <c r="L801" s="532">
        <f t="shared" si="455"/>
        <v>116.53525285618326</v>
      </c>
      <c r="M801" s="532">
        <f t="shared" si="455"/>
        <v>99.953054315811585</v>
      </c>
    </row>
    <row r="802" spans="2:13" hidden="1" outlineLevel="2" x14ac:dyDescent="0.2">
      <c r="B802" s="157"/>
      <c r="C802" s="157"/>
      <c r="D802" s="157"/>
      <c r="E802" s="498"/>
      <c r="G802" s="524"/>
      <c r="H802" s="524"/>
      <c r="I802" s="524"/>
      <c r="J802" s="524"/>
      <c r="K802" s="524"/>
      <c r="L802" s="524"/>
      <c r="M802" s="524"/>
    </row>
    <row r="803" spans="2:13" hidden="1" outlineLevel="2" x14ac:dyDescent="0.2">
      <c r="B803" s="460" t="str">
        <f>+C803&amp;D803&amp;E803&amp;F803</f>
        <v>EuropeFeedstockFeedstock CO2USD/ton MeOH</v>
      </c>
      <c r="C803" s="157" t="str">
        <f>+$B$776</f>
        <v>Europe</v>
      </c>
      <c r="D803" s="157" t="s">
        <v>777</v>
      </c>
      <c r="E803" s="498" t="s">
        <v>1007</v>
      </c>
      <c r="F803" s="450" t="s">
        <v>1003</v>
      </c>
      <c r="G803" s="8">
        <f t="shared" ref="G803:M803" si="456">G804*G805</f>
        <v>252.24749534084739</v>
      </c>
      <c r="H803" s="8">
        <f t="shared" si="456"/>
        <v>207.80768796023551</v>
      </c>
      <c r="I803" s="8">
        <f t="shared" si="456"/>
        <v>164.60420079404909</v>
      </c>
      <c r="J803" s="8">
        <f t="shared" si="456"/>
        <v>147.71716518695996</v>
      </c>
      <c r="K803" s="8">
        <f t="shared" si="456"/>
        <v>131.70125181590788</v>
      </c>
      <c r="L803" s="8">
        <f t="shared" si="456"/>
        <v>115.59521939068158</v>
      </c>
      <c r="M803" s="8">
        <f t="shared" si="456"/>
        <v>99.862543914198397</v>
      </c>
    </row>
    <row r="804" spans="2:13" hidden="1" outlineLevel="2" x14ac:dyDescent="0.2">
      <c r="B804" s="460" t="str">
        <f>+C804&amp;D804&amp;E804&amp;F804</f>
        <v>GlobalFeedstockConversion CO2 : MeOH (actual)kg CO2/kg MeOH</v>
      </c>
      <c r="C804" s="157" t="s">
        <v>109</v>
      </c>
      <c r="D804" s="157" t="s">
        <v>777</v>
      </c>
      <c r="E804" s="157" t="s">
        <v>1008</v>
      </c>
      <c r="F804" s="450" t="s">
        <v>1009</v>
      </c>
      <c r="G804" s="521">
        <f>INDEX('Fuel Model -  Input'!$B$3:$N$373,MATCH($B804,'Fuel Model -  Input'!$B$3:$B$373,0),MATCH(G$2,'Fuel Model -  Input'!$B$3:$N$3,0))</f>
        <v>1.3735097684289368</v>
      </c>
      <c r="H804" s="521">
        <f>INDEX('Fuel Model -  Input'!$B$3:$N$373,MATCH($B804,'Fuel Model -  Input'!$B$3:$B$373,0),MATCH(H$2,'Fuel Model -  Input'!$B$3:$N$3,0))</f>
        <v>1.3735097684289368</v>
      </c>
      <c r="I804" s="521">
        <f>INDEX('Fuel Model -  Input'!$B$3:$N$373,MATCH($B804,'Fuel Model -  Input'!$B$3:$B$373,0),MATCH(I$2,'Fuel Model -  Input'!$B$3:$N$3,0))</f>
        <v>1.3735097684289368</v>
      </c>
      <c r="J804" s="521">
        <f>INDEX('Fuel Model -  Input'!$B$3:$N$373,MATCH($B804,'Fuel Model -  Input'!$B$3:$B$373,0),MATCH(J$2,'Fuel Model -  Input'!$B$3:$N$3,0))</f>
        <v>1.3735097684289368</v>
      </c>
      <c r="K804" s="521">
        <f>INDEX('Fuel Model -  Input'!$B$3:$N$373,MATCH($B804,'Fuel Model -  Input'!$B$3:$B$373,0),MATCH(K$2,'Fuel Model -  Input'!$B$3:$N$3,0))</f>
        <v>1.3735097684289368</v>
      </c>
      <c r="L804" s="521">
        <f>INDEX('Fuel Model -  Input'!$B$3:$N$373,MATCH($B804,'Fuel Model -  Input'!$B$3:$B$373,0),MATCH(L$2,'Fuel Model -  Input'!$B$3:$N$3,0))</f>
        <v>1.3735097684289368</v>
      </c>
      <c r="M804" s="521">
        <f>INDEX('Fuel Model -  Input'!$B$3:$N$373,MATCH($B804,'Fuel Model -  Input'!$B$3:$B$373,0),MATCH(M$2,'Fuel Model -  Input'!$B$3:$N$3,0))</f>
        <v>1.3735097684289368</v>
      </c>
    </row>
    <row r="805" spans="2:13" hidden="1" outlineLevel="2" x14ac:dyDescent="0.2">
      <c r="B805" s="460" t="str">
        <f>+C805&amp;D805&amp;E805&amp;F805</f>
        <v>EuropeFeedstockCost of CO2 PSUSD/ton</v>
      </c>
      <c r="C805" s="157" t="str">
        <f>B776</f>
        <v>Europe</v>
      </c>
      <c r="D805" s="157" t="s">
        <v>777</v>
      </c>
      <c r="E805" s="157" t="s">
        <v>1011</v>
      </c>
      <c r="F805" s="450" t="s">
        <v>205</v>
      </c>
      <c r="G805" s="532">
        <f t="shared" ref="G805:M805" si="457">INDEX(G$1538:G$1542,MATCH($B805,$B$1538:$B$1542,0))</f>
        <v>183.65176654649929</v>
      </c>
      <c r="H805" s="532">
        <f t="shared" si="457"/>
        <v>151.29684020954028</v>
      </c>
      <c r="I805" s="532">
        <f t="shared" si="457"/>
        <v>119.84203139838496</v>
      </c>
      <c r="J805" s="532">
        <f t="shared" si="457"/>
        <v>107.54722578778849</v>
      </c>
      <c r="K805" s="532">
        <f t="shared" si="457"/>
        <v>95.886651003983658</v>
      </c>
      <c r="L805" s="532">
        <f t="shared" si="457"/>
        <v>84.160463979009762</v>
      </c>
      <c r="M805" s="532">
        <f t="shared" si="457"/>
        <v>72.706103887724282</v>
      </c>
    </row>
    <row r="806" spans="2:13" hidden="1" outlineLevel="2" x14ac:dyDescent="0.2">
      <c r="B806" s="157"/>
      <c r="C806" s="157"/>
      <c r="D806" s="157"/>
      <c r="E806" s="157"/>
      <c r="G806" s="520"/>
      <c r="H806" s="520"/>
      <c r="I806" s="520"/>
      <c r="J806" s="520"/>
      <c r="K806" s="520"/>
      <c r="L806" s="520"/>
      <c r="M806" s="520"/>
    </row>
    <row r="807" spans="2:13" hidden="1" outlineLevel="2" x14ac:dyDescent="0.2">
      <c r="B807" s="460" t="str">
        <f>+C807&amp;D807&amp;E807&amp;F807</f>
        <v>EuropeFeedstockFeedstock H2USD/ton MeOH</v>
      </c>
      <c r="C807" s="157" t="str">
        <f>+$B$776</f>
        <v>Europe</v>
      </c>
      <c r="D807" s="157" t="s">
        <v>777</v>
      </c>
      <c r="E807" s="498" t="s">
        <v>970</v>
      </c>
      <c r="F807" s="450" t="s">
        <v>1003</v>
      </c>
      <c r="G807" s="8">
        <f t="shared" ref="G807:M807" si="458">G810*G811</f>
        <v>899.51114755404512</v>
      </c>
      <c r="H807" s="8">
        <f t="shared" si="458"/>
        <v>734.3089538522687</v>
      </c>
      <c r="I807" s="8">
        <f t="shared" si="458"/>
        <v>599.29264477521815</v>
      </c>
      <c r="J807" s="8">
        <f t="shared" si="458"/>
        <v>547.65063520856472</v>
      </c>
      <c r="K807" s="8">
        <f t="shared" si="458"/>
        <v>479.39498499942414</v>
      </c>
      <c r="L807" s="8">
        <f t="shared" si="458"/>
        <v>391.51970382440851</v>
      </c>
      <c r="M807" s="8">
        <f t="shared" si="458"/>
        <v>309.49848489897715</v>
      </c>
    </row>
    <row r="808" spans="2:13" hidden="1" outlineLevel="2" x14ac:dyDescent="0.2">
      <c r="B808" t="str">
        <f>+C808&amp;D808&amp;E808&amp;F808</f>
        <v>EuropeResultsShare of RNE e-Hydrogen (compressed)%</v>
      </c>
      <c r="C808" s="157" t="str">
        <f>+$B$776</f>
        <v>Europe</v>
      </c>
      <c r="D808" t="s">
        <v>838</v>
      </c>
      <c r="E808" s="48" t="s">
        <v>848</v>
      </c>
      <c r="F808" s="128" t="s">
        <v>178</v>
      </c>
      <c r="G808" s="537">
        <f t="shared" ref="G808:M808" si="459">+INDEX($A:$M,MATCH($B808,$B:$B,0),MATCH(G$2,$2:$2,0))</f>
        <v>0.62157188172931999</v>
      </c>
      <c r="H808" s="537">
        <f t="shared" si="459"/>
        <v>0.61321781005301335</v>
      </c>
      <c r="I808" s="537">
        <f t="shared" si="459"/>
        <v>0.60012414933679714</v>
      </c>
      <c r="J808" s="537">
        <f t="shared" si="459"/>
        <v>0.57130801030471257</v>
      </c>
      <c r="K808" s="537">
        <f t="shared" si="459"/>
        <v>0.58323835594013507</v>
      </c>
      <c r="L808" s="537">
        <f t="shared" si="459"/>
        <v>0.62026244132138331</v>
      </c>
      <c r="M808" s="537">
        <f t="shared" si="459"/>
        <v>0.70038434851335252</v>
      </c>
    </row>
    <row r="809" spans="2:13" hidden="1" outlineLevel="2" x14ac:dyDescent="0.2">
      <c r="B809" t="str">
        <f>+C809&amp;D809&amp;E809&amp;F809</f>
        <v>EuropeResultsShare of Capex e-Hydrogen (compressed)%</v>
      </c>
      <c r="C809" t="str">
        <f>+$B$595</f>
        <v>Europe</v>
      </c>
      <c r="D809" t="s">
        <v>838</v>
      </c>
      <c r="E809" s="48" t="s">
        <v>850</v>
      </c>
      <c r="F809" s="128" t="s">
        <v>178</v>
      </c>
      <c r="G809" s="537">
        <f t="shared" ref="G809:M809" si="460">+INDEX(G$4:G$581,MATCH($B809,$B$4:$B$581,0))</f>
        <v>0.17512379160880204</v>
      </c>
      <c r="H809" s="537">
        <f t="shared" si="460"/>
        <v>0.17978352742155063</v>
      </c>
      <c r="I809" s="537">
        <f t="shared" si="460"/>
        <v>0.19277781762112317</v>
      </c>
      <c r="J809" s="537">
        <f t="shared" si="460"/>
        <v>0.22216995549848845</v>
      </c>
      <c r="K809" s="537">
        <f t="shared" si="460"/>
        <v>0.23353838190585505</v>
      </c>
      <c r="L809" s="537">
        <f t="shared" si="460"/>
        <v>0.22839683734733135</v>
      </c>
      <c r="M809" s="537">
        <f t="shared" si="460"/>
        <v>0.18927419673224519</v>
      </c>
    </row>
    <row r="810" spans="2:13" hidden="1" outlineLevel="2" x14ac:dyDescent="0.2">
      <c r="B810" s="460" t="str">
        <f>+C810&amp;D810&amp;E810&amp;F810</f>
        <v>GlobalFeedstockConversion H2 : MeOH (actual)tons H2/ton MeOH</v>
      </c>
      <c r="C810" s="157" t="s">
        <v>109</v>
      </c>
      <c r="D810" s="157" t="s">
        <v>777</v>
      </c>
      <c r="E810" s="157" t="s">
        <v>1012</v>
      </c>
      <c r="F810" s="450" t="s">
        <v>1013</v>
      </c>
      <c r="G810" s="521">
        <f>INDEX('Fuel Model -  Input'!$B$3:$N$373,MATCH($B810,'Fuel Model -  Input'!$B$3:$B$373,0),MATCH(G$2,'Fuel Model -  Input'!$B$3:$N$3,0))</f>
        <v>0.18875226265526496</v>
      </c>
      <c r="H810" s="521">
        <f>INDEX('Fuel Model -  Input'!$B$3:$N$373,MATCH($B810,'Fuel Model -  Input'!$B$3:$B$373,0),MATCH(H$2,'Fuel Model -  Input'!$B$3:$N$3,0))</f>
        <v>0.18875226265526496</v>
      </c>
      <c r="I810" s="521">
        <f>INDEX('Fuel Model -  Input'!$B$3:$N$373,MATCH($B810,'Fuel Model -  Input'!$B$3:$B$373,0),MATCH(I$2,'Fuel Model -  Input'!$B$3:$N$3,0))</f>
        <v>0.18875226265526496</v>
      </c>
      <c r="J810" s="521">
        <f>INDEX('Fuel Model -  Input'!$B$3:$N$373,MATCH($B810,'Fuel Model -  Input'!$B$3:$B$373,0),MATCH(J$2,'Fuel Model -  Input'!$B$3:$N$3,0))</f>
        <v>0.18875226265526496</v>
      </c>
      <c r="K810" s="521">
        <f>INDEX('Fuel Model -  Input'!$B$3:$N$373,MATCH($B810,'Fuel Model -  Input'!$B$3:$B$373,0),MATCH(K$2,'Fuel Model -  Input'!$B$3:$N$3,0))</f>
        <v>0.18875226265526496</v>
      </c>
      <c r="L810" s="521">
        <f>INDEX('Fuel Model -  Input'!$B$3:$N$373,MATCH($B810,'Fuel Model -  Input'!$B$3:$B$373,0),MATCH(L$2,'Fuel Model -  Input'!$B$3:$N$3,0))</f>
        <v>0.18875226265526496</v>
      </c>
      <c r="M810" s="521">
        <f>INDEX('Fuel Model -  Input'!$B$3:$N$373,MATCH($B810,'Fuel Model -  Input'!$B$3:$B$373,0),MATCH(M$2,'Fuel Model -  Input'!$B$3:$N$3,0))</f>
        <v>0.18875226265526496</v>
      </c>
    </row>
    <row r="811" spans="2:13" hidden="1" outlineLevel="2" x14ac:dyDescent="0.2">
      <c r="B811" s="460" t="str">
        <f>+C811&amp;D811&amp;E811&amp;F811</f>
        <v>EuropeResultsCost of e-Hydrogen (compressed)USD/ton</v>
      </c>
      <c r="C811" s="157" t="str">
        <f>B776</f>
        <v>Europe</v>
      </c>
      <c r="D811" t="s">
        <v>838</v>
      </c>
      <c r="E811" t="s">
        <v>846</v>
      </c>
      <c r="F811" s="128" t="s">
        <v>205</v>
      </c>
      <c r="G811" s="532">
        <f>INDEX(G$4:G810,MATCH($B811,$B$4:$B810,0))</f>
        <v>4765.5648462180416</v>
      </c>
      <c r="H811" s="532">
        <f>INDEX(H$4:H810,MATCH($B811,$B$4:$B810,0))</f>
        <v>3890.331927799999</v>
      </c>
      <c r="I811" s="532">
        <f>INDEX(I$4:I810,MATCH($B811,$B$4:$B810,0))</f>
        <v>3175.0223088438393</v>
      </c>
      <c r="J811" s="532">
        <f>INDEX(J$4:J810,MATCH($B811,$B$4:$B810,0))</f>
        <v>2901.4255379220949</v>
      </c>
      <c r="K811" s="532">
        <f>INDEX(K$4:K810,MATCH($B811,$B$4:$B810,0))</f>
        <v>2539.8105339536291</v>
      </c>
      <c r="L811" s="532">
        <f>INDEX(L$4:L810,MATCH($B811,$B$4:$B810,0))</f>
        <v>2074.2517112998839</v>
      </c>
      <c r="M811" s="532">
        <f>INDEX(M$4:M810,MATCH($B811,$B$4:$B810,0))</f>
        <v>1639.70741619263</v>
      </c>
    </row>
    <row r="812" spans="2:13" hidden="1" outlineLevel="1" x14ac:dyDescent="0.2">
      <c r="B812" s="157"/>
      <c r="C812" s="157"/>
      <c r="D812" s="157"/>
      <c r="E812" s="157"/>
      <c r="F812" s="157"/>
    </row>
    <row r="813" spans="2:13" ht="15" hidden="1" outlineLevel="1" collapsed="1" x14ac:dyDescent="0.25">
      <c r="B813" s="515" t="s">
        <v>197</v>
      </c>
      <c r="C813" s="515" t="str">
        <f>+B813</f>
        <v>Middle East</v>
      </c>
      <c r="D813" s="515"/>
      <c r="E813" s="515"/>
      <c r="F813" s="515"/>
      <c r="G813" s="30"/>
      <c r="H813" s="30"/>
      <c r="I813" s="30"/>
      <c r="J813" s="30"/>
      <c r="K813" s="30"/>
      <c r="L813" s="30"/>
      <c r="M813" s="30"/>
    </row>
    <row r="814" spans="2:13" ht="15" hidden="1" outlineLevel="2" x14ac:dyDescent="0.25">
      <c r="B814" s="157" t="str">
        <f t="shared" ref="B814:B823" si="461">+C814&amp;D814&amp;E814&amp;F814</f>
        <v>Middle EastResultsTotal cost of e-Methanol (DAC)USD/ton</v>
      </c>
      <c r="C814" s="157" t="str">
        <f t="shared" ref="C814:C823" si="462">+$B$813</f>
        <v>Middle East</v>
      </c>
      <c r="D814" s="515" t="s">
        <v>838</v>
      </c>
      <c r="E814" s="535" t="s">
        <v>990</v>
      </c>
      <c r="F814" s="489" t="s">
        <v>205</v>
      </c>
      <c r="G814" s="492">
        <f>+G816+G818+G820+G822</f>
        <v>1647.1384793168768</v>
      </c>
      <c r="H814" s="492">
        <f t="shared" ref="H814:M814" si="463">+H816+H818+H820+H822</f>
        <v>1324.9002560563013</v>
      </c>
      <c r="I814" s="492">
        <f t="shared" si="463"/>
        <v>1066.6807624776734</v>
      </c>
      <c r="J814" s="492">
        <f t="shared" si="463"/>
        <v>936.92308371976128</v>
      </c>
      <c r="K814" s="492">
        <f t="shared" si="463"/>
        <v>811.31921558387739</v>
      </c>
      <c r="L814" s="492">
        <f t="shared" si="463"/>
        <v>655.15859552126699</v>
      </c>
      <c r="M814" s="492">
        <f t="shared" si="463"/>
        <v>519.92224017333228</v>
      </c>
    </row>
    <row r="815" spans="2:13" ht="15" hidden="1" outlineLevel="2" x14ac:dyDescent="0.25">
      <c r="B815" s="157" t="str">
        <f t="shared" si="461"/>
        <v>Middle EastResultsTotal cost of e-Methanol (PS)USD/ton</v>
      </c>
      <c r="C815" s="157" t="str">
        <f t="shared" si="462"/>
        <v>Middle East</v>
      </c>
      <c r="D815" s="515" t="s">
        <v>838</v>
      </c>
      <c r="E815" s="535" t="s">
        <v>991</v>
      </c>
      <c r="F815" s="489" t="s">
        <v>205</v>
      </c>
      <c r="G815" s="492">
        <f t="shared" ref="G815:M815" si="464">+G817+G819+G821+G823</f>
        <v>1521.718012142891</v>
      </c>
      <c r="H815" s="492">
        <f t="shared" si="464"/>
        <v>1233.2945261217783</v>
      </c>
      <c r="I815" s="492">
        <f t="shared" si="464"/>
        <v>989.59225881476016</v>
      </c>
      <c r="J815" s="492">
        <f t="shared" si="464"/>
        <v>885.11537430518138</v>
      </c>
      <c r="K815" s="492">
        <f t="shared" si="464"/>
        <v>773.79850781689299</v>
      </c>
      <c r="L815" s="492">
        <f t="shared" si="464"/>
        <v>628.85221329262902</v>
      </c>
      <c r="M815" s="492">
        <f t="shared" si="464"/>
        <v>498.19024445309088</v>
      </c>
    </row>
    <row r="816" spans="2:13" ht="15" hidden="1" outlineLevel="2" x14ac:dyDescent="0.25">
      <c r="B816" s="157" t="str">
        <f t="shared" si="461"/>
        <v>Middle EastResultsTotal Capex e-Methanol (DAC)USD/ton</v>
      </c>
      <c r="C816" s="157" t="str">
        <f t="shared" si="462"/>
        <v>Middle East</v>
      </c>
      <c r="D816" s="515" t="s">
        <v>838</v>
      </c>
      <c r="E816" s="536" t="s">
        <v>992</v>
      </c>
      <c r="F816" s="489" t="s">
        <v>205</v>
      </c>
      <c r="G816" s="490">
        <f>G825+G844*G846</f>
        <v>457.85913608738241</v>
      </c>
      <c r="H816" s="490">
        <f t="shared" ref="H816:M816" si="465">H825+H844*H846</f>
        <v>370.51665394078952</v>
      </c>
      <c r="I816" s="490">
        <f t="shared" si="465"/>
        <v>292.19699484282427</v>
      </c>
      <c r="J816" s="490">
        <f t="shared" si="465"/>
        <v>278.46318391967247</v>
      </c>
      <c r="K816" s="490">
        <f t="shared" si="465"/>
        <v>248.87379575721383</v>
      </c>
      <c r="L816" s="490">
        <f t="shared" si="465"/>
        <v>199.83852877932546</v>
      </c>
      <c r="M816" s="490">
        <f t="shared" si="465"/>
        <v>142.49674378576751</v>
      </c>
    </row>
    <row r="817" spans="2:13" ht="15" hidden="1" outlineLevel="2" x14ac:dyDescent="0.25">
      <c r="B817" s="157" t="str">
        <f t="shared" si="461"/>
        <v>Middle EastResultsTotal Capex e-Methanol (PS)USD/ton</v>
      </c>
      <c r="C817" s="157" t="str">
        <f t="shared" si="462"/>
        <v>Middle East</v>
      </c>
      <c r="D817" s="515" t="s">
        <v>838</v>
      </c>
      <c r="E817" s="536" t="s">
        <v>993</v>
      </c>
      <c r="F817" s="489" t="s">
        <v>205</v>
      </c>
      <c r="G817" s="490">
        <f>+G816</f>
        <v>457.85913608738241</v>
      </c>
      <c r="H817" s="490">
        <f t="shared" ref="H817:M817" si="466">+H816</f>
        <v>370.51665394078952</v>
      </c>
      <c r="I817" s="490">
        <f t="shared" si="466"/>
        <v>292.19699484282427</v>
      </c>
      <c r="J817" s="490">
        <f t="shared" si="466"/>
        <v>278.46318391967247</v>
      </c>
      <c r="K817" s="490">
        <f t="shared" si="466"/>
        <v>248.87379575721383</v>
      </c>
      <c r="L817" s="490">
        <f t="shared" si="466"/>
        <v>199.83852877932546</v>
      </c>
      <c r="M817" s="490">
        <f t="shared" si="466"/>
        <v>142.49674378576751</v>
      </c>
    </row>
    <row r="818" spans="2:13" ht="15" hidden="1" outlineLevel="2" x14ac:dyDescent="0.25">
      <c r="B818" s="157" t="str">
        <f t="shared" si="461"/>
        <v>Middle EastResultsTotal Opex e-Methanol (DAC)USD/ton</v>
      </c>
      <c r="C818" s="157" t="str">
        <f t="shared" si="462"/>
        <v>Middle East</v>
      </c>
      <c r="D818" s="515" t="s">
        <v>838</v>
      </c>
      <c r="E818" s="536" t="s">
        <v>994</v>
      </c>
      <c r="F818" s="489" t="s">
        <v>205</v>
      </c>
      <c r="G818" s="490">
        <f>G829+G844*(1-SUM(G845:G846))</f>
        <v>318.87450817832837</v>
      </c>
      <c r="H818" s="490">
        <f t="shared" ref="H818:M818" si="467">H829+H844*(1-SUM(H845:H846))</f>
        <v>260.00097132787192</v>
      </c>
      <c r="I818" s="490">
        <f t="shared" si="467"/>
        <v>204.11232794953349</v>
      </c>
      <c r="J818" s="490">
        <f t="shared" si="467"/>
        <v>184.10192321244182</v>
      </c>
      <c r="K818" s="490">
        <f t="shared" si="467"/>
        <v>149.83631301186711</v>
      </c>
      <c r="L818" s="490">
        <f t="shared" si="467"/>
        <v>109.25287439219724</v>
      </c>
      <c r="M818" s="490">
        <f t="shared" si="467"/>
        <v>72.150513068036602</v>
      </c>
    </row>
    <row r="819" spans="2:13" ht="15" hidden="1" outlineLevel="2" x14ac:dyDescent="0.25">
      <c r="B819" s="157" t="str">
        <f t="shared" si="461"/>
        <v>Middle EastResultsTotal Opex e-Methanol (PS)USD/ton</v>
      </c>
      <c r="C819" s="157" t="str">
        <f t="shared" si="462"/>
        <v>Middle East</v>
      </c>
      <c r="D819" s="515" t="s">
        <v>838</v>
      </c>
      <c r="E819" s="536" t="s">
        <v>995</v>
      </c>
      <c r="F819" s="489" t="s">
        <v>205</v>
      </c>
      <c r="G819" s="490">
        <f t="shared" ref="G819:M819" si="468">+G818</f>
        <v>318.87450817832837</v>
      </c>
      <c r="H819" s="490">
        <f t="shared" si="468"/>
        <v>260.00097132787192</v>
      </c>
      <c r="I819" s="490">
        <f t="shared" si="468"/>
        <v>204.11232794953349</v>
      </c>
      <c r="J819" s="490">
        <f t="shared" si="468"/>
        <v>184.10192321244182</v>
      </c>
      <c r="K819" s="490">
        <f t="shared" si="468"/>
        <v>149.83631301186711</v>
      </c>
      <c r="L819" s="490">
        <f t="shared" si="468"/>
        <v>109.25287439219724</v>
      </c>
      <c r="M819" s="490">
        <f t="shared" si="468"/>
        <v>72.150513068036602</v>
      </c>
    </row>
    <row r="820" spans="2:13" ht="15" hidden="1" outlineLevel="2" x14ac:dyDescent="0.25">
      <c r="B820" s="157" t="str">
        <f t="shared" si="461"/>
        <v>Middle EastResultsTotal RNE e-Methanol (DAC)USD/ton</v>
      </c>
      <c r="C820" s="157" t="str">
        <f t="shared" si="462"/>
        <v>Middle East</v>
      </c>
      <c r="D820" s="515" t="s">
        <v>838</v>
      </c>
      <c r="E820" s="536" t="s">
        <v>996</v>
      </c>
      <c r="F820" s="489" t="s">
        <v>205</v>
      </c>
      <c r="G820" s="490">
        <f t="shared" ref="G820:M820" si="469">G832+G844*G845</f>
        <v>500.57125154736997</v>
      </c>
      <c r="H820" s="490">
        <f t="shared" si="469"/>
        <v>401.41273651788123</v>
      </c>
      <c r="I820" s="490">
        <f t="shared" si="469"/>
        <v>333.26178816853928</v>
      </c>
      <c r="J820" s="490">
        <f t="shared" si="469"/>
        <v>279.61119239960561</v>
      </c>
      <c r="K820" s="490">
        <f t="shared" si="469"/>
        <v>248.05622035144501</v>
      </c>
      <c r="L820" s="490">
        <f t="shared" si="469"/>
        <v>209.0035125581239</v>
      </c>
      <c r="M820" s="490">
        <f t="shared" si="469"/>
        <v>188.23617309391807</v>
      </c>
    </row>
    <row r="821" spans="2:13" ht="15" hidden="1" outlineLevel="2" x14ac:dyDescent="0.25">
      <c r="B821" s="157" t="str">
        <f t="shared" si="461"/>
        <v>Middle EastResultsTotal RNE e-Methanol (PS)USD/ton</v>
      </c>
      <c r="C821" s="157" t="str">
        <f t="shared" si="462"/>
        <v>Middle East</v>
      </c>
      <c r="D821" s="515" t="s">
        <v>838</v>
      </c>
      <c r="E821" s="536" t="s">
        <v>997</v>
      </c>
      <c r="F821" s="489" t="s">
        <v>205</v>
      </c>
      <c r="G821" s="490">
        <f>+G820</f>
        <v>500.57125154736997</v>
      </c>
      <c r="H821" s="490">
        <f t="shared" ref="H821:M821" si="470">+H820</f>
        <v>401.41273651788123</v>
      </c>
      <c r="I821" s="490">
        <f t="shared" si="470"/>
        <v>333.26178816853928</v>
      </c>
      <c r="J821" s="490">
        <f t="shared" si="470"/>
        <v>279.61119239960561</v>
      </c>
      <c r="K821" s="490">
        <f t="shared" si="470"/>
        <v>248.05622035144501</v>
      </c>
      <c r="L821" s="490">
        <f t="shared" si="470"/>
        <v>209.0035125581239</v>
      </c>
      <c r="M821" s="490">
        <f t="shared" si="470"/>
        <v>188.23617309391807</v>
      </c>
    </row>
    <row r="822" spans="2:13" ht="15" hidden="1" outlineLevel="2" x14ac:dyDescent="0.25">
      <c r="B822" s="157" t="str">
        <f t="shared" si="461"/>
        <v>Middle EastResultsTotal CO2 e-Methanol (DAC)USD/ton</v>
      </c>
      <c r="C822" s="157" t="str">
        <f t="shared" si="462"/>
        <v>Middle East</v>
      </c>
      <c r="D822" s="515" t="s">
        <v>838</v>
      </c>
      <c r="E822" s="536" t="s">
        <v>998</v>
      </c>
      <c r="F822" s="489" t="s">
        <v>205</v>
      </c>
      <c r="G822" s="490">
        <f>+G836</f>
        <v>369.83358350379615</v>
      </c>
      <c r="H822" s="490">
        <f t="shared" ref="H822:M822" si="471">+H836</f>
        <v>292.96989426975853</v>
      </c>
      <c r="I822" s="490">
        <f t="shared" si="471"/>
        <v>237.10965151677635</v>
      </c>
      <c r="J822" s="490">
        <f t="shared" si="471"/>
        <v>194.74678418804132</v>
      </c>
      <c r="K822" s="490">
        <f t="shared" si="471"/>
        <v>164.55288646335148</v>
      </c>
      <c r="L822" s="490">
        <f t="shared" si="471"/>
        <v>137.06367979162036</v>
      </c>
      <c r="M822" s="490">
        <f t="shared" si="471"/>
        <v>117.03881022561009</v>
      </c>
    </row>
    <row r="823" spans="2:13" ht="15" hidden="1" outlineLevel="2" x14ac:dyDescent="0.25">
      <c r="B823" s="157" t="str">
        <f t="shared" si="461"/>
        <v>Middle EastResultsTotal CO2 e-Methanol (PS)USD/ton</v>
      </c>
      <c r="C823" s="157" t="str">
        <f t="shared" si="462"/>
        <v>Middle East</v>
      </c>
      <c r="D823" s="515" t="s">
        <v>838</v>
      </c>
      <c r="E823" s="536" t="s">
        <v>999</v>
      </c>
      <c r="F823" s="489" t="s">
        <v>205</v>
      </c>
      <c r="G823" s="490">
        <f>+G840</f>
        <v>244.41311632981018</v>
      </c>
      <c r="H823" s="490">
        <f t="shared" ref="H823:M823" si="472">+H840</f>
        <v>201.3641643352355</v>
      </c>
      <c r="I823" s="490">
        <f t="shared" si="472"/>
        <v>160.02114785386308</v>
      </c>
      <c r="J823" s="490">
        <f t="shared" si="472"/>
        <v>142.93907477346147</v>
      </c>
      <c r="K823" s="490">
        <f t="shared" si="472"/>
        <v>127.03217869636703</v>
      </c>
      <c r="L823" s="490">
        <f t="shared" si="472"/>
        <v>110.75729756298243</v>
      </c>
      <c r="M823" s="490">
        <f t="shared" si="472"/>
        <v>95.30681450536872</v>
      </c>
    </row>
    <row r="824" spans="2:13" hidden="1" outlineLevel="2" x14ac:dyDescent="0.2">
      <c r="B824" s="157"/>
      <c r="C824" s="157"/>
      <c r="D824" s="157"/>
      <c r="E824" s="498"/>
      <c r="G824" s="8"/>
      <c r="H824" s="8"/>
      <c r="I824" s="8"/>
      <c r="J824" s="8"/>
      <c r="K824" s="8"/>
      <c r="L824" s="8"/>
      <c r="M824" s="8"/>
    </row>
    <row r="825" spans="2:13" hidden="1" outlineLevel="2" x14ac:dyDescent="0.2">
      <c r="B825" s="157" t="str">
        <f>+C825&amp;D825&amp;E825&amp;F825</f>
        <v>Middle EastCapexCapex per yearUSD m/ton</v>
      </c>
      <c r="C825" s="157" t="str">
        <f>+$B$813</f>
        <v>Middle East</v>
      </c>
      <c r="D825" s="157" t="s">
        <v>218</v>
      </c>
      <c r="E825" s="157" t="s">
        <v>956</v>
      </c>
      <c r="F825" s="450" t="s">
        <v>1000</v>
      </c>
      <c r="G825" s="523">
        <f t="shared" ref="G825:M825" si="473">G827/G826</f>
        <v>300.33333333333343</v>
      </c>
      <c r="H825" s="523">
        <f t="shared" si="473"/>
        <v>238.50000000000006</v>
      </c>
      <c r="I825" s="523">
        <f t="shared" si="473"/>
        <v>176.66666666666671</v>
      </c>
      <c r="J825" s="523">
        <f t="shared" si="473"/>
        <v>156.79166666666671</v>
      </c>
      <c r="K825" s="523">
        <f t="shared" si="473"/>
        <v>136.91666666666669</v>
      </c>
      <c r="L825" s="523">
        <f t="shared" si="473"/>
        <v>110.41666666666669</v>
      </c>
      <c r="M825" s="523">
        <f t="shared" si="473"/>
        <v>83.916666666666686</v>
      </c>
    </row>
    <row r="826" spans="2:13" hidden="1" outlineLevel="2" x14ac:dyDescent="0.2">
      <c r="B826" s="157" t="str">
        <f>+C826&amp;D826&amp;E826&amp;F826</f>
        <v>GlobalPlant capexAnnualisation factor#</v>
      </c>
      <c r="C826" s="157" t="s">
        <v>109</v>
      </c>
      <c r="D826" t="s">
        <v>786</v>
      </c>
      <c r="E826" t="s">
        <v>764</v>
      </c>
      <c r="F826" s="450" t="s">
        <v>787</v>
      </c>
      <c r="G826" s="532">
        <f>INDEX('Fuel Model -  Input'!$B$3:$N$373,MATCH($B826,'Fuel Model -  Input'!$B$3:$B$373,0),MATCH(G$2,'Fuel Model -  Input'!$B$3:$N$3,0))</f>
        <v>11.32075471698113</v>
      </c>
      <c r="H826" s="532">
        <f>INDEX('Fuel Model -  Input'!$B$3:$N$373,MATCH($B826,'Fuel Model -  Input'!$B$3:$B$373,0),MATCH(H$2,'Fuel Model -  Input'!$B$3:$N$3,0))</f>
        <v>11.32075471698113</v>
      </c>
      <c r="I826" s="532">
        <f>INDEX('Fuel Model -  Input'!$B$3:$N$373,MATCH($B826,'Fuel Model -  Input'!$B$3:$B$373,0),MATCH(I$2,'Fuel Model -  Input'!$B$3:$N$3,0))</f>
        <v>11.32075471698113</v>
      </c>
      <c r="J826" s="532">
        <f>INDEX('Fuel Model -  Input'!$B$3:$N$373,MATCH($B826,'Fuel Model -  Input'!$B$3:$B$373,0),MATCH(J$2,'Fuel Model -  Input'!$B$3:$N$3,0))</f>
        <v>11.32075471698113</v>
      </c>
      <c r="K826" s="532">
        <f>INDEX('Fuel Model -  Input'!$B$3:$N$373,MATCH($B826,'Fuel Model -  Input'!$B$3:$B$373,0),MATCH(K$2,'Fuel Model -  Input'!$B$3:$N$3,0))</f>
        <v>11.32075471698113</v>
      </c>
      <c r="L826" s="532">
        <f>INDEX('Fuel Model -  Input'!$B$3:$N$373,MATCH($B826,'Fuel Model -  Input'!$B$3:$B$373,0),MATCH(L$2,'Fuel Model -  Input'!$B$3:$N$3,0))</f>
        <v>11.32075471698113</v>
      </c>
      <c r="M826" s="532">
        <f>INDEX('Fuel Model -  Input'!$B$3:$N$373,MATCH($B826,'Fuel Model -  Input'!$B$3:$B$373,0),MATCH(M$2,'Fuel Model -  Input'!$B$3:$N$3,0))</f>
        <v>11.32075471698113</v>
      </c>
    </row>
    <row r="827" spans="2:13" s="263" customFormat="1" hidden="1" outlineLevel="2" x14ac:dyDescent="0.2">
      <c r="B827" s="157" t="str">
        <f>+C827&amp;D827&amp;E827&amp;F827</f>
        <v>GlobalCapexMethanol plant unit costUSD/ ton MeOH</v>
      </c>
      <c r="C827" s="157" t="s">
        <v>109</v>
      </c>
      <c r="D827" s="157" t="s">
        <v>218</v>
      </c>
      <c r="E827" s="157" t="s">
        <v>1001</v>
      </c>
      <c r="F827" s="450" t="s">
        <v>1002</v>
      </c>
      <c r="G827" s="532">
        <f>INDEX('Fuel Model -  Input'!$B$3:$N$373,MATCH($B827,'Fuel Model -  Input'!$B$3:$B$373,0),MATCH(G$2,'Fuel Model -  Input'!$B$3:$N$3,0))</f>
        <v>3400</v>
      </c>
      <c r="H827" s="532">
        <f>INDEX('Fuel Model -  Input'!$B$3:$N$373,MATCH($B827,'Fuel Model -  Input'!$B$3:$B$373,0),MATCH(H$2,'Fuel Model -  Input'!$B$3:$N$3,0))</f>
        <v>2700</v>
      </c>
      <c r="I827" s="532">
        <f>INDEX('Fuel Model -  Input'!$B$3:$N$373,MATCH($B827,'Fuel Model -  Input'!$B$3:$B$373,0),MATCH(I$2,'Fuel Model -  Input'!$B$3:$N$3,0))</f>
        <v>2000</v>
      </c>
      <c r="J827" s="532">
        <f>INDEX('Fuel Model -  Input'!$B$3:$N$373,MATCH($B827,'Fuel Model -  Input'!$B$3:$B$373,0),MATCH(J$2,'Fuel Model -  Input'!$B$3:$N$3,0))</f>
        <v>1775</v>
      </c>
      <c r="K827" s="532">
        <f>INDEX('Fuel Model -  Input'!$B$3:$N$373,MATCH($B827,'Fuel Model -  Input'!$B$3:$B$373,0),MATCH(K$2,'Fuel Model -  Input'!$B$3:$N$3,0))</f>
        <v>1550</v>
      </c>
      <c r="L827" s="532">
        <f>INDEX('Fuel Model -  Input'!$B$3:$N$373,MATCH($B827,'Fuel Model -  Input'!$B$3:$B$373,0),MATCH(L$2,'Fuel Model -  Input'!$B$3:$N$3,0))</f>
        <v>1250</v>
      </c>
      <c r="M827" s="532">
        <f>INDEX('Fuel Model -  Input'!$B$3:$N$373,MATCH($B827,'Fuel Model -  Input'!$B$3:$B$373,0),MATCH(M$2,'Fuel Model -  Input'!$B$3:$N$3,0))</f>
        <v>950</v>
      </c>
    </row>
    <row r="828" spans="2:13" hidden="1" outlineLevel="2" x14ac:dyDescent="0.2">
      <c r="B828" s="157"/>
      <c r="C828" s="157"/>
      <c r="D828" s="157"/>
      <c r="E828" s="498"/>
      <c r="G828" s="8"/>
      <c r="H828" s="8"/>
      <c r="I828" s="8"/>
      <c r="J828" s="8"/>
      <c r="K828" s="8"/>
      <c r="L828" s="8"/>
      <c r="M828" s="8"/>
    </row>
    <row r="829" spans="2:13" hidden="1" outlineLevel="2" x14ac:dyDescent="0.2">
      <c r="B829" s="157" t="str">
        <f>+C829&amp;D829&amp;E829&amp;F829</f>
        <v>Middle EastOpexOpexUSD/ton MeOH</v>
      </c>
      <c r="C829" s="157" t="str">
        <f>+$B$813</f>
        <v>Middle East</v>
      </c>
      <c r="D829" s="157" t="s">
        <v>219</v>
      </c>
      <c r="E829" s="498" t="s">
        <v>219</v>
      </c>
      <c r="F829" s="450" t="s">
        <v>1003</v>
      </c>
      <c r="G829" s="8">
        <f t="shared" ref="G829:M829" si="474">G827*G830</f>
        <v>136</v>
      </c>
      <c r="H829" s="8">
        <f t="shared" si="474"/>
        <v>108</v>
      </c>
      <c r="I829" s="8">
        <f t="shared" si="474"/>
        <v>80</v>
      </c>
      <c r="J829" s="8">
        <f t="shared" si="474"/>
        <v>71</v>
      </c>
      <c r="K829" s="8">
        <f t="shared" si="474"/>
        <v>62</v>
      </c>
      <c r="L829" s="8">
        <f t="shared" si="474"/>
        <v>50</v>
      </c>
      <c r="M829" s="8">
        <f t="shared" si="474"/>
        <v>38</v>
      </c>
    </row>
    <row r="830" spans="2:13" hidden="1" outlineLevel="2" x14ac:dyDescent="0.2">
      <c r="B830" s="157" t="str">
        <f>+C830&amp;D830&amp;E830&amp;F830</f>
        <v>GlobalOpexPlant - Methanol synthesis - opexPercent of Capex</v>
      </c>
      <c r="C830" s="157" t="s">
        <v>109</v>
      </c>
      <c r="D830" s="157" t="s">
        <v>219</v>
      </c>
      <c r="E830" s="498" t="s">
        <v>1004</v>
      </c>
      <c r="F830" s="450" t="s">
        <v>883</v>
      </c>
      <c r="G830" s="531">
        <f>INDEX('Fuel Model -  Input'!$B$3:$N$373,MATCH($B830,'Fuel Model -  Input'!$B$3:$B$373,0),MATCH(G$2,'Fuel Model -  Input'!$B$3:$N$3,0))</f>
        <v>0.04</v>
      </c>
      <c r="H830" s="531">
        <f>INDEX('Fuel Model -  Input'!$B$3:$N$373,MATCH($B830,'Fuel Model -  Input'!$B$3:$B$373,0),MATCH(H$2,'Fuel Model -  Input'!$B$3:$N$3,0))</f>
        <v>0.04</v>
      </c>
      <c r="I830" s="531">
        <f>INDEX('Fuel Model -  Input'!$B$3:$N$373,MATCH($B830,'Fuel Model -  Input'!$B$3:$B$373,0),MATCH(I$2,'Fuel Model -  Input'!$B$3:$N$3,0))</f>
        <v>0.04</v>
      </c>
      <c r="J830" s="531">
        <f>INDEX('Fuel Model -  Input'!$B$3:$N$373,MATCH($B830,'Fuel Model -  Input'!$B$3:$B$373,0),MATCH(J$2,'Fuel Model -  Input'!$B$3:$N$3,0))</f>
        <v>0.04</v>
      </c>
      <c r="K830" s="531">
        <f>INDEX('Fuel Model -  Input'!$B$3:$N$373,MATCH($B830,'Fuel Model -  Input'!$B$3:$B$373,0),MATCH(K$2,'Fuel Model -  Input'!$B$3:$N$3,0))</f>
        <v>0.04</v>
      </c>
      <c r="L830" s="531">
        <f>INDEX('Fuel Model -  Input'!$B$3:$N$373,MATCH($B830,'Fuel Model -  Input'!$B$3:$B$373,0),MATCH(L$2,'Fuel Model -  Input'!$B$3:$N$3,0))</f>
        <v>0.04</v>
      </c>
      <c r="M830" s="531">
        <f>INDEX('Fuel Model -  Input'!$B$3:$N$373,MATCH($B830,'Fuel Model -  Input'!$B$3:$B$373,0),MATCH(M$2,'Fuel Model -  Input'!$B$3:$N$3,0))</f>
        <v>0.04</v>
      </c>
    </row>
    <row r="831" spans="2:13" hidden="1" outlineLevel="2" x14ac:dyDescent="0.2">
      <c r="B831" s="157"/>
      <c r="C831" s="157"/>
      <c r="D831" s="157"/>
      <c r="E831" s="498"/>
      <c r="G831" s="8"/>
      <c r="H831" s="8"/>
      <c r="I831" s="8"/>
      <c r="J831" s="8"/>
      <c r="K831" s="8"/>
      <c r="L831" s="8"/>
      <c r="M831" s="8"/>
    </row>
    <row r="832" spans="2:13" hidden="1" outlineLevel="2" x14ac:dyDescent="0.2">
      <c r="B832" s="460" t="str">
        <f>+C832&amp;D832&amp;E832&amp;F832</f>
        <v>Middle EastMethanol SynthesisElectricity costUSD/ton MeOH</v>
      </c>
      <c r="C832" s="157" t="str">
        <f>+$B$813</f>
        <v>Middle East</v>
      </c>
      <c r="D832" s="157" t="s">
        <v>1005</v>
      </c>
      <c r="E832" s="498" t="s">
        <v>94</v>
      </c>
      <c r="F832" s="450" t="s">
        <v>1003</v>
      </c>
      <c r="G832" s="260">
        <f t="shared" ref="G832:M832" si="475">G833*G834</f>
        <v>71.26596858530236</v>
      </c>
      <c r="H832" s="260">
        <f t="shared" si="475"/>
        <v>57.38025151709693</v>
      </c>
      <c r="I832" s="260">
        <f t="shared" si="475"/>
        <v>48.18663451270762</v>
      </c>
      <c r="J832" s="260">
        <f t="shared" si="475"/>
        <v>41.704075089758867</v>
      </c>
      <c r="K832" s="260">
        <f t="shared" si="475"/>
        <v>38.453787959367197</v>
      </c>
      <c r="L832" s="260">
        <f t="shared" si="475"/>
        <v>34.191374231727224</v>
      </c>
      <c r="M832" s="260">
        <f t="shared" si="475"/>
        <v>32.196430894379667</v>
      </c>
    </row>
    <row r="833" spans="2:15" hidden="1" outlineLevel="2" x14ac:dyDescent="0.2">
      <c r="B833" s="460" t="str">
        <f>+C833&amp;D833&amp;E833&amp;F833</f>
        <v>Middle EastFeedstockElectricityUSD/MWh</v>
      </c>
      <c r="C833" s="157" t="str">
        <f>B813</f>
        <v>Middle East</v>
      </c>
      <c r="D833" s="157" t="s">
        <v>777</v>
      </c>
      <c r="E833" s="498" t="s">
        <v>54</v>
      </c>
      <c r="F833" s="450" t="s">
        <v>196</v>
      </c>
      <c r="G833" s="532">
        <f>INDEX('Fuel Model -  Input'!$B$3:$N$373,MATCH($B833,'Fuel Model -  Input'!$B$3:$B$373,0),MATCH(G$2,'Fuel Model -  Input'!$B$3:$N$3,0))</f>
        <v>41.921157991354328</v>
      </c>
      <c r="H833" s="532">
        <f>INDEX('Fuel Model -  Input'!$B$3:$N$373,MATCH($B833,'Fuel Model -  Input'!$B$3:$B$373,0),MATCH(H$2,'Fuel Model -  Input'!$B$3:$N$3,0))</f>
        <v>33.753089127704079</v>
      </c>
      <c r="I833" s="532">
        <f>INDEX('Fuel Model -  Input'!$B$3:$N$373,MATCH($B833,'Fuel Model -  Input'!$B$3:$B$373,0),MATCH(I$2,'Fuel Model -  Input'!$B$3:$N$3,0))</f>
        <v>28.34507912512213</v>
      </c>
      <c r="J833" s="532">
        <f>INDEX('Fuel Model -  Input'!$B$3:$N$373,MATCH($B833,'Fuel Model -  Input'!$B$3:$B$373,0),MATCH(J$2,'Fuel Model -  Input'!$B$3:$N$3,0))</f>
        <v>24.531808876328746</v>
      </c>
      <c r="K833" s="532">
        <f>INDEX('Fuel Model -  Input'!$B$3:$N$373,MATCH($B833,'Fuel Model -  Input'!$B$3:$B$373,0),MATCH(K$2,'Fuel Model -  Input'!$B$3:$N$3,0))</f>
        <v>22.619875270215999</v>
      </c>
      <c r="L833" s="532">
        <f>INDEX('Fuel Model -  Input'!$B$3:$N$373,MATCH($B833,'Fuel Model -  Input'!$B$3:$B$373,0),MATCH(L$2,'Fuel Model -  Input'!$B$3:$N$3,0))</f>
        <v>20.112573077486601</v>
      </c>
      <c r="M833" s="532">
        <f>INDEX('Fuel Model -  Input'!$B$3:$N$373,MATCH($B833,'Fuel Model -  Input'!$B$3:$B$373,0),MATCH(M$2,'Fuel Model -  Input'!$B$3:$N$3,0))</f>
        <v>18.93907699669392</v>
      </c>
    </row>
    <row r="834" spans="2:15" hidden="1" outlineLevel="2" x14ac:dyDescent="0.2">
      <c r="B834" s="460" t="str">
        <f>+C834&amp;D834&amp;E834&amp;F834</f>
        <v>GlobalMethanol SynthesisElectricity demandmWh/ton MeOH</v>
      </c>
      <c r="C834" s="157" t="s">
        <v>109</v>
      </c>
      <c r="D834" s="157" t="s">
        <v>1005</v>
      </c>
      <c r="E834" s="498" t="s">
        <v>963</v>
      </c>
      <c r="F834" s="450" t="s">
        <v>1006</v>
      </c>
      <c r="G834" s="521">
        <f>INDEX('Fuel Model -  Input'!$B$3:$N$373,MATCH($B834,'Fuel Model -  Input'!$B$3:$B$373,0),MATCH(G$2,'Fuel Model -  Input'!$B$3:$N$3,0))</f>
        <v>1.7</v>
      </c>
      <c r="H834" s="521">
        <f>INDEX('Fuel Model -  Input'!$B$3:$N$373,MATCH($B834,'Fuel Model -  Input'!$B$3:$B$373,0),MATCH(H$2,'Fuel Model -  Input'!$B$3:$N$3,0))</f>
        <v>1.7</v>
      </c>
      <c r="I834" s="521">
        <f>INDEX('Fuel Model -  Input'!$B$3:$N$373,MATCH($B834,'Fuel Model -  Input'!$B$3:$B$373,0),MATCH(I$2,'Fuel Model -  Input'!$B$3:$N$3,0))</f>
        <v>1.7</v>
      </c>
      <c r="J834" s="521">
        <f>INDEX('Fuel Model -  Input'!$B$3:$N$373,MATCH($B834,'Fuel Model -  Input'!$B$3:$B$373,0),MATCH(J$2,'Fuel Model -  Input'!$B$3:$N$3,0))</f>
        <v>1.7</v>
      </c>
      <c r="K834" s="521">
        <f>INDEX('Fuel Model -  Input'!$B$3:$N$373,MATCH($B834,'Fuel Model -  Input'!$B$3:$B$373,0),MATCH(K$2,'Fuel Model -  Input'!$B$3:$N$3,0))</f>
        <v>1.7</v>
      </c>
      <c r="L834" s="521">
        <f>INDEX('Fuel Model -  Input'!$B$3:$N$373,MATCH($B834,'Fuel Model -  Input'!$B$3:$B$373,0),MATCH(L$2,'Fuel Model -  Input'!$B$3:$N$3,0))</f>
        <v>1.7</v>
      </c>
      <c r="M834" s="521">
        <f>INDEX('Fuel Model -  Input'!$B$3:$N$373,MATCH($B834,'Fuel Model -  Input'!$B$3:$B$373,0),MATCH(M$2,'Fuel Model -  Input'!$B$3:$N$3,0))</f>
        <v>1.7</v>
      </c>
    </row>
    <row r="835" spans="2:15" hidden="1" outlineLevel="2" x14ac:dyDescent="0.2">
      <c r="C835" s="157"/>
      <c r="E835" s="48"/>
      <c r="F835" s="128"/>
      <c r="G835" s="524"/>
      <c r="H835" s="524"/>
      <c r="I835" s="524"/>
      <c r="J835" s="524"/>
      <c r="K835" s="524"/>
      <c r="L835" s="524"/>
      <c r="M835" s="524"/>
    </row>
    <row r="836" spans="2:15" hidden="1" outlineLevel="2" x14ac:dyDescent="0.2">
      <c r="B836" s="78" t="str">
        <f>+C836&amp;D836&amp;E836&amp;F836</f>
        <v>Middle EastFeedstockFeedstock CO2USD/ton MeOH</v>
      </c>
      <c r="C836" s="157" t="str">
        <f>+$B$813</f>
        <v>Middle East</v>
      </c>
      <c r="D836" t="s">
        <v>777</v>
      </c>
      <c r="E836" s="48" t="s">
        <v>1007</v>
      </c>
      <c r="F836" s="128" t="s">
        <v>1003</v>
      </c>
      <c r="G836" s="8">
        <f t="shared" ref="G836:M836" si="476">G837*G838</f>
        <v>369.83358350379615</v>
      </c>
      <c r="H836" s="8">
        <f t="shared" si="476"/>
        <v>292.96989426975853</v>
      </c>
      <c r="I836" s="8">
        <f t="shared" si="476"/>
        <v>237.10965151677635</v>
      </c>
      <c r="J836" s="8">
        <f t="shared" si="476"/>
        <v>194.74678418804132</v>
      </c>
      <c r="K836" s="8">
        <f t="shared" si="476"/>
        <v>164.55288646335148</v>
      </c>
      <c r="L836" s="8">
        <f t="shared" si="476"/>
        <v>137.06367979162036</v>
      </c>
      <c r="M836" s="8">
        <f t="shared" si="476"/>
        <v>117.03881022561009</v>
      </c>
      <c r="O836" s="18"/>
    </row>
    <row r="837" spans="2:15" hidden="1" outlineLevel="2" x14ac:dyDescent="0.2">
      <c r="B837" s="78" t="str">
        <f>+C837&amp;D837&amp;E837&amp;F837</f>
        <v>GlobalFeedstockConversion CO2 : MeOH (actual)kg CO2/kg MeOH</v>
      </c>
      <c r="C837" s="157" t="s">
        <v>109</v>
      </c>
      <c r="D837" t="s">
        <v>777</v>
      </c>
      <c r="E837" t="s">
        <v>1008</v>
      </c>
      <c r="F837" s="128" t="s">
        <v>1009</v>
      </c>
      <c r="G837" s="521">
        <f>INDEX('Fuel Model -  Input'!$B$3:$N$373,MATCH($B837,'Fuel Model -  Input'!$B$3:$B$373,0),MATCH(G$2,'Fuel Model -  Input'!$B$3:$N$3,0))</f>
        <v>1.3735097684289368</v>
      </c>
      <c r="H837" s="521">
        <f>INDEX('Fuel Model -  Input'!$B$3:$N$373,MATCH($B837,'Fuel Model -  Input'!$B$3:$B$373,0),MATCH(H$2,'Fuel Model -  Input'!$B$3:$N$3,0))</f>
        <v>1.3735097684289368</v>
      </c>
      <c r="I837" s="521">
        <f>INDEX('Fuel Model -  Input'!$B$3:$N$373,MATCH($B837,'Fuel Model -  Input'!$B$3:$B$373,0),MATCH(I$2,'Fuel Model -  Input'!$B$3:$N$3,0))</f>
        <v>1.3735097684289368</v>
      </c>
      <c r="J837" s="521">
        <f>INDEX('Fuel Model -  Input'!$B$3:$N$373,MATCH($B837,'Fuel Model -  Input'!$B$3:$B$373,0),MATCH(J$2,'Fuel Model -  Input'!$B$3:$N$3,0))</f>
        <v>1.3735097684289368</v>
      </c>
      <c r="K837" s="521">
        <f>INDEX('Fuel Model -  Input'!$B$3:$N$373,MATCH($B837,'Fuel Model -  Input'!$B$3:$B$373,0),MATCH(K$2,'Fuel Model -  Input'!$B$3:$N$3,0))</f>
        <v>1.3735097684289368</v>
      </c>
      <c r="L837" s="521">
        <f>INDEX('Fuel Model -  Input'!$B$3:$N$373,MATCH($B837,'Fuel Model -  Input'!$B$3:$B$373,0),MATCH(L$2,'Fuel Model -  Input'!$B$3:$N$3,0))</f>
        <v>1.3735097684289368</v>
      </c>
      <c r="M837" s="521">
        <f>INDEX('Fuel Model -  Input'!$B$3:$N$373,MATCH($B837,'Fuel Model -  Input'!$B$3:$B$373,0),MATCH(M$2,'Fuel Model -  Input'!$B$3:$N$3,0))</f>
        <v>1.3735097684289368</v>
      </c>
    </row>
    <row r="838" spans="2:15" hidden="1" outlineLevel="2" x14ac:dyDescent="0.2">
      <c r="B838" s="78" t="str">
        <f>+C838&amp;D838&amp;E838&amp;F838</f>
        <v>Middle EastFeedstockCost of CO2 DACUSD/ton</v>
      </c>
      <c r="C838" s="157" t="str">
        <f>+$B$813</f>
        <v>Middle East</v>
      </c>
      <c r="D838" t="s">
        <v>777</v>
      </c>
      <c r="E838" t="s">
        <v>1010</v>
      </c>
      <c r="F838" s="128" t="s">
        <v>205</v>
      </c>
      <c r="G838" s="532">
        <f t="shared" ref="G838:M838" si="477">INDEX(G$1564:G$1568,MATCH($C838,$C$1564:$C$1568,0))</f>
        <v>269.26170603564276</v>
      </c>
      <c r="H838" s="532">
        <f t="shared" si="477"/>
        <v>213.30018977940477</v>
      </c>
      <c r="I838" s="532">
        <f t="shared" si="477"/>
        <v>172.63048066122585</v>
      </c>
      <c r="J838" s="532">
        <f t="shared" si="477"/>
        <v>141.78769504551741</v>
      </c>
      <c r="K838" s="532">
        <f t="shared" si="477"/>
        <v>119.80467139419926</v>
      </c>
      <c r="L838" s="532">
        <f t="shared" si="477"/>
        <v>99.790829990527158</v>
      </c>
      <c r="M838" s="532">
        <f t="shared" si="477"/>
        <v>85.211487326721183</v>
      </c>
    </row>
    <row r="839" spans="2:15" hidden="1" outlineLevel="2" x14ac:dyDescent="0.2">
      <c r="B839" s="157"/>
      <c r="C839" s="157"/>
      <c r="D839" s="157"/>
      <c r="E839" s="498"/>
      <c r="G839" s="524"/>
      <c r="H839" s="524"/>
      <c r="I839" s="524"/>
      <c r="J839" s="524"/>
      <c r="K839" s="524"/>
      <c r="L839" s="524"/>
      <c r="M839" s="524"/>
    </row>
    <row r="840" spans="2:15" hidden="1" outlineLevel="2" x14ac:dyDescent="0.2">
      <c r="B840" s="460" t="str">
        <f>+C840&amp;D840&amp;E840&amp;F840</f>
        <v>Middle EastFeedstockFeedstock CO2USD/ton MeOH</v>
      </c>
      <c r="C840" s="157" t="str">
        <f>+$B$813</f>
        <v>Middle East</v>
      </c>
      <c r="D840" s="157" t="s">
        <v>777</v>
      </c>
      <c r="E840" s="498" t="s">
        <v>1007</v>
      </c>
      <c r="F840" s="450" t="s">
        <v>1003</v>
      </c>
      <c r="G840" s="8">
        <f t="shared" ref="G840:M840" si="478">G841*G842</f>
        <v>244.41311632981018</v>
      </c>
      <c r="H840" s="8">
        <f t="shared" si="478"/>
        <v>201.3641643352355</v>
      </c>
      <c r="I840" s="8">
        <f t="shared" si="478"/>
        <v>160.02114785386308</v>
      </c>
      <c r="J840" s="8">
        <f t="shared" si="478"/>
        <v>142.93907477346147</v>
      </c>
      <c r="K840" s="8">
        <f t="shared" si="478"/>
        <v>127.03217869636703</v>
      </c>
      <c r="L840" s="8">
        <f t="shared" si="478"/>
        <v>110.75729756298243</v>
      </c>
      <c r="M840" s="8">
        <f t="shared" si="478"/>
        <v>95.30681450536872</v>
      </c>
      <c r="O840" s="18"/>
    </row>
    <row r="841" spans="2:15" hidden="1" outlineLevel="2" x14ac:dyDescent="0.2">
      <c r="B841" s="460" t="str">
        <f>+C841&amp;D841&amp;E841&amp;F841</f>
        <v>GlobalFeedstockConversion CO2 : MeOH (actual)kg CO2/kg MeOH</v>
      </c>
      <c r="C841" s="157" t="s">
        <v>109</v>
      </c>
      <c r="D841" s="157" t="s">
        <v>777</v>
      </c>
      <c r="E841" s="157" t="s">
        <v>1008</v>
      </c>
      <c r="F841" s="450" t="s">
        <v>1009</v>
      </c>
      <c r="G841" s="521">
        <f>INDEX('Fuel Model -  Input'!$B$3:$N$373,MATCH($B841,'Fuel Model -  Input'!$B$3:$B$373,0),MATCH(G$2,'Fuel Model -  Input'!$B$3:$N$3,0))</f>
        <v>1.3735097684289368</v>
      </c>
      <c r="H841" s="521">
        <f>INDEX('Fuel Model -  Input'!$B$3:$N$373,MATCH($B841,'Fuel Model -  Input'!$B$3:$B$373,0),MATCH(H$2,'Fuel Model -  Input'!$B$3:$N$3,0))</f>
        <v>1.3735097684289368</v>
      </c>
      <c r="I841" s="521">
        <f>INDEX('Fuel Model -  Input'!$B$3:$N$373,MATCH($B841,'Fuel Model -  Input'!$B$3:$B$373,0),MATCH(I$2,'Fuel Model -  Input'!$B$3:$N$3,0))</f>
        <v>1.3735097684289368</v>
      </c>
      <c r="J841" s="521">
        <f>INDEX('Fuel Model -  Input'!$B$3:$N$373,MATCH($B841,'Fuel Model -  Input'!$B$3:$B$373,0),MATCH(J$2,'Fuel Model -  Input'!$B$3:$N$3,0))</f>
        <v>1.3735097684289368</v>
      </c>
      <c r="K841" s="521">
        <f>INDEX('Fuel Model -  Input'!$B$3:$N$373,MATCH($B841,'Fuel Model -  Input'!$B$3:$B$373,0),MATCH(K$2,'Fuel Model -  Input'!$B$3:$N$3,0))</f>
        <v>1.3735097684289368</v>
      </c>
      <c r="L841" s="521">
        <f>INDEX('Fuel Model -  Input'!$B$3:$N$373,MATCH($B841,'Fuel Model -  Input'!$B$3:$B$373,0),MATCH(L$2,'Fuel Model -  Input'!$B$3:$N$3,0))</f>
        <v>1.3735097684289368</v>
      </c>
      <c r="M841" s="521">
        <f>INDEX('Fuel Model -  Input'!$B$3:$N$373,MATCH($B841,'Fuel Model -  Input'!$B$3:$B$373,0),MATCH(M$2,'Fuel Model -  Input'!$B$3:$N$3,0))</f>
        <v>1.3735097684289368</v>
      </c>
    </row>
    <row r="842" spans="2:15" hidden="1" outlineLevel="2" x14ac:dyDescent="0.2">
      <c r="B842" s="460" t="str">
        <f>+C842&amp;D842&amp;E842&amp;F842</f>
        <v>Middle EastFeedstockCost of CO2 PSUSD/ton</v>
      </c>
      <c r="C842" s="157" t="str">
        <f>B813</f>
        <v>Middle East</v>
      </c>
      <c r="D842" s="157" t="s">
        <v>777</v>
      </c>
      <c r="E842" s="157" t="s">
        <v>1011</v>
      </c>
      <c r="F842" s="450" t="s">
        <v>205</v>
      </c>
      <c r="G842" s="532">
        <f t="shared" ref="G842:M842" si="479">INDEX(G$1538:G$1542,MATCH($B842,$B$1538:$B$1542,0))</f>
        <v>177.94785442944283</v>
      </c>
      <c r="H842" s="532">
        <f t="shared" si="479"/>
        <v>146.60555677413353</v>
      </c>
      <c r="I842" s="532">
        <f t="shared" si="479"/>
        <v>116.50528560630497</v>
      </c>
      <c r="J842" s="532">
        <f t="shared" si="479"/>
        <v>104.06848066101462</v>
      </c>
      <c r="K842" s="532">
        <f t="shared" si="479"/>
        <v>92.487277204930535</v>
      </c>
      <c r="L842" s="532">
        <f t="shared" si="479"/>
        <v>80.638157884868974</v>
      </c>
      <c r="M842" s="532">
        <f t="shared" si="479"/>
        <v>69.389251315178939</v>
      </c>
    </row>
    <row r="843" spans="2:15" hidden="1" outlineLevel="2" x14ac:dyDescent="0.2">
      <c r="B843" s="157"/>
      <c r="C843" s="157"/>
      <c r="D843" s="157"/>
      <c r="E843" s="157"/>
      <c r="G843" s="520"/>
      <c r="H843" s="520"/>
      <c r="I843" s="520"/>
      <c r="J843" s="520"/>
      <c r="K843" s="520"/>
      <c r="L843" s="520"/>
      <c r="M843" s="520"/>
    </row>
    <row r="844" spans="2:15" hidden="1" outlineLevel="2" x14ac:dyDescent="0.2">
      <c r="B844" s="460" t="str">
        <f>+C844&amp;D844&amp;E844&amp;F844</f>
        <v>Middle EastFeedstockFeedstock H2USD/ton MeOH</v>
      </c>
      <c r="C844" s="157" t="str">
        <f>+$B$813</f>
        <v>Middle East</v>
      </c>
      <c r="D844" s="157" t="s">
        <v>777</v>
      </c>
      <c r="E844" s="498" t="s">
        <v>970</v>
      </c>
      <c r="F844" s="450" t="s">
        <v>1003</v>
      </c>
      <c r="G844" s="8">
        <f t="shared" ref="G844:M844" si="480">G847*G848</f>
        <v>769.70559389444497</v>
      </c>
      <c r="H844" s="8">
        <f t="shared" si="480"/>
        <v>628.05011026944567</v>
      </c>
      <c r="I844" s="8">
        <f t="shared" si="480"/>
        <v>524.71780978152276</v>
      </c>
      <c r="J844" s="8">
        <f t="shared" si="480"/>
        <v>472.68055777529435</v>
      </c>
      <c r="K844" s="8">
        <f t="shared" si="480"/>
        <v>409.39587449449209</v>
      </c>
      <c r="L844" s="8">
        <f t="shared" si="480"/>
        <v>323.48687483125269</v>
      </c>
      <c r="M844" s="8">
        <f t="shared" si="480"/>
        <v>248.77033238667582</v>
      </c>
      <c r="O844" s="18"/>
    </row>
    <row r="845" spans="2:15" hidden="1" outlineLevel="2" x14ac:dyDescent="0.2">
      <c r="B845" t="str">
        <f>+C845&amp;D845&amp;E845&amp;F845</f>
        <v>Middle EastResultsShare of RNE e-Hydrogen (compressed)%</v>
      </c>
      <c r="C845" s="157" t="str">
        <f>+$B$813</f>
        <v>Middle East</v>
      </c>
      <c r="D845" t="s">
        <v>838</v>
      </c>
      <c r="E845" s="48" t="s">
        <v>848</v>
      </c>
      <c r="F845" s="128" t="s">
        <v>178</v>
      </c>
      <c r="G845" s="537">
        <f t="shared" ref="G845:M845" si="481">+INDEX($A:$M,MATCH($B845,$B:$B,0),MATCH(G$2,$2:$2,0))</f>
        <v>0.55775258276340556</v>
      </c>
      <c r="H845" s="537">
        <f t="shared" si="481"/>
        <v>0.54777871920631882</v>
      </c>
      <c r="I845" s="537">
        <f t="shared" si="481"/>
        <v>0.54329231511034226</v>
      </c>
      <c r="J845" s="537">
        <f t="shared" si="481"/>
        <v>0.50331479346130503</v>
      </c>
      <c r="K845" s="537">
        <f t="shared" si="481"/>
        <v>0.51197983528995661</v>
      </c>
      <c r="L845" s="537">
        <f t="shared" si="481"/>
        <v>0.54039947808574196</v>
      </c>
      <c r="M845" s="537">
        <f t="shared" si="481"/>
        <v>0.62724417619460449</v>
      </c>
    </row>
    <row r="846" spans="2:15" hidden="1" outlineLevel="2" x14ac:dyDescent="0.2">
      <c r="B846" t="str">
        <f>+C846&amp;D846&amp;E846&amp;F846</f>
        <v>Middle EastResultsShare of Capex e-Hydrogen (compressed)%</v>
      </c>
      <c r="C846" s="157" t="str">
        <f>+$B$813</f>
        <v>Middle East</v>
      </c>
      <c r="D846" t="s">
        <v>838</v>
      </c>
      <c r="E846" s="48" t="s">
        <v>850</v>
      </c>
      <c r="F846" s="128" t="s">
        <v>178</v>
      </c>
      <c r="G846" s="537">
        <f t="shared" ref="G846:M846" si="482">+INDEX(G$4:G$581,MATCH($B846,$B$4:$B$581,0))</f>
        <v>0.20465721439936888</v>
      </c>
      <c r="H846" s="537">
        <f t="shared" si="482"/>
        <v>0.21020082917293301</v>
      </c>
      <c r="I846" s="537">
        <f t="shared" si="482"/>
        <v>0.22017611375581289</v>
      </c>
      <c r="J846" s="537">
        <f t="shared" si="482"/>
        <v>0.25740749275929958</v>
      </c>
      <c r="K846" s="537">
        <f t="shared" si="482"/>
        <v>0.27346911892746345</v>
      </c>
      <c r="L846" s="537">
        <f t="shared" si="482"/>
        <v>0.27643119109331959</v>
      </c>
      <c r="M846" s="537">
        <f t="shared" si="482"/>
        <v>0.23547854986199462</v>
      </c>
    </row>
    <row r="847" spans="2:15" hidden="1" outlineLevel="2" x14ac:dyDescent="0.2">
      <c r="B847" s="460" t="str">
        <f>+C847&amp;D847&amp;E847&amp;F847</f>
        <v>GlobalFeedstockConversion H2 : MeOH (actual)tons H2/ton MeOH</v>
      </c>
      <c r="C847" s="157" t="s">
        <v>109</v>
      </c>
      <c r="D847" s="157" t="s">
        <v>777</v>
      </c>
      <c r="E847" s="157" t="s">
        <v>1012</v>
      </c>
      <c r="F847" s="450" t="s">
        <v>1013</v>
      </c>
      <c r="G847" s="521">
        <f>INDEX('Fuel Model -  Input'!$B$3:$N$373,MATCH($B847,'Fuel Model -  Input'!$B$3:$B$373,0),MATCH(G$2,'Fuel Model -  Input'!$B$3:$N$3,0))</f>
        <v>0.18875226265526496</v>
      </c>
      <c r="H847" s="521">
        <f>INDEX('Fuel Model -  Input'!$B$3:$N$373,MATCH($B847,'Fuel Model -  Input'!$B$3:$B$373,0),MATCH(H$2,'Fuel Model -  Input'!$B$3:$N$3,0))</f>
        <v>0.18875226265526496</v>
      </c>
      <c r="I847" s="521">
        <f>INDEX('Fuel Model -  Input'!$B$3:$N$373,MATCH($B847,'Fuel Model -  Input'!$B$3:$B$373,0),MATCH(I$2,'Fuel Model -  Input'!$B$3:$N$3,0))</f>
        <v>0.18875226265526496</v>
      </c>
      <c r="J847" s="521">
        <f>INDEX('Fuel Model -  Input'!$B$3:$N$373,MATCH($B847,'Fuel Model -  Input'!$B$3:$B$373,0),MATCH(J$2,'Fuel Model -  Input'!$B$3:$N$3,0))</f>
        <v>0.18875226265526496</v>
      </c>
      <c r="K847" s="521">
        <f>INDEX('Fuel Model -  Input'!$B$3:$N$373,MATCH($B847,'Fuel Model -  Input'!$B$3:$B$373,0),MATCH(K$2,'Fuel Model -  Input'!$B$3:$N$3,0))</f>
        <v>0.18875226265526496</v>
      </c>
      <c r="L847" s="521">
        <f>INDEX('Fuel Model -  Input'!$B$3:$N$373,MATCH($B847,'Fuel Model -  Input'!$B$3:$B$373,0),MATCH(L$2,'Fuel Model -  Input'!$B$3:$N$3,0))</f>
        <v>0.18875226265526496</v>
      </c>
      <c r="M847" s="521">
        <f>INDEX('Fuel Model -  Input'!$B$3:$N$373,MATCH($B847,'Fuel Model -  Input'!$B$3:$B$373,0),MATCH(M$2,'Fuel Model -  Input'!$B$3:$N$3,0))</f>
        <v>0.18875226265526496</v>
      </c>
    </row>
    <row r="848" spans="2:15" hidden="1" outlineLevel="2" x14ac:dyDescent="0.2">
      <c r="B848" s="460" t="str">
        <f>+C848&amp;D848&amp;E848&amp;F848</f>
        <v>Middle EastResultsCost of e-Hydrogen (compressed)USD/ton</v>
      </c>
      <c r="C848" s="157" t="str">
        <f>+$B$813</f>
        <v>Middle East</v>
      </c>
      <c r="D848" t="s">
        <v>838</v>
      </c>
      <c r="E848" t="s">
        <v>846</v>
      </c>
      <c r="F848" s="128" t="s">
        <v>205</v>
      </c>
      <c r="G848" s="532">
        <f>INDEX(G$4:G847,MATCH($B848,$B$4:$B847,0))</f>
        <v>4077.8615475472566</v>
      </c>
      <c r="H848" s="532">
        <f>INDEX(H$4:H847,MATCH($B848,$B$4:$B847,0))</f>
        <v>3327.377915551187</v>
      </c>
      <c r="I848" s="532">
        <f>INDEX(I$4:I847,MATCH($B848,$B$4:$B847,0))</f>
        <v>2779.9285815177832</v>
      </c>
      <c r="J848" s="532">
        <f>INDEX(J$4:J847,MATCH($B848,$B$4:$B847,0))</f>
        <v>2504.2378360178541</v>
      </c>
      <c r="K848" s="532">
        <f>INDEX(K$4:K847,MATCH($B848,$B$4:$B847,0))</f>
        <v>2168.9587649723076</v>
      </c>
      <c r="L848" s="532">
        <f>INDEX(L$4:L847,MATCH($B848,$B$4:$B847,0))</f>
        <v>1713.817202933697</v>
      </c>
      <c r="M848" s="532">
        <f>INDEX(M$4:M847,MATCH($B848,$B$4:$B847,0))</f>
        <v>1317.972716655732</v>
      </c>
    </row>
    <row r="849" spans="2:13" hidden="1" outlineLevel="1" x14ac:dyDescent="0.2">
      <c r="B849" s="157"/>
      <c r="C849" s="157"/>
      <c r="D849" s="157"/>
      <c r="E849" s="157"/>
      <c r="F849" s="157"/>
    </row>
    <row r="850" spans="2:13" ht="15" hidden="1" outlineLevel="1" collapsed="1" x14ac:dyDescent="0.25">
      <c r="B850" s="515" t="s">
        <v>198</v>
      </c>
      <c r="C850" s="515" t="str">
        <f>+B850</f>
        <v>Asia</v>
      </c>
      <c r="D850" s="515"/>
      <c r="E850" s="515"/>
      <c r="F850" s="515"/>
      <c r="G850" s="523"/>
      <c r="H850" s="30"/>
      <c r="I850" s="30"/>
      <c r="J850" s="30"/>
      <c r="K850" s="30"/>
      <c r="L850" s="30"/>
      <c r="M850" s="30"/>
    </row>
    <row r="851" spans="2:13" ht="15" hidden="1" outlineLevel="2" x14ac:dyDescent="0.25">
      <c r="B851" s="157" t="str">
        <f t="shared" ref="B851:B856" si="483">+C851&amp;D851&amp;E851&amp;F851</f>
        <v>AsiaResultsTotal cost of e-Methanol (DAC)USD/ton</v>
      </c>
      <c r="C851" s="157" t="str">
        <f t="shared" ref="C851:C860" si="484">+$B$850</f>
        <v>Asia</v>
      </c>
      <c r="D851" s="515" t="s">
        <v>838</v>
      </c>
      <c r="E851" s="535" t="s">
        <v>990</v>
      </c>
      <c r="F851" s="489" t="s">
        <v>205</v>
      </c>
      <c r="G851" s="492">
        <f>+G853+G855+G857+G859</f>
        <v>2291.567166164763</v>
      </c>
      <c r="H851" s="492">
        <f t="shared" ref="H851:M851" si="485">+H853+H855+H857+H859</f>
        <v>1636.1300512099513</v>
      </c>
      <c r="I851" s="492">
        <f t="shared" si="485"/>
        <v>1296.1814850269711</v>
      </c>
      <c r="J851" s="492">
        <f t="shared" si="485"/>
        <v>1111.1621333020812</v>
      </c>
      <c r="K851" s="492">
        <f t="shared" si="485"/>
        <v>954.95479961685214</v>
      </c>
      <c r="L851" s="492">
        <f t="shared" si="485"/>
        <v>774.93585073740132</v>
      </c>
      <c r="M851" s="492">
        <f t="shared" si="485"/>
        <v>627.26352456009181</v>
      </c>
    </row>
    <row r="852" spans="2:13" ht="15" hidden="1" outlineLevel="2" x14ac:dyDescent="0.25">
      <c r="B852" s="157" t="str">
        <f t="shared" si="483"/>
        <v>AsiaResultsTotal cost of e-Methanol (PS)USD/ton</v>
      </c>
      <c r="C852" s="157" t="str">
        <f t="shared" si="484"/>
        <v>Asia</v>
      </c>
      <c r="D852" s="515" t="s">
        <v>838</v>
      </c>
      <c r="E852" s="535" t="s">
        <v>991</v>
      </c>
      <c r="F852" s="489" t="s">
        <v>205</v>
      </c>
      <c r="G852" s="492">
        <f t="shared" ref="G852:M852" si="486">+G854+G856+G858+G860</f>
        <v>2025.8371910881117</v>
      </c>
      <c r="H852" s="492">
        <f t="shared" si="486"/>
        <v>1480.6952043817562</v>
      </c>
      <c r="I852" s="492">
        <f t="shared" si="486"/>
        <v>1174.5846596171223</v>
      </c>
      <c r="J852" s="492">
        <f t="shared" si="486"/>
        <v>1026.9671404805083</v>
      </c>
      <c r="K852" s="492">
        <f t="shared" si="486"/>
        <v>891.73177032184697</v>
      </c>
      <c r="L852" s="492">
        <f t="shared" si="486"/>
        <v>727.78144874083455</v>
      </c>
      <c r="M852" s="492">
        <f t="shared" si="486"/>
        <v>587.51780001069596</v>
      </c>
    </row>
    <row r="853" spans="2:13" ht="15" hidden="1" outlineLevel="2" x14ac:dyDescent="0.25">
      <c r="B853" s="157" t="str">
        <f t="shared" si="483"/>
        <v>AsiaResultsTotal Capex e-Methanol (DAC)USD/ton</v>
      </c>
      <c r="C853" s="157" t="str">
        <f t="shared" si="484"/>
        <v>Asia</v>
      </c>
      <c r="D853" s="515" t="s">
        <v>838</v>
      </c>
      <c r="E853" s="536" t="s">
        <v>992</v>
      </c>
      <c r="F853" s="489" t="s">
        <v>205</v>
      </c>
      <c r="G853" s="490">
        <f>G862+G881*G883</f>
        <v>457.85913608738241</v>
      </c>
      <c r="H853" s="490">
        <f t="shared" ref="H853:M853" si="487">H862+H881*H883</f>
        <v>370.51665394078952</v>
      </c>
      <c r="I853" s="490">
        <f t="shared" si="487"/>
        <v>292.19699484282427</v>
      </c>
      <c r="J853" s="490">
        <f t="shared" si="487"/>
        <v>278.46318391967247</v>
      </c>
      <c r="K853" s="490">
        <f t="shared" si="487"/>
        <v>248.87379575721386</v>
      </c>
      <c r="L853" s="490">
        <f t="shared" si="487"/>
        <v>199.83852877932546</v>
      </c>
      <c r="M853" s="490">
        <f t="shared" si="487"/>
        <v>142.49674378576751</v>
      </c>
    </row>
    <row r="854" spans="2:13" ht="15" hidden="1" outlineLevel="2" x14ac:dyDescent="0.25">
      <c r="B854" s="157" t="str">
        <f t="shared" si="483"/>
        <v>AsiaResultsTotal Capex e-Methanol (PS)USD/ton</v>
      </c>
      <c r="C854" s="157" t="str">
        <f t="shared" si="484"/>
        <v>Asia</v>
      </c>
      <c r="D854" s="515" t="s">
        <v>838</v>
      </c>
      <c r="E854" s="536" t="s">
        <v>993</v>
      </c>
      <c r="F854" s="489" t="s">
        <v>205</v>
      </c>
      <c r="G854" s="490">
        <f>+G853</f>
        <v>457.85913608738241</v>
      </c>
      <c r="H854" s="490">
        <f t="shared" ref="H854:M854" si="488">+H853</f>
        <v>370.51665394078952</v>
      </c>
      <c r="I854" s="490">
        <f t="shared" si="488"/>
        <v>292.19699484282427</v>
      </c>
      <c r="J854" s="490">
        <f t="shared" si="488"/>
        <v>278.46318391967247</v>
      </c>
      <c r="K854" s="490">
        <f t="shared" si="488"/>
        <v>248.87379575721386</v>
      </c>
      <c r="L854" s="490">
        <f t="shared" si="488"/>
        <v>199.83852877932546</v>
      </c>
      <c r="M854" s="490">
        <f t="shared" si="488"/>
        <v>142.49674378576751</v>
      </c>
    </row>
    <row r="855" spans="2:13" ht="15" hidden="1" outlineLevel="2" x14ac:dyDescent="0.25">
      <c r="B855" s="157" t="str">
        <f t="shared" si="483"/>
        <v>AsiaResultsTotal Opex e-Methanol (DAC)USD/ton</v>
      </c>
      <c r="C855" s="157" t="str">
        <f t="shared" si="484"/>
        <v>Asia</v>
      </c>
      <c r="D855" s="515" t="s">
        <v>838</v>
      </c>
      <c r="E855" s="536" t="s">
        <v>994</v>
      </c>
      <c r="F855" s="489" t="s">
        <v>205</v>
      </c>
      <c r="G855" s="490">
        <f>G866+G881*(1-SUM(G882:G883))</f>
        <v>318.87450817832831</v>
      </c>
      <c r="H855" s="490">
        <f t="shared" ref="H855:M855" si="489">H866+H881*(1-SUM(H882:H883))</f>
        <v>260.00097132787192</v>
      </c>
      <c r="I855" s="490">
        <f t="shared" si="489"/>
        <v>204.11232794953355</v>
      </c>
      <c r="J855" s="490">
        <f t="shared" si="489"/>
        <v>184.10192321244199</v>
      </c>
      <c r="K855" s="490">
        <f t="shared" si="489"/>
        <v>149.83631301186713</v>
      </c>
      <c r="L855" s="490">
        <f t="shared" si="489"/>
        <v>109.25287439219724</v>
      </c>
      <c r="M855" s="490">
        <f t="shared" si="489"/>
        <v>72.150513068036616</v>
      </c>
    </row>
    <row r="856" spans="2:13" ht="15" hidden="1" outlineLevel="2" x14ac:dyDescent="0.25">
      <c r="B856" s="157" t="str">
        <f t="shared" si="483"/>
        <v>AsiaResultsTotal Opex e-Methanol (PS)USD/ton</v>
      </c>
      <c r="C856" s="157" t="str">
        <f t="shared" si="484"/>
        <v>Asia</v>
      </c>
      <c r="D856" s="515" t="s">
        <v>838</v>
      </c>
      <c r="E856" s="536" t="s">
        <v>995</v>
      </c>
      <c r="F856" s="489" t="s">
        <v>205</v>
      </c>
      <c r="G856" s="490">
        <f t="shared" ref="G856:M856" si="490">+G855</f>
        <v>318.87450817832831</v>
      </c>
      <c r="H856" s="490">
        <f t="shared" si="490"/>
        <v>260.00097132787192</v>
      </c>
      <c r="I856" s="490">
        <f t="shared" si="490"/>
        <v>204.11232794953355</v>
      </c>
      <c r="J856" s="490">
        <f t="shared" si="490"/>
        <v>184.10192321244199</v>
      </c>
      <c r="K856" s="490">
        <f t="shared" si="490"/>
        <v>149.83631301186713</v>
      </c>
      <c r="L856" s="490">
        <f t="shared" si="490"/>
        <v>109.25287439219724</v>
      </c>
      <c r="M856" s="490">
        <f t="shared" si="490"/>
        <v>72.150513068036616</v>
      </c>
    </row>
    <row r="857" spans="2:13" ht="15" hidden="1" outlineLevel="2" x14ac:dyDescent="0.25">
      <c r="B857" s="157" t="str">
        <f>+C857&amp;D857&amp;E857&amp;F857</f>
        <v>AsiaResultsTotal RNE e-Methanol (DAC)USD/ton</v>
      </c>
      <c r="C857" s="157" t="str">
        <f t="shared" si="484"/>
        <v>Asia</v>
      </c>
      <c r="D857" s="515" t="s">
        <v>838</v>
      </c>
      <c r="E857" s="536" t="s">
        <v>996</v>
      </c>
      <c r="F857" s="489" t="s">
        <v>205</v>
      </c>
      <c r="G857" s="490">
        <f t="shared" ref="G857:M857" si="491">G869+G881*G882</f>
        <v>979.88039710226985</v>
      </c>
      <c r="H857" s="490">
        <f t="shared" si="491"/>
        <v>636.59081792587961</v>
      </c>
      <c r="I857" s="490">
        <f t="shared" si="491"/>
        <v>509.01488196216621</v>
      </c>
      <c r="J857" s="490">
        <f t="shared" si="491"/>
        <v>414.1663725152107</v>
      </c>
      <c r="K857" s="490">
        <f t="shared" si="491"/>
        <v>359.69720340678145</v>
      </c>
      <c r="L857" s="490">
        <f t="shared" si="491"/>
        <v>302.37893931228263</v>
      </c>
      <c r="M857" s="490">
        <f t="shared" si="491"/>
        <v>272.33393641080085</v>
      </c>
    </row>
    <row r="858" spans="2:13" ht="15" hidden="1" outlineLevel="2" x14ac:dyDescent="0.25">
      <c r="B858" s="157" t="str">
        <f>+C858&amp;D858&amp;E858&amp;F858</f>
        <v>AsiaResultsTotal RNE e-Methanol (PS)USD/ton</v>
      </c>
      <c r="C858" s="157" t="str">
        <f t="shared" si="484"/>
        <v>Asia</v>
      </c>
      <c r="D858" s="515" t="s">
        <v>838</v>
      </c>
      <c r="E858" s="536" t="s">
        <v>997</v>
      </c>
      <c r="F858" s="489" t="s">
        <v>205</v>
      </c>
      <c r="G858" s="490">
        <f>+G857</f>
        <v>979.88039710226985</v>
      </c>
      <c r="H858" s="490">
        <f t="shared" ref="H858:M858" si="492">+H857</f>
        <v>636.59081792587961</v>
      </c>
      <c r="I858" s="490">
        <f t="shared" si="492"/>
        <v>509.01488196216621</v>
      </c>
      <c r="J858" s="490">
        <f t="shared" si="492"/>
        <v>414.1663725152107</v>
      </c>
      <c r="K858" s="490">
        <f t="shared" si="492"/>
        <v>359.69720340678145</v>
      </c>
      <c r="L858" s="490">
        <f t="shared" si="492"/>
        <v>302.37893931228263</v>
      </c>
      <c r="M858" s="490">
        <f t="shared" si="492"/>
        <v>272.33393641080085</v>
      </c>
    </row>
    <row r="859" spans="2:13" ht="15" hidden="1" outlineLevel="2" x14ac:dyDescent="0.25">
      <c r="B859" s="157" t="str">
        <f>+C859&amp;D859&amp;E859&amp;F859</f>
        <v>AsiaResultsTotal CO2 e-Methanol (DAC)USD/ton</v>
      </c>
      <c r="C859" s="157" t="str">
        <f t="shared" si="484"/>
        <v>Asia</v>
      </c>
      <c r="D859" s="515" t="s">
        <v>838</v>
      </c>
      <c r="E859" s="536" t="s">
        <v>998</v>
      </c>
      <c r="F859" s="489" t="s">
        <v>205</v>
      </c>
      <c r="G859" s="490">
        <f>+G873</f>
        <v>534.95312479678273</v>
      </c>
      <c r="H859" s="490">
        <f t="shared" ref="H859:M859" si="493">+H873</f>
        <v>369.02160801541032</v>
      </c>
      <c r="I859" s="490">
        <f t="shared" si="493"/>
        <v>290.85728027244699</v>
      </c>
      <c r="J859" s="490">
        <f t="shared" si="493"/>
        <v>234.43065365475599</v>
      </c>
      <c r="K859" s="490">
        <f t="shared" si="493"/>
        <v>196.54748744098973</v>
      </c>
      <c r="L859" s="490">
        <f t="shared" si="493"/>
        <v>163.465508253596</v>
      </c>
      <c r="M859" s="490">
        <f t="shared" si="493"/>
        <v>140.28233129548687</v>
      </c>
    </row>
    <row r="860" spans="2:13" ht="15" hidden="1" outlineLevel="2" x14ac:dyDescent="0.25">
      <c r="B860" s="157" t="str">
        <f>+C860&amp;D860&amp;E860&amp;F860</f>
        <v>AsiaResultsTotal CO2 e-Methanol (PS)USD/ton</v>
      </c>
      <c r="C860" s="157" t="str">
        <f t="shared" si="484"/>
        <v>Asia</v>
      </c>
      <c r="D860" s="515" t="s">
        <v>838</v>
      </c>
      <c r="E860" s="536" t="s">
        <v>999</v>
      </c>
      <c r="F860" s="489" t="s">
        <v>205</v>
      </c>
      <c r="G860" s="490">
        <f>+G877</f>
        <v>269.22314972013123</v>
      </c>
      <c r="H860" s="490">
        <f t="shared" ref="H860:M860" si="494">+H877</f>
        <v>213.58676118721525</v>
      </c>
      <c r="I860" s="490">
        <f t="shared" si="494"/>
        <v>169.26045486259807</v>
      </c>
      <c r="J860" s="490">
        <f t="shared" si="494"/>
        <v>150.23566083318323</v>
      </c>
      <c r="K860" s="490">
        <f t="shared" si="494"/>
        <v>133.32445814598449</v>
      </c>
      <c r="L860" s="490">
        <f t="shared" si="494"/>
        <v>116.31110625702919</v>
      </c>
      <c r="M860" s="490">
        <f t="shared" si="494"/>
        <v>100.536606746091</v>
      </c>
    </row>
    <row r="861" spans="2:13" ht="15" hidden="1" outlineLevel="2" x14ac:dyDescent="0.25">
      <c r="B861" s="157"/>
      <c r="C861" s="157"/>
      <c r="D861" s="515"/>
      <c r="E861" s="536"/>
      <c r="F861" s="489" t="s">
        <v>205</v>
      </c>
      <c r="G861" s="490"/>
      <c r="H861" s="490"/>
      <c r="I861" s="490"/>
      <c r="J861" s="490"/>
      <c r="K861" s="490"/>
      <c r="L861" s="490"/>
      <c r="M861" s="490"/>
    </row>
    <row r="862" spans="2:13" hidden="1" outlineLevel="2" x14ac:dyDescent="0.2">
      <c r="B862" s="157" t="str">
        <f>+C862&amp;D862&amp;E862&amp;F862</f>
        <v>AsiaCapexCapex per yearUSD m/ton</v>
      </c>
      <c r="C862" s="157" t="str">
        <f>+$B$850</f>
        <v>Asia</v>
      </c>
      <c r="D862" s="157" t="s">
        <v>218</v>
      </c>
      <c r="E862" s="498" t="s">
        <v>956</v>
      </c>
      <c r="F862" s="450" t="s">
        <v>1000</v>
      </c>
      <c r="G862" s="8">
        <f t="shared" ref="G862:M862" si="495">G864/G863</f>
        <v>300.33333333333343</v>
      </c>
      <c r="H862" s="8">
        <f t="shared" si="495"/>
        <v>238.50000000000006</v>
      </c>
      <c r="I862" s="8">
        <f t="shared" si="495"/>
        <v>176.66666666666671</v>
      </c>
      <c r="J862" s="8">
        <f t="shared" si="495"/>
        <v>156.79166666666671</v>
      </c>
      <c r="K862" s="8">
        <f t="shared" si="495"/>
        <v>136.91666666666669</v>
      </c>
      <c r="L862" s="8">
        <f t="shared" si="495"/>
        <v>110.41666666666669</v>
      </c>
      <c r="M862" s="8">
        <f t="shared" si="495"/>
        <v>83.916666666666686</v>
      </c>
    </row>
    <row r="863" spans="2:13" hidden="1" outlineLevel="2" x14ac:dyDescent="0.2">
      <c r="B863" s="157" t="str">
        <f>+C863&amp;D863&amp;E863&amp;F863</f>
        <v>GlobalPlant capexAnnualisation factor#</v>
      </c>
      <c r="C863" s="157" t="s">
        <v>109</v>
      </c>
      <c r="D863" s="157" t="s">
        <v>786</v>
      </c>
      <c r="E863" s="157" t="s">
        <v>764</v>
      </c>
      <c r="F863" s="450" t="s">
        <v>787</v>
      </c>
      <c r="G863" s="523">
        <f>INDEX('Fuel Model -  Input'!$B$3:$N$373,MATCH($B863,'Fuel Model -  Input'!$B$3:$B$373,0),MATCH(G$2,'Fuel Model -  Input'!$B$3:$N$3,0))</f>
        <v>11.32075471698113</v>
      </c>
      <c r="H863" s="523">
        <f>INDEX('Fuel Model -  Input'!$B$3:$N$373,MATCH($B863,'Fuel Model -  Input'!$B$3:$B$373,0),MATCH(H$2,'Fuel Model -  Input'!$B$3:$N$3,0))</f>
        <v>11.32075471698113</v>
      </c>
      <c r="I863" s="523">
        <f>INDEX('Fuel Model -  Input'!$B$3:$N$373,MATCH($B863,'Fuel Model -  Input'!$B$3:$B$373,0),MATCH(I$2,'Fuel Model -  Input'!$B$3:$N$3,0))</f>
        <v>11.32075471698113</v>
      </c>
      <c r="J863" s="523">
        <f>INDEX('Fuel Model -  Input'!$B$3:$N$373,MATCH($B863,'Fuel Model -  Input'!$B$3:$B$373,0),MATCH(J$2,'Fuel Model -  Input'!$B$3:$N$3,0))</f>
        <v>11.32075471698113</v>
      </c>
      <c r="K863" s="523">
        <f>INDEX('Fuel Model -  Input'!$B$3:$N$373,MATCH($B863,'Fuel Model -  Input'!$B$3:$B$373,0),MATCH(K$2,'Fuel Model -  Input'!$B$3:$N$3,0))</f>
        <v>11.32075471698113</v>
      </c>
      <c r="L863" s="523">
        <f>INDEX('Fuel Model -  Input'!$B$3:$N$373,MATCH($B863,'Fuel Model -  Input'!$B$3:$B$373,0),MATCH(L$2,'Fuel Model -  Input'!$B$3:$N$3,0))</f>
        <v>11.32075471698113</v>
      </c>
      <c r="M863" s="523">
        <f>INDEX('Fuel Model -  Input'!$B$3:$N$373,MATCH($B863,'Fuel Model -  Input'!$B$3:$B$373,0),MATCH(M$2,'Fuel Model -  Input'!$B$3:$N$3,0))</f>
        <v>11.32075471698113</v>
      </c>
    </row>
    <row r="864" spans="2:13" s="263" customFormat="1" hidden="1" outlineLevel="2" x14ac:dyDescent="0.2">
      <c r="B864" s="157" t="str">
        <f>+C864&amp;D864&amp;E864&amp;F864</f>
        <v>GlobalCapexMethanol plant unit costUSD/ ton MeOH</v>
      </c>
      <c r="C864" s="157" t="s">
        <v>109</v>
      </c>
      <c r="D864" t="s">
        <v>218</v>
      </c>
      <c r="E864" t="s">
        <v>1001</v>
      </c>
      <c r="F864" s="450" t="s">
        <v>1002</v>
      </c>
      <c r="G864" s="532">
        <f>INDEX('Fuel Model -  Input'!$B$3:$N$373,MATCH($B864,'Fuel Model -  Input'!$B$3:$B$373,0),MATCH(G$2,'Fuel Model -  Input'!$B$3:$N$3,0))</f>
        <v>3400</v>
      </c>
      <c r="H864" s="532">
        <f>INDEX('Fuel Model -  Input'!$B$3:$N$373,MATCH($B864,'Fuel Model -  Input'!$B$3:$B$373,0),MATCH(H$2,'Fuel Model -  Input'!$B$3:$N$3,0))</f>
        <v>2700</v>
      </c>
      <c r="I864" s="532">
        <f>INDEX('Fuel Model -  Input'!$B$3:$N$373,MATCH($B864,'Fuel Model -  Input'!$B$3:$B$373,0),MATCH(I$2,'Fuel Model -  Input'!$B$3:$N$3,0))</f>
        <v>2000</v>
      </c>
      <c r="J864" s="532">
        <f>INDEX('Fuel Model -  Input'!$B$3:$N$373,MATCH($B864,'Fuel Model -  Input'!$B$3:$B$373,0),MATCH(J$2,'Fuel Model -  Input'!$B$3:$N$3,0))</f>
        <v>1775</v>
      </c>
      <c r="K864" s="532">
        <f>INDEX('Fuel Model -  Input'!$B$3:$N$373,MATCH($B864,'Fuel Model -  Input'!$B$3:$B$373,0),MATCH(K$2,'Fuel Model -  Input'!$B$3:$N$3,0))</f>
        <v>1550</v>
      </c>
      <c r="L864" s="532">
        <f>INDEX('Fuel Model -  Input'!$B$3:$N$373,MATCH($B864,'Fuel Model -  Input'!$B$3:$B$373,0),MATCH(L$2,'Fuel Model -  Input'!$B$3:$N$3,0))</f>
        <v>1250</v>
      </c>
      <c r="M864" s="532">
        <f>INDEX('Fuel Model -  Input'!$B$3:$N$373,MATCH($B864,'Fuel Model -  Input'!$B$3:$B$373,0),MATCH(M$2,'Fuel Model -  Input'!$B$3:$N$3,0))</f>
        <v>950</v>
      </c>
    </row>
    <row r="865" spans="2:13" hidden="1" outlineLevel="2" x14ac:dyDescent="0.2">
      <c r="B865" s="157"/>
      <c r="C865" s="157"/>
      <c r="D865" s="157"/>
      <c r="E865" s="157"/>
      <c r="G865" s="532"/>
      <c r="H865" s="532"/>
      <c r="I865" s="532"/>
      <c r="J865" s="532"/>
      <c r="K865" s="532"/>
      <c r="L865" s="532"/>
      <c r="M865" s="532"/>
    </row>
    <row r="866" spans="2:13" hidden="1" outlineLevel="2" x14ac:dyDescent="0.2">
      <c r="B866" s="157" t="str">
        <f>+C866&amp;D866&amp;E866&amp;F866</f>
        <v>AsiaOpexOpexUSD/ton MeOH</v>
      </c>
      <c r="C866" s="157" t="str">
        <f>+$B$850</f>
        <v>Asia</v>
      </c>
      <c r="D866" s="157" t="s">
        <v>219</v>
      </c>
      <c r="E866" s="498" t="s">
        <v>219</v>
      </c>
      <c r="F866" s="450" t="s">
        <v>1003</v>
      </c>
      <c r="G866" s="8">
        <f t="shared" ref="G866:M866" si="496">G864*G867</f>
        <v>136</v>
      </c>
      <c r="H866" s="8">
        <f t="shared" si="496"/>
        <v>108</v>
      </c>
      <c r="I866" s="8">
        <f t="shared" si="496"/>
        <v>80</v>
      </c>
      <c r="J866" s="8">
        <f t="shared" si="496"/>
        <v>71</v>
      </c>
      <c r="K866" s="8">
        <f t="shared" si="496"/>
        <v>62</v>
      </c>
      <c r="L866" s="8">
        <f t="shared" si="496"/>
        <v>50</v>
      </c>
      <c r="M866" s="8">
        <f t="shared" si="496"/>
        <v>38</v>
      </c>
    </row>
    <row r="867" spans="2:13" hidden="1" outlineLevel="2" x14ac:dyDescent="0.2">
      <c r="B867" s="157" t="str">
        <f>+C867&amp;D867&amp;E867&amp;F867</f>
        <v>GlobalOpexPlant - Methanol synthesis - opexPercent of Capex</v>
      </c>
      <c r="C867" s="157" t="s">
        <v>109</v>
      </c>
      <c r="D867" s="157" t="s">
        <v>219</v>
      </c>
      <c r="E867" s="498" t="s">
        <v>1004</v>
      </c>
      <c r="F867" s="450" t="s">
        <v>883</v>
      </c>
      <c r="G867" s="8">
        <f>INDEX('Fuel Model -  Input'!$B$3:$N$373,MATCH($B867,'Fuel Model -  Input'!$B$3:$B$373,0),MATCH(G$2,'Fuel Model -  Input'!$B$3:$N$3,0))</f>
        <v>0.04</v>
      </c>
      <c r="H867" s="8">
        <f>INDEX('Fuel Model -  Input'!$B$3:$N$373,MATCH($B867,'Fuel Model -  Input'!$B$3:$B$373,0),MATCH(H$2,'Fuel Model -  Input'!$B$3:$N$3,0))</f>
        <v>0.04</v>
      </c>
      <c r="I867" s="8">
        <f>INDEX('Fuel Model -  Input'!$B$3:$N$373,MATCH($B867,'Fuel Model -  Input'!$B$3:$B$373,0),MATCH(I$2,'Fuel Model -  Input'!$B$3:$N$3,0))</f>
        <v>0.04</v>
      </c>
      <c r="J867" s="8">
        <f>INDEX('Fuel Model -  Input'!$B$3:$N$373,MATCH($B867,'Fuel Model -  Input'!$B$3:$B$373,0),MATCH(J$2,'Fuel Model -  Input'!$B$3:$N$3,0))</f>
        <v>0.04</v>
      </c>
      <c r="K867" s="8">
        <f>INDEX('Fuel Model -  Input'!$B$3:$N$373,MATCH($B867,'Fuel Model -  Input'!$B$3:$B$373,0),MATCH(K$2,'Fuel Model -  Input'!$B$3:$N$3,0))</f>
        <v>0.04</v>
      </c>
      <c r="L867" s="8">
        <f>INDEX('Fuel Model -  Input'!$B$3:$N$373,MATCH($B867,'Fuel Model -  Input'!$B$3:$B$373,0),MATCH(L$2,'Fuel Model -  Input'!$B$3:$N$3,0))</f>
        <v>0.04</v>
      </c>
      <c r="M867" s="8">
        <f>INDEX('Fuel Model -  Input'!$B$3:$N$373,MATCH($B867,'Fuel Model -  Input'!$B$3:$B$373,0),MATCH(M$2,'Fuel Model -  Input'!$B$3:$N$3,0))</f>
        <v>0.04</v>
      </c>
    </row>
    <row r="868" spans="2:13" hidden="1" outlineLevel="2" x14ac:dyDescent="0.2">
      <c r="B868" s="157"/>
      <c r="C868" s="157"/>
      <c r="D868" s="157"/>
      <c r="E868" s="498"/>
      <c r="G868" s="531"/>
      <c r="H868" s="531"/>
      <c r="I868" s="531"/>
      <c r="J868" s="531"/>
      <c r="K868" s="531"/>
      <c r="L868" s="531"/>
      <c r="M868" s="531"/>
    </row>
    <row r="869" spans="2:13" hidden="1" outlineLevel="2" x14ac:dyDescent="0.2">
      <c r="B869" s="157" t="str">
        <f>+C869&amp;D869&amp;E869&amp;F869</f>
        <v>AsiaMethanol SynthesisElectricity costUSD/ton MeOH</v>
      </c>
      <c r="C869" s="157" t="str">
        <f>+$B$850</f>
        <v>Asia</v>
      </c>
      <c r="D869" s="157" t="s">
        <v>1005</v>
      </c>
      <c r="E869" s="498" t="s">
        <v>94</v>
      </c>
      <c r="F869" s="450" t="s">
        <v>1003</v>
      </c>
      <c r="G869" s="8">
        <f t="shared" ref="G869:M869" si="497">G870*G871</f>
        <v>139.50486645283428</v>
      </c>
      <c r="H869" s="8">
        <f t="shared" si="497"/>
        <v>90.997962752570203</v>
      </c>
      <c r="I869" s="8">
        <f t="shared" si="497"/>
        <v>73.598939180616782</v>
      </c>
      <c r="J869" s="8">
        <f t="shared" si="497"/>
        <v>61.773011841180363</v>
      </c>
      <c r="K869" s="8">
        <f t="shared" si="497"/>
        <v>55.760423865948702</v>
      </c>
      <c r="L869" s="8">
        <f t="shared" si="497"/>
        <v>49.466879036034285</v>
      </c>
      <c r="M869" s="8">
        <f t="shared" si="497"/>
        <v>46.580742796284746</v>
      </c>
    </row>
    <row r="870" spans="2:13" hidden="1" outlineLevel="2" x14ac:dyDescent="0.2">
      <c r="B870" s="460" t="str">
        <f>+C870&amp;D870&amp;E870&amp;F870</f>
        <v>AsiaFeedstockElectricityUSD/MWh</v>
      </c>
      <c r="C870" s="157" t="str">
        <f>+$B$850</f>
        <v>Asia</v>
      </c>
      <c r="D870" s="157" t="s">
        <v>777</v>
      </c>
      <c r="E870" s="498" t="s">
        <v>54</v>
      </c>
      <c r="F870" s="450" t="s">
        <v>196</v>
      </c>
      <c r="G870" s="260">
        <f>INDEX('Fuel Model -  Input'!$B$3:$N$373,MATCH($B870,'Fuel Model -  Input'!$B$3:$B$373,0),MATCH(G$2,'Fuel Model -  Input'!$B$3:$N$3,0))</f>
        <v>82.061686148726054</v>
      </c>
      <c r="H870" s="260">
        <f>INDEX('Fuel Model -  Input'!$B$3:$N$373,MATCH($B870,'Fuel Model -  Input'!$B$3:$B$373,0),MATCH(H$2,'Fuel Model -  Input'!$B$3:$N$3,0))</f>
        <v>53.528213383864831</v>
      </c>
      <c r="I870" s="260">
        <f>INDEX('Fuel Model -  Input'!$B$3:$N$373,MATCH($B870,'Fuel Model -  Input'!$B$3:$B$373,0),MATCH(I$2,'Fuel Model -  Input'!$B$3:$N$3,0))</f>
        <v>43.29349363565693</v>
      </c>
      <c r="J870" s="260">
        <f>INDEX('Fuel Model -  Input'!$B$3:$N$373,MATCH($B870,'Fuel Model -  Input'!$B$3:$B$373,0),MATCH(J$2,'Fuel Model -  Input'!$B$3:$N$3,0))</f>
        <v>36.337065788929628</v>
      </c>
      <c r="K870" s="260">
        <f>INDEX('Fuel Model -  Input'!$B$3:$N$373,MATCH($B870,'Fuel Model -  Input'!$B$3:$B$373,0),MATCH(K$2,'Fuel Model -  Input'!$B$3:$N$3,0))</f>
        <v>32.800249332911001</v>
      </c>
      <c r="L870" s="260">
        <f>INDEX('Fuel Model -  Input'!$B$3:$N$373,MATCH($B870,'Fuel Model -  Input'!$B$3:$B$373,0),MATCH(L$2,'Fuel Model -  Input'!$B$3:$N$3,0))</f>
        <v>29.0981641388437</v>
      </c>
      <c r="M870" s="260">
        <f>INDEX('Fuel Model -  Input'!$B$3:$N$373,MATCH($B870,'Fuel Model -  Input'!$B$3:$B$373,0),MATCH(M$2,'Fuel Model -  Input'!$B$3:$N$3,0))</f>
        <v>27.400436938991028</v>
      </c>
    </row>
    <row r="871" spans="2:13" hidden="1" outlineLevel="2" x14ac:dyDescent="0.2">
      <c r="B871" s="460" t="str">
        <f>+C871&amp;D871&amp;E871&amp;F871</f>
        <v>GlobalMethanol SynthesisElectricity demandmWh/ton MeOH</v>
      </c>
      <c r="C871" s="157" t="s">
        <v>109</v>
      </c>
      <c r="D871" s="157" t="s">
        <v>1005</v>
      </c>
      <c r="E871" s="498" t="s">
        <v>963</v>
      </c>
      <c r="F871" s="450" t="s">
        <v>1006</v>
      </c>
      <c r="G871" s="532">
        <f>INDEX('Fuel Model -  Input'!$B$3:$N$373,MATCH($B871,'Fuel Model -  Input'!$B$3:$B$373,0),MATCH(G$2,'Fuel Model -  Input'!$B$3:$N$3,0))</f>
        <v>1.7</v>
      </c>
      <c r="H871" s="532">
        <f>INDEX('Fuel Model -  Input'!$B$3:$N$373,MATCH($B871,'Fuel Model -  Input'!$B$3:$B$373,0),MATCH(H$2,'Fuel Model -  Input'!$B$3:$N$3,0))</f>
        <v>1.7</v>
      </c>
      <c r="I871" s="532">
        <f>INDEX('Fuel Model -  Input'!$B$3:$N$373,MATCH($B871,'Fuel Model -  Input'!$B$3:$B$373,0),MATCH(I$2,'Fuel Model -  Input'!$B$3:$N$3,0))</f>
        <v>1.7</v>
      </c>
      <c r="J871" s="532">
        <f>INDEX('Fuel Model -  Input'!$B$3:$N$373,MATCH($B871,'Fuel Model -  Input'!$B$3:$B$373,0),MATCH(J$2,'Fuel Model -  Input'!$B$3:$N$3,0))</f>
        <v>1.7</v>
      </c>
      <c r="K871" s="532">
        <f>INDEX('Fuel Model -  Input'!$B$3:$N$373,MATCH($B871,'Fuel Model -  Input'!$B$3:$B$373,0),MATCH(K$2,'Fuel Model -  Input'!$B$3:$N$3,0))</f>
        <v>1.7</v>
      </c>
      <c r="L871" s="532">
        <f>INDEX('Fuel Model -  Input'!$B$3:$N$373,MATCH($B871,'Fuel Model -  Input'!$B$3:$B$373,0),MATCH(L$2,'Fuel Model -  Input'!$B$3:$N$3,0))</f>
        <v>1.7</v>
      </c>
      <c r="M871" s="532">
        <f>INDEX('Fuel Model -  Input'!$B$3:$N$373,MATCH($B871,'Fuel Model -  Input'!$B$3:$B$373,0),MATCH(M$2,'Fuel Model -  Input'!$B$3:$N$3,0))</f>
        <v>1.7</v>
      </c>
    </row>
    <row r="872" spans="2:13" hidden="1" outlineLevel="2" x14ac:dyDescent="0.2">
      <c r="B872" s="460"/>
      <c r="C872" s="157"/>
      <c r="D872" s="157"/>
      <c r="E872" s="498"/>
      <c r="G872" s="521"/>
      <c r="H872" s="521"/>
      <c r="I872" s="521"/>
      <c r="J872" s="521"/>
      <c r="K872" s="521"/>
      <c r="L872" s="521"/>
      <c r="M872" s="521"/>
    </row>
    <row r="873" spans="2:13" hidden="1" outlineLevel="2" x14ac:dyDescent="0.2">
      <c r="B873" t="str">
        <f>+C873&amp;D873&amp;E873&amp;F873</f>
        <v>AsiaFeedstockFeedstock CO2USD/ton MeOH</v>
      </c>
      <c r="C873" s="157" t="str">
        <f>+$B$850</f>
        <v>Asia</v>
      </c>
      <c r="D873" t="s">
        <v>777</v>
      </c>
      <c r="E873" s="48" t="s">
        <v>1007</v>
      </c>
      <c r="F873" s="128" t="s">
        <v>1003</v>
      </c>
      <c r="G873" s="524">
        <f t="shared" ref="G873:M873" si="498">G874*G875</f>
        <v>534.95312479678273</v>
      </c>
      <c r="H873" s="524">
        <f t="shared" si="498"/>
        <v>369.02160801541032</v>
      </c>
      <c r="I873" s="524">
        <f t="shared" si="498"/>
        <v>290.85728027244699</v>
      </c>
      <c r="J873" s="524">
        <f t="shared" si="498"/>
        <v>234.43065365475599</v>
      </c>
      <c r="K873" s="524">
        <f t="shared" si="498"/>
        <v>196.54748744098973</v>
      </c>
      <c r="L873" s="524">
        <f t="shared" si="498"/>
        <v>163.465508253596</v>
      </c>
      <c r="M873" s="524">
        <f t="shared" si="498"/>
        <v>140.28233129548687</v>
      </c>
    </row>
    <row r="874" spans="2:13" hidden="1" outlineLevel="2" x14ac:dyDescent="0.2">
      <c r="B874" s="78" t="str">
        <f>+C874&amp;D874&amp;E874&amp;F874</f>
        <v>GlobalFeedstockConversion CO2 : MeOH (actual)kg CO2/kg MeOH</v>
      </c>
      <c r="C874" s="157" t="s">
        <v>109</v>
      </c>
      <c r="D874" t="s">
        <v>777</v>
      </c>
      <c r="E874" s="48" t="s">
        <v>1008</v>
      </c>
      <c r="F874" s="128" t="s">
        <v>1009</v>
      </c>
      <c r="G874" s="8">
        <f>INDEX('Fuel Model -  Input'!$B$3:$N$373,MATCH($B874,'Fuel Model -  Input'!$B$3:$B$373,0),MATCH(G$2,'Fuel Model -  Input'!$B$3:$N$3,0))</f>
        <v>1.3735097684289368</v>
      </c>
      <c r="H874" s="8">
        <f>INDEX('Fuel Model -  Input'!$B$3:$N$373,MATCH($B874,'Fuel Model -  Input'!$B$3:$B$373,0),MATCH(H$2,'Fuel Model -  Input'!$B$3:$N$3,0))</f>
        <v>1.3735097684289368</v>
      </c>
      <c r="I874" s="8">
        <f>INDEX('Fuel Model -  Input'!$B$3:$N$373,MATCH($B874,'Fuel Model -  Input'!$B$3:$B$373,0),MATCH(I$2,'Fuel Model -  Input'!$B$3:$N$3,0))</f>
        <v>1.3735097684289368</v>
      </c>
      <c r="J874" s="8">
        <f>INDEX('Fuel Model -  Input'!$B$3:$N$373,MATCH($B874,'Fuel Model -  Input'!$B$3:$B$373,0),MATCH(J$2,'Fuel Model -  Input'!$B$3:$N$3,0))</f>
        <v>1.3735097684289368</v>
      </c>
      <c r="K874" s="8">
        <f>INDEX('Fuel Model -  Input'!$B$3:$N$373,MATCH($B874,'Fuel Model -  Input'!$B$3:$B$373,0),MATCH(K$2,'Fuel Model -  Input'!$B$3:$N$3,0))</f>
        <v>1.3735097684289368</v>
      </c>
      <c r="L874" s="8">
        <f>INDEX('Fuel Model -  Input'!$B$3:$N$373,MATCH($B874,'Fuel Model -  Input'!$B$3:$B$373,0),MATCH(L$2,'Fuel Model -  Input'!$B$3:$N$3,0))</f>
        <v>1.3735097684289368</v>
      </c>
      <c r="M874" s="8">
        <f>INDEX('Fuel Model -  Input'!$B$3:$N$373,MATCH($B874,'Fuel Model -  Input'!$B$3:$B$373,0),MATCH(M$2,'Fuel Model -  Input'!$B$3:$N$3,0))</f>
        <v>1.3735097684289368</v>
      </c>
    </row>
    <row r="875" spans="2:13" hidden="1" outlineLevel="2" x14ac:dyDescent="0.2">
      <c r="B875" s="78" t="str">
        <f>+C875&amp;D875&amp;E875&amp;F875</f>
        <v>AsiaFeedstockCost of CO2 DACUSD/ton</v>
      </c>
      <c r="C875" s="157" t="str">
        <f>+$B$850</f>
        <v>Asia</v>
      </c>
      <c r="D875" t="s">
        <v>777</v>
      </c>
      <c r="E875" t="s">
        <v>1010</v>
      </c>
      <c r="F875" s="128" t="s">
        <v>205</v>
      </c>
      <c r="G875" s="532">
        <f t="shared" ref="G875:M875" si="499">INDEX(G$1564:G$1568,MATCH($C875,$C$1564:$C$1568,0))</f>
        <v>389.47893716742817</v>
      </c>
      <c r="H875" s="532">
        <f t="shared" si="499"/>
        <v>268.67053769665483</v>
      </c>
      <c r="I875" s="532">
        <f t="shared" si="499"/>
        <v>211.76207622108038</v>
      </c>
      <c r="J875" s="532">
        <f t="shared" si="499"/>
        <v>170.68000464452834</v>
      </c>
      <c r="K875" s="532">
        <f t="shared" si="499"/>
        <v>143.09871830457155</v>
      </c>
      <c r="L875" s="532">
        <f t="shared" si="499"/>
        <v>119.01299285302713</v>
      </c>
      <c r="M875" s="532">
        <f t="shared" si="499"/>
        <v>102.1342072113154</v>
      </c>
    </row>
    <row r="876" spans="2:13" hidden="1" outlineLevel="2" x14ac:dyDescent="0.2">
      <c r="B876" s="78"/>
      <c r="C876" s="157"/>
      <c r="F876" s="128"/>
      <c r="G876" s="521"/>
      <c r="H876" s="521"/>
      <c r="I876" s="521"/>
      <c r="J876" s="521"/>
      <c r="K876" s="521"/>
      <c r="L876" s="521"/>
      <c r="M876" s="521"/>
    </row>
    <row r="877" spans="2:13" hidden="1" outlineLevel="2" x14ac:dyDescent="0.2">
      <c r="B877" s="157" t="str">
        <f>+C877&amp;D877&amp;E877&amp;F877</f>
        <v>AsiaFeedstockFeedstock CO2USD/ton MeOH</v>
      </c>
      <c r="C877" s="157" t="str">
        <f>+$B$850</f>
        <v>Asia</v>
      </c>
      <c r="D877" s="157" t="s">
        <v>777</v>
      </c>
      <c r="E877" s="498" t="s">
        <v>1007</v>
      </c>
      <c r="F877" s="450" t="s">
        <v>1003</v>
      </c>
      <c r="G877" s="524">
        <f t="shared" ref="G877:M877" si="500">G878*G879</f>
        <v>269.22314972013123</v>
      </c>
      <c r="H877" s="524">
        <f t="shared" si="500"/>
        <v>213.58676118721525</v>
      </c>
      <c r="I877" s="524">
        <f t="shared" si="500"/>
        <v>169.26045486259807</v>
      </c>
      <c r="J877" s="524">
        <f t="shared" si="500"/>
        <v>150.23566083318323</v>
      </c>
      <c r="K877" s="524">
        <f t="shared" si="500"/>
        <v>133.32445814598449</v>
      </c>
      <c r="L877" s="524">
        <f t="shared" si="500"/>
        <v>116.31110625702919</v>
      </c>
      <c r="M877" s="524">
        <f t="shared" si="500"/>
        <v>100.536606746091</v>
      </c>
    </row>
    <row r="878" spans="2:13" hidden="1" outlineLevel="2" x14ac:dyDescent="0.2">
      <c r="B878" s="460" t="str">
        <f>+C878&amp;D878&amp;E878&amp;F878</f>
        <v>GlobalFeedstockConversion CO2 : MeOH (actual)kg CO2/kg MeOH</v>
      </c>
      <c r="C878" s="157" t="s">
        <v>109</v>
      </c>
      <c r="D878" s="157" t="s">
        <v>777</v>
      </c>
      <c r="E878" s="498" t="s">
        <v>1008</v>
      </c>
      <c r="F878" s="450" t="s">
        <v>1009</v>
      </c>
      <c r="G878" s="8">
        <f>INDEX('Fuel Model -  Input'!$B$3:$N$373,MATCH($B878,'Fuel Model -  Input'!$B$3:$B$373,0),MATCH(G$2,'Fuel Model -  Input'!$B$3:$N$3,0))</f>
        <v>1.3735097684289368</v>
      </c>
      <c r="H878" s="8">
        <f>INDEX('Fuel Model -  Input'!$B$3:$N$373,MATCH($B878,'Fuel Model -  Input'!$B$3:$B$373,0),MATCH(H$2,'Fuel Model -  Input'!$B$3:$N$3,0))</f>
        <v>1.3735097684289368</v>
      </c>
      <c r="I878" s="8">
        <f>INDEX('Fuel Model -  Input'!$B$3:$N$373,MATCH($B878,'Fuel Model -  Input'!$B$3:$B$373,0),MATCH(I$2,'Fuel Model -  Input'!$B$3:$N$3,0))</f>
        <v>1.3735097684289368</v>
      </c>
      <c r="J878" s="8">
        <f>INDEX('Fuel Model -  Input'!$B$3:$N$373,MATCH($B878,'Fuel Model -  Input'!$B$3:$B$373,0),MATCH(J$2,'Fuel Model -  Input'!$B$3:$N$3,0))</f>
        <v>1.3735097684289368</v>
      </c>
      <c r="K878" s="8">
        <f>INDEX('Fuel Model -  Input'!$B$3:$N$373,MATCH($B878,'Fuel Model -  Input'!$B$3:$B$373,0),MATCH(K$2,'Fuel Model -  Input'!$B$3:$N$3,0))</f>
        <v>1.3735097684289368</v>
      </c>
      <c r="L878" s="8">
        <f>INDEX('Fuel Model -  Input'!$B$3:$N$373,MATCH($B878,'Fuel Model -  Input'!$B$3:$B$373,0),MATCH(L$2,'Fuel Model -  Input'!$B$3:$N$3,0))</f>
        <v>1.3735097684289368</v>
      </c>
      <c r="M878" s="8">
        <f>INDEX('Fuel Model -  Input'!$B$3:$N$373,MATCH($B878,'Fuel Model -  Input'!$B$3:$B$373,0),MATCH(M$2,'Fuel Model -  Input'!$B$3:$N$3,0))</f>
        <v>1.3735097684289368</v>
      </c>
    </row>
    <row r="879" spans="2:13" hidden="1" outlineLevel="2" x14ac:dyDescent="0.2">
      <c r="B879" s="460" t="str">
        <f>+C879&amp;D879&amp;E879&amp;F879</f>
        <v>AsiaFeedstockCost of CO2 PSUSD/ton</v>
      </c>
      <c r="C879" s="157" t="str">
        <f>+$B$850</f>
        <v>Asia</v>
      </c>
      <c r="D879" s="157" t="s">
        <v>777</v>
      </c>
      <c r="E879" s="157" t="s">
        <v>1011</v>
      </c>
      <c r="F879" s="450" t="s">
        <v>205</v>
      </c>
      <c r="G879" s="532">
        <f t="shared" ref="G879:M879" si="501">INDEX(G$1538:G$1542,MATCH($B879,$B$1538:$B$1542,0))</f>
        <v>196.0110921002601</v>
      </c>
      <c r="H879" s="532">
        <f t="shared" si="501"/>
        <v>155.50436268940587</v>
      </c>
      <c r="I879" s="532">
        <f t="shared" si="501"/>
        <v>123.23207213604563</v>
      </c>
      <c r="J879" s="532">
        <f t="shared" si="501"/>
        <v>109.38084627168502</v>
      </c>
      <c r="K879" s="532">
        <f t="shared" si="501"/>
        <v>97.06844553314329</v>
      </c>
      <c r="L879" s="532">
        <f t="shared" si="501"/>
        <v>84.68167386247967</v>
      </c>
      <c r="M879" s="532">
        <f t="shared" si="501"/>
        <v>73.196863289212644</v>
      </c>
    </row>
    <row r="880" spans="2:13" hidden="1" outlineLevel="2" x14ac:dyDescent="0.2">
      <c r="B880" s="460"/>
      <c r="C880" s="157"/>
      <c r="D880" s="157"/>
      <c r="E880" s="157"/>
      <c r="G880" s="521"/>
      <c r="H880" s="521"/>
      <c r="I880" s="521"/>
      <c r="J880" s="521"/>
      <c r="K880" s="521"/>
      <c r="L880" s="521"/>
      <c r="M880" s="521"/>
    </row>
    <row r="881" spans="2:13" hidden="1" outlineLevel="2" x14ac:dyDescent="0.2">
      <c r="B881" s="157" t="str">
        <f>+C881&amp;D881&amp;E881&amp;F881</f>
        <v>AsiaFeedstockFeedstock H2USD/ton MeOH</v>
      </c>
      <c r="C881" s="157" t="str">
        <f>+$B$850</f>
        <v>Asia</v>
      </c>
      <c r="D881" s="157" t="s">
        <v>777</v>
      </c>
      <c r="E881" s="157" t="s">
        <v>970</v>
      </c>
      <c r="F881" s="450" t="s">
        <v>1003</v>
      </c>
      <c r="G881" s="520">
        <f t="shared" ref="G881:M881" si="502">G884*G885</f>
        <v>1180.775841581813</v>
      </c>
      <c r="H881" s="520">
        <f t="shared" si="502"/>
        <v>829.61048044197094</v>
      </c>
      <c r="I881" s="520">
        <f t="shared" si="502"/>
        <v>675.05859890724048</v>
      </c>
      <c r="J881" s="520">
        <f t="shared" si="502"/>
        <v>587.16680113947814</v>
      </c>
      <c r="K881" s="520">
        <f t="shared" si="502"/>
        <v>503.73022164324703</v>
      </c>
      <c r="L881" s="520">
        <f t="shared" si="502"/>
        <v>401.58679678110434</v>
      </c>
      <c r="M881" s="520">
        <f t="shared" si="502"/>
        <v>318.48378380165349</v>
      </c>
    </row>
    <row r="882" spans="2:13" hidden="1" outlineLevel="2" x14ac:dyDescent="0.2">
      <c r="B882" s="460" t="str">
        <f>+C882&amp;D882&amp;E882&amp;F882</f>
        <v>AsiaResultsShare of RNE e-Hydrogen (compressed)%</v>
      </c>
      <c r="C882" s="157" t="str">
        <f>+$B$850</f>
        <v>Asia</v>
      </c>
      <c r="D882" s="157" t="s">
        <v>838</v>
      </c>
      <c r="E882" s="48" t="s">
        <v>848</v>
      </c>
      <c r="F882" s="450" t="s">
        <v>178</v>
      </c>
      <c r="G882" s="537">
        <f t="shared" ref="G882:M882" si="503">+INDEX($A:$M,MATCH($B882,$B:$B,0),MATCH(G$2,$2:$2,0))</f>
        <v>0.71171470575112383</v>
      </c>
      <c r="H882" s="537">
        <f t="shared" si="503"/>
        <v>0.65764942468259024</v>
      </c>
      <c r="I882" s="537">
        <f t="shared" si="503"/>
        <v>0.64500466105666143</v>
      </c>
      <c r="J882" s="537">
        <f t="shared" si="503"/>
        <v>0.6001588645512016</v>
      </c>
      <c r="K882" s="537">
        <f t="shared" si="503"/>
        <v>0.60337213548423452</v>
      </c>
      <c r="L882" s="537">
        <f t="shared" si="503"/>
        <v>0.62978181131314648</v>
      </c>
      <c r="M882" s="537">
        <f t="shared" si="503"/>
        <v>0.70883732578080483</v>
      </c>
    </row>
    <row r="883" spans="2:13" hidden="1" outlineLevel="2" x14ac:dyDescent="0.2">
      <c r="B883" t="str">
        <f>+C883&amp;D883&amp;E883&amp;F883</f>
        <v>AsiaResultsShare of Capex e-Hydrogen (compressed)%</v>
      </c>
      <c r="C883" s="157" t="str">
        <f>+$B$850</f>
        <v>Asia</v>
      </c>
      <c r="D883" t="s">
        <v>838</v>
      </c>
      <c r="E883" s="48" t="s">
        <v>850</v>
      </c>
      <c r="F883" s="128" t="s">
        <v>178</v>
      </c>
      <c r="G883" s="537">
        <f t="shared" ref="G883:M883" si="504">+INDEX(G$4:G$581,MATCH($B883,$B$4:$B$581,0))</f>
        <v>0.13340872772517207</v>
      </c>
      <c r="H883" s="537">
        <f t="shared" si="504"/>
        <v>0.15913088980078732</v>
      </c>
      <c r="I883" s="537">
        <f t="shared" si="504"/>
        <v>0.17114118442928317</v>
      </c>
      <c r="J883" s="537">
        <f t="shared" si="504"/>
        <v>0.20721797795257735</v>
      </c>
      <c r="K883" s="537">
        <f t="shared" si="504"/>
        <v>0.22225612893609092</v>
      </c>
      <c r="L883" s="537">
        <f t="shared" si="504"/>
        <v>0.22267131994730532</v>
      </c>
      <c r="M883" s="537">
        <f t="shared" si="504"/>
        <v>0.18393425379416975</v>
      </c>
    </row>
    <row r="884" spans="2:13" hidden="1" outlineLevel="2" x14ac:dyDescent="0.2">
      <c r="B884" t="str">
        <f>+C884&amp;D884&amp;E884&amp;F884</f>
        <v>GlobalFeedstockConversion H2 : MeOH (actual)tons H2/ton MeOH</v>
      </c>
      <c r="C884" s="157" t="s">
        <v>109</v>
      </c>
      <c r="D884" t="s">
        <v>777</v>
      </c>
      <c r="E884" s="157" t="s">
        <v>1012</v>
      </c>
      <c r="F884" s="128" t="s">
        <v>1013</v>
      </c>
      <c r="G884" s="538">
        <f>INDEX('Fuel Model -  Input'!$B$3:$N$373,MATCH($B884,'Fuel Model -  Input'!$B$3:$B$373,0),MATCH(G$2,'Fuel Model -  Input'!$B$3:$N$3,0))</f>
        <v>0.18875226265526496</v>
      </c>
      <c r="H884" s="538">
        <f>INDEX('Fuel Model -  Input'!$B$3:$N$373,MATCH($B884,'Fuel Model -  Input'!$B$3:$B$373,0),MATCH(H$2,'Fuel Model -  Input'!$B$3:$N$3,0))</f>
        <v>0.18875226265526496</v>
      </c>
      <c r="I884" s="538">
        <f>INDEX('Fuel Model -  Input'!$B$3:$N$373,MATCH($B884,'Fuel Model -  Input'!$B$3:$B$373,0),MATCH(I$2,'Fuel Model -  Input'!$B$3:$N$3,0))</f>
        <v>0.18875226265526496</v>
      </c>
      <c r="J884" s="538">
        <f>INDEX('Fuel Model -  Input'!$B$3:$N$373,MATCH($B884,'Fuel Model -  Input'!$B$3:$B$373,0),MATCH(J$2,'Fuel Model -  Input'!$B$3:$N$3,0))</f>
        <v>0.18875226265526496</v>
      </c>
      <c r="K884" s="538">
        <f>INDEX('Fuel Model -  Input'!$B$3:$N$373,MATCH($B884,'Fuel Model -  Input'!$B$3:$B$373,0),MATCH(K$2,'Fuel Model -  Input'!$B$3:$N$3,0))</f>
        <v>0.18875226265526496</v>
      </c>
      <c r="L884" s="538">
        <f>INDEX('Fuel Model -  Input'!$B$3:$N$373,MATCH($B884,'Fuel Model -  Input'!$B$3:$B$373,0),MATCH(L$2,'Fuel Model -  Input'!$B$3:$N$3,0))</f>
        <v>0.18875226265526496</v>
      </c>
      <c r="M884" s="538">
        <f>INDEX('Fuel Model -  Input'!$B$3:$N$373,MATCH($B884,'Fuel Model -  Input'!$B$3:$B$373,0),MATCH(M$2,'Fuel Model -  Input'!$B$3:$N$3,0))</f>
        <v>0.18875226265526496</v>
      </c>
    </row>
    <row r="885" spans="2:13" hidden="1" outlineLevel="2" x14ac:dyDescent="0.2">
      <c r="B885" s="460" t="str">
        <f>+C885&amp;D885&amp;E885&amp;F885</f>
        <v>AsiaResultsCost of e-Hydrogen (compressed)USD/ton</v>
      </c>
      <c r="C885" s="157" t="str">
        <f>+$B$850</f>
        <v>Asia</v>
      </c>
      <c r="D885" s="157" t="s">
        <v>838</v>
      </c>
      <c r="E885" t="s">
        <v>846</v>
      </c>
      <c r="F885" s="450" t="s">
        <v>205</v>
      </c>
      <c r="G885" s="532">
        <f>INDEX(G$4:G884,MATCH($B885,$B$4:$B884,0))</f>
        <v>6255.6910575338052</v>
      </c>
      <c r="H885" s="532">
        <f>INDEX(H$4:H884,MATCH($B885,$B$4:$B884,0))</f>
        <v>4395.2346253838678</v>
      </c>
      <c r="I885" s="532">
        <f>INDEX(I$4:I884,MATCH($B885,$B$4:$B884,0))</f>
        <v>3576.426525493684</v>
      </c>
      <c r="J885" s="532">
        <f>INDEX(J$4:J884,MATCH($B885,$B$4:$B884,0))</f>
        <v>3110.7801987617659</v>
      </c>
      <c r="K885" s="532">
        <f>INDEX(K$4:K884,MATCH($B885,$B$4:$B884,0))</f>
        <v>2668.7373944928772</v>
      </c>
      <c r="L885" s="532">
        <f>INDEX(L$4:L884,MATCH($B885,$B$4:$B884,0))</f>
        <v>2127.5866637665586</v>
      </c>
      <c r="M885" s="532">
        <f>INDEX(M$4:M884,MATCH($B885,$B$4:$B884,0))</f>
        <v>1687.3110781370008</v>
      </c>
    </row>
    <row r="886" spans="2:13" hidden="1" outlineLevel="1" x14ac:dyDescent="0.2">
      <c r="B886" s="460"/>
      <c r="C886" s="157"/>
      <c r="F886" s="128"/>
      <c r="G886" s="532"/>
      <c r="H886" s="532"/>
      <c r="I886" s="532"/>
      <c r="J886" s="532"/>
      <c r="K886" s="532"/>
      <c r="L886" s="532"/>
      <c r="M886" s="532"/>
    </row>
    <row r="887" spans="2:13" ht="15" hidden="1" outlineLevel="1" collapsed="1" x14ac:dyDescent="0.25">
      <c r="B887" s="515" t="s">
        <v>199</v>
      </c>
      <c r="C887" s="515" t="str">
        <f>+B887</f>
        <v>Americas</v>
      </c>
      <c r="D887" s="515"/>
      <c r="E887" s="515"/>
      <c r="F887" s="515"/>
      <c r="G887" s="30"/>
      <c r="H887" s="30"/>
      <c r="I887" s="30"/>
      <c r="J887" s="30"/>
      <c r="K887" s="30"/>
      <c r="L887" s="30"/>
      <c r="M887" s="30"/>
    </row>
    <row r="888" spans="2:13" ht="15" hidden="1" outlineLevel="2" x14ac:dyDescent="0.25">
      <c r="B888" s="157" t="str">
        <f t="shared" ref="B888:B893" si="505">+C888&amp;D888&amp;E888&amp;F888</f>
        <v>AmericasResultsTotal cost of e-Methanol (DAC)USD/ton</v>
      </c>
      <c r="C888" s="157" t="str">
        <f t="shared" ref="C888:C897" si="506">$B$887</f>
        <v>Americas</v>
      </c>
      <c r="D888" s="515" t="s">
        <v>838</v>
      </c>
      <c r="E888" s="535" t="s">
        <v>990</v>
      </c>
      <c r="F888" s="489" t="s">
        <v>205</v>
      </c>
      <c r="G888" s="492">
        <f>+G890+G892+G894+G896</f>
        <v>1599.701955074283</v>
      </c>
      <c r="H888" s="492">
        <f t="shared" ref="H888:M888" si="507">+H890+H892+H894+H896</f>
        <v>1347.1640971238955</v>
      </c>
      <c r="I888" s="492">
        <f t="shared" si="507"/>
        <v>1072.8422699490416</v>
      </c>
      <c r="J888" s="492">
        <f t="shared" si="507"/>
        <v>953.52029031405357</v>
      </c>
      <c r="K888" s="492">
        <f t="shared" si="507"/>
        <v>818.81890089539797</v>
      </c>
      <c r="L888" s="492">
        <f t="shared" si="507"/>
        <v>682.21447276102924</v>
      </c>
      <c r="M888" s="492">
        <f t="shared" si="507"/>
        <v>550.900047298392</v>
      </c>
    </row>
    <row r="889" spans="2:13" ht="15" hidden="1" outlineLevel="2" x14ac:dyDescent="0.25">
      <c r="B889" s="157" t="str">
        <f t="shared" si="505"/>
        <v>AmericasResultsTotal cost of e-Methanol (PS)USD/ton</v>
      </c>
      <c r="C889" s="157" t="str">
        <f t="shared" si="506"/>
        <v>Americas</v>
      </c>
      <c r="D889" s="515" t="s">
        <v>838</v>
      </c>
      <c r="E889" s="535" t="s">
        <v>991</v>
      </c>
      <c r="F889" s="489" t="s">
        <v>205</v>
      </c>
      <c r="G889" s="492">
        <f t="shared" ref="G889:M889" si="508">+G891+G893+G895+G897</f>
        <v>1484.6096987775111</v>
      </c>
      <c r="H889" s="492">
        <f t="shared" si="508"/>
        <v>1250.9923476882382</v>
      </c>
      <c r="I889" s="492">
        <f t="shared" si="508"/>
        <v>994.55883167356774</v>
      </c>
      <c r="J889" s="492">
        <f t="shared" si="508"/>
        <v>898.62751796425732</v>
      </c>
      <c r="K889" s="492">
        <f t="shared" si="508"/>
        <v>779.95619055618579</v>
      </c>
      <c r="L889" s="492">
        <f t="shared" si="508"/>
        <v>651.19883698909223</v>
      </c>
      <c r="M889" s="492">
        <f t="shared" si="508"/>
        <v>523.96943838416223</v>
      </c>
    </row>
    <row r="890" spans="2:13" ht="15" hidden="1" outlineLevel="2" x14ac:dyDescent="0.25">
      <c r="B890" s="157" t="str">
        <f t="shared" si="505"/>
        <v>AmericasResultsTotal Capex e-Methanol (DAC)USD/ton</v>
      </c>
      <c r="C890" s="157" t="str">
        <f t="shared" si="506"/>
        <v>Americas</v>
      </c>
      <c r="D890" s="515" t="s">
        <v>838</v>
      </c>
      <c r="E890" s="536" t="s">
        <v>992</v>
      </c>
      <c r="F890" s="489" t="s">
        <v>205</v>
      </c>
      <c r="G890" s="490">
        <f>G899+G918*G920</f>
        <v>457.85913608738241</v>
      </c>
      <c r="H890" s="490">
        <f t="shared" ref="H890:M890" si="509">H899+H918*H920</f>
        <v>370.51665394078952</v>
      </c>
      <c r="I890" s="490">
        <f t="shared" si="509"/>
        <v>292.19699484282427</v>
      </c>
      <c r="J890" s="490">
        <f t="shared" si="509"/>
        <v>278.46318391967247</v>
      </c>
      <c r="K890" s="490">
        <f t="shared" si="509"/>
        <v>248.87379575721388</v>
      </c>
      <c r="L890" s="490">
        <f t="shared" si="509"/>
        <v>199.83852877932543</v>
      </c>
      <c r="M890" s="490">
        <f t="shared" si="509"/>
        <v>142.49674378576751</v>
      </c>
    </row>
    <row r="891" spans="2:13" ht="15" hidden="1" outlineLevel="2" x14ac:dyDescent="0.25">
      <c r="B891" s="157" t="str">
        <f t="shared" si="505"/>
        <v>AmericasResultsTotal Capex e-Methanol (PS)USD/ton</v>
      </c>
      <c r="C891" s="157" t="str">
        <f t="shared" si="506"/>
        <v>Americas</v>
      </c>
      <c r="D891" s="515" t="s">
        <v>838</v>
      </c>
      <c r="E891" s="536" t="s">
        <v>993</v>
      </c>
      <c r="F891" s="489" t="s">
        <v>205</v>
      </c>
      <c r="G891" s="490">
        <f>+G890</f>
        <v>457.85913608738241</v>
      </c>
      <c r="H891" s="490">
        <f t="shared" ref="H891:M891" si="510">+H890</f>
        <v>370.51665394078952</v>
      </c>
      <c r="I891" s="490">
        <f t="shared" si="510"/>
        <v>292.19699484282427</v>
      </c>
      <c r="J891" s="490">
        <f t="shared" si="510"/>
        <v>278.46318391967247</v>
      </c>
      <c r="K891" s="490">
        <f t="shared" si="510"/>
        <v>248.87379575721388</v>
      </c>
      <c r="L891" s="490">
        <f t="shared" si="510"/>
        <v>199.83852877932543</v>
      </c>
      <c r="M891" s="490">
        <f t="shared" si="510"/>
        <v>142.49674378576751</v>
      </c>
    </row>
    <row r="892" spans="2:13" ht="15" hidden="1" outlineLevel="2" x14ac:dyDescent="0.25">
      <c r="B892" s="157" t="str">
        <f t="shared" si="505"/>
        <v>AmericasResultsTotal Opex e-Methanol (DAC)USD/ton</v>
      </c>
      <c r="C892" s="157" t="str">
        <f t="shared" si="506"/>
        <v>Americas</v>
      </c>
      <c r="D892" s="515" t="s">
        <v>838</v>
      </c>
      <c r="E892" s="536" t="s">
        <v>994</v>
      </c>
      <c r="F892" s="489" t="s">
        <v>205</v>
      </c>
      <c r="G892" s="490">
        <f>G903+G918*(1-SUM(G919:G920))</f>
        <v>318.87450817832837</v>
      </c>
      <c r="H892" s="490">
        <f t="shared" ref="H892:M892" si="511">H903+H918*(1-SUM(H919:H920))</f>
        <v>260.00097132787198</v>
      </c>
      <c r="I892" s="490">
        <f t="shared" si="511"/>
        <v>204.11232794953349</v>
      </c>
      <c r="J892" s="490">
        <f t="shared" si="511"/>
        <v>184.10192321244187</v>
      </c>
      <c r="K892" s="490">
        <f t="shared" si="511"/>
        <v>149.83631301186711</v>
      </c>
      <c r="L892" s="490">
        <f t="shared" si="511"/>
        <v>109.25287439219721</v>
      </c>
      <c r="M892" s="490">
        <f t="shared" si="511"/>
        <v>72.15051306803656</v>
      </c>
    </row>
    <row r="893" spans="2:13" ht="15" hidden="1" outlineLevel="2" x14ac:dyDescent="0.25">
      <c r="B893" s="157" t="str">
        <f t="shared" si="505"/>
        <v>AmericasResultsTotal Opex e-Methanol (PS)USD/ton</v>
      </c>
      <c r="C893" s="157" t="str">
        <f t="shared" si="506"/>
        <v>Americas</v>
      </c>
      <c r="D893" s="515" t="s">
        <v>838</v>
      </c>
      <c r="E893" s="536" t="s">
        <v>995</v>
      </c>
      <c r="F893" s="489" t="s">
        <v>205</v>
      </c>
      <c r="G893" s="490">
        <f t="shared" ref="G893:M893" si="512">+G892</f>
        <v>318.87450817832837</v>
      </c>
      <c r="H893" s="490">
        <f t="shared" si="512"/>
        <v>260.00097132787198</v>
      </c>
      <c r="I893" s="490">
        <f t="shared" si="512"/>
        <v>204.11232794953349</v>
      </c>
      <c r="J893" s="490">
        <f t="shared" si="512"/>
        <v>184.10192321244187</v>
      </c>
      <c r="K893" s="490">
        <f t="shared" si="512"/>
        <v>149.83631301186711</v>
      </c>
      <c r="L893" s="490">
        <f t="shared" si="512"/>
        <v>109.25287439219721</v>
      </c>
      <c r="M893" s="490">
        <f t="shared" si="512"/>
        <v>72.15051306803656</v>
      </c>
    </row>
    <row r="894" spans="2:13" ht="15" hidden="1" outlineLevel="2" x14ac:dyDescent="0.25">
      <c r="B894" s="157" t="str">
        <f>+C894&amp;D894&amp;E894&amp;F894</f>
        <v>AmericasResultsTotal RNE e-Methanol (DAC)USD/ton</v>
      </c>
      <c r="C894" s="157" t="str">
        <f t="shared" si="506"/>
        <v>Americas</v>
      </c>
      <c r="D894" s="515" t="s">
        <v>838</v>
      </c>
      <c r="E894" s="536" t="s">
        <v>996</v>
      </c>
      <c r="F894" s="489" t="s">
        <v>205</v>
      </c>
      <c r="G894" s="490">
        <f t="shared" ref="G894:M894" si="513">G906+G918*G919</f>
        <v>465.28920969100091</v>
      </c>
      <c r="H894" s="490">
        <f t="shared" si="513"/>
        <v>418.23621392454953</v>
      </c>
      <c r="I894" s="490">
        <f t="shared" si="513"/>
        <v>337.98030926292438</v>
      </c>
      <c r="J894" s="490">
        <f t="shared" si="513"/>
        <v>292.42829699277434</v>
      </c>
      <c r="K894" s="490">
        <f t="shared" si="513"/>
        <v>253.88536252690761</v>
      </c>
      <c r="L894" s="490">
        <f t="shared" si="513"/>
        <v>230.0956145512128</v>
      </c>
      <c r="M894" s="490">
        <f t="shared" si="513"/>
        <v>212.50609222673467</v>
      </c>
    </row>
    <row r="895" spans="2:13" ht="15" hidden="1" outlineLevel="2" x14ac:dyDescent="0.25">
      <c r="B895" s="157" t="str">
        <f>+C895&amp;D895&amp;E895&amp;F895</f>
        <v>AmericasResultsTotal RNE e-Methanol (PS)USD/ton</v>
      </c>
      <c r="C895" s="157" t="str">
        <f t="shared" si="506"/>
        <v>Americas</v>
      </c>
      <c r="D895" s="515" t="s">
        <v>838</v>
      </c>
      <c r="E895" s="536" t="s">
        <v>997</v>
      </c>
      <c r="F895" s="489" t="s">
        <v>205</v>
      </c>
      <c r="G895" s="490">
        <f>+G894</f>
        <v>465.28920969100091</v>
      </c>
      <c r="H895" s="490">
        <f t="shared" ref="H895:M895" si="514">+H894</f>
        <v>418.23621392454953</v>
      </c>
      <c r="I895" s="490">
        <f t="shared" si="514"/>
        <v>337.98030926292438</v>
      </c>
      <c r="J895" s="490">
        <f t="shared" si="514"/>
        <v>292.42829699277434</v>
      </c>
      <c r="K895" s="490">
        <f t="shared" si="514"/>
        <v>253.88536252690761</v>
      </c>
      <c r="L895" s="490">
        <f t="shared" si="514"/>
        <v>230.0956145512128</v>
      </c>
      <c r="M895" s="490">
        <f t="shared" si="514"/>
        <v>212.50609222673467</v>
      </c>
    </row>
    <row r="896" spans="2:13" ht="15" hidden="1" outlineLevel="2" x14ac:dyDescent="0.25">
      <c r="B896" s="157" t="str">
        <f>+C896&amp;D896&amp;E896&amp;F896</f>
        <v>AmericasResultsTotal CO2 e-Methanol (DAC)USD/ton</v>
      </c>
      <c r="C896" s="157" t="str">
        <f t="shared" si="506"/>
        <v>Americas</v>
      </c>
      <c r="D896" s="515" t="s">
        <v>838</v>
      </c>
      <c r="E896" s="536" t="s">
        <v>998</v>
      </c>
      <c r="F896" s="489" t="s">
        <v>205</v>
      </c>
      <c r="G896" s="490">
        <f>+G910</f>
        <v>357.67910111757112</v>
      </c>
      <c r="H896" s="490">
        <f t="shared" ref="H896:M896" si="515">+H910</f>
        <v>298.41025793068457</v>
      </c>
      <c r="I896" s="490">
        <f t="shared" si="515"/>
        <v>238.55263789375931</v>
      </c>
      <c r="J896" s="490">
        <f t="shared" si="515"/>
        <v>198.52688618916488</v>
      </c>
      <c r="K896" s="490">
        <f t="shared" si="515"/>
        <v>166.2234295994094</v>
      </c>
      <c r="L896" s="490">
        <f t="shared" si="515"/>
        <v>143.02745503829388</v>
      </c>
      <c r="M896" s="490">
        <f t="shared" si="515"/>
        <v>123.74669821785328</v>
      </c>
    </row>
    <row r="897" spans="2:13" ht="15" hidden="1" outlineLevel="2" x14ac:dyDescent="0.25">
      <c r="B897" s="157" t="str">
        <f>+C897&amp;D897&amp;E897&amp;F897</f>
        <v>AmericasResultsTotal CO2 e-Methanol (PS)USD/ton</v>
      </c>
      <c r="C897" s="157" t="str">
        <f t="shared" si="506"/>
        <v>Americas</v>
      </c>
      <c r="D897" s="515" t="s">
        <v>838</v>
      </c>
      <c r="E897" s="536" t="s">
        <v>999</v>
      </c>
      <c r="F897" s="489" t="s">
        <v>205</v>
      </c>
      <c r="G897" s="490">
        <f>+G914</f>
        <v>242.58684482079937</v>
      </c>
      <c r="H897" s="490">
        <f t="shared" ref="H897:M897" si="516">+H914</f>
        <v>202.23850849502716</v>
      </c>
      <c r="I897" s="490">
        <f t="shared" si="516"/>
        <v>160.26919961828557</v>
      </c>
      <c r="J897" s="490">
        <f t="shared" si="516"/>
        <v>143.63411383936858</v>
      </c>
      <c r="K897" s="490">
        <f t="shared" si="516"/>
        <v>127.36071926019727</v>
      </c>
      <c r="L897" s="490">
        <f t="shared" si="516"/>
        <v>112.01181926635682</v>
      </c>
      <c r="M897" s="490">
        <f t="shared" si="516"/>
        <v>96.816089303623428</v>
      </c>
    </row>
    <row r="898" spans="2:13" ht="15" hidden="1" outlineLevel="2" x14ac:dyDescent="0.25">
      <c r="B898" s="157"/>
      <c r="C898" s="157"/>
      <c r="D898" s="515"/>
      <c r="E898" s="536"/>
      <c r="F898" s="489" t="s">
        <v>205</v>
      </c>
      <c r="G898" s="490"/>
      <c r="H898" s="490"/>
      <c r="I898" s="490"/>
      <c r="J898" s="490"/>
      <c r="K898" s="490"/>
      <c r="L898" s="490"/>
      <c r="M898" s="490"/>
    </row>
    <row r="899" spans="2:13" hidden="1" outlineLevel="2" x14ac:dyDescent="0.2">
      <c r="B899" s="157" t="str">
        <f>+C899&amp;D899&amp;E899&amp;F899</f>
        <v>AmericasCapexCapex per yearUSD m/ton</v>
      </c>
      <c r="C899" s="157" t="str">
        <f>$B$887</f>
        <v>Americas</v>
      </c>
      <c r="D899" s="157" t="s">
        <v>218</v>
      </c>
      <c r="E899" s="498" t="s">
        <v>956</v>
      </c>
      <c r="F899" s="450" t="s">
        <v>1000</v>
      </c>
      <c r="G899" s="8">
        <f t="shared" ref="G899:M899" si="517">G901/G900</f>
        <v>300.33333333333343</v>
      </c>
      <c r="H899" s="8">
        <f t="shared" si="517"/>
        <v>238.50000000000006</v>
      </c>
      <c r="I899" s="8">
        <f t="shared" si="517"/>
        <v>176.66666666666671</v>
      </c>
      <c r="J899" s="8">
        <f t="shared" si="517"/>
        <v>156.79166666666671</v>
      </c>
      <c r="K899" s="8">
        <f t="shared" si="517"/>
        <v>136.91666666666669</v>
      </c>
      <c r="L899" s="8">
        <f t="shared" si="517"/>
        <v>110.41666666666669</v>
      </c>
      <c r="M899" s="8">
        <f t="shared" si="517"/>
        <v>83.916666666666686</v>
      </c>
    </row>
    <row r="900" spans="2:13" hidden="1" outlineLevel="2" x14ac:dyDescent="0.2">
      <c r="B900" s="157" t="str">
        <f>+C900&amp;D900&amp;E900&amp;F900</f>
        <v>GlobalPlant capexAnnualisation factor#</v>
      </c>
      <c r="C900" s="157" t="s">
        <v>109</v>
      </c>
      <c r="D900" s="157" t="s">
        <v>786</v>
      </c>
      <c r="E900" s="157" t="s">
        <v>764</v>
      </c>
      <c r="F900" s="450" t="s">
        <v>787</v>
      </c>
      <c r="G900" s="523">
        <f>INDEX('Fuel Model -  Input'!$B$3:$N$373,MATCH($B900,'Fuel Model -  Input'!$B$3:$B$373,0),MATCH(G$2,'Fuel Model -  Input'!$B$3:$N$3,0))</f>
        <v>11.32075471698113</v>
      </c>
      <c r="H900" s="523">
        <f>INDEX('Fuel Model -  Input'!$B$3:$N$373,MATCH($B900,'Fuel Model -  Input'!$B$3:$B$373,0),MATCH(H$2,'Fuel Model -  Input'!$B$3:$N$3,0))</f>
        <v>11.32075471698113</v>
      </c>
      <c r="I900" s="523">
        <f>INDEX('Fuel Model -  Input'!$B$3:$N$373,MATCH($B900,'Fuel Model -  Input'!$B$3:$B$373,0),MATCH(I$2,'Fuel Model -  Input'!$B$3:$N$3,0))</f>
        <v>11.32075471698113</v>
      </c>
      <c r="J900" s="523">
        <f>INDEX('Fuel Model -  Input'!$B$3:$N$373,MATCH($B900,'Fuel Model -  Input'!$B$3:$B$373,0),MATCH(J$2,'Fuel Model -  Input'!$B$3:$N$3,0))</f>
        <v>11.32075471698113</v>
      </c>
      <c r="K900" s="523">
        <f>INDEX('Fuel Model -  Input'!$B$3:$N$373,MATCH($B900,'Fuel Model -  Input'!$B$3:$B$373,0),MATCH(K$2,'Fuel Model -  Input'!$B$3:$N$3,0))</f>
        <v>11.32075471698113</v>
      </c>
      <c r="L900" s="523">
        <f>INDEX('Fuel Model -  Input'!$B$3:$N$373,MATCH($B900,'Fuel Model -  Input'!$B$3:$B$373,0),MATCH(L$2,'Fuel Model -  Input'!$B$3:$N$3,0))</f>
        <v>11.32075471698113</v>
      </c>
      <c r="M900" s="523">
        <f>INDEX('Fuel Model -  Input'!$B$3:$N$373,MATCH($B900,'Fuel Model -  Input'!$B$3:$B$373,0),MATCH(M$2,'Fuel Model -  Input'!$B$3:$N$3,0))</f>
        <v>11.32075471698113</v>
      </c>
    </row>
    <row r="901" spans="2:13" s="263" customFormat="1" hidden="1" outlineLevel="2" x14ac:dyDescent="0.2">
      <c r="B901" s="157" t="str">
        <f>+C901&amp;D901&amp;E901&amp;F901</f>
        <v>GlobalCapexMethanol plant unit costUSD/ ton MeOH</v>
      </c>
      <c r="C901" s="157" t="s">
        <v>109</v>
      </c>
      <c r="D901" t="s">
        <v>218</v>
      </c>
      <c r="E901" t="s">
        <v>1001</v>
      </c>
      <c r="F901" s="450" t="s">
        <v>1002</v>
      </c>
      <c r="G901" s="532">
        <f>INDEX('Fuel Model -  Input'!$B$3:$N$373,MATCH($B901,'Fuel Model -  Input'!$B$3:$B$373,0),MATCH(G$2,'Fuel Model -  Input'!$B$3:$N$3,0))</f>
        <v>3400</v>
      </c>
      <c r="H901" s="532">
        <f>INDEX('Fuel Model -  Input'!$B$3:$N$373,MATCH($B901,'Fuel Model -  Input'!$B$3:$B$373,0),MATCH(H$2,'Fuel Model -  Input'!$B$3:$N$3,0))</f>
        <v>2700</v>
      </c>
      <c r="I901" s="532">
        <f>INDEX('Fuel Model -  Input'!$B$3:$N$373,MATCH($B901,'Fuel Model -  Input'!$B$3:$B$373,0),MATCH(I$2,'Fuel Model -  Input'!$B$3:$N$3,0))</f>
        <v>2000</v>
      </c>
      <c r="J901" s="532">
        <f>INDEX('Fuel Model -  Input'!$B$3:$N$373,MATCH($B901,'Fuel Model -  Input'!$B$3:$B$373,0),MATCH(J$2,'Fuel Model -  Input'!$B$3:$N$3,0))</f>
        <v>1775</v>
      </c>
      <c r="K901" s="532">
        <f>INDEX('Fuel Model -  Input'!$B$3:$N$373,MATCH($B901,'Fuel Model -  Input'!$B$3:$B$373,0),MATCH(K$2,'Fuel Model -  Input'!$B$3:$N$3,0))</f>
        <v>1550</v>
      </c>
      <c r="L901" s="532">
        <f>INDEX('Fuel Model -  Input'!$B$3:$N$373,MATCH($B901,'Fuel Model -  Input'!$B$3:$B$373,0),MATCH(L$2,'Fuel Model -  Input'!$B$3:$N$3,0))</f>
        <v>1250</v>
      </c>
      <c r="M901" s="532">
        <f>INDEX('Fuel Model -  Input'!$B$3:$N$373,MATCH($B901,'Fuel Model -  Input'!$B$3:$B$373,0),MATCH(M$2,'Fuel Model -  Input'!$B$3:$N$3,0))</f>
        <v>950</v>
      </c>
    </row>
    <row r="902" spans="2:13" hidden="1" outlineLevel="2" x14ac:dyDescent="0.2">
      <c r="B902" s="157"/>
      <c r="C902" s="157"/>
      <c r="D902" s="157"/>
      <c r="E902" s="157"/>
      <c r="G902" s="532"/>
      <c r="H902" s="532"/>
      <c r="I902" s="532"/>
      <c r="J902" s="532"/>
      <c r="K902" s="532"/>
      <c r="L902" s="532"/>
      <c r="M902" s="532"/>
    </row>
    <row r="903" spans="2:13" hidden="1" outlineLevel="2" x14ac:dyDescent="0.2">
      <c r="B903" s="157" t="str">
        <f>+C903&amp;D903&amp;E903&amp;F903</f>
        <v>AmericasOpexOpexUSD/ton MeOH</v>
      </c>
      <c r="C903" s="157" t="str">
        <f>$B$887</f>
        <v>Americas</v>
      </c>
      <c r="D903" s="157" t="s">
        <v>219</v>
      </c>
      <c r="E903" s="498" t="s">
        <v>219</v>
      </c>
      <c r="F903" s="450" t="s">
        <v>1003</v>
      </c>
      <c r="G903" s="8">
        <f t="shared" ref="G903:M903" si="518">G901*G904</f>
        <v>136</v>
      </c>
      <c r="H903" s="8">
        <f t="shared" si="518"/>
        <v>108</v>
      </c>
      <c r="I903" s="8">
        <f t="shared" si="518"/>
        <v>80</v>
      </c>
      <c r="J903" s="8">
        <f t="shared" si="518"/>
        <v>71</v>
      </c>
      <c r="K903" s="8">
        <f t="shared" si="518"/>
        <v>62</v>
      </c>
      <c r="L903" s="8">
        <f t="shared" si="518"/>
        <v>50</v>
      </c>
      <c r="M903" s="8">
        <f t="shared" si="518"/>
        <v>38</v>
      </c>
    </row>
    <row r="904" spans="2:13" hidden="1" outlineLevel="2" x14ac:dyDescent="0.2">
      <c r="B904" s="157" t="str">
        <f>+C904&amp;D904&amp;E904&amp;F904</f>
        <v>GlobalOpexPlant - Methanol synthesis - opexPercent of Capex</v>
      </c>
      <c r="C904" s="157" t="s">
        <v>109</v>
      </c>
      <c r="D904" s="157" t="s">
        <v>219</v>
      </c>
      <c r="E904" s="498" t="s">
        <v>1004</v>
      </c>
      <c r="F904" s="450" t="s">
        <v>883</v>
      </c>
      <c r="G904" s="8">
        <f>INDEX('Fuel Model -  Input'!$B$3:$N$373,MATCH($B904,'Fuel Model -  Input'!$B$3:$B$373,0),MATCH(G$2,'Fuel Model -  Input'!$B$3:$N$3,0))</f>
        <v>0.04</v>
      </c>
      <c r="H904" s="8">
        <f>INDEX('Fuel Model -  Input'!$B$3:$N$373,MATCH($B904,'Fuel Model -  Input'!$B$3:$B$373,0),MATCH(H$2,'Fuel Model -  Input'!$B$3:$N$3,0))</f>
        <v>0.04</v>
      </c>
      <c r="I904" s="8">
        <f>INDEX('Fuel Model -  Input'!$B$3:$N$373,MATCH($B904,'Fuel Model -  Input'!$B$3:$B$373,0),MATCH(I$2,'Fuel Model -  Input'!$B$3:$N$3,0))</f>
        <v>0.04</v>
      </c>
      <c r="J904" s="8">
        <f>INDEX('Fuel Model -  Input'!$B$3:$N$373,MATCH($B904,'Fuel Model -  Input'!$B$3:$B$373,0),MATCH(J$2,'Fuel Model -  Input'!$B$3:$N$3,0))</f>
        <v>0.04</v>
      </c>
      <c r="K904" s="8">
        <f>INDEX('Fuel Model -  Input'!$B$3:$N$373,MATCH($B904,'Fuel Model -  Input'!$B$3:$B$373,0),MATCH(K$2,'Fuel Model -  Input'!$B$3:$N$3,0))</f>
        <v>0.04</v>
      </c>
      <c r="L904" s="8">
        <f>INDEX('Fuel Model -  Input'!$B$3:$N$373,MATCH($B904,'Fuel Model -  Input'!$B$3:$B$373,0),MATCH(L$2,'Fuel Model -  Input'!$B$3:$N$3,0))</f>
        <v>0.04</v>
      </c>
      <c r="M904" s="8">
        <f>INDEX('Fuel Model -  Input'!$B$3:$N$373,MATCH($B904,'Fuel Model -  Input'!$B$3:$B$373,0),MATCH(M$2,'Fuel Model -  Input'!$B$3:$N$3,0))</f>
        <v>0.04</v>
      </c>
    </row>
    <row r="905" spans="2:13" hidden="1" outlineLevel="2" x14ac:dyDescent="0.2">
      <c r="B905" s="157"/>
      <c r="C905" s="157"/>
      <c r="D905" s="157"/>
      <c r="E905" s="498"/>
      <c r="G905" s="531"/>
      <c r="H905" s="531"/>
      <c r="I905" s="531"/>
      <c r="J905" s="531"/>
      <c r="K905" s="531"/>
      <c r="L905" s="531"/>
      <c r="M905" s="531"/>
    </row>
    <row r="906" spans="2:13" hidden="1" outlineLevel="2" x14ac:dyDescent="0.2">
      <c r="B906" s="157" t="str">
        <f>+C906&amp;D906&amp;E906&amp;F906</f>
        <v>AmericasMethanol SynthesisElectricity costUSD/ton MeOH</v>
      </c>
      <c r="C906" s="157" t="str">
        <f>$B$887</f>
        <v>Americas</v>
      </c>
      <c r="D906" s="157" t="s">
        <v>1005</v>
      </c>
      <c r="E906" s="498" t="s">
        <v>94</v>
      </c>
      <c r="F906" s="450" t="s">
        <v>1003</v>
      </c>
      <c r="G906" s="8">
        <f t="shared" ref="G906:M906" si="519">G907*G908</f>
        <v>66.242889695356595</v>
      </c>
      <c r="H906" s="8">
        <f t="shared" si="519"/>
        <v>59.785096399102379</v>
      </c>
      <c r="I906" s="8">
        <f t="shared" si="519"/>
        <v>48.868889903177553</v>
      </c>
      <c r="J906" s="8">
        <f t="shared" si="519"/>
        <v>43.61574925344145</v>
      </c>
      <c r="K906" s="8">
        <f t="shared" si="519"/>
        <v>39.357424227317523</v>
      </c>
      <c r="L906" s="8">
        <f t="shared" si="519"/>
        <v>37.641880607206943</v>
      </c>
      <c r="M906" s="8">
        <f t="shared" si="519"/>
        <v>36.34762437291495</v>
      </c>
    </row>
    <row r="907" spans="2:13" hidden="1" outlineLevel="2" x14ac:dyDescent="0.2">
      <c r="B907" s="460" t="str">
        <f>+C907&amp;D907&amp;E907&amp;F907</f>
        <v>AmericasFeedstockElectricityUSD/MWh</v>
      </c>
      <c r="C907" s="157" t="str">
        <f>$B$887</f>
        <v>Americas</v>
      </c>
      <c r="D907" s="157" t="s">
        <v>777</v>
      </c>
      <c r="E907" s="498" t="s">
        <v>54</v>
      </c>
      <c r="F907" s="450" t="s">
        <v>196</v>
      </c>
      <c r="G907" s="260">
        <f>INDEX('Fuel Model -  Input'!$B$3:$N$373,MATCH($B907,'Fuel Model -  Input'!$B$3:$B$373,0),MATCH(G$2,'Fuel Model -  Input'!$B$3:$N$3,0))</f>
        <v>38.96640570315094</v>
      </c>
      <c r="H907" s="260">
        <f>INDEX('Fuel Model -  Input'!$B$3:$N$373,MATCH($B907,'Fuel Model -  Input'!$B$3:$B$373,0),MATCH(H$2,'Fuel Model -  Input'!$B$3:$N$3,0))</f>
        <v>35.167703764177872</v>
      </c>
      <c r="I907" s="260">
        <f>INDEX('Fuel Model -  Input'!$B$3:$N$373,MATCH($B907,'Fuel Model -  Input'!$B$3:$B$373,0),MATCH(I$2,'Fuel Model -  Input'!$B$3:$N$3,0))</f>
        <v>28.746405825398561</v>
      </c>
      <c r="J907" s="260">
        <f>INDEX('Fuel Model -  Input'!$B$3:$N$373,MATCH($B907,'Fuel Model -  Input'!$B$3:$B$373,0),MATCH(J$2,'Fuel Model -  Input'!$B$3:$N$3,0))</f>
        <v>25.656323090259679</v>
      </c>
      <c r="K907" s="260">
        <f>INDEX('Fuel Model -  Input'!$B$3:$N$373,MATCH($B907,'Fuel Model -  Input'!$B$3:$B$373,0),MATCH(K$2,'Fuel Model -  Input'!$B$3:$N$3,0))</f>
        <v>23.151426016069131</v>
      </c>
      <c r="L907" s="260">
        <f>INDEX('Fuel Model -  Input'!$B$3:$N$373,MATCH($B907,'Fuel Model -  Input'!$B$3:$B$373,0),MATCH(L$2,'Fuel Model -  Input'!$B$3:$N$3,0))</f>
        <v>22.142282710121734</v>
      </c>
      <c r="M907" s="260">
        <f>INDEX('Fuel Model -  Input'!$B$3:$N$373,MATCH($B907,'Fuel Model -  Input'!$B$3:$B$373,0),MATCH(M$2,'Fuel Model -  Input'!$B$3:$N$3,0))</f>
        <v>21.380955513479382</v>
      </c>
    </row>
    <row r="908" spans="2:13" hidden="1" outlineLevel="2" x14ac:dyDescent="0.2">
      <c r="B908" s="460" t="str">
        <f>+C908&amp;D908&amp;E908&amp;F908</f>
        <v>GlobalMethanol SynthesisElectricity demandmWh/ton MeOH</v>
      </c>
      <c r="C908" s="157" t="s">
        <v>109</v>
      </c>
      <c r="D908" s="157" t="s">
        <v>1005</v>
      </c>
      <c r="E908" s="498" t="s">
        <v>963</v>
      </c>
      <c r="F908" s="450" t="s">
        <v>1006</v>
      </c>
      <c r="G908" s="532">
        <f>INDEX('Fuel Model -  Input'!$B$3:$N$373,MATCH($B908,'Fuel Model -  Input'!$B$3:$B$373,0),MATCH(G$2,'Fuel Model -  Input'!$B$3:$N$3,0))</f>
        <v>1.7</v>
      </c>
      <c r="H908" s="532">
        <f>INDEX('Fuel Model -  Input'!$B$3:$N$373,MATCH($B908,'Fuel Model -  Input'!$B$3:$B$373,0),MATCH(H$2,'Fuel Model -  Input'!$B$3:$N$3,0))</f>
        <v>1.7</v>
      </c>
      <c r="I908" s="532">
        <f>INDEX('Fuel Model -  Input'!$B$3:$N$373,MATCH($B908,'Fuel Model -  Input'!$B$3:$B$373,0),MATCH(I$2,'Fuel Model -  Input'!$B$3:$N$3,0))</f>
        <v>1.7</v>
      </c>
      <c r="J908" s="532">
        <f>INDEX('Fuel Model -  Input'!$B$3:$N$373,MATCH($B908,'Fuel Model -  Input'!$B$3:$B$373,0),MATCH(J$2,'Fuel Model -  Input'!$B$3:$N$3,0))</f>
        <v>1.7</v>
      </c>
      <c r="K908" s="532">
        <f>INDEX('Fuel Model -  Input'!$B$3:$N$373,MATCH($B908,'Fuel Model -  Input'!$B$3:$B$373,0),MATCH(K$2,'Fuel Model -  Input'!$B$3:$N$3,0))</f>
        <v>1.7</v>
      </c>
      <c r="L908" s="532">
        <f>INDEX('Fuel Model -  Input'!$B$3:$N$373,MATCH($B908,'Fuel Model -  Input'!$B$3:$B$373,0),MATCH(L$2,'Fuel Model -  Input'!$B$3:$N$3,0))</f>
        <v>1.7</v>
      </c>
      <c r="M908" s="532">
        <f>INDEX('Fuel Model -  Input'!$B$3:$N$373,MATCH($B908,'Fuel Model -  Input'!$B$3:$B$373,0),MATCH(M$2,'Fuel Model -  Input'!$B$3:$N$3,0))</f>
        <v>1.7</v>
      </c>
    </row>
    <row r="909" spans="2:13" hidden="1" outlineLevel="2" x14ac:dyDescent="0.2">
      <c r="B909" s="460"/>
      <c r="C909" s="157"/>
      <c r="D909" s="157"/>
      <c r="E909" s="498"/>
      <c r="G909" s="521"/>
      <c r="H909" s="521"/>
      <c r="I909" s="521"/>
      <c r="J909" s="521"/>
      <c r="K909" s="521"/>
      <c r="L909" s="521"/>
      <c r="M909" s="521"/>
    </row>
    <row r="910" spans="2:13" hidden="1" outlineLevel="2" x14ac:dyDescent="0.2">
      <c r="B910" t="str">
        <f>+C910&amp;D910&amp;E910&amp;F910</f>
        <v>AmericasFeedstockFeedstock CO2USD/ton MeOH</v>
      </c>
      <c r="C910" s="157" t="str">
        <f>$B$887</f>
        <v>Americas</v>
      </c>
      <c r="D910" t="s">
        <v>777</v>
      </c>
      <c r="E910" s="48" t="s">
        <v>1007</v>
      </c>
      <c r="F910" s="128" t="s">
        <v>1003</v>
      </c>
      <c r="G910" s="524">
        <f t="shared" ref="G910:M910" si="520">G911*G912</f>
        <v>357.67910111757112</v>
      </c>
      <c r="H910" s="524">
        <f t="shared" si="520"/>
        <v>298.41025793068457</v>
      </c>
      <c r="I910" s="524">
        <f t="shared" si="520"/>
        <v>238.55263789375931</v>
      </c>
      <c r="J910" s="524">
        <f t="shared" si="520"/>
        <v>198.52688618916488</v>
      </c>
      <c r="K910" s="524">
        <f t="shared" si="520"/>
        <v>166.2234295994094</v>
      </c>
      <c r="L910" s="524">
        <f t="shared" si="520"/>
        <v>143.02745503829388</v>
      </c>
      <c r="M910" s="524">
        <f t="shared" si="520"/>
        <v>123.74669821785328</v>
      </c>
    </row>
    <row r="911" spans="2:13" hidden="1" outlineLevel="2" x14ac:dyDescent="0.2">
      <c r="B911" s="78" t="str">
        <f>+C911&amp;D911&amp;E911&amp;F911</f>
        <v>GlobalFeedstockConversion CO2 : MeOH (actual)kg CO2/kg MeOH</v>
      </c>
      <c r="C911" s="157" t="s">
        <v>109</v>
      </c>
      <c r="D911" t="s">
        <v>777</v>
      </c>
      <c r="E911" s="48" t="s">
        <v>1008</v>
      </c>
      <c r="F911" s="128" t="s">
        <v>1009</v>
      </c>
      <c r="G911" s="8">
        <f>INDEX('Fuel Model -  Input'!$B$3:$N$373,MATCH($B911,'Fuel Model -  Input'!$B$3:$B$373,0),MATCH(G$2,'Fuel Model -  Input'!$B$3:$N$3,0))</f>
        <v>1.3735097684289368</v>
      </c>
      <c r="H911" s="8">
        <f>INDEX('Fuel Model -  Input'!$B$3:$N$373,MATCH($B911,'Fuel Model -  Input'!$B$3:$B$373,0),MATCH(H$2,'Fuel Model -  Input'!$B$3:$N$3,0))</f>
        <v>1.3735097684289368</v>
      </c>
      <c r="I911" s="8">
        <f>INDEX('Fuel Model -  Input'!$B$3:$N$373,MATCH($B911,'Fuel Model -  Input'!$B$3:$B$373,0),MATCH(I$2,'Fuel Model -  Input'!$B$3:$N$3,0))</f>
        <v>1.3735097684289368</v>
      </c>
      <c r="J911" s="8">
        <f>INDEX('Fuel Model -  Input'!$B$3:$N$373,MATCH($B911,'Fuel Model -  Input'!$B$3:$B$373,0),MATCH(J$2,'Fuel Model -  Input'!$B$3:$N$3,0))</f>
        <v>1.3735097684289368</v>
      </c>
      <c r="K911" s="8">
        <f>INDEX('Fuel Model -  Input'!$B$3:$N$373,MATCH($B911,'Fuel Model -  Input'!$B$3:$B$373,0),MATCH(K$2,'Fuel Model -  Input'!$B$3:$N$3,0))</f>
        <v>1.3735097684289368</v>
      </c>
      <c r="L911" s="8">
        <f>INDEX('Fuel Model -  Input'!$B$3:$N$373,MATCH($B911,'Fuel Model -  Input'!$B$3:$B$373,0),MATCH(L$2,'Fuel Model -  Input'!$B$3:$N$3,0))</f>
        <v>1.3735097684289368</v>
      </c>
      <c r="M911" s="8">
        <f>INDEX('Fuel Model -  Input'!$B$3:$N$373,MATCH($B911,'Fuel Model -  Input'!$B$3:$B$373,0),MATCH(M$2,'Fuel Model -  Input'!$B$3:$N$3,0))</f>
        <v>1.3735097684289368</v>
      </c>
    </row>
    <row r="912" spans="2:13" hidden="1" outlineLevel="2" x14ac:dyDescent="0.2">
      <c r="B912" s="78" t="str">
        <f>+C912&amp;D912&amp;E912&amp;F912</f>
        <v>AmericasFeedstockCost of CO2 DACUSD/ton</v>
      </c>
      <c r="C912" s="157" t="str">
        <f>$B$887</f>
        <v>Americas</v>
      </c>
      <c r="D912" t="s">
        <v>777</v>
      </c>
      <c r="E912" t="s">
        <v>1010</v>
      </c>
      <c r="F912" s="128" t="s">
        <v>205</v>
      </c>
      <c r="G912" s="532">
        <f t="shared" ref="G912:M912" si="521">INDEX(G$1564:G$1568,MATCH($C912,$C$1564:$C$1568,0))</f>
        <v>260.41249166119553</v>
      </c>
      <c r="H912" s="532">
        <f t="shared" si="521"/>
        <v>217.26111076153137</v>
      </c>
      <c r="I912" s="532">
        <f t="shared" si="521"/>
        <v>173.68106392619489</v>
      </c>
      <c r="J912" s="532">
        <f t="shared" si="521"/>
        <v>144.53984292827136</v>
      </c>
      <c r="K912" s="532">
        <f t="shared" si="521"/>
        <v>121.02093004372364</v>
      </c>
      <c r="L912" s="532">
        <f t="shared" si="521"/>
        <v>104.13282695607847</v>
      </c>
      <c r="M912" s="532">
        <f t="shared" si="521"/>
        <v>90.095244360292099</v>
      </c>
    </row>
    <row r="913" spans="2:13" hidden="1" outlineLevel="2" x14ac:dyDescent="0.2">
      <c r="B913" s="78"/>
      <c r="C913" s="157"/>
      <c r="F913" s="128"/>
      <c r="G913" s="521"/>
      <c r="H913" s="521"/>
      <c r="I913" s="521"/>
      <c r="J913" s="521"/>
      <c r="K913" s="521"/>
      <c r="L913" s="521"/>
      <c r="M913" s="521"/>
    </row>
    <row r="914" spans="2:13" hidden="1" outlineLevel="2" x14ac:dyDescent="0.2">
      <c r="B914" s="157" t="str">
        <f>+C914&amp;D914&amp;E914&amp;F914</f>
        <v>AmericasFeedstockFeedstock CO2USD/ton MeOH</v>
      </c>
      <c r="C914" s="157" t="str">
        <f>$B$887</f>
        <v>Americas</v>
      </c>
      <c r="D914" s="157" t="s">
        <v>777</v>
      </c>
      <c r="E914" s="498" t="s">
        <v>1007</v>
      </c>
      <c r="F914" s="450" t="s">
        <v>1003</v>
      </c>
      <c r="G914" s="524">
        <f t="shared" ref="G914:M914" si="522">G915*G916</f>
        <v>242.58684482079937</v>
      </c>
      <c r="H914" s="524">
        <f t="shared" si="522"/>
        <v>202.23850849502716</v>
      </c>
      <c r="I914" s="524">
        <f t="shared" si="522"/>
        <v>160.26919961828557</v>
      </c>
      <c r="J914" s="524">
        <f t="shared" si="522"/>
        <v>143.63411383936858</v>
      </c>
      <c r="K914" s="524">
        <f t="shared" si="522"/>
        <v>127.36071926019727</v>
      </c>
      <c r="L914" s="524">
        <f t="shared" si="522"/>
        <v>112.01181926635682</v>
      </c>
      <c r="M914" s="524">
        <f t="shared" si="522"/>
        <v>96.816089303623428</v>
      </c>
    </row>
    <row r="915" spans="2:13" hidden="1" outlineLevel="2" x14ac:dyDescent="0.2">
      <c r="B915" s="460" t="str">
        <f>+C915&amp;D915&amp;E915&amp;F915</f>
        <v>GlobalFeedstockConversion CO2 : MeOH (actual)kg CO2/kg MeOH</v>
      </c>
      <c r="C915" s="157" t="s">
        <v>109</v>
      </c>
      <c r="D915" s="157" t="s">
        <v>777</v>
      </c>
      <c r="E915" s="498" t="s">
        <v>1008</v>
      </c>
      <c r="F915" s="450" t="s">
        <v>1009</v>
      </c>
      <c r="G915" s="8">
        <f>INDEX('Fuel Model -  Input'!$B$3:$N$373,MATCH($B915,'Fuel Model -  Input'!$B$3:$B$373,0),MATCH(G$2,'Fuel Model -  Input'!$B$3:$N$3,0))</f>
        <v>1.3735097684289368</v>
      </c>
      <c r="H915" s="8">
        <f>INDEX('Fuel Model -  Input'!$B$3:$N$373,MATCH($B915,'Fuel Model -  Input'!$B$3:$B$373,0),MATCH(H$2,'Fuel Model -  Input'!$B$3:$N$3,0))</f>
        <v>1.3735097684289368</v>
      </c>
      <c r="I915" s="8">
        <f>INDEX('Fuel Model -  Input'!$B$3:$N$373,MATCH($B915,'Fuel Model -  Input'!$B$3:$B$373,0),MATCH(I$2,'Fuel Model -  Input'!$B$3:$N$3,0))</f>
        <v>1.3735097684289368</v>
      </c>
      <c r="J915" s="8">
        <f>INDEX('Fuel Model -  Input'!$B$3:$N$373,MATCH($B915,'Fuel Model -  Input'!$B$3:$B$373,0),MATCH(J$2,'Fuel Model -  Input'!$B$3:$N$3,0))</f>
        <v>1.3735097684289368</v>
      </c>
      <c r="K915" s="8">
        <f>INDEX('Fuel Model -  Input'!$B$3:$N$373,MATCH($B915,'Fuel Model -  Input'!$B$3:$B$373,0),MATCH(K$2,'Fuel Model -  Input'!$B$3:$N$3,0))</f>
        <v>1.3735097684289368</v>
      </c>
      <c r="L915" s="8">
        <f>INDEX('Fuel Model -  Input'!$B$3:$N$373,MATCH($B915,'Fuel Model -  Input'!$B$3:$B$373,0),MATCH(L$2,'Fuel Model -  Input'!$B$3:$N$3,0))</f>
        <v>1.3735097684289368</v>
      </c>
      <c r="M915" s="8">
        <f>INDEX('Fuel Model -  Input'!$B$3:$N$373,MATCH($B915,'Fuel Model -  Input'!$B$3:$B$373,0),MATCH(M$2,'Fuel Model -  Input'!$B$3:$N$3,0))</f>
        <v>1.3735097684289368</v>
      </c>
    </row>
    <row r="916" spans="2:13" hidden="1" outlineLevel="2" x14ac:dyDescent="0.2">
      <c r="B916" s="460" t="str">
        <f>+C916&amp;D916&amp;E916&amp;F916</f>
        <v>AmericasFeedstockCost of CO2 PSUSD/ton</v>
      </c>
      <c r="C916" s="157" t="str">
        <f>$B$887</f>
        <v>Americas</v>
      </c>
      <c r="D916" s="157" t="s">
        <v>777</v>
      </c>
      <c r="E916" s="157" t="s">
        <v>1011</v>
      </c>
      <c r="F916" s="450" t="s">
        <v>205</v>
      </c>
      <c r="G916" s="532">
        <f t="shared" ref="G916:M916" si="523">INDEX(G$1538:G$1542,MATCH($B916,$B$1538:$B$1542,0))</f>
        <v>176.61821589975131</v>
      </c>
      <c r="H916" s="532">
        <f t="shared" si="523"/>
        <v>147.24213336054672</v>
      </c>
      <c r="I916" s="532">
        <f t="shared" si="523"/>
        <v>116.68588262142937</v>
      </c>
      <c r="J916" s="532">
        <f t="shared" si="523"/>
        <v>104.57451205728354</v>
      </c>
      <c r="K916" s="532">
        <f t="shared" si="523"/>
        <v>92.726475040564452</v>
      </c>
      <c r="L916" s="532">
        <f t="shared" si="523"/>
        <v>81.551527219554785</v>
      </c>
      <c r="M916" s="532">
        <f t="shared" si="523"/>
        <v>70.488096647732391</v>
      </c>
    </row>
    <row r="917" spans="2:13" hidden="1" outlineLevel="2" x14ac:dyDescent="0.2">
      <c r="B917" s="460"/>
      <c r="C917" s="157"/>
      <c r="D917" s="157"/>
      <c r="E917" s="157"/>
      <c r="G917" s="521"/>
      <c r="H917" s="521"/>
      <c r="I917" s="521"/>
      <c r="J917" s="521"/>
      <c r="K917" s="521"/>
      <c r="L917" s="521"/>
      <c r="M917" s="521"/>
    </row>
    <row r="918" spans="2:13" hidden="1" outlineLevel="2" x14ac:dyDescent="0.2">
      <c r="B918" s="157" t="str">
        <f>+C918&amp;D918&amp;E918&amp;F918</f>
        <v>AmericasFeedstockFeedstock H2USD/ton MeOH</v>
      </c>
      <c r="C918" s="157" t="str">
        <f>$B$887</f>
        <v>Americas</v>
      </c>
      <c r="D918" s="157" t="s">
        <v>777</v>
      </c>
      <c r="E918" s="157" t="s">
        <v>970</v>
      </c>
      <c r="F918" s="450" t="s">
        <v>1003</v>
      </c>
      <c r="G918" s="520">
        <f t="shared" ref="G918:M918" si="524">G921*G922</f>
        <v>739.44663092802159</v>
      </c>
      <c r="H918" s="520">
        <f t="shared" si="524"/>
        <v>642.46874279410861</v>
      </c>
      <c r="I918" s="520">
        <f t="shared" si="524"/>
        <v>528.75407548543785</v>
      </c>
      <c r="J918" s="520">
        <f t="shared" si="524"/>
        <v>483.58598820478056</v>
      </c>
      <c r="K918" s="520">
        <f t="shared" si="524"/>
        <v>414.32138040200437</v>
      </c>
      <c r="L918" s="520">
        <f t="shared" si="524"/>
        <v>341.12847044886189</v>
      </c>
      <c r="M918" s="520">
        <f t="shared" si="524"/>
        <v>268.88905804095708</v>
      </c>
    </row>
    <row r="919" spans="2:13" hidden="1" outlineLevel="2" x14ac:dyDescent="0.2">
      <c r="B919" s="460" t="str">
        <f>+C919&amp;D919&amp;E919&amp;F919</f>
        <v>AmericasResultsShare of RNE e-Hydrogen (compressed)%</v>
      </c>
      <c r="C919" s="157" t="str">
        <f>$B$887</f>
        <v>Americas</v>
      </c>
      <c r="D919" s="157" t="s">
        <v>838</v>
      </c>
      <c r="E919" s="48" t="s">
        <v>848</v>
      </c>
      <c r="F919" s="450" t="s">
        <v>178</v>
      </c>
      <c r="G919" s="537">
        <f t="shared" ref="G919:M919" si="525">+INDEX($A:$M,MATCH($B919,$B:$B,0),MATCH(G$2,$2:$2,0))</f>
        <v>0.53965533590278514</v>
      </c>
      <c r="H919" s="537">
        <f t="shared" si="525"/>
        <v>0.55792771484342807</v>
      </c>
      <c r="I919" s="537">
        <f t="shared" si="525"/>
        <v>0.54677861176638642</v>
      </c>
      <c r="J919" s="537">
        <f t="shared" si="525"/>
        <v>0.51451562660655525</v>
      </c>
      <c r="K919" s="537">
        <f t="shared" si="525"/>
        <v>0.51778148183287009</v>
      </c>
      <c r="L919" s="537">
        <f t="shared" si="525"/>
        <v>0.56416790334378253</v>
      </c>
      <c r="M919" s="537">
        <f t="shared" si="525"/>
        <v>0.65513438567287219</v>
      </c>
    </row>
    <row r="920" spans="2:13" hidden="1" outlineLevel="2" x14ac:dyDescent="0.2">
      <c r="B920" t="str">
        <f>+C920&amp;D920&amp;E920&amp;F920</f>
        <v>AmericasResultsShare of Capex e-Hydrogen (compressed)%</v>
      </c>
      <c r="C920" s="157" t="str">
        <f>$B$887</f>
        <v>Americas</v>
      </c>
      <c r="D920" t="s">
        <v>838</v>
      </c>
      <c r="E920" s="48" t="s">
        <v>850</v>
      </c>
      <c r="F920" s="128" t="s">
        <v>178</v>
      </c>
      <c r="G920" s="537">
        <f t="shared" ref="G920:M920" si="526">+INDEX(G$4:G$581,MATCH($B920,$B$4:$B$581,0))</f>
        <v>0.21303201091923385</v>
      </c>
      <c r="H920" s="537">
        <f t="shared" si="526"/>
        <v>0.20548338798031884</v>
      </c>
      <c r="I920" s="537">
        <f t="shared" si="526"/>
        <v>0.21849539045177402</v>
      </c>
      <c r="J920" s="537">
        <f t="shared" si="526"/>
        <v>0.25160265231151074</v>
      </c>
      <c r="K920" s="537">
        <f t="shared" si="526"/>
        <v>0.27021808283685078</v>
      </c>
      <c r="L920" s="537">
        <f t="shared" si="526"/>
        <v>0.2621354412166072</v>
      </c>
      <c r="M920" s="537">
        <f t="shared" si="526"/>
        <v>0.21785965388810252</v>
      </c>
    </row>
    <row r="921" spans="2:13" hidden="1" outlineLevel="2" x14ac:dyDescent="0.2">
      <c r="B921" t="str">
        <f>+C921&amp;D921&amp;E921&amp;F921</f>
        <v>GlobalFeedstockConversion H2 : MeOH (actual)tons H2/ton MeOH</v>
      </c>
      <c r="C921" s="157" t="s">
        <v>109</v>
      </c>
      <c r="D921" t="s">
        <v>777</v>
      </c>
      <c r="E921" s="157" t="s">
        <v>1012</v>
      </c>
      <c r="F921" s="128" t="s">
        <v>1013</v>
      </c>
      <c r="G921" s="538">
        <f>INDEX('Fuel Model -  Input'!$B$3:$N$373,MATCH($B921,'Fuel Model -  Input'!$B$3:$B$373,0),MATCH(G$2,'Fuel Model -  Input'!$B$3:$N$3,0))</f>
        <v>0.18875226265526496</v>
      </c>
      <c r="H921" s="538">
        <f>INDEX('Fuel Model -  Input'!$B$3:$N$373,MATCH($B921,'Fuel Model -  Input'!$B$3:$B$373,0),MATCH(H$2,'Fuel Model -  Input'!$B$3:$N$3,0))</f>
        <v>0.18875226265526496</v>
      </c>
      <c r="I921" s="538">
        <f>INDEX('Fuel Model -  Input'!$B$3:$N$373,MATCH($B921,'Fuel Model -  Input'!$B$3:$B$373,0),MATCH(I$2,'Fuel Model -  Input'!$B$3:$N$3,0))</f>
        <v>0.18875226265526496</v>
      </c>
      <c r="J921" s="538">
        <f>INDEX('Fuel Model -  Input'!$B$3:$N$373,MATCH($B921,'Fuel Model -  Input'!$B$3:$B$373,0),MATCH(J$2,'Fuel Model -  Input'!$B$3:$N$3,0))</f>
        <v>0.18875226265526496</v>
      </c>
      <c r="K921" s="538">
        <f>INDEX('Fuel Model -  Input'!$B$3:$N$373,MATCH($B921,'Fuel Model -  Input'!$B$3:$B$373,0),MATCH(K$2,'Fuel Model -  Input'!$B$3:$N$3,0))</f>
        <v>0.18875226265526496</v>
      </c>
      <c r="L921" s="538">
        <f>INDEX('Fuel Model -  Input'!$B$3:$N$373,MATCH($B921,'Fuel Model -  Input'!$B$3:$B$373,0),MATCH(L$2,'Fuel Model -  Input'!$B$3:$N$3,0))</f>
        <v>0.18875226265526496</v>
      </c>
      <c r="M921" s="538">
        <f>INDEX('Fuel Model -  Input'!$B$3:$N$373,MATCH($B921,'Fuel Model -  Input'!$B$3:$B$373,0),MATCH(M$2,'Fuel Model -  Input'!$B$3:$N$3,0))</f>
        <v>0.18875226265526496</v>
      </c>
    </row>
    <row r="922" spans="2:13" hidden="1" outlineLevel="2" x14ac:dyDescent="0.2">
      <c r="B922" s="460" t="str">
        <f>+C922&amp;D922&amp;E922&amp;F922</f>
        <v>AmericasResultsCost of e-Hydrogen (compressed)USD/ton</v>
      </c>
      <c r="C922" s="157" t="str">
        <f>$B$887</f>
        <v>Americas</v>
      </c>
      <c r="D922" s="157" t="s">
        <v>838</v>
      </c>
      <c r="E922" t="s">
        <v>846</v>
      </c>
      <c r="F922" s="450" t="s">
        <v>205</v>
      </c>
      <c r="G922" s="532">
        <f>INDEX(G$4:G921,MATCH($B922,$B$4:$B921,0))</f>
        <v>3917.5510827043104</v>
      </c>
      <c r="H922" s="532">
        <f>INDEX(H$4:H921,MATCH($B922,$B$4:$B921,0))</f>
        <v>3403.7671059207719</v>
      </c>
      <c r="I922" s="532">
        <f>INDEX(I$4:I921,MATCH($B922,$B$4:$B921,0))</f>
        <v>2801.3125143360453</v>
      </c>
      <c r="J922" s="532">
        <f>INDEX(J$4:J921,MATCH($B922,$B$4:$B921,0))</f>
        <v>2562.0142582767162</v>
      </c>
      <c r="K922" s="532">
        <f>INDEX(K$4:K921,MATCH($B922,$B$4:$B921,0))</f>
        <v>2195.0538476919683</v>
      </c>
      <c r="L922" s="532">
        <f>INDEX(L$4:L921,MATCH($B922,$B$4:$B921,0))</f>
        <v>1807.2814897689209</v>
      </c>
      <c r="M922" s="532">
        <f>INDEX(M$4:M921,MATCH($B922,$B$4:$B921,0))</f>
        <v>1424.5607139134172</v>
      </c>
    </row>
    <row r="923" spans="2:13" hidden="1" outlineLevel="1" x14ac:dyDescent="0.2">
      <c r="B923" s="460"/>
      <c r="C923" s="157"/>
      <c r="F923" s="128"/>
      <c r="G923" s="532"/>
      <c r="H923" s="532"/>
      <c r="I923" s="532"/>
      <c r="J923" s="532"/>
      <c r="K923" s="532"/>
      <c r="L923" s="532"/>
      <c r="M923" s="532"/>
    </row>
    <row r="924" spans="2:13" ht="15" hidden="1" outlineLevel="1" x14ac:dyDescent="0.25">
      <c r="B924" s="515" t="s">
        <v>200</v>
      </c>
      <c r="C924" s="515" t="str">
        <f>+B924</f>
        <v>Africa</v>
      </c>
      <c r="D924" s="515"/>
      <c r="E924" s="515"/>
      <c r="F924" s="515"/>
      <c r="G924" s="30"/>
      <c r="H924" s="30"/>
      <c r="I924" s="30"/>
      <c r="J924" s="30"/>
      <c r="K924" s="30"/>
      <c r="L924" s="30"/>
      <c r="M924" s="30"/>
    </row>
    <row r="925" spans="2:13" ht="15" hidden="1" outlineLevel="2" x14ac:dyDescent="0.25">
      <c r="B925" s="157" t="str">
        <f t="shared" ref="B925:B930" si="527">+C925&amp;D925&amp;E925&amp;F925</f>
        <v>AfricaResultsTotal cost of e-Methanol (DAC)USD/ton</v>
      </c>
      <c r="C925" s="157" t="str">
        <f t="shared" ref="C925:C934" si="528">+$B$924</f>
        <v>Africa</v>
      </c>
      <c r="D925" s="515" t="s">
        <v>838</v>
      </c>
      <c r="E925" s="535" t="s">
        <v>990</v>
      </c>
      <c r="F925" s="489" t="s">
        <v>205</v>
      </c>
      <c r="G925" s="492">
        <f>+G927+G929+G931+G933</f>
        <v>2241.7611072863892</v>
      </c>
      <c r="H925" s="492">
        <f t="shared" ref="H925:M925" si="529">+H927+H929+H931+H933</f>
        <v>1496.8223011041359</v>
      </c>
      <c r="I925" s="492">
        <f t="shared" si="529"/>
        <v>1170.6947979564306</v>
      </c>
      <c r="J925" s="492">
        <f t="shared" si="529"/>
        <v>1014.4625980778778</v>
      </c>
      <c r="K925" s="492">
        <f t="shared" si="529"/>
        <v>876.99081975724937</v>
      </c>
      <c r="L925" s="492">
        <f t="shared" si="529"/>
        <v>716.20918293508589</v>
      </c>
      <c r="M925" s="492">
        <f t="shared" si="529"/>
        <v>576.83433360482968</v>
      </c>
    </row>
    <row r="926" spans="2:13" ht="15" hidden="1" outlineLevel="2" x14ac:dyDescent="0.25">
      <c r="B926" s="157" t="str">
        <f t="shared" si="527"/>
        <v>AfricaResultsTotal cost of e-Methanol (PS)USD/ton</v>
      </c>
      <c r="C926" s="157" t="str">
        <f t="shared" si="528"/>
        <v>Africa</v>
      </c>
      <c r="D926" s="515" t="s">
        <v>838</v>
      </c>
      <c r="E926" s="535" t="s">
        <v>991</v>
      </c>
      <c r="F926" s="489" t="s">
        <v>205</v>
      </c>
      <c r="G926" s="492">
        <f t="shared" ref="G926:M926" si="530">+G928+G930+G932+G934</f>
        <v>1986.8752546928288</v>
      </c>
      <c r="H926" s="492">
        <f t="shared" si="530"/>
        <v>1369.9576323378092</v>
      </c>
      <c r="I926" s="492">
        <f t="shared" si="530"/>
        <v>1073.4342874002002</v>
      </c>
      <c r="J926" s="492">
        <f t="shared" si="530"/>
        <v>948.24196439186221</v>
      </c>
      <c r="K926" s="492">
        <f t="shared" si="530"/>
        <v>827.71875735841115</v>
      </c>
      <c r="L926" s="492">
        <f t="shared" si="530"/>
        <v>679.27654406907334</v>
      </c>
      <c r="M926" s="492">
        <f t="shared" si="530"/>
        <v>545.55150174515268</v>
      </c>
    </row>
    <row r="927" spans="2:13" ht="15" hidden="1" outlineLevel="2" x14ac:dyDescent="0.25">
      <c r="B927" s="157" t="str">
        <f t="shared" si="527"/>
        <v>AfricaResultsTotal Capex e-Methanol (DAC)USD/ton</v>
      </c>
      <c r="C927" s="157" t="str">
        <f t="shared" si="528"/>
        <v>Africa</v>
      </c>
      <c r="D927" s="515" t="s">
        <v>838</v>
      </c>
      <c r="E927" s="536" t="s">
        <v>992</v>
      </c>
      <c r="F927" s="489" t="s">
        <v>205</v>
      </c>
      <c r="G927" s="490">
        <f>G936+G955*G957</f>
        <v>457.85913608738241</v>
      </c>
      <c r="H927" s="490">
        <f t="shared" ref="H927:M927" si="531">H936+H955*H957</f>
        <v>370.51665394078952</v>
      </c>
      <c r="I927" s="490">
        <f t="shared" si="531"/>
        <v>292.19699484282421</v>
      </c>
      <c r="J927" s="490">
        <f t="shared" si="531"/>
        <v>278.46318391967247</v>
      </c>
      <c r="K927" s="490">
        <f t="shared" si="531"/>
        <v>248.87379575721386</v>
      </c>
      <c r="L927" s="490">
        <f t="shared" si="531"/>
        <v>199.83852877932546</v>
      </c>
      <c r="M927" s="490">
        <f t="shared" si="531"/>
        <v>142.49674378576751</v>
      </c>
    </row>
    <row r="928" spans="2:13" ht="15" hidden="1" outlineLevel="2" x14ac:dyDescent="0.25">
      <c r="B928" s="157" t="str">
        <f t="shared" si="527"/>
        <v>AfricaResultsTotal Capex e-Methanol (PS)USD/ton</v>
      </c>
      <c r="C928" s="157" t="str">
        <f t="shared" si="528"/>
        <v>Africa</v>
      </c>
      <c r="D928" s="515" t="s">
        <v>838</v>
      </c>
      <c r="E928" s="536" t="s">
        <v>993</v>
      </c>
      <c r="F928" s="489" t="s">
        <v>205</v>
      </c>
      <c r="G928" s="490">
        <f>+G927</f>
        <v>457.85913608738241</v>
      </c>
      <c r="H928" s="490">
        <f t="shared" ref="H928:M928" si="532">+H927</f>
        <v>370.51665394078952</v>
      </c>
      <c r="I928" s="490">
        <f t="shared" si="532"/>
        <v>292.19699484282421</v>
      </c>
      <c r="J928" s="490">
        <f t="shared" si="532"/>
        <v>278.46318391967247</v>
      </c>
      <c r="K928" s="490">
        <f t="shared" si="532"/>
        <v>248.87379575721386</v>
      </c>
      <c r="L928" s="490">
        <f t="shared" si="532"/>
        <v>199.83852877932546</v>
      </c>
      <c r="M928" s="490">
        <f t="shared" si="532"/>
        <v>142.49674378576751</v>
      </c>
    </row>
    <row r="929" spans="2:13" ht="15" hidden="1" outlineLevel="2" x14ac:dyDescent="0.25">
      <c r="B929" s="157" t="str">
        <f t="shared" si="527"/>
        <v>AfricaResultsTotal Opex e-Methanol (DAC)USD/ton</v>
      </c>
      <c r="C929" s="157" t="str">
        <f t="shared" si="528"/>
        <v>Africa</v>
      </c>
      <c r="D929" s="515" t="s">
        <v>838</v>
      </c>
      <c r="E929" s="536" t="s">
        <v>994</v>
      </c>
      <c r="F929" s="489" t="s">
        <v>205</v>
      </c>
      <c r="G929" s="490">
        <f>G940+G955*(1-SUM(G956:G957))</f>
        <v>318.87450817832803</v>
      </c>
      <c r="H929" s="490">
        <f t="shared" ref="H929:M929" si="533">H940+H955*(1-SUM(H956:H957))</f>
        <v>260.00097132787187</v>
      </c>
      <c r="I929" s="490">
        <f t="shared" si="533"/>
        <v>204.11232794953358</v>
      </c>
      <c r="J929" s="490">
        <f t="shared" si="533"/>
        <v>184.10192321244193</v>
      </c>
      <c r="K929" s="490">
        <f t="shared" si="533"/>
        <v>149.83631301186705</v>
      </c>
      <c r="L929" s="490">
        <f t="shared" si="533"/>
        <v>109.25287439219717</v>
      </c>
      <c r="M929" s="490">
        <f t="shared" si="533"/>
        <v>72.150513068036574</v>
      </c>
    </row>
    <row r="930" spans="2:13" ht="15" hidden="1" outlineLevel="2" x14ac:dyDescent="0.25">
      <c r="B930" s="157" t="str">
        <f t="shared" si="527"/>
        <v>AfricaResultsTotal Opex e-Methanol (PS)USD/ton</v>
      </c>
      <c r="C930" s="157" t="str">
        <f t="shared" si="528"/>
        <v>Africa</v>
      </c>
      <c r="D930" s="515" t="s">
        <v>838</v>
      </c>
      <c r="E930" s="536" t="s">
        <v>995</v>
      </c>
      <c r="F930" s="489" t="s">
        <v>205</v>
      </c>
      <c r="G930" s="490">
        <f t="shared" ref="G930:M930" si="534">+G929</f>
        <v>318.87450817832803</v>
      </c>
      <c r="H930" s="490">
        <f t="shared" si="534"/>
        <v>260.00097132787187</v>
      </c>
      <c r="I930" s="490">
        <f t="shared" si="534"/>
        <v>204.11232794953358</v>
      </c>
      <c r="J930" s="490">
        <f t="shared" si="534"/>
        <v>184.10192321244193</v>
      </c>
      <c r="K930" s="490">
        <f t="shared" si="534"/>
        <v>149.83631301186705</v>
      </c>
      <c r="L930" s="490">
        <f t="shared" si="534"/>
        <v>109.25287439219717</v>
      </c>
      <c r="M930" s="490">
        <f t="shared" si="534"/>
        <v>72.150513068036574</v>
      </c>
    </row>
    <row r="931" spans="2:13" ht="15" hidden="1" outlineLevel="2" x14ac:dyDescent="0.25">
      <c r="B931" s="157" t="str">
        <f>+C931&amp;D931&amp;E931&amp;F931</f>
        <v>AfricaResultsTotal RNE e-Methanol (DAC)USD/ton</v>
      </c>
      <c r="C931" s="157" t="str">
        <f t="shared" si="528"/>
        <v>Africa</v>
      </c>
      <c r="D931" s="515" t="s">
        <v>838</v>
      </c>
      <c r="E931" s="536" t="s">
        <v>996</v>
      </c>
      <c r="F931" s="489" t="s">
        <v>205</v>
      </c>
      <c r="G931" s="490">
        <f t="shared" ref="G931:M931" si="535">G943+G955*G956</f>
        <v>942.83595756743398</v>
      </c>
      <c r="H931" s="490">
        <f t="shared" si="535"/>
        <v>531.32413104271575</v>
      </c>
      <c r="I931" s="490">
        <f t="shared" si="535"/>
        <v>412.91638938411882</v>
      </c>
      <c r="J931" s="490">
        <f t="shared" si="535"/>
        <v>339.49067030965722</v>
      </c>
      <c r="K931" s="490">
        <f t="shared" si="535"/>
        <v>299.09957773461997</v>
      </c>
      <c r="L931" s="490">
        <f t="shared" si="535"/>
        <v>256.59706145913032</v>
      </c>
      <c r="M931" s="490">
        <f t="shared" si="535"/>
        <v>232.82460699065984</v>
      </c>
    </row>
    <row r="932" spans="2:13" ht="15" hidden="1" outlineLevel="2" x14ac:dyDescent="0.25">
      <c r="B932" s="157" t="str">
        <f>+C932&amp;D932&amp;E932&amp;F932</f>
        <v>AfricaResultsTotal RNE e-Methanol (PS)USD/ton</v>
      </c>
      <c r="C932" s="157" t="str">
        <f t="shared" si="528"/>
        <v>Africa</v>
      </c>
      <c r="D932" s="515" t="s">
        <v>838</v>
      </c>
      <c r="E932" s="536" t="s">
        <v>997</v>
      </c>
      <c r="F932" s="489" t="s">
        <v>205</v>
      </c>
      <c r="G932" s="490">
        <f>+G931</f>
        <v>942.83595756743398</v>
      </c>
      <c r="H932" s="490">
        <f t="shared" ref="H932:M932" si="536">+H931</f>
        <v>531.32413104271575</v>
      </c>
      <c r="I932" s="490">
        <f t="shared" si="536"/>
        <v>412.91638938411882</v>
      </c>
      <c r="J932" s="490">
        <f t="shared" si="536"/>
        <v>339.49067030965722</v>
      </c>
      <c r="K932" s="490">
        <f t="shared" si="536"/>
        <v>299.09957773461997</v>
      </c>
      <c r="L932" s="490">
        <f t="shared" si="536"/>
        <v>256.59706145913032</v>
      </c>
      <c r="M932" s="490">
        <f t="shared" si="536"/>
        <v>232.82460699065984</v>
      </c>
    </row>
    <row r="933" spans="2:13" ht="15" hidden="1" outlineLevel="2" x14ac:dyDescent="0.25">
      <c r="B933" s="157" t="str">
        <f>+C933&amp;D933&amp;E933&amp;F933</f>
        <v>AfricaResultsTotal CO2 e-Methanol (DAC)USD/ton</v>
      </c>
      <c r="C933" s="157" t="str">
        <f t="shared" si="528"/>
        <v>Africa</v>
      </c>
      <c r="D933" s="515" t="s">
        <v>838</v>
      </c>
      <c r="E933" s="536" t="s">
        <v>998</v>
      </c>
      <c r="F933" s="489" t="s">
        <v>205</v>
      </c>
      <c r="G933" s="490">
        <f>+G947</f>
        <v>522.1915054532451</v>
      </c>
      <c r="H933" s="490">
        <f t="shared" ref="H933:M933" si="537">+H947</f>
        <v>334.98054479275885</v>
      </c>
      <c r="I933" s="490">
        <f t="shared" si="537"/>
        <v>261.46908577995407</v>
      </c>
      <c r="J933" s="490">
        <f t="shared" si="537"/>
        <v>212.40682063610615</v>
      </c>
      <c r="K933" s="490">
        <f t="shared" si="537"/>
        <v>179.18113325354852</v>
      </c>
      <c r="L933" s="490">
        <f t="shared" si="537"/>
        <v>150.5207183044329</v>
      </c>
      <c r="M933" s="490">
        <f t="shared" si="537"/>
        <v>129.36246976036574</v>
      </c>
    </row>
    <row r="934" spans="2:13" ht="15" hidden="1" outlineLevel="2" x14ac:dyDescent="0.25">
      <c r="B934" s="157" t="str">
        <f>+C934&amp;D934&amp;E934&amp;F934</f>
        <v>AfricaResultsTotal CO2 e-Methanol (PS)USD/ton</v>
      </c>
      <c r="C934" s="157" t="str">
        <f t="shared" si="528"/>
        <v>Africa</v>
      </c>
      <c r="D934" s="515" t="s">
        <v>838</v>
      </c>
      <c r="E934" s="536" t="s">
        <v>999</v>
      </c>
      <c r="F934" s="489" t="s">
        <v>205</v>
      </c>
      <c r="G934" s="490">
        <f>+G951</f>
        <v>267.30565285968436</v>
      </c>
      <c r="H934" s="490">
        <f t="shared" ref="H934:M934" si="538">+H951</f>
        <v>208.11587602643195</v>
      </c>
      <c r="I934" s="490">
        <f t="shared" si="538"/>
        <v>164.20857522372359</v>
      </c>
      <c r="J934" s="490">
        <f t="shared" si="538"/>
        <v>146.18618695009056</v>
      </c>
      <c r="K934" s="490">
        <f t="shared" si="538"/>
        <v>129.90907085471031</v>
      </c>
      <c r="L934" s="490">
        <f t="shared" si="538"/>
        <v>113.58807943842032</v>
      </c>
      <c r="M934" s="490">
        <f t="shared" si="538"/>
        <v>98.079637900688738</v>
      </c>
    </row>
    <row r="935" spans="2:13" ht="15" hidden="1" outlineLevel="2" x14ac:dyDescent="0.25">
      <c r="B935" s="157"/>
      <c r="C935" s="157"/>
      <c r="D935" s="515"/>
      <c r="E935" s="536"/>
      <c r="F935" s="489" t="s">
        <v>205</v>
      </c>
      <c r="G935" s="490"/>
      <c r="H935" s="490"/>
      <c r="I935" s="490"/>
      <c r="J935" s="490"/>
      <c r="K935" s="490"/>
      <c r="L935" s="490"/>
      <c r="M935" s="490"/>
    </row>
    <row r="936" spans="2:13" hidden="1" outlineLevel="2" x14ac:dyDescent="0.2">
      <c r="B936" s="157" t="str">
        <f>+C936&amp;D936&amp;E936&amp;F936</f>
        <v>AfricaCapexCapex per yearUSD m/ton</v>
      </c>
      <c r="C936" s="157" t="str">
        <f>+$B$924</f>
        <v>Africa</v>
      </c>
      <c r="D936" s="157" t="s">
        <v>218</v>
      </c>
      <c r="E936" s="498" t="s">
        <v>956</v>
      </c>
      <c r="F936" s="450" t="s">
        <v>1000</v>
      </c>
      <c r="G936" s="8">
        <f t="shared" ref="G936:M936" si="539">G938/G937</f>
        <v>300.33333333333343</v>
      </c>
      <c r="H936" s="8">
        <f t="shared" si="539"/>
        <v>238.50000000000006</v>
      </c>
      <c r="I936" s="8">
        <f t="shared" si="539"/>
        <v>176.66666666666671</v>
      </c>
      <c r="J936" s="8">
        <f t="shared" si="539"/>
        <v>156.79166666666671</v>
      </c>
      <c r="K936" s="8">
        <f t="shared" si="539"/>
        <v>136.91666666666669</v>
      </c>
      <c r="L936" s="8">
        <f t="shared" si="539"/>
        <v>110.41666666666669</v>
      </c>
      <c r="M936" s="8">
        <f t="shared" si="539"/>
        <v>83.916666666666686</v>
      </c>
    </row>
    <row r="937" spans="2:13" hidden="1" outlineLevel="2" x14ac:dyDescent="0.2">
      <c r="B937" s="157" t="str">
        <f>+C937&amp;D937&amp;E937&amp;F937</f>
        <v>GlobalPlant capexAnnualisation factor#</v>
      </c>
      <c r="C937" s="157" t="s">
        <v>109</v>
      </c>
      <c r="D937" s="157" t="s">
        <v>786</v>
      </c>
      <c r="E937" s="157" t="s">
        <v>764</v>
      </c>
      <c r="F937" s="450" t="s">
        <v>787</v>
      </c>
      <c r="G937" s="523">
        <f>INDEX('Fuel Model -  Input'!$B$3:$N$373,MATCH($B937,'Fuel Model -  Input'!$B$3:$B$373,0),MATCH(G$2,'Fuel Model -  Input'!$B$3:$N$3,0))</f>
        <v>11.32075471698113</v>
      </c>
      <c r="H937" s="523">
        <f>INDEX('Fuel Model -  Input'!$B$3:$N$373,MATCH($B937,'Fuel Model -  Input'!$B$3:$B$373,0),MATCH(H$2,'Fuel Model -  Input'!$B$3:$N$3,0))</f>
        <v>11.32075471698113</v>
      </c>
      <c r="I937" s="523">
        <f>INDEX('Fuel Model -  Input'!$B$3:$N$373,MATCH($B937,'Fuel Model -  Input'!$B$3:$B$373,0),MATCH(I$2,'Fuel Model -  Input'!$B$3:$N$3,0))</f>
        <v>11.32075471698113</v>
      </c>
      <c r="J937" s="523">
        <f>INDEX('Fuel Model -  Input'!$B$3:$N$373,MATCH($B937,'Fuel Model -  Input'!$B$3:$B$373,0),MATCH(J$2,'Fuel Model -  Input'!$B$3:$N$3,0))</f>
        <v>11.32075471698113</v>
      </c>
      <c r="K937" s="523">
        <f>INDEX('Fuel Model -  Input'!$B$3:$N$373,MATCH($B937,'Fuel Model -  Input'!$B$3:$B$373,0),MATCH(K$2,'Fuel Model -  Input'!$B$3:$N$3,0))</f>
        <v>11.32075471698113</v>
      </c>
      <c r="L937" s="523">
        <f>INDEX('Fuel Model -  Input'!$B$3:$N$373,MATCH($B937,'Fuel Model -  Input'!$B$3:$B$373,0),MATCH(L$2,'Fuel Model -  Input'!$B$3:$N$3,0))</f>
        <v>11.32075471698113</v>
      </c>
      <c r="M937" s="523">
        <f>INDEX('Fuel Model -  Input'!$B$3:$N$373,MATCH($B937,'Fuel Model -  Input'!$B$3:$B$373,0),MATCH(M$2,'Fuel Model -  Input'!$B$3:$N$3,0))</f>
        <v>11.32075471698113</v>
      </c>
    </row>
    <row r="938" spans="2:13" s="263" customFormat="1" hidden="1" outlineLevel="2" x14ac:dyDescent="0.2">
      <c r="B938" s="157" t="str">
        <f>+C938&amp;D938&amp;E938&amp;F938</f>
        <v>GlobalCapexMethanol plant unit costUSD/ ton MeOH</v>
      </c>
      <c r="C938" s="157" t="s">
        <v>109</v>
      </c>
      <c r="D938" t="s">
        <v>218</v>
      </c>
      <c r="E938" t="s">
        <v>1001</v>
      </c>
      <c r="F938" s="450" t="s">
        <v>1002</v>
      </c>
      <c r="G938" s="532">
        <f>INDEX('Fuel Model -  Input'!$B$3:$N$373,MATCH($B938,'Fuel Model -  Input'!$B$3:$B$373,0),MATCH(G$2,'Fuel Model -  Input'!$B$3:$N$3,0))</f>
        <v>3400</v>
      </c>
      <c r="H938" s="532">
        <f>INDEX('Fuel Model -  Input'!$B$3:$N$373,MATCH($B938,'Fuel Model -  Input'!$B$3:$B$373,0),MATCH(H$2,'Fuel Model -  Input'!$B$3:$N$3,0))</f>
        <v>2700</v>
      </c>
      <c r="I938" s="532">
        <f>INDEX('Fuel Model -  Input'!$B$3:$N$373,MATCH($B938,'Fuel Model -  Input'!$B$3:$B$373,0),MATCH(I$2,'Fuel Model -  Input'!$B$3:$N$3,0))</f>
        <v>2000</v>
      </c>
      <c r="J938" s="532">
        <f>INDEX('Fuel Model -  Input'!$B$3:$N$373,MATCH($B938,'Fuel Model -  Input'!$B$3:$B$373,0),MATCH(J$2,'Fuel Model -  Input'!$B$3:$N$3,0))</f>
        <v>1775</v>
      </c>
      <c r="K938" s="532">
        <f>INDEX('Fuel Model -  Input'!$B$3:$N$373,MATCH($B938,'Fuel Model -  Input'!$B$3:$B$373,0),MATCH(K$2,'Fuel Model -  Input'!$B$3:$N$3,0))</f>
        <v>1550</v>
      </c>
      <c r="L938" s="532">
        <f>INDEX('Fuel Model -  Input'!$B$3:$N$373,MATCH($B938,'Fuel Model -  Input'!$B$3:$B$373,0),MATCH(L$2,'Fuel Model -  Input'!$B$3:$N$3,0))</f>
        <v>1250</v>
      </c>
      <c r="M938" s="532">
        <f>INDEX('Fuel Model -  Input'!$B$3:$N$373,MATCH($B938,'Fuel Model -  Input'!$B$3:$B$373,0),MATCH(M$2,'Fuel Model -  Input'!$B$3:$N$3,0))</f>
        <v>950</v>
      </c>
    </row>
    <row r="939" spans="2:13" hidden="1" outlineLevel="2" x14ac:dyDescent="0.2">
      <c r="B939" s="157"/>
      <c r="C939" s="157"/>
      <c r="D939" s="157"/>
      <c r="E939" s="157"/>
      <c r="G939" s="532"/>
      <c r="H939" s="532"/>
      <c r="I939" s="532"/>
      <c r="J939" s="532"/>
      <c r="K939" s="532"/>
      <c r="L939" s="532"/>
      <c r="M939" s="532"/>
    </row>
    <row r="940" spans="2:13" hidden="1" outlineLevel="2" x14ac:dyDescent="0.2">
      <c r="B940" s="157" t="str">
        <f>+C940&amp;D940&amp;E940&amp;F940</f>
        <v>AfricaOpexOpexUSD/ton MeOH</v>
      </c>
      <c r="C940" s="157" t="str">
        <f>+$B$924</f>
        <v>Africa</v>
      </c>
      <c r="D940" s="157" t="s">
        <v>219</v>
      </c>
      <c r="E940" s="498" t="s">
        <v>219</v>
      </c>
      <c r="F940" s="450" t="s">
        <v>1003</v>
      </c>
      <c r="G940" s="8">
        <f t="shared" ref="G940:M940" si="540">G938*G941</f>
        <v>136</v>
      </c>
      <c r="H940" s="8">
        <f t="shared" si="540"/>
        <v>108</v>
      </c>
      <c r="I940" s="8">
        <f t="shared" si="540"/>
        <v>80</v>
      </c>
      <c r="J940" s="8">
        <f t="shared" si="540"/>
        <v>71</v>
      </c>
      <c r="K940" s="8">
        <f t="shared" si="540"/>
        <v>62</v>
      </c>
      <c r="L940" s="8">
        <f t="shared" si="540"/>
        <v>50</v>
      </c>
      <c r="M940" s="8">
        <f t="shared" si="540"/>
        <v>38</v>
      </c>
    </row>
    <row r="941" spans="2:13" hidden="1" outlineLevel="2" x14ac:dyDescent="0.2">
      <c r="B941" s="157" t="str">
        <f>+C941&amp;D941&amp;E941&amp;F941</f>
        <v>GlobalOpexPlant - Methanol synthesis - opexPercent of Capex</v>
      </c>
      <c r="C941" s="157" t="s">
        <v>109</v>
      </c>
      <c r="D941" s="157" t="s">
        <v>219</v>
      </c>
      <c r="E941" s="498" t="s">
        <v>1004</v>
      </c>
      <c r="F941" s="450" t="s">
        <v>883</v>
      </c>
      <c r="G941" s="8">
        <f>INDEX('Fuel Model -  Input'!$B$3:$N$373,MATCH($B941,'Fuel Model -  Input'!$B$3:$B$373,0),MATCH(G$2,'Fuel Model -  Input'!$B$3:$N$3,0))</f>
        <v>0.04</v>
      </c>
      <c r="H941" s="8">
        <f>INDEX('Fuel Model -  Input'!$B$3:$N$373,MATCH($B941,'Fuel Model -  Input'!$B$3:$B$373,0),MATCH(H$2,'Fuel Model -  Input'!$B$3:$N$3,0))</f>
        <v>0.04</v>
      </c>
      <c r="I941" s="8">
        <f>INDEX('Fuel Model -  Input'!$B$3:$N$373,MATCH($B941,'Fuel Model -  Input'!$B$3:$B$373,0),MATCH(I$2,'Fuel Model -  Input'!$B$3:$N$3,0))</f>
        <v>0.04</v>
      </c>
      <c r="J941" s="8">
        <f>INDEX('Fuel Model -  Input'!$B$3:$N$373,MATCH($B941,'Fuel Model -  Input'!$B$3:$B$373,0),MATCH(J$2,'Fuel Model -  Input'!$B$3:$N$3,0))</f>
        <v>0.04</v>
      </c>
      <c r="K941" s="8">
        <f>INDEX('Fuel Model -  Input'!$B$3:$N$373,MATCH($B941,'Fuel Model -  Input'!$B$3:$B$373,0),MATCH(K$2,'Fuel Model -  Input'!$B$3:$N$3,0))</f>
        <v>0.04</v>
      </c>
      <c r="L941" s="8">
        <f>INDEX('Fuel Model -  Input'!$B$3:$N$373,MATCH($B941,'Fuel Model -  Input'!$B$3:$B$373,0),MATCH(L$2,'Fuel Model -  Input'!$B$3:$N$3,0))</f>
        <v>0.04</v>
      </c>
      <c r="M941" s="8">
        <f>INDEX('Fuel Model -  Input'!$B$3:$N$373,MATCH($B941,'Fuel Model -  Input'!$B$3:$B$373,0),MATCH(M$2,'Fuel Model -  Input'!$B$3:$N$3,0))</f>
        <v>0.04</v>
      </c>
    </row>
    <row r="942" spans="2:13" hidden="1" outlineLevel="2" x14ac:dyDescent="0.2">
      <c r="B942" s="157"/>
      <c r="C942" s="157"/>
      <c r="D942" s="157"/>
      <c r="E942" s="498"/>
      <c r="G942" s="531"/>
      <c r="H942" s="531"/>
      <c r="I942" s="531"/>
      <c r="J942" s="531"/>
      <c r="K942" s="531"/>
      <c r="L942" s="531"/>
      <c r="M942" s="531"/>
    </row>
    <row r="943" spans="2:13" hidden="1" outlineLevel="2" x14ac:dyDescent="0.2">
      <c r="B943" s="157" t="str">
        <f>+C943&amp;D943&amp;E943&amp;F943</f>
        <v>AfricaMethanol SynthesisElectricity costUSD/ton MeOH</v>
      </c>
      <c r="C943" s="157" t="str">
        <f>+$B$924</f>
        <v>Africa</v>
      </c>
      <c r="D943" s="157" t="s">
        <v>1005</v>
      </c>
      <c r="E943" s="498" t="s">
        <v>94</v>
      </c>
      <c r="F943" s="450" t="s">
        <v>1003</v>
      </c>
      <c r="G943" s="8">
        <f t="shared" ref="G943:M943" si="541">G944*G945</f>
        <v>134.23087627463499</v>
      </c>
      <c r="H943" s="8">
        <f t="shared" si="541"/>
        <v>75.950535453365973</v>
      </c>
      <c r="I943" s="8">
        <f t="shared" si="541"/>
        <v>59.703968009368467</v>
      </c>
      <c r="J943" s="8">
        <f t="shared" si="541"/>
        <v>50.635113299157368</v>
      </c>
      <c r="K943" s="8">
        <f t="shared" si="541"/>
        <v>46.366552407547154</v>
      </c>
      <c r="L943" s="8">
        <f t="shared" si="541"/>
        <v>41.977314389253372</v>
      </c>
      <c r="M943" s="8">
        <f t="shared" si="541"/>
        <v>39.822958819640832</v>
      </c>
    </row>
    <row r="944" spans="2:13" hidden="1" outlineLevel="2" x14ac:dyDescent="0.2">
      <c r="B944" s="460" t="str">
        <f>+C944&amp;D944&amp;E944&amp;F944</f>
        <v>AfricaFeedstockElectricityUSD/MWh</v>
      </c>
      <c r="C944" s="157" t="str">
        <f>+$B$924</f>
        <v>Africa</v>
      </c>
      <c r="D944" s="157" t="s">
        <v>777</v>
      </c>
      <c r="E944" s="498" t="s">
        <v>54</v>
      </c>
      <c r="F944" s="450" t="s">
        <v>196</v>
      </c>
      <c r="G944" s="260">
        <f>INDEX('Fuel Model -  Input'!$B$3:$N$373,MATCH($B944,'Fuel Model -  Input'!$B$3:$B$373,0),MATCH(G$2,'Fuel Model -  Input'!$B$3:$N$3,0))</f>
        <v>78.959338985079413</v>
      </c>
      <c r="H944" s="260">
        <f>INDEX('Fuel Model -  Input'!$B$3:$N$373,MATCH($B944,'Fuel Model -  Input'!$B$3:$B$373,0),MATCH(H$2,'Fuel Model -  Input'!$B$3:$N$3,0))</f>
        <v>44.676785560803516</v>
      </c>
      <c r="I944" s="260">
        <f>INDEX('Fuel Model -  Input'!$B$3:$N$373,MATCH($B944,'Fuel Model -  Input'!$B$3:$B$373,0),MATCH(I$2,'Fuel Model -  Input'!$B$3:$N$3,0))</f>
        <v>35.119981181981451</v>
      </c>
      <c r="J944" s="260">
        <f>INDEX('Fuel Model -  Input'!$B$3:$N$373,MATCH($B944,'Fuel Model -  Input'!$B$3:$B$373,0),MATCH(J$2,'Fuel Model -  Input'!$B$3:$N$3,0))</f>
        <v>29.785360764210218</v>
      </c>
      <c r="K944" s="260">
        <f>INDEX('Fuel Model -  Input'!$B$3:$N$373,MATCH($B944,'Fuel Model -  Input'!$B$3:$B$373,0),MATCH(K$2,'Fuel Model -  Input'!$B$3:$N$3,0))</f>
        <v>27.274442592674799</v>
      </c>
      <c r="L944" s="260">
        <f>INDEX('Fuel Model -  Input'!$B$3:$N$373,MATCH($B944,'Fuel Model -  Input'!$B$3:$B$373,0),MATCH(L$2,'Fuel Model -  Input'!$B$3:$N$3,0))</f>
        <v>24.692537876031398</v>
      </c>
      <c r="M944" s="260">
        <f>INDEX('Fuel Model -  Input'!$B$3:$N$373,MATCH($B944,'Fuel Model -  Input'!$B$3:$B$373,0),MATCH(M$2,'Fuel Model -  Input'!$B$3:$N$3,0))</f>
        <v>23.425269893906371</v>
      </c>
    </row>
    <row r="945" spans="2:13" hidden="1" outlineLevel="2" x14ac:dyDescent="0.2">
      <c r="B945" s="460" t="str">
        <f>+C945&amp;D945&amp;E945&amp;F945</f>
        <v>GlobalMethanol SynthesisElectricity demandmWh/ton MeOH</v>
      </c>
      <c r="C945" s="157" t="s">
        <v>109</v>
      </c>
      <c r="D945" s="157" t="s">
        <v>1005</v>
      </c>
      <c r="E945" s="498" t="s">
        <v>963</v>
      </c>
      <c r="F945" s="450" t="s">
        <v>1006</v>
      </c>
      <c r="G945" s="532">
        <f>INDEX('Fuel Model -  Input'!$B$3:$N$373,MATCH($B945,'Fuel Model -  Input'!$B$3:$B$373,0),MATCH(G$2,'Fuel Model -  Input'!$B$3:$N$3,0))</f>
        <v>1.7</v>
      </c>
      <c r="H945" s="532">
        <f>INDEX('Fuel Model -  Input'!$B$3:$N$373,MATCH($B945,'Fuel Model -  Input'!$B$3:$B$373,0),MATCH(H$2,'Fuel Model -  Input'!$B$3:$N$3,0))</f>
        <v>1.7</v>
      </c>
      <c r="I945" s="532">
        <f>INDEX('Fuel Model -  Input'!$B$3:$N$373,MATCH($B945,'Fuel Model -  Input'!$B$3:$B$373,0),MATCH(I$2,'Fuel Model -  Input'!$B$3:$N$3,0))</f>
        <v>1.7</v>
      </c>
      <c r="J945" s="532">
        <f>INDEX('Fuel Model -  Input'!$B$3:$N$373,MATCH($B945,'Fuel Model -  Input'!$B$3:$B$373,0),MATCH(J$2,'Fuel Model -  Input'!$B$3:$N$3,0))</f>
        <v>1.7</v>
      </c>
      <c r="K945" s="532">
        <f>INDEX('Fuel Model -  Input'!$B$3:$N$373,MATCH($B945,'Fuel Model -  Input'!$B$3:$B$373,0),MATCH(K$2,'Fuel Model -  Input'!$B$3:$N$3,0))</f>
        <v>1.7</v>
      </c>
      <c r="L945" s="532">
        <f>INDEX('Fuel Model -  Input'!$B$3:$N$373,MATCH($B945,'Fuel Model -  Input'!$B$3:$B$373,0),MATCH(L$2,'Fuel Model -  Input'!$B$3:$N$3,0))</f>
        <v>1.7</v>
      </c>
      <c r="M945" s="532">
        <f>INDEX('Fuel Model -  Input'!$B$3:$N$373,MATCH($B945,'Fuel Model -  Input'!$B$3:$B$373,0),MATCH(M$2,'Fuel Model -  Input'!$B$3:$N$3,0))</f>
        <v>1.7</v>
      </c>
    </row>
    <row r="946" spans="2:13" hidden="1" outlineLevel="2" x14ac:dyDescent="0.2">
      <c r="B946" s="460"/>
      <c r="C946" s="157"/>
      <c r="D946" s="157"/>
      <c r="E946" s="498"/>
      <c r="G946" s="521"/>
      <c r="H946" s="521"/>
      <c r="I946" s="521"/>
      <c r="J946" s="521"/>
      <c r="K946" s="521"/>
      <c r="L946" s="521"/>
      <c r="M946" s="521"/>
    </row>
    <row r="947" spans="2:13" hidden="1" outlineLevel="2" x14ac:dyDescent="0.2">
      <c r="B947" t="str">
        <f>+C947&amp;D947&amp;E947&amp;F947</f>
        <v>AfricaFeedstockFeedstock CO2USD/ton MeOH</v>
      </c>
      <c r="C947" s="157" t="str">
        <f>+$B$924</f>
        <v>Africa</v>
      </c>
      <c r="D947" t="s">
        <v>777</v>
      </c>
      <c r="E947" s="48" t="s">
        <v>1007</v>
      </c>
      <c r="F947" s="128" t="s">
        <v>1003</v>
      </c>
      <c r="G947" s="524">
        <f t="shared" ref="G947:M947" si="542">G948*G949</f>
        <v>522.1915054532451</v>
      </c>
      <c r="H947" s="524">
        <f t="shared" si="542"/>
        <v>334.98054479275885</v>
      </c>
      <c r="I947" s="524">
        <f t="shared" si="542"/>
        <v>261.46908577995407</v>
      </c>
      <c r="J947" s="524">
        <f t="shared" si="542"/>
        <v>212.40682063610615</v>
      </c>
      <c r="K947" s="524">
        <f t="shared" si="542"/>
        <v>179.18113325354852</v>
      </c>
      <c r="L947" s="524">
        <f t="shared" si="542"/>
        <v>150.5207183044329</v>
      </c>
      <c r="M947" s="524">
        <f t="shared" si="542"/>
        <v>129.36246976036574</v>
      </c>
    </row>
    <row r="948" spans="2:13" hidden="1" outlineLevel="2" x14ac:dyDescent="0.2">
      <c r="B948" s="78" t="str">
        <f>+C948&amp;D948&amp;E948&amp;F948</f>
        <v>GlobalFeedstockConversion CO2 : MeOH (actual)kg CO2/kg MeOH</v>
      </c>
      <c r="C948" s="157" t="s">
        <v>109</v>
      </c>
      <c r="D948" t="s">
        <v>777</v>
      </c>
      <c r="E948" s="48" t="s">
        <v>1008</v>
      </c>
      <c r="F948" s="128" t="s">
        <v>1009</v>
      </c>
      <c r="G948" s="8">
        <f>INDEX('Fuel Model -  Input'!$B$3:$N$373,MATCH($B948,'Fuel Model -  Input'!$B$3:$B$373,0),MATCH(G$2,'Fuel Model -  Input'!$B$3:$N$3,0))</f>
        <v>1.3735097684289368</v>
      </c>
      <c r="H948" s="8">
        <f>INDEX('Fuel Model -  Input'!$B$3:$N$373,MATCH($B948,'Fuel Model -  Input'!$B$3:$B$373,0),MATCH(H$2,'Fuel Model -  Input'!$B$3:$N$3,0))</f>
        <v>1.3735097684289368</v>
      </c>
      <c r="I948" s="8">
        <f>INDEX('Fuel Model -  Input'!$B$3:$N$373,MATCH($B948,'Fuel Model -  Input'!$B$3:$B$373,0),MATCH(I$2,'Fuel Model -  Input'!$B$3:$N$3,0))</f>
        <v>1.3735097684289368</v>
      </c>
      <c r="J948" s="8">
        <f>INDEX('Fuel Model -  Input'!$B$3:$N$373,MATCH($B948,'Fuel Model -  Input'!$B$3:$B$373,0),MATCH(J$2,'Fuel Model -  Input'!$B$3:$N$3,0))</f>
        <v>1.3735097684289368</v>
      </c>
      <c r="K948" s="8">
        <f>INDEX('Fuel Model -  Input'!$B$3:$N$373,MATCH($B948,'Fuel Model -  Input'!$B$3:$B$373,0),MATCH(K$2,'Fuel Model -  Input'!$B$3:$N$3,0))</f>
        <v>1.3735097684289368</v>
      </c>
      <c r="L948" s="8">
        <f>INDEX('Fuel Model -  Input'!$B$3:$N$373,MATCH($B948,'Fuel Model -  Input'!$B$3:$B$373,0),MATCH(L$2,'Fuel Model -  Input'!$B$3:$N$3,0))</f>
        <v>1.3735097684289368</v>
      </c>
      <c r="M948" s="8">
        <f>INDEX('Fuel Model -  Input'!$B$3:$N$373,MATCH($B948,'Fuel Model -  Input'!$B$3:$B$373,0),MATCH(M$2,'Fuel Model -  Input'!$B$3:$N$3,0))</f>
        <v>1.3735097684289368</v>
      </c>
    </row>
    <row r="949" spans="2:13" hidden="1" outlineLevel="2" x14ac:dyDescent="0.2">
      <c r="B949" s="78" t="str">
        <f>+C949&amp;D949&amp;E949&amp;F949</f>
        <v>AfricaFeedstockCost of CO2 DACUSD/ton</v>
      </c>
      <c r="C949" s="157" t="str">
        <f>B924</f>
        <v>Africa</v>
      </c>
      <c r="D949" t="s">
        <v>777</v>
      </c>
      <c r="E949" t="s">
        <v>1010</v>
      </c>
      <c r="F949" s="128" t="s">
        <v>205</v>
      </c>
      <c r="G949" s="532">
        <f t="shared" ref="G949:M949" si="543">INDEX(G$1564:G$1568,MATCH($C949,$C$1564:$C$1568,0))</f>
        <v>380.18768956448264</v>
      </c>
      <c r="H949" s="532">
        <f t="shared" si="543"/>
        <v>243.88653979208317</v>
      </c>
      <c r="I949" s="532">
        <f t="shared" si="543"/>
        <v>190.36565431859327</v>
      </c>
      <c r="J949" s="532">
        <f t="shared" si="543"/>
        <v>154.64529304299282</v>
      </c>
      <c r="K949" s="532">
        <f t="shared" si="543"/>
        <v>130.45493914360833</v>
      </c>
      <c r="L949" s="532">
        <f t="shared" si="543"/>
        <v>109.58838572848535</v>
      </c>
      <c r="M949" s="532">
        <f t="shared" si="543"/>
        <v>94.183873121146092</v>
      </c>
    </row>
    <row r="950" spans="2:13" hidden="1" outlineLevel="2" x14ac:dyDescent="0.2">
      <c r="B950" s="78"/>
      <c r="C950" s="157"/>
      <c r="F950" s="128"/>
      <c r="G950" s="521"/>
      <c r="H950" s="521"/>
      <c r="I950" s="521"/>
      <c r="J950" s="521"/>
      <c r="K950" s="521"/>
      <c r="L950" s="521"/>
      <c r="M950" s="521"/>
    </row>
    <row r="951" spans="2:13" hidden="1" outlineLevel="2" x14ac:dyDescent="0.2">
      <c r="B951" s="157" t="str">
        <f>+C951&amp;D951&amp;E951&amp;F951</f>
        <v>AfricaFeedstockFeedstock CO2USD/ton MeOH</v>
      </c>
      <c r="C951" s="157" t="str">
        <f>+$B$924</f>
        <v>Africa</v>
      </c>
      <c r="D951" s="157" t="s">
        <v>777</v>
      </c>
      <c r="E951" s="498" t="s">
        <v>1007</v>
      </c>
      <c r="F951" s="450" t="s">
        <v>1003</v>
      </c>
      <c r="G951" s="524">
        <f t="shared" ref="G951:M951" si="544">G952*G953</f>
        <v>267.30565285968436</v>
      </c>
      <c r="H951" s="524">
        <f t="shared" si="544"/>
        <v>208.11587602643195</v>
      </c>
      <c r="I951" s="524">
        <f t="shared" si="544"/>
        <v>164.20857522372359</v>
      </c>
      <c r="J951" s="524">
        <f t="shared" si="544"/>
        <v>146.18618695009056</v>
      </c>
      <c r="K951" s="524">
        <f t="shared" si="544"/>
        <v>129.90907085471031</v>
      </c>
      <c r="L951" s="524">
        <f t="shared" si="544"/>
        <v>113.58807943842032</v>
      </c>
      <c r="M951" s="524">
        <f t="shared" si="544"/>
        <v>98.079637900688738</v>
      </c>
    </row>
    <row r="952" spans="2:13" hidden="1" outlineLevel="2" x14ac:dyDescent="0.2">
      <c r="B952" s="460" t="str">
        <f>+C952&amp;D952&amp;E952&amp;F952</f>
        <v>GlobalFeedstockConversion CO2 : MeOH (actual)kg CO2/kg MeOH</v>
      </c>
      <c r="C952" s="157" t="s">
        <v>109</v>
      </c>
      <c r="D952" s="157" t="s">
        <v>777</v>
      </c>
      <c r="E952" s="498" t="s">
        <v>1008</v>
      </c>
      <c r="F952" s="450" t="s">
        <v>1009</v>
      </c>
      <c r="G952" s="8">
        <f>INDEX('Fuel Model -  Input'!$B$3:$N$373,MATCH($B952,'Fuel Model -  Input'!$B$3:$B$373,0),MATCH(G$2,'Fuel Model -  Input'!$B$3:$N$3,0))</f>
        <v>1.3735097684289368</v>
      </c>
      <c r="H952" s="8">
        <f>INDEX('Fuel Model -  Input'!$B$3:$N$373,MATCH($B952,'Fuel Model -  Input'!$B$3:$B$373,0),MATCH(H$2,'Fuel Model -  Input'!$B$3:$N$3,0))</f>
        <v>1.3735097684289368</v>
      </c>
      <c r="I952" s="8">
        <f>INDEX('Fuel Model -  Input'!$B$3:$N$373,MATCH($B952,'Fuel Model -  Input'!$B$3:$B$373,0),MATCH(I$2,'Fuel Model -  Input'!$B$3:$N$3,0))</f>
        <v>1.3735097684289368</v>
      </c>
      <c r="J952" s="8">
        <f>INDEX('Fuel Model -  Input'!$B$3:$N$373,MATCH($B952,'Fuel Model -  Input'!$B$3:$B$373,0),MATCH(J$2,'Fuel Model -  Input'!$B$3:$N$3,0))</f>
        <v>1.3735097684289368</v>
      </c>
      <c r="K952" s="8">
        <f>INDEX('Fuel Model -  Input'!$B$3:$N$373,MATCH($B952,'Fuel Model -  Input'!$B$3:$B$373,0),MATCH(K$2,'Fuel Model -  Input'!$B$3:$N$3,0))</f>
        <v>1.3735097684289368</v>
      </c>
      <c r="L952" s="8">
        <f>INDEX('Fuel Model -  Input'!$B$3:$N$373,MATCH($B952,'Fuel Model -  Input'!$B$3:$B$373,0),MATCH(L$2,'Fuel Model -  Input'!$B$3:$N$3,0))</f>
        <v>1.3735097684289368</v>
      </c>
      <c r="M952" s="8">
        <f>INDEX('Fuel Model -  Input'!$B$3:$N$373,MATCH($B952,'Fuel Model -  Input'!$B$3:$B$373,0),MATCH(M$2,'Fuel Model -  Input'!$B$3:$N$3,0))</f>
        <v>1.3735097684289368</v>
      </c>
    </row>
    <row r="953" spans="2:13" hidden="1" outlineLevel="2" x14ac:dyDescent="0.2">
      <c r="B953" s="460" t="str">
        <f>+C953&amp;D953&amp;E953&amp;F953</f>
        <v>AfricaFeedstockCost of CO2 PSUSD/ton</v>
      </c>
      <c r="C953" s="157" t="str">
        <f>B924</f>
        <v>Africa</v>
      </c>
      <c r="D953" s="157" t="s">
        <v>777</v>
      </c>
      <c r="E953" s="157" t="s">
        <v>1011</v>
      </c>
      <c r="F953" s="450" t="s">
        <v>205</v>
      </c>
      <c r="G953" s="532">
        <f t="shared" ref="G953:M953" si="545">INDEX(G$1538:G$1542,MATCH($B953,$B$1538:$B$1542,0))</f>
        <v>194.61503587661912</v>
      </c>
      <c r="H953" s="532">
        <f t="shared" si="545"/>
        <v>151.52122016902825</v>
      </c>
      <c r="I953" s="532">
        <f t="shared" si="545"/>
        <v>119.55399153189167</v>
      </c>
      <c r="J953" s="532">
        <f t="shared" si="545"/>
        <v>106.43257901056128</v>
      </c>
      <c r="K953" s="532">
        <f t="shared" si="545"/>
        <v>94.581832500036995</v>
      </c>
      <c r="L953" s="532">
        <f t="shared" si="545"/>
        <v>82.699142044214142</v>
      </c>
      <c r="M953" s="532">
        <f t="shared" si="545"/>
        <v>71.408038118924537</v>
      </c>
    </row>
    <row r="954" spans="2:13" hidden="1" outlineLevel="2" x14ac:dyDescent="0.2">
      <c r="B954" s="460"/>
      <c r="C954" s="157"/>
      <c r="D954" s="157"/>
      <c r="E954" s="157"/>
      <c r="G954" s="521"/>
      <c r="H954" s="521"/>
      <c r="I954" s="521"/>
      <c r="J954" s="521"/>
      <c r="K954" s="521"/>
      <c r="L954" s="521"/>
      <c r="M954" s="521"/>
    </row>
    <row r="955" spans="2:13" hidden="1" outlineLevel="2" x14ac:dyDescent="0.2">
      <c r="B955" s="157" t="str">
        <f>+C955&amp;D955&amp;E955&amp;F955</f>
        <v>AfricaFeedstockFeedstock H2USD/ton MeOH</v>
      </c>
      <c r="C955" s="157" t="str">
        <f>+$B$924</f>
        <v>Africa</v>
      </c>
      <c r="D955" s="157" t="s">
        <v>777</v>
      </c>
      <c r="E955" s="157" t="s">
        <v>970</v>
      </c>
      <c r="F955" s="450" t="s">
        <v>1003</v>
      </c>
      <c r="G955" s="520">
        <f t="shared" ref="G955:M955" si="546">G958*G959</f>
        <v>1149.0053922251761</v>
      </c>
      <c r="H955" s="520">
        <f t="shared" si="546"/>
        <v>739.39122085801114</v>
      </c>
      <c r="I955" s="520">
        <f t="shared" si="546"/>
        <v>592.85507750044144</v>
      </c>
      <c r="J955" s="520">
        <f t="shared" si="546"/>
        <v>523.62899747594759</v>
      </c>
      <c r="K955" s="520">
        <f t="shared" si="546"/>
        <v>452.52646742948707</v>
      </c>
      <c r="L955" s="520">
        <f t="shared" si="546"/>
        <v>363.29448357473291</v>
      </c>
      <c r="M955" s="520">
        <f t="shared" si="546"/>
        <v>285.73223835815639</v>
      </c>
    </row>
    <row r="956" spans="2:13" hidden="1" outlineLevel="2" x14ac:dyDescent="0.2">
      <c r="B956" s="460" t="str">
        <f>+C956&amp;D956&amp;E956&amp;F956</f>
        <v>AfricaResultsShare of RNE e-Hydrogen (compressed)%</v>
      </c>
      <c r="C956" s="157" t="str">
        <f>+$B$924</f>
        <v>Africa</v>
      </c>
      <c r="D956" s="157" t="s">
        <v>838</v>
      </c>
      <c r="E956" s="48" t="s">
        <v>848</v>
      </c>
      <c r="F956" s="450" t="s">
        <v>178</v>
      </c>
      <c r="G956" s="537">
        <f t="shared" ref="G956:M956" si="547">+INDEX($A:$M,MATCH($B956,$B:$B,0),MATCH(G$2,$2:$2,0))</f>
        <v>0.70374350439456668</v>
      </c>
      <c r="H956" s="537">
        <f t="shared" si="547"/>
        <v>0.61587638958022917</v>
      </c>
      <c r="I956" s="537">
        <f t="shared" si="547"/>
        <v>0.59578206340737183</v>
      </c>
      <c r="J956" s="537">
        <f t="shared" si="547"/>
        <v>0.55164163635488539</v>
      </c>
      <c r="K956" s="537">
        <f t="shared" si="547"/>
        <v>0.55849335567638114</v>
      </c>
      <c r="L956" s="537">
        <f t="shared" si="547"/>
        <v>0.59075971910739944</v>
      </c>
      <c r="M956" s="537">
        <f t="shared" si="547"/>
        <v>0.67546332636465578</v>
      </c>
    </row>
    <row r="957" spans="2:13" hidden="1" outlineLevel="2" x14ac:dyDescent="0.2">
      <c r="B957" t="str">
        <f>+C957&amp;D957&amp;E957&amp;F957</f>
        <v>AfricaResultsShare of Capex e-Hydrogen (compressed)%</v>
      </c>
      <c r="C957" s="157" t="str">
        <f>+$B$924</f>
        <v>Africa</v>
      </c>
      <c r="D957" t="s">
        <v>838</v>
      </c>
      <c r="E957" s="48" t="s">
        <v>850</v>
      </c>
      <c r="F957" s="128" t="s">
        <v>178</v>
      </c>
      <c r="G957" s="537">
        <f t="shared" ref="G957:M957" si="548">+INDEX(G$4:G$581,MATCH($B957,$B$4:$B$581,0))</f>
        <v>0.13709753132575195</v>
      </c>
      <c r="H957" s="537">
        <f t="shared" si="548"/>
        <v>0.17854777040440584</v>
      </c>
      <c r="I957" s="537">
        <f t="shared" si="548"/>
        <v>0.19487111194737386</v>
      </c>
      <c r="J957" s="537">
        <f t="shared" si="548"/>
        <v>0.23236206902119594</v>
      </c>
      <c r="K957" s="537">
        <f t="shared" si="548"/>
        <v>0.24740459873320536</v>
      </c>
      <c r="L957" s="537">
        <f t="shared" si="548"/>
        <v>0.24614153573918471</v>
      </c>
      <c r="M957" s="537">
        <f t="shared" si="548"/>
        <v>0.20501738780232606</v>
      </c>
    </row>
    <row r="958" spans="2:13" hidden="1" outlineLevel="2" x14ac:dyDescent="0.2">
      <c r="B958" t="str">
        <f>+C958&amp;D958&amp;E958&amp;F958</f>
        <v>GlobalFeedstockConversion H2 : MeOH (actual)tons H2/ton MeOH</v>
      </c>
      <c r="C958" s="157" t="s">
        <v>109</v>
      </c>
      <c r="D958" t="s">
        <v>777</v>
      </c>
      <c r="E958" s="157" t="s">
        <v>1012</v>
      </c>
      <c r="F958" s="128" t="s">
        <v>1013</v>
      </c>
      <c r="G958" s="538">
        <f>INDEX('Fuel Model -  Input'!$B$3:$N$373,MATCH($B958,'Fuel Model -  Input'!$B$3:$B$373,0),MATCH(G$2,'Fuel Model -  Input'!$B$3:$N$3,0))</f>
        <v>0.18875226265526496</v>
      </c>
      <c r="H958" s="538">
        <f>INDEX('Fuel Model -  Input'!$B$3:$N$373,MATCH($B958,'Fuel Model -  Input'!$B$3:$B$373,0),MATCH(H$2,'Fuel Model -  Input'!$B$3:$N$3,0))</f>
        <v>0.18875226265526496</v>
      </c>
      <c r="I958" s="538">
        <f>INDEX('Fuel Model -  Input'!$B$3:$N$373,MATCH($B958,'Fuel Model -  Input'!$B$3:$B$373,0),MATCH(I$2,'Fuel Model -  Input'!$B$3:$N$3,0))</f>
        <v>0.18875226265526496</v>
      </c>
      <c r="J958" s="538">
        <f>INDEX('Fuel Model -  Input'!$B$3:$N$373,MATCH($B958,'Fuel Model -  Input'!$B$3:$B$373,0),MATCH(J$2,'Fuel Model -  Input'!$B$3:$N$3,0))</f>
        <v>0.18875226265526496</v>
      </c>
      <c r="K958" s="538">
        <f>INDEX('Fuel Model -  Input'!$B$3:$N$373,MATCH($B958,'Fuel Model -  Input'!$B$3:$B$373,0),MATCH(K$2,'Fuel Model -  Input'!$B$3:$N$3,0))</f>
        <v>0.18875226265526496</v>
      </c>
      <c r="L958" s="538">
        <f>INDEX('Fuel Model -  Input'!$B$3:$N$373,MATCH($B958,'Fuel Model -  Input'!$B$3:$B$373,0),MATCH(L$2,'Fuel Model -  Input'!$B$3:$N$3,0))</f>
        <v>0.18875226265526496</v>
      </c>
      <c r="M958" s="538">
        <f>INDEX('Fuel Model -  Input'!$B$3:$N$373,MATCH($B958,'Fuel Model -  Input'!$B$3:$B$373,0),MATCH(M$2,'Fuel Model -  Input'!$B$3:$N$3,0))</f>
        <v>0.18875226265526496</v>
      </c>
    </row>
    <row r="959" spans="2:13" hidden="1" outlineLevel="2" x14ac:dyDescent="0.2">
      <c r="B959" s="460" t="str">
        <f>+C959&amp;D959&amp;E959&amp;F959</f>
        <v>AfricaResultsCost of e-Hydrogen (compressed)USD/ton</v>
      </c>
      <c r="C959" s="157" t="str">
        <f>B924</f>
        <v>Africa</v>
      </c>
      <c r="D959" s="157" t="s">
        <v>838</v>
      </c>
      <c r="E959" t="s">
        <v>846</v>
      </c>
      <c r="F959" s="450" t="s">
        <v>205</v>
      </c>
      <c r="G959" s="532">
        <f>INDEX(G$4:G958,MATCH($B959,$B$4:$B958,0))</f>
        <v>6087.3728137696917</v>
      </c>
      <c r="H959" s="532">
        <f>INDEX(H$4:H958,MATCH($B959,$B$4:$B958,0))</f>
        <v>3917.257522938557</v>
      </c>
      <c r="I959" s="532">
        <f>INDEX(I$4:I958,MATCH($B959,$B$4:$B958,0))</f>
        <v>3140.9164010034965</v>
      </c>
      <c r="J959" s="532">
        <f>INDEX(J$4:J958,MATCH($B959,$B$4:$B958,0))</f>
        <v>2774.1601086515066</v>
      </c>
      <c r="K959" s="532">
        <f>INDEX(K$4:K958,MATCH($B959,$B$4:$B958,0))</f>
        <v>2397.4624784020543</v>
      </c>
      <c r="L959" s="532">
        <f>INDEX(L$4:L958,MATCH($B959,$B$4:$B958,0))</f>
        <v>1924.7159131451044</v>
      </c>
      <c r="M959" s="532">
        <f>INDEX(M$4:M958,MATCH($B959,$B$4:$B958,0))</f>
        <v>1513.7950366190555</v>
      </c>
    </row>
    <row r="960" spans="2:13" hidden="1" outlineLevel="1" x14ac:dyDescent="0.2">
      <c r="B960" s="460"/>
      <c r="C960" s="157"/>
      <c r="F960" s="128"/>
      <c r="G960" s="532"/>
      <c r="H960" s="532"/>
      <c r="I960" s="532"/>
      <c r="J960" s="532"/>
      <c r="K960" s="532"/>
      <c r="L960" s="532"/>
      <c r="M960" s="532"/>
    </row>
    <row r="961" spans="2:13" ht="15" hidden="1" outlineLevel="1" x14ac:dyDescent="0.25">
      <c r="B961" s="30" t="s">
        <v>1014</v>
      </c>
      <c r="C961" s="30" t="str">
        <f>+B961</f>
        <v>CO2eq intensity ton/ton e Methanol PS</v>
      </c>
      <c r="F961"/>
      <c r="G961" s="9"/>
    </row>
    <row r="962" spans="2:13" ht="15" hidden="1" outlineLevel="1" collapsed="1" x14ac:dyDescent="0.25">
      <c r="B962" s="527" t="str">
        <f>+C962&amp;D962&amp;E962&amp;F962</f>
        <v xml:space="preserve">GlobalEmissionsWTT Emission - e-Methanol (PS)tonCO2eq/ ton </v>
      </c>
      <c r="C962" s="257" t="s">
        <v>109</v>
      </c>
      <c r="D962" s="257" t="s">
        <v>728</v>
      </c>
      <c r="E962" s="257" t="s">
        <v>1015</v>
      </c>
      <c r="F962" s="539" t="s">
        <v>1016</v>
      </c>
      <c r="G962" s="540">
        <f>G964*G810+G797*G965+G966+G967*G804 + (G968-G804)*G967</f>
        <v>-1.3108780207988588</v>
      </c>
      <c r="H962" s="540">
        <f t="shared" ref="H962:M962" si="549">H964*H810+H797*H965+H966+H967*H804 + (H968-H804)*H967</f>
        <v>-1.3111366188752263</v>
      </c>
      <c r="I962" s="540">
        <f t="shared" si="549"/>
        <v>-1.3118632631235476</v>
      </c>
      <c r="J962" s="540">
        <f t="shared" si="549"/>
        <v>-1.3137932577350739</v>
      </c>
      <c r="K962" s="540">
        <f t="shared" si="549"/>
        <v>-1.3161109969717115</v>
      </c>
      <c r="L962" s="540">
        <f t="shared" si="549"/>
        <v>-1.3191966545944611</v>
      </c>
      <c r="M962" s="540">
        <f t="shared" si="549"/>
        <v>-1.3216273752574745</v>
      </c>
    </row>
    <row r="963" spans="2:13" ht="12.75" hidden="1" outlineLevel="2" x14ac:dyDescent="0.2">
      <c r="F963"/>
    </row>
    <row r="964" spans="2:13" hidden="1" outlineLevel="2" x14ac:dyDescent="0.2">
      <c r="B964" s="496" t="str">
        <f>+C964&amp;D964&amp;E964&amp;F964</f>
        <v>GlobalCO2intensityWTT emission - e-Hydrogen (compressed)tonCO2eq/tonH2</v>
      </c>
      <c r="C964" s="157" t="s">
        <v>109</v>
      </c>
      <c r="D964" s="157" t="s">
        <v>927</v>
      </c>
      <c r="E964" s="157" t="s">
        <v>950</v>
      </c>
      <c r="F964" s="157" t="s">
        <v>929</v>
      </c>
      <c r="G964" s="521">
        <f>INDEX(G$4:G963,MATCH($B964,$B$4:$B963,0))</f>
        <v>0.29135003961027883</v>
      </c>
      <c r="H964" s="521">
        <f>INDEX(H$4:H963,MATCH($B964,$B$4:$B963,0))</f>
        <v>0.28997999999999996</v>
      </c>
      <c r="I964" s="521">
        <f>INDEX(I$4:I963,MATCH($B964,$B$4:$B963,0))</f>
        <v>0.28613027529683921</v>
      </c>
      <c r="J964" s="521">
        <f>INDEX(J$4:J963,MATCH($B964,$B$4:$B963,0))</f>
        <v>0.27590526085528511</v>
      </c>
      <c r="K964" s="521">
        <f>INDEX(K$4:K963,MATCH($B964,$B$4:$B963,0))</f>
        <v>0.26362599487969951</v>
      </c>
      <c r="L964" s="521">
        <f>INDEX(L$4:L963,MATCH($B964,$B$4:$B963,0))</f>
        <v>0.24727833589356388</v>
      </c>
      <c r="M964" s="521">
        <f>INDEX(M$4:M963,MATCH($B964,$B$4:$B963,0))</f>
        <v>0.23440049999999998</v>
      </c>
    </row>
    <row r="965" spans="2:13" hidden="1" outlineLevel="2" x14ac:dyDescent="0.2">
      <c r="B965" s="496" t="str">
        <f>+C965&amp;D965&amp;E965&amp;F965</f>
        <v>GlobalCO2intensityElectricitytonCO2eq/MWH</v>
      </c>
      <c r="C965" s="157" t="s">
        <v>109</v>
      </c>
      <c r="D965" s="157" t="s">
        <v>927</v>
      </c>
      <c r="E965" s="157" t="s">
        <v>54</v>
      </c>
      <c r="F965" s="157" t="s">
        <v>937</v>
      </c>
      <c r="G965" s="521">
        <f>INDEX('Fuel Model -  Input'!$B$3:$N$373,MATCH($B965,'Fuel Model -  Input'!$B$3:$B$373,0),MATCH(G$2,'Fuel Model -  Input'!$B$3:$N$3,0))</f>
        <v>5.3699999999999998E-3</v>
      </c>
      <c r="H965" s="521">
        <f>INDEX('Fuel Model -  Input'!$B$3:$N$373,MATCH($B965,'Fuel Model -  Input'!$B$3:$B$373,0),MATCH(H$2,'Fuel Model -  Input'!$B$3:$N$3,0))</f>
        <v>5.3699999999999998E-3</v>
      </c>
      <c r="I965" s="521">
        <f>INDEX('Fuel Model -  Input'!$B$3:$N$373,MATCH($B965,'Fuel Model -  Input'!$B$3:$B$373,0),MATCH(I$2,'Fuel Model -  Input'!$B$3:$N$3,0))</f>
        <v>5.3699999999999998E-3</v>
      </c>
      <c r="J965" s="521">
        <f>INDEX('Fuel Model -  Input'!$B$3:$N$373,MATCH($B965,'Fuel Model -  Input'!$B$3:$B$373,0),MATCH(J$2,'Fuel Model -  Input'!$B$3:$N$3,0))</f>
        <v>5.3699999999999998E-3</v>
      </c>
      <c r="K965" s="521">
        <f>INDEX('Fuel Model -  Input'!$B$3:$N$373,MATCH($B965,'Fuel Model -  Input'!$B$3:$B$373,0),MATCH(K$2,'Fuel Model -  Input'!$B$3:$N$3,0))</f>
        <v>5.3699999999999998E-3</v>
      </c>
      <c r="L965" s="521">
        <f>INDEX('Fuel Model -  Input'!$B$3:$N$373,MATCH($B965,'Fuel Model -  Input'!$B$3:$B$373,0),MATCH(L$2,'Fuel Model -  Input'!$B$3:$N$3,0))</f>
        <v>5.3699999999999998E-3</v>
      </c>
      <c r="M965" s="521">
        <f>INDEX('Fuel Model -  Input'!$B$3:$N$373,MATCH($B965,'Fuel Model -  Input'!$B$3:$B$373,0),MATCH(M$2,'Fuel Model -  Input'!$B$3:$N$3,0))</f>
        <v>5.3699999999999998E-3</v>
      </c>
    </row>
    <row r="966" spans="2:13" hidden="1" outlineLevel="2" x14ac:dyDescent="0.2">
      <c r="B966" s="496" t="str">
        <f>+C966&amp;D966&amp;E966&amp;F966</f>
        <v>GlobalCO2intensityMethanol synthesis process tonCO2eq/ton Methanol</v>
      </c>
      <c r="C966" s="157" t="s">
        <v>109</v>
      </c>
      <c r="D966" s="157" t="s">
        <v>927</v>
      </c>
      <c r="E966" s="157" t="s">
        <v>1017</v>
      </c>
      <c r="F966" s="157" t="s">
        <v>1018</v>
      </c>
      <c r="G966" s="521">
        <f>INDEX('Fuel Model -  Input'!$B$3:$N$373,MATCH($B966,'Fuel Model -  Input'!$B$3:$B$373,0),MATCH(G$2,'Fuel Model -  Input'!$B$3:$N$3,0))</f>
        <v>0</v>
      </c>
      <c r="H966" s="521">
        <f>INDEX('Fuel Model -  Input'!$B$3:$N$373,MATCH($B966,'Fuel Model -  Input'!$B$3:$B$373,0),MATCH(H$2,'Fuel Model -  Input'!$B$3:$N$3,0))</f>
        <v>0</v>
      </c>
      <c r="I966" s="521">
        <f>INDEX('Fuel Model -  Input'!$B$3:$N$373,MATCH($B966,'Fuel Model -  Input'!$B$3:$B$373,0),MATCH(I$2,'Fuel Model -  Input'!$B$3:$N$3,0))</f>
        <v>0</v>
      </c>
      <c r="J966" s="521">
        <f>INDEX('Fuel Model -  Input'!$B$3:$N$373,MATCH($B966,'Fuel Model -  Input'!$B$3:$B$373,0),MATCH(J$2,'Fuel Model -  Input'!$B$3:$N$3,0))</f>
        <v>0</v>
      </c>
      <c r="K966" s="521">
        <f>INDEX('Fuel Model -  Input'!$B$3:$N$373,MATCH($B966,'Fuel Model -  Input'!$B$3:$B$373,0),MATCH(K$2,'Fuel Model -  Input'!$B$3:$N$3,0))</f>
        <v>0</v>
      </c>
      <c r="L966" s="521">
        <f>INDEX('Fuel Model -  Input'!$B$3:$N$373,MATCH($B966,'Fuel Model -  Input'!$B$3:$B$373,0),MATCH(L$2,'Fuel Model -  Input'!$B$3:$N$3,0))</f>
        <v>0</v>
      </c>
      <c r="M966" s="521">
        <f>INDEX('Fuel Model -  Input'!$B$3:$N$373,MATCH($B966,'Fuel Model -  Input'!$B$3:$B$373,0),MATCH(M$2,'Fuel Model -  Input'!$B$3:$N$3,0))</f>
        <v>0</v>
      </c>
    </row>
    <row r="967" spans="2:13" hidden="1" outlineLevel="2" x14ac:dyDescent="0.2">
      <c r="B967" s="496" t="str">
        <f>+C967&amp;D967&amp;E967&amp;F967</f>
        <v>GlobalCO2 intensityWTT  PStonCO2/tonCO2</v>
      </c>
      <c r="C967" s="157" t="s">
        <v>109</v>
      </c>
      <c r="D967" s="157" t="s">
        <v>1019</v>
      </c>
      <c r="E967" s="157" t="s">
        <v>1020</v>
      </c>
      <c r="F967" s="157" t="s">
        <v>1021</v>
      </c>
      <c r="G967" s="521">
        <f>INDEX('Fuel Model -  Input'!$B$3:$N$373,MATCH($B967,'Fuel Model -  Input'!$B$3:$B$373,0),MATCH(G$2,'Fuel Model -  Input'!$B$3:$N$3,0))</f>
        <v>-1</v>
      </c>
      <c r="H967" s="521">
        <f>INDEX('Fuel Model -  Input'!$B$3:$N$373,MATCH($B967,'Fuel Model -  Input'!$B$3:$B$373,0),MATCH(H$2,'Fuel Model -  Input'!$B$3:$N$3,0))</f>
        <v>-1</v>
      </c>
      <c r="I967" s="521">
        <f>INDEX('Fuel Model -  Input'!$B$3:$N$373,MATCH($B967,'Fuel Model -  Input'!$B$3:$B$373,0),MATCH(I$2,'Fuel Model -  Input'!$B$3:$N$3,0))</f>
        <v>-1</v>
      </c>
      <c r="J967" s="521">
        <f>INDEX('Fuel Model -  Input'!$B$3:$N$373,MATCH($B967,'Fuel Model -  Input'!$B$3:$B$373,0),MATCH(J$2,'Fuel Model -  Input'!$B$3:$N$3,0))</f>
        <v>-1</v>
      </c>
      <c r="K967" s="521">
        <f>INDEX('Fuel Model -  Input'!$B$3:$N$373,MATCH($B967,'Fuel Model -  Input'!$B$3:$B$373,0),MATCH(K$2,'Fuel Model -  Input'!$B$3:$N$3,0))</f>
        <v>-1</v>
      </c>
      <c r="L967" s="521">
        <f>INDEX('Fuel Model -  Input'!$B$3:$N$373,MATCH($B967,'Fuel Model -  Input'!$B$3:$B$373,0),MATCH(L$2,'Fuel Model -  Input'!$B$3:$N$3,0))</f>
        <v>-1</v>
      </c>
      <c r="M967" s="521">
        <f>INDEX('Fuel Model -  Input'!$B$3:$N$373,MATCH($B967,'Fuel Model -  Input'!$B$3:$B$373,0),MATCH(M$2,'Fuel Model -  Input'!$B$3:$N$3,0))</f>
        <v>-1</v>
      </c>
    </row>
    <row r="968" spans="2:13" hidden="1" outlineLevel="2" x14ac:dyDescent="0.2">
      <c r="B968" s="496" t="str">
        <f>+C968&amp;D968&amp;E968&amp;F968</f>
        <v>GlobalStoechiometryCO2/methanoltonCO2/tonMEOH</v>
      </c>
      <c r="C968" s="157" t="s">
        <v>109</v>
      </c>
      <c r="D968" s="157" t="s">
        <v>1022</v>
      </c>
      <c r="E968" s="157" t="s">
        <v>1023</v>
      </c>
      <c r="F968" s="157" t="s">
        <v>1024</v>
      </c>
      <c r="G968" s="521">
        <f t="shared" ref="G968:M968" si="550">1/32*44</f>
        <v>1.375</v>
      </c>
      <c r="H968" s="521">
        <f t="shared" si="550"/>
        <v>1.375</v>
      </c>
      <c r="I968" s="521">
        <f t="shared" si="550"/>
        <v>1.375</v>
      </c>
      <c r="J968" s="521">
        <f t="shared" si="550"/>
        <v>1.375</v>
      </c>
      <c r="K968" s="521">
        <f t="shared" si="550"/>
        <v>1.375</v>
      </c>
      <c r="L968" s="521">
        <f t="shared" si="550"/>
        <v>1.375</v>
      </c>
      <c r="M968" s="521">
        <f t="shared" si="550"/>
        <v>1.375</v>
      </c>
    </row>
    <row r="969" spans="2:13" ht="12.75" hidden="1" outlineLevel="1" x14ac:dyDescent="0.2">
      <c r="F969"/>
    </row>
    <row r="970" spans="2:13" ht="15" hidden="1" outlineLevel="1" x14ac:dyDescent="0.25">
      <c r="B970" s="30" t="s">
        <v>1025</v>
      </c>
      <c r="C970" s="30" t="str">
        <f>+B970</f>
        <v>Primary energy efficiency - e Methanol PS</v>
      </c>
      <c r="F970"/>
    </row>
    <row r="971" spans="2:13" s="157" customFormat="1" ht="15" hidden="1" outlineLevel="1" collapsed="1" x14ac:dyDescent="0.25">
      <c r="B971" s="541" t="str">
        <f>+C971&amp;D971&amp;E971&amp;F971</f>
        <v>GlobalResultsAverage Primary EE of e-Methanol (PS)%</v>
      </c>
      <c r="C971" s="516" t="s">
        <v>109</v>
      </c>
      <c r="D971" s="516" t="s">
        <v>838</v>
      </c>
      <c r="E971" s="516" t="s">
        <v>1026</v>
      </c>
      <c r="F971" s="512" t="s">
        <v>178</v>
      </c>
      <c r="G971" s="528">
        <f t="shared" ref="G971:M971" si="551">G975/3600/(G797+G810*G974/3600/G973)</f>
        <v>0.46714237462884445</v>
      </c>
      <c r="H971" s="529">
        <f t="shared" si="551"/>
        <v>0.46924470895162751</v>
      </c>
      <c r="I971" s="529">
        <f t="shared" si="551"/>
        <v>0.47598708209665719</v>
      </c>
      <c r="J971" s="529">
        <f t="shared" si="551"/>
        <v>0.4929972768034423</v>
      </c>
      <c r="K971" s="529">
        <f t="shared" si="551"/>
        <v>0.51336374799578455</v>
      </c>
      <c r="L971" s="529">
        <f t="shared" si="551"/>
        <v>0.53985693158107728</v>
      </c>
      <c r="M971" s="529">
        <f t="shared" si="551"/>
        <v>0.56177540563152228</v>
      </c>
    </row>
    <row r="972" spans="2:13" s="157" customFormat="1" hidden="1" outlineLevel="2" x14ac:dyDescent="0.2">
      <c r="B972" s="496"/>
      <c r="F972" s="450"/>
      <c r="G972" s="530"/>
      <c r="H972" s="530"/>
      <c r="I972" s="530"/>
      <c r="J972" s="530"/>
      <c r="K972" s="530"/>
      <c r="L972" s="530"/>
      <c r="M972" s="530"/>
    </row>
    <row r="973" spans="2:13" hidden="1" outlineLevel="2" x14ac:dyDescent="0.2">
      <c r="B973" s="496" t="str">
        <f>+C973&amp;D973&amp;E973&amp;F973</f>
        <v>GlobalResultsAverage Primary EE of e-Hydrogen (compressed)%</v>
      </c>
      <c r="C973" s="157" t="s">
        <v>109</v>
      </c>
      <c r="D973" s="157" t="s">
        <v>838</v>
      </c>
      <c r="E973" s="157" t="s">
        <v>945</v>
      </c>
      <c r="F973" s="157" t="s">
        <v>178</v>
      </c>
      <c r="G973" s="531">
        <f>INDEX(G$4:G972,MATCH($B973,$B$4:$B972,0))</f>
        <v>0.62090526196973861</v>
      </c>
      <c r="H973" s="531">
        <f>INDEX(H$4:H972,MATCH($B973,$B$4:$B972,0))</f>
        <v>0.62417085168914133</v>
      </c>
      <c r="I973" s="531">
        <f>INDEX(I$4:I972,MATCH($B973,$B$4:$B972,0))</f>
        <v>0.63467726108676525</v>
      </c>
      <c r="J973" s="531">
        <f>INDEX(J$4:J972,MATCH($B973,$B$4:$B972,0))</f>
        <v>0.66141189245873089</v>
      </c>
      <c r="K973" s="531">
        <f>INDEX(K$4:K972,MATCH($B973,$B$4:$B972,0))</f>
        <v>0.69385844908622296</v>
      </c>
      <c r="L973" s="531">
        <f>INDEX(L$4:L972,MATCH($B973,$B$4:$B972,0))</f>
        <v>0.73679503467693408</v>
      </c>
      <c r="M973" s="531">
        <f>INDEX(M$4:M972,MATCH($B973,$B$4:$B972,0))</f>
        <v>0.77295687554154879</v>
      </c>
    </row>
    <row r="974" spans="2:13" hidden="1" outlineLevel="2" x14ac:dyDescent="0.2">
      <c r="B974" s="3" t="str">
        <f>+C974&amp;D974&amp;E974&amp;F974</f>
        <v>GlobalLHVe-Hydrogen (compressed)MJ/ ton</v>
      </c>
      <c r="C974" t="s">
        <v>109</v>
      </c>
      <c r="D974" t="s">
        <v>582</v>
      </c>
      <c r="E974" t="s">
        <v>584</v>
      </c>
      <c r="F974" s="157" t="s">
        <v>583</v>
      </c>
      <c r="G974" s="532">
        <f>+INDEX('Fuel Model -  Input'!$B$3:$N$373,MATCH($B974,'Fuel Model -  Input'!$B$3:$B$373,0),MATCH(G$2,'Fuel Model -  Input'!$B$3:$N$3,0))</f>
        <v>120000</v>
      </c>
      <c r="H974" s="532">
        <f>+INDEX('Fuel Model -  Input'!$B$3:$N$373,MATCH($B974,'Fuel Model -  Input'!$B$3:$B$373,0),MATCH(H$2,'Fuel Model -  Input'!$B$3:$N$3,0))</f>
        <v>120000</v>
      </c>
      <c r="I974" s="532">
        <f>+INDEX('Fuel Model -  Input'!$B$3:$N$373,MATCH($B974,'Fuel Model -  Input'!$B$3:$B$373,0),MATCH(I$2,'Fuel Model -  Input'!$B$3:$N$3,0))</f>
        <v>120000</v>
      </c>
      <c r="J974" s="532">
        <f>+INDEX('Fuel Model -  Input'!$B$3:$N$373,MATCH($B974,'Fuel Model -  Input'!$B$3:$B$373,0),MATCH(J$2,'Fuel Model -  Input'!$B$3:$N$3,0))</f>
        <v>120000</v>
      </c>
      <c r="K974" s="532">
        <f>+INDEX('Fuel Model -  Input'!$B$3:$N$373,MATCH($B974,'Fuel Model -  Input'!$B$3:$B$373,0),MATCH(K$2,'Fuel Model -  Input'!$B$3:$N$3,0))</f>
        <v>120000</v>
      </c>
      <c r="L974" s="532">
        <f>+INDEX('Fuel Model -  Input'!$B$3:$N$373,MATCH($B974,'Fuel Model -  Input'!$B$3:$B$373,0),MATCH(L$2,'Fuel Model -  Input'!$B$3:$N$3,0))</f>
        <v>120000</v>
      </c>
      <c r="M974" s="532">
        <f>+INDEX('Fuel Model -  Input'!$B$3:$N$373,MATCH($B974,'Fuel Model -  Input'!$B$3:$B$373,0),MATCH(M$2,'Fuel Model -  Input'!$B$3:$N$3,0))</f>
        <v>120000</v>
      </c>
    </row>
    <row r="975" spans="2:13" hidden="1" outlineLevel="2" x14ac:dyDescent="0.2">
      <c r="B975" s="3" t="str">
        <f>+C975&amp;D975&amp;E975&amp;F975</f>
        <v>GlobalLHVe-Methanol (PS)MJ/ ton</v>
      </c>
      <c r="C975" t="s">
        <v>109</v>
      </c>
      <c r="D975" t="s">
        <v>582</v>
      </c>
      <c r="E975" t="s">
        <v>119</v>
      </c>
      <c r="F975" s="157" t="s">
        <v>583</v>
      </c>
      <c r="G975" s="532">
        <f>+INDEX('Fuel Model -  Input'!$B$3:$N$373,MATCH($B975,'Fuel Model -  Input'!$B$3:$B$373,0),MATCH(G$2,'Fuel Model -  Input'!$B$3:$N$3,0))</f>
        <v>19900</v>
      </c>
      <c r="H975" s="532">
        <f>+INDEX('Fuel Model -  Input'!$B$3:$N$373,MATCH($B975,'Fuel Model -  Input'!$B$3:$B$373,0),MATCH(H$2,'Fuel Model -  Input'!$B$3:$N$3,0))</f>
        <v>19900</v>
      </c>
      <c r="I975" s="532">
        <f>+INDEX('Fuel Model -  Input'!$B$3:$N$373,MATCH($B975,'Fuel Model -  Input'!$B$3:$B$373,0),MATCH(I$2,'Fuel Model -  Input'!$B$3:$N$3,0))</f>
        <v>19900</v>
      </c>
      <c r="J975" s="532">
        <f>+INDEX('Fuel Model -  Input'!$B$3:$N$373,MATCH($B975,'Fuel Model -  Input'!$B$3:$B$373,0),MATCH(J$2,'Fuel Model -  Input'!$B$3:$N$3,0))</f>
        <v>19900</v>
      </c>
      <c r="K975" s="532">
        <f>+INDEX('Fuel Model -  Input'!$B$3:$N$373,MATCH($B975,'Fuel Model -  Input'!$B$3:$B$373,0),MATCH(K$2,'Fuel Model -  Input'!$B$3:$N$3,0))</f>
        <v>19900</v>
      </c>
      <c r="L975" s="532">
        <f>+INDEX('Fuel Model -  Input'!$B$3:$N$373,MATCH($B975,'Fuel Model -  Input'!$B$3:$B$373,0),MATCH(L$2,'Fuel Model -  Input'!$B$3:$N$3,0))</f>
        <v>19900</v>
      </c>
      <c r="M975" s="532">
        <f>+INDEX('Fuel Model -  Input'!$B$3:$N$373,MATCH($B975,'Fuel Model -  Input'!$B$3:$B$373,0),MATCH(M$2,'Fuel Model -  Input'!$B$3:$N$3,0))</f>
        <v>19900</v>
      </c>
    </row>
    <row r="976" spans="2:13" hidden="1" outlineLevel="1" x14ac:dyDescent="0.2"/>
    <row r="977" spans="2:13" ht="15" hidden="1" outlineLevel="1" x14ac:dyDescent="0.25">
      <c r="B977" s="30" t="s">
        <v>1027</v>
      </c>
      <c r="C977" s="30" t="str">
        <f>+B977</f>
        <v>CO2eq intensity ton/ton e Methanol DAC</v>
      </c>
      <c r="F977"/>
    </row>
    <row r="978" spans="2:13" ht="15" hidden="1" outlineLevel="1" x14ac:dyDescent="0.25">
      <c r="B978" s="527" t="str">
        <f>+C978&amp;D978&amp;E978&amp;F978</f>
        <v xml:space="preserve">GlobalEmissionsWTT Emission - e-Methanol (DAC)tonCO2eq/ ton </v>
      </c>
      <c r="C978" s="257" t="s">
        <v>109</v>
      </c>
      <c r="D978" s="257" t="s">
        <v>728</v>
      </c>
      <c r="E978" s="257" t="s">
        <v>1028</v>
      </c>
      <c r="F978" s="539" t="s">
        <v>1016</v>
      </c>
      <c r="G978" s="540">
        <f>G980*G810+G797*G981+G982+G983*G804+(G984-G804)*G983</f>
        <v>-1.3108780207988588</v>
      </c>
      <c r="H978" s="540">
        <f t="shared" ref="H978:M978" si="552">H980*H810+H797*H981+H982+H983*H804+(H984-H804)*H983</f>
        <v>-1.3111366188752263</v>
      </c>
      <c r="I978" s="540">
        <f t="shared" si="552"/>
        <v>-1.3118632631235476</v>
      </c>
      <c r="J978" s="540">
        <f t="shared" si="552"/>
        <v>-1.3137932577350739</v>
      </c>
      <c r="K978" s="540">
        <f t="shared" si="552"/>
        <v>-1.3161109969717115</v>
      </c>
      <c r="L978" s="540">
        <f t="shared" si="552"/>
        <v>-1.3191966545944611</v>
      </c>
      <c r="M978" s="540">
        <f t="shared" si="552"/>
        <v>-1.3216273752574745</v>
      </c>
    </row>
    <row r="979" spans="2:13" ht="12.75" hidden="1" outlineLevel="2" x14ac:dyDescent="0.2">
      <c r="F979"/>
    </row>
    <row r="980" spans="2:13" hidden="1" outlineLevel="2" x14ac:dyDescent="0.2">
      <c r="B980" s="496" t="str">
        <f>+C980&amp;D980&amp;E980&amp;F980</f>
        <v>GlobalCO2intensityWTT emission - e-Hydrogen (compressed)tonCO2eq/tonH2</v>
      </c>
      <c r="C980" s="157" t="s">
        <v>109</v>
      </c>
      <c r="D980" s="157" t="s">
        <v>927</v>
      </c>
      <c r="E980" s="157" t="s">
        <v>950</v>
      </c>
      <c r="F980" s="157" t="s">
        <v>929</v>
      </c>
      <c r="G980" s="521">
        <f>INDEX(G$4:G979,MATCH($B980,$B$4:$B979,0))</f>
        <v>0.29135003961027883</v>
      </c>
      <c r="H980" s="521">
        <f>INDEX(H$4:H979,MATCH($B980,$B$4:$B979,0))</f>
        <v>0.28997999999999996</v>
      </c>
      <c r="I980" s="521">
        <f>INDEX(I$4:I979,MATCH($B980,$B$4:$B979,0))</f>
        <v>0.28613027529683921</v>
      </c>
      <c r="J980" s="521">
        <f>INDEX(J$4:J979,MATCH($B980,$B$4:$B979,0))</f>
        <v>0.27590526085528511</v>
      </c>
      <c r="K980" s="521">
        <f>INDEX(K$4:K979,MATCH($B980,$B$4:$B979,0))</f>
        <v>0.26362599487969951</v>
      </c>
      <c r="L980" s="521">
        <f>INDEX(L$4:L979,MATCH($B980,$B$4:$B979,0))</f>
        <v>0.24727833589356388</v>
      </c>
      <c r="M980" s="521">
        <f>INDEX(M$4:M979,MATCH($B980,$B$4:$B979,0))</f>
        <v>0.23440049999999998</v>
      </c>
    </row>
    <row r="981" spans="2:13" hidden="1" outlineLevel="2" x14ac:dyDescent="0.2">
      <c r="B981" s="496" t="str">
        <f>+C981&amp;D981&amp;E981&amp;F981</f>
        <v>GlobalCO2intensityElectricitytonCO2eq/MWH</v>
      </c>
      <c r="C981" s="157" t="s">
        <v>109</v>
      </c>
      <c r="D981" s="157" t="s">
        <v>927</v>
      </c>
      <c r="E981" s="157" t="s">
        <v>54</v>
      </c>
      <c r="F981" s="157" t="s">
        <v>937</v>
      </c>
      <c r="G981" s="521">
        <f>INDEX('Fuel Model -  Input'!$B$3:$N$373,MATCH($B981,'Fuel Model -  Input'!$B$3:$B$373,0),MATCH(G$2,'Fuel Model -  Input'!$B$3:$N$3,0))</f>
        <v>5.3699999999999998E-3</v>
      </c>
      <c r="H981" s="521">
        <f>INDEX('Fuel Model -  Input'!$B$3:$N$373,MATCH($B981,'Fuel Model -  Input'!$B$3:$B$373,0),MATCH(H$2,'Fuel Model -  Input'!$B$3:$N$3,0))</f>
        <v>5.3699999999999998E-3</v>
      </c>
      <c r="I981" s="521">
        <f>INDEX('Fuel Model -  Input'!$B$3:$N$373,MATCH($B981,'Fuel Model -  Input'!$B$3:$B$373,0),MATCH(I$2,'Fuel Model -  Input'!$B$3:$N$3,0))</f>
        <v>5.3699999999999998E-3</v>
      </c>
      <c r="J981" s="521">
        <f>INDEX('Fuel Model -  Input'!$B$3:$N$373,MATCH($B981,'Fuel Model -  Input'!$B$3:$B$373,0),MATCH(J$2,'Fuel Model -  Input'!$B$3:$N$3,0))</f>
        <v>5.3699999999999998E-3</v>
      </c>
      <c r="K981" s="521">
        <f>INDEX('Fuel Model -  Input'!$B$3:$N$373,MATCH($B981,'Fuel Model -  Input'!$B$3:$B$373,0),MATCH(K$2,'Fuel Model -  Input'!$B$3:$N$3,0))</f>
        <v>5.3699999999999998E-3</v>
      </c>
      <c r="L981" s="521">
        <f>INDEX('Fuel Model -  Input'!$B$3:$N$373,MATCH($B981,'Fuel Model -  Input'!$B$3:$B$373,0),MATCH(L$2,'Fuel Model -  Input'!$B$3:$N$3,0))</f>
        <v>5.3699999999999998E-3</v>
      </c>
      <c r="M981" s="521">
        <f>INDEX('Fuel Model -  Input'!$B$3:$N$373,MATCH($B981,'Fuel Model -  Input'!$B$3:$B$373,0),MATCH(M$2,'Fuel Model -  Input'!$B$3:$N$3,0))</f>
        <v>5.3699999999999998E-3</v>
      </c>
    </row>
    <row r="982" spans="2:13" hidden="1" outlineLevel="2" x14ac:dyDescent="0.2">
      <c r="B982" s="496" t="str">
        <f>+C982&amp;D982&amp;E982&amp;F982</f>
        <v>GlobalCO2intensityMethanol synthesis process tonCO2eq/ton Methanol</v>
      </c>
      <c r="C982" s="157" t="s">
        <v>109</v>
      </c>
      <c r="D982" s="157" t="s">
        <v>927</v>
      </c>
      <c r="E982" s="157" t="s">
        <v>1017</v>
      </c>
      <c r="F982" s="157" t="s">
        <v>1018</v>
      </c>
      <c r="G982" s="521">
        <f>INDEX('Fuel Model -  Input'!$B$3:$N$373,MATCH($B982,'Fuel Model -  Input'!$B$3:$B$373,0),MATCH(G$2,'Fuel Model -  Input'!$B$3:$N$3,0))</f>
        <v>0</v>
      </c>
      <c r="H982" s="521">
        <f>INDEX('Fuel Model -  Input'!$B$3:$N$373,MATCH($B982,'Fuel Model -  Input'!$B$3:$B$373,0),MATCH(H$2,'Fuel Model -  Input'!$B$3:$N$3,0))</f>
        <v>0</v>
      </c>
      <c r="I982" s="521">
        <f>INDEX('Fuel Model -  Input'!$B$3:$N$373,MATCH($B982,'Fuel Model -  Input'!$B$3:$B$373,0),MATCH(I$2,'Fuel Model -  Input'!$B$3:$N$3,0))</f>
        <v>0</v>
      </c>
      <c r="J982" s="521">
        <f>INDEX('Fuel Model -  Input'!$B$3:$N$373,MATCH($B982,'Fuel Model -  Input'!$B$3:$B$373,0),MATCH(J$2,'Fuel Model -  Input'!$B$3:$N$3,0))</f>
        <v>0</v>
      </c>
      <c r="K982" s="521">
        <f>INDEX('Fuel Model -  Input'!$B$3:$N$373,MATCH($B982,'Fuel Model -  Input'!$B$3:$B$373,0),MATCH(K$2,'Fuel Model -  Input'!$B$3:$N$3,0))</f>
        <v>0</v>
      </c>
      <c r="L982" s="521">
        <f>INDEX('Fuel Model -  Input'!$B$3:$N$373,MATCH($B982,'Fuel Model -  Input'!$B$3:$B$373,0),MATCH(L$2,'Fuel Model -  Input'!$B$3:$N$3,0))</f>
        <v>0</v>
      </c>
      <c r="M982" s="521">
        <f>INDEX('Fuel Model -  Input'!$B$3:$N$373,MATCH($B982,'Fuel Model -  Input'!$B$3:$B$373,0),MATCH(M$2,'Fuel Model -  Input'!$B$3:$N$3,0))</f>
        <v>0</v>
      </c>
    </row>
    <row r="983" spans="2:13" hidden="1" outlineLevel="2" x14ac:dyDescent="0.2">
      <c r="B983" s="496" t="str">
        <f>+C983&amp;D983&amp;E983&amp;F983</f>
        <v>GlobalCO2 intensityWTT  DACtonCO2/tonCO2</v>
      </c>
      <c r="C983" s="157" t="s">
        <v>109</v>
      </c>
      <c r="D983" s="157" t="s">
        <v>1019</v>
      </c>
      <c r="E983" s="157" t="s">
        <v>1029</v>
      </c>
      <c r="F983" s="157" t="s">
        <v>1021</v>
      </c>
      <c r="G983" s="521">
        <f>INDEX('Fuel Model -  Input'!$B$3:$N$373,MATCH($B983,'Fuel Model -  Input'!$B$3:$B$373,0),MATCH(G$2,'Fuel Model -  Input'!$B$3:$N$3,0))</f>
        <v>-1</v>
      </c>
      <c r="H983" s="521">
        <f>INDEX('Fuel Model -  Input'!$B$3:$N$373,MATCH($B983,'Fuel Model -  Input'!$B$3:$B$373,0),MATCH(H$2,'Fuel Model -  Input'!$B$3:$N$3,0))</f>
        <v>-1</v>
      </c>
      <c r="I983" s="521">
        <f>INDEX('Fuel Model -  Input'!$B$3:$N$373,MATCH($B983,'Fuel Model -  Input'!$B$3:$B$373,0),MATCH(I$2,'Fuel Model -  Input'!$B$3:$N$3,0))</f>
        <v>-1</v>
      </c>
      <c r="J983" s="521">
        <f>INDEX('Fuel Model -  Input'!$B$3:$N$373,MATCH($B983,'Fuel Model -  Input'!$B$3:$B$373,0),MATCH(J$2,'Fuel Model -  Input'!$B$3:$N$3,0))</f>
        <v>-1</v>
      </c>
      <c r="K983" s="521">
        <f>INDEX('Fuel Model -  Input'!$B$3:$N$373,MATCH($B983,'Fuel Model -  Input'!$B$3:$B$373,0),MATCH(K$2,'Fuel Model -  Input'!$B$3:$N$3,0))</f>
        <v>-1</v>
      </c>
      <c r="L983" s="521">
        <f>INDEX('Fuel Model -  Input'!$B$3:$N$373,MATCH($B983,'Fuel Model -  Input'!$B$3:$B$373,0),MATCH(L$2,'Fuel Model -  Input'!$B$3:$N$3,0))</f>
        <v>-1</v>
      </c>
      <c r="M983" s="521">
        <f>INDEX('Fuel Model -  Input'!$B$3:$N$373,MATCH($B983,'Fuel Model -  Input'!$B$3:$B$373,0),MATCH(M$2,'Fuel Model -  Input'!$B$3:$N$3,0))</f>
        <v>-1</v>
      </c>
    </row>
    <row r="984" spans="2:13" hidden="1" outlineLevel="2" x14ac:dyDescent="0.2">
      <c r="B984" s="496" t="str">
        <f>+C984&amp;D984&amp;E984&amp;F984</f>
        <v>GlobalStoechiometryCO2/methanoltonCO2/tonMEOH</v>
      </c>
      <c r="C984" s="157" t="s">
        <v>109</v>
      </c>
      <c r="D984" s="157" t="s">
        <v>1022</v>
      </c>
      <c r="E984" s="157" t="s">
        <v>1023</v>
      </c>
      <c r="F984" s="157" t="s">
        <v>1024</v>
      </c>
      <c r="G984" s="521">
        <f t="shared" ref="G984:M984" si="553">1/32*44</f>
        <v>1.375</v>
      </c>
      <c r="H984" s="521">
        <f t="shared" si="553"/>
        <v>1.375</v>
      </c>
      <c r="I984" s="521">
        <f t="shared" si="553"/>
        <v>1.375</v>
      </c>
      <c r="J984" s="521">
        <f t="shared" si="553"/>
        <v>1.375</v>
      </c>
      <c r="K984" s="521">
        <f t="shared" si="553"/>
        <v>1.375</v>
      </c>
      <c r="L984" s="521">
        <f t="shared" si="553"/>
        <v>1.375</v>
      </c>
      <c r="M984" s="521">
        <f t="shared" si="553"/>
        <v>1.375</v>
      </c>
    </row>
    <row r="985" spans="2:13" ht="12.75" hidden="1" outlineLevel="1" x14ac:dyDescent="0.2">
      <c r="F985"/>
    </row>
    <row r="986" spans="2:13" ht="15" hidden="1" outlineLevel="1" x14ac:dyDescent="0.25">
      <c r="B986" s="30" t="s">
        <v>1030</v>
      </c>
      <c r="C986" s="30" t="str">
        <f>+B986</f>
        <v>Primary energy efficiency - e Methanol DAC</v>
      </c>
      <c r="F986"/>
    </row>
    <row r="987" spans="2:13" s="157" customFormat="1" ht="15" hidden="1" outlineLevel="1" x14ac:dyDescent="0.25">
      <c r="B987" s="541" t="str">
        <f>+C987&amp;D987&amp;E987&amp;F987</f>
        <v>GlobalResultsAverage Primary EE of e-Methanol (DAC)%</v>
      </c>
      <c r="C987" s="516" t="s">
        <v>109</v>
      </c>
      <c r="D987" s="516" t="s">
        <v>838</v>
      </c>
      <c r="E987" s="516" t="s">
        <v>1031</v>
      </c>
      <c r="F987" s="512" t="s">
        <v>178</v>
      </c>
      <c r="G987" s="528">
        <f t="shared" ref="G987:M987" si="554">G993/3600/(G834+G847*G992/3600/G991+G837*G990)</f>
        <v>0.34664058675865317</v>
      </c>
      <c r="H987" s="529">
        <f t="shared" si="554"/>
        <v>0.35375542248376846</v>
      </c>
      <c r="I987" s="529">
        <f t="shared" si="554"/>
        <v>0.36345835145166255</v>
      </c>
      <c r="J987" s="529">
        <f t="shared" si="554"/>
        <v>0.37928684789326383</v>
      </c>
      <c r="K987" s="529">
        <f t="shared" si="554"/>
        <v>0.39738073378529432</v>
      </c>
      <c r="L987" s="529">
        <f t="shared" si="554"/>
        <v>0.4194835639606701</v>
      </c>
      <c r="M987" s="529">
        <f t="shared" si="554"/>
        <v>0.43917067499997209</v>
      </c>
    </row>
    <row r="988" spans="2:13" s="157" customFormat="1" ht="15" hidden="1" outlineLevel="1" x14ac:dyDescent="0.25">
      <c r="B988" s="541" t="str">
        <f>+C988&amp;D988&amp;E988&amp;F988</f>
        <v>GlobalResultsAverage Primary EE of e-Methanol (DAC) (excl. CO2el)%</v>
      </c>
      <c r="C988" s="516" t="s">
        <v>109</v>
      </c>
      <c r="D988" s="516" t="s">
        <v>838</v>
      </c>
      <c r="E988" s="516" t="s">
        <v>1032</v>
      </c>
      <c r="F988" s="512" t="s">
        <v>178</v>
      </c>
      <c r="G988" s="528">
        <f t="shared" ref="G988:M988" si="555">G971</f>
        <v>0.46714237462884445</v>
      </c>
      <c r="H988" s="529">
        <f t="shared" si="555"/>
        <v>0.46924470895162751</v>
      </c>
      <c r="I988" s="529">
        <f t="shared" si="555"/>
        <v>0.47598708209665719</v>
      </c>
      <c r="J988" s="529">
        <f t="shared" si="555"/>
        <v>0.4929972768034423</v>
      </c>
      <c r="K988" s="529">
        <f t="shared" si="555"/>
        <v>0.51336374799578455</v>
      </c>
      <c r="L988" s="529">
        <f t="shared" si="555"/>
        <v>0.53985693158107728</v>
      </c>
      <c r="M988" s="529">
        <f t="shared" si="555"/>
        <v>0.56177540563152228</v>
      </c>
    </row>
    <row r="989" spans="2:13" ht="12.75" hidden="1" outlineLevel="2" x14ac:dyDescent="0.2">
      <c r="F989"/>
    </row>
    <row r="990" spans="2:13" hidden="1" outlineLevel="2" x14ac:dyDescent="0.2">
      <c r="B990" s="3" t="s">
        <v>1033</v>
      </c>
      <c r="C990" t="s">
        <v>109</v>
      </c>
      <c r="D990" t="s">
        <v>1034</v>
      </c>
      <c r="E990" t="s">
        <v>963</v>
      </c>
      <c r="F990" t="s">
        <v>1035</v>
      </c>
      <c r="G990" s="524">
        <f>+INDEX('Fuel Model -  Input'!$B$3:$N$373,MATCH($B990,'Fuel Model -  Input'!$B$3:$B$373,0),MATCH(G$2,'Fuel Model -  Input'!$B$3:$N$3,0))</f>
        <v>2.9949090520301924</v>
      </c>
      <c r="H990" s="524">
        <f>+INDEX('Fuel Model -  Input'!$B$3:$N$373,MATCH($B990,'Fuel Model -  Input'!$B$3:$B$373,0),MATCH(H$2,'Fuel Model -  Input'!$B$3:$N$3,0))</f>
        <v>2.8</v>
      </c>
      <c r="I990" s="524">
        <f>+INDEX('Fuel Model -  Input'!$B$3:$N$373,MATCH($B990,'Fuel Model -  Input'!$B$3:$B$373,0),MATCH(I$2,'Fuel Model -  Input'!$B$3:$N$3,0))</f>
        <v>2.6177756532157161</v>
      </c>
      <c r="J990" s="524">
        <f>+INDEX('Fuel Model -  Input'!$B$3:$N$373,MATCH($B990,'Fuel Model -  Input'!$B$3:$B$373,0),MATCH(J$2,'Fuel Model -  Input'!$B$3:$N$3,0))</f>
        <v>2.4474104894889179</v>
      </c>
      <c r="K990" s="524">
        <f>+INDEX('Fuel Model -  Input'!$B$3:$N$373,MATCH($B990,'Fuel Model -  Input'!$B$3:$B$373,0),MATCH(K$2,'Fuel Model -  Input'!$B$3:$N$3,0))</f>
        <v>2.2881327117174459</v>
      </c>
      <c r="L990" s="524">
        <f>+INDEX('Fuel Model -  Input'!$B$3:$N$373,MATCH($B990,'Fuel Model -  Input'!$B$3:$B$373,0),MATCH(L$2,'Fuel Model -  Input'!$B$3:$N$3,0))</f>
        <v>2.1392207514501376</v>
      </c>
      <c r="M990" s="524">
        <f>+INDEX('Fuel Model -  Input'!$B$3:$N$373,MATCH($B990,'Fuel Model -  Input'!$B$3:$B$373,0),MATCH(M$2,'Fuel Model -  Input'!$B$3:$N$3,0))</f>
        <v>2</v>
      </c>
    </row>
    <row r="991" spans="2:13" hidden="1" outlineLevel="2" x14ac:dyDescent="0.2">
      <c r="B991" s="496" t="str">
        <f>+C991&amp;D991&amp;E991&amp;F991</f>
        <v>GlobalResultsAverage Primary EE of e-Hydrogen (compressed)%</v>
      </c>
      <c r="C991" s="157" t="s">
        <v>109</v>
      </c>
      <c r="D991" s="157" t="s">
        <v>838</v>
      </c>
      <c r="E991" s="157" t="s">
        <v>945</v>
      </c>
      <c r="F991" s="157" t="s">
        <v>178</v>
      </c>
      <c r="G991" s="531">
        <f>INDEX(G$4:G990,MATCH($B991,$B$4:$B990,0))</f>
        <v>0.62090526196973861</v>
      </c>
      <c r="H991" s="531">
        <f>INDEX(H$4:H990,MATCH($B991,$B$4:$B990,0))</f>
        <v>0.62417085168914133</v>
      </c>
      <c r="I991" s="531">
        <f>INDEX(I$4:I990,MATCH($B991,$B$4:$B990,0))</f>
        <v>0.63467726108676525</v>
      </c>
      <c r="J991" s="531">
        <f>INDEX(J$4:J990,MATCH($B991,$B$4:$B990,0))</f>
        <v>0.66141189245873089</v>
      </c>
      <c r="K991" s="531">
        <f>INDEX(K$4:K990,MATCH($B991,$B$4:$B990,0))</f>
        <v>0.69385844908622296</v>
      </c>
      <c r="L991" s="531">
        <f>INDEX(L$4:L990,MATCH($B991,$B$4:$B990,0))</f>
        <v>0.73679503467693408</v>
      </c>
      <c r="M991" s="531">
        <f>INDEX(M$4:M990,MATCH($B991,$B$4:$B990,0))</f>
        <v>0.77295687554154879</v>
      </c>
    </row>
    <row r="992" spans="2:13" hidden="1" outlineLevel="2" x14ac:dyDescent="0.2">
      <c r="B992" s="3" t="str">
        <f>+C992&amp;D992&amp;E992&amp;F992</f>
        <v>GlobalLHVe-Hydrogen (compressed)MJ/ ton</v>
      </c>
      <c r="C992" t="s">
        <v>109</v>
      </c>
      <c r="D992" t="s">
        <v>582</v>
      </c>
      <c r="E992" t="s">
        <v>584</v>
      </c>
      <c r="F992" s="157" t="s">
        <v>583</v>
      </c>
      <c r="G992" s="532">
        <f>+INDEX('Fuel Model -  Input'!$B$3:$N$373,MATCH($B992,'Fuel Model -  Input'!$B$3:$B$373,0),MATCH(G$2,'Fuel Model -  Input'!$B$3:$N$3,0))</f>
        <v>120000</v>
      </c>
      <c r="H992" s="532">
        <f>+INDEX('Fuel Model -  Input'!$B$3:$N$373,MATCH($B992,'Fuel Model -  Input'!$B$3:$B$373,0),MATCH(H$2,'Fuel Model -  Input'!$B$3:$N$3,0))</f>
        <v>120000</v>
      </c>
      <c r="I992" s="532">
        <f>+INDEX('Fuel Model -  Input'!$B$3:$N$373,MATCH($B992,'Fuel Model -  Input'!$B$3:$B$373,0),MATCH(I$2,'Fuel Model -  Input'!$B$3:$N$3,0))</f>
        <v>120000</v>
      </c>
      <c r="J992" s="532">
        <f>+INDEX('Fuel Model -  Input'!$B$3:$N$373,MATCH($B992,'Fuel Model -  Input'!$B$3:$B$373,0),MATCH(J$2,'Fuel Model -  Input'!$B$3:$N$3,0))</f>
        <v>120000</v>
      </c>
      <c r="K992" s="532">
        <f>+INDEX('Fuel Model -  Input'!$B$3:$N$373,MATCH($B992,'Fuel Model -  Input'!$B$3:$B$373,0),MATCH(K$2,'Fuel Model -  Input'!$B$3:$N$3,0))</f>
        <v>120000</v>
      </c>
      <c r="L992" s="532">
        <f>+INDEX('Fuel Model -  Input'!$B$3:$N$373,MATCH($B992,'Fuel Model -  Input'!$B$3:$B$373,0),MATCH(L$2,'Fuel Model -  Input'!$B$3:$N$3,0))</f>
        <v>120000</v>
      </c>
      <c r="M992" s="532">
        <f>+INDEX('Fuel Model -  Input'!$B$3:$N$373,MATCH($B992,'Fuel Model -  Input'!$B$3:$B$373,0),MATCH(M$2,'Fuel Model -  Input'!$B$3:$N$3,0))</f>
        <v>120000</v>
      </c>
    </row>
    <row r="993" spans="2:14" hidden="1" outlineLevel="2" x14ac:dyDescent="0.2">
      <c r="B993" s="3" t="str">
        <f>+C993&amp;D993&amp;E993&amp;F993</f>
        <v>GlobalLHVe-Methanol (DAC)MJ/ ton</v>
      </c>
      <c r="C993" t="s">
        <v>109</v>
      </c>
      <c r="D993" t="s">
        <v>582</v>
      </c>
      <c r="E993" s="460" t="s">
        <v>587</v>
      </c>
      <c r="F993" s="157" t="s">
        <v>583</v>
      </c>
      <c r="G993" s="532">
        <f>+INDEX('Fuel Model -  Input'!$B$3:$N$373,MATCH($B993,'Fuel Model -  Input'!$B$3:$B$373,0),MATCH(G$2,'Fuel Model -  Input'!$B$3:$N$3,0))</f>
        <v>19900</v>
      </c>
      <c r="H993" s="532">
        <f>+INDEX('Fuel Model -  Input'!$B$3:$N$373,MATCH($B993,'Fuel Model -  Input'!$B$3:$B$373,0),MATCH(H$2,'Fuel Model -  Input'!$B$3:$N$3,0))</f>
        <v>19900</v>
      </c>
      <c r="I993" s="532">
        <f>+INDEX('Fuel Model -  Input'!$B$3:$N$373,MATCH($B993,'Fuel Model -  Input'!$B$3:$B$373,0),MATCH(I$2,'Fuel Model -  Input'!$B$3:$N$3,0))</f>
        <v>19900</v>
      </c>
      <c r="J993" s="532">
        <f>+INDEX('Fuel Model -  Input'!$B$3:$N$373,MATCH($B993,'Fuel Model -  Input'!$B$3:$B$373,0),MATCH(J$2,'Fuel Model -  Input'!$B$3:$N$3,0))</f>
        <v>19900</v>
      </c>
      <c r="K993" s="532">
        <f>+INDEX('Fuel Model -  Input'!$B$3:$N$373,MATCH($B993,'Fuel Model -  Input'!$B$3:$B$373,0),MATCH(K$2,'Fuel Model -  Input'!$B$3:$N$3,0))</f>
        <v>19900</v>
      </c>
      <c r="L993" s="532">
        <f>+INDEX('Fuel Model -  Input'!$B$3:$N$373,MATCH($B993,'Fuel Model -  Input'!$B$3:$B$373,0),MATCH(L$2,'Fuel Model -  Input'!$B$3:$N$3,0))</f>
        <v>19900</v>
      </c>
      <c r="M993" s="532">
        <f>+INDEX('Fuel Model -  Input'!$B$3:$N$373,MATCH($B993,'Fuel Model -  Input'!$B$3:$B$373,0),MATCH(M$2,'Fuel Model -  Input'!$B$3:$N$3,0))</f>
        <v>19900</v>
      </c>
    </row>
    <row r="994" spans="2:14" hidden="1" outlineLevel="1" x14ac:dyDescent="0.2"/>
    <row r="995" spans="2:14" ht="15" thickBot="1" x14ac:dyDescent="0.25">
      <c r="G995" s="24"/>
    </row>
    <row r="996" spans="2:14" s="466" customFormat="1" ht="15.75" collapsed="1" thickBot="1" x14ac:dyDescent="0.3">
      <c r="B996" s="463" t="s">
        <v>805</v>
      </c>
      <c r="C996" s="464" t="str">
        <f>+B996</f>
        <v>e-Diesel</v>
      </c>
      <c r="D996" s="465"/>
      <c r="E996" s="465"/>
      <c r="F996" s="465"/>
      <c r="G996" s="738">
        <v>2020</v>
      </c>
      <c r="H996" s="738">
        <v>2025</v>
      </c>
      <c r="I996" s="738">
        <v>2030</v>
      </c>
      <c r="J996" s="738">
        <v>2035</v>
      </c>
      <c r="K996" s="738">
        <v>2040</v>
      </c>
      <c r="L996" s="738">
        <v>2045</v>
      </c>
      <c r="M996" s="739">
        <v>2050</v>
      </c>
    </row>
    <row r="997" spans="2:14" ht="15" hidden="1" outlineLevel="1" x14ac:dyDescent="0.25">
      <c r="B997" s="30" t="s">
        <v>1036</v>
      </c>
      <c r="C997" s="30" t="str">
        <f>+B997</f>
        <v>e Diesel DAC</v>
      </c>
      <c r="E997" s="30"/>
      <c r="F997" s="128"/>
      <c r="G997" s="8"/>
      <c r="H997" s="8"/>
      <c r="I997" s="8"/>
      <c r="J997" s="8"/>
      <c r="K997" s="8"/>
      <c r="L997" s="8"/>
      <c r="M997" s="8"/>
    </row>
    <row r="998" spans="2:14" ht="15" hidden="1" outlineLevel="1" x14ac:dyDescent="0.25">
      <c r="B998" t="str">
        <f>+C998&amp;D998&amp;E998&amp;F998</f>
        <v>EuropeResultsCost of e-Diesel (DAC)USD/ton</v>
      </c>
      <c r="C998" t="s">
        <v>195</v>
      </c>
      <c r="D998" t="s">
        <v>838</v>
      </c>
      <c r="E998" s="30" t="s">
        <v>1037</v>
      </c>
      <c r="F998" s="128" t="s">
        <v>205</v>
      </c>
      <c r="G998" s="8">
        <f t="shared" ref="G998:M998" si="556">+G1024</f>
        <v>4575.75599222251</v>
      </c>
      <c r="H998" s="8">
        <f t="shared" si="556"/>
        <v>3666.3271891911131</v>
      </c>
      <c r="I998" s="8">
        <f t="shared" si="556"/>
        <v>2915.3539843026874</v>
      </c>
      <c r="J998" s="8">
        <f t="shared" si="556"/>
        <v>2627.2527651600581</v>
      </c>
      <c r="K998" s="8">
        <f t="shared" si="556"/>
        <v>2325.3533111473339</v>
      </c>
      <c r="L998" s="8">
        <f t="shared" si="556"/>
        <v>1896.7339903904369</v>
      </c>
      <c r="M998" s="8">
        <f t="shared" si="556"/>
        <v>1510.3396783572825</v>
      </c>
      <c r="N998" s="93"/>
    </row>
    <row r="999" spans="2:14" ht="15" hidden="1" outlineLevel="1" x14ac:dyDescent="0.25">
      <c r="B999" t="str">
        <f>+C999&amp;D999&amp;E999&amp;F999</f>
        <v>Middle EastResultsCost of e-Diesel (DAC)USD/ton</v>
      </c>
      <c r="C999" t="s">
        <v>197</v>
      </c>
      <c r="D999" t="s">
        <v>838</v>
      </c>
      <c r="E999" s="30" t="s">
        <v>1037</v>
      </c>
      <c r="F999" s="128" t="s">
        <v>205</v>
      </c>
      <c r="G999" s="8">
        <f t="shared" ref="G999:M999" si="557">+G1061</f>
        <v>4114.9029033436454</v>
      </c>
      <c r="H999" s="8">
        <f t="shared" si="557"/>
        <v>3295.9868497258012</v>
      </c>
      <c r="I999" s="8">
        <f t="shared" si="557"/>
        <v>2659.3892561973239</v>
      </c>
      <c r="J999" s="8">
        <f t="shared" si="557"/>
        <v>2372.1308168716423</v>
      </c>
      <c r="K999" s="8">
        <f t="shared" si="557"/>
        <v>2088.5679961343394</v>
      </c>
      <c r="L999" s="8">
        <f t="shared" si="557"/>
        <v>1666.8409566151172</v>
      </c>
      <c r="M999" s="8">
        <f t="shared" si="557"/>
        <v>1305.9073127443244</v>
      </c>
    </row>
    <row r="1000" spans="2:14" ht="15" hidden="1" outlineLevel="1" x14ac:dyDescent="0.25">
      <c r="B1000" t="str">
        <f>+C1000&amp;D1000&amp;E1000&amp;F1000</f>
        <v>AsiaResultsCost of e-Diesel (DAC)USD/ton</v>
      </c>
      <c r="C1000" t="s">
        <v>198</v>
      </c>
      <c r="D1000" t="s">
        <v>838</v>
      </c>
      <c r="E1000" s="30" t="s">
        <v>1037</v>
      </c>
      <c r="F1000" s="128" t="s">
        <v>205</v>
      </c>
      <c r="G1000" s="8">
        <f t="shared" ref="G1000:M1000" si="558">G1098</f>
        <v>5574.3396381517359</v>
      </c>
      <c r="H1000" s="8">
        <f t="shared" si="558"/>
        <v>3998.4783638016561</v>
      </c>
      <c r="I1000" s="8">
        <f t="shared" si="558"/>
        <v>3175.4070149354211</v>
      </c>
      <c r="J1000" s="8">
        <f t="shared" si="558"/>
        <v>2761.7256320202573</v>
      </c>
      <c r="K1000" s="8">
        <f t="shared" si="558"/>
        <v>2407.6718810985531</v>
      </c>
      <c r="L1000" s="8">
        <f t="shared" si="558"/>
        <v>1930.7521927107578</v>
      </c>
      <c r="M1000" s="8">
        <f t="shared" si="558"/>
        <v>1540.5873614239058</v>
      </c>
    </row>
    <row r="1001" spans="2:14" ht="15" hidden="1" outlineLevel="1" x14ac:dyDescent="0.25">
      <c r="B1001" t="str">
        <f>+C1001&amp;D1001&amp;E1001&amp;F1001</f>
        <v>AmericasResultsCost of e-Diesel (DAC)USD/ton</v>
      </c>
      <c r="C1001" t="s">
        <v>199</v>
      </c>
      <c r="D1001" t="s">
        <v>838</v>
      </c>
      <c r="E1001" s="30" t="s">
        <v>1037</v>
      </c>
      <c r="F1001" s="128" t="s">
        <v>205</v>
      </c>
      <c r="G1001" s="8">
        <f t="shared" ref="G1001:M1001" si="559">G1135</f>
        <v>4007.4734740457561</v>
      </c>
      <c r="H1001" s="8">
        <f t="shared" si="559"/>
        <v>3346.2396200718963</v>
      </c>
      <c r="I1001" s="8">
        <f t="shared" si="559"/>
        <v>2673.2430133467824</v>
      </c>
      <c r="J1001" s="8">
        <f t="shared" si="559"/>
        <v>2409.2418183984942</v>
      </c>
      <c r="K1001" s="8">
        <f t="shared" si="559"/>
        <v>2105.2294573942863</v>
      </c>
      <c r="L1001" s="8">
        <f t="shared" si="559"/>
        <v>1726.4545284331812</v>
      </c>
      <c r="M1001" s="8">
        <f t="shared" si="559"/>
        <v>1373.6340343466272</v>
      </c>
    </row>
    <row r="1002" spans="2:14" ht="15" hidden="1" outlineLevel="1" x14ac:dyDescent="0.25">
      <c r="B1002" t="str">
        <f>+C1002&amp;D1002&amp;E1002&amp;F1002</f>
        <v>AfricaResultsCost of e-Diesel (DAC)USD/ton</v>
      </c>
      <c r="C1002" t="s">
        <v>200</v>
      </c>
      <c r="D1002" t="s">
        <v>838</v>
      </c>
      <c r="E1002" s="30" t="s">
        <v>1037</v>
      </c>
      <c r="F1002" s="128" t="s">
        <v>205</v>
      </c>
      <c r="G1002" s="8">
        <f t="shared" ref="G1002:M1002" si="560">G1172</f>
        <v>5461.5439271186688</v>
      </c>
      <c r="H1002" s="8">
        <f t="shared" si="560"/>
        <v>3684.0402418152257</v>
      </c>
      <c r="I1002" s="8">
        <f t="shared" si="560"/>
        <v>2893.2581907647264</v>
      </c>
      <c r="J1002" s="8">
        <f t="shared" si="560"/>
        <v>2545.5075245355083</v>
      </c>
      <c r="K1002" s="8">
        <f t="shared" si="560"/>
        <v>2234.4654362752458</v>
      </c>
      <c r="L1002" s="8">
        <f t="shared" si="560"/>
        <v>1801.3567790028683</v>
      </c>
      <c r="M1002" s="8">
        <f t="shared" si="560"/>
        <v>1430.33411584496</v>
      </c>
    </row>
    <row r="1003" spans="2:14" ht="15" hidden="1" outlineLevel="1" x14ac:dyDescent="0.25">
      <c r="E1003" s="30"/>
      <c r="F1003" s="128"/>
      <c r="G1003" s="8"/>
      <c r="H1003" s="8"/>
      <c r="I1003" s="8"/>
      <c r="J1003" s="8"/>
      <c r="K1003" s="8"/>
      <c r="L1003" s="8"/>
      <c r="M1003" s="8"/>
    </row>
    <row r="1004" spans="2:14" ht="15" hidden="1" outlineLevel="1" x14ac:dyDescent="0.25">
      <c r="B1004" t="str">
        <f>+C1004&amp;D1004&amp;E1004&amp;F1004</f>
        <v>EuropeResultsCost of e-Diesel (DAC) RNEUSD/ton</v>
      </c>
      <c r="C1004" t="s">
        <v>195</v>
      </c>
      <c r="D1004" t="s">
        <v>838</v>
      </c>
      <c r="E1004" s="30" t="s">
        <v>1038</v>
      </c>
      <c r="F1004" s="128" t="s">
        <v>205</v>
      </c>
      <c r="G1004" s="14"/>
      <c r="H1004" s="14"/>
      <c r="I1004" s="14"/>
      <c r="J1004" s="14"/>
      <c r="K1004" s="14"/>
      <c r="L1004" s="14"/>
      <c r="M1004" s="14"/>
      <c r="N1004" s="93"/>
    </row>
    <row r="1005" spans="2:14" ht="15" hidden="1" outlineLevel="1" x14ac:dyDescent="0.25">
      <c r="B1005" t="str">
        <f>+C1005&amp;D1005&amp;E1005&amp;F1005</f>
        <v>Middle EastResultsCost of e-Diesel (DAC) RNEUSD/ton</v>
      </c>
      <c r="C1005" t="s">
        <v>197</v>
      </c>
      <c r="D1005" t="s">
        <v>838</v>
      </c>
      <c r="E1005" s="30" t="s">
        <v>1038</v>
      </c>
      <c r="F1005" s="128" t="s">
        <v>205</v>
      </c>
      <c r="G1005" s="14"/>
      <c r="H1005" s="14"/>
      <c r="I1005" s="14"/>
      <c r="J1005" s="14"/>
      <c r="K1005" s="14"/>
      <c r="L1005" s="14"/>
      <c r="M1005" s="14"/>
    </row>
    <row r="1006" spans="2:14" ht="15" hidden="1" outlineLevel="1" x14ac:dyDescent="0.25">
      <c r="B1006" t="str">
        <f>+C1006&amp;D1006&amp;E1006&amp;F1006</f>
        <v>AsiaResultsCost of e-Diesel (DAC) RNEUSD/ton</v>
      </c>
      <c r="C1006" t="s">
        <v>198</v>
      </c>
      <c r="D1006" t="s">
        <v>838</v>
      </c>
      <c r="E1006" s="30" t="s">
        <v>1038</v>
      </c>
      <c r="F1006" s="128" t="s">
        <v>205</v>
      </c>
      <c r="G1006" s="14"/>
      <c r="H1006" s="14"/>
      <c r="I1006" s="14"/>
      <c r="J1006" s="14"/>
      <c r="K1006" s="14"/>
      <c r="L1006" s="14"/>
      <c r="M1006" s="14"/>
    </row>
    <row r="1007" spans="2:14" ht="15" hidden="1" outlineLevel="1" x14ac:dyDescent="0.25">
      <c r="B1007" t="str">
        <f>+C1007&amp;D1007&amp;E1007&amp;F1007</f>
        <v>AmericasResultsCost of e-Diesel (DAC) RNEUSD/ton</v>
      </c>
      <c r="C1007" t="s">
        <v>199</v>
      </c>
      <c r="D1007" t="s">
        <v>838</v>
      </c>
      <c r="E1007" s="30" t="s">
        <v>1038</v>
      </c>
      <c r="F1007" s="128" t="s">
        <v>205</v>
      </c>
      <c r="G1007" s="14"/>
      <c r="H1007" s="14"/>
      <c r="I1007" s="14"/>
      <c r="J1007" s="14"/>
      <c r="K1007" s="14"/>
      <c r="L1007" s="14"/>
      <c r="M1007" s="14"/>
    </row>
    <row r="1008" spans="2:14" ht="15" hidden="1" outlineLevel="1" x14ac:dyDescent="0.25">
      <c r="B1008" t="str">
        <f>+C1008&amp;D1008&amp;E1008&amp;F1008</f>
        <v>AfricaResultsCost of e-Diesel (DAC) RNEUSD/ton</v>
      </c>
      <c r="C1008" t="s">
        <v>200</v>
      </c>
      <c r="D1008" t="s">
        <v>838</v>
      </c>
      <c r="E1008" s="30" t="s">
        <v>1038</v>
      </c>
      <c r="F1008" s="128" t="s">
        <v>205</v>
      </c>
      <c r="G1008" s="14"/>
      <c r="H1008" s="14"/>
      <c r="I1008" s="14"/>
      <c r="J1008" s="14"/>
      <c r="K1008" s="14"/>
      <c r="L1008" s="14"/>
      <c r="M1008" s="14"/>
    </row>
    <row r="1009" spans="2:14" ht="15" hidden="1" outlineLevel="1" x14ac:dyDescent="0.25">
      <c r="E1009" s="30"/>
      <c r="F1009" s="128"/>
      <c r="G1009" s="8"/>
      <c r="H1009" s="8"/>
      <c r="I1009" s="8"/>
      <c r="J1009" s="8"/>
      <c r="K1009" s="8"/>
      <c r="L1009" s="8"/>
      <c r="M1009" s="8"/>
    </row>
    <row r="1010" spans="2:14" ht="15" hidden="1" outlineLevel="1" x14ac:dyDescent="0.25">
      <c r="B1010" s="30" t="s">
        <v>1039</v>
      </c>
      <c r="C1010" s="30" t="str">
        <f>+B1010</f>
        <v>e Diesel PS</v>
      </c>
    </row>
    <row r="1011" spans="2:14" ht="15" hidden="1" outlineLevel="1" x14ac:dyDescent="0.25">
      <c r="B1011" t="str">
        <f>+C1011&amp;D1011&amp;E1011&amp;F1011</f>
        <v>EuropeResultsCost of e-Diesel (PS)USD/ton</v>
      </c>
      <c r="C1011" t="s">
        <v>195</v>
      </c>
      <c r="D1011" t="s">
        <v>838</v>
      </c>
      <c r="E1011" s="30" t="s">
        <v>1040</v>
      </c>
      <c r="F1011" s="128" t="s">
        <v>205</v>
      </c>
      <c r="G1011" s="8">
        <f t="shared" ref="G1011:M1011" si="561">G1025</f>
        <v>4145.7272046911285</v>
      </c>
      <c r="H1011" s="8">
        <f t="shared" si="561"/>
        <v>3348.9736086999769</v>
      </c>
      <c r="I1011" s="8">
        <f t="shared" si="561"/>
        <v>2664.100659542979</v>
      </c>
      <c r="J1011" s="8">
        <f t="shared" si="561"/>
        <v>2442.254971585236</v>
      </c>
      <c r="K1011" s="8">
        <f t="shared" si="561"/>
        <v>2181.9670446480259</v>
      </c>
      <c r="L1011" s="8">
        <f t="shared" si="561"/>
        <v>1784.0697250978733</v>
      </c>
      <c r="M1011" s="8">
        <f t="shared" si="561"/>
        <v>1415.5202908675387</v>
      </c>
      <c r="N1011" s="93"/>
    </row>
    <row r="1012" spans="2:14" ht="15" hidden="1" outlineLevel="1" x14ac:dyDescent="0.25">
      <c r="B1012" t="str">
        <f>+C1012&amp;D1012&amp;E1012&amp;F1012</f>
        <v>Middle EastResultsCost of e-Diesel (PS)USD/ton</v>
      </c>
      <c r="C1012" t="s">
        <v>197</v>
      </c>
      <c r="D1012" t="s">
        <v>838</v>
      </c>
      <c r="E1012" s="30" t="s">
        <v>1040</v>
      </c>
      <c r="F1012" s="128" t="s">
        <v>205</v>
      </c>
      <c r="G1012" s="8">
        <f t="shared" ref="G1012:M1012" si="562">G1062</f>
        <v>3797.1306997540692</v>
      </c>
      <c r="H1012" s="8">
        <f t="shared" si="562"/>
        <v>3063.8895268674573</v>
      </c>
      <c r="I1012" s="8">
        <f t="shared" si="562"/>
        <v>2464.0735774061991</v>
      </c>
      <c r="J1012" s="8">
        <f t="shared" si="562"/>
        <v>2240.8679508135729</v>
      </c>
      <c r="K1012" s="8">
        <f t="shared" si="562"/>
        <v>1993.5034643556844</v>
      </c>
      <c r="L1012" s="8">
        <f t="shared" si="562"/>
        <v>1600.1896576874267</v>
      </c>
      <c r="M1012" s="8">
        <f t="shared" si="562"/>
        <v>1250.8459314241572</v>
      </c>
    </row>
    <row r="1013" spans="2:14" ht="15" hidden="1" outlineLevel="1" x14ac:dyDescent="0.25">
      <c r="B1013" t="str">
        <f>+C1013&amp;D1013&amp;E1013&amp;F1013</f>
        <v>AsiaResultsCost of e-Diesel (PS)USD/ton</v>
      </c>
      <c r="C1013" t="s">
        <v>198</v>
      </c>
      <c r="D1013" t="s">
        <v>838</v>
      </c>
      <c r="E1013" s="30" t="s">
        <v>1040</v>
      </c>
      <c r="F1013" s="128" t="s">
        <v>205</v>
      </c>
      <c r="G1013" s="8">
        <f t="shared" ref="G1013:M1013" si="563">G1099</f>
        <v>4901.071537317991</v>
      </c>
      <c r="H1013" s="8">
        <f t="shared" si="563"/>
        <v>3604.6600747764296</v>
      </c>
      <c r="I1013" s="8">
        <f t="shared" si="563"/>
        <v>2867.3226007194999</v>
      </c>
      <c r="J1013" s="8">
        <f t="shared" si="563"/>
        <v>2548.4045608827628</v>
      </c>
      <c r="K1013" s="8">
        <f t="shared" si="563"/>
        <v>2247.4865318539823</v>
      </c>
      <c r="L1013" s="8">
        <f t="shared" si="563"/>
        <v>1811.2792026236527</v>
      </c>
      <c r="M1013" s="8">
        <f t="shared" si="563"/>
        <v>1439.8854045749881</v>
      </c>
    </row>
    <row r="1014" spans="2:14" ht="15" hidden="1" outlineLevel="1" x14ac:dyDescent="0.25">
      <c r="B1014" t="str">
        <f>+C1014&amp;D1014&amp;E1014&amp;F1014</f>
        <v>AmericasResultsCost of e-Diesel (PS)USD/ton</v>
      </c>
      <c r="C1014" t="s">
        <v>199</v>
      </c>
      <c r="D1014" t="s">
        <v>838</v>
      </c>
      <c r="E1014" s="30" t="s">
        <v>1040</v>
      </c>
      <c r="F1014" s="128" t="s">
        <v>205</v>
      </c>
      <c r="G1014" s="8">
        <f t="shared" ref="G1014:M1014" si="564">G1136</f>
        <v>3715.8693943959302</v>
      </c>
      <c r="H1014" s="8">
        <f t="shared" si="564"/>
        <v>3102.5735787164695</v>
      </c>
      <c r="I1014" s="8">
        <f t="shared" si="564"/>
        <v>2474.8997824061985</v>
      </c>
      <c r="J1014" s="8">
        <f t="shared" si="564"/>
        <v>2270.1624669674566</v>
      </c>
      <c r="K1014" s="8">
        <f t="shared" si="564"/>
        <v>2006.7647539832926</v>
      </c>
      <c r="L1014" s="8">
        <f t="shared" si="564"/>
        <v>1647.8716053500787</v>
      </c>
      <c r="M1014" s="8">
        <f t="shared" si="564"/>
        <v>1305.4011603069193</v>
      </c>
    </row>
    <row r="1015" spans="2:14" ht="15" hidden="1" outlineLevel="1" x14ac:dyDescent="0.25">
      <c r="B1015" t="str">
        <f>+C1015&amp;D1015&amp;E1015&amp;F1015</f>
        <v>AfricaResultsCost of e-Diesel (PS)USD/ton</v>
      </c>
      <c r="C1015" t="s">
        <v>200</v>
      </c>
      <c r="D1015" t="s">
        <v>838</v>
      </c>
      <c r="E1015" s="30" t="s">
        <v>1040</v>
      </c>
      <c r="F1015" s="128" t="s">
        <v>205</v>
      </c>
      <c r="G1015" s="8">
        <f t="shared" ref="G1015:M1015" si="565">G1173</f>
        <v>4815.7510922849042</v>
      </c>
      <c r="H1015" s="8">
        <f t="shared" si="565"/>
        <v>3362.6089295269949</v>
      </c>
      <c r="I1015" s="8">
        <f t="shared" si="565"/>
        <v>2646.8336042670044</v>
      </c>
      <c r="J1015" s="8">
        <f t="shared" si="565"/>
        <v>2377.7272797026467</v>
      </c>
      <c r="K1015" s="8">
        <f t="shared" si="565"/>
        <v>2109.627025155618</v>
      </c>
      <c r="L1015" s="8">
        <f t="shared" si="565"/>
        <v>1707.7822109816047</v>
      </c>
      <c r="M1015" s="8">
        <f t="shared" si="565"/>
        <v>1351.074210037229</v>
      </c>
    </row>
    <row r="1016" spans="2:14" ht="15" hidden="1" outlineLevel="1" x14ac:dyDescent="0.25">
      <c r="E1016" s="30"/>
      <c r="F1016" s="128"/>
      <c r="G1016" s="8"/>
      <c r="H1016" s="8"/>
      <c r="I1016" s="8"/>
      <c r="J1016" s="8"/>
      <c r="K1016" s="8"/>
      <c r="L1016" s="8"/>
      <c r="M1016" s="8"/>
    </row>
    <row r="1017" spans="2:14" ht="15" hidden="1" outlineLevel="1" x14ac:dyDescent="0.25">
      <c r="B1017" t="str">
        <f>+C1017&amp;D1017&amp;E1017&amp;F1017</f>
        <v>EuropeResultsCost of e-Diesel (PS) RNEUSD/ton</v>
      </c>
      <c r="C1017" t="s">
        <v>195</v>
      </c>
      <c r="D1017" t="s">
        <v>838</v>
      </c>
      <c r="E1017" s="30" t="s">
        <v>1041</v>
      </c>
      <c r="F1017" s="128" t="s">
        <v>205</v>
      </c>
      <c r="G1017" s="8"/>
      <c r="H1017" s="8"/>
      <c r="I1017" s="8"/>
      <c r="J1017" s="8"/>
      <c r="K1017" s="8"/>
      <c r="L1017" s="8"/>
      <c r="M1017" s="8"/>
      <c r="N1017" s="93"/>
    </row>
    <row r="1018" spans="2:14" ht="15" hidden="1" outlineLevel="1" x14ac:dyDescent="0.25">
      <c r="B1018" t="str">
        <f>+C1018&amp;D1018&amp;E1018&amp;F1018</f>
        <v>Middle EastResultsCost of e-Diesel (PS) RNEUSD/ton</v>
      </c>
      <c r="C1018" t="s">
        <v>197</v>
      </c>
      <c r="D1018" t="s">
        <v>838</v>
      </c>
      <c r="E1018" s="30" t="s">
        <v>1041</v>
      </c>
      <c r="F1018" s="128" t="s">
        <v>205</v>
      </c>
      <c r="G1018" s="8"/>
      <c r="H1018" s="8"/>
      <c r="I1018" s="8"/>
      <c r="J1018" s="8"/>
      <c r="K1018" s="8"/>
      <c r="L1018" s="8"/>
      <c r="M1018" s="8"/>
    </row>
    <row r="1019" spans="2:14" ht="15" hidden="1" outlineLevel="1" x14ac:dyDescent="0.25">
      <c r="B1019" t="str">
        <f>+C1019&amp;D1019&amp;E1019&amp;F1019</f>
        <v>AsiaResultsCost of e-Diesel (PS) RNEUSD/ton</v>
      </c>
      <c r="C1019" t="s">
        <v>198</v>
      </c>
      <c r="D1019" t="s">
        <v>838</v>
      </c>
      <c r="E1019" s="30" t="s">
        <v>1041</v>
      </c>
      <c r="F1019" s="128" t="s">
        <v>205</v>
      </c>
      <c r="G1019" s="8"/>
      <c r="H1019" s="8"/>
      <c r="I1019" s="8"/>
      <c r="J1019" s="8"/>
      <c r="K1019" s="8"/>
      <c r="L1019" s="8"/>
      <c r="M1019" s="8"/>
    </row>
    <row r="1020" spans="2:14" ht="15" hidden="1" outlineLevel="1" x14ac:dyDescent="0.25">
      <c r="B1020" t="str">
        <f>+C1020&amp;D1020&amp;E1020&amp;F1020</f>
        <v>AmericasResultsCost of e-Diesel (PS) RNEUSD/ton</v>
      </c>
      <c r="C1020" t="s">
        <v>199</v>
      </c>
      <c r="D1020" t="s">
        <v>838</v>
      </c>
      <c r="E1020" s="30" t="s">
        <v>1041</v>
      </c>
      <c r="F1020" s="128" t="s">
        <v>205</v>
      </c>
      <c r="G1020" s="8"/>
      <c r="H1020" s="8"/>
      <c r="I1020" s="8"/>
      <c r="J1020" s="8"/>
      <c r="K1020" s="8"/>
      <c r="L1020" s="8"/>
      <c r="M1020" s="8"/>
    </row>
    <row r="1021" spans="2:14" ht="15" hidden="1" outlineLevel="1" x14ac:dyDescent="0.25">
      <c r="B1021" t="str">
        <f>+C1021&amp;D1021&amp;E1021&amp;F1021</f>
        <v>AfricaResultsCost of e-Diesel (PS) RNEUSD/ton</v>
      </c>
      <c r="C1021" t="s">
        <v>200</v>
      </c>
      <c r="D1021" t="s">
        <v>838</v>
      </c>
      <c r="E1021" s="30" t="s">
        <v>1041</v>
      </c>
      <c r="F1021" s="128" t="s">
        <v>205</v>
      </c>
      <c r="G1021" s="8"/>
      <c r="H1021" s="8"/>
      <c r="I1021" s="8"/>
      <c r="J1021" s="8"/>
      <c r="K1021" s="8"/>
      <c r="L1021" s="8"/>
      <c r="M1021" s="8"/>
    </row>
    <row r="1022" spans="2:14" ht="12.75" hidden="1" outlineLevel="1" x14ac:dyDescent="0.2">
      <c r="F1022"/>
    </row>
    <row r="1023" spans="2:14" s="30" customFormat="1" ht="15" hidden="1" outlineLevel="1" collapsed="1" x14ac:dyDescent="0.25">
      <c r="B1023" s="30" t="s">
        <v>195</v>
      </c>
      <c r="C1023" s="30" t="str">
        <f>+B1023</f>
        <v>Europe</v>
      </c>
    </row>
    <row r="1024" spans="2:14" ht="15" hidden="1" outlineLevel="2" x14ac:dyDescent="0.25">
      <c r="B1024" s="157" t="str">
        <f t="shared" ref="B1024:B1029" si="566">+C1024&amp;D1024&amp;E1024&amp;F1024</f>
        <v>EuropeResultsTotal cost of e-Diesel (DAC)USD/ton</v>
      </c>
      <c r="C1024" s="157" t="str">
        <f t="shared" ref="C1024:C1033" si="567">+$B$1023</f>
        <v>Europe</v>
      </c>
      <c r="D1024" s="515" t="s">
        <v>838</v>
      </c>
      <c r="E1024" s="535" t="s">
        <v>1042</v>
      </c>
      <c r="F1024" s="128" t="s">
        <v>205</v>
      </c>
      <c r="G1024" s="492">
        <f>SUM(G1026,G1028,G1030,G1032)</f>
        <v>4575.75599222251</v>
      </c>
      <c r="H1024" s="492">
        <f t="shared" ref="H1024:M1024" si="568">SUM(H1026,H1028,H1030,H1032)</f>
        <v>3666.3271891911131</v>
      </c>
      <c r="I1024" s="492">
        <f t="shared" si="568"/>
        <v>2915.3539843026874</v>
      </c>
      <c r="J1024" s="492">
        <f t="shared" si="568"/>
        <v>2627.2527651600581</v>
      </c>
      <c r="K1024" s="492">
        <f t="shared" si="568"/>
        <v>2325.3533111473339</v>
      </c>
      <c r="L1024" s="492">
        <f t="shared" si="568"/>
        <v>1896.7339903904369</v>
      </c>
      <c r="M1024" s="492">
        <f t="shared" si="568"/>
        <v>1510.3396783572825</v>
      </c>
    </row>
    <row r="1025" spans="2:13" ht="15" hidden="1" outlineLevel="2" x14ac:dyDescent="0.25">
      <c r="B1025" s="157" t="str">
        <f t="shared" si="566"/>
        <v>EuropeResultsTotal cost of e-Diesel (PS)USD/ton</v>
      </c>
      <c r="C1025" s="157" t="str">
        <f t="shared" si="567"/>
        <v>Europe</v>
      </c>
      <c r="D1025" s="515" t="s">
        <v>838</v>
      </c>
      <c r="E1025" s="535" t="s">
        <v>1043</v>
      </c>
      <c r="F1025" s="128" t="s">
        <v>205</v>
      </c>
      <c r="G1025" s="492">
        <f>SUM(G1027,G1029,G1031,G1033)</f>
        <v>4145.7272046911285</v>
      </c>
      <c r="H1025" s="492">
        <f t="shared" ref="H1025:M1025" si="569">SUM(H1027,H1029,H1031,H1033)</f>
        <v>3348.9736086999769</v>
      </c>
      <c r="I1025" s="492">
        <f t="shared" si="569"/>
        <v>2664.100659542979</v>
      </c>
      <c r="J1025" s="492">
        <f t="shared" si="569"/>
        <v>2442.254971585236</v>
      </c>
      <c r="K1025" s="492">
        <f t="shared" si="569"/>
        <v>2181.9670446480259</v>
      </c>
      <c r="L1025" s="492">
        <f t="shared" si="569"/>
        <v>1784.0697250978733</v>
      </c>
      <c r="M1025" s="492">
        <f t="shared" si="569"/>
        <v>1415.5202908675387</v>
      </c>
    </row>
    <row r="1026" spans="2:13" ht="15" hidden="1" outlineLevel="2" x14ac:dyDescent="0.25">
      <c r="B1026" s="157" t="str">
        <f t="shared" si="566"/>
        <v>EuropeResultsTotal Capex e-Diesel (DAC)USD/ton</v>
      </c>
      <c r="C1026" s="157" t="str">
        <f t="shared" si="567"/>
        <v>Europe</v>
      </c>
      <c r="D1026" s="515" t="s">
        <v>838</v>
      </c>
      <c r="E1026" s="536" t="s">
        <v>1044</v>
      </c>
      <c r="F1026" s="128" t="s">
        <v>205</v>
      </c>
      <c r="G1026" s="490">
        <f>G1035+G1056*G1054</f>
        <v>975.24497896284106</v>
      </c>
      <c r="H1026" s="490">
        <f t="shared" ref="H1026:M1026" si="570">H1035+H1056*H1054</f>
        <v>841.05960383899901</v>
      </c>
      <c r="I1026" s="490">
        <f t="shared" si="570"/>
        <v>729.3413863173954</v>
      </c>
      <c r="J1026" s="490">
        <f t="shared" si="570"/>
        <v>715.92483717522839</v>
      </c>
      <c r="K1026" s="490">
        <f t="shared" si="570"/>
        <v>663.02732395007888</v>
      </c>
      <c r="L1026" s="490">
        <f t="shared" si="570"/>
        <v>547.28868943989619</v>
      </c>
      <c r="M1026" s="490">
        <f t="shared" si="570"/>
        <v>410.86652291560972</v>
      </c>
    </row>
    <row r="1027" spans="2:13" ht="15" hidden="1" outlineLevel="2" x14ac:dyDescent="0.25">
      <c r="B1027" s="157" t="str">
        <f t="shared" si="566"/>
        <v>EuropeResultsTotal Capex e-Diesel (PS)USD/ton</v>
      </c>
      <c r="C1027" s="157" t="str">
        <f t="shared" si="567"/>
        <v>Europe</v>
      </c>
      <c r="D1027" s="515" t="s">
        <v>838</v>
      </c>
      <c r="E1027" s="536" t="s">
        <v>1045</v>
      </c>
      <c r="F1027" s="128" t="s">
        <v>205</v>
      </c>
      <c r="G1027" s="490">
        <f>+G1026</f>
        <v>975.24497896284106</v>
      </c>
      <c r="H1027" s="490">
        <f t="shared" ref="H1027:M1027" si="571">+H1026</f>
        <v>841.05960383899901</v>
      </c>
      <c r="I1027" s="490">
        <f t="shared" si="571"/>
        <v>729.3413863173954</v>
      </c>
      <c r="J1027" s="490">
        <f t="shared" si="571"/>
        <v>715.92483717522839</v>
      </c>
      <c r="K1027" s="490">
        <f t="shared" si="571"/>
        <v>663.02732395007888</v>
      </c>
      <c r="L1027" s="490">
        <f t="shared" si="571"/>
        <v>547.28868943989619</v>
      </c>
      <c r="M1027" s="490">
        <f t="shared" si="571"/>
        <v>410.86652291560972</v>
      </c>
    </row>
    <row r="1028" spans="2:13" ht="15" hidden="1" outlineLevel="2" x14ac:dyDescent="0.25">
      <c r="B1028" s="157" t="str">
        <f t="shared" si="566"/>
        <v>EuropeResultsTotal Opex e-Diesel (DAC)USD/ton</v>
      </c>
      <c r="C1028" s="157" t="str">
        <f t="shared" si="567"/>
        <v>Europe</v>
      </c>
      <c r="D1028" s="515" t="s">
        <v>838</v>
      </c>
      <c r="E1028" s="536" t="s">
        <v>1046</v>
      </c>
      <c r="F1028" s="128" t="s">
        <v>205</v>
      </c>
      <c r="G1028" s="490">
        <f>G1039+G1054*(1-SUM(G1055:G1056))</f>
        <v>1115.3641775452211</v>
      </c>
      <c r="H1028" s="490">
        <f t="shared" ref="H1028:M1028" si="572">H1039+H1054*(1-SUM(H1055:H1056))</f>
        <v>842.48794774226258</v>
      </c>
      <c r="I1028" s="490">
        <f t="shared" si="572"/>
        <v>609.04421126235241</v>
      </c>
      <c r="J1028" s="490">
        <f t="shared" si="572"/>
        <v>562.12790295624006</v>
      </c>
      <c r="K1028" s="490">
        <f t="shared" si="572"/>
        <v>479.71561450352772</v>
      </c>
      <c r="L1028" s="490">
        <f t="shared" si="572"/>
        <v>331.29181259906545</v>
      </c>
      <c r="M1028" s="490">
        <f t="shared" si="572"/>
        <v>205.03601978691017</v>
      </c>
    </row>
    <row r="1029" spans="2:13" ht="15" hidden="1" outlineLevel="2" x14ac:dyDescent="0.25">
      <c r="B1029" s="157" t="str">
        <f t="shared" si="566"/>
        <v>EuropeResultsTotal Opex e-Diesel (PS)USD/ton</v>
      </c>
      <c r="C1029" s="157" t="str">
        <f t="shared" si="567"/>
        <v>Europe</v>
      </c>
      <c r="D1029" s="515" t="s">
        <v>838</v>
      </c>
      <c r="E1029" s="536" t="s">
        <v>1047</v>
      </c>
      <c r="F1029" s="128" t="s">
        <v>205</v>
      </c>
      <c r="G1029" s="490">
        <f>+G1028</f>
        <v>1115.3641775452211</v>
      </c>
      <c r="H1029" s="490">
        <f t="shared" ref="H1029:M1029" si="573">+H1028</f>
        <v>842.48794774226258</v>
      </c>
      <c r="I1029" s="490">
        <f t="shared" si="573"/>
        <v>609.04421126235241</v>
      </c>
      <c r="J1029" s="490">
        <f t="shared" si="573"/>
        <v>562.12790295624006</v>
      </c>
      <c r="K1029" s="490">
        <f t="shared" si="573"/>
        <v>479.71561450352772</v>
      </c>
      <c r="L1029" s="490">
        <f t="shared" si="573"/>
        <v>331.29181259906545</v>
      </c>
      <c r="M1029" s="490">
        <f t="shared" si="573"/>
        <v>205.03601978691017</v>
      </c>
    </row>
    <row r="1030" spans="2:13" ht="15" hidden="1" outlineLevel="2" x14ac:dyDescent="0.25">
      <c r="B1030" s="157" t="str">
        <f>+C1030&amp;D1030&amp;E1030&amp;F1030</f>
        <v>EuropeResultsTotal RNE e-Diesel (DAC)USD/ton</v>
      </c>
      <c r="C1030" s="157" t="str">
        <f t="shared" si="567"/>
        <v>Europe</v>
      </c>
      <c r="D1030" s="515" t="s">
        <v>838</v>
      </c>
      <c r="E1030" s="536" t="s">
        <v>1048</v>
      </c>
      <c r="F1030" s="128" t="s">
        <v>205</v>
      </c>
      <c r="G1030" s="490">
        <f>+G1042+G1054*G1055</f>
        <v>1416.0099006012485</v>
      </c>
      <c r="H1030" s="490">
        <f t="shared" ref="H1030:M1030" si="574">+H1042+H1054*H1055</f>
        <v>1138.9130531895148</v>
      </c>
      <c r="I1030" s="490">
        <f t="shared" si="574"/>
        <v>908.66479269685146</v>
      </c>
      <c r="J1030" s="490">
        <f t="shared" si="574"/>
        <v>789.93788571226401</v>
      </c>
      <c r="K1030" s="490">
        <f t="shared" si="574"/>
        <v>705.5385607005561</v>
      </c>
      <c r="L1030" s="490">
        <f t="shared" si="574"/>
        <v>612.61080841195758</v>
      </c>
      <c r="M1030" s="490">
        <f t="shared" si="574"/>
        <v>546.60050663573838</v>
      </c>
    </row>
    <row r="1031" spans="2:13" ht="15" hidden="1" outlineLevel="2" x14ac:dyDescent="0.25">
      <c r="B1031" s="157" t="str">
        <f>+C1031&amp;D1031&amp;E1031&amp;F1031</f>
        <v>EuropeResultsTotal RNE e-Diesel (PS)USD/ton</v>
      </c>
      <c r="C1031" s="157" t="str">
        <f t="shared" si="567"/>
        <v>Europe</v>
      </c>
      <c r="D1031" s="515" t="s">
        <v>838</v>
      </c>
      <c r="E1031" s="536" t="s">
        <v>1049</v>
      </c>
      <c r="F1031" s="128" t="s">
        <v>205</v>
      </c>
      <c r="G1031" s="490">
        <f>+G1030</f>
        <v>1416.0099006012485</v>
      </c>
      <c r="H1031" s="490">
        <f t="shared" ref="H1031:M1031" si="575">+H1030</f>
        <v>1138.9130531895148</v>
      </c>
      <c r="I1031" s="490">
        <f t="shared" si="575"/>
        <v>908.66479269685146</v>
      </c>
      <c r="J1031" s="490">
        <f t="shared" si="575"/>
        <v>789.93788571226401</v>
      </c>
      <c r="K1031" s="490">
        <f t="shared" si="575"/>
        <v>705.5385607005561</v>
      </c>
      <c r="L1031" s="490">
        <f t="shared" si="575"/>
        <v>612.61080841195758</v>
      </c>
      <c r="M1031" s="490">
        <f t="shared" si="575"/>
        <v>546.60050663573838</v>
      </c>
    </row>
    <row r="1032" spans="2:13" ht="15" hidden="1" outlineLevel="2" x14ac:dyDescent="0.25">
      <c r="B1032" s="157" t="str">
        <f>+C1032&amp;D1032&amp;E1032&amp;F1032</f>
        <v>EuropeResultsTotal CO2 e-Diesel (DAC)USD/ton</v>
      </c>
      <c r="C1032" s="157" t="str">
        <f t="shared" si="567"/>
        <v>Europe</v>
      </c>
      <c r="D1032" s="515" t="s">
        <v>838</v>
      </c>
      <c r="E1032" s="536" t="s">
        <v>1050</v>
      </c>
      <c r="F1032" s="128" t="s">
        <v>205</v>
      </c>
      <c r="G1032" s="490">
        <f>+G1046</f>
        <v>1069.1369351131987</v>
      </c>
      <c r="H1032" s="490">
        <f t="shared" ref="H1032:M1032" si="576">+H1046</f>
        <v>843.86658442033661</v>
      </c>
      <c r="I1032" s="490">
        <f t="shared" si="576"/>
        <v>668.30359402608792</v>
      </c>
      <c r="J1032" s="490">
        <f t="shared" si="576"/>
        <v>559.26213931632594</v>
      </c>
      <c r="K1032" s="490">
        <f t="shared" si="576"/>
        <v>477.07181199317108</v>
      </c>
      <c r="L1032" s="490">
        <f t="shared" si="576"/>
        <v>405.54267993951777</v>
      </c>
      <c r="M1032" s="490">
        <f t="shared" si="576"/>
        <v>347.83662901902431</v>
      </c>
    </row>
    <row r="1033" spans="2:13" ht="15" hidden="1" outlineLevel="2" x14ac:dyDescent="0.25">
      <c r="B1033" s="157" t="str">
        <f>+C1033&amp;D1033&amp;E1033&amp;F1033</f>
        <v>EuropeResultsTotal CO2 e-Diesel (PS)USD/ton</v>
      </c>
      <c r="C1033" s="157" t="str">
        <f t="shared" si="567"/>
        <v>Europe</v>
      </c>
      <c r="D1033" s="515" t="s">
        <v>838</v>
      </c>
      <c r="E1033" s="536" t="s">
        <v>1051</v>
      </c>
      <c r="F1033" s="128" t="s">
        <v>205</v>
      </c>
      <c r="G1033" s="490">
        <f>+G1050</f>
        <v>639.10814758181755</v>
      </c>
      <c r="H1033" s="490">
        <f t="shared" ref="H1033:M1033" si="577">+H1050</f>
        <v>526.51300392920018</v>
      </c>
      <c r="I1033" s="490">
        <f t="shared" si="577"/>
        <v>417.05026926637964</v>
      </c>
      <c r="J1033" s="490">
        <f t="shared" si="577"/>
        <v>374.26434574150397</v>
      </c>
      <c r="K1033" s="490">
        <f t="shared" si="577"/>
        <v>333.68554549386312</v>
      </c>
      <c r="L1033" s="490">
        <f t="shared" si="577"/>
        <v>292.87841464695396</v>
      </c>
      <c r="M1033" s="490">
        <f t="shared" si="577"/>
        <v>253.01724152928051</v>
      </c>
    </row>
    <row r="1034" spans="2:13" hidden="1" outlineLevel="2" x14ac:dyDescent="0.2">
      <c r="C1034" s="157"/>
      <c r="E1034" s="48"/>
      <c r="F1034" s="128"/>
      <c r="G1034" s="8"/>
      <c r="H1034" s="8"/>
      <c r="I1034" s="8"/>
      <c r="J1034" s="8"/>
      <c r="K1034" s="8"/>
      <c r="L1034" s="8"/>
      <c r="M1034" s="8"/>
    </row>
    <row r="1035" spans="2:13" hidden="1" outlineLevel="2" x14ac:dyDescent="0.2">
      <c r="B1035" t="str">
        <f>+C1035&amp;D1035&amp;E1035&amp;F1035</f>
        <v>EuropeResultsCapex per ton e DieselUSD/ Ton</v>
      </c>
      <c r="C1035" s="157" t="str">
        <f>+$B$1023</f>
        <v>Europe</v>
      </c>
      <c r="D1035" t="s">
        <v>838</v>
      </c>
      <c r="E1035" s="48" t="s">
        <v>1052</v>
      </c>
      <c r="F1035" s="128" t="s">
        <v>1053</v>
      </c>
      <c r="G1035" s="8">
        <f t="shared" ref="G1035:M1035" si="578">G1037/G1036</f>
        <v>583.00000000000011</v>
      </c>
      <c r="H1035" s="8">
        <f t="shared" si="578"/>
        <v>512.33333333333348</v>
      </c>
      <c r="I1035" s="8">
        <f t="shared" si="578"/>
        <v>441.66666666666674</v>
      </c>
      <c r="J1035" s="8">
        <f t="shared" si="578"/>
        <v>412.95833333333343</v>
      </c>
      <c r="K1035" s="8">
        <f t="shared" si="578"/>
        <v>384.25000000000011</v>
      </c>
      <c r="L1035" s="8">
        <f t="shared" si="578"/>
        <v>324.62500000000006</v>
      </c>
      <c r="M1035" s="8">
        <f t="shared" si="578"/>
        <v>265.00000000000006</v>
      </c>
    </row>
    <row r="1036" spans="2:13" hidden="1" outlineLevel="2" x14ac:dyDescent="0.2">
      <c r="B1036" t="str">
        <f>+C1036&amp;D1036&amp;E1036&amp;F1036</f>
        <v>GlobalPlant capexAnnualisation factor#</v>
      </c>
      <c r="C1036" s="157" t="s">
        <v>109</v>
      </c>
      <c r="D1036" t="s">
        <v>786</v>
      </c>
      <c r="E1036" t="s">
        <v>764</v>
      </c>
      <c r="F1036" s="450" t="s">
        <v>787</v>
      </c>
      <c r="G1036" s="532">
        <f>INDEX('Fuel Model -  Input'!$B$3:$N$373,MATCH($B1036,'Fuel Model -  Input'!$B$3:$B$373,0),MATCH(G$2,'Fuel Model -  Input'!$B$3:$N$3,0))</f>
        <v>11.32075471698113</v>
      </c>
      <c r="H1036" s="532">
        <f>INDEX('Fuel Model -  Input'!$B$3:$N$373,MATCH($B1036,'Fuel Model -  Input'!$B$3:$B$373,0),MATCH(H$2,'Fuel Model -  Input'!$B$3:$N$3,0))</f>
        <v>11.32075471698113</v>
      </c>
      <c r="I1036" s="532">
        <f>INDEX('Fuel Model -  Input'!$B$3:$N$373,MATCH($B1036,'Fuel Model -  Input'!$B$3:$B$373,0),MATCH(I$2,'Fuel Model -  Input'!$B$3:$N$3,0))</f>
        <v>11.32075471698113</v>
      </c>
      <c r="J1036" s="532">
        <f>INDEX('Fuel Model -  Input'!$B$3:$N$373,MATCH($B1036,'Fuel Model -  Input'!$B$3:$B$373,0),MATCH(J$2,'Fuel Model -  Input'!$B$3:$N$3,0))</f>
        <v>11.32075471698113</v>
      </c>
      <c r="K1036" s="532">
        <f>INDEX('Fuel Model -  Input'!$B$3:$N$373,MATCH($B1036,'Fuel Model -  Input'!$B$3:$B$373,0),MATCH(K$2,'Fuel Model -  Input'!$B$3:$N$3,0))</f>
        <v>11.32075471698113</v>
      </c>
      <c r="L1036" s="532">
        <f>INDEX('Fuel Model -  Input'!$B$3:$N$373,MATCH($B1036,'Fuel Model -  Input'!$B$3:$B$373,0),MATCH(L$2,'Fuel Model -  Input'!$B$3:$N$3,0))</f>
        <v>11.32075471698113</v>
      </c>
      <c r="M1036" s="532">
        <f>INDEX('Fuel Model -  Input'!$B$3:$N$373,MATCH($B1036,'Fuel Model -  Input'!$B$3:$B$373,0),MATCH(M$2,'Fuel Model -  Input'!$B$3:$N$3,0))</f>
        <v>11.32075471698113</v>
      </c>
    </row>
    <row r="1037" spans="2:13" hidden="1" outlineLevel="2" x14ac:dyDescent="0.2">
      <c r="B1037" t="str">
        <f>+C1037&amp;D1037&amp;E1037&amp;F1037</f>
        <v>GlobalCapexE Diesel plant capex unit costCapex/ ton e diesel</v>
      </c>
      <c r="C1037" s="157" t="s">
        <v>109</v>
      </c>
      <c r="D1037" t="s">
        <v>218</v>
      </c>
      <c r="E1037" t="s">
        <v>1054</v>
      </c>
      <c r="F1037" s="128" t="s">
        <v>1055</v>
      </c>
      <c r="G1037" s="532">
        <f>INDEX('Fuel Model -  Input'!$B$3:$N$373,MATCH($B1037,'Fuel Model -  Input'!$B$3:$B$373,0),MATCH(G$2,'Fuel Model -  Input'!$B$3:$N$3,0))</f>
        <v>6600</v>
      </c>
      <c r="H1037" s="532">
        <f>INDEX('Fuel Model -  Input'!$B$3:$N$373,MATCH($B1037,'Fuel Model -  Input'!$B$3:$B$373,0),MATCH(H$2,'Fuel Model -  Input'!$B$3:$N$3,0))</f>
        <v>5800</v>
      </c>
      <c r="I1037" s="532">
        <f>INDEX('Fuel Model -  Input'!$B$3:$N$373,MATCH($B1037,'Fuel Model -  Input'!$B$3:$B$373,0),MATCH(I$2,'Fuel Model -  Input'!$B$3:$N$3,0))</f>
        <v>5000</v>
      </c>
      <c r="J1037" s="532">
        <f>INDEX('Fuel Model -  Input'!$B$3:$N$373,MATCH($B1037,'Fuel Model -  Input'!$B$3:$B$373,0),MATCH(J$2,'Fuel Model -  Input'!$B$3:$N$3,0))</f>
        <v>4675</v>
      </c>
      <c r="K1037" s="532">
        <f>INDEX('Fuel Model -  Input'!$B$3:$N$373,MATCH($B1037,'Fuel Model -  Input'!$B$3:$B$373,0),MATCH(K$2,'Fuel Model -  Input'!$B$3:$N$3,0))</f>
        <v>4350</v>
      </c>
      <c r="L1037" s="532">
        <f>INDEX('Fuel Model -  Input'!$B$3:$N$373,MATCH($B1037,'Fuel Model -  Input'!$B$3:$B$373,0),MATCH(L$2,'Fuel Model -  Input'!$B$3:$N$3,0))</f>
        <v>3675</v>
      </c>
      <c r="M1037" s="532">
        <f>INDEX('Fuel Model -  Input'!$B$3:$N$373,MATCH($B1037,'Fuel Model -  Input'!$B$3:$B$373,0),MATCH(M$2,'Fuel Model -  Input'!$B$3:$N$3,0))</f>
        <v>3000</v>
      </c>
    </row>
    <row r="1038" spans="2:13" hidden="1" outlineLevel="2" x14ac:dyDescent="0.2">
      <c r="C1038" s="157"/>
      <c r="E1038" s="48"/>
      <c r="F1038" s="128"/>
      <c r="G1038" s="8"/>
      <c r="H1038" s="8"/>
      <c r="I1038" s="8"/>
      <c r="J1038" s="8"/>
      <c r="K1038" s="8"/>
      <c r="L1038" s="8"/>
      <c r="M1038" s="8"/>
    </row>
    <row r="1039" spans="2:13" hidden="1" outlineLevel="2" x14ac:dyDescent="0.2">
      <c r="B1039" t="str">
        <f>+C1039&amp;D1039&amp;E1039&amp;F1039</f>
        <v>EuropeOpexOpexUSD/ton e Diesel</v>
      </c>
      <c r="C1039" s="157" t="str">
        <f>+$B$1023</f>
        <v>Europe</v>
      </c>
      <c r="D1039" t="s">
        <v>219</v>
      </c>
      <c r="E1039" s="48" t="s">
        <v>219</v>
      </c>
      <c r="F1039" s="128" t="s">
        <v>1056</v>
      </c>
      <c r="G1039" s="8">
        <f t="shared" ref="G1039:M1039" si="579">G1037*G1040</f>
        <v>660</v>
      </c>
      <c r="H1039" s="8">
        <f t="shared" si="579"/>
        <v>464</v>
      </c>
      <c r="I1039" s="8">
        <f t="shared" si="579"/>
        <v>300</v>
      </c>
      <c r="J1039" s="8">
        <f t="shared" si="579"/>
        <v>280.5</v>
      </c>
      <c r="K1039" s="8">
        <f t="shared" si="579"/>
        <v>261</v>
      </c>
      <c r="L1039" s="8">
        <f t="shared" si="579"/>
        <v>183.75</v>
      </c>
      <c r="M1039" s="8">
        <f t="shared" si="579"/>
        <v>120</v>
      </c>
    </row>
    <row r="1040" spans="2:13" hidden="1" outlineLevel="2" x14ac:dyDescent="0.2">
      <c r="B1040" s="78" t="str">
        <f>+C1040&amp;D1040&amp;E1040&amp;F1040</f>
        <v>GlobalOpexOpex - e Diesel plantPercent of capex</v>
      </c>
      <c r="C1040" s="157" t="s">
        <v>109</v>
      </c>
      <c r="D1040" t="s">
        <v>219</v>
      </c>
      <c r="E1040" t="s">
        <v>1057</v>
      </c>
      <c r="F1040" s="128" t="s">
        <v>1058</v>
      </c>
      <c r="G1040" s="531">
        <f>INDEX('Fuel Model -  Input'!$B$3:$N$373,MATCH($B1040,'Fuel Model -  Input'!$B$3:$B$373,0),MATCH(G$2,'Fuel Model -  Input'!$B$3:$N$3,0))</f>
        <v>0.1</v>
      </c>
      <c r="H1040" s="531">
        <f>INDEX('Fuel Model -  Input'!$B$3:$N$373,MATCH($B1040,'Fuel Model -  Input'!$B$3:$B$373,0),MATCH(H$2,'Fuel Model -  Input'!$B$3:$N$3,0))</f>
        <v>0.08</v>
      </c>
      <c r="I1040" s="531">
        <f>INDEX('Fuel Model -  Input'!$B$3:$N$373,MATCH($B1040,'Fuel Model -  Input'!$B$3:$B$373,0),MATCH(I$2,'Fuel Model -  Input'!$B$3:$N$3,0))</f>
        <v>0.06</v>
      </c>
      <c r="J1040" s="531">
        <f>INDEX('Fuel Model -  Input'!$B$3:$N$373,MATCH($B1040,'Fuel Model -  Input'!$B$3:$B$373,0),MATCH(J$2,'Fuel Model -  Input'!$B$3:$N$3,0))</f>
        <v>0.06</v>
      </c>
      <c r="K1040" s="531">
        <f>INDEX('Fuel Model -  Input'!$B$3:$N$373,MATCH($B1040,'Fuel Model -  Input'!$B$3:$B$373,0),MATCH(K$2,'Fuel Model -  Input'!$B$3:$N$3,0))</f>
        <v>0.06</v>
      </c>
      <c r="L1040" s="531">
        <f>INDEX('Fuel Model -  Input'!$B$3:$N$373,MATCH($B1040,'Fuel Model -  Input'!$B$3:$B$373,0),MATCH(L$2,'Fuel Model -  Input'!$B$3:$N$3,0))</f>
        <v>0.05</v>
      </c>
      <c r="M1040" s="531">
        <f>INDEX('Fuel Model -  Input'!$B$3:$N$373,MATCH($B1040,'Fuel Model -  Input'!$B$3:$B$373,0),MATCH(M$2,'Fuel Model -  Input'!$B$3:$N$3,0))</f>
        <v>0.04</v>
      </c>
    </row>
    <row r="1041" spans="2:13" hidden="1" outlineLevel="2" x14ac:dyDescent="0.2">
      <c r="C1041" s="157"/>
      <c r="E1041" s="48"/>
      <c r="F1041" s="128"/>
      <c r="G1041" s="8"/>
      <c r="H1041" s="8"/>
      <c r="I1041" s="8"/>
      <c r="J1041" s="8"/>
      <c r="K1041" s="8"/>
      <c r="L1041" s="8"/>
      <c r="M1041" s="8"/>
    </row>
    <row r="1042" spans="2:13" hidden="1" outlineLevel="2" x14ac:dyDescent="0.2">
      <c r="B1042" s="78" t="str">
        <f>+C1042&amp;D1042&amp;E1042&amp;F1042</f>
        <v>EuropeGeneralElectricity costUSD/ton e Diesel</v>
      </c>
      <c r="C1042" s="157" t="str">
        <f>+$B$1023</f>
        <v>Europe</v>
      </c>
      <c r="D1042" t="s">
        <v>173</v>
      </c>
      <c r="E1042" s="48" t="s">
        <v>94</v>
      </c>
      <c r="F1042" s="128" t="s">
        <v>1056</v>
      </c>
      <c r="G1042" s="260">
        <f t="shared" ref="G1042:M1042" si="580">G1043*G1044</f>
        <v>23.803579386831192</v>
      </c>
      <c r="H1042" s="260">
        <f t="shared" si="580"/>
        <v>17.671265371443209</v>
      </c>
      <c r="I1042" s="260">
        <f t="shared" si="580"/>
        <v>13.123238453328058</v>
      </c>
      <c r="J1042" s="260">
        <f t="shared" si="580"/>
        <v>10.862289687014503</v>
      </c>
      <c r="K1042" s="260">
        <f t="shared" si="580"/>
        <v>9.3205481959570928</v>
      </c>
      <c r="L1042" s="260">
        <f t="shared" si="580"/>
        <v>7.9180061399737545</v>
      </c>
      <c r="M1042" s="260">
        <f t="shared" si="580"/>
        <v>6.8405637277221709</v>
      </c>
    </row>
    <row r="1043" spans="2:13" hidden="1" outlineLevel="2" x14ac:dyDescent="0.2">
      <c r="B1043" s="78" t="str">
        <f>+C1043&amp;D1043&amp;E1043&amp;F1043</f>
        <v>EuropeFeedstockElectricityUSD/MWh</v>
      </c>
      <c r="C1043" s="157" t="str">
        <f>+$B$1023</f>
        <v>Europe</v>
      </c>
      <c r="D1043" t="s">
        <v>777</v>
      </c>
      <c r="E1043" s="48" t="s">
        <v>54</v>
      </c>
      <c r="F1043" s="128" t="s">
        <v>196</v>
      </c>
      <c r="G1043" s="532">
        <f>INDEX('Fuel Model -  Input'!$B$3:$N$373,MATCH($B1043,'Fuel Model -  Input'!$B$3:$B$373,0),MATCH(G$2,'Fuel Model -  Input'!$B$3:$N$3,0))</f>
        <v>54.596518251479822</v>
      </c>
      <c r="H1043" s="532">
        <f>INDEX('Fuel Model -  Input'!$B$3:$N$373,MATCH($B1043,'Fuel Model -  Input'!$B$3:$B$373,0),MATCH(H$2,'Fuel Model -  Input'!$B$3:$N$3,0))</f>
        <v>44.178163428608016</v>
      </c>
      <c r="I1043" s="532">
        <f>INDEX('Fuel Model -  Input'!$B$3:$N$373,MATCH($B1043,'Fuel Model -  Input'!$B$3:$B$373,0),MATCH(I$2,'Fuel Model -  Input'!$B$3:$N$3,0))</f>
        <v>35.760069774188757</v>
      </c>
      <c r="J1043" s="532">
        <f>INDEX('Fuel Model -  Input'!$B$3:$N$373,MATCH($B1043,'Fuel Model -  Input'!$B$3:$B$373,0),MATCH(J$2,'Fuel Model -  Input'!$B$3:$N$3,0))</f>
        <v>32.262353602492915</v>
      </c>
      <c r="K1043" s="532">
        <f>INDEX('Fuel Model -  Input'!$B$3:$N$373,MATCH($B1043,'Fuel Model -  Input'!$B$3:$B$373,0),MATCH(K$2,'Fuel Model -  Input'!$B$3:$N$3,0))</f>
        <v>30.17403926811183</v>
      </c>
      <c r="L1043" s="532">
        <f>INDEX('Fuel Model -  Input'!$B$3:$N$373,MATCH($B1043,'Fuel Model -  Input'!$B$3:$B$373,0),MATCH(L$2,'Fuel Model -  Input'!$B$3:$N$3,0))</f>
        <v>27.939919953355002</v>
      </c>
      <c r="M1043" s="532">
        <f>INDEX('Fuel Model -  Input'!$B$3:$N$373,MATCH($B1043,'Fuel Model -  Input'!$B$3:$B$373,0),MATCH(M$2,'Fuel Model -  Input'!$B$3:$N$3,0))</f>
        <v>26.309860491239117</v>
      </c>
    </row>
    <row r="1044" spans="2:13" hidden="1" outlineLevel="2" x14ac:dyDescent="0.2">
      <c r="B1044" s="78" t="str">
        <f>+C1044&amp;D1044&amp;E1044&amp;F1044</f>
        <v>GlobalGeneralElectricity demandmWh/ton e Diesel</v>
      </c>
      <c r="C1044" s="157" t="s">
        <v>109</v>
      </c>
      <c r="D1044" t="s">
        <v>173</v>
      </c>
      <c r="E1044" s="48" t="s">
        <v>963</v>
      </c>
      <c r="F1044" s="128" t="s">
        <v>1059</v>
      </c>
      <c r="G1044" s="521">
        <f>INDEX('Fuel Model -  Input'!$B$3:$N$373,MATCH($B1044,'Fuel Model -  Input'!$B$3:$B$373,0),MATCH(G$2,'Fuel Model -  Input'!$B$3:$N$3,0))</f>
        <v>0.43599079481933817</v>
      </c>
      <c r="H1044" s="521">
        <f>INDEX('Fuel Model -  Input'!$B$3:$N$373,MATCH($B1044,'Fuel Model -  Input'!$B$3:$B$373,0),MATCH(H$2,'Fuel Model -  Input'!$B$3:$N$3,0))</f>
        <v>0.4</v>
      </c>
      <c r="I1044" s="521">
        <f>INDEX('Fuel Model -  Input'!$B$3:$N$373,MATCH($B1044,'Fuel Model -  Input'!$B$3:$B$373,0),MATCH(I$2,'Fuel Model -  Input'!$B$3:$N$3,0))</f>
        <v>0.36698022504419925</v>
      </c>
      <c r="J1044" s="521">
        <f>INDEX('Fuel Model -  Input'!$B$3:$N$373,MATCH($B1044,'Fuel Model -  Input'!$B$3:$B$373,0),MATCH(J$2,'Fuel Model -  Input'!$B$3:$N$3,0))</f>
        <v>0.33668621393372777</v>
      </c>
      <c r="K1044" s="521">
        <f>INDEX('Fuel Model -  Input'!$B$3:$N$373,MATCH($B1044,'Fuel Model -  Input'!$B$3:$B$373,0),MATCH(K$2,'Fuel Model -  Input'!$B$3:$N$3,0))</f>
        <v>0.30889295639669706</v>
      </c>
      <c r="L1044" s="521">
        <f>INDEX('Fuel Model -  Input'!$B$3:$N$373,MATCH($B1044,'Fuel Model -  Input'!$B$3:$B$373,0),MATCH(L$2,'Fuel Model -  Input'!$B$3:$N$3,0))</f>
        <v>0.28339401663256975</v>
      </c>
      <c r="M1044" s="521">
        <f>INDEX('Fuel Model -  Input'!$B$3:$N$373,MATCH($B1044,'Fuel Model -  Input'!$B$3:$B$373,0),MATCH(M$2,'Fuel Model -  Input'!$B$3:$N$3,0))</f>
        <v>0.26</v>
      </c>
    </row>
    <row r="1045" spans="2:13" hidden="1" outlineLevel="2" x14ac:dyDescent="0.2">
      <c r="C1045" s="157"/>
      <c r="E1045" s="48"/>
      <c r="F1045" s="128"/>
      <c r="G1045" s="524"/>
      <c r="H1045" s="524"/>
      <c r="I1045" s="524"/>
      <c r="J1045" s="524"/>
      <c r="K1045" s="524"/>
      <c r="L1045" s="524"/>
      <c r="M1045" s="524"/>
    </row>
    <row r="1046" spans="2:13" hidden="1" outlineLevel="2" x14ac:dyDescent="0.2">
      <c r="B1046" s="78" t="str">
        <f>+C1046&amp;D1046&amp;E1046&amp;F1046</f>
        <v>EuropeFeedstockFeedstock CO2USD/ton e Diesel</v>
      </c>
      <c r="C1046" s="157" t="str">
        <f>+$B$1023</f>
        <v>Europe</v>
      </c>
      <c r="D1046" t="s">
        <v>777</v>
      </c>
      <c r="E1046" s="48" t="s">
        <v>1007</v>
      </c>
      <c r="F1046" s="128" t="s">
        <v>1056</v>
      </c>
      <c r="G1046" s="8">
        <f t="shared" ref="G1046:M1046" si="581">G1047*G1048</f>
        <v>1069.1369351131987</v>
      </c>
      <c r="H1046" s="8">
        <f t="shared" si="581"/>
        <v>843.86658442033661</v>
      </c>
      <c r="I1046" s="8">
        <f t="shared" si="581"/>
        <v>668.30359402608792</v>
      </c>
      <c r="J1046" s="8">
        <f t="shared" si="581"/>
        <v>559.26213931632594</v>
      </c>
      <c r="K1046" s="8">
        <f t="shared" si="581"/>
        <v>477.07181199317108</v>
      </c>
      <c r="L1046" s="8">
        <f t="shared" si="581"/>
        <v>405.54267993951777</v>
      </c>
      <c r="M1046" s="8">
        <f t="shared" si="581"/>
        <v>347.83662901902431</v>
      </c>
    </row>
    <row r="1047" spans="2:13" hidden="1" outlineLevel="2" x14ac:dyDescent="0.2">
      <c r="B1047" s="78" t="str">
        <f>+C1047&amp;D1047&amp;E1047&amp;F1047</f>
        <v>GlobalFeedstockConversion CO2 : e Diesel (actual)kg CO2/kg e Diesel</v>
      </c>
      <c r="C1047" s="157" t="s">
        <v>109</v>
      </c>
      <c r="D1047" t="s">
        <v>777</v>
      </c>
      <c r="E1047" t="s">
        <v>1060</v>
      </c>
      <c r="F1047" s="128" t="s">
        <v>1061</v>
      </c>
      <c r="G1047" s="521">
        <f>INDEX('Fuel Model -  Input'!$B$3:$N$373,MATCH($B1047,'Fuel Model -  Input'!$B$3:$B$373,0),MATCH(G$2,'Fuel Model -  Input'!$B$3:$N$3,0))</f>
        <v>3.48</v>
      </c>
      <c r="H1047" s="521">
        <f>INDEX('Fuel Model -  Input'!$B$3:$N$373,MATCH($B1047,'Fuel Model -  Input'!$B$3:$B$373,0),MATCH(H$2,'Fuel Model -  Input'!$B$3:$N$3,0))</f>
        <v>3.48</v>
      </c>
      <c r="I1047" s="521">
        <f>INDEX('Fuel Model -  Input'!$B$3:$N$373,MATCH($B1047,'Fuel Model -  Input'!$B$3:$B$373,0),MATCH(I$2,'Fuel Model -  Input'!$B$3:$N$3,0))</f>
        <v>3.48</v>
      </c>
      <c r="J1047" s="521">
        <f>INDEX('Fuel Model -  Input'!$B$3:$N$373,MATCH($B1047,'Fuel Model -  Input'!$B$3:$B$373,0),MATCH(J$2,'Fuel Model -  Input'!$B$3:$N$3,0))</f>
        <v>3.48</v>
      </c>
      <c r="K1047" s="521">
        <f>INDEX('Fuel Model -  Input'!$B$3:$N$373,MATCH($B1047,'Fuel Model -  Input'!$B$3:$B$373,0),MATCH(K$2,'Fuel Model -  Input'!$B$3:$N$3,0))</f>
        <v>3.48</v>
      </c>
      <c r="L1047" s="521">
        <f>INDEX('Fuel Model -  Input'!$B$3:$N$373,MATCH($B1047,'Fuel Model -  Input'!$B$3:$B$373,0),MATCH(L$2,'Fuel Model -  Input'!$B$3:$N$3,0))</f>
        <v>3.48</v>
      </c>
      <c r="M1047" s="521">
        <f>INDEX('Fuel Model -  Input'!$B$3:$N$373,MATCH($B1047,'Fuel Model -  Input'!$B$3:$B$373,0),MATCH(M$2,'Fuel Model -  Input'!$B$3:$N$3,0))</f>
        <v>3.48</v>
      </c>
    </row>
    <row r="1048" spans="2:13" hidden="1" outlineLevel="2" x14ac:dyDescent="0.2">
      <c r="B1048" s="78" t="str">
        <f>+C1048&amp;D1048&amp;E1048&amp;F1048</f>
        <v>EuropeFeedstockCost of CO2 DACUSD/ton</v>
      </c>
      <c r="C1048" s="157" t="str">
        <f>+$B$1023</f>
        <v>Europe</v>
      </c>
      <c r="D1048" t="s">
        <v>777</v>
      </c>
      <c r="E1048" t="s">
        <v>1010</v>
      </c>
      <c r="F1048" s="128" t="s">
        <v>205</v>
      </c>
      <c r="G1048" s="532">
        <f t="shared" ref="G1048:M1048" si="582">INDEX(G$1564:G$1568,MATCH($C1048,$C$1564:$C$1568,0))</f>
        <v>307.22325721643637</v>
      </c>
      <c r="H1048" s="532">
        <f t="shared" si="582"/>
        <v>242.4903978219358</v>
      </c>
      <c r="I1048" s="532">
        <f t="shared" si="582"/>
        <v>192.04126265117469</v>
      </c>
      <c r="J1048" s="532">
        <f t="shared" si="582"/>
        <v>160.70751129779481</v>
      </c>
      <c r="K1048" s="532">
        <f t="shared" si="582"/>
        <v>137.08960114746296</v>
      </c>
      <c r="L1048" s="532">
        <f t="shared" si="582"/>
        <v>116.53525285618326</v>
      </c>
      <c r="M1048" s="532">
        <f t="shared" si="582"/>
        <v>99.953054315811585</v>
      </c>
    </row>
    <row r="1049" spans="2:13" hidden="1" outlineLevel="2" x14ac:dyDescent="0.2">
      <c r="C1049" s="157"/>
      <c r="F1049" s="128"/>
      <c r="G1049" s="520"/>
      <c r="H1049" s="520"/>
      <c r="I1049" s="520"/>
      <c r="J1049" s="520"/>
      <c r="K1049" s="520"/>
      <c r="L1049" s="520"/>
      <c r="M1049" s="520"/>
    </row>
    <row r="1050" spans="2:13" hidden="1" outlineLevel="2" x14ac:dyDescent="0.2">
      <c r="B1050" s="78" t="str">
        <f>+C1050&amp;D1050&amp;E1050&amp;F1050</f>
        <v>EuropeFeedstockFeedstock CO2USD/ton e Diesel</v>
      </c>
      <c r="C1050" s="157" t="str">
        <f>+$B$1023</f>
        <v>Europe</v>
      </c>
      <c r="D1050" t="s">
        <v>777</v>
      </c>
      <c r="E1050" s="48" t="s">
        <v>1007</v>
      </c>
      <c r="F1050" s="128" t="s">
        <v>1056</v>
      </c>
      <c r="G1050" s="8">
        <f t="shared" ref="G1050:M1050" si="583">G1051*G1052</f>
        <v>639.10814758181755</v>
      </c>
      <c r="H1050" s="8">
        <f t="shared" si="583"/>
        <v>526.51300392920018</v>
      </c>
      <c r="I1050" s="8">
        <f t="shared" si="583"/>
        <v>417.05026926637964</v>
      </c>
      <c r="J1050" s="8">
        <f t="shared" si="583"/>
        <v>374.26434574150397</v>
      </c>
      <c r="K1050" s="8">
        <f t="shared" si="583"/>
        <v>333.68554549386312</v>
      </c>
      <c r="L1050" s="8">
        <f t="shared" si="583"/>
        <v>292.87841464695396</v>
      </c>
      <c r="M1050" s="8">
        <f t="shared" si="583"/>
        <v>253.01724152928051</v>
      </c>
    </row>
    <row r="1051" spans="2:13" hidden="1" outlineLevel="2" x14ac:dyDescent="0.2">
      <c r="B1051" s="78" t="str">
        <f>+C1051&amp;D1051&amp;E1051&amp;F1051</f>
        <v>GlobalFeedstockConversion CO2 : e Diesel (actual)kg CO2/kg e Diesel</v>
      </c>
      <c r="C1051" s="157" t="s">
        <v>109</v>
      </c>
      <c r="D1051" t="s">
        <v>777</v>
      </c>
      <c r="E1051" t="s">
        <v>1060</v>
      </c>
      <c r="F1051" s="128" t="s">
        <v>1061</v>
      </c>
      <c r="G1051" s="521">
        <f>INDEX('Fuel Model -  Input'!$B$3:$N$373,MATCH($B1051,'Fuel Model -  Input'!$B$3:$B$373,0),MATCH(G$2,'Fuel Model -  Input'!$B$3:$N$3,0))</f>
        <v>3.48</v>
      </c>
      <c r="H1051" s="521">
        <f>INDEX('Fuel Model -  Input'!$B$3:$N$373,MATCH($B1051,'Fuel Model -  Input'!$B$3:$B$373,0),MATCH(H$2,'Fuel Model -  Input'!$B$3:$N$3,0))</f>
        <v>3.48</v>
      </c>
      <c r="I1051" s="521">
        <f>INDEX('Fuel Model -  Input'!$B$3:$N$373,MATCH($B1051,'Fuel Model -  Input'!$B$3:$B$373,0),MATCH(I$2,'Fuel Model -  Input'!$B$3:$N$3,0))</f>
        <v>3.48</v>
      </c>
      <c r="J1051" s="521">
        <f>INDEX('Fuel Model -  Input'!$B$3:$N$373,MATCH($B1051,'Fuel Model -  Input'!$B$3:$B$373,0),MATCH(J$2,'Fuel Model -  Input'!$B$3:$N$3,0))</f>
        <v>3.48</v>
      </c>
      <c r="K1051" s="521">
        <f>INDEX('Fuel Model -  Input'!$B$3:$N$373,MATCH($B1051,'Fuel Model -  Input'!$B$3:$B$373,0),MATCH(K$2,'Fuel Model -  Input'!$B$3:$N$3,0))</f>
        <v>3.48</v>
      </c>
      <c r="L1051" s="521">
        <f>INDEX('Fuel Model -  Input'!$B$3:$N$373,MATCH($B1051,'Fuel Model -  Input'!$B$3:$B$373,0),MATCH(L$2,'Fuel Model -  Input'!$B$3:$N$3,0))</f>
        <v>3.48</v>
      </c>
      <c r="M1051" s="521">
        <f>INDEX('Fuel Model -  Input'!$B$3:$N$373,MATCH($B1051,'Fuel Model -  Input'!$B$3:$B$373,0),MATCH(M$2,'Fuel Model -  Input'!$B$3:$N$3,0))</f>
        <v>3.48</v>
      </c>
    </row>
    <row r="1052" spans="2:13" hidden="1" outlineLevel="2" x14ac:dyDescent="0.2">
      <c r="B1052" s="78" t="str">
        <f>+C1052&amp;D1052&amp;E1052&amp;F1052</f>
        <v>EuropeFeedstockCost of CO2 PSUSD/ton</v>
      </c>
      <c r="C1052" s="157" t="str">
        <f>+$B$1023</f>
        <v>Europe</v>
      </c>
      <c r="D1052" t="s">
        <v>777</v>
      </c>
      <c r="E1052" t="s">
        <v>1011</v>
      </c>
      <c r="F1052" s="128" t="s">
        <v>205</v>
      </c>
      <c r="G1052" s="532">
        <f t="shared" ref="G1052:M1052" si="584">INDEX(G$1538:G$1542,MATCH($B1052,$B$1538:$B$1542,0))</f>
        <v>183.65176654649929</v>
      </c>
      <c r="H1052" s="532">
        <f t="shared" si="584"/>
        <v>151.29684020954028</v>
      </c>
      <c r="I1052" s="532">
        <f t="shared" si="584"/>
        <v>119.84203139838496</v>
      </c>
      <c r="J1052" s="532">
        <f t="shared" si="584"/>
        <v>107.54722578778849</v>
      </c>
      <c r="K1052" s="532">
        <f t="shared" si="584"/>
        <v>95.886651003983658</v>
      </c>
      <c r="L1052" s="532">
        <f t="shared" si="584"/>
        <v>84.160463979009762</v>
      </c>
      <c r="M1052" s="532">
        <f t="shared" si="584"/>
        <v>72.706103887724282</v>
      </c>
    </row>
    <row r="1053" spans="2:13" hidden="1" outlineLevel="2" x14ac:dyDescent="0.2">
      <c r="C1053" s="157"/>
      <c r="F1053" s="128"/>
      <c r="G1053" s="520"/>
      <c r="H1053" s="520"/>
      <c r="I1053" s="520"/>
      <c r="J1053" s="520"/>
      <c r="K1053" s="520"/>
      <c r="L1053" s="520"/>
      <c r="M1053" s="520"/>
    </row>
    <row r="1054" spans="2:13" hidden="1" outlineLevel="2" x14ac:dyDescent="0.2">
      <c r="B1054" s="78" t="str">
        <f>+C1054&amp;D1054&amp;E1054&amp;F1054</f>
        <v>EuropeFeedstockFeedstock H2USD/ton e Diesel</v>
      </c>
      <c r="C1054" s="157" t="str">
        <f>+$B$1023</f>
        <v>Europe</v>
      </c>
      <c r="D1054" t="s">
        <v>777</v>
      </c>
      <c r="E1054" s="48" t="s">
        <v>970</v>
      </c>
      <c r="F1054" s="128" t="s">
        <v>1056</v>
      </c>
      <c r="G1054" s="8">
        <f t="shared" ref="G1054:M1054" si="585">G1057*G1058</f>
        <v>2239.8154777224795</v>
      </c>
      <c r="H1054" s="8">
        <f t="shared" si="585"/>
        <v>1828.4560060659994</v>
      </c>
      <c r="I1054" s="8">
        <f t="shared" si="585"/>
        <v>1492.2604851566043</v>
      </c>
      <c r="J1054" s="8">
        <f t="shared" si="585"/>
        <v>1363.6700028233845</v>
      </c>
      <c r="K1054" s="8">
        <f t="shared" si="585"/>
        <v>1193.7109509582056</v>
      </c>
      <c r="L1054" s="8">
        <f t="shared" si="585"/>
        <v>974.89830431094538</v>
      </c>
      <c r="M1054" s="8">
        <f t="shared" si="585"/>
        <v>770.66248561053612</v>
      </c>
    </row>
    <row r="1055" spans="2:13" hidden="1" outlineLevel="2" x14ac:dyDescent="0.2">
      <c r="B1055" t="str">
        <f>+C1055&amp;D1055&amp;E1055&amp;F1055</f>
        <v>EuropeResultsShare of RNE e-Hydrogen (compressed)%</v>
      </c>
      <c r="C1055" t="str">
        <f>+$B$595</f>
        <v>Europe</v>
      </c>
      <c r="D1055" t="s">
        <v>838</v>
      </c>
      <c r="E1055" s="48" t="s">
        <v>848</v>
      </c>
      <c r="F1055" s="128" t="s">
        <v>178</v>
      </c>
      <c r="G1055" s="537">
        <f t="shared" ref="G1055:M1055" si="586">+INDEX($A:$M,MATCH($B1055,$B:$B,0),MATCH(G$2,$2:$2,0))</f>
        <v>0.62157188172931999</v>
      </c>
      <c r="H1055" s="537">
        <f t="shared" si="586"/>
        <v>0.61321781005301335</v>
      </c>
      <c r="I1055" s="537">
        <f t="shared" si="586"/>
        <v>0.60012414933679714</v>
      </c>
      <c r="J1055" s="537">
        <f t="shared" si="586"/>
        <v>0.57130801030471257</v>
      </c>
      <c r="K1055" s="537">
        <f t="shared" si="586"/>
        <v>0.58323835594013507</v>
      </c>
      <c r="L1055" s="537">
        <f t="shared" si="586"/>
        <v>0.62026244132138331</v>
      </c>
      <c r="M1055" s="537">
        <f t="shared" si="586"/>
        <v>0.70038434851335252</v>
      </c>
    </row>
    <row r="1056" spans="2:13" hidden="1" outlineLevel="2" x14ac:dyDescent="0.2">
      <c r="B1056" t="str">
        <f>+C1056&amp;D1056&amp;E1056&amp;F1056</f>
        <v>EuropeResultsShare of Capex e-Hydrogen (compressed)%</v>
      </c>
      <c r="C1056" t="str">
        <f>+$B$595</f>
        <v>Europe</v>
      </c>
      <c r="D1056" t="s">
        <v>838</v>
      </c>
      <c r="E1056" s="48" t="s">
        <v>850</v>
      </c>
      <c r="F1056" s="128" t="s">
        <v>178</v>
      </c>
      <c r="G1056" s="537">
        <f t="shared" ref="G1056:M1056" si="587">+INDEX(G$4:G$581,MATCH($B1056,$B$4:$B$581,0))</f>
        <v>0.17512379160880204</v>
      </c>
      <c r="H1056" s="537">
        <f t="shared" si="587"/>
        <v>0.17978352742155063</v>
      </c>
      <c r="I1056" s="537">
        <f t="shared" si="587"/>
        <v>0.19277781762112317</v>
      </c>
      <c r="J1056" s="537">
        <f t="shared" si="587"/>
        <v>0.22216995549848845</v>
      </c>
      <c r="K1056" s="537">
        <f t="shared" si="587"/>
        <v>0.23353838190585505</v>
      </c>
      <c r="L1056" s="537">
        <f t="shared" si="587"/>
        <v>0.22839683734733135</v>
      </c>
      <c r="M1056" s="537">
        <f t="shared" si="587"/>
        <v>0.18927419673224519</v>
      </c>
    </row>
    <row r="1057" spans="2:13" hidden="1" outlineLevel="2" x14ac:dyDescent="0.2">
      <c r="B1057" s="78" t="str">
        <f>+C1057&amp;D1057&amp;E1057&amp;F1057</f>
        <v>GlobalFeedstockConversion H2 : e Diesel (actual)tons H2/ton e Diesel</v>
      </c>
      <c r="C1057" s="157" t="s">
        <v>109</v>
      </c>
      <c r="D1057" t="s">
        <v>777</v>
      </c>
      <c r="E1057" t="s">
        <v>1062</v>
      </c>
      <c r="F1057" s="128" t="s">
        <v>1063</v>
      </c>
      <c r="G1057" s="521">
        <f>+INDEX('Fuel Model -  Input'!$B$3:$N$373,MATCH($B1057,'Fuel Model -  Input'!$B$3:$B$373,0),MATCH(G$2,'Fuel Model -  Input'!$B$3:$N$3,0))</f>
        <v>0.47</v>
      </c>
      <c r="H1057" s="521">
        <f>+INDEX('Fuel Model -  Input'!$B$3:$N$373,MATCH($B1057,'Fuel Model -  Input'!$B$3:$B$373,0),MATCH(H$2,'Fuel Model -  Input'!$B$3:$N$3,0))</f>
        <v>0.47</v>
      </c>
      <c r="I1057" s="521">
        <f>+INDEX('Fuel Model -  Input'!$B$3:$N$373,MATCH($B1057,'Fuel Model -  Input'!$B$3:$B$373,0),MATCH(I$2,'Fuel Model -  Input'!$B$3:$N$3,0))</f>
        <v>0.47</v>
      </c>
      <c r="J1057" s="521">
        <f>+INDEX('Fuel Model -  Input'!$B$3:$N$373,MATCH($B1057,'Fuel Model -  Input'!$B$3:$B$373,0),MATCH(J$2,'Fuel Model -  Input'!$B$3:$N$3,0))</f>
        <v>0.47</v>
      </c>
      <c r="K1057" s="521">
        <f>+INDEX('Fuel Model -  Input'!$B$3:$N$373,MATCH($B1057,'Fuel Model -  Input'!$B$3:$B$373,0),MATCH(K$2,'Fuel Model -  Input'!$B$3:$N$3,0))</f>
        <v>0.47</v>
      </c>
      <c r="L1057" s="521">
        <f>+INDEX('Fuel Model -  Input'!$B$3:$N$373,MATCH($B1057,'Fuel Model -  Input'!$B$3:$B$373,0),MATCH(L$2,'Fuel Model -  Input'!$B$3:$N$3,0))</f>
        <v>0.47</v>
      </c>
      <c r="M1057" s="521">
        <f>+INDEX('Fuel Model -  Input'!$B$3:$N$373,MATCH($B1057,'Fuel Model -  Input'!$B$3:$B$373,0),MATCH(M$2,'Fuel Model -  Input'!$B$3:$N$3,0))</f>
        <v>0.47</v>
      </c>
    </row>
    <row r="1058" spans="2:13" hidden="1" outlineLevel="2" x14ac:dyDescent="0.2">
      <c r="B1058" s="78" t="str">
        <f>+C1058&amp;D1058&amp;E1058&amp;F1058</f>
        <v>EuropeResultsCost of e-Hydrogen (compressed)USD/ton</v>
      </c>
      <c r="C1058" s="157" t="str">
        <f>+$B$1023</f>
        <v>Europe</v>
      </c>
      <c r="D1058" t="s">
        <v>838</v>
      </c>
      <c r="E1058" t="s">
        <v>846</v>
      </c>
      <c r="F1058" s="128" t="s">
        <v>205</v>
      </c>
      <c r="G1058" s="532">
        <f>INDEX(G$4:G1057,MATCH($B1058,$B$4:$B1057,0))</f>
        <v>4765.5648462180416</v>
      </c>
      <c r="H1058" s="532">
        <f>INDEX(H$4:H1057,MATCH($B1058,$B$4:$B1057,0))</f>
        <v>3890.331927799999</v>
      </c>
      <c r="I1058" s="532">
        <f>INDEX(I$4:I1057,MATCH($B1058,$B$4:$B1057,0))</f>
        <v>3175.0223088438393</v>
      </c>
      <c r="J1058" s="532">
        <f>INDEX(J$4:J1057,MATCH($B1058,$B$4:$B1057,0))</f>
        <v>2901.4255379220949</v>
      </c>
      <c r="K1058" s="532">
        <f>INDEX(K$4:K1057,MATCH($B1058,$B$4:$B1057,0))</f>
        <v>2539.8105339536291</v>
      </c>
      <c r="L1058" s="532">
        <f>INDEX(L$4:L1057,MATCH($B1058,$B$4:$B1057,0))</f>
        <v>2074.2517112998839</v>
      </c>
      <c r="M1058" s="532">
        <f>INDEX(M$4:M1057,MATCH($B1058,$B$4:$B1057,0))</f>
        <v>1639.70741619263</v>
      </c>
    </row>
    <row r="1059" spans="2:13" ht="12.75" hidden="1" outlineLevel="1" x14ac:dyDescent="0.2">
      <c r="F1059"/>
    </row>
    <row r="1060" spans="2:13" s="30" customFormat="1" ht="15" hidden="1" outlineLevel="1" collapsed="1" x14ac:dyDescent="0.25">
      <c r="B1060" s="30" t="s">
        <v>197</v>
      </c>
      <c r="C1060" s="30" t="str">
        <f>+B1060</f>
        <v>Middle East</v>
      </c>
    </row>
    <row r="1061" spans="2:13" ht="15" hidden="1" outlineLevel="2" x14ac:dyDescent="0.25">
      <c r="B1061" s="157" t="str">
        <f t="shared" ref="B1061:B1066" si="588">+C1061&amp;D1061&amp;E1061&amp;F1061</f>
        <v>Middle EastResultsTotal cost of e-Diesel (DAC)USD/ton</v>
      </c>
      <c r="C1061" s="157" t="str">
        <f t="shared" ref="C1061:C1070" si="589">+$B$1060</f>
        <v>Middle East</v>
      </c>
      <c r="D1061" s="515" t="s">
        <v>838</v>
      </c>
      <c r="E1061" s="535" t="s">
        <v>1042</v>
      </c>
      <c r="F1061" s="128" t="s">
        <v>205</v>
      </c>
      <c r="G1061" s="492">
        <f>SUM(G1063,G1065,G1067,G1069)</f>
        <v>4114.9029033436454</v>
      </c>
      <c r="H1061" s="492">
        <f t="shared" ref="H1061:M1061" si="590">SUM(H1063,H1065,H1067,H1069)</f>
        <v>3295.9868497258012</v>
      </c>
      <c r="I1061" s="492">
        <f t="shared" si="590"/>
        <v>2659.3892561973239</v>
      </c>
      <c r="J1061" s="492">
        <f t="shared" si="590"/>
        <v>2372.1308168716423</v>
      </c>
      <c r="K1061" s="492">
        <f t="shared" si="590"/>
        <v>2088.5679961343394</v>
      </c>
      <c r="L1061" s="492">
        <f t="shared" si="590"/>
        <v>1666.8409566151172</v>
      </c>
      <c r="M1061" s="492">
        <f t="shared" si="590"/>
        <v>1305.9073127443244</v>
      </c>
    </row>
    <row r="1062" spans="2:13" ht="15" hidden="1" outlineLevel="2" x14ac:dyDescent="0.25">
      <c r="B1062" s="157" t="str">
        <f t="shared" si="588"/>
        <v>Middle EastResultsTotal cost of e-Diesel (PS)USD/ton</v>
      </c>
      <c r="C1062" s="157" t="str">
        <f t="shared" si="589"/>
        <v>Middle East</v>
      </c>
      <c r="D1062" s="515" t="s">
        <v>838</v>
      </c>
      <c r="E1062" s="535" t="s">
        <v>1043</v>
      </c>
      <c r="F1062" s="128" t="s">
        <v>205</v>
      </c>
      <c r="G1062" s="492">
        <f t="shared" ref="G1062:M1062" si="591">SUM(G1064,G1066,G1068,G1070)</f>
        <v>3797.1306997540692</v>
      </c>
      <c r="H1062" s="492">
        <f t="shared" si="591"/>
        <v>3063.8895268674573</v>
      </c>
      <c r="I1062" s="492">
        <f t="shared" si="591"/>
        <v>2464.0735774061991</v>
      </c>
      <c r="J1062" s="492">
        <f t="shared" si="591"/>
        <v>2240.8679508135729</v>
      </c>
      <c r="K1062" s="492">
        <f t="shared" si="591"/>
        <v>1993.5034643556844</v>
      </c>
      <c r="L1062" s="492">
        <f t="shared" si="591"/>
        <v>1600.1896576874267</v>
      </c>
      <c r="M1062" s="492">
        <f t="shared" si="591"/>
        <v>1250.8459314241572</v>
      </c>
    </row>
    <row r="1063" spans="2:13" ht="15" hidden="1" outlineLevel="2" x14ac:dyDescent="0.25">
      <c r="B1063" s="157" t="str">
        <f t="shared" si="588"/>
        <v>Middle EastResultsTotal Capex e-Diesel (DAC)USD/ton</v>
      </c>
      <c r="C1063" s="157" t="str">
        <f t="shared" si="589"/>
        <v>Middle East</v>
      </c>
      <c r="D1063" s="515" t="s">
        <v>838</v>
      </c>
      <c r="E1063" s="536" t="s">
        <v>1044</v>
      </c>
      <c r="F1063" s="128" t="s">
        <v>205</v>
      </c>
      <c r="G1063" s="490">
        <f>G1072+G1093*G1091</f>
        <v>975.24497896284095</v>
      </c>
      <c r="H1063" s="490">
        <f t="shared" ref="H1063:M1063" si="592">H1072+H1093*H1091</f>
        <v>841.05960383899901</v>
      </c>
      <c r="I1063" s="490">
        <f t="shared" si="592"/>
        <v>729.34138631739529</v>
      </c>
      <c r="J1063" s="490">
        <f t="shared" si="592"/>
        <v>715.9248371752285</v>
      </c>
      <c r="K1063" s="490">
        <f t="shared" si="592"/>
        <v>663.02732395007888</v>
      </c>
      <c r="L1063" s="490">
        <f t="shared" si="592"/>
        <v>547.28868943989619</v>
      </c>
      <c r="M1063" s="490">
        <f t="shared" si="592"/>
        <v>410.86652291560972</v>
      </c>
    </row>
    <row r="1064" spans="2:13" ht="15" hidden="1" outlineLevel="2" x14ac:dyDescent="0.25">
      <c r="B1064" s="157" t="str">
        <f t="shared" si="588"/>
        <v>Middle EastResultsTotal Capex e-Diesel (PS)USD/ton</v>
      </c>
      <c r="C1064" s="157" t="str">
        <f t="shared" si="589"/>
        <v>Middle East</v>
      </c>
      <c r="D1064" s="515" t="s">
        <v>838</v>
      </c>
      <c r="E1064" s="536" t="s">
        <v>1045</v>
      </c>
      <c r="F1064" s="128" t="s">
        <v>205</v>
      </c>
      <c r="G1064" s="490">
        <f t="shared" ref="G1064:M1064" si="593">+G1063</f>
        <v>975.24497896284095</v>
      </c>
      <c r="H1064" s="490">
        <f t="shared" si="593"/>
        <v>841.05960383899901</v>
      </c>
      <c r="I1064" s="490">
        <f t="shared" si="593"/>
        <v>729.34138631739529</v>
      </c>
      <c r="J1064" s="490">
        <f t="shared" si="593"/>
        <v>715.9248371752285</v>
      </c>
      <c r="K1064" s="490">
        <f t="shared" si="593"/>
        <v>663.02732395007888</v>
      </c>
      <c r="L1064" s="490">
        <f t="shared" si="593"/>
        <v>547.28868943989619</v>
      </c>
      <c r="M1064" s="490">
        <f t="shared" si="593"/>
        <v>410.86652291560972</v>
      </c>
    </row>
    <row r="1065" spans="2:13" ht="15" hidden="1" outlineLevel="2" x14ac:dyDescent="0.25">
      <c r="B1065" s="157" t="str">
        <f t="shared" si="588"/>
        <v>Middle EastResultsTotal Opex e-Diesel (DAC)USD/ton</v>
      </c>
      <c r="C1065" s="157" t="str">
        <f t="shared" si="589"/>
        <v>Middle East</v>
      </c>
      <c r="D1065" s="515" t="s">
        <v>838</v>
      </c>
      <c r="E1065" s="536" t="s">
        <v>1046</v>
      </c>
      <c r="F1065" s="128" t="s">
        <v>205</v>
      </c>
      <c r="G1065" s="490">
        <f>G1076+G1091*(1-SUM(G1092:G1093))</f>
        <v>1115.3641775452213</v>
      </c>
      <c r="H1065" s="490">
        <f t="shared" ref="H1065:M1065" si="594">H1076+H1091*(1-SUM(H1092:H1093))</f>
        <v>842.4879477422628</v>
      </c>
      <c r="I1065" s="490">
        <f t="shared" si="594"/>
        <v>609.04421126235252</v>
      </c>
      <c r="J1065" s="490">
        <f t="shared" si="594"/>
        <v>562.12790295623984</v>
      </c>
      <c r="K1065" s="490">
        <f t="shared" si="594"/>
        <v>479.71561450352772</v>
      </c>
      <c r="L1065" s="490">
        <f t="shared" si="594"/>
        <v>331.29181259906557</v>
      </c>
      <c r="M1065" s="490">
        <f t="shared" si="594"/>
        <v>205.03601978691034</v>
      </c>
    </row>
    <row r="1066" spans="2:13" ht="15" hidden="1" outlineLevel="2" x14ac:dyDescent="0.25">
      <c r="B1066" s="157" t="str">
        <f t="shared" si="588"/>
        <v>Middle EastResultsTotal Opex e-Diesel (PS)USD/ton</v>
      </c>
      <c r="C1066" s="157" t="str">
        <f t="shared" si="589"/>
        <v>Middle East</v>
      </c>
      <c r="D1066" s="515" t="s">
        <v>838</v>
      </c>
      <c r="E1066" s="536" t="s">
        <v>1047</v>
      </c>
      <c r="F1066" s="128" t="s">
        <v>205</v>
      </c>
      <c r="G1066" s="490">
        <f t="shared" ref="G1066:M1066" si="595">+G1065</f>
        <v>1115.3641775452213</v>
      </c>
      <c r="H1066" s="490">
        <f t="shared" si="595"/>
        <v>842.4879477422628</v>
      </c>
      <c r="I1066" s="490">
        <f t="shared" si="595"/>
        <v>609.04421126235252</v>
      </c>
      <c r="J1066" s="490">
        <f t="shared" si="595"/>
        <v>562.12790295623984</v>
      </c>
      <c r="K1066" s="490">
        <f t="shared" si="595"/>
        <v>479.71561450352772</v>
      </c>
      <c r="L1066" s="490">
        <f t="shared" si="595"/>
        <v>331.29181259906557</v>
      </c>
      <c r="M1066" s="490">
        <f t="shared" si="595"/>
        <v>205.03601978691034</v>
      </c>
    </row>
    <row r="1067" spans="2:13" ht="15" hidden="1" outlineLevel="2" x14ac:dyDescent="0.25">
      <c r="B1067" s="157" t="str">
        <f>+C1067&amp;D1067&amp;E1067&amp;F1067</f>
        <v>Middle EastResultsTotal RNE e-Diesel (DAC)USD/ton</v>
      </c>
      <c r="C1067" s="157" t="str">
        <f t="shared" si="589"/>
        <v>Middle East</v>
      </c>
      <c r="D1067" s="515" t="s">
        <v>838</v>
      </c>
      <c r="E1067" s="536" t="s">
        <v>1048</v>
      </c>
      <c r="F1067" s="128" t="s">
        <v>205</v>
      </c>
      <c r="G1067" s="490">
        <f>+G1079+G1091*G1092</f>
        <v>1087.2630098315458</v>
      </c>
      <c r="H1067" s="490">
        <f t="shared" ref="H1067:M1067" si="596">+H1079+H1091*H1092</f>
        <v>870.15463771221107</v>
      </c>
      <c r="I1067" s="490">
        <f t="shared" si="596"/>
        <v>720.24958591650989</v>
      </c>
      <c r="J1067" s="490">
        <f t="shared" si="596"/>
        <v>600.65689798177345</v>
      </c>
      <c r="K1067" s="490">
        <f t="shared" si="596"/>
        <v>528.9048012289195</v>
      </c>
      <c r="L1067" s="490">
        <f t="shared" si="596"/>
        <v>440.98836620912095</v>
      </c>
      <c r="M1067" s="490">
        <f t="shared" si="596"/>
        <v>393.46879414481447</v>
      </c>
    </row>
    <row r="1068" spans="2:13" ht="15" hidden="1" outlineLevel="2" x14ac:dyDescent="0.25">
      <c r="B1068" s="157" t="str">
        <f>+C1068&amp;D1068&amp;E1068&amp;F1068</f>
        <v>Middle EastResultsTotal RNE e-Diesel (PS)USD/ton</v>
      </c>
      <c r="C1068" s="157" t="str">
        <f t="shared" si="589"/>
        <v>Middle East</v>
      </c>
      <c r="D1068" s="515" t="s">
        <v>838</v>
      </c>
      <c r="E1068" s="536" t="s">
        <v>1049</v>
      </c>
      <c r="F1068" s="128" t="s">
        <v>205</v>
      </c>
      <c r="G1068" s="490">
        <f t="shared" ref="G1068:M1068" si="597">+G1067</f>
        <v>1087.2630098315458</v>
      </c>
      <c r="H1068" s="490">
        <f t="shared" si="597"/>
        <v>870.15463771221107</v>
      </c>
      <c r="I1068" s="490">
        <f t="shared" si="597"/>
        <v>720.24958591650989</v>
      </c>
      <c r="J1068" s="490">
        <f t="shared" si="597"/>
        <v>600.65689798177345</v>
      </c>
      <c r="K1068" s="490">
        <f t="shared" si="597"/>
        <v>528.9048012289195</v>
      </c>
      <c r="L1068" s="490">
        <f t="shared" si="597"/>
        <v>440.98836620912095</v>
      </c>
      <c r="M1068" s="490">
        <f t="shared" si="597"/>
        <v>393.46879414481447</v>
      </c>
    </row>
    <row r="1069" spans="2:13" ht="15" hidden="1" outlineLevel="2" x14ac:dyDescent="0.25">
      <c r="B1069" s="157" t="str">
        <f>+C1069&amp;D1069&amp;E1069&amp;F1069</f>
        <v>Middle EastResultsTotal CO2 e-Diesel (DAC)USD/ton</v>
      </c>
      <c r="C1069" s="157" t="str">
        <f t="shared" si="589"/>
        <v>Middle East</v>
      </c>
      <c r="D1069" s="515" t="s">
        <v>838</v>
      </c>
      <c r="E1069" s="536" t="s">
        <v>1050</v>
      </c>
      <c r="F1069" s="128" t="s">
        <v>205</v>
      </c>
      <c r="G1069" s="490">
        <f>+G1083</f>
        <v>937.03073700403684</v>
      </c>
      <c r="H1069" s="490">
        <f t="shared" ref="H1069:M1069" si="598">+H1083</f>
        <v>742.28466043232856</v>
      </c>
      <c r="I1069" s="490">
        <f t="shared" si="598"/>
        <v>600.75407270106598</v>
      </c>
      <c r="J1069" s="490">
        <f t="shared" si="598"/>
        <v>493.42117875840057</v>
      </c>
      <c r="K1069" s="490">
        <f t="shared" si="598"/>
        <v>416.92025645181343</v>
      </c>
      <c r="L1069" s="490">
        <f t="shared" si="598"/>
        <v>347.27208836703448</v>
      </c>
      <c r="M1069" s="490">
        <f t="shared" si="598"/>
        <v>296.53597589698973</v>
      </c>
    </row>
    <row r="1070" spans="2:13" ht="15" hidden="1" outlineLevel="2" x14ac:dyDescent="0.25">
      <c r="B1070" s="157" t="str">
        <f>+C1070&amp;D1070&amp;E1070&amp;F1070</f>
        <v>Middle EastResultsTotal CO2 e-Diesel (PS)USD/ton</v>
      </c>
      <c r="C1070" s="157" t="str">
        <f t="shared" si="589"/>
        <v>Middle East</v>
      </c>
      <c r="D1070" s="515" t="s">
        <v>838</v>
      </c>
      <c r="E1070" s="536" t="s">
        <v>1051</v>
      </c>
      <c r="F1070" s="128" t="s">
        <v>205</v>
      </c>
      <c r="G1070" s="490">
        <f>+G1087</f>
        <v>619.258533414461</v>
      </c>
      <c r="H1070" s="490">
        <f t="shared" ref="H1070:M1070" si="599">+H1087</f>
        <v>510.18733757398468</v>
      </c>
      <c r="I1070" s="490">
        <f t="shared" si="599"/>
        <v>405.43839390994128</v>
      </c>
      <c r="J1070" s="490">
        <f t="shared" si="599"/>
        <v>362.1583127003309</v>
      </c>
      <c r="K1070" s="490">
        <f t="shared" si="599"/>
        <v>321.85572467315825</v>
      </c>
      <c r="L1070" s="490">
        <f t="shared" si="599"/>
        <v>280.62078943934404</v>
      </c>
      <c r="M1070" s="490">
        <f t="shared" si="599"/>
        <v>241.47459457682271</v>
      </c>
    </row>
    <row r="1071" spans="2:13" hidden="1" outlineLevel="2" x14ac:dyDescent="0.2">
      <c r="C1071" s="157"/>
      <c r="E1071" s="48"/>
      <c r="F1071" s="128"/>
      <c r="G1071" s="8"/>
      <c r="H1071" s="8"/>
      <c r="I1071" s="8"/>
      <c r="J1071" s="8"/>
      <c r="K1071" s="8"/>
      <c r="L1071" s="8"/>
      <c r="M1071" s="8"/>
    </row>
    <row r="1072" spans="2:13" hidden="1" outlineLevel="2" x14ac:dyDescent="0.2">
      <c r="B1072" t="str">
        <f>+C1072&amp;D1072&amp;E1072&amp;F1072</f>
        <v>Middle EastResultsCapex per ton e DieselUSD/ Ton</v>
      </c>
      <c r="C1072" s="157" t="str">
        <f>+$B$1060</f>
        <v>Middle East</v>
      </c>
      <c r="D1072" t="s">
        <v>838</v>
      </c>
      <c r="E1072" s="48" t="s">
        <v>1052</v>
      </c>
      <c r="F1072" s="128" t="s">
        <v>1053</v>
      </c>
      <c r="G1072" s="8">
        <f t="shared" ref="G1072:M1072" si="600">G1074/G1073</f>
        <v>583.00000000000011</v>
      </c>
      <c r="H1072" s="8">
        <f t="shared" si="600"/>
        <v>512.33333333333348</v>
      </c>
      <c r="I1072" s="8">
        <f t="shared" si="600"/>
        <v>441.66666666666674</v>
      </c>
      <c r="J1072" s="8">
        <f t="shared" si="600"/>
        <v>412.95833333333343</v>
      </c>
      <c r="K1072" s="8">
        <f t="shared" si="600"/>
        <v>384.25000000000011</v>
      </c>
      <c r="L1072" s="8">
        <f t="shared" si="600"/>
        <v>324.62500000000006</v>
      </c>
      <c r="M1072" s="8">
        <f t="shared" si="600"/>
        <v>265.00000000000006</v>
      </c>
    </row>
    <row r="1073" spans="2:13" hidden="1" outlineLevel="2" x14ac:dyDescent="0.2">
      <c r="B1073" t="str">
        <f>+C1073&amp;D1073&amp;E1073&amp;F1073</f>
        <v>GlobalPlant capexAnnualisation factor#</v>
      </c>
      <c r="C1073" s="157" t="s">
        <v>109</v>
      </c>
      <c r="D1073" t="s">
        <v>786</v>
      </c>
      <c r="E1073" t="s">
        <v>764</v>
      </c>
      <c r="F1073" s="450" t="s">
        <v>787</v>
      </c>
      <c r="G1073" s="532">
        <f>INDEX('Fuel Model -  Input'!$B$3:$N$373,MATCH($B1073,'Fuel Model -  Input'!$B$3:$B$373,0),MATCH(G$2,'Fuel Model -  Input'!$B$3:$N$3,0))</f>
        <v>11.32075471698113</v>
      </c>
      <c r="H1073" s="532">
        <f>INDEX('Fuel Model -  Input'!$B$3:$N$373,MATCH($B1073,'Fuel Model -  Input'!$B$3:$B$373,0),MATCH(H$2,'Fuel Model -  Input'!$B$3:$N$3,0))</f>
        <v>11.32075471698113</v>
      </c>
      <c r="I1073" s="532">
        <f>INDEX('Fuel Model -  Input'!$B$3:$N$373,MATCH($B1073,'Fuel Model -  Input'!$B$3:$B$373,0),MATCH(I$2,'Fuel Model -  Input'!$B$3:$N$3,0))</f>
        <v>11.32075471698113</v>
      </c>
      <c r="J1073" s="532">
        <f>INDEX('Fuel Model -  Input'!$B$3:$N$373,MATCH($B1073,'Fuel Model -  Input'!$B$3:$B$373,0),MATCH(J$2,'Fuel Model -  Input'!$B$3:$N$3,0))</f>
        <v>11.32075471698113</v>
      </c>
      <c r="K1073" s="532">
        <f>INDEX('Fuel Model -  Input'!$B$3:$N$373,MATCH($B1073,'Fuel Model -  Input'!$B$3:$B$373,0),MATCH(K$2,'Fuel Model -  Input'!$B$3:$N$3,0))</f>
        <v>11.32075471698113</v>
      </c>
      <c r="L1073" s="532">
        <f>INDEX('Fuel Model -  Input'!$B$3:$N$373,MATCH($B1073,'Fuel Model -  Input'!$B$3:$B$373,0),MATCH(L$2,'Fuel Model -  Input'!$B$3:$N$3,0))</f>
        <v>11.32075471698113</v>
      </c>
      <c r="M1073" s="532">
        <f>INDEX('Fuel Model -  Input'!$B$3:$N$373,MATCH($B1073,'Fuel Model -  Input'!$B$3:$B$373,0),MATCH(M$2,'Fuel Model -  Input'!$B$3:$N$3,0))</f>
        <v>11.32075471698113</v>
      </c>
    </row>
    <row r="1074" spans="2:13" hidden="1" outlineLevel="2" x14ac:dyDescent="0.2">
      <c r="B1074" t="str">
        <f>+C1074&amp;D1074&amp;E1074&amp;F1074</f>
        <v>GlobalCapexE Diesel plant capex unit costCapex/ ton e diesel</v>
      </c>
      <c r="C1074" s="157" t="s">
        <v>109</v>
      </c>
      <c r="D1074" t="s">
        <v>218</v>
      </c>
      <c r="E1074" t="s">
        <v>1054</v>
      </c>
      <c r="F1074" s="128" t="s">
        <v>1055</v>
      </c>
      <c r="G1074" s="532">
        <f>INDEX('Fuel Model -  Input'!$B$3:$N$373,MATCH($B1074,'Fuel Model -  Input'!$B$3:$B$373,0),MATCH(G$2,'Fuel Model -  Input'!$B$3:$N$3,0))</f>
        <v>6600</v>
      </c>
      <c r="H1074" s="532">
        <f>INDEX('Fuel Model -  Input'!$B$3:$N$373,MATCH($B1074,'Fuel Model -  Input'!$B$3:$B$373,0),MATCH(H$2,'Fuel Model -  Input'!$B$3:$N$3,0))</f>
        <v>5800</v>
      </c>
      <c r="I1074" s="532">
        <f>INDEX('Fuel Model -  Input'!$B$3:$N$373,MATCH($B1074,'Fuel Model -  Input'!$B$3:$B$373,0),MATCH(I$2,'Fuel Model -  Input'!$B$3:$N$3,0))</f>
        <v>5000</v>
      </c>
      <c r="J1074" s="532">
        <f>INDEX('Fuel Model -  Input'!$B$3:$N$373,MATCH($B1074,'Fuel Model -  Input'!$B$3:$B$373,0),MATCH(J$2,'Fuel Model -  Input'!$B$3:$N$3,0))</f>
        <v>4675</v>
      </c>
      <c r="K1074" s="532">
        <f>INDEX('Fuel Model -  Input'!$B$3:$N$373,MATCH($B1074,'Fuel Model -  Input'!$B$3:$B$373,0),MATCH(K$2,'Fuel Model -  Input'!$B$3:$N$3,0))</f>
        <v>4350</v>
      </c>
      <c r="L1074" s="532">
        <f>INDEX('Fuel Model -  Input'!$B$3:$N$373,MATCH($B1074,'Fuel Model -  Input'!$B$3:$B$373,0),MATCH(L$2,'Fuel Model -  Input'!$B$3:$N$3,0))</f>
        <v>3675</v>
      </c>
      <c r="M1074" s="532">
        <f>INDEX('Fuel Model -  Input'!$B$3:$N$373,MATCH($B1074,'Fuel Model -  Input'!$B$3:$B$373,0),MATCH(M$2,'Fuel Model -  Input'!$B$3:$N$3,0))</f>
        <v>3000</v>
      </c>
    </row>
    <row r="1075" spans="2:13" hidden="1" outlineLevel="2" x14ac:dyDescent="0.2">
      <c r="C1075" s="157"/>
      <c r="E1075" s="48"/>
      <c r="F1075" s="128"/>
      <c r="G1075" s="8"/>
      <c r="H1075" s="8"/>
      <c r="I1075" s="8"/>
      <c r="J1075" s="8"/>
      <c r="K1075" s="8"/>
      <c r="L1075" s="8"/>
      <c r="M1075" s="8"/>
    </row>
    <row r="1076" spans="2:13" hidden="1" outlineLevel="2" x14ac:dyDescent="0.2">
      <c r="B1076" t="str">
        <f>+C1076&amp;D1076&amp;E1076&amp;F1076</f>
        <v>Middle EastOpexOpexUSD/ton e Diesel</v>
      </c>
      <c r="C1076" s="157" t="str">
        <f>+$B$1060</f>
        <v>Middle East</v>
      </c>
      <c r="D1076" t="s">
        <v>219</v>
      </c>
      <c r="E1076" s="48" t="s">
        <v>219</v>
      </c>
      <c r="F1076" s="128" t="s">
        <v>1056</v>
      </c>
      <c r="G1076" s="8">
        <f t="shared" ref="G1076:M1076" si="601">G1074*G1077</f>
        <v>660</v>
      </c>
      <c r="H1076" s="8">
        <f t="shared" si="601"/>
        <v>464</v>
      </c>
      <c r="I1076" s="8">
        <f t="shared" si="601"/>
        <v>300</v>
      </c>
      <c r="J1076" s="8">
        <f t="shared" si="601"/>
        <v>280.5</v>
      </c>
      <c r="K1076" s="8">
        <f t="shared" si="601"/>
        <v>261</v>
      </c>
      <c r="L1076" s="8">
        <f t="shared" si="601"/>
        <v>183.75</v>
      </c>
      <c r="M1076" s="8">
        <f t="shared" si="601"/>
        <v>120</v>
      </c>
    </row>
    <row r="1077" spans="2:13" hidden="1" outlineLevel="2" x14ac:dyDescent="0.2">
      <c r="B1077" s="78" t="str">
        <f>+C1077&amp;D1077&amp;E1077&amp;F1077</f>
        <v>GlobalOpexOpex - e Diesel plantPercent of capex</v>
      </c>
      <c r="C1077" s="157" t="s">
        <v>109</v>
      </c>
      <c r="D1077" t="s">
        <v>219</v>
      </c>
      <c r="E1077" t="s">
        <v>1057</v>
      </c>
      <c r="F1077" s="128" t="s">
        <v>1058</v>
      </c>
      <c r="G1077" s="531">
        <f>INDEX('Fuel Model -  Input'!$B$3:$N$373,MATCH($B1077,'Fuel Model -  Input'!$B$3:$B$373,0),MATCH(G$2,'Fuel Model -  Input'!$B$3:$N$3,0))</f>
        <v>0.1</v>
      </c>
      <c r="H1077" s="531">
        <f>INDEX('Fuel Model -  Input'!$B$3:$N$373,MATCH($B1077,'Fuel Model -  Input'!$B$3:$B$373,0),MATCH(H$2,'Fuel Model -  Input'!$B$3:$N$3,0))</f>
        <v>0.08</v>
      </c>
      <c r="I1077" s="531">
        <f>INDEX('Fuel Model -  Input'!$B$3:$N$373,MATCH($B1077,'Fuel Model -  Input'!$B$3:$B$373,0),MATCH(I$2,'Fuel Model -  Input'!$B$3:$N$3,0))</f>
        <v>0.06</v>
      </c>
      <c r="J1077" s="531">
        <f>INDEX('Fuel Model -  Input'!$B$3:$N$373,MATCH($B1077,'Fuel Model -  Input'!$B$3:$B$373,0),MATCH(J$2,'Fuel Model -  Input'!$B$3:$N$3,0))</f>
        <v>0.06</v>
      </c>
      <c r="K1077" s="531">
        <f>INDEX('Fuel Model -  Input'!$B$3:$N$373,MATCH($B1077,'Fuel Model -  Input'!$B$3:$B$373,0),MATCH(K$2,'Fuel Model -  Input'!$B$3:$N$3,0))</f>
        <v>0.06</v>
      </c>
      <c r="L1077" s="531">
        <f>INDEX('Fuel Model -  Input'!$B$3:$N$373,MATCH($B1077,'Fuel Model -  Input'!$B$3:$B$373,0),MATCH(L$2,'Fuel Model -  Input'!$B$3:$N$3,0))</f>
        <v>0.05</v>
      </c>
      <c r="M1077" s="531">
        <f>INDEX('Fuel Model -  Input'!$B$3:$N$373,MATCH($B1077,'Fuel Model -  Input'!$B$3:$B$373,0),MATCH(M$2,'Fuel Model -  Input'!$B$3:$N$3,0))</f>
        <v>0.04</v>
      </c>
    </row>
    <row r="1078" spans="2:13" hidden="1" outlineLevel="2" x14ac:dyDescent="0.2">
      <c r="C1078" s="157"/>
      <c r="E1078" s="48"/>
      <c r="F1078" s="128"/>
      <c r="G1078" s="8"/>
      <c r="H1078" s="8"/>
      <c r="I1078" s="8"/>
      <c r="J1078" s="8"/>
      <c r="K1078" s="8"/>
      <c r="L1078" s="8"/>
      <c r="M1078" s="8"/>
    </row>
    <row r="1079" spans="2:13" hidden="1" outlineLevel="2" x14ac:dyDescent="0.2">
      <c r="B1079" s="78" t="str">
        <f>+C1079&amp;D1079&amp;E1079&amp;F1079</f>
        <v>Middle EastGeneralElectricity costUSD/ton e Diesel</v>
      </c>
      <c r="C1079" s="157" t="str">
        <f>+$B$1060</f>
        <v>Middle East</v>
      </c>
      <c r="D1079" t="s">
        <v>173</v>
      </c>
      <c r="E1079" s="48" t="s">
        <v>94</v>
      </c>
      <c r="F1079" s="128" t="s">
        <v>1056</v>
      </c>
      <c r="G1079" s="260">
        <f t="shared" ref="G1079:M1079" si="602">G1080*G1081</f>
        <v>18.277238992397624</v>
      </c>
      <c r="H1079" s="260">
        <f t="shared" si="602"/>
        <v>13.501235651081632</v>
      </c>
      <c r="I1079" s="260">
        <f t="shared" si="602"/>
        <v>10.402083516232954</v>
      </c>
      <c r="J1079" s="260">
        <f t="shared" si="602"/>
        <v>8.2595218515169417</v>
      </c>
      <c r="K1079" s="260">
        <f t="shared" si="602"/>
        <v>6.9871201455415566</v>
      </c>
      <c r="L1079" s="260">
        <f t="shared" si="602"/>
        <v>5.6997828692450128</v>
      </c>
      <c r="M1079" s="260">
        <f t="shared" si="602"/>
        <v>4.9241600191404196</v>
      </c>
    </row>
    <row r="1080" spans="2:13" hidden="1" outlineLevel="2" x14ac:dyDescent="0.2">
      <c r="B1080" s="78" t="str">
        <f>+C1080&amp;D1080&amp;E1080&amp;F1080</f>
        <v>Middle EastFeedstockElectricityUSD/MWh</v>
      </c>
      <c r="C1080" s="157" t="str">
        <f>+$B$1060</f>
        <v>Middle East</v>
      </c>
      <c r="D1080" t="s">
        <v>777</v>
      </c>
      <c r="E1080" s="48" t="s">
        <v>54</v>
      </c>
      <c r="F1080" s="128" t="s">
        <v>196</v>
      </c>
      <c r="G1080" s="532">
        <f>INDEX('Fuel Model -  Input'!$B$3:$N$373,MATCH($B1080,'Fuel Model -  Input'!$B$3:$B$373,0),MATCH(G$2,'Fuel Model -  Input'!$B$3:$N$3,0))</f>
        <v>41.921157991354328</v>
      </c>
      <c r="H1080" s="532">
        <f>INDEX('Fuel Model -  Input'!$B$3:$N$373,MATCH($B1080,'Fuel Model -  Input'!$B$3:$B$373,0),MATCH(H$2,'Fuel Model -  Input'!$B$3:$N$3,0))</f>
        <v>33.753089127704079</v>
      </c>
      <c r="I1080" s="532">
        <f>INDEX('Fuel Model -  Input'!$B$3:$N$373,MATCH($B1080,'Fuel Model -  Input'!$B$3:$B$373,0),MATCH(I$2,'Fuel Model -  Input'!$B$3:$N$3,0))</f>
        <v>28.34507912512213</v>
      </c>
      <c r="J1080" s="532">
        <f>INDEX('Fuel Model -  Input'!$B$3:$N$373,MATCH($B1080,'Fuel Model -  Input'!$B$3:$B$373,0),MATCH(J$2,'Fuel Model -  Input'!$B$3:$N$3,0))</f>
        <v>24.531808876328746</v>
      </c>
      <c r="K1080" s="532">
        <f>INDEX('Fuel Model -  Input'!$B$3:$N$373,MATCH($B1080,'Fuel Model -  Input'!$B$3:$B$373,0),MATCH(K$2,'Fuel Model -  Input'!$B$3:$N$3,0))</f>
        <v>22.619875270215999</v>
      </c>
      <c r="L1080" s="532">
        <f>INDEX('Fuel Model -  Input'!$B$3:$N$373,MATCH($B1080,'Fuel Model -  Input'!$B$3:$B$373,0),MATCH(L$2,'Fuel Model -  Input'!$B$3:$N$3,0))</f>
        <v>20.112573077486601</v>
      </c>
      <c r="M1080" s="532">
        <f>INDEX('Fuel Model -  Input'!$B$3:$N$373,MATCH($B1080,'Fuel Model -  Input'!$B$3:$B$373,0),MATCH(M$2,'Fuel Model -  Input'!$B$3:$N$3,0))</f>
        <v>18.93907699669392</v>
      </c>
    </row>
    <row r="1081" spans="2:13" hidden="1" outlineLevel="2" x14ac:dyDescent="0.2">
      <c r="B1081" s="78" t="str">
        <f>+C1081&amp;D1081&amp;E1081&amp;F1081</f>
        <v>GlobalGeneralElectricity demandmWh/ton e Diesel</v>
      </c>
      <c r="C1081" s="157" t="s">
        <v>109</v>
      </c>
      <c r="D1081" t="s">
        <v>173</v>
      </c>
      <c r="E1081" s="48" t="s">
        <v>963</v>
      </c>
      <c r="F1081" s="128" t="s">
        <v>1059</v>
      </c>
      <c r="G1081" s="521">
        <f>INDEX('Fuel Model -  Input'!$B$3:$N$373,MATCH($B1081,'Fuel Model -  Input'!$B$3:$B$373,0),MATCH(G$2,'Fuel Model -  Input'!$B$3:$N$3,0))</f>
        <v>0.43599079481933817</v>
      </c>
      <c r="H1081" s="521">
        <f>INDEX('Fuel Model -  Input'!$B$3:$N$373,MATCH($B1081,'Fuel Model -  Input'!$B$3:$B$373,0),MATCH(H$2,'Fuel Model -  Input'!$B$3:$N$3,0))</f>
        <v>0.4</v>
      </c>
      <c r="I1081" s="521">
        <f>INDEX('Fuel Model -  Input'!$B$3:$N$373,MATCH($B1081,'Fuel Model -  Input'!$B$3:$B$373,0),MATCH(I$2,'Fuel Model -  Input'!$B$3:$N$3,0))</f>
        <v>0.36698022504419925</v>
      </c>
      <c r="J1081" s="521">
        <f>INDEX('Fuel Model -  Input'!$B$3:$N$373,MATCH($B1081,'Fuel Model -  Input'!$B$3:$B$373,0),MATCH(J$2,'Fuel Model -  Input'!$B$3:$N$3,0))</f>
        <v>0.33668621393372777</v>
      </c>
      <c r="K1081" s="521">
        <f>INDEX('Fuel Model -  Input'!$B$3:$N$373,MATCH($B1081,'Fuel Model -  Input'!$B$3:$B$373,0),MATCH(K$2,'Fuel Model -  Input'!$B$3:$N$3,0))</f>
        <v>0.30889295639669706</v>
      </c>
      <c r="L1081" s="521">
        <f>INDEX('Fuel Model -  Input'!$B$3:$N$373,MATCH($B1081,'Fuel Model -  Input'!$B$3:$B$373,0),MATCH(L$2,'Fuel Model -  Input'!$B$3:$N$3,0))</f>
        <v>0.28339401663256975</v>
      </c>
      <c r="M1081" s="521">
        <f>INDEX('Fuel Model -  Input'!$B$3:$N$373,MATCH($B1081,'Fuel Model -  Input'!$B$3:$B$373,0),MATCH(M$2,'Fuel Model -  Input'!$B$3:$N$3,0))</f>
        <v>0.26</v>
      </c>
    </row>
    <row r="1082" spans="2:13" hidden="1" outlineLevel="2" x14ac:dyDescent="0.2">
      <c r="C1082" s="157"/>
      <c r="E1082" s="48"/>
      <c r="F1082" s="128"/>
      <c r="G1082" s="524"/>
      <c r="H1082" s="524"/>
      <c r="I1082" s="524"/>
      <c r="J1082" s="524"/>
      <c r="K1082" s="524"/>
      <c r="L1082" s="524"/>
      <c r="M1082" s="524"/>
    </row>
    <row r="1083" spans="2:13" hidden="1" outlineLevel="2" x14ac:dyDescent="0.2">
      <c r="B1083" s="78" t="str">
        <f>+C1083&amp;D1083&amp;E1083&amp;F1083</f>
        <v>Middle EastFeedstockFeedstock CO2USD/ton e Diesel</v>
      </c>
      <c r="C1083" s="157" t="str">
        <f>+$B$1060</f>
        <v>Middle East</v>
      </c>
      <c r="D1083" t="s">
        <v>777</v>
      </c>
      <c r="E1083" s="48" t="s">
        <v>1007</v>
      </c>
      <c r="F1083" s="128" t="s">
        <v>1056</v>
      </c>
      <c r="G1083" s="8">
        <f t="shared" ref="G1083:M1083" si="603">G1084*G1085</f>
        <v>937.03073700403684</v>
      </c>
      <c r="H1083" s="8">
        <f t="shared" si="603"/>
        <v>742.28466043232856</v>
      </c>
      <c r="I1083" s="8">
        <f t="shared" si="603"/>
        <v>600.75407270106598</v>
      </c>
      <c r="J1083" s="8">
        <f t="shared" si="603"/>
        <v>493.42117875840057</v>
      </c>
      <c r="K1083" s="8">
        <f t="shared" si="603"/>
        <v>416.92025645181343</v>
      </c>
      <c r="L1083" s="8">
        <f t="shared" si="603"/>
        <v>347.27208836703448</v>
      </c>
      <c r="M1083" s="8">
        <f t="shared" si="603"/>
        <v>296.53597589698973</v>
      </c>
    </row>
    <row r="1084" spans="2:13" hidden="1" outlineLevel="2" x14ac:dyDescent="0.2">
      <c r="B1084" s="78" t="str">
        <f>+C1084&amp;D1084&amp;E1084&amp;F1084</f>
        <v>GlobalFeedstockConversion CO2 : e Diesel (actual)kg CO2/kg e Diesel</v>
      </c>
      <c r="C1084" s="157" t="s">
        <v>109</v>
      </c>
      <c r="D1084" t="s">
        <v>777</v>
      </c>
      <c r="E1084" t="s">
        <v>1060</v>
      </c>
      <c r="F1084" s="128" t="s">
        <v>1061</v>
      </c>
      <c r="G1084" s="521">
        <f>INDEX('Fuel Model -  Input'!$B$3:$N$373,MATCH($B1084,'Fuel Model -  Input'!$B$3:$B$373,0),MATCH(G$2,'Fuel Model -  Input'!$B$3:$N$3,0))</f>
        <v>3.48</v>
      </c>
      <c r="H1084" s="521">
        <f>INDEX('Fuel Model -  Input'!$B$3:$N$373,MATCH($B1084,'Fuel Model -  Input'!$B$3:$B$373,0),MATCH(H$2,'Fuel Model -  Input'!$B$3:$N$3,0))</f>
        <v>3.48</v>
      </c>
      <c r="I1084" s="521">
        <f>INDEX('Fuel Model -  Input'!$B$3:$N$373,MATCH($B1084,'Fuel Model -  Input'!$B$3:$B$373,0),MATCH(I$2,'Fuel Model -  Input'!$B$3:$N$3,0))</f>
        <v>3.48</v>
      </c>
      <c r="J1084" s="521">
        <f>INDEX('Fuel Model -  Input'!$B$3:$N$373,MATCH($B1084,'Fuel Model -  Input'!$B$3:$B$373,0),MATCH(J$2,'Fuel Model -  Input'!$B$3:$N$3,0))</f>
        <v>3.48</v>
      </c>
      <c r="K1084" s="521">
        <f>INDEX('Fuel Model -  Input'!$B$3:$N$373,MATCH($B1084,'Fuel Model -  Input'!$B$3:$B$373,0),MATCH(K$2,'Fuel Model -  Input'!$B$3:$N$3,0))</f>
        <v>3.48</v>
      </c>
      <c r="L1084" s="521">
        <f>INDEX('Fuel Model -  Input'!$B$3:$N$373,MATCH($B1084,'Fuel Model -  Input'!$B$3:$B$373,0),MATCH(L$2,'Fuel Model -  Input'!$B$3:$N$3,0))</f>
        <v>3.48</v>
      </c>
      <c r="M1084" s="521">
        <f>INDEX('Fuel Model -  Input'!$B$3:$N$373,MATCH($B1084,'Fuel Model -  Input'!$B$3:$B$373,0),MATCH(M$2,'Fuel Model -  Input'!$B$3:$N$3,0))</f>
        <v>3.48</v>
      </c>
    </row>
    <row r="1085" spans="2:13" hidden="1" outlineLevel="2" x14ac:dyDescent="0.2">
      <c r="B1085" s="78" t="str">
        <f>+C1085&amp;D1085&amp;E1085&amp;F1085</f>
        <v>Middle EastFeedstockCost of CO2 DACUSD/ton</v>
      </c>
      <c r="C1085" s="157" t="str">
        <f>+$B$1060</f>
        <v>Middle East</v>
      </c>
      <c r="D1085" t="s">
        <v>777</v>
      </c>
      <c r="E1085" t="s">
        <v>1010</v>
      </c>
      <c r="F1085" s="128" t="s">
        <v>205</v>
      </c>
      <c r="G1085" s="532">
        <f t="shared" ref="G1085:M1085" si="604">INDEX(G$1564:G$1568,MATCH($C1085,$C$1564:$C$1568,0))</f>
        <v>269.26170603564276</v>
      </c>
      <c r="H1085" s="532">
        <f t="shared" si="604"/>
        <v>213.30018977940477</v>
      </c>
      <c r="I1085" s="532">
        <f t="shared" si="604"/>
        <v>172.63048066122585</v>
      </c>
      <c r="J1085" s="532">
        <f t="shared" si="604"/>
        <v>141.78769504551741</v>
      </c>
      <c r="K1085" s="532">
        <f t="shared" si="604"/>
        <v>119.80467139419926</v>
      </c>
      <c r="L1085" s="532">
        <f t="shared" si="604"/>
        <v>99.790829990527158</v>
      </c>
      <c r="M1085" s="532">
        <f t="shared" si="604"/>
        <v>85.211487326721183</v>
      </c>
    </row>
    <row r="1086" spans="2:13" hidden="1" outlineLevel="2" x14ac:dyDescent="0.2">
      <c r="C1086" s="157"/>
      <c r="F1086" s="128"/>
      <c r="G1086" s="520"/>
      <c r="H1086" s="520"/>
      <c r="I1086" s="520"/>
      <c r="J1086" s="520"/>
      <c r="K1086" s="520"/>
      <c r="L1086" s="520"/>
      <c r="M1086" s="520"/>
    </row>
    <row r="1087" spans="2:13" hidden="1" outlineLevel="2" x14ac:dyDescent="0.2">
      <c r="B1087" s="78" t="str">
        <f>+C1087&amp;D1087&amp;E1087&amp;F1087</f>
        <v>Middle EastFeedstockFeedstock CO2USD/ton e Diesel</v>
      </c>
      <c r="C1087" s="157" t="str">
        <f>+$B$1060</f>
        <v>Middle East</v>
      </c>
      <c r="D1087" t="s">
        <v>777</v>
      </c>
      <c r="E1087" s="48" t="s">
        <v>1007</v>
      </c>
      <c r="F1087" s="128" t="s">
        <v>1056</v>
      </c>
      <c r="G1087" s="8">
        <f t="shared" ref="G1087:M1087" si="605">G1088*G1089</f>
        <v>619.258533414461</v>
      </c>
      <c r="H1087" s="8">
        <f t="shared" si="605"/>
        <v>510.18733757398468</v>
      </c>
      <c r="I1087" s="8">
        <f t="shared" si="605"/>
        <v>405.43839390994128</v>
      </c>
      <c r="J1087" s="8">
        <f t="shared" si="605"/>
        <v>362.1583127003309</v>
      </c>
      <c r="K1087" s="8">
        <f t="shared" si="605"/>
        <v>321.85572467315825</v>
      </c>
      <c r="L1087" s="8">
        <f t="shared" si="605"/>
        <v>280.62078943934404</v>
      </c>
      <c r="M1087" s="8">
        <f t="shared" si="605"/>
        <v>241.47459457682271</v>
      </c>
    </row>
    <row r="1088" spans="2:13" hidden="1" outlineLevel="2" x14ac:dyDescent="0.2">
      <c r="B1088" s="78" t="str">
        <f>+C1088&amp;D1088&amp;E1088&amp;F1088</f>
        <v>GlobalFeedstockConversion CO2 : e Diesel (actual)kg CO2/kg e Diesel</v>
      </c>
      <c r="C1088" s="157" t="s">
        <v>109</v>
      </c>
      <c r="D1088" t="s">
        <v>777</v>
      </c>
      <c r="E1088" t="s">
        <v>1060</v>
      </c>
      <c r="F1088" s="128" t="s">
        <v>1061</v>
      </c>
      <c r="G1088" s="521">
        <f>INDEX('Fuel Model -  Input'!$B$3:$N$373,MATCH($B1088,'Fuel Model -  Input'!$B$3:$B$373,0),MATCH(G$2,'Fuel Model -  Input'!$B$3:$N$3,0))</f>
        <v>3.48</v>
      </c>
      <c r="H1088" s="521">
        <f>INDEX('Fuel Model -  Input'!$B$3:$N$373,MATCH($B1088,'Fuel Model -  Input'!$B$3:$B$373,0),MATCH(H$2,'Fuel Model -  Input'!$B$3:$N$3,0))</f>
        <v>3.48</v>
      </c>
      <c r="I1088" s="521">
        <f>INDEX('Fuel Model -  Input'!$B$3:$N$373,MATCH($B1088,'Fuel Model -  Input'!$B$3:$B$373,0),MATCH(I$2,'Fuel Model -  Input'!$B$3:$N$3,0))</f>
        <v>3.48</v>
      </c>
      <c r="J1088" s="521">
        <f>INDEX('Fuel Model -  Input'!$B$3:$N$373,MATCH($B1088,'Fuel Model -  Input'!$B$3:$B$373,0),MATCH(J$2,'Fuel Model -  Input'!$B$3:$N$3,0))</f>
        <v>3.48</v>
      </c>
      <c r="K1088" s="521">
        <f>INDEX('Fuel Model -  Input'!$B$3:$N$373,MATCH($B1088,'Fuel Model -  Input'!$B$3:$B$373,0),MATCH(K$2,'Fuel Model -  Input'!$B$3:$N$3,0))</f>
        <v>3.48</v>
      </c>
      <c r="L1088" s="521">
        <f>INDEX('Fuel Model -  Input'!$B$3:$N$373,MATCH($B1088,'Fuel Model -  Input'!$B$3:$B$373,0),MATCH(L$2,'Fuel Model -  Input'!$B$3:$N$3,0))</f>
        <v>3.48</v>
      </c>
      <c r="M1088" s="521">
        <f>INDEX('Fuel Model -  Input'!$B$3:$N$373,MATCH($B1088,'Fuel Model -  Input'!$B$3:$B$373,0),MATCH(M$2,'Fuel Model -  Input'!$B$3:$N$3,0))</f>
        <v>3.48</v>
      </c>
    </row>
    <row r="1089" spans="2:13" hidden="1" outlineLevel="2" x14ac:dyDescent="0.2">
      <c r="B1089" s="78" t="str">
        <f>+C1089&amp;D1089&amp;E1089&amp;F1089</f>
        <v>Middle EastFeedstockCost of CO2 PSUSD/ton</v>
      </c>
      <c r="C1089" s="157" t="str">
        <f>+$B$1060</f>
        <v>Middle East</v>
      </c>
      <c r="D1089" t="s">
        <v>777</v>
      </c>
      <c r="E1089" t="s">
        <v>1011</v>
      </c>
      <c r="F1089" s="128" t="s">
        <v>205</v>
      </c>
      <c r="G1089" s="532">
        <f t="shared" ref="G1089:M1089" si="606">INDEX(G$1538:G$1542,MATCH($B1089,$B$1538:$B$1542,0))</f>
        <v>177.94785442944283</v>
      </c>
      <c r="H1089" s="532">
        <f t="shared" si="606"/>
        <v>146.60555677413353</v>
      </c>
      <c r="I1089" s="532">
        <f t="shared" si="606"/>
        <v>116.50528560630497</v>
      </c>
      <c r="J1089" s="532">
        <f t="shared" si="606"/>
        <v>104.06848066101462</v>
      </c>
      <c r="K1089" s="532">
        <f t="shared" si="606"/>
        <v>92.487277204930535</v>
      </c>
      <c r="L1089" s="532">
        <f t="shared" si="606"/>
        <v>80.638157884868974</v>
      </c>
      <c r="M1089" s="532">
        <f t="shared" si="606"/>
        <v>69.389251315178939</v>
      </c>
    </row>
    <row r="1090" spans="2:13" hidden="1" outlineLevel="2" x14ac:dyDescent="0.2">
      <c r="C1090" s="157"/>
      <c r="F1090" s="128"/>
      <c r="G1090" s="520"/>
      <c r="H1090" s="520"/>
      <c r="I1090" s="520"/>
      <c r="J1090" s="520"/>
      <c r="K1090" s="520"/>
      <c r="L1090" s="520"/>
      <c r="M1090" s="520"/>
    </row>
    <row r="1091" spans="2:13" hidden="1" outlineLevel="2" x14ac:dyDescent="0.2">
      <c r="B1091" s="78" t="str">
        <f>+C1091&amp;D1091&amp;E1091&amp;F1091</f>
        <v>Middle EastFeedstockFeedstock H2USD/ton e Diesel</v>
      </c>
      <c r="C1091" s="157" t="str">
        <f>+$B$1060</f>
        <v>Middle East</v>
      </c>
      <c r="D1091" t="s">
        <v>777</v>
      </c>
      <c r="E1091" s="48" t="s">
        <v>970</v>
      </c>
      <c r="F1091" s="128" t="s">
        <v>1056</v>
      </c>
      <c r="G1091" s="8">
        <f t="shared" ref="G1091:M1091" si="607">G1094*G1095</f>
        <v>1916.5949273472104</v>
      </c>
      <c r="H1091" s="8">
        <f t="shared" si="607"/>
        <v>1563.8676203090579</v>
      </c>
      <c r="I1091" s="8">
        <f t="shared" si="607"/>
        <v>1306.5664333133579</v>
      </c>
      <c r="J1091" s="8">
        <f t="shared" si="607"/>
        <v>1176.9917829283913</v>
      </c>
      <c r="K1091" s="8">
        <f t="shared" si="607"/>
        <v>1019.4106195369845</v>
      </c>
      <c r="L1091" s="8">
        <f t="shared" si="607"/>
        <v>805.49408537883755</v>
      </c>
      <c r="M1091" s="8">
        <f t="shared" si="607"/>
        <v>619.44717682819407</v>
      </c>
    </row>
    <row r="1092" spans="2:13" hidden="1" outlineLevel="2" x14ac:dyDescent="0.2">
      <c r="B1092" t="str">
        <f>+C1092&amp;D1092&amp;E1092&amp;F1092</f>
        <v>Middle EastResultsShare of RNE e-Hydrogen (compressed)%</v>
      </c>
      <c r="C1092" t="str">
        <f>+$B$1060</f>
        <v>Middle East</v>
      </c>
      <c r="D1092" t="s">
        <v>838</v>
      </c>
      <c r="E1092" s="48" t="s">
        <v>848</v>
      </c>
      <c r="F1092" s="128" t="s">
        <v>178</v>
      </c>
      <c r="G1092" s="537">
        <f t="shared" ref="G1092:M1092" si="608">+INDEX($A:$M,MATCH($B1092,$B:$B,0),MATCH(G$2,$2:$2,0))</f>
        <v>0.55775258276340556</v>
      </c>
      <c r="H1092" s="537">
        <f t="shared" si="608"/>
        <v>0.54777871920631882</v>
      </c>
      <c r="I1092" s="537">
        <f t="shared" si="608"/>
        <v>0.54329231511034226</v>
      </c>
      <c r="J1092" s="537">
        <f t="shared" si="608"/>
        <v>0.50331479346130503</v>
      </c>
      <c r="K1092" s="537">
        <f t="shared" si="608"/>
        <v>0.51197983528995661</v>
      </c>
      <c r="L1092" s="537">
        <f t="shared" si="608"/>
        <v>0.54039947808574196</v>
      </c>
      <c r="M1092" s="537">
        <f t="shared" si="608"/>
        <v>0.62724417619460449</v>
      </c>
    </row>
    <row r="1093" spans="2:13" hidden="1" outlineLevel="2" x14ac:dyDescent="0.2">
      <c r="B1093" t="str">
        <f>+C1093&amp;D1093&amp;E1093&amp;F1093</f>
        <v>Middle EastResultsShare of Capex e-Hydrogen (compressed)%</v>
      </c>
      <c r="C1093" t="str">
        <f>+$B$1060</f>
        <v>Middle East</v>
      </c>
      <c r="D1093" t="s">
        <v>838</v>
      </c>
      <c r="E1093" s="48" t="s">
        <v>850</v>
      </c>
      <c r="F1093" s="128" t="s">
        <v>178</v>
      </c>
      <c r="G1093" s="537">
        <f t="shared" ref="G1093:M1093" si="609">+INDEX(G$4:G$581,MATCH($B1093,$B$4:$B$581,0))</f>
        <v>0.20465721439936888</v>
      </c>
      <c r="H1093" s="537">
        <f t="shared" si="609"/>
        <v>0.21020082917293301</v>
      </c>
      <c r="I1093" s="537">
        <f t="shared" si="609"/>
        <v>0.22017611375581289</v>
      </c>
      <c r="J1093" s="537">
        <f t="shared" si="609"/>
        <v>0.25740749275929958</v>
      </c>
      <c r="K1093" s="537">
        <f t="shared" si="609"/>
        <v>0.27346911892746345</v>
      </c>
      <c r="L1093" s="537">
        <f t="shared" si="609"/>
        <v>0.27643119109331959</v>
      </c>
      <c r="M1093" s="537">
        <f t="shared" si="609"/>
        <v>0.23547854986199462</v>
      </c>
    </row>
    <row r="1094" spans="2:13" hidden="1" outlineLevel="2" x14ac:dyDescent="0.2">
      <c r="B1094" s="78" t="str">
        <f>+C1094&amp;D1094&amp;E1094&amp;F1094</f>
        <v>GlobalFeedstockConversion H2 : e Diesel (actual)tons H2/ton e Diesel</v>
      </c>
      <c r="C1094" s="157" t="s">
        <v>109</v>
      </c>
      <c r="D1094" t="s">
        <v>777</v>
      </c>
      <c r="E1094" t="s">
        <v>1062</v>
      </c>
      <c r="F1094" s="128" t="s">
        <v>1063</v>
      </c>
      <c r="G1094" s="521">
        <f>+INDEX('Fuel Model -  Input'!$B$3:$N$373,MATCH($B1094,'Fuel Model -  Input'!$B$3:$B$373,0),MATCH(G$2,'Fuel Model -  Input'!$B$3:$N$3,0))</f>
        <v>0.47</v>
      </c>
      <c r="H1094" s="521">
        <f>+INDEX('Fuel Model -  Input'!$B$3:$N$373,MATCH($B1094,'Fuel Model -  Input'!$B$3:$B$373,0),MATCH(H$2,'Fuel Model -  Input'!$B$3:$N$3,0))</f>
        <v>0.47</v>
      </c>
      <c r="I1094" s="521">
        <f>+INDEX('Fuel Model -  Input'!$B$3:$N$373,MATCH($B1094,'Fuel Model -  Input'!$B$3:$B$373,0),MATCH(I$2,'Fuel Model -  Input'!$B$3:$N$3,0))</f>
        <v>0.47</v>
      </c>
      <c r="J1094" s="521">
        <f>+INDEX('Fuel Model -  Input'!$B$3:$N$373,MATCH($B1094,'Fuel Model -  Input'!$B$3:$B$373,0),MATCH(J$2,'Fuel Model -  Input'!$B$3:$N$3,0))</f>
        <v>0.47</v>
      </c>
      <c r="K1094" s="521">
        <f>+INDEX('Fuel Model -  Input'!$B$3:$N$373,MATCH($B1094,'Fuel Model -  Input'!$B$3:$B$373,0),MATCH(K$2,'Fuel Model -  Input'!$B$3:$N$3,0))</f>
        <v>0.47</v>
      </c>
      <c r="L1094" s="521">
        <f>+INDEX('Fuel Model -  Input'!$B$3:$N$373,MATCH($B1094,'Fuel Model -  Input'!$B$3:$B$373,0),MATCH(L$2,'Fuel Model -  Input'!$B$3:$N$3,0))</f>
        <v>0.47</v>
      </c>
      <c r="M1094" s="521">
        <f>+INDEX('Fuel Model -  Input'!$B$3:$N$373,MATCH($B1094,'Fuel Model -  Input'!$B$3:$B$373,0),MATCH(M$2,'Fuel Model -  Input'!$B$3:$N$3,0))</f>
        <v>0.47</v>
      </c>
    </row>
    <row r="1095" spans="2:13" hidden="1" outlineLevel="2" x14ac:dyDescent="0.2">
      <c r="B1095" s="78" t="str">
        <f>+C1095&amp;D1095&amp;E1095&amp;F1095</f>
        <v>Middle EastResultsCost of e-Hydrogen (compressed)USD/ton</v>
      </c>
      <c r="C1095" s="157" t="str">
        <f>+$B$1060</f>
        <v>Middle East</v>
      </c>
      <c r="D1095" t="s">
        <v>838</v>
      </c>
      <c r="E1095" t="s">
        <v>846</v>
      </c>
      <c r="F1095" s="128" t="s">
        <v>205</v>
      </c>
      <c r="G1095" s="532">
        <f>INDEX(G$4:G1094,MATCH($B1095,$B$4:$B1094,0))</f>
        <v>4077.8615475472566</v>
      </c>
      <c r="H1095" s="532">
        <f>INDEX(H$4:H1094,MATCH($B1095,$B$4:$B1094,0))</f>
        <v>3327.377915551187</v>
      </c>
      <c r="I1095" s="532">
        <f>INDEX(I$4:I1094,MATCH($B1095,$B$4:$B1094,0))</f>
        <v>2779.9285815177832</v>
      </c>
      <c r="J1095" s="532">
        <f>INDEX(J$4:J1094,MATCH($B1095,$B$4:$B1094,0))</f>
        <v>2504.2378360178541</v>
      </c>
      <c r="K1095" s="532">
        <f>INDEX(K$4:K1094,MATCH($B1095,$B$4:$B1094,0))</f>
        <v>2168.9587649723076</v>
      </c>
      <c r="L1095" s="532">
        <f>INDEX(L$4:L1094,MATCH($B1095,$B$4:$B1094,0))</f>
        <v>1713.817202933697</v>
      </c>
      <c r="M1095" s="532">
        <f>INDEX(M$4:M1094,MATCH($B1095,$B$4:$B1094,0))</f>
        <v>1317.972716655732</v>
      </c>
    </row>
    <row r="1096" spans="2:13" ht="12.75" hidden="1" outlineLevel="1" x14ac:dyDescent="0.2">
      <c r="F1096"/>
    </row>
    <row r="1097" spans="2:13" s="30" customFormat="1" ht="15" hidden="1" outlineLevel="1" collapsed="1" x14ac:dyDescent="0.25">
      <c r="B1097" s="30" t="s">
        <v>198</v>
      </c>
      <c r="C1097" s="30" t="str">
        <f>+B1097</f>
        <v>Asia</v>
      </c>
    </row>
    <row r="1098" spans="2:13" ht="15" hidden="1" outlineLevel="2" x14ac:dyDescent="0.25">
      <c r="B1098" s="157" t="str">
        <f t="shared" ref="B1098:B1103" si="610">+C1098&amp;D1098&amp;E1098&amp;F1098</f>
        <v>AsiaResultsTotal cost of e-Diesel (DAC)USD/ton</v>
      </c>
      <c r="C1098" s="157" t="str">
        <f t="shared" ref="C1098:C1107" si="611">+$B$1097</f>
        <v>Asia</v>
      </c>
      <c r="D1098" s="515" t="s">
        <v>838</v>
      </c>
      <c r="E1098" s="535" t="s">
        <v>1042</v>
      </c>
      <c r="F1098" s="128" t="s">
        <v>205</v>
      </c>
      <c r="G1098" s="492">
        <f>SUM(G1100,G1102,G1104,G1106)</f>
        <v>5574.3396381517359</v>
      </c>
      <c r="H1098" s="492">
        <f t="shared" ref="H1098:M1098" si="612">SUM(H1100,H1102,H1104,H1106)</f>
        <v>3998.4783638016561</v>
      </c>
      <c r="I1098" s="492">
        <f t="shared" si="612"/>
        <v>3175.4070149354211</v>
      </c>
      <c r="J1098" s="492">
        <f t="shared" si="612"/>
        <v>2761.7256320202573</v>
      </c>
      <c r="K1098" s="492">
        <f t="shared" si="612"/>
        <v>2407.6718810985531</v>
      </c>
      <c r="L1098" s="492">
        <f t="shared" si="612"/>
        <v>1930.7521927107578</v>
      </c>
      <c r="M1098" s="492">
        <f t="shared" si="612"/>
        <v>1540.5873614239058</v>
      </c>
    </row>
    <row r="1099" spans="2:13" ht="15" hidden="1" outlineLevel="2" x14ac:dyDescent="0.25">
      <c r="B1099" s="157" t="str">
        <f t="shared" si="610"/>
        <v>AsiaResultsTotal cost of e-Diesel (PS)USD/ton</v>
      </c>
      <c r="C1099" s="157" t="str">
        <f t="shared" si="611"/>
        <v>Asia</v>
      </c>
      <c r="D1099" s="515" t="s">
        <v>838</v>
      </c>
      <c r="E1099" s="535" t="s">
        <v>1043</v>
      </c>
      <c r="F1099" s="128" t="s">
        <v>205</v>
      </c>
      <c r="G1099" s="492">
        <f t="shared" ref="G1099:M1099" si="613">SUM(G1101,G1103,G1105,G1107)</f>
        <v>4901.071537317991</v>
      </c>
      <c r="H1099" s="492">
        <f t="shared" si="613"/>
        <v>3604.6600747764296</v>
      </c>
      <c r="I1099" s="492">
        <f t="shared" si="613"/>
        <v>2867.3226007194999</v>
      </c>
      <c r="J1099" s="492">
        <f t="shared" si="613"/>
        <v>2548.4045608827628</v>
      </c>
      <c r="K1099" s="492">
        <f t="shared" si="613"/>
        <v>2247.4865318539823</v>
      </c>
      <c r="L1099" s="492">
        <f t="shared" si="613"/>
        <v>1811.2792026236527</v>
      </c>
      <c r="M1099" s="492">
        <f t="shared" si="613"/>
        <v>1439.8854045749881</v>
      </c>
    </row>
    <row r="1100" spans="2:13" ht="15" hidden="1" outlineLevel="2" x14ac:dyDescent="0.25">
      <c r="B1100" s="157" t="str">
        <f t="shared" si="610"/>
        <v>AsiaResultsTotal Capex e-Diesel (DAC)USD/ton</v>
      </c>
      <c r="C1100" s="157" t="str">
        <f t="shared" si="611"/>
        <v>Asia</v>
      </c>
      <c r="D1100" s="515" t="s">
        <v>838</v>
      </c>
      <c r="E1100" s="536" t="s">
        <v>1044</v>
      </c>
      <c r="F1100" s="128" t="s">
        <v>205</v>
      </c>
      <c r="G1100" s="490">
        <f>G1109+G1130*G1128</f>
        <v>975.24497896284106</v>
      </c>
      <c r="H1100" s="490">
        <f t="shared" ref="H1100:M1100" si="614">H1109+H1130*H1128</f>
        <v>841.05960383899901</v>
      </c>
      <c r="I1100" s="490">
        <f t="shared" si="614"/>
        <v>729.3413863173954</v>
      </c>
      <c r="J1100" s="490">
        <f t="shared" si="614"/>
        <v>715.92483717522839</v>
      </c>
      <c r="K1100" s="490">
        <f t="shared" si="614"/>
        <v>663.02732395007888</v>
      </c>
      <c r="L1100" s="490">
        <f t="shared" si="614"/>
        <v>547.28868943989619</v>
      </c>
      <c r="M1100" s="490">
        <f t="shared" si="614"/>
        <v>410.86652291560972</v>
      </c>
    </row>
    <row r="1101" spans="2:13" ht="15" hidden="1" outlineLevel="2" x14ac:dyDescent="0.25">
      <c r="B1101" s="157" t="str">
        <f t="shared" si="610"/>
        <v>AsiaResultsTotal Capex e-Diesel (PS)USD/ton</v>
      </c>
      <c r="C1101" s="157" t="str">
        <f t="shared" si="611"/>
        <v>Asia</v>
      </c>
      <c r="D1101" s="515" t="s">
        <v>838</v>
      </c>
      <c r="E1101" s="536" t="s">
        <v>1045</v>
      </c>
      <c r="F1101" s="128" t="s">
        <v>205</v>
      </c>
      <c r="G1101" s="490">
        <f t="shared" ref="G1101:M1101" si="615">+G1100</f>
        <v>975.24497896284106</v>
      </c>
      <c r="H1101" s="490">
        <f t="shared" si="615"/>
        <v>841.05960383899901</v>
      </c>
      <c r="I1101" s="490">
        <f t="shared" si="615"/>
        <v>729.3413863173954</v>
      </c>
      <c r="J1101" s="490">
        <f t="shared" si="615"/>
        <v>715.92483717522839</v>
      </c>
      <c r="K1101" s="490">
        <f t="shared" si="615"/>
        <v>663.02732395007888</v>
      </c>
      <c r="L1101" s="490">
        <f t="shared" si="615"/>
        <v>547.28868943989619</v>
      </c>
      <c r="M1101" s="490">
        <f t="shared" si="615"/>
        <v>410.86652291560972</v>
      </c>
    </row>
    <row r="1102" spans="2:13" ht="15" hidden="1" outlineLevel="2" x14ac:dyDescent="0.25">
      <c r="B1102" s="157" t="str">
        <f t="shared" si="610"/>
        <v>AsiaResultsTotal Opex e-Diesel (DAC)USD/ton</v>
      </c>
      <c r="C1102" s="157" t="str">
        <f t="shared" si="611"/>
        <v>Asia</v>
      </c>
      <c r="D1102" s="515" t="s">
        <v>838</v>
      </c>
      <c r="E1102" s="536" t="s">
        <v>1046</v>
      </c>
      <c r="F1102" s="128" t="s">
        <v>205</v>
      </c>
      <c r="G1102" s="490">
        <f>G1113+G1128*(1-SUM(G1129:G1130))</f>
        <v>1115.3641775452213</v>
      </c>
      <c r="H1102" s="490">
        <f t="shared" ref="H1102:M1102" si="616">H1113+H1128*(1-SUM(H1129:H1130))</f>
        <v>842.4879477422628</v>
      </c>
      <c r="I1102" s="490">
        <f t="shared" si="616"/>
        <v>609.04421126235252</v>
      </c>
      <c r="J1102" s="490">
        <f t="shared" si="616"/>
        <v>562.12790295624029</v>
      </c>
      <c r="K1102" s="490">
        <f t="shared" si="616"/>
        <v>479.71561450352772</v>
      </c>
      <c r="L1102" s="490">
        <f t="shared" si="616"/>
        <v>331.29181259906557</v>
      </c>
      <c r="M1102" s="490">
        <f t="shared" si="616"/>
        <v>205.03601978691034</v>
      </c>
    </row>
    <row r="1103" spans="2:13" ht="15" hidden="1" outlineLevel="2" x14ac:dyDescent="0.25">
      <c r="B1103" s="157" t="str">
        <f t="shared" si="610"/>
        <v>AsiaResultsTotal Opex e-Diesel (PS)USD/ton</v>
      </c>
      <c r="C1103" s="157" t="str">
        <f t="shared" si="611"/>
        <v>Asia</v>
      </c>
      <c r="D1103" s="515" t="s">
        <v>838</v>
      </c>
      <c r="E1103" s="536" t="s">
        <v>1047</v>
      </c>
      <c r="F1103" s="128" t="s">
        <v>205</v>
      </c>
      <c r="G1103" s="490">
        <f t="shared" ref="G1103:M1103" si="617">+G1102</f>
        <v>1115.3641775452213</v>
      </c>
      <c r="H1103" s="490">
        <f t="shared" si="617"/>
        <v>842.4879477422628</v>
      </c>
      <c r="I1103" s="490">
        <f t="shared" si="617"/>
        <v>609.04421126235252</v>
      </c>
      <c r="J1103" s="490">
        <f t="shared" si="617"/>
        <v>562.12790295624029</v>
      </c>
      <c r="K1103" s="490">
        <f t="shared" si="617"/>
        <v>479.71561450352772</v>
      </c>
      <c r="L1103" s="490">
        <f t="shared" si="617"/>
        <v>331.29181259906557</v>
      </c>
      <c r="M1103" s="490">
        <f t="shared" si="617"/>
        <v>205.03601978691034</v>
      </c>
    </row>
    <row r="1104" spans="2:13" ht="15" hidden="1" outlineLevel="2" x14ac:dyDescent="0.25">
      <c r="B1104" s="157" t="str">
        <f>+C1104&amp;D1104&amp;E1104&amp;F1104</f>
        <v>AsiaResultsTotal RNE e-Diesel (DAC)USD/ton</v>
      </c>
      <c r="C1104" s="157" t="str">
        <f t="shared" si="611"/>
        <v>Asia</v>
      </c>
      <c r="D1104" s="515" t="s">
        <v>838</v>
      </c>
      <c r="E1104" s="536" t="s">
        <v>1048</v>
      </c>
      <c r="F1104" s="128" t="s">
        <v>205</v>
      </c>
      <c r="G1104" s="490">
        <f>+G1116+G1128*G1129</f>
        <v>2128.3437803010243</v>
      </c>
      <c r="H1104" s="490">
        <f t="shared" ref="H1104:M1104" si="618">+H1116+H1128*H1129</f>
        <v>1379.9573410360354</v>
      </c>
      <c r="I1104" s="490">
        <f t="shared" si="618"/>
        <v>1100.0893921063132</v>
      </c>
      <c r="J1104" s="490">
        <f t="shared" si="618"/>
        <v>889.70647572583005</v>
      </c>
      <c r="K1104" s="490">
        <f t="shared" si="618"/>
        <v>766.94540294503724</v>
      </c>
      <c r="L1104" s="490">
        <f t="shared" si="618"/>
        <v>638.00647554326156</v>
      </c>
      <c r="M1104" s="490">
        <f t="shared" si="618"/>
        <v>569.25777762600796</v>
      </c>
    </row>
    <row r="1105" spans="2:13" ht="15" hidden="1" outlineLevel="2" x14ac:dyDescent="0.25">
      <c r="B1105" s="157" t="str">
        <f>+C1105&amp;D1105&amp;E1105&amp;F1105</f>
        <v>AsiaResultsTotal RNE e-Diesel (PS)USD/ton</v>
      </c>
      <c r="C1105" s="157" t="str">
        <f t="shared" si="611"/>
        <v>Asia</v>
      </c>
      <c r="D1105" s="515" t="s">
        <v>838</v>
      </c>
      <c r="E1105" s="536" t="s">
        <v>1049</v>
      </c>
      <c r="F1105" s="128" t="s">
        <v>205</v>
      </c>
      <c r="G1105" s="490">
        <f t="shared" ref="G1105:M1105" si="619">+G1104</f>
        <v>2128.3437803010243</v>
      </c>
      <c r="H1105" s="490">
        <f t="shared" si="619"/>
        <v>1379.9573410360354</v>
      </c>
      <c r="I1105" s="490">
        <f t="shared" si="619"/>
        <v>1100.0893921063132</v>
      </c>
      <c r="J1105" s="490">
        <f t="shared" si="619"/>
        <v>889.70647572583005</v>
      </c>
      <c r="K1105" s="490">
        <f t="shared" si="619"/>
        <v>766.94540294503724</v>
      </c>
      <c r="L1105" s="490">
        <f t="shared" si="619"/>
        <v>638.00647554326156</v>
      </c>
      <c r="M1105" s="490">
        <f t="shared" si="619"/>
        <v>569.25777762600796</v>
      </c>
    </row>
    <row r="1106" spans="2:13" ht="15" hidden="1" outlineLevel="2" x14ac:dyDescent="0.25">
      <c r="B1106" s="157" t="str">
        <f>+C1106&amp;D1106&amp;E1106&amp;F1106</f>
        <v>AsiaResultsTotal CO2 e-Diesel (DAC)USD/ton</v>
      </c>
      <c r="C1106" s="157" t="str">
        <f t="shared" si="611"/>
        <v>Asia</v>
      </c>
      <c r="D1106" s="515" t="s">
        <v>838</v>
      </c>
      <c r="E1106" s="536" t="s">
        <v>1050</v>
      </c>
      <c r="F1106" s="128" t="s">
        <v>205</v>
      </c>
      <c r="G1106" s="490">
        <f>+G1120</f>
        <v>1355.38670134265</v>
      </c>
      <c r="H1106" s="490">
        <f t="shared" ref="H1106:M1106" si="620">+H1120</f>
        <v>934.9734711843588</v>
      </c>
      <c r="I1106" s="490">
        <f t="shared" si="620"/>
        <v>736.93202524935975</v>
      </c>
      <c r="J1106" s="490">
        <f t="shared" si="620"/>
        <v>593.96641616295858</v>
      </c>
      <c r="K1106" s="490">
        <f t="shared" si="620"/>
        <v>497.98353969990899</v>
      </c>
      <c r="L1106" s="490">
        <f t="shared" si="620"/>
        <v>414.16521512853438</v>
      </c>
      <c r="M1106" s="490">
        <f t="shared" si="620"/>
        <v>355.4270410953776</v>
      </c>
    </row>
    <row r="1107" spans="2:13" ht="15" hidden="1" outlineLevel="2" x14ac:dyDescent="0.25">
      <c r="B1107" s="157" t="str">
        <f>+C1107&amp;D1107&amp;E1107&amp;F1107</f>
        <v>AsiaResultsTotal CO2 e-Diesel (PS)USD/ton</v>
      </c>
      <c r="C1107" s="157" t="str">
        <f t="shared" si="611"/>
        <v>Asia</v>
      </c>
      <c r="D1107" s="515" t="s">
        <v>838</v>
      </c>
      <c r="E1107" s="536" t="s">
        <v>1051</v>
      </c>
      <c r="F1107" s="128" t="s">
        <v>205</v>
      </c>
      <c r="G1107" s="490">
        <f>+G1124</f>
        <v>682.11860050890516</v>
      </c>
      <c r="H1107" s="490">
        <f t="shared" ref="H1107:M1107" si="621">+H1124</f>
        <v>541.15518215913244</v>
      </c>
      <c r="I1107" s="490">
        <f t="shared" si="621"/>
        <v>428.8476110334388</v>
      </c>
      <c r="J1107" s="490">
        <f t="shared" si="621"/>
        <v>380.64534502546383</v>
      </c>
      <c r="K1107" s="490">
        <f t="shared" si="621"/>
        <v>337.79819045533867</v>
      </c>
      <c r="L1107" s="490">
        <f t="shared" si="621"/>
        <v>294.69222504142925</v>
      </c>
      <c r="M1107" s="490">
        <f t="shared" si="621"/>
        <v>254.72508424646</v>
      </c>
    </row>
    <row r="1108" spans="2:13" hidden="1" outlineLevel="2" x14ac:dyDescent="0.2">
      <c r="C1108" s="157"/>
      <c r="E1108" s="48"/>
      <c r="F1108" s="128"/>
      <c r="G1108" s="8"/>
      <c r="H1108" s="8"/>
      <c r="I1108" s="8"/>
      <c r="J1108" s="8"/>
      <c r="K1108" s="8"/>
      <c r="L1108" s="8"/>
      <c r="M1108" s="8"/>
    </row>
    <row r="1109" spans="2:13" hidden="1" outlineLevel="2" x14ac:dyDescent="0.2">
      <c r="B1109" t="str">
        <f>+C1109&amp;D1109&amp;E1109&amp;F1109</f>
        <v>AsiaResultsCapex per ton e DieselUSD/ Ton</v>
      </c>
      <c r="C1109" s="157" t="str">
        <f>+$B$1097</f>
        <v>Asia</v>
      </c>
      <c r="D1109" t="s">
        <v>838</v>
      </c>
      <c r="E1109" s="48" t="s">
        <v>1052</v>
      </c>
      <c r="F1109" s="128" t="s">
        <v>1053</v>
      </c>
      <c r="G1109" s="8">
        <f t="shared" ref="G1109:M1109" si="622">G1111/G1110</f>
        <v>583.00000000000011</v>
      </c>
      <c r="H1109" s="8">
        <f t="shared" si="622"/>
        <v>512.33333333333348</v>
      </c>
      <c r="I1109" s="8">
        <f t="shared" si="622"/>
        <v>441.66666666666674</v>
      </c>
      <c r="J1109" s="8">
        <f t="shared" si="622"/>
        <v>412.95833333333343</v>
      </c>
      <c r="K1109" s="8">
        <f t="shared" si="622"/>
        <v>384.25000000000011</v>
      </c>
      <c r="L1109" s="8">
        <f t="shared" si="622"/>
        <v>324.62500000000006</v>
      </c>
      <c r="M1109" s="8">
        <f t="shared" si="622"/>
        <v>265.00000000000006</v>
      </c>
    </row>
    <row r="1110" spans="2:13" hidden="1" outlineLevel="2" x14ac:dyDescent="0.2">
      <c r="B1110" t="str">
        <f>+C1110&amp;D1110&amp;E1110&amp;F1110</f>
        <v>GlobalPlant capexAnnualisation factor#</v>
      </c>
      <c r="C1110" s="157" t="s">
        <v>109</v>
      </c>
      <c r="D1110" t="s">
        <v>786</v>
      </c>
      <c r="E1110" t="s">
        <v>764</v>
      </c>
      <c r="F1110" s="450" t="s">
        <v>787</v>
      </c>
      <c r="G1110" s="532">
        <f>INDEX('Fuel Model -  Input'!$B$3:$N$373,MATCH($B1110,'Fuel Model -  Input'!$B$3:$B$373,0),MATCH(G$2,'Fuel Model -  Input'!$B$3:$N$3,0))</f>
        <v>11.32075471698113</v>
      </c>
      <c r="H1110" s="532">
        <f>INDEX('Fuel Model -  Input'!$B$3:$N$373,MATCH($B1110,'Fuel Model -  Input'!$B$3:$B$373,0),MATCH(H$2,'Fuel Model -  Input'!$B$3:$N$3,0))</f>
        <v>11.32075471698113</v>
      </c>
      <c r="I1110" s="532">
        <f>INDEX('Fuel Model -  Input'!$B$3:$N$373,MATCH($B1110,'Fuel Model -  Input'!$B$3:$B$373,0),MATCH(I$2,'Fuel Model -  Input'!$B$3:$N$3,0))</f>
        <v>11.32075471698113</v>
      </c>
      <c r="J1110" s="532">
        <f>INDEX('Fuel Model -  Input'!$B$3:$N$373,MATCH($B1110,'Fuel Model -  Input'!$B$3:$B$373,0),MATCH(J$2,'Fuel Model -  Input'!$B$3:$N$3,0))</f>
        <v>11.32075471698113</v>
      </c>
      <c r="K1110" s="532">
        <f>INDEX('Fuel Model -  Input'!$B$3:$N$373,MATCH($B1110,'Fuel Model -  Input'!$B$3:$B$373,0),MATCH(K$2,'Fuel Model -  Input'!$B$3:$N$3,0))</f>
        <v>11.32075471698113</v>
      </c>
      <c r="L1110" s="532">
        <f>INDEX('Fuel Model -  Input'!$B$3:$N$373,MATCH($B1110,'Fuel Model -  Input'!$B$3:$B$373,0),MATCH(L$2,'Fuel Model -  Input'!$B$3:$N$3,0))</f>
        <v>11.32075471698113</v>
      </c>
      <c r="M1110" s="532">
        <f>INDEX('Fuel Model -  Input'!$B$3:$N$373,MATCH($B1110,'Fuel Model -  Input'!$B$3:$B$373,0),MATCH(M$2,'Fuel Model -  Input'!$B$3:$N$3,0))</f>
        <v>11.32075471698113</v>
      </c>
    </row>
    <row r="1111" spans="2:13" hidden="1" outlineLevel="2" x14ac:dyDescent="0.2">
      <c r="B1111" t="str">
        <f>+C1111&amp;D1111&amp;E1111&amp;F1111</f>
        <v>GlobalCapexE Diesel plant capex unit costCapex/ ton e diesel</v>
      </c>
      <c r="C1111" s="157" t="s">
        <v>109</v>
      </c>
      <c r="D1111" t="s">
        <v>218</v>
      </c>
      <c r="E1111" t="s">
        <v>1054</v>
      </c>
      <c r="F1111" s="128" t="s">
        <v>1055</v>
      </c>
      <c r="G1111" s="532">
        <f>INDEX('Fuel Model -  Input'!$B$3:$N$373,MATCH($B1111,'Fuel Model -  Input'!$B$3:$B$373,0),MATCH(G$2,'Fuel Model -  Input'!$B$3:$N$3,0))</f>
        <v>6600</v>
      </c>
      <c r="H1111" s="532">
        <f>INDEX('Fuel Model -  Input'!$B$3:$N$373,MATCH($B1111,'Fuel Model -  Input'!$B$3:$B$373,0),MATCH(H$2,'Fuel Model -  Input'!$B$3:$N$3,0))</f>
        <v>5800</v>
      </c>
      <c r="I1111" s="532">
        <f>INDEX('Fuel Model -  Input'!$B$3:$N$373,MATCH($B1111,'Fuel Model -  Input'!$B$3:$B$373,0),MATCH(I$2,'Fuel Model -  Input'!$B$3:$N$3,0))</f>
        <v>5000</v>
      </c>
      <c r="J1111" s="532">
        <f>INDEX('Fuel Model -  Input'!$B$3:$N$373,MATCH($B1111,'Fuel Model -  Input'!$B$3:$B$373,0),MATCH(J$2,'Fuel Model -  Input'!$B$3:$N$3,0))</f>
        <v>4675</v>
      </c>
      <c r="K1111" s="532">
        <f>INDEX('Fuel Model -  Input'!$B$3:$N$373,MATCH($B1111,'Fuel Model -  Input'!$B$3:$B$373,0),MATCH(K$2,'Fuel Model -  Input'!$B$3:$N$3,0))</f>
        <v>4350</v>
      </c>
      <c r="L1111" s="532">
        <f>INDEX('Fuel Model -  Input'!$B$3:$N$373,MATCH($B1111,'Fuel Model -  Input'!$B$3:$B$373,0),MATCH(L$2,'Fuel Model -  Input'!$B$3:$N$3,0))</f>
        <v>3675</v>
      </c>
      <c r="M1111" s="532">
        <f>INDEX('Fuel Model -  Input'!$B$3:$N$373,MATCH($B1111,'Fuel Model -  Input'!$B$3:$B$373,0),MATCH(M$2,'Fuel Model -  Input'!$B$3:$N$3,0))</f>
        <v>3000</v>
      </c>
    </row>
    <row r="1112" spans="2:13" hidden="1" outlineLevel="2" x14ac:dyDescent="0.2">
      <c r="C1112" s="157"/>
      <c r="E1112" s="48"/>
      <c r="F1112" s="128"/>
      <c r="G1112" s="8"/>
      <c r="H1112" s="8"/>
      <c r="I1112" s="8"/>
      <c r="J1112" s="8"/>
      <c r="K1112" s="8"/>
      <c r="L1112" s="8"/>
      <c r="M1112" s="8"/>
    </row>
    <row r="1113" spans="2:13" hidden="1" outlineLevel="2" x14ac:dyDescent="0.2">
      <c r="B1113" t="str">
        <f>+C1113&amp;D1113&amp;E1113&amp;F1113</f>
        <v>AsiaOpexOpexUSD/ton e Diesel</v>
      </c>
      <c r="C1113" s="157" t="str">
        <f>+$B$1097</f>
        <v>Asia</v>
      </c>
      <c r="D1113" t="s">
        <v>219</v>
      </c>
      <c r="E1113" s="48" t="s">
        <v>219</v>
      </c>
      <c r="F1113" s="128" t="s">
        <v>1056</v>
      </c>
      <c r="G1113" s="8">
        <f t="shared" ref="G1113:M1113" si="623">G1111*G1114</f>
        <v>660</v>
      </c>
      <c r="H1113" s="8">
        <f t="shared" si="623"/>
        <v>464</v>
      </c>
      <c r="I1113" s="8">
        <f t="shared" si="623"/>
        <v>300</v>
      </c>
      <c r="J1113" s="8">
        <f t="shared" si="623"/>
        <v>280.5</v>
      </c>
      <c r="K1113" s="8">
        <f t="shared" si="623"/>
        <v>261</v>
      </c>
      <c r="L1113" s="8">
        <f t="shared" si="623"/>
        <v>183.75</v>
      </c>
      <c r="M1113" s="8">
        <f t="shared" si="623"/>
        <v>120</v>
      </c>
    </row>
    <row r="1114" spans="2:13" hidden="1" outlineLevel="2" x14ac:dyDescent="0.2">
      <c r="B1114" s="78" t="str">
        <f>+C1114&amp;D1114&amp;E1114&amp;F1114</f>
        <v>GlobalOpexOpex - e Diesel plantPercent of capex</v>
      </c>
      <c r="C1114" s="157" t="s">
        <v>109</v>
      </c>
      <c r="D1114" t="s">
        <v>219</v>
      </c>
      <c r="E1114" t="s">
        <v>1057</v>
      </c>
      <c r="F1114" s="128" t="s">
        <v>1058</v>
      </c>
      <c r="G1114" s="531">
        <f>INDEX('Fuel Model -  Input'!$B$3:$N$373,MATCH($B1114,'Fuel Model -  Input'!$B$3:$B$373,0),MATCH(G$2,'Fuel Model -  Input'!$B$3:$N$3,0))</f>
        <v>0.1</v>
      </c>
      <c r="H1114" s="531">
        <f>INDEX('Fuel Model -  Input'!$B$3:$N$373,MATCH($B1114,'Fuel Model -  Input'!$B$3:$B$373,0),MATCH(H$2,'Fuel Model -  Input'!$B$3:$N$3,0))</f>
        <v>0.08</v>
      </c>
      <c r="I1114" s="531">
        <f>INDEX('Fuel Model -  Input'!$B$3:$N$373,MATCH($B1114,'Fuel Model -  Input'!$B$3:$B$373,0),MATCH(I$2,'Fuel Model -  Input'!$B$3:$N$3,0))</f>
        <v>0.06</v>
      </c>
      <c r="J1114" s="531">
        <f>INDEX('Fuel Model -  Input'!$B$3:$N$373,MATCH($B1114,'Fuel Model -  Input'!$B$3:$B$373,0),MATCH(J$2,'Fuel Model -  Input'!$B$3:$N$3,0))</f>
        <v>0.06</v>
      </c>
      <c r="K1114" s="531">
        <f>INDEX('Fuel Model -  Input'!$B$3:$N$373,MATCH($B1114,'Fuel Model -  Input'!$B$3:$B$373,0),MATCH(K$2,'Fuel Model -  Input'!$B$3:$N$3,0))</f>
        <v>0.06</v>
      </c>
      <c r="L1114" s="531">
        <f>INDEX('Fuel Model -  Input'!$B$3:$N$373,MATCH($B1114,'Fuel Model -  Input'!$B$3:$B$373,0),MATCH(L$2,'Fuel Model -  Input'!$B$3:$N$3,0))</f>
        <v>0.05</v>
      </c>
      <c r="M1114" s="531">
        <f>INDEX('Fuel Model -  Input'!$B$3:$N$373,MATCH($B1114,'Fuel Model -  Input'!$B$3:$B$373,0),MATCH(M$2,'Fuel Model -  Input'!$B$3:$N$3,0))</f>
        <v>0.04</v>
      </c>
    </row>
    <row r="1115" spans="2:13" hidden="1" outlineLevel="2" x14ac:dyDescent="0.2">
      <c r="C1115" s="157"/>
      <c r="E1115" s="48"/>
      <c r="F1115" s="128"/>
      <c r="G1115" s="8"/>
      <c r="H1115" s="8"/>
      <c r="I1115" s="8"/>
      <c r="J1115" s="8"/>
      <c r="K1115" s="8"/>
      <c r="L1115" s="8"/>
      <c r="M1115" s="8"/>
    </row>
    <row r="1116" spans="2:13" hidden="1" outlineLevel="2" x14ac:dyDescent="0.2">
      <c r="B1116" s="78" t="str">
        <f>+C1116&amp;D1116&amp;E1116&amp;F1116</f>
        <v>AsiaGeneralElectricity costUSD/ton e Diesel</v>
      </c>
      <c r="C1116" s="157" t="str">
        <f>+$B$1097</f>
        <v>Asia</v>
      </c>
      <c r="D1116" t="s">
        <v>173</v>
      </c>
      <c r="E1116" s="48" t="s">
        <v>94</v>
      </c>
      <c r="F1116" s="128" t="s">
        <v>1056</v>
      </c>
      <c r="G1116" s="260">
        <f t="shared" ref="G1116:M1116" si="624">G1117*G1118</f>
        <v>35.778139768198145</v>
      </c>
      <c r="H1116" s="260">
        <f t="shared" si="624"/>
        <v>21.411285353545935</v>
      </c>
      <c r="I1116" s="260">
        <f t="shared" si="624"/>
        <v>15.887856037362988</v>
      </c>
      <c r="J1116" s="260">
        <f t="shared" si="624"/>
        <v>12.234189105935501</v>
      </c>
      <c r="K1116" s="260">
        <f t="shared" si="624"/>
        <v>10.13176598699167</v>
      </c>
      <c r="L1116" s="260">
        <f t="shared" si="624"/>
        <v>8.2462456119407168</v>
      </c>
      <c r="M1116" s="260">
        <f t="shared" si="624"/>
        <v>7.1241136041376674</v>
      </c>
    </row>
    <row r="1117" spans="2:13" hidden="1" outlineLevel="2" x14ac:dyDescent="0.2">
      <c r="B1117" s="78" t="str">
        <f>+C1117&amp;D1117&amp;E1117&amp;F1117</f>
        <v>AsiaFeedstockElectricityUSD/MWh</v>
      </c>
      <c r="C1117" s="157" t="str">
        <f>+$B$1097</f>
        <v>Asia</v>
      </c>
      <c r="D1117" t="s">
        <v>777</v>
      </c>
      <c r="E1117" s="48" t="s">
        <v>54</v>
      </c>
      <c r="F1117" s="128" t="s">
        <v>196</v>
      </c>
      <c r="G1117" s="532">
        <f>INDEX('Fuel Model -  Input'!$B$3:$N$373,MATCH($B1117,'Fuel Model -  Input'!$B$3:$B$373,0),MATCH(G$2,'Fuel Model -  Input'!$B$3:$N$3,0))</f>
        <v>82.061686148726054</v>
      </c>
      <c r="H1117" s="532">
        <f>INDEX('Fuel Model -  Input'!$B$3:$N$373,MATCH($B1117,'Fuel Model -  Input'!$B$3:$B$373,0),MATCH(H$2,'Fuel Model -  Input'!$B$3:$N$3,0))</f>
        <v>53.528213383864831</v>
      </c>
      <c r="I1117" s="532">
        <f>INDEX('Fuel Model -  Input'!$B$3:$N$373,MATCH($B1117,'Fuel Model -  Input'!$B$3:$B$373,0),MATCH(I$2,'Fuel Model -  Input'!$B$3:$N$3,0))</f>
        <v>43.29349363565693</v>
      </c>
      <c r="J1117" s="532">
        <f>INDEX('Fuel Model -  Input'!$B$3:$N$373,MATCH($B1117,'Fuel Model -  Input'!$B$3:$B$373,0),MATCH(J$2,'Fuel Model -  Input'!$B$3:$N$3,0))</f>
        <v>36.337065788929628</v>
      </c>
      <c r="K1117" s="532">
        <f>INDEX('Fuel Model -  Input'!$B$3:$N$373,MATCH($B1117,'Fuel Model -  Input'!$B$3:$B$373,0),MATCH(K$2,'Fuel Model -  Input'!$B$3:$N$3,0))</f>
        <v>32.800249332911001</v>
      </c>
      <c r="L1117" s="532">
        <f>INDEX('Fuel Model -  Input'!$B$3:$N$373,MATCH($B1117,'Fuel Model -  Input'!$B$3:$B$373,0),MATCH(L$2,'Fuel Model -  Input'!$B$3:$N$3,0))</f>
        <v>29.0981641388437</v>
      </c>
      <c r="M1117" s="532">
        <f>INDEX('Fuel Model -  Input'!$B$3:$N$373,MATCH($B1117,'Fuel Model -  Input'!$B$3:$B$373,0),MATCH(M$2,'Fuel Model -  Input'!$B$3:$N$3,0))</f>
        <v>27.400436938991028</v>
      </c>
    </row>
    <row r="1118" spans="2:13" hidden="1" outlineLevel="2" x14ac:dyDescent="0.2">
      <c r="B1118" s="78" t="str">
        <f>+C1118&amp;D1118&amp;E1118&amp;F1118</f>
        <v>GlobalGeneralElectricity demandmWh/ton e Diesel</v>
      </c>
      <c r="C1118" s="157" t="s">
        <v>109</v>
      </c>
      <c r="D1118" t="s">
        <v>173</v>
      </c>
      <c r="E1118" s="48" t="s">
        <v>963</v>
      </c>
      <c r="F1118" s="128" t="s">
        <v>1059</v>
      </c>
      <c r="G1118" s="521">
        <f>INDEX('Fuel Model -  Input'!$B$3:$N$373,MATCH($B1118,'Fuel Model -  Input'!$B$3:$B$373,0),MATCH(G$2,'Fuel Model -  Input'!$B$3:$N$3,0))</f>
        <v>0.43599079481933817</v>
      </c>
      <c r="H1118" s="521">
        <f>INDEX('Fuel Model -  Input'!$B$3:$N$373,MATCH($B1118,'Fuel Model -  Input'!$B$3:$B$373,0),MATCH(H$2,'Fuel Model -  Input'!$B$3:$N$3,0))</f>
        <v>0.4</v>
      </c>
      <c r="I1118" s="521">
        <f>INDEX('Fuel Model -  Input'!$B$3:$N$373,MATCH($B1118,'Fuel Model -  Input'!$B$3:$B$373,0),MATCH(I$2,'Fuel Model -  Input'!$B$3:$N$3,0))</f>
        <v>0.36698022504419925</v>
      </c>
      <c r="J1118" s="521">
        <f>INDEX('Fuel Model -  Input'!$B$3:$N$373,MATCH($B1118,'Fuel Model -  Input'!$B$3:$B$373,0),MATCH(J$2,'Fuel Model -  Input'!$B$3:$N$3,0))</f>
        <v>0.33668621393372777</v>
      </c>
      <c r="K1118" s="521">
        <f>INDEX('Fuel Model -  Input'!$B$3:$N$373,MATCH($B1118,'Fuel Model -  Input'!$B$3:$B$373,0),MATCH(K$2,'Fuel Model -  Input'!$B$3:$N$3,0))</f>
        <v>0.30889295639669706</v>
      </c>
      <c r="L1118" s="521">
        <f>INDEX('Fuel Model -  Input'!$B$3:$N$373,MATCH($B1118,'Fuel Model -  Input'!$B$3:$B$373,0),MATCH(L$2,'Fuel Model -  Input'!$B$3:$N$3,0))</f>
        <v>0.28339401663256975</v>
      </c>
      <c r="M1118" s="521">
        <f>INDEX('Fuel Model -  Input'!$B$3:$N$373,MATCH($B1118,'Fuel Model -  Input'!$B$3:$B$373,0),MATCH(M$2,'Fuel Model -  Input'!$B$3:$N$3,0))</f>
        <v>0.26</v>
      </c>
    </row>
    <row r="1119" spans="2:13" hidden="1" outlineLevel="2" x14ac:dyDescent="0.2">
      <c r="C1119" s="157"/>
      <c r="E1119" s="48"/>
      <c r="F1119" s="128"/>
      <c r="G1119" s="524"/>
      <c r="H1119" s="524"/>
      <c r="I1119" s="524"/>
      <c r="J1119" s="524"/>
      <c r="K1119" s="524"/>
      <c r="L1119" s="524"/>
      <c r="M1119" s="524"/>
    </row>
    <row r="1120" spans="2:13" hidden="1" outlineLevel="2" x14ac:dyDescent="0.2">
      <c r="B1120" s="78" t="str">
        <f>+C1120&amp;D1120&amp;E1120&amp;F1120</f>
        <v>AsiaFeedstockFeedstock CO2USD/ton e Diesel</v>
      </c>
      <c r="C1120" s="157" t="str">
        <f>+$B$1097</f>
        <v>Asia</v>
      </c>
      <c r="D1120" t="s">
        <v>777</v>
      </c>
      <c r="E1120" s="48" t="s">
        <v>1007</v>
      </c>
      <c r="F1120" s="128" t="s">
        <v>1056</v>
      </c>
      <c r="G1120" s="8">
        <f t="shared" ref="G1120:M1120" si="625">G1121*G1122</f>
        <v>1355.38670134265</v>
      </c>
      <c r="H1120" s="8">
        <f t="shared" si="625"/>
        <v>934.9734711843588</v>
      </c>
      <c r="I1120" s="8">
        <f t="shared" si="625"/>
        <v>736.93202524935975</v>
      </c>
      <c r="J1120" s="8">
        <f t="shared" si="625"/>
        <v>593.96641616295858</v>
      </c>
      <c r="K1120" s="8">
        <f t="shared" si="625"/>
        <v>497.98353969990899</v>
      </c>
      <c r="L1120" s="8">
        <f t="shared" si="625"/>
        <v>414.16521512853438</v>
      </c>
      <c r="M1120" s="8">
        <f t="shared" si="625"/>
        <v>355.4270410953776</v>
      </c>
    </row>
    <row r="1121" spans="2:13" hidden="1" outlineLevel="2" x14ac:dyDescent="0.2">
      <c r="B1121" s="78" t="str">
        <f>+C1121&amp;D1121&amp;E1121&amp;F1121</f>
        <v>GlobalFeedstockConversion CO2 : e Diesel (actual)kg CO2/kg e Diesel</v>
      </c>
      <c r="C1121" s="157" t="s">
        <v>109</v>
      </c>
      <c r="D1121" t="s">
        <v>777</v>
      </c>
      <c r="E1121" t="s">
        <v>1060</v>
      </c>
      <c r="F1121" s="128" t="s">
        <v>1061</v>
      </c>
      <c r="G1121" s="521">
        <f>INDEX('Fuel Model -  Input'!$B$3:$N$373,MATCH($B1121,'Fuel Model -  Input'!$B$3:$B$373,0),MATCH(G$2,'Fuel Model -  Input'!$B$3:$N$3,0))</f>
        <v>3.48</v>
      </c>
      <c r="H1121" s="521">
        <f>INDEX('Fuel Model -  Input'!$B$3:$N$373,MATCH($B1121,'Fuel Model -  Input'!$B$3:$B$373,0),MATCH(H$2,'Fuel Model -  Input'!$B$3:$N$3,0))</f>
        <v>3.48</v>
      </c>
      <c r="I1121" s="521">
        <f>INDEX('Fuel Model -  Input'!$B$3:$N$373,MATCH($B1121,'Fuel Model -  Input'!$B$3:$B$373,0),MATCH(I$2,'Fuel Model -  Input'!$B$3:$N$3,0))</f>
        <v>3.48</v>
      </c>
      <c r="J1121" s="521">
        <f>INDEX('Fuel Model -  Input'!$B$3:$N$373,MATCH($B1121,'Fuel Model -  Input'!$B$3:$B$373,0),MATCH(J$2,'Fuel Model -  Input'!$B$3:$N$3,0))</f>
        <v>3.48</v>
      </c>
      <c r="K1121" s="521">
        <f>INDEX('Fuel Model -  Input'!$B$3:$N$373,MATCH($B1121,'Fuel Model -  Input'!$B$3:$B$373,0),MATCH(K$2,'Fuel Model -  Input'!$B$3:$N$3,0))</f>
        <v>3.48</v>
      </c>
      <c r="L1121" s="521">
        <f>INDEX('Fuel Model -  Input'!$B$3:$N$373,MATCH($B1121,'Fuel Model -  Input'!$B$3:$B$373,0),MATCH(L$2,'Fuel Model -  Input'!$B$3:$N$3,0))</f>
        <v>3.48</v>
      </c>
      <c r="M1121" s="521">
        <f>INDEX('Fuel Model -  Input'!$B$3:$N$373,MATCH($B1121,'Fuel Model -  Input'!$B$3:$B$373,0),MATCH(M$2,'Fuel Model -  Input'!$B$3:$N$3,0))</f>
        <v>3.48</v>
      </c>
    </row>
    <row r="1122" spans="2:13" hidden="1" outlineLevel="2" x14ac:dyDescent="0.2">
      <c r="B1122" s="78" t="str">
        <f>+C1122&amp;D1122&amp;E1122&amp;F1122</f>
        <v>AsiaFeedstockCost of CO2 DACUSD/ton</v>
      </c>
      <c r="C1122" s="157" t="str">
        <f>+$B$1097</f>
        <v>Asia</v>
      </c>
      <c r="D1122" t="s">
        <v>777</v>
      </c>
      <c r="E1122" t="s">
        <v>1010</v>
      </c>
      <c r="F1122" s="128" t="s">
        <v>205</v>
      </c>
      <c r="G1122" s="532">
        <f t="shared" ref="G1122:M1122" si="626">INDEX(G$1564:G$1568,MATCH($C1122,$C$1564:$C$1568,0))</f>
        <v>389.47893716742817</v>
      </c>
      <c r="H1122" s="532">
        <f t="shared" si="626"/>
        <v>268.67053769665483</v>
      </c>
      <c r="I1122" s="532">
        <f t="shared" si="626"/>
        <v>211.76207622108038</v>
      </c>
      <c r="J1122" s="532">
        <f t="shared" si="626"/>
        <v>170.68000464452834</v>
      </c>
      <c r="K1122" s="532">
        <f t="shared" si="626"/>
        <v>143.09871830457155</v>
      </c>
      <c r="L1122" s="532">
        <f t="shared" si="626"/>
        <v>119.01299285302713</v>
      </c>
      <c r="M1122" s="532">
        <f t="shared" si="626"/>
        <v>102.1342072113154</v>
      </c>
    </row>
    <row r="1123" spans="2:13" hidden="1" outlineLevel="2" x14ac:dyDescent="0.2">
      <c r="C1123" s="157"/>
      <c r="F1123" s="128"/>
      <c r="G1123" s="520"/>
      <c r="H1123" s="520"/>
      <c r="I1123" s="520"/>
      <c r="J1123" s="520"/>
      <c r="K1123" s="520"/>
      <c r="L1123" s="520"/>
      <c r="M1123" s="520"/>
    </row>
    <row r="1124" spans="2:13" hidden="1" outlineLevel="2" x14ac:dyDescent="0.2">
      <c r="B1124" s="78" t="str">
        <f>+C1124&amp;D1124&amp;E1124&amp;F1124</f>
        <v>FeedstockFeedstock CO2USD/ton e Diesel</v>
      </c>
      <c r="C1124" s="157"/>
      <c r="D1124" t="s">
        <v>777</v>
      </c>
      <c r="E1124" s="48" t="s">
        <v>1007</v>
      </c>
      <c r="F1124" s="128" t="s">
        <v>1056</v>
      </c>
      <c r="G1124" s="8">
        <f t="shared" ref="G1124:M1124" si="627">G1125*G1126</f>
        <v>682.11860050890516</v>
      </c>
      <c r="H1124" s="8">
        <f t="shared" si="627"/>
        <v>541.15518215913244</v>
      </c>
      <c r="I1124" s="8">
        <f t="shared" si="627"/>
        <v>428.8476110334388</v>
      </c>
      <c r="J1124" s="8">
        <f t="shared" si="627"/>
        <v>380.64534502546383</v>
      </c>
      <c r="K1124" s="8">
        <f t="shared" si="627"/>
        <v>337.79819045533867</v>
      </c>
      <c r="L1124" s="8">
        <f t="shared" si="627"/>
        <v>294.69222504142925</v>
      </c>
      <c r="M1124" s="8">
        <f t="shared" si="627"/>
        <v>254.72508424646</v>
      </c>
    </row>
    <row r="1125" spans="2:13" hidden="1" outlineLevel="2" x14ac:dyDescent="0.2">
      <c r="B1125" s="78" t="str">
        <f>+C1125&amp;D1125&amp;E1125&amp;F1125</f>
        <v>GlobalFeedstockConversion CO2 : e Diesel (actual)kg CO2/kg e Diesel</v>
      </c>
      <c r="C1125" s="157" t="s">
        <v>109</v>
      </c>
      <c r="D1125" t="s">
        <v>777</v>
      </c>
      <c r="E1125" t="s">
        <v>1060</v>
      </c>
      <c r="F1125" s="128" t="s">
        <v>1061</v>
      </c>
      <c r="G1125" s="521">
        <f>INDEX('Fuel Model -  Input'!$B$3:$N$373,MATCH($B1125,'Fuel Model -  Input'!$B$3:$B$373,0),MATCH(G$2,'Fuel Model -  Input'!$B$3:$N$3,0))</f>
        <v>3.48</v>
      </c>
      <c r="H1125" s="521">
        <f>INDEX('Fuel Model -  Input'!$B$3:$N$373,MATCH($B1125,'Fuel Model -  Input'!$B$3:$B$373,0),MATCH(H$2,'Fuel Model -  Input'!$B$3:$N$3,0))</f>
        <v>3.48</v>
      </c>
      <c r="I1125" s="521">
        <f>INDEX('Fuel Model -  Input'!$B$3:$N$373,MATCH($B1125,'Fuel Model -  Input'!$B$3:$B$373,0),MATCH(I$2,'Fuel Model -  Input'!$B$3:$N$3,0))</f>
        <v>3.48</v>
      </c>
      <c r="J1125" s="521">
        <f>INDEX('Fuel Model -  Input'!$B$3:$N$373,MATCH($B1125,'Fuel Model -  Input'!$B$3:$B$373,0),MATCH(J$2,'Fuel Model -  Input'!$B$3:$N$3,0))</f>
        <v>3.48</v>
      </c>
      <c r="K1125" s="521">
        <f>INDEX('Fuel Model -  Input'!$B$3:$N$373,MATCH($B1125,'Fuel Model -  Input'!$B$3:$B$373,0),MATCH(K$2,'Fuel Model -  Input'!$B$3:$N$3,0))</f>
        <v>3.48</v>
      </c>
      <c r="L1125" s="521">
        <f>INDEX('Fuel Model -  Input'!$B$3:$N$373,MATCH($B1125,'Fuel Model -  Input'!$B$3:$B$373,0),MATCH(L$2,'Fuel Model -  Input'!$B$3:$N$3,0))</f>
        <v>3.48</v>
      </c>
      <c r="M1125" s="521">
        <f>INDEX('Fuel Model -  Input'!$B$3:$N$373,MATCH($B1125,'Fuel Model -  Input'!$B$3:$B$373,0),MATCH(M$2,'Fuel Model -  Input'!$B$3:$N$3,0))</f>
        <v>3.48</v>
      </c>
    </row>
    <row r="1126" spans="2:13" hidden="1" outlineLevel="2" x14ac:dyDescent="0.2">
      <c r="B1126" s="78" t="str">
        <f>+C1126&amp;D1126&amp;E1126&amp;F1126</f>
        <v>AsiaFeedstockCost of CO2 PSUSD/ton</v>
      </c>
      <c r="C1126" s="157" t="str">
        <f>+$B$1097</f>
        <v>Asia</v>
      </c>
      <c r="D1126" t="s">
        <v>777</v>
      </c>
      <c r="E1126" t="s">
        <v>1011</v>
      </c>
      <c r="F1126" s="128" t="s">
        <v>205</v>
      </c>
      <c r="G1126" s="532">
        <f t="shared" ref="G1126:M1126" si="628">INDEX(G$1538:G$1542,MATCH($B1126,$B$1538:$B$1542,0))</f>
        <v>196.0110921002601</v>
      </c>
      <c r="H1126" s="532">
        <f t="shared" si="628"/>
        <v>155.50436268940587</v>
      </c>
      <c r="I1126" s="532">
        <f t="shared" si="628"/>
        <v>123.23207213604563</v>
      </c>
      <c r="J1126" s="532">
        <f t="shared" si="628"/>
        <v>109.38084627168502</v>
      </c>
      <c r="K1126" s="532">
        <f t="shared" si="628"/>
        <v>97.06844553314329</v>
      </c>
      <c r="L1126" s="532">
        <f t="shared" si="628"/>
        <v>84.68167386247967</v>
      </c>
      <c r="M1126" s="532">
        <f t="shared" si="628"/>
        <v>73.196863289212644</v>
      </c>
    </row>
    <row r="1127" spans="2:13" hidden="1" outlineLevel="2" x14ac:dyDescent="0.2">
      <c r="C1127" s="157"/>
      <c r="F1127" s="128"/>
      <c r="G1127" s="520"/>
      <c r="H1127" s="520"/>
      <c r="I1127" s="520"/>
      <c r="J1127" s="520"/>
      <c r="K1127" s="520"/>
      <c r="L1127" s="520"/>
      <c r="M1127" s="520"/>
    </row>
    <row r="1128" spans="2:13" hidden="1" outlineLevel="2" x14ac:dyDescent="0.2">
      <c r="B1128" s="78" t="str">
        <f>+C1128&amp;D1128&amp;E1128&amp;F1128</f>
        <v>AsiaFeedstockFeedstock H2USD/ton e Diesel</v>
      </c>
      <c r="C1128" s="157" t="str">
        <f>+$B$1097</f>
        <v>Asia</v>
      </c>
      <c r="D1128" t="s">
        <v>777</v>
      </c>
      <c r="E1128" s="48" t="s">
        <v>970</v>
      </c>
      <c r="F1128" s="128" t="s">
        <v>1056</v>
      </c>
      <c r="G1128" s="8">
        <f t="shared" ref="G1128:M1128" si="629">G1131*G1132</f>
        <v>2940.1747970408883</v>
      </c>
      <c r="H1128" s="8">
        <f t="shared" si="629"/>
        <v>2065.760273930418</v>
      </c>
      <c r="I1128" s="8">
        <f t="shared" si="629"/>
        <v>1680.9204669820315</v>
      </c>
      <c r="J1128" s="8">
        <f t="shared" si="629"/>
        <v>1462.0666934180299</v>
      </c>
      <c r="K1128" s="8">
        <f t="shared" si="629"/>
        <v>1254.3065754116521</v>
      </c>
      <c r="L1128" s="8">
        <f t="shared" si="629"/>
        <v>999.96573197028249</v>
      </c>
      <c r="M1128" s="8">
        <f t="shared" si="629"/>
        <v>793.03620672439035</v>
      </c>
    </row>
    <row r="1129" spans="2:13" hidden="1" outlineLevel="2" x14ac:dyDescent="0.2">
      <c r="B1129" t="str">
        <f>+C1129&amp;D1129&amp;E1129&amp;F1129</f>
        <v>AsiaResultsShare of RNE e-Hydrogen (compressed)%</v>
      </c>
      <c r="C1129" t="str">
        <f>+$B$1097</f>
        <v>Asia</v>
      </c>
      <c r="D1129" t="s">
        <v>838</v>
      </c>
      <c r="E1129" s="48" t="s">
        <v>848</v>
      </c>
      <c r="F1129" s="128" t="s">
        <v>178</v>
      </c>
      <c r="G1129" s="537">
        <f t="shared" ref="G1129:M1129" si="630">+INDEX($A:$M,MATCH($B1129,$B:$B,0),MATCH(G$2,$2:$2,0))</f>
        <v>0.71171470575112383</v>
      </c>
      <c r="H1129" s="537">
        <f t="shared" si="630"/>
        <v>0.65764942468259024</v>
      </c>
      <c r="I1129" s="537">
        <f t="shared" si="630"/>
        <v>0.64500466105666143</v>
      </c>
      <c r="J1129" s="537">
        <f t="shared" si="630"/>
        <v>0.6001588645512016</v>
      </c>
      <c r="K1129" s="537">
        <f t="shared" si="630"/>
        <v>0.60337213548423452</v>
      </c>
      <c r="L1129" s="537">
        <f t="shared" si="630"/>
        <v>0.62978181131314648</v>
      </c>
      <c r="M1129" s="537">
        <f t="shared" si="630"/>
        <v>0.70883732578080483</v>
      </c>
    </row>
    <row r="1130" spans="2:13" hidden="1" outlineLevel="2" x14ac:dyDescent="0.2">
      <c r="B1130" t="str">
        <f>+C1130&amp;D1130&amp;E1130&amp;F1130</f>
        <v>AsiaResultsShare of Capex e-Hydrogen (compressed)%</v>
      </c>
      <c r="C1130" t="str">
        <f>+$B$1097</f>
        <v>Asia</v>
      </c>
      <c r="D1130" t="s">
        <v>838</v>
      </c>
      <c r="E1130" s="48" t="s">
        <v>850</v>
      </c>
      <c r="F1130" s="128" t="s">
        <v>178</v>
      </c>
      <c r="G1130" s="537">
        <f t="shared" ref="G1130:M1130" si="631">+INDEX(G$4:G$581,MATCH($B1130,$B$4:$B$581,0))</f>
        <v>0.13340872772517207</v>
      </c>
      <c r="H1130" s="537">
        <f t="shared" si="631"/>
        <v>0.15913088980078732</v>
      </c>
      <c r="I1130" s="537">
        <f t="shared" si="631"/>
        <v>0.17114118442928317</v>
      </c>
      <c r="J1130" s="537">
        <f t="shared" si="631"/>
        <v>0.20721797795257735</v>
      </c>
      <c r="K1130" s="537">
        <f t="shared" si="631"/>
        <v>0.22225612893609092</v>
      </c>
      <c r="L1130" s="537">
        <f t="shared" si="631"/>
        <v>0.22267131994730532</v>
      </c>
      <c r="M1130" s="537">
        <f t="shared" si="631"/>
        <v>0.18393425379416975</v>
      </c>
    </row>
    <row r="1131" spans="2:13" hidden="1" outlineLevel="2" x14ac:dyDescent="0.2">
      <c r="B1131" s="78" t="str">
        <f>+C1131&amp;D1131&amp;E1131&amp;F1131</f>
        <v>GlobalFeedstockConversion H2 : e Diesel (actual)tons H2/ton e Diesel</v>
      </c>
      <c r="C1131" s="157" t="s">
        <v>109</v>
      </c>
      <c r="D1131" t="s">
        <v>777</v>
      </c>
      <c r="E1131" t="s">
        <v>1062</v>
      </c>
      <c r="F1131" s="128" t="s">
        <v>1063</v>
      </c>
      <c r="G1131" s="521">
        <f>+INDEX('Fuel Model -  Input'!$B$3:$N$373,MATCH($B1131,'Fuel Model -  Input'!$B$3:$B$373,0),MATCH(G$2,'Fuel Model -  Input'!$B$3:$N$3,0))</f>
        <v>0.47</v>
      </c>
      <c r="H1131" s="521">
        <f>+INDEX('Fuel Model -  Input'!$B$3:$N$373,MATCH($B1131,'Fuel Model -  Input'!$B$3:$B$373,0),MATCH(H$2,'Fuel Model -  Input'!$B$3:$N$3,0))</f>
        <v>0.47</v>
      </c>
      <c r="I1131" s="521">
        <f>+INDEX('Fuel Model -  Input'!$B$3:$N$373,MATCH($B1131,'Fuel Model -  Input'!$B$3:$B$373,0),MATCH(I$2,'Fuel Model -  Input'!$B$3:$N$3,0))</f>
        <v>0.47</v>
      </c>
      <c r="J1131" s="521">
        <f>+INDEX('Fuel Model -  Input'!$B$3:$N$373,MATCH($B1131,'Fuel Model -  Input'!$B$3:$B$373,0),MATCH(J$2,'Fuel Model -  Input'!$B$3:$N$3,0))</f>
        <v>0.47</v>
      </c>
      <c r="K1131" s="521">
        <f>+INDEX('Fuel Model -  Input'!$B$3:$N$373,MATCH($B1131,'Fuel Model -  Input'!$B$3:$B$373,0),MATCH(K$2,'Fuel Model -  Input'!$B$3:$N$3,0))</f>
        <v>0.47</v>
      </c>
      <c r="L1131" s="521">
        <f>+INDEX('Fuel Model -  Input'!$B$3:$N$373,MATCH($B1131,'Fuel Model -  Input'!$B$3:$B$373,0),MATCH(L$2,'Fuel Model -  Input'!$B$3:$N$3,0))</f>
        <v>0.47</v>
      </c>
      <c r="M1131" s="521">
        <f>+INDEX('Fuel Model -  Input'!$B$3:$N$373,MATCH($B1131,'Fuel Model -  Input'!$B$3:$B$373,0),MATCH(M$2,'Fuel Model -  Input'!$B$3:$N$3,0))</f>
        <v>0.47</v>
      </c>
    </row>
    <row r="1132" spans="2:13" hidden="1" outlineLevel="2" x14ac:dyDescent="0.2">
      <c r="B1132" s="78" t="str">
        <f>+C1132&amp;D1132&amp;E1132&amp;F1132</f>
        <v>AsiaResultsCost of e-Hydrogen (compressed)USD/ton</v>
      </c>
      <c r="C1132" s="157" t="str">
        <f>+$B$1097</f>
        <v>Asia</v>
      </c>
      <c r="D1132" t="s">
        <v>838</v>
      </c>
      <c r="E1132" t="s">
        <v>846</v>
      </c>
      <c r="F1132" s="128" t="s">
        <v>205</v>
      </c>
      <c r="G1132" s="532">
        <f>INDEX(G$4:G1131,MATCH($B1132,$B$4:$B1131,0))</f>
        <v>6255.6910575338052</v>
      </c>
      <c r="H1132" s="532">
        <f>INDEX(H$4:H1131,MATCH($B1132,$B$4:$B1131,0))</f>
        <v>4395.2346253838678</v>
      </c>
      <c r="I1132" s="532">
        <f>INDEX(I$4:I1131,MATCH($B1132,$B$4:$B1131,0))</f>
        <v>3576.426525493684</v>
      </c>
      <c r="J1132" s="532">
        <f>INDEX(J$4:J1131,MATCH($B1132,$B$4:$B1131,0))</f>
        <v>3110.7801987617659</v>
      </c>
      <c r="K1132" s="532">
        <f>INDEX(K$4:K1131,MATCH($B1132,$B$4:$B1131,0))</f>
        <v>2668.7373944928772</v>
      </c>
      <c r="L1132" s="532">
        <f>INDEX(L$4:L1131,MATCH($B1132,$B$4:$B1131,0))</f>
        <v>2127.5866637665586</v>
      </c>
      <c r="M1132" s="532">
        <f>INDEX(M$4:M1131,MATCH($B1132,$B$4:$B1131,0))</f>
        <v>1687.3110781370008</v>
      </c>
    </row>
    <row r="1133" spans="2:13" ht="12.75" hidden="1" outlineLevel="1" x14ac:dyDescent="0.2">
      <c r="F1133"/>
    </row>
    <row r="1134" spans="2:13" s="30" customFormat="1" ht="15" hidden="1" outlineLevel="1" collapsed="1" x14ac:dyDescent="0.25">
      <c r="B1134" s="30" t="s">
        <v>199</v>
      </c>
      <c r="C1134" s="30" t="str">
        <f>+B1134</f>
        <v>Americas</v>
      </c>
    </row>
    <row r="1135" spans="2:13" ht="15" hidden="1" outlineLevel="2" x14ac:dyDescent="0.25">
      <c r="B1135" s="157" t="str">
        <f t="shared" ref="B1135:B1140" si="632">+C1135&amp;D1135&amp;E1135&amp;F1135</f>
        <v>AmericasResultsTotal cost of e-Diesel (DAC)USD/ton</v>
      </c>
      <c r="C1135" s="157" t="str">
        <f t="shared" ref="C1135:C1144" si="633">+$B$1134</f>
        <v>Americas</v>
      </c>
      <c r="D1135" s="515" t="s">
        <v>838</v>
      </c>
      <c r="E1135" s="535" t="s">
        <v>1042</v>
      </c>
      <c r="F1135" s="128" t="s">
        <v>205</v>
      </c>
      <c r="G1135" s="492">
        <f>SUM(G1137,G1139,G1141,G1143)</f>
        <v>4007.4734740457561</v>
      </c>
      <c r="H1135" s="492">
        <f t="shared" ref="H1135:M1135" si="634">SUM(H1137,H1139,H1141,H1143)</f>
        <v>3346.2396200718963</v>
      </c>
      <c r="I1135" s="492">
        <f t="shared" si="634"/>
        <v>2673.2430133467824</v>
      </c>
      <c r="J1135" s="492">
        <f t="shared" si="634"/>
        <v>2409.2418183984942</v>
      </c>
      <c r="K1135" s="492">
        <f t="shared" si="634"/>
        <v>2105.2294573942863</v>
      </c>
      <c r="L1135" s="492">
        <f t="shared" si="634"/>
        <v>1726.4545284331812</v>
      </c>
      <c r="M1135" s="492">
        <f t="shared" si="634"/>
        <v>1373.6340343466272</v>
      </c>
    </row>
    <row r="1136" spans="2:13" ht="15" hidden="1" outlineLevel="2" x14ac:dyDescent="0.25">
      <c r="B1136" s="157" t="str">
        <f t="shared" si="632"/>
        <v>AmericasResultsTotal cost of e-Diesel (PS)USD/ton</v>
      </c>
      <c r="C1136" s="157" t="str">
        <f t="shared" si="633"/>
        <v>Americas</v>
      </c>
      <c r="D1136" s="515" t="s">
        <v>838</v>
      </c>
      <c r="E1136" s="535" t="s">
        <v>1043</v>
      </c>
      <c r="F1136" s="128" t="s">
        <v>205</v>
      </c>
      <c r="G1136" s="492">
        <f t="shared" ref="G1136:M1136" si="635">SUM(G1138,G1140,G1142,G1144)</f>
        <v>3715.8693943959302</v>
      </c>
      <c r="H1136" s="492">
        <f t="shared" si="635"/>
        <v>3102.5735787164695</v>
      </c>
      <c r="I1136" s="492">
        <f t="shared" si="635"/>
        <v>2474.8997824061985</v>
      </c>
      <c r="J1136" s="492">
        <f t="shared" si="635"/>
        <v>2270.1624669674566</v>
      </c>
      <c r="K1136" s="492">
        <f t="shared" si="635"/>
        <v>2006.7647539832926</v>
      </c>
      <c r="L1136" s="492">
        <f t="shared" si="635"/>
        <v>1647.8716053500787</v>
      </c>
      <c r="M1136" s="492">
        <f t="shared" si="635"/>
        <v>1305.4011603069193</v>
      </c>
    </row>
    <row r="1137" spans="2:13" ht="15" hidden="1" outlineLevel="2" x14ac:dyDescent="0.25">
      <c r="B1137" s="157" t="str">
        <f t="shared" si="632"/>
        <v>AmericasResultsTotal Capex e-Diesel (DAC)USD/ton</v>
      </c>
      <c r="C1137" s="157" t="str">
        <f t="shared" si="633"/>
        <v>Americas</v>
      </c>
      <c r="D1137" s="515" t="s">
        <v>838</v>
      </c>
      <c r="E1137" s="536" t="s">
        <v>1044</v>
      </c>
      <c r="F1137" s="128" t="s">
        <v>205</v>
      </c>
      <c r="G1137" s="490">
        <f>G1146+G1167*G1165</f>
        <v>975.24497896284106</v>
      </c>
      <c r="H1137" s="490">
        <f t="shared" ref="H1137:M1137" si="636">H1146+H1167*H1165</f>
        <v>841.05960383899901</v>
      </c>
      <c r="I1137" s="490">
        <f t="shared" si="636"/>
        <v>729.3413863173954</v>
      </c>
      <c r="J1137" s="490">
        <f t="shared" si="636"/>
        <v>715.92483717522828</v>
      </c>
      <c r="K1137" s="490">
        <f t="shared" si="636"/>
        <v>663.02732395007899</v>
      </c>
      <c r="L1137" s="490">
        <f t="shared" si="636"/>
        <v>547.28868943989619</v>
      </c>
      <c r="M1137" s="490">
        <f t="shared" si="636"/>
        <v>410.86652291560972</v>
      </c>
    </row>
    <row r="1138" spans="2:13" ht="15" hidden="1" outlineLevel="2" x14ac:dyDescent="0.25">
      <c r="B1138" s="157" t="str">
        <f t="shared" si="632"/>
        <v>AmericasResultsTotal Capex e-Diesel (PS)USD/ton</v>
      </c>
      <c r="C1138" s="157" t="str">
        <f t="shared" si="633"/>
        <v>Americas</v>
      </c>
      <c r="D1138" s="515" t="s">
        <v>838</v>
      </c>
      <c r="E1138" s="536" t="s">
        <v>1045</v>
      </c>
      <c r="F1138" s="128" t="s">
        <v>205</v>
      </c>
      <c r="G1138" s="490">
        <f t="shared" ref="G1138:M1138" si="637">+G1137</f>
        <v>975.24497896284106</v>
      </c>
      <c r="H1138" s="490">
        <f t="shared" si="637"/>
        <v>841.05960383899901</v>
      </c>
      <c r="I1138" s="490">
        <f t="shared" si="637"/>
        <v>729.3413863173954</v>
      </c>
      <c r="J1138" s="490">
        <f t="shared" si="637"/>
        <v>715.92483717522828</v>
      </c>
      <c r="K1138" s="490">
        <f t="shared" si="637"/>
        <v>663.02732395007899</v>
      </c>
      <c r="L1138" s="490">
        <f t="shared" si="637"/>
        <v>547.28868943989619</v>
      </c>
      <c r="M1138" s="490">
        <f t="shared" si="637"/>
        <v>410.86652291560972</v>
      </c>
    </row>
    <row r="1139" spans="2:13" ht="15" hidden="1" outlineLevel="2" x14ac:dyDescent="0.25">
      <c r="B1139" s="157" t="str">
        <f t="shared" si="632"/>
        <v>AmericasResultsTotal Opex e-Diesel (DAC)USD/ton</v>
      </c>
      <c r="C1139" s="157" t="str">
        <f t="shared" si="633"/>
        <v>Americas</v>
      </c>
      <c r="D1139" s="515" t="s">
        <v>838</v>
      </c>
      <c r="E1139" s="536" t="s">
        <v>1046</v>
      </c>
      <c r="F1139" s="128" t="s">
        <v>205</v>
      </c>
      <c r="G1139" s="490">
        <f>G1150+G1165*(1-SUM(G1166:G1167))</f>
        <v>1115.3641775452213</v>
      </c>
      <c r="H1139" s="490">
        <f t="shared" ref="H1139:M1139" si="638">H1150+H1165*(1-SUM(H1166:H1167))</f>
        <v>842.48794774226292</v>
      </c>
      <c r="I1139" s="490">
        <f t="shared" si="638"/>
        <v>609.04421126235252</v>
      </c>
      <c r="J1139" s="490">
        <f t="shared" si="638"/>
        <v>562.12790295623995</v>
      </c>
      <c r="K1139" s="490">
        <f t="shared" si="638"/>
        <v>479.71561450352772</v>
      </c>
      <c r="L1139" s="490">
        <f t="shared" si="638"/>
        <v>331.29181259906551</v>
      </c>
      <c r="M1139" s="490">
        <f t="shared" si="638"/>
        <v>205.03601978691017</v>
      </c>
    </row>
    <row r="1140" spans="2:13" ht="15" hidden="1" outlineLevel="2" x14ac:dyDescent="0.25">
      <c r="B1140" s="157" t="str">
        <f t="shared" si="632"/>
        <v>AmericasResultsTotal Opex e-Diesel (PS)USD/ton</v>
      </c>
      <c r="C1140" s="157" t="str">
        <f t="shared" si="633"/>
        <v>Americas</v>
      </c>
      <c r="D1140" s="515" t="s">
        <v>838</v>
      </c>
      <c r="E1140" s="536" t="s">
        <v>1047</v>
      </c>
      <c r="F1140" s="128" t="s">
        <v>205</v>
      </c>
      <c r="G1140" s="490">
        <f t="shared" ref="G1140:M1140" si="639">+G1139</f>
        <v>1115.3641775452213</v>
      </c>
      <c r="H1140" s="490">
        <f t="shared" si="639"/>
        <v>842.48794774226292</v>
      </c>
      <c r="I1140" s="490">
        <f t="shared" si="639"/>
        <v>609.04421126235252</v>
      </c>
      <c r="J1140" s="490">
        <f t="shared" si="639"/>
        <v>562.12790295623995</v>
      </c>
      <c r="K1140" s="490">
        <f t="shared" si="639"/>
        <v>479.71561450352772</v>
      </c>
      <c r="L1140" s="490">
        <f t="shared" si="639"/>
        <v>331.29181259906551</v>
      </c>
      <c r="M1140" s="490">
        <f t="shared" si="639"/>
        <v>205.03601978691017</v>
      </c>
    </row>
    <row r="1141" spans="2:13" ht="15" hidden="1" outlineLevel="2" x14ac:dyDescent="0.25">
      <c r="B1141" s="157" t="str">
        <f>+C1141&amp;D1141&amp;E1141&amp;F1141</f>
        <v>AmericasResultsTotal RNE e-Diesel (DAC)USD/ton</v>
      </c>
      <c r="C1141" s="157" t="str">
        <f t="shared" si="633"/>
        <v>Americas</v>
      </c>
      <c r="D1141" s="515" t="s">
        <v>838</v>
      </c>
      <c r="E1141" s="536" t="s">
        <v>1048</v>
      </c>
      <c r="F1141" s="128" t="s">
        <v>205</v>
      </c>
      <c r="G1141" s="490">
        <f>+G1153+G1165*G1166</f>
        <v>1010.6288465567333</v>
      </c>
      <c r="H1141" s="490">
        <f t="shared" ref="H1141:M1141" si="640">+H1153+H1165*H1166</f>
        <v>906.62340304050531</v>
      </c>
      <c r="I1141" s="490">
        <f t="shared" si="640"/>
        <v>730.44731330387663</v>
      </c>
      <c r="J1141" s="490">
        <f t="shared" si="640"/>
        <v>628.19042487664149</v>
      </c>
      <c r="K1141" s="490">
        <f t="shared" si="640"/>
        <v>541.33368238852154</v>
      </c>
      <c r="L1141" s="490">
        <f t="shared" si="640"/>
        <v>485.49178858706642</v>
      </c>
      <c r="M1141" s="490">
        <f t="shared" si="640"/>
        <v>444.2000412702908</v>
      </c>
    </row>
    <row r="1142" spans="2:13" ht="15" hidden="1" outlineLevel="2" x14ac:dyDescent="0.25">
      <c r="B1142" s="157" t="str">
        <f>+C1142&amp;D1142&amp;E1142&amp;F1142</f>
        <v>AmericasResultsTotal RNE e-Diesel (PS)USD/ton</v>
      </c>
      <c r="C1142" s="157" t="str">
        <f t="shared" si="633"/>
        <v>Americas</v>
      </c>
      <c r="D1142" s="515" t="s">
        <v>838</v>
      </c>
      <c r="E1142" s="536" t="s">
        <v>1049</v>
      </c>
      <c r="F1142" s="128" t="s">
        <v>205</v>
      </c>
      <c r="G1142" s="490">
        <f t="shared" ref="G1142:M1142" si="641">+G1141</f>
        <v>1010.6288465567333</v>
      </c>
      <c r="H1142" s="490">
        <f t="shared" si="641"/>
        <v>906.62340304050531</v>
      </c>
      <c r="I1142" s="490">
        <f t="shared" si="641"/>
        <v>730.44731330387663</v>
      </c>
      <c r="J1142" s="490">
        <f t="shared" si="641"/>
        <v>628.19042487664149</v>
      </c>
      <c r="K1142" s="490">
        <f t="shared" si="641"/>
        <v>541.33368238852154</v>
      </c>
      <c r="L1142" s="490">
        <f t="shared" si="641"/>
        <v>485.49178858706642</v>
      </c>
      <c r="M1142" s="490">
        <f t="shared" si="641"/>
        <v>444.2000412702908</v>
      </c>
    </row>
    <row r="1143" spans="2:13" ht="15" hidden="1" outlineLevel="2" x14ac:dyDescent="0.25">
      <c r="B1143" s="157" t="str">
        <f>+C1143&amp;D1143&amp;E1143&amp;F1143</f>
        <v>AmericasResultsTotal CO2 e-Diesel (DAC)USD/ton</v>
      </c>
      <c r="C1143" s="157" t="str">
        <f t="shared" si="633"/>
        <v>Americas</v>
      </c>
      <c r="D1143" s="515" t="s">
        <v>838</v>
      </c>
      <c r="E1143" s="536" t="s">
        <v>1050</v>
      </c>
      <c r="F1143" s="128" t="s">
        <v>205</v>
      </c>
      <c r="G1143" s="490">
        <f>+G1157</f>
        <v>906.23547098096049</v>
      </c>
      <c r="H1143" s="490">
        <f t="shared" ref="H1143:M1143" si="642">+H1157</f>
        <v>756.06866545012917</v>
      </c>
      <c r="I1143" s="490">
        <f t="shared" si="642"/>
        <v>604.41010246315818</v>
      </c>
      <c r="J1143" s="490">
        <f t="shared" si="642"/>
        <v>502.99865339038433</v>
      </c>
      <c r="K1143" s="490">
        <f t="shared" si="642"/>
        <v>421.15283655215825</v>
      </c>
      <c r="L1143" s="490">
        <f t="shared" si="642"/>
        <v>362.3822378071531</v>
      </c>
      <c r="M1143" s="490">
        <f t="shared" si="642"/>
        <v>313.53145037381648</v>
      </c>
    </row>
    <row r="1144" spans="2:13" ht="15" hidden="1" outlineLevel="2" x14ac:dyDescent="0.25">
      <c r="B1144" s="157" t="str">
        <f>+C1144&amp;D1144&amp;E1144&amp;F1144</f>
        <v>AmericasResultsTotal CO2 e-Diesel (PS)USD/ton</v>
      </c>
      <c r="C1144" s="157" t="str">
        <f t="shared" si="633"/>
        <v>Americas</v>
      </c>
      <c r="D1144" s="515" t="s">
        <v>838</v>
      </c>
      <c r="E1144" s="536" t="s">
        <v>1051</v>
      </c>
      <c r="F1144" s="128" t="s">
        <v>205</v>
      </c>
      <c r="G1144" s="490">
        <f>+G1161</f>
        <v>614.63139133113452</v>
      </c>
      <c r="H1144" s="490">
        <f t="shared" ref="H1144:M1144" si="643">+H1161</f>
        <v>512.40262409470256</v>
      </c>
      <c r="I1144" s="490">
        <f t="shared" si="643"/>
        <v>406.06687152257422</v>
      </c>
      <c r="J1144" s="490">
        <f t="shared" si="643"/>
        <v>363.91930195934674</v>
      </c>
      <c r="K1144" s="490">
        <f t="shared" si="643"/>
        <v>322.68813314116431</v>
      </c>
      <c r="L1144" s="490">
        <f t="shared" si="643"/>
        <v>283.79931472405065</v>
      </c>
      <c r="M1144" s="490">
        <f t="shared" si="643"/>
        <v>245.29857633410873</v>
      </c>
    </row>
    <row r="1145" spans="2:13" hidden="1" outlineLevel="2" x14ac:dyDescent="0.2">
      <c r="C1145" s="157"/>
      <c r="E1145" s="48"/>
      <c r="F1145" s="128"/>
      <c r="G1145" s="8"/>
      <c r="H1145" s="8"/>
      <c r="I1145" s="8"/>
      <c r="J1145" s="8"/>
      <c r="K1145" s="8"/>
      <c r="L1145" s="8"/>
      <c r="M1145" s="8"/>
    </row>
    <row r="1146" spans="2:13" hidden="1" outlineLevel="2" x14ac:dyDescent="0.2">
      <c r="B1146" t="str">
        <f>+C1146&amp;D1146&amp;E1146&amp;F1146</f>
        <v>AmericasResultsCapex per ton e DieselUSD/ Ton</v>
      </c>
      <c r="C1146" s="157" t="str">
        <f>+$B$1134</f>
        <v>Americas</v>
      </c>
      <c r="D1146" s="157" t="s">
        <v>838</v>
      </c>
      <c r="E1146" s="48" t="s">
        <v>1052</v>
      </c>
      <c r="F1146" s="128" t="s">
        <v>1053</v>
      </c>
      <c r="G1146" s="8">
        <f t="shared" ref="G1146:M1146" si="644">G1148/G1147</f>
        <v>583.00000000000011</v>
      </c>
      <c r="H1146" s="8">
        <f t="shared" si="644"/>
        <v>512.33333333333348</v>
      </c>
      <c r="I1146" s="8">
        <f t="shared" si="644"/>
        <v>441.66666666666674</v>
      </c>
      <c r="J1146" s="8">
        <f t="shared" si="644"/>
        <v>412.95833333333343</v>
      </c>
      <c r="K1146" s="8">
        <f t="shared" si="644"/>
        <v>384.25000000000011</v>
      </c>
      <c r="L1146" s="8">
        <f t="shared" si="644"/>
        <v>324.62500000000006</v>
      </c>
      <c r="M1146" s="8">
        <f t="shared" si="644"/>
        <v>265.00000000000006</v>
      </c>
    </row>
    <row r="1147" spans="2:13" hidden="1" outlineLevel="2" x14ac:dyDescent="0.2">
      <c r="B1147" t="str">
        <f>+C1147&amp;D1147&amp;E1147&amp;F1147</f>
        <v>GlobalPlant capexAnnualisation factor#</v>
      </c>
      <c r="C1147" s="157" t="s">
        <v>109</v>
      </c>
      <c r="D1147" t="s">
        <v>786</v>
      </c>
      <c r="E1147" t="s">
        <v>764</v>
      </c>
      <c r="F1147" s="450" t="s">
        <v>787</v>
      </c>
      <c r="G1147" s="532">
        <f>INDEX('Fuel Model -  Input'!$B$3:$N$373,MATCH($B1147,'Fuel Model -  Input'!$B$3:$B$373,0),MATCH(G$2,'Fuel Model -  Input'!$B$3:$N$3,0))</f>
        <v>11.32075471698113</v>
      </c>
      <c r="H1147" s="532">
        <f>INDEX('Fuel Model -  Input'!$B$3:$N$373,MATCH($B1147,'Fuel Model -  Input'!$B$3:$B$373,0),MATCH(H$2,'Fuel Model -  Input'!$B$3:$N$3,0))</f>
        <v>11.32075471698113</v>
      </c>
      <c r="I1147" s="532">
        <f>INDEX('Fuel Model -  Input'!$B$3:$N$373,MATCH($B1147,'Fuel Model -  Input'!$B$3:$B$373,0),MATCH(I$2,'Fuel Model -  Input'!$B$3:$N$3,0))</f>
        <v>11.32075471698113</v>
      </c>
      <c r="J1147" s="532">
        <f>INDEX('Fuel Model -  Input'!$B$3:$N$373,MATCH($B1147,'Fuel Model -  Input'!$B$3:$B$373,0),MATCH(J$2,'Fuel Model -  Input'!$B$3:$N$3,0))</f>
        <v>11.32075471698113</v>
      </c>
      <c r="K1147" s="532">
        <f>INDEX('Fuel Model -  Input'!$B$3:$N$373,MATCH($B1147,'Fuel Model -  Input'!$B$3:$B$373,0),MATCH(K$2,'Fuel Model -  Input'!$B$3:$N$3,0))</f>
        <v>11.32075471698113</v>
      </c>
      <c r="L1147" s="532">
        <f>INDEX('Fuel Model -  Input'!$B$3:$N$373,MATCH($B1147,'Fuel Model -  Input'!$B$3:$B$373,0),MATCH(L$2,'Fuel Model -  Input'!$B$3:$N$3,0))</f>
        <v>11.32075471698113</v>
      </c>
      <c r="M1147" s="532">
        <f>INDEX('Fuel Model -  Input'!$B$3:$N$373,MATCH($B1147,'Fuel Model -  Input'!$B$3:$B$373,0),MATCH(M$2,'Fuel Model -  Input'!$B$3:$N$3,0))</f>
        <v>11.32075471698113</v>
      </c>
    </row>
    <row r="1148" spans="2:13" hidden="1" outlineLevel="2" x14ac:dyDescent="0.2">
      <c r="B1148" t="str">
        <f>+C1148&amp;D1148&amp;E1148&amp;F1148</f>
        <v>GlobalCapexE Diesel plant capex unit costCapex/ ton e diesel</v>
      </c>
      <c r="C1148" s="157" t="s">
        <v>109</v>
      </c>
      <c r="D1148" t="s">
        <v>218</v>
      </c>
      <c r="E1148" t="s">
        <v>1054</v>
      </c>
      <c r="F1148" s="128" t="s">
        <v>1055</v>
      </c>
      <c r="G1148" s="532">
        <f>INDEX('Fuel Model -  Input'!$B$3:$N$373,MATCH($B1148,'Fuel Model -  Input'!$B$3:$B$373,0),MATCH(G$2,'Fuel Model -  Input'!$B$3:$N$3,0))</f>
        <v>6600</v>
      </c>
      <c r="H1148" s="532">
        <f>INDEX('Fuel Model -  Input'!$B$3:$N$373,MATCH($B1148,'Fuel Model -  Input'!$B$3:$B$373,0),MATCH(H$2,'Fuel Model -  Input'!$B$3:$N$3,0))</f>
        <v>5800</v>
      </c>
      <c r="I1148" s="532">
        <f>INDEX('Fuel Model -  Input'!$B$3:$N$373,MATCH($B1148,'Fuel Model -  Input'!$B$3:$B$373,0),MATCH(I$2,'Fuel Model -  Input'!$B$3:$N$3,0))</f>
        <v>5000</v>
      </c>
      <c r="J1148" s="532">
        <f>INDEX('Fuel Model -  Input'!$B$3:$N$373,MATCH($B1148,'Fuel Model -  Input'!$B$3:$B$373,0),MATCH(J$2,'Fuel Model -  Input'!$B$3:$N$3,0))</f>
        <v>4675</v>
      </c>
      <c r="K1148" s="532">
        <f>INDEX('Fuel Model -  Input'!$B$3:$N$373,MATCH($B1148,'Fuel Model -  Input'!$B$3:$B$373,0),MATCH(K$2,'Fuel Model -  Input'!$B$3:$N$3,0))</f>
        <v>4350</v>
      </c>
      <c r="L1148" s="532">
        <f>INDEX('Fuel Model -  Input'!$B$3:$N$373,MATCH($B1148,'Fuel Model -  Input'!$B$3:$B$373,0),MATCH(L$2,'Fuel Model -  Input'!$B$3:$N$3,0))</f>
        <v>3675</v>
      </c>
      <c r="M1148" s="532">
        <f>INDEX('Fuel Model -  Input'!$B$3:$N$373,MATCH($B1148,'Fuel Model -  Input'!$B$3:$B$373,0),MATCH(M$2,'Fuel Model -  Input'!$B$3:$N$3,0))</f>
        <v>3000</v>
      </c>
    </row>
    <row r="1149" spans="2:13" hidden="1" outlineLevel="2" x14ac:dyDescent="0.2">
      <c r="C1149" s="157"/>
      <c r="E1149" s="48"/>
      <c r="F1149" s="128"/>
      <c r="G1149" s="8"/>
      <c r="H1149" s="8"/>
      <c r="I1149" s="8"/>
      <c r="J1149" s="8"/>
      <c r="K1149" s="8"/>
      <c r="L1149" s="8"/>
      <c r="M1149" s="8"/>
    </row>
    <row r="1150" spans="2:13" hidden="1" outlineLevel="2" x14ac:dyDescent="0.2">
      <c r="B1150" t="str">
        <f>+C1150&amp;D1150&amp;E1150&amp;F1150</f>
        <v>AmericasOpexOpexUSD/ton e Diesel</v>
      </c>
      <c r="C1150" s="157" t="str">
        <f>+$B$1134</f>
        <v>Americas</v>
      </c>
      <c r="D1150" t="s">
        <v>219</v>
      </c>
      <c r="E1150" s="48" t="s">
        <v>219</v>
      </c>
      <c r="F1150" s="128" t="s">
        <v>1056</v>
      </c>
      <c r="G1150" s="8">
        <f t="shared" ref="G1150:M1150" si="645">G1148*G1151</f>
        <v>660</v>
      </c>
      <c r="H1150" s="8">
        <f t="shared" si="645"/>
        <v>464</v>
      </c>
      <c r="I1150" s="8">
        <f t="shared" si="645"/>
        <v>300</v>
      </c>
      <c r="J1150" s="8">
        <f t="shared" si="645"/>
        <v>280.5</v>
      </c>
      <c r="K1150" s="8">
        <f t="shared" si="645"/>
        <v>261</v>
      </c>
      <c r="L1150" s="8">
        <f t="shared" si="645"/>
        <v>183.75</v>
      </c>
      <c r="M1150" s="8">
        <f t="shared" si="645"/>
        <v>120</v>
      </c>
    </row>
    <row r="1151" spans="2:13" hidden="1" outlineLevel="2" x14ac:dyDescent="0.2">
      <c r="B1151" s="78" t="str">
        <f>+C1151&amp;D1151&amp;E1151&amp;F1151</f>
        <v>GlobalOpexOpex - e Diesel plantPercent of capex</v>
      </c>
      <c r="C1151" s="157" t="s">
        <v>109</v>
      </c>
      <c r="D1151" t="s">
        <v>219</v>
      </c>
      <c r="E1151" t="s">
        <v>1057</v>
      </c>
      <c r="F1151" s="128" t="s">
        <v>1058</v>
      </c>
      <c r="G1151" s="531">
        <f>INDEX('Fuel Model -  Input'!$B$3:$N$373,MATCH($B1151,'Fuel Model -  Input'!$B$3:$B$373,0),MATCH(G$2,'Fuel Model -  Input'!$B$3:$N$3,0))</f>
        <v>0.1</v>
      </c>
      <c r="H1151" s="531">
        <f>INDEX('Fuel Model -  Input'!$B$3:$N$373,MATCH($B1151,'Fuel Model -  Input'!$B$3:$B$373,0),MATCH(H$2,'Fuel Model -  Input'!$B$3:$N$3,0))</f>
        <v>0.08</v>
      </c>
      <c r="I1151" s="531">
        <f>INDEX('Fuel Model -  Input'!$B$3:$N$373,MATCH($B1151,'Fuel Model -  Input'!$B$3:$B$373,0),MATCH(I$2,'Fuel Model -  Input'!$B$3:$N$3,0))</f>
        <v>0.06</v>
      </c>
      <c r="J1151" s="531">
        <f>INDEX('Fuel Model -  Input'!$B$3:$N$373,MATCH($B1151,'Fuel Model -  Input'!$B$3:$B$373,0),MATCH(J$2,'Fuel Model -  Input'!$B$3:$N$3,0))</f>
        <v>0.06</v>
      </c>
      <c r="K1151" s="531">
        <f>INDEX('Fuel Model -  Input'!$B$3:$N$373,MATCH($B1151,'Fuel Model -  Input'!$B$3:$B$373,0),MATCH(K$2,'Fuel Model -  Input'!$B$3:$N$3,0))</f>
        <v>0.06</v>
      </c>
      <c r="L1151" s="531">
        <f>INDEX('Fuel Model -  Input'!$B$3:$N$373,MATCH($B1151,'Fuel Model -  Input'!$B$3:$B$373,0),MATCH(L$2,'Fuel Model -  Input'!$B$3:$N$3,0))</f>
        <v>0.05</v>
      </c>
      <c r="M1151" s="531">
        <f>INDEX('Fuel Model -  Input'!$B$3:$N$373,MATCH($B1151,'Fuel Model -  Input'!$B$3:$B$373,0),MATCH(M$2,'Fuel Model -  Input'!$B$3:$N$3,0))</f>
        <v>0.04</v>
      </c>
    </row>
    <row r="1152" spans="2:13" hidden="1" outlineLevel="2" x14ac:dyDescent="0.2">
      <c r="C1152" s="157"/>
      <c r="E1152" s="48"/>
      <c r="F1152" s="128"/>
      <c r="G1152" s="8"/>
      <c r="H1152" s="8"/>
      <c r="I1152" s="8"/>
      <c r="J1152" s="8"/>
      <c r="K1152" s="8"/>
      <c r="L1152" s="8"/>
      <c r="M1152" s="8"/>
    </row>
    <row r="1153" spans="2:13" hidden="1" outlineLevel="2" x14ac:dyDescent="0.2">
      <c r="B1153" s="78" t="str">
        <f>+C1153&amp;D1153&amp;E1153&amp;F1153</f>
        <v>AmericasGeneralElectricity costUSD/ton e Diesel</v>
      </c>
      <c r="C1153" s="157" t="str">
        <f>+$B$1134</f>
        <v>Americas</v>
      </c>
      <c r="D1153" t="s">
        <v>173</v>
      </c>
      <c r="E1153" s="48" t="s">
        <v>94</v>
      </c>
      <c r="F1153" s="128" t="s">
        <v>1056</v>
      </c>
      <c r="G1153" s="260">
        <f t="shared" ref="G1153:M1153" si="646">G1154*G1155</f>
        <v>16.988994193769571</v>
      </c>
      <c r="H1153" s="260">
        <f t="shared" si="646"/>
        <v>14.067081505671149</v>
      </c>
      <c r="I1153" s="260">
        <f t="shared" si="646"/>
        <v>10.549362479016644</v>
      </c>
      <c r="J1153" s="260">
        <f t="shared" si="646"/>
        <v>8.6381302847200097</v>
      </c>
      <c r="K1153" s="260">
        <f t="shared" si="646"/>
        <v>7.151312426903</v>
      </c>
      <c r="L1153" s="260">
        <f t="shared" si="646"/>
        <v>6.2749904346353</v>
      </c>
      <c r="M1153" s="260">
        <f t="shared" si="646"/>
        <v>5.5590484335046391</v>
      </c>
    </row>
    <row r="1154" spans="2:13" hidden="1" outlineLevel="2" x14ac:dyDescent="0.2">
      <c r="B1154" s="78" t="str">
        <f>+C1154&amp;D1154&amp;E1154&amp;F1154</f>
        <v>AmericasFeedstockElectricityUSD/MWh</v>
      </c>
      <c r="C1154" s="157" t="str">
        <f>+$B$1134</f>
        <v>Americas</v>
      </c>
      <c r="D1154" t="s">
        <v>777</v>
      </c>
      <c r="E1154" s="48" t="s">
        <v>54</v>
      </c>
      <c r="F1154" s="128" t="s">
        <v>196</v>
      </c>
      <c r="G1154" s="532">
        <f>INDEX('Fuel Model -  Input'!$B$3:$N$373,MATCH($B1154,'Fuel Model -  Input'!$B$3:$B$373,0),MATCH(G$2,'Fuel Model -  Input'!$B$3:$N$3,0))</f>
        <v>38.96640570315094</v>
      </c>
      <c r="H1154" s="532">
        <f>INDEX('Fuel Model -  Input'!$B$3:$N$373,MATCH($B1154,'Fuel Model -  Input'!$B$3:$B$373,0),MATCH(H$2,'Fuel Model -  Input'!$B$3:$N$3,0))</f>
        <v>35.167703764177872</v>
      </c>
      <c r="I1154" s="532">
        <f>INDEX('Fuel Model -  Input'!$B$3:$N$373,MATCH($B1154,'Fuel Model -  Input'!$B$3:$B$373,0),MATCH(I$2,'Fuel Model -  Input'!$B$3:$N$3,0))</f>
        <v>28.746405825398561</v>
      </c>
      <c r="J1154" s="532">
        <f>INDEX('Fuel Model -  Input'!$B$3:$N$373,MATCH($B1154,'Fuel Model -  Input'!$B$3:$B$373,0),MATCH(J$2,'Fuel Model -  Input'!$B$3:$N$3,0))</f>
        <v>25.656323090259679</v>
      </c>
      <c r="K1154" s="532">
        <f>INDEX('Fuel Model -  Input'!$B$3:$N$373,MATCH($B1154,'Fuel Model -  Input'!$B$3:$B$373,0),MATCH(K$2,'Fuel Model -  Input'!$B$3:$N$3,0))</f>
        <v>23.151426016069131</v>
      </c>
      <c r="L1154" s="532">
        <f>INDEX('Fuel Model -  Input'!$B$3:$N$373,MATCH($B1154,'Fuel Model -  Input'!$B$3:$B$373,0),MATCH(L$2,'Fuel Model -  Input'!$B$3:$N$3,0))</f>
        <v>22.142282710121734</v>
      </c>
      <c r="M1154" s="532">
        <f>INDEX('Fuel Model -  Input'!$B$3:$N$373,MATCH($B1154,'Fuel Model -  Input'!$B$3:$B$373,0),MATCH(M$2,'Fuel Model -  Input'!$B$3:$N$3,0))</f>
        <v>21.380955513479382</v>
      </c>
    </row>
    <row r="1155" spans="2:13" hidden="1" outlineLevel="2" x14ac:dyDescent="0.2">
      <c r="B1155" s="78" t="str">
        <f>+C1155&amp;D1155&amp;E1155&amp;F1155</f>
        <v>GlobalGeneralElectricity demandmWh/ton e Diesel</v>
      </c>
      <c r="C1155" s="157" t="s">
        <v>109</v>
      </c>
      <c r="D1155" t="s">
        <v>173</v>
      </c>
      <c r="E1155" s="48" t="s">
        <v>963</v>
      </c>
      <c r="F1155" s="128" t="s">
        <v>1059</v>
      </c>
      <c r="G1155" s="521">
        <f>INDEX('Fuel Model -  Input'!$B$3:$N$373,MATCH($B1155,'Fuel Model -  Input'!$B$3:$B$373,0),MATCH(G$2,'Fuel Model -  Input'!$B$3:$N$3,0))</f>
        <v>0.43599079481933817</v>
      </c>
      <c r="H1155" s="521">
        <f>INDEX('Fuel Model -  Input'!$B$3:$N$373,MATCH($B1155,'Fuel Model -  Input'!$B$3:$B$373,0),MATCH(H$2,'Fuel Model -  Input'!$B$3:$N$3,0))</f>
        <v>0.4</v>
      </c>
      <c r="I1155" s="521">
        <f>INDEX('Fuel Model -  Input'!$B$3:$N$373,MATCH($B1155,'Fuel Model -  Input'!$B$3:$B$373,0),MATCH(I$2,'Fuel Model -  Input'!$B$3:$N$3,0))</f>
        <v>0.36698022504419925</v>
      </c>
      <c r="J1155" s="521">
        <f>INDEX('Fuel Model -  Input'!$B$3:$N$373,MATCH($B1155,'Fuel Model -  Input'!$B$3:$B$373,0),MATCH(J$2,'Fuel Model -  Input'!$B$3:$N$3,0))</f>
        <v>0.33668621393372777</v>
      </c>
      <c r="K1155" s="521">
        <f>INDEX('Fuel Model -  Input'!$B$3:$N$373,MATCH($B1155,'Fuel Model -  Input'!$B$3:$B$373,0),MATCH(K$2,'Fuel Model -  Input'!$B$3:$N$3,0))</f>
        <v>0.30889295639669706</v>
      </c>
      <c r="L1155" s="521">
        <f>INDEX('Fuel Model -  Input'!$B$3:$N$373,MATCH($B1155,'Fuel Model -  Input'!$B$3:$B$373,0),MATCH(L$2,'Fuel Model -  Input'!$B$3:$N$3,0))</f>
        <v>0.28339401663256975</v>
      </c>
      <c r="M1155" s="521">
        <f>INDEX('Fuel Model -  Input'!$B$3:$N$373,MATCH($B1155,'Fuel Model -  Input'!$B$3:$B$373,0),MATCH(M$2,'Fuel Model -  Input'!$B$3:$N$3,0))</f>
        <v>0.26</v>
      </c>
    </row>
    <row r="1156" spans="2:13" hidden="1" outlineLevel="2" x14ac:dyDescent="0.2">
      <c r="C1156" s="157"/>
      <c r="E1156" s="48"/>
      <c r="F1156" s="128"/>
      <c r="G1156" s="524"/>
      <c r="H1156" s="524"/>
      <c r="I1156" s="524"/>
      <c r="J1156" s="524"/>
      <c r="K1156" s="524"/>
      <c r="L1156" s="524"/>
      <c r="M1156" s="524"/>
    </row>
    <row r="1157" spans="2:13" hidden="1" outlineLevel="2" x14ac:dyDescent="0.2">
      <c r="B1157" s="78" t="str">
        <f>+C1157&amp;D1157&amp;E1157&amp;F1157</f>
        <v>AmericasFeedstockFeedstock CO2USD/ton e Diesel</v>
      </c>
      <c r="C1157" s="157" t="str">
        <f>+$B$1134</f>
        <v>Americas</v>
      </c>
      <c r="D1157" t="s">
        <v>777</v>
      </c>
      <c r="E1157" s="48" t="s">
        <v>1007</v>
      </c>
      <c r="F1157" s="128" t="s">
        <v>1056</v>
      </c>
      <c r="G1157" s="8">
        <f t="shared" ref="G1157:M1157" si="647">G1158*G1159</f>
        <v>906.23547098096049</v>
      </c>
      <c r="H1157" s="8">
        <f t="shared" si="647"/>
        <v>756.06866545012917</v>
      </c>
      <c r="I1157" s="8">
        <f t="shared" si="647"/>
        <v>604.41010246315818</v>
      </c>
      <c r="J1157" s="8">
        <f t="shared" si="647"/>
        <v>502.99865339038433</v>
      </c>
      <c r="K1157" s="8">
        <f t="shared" si="647"/>
        <v>421.15283655215825</v>
      </c>
      <c r="L1157" s="8">
        <f t="shared" si="647"/>
        <v>362.3822378071531</v>
      </c>
      <c r="M1157" s="8">
        <f t="shared" si="647"/>
        <v>313.53145037381648</v>
      </c>
    </row>
    <row r="1158" spans="2:13" hidden="1" outlineLevel="2" x14ac:dyDescent="0.2">
      <c r="B1158" s="78" t="str">
        <f>+C1158&amp;D1158&amp;E1158&amp;F1158</f>
        <v>GlobalFeedstockConversion CO2 : e Diesel (actual)kg CO2/kg e Diesel</v>
      </c>
      <c r="C1158" s="157" t="s">
        <v>109</v>
      </c>
      <c r="D1158" t="s">
        <v>777</v>
      </c>
      <c r="E1158" t="s">
        <v>1060</v>
      </c>
      <c r="F1158" s="128" t="s">
        <v>1061</v>
      </c>
      <c r="G1158" s="521">
        <f>INDEX('Fuel Model -  Input'!$B$3:$N$373,MATCH($B1158,'Fuel Model -  Input'!$B$3:$B$373,0),MATCH(G$2,'Fuel Model -  Input'!$B$3:$N$3,0))</f>
        <v>3.48</v>
      </c>
      <c r="H1158" s="521">
        <f>INDEX('Fuel Model -  Input'!$B$3:$N$373,MATCH($B1158,'Fuel Model -  Input'!$B$3:$B$373,0),MATCH(H$2,'Fuel Model -  Input'!$B$3:$N$3,0))</f>
        <v>3.48</v>
      </c>
      <c r="I1158" s="521">
        <f>INDEX('Fuel Model -  Input'!$B$3:$N$373,MATCH($B1158,'Fuel Model -  Input'!$B$3:$B$373,0),MATCH(I$2,'Fuel Model -  Input'!$B$3:$N$3,0))</f>
        <v>3.48</v>
      </c>
      <c r="J1158" s="521">
        <f>INDEX('Fuel Model -  Input'!$B$3:$N$373,MATCH($B1158,'Fuel Model -  Input'!$B$3:$B$373,0),MATCH(J$2,'Fuel Model -  Input'!$B$3:$N$3,0))</f>
        <v>3.48</v>
      </c>
      <c r="K1158" s="521">
        <f>INDEX('Fuel Model -  Input'!$B$3:$N$373,MATCH($B1158,'Fuel Model -  Input'!$B$3:$B$373,0),MATCH(K$2,'Fuel Model -  Input'!$B$3:$N$3,0))</f>
        <v>3.48</v>
      </c>
      <c r="L1158" s="521">
        <f>INDEX('Fuel Model -  Input'!$B$3:$N$373,MATCH($B1158,'Fuel Model -  Input'!$B$3:$B$373,0),MATCH(L$2,'Fuel Model -  Input'!$B$3:$N$3,0))</f>
        <v>3.48</v>
      </c>
      <c r="M1158" s="521">
        <f>INDEX('Fuel Model -  Input'!$B$3:$N$373,MATCH($B1158,'Fuel Model -  Input'!$B$3:$B$373,0),MATCH(M$2,'Fuel Model -  Input'!$B$3:$N$3,0))</f>
        <v>3.48</v>
      </c>
    </row>
    <row r="1159" spans="2:13" hidden="1" outlineLevel="2" x14ac:dyDescent="0.2">
      <c r="B1159" s="78" t="str">
        <f>+C1159&amp;D1159&amp;E1159&amp;F1159</f>
        <v>AmericasFeedstockCost of CO2 DACUSD/ton</v>
      </c>
      <c r="C1159" s="157" t="str">
        <f>+$B$1134</f>
        <v>Americas</v>
      </c>
      <c r="D1159" t="s">
        <v>777</v>
      </c>
      <c r="E1159" t="s">
        <v>1010</v>
      </c>
      <c r="F1159" s="128" t="s">
        <v>205</v>
      </c>
      <c r="G1159" s="532">
        <f t="shared" ref="G1159:M1159" si="648">INDEX(G$1564:G$1568,MATCH($C1159,$C$1564:$C$1568,0))</f>
        <v>260.41249166119553</v>
      </c>
      <c r="H1159" s="532">
        <f t="shared" si="648"/>
        <v>217.26111076153137</v>
      </c>
      <c r="I1159" s="532">
        <f t="shared" si="648"/>
        <v>173.68106392619489</v>
      </c>
      <c r="J1159" s="532">
        <f t="shared" si="648"/>
        <v>144.53984292827136</v>
      </c>
      <c r="K1159" s="532">
        <f t="shared" si="648"/>
        <v>121.02093004372364</v>
      </c>
      <c r="L1159" s="532">
        <f t="shared" si="648"/>
        <v>104.13282695607847</v>
      </c>
      <c r="M1159" s="532">
        <f t="shared" si="648"/>
        <v>90.095244360292099</v>
      </c>
    </row>
    <row r="1160" spans="2:13" hidden="1" outlineLevel="2" x14ac:dyDescent="0.2">
      <c r="C1160" s="157"/>
      <c r="F1160" s="128"/>
      <c r="G1160" s="520"/>
      <c r="H1160" s="520"/>
      <c r="I1160" s="520"/>
      <c r="J1160" s="520"/>
      <c r="K1160" s="520"/>
      <c r="L1160" s="520"/>
      <c r="M1160" s="520"/>
    </row>
    <row r="1161" spans="2:13" hidden="1" outlineLevel="2" x14ac:dyDescent="0.2">
      <c r="B1161" s="78" t="str">
        <f>+C1161&amp;D1161&amp;E1161&amp;F1161</f>
        <v>AmericasFeedstockFeedstock CO2USD/ton e Diesel</v>
      </c>
      <c r="C1161" s="157" t="str">
        <f>+$B$1134</f>
        <v>Americas</v>
      </c>
      <c r="D1161" t="s">
        <v>777</v>
      </c>
      <c r="E1161" s="48" t="s">
        <v>1007</v>
      </c>
      <c r="F1161" s="128" t="s">
        <v>1056</v>
      </c>
      <c r="G1161" s="8">
        <f t="shared" ref="G1161:M1161" si="649">G1162*G1163</f>
        <v>614.63139133113452</v>
      </c>
      <c r="H1161" s="8">
        <f t="shared" si="649"/>
        <v>512.40262409470256</v>
      </c>
      <c r="I1161" s="8">
        <f t="shared" si="649"/>
        <v>406.06687152257422</v>
      </c>
      <c r="J1161" s="8">
        <f t="shared" si="649"/>
        <v>363.91930195934674</v>
      </c>
      <c r="K1161" s="8">
        <f t="shared" si="649"/>
        <v>322.68813314116431</v>
      </c>
      <c r="L1161" s="8">
        <f t="shared" si="649"/>
        <v>283.79931472405065</v>
      </c>
      <c r="M1161" s="8">
        <f t="shared" si="649"/>
        <v>245.29857633410873</v>
      </c>
    </row>
    <row r="1162" spans="2:13" hidden="1" outlineLevel="2" x14ac:dyDescent="0.2">
      <c r="B1162" s="78" t="str">
        <f>+C1162&amp;D1162&amp;E1162&amp;F1162</f>
        <v>GlobalFeedstockConversion CO2 : e Diesel (actual)kg CO2/kg e Diesel</v>
      </c>
      <c r="C1162" s="157" t="s">
        <v>109</v>
      </c>
      <c r="D1162" t="s">
        <v>777</v>
      </c>
      <c r="E1162" t="s">
        <v>1060</v>
      </c>
      <c r="F1162" s="128" t="s">
        <v>1061</v>
      </c>
      <c r="G1162" s="521">
        <f>INDEX('Fuel Model -  Input'!$B$3:$N$373,MATCH($B1162,'Fuel Model -  Input'!$B$3:$B$373,0),MATCH(G$2,'Fuel Model -  Input'!$B$3:$N$3,0))</f>
        <v>3.48</v>
      </c>
      <c r="H1162" s="521">
        <f>INDEX('Fuel Model -  Input'!$B$3:$N$373,MATCH($B1162,'Fuel Model -  Input'!$B$3:$B$373,0),MATCH(H$2,'Fuel Model -  Input'!$B$3:$N$3,0))</f>
        <v>3.48</v>
      </c>
      <c r="I1162" s="521">
        <f>INDEX('Fuel Model -  Input'!$B$3:$N$373,MATCH($B1162,'Fuel Model -  Input'!$B$3:$B$373,0),MATCH(I$2,'Fuel Model -  Input'!$B$3:$N$3,0))</f>
        <v>3.48</v>
      </c>
      <c r="J1162" s="521">
        <f>INDEX('Fuel Model -  Input'!$B$3:$N$373,MATCH($B1162,'Fuel Model -  Input'!$B$3:$B$373,0),MATCH(J$2,'Fuel Model -  Input'!$B$3:$N$3,0))</f>
        <v>3.48</v>
      </c>
      <c r="K1162" s="521">
        <f>INDEX('Fuel Model -  Input'!$B$3:$N$373,MATCH($B1162,'Fuel Model -  Input'!$B$3:$B$373,0),MATCH(K$2,'Fuel Model -  Input'!$B$3:$N$3,0))</f>
        <v>3.48</v>
      </c>
      <c r="L1162" s="521">
        <f>INDEX('Fuel Model -  Input'!$B$3:$N$373,MATCH($B1162,'Fuel Model -  Input'!$B$3:$B$373,0),MATCH(L$2,'Fuel Model -  Input'!$B$3:$N$3,0))</f>
        <v>3.48</v>
      </c>
      <c r="M1162" s="521">
        <f>INDEX('Fuel Model -  Input'!$B$3:$N$373,MATCH($B1162,'Fuel Model -  Input'!$B$3:$B$373,0),MATCH(M$2,'Fuel Model -  Input'!$B$3:$N$3,0))</f>
        <v>3.48</v>
      </c>
    </row>
    <row r="1163" spans="2:13" hidden="1" outlineLevel="2" x14ac:dyDescent="0.2">
      <c r="B1163" s="78" t="str">
        <f>+C1163&amp;D1163&amp;E1163&amp;F1163</f>
        <v>AmericasFeedstockCost of CO2 PSUSD/ton</v>
      </c>
      <c r="C1163" s="157" t="str">
        <f>+$B$1134</f>
        <v>Americas</v>
      </c>
      <c r="D1163" t="s">
        <v>777</v>
      </c>
      <c r="E1163" t="s">
        <v>1011</v>
      </c>
      <c r="F1163" s="128" t="s">
        <v>205</v>
      </c>
      <c r="G1163" s="532">
        <f t="shared" ref="G1163:M1163" si="650">INDEX(G$1538:G$1542,MATCH($B1163,$B$1538:$B$1542,0))</f>
        <v>176.61821589975131</v>
      </c>
      <c r="H1163" s="532">
        <f t="shared" si="650"/>
        <v>147.24213336054672</v>
      </c>
      <c r="I1163" s="532">
        <f t="shared" si="650"/>
        <v>116.68588262142937</v>
      </c>
      <c r="J1163" s="532">
        <f t="shared" si="650"/>
        <v>104.57451205728354</v>
      </c>
      <c r="K1163" s="532">
        <f t="shared" si="650"/>
        <v>92.726475040564452</v>
      </c>
      <c r="L1163" s="532">
        <f t="shared" si="650"/>
        <v>81.551527219554785</v>
      </c>
      <c r="M1163" s="532">
        <f t="shared" si="650"/>
        <v>70.488096647732391</v>
      </c>
    </row>
    <row r="1164" spans="2:13" hidden="1" outlineLevel="2" x14ac:dyDescent="0.2">
      <c r="C1164" s="157"/>
      <c r="F1164" s="128"/>
      <c r="G1164" s="520"/>
      <c r="H1164" s="520"/>
      <c r="I1164" s="520"/>
      <c r="J1164" s="520"/>
      <c r="K1164" s="520"/>
      <c r="L1164" s="520"/>
      <c r="M1164" s="520"/>
    </row>
    <row r="1165" spans="2:13" hidden="1" outlineLevel="2" x14ac:dyDescent="0.2">
      <c r="B1165" s="78" t="str">
        <f>+C1165&amp;D1165&amp;E1165&amp;F1165</f>
        <v>AmericasFeedstockFeedstock H2USD/ton e Diesel</v>
      </c>
      <c r="C1165" s="157" t="str">
        <f>+$B$1134</f>
        <v>Americas</v>
      </c>
      <c r="D1165" t="s">
        <v>777</v>
      </c>
      <c r="E1165" s="48" t="s">
        <v>970</v>
      </c>
      <c r="F1165" s="128" t="s">
        <v>1056</v>
      </c>
      <c r="G1165" s="8">
        <f t="shared" ref="G1165:M1165" si="651">G1168*G1169</f>
        <v>1841.2490088710258</v>
      </c>
      <c r="H1165" s="8">
        <f t="shared" si="651"/>
        <v>1599.7705397827626</v>
      </c>
      <c r="I1165" s="8">
        <f t="shared" si="651"/>
        <v>1316.6168817379412</v>
      </c>
      <c r="J1165" s="8">
        <f t="shared" si="651"/>
        <v>1204.1467013900565</v>
      </c>
      <c r="K1165" s="8">
        <f t="shared" si="651"/>
        <v>1031.6753084152251</v>
      </c>
      <c r="L1165" s="8">
        <f t="shared" si="651"/>
        <v>849.42230019139276</v>
      </c>
      <c r="M1165" s="8">
        <f t="shared" si="651"/>
        <v>669.54353553930605</v>
      </c>
    </row>
    <row r="1166" spans="2:13" hidden="1" outlineLevel="2" x14ac:dyDescent="0.2">
      <c r="B1166" t="str">
        <f>+C1166&amp;D1166&amp;E1166&amp;F1166</f>
        <v>AmericasResultsShare of RNE e-Hydrogen (compressed)%</v>
      </c>
      <c r="C1166" t="str">
        <f>+$B$1134</f>
        <v>Americas</v>
      </c>
      <c r="D1166" t="s">
        <v>838</v>
      </c>
      <c r="E1166" s="48" t="s">
        <v>848</v>
      </c>
      <c r="F1166" s="128" t="s">
        <v>178</v>
      </c>
      <c r="G1166" s="537">
        <f t="shared" ref="G1166:M1166" si="652">+INDEX($A:$M,MATCH($B1166,$B:$B,0),MATCH(G$2,$2:$2,0))</f>
        <v>0.53965533590278514</v>
      </c>
      <c r="H1166" s="537">
        <f t="shared" si="652"/>
        <v>0.55792771484342807</v>
      </c>
      <c r="I1166" s="537">
        <f t="shared" si="652"/>
        <v>0.54677861176638642</v>
      </c>
      <c r="J1166" s="537">
        <f t="shared" si="652"/>
        <v>0.51451562660655525</v>
      </c>
      <c r="K1166" s="537">
        <f t="shared" si="652"/>
        <v>0.51778148183287009</v>
      </c>
      <c r="L1166" s="537">
        <f t="shared" si="652"/>
        <v>0.56416790334378253</v>
      </c>
      <c r="M1166" s="537">
        <f t="shared" si="652"/>
        <v>0.65513438567287219</v>
      </c>
    </row>
    <row r="1167" spans="2:13" hidden="1" outlineLevel="2" x14ac:dyDescent="0.2">
      <c r="B1167" t="str">
        <f>+C1167&amp;D1167&amp;E1167&amp;F1167</f>
        <v>AmericasResultsShare of Capex e-Hydrogen (compressed)%</v>
      </c>
      <c r="C1167" t="str">
        <f>+$B$1134</f>
        <v>Americas</v>
      </c>
      <c r="D1167" t="s">
        <v>838</v>
      </c>
      <c r="E1167" s="48" t="s">
        <v>850</v>
      </c>
      <c r="F1167" s="128" t="s">
        <v>178</v>
      </c>
      <c r="G1167" s="537">
        <f t="shared" ref="G1167:M1167" si="653">+INDEX(G$4:G$581,MATCH($B1167,$B$4:$B$581,0))</f>
        <v>0.21303201091923385</v>
      </c>
      <c r="H1167" s="537">
        <f t="shared" si="653"/>
        <v>0.20548338798031884</v>
      </c>
      <c r="I1167" s="537">
        <f t="shared" si="653"/>
        <v>0.21849539045177402</v>
      </c>
      <c r="J1167" s="537">
        <f t="shared" si="653"/>
        <v>0.25160265231151074</v>
      </c>
      <c r="K1167" s="537">
        <f t="shared" si="653"/>
        <v>0.27021808283685078</v>
      </c>
      <c r="L1167" s="537">
        <f t="shared" si="653"/>
        <v>0.2621354412166072</v>
      </c>
      <c r="M1167" s="537">
        <f t="shared" si="653"/>
        <v>0.21785965388810252</v>
      </c>
    </row>
    <row r="1168" spans="2:13" hidden="1" outlineLevel="2" x14ac:dyDescent="0.2">
      <c r="B1168" s="78" t="str">
        <f>+C1168&amp;D1168&amp;E1168&amp;F1168</f>
        <v>GlobalFeedstockConversion H2 : e Diesel (actual)tons H2/ton e Diesel</v>
      </c>
      <c r="C1168" s="157" t="s">
        <v>109</v>
      </c>
      <c r="D1168" t="s">
        <v>777</v>
      </c>
      <c r="E1168" t="s">
        <v>1062</v>
      </c>
      <c r="F1168" s="128" t="s">
        <v>1063</v>
      </c>
      <c r="G1168" s="521">
        <f>+INDEX('Fuel Model -  Input'!$B$3:$N$373,MATCH($B1168,'Fuel Model -  Input'!$B$3:$B$373,0),MATCH(G$2,'Fuel Model -  Input'!$B$3:$N$3,0))</f>
        <v>0.47</v>
      </c>
      <c r="H1168" s="521">
        <f>+INDEX('Fuel Model -  Input'!$B$3:$N$373,MATCH($B1168,'Fuel Model -  Input'!$B$3:$B$373,0),MATCH(H$2,'Fuel Model -  Input'!$B$3:$N$3,0))</f>
        <v>0.47</v>
      </c>
      <c r="I1168" s="521">
        <f>+INDEX('Fuel Model -  Input'!$B$3:$N$373,MATCH($B1168,'Fuel Model -  Input'!$B$3:$B$373,0),MATCH(I$2,'Fuel Model -  Input'!$B$3:$N$3,0))</f>
        <v>0.47</v>
      </c>
      <c r="J1168" s="521">
        <f>+INDEX('Fuel Model -  Input'!$B$3:$N$373,MATCH($B1168,'Fuel Model -  Input'!$B$3:$B$373,0),MATCH(J$2,'Fuel Model -  Input'!$B$3:$N$3,0))</f>
        <v>0.47</v>
      </c>
      <c r="K1168" s="521">
        <f>+INDEX('Fuel Model -  Input'!$B$3:$N$373,MATCH($B1168,'Fuel Model -  Input'!$B$3:$B$373,0),MATCH(K$2,'Fuel Model -  Input'!$B$3:$N$3,0))</f>
        <v>0.47</v>
      </c>
      <c r="L1168" s="521">
        <f>+INDEX('Fuel Model -  Input'!$B$3:$N$373,MATCH($B1168,'Fuel Model -  Input'!$B$3:$B$373,0),MATCH(L$2,'Fuel Model -  Input'!$B$3:$N$3,0))</f>
        <v>0.47</v>
      </c>
      <c r="M1168" s="521">
        <f>+INDEX('Fuel Model -  Input'!$B$3:$N$373,MATCH($B1168,'Fuel Model -  Input'!$B$3:$B$373,0),MATCH(M$2,'Fuel Model -  Input'!$B$3:$N$3,0))</f>
        <v>0.47</v>
      </c>
    </row>
    <row r="1169" spans="2:13" hidden="1" outlineLevel="2" x14ac:dyDescent="0.2">
      <c r="B1169" s="78" t="str">
        <f>+C1169&amp;D1169&amp;E1169&amp;F1169</f>
        <v>AmericasResultsCost of e-Hydrogen (compressed)USD/ton</v>
      </c>
      <c r="C1169" s="157" t="str">
        <f>+$B$1134</f>
        <v>Americas</v>
      </c>
      <c r="D1169" t="s">
        <v>838</v>
      </c>
      <c r="E1169" t="s">
        <v>846</v>
      </c>
      <c r="F1169" s="128" t="s">
        <v>205</v>
      </c>
      <c r="G1169" s="532">
        <f>INDEX(G$4:G1168,MATCH($B1169,$B$4:$B1168,0))</f>
        <v>3917.5510827043104</v>
      </c>
      <c r="H1169" s="532">
        <f>INDEX(H$4:H1168,MATCH($B1169,$B$4:$B1168,0))</f>
        <v>3403.7671059207719</v>
      </c>
      <c r="I1169" s="532">
        <f>INDEX(I$4:I1168,MATCH($B1169,$B$4:$B1168,0))</f>
        <v>2801.3125143360453</v>
      </c>
      <c r="J1169" s="532">
        <f>INDEX(J$4:J1168,MATCH($B1169,$B$4:$B1168,0))</f>
        <v>2562.0142582767162</v>
      </c>
      <c r="K1169" s="532">
        <f>INDEX(K$4:K1168,MATCH($B1169,$B$4:$B1168,0))</f>
        <v>2195.0538476919683</v>
      </c>
      <c r="L1169" s="532">
        <f>INDEX(L$4:L1168,MATCH($B1169,$B$4:$B1168,0))</f>
        <v>1807.2814897689209</v>
      </c>
      <c r="M1169" s="532">
        <f>INDEX(M$4:M1168,MATCH($B1169,$B$4:$B1168,0))</f>
        <v>1424.5607139134172</v>
      </c>
    </row>
    <row r="1170" spans="2:13" ht="12.75" hidden="1" outlineLevel="1" x14ac:dyDescent="0.2">
      <c r="F1170"/>
    </row>
    <row r="1171" spans="2:13" s="30" customFormat="1" ht="15" hidden="1" outlineLevel="1" collapsed="1" x14ac:dyDescent="0.25">
      <c r="B1171" s="30" t="s">
        <v>200</v>
      </c>
      <c r="C1171" s="30" t="str">
        <f t="shared" ref="C1171:C1181" si="654">+$B$1171</f>
        <v>Africa</v>
      </c>
    </row>
    <row r="1172" spans="2:13" ht="15" hidden="1" outlineLevel="2" x14ac:dyDescent="0.25">
      <c r="B1172" s="157" t="str">
        <f t="shared" ref="B1172:B1177" si="655">+C1172&amp;D1172&amp;E1172&amp;F1172</f>
        <v>AfricaResultsTotal cost of e-Diesel (DAC)USD/ton</v>
      </c>
      <c r="C1172" s="157" t="str">
        <f t="shared" si="654"/>
        <v>Africa</v>
      </c>
      <c r="D1172" s="515" t="s">
        <v>838</v>
      </c>
      <c r="E1172" s="535" t="s">
        <v>1042</v>
      </c>
      <c r="F1172" s="128" t="s">
        <v>205</v>
      </c>
      <c r="G1172" s="492">
        <f>SUM(G1174,G1176,G1178,G1180)</f>
        <v>5461.5439271186688</v>
      </c>
      <c r="H1172" s="492">
        <f t="shared" ref="H1172:M1172" si="656">SUM(H1174,H1176,H1178,H1180)</f>
        <v>3684.0402418152257</v>
      </c>
      <c r="I1172" s="492">
        <f t="shared" si="656"/>
        <v>2893.2581907647264</v>
      </c>
      <c r="J1172" s="492">
        <f t="shared" si="656"/>
        <v>2545.5075245355083</v>
      </c>
      <c r="K1172" s="492">
        <f t="shared" si="656"/>
        <v>2234.4654362752458</v>
      </c>
      <c r="L1172" s="492">
        <f t="shared" si="656"/>
        <v>1801.3567790028683</v>
      </c>
      <c r="M1172" s="492">
        <f t="shared" si="656"/>
        <v>1430.33411584496</v>
      </c>
    </row>
    <row r="1173" spans="2:13" ht="15" hidden="1" outlineLevel="2" x14ac:dyDescent="0.25">
      <c r="B1173" s="157" t="str">
        <f t="shared" si="655"/>
        <v>AfricaResultsTotal cost of e-Diesel (PS)USD/ton</v>
      </c>
      <c r="C1173" s="157" t="str">
        <f t="shared" si="654"/>
        <v>Africa</v>
      </c>
      <c r="D1173" s="515" t="s">
        <v>838</v>
      </c>
      <c r="E1173" s="535" t="s">
        <v>1043</v>
      </c>
      <c r="F1173" s="128" t="s">
        <v>205</v>
      </c>
      <c r="G1173" s="492">
        <f t="shared" ref="G1173:M1173" si="657">SUM(G1175,G1177,G1179,G1181)</f>
        <v>4815.7510922849042</v>
      </c>
      <c r="H1173" s="492">
        <f t="shared" si="657"/>
        <v>3362.6089295269949</v>
      </c>
      <c r="I1173" s="492">
        <f t="shared" si="657"/>
        <v>2646.8336042670044</v>
      </c>
      <c r="J1173" s="492">
        <f t="shared" si="657"/>
        <v>2377.7272797026467</v>
      </c>
      <c r="K1173" s="492">
        <f t="shared" si="657"/>
        <v>2109.627025155618</v>
      </c>
      <c r="L1173" s="492">
        <f t="shared" si="657"/>
        <v>1707.7822109816047</v>
      </c>
      <c r="M1173" s="492">
        <f t="shared" si="657"/>
        <v>1351.074210037229</v>
      </c>
    </row>
    <row r="1174" spans="2:13" ht="15" hidden="1" outlineLevel="2" x14ac:dyDescent="0.25">
      <c r="B1174" s="157" t="str">
        <f t="shared" si="655"/>
        <v>AfricaResultsTotal Capex e-Diesel (DAC)USD/ton</v>
      </c>
      <c r="C1174" s="157" t="str">
        <f t="shared" si="654"/>
        <v>Africa</v>
      </c>
      <c r="D1174" s="515" t="s">
        <v>838</v>
      </c>
      <c r="E1174" s="536" t="s">
        <v>1044</v>
      </c>
      <c r="F1174" s="128" t="s">
        <v>205</v>
      </c>
      <c r="G1174" s="490">
        <f>G1183+G1204*G1202</f>
        <v>975.24497896284106</v>
      </c>
      <c r="H1174" s="490">
        <f t="shared" ref="H1174:M1174" si="658">H1183+H1204*H1202</f>
        <v>841.05960383899901</v>
      </c>
      <c r="I1174" s="490">
        <f t="shared" si="658"/>
        <v>729.34138631739529</v>
      </c>
      <c r="J1174" s="490">
        <f t="shared" si="658"/>
        <v>715.92483717522839</v>
      </c>
      <c r="K1174" s="490">
        <f t="shared" si="658"/>
        <v>663.02732395007899</v>
      </c>
      <c r="L1174" s="490">
        <f t="shared" si="658"/>
        <v>547.28868943989619</v>
      </c>
      <c r="M1174" s="490">
        <f t="shared" si="658"/>
        <v>410.86652291560972</v>
      </c>
    </row>
    <row r="1175" spans="2:13" ht="15" hidden="1" outlineLevel="2" x14ac:dyDescent="0.25">
      <c r="B1175" s="157" t="str">
        <f t="shared" si="655"/>
        <v>AfricaResultsTotal Capex e-Diesel (PS)USD/ton</v>
      </c>
      <c r="C1175" s="157" t="str">
        <f t="shared" si="654"/>
        <v>Africa</v>
      </c>
      <c r="D1175" s="515" t="s">
        <v>838</v>
      </c>
      <c r="E1175" s="536" t="s">
        <v>1045</v>
      </c>
      <c r="F1175" s="128" t="s">
        <v>205</v>
      </c>
      <c r="G1175" s="490">
        <f t="shared" ref="G1175:M1175" si="659">+G1174</f>
        <v>975.24497896284106</v>
      </c>
      <c r="H1175" s="490">
        <f t="shared" si="659"/>
        <v>841.05960383899901</v>
      </c>
      <c r="I1175" s="490">
        <f t="shared" si="659"/>
        <v>729.34138631739529</v>
      </c>
      <c r="J1175" s="490">
        <f t="shared" si="659"/>
        <v>715.92483717522839</v>
      </c>
      <c r="K1175" s="490">
        <f t="shared" si="659"/>
        <v>663.02732395007899</v>
      </c>
      <c r="L1175" s="490">
        <f t="shared" si="659"/>
        <v>547.28868943989619</v>
      </c>
      <c r="M1175" s="490">
        <f t="shared" si="659"/>
        <v>410.86652291560972</v>
      </c>
    </row>
    <row r="1176" spans="2:13" ht="15" hidden="1" outlineLevel="2" x14ac:dyDescent="0.25">
      <c r="B1176" s="157" t="str">
        <f t="shared" si="655"/>
        <v>AfricaResultsTotal Opex e-Diesel (DAC)USD/ton</v>
      </c>
      <c r="C1176" s="157" t="str">
        <f t="shared" si="654"/>
        <v>Africa</v>
      </c>
      <c r="D1176" s="515" t="s">
        <v>838</v>
      </c>
      <c r="E1176" s="536" t="s">
        <v>1046</v>
      </c>
      <c r="F1176" s="128" t="s">
        <v>205</v>
      </c>
      <c r="G1176" s="490">
        <f>G1187+G1202*(1-SUM(G1203:G1204))</f>
        <v>1115.3641775452206</v>
      </c>
      <c r="H1176" s="490">
        <f t="shared" ref="H1176:M1176" si="660">H1187+H1202*(1-SUM(H1203:H1204))</f>
        <v>842.4879477422628</v>
      </c>
      <c r="I1176" s="490">
        <f t="shared" si="660"/>
        <v>609.04421126235275</v>
      </c>
      <c r="J1176" s="490">
        <f t="shared" si="660"/>
        <v>562.12790295624018</v>
      </c>
      <c r="K1176" s="490">
        <f t="shared" si="660"/>
        <v>479.71561450352755</v>
      </c>
      <c r="L1176" s="490">
        <f t="shared" si="660"/>
        <v>331.29181259906534</v>
      </c>
      <c r="M1176" s="490">
        <f t="shared" si="660"/>
        <v>205.03601978691023</v>
      </c>
    </row>
    <row r="1177" spans="2:13" ht="15" hidden="1" outlineLevel="2" x14ac:dyDescent="0.25">
      <c r="B1177" s="157" t="str">
        <f t="shared" si="655"/>
        <v>AfricaResultsTotal Opex e-Diesel (PS)USD/ton</v>
      </c>
      <c r="C1177" s="157" t="str">
        <f t="shared" si="654"/>
        <v>Africa</v>
      </c>
      <c r="D1177" s="515" t="s">
        <v>838</v>
      </c>
      <c r="E1177" s="536" t="s">
        <v>1047</v>
      </c>
      <c r="F1177" s="128" t="s">
        <v>205</v>
      </c>
      <c r="G1177" s="490">
        <f t="shared" ref="G1177:M1177" si="661">+G1176</f>
        <v>1115.3641775452206</v>
      </c>
      <c r="H1177" s="490">
        <f t="shared" si="661"/>
        <v>842.4879477422628</v>
      </c>
      <c r="I1177" s="490">
        <f t="shared" si="661"/>
        <v>609.04421126235275</v>
      </c>
      <c r="J1177" s="490">
        <f t="shared" si="661"/>
        <v>562.12790295624018</v>
      </c>
      <c r="K1177" s="490">
        <f t="shared" si="661"/>
        <v>479.71561450352755</v>
      </c>
      <c r="L1177" s="490">
        <f t="shared" si="661"/>
        <v>331.29181259906534</v>
      </c>
      <c r="M1177" s="490">
        <f t="shared" si="661"/>
        <v>205.03601978691023</v>
      </c>
    </row>
    <row r="1178" spans="2:13" ht="15" hidden="1" outlineLevel="2" x14ac:dyDescent="0.25">
      <c r="B1178" s="157" t="str">
        <f>+C1178&amp;D1178&amp;E1178&amp;F1178</f>
        <v>AfricaResultsTotal RNE e-Diesel (DAC)USD/ton</v>
      </c>
      <c r="C1178" s="157" t="str">
        <f t="shared" si="654"/>
        <v>Africa</v>
      </c>
      <c r="D1178" s="515" t="s">
        <v>838</v>
      </c>
      <c r="E1178" s="536" t="s">
        <v>1048</v>
      </c>
      <c r="F1178" s="128" t="s">
        <v>205</v>
      </c>
      <c r="G1178" s="490">
        <f>+G1190+G1202*G1203</f>
        <v>2047.8816109262077</v>
      </c>
      <c r="H1178" s="490">
        <f t="shared" ref="H1178:M1178" si="662">+H1190+H1202*H1203</f>
        <v>1151.7675317575147</v>
      </c>
      <c r="I1178" s="490">
        <f t="shared" si="662"/>
        <v>892.40011615627361</v>
      </c>
      <c r="J1178" s="490">
        <f t="shared" si="662"/>
        <v>729.28916461442509</v>
      </c>
      <c r="K1178" s="490">
        <f t="shared" si="662"/>
        <v>637.73930960188238</v>
      </c>
      <c r="L1178" s="490">
        <f t="shared" si="662"/>
        <v>541.40869462877788</v>
      </c>
      <c r="M1178" s="490">
        <f t="shared" si="662"/>
        <v>486.67169468085177</v>
      </c>
    </row>
    <row r="1179" spans="2:13" ht="15" hidden="1" outlineLevel="2" x14ac:dyDescent="0.25">
      <c r="B1179" s="157" t="str">
        <f>+C1179&amp;D1179&amp;E1179&amp;F1179</f>
        <v>AfricaResultsTotal RNE e-Diesel (PS)USD/ton</v>
      </c>
      <c r="C1179" s="157" t="str">
        <f t="shared" si="654"/>
        <v>Africa</v>
      </c>
      <c r="D1179" s="515" t="s">
        <v>838</v>
      </c>
      <c r="E1179" s="536" t="s">
        <v>1049</v>
      </c>
      <c r="F1179" s="128" t="s">
        <v>205</v>
      </c>
      <c r="G1179" s="490">
        <f t="shared" ref="G1179:M1179" si="663">+G1178</f>
        <v>2047.8816109262077</v>
      </c>
      <c r="H1179" s="490">
        <f t="shared" si="663"/>
        <v>1151.7675317575147</v>
      </c>
      <c r="I1179" s="490">
        <f t="shared" si="663"/>
        <v>892.40011615627361</v>
      </c>
      <c r="J1179" s="490">
        <f t="shared" si="663"/>
        <v>729.28916461442509</v>
      </c>
      <c r="K1179" s="490">
        <f t="shared" si="663"/>
        <v>637.73930960188238</v>
      </c>
      <c r="L1179" s="490">
        <f t="shared" si="663"/>
        <v>541.40869462877788</v>
      </c>
      <c r="M1179" s="490">
        <f t="shared" si="663"/>
        <v>486.67169468085177</v>
      </c>
    </row>
    <row r="1180" spans="2:13" ht="15" hidden="1" outlineLevel="2" x14ac:dyDescent="0.25">
      <c r="B1180" s="157" t="str">
        <f>+C1180&amp;D1180&amp;E1180&amp;F1180</f>
        <v>AfricaResultsTotal CO2 e-Diesel (DAC)USD/ton</v>
      </c>
      <c r="C1180" s="157" t="str">
        <f t="shared" si="654"/>
        <v>Africa</v>
      </c>
      <c r="D1180" s="515" t="s">
        <v>838</v>
      </c>
      <c r="E1180" s="536" t="s">
        <v>1050</v>
      </c>
      <c r="F1180" s="128" t="s">
        <v>205</v>
      </c>
      <c r="G1180" s="490">
        <f>+G1194</f>
        <v>1323.0531596843996</v>
      </c>
      <c r="H1180" s="490">
        <f t="shared" ref="H1180:M1180" si="664">+H1194</f>
        <v>848.72515847644945</v>
      </c>
      <c r="I1180" s="490">
        <f t="shared" si="664"/>
        <v>662.47247702870459</v>
      </c>
      <c r="J1180" s="490">
        <f t="shared" si="664"/>
        <v>538.16561978961499</v>
      </c>
      <c r="K1180" s="490">
        <f t="shared" si="664"/>
        <v>453.98318821975698</v>
      </c>
      <c r="L1180" s="490">
        <f t="shared" si="664"/>
        <v>381.36758233512899</v>
      </c>
      <c r="M1180" s="490">
        <f t="shared" si="664"/>
        <v>327.75987846158841</v>
      </c>
    </row>
    <row r="1181" spans="2:13" ht="15" hidden="1" outlineLevel="2" x14ac:dyDescent="0.25">
      <c r="B1181" s="157" t="str">
        <f>+C1181&amp;D1181&amp;E1181&amp;F1181</f>
        <v>AfricaResultsTotal CO2 e-Diesel (PS)USD/ton</v>
      </c>
      <c r="C1181" s="157" t="str">
        <f t="shared" si="654"/>
        <v>Africa</v>
      </c>
      <c r="D1181" s="515" t="s">
        <v>838</v>
      </c>
      <c r="E1181" s="536" t="s">
        <v>1051</v>
      </c>
      <c r="F1181" s="128" t="s">
        <v>205</v>
      </c>
      <c r="G1181" s="490">
        <f>+G1198</f>
        <v>677.26032485063456</v>
      </c>
      <c r="H1181" s="490">
        <f t="shared" ref="H1181:M1181" si="665">+H1198</f>
        <v>527.29384618821837</v>
      </c>
      <c r="I1181" s="490">
        <f t="shared" si="665"/>
        <v>416.04789053098301</v>
      </c>
      <c r="J1181" s="490">
        <f t="shared" si="665"/>
        <v>370.38537495675325</v>
      </c>
      <c r="K1181" s="490">
        <f t="shared" si="665"/>
        <v>329.14477710012875</v>
      </c>
      <c r="L1181" s="490">
        <f t="shared" si="665"/>
        <v>287.79301431386523</v>
      </c>
      <c r="M1181" s="490">
        <f t="shared" si="665"/>
        <v>248.49997265385738</v>
      </c>
    </row>
    <row r="1182" spans="2:13" hidden="1" outlineLevel="2" x14ac:dyDescent="0.2">
      <c r="C1182" s="157"/>
      <c r="E1182" s="48"/>
      <c r="F1182" s="128"/>
      <c r="G1182" s="8"/>
      <c r="H1182" s="8"/>
      <c r="I1182" s="8"/>
      <c r="J1182" s="8"/>
      <c r="K1182" s="8"/>
      <c r="L1182" s="8"/>
      <c r="M1182" s="8"/>
    </row>
    <row r="1183" spans="2:13" hidden="1" outlineLevel="2" x14ac:dyDescent="0.2">
      <c r="B1183" t="str">
        <f>+C1183&amp;D1183&amp;E1183&amp;F1183</f>
        <v>AfricaResultsCapex per ton e DieselUSD/ Ton</v>
      </c>
      <c r="C1183" s="157" t="str">
        <f>+$B$1171</f>
        <v>Africa</v>
      </c>
      <c r="D1183" s="157" t="s">
        <v>838</v>
      </c>
      <c r="E1183" s="48" t="s">
        <v>1052</v>
      </c>
      <c r="F1183" s="128" t="s">
        <v>1053</v>
      </c>
      <c r="G1183" s="8">
        <f t="shared" ref="G1183:M1183" si="666">G1185/G1184</f>
        <v>583.00000000000011</v>
      </c>
      <c r="H1183" s="8">
        <f t="shared" si="666"/>
        <v>512.33333333333348</v>
      </c>
      <c r="I1183" s="8">
        <f t="shared" si="666"/>
        <v>441.66666666666674</v>
      </c>
      <c r="J1183" s="8">
        <f t="shared" si="666"/>
        <v>412.95833333333343</v>
      </c>
      <c r="K1183" s="8">
        <f t="shared" si="666"/>
        <v>384.25000000000011</v>
      </c>
      <c r="L1183" s="8">
        <f t="shared" si="666"/>
        <v>324.62500000000006</v>
      </c>
      <c r="M1183" s="8">
        <f t="shared" si="666"/>
        <v>265.00000000000006</v>
      </c>
    </row>
    <row r="1184" spans="2:13" hidden="1" outlineLevel="2" x14ac:dyDescent="0.2">
      <c r="B1184" t="str">
        <f>+C1184&amp;D1184&amp;E1184&amp;F1184</f>
        <v>GlobalPlant capexAnnualisation factor#</v>
      </c>
      <c r="C1184" s="157" t="s">
        <v>109</v>
      </c>
      <c r="D1184" t="s">
        <v>786</v>
      </c>
      <c r="E1184" t="s">
        <v>764</v>
      </c>
      <c r="F1184" s="450" t="s">
        <v>787</v>
      </c>
      <c r="G1184" s="532">
        <f>INDEX('Fuel Model -  Input'!$B$3:$N$373,MATCH($B1184,'Fuel Model -  Input'!$B$3:$B$373,0),MATCH(G$2,'Fuel Model -  Input'!$B$3:$N$3,0))</f>
        <v>11.32075471698113</v>
      </c>
      <c r="H1184" s="532">
        <f>INDEX('Fuel Model -  Input'!$B$3:$N$373,MATCH($B1184,'Fuel Model -  Input'!$B$3:$B$373,0),MATCH(H$2,'Fuel Model -  Input'!$B$3:$N$3,0))</f>
        <v>11.32075471698113</v>
      </c>
      <c r="I1184" s="532">
        <f>INDEX('Fuel Model -  Input'!$B$3:$N$373,MATCH($B1184,'Fuel Model -  Input'!$B$3:$B$373,0),MATCH(I$2,'Fuel Model -  Input'!$B$3:$N$3,0))</f>
        <v>11.32075471698113</v>
      </c>
      <c r="J1184" s="532">
        <f>INDEX('Fuel Model -  Input'!$B$3:$N$373,MATCH($B1184,'Fuel Model -  Input'!$B$3:$B$373,0),MATCH(J$2,'Fuel Model -  Input'!$B$3:$N$3,0))</f>
        <v>11.32075471698113</v>
      </c>
      <c r="K1184" s="532">
        <f>INDEX('Fuel Model -  Input'!$B$3:$N$373,MATCH($B1184,'Fuel Model -  Input'!$B$3:$B$373,0),MATCH(K$2,'Fuel Model -  Input'!$B$3:$N$3,0))</f>
        <v>11.32075471698113</v>
      </c>
      <c r="L1184" s="532">
        <f>INDEX('Fuel Model -  Input'!$B$3:$N$373,MATCH($B1184,'Fuel Model -  Input'!$B$3:$B$373,0),MATCH(L$2,'Fuel Model -  Input'!$B$3:$N$3,0))</f>
        <v>11.32075471698113</v>
      </c>
      <c r="M1184" s="532">
        <f>INDEX('Fuel Model -  Input'!$B$3:$N$373,MATCH($B1184,'Fuel Model -  Input'!$B$3:$B$373,0),MATCH(M$2,'Fuel Model -  Input'!$B$3:$N$3,0))</f>
        <v>11.32075471698113</v>
      </c>
    </row>
    <row r="1185" spans="2:13" hidden="1" outlineLevel="2" x14ac:dyDescent="0.2">
      <c r="B1185" t="str">
        <f>+C1185&amp;D1185&amp;E1185&amp;F1185</f>
        <v>GlobalCapexE Diesel plant capex unit costCapex/ ton e diesel</v>
      </c>
      <c r="C1185" s="157" t="s">
        <v>109</v>
      </c>
      <c r="D1185" t="s">
        <v>218</v>
      </c>
      <c r="E1185" t="s">
        <v>1054</v>
      </c>
      <c r="F1185" s="128" t="s">
        <v>1055</v>
      </c>
      <c r="G1185" s="532">
        <f>INDEX('Fuel Model -  Input'!$B$3:$N$373,MATCH($B1185,'Fuel Model -  Input'!$B$3:$B$373,0),MATCH(G$2,'Fuel Model -  Input'!$B$3:$N$3,0))</f>
        <v>6600</v>
      </c>
      <c r="H1185" s="532">
        <f>INDEX('Fuel Model -  Input'!$B$3:$N$373,MATCH($B1185,'Fuel Model -  Input'!$B$3:$B$373,0),MATCH(H$2,'Fuel Model -  Input'!$B$3:$N$3,0))</f>
        <v>5800</v>
      </c>
      <c r="I1185" s="532">
        <f>INDEX('Fuel Model -  Input'!$B$3:$N$373,MATCH($B1185,'Fuel Model -  Input'!$B$3:$B$373,0),MATCH(I$2,'Fuel Model -  Input'!$B$3:$N$3,0))</f>
        <v>5000</v>
      </c>
      <c r="J1185" s="532">
        <f>INDEX('Fuel Model -  Input'!$B$3:$N$373,MATCH($B1185,'Fuel Model -  Input'!$B$3:$B$373,0),MATCH(J$2,'Fuel Model -  Input'!$B$3:$N$3,0))</f>
        <v>4675</v>
      </c>
      <c r="K1185" s="532">
        <f>INDEX('Fuel Model -  Input'!$B$3:$N$373,MATCH($B1185,'Fuel Model -  Input'!$B$3:$B$373,0),MATCH(K$2,'Fuel Model -  Input'!$B$3:$N$3,0))</f>
        <v>4350</v>
      </c>
      <c r="L1185" s="532">
        <f>INDEX('Fuel Model -  Input'!$B$3:$N$373,MATCH($B1185,'Fuel Model -  Input'!$B$3:$B$373,0),MATCH(L$2,'Fuel Model -  Input'!$B$3:$N$3,0))</f>
        <v>3675</v>
      </c>
      <c r="M1185" s="532">
        <f>INDEX('Fuel Model -  Input'!$B$3:$N$373,MATCH($B1185,'Fuel Model -  Input'!$B$3:$B$373,0),MATCH(M$2,'Fuel Model -  Input'!$B$3:$N$3,0))</f>
        <v>3000</v>
      </c>
    </row>
    <row r="1186" spans="2:13" hidden="1" outlineLevel="2" x14ac:dyDescent="0.2">
      <c r="C1186" s="157"/>
      <c r="E1186" s="48"/>
      <c r="F1186" s="128"/>
      <c r="G1186" s="8"/>
      <c r="H1186" s="8"/>
      <c r="I1186" s="8"/>
      <c r="J1186" s="8"/>
      <c r="K1186" s="8"/>
      <c r="L1186" s="8"/>
      <c r="M1186" s="8"/>
    </row>
    <row r="1187" spans="2:13" hidden="1" outlineLevel="2" x14ac:dyDescent="0.2">
      <c r="B1187" t="str">
        <f>+C1187&amp;D1187&amp;E1187&amp;F1187</f>
        <v>AfricaOpexOpexUSD/ton e Diesel</v>
      </c>
      <c r="C1187" s="157" t="str">
        <f>+$B$1171</f>
        <v>Africa</v>
      </c>
      <c r="D1187" t="s">
        <v>219</v>
      </c>
      <c r="E1187" s="48" t="s">
        <v>219</v>
      </c>
      <c r="F1187" s="128" t="s">
        <v>1056</v>
      </c>
      <c r="G1187" s="8">
        <f t="shared" ref="G1187:M1187" si="667">G1185*G1188</f>
        <v>660</v>
      </c>
      <c r="H1187" s="8">
        <f t="shared" si="667"/>
        <v>464</v>
      </c>
      <c r="I1187" s="8">
        <f t="shared" si="667"/>
        <v>300</v>
      </c>
      <c r="J1187" s="8">
        <f t="shared" si="667"/>
        <v>280.5</v>
      </c>
      <c r="K1187" s="8">
        <f t="shared" si="667"/>
        <v>261</v>
      </c>
      <c r="L1187" s="8">
        <f t="shared" si="667"/>
        <v>183.75</v>
      </c>
      <c r="M1187" s="8">
        <f t="shared" si="667"/>
        <v>120</v>
      </c>
    </row>
    <row r="1188" spans="2:13" hidden="1" outlineLevel="2" x14ac:dyDescent="0.2">
      <c r="B1188" s="78" t="str">
        <f>+C1188&amp;D1188&amp;E1188&amp;F1188</f>
        <v>GlobalOpexOpex - e Diesel plantPercent of capex</v>
      </c>
      <c r="C1188" s="157" t="s">
        <v>109</v>
      </c>
      <c r="D1188" t="s">
        <v>219</v>
      </c>
      <c r="E1188" t="s">
        <v>1057</v>
      </c>
      <c r="F1188" s="128" t="s">
        <v>1058</v>
      </c>
      <c r="G1188" s="531">
        <f>INDEX('Fuel Model -  Input'!$B$3:$N$373,MATCH($B1188,'Fuel Model -  Input'!$B$3:$B$373,0),MATCH(G$2,'Fuel Model -  Input'!$B$3:$N$3,0))</f>
        <v>0.1</v>
      </c>
      <c r="H1188" s="531">
        <f>INDEX('Fuel Model -  Input'!$B$3:$N$373,MATCH($B1188,'Fuel Model -  Input'!$B$3:$B$373,0),MATCH(H$2,'Fuel Model -  Input'!$B$3:$N$3,0))</f>
        <v>0.08</v>
      </c>
      <c r="I1188" s="531">
        <f>INDEX('Fuel Model -  Input'!$B$3:$N$373,MATCH($B1188,'Fuel Model -  Input'!$B$3:$B$373,0),MATCH(I$2,'Fuel Model -  Input'!$B$3:$N$3,0))</f>
        <v>0.06</v>
      </c>
      <c r="J1188" s="531">
        <f>INDEX('Fuel Model -  Input'!$B$3:$N$373,MATCH($B1188,'Fuel Model -  Input'!$B$3:$B$373,0),MATCH(J$2,'Fuel Model -  Input'!$B$3:$N$3,0))</f>
        <v>0.06</v>
      </c>
      <c r="K1188" s="531">
        <f>INDEX('Fuel Model -  Input'!$B$3:$N$373,MATCH($B1188,'Fuel Model -  Input'!$B$3:$B$373,0),MATCH(K$2,'Fuel Model -  Input'!$B$3:$N$3,0))</f>
        <v>0.06</v>
      </c>
      <c r="L1188" s="531">
        <f>INDEX('Fuel Model -  Input'!$B$3:$N$373,MATCH($B1188,'Fuel Model -  Input'!$B$3:$B$373,0),MATCH(L$2,'Fuel Model -  Input'!$B$3:$N$3,0))</f>
        <v>0.05</v>
      </c>
      <c r="M1188" s="531">
        <f>INDEX('Fuel Model -  Input'!$B$3:$N$373,MATCH($B1188,'Fuel Model -  Input'!$B$3:$B$373,0),MATCH(M$2,'Fuel Model -  Input'!$B$3:$N$3,0))</f>
        <v>0.04</v>
      </c>
    </row>
    <row r="1189" spans="2:13" hidden="1" outlineLevel="2" x14ac:dyDescent="0.2">
      <c r="C1189" s="157"/>
      <c r="E1189" s="48"/>
      <c r="F1189" s="128"/>
      <c r="G1189" s="8"/>
      <c r="H1189" s="8"/>
      <c r="I1189" s="8"/>
      <c r="J1189" s="8"/>
      <c r="K1189" s="8"/>
      <c r="L1189" s="8"/>
      <c r="M1189" s="8"/>
    </row>
    <row r="1190" spans="2:13" hidden="1" outlineLevel="2" x14ac:dyDescent="0.2">
      <c r="B1190" s="78" t="str">
        <f>+C1190&amp;D1190&amp;E1190&amp;F1190</f>
        <v>AfricaGeneralElectricity costUSD/ton e Diesel</v>
      </c>
      <c r="C1190" s="157" t="str">
        <f>+$B$1171</f>
        <v>Africa</v>
      </c>
      <c r="D1190" t="s">
        <v>173</v>
      </c>
      <c r="E1190" s="48" t="s">
        <v>94</v>
      </c>
      <c r="F1190" s="128" t="s">
        <v>1056</v>
      </c>
      <c r="G1190" s="260">
        <f t="shared" ref="G1190:M1190" si="668">G1191*G1192</f>
        <v>34.42554496251433</v>
      </c>
      <c r="H1190" s="260">
        <f t="shared" si="668"/>
        <v>17.870714224321407</v>
      </c>
      <c r="I1190" s="260">
        <f t="shared" si="668"/>
        <v>12.888338597711595</v>
      </c>
      <c r="J1190" s="260">
        <f t="shared" si="668"/>
        <v>10.028320346352142</v>
      </c>
      <c r="K1190" s="260">
        <f t="shared" si="668"/>
        <v>8.4248832065233135</v>
      </c>
      <c r="L1190" s="260">
        <f t="shared" si="668"/>
        <v>6.9977174895404008</v>
      </c>
      <c r="M1190" s="260">
        <f t="shared" si="668"/>
        <v>6.0905701724156565</v>
      </c>
    </row>
    <row r="1191" spans="2:13" hidden="1" outlineLevel="2" x14ac:dyDescent="0.2">
      <c r="B1191" s="78" t="str">
        <f>+C1191&amp;D1191&amp;E1191&amp;F1191</f>
        <v>AfricaFeedstockElectricityUSD/MWh</v>
      </c>
      <c r="C1191" s="157" t="str">
        <f>+$B$1171</f>
        <v>Africa</v>
      </c>
      <c r="D1191" t="s">
        <v>777</v>
      </c>
      <c r="E1191" s="48" t="s">
        <v>54</v>
      </c>
      <c r="F1191" s="128" t="s">
        <v>196</v>
      </c>
      <c r="G1191" s="532">
        <f>INDEX('Fuel Model -  Input'!$B$3:$N$373,MATCH($B1191,'Fuel Model -  Input'!$B$3:$B$373,0),MATCH(G$2,'Fuel Model -  Input'!$B$3:$N$3,0))</f>
        <v>78.959338985079413</v>
      </c>
      <c r="H1191" s="532">
        <f>INDEX('Fuel Model -  Input'!$B$3:$N$373,MATCH($B1191,'Fuel Model -  Input'!$B$3:$B$373,0),MATCH(H$2,'Fuel Model -  Input'!$B$3:$N$3,0))</f>
        <v>44.676785560803516</v>
      </c>
      <c r="I1191" s="532">
        <f>INDEX('Fuel Model -  Input'!$B$3:$N$373,MATCH($B1191,'Fuel Model -  Input'!$B$3:$B$373,0),MATCH(I$2,'Fuel Model -  Input'!$B$3:$N$3,0))</f>
        <v>35.119981181981451</v>
      </c>
      <c r="J1191" s="532">
        <f>INDEX('Fuel Model -  Input'!$B$3:$N$373,MATCH($B1191,'Fuel Model -  Input'!$B$3:$B$373,0),MATCH(J$2,'Fuel Model -  Input'!$B$3:$N$3,0))</f>
        <v>29.785360764210218</v>
      </c>
      <c r="K1191" s="532">
        <f>INDEX('Fuel Model -  Input'!$B$3:$N$373,MATCH($B1191,'Fuel Model -  Input'!$B$3:$B$373,0),MATCH(K$2,'Fuel Model -  Input'!$B$3:$N$3,0))</f>
        <v>27.274442592674799</v>
      </c>
      <c r="L1191" s="532">
        <f>INDEX('Fuel Model -  Input'!$B$3:$N$373,MATCH($B1191,'Fuel Model -  Input'!$B$3:$B$373,0),MATCH(L$2,'Fuel Model -  Input'!$B$3:$N$3,0))</f>
        <v>24.692537876031398</v>
      </c>
      <c r="M1191" s="532">
        <f>INDEX('Fuel Model -  Input'!$B$3:$N$373,MATCH($B1191,'Fuel Model -  Input'!$B$3:$B$373,0),MATCH(M$2,'Fuel Model -  Input'!$B$3:$N$3,0))</f>
        <v>23.425269893906371</v>
      </c>
    </row>
    <row r="1192" spans="2:13" hidden="1" outlineLevel="2" x14ac:dyDescent="0.2">
      <c r="B1192" s="78" t="str">
        <f>+C1192&amp;D1192&amp;E1192&amp;F1192</f>
        <v>GlobalGeneralElectricity demandmWh/ton e Diesel</v>
      </c>
      <c r="C1192" s="157" t="s">
        <v>109</v>
      </c>
      <c r="D1192" t="s">
        <v>173</v>
      </c>
      <c r="E1192" s="48" t="s">
        <v>963</v>
      </c>
      <c r="F1192" s="128" t="s">
        <v>1059</v>
      </c>
      <c r="G1192" s="521">
        <f>INDEX('Fuel Model -  Input'!$B$3:$N$373,MATCH($B1192,'Fuel Model -  Input'!$B$3:$B$373,0),MATCH(G$2,'Fuel Model -  Input'!$B$3:$N$3,0))</f>
        <v>0.43599079481933817</v>
      </c>
      <c r="H1192" s="521">
        <f>INDEX('Fuel Model -  Input'!$B$3:$N$373,MATCH($B1192,'Fuel Model -  Input'!$B$3:$B$373,0),MATCH(H$2,'Fuel Model -  Input'!$B$3:$N$3,0))</f>
        <v>0.4</v>
      </c>
      <c r="I1192" s="521">
        <f>INDEX('Fuel Model -  Input'!$B$3:$N$373,MATCH($B1192,'Fuel Model -  Input'!$B$3:$B$373,0),MATCH(I$2,'Fuel Model -  Input'!$B$3:$N$3,0))</f>
        <v>0.36698022504419925</v>
      </c>
      <c r="J1192" s="521">
        <f>INDEX('Fuel Model -  Input'!$B$3:$N$373,MATCH($B1192,'Fuel Model -  Input'!$B$3:$B$373,0),MATCH(J$2,'Fuel Model -  Input'!$B$3:$N$3,0))</f>
        <v>0.33668621393372777</v>
      </c>
      <c r="K1192" s="521">
        <f>INDEX('Fuel Model -  Input'!$B$3:$N$373,MATCH($B1192,'Fuel Model -  Input'!$B$3:$B$373,0),MATCH(K$2,'Fuel Model -  Input'!$B$3:$N$3,0))</f>
        <v>0.30889295639669706</v>
      </c>
      <c r="L1192" s="521">
        <f>INDEX('Fuel Model -  Input'!$B$3:$N$373,MATCH($B1192,'Fuel Model -  Input'!$B$3:$B$373,0),MATCH(L$2,'Fuel Model -  Input'!$B$3:$N$3,0))</f>
        <v>0.28339401663256975</v>
      </c>
      <c r="M1192" s="521">
        <f>INDEX('Fuel Model -  Input'!$B$3:$N$373,MATCH($B1192,'Fuel Model -  Input'!$B$3:$B$373,0),MATCH(M$2,'Fuel Model -  Input'!$B$3:$N$3,0))</f>
        <v>0.26</v>
      </c>
    </row>
    <row r="1193" spans="2:13" hidden="1" outlineLevel="2" x14ac:dyDescent="0.2">
      <c r="C1193" s="157"/>
      <c r="E1193" s="48"/>
      <c r="F1193" s="128"/>
      <c r="G1193" s="524"/>
      <c r="H1193" s="524"/>
      <c r="I1193" s="524"/>
      <c r="J1193" s="524"/>
      <c r="K1193" s="524"/>
      <c r="L1193" s="524"/>
      <c r="M1193" s="524"/>
    </row>
    <row r="1194" spans="2:13" hidden="1" outlineLevel="2" x14ac:dyDescent="0.2">
      <c r="B1194" s="78" t="str">
        <f>+C1194&amp;D1194&amp;E1194&amp;F1194</f>
        <v>AfricaFeedstockFeedstock CO2USD/ton e Diesel</v>
      </c>
      <c r="C1194" s="157" t="str">
        <f>+$B$1171</f>
        <v>Africa</v>
      </c>
      <c r="D1194" t="s">
        <v>777</v>
      </c>
      <c r="E1194" s="48" t="s">
        <v>1007</v>
      </c>
      <c r="F1194" s="128" t="s">
        <v>1056</v>
      </c>
      <c r="G1194" s="8">
        <f t="shared" ref="G1194:M1194" si="669">G1195*G1196</f>
        <v>1323.0531596843996</v>
      </c>
      <c r="H1194" s="8">
        <f t="shared" si="669"/>
        <v>848.72515847644945</v>
      </c>
      <c r="I1194" s="8">
        <f t="shared" si="669"/>
        <v>662.47247702870459</v>
      </c>
      <c r="J1194" s="8">
        <f t="shared" si="669"/>
        <v>538.16561978961499</v>
      </c>
      <c r="K1194" s="8">
        <f t="shared" si="669"/>
        <v>453.98318821975698</v>
      </c>
      <c r="L1194" s="8">
        <f t="shared" si="669"/>
        <v>381.36758233512899</v>
      </c>
      <c r="M1194" s="8">
        <f t="shared" si="669"/>
        <v>327.75987846158841</v>
      </c>
    </row>
    <row r="1195" spans="2:13" hidden="1" outlineLevel="2" x14ac:dyDescent="0.2">
      <c r="B1195" s="78" t="str">
        <f>+C1195&amp;D1195&amp;E1195&amp;F1195</f>
        <v>GlobalFeedstockConversion CO2 : e Diesel (actual)kg CO2/kg e Diesel</v>
      </c>
      <c r="C1195" s="157" t="s">
        <v>109</v>
      </c>
      <c r="D1195" t="s">
        <v>777</v>
      </c>
      <c r="E1195" t="s">
        <v>1060</v>
      </c>
      <c r="F1195" s="128" t="s">
        <v>1061</v>
      </c>
      <c r="G1195" s="521">
        <f>INDEX('Fuel Model -  Input'!$B$3:$N$373,MATCH($B1195,'Fuel Model -  Input'!$B$3:$B$373,0),MATCH(G$2,'Fuel Model -  Input'!$B$3:$N$3,0))</f>
        <v>3.48</v>
      </c>
      <c r="H1195" s="521">
        <f>INDEX('Fuel Model -  Input'!$B$3:$N$373,MATCH($B1195,'Fuel Model -  Input'!$B$3:$B$373,0),MATCH(H$2,'Fuel Model -  Input'!$B$3:$N$3,0))</f>
        <v>3.48</v>
      </c>
      <c r="I1195" s="521">
        <f>INDEX('Fuel Model -  Input'!$B$3:$N$373,MATCH($B1195,'Fuel Model -  Input'!$B$3:$B$373,0),MATCH(I$2,'Fuel Model -  Input'!$B$3:$N$3,0))</f>
        <v>3.48</v>
      </c>
      <c r="J1195" s="521">
        <f>INDEX('Fuel Model -  Input'!$B$3:$N$373,MATCH($B1195,'Fuel Model -  Input'!$B$3:$B$373,0),MATCH(J$2,'Fuel Model -  Input'!$B$3:$N$3,0))</f>
        <v>3.48</v>
      </c>
      <c r="K1195" s="521">
        <f>INDEX('Fuel Model -  Input'!$B$3:$N$373,MATCH($B1195,'Fuel Model -  Input'!$B$3:$B$373,0),MATCH(K$2,'Fuel Model -  Input'!$B$3:$N$3,0))</f>
        <v>3.48</v>
      </c>
      <c r="L1195" s="521">
        <f>INDEX('Fuel Model -  Input'!$B$3:$N$373,MATCH($B1195,'Fuel Model -  Input'!$B$3:$B$373,0),MATCH(L$2,'Fuel Model -  Input'!$B$3:$N$3,0))</f>
        <v>3.48</v>
      </c>
      <c r="M1195" s="521">
        <f>INDEX('Fuel Model -  Input'!$B$3:$N$373,MATCH($B1195,'Fuel Model -  Input'!$B$3:$B$373,0),MATCH(M$2,'Fuel Model -  Input'!$B$3:$N$3,0))</f>
        <v>3.48</v>
      </c>
    </row>
    <row r="1196" spans="2:13" hidden="1" outlineLevel="2" x14ac:dyDescent="0.2">
      <c r="B1196" s="78" t="str">
        <f>+C1196&amp;D1196&amp;E1196&amp;F1196</f>
        <v>AfricaFeedstockCost of CO2 DACUSD/ton</v>
      </c>
      <c r="C1196" s="157" t="str">
        <f>+$B$1171</f>
        <v>Africa</v>
      </c>
      <c r="D1196" t="s">
        <v>777</v>
      </c>
      <c r="E1196" t="s">
        <v>1010</v>
      </c>
      <c r="F1196" s="128" t="s">
        <v>205</v>
      </c>
      <c r="G1196" s="532">
        <f t="shared" ref="G1196:M1196" si="670">INDEX(G$1564:G$1568,MATCH($C1196,$C$1564:$C$1568,0))</f>
        <v>380.18768956448264</v>
      </c>
      <c r="H1196" s="532">
        <f t="shared" si="670"/>
        <v>243.88653979208317</v>
      </c>
      <c r="I1196" s="532">
        <f t="shared" si="670"/>
        <v>190.36565431859327</v>
      </c>
      <c r="J1196" s="532">
        <f t="shared" si="670"/>
        <v>154.64529304299282</v>
      </c>
      <c r="K1196" s="532">
        <f t="shared" si="670"/>
        <v>130.45493914360833</v>
      </c>
      <c r="L1196" s="532">
        <f t="shared" si="670"/>
        <v>109.58838572848535</v>
      </c>
      <c r="M1196" s="532">
        <f t="shared" si="670"/>
        <v>94.183873121146092</v>
      </c>
    </row>
    <row r="1197" spans="2:13" hidden="1" outlineLevel="2" x14ac:dyDescent="0.2">
      <c r="C1197" s="157"/>
      <c r="F1197" s="128"/>
      <c r="G1197" s="520"/>
      <c r="H1197" s="520"/>
      <c r="I1197" s="520"/>
      <c r="J1197" s="520"/>
      <c r="K1197" s="520"/>
      <c r="L1197" s="520"/>
      <c r="M1197" s="520"/>
    </row>
    <row r="1198" spans="2:13" hidden="1" outlineLevel="2" x14ac:dyDescent="0.2">
      <c r="B1198" s="78" t="str">
        <f>+C1198&amp;D1198&amp;E1198&amp;F1198</f>
        <v>AfricaFeedstockFeedstock CO2USD/ton e Diesel</v>
      </c>
      <c r="C1198" s="157" t="str">
        <f>+$B$1171</f>
        <v>Africa</v>
      </c>
      <c r="D1198" t="s">
        <v>777</v>
      </c>
      <c r="E1198" s="48" t="s">
        <v>1007</v>
      </c>
      <c r="F1198" s="128" t="s">
        <v>1056</v>
      </c>
      <c r="G1198" s="8">
        <f t="shared" ref="G1198:M1198" si="671">G1199*G1200</f>
        <v>677.26032485063456</v>
      </c>
      <c r="H1198" s="8">
        <f t="shared" si="671"/>
        <v>527.29384618821837</v>
      </c>
      <c r="I1198" s="8">
        <f t="shared" si="671"/>
        <v>416.04789053098301</v>
      </c>
      <c r="J1198" s="8">
        <f t="shared" si="671"/>
        <v>370.38537495675325</v>
      </c>
      <c r="K1198" s="8">
        <f t="shared" si="671"/>
        <v>329.14477710012875</v>
      </c>
      <c r="L1198" s="8">
        <f t="shared" si="671"/>
        <v>287.79301431386523</v>
      </c>
      <c r="M1198" s="8">
        <f t="shared" si="671"/>
        <v>248.49997265385738</v>
      </c>
    </row>
    <row r="1199" spans="2:13" hidden="1" outlineLevel="2" x14ac:dyDescent="0.2">
      <c r="B1199" s="78" t="str">
        <f>+C1199&amp;D1199&amp;E1199&amp;F1199</f>
        <v>GlobalFeedstockConversion CO2 : e Diesel (actual)kg CO2/kg e Diesel</v>
      </c>
      <c r="C1199" s="157" t="s">
        <v>109</v>
      </c>
      <c r="D1199" t="s">
        <v>777</v>
      </c>
      <c r="E1199" t="s">
        <v>1060</v>
      </c>
      <c r="F1199" s="128" t="s">
        <v>1061</v>
      </c>
      <c r="G1199" s="521">
        <f>INDEX('Fuel Model -  Input'!$B$3:$N$373,MATCH($B1199,'Fuel Model -  Input'!$B$3:$B$373,0),MATCH(G$2,'Fuel Model -  Input'!$B$3:$N$3,0))</f>
        <v>3.48</v>
      </c>
      <c r="H1199" s="521">
        <f>INDEX('Fuel Model -  Input'!$B$3:$N$373,MATCH($B1199,'Fuel Model -  Input'!$B$3:$B$373,0),MATCH(H$2,'Fuel Model -  Input'!$B$3:$N$3,0))</f>
        <v>3.48</v>
      </c>
      <c r="I1199" s="521">
        <f>INDEX('Fuel Model -  Input'!$B$3:$N$373,MATCH($B1199,'Fuel Model -  Input'!$B$3:$B$373,0),MATCH(I$2,'Fuel Model -  Input'!$B$3:$N$3,0))</f>
        <v>3.48</v>
      </c>
      <c r="J1199" s="521">
        <f>INDEX('Fuel Model -  Input'!$B$3:$N$373,MATCH($B1199,'Fuel Model -  Input'!$B$3:$B$373,0),MATCH(J$2,'Fuel Model -  Input'!$B$3:$N$3,0))</f>
        <v>3.48</v>
      </c>
      <c r="K1199" s="521">
        <f>INDEX('Fuel Model -  Input'!$B$3:$N$373,MATCH($B1199,'Fuel Model -  Input'!$B$3:$B$373,0),MATCH(K$2,'Fuel Model -  Input'!$B$3:$N$3,0))</f>
        <v>3.48</v>
      </c>
      <c r="L1199" s="521">
        <f>INDEX('Fuel Model -  Input'!$B$3:$N$373,MATCH($B1199,'Fuel Model -  Input'!$B$3:$B$373,0),MATCH(L$2,'Fuel Model -  Input'!$B$3:$N$3,0))</f>
        <v>3.48</v>
      </c>
      <c r="M1199" s="521">
        <f>INDEX('Fuel Model -  Input'!$B$3:$N$373,MATCH($B1199,'Fuel Model -  Input'!$B$3:$B$373,0),MATCH(M$2,'Fuel Model -  Input'!$B$3:$N$3,0))</f>
        <v>3.48</v>
      </c>
    </row>
    <row r="1200" spans="2:13" hidden="1" outlineLevel="2" x14ac:dyDescent="0.2">
      <c r="B1200" s="78" t="str">
        <f>+C1200&amp;D1200&amp;E1200&amp;F1200</f>
        <v>AfricaFeedstockCost of CO2 PSUSD/ton</v>
      </c>
      <c r="C1200" s="157" t="str">
        <f>+$B$1171</f>
        <v>Africa</v>
      </c>
      <c r="D1200" t="s">
        <v>777</v>
      </c>
      <c r="E1200" t="s">
        <v>1011</v>
      </c>
      <c r="F1200" s="128" t="s">
        <v>205</v>
      </c>
      <c r="G1200" s="532">
        <f t="shared" ref="G1200:M1200" si="672">INDEX(G$1538:G$1542,MATCH($B1200,$B$1538:$B$1542,0))</f>
        <v>194.61503587661912</v>
      </c>
      <c r="H1200" s="532">
        <f t="shared" si="672"/>
        <v>151.52122016902825</v>
      </c>
      <c r="I1200" s="532">
        <f t="shared" si="672"/>
        <v>119.55399153189167</v>
      </c>
      <c r="J1200" s="532">
        <f t="shared" si="672"/>
        <v>106.43257901056128</v>
      </c>
      <c r="K1200" s="532">
        <f t="shared" si="672"/>
        <v>94.581832500036995</v>
      </c>
      <c r="L1200" s="532">
        <f t="shared" si="672"/>
        <v>82.699142044214142</v>
      </c>
      <c r="M1200" s="532">
        <f t="shared" si="672"/>
        <v>71.408038118924537</v>
      </c>
    </row>
    <row r="1201" spans="2:13" hidden="1" outlineLevel="2" x14ac:dyDescent="0.2">
      <c r="C1201" s="157"/>
      <c r="F1201" s="128"/>
      <c r="G1201" s="520"/>
      <c r="H1201" s="520"/>
      <c r="I1201" s="520"/>
      <c r="J1201" s="520"/>
      <c r="K1201" s="520"/>
      <c r="L1201" s="520"/>
      <c r="M1201" s="520"/>
    </row>
    <row r="1202" spans="2:13" hidden="1" outlineLevel="2" x14ac:dyDescent="0.2">
      <c r="B1202" s="78" t="str">
        <f>+C1202&amp;D1202&amp;E1202&amp;F1202</f>
        <v>AfricaFeedstockFeedstock H2USD/ton e Diesel</v>
      </c>
      <c r="C1202" s="157" t="str">
        <f>+$B$1171</f>
        <v>Africa</v>
      </c>
      <c r="D1202" t="s">
        <v>777</v>
      </c>
      <c r="E1202" s="48" t="s">
        <v>970</v>
      </c>
      <c r="F1202" s="128" t="s">
        <v>1056</v>
      </c>
      <c r="G1202" s="8">
        <f t="shared" ref="G1202:M1202" si="673">G1205*G1206</f>
        <v>2861.0652224717551</v>
      </c>
      <c r="H1202" s="8">
        <f t="shared" si="673"/>
        <v>1841.1110357811217</v>
      </c>
      <c r="I1202" s="8">
        <f t="shared" si="673"/>
        <v>1476.2307084716433</v>
      </c>
      <c r="J1202" s="8">
        <f t="shared" si="673"/>
        <v>1303.855251066208</v>
      </c>
      <c r="K1202" s="8">
        <f t="shared" si="673"/>
        <v>1126.8073648489656</v>
      </c>
      <c r="L1202" s="8">
        <f t="shared" si="673"/>
        <v>904.61647917819903</v>
      </c>
      <c r="M1202" s="8">
        <f t="shared" si="673"/>
        <v>711.48366721095601</v>
      </c>
    </row>
    <row r="1203" spans="2:13" hidden="1" outlineLevel="2" x14ac:dyDescent="0.2">
      <c r="B1203" t="str">
        <f>+C1203&amp;D1203&amp;E1203&amp;F1203</f>
        <v>AfricaResultsShare of RNE e-Hydrogen (compressed)%</v>
      </c>
      <c r="C1203" t="str">
        <f>+$B$1171</f>
        <v>Africa</v>
      </c>
      <c r="D1203" t="s">
        <v>838</v>
      </c>
      <c r="E1203" s="48" t="s">
        <v>848</v>
      </c>
      <c r="F1203" s="128" t="s">
        <v>178</v>
      </c>
      <c r="G1203" s="537">
        <f t="shared" ref="G1203:M1203" si="674">+INDEX($A:$M,MATCH($B1203,$B:$B,0),MATCH(G$2,$2:$2,0))</f>
        <v>0.70374350439456668</v>
      </c>
      <c r="H1203" s="537">
        <f t="shared" si="674"/>
        <v>0.61587638958022917</v>
      </c>
      <c r="I1203" s="537">
        <f t="shared" si="674"/>
        <v>0.59578206340737183</v>
      </c>
      <c r="J1203" s="537">
        <f t="shared" si="674"/>
        <v>0.55164163635488539</v>
      </c>
      <c r="K1203" s="537">
        <f t="shared" si="674"/>
        <v>0.55849335567638114</v>
      </c>
      <c r="L1203" s="537">
        <f t="shared" si="674"/>
        <v>0.59075971910739944</v>
      </c>
      <c r="M1203" s="537">
        <f t="shared" si="674"/>
        <v>0.67546332636465578</v>
      </c>
    </row>
    <row r="1204" spans="2:13" hidden="1" outlineLevel="2" x14ac:dyDescent="0.2">
      <c r="B1204" t="str">
        <f>+C1204&amp;D1204&amp;E1204&amp;F1204</f>
        <v>AfricaResultsShare of Capex e-Hydrogen (compressed)%</v>
      </c>
      <c r="C1204" t="str">
        <f>+$B$1171</f>
        <v>Africa</v>
      </c>
      <c r="D1204" t="s">
        <v>838</v>
      </c>
      <c r="E1204" s="48" t="s">
        <v>850</v>
      </c>
      <c r="F1204" s="128" t="s">
        <v>178</v>
      </c>
      <c r="G1204" s="537">
        <f t="shared" ref="G1204:M1204" si="675">+INDEX(G$4:G$581,MATCH($B1204,$B$4:$B$581,0))</f>
        <v>0.13709753132575195</v>
      </c>
      <c r="H1204" s="537">
        <f t="shared" si="675"/>
        <v>0.17854777040440584</v>
      </c>
      <c r="I1204" s="537">
        <f t="shared" si="675"/>
        <v>0.19487111194737386</v>
      </c>
      <c r="J1204" s="537">
        <f t="shared" si="675"/>
        <v>0.23236206902119594</v>
      </c>
      <c r="K1204" s="537">
        <f t="shared" si="675"/>
        <v>0.24740459873320536</v>
      </c>
      <c r="L1204" s="537">
        <f t="shared" si="675"/>
        <v>0.24614153573918471</v>
      </c>
      <c r="M1204" s="537">
        <f t="shared" si="675"/>
        <v>0.20501738780232606</v>
      </c>
    </row>
    <row r="1205" spans="2:13" hidden="1" outlineLevel="2" x14ac:dyDescent="0.2">
      <c r="B1205" s="78" t="str">
        <f>+C1205&amp;D1205&amp;E1205&amp;F1205</f>
        <v>GlobalFeedstockConversion H2 : e Diesel (actual)tons H2/ton e Diesel</v>
      </c>
      <c r="C1205" s="157" t="s">
        <v>109</v>
      </c>
      <c r="D1205" t="s">
        <v>777</v>
      </c>
      <c r="E1205" t="s">
        <v>1062</v>
      </c>
      <c r="F1205" s="128" t="s">
        <v>1063</v>
      </c>
      <c r="G1205" s="521">
        <f>+INDEX('Fuel Model -  Input'!$B$3:$N$373,MATCH($B1205,'Fuel Model -  Input'!$B$3:$B$373,0),MATCH(G$2,'Fuel Model -  Input'!$B$3:$N$3,0))</f>
        <v>0.47</v>
      </c>
      <c r="H1205" s="521">
        <f>+INDEX('Fuel Model -  Input'!$B$3:$N$373,MATCH($B1205,'Fuel Model -  Input'!$B$3:$B$373,0),MATCH(H$2,'Fuel Model -  Input'!$B$3:$N$3,0))</f>
        <v>0.47</v>
      </c>
      <c r="I1205" s="521">
        <f>+INDEX('Fuel Model -  Input'!$B$3:$N$373,MATCH($B1205,'Fuel Model -  Input'!$B$3:$B$373,0),MATCH(I$2,'Fuel Model -  Input'!$B$3:$N$3,0))</f>
        <v>0.47</v>
      </c>
      <c r="J1205" s="521">
        <f>+INDEX('Fuel Model -  Input'!$B$3:$N$373,MATCH($B1205,'Fuel Model -  Input'!$B$3:$B$373,0),MATCH(J$2,'Fuel Model -  Input'!$B$3:$N$3,0))</f>
        <v>0.47</v>
      </c>
      <c r="K1205" s="521">
        <f>+INDEX('Fuel Model -  Input'!$B$3:$N$373,MATCH($B1205,'Fuel Model -  Input'!$B$3:$B$373,0),MATCH(K$2,'Fuel Model -  Input'!$B$3:$N$3,0))</f>
        <v>0.47</v>
      </c>
      <c r="L1205" s="521">
        <f>+INDEX('Fuel Model -  Input'!$B$3:$N$373,MATCH($B1205,'Fuel Model -  Input'!$B$3:$B$373,0),MATCH(L$2,'Fuel Model -  Input'!$B$3:$N$3,0))</f>
        <v>0.47</v>
      </c>
      <c r="M1205" s="521">
        <f>+INDEX('Fuel Model -  Input'!$B$3:$N$373,MATCH($B1205,'Fuel Model -  Input'!$B$3:$B$373,0),MATCH(M$2,'Fuel Model -  Input'!$B$3:$N$3,0))</f>
        <v>0.47</v>
      </c>
    </row>
    <row r="1206" spans="2:13" hidden="1" outlineLevel="2" x14ac:dyDescent="0.2">
      <c r="B1206" s="78" t="str">
        <f>+C1206&amp;D1206&amp;E1206&amp;F1206</f>
        <v>AfricaResultsCost of e-Hydrogen (compressed)USD/ton</v>
      </c>
      <c r="C1206" s="157" t="str">
        <f>+$B$1171</f>
        <v>Africa</v>
      </c>
      <c r="D1206" t="s">
        <v>838</v>
      </c>
      <c r="E1206" t="s">
        <v>846</v>
      </c>
      <c r="F1206" s="128" t="s">
        <v>205</v>
      </c>
      <c r="G1206" s="532">
        <f>INDEX(G$4:G1205,MATCH($B1206,$B$4:$B1205,0))</f>
        <v>6087.3728137696917</v>
      </c>
      <c r="H1206" s="532">
        <f>INDEX(H$4:H1205,MATCH($B1206,$B$4:$B1205,0))</f>
        <v>3917.257522938557</v>
      </c>
      <c r="I1206" s="532">
        <f>INDEX(I$4:I1205,MATCH($B1206,$B$4:$B1205,0))</f>
        <v>3140.9164010034965</v>
      </c>
      <c r="J1206" s="532">
        <f>INDEX(J$4:J1205,MATCH($B1206,$B$4:$B1205,0))</f>
        <v>2774.1601086515066</v>
      </c>
      <c r="K1206" s="532">
        <f>INDEX(K$4:K1205,MATCH($B1206,$B$4:$B1205,0))</f>
        <v>2397.4624784020543</v>
      </c>
      <c r="L1206" s="532">
        <f>INDEX(L$4:L1205,MATCH($B1206,$B$4:$B1205,0))</f>
        <v>1924.7159131451044</v>
      </c>
      <c r="M1206" s="532">
        <f>INDEX(M$4:M1205,MATCH($B1206,$B$4:$B1205,0))</f>
        <v>1513.7950366190555</v>
      </c>
    </row>
    <row r="1207" spans="2:13" ht="12.75" hidden="1" outlineLevel="1" x14ac:dyDescent="0.2">
      <c r="F1207"/>
    </row>
    <row r="1208" spans="2:13" ht="15" hidden="1" outlineLevel="1" x14ac:dyDescent="0.25">
      <c r="B1208" s="30" t="s">
        <v>1064</v>
      </c>
      <c r="C1208" s="30" t="str">
        <f>+B1208</f>
        <v>CO2eq intensity ton/ton e Diesel DAC</v>
      </c>
      <c r="F1208"/>
    </row>
    <row r="1209" spans="2:13" ht="15" hidden="1" outlineLevel="1" collapsed="1" x14ac:dyDescent="0.25">
      <c r="B1209" s="527" t="str">
        <f>+C1209&amp;D1209&amp;E1209&amp;F1209</f>
        <v xml:space="preserve">GlobalEmissionsWTT Emission - e-Diesel (DAC)tonCO2eq/ ton </v>
      </c>
      <c r="C1209" s="516" t="s">
        <v>109</v>
      </c>
      <c r="D1209" s="516" t="s">
        <v>728</v>
      </c>
      <c r="E1209" s="516" t="s">
        <v>1065</v>
      </c>
      <c r="F1209" s="512" t="s">
        <v>1016</v>
      </c>
      <c r="G1209" s="533">
        <f t="shared" ref="G1209:M1209" si="676">G1211*G1057+G1044*G1212+G1213+G1214*G1047+(G1215-G1047)*G1214</f>
        <v>-3.0700604617267326</v>
      </c>
      <c r="H1209" s="533">
        <f t="shared" si="676"/>
        <v>-3.0708976509117432</v>
      </c>
      <c r="I1209" s="533">
        <f t="shared" si="676"/>
        <v>-3.0728843377137416</v>
      </c>
      <c r="J1209" s="533">
        <f t="shared" si="676"/>
        <v>-3.0778527733409353</v>
      </c>
      <c r="K1209" s="533">
        <f t="shared" si="676"/>
        <v>-3.0837732781424343</v>
      </c>
      <c r="L1209" s="533">
        <f t="shared" si="676"/>
        <v>-3.0915936071724515</v>
      </c>
      <c r="M1209" s="533">
        <f t="shared" si="676"/>
        <v>-3.0977718159117433</v>
      </c>
    </row>
    <row r="1210" spans="2:13" hidden="1" outlineLevel="2" x14ac:dyDescent="0.2">
      <c r="B1210" s="496"/>
      <c r="C1210" s="157"/>
      <c r="D1210" s="157"/>
      <c r="E1210" s="157"/>
      <c r="G1210" s="449"/>
      <c r="H1210" s="449"/>
      <c r="I1210" s="449"/>
      <c r="J1210" s="449"/>
      <c r="K1210" s="449"/>
      <c r="L1210" s="449"/>
      <c r="M1210" s="449"/>
    </row>
    <row r="1211" spans="2:13" hidden="1" outlineLevel="2" x14ac:dyDescent="0.2">
      <c r="B1211" s="496" t="str">
        <f>+C1211&amp;D1211&amp;E1211&amp;F1211</f>
        <v>GlobalCO2intensityWTT emission - e-Hydrogen (compressed)tonCO2eq/tonH2</v>
      </c>
      <c r="C1211" s="157" t="s">
        <v>109</v>
      </c>
      <c r="D1211" s="157" t="s">
        <v>927</v>
      </c>
      <c r="E1211" s="157" t="s">
        <v>950</v>
      </c>
      <c r="F1211" s="157" t="s">
        <v>929</v>
      </c>
      <c r="G1211" s="521">
        <f>INDEX(G$4:G1210,MATCH($B1211,$B$4:$B1210,0))</f>
        <v>0.29135003961027883</v>
      </c>
      <c r="H1211" s="521">
        <f>INDEX(H$4:H1210,MATCH($B1211,$B$4:$B1210,0))</f>
        <v>0.28997999999999996</v>
      </c>
      <c r="I1211" s="521">
        <f>INDEX(I$4:I1210,MATCH($B1211,$B$4:$B1210,0))</f>
        <v>0.28613027529683921</v>
      </c>
      <c r="J1211" s="521">
        <f>INDEX(J$4:J1210,MATCH($B1211,$B$4:$B1210,0))</f>
        <v>0.27590526085528511</v>
      </c>
      <c r="K1211" s="521">
        <f>INDEX(K$4:K1210,MATCH($B1211,$B$4:$B1210,0))</f>
        <v>0.26362599487969951</v>
      </c>
      <c r="L1211" s="521">
        <f>INDEX(L$4:L1210,MATCH($B1211,$B$4:$B1210,0))</f>
        <v>0.24727833589356388</v>
      </c>
      <c r="M1211" s="521">
        <f>INDEX(M$4:M1210,MATCH($B1211,$B$4:$B1210,0))</f>
        <v>0.23440049999999998</v>
      </c>
    </row>
    <row r="1212" spans="2:13" hidden="1" outlineLevel="2" x14ac:dyDescent="0.2">
      <c r="B1212" s="496" t="str">
        <f>+C1212&amp;D1212&amp;E1212&amp;F1212</f>
        <v>GlobalCO2intensityElectricitytonCO2eq/MWH</v>
      </c>
      <c r="C1212" s="157" t="s">
        <v>109</v>
      </c>
      <c r="D1212" s="157" t="s">
        <v>927</v>
      </c>
      <c r="E1212" s="157" t="s">
        <v>54</v>
      </c>
      <c r="F1212" s="157" t="s">
        <v>937</v>
      </c>
      <c r="G1212" s="521">
        <f>+INDEX('Fuel Model -  Input'!$B$3:$N$373,MATCH($B1212,'Fuel Model -  Input'!$B$3:$B$373,0),MATCH(G$2,'Fuel Model -  Input'!$B$3:$N$3,0))</f>
        <v>5.3699999999999998E-3</v>
      </c>
      <c r="H1212" s="521">
        <f>+INDEX('Fuel Model -  Input'!$B$3:$N$373,MATCH($B1212,'Fuel Model -  Input'!$B$3:$B$373,0),MATCH(H$2,'Fuel Model -  Input'!$B$3:$N$3,0))</f>
        <v>5.3699999999999998E-3</v>
      </c>
      <c r="I1212" s="521">
        <f>+INDEX('Fuel Model -  Input'!$B$3:$N$373,MATCH($B1212,'Fuel Model -  Input'!$B$3:$B$373,0),MATCH(I$2,'Fuel Model -  Input'!$B$3:$N$3,0))</f>
        <v>5.3699999999999998E-3</v>
      </c>
      <c r="J1212" s="521">
        <f>+INDEX('Fuel Model -  Input'!$B$3:$N$373,MATCH($B1212,'Fuel Model -  Input'!$B$3:$B$373,0),MATCH(J$2,'Fuel Model -  Input'!$B$3:$N$3,0))</f>
        <v>5.3699999999999998E-3</v>
      </c>
      <c r="K1212" s="521">
        <f>+INDEX('Fuel Model -  Input'!$B$3:$N$373,MATCH($B1212,'Fuel Model -  Input'!$B$3:$B$373,0),MATCH(K$2,'Fuel Model -  Input'!$B$3:$N$3,0))</f>
        <v>5.3699999999999998E-3</v>
      </c>
      <c r="L1212" s="521">
        <f>+INDEX('Fuel Model -  Input'!$B$3:$N$373,MATCH($B1212,'Fuel Model -  Input'!$B$3:$B$373,0),MATCH(L$2,'Fuel Model -  Input'!$B$3:$N$3,0))</f>
        <v>5.3699999999999998E-3</v>
      </c>
      <c r="M1212" s="521">
        <f>+INDEX('Fuel Model -  Input'!$B$3:$N$373,MATCH($B1212,'Fuel Model -  Input'!$B$3:$B$373,0),MATCH(M$2,'Fuel Model -  Input'!$B$3:$N$3,0))</f>
        <v>5.3699999999999998E-3</v>
      </c>
    </row>
    <row r="1213" spans="2:13" hidden="1" outlineLevel="2" x14ac:dyDescent="0.2">
      <c r="B1213" s="496" t="str">
        <f>+C1213&amp;D1213&amp;E1213&amp;F1213</f>
        <v>GlobalCO2intensityeDiesel synthesis process tonCO2eq/ton e diesel</v>
      </c>
      <c r="C1213" s="498" t="s">
        <v>109</v>
      </c>
      <c r="D1213" s="498" t="s">
        <v>927</v>
      </c>
      <c r="E1213" s="498" t="s">
        <v>1066</v>
      </c>
      <c r="F1213" s="498" t="s">
        <v>1067</v>
      </c>
      <c r="G1213" s="521">
        <f>+INDEX('Fuel Model -  Input'!$B$3:$N$373,MATCH($B1213,'Fuel Model -  Input'!$B$3:$B$373,0),MATCH(G$2,'Fuel Model -  Input'!$B$3:$N$3,0))</f>
        <v>0</v>
      </c>
      <c r="H1213" s="521">
        <f>+INDEX('Fuel Model -  Input'!$B$3:$N$373,MATCH($B1213,'Fuel Model -  Input'!$B$3:$B$373,0),MATCH(H$2,'Fuel Model -  Input'!$B$3:$N$3,0))</f>
        <v>0</v>
      </c>
      <c r="I1213" s="521">
        <f>+INDEX('Fuel Model -  Input'!$B$3:$N$373,MATCH($B1213,'Fuel Model -  Input'!$B$3:$B$373,0),MATCH(I$2,'Fuel Model -  Input'!$B$3:$N$3,0))</f>
        <v>0</v>
      </c>
      <c r="J1213" s="521">
        <f>+INDEX('Fuel Model -  Input'!$B$3:$N$373,MATCH($B1213,'Fuel Model -  Input'!$B$3:$B$373,0),MATCH(J$2,'Fuel Model -  Input'!$B$3:$N$3,0))</f>
        <v>0</v>
      </c>
      <c r="K1213" s="521">
        <f>+INDEX('Fuel Model -  Input'!$B$3:$N$373,MATCH($B1213,'Fuel Model -  Input'!$B$3:$B$373,0),MATCH(K$2,'Fuel Model -  Input'!$B$3:$N$3,0))</f>
        <v>0</v>
      </c>
      <c r="L1213" s="521">
        <f>+INDEX('Fuel Model -  Input'!$B$3:$N$373,MATCH($B1213,'Fuel Model -  Input'!$B$3:$B$373,0),MATCH(L$2,'Fuel Model -  Input'!$B$3:$N$3,0))</f>
        <v>0</v>
      </c>
      <c r="M1213" s="521">
        <f>+INDEX('Fuel Model -  Input'!$B$3:$N$373,MATCH($B1213,'Fuel Model -  Input'!$B$3:$B$373,0),MATCH(M$2,'Fuel Model -  Input'!$B$3:$N$3,0))</f>
        <v>0</v>
      </c>
    </row>
    <row r="1214" spans="2:13" hidden="1" outlineLevel="2" x14ac:dyDescent="0.2">
      <c r="B1214" s="496" t="str">
        <f>+C1214&amp;D1214&amp;E1214&amp;F1214</f>
        <v>GlobalCO2 intensityWTT  DACtonCO2/tonCO2</v>
      </c>
      <c r="C1214" s="498" t="s">
        <v>109</v>
      </c>
      <c r="D1214" s="498" t="s">
        <v>1019</v>
      </c>
      <c r="E1214" s="498" t="s">
        <v>1029</v>
      </c>
      <c r="F1214" s="498" t="s">
        <v>1021</v>
      </c>
      <c r="G1214" s="521">
        <f>+INDEX('Fuel Model -  Input'!$B$3:$N$373,MATCH($B1214,'Fuel Model -  Input'!$B$3:$B$373,0),MATCH(G$2,'Fuel Model -  Input'!$B$3:$N$3,0))</f>
        <v>-1</v>
      </c>
      <c r="H1214" s="521">
        <f>+INDEX('Fuel Model -  Input'!$B$3:$N$373,MATCH($B1214,'Fuel Model -  Input'!$B$3:$B$373,0),MATCH(H$2,'Fuel Model -  Input'!$B$3:$N$3,0))</f>
        <v>-1</v>
      </c>
      <c r="I1214" s="521">
        <f>+INDEX('Fuel Model -  Input'!$B$3:$N$373,MATCH($B1214,'Fuel Model -  Input'!$B$3:$B$373,0),MATCH(I$2,'Fuel Model -  Input'!$B$3:$N$3,0))</f>
        <v>-1</v>
      </c>
      <c r="J1214" s="521">
        <f>+INDEX('Fuel Model -  Input'!$B$3:$N$373,MATCH($B1214,'Fuel Model -  Input'!$B$3:$B$373,0),MATCH(J$2,'Fuel Model -  Input'!$B$3:$N$3,0))</f>
        <v>-1</v>
      </c>
      <c r="K1214" s="521">
        <f>+INDEX('Fuel Model -  Input'!$B$3:$N$373,MATCH($B1214,'Fuel Model -  Input'!$B$3:$B$373,0),MATCH(K$2,'Fuel Model -  Input'!$B$3:$N$3,0))</f>
        <v>-1</v>
      </c>
      <c r="L1214" s="521">
        <f>+INDEX('Fuel Model -  Input'!$B$3:$N$373,MATCH($B1214,'Fuel Model -  Input'!$B$3:$B$373,0),MATCH(L$2,'Fuel Model -  Input'!$B$3:$N$3,0))</f>
        <v>-1</v>
      </c>
      <c r="M1214" s="521">
        <f>+INDEX('Fuel Model -  Input'!$B$3:$N$373,MATCH($B1214,'Fuel Model -  Input'!$B$3:$B$373,0),MATCH(M$2,'Fuel Model -  Input'!$B$3:$N$3,0))</f>
        <v>-1</v>
      </c>
    </row>
    <row r="1215" spans="2:13" hidden="1" outlineLevel="2" x14ac:dyDescent="0.2">
      <c r="B1215" s="496" t="str">
        <f>+C1215&amp;D1215&amp;E1215&amp;F1215</f>
        <v>GlobalFeedstockStoechiometric CO2ton CO2/ton e Diesel</v>
      </c>
      <c r="C1215" s="498" t="s">
        <v>109</v>
      </c>
      <c r="D1215" s="498" t="s">
        <v>777</v>
      </c>
      <c r="E1215" s="498" t="s">
        <v>1068</v>
      </c>
      <c r="F1215" s="498" t="s">
        <v>1069</v>
      </c>
      <c r="G1215" s="521">
        <v>3.2093362509117433</v>
      </c>
      <c r="H1215" s="521">
        <v>3.2093362509117433</v>
      </c>
      <c r="I1215" s="521">
        <v>3.2093362509117433</v>
      </c>
      <c r="J1215" s="521">
        <v>3.2093362509117433</v>
      </c>
      <c r="K1215" s="521">
        <v>3.2093362509117433</v>
      </c>
      <c r="L1215" s="521">
        <v>3.2093362509117433</v>
      </c>
      <c r="M1215" s="521">
        <v>3.2093362509117433</v>
      </c>
    </row>
    <row r="1216" spans="2:13" ht="12.75" hidden="1" outlineLevel="1" x14ac:dyDescent="0.2">
      <c r="F1216"/>
    </row>
    <row r="1217" spans="2:13" ht="15" hidden="1" outlineLevel="1" x14ac:dyDescent="0.25">
      <c r="B1217" s="30" t="s">
        <v>1070</v>
      </c>
      <c r="C1217" s="30" t="str">
        <f>+B1217</f>
        <v>Primary energy efficiency - e Diesel DAC</v>
      </c>
      <c r="F1217"/>
    </row>
    <row r="1218" spans="2:13" s="157" customFormat="1" ht="15" hidden="1" outlineLevel="1" x14ac:dyDescent="0.25">
      <c r="B1218" s="541" t="str">
        <f>+C1218&amp;D1218&amp;E1218&amp;F1218</f>
        <v>GlobalResultsAverage Primary EE of e-Diesel (DAC)%</v>
      </c>
      <c r="C1218" s="516" t="s">
        <v>109</v>
      </c>
      <c r="D1218" s="516" t="s">
        <v>838</v>
      </c>
      <c r="E1218" s="516" t="s">
        <v>1071</v>
      </c>
      <c r="F1218" s="512" t="s">
        <v>178</v>
      </c>
      <c r="G1218" s="529">
        <f t="shared" ref="G1218:M1218" si="677">G1224/3600/(G1044+G1057*G1223/3600/G1222+G1047*G1221)</f>
        <v>0.32865139517542086</v>
      </c>
      <c r="H1218" s="529">
        <f t="shared" si="677"/>
        <v>0.33654303760053605</v>
      </c>
      <c r="I1218" s="529">
        <f t="shared" si="677"/>
        <v>0.34720899460809718</v>
      </c>
      <c r="J1218" s="529">
        <f t="shared" si="677"/>
        <v>0.36450441446732751</v>
      </c>
      <c r="K1218" s="529">
        <f t="shared" si="677"/>
        <v>0.38446878675331092</v>
      </c>
      <c r="L1218" s="529">
        <f t="shared" si="677"/>
        <v>0.40912875220999845</v>
      </c>
      <c r="M1218" s="529">
        <f t="shared" si="677"/>
        <v>0.43149377239360348</v>
      </c>
    </row>
    <row r="1219" spans="2:13" s="157" customFormat="1" ht="15" hidden="1" outlineLevel="1" collapsed="1" x14ac:dyDescent="0.25">
      <c r="B1219" s="541" t="str">
        <f>+C1219&amp;D1219&amp;E1219&amp;F1219</f>
        <v>GlobalResultsAverage Primary EE of e-Diesel (DAC) (excl. Co2el)%</v>
      </c>
      <c r="C1219" s="516" t="s">
        <v>109</v>
      </c>
      <c r="D1219" s="516" t="s">
        <v>838</v>
      </c>
      <c r="E1219" s="516" t="s">
        <v>1072</v>
      </c>
      <c r="F1219" s="512" t="s">
        <v>178</v>
      </c>
      <c r="G1219" s="529">
        <f t="shared" ref="G1219:M1219" si="678">G1224/3600/(G1044+G1057*G1223/3600/G1222)</f>
        <v>0.46209780490741142</v>
      </c>
      <c r="H1219" s="529">
        <f t="shared" si="678"/>
        <v>0.46514224667843035</v>
      </c>
      <c r="I1219" s="529">
        <f t="shared" si="678"/>
        <v>0.4734701920337428</v>
      </c>
      <c r="J1219" s="529">
        <f t="shared" si="678"/>
        <v>0.49373180849355236</v>
      </c>
      <c r="K1219" s="529">
        <f t="shared" si="678"/>
        <v>0.51822523331391057</v>
      </c>
      <c r="L1219" s="529">
        <f t="shared" si="678"/>
        <v>0.55048498018602732</v>
      </c>
      <c r="M1219" s="529">
        <f t="shared" si="678"/>
        <v>0.57778787591233627</v>
      </c>
    </row>
    <row r="1220" spans="2:13" ht="12.75" hidden="1" outlineLevel="2" x14ac:dyDescent="0.2">
      <c r="F1220"/>
    </row>
    <row r="1221" spans="2:13" hidden="1" outlineLevel="2" x14ac:dyDescent="0.2">
      <c r="B1221" t="str">
        <f>+C1221&amp;D1221&amp;E1221&amp;F1221</f>
        <v>GlobalCO2 DACElectricity demandmWh/ton CO2</v>
      </c>
      <c r="C1221" t="s">
        <v>109</v>
      </c>
      <c r="D1221" t="s">
        <v>1034</v>
      </c>
      <c r="E1221" t="s">
        <v>963</v>
      </c>
      <c r="F1221" s="157" t="s">
        <v>1035</v>
      </c>
      <c r="G1221" s="524">
        <f>+INDEX('Fuel Model -  Input'!$B$3:$N$373,MATCH($B1221,'Fuel Model -  Input'!$B$3:$B$373,0),MATCH(G$2,'Fuel Model -  Input'!$B$3:$N$3,0))</f>
        <v>2.9949090520301924</v>
      </c>
      <c r="H1221" s="524">
        <f>+INDEX('Fuel Model -  Input'!$B$3:$N$373,MATCH($B1221,'Fuel Model -  Input'!$B$3:$B$373,0),MATCH(H$2,'Fuel Model -  Input'!$B$3:$N$3,0))</f>
        <v>2.8</v>
      </c>
      <c r="I1221" s="524">
        <f>+INDEX('Fuel Model -  Input'!$B$3:$N$373,MATCH($B1221,'Fuel Model -  Input'!$B$3:$B$373,0),MATCH(I$2,'Fuel Model -  Input'!$B$3:$N$3,0))</f>
        <v>2.6177756532157161</v>
      </c>
      <c r="J1221" s="524">
        <f>+INDEX('Fuel Model -  Input'!$B$3:$N$373,MATCH($B1221,'Fuel Model -  Input'!$B$3:$B$373,0),MATCH(J$2,'Fuel Model -  Input'!$B$3:$N$3,0))</f>
        <v>2.4474104894889179</v>
      </c>
      <c r="K1221" s="524">
        <f>+INDEX('Fuel Model -  Input'!$B$3:$N$373,MATCH($B1221,'Fuel Model -  Input'!$B$3:$B$373,0),MATCH(K$2,'Fuel Model -  Input'!$B$3:$N$3,0))</f>
        <v>2.2881327117174459</v>
      </c>
      <c r="L1221" s="524">
        <f>+INDEX('Fuel Model -  Input'!$B$3:$N$373,MATCH($B1221,'Fuel Model -  Input'!$B$3:$B$373,0),MATCH(L$2,'Fuel Model -  Input'!$B$3:$N$3,0))</f>
        <v>2.1392207514501376</v>
      </c>
      <c r="M1221" s="524">
        <f>+INDEX('Fuel Model -  Input'!$B$3:$N$373,MATCH($B1221,'Fuel Model -  Input'!$B$3:$B$373,0),MATCH(M$2,'Fuel Model -  Input'!$B$3:$N$3,0))</f>
        <v>2</v>
      </c>
    </row>
    <row r="1222" spans="2:13" hidden="1" outlineLevel="2" x14ac:dyDescent="0.2">
      <c r="B1222" s="157" t="str">
        <f>+C1222&amp;D1222&amp;E1222&amp;F1222</f>
        <v>GlobalResultsAverage Primary EE of e-Hydrogen (compressed)%</v>
      </c>
      <c r="C1222" s="157" t="s">
        <v>109</v>
      </c>
      <c r="D1222" t="s">
        <v>838</v>
      </c>
      <c r="E1222" s="157" t="s">
        <v>945</v>
      </c>
      <c r="F1222" s="157" t="s">
        <v>178</v>
      </c>
      <c r="G1222" s="531">
        <f>INDEX(G$4:G1221,MATCH($B1222,$B$4:$B1221,0))</f>
        <v>0.62090526196973861</v>
      </c>
      <c r="H1222" s="531">
        <f>INDEX(H$4:H1221,MATCH($B1222,$B$4:$B1221,0))</f>
        <v>0.62417085168914133</v>
      </c>
      <c r="I1222" s="531">
        <f>INDEX(I$4:I1221,MATCH($B1222,$B$4:$B1221,0))</f>
        <v>0.63467726108676525</v>
      </c>
      <c r="J1222" s="531">
        <f>INDEX(J$4:J1221,MATCH($B1222,$B$4:$B1221,0))</f>
        <v>0.66141189245873089</v>
      </c>
      <c r="K1222" s="531">
        <f>INDEX(K$4:K1221,MATCH($B1222,$B$4:$B1221,0))</f>
        <v>0.69385844908622296</v>
      </c>
      <c r="L1222" s="531">
        <f>INDEX(L$4:L1221,MATCH($B1222,$B$4:$B1221,0))</f>
        <v>0.73679503467693408</v>
      </c>
      <c r="M1222" s="531">
        <f>INDEX(M$4:M1221,MATCH($B1222,$B$4:$B1221,0))</f>
        <v>0.77295687554154879</v>
      </c>
    </row>
    <row r="1223" spans="2:13" hidden="1" outlineLevel="2" x14ac:dyDescent="0.2">
      <c r="B1223" t="str">
        <f>+C1223&amp;D1223&amp;E1223&amp;F1223</f>
        <v>GlobalLHVe-Hydrogen (compressed)MJ/ ton</v>
      </c>
      <c r="C1223" t="s">
        <v>109</v>
      </c>
      <c r="D1223" t="s">
        <v>582</v>
      </c>
      <c r="E1223" t="s">
        <v>584</v>
      </c>
      <c r="F1223" s="157" t="s">
        <v>583</v>
      </c>
      <c r="G1223" s="532">
        <f>+INDEX('Fuel Model -  Input'!$B$3:$N$373,MATCH($B1223,'Fuel Model -  Input'!$B$3:$B$373,0),MATCH(G$2,'Fuel Model -  Input'!$B$3:$N$3,0))</f>
        <v>120000</v>
      </c>
      <c r="H1223" s="532">
        <f>+INDEX('Fuel Model -  Input'!$B$3:$N$373,MATCH($B1223,'Fuel Model -  Input'!$B$3:$B$373,0),MATCH(H$2,'Fuel Model -  Input'!$B$3:$N$3,0))</f>
        <v>120000</v>
      </c>
      <c r="I1223" s="532">
        <f>+INDEX('Fuel Model -  Input'!$B$3:$N$373,MATCH($B1223,'Fuel Model -  Input'!$B$3:$B$373,0),MATCH(I$2,'Fuel Model -  Input'!$B$3:$N$3,0))</f>
        <v>120000</v>
      </c>
      <c r="J1223" s="532">
        <f>+INDEX('Fuel Model -  Input'!$B$3:$N$373,MATCH($B1223,'Fuel Model -  Input'!$B$3:$B$373,0),MATCH(J$2,'Fuel Model -  Input'!$B$3:$N$3,0))</f>
        <v>120000</v>
      </c>
      <c r="K1223" s="532">
        <f>+INDEX('Fuel Model -  Input'!$B$3:$N$373,MATCH($B1223,'Fuel Model -  Input'!$B$3:$B$373,0),MATCH(K$2,'Fuel Model -  Input'!$B$3:$N$3,0))</f>
        <v>120000</v>
      </c>
      <c r="L1223" s="532">
        <f>+INDEX('Fuel Model -  Input'!$B$3:$N$373,MATCH($B1223,'Fuel Model -  Input'!$B$3:$B$373,0),MATCH(L$2,'Fuel Model -  Input'!$B$3:$N$3,0))</f>
        <v>120000</v>
      </c>
      <c r="M1223" s="532">
        <f>+INDEX('Fuel Model -  Input'!$B$3:$N$373,MATCH($B1223,'Fuel Model -  Input'!$B$3:$B$373,0),MATCH(M$2,'Fuel Model -  Input'!$B$3:$N$3,0))</f>
        <v>120000</v>
      </c>
    </row>
    <row r="1224" spans="2:13" hidden="1" outlineLevel="2" x14ac:dyDescent="0.2">
      <c r="B1224" t="str">
        <f>+C1224&amp;D1224&amp;E1224&amp;F1224</f>
        <v>GlobalLHVe-Diesel (DAC)MJ/ ton</v>
      </c>
      <c r="C1224" t="s">
        <v>109</v>
      </c>
      <c r="D1224" t="s">
        <v>582</v>
      </c>
      <c r="E1224" t="s">
        <v>588</v>
      </c>
      <c r="F1224" s="157" t="s">
        <v>583</v>
      </c>
      <c r="G1224" s="532">
        <f>+INDEX('Fuel Model -  Input'!$B$3:$N$373,MATCH($B1224,'Fuel Model -  Input'!$B$3:$B$373,0),MATCH(G$2,'Fuel Model -  Input'!$B$3:$N$3,0))</f>
        <v>42700</v>
      </c>
      <c r="H1224" s="532">
        <f>+INDEX('Fuel Model -  Input'!$B$3:$N$373,MATCH($B1224,'Fuel Model -  Input'!$B$3:$B$373,0),MATCH(H$2,'Fuel Model -  Input'!$B$3:$N$3,0))</f>
        <v>42700</v>
      </c>
      <c r="I1224" s="532">
        <f>+INDEX('Fuel Model -  Input'!$B$3:$N$373,MATCH($B1224,'Fuel Model -  Input'!$B$3:$B$373,0),MATCH(I$2,'Fuel Model -  Input'!$B$3:$N$3,0))</f>
        <v>42700</v>
      </c>
      <c r="J1224" s="532">
        <f>+INDEX('Fuel Model -  Input'!$B$3:$N$373,MATCH($B1224,'Fuel Model -  Input'!$B$3:$B$373,0),MATCH(J$2,'Fuel Model -  Input'!$B$3:$N$3,0))</f>
        <v>42700</v>
      </c>
      <c r="K1224" s="532">
        <f>+INDEX('Fuel Model -  Input'!$B$3:$N$373,MATCH($B1224,'Fuel Model -  Input'!$B$3:$B$373,0),MATCH(K$2,'Fuel Model -  Input'!$B$3:$N$3,0))</f>
        <v>42700</v>
      </c>
      <c r="L1224" s="532">
        <f>+INDEX('Fuel Model -  Input'!$B$3:$N$373,MATCH($B1224,'Fuel Model -  Input'!$B$3:$B$373,0),MATCH(L$2,'Fuel Model -  Input'!$B$3:$N$3,0))</f>
        <v>42700</v>
      </c>
      <c r="M1224" s="532">
        <f>+INDEX('Fuel Model -  Input'!$B$3:$N$373,MATCH($B1224,'Fuel Model -  Input'!$B$3:$B$373,0),MATCH(M$2,'Fuel Model -  Input'!$B$3:$N$3,0))</f>
        <v>42700</v>
      </c>
    </row>
    <row r="1225" spans="2:13" hidden="1" outlineLevel="1" x14ac:dyDescent="0.2"/>
    <row r="1226" spans="2:13" ht="15" hidden="1" outlineLevel="1" x14ac:dyDescent="0.25">
      <c r="B1226" s="30" t="s">
        <v>1073</v>
      </c>
      <c r="C1226" s="30" t="str">
        <f>+B1226</f>
        <v>CO2eq intensity ton/ton e Diesel PS</v>
      </c>
      <c r="F1226"/>
    </row>
    <row r="1227" spans="2:13" ht="15" hidden="1" outlineLevel="1" collapsed="1" x14ac:dyDescent="0.25">
      <c r="B1227" s="527" t="str">
        <f>+C1227&amp;D1227&amp;E1227&amp;F1227</f>
        <v xml:space="preserve">GlobalEmissionsWTT Emission - e-Diesel (PS)tonCO2eq/ ton </v>
      </c>
      <c r="C1227" s="516" t="s">
        <v>109</v>
      </c>
      <c r="D1227" s="516" t="s">
        <v>728</v>
      </c>
      <c r="E1227" s="516" t="s">
        <v>1074</v>
      </c>
      <c r="F1227" s="512" t="s">
        <v>1016</v>
      </c>
      <c r="G1227" s="533">
        <f>G1229*G1057+G1044*G1230+G1231+G1232*G1051+(G1233-G1051)*G1232</f>
        <v>-3.0700604617267326</v>
      </c>
      <c r="H1227" s="533">
        <f t="shared" ref="H1227:M1227" si="679">H1229*H1057+H1044*H1230+H1231+H1232*H1051+(H1233-H1051)*H1232</f>
        <v>-3.0708976509117432</v>
      </c>
      <c r="I1227" s="533">
        <f t="shared" si="679"/>
        <v>-3.0728843377137416</v>
      </c>
      <c r="J1227" s="533">
        <f t="shared" si="679"/>
        <v>-3.0778527733409353</v>
      </c>
      <c r="K1227" s="533">
        <f t="shared" si="679"/>
        <v>-3.0837732781424343</v>
      </c>
      <c r="L1227" s="533">
        <f t="shared" si="679"/>
        <v>-3.0915936071724515</v>
      </c>
      <c r="M1227" s="533">
        <f t="shared" si="679"/>
        <v>-3.0977718159117433</v>
      </c>
    </row>
    <row r="1228" spans="2:13" hidden="1" outlineLevel="2" x14ac:dyDescent="0.2">
      <c r="B1228" s="496"/>
      <c r="C1228" s="157"/>
      <c r="D1228" s="157"/>
      <c r="E1228" s="157"/>
      <c r="G1228" s="449"/>
      <c r="H1228" s="449"/>
      <c r="I1228" s="449"/>
      <c r="J1228" s="449"/>
      <c r="K1228" s="449"/>
      <c r="L1228" s="449"/>
      <c r="M1228" s="449"/>
    </row>
    <row r="1229" spans="2:13" hidden="1" outlineLevel="2" x14ac:dyDescent="0.2">
      <c r="B1229" s="496" t="str">
        <f>+C1229&amp;D1229&amp;E1229&amp;F1229</f>
        <v>GlobalCO2intensityWTT emission - e-Hydrogen (compressed)tonCO2eq/tonH2</v>
      </c>
      <c r="C1229" s="157" t="s">
        <v>109</v>
      </c>
      <c r="D1229" s="157" t="s">
        <v>927</v>
      </c>
      <c r="E1229" s="157" t="s">
        <v>950</v>
      </c>
      <c r="F1229" s="157" t="s">
        <v>929</v>
      </c>
      <c r="G1229" s="521">
        <f>INDEX(G$4:G1228,MATCH($B1229,$B$4:$B1228,0))</f>
        <v>0.29135003961027883</v>
      </c>
      <c r="H1229" s="521">
        <f>INDEX(H$4:H1228,MATCH($B1229,$B$4:$B1228,0))</f>
        <v>0.28997999999999996</v>
      </c>
      <c r="I1229" s="521">
        <f>INDEX(I$4:I1228,MATCH($B1229,$B$4:$B1228,0))</f>
        <v>0.28613027529683921</v>
      </c>
      <c r="J1229" s="521">
        <f>INDEX(J$4:J1228,MATCH($B1229,$B$4:$B1228,0))</f>
        <v>0.27590526085528511</v>
      </c>
      <c r="K1229" s="521">
        <f>INDEX(K$4:K1228,MATCH($B1229,$B$4:$B1228,0))</f>
        <v>0.26362599487969951</v>
      </c>
      <c r="L1229" s="521">
        <f>INDEX(L$4:L1228,MATCH($B1229,$B$4:$B1228,0))</f>
        <v>0.24727833589356388</v>
      </c>
      <c r="M1229" s="521">
        <f>INDEX(M$4:M1228,MATCH($B1229,$B$4:$B1228,0))</f>
        <v>0.23440049999999998</v>
      </c>
    </row>
    <row r="1230" spans="2:13" hidden="1" outlineLevel="2" x14ac:dyDescent="0.2">
      <c r="B1230" s="496" t="str">
        <f>+C1230&amp;D1230&amp;E1230&amp;F1230</f>
        <v>GlobalCO2intensityElectricitytonCO2eq/MWH</v>
      </c>
      <c r="C1230" s="157" t="s">
        <v>109</v>
      </c>
      <c r="D1230" s="157" t="s">
        <v>927</v>
      </c>
      <c r="E1230" s="157" t="s">
        <v>54</v>
      </c>
      <c r="F1230" s="157" t="s">
        <v>937</v>
      </c>
      <c r="G1230" s="521">
        <f>+INDEX('Fuel Model -  Input'!$B$3:$N$373,MATCH($B1230,'Fuel Model -  Input'!$B$3:$B$373,0),MATCH(G$2,'Fuel Model -  Input'!$B$3:$N$3,0))</f>
        <v>5.3699999999999998E-3</v>
      </c>
      <c r="H1230" s="521">
        <f>+INDEX('Fuel Model -  Input'!$B$3:$N$373,MATCH($B1230,'Fuel Model -  Input'!$B$3:$B$373,0),MATCH(H$2,'Fuel Model -  Input'!$B$3:$N$3,0))</f>
        <v>5.3699999999999998E-3</v>
      </c>
      <c r="I1230" s="521">
        <f>+INDEX('Fuel Model -  Input'!$B$3:$N$373,MATCH($B1230,'Fuel Model -  Input'!$B$3:$B$373,0),MATCH(I$2,'Fuel Model -  Input'!$B$3:$N$3,0))</f>
        <v>5.3699999999999998E-3</v>
      </c>
      <c r="J1230" s="521">
        <f>+INDEX('Fuel Model -  Input'!$B$3:$N$373,MATCH($B1230,'Fuel Model -  Input'!$B$3:$B$373,0),MATCH(J$2,'Fuel Model -  Input'!$B$3:$N$3,0))</f>
        <v>5.3699999999999998E-3</v>
      </c>
      <c r="K1230" s="521">
        <f>+INDEX('Fuel Model -  Input'!$B$3:$N$373,MATCH($B1230,'Fuel Model -  Input'!$B$3:$B$373,0),MATCH(K$2,'Fuel Model -  Input'!$B$3:$N$3,0))</f>
        <v>5.3699999999999998E-3</v>
      </c>
      <c r="L1230" s="521">
        <f>+INDEX('Fuel Model -  Input'!$B$3:$N$373,MATCH($B1230,'Fuel Model -  Input'!$B$3:$B$373,0),MATCH(L$2,'Fuel Model -  Input'!$B$3:$N$3,0))</f>
        <v>5.3699999999999998E-3</v>
      </c>
      <c r="M1230" s="521">
        <f>+INDEX('Fuel Model -  Input'!$B$3:$N$373,MATCH($B1230,'Fuel Model -  Input'!$B$3:$B$373,0),MATCH(M$2,'Fuel Model -  Input'!$B$3:$N$3,0))</f>
        <v>5.3699999999999998E-3</v>
      </c>
    </row>
    <row r="1231" spans="2:13" hidden="1" outlineLevel="2" x14ac:dyDescent="0.2">
      <c r="B1231" s="496" t="str">
        <f>+C1231&amp;D1231&amp;E1231&amp;F1231</f>
        <v>GlobalCO2intensityeDiesel synthesis process tonCO2eq/ton e diesel</v>
      </c>
      <c r="C1231" s="498" t="s">
        <v>109</v>
      </c>
      <c r="D1231" s="498" t="s">
        <v>927</v>
      </c>
      <c r="E1231" s="498" t="s">
        <v>1066</v>
      </c>
      <c r="F1231" s="498" t="s">
        <v>1067</v>
      </c>
      <c r="G1231" s="521">
        <f>+INDEX('Fuel Model -  Input'!$B$3:$N$373,MATCH($B1231,'Fuel Model -  Input'!$B$3:$B$373,0),MATCH(G$2,'Fuel Model -  Input'!$B$3:$N$3,0))</f>
        <v>0</v>
      </c>
      <c r="H1231" s="521">
        <f>+INDEX('Fuel Model -  Input'!$B$3:$N$373,MATCH($B1231,'Fuel Model -  Input'!$B$3:$B$373,0),MATCH(H$2,'Fuel Model -  Input'!$B$3:$N$3,0))</f>
        <v>0</v>
      </c>
      <c r="I1231" s="521">
        <f>+INDEX('Fuel Model -  Input'!$B$3:$N$373,MATCH($B1231,'Fuel Model -  Input'!$B$3:$B$373,0),MATCH(I$2,'Fuel Model -  Input'!$B$3:$N$3,0))</f>
        <v>0</v>
      </c>
      <c r="J1231" s="521">
        <f>+INDEX('Fuel Model -  Input'!$B$3:$N$373,MATCH($B1231,'Fuel Model -  Input'!$B$3:$B$373,0),MATCH(J$2,'Fuel Model -  Input'!$B$3:$N$3,0))</f>
        <v>0</v>
      </c>
      <c r="K1231" s="521">
        <f>+INDEX('Fuel Model -  Input'!$B$3:$N$373,MATCH($B1231,'Fuel Model -  Input'!$B$3:$B$373,0),MATCH(K$2,'Fuel Model -  Input'!$B$3:$N$3,0))</f>
        <v>0</v>
      </c>
      <c r="L1231" s="521">
        <f>+INDEX('Fuel Model -  Input'!$B$3:$N$373,MATCH($B1231,'Fuel Model -  Input'!$B$3:$B$373,0),MATCH(L$2,'Fuel Model -  Input'!$B$3:$N$3,0))</f>
        <v>0</v>
      </c>
      <c r="M1231" s="521">
        <f>+INDEX('Fuel Model -  Input'!$B$3:$N$373,MATCH($B1231,'Fuel Model -  Input'!$B$3:$B$373,0),MATCH(M$2,'Fuel Model -  Input'!$B$3:$N$3,0))</f>
        <v>0</v>
      </c>
    </row>
    <row r="1232" spans="2:13" hidden="1" outlineLevel="2" x14ac:dyDescent="0.2">
      <c r="B1232" s="496" t="str">
        <f>+C1232&amp;D1232&amp;E1232&amp;F1232</f>
        <v>GlobalCO2 intensityWTT  PStonCO2/tonCO2</v>
      </c>
      <c r="C1232" s="498" t="s">
        <v>109</v>
      </c>
      <c r="D1232" s="498" t="s">
        <v>1019</v>
      </c>
      <c r="E1232" s="498" t="s">
        <v>1020</v>
      </c>
      <c r="F1232" s="498" t="s">
        <v>1021</v>
      </c>
      <c r="G1232" s="521">
        <f>+INDEX('Fuel Model -  Input'!$B$3:$N$373,MATCH($B1232,'Fuel Model -  Input'!$B$3:$B$373,0),MATCH(G$2,'Fuel Model -  Input'!$B$3:$N$3,0))</f>
        <v>-1</v>
      </c>
      <c r="H1232" s="521">
        <f>+INDEX('Fuel Model -  Input'!$B$3:$N$373,MATCH($B1232,'Fuel Model -  Input'!$B$3:$B$373,0),MATCH(H$2,'Fuel Model -  Input'!$B$3:$N$3,0))</f>
        <v>-1</v>
      </c>
      <c r="I1232" s="521">
        <f>+INDEX('Fuel Model -  Input'!$B$3:$N$373,MATCH($B1232,'Fuel Model -  Input'!$B$3:$B$373,0),MATCH(I$2,'Fuel Model -  Input'!$B$3:$N$3,0))</f>
        <v>-1</v>
      </c>
      <c r="J1232" s="521">
        <f>+INDEX('Fuel Model -  Input'!$B$3:$N$373,MATCH($B1232,'Fuel Model -  Input'!$B$3:$B$373,0),MATCH(J$2,'Fuel Model -  Input'!$B$3:$N$3,0))</f>
        <v>-1</v>
      </c>
      <c r="K1232" s="521">
        <f>+INDEX('Fuel Model -  Input'!$B$3:$N$373,MATCH($B1232,'Fuel Model -  Input'!$B$3:$B$373,0),MATCH(K$2,'Fuel Model -  Input'!$B$3:$N$3,0))</f>
        <v>-1</v>
      </c>
      <c r="L1232" s="521">
        <f>+INDEX('Fuel Model -  Input'!$B$3:$N$373,MATCH($B1232,'Fuel Model -  Input'!$B$3:$B$373,0),MATCH(L$2,'Fuel Model -  Input'!$B$3:$N$3,0))</f>
        <v>-1</v>
      </c>
      <c r="M1232" s="521">
        <f>+INDEX('Fuel Model -  Input'!$B$3:$N$373,MATCH($B1232,'Fuel Model -  Input'!$B$3:$B$373,0),MATCH(M$2,'Fuel Model -  Input'!$B$3:$N$3,0))</f>
        <v>-1</v>
      </c>
    </row>
    <row r="1233" spans="2:14" hidden="1" outlineLevel="2" x14ac:dyDescent="0.2">
      <c r="B1233" s="496" t="str">
        <f>+C1233&amp;D1233&amp;E1233&amp;F1233</f>
        <v>GlobalFeedstockStoechiometric CO2ton CO2/ton e Diesel</v>
      </c>
      <c r="C1233" s="498" t="s">
        <v>109</v>
      </c>
      <c r="D1233" s="498" t="s">
        <v>777</v>
      </c>
      <c r="E1233" s="498" t="s">
        <v>1068</v>
      </c>
      <c r="F1233" s="498" t="s">
        <v>1069</v>
      </c>
      <c r="G1233" s="521">
        <v>3.2093362509117433</v>
      </c>
      <c r="H1233" s="521">
        <v>3.2093362509117433</v>
      </c>
      <c r="I1233" s="521">
        <v>3.2093362509117433</v>
      </c>
      <c r="J1233" s="521">
        <v>3.2093362509117433</v>
      </c>
      <c r="K1233" s="521">
        <v>3.2093362509117433</v>
      </c>
      <c r="L1233" s="521">
        <v>3.2093362509117433</v>
      </c>
      <c r="M1233" s="521">
        <v>3.2093362509117433</v>
      </c>
    </row>
    <row r="1234" spans="2:14" ht="12.75" hidden="1" outlineLevel="1" x14ac:dyDescent="0.2">
      <c r="F1234"/>
    </row>
    <row r="1235" spans="2:14" ht="15" hidden="1" outlineLevel="1" x14ac:dyDescent="0.25">
      <c r="B1235" s="30" t="s">
        <v>1075</v>
      </c>
      <c r="C1235" s="30" t="str">
        <f>+B1235</f>
        <v>Primary energy efficiency - e Diesel PS</v>
      </c>
      <c r="F1235"/>
    </row>
    <row r="1236" spans="2:14" s="157" customFormat="1" ht="15" hidden="1" outlineLevel="1" collapsed="1" x14ac:dyDescent="0.25">
      <c r="B1236" s="541" t="str">
        <f>+C1236&amp;D1236&amp;E1236&amp;F1236</f>
        <v>GlobalResultsAverage Primary EE of e-Diesel (PS)%</v>
      </c>
      <c r="C1236" s="516" t="s">
        <v>109</v>
      </c>
      <c r="D1236" s="516" t="s">
        <v>838</v>
      </c>
      <c r="E1236" s="516" t="s">
        <v>1076</v>
      </c>
      <c r="F1236" s="512" t="s">
        <v>178</v>
      </c>
      <c r="G1236" s="529">
        <f t="shared" ref="G1236:M1236" si="680">G1240/3600/(G1118+G1131*G1239/3600/G1238)</f>
        <v>0.46209780490741142</v>
      </c>
      <c r="H1236" s="529">
        <f t="shared" si="680"/>
        <v>0.46514224667843035</v>
      </c>
      <c r="I1236" s="529">
        <f t="shared" si="680"/>
        <v>0.4734701920337428</v>
      </c>
      <c r="J1236" s="529">
        <f t="shared" si="680"/>
        <v>0.49373180849355236</v>
      </c>
      <c r="K1236" s="529">
        <f t="shared" si="680"/>
        <v>0.51822523331391057</v>
      </c>
      <c r="L1236" s="529">
        <f t="shared" si="680"/>
        <v>0.55048498018602732</v>
      </c>
      <c r="M1236" s="529">
        <f t="shared" si="680"/>
        <v>0.57778787591233627</v>
      </c>
    </row>
    <row r="1237" spans="2:14" ht="12.75" hidden="1" outlineLevel="2" x14ac:dyDescent="0.2">
      <c r="F1237"/>
    </row>
    <row r="1238" spans="2:14" hidden="1" outlineLevel="2" x14ac:dyDescent="0.2">
      <c r="B1238" t="str">
        <f>+C1238&amp;D1238&amp;E1238&amp;F1238</f>
        <v>GlobalResultsAverage Primary EE of e-Hydrogen (compressed)%</v>
      </c>
      <c r="C1238" t="s">
        <v>109</v>
      </c>
      <c r="D1238" t="s">
        <v>838</v>
      </c>
      <c r="E1238" s="157" t="s">
        <v>945</v>
      </c>
      <c r="F1238" s="157" t="s">
        <v>178</v>
      </c>
      <c r="G1238" s="531">
        <f>INDEX(G$4:G1237,MATCH($B1238,$B$4:$B1237,0))</f>
        <v>0.62090526196973861</v>
      </c>
      <c r="H1238" s="531">
        <f>INDEX(H$4:H1237,MATCH($B1238,$B$4:$B1237,0))</f>
        <v>0.62417085168914133</v>
      </c>
      <c r="I1238" s="531">
        <f>INDEX(I$4:I1237,MATCH($B1238,$B$4:$B1237,0))</f>
        <v>0.63467726108676525</v>
      </c>
      <c r="J1238" s="531">
        <f>INDEX(J$4:J1237,MATCH($B1238,$B$4:$B1237,0))</f>
        <v>0.66141189245873089</v>
      </c>
      <c r="K1238" s="531">
        <f>INDEX(K$4:K1237,MATCH($B1238,$B$4:$B1237,0))</f>
        <v>0.69385844908622296</v>
      </c>
      <c r="L1238" s="531">
        <f>INDEX(L$4:L1237,MATCH($B1238,$B$4:$B1237,0))</f>
        <v>0.73679503467693408</v>
      </c>
      <c r="M1238" s="531">
        <f>INDEX(M$4:M1237,MATCH($B1238,$B$4:$B1237,0))</f>
        <v>0.77295687554154879</v>
      </c>
    </row>
    <row r="1239" spans="2:14" hidden="1" outlineLevel="2" x14ac:dyDescent="0.2">
      <c r="B1239" t="str">
        <f>+C1239&amp;D1239&amp;E1239&amp;F1239</f>
        <v>GlobalLHVe-Hydrogen (compressed)MJ/ ton</v>
      </c>
      <c r="C1239" t="s">
        <v>109</v>
      </c>
      <c r="D1239" t="s">
        <v>582</v>
      </c>
      <c r="E1239" t="s">
        <v>584</v>
      </c>
      <c r="F1239" s="157" t="s">
        <v>583</v>
      </c>
      <c r="G1239" s="532">
        <f>+INDEX('Fuel Model -  Input'!$B$3:$N$373,MATCH($B1239,'Fuel Model -  Input'!$B$3:$B$373,0),MATCH(G$2,'Fuel Model -  Input'!$B$3:$N$3,0))</f>
        <v>120000</v>
      </c>
      <c r="H1239" s="532">
        <f>+INDEX('Fuel Model -  Input'!$B$3:$N$373,MATCH($B1239,'Fuel Model -  Input'!$B$3:$B$373,0),MATCH(H$2,'Fuel Model -  Input'!$B$3:$N$3,0))</f>
        <v>120000</v>
      </c>
      <c r="I1239" s="532">
        <f>+INDEX('Fuel Model -  Input'!$B$3:$N$373,MATCH($B1239,'Fuel Model -  Input'!$B$3:$B$373,0),MATCH(I$2,'Fuel Model -  Input'!$B$3:$N$3,0))</f>
        <v>120000</v>
      </c>
      <c r="J1239" s="532">
        <f>+INDEX('Fuel Model -  Input'!$B$3:$N$373,MATCH($B1239,'Fuel Model -  Input'!$B$3:$B$373,0),MATCH(J$2,'Fuel Model -  Input'!$B$3:$N$3,0))</f>
        <v>120000</v>
      </c>
      <c r="K1239" s="532">
        <f>+INDEX('Fuel Model -  Input'!$B$3:$N$373,MATCH($B1239,'Fuel Model -  Input'!$B$3:$B$373,0),MATCH(K$2,'Fuel Model -  Input'!$B$3:$N$3,0))</f>
        <v>120000</v>
      </c>
      <c r="L1239" s="532">
        <f>+INDEX('Fuel Model -  Input'!$B$3:$N$373,MATCH($B1239,'Fuel Model -  Input'!$B$3:$B$373,0),MATCH(L$2,'Fuel Model -  Input'!$B$3:$N$3,0))</f>
        <v>120000</v>
      </c>
      <c r="M1239" s="532">
        <f>+INDEX('Fuel Model -  Input'!$B$3:$N$373,MATCH($B1239,'Fuel Model -  Input'!$B$3:$B$373,0),MATCH(M$2,'Fuel Model -  Input'!$B$3:$N$3,0))</f>
        <v>120000</v>
      </c>
    </row>
    <row r="1240" spans="2:14" hidden="1" outlineLevel="2" x14ac:dyDescent="0.2">
      <c r="B1240" t="str">
        <f>+C1240&amp;D1240&amp;E1240&amp;F1240</f>
        <v>GlobalLHVe-Diesel (PS)MJ/ ton</v>
      </c>
      <c r="C1240" t="s">
        <v>109</v>
      </c>
      <c r="D1240" t="s">
        <v>582</v>
      </c>
      <c r="E1240" t="s">
        <v>589</v>
      </c>
      <c r="F1240" s="157" t="s">
        <v>583</v>
      </c>
      <c r="G1240" s="532">
        <f>+INDEX('Fuel Model -  Input'!$B$3:$N$373,MATCH($B1240,'Fuel Model -  Input'!$B$3:$B$373,0),MATCH(G$2,'Fuel Model -  Input'!$B$3:$N$3,0))</f>
        <v>42700</v>
      </c>
      <c r="H1240" s="532">
        <f>+INDEX('Fuel Model -  Input'!$B$3:$N$373,MATCH($B1240,'Fuel Model -  Input'!$B$3:$B$373,0),MATCH(H$2,'Fuel Model -  Input'!$B$3:$N$3,0))</f>
        <v>42700</v>
      </c>
      <c r="I1240" s="532">
        <f>+INDEX('Fuel Model -  Input'!$B$3:$N$373,MATCH($B1240,'Fuel Model -  Input'!$B$3:$B$373,0),MATCH(I$2,'Fuel Model -  Input'!$B$3:$N$3,0))</f>
        <v>42700</v>
      </c>
      <c r="J1240" s="532">
        <f>+INDEX('Fuel Model -  Input'!$B$3:$N$373,MATCH($B1240,'Fuel Model -  Input'!$B$3:$B$373,0),MATCH(J$2,'Fuel Model -  Input'!$B$3:$N$3,0))</f>
        <v>42700</v>
      </c>
      <c r="K1240" s="532">
        <f>+INDEX('Fuel Model -  Input'!$B$3:$N$373,MATCH($B1240,'Fuel Model -  Input'!$B$3:$B$373,0),MATCH(K$2,'Fuel Model -  Input'!$B$3:$N$3,0))</f>
        <v>42700</v>
      </c>
      <c r="L1240" s="532">
        <f>+INDEX('Fuel Model -  Input'!$B$3:$N$373,MATCH($B1240,'Fuel Model -  Input'!$B$3:$B$373,0),MATCH(L$2,'Fuel Model -  Input'!$B$3:$N$3,0))</f>
        <v>42700</v>
      </c>
      <c r="M1240" s="532">
        <f>+INDEX('Fuel Model -  Input'!$B$3:$N$373,MATCH($B1240,'Fuel Model -  Input'!$B$3:$B$373,0),MATCH(M$2,'Fuel Model -  Input'!$B$3:$N$3,0))</f>
        <v>42700</v>
      </c>
    </row>
    <row r="1241" spans="2:14" ht="12.75" hidden="1" outlineLevel="1" x14ac:dyDescent="0.2">
      <c r="F1241"/>
    </row>
    <row r="1242" spans="2:14" ht="15" thickBot="1" x14ac:dyDescent="0.25"/>
    <row r="1243" spans="2:14" s="466" customFormat="1" ht="15.75" collapsed="1" thickBot="1" x14ac:dyDescent="0.3">
      <c r="B1243" s="463" t="s">
        <v>1077</v>
      </c>
      <c r="C1243" s="464" t="str">
        <f>+B1243</f>
        <v>e-Methane</v>
      </c>
      <c r="D1243" s="465"/>
      <c r="E1243" s="465"/>
      <c r="F1243" s="465"/>
      <c r="G1243" s="738">
        <v>2020</v>
      </c>
      <c r="H1243" s="738">
        <v>2025</v>
      </c>
      <c r="I1243" s="738">
        <v>2030</v>
      </c>
      <c r="J1243" s="738">
        <v>2035</v>
      </c>
      <c r="K1243" s="738">
        <v>2040</v>
      </c>
      <c r="L1243" s="738">
        <v>2045</v>
      </c>
      <c r="M1243" s="739">
        <v>2050</v>
      </c>
    </row>
    <row r="1244" spans="2:14" ht="15" hidden="1" outlineLevel="1" x14ac:dyDescent="0.25">
      <c r="B1244" s="30" t="s">
        <v>1078</v>
      </c>
      <c r="C1244" s="30" t="str">
        <f>+B1244</f>
        <v>e Methane DAC</v>
      </c>
      <c r="E1244" s="30"/>
      <c r="F1244" s="522"/>
      <c r="G1244" s="8"/>
      <c r="H1244" s="8"/>
      <c r="I1244" s="8"/>
      <c r="J1244" s="8"/>
      <c r="K1244" s="8"/>
      <c r="L1244" s="8"/>
      <c r="M1244" s="8"/>
    </row>
    <row r="1245" spans="2:14" ht="15" hidden="1" outlineLevel="1" x14ac:dyDescent="0.25">
      <c r="B1245" t="str">
        <f>+C1245&amp;D1245&amp;E1245&amp;F1245</f>
        <v>EuropeResultsCost of e-Methane (DAC)USD/ton</v>
      </c>
      <c r="C1245" t="s">
        <v>195</v>
      </c>
      <c r="D1245" t="s">
        <v>838</v>
      </c>
      <c r="E1245" s="30" t="s">
        <v>1079</v>
      </c>
      <c r="F1245" s="522" t="s">
        <v>205</v>
      </c>
      <c r="G1245" s="8">
        <f t="shared" ref="G1245:M1245" si="681">+G1271</f>
        <v>3786.7099048223154</v>
      </c>
      <c r="H1245" s="8">
        <f t="shared" si="681"/>
        <v>3083.9646531240232</v>
      </c>
      <c r="I1245" s="8">
        <f t="shared" si="681"/>
        <v>2529.4112447569441</v>
      </c>
      <c r="J1245" s="8">
        <f t="shared" si="681"/>
        <v>2281.8006243980235</v>
      </c>
      <c r="K1245" s="8">
        <f t="shared" si="681"/>
        <v>2012.8633279331989</v>
      </c>
      <c r="L1245" s="8">
        <f t="shared" si="681"/>
        <v>1688.5324002267037</v>
      </c>
      <c r="M1245" s="8">
        <f t="shared" si="681"/>
        <v>1391.3104613548026</v>
      </c>
      <c r="N1245" s="93"/>
    </row>
    <row r="1246" spans="2:14" ht="15" hidden="1" outlineLevel="1" x14ac:dyDescent="0.25">
      <c r="B1246" t="str">
        <f>+C1246&amp;D1246&amp;E1246&amp;F1246</f>
        <v>Middle EastResultsCost of e-Methane (DAC)USD/ton</v>
      </c>
      <c r="C1246" t="s">
        <v>197</v>
      </c>
      <c r="D1246" t="s">
        <v>838</v>
      </c>
      <c r="E1246" s="30" t="s">
        <v>1079</v>
      </c>
      <c r="F1246" s="522" t="s">
        <v>205</v>
      </c>
      <c r="G1246" s="8">
        <f t="shared" ref="G1246:M1246" si="682">G1316</f>
        <v>3326.0382831169159</v>
      </c>
      <c r="H1246" s="8">
        <f t="shared" si="682"/>
        <v>2711.9814695973673</v>
      </c>
      <c r="I1246" s="8">
        <f t="shared" si="682"/>
        <v>2271.1973947225174</v>
      </c>
      <c r="J1246" s="8">
        <f t="shared" si="682"/>
        <v>2023.5711599463482</v>
      </c>
      <c r="K1246" s="8">
        <f t="shared" si="682"/>
        <v>1772.4633967341861</v>
      </c>
      <c r="L1246" s="8">
        <f t="shared" si="682"/>
        <v>1454.5507557618373</v>
      </c>
      <c r="M1246" s="8">
        <f t="shared" si="682"/>
        <v>1182.6299665913805</v>
      </c>
    </row>
    <row r="1247" spans="2:14" ht="15" hidden="1" outlineLevel="1" x14ac:dyDescent="0.25">
      <c r="B1247" t="str">
        <f>+C1247&amp;D1247&amp;E1247&amp;F1247</f>
        <v>AsiaResultsCost of e-Methane (DAC)USD/ton</v>
      </c>
      <c r="C1247" t="s">
        <v>198</v>
      </c>
      <c r="D1247" t="s">
        <v>838</v>
      </c>
      <c r="E1247" s="30" t="s">
        <v>1079</v>
      </c>
      <c r="F1247" s="522" t="s">
        <v>205</v>
      </c>
      <c r="G1247" s="8">
        <f t="shared" ref="G1247:M1247" si="683">G1361</f>
        <v>4784.900344855635</v>
      </c>
      <c r="H1247" s="8">
        <f t="shared" si="683"/>
        <v>3417.5892631844163</v>
      </c>
      <c r="I1247" s="8">
        <f t="shared" si="683"/>
        <v>2791.7493205919791</v>
      </c>
      <c r="J1247" s="8">
        <f t="shared" si="683"/>
        <v>2417.9114397377293</v>
      </c>
      <c r="K1247" s="8">
        <f t="shared" si="683"/>
        <v>2096.4385215704742</v>
      </c>
      <c r="L1247" s="8">
        <f t="shared" si="683"/>
        <v>1723.1556108126597</v>
      </c>
      <c r="M1247" s="8">
        <f t="shared" si="683"/>
        <v>1422.1866949143189</v>
      </c>
    </row>
    <row r="1248" spans="2:14" ht="15" hidden="1" outlineLevel="1" x14ac:dyDescent="0.25">
      <c r="B1248" t="str">
        <f>+C1248&amp;D1248&amp;E1248&amp;F1248</f>
        <v>AmericasResultsCost of e-Methane (DAC)USD/ton</v>
      </c>
      <c r="C1248" t="s">
        <v>199</v>
      </c>
      <c r="D1248" t="s">
        <v>838</v>
      </c>
      <c r="E1248" s="30" t="s">
        <v>1079</v>
      </c>
      <c r="F1248" s="522" t="s">
        <v>205</v>
      </c>
      <c r="G1248" s="8">
        <f t="shared" ref="G1248:M1248" si="684">G1406</f>
        <v>3218.6511556183464</v>
      </c>
      <c r="H1248" s="8">
        <f t="shared" si="684"/>
        <v>2762.4571631752347</v>
      </c>
      <c r="I1248" s="8">
        <f t="shared" si="684"/>
        <v>2285.1728826636972</v>
      </c>
      <c r="J1248" s="8">
        <f t="shared" si="684"/>
        <v>2061.1341925032748</v>
      </c>
      <c r="K1248" s="8">
        <f t="shared" si="684"/>
        <v>1789.3792014172022</v>
      </c>
      <c r="L1248" s="8">
        <f t="shared" si="684"/>
        <v>1515.2245453819578</v>
      </c>
      <c r="M1248" s="8">
        <f t="shared" si="684"/>
        <v>1251.764057616042</v>
      </c>
    </row>
    <row r="1249" spans="2:14" ht="15" hidden="1" outlineLevel="1" x14ac:dyDescent="0.25">
      <c r="B1249" t="str">
        <f>+C1249&amp;D1249&amp;E1249&amp;F1249</f>
        <v>AfricaResultsCost of e-Methane (DAC)USD/ton</v>
      </c>
      <c r="C1249" t="s">
        <v>200</v>
      </c>
      <c r="D1249" t="s">
        <v>838</v>
      </c>
      <c r="E1249" s="30" t="s">
        <v>1079</v>
      </c>
      <c r="F1249" s="522" t="s">
        <v>205</v>
      </c>
      <c r="G1249" s="8">
        <f t="shared" ref="G1249:M1249" si="685">G1451</f>
        <v>4672.149048668326</v>
      </c>
      <c r="H1249" s="8">
        <f t="shared" si="685"/>
        <v>3101.7562815342735</v>
      </c>
      <c r="I1249" s="8">
        <f t="shared" si="685"/>
        <v>2507.1212989459177</v>
      </c>
      <c r="J1249" s="8">
        <f t="shared" si="685"/>
        <v>2199.0596848216014</v>
      </c>
      <c r="K1249" s="8">
        <f t="shared" si="685"/>
        <v>1920.5880157379499</v>
      </c>
      <c r="L1249" s="8">
        <f t="shared" si="685"/>
        <v>1591.4589204502486</v>
      </c>
      <c r="M1249" s="8">
        <f t="shared" si="685"/>
        <v>1309.6423736288784</v>
      </c>
    </row>
    <row r="1250" spans="2:14" ht="15" hidden="1" outlineLevel="1" x14ac:dyDescent="0.25">
      <c r="E1250" s="30"/>
      <c r="F1250" s="522"/>
      <c r="G1250" s="8"/>
      <c r="H1250" s="8"/>
      <c r="I1250" s="8"/>
      <c r="J1250" s="8"/>
      <c r="K1250" s="8"/>
      <c r="L1250" s="8"/>
      <c r="M1250" s="8"/>
    </row>
    <row r="1251" spans="2:14" ht="15" hidden="1" outlineLevel="1" x14ac:dyDescent="0.25">
      <c r="B1251" t="str">
        <f>+C1251&amp;D1251&amp;E1251&amp;F1251</f>
        <v>EuropeResultsCost of e-Methane (DAC) RNEUSD/ton</v>
      </c>
      <c r="C1251" t="s">
        <v>195</v>
      </c>
      <c r="D1251" t="s">
        <v>838</v>
      </c>
      <c r="E1251" s="30" t="s">
        <v>1080</v>
      </c>
      <c r="F1251" s="522" t="s">
        <v>205</v>
      </c>
      <c r="G1251" s="14">
        <f>+G1277</f>
        <v>1502.9091617840147</v>
      </c>
      <c r="H1251" s="14">
        <f t="shared" ref="H1251:M1251" si="686">+H1277</f>
        <v>1210.4816779438597</v>
      </c>
      <c r="I1251" s="14">
        <f t="shared" si="686"/>
        <v>967.00780901980681</v>
      </c>
      <c r="J1251" s="14">
        <f t="shared" si="686"/>
        <v>841.70876699977339</v>
      </c>
      <c r="K1251" s="14">
        <f t="shared" si="686"/>
        <v>752.72707581852035</v>
      </c>
      <c r="L1251" s="14">
        <f t="shared" si="686"/>
        <v>654.46618316430352</v>
      </c>
      <c r="M1251" s="14">
        <f t="shared" si="686"/>
        <v>584.73664941778952</v>
      </c>
      <c r="N1251" s="93"/>
    </row>
    <row r="1252" spans="2:14" ht="15" hidden="1" outlineLevel="1" x14ac:dyDescent="0.25">
      <c r="B1252" t="str">
        <f>+C1252&amp;D1252&amp;E1252&amp;F1252</f>
        <v>Middle EastResultsCost of e-Methane (DAC) RNEUSD/ton</v>
      </c>
      <c r="C1252" t="s">
        <v>197</v>
      </c>
      <c r="D1252" t="s">
        <v>838</v>
      </c>
      <c r="E1252" s="30" t="s">
        <v>1080</v>
      </c>
      <c r="F1252" s="522" t="s">
        <v>205</v>
      </c>
      <c r="G1252" s="18">
        <f>+G1322</f>
        <v>1153.9873683445719</v>
      </c>
      <c r="H1252" s="18">
        <f t="shared" ref="H1252:M1252" si="687">+H1322</f>
        <v>924.83464209909164</v>
      </c>
      <c r="I1252" s="18">
        <f t="shared" si="687"/>
        <v>766.4949490971519</v>
      </c>
      <c r="J1252" s="18">
        <f t="shared" si="687"/>
        <v>640.02269815718728</v>
      </c>
      <c r="K1252" s="18">
        <f t="shared" si="687"/>
        <v>564.27952572870129</v>
      </c>
      <c r="L1252" s="18">
        <f t="shared" si="687"/>
        <v>471.11799023086263</v>
      </c>
      <c r="M1252" s="18">
        <f t="shared" si="687"/>
        <v>420.92098625152238</v>
      </c>
    </row>
    <row r="1253" spans="2:14" ht="15" hidden="1" outlineLevel="1" x14ac:dyDescent="0.25">
      <c r="B1253" t="str">
        <f>+C1253&amp;D1253&amp;E1253&amp;F1253</f>
        <v>AsiaResultsCost of e-Methane (DAC) RNEUSD/ton</v>
      </c>
      <c r="C1253" t="s">
        <v>198</v>
      </c>
      <c r="D1253" t="s">
        <v>838</v>
      </c>
      <c r="E1253" s="30" t="s">
        <v>1080</v>
      </c>
      <c r="F1253" s="522" t="s">
        <v>205</v>
      </c>
      <c r="G1253" s="18">
        <f>+G1367</f>
        <v>2258.9583346007948</v>
      </c>
      <c r="H1253" s="18">
        <f t="shared" ref="H1253:M1253" si="688">+H1367</f>
        <v>1466.6730467178963</v>
      </c>
      <c r="I1253" s="18">
        <f t="shared" si="688"/>
        <v>1170.7232868893163</v>
      </c>
      <c r="J1253" s="18">
        <f t="shared" si="688"/>
        <v>948.01598229418323</v>
      </c>
      <c r="K1253" s="18">
        <f t="shared" si="688"/>
        <v>818.24099011406406</v>
      </c>
      <c r="L1253" s="18">
        <f t="shared" si="688"/>
        <v>681.59695707183619</v>
      </c>
      <c r="M1253" s="18">
        <f t="shared" si="688"/>
        <v>608.97471096907555</v>
      </c>
    </row>
    <row r="1254" spans="2:14" ht="15" hidden="1" outlineLevel="1" x14ac:dyDescent="0.25">
      <c r="B1254" t="str">
        <f>+C1254&amp;D1254&amp;E1254&amp;F1254</f>
        <v>AmericasResultsCost of e-Methane (DAC) RNEUSD/ton</v>
      </c>
      <c r="C1254" t="s">
        <v>199</v>
      </c>
      <c r="D1254" t="s">
        <v>838</v>
      </c>
      <c r="E1254" s="30" t="s">
        <v>1080</v>
      </c>
      <c r="F1254" s="522" t="s">
        <v>205</v>
      </c>
      <c r="G1254" s="18">
        <f>+G1412</f>
        <v>1072.6502350078174</v>
      </c>
      <c r="H1254" s="18">
        <f t="shared" ref="H1254:M1254" si="689">+H1412</f>
        <v>963.59508313847357</v>
      </c>
      <c r="I1254" s="18">
        <f t="shared" si="689"/>
        <v>777.34744618639354</v>
      </c>
      <c r="J1254" s="18">
        <f t="shared" si="689"/>
        <v>669.36071497219064</v>
      </c>
      <c r="K1254" s="18">
        <f t="shared" si="689"/>
        <v>577.53968738687286</v>
      </c>
      <c r="L1254" s="18">
        <f t="shared" si="689"/>
        <v>518.66201750152857</v>
      </c>
      <c r="M1254" s="18">
        <f t="shared" si="689"/>
        <v>475.19173628707921</v>
      </c>
    </row>
    <row r="1255" spans="2:14" ht="15" hidden="1" outlineLevel="1" x14ac:dyDescent="0.25">
      <c r="B1255" t="str">
        <f>+C1255&amp;D1255&amp;E1255&amp;F1255</f>
        <v>AfricaResultsCost of e-Methane (DAC) RNEUSD/ton</v>
      </c>
      <c r="C1255" t="s">
        <v>200</v>
      </c>
      <c r="D1255" t="s">
        <v>838</v>
      </c>
      <c r="E1255" s="30" t="s">
        <v>1080</v>
      </c>
      <c r="F1255" s="522" t="s">
        <v>205</v>
      </c>
      <c r="G1255" s="18">
        <f>+G1457</f>
        <v>2173.5582738532798</v>
      </c>
      <c r="H1255" s="18">
        <f t="shared" ref="H1255:M1255" si="690">+H1457</f>
        <v>1224.1439243660163</v>
      </c>
      <c r="I1255" s="18">
        <f t="shared" si="690"/>
        <v>949.69881966275216</v>
      </c>
      <c r="J1255" s="18">
        <f t="shared" si="690"/>
        <v>777.08525522916591</v>
      </c>
      <c r="K1255" s="18">
        <f t="shared" si="690"/>
        <v>680.39320937255832</v>
      </c>
      <c r="L1255" s="18">
        <f t="shared" si="690"/>
        <v>578.39933125598441</v>
      </c>
      <c r="M1255" s="18">
        <f t="shared" si="690"/>
        <v>520.62662339206918</v>
      </c>
    </row>
    <row r="1256" spans="2:14" hidden="1" outlineLevel="1" x14ac:dyDescent="0.2"/>
    <row r="1257" spans="2:14" ht="15" hidden="1" outlineLevel="1" x14ac:dyDescent="0.25">
      <c r="B1257" s="30" t="s">
        <v>1081</v>
      </c>
      <c r="C1257" s="30" t="str">
        <f>+B1257</f>
        <v>e Methane PS</v>
      </c>
    </row>
    <row r="1258" spans="2:14" ht="15" hidden="1" outlineLevel="1" x14ac:dyDescent="0.25">
      <c r="B1258" t="str">
        <f>+C1258&amp;D1258&amp;E1258&amp;F1258</f>
        <v>EuropeResultsCost of e-Methane (PS)USD/ton</v>
      </c>
      <c r="C1258" t="s">
        <v>195</v>
      </c>
      <c r="D1258" t="s">
        <v>838</v>
      </c>
      <c r="E1258" s="30" t="s">
        <v>1082</v>
      </c>
      <c r="F1258" s="522" t="s">
        <v>205</v>
      </c>
      <c r="G1258" s="8">
        <f t="shared" ref="G1258:M1258" si="691">G1272</f>
        <v>3447.7009717476408</v>
      </c>
      <c r="H1258" s="8">
        <f t="shared" si="691"/>
        <v>2833.7821029107381</v>
      </c>
      <c r="I1258" s="8">
        <f t="shared" si="691"/>
        <v>2331.3381760974703</v>
      </c>
      <c r="J1258" s="8">
        <f t="shared" si="691"/>
        <v>2135.9594471573191</v>
      </c>
      <c r="K1258" s="8">
        <f t="shared" si="691"/>
        <v>1899.8261856931713</v>
      </c>
      <c r="L1258" s="8">
        <f t="shared" si="691"/>
        <v>1599.7146431836663</v>
      </c>
      <c r="M1258" s="8">
        <f t="shared" si="691"/>
        <v>1316.5605368852775</v>
      </c>
      <c r="N1258" s="93"/>
    </row>
    <row r="1259" spans="2:14" ht="15" hidden="1" outlineLevel="1" x14ac:dyDescent="0.25">
      <c r="B1259" t="str">
        <f>+C1259&amp;D1259&amp;E1259&amp;F1259</f>
        <v>Middle EastResultsCost of e-Methane (PS)USD/ton</v>
      </c>
      <c r="C1259" t="s">
        <v>197</v>
      </c>
      <c r="D1259" t="s">
        <v>838</v>
      </c>
      <c r="E1259" s="30" t="s">
        <v>1082</v>
      </c>
      <c r="F1259" s="522" t="s">
        <v>205</v>
      </c>
      <c r="G1259" s="8">
        <f t="shared" ref="G1259:M1259" si="692">G1317</f>
        <v>3075.5257155325212</v>
      </c>
      <c r="H1259" s="8">
        <f t="shared" si="692"/>
        <v>2529.009845201283</v>
      </c>
      <c r="I1259" s="8">
        <f t="shared" si="692"/>
        <v>2117.2222149215531</v>
      </c>
      <c r="J1259" s="8">
        <f t="shared" si="692"/>
        <v>1920.0913803015428</v>
      </c>
      <c r="K1259" s="8">
        <f t="shared" si="692"/>
        <v>1697.5202151938722</v>
      </c>
      <c r="L1259" s="8">
        <f t="shared" si="692"/>
        <v>1402.0068647650778</v>
      </c>
      <c r="M1259" s="8">
        <f t="shared" si="692"/>
        <v>1139.2228722846871</v>
      </c>
    </row>
    <row r="1260" spans="2:14" ht="15" hidden="1" outlineLevel="1" x14ac:dyDescent="0.25">
      <c r="B1260" t="str">
        <f>+C1260&amp;D1260&amp;E1260&amp;F1260</f>
        <v>AsiaResultsCost of e-Methane (PS)USD/ton</v>
      </c>
      <c r="C1260" t="s">
        <v>198</v>
      </c>
      <c r="D1260" t="s">
        <v>838</v>
      </c>
      <c r="E1260" s="30" t="s">
        <v>1082</v>
      </c>
      <c r="F1260" s="522" t="s">
        <v>205</v>
      </c>
      <c r="G1260" s="8">
        <f t="shared" ref="G1260:M1260" si="693">G1362</f>
        <v>4254.1361096352093</v>
      </c>
      <c r="H1260" s="8">
        <f t="shared" si="693"/>
        <v>3107.1265177618361</v>
      </c>
      <c r="I1260" s="8">
        <f t="shared" si="693"/>
        <v>2548.8740257545287</v>
      </c>
      <c r="J1260" s="8">
        <f t="shared" si="693"/>
        <v>2249.7418873135407</v>
      </c>
      <c r="K1260" s="8">
        <f t="shared" si="693"/>
        <v>1970.1579889267539</v>
      </c>
      <c r="L1260" s="8">
        <f t="shared" si="693"/>
        <v>1628.9702630521565</v>
      </c>
      <c r="M1260" s="8">
        <f t="shared" si="693"/>
        <v>1342.7993051866204</v>
      </c>
    </row>
    <row r="1261" spans="2:14" ht="15" hidden="1" outlineLevel="1" x14ac:dyDescent="0.25">
      <c r="B1261" t="str">
        <f>+C1261&amp;D1261&amp;E1261&amp;F1261</f>
        <v>AmericasResultsCost of e-Methane (PS)USD/ton</v>
      </c>
      <c r="C1261" t="s">
        <v>199</v>
      </c>
      <c r="D1261" t="s">
        <v>838</v>
      </c>
      <c r="E1261" s="30" t="s">
        <v>1082</v>
      </c>
      <c r="F1261" s="522" t="s">
        <v>205</v>
      </c>
      <c r="G1261" s="8">
        <f t="shared" ref="G1261:M1261" si="694">G1407</f>
        <v>2988.7679692163292</v>
      </c>
      <c r="H1261" s="8">
        <f t="shared" si="694"/>
        <v>2570.3654541977171</v>
      </c>
      <c r="I1261" s="8">
        <f t="shared" si="694"/>
        <v>2128.8109621286812</v>
      </c>
      <c r="J1261" s="8">
        <f t="shared" si="694"/>
        <v>1951.4923640758857</v>
      </c>
      <c r="K1261" s="8">
        <f t="shared" si="694"/>
        <v>1711.7555282661592</v>
      </c>
      <c r="L1261" s="8">
        <f t="shared" si="694"/>
        <v>1453.2744767244083</v>
      </c>
      <c r="M1261" s="8">
        <f t="shared" si="694"/>
        <v>1197.9733475530977</v>
      </c>
    </row>
    <row r="1262" spans="2:14" ht="15" hidden="1" outlineLevel="1" x14ac:dyDescent="0.25">
      <c r="B1262" t="str">
        <f>+C1262&amp;D1262&amp;E1262&amp;F1262</f>
        <v>AfricaResultsCost of e-Methane (PS)USD/ton</v>
      </c>
      <c r="C1262" t="s">
        <v>200</v>
      </c>
      <c r="D1262" t="s">
        <v>838</v>
      </c>
      <c r="E1262" s="30" t="s">
        <v>1082</v>
      </c>
      <c r="F1262" s="522" t="s">
        <v>205</v>
      </c>
      <c r="G1262" s="8">
        <f>+G1452</f>
        <v>4163.0446671197114</v>
      </c>
      <c r="H1262" s="8">
        <f t="shared" ref="H1262:M1262" si="695">+H1452</f>
        <v>2848.3590918689792</v>
      </c>
      <c r="I1262" s="8">
        <f t="shared" si="695"/>
        <v>2312.8549182425932</v>
      </c>
      <c r="J1262" s="8">
        <f t="shared" si="695"/>
        <v>2066.791791506098</v>
      </c>
      <c r="K1262" s="8">
        <f t="shared" si="695"/>
        <v>1822.1728914776597</v>
      </c>
      <c r="L1262" s="8">
        <f t="shared" si="695"/>
        <v>1517.6903370725665</v>
      </c>
      <c r="M1262" s="8">
        <f t="shared" si="695"/>
        <v>1247.1586123492518</v>
      </c>
    </row>
    <row r="1263" spans="2:14" ht="15" hidden="1" outlineLevel="1" x14ac:dyDescent="0.25">
      <c r="E1263" s="30"/>
      <c r="F1263" s="522"/>
      <c r="G1263" s="8"/>
      <c r="H1263" s="8"/>
      <c r="I1263" s="8"/>
      <c r="J1263" s="8"/>
      <c r="K1263" s="8"/>
      <c r="L1263" s="8"/>
      <c r="M1263" s="8"/>
    </row>
    <row r="1264" spans="2:14" ht="15" hidden="1" outlineLevel="1" x14ac:dyDescent="0.25">
      <c r="B1264" t="str">
        <f>+C1264&amp;D1264&amp;E1264&amp;F1264</f>
        <v>EuropeResultsCost of e-Methane (PS) RNEUSD/ton</v>
      </c>
      <c r="C1264" t="s">
        <v>195</v>
      </c>
      <c r="D1264" t="s">
        <v>838</v>
      </c>
      <c r="E1264" s="30" t="s">
        <v>1083</v>
      </c>
      <c r="F1264" s="522" t="s">
        <v>205</v>
      </c>
      <c r="G1264" s="14">
        <f t="shared" ref="G1264:M1264" si="696">+G1278</f>
        <v>1502.9091617840147</v>
      </c>
      <c r="H1264" s="14">
        <f t="shared" si="696"/>
        <v>1210.4816779438597</v>
      </c>
      <c r="I1264" s="14">
        <f t="shared" si="696"/>
        <v>967.00780901980681</v>
      </c>
      <c r="J1264" s="14">
        <f t="shared" si="696"/>
        <v>841.70876699977339</v>
      </c>
      <c r="K1264" s="14">
        <f t="shared" si="696"/>
        <v>752.72707581852035</v>
      </c>
      <c r="L1264" s="14">
        <f t="shared" si="696"/>
        <v>654.46618316430352</v>
      </c>
      <c r="M1264" s="14">
        <f t="shared" si="696"/>
        <v>584.73664941778952</v>
      </c>
      <c r="N1264" s="93"/>
    </row>
    <row r="1265" spans="2:13" ht="15" hidden="1" outlineLevel="1" x14ac:dyDescent="0.25">
      <c r="B1265" t="str">
        <f>+C1265&amp;D1265&amp;E1265&amp;F1265</f>
        <v>Middle EastResultsCost of e-Methane (PS) RNEUSD/ton</v>
      </c>
      <c r="C1265" t="s">
        <v>197</v>
      </c>
      <c r="D1265" t="s">
        <v>838</v>
      </c>
      <c r="E1265" s="30" t="s">
        <v>1083</v>
      </c>
      <c r="F1265" s="522" t="s">
        <v>205</v>
      </c>
      <c r="G1265" s="18">
        <f t="shared" ref="G1265:M1265" si="697">+G1323</f>
        <v>1153.9873683445719</v>
      </c>
      <c r="H1265" s="18">
        <f t="shared" si="697"/>
        <v>924.83464209909164</v>
      </c>
      <c r="I1265" s="18">
        <f t="shared" si="697"/>
        <v>766.4949490971519</v>
      </c>
      <c r="J1265" s="18">
        <f t="shared" si="697"/>
        <v>640.02269815718728</v>
      </c>
      <c r="K1265" s="18">
        <f t="shared" si="697"/>
        <v>564.27952572870129</v>
      </c>
      <c r="L1265" s="18">
        <f t="shared" si="697"/>
        <v>471.11799023086263</v>
      </c>
      <c r="M1265" s="18">
        <f t="shared" si="697"/>
        <v>420.92098625152238</v>
      </c>
    </row>
    <row r="1266" spans="2:13" ht="15" hidden="1" outlineLevel="1" x14ac:dyDescent="0.25">
      <c r="B1266" t="str">
        <f>+C1266&amp;D1266&amp;E1266&amp;F1266</f>
        <v>AsiaResultsCost of e-Methane (PS) RNEUSD/ton</v>
      </c>
      <c r="C1266" t="s">
        <v>198</v>
      </c>
      <c r="D1266" t="s">
        <v>838</v>
      </c>
      <c r="E1266" s="30" t="s">
        <v>1083</v>
      </c>
      <c r="F1266" s="522" t="s">
        <v>205</v>
      </c>
      <c r="G1266" s="18">
        <f t="shared" ref="G1266:M1266" si="698">+G1368</f>
        <v>2258.9583346007948</v>
      </c>
      <c r="H1266" s="18">
        <f t="shared" si="698"/>
        <v>1466.6730467178963</v>
      </c>
      <c r="I1266" s="18">
        <f t="shared" si="698"/>
        <v>1170.7232868893163</v>
      </c>
      <c r="J1266" s="18">
        <f t="shared" si="698"/>
        <v>948.01598229418323</v>
      </c>
      <c r="K1266" s="18">
        <f t="shared" si="698"/>
        <v>818.24099011406406</v>
      </c>
      <c r="L1266" s="18">
        <f t="shared" si="698"/>
        <v>681.59695707183619</v>
      </c>
      <c r="M1266" s="18">
        <f t="shared" si="698"/>
        <v>608.97471096907555</v>
      </c>
    </row>
    <row r="1267" spans="2:13" ht="15" hidden="1" outlineLevel="1" x14ac:dyDescent="0.25">
      <c r="B1267" t="str">
        <f>+C1267&amp;D1267&amp;E1267&amp;F1267</f>
        <v>AmericasResultsCost of e-Methane (PS) RNEUSD/ton</v>
      </c>
      <c r="C1267" t="s">
        <v>199</v>
      </c>
      <c r="D1267" t="s">
        <v>838</v>
      </c>
      <c r="E1267" s="30" t="s">
        <v>1083</v>
      </c>
      <c r="F1267" s="522" t="s">
        <v>205</v>
      </c>
      <c r="G1267" s="18">
        <f t="shared" ref="G1267:M1267" si="699">+G1413</f>
        <v>1072.6502350078174</v>
      </c>
      <c r="H1267" s="18">
        <f t="shared" si="699"/>
        <v>963.59508313847357</v>
      </c>
      <c r="I1267" s="18">
        <f t="shared" si="699"/>
        <v>777.34744618639354</v>
      </c>
      <c r="J1267" s="18">
        <f t="shared" si="699"/>
        <v>669.36071497219064</v>
      </c>
      <c r="K1267" s="18">
        <f t="shared" si="699"/>
        <v>577.53968738687286</v>
      </c>
      <c r="L1267" s="18">
        <f t="shared" si="699"/>
        <v>518.66201750152857</v>
      </c>
      <c r="M1267" s="18">
        <f t="shared" si="699"/>
        <v>475.19173628707921</v>
      </c>
    </row>
    <row r="1268" spans="2:13" ht="15" hidden="1" outlineLevel="1" x14ac:dyDescent="0.25">
      <c r="B1268" t="str">
        <f>+C1268&amp;D1268&amp;E1268&amp;F1268</f>
        <v>AfricaResultsCost of e-Methane (PS) RNEUSD/ton</v>
      </c>
      <c r="C1268" t="s">
        <v>200</v>
      </c>
      <c r="D1268" t="s">
        <v>838</v>
      </c>
      <c r="E1268" s="30" t="s">
        <v>1083</v>
      </c>
      <c r="F1268" s="522" t="s">
        <v>205</v>
      </c>
      <c r="G1268" s="18">
        <f t="shared" ref="G1268:M1268" si="700">+G1458</f>
        <v>2173.5582738532798</v>
      </c>
      <c r="H1268" s="18">
        <f t="shared" si="700"/>
        <v>1224.1439243660163</v>
      </c>
      <c r="I1268" s="18">
        <f t="shared" si="700"/>
        <v>949.69881966275216</v>
      </c>
      <c r="J1268" s="18">
        <f t="shared" si="700"/>
        <v>777.08525522916591</v>
      </c>
      <c r="K1268" s="18">
        <f t="shared" si="700"/>
        <v>680.39320937255832</v>
      </c>
      <c r="L1268" s="18">
        <f t="shared" si="700"/>
        <v>578.39933125598441</v>
      </c>
      <c r="M1268" s="18">
        <f t="shared" si="700"/>
        <v>520.62662339206918</v>
      </c>
    </row>
    <row r="1269" spans="2:13" ht="12.75" hidden="1" outlineLevel="1" x14ac:dyDescent="0.2">
      <c r="F1269"/>
    </row>
    <row r="1270" spans="2:13" s="30" customFormat="1" ht="15" hidden="1" outlineLevel="1" collapsed="1" x14ac:dyDescent="0.25">
      <c r="B1270" s="30" t="s">
        <v>195</v>
      </c>
      <c r="C1270" s="30" t="str">
        <f>+B1270</f>
        <v>Europe</v>
      </c>
    </row>
    <row r="1271" spans="2:13" ht="15" hidden="1" outlineLevel="2" x14ac:dyDescent="0.25">
      <c r="B1271" s="157" t="str">
        <f t="shared" ref="B1271:B1276" si="701">+C1271&amp;D1271&amp;E1271&amp;F1271</f>
        <v>EuropeResultsTotal cost of e-Methane (DAC)USD/ton</v>
      </c>
      <c r="C1271" s="157" t="str">
        <f t="shared" ref="C1271:C1280" si="702">+$B$1270</f>
        <v>Europe</v>
      </c>
      <c r="D1271" s="515" t="s">
        <v>838</v>
      </c>
      <c r="E1271" s="535" t="s">
        <v>1084</v>
      </c>
      <c r="F1271" s="489" t="s">
        <v>205</v>
      </c>
      <c r="G1271" s="492">
        <f>+G1273+G1275+G1277+G1279</f>
        <v>3786.7099048223154</v>
      </c>
      <c r="H1271" s="492">
        <f t="shared" ref="H1271:M1271" si="703">+H1273+H1275+H1277+H1279</f>
        <v>3083.9646531240232</v>
      </c>
      <c r="I1271" s="492">
        <f t="shared" si="703"/>
        <v>2529.4112447569441</v>
      </c>
      <c r="J1271" s="492">
        <f t="shared" si="703"/>
        <v>2281.8006243980235</v>
      </c>
      <c r="K1271" s="492">
        <f t="shared" si="703"/>
        <v>2012.8633279331989</v>
      </c>
      <c r="L1271" s="492">
        <f t="shared" si="703"/>
        <v>1688.5324002267037</v>
      </c>
      <c r="M1271" s="492">
        <f t="shared" si="703"/>
        <v>1391.3104613548026</v>
      </c>
    </row>
    <row r="1272" spans="2:13" ht="15" hidden="1" outlineLevel="2" x14ac:dyDescent="0.25">
      <c r="B1272" s="157" t="str">
        <f t="shared" si="701"/>
        <v>EuropeResultsTotal cost of e-Methane (PS)USD/ton</v>
      </c>
      <c r="C1272" s="157" t="str">
        <f t="shared" si="702"/>
        <v>Europe</v>
      </c>
      <c r="D1272" s="515" t="s">
        <v>838</v>
      </c>
      <c r="E1272" s="535" t="s">
        <v>1085</v>
      </c>
      <c r="F1272" s="489" t="s">
        <v>205</v>
      </c>
      <c r="G1272" s="492">
        <f t="shared" ref="G1272:M1272" si="704">+G1274+G1276+G1278+G1280</f>
        <v>3447.7009717476408</v>
      </c>
      <c r="H1272" s="492">
        <f t="shared" si="704"/>
        <v>2833.7821029107381</v>
      </c>
      <c r="I1272" s="492">
        <f t="shared" si="704"/>
        <v>2331.3381760974703</v>
      </c>
      <c r="J1272" s="492">
        <f t="shared" si="704"/>
        <v>2135.9594471573191</v>
      </c>
      <c r="K1272" s="492">
        <f t="shared" si="704"/>
        <v>1899.8261856931713</v>
      </c>
      <c r="L1272" s="492">
        <f t="shared" si="704"/>
        <v>1599.7146431836663</v>
      </c>
      <c r="M1272" s="492">
        <f t="shared" si="704"/>
        <v>1316.5605368852775</v>
      </c>
    </row>
    <row r="1273" spans="2:13" ht="15" hidden="1" outlineLevel="2" x14ac:dyDescent="0.25">
      <c r="B1273" s="157" t="str">
        <f t="shared" si="701"/>
        <v>EuropeResultsTotal Capex e-Methane (DAC)USD/ton</v>
      </c>
      <c r="C1273" s="157" t="str">
        <f t="shared" si="702"/>
        <v>Europe</v>
      </c>
      <c r="D1273" s="515" t="s">
        <v>838</v>
      </c>
      <c r="E1273" s="536" t="s">
        <v>1086</v>
      </c>
      <c r="F1273" s="489" t="s">
        <v>205</v>
      </c>
      <c r="G1273" s="490">
        <f>G1286+G1290+G1309*G1311</f>
        <v>779.76934830215805</v>
      </c>
      <c r="H1273" s="490">
        <f t="shared" ref="H1273:M1273" si="705">H1286+H1290+H1309*H1311</f>
        <v>669.47546507694926</v>
      </c>
      <c r="I1273" s="490">
        <f t="shared" si="705"/>
        <v>597.32644088272252</v>
      </c>
      <c r="J1273" s="490">
        <f t="shared" si="705"/>
        <v>600.24152790094467</v>
      </c>
      <c r="K1273" s="490">
        <f t="shared" si="705"/>
        <v>561.26080769795669</v>
      </c>
      <c r="L1273" s="490">
        <f t="shared" si="705"/>
        <v>482.23733717358937</v>
      </c>
      <c r="M1273" s="490">
        <f t="shared" si="705"/>
        <v>381.31048537121603</v>
      </c>
    </row>
    <row r="1274" spans="2:13" ht="15" hidden="1" outlineLevel="2" x14ac:dyDescent="0.25">
      <c r="B1274" s="157" t="str">
        <f t="shared" si="701"/>
        <v>EuropeResultsTotal Capex e-Methane (PS)USD/ton</v>
      </c>
      <c r="C1274" s="157" t="str">
        <f t="shared" si="702"/>
        <v>Europe</v>
      </c>
      <c r="D1274" s="515" t="s">
        <v>838</v>
      </c>
      <c r="E1274" s="536" t="s">
        <v>1087</v>
      </c>
      <c r="F1274" s="489" t="s">
        <v>205</v>
      </c>
      <c r="G1274" s="490">
        <f t="shared" ref="G1274:M1274" si="706">+G1273</f>
        <v>779.76934830215805</v>
      </c>
      <c r="H1274" s="490">
        <f t="shared" si="706"/>
        <v>669.47546507694926</v>
      </c>
      <c r="I1274" s="490">
        <f t="shared" si="706"/>
        <v>597.32644088272252</v>
      </c>
      <c r="J1274" s="490">
        <f t="shared" si="706"/>
        <v>600.24152790094467</v>
      </c>
      <c r="K1274" s="490">
        <f t="shared" si="706"/>
        <v>561.26080769795669</v>
      </c>
      <c r="L1274" s="490">
        <f t="shared" si="706"/>
        <v>482.23733717358937</v>
      </c>
      <c r="M1274" s="490">
        <f t="shared" si="706"/>
        <v>381.31048537121603</v>
      </c>
    </row>
    <row r="1275" spans="2:13" ht="15" hidden="1" outlineLevel="2" x14ac:dyDescent="0.25">
      <c r="B1275" s="157" t="str">
        <f t="shared" si="701"/>
        <v>EuropeResultsTotal Opex e-Methane (DAC)USD/ton</v>
      </c>
      <c r="C1275" s="157" t="str">
        <f t="shared" si="702"/>
        <v>Europe</v>
      </c>
      <c r="D1275" s="515" t="s">
        <v>838</v>
      </c>
      <c r="E1275" s="536" t="s">
        <v>1088</v>
      </c>
      <c r="F1275" s="489" t="s">
        <v>205</v>
      </c>
      <c r="G1275" s="490">
        <f>SUM(G1283,G1294)+G1309*(1-SUM(G1310:G1311))</f>
        <v>661.18788706282521</v>
      </c>
      <c r="H1275" s="490">
        <f t="shared" ref="H1275:M1275" si="707">SUM(H1283,H1294)+H1309*(1-SUM(H1310:H1311))</f>
        <v>538.75365097446547</v>
      </c>
      <c r="I1275" s="490">
        <f t="shared" si="707"/>
        <v>438.22647937765407</v>
      </c>
      <c r="J1275" s="490">
        <f t="shared" si="707"/>
        <v>398.96156424260221</v>
      </c>
      <c r="K1275" s="490">
        <f t="shared" si="707"/>
        <v>322.78060920291784</v>
      </c>
      <c r="L1275" s="490">
        <f t="shared" si="707"/>
        <v>232.1233270774018</v>
      </c>
      <c r="M1275" s="490">
        <f t="shared" si="707"/>
        <v>151.04976713188194</v>
      </c>
    </row>
    <row r="1276" spans="2:13" ht="15" hidden="1" outlineLevel="2" x14ac:dyDescent="0.25">
      <c r="B1276" s="157" t="str">
        <f t="shared" si="701"/>
        <v>EuropeResultsTotal Opex e-Methane (PS)USD/ton</v>
      </c>
      <c r="C1276" s="157" t="str">
        <f t="shared" si="702"/>
        <v>Europe</v>
      </c>
      <c r="D1276" s="515" t="s">
        <v>838</v>
      </c>
      <c r="E1276" s="536" t="s">
        <v>1089</v>
      </c>
      <c r="F1276" s="489" t="s">
        <v>205</v>
      </c>
      <c r="G1276" s="490">
        <f t="shared" ref="G1276:M1276" si="708">+G1275</f>
        <v>661.18788706282521</v>
      </c>
      <c r="H1276" s="490">
        <f t="shared" si="708"/>
        <v>538.75365097446547</v>
      </c>
      <c r="I1276" s="490">
        <f t="shared" si="708"/>
        <v>438.22647937765407</v>
      </c>
      <c r="J1276" s="490">
        <f t="shared" si="708"/>
        <v>398.96156424260221</v>
      </c>
      <c r="K1276" s="490">
        <f t="shared" si="708"/>
        <v>322.78060920291784</v>
      </c>
      <c r="L1276" s="490">
        <f t="shared" si="708"/>
        <v>232.1233270774018</v>
      </c>
      <c r="M1276" s="490">
        <f t="shared" si="708"/>
        <v>151.04976713188194</v>
      </c>
    </row>
    <row r="1277" spans="2:13" ht="15" hidden="1" outlineLevel="2" x14ac:dyDescent="0.25">
      <c r="B1277" s="157" t="str">
        <f>+C1277&amp;D1277&amp;E1277&amp;F1277</f>
        <v>EuropeResultsTotal RNE e-Methane (DAC)USD/ton</v>
      </c>
      <c r="C1277" s="157" t="str">
        <f t="shared" si="702"/>
        <v>Europe</v>
      </c>
      <c r="D1277" s="515" t="s">
        <v>838</v>
      </c>
      <c r="E1277" s="536" t="s">
        <v>1090</v>
      </c>
      <c r="F1277" s="489" t="s">
        <v>205</v>
      </c>
      <c r="G1277" s="490">
        <f>+G1297+G1309*G1310</f>
        <v>1502.9091617840147</v>
      </c>
      <c r="H1277" s="490">
        <f t="shared" ref="H1277:M1277" si="709">+H1297+H1309*H1310</f>
        <v>1210.4816779438597</v>
      </c>
      <c r="I1277" s="490">
        <f t="shared" si="709"/>
        <v>967.00780901980681</v>
      </c>
      <c r="J1277" s="490">
        <f t="shared" si="709"/>
        <v>841.70876699977339</v>
      </c>
      <c r="K1277" s="490">
        <f t="shared" si="709"/>
        <v>752.72707581852035</v>
      </c>
      <c r="L1277" s="490">
        <f t="shared" si="709"/>
        <v>654.46618316430352</v>
      </c>
      <c r="M1277" s="490">
        <f t="shared" si="709"/>
        <v>584.73664941778952</v>
      </c>
    </row>
    <row r="1278" spans="2:13" ht="15" hidden="1" outlineLevel="2" x14ac:dyDescent="0.25">
      <c r="B1278" s="157" t="str">
        <f>+C1278&amp;D1278&amp;E1278&amp;F1278</f>
        <v>EuropeResultsTotal RNE e-Methane (PS)USD/ton</v>
      </c>
      <c r="C1278" s="157" t="str">
        <f t="shared" si="702"/>
        <v>Europe</v>
      </c>
      <c r="D1278" s="515" t="s">
        <v>838</v>
      </c>
      <c r="E1278" s="536" t="s">
        <v>1091</v>
      </c>
      <c r="F1278" s="489" t="s">
        <v>205</v>
      </c>
      <c r="G1278" s="490">
        <f>+G1277</f>
        <v>1502.9091617840147</v>
      </c>
      <c r="H1278" s="490">
        <f t="shared" ref="H1278:M1278" si="710">+H1277</f>
        <v>1210.4816779438597</v>
      </c>
      <c r="I1278" s="490">
        <f t="shared" si="710"/>
        <v>967.00780901980681</v>
      </c>
      <c r="J1278" s="490">
        <f t="shared" si="710"/>
        <v>841.70876699977339</v>
      </c>
      <c r="K1278" s="490">
        <f t="shared" si="710"/>
        <v>752.72707581852035</v>
      </c>
      <c r="L1278" s="490">
        <f t="shared" si="710"/>
        <v>654.46618316430352</v>
      </c>
      <c r="M1278" s="490">
        <f t="shared" si="710"/>
        <v>584.73664941778952</v>
      </c>
    </row>
    <row r="1279" spans="2:13" ht="15" hidden="1" outlineLevel="2" x14ac:dyDescent="0.25">
      <c r="B1279" s="157" t="str">
        <f>+C1279&amp;D1279&amp;E1279&amp;F1279</f>
        <v>EuropeResultsTotal CO2 e-Methane (DAC)USD/ton</v>
      </c>
      <c r="C1279" s="157" t="str">
        <f t="shared" si="702"/>
        <v>Europe</v>
      </c>
      <c r="D1279" s="515" t="s">
        <v>838</v>
      </c>
      <c r="E1279" s="536" t="s">
        <v>1092</v>
      </c>
      <c r="F1279" s="489" t="s">
        <v>205</v>
      </c>
      <c r="G1279" s="490">
        <f>+G1301</f>
        <v>842.84350767331762</v>
      </c>
      <c r="H1279" s="490">
        <f t="shared" ref="H1279:M1279" si="711">+H1301</f>
        <v>665.25385912874913</v>
      </c>
      <c r="I1279" s="490">
        <f t="shared" si="711"/>
        <v>526.85051547676073</v>
      </c>
      <c r="J1279" s="490">
        <f t="shared" si="711"/>
        <v>440.88876525470317</v>
      </c>
      <c r="K1279" s="490">
        <f t="shared" si="711"/>
        <v>376.094835213804</v>
      </c>
      <c r="L1279" s="490">
        <f t="shared" si="711"/>
        <v>319.70555281140906</v>
      </c>
      <c r="M1279" s="490">
        <f t="shared" si="711"/>
        <v>274.21355943391518</v>
      </c>
    </row>
    <row r="1280" spans="2:13" ht="15" hidden="1" outlineLevel="2" x14ac:dyDescent="0.25">
      <c r="B1280" s="157" t="str">
        <f>+C1280&amp;D1280&amp;E1280&amp;F1280</f>
        <v>EuropeResultsTotal CO2 e-Methane (PS)USD/ton</v>
      </c>
      <c r="C1280" s="157" t="str">
        <f t="shared" si="702"/>
        <v>Europe</v>
      </c>
      <c r="D1280" s="515" t="s">
        <v>838</v>
      </c>
      <c r="E1280" s="536" t="s">
        <v>1093</v>
      </c>
      <c r="F1280" s="489" t="s">
        <v>205</v>
      </c>
      <c r="G1280" s="490">
        <f>+G1305</f>
        <v>503.83457459864309</v>
      </c>
      <c r="H1280" s="490">
        <f t="shared" ref="H1280:M1280" si="712">+H1305</f>
        <v>415.07130891546353</v>
      </c>
      <c r="I1280" s="490">
        <f t="shared" si="712"/>
        <v>328.77744681728717</v>
      </c>
      <c r="J1280" s="490">
        <f t="shared" si="712"/>
        <v>295.0475880139989</v>
      </c>
      <c r="K1280" s="490">
        <f t="shared" si="712"/>
        <v>263.05769297377634</v>
      </c>
      <c r="L1280" s="490">
        <f t="shared" si="712"/>
        <v>230.88779576837172</v>
      </c>
      <c r="M1280" s="490">
        <f t="shared" si="712"/>
        <v>199.46363496439005</v>
      </c>
    </row>
    <row r="1281" spans="2:15" hidden="1" outlineLevel="2" x14ac:dyDescent="0.2">
      <c r="C1281" s="157"/>
      <c r="E1281" s="48"/>
      <c r="F1281" s="128"/>
      <c r="G1281" s="8"/>
      <c r="H1281" s="8"/>
      <c r="I1281" s="8"/>
      <c r="J1281" s="8"/>
      <c r="K1281" s="8"/>
      <c r="L1281" s="8"/>
      <c r="M1281" s="8"/>
    </row>
    <row r="1282" spans="2:15" hidden="1" outlineLevel="2" x14ac:dyDescent="0.2">
      <c r="B1282" s="48" t="str">
        <f t="shared" ref="B1282:B1288" si="713">+C1282&amp;D1282&amp;E1282&amp;F1282</f>
        <v>EuropeResultsCH4 Liquifaction costUSD/ton</v>
      </c>
      <c r="C1282" s="157" t="str">
        <f>+$B$1270</f>
        <v>Europe</v>
      </c>
      <c r="D1282" t="s">
        <v>838</v>
      </c>
      <c r="E1282" s="48" t="s">
        <v>1094</v>
      </c>
      <c r="F1282" s="128" t="s">
        <v>205</v>
      </c>
      <c r="G1282" s="8">
        <f t="shared" ref="G1282:M1282" si="714">SUM(G1283,G1286)</f>
        <v>236.24536673938536</v>
      </c>
      <c r="H1282" s="8">
        <f t="shared" si="714"/>
        <v>225.25689805716488</v>
      </c>
      <c r="I1282" s="8">
        <f t="shared" si="714"/>
        <v>215.57888028192158</v>
      </c>
      <c r="J1282" s="8">
        <f t="shared" si="714"/>
        <v>208.96081540794214</v>
      </c>
      <c r="K1282" s="8">
        <f t="shared" si="714"/>
        <v>203.29361003533563</v>
      </c>
      <c r="L1282" s="8">
        <f t="shared" si="714"/>
        <v>197.6416904506774</v>
      </c>
      <c r="M1282" s="8">
        <f t="shared" si="714"/>
        <v>192.45258296141017</v>
      </c>
      <c r="O1282" t="s">
        <v>1095</v>
      </c>
    </row>
    <row r="1283" spans="2:15" hidden="1" outlineLevel="2" x14ac:dyDescent="0.2">
      <c r="B1283" s="48" t="str">
        <f t="shared" si="713"/>
        <v>EuropeResultsCH4 Liquifaction opexUSD/ton</v>
      </c>
      <c r="C1283" s="157" t="str">
        <f>+$B$1270</f>
        <v>Europe</v>
      </c>
      <c r="D1283" t="s">
        <v>838</v>
      </c>
      <c r="E1283" t="s">
        <v>1096</v>
      </c>
      <c r="F1283" s="450" t="s">
        <v>205</v>
      </c>
      <c r="G1283" s="14">
        <f t="shared" ref="G1283:M1283" si="715">G1284*G1285</f>
        <v>32.75791095088789</v>
      </c>
      <c r="H1283" s="14">
        <f t="shared" si="715"/>
        <v>26.506898057164808</v>
      </c>
      <c r="I1283" s="14">
        <f t="shared" si="715"/>
        <v>21.456041864513253</v>
      </c>
      <c r="J1283" s="14">
        <f t="shared" si="715"/>
        <v>19.357412161495748</v>
      </c>
      <c r="K1283" s="14">
        <f t="shared" si="715"/>
        <v>18.104423560867097</v>
      </c>
      <c r="L1283" s="14">
        <f t="shared" si="715"/>
        <v>16.763951972013</v>
      </c>
      <c r="M1283" s="14">
        <f t="shared" si="715"/>
        <v>15.785916294743469</v>
      </c>
      <c r="N1283" s="93"/>
    </row>
    <row r="1284" spans="2:15" hidden="1" outlineLevel="2" x14ac:dyDescent="0.2">
      <c r="B1284" s="48" t="str">
        <f t="shared" si="713"/>
        <v>EuropeFeedstockElectricityUSD/MWh</v>
      </c>
      <c r="C1284" s="157" t="str">
        <f>+$B$1270</f>
        <v>Europe</v>
      </c>
      <c r="D1284" t="s">
        <v>777</v>
      </c>
      <c r="E1284" t="s">
        <v>54</v>
      </c>
      <c r="F1284" s="450" t="s">
        <v>196</v>
      </c>
      <c r="G1284" s="532">
        <f>+INDEX('Fuel Model -  Input'!$B$3:$N$373,MATCH($B1284,'Fuel Model -  Input'!$B$3:$B$373,0),MATCH(G$2,'Fuel Model -  Input'!$B$3:$N$3,0))</f>
        <v>54.596518251479822</v>
      </c>
      <c r="H1284" s="532">
        <f>+INDEX('Fuel Model -  Input'!$B$3:$N$373,MATCH($B1284,'Fuel Model -  Input'!$B$3:$B$373,0),MATCH(H$2,'Fuel Model -  Input'!$B$3:$N$3,0))</f>
        <v>44.178163428608016</v>
      </c>
      <c r="I1284" s="532">
        <f>+INDEX('Fuel Model -  Input'!$B$3:$N$373,MATCH($B1284,'Fuel Model -  Input'!$B$3:$B$373,0),MATCH(I$2,'Fuel Model -  Input'!$B$3:$N$3,0))</f>
        <v>35.760069774188757</v>
      </c>
      <c r="J1284" s="532">
        <f>+INDEX('Fuel Model -  Input'!$B$3:$N$373,MATCH($B1284,'Fuel Model -  Input'!$B$3:$B$373,0),MATCH(J$2,'Fuel Model -  Input'!$B$3:$N$3,0))</f>
        <v>32.262353602492915</v>
      </c>
      <c r="K1284" s="532">
        <f>+INDEX('Fuel Model -  Input'!$B$3:$N$373,MATCH($B1284,'Fuel Model -  Input'!$B$3:$B$373,0),MATCH(K$2,'Fuel Model -  Input'!$B$3:$N$3,0))</f>
        <v>30.17403926811183</v>
      </c>
      <c r="L1284" s="532">
        <f>+INDEX('Fuel Model -  Input'!$B$3:$N$373,MATCH($B1284,'Fuel Model -  Input'!$B$3:$B$373,0),MATCH(L$2,'Fuel Model -  Input'!$B$3:$N$3,0))</f>
        <v>27.939919953355002</v>
      </c>
      <c r="M1284" s="532">
        <f>+INDEX('Fuel Model -  Input'!$B$3:$N$373,MATCH($B1284,'Fuel Model -  Input'!$B$3:$B$373,0),MATCH(M$2,'Fuel Model -  Input'!$B$3:$N$3,0))</f>
        <v>26.309860491239117</v>
      </c>
      <c r="N1284" s="93"/>
    </row>
    <row r="1285" spans="2:15" hidden="1" outlineLevel="2" x14ac:dyDescent="0.2">
      <c r="B1285" s="48" t="str">
        <f t="shared" si="713"/>
        <v>GlobalProcess - OpexCH4 LiquifactionmWh/ ton e CH4</v>
      </c>
      <c r="C1285" s="157" t="s">
        <v>109</v>
      </c>
      <c r="D1285" t="s">
        <v>876</v>
      </c>
      <c r="E1285" t="s">
        <v>1097</v>
      </c>
      <c r="F1285" s="450" t="s">
        <v>1098</v>
      </c>
      <c r="G1285" s="542">
        <f>+INDEX('Fuel Model -  Input'!$B$3:$N$373,MATCH($B1285,'Fuel Model -  Input'!$B$3:$B$373,0),MATCH(G$2,'Fuel Model -  Input'!$B$3:$N$3,0))</f>
        <v>0.6</v>
      </c>
      <c r="H1285" s="542">
        <f>+INDEX('Fuel Model -  Input'!$B$3:$N$373,MATCH($B1285,'Fuel Model -  Input'!$B$3:$B$373,0),MATCH(H$2,'Fuel Model -  Input'!$B$3:$N$3,0))</f>
        <v>0.6</v>
      </c>
      <c r="I1285" s="542">
        <f>+INDEX('Fuel Model -  Input'!$B$3:$N$373,MATCH($B1285,'Fuel Model -  Input'!$B$3:$B$373,0),MATCH(I$2,'Fuel Model -  Input'!$B$3:$N$3,0))</f>
        <v>0.6</v>
      </c>
      <c r="J1285" s="542">
        <f>+INDEX('Fuel Model -  Input'!$B$3:$N$373,MATCH($B1285,'Fuel Model -  Input'!$B$3:$B$373,0),MATCH(J$2,'Fuel Model -  Input'!$B$3:$N$3,0))</f>
        <v>0.6</v>
      </c>
      <c r="K1285" s="542">
        <f>+INDEX('Fuel Model -  Input'!$B$3:$N$373,MATCH($B1285,'Fuel Model -  Input'!$B$3:$B$373,0),MATCH(K$2,'Fuel Model -  Input'!$B$3:$N$3,0))</f>
        <v>0.6</v>
      </c>
      <c r="L1285" s="542">
        <f>+INDEX('Fuel Model -  Input'!$B$3:$N$373,MATCH($B1285,'Fuel Model -  Input'!$B$3:$B$373,0),MATCH(L$2,'Fuel Model -  Input'!$B$3:$N$3,0))</f>
        <v>0.6</v>
      </c>
      <c r="M1285" s="542">
        <f>+INDEX('Fuel Model -  Input'!$B$3:$N$373,MATCH($B1285,'Fuel Model -  Input'!$B$3:$B$373,0),MATCH(M$2,'Fuel Model -  Input'!$B$3:$N$3,0))</f>
        <v>0.6</v>
      </c>
      <c r="N1285" s="93"/>
    </row>
    <row r="1286" spans="2:15" s="157" customFormat="1" hidden="1" outlineLevel="2" x14ac:dyDescent="0.2">
      <c r="B1286" s="498" t="str">
        <f t="shared" si="713"/>
        <v>EuropeProcess - CapexCH4 LiquifactionUSD/ ton CH4 output</v>
      </c>
      <c r="C1286" s="157" t="str">
        <f>+$B$1270</f>
        <v>Europe</v>
      </c>
      <c r="D1286" s="157" t="s">
        <v>879</v>
      </c>
      <c r="E1286" s="157" t="s">
        <v>1097</v>
      </c>
      <c r="F1286" s="450" t="s">
        <v>1099</v>
      </c>
      <c r="G1286" s="337">
        <f t="shared" ref="G1286:M1286" si="716">G1288/G1287</f>
        <v>203.48745578849747</v>
      </c>
      <c r="H1286" s="337">
        <f t="shared" si="716"/>
        <v>198.75000000000006</v>
      </c>
      <c r="I1286" s="337">
        <f t="shared" si="716"/>
        <v>194.12283841740833</v>
      </c>
      <c r="J1286" s="337">
        <f t="shared" si="716"/>
        <v>189.60340324644639</v>
      </c>
      <c r="K1286" s="337">
        <f t="shared" si="716"/>
        <v>185.18918647446853</v>
      </c>
      <c r="L1286" s="337">
        <f t="shared" si="716"/>
        <v>180.87773847866441</v>
      </c>
      <c r="M1286" s="337">
        <f t="shared" si="716"/>
        <v>176.66666666666671</v>
      </c>
      <c r="N1286" s="493"/>
    </row>
    <row r="1287" spans="2:15" hidden="1" outlineLevel="2" x14ac:dyDescent="0.2">
      <c r="B1287" s="48" t="str">
        <f t="shared" si="713"/>
        <v>GlobalPlant capexAnnualisation factor#</v>
      </c>
      <c r="C1287" s="157" t="s">
        <v>109</v>
      </c>
      <c r="D1287" t="s">
        <v>786</v>
      </c>
      <c r="E1287" t="s">
        <v>764</v>
      </c>
      <c r="F1287" s="450" t="s">
        <v>787</v>
      </c>
      <c r="G1287" s="532">
        <f>INDEX('Fuel Model -  Input'!$B$3:$N$373,MATCH($B1287,'Fuel Model -  Input'!$B$3:$B$373,0),MATCH(G$2,'Fuel Model -  Input'!$B$3:$N$3,0))</f>
        <v>11.32075471698113</v>
      </c>
      <c r="H1287" s="532">
        <f>INDEX('Fuel Model -  Input'!$B$3:$N$373,MATCH($B1287,'Fuel Model -  Input'!$B$3:$B$373,0),MATCH(H$2,'Fuel Model -  Input'!$B$3:$N$3,0))</f>
        <v>11.32075471698113</v>
      </c>
      <c r="I1287" s="532">
        <f>INDEX('Fuel Model -  Input'!$B$3:$N$373,MATCH($B1287,'Fuel Model -  Input'!$B$3:$B$373,0),MATCH(I$2,'Fuel Model -  Input'!$B$3:$N$3,0))</f>
        <v>11.32075471698113</v>
      </c>
      <c r="J1287" s="532">
        <f>INDEX('Fuel Model -  Input'!$B$3:$N$373,MATCH($B1287,'Fuel Model -  Input'!$B$3:$B$373,0),MATCH(J$2,'Fuel Model -  Input'!$B$3:$N$3,0))</f>
        <v>11.32075471698113</v>
      </c>
      <c r="K1287" s="532">
        <f>INDEX('Fuel Model -  Input'!$B$3:$N$373,MATCH($B1287,'Fuel Model -  Input'!$B$3:$B$373,0),MATCH(K$2,'Fuel Model -  Input'!$B$3:$N$3,0))</f>
        <v>11.32075471698113</v>
      </c>
      <c r="L1287" s="532">
        <f>INDEX('Fuel Model -  Input'!$B$3:$N$373,MATCH($B1287,'Fuel Model -  Input'!$B$3:$B$373,0),MATCH(L$2,'Fuel Model -  Input'!$B$3:$N$3,0))</f>
        <v>11.32075471698113</v>
      </c>
      <c r="M1287" s="532">
        <f>INDEX('Fuel Model -  Input'!$B$3:$N$373,MATCH($B1287,'Fuel Model -  Input'!$B$3:$B$373,0),MATCH(M$2,'Fuel Model -  Input'!$B$3:$N$3,0))</f>
        <v>11.32075471698113</v>
      </c>
    </row>
    <row r="1288" spans="2:15" hidden="1" outlineLevel="2" x14ac:dyDescent="0.2">
      <c r="B1288" s="48" t="str">
        <f t="shared" si="713"/>
        <v>GlobalProcess - CapexCH4 LiquifactionUSD/ ton CH4 capacity</v>
      </c>
      <c r="C1288" s="157" t="s">
        <v>109</v>
      </c>
      <c r="D1288" t="s">
        <v>879</v>
      </c>
      <c r="E1288" t="s">
        <v>1097</v>
      </c>
      <c r="F1288" s="450" t="s">
        <v>1100</v>
      </c>
      <c r="G1288" s="543">
        <f>+INDEX('Fuel Model -  Input'!$B$3:$N$373,MATCH($B1288,'Fuel Model -  Input'!$B$3:$B$373,0),MATCH(G$2,'Fuel Model -  Input'!$B$3:$N$3,0))</f>
        <v>2303.6315749641217</v>
      </c>
      <c r="H1288" s="543">
        <f>+INDEX('Fuel Model -  Input'!$B$3:$N$373,MATCH($B1288,'Fuel Model -  Input'!$B$3:$B$373,0),MATCH(H$2,'Fuel Model -  Input'!$B$3:$N$3,0))</f>
        <v>2250</v>
      </c>
      <c r="I1288" s="543">
        <f>+INDEX('Fuel Model -  Input'!$B$3:$N$373,MATCH($B1288,'Fuel Model -  Input'!$B$3:$B$373,0),MATCH(I$2,'Fuel Model -  Input'!$B$3:$N$3,0))</f>
        <v>2197.6170386876411</v>
      </c>
      <c r="J1288" s="543">
        <f>+INDEX('Fuel Model -  Input'!$B$3:$N$373,MATCH($B1288,'Fuel Model -  Input'!$B$3:$B$373,0),MATCH(J$2,'Fuel Model -  Input'!$B$3:$N$3,0))</f>
        <v>2146.4536216578831</v>
      </c>
      <c r="K1288" s="543">
        <f>+INDEX('Fuel Model -  Input'!$B$3:$N$373,MATCH($B1288,'Fuel Model -  Input'!$B$3:$B$373,0),MATCH(K$2,'Fuel Model -  Input'!$B$3:$N$3,0))</f>
        <v>2096.4813563147377</v>
      </c>
      <c r="L1288" s="543">
        <f>+INDEX('Fuel Model -  Input'!$B$3:$N$373,MATCH($B1288,'Fuel Model -  Input'!$B$3:$B$373,0),MATCH(L$2,'Fuel Model -  Input'!$B$3:$N$3,0))</f>
        <v>2047.6725110792192</v>
      </c>
      <c r="M1288" s="543">
        <f>+INDEX('Fuel Model -  Input'!$B$3:$N$373,MATCH($B1288,'Fuel Model -  Input'!$B$3:$B$373,0),MATCH(M$2,'Fuel Model -  Input'!$B$3:$N$3,0))</f>
        <v>2000</v>
      </c>
      <c r="N1288" s="93"/>
    </row>
    <row r="1289" spans="2:15" hidden="1" outlineLevel="2" x14ac:dyDescent="0.2">
      <c r="C1289" s="157"/>
      <c r="E1289" s="48"/>
      <c r="F1289" s="128"/>
      <c r="G1289" s="8"/>
      <c r="H1289" s="8"/>
      <c r="I1289" s="8"/>
      <c r="J1289" s="8"/>
      <c r="K1289" s="8"/>
      <c r="L1289" s="8"/>
      <c r="M1289" s="8"/>
    </row>
    <row r="1290" spans="2:15" hidden="1" outlineLevel="2" x14ac:dyDescent="0.2">
      <c r="B1290" t="str">
        <f>+C1290&amp;D1290&amp;E1290&amp;F1290</f>
        <v>EuropeResultsCapex per ton e MethaneUSD/ Ton</v>
      </c>
      <c r="C1290" s="157" t="str">
        <f>+$B$1270</f>
        <v>Europe</v>
      </c>
      <c r="D1290" t="s">
        <v>838</v>
      </c>
      <c r="E1290" s="48" t="s">
        <v>1101</v>
      </c>
      <c r="F1290" s="128" t="s">
        <v>1053</v>
      </c>
      <c r="G1290" s="8">
        <f t="shared" ref="G1290:M1290" si="717">G1292/G1291</f>
        <v>159.00000000000003</v>
      </c>
      <c r="H1290" s="8">
        <f t="shared" si="717"/>
        <v>121.01666666666669</v>
      </c>
      <c r="I1290" s="8">
        <f t="shared" si="717"/>
        <v>97.166666666666686</v>
      </c>
      <c r="J1290" s="8">
        <f t="shared" si="717"/>
        <v>88.333333333333357</v>
      </c>
      <c r="K1290" s="8">
        <f t="shared" si="717"/>
        <v>79.500000000000014</v>
      </c>
      <c r="L1290" s="8">
        <f t="shared" si="717"/>
        <v>64.483333333333348</v>
      </c>
      <c r="M1290" s="8">
        <f t="shared" si="717"/>
        <v>49.466666666666676</v>
      </c>
    </row>
    <row r="1291" spans="2:15" hidden="1" outlineLevel="2" x14ac:dyDescent="0.2">
      <c r="B1291" t="str">
        <f>+C1291&amp;D1291&amp;E1291&amp;F1291</f>
        <v>GlobalPlant capexAnnualisation factor#</v>
      </c>
      <c r="C1291" s="157" t="s">
        <v>109</v>
      </c>
      <c r="D1291" t="s">
        <v>786</v>
      </c>
      <c r="E1291" t="s">
        <v>764</v>
      </c>
      <c r="F1291" s="450" t="s">
        <v>787</v>
      </c>
      <c r="G1291" s="532">
        <f>INDEX('Fuel Model -  Input'!$B$3:$N$373,MATCH($B1291,'Fuel Model -  Input'!$B$3:$B$373,0),MATCH(G$2,'Fuel Model -  Input'!$B$3:$N$3,0))</f>
        <v>11.32075471698113</v>
      </c>
      <c r="H1291" s="532">
        <f>INDEX('Fuel Model -  Input'!$B$3:$N$373,MATCH($B1291,'Fuel Model -  Input'!$B$3:$B$373,0),MATCH(H$2,'Fuel Model -  Input'!$B$3:$N$3,0))</f>
        <v>11.32075471698113</v>
      </c>
      <c r="I1291" s="532">
        <f>INDEX('Fuel Model -  Input'!$B$3:$N$373,MATCH($B1291,'Fuel Model -  Input'!$B$3:$B$373,0),MATCH(I$2,'Fuel Model -  Input'!$B$3:$N$3,0))</f>
        <v>11.32075471698113</v>
      </c>
      <c r="J1291" s="532">
        <f>INDEX('Fuel Model -  Input'!$B$3:$N$373,MATCH($B1291,'Fuel Model -  Input'!$B$3:$B$373,0),MATCH(J$2,'Fuel Model -  Input'!$B$3:$N$3,0))</f>
        <v>11.32075471698113</v>
      </c>
      <c r="K1291" s="532">
        <f>INDEX('Fuel Model -  Input'!$B$3:$N$373,MATCH($B1291,'Fuel Model -  Input'!$B$3:$B$373,0),MATCH(K$2,'Fuel Model -  Input'!$B$3:$N$3,0))</f>
        <v>11.32075471698113</v>
      </c>
      <c r="L1291" s="532">
        <f>INDEX('Fuel Model -  Input'!$B$3:$N$373,MATCH($B1291,'Fuel Model -  Input'!$B$3:$B$373,0),MATCH(L$2,'Fuel Model -  Input'!$B$3:$N$3,0))</f>
        <v>11.32075471698113</v>
      </c>
      <c r="M1291" s="532">
        <f>INDEX('Fuel Model -  Input'!$B$3:$N$373,MATCH($B1291,'Fuel Model -  Input'!$B$3:$B$373,0),MATCH(M$2,'Fuel Model -  Input'!$B$3:$N$3,0))</f>
        <v>11.32075471698113</v>
      </c>
    </row>
    <row r="1292" spans="2:15" hidden="1" outlineLevel="2" x14ac:dyDescent="0.2">
      <c r="B1292" t="str">
        <f>+C1292&amp;D1292&amp;E1292&amp;F1292</f>
        <v>GlobalCapexE Methane plant capex unit costCapex/ ton e methane</v>
      </c>
      <c r="C1292" s="157" t="s">
        <v>109</v>
      </c>
      <c r="D1292" t="s">
        <v>218</v>
      </c>
      <c r="E1292" t="s">
        <v>1102</v>
      </c>
      <c r="F1292" s="128" t="s">
        <v>1103</v>
      </c>
      <c r="G1292" s="532">
        <f>INDEX('Fuel Model -  Input'!$B$3:$N$373,MATCH($B1292,'Fuel Model -  Input'!$B$3:$B$373,0),MATCH(G$2,'Fuel Model -  Input'!$B$3:$N$3,0))</f>
        <v>1800</v>
      </c>
      <c r="H1292" s="532">
        <f>INDEX('Fuel Model -  Input'!$B$3:$N$373,MATCH($B1292,'Fuel Model -  Input'!$B$3:$B$373,0),MATCH(H$2,'Fuel Model -  Input'!$B$3:$N$3,0))</f>
        <v>1370</v>
      </c>
      <c r="I1292" s="532">
        <f>INDEX('Fuel Model -  Input'!$B$3:$N$373,MATCH($B1292,'Fuel Model -  Input'!$B$3:$B$373,0),MATCH(I$2,'Fuel Model -  Input'!$B$3:$N$3,0))</f>
        <v>1100</v>
      </c>
      <c r="J1292" s="532">
        <f>INDEX('Fuel Model -  Input'!$B$3:$N$373,MATCH($B1292,'Fuel Model -  Input'!$B$3:$B$373,0),MATCH(J$2,'Fuel Model -  Input'!$B$3:$N$3,0))</f>
        <v>1000</v>
      </c>
      <c r="K1292" s="532">
        <f>INDEX('Fuel Model -  Input'!$B$3:$N$373,MATCH($B1292,'Fuel Model -  Input'!$B$3:$B$373,0),MATCH(K$2,'Fuel Model -  Input'!$B$3:$N$3,0))</f>
        <v>900</v>
      </c>
      <c r="L1292" s="532">
        <f>INDEX('Fuel Model -  Input'!$B$3:$N$373,MATCH($B1292,'Fuel Model -  Input'!$B$3:$B$373,0),MATCH(L$2,'Fuel Model -  Input'!$B$3:$N$3,0))</f>
        <v>730</v>
      </c>
      <c r="M1292" s="532">
        <f>INDEX('Fuel Model -  Input'!$B$3:$N$373,MATCH($B1292,'Fuel Model -  Input'!$B$3:$B$373,0),MATCH(M$2,'Fuel Model -  Input'!$B$3:$N$3,0))</f>
        <v>560</v>
      </c>
    </row>
    <row r="1293" spans="2:15" hidden="1" outlineLevel="2" x14ac:dyDescent="0.2">
      <c r="C1293" s="157"/>
      <c r="E1293" s="48"/>
      <c r="F1293" s="128"/>
      <c r="G1293" s="8"/>
      <c r="H1293" s="8"/>
      <c r="I1293" s="8"/>
      <c r="J1293" s="8"/>
      <c r="K1293" s="8"/>
      <c r="L1293" s="8"/>
      <c r="M1293" s="8"/>
    </row>
    <row r="1294" spans="2:15" hidden="1" outlineLevel="2" x14ac:dyDescent="0.2">
      <c r="B1294" t="str">
        <f>+C1294&amp;D1294&amp;E1294&amp;F1294</f>
        <v>EuropeOpexOpex e Methane synthesis plantUSD/ton e Methane</v>
      </c>
      <c r="C1294" s="157" t="str">
        <f>+$B$1270</f>
        <v>Europe</v>
      </c>
      <c r="D1294" t="s">
        <v>219</v>
      </c>
      <c r="E1294" s="48" t="s">
        <v>1104</v>
      </c>
      <c r="F1294" s="128" t="s">
        <v>1105</v>
      </c>
      <c r="G1294" s="8">
        <f t="shared" ref="G1294:M1294" si="718">G1295*G1292</f>
        <v>144</v>
      </c>
      <c r="H1294" s="8">
        <f t="shared" si="718"/>
        <v>109.60000000000001</v>
      </c>
      <c r="I1294" s="8">
        <f t="shared" si="718"/>
        <v>88</v>
      </c>
      <c r="J1294" s="8">
        <f t="shared" si="718"/>
        <v>80</v>
      </c>
      <c r="K1294" s="8">
        <f t="shared" si="718"/>
        <v>72</v>
      </c>
      <c r="L1294" s="8">
        <f t="shared" si="718"/>
        <v>58.4</v>
      </c>
      <c r="M1294" s="8">
        <f t="shared" si="718"/>
        <v>44.800000000000004</v>
      </c>
    </row>
    <row r="1295" spans="2:15" hidden="1" outlineLevel="2" x14ac:dyDescent="0.2">
      <c r="B1295" s="78" t="str">
        <f>+C1295&amp;D1295&amp;E1295&amp;F1295</f>
        <v>GlobalOpexOther opex e Methane synthesisPercent of capex</v>
      </c>
      <c r="C1295" s="157" t="s">
        <v>109</v>
      </c>
      <c r="D1295" t="s">
        <v>219</v>
      </c>
      <c r="E1295" s="48" t="s">
        <v>1106</v>
      </c>
      <c r="F1295" s="128" t="s">
        <v>1058</v>
      </c>
      <c r="G1295" s="531">
        <f>INDEX('Fuel Model -  Input'!$B$3:$N$373,MATCH($B1295,'Fuel Model -  Input'!$B$3:$B$373,0),MATCH(G$2,'Fuel Model -  Input'!$B$3:$N$3,0))</f>
        <v>0.08</v>
      </c>
      <c r="H1295" s="531">
        <f>INDEX('Fuel Model -  Input'!$B$3:$N$373,MATCH($B1295,'Fuel Model -  Input'!$B$3:$B$373,0),MATCH(H$2,'Fuel Model -  Input'!$B$3:$N$3,0))</f>
        <v>0.08</v>
      </c>
      <c r="I1295" s="531">
        <f>INDEX('Fuel Model -  Input'!$B$3:$N$373,MATCH($B1295,'Fuel Model -  Input'!$B$3:$B$373,0),MATCH(I$2,'Fuel Model -  Input'!$B$3:$N$3,0))</f>
        <v>0.08</v>
      </c>
      <c r="J1295" s="531">
        <f>INDEX('Fuel Model -  Input'!$B$3:$N$373,MATCH($B1295,'Fuel Model -  Input'!$B$3:$B$373,0),MATCH(J$2,'Fuel Model -  Input'!$B$3:$N$3,0))</f>
        <v>0.08</v>
      </c>
      <c r="K1295" s="531">
        <f>INDEX('Fuel Model -  Input'!$B$3:$N$373,MATCH($B1295,'Fuel Model -  Input'!$B$3:$B$373,0),MATCH(K$2,'Fuel Model -  Input'!$B$3:$N$3,0))</f>
        <v>0.08</v>
      </c>
      <c r="L1295" s="531">
        <f>INDEX('Fuel Model -  Input'!$B$3:$N$373,MATCH($B1295,'Fuel Model -  Input'!$B$3:$B$373,0),MATCH(L$2,'Fuel Model -  Input'!$B$3:$N$3,0))</f>
        <v>0.08</v>
      </c>
      <c r="M1295" s="531">
        <f>INDEX('Fuel Model -  Input'!$B$3:$N$373,MATCH($B1295,'Fuel Model -  Input'!$B$3:$B$373,0),MATCH(M$2,'Fuel Model -  Input'!$B$3:$N$3,0))</f>
        <v>0.08</v>
      </c>
    </row>
    <row r="1296" spans="2:15" hidden="1" outlineLevel="2" x14ac:dyDescent="0.2">
      <c r="C1296" s="157"/>
      <c r="E1296" s="48"/>
      <c r="F1296" s="128"/>
      <c r="G1296" s="8"/>
      <c r="H1296" s="8"/>
      <c r="I1296" s="8"/>
      <c r="J1296" s="8"/>
      <c r="K1296" s="8"/>
      <c r="L1296" s="8"/>
      <c r="M1296" s="8"/>
    </row>
    <row r="1297" spans="2:13" hidden="1" outlineLevel="2" x14ac:dyDescent="0.2">
      <c r="B1297" s="78" t="str">
        <f>+C1297&amp;D1297&amp;E1297&amp;F1297</f>
        <v>EuropeGeneralElectricity costUSD/ton e Methane</v>
      </c>
      <c r="C1297" s="157" t="str">
        <f>+$B$1270</f>
        <v>Europe</v>
      </c>
      <c r="D1297" t="s">
        <v>173</v>
      </c>
      <c r="E1297" s="48" t="s">
        <v>94</v>
      </c>
      <c r="F1297" s="128" t="s">
        <v>1105</v>
      </c>
      <c r="G1297" s="260">
        <f t="shared" ref="G1297:M1297" si="719">G1298*G1299</f>
        <v>21.838607300591931</v>
      </c>
      <c r="H1297" s="260">
        <f t="shared" si="719"/>
        <v>17.671265371443209</v>
      </c>
      <c r="I1297" s="260">
        <f t="shared" si="719"/>
        <v>14.304027909675504</v>
      </c>
      <c r="J1297" s="260">
        <f t="shared" si="719"/>
        <v>12.904941440997167</v>
      </c>
      <c r="K1297" s="260">
        <f t="shared" si="719"/>
        <v>12.069615707244733</v>
      </c>
      <c r="L1297" s="260">
        <f t="shared" si="719"/>
        <v>11.175967981342001</v>
      </c>
      <c r="M1297" s="260">
        <f t="shared" si="719"/>
        <v>10.523944196495648</v>
      </c>
    </row>
    <row r="1298" spans="2:13" hidden="1" outlineLevel="2" x14ac:dyDescent="0.2">
      <c r="B1298" s="78" t="str">
        <f>+C1298&amp;D1298&amp;E1298&amp;F1298</f>
        <v>EuropeFeedstockElectricityUSD/MWh</v>
      </c>
      <c r="C1298" s="157" t="str">
        <f>+$B$1270</f>
        <v>Europe</v>
      </c>
      <c r="D1298" t="s">
        <v>777</v>
      </c>
      <c r="E1298" s="48" t="s">
        <v>54</v>
      </c>
      <c r="F1298" s="128" t="s">
        <v>196</v>
      </c>
      <c r="G1298" s="532">
        <f>INDEX('Fuel Model -  Input'!$B$3:$N$373,MATCH($B1298,'Fuel Model -  Input'!$B$3:$B$373,0),MATCH(G$2,'Fuel Model -  Input'!$B$3:$N$3,0))</f>
        <v>54.596518251479822</v>
      </c>
      <c r="H1298" s="532">
        <f>INDEX('Fuel Model -  Input'!$B$3:$N$373,MATCH($B1298,'Fuel Model -  Input'!$B$3:$B$373,0),MATCH(H$2,'Fuel Model -  Input'!$B$3:$N$3,0))</f>
        <v>44.178163428608016</v>
      </c>
      <c r="I1298" s="532">
        <f>INDEX('Fuel Model -  Input'!$B$3:$N$373,MATCH($B1298,'Fuel Model -  Input'!$B$3:$B$373,0),MATCH(I$2,'Fuel Model -  Input'!$B$3:$N$3,0))</f>
        <v>35.760069774188757</v>
      </c>
      <c r="J1298" s="532">
        <f>INDEX('Fuel Model -  Input'!$B$3:$N$373,MATCH($B1298,'Fuel Model -  Input'!$B$3:$B$373,0),MATCH(J$2,'Fuel Model -  Input'!$B$3:$N$3,0))</f>
        <v>32.262353602492915</v>
      </c>
      <c r="K1298" s="532">
        <f>INDEX('Fuel Model -  Input'!$B$3:$N$373,MATCH($B1298,'Fuel Model -  Input'!$B$3:$B$373,0),MATCH(K$2,'Fuel Model -  Input'!$B$3:$N$3,0))</f>
        <v>30.17403926811183</v>
      </c>
      <c r="L1298" s="532">
        <f>INDEX('Fuel Model -  Input'!$B$3:$N$373,MATCH($B1298,'Fuel Model -  Input'!$B$3:$B$373,0),MATCH(L$2,'Fuel Model -  Input'!$B$3:$N$3,0))</f>
        <v>27.939919953355002</v>
      </c>
      <c r="M1298" s="532">
        <f>INDEX('Fuel Model -  Input'!$B$3:$N$373,MATCH($B1298,'Fuel Model -  Input'!$B$3:$B$373,0),MATCH(M$2,'Fuel Model -  Input'!$B$3:$N$3,0))</f>
        <v>26.309860491239117</v>
      </c>
    </row>
    <row r="1299" spans="2:13" hidden="1" outlineLevel="2" x14ac:dyDescent="0.2">
      <c r="B1299" s="78" t="str">
        <f>+C1299&amp;D1299&amp;E1299&amp;F1299</f>
        <v>GlobalGeneralElectricity demandmWh/ton e Methane</v>
      </c>
      <c r="C1299" s="157" t="s">
        <v>109</v>
      </c>
      <c r="D1299" t="s">
        <v>173</v>
      </c>
      <c r="E1299" s="48" t="s">
        <v>963</v>
      </c>
      <c r="F1299" s="128" t="s">
        <v>1107</v>
      </c>
      <c r="G1299" s="521">
        <f>INDEX('Fuel Model -  Input'!$B$3:$N$373,MATCH($B1299,'Fuel Model -  Input'!$B$3:$B$373,0),MATCH(G$2,'Fuel Model -  Input'!$B$3:$N$3,0))</f>
        <v>0.4</v>
      </c>
      <c r="H1299" s="521">
        <f>INDEX('Fuel Model -  Input'!$B$3:$N$373,MATCH($B1299,'Fuel Model -  Input'!$B$3:$B$373,0),MATCH(H$2,'Fuel Model -  Input'!$B$3:$N$3,0))</f>
        <v>0.4</v>
      </c>
      <c r="I1299" s="521">
        <f>INDEX('Fuel Model -  Input'!$B$3:$N$373,MATCH($B1299,'Fuel Model -  Input'!$B$3:$B$373,0),MATCH(I$2,'Fuel Model -  Input'!$B$3:$N$3,0))</f>
        <v>0.4</v>
      </c>
      <c r="J1299" s="521">
        <f>INDEX('Fuel Model -  Input'!$B$3:$N$373,MATCH($B1299,'Fuel Model -  Input'!$B$3:$B$373,0),MATCH(J$2,'Fuel Model -  Input'!$B$3:$N$3,0))</f>
        <v>0.4</v>
      </c>
      <c r="K1299" s="521">
        <f>INDEX('Fuel Model -  Input'!$B$3:$N$373,MATCH($B1299,'Fuel Model -  Input'!$B$3:$B$373,0),MATCH(K$2,'Fuel Model -  Input'!$B$3:$N$3,0))</f>
        <v>0.4</v>
      </c>
      <c r="L1299" s="521">
        <f>INDEX('Fuel Model -  Input'!$B$3:$N$373,MATCH($B1299,'Fuel Model -  Input'!$B$3:$B$373,0),MATCH(L$2,'Fuel Model -  Input'!$B$3:$N$3,0))</f>
        <v>0.4</v>
      </c>
      <c r="M1299" s="521">
        <f>INDEX('Fuel Model -  Input'!$B$3:$N$373,MATCH($B1299,'Fuel Model -  Input'!$B$3:$B$373,0),MATCH(M$2,'Fuel Model -  Input'!$B$3:$N$3,0))</f>
        <v>0.4</v>
      </c>
    </row>
    <row r="1300" spans="2:13" hidden="1" outlineLevel="2" x14ac:dyDescent="0.2">
      <c r="C1300" s="157"/>
      <c r="E1300" s="48"/>
      <c r="F1300" s="128"/>
      <c r="G1300" s="524"/>
      <c r="H1300" s="524"/>
      <c r="I1300" s="524"/>
      <c r="J1300" s="524"/>
      <c r="K1300" s="524"/>
      <c r="L1300" s="524"/>
      <c r="M1300" s="524"/>
    </row>
    <row r="1301" spans="2:13" hidden="1" outlineLevel="2" x14ac:dyDescent="0.2">
      <c r="B1301" s="78" t="str">
        <f>+C1301&amp;D1301&amp;E1301&amp;F1301</f>
        <v>EuropeFeedstockFeedstock CO2USD/ton e Methane</v>
      </c>
      <c r="C1301" s="157" t="str">
        <f>+$B$1270</f>
        <v>Europe</v>
      </c>
      <c r="D1301" t="s">
        <v>777</v>
      </c>
      <c r="E1301" s="48" t="s">
        <v>1007</v>
      </c>
      <c r="F1301" s="128" t="s">
        <v>1105</v>
      </c>
      <c r="G1301" s="8">
        <f t="shared" ref="G1301:M1301" si="720">G1302*G1303</f>
        <v>842.84350767331762</v>
      </c>
      <c r="H1301" s="8">
        <f t="shared" si="720"/>
        <v>665.25385912874913</v>
      </c>
      <c r="I1301" s="8">
        <f t="shared" si="720"/>
        <v>526.85051547676073</v>
      </c>
      <c r="J1301" s="8">
        <f t="shared" si="720"/>
        <v>440.88876525470317</v>
      </c>
      <c r="K1301" s="8">
        <f t="shared" si="720"/>
        <v>376.094835213804</v>
      </c>
      <c r="L1301" s="8">
        <f t="shared" si="720"/>
        <v>319.70555281140906</v>
      </c>
      <c r="M1301" s="8">
        <f t="shared" si="720"/>
        <v>274.21355943391518</v>
      </c>
    </row>
    <row r="1302" spans="2:13" hidden="1" outlineLevel="2" x14ac:dyDescent="0.2">
      <c r="B1302" s="78" t="str">
        <f>+C1302&amp;D1302&amp;E1302&amp;F1302</f>
        <v>GlobalFeedstockConversion CO2 : e Methane (actual)kg CO2/kg e Methane</v>
      </c>
      <c r="C1302" s="157" t="s">
        <v>109</v>
      </c>
      <c r="D1302" t="s">
        <v>777</v>
      </c>
      <c r="E1302" t="s">
        <v>1108</v>
      </c>
      <c r="F1302" s="128" t="s">
        <v>1109</v>
      </c>
      <c r="G1302" s="521">
        <f>INDEX('Fuel Model -  Input'!$B$3:$N$373,MATCH($B1302,'Fuel Model -  Input'!$B$3:$B$373,0),MATCH(G$2,'Fuel Model -  Input'!$B$3:$N$3,0))</f>
        <v>2.7434235132776457</v>
      </c>
      <c r="H1302" s="521">
        <f>INDEX('Fuel Model -  Input'!$B$3:$N$373,MATCH($B1302,'Fuel Model -  Input'!$B$3:$B$373,0),MATCH(H$2,'Fuel Model -  Input'!$B$3:$N$3,0))</f>
        <v>2.7434235132776457</v>
      </c>
      <c r="I1302" s="521">
        <f>INDEX('Fuel Model -  Input'!$B$3:$N$373,MATCH($B1302,'Fuel Model -  Input'!$B$3:$B$373,0),MATCH(I$2,'Fuel Model -  Input'!$B$3:$N$3,0))</f>
        <v>2.7434235132776457</v>
      </c>
      <c r="J1302" s="521">
        <f>INDEX('Fuel Model -  Input'!$B$3:$N$373,MATCH($B1302,'Fuel Model -  Input'!$B$3:$B$373,0),MATCH(J$2,'Fuel Model -  Input'!$B$3:$N$3,0))</f>
        <v>2.7434235132776457</v>
      </c>
      <c r="K1302" s="521">
        <f>INDEX('Fuel Model -  Input'!$B$3:$N$373,MATCH($B1302,'Fuel Model -  Input'!$B$3:$B$373,0),MATCH(K$2,'Fuel Model -  Input'!$B$3:$N$3,0))</f>
        <v>2.7434235132776457</v>
      </c>
      <c r="L1302" s="521">
        <f>INDEX('Fuel Model -  Input'!$B$3:$N$373,MATCH($B1302,'Fuel Model -  Input'!$B$3:$B$373,0),MATCH(L$2,'Fuel Model -  Input'!$B$3:$N$3,0))</f>
        <v>2.7434235132776457</v>
      </c>
      <c r="M1302" s="521">
        <f>INDEX('Fuel Model -  Input'!$B$3:$N$373,MATCH($B1302,'Fuel Model -  Input'!$B$3:$B$373,0),MATCH(M$2,'Fuel Model -  Input'!$B$3:$N$3,0))</f>
        <v>2.7434235132776457</v>
      </c>
    </row>
    <row r="1303" spans="2:13" hidden="1" outlineLevel="2" x14ac:dyDescent="0.2">
      <c r="B1303" s="78" t="str">
        <f>+C1303&amp;D1303&amp;E1303&amp;F1303</f>
        <v>EuropeFeedstockCost of CO2 DACUSD/ton</v>
      </c>
      <c r="C1303" s="157" t="str">
        <f>+$B$1270</f>
        <v>Europe</v>
      </c>
      <c r="D1303" t="s">
        <v>777</v>
      </c>
      <c r="E1303" t="s">
        <v>1010</v>
      </c>
      <c r="F1303" s="128" t="s">
        <v>205</v>
      </c>
      <c r="G1303" s="532">
        <f t="shared" ref="G1303:M1303" si="721">INDEX(G$1564:G$1568,MATCH($C1303,$C$1564:$C$1568,0))</f>
        <v>307.22325721643637</v>
      </c>
      <c r="H1303" s="532">
        <f t="shared" si="721"/>
        <v>242.4903978219358</v>
      </c>
      <c r="I1303" s="532">
        <f t="shared" si="721"/>
        <v>192.04126265117469</v>
      </c>
      <c r="J1303" s="532">
        <f t="shared" si="721"/>
        <v>160.70751129779481</v>
      </c>
      <c r="K1303" s="532">
        <f t="shared" si="721"/>
        <v>137.08960114746296</v>
      </c>
      <c r="L1303" s="532">
        <f t="shared" si="721"/>
        <v>116.53525285618326</v>
      </c>
      <c r="M1303" s="532">
        <f t="shared" si="721"/>
        <v>99.953054315811585</v>
      </c>
    </row>
    <row r="1304" spans="2:13" hidden="1" outlineLevel="2" x14ac:dyDescent="0.2">
      <c r="C1304" s="157"/>
      <c r="E1304" s="48"/>
      <c r="F1304" s="128"/>
      <c r="G1304" s="524"/>
      <c r="H1304" s="524"/>
      <c r="I1304" s="524"/>
      <c r="J1304" s="524"/>
      <c r="K1304" s="524"/>
      <c r="L1304" s="524"/>
      <c r="M1304" s="524"/>
    </row>
    <row r="1305" spans="2:13" hidden="1" outlineLevel="2" x14ac:dyDescent="0.2">
      <c r="B1305" s="78" t="str">
        <f>+C1305&amp;D1305&amp;E1305&amp;F1305</f>
        <v>EuropeFeedstockFeedstock CO2USD/ton e Methane</v>
      </c>
      <c r="C1305" s="157" t="str">
        <f>+$B$1270</f>
        <v>Europe</v>
      </c>
      <c r="D1305" t="s">
        <v>777</v>
      </c>
      <c r="E1305" s="48" t="s">
        <v>1007</v>
      </c>
      <c r="F1305" s="128" t="s">
        <v>1105</v>
      </c>
      <c r="G1305" s="8">
        <f t="shared" ref="G1305:M1305" si="722">G1306*G1307</f>
        <v>503.83457459864309</v>
      </c>
      <c r="H1305" s="8">
        <f t="shared" si="722"/>
        <v>415.07130891546353</v>
      </c>
      <c r="I1305" s="8">
        <f t="shared" si="722"/>
        <v>328.77744681728717</v>
      </c>
      <c r="J1305" s="8">
        <f t="shared" si="722"/>
        <v>295.0475880139989</v>
      </c>
      <c r="K1305" s="8">
        <f t="shared" si="722"/>
        <v>263.05769297377634</v>
      </c>
      <c r="L1305" s="8">
        <f t="shared" si="722"/>
        <v>230.88779576837172</v>
      </c>
      <c r="M1305" s="8">
        <f t="shared" si="722"/>
        <v>199.46363496439005</v>
      </c>
    </row>
    <row r="1306" spans="2:13" hidden="1" outlineLevel="2" x14ac:dyDescent="0.2">
      <c r="B1306" s="78" t="str">
        <f>+C1306&amp;D1306&amp;E1306&amp;F1306</f>
        <v>GlobalFeedstockConversion CO2 : e Methane (actual)kg CO2/kg e Methane</v>
      </c>
      <c r="C1306" s="157" t="s">
        <v>109</v>
      </c>
      <c r="D1306" t="s">
        <v>777</v>
      </c>
      <c r="E1306" t="s">
        <v>1108</v>
      </c>
      <c r="F1306" s="128" t="s">
        <v>1109</v>
      </c>
      <c r="G1306" s="521">
        <f>INDEX('Fuel Model -  Input'!$B$3:$N$373,MATCH($B1306,'Fuel Model -  Input'!$B$3:$B$373,0),MATCH(G$2,'Fuel Model -  Input'!$B$3:$N$3,0))</f>
        <v>2.7434235132776457</v>
      </c>
      <c r="H1306" s="521">
        <f>INDEX('Fuel Model -  Input'!$B$3:$N$373,MATCH($B1306,'Fuel Model -  Input'!$B$3:$B$373,0),MATCH(H$2,'Fuel Model -  Input'!$B$3:$N$3,0))</f>
        <v>2.7434235132776457</v>
      </c>
      <c r="I1306" s="521">
        <f>INDEX('Fuel Model -  Input'!$B$3:$N$373,MATCH($B1306,'Fuel Model -  Input'!$B$3:$B$373,0),MATCH(I$2,'Fuel Model -  Input'!$B$3:$N$3,0))</f>
        <v>2.7434235132776457</v>
      </c>
      <c r="J1306" s="521">
        <f>INDEX('Fuel Model -  Input'!$B$3:$N$373,MATCH($B1306,'Fuel Model -  Input'!$B$3:$B$373,0),MATCH(J$2,'Fuel Model -  Input'!$B$3:$N$3,0))</f>
        <v>2.7434235132776457</v>
      </c>
      <c r="K1306" s="521">
        <f>INDEX('Fuel Model -  Input'!$B$3:$N$373,MATCH($B1306,'Fuel Model -  Input'!$B$3:$B$373,0),MATCH(K$2,'Fuel Model -  Input'!$B$3:$N$3,0))</f>
        <v>2.7434235132776457</v>
      </c>
      <c r="L1306" s="521">
        <f>INDEX('Fuel Model -  Input'!$B$3:$N$373,MATCH($B1306,'Fuel Model -  Input'!$B$3:$B$373,0),MATCH(L$2,'Fuel Model -  Input'!$B$3:$N$3,0))</f>
        <v>2.7434235132776457</v>
      </c>
      <c r="M1306" s="521">
        <f>INDEX('Fuel Model -  Input'!$B$3:$N$373,MATCH($B1306,'Fuel Model -  Input'!$B$3:$B$373,0),MATCH(M$2,'Fuel Model -  Input'!$B$3:$N$3,0))</f>
        <v>2.7434235132776457</v>
      </c>
    </row>
    <row r="1307" spans="2:13" hidden="1" outlineLevel="2" x14ac:dyDescent="0.2">
      <c r="B1307" s="78" t="str">
        <f>+C1307&amp;D1307&amp;E1307&amp;F1307</f>
        <v>EuropeFeedstockCost of CO2 PSUSD/ton</v>
      </c>
      <c r="C1307" s="157" t="str">
        <f>+$B$1270</f>
        <v>Europe</v>
      </c>
      <c r="D1307" t="s">
        <v>777</v>
      </c>
      <c r="E1307" t="s">
        <v>1011</v>
      </c>
      <c r="F1307" s="128" t="s">
        <v>205</v>
      </c>
      <c r="G1307" s="532">
        <f t="shared" ref="G1307:M1307" si="723">INDEX(G$1538:G$1542,MATCH($B1307,$B$1538:$B$1542,0))</f>
        <v>183.65176654649929</v>
      </c>
      <c r="H1307" s="532">
        <f t="shared" si="723"/>
        <v>151.29684020954028</v>
      </c>
      <c r="I1307" s="532">
        <f t="shared" si="723"/>
        <v>119.84203139838496</v>
      </c>
      <c r="J1307" s="532">
        <f t="shared" si="723"/>
        <v>107.54722578778849</v>
      </c>
      <c r="K1307" s="532">
        <f t="shared" si="723"/>
        <v>95.886651003983658</v>
      </c>
      <c r="L1307" s="532">
        <f t="shared" si="723"/>
        <v>84.160463979009762</v>
      </c>
      <c r="M1307" s="532">
        <f t="shared" si="723"/>
        <v>72.706103887724282</v>
      </c>
    </row>
    <row r="1308" spans="2:13" hidden="1" outlineLevel="2" x14ac:dyDescent="0.2">
      <c r="C1308" s="157"/>
      <c r="F1308" s="128"/>
      <c r="G1308" s="520"/>
      <c r="H1308" s="520"/>
      <c r="I1308" s="520"/>
      <c r="J1308" s="520"/>
      <c r="K1308" s="520"/>
      <c r="L1308" s="520"/>
      <c r="M1308" s="520"/>
    </row>
    <row r="1309" spans="2:13" hidden="1" outlineLevel="2" x14ac:dyDescent="0.2">
      <c r="B1309" s="78" t="str">
        <f>+C1309&amp;D1309&amp;E1309&amp;F1309</f>
        <v>EuropeFeedstockFeedstock H2USD/ton e Methane</v>
      </c>
      <c r="C1309" s="157" t="str">
        <f>+$B$1270</f>
        <v>Europe</v>
      </c>
      <c r="D1309" t="s">
        <v>777</v>
      </c>
      <c r="E1309" s="48" t="s">
        <v>970</v>
      </c>
      <c r="F1309" s="128" t="s">
        <v>1105</v>
      </c>
      <c r="G1309" s="8">
        <f t="shared" ref="G1309:M1309" si="724">G1312*G1313</f>
        <v>2382.7824231090208</v>
      </c>
      <c r="H1309" s="8">
        <f t="shared" si="724"/>
        <v>1945.1659638999995</v>
      </c>
      <c r="I1309" s="8">
        <f t="shared" si="724"/>
        <v>1587.5111544219196</v>
      </c>
      <c r="J1309" s="8">
        <f t="shared" si="724"/>
        <v>1450.7127689610475</v>
      </c>
      <c r="K1309" s="8">
        <f t="shared" si="724"/>
        <v>1269.9052669768146</v>
      </c>
      <c r="L1309" s="8">
        <f t="shared" si="724"/>
        <v>1037.125855649942</v>
      </c>
      <c r="M1309" s="8">
        <f t="shared" si="724"/>
        <v>819.85370809631502</v>
      </c>
    </row>
    <row r="1310" spans="2:13" hidden="1" outlineLevel="2" x14ac:dyDescent="0.2">
      <c r="B1310" t="str">
        <f>+C1310&amp;D1310&amp;E1310&amp;F1310</f>
        <v>EuropeResultsShare of RNE e-Hydrogen (compressed)%</v>
      </c>
      <c r="C1310" s="157" t="str">
        <f>+$B$1270</f>
        <v>Europe</v>
      </c>
      <c r="D1310" t="s">
        <v>838</v>
      </c>
      <c r="E1310" s="48" t="s">
        <v>848</v>
      </c>
      <c r="F1310" s="128" t="s">
        <v>178</v>
      </c>
      <c r="G1310" s="537">
        <f t="shared" ref="G1310:M1310" si="725">+INDEX($A:$M,MATCH($B1310,$B:$B,0),MATCH(G$2,$2:$2,0))</f>
        <v>0.62157188172931999</v>
      </c>
      <c r="H1310" s="537">
        <f t="shared" si="725"/>
        <v>0.61321781005301335</v>
      </c>
      <c r="I1310" s="537">
        <f t="shared" si="725"/>
        <v>0.60012414933679714</v>
      </c>
      <c r="J1310" s="537">
        <f t="shared" si="725"/>
        <v>0.57130801030471257</v>
      </c>
      <c r="K1310" s="537">
        <f t="shared" si="725"/>
        <v>0.58323835594013507</v>
      </c>
      <c r="L1310" s="537">
        <f t="shared" si="725"/>
        <v>0.62026244132138331</v>
      </c>
      <c r="M1310" s="537">
        <f t="shared" si="725"/>
        <v>0.70038434851335252</v>
      </c>
    </row>
    <row r="1311" spans="2:13" hidden="1" outlineLevel="2" x14ac:dyDescent="0.2">
      <c r="B1311" t="str">
        <f>+C1311&amp;D1311&amp;E1311&amp;F1311</f>
        <v>EuropeResultsShare of Capex e-Hydrogen (compressed)%</v>
      </c>
      <c r="C1311" t="str">
        <f>+$B$595</f>
        <v>Europe</v>
      </c>
      <c r="D1311" t="s">
        <v>838</v>
      </c>
      <c r="E1311" s="48" t="s">
        <v>850</v>
      </c>
      <c r="F1311" s="128" t="s">
        <v>178</v>
      </c>
      <c r="G1311" s="537">
        <f t="shared" ref="G1311:M1311" si="726">+INDEX(G$4:G$581,MATCH($B1311,$B$4:$B$581,0))</f>
        <v>0.17512379160880204</v>
      </c>
      <c r="H1311" s="537">
        <f t="shared" si="726"/>
        <v>0.17978352742155063</v>
      </c>
      <c r="I1311" s="537">
        <f t="shared" si="726"/>
        <v>0.19277781762112317</v>
      </c>
      <c r="J1311" s="537">
        <f t="shared" si="726"/>
        <v>0.22216995549848845</v>
      </c>
      <c r="K1311" s="537">
        <f t="shared" si="726"/>
        <v>0.23353838190585505</v>
      </c>
      <c r="L1311" s="537">
        <f t="shared" si="726"/>
        <v>0.22839683734733135</v>
      </c>
      <c r="M1311" s="537">
        <f t="shared" si="726"/>
        <v>0.18927419673224519</v>
      </c>
    </row>
    <row r="1312" spans="2:13" hidden="1" outlineLevel="2" x14ac:dyDescent="0.2">
      <c r="B1312" s="78" t="str">
        <f>+C1312&amp;D1312&amp;E1312&amp;F1312</f>
        <v>GlobalFeedstockConversion H2 : e  Methane (actual)tons H2/ton e Methane</v>
      </c>
      <c r="C1312" s="157" t="s">
        <v>109</v>
      </c>
      <c r="D1312" t="s">
        <v>777</v>
      </c>
      <c r="E1312" t="s">
        <v>1110</v>
      </c>
      <c r="F1312" s="128" t="s">
        <v>1111</v>
      </c>
      <c r="G1312" s="521">
        <f>+INDEX('Fuel Model -  Input'!$B$3:$N$373,MATCH($B1312,'Fuel Model -  Input'!$B$3:$B$373,0),MATCH(G$2,'Fuel Model -  Input'!$B$3:$N$3,0))</f>
        <v>0.5</v>
      </c>
      <c r="H1312" s="521">
        <f>+INDEX('Fuel Model -  Input'!$B$3:$N$373,MATCH($B1312,'Fuel Model -  Input'!$B$3:$B$373,0),MATCH(H$2,'Fuel Model -  Input'!$B$3:$N$3,0))</f>
        <v>0.5</v>
      </c>
      <c r="I1312" s="521">
        <f>+INDEX('Fuel Model -  Input'!$B$3:$N$373,MATCH($B1312,'Fuel Model -  Input'!$B$3:$B$373,0),MATCH(I$2,'Fuel Model -  Input'!$B$3:$N$3,0))</f>
        <v>0.5</v>
      </c>
      <c r="J1312" s="521">
        <f>+INDEX('Fuel Model -  Input'!$B$3:$N$373,MATCH($B1312,'Fuel Model -  Input'!$B$3:$B$373,0),MATCH(J$2,'Fuel Model -  Input'!$B$3:$N$3,0))</f>
        <v>0.5</v>
      </c>
      <c r="K1312" s="521">
        <f>+INDEX('Fuel Model -  Input'!$B$3:$N$373,MATCH($B1312,'Fuel Model -  Input'!$B$3:$B$373,0),MATCH(K$2,'Fuel Model -  Input'!$B$3:$N$3,0))</f>
        <v>0.5</v>
      </c>
      <c r="L1312" s="521">
        <f>+INDEX('Fuel Model -  Input'!$B$3:$N$373,MATCH($B1312,'Fuel Model -  Input'!$B$3:$B$373,0),MATCH(L$2,'Fuel Model -  Input'!$B$3:$N$3,0))</f>
        <v>0.5</v>
      </c>
      <c r="M1312" s="521">
        <f>+INDEX('Fuel Model -  Input'!$B$3:$N$373,MATCH($B1312,'Fuel Model -  Input'!$B$3:$B$373,0),MATCH(M$2,'Fuel Model -  Input'!$B$3:$N$3,0))</f>
        <v>0.5</v>
      </c>
    </row>
    <row r="1313" spans="2:15" hidden="1" outlineLevel="2" x14ac:dyDescent="0.2">
      <c r="B1313" s="78" t="str">
        <f>+C1313&amp;D1313&amp;E1313&amp;F1313</f>
        <v>EuropeResultsCost of e-Hydrogen (compressed)USD/ton</v>
      </c>
      <c r="C1313" s="157" t="str">
        <f>+$B$1270</f>
        <v>Europe</v>
      </c>
      <c r="D1313" t="s">
        <v>838</v>
      </c>
      <c r="E1313" t="s">
        <v>846</v>
      </c>
      <c r="F1313" s="128" t="s">
        <v>205</v>
      </c>
      <c r="G1313" s="532">
        <f>INDEX(G$4:G1312,MATCH($B1313,$B$4:$B1312,0))</f>
        <v>4765.5648462180416</v>
      </c>
      <c r="H1313" s="532">
        <f>INDEX(H$4:H1312,MATCH($B1313,$B$4:$B1312,0))</f>
        <v>3890.331927799999</v>
      </c>
      <c r="I1313" s="532">
        <f>INDEX(I$4:I1312,MATCH($B1313,$B$4:$B1312,0))</f>
        <v>3175.0223088438393</v>
      </c>
      <c r="J1313" s="532">
        <f>INDEX(J$4:J1312,MATCH($B1313,$B$4:$B1312,0))</f>
        <v>2901.4255379220949</v>
      </c>
      <c r="K1313" s="532">
        <f>INDEX(K$4:K1312,MATCH($B1313,$B$4:$B1312,0))</f>
        <v>2539.8105339536291</v>
      </c>
      <c r="L1313" s="532">
        <f>INDEX(L$4:L1312,MATCH($B1313,$B$4:$B1312,0))</f>
        <v>2074.2517112998839</v>
      </c>
      <c r="M1313" s="532">
        <f>INDEX(M$4:M1312,MATCH($B1313,$B$4:$B1312,0))</f>
        <v>1639.70741619263</v>
      </c>
    </row>
    <row r="1314" spans="2:15" hidden="1" outlineLevel="1" x14ac:dyDescent="0.2">
      <c r="C1314" s="157"/>
      <c r="F1314"/>
    </row>
    <row r="1315" spans="2:15" s="30" customFormat="1" ht="15" hidden="1" outlineLevel="1" collapsed="1" x14ac:dyDescent="0.25">
      <c r="B1315" s="30" t="s">
        <v>197</v>
      </c>
      <c r="C1315" s="515" t="str">
        <f>+B1315</f>
        <v>Middle East</v>
      </c>
    </row>
    <row r="1316" spans="2:15" ht="15" hidden="1" outlineLevel="2" x14ac:dyDescent="0.25">
      <c r="B1316" s="157" t="str">
        <f t="shared" ref="B1316:B1321" si="727">+C1316&amp;D1316&amp;E1316&amp;F1316</f>
        <v>Middle EastResultsTotal cost of e-Methane (DAC)USD/ton</v>
      </c>
      <c r="C1316" s="157" t="str">
        <f t="shared" ref="C1316:C1325" si="728">+$B$1315</f>
        <v>Middle East</v>
      </c>
      <c r="D1316" s="515" t="s">
        <v>838</v>
      </c>
      <c r="E1316" s="535" t="s">
        <v>1084</v>
      </c>
      <c r="F1316" s="489" t="s">
        <v>205</v>
      </c>
      <c r="G1316" s="492">
        <f>+G1318+G1320+G1322+G1324</f>
        <v>3326.0382831169159</v>
      </c>
      <c r="H1316" s="492">
        <f t="shared" ref="H1316:M1316" si="729">+H1318+H1320+H1322+H1324</f>
        <v>2711.9814695973673</v>
      </c>
      <c r="I1316" s="492">
        <f t="shared" si="729"/>
        <v>2271.1973947225174</v>
      </c>
      <c r="J1316" s="492">
        <f t="shared" si="729"/>
        <v>2023.5711599463482</v>
      </c>
      <c r="K1316" s="492">
        <f t="shared" si="729"/>
        <v>1772.4633967341861</v>
      </c>
      <c r="L1316" s="492">
        <f t="shared" si="729"/>
        <v>1454.5507557618373</v>
      </c>
      <c r="M1316" s="492">
        <f t="shared" si="729"/>
        <v>1182.6299665913805</v>
      </c>
    </row>
    <row r="1317" spans="2:15" ht="15" hidden="1" outlineLevel="2" x14ac:dyDescent="0.25">
      <c r="B1317" s="157" t="str">
        <f t="shared" si="727"/>
        <v>Middle EastResultsTotal cost of e-Methane (PS)USD/ton</v>
      </c>
      <c r="C1317" s="157" t="str">
        <f t="shared" si="728"/>
        <v>Middle East</v>
      </c>
      <c r="D1317" s="515" t="s">
        <v>838</v>
      </c>
      <c r="E1317" s="535" t="s">
        <v>1085</v>
      </c>
      <c r="F1317" s="489" t="s">
        <v>205</v>
      </c>
      <c r="G1317" s="492">
        <f t="shared" ref="G1317:M1317" si="730">+G1319+G1321+G1323+G1325</f>
        <v>3075.5257155325212</v>
      </c>
      <c r="H1317" s="492">
        <f t="shared" si="730"/>
        <v>2529.009845201283</v>
      </c>
      <c r="I1317" s="492">
        <f t="shared" si="730"/>
        <v>2117.2222149215531</v>
      </c>
      <c r="J1317" s="492">
        <f t="shared" si="730"/>
        <v>1920.0913803015428</v>
      </c>
      <c r="K1317" s="492">
        <f t="shared" si="730"/>
        <v>1697.5202151938722</v>
      </c>
      <c r="L1317" s="492">
        <f t="shared" si="730"/>
        <v>1402.0068647650778</v>
      </c>
      <c r="M1317" s="492">
        <f t="shared" si="730"/>
        <v>1139.2228722846871</v>
      </c>
    </row>
    <row r="1318" spans="2:15" ht="15" hidden="1" outlineLevel="2" x14ac:dyDescent="0.25">
      <c r="B1318" s="157" t="str">
        <f t="shared" si="727"/>
        <v>Middle EastResultsTotal Capex e-Methane (DAC)USD/ton</v>
      </c>
      <c r="C1318" s="157" t="str">
        <f t="shared" si="728"/>
        <v>Middle East</v>
      </c>
      <c r="D1318" s="515" t="s">
        <v>838</v>
      </c>
      <c r="E1318" s="536" t="s">
        <v>1086</v>
      </c>
      <c r="F1318" s="489" t="s">
        <v>205</v>
      </c>
      <c r="G1318" s="490">
        <f>G1331+G1335+G1354*G1356</f>
        <v>779.76934830215805</v>
      </c>
      <c r="H1318" s="490">
        <f t="shared" ref="H1318:M1318" si="731">H1331+H1335+H1354*H1356</f>
        <v>669.47546507694926</v>
      </c>
      <c r="I1318" s="490">
        <f t="shared" si="731"/>
        <v>597.32644088272252</v>
      </c>
      <c r="J1318" s="490">
        <f t="shared" si="731"/>
        <v>600.24152790094467</v>
      </c>
      <c r="K1318" s="490">
        <f t="shared" si="731"/>
        <v>561.26080769795669</v>
      </c>
      <c r="L1318" s="490">
        <f t="shared" si="731"/>
        <v>482.23733717358937</v>
      </c>
      <c r="M1318" s="490">
        <f t="shared" si="731"/>
        <v>381.31048537121603</v>
      </c>
    </row>
    <row r="1319" spans="2:15" ht="15" hidden="1" outlineLevel="2" x14ac:dyDescent="0.25">
      <c r="B1319" s="157" t="str">
        <f t="shared" si="727"/>
        <v>Middle EastResultsTotal Capex e-Methane (PS)USD/ton</v>
      </c>
      <c r="C1319" s="157" t="str">
        <f t="shared" si="728"/>
        <v>Middle East</v>
      </c>
      <c r="D1319" s="515" t="s">
        <v>838</v>
      </c>
      <c r="E1319" s="536" t="s">
        <v>1087</v>
      </c>
      <c r="F1319" s="489" t="s">
        <v>205</v>
      </c>
      <c r="G1319" s="490">
        <f t="shared" ref="G1319:M1319" si="732">+G1318</f>
        <v>779.76934830215805</v>
      </c>
      <c r="H1319" s="490">
        <f t="shared" si="732"/>
        <v>669.47546507694926</v>
      </c>
      <c r="I1319" s="490">
        <f t="shared" si="732"/>
        <v>597.32644088272252</v>
      </c>
      <c r="J1319" s="490">
        <f t="shared" si="732"/>
        <v>600.24152790094467</v>
      </c>
      <c r="K1319" s="490">
        <f t="shared" si="732"/>
        <v>561.26080769795669</v>
      </c>
      <c r="L1319" s="490">
        <f t="shared" si="732"/>
        <v>482.23733717358937</v>
      </c>
      <c r="M1319" s="490">
        <f t="shared" si="732"/>
        <v>381.31048537121603</v>
      </c>
    </row>
    <row r="1320" spans="2:15" ht="15" hidden="1" outlineLevel="2" x14ac:dyDescent="0.25">
      <c r="B1320" s="157" t="str">
        <f t="shared" si="727"/>
        <v>Middle EastResultsTotal Opex e-Methane (DAC)USD/ton</v>
      </c>
      <c r="C1320" s="157" t="str">
        <f t="shared" si="728"/>
        <v>Middle East</v>
      </c>
      <c r="D1320" s="515" t="s">
        <v>838</v>
      </c>
      <c r="E1320" s="536" t="s">
        <v>1088</v>
      </c>
      <c r="F1320" s="489" t="s">
        <v>205</v>
      </c>
      <c r="G1320" s="490">
        <f>SUM(G1328,G1339)+G1354*(1-SUM(G1355:G1356))</f>
        <v>653.58267090675008</v>
      </c>
      <c r="H1320" s="490">
        <f t="shared" ref="H1320:M1320" si="733">SUM(H1328,H1339)+H1354*(1-SUM(H1355:H1356))</f>
        <v>532.49860639392341</v>
      </c>
      <c r="I1320" s="490">
        <f t="shared" si="733"/>
        <v>433.77748498821416</v>
      </c>
      <c r="J1320" s="490">
        <f t="shared" si="733"/>
        <v>394.3232374069035</v>
      </c>
      <c r="K1320" s="490">
        <f t="shared" si="733"/>
        <v>318.24811080418033</v>
      </c>
      <c r="L1320" s="490">
        <f t="shared" si="733"/>
        <v>227.42691895188085</v>
      </c>
      <c r="M1320" s="490">
        <f t="shared" si="733"/>
        <v>146.62729703515498</v>
      </c>
    </row>
    <row r="1321" spans="2:15" ht="15" hidden="1" outlineLevel="2" x14ac:dyDescent="0.25">
      <c r="B1321" s="157" t="str">
        <f t="shared" si="727"/>
        <v>Middle EastResultsTotal Opex e-Methane (PS)USD/ton</v>
      </c>
      <c r="C1321" s="157" t="str">
        <f t="shared" si="728"/>
        <v>Middle East</v>
      </c>
      <c r="D1321" s="515" t="s">
        <v>838</v>
      </c>
      <c r="E1321" s="536" t="s">
        <v>1089</v>
      </c>
      <c r="F1321" s="489" t="s">
        <v>205</v>
      </c>
      <c r="G1321" s="490">
        <f t="shared" ref="G1321:M1321" si="734">+G1320</f>
        <v>653.58267090675008</v>
      </c>
      <c r="H1321" s="490">
        <f t="shared" si="734"/>
        <v>532.49860639392341</v>
      </c>
      <c r="I1321" s="490">
        <f t="shared" si="734"/>
        <v>433.77748498821416</v>
      </c>
      <c r="J1321" s="490">
        <f t="shared" si="734"/>
        <v>394.3232374069035</v>
      </c>
      <c r="K1321" s="490">
        <f t="shared" si="734"/>
        <v>318.24811080418033</v>
      </c>
      <c r="L1321" s="490">
        <f t="shared" si="734"/>
        <v>227.42691895188085</v>
      </c>
      <c r="M1321" s="490">
        <f t="shared" si="734"/>
        <v>146.62729703515498</v>
      </c>
    </row>
    <row r="1322" spans="2:15" ht="15" hidden="1" outlineLevel="2" x14ac:dyDescent="0.25">
      <c r="B1322" s="157" t="str">
        <f>+C1322&amp;D1322&amp;E1322&amp;F1322</f>
        <v>Middle EastResultsTotal RNE e-Methane (DAC)USD/ton</v>
      </c>
      <c r="C1322" s="157" t="str">
        <f t="shared" si="728"/>
        <v>Middle East</v>
      </c>
      <c r="D1322" s="515" t="s">
        <v>838</v>
      </c>
      <c r="E1322" s="536" t="s">
        <v>1090</v>
      </c>
      <c r="F1322" s="489" t="s">
        <v>205</v>
      </c>
      <c r="G1322" s="490">
        <f>+G1342+G1354*G1355</f>
        <v>1153.9873683445719</v>
      </c>
      <c r="H1322" s="490">
        <f t="shared" ref="H1322:M1322" si="735">+H1342+H1354*H1355</f>
        <v>924.83464209909164</v>
      </c>
      <c r="I1322" s="490">
        <f t="shared" si="735"/>
        <v>766.4949490971519</v>
      </c>
      <c r="J1322" s="490">
        <f t="shared" si="735"/>
        <v>640.02269815718728</v>
      </c>
      <c r="K1322" s="490">
        <f t="shared" si="735"/>
        <v>564.27952572870129</v>
      </c>
      <c r="L1322" s="490">
        <f t="shared" si="735"/>
        <v>471.11799023086263</v>
      </c>
      <c r="M1322" s="490">
        <f t="shared" si="735"/>
        <v>420.92098625152238</v>
      </c>
    </row>
    <row r="1323" spans="2:15" ht="15" hidden="1" outlineLevel="2" x14ac:dyDescent="0.25">
      <c r="B1323" s="157" t="str">
        <f>+C1323&amp;D1323&amp;E1323&amp;F1323</f>
        <v>Middle EastResultsTotal RNE e-Methane (PS)USD/ton</v>
      </c>
      <c r="C1323" s="157" t="str">
        <f t="shared" si="728"/>
        <v>Middle East</v>
      </c>
      <c r="D1323" s="515" t="s">
        <v>838</v>
      </c>
      <c r="E1323" s="536" t="s">
        <v>1091</v>
      </c>
      <c r="F1323" s="489" t="s">
        <v>205</v>
      </c>
      <c r="G1323" s="490">
        <f>+G1322</f>
        <v>1153.9873683445719</v>
      </c>
      <c r="H1323" s="490">
        <f t="shared" ref="H1323:M1323" si="736">+H1322</f>
        <v>924.83464209909164</v>
      </c>
      <c r="I1323" s="490">
        <f t="shared" si="736"/>
        <v>766.4949490971519</v>
      </c>
      <c r="J1323" s="490">
        <f t="shared" si="736"/>
        <v>640.02269815718728</v>
      </c>
      <c r="K1323" s="490">
        <f t="shared" si="736"/>
        <v>564.27952572870129</v>
      </c>
      <c r="L1323" s="490">
        <f t="shared" si="736"/>
        <v>471.11799023086263</v>
      </c>
      <c r="M1323" s="490">
        <f t="shared" si="736"/>
        <v>420.92098625152238</v>
      </c>
    </row>
    <row r="1324" spans="2:15" ht="15" hidden="1" outlineLevel="2" x14ac:dyDescent="0.25">
      <c r="B1324" s="157" t="str">
        <f>+C1324&amp;D1324&amp;E1324&amp;F1324</f>
        <v>Middle EastResultsTotal CO2 e-Methane (DAC)USD/ton</v>
      </c>
      <c r="C1324" s="157" t="str">
        <f t="shared" si="728"/>
        <v>Middle East</v>
      </c>
      <c r="D1324" s="515" t="s">
        <v>838</v>
      </c>
      <c r="E1324" s="536" t="s">
        <v>1092</v>
      </c>
      <c r="F1324" s="489" t="s">
        <v>205</v>
      </c>
      <c r="G1324" s="490">
        <f>+G1346</f>
        <v>738.69889556343571</v>
      </c>
      <c r="H1324" s="490">
        <f t="shared" ref="H1324:M1324" si="737">+H1346</f>
        <v>585.17275602740324</v>
      </c>
      <c r="I1324" s="490">
        <f t="shared" si="737"/>
        <v>473.59851975442888</v>
      </c>
      <c r="J1324" s="490">
        <f t="shared" si="737"/>
        <v>388.98369648131279</v>
      </c>
      <c r="K1324" s="490">
        <f t="shared" si="737"/>
        <v>328.67495250334798</v>
      </c>
      <c r="L1324" s="490">
        <f t="shared" si="737"/>
        <v>273.76850940550429</v>
      </c>
      <c r="M1324" s="490">
        <f t="shared" si="737"/>
        <v>233.771197933487</v>
      </c>
    </row>
    <row r="1325" spans="2:15" ht="15" hidden="1" outlineLevel="2" x14ac:dyDescent="0.25">
      <c r="B1325" s="157" t="str">
        <f>+C1325&amp;D1325&amp;E1325&amp;F1325</f>
        <v>Middle EastResultsTotal CO2 e-Methane (PS)USD/ton</v>
      </c>
      <c r="C1325" s="157" t="str">
        <f t="shared" si="728"/>
        <v>Middle East</v>
      </c>
      <c r="D1325" s="515" t="s">
        <v>838</v>
      </c>
      <c r="E1325" s="536" t="s">
        <v>1093</v>
      </c>
      <c r="F1325" s="489" t="s">
        <v>205</v>
      </c>
      <c r="G1325" s="490">
        <f>+G1350</f>
        <v>488.1863279790411</v>
      </c>
      <c r="H1325" s="490">
        <f t="shared" ref="H1325:M1325" si="738">+H1350</f>
        <v>402.20113163131879</v>
      </c>
      <c r="I1325" s="490">
        <f t="shared" si="738"/>
        <v>319.62333995346467</v>
      </c>
      <c r="J1325" s="490">
        <f t="shared" si="738"/>
        <v>285.50391683650747</v>
      </c>
      <c r="K1325" s="490">
        <f t="shared" si="738"/>
        <v>253.73177096303405</v>
      </c>
      <c r="L1325" s="490">
        <f t="shared" si="738"/>
        <v>221.22461840874473</v>
      </c>
      <c r="M1325" s="490">
        <f t="shared" si="738"/>
        <v>190.36410362679371</v>
      </c>
    </row>
    <row r="1326" spans="2:15" hidden="1" outlineLevel="2" x14ac:dyDescent="0.2">
      <c r="C1326" s="157"/>
      <c r="E1326" s="48"/>
      <c r="F1326" s="128"/>
      <c r="G1326" s="8"/>
      <c r="H1326" s="8"/>
      <c r="I1326" s="8"/>
      <c r="J1326" s="8"/>
      <c r="K1326" s="8"/>
      <c r="L1326" s="8"/>
      <c r="M1326" s="8"/>
    </row>
    <row r="1327" spans="2:15" hidden="1" outlineLevel="2" x14ac:dyDescent="0.2">
      <c r="B1327" s="48" t="str">
        <f t="shared" ref="B1327:B1333" si="739">+C1327&amp;D1327&amp;E1327&amp;F1327</f>
        <v>Middle EastResultsCH4 Liquifaction costUSD/ton</v>
      </c>
      <c r="C1327" s="157" t="str">
        <f>+$B$1315</f>
        <v>Middle East</v>
      </c>
      <c r="D1327" t="s">
        <v>838</v>
      </c>
      <c r="E1327" s="48" t="s">
        <v>1094</v>
      </c>
      <c r="F1327" s="128" t="s">
        <v>205</v>
      </c>
      <c r="G1327" s="8">
        <f t="shared" ref="G1327:M1327" si="740">SUM(G1328,G1331)</f>
        <v>228.64015058331006</v>
      </c>
      <c r="H1327" s="8">
        <f t="shared" si="740"/>
        <v>219.0018534766225</v>
      </c>
      <c r="I1327" s="8">
        <f t="shared" si="740"/>
        <v>211.12988589248161</v>
      </c>
      <c r="J1327" s="8">
        <f t="shared" si="740"/>
        <v>204.32248857224363</v>
      </c>
      <c r="K1327" s="8">
        <f t="shared" si="740"/>
        <v>198.76111163659812</v>
      </c>
      <c r="L1327" s="8">
        <f t="shared" si="740"/>
        <v>192.94528232515637</v>
      </c>
      <c r="M1327" s="8">
        <f t="shared" si="740"/>
        <v>188.03011286468308</v>
      </c>
      <c r="O1327" t="s">
        <v>1095</v>
      </c>
    </row>
    <row r="1328" spans="2:15" hidden="1" outlineLevel="2" x14ac:dyDescent="0.2">
      <c r="B1328" s="48" t="str">
        <f t="shared" si="739"/>
        <v>Middle EastResultsCH4 Liquifaction opexUSD/ton</v>
      </c>
      <c r="C1328" s="157" t="str">
        <f>+$B$1315</f>
        <v>Middle East</v>
      </c>
      <c r="D1328" t="s">
        <v>838</v>
      </c>
      <c r="E1328" t="s">
        <v>1096</v>
      </c>
      <c r="F1328" s="450" t="s">
        <v>205</v>
      </c>
      <c r="G1328" s="14">
        <f t="shared" ref="G1328:M1328" si="741">G1329*G1330</f>
        <v>25.152694794812597</v>
      </c>
      <c r="H1328" s="14">
        <f t="shared" si="741"/>
        <v>20.251853476622447</v>
      </c>
      <c r="I1328" s="14">
        <f t="shared" si="741"/>
        <v>17.007047475073279</v>
      </c>
      <c r="J1328" s="14">
        <f t="shared" si="741"/>
        <v>14.719085325797247</v>
      </c>
      <c r="K1328" s="14">
        <f t="shared" si="741"/>
        <v>13.571925162129599</v>
      </c>
      <c r="L1328" s="14">
        <f t="shared" si="741"/>
        <v>12.06754384649196</v>
      </c>
      <c r="M1328" s="14">
        <f t="shared" si="741"/>
        <v>11.363446198016351</v>
      </c>
      <c r="N1328" s="93"/>
    </row>
    <row r="1329" spans="2:14" hidden="1" outlineLevel="2" x14ac:dyDescent="0.2">
      <c r="B1329" s="48" t="str">
        <f t="shared" si="739"/>
        <v>Middle EastFeedstockElectricityUSD/MWh</v>
      </c>
      <c r="C1329" s="157" t="str">
        <f>+$B$1315</f>
        <v>Middle East</v>
      </c>
      <c r="D1329" t="s">
        <v>777</v>
      </c>
      <c r="E1329" t="s">
        <v>54</v>
      </c>
      <c r="F1329" s="450" t="s">
        <v>196</v>
      </c>
      <c r="G1329" s="532">
        <f>+INDEX('Fuel Model -  Input'!$B$3:$N$373,MATCH($B1329,'Fuel Model -  Input'!$B$3:$B$373,0),MATCH(G$2,'Fuel Model -  Input'!$B$3:$N$3,0))</f>
        <v>41.921157991354328</v>
      </c>
      <c r="H1329" s="532">
        <f>+INDEX('Fuel Model -  Input'!$B$3:$N$373,MATCH($B1329,'Fuel Model -  Input'!$B$3:$B$373,0),MATCH(H$2,'Fuel Model -  Input'!$B$3:$N$3,0))</f>
        <v>33.753089127704079</v>
      </c>
      <c r="I1329" s="532">
        <f>+INDEX('Fuel Model -  Input'!$B$3:$N$373,MATCH($B1329,'Fuel Model -  Input'!$B$3:$B$373,0),MATCH(I$2,'Fuel Model -  Input'!$B$3:$N$3,0))</f>
        <v>28.34507912512213</v>
      </c>
      <c r="J1329" s="532">
        <f>+INDEX('Fuel Model -  Input'!$B$3:$N$373,MATCH($B1329,'Fuel Model -  Input'!$B$3:$B$373,0),MATCH(J$2,'Fuel Model -  Input'!$B$3:$N$3,0))</f>
        <v>24.531808876328746</v>
      </c>
      <c r="K1329" s="532">
        <f>+INDEX('Fuel Model -  Input'!$B$3:$N$373,MATCH($B1329,'Fuel Model -  Input'!$B$3:$B$373,0),MATCH(K$2,'Fuel Model -  Input'!$B$3:$N$3,0))</f>
        <v>22.619875270215999</v>
      </c>
      <c r="L1329" s="532">
        <f>+INDEX('Fuel Model -  Input'!$B$3:$N$373,MATCH($B1329,'Fuel Model -  Input'!$B$3:$B$373,0),MATCH(L$2,'Fuel Model -  Input'!$B$3:$N$3,0))</f>
        <v>20.112573077486601</v>
      </c>
      <c r="M1329" s="532">
        <f>+INDEX('Fuel Model -  Input'!$B$3:$N$373,MATCH($B1329,'Fuel Model -  Input'!$B$3:$B$373,0),MATCH(M$2,'Fuel Model -  Input'!$B$3:$N$3,0))</f>
        <v>18.93907699669392</v>
      </c>
      <c r="N1329" s="93"/>
    </row>
    <row r="1330" spans="2:14" hidden="1" outlineLevel="2" x14ac:dyDescent="0.2">
      <c r="B1330" s="48" t="str">
        <f t="shared" si="739"/>
        <v>GlobalProcess - OpexCH4 LiquifactionmWh/ ton e CH4</v>
      </c>
      <c r="C1330" s="157" t="s">
        <v>109</v>
      </c>
      <c r="D1330" t="s">
        <v>876</v>
      </c>
      <c r="E1330" t="s">
        <v>1097</v>
      </c>
      <c r="F1330" s="450" t="s">
        <v>1098</v>
      </c>
      <c r="G1330" s="542">
        <f>+INDEX('Fuel Model -  Input'!$B$3:$N$373,MATCH($B1330,'Fuel Model -  Input'!$B$3:$B$373,0),MATCH(G$2,'Fuel Model -  Input'!$B$3:$N$3,0))</f>
        <v>0.6</v>
      </c>
      <c r="H1330" s="542">
        <f>+INDEX('Fuel Model -  Input'!$B$3:$N$373,MATCH($B1330,'Fuel Model -  Input'!$B$3:$B$373,0),MATCH(H$2,'Fuel Model -  Input'!$B$3:$N$3,0))</f>
        <v>0.6</v>
      </c>
      <c r="I1330" s="542">
        <f>+INDEX('Fuel Model -  Input'!$B$3:$N$373,MATCH($B1330,'Fuel Model -  Input'!$B$3:$B$373,0),MATCH(I$2,'Fuel Model -  Input'!$B$3:$N$3,0))</f>
        <v>0.6</v>
      </c>
      <c r="J1330" s="542">
        <f>+INDEX('Fuel Model -  Input'!$B$3:$N$373,MATCH($B1330,'Fuel Model -  Input'!$B$3:$B$373,0),MATCH(J$2,'Fuel Model -  Input'!$B$3:$N$3,0))</f>
        <v>0.6</v>
      </c>
      <c r="K1330" s="542">
        <f>+INDEX('Fuel Model -  Input'!$B$3:$N$373,MATCH($B1330,'Fuel Model -  Input'!$B$3:$B$373,0),MATCH(K$2,'Fuel Model -  Input'!$B$3:$N$3,0))</f>
        <v>0.6</v>
      </c>
      <c r="L1330" s="542">
        <f>+INDEX('Fuel Model -  Input'!$B$3:$N$373,MATCH($B1330,'Fuel Model -  Input'!$B$3:$B$373,0),MATCH(L$2,'Fuel Model -  Input'!$B$3:$N$3,0))</f>
        <v>0.6</v>
      </c>
      <c r="M1330" s="542">
        <f>+INDEX('Fuel Model -  Input'!$B$3:$N$373,MATCH($B1330,'Fuel Model -  Input'!$B$3:$B$373,0),MATCH(M$2,'Fuel Model -  Input'!$B$3:$N$3,0))</f>
        <v>0.6</v>
      </c>
      <c r="N1330" s="93"/>
    </row>
    <row r="1331" spans="2:14" s="157" customFormat="1" hidden="1" outlineLevel="2" x14ac:dyDescent="0.2">
      <c r="B1331" s="498" t="str">
        <f t="shared" si="739"/>
        <v>Middle EastProcess - CapexCH4 LiquifactionUSD/ ton CH4 output</v>
      </c>
      <c r="C1331" s="157" t="str">
        <f>+$B$1315</f>
        <v>Middle East</v>
      </c>
      <c r="D1331" s="157" t="s">
        <v>879</v>
      </c>
      <c r="E1331" s="157" t="s">
        <v>1097</v>
      </c>
      <c r="F1331" s="450" t="s">
        <v>1099</v>
      </c>
      <c r="G1331" s="337">
        <f t="shared" ref="G1331:M1331" si="742">G1333/G1332</f>
        <v>203.48745578849747</v>
      </c>
      <c r="H1331" s="337">
        <f t="shared" si="742"/>
        <v>198.75000000000006</v>
      </c>
      <c r="I1331" s="337">
        <f t="shared" si="742"/>
        <v>194.12283841740833</v>
      </c>
      <c r="J1331" s="337">
        <f t="shared" si="742"/>
        <v>189.60340324644639</v>
      </c>
      <c r="K1331" s="337">
        <f t="shared" si="742"/>
        <v>185.18918647446853</v>
      </c>
      <c r="L1331" s="337">
        <f t="shared" si="742"/>
        <v>180.87773847866441</v>
      </c>
      <c r="M1331" s="337">
        <f t="shared" si="742"/>
        <v>176.66666666666671</v>
      </c>
      <c r="N1331" s="493"/>
    </row>
    <row r="1332" spans="2:14" hidden="1" outlineLevel="2" x14ac:dyDescent="0.2">
      <c r="B1332" s="48" t="str">
        <f t="shared" si="739"/>
        <v>GlobalPlant capexAnnualisation factor#</v>
      </c>
      <c r="C1332" s="157" t="s">
        <v>109</v>
      </c>
      <c r="D1332" t="s">
        <v>786</v>
      </c>
      <c r="E1332" t="s">
        <v>764</v>
      </c>
      <c r="F1332" s="450" t="s">
        <v>787</v>
      </c>
      <c r="G1332" s="532">
        <f>INDEX('Fuel Model -  Input'!$B$3:$N$373,MATCH($B1332,'Fuel Model -  Input'!$B$3:$B$373,0),MATCH(G$2,'Fuel Model -  Input'!$B$3:$N$3,0))</f>
        <v>11.32075471698113</v>
      </c>
      <c r="H1332" s="532">
        <f>INDEX('Fuel Model -  Input'!$B$3:$N$373,MATCH($B1332,'Fuel Model -  Input'!$B$3:$B$373,0),MATCH(H$2,'Fuel Model -  Input'!$B$3:$N$3,0))</f>
        <v>11.32075471698113</v>
      </c>
      <c r="I1332" s="532">
        <f>INDEX('Fuel Model -  Input'!$B$3:$N$373,MATCH($B1332,'Fuel Model -  Input'!$B$3:$B$373,0),MATCH(I$2,'Fuel Model -  Input'!$B$3:$N$3,0))</f>
        <v>11.32075471698113</v>
      </c>
      <c r="J1332" s="532">
        <f>INDEX('Fuel Model -  Input'!$B$3:$N$373,MATCH($B1332,'Fuel Model -  Input'!$B$3:$B$373,0),MATCH(J$2,'Fuel Model -  Input'!$B$3:$N$3,0))</f>
        <v>11.32075471698113</v>
      </c>
      <c r="K1332" s="532">
        <f>INDEX('Fuel Model -  Input'!$B$3:$N$373,MATCH($B1332,'Fuel Model -  Input'!$B$3:$B$373,0),MATCH(K$2,'Fuel Model -  Input'!$B$3:$N$3,0))</f>
        <v>11.32075471698113</v>
      </c>
      <c r="L1332" s="532">
        <f>INDEX('Fuel Model -  Input'!$B$3:$N$373,MATCH($B1332,'Fuel Model -  Input'!$B$3:$B$373,0),MATCH(L$2,'Fuel Model -  Input'!$B$3:$N$3,0))</f>
        <v>11.32075471698113</v>
      </c>
      <c r="M1332" s="532">
        <f>INDEX('Fuel Model -  Input'!$B$3:$N$373,MATCH($B1332,'Fuel Model -  Input'!$B$3:$B$373,0),MATCH(M$2,'Fuel Model -  Input'!$B$3:$N$3,0))</f>
        <v>11.32075471698113</v>
      </c>
    </row>
    <row r="1333" spans="2:14" hidden="1" outlineLevel="2" x14ac:dyDescent="0.2">
      <c r="B1333" s="48" t="str">
        <f t="shared" si="739"/>
        <v>GlobalProcess - CapexCH4 LiquifactionUSD/ ton CH4 capacity</v>
      </c>
      <c r="C1333" s="157" t="s">
        <v>109</v>
      </c>
      <c r="D1333" t="s">
        <v>879</v>
      </c>
      <c r="E1333" t="s">
        <v>1097</v>
      </c>
      <c r="F1333" s="450" t="s">
        <v>1100</v>
      </c>
      <c r="G1333" s="543">
        <f>+INDEX('Fuel Model -  Input'!$B$3:$N$373,MATCH($B1333,'Fuel Model -  Input'!$B$3:$B$373,0),MATCH(G$2,'Fuel Model -  Input'!$B$3:$N$3,0))</f>
        <v>2303.6315749641217</v>
      </c>
      <c r="H1333" s="543">
        <f>+INDEX('Fuel Model -  Input'!$B$3:$N$373,MATCH($B1333,'Fuel Model -  Input'!$B$3:$B$373,0),MATCH(H$2,'Fuel Model -  Input'!$B$3:$N$3,0))</f>
        <v>2250</v>
      </c>
      <c r="I1333" s="543">
        <f>+INDEX('Fuel Model -  Input'!$B$3:$N$373,MATCH($B1333,'Fuel Model -  Input'!$B$3:$B$373,0),MATCH(I$2,'Fuel Model -  Input'!$B$3:$N$3,0))</f>
        <v>2197.6170386876411</v>
      </c>
      <c r="J1333" s="543">
        <f>+INDEX('Fuel Model -  Input'!$B$3:$N$373,MATCH($B1333,'Fuel Model -  Input'!$B$3:$B$373,0),MATCH(J$2,'Fuel Model -  Input'!$B$3:$N$3,0))</f>
        <v>2146.4536216578831</v>
      </c>
      <c r="K1333" s="543">
        <f>+INDEX('Fuel Model -  Input'!$B$3:$N$373,MATCH($B1333,'Fuel Model -  Input'!$B$3:$B$373,0),MATCH(K$2,'Fuel Model -  Input'!$B$3:$N$3,0))</f>
        <v>2096.4813563147377</v>
      </c>
      <c r="L1333" s="543">
        <f>+INDEX('Fuel Model -  Input'!$B$3:$N$373,MATCH($B1333,'Fuel Model -  Input'!$B$3:$B$373,0),MATCH(L$2,'Fuel Model -  Input'!$B$3:$N$3,0))</f>
        <v>2047.6725110792192</v>
      </c>
      <c r="M1333" s="543">
        <f>+INDEX('Fuel Model -  Input'!$B$3:$N$373,MATCH($B1333,'Fuel Model -  Input'!$B$3:$B$373,0),MATCH(M$2,'Fuel Model -  Input'!$B$3:$N$3,0))</f>
        <v>2000</v>
      </c>
      <c r="N1333" s="93"/>
    </row>
    <row r="1334" spans="2:14" hidden="1" outlineLevel="2" x14ac:dyDescent="0.2">
      <c r="C1334" s="157"/>
      <c r="E1334" s="48"/>
      <c r="F1334" s="128"/>
      <c r="G1334" s="8"/>
      <c r="H1334" s="8"/>
      <c r="I1334" s="8"/>
      <c r="J1334" s="8"/>
      <c r="K1334" s="8"/>
      <c r="L1334" s="8"/>
      <c r="M1334" s="8"/>
    </row>
    <row r="1335" spans="2:14" hidden="1" outlineLevel="2" x14ac:dyDescent="0.2">
      <c r="B1335" t="str">
        <f>+C1335&amp;D1335&amp;E1335&amp;F1335</f>
        <v>Middle EastResultsCapex per ton e MethaneUSD/ Ton</v>
      </c>
      <c r="C1335" s="157" t="str">
        <f>+$B$1315</f>
        <v>Middle East</v>
      </c>
      <c r="D1335" t="s">
        <v>838</v>
      </c>
      <c r="E1335" s="48" t="s">
        <v>1101</v>
      </c>
      <c r="F1335" s="128" t="s">
        <v>1053</v>
      </c>
      <c r="G1335" s="8">
        <f t="shared" ref="G1335:M1335" si="743">G1337/G1336</f>
        <v>159.00000000000003</v>
      </c>
      <c r="H1335" s="8">
        <f t="shared" si="743"/>
        <v>121.01666666666669</v>
      </c>
      <c r="I1335" s="8">
        <f t="shared" si="743"/>
        <v>97.166666666666686</v>
      </c>
      <c r="J1335" s="8">
        <f t="shared" si="743"/>
        <v>88.333333333333357</v>
      </c>
      <c r="K1335" s="8">
        <f t="shared" si="743"/>
        <v>79.500000000000014</v>
      </c>
      <c r="L1335" s="8">
        <f t="shared" si="743"/>
        <v>64.483333333333348</v>
      </c>
      <c r="M1335" s="8">
        <f t="shared" si="743"/>
        <v>49.466666666666676</v>
      </c>
    </row>
    <row r="1336" spans="2:14" hidden="1" outlineLevel="2" x14ac:dyDescent="0.2">
      <c r="B1336" t="str">
        <f>+C1336&amp;D1336&amp;E1336&amp;F1336</f>
        <v>GlobalPlant capexAnnualisation factor#</v>
      </c>
      <c r="C1336" s="157" t="s">
        <v>109</v>
      </c>
      <c r="D1336" t="s">
        <v>786</v>
      </c>
      <c r="E1336" t="s">
        <v>764</v>
      </c>
      <c r="F1336" s="450" t="s">
        <v>787</v>
      </c>
      <c r="G1336" s="532">
        <f>INDEX('Fuel Model -  Input'!$B$3:$N$373,MATCH($B1336,'Fuel Model -  Input'!$B$3:$B$373,0),MATCH(G$2,'Fuel Model -  Input'!$B$3:$N$3,0))</f>
        <v>11.32075471698113</v>
      </c>
      <c r="H1336" s="532">
        <f>INDEX('Fuel Model -  Input'!$B$3:$N$373,MATCH($B1336,'Fuel Model -  Input'!$B$3:$B$373,0),MATCH(H$2,'Fuel Model -  Input'!$B$3:$N$3,0))</f>
        <v>11.32075471698113</v>
      </c>
      <c r="I1336" s="532">
        <f>INDEX('Fuel Model -  Input'!$B$3:$N$373,MATCH($B1336,'Fuel Model -  Input'!$B$3:$B$373,0),MATCH(I$2,'Fuel Model -  Input'!$B$3:$N$3,0))</f>
        <v>11.32075471698113</v>
      </c>
      <c r="J1336" s="532">
        <f>INDEX('Fuel Model -  Input'!$B$3:$N$373,MATCH($B1336,'Fuel Model -  Input'!$B$3:$B$373,0),MATCH(J$2,'Fuel Model -  Input'!$B$3:$N$3,0))</f>
        <v>11.32075471698113</v>
      </c>
      <c r="K1336" s="532">
        <f>INDEX('Fuel Model -  Input'!$B$3:$N$373,MATCH($B1336,'Fuel Model -  Input'!$B$3:$B$373,0),MATCH(K$2,'Fuel Model -  Input'!$B$3:$N$3,0))</f>
        <v>11.32075471698113</v>
      </c>
      <c r="L1336" s="532">
        <f>INDEX('Fuel Model -  Input'!$B$3:$N$373,MATCH($B1336,'Fuel Model -  Input'!$B$3:$B$373,0),MATCH(L$2,'Fuel Model -  Input'!$B$3:$N$3,0))</f>
        <v>11.32075471698113</v>
      </c>
      <c r="M1336" s="532">
        <f>INDEX('Fuel Model -  Input'!$B$3:$N$373,MATCH($B1336,'Fuel Model -  Input'!$B$3:$B$373,0),MATCH(M$2,'Fuel Model -  Input'!$B$3:$N$3,0))</f>
        <v>11.32075471698113</v>
      </c>
    </row>
    <row r="1337" spans="2:14" hidden="1" outlineLevel="2" x14ac:dyDescent="0.2">
      <c r="B1337" t="str">
        <f>+C1337&amp;D1337&amp;E1337&amp;F1337</f>
        <v>GlobalCapexE Methane plant capex unit costCapex/ ton e methane</v>
      </c>
      <c r="C1337" s="157" t="s">
        <v>109</v>
      </c>
      <c r="D1337" t="s">
        <v>218</v>
      </c>
      <c r="E1337" t="s">
        <v>1102</v>
      </c>
      <c r="F1337" s="128" t="s">
        <v>1103</v>
      </c>
      <c r="G1337" s="532">
        <f>INDEX('Fuel Model -  Input'!$B$3:$N$373,MATCH($B1337,'Fuel Model -  Input'!$B$3:$B$373,0),MATCH(G$2,'Fuel Model -  Input'!$B$3:$N$3,0))</f>
        <v>1800</v>
      </c>
      <c r="H1337" s="532">
        <f>INDEX('Fuel Model -  Input'!$B$3:$N$373,MATCH($B1337,'Fuel Model -  Input'!$B$3:$B$373,0),MATCH(H$2,'Fuel Model -  Input'!$B$3:$N$3,0))</f>
        <v>1370</v>
      </c>
      <c r="I1337" s="532">
        <f>INDEX('Fuel Model -  Input'!$B$3:$N$373,MATCH($B1337,'Fuel Model -  Input'!$B$3:$B$373,0),MATCH(I$2,'Fuel Model -  Input'!$B$3:$N$3,0))</f>
        <v>1100</v>
      </c>
      <c r="J1337" s="532">
        <f>INDEX('Fuel Model -  Input'!$B$3:$N$373,MATCH($B1337,'Fuel Model -  Input'!$B$3:$B$373,0),MATCH(J$2,'Fuel Model -  Input'!$B$3:$N$3,0))</f>
        <v>1000</v>
      </c>
      <c r="K1337" s="532">
        <f>INDEX('Fuel Model -  Input'!$B$3:$N$373,MATCH($B1337,'Fuel Model -  Input'!$B$3:$B$373,0),MATCH(K$2,'Fuel Model -  Input'!$B$3:$N$3,0))</f>
        <v>900</v>
      </c>
      <c r="L1337" s="532">
        <f>INDEX('Fuel Model -  Input'!$B$3:$N$373,MATCH($B1337,'Fuel Model -  Input'!$B$3:$B$373,0),MATCH(L$2,'Fuel Model -  Input'!$B$3:$N$3,0))</f>
        <v>730</v>
      </c>
      <c r="M1337" s="532">
        <f>INDEX('Fuel Model -  Input'!$B$3:$N$373,MATCH($B1337,'Fuel Model -  Input'!$B$3:$B$373,0),MATCH(M$2,'Fuel Model -  Input'!$B$3:$N$3,0))</f>
        <v>560</v>
      </c>
    </row>
    <row r="1338" spans="2:14" hidden="1" outlineLevel="2" x14ac:dyDescent="0.2">
      <c r="C1338" s="157"/>
      <c r="E1338" s="48"/>
      <c r="F1338" s="128"/>
      <c r="G1338" s="8"/>
      <c r="H1338" s="8"/>
      <c r="I1338" s="8"/>
      <c r="J1338" s="8"/>
      <c r="K1338" s="8"/>
      <c r="L1338" s="8"/>
      <c r="M1338" s="8"/>
    </row>
    <row r="1339" spans="2:14" hidden="1" outlineLevel="2" x14ac:dyDescent="0.2">
      <c r="B1339" t="str">
        <f>+C1339&amp;D1339&amp;E1339&amp;F1339</f>
        <v>Middle EastOpexOpex e Methane synthesis plantUSD/ton e Methane</v>
      </c>
      <c r="C1339" s="157" t="str">
        <f>+$B$1315</f>
        <v>Middle East</v>
      </c>
      <c r="D1339" t="s">
        <v>219</v>
      </c>
      <c r="E1339" s="48" t="s">
        <v>1104</v>
      </c>
      <c r="F1339" s="128" t="s">
        <v>1105</v>
      </c>
      <c r="G1339" s="8">
        <f t="shared" ref="G1339:M1339" si="744">G1340*G1337</f>
        <v>144</v>
      </c>
      <c r="H1339" s="8">
        <f t="shared" si="744"/>
        <v>109.60000000000001</v>
      </c>
      <c r="I1339" s="8">
        <f t="shared" si="744"/>
        <v>88</v>
      </c>
      <c r="J1339" s="8">
        <f t="shared" si="744"/>
        <v>80</v>
      </c>
      <c r="K1339" s="8">
        <f t="shared" si="744"/>
        <v>72</v>
      </c>
      <c r="L1339" s="8">
        <f t="shared" si="744"/>
        <v>58.4</v>
      </c>
      <c r="M1339" s="8">
        <f t="shared" si="744"/>
        <v>44.800000000000004</v>
      </c>
    </row>
    <row r="1340" spans="2:14" hidden="1" outlineLevel="2" x14ac:dyDescent="0.2">
      <c r="B1340" s="78" t="str">
        <f>+C1340&amp;D1340&amp;E1340&amp;F1340</f>
        <v>GlobalOpexOther opex e Methane synthesisPercent of capex</v>
      </c>
      <c r="C1340" s="157" t="s">
        <v>109</v>
      </c>
      <c r="D1340" t="s">
        <v>219</v>
      </c>
      <c r="E1340" s="48" t="s">
        <v>1106</v>
      </c>
      <c r="F1340" s="128" t="s">
        <v>1058</v>
      </c>
      <c r="G1340" s="531">
        <f>INDEX('Fuel Model -  Input'!$B$3:$N$373,MATCH($B1340,'Fuel Model -  Input'!$B$3:$B$373,0),MATCH(G$2,'Fuel Model -  Input'!$B$3:$N$3,0))</f>
        <v>0.08</v>
      </c>
      <c r="H1340" s="531">
        <f>INDEX('Fuel Model -  Input'!$B$3:$N$373,MATCH($B1340,'Fuel Model -  Input'!$B$3:$B$373,0),MATCH(H$2,'Fuel Model -  Input'!$B$3:$N$3,0))</f>
        <v>0.08</v>
      </c>
      <c r="I1340" s="531">
        <f>INDEX('Fuel Model -  Input'!$B$3:$N$373,MATCH($B1340,'Fuel Model -  Input'!$B$3:$B$373,0),MATCH(I$2,'Fuel Model -  Input'!$B$3:$N$3,0))</f>
        <v>0.08</v>
      </c>
      <c r="J1340" s="531">
        <f>INDEX('Fuel Model -  Input'!$B$3:$N$373,MATCH($B1340,'Fuel Model -  Input'!$B$3:$B$373,0),MATCH(J$2,'Fuel Model -  Input'!$B$3:$N$3,0))</f>
        <v>0.08</v>
      </c>
      <c r="K1340" s="531">
        <f>INDEX('Fuel Model -  Input'!$B$3:$N$373,MATCH($B1340,'Fuel Model -  Input'!$B$3:$B$373,0),MATCH(K$2,'Fuel Model -  Input'!$B$3:$N$3,0))</f>
        <v>0.08</v>
      </c>
      <c r="L1340" s="531">
        <f>INDEX('Fuel Model -  Input'!$B$3:$N$373,MATCH($B1340,'Fuel Model -  Input'!$B$3:$B$373,0),MATCH(L$2,'Fuel Model -  Input'!$B$3:$N$3,0))</f>
        <v>0.08</v>
      </c>
      <c r="M1340" s="531">
        <f>INDEX('Fuel Model -  Input'!$B$3:$N$373,MATCH($B1340,'Fuel Model -  Input'!$B$3:$B$373,0),MATCH(M$2,'Fuel Model -  Input'!$B$3:$N$3,0))</f>
        <v>0.08</v>
      </c>
    </row>
    <row r="1341" spans="2:14" hidden="1" outlineLevel="2" x14ac:dyDescent="0.2">
      <c r="C1341" s="157"/>
      <c r="E1341" s="48"/>
      <c r="F1341" s="128"/>
      <c r="G1341" s="8"/>
      <c r="H1341" s="8"/>
      <c r="I1341" s="8"/>
      <c r="J1341" s="8"/>
      <c r="K1341" s="8"/>
      <c r="L1341" s="8"/>
      <c r="M1341" s="8"/>
    </row>
    <row r="1342" spans="2:14" hidden="1" outlineLevel="2" x14ac:dyDescent="0.2">
      <c r="B1342" s="78" t="str">
        <f>+C1342&amp;D1342&amp;E1342&amp;F1342</f>
        <v>Middle EastGeneralElectricity costUSD/ton e Methane</v>
      </c>
      <c r="C1342" s="157" t="str">
        <f>+$B$1315</f>
        <v>Middle East</v>
      </c>
      <c r="D1342" t="s">
        <v>173</v>
      </c>
      <c r="E1342" s="48" t="s">
        <v>94</v>
      </c>
      <c r="F1342" s="128" t="s">
        <v>1105</v>
      </c>
      <c r="G1342" s="260">
        <f t="shared" ref="G1342:M1342" si="745">G1343*G1344</f>
        <v>16.768463196541731</v>
      </c>
      <c r="H1342" s="260">
        <f t="shared" si="745"/>
        <v>13.501235651081632</v>
      </c>
      <c r="I1342" s="260">
        <f t="shared" si="745"/>
        <v>11.338031650048853</v>
      </c>
      <c r="J1342" s="260">
        <f t="shared" si="745"/>
        <v>9.8127235505314996</v>
      </c>
      <c r="K1342" s="260">
        <f t="shared" si="745"/>
        <v>9.0479501080864004</v>
      </c>
      <c r="L1342" s="260">
        <f t="shared" si="745"/>
        <v>8.0450292309946416</v>
      </c>
      <c r="M1342" s="260">
        <f t="shared" si="745"/>
        <v>7.5756307986775688</v>
      </c>
    </row>
    <row r="1343" spans="2:14" hidden="1" outlineLevel="2" x14ac:dyDescent="0.2">
      <c r="B1343" s="78" t="str">
        <f>+C1343&amp;D1343&amp;E1343&amp;F1343</f>
        <v>Middle EastFeedstockElectricityUSD/MWh</v>
      </c>
      <c r="C1343" s="157" t="str">
        <f>+$B$1315</f>
        <v>Middle East</v>
      </c>
      <c r="D1343" t="s">
        <v>777</v>
      </c>
      <c r="E1343" s="48" t="s">
        <v>54</v>
      </c>
      <c r="F1343" s="128" t="s">
        <v>196</v>
      </c>
      <c r="G1343" s="532">
        <f>INDEX('Fuel Model -  Input'!$B$3:$N$373,MATCH($B1343,'Fuel Model -  Input'!$B$3:$B$373,0),MATCH(G$2,'Fuel Model -  Input'!$B$3:$N$3,0))</f>
        <v>41.921157991354328</v>
      </c>
      <c r="H1343" s="532">
        <f>INDEX('Fuel Model -  Input'!$B$3:$N$373,MATCH($B1343,'Fuel Model -  Input'!$B$3:$B$373,0),MATCH(H$2,'Fuel Model -  Input'!$B$3:$N$3,0))</f>
        <v>33.753089127704079</v>
      </c>
      <c r="I1343" s="532">
        <f>INDEX('Fuel Model -  Input'!$B$3:$N$373,MATCH($B1343,'Fuel Model -  Input'!$B$3:$B$373,0),MATCH(I$2,'Fuel Model -  Input'!$B$3:$N$3,0))</f>
        <v>28.34507912512213</v>
      </c>
      <c r="J1343" s="532">
        <f>INDEX('Fuel Model -  Input'!$B$3:$N$373,MATCH($B1343,'Fuel Model -  Input'!$B$3:$B$373,0),MATCH(J$2,'Fuel Model -  Input'!$B$3:$N$3,0))</f>
        <v>24.531808876328746</v>
      </c>
      <c r="K1343" s="532">
        <f>INDEX('Fuel Model -  Input'!$B$3:$N$373,MATCH($B1343,'Fuel Model -  Input'!$B$3:$B$373,0),MATCH(K$2,'Fuel Model -  Input'!$B$3:$N$3,0))</f>
        <v>22.619875270215999</v>
      </c>
      <c r="L1343" s="532">
        <f>INDEX('Fuel Model -  Input'!$B$3:$N$373,MATCH($B1343,'Fuel Model -  Input'!$B$3:$B$373,0),MATCH(L$2,'Fuel Model -  Input'!$B$3:$N$3,0))</f>
        <v>20.112573077486601</v>
      </c>
      <c r="M1343" s="532">
        <f>INDEX('Fuel Model -  Input'!$B$3:$N$373,MATCH($B1343,'Fuel Model -  Input'!$B$3:$B$373,0),MATCH(M$2,'Fuel Model -  Input'!$B$3:$N$3,0))</f>
        <v>18.93907699669392</v>
      </c>
    </row>
    <row r="1344" spans="2:14" hidden="1" outlineLevel="2" x14ac:dyDescent="0.2">
      <c r="B1344" s="78" t="str">
        <f>+C1344&amp;D1344&amp;E1344&amp;F1344</f>
        <v>GlobalGeneralElectricity demandmWh/ton e Methane</v>
      </c>
      <c r="C1344" s="157" t="s">
        <v>109</v>
      </c>
      <c r="D1344" t="s">
        <v>173</v>
      </c>
      <c r="E1344" s="48" t="s">
        <v>963</v>
      </c>
      <c r="F1344" s="128" t="s">
        <v>1107</v>
      </c>
      <c r="G1344" s="521">
        <f>INDEX('Fuel Model -  Input'!$B$3:$N$373,MATCH($B1344,'Fuel Model -  Input'!$B$3:$B$373,0),MATCH(G$2,'Fuel Model -  Input'!$B$3:$N$3,0))</f>
        <v>0.4</v>
      </c>
      <c r="H1344" s="521">
        <f>INDEX('Fuel Model -  Input'!$B$3:$N$373,MATCH($B1344,'Fuel Model -  Input'!$B$3:$B$373,0),MATCH(H$2,'Fuel Model -  Input'!$B$3:$N$3,0))</f>
        <v>0.4</v>
      </c>
      <c r="I1344" s="521">
        <f>INDEX('Fuel Model -  Input'!$B$3:$N$373,MATCH($B1344,'Fuel Model -  Input'!$B$3:$B$373,0),MATCH(I$2,'Fuel Model -  Input'!$B$3:$N$3,0))</f>
        <v>0.4</v>
      </c>
      <c r="J1344" s="521">
        <f>INDEX('Fuel Model -  Input'!$B$3:$N$373,MATCH($B1344,'Fuel Model -  Input'!$B$3:$B$373,0),MATCH(J$2,'Fuel Model -  Input'!$B$3:$N$3,0))</f>
        <v>0.4</v>
      </c>
      <c r="K1344" s="521">
        <f>INDEX('Fuel Model -  Input'!$B$3:$N$373,MATCH($B1344,'Fuel Model -  Input'!$B$3:$B$373,0),MATCH(K$2,'Fuel Model -  Input'!$B$3:$N$3,0))</f>
        <v>0.4</v>
      </c>
      <c r="L1344" s="521">
        <f>INDEX('Fuel Model -  Input'!$B$3:$N$373,MATCH($B1344,'Fuel Model -  Input'!$B$3:$B$373,0),MATCH(L$2,'Fuel Model -  Input'!$B$3:$N$3,0))</f>
        <v>0.4</v>
      </c>
      <c r="M1344" s="521">
        <f>INDEX('Fuel Model -  Input'!$B$3:$N$373,MATCH($B1344,'Fuel Model -  Input'!$B$3:$B$373,0),MATCH(M$2,'Fuel Model -  Input'!$B$3:$N$3,0))</f>
        <v>0.4</v>
      </c>
    </row>
    <row r="1345" spans="2:13" hidden="1" outlineLevel="2" x14ac:dyDescent="0.2">
      <c r="C1345" s="157"/>
      <c r="E1345" s="48"/>
      <c r="F1345" s="128"/>
      <c r="G1345" s="524"/>
      <c r="H1345" s="524"/>
      <c r="I1345" s="524"/>
      <c r="J1345" s="524"/>
      <c r="K1345" s="524"/>
      <c r="L1345" s="524"/>
      <c r="M1345" s="524"/>
    </row>
    <row r="1346" spans="2:13" hidden="1" outlineLevel="2" x14ac:dyDescent="0.2">
      <c r="B1346" s="78" t="str">
        <f>+C1346&amp;D1346&amp;E1346&amp;F1346</f>
        <v>Middle EastFeedstockFeedstock CO2USD/ton e Methane</v>
      </c>
      <c r="C1346" s="157" t="str">
        <f>+$B$1315</f>
        <v>Middle East</v>
      </c>
      <c r="D1346" t="s">
        <v>777</v>
      </c>
      <c r="E1346" s="48" t="s">
        <v>1007</v>
      </c>
      <c r="F1346" s="128" t="s">
        <v>1105</v>
      </c>
      <c r="G1346" s="8">
        <f t="shared" ref="G1346:M1346" si="746">G1347*G1348</f>
        <v>738.69889556343571</v>
      </c>
      <c r="H1346" s="8">
        <f t="shared" si="746"/>
        <v>585.17275602740324</v>
      </c>
      <c r="I1346" s="8">
        <f t="shared" si="746"/>
        <v>473.59851975442888</v>
      </c>
      <c r="J1346" s="8">
        <f t="shared" si="746"/>
        <v>388.98369648131279</v>
      </c>
      <c r="K1346" s="8">
        <f t="shared" si="746"/>
        <v>328.67495250334798</v>
      </c>
      <c r="L1346" s="8">
        <f t="shared" si="746"/>
        <v>273.76850940550429</v>
      </c>
      <c r="M1346" s="8">
        <f t="shared" si="746"/>
        <v>233.771197933487</v>
      </c>
    </row>
    <row r="1347" spans="2:13" hidden="1" outlineLevel="2" x14ac:dyDescent="0.2">
      <c r="B1347" s="78" t="str">
        <f>+C1347&amp;D1347&amp;E1347&amp;F1347</f>
        <v>GlobalFeedstockConversion CO2 : e Methane (actual)kg CO2/kg e Methane</v>
      </c>
      <c r="C1347" s="157" t="s">
        <v>109</v>
      </c>
      <c r="D1347" t="s">
        <v>777</v>
      </c>
      <c r="E1347" t="s">
        <v>1108</v>
      </c>
      <c r="F1347" s="128" t="s">
        <v>1109</v>
      </c>
      <c r="G1347" s="521">
        <f>INDEX('Fuel Model -  Input'!$B$3:$N$373,MATCH($B1347,'Fuel Model -  Input'!$B$3:$B$373,0),MATCH(G$2,'Fuel Model -  Input'!$B$3:$N$3,0))</f>
        <v>2.7434235132776457</v>
      </c>
      <c r="H1347" s="521">
        <f>INDEX('Fuel Model -  Input'!$B$3:$N$373,MATCH($B1347,'Fuel Model -  Input'!$B$3:$B$373,0),MATCH(H$2,'Fuel Model -  Input'!$B$3:$N$3,0))</f>
        <v>2.7434235132776457</v>
      </c>
      <c r="I1347" s="521">
        <f>INDEX('Fuel Model -  Input'!$B$3:$N$373,MATCH($B1347,'Fuel Model -  Input'!$B$3:$B$373,0),MATCH(I$2,'Fuel Model -  Input'!$B$3:$N$3,0))</f>
        <v>2.7434235132776457</v>
      </c>
      <c r="J1347" s="521">
        <f>INDEX('Fuel Model -  Input'!$B$3:$N$373,MATCH($B1347,'Fuel Model -  Input'!$B$3:$B$373,0),MATCH(J$2,'Fuel Model -  Input'!$B$3:$N$3,0))</f>
        <v>2.7434235132776457</v>
      </c>
      <c r="K1347" s="521">
        <f>INDEX('Fuel Model -  Input'!$B$3:$N$373,MATCH($B1347,'Fuel Model -  Input'!$B$3:$B$373,0),MATCH(K$2,'Fuel Model -  Input'!$B$3:$N$3,0))</f>
        <v>2.7434235132776457</v>
      </c>
      <c r="L1347" s="521">
        <f>INDEX('Fuel Model -  Input'!$B$3:$N$373,MATCH($B1347,'Fuel Model -  Input'!$B$3:$B$373,0),MATCH(L$2,'Fuel Model -  Input'!$B$3:$N$3,0))</f>
        <v>2.7434235132776457</v>
      </c>
      <c r="M1347" s="521">
        <f>INDEX('Fuel Model -  Input'!$B$3:$N$373,MATCH($B1347,'Fuel Model -  Input'!$B$3:$B$373,0),MATCH(M$2,'Fuel Model -  Input'!$B$3:$N$3,0))</f>
        <v>2.7434235132776457</v>
      </c>
    </row>
    <row r="1348" spans="2:13" hidden="1" outlineLevel="2" x14ac:dyDescent="0.2">
      <c r="B1348" s="78" t="str">
        <f>+C1348&amp;D1348&amp;E1348&amp;F1348</f>
        <v>Middle EastFeedstockCost of CO2 DACUSD/ton</v>
      </c>
      <c r="C1348" s="157" t="str">
        <f>+$B$1315</f>
        <v>Middle East</v>
      </c>
      <c r="D1348" t="s">
        <v>777</v>
      </c>
      <c r="E1348" t="s">
        <v>1010</v>
      </c>
      <c r="F1348" s="128" t="s">
        <v>205</v>
      </c>
      <c r="G1348" s="532">
        <f t="shared" ref="G1348:M1348" si="747">INDEX(G$1564:G$1568,MATCH($C1348,$C$1564:$C$1568,0))</f>
        <v>269.26170603564276</v>
      </c>
      <c r="H1348" s="532">
        <f t="shared" si="747"/>
        <v>213.30018977940477</v>
      </c>
      <c r="I1348" s="532">
        <f t="shared" si="747"/>
        <v>172.63048066122585</v>
      </c>
      <c r="J1348" s="532">
        <f t="shared" si="747"/>
        <v>141.78769504551741</v>
      </c>
      <c r="K1348" s="532">
        <f t="shared" si="747"/>
        <v>119.80467139419926</v>
      </c>
      <c r="L1348" s="532">
        <f t="shared" si="747"/>
        <v>99.790829990527158</v>
      </c>
      <c r="M1348" s="532">
        <f t="shared" si="747"/>
        <v>85.211487326721183</v>
      </c>
    </row>
    <row r="1349" spans="2:13" hidden="1" outlineLevel="2" x14ac:dyDescent="0.2">
      <c r="C1349" s="157"/>
      <c r="E1349" s="48"/>
      <c r="F1349" s="128"/>
      <c r="G1349" s="524"/>
      <c r="H1349" s="524"/>
      <c r="I1349" s="524"/>
      <c r="J1349" s="524"/>
      <c r="K1349" s="524"/>
      <c r="L1349" s="524"/>
      <c r="M1349" s="524"/>
    </row>
    <row r="1350" spans="2:13" hidden="1" outlineLevel="2" x14ac:dyDescent="0.2">
      <c r="B1350" s="78" t="str">
        <f>+C1350&amp;D1350&amp;E1350&amp;F1350</f>
        <v>Middle EastFeedstockFeedstock CO2USD/ton e Methane</v>
      </c>
      <c r="C1350" s="157" t="str">
        <f>+$B$1315</f>
        <v>Middle East</v>
      </c>
      <c r="D1350" t="s">
        <v>777</v>
      </c>
      <c r="E1350" s="48" t="s">
        <v>1007</v>
      </c>
      <c r="F1350" s="128" t="s">
        <v>1105</v>
      </c>
      <c r="G1350" s="8">
        <f t="shared" ref="G1350:M1350" si="748">G1351*G1352</f>
        <v>488.1863279790411</v>
      </c>
      <c r="H1350" s="8">
        <f t="shared" si="748"/>
        <v>402.20113163131879</v>
      </c>
      <c r="I1350" s="8">
        <f t="shared" si="748"/>
        <v>319.62333995346467</v>
      </c>
      <c r="J1350" s="8">
        <f t="shared" si="748"/>
        <v>285.50391683650747</v>
      </c>
      <c r="K1350" s="8">
        <f t="shared" si="748"/>
        <v>253.73177096303405</v>
      </c>
      <c r="L1350" s="8">
        <f t="shared" si="748"/>
        <v>221.22461840874473</v>
      </c>
      <c r="M1350" s="8">
        <f t="shared" si="748"/>
        <v>190.36410362679371</v>
      </c>
    </row>
    <row r="1351" spans="2:13" hidden="1" outlineLevel="2" x14ac:dyDescent="0.2">
      <c r="B1351" s="78" t="str">
        <f>+C1351&amp;D1351&amp;E1351&amp;F1351</f>
        <v>GlobalFeedstockConversion CO2 : e Methane (actual)kg CO2/kg e Methane</v>
      </c>
      <c r="C1351" s="157" t="s">
        <v>109</v>
      </c>
      <c r="D1351" t="s">
        <v>777</v>
      </c>
      <c r="E1351" t="s">
        <v>1108</v>
      </c>
      <c r="F1351" s="128" t="s">
        <v>1109</v>
      </c>
      <c r="G1351" s="521">
        <f>INDEX('Fuel Model -  Input'!$B$3:$N$373,MATCH($B1351,'Fuel Model -  Input'!$B$3:$B$373,0),MATCH(G$2,'Fuel Model -  Input'!$B$3:$N$3,0))</f>
        <v>2.7434235132776457</v>
      </c>
      <c r="H1351" s="521">
        <f>INDEX('Fuel Model -  Input'!$B$3:$N$373,MATCH($B1351,'Fuel Model -  Input'!$B$3:$B$373,0),MATCH(H$2,'Fuel Model -  Input'!$B$3:$N$3,0))</f>
        <v>2.7434235132776457</v>
      </c>
      <c r="I1351" s="521">
        <f>INDEX('Fuel Model -  Input'!$B$3:$N$373,MATCH($B1351,'Fuel Model -  Input'!$B$3:$B$373,0),MATCH(I$2,'Fuel Model -  Input'!$B$3:$N$3,0))</f>
        <v>2.7434235132776457</v>
      </c>
      <c r="J1351" s="521">
        <f>INDEX('Fuel Model -  Input'!$B$3:$N$373,MATCH($B1351,'Fuel Model -  Input'!$B$3:$B$373,0),MATCH(J$2,'Fuel Model -  Input'!$B$3:$N$3,0))</f>
        <v>2.7434235132776457</v>
      </c>
      <c r="K1351" s="521">
        <f>INDEX('Fuel Model -  Input'!$B$3:$N$373,MATCH($B1351,'Fuel Model -  Input'!$B$3:$B$373,0),MATCH(K$2,'Fuel Model -  Input'!$B$3:$N$3,0))</f>
        <v>2.7434235132776457</v>
      </c>
      <c r="L1351" s="521">
        <f>INDEX('Fuel Model -  Input'!$B$3:$N$373,MATCH($B1351,'Fuel Model -  Input'!$B$3:$B$373,0),MATCH(L$2,'Fuel Model -  Input'!$B$3:$N$3,0))</f>
        <v>2.7434235132776457</v>
      </c>
      <c r="M1351" s="521">
        <f>INDEX('Fuel Model -  Input'!$B$3:$N$373,MATCH($B1351,'Fuel Model -  Input'!$B$3:$B$373,0),MATCH(M$2,'Fuel Model -  Input'!$B$3:$N$3,0))</f>
        <v>2.7434235132776457</v>
      </c>
    </row>
    <row r="1352" spans="2:13" hidden="1" outlineLevel="2" x14ac:dyDescent="0.2">
      <c r="B1352" s="78" t="str">
        <f>+C1352&amp;D1352&amp;E1352&amp;F1352</f>
        <v>Middle EastFeedstockCost of CO2 PSUSD/ton</v>
      </c>
      <c r="C1352" s="157" t="str">
        <f>+$B$1315</f>
        <v>Middle East</v>
      </c>
      <c r="D1352" t="s">
        <v>777</v>
      </c>
      <c r="E1352" t="s">
        <v>1011</v>
      </c>
      <c r="F1352" s="128" t="s">
        <v>205</v>
      </c>
      <c r="G1352" s="532">
        <f t="shared" ref="G1352:M1352" si="749">INDEX(G$1538:G$1542,MATCH($B1352,$B$1538:$B$1542,0))</f>
        <v>177.94785442944283</v>
      </c>
      <c r="H1352" s="532">
        <f t="shared" si="749"/>
        <v>146.60555677413353</v>
      </c>
      <c r="I1352" s="532">
        <f t="shared" si="749"/>
        <v>116.50528560630497</v>
      </c>
      <c r="J1352" s="532">
        <f t="shared" si="749"/>
        <v>104.06848066101462</v>
      </c>
      <c r="K1352" s="532">
        <f t="shared" si="749"/>
        <v>92.487277204930535</v>
      </c>
      <c r="L1352" s="532">
        <f t="shared" si="749"/>
        <v>80.638157884868974</v>
      </c>
      <c r="M1352" s="532">
        <f t="shared" si="749"/>
        <v>69.389251315178939</v>
      </c>
    </row>
    <row r="1353" spans="2:13" hidden="1" outlineLevel="2" x14ac:dyDescent="0.2">
      <c r="C1353" s="157"/>
      <c r="F1353" s="128"/>
      <c r="G1353" s="520"/>
      <c r="H1353" s="520"/>
      <c r="I1353" s="520"/>
      <c r="J1353" s="520"/>
      <c r="K1353" s="520"/>
      <c r="L1353" s="520"/>
      <c r="M1353" s="520"/>
    </row>
    <row r="1354" spans="2:13" hidden="1" outlineLevel="2" x14ac:dyDescent="0.2">
      <c r="B1354" s="78" t="str">
        <f>+C1354&amp;D1354&amp;E1354&amp;F1354</f>
        <v>Middle EastFeedstockFeedstock H2USD/ton e Methane</v>
      </c>
      <c r="C1354" s="157" t="str">
        <f>+$B$1315</f>
        <v>Middle East</v>
      </c>
      <c r="D1354" t="s">
        <v>777</v>
      </c>
      <c r="E1354" s="48" t="s">
        <v>970</v>
      </c>
      <c r="F1354" s="128" t="s">
        <v>1105</v>
      </c>
      <c r="G1354" s="8">
        <f t="shared" ref="G1354:M1354" si="750">G1357*G1358</f>
        <v>2038.9307737736283</v>
      </c>
      <c r="H1354" s="8">
        <f t="shared" si="750"/>
        <v>1663.6889577755935</v>
      </c>
      <c r="I1354" s="8">
        <f t="shared" si="750"/>
        <v>1389.9642907588916</v>
      </c>
      <c r="J1354" s="8">
        <f t="shared" si="750"/>
        <v>1252.118918008927</v>
      </c>
      <c r="K1354" s="8">
        <f t="shared" si="750"/>
        <v>1084.4793824861538</v>
      </c>
      <c r="L1354" s="8">
        <f t="shared" si="750"/>
        <v>856.90860146684849</v>
      </c>
      <c r="M1354" s="8">
        <f t="shared" si="750"/>
        <v>658.98635832786601</v>
      </c>
    </row>
    <row r="1355" spans="2:13" hidden="1" outlineLevel="2" x14ac:dyDescent="0.2">
      <c r="B1355" t="str">
        <f>+C1355&amp;D1355&amp;E1355&amp;F1355</f>
        <v>Middle EastResultsShare of RNE e-Hydrogen (compressed)%</v>
      </c>
      <c r="C1355" s="157" t="str">
        <f>+$B$1315</f>
        <v>Middle East</v>
      </c>
      <c r="D1355" t="s">
        <v>838</v>
      </c>
      <c r="E1355" s="48" t="s">
        <v>848</v>
      </c>
      <c r="F1355" s="128" t="s">
        <v>178</v>
      </c>
      <c r="G1355" s="537">
        <f t="shared" ref="G1355:M1355" si="751">+INDEX($A:$M,MATCH($B1355,$B:$B,0),MATCH(G$2,$2:$2,0))</f>
        <v>0.55775258276340556</v>
      </c>
      <c r="H1355" s="537">
        <f t="shared" si="751"/>
        <v>0.54777871920631882</v>
      </c>
      <c r="I1355" s="537">
        <f t="shared" si="751"/>
        <v>0.54329231511034226</v>
      </c>
      <c r="J1355" s="537">
        <f t="shared" si="751"/>
        <v>0.50331479346130503</v>
      </c>
      <c r="K1355" s="537">
        <f t="shared" si="751"/>
        <v>0.51197983528995661</v>
      </c>
      <c r="L1355" s="537">
        <f t="shared" si="751"/>
        <v>0.54039947808574196</v>
      </c>
      <c r="M1355" s="537">
        <f t="shared" si="751"/>
        <v>0.62724417619460449</v>
      </c>
    </row>
    <row r="1356" spans="2:13" hidden="1" outlineLevel="2" x14ac:dyDescent="0.2">
      <c r="B1356" t="str">
        <f>+C1356&amp;D1356&amp;E1356&amp;F1356</f>
        <v>Middle EastResultsShare of Capex e-Hydrogen (compressed)%</v>
      </c>
      <c r="C1356" s="157" t="str">
        <f>+$B$1315</f>
        <v>Middle East</v>
      </c>
      <c r="D1356" t="s">
        <v>838</v>
      </c>
      <c r="E1356" s="48" t="s">
        <v>850</v>
      </c>
      <c r="F1356" s="128" t="s">
        <v>178</v>
      </c>
      <c r="G1356" s="537">
        <f t="shared" ref="G1356:M1356" si="752">+INDEX(G$4:G$581,MATCH($B1356,$B$4:$B$581,0))</f>
        <v>0.20465721439936888</v>
      </c>
      <c r="H1356" s="537">
        <f t="shared" si="752"/>
        <v>0.21020082917293301</v>
      </c>
      <c r="I1356" s="537">
        <f t="shared" si="752"/>
        <v>0.22017611375581289</v>
      </c>
      <c r="J1356" s="537">
        <f t="shared" si="752"/>
        <v>0.25740749275929958</v>
      </c>
      <c r="K1356" s="537">
        <f t="shared" si="752"/>
        <v>0.27346911892746345</v>
      </c>
      <c r="L1356" s="537">
        <f t="shared" si="752"/>
        <v>0.27643119109331959</v>
      </c>
      <c r="M1356" s="537">
        <f t="shared" si="752"/>
        <v>0.23547854986199462</v>
      </c>
    </row>
    <row r="1357" spans="2:13" hidden="1" outlineLevel="2" x14ac:dyDescent="0.2">
      <c r="B1357" s="78" t="str">
        <f>+C1357&amp;D1357&amp;E1357&amp;F1357</f>
        <v>GlobalFeedstockConversion H2 : e  Methane (actual)tons H2/ton e Methane</v>
      </c>
      <c r="C1357" s="157" t="s">
        <v>109</v>
      </c>
      <c r="D1357" t="s">
        <v>777</v>
      </c>
      <c r="E1357" t="s">
        <v>1110</v>
      </c>
      <c r="F1357" s="128" t="s">
        <v>1111</v>
      </c>
      <c r="G1357" s="521">
        <f>+INDEX('Fuel Model -  Input'!$B$3:$N$373,MATCH($B1357,'Fuel Model -  Input'!$B$3:$B$373,0),MATCH(G$2,'Fuel Model -  Input'!$B$3:$N$3,0))</f>
        <v>0.5</v>
      </c>
      <c r="H1357" s="521">
        <f>+INDEX('Fuel Model -  Input'!$B$3:$N$373,MATCH($B1357,'Fuel Model -  Input'!$B$3:$B$373,0),MATCH(H$2,'Fuel Model -  Input'!$B$3:$N$3,0))</f>
        <v>0.5</v>
      </c>
      <c r="I1357" s="521">
        <f>+INDEX('Fuel Model -  Input'!$B$3:$N$373,MATCH($B1357,'Fuel Model -  Input'!$B$3:$B$373,0),MATCH(I$2,'Fuel Model -  Input'!$B$3:$N$3,0))</f>
        <v>0.5</v>
      </c>
      <c r="J1357" s="521">
        <f>+INDEX('Fuel Model -  Input'!$B$3:$N$373,MATCH($B1357,'Fuel Model -  Input'!$B$3:$B$373,0),MATCH(J$2,'Fuel Model -  Input'!$B$3:$N$3,0))</f>
        <v>0.5</v>
      </c>
      <c r="K1357" s="521">
        <f>+INDEX('Fuel Model -  Input'!$B$3:$N$373,MATCH($B1357,'Fuel Model -  Input'!$B$3:$B$373,0),MATCH(K$2,'Fuel Model -  Input'!$B$3:$N$3,0))</f>
        <v>0.5</v>
      </c>
      <c r="L1357" s="521">
        <f>+INDEX('Fuel Model -  Input'!$B$3:$N$373,MATCH($B1357,'Fuel Model -  Input'!$B$3:$B$373,0),MATCH(L$2,'Fuel Model -  Input'!$B$3:$N$3,0))</f>
        <v>0.5</v>
      </c>
      <c r="M1357" s="521">
        <f>+INDEX('Fuel Model -  Input'!$B$3:$N$373,MATCH($B1357,'Fuel Model -  Input'!$B$3:$B$373,0),MATCH(M$2,'Fuel Model -  Input'!$B$3:$N$3,0))</f>
        <v>0.5</v>
      </c>
    </row>
    <row r="1358" spans="2:13" hidden="1" outlineLevel="2" x14ac:dyDescent="0.2">
      <c r="B1358" s="78" t="str">
        <f>+C1358&amp;D1358&amp;E1358&amp;F1358</f>
        <v>Middle EastResultsCost of e-Hydrogen (compressed)USD/ton</v>
      </c>
      <c r="C1358" s="157" t="str">
        <f>+$B$1315</f>
        <v>Middle East</v>
      </c>
      <c r="D1358" t="s">
        <v>838</v>
      </c>
      <c r="E1358" t="s">
        <v>846</v>
      </c>
      <c r="F1358" s="128" t="s">
        <v>205</v>
      </c>
      <c r="G1358" s="532">
        <f>INDEX(G$4:G1357,MATCH($B1358,$B$4:$B1357,0))</f>
        <v>4077.8615475472566</v>
      </c>
      <c r="H1358" s="532">
        <f>INDEX(H$4:H1357,MATCH($B1358,$B$4:$B1357,0))</f>
        <v>3327.377915551187</v>
      </c>
      <c r="I1358" s="532">
        <f>INDEX(I$4:I1357,MATCH($B1358,$B$4:$B1357,0))</f>
        <v>2779.9285815177832</v>
      </c>
      <c r="J1358" s="532">
        <f>INDEX(J$4:J1357,MATCH($B1358,$B$4:$B1357,0))</f>
        <v>2504.2378360178541</v>
      </c>
      <c r="K1358" s="532">
        <f>INDEX(K$4:K1357,MATCH($B1358,$B$4:$B1357,0))</f>
        <v>2168.9587649723076</v>
      </c>
      <c r="L1358" s="532">
        <f>INDEX(L$4:L1357,MATCH($B1358,$B$4:$B1357,0))</f>
        <v>1713.817202933697</v>
      </c>
      <c r="M1358" s="532">
        <f>INDEX(M$4:M1357,MATCH($B1358,$B$4:$B1357,0))</f>
        <v>1317.972716655732</v>
      </c>
    </row>
    <row r="1359" spans="2:13" hidden="1" outlineLevel="1" x14ac:dyDescent="0.2">
      <c r="C1359" s="157"/>
      <c r="F1359"/>
    </row>
    <row r="1360" spans="2:13" s="30" customFormat="1" ht="15" hidden="1" outlineLevel="1" collapsed="1" x14ac:dyDescent="0.25">
      <c r="B1360" s="30" t="s">
        <v>198</v>
      </c>
      <c r="C1360" s="515" t="str">
        <f>+B1360</f>
        <v>Asia</v>
      </c>
    </row>
    <row r="1361" spans="2:15" ht="15" hidden="1" outlineLevel="2" x14ac:dyDescent="0.25">
      <c r="B1361" s="157" t="str">
        <f t="shared" ref="B1361:B1366" si="753">+C1361&amp;D1361&amp;E1361&amp;F1361</f>
        <v>AsiaResultsTotal cost of e-Methane (DAC)USD/ton</v>
      </c>
      <c r="C1361" s="157" t="str">
        <f t="shared" ref="C1361:C1370" si="754">+$B$1360</f>
        <v>Asia</v>
      </c>
      <c r="D1361" s="515" t="s">
        <v>838</v>
      </c>
      <c r="E1361" s="535" t="s">
        <v>1084</v>
      </c>
      <c r="F1361" s="489" t="s">
        <v>205</v>
      </c>
      <c r="G1361" s="492">
        <f>+G1363+G1365+G1367+G1369</f>
        <v>4784.900344855635</v>
      </c>
      <c r="H1361" s="492">
        <f t="shared" ref="H1361:M1361" si="755">+H1363+H1365+H1367+H1369</f>
        <v>3417.5892631844163</v>
      </c>
      <c r="I1361" s="492">
        <f t="shared" si="755"/>
        <v>2791.7493205919791</v>
      </c>
      <c r="J1361" s="492">
        <f t="shared" si="755"/>
        <v>2417.9114397377293</v>
      </c>
      <c r="K1361" s="492">
        <f t="shared" si="755"/>
        <v>2096.4385215704742</v>
      </c>
      <c r="L1361" s="492">
        <f t="shared" si="755"/>
        <v>1723.1556108126597</v>
      </c>
      <c r="M1361" s="492">
        <f t="shared" si="755"/>
        <v>1422.1866949143189</v>
      </c>
    </row>
    <row r="1362" spans="2:15" ht="15" hidden="1" outlineLevel="2" x14ac:dyDescent="0.25">
      <c r="B1362" s="157" t="str">
        <f t="shared" si="753"/>
        <v>AsiaResultsTotal cost of e-Methane (PS)USD/ton</v>
      </c>
      <c r="C1362" s="157" t="str">
        <f t="shared" si="754"/>
        <v>Asia</v>
      </c>
      <c r="D1362" s="515" t="s">
        <v>838</v>
      </c>
      <c r="E1362" s="535" t="s">
        <v>1085</v>
      </c>
      <c r="F1362" s="489" t="s">
        <v>205</v>
      </c>
      <c r="G1362" s="492">
        <f t="shared" ref="G1362:M1362" si="756">+G1364+G1366+G1368+G1370</f>
        <v>4254.1361096352093</v>
      </c>
      <c r="H1362" s="492">
        <f t="shared" si="756"/>
        <v>3107.1265177618361</v>
      </c>
      <c r="I1362" s="492">
        <f t="shared" si="756"/>
        <v>2548.8740257545287</v>
      </c>
      <c r="J1362" s="492">
        <f t="shared" si="756"/>
        <v>2249.7418873135407</v>
      </c>
      <c r="K1362" s="492">
        <f t="shared" si="756"/>
        <v>1970.1579889267539</v>
      </c>
      <c r="L1362" s="492">
        <f t="shared" si="756"/>
        <v>1628.9702630521565</v>
      </c>
      <c r="M1362" s="492">
        <f t="shared" si="756"/>
        <v>1342.7993051866204</v>
      </c>
    </row>
    <row r="1363" spans="2:15" ht="15" hidden="1" outlineLevel="2" x14ac:dyDescent="0.25">
      <c r="B1363" s="157" t="str">
        <f t="shared" si="753"/>
        <v>AsiaResultsTotal Capex e-Methane (DAC)USD/ton</v>
      </c>
      <c r="C1363" s="157" t="str">
        <f t="shared" si="754"/>
        <v>Asia</v>
      </c>
      <c r="D1363" s="515" t="s">
        <v>838</v>
      </c>
      <c r="E1363" s="536" t="s">
        <v>1086</v>
      </c>
      <c r="F1363" s="489" t="s">
        <v>205</v>
      </c>
      <c r="G1363" s="490">
        <f>G1376+G1380+G1399*G1401</f>
        <v>779.76934830215805</v>
      </c>
      <c r="H1363" s="490">
        <f t="shared" ref="H1363:M1363" si="757">H1376+H1380+H1399*H1401</f>
        <v>669.47546507694926</v>
      </c>
      <c r="I1363" s="490">
        <f t="shared" si="757"/>
        <v>597.32644088272252</v>
      </c>
      <c r="J1363" s="490">
        <f t="shared" si="757"/>
        <v>600.24152790094467</v>
      </c>
      <c r="K1363" s="490">
        <f t="shared" si="757"/>
        <v>561.26080769795669</v>
      </c>
      <c r="L1363" s="490">
        <f t="shared" si="757"/>
        <v>482.23733717358937</v>
      </c>
      <c r="M1363" s="490">
        <f t="shared" si="757"/>
        <v>381.31048537121603</v>
      </c>
    </row>
    <row r="1364" spans="2:15" ht="15" hidden="1" outlineLevel="2" x14ac:dyDescent="0.25">
      <c r="B1364" s="157" t="str">
        <f t="shared" si="753"/>
        <v>AsiaResultsTotal Capex e-Methane (PS)USD/ton</v>
      </c>
      <c r="C1364" s="157" t="str">
        <f t="shared" si="754"/>
        <v>Asia</v>
      </c>
      <c r="D1364" s="515" t="s">
        <v>838</v>
      </c>
      <c r="E1364" s="536" t="s">
        <v>1087</v>
      </c>
      <c r="F1364" s="489" t="s">
        <v>205</v>
      </c>
      <c r="G1364" s="490">
        <f t="shared" ref="G1364:M1364" si="758">+G1363</f>
        <v>779.76934830215805</v>
      </c>
      <c r="H1364" s="490">
        <f t="shared" si="758"/>
        <v>669.47546507694926</v>
      </c>
      <c r="I1364" s="490">
        <f t="shared" si="758"/>
        <v>597.32644088272252</v>
      </c>
      <c r="J1364" s="490">
        <f t="shared" si="758"/>
        <v>600.24152790094467</v>
      </c>
      <c r="K1364" s="490">
        <f t="shared" si="758"/>
        <v>561.26080769795669</v>
      </c>
      <c r="L1364" s="490">
        <f t="shared" si="758"/>
        <v>482.23733717358937</v>
      </c>
      <c r="M1364" s="490">
        <f t="shared" si="758"/>
        <v>381.31048537121603</v>
      </c>
    </row>
    <row r="1365" spans="2:15" ht="15" hidden="1" outlineLevel="2" x14ac:dyDescent="0.25">
      <c r="B1365" s="157" t="str">
        <f t="shared" si="753"/>
        <v>AsiaResultsTotal Opex e-Methane (DAC)USD/ton</v>
      </c>
      <c r="C1365" s="157" t="str">
        <f t="shared" si="754"/>
        <v>Asia</v>
      </c>
      <c r="D1365" s="515" t="s">
        <v>838</v>
      </c>
      <c r="E1365" s="536" t="s">
        <v>1088</v>
      </c>
      <c r="F1365" s="489" t="s">
        <v>205</v>
      </c>
      <c r="G1365" s="490">
        <f>SUM(G1373,G1384)+G1399*(1-SUM(G1400:G1401))</f>
        <v>677.66698780117315</v>
      </c>
      <c r="H1365" s="490">
        <f t="shared" ref="H1365:M1365" si="759">SUM(H1373,H1384)+H1399*(1-SUM(H1400:H1401))</f>
        <v>544.36368094761974</v>
      </c>
      <c r="I1365" s="490">
        <f t="shared" si="759"/>
        <v>442.74653369453517</v>
      </c>
      <c r="J1365" s="490">
        <f t="shared" si="759"/>
        <v>401.40639155446451</v>
      </c>
      <c r="K1365" s="490">
        <f t="shared" si="759"/>
        <v>324.35633524179741</v>
      </c>
      <c r="L1365" s="490">
        <f t="shared" si="759"/>
        <v>232.81827358869509</v>
      </c>
      <c r="M1365" s="490">
        <f t="shared" si="759"/>
        <v>151.70411300053325</v>
      </c>
    </row>
    <row r="1366" spans="2:15" ht="15" hidden="1" outlineLevel="2" x14ac:dyDescent="0.25">
      <c r="B1366" s="157" t="str">
        <f t="shared" si="753"/>
        <v>AsiaResultsTotal Opex e-Methane (PS)USD/ton</v>
      </c>
      <c r="C1366" s="157" t="str">
        <f t="shared" si="754"/>
        <v>Asia</v>
      </c>
      <c r="D1366" s="515" t="s">
        <v>838</v>
      </c>
      <c r="E1366" s="536" t="s">
        <v>1089</v>
      </c>
      <c r="F1366" s="489" t="s">
        <v>205</v>
      </c>
      <c r="G1366" s="490">
        <f t="shared" ref="G1366:M1366" si="760">+G1365</f>
        <v>677.66698780117315</v>
      </c>
      <c r="H1366" s="490">
        <f t="shared" si="760"/>
        <v>544.36368094761974</v>
      </c>
      <c r="I1366" s="490">
        <f t="shared" si="760"/>
        <v>442.74653369453517</v>
      </c>
      <c r="J1366" s="490">
        <f t="shared" si="760"/>
        <v>401.40639155446451</v>
      </c>
      <c r="K1366" s="490">
        <f t="shared" si="760"/>
        <v>324.35633524179741</v>
      </c>
      <c r="L1366" s="490">
        <f t="shared" si="760"/>
        <v>232.81827358869509</v>
      </c>
      <c r="M1366" s="490">
        <f t="shared" si="760"/>
        <v>151.70411300053325</v>
      </c>
    </row>
    <row r="1367" spans="2:15" ht="15" hidden="1" outlineLevel="2" x14ac:dyDescent="0.25">
      <c r="B1367" s="157" t="str">
        <f>+C1367&amp;D1367&amp;E1367&amp;F1367</f>
        <v>AsiaResultsTotal RNE e-Methane (DAC)USD/ton</v>
      </c>
      <c r="C1367" s="157" t="str">
        <f t="shared" si="754"/>
        <v>Asia</v>
      </c>
      <c r="D1367" s="515" t="s">
        <v>838</v>
      </c>
      <c r="E1367" s="536" t="s">
        <v>1090</v>
      </c>
      <c r="F1367" s="489" t="s">
        <v>205</v>
      </c>
      <c r="G1367" s="490">
        <f>+G1387+G1399*G1400</f>
        <v>2258.9583346007948</v>
      </c>
      <c r="H1367" s="490">
        <f t="shared" ref="H1367:M1367" si="761">+H1387+H1399*H1400</f>
        <v>1466.6730467178963</v>
      </c>
      <c r="I1367" s="490">
        <f t="shared" si="761"/>
        <v>1170.7232868893163</v>
      </c>
      <c r="J1367" s="490">
        <f t="shared" si="761"/>
        <v>948.01598229418323</v>
      </c>
      <c r="K1367" s="490">
        <f t="shared" si="761"/>
        <v>818.24099011406406</v>
      </c>
      <c r="L1367" s="490">
        <f t="shared" si="761"/>
        <v>681.59695707183619</v>
      </c>
      <c r="M1367" s="490">
        <f t="shared" si="761"/>
        <v>608.97471096907555</v>
      </c>
    </row>
    <row r="1368" spans="2:15" ht="15" hidden="1" outlineLevel="2" x14ac:dyDescent="0.25">
      <c r="B1368" s="157" t="str">
        <f>+C1368&amp;D1368&amp;E1368&amp;F1368</f>
        <v>AsiaResultsTotal RNE e-Methane (PS)USD/ton</v>
      </c>
      <c r="C1368" s="157" t="str">
        <f t="shared" si="754"/>
        <v>Asia</v>
      </c>
      <c r="D1368" s="515" t="s">
        <v>838</v>
      </c>
      <c r="E1368" s="536" t="s">
        <v>1091</v>
      </c>
      <c r="F1368" s="489" t="s">
        <v>205</v>
      </c>
      <c r="G1368" s="490">
        <f>+G1367</f>
        <v>2258.9583346007948</v>
      </c>
      <c r="H1368" s="490">
        <f t="shared" ref="H1368:M1368" si="762">+H1367</f>
        <v>1466.6730467178963</v>
      </c>
      <c r="I1368" s="490">
        <f t="shared" si="762"/>
        <v>1170.7232868893163</v>
      </c>
      <c r="J1368" s="490">
        <f t="shared" si="762"/>
        <v>948.01598229418323</v>
      </c>
      <c r="K1368" s="490">
        <f t="shared" si="762"/>
        <v>818.24099011406406</v>
      </c>
      <c r="L1368" s="490">
        <f t="shared" si="762"/>
        <v>681.59695707183619</v>
      </c>
      <c r="M1368" s="490">
        <f t="shared" si="762"/>
        <v>608.97471096907555</v>
      </c>
    </row>
    <row r="1369" spans="2:15" ht="15" hidden="1" outlineLevel="2" x14ac:dyDescent="0.25">
      <c r="B1369" s="157" t="str">
        <f>+C1369&amp;D1369&amp;E1369&amp;F1369</f>
        <v>AsiaResultsTotal CO2 e-Methane (DAC)USD/ton</v>
      </c>
      <c r="C1369" s="157" t="str">
        <f t="shared" si="754"/>
        <v>Asia</v>
      </c>
      <c r="D1369" s="515" t="s">
        <v>838</v>
      </c>
      <c r="E1369" s="536" t="s">
        <v>1092</v>
      </c>
      <c r="F1369" s="489" t="s">
        <v>205</v>
      </c>
      <c r="G1369" s="490">
        <f>+G1391</f>
        <v>1068.5056741515093</v>
      </c>
      <c r="H1369" s="490">
        <f t="shared" ref="H1369:M1369" si="763">+H1391</f>
        <v>737.07707044195092</v>
      </c>
      <c r="I1369" s="490">
        <f t="shared" si="763"/>
        <v>580.95305912540493</v>
      </c>
      <c r="J1369" s="490">
        <f t="shared" si="763"/>
        <v>468.2475379881368</v>
      </c>
      <c r="K1369" s="490">
        <f t="shared" si="763"/>
        <v>392.58038851665583</v>
      </c>
      <c r="L1369" s="490">
        <f t="shared" si="763"/>
        <v>326.50304297853904</v>
      </c>
      <c r="M1369" s="490">
        <f t="shared" si="763"/>
        <v>280.19738557349393</v>
      </c>
    </row>
    <row r="1370" spans="2:15" ht="15" hidden="1" outlineLevel="2" x14ac:dyDescent="0.25">
      <c r="B1370" s="157" t="str">
        <f>+C1370&amp;D1370&amp;E1370&amp;F1370</f>
        <v>AsiaResultsTotal CO2 e-Methane (PS)USD/ton</v>
      </c>
      <c r="C1370" s="157" t="str">
        <f t="shared" si="754"/>
        <v>Asia</v>
      </c>
      <c r="D1370" s="515" t="s">
        <v>838</v>
      </c>
      <c r="E1370" s="536" t="s">
        <v>1093</v>
      </c>
      <c r="F1370" s="489" t="s">
        <v>205</v>
      </c>
      <c r="G1370" s="490">
        <f>+G1395</f>
        <v>537.74143893108374</v>
      </c>
      <c r="H1370" s="490">
        <f t="shared" ref="H1370:M1370" si="764">+H1395</f>
        <v>426.61432501937111</v>
      </c>
      <c r="I1370" s="490">
        <f t="shared" si="764"/>
        <v>338.07776428795455</v>
      </c>
      <c r="J1370" s="490">
        <f t="shared" si="764"/>
        <v>300.07798556394818</v>
      </c>
      <c r="K1370" s="490">
        <f t="shared" si="764"/>
        <v>266.29985587293578</v>
      </c>
      <c r="L1370" s="490">
        <f t="shared" si="764"/>
        <v>232.31769521803577</v>
      </c>
      <c r="M1370" s="490">
        <f t="shared" si="764"/>
        <v>200.80999584579527</v>
      </c>
    </row>
    <row r="1371" spans="2:15" hidden="1" outlineLevel="2" x14ac:dyDescent="0.2">
      <c r="C1371" s="157"/>
      <c r="E1371" s="48"/>
      <c r="F1371" s="128"/>
      <c r="G1371" s="8"/>
      <c r="H1371" s="8"/>
      <c r="I1371" s="8"/>
      <c r="J1371" s="8"/>
      <c r="K1371" s="8"/>
      <c r="L1371" s="8"/>
      <c r="M1371" s="8"/>
    </row>
    <row r="1372" spans="2:15" hidden="1" outlineLevel="2" x14ac:dyDescent="0.2">
      <c r="B1372" s="48" t="str">
        <f t="shared" ref="B1372:B1378" si="765">+C1372&amp;D1372&amp;E1372&amp;F1372</f>
        <v>AsiaResultsCH4 Liquifaction costUSD/ton</v>
      </c>
      <c r="C1372" s="157" t="str">
        <f>+$B$1360</f>
        <v>Asia</v>
      </c>
      <c r="D1372" t="s">
        <v>838</v>
      </c>
      <c r="E1372" s="48" t="s">
        <v>1094</v>
      </c>
      <c r="F1372" s="128" t="s">
        <v>205</v>
      </c>
      <c r="G1372" s="8">
        <f t="shared" ref="G1372:M1372" si="766">SUM(G1373,G1376)</f>
        <v>252.7244674777331</v>
      </c>
      <c r="H1372" s="8">
        <f t="shared" si="766"/>
        <v>230.86692803031895</v>
      </c>
      <c r="I1372" s="8">
        <f t="shared" si="766"/>
        <v>220.09893459880249</v>
      </c>
      <c r="J1372" s="8">
        <f t="shared" si="766"/>
        <v>211.40564271980418</v>
      </c>
      <c r="K1372" s="8">
        <f t="shared" si="766"/>
        <v>204.86933607421514</v>
      </c>
      <c r="L1372" s="8">
        <f t="shared" si="766"/>
        <v>198.33663696197064</v>
      </c>
      <c r="M1372" s="8">
        <f t="shared" si="766"/>
        <v>193.10692883006132</v>
      </c>
      <c r="O1372" t="s">
        <v>1095</v>
      </c>
    </row>
    <row r="1373" spans="2:15" hidden="1" outlineLevel="2" x14ac:dyDescent="0.2">
      <c r="B1373" s="48" t="str">
        <f t="shared" si="765"/>
        <v>AsiaResultsCH4 Liquifaction opexUSD/ton</v>
      </c>
      <c r="C1373" s="157" t="str">
        <f>+$B$1360</f>
        <v>Asia</v>
      </c>
      <c r="D1373" t="s">
        <v>838</v>
      </c>
      <c r="E1373" t="s">
        <v>1096</v>
      </c>
      <c r="F1373" s="450" t="s">
        <v>205</v>
      </c>
      <c r="G1373" s="14">
        <f t="shared" ref="G1373:M1373" si="767">G1374*G1375</f>
        <v>49.237011689235629</v>
      </c>
      <c r="H1373" s="14">
        <f t="shared" si="767"/>
        <v>32.116928030318896</v>
      </c>
      <c r="I1373" s="14">
        <f t="shared" si="767"/>
        <v>25.976096181394158</v>
      </c>
      <c r="J1373" s="14">
        <f t="shared" si="767"/>
        <v>21.802239473357776</v>
      </c>
      <c r="K1373" s="14">
        <f t="shared" si="767"/>
        <v>19.680149599746599</v>
      </c>
      <c r="L1373" s="14">
        <f t="shared" si="767"/>
        <v>17.458898483306218</v>
      </c>
      <c r="M1373" s="14">
        <f t="shared" si="767"/>
        <v>16.440262163394618</v>
      </c>
      <c r="N1373" s="93"/>
    </row>
    <row r="1374" spans="2:15" hidden="1" outlineLevel="2" x14ac:dyDescent="0.2">
      <c r="B1374" s="48" t="str">
        <f t="shared" si="765"/>
        <v>AsiaFeedstockElectricityUSD/MWh</v>
      </c>
      <c r="C1374" s="157" t="str">
        <f>+$B$1360</f>
        <v>Asia</v>
      </c>
      <c r="D1374" t="s">
        <v>777</v>
      </c>
      <c r="E1374" t="s">
        <v>54</v>
      </c>
      <c r="F1374" s="450" t="s">
        <v>196</v>
      </c>
      <c r="G1374" s="532">
        <f>+INDEX('Fuel Model -  Input'!$B$3:$N$373,MATCH($B1374,'Fuel Model -  Input'!$B$3:$B$373,0),MATCH(G$2,'Fuel Model -  Input'!$B$3:$N$3,0))</f>
        <v>82.061686148726054</v>
      </c>
      <c r="H1374" s="532">
        <f>+INDEX('Fuel Model -  Input'!$B$3:$N$373,MATCH($B1374,'Fuel Model -  Input'!$B$3:$B$373,0),MATCH(H$2,'Fuel Model -  Input'!$B$3:$N$3,0))</f>
        <v>53.528213383864831</v>
      </c>
      <c r="I1374" s="532">
        <f>+INDEX('Fuel Model -  Input'!$B$3:$N$373,MATCH($B1374,'Fuel Model -  Input'!$B$3:$B$373,0),MATCH(I$2,'Fuel Model -  Input'!$B$3:$N$3,0))</f>
        <v>43.29349363565693</v>
      </c>
      <c r="J1374" s="532">
        <f>+INDEX('Fuel Model -  Input'!$B$3:$N$373,MATCH($B1374,'Fuel Model -  Input'!$B$3:$B$373,0),MATCH(J$2,'Fuel Model -  Input'!$B$3:$N$3,0))</f>
        <v>36.337065788929628</v>
      </c>
      <c r="K1374" s="532">
        <f>+INDEX('Fuel Model -  Input'!$B$3:$N$373,MATCH($B1374,'Fuel Model -  Input'!$B$3:$B$373,0),MATCH(K$2,'Fuel Model -  Input'!$B$3:$N$3,0))</f>
        <v>32.800249332911001</v>
      </c>
      <c r="L1374" s="532">
        <f>+INDEX('Fuel Model -  Input'!$B$3:$N$373,MATCH($B1374,'Fuel Model -  Input'!$B$3:$B$373,0),MATCH(L$2,'Fuel Model -  Input'!$B$3:$N$3,0))</f>
        <v>29.0981641388437</v>
      </c>
      <c r="M1374" s="532">
        <f>+INDEX('Fuel Model -  Input'!$B$3:$N$373,MATCH($B1374,'Fuel Model -  Input'!$B$3:$B$373,0),MATCH(M$2,'Fuel Model -  Input'!$B$3:$N$3,0))</f>
        <v>27.400436938991028</v>
      </c>
      <c r="N1374" s="93"/>
    </row>
    <row r="1375" spans="2:15" hidden="1" outlineLevel="2" x14ac:dyDescent="0.2">
      <c r="B1375" s="48" t="str">
        <f t="shared" si="765"/>
        <v>GlobalProcess - OpexCH4 LiquifactionmWh/ ton e CH4</v>
      </c>
      <c r="C1375" s="157" t="s">
        <v>109</v>
      </c>
      <c r="D1375" t="s">
        <v>876</v>
      </c>
      <c r="E1375" t="s">
        <v>1097</v>
      </c>
      <c r="F1375" s="450" t="s">
        <v>1098</v>
      </c>
      <c r="G1375" s="542">
        <f>+INDEX('Fuel Model -  Input'!$B$3:$N$373,MATCH($B1375,'Fuel Model -  Input'!$B$3:$B$373,0),MATCH(G$2,'Fuel Model -  Input'!$B$3:$N$3,0))</f>
        <v>0.6</v>
      </c>
      <c r="H1375" s="542">
        <f>+INDEX('Fuel Model -  Input'!$B$3:$N$373,MATCH($B1375,'Fuel Model -  Input'!$B$3:$B$373,0),MATCH(H$2,'Fuel Model -  Input'!$B$3:$N$3,0))</f>
        <v>0.6</v>
      </c>
      <c r="I1375" s="542">
        <f>+INDEX('Fuel Model -  Input'!$B$3:$N$373,MATCH($B1375,'Fuel Model -  Input'!$B$3:$B$373,0),MATCH(I$2,'Fuel Model -  Input'!$B$3:$N$3,0))</f>
        <v>0.6</v>
      </c>
      <c r="J1375" s="542">
        <f>+INDEX('Fuel Model -  Input'!$B$3:$N$373,MATCH($B1375,'Fuel Model -  Input'!$B$3:$B$373,0),MATCH(J$2,'Fuel Model -  Input'!$B$3:$N$3,0))</f>
        <v>0.6</v>
      </c>
      <c r="K1375" s="542">
        <f>+INDEX('Fuel Model -  Input'!$B$3:$N$373,MATCH($B1375,'Fuel Model -  Input'!$B$3:$B$373,0),MATCH(K$2,'Fuel Model -  Input'!$B$3:$N$3,0))</f>
        <v>0.6</v>
      </c>
      <c r="L1375" s="542">
        <f>+INDEX('Fuel Model -  Input'!$B$3:$N$373,MATCH($B1375,'Fuel Model -  Input'!$B$3:$B$373,0),MATCH(L$2,'Fuel Model -  Input'!$B$3:$N$3,0))</f>
        <v>0.6</v>
      </c>
      <c r="M1375" s="542">
        <f>+INDEX('Fuel Model -  Input'!$B$3:$N$373,MATCH($B1375,'Fuel Model -  Input'!$B$3:$B$373,0),MATCH(M$2,'Fuel Model -  Input'!$B$3:$N$3,0))</f>
        <v>0.6</v>
      </c>
      <c r="N1375" s="93"/>
    </row>
    <row r="1376" spans="2:15" s="157" customFormat="1" hidden="1" outlineLevel="2" x14ac:dyDescent="0.2">
      <c r="B1376" s="498" t="str">
        <f t="shared" si="765"/>
        <v>AsiaProcess - CapexCH4 LiquifactionUSD/ ton CH4 output</v>
      </c>
      <c r="C1376" s="157" t="str">
        <f>+$B$1360</f>
        <v>Asia</v>
      </c>
      <c r="D1376" s="157" t="s">
        <v>879</v>
      </c>
      <c r="E1376" s="157" t="s">
        <v>1097</v>
      </c>
      <c r="F1376" s="450" t="s">
        <v>1099</v>
      </c>
      <c r="G1376" s="337">
        <f t="shared" ref="G1376:M1376" si="768">G1378/G1377</f>
        <v>203.48745578849747</v>
      </c>
      <c r="H1376" s="337">
        <f t="shared" si="768"/>
        <v>198.75000000000006</v>
      </c>
      <c r="I1376" s="337">
        <f t="shared" si="768"/>
        <v>194.12283841740833</v>
      </c>
      <c r="J1376" s="337">
        <f t="shared" si="768"/>
        <v>189.60340324644639</v>
      </c>
      <c r="K1376" s="337">
        <f t="shared" si="768"/>
        <v>185.18918647446853</v>
      </c>
      <c r="L1376" s="337">
        <f t="shared" si="768"/>
        <v>180.87773847866441</v>
      </c>
      <c r="M1376" s="337">
        <f t="shared" si="768"/>
        <v>176.66666666666671</v>
      </c>
      <c r="N1376" s="493"/>
    </row>
    <row r="1377" spans="2:14" hidden="1" outlineLevel="2" x14ac:dyDescent="0.2">
      <c r="B1377" s="48" t="str">
        <f t="shared" si="765"/>
        <v>GlobalPlant capexAnnualisation factor#</v>
      </c>
      <c r="C1377" s="157" t="s">
        <v>109</v>
      </c>
      <c r="D1377" t="s">
        <v>786</v>
      </c>
      <c r="E1377" t="s">
        <v>764</v>
      </c>
      <c r="F1377" s="450" t="s">
        <v>787</v>
      </c>
      <c r="G1377" s="532">
        <f>INDEX('Fuel Model -  Input'!$B$3:$N$373,MATCH($B1377,'Fuel Model -  Input'!$B$3:$B$373,0),MATCH(G$2,'Fuel Model -  Input'!$B$3:$N$3,0))</f>
        <v>11.32075471698113</v>
      </c>
      <c r="H1377" s="532">
        <f>INDEX('Fuel Model -  Input'!$B$3:$N$373,MATCH($B1377,'Fuel Model -  Input'!$B$3:$B$373,0),MATCH(H$2,'Fuel Model -  Input'!$B$3:$N$3,0))</f>
        <v>11.32075471698113</v>
      </c>
      <c r="I1377" s="532">
        <f>INDEX('Fuel Model -  Input'!$B$3:$N$373,MATCH($B1377,'Fuel Model -  Input'!$B$3:$B$373,0),MATCH(I$2,'Fuel Model -  Input'!$B$3:$N$3,0))</f>
        <v>11.32075471698113</v>
      </c>
      <c r="J1377" s="532">
        <f>INDEX('Fuel Model -  Input'!$B$3:$N$373,MATCH($B1377,'Fuel Model -  Input'!$B$3:$B$373,0),MATCH(J$2,'Fuel Model -  Input'!$B$3:$N$3,0))</f>
        <v>11.32075471698113</v>
      </c>
      <c r="K1377" s="532">
        <f>INDEX('Fuel Model -  Input'!$B$3:$N$373,MATCH($B1377,'Fuel Model -  Input'!$B$3:$B$373,0),MATCH(K$2,'Fuel Model -  Input'!$B$3:$N$3,0))</f>
        <v>11.32075471698113</v>
      </c>
      <c r="L1377" s="532">
        <f>INDEX('Fuel Model -  Input'!$B$3:$N$373,MATCH($B1377,'Fuel Model -  Input'!$B$3:$B$373,0),MATCH(L$2,'Fuel Model -  Input'!$B$3:$N$3,0))</f>
        <v>11.32075471698113</v>
      </c>
      <c r="M1377" s="532">
        <f>INDEX('Fuel Model -  Input'!$B$3:$N$373,MATCH($B1377,'Fuel Model -  Input'!$B$3:$B$373,0),MATCH(M$2,'Fuel Model -  Input'!$B$3:$N$3,0))</f>
        <v>11.32075471698113</v>
      </c>
    </row>
    <row r="1378" spans="2:14" hidden="1" outlineLevel="2" x14ac:dyDescent="0.2">
      <c r="B1378" s="48" t="str">
        <f t="shared" si="765"/>
        <v>GlobalProcess - CapexCH4 LiquifactionUSD/ ton CH4 capacity</v>
      </c>
      <c r="C1378" s="157" t="s">
        <v>109</v>
      </c>
      <c r="D1378" t="s">
        <v>879</v>
      </c>
      <c r="E1378" t="s">
        <v>1097</v>
      </c>
      <c r="F1378" s="450" t="s">
        <v>1100</v>
      </c>
      <c r="G1378" s="543">
        <f>+INDEX('Fuel Model -  Input'!$B$3:$N$373,MATCH($B1378,'Fuel Model -  Input'!$B$3:$B$373,0),MATCH(G$2,'Fuel Model -  Input'!$B$3:$N$3,0))</f>
        <v>2303.6315749641217</v>
      </c>
      <c r="H1378" s="543">
        <f>+INDEX('Fuel Model -  Input'!$B$3:$N$373,MATCH($B1378,'Fuel Model -  Input'!$B$3:$B$373,0),MATCH(H$2,'Fuel Model -  Input'!$B$3:$N$3,0))</f>
        <v>2250</v>
      </c>
      <c r="I1378" s="543">
        <f>+INDEX('Fuel Model -  Input'!$B$3:$N$373,MATCH($B1378,'Fuel Model -  Input'!$B$3:$B$373,0),MATCH(I$2,'Fuel Model -  Input'!$B$3:$N$3,0))</f>
        <v>2197.6170386876411</v>
      </c>
      <c r="J1378" s="543">
        <f>+INDEX('Fuel Model -  Input'!$B$3:$N$373,MATCH($B1378,'Fuel Model -  Input'!$B$3:$B$373,0),MATCH(J$2,'Fuel Model -  Input'!$B$3:$N$3,0))</f>
        <v>2146.4536216578831</v>
      </c>
      <c r="K1378" s="543">
        <f>+INDEX('Fuel Model -  Input'!$B$3:$N$373,MATCH($B1378,'Fuel Model -  Input'!$B$3:$B$373,0),MATCH(K$2,'Fuel Model -  Input'!$B$3:$N$3,0))</f>
        <v>2096.4813563147377</v>
      </c>
      <c r="L1378" s="543">
        <f>+INDEX('Fuel Model -  Input'!$B$3:$N$373,MATCH($B1378,'Fuel Model -  Input'!$B$3:$B$373,0),MATCH(L$2,'Fuel Model -  Input'!$B$3:$N$3,0))</f>
        <v>2047.6725110792192</v>
      </c>
      <c r="M1378" s="543">
        <f>+INDEX('Fuel Model -  Input'!$B$3:$N$373,MATCH($B1378,'Fuel Model -  Input'!$B$3:$B$373,0),MATCH(M$2,'Fuel Model -  Input'!$B$3:$N$3,0))</f>
        <v>2000</v>
      </c>
      <c r="N1378" s="93"/>
    </row>
    <row r="1379" spans="2:14" hidden="1" outlineLevel="2" x14ac:dyDescent="0.2">
      <c r="C1379" s="157"/>
      <c r="E1379" s="48"/>
      <c r="F1379" s="128"/>
      <c r="G1379" s="8"/>
      <c r="H1379" s="8"/>
      <c r="I1379" s="8"/>
      <c r="J1379" s="8"/>
      <c r="K1379" s="8"/>
      <c r="L1379" s="8"/>
      <c r="M1379" s="8"/>
    </row>
    <row r="1380" spans="2:14" hidden="1" outlineLevel="2" x14ac:dyDescent="0.2">
      <c r="B1380" t="str">
        <f>+C1380&amp;D1380&amp;E1380&amp;F1380</f>
        <v>AsiaResultsCapex per ton e MethaneUSD/ Ton</v>
      </c>
      <c r="C1380" s="157" t="str">
        <f>+$B$1360</f>
        <v>Asia</v>
      </c>
      <c r="D1380" t="s">
        <v>838</v>
      </c>
      <c r="E1380" s="48" t="s">
        <v>1101</v>
      </c>
      <c r="F1380" s="128" t="s">
        <v>1053</v>
      </c>
      <c r="G1380" s="8">
        <f t="shared" ref="G1380:M1380" si="769">G1382/G1381</f>
        <v>159.00000000000003</v>
      </c>
      <c r="H1380" s="8">
        <f t="shared" si="769"/>
        <v>121.01666666666669</v>
      </c>
      <c r="I1380" s="8">
        <f t="shared" si="769"/>
        <v>97.166666666666686</v>
      </c>
      <c r="J1380" s="8">
        <f t="shared" si="769"/>
        <v>88.333333333333357</v>
      </c>
      <c r="K1380" s="8">
        <f t="shared" si="769"/>
        <v>79.500000000000014</v>
      </c>
      <c r="L1380" s="8">
        <f t="shared" si="769"/>
        <v>64.483333333333348</v>
      </c>
      <c r="M1380" s="8">
        <f t="shared" si="769"/>
        <v>49.466666666666676</v>
      </c>
    </row>
    <row r="1381" spans="2:14" hidden="1" outlineLevel="2" x14ac:dyDescent="0.2">
      <c r="B1381" t="str">
        <f>+C1381&amp;D1381&amp;E1381&amp;F1381</f>
        <v>GlobalPlant capexAnnualisation factor#</v>
      </c>
      <c r="C1381" s="157" t="s">
        <v>109</v>
      </c>
      <c r="D1381" t="s">
        <v>786</v>
      </c>
      <c r="E1381" t="s">
        <v>764</v>
      </c>
      <c r="F1381" s="450" t="s">
        <v>787</v>
      </c>
      <c r="G1381" s="532">
        <f>INDEX('Fuel Model -  Input'!$B$3:$N$373,MATCH($B1381,'Fuel Model -  Input'!$B$3:$B$373,0),MATCH(G$2,'Fuel Model -  Input'!$B$3:$N$3,0))</f>
        <v>11.32075471698113</v>
      </c>
      <c r="H1381" s="532">
        <f>INDEX('Fuel Model -  Input'!$B$3:$N$373,MATCH($B1381,'Fuel Model -  Input'!$B$3:$B$373,0),MATCH(H$2,'Fuel Model -  Input'!$B$3:$N$3,0))</f>
        <v>11.32075471698113</v>
      </c>
      <c r="I1381" s="532">
        <f>INDEX('Fuel Model -  Input'!$B$3:$N$373,MATCH($B1381,'Fuel Model -  Input'!$B$3:$B$373,0),MATCH(I$2,'Fuel Model -  Input'!$B$3:$N$3,0))</f>
        <v>11.32075471698113</v>
      </c>
      <c r="J1381" s="532">
        <f>INDEX('Fuel Model -  Input'!$B$3:$N$373,MATCH($B1381,'Fuel Model -  Input'!$B$3:$B$373,0),MATCH(J$2,'Fuel Model -  Input'!$B$3:$N$3,0))</f>
        <v>11.32075471698113</v>
      </c>
      <c r="K1381" s="532">
        <f>INDEX('Fuel Model -  Input'!$B$3:$N$373,MATCH($B1381,'Fuel Model -  Input'!$B$3:$B$373,0),MATCH(K$2,'Fuel Model -  Input'!$B$3:$N$3,0))</f>
        <v>11.32075471698113</v>
      </c>
      <c r="L1381" s="532">
        <f>INDEX('Fuel Model -  Input'!$B$3:$N$373,MATCH($B1381,'Fuel Model -  Input'!$B$3:$B$373,0),MATCH(L$2,'Fuel Model -  Input'!$B$3:$N$3,0))</f>
        <v>11.32075471698113</v>
      </c>
      <c r="M1381" s="532">
        <f>INDEX('Fuel Model -  Input'!$B$3:$N$373,MATCH($B1381,'Fuel Model -  Input'!$B$3:$B$373,0),MATCH(M$2,'Fuel Model -  Input'!$B$3:$N$3,0))</f>
        <v>11.32075471698113</v>
      </c>
    </row>
    <row r="1382" spans="2:14" hidden="1" outlineLevel="2" x14ac:dyDescent="0.2">
      <c r="B1382" t="str">
        <f>+C1382&amp;D1382&amp;E1382&amp;F1382</f>
        <v>GlobalCapexE Methane plant capex unit costCapex/ ton e methane</v>
      </c>
      <c r="C1382" s="157" t="s">
        <v>109</v>
      </c>
      <c r="D1382" t="s">
        <v>218</v>
      </c>
      <c r="E1382" t="s">
        <v>1102</v>
      </c>
      <c r="F1382" s="128" t="s">
        <v>1103</v>
      </c>
      <c r="G1382" s="532">
        <f>INDEX('Fuel Model -  Input'!$B$3:$N$373,MATCH($B1382,'Fuel Model -  Input'!$B$3:$B$373,0),MATCH(G$2,'Fuel Model -  Input'!$B$3:$N$3,0))</f>
        <v>1800</v>
      </c>
      <c r="H1382" s="532">
        <f>INDEX('Fuel Model -  Input'!$B$3:$N$373,MATCH($B1382,'Fuel Model -  Input'!$B$3:$B$373,0),MATCH(H$2,'Fuel Model -  Input'!$B$3:$N$3,0))</f>
        <v>1370</v>
      </c>
      <c r="I1382" s="532">
        <f>INDEX('Fuel Model -  Input'!$B$3:$N$373,MATCH($B1382,'Fuel Model -  Input'!$B$3:$B$373,0),MATCH(I$2,'Fuel Model -  Input'!$B$3:$N$3,0))</f>
        <v>1100</v>
      </c>
      <c r="J1382" s="532">
        <f>INDEX('Fuel Model -  Input'!$B$3:$N$373,MATCH($B1382,'Fuel Model -  Input'!$B$3:$B$373,0),MATCH(J$2,'Fuel Model -  Input'!$B$3:$N$3,0))</f>
        <v>1000</v>
      </c>
      <c r="K1382" s="532">
        <f>INDEX('Fuel Model -  Input'!$B$3:$N$373,MATCH($B1382,'Fuel Model -  Input'!$B$3:$B$373,0),MATCH(K$2,'Fuel Model -  Input'!$B$3:$N$3,0))</f>
        <v>900</v>
      </c>
      <c r="L1382" s="532">
        <f>INDEX('Fuel Model -  Input'!$B$3:$N$373,MATCH($B1382,'Fuel Model -  Input'!$B$3:$B$373,0),MATCH(L$2,'Fuel Model -  Input'!$B$3:$N$3,0))</f>
        <v>730</v>
      </c>
      <c r="M1382" s="532">
        <f>INDEX('Fuel Model -  Input'!$B$3:$N$373,MATCH($B1382,'Fuel Model -  Input'!$B$3:$B$373,0),MATCH(M$2,'Fuel Model -  Input'!$B$3:$N$3,0))</f>
        <v>560</v>
      </c>
    </row>
    <row r="1383" spans="2:14" hidden="1" outlineLevel="2" x14ac:dyDescent="0.2">
      <c r="C1383" s="157"/>
      <c r="E1383" s="48"/>
      <c r="F1383" s="128"/>
      <c r="G1383" s="8"/>
      <c r="H1383" s="8"/>
      <c r="I1383" s="8"/>
      <c r="J1383" s="8"/>
      <c r="K1383" s="8"/>
      <c r="L1383" s="8"/>
      <c r="M1383" s="8"/>
    </row>
    <row r="1384" spans="2:14" hidden="1" outlineLevel="2" x14ac:dyDescent="0.2">
      <c r="B1384" t="str">
        <f>+C1384&amp;D1384&amp;E1384&amp;F1384</f>
        <v>AsiaOpexOpex e Methane synthesis plantUSD/ton e Methane</v>
      </c>
      <c r="C1384" s="157" t="str">
        <f>+$B$1360</f>
        <v>Asia</v>
      </c>
      <c r="D1384" t="s">
        <v>219</v>
      </c>
      <c r="E1384" s="48" t="s">
        <v>1104</v>
      </c>
      <c r="F1384" s="128" t="s">
        <v>1105</v>
      </c>
      <c r="G1384" s="8">
        <f t="shared" ref="G1384:M1384" si="770">G1385*G1382</f>
        <v>144</v>
      </c>
      <c r="H1384" s="8">
        <f t="shared" si="770"/>
        <v>109.60000000000001</v>
      </c>
      <c r="I1384" s="8">
        <f t="shared" si="770"/>
        <v>88</v>
      </c>
      <c r="J1384" s="8">
        <f t="shared" si="770"/>
        <v>80</v>
      </c>
      <c r="K1384" s="8">
        <f t="shared" si="770"/>
        <v>72</v>
      </c>
      <c r="L1384" s="8">
        <f t="shared" si="770"/>
        <v>58.4</v>
      </c>
      <c r="M1384" s="8">
        <f t="shared" si="770"/>
        <v>44.800000000000004</v>
      </c>
    </row>
    <row r="1385" spans="2:14" hidden="1" outlineLevel="2" x14ac:dyDescent="0.2">
      <c r="B1385" s="78" t="str">
        <f>+C1385&amp;D1385&amp;E1385&amp;F1385</f>
        <v>GlobalOpexOther opex e Methane synthesisPercent of capex</v>
      </c>
      <c r="C1385" s="157" t="s">
        <v>109</v>
      </c>
      <c r="D1385" t="s">
        <v>219</v>
      </c>
      <c r="E1385" s="48" t="s">
        <v>1106</v>
      </c>
      <c r="F1385" s="128" t="s">
        <v>1058</v>
      </c>
      <c r="G1385" s="531">
        <f>INDEX('Fuel Model -  Input'!$B$3:$N$373,MATCH($B1385,'Fuel Model -  Input'!$B$3:$B$373,0),MATCH(G$2,'Fuel Model -  Input'!$B$3:$N$3,0))</f>
        <v>0.08</v>
      </c>
      <c r="H1385" s="531">
        <f>INDEX('Fuel Model -  Input'!$B$3:$N$373,MATCH($B1385,'Fuel Model -  Input'!$B$3:$B$373,0),MATCH(H$2,'Fuel Model -  Input'!$B$3:$N$3,0))</f>
        <v>0.08</v>
      </c>
      <c r="I1385" s="531">
        <f>INDEX('Fuel Model -  Input'!$B$3:$N$373,MATCH($B1385,'Fuel Model -  Input'!$B$3:$B$373,0),MATCH(I$2,'Fuel Model -  Input'!$B$3:$N$3,0))</f>
        <v>0.08</v>
      </c>
      <c r="J1385" s="531">
        <f>INDEX('Fuel Model -  Input'!$B$3:$N$373,MATCH($B1385,'Fuel Model -  Input'!$B$3:$B$373,0),MATCH(J$2,'Fuel Model -  Input'!$B$3:$N$3,0))</f>
        <v>0.08</v>
      </c>
      <c r="K1385" s="531">
        <f>INDEX('Fuel Model -  Input'!$B$3:$N$373,MATCH($B1385,'Fuel Model -  Input'!$B$3:$B$373,0),MATCH(K$2,'Fuel Model -  Input'!$B$3:$N$3,0))</f>
        <v>0.08</v>
      </c>
      <c r="L1385" s="531">
        <f>INDEX('Fuel Model -  Input'!$B$3:$N$373,MATCH($B1385,'Fuel Model -  Input'!$B$3:$B$373,0),MATCH(L$2,'Fuel Model -  Input'!$B$3:$N$3,0))</f>
        <v>0.08</v>
      </c>
      <c r="M1385" s="531">
        <f>INDEX('Fuel Model -  Input'!$B$3:$N$373,MATCH($B1385,'Fuel Model -  Input'!$B$3:$B$373,0),MATCH(M$2,'Fuel Model -  Input'!$B$3:$N$3,0))</f>
        <v>0.08</v>
      </c>
    </row>
    <row r="1386" spans="2:14" hidden="1" outlineLevel="2" x14ac:dyDescent="0.2">
      <c r="C1386" s="157"/>
      <c r="E1386" s="48"/>
      <c r="F1386" s="128"/>
      <c r="G1386" s="8"/>
      <c r="H1386" s="8"/>
      <c r="I1386" s="8"/>
      <c r="J1386" s="8"/>
      <c r="K1386" s="8"/>
      <c r="L1386" s="8"/>
      <c r="M1386" s="8"/>
    </row>
    <row r="1387" spans="2:14" hidden="1" outlineLevel="2" x14ac:dyDescent="0.2">
      <c r="B1387" s="78" t="str">
        <f>+C1387&amp;D1387&amp;E1387&amp;F1387</f>
        <v>AsiaGeneralElectricity costUSD/ton e Methane</v>
      </c>
      <c r="C1387" s="157" t="str">
        <f>+$B$1360</f>
        <v>Asia</v>
      </c>
      <c r="D1387" t="s">
        <v>173</v>
      </c>
      <c r="E1387" s="48" t="s">
        <v>94</v>
      </c>
      <c r="F1387" s="128" t="s">
        <v>1105</v>
      </c>
      <c r="G1387" s="260">
        <f t="shared" ref="G1387:M1387" si="771">G1388*G1389</f>
        <v>32.824674459490424</v>
      </c>
      <c r="H1387" s="260">
        <f t="shared" si="771"/>
        <v>21.411285353545935</v>
      </c>
      <c r="I1387" s="260">
        <f t="shared" si="771"/>
        <v>17.317397454262771</v>
      </c>
      <c r="J1387" s="260">
        <f t="shared" si="771"/>
        <v>14.534826315571852</v>
      </c>
      <c r="K1387" s="260">
        <f t="shared" si="771"/>
        <v>13.120099733164402</v>
      </c>
      <c r="L1387" s="260">
        <f t="shared" si="771"/>
        <v>11.63926565553748</v>
      </c>
      <c r="M1387" s="260">
        <f t="shared" si="771"/>
        <v>10.960174775596412</v>
      </c>
    </row>
    <row r="1388" spans="2:14" hidden="1" outlineLevel="2" x14ac:dyDescent="0.2">
      <c r="B1388" s="78" t="str">
        <f>+C1388&amp;D1388&amp;E1388&amp;F1388</f>
        <v>AsiaFeedstockElectricityUSD/MWh</v>
      </c>
      <c r="C1388" s="157" t="str">
        <f>+$B$1360</f>
        <v>Asia</v>
      </c>
      <c r="D1388" t="s">
        <v>777</v>
      </c>
      <c r="E1388" s="48" t="s">
        <v>54</v>
      </c>
      <c r="F1388" s="128" t="s">
        <v>196</v>
      </c>
      <c r="G1388" s="532">
        <f>INDEX('Fuel Model -  Input'!$B$3:$N$373,MATCH($B1388,'Fuel Model -  Input'!$B$3:$B$373,0),MATCH(G$2,'Fuel Model -  Input'!$B$3:$N$3,0))</f>
        <v>82.061686148726054</v>
      </c>
      <c r="H1388" s="532">
        <f>INDEX('Fuel Model -  Input'!$B$3:$N$373,MATCH($B1388,'Fuel Model -  Input'!$B$3:$B$373,0),MATCH(H$2,'Fuel Model -  Input'!$B$3:$N$3,0))</f>
        <v>53.528213383864831</v>
      </c>
      <c r="I1388" s="532">
        <f>INDEX('Fuel Model -  Input'!$B$3:$N$373,MATCH($B1388,'Fuel Model -  Input'!$B$3:$B$373,0),MATCH(I$2,'Fuel Model -  Input'!$B$3:$N$3,0))</f>
        <v>43.29349363565693</v>
      </c>
      <c r="J1388" s="532">
        <f>INDEX('Fuel Model -  Input'!$B$3:$N$373,MATCH($B1388,'Fuel Model -  Input'!$B$3:$B$373,0),MATCH(J$2,'Fuel Model -  Input'!$B$3:$N$3,0))</f>
        <v>36.337065788929628</v>
      </c>
      <c r="K1388" s="532">
        <f>INDEX('Fuel Model -  Input'!$B$3:$N$373,MATCH($B1388,'Fuel Model -  Input'!$B$3:$B$373,0),MATCH(K$2,'Fuel Model -  Input'!$B$3:$N$3,0))</f>
        <v>32.800249332911001</v>
      </c>
      <c r="L1388" s="532">
        <f>INDEX('Fuel Model -  Input'!$B$3:$N$373,MATCH($B1388,'Fuel Model -  Input'!$B$3:$B$373,0),MATCH(L$2,'Fuel Model -  Input'!$B$3:$N$3,0))</f>
        <v>29.0981641388437</v>
      </c>
      <c r="M1388" s="532">
        <f>INDEX('Fuel Model -  Input'!$B$3:$N$373,MATCH($B1388,'Fuel Model -  Input'!$B$3:$B$373,0),MATCH(M$2,'Fuel Model -  Input'!$B$3:$N$3,0))</f>
        <v>27.400436938991028</v>
      </c>
    </row>
    <row r="1389" spans="2:14" hidden="1" outlineLevel="2" x14ac:dyDescent="0.2">
      <c r="B1389" s="78" t="str">
        <f>+C1389&amp;D1389&amp;E1389&amp;F1389</f>
        <v>GlobalGeneralElectricity demandmWh/ton e Methane</v>
      </c>
      <c r="C1389" s="157" t="s">
        <v>109</v>
      </c>
      <c r="D1389" t="s">
        <v>173</v>
      </c>
      <c r="E1389" s="48" t="s">
        <v>963</v>
      </c>
      <c r="F1389" s="128" t="s">
        <v>1107</v>
      </c>
      <c r="G1389" s="521">
        <f>INDEX('Fuel Model -  Input'!$B$3:$N$373,MATCH($B1389,'Fuel Model -  Input'!$B$3:$B$373,0),MATCH(G$2,'Fuel Model -  Input'!$B$3:$N$3,0))</f>
        <v>0.4</v>
      </c>
      <c r="H1389" s="521">
        <f>INDEX('Fuel Model -  Input'!$B$3:$N$373,MATCH($B1389,'Fuel Model -  Input'!$B$3:$B$373,0),MATCH(H$2,'Fuel Model -  Input'!$B$3:$N$3,0))</f>
        <v>0.4</v>
      </c>
      <c r="I1389" s="521">
        <f>INDEX('Fuel Model -  Input'!$B$3:$N$373,MATCH($B1389,'Fuel Model -  Input'!$B$3:$B$373,0),MATCH(I$2,'Fuel Model -  Input'!$B$3:$N$3,0))</f>
        <v>0.4</v>
      </c>
      <c r="J1389" s="521">
        <f>INDEX('Fuel Model -  Input'!$B$3:$N$373,MATCH($B1389,'Fuel Model -  Input'!$B$3:$B$373,0),MATCH(J$2,'Fuel Model -  Input'!$B$3:$N$3,0))</f>
        <v>0.4</v>
      </c>
      <c r="K1389" s="521">
        <f>INDEX('Fuel Model -  Input'!$B$3:$N$373,MATCH($B1389,'Fuel Model -  Input'!$B$3:$B$373,0),MATCH(K$2,'Fuel Model -  Input'!$B$3:$N$3,0))</f>
        <v>0.4</v>
      </c>
      <c r="L1389" s="521">
        <f>INDEX('Fuel Model -  Input'!$B$3:$N$373,MATCH($B1389,'Fuel Model -  Input'!$B$3:$B$373,0),MATCH(L$2,'Fuel Model -  Input'!$B$3:$N$3,0))</f>
        <v>0.4</v>
      </c>
      <c r="M1389" s="521">
        <f>INDEX('Fuel Model -  Input'!$B$3:$N$373,MATCH($B1389,'Fuel Model -  Input'!$B$3:$B$373,0),MATCH(M$2,'Fuel Model -  Input'!$B$3:$N$3,0))</f>
        <v>0.4</v>
      </c>
    </row>
    <row r="1390" spans="2:14" hidden="1" outlineLevel="2" x14ac:dyDescent="0.2">
      <c r="C1390" s="157"/>
      <c r="E1390" s="48"/>
      <c r="F1390" s="128"/>
      <c r="G1390" s="524"/>
      <c r="H1390" s="524"/>
      <c r="I1390" s="524"/>
      <c r="J1390" s="524"/>
      <c r="K1390" s="524"/>
      <c r="L1390" s="524"/>
      <c r="M1390" s="524"/>
    </row>
    <row r="1391" spans="2:14" hidden="1" outlineLevel="2" x14ac:dyDescent="0.2">
      <c r="B1391" s="78" t="str">
        <f>+C1391&amp;D1391&amp;E1391&amp;F1391</f>
        <v>AsiaFeedstockFeedstock CO2USD/ton e Methane</v>
      </c>
      <c r="C1391" s="157" t="str">
        <f>+$B$1360</f>
        <v>Asia</v>
      </c>
      <c r="D1391" t="s">
        <v>777</v>
      </c>
      <c r="E1391" s="48" t="s">
        <v>1007</v>
      </c>
      <c r="F1391" s="128" t="s">
        <v>1105</v>
      </c>
      <c r="G1391" s="8">
        <f t="shared" ref="G1391:M1391" si="772">G1392*G1393</f>
        <v>1068.5056741515093</v>
      </c>
      <c r="H1391" s="8">
        <f t="shared" si="772"/>
        <v>737.07707044195092</v>
      </c>
      <c r="I1391" s="8">
        <f t="shared" si="772"/>
        <v>580.95305912540493</v>
      </c>
      <c r="J1391" s="8">
        <f t="shared" si="772"/>
        <v>468.2475379881368</v>
      </c>
      <c r="K1391" s="8">
        <f t="shared" si="772"/>
        <v>392.58038851665583</v>
      </c>
      <c r="L1391" s="8">
        <f t="shared" si="772"/>
        <v>326.50304297853904</v>
      </c>
      <c r="M1391" s="8">
        <f t="shared" si="772"/>
        <v>280.19738557349393</v>
      </c>
    </row>
    <row r="1392" spans="2:14" hidden="1" outlineLevel="2" x14ac:dyDescent="0.2">
      <c r="B1392" s="78" t="str">
        <f>+C1392&amp;D1392&amp;E1392&amp;F1392</f>
        <v>GlobalFeedstockConversion CO2 : e Methane (actual)kg CO2/kg e Methane</v>
      </c>
      <c r="C1392" s="157" t="s">
        <v>109</v>
      </c>
      <c r="D1392" t="s">
        <v>777</v>
      </c>
      <c r="E1392" t="s">
        <v>1108</v>
      </c>
      <c r="F1392" s="128" t="s">
        <v>1109</v>
      </c>
      <c r="G1392" s="521">
        <f>INDEX('Fuel Model -  Input'!$B$3:$N$373,MATCH($B1392,'Fuel Model -  Input'!$B$3:$B$373,0),MATCH(G$2,'Fuel Model -  Input'!$B$3:$N$3,0))</f>
        <v>2.7434235132776457</v>
      </c>
      <c r="H1392" s="521">
        <f>INDEX('Fuel Model -  Input'!$B$3:$N$373,MATCH($B1392,'Fuel Model -  Input'!$B$3:$B$373,0),MATCH(H$2,'Fuel Model -  Input'!$B$3:$N$3,0))</f>
        <v>2.7434235132776457</v>
      </c>
      <c r="I1392" s="521">
        <f>INDEX('Fuel Model -  Input'!$B$3:$N$373,MATCH($B1392,'Fuel Model -  Input'!$B$3:$B$373,0),MATCH(I$2,'Fuel Model -  Input'!$B$3:$N$3,0))</f>
        <v>2.7434235132776457</v>
      </c>
      <c r="J1392" s="521">
        <f>INDEX('Fuel Model -  Input'!$B$3:$N$373,MATCH($B1392,'Fuel Model -  Input'!$B$3:$B$373,0),MATCH(J$2,'Fuel Model -  Input'!$B$3:$N$3,0))</f>
        <v>2.7434235132776457</v>
      </c>
      <c r="K1392" s="521">
        <f>INDEX('Fuel Model -  Input'!$B$3:$N$373,MATCH($B1392,'Fuel Model -  Input'!$B$3:$B$373,0),MATCH(K$2,'Fuel Model -  Input'!$B$3:$N$3,0))</f>
        <v>2.7434235132776457</v>
      </c>
      <c r="L1392" s="521">
        <f>INDEX('Fuel Model -  Input'!$B$3:$N$373,MATCH($B1392,'Fuel Model -  Input'!$B$3:$B$373,0),MATCH(L$2,'Fuel Model -  Input'!$B$3:$N$3,0))</f>
        <v>2.7434235132776457</v>
      </c>
      <c r="M1392" s="521">
        <f>INDEX('Fuel Model -  Input'!$B$3:$N$373,MATCH($B1392,'Fuel Model -  Input'!$B$3:$B$373,0),MATCH(M$2,'Fuel Model -  Input'!$B$3:$N$3,0))</f>
        <v>2.7434235132776457</v>
      </c>
    </row>
    <row r="1393" spans="2:13" hidden="1" outlineLevel="2" x14ac:dyDescent="0.2">
      <c r="B1393" s="78" t="str">
        <f>+C1393&amp;D1393&amp;E1393&amp;F1393</f>
        <v>AsiaFeedstockCost of CO2 DACUSD/ton</v>
      </c>
      <c r="C1393" s="157" t="str">
        <f>+$B$1360</f>
        <v>Asia</v>
      </c>
      <c r="D1393" t="s">
        <v>777</v>
      </c>
      <c r="E1393" t="s">
        <v>1010</v>
      </c>
      <c r="F1393" s="128" t="s">
        <v>205</v>
      </c>
      <c r="G1393" s="532">
        <f t="shared" ref="G1393:M1393" si="773">INDEX(G$1564:G$1568,MATCH($C1393,$C$1564:$C$1568,0))</f>
        <v>389.47893716742817</v>
      </c>
      <c r="H1393" s="532">
        <f t="shared" si="773"/>
        <v>268.67053769665483</v>
      </c>
      <c r="I1393" s="532">
        <f t="shared" si="773"/>
        <v>211.76207622108038</v>
      </c>
      <c r="J1393" s="532">
        <f t="shared" si="773"/>
        <v>170.68000464452834</v>
      </c>
      <c r="K1393" s="532">
        <f t="shared" si="773"/>
        <v>143.09871830457155</v>
      </c>
      <c r="L1393" s="532">
        <f t="shared" si="773"/>
        <v>119.01299285302713</v>
      </c>
      <c r="M1393" s="532">
        <f t="shared" si="773"/>
        <v>102.1342072113154</v>
      </c>
    </row>
    <row r="1394" spans="2:13" hidden="1" outlineLevel="2" x14ac:dyDescent="0.2">
      <c r="C1394" s="157"/>
      <c r="E1394" s="48"/>
      <c r="F1394" s="128"/>
      <c r="G1394" s="524"/>
      <c r="H1394" s="524"/>
      <c r="I1394" s="524"/>
      <c r="J1394" s="524"/>
      <c r="K1394" s="524"/>
      <c r="L1394" s="524"/>
      <c r="M1394" s="524"/>
    </row>
    <row r="1395" spans="2:13" hidden="1" outlineLevel="2" x14ac:dyDescent="0.2">
      <c r="B1395" s="78" t="str">
        <f>+C1395&amp;D1395&amp;E1395&amp;F1395</f>
        <v>AsiaFeedstockFeedstock CO2USD/ton e Methane</v>
      </c>
      <c r="C1395" s="157" t="str">
        <f>+$B$1360</f>
        <v>Asia</v>
      </c>
      <c r="D1395" t="s">
        <v>777</v>
      </c>
      <c r="E1395" s="48" t="s">
        <v>1007</v>
      </c>
      <c r="F1395" s="128" t="s">
        <v>1105</v>
      </c>
      <c r="G1395" s="8">
        <f t="shared" ref="G1395:M1395" si="774">G1396*G1397</f>
        <v>537.74143893108374</v>
      </c>
      <c r="H1395" s="8">
        <f t="shared" si="774"/>
        <v>426.61432501937111</v>
      </c>
      <c r="I1395" s="8">
        <f t="shared" si="774"/>
        <v>338.07776428795455</v>
      </c>
      <c r="J1395" s="8">
        <f t="shared" si="774"/>
        <v>300.07798556394818</v>
      </c>
      <c r="K1395" s="8">
        <f t="shared" si="774"/>
        <v>266.29985587293578</v>
      </c>
      <c r="L1395" s="8">
        <f t="shared" si="774"/>
        <v>232.31769521803577</v>
      </c>
      <c r="M1395" s="8">
        <f t="shared" si="774"/>
        <v>200.80999584579527</v>
      </c>
    </row>
    <row r="1396" spans="2:13" hidden="1" outlineLevel="2" x14ac:dyDescent="0.2">
      <c r="B1396" s="78" t="str">
        <f>+C1396&amp;D1396&amp;E1396&amp;F1396</f>
        <v>GlobalFeedstockConversion CO2 : e Methane (actual)kg CO2/kg e Methane</v>
      </c>
      <c r="C1396" s="157" t="s">
        <v>109</v>
      </c>
      <c r="D1396" t="s">
        <v>777</v>
      </c>
      <c r="E1396" t="s">
        <v>1108</v>
      </c>
      <c r="F1396" s="128" t="s">
        <v>1109</v>
      </c>
      <c r="G1396" s="521">
        <f>INDEX('Fuel Model -  Input'!$B$3:$N$373,MATCH($B1396,'Fuel Model -  Input'!$B$3:$B$373,0),MATCH(G$2,'Fuel Model -  Input'!$B$3:$N$3,0))</f>
        <v>2.7434235132776457</v>
      </c>
      <c r="H1396" s="521">
        <f>INDEX('Fuel Model -  Input'!$B$3:$N$373,MATCH($B1396,'Fuel Model -  Input'!$B$3:$B$373,0),MATCH(H$2,'Fuel Model -  Input'!$B$3:$N$3,0))</f>
        <v>2.7434235132776457</v>
      </c>
      <c r="I1396" s="521">
        <f>INDEX('Fuel Model -  Input'!$B$3:$N$373,MATCH($B1396,'Fuel Model -  Input'!$B$3:$B$373,0),MATCH(I$2,'Fuel Model -  Input'!$B$3:$N$3,0))</f>
        <v>2.7434235132776457</v>
      </c>
      <c r="J1396" s="521">
        <f>INDEX('Fuel Model -  Input'!$B$3:$N$373,MATCH($B1396,'Fuel Model -  Input'!$B$3:$B$373,0),MATCH(J$2,'Fuel Model -  Input'!$B$3:$N$3,0))</f>
        <v>2.7434235132776457</v>
      </c>
      <c r="K1396" s="521">
        <f>INDEX('Fuel Model -  Input'!$B$3:$N$373,MATCH($B1396,'Fuel Model -  Input'!$B$3:$B$373,0),MATCH(K$2,'Fuel Model -  Input'!$B$3:$N$3,0))</f>
        <v>2.7434235132776457</v>
      </c>
      <c r="L1396" s="521">
        <f>INDEX('Fuel Model -  Input'!$B$3:$N$373,MATCH($B1396,'Fuel Model -  Input'!$B$3:$B$373,0),MATCH(L$2,'Fuel Model -  Input'!$B$3:$N$3,0))</f>
        <v>2.7434235132776457</v>
      </c>
      <c r="M1396" s="521">
        <f>INDEX('Fuel Model -  Input'!$B$3:$N$373,MATCH($B1396,'Fuel Model -  Input'!$B$3:$B$373,0),MATCH(M$2,'Fuel Model -  Input'!$B$3:$N$3,0))</f>
        <v>2.7434235132776457</v>
      </c>
    </row>
    <row r="1397" spans="2:13" hidden="1" outlineLevel="2" x14ac:dyDescent="0.2">
      <c r="B1397" s="78" t="str">
        <f>+C1397&amp;D1397&amp;E1397&amp;F1397</f>
        <v>AsiaFeedstockCost of CO2 PSUSD/ton</v>
      </c>
      <c r="C1397" s="157" t="str">
        <f>+$B$1360</f>
        <v>Asia</v>
      </c>
      <c r="D1397" t="s">
        <v>777</v>
      </c>
      <c r="E1397" t="s">
        <v>1011</v>
      </c>
      <c r="F1397" s="128" t="s">
        <v>205</v>
      </c>
      <c r="G1397" s="532">
        <f t="shared" ref="G1397:M1397" si="775">INDEX(G$1538:G$1542,MATCH($B1397,$B$1538:$B$1542,0))</f>
        <v>196.0110921002601</v>
      </c>
      <c r="H1397" s="532">
        <f t="shared" si="775"/>
        <v>155.50436268940587</v>
      </c>
      <c r="I1397" s="532">
        <f t="shared" si="775"/>
        <v>123.23207213604563</v>
      </c>
      <c r="J1397" s="532">
        <f t="shared" si="775"/>
        <v>109.38084627168502</v>
      </c>
      <c r="K1397" s="532">
        <f t="shared" si="775"/>
        <v>97.06844553314329</v>
      </c>
      <c r="L1397" s="532">
        <f t="shared" si="775"/>
        <v>84.68167386247967</v>
      </c>
      <c r="M1397" s="532">
        <f t="shared" si="775"/>
        <v>73.196863289212644</v>
      </c>
    </row>
    <row r="1398" spans="2:13" hidden="1" outlineLevel="2" x14ac:dyDescent="0.2">
      <c r="C1398" s="157"/>
      <c r="F1398" s="128"/>
      <c r="G1398" s="520"/>
      <c r="H1398" s="520"/>
      <c r="I1398" s="520"/>
      <c r="J1398" s="520"/>
      <c r="K1398" s="520"/>
      <c r="L1398" s="520"/>
      <c r="M1398" s="520"/>
    </row>
    <row r="1399" spans="2:13" hidden="1" outlineLevel="2" x14ac:dyDescent="0.2">
      <c r="B1399" s="78" t="str">
        <f>+C1399&amp;D1399&amp;E1399&amp;F1399</f>
        <v>AsiaFeedstockFeedstock H2USD/ton e Methane</v>
      </c>
      <c r="C1399" s="157" t="str">
        <f>+$B$1360</f>
        <v>Asia</v>
      </c>
      <c r="D1399" t="s">
        <v>777</v>
      </c>
      <c r="E1399" s="48" t="s">
        <v>970</v>
      </c>
      <c r="F1399" s="128" t="s">
        <v>1105</v>
      </c>
      <c r="G1399" s="8">
        <f t="shared" ref="G1399:M1399" si="776">G1402*G1403</f>
        <v>3127.8455287669026</v>
      </c>
      <c r="H1399" s="8">
        <f t="shared" si="776"/>
        <v>2197.6173126919339</v>
      </c>
      <c r="I1399" s="8">
        <f t="shared" si="776"/>
        <v>1788.213262746842</v>
      </c>
      <c r="J1399" s="8">
        <f t="shared" si="776"/>
        <v>1555.3900993808829</v>
      </c>
      <c r="K1399" s="8">
        <f t="shared" si="776"/>
        <v>1334.3686972464386</v>
      </c>
      <c r="L1399" s="8">
        <f t="shared" si="776"/>
        <v>1063.7933318832793</v>
      </c>
      <c r="M1399" s="8">
        <f t="shared" si="776"/>
        <v>843.65553906850039</v>
      </c>
    </row>
    <row r="1400" spans="2:13" hidden="1" outlineLevel="2" x14ac:dyDescent="0.2">
      <c r="B1400" t="str">
        <f>+C1400&amp;D1400&amp;E1400&amp;F1400</f>
        <v>AsiaResultsShare of RNE e-Hydrogen (compressed)%</v>
      </c>
      <c r="C1400" s="157" t="str">
        <f>+$B$1360</f>
        <v>Asia</v>
      </c>
      <c r="D1400" t="s">
        <v>838</v>
      </c>
      <c r="E1400" s="48" t="s">
        <v>848</v>
      </c>
      <c r="F1400" s="128" t="s">
        <v>178</v>
      </c>
      <c r="G1400" s="537">
        <f t="shared" ref="G1400:M1400" si="777">+INDEX($A:$M,MATCH($B1400,$B:$B,0),MATCH(G$2,$2:$2,0))</f>
        <v>0.71171470575112383</v>
      </c>
      <c r="H1400" s="537">
        <f t="shared" si="777"/>
        <v>0.65764942468259024</v>
      </c>
      <c r="I1400" s="537">
        <f t="shared" si="777"/>
        <v>0.64500466105666143</v>
      </c>
      <c r="J1400" s="537">
        <f t="shared" si="777"/>
        <v>0.6001588645512016</v>
      </c>
      <c r="K1400" s="537">
        <f t="shared" si="777"/>
        <v>0.60337213548423452</v>
      </c>
      <c r="L1400" s="537">
        <f t="shared" si="777"/>
        <v>0.62978181131314648</v>
      </c>
      <c r="M1400" s="537">
        <f t="shared" si="777"/>
        <v>0.70883732578080483</v>
      </c>
    </row>
    <row r="1401" spans="2:13" hidden="1" outlineLevel="2" x14ac:dyDescent="0.2">
      <c r="B1401" t="str">
        <f>+C1401&amp;D1401&amp;E1401&amp;F1401</f>
        <v>AsiaResultsShare of Capex e-Hydrogen (compressed)%</v>
      </c>
      <c r="C1401" s="157" t="str">
        <f>+$B$1360</f>
        <v>Asia</v>
      </c>
      <c r="D1401" t="s">
        <v>838</v>
      </c>
      <c r="E1401" s="48" t="s">
        <v>850</v>
      </c>
      <c r="F1401" s="128" t="s">
        <v>178</v>
      </c>
      <c r="G1401" s="537">
        <f t="shared" ref="G1401:M1401" si="778">+INDEX(G$4:G$581,MATCH($B1401,$B$4:$B$581,0))</f>
        <v>0.13340872772517207</v>
      </c>
      <c r="H1401" s="537">
        <f t="shared" si="778"/>
        <v>0.15913088980078732</v>
      </c>
      <c r="I1401" s="537">
        <f t="shared" si="778"/>
        <v>0.17114118442928317</v>
      </c>
      <c r="J1401" s="537">
        <f t="shared" si="778"/>
        <v>0.20721797795257735</v>
      </c>
      <c r="K1401" s="537">
        <f t="shared" si="778"/>
        <v>0.22225612893609092</v>
      </c>
      <c r="L1401" s="537">
        <f t="shared" si="778"/>
        <v>0.22267131994730532</v>
      </c>
      <c r="M1401" s="537">
        <f t="shared" si="778"/>
        <v>0.18393425379416975</v>
      </c>
    </row>
    <row r="1402" spans="2:13" hidden="1" outlineLevel="2" x14ac:dyDescent="0.2">
      <c r="B1402" s="78" t="str">
        <f>+C1402&amp;D1402&amp;E1402&amp;F1402</f>
        <v>GlobalFeedstockConversion H2 : e  Methane (actual)tons H2/ton e Methane</v>
      </c>
      <c r="C1402" s="157" t="s">
        <v>109</v>
      </c>
      <c r="D1402" t="s">
        <v>777</v>
      </c>
      <c r="E1402" t="s">
        <v>1110</v>
      </c>
      <c r="F1402" s="128" t="s">
        <v>1111</v>
      </c>
      <c r="G1402" s="521">
        <f>+INDEX('Fuel Model -  Input'!$B$3:$N$373,MATCH($B1402,'Fuel Model -  Input'!$B$3:$B$373,0),MATCH(G$2,'Fuel Model -  Input'!$B$3:$N$3,0))</f>
        <v>0.5</v>
      </c>
      <c r="H1402" s="521">
        <f>+INDEX('Fuel Model -  Input'!$B$3:$N$373,MATCH($B1402,'Fuel Model -  Input'!$B$3:$B$373,0),MATCH(H$2,'Fuel Model -  Input'!$B$3:$N$3,0))</f>
        <v>0.5</v>
      </c>
      <c r="I1402" s="521">
        <f>+INDEX('Fuel Model -  Input'!$B$3:$N$373,MATCH($B1402,'Fuel Model -  Input'!$B$3:$B$373,0),MATCH(I$2,'Fuel Model -  Input'!$B$3:$N$3,0))</f>
        <v>0.5</v>
      </c>
      <c r="J1402" s="521">
        <f>+INDEX('Fuel Model -  Input'!$B$3:$N$373,MATCH($B1402,'Fuel Model -  Input'!$B$3:$B$373,0),MATCH(J$2,'Fuel Model -  Input'!$B$3:$N$3,0))</f>
        <v>0.5</v>
      </c>
      <c r="K1402" s="521">
        <f>+INDEX('Fuel Model -  Input'!$B$3:$N$373,MATCH($B1402,'Fuel Model -  Input'!$B$3:$B$373,0),MATCH(K$2,'Fuel Model -  Input'!$B$3:$N$3,0))</f>
        <v>0.5</v>
      </c>
      <c r="L1402" s="521">
        <f>+INDEX('Fuel Model -  Input'!$B$3:$N$373,MATCH($B1402,'Fuel Model -  Input'!$B$3:$B$373,0),MATCH(L$2,'Fuel Model -  Input'!$B$3:$N$3,0))</f>
        <v>0.5</v>
      </c>
      <c r="M1402" s="521">
        <f>+INDEX('Fuel Model -  Input'!$B$3:$N$373,MATCH($B1402,'Fuel Model -  Input'!$B$3:$B$373,0),MATCH(M$2,'Fuel Model -  Input'!$B$3:$N$3,0))</f>
        <v>0.5</v>
      </c>
    </row>
    <row r="1403" spans="2:13" hidden="1" outlineLevel="2" x14ac:dyDescent="0.2">
      <c r="B1403" s="78" t="str">
        <f>+C1403&amp;D1403&amp;E1403&amp;F1403</f>
        <v>AsiaResultsCost of e-Hydrogen (compressed)USD/ton</v>
      </c>
      <c r="C1403" s="157" t="str">
        <f>+$B$1360</f>
        <v>Asia</v>
      </c>
      <c r="D1403" t="s">
        <v>838</v>
      </c>
      <c r="E1403" t="s">
        <v>846</v>
      </c>
      <c r="F1403" s="128" t="s">
        <v>205</v>
      </c>
      <c r="G1403" s="532">
        <f>INDEX(G$4:G1402,MATCH($B1403,$B$4:$B1402,0))</f>
        <v>6255.6910575338052</v>
      </c>
      <c r="H1403" s="532">
        <f>INDEX(H$4:H1402,MATCH($B1403,$B$4:$B1402,0))</f>
        <v>4395.2346253838678</v>
      </c>
      <c r="I1403" s="532">
        <f>INDEX(I$4:I1402,MATCH($B1403,$B$4:$B1402,0))</f>
        <v>3576.426525493684</v>
      </c>
      <c r="J1403" s="532">
        <f>INDEX(J$4:J1402,MATCH($B1403,$B$4:$B1402,0))</f>
        <v>3110.7801987617659</v>
      </c>
      <c r="K1403" s="532">
        <f>INDEX(K$4:K1402,MATCH($B1403,$B$4:$B1402,0))</f>
        <v>2668.7373944928772</v>
      </c>
      <c r="L1403" s="532">
        <f>INDEX(L$4:L1402,MATCH($B1403,$B$4:$B1402,0))</f>
        <v>2127.5866637665586</v>
      </c>
      <c r="M1403" s="532">
        <f>INDEX(M$4:M1402,MATCH($B1403,$B$4:$B1402,0))</f>
        <v>1687.3110781370008</v>
      </c>
    </row>
    <row r="1404" spans="2:13" hidden="1" outlineLevel="1" x14ac:dyDescent="0.2">
      <c r="C1404" s="157"/>
      <c r="F1404"/>
    </row>
    <row r="1405" spans="2:13" s="30" customFormat="1" ht="15" hidden="1" outlineLevel="1" collapsed="1" x14ac:dyDescent="0.25">
      <c r="B1405" s="30" t="s">
        <v>199</v>
      </c>
      <c r="C1405" s="515" t="str">
        <f>+B1405</f>
        <v>Americas</v>
      </c>
    </row>
    <row r="1406" spans="2:13" ht="15" hidden="1" outlineLevel="2" x14ac:dyDescent="0.25">
      <c r="B1406" s="157" t="str">
        <f t="shared" ref="B1406:B1411" si="779">+C1406&amp;D1406&amp;E1406&amp;F1406</f>
        <v>AmericasResultsTotal cost of e-Methane (DAC)USD/ton</v>
      </c>
      <c r="C1406" s="157" t="str">
        <f t="shared" ref="C1406:C1415" si="780">+$B$1405</f>
        <v>Americas</v>
      </c>
      <c r="D1406" s="515" t="s">
        <v>838</v>
      </c>
      <c r="E1406" s="535" t="s">
        <v>1084</v>
      </c>
      <c r="F1406" s="489" t="s">
        <v>205</v>
      </c>
      <c r="G1406" s="492">
        <f>+G1408+G1410+G1412+G1414</f>
        <v>3218.6511556183464</v>
      </c>
      <c r="H1406" s="492">
        <f t="shared" ref="H1406:M1406" si="781">+H1408+H1410+H1412+H1414</f>
        <v>2762.4571631752347</v>
      </c>
      <c r="I1406" s="492">
        <f t="shared" si="781"/>
        <v>2285.1728826636972</v>
      </c>
      <c r="J1406" s="492">
        <f t="shared" si="781"/>
        <v>2061.1341925032748</v>
      </c>
      <c r="K1406" s="492">
        <f t="shared" si="781"/>
        <v>1789.3792014172022</v>
      </c>
      <c r="L1406" s="492">
        <f t="shared" si="781"/>
        <v>1515.2245453819578</v>
      </c>
      <c r="M1406" s="492">
        <f t="shared" si="781"/>
        <v>1251.764057616042</v>
      </c>
    </row>
    <row r="1407" spans="2:13" ht="15" hidden="1" outlineLevel="2" x14ac:dyDescent="0.25">
      <c r="B1407" s="157" t="str">
        <f t="shared" si="779"/>
        <v>AmericasResultsTotal cost of e-Methane (PS)USD/ton</v>
      </c>
      <c r="C1407" s="157" t="str">
        <f t="shared" si="780"/>
        <v>Americas</v>
      </c>
      <c r="D1407" s="515" t="s">
        <v>838</v>
      </c>
      <c r="E1407" s="535" t="s">
        <v>1085</v>
      </c>
      <c r="F1407" s="489" t="s">
        <v>205</v>
      </c>
      <c r="G1407" s="492">
        <f t="shared" ref="G1407:M1407" si="782">+G1409+G1411+G1413+G1415</f>
        <v>2988.7679692163292</v>
      </c>
      <c r="H1407" s="492">
        <f t="shared" si="782"/>
        <v>2570.3654541977171</v>
      </c>
      <c r="I1407" s="492">
        <f t="shared" si="782"/>
        <v>2128.8109621286812</v>
      </c>
      <c r="J1407" s="492">
        <f t="shared" si="782"/>
        <v>1951.4923640758857</v>
      </c>
      <c r="K1407" s="492">
        <f t="shared" si="782"/>
        <v>1711.7555282661592</v>
      </c>
      <c r="L1407" s="492">
        <f t="shared" si="782"/>
        <v>1453.2744767244083</v>
      </c>
      <c r="M1407" s="492">
        <f t="shared" si="782"/>
        <v>1197.9733475530977</v>
      </c>
    </row>
    <row r="1408" spans="2:13" ht="15" hidden="1" outlineLevel="2" x14ac:dyDescent="0.25">
      <c r="B1408" s="157" t="str">
        <f t="shared" si="779"/>
        <v>AmericasResultsTotal Capex e-Methane (DAC)USD/ton</v>
      </c>
      <c r="C1408" s="157" t="str">
        <f t="shared" si="780"/>
        <v>Americas</v>
      </c>
      <c r="D1408" s="515" t="s">
        <v>838</v>
      </c>
      <c r="E1408" s="536" t="s">
        <v>1086</v>
      </c>
      <c r="F1408" s="489" t="s">
        <v>205</v>
      </c>
      <c r="G1408" s="490">
        <f>G1421+G1425+G1444*G1446</f>
        <v>779.76934830215805</v>
      </c>
      <c r="H1408" s="490">
        <f t="shared" ref="H1408:M1408" si="783">H1421+H1425+H1444*H1446</f>
        <v>669.47546507694926</v>
      </c>
      <c r="I1408" s="490">
        <f t="shared" si="783"/>
        <v>597.32644088272252</v>
      </c>
      <c r="J1408" s="490">
        <f t="shared" si="783"/>
        <v>600.24152790094456</v>
      </c>
      <c r="K1408" s="490">
        <f t="shared" si="783"/>
        <v>561.26080769795669</v>
      </c>
      <c r="L1408" s="490">
        <f t="shared" si="783"/>
        <v>482.23733717358937</v>
      </c>
      <c r="M1408" s="490">
        <f t="shared" si="783"/>
        <v>381.31048537121603</v>
      </c>
    </row>
    <row r="1409" spans="2:15" ht="15" hidden="1" outlineLevel="2" x14ac:dyDescent="0.25">
      <c r="B1409" s="157" t="str">
        <f t="shared" si="779"/>
        <v>AmericasResultsTotal Capex e-Methane (PS)USD/ton</v>
      </c>
      <c r="C1409" s="157" t="str">
        <f t="shared" si="780"/>
        <v>Americas</v>
      </c>
      <c r="D1409" s="515" t="s">
        <v>838</v>
      </c>
      <c r="E1409" s="536" t="s">
        <v>1087</v>
      </c>
      <c r="F1409" s="489" t="s">
        <v>205</v>
      </c>
      <c r="G1409" s="490">
        <f t="shared" ref="G1409:M1409" si="784">+G1408</f>
        <v>779.76934830215805</v>
      </c>
      <c r="H1409" s="490">
        <f t="shared" si="784"/>
        <v>669.47546507694926</v>
      </c>
      <c r="I1409" s="490">
        <f t="shared" si="784"/>
        <v>597.32644088272252</v>
      </c>
      <c r="J1409" s="490">
        <f t="shared" si="784"/>
        <v>600.24152790094456</v>
      </c>
      <c r="K1409" s="490">
        <f t="shared" si="784"/>
        <v>561.26080769795669</v>
      </c>
      <c r="L1409" s="490">
        <f t="shared" si="784"/>
        <v>482.23733717358937</v>
      </c>
      <c r="M1409" s="490">
        <f t="shared" si="784"/>
        <v>381.31048537121603</v>
      </c>
    </row>
    <row r="1410" spans="2:15" ht="15" hidden="1" outlineLevel="2" x14ac:dyDescent="0.25">
      <c r="B1410" s="157" t="str">
        <f t="shared" si="779"/>
        <v>AmericasResultsTotal Opex e-Methane (DAC)USD/ton</v>
      </c>
      <c r="C1410" s="157" t="str">
        <f t="shared" si="780"/>
        <v>Americas</v>
      </c>
      <c r="D1410" s="515" t="s">
        <v>838</v>
      </c>
      <c r="E1410" s="536" t="s">
        <v>1088</v>
      </c>
      <c r="F1410" s="489" t="s">
        <v>205</v>
      </c>
      <c r="G1410" s="490">
        <f>SUM(G1418,G1429)+G1444*(1-SUM(G1445:G1446))</f>
        <v>651.80981953382809</v>
      </c>
      <c r="H1410" s="490">
        <f t="shared" ref="H1410:M1410" si="785">SUM(H1418,H1429)+H1444*(1-SUM(H1445:H1446))</f>
        <v>533.34737517580777</v>
      </c>
      <c r="I1410" s="490">
        <f t="shared" si="785"/>
        <v>434.01828100838009</v>
      </c>
      <c r="J1410" s="490">
        <f t="shared" si="785"/>
        <v>394.99794593526224</v>
      </c>
      <c r="K1410" s="490">
        <f t="shared" si="785"/>
        <v>318.56704125169222</v>
      </c>
      <c r="L1410" s="490">
        <f t="shared" si="785"/>
        <v>228.64474473146186</v>
      </c>
      <c r="M1410" s="490">
        <f t="shared" si="785"/>
        <v>148.09242414522615</v>
      </c>
    </row>
    <row r="1411" spans="2:15" ht="15" hidden="1" outlineLevel="2" x14ac:dyDescent="0.25">
      <c r="B1411" s="157" t="str">
        <f t="shared" si="779"/>
        <v>AmericasResultsTotal Opex e-Methane (PS)USD/ton</v>
      </c>
      <c r="C1411" s="157" t="str">
        <f t="shared" si="780"/>
        <v>Americas</v>
      </c>
      <c r="D1411" s="515" t="s">
        <v>838</v>
      </c>
      <c r="E1411" s="536" t="s">
        <v>1089</v>
      </c>
      <c r="F1411" s="489" t="s">
        <v>205</v>
      </c>
      <c r="G1411" s="490">
        <f t="shared" ref="G1411:M1411" si="786">+G1410</f>
        <v>651.80981953382809</v>
      </c>
      <c r="H1411" s="490">
        <f t="shared" si="786"/>
        <v>533.34737517580777</v>
      </c>
      <c r="I1411" s="490">
        <f t="shared" si="786"/>
        <v>434.01828100838009</v>
      </c>
      <c r="J1411" s="490">
        <f t="shared" si="786"/>
        <v>394.99794593526224</v>
      </c>
      <c r="K1411" s="490">
        <f t="shared" si="786"/>
        <v>318.56704125169222</v>
      </c>
      <c r="L1411" s="490">
        <f t="shared" si="786"/>
        <v>228.64474473146186</v>
      </c>
      <c r="M1411" s="490">
        <f t="shared" si="786"/>
        <v>148.09242414522615</v>
      </c>
    </row>
    <row r="1412" spans="2:15" ht="15" hidden="1" outlineLevel="2" x14ac:dyDescent="0.25">
      <c r="B1412" s="157" t="str">
        <f>+C1412&amp;D1412&amp;E1412&amp;F1412</f>
        <v>AmericasResultsTotal RNE e-Methane (DAC)USD/ton</v>
      </c>
      <c r="C1412" s="157" t="str">
        <f t="shared" si="780"/>
        <v>Americas</v>
      </c>
      <c r="D1412" s="515" t="s">
        <v>838</v>
      </c>
      <c r="E1412" s="536" t="s">
        <v>1090</v>
      </c>
      <c r="F1412" s="489" t="s">
        <v>205</v>
      </c>
      <c r="G1412" s="490">
        <f>+G1432+G1444*G1445</f>
        <v>1072.6502350078174</v>
      </c>
      <c r="H1412" s="490">
        <f t="shared" ref="H1412:M1412" si="787">+H1432+H1444*H1445</f>
        <v>963.59508313847357</v>
      </c>
      <c r="I1412" s="490">
        <f t="shared" si="787"/>
        <v>777.34744618639354</v>
      </c>
      <c r="J1412" s="490">
        <f t="shared" si="787"/>
        <v>669.36071497219064</v>
      </c>
      <c r="K1412" s="490">
        <f t="shared" si="787"/>
        <v>577.53968738687286</v>
      </c>
      <c r="L1412" s="490">
        <f t="shared" si="787"/>
        <v>518.66201750152857</v>
      </c>
      <c r="M1412" s="490">
        <f t="shared" si="787"/>
        <v>475.19173628707921</v>
      </c>
    </row>
    <row r="1413" spans="2:15" ht="15" hidden="1" outlineLevel="2" x14ac:dyDescent="0.25">
      <c r="B1413" s="157" t="str">
        <f>+C1413&amp;D1413&amp;E1413&amp;F1413</f>
        <v>AmericasResultsTotal RNE e-Methane (PS)USD/ton</v>
      </c>
      <c r="C1413" s="157" t="str">
        <f t="shared" si="780"/>
        <v>Americas</v>
      </c>
      <c r="D1413" s="515" t="s">
        <v>838</v>
      </c>
      <c r="E1413" s="536" t="s">
        <v>1091</v>
      </c>
      <c r="F1413" s="489" t="s">
        <v>205</v>
      </c>
      <c r="G1413" s="490">
        <f>+G1412</f>
        <v>1072.6502350078174</v>
      </c>
      <c r="H1413" s="490">
        <f t="shared" ref="H1413:M1413" si="788">+H1412</f>
        <v>963.59508313847357</v>
      </c>
      <c r="I1413" s="490">
        <f t="shared" si="788"/>
        <v>777.34744618639354</v>
      </c>
      <c r="J1413" s="490">
        <f t="shared" si="788"/>
        <v>669.36071497219064</v>
      </c>
      <c r="K1413" s="490">
        <f t="shared" si="788"/>
        <v>577.53968738687286</v>
      </c>
      <c r="L1413" s="490">
        <f t="shared" si="788"/>
        <v>518.66201750152857</v>
      </c>
      <c r="M1413" s="490">
        <f t="shared" si="788"/>
        <v>475.19173628707921</v>
      </c>
    </row>
    <row r="1414" spans="2:15" ht="15" hidden="1" outlineLevel="2" x14ac:dyDescent="0.25">
      <c r="B1414" s="157" t="str">
        <f>+C1414&amp;D1414&amp;E1414&amp;F1414</f>
        <v>AmericasResultsTotal CO2 e-Methane (DAC)USD/ton</v>
      </c>
      <c r="C1414" s="157" t="str">
        <f t="shared" si="780"/>
        <v>Americas</v>
      </c>
      <c r="D1414" s="515" t="s">
        <v>838</v>
      </c>
      <c r="E1414" s="536" t="s">
        <v>1092</v>
      </c>
      <c r="F1414" s="489" t="s">
        <v>205</v>
      </c>
      <c r="G1414" s="490">
        <f>+G1436</f>
        <v>714.4217527745426</v>
      </c>
      <c r="H1414" s="490">
        <f t="shared" ref="H1414:M1414" si="789">+H1436</f>
        <v>596.03923978400405</v>
      </c>
      <c r="I1414" s="490">
        <f t="shared" si="789"/>
        <v>476.48071458620097</v>
      </c>
      <c r="J1414" s="490">
        <f t="shared" si="789"/>
        <v>396.53400369487724</v>
      </c>
      <c r="K1414" s="490">
        <f t="shared" si="789"/>
        <v>332.01166508068047</v>
      </c>
      <c r="L1414" s="490">
        <f t="shared" si="789"/>
        <v>285.68044597537795</v>
      </c>
      <c r="M1414" s="490">
        <f t="shared" si="789"/>
        <v>247.16941181252054</v>
      </c>
    </row>
    <row r="1415" spans="2:15" ht="15" hidden="1" outlineLevel="2" x14ac:dyDescent="0.25">
      <c r="B1415" s="157" t="str">
        <f>+C1415&amp;D1415&amp;E1415&amp;F1415</f>
        <v>AmericasResultsTotal CO2 e-Methane (PS)USD/ton</v>
      </c>
      <c r="C1415" s="157" t="str">
        <f t="shared" si="780"/>
        <v>Americas</v>
      </c>
      <c r="D1415" s="515" t="s">
        <v>838</v>
      </c>
      <c r="E1415" s="536" t="s">
        <v>1093</v>
      </c>
      <c r="F1415" s="489" t="s">
        <v>205</v>
      </c>
      <c r="G1415" s="490">
        <f>+G1440</f>
        <v>484.53856637252545</v>
      </c>
      <c r="H1415" s="490">
        <f t="shared" ref="H1415:M1415" si="790">+H1440</f>
        <v>403.94753080648672</v>
      </c>
      <c r="I1415" s="490">
        <f t="shared" si="790"/>
        <v>320.11879405118475</v>
      </c>
      <c r="J1415" s="490">
        <f t="shared" si="790"/>
        <v>286.89217526748831</v>
      </c>
      <c r="K1415" s="490">
        <f t="shared" si="790"/>
        <v>254.38799192963725</v>
      </c>
      <c r="L1415" s="490">
        <f t="shared" si="790"/>
        <v>223.73037731782853</v>
      </c>
      <c r="M1415" s="490">
        <f t="shared" si="790"/>
        <v>193.37870174957624</v>
      </c>
    </row>
    <row r="1416" spans="2:15" hidden="1" outlineLevel="2" x14ac:dyDescent="0.2">
      <c r="C1416" s="157"/>
      <c r="E1416" s="48"/>
      <c r="F1416" s="128"/>
      <c r="G1416" s="8"/>
      <c r="H1416" s="8"/>
      <c r="I1416" s="8"/>
      <c r="J1416" s="8"/>
      <c r="K1416" s="8"/>
      <c r="L1416" s="8"/>
      <c r="M1416" s="8"/>
    </row>
    <row r="1417" spans="2:15" hidden="1" outlineLevel="2" x14ac:dyDescent="0.2">
      <c r="B1417" s="48" t="str">
        <f t="shared" ref="B1417:B1423" si="791">+C1417&amp;D1417&amp;E1417&amp;F1417</f>
        <v>AmericasResultsCH4 Liquifaction costUSD/ton</v>
      </c>
      <c r="C1417" s="157" t="str">
        <f>+$B$1405</f>
        <v>Americas</v>
      </c>
      <c r="D1417" t="s">
        <v>838</v>
      </c>
      <c r="E1417" s="48" t="s">
        <v>1094</v>
      </c>
      <c r="F1417" s="128" t="s">
        <v>205</v>
      </c>
      <c r="G1417" s="8">
        <f t="shared" ref="G1417:M1417" si="792">SUM(G1418,G1421)</f>
        <v>226.86729921038804</v>
      </c>
      <c r="H1417" s="8">
        <f t="shared" si="792"/>
        <v>219.85062225850677</v>
      </c>
      <c r="I1417" s="8">
        <f t="shared" si="792"/>
        <v>211.37068191264746</v>
      </c>
      <c r="J1417" s="8">
        <f t="shared" si="792"/>
        <v>204.99719710060219</v>
      </c>
      <c r="K1417" s="8">
        <f t="shared" si="792"/>
        <v>199.08004208411</v>
      </c>
      <c r="L1417" s="8">
        <f t="shared" si="792"/>
        <v>194.16310810473746</v>
      </c>
      <c r="M1417" s="8">
        <f t="shared" si="792"/>
        <v>189.49523997475436</v>
      </c>
      <c r="O1417" t="s">
        <v>1095</v>
      </c>
    </row>
    <row r="1418" spans="2:15" hidden="1" outlineLevel="2" x14ac:dyDescent="0.2">
      <c r="B1418" s="48" t="str">
        <f t="shared" si="791"/>
        <v>AmericasResultsCH4 Liquifaction opexUSD/ton</v>
      </c>
      <c r="C1418" s="157" t="str">
        <f>+$B$1405</f>
        <v>Americas</v>
      </c>
      <c r="D1418" t="s">
        <v>838</v>
      </c>
      <c r="E1418" t="s">
        <v>1096</v>
      </c>
      <c r="F1418" s="450" t="s">
        <v>205</v>
      </c>
      <c r="G1418" s="14">
        <f t="shared" ref="G1418:M1418" si="793">G1419*G1420</f>
        <v>23.379843421890563</v>
      </c>
      <c r="H1418" s="14">
        <f t="shared" si="793"/>
        <v>21.100622258506721</v>
      </c>
      <c r="I1418" s="14">
        <f t="shared" si="793"/>
        <v>17.247843495239135</v>
      </c>
      <c r="J1418" s="14">
        <f t="shared" si="793"/>
        <v>15.393793854155806</v>
      </c>
      <c r="K1418" s="14">
        <f t="shared" si="793"/>
        <v>13.890855609641479</v>
      </c>
      <c r="L1418" s="14">
        <f t="shared" si="793"/>
        <v>13.28536962607304</v>
      </c>
      <c r="M1418" s="14">
        <f t="shared" si="793"/>
        <v>12.828573308087629</v>
      </c>
      <c r="N1418" s="93"/>
    </row>
    <row r="1419" spans="2:15" hidden="1" outlineLevel="2" x14ac:dyDescent="0.2">
      <c r="B1419" s="48" t="str">
        <f t="shared" si="791"/>
        <v>AmericasFeedstockElectricityUSD/MWh</v>
      </c>
      <c r="C1419" s="157" t="str">
        <f>+$B$1405</f>
        <v>Americas</v>
      </c>
      <c r="D1419" t="s">
        <v>777</v>
      </c>
      <c r="E1419" t="s">
        <v>54</v>
      </c>
      <c r="F1419" s="450" t="s">
        <v>196</v>
      </c>
      <c r="G1419" s="532">
        <f>+INDEX('Fuel Model -  Input'!$B$3:$N$373,MATCH($B1419,'Fuel Model -  Input'!$B$3:$B$373,0),MATCH(G$2,'Fuel Model -  Input'!$B$3:$N$3,0))</f>
        <v>38.96640570315094</v>
      </c>
      <c r="H1419" s="532">
        <f>+INDEX('Fuel Model -  Input'!$B$3:$N$373,MATCH($B1419,'Fuel Model -  Input'!$B$3:$B$373,0),MATCH(H$2,'Fuel Model -  Input'!$B$3:$N$3,0))</f>
        <v>35.167703764177872</v>
      </c>
      <c r="I1419" s="532">
        <f>+INDEX('Fuel Model -  Input'!$B$3:$N$373,MATCH($B1419,'Fuel Model -  Input'!$B$3:$B$373,0),MATCH(I$2,'Fuel Model -  Input'!$B$3:$N$3,0))</f>
        <v>28.746405825398561</v>
      </c>
      <c r="J1419" s="532">
        <f>+INDEX('Fuel Model -  Input'!$B$3:$N$373,MATCH($B1419,'Fuel Model -  Input'!$B$3:$B$373,0),MATCH(J$2,'Fuel Model -  Input'!$B$3:$N$3,0))</f>
        <v>25.656323090259679</v>
      </c>
      <c r="K1419" s="532">
        <f>+INDEX('Fuel Model -  Input'!$B$3:$N$373,MATCH($B1419,'Fuel Model -  Input'!$B$3:$B$373,0),MATCH(K$2,'Fuel Model -  Input'!$B$3:$N$3,0))</f>
        <v>23.151426016069131</v>
      </c>
      <c r="L1419" s="532">
        <f>+INDEX('Fuel Model -  Input'!$B$3:$N$373,MATCH($B1419,'Fuel Model -  Input'!$B$3:$B$373,0),MATCH(L$2,'Fuel Model -  Input'!$B$3:$N$3,0))</f>
        <v>22.142282710121734</v>
      </c>
      <c r="M1419" s="532">
        <f>+INDEX('Fuel Model -  Input'!$B$3:$N$373,MATCH($B1419,'Fuel Model -  Input'!$B$3:$B$373,0),MATCH(M$2,'Fuel Model -  Input'!$B$3:$N$3,0))</f>
        <v>21.380955513479382</v>
      </c>
      <c r="N1419" s="93"/>
    </row>
    <row r="1420" spans="2:15" hidden="1" outlineLevel="2" x14ac:dyDescent="0.2">
      <c r="B1420" s="48" t="str">
        <f t="shared" si="791"/>
        <v>GlobalProcess - OpexCH4 LiquifactionmWh/ ton e CH4</v>
      </c>
      <c r="C1420" s="157" t="s">
        <v>109</v>
      </c>
      <c r="D1420" t="s">
        <v>876</v>
      </c>
      <c r="E1420" t="s">
        <v>1097</v>
      </c>
      <c r="F1420" s="450" t="s">
        <v>1098</v>
      </c>
      <c r="G1420" s="542">
        <f>+INDEX('Fuel Model -  Input'!$B$3:$N$373,MATCH($B1420,'Fuel Model -  Input'!$B$3:$B$373,0),MATCH(G$2,'Fuel Model -  Input'!$B$3:$N$3,0))</f>
        <v>0.6</v>
      </c>
      <c r="H1420" s="542">
        <f>+INDEX('Fuel Model -  Input'!$B$3:$N$373,MATCH($B1420,'Fuel Model -  Input'!$B$3:$B$373,0),MATCH(H$2,'Fuel Model -  Input'!$B$3:$N$3,0))</f>
        <v>0.6</v>
      </c>
      <c r="I1420" s="542">
        <f>+INDEX('Fuel Model -  Input'!$B$3:$N$373,MATCH($B1420,'Fuel Model -  Input'!$B$3:$B$373,0),MATCH(I$2,'Fuel Model -  Input'!$B$3:$N$3,0))</f>
        <v>0.6</v>
      </c>
      <c r="J1420" s="542">
        <f>+INDEX('Fuel Model -  Input'!$B$3:$N$373,MATCH($B1420,'Fuel Model -  Input'!$B$3:$B$373,0),MATCH(J$2,'Fuel Model -  Input'!$B$3:$N$3,0))</f>
        <v>0.6</v>
      </c>
      <c r="K1420" s="542">
        <f>+INDEX('Fuel Model -  Input'!$B$3:$N$373,MATCH($B1420,'Fuel Model -  Input'!$B$3:$B$373,0),MATCH(K$2,'Fuel Model -  Input'!$B$3:$N$3,0))</f>
        <v>0.6</v>
      </c>
      <c r="L1420" s="542">
        <f>+INDEX('Fuel Model -  Input'!$B$3:$N$373,MATCH($B1420,'Fuel Model -  Input'!$B$3:$B$373,0),MATCH(L$2,'Fuel Model -  Input'!$B$3:$N$3,0))</f>
        <v>0.6</v>
      </c>
      <c r="M1420" s="542">
        <f>+INDEX('Fuel Model -  Input'!$B$3:$N$373,MATCH($B1420,'Fuel Model -  Input'!$B$3:$B$373,0),MATCH(M$2,'Fuel Model -  Input'!$B$3:$N$3,0))</f>
        <v>0.6</v>
      </c>
      <c r="N1420" s="93"/>
    </row>
    <row r="1421" spans="2:15" s="157" customFormat="1" hidden="1" outlineLevel="2" x14ac:dyDescent="0.2">
      <c r="B1421" s="498" t="str">
        <f t="shared" si="791"/>
        <v>AmericasProcess - CapexCH4 LiquifactionUSD/ ton CH4 output</v>
      </c>
      <c r="C1421" s="157" t="str">
        <f>+$B$1405</f>
        <v>Americas</v>
      </c>
      <c r="D1421" s="157" t="s">
        <v>879</v>
      </c>
      <c r="E1421" s="157" t="s">
        <v>1097</v>
      </c>
      <c r="F1421" s="450" t="s">
        <v>1099</v>
      </c>
      <c r="G1421" s="337">
        <f t="shared" ref="G1421:M1421" si="794">G1423/G1422</f>
        <v>203.48745578849747</v>
      </c>
      <c r="H1421" s="337">
        <f t="shared" si="794"/>
        <v>198.75000000000006</v>
      </c>
      <c r="I1421" s="337">
        <f t="shared" si="794"/>
        <v>194.12283841740833</v>
      </c>
      <c r="J1421" s="337">
        <f t="shared" si="794"/>
        <v>189.60340324644639</v>
      </c>
      <c r="K1421" s="337">
        <f t="shared" si="794"/>
        <v>185.18918647446853</v>
      </c>
      <c r="L1421" s="337">
        <f t="shared" si="794"/>
        <v>180.87773847866441</v>
      </c>
      <c r="M1421" s="337">
        <f t="shared" si="794"/>
        <v>176.66666666666671</v>
      </c>
      <c r="N1421" s="493"/>
    </row>
    <row r="1422" spans="2:15" hidden="1" outlineLevel="2" x14ac:dyDescent="0.2">
      <c r="B1422" s="48" t="str">
        <f t="shared" si="791"/>
        <v>GlobalPlant capexAnnualisation factor#</v>
      </c>
      <c r="C1422" s="157" t="s">
        <v>109</v>
      </c>
      <c r="D1422" t="s">
        <v>786</v>
      </c>
      <c r="E1422" t="s">
        <v>764</v>
      </c>
      <c r="F1422" s="450" t="s">
        <v>787</v>
      </c>
      <c r="G1422" s="532">
        <f>INDEX('Fuel Model -  Input'!$B$3:$N$373,MATCH($B1422,'Fuel Model -  Input'!$B$3:$B$373,0),MATCH(G$2,'Fuel Model -  Input'!$B$3:$N$3,0))</f>
        <v>11.32075471698113</v>
      </c>
      <c r="H1422" s="532">
        <f>INDEX('Fuel Model -  Input'!$B$3:$N$373,MATCH($B1422,'Fuel Model -  Input'!$B$3:$B$373,0),MATCH(H$2,'Fuel Model -  Input'!$B$3:$N$3,0))</f>
        <v>11.32075471698113</v>
      </c>
      <c r="I1422" s="532">
        <f>INDEX('Fuel Model -  Input'!$B$3:$N$373,MATCH($B1422,'Fuel Model -  Input'!$B$3:$B$373,0),MATCH(I$2,'Fuel Model -  Input'!$B$3:$N$3,0))</f>
        <v>11.32075471698113</v>
      </c>
      <c r="J1422" s="532">
        <f>INDEX('Fuel Model -  Input'!$B$3:$N$373,MATCH($B1422,'Fuel Model -  Input'!$B$3:$B$373,0),MATCH(J$2,'Fuel Model -  Input'!$B$3:$N$3,0))</f>
        <v>11.32075471698113</v>
      </c>
      <c r="K1422" s="532">
        <f>INDEX('Fuel Model -  Input'!$B$3:$N$373,MATCH($B1422,'Fuel Model -  Input'!$B$3:$B$373,0),MATCH(K$2,'Fuel Model -  Input'!$B$3:$N$3,0))</f>
        <v>11.32075471698113</v>
      </c>
      <c r="L1422" s="532">
        <f>INDEX('Fuel Model -  Input'!$B$3:$N$373,MATCH($B1422,'Fuel Model -  Input'!$B$3:$B$373,0),MATCH(L$2,'Fuel Model -  Input'!$B$3:$N$3,0))</f>
        <v>11.32075471698113</v>
      </c>
      <c r="M1422" s="532">
        <f>INDEX('Fuel Model -  Input'!$B$3:$N$373,MATCH($B1422,'Fuel Model -  Input'!$B$3:$B$373,0),MATCH(M$2,'Fuel Model -  Input'!$B$3:$N$3,0))</f>
        <v>11.32075471698113</v>
      </c>
    </row>
    <row r="1423" spans="2:15" hidden="1" outlineLevel="2" x14ac:dyDescent="0.2">
      <c r="B1423" s="48" t="str">
        <f t="shared" si="791"/>
        <v>GlobalProcess - CapexCH4 LiquifactionUSD/ ton CH4 capacity</v>
      </c>
      <c r="C1423" s="157" t="s">
        <v>109</v>
      </c>
      <c r="D1423" t="s">
        <v>879</v>
      </c>
      <c r="E1423" t="s">
        <v>1097</v>
      </c>
      <c r="F1423" s="450" t="s">
        <v>1100</v>
      </c>
      <c r="G1423" s="543">
        <f>+INDEX('Fuel Model -  Input'!$B$3:$N$373,MATCH($B1423,'Fuel Model -  Input'!$B$3:$B$373,0),MATCH(G$2,'Fuel Model -  Input'!$B$3:$N$3,0))</f>
        <v>2303.6315749641217</v>
      </c>
      <c r="H1423" s="543">
        <f>+INDEX('Fuel Model -  Input'!$B$3:$N$373,MATCH($B1423,'Fuel Model -  Input'!$B$3:$B$373,0),MATCH(H$2,'Fuel Model -  Input'!$B$3:$N$3,0))</f>
        <v>2250</v>
      </c>
      <c r="I1423" s="543">
        <f>+INDEX('Fuel Model -  Input'!$B$3:$N$373,MATCH($B1423,'Fuel Model -  Input'!$B$3:$B$373,0),MATCH(I$2,'Fuel Model -  Input'!$B$3:$N$3,0))</f>
        <v>2197.6170386876411</v>
      </c>
      <c r="J1423" s="543">
        <f>+INDEX('Fuel Model -  Input'!$B$3:$N$373,MATCH($B1423,'Fuel Model -  Input'!$B$3:$B$373,0),MATCH(J$2,'Fuel Model -  Input'!$B$3:$N$3,0))</f>
        <v>2146.4536216578831</v>
      </c>
      <c r="K1423" s="543">
        <f>+INDEX('Fuel Model -  Input'!$B$3:$N$373,MATCH($B1423,'Fuel Model -  Input'!$B$3:$B$373,0),MATCH(K$2,'Fuel Model -  Input'!$B$3:$N$3,0))</f>
        <v>2096.4813563147377</v>
      </c>
      <c r="L1423" s="543">
        <f>+INDEX('Fuel Model -  Input'!$B$3:$N$373,MATCH($B1423,'Fuel Model -  Input'!$B$3:$B$373,0),MATCH(L$2,'Fuel Model -  Input'!$B$3:$N$3,0))</f>
        <v>2047.6725110792192</v>
      </c>
      <c r="M1423" s="543">
        <f>+INDEX('Fuel Model -  Input'!$B$3:$N$373,MATCH($B1423,'Fuel Model -  Input'!$B$3:$B$373,0),MATCH(M$2,'Fuel Model -  Input'!$B$3:$N$3,0))</f>
        <v>2000</v>
      </c>
      <c r="N1423" s="93"/>
    </row>
    <row r="1424" spans="2:15" hidden="1" outlineLevel="2" x14ac:dyDescent="0.2">
      <c r="C1424" s="157"/>
      <c r="E1424" s="48"/>
      <c r="F1424" s="128"/>
      <c r="G1424" s="8"/>
      <c r="H1424" s="8"/>
      <c r="I1424" s="8"/>
      <c r="J1424" s="8"/>
      <c r="K1424" s="8"/>
      <c r="L1424" s="8"/>
      <c r="M1424" s="8"/>
    </row>
    <row r="1425" spans="2:13" hidden="1" outlineLevel="2" x14ac:dyDescent="0.2">
      <c r="B1425" t="str">
        <f>+C1425&amp;D1425&amp;E1425&amp;F1425</f>
        <v>AmericasResultsCapex per ton e MethaneUSD/ Ton</v>
      </c>
      <c r="C1425" s="157" t="str">
        <f>+$B$1405</f>
        <v>Americas</v>
      </c>
      <c r="D1425" t="s">
        <v>838</v>
      </c>
      <c r="E1425" s="48" t="s">
        <v>1101</v>
      </c>
      <c r="F1425" s="128" t="s">
        <v>1053</v>
      </c>
      <c r="G1425" s="8">
        <f t="shared" ref="G1425:M1425" si="795">G1427/G1426</f>
        <v>159.00000000000003</v>
      </c>
      <c r="H1425" s="8">
        <f t="shared" si="795"/>
        <v>121.01666666666669</v>
      </c>
      <c r="I1425" s="8">
        <f t="shared" si="795"/>
        <v>97.166666666666686</v>
      </c>
      <c r="J1425" s="8">
        <f t="shared" si="795"/>
        <v>88.333333333333357</v>
      </c>
      <c r="K1425" s="8">
        <f t="shared" si="795"/>
        <v>79.500000000000014</v>
      </c>
      <c r="L1425" s="8">
        <f t="shared" si="795"/>
        <v>64.483333333333348</v>
      </c>
      <c r="M1425" s="8">
        <f t="shared" si="795"/>
        <v>49.466666666666676</v>
      </c>
    </row>
    <row r="1426" spans="2:13" hidden="1" outlineLevel="2" x14ac:dyDescent="0.2">
      <c r="B1426" t="str">
        <f>+C1426&amp;D1426&amp;E1426&amp;F1426</f>
        <v>GlobalPlant capexAnnualisation factor#</v>
      </c>
      <c r="C1426" s="157" t="s">
        <v>109</v>
      </c>
      <c r="D1426" t="s">
        <v>786</v>
      </c>
      <c r="E1426" t="s">
        <v>764</v>
      </c>
      <c r="F1426" s="450" t="s">
        <v>787</v>
      </c>
      <c r="G1426" s="532">
        <f>INDEX('Fuel Model -  Input'!$B$3:$N$373,MATCH($B1426,'Fuel Model -  Input'!$B$3:$B$373,0),MATCH(G$2,'Fuel Model -  Input'!$B$3:$N$3,0))</f>
        <v>11.32075471698113</v>
      </c>
      <c r="H1426" s="532">
        <f>INDEX('Fuel Model -  Input'!$B$3:$N$373,MATCH($B1426,'Fuel Model -  Input'!$B$3:$B$373,0),MATCH(H$2,'Fuel Model -  Input'!$B$3:$N$3,0))</f>
        <v>11.32075471698113</v>
      </c>
      <c r="I1426" s="532">
        <f>INDEX('Fuel Model -  Input'!$B$3:$N$373,MATCH($B1426,'Fuel Model -  Input'!$B$3:$B$373,0),MATCH(I$2,'Fuel Model -  Input'!$B$3:$N$3,0))</f>
        <v>11.32075471698113</v>
      </c>
      <c r="J1426" s="532">
        <f>INDEX('Fuel Model -  Input'!$B$3:$N$373,MATCH($B1426,'Fuel Model -  Input'!$B$3:$B$373,0),MATCH(J$2,'Fuel Model -  Input'!$B$3:$N$3,0))</f>
        <v>11.32075471698113</v>
      </c>
      <c r="K1426" s="532">
        <f>INDEX('Fuel Model -  Input'!$B$3:$N$373,MATCH($B1426,'Fuel Model -  Input'!$B$3:$B$373,0),MATCH(K$2,'Fuel Model -  Input'!$B$3:$N$3,0))</f>
        <v>11.32075471698113</v>
      </c>
      <c r="L1426" s="532">
        <f>INDEX('Fuel Model -  Input'!$B$3:$N$373,MATCH($B1426,'Fuel Model -  Input'!$B$3:$B$373,0),MATCH(L$2,'Fuel Model -  Input'!$B$3:$N$3,0))</f>
        <v>11.32075471698113</v>
      </c>
      <c r="M1426" s="532">
        <f>INDEX('Fuel Model -  Input'!$B$3:$N$373,MATCH($B1426,'Fuel Model -  Input'!$B$3:$B$373,0),MATCH(M$2,'Fuel Model -  Input'!$B$3:$N$3,0))</f>
        <v>11.32075471698113</v>
      </c>
    </row>
    <row r="1427" spans="2:13" hidden="1" outlineLevel="2" x14ac:dyDescent="0.2">
      <c r="B1427" t="str">
        <f>+C1427&amp;D1427&amp;E1427&amp;F1427</f>
        <v>GlobalCapexE Methane plant capex unit costCapex/ ton e methane</v>
      </c>
      <c r="C1427" s="157" t="s">
        <v>109</v>
      </c>
      <c r="D1427" t="s">
        <v>218</v>
      </c>
      <c r="E1427" t="s">
        <v>1102</v>
      </c>
      <c r="F1427" s="128" t="s">
        <v>1103</v>
      </c>
      <c r="G1427" s="532">
        <f>INDEX('Fuel Model -  Input'!$B$3:$N$373,MATCH($B1427,'Fuel Model -  Input'!$B$3:$B$373,0),MATCH(G$2,'Fuel Model -  Input'!$B$3:$N$3,0))</f>
        <v>1800</v>
      </c>
      <c r="H1427" s="532">
        <f>INDEX('Fuel Model -  Input'!$B$3:$N$373,MATCH($B1427,'Fuel Model -  Input'!$B$3:$B$373,0),MATCH(H$2,'Fuel Model -  Input'!$B$3:$N$3,0))</f>
        <v>1370</v>
      </c>
      <c r="I1427" s="532">
        <f>INDEX('Fuel Model -  Input'!$B$3:$N$373,MATCH($B1427,'Fuel Model -  Input'!$B$3:$B$373,0),MATCH(I$2,'Fuel Model -  Input'!$B$3:$N$3,0))</f>
        <v>1100</v>
      </c>
      <c r="J1427" s="532">
        <f>INDEX('Fuel Model -  Input'!$B$3:$N$373,MATCH($B1427,'Fuel Model -  Input'!$B$3:$B$373,0),MATCH(J$2,'Fuel Model -  Input'!$B$3:$N$3,0))</f>
        <v>1000</v>
      </c>
      <c r="K1427" s="532">
        <f>INDEX('Fuel Model -  Input'!$B$3:$N$373,MATCH($B1427,'Fuel Model -  Input'!$B$3:$B$373,0),MATCH(K$2,'Fuel Model -  Input'!$B$3:$N$3,0))</f>
        <v>900</v>
      </c>
      <c r="L1427" s="532">
        <f>INDEX('Fuel Model -  Input'!$B$3:$N$373,MATCH($B1427,'Fuel Model -  Input'!$B$3:$B$373,0),MATCH(L$2,'Fuel Model -  Input'!$B$3:$N$3,0))</f>
        <v>730</v>
      </c>
      <c r="M1427" s="532">
        <f>INDEX('Fuel Model -  Input'!$B$3:$N$373,MATCH($B1427,'Fuel Model -  Input'!$B$3:$B$373,0),MATCH(M$2,'Fuel Model -  Input'!$B$3:$N$3,0))</f>
        <v>560</v>
      </c>
    </row>
    <row r="1428" spans="2:13" hidden="1" outlineLevel="2" x14ac:dyDescent="0.2">
      <c r="C1428" s="157"/>
      <c r="E1428" s="48"/>
      <c r="F1428" s="128"/>
      <c r="G1428" s="8"/>
      <c r="H1428" s="8"/>
      <c r="I1428" s="8"/>
      <c r="J1428" s="8"/>
      <c r="K1428" s="8"/>
      <c r="L1428" s="8"/>
      <c r="M1428" s="8"/>
    </row>
    <row r="1429" spans="2:13" hidden="1" outlineLevel="2" x14ac:dyDescent="0.2">
      <c r="B1429" t="str">
        <f>+C1429&amp;D1429&amp;E1429&amp;F1429</f>
        <v>AmericasOpexOpex e Methane synthesis plantUSD/ton e Methane</v>
      </c>
      <c r="C1429" s="157" t="str">
        <f>+$B$1405</f>
        <v>Americas</v>
      </c>
      <c r="D1429" t="s">
        <v>219</v>
      </c>
      <c r="E1429" s="48" t="s">
        <v>1104</v>
      </c>
      <c r="F1429" s="128" t="s">
        <v>1105</v>
      </c>
      <c r="G1429" s="8">
        <f t="shared" ref="G1429:M1429" si="796">G1430*G1427</f>
        <v>144</v>
      </c>
      <c r="H1429" s="8">
        <f t="shared" si="796"/>
        <v>109.60000000000001</v>
      </c>
      <c r="I1429" s="8">
        <f t="shared" si="796"/>
        <v>88</v>
      </c>
      <c r="J1429" s="8">
        <f t="shared" si="796"/>
        <v>80</v>
      </c>
      <c r="K1429" s="8">
        <f t="shared" si="796"/>
        <v>72</v>
      </c>
      <c r="L1429" s="8">
        <f t="shared" si="796"/>
        <v>58.4</v>
      </c>
      <c r="M1429" s="8">
        <f t="shared" si="796"/>
        <v>44.800000000000004</v>
      </c>
    </row>
    <row r="1430" spans="2:13" hidden="1" outlineLevel="2" x14ac:dyDescent="0.2">
      <c r="B1430" s="78" t="str">
        <f>+C1430&amp;D1430&amp;E1430&amp;F1430</f>
        <v>GlobalOpexOther opex e Methane synthesisPercent of capex</v>
      </c>
      <c r="C1430" s="157" t="s">
        <v>109</v>
      </c>
      <c r="D1430" t="s">
        <v>219</v>
      </c>
      <c r="E1430" s="48" t="s">
        <v>1106</v>
      </c>
      <c r="F1430" s="128" t="s">
        <v>1058</v>
      </c>
      <c r="G1430" s="531">
        <f>INDEX('Fuel Model -  Input'!$B$3:$N$373,MATCH($B1430,'Fuel Model -  Input'!$B$3:$B$373,0),MATCH(G$2,'Fuel Model -  Input'!$B$3:$N$3,0))</f>
        <v>0.08</v>
      </c>
      <c r="H1430" s="531">
        <f>INDEX('Fuel Model -  Input'!$B$3:$N$373,MATCH($B1430,'Fuel Model -  Input'!$B$3:$B$373,0),MATCH(H$2,'Fuel Model -  Input'!$B$3:$N$3,0))</f>
        <v>0.08</v>
      </c>
      <c r="I1430" s="531">
        <f>INDEX('Fuel Model -  Input'!$B$3:$N$373,MATCH($B1430,'Fuel Model -  Input'!$B$3:$B$373,0),MATCH(I$2,'Fuel Model -  Input'!$B$3:$N$3,0))</f>
        <v>0.08</v>
      </c>
      <c r="J1430" s="531">
        <f>INDEX('Fuel Model -  Input'!$B$3:$N$373,MATCH($B1430,'Fuel Model -  Input'!$B$3:$B$373,0),MATCH(J$2,'Fuel Model -  Input'!$B$3:$N$3,0))</f>
        <v>0.08</v>
      </c>
      <c r="K1430" s="531">
        <f>INDEX('Fuel Model -  Input'!$B$3:$N$373,MATCH($B1430,'Fuel Model -  Input'!$B$3:$B$373,0),MATCH(K$2,'Fuel Model -  Input'!$B$3:$N$3,0))</f>
        <v>0.08</v>
      </c>
      <c r="L1430" s="531">
        <f>INDEX('Fuel Model -  Input'!$B$3:$N$373,MATCH($B1430,'Fuel Model -  Input'!$B$3:$B$373,0),MATCH(L$2,'Fuel Model -  Input'!$B$3:$N$3,0))</f>
        <v>0.08</v>
      </c>
      <c r="M1430" s="531">
        <f>INDEX('Fuel Model -  Input'!$B$3:$N$373,MATCH($B1430,'Fuel Model -  Input'!$B$3:$B$373,0),MATCH(M$2,'Fuel Model -  Input'!$B$3:$N$3,0))</f>
        <v>0.08</v>
      </c>
    </row>
    <row r="1431" spans="2:13" hidden="1" outlineLevel="2" x14ac:dyDescent="0.2">
      <c r="C1431" s="157"/>
      <c r="E1431" s="48"/>
      <c r="F1431" s="128"/>
      <c r="G1431" s="8"/>
      <c r="H1431" s="8"/>
      <c r="I1431" s="8"/>
      <c r="J1431" s="8"/>
      <c r="K1431" s="8"/>
      <c r="L1431" s="8"/>
      <c r="M1431" s="8"/>
    </row>
    <row r="1432" spans="2:13" hidden="1" outlineLevel="2" x14ac:dyDescent="0.2">
      <c r="B1432" s="78" t="str">
        <f>+C1432&amp;D1432&amp;E1432&amp;F1432</f>
        <v>AmericasGeneralElectricity costUSD/ton e Methane</v>
      </c>
      <c r="C1432" s="157" t="str">
        <f>+$B$1405</f>
        <v>Americas</v>
      </c>
      <c r="D1432" t="s">
        <v>173</v>
      </c>
      <c r="E1432" s="48" t="s">
        <v>94</v>
      </c>
      <c r="F1432" s="128" t="s">
        <v>1105</v>
      </c>
      <c r="G1432" s="260">
        <f t="shared" ref="G1432:M1432" si="797">G1433*G1434</f>
        <v>15.586562281260377</v>
      </c>
      <c r="H1432" s="260">
        <f t="shared" si="797"/>
        <v>14.067081505671149</v>
      </c>
      <c r="I1432" s="260">
        <f t="shared" si="797"/>
        <v>11.498562330159425</v>
      </c>
      <c r="J1432" s="260">
        <f t="shared" si="797"/>
        <v>10.262529236103873</v>
      </c>
      <c r="K1432" s="260">
        <f t="shared" si="797"/>
        <v>9.2605704064276519</v>
      </c>
      <c r="L1432" s="260">
        <f t="shared" si="797"/>
        <v>8.8569130840486938</v>
      </c>
      <c r="M1432" s="260">
        <f t="shared" si="797"/>
        <v>8.5523822053917531</v>
      </c>
    </row>
    <row r="1433" spans="2:13" hidden="1" outlineLevel="2" x14ac:dyDescent="0.2">
      <c r="B1433" s="78" t="str">
        <f>+C1433&amp;D1433&amp;E1433&amp;F1433</f>
        <v>AmericasFeedstockElectricityUSD/MWh</v>
      </c>
      <c r="C1433" s="157" t="str">
        <f>+$B$1405</f>
        <v>Americas</v>
      </c>
      <c r="D1433" t="s">
        <v>777</v>
      </c>
      <c r="E1433" s="48" t="s">
        <v>54</v>
      </c>
      <c r="F1433" s="128" t="s">
        <v>196</v>
      </c>
      <c r="G1433" s="532">
        <f>INDEX('Fuel Model -  Input'!$B$3:$N$373,MATCH($B1433,'Fuel Model -  Input'!$B$3:$B$373,0),MATCH(G$2,'Fuel Model -  Input'!$B$3:$N$3,0))</f>
        <v>38.96640570315094</v>
      </c>
      <c r="H1433" s="532">
        <f>INDEX('Fuel Model -  Input'!$B$3:$N$373,MATCH($B1433,'Fuel Model -  Input'!$B$3:$B$373,0),MATCH(H$2,'Fuel Model -  Input'!$B$3:$N$3,0))</f>
        <v>35.167703764177872</v>
      </c>
      <c r="I1433" s="532">
        <f>INDEX('Fuel Model -  Input'!$B$3:$N$373,MATCH($B1433,'Fuel Model -  Input'!$B$3:$B$373,0),MATCH(I$2,'Fuel Model -  Input'!$B$3:$N$3,0))</f>
        <v>28.746405825398561</v>
      </c>
      <c r="J1433" s="532">
        <f>INDEX('Fuel Model -  Input'!$B$3:$N$373,MATCH($B1433,'Fuel Model -  Input'!$B$3:$B$373,0),MATCH(J$2,'Fuel Model -  Input'!$B$3:$N$3,0))</f>
        <v>25.656323090259679</v>
      </c>
      <c r="K1433" s="532">
        <f>INDEX('Fuel Model -  Input'!$B$3:$N$373,MATCH($B1433,'Fuel Model -  Input'!$B$3:$B$373,0),MATCH(K$2,'Fuel Model -  Input'!$B$3:$N$3,0))</f>
        <v>23.151426016069131</v>
      </c>
      <c r="L1433" s="532">
        <f>INDEX('Fuel Model -  Input'!$B$3:$N$373,MATCH($B1433,'Fuel Model -  Input'!$B$3:$B$373,0),MATCH(L$2,'Fuel Model -  Input'!$B$3:$N$3,0))</f>
        <v>22.142282710121734</v>
      </c>
      <c r="M1433" s="532">
        <f>INDEX('Fuel Model -  Input'!$B$3:$N$373,MATCH($B1433,'Fuel Model -  Input'!$B$3:$B$373,0),MATCH(M$2,'Fuel Model -  Input'!$B$3:$N$3,0))</f>
        <v>21.380955513479382</v>
      </c>
    </row>
    <row r="1434" spans="2:13" hidden="1" outlineLevel="2" x14ac:dyDescent="0.2">
      <c r="B1434" s="78" t="str">
        <f>+C1434&amp;D1434&amp;E1434&amp;F1434</f>
        <v>GlobalGeneralElectricity demandmWh/ton e Methane</v>
      </c>
      <c r="C1434" s="157" t="s">
        <v>109</v>
      </c>
      <c r="D1434" t="s">
        <v>173</v>
      </c>
      <c r="E1434" s="48" t="s">
        <v>963</v>
      </c>
      <c r="F1434" s="128" t="s">
        <v>1107</v>
      </c>
      <c r="G1434" s="521">
        <f>INDEX('Fuel Model -  Input'!$B$3:$N$373,MATCH($B1434,'Fuel Model -  Input'!$B$3:$B$373,0),MATCH(G$2,'Fuel Model -  Input'!$B$3:$N$3,0))</f>
        <v>0.4</v>
      </c>
      <c r="H1434" s="521">
        <f>INDEX('Fuel Model -  Input'!$B$3:$N$373,MATCH($B1434,'Fuel Model -  Input'!$B$3:$B$373,0),MATCH(H$2,'Fuel Model -  Input'!$B$3:$N$3,0))</f>
        <v>0.4</v>
      </c>
      <c r="I1434" s="521">
        <f>INDEX('Fuel Model -  Input'!$B$3:$N$373,MATCH($B1434,'Fuel Model -  Input'!$B$3:$B$373,0),MATCH(I$2,'Fuel Model -  Input'!$B$3:$N$3,0))</f>
        <v>0.4</v>
      </c>
      <c r="J1434" s="521">
        <f>INDEX('Fuel Model -  Input'!$B$3:$N$373,MATCH($B1434,'Fuel Model -  Input'!$B$3:$B$373,0),MATCH(J$2,'Fuel Model -  Input'!$B$3:$N$3,0))</f>
        <v>0.4</v>
      </c>
      <c r="K1434" s="521">
        <f>INDEX('Fuel Model -  Input'!$B$3:$N$373,MATCH($B1434,'Fuel Model -  Input'!$B$3:$B$373,0),MATCH(K$2,'Fuel Model -  Input'!$B$3:$N$3,0))</f>
        <v>0.4</v>
      </c>
      <c r="L1434" s="521">
        <f>INDEX('Fuel Model -  Input'!$B$3:$N$373,MATCH($B1434,'Fuel Model -  Input'!$B$3:$B$373,0),MATCH(L$2,'Fuel Model -  Input'!$B$3:$N$3,0))</f>
        <v>0.4</v>
      </c>
      <c r="M1434" s="521">
        <f>INDEX('Fuel Model -  Input'!$B$3:$N$373,MATCH($B1434,'Fuel Model -  Input'!$B$3:$B$373,0),MATCH(M$2,'Fuel Model -  Input'!$B$3:$N$3,0))</f>
        <v>0.4</v>
      </c>
    </row>
    <row r="1435" spans="2:13" hidden="1" outlineLevel="2" x14ac:dyDescent="0.2">
      <c r="C1435" s="157"/>
      <c r="E1435" s="48"/>
      <c r="F1435" s="128"/>
      <c r="G1435" s="524"/>
      <c r="H1435" s="524"/>
      <c r="I1435" s="524"/>
      <c r="J1435" s="524"/>
      <c r="K1435" s="524"/>
      <c r="L1435" s="524"/>
      <c r="M1435" s="524"/>
    </row>
    <row r="1436" spans="2:13" hidden="1" outlineLevel="2" x14ac:dyDescent="0.2">
      <c r="B1436" s="78" t="str">
        <f>+C1436&amp;D1436&amp;E1436&amp;F1436</f>
        <v>AmericasFeedstockFeedstock CO2USD/ton e Methane</v>
      </c>
      <c r="C1436" s="157" t="str">
        <f>+$B$1405</f>
        <v>Americas</v>
      </c>
      <c r="D1436" t="s">
        <v>777</v>
      </c>
      <c r="E1436" s="48" t="s">
        <v>1007</v>
      </c>
      <c r="F1436" s="128" t="s">
        <v>1105</v>
      </c>
      <c r="G1436" s="8">
        <f t="shared" ref="G1436:M1436" si="798">G1437*G1438</f>
        <v>714.4217527745426</v>
      </c>
      <c r="H1436" s="8">
        <f t="shared" si="798"/>
        <v>596.03923978400405</v>
      </c>
      <c r="I1436" s="8">
        <f t="shared" si="798"/>
        <v>476.48071458620097</v>
      </c>
      <c r="J1436" s="8">
        <f t="shared" si="798"/>
        <v>396.53400369487724</v>
      </c>
      <c r="K1436" s="8">
        <f t="shared" si="798"/>
        <v>332.01166508068047</v>
      </c>
      <c r="L1436" s="8">
        <f t="shared" si="798"/>
        <v>285.68044597537795</v>
      </c>
      <c r="M1436" s="8">
        <f t="shared" si="798"/>
        <v>247.16941181252054</v>
      </c>
    </row>
    <row r="1437" spans="2:13" hidden="1" outlineLevel="2" x14ac:dyDescent="0.2">
      <c r="B1437" s="78" t="str">
        <f>+C1437&amp;D1437&amp;E1437&amp;F1437</f>
        <v>GlobalFeedstockConversion CO2 : e Methane (actual)kg CO2/kg e Methane</v>
      </c>
      <c r="C1437" s="157" t="s">
        <v>109</v>
      </c>
      <c r="D1437" t="s">
        <v>777</v>
      </c>
      <c r="E1437" t="s">
        <v>1108</v>
      </c>
      <c r="F1437" s="128" t="s">
        <v>1109</v>
      </c>
      <c r="G1437" s="521">
        <f>INDEX('Fuel Model -  Input'!$B$3:$N$373,MATCH($B1437,'Fuel Model -  Input'!$B$3:$B$373,0),MATCH(G$2,'Fuel Model -  Input'!$B$3:$N$3,0))</f>
        <v>2.7434235132776457</v>
      </c>
      <c r="H1437" s="521">
        <f>INDEX('Fuel Model -  Input'!$B$3:$N$373,MATCH($B1437,'Fuel Model -  Input'!$B$3:$B$373,0),MATCH(H$2,'Fuel Model -  Input'!$B$3:$N$3,0))</f>
        <v>2.7434235132776457</v>
      </c>
      <c r="I1437" s="521">
        <f>INDEX('Fuel Model -  Input'!$B$3:$N$373,MATCH($B1437,'Fuel Model -  Input'!$B$3:$B$373,0),MATCH(I$2,'Fuel Model -  Input'!$B$3:$N$3,0))</f>
        <v>2.7434235132776457</v>
      </c>
      <c r="J1437" s="521">
        <f>INDEX('Fuel Model -  Input'!$B$3:$N$373,MATCH($B1437,'Fuel Model -  Input'!$B$3:$B$373,0),MATCH(J$2,'Fuel Model -  Input'!$B$3:$N$3,0))</f>
        <v>2.7434235132776457</v>
      </c>
      <c r="K1437" s="521">
        <f>INDEX('Fuel Model -  Input'!$B$3:$N$373,MATCH($B1437,'Fuel Model -  Input'!$B$3:$B$373,0),MATCH(K$2,'Fuel Model -  Input'!$B$3:$N$3,0))</f>
        <v>2.7434235132776457</v>
      </c>
      <c r="L1437" s="521">
        <f>INDEX('Fuel Model -  Input'!$B$3:$N$373,MATCH($B1437,'Fuel Model -  Input'!$B$3:$B$373,0),MATCH(L$2,'Fuel Model -  Input'!$B$3:$N$3,0))</f>
        <v>2.7434235132776457</v>
      </c>
      <c r="M1437" s="521">
        <f>INDEX('Fuel Model -  Input'!$B$3:$N$373,MATCH($B1437,'Fuel Model -  Input'!$B$3:$B$373,0),MATCH(M$2,'Fuel Model -  Input'!$B$3:$N$3,0))</f>
        <v>2.7434235132776457</v>
      </c>
    </row>
    <row r="1438" spans="2:13" hidden="1" outlineLevel="2" x14ac:dyDescent="0.2">
      <c r="B1438" s="78" t="str">
        <f>+C1438&amp;D1438&amp;E1438&amp;F1438</f>
        <v>AmericasFeedstockCost of CO2 DACUSD/ton</v>
      </c>
      <c r="C1438" s="157" t="str">
        <f>+$B$1405</f>
        <v>Americas</v>
      </c>
      <c r="D1438" t="s">
        <v>777</v>
      </c>
      <c r="E1438" t="s">
        <v>1010</v>
      </c>
      <c r="F1438" s="128" t="s">
        <v>205</v>
      </c>
      <c r="G1438" s="532">
        <f t="shared" ref="G1438:M1438" si="799">INDEX(G$1564:G$1568,MATCH($C1438,$C$1564:$C$1568,0))</f>
        <v>260.41249166119553</v>
      </c>
      <c r="H1438" s="532">
        <f t="shared" si="799"/>
        <v>217.26111076153137</v>
      </c>
      <c r="I1438" s="532">
        <f t="shared" si="799"/>
        <v>173.68106392619489</v>
      </c>
      <c r="J1438" s="532">
        <f t="shared" si="799"/>
        <v>144.53984292827136</v>
      </c>
      <c r="K1438" s="532">
        <f t="shared" si="799"/>
        <v>121.02093004372364</v>
      </c>
      <c r="L1438" s="532">
        <f t="shared" si="799"/>
        <v>104.13282695607847</v>
      </c>
      <c r="M1438" s="532">
        <f t="shared" si="799"/>
        <v>90.095244360292099</v>
      </c>
    </row>
    <row r="1439" spans="2:13" hidden="1" outlineLevel="2" x14ac:dyDescent="0.2">
      <c r="C1439" s="157"/>
      <c r="E1439" s="48"/>
      <c r="F1439" s="128"/>
      <c r="G1439" s="524"/>
      <c r="H1439" s="524"/>
      <c r="I1439" s="524"/>
      <c r="J1439" s="524"/>
      <c r="K1439" s="524"/>
      <c r="L1439" s="524"/>
      <c r="M1439" s="524"/>
    </row>
    <row r="1440" spans="2:13" hidden="1" outlineLevel="2" x14ac:dyDescent="0.2">
      <c r="B1440" s="78" t="str">
        <f>+C1440&amp;D1440&amp;E1440&amp;F1440</f>
        <v>AmericasFeedstockFeedstock CO2USD/ton e Methane</v>
      </c>
      <c r="C1440" s="157" t="str">
        <f>+$B$1405</f>
        <v>Americas</v>
      </c>
      <c r="D1440" t="s">
        <v>777</v>
      </c>
      <c r="E1440" s="48" t="s">
        <v>1007</v>
      </c>
      <c r="F1440" s="128" t="s">
        <v>1105</v>
      </c>
      <c r="G1440" s="8">
        <f t="shared" ref="G1440:M1440" si="800">G1441*G1442</f>
        <v>484.53856637252545</v>
      </c>
      <c r="H1440" s="8">
        <f t="shared" si="800"/>
        <v>403.94753080648672</v>
      </c>
      <c r="I1440" s="8">
        <f t="shared" si="800"/>
        <v>320.11879405118475</v>
      </c>
      <c r="J1440" s="8">
        <f t="shared" si="800"/>
        <v>286.89217526748831</v>
      </c>
      <c r="K1440" s="8">
        <f t="shared" si="800"/>
        <v>254.38799192963725</v>
      </c>
      <c r="L1440" s="8">
        <f t="shared" si="800"/>
        <v>223.73037731782853</v>
      </c>
      <c r="M1440" s="8">
        <f t="shared" si="800"/>
        <v>193.37870174957624</v>
      </c>
    </row>
    <row r="1441" spans="2:13" hidden="1" outlineLevel="2" x14ac:dyDescent="0.2">
      <c r="B1441" s="78" t="str">
        <f>+C1441&amp;D1441&amp;E1441&amp;F1441</f>
        <v>GlobalFeedstockConversion CO2 : e Methane (actual)kg CO2/kg e Methane</v>
      </c>
      <c r="C1441" s="157" t="s">
        <v>109</v>
      </c>
      <c r="D1441" t="s">
        <v>777</v>
      </c>
      <c r="E1441" t="s">
        <v>1108</v>
      </c>
      <c r="F1441" s="128" t="s">
        <v>1109</v>
      </c>
      <c r="G1441" s="521">
        <f>INDEX('Fuel Model -  Input'!$B$3:$N$373,MATCH($B1441,'Fuel Model -  Input'!$B$3:$B$373,0),MATCH(G$2,'Fuel Model -  Input'!$B$3:$N$3,0))</f>
        <v>2.7434235132776457</v>
      </c>
      <c r="H1441" s="521">
        <f>INDEX('Fuel Model -  Input'!$B$3:$N$373,MATCH($B1441,'Fuel Model -  Input'!$B$3:$B$373,0),MATCH(H$2,'Fuel Model -  Input'!$B$3:$N$3,0))</f>
        <v>2.7434235132776457</v>
      </c>
      <c r="I1441" s="521">
        <f>INDEX('Fuel Model -  Input'!$B$3:$N$373,MATCH($B1441,'Fuel Model -  Input'!$B$3:$B$373,0),MATCH(I$2,'Fuel Model -  Input'!$B$3:$N$3,0))</f>
        <v>2.7434235132776457</v>
      </c>
      <c r="J1441" s="521">
        <f>INDEX('Fuel Model -  Input'!$B$3:$N$373,MATCH($B1441,'Fuel Model -  Input'!$B$3:$B$373,0),MATCH(J$2,'Fuel Model -  Input'!$B$3:$N$3,0))</f>
        <v>2.7434235132776457</v>
      </c>
      <c r="K1441" s="521">
        <f>INDEX('Fuel Model -  Input'!$B$3:$N$373,MATCH($B1441,'Fuel Model -  Input'!$B$3:$B$373,0),MATCH(K$2,'Fuel Model -  Input'!$B$3:$N$3,0))</f>
        <v>2.7434235132776457</v>
      </c>
      <c r="L1441" s="521">
        <f>INDEX('Fuel Model -  Input'!$B$3:$N$373,MATCH($B1441,'Fuel Model -  Input'!$B$3:$B$373,0),MATCH(L$2,'Fuel Model -  Input'!$B$3:$N$3,0))</f>
        <v>2.7434235132776457</v>
      </c>
      <c r="M1441" s="521">
        <f>INDEX('Fuel Model -  Input'!$B$3:$N$373,MATCH($B1441,'Fuel Model -  Input'!$B$3:$B$373,0),MATCH(M$2,'Fuel Model -  Input'!$B$3:$N$3,0))</f>
        <v>2.7434235132776457</v>
      </c>
    </row>
    <row r="1442" spans="2:13" hidden="1" outlineLevel="2" x14ac:dyDescent="0.2">
      <c r="B1442" s="78" t="str">
        <f>+C1442&amp;D1442&amp;E1442&amp;F1442</f>
        <v>AmericasFeedstockCost of CO2 PSUSD/ton</v>
      </c>
      <c r="C1442" s="157" t="str">
        <f>+$B$1405</f>
        <v>Americas</v>
      </c>
      <c r="D1442" t="s">
        <v>777</v>
      </c>
      <c r="E1442" t="s">
        <v>1011</v>
      </c>
      <c r="F1442" s="128" t="s">
        <v>205</v>
      </c>
      <c r="G1442" s="532">
        <f t="shared" ref="G1442:M1442" si="801">INDEX(G$1538:G$1542,MATCH($B1442,$B$1538:$B$1542,0))</f>
        <v>176.61821589975131</v>
      </c>
      <c r="H1442" s="532">
        <f t="shared" si="801"/>
        <v>147.24213336054672</v>
      </c>
      <c r="I1442" s="532">
        <f t="shared" si="801"/>
        <v>116.68588262142937</v>
      </c>
      <c r="J1442" s="532">
        <f t="shared" si="801"/>
        <v>104.57451205728354</v>
      </c>
      <c r="K1442" s="532">
        <f t="shared" si="801"/>
        <v>92.726475040564452</v>
      </c>
      <c r="L1442" s="532">
        <f t="shared" si="801"/>
        <v>81.551527219554785</v>
      </c>
      <c r="M1442" s="532">
        <f t="shared" si="801"/>
        <v>70.488096647732391</v>
      </c>
    </row>
    <row r="1443" spans="2:13" hidden="1" outlineLevel="2" x14ac:dyDescent="0.2">
      <c r="C1443" s="157"/>
      <c r="F1443" s="128"/>
      <c r="G1443" s="520"/>
      <c r="H1443" s="520"/>
      <c r="I1443" s="520"/>
      <c r="J1443" s="520"/>
      <c r="K1443" s="520"/>
      <c r="L1443" s="520"/>
      <c r="M1443" s="520"/>
    </row>
    <row r="1444" spans="2:13" hidden="1" outlineLevel="2" x14ac:dyDescent="0.2">
      <c r="B1444" s="78" t="str">
        <f>+C1444&amp;D1444&amp;E1444&amp;F1444</f>
        <v>AmericasFeedstockFeedstock H2USD/ton e Methane</v>
      </c>
      <c r="C1444" s="157" t="str">
        <f>+$B$1405</f>
        <v>Americas</v>
      </c>
      <c r="D1444" t="s">
        <v>777</v>
      </c>
      <c r="E1444" s="48" t="s">
        <v>970</v>
      </c>
      <c r="F1444" s="128" t="s">
        <v>1105</v>
      </c>
      <c r="G1444" s="8">
        <f t="shared" ref="G1444:M1444" si="802">G1447*G1448</f>
        <v>1958.7755413521552</v>
      </c>
      <c r="H1444" s="8">
        <f t="shared" si="802"/>
        <v>1701.8835529603859</v>
      </c>
      <c r="I1444" s="8">
        <f t="shared" si="802"/>
        <v>1400.6562571680226</v>
      </c>
      <c r="J1444" s="8">
        <f t="shared" si="802"/>
        <v>1281.0071291383581</v>
      </c>
      <c r="K1444" s="8">
        <f t="shared" si="802"/>
        <v>1097.5269238459841</v>
      </c>
      <c r="L1444" s="8">
        <f t="shared" si="802"/>
        <v>903.64074488446045</v>
      </c>
      <c r="M1444" s="8">
        <f t="shared" si="802"/>
        <v>712.2803569567086</v>
      </c>
    </row>
    <row r="1445" spans="2:13" hidden="1" outlineLevel="2" x14ac:dyDescent="0.2">
      <c r="B1445" t="str">
        <f>+C1445&amp;D1445&amp;E1445&amp;F1445</f>
        <v>AmericasResultsShare of RNE e-Hydrogen (compressed)%</v>
      </c>
      <c r="C1445" s="157" t="str">
        <f>+$B$1405</f>
        <v>Americas</v>
      </c>
      <c r="D1445" t="s">
        <v>838</v>
      </c>
      <c r="E1445" s="48" t="s">
        <v>848</v>
      </c>
      <c r="F1445" s="128" t="s">
        <v>178</v>
      </c>
      <c r="G1445" s="537">
        <f t="shared" ref="G1445:M1445" si="803">+INDEX($A:$M,MATCH($B1445,$B:$B,0),MATCH(G$2,$2:$2,0))</f>
        <v>0.53965533590278514</v>
      </c>
      <c r="H1445" s="537">
        <f t="shared" si="803"/>
        <v>0.55792771484342807</v>
      </c>
      <c r="I1445" s="537">
        <f t="shared" si="803"/>
        <v>0.54677861176638642</v>
      </c>
      <c r="J1445" s="537">
        <f t="shared" si="803"/>
        <v>0.51451562660655525</v>
      </c>
      <c r="K1445" s="537">
        <f t="shared" si="803"/>
        <v>0.51778148183287009</v>
      </c>
      <c r="L1445" s="537">
        <f t="shared" si="803"/>
        <v>0.56416790334378253</v>
      </c>
      <c r="M1445" s="537">
        <f t="shared" si="803"/>
        <v>0.65513438567287219</v>
      </c>
    </row>
    <row r="1446" spans="2:13" hidden="1" outlineLevel="2" x14ac:dyDescent="0.2">
      <c r="B1446" t="str">
        <f>+C1446&amp;D1446&amp;E1446&amp;F1446</f>
        <v>AmericasResultsShare of Capex e-Hydrogen (compressed)%</v>
      </c>
      <c r="C1446" s="157" t="str">
        <f>+$B$1405</f>
        <v>Americas</v>
      </c>
      <c r="D1446" t="s">
        <v>838</v>
      </c>
      <c r="E1446" s="48" t="s">
        <v>850</v>
      </c>
      <c r="F1446" s="128" t="s">
        <v>178</v>
      </c>
      <c r="G1446" s="537">
        <f t="shared" ref="G1446:M1446" si="804">+INDEX(G$4:G$581,MATCH($B1446,$B$4:$B$581,0))</f>
        <v>0.21303201091923385</v>
      </c>
      <c r="H1446" s="537">
        <f t="shared" si="804"/>
        <v>0.20548338798031884</v>
      </c>
      <c r="I1446" s="537">
        <f t="shared" si="804"/>
        <v>0.21849539045177402</v>
      </c>
      <c r="J1446" s="537">
        <f t="shared" si="804"/>
        <v>0.25160265231151074</v>
      </c>
      <c r="K1446" s="537">
        <f t="shared" si="804"/>
        <v>0.27021808283685078</v>
      </c>
      <c r="L1446" s="537">
        <f t="shared" si="804"/>
        <v>0.2621354412166072</v>
      </c>
      <c r="M1446" s="537">
        <f t="shared" si="804"/>
        <v>0.21785965388810252</v>
      </c>
    </row>
    <row r="1447" spans="2:13" hidden="1" outlineLevel="2" x14ac:dyDescent="0.2">
      <c r="B1447" s="78" t="str">
        <f>+C1447&amp;D1447&amp;E1447&amp;F1447</f>
        <v>GlobalFeedstockConversion H2 : e  Methane (actual)tons H2/ton e Methane</v>
      </c>
      <c r="C1447" s="157" t="s">
        <v>109</v>
      </c>
      <c r="D1447" t="s">
        <v>777</v>
      </c>
      <c r="E1447" t="s">
        <v>1110</v>
      </c>
      <c r="F1447" s="128" t="s">
        <v>1111</v>
      </c>
      <c r="G1447" s="521">
        <f>+INDEX('Fuel Model -  Input'!$B$3:$N$373,MATCH($B1447,'Fuel Model -  Input'!$B$3:$B$373,0),MATCH(G$2,'Fuel Model -  Input'!$B$3:$N$3,0))</f>
        <v>0.5</v>
      </c>
      <c r="H1447" s="521">
        <f>+INDEX('Fuel Model -  Input'!$B$3:$N$373,MATCH($B1447,'Fuel Model -  Input'!$B$3:$B$373,0),MATCH(H$2,'Fuel Model -  Input'!$B$3:$N$3,0))</f>
        <v>0.5</v>
      </c>
      <c r="I1447" s="521">
        <f>+INDEX('Fuel Model -  Input'!$B$3:$N$373,MATCH($B1447,'Fuel Model -  Input'!$B$3:$B$373,0),MATCH(I$2,'Fuel Model -  Input'!$B$3:$N$3,0))</f>
        <v>0.5</v>
      </c>
      <c r="J1447" s="521">
        <f>+INDEX('Fuel Model -  Input'!$B$3:$N$373,MATCH($B1447,'Fuel Model -  Input'!$B$3:$B$373,0),MATCH(J$2,'Fuel Model -  Input'!$B$3:$N$3,0))</f>
        <v>0.5</v>
      </c>
      <c r="K1447" s="521">
        <f>+INDEX('Fuel Model -  Input'!$B$3:$N$373,MATCH($B1447,'Fuel Model -  Input'!$B$3:$B$373,0),MATCH(K$2,'Fuel Model -  Input'!$B$3:$N$3,0))</f>
        <v>0.5</v>
      </c>
      <c r="L1447" s="521">
        <f>+INDEX('Fuel Model -  Input'!$B$3:$N$373,MATCH($B1447,'Fuel Model -  Input'!$B$3:$B$373,0),MATCH(L$2,'Fuel Model -  Input'!$B$3:$N$3,0))</f>
        <v>0.5</v>
      </c>
      <c r="M1447" s="521">
        <f>+INDEX('Fuel Model -  Input'!$B$3:$N$373,MATCH($B1447,'Fuel Model -  Input'!$B$3:$B$373,0),MATCH(M$2,'Fuel Model -  Input'!$B$3:$N$3,0))</f>
        <v>0.5</v>
      </c>
    </row>
    <row r="1448" spans="2:13" hidden="1" outlineLevel="2" x14ac:dyDescent="0.2">
      <c r="B1448" s="78" t="str">
        <f>+C1448&amp;D1448&amp;E1448&amp;F1448</f>
        <v>AmericasResultsCost of e-Hydrogen (compressed)USD/ton</v>
      </c>
      <c r="C1448" s="157" t="str">
        <f>+$B$1405</f>
        <v>Americas</v>
      </c>
      <c r="D1448" t="s">
        <v>838</v>
      </c>
      <c r="E1448" t="s">
        <v>846</v>
      </c>
      <c r="F1448" s="128" t="s">
        <v>205</v>
      </c>
      <c r="G1448" s="532">
        <f>INDEX(G$4:G1447,MATCH($B1448,$B$4:$B1447,0))</f>
        <v>3917.5510827043104</v>
      </c>
      <c r="H1448" s="532">
        <f>INDEX(H$4:H1447,MATCH($B1448,$B$4:$B1447,0))</f>
        <v>3403.7671059207719</v>
      </c>
      <c r="I1448" s="532">
        <f>INDEX(I$4:I1447,MATCH($B1448,$B$4:$B1447,0))</f>
        <v>2801.3125143360453</v>
      </c>
      <c r="J1448" s="532">
        <f>INDEX(J$4:J1447,MATCH($B1448,$B$4:$B1447,0))</f>
        <v>2562.0142582767162</v>
      </c>
      <c r="K1448" s="532">
        <f>INDEX(K$4:K1447,MATCH($B1448,$B$4:$B1447,0))</f>
        <v>2195.0538476919683</v>
      </c>
      <c r="L1448" s="532">
        <f>INDEX(L$4:L1447,MATCH($B1448,$B$4:$B1447,0))</f>
        <v>1807.2814897689209</v>
      </c>
      <c r="M1448" s="532">
        <f>INDEX(M$4:M1447,MATCH($B1448,$B$4:$B1447,0))</f>
        <v>1424.5607139134172</v>
      </c>
    </row>
    <row r="1449" spans="2:13" hidden="1" outlineLevel="1" x14ac:dyDescent="0.2">
      <c r="C1449" s="157"/>
      <c r="F1449"/>
    </row>
    <row r="1450" spans="2:13" s="30" customFormat="1" ht="15" hidden="1" outlineLevel="1" collapsed="1" x14ac:dyDescent="0.25">
      <c r="B1450" s="30" t="s">
        <v>200</v>
      </c>
      <c r="C1450" s="515" t="str">
        <f>+B1450</f>
        <v>Africa</v>
      </c>
    </row>
    <row r="1451" spans="2:13" ht="15" hidden="1" outlineLevel="2" x14ac:dyDescent="0.25">
      <c r="B1451" s="157" t="str">
        <f t="shared" ref="B1451:B1456" si="805">+C1451&amp;D1451&amp;E1451&amp;F1451</f>
        <v>AfricaResultsTotal cost of e-Methane (DAC)USD/ton</v>
      </c>
      <c r="C1451" s="157" t="str">
        <f t="shared" ref="C1451:C1460" si="806">+$B$1450</f>
        <v>Africa</v>
      </c>
      <c r="D1451" s="515" t="s">
        <v>838</v>
      </c>
      <c r="E1451" s="535" t="s">
        <v>1084</v>
      </c>
      <c r="F1451" s="489" t="s">
        <v>205</v>
      </c>
      <c r="G1451" s="492">
        <f>+G1453+G1455+G1457+G1459</f>
        <v>4672.149048668326</v>
      </c>
      <c r="H1451" s="492">
        <f t="shared" ref="H1451:M1451" si="807">+H1453+H1455+H1457+H1459</f>
        <v>3101.7562815342735</v>
      </c>
      <c r="I1451" s="492">
        <f t="shared" si="807"/>
        <v>2507.1212989459177</v>
      </c>
      <c r="J1451" s="492">
        <f t="shared" si="807"/>
        <v>2199.0596848216014</v>
      </c>
      <c r="K1451" s="492">
        <f t="shared" si="807"/>
        <v>1920.5880157379499</v>
      </c>
      <c r="L1451" s="492">
        <f t="shared" si="807"/>
        <v>1591.4589204502486</v>
      </c>
      <c r="M1451" s="492">
        <f t="shared" si="807"/>
        <v>1309.6423736288784</v>
      </c>
    </row>
    <row r="1452" spans="2:13" ht="15" hidden="1" outlineLevel="2" x14ac:dyDescent="0.25">
      <c r="B1452" s="157" t="str">
        <f t="shared" si="805"/>
        <v>AfricaResultsTotal cost of e-Methane (PS)USD/ton</v>
      </c>
      <c r="C1452" s="157" t="str">
        <f t="shared" si="806"/>
        <v>Africa</v>
      </c>
      <c r="D1452" s="515" t="s">
        <v>838</v>
      </c>
      <c r="E1452" s="535" t="s">
        <v>1085</v>
      </c>
      <c r="F1452" s="489" t="s">
        <v>205</v>
      </c>
      <c r="G1452" s="492">
        <f t="shared" ref="G1452:M1452" si="808">+G1454+G1456+G1458+G1460</f>
        <v>4163.0446671197114</v>
      </c>
      <c r="H1452" s="492">
        <f t="shared" si="808"/>
        <v>2848.3590918689792</v>
      </c>
      <c r="I1452" s="492">
        <f t="shared" si="808"/>
        <v>2312.8549182425932</v>
      </c>
      <c r="J1452" s="492">
        <f t="shared" si="808"/>
        <v>2066.791791506098</v>
      </c>
      <c r="K1452" s="492">
        <f t="shared" si="808"/>
        <v>1822.1728914776597</v>
      </c>
      <c r="L1452" s="492">
        <f t="shared" si="808"/>
        <v>1517.6903370725665</v>
      </c>
      <c r="M1452" s="492">
        <f t="shared" si="808"/>
        <v>1247.1586123492518</v>
      </c>
    </row>
    <row r="1453" spans="2:13" ht="15" hidden="1" outlineLevel="2" x14ac:dyDescent="0.25">
      <c r="B1453" s="157" t="str">
        <f t="shared" si="805"/>
        <v>AfricaResultsTotal Capex e-Methane (DAC)USD/ton</v>
      </c>
      <c r="C1453" s="157" t="str">
        <f t="shared" si="806"/>
        <v>Africa</v>
      </c>
      <c r="D1453" s="515" t="s">
        <v>838</v>
      </c>
      <c r="E1453" s="536" t="s">
        <v>1086</v>
      </c>
      <c r="F1453" s="489" t="s">
        <v>205</v>
      </c>
      <c r="G1453" s="490">
        <f>G1466+G1470+G1489*G1491</f>
        <v>779.76934830215805</v>
      </c>
      <c r="H1453" s="490">
        <f t="shared" ref="H1453:M1453" si="809">H1466+H1470+H1489*H1491</f>
        <v>669.47546507694926</v>
      </c>
      <c r="I1453" s="490">
        <f t="shared" si="809"/>
        <v>597.32644088272252</v>
      </c>
      <c r="J1453" s="490">
        <f t="shared" si="809"/>
        <v>600.24152790094467</v>
      </c>
      <c r="K1453" s="490">
        <f t="shared" si="809"/>
        <v>561.26080769795669</v>
      </c>
      <c r="L1453" s="490">
        <f t="shared" si="809"/>
        <v>482.23733717358937</v>
      </c>
      <c r="M1453" s="490">
        <f t="shared" si="809"/>
        <v>381.31048537121603</v>
      </c>
    </row>
    <row r="1454" spans="2:13" ht="15" hidden="1" outlineLevel="2" x14ac:dyDescent="0.25">
      <c r="B1454" s="157" t="str">
        <f t="shared" si="805"/>
        <v>AfricaResultsTotal Capex e-Methane (PS)USD/ton</v>
      </c>
      <c r="C1454" s="157" t="str">
        <f t="shared" si="806"/>
        <v>Africa</v>
      </c>
      <c r="D1454" s="515" t="s">
        <v>838</v>
      </c>
      <c r="E1454" s="536" t="s">
        <v>1087</v>
      </c>
      <c r="F1454" s="489" t="s">
        <v>205</v>
      </c>
      <c r="G1454" s="490">
        <f t="shared" ref="G1454:M1454" si="810">+G1453</f>
        <v>779.76934830215805</v>
      </c>
      <c r="H1454" s="490">
        <f t="shared" si="810"/>
        <v>669.47546507694926</v>
      </c>
      <c r="I1454" s="490">
        <f t="shared" si="810"/>
        <v>597.32644088272252</v>
      </c>
      <c r="J1454" s="490">
        <f t="shared" si="810"/>
        <v>600.24152790094467</v>
      </c>
      <c r="K1454" s="490">
        <f t="shared" si="810"/>
        <v>561.26080769795669</v>
      </c>
      <c r="L1454" s="490">
        <f t="shared" si="810"/>
        <v>482.23733717358937</v>
      </c>
      <c r="M1454" s="490">
        <f t="shared" si="810"/>
        <v>381.31048537121603</v>
      </c>
    </row>
    <row r="1455" spans="2:13" ht="15" hidden="1" outlineLevel="2" x14ac:dyDescent="0.25">
      <c r="B1455" s="157" t="str">
        <f t="shared" si="805"/>
        <v>AfricaResultsTotal Opex e-Methane (DAC)USD/ton</v>
      </c>
      <c r="C1455" s="157" t="str">
        <f t="shared" si="806"/>
        <v>Africa</v>
      </c>
      <c r="D1455" s="515" t="s">
        <v>838</v>
      </c>
      <c r="E1455" s="536" t="s">
        <v>1088</v>
      </c>
      <c r="F1455" s="489" t="s">
        <v>205</v>
      </c>
      <c r="G1455" s="490">
        <f>SUM(G1463,G1474)+G1489*(1-SUM(G1490:G1491))</f>
        <v>675.80557950298453</v>
      </c>
      <c r="H1455" s="490">
        <f t="shared" ref="H1455:M1455" si="811">SUM(H1463,H1474)+H1489*(1-SUM(H1490:H1491))</f>
        <v>539.052824253783</v>
      </c>
      <c r="I1455" s="490">
        <f t="shared" si="811"/>
        <v>437.84242622233006</v>
      </c>
      <c r="J1455" s="490">
        <f t="shared" si="811"/>
        <v>397.47536853963265</v>
      </c>
      <c r="K1455" s="490">
        <f t="shared" si="811"/>
        <v>321.04085119765546</v>
      </c>
      <c r="L1455" s="490">
        <f t="shared" si="811"/>
        <v>230.17489783100757</v>
      </c>
      <c r="M1455" s="490">
        <f t="shared" si="811"/>
        <v>149.3190127734824</v>
      </c>
    </row>
    <row r="1456" spans="2:13" ht="15" hidden="1" outlineLevel="2" x14ac:dyDescent="0.25">
      <c r="B1456" s="157" t="str">
        <f t="shared" si="805"/>
        <v>AfricaResultsTotal Opex e-Methane (PS)USD/ton</v>
      </c>
      <c r="C1456" s="157" t="str">
        <f t="shared" si="806"/>
        <v>Africa</v>
      </c>
      <c r="D1456" s="515" t="s">
        <v>838</v>
      </c>
      <c r="E1456" s="536" t="s">
        <v>1089</v>
      </c>
      <c r="F1456" s="489" t="s">
        <v>205</v>
      </c>
      <c r="G1456" s="490">
        <f t="shared" ref="G1456:M1456" si="812">+G1455</f>
        <v>675.80557950298453</v>
      </c>
      <c r="H1456" s="490">
        <f t="shared" si="812"/>
        <v>539.052824253783</v>
      </c>
      <c r="I1456" s="490">
        <f t="shared" si="812"/>
        <v>437.84242622233006</v>
      </c>
      <c r="J1456" s="490">
        <f t="shared" si="812"/>
        <v>397.47536853963265</v>
      </c>
      <c r="K1456" s="490">
        <f t="shared" si="812"/>
        <v>321.04085119765546</v>
      </c>
      <c r="L1456" s="490">
        <f t="shared" si="812"/>
        <v>230.17489783100757</v>
      </c>
      <c r="M1456" s="490">
        <f t="shared" si="812"/>
        <v>149.3190127734824</v>
      </c>
    </row>
    <row r="1457" spans="2:15" ht="15" hidden="1" outlineLevel="2" x14ac:dyDescent="0.25">
      <c r="B1457" s="157" t="str">
        <f>+C1457&amp;D1457&amp;E1457&amp;F1457</f>
        <v>AfricaResultsTotal RNE e-Methane (DAC)USD/ton</v>
      </c>
      <c r="C1457" s="157" t="str">
        <f t="shared" si="806"/>
        <v>Africa</v>
      </c>
      <c r="D1457" s="515" t="s">
        <v>838</v>
      </c>
      <c r="E1457" s="536" t="s">
        <v>1090</v>
      </c>
      <c r="F1457" s="489" t="s">
        <v>205</v>
      </c>
      <c r="G1457" s="490">
        <f>+G1477+G1489*G1490</f>
        <v>2173.5582738532798</v>
      </c>
      <c r="H1457" s="490">
        <f t="shared" ref="H1457:M1457" si="813">+H1477+H1489*H1490</f>
        <v>1224.1439243660163</v>
      </c>
      <c r="I1457" s="490">
        <f t="shared" si="813"/>
        <v>949.69881966275216</v>
      </c>
      <c r="J1457" s="490">
        <f t="shared" si="813"/>
        <v>777.08525522916591</v>
      </c>
      <c r="K1457" s="490">
        <f t="shared" si="813"/>
        <v>680.39320937255832</v>
      </c>
      <c r="L1457" s="490">
        <f t="shared" si="813"/>
        <v>578.39933125598441</v>
      </c>
      <c r="M1457" s="490">
        <f t="shared" si="813"/>
        <v>520.62662339206918</v>
      </c>
    </row>
    <row r="1458" spans="2:15" ht="15" hidden="1" outlineLevel="2" x14ac:dyDescent="0.25">
      <c r="B1458" s="157" t="str">
        <f>+C1458&amp;D1458&amp;E1458&amp;F1458</f>
        <v>AfricaResultsTotal RNE e-Methane (PS)USD/ton</v>
      </c>
      <c r="C1458" s="157" t="str">
        <f t="shared" si="806"/>
        <v>Africa</v>
      </c>
      <c r="D1458" s="515" t="s">
        <v>838</v>
      </c>
      <c r="E1458" s="536" t="s">
        <v>1091</v>
      </c>
      <c r="F1458" s="489" t="s">
        <v>205</v>
      </c>
      <c r="G1458" s="490">
        <f>+G1457</f>
        <v>2173.5582738532798</v>
      </c>
      <c r="H1458" s="490">
        <f t="shared" ref="H1458:M1458" si="814">+H1457</f>
        <v>1224.1439243660163</v>
      </c>
      <c r="I1458" s="490">
        <f t="shared" si="814"/>
        <v>949.69881966275216</v>
      </c>
      <c r="J1458" s="490">
        <f t="shared" si="814"/>
        <v>777.08525522916591</v>
      </c>
      <c r="K1458" s="490">
        <f t="shared" si="814"/>
        <v>680.39320937255832</v>
      </c>
      <c r="L1458" s="490">
        <f t="shared" si="814"/>
        <v>578.39933125598441</v>
      </c>
      <c r="M1458" s="490">
        <f t="shared" si="814"/>
        <v>520.62662339206918</v>
      </c>
    </row>
    <row r="1459" spans="2:15" ht="15" hidden="1" outlineLevel="2" x14ac:dyDescent="0.25">
      <c r="B1459" s="157" t="str">
        <f>+C1459&amp;D1459&amp;E1459&amp;F1459</f>
        <v>AfricaResultsTotal CO2 e-Methane (DAC)USD/ton</v>
      </c>
      <c r="C1459" s="157" t="str">
        <f t="shared" si="806"/>
        <v>Africa</v>
      </c>
      <c r="D1459" s="515" t="s">
        <v>838</v>
      </c>
      <c r="E1459" s="536" t="s">
        <v>1092</v>
      </c>
      <c r="F1459" s="489" t="s">
        <v>205</v>
      </c>
      <c r="G1459" s="490">
        <f>+G1481</f>
        <v>1043.0158470099038</v>
      </c>
      <c r="H1459" s="490">
        <f t="shared" ref="H1459:M1459" si="815">+H1481</f>
        <v>669.08406783752514</v>
      </c>
      <c r="I1459" s="490">
        <f t="shared" si="815"/>
        <v>522.25361217811303</v>
      </c>
      <c r="J1459" s="490">
        <f t="shared" si="815"/>
        <v>424.25753315185841</v>
      </c>
      <c r="K1459" s="490">
        <f t="shared" si="815"/>
        <v>357.89314746977942</v>
      </c>
      <c r="L1459" s="490">
        <f t="shared" si="815"/>
        <v>300.64735418966706</v>
      </c>
      <c r="M1459" s="490">
        <f t="shared" si="815"/>
        <v>258.38625209211062</v>
      </c>
    </row>
    <row r="1460" spans="2:15" ht="15" hidden="1" outlineLevel="2" x14ac:dyDescent="0.25">
      <c r="B1460" s="157" t="str">
        <f>+C1460&amp;D1460&amp;E1460&amp;F1460</f>
        <v>AfricaResultsTotal CO2 e-Methane (PS)USD/ton</v>
      </c>
      <c r="C1460" s="157" t="str">
        <f t="shared" si="806"/>
        <v>Africa</v>
      </c>
      <c r="D1460" s="515" t="s">
        <v>838</v>
      </c>
      <c r="E1460" s="536" t="s">
        <v>1093</v>
      </c>
      <c r="F1460" s="489" t="s">
        <v>205</v>
      </c>
      <c r="G1460" s="490">
        <f>+G1485</f>
        <v>533.91146546128948</v>
      </c>
      <c r="H1460" s="490">
        <f t="shared" ref="H1460:M1460" si="816">+H1485</f>
        <v>415.68687817223116</v>
      </c>
      <c r="I1460" s="490">
        <f t="shared" si="816"/>
        <v>327.98723147478813</v>
      </c>
      <c r="J1460" s="490">
        <f t="shared" si="816"/>
        <v>291.98963983635463</v>
      </c>
      <c r="K1460" s="490">
        <f t="shared" si="816"/>
        <v>259.47802320948932</v>
      </c>
      <c r="L1460" s="490">
        <f t="shared" si="816"/>
        <v>226.87877081198502</v>
      </c>
      <c r="M1460" s="490">
        <f t="shared" si="816"/>
        <v>195.90249081248399</v>
      </c>
    </row>
    <row r="1461" spans="2:15" hidden="1" outlineLevel="2" x14ac:dyDescent="0.2">
      <c r="C1461" s="157"/>
      <c r="E1461" s="48"/>
      <c r="F1461" s="128"/>
      <c r="G1461" s="8"/>
      <c r="H1461" s="8"/>
      <c r="I1461" s="8"/>
      <c r="J1461" s="8"/>
      <c r="K1461" s="8"/>
      <c r="L1461" s="8"/>
      <c r="M1461" s="8"/>
    </row>
    <row r="1462" spans="2:15" hidden="1" outlineLevel="2" x14ac:dyDescent="0.2">
      <c r="B1462" s="48" t="str">
        <f t="shared" ref="B1462:B1468" si="817">+C1462&amp;D1462&amp;E1462&amp;F1462</f>
        <v>AfricaResultsCH4 Liquifaction costUSD/ton</v>
      </c>
      <c r="C1462" s="157" t="str">
        <f>+$B$1450</f>
        <v>Africa</v>
      </c>
      <c r="D1462" t="s">
        <v>838</v>
      </c>
      <c r="E1462" s="48" t="s">
        <v>1094</v>
      </c>
      <c r="F1462" s="128" t="s">
        <v>205</v>
      </c>
      <c r="G1462" s="8">
        <f t="shared" ref="G1462:M1462" si="818">SUM(G1463,G1466)</f>
        <v>250.86305917954513</v>
      </c>
      <c r="H1462" s="8">
        <f t="shared" si="818"/>
        <v>225.55607133648218</v>
      </c>
      <c r="I1462" s="8">
        <f t="shared" si="818"/>
        <v>215.1948271265972</v>
      </c>
      <c r="J1462" s="8">
        <f t="shared" si="818"/>
        <v>207.47461970497253</v>
      </c>
      <c r="K1462" s="8">
        <f t="shared" si="818"/>
        <v>201.55385203007341</v>
      </c>
      <c r="L1462" s="8">
        <f t="shared" si="818"/>
        <v>195.69326120428326</v>
      </c>
      <c r="M1462" s="8">
        <f t="shared" si="818"/>
        <v>190.72182860301052</v>
      </c>
      <c r="O1462" t="s">
        <v>1095</v>
      </c>
    </row>
    <row r="1463" spans="2:15" hidden="1" outlineLevel="2" x14ac:dyDescent="0.2">
      <c r="B1463" s="48" t="str">
        <f t="shared" si="817"/>
        <v>AfricaResultsCH4 Liquifaction opexUSD/ton</v>
      </c>
      <c r="C1463" s="157" t="str">
        <f>+$B$1450</f>
        <v>Africa</v>
      </c>
      <c r="D1463" t="s">
        <v>838</v>
      </c>
      <c r="E1463" t="s">
        <v>1096</v>
      </c>
      <c r="F1463" s="450" t="s">
        <v>205</v>
      </c>
      <c r="G1463" s="14">
        <f t="shared" ref="G1463:M1463" si="819">G1464*G1465</f>
        <v>47.375603391047648</v>
      </c>
      <c r="H1463" s="14">
        <f t="shared" si="819"/>
        <v>26.806071336482109</v>
      </c>
      <c r="I1463" s="14">
        <f t="shared" si="819"/>
        <v>21.071988709188869</v>
      </c>
      <c r="J1463" s="14">
        <f t="shared" si="819"/>
        <v>17.871216458526131</v>
      </c>
      <c r="K1463" s="14">
        <f t="shared" si="819"/>
        <v>16.36466555560488</v>
      </c>
      <c r="L1463" s="14">
        <f t="shared" si="819"/>
        <v>14.815522725618838</v>
      </c>
      <c r="M1463" s="14">
        <f t="shared" si="819"/>
        <v>14.055161936343822</v>
      </c>
      <c r="N1463" s="93"/>
    </row>
    <row r="1464" spans="2:15" hidden="1" outlineLevel="2" x14ac:dyDescent="0.2">
      <c r="B1464" s="48" t="str">
        <f t="shared" si="817"/>
        <v>AfricaFeedstockElectricityUSD/MWh</v>
      </c>
      <c r="C1464" s="157" t="str">
        <f>+$B$1450</f>
        <v>Africa</v>
      </c>
      <c r="D1464" t="s">
        <v>777</v>
      </c>
      <c r="E1464" t="s">
        <v>54</v>
      </c>
      <c r="F1464" s="450" t="s">
        <v>196</v>
      </c>
      <c r="G1464" s="532">
        <f>+INDEX('Fuel Model -  Input'!$B$3:$N$373,MATCH($B1464,'Fuel Model -  Input'!$B$3:$B$373,0),MATCH(G$2,'Fuel Model -  Input'!$B$3:$N$3,0))</f>
        <v>78.959338985079413</v>
      </c>
      <c r="H1464" s="532">
        <f>+INDEX('Fuel Model -  Input'!$B$3:$N$373,MATCH($B1464,'Fuel Model -  Input'!$B$3:$B$373,0),MATCH(H$2,'Fuel Model -  Input'!$B$3:$N$3,0))</f>
        <v>44.676785560803516</v>
      </c>
      <c r="I1464" s="532">
        <f>+INDEX('Fuel Model -  Input'!$B$3:$N$373,MATCH($B1464,'Fuel Model -  Input'!$B$3:$B$373,0),MATCH(I$2,'Fuel Model -  Input'!$B$3:$N$3,0))</f>
        <v>35.119981181981451</v>
      </c>
      <c r="J1464" s="532">
        <f>+INDEX('Fuel Model -  Input'!$B$3:$N$373,MATCH($B1464,'Fuel Model -  Input'!$B$3:$B$373,0),MATCH(J$2,'Fuel Model -  Input'!$B$3:$N$3,0))</f>
        <v>29.785360764210218</v>
      </c>
      <c r="K1464" s="532">
        <f>+INDEX('Fuel Model -  Input'!$B$3:$N$373,MATCH($B1464,'Fuel Model -  Input'!$B$3:$B$373,0),MATCH(K$2,'Fuel Model -  Input'!$B$3:$N$3,0))</f>
        <v>27.274442592674799</v>
      </c>
      <c r="L1464" s="532">
        <f>+INDEX('Fuel Model -  Input'!$B$3:$N$373,MATCH($B1464,'Fuel Model -  Input'!$B$3:$B$373,0),MATCH(L$2,'Fuel Model -  Input'!$B$3:$N$3,0))</f>
        <v>24.692537876031398</v>
      </c>
      <c r="M1464" s="532">
        <f>+INDEX('Fuel Model -  Input'!$B$3:$N$373,MATCH($B1464,'Fuel Model -  Input'!$B$3:$B$373,0),MATCH(M$2,'Fuel Model -  Input'!$B$3:$N$3,0))</f>
        <v>23.425269893906371</v>
      </c>
      <c r="N1464" s="93"/>
    </row>
    <row r="1465" spans="2:15" hidden="1" outlineLevel="2" x14ac:dyDescent="0.2">
      <c r="B1465" s="48" t="str">
        <f t="shared" si="817"/>
        <v>GlobalProcess - OpexCH4 LiquifactionmWh/ ton e CH4</v>
      </c>
      <c r="C1465" s="157" t="s">
        <v>109</v>
      </c>
      <c r="D1465" t="s">
        <v>876</v>
      </c>
      <c r="E1465" t="s">
        <v>1097</v>
      </c>
      <c r="F1465" s="450" t="s">
        <v>1098</v>
      </c>
      <c r="G1465" s="542">
        <f>+INDEX('Fuel Model -  Input'!$B$3:$N$373,MATCH($B1465,'Fuel Model -  Input'!$B$3:$B$373,0),MATCH(G$2,'Fuel Model -  Input'!$B$3:$N$3,0))</f>
        <v>0.6</v>
      </c>
      <c r="H1465" s="542">
        <f>+INDEX('Fuel Model -  Input'!$B$3:$N$373,MATCH($B1465,'Fuel Model -  Input'!$B$3:$B$373,0),MATCH(H$2,'Fuel Model -  Input'!$B$3:$N$3,0))</f>
        <v>0.6</v>
      </c>
      <c r="I1465" s="542">
        <f>+INDEX('Fuel Model -  Input'!$B$3:$N$373,MATCH($B1465,'Fuel Model -  Input'!$B$3:$B$373,0),MATCH(I$2,'Fuel Model -  Input'!$B$3:$N$3,0))</f>
        <v>0.6</v>
      </c>
      <c r="J1465" s="542">
        <f>+INDEX('Fuel Model -  Input'!$B$3:$N$373,MATCH($B1465,'Fuel Model -  Input'!$B$3:$B$373,0),MATCH(J$2,'Fuel Model -  Input'!$B$3:$N$3,0))</f>
        <v>0.6</v>
      </c>
      <c r="K1465" s="542">
        <f>+INDEX('Fuel Model -  Input'!$B$3:$N$373,MATCH($B1465,'Fuel Model -  Input'!$B$3:$B$373,0),MATCH(K$2,'Fuel Model -  Input'!$B$3:$N$3,0))</f>
        <v>0.6</v>
      </c>
      <c r="L1465" s="542">
        <f>+INDEX('Fuel Model -  Input'!$B$3:$N$373,MATCH($B1465,'Fuel Model -  Input'!$B$3:$B$373,0),MATCH(L$2,'Fuel Model -  Input'!$B$3:$N$3,0))</f>
        <v>0.6</v>
      </c>
      <c r="M1465" s="542">
        <f>+INDEX('Fuel Model -  Input'!$B$3:$N$373,MATCH($B1465,'Fuel Model -  Input'!$B$3:$B$373,0),MATCH(M$2,'Fuel Model -  Input'!$B$3:$N$3,0))</f>
        <v>0.6</v>
      </c>
      <c r="N1465" s="93"/>
    </row>
    <row r="1466" spans="2:15" s="157" customFormat="1" hidden="1" outlineLevel="2" x14ac:dyDescent="0.2">
      <c r="B1466" s="498" t="str">
        <f t="shared" si="817"/>
        <v>AfricaProcess - CapexCH4 LiquifactionUSD/ ton CH4 output</v>
      </c>
      <c r="C1466" s="157" t="str">
        <f>+$B$1450</f>
        <v>Africa</v>
      </c>
      <c r="D1466" s="157" t="s">
        <v>879</v>
      </c>
      <c r="E1466" s="157" t="s">
        <v>1097</v>
      </c>
      <c r="F1466" s="450" t="s">
        <v>1099</v>
      </c>
      <c r="G1466" s="337">
        <f t="shared" ref="G1466:M1466" si="820">G1468/G1467</f>
        <v>203.48745578849747</v>
      </c>
      <c r="H1466" s="337">
        <f t="shared" si="820"/>
        <v>198.75000000000006</v>
      </c>
      <c r="I1466" s="337">
        <f t="shared" si="820"/>
        <v>194.12283841740833</v>
      </c>
      <c r="J1466" s="337">
        <f t="shared" si="820"/>
        <v>189.60340324644639</v>
      </c>
      <c r="K1466" s="337">
        <f t="shared" si="820"/>
        <v>185.18918647446853</v>
      </c>
      <c r="L1466" s="337">
        <f t="shared" si="820"/>
        <v>180.87773847866441</v>
      </c>
      <c r="M1466" s="337">
        <f t="shared" si="820"/>
        <v>176.66666666666671</v>
      </c>
      <c r="N1466" s="493"/>
    </row>
    <row r="1467" spans="2:15" hidden="1" outlineLevel="2" x14ac:dyDescent="0.2">
      <c r="B1467" s="48" t="str">
        <f t="shared" si="817"/>
        <v>GlobalPlant capexAnnualisation factor#</v>
      </c>
      <c r="C1467" s="157" t="s">
        <v>109</v>
      </c>
      <c r="D1467" t="s">
        <v>786</v>
      </c>
      <c r="E1467" t="s">
        <v>764</v>
      </c>
      <c r="F1467" s="450" t="s">
        <v>787</v>
      </c>
      <c r="G1467" s="532">
        <f>INDEX('Fuel Model -  Input'!$B$3:$N$373,MATCH($B1467,'Fuel Model -  Input'!$B$3:$B$373,0),MATCH(G$2,'Fuel Model -  Input'!$B$3:$N$3,0))</f>
        <v>11.32075471698113</v>
      </c>
      <c r="H1467" s="532">
        <f>INDEX('Fuel Model -  Input'!$B$3:$N$373,MATCH($B1467,'Fuel Model -  Input'!$B$3:$B$373,0),MATCH(H$2,'Fuel Model -  Input'!$B$3:$N$3,0))</f>
        <v>11.32075471698113</v>
      </c>
      <c r="I1467" s="532">
        <f>INDEX('Fuel Model -  Input'!$B$3:$N$373,MATCH($B1467,'Fuel Model -  Input'!$B$3:$B$373,0),MATCH(I$2,'Fuel Model -  Input'!$B$3:$N$3,0))</f>
        <v>11.32075471698113</v>
      </c>
      <c r="J1467" s="532">
        <f>INDEX('Fuel Model -  Input'!$B$3:$N$373,MATCH($B1467,'Fuel Model -  Input'!$B$3:$B$373,0),MATCH(J$2,'Fuel Model -  Input'!$B$3:$N$3,0))</f>
        <v>11.32075471698113</v>
      </c>
      <c r="K1467" s="532">
        <f>INDEX('Fuel Model -  Input'!$B$3:$N$373,MATCH($B1467,'Fuel Model -  Input'!$B$3:$B$373,0),MATCH(K$2,'Fuel Model -  Input'!$B$3:$N$3,0))</f>
        <v>11.32075471698113</v>
      </c>
      <c r="L1467" s="532">
        <f>INDEX('Fuel Model -  Input'!$B$3:$N$373,MATCH($B1467,'Fuel Model -  Input'!$B$3:$B$373,0),MATCH(L$2,'Fuel Model -  Input'!$B$3:$N$3,0))</f>
        <v>11.32075471698113</v>
      </c>
      <c r="M1467" s="532">
        <f>INDEX('Fuel Model -  Input'!$B$3:$N$373,MATCH($B1467,'Fuel Model -  Input'!$B$3:$B$373,0),MATCH(M$2,'Fuel Model -  Input'!$B$3:$N$3,0))</f>
        <v>11.32075471698113</v>
      </c>
    </row>
    <row r="1468" spans="2:15" hidden="1" outlineLevel="2" x14ac:dyDescent="0.2">
      <c r="B1468" s="48" t="str">
        <f t="shared" si="817"/>
        <v>GlobalProcess - CapexCH4 LiquifactionUSD/ ton CH4 capacity</v>
      </c>
      <c r="C1468" s="157" t="s">
        <v>109</v>
      </c>
      <c r="D1468" t="s">
        <v>879</v>
      </c>
      <c r="E1468" t="s">
        <v>1097</v>
      </c>
      <c r="F1468" s="450" t="s">
        <v>1100</v>
      </c>
      <c r="G1468" s="543">
        <f>+INDEX('Fuel Model -  Input'!$B$3:$N$373,MATCH($B1468,'Fuel Model -  Input'!$B$3:$B$373,0),MATCH(G$2,'Fuel Model -  Input'!$B$3:$N$3,0))</f>
        <v>2303.6315749641217</v>
      </c>
      <c r="H1468" s="543">
        <f>+INDEX('Fuel Model -  Input'!$B$3:$N$373,MATCH($B1468,'Fuel Model -  Input'!$B$3:$B$373,0),MATCH(H$2,'Fuel Model -  Input'!$B$3:$N$3,0))</f>
        <v>2250</v>
      </c>
      <c r="I1468" s="543">
        <f>+INDEX('Fuel Model -  Input'!$B$3:$N$373,MATCH($B1468,'Fuel Model -  Input'!$B$3:$B$373,0),MATCH(I$2,'Fuel Model -  Input'!$B$3:$N$3,0))</f>
        <v>2197.6170386876411</v>
      </c>
      <c r="J1468" s="543">
        <f>+INDEX('Fuel Model -  Input'!$B$3:$N$373,MATCH($B1468,'Fuel Model -  Input'!$B$3:$B$373,0),MATCH(J$2,'Fuel Model -  Input'!$B$3:$N$3,0))</f>
        <v>2146.4536216578831</v>
      </c>
      <c r="K1468" s="543">
        <f>+INDEX('Fuel Model -  Input'!$B$3:$N$373,MATCH($B1468,'Fuel Model -  Input'!$B$3:$B$373,0),MATCH(K$2,'Fuel Model -  Input'!$B$3:$N$3,0))</f>
        <v>2096.4813563147377</v>
      </c>
      <c r="L1468" s="543">
        <f>+INDEX('Fuel Model -  Input'!$B$3:$N$373,MATCH($B1468,'Fuel Model -  Input'!$B$3:$B$373,0),MATCH(L$2,'Fuel Model -  Input'!$B$3:$N$3,0))</f>
        <v>2047.6725110792192</v>
      </c>
      <c r="M1468" s="543">
        <f>+INDEX('Fuel Model -  Input'!$B$3:$N$373,MATCH($B1468,'Fuel Model -  Input'!$B$3:$B$373,0),MATCH(M$2,'Fuel Model -  Input'!$B$3:$N$3,0))</f>
        <v>2000</v>
      </c>
      <c r="N1468" s="93"/>
    </row>
    <row r="1469" spans="2:15" hidden="1" outlineLevel="2" x14ac:dyDescent="0.2">
      <c r="C1469" s="157"/>
      <c r="E1469" s="48"/>
      <c r="F1469" s="128"/>
      <c r="G1469" s="8"/>
      <c r="H1469" s="8"/>
      <c r="I1469" s="8"/>
      <c r="J1469" s="8"/>
      <c r="K1469" s="8"/>
      <c r="L1469" s="8"/>
      <c r="M1469" s="8"/>
    </row>
    <row r="1470" spans="2:15" hidden="1" outlineLevel="2" x14ac:dyDescent="0.2">
      <c r="B1470" t="str">
        <f>+C1470&amp;D1470&amp;E1470&amp;F1470</f>
        <v>AfricaResultsCapex per ton e MethaneUSD/ Ton</v>
      </c>
      <c r="C1470" s="157" t="str">
        <f>+$B$1450</f>
        <v>Africa</v>
      </c>
      <c r="D1470" t="s">
        <v>838</v>
      </c>
      <c r="E1470" s="48" t="s">
        <v>1101</v>
      </c>
      <c r="F1470" s="128" t="s">
        <v>1053</v>
      </c>
      <c r="G1470" s="8">
        <f t="shared" ref="G1470:M1470" si="821">G1472/G1471</f>
        <v>159.00000000000003</v>
      </c>
      <c r="H1470" s="8">
        <f t="shared" si="821"/>
        <v>121.01666666666669</v>
      </c>
      <c r="I1470" s="8">
        <f t="shared" si="821"/>
        <v>97.166666666666686</v>
      </c>
      <c r="J1470" s="8">
        <f t="shared" si="821"/>
        <v>88.333333333333357</v>
      </c>
      <c r="K1470" s="8">
        <f t="shared" si="821"/>
        <v>79.500000000000014</v>
      </c>
      <c r="L1470" s="8">
        <f t="shared" si="821"/>
        <v>64.483333333333348</v>
      </c>
      <c r="M1470" s="8">
        <f t="shared" si="821"/>
        <v>49.466666666666676</v>
      </c>
    </row>
    <row r="1471" spans="2:15" hidden="1" outlineLevel="2" x14ac:dyDescent="0.2">
      <c r="B1471" t="str">
        <f>+C1471&amp;D1471&amp;E1471&amp;F1471</f>
        <v>GlobalPlant capexAnnualisation factor#</v>
      </c>
      <c r="C1471" s="157" t="s">
        <v>109</v>
      </c>
      <c r="D1471" t="s">
        <v>786</v>
      </c>
      <c r="E1471" t="s">
        <v>764</v>
      </c>
      <c r="F1471" s="450" t="s">
        <v>787</v>
      </c>
      <c r="G1471" s="532">
        <f>INDEX('Fuel Model -  Input'!$B$3:$N$373,MATCH($B1471,'Fuel Model -  Input'!$B$3:$B$373,0),MATCH(G$2,'Fuel Model -  Input'!$B$3:$N$3,0))</f>
        <v>11.32075471698113</v>
      </c>
      <c r="H1471" s="532">
        <f>INDEX('Fuel Model -  Input'!$B$3:$N$373,MATCH($B1471,'Fuel Model -  Input'!$B$3:$B$373,0),MATCH(H$2,'Fuel Model -  Input'!$B$3:$N$3,0))</f>
        <v>11.32075471698113</v>
      </c>
      <c r="I1471" s="532">
        <f>INDEX('Fuel Model -  Input'!$B$3:$N$373,MATCH($B1471,'Fuel Model -  Input'!$B$3:$B$373,0),MATCH(I$2,'Fuel Model -  Input'!$B$3:$N$3,0))</f>
        <v>11.32075471698113</v>
      </c>
      <c r="J1471" s="532">
        <f>INDEX('Fuel Model -  Input'!$B$3:$N$373,MATCH($B1471,'Fuel Model -  Input'!$B$3:$B$373,0),MATCH(J$2,'Fuel Model -  Input'!$B$3:$N$3,0))</f>
        <v>11.32075471698113</v>
      </c>
      <c r="K1471" s="532">
        <f>INDEX('Fuel Model -  Input'!$B$3:$N$373,MATCH($B1471,'Fuel Model -  Input'!$B$3:$B$373,0),MATCH(K$2,'Fuel Model -  Input'!$B$3:$N$3,0))</f>
        <v>11.32075471698113</v>
      </c>
      <c r="L1471" s="532">
        <f>INDEX('Fuel Model -  Input'!$B$3:$N$373,MATCH($B1471,'Fuel Model -  Input'!$B$3:$B$373,0),MATCH(L$2,'Fuel Model -  Input'!$B$3:$N$3,0))</f>
        <v>11.32075471698113</v>
      </c>
      <c r="M1471" s="532">
        <f>INDEX('Fuel Model -  Input'!$B$3:$N$373,MATCH($B1471,'Fuel Model -  Input'!$B$3:$B$373,0),MATCH(M$2,'Fuel Model -  Input'!$B$3:$N$3,0))</f>
        <v>11.32075471698113</v>
      </c>
    </row>
    <row r="1472" spans="2:15" hidden="1" outlineLevel="2" x14ac:dyDescent="0.2">
      <c r="B1472" t="str">
        <f>+C1472&amp;D1472&amp;E1472&amp;F1472</f>
        <v>GlobalCapexE Methane plant capex unit costCapex/ ton e methane</v>
      </c>
      <c r="C1472" s="157" t="s">
        <v>109</v>
      </c>
      <c r="D1472" t="s">
        <v>218</v>
      </c>
      <c r="E1472" t="s">
        <v>1102</v>
      </c>
      <c r="F1472" s="128" t="s">
        <v>1103</v>
      </c>
      <c r="G1472" s="532">
        <f>INDEX('Fuel Model -  Input'!$B$3:$N$373,MATCH($B1472,'Fuel Model -  Input'!$B$3:$B$373,0),MATCH(G$2,'Fuel Model -  Input'!$B$3:$N$3,0))</f>
        <v>1800</v>
      </c>
      <c r="H1472" s="532">
        <f>INDEX('Fuel Model -  Input'!$B$3:$N$373,MATCH($B1472,'Fuel Model -  Input'!$B$3:$B$373,0),MATCH(H$2,'Fuel Model -  Input'!$B$3:$N$3,0))</f>
        <v>1370</v>
      </c>
      <c r="I1472" s="532">
        <f>INDEX('Fuel Model -  Input'!$B$3:$N$373,MATCH($B1472,'Fuel Model -  Input'!$B$3:$B$373,0),MATCH(I$2,'Fuel Model -  Input'!$B$3:$N$3,0))</f>
        <v>1100</v>
      </c>
      <c r="J1472" s="532">
        <f>INDEX('Fuel Model -  Input'!$B$3:$N$373,MATCH($B1472,'Fuel Model -  Input'!$B$3:$B$373,0),MATCH(J$2,'Fuel Model -  Input'!$B$3:$N$3,0))</f>
        <v>1000</v>
      </c>
      <c r="K1472" s="532">
        <f>INDEX('Fuel Model -  Input'!$B$3:$N$373,MATCH($B1472,'Fuel Model -  Input'!$B$3:$B$373,0),MATCH(K$2,'Fuel Model -  Input'!$B$3:$N$3,0))</f>
        <v>900</v>
      </c>
      <c r="L1472" s="532">
        <f>INDEX('Fuel Model -  Input'!$B$3:$N$373,MATCH($B1472,'Fuel Model -  Input'!$B$3:$B$373,0),MATCH(L$2,'Fuel Model -  Input'!$B$3:$N$3,0))</f>
        <v>730</v>
      </c>
      <c r="M1472" s="532">
        <f>INDEX('Fuel Model -  Input'!$B$3:$N$373,MATCH($B1472,'Fuel Model -  Input'!$B$3:$B$373,0),MATCH(M$2,'Fuel Model -  Input'!$B$3:$N$3,0))</f>
        <v>560</v>
      </c>
    </row>
    <row r="1473" spans="2:13" hidden="1" outlineLevel="2" x14ac:dyDescent="0.2">
      <c r="C1473" s="157"/>
      <c r="E1473" s="48"/>
      <c r="F1473" s="128"/>
      <c r="G1473" s="8"/>
      <c r="H1473" s="8"/>
      <c r="I1473" s="8"/>
      <c r="J1473" s="8"/>
      <c r="K1473" s="8"/>
      <c r="L1473" s="8"/>
      <c r="M1473" s="8"/>
    </row>
    <row r="1474" spans="2:13" hidden="1" outlineLevel="2" x14ac:dyDescent="0.2">
      <c r="B1474" t="str">
        <f>+C1474&amp;D1474&amp;E1474&amp;F1474</f>
        <v>AfricaOpexOpex e Methane synthesis plantUSD/ton e Methane</v>
      </c>
      <c r="C1474" s="157" t="str">
        <f>+$B$1450</f>
        <v>Africa</v>
      </c>
      <c r="D1474" t="s">
        <v>219</v>
      </c>
      <c r="E1474" s="48" t="s">
        <v>1104</v>
      </c>
      <c r="F1474" s="128" t="s">
        <v>1105</v>
      </c>
      <c r="G1474" s="8">
        <f t="shared" ref="G1474:M1474" si="822">G1475*G1472</f>
        <v>144</v>
      </c>
      <c r="H1474" s="8">
        <f t="shared" si="822"/>
        <v>109.60000000000001</v>
      </c>
      <c r="I1474" s="8">
        <f t="shared" si="822"/>
        <v>88</v>
      </c>
      <c r="J1474" s="8">
        <f t="shared" si="822"/>
        <v>80</v>
      </c>
      <c r="K1474" s="8">
        <f t="shared" si="822"/>
        <v>72</v>
      </c>
      <c r="L1474" s="8">
        <f t="shared" si="822"/>
        <v>58.4</v>
      </c>
      <c r="M1474" s="8">
        <f t="shared" si="822"/>
        <v>44.800000000000004</v>
      </c>
    </row>
    <row r="1475" spans="2:13" hidden="1" outlineLevel="2" x14ac:dyDescent="0.2">
      <c r="B1475" s="78" t="str">
        <f>+C1475&amp;D1475&amp;E1475&amp;F1475</f>
        <v>GlobalOpexOther opex e Methane synthesisPercent of capex</v>
      </c>
      <c r="C1475" s="157" t="s">
        <v>109</v>
      </c>
      <c r="D1475" t="s">
        <v>219</v>
      </c>
      <c r="E1475" s="48" t="s">
        <v>1106</v>
      </c>
      <c r="F1475" s="128" t="s">
        <v>1058</v>
      </c>
      <c r="G1475" s="531">
        <f>INDEX('Fuel Model -  Input'!$B$3:$N$373,MATCH($B1475,'Fuel Model -  Input'!$B$3:$B$373,0),MATCH(G$2,'Fuel Model -  Input'!$B$3:$N$3,0))</f>
        <v>0.08</v>
      </c>
      <c r="H1475" s="531">
        <f>INDEX('Fuel Model -  Input'!$B$3:$N$373,MATCH($B1475,'Fuel Model -  Input'!$B$3:$B$373,0),MATCH(H$2,'Fuel Model -  Input'!$B$3:$N$3,0))</f>
        <v>0.08</v>
      </c>
      <c r="I1475" s="531">
        <f>INDEX('Fuel Model -  Input'!$B$3:$N$373,MATCH($B1475,'Fuel Model -  Input'!$B$3:$B$373,0),MATCH(I$2,'Fuel Model -  Input'!$B$3:$N$3,0))</f>
        <v>0.08</v>
      </c>
      <c r="J1475" s="531">
        <f>INDEX('Fuel Model -  Input'!$B$3:$N$373,MATCH($B1475,'Fuel Model -  Input'!$B$3:$B$373,0),MATCH(J$2,'Fuel Model -  Input'!$B$3:$N$3,0))</f>
        <v>0.08</v>
      </c>
      <c r="K1475" s="531">
        <f>INDEX('Fuel Model -  Input'!$B$3:$N$373,MATCH($B1475,'Fuel Model -  Input'!$B$3:$B$373,0),MATCH(K$2,'Fuel Model -  Input'!$B$3:$N$3,0))</f>
        <v>0.08</v>
      </c>
      <c r="L1475" s="531">
        <f>INDEX('Fuel Model -  Input'!$B$3:$N$373,MATCH($B1475,'Fuel Model -  Input'!$B$3:$B$373,0),MATCH(L$2,'Fuel Model -  Input'!$B$3:$N$3,0))</f>
        <v>0.08</v>
      </c>
      <c r="M1475" s="531">
        <f>INDEX('Fuel Model -  Input'!$B$3:$N$373,MATCH($B1475,'Fuel Model -  Input'!$B$3:$B$373,0),MATCH(M$2,'Fuel Model -  Input'!$B$3:$N$3,0))</f>
        <v>0.08</v>
      </c>
    </row>
    <row r="1476" spans="2:13" hidden="1" outlineLevel="2" x14ac:dyDescent="0.2">
      <c r="C1476" s="157"/>
      <c r="E1476" s="48"/>
      <c r="F1476" s="128"/>
      <c r="G1476" s="8"/>
      <c r="H1476" s="8"/>
      <c r="I1476" s="8"/>
      <c r="J1476" s="8"/>
      <c r="K1476" s="8"/>
      <c r="L1476" s="8"/>
      <c r="M1476" s="8"/>
    </row>
    <row r="1477" spans="2:13" hidden="1" outlineLevel="2" x14ac:dyDescent="0.2">
      <c r="B1477" s="78" t="str">
        <f>+C1477&amp;D1477&amp;E1477&amp;F1477</f>
        <v>AfricaGeneralElectricity costUSD/ton e Methane</v>
      </c>
      <c r="C1477" s="157" t="str">
        <f>+$B$1450</f>
        <v>Africa</v>
      </c>
      <c r="D1477" t="s">
        <v>173</v>
      </c>
      <c r="E1477" s="48" t="s">
        <v>94</v>
      </c>
      <c r="F1477" s="128" t="s">
        <v>1105</v>
      </c>
      <c r="G1477" s="260">
        <f t="shared" ref="G1477:M1477" si="823">G1478*G1479</f>
        <v>31.583735594031765</v>
      </c>
      <c r="H1477" s="260">
        <f t="shared" si="823"/>
        <v>17.870714224321407</v>
      </c>
      <c r="I1477" s="260">
        <f t="shared" si="823"/>
        <v>14.047992472792581</v>
      </c>
      <c r="J1477" s="260">
        <f t="shared" si="823"/>
        <v>11.914144305684088</v>
      </c>
      <c r="K1477" s="260">
        <f t="shared" si="823"/>
        <v>10.909777037069921</v>
      </c>
      <c r="L1477" s="260">
        <f t="shared" si="823"/>
        <v>9.8770151504125607</v>
      </c>
      <c r="M1477" s="260">
        <f t="shared" si="823"/>
        <v>9.3701079575625492</v>
      </c>
    </row>
    <row r="1478" spans="2:13" hidden="1" outlineLevel="2" x14ac:dyDescent="0.2">
      <c r="B1478" s="78" t="str">
        <f>+C1478&amp;D1478&amp;E1478&amp;F1478</f>
        <v>AfricaFeedstockElectricityUSD/MWh</v>
      </c>
      <c r="C1478" s="157" t="str">
        <f>+$B$1450</f>
        <v>Africa</v>
      </c>
      <c r="D1478" t="s">
        <v>777</v>
      </c>
      <c r="E1478" s="48" t="s">
        <v>54</v>
      </c>
      <c r="F1478" s="128" t="s">
        <v>196</v>
      </c>
      <c r="G1478" s="532">
        <f>INDEX('Fuel Model -  Input'!$B$3:$N$373,MATCH($B1478,'Fuel Model -  Input'!$B$3:$B$373,0),MATCH(G$2,'Fuel Model -  Input'!$B$3:$N$3,0))</f>
        <v>78.959338985079413</v>
      </c>
      <c r="H1478" s="532">
        <f>INDEX('Fuel Model -  Input'!$B$3:$N$373,MATCH($B1478,'Fuel Model -  Input'!$B$3:$B$373,0),MATCH(H$2,'Fuel Model -  Input'!$B$3:$N$3,0))</f>
        <v>44.676785560803516</v>
      </c>
      <c r="I1478" s="532">
        <f>INDEX('Fuel Model -  Input'!$B$3:$N$373,MATCH($B1478,'Fuel Model -  Input'!$B$3:$B$373,0),MATCH(I$2,'Fuel Model -  Input'!$B$3:$N$3,0))</f>
        <v>35.119981181981451</v>
      </c>
      <c r="J1478" s="532">
        <f>INDEX('Fuel Model -  Input'!$B$3:$N$373,MATCH($B1478,'Fuel Model -  Input'!$B$3:$B$373,0),MATCH(J$2,'Fuel Model -  Input'!$B$3:$N$3,0))</f>
        <v>29.785360764210218</v>
      </c>
      <c r="K1478" s="532">
        <f>INDEX('Fuel Model -  Input'!$B$3:$N$373,MATCH($B1478,'Fuel Model -  Input'!$B$3:$B$373,0),MATCH(K$2,'Fuel Model -  Input'!$B$3:$N$3,0))</f>
        <v>27.274442592674799</v>
      </c>
      <c r="L1478" s="532">
        <f>INDEX('Fuel Model -  Input'!$B$3:$N$373,MATCH($B1478,'Fuel Model -  Input'!$B$3:$B$373,0),MATCH(L$2,'Fuel Model -  Input'!$B$3:$N$3,0))</f>
        <v>24.692537876031398</v>
      </c>
      <c r="M1478" s="532">
        <f>INDEX('Fuel Model -  Input'!$B$3:$N$373,MATCH($B1478,'Fuel Model -  Input'!$B$3:$B$373,0),MATCH(M$2,'Fuel Model -  Input'!$B$3:$N$3,0))</f>
        <v>23.425269893906371</v>
      </c>
    </row>
    <row r="1479" spans="2:13" hidden="1" outlineLevel="2" x14ac:dyDescent="0.2">
      <c r="B1479" s="78" t="str">
        <f>+C1479&amp;D1479&amp;E1479&amp;F1479</f>
        <v>GlobalGeneralElectricity demandmWh/ton e Methane</v>
      </c>
      <c r="C1479" s="157" t="s">
        <v>109</v>
      </c>
      <c r="D1479" t="s">
        <v>173</v>
      </c>
      <c r="E1479" s="48" t="s">
        <v>963</v>
      </c>
      <c r="F1479" s="128" t="s">
        <v>1107</v>
      </c>
      <c r="G1479" s="521">
        <f>INDEX('Fuel Model -  Input'!$B$3:$N$373,MATCH($B1479,'Fuel Model -  Input'!$B$3:$B$373,0),MATCH(G$2,'Fuel Model -  Input'!$B$3:$N$3,0))</f>
        <v>0.4</v>
      </c>
      <c r="H1479" s="521">
        <f>INDEX('Fuel Model -  Input'!$B$3:$N$373,MATCH($B1479,'Fuel Model -  Input'!$B$3:$B$373,0),MATCH(H$2,'Fuel Model -  Input'!$B$3:$N$3,0))</f>
        <v>0.4</v>
      </c>
      <c r="I1479" s="521">
        <f>INDEX('Fuel Model -  Input'!$B$3:$N$373,MATCH($B1479,'Fuel Model -  Input'!$B$3:$B$373,0),MATCH(I$2,'Fuel Model -  Input'!$B$3:$N$3,0))</f>
        <v>0.4</v>
      </c>
      <c r="J1479" s="521">
        <f>INDEX('Fuel Model -  Input'!$B$3:$N$373,MATCH($B1479,'Fuel Model -  Input'!$B$3:$B$373,0),MATCH(J$2,'Fuel Model -  Input'!$B$3:$N$3,0))</f>
        <v>0.4</v>
      </c>
      <c r="K1479" s="521">
        <f>INDEX('Fuel Model -  Input'!$B$3:$N$373,MATCH($B1479,'Fuel Model -  Input'!$B$3:$B$373,0),MATCH(K$2,'Fuel Model -  Input'!$B$3:$N$3,0))</f>
        <v>0.4</v>
      </c>
      <c r="L1479" s="521">
        <f>INDEX('Fuel Model -  Input'!$B$3:$N$373,MATCH($B1479,'Fuel Model -  Input'!$B$3:$B$373,0),MATCH(L$2,'Fuel Model -  Input'!$B$3:$N$3,0))</f>
        <v>0.4</v>
      </c>
      <c r="M1479" s="521">
        <f>INDEX('Fuel Model -  Input'!$B$3:$N$373,MATCH($B1479,'Fuel Model -  Input'!$B$3:$B$373,0),MATCH(M$2,'Fuel Model -  Input'!$B$3:$N$3,0))</f>
        <v>0.4</v>
      </c>
    </row>
    <row r="1480" spans="2:13" hidden="1" outlineLevel="2" x14ac:dyDescent="0.2">
      <c r="C1480" s="157"/>
      <c r="E1480" s="48"/>
      <c r="F1480" s="128"/>
      <c r="G1480" s="524"/>
      <c r="H1480" s="524"/>
      <c r="I1480" s="524"/>
      <c r="J1480" s="524"/>
      <c r="K1480" s="524"/>
      <c r="L1480" s="524"/>
      <c r="M1480" s="524"/>
    </row>
    <row r="1481" spans="2:13" hidden="1" outlineLevel="2" x14ac:dyDescent="0.2">
      <c r="B1481" s="78" t="str">
        <f>+C1481&amp;D1481&amp;E1481&amp;F1481</f>
        <v>AfricaFeedstockFeedstock CO2USD/ton e Methane</v>
      </c>
      <c r="C1481" s="157" t="str">
        <f>+$B$1450</f>
        <v>Africa</v>
      </c>
      <c r="D1481" t="s">
        <v>777</v>
      </c>
      <c r="E1481" s="48" t="s">
        <v>1007</v>
      </c>
      <c r="F1481" s="128" t="s">
        <v>1105</v>
      </c>
      <c r="G1481" s="8">
        <f t="shared" ref="G1481:M1481" si="824">G1482*G1483</f>
        <v>1043.0158470099038</v>
      </c>
      <c r="H1481" s="8">
        <f t="shared" si="824"/>
        <v>669.08406783752514</v>
      </c>
      <c r="I1481" s="8">
        <f t="shared" si="824"/>
        <v>522.25361217811303</v>
      </c>
      <c r="J1481" s="8">
        <f t="shared" si="824"/>
        <v>424.25753315185841</v>
      </c>
      <c r="K1481" s="8">
        <f t="shared" si="824"/>
        <v>357.89314746977942</v>
      </c>
      <c r="L1481" s="8">
        <f t="shared" si="824"/>
        <v>300.64735418966706</v>
      </c>
      <c r="M1481" s="8">
        <f t="shared" si="824"/>
        <v>258.38625209211062</v>
      </c>
    </row>
    <row r="1482" spans="2:13" hidden="1" outlineLevel="2" x14ac:dyDescent="0.2">
      <c r="B1482" s="78" t="str">
        <f>+C1482&amp;D1482&amp;E1482&amp;F1482</f>
        <v>GlobalFeedstockConversion CO2 : e Methane (actual)kg CO2/kg e Methane</v>
      </c>
      <c r="C1482" s="157" t="s">
        <v>109</v>
      </c>
      <c r="D1482" t="s">
        <v>777</v>
      </c>
      <c r="E1482" t="s">
        <v>1108</v>
      </c>
      <c r="F1482" s="128" t="s">
        <v>1109</v>
      </c>
      <c r="G1482" s="521">
        <f>INDEX('Fuel Model -  Input'!$B$3:$N$373,MATCH($B1482,'Fuel Model -  Input'!$B$3:$B$373,0),MATCH(G$2,'Fuel Model -  Input'!$B$3:$N$3,0))</f>
        <v>2.7434235132776457</v>
      </c>
      <c r="H1482" s="521">
        <f>INDEX('Fuel Model -  Input'!$B$3:$N$373,MATCH($B1482,'Fuel Model -  Input'!$B$3:$B$373,0),MATCH(H$2,'Fuel Model -  Input'!$B$3:$N$3,0))</f>
        <v>2.7434235132776457</v>
      </c>
      <c r="I1482" s="521">
        <f>INDEX('Fuel Model -  Input'!$B$3:$N$373,MATCH($B1482,'Fuel Model -  Input'!$B$3:$B$373,0),MATCH(I$2,'Fuel Model -  Input'!$B$3:$N$3,0))</f>
        <v>2.7434235132776457</v>
      </c>
      <c r="J1482" s="521">
        <f>INDEX('Fuel Model -  Input'!$B$3:$N$373,MATCH($B1482,'Fuel Model -  Input'!$B$3:$B$373,0),MATCH(J$2,'Fuel Model -  Input'!$B$3:$N$3,0))</f>
        <v>2.7434235132776457</v>
      </c>
      <c r="K1482" s="521">
        <f>INDEX('Fuel Model -  Input'!$B$3:$N$373,MATCH($B1482,'Fuel Model -  Input'!$B$3:$B$373,0),MATCH(K$2,'Fuel Model -  Input'!$B$3:$N$3,0))</f>
        <v>2.7434235132776457</v>
      </c>
      <c r="L1482" s="521">
        <f>INDEX('Fuel Model -  Input'!$B$3:$N$373,MATCH($B1482,'Fuel Model -  Input'!$B$3:$B$373,0),MATCH(L$2,'Fuel Model -  Input'!$B$3:$N$3,0))</f>
        <v>2.7434235132776457</v>
      </c>
      <c r="M1482" s="521">
        <f>INDEX('Fuel Model -  Input'!$B$3:$N$373,MATCH($B1482,'Fuel Model -  Input'!$B$3:$B$373,0),MATCH(M$2,'Fuel Model -  Input'!$B$3:$N$3,0))</f>
        <v>2.7434235132776457</v>
      </c>
    </row>
    <row r="1483" spans="2:13" hidden="1" outlineLevel="2" x14ac:dyDescent="0.2">
      <c r="B1483" s="78" t="str">
        <f>+C1483&amp;D1483&amp;E1483&amp;F1483</f>
        <v>AfricaFeedstockCost of CO2 DACUSD/ton</v>
      </c>
      <c r="C1483" s="157" t="str">
        <f>+$B$1450</f>
        <v>Africa</v>
      </c>
      <c r="D1483" t="s">
        <v>777</v>
      </c>
      <c r="E1483" t="s">
        <v>1010</v>
      </c>
      <c r="F1483" s="128" t="s">
        <v>205</v>
      </c>
      <c r="G1483" s="532">
        <f t="shared" ref="G1483:M1483" si="825">INDEX(G$1564:G$1568,MATCH($C1483,$C$1564:$C$1568,0))</f>
        <v>380.18768956448264</v>
      </c>
      <c r="H1483" s="532">
        <f t="shared" si="825"/>
        <v>243.88653979208317</v>
      </c>
      <c r="I1483" s="532">
        <f t="shared" si="825"/>
        <v>190.36565431859327</v>
      </c>
      <c r="J1483" s="532">
        <f t="shared" si="825"/>
        <v>154.64529304299282</v>
      </c>
      <c r="K1483" s="532">
        <f t="shared" si="825"/>
        <v>130.45493914360833</v>
      </c>
      <c r="L1483" s="532">
        <f t="shared" si="825"/>
        <v>109.58838572848535</v>
      </c>
      <c r="M1483" s="532">
        <f t="shared" si="825"/>
        <v>94.183873121146092</v>
      </c>
    </row>
    <row r="1484" spans="2:13" hidden="1" outlineLevel="2" x14ac:dyDescent="0.2">
      <c r="C1484" s="157"/>
      <c r="E1484" s="48"/>
      <c r="F1484" s="128"/>
      <c r="G1484" s="524"/>
      <c r="H1484" s="524"/>
      <c r="I1484" s="524"/>
      <c r="J1484" s="524"/>
      <c r="K1484" s="524"/>
      <c r="L1484" s="524"/>
      <c r="M1484" s="524"/>
    </row>
    <row r="1485" spans="2:13" hidden="1" outlineLevel="2" x14ac:dyDescent="0.2">
      <c r="B1485" s="78" t="str">
        <f>+C1485&amp;D1485&amp;E1485&amp;F1485</f>
        <v>AfricaFeedstockFeedstock CO2USD/ton e Methane</v>
      </c>
      <c r="C1485" s="157" t="str">
        <f>+$B$1450</f>
        <v>Africa</v>
      </c>
      <c r="D1485" t="s">
        <v>777</v>
      </c>
      <c r="E1485" s="48" t="s">
        <v>1007</v>
      </c>
      <c r="F1485" s="128" t="s">
        <v>1105</v>
      </c>
      <c r="G1485" s="8">
        <f t="shared" ref="G1485:M1485" si="826">G1486*G1487</f>
        <v>533.91146546128948</v>
      </c>
      <c r="H1485" s="8">
        <f t="shared" si="826"/>
        <v>415.68687817223116</v>
      </c>
      <c r="I1485" s="8">
        <f t="shared" si="826"/>
        <v>327.98723147478813</v>
      </c>
      <c r="J1485" s="8">
        <f t="shared" si="826"/>
        <v>291.98963983635463</v>
      </c>
      <c r="K1485" s="8">
        <f t="shared" si="826"/>
        <v>259.47802320948932</v>
      </c>
      <c r="L1485" s="8">
        <f t="shared" si="826"/>
        <v>226.87877081198502</v>
      </c>
      <c r="M1485" s="8">
        <f t="shared" si="826"/>
        <v>195.90249081248399</v>
      </c>
    </row>
    <row r="1486" spans="2:13" hidden="1" outlineLevel="2" x14ac:dyDescent="0.2">
      <c r="B1486" s="78" t="str">
        <f>+C1486&amp;D1486&amp;E1486&amp;F1486</f>
        <v>GlobalFeedstockConversion CO2 : e Methane (actual)kg CO2/kg e Methane</v>
      </c>
      <c r="C1486" s="157" t="s">
        <v>109</v>
      </c>
      <c r="D1486" t="s">
        <v>777</v>
      </c>
      <c r="E1486" t="s">
        <v>1108</v>
      </c>
      <c r="F1486" s="128" t="s">
        <v>1109</v>
      </c>
      <c r="G1486" s="521">
        <f>INDEX('Fuel Model -  Input'!$B$3:$N$373,MATCH($B1486,'Fuel Model -  Input'!$B$3:$B$373,0),MATCH(G$2,'Fuel Model -  Input'!$B$3:$N$3,0))</f>
        <v>2.7434235132776457</v>
      </c>
      <c r="H1486" s="521">
        <f>INDEX('Fuel Model -  Input'!$B$3:$N$373,MATCH($B1486,'Fuel Model -  Input'!$B$3:$B$373,0),MATCH(H$2,'Fuel Model -  Input'!$B$3:$N$3,0))</f>
        <v>2.7434235132776457</v>
      </c>
      <c r="I1486" s="521">
        <f>INDEX('Fuel Model -  Input'!$B$3:$N$373,MATCH($B1486,'Fuel Model -  Input'!$B$3:$B$373,0),MATCH(I$2,'Fuel Model -  Input'!$B$3:$N$3,0))</f>
        <v>2.7434235132776457</v>
      </c>
      <c r="J1486" s="521">
        <f>INDEX('Fuel Model -  Input'!$B$3:$N$373,MATCH($B1486,'Fuel Model -  Input'!$B$3:$B$373,0),MATCH(J$2,'Fuel Model -  Input'!$B$3:$N$3,0))</f>
        <v>2.7434235132776457</v>
      </c>
      <c r="K1486" s="521">
        <f>INDEX('Fuel Model -  Input'!$B$3:$N$373,MATCH($B1486,'Fuel Model -  Input'!$B$3:$B$373,0),MATCH(K$2,'Fuel Model -  Input'!$B$3:$N$3,0))</f>
        <v>2.7434235132776457</v>
      </c>
      <c r="L1486" s="521">
        <f>INDEX('Fuel Model -  Input'!$B$3:$N$373,MATCH($B1486,'Fuel Model -  Input'!$B$3:$B$373,0),MATCH(L$2,'Fuel Model -  Input'!$B$3:$N$3,0))</f>
        <v>2.7434235132776457</v>
      </c>
      <c r="M1486" s="521">
        <f>INDEX('Fuel Model -  Input'!$B$3:$N$373,MATCH($B1486,'Fuel Model -  Input'!$B$3:$B$373,0),MATCH(M$2,'Fuel Model -  Input'!$B$3:$N$3,0))</f>
        <v>2.7434235132776457</v>
      </c>
    </row>
    <row r="1487" spans="2:13" hidden="1" outlineLevel="2" x14ac:dyDescent="0.2">
      <c r="B1487" s="78" t="str">
        <f>+C1487&amp;D1487&amp;E1487&amp;F1487</f>
        <v>AfricaFeedstockCost of CO2 PSUSD/ton</v>
      </c>
      <c r="C1487" s="157" t="str">
        <f>+$B$1450</f>
        <v>Africa</v>
      </c>
      <c r="D1487" t="s">
        <v>777</v>
      </c>
      <c r="E1487" t="s">
        <v>1011</v>
      </c>
      <c r="F1487" s="128" t="s">
        <v>205</v>
      </c>
      <c r="G1487" s="532">
        <f t="shared" ref="G1487:M1487" si="827">INDEX(G$1538:G$1542,MATCH($B1487,$B$1538:$B$1542,0))</f>
        <v>194.61503587661912</v>
      </c>
      <c r="H1487" s="532">
        <f t="shared" si="827"/>
        <v>151.52122016902825</v>
      </c>
      <c r="I1487" s="532">
        <f t="shared" si="827"/>
        <v>119.55399153189167</v>
      </c>
      <c r="J1487" s="532">
        <f t="shared" si="827"/>
        <v>106.43257901056128</v>
      </c>
      <c r="K1487" s="532">
        <f t="shared" si="827"/>
        <v>94.581832500036995</v>
      </c>
      <c r="L1487" s="532">
        <f t="shared" si="827"/>
        <v>82.699142044214142</v>
      </c>
      <c r="M1487" s="532">
        <f t="shared" si="827"/>
        <v>71.408038118924537</v>
      </c>
    </row>
    <row r="1488" spans="2:13" hidden="1" outlineLevel="2" x14ac:dyDescent="0.2">
      <c r="C1488" s="157"/>
      <c r="F1488" s="128"/>
      <c r="G1488" s="520"/>
      <c r="H1488" s="520"/>
      <c r="I1488" s="520"/>
      <c r="J1488" s="520"/>
      <c r="K1488" s="520"/>
      <c r="L1488" s="520"/>
      <c r="M1488" s="520"/>
    </row>
    <row r="1489" spans="2:13" hidden="1" outlineLevel="2" x14ac:dyDescent="0.2">
      <c r="B1489" s="78" t="str">
        <f>+C1489&amp;D1489&amp;E1489&amp;F1489</f>
        <v>AfricaFeedstockFeedstock H2USD/ton e Methane</v>
      </c>
      <c r="C1489" s="157" t="str">
        <f>+$B$1450</f>
        <v>Africa</v>
      </c>
      <c r="D1489" t="s">
        <v>777</v>
      </c>
      <c r="E1489" s="48" t="s">
        <v>970</v>
      </c>
      <c r="F1489" s="128" t="s">
        <v>1105</v>
      </c>
      <c r="G1489" s="8">
        <f t="shared" ref="G1489:M1489" si="828">G1492*G1493</f>
        <v>3043.6864068848458</v>
      </c>
      <c r="H1489" s="8">
        <f t="shared" si="828"/>
        <v>1958.6287614692785</v>
      </c>
      <c r="I1489" s="8">
        <f t="shared" si="828"/>
        <v>1570.4582005017483</v>
      </c>
      <c r="J1489" s="8">
        <f t="shared" si="828"/>
        <v>1387.0800543257533</v>
      </c>
      <c r="K1489" s="8">
        <f t="shared" si="828"/>
        <v>1198.7312392010272</v>
      </c>
      <c r="L1489" s="8">
        <f t="shared" si="828"/>
        <v>962.35795657255221</v>
      </c>
      <c r="M1489" s="8">
        <f t="shared" si="828"/>
        <v>756.89751830952775</v>
      </c>
    </row>
    <row r="1490" spans="2:13" hidden="1" outlineLevel="2" x14ac:dyDescent="0.2">
      <c r="B1490" t="str">
        <f>+C1490&amp;D1490&amp;E1490&amp;F1490</f>
        <v>AfricaResultsShare of RNE e-Hydrogen (compressed)%</v>
      </c>
      <c r="C1490" s="157" t="str">
        <f>+$B$1450</f>
        <v>Africa</v>
      </c>
      <c r="D1490" t="s">
        <v>838</v>
      </c>
      <c r="E1490" s="48" t="s">
        <v>848</v>
      </c>
      <c r="F1490" s="128" t="s">
        <v>178</v>
      </c>
      <c r="G1490" s="537">
        <f t="shared" ref="G1490:M1490" si="829">+INDEX($A:$M,MATCH($B1490,$B:$B,0),MATCH(G$2,$2:$2,0))</f>
        <v>0.70374350439456668</v>
      </c>
      <c r="H1490" s="537">
        <f t="shared" si="829"/>
        <v>0.61587638958022917</v>
      </c>
      <c r="I1490" s="537">
        <f t="shared" si="829"/>
        <v>0.59578206340737183</v>
      </c>
      <c r="J1490" s="537">
        <f t="shared" si="829"/>
        <v>0.55164163635488539</v>
      </c>
      <c r="K1490" s="537">
        <f t="shared" si="829"/>
        <v>0.55849335567638114</v>
      </c>
      <c r="L1490" s="537">
        <f t="shared" si="829"/>
        <v>0.59075971910739944</v>
      </c>
      <c r="M1490" s="537">
        <f t="shared" si="829"/>
        <v>0.67546332636465578</v>
      </c>
    </row>
    <row r="1491" spans="2:13" hidden="1" outlineLevel="2" x14ac:dyDescent="0.2">
      <c r="B1491" t="str">
        <f>+C1491&amp;D1491&amp;E1491&amp;F1491</f>
        <v>AfricaResultsShare of Capex e-Hydrogen (compressed)%</v>
      </c>
      <c r="C1491" s="157" t="str">
        <f>+$B$1450</f>
        <v>Africa</v>
      </c>
      <c r="D1491" t="s">
        <v>838</v>
      </c>
      <c r="E1491" s="48" t="s">
        <v>850</v>
      </c>
      <c r="F1491" s="128" t="s">
        <v>178</v>
      </c>
      <c r="G1491" s="537">
        <f t="shared" ref="G1491:M1491" si="830">+INDEX(G$4:G$581,MATCH($B1491,$B$4:$B$581,0))</f>
        <v>0.13709753132575195</v>
      </c>
      <c r="H1491" s="537">
        <f t="shared" si="830"/>
        <v>0.17854777040440584</v>
      </c>
      <c r="I1491" s="537">
        <f t="shared" si="830"/>
        <v>0.19487111194737386</v>
      </c>
      <c r="J1491" s="537">
        <f t="shared" si="830"/>
        <v>0.23236206902119594</v>
      </c>
      <c r="K1491" s="537">
        <f t="shared" si="830"/>
        <v>0.24740459873320536</v>
      </c>
      <c r="L1491" s="537">
        <f t="shared" si="830"/>
        <v>0.24614153573918471</v>
      </c>
      <c r="M1491" s="537">
        <f t="shared" si="830"/>
        <v>0.20501738780232606</v>
      </c>
    </row>
    <row r="1492" spans="2:13" hidden="1" outlineLevel="2" x14ac:dyDescent="0.2">
      <c r="B1492" s="78" t="str">
        <f>+C1492&amp;D1492&amp;E1492&amp;F1492</f>
        <v>GlobalFeedstockConversion H2 : e  Methane (actual)tons H2/ton e Methane</v>
      </c>
      <c r="C1492" s="157" t="s">
        <v>109</v>
      </c>
      <c r="D1492" t="s">
        <v>777</v>
      </c>
      <c r="E1492" t="s">
        <v>1110</v>
      </c>
      <c r="F1492" s="128" t="s">
        <v>1111</v>
      </c>
      <c r="G1492" s="521">
        <f>+INDEX('Fuel Model -  Input'!$B$3:$N$373,MATCH($B1492,'Fuel Model -  Input'!$B$3:$B$373,0),MATCH(G$2,'Fuel Model -  Input'!$B$3:$N$3,0))</f>
        <v>0.5</v>
      </c>
      <c r="H1492" s="521">
        <f>+INDEX('Fuel Model -  Input'!$B$3:$N$373,MATCH($B1492,'Fuel Model -  Input'!$B$3:$B$373,0),MATCH(H$2,'Fuel Model -  Input'!$B$3:$N$3,0))</f>
        <v>0.5</v>
      </c>
      <c r="I1492" s="521">
        <f>+INDEX('Fuel Model -  Input'!$B$3:$N$373,MATCH($B1492,'Fuel Model -  Input'!$B$3:$B$373,0),MATCH(I$2,'Fuel Model -  Input'!$B$3:$N$3,0))</f>
        <v>0.5</v>
      </c>
      <c r="J1492" s="521">
        <f>+INDEX('Fuel Model -  Input'!$B$3:$N$373,MATCH($B1492,'Fuel Model -  Input'!$B$3:$B$373,0),MATCH(J$2,'Fuel Model -  Input'!$B$3:$N$3,0))</f>
        <v>0.5</v>
      </c>
      <c r="K1492" s="521">
        <f>+INDEX('Fuel Model -  Input'!$B$3:$N$373,MATCH($B1492,'Fuel Model -  Input'!$B$3:$B$373,0),MATCH(K$2,'Fuel Model -  Input'!$B$3:$N$3,0))</f>
        <v>0.5</v>
      </c>
      <c r="L1492" s="521">
        <f>+INDEX('Fuel Model -  Input'!$B$3:$N$373,MATCH($B1492,'Fuel Model -  Input'!$B$3:$B$373,0),MATCH(L$2,'Fuel Model -  Input'!$B$3:$N$3,0))</f>
        <v>0.5</v>
      </c>
      <c r="M1492" s="521">
        <f>+INDEX('Fuel Model -  Input'!$B$3:$N$373,MATCH($B1492,'Fuel Model -  Input'!$B$3:$B$373,0),MATCH(M$2,'Fuel Model -  Input'!$B$3:$N$3,0))</f>
        <v>0.5</v>
      </c>
    </row>
    <row r="1493" spans="2:13" hidden="1" outlineLevel="2" x14ac:dyDescent="0.2">
      <c r="B1493" s="78" t="str">
        <f>+C1493&amp;D1493&amp;E1493&amp;F1493</f>
        <v>AfricaResultsCost of e-Hydrogen (compressed)USD/ton</v>
      </c>
      <c r="C1493" s="157" t="str">
        <f>+$B$1450</f>
        <v>Africa</v>
      </c>
      <c r="D1493" t="s">
        <v>838</v>
      </c>
      <c r="E1493" t="s">
        <v>846</v>
      </c>
      <c r="F1493" s="128" t="s">
        <v>205</v>
      </c>
      <c r="G1493" s="532">
        <f>INDEX(G$4:G1492,MATCH($B1493,$B$4:$B1492,0))</f>
        <v>6087.3728137696917</v>
      </c>
      <c r="H1493" s="532">
        <f>INDEX(H$4:H1492,MATCH($B1493,$B$4:$B1492,0))</f>
        <v>3917.257522938557</v>
      </c>
      <c r="I1493" s="532">
        <f>INDEX(I$4:I1492,MATCH($B1493,$B$4:$B1492,0))</f>
        <v>3140.9164010034965</v>
      </c>
      <c r="J1493" s="532">
        <f>INDEX(J$4:J1492,MATCH($B1493,$B$4:$B1492,0))</f>
        <v>2774.1601086515066</v>
      </c>
      <c r="K1493" s="532">
        <f>INDEX(K$4:K1492,MATCH($B1493,$B$4:$B1492,0))</f>
        <v>2397.4624784020543</v>
      </c>
      <c r="L1493" s="532">
        <f>INDEX(L$4:L1492,MATCH($B1493,$B$4:$B1492,0))</f>
        <v>1924.7159131451044</v>
      </c>
      <c r="M1493" s="532">
        <f>INDEX(M$4:M1492,MATCH($B1493,$B$4:$B1492,0))</f>
        <v>1513.7950366190555</v>
      </c>
    </row>
    <row r="1494" spans="2:13" ht="12.75" hidden="1" outlineLevel="1" x14ac:dyDescent="0.2">
      <c r="F1494"/>
    </row>
    <row r="1495" spans="2:13" ht="15" hidden="1" outlineLevel="1" x14ac:dyDescent="0.25">
      <c r="B1495" s="30" t="s">
        <v>1112</v>
      </c>
      <c r="C1495" s="30" t="str">
        <f>+B1495</f>
        <v>CO2eq intensity ton/ton e Methane DAC</v>
      </c>
      <c r="F1495"/>
    </row>
    <row r="1496" spans="2:13" ht="15" hidden="1" outlineLevel="1" collapsed="1" x14ac:dyDescent="0.25">
      <c r="B1496" s="527" t="str">
        <f>+C1496&amp;D1496&amp;E1496&amp;F1496</f>
        <v xml:space="preserve">GlobalEmissionsWTT Emission - e-Methane (DAC)tonCO2eq/ ton </v>
      </c>
      <c r="C1496" s="516" t="s">
        <v>109</v>
      </c>
      <c r="D1496" s="516" t="s">
        <v>728</v>
      </c>
      <c r="E1496" s="516" t="s">
        <v>1113</v>
      </c>
      <c r="F1496" s="512" t="s">
        <v>1016</v>
      </c>
      <c r="G1496" s="533">
        <f t="shared" ref="G1496:M1496" si="831">G1498*G1312+(G1299+G1285)*G1499+G1500+G1501*G1302+G1501*(G1502-G1302)</f>
        <v>-2.5989549801948608</v>
      </c>
      <c r="H1496" s="533">
        <f t="shared" si="831"/>
        <v>-2.59964</v>
      </c>
      <c r="I1496" s="533">
        <f t="shared" si="831"/>
        <v>-2.6015648623515806</v>
      </c>
      <c r="J1496" s="533">
        <f t="shared" si="831"/>
        <v>-2.6066773695723575</v>
      </c>
      <c r="K1496" s="533">
        <f t="shared" si="831"/>
        <v>-2.6128170025601505</v>
      </c>
      <c r="L1496" s="533">
        <f t="shared" si="831"/>
        <v>-2.6209908320532183</v>
      </c>
      <c r="M1496" s="533">
        <f t="shared" si="831"/>
        <v>-2.6274297500000001</v>
      </c>
    </row>
    <row r="1497" spans="2:13" hidden="1" outlineLevel="2" x14ac:dyDescent="0.2">
      <c r="B1497" s="496"/>
      <c r="C1497" s="157"/>
      <c r="D1497" s="157"/>
      <c r="E1497" s="157"/>
      <c r="G1497" s="449"/>
      <c r="H1497" s="449"/>
      <c r="I1497" s="449"/>
      <c r="J1497" s="449"/>
      <c r="K1497" s="449"/>
      <c r="L1497" s="449"/>
      <c r="M1497" s="449"/>
    </row>
    <row r="1498" spans="2:13" hidden="1" outlineLevel="2" x14ac:dyDescent="0.2">
      <c r="B1498" s="496" t="str">
        <f>+C1498&amp;D1498&amp;E1498&amp;F1498</f>
        <v>GlobalCO2intensityWTT emission - e-Hydrogen (compressed)tonCO2eq/tonH2</v>
      </c>
      <c r="C1498" s="157" t="s">
        <v>109</v>
      </c>
      <c r="D1498" s="157" t="s">
        <v>927</v>
      </c>
      <c r="E1498" s="157" t="s">
        <v>950</v>
      </c>
      <c r="F1498" s="157" t="s">
        <v>929</v>
      </c>
      <c r="G1498" s="521">
        <f>INDEX(G$4:G1497,MATCH($B1498,$B$4:$B1497,0))</f>
        <v>0.29135003961027883</v>
      </c>
      <c r="H1498" s="521">
        <f>INDEX(H$4:H1497,MATCH($B1498,$B$4:$B1497,0))</f>
        <v>0.28997999999999996</v>
      </c>
      <c r="I1498" s="521">
        <f>INDEX(I$4:I1497,MATCH($B1498,$B$4:$B1497,0))</f>
        <v>0.28613027529683921</v>
      </c>
      <c r="J1498" s="521">
        <f>INDEX(J$4:J1497,MATCH($B1498,$B$4:$B1497,0))</f>
        <v>0.27590526085528511</v>
      </c>
      <c r="K1498" s="521">
        <f>INDEX(K$4:K1497,MATCH($B1498,$B$4:$B1497,0))</f>
        <v>0.26362599487969951</v>
      </c>
      <c r="L1498" s="521">
        <f>INDEX(L$4:L1497,MATCH($B1498,$B$4:$B1497,0))</f>
        <v>0.24727833589356388</v>
      </c>
      <c r="M1498" s="521">
        <f>INDEX(M$4:M1497,MATCH($B1498,$B$4:$B1497,0))</f>
        <v>0.23440049999999998</v>
      </c>
    </row>
    <row r="1499" spans="2:13" hidden="1" outlineLevel="2" x14ac:dyDescent="0.2">
      <c r="B1499" s="496" t="str">
        <f>+C1499&amp;D1499&amp;E1499&amp;F1499</f>
        <v>GlobalCO2intensityElectricitytonCO2eq/MWH</v>
      </c>
      <c r="C1499" s="157" t="s">
        <v>109</v>
      </c>
      <c r="D1499" s="157" t="s">
        <v>927</v>
      </c>
      <c r="E1499" s="157" t="s">
        <v>54</v>
      </c>
      <c r="F1499" s="157" t="s">
        <v>937</v>
      </c>
      <c r="G1499" s="521">
        <f>+INDEX('Fuel Model -  Input'!$B$3:$N$373,MATCH($B1499,'Fuel Model -  Input'!$B$3:$B$373,0),MATCH(G$2,'Fuel Model -  Input'!$B$3:$N$3,0))</f>
        <v>5.3699999999999998E-3</v>
      </c>
      <c r="H1499" s="521">
        <f>+INDEX('Fuel Model -  Input'!$B$3:$N$373,MATCH($B1499,'Fuel Model -  Input'!$B$3:$B$373,0),MATCH(H$2,'Fuel Model -  Input'!$B$3:$N$3,0))</f>
        <v>5.3699999999999998E-3</v>
      </c>
      <c r="I1499" s="521">
        <f>+INDEX('Fuel Model -  Input'!$B$3:$N$373,MATCH($B1499,'Fuel Model -  Input'!$B$3:$B$373,0),MATCH(I$2,'Fuel Model -  Input'!$B$3:$N$3,0))</f>
        <v>5.3699999999999998E-3</v>
      </c>
      <c r="J1499" s="521">
        <f>+INDEX('Fuel Model -  Input'!$B$3:$N$373,MATCH($B1499,'Fuel Model -  Input'!$B$3:$B$373,0),MATCH(J$2,'Fuel Model -  Input'!$B$3:$N$3,0))</f>
        <v>5.3699999999999998E-3</v>
      </c>
      <c r="K1499" s="521">
        <f>+INDEX('Fuel Model -  Input'!$B$3:$N$373,MATCH($B1499,'Fuel Model -  Input'!$B$3:$B$373,0),MATCH(K$2,'Fuel Model -  Input'!$B$3:$N$3,0))</f>
        <v>5.3699999999999998E-3</v>
      </c>
      <c r="L1499" s="521">
        <f>+INDEX('Fuel Model -  Input'!$B$3:$N$373,MATCH($B1499,'Fuel Model -  Input'!$B$3:$B$373,0),MATCH(L$2,'Fuel Model -  Input'!$B$3:$N$3,0))</f>
        <v>5.3699999999999998E-3</v>
      </c>
      <c r="M1499" s="521">
        <f>+INDEX('Fuel Model -  Input'!$B$3:$N$373,MATCH($B1499,'Fuel Model -  Input'!$B$3:$B$373,0),MATCH(M$2,'Fuel Model -  Input'!$B$3:$N$3,0))</f>
        <v>5.3699999999999998E-3</v>
      </c>
    </row>
    <row r="1500" spans="2:13" hidden="1" outlineLevel="2" x14ac:dyDescent="0.2">
      <c r="B1500" s="496" t="str">
        <f>+C1500&amp;D1500&amp;E1500&amp;F1500</f>
        <v>GlobalCO2intensityMethane synthesis process tonCO2eq/ton Methane</v>
      </c>
      <c r="C1500" s="498" t="s">
        <v>109</v>
      </c>
      <c r="D1500" s="498" t="s">
        <v>927</v>
      </c>
      <c r="E1500" s="498" t="s">
        <v>1114</v>
      </c>
      <c r="F1500" s="498" t="s">
        <v>1115</v>
      </c>
      <c r="G1500" s="521">
        <f>+INDEX('Fuel Model -  Input'!$B$3:$N$373,MATCH($B1500,'Fuel Model -  Input'!$B$3:$B$373,0),MATCH(G$2,'Fuel Model -  Input'!$B$3:$N$3,0))</f>
        <v>0</v>
      </c>
      <c r="H1500" s="521">
        <f>+INDEX('Fuel Model -  Input'!$B$3:$N$373,MATCH($B1500,'Fuel Model -  Input'!$B$3:$B$373,0),MATCH(H$2,'Fuel Model -  Input'!$B$3:$N$3,0))</f>
        <v>0</v>
      </c>
      <c r="I1500" s="521">
        <f>+INDEX('Fuel Model -  Input'!$B$3:$N$373,MATCH($B1500,'Fuel Model -  Input'!$B$3:$B$373,0),MATCH(I$2,'Fuel Model -  Input'!$B$3:$N$3,0))</f>
        <v>0</v>
      </c>
      <c r="J1500" s="521">
        <f>+INDEX('Fuel Model -  Input'!$B$3:$N$373,MATCH($B1500,'Fuel Model -  Input'!$B$3:$B$373,0),MATCH(J$2,'Fuel Model -  Input'!$B$3:$N$3,0))</f>
        <v>0</v>
      </c>
      <c r="K1500" s="521">
        <f>+INDEX('Fuel Model -  Input'!$B$3:$N$373,MATCH($B1500,'Fuel Model -  Input'!$B$3:$B$373,0),MATCH(K$2,'Fuel Model -  Input'!$B$3:$N$3,0))</f>
        <v>0</v>
      </c>
      <c r="L1500" s="521">
        <f>+INDEX('Fuel Model -  Input'!$B$3:$N$373,MATCH($B1500,'Fuel Model -  Input'!$B$3:$B$373,0),MATCH(L$2,'Fuel Model -  Input'!$B$3:$N$3,0))</f>
        <v>0</v>
      </c>
      <c r="M1500" s="521">
        <f>+INDEX('Fuel Model -  Input'!$B$3:$N$373,MATCH($B1500,'Fuel Model -  Input'!$B$3:$B$373,0),MATCH(M$2,'Fuel Model -  Input'!$B$3:$N$3,0))</f>
        <v>0</v>
      </c>
    </row>
    <row r="1501" spans="2:13" hidden="1" outlineLevel="2" x14ac:dyDescent="0.2">
      <c r="B1501" s="496" t="str">
        <f>+C1501&amp;D1501&amp;E1501&amp;F1501</f>
        <v>GlobalCO2 intensityWTT  DACtonCO2/tonCO2</v>
      </c>
      <c r="C1501" s="498" t="s">
        <v>109</v>
      </c>
      <c r="D1501" s="498" t="s">
        <v>1019</v>
      </c>
      <c r="E1501" s="498" t="s">
        <v>1029</v>
      </c>
      <c r="F1501" s="498" t="s">
        <v>1021</v>
      </c>
      <c r="G1501" s="521">
        <f>+INDEX('Fuel Model -  Input'!$B$3:$N$373,MATCH($B1501,'Fuel Model -  Input'!$B$3:$B$373,0),MATCH(G$2,'Fuel Model -  Input'!$B$3:$N$3,0))</f>
        <v>-1</v>
      </c>
      <c r="H1501" s="521">
        <f>+INDEX('Fuel Model -  Input'!$B$3:$N$373,MATCH($B1501,'Fuel Model -  Input'!$B$3:$B$373,0),MATCH(H$2,'Fuel Model -  Input'!$B$3:$N$3,0))</f>
        <v>-1</v>
      </c>
      <c r="I1501" s="521">
        <f>+INDEX('Fuel Model -  Input'!$B$3:$N$373,MATCH($B1501,'Fuel Model -  Input'!$B$3:$B$373,0),MATCH(I$2,'Fuel Model -  Input'!$B$3:$N$3,0))</f>
        <v>-1</v>
      </c>
      <c r="J1501" s="521">
        <f>+INDEX('Fuel Model -  Input'!$B$3:$N$373,MATCH($B1501,'Fuel Model -  Input'!$B$3:$B$373,0),MATCH(J$2,'Fuel Model -  Input'!$B$3:$N$3,0))</f>
        <v>-1</v>
      </c>
      <c r="K1501" s="521">
        <f>+INDEX('Fuel Model -  Input'!$B$3:$N$373,MATCH($B1501,'Fuel Model -  Input'!$B$3:$B$373,0),MATCH(K$2,'Fuel Model -  Input'!$B$3:$N$3,0))</f>
        <v>-1</v>
      </c>
      <c r="L1501" s="521">
        <f>+INDEX('Fuel Model -  Input'!$B$3:$N$373,MATCH($B1501,'Fuel Model -  Input'!$B$3:$B$373,0),MATCH(L$2,'Fuel Model -  Input'!$B$3:$N$3,0))</f>
        <v>-1</v>
      </c>
      <c r="M1501" s="521">
        <f>+INDEX('Fuel Model -  Input'!$B$3:$N$373,MATCH($B1501,'Fuel Model -  Input'!$B$3:$B$373,0),MATCH(M$2,'Fuel Model -  Input'!$B$3:$N$3,0))</f>
        <v>-1</v>
      </c>
    </row>
    <row r="1502" spans="2:13" hidden="1" outlineLevel="2" x14ac:dyDescent="0.2">
      <c r="B1502" s="496" t="str">
        <f>+C1502&amp;D1502&amp;E1502&amp;F1502</f>
        <v>GlobalFeedstockStoechiometric CO2ton CO2/ton Methane</v>
      </c>
      <c r="C1502" s="498" t="s">
        <v>109</v>
      </c>
      <c r="D1502" s="498" t="s">
        <v>777</v>
      </c>
      <c r="E1502" s="498" t="s">
        <v>1068</v>
      </c>
      <c r="F1502" s="498" t="s">
        <v>1116</v>
      </c>
      <c r="G1502" s="521">
        <v>2.75</v>
      </c>
      <c r="H1502" s="521">
        <v>2.75</v>
      </c>
      <c r="I1502" s="521">
        <v>2.75</v>
      </c>
      <c r="J1502" s="521">
        <v>2.75</v>
      </c>
      <c r="K1502" s="521">
        <v>2.75</v>
      </c>
      <c r="L1502" s="521">
        <v>2.75</v>
      </c>
      <c r="M1502" s="521">
        <v>2.75</v>
      </c>
    </row>
    <row r="1503" spans="2:13" ht="12.75" hidden="1" outlineLevel="1" x14ac:dyDescent="0.2">
      <c r="F1503"/>
    </row>
    <row r="1504" spans="2:13" ht="15" hidden="1" outlineLevel="1" x14ac:dyDescent="0.25">
      <c r="B1504" s="30" t="s">
        <v>1117</v>
      </c>
      <c r="C1504" s="30" t="str">
        <f>+B1504</f>
        <v>Primary energy efficiency - e Methane DAC</v>
      </c>
      <c r="F1504"/>
    </row>
    <row r="1505" spans="2:13" s="157" customFormat="1" ht="15" hidden="1" outlineLevel="1" x14ac:dyDescent="0.25">
      <c r="B1505" s="527" t="str">
        <f>+C1505&amp;D1505&amp;E1505&amp;F1505</f>
        <v>GlobalResultsAverage Primary EE of e-Methane (DAC)%</v>
      </c>
      <c r="C1505" s="516" t="s">
        <v>109</v>
      </c>
      <c r="D1505" s="516" t="s">
        <v>838</v>
      </c>
      <c r="E1505" s="516" t="s">
        <v>1118</v>
      </c>
      <c r="F1505" s="512" t="s">
        <v>178</v>
      </c>
      <c r="G1505" s="529">
        <f t="shared" ref="G1505:M1505" si="832">G1511/3600/(G1299+G1312*G1510/3600/G1509+G1285+G1302*G1508)</f>
        <v>0.38517301543254556</v>
      </c>
      <c r="H1505" s="529">
        <f t="shared" si="832"/>
        <v>0.39252249244217852</v>
      </c>
      <c r="I1505" s="529">
        <f t="shared" si="832"/>
        <v>0.40325754916416606</v>
      </c>
      <c r="J1505" s="529">
        <f t="shared" si="832"/>
        <v>0.4219891773215062</v>
      </c>
      <c r="K1505" s="529">
        <f t="shared" si="832"/>
        <v>0.44376869213751075</v>
      </c>
      <c r="L1505" s="529">
        <f t="shared" si="832"/>
        <v>0.47098092400363362</v>
      </c>
      <c r="M1505" s="529">
        <f t="shared" si="832"/>
        <v>0.49516401302724666</v>
      </c>
    </row>
    <row r="1506" spans="2:13" s="157" customFormat="1" ht="15" hidden="1" outlineLevel="1" collapsed="1" x14ac:dyDescent="0.25">
      <c r="B1506" s="527" t="str">
        <f>+C1506&amp;D1506&amp;E1506&amp;F1506</f>
        <v>GlobalResultsAverage Primary EE of e-Methane (DAC) (excl CO2el)%</v>
      </c>
      <c r="C1506" s="516" t="s">
        <v>109</v>
      </c>
      <c r="D1506" s="516" t="s">
        <v>838</v>
      </c>
      <c r="E1506" s="516" t="s">
        <v>1119</v>
      </c>
      <c r="F1506" s="512" t="s">
        <v>178</v>
      </c>
      <c r="G1506" s="529">
        <f t="shared" ref="G1506:M1506" si="833">G1511/3600/(G1299+G1312*G1510/3600/G1509+G1285)</f>
        <v>0.4988372126301463</v>
      </c>
      <c r="H1506" s="529">
        <f t="shared" si="833"/>
        <v>0.50136609042740987</v>
      </c>
      <c r="I1506" s="529">
        <f t="shared" si="833"/>
        <v>0.50949579387287647</v>
      </c>
      <c r="J1506" s="529">
        <f t="shared" si="833"/>
        <v>0.53013819465351619</v>
      </c>
      <c r="K1506" s="529">
        <f t="shared" si="833"/>
        <v>0.55510549592942915</v>
      </c>
      <c r="L1506" s="529">
        <f t="shared" si="833"/>
        <v>0.58800166002163434</v>
      </c>
      <c r="M1506" s="529">
        <f t="shared" si="833"/>
        <v>0.61558164568843399</v>
      </c>
    </row>
    <row r="1507" spans="2:13" ht="12.75" hidden="1" outlineLevel="2" x14ac:dyDescent="0.2">
      <c r="F1507"/>
    </row>
    <row r="1508" spans="2:13" hidden="1" outlineLevel="2" x14ac:dyDescent="0.2">
      <c r="B1508" s="3" t="str">
        <f>+C1508&amp;D1508&amp;E1508&amp;F1508</f>
        <v>GlobalCO2 DACElectricity demandmWh/ton CO2</v>
      </c>
      <c r="C1508" t="s">
        <v>109</v>
      </c>
      <c r="D1508" t="s">
        <v>1034</v>
      </c>
      <c r="E1508" t="s">
        <v>963</v>
      </c>
      <c r="F1508" s="157" t="s">
        <v>1035</v>
      </c>
      <c r="G1508" s="520">
        <f>+INDEX('Fuel Model -  Input'!$B$3:$N$373,MATCH($B1508,'Fuel Model -  Input'!$B$3:$B$373,0),MATCH(G$2,'Fuel Model -  Input'!$B$3:$N$3,0))</f>
        <v>2.9949090520301924</v>
      </c>
      <c r="H1508" s="520">
        <f>+INDEX('Fuel Model -  Input'!$B$3:$N$373,MATCH($B1508,'Fuel Model -  Input'!$B$3:$B$373,0),MATCH(H$2,'Fuel Model -  Input'!$B$3:$N$3,0))</f>
        <v>2.8</v>
      </c>
      <c r="I1508" s="520">
        <f>+INDEX('Fuel Model -  Input'!$B$3:$N$373,MATCH($B1508,'Fuel Model -  Input'!$B$3:$B$373,0),MATCH(I$2,'Fuel Model -  Input'!$B$3:$N$3,0))</f>
        <v>2.6177756532157161</v>
      </c>
      <c r="J1508" s="520">
        <f>+INDEX('Fuel Model -  Input'!$B$3:$N$373,MATCH($B1508,'Fuel Model -  Input'!$B$3:$B$373,0),MATCH(J$2,'Fuel Model -  Input'!$B$3:$N$3,0))</f>
        <v>2.4474104894889179</v>
      </c>
      <c r="K1508" s="520">
        <f>+INDEX('Fuel Model -  Input'!$B$3:$N$373,MATCH($B1508,'Fuel Model -  Input'!$B$3:$B$373,0),MATCH(K$2,'Fuel Model -  Input'!$B$3:$N$3,0))</f>
        <v>2.2881327117174459</v>
      </c>
      <c r="L1508" s="520">
        <f>+INDEX('Fuel Model -  Input'!$B$3:$N$373,MATCH($B1508,'Fuel Model -  Input'!$B$3:$B$373,0),MATCH(L$2,'Fuel Model -  Input'!$B$3:$N$3,0))</f>
        <v>2.1392207514501376</v>
      </c>
      <c r="M1508" s="520">
        <f>+INDEX('Fuel Model -  Input'!$B$3:$N$373,MATCH($B1508,'Fuel Model -  Input'!$B$3:$B$373,0),MATCH(M$2,'Fuel Model -  Input'!$B$3:$N$3,0))</f>
        <v>2</v>
      </c>
    </row>
    <row r="1509" spans="2:13" hidden="1" outlineLevel="2" x14ac:dyDescent="0.2">
      <c r="B1509" s="3" t="str">
        <f>+C1509&amp;D1509&amp;E1509&amp;F1509</f>
        <v>GlobalResultsAverage Primary EE of e-Hydrogen (compressed)%</v>
      </c>
      <c r="C1509" t="s">
        <v>109</v>
      </c>
      <c r="D1509" t="s">
        <v>838</v>
      </c>
      <c r="E1509" s="157" t="s">
        <v>945</v>
      </c>
      <c r="F1509" s="157" t="s">
        <v>178</v>
      </c>
      <c r="G1509" s="531">
        <f>INDEX(G$4:G1508,MATCH($B1509,$B$4:$B1508,0))</f>
        <v>0.62090526196973861</v>
      </c>
      <c r="H1509" s="531">
        <f>INDEX(H$4:H1508,MATCH($B1509,$B$4:$B1508,0))</f>
        <v>0.62417085168914133</v>
      </c>
      <c r="I1509" s="531">
        <f>INDEX(I$4:I1508,MATCH($B1509,$B$4:$B1508,0))</f>
        <v>0.63467726108676525</v>
      </c>
      <c r="J1509" s="531">
        <f>INDEX(J$4:J1508,MATCH($B1509,$B$4:$B1508,0))</f>
        <v>0.66141189245873089</v>
      </c>
      <c r="K1509" s="531">
        <f>INDEX(K$4:K1508,MATCH($B1509,$B$4:$B1508,0))</f>
        <v>0.69385844908622296</v>
      </c>
      <c r="L1509" s="531">
        <f>INDEX(L$4:L1508,MATCH($B1509,$B$4:$B1508,0))</f>
        <v>0.73679503467693408</v>
      </c>
      <c r="M1509" s="531">
        <f>INDEX(M$4:M1508,MATCH($B1509,$B$4:$B1508,0))</f>
        <v>0.77295687554154879</v>
      </c>
    </row>
    <row r="1510" spans="2:13" hidden="1" outlineLevel="2" x14ac:dyDescent="0.2">
      <c r="B1510" s="3" t="str">
        <f>+C1510&amp;D1510&amp;E1510&amp;F1510</f>
        <v>GlobalLHVe-Hydrogen (compressed)MJ/ ton</v>
      </c>
      <c r="C1510" t="s">
        <v>109</v>
      </c>
      <c r="D1510" t="s">
        <v>582</v>
      </c>
      <c r="E1510" t="s">
        <v>584</v>
      </c>
      <c r="F1510" s="157" t="s">
        <v>583</v>
      </c>
      <c r="G1510" s="532">
        <f>+INDEX('Fuel Model -  Input'!$B$3:$N$373,MATCH($B1510,'Fuel Model -  Input'!$B$3:$B$373,0),MATCH(G$2,'Fuel Model -  Input'!$B$3:$N$3,0))</f>
        <v>120000</v>
      </c>
      <c r="H1510" s="532">
        <f>+INDEX('Fuel Model -  Input'!$B$3:$N$373,MATCH($B1510,'Fuel Model -  Input'!$B$3:$B$373,0),MATCH(H$2,'Fuel Model -  Input'!$B$3:$N$3,0))</f>
        <v>120000</v>
      </c>
      <c r="I1510" s="532">
        <f>+INDEX('Fuel Model -  Input'!$B$3:$N$373,MATCH($B1510,'Fuel Model -  Input'!$B$3:$B$373,0),MATCH(I$2,'Fuel Model -  Input'!$B$3:$N$3,0))</f>
        <v>120000</v>
      </c>
      <c r="J1510" s="532">
        <f>+INDEX('Fuel Model -  Input'!$B$3:$N$373,MATCH($B1510,'Fuel Model -  Input'!$B$3:$B$373,0),MATCH(J$2,'Fuel Model -  Input'!$B$3:$N$3,0))</f>
        <v>120000</v>
      </c>
      <c r="K1510" s="532">
        <f>+INDEX('Fuel Model -  Input'!$B$3:$N$373,MATCH($B1510,'Fuel Model -  Input'!$B$3:$B$373,0),MATCH(K$2,'Fuel Model -  Input'!$B$3:$N$3,0))</f>
        <v>120000</v>
      </c>
      <c r="L1510" s="532">
        <f>+INDEX('Fuel Model -  Input'!$B$3:$N$373,MATCH($B1510,'Fuel Model -  Input'!$B$3:$B$373,0),MATCH(L$2,'Fuel Model -  Input'!$B$3:$N$3,0))</f>
        <v>120000</v>
      </c>
      <c r="M1510" s="532">
        <f>+INDEX('Fuel Model -  Input'!$B$3:$N$373,MATCH($B1510,'Fuel Model -  Input'!$B$3:$B$373,0),MATCH(M$2,'Fuel Model -  Input'!$B$3:$N$3,0))</f>
        <v>120000</v>
      </c>
    </row>
    <row r="1511" spans="2:13" hidden="1" outlineLevel="2" x14ac:dyDescent="0.2">
      <c r="B1511" s="3" t="str">
        <f>+C1511&amp;D1511&amp;E1511&amp;F1511</f>
        <v>GlobalLHVe-Methane (DAC)MJ/ ton</v>
      </c>
      <c r="C1511" t="s">
        <v>109</v>
      </c>
      <c r="D1511" t="s">
        <v>582</v>
      </c>
      <c r="E1511" t="s">
        <v>590</v>
      </c>
      <c r="F1511" s="157" t="s">
        <v>583</v>
      </c>
      <c r="G1511" s="532">
        <f>+INDEX('Fuel Model -  Input'!$B$3:$N$373,MATCH($B1511,'Fuel Model -  Input'!$B$3:$B$373,0),MATCH(G$2,'Fuel Model -  Input'!$B$3:$N$3,0))</f>
        <v>50000</v>
      </c>
      <c r="H1511" s="532">
        <f>+INDEX('Fuel Model -  Input'!$B$3:$N$373,MATCH($B1511,'Fuel Model -  Input'!$B$3:$B$373,0),MATCH(H$2,'Fuel Model -  Input'!$B$3:$N$3,0))</f>
        <v>50000</v>
      </c>
      <c r="I1511" s="532">
        <f>+INDEX('Fuel Model -  Input'!$B$3:$N$373,MATCH($B1511,'Fuel Model -  Input'!$B$3:$B$373,0),MATCH(I$2,'Fuel Model -  Input'!$B$3:$N$3,0))</f>
        <v>50000</v>
      </c>
      <c r="J1511" s="532">
        <f>+INDEX('Fuel Model -  Input'!$B$3:$N$373,MATCH($B1511,'Fuel Model -  Input'!$B$3:$B$373,0),MATCH(J$2,'Fuel Model -  Input'!$B$3:$N$3,0))</f>
        <v>50000</v>
      </c>
      <c r="K1511" s="532">
        <f>+INDEX('Fuel Model -  Input'!$B$3:$N$373,MATCH($B1511,'Fuel Model -  Input'!$B$3:$B$373,0),MATCH(K$2,'Fuel Model -  Input'!$B$3:$N$3,0))</f>
        <v>50000</v>
      </c>
      <c r="L1511" s="532">
        <f>+INDEX('Fuel Model -  Input'!$B$3:$N$373,MATCH($B1511,'Fuel Model -  Input'!$B$3:$B$373,0),MATCH(L$2,'Fuel Model -  Input'!$B$3:$N$3,0))</f>
        <v>50000</v>
      </c>
      <c r="M1511" s="532">
        <f>+INDEX('Fuel Model -  Input'!$B$3:$N$373,MATCH($B1511,'Fuel Model -  Input'!$B$3:$B$373,0),MATCH(M$2,'Fuel Model -  Input'!$B$3:$N$3,0))</f>
        <v>50000</v>
      </c>
    </row>
    <row r="1512" spans="2:13" hidden="1" outlineLevel="1" x14ac:dyDescent="0.2"/>
    <row r="1513" spans="2:13" ht="15" hidden="1" outlineLevel="1" x14ac:dyDescent="0.25">
      <c r="B1513" s="30" t="s">
        <v>1120</v>
      </c>
      <c r="C1513" s="30" t="str">
        <f>+B1513</f>
        <v>CO2eq intensity ton/ton e Methane PS</v>
      </c>
      <c r="F1513"/>
    </row>
    <row r="1514" spans="2:13" ht="15" hidden="1" outlineLevel="1" collapsed="1" x14ac:dyDescent="0.25">
      <c r="B1514" s="527" t="str">
        <f>+C1514&amp;D1514&amp;E1514&amp;F1514</f>
        <v xml:space="preserve">GlobalEmissionsWTT Emission - e-Methane (PS)tonCO2eq/ ton </v>
      </c>
      <c r="C1514" s="516" t="s">
        <v>109</v>
      </c>
      <c r="D1514" s="516" t="s">
        <v>728</v>
      </c>
      <c r="E1514" s="516" t="s">
        <v>1121</v>
      </c>
      <c r="F1514" s="512" t="s">
        <v>1016</v>
      </c>
      <c r="G1514" s="533">
        <f>G1516*G1312+(G1299+G1285)*G1517+G1518+G1519*G1306+ G1519*(G1520-G1437)</f>
        <v>-2.5989549801948608</v>
      </c>
      <c r="H1514" s="533">
        <f t="shared" ref="H1514:M1514" si="834">H1516*H1312+(H1299+H1285)*H1517+H1518+H1519*H1306+ H1519*(H1520-H1437)</f>
        <v>-2.59964</v>
      </c>
      <c r="I1514" s="533">
        <f t="shared" si="834"/>
        <v>-2.6015648623515806</v>
      </c>
      <c r="J1514" s="533">
        <f t="shared" si="834"/>
        <v>-2.6066773695723575</v>
      </c>
      <c r="K1514" s="533">
        <f t="shared" si="834"/>
        <v>-2.6128170025601505</v>
      </c>
      <c r="L1514" s="533">
        <f t="shared" si="834"/>
        <v>-2.6209908320532183</v>
      </c>
      <c r="M1514" s="533">
        <f t="shared" si="834"/>
        <v>-2.6274297500000001</v>
      </c>
    </row>
    <row r="1515" spans="2:13" hidden="1" outlineLevel="2" x14ac:dyDescent="0.2">
      <c r="B1515" s="496"/>
      <c r="C1515" s="157"/>
      <c r="D1515" s="157"/>
      <c r="E1515" s="157"/>
      <c r="G1515" s="449"/>
      <c r="H1515" s="449"/>
      <c r="I1515" s="449"/>
      <c r="J1515" s="449"/>
      <c r="K1515" s="449"/>
      <c r="L1515" s="449"/>
      <c r="M1515" s="449"/>
    </row>
    <row r="1516" spans="2:13" hidden="1" outlineLevel="2" x14ac:dyDescent="0.2">
      <c r="B1516" s="496" t="str">
        <f>+C1516&amp;D1516&amp;E1516&amp;F1516</f>
        <v>GlobalCO2intensityWTT emission - e-Hydrogen (compressed)tonCO2eq/tonH2</v>
      </c>
      <c r="C1516" s="157" t="s">
        <v>109</v>
      </c>
      <c r="D1516" s="157" t="s">
        <v>927</v>
      </c>
      <c r="E1516" s="157" t="s">
        <v>950</v>
      </c>
      <c r="F1516" s="157" t="s">
        <v>929</v>
      </c>
      <c r="G1516" s="521">
        <f>INDEX(G$4:G1515,MATCH($B1516,$B$4:$B1515,0))</f>
        <v>0.29135003961027883</v>
      </c>
      <c r="H1516" s="521">
        <f>INDEX(H$4:H1515,MATCH($B1516,$B$4:$B1515,0))</f>
        <v>0.28997999999999996</v>
      </c>
      <c r="I1516" s="521">
        <f>INDEX(I$4:I1515,MATCH($B1516,$B$4:$B1515,0))</f>
        <v>0.28613027529683921</v>
      </c>
      <c r="J1516" s="521">
        <f>INDEX(J$4:J1515,MATCH($B1516,$B$4:$B1515,0))</f>
        <v>0.27590526085528511</v>
      </c>
      <c r="K1516" s="521">
        <f>INDEX(K$4:K1515,MATCH($B1516,$B$4:$B1515,0))</f>
        <v>0.26362599487969951</v>
      </c>
      <c r="L1516" s="521">
        <f>INDEX(L$4:L1515,MATCH($B1516,$B$4:$B1515,0))</f>
        <v>0.24727833589356388</v>
      </c>
      <c r="M1516" s="521">
        <f>INDEX(M$4:M1515,MATCH($B1516,$B$4:$B1515,0))</f>
        <v>0.23440049999999998</v>
      </c>
    </row>
    <row r="1517" spans="2:13" hidden="1" outlineLevel="2" x14ac:dyDescent="0.2">
      <c r="B1517" s="496" t="str">
        <f>+C1517&amp;D1517&amp;E1517&amp;F1517</f>
        <v>GlobalCO2intensityElectricitytonCO2eq/MWH</v>
      </c>
      <c r="C1517" s="157" t="s">
        <v>109</v>
      </c>
      <c r="D1517" s="157" t="s">
        <v>927</v>
      </c>
      <c r="E1517" s="157" t="s">
        <v>54</v>
      </c>
      <c r="F1517" s="157" t="s">
        <v>937</v>
      </c>
      <c r="G1517" s="521">
        <f>+INDEX('Fuel Model -  Input'!$B$3:$N$373,MATCH($B1517,'Fuel Model -  Input'!$B$3:$B$373,0),MATCH(G$2,'Fuel Model -  Input'!$B$3:$N$3,0))</f>
        <v>5.3699999999999998E-3</v>
      </c>
      <c r="H1517" s="521">
        <f>+INDEX('Fuel Model -  Input'!$B$3:$N$373,MATCH($B1517,'Fuel Model -  Input'!$B$3:$B$373,0),MATCH(H$2,'Fuel Model -  Input'!$B$3:$N$3,0))</f>
        <v>5.3699999999999998E-3</v>
      </c>
      <c r="I1517" s="521">
        <f>+INDEX('Fuel Model -  Input'!$B$3:$N$373,MATCH($B1517,'Fuel Model -  Input'!$B$3:$B$373,0),MATCH(I$2,'Fuel Model -  Input'!$B$3:$N$3,0))</f>
        <v>5.3699999999999998E-3</v>
      </c>
      <c r="J1517" s="521">
        <f>+INDEX('Fuel Model -  Input'!$B$3:$N$373,MATCH($B1517,'Fuel Model -  Input'!$B$3:$B$373,0),MATCH(J$2,'Fuel Model -  Input'!$B$3:$N$3,0))</f>
        <v>5.3699999999999998E-3</v>
      </c>
      <c r="K1517" s="521">
        <f>+INDEX('Fuel Model -  Input'!$B$3:$N$373,MATCH($B1517,'Fuel Model -  Input'!$B$3:$B$373,0),MATCH(K$2,'Fuel Model -  Input'!$B$3:$N$3,0))</f>
        <v>5.3699999999999998E-3</v>
      </c>
      <c r="L1517" s="521">
        <f>+INDEX('Fuel Model -  Input'!$B$3:$N$373,MATCH($B1517,'Fuel Model -  Input'!$B$3:$B$373,0),MATCH(L$2,'Fuel Model -  Input'!$B$3:$N$3,0))</f>
        <v>5.3699999999999998E-3</v>
      </c>
      <c r="M1517" s="521">
        <f>+INDEX('Fuel Model -  Input'!$B$3:$N$373,MATCH($B1517,'Fuel Model -  Input'!$B$3:$B$373,0),MATCH(M$2,'Fuel Model -  Input'!$B$3:$N$3,0))</f>
        <v>5.3699999999999998E-3</v>
      </c>
    </row>
    <row r="1518" spans="2:13" hidden="1" outlineLevel="2" x14ac:dyDescent="0.2">
      <c r="B1518" s="496" t="str">
        <f>+C1518&amp;D1518&amp;E1518&amp;F1518</f>
        <v>GlobalCO2intensityMethane synthesis process tonCO2eq/ton Methane</v>
      </c>
      <c r="C1518" s="498" t="s">
        <v>109</v>
      </c>
      <c r="D1518" s="498" t="s">
        <v>927</v>
      </c>
      <c r="E1518" s="498" t="s">
        <v>1114</v>
      </c>
      <c r="F1518" s="498" t="s">
        <v>1115</v>
      </c>
      <c r="G1518" s="521">
        <f>+INDEX('Fuel Model -  Input'!$B$3:$N$373,MATCH($B1518,'Fuel Model -  Input'!$B$3:$B$373,0),MATCH(G$2,'Fuel Model -  Input'!$B$3:$N$3,0))</f>
        <v>0</v>
      </c>
      <c r="H1518" s="521">
        <f>+INDEX('Fuel Model -  Input'!$B$3:$N$373,MATCH($B1518,'Fuel Model -  Input'!$B$3:$B$373,0),MATCH(H$2,'Fuel Model -  Input'!$B$3:$N$3,0))</f>
        <v>0</v>
      </c>
      <c r="I1518" s="521">
        <f>+INDEX('Fuel Model -  Input'!$B$3:$N$373,MATCH($B1518,'Fuel Model -  Input'!$B$3:$B$373,0),MATCH(I$2,'Fuel Model -  Input'!$B$3:$N$3,0))</f>
        <v>0</v>
      </c>
      <c r="J1518" s="521">
        <f>+INDEX('Fuel Model -  Input'!$B$3:$N$373,MATCH($B1518,'Fuel Model -  Input'!$B$3:$B$373,0),MATCH(J$2,'Fuel Model -  Input'!$B$3:$N$3,0))</f>
        <v>0</v>
      </c>
      <c r="K1518" s="521">
        <f>+INDEX('Fuel Model -  Input'!$B$3:$N$373,MATCH($B1518,'Fuel Model -  Input'!$B$3:$B$373,0),MATCH(K$2,'Fuel Model -  Input'!$B$3:$N$3,0))</f>
        <v>0</v>
      </c>
      <c r="L1518" s="521">
        <f>+INDEX('Fuel Model -  Input'!$B$3:$N$373,MATCH($B1518,'Fuel Model -  Input'!$B$3:$B$373,0),MATCH(L$2,'Fuel Model -  Input'!$B$3:$N$3,0))</f>
        <v>0</v>
      </c>
      <c r="M1518" s="521">
        <f>+INDEX('Fuel Model -  Input'!$B$3:$N$373,MATCH($B1518,'Fuel Model -  Input'!$B$3:$B$373,0),MATCH(M$2,'Fuel Model -  Input'!$B$3:$N$3,0))</f>
        <v>0</v>
      </c>
    </row>
    <row r="1519" spans="2:13" hidden="1" outlineLevel="2" x14ac:dyDescent="0.2">
      <c r="B1519" s="496" t="str">
        <f>+C1519&amp;D1519&amp;E1519&amp;F1519</f>
        <v>GlobalCO2 intensityWTT  PStonCO2/tonCO2</v>
      </c>
      <c r="C1519" s="498" t="s">
        <v>109</v>
      </c>
      <c r="D1519" s="498" t="s">
        <v>1019</v>
      </c>
      <c r="E1519" s="498" t="s">
        <v>1020</v>
      </c>
      <c r="F1519" s="498" t="s">
        <v>1021</v>
      </c>
      <c r="G1519" s="521">
        <f>+INDEX('Fuel Model -  Input'!$B$3:$N$373,MATCH($B1519,'Fuel Model -  Input'!$B$3:$B$373,0),MATCH(G$2,'Fuel Model -  Input'!$B$3:$N$3,0))</f>
        <v>-1</v>
      </c>
      <c r="H1519" s="521">
        <f>+INDEX('Fuel Model -  Input'!$B$3:$N$373,MATCH($B1519,'Fuel Model -  Input'!$B$3:$B$373,0),MATCH(H$2,'Fuel Model -  Input'!$B$3:$N$3,0))</f>
        <v>-1</v>
      </c>
      <c r="I1519" s="521">
        <f>+INDEX('Fuel Model -  Input'!$B$3:$N$373,MATCH($B1519,'Fuel Model -  Input'!$B$3:$B$373,0),MATCH(I$2,'Fuel Model -  Input'!$B$3:$N$3,0))</f>
        <v>-1</v>
      </c>
      <c r="J1519" s="521">
        <f>+INDEX('Fuel Model -  Input'!$B$3:$N$373,MATCH($B1519,'Fuel Model -  Input'!$B$3:$B$373,0),MATCH(J$2,'Fuel Model -  Input'!$B$3:$N$3,0))</f>
        <v>-1</v>
      </c>
      <c r="K1519" s="521">
        <f>+INDEX('Fuel Model -  Input'!$B$3:$N$373,MATCH($B1519,'Fuel Model -  Input'!$B$3:$B$373,0),MATCH(K$2,'Fuel Model -  Input'!$B$3:$N$3,0))</f>
        <v>-1</v>
      </c>
      <c r="L1519" s="521">
        <f>+INDEX('Fuel Model -  Input'!$B$3:$N$373,MATCH($B1519,'Fuel Model -  Input'!$B$3:$B$373,0),MATCH(L$2,'Fuel Model -  Input'!$B$3:$N$3,0))</f>
        <v>-1</v>
      </c>
      <c r="M1519" s="521">
        <f>+INDEX('Fuel Model -  Input'!$B$3:$N$373,MATCH($B1519,'Fuel Model -  Input'!$B$3:$B$373,0),MATCH(M$2,'Fuel Model -  Input'!$B$3:$N$3,0))</f>
        <v>-1</v>
      </c>
    </row>
    <row r="1520" spans="2:13" hidden="1" outlineLevel="2" x14ac:dyDescent="0.2">
      <c r="B1520" s="496" t="str">
        <f>+C1520&amp;D1520&amp;E1520&amp;F1520</f>
        <v>GlobalFeedstockStoechiometric CO2ton CO2/ton Methane</v>
      </c>
      <c r="C1520" s="498" t="s">
        <v>109</v>
      </c>
      <c r="D1520" s="498" t="s">
        <v>777</v>
      </c>
      <c r="E1520" s="498" t="s">
        <v>1068</v>
      </c>
      <c r="F1520" s="498" t="s">
        <v>1116</v>
      </c>
      <c r="G1520" s="521">
        <v>2.75</v>
      </c>
      <c r="H1520" s="521">
        <v>2.75</v>
      </c>
      <c r="I1520" s="521">
        <v>2.75</v>
      </c>
      <c r="J1520" s="521">
        <v>2.75</v>
      </c>
      <c r="K1520" s="521">
        <v>2.75</v>
      </c>
      <c r="L1520" s="521">
        <v>2.75</v>
      </c>
      <c r="M1520" s="521">
        <v>2.75</v>
      </c>
    </row>
    <row r="1521" spans="2:13" ht="12.75" hidden="1" outlineLevel="1" x14ac:dyDescent="0.2">
      <c r="F1521"/>
    </row>
    <row r="1522" spans="2:13" ht="15" hidden="1" outlineLevel="1" x14ac:dyDescent="0.25">
      <c r="B1522" s="30" t="s">
        <v>1122</v>
      </c>
      <c r="C1522" s="30" t="str">
        <f>+B1522</f>
        <v>Primary energy efficiency - e Methane PS</v>
      </c>
      <c r="F1522"/>
    </row>
    <row r="1523" spans="2:13" s="157" customFormat="1" ht="15" hidden="1" outlineLevel="1" collapsed="1" x14ac:dyDescent="0.25">
      <c r="B1523" s="527" t="str">
        <f>+C1523&amp;D1523&amp;E1523&amp;F1523</f>
        <v>GlobalResultsAverage Primary EE of e-Methane (PS)%</v>
      </c>
      <c r="C1523" s="516" t="s">
        <v>109</v>
      </c>
      <c r="D1523" s="516" t="s">
        <v>838</v>
      </c>
      <c r="E1523" s="516" t="s">
        <v>1123</v>
      </c>
      <c r="F1523" s="512" t="s">
        <v>178</v>
      </c>
      <c r="G1523" s="529">
        <f t="shared" ref="G1523:M1523" si="835">G1527/3600/(G1344+G1357*G1526/3600/G1525+G1330)</f>
        <v>0.4988372126301463</v>
      </c>
      <c r="H1523" s="529">
        <f t="shared" si="835"/>
        <v>0.50136609042740987</v>
      </c>
      <c r="I1523" s="529">
        <f t="shared" si="835"/>
        <v>0.50949579387287647</v>
      </c>
      <c r="J1523" s="529">
        <f t="shared" si="835"/>
        <v>0.53013819465351619</v>
      </c>
      <c r="K1523" s="529">
        <f t="shared" si="835"/>
        <v>0.55510549592942915</v>
      </c>
      <c r="L1523" s="529">
        <f t="shared" si="835"/>
        <v>0.58800166002163434</v>
      </c>
      <c r="M1523" s="529">
        <f t="shared" si="835"/>
        <v>0.61558164568843399</v>
      </c>
    </row>
    <row r="1524" spans="2:13" s="157" customFormat="1" hidden="1" outlineLevel="2" x14ac:dyDescent="0.2">
      <c r="B1524" s="496"/>
      <c r="F1524" s="450"/>
      <c r="G1524" s="530"/>
      <c r="H1524" s="530"/>
      <c r="I1524" s="530"/>
      <c r="J1524" s="530"/>
      <c r="K1524" s="530"/>
      <c r="L1524" s="530"/>
      <c r="M1524" s="530"/>
    </row>
    <row r="1525" spans="2:13" hidden="1" outlineLevel="2" x14ac:dyDescent="0.2">
      <c r="B1525" s="3" t="str">
        <f>+C1525&amp;D1525&amp;E1525&amp;F1525</f>
        <v>GlobalResultsAverage Primary EE of e-Hydrogen (compressed)%</v>
      </c>
      <c r="C1525" t="s">
        <v>109</v>
      </c>
      <c r="D1525" t="s">
        <v>838</v>
      </c>
      <c r="E1525" s="157" t="s">
        <v>945</v>
      </c>
      <c r="F1525" s="157" t="s">
        <v>178</v>
      </c>
      <c r="G1525" s="531">
        <f>INDEX(G$4:G1524,MATCH($B1525,$B$4:$B1524,0))</f>
        <v>0.62090526196973861</v>
      </c>
      <c r="H1525" s="531">
        <f>INDEX(H$4:H1524,MATCH($B1525,$B$4:$B1524,0))</f>
        <v>0.62417085168914133</v>
      </c>
      <c r="I1525" s="531">
        <f>INDEX(I$4:I1524,MATCH($B1525,$B$4:$B1524,0))</f>
        <v>0.63467726108676525</v>
      </c>
      <c r="J1525" s="531">
        <f>INDEX(J$4:J1524,MATCH($B1525,$B$4:$B1524,0))</f>
        <v>0.66141189245873089</v>
      </c>
      <c r="K1525" s="531">
        <f>INDEX(K$4:K1524,MATCH($B1525,$B$4:$B1524,0))</f>
        <v>0.69385844908622296</v>
      </c>
      <c r="L1525" s="531">
        <f>INDEX(L$4:L1524,MATCH($B1525,$B$4:$B1524,0))</f>
        <v>0.73679503467693408</v>
      </c>
      <c r="M1525" s="531">
        <f>INDEX(M$4:M1524,MATCH($B1525,$B$4:$B1524,0))</f>
        <v>0.77295687554154879</v>
      </c>
    </row>
    <row r="1526" spans="2:13" hidden="1" outlineLevel="2" x14ac:dyDescent="0.2">
      <c r="B1526" s="3" t="str">
        <f>+C1526&amp;D1526&amp;E1526&amp;F1526</f>
        <v>GlobalLHVe-Hydrogen (compressed)MJ/ ton</v>
      </c>
      <c r="C1526" t="s">
        <v>109</v>
      </c>
      <c r="D1526" t="s">
        <v>582</v>
      </c>
      <c r="E1526" t="s">
        <v>584</v>
      </c>
      <c r="F1526" s="157" t="s">
        <v>583</v>
      </c>
      <c r="G1526" s="532">
        <f>+INDEX('Fuel Model -  Input'!$B$3:$N$373,MATCH($B1526,'Fuel Model -  Input'!$B$3:$B$373,0),MATCH(G$2,'Fuel Model -  Input'!$B$3:$N$3,0))</f>
        <v>120000</v>
      </c>
      <c r="H1526" s="532">
        <f>+INDEX('Fuel Model -  Input'!$B$3:$N$373,MATCH($B1526,'Fuel Model -  Input'!$B$3:$B$373,0),MATCH(H$2,'Fuel Model -  Input'!$B$3:$N$3,0))</f>
        <v>120000</v>
      </c>
      <c r="I1526" s="532">
        <f>+INDEX('Fuel Model -  Input'!$B$3:$N$373,MATCH($B1526,'Fuel Model -  Input'!$B$3:$B$373,0),MATCH(I$2,'Fuel Model -  Input'!$B$3:$N$3,0))</f>
        <v>120000</v>
      </c>
      <c r="J1526" s="532">
        <f>+INDEX('Fuel Model -  Input'!$B$3:$N$373,MATCH($B1526,'Fuel Model -  Input'!$B$3:$B$373,0),MATCH(J$2,'Fuel Model -  Input'!$B$3:$N$3,0))</f>
        <v>120000</v>
      </c>
      <c r="K1526" s="532">
        <f>+INDEX('Fuel Model -  Input'!$B$3:$N$373,MATCH($B1526,'Fuel Model -  Input'!$B$3:$B$373,0),MATCH(K$2,'Fuel Model -  Input'!$B$3:$N$3,0))</f>
        <v>120000</v>
      </c>
      <c r="L1526" s="532">
        <f>+INDEX('Fuel Model -  Input'!$B$3:$N$373,MATCH($B1526,'Fuel Model -  Input'!$B$3:$B$373,0),MATCH(L$2,'Fuel Model -  Input'!$B$3:$N$3,0))</f>
        <v>120000</v>
      </c>
      <c r="M1526" s="532">
        <f>+INDEX('Fuel Model -  Input'!$B$3:$N$373,MATCH($B1526,'Fuel Model -  Input'!$B$3:$B$373,0),MATCH(M$2,'Fuel Model -  Input'!$B$3:$N$3,0))</f>
        <v>120000</v>
      </c>
    </row>
    <row r="1527" spans="2:13" hidden="1" outlineLevel="2" x14ac:dyDescent="0.2">
      <c r="B1527" s="3" t="str">
        <f>+C1527&amp;D1527&amp;E1527&amp;F1527</f>
        <v>GlobalLHVe-Methane (PS)MJ/ ton</v>
      </c>
      <c r="C1527" t="s">
        <v>109</v>
      </c>
      <c r="D1527" t="s">
        <v>582</v>
      </c>
      <c r="E1527" t="s">
        <v>591</v>
      </c>
      <c r="F1527" s="157" t="s">
        <v>583</v>
      </c>
      <c r="G1527" s="532">
        <f>+INDEX('Fuel Model -  Input'!$B$3:$N$373,MATCH($B1527,'Fuel Model -  Input'!$B$3:$B$373,0),MATCH(G$2,'Fuel Model -  Input'!$B$3:$N$3,0))</f>
        <v>50000</v>
      </c>
      <c r="H1527" s="532">
        <f>+INDEX('Fuel Model -  Input'!$B$3:$N$373,MATCH($B1527,'Fuel Model -  Input'!$B$3:$B$373,0),MATCH(H$2,'Fuel Model -  Input'!$B$3:$N$3,0))</f>
        <v>50000</v>
      </c>
      <c r="I1527" s="532">
        <f>+INDEX('Fuel Model -  Input'!$B$3:$N$373,MATCH($B1527,'Fuel Model -  Input'!$B$3:$B$373,0),MATCH(I$2,'Fuel Model -  Input'!$B$3:$N$3,0))</f>
        <v>50000</v>
      </c>
      <c r="J1527" s="532">
        <f>+INDEX('Fuel Model -  Input'!$B$3:$N$373,MATCH($B1527,'Fuel Model -  Input'!$B$3:$B$373,0),MATCH(J$2,'Fuel Model -  Input'!$B$3:$N$3,0))</f>
        <v>50000</v>
      </c>
      <c r="K1527" s="532">
        <f>+INDEX('Fuel Model -  Input'!$B$3:$N$373,MATCH($B1527,'Fuel Model -  Input'!$B$3:$B$373,0),MATCH(K$2,'Fuel Model -  Input'!$B$3:$N$3,0))</f>
        <v>50000</v>
      </c>
      <c r="L1527" s="532">
        <f>+INDEX('Fuel Model -  Input'!$B$3:$N$373,MATCH($B1527,'Fuel Model -  Input'!$B$3:$B$373,0),MATCH(L$2,'Fuel Model -  Input'!$B$3:$N$3,0))</f>
        <v>50000</v>
      </c>
      <c r="M1527" s="532">
        <f>+INDEX('Fuel Model -  Input'!$B$3:$N$373,MATCH($B1527,'Fuel Model -  Input'!$B$3:$B$373,0),MATCH(M$2,'Fuel Model -  Input'!$B$3:$N$3,0))</f>
        <v>50000</v>
      </c>
    </row>
    <row r="1528" spans="2:13" hidden="1" outlineLevel="1" x14ac:dyDescent="0.2"/>
    <row r="1529" spans="2:13" ht="12.75" hidden="1" outlineLevel="2" x14ac:dyDescent="0.2">
      <c r="F1529"/>
    </row>
    <row r="1530" spans="2:13" hidden="1" outlineLevel="2" x14ac:dyDescent="0.2">
      <c r="B1530" s="3" t="s">
        <v>1033</v>
      </c>
      <c r="C1530" t="s">
        <v>109</v>
      </c>
      <c r="D1530" t="s">
        <v>1034</v>
      </c>
      <c r="E1530" t="s">
        <v>963</v>
      </c>
      <c r="F1530" t="s">
        <v>1035</v>
      </c>
      <c r="G1530" s="524">
        <f>+INDEX('Fuel Model -  Input'!$B$3:$N$373,MATCH($B1530,'Fuel Model -  Input'!$B$3:$B$373,0),MATCH(G$2,'Fuel Model -  Input'!$B$3:$N$3,0))</f>
        <v>2.9949090520301924</v>
      </c>
      <c r="H1530" s="524">
        <f>+INDEX('Fuel Model -  Input'!$B$3:$N$373,MATCH($B1530,'Fuel Model -  Input'!$B$3:$B$373,0),MATCH(H$2,'Fuel Model -  Input'!$B$3:$N$3,0))</f>
        <v>2.8</v>
      </c>
      <c r="I1530" s="524">
        <f>+INDEX('Fuel Model -  Input'!$B$3:$N$373,MATCH($B1530,'Fuel Model -  Input'!$B$3:$B$373,0),MATCH(I$2,'Fuel Model -  Input'!$B$3:$N$3,0))</f>
        <v>2.6177756532157161</v>
      </c>
      <c r="J1530" s="524">
        <f>+INDEX('Fuel Model -  Input'!$B$3:$N$373,MATCH($B1530,'Fuel Model -  Input'!$B$3:$B$373,0),MATCH(J$2,'Fuel Model -  Input'!$B$3:$N$3,0))</f>
        <v>2.4474104894889179</v>
      </c>
      <c r="K1530" s="524">
        <f>+INDEX('Fuel Model -  Input'!$B$3:$N$373,MATCH($B1530,'Fuel Model -  Input'!$B$3:$B$373,0),MATCH(K$2,'Fuel Model -  Input'!$B$3:$N$3,0))</f>
        <v>2.2881327117174459</v>
      </c>
      <c r="L1530" s="524">
        <f>+INDEX('Fuel Model -  Input'!$B$3:$N$373,MATCH($B1530,'Fuel Model -  Input'!$B$3:$B$373,0),MATCH(L$2,'Fuel Model -  Input'!$B$3:$N$3,0))</f>
        <v>2.1392207514501376</v>
      </c>
      <c r="M1530" s="524">
        <f>+INDEX('Fuel Model -  Input'!$B$3:$N$373,MATCH($B1530,'Fuel Model -  Input'!$B$3:$B$373,0),MATCH(M$2,'Fuel Model -  Input'!$B$3:$N$3,0))</f>
        <v>2</v>
      </c>
    </row>
    <row r="1531" spans="2:13" hidden="1" outlineLevel="2" x14ac:dyDescent="0.2">
      <c r="B1531" s="496" t="str">
        <f>+C1531&amp;D1531&amp;E1531&amp;F1531</f>
        <v>GlobalResultsAverage Primary EE of e-Hydrogen (compressed)%</v>
      </c>
      <c r="C1531" s="157" t="s">
        <v>109</v>
      </c>
      <c r="D1531" t="s">
        <v>838</v>
      </c>
      <c r="E1531" s="157" t="s">
        <v>945</v>
      </c>
      <c r="F1531" s="157" t="s">
        <v>178</v>
      </c>
      <c r="G1531" s="531">
        <f>INDEX(G$4:G1530,MATCH($B1531,$B$4:$B1530,0))</f>
        <v>0.62090526196973861</v>
      </c>
      <c r="H1531" s="531">
        <f>INDEX(H$4:H1530,MATCH($B1531,$B$4:$B1530,0))</f>
        <v>0.62417085168914133</v>
      </c>
      <c r="I1531" s="531">
        <f>INDEX(I$4:I1530,MATCH($B1531,$B$4:$B1530,0))</f>
        <v>0.63467726108676525</v>
      </c>
      <c r="J1531" s="531">
        <f>INDEX(J$4:J1530,MATCH($B1531,$B$4:$B1530,0))</f>
        <v>0.66141189245873089</v>
      </c>
      <c r="K1531" s="531">
        <f>INDEX(K$4:K1530,MATCH($B1531,$B$4:$B1530,0))</f>
        <v>0.69385844908622296</v>
      </c>
      <c r="L1531" s="531">
        <f>INDEX(L$4:L1530,MATCH($B1531,$B$4:$B1530,0))</f>
        <v>0.73679503467693408</v>
      </c>
      <c r="M1531" s="531">
        <f>INDEX(M$4:M1530,MATCH($B1531,$B$4:$B1530,0))</f>
        <v>0.77295687554154879</v>
      </c>
    </row>
    <row r="1532" spans="2:13" hidden="1" outlineLevel="2" x14ac:dyDescent="0.2">
      <c r="B1532" s="3" t="str">
        <f>+C1532&amp;D1532&amp;E1532&amp;F1532</f>
        <v>GlobalLHVe-Hydrogen (compressed)MJ/ ton</v>
      </c>
      <c r="C1532" t="s">
        <v>109</v>
      </c>
      <c r="D1532" t="s">
        <v>582</v>
      </c>
      <c r="E1532" t="s">
        <v>584</v>
      </c>
      <c r="F1532" s="157" t="s">
        <v>583</v>
      </c>
      <c r="G1532" s="532">
        <f>+INDEX('Fuel Model -  Input'!$B$3:$N$373,MATCH($B1532,'Fuel Model -  Input'!$B$3:$B$373,0),MATCH(G$2,'Fuel Model -  Input'!$B$3:$N$3,0))</f>
        <v>120000</v>
      </c>
      <c r="H1532" s="532">
        <f>+INDEX('Fuel Model -  Input'!$B$3:$N$373,MATCH($B1532,'Fuel Model -  Input'!$B$3:$B$373,0),MATCH(H$2,'Fuel Model -  Input'!$B$3:$N$3,0))</f>
        <v>120000</v>
      </c>
      <c r="I1532" s="532">
        <f>+INDEX('Fuel Model -  Input'!$B$3:$N$373,MATCH($B1532,'Fuel Model -  Input'!$B$3:$B$373,0),MATCH(I$2,'Fuel Model -  Input'!$B$3:$N$3,0))</f>
        <v>120000</v>
      </c>
      <c r="J1532" s="532">
        <f>+INDEX('Fuel Model -  Input'!$B$3:$N$373,MATCH($B1532,'Fuel Model -  Input'!$B$3:$B$373,0),MATCH(J$2,'Fuel Model -  Input'!$B$3:$N$3,0))</f>
        <v>120000</v>
      </c>
      <c r="K1532" s="532">
        <f>+INDEX('Fuel Model -  Input'!$B$3:$N$373,MATCH($B1532,'Fuel Model -  Input'!$B$3:$B$373,0),MATCH(K$2,'Fuel Model -  Input'!$B$3:$N$3,0))</f>
        <v>120000</v>
      </c>
      <c r="L1532" s="532">
        <f>+INDEX('Fuel Model -  Input'!$B$3:$N$373,MATCH($B1532,'Fuel Model -  Input'!$B$3:$B$373,0),MATCH(L$2,'Fuel Model -  Input'!$B$3:$N$3,0))</f>
        <v>120000</v>
      </c>
      <c r="M1532" s="532">
        <f>+INDEX('Fuel Model -  Input'!$B$3:$N$373,MATCH($B1532,'Fuel Model -  Input'!$B$3:$B$373,0),MATCH(M$2,'Fuel Model -  Input'!$B$3:$N$3,0))</f>
        <v>120000</v>
      </c>
    </row>
    <row r="1533" spans="2:13" hidden="1" outlineLevel="2" x14ac:dyDescent="0.2">
      <c r="B1533" s="3" t="str">
        <f>+C1533&amp;D1533&amp;E1533&amp;F1533</f>
        <v>GlobalLHVe-DME (DAC)MJ/ ton</v>
      </c>
      <c r="C1533" t="s">
        <v>109</v>
      </c>
      <c r="D1533" t="s">
        <v>582</v>
      </c>
      <c r="E1533" t="s">
        <v>1124</v>
      </c>
      <c r="F1533" s="157" t="s">
        <v>583</v>
      </c>
      <c r="G1533" s="532">
        <f>+INDEX('Fuel Model -  Input'!$B$3:$N$373,MATCH($B1533,'Fuel Model -  Input'!$B$3:$B$373,0),MATCH(G$2,'Fuel Model -  Input'!$B$3:$N$3,0))</f>
        <v>25000</v>
      </c>
      <c r="H1533" s="532">
        <f>+INDEX('Fuel Model -  Input'!$B$3:$N$373,MATCH($B1533,'Fuel Model -  Input'!$B$3:$B$373,0),MATCH(H$2,'Fuel Model -  Input'!$B$3:$N$3,0))</f>
        <v>25000</v>
      </c>
      <c r="I1533" s="532">
        <f>+INDEX('Fuel Model -  Input'!$B$3:$N$373,MATCH($B1533,'Fuel Model -  Input'!$B$3:$B$373,0),MATCH(I$2,'Fuel Model -  Input'!$B$3:$N$3,0))</f>
        <v>25000</v>
      </c>
      <c r="J1533" s="532">
        <f>+INDEX('Fuel Model -  Input'!$B$3:$N$373,MATCH($B1533,'Fuel Model -  Input'!$B$3:$B$373,0),MATCH(J$2,'Fuel Model -  Input'!$B$3:$N$3,0))</f>
        <v>25000</v>
      </c>
      <c r="K1533" s="532">
        <f>+INDEX('Fuel Model -  Input'!$B$3:$N$373,MATCH($B1533,'Fuel Model -  Input'!$B$3:$B$373,0),MATCH(K$2,'Fuel Model -  Input'!$B$3:$N$3,0))</f>
        <v>25000</v>
      </c>
      <c r="L1533" s="532">
        <f>+INDEX('Fuel Model -  Input'!$B$3:$N$373,MATCH($B1533,'Fuel Model -  Input'!$B$3:$B$373,0),MATCH(L$2,'Fuel Model -  Input'!$B$3:$N$3,0))</f>
        <v>25000</v>
      </c>
      <c r="M1533" s="532">
        <f>+INDEX('Fuel Model -  Input'!$B$3:$N$373,MATCH($B1533,'Fuel Model -  Input'!$B$3:$B$373,0),MATCH(M$2,'Fuel Model -  Input'!$B$3:$N$3,0))</f>
        <v>25000</v>
      </c>
    </row>
    <row r="1534" spans="2:13" ht="15" thickBot="1" x14ac:dyDescent="0.25"/>
    <row r="1535" spans="2:13" s="466" customFormat="1" ht="17.25" collapsed="1" thickBot="1" x14ac:dyDescent="0.35">
      <c r="B1535" s="463" t="s">
        <v>1125</v>
      </c>
      <c r="C1535" s="464" t="str">
        <f>+B1535</f>
        <v>CO2 Capture (DAC &amp; PS)</v>
      </c>
      <c r="D1535" s="465"/>
      <c r="E1535" s="465"/>
      <c r="F1535" s="465"/>
      <c r="G1535" s="738">
        <v>2020</v>
      </c>
      <c r="H1535" s="738">
        <v>2025</v>
      </c>
      <c r="I1535" s="738">
        <v>2030</v>
      </c>
      <c r="J1535" s="738">
        <v>2035</v>
      </c>
      <c r="K1535" s="738">
        <v>2040</v>
      </c>
      <c r="L1535" s="738">
        <v>2045</v>
      </c>
      <c r="M1535" s="739">
        <v>2050</v>
      </c>
    </row>
    <row r="1536" spans="2:13" ht="12.75" hidden="1" outlineLevel="1" x14ac:dyDescent="0.2">
      <c r="F1536"/>
    </row>
    <row r="1537" spans="2:14" ht="12.75" hidden="1" outlineLevel="1" collapsed="1" x14ac:dyDescent="0.2">
      <c r="B1537" s="266" t="s">
        <v>1728</v>
      </c>
      <c r="F1537"/>
    </row>
    <row r="1538" spans="2:14" ht="15" hidden="1" outlineLevel="2" x14ac:dyDescent="0.25">
      <c r="B1538" t="str">
        <f>+C1538&amp;D1538&amp;E1538&amp;F1538</f>
        <v>EuropeFeedstockCost of CO2 PSUSD/ton</v>
      </c>
      <c r="C1538" t="s">
        <v>195</v>
      </c>
      <c r="D1538" t="s">
        <v>777</v>
      </c>
      <c r="E1538" s="30" t="s">
        <v>1011</v>
      </c>
      <c r="F1538" s="128" t="s">
        <v>205</v>
      </c>
      <c r="G1538" s="524">
        <f>G$1544+G$1548+G1551</f>
        <v>183.65176654649929</v>
      </c>
      <c r="H1538" s="524">
        <f t="shared" ref="H1538:M1538" si="836">H$1544+H$1548+H1551</f>
        <v>151.29684020954028</v>
      </c>
      <c r="I1538" s="524">
        <f t="shared" si="836"/>
        <v>119.84203139838496</v>
      </c>
      <c r="J1538" s="524">
        <f t="shared" si="836"/>
        <v>107.54722578778849</v>
      </c>
      <c r="K1538" s="524">
        <f t="shared" si="836"/>
        <v>95.886651003983658</v>
      </c>
      <c r="L1538" s="524">
        <f t="shared" si="836"/>
        <v>84.160463979009762</v>
      </c>
      <c r="M1538" s="524">
        <f t="shared" si="836"/>
        <v>72.706103887724282</v>
      </c>
      <c r="N1538" s="93"/>
    </row>
    <row r="1539" spans="2:14" ht="15" hidden="1" outlineLevel="2" x14ac:dyDescent="0.25">
      <c r="B1539" t="str">
        <f>+C1539&amp;D1539&amp;E1539&amp;F1539</f>
        <v>Middle EastFeedstockCost of CO2 PSUSD/ton</v>
      </c>
      <c r="C1539" t="s">
        <v>197</v>
      </c>
      <c r="D1539" t="s">
        <v>777</v>
      </c>
      <c r="E1539" s="30" t="s">
        <v>1011</v>
      </c>
      <c r="F1539" s="128" t="s">
        <v>205</v>
      </c>
      <c r="G1539" s="524">
        <f t="shared" ref="G1539:M1539" si="837">G$1544+G$1548+G1552</f>
        <v>177.94785442944283</v>
      </c>
      <c r="H1539" s="524">
        <f t="shared" si="837"/>
        <v>146.60555677413353</v>
      </c>
      <c r="I1539" s="524">
        <f t="shared" si="837"/>
        <v>116.50528560630497</v>
      </c>
      <c r="J1539" s="524">
        <f t="shared" si="837"/>
        <v>104.06848066101462</v>
      </c>
      <c r="K1539" s="524">
        <f t="shared" si="837"/>
        <v>92.487277204930535</v>
      </c>
      <c r="L1539" s="524">
        <f t="shared" si="837"/>
        <v>80.638157884868974</v>
      </c>
      <c r="M1539" s="524">
        <f t="shared" si="837"/>
        <v>69.389251315178939</v>
      </c>
    </row>
    <row r="1540" spans="2:14" ht="15" hidden="1" outlineLevel="2" x14ac:dyDescent="0.25">
      <c r="B1540" t="str">
        <f>+C1540&amp;D1540&amp;E1540&amp;F1540</f>
        <v>AsiaFeedstockCost of CO2 PSUSD/ton</v>
      </c>
      <c r="C1540" t="s">
        <v>198</v>
      </c>
      <c r="D1540" t="s">
        <v>777</v>
      </c>
      <c r="E1540" s="30" t="s">
        <v>1011</v>
      </c>
      <c r="F1540" s="128" t="s">
        <v>205</v>
      </c>
      <c r="G1540" s="524">
        <f t="shared" ref="G1540:M1540" si="838">G$1544+G$1548+G1553</f>
        <v>196.0110921002601</v>
      </c>
      <c r="H1540" s="524">
        <f t="shared" si="838"/>
        <v>155.50436268940587</v>
      </c>
      <c r="I1540" s="524">
        <f t="shared" si="838"/>
        <v>123.23207213604563</v>
      </c>
      <c r="J1540" s="524">
        <f t="shared" si="838"/>
        <v>109.38084627168502</v>
      </c>
      <c r="K1540" s="524">
        <f t="shared" si="838"/>
        <v>97.06844553314329</v>
      </c>
      <c r="L1540" s="524">
        <f t="shared" si="838"/>
        <v>84.68167386247967</v>
      </c>
      <c r="M1540" s="524">
        <f t="shared" si="838"/>
        <v>73.196863289212644</v>
      </c>
    </row>
    <row r="1541" spans="2:14" ht="15" hidden="1" outlineLevel="2" x14ac:dyDescent="0.25">
      <c r="B1541" t="str">
        <f>+C1541&amp;D1541&amp;E1541&amp;F1541</f>
        <v>AmericasFeedstockCost of CO2 PSUSD/ton</v>
      </c>
      <c r="C1541" t="s">
        <v>199</v>
      </c>
      <c r="D1541" t="s">
        <v>777</v>
      </c>
      <c r="E1541" s="30" t="s">
        <v>1011</v>
      </c>
      <c r="F1541" s="128" t="s">
        <v>205</v>
      </c>
      <c r="G1541" s="524">
        <f t="shared" ref="G1541:M1541" si="839">G$1544+G$1548+G1554</f>
        <v>176.61821589975131</v>
      </c>
      <c r="H1541" s="524">
        <f t="shared" si="839"/>
        <v>147.24213336054672</v>
      </c>
      <c r="I1541" s="524">
        <f t="shared" si="839"/>
        <v>116.68588262142937</v>
      </c>
      <c r="J1541" s="524">
        <f t="shared" si="839"/>
        <v>104.57451205728354</v>
      </c>
      <c r="K1541" s="524">
        <f t="shared" si="839"/>
        <v>92.726475040564452</v>
      </c>
      <c r="L1541" s="524">
        <f t="shared" si="839"/>
        <v>81.551527219554785</v>
      </c>
      <c r="M1541" s="524">
        <f t="shared" si="839"/>
        <v>70.488096647732391</v>
      </c>
    </row>
    <row r="1542" spans="2:14" ht="15" hidden="1" outlineLevel="2" x14ac:dyDescent="0.25">
      <c r="B1542" t="str">
        <f>+C1542&amp;D1542&amp;E1542&amp;F1542</f>
        <v>AfricaFeedstockCost of CO2 PSUSD/ton</v>
      </c>
      <c r="C1542" t="s">
        <v>200</v>
      </c>
      <c r="D1542" t="s">
        <v>777</v>
      </c>
      <c r="E1542" s="30" t="s">
        <v>1011</v>
      </c>
      <c r="F1542" s="128" t="s">
        <v>205</v>
      </c>
      <c r="G1542" s="524">
        <f t="shared" ref="G1542:M1542" si="840">G$1544+G$1548+G1555</f>
        <v>194.61503587661912</v>
      </c>
      <c r="H1542" s="524">
        <f t="shared" si="840"/>
        <v>151.52122016902825</v>
      </c>
      <c r="I1542" s="524">
        <f t="shared" si="840"/>
        <v>119.55399153189167</v>
      </c>
      <c r="J1542" s="524">
        <f t="shared" si="840"/>
        <v>106.43257901056128</v>
      </c>
      <c r="K1542" s="524">
        <f t="shared" si="840"/>
        <v>94.581832500036995</v>
      </c>
      <c r="L1542" s="524">
        <f t="shared" si="840"/>
        <v>82.699142044214142</v>
      </c>
      <c r="M1542" s="524">
        <f t="shared" si="840"/>
        <v>71.408038118924537</v>
      </c>
    </row>
    <row r="1543" spans="2:14" ht="15" hidden="1" outlineLevel="2" x14ac:dyDescent="0.25">
      <c r="E1543" s="30"/>
      <c r="F1543" s="128"/>
      <c r="G1543" s="524"/>
      <c r="H1543" s="524"/>
      <c r="I1543" s="524"/>
      <c r="J1543" s="524"/>
      <c r="K1543" s="524"/>
      <c r="L1543" s="524"/>
      <c r="M1543" s="524"/>
    </row>
    <row r="1544" spans="2:14" hidden="1" outlineLevel="2" x14ac:dyDescent="0.2">
      <c r="B1544" t="str">
        <f>+C1544&amp;D1544&amp;E1544&amp;F1544</f>
        <v>GlobalCapexCapex per yearUSD/ ton CO2 / year</v>
      </c>
      <c r="C1544" t="s">
        <v>109</v>
      </c>
      <c r="D1544" t="s">
        <v>218</v>
      </c>
      <c r="E1544" t="s">
        <v>956</v>
      </c>
      <c r="F1544" s="128" t="s">
        <v>1696</v>
      </c>
      <c r="G1544" s="342">
        <f t="shared" ref="G1544:M1544" si="841">G1546/G1545</f>
        <v>101.58333333333336</v>
      </c>
      <c r="H1544" s="342">
        <f t="shared" si="841"/>
        <v>83.916666666666686</v>
      </c>
      <c r="I1544" s="342">
        <f t="shared" si="841"/>
        <v>66.250000000000014</v>
      </c>
      <c r="J1544" s="342">
        <f t="shared" si="841"/>
        <v>59.404166666666683</v>
      </c>
      <c r="K1544" s="342">
        <f t="shared" si="841"/>
        <v>52.558333333333344</v>
      </c>
      <c r="L1544" s="342">
        <f t="shared" si="841"/>
        <v>45.712500000000013</v>
      </c>
      <c r="M1544" s="342">
        <f t="shared" si="841"/>
        <v>38.866666666666674</v>
      </c>
    </row>
    <row r="1545" spans="2:14" hidden="1" outlineLevel="2" x14ac:dyDescent="0.2">
      <c r="B1545" t="str">
        <f>+C1545&amp;D1545&amp;E1545&amp;F1545</f>
        <v>GlobalPlant capexAnnualisation factor#</v>
      </c>
      <c r="C1545" t="s">
        <v>109</v>
      </c>
      <c r="D1545" t="s">
        <v>786</v>
      </c>
      <c r="E1545" t="s">
        <v>764</v>
      </c>
      <c r="F1545" s="450" t="s">
        <v>787</v>
      </c>
      <c r="G1545" s="532">
        <f>INDEX('Fuel Model -  Input'!$B$3:$N$1312,MATCH($B1545,'Fuel Model -  Input'!$B$3:$B$1312,0),MATCH(G$2,'Fuel Model -  Input'!$B$3:$N$3,0))</f>
        <v>11.32075471698113</v>
      </c>
      <c r="H1545" s="532">
        <f>INDEX('Fuel Model -  Input'!$B$3:$N$1312,MATCH($B1545,'Fuel Model -  Input'!$B$3:$B$1312,0),MATCH(H$2,'Fuel Model -  Input'!$B$3:$N$3,0))</f>
        <v>11.32075471698113</v>
      </c>
      <c r="I1545" s="532">
        <f>INDEX('Fuel Model -  Input'!$B$3:$N$1312,MATCH($B1545,'Fuel Model -  Input'!$B$3:$B$1312,0),MATCH(I$2,'Fuel Model -  Input'!$B$3:$N$3,0))</f>
        <v>11.32075471698113</v>
      </c>
      <c r="J1545" s="532">
        <f>INDEX('Fuel Model -  Input'!$B$3:$N$1312,MATCH($B1545,'Fuel Model -  Input'!$B$3:$B$1312,0),MATCH(J$2,'Fuel Model -  Input'!$B$3:$N$3,0))</f>
        <v>11.32075471698113</v>
      </c>
      <c r="K1545" s="532">
        <f>INDEX('Fuel Model -  Input'!$B$3:$N$1312,MATCH($B1545,'Fuel Model -  Input'!$B$3:$B$1312,0),MATCH(K$2,'Fuel Model -  Input'!$B$3:$N$3,0))</f>
        <v>11.32075471698113</v>
      </c>
      <c r="L1545" s="532">
        <f>INDEX('Fuel Model -  Input'!$B$3:$N$1312,MATCH($B1545,'Fuel Model -  Input'!$B$3:$B$1312,0),MATCH(L$2,'Fuel Model -  Input'!$B$3:$N$3,0))</f>
        <v>11.32075471698113</v>
      </c>
      <c r="M1545" s="532">
        <f>INDEX('Fuel Model -  Input'!$B$3:$N$1312,MATCH($B1545,'Fuel Model -  Input'!$B$3:$B$1312,0),MATCH(M$2,'Fuel Model -  Input'!$B$3:$N$3,0))</f>
        <v>11.32075471698113</v>
      </c>
    </row>
    <row r="1546" spans="2:14" hidden="1" outlineLevel="2" x14ac:dyDescent="0.2">
      <c r="B1546" t="str">
        <f>+C1546&amp;D1546&amp;E1546&amp;F1546</f>
        <v>GlobalCapexPS plant unit capexUSD/ ton CO2</v>
      </c>
      <c r="C1546" t="s">
        <v>109</v>
      </c>
      <c r="D1546" t="s">
        <v>218</v>
      </c>
      <c r="E1546" t="s">
        <v>1697</v>
      </c>
      <c r="F1546" s="128" t="s">
        <v>1130</v>
      </c>
      <c r="G1546" s="532">
        <f>INDEX('Fuel Model -  Input'!$B$3:$N$1312,MATCH($B1546,'Fuel Model -  Input'!$B$3:$B$1312,0),MATCH(G$2,'Fuel Model -  Input'!$B$3:$N$3,0))</f>
        <v>1150</v>
      </c>
      <c r="H1546" s="532">
        <f>INDEX('Fuel Model -  Input'!$B$3:$N$1312,MATCH($B1546,'Fuel Model -  Input'!$B$3:$B$1312,0),MATCH(H$2,'Fuel Model -  Input'!$B$3:$N$3,0))</f>
        <v>950</v>
      </c>
      <c r="I1546" s="532">
        <f>INDEX('Fuel Model -  Input'!$B$3:$N$1312,MATCH($B1546,'Fuel Model -  Input'!$B$3:$B$1312,0),MATCH(I$2,'Fuel Model -  Input'!$B$3:$N$3,0))</f>
        <v>750</v>
      </c>
      <c r="J1546" s="532">
        <f>INDEX('Fuel Model -  Input'!$B$3:$N$1312,MATCH($B1546,'Fuel Model -  Input'!$B$3:$B$1312,0),MATCH(J$2,'Fuel Model -  Input'!$B$3:$N$3,0))</f>
        <v>672.5</v>
      </c>
      <c r="K1546" s="532">
        <f>INDEX('Fuel Model -  Input'!$B$3:$N$1312,MATCH($B1546,'Fuel Model -  Input'!$B$3:$B$1312,0),MATCH(K$2,'Fuel Model -  Input'!$B$3:$N$3,0))</f>
        <v>595</v>
      </c>
      <c r="L1546" s="532">
        <f>INDEX('Fuel Model -  Input'!$B$3:$N$1312,MATCH($B1546,'Fuel Model -  Input'!$B$3:$B$1312,0),MATCH(L$2,'Fuel Model -  Input'!$B$3:$N$3,0))</f>
        <v>517.5</v>
      </c>
      <c r="M1546" s="532">
        <f>INDEX('Fuel Model -  Input'!$B$3:$N$1312,MATCH($B1546,'Fuel Model -  Input'!$B$3:$B$1312,0),MATCH(M$2,'Fuel Model -  Input'!$B$3:$N$3,0))</f>
        <v>440</v>
      </c>
    </row>
    <row r="1547" spans="2:14" hidden="1" outlineLevel="2" x14ac:dyDescent="0.2">
      <c r="E1547" s="48"/>
      <c r="F1547" s="128"/>
      <c r="G1547" s="14"/>
      <c r="H1547" s="14"/>
      <c r="I1547" s="14"/>
      <c r="J1547" s="14"/>
      <c r="K1547" s="14"/>
      <c r="L1547" s="14"/>
      <c r="M1547" s="14"/>
    </row>
    <row r="1548" spans="2:14" hidden="1" outlineLevel="2" x14ac:dyDescent="0.2">
      <c r="B1548" s="78" t="str">
        <f>+C1548&amp;D1548&amp;E1548&amp;F1548</f>
        <v>GlobalOperationsAnnual captureUSD/ ton CO2 / year</v>
      </c>
      <c r="C1548" t="s">
        <v>109</v>
      </c>
      <c r="D1548" t="s">
        <v>1131</v>
      </c>
      <c r="E1548" t="s">
        <v>1132</v>
      </c>
      <c r="F1548" s="128" t="s">
        <v>1696</v>
      </c>
      <c r="G1548" s="22">
        <f t="shared" ref="G1548:M1548" si="842">G1546*G1549</f>
        <v>57.5</v>
      </c>
      <c r="H1548" s="22">
        <f t="shared" si="842"/>
        <v>47.5</v>
      </c>
      <c r="I1548" s="22">
        <f t="shared" si="842"/>
        <v>37.5</v>
      </c>
      <c r="J1548" s="22">
        <f t="shared" si="842"/>
        <v>33.625</v>
      </c>
      <c r="K1548" s="22">
        <f t="shared" si="842"/>
        <v>29.75</v>
      </c>
      <c r="L1548" s="22">
        <f t="shared" si="842"/>
        <v>25.875</v>
      </c>
      <c r="M1548" s="22">
        <f t="shared" si="842"/>
        <v>22</v>
      </c>
    </row>
    <row r="1549" spans="2:14" hidden="1" outlineLevel="2" x14ac:dyDescent="0.2">
      <c r="B1549" t="str">
        <f>+C1549&amp;D1549&amp;E1549&amp;F1549</f>
        <v>GlobalOpexOpex - PS facilityPercent of Capex</v>
      </c>
      <c r="C1549" t="s">
        <v>109</v>
      </c>
      <c r="D1549" t="s">
        <v>219</v>
      </c>
      <c r="E1549" t="s">
        <v>1698</v>
      </c>
      <c r="F1549" s="128" t="s">
        <v>883</v>
      </c>
      <c r="G1549" s="531">
        <f>INDEX('Fuel Model -  Input'!$B$3:$N$1312,MATCH($B1549,'Fuel Model -  Input'!$B$3:$B$1312,0),MATCH(G$2,'Fuel Model -  Input'!$B$3:$N$3,0))</f>
        <v>0.05</v>
      </c>
      <c r="H1549" s="531">
        <f>INDEX('Fuel Model -  Input'!$B$3:$N$1312,MATCH($B1549,'Fuel Model -  Input'!$B$3:$B$1312,0),MATCH(H$2,'Fuel Model -  Input'!$B$3:$N$3,0))</f>
        <v>0.05</v>
      </c>
      <c r="I1549" s="531">
        <f>INDEX('Fuel Model -  Input'!$B$3:$N$1312,MATCH($B1549,'Fuel Model -  Input'!$B$3:$B$1312,0),MATCH(I$2,'Fuel Model -  Input'!$B$3:$N$3,0))</f>
        <v>0.05</v>
      </c>
      <c r="J1549" s="531">
        <f>INDEX('Fuel Model -  Input'!$B$3:$N$1312,MATCH($B1549,'Fuel Model -  Input'!$B$3:$B$1312,0),MATCH(J$2,'Fuel Model -  Input'!$B$3:$N$3,0))</f>
        <v>0.05</v>
      </c>
      <c r="K1549" s="531">
        <f>INDEX('Fuel Model -  Input'!$B$3:$N$1312,MATCH($B1549,'Fuel Model -  Input'!$B$3:$B$1312,0),MATCH(K$2,'Fuel Model -  Input'!$B$3:$N$3,0))</f>
        <v>0.05</v>
      </c>
      <c r="L1549" s="531">
        <f>INDEX('Fuel Model -  Input'!$B$3:$N$1312,MATCH($B1549,'Fuel Model -  Input'!$B$3:$B$1312,0),MATCH(L$2,'Fuel Model -  Input'!$B$3:$N$3,0))</f>
        <v>0.05</v>
      </c>
      <c r="M1549" s="531">
        <f>INDEX('Fuel Model -  Input'!$B$3:$N$1312,MATCH($B1549,'Fuel Model -  Input'!$B$3:$B$1312,0),MATCH(M$2,'Fuel Model -  Input'!$B$3:$N$3,0))</f>
        <v>0.05</v>
      </c>
    </row>
    <row r="1550" spans="2:14" ht="15" hidden="1" outlineLevel="2" x14ac:dyDescent="0.25">
      <c r="E1550" s="30"/>
      <c r="F1550" s="128"/>
      <c r="G1550" s="524"/>
      <c r="H1550" s="22"/>
      <c r="I1550" s="524"/>
      <c r="J1550" s="524"/>
      <c r="K1550" s="524"/>
      <c r="L1550" s="524"/>
      <c r="M1550" s="524"/>
    </row>
    <row r="1551" spans="2:14" hidden="1" outlineLevel="2" x14ac:dyDescent="0.2">
      <c r="B1551" s="78" t="str">
        <f t="shared" ref="B1551:B1561" si="843">+C1551&amp;D1551&amp;E1551&amp;F1551</f>
        <v>EuropeCO2 PSElectricity costUSD/ton CO2</v>
      </c>
      <c r="C1551" t="s">
        <v>195</v>
      </c>
      <c r="D1551" t="s">
        <v>1699</v>
      </c>
      <c r="E1551" s="48" t="s">
        <v>94</v>
      </c>
      <c r="F1551" s="128" t="s">
        <v>382</v>
      </c>
      <c r="G1551" s="260">
        <f t="shared" ref="G1551:M1555" si="844">G1557*G$1556</f>
        <v>24.568433213165921</v>
      </c>
      <c r="H1551" s="260">
        <f t="shared" si="844"/>
        <v>19.880173542873607</v>
      </c>
      <c r="I1551" s="260">
        <f t="shared" si="844"/>
        <v>16.09203139838494</v>
      </c>
      <c r="J1551" s="260">
        <f t="shared" si="844"/>
        <v>14.518059121121812</v>
      </c>
      <c r="K1551" s="260">
        <f t="shared" si="844"/>
        <v>13.578317670650323</v>
      </c>
      <c r="L1551" s="260">
        <f t="shared" si="844"/>
        <v>12.572963979009751</v>
      </c>
      <c r="M1551" s="260">
        <f t="shared" si="844"/>
        <v>11.839437221057603</v>
      </c>
    </row>
    <row r="1552" spans="2:14" hidden="1" outlineLevel="2" x14ac:dyDescent="0.2">
      <c r="B1552" s="78" t="str">
        <f t="shared" si="843"/>
        <v>Middle EastCO2 PSElectricity costUSD/ton CO2</v>
      </c>
      <c r="C1552" t="s">
        <v>197</v>
      </c>
      <c r="D1552" t="s">
        <v>1699</v>
      </c>
      <c r="E1552" s="48" t="s">
        <v>94</v>
      </c>
      <c r="F1552" s="128" t="s">
        <v>382</v>
      </c>
      <c r="G1552" s="260">
        <f t="shared" si="844"/>
        <v>18.864521096109449</v>
      </c>
      <c r="H1552" s="260">
        <f t="shared" si="844"/>
        <v>15.188890107466836</v>
      </c>
      <c r="I1552" s="260">
        <f t="shared" si="844"/>
        <v>12.755285606304959</v>
      </c>
      <c r="J1552" s="260">
        <f t="shared" si="844"/>
        <v>11.039313994347935</v>
      </c>
      <c r="K1552" s="260">
        <f t="shared" si="844"/>
        <v>10.1789438715972</v>
      </c>
      <c r="L1552" s="260">
        <f t="shared" si="844"/>
        <v>9.0506578848689703</v>
      </c>
      <c r="M1552" s="260">
        <f t="shared" si="844"/>
        <v>8.5225846485122645</v>
      </c>
    </row>
    <row r="1553" spans="2:14" hidden="1" outlineLevel="2" x14ac:dyDescent="0.2">
      <c r="B1553" s="78" t="str">
        <f t="shared" si="843"/>
        <v>AsiaCO2 PSElectricity costUSD/ton CO2</v>
      </c>
      <c r="C1553" t="s">
        <v>198</v>
      </c>
      <c r="D1553" t="s">
        <v>1699</v>
      </c>
      <c r="E1553" s="48" t="s">
        <v>94</v>
      </c>
      <c r="F1553" s="128" t="s">
        <v>382</v>
      </c>
      <c r="G1553" s="260">
        <f t="shared" si="844"/>
        <v>36.927758766926722</v>
      </c>
      <c r="H1553" s="260">
        <f t="shared" si="844"/>
        <v>24.087696022739173</v>
      </c>
      <c r="I1553" s="260">
        <f t="shared" si="844"/>
        <v>19.48207213604562</v>
      </c>
      <c r="J1553" s="260">
        <f t="shared" si="844"/>
        <v>16.351679605018333</v>
      </c>
      <c r="K1553" s="260">
        <f t="shared" si="844"/>
        <v>14.760112199809951</v>
      </c>
      <c r="L1553" s="260">
        <f t="shared" si="844"/>
        <v>13.094173862479666</v>
      </c>
      <c r="M1553" s="260">
        <f t="shared" si="844"/>
        <v>12.330196622545962</v>
      </c>
    </row>
    <row r="1554" spans="2:14" hidden="1" outlineLevel="2" x14ac:dyDescent="0.2">
      <c r="B1554" s="78" t="str">
        <f t="shared" si="843"/>
        <v>AmericasCO2 PSElectricity costUSD/ton CO2</v>
      </c>
      <c r="C1554" t="s">
        <v>199</v>
      </c>
      <c r="D1554" t="s">
        <v>1699</v>
      </c>
      <c r="E1554" s="48" t="s">
        <v>94</v>
      </c>
      <c r="F1554" s="128" t="s">
        <v>382</v>
      </c>
      <c r="G1554" s="260">
        <f t="shared" si="844"/>
        <v>17.534882566417924</v>
      </c>
      <c r="H1554" s="260">
        <f t="shared" si="844"/>
        <v>15.825466693880044</v>
      </c>
      <c r="I1554" s="260">
        <f t="shared" si="844"/>
        <v>12.935882621429354</v>
      </c>
      <c r="J1554" s="260">
        <f t="shared" si="844"/>
        <v>11.545345390616855</v>
      </c>
      <c r="K1554" s="260">
        <f t="shared" si="844"/>
        <v>10.41814170723111</v>
      </c>
      <c r="L1554" s="260">
        <f t="shared" si="844"/>
        <v>9.9640272195547812</v>
      </c>
      <c r="M1554" s="260">
        <f t="shared" si="844"/>
        <v>9.621429981065722</v>
      </c>
    </row>
    <row r="1555" spans="2:14" hidden="1" outlineLevel="2" x14ac:dyDescent="0.2">
      <c r="B1555" s="78" t="str">
        <f t="shared" si="843"/>
        <v>AfricaCO2 PSElectricity costUSD/ton CO2</v>
      </c>
      <c r="C1555" t="s">
        <v>200</v>
      </c>
      <c r="D1555" t="s">
        <v>1699</v>
      </c>
      <c r="E1555" s="48" t="s">
        <v>94</v>
      </c>
      <c r="F1555" s="128" t="s">
        <v>382</v>
      </c>
      <c r="G1555" s="260">
        <f t="shared" si="844"/>
        <v>35.531702543285739</v>
      </c>
      <c r="H1555" s="260">
        <f t="shared" si="844"/>
        <v>20.104553502361583</v>
      </c>
      <c r="I1555" s="260">
        <f t="shared" si="844"/>
        <v>15.803991531891654</v>
      </c>
      <c r="J1555" s="260">
        <f t="shared" si="844"/>
        <v>13.403412343894598</v>
      </c>
      <c r="K1555" s="260">
        <f t="shared" si="844"/>
        <v>12.27349916670366</v>
      </c>
      <c r="L1555" s="260">
        <f t="shared" si="844"/>
        <v>11.111642044214129</v>
      </c>
      <c r="M1555" s="260">
        <f t="shared" si="844"/>
        <v>10.541371452257867</v>
      </c>
    </row>
    <row r="1556" spans="2:14" hidden="1" outlineLevel="2" x14ac:dyDescent="0.2">
      <c r="B1556" s="78" t="str">
        <f t="shared" si="843"/>
        <v>GlobalCO2 PSElectricity demandmWh/ton CO2</v>
      </c>
      <c r="C1556" t="s">
        <v>109</v>
      </c>
      <c r="D1556" t="s">
        <v>1699</v>
      </c>
      <c r="E1556" s="48" t="s">
        <v>963</v>
      </c>
      <c r="F1556" s="128" t="s">
        <v>1035</v>
      </c>
      <c r="G1556" s="521">
        <f>INDEX('Fuel Model -  Input'!$B$3:$N$1312,MATCH($B1556,'Fuel Model -  Input'!$B$3:$B$1312,0),MATCH(G$2,'Fuel Model -  Input'!$B$3:$N$3,0))</f>
        <v>0.45</v>
      </c>
      <c r="H1556" s="521">
        <f>INDEX('Fuel Model -  Input'!$B$3:$N$1312,MATCH($B1556,'Fuel Model -  Input'!$B$3:$B$1312,0),MATCH(H$2,'Fuel Model -  Input'!$B$3:$N$3,0))</f>
        <v>0.45</v>
      </c>
      <c r="I1556" s="521">
        <f>INDEX('Fuel Model -  Input'!$B$3:$N$1312,MATCH($B1556,'Fuel Model -  Input'!$B$3:$B$1312,0),MATCH(I$2,'Fuel Model -  Input'!$B$3:$N$3,0))</f>
        <v>0.45</v>
      </c>
      <c r="J1556" s="521">
        <f>INDEX('Fuel Model -  Input'!$B$3:$N$1312,MATCH($B1556,'Fuel Model -  Input'!$B$3:$B$1312,0),MATCH(J$2,'Fuel Model -  Input'!$B$3:$N$3,0))</f>
        <v>0.45</v>
      </c>
      <c r="K1556" s="521">
        <f>INDEX('Fuel Model -  Input'!$B$3:$N$1312,MATCH($B1556,'Fuel Model -  Input'!$B$3:$B$1312,0),MATCH(K$2,'Fuel Model -  Input'!$B$3:$N$3,0))</f>
        <v>0.45</v>
      </c>
      <c r="L1556" s="521">
        <f>INDEX('Fuel Model -  Input'!$B$3:$N$1312,MATCH($B1556,'Fuel Model -  Input'!$B$3:$B$1312,0),MATCH(L$2,'Fuel Model -  Input'!$B$3:$N$3,0))</f>
        <v>0.45</v>
      </c>
      <c r="M1556" s="521">
        <f>INDEX('Fuel Model -  Input'!$B$3:$N$1312,MATCH($B1556,'Fuel Model -  Input'!$B$3:$B$1312,0),MATCH(M$2,'Fuel Model -  Input'!$B$3:$N$3,0))</f>
        <v>0.45</v>
      </c>
    </row>
    <row r="1557" spans="2:14" hidden="1" outlineLevel="2" x14ac:dyDescent="0.2">
      <c r="B1557" s="78" t="str">
        <f t="shared" si="843"/>
        <v>EuropeFeedstockElectricityUSD/MWh</v>
      </c>
      <c r="C1557" t="s">
        <v>195</v>
      </c>
      <c r="D1557" t="s">
        <v>777</v>
      </c>
      <c r="E1557" s="48" t="s">
        <v>54</v>
      </c>
      <c r="F1557" s="128" t="s">
        <v>196</v>
      </c>
      <c r="G1557" s="532">
        <f>INDEX('Fuel Model -  Input'!$B$3:$N$1312,MATCH($B1557,'Fuel Model -  Input'!$B$3:$B$1312,0),MATCH(G$2,'Fuel Model -  Input'!$B$3:$N$3,0))</f>
        <v>54.596518251479822</v>
      </c>
      <c r="H1557" s="532">
        <f>INDEX('Fuel Model -  Input'!$B$3:$N$1312,MATCH($B1557,'Fuel Model -  Input'!$B$3:$B$1312,0),MATCH(H$2,'Fuel Model -  Input'!$B$3:$N$3,0))</f>
        <v>44.178163428608016</v>
      </c>
      <c r="I1557" s="532">
        <f>INDEX('Fuel Model -  Input'!$B$3:$N$1312,MATCH($B1557,'Fuel Model -  Input'!$B$3:$B$1312,0),MATCH(I$2,'Fuel Model -  Input'!$B$3:$N$3,0))</f>
        <v>35.760069774188757</v>
      </c>
      <c r="J1557" s="532">
        <f>INDEX('Fuel Model -  Input'!$B$3:$N$1312,MATCH($B1557,'Fuel Model -  Input'!$B$3:$B$1312,0),MATCH(J$2,'Fuel Model -  Input'!$B$3:$N$3,0))</f>
        <v>32.262353602492915</v>
      </c>
      <c r="K1557" s="532">
        <f>INDEX('Fuel Model -  Input'!$B$3:$N$1312,MATCH($B1557,'Fuel Model -  Input'!$B$3:$B$1312,0),MATCH(K$2,'Fuel Model -  Input'!$B$3:$N$3,0))</f>
        <v>30.17403926811183</v>
      </c>
      <c r="L1557" s="532">
        <f>INDEX('Fuel Model -  Input'!$B$3:$N$1312,MATCH($B1557,'Fuel Model -  Input'!$B$3:$B$1312,0),MATCH(L$2,'Fuel Model -  Input'!$B$3:$N$3,0))</f>
        <v>27.939919953355002</v>
      </c>
      <c r="M1557" s="532">
        <f>INDEX('Fuel Model -  Input'!$B$3:$N$1312,MATCH($B1557,'Fuel Model -  Input'!$B$3:$B$1312,0),MATCH(M$2,'Fuel Model -  Input'!$B$3:$N$3,0))</f>
        <v>26.309860491239117</v>
      </c>
    </row>
    <row r="1558" spans="2:14" hidden="1" outlineLevel="2" x14ac:dyDescent="0.2">
      <c r="B1558" s="78" t="str">
        <f t="shared" si="843"/>
        <v>Middle EastFeedstockElectricityUSD/MWh</v>
      </c>
      <c r="C1558" t="s">
        <v>197</v>
      </c>
      <c r="D1558" t="s">
        <v>777</v>
      </c>
      <c r="E1558" s="48" t="s">
        <v>54</v>
      </c>
      <c r="F1558" s="128" t="s">
        <v>196</v>
      </c>
      <c r="G1558" s="532">
        <f>INDEX('Fuel Model -  Input'!$B$3:$N$1312,MATCH($B1558,'Fuel Model -  Input'!$B$3:$B$1312,0),MATCH(G$2,'Fuel Model -  Input'!$B$3:$N$3,0))</f>
        <v>41.921157991354328</v>
      </c>
      <c r="H1558" s="532">
        <f>INDEX('Fuel Model -  Input'!$B$3:$N$1312,MATCH($B1558,'Fuel Model -  Input'!$B$3:$B$1312,0),MATCH(H$2,'Fuel Model -  Input'!$B$3:$N$3,0))</f>
        <v>33.753089127704079</v>
      </c>
      <c r="I1558" s="532">
        <f>INDEX('Fuel Model -  Input'!$B$3:$N$1312,MATCH($B1558,'Fuel Model -  Input'!$B$3:$B$1312,0),MATCH(I$2,'Fuel Model -  Input'!$B$3:$N$3,0))</f>
        <v>28.34507912512213</v>
      </c>
      <c r="J1558" s="532">
        <f>INDEX('Fuel Model -  Input'!$B$3:$N$1312,MATCH($B1558,'Fuel Model -  Input'!$B$3:$B$1312,0),MATCH(J$2,'Fuel Model -  Input'!$B$3:$N$3,0))</f>
        <v>24.531808876328746</v>
      </c>
      <c r="K1558" s="532">
        <f>INDEX('Fuel Model -  Input'!$B$3:$N$1312,MATCH($B1558,'Fuel Model -  Input'!$B$3:$B$1312,0),MATCH(K$2,'Fuel Model -  Input'!$B$3:$N$3,0))</f>
        <v>22.619875270215999</v>
      </c>
      <c r="L1558" s="532">
        <f>INDEX('Fuel Model -  Input'!$B$3:$N$1312,MATCH($B1558,'Fuel Model -  Input'!$B$3:$B$1312,0),MATCH(L$2,'Fuel Model -  Input'!$B$3:$N$3,0))</f>
        <v>20.112573077486601</v>
      </c>
      <c r="M1558" s="532">
        <f>INDEX('Fuel Model -  Input'!$B$3:$N$1312,MATCH($B1558,'Fuel Model -  Input'!$B$3:$B$1312,0),MATCH(M$2,'Fuel Model -  Input'!$B$3:$N$3,0))</f>
        <v>18.93907699669392</v>
      </c>
    </row>
    <row r="1559" spans="2:14" hidden="1" outlineLevel="2" x14ac:dyDescent="0.2">
      <c r="B1559" s="78" t="str">
        <f t="shared" si="843"/>
        <v>AsiaFeedstockElectricityUSD/MWh</v>
      </c>
      <c r="C1559" t="s">
        <v>198</v>
      </c>
      <c r="D1559" t="s">
        <v>777</v>
      </c>
      <c r="E1559" s="48" t="s">
        <v>54</v>
      </c>
      <c r="F1559" s="128" t="s">
        <v>196</v>
      </c>
      <c r="G1559" s="532">
        <f>INDEX('Fuel Model -  Input'!$B$3:$N$1312,MATCH($B1559,'Fuel Model -  Input'!$B$3:$B$1312,0),MATCH(G$2,'Fuel Model -  Input'!$B$3:$N$3,0))</f>
        <v>82.061686148726054</v>
      </c>
      <c r="H1559" s="532">
        <f>INDEX('Fuel Model -  Input'!$B$3:$N$1312,MATCH($B1559,'Fuel Model -  Input'!$B$3:$B$1312,0),MATCH(H$2,'Fuel Model -  Input'!$B$3:$N$3,0))</f>
        <v>53.528213383864831</v>
      </c>
      <c r="I1559" s="532">
        <f>INDEX('Fuel Model -  Input'!$B$3:$N$1312,MATCH($B1559,'Fuel Model -  Input'!$B$3:$B$1312,0),MATCH(I$2,'Fuel Model -  Input'!$B$3:$N$3,0))</f>
        <v>43.29349363565693</v>
      </c>
      <c r="J1559" s="532">
        <f>INDEX('Fuel Model -  Input'!$B$3:$N$1312,MATCH($B1559,'Fuel Model -  Input'!$B$3:$B$1312,0),MATCH(J$2,'Fuel Model -  Input'!$B$3:$N$3,0))</f>
        <v>36.337065788929628</v>
      </c>
      <c r="K1559" s="532">
        <f>INDEX('Fuel Model -  Input'!$B$3:$N$1312,MATCH($B1559,'Fuel Model -  Input'!$B$3:$B$1312,0),MATCH(K$2,'Fuel Model -  Input'!$B$3:$N$3,0))</f>
        <v>32.800249332911001</v>
      </c>
      <c r="L1559" s="532">
        <f>INDEX('Fuel Model -  Input'!$B$3:$N$1312,MATCH($B1559,'Fuel Model -  Input'!$B$3:$B$1312,0),MATCH(L$2,'Fuel Model -  Input'!$B$3:$N$3,0))</f>
        <v>29.0981641388437</v>
      </c>
      <c r="M1559" s="532">
        <f>INDEX('Fuel Model -  Input'!$B$3:$N$1312,MATCH($B1559,'Fuel Model -  Input'!$B$3:$B$1312,0),MATCH(M$2,'Fuel Model -  Input'!$B$3:$N$3,0))</f>
        <v>27.400436938991028</v>
      </c>
    </row>
    <row r="1560" spans="2:14" hidden="1" outlineLevel="2" x14ac:dyDescent="0.2">
      <c r="B1560" s="78" t="str">
        <f t="shared" si="843"/>
        <v>AmericasFeedstockElectricityUSD/MWh</v>
      </c>
      <c r="C1560" t="s">
        <v>199</v>
      </c>
      <c r="D1560" t="s">
        <v>777</v>
      </c>
      <c r="E1560" s="48" t="s">
        <v>54</v>
      </c>
      <c r="F1560" s="128" t="s">
        <v>196</v>
      </c>
      <c r="G1560" s="532">
        <f>INDEX('Fuel Model -  Input'!$B$3:$N$1312,MATCH($B1560,'Fuel Model -  Input'!$B$3:$B$1312,0),MATCH(G$2,'Fuel Model -  Input'!$B$3:$N$3,0))</f>
        <v>38.96640570315094</v>
      </c>
      <c r="H1560" s="532">
        <f>INDEX('Fuel Model -  Input'!$B$3:$N$1312,MATCH($B1560,'Fuel Model -  Input'!$B$3:$B$1312,0),MATCH(H$2,'Fuel Model -  Input'!$B$3:$N$3,0))</f>
        <v>35.167703764177872</v>
      </c>
      <c r="I1560" s="532">
        <f>INDEX('Fuel Model -  Input'!$B$3:$N$1312,MATCH($B1560,'Fuel Model -  Input'!$B$3:$B$1312,0),MATCH(I$2,'Fuel Model -  Input'!$B$3:$N$3,0))</f>
        <v>28.746405825398561</v>
      </c>
      <c r="J1560" s="532">
        <f>INDEX('Fuel Model -  Input'!$B$3:$N$1312,MATCH($B1560,'Fuel Model -  Input'!$B$3:$B$1312,0),MATCH(J$2,'Fuel Model -  Input'!$B$3:$N$3,0))</f>
        <v>25.656323090259679</v>
      </c>
      <c r="K1560" s="532">
        <f>INDEX('Fuel Model -  Input'!$B$3:$N$1312,MATCH($B1560,'Fuel Model -  Input'!$B$3:$B$1312,0),MATCH(K$2,'Fuel Model -  Input'!$B$3:$N$3,0))</f>
        <v>23.151426016069131</v>
      </c>
      <c r="L1560" s="532">
        <f>INDEX('Fuel Model -  Input'!$B$3:$N$1312,MATCH($B1560,'Fuel Model -  Input'!$B$3:$B$1312,0),MATCH(L$2,'Fuel Model -  Input'!$B$3:$N$3,0))</f>
        <v>22.142282710121734</v>
      </c>
      <c r="M1560" s="532">
        <f>INDEX('Fuel Model -  Input'!$B$3:$N$1312,MATCH($B1560,'Fuel Model -  Input'!$B$3:$B$1312,0),MATCH(M$2,'Fuel Model -  Input'!$B$3:$N$3,0))</f>
        <v>21.380955513479382</v>
      </c>
    </row>
    <row r="1561" spans="2:14" hidden="1" outlineLevel="2" x14ac:dyDescent="0.2">
      <c r="B1561" s="78" t="str">
        <f t="shared" si="843"/>
        <v>AfricaFeedstockElectricityUSD/MWh</v>
      </c>
      <c r="C1561" t="s">
        <v>200</v>
      </c>
      <c r="D1561" t="s">
        <v>777</v>
      </c>
      <c r="E1561" s="48" t="s">
        <v>54</v>
      </c>
      <c r="F1561" s="128" t="s">
        <v>196</v>
      </c>
      <c r="G1561" s="532">
        <f>INDEX('Fuel Model -  Input'!$B$3:$N$1312,MATCH($B1561,'Fuel Model -  Input'!$B$3:$B$1312,0),MATCH(G$2,'Fuel Model -  Input'!$B$3:$N$3,0))</f>
        <v>78.959338985079413</v>
      </c>
      <c r="H1561" s="532">
        <f>INDEX('Fuel Model -  Input'!$B$3:$N$1312,MATCH($B1561,'Fuel Model -  Input'!$B$3:$B$1312,0),MATCH(H$2,'Fuel Model -  Input'!$B$3:$N$3,0))</f>
        <v>44.676785560803516</v>
      </c>
      <c r="I1561" s="532">
        <f>INDEX('Fuel Model -  Input'!$B$3:$N$1312,MATCH($B1561,'Fuel Model -  Input'!$B$3:$B$1312,0),MATCH(I$2,'Fuel Model -  Input'!$B$3:$N$3,0))</f>
        <v>35.119981181981451</v>
      </c>
      <c r="J1561" s="532">
        <f>INDEX('Fuel Model -  Input'!$B$3:$N$1312,MATCH($B1561,'Fuel Model -  Input'!$B$3:$B$1312,0),MATCH(J$2,'Fuel Model -  Input'!$B$3:$N$3,0))</f>
        <v>29.785360764210218</v>
      </c>
      <c r="K1561" s="532">
        <f>INDEX('Fuel Model -  Input'!$B$3:$N$1312,MATCH($B1561,'Fuel Model -  Input'!$B$3:$B$1312,0),MATCH(K$2,'Fuel Model -  Input'!$B$3:$N$3,0))</f>
        <v>27.274442592674799</v>
      </c>
      <c r="L1561" s="532">
        <f>INDEX('Fuel Model -  Input'!$B$3:$N$1312,MATCH($B1561,'Fuel Model -  Input'!$B$3:$B$1312,0),MATCH(L$2,'Fuel Model -  Input'!$B$3:$N$3,0))</f>
        <v>24.692537876031398</v>
      </c>
      <c r="M1561" s="532">
        <f>INDEX('Fuel Model -  Input'!$B$3:$N$1312,MATCH($B1561,'Fuel Model -  Input'!$B$3:$B$1312,0),MATCH(M$2,'Fuel Model -  Input'!$B$3:$N$3,0))</f>
        <v>23.425269893906371</v>
      </c>
    </row>
    <row r="1562" spans="2:14" ht="15" hidden="1" outlineLevel="1" x14ac:dyDescent="0.25">
      <c r="E1562" s="30"/>
      <c r="F1562" s="128"/>
      <c r="G1562" s="524"/>
      <c r="H1562" s="524"/>
      <c r="I1562" s="524"/>
      <c r="J1562" s="524"/>
      <c r="K1562" s="524"/>
      <c r="L1562" s="524"/>
      <c r="M1562" s="524"/>
    </row>
    <row r="1563" spans="2:14" ht="15" hidden="1" outlineLevel="1" collapsed="1" x14ac:dyDescent="0.25">
      <c r="B1563" s="266" t="s">
        <v>1727</v>
      </c>
      <c r="E1563" s="30"/>
      <c r="F1563" s="128"/>
      <c r="G1563" s="8"/>
      <c r="H1563" s="8"/>
      <c r="I1563" s="8"/>
      <c r="J1563" s="8"/>
      <c r="K1563" s="8"/>
      <c r="L1563" s="8"/>
      <c r="M1563" s="8"/>
    </row>
    <row r="1564" spans="2:14" ht="15" hidden="1" outlineLevel="2" x14ac:dyDescent="0.25">
      <c r="B1564" t="str">
        <f t="shared" ref="B1564:B1569" si="845">+C1564&amp;D1564&amp;E1564&amp;F1564</f>
        <v>EuropeResultsCost of CO2 DACUSD/ton</v>
      </c>
      <c r="C1564" t="s">
        <v>195</v>
      </c>
      <c r="D1564" t="s">
        <v>838</v>
      </c>
      <c r="E1564" s="30" t="s">
        <v>1010</v>
      </c>
      <c r="F1564" s="128" t="s">
        <v>205</v>
      </c>
      <c r="G1564" s="8">
        <f t="shared" ref="G1564:M1564" si="846">+G1572</f>
        <v>307.22325721643637</v>
      </c>
      <c r="H1564" s="8">
        <f t="shared" si="846"/>
        <v>242.4903978219358</v>
      </c>
      <c r="I1564" s="8">
        <f t="shared" si="846"/>
        <v>192.04126265117469</v>
      </c>
      <c r="J1564" s="8">
        <f t="shared" si="846"/>
        <v>160.70751129779481</v>
      </c>
      <c r="K1564" s="8">
        <f t="shared" si="846"/>
        <v>137.08960114746296</v>
      </c>
      <c r="L1564" s="8">
        <f t="shared" si="846"/>
        <v>116.53525285618326</v>
      </c>
      <c r="M1564" s="8">
        <f t="shared" si="846"/>
        <v>99.953054315811585</v>
      </c>
      <c r="N1564" s="93"/>
    </row>
    <row r="1565" spans="2:14" ht="15" hidden="1" outlineLevel="2" x14ac:dyDescent="0.25">
      <c r="B1565" t="str">
        <f t="shared" si="845"/>
        <v>Middle EastResultsCost of CO2 DACUSD/ton</v>
      </c>
      <c r="C1565" t="s">
        <v>197</v>
      </c>
      <c r="D1565" t="s">
        <v>838</v>
      </c>
      <c r="E1565" s="30" t="s">
        <v>1010</v>
      </c>
      <c r="F1565" s="128" t="s">
        <v>205</v>
      </c>
      <c r="G1565" s="8">
        <f t="shared" ref="G1565:M1565" si="847">G1588</f>
        <v>269.26170603564276</v>
      </c>
      <c r="H1565" s="8">
        <f t="shared" si="847"/>
        <v>213.30018977940477</v>
      </c>
      <c r="I1565" s="8">
        <f t="shared" si="847"/>
        <v>172.63048066122585</v>
      </c>
      <c r="J1565" s="8">
        <f t="shared" si="847"/>
        <v>141.78769504551741</v>
      </c>
      <c r="K1565" s="8">
        <f t="shared" si="847"/>
        <v>119.80467139419926</v>
      </c>
      <c r="L1565" s="8">
        <f t="shared" si="847"/>
        <v>99.790829990527158</v>
      </c>
      <c r="M1565" s="8">
        <f t="shared" si="847"/>
        <v>85.211487326721183</v>
      </c>
      <c r="N1565" s="30"/>
    </row>
    <row r="1566" spans="2:14" ht="15" hidden="1" outlineLevel="2" x14ac:dyDescent="0.25">
      <c r="B1566" t="str">
        <f t="shared" si="845"/>
        <v>AsiaResultsCost of CO2 DACUSD/ton</v>
      </c>
      <c r="C1566" t="s">
        <v>198</v>
      </c>
      <c r="D1566" t="s">
        <v>838</v>
      </c>
      <c r="E1566" s="30" t="s">
        <v>1010</v>
      </c>
      <c r="F1566" s="128" t="s">
        <v>205</v>
      </c>
      <c r="G1566" s="8">
        <f t="shared" ref="G1566:M1566" si="848">G1604</f>
        <v>389.47893716742817</v>
      </c>
      <c r="H1566" s="8">
        <f t="shared" si="848"/>
        <v>268.67053769665483</v>
      </c>
      <c r="I1566" s="8">
        <f t="shared" si="848"/>
        <v>211.76207622108038</v>
      </c>
      <c r="J1566" s="8">
        <f t="shared" si="848"/>
        <v>170.68000464452834</v>
      </c>
      <c r="K1566" s="8">
        <f t="shared" si="848"/>
        <v>143.09871830457155</v>
      </c>
      <c r="L1566" s="8">
        <f t="shared" si="848"/>
        <v>119.01299285302713</v>
      </c>
      <c r="M1566" s="8">
        <f t="shared" si="848"/>
        <v>102.1342072113154</v>
      </c>
    </row>
    <row r="1567" spans="2:14" ht="15" hidden="1" outlineLevel="2" x14ac:dyDescent="0.25">
      <c r="B1567" t="str">
        <f t="shared" si="845"/>
        <v>AmericasResultsCost of CO2 DACUSD/ton</v>
      </c>
      <c r="C1567" t="s">
        <v>199</v>
      </c>
      <c r="D1567" t="s">
        <v>838</v>
      </c>
      <c r="E1567" s="30" t="s">
        <v>1010</v>
      </c>
      <c r="F1567" s="128" t="s">
        <v>205</v>
      </c>
      <c r="G1567" s="8">
        <f t="shared" ref="G1567:M1567" si="849">G1620</f>
        <v>260.41249166119553</v>
      </c>
      <c r="H1567" s="8">
        <f t="shared" si="849"/>
        <v>217.26111076153137</v>
      </c>
      <c r="I1567" s="8">
        <f t="shared" si="849"/>
        <v>173.68106392619489</v>
      </c>
      <c r="J1567" s="8">
        <f t="shared" si="849"/>
        <v>144.53984292827136</v>
      </c>
      <c r="K1567" s="8">
        <f t="shared" si="849"/>
        <v>121.02093004372364</v>
      </c>
      <c r="L1567" s="8">
        <f t="shared" si="849"/>
        <v>104.13282695607847</v>
      </c>
      <c r="M1567" s="8">
        <f t="shared" si="849"/>
        <v>90.095244360292099</v>
      </c>
    </row>
    <row r="1568" spans="2:14" ht="15" hidden="1" outlineLevel="2" x14ac:dyDescent="0.25">
      <c r="B1568" t="str">
        <f t="shared" si="845"/>
        <v>AfricaResultsCost of CO2 DACUSD/ton</v>
      </c>
      <c r="C1568" t="s">
        <v>200</v>
      </c>
      <c r="D1568" t="s">
        <v>838</v>
      </c>
      <c r="E1568" s="30" t="s">
        <v>1010</v>
      </c>
      <c r="F1568" s="128" t="s">
        <v>205</v>
      </c>
      <c r="G1568" s="8">
        <f t="shared" ref="G1568:M1568" si="850">G1636</f>
        <v>380.18768956448264</v>
      </c>
      <c r="H1568" s="8">
        <f t="shared" si="850"/>
        <v>243.88653979208317</v>
      </c>
      <c r="I1568" s="8">
        <f t="shared" si="850"/>
        <v>190.36565431859327</v>
      </c>
      <c r="J1568" s="8">
        <f t="shared" si="850"/>
        <v>154.64529304299282</v>
      </c>
      <c r="K1568" s="8">
        <f t="shared" si="850"/>
        <v>130.45493914360833</v>
      </c>
      <c r="L1568" s="8">
        <f t="shared" si="850"/>
        <v>109.58838572848535</v>
      </c>
      <c r="M1568" s="8">
        <f t="shared" si="850"/>
        <v>94.183873121146092</v>
      </c>
    </row>
    <row r="1569" spans="2:13" ht="15" hidden="1" outlineLevel="2" x14ac:dyDescent="0.25">
      <c r="B1569" t="str">
        <f t="shared" si="845"/>
        <v>GlobalResultsCost of CO2 DACUSD/ton</v>
      </c>
      <c r="C1569" t="s">
        <v>109</v>
      </c>
      <c r="D1569" t="s">
        <v>838</v>
      </c>
      <c r="E1569" s="30" t="s">
        <v>1010</v>
      </c>
      <c r="F1569" s="128" t="s">
        <v>205</v>
      </c>
      <c r="G1569" s="8">
        <f>+SMALL(G$1564:G$1568,1)*40%+SMALL(G$1564:G$1568,2)*30%+SMALL(G$1564:G$1568,3)*10%+SMALL(G$1564:G$1568,4)*10%+SMALL(G$1564:G$1568,5)*10%</f>
        <v>292.63249687000575</v>
      </c>
      <c r="H1569" s="8">
        <f t="shared" ref="H1569:M1569" si="851">+SMALL(H$1564:H$1568,1)*40%+SMALL(H$1564:H$1568,2)*30%+SMALL(H$1564:H$1568,3)*10%+SMALL(H$1564:H$1568,4)*10%+SMALL(H$1564:H$1568,5)*10%</f>
        <v>226.00315667128874</v>
      </c>
      <c r="I1569" s="8">
        <f t="shared" si="851"/>
        <v>180.57341076143365</v>
      </c>
      <c r="J1569" s="8">
        <f t="shared" si="851"/>
        <v>148.68031179521995</v>
      </c>
      <c r="K1569" s="8">
        <f t="shared" si="851"/>
        <v>125.2924734303611</v>
      </c>
      <c r="L1569" s="8">
        <f t="shared" si="851"/>
        <v>105.66984322680398</v>
      </c>
      <c r="M1569" s="8">
        <f t="shared" si="851"/>
        <v>90.740281703603415</v>
      </c>
    </row>
    <row r="1570" spans="2:13" s="30" customFormat="1" ht="15" hidden="1" outlineLevel="2" x14ac:dyDescent="0.25"/>
    <row r="1571" spans="2:13" ht="15" hidden="1" outlineLevel="2" collapsed="1" x14ac:dyDescent="0.25">
      <c r="B1571" s="30" t="s">
        <v>195</v>
      </c>
      <c r="C1571" s="30" t="str">
        <f>+B1571</f>
        <v>Europe</v>
      </c>
      <c r="F1571"/>
    </row>
    <row r="1572" spans="2:13" ht="15" hidden="1" outlineLevel="3" x14ac:dyDescent="0.25">
      <c r="B1572" t="str">
        <f>+C1572&amp;D1572&amp;E1572&amp;F1572</f>
        <v>EuropeResultsTotal cost of CO2 DACUSD/ton CO2</v>
      </c>
      <c r="C1572" t="str">
        <f>+$B$1571</f>
        <v>Europe</v>
      </c>
      <c r="D1572" s="30" t="s">
        <v>838</v>
      </c>
      <c r="E1572" s="405" t="s">
        <v>1126</v>
      </c>
      <c r="F1572" s="127" t="s">
        <v>382</v>
      </c>
      <c r="G1572" s="490">
        <f t="shared" ref="G1572:M1572" si="852">SUM(G1573:G1574)</f>
        <v>307.22325721643637</v>
      </c>
      <c r="H1572" s="490">
        <f t="shared" si="852"/>
        <v>242.4903978219358</v>
      </c>
      <c r="I1572" s="490">
        <f t="shared" si="852"/>
        <v>192.04126265117469</v>
      </c>
      <c r="J1572" s="490">
        <f t="shared" si="852"/>
        <v>160.70751129779481</v>
      </c>
      <c r="K1572" s="490">
        <f t="shared" si="852"/>
        <v>137.08960114746296</v>
      </c>
      <c r="L1572" s="490">
        <f t="shared" si="852"/>
        <v>116.53525285618326</v>
      </c>
      <c r="M1572" s="490">
        <f t="shared" si="852"/>
        <v>99.953054315811585</v>
      </c>
    </row>
    <row r="1573" spans="2:13" ht="15" hidden="1" outlineLevel="3" x14ac:dyDescent="0.25">
      <c r="B1573" t="str">
        <f>+C1573&amp;D1573&amp;E1573&amp;F1573</f>
        <v>EuropeResultsTotal CapexUSD/ton CO2</v>
      </c>
      <c r="C1573" t="str">
        <f>+$B$1571</f>
        <v>Europe</v>
      </c>
      <c r="D1573" s="30" t="s">
        <v>838</v>
      </c>
      <c r="E1573" s="228" t="s">
        <v>1127</v>
      </c>
      <c r="F1573" s="127" t="s">
        <v>382</v>
      </c>
      <c r="G1573" s="490">
        <f t="shared" ref="G1573:M1573" si="853">G1576</f>
        <v>88.333333333333357</v>
      </c>
      <c r="H1573" s="490">
        <f t="shared" si="853"/>
        <v>75.854838936833332</v>
      </c>
      <c r="I1573" s="490">
        <f t="shared" si="853"/>
        <v>65.139131209051982</v>
      </c>
      <c r="J1573" s="490">
        <f t="shared" si="853"/>
        <v>55.937188373749713</v>
      </c>
      <c r="K1573" s="490">
        <f t="shared" si="853"/>
        <v>48.035166958529324</v>
      </c>
      <c r="L1573" s="490">
        <f t="shared" si="853"/>
        <v>41.249432297469504</v>
      </c>
      <c r="M1573" s="490">
        <f t="shared" si="853"/>
        <v>35.333333333333343</v>
      </c>
    </row>
    <row r="1574" spans="2:13" ht="15" hidden="1" outlineLevel="3" x14ac:dyDescent="0.25">
      <c r="B1574" t="str">
        <f>+C1574&amp;D1574&amp;E1574&amp;F1574</f>
        <v>EuropeResultsTotal OpexUSD/ton CO2</v>
      </c>
      <c r="C1574" t="str">
        <f>+$B$1571</f>
        <v>Europe</v>
      </c>
      <c r="D1574" s="30" t="s">
        <v>838</v>
      </c>
      <c r="E1574" s="228" t="s">
        <v>1128</v>
      </c>
      <c r="F1574" s="127" t="s">
        <v>382</v>
      </c>
      <c r="G1574" s="335">
        <f t="shared" ref="G1574:M1574" si="854">SUM(G1583,G1580)</f>
        <v>218.88992388310302</v>
      </c>
      <c r="H1574" s="335">
        <f t="shared" si="854"/>
        <v>166.63555888510245</v>
      </c>
      <c r="I1574" s="335">
        <f t="shared" si="854"/>
        <v>126.90213144212271</v>
      </c>
      <c r="J1574" s="335">
        <f t="shared" si="854"/>
        <v>104.7703229240451</v>
      </c>
      <c r="K1574" s="335">
        <f t="shared" si="854"/>
        <v>89.054434188933641</v>
      </c>
      <c r="L1574" s="335">
        <f t="shared" si="854"/>
        <v>75.285820558713752</v>
      </c>
      <c r="M1574" s="335">
        <f t="shared" si="854"/>
        <v>64.619720982478242</v>
      </c>
    </row>
    <row r="1575" spans="2:13" hidden="1" outlineLevel="3" x14ac:dyDescent="0.2">
      <c r="E1575" s="48"/>
      <c r="F1575" s="128"/>
      <c r="G1575" s="14"/>
      <c r="H1575" s="14"/>
      <c r="I1575" s="14"/>
      <c r="J1575" s="14"/>
      <c r="K1575" s="14"/>
      <c r="L1575" s="14"/>
      <c r="M1575" s="14"/>
    </row>
    <row r="1576" spans="2:13" hidden="1" outlineLevel="3" x14ac:dyDescent="0.2">
      <c r="B1576" t="str">
        <f>+C1576&amp;D1576&amp;E1576&amp;F1576</f>
        <v>EuropeCapexCapex per yearUSD/ ton CO2 / year</v>
      </c>
      <c r="C1576" t="str">
        <f>+$B$1571</f>
        <v>Europe</v>
      </c>
      <c r="D1576" t="s">
        <v>218</v>
      </c>
      <c r="E1576" t="s">
        <v>956</v>
      </c>
      <c r="F1576" s="128" t="s">
        <v>1696</v>
      </c>
      <c r="G1576" s="342">
        <f t="shared" ref="G1576:M1576" si="855">G1578/G1577</f>
        <v>88.333333333333357</v>
      </c>
      <c r="H1576" s="342">
        <f t="shared" si="855"/>
        <v>75.854838936833332</v>
      </c>
      <c r="I1576" s="342">
        <f t="shared" si="855"/>
        <v>65.139131209051982</v>
      </c>
      <c r="J1576" s="342">
        <f t="shared" si="855"/>
        <v>55.937188373749713</v>
      </c>
      <c r="K1576" s="342">
        <f t="shared" si="855"/>
        <v>48.035166958529324</v>
      </c>
      <c r="L1576" s="342">
        <f t="shared" si="855"/>
        <v>41.249432297469504</v>
      </c>
      <c r="M1576" s="342">
        <f t="shared" si="855"/>
        <v>35.333333333333343</v>
      </c>
    </row>
    <row r="1577" spans="2:13" hidden="1" outlineLevel="3" x14ac:dyDescent="0.2">
      <c r="B1577" t="str">
        <f>+C1577&amp;D1577&amp;E1577&amp;F1577</f>
        <v>GlobalPlant capexAnnualisation factor#</v>
      </c>
      <c r="C1577" t="s">
        <v>109</v>
      </c>
      <c r="D1577" t="s">
        <v>786</v>
      </c>
      <c r="E1577" t="s">
        <v>764</v>
      </c>
      <c r="F1577" s="450" t="s">
        <v>787</v>
      </c>
      <c r="G1577" s="524">
        <f>INDEX('Fuel Model -  Input'!$B$3:$N$1312,MATCH($B1577,'Fuel Model -  Input'!$B$3:$B$1312,0),MATCH(G$2,'Fuel Model -  Input'!$B$3:$N$3,0))</f>
        <v>11.32075471698113</v>
      </c>
      <c r="H1577" s="524">
        <f>INDEX('Fuel Model -  Input'!$B$3:$N$1312,MATCH($B1577,'Fuel Model -  Input'!$B$3:$B$1312,0),MATCH(H$2,'Fuel Model -  Input'!$B$3:$N$3,0))</f>
        <v>11.32075471698113</v>
      </c>
      <c r="I1577" s="524">
        <f>INDEX('Fuel Model -  Input'!$B$3:$N$1312,MATCH($B1577,'Fuel Model -  Input'!$B$3:$B$1312,0),MATCH(I$2,'Fuel Model -  Input'!$B$3:$N$3,0))</f>
        <v>11.32075471698113</v>
      </c>
      <c r="J1577" s="524">
        <f>INDEX('Fuel Model -  Input'!$B$3:$N$1312,MATCH($B1577,'Fuel Model -  Input'!$B$3:$B$1312,0),MATCH(J$2,'Fuel Model -  Input'!$B$3:$N$3,0))</f>
        <v>11.32075471698113</v>
      </c>
      <c r="K1577" s="524">
        <f>INDEX('Fuel Model -  Input'!$B$3:$N$1312,MATCH($B1577,'Fuel Model -  Input'!$B$3:$B$1312,0),MATCH(K$2,'Fuel Model -  Input'!$B$3:$N$3,0))</f>
        <v>11.32075471698113</v>
      </c>
      <c r="L1577" s="524">
        <f>INDEX('Fuel Model -  Input'!$B$3:$N$1312,MATCH($B1577,'Fuel Model -  Input'!$B$3:$B$1312,0),MATCH(L$2,'Fuel Model -  Input'!$B$3:$N$3,0))</f>
        <v>11.32075471698113</v>
      </c>
      <c r="M1577" s="524">
        <f>INDEX('Fuel Model -  Input'!$B$3:$N$1312,MATCH($B1577,'Fuel Model -  Input'!$B$3:$B$1312,0),MATCH(M$2,'Fuel Model -  Input'!$B$3:$N$3,0))</f>
        <v>11.32075471698113</v>
      </c>
    </row>
    <row r="1578" spans="2:13" hidden="1" outlineLevel="3" x14ac:dyDescent="0.2">
      <c r="B1578" t="str">
        <f>+C1578&amp;D1578&amp;E1578&amp;F1578</f>
        <v>GlobalCapexDAC plant unit capexUSD/ ton CO2</v>
      </c>
      <c r="C1578" t="s">
        <v>109</v>
      </c>
      <c r="D1578" t="s">
        <v>218</v>
      </c>
      <c r="E1578" t="s">
        <v>1129</v>
      </c>
      <c r="F1578" s="128" t="s">
        <v>1130</v>
      </c>
      <c r="G1578" s="524">
        <f>INDEX('Fuel Model -  Input'!$B$3:$N$1312,MATCH($B1578,'Fuel Model -  Input'!$B$3:$B$1312,0),MATCH(G$2,'Fuel Model -  Input'!$B$3:$N$3,0))</f>
        <v>1000</v>
      </c>
      <c r="H1578" s="524">
        <f>INDEX('Fuel Model -  Input'!$B$3:$N$1312,MATCH($B1578,'Fuel Model -  Input'!$B$3:$B$1312,0),MATCH(H$2,'Fuel Model -  Input'!$B$3:$N$3,0))</f>
        <v>858.73402569999985</v>
      </c>
      <c r="I1578" s="524">
        <f>INDEX('Fuel Model -  Input'!$B$3:$N$1312,MATCH($B1578,'Fuel Model -  Input'!$B$3:$B$1312,0),MATCH(I$2,'Fuel Model -  Input'!$B$3:$N$3,0))</f>
        <v>737.42412689492801</v>
      </c>
      <c r="J1578" s="524">
        <f>INDEX('Fuel Model -  Input'!$B$3:$N$1312,MATCH($B1578,'Fuel Model -  Input'!$B$3:$B$1312,0),MATCH(J$2,'Fuel Model -  Input'!$B$3:$N$3,0))</f>
        <v>633.25118913678909</v>
      </c>
      <c r="K1578" s="524">
        <f>INDEX('Fuel Model -  Input'!$B$3:$N$1312,MATCH($B1578,'Fuel Model -  Input'!$B$3:$B$1312,0),MATCH(K$2,'Fuel Model -  Input'!$B$3:$N$3,0))</f>
        <v>543.79434292674694</v>
      </c>
      <c r="L1578" s="524">
        <f>INDEX('Fuel Model -  Input'!$B$3:$N$1312,MATCH($B1578,'Fuel Model -  Input'!$B$3:$B$1312,0),MATCH(L$2,'Fuel Model -  Input'!$B$3:$N$3,0))</f>
        <v>466.97470525437166</v>
      </c>
      <c r="M1578" s="524">
        <f>INDEX('Fuel Model -  Input'!$B$3:$N$1312,MATCH($B1578,'Fuel Model -  Input'!$B$3:$B$1312,0),MATCH(M$2,'Fuel Model -  Input'!$B$3:$N$3,0))</f>
        <v>400</v>
      </c>
    </row>
    <row r="1579" spans="2:13" hidden="1" outlineLevel="3" x14ac:dyDescent="0.2">
      <c r="E1579" s="48"/>
      <c r="F1579" s="128"/>
      <c r="G1579" s="14"/>
      <c r="H1579" s="14"/>
      <c r="I1579" s="14"/>
      <c r="J1579" s="14"/>
      <c r="K1579" s="14"/>
      <c r="L1579" s="14"/>
      <c r="M1579" s="14"/>
    </row>
    <row r="1580" spans="2:13" hidden="1" outlineLevel="3" x14ac:dyDescent="0.2">
      <c r="B1580" s="78" t="str">
        <f>+C1580&amp;D1580&amp;E1580&amp;F1580</f>
        <v>EuropeOperationsAnnual captureUSD/ ton CO2 / year</v>
      </c>
      <c r="C1580" t="str">
        <f>+$B$1571</f>
        <v>Europe</v>
      </c>
      <c r="D1580" t="s">
        <v>1131</v>
      </c>
      <c r="E1580" t="s">
        <v>1132</v>
      </c>
      <c r="F1580" s="128" t="s">
        <v>1696</v>
      </c>
      <c r="G1580" s="22">
        <f t="shared" ref="G1580:M1580" si="856">G1578*G1581</f>
        <v>55.378317162414504</v>
      </c>
      <c r="H1580" s="22">
        <f t="shared" si="856"/>
        <v>42.936701284999998</v>
      </c>
      <c r="I1580" s="22">
        <f t="shared" si="856"/>
        <v>33.290291429956135</v>
      </c>
      <c r="J1580" s="22">
        <f t="shared" si="856"/>
        <v>25.81110030170337</v>
      </c>
      <c r="K1580" s="22">
        <f t="shared" si="856"/>
        <v>20.012227894920223</v>
      </c>
      <c r="L1580" s="22">
        <f t="shared" si="856"/>
        <v>15.516164000640968</v>
      </c>
      <c r="M1580" s="22">
        <f t="shared" si="856"/>
        <v>12</v>
      </c>
    </row>
    <row r="1581" spans="2:13" hidden="1" outlineLevel="3" x14ac:dyDescent="0.2">
      <c r="B1581" t="str">
        <f>+C1581&amp;D1581&amp;E1581&amp;F1581</f>
        <v>GlobalOpexOpex - DAC facilityPercent of Capex</v>
      </c>
      <c r="C1581" t="s">
        <v>109</v>
      </c>
      <c r="D1581" t="s">
        <v>219</v>
      </c>
      <c r="E1581" t="s">
        <v>1134</v>
      </c>
      <c r="F1581" s="128" t="s">
        <v>883</v>
      </c>
      <c r="G1581" s="544">
        <f>INDEX('Fuel Model -  Input'!$B$3:$N$1312,MATCH($B1581,'Fuel Model -  Input'!$B$3:$B$1312,0),MATCH(G$2,'Fuel Model -  Input'!$B$3:$N$3,0))</f>
        <v>5.5378317162414502E-2</v>
      </c>
      <c r="H1581" s="544">
        <f>INDEX('Fuel Model -  Input'!$B$3:$N$1312,MATCH($B1581,'Fuel Model -  Input'!$B$3:$B$1312,0),MATCH(H$2,'Fuel Model -  Input'!$B$3:$N$3,0))</f>
        <v>0.05</v>
      </c>
      <c r="I1581" s="544">
        <f>INDEX('Fuel Model -  Input'!$B$3:$N$1312,MATCH($B1581,'Fuel Model -  Input'!$B$3:$B$1312,0),MATCH(I$2,'Fuel Model -  Input'!$B$3:$N$3,0))</f>
        <v>4.5144022572371711E-2</v>
      </c>
      <c r="J1581" s="544">
        <f>INDEX('Fuel Model -  Input'!$B$3:$N$1312,MATCH($B1581,'Fuel Model -  Input'!$B$3:$B$1312,0),MATCH(J$2,'Fuel Model -  Input'!$B$3:$N$3,0))</f>
        <v>4.0759655480296135E-2</v>
      </c>
      <c r="K1581" s="544">
        <f>INDEX('Fuel Model -  Input'!$B$3:$N$1312,MATCH($B1581,'Fuel Model -  Input'!$B$3:$B$1312,0),MATCH(K$2,'Fuel Model -  Input'!$B$3:$N$3,0))</f>
        <v>3.6801096140891658E-2</v>
      </c>
      <c r="L1581" s="544">
        <f>INDEX('Fuel Model -  Input'!$B$3:$N$1312,MATCH($B1581,'Fuel Model -  Input'!$B$3:$B$1312,0),MATCH(L$2,'Fuel Model -  Input'!$B$3:$N$3,0))</f>
        <v>3.3226990297448689E-2</v>
      </c>
      <c r="M1581" s="544">
        <f>INDEX('Fuel Model -  Input'!$B$3:$N$1312,MATCH($B1581,'Fuel Model -  Input'!$B$3:$B$1312,0),MATCH(M$2,'Fuel Model -  Input'!$B$3:$N$3,0))</f>
        <v>0.03</v>
      </c>
    </row>
    <row r="1582" spans="2:13" hidden="1" outlineLevel="3" x14ac:dyDescent="0.2">
      <c r="E1582" s="48"/>
      <c r="F1582" s="128"/>
      <c r="G1582" s="14"/>
      <c r="H1582" s="14"/>
      <c r="I1582" s="14"/>
      <c r="J1582" s="14"/>
      <c r="K1582" s="14"/>
      <c r="L1582" s="14"/>
      <c r="M1582" s="14"/>
    </row>
    <row r="1583" spans="2:13" hidden="1" outlineLevel="3" x14ac:dyDescent="0.2">
      <c r="B1583" s="78" t="str">
        <f>+C1583&amp;D1583&amp;E1583&amp;F1583</f>
        <v>EuropeCO2 DACElectricity costUSD/ton CO2</v>
      </c>
      <c r="C1583" t="str">
        <f>+$B$1571</f>
        <v>Europe</v>
      </c>
      <c r="D1583" t="s">
        <v>1034</v>
      </c>
      <c r="E1583" s="48" t="s">
        <v>94</v>
      </c>
      <c r="F1583" s="128" t="s">
        <v>382</v>
      </c>
      <c r="G1583" s="260">
        <f t="shared" ref="G1583:M1583" si="857">G1584*G1585</f>
        <v>163.51160672068852</v>
      </c>
      <c r="H1583" s="260">
        <f t="shared" si="857"/>
        <v>123.69885760010244</v>
      </c>
      <c r="I1583" s="260">
        <f t="shared" si="857"/>
        <v>93.611840012166567</v>
      </c>
      <c r="J1583" s="260">
        <f t="shared" si="857"/>
        <v>78.959222622341741</v>
      </c>
      <c r="K1583" s="260">
        <f t="shared" si="857"/>
        <v>69.042206294013425</v>
      </c>
      <c r="L1583" s="260">
        <f t="shared" si="857"/>
        <v>59.769656558072782</v>
      </c>
      <c r="M1583" s="260">
        <f t="shared" si="857"/>
        <v>52.619720982478235</v>
      </c>
    </row>
    <row r="1584" spans="2:13" hidden="1" outlineLevel="3" x14ac:dyDescent="0.2">
      <c r="B1584" s="78" t="str">
        <f>+C1584&amp;D1584&amp;E1584&amp;F1584</f>
        <v>EuropeFeedstockElectricityUSD/MWh</v>
      </c>
      <c r="C1584" t="str">
        <f>+$B$1571</f>
        <v>Europe</v>
      </c>
      <c r="D1584" t="s">
        <v>777</v>
      </c>
      <c r="E1584" s="48" t="s">
        <v>54</v>
      </c>
      <c r="F1584" s="128" t="s">
        <v>196</v>
      </c>
      <c r="G1584" s="524">
        <f>INDEX('Fuel Model -  Input'!$B$3:$N$1312,MATCH($B1584,'Fuel Model -  Input'!$B$3:$B$1312,0),MATCH(G$2,'Fuel Model -  Input'!$B$3:$N$3,0))</f>
        <v>54.596518251479822</v>
      </c>
      <c r="H1584" s="524">
        <f>INDEX('Fuel Model -  Input'!$B$3:$N$1312,MATCH($B1584,'Fuel Model -  Input'!$B$3:$B$1312,0),MATCH(H$2,'Fuel Model -  Input'!$B$3:$N$3,0))</f>
        <v>44.178163428608016</v>
      </c>
      <c r="I1584" s="524">
        <f>INDEX('Fuel Model -  Input'!$B$3:$N$1312,MATCH($B1584,'Fuel Model -  Input'!$B$3:$B$1312,0),MATCH(I$2,'Fuel Model -  Input'!$B$3:$N$3,0))</f>
        <v>35.760069774188757</v>
      </c>
      <c r="J1584" s="524">
        <f>INDEX('Fuel Model -  Input'!$B$3:$N$1312,MATCH($B1584,'Fuel Model -  Input'!$B$3:$B$1312,0),MATCH(J$2,'Fuel Model -  Input'!$B$3:$N$3,0))</f>
        <v>32.262353602492915</v>
      </c>
      <c r="K1584" s="524">
        <f>INDEX('Fuel Model -  Input'!$B$3:$N$1312,MATCH($B1584,'Fuel Model -  Input'!$B$3:$B$1312,0),MATCH(K$2,'Fuel Model -  Input'!$B$3:$N$3,0))</f>
        <v>30.17403926811183</v>
      </c>
      <c r="L1584" s="524">
        <f>INDEX('Fuel Model -  Input'!$B$3:$N$1312,MATCH($B1584,'Fuel Model -  Input'!$B$3:$B$1312,0),MATCH(L$2,'Fuel Model -  Input'!$B$3:$N$3,0))</f>
        <v>27.939919953355002</v>
      </c>
      <c r="M1584" s="524">
        <f>INDEX('Fuel Model -  Input'!$B$3:$N$1312,MATCH($B1584,'Fuel Model -  Input'!$B$3:$B$1312,0),MATCH(M$2,'Fuel Model -  Input'!$B$3:$N$3,0))</f>
        <v>26.309860491239117</v>
      </c>
    </row>
    <row r="1585" spans="2:13" hidden="1" outlineLevel="3" x14ac:dyDescent="0.2">
      <c r="B1585" s="78" t="str">
        <f>+C1585&amp;D1585&amp;E1585&amp;F1585</f>
        <v>GlobalCO2 DACElectricity demandmWh/ton CO2</v>
      </c>
      <c r="C1585" t="s">
        <v>109</v>
      </c>
      <c r="D1585" t="s">
        <v>1034</v>
      </c>
      <c r="E1585" s="48" t="s">
        <v>963</v>
      </c>
      <c r="F1585" s="128" t="s">
        <v>1035</v>
      </c>
      <c r="G1585" s="524">
        <f>INDEX('Fuel Model -  Input'!$B$3:$N$1312,MATCH($B1585,'Fuel Model -  Input'!$B$3:$B$1312,0),MATCH(G$2,'Fuel Model -  Input'!$B$3:$N$3,0))</f>
        <v>2.9949090520301924</v>
      </c>
      <c r="H1585" s="524">
        <f>INDEX('Fuel Model -  Input'!$B$3:$N$1312,MATCH($B1585,'Fuel Model -  Input'!$B$3:$B$1312,0),MATCH(H$2,'Fuel Model -  Input'!$B$3:$N$3,0))</f>
        <v>2.8</v>
      </c>
      <c r="I1585" s="524">
        <f>INDEX('Fuel Model -  Input'!$B$3:$N$1312,MATCH($B1585,'Fuel Model -  Input'!$B$3:$B$1312,0),MATCH(I$2,'Fuel Model -  Input'!$B$3:$N$3,0))</f>
        <v>2.6177756532157161</v>
      </c>
      <c r="J1585" s="524">
        <f>INDEX('Fuel Model -  Input'!$B$3:$N$1312,MATCH($B1585,'Fuel Model -  Input'!$B$3:$B$1312,0),MATCH(J$2,'Fuel Model -  Input'!$B$3:$N$3,0))</f>
        <v>2.4474104894889179</v>
      </c>
      <c r="K1585" s="524">
        <f>INDEX('Fuel Model -  Input'!$B$3:$N$1312,MATCH($B1585,'Fuel Model -  Input'!$B$3:$B$1312,0),MATCH(K$2,'Fuel Model -  Input'!$B$3:$N$3,0))</f>
        <v>2.2881327117174459</v>
      </c>
      <c r="L1585" s="524">
        <f>INDEX('Fuel Model -  Input'!$B$3:$N$1312,MATCH($B1585,'Fuel Model -  Input'!$B$3:$B$1312,0),MATCH(L$2,'Fuel Model -  Input'!$B$3:$N$3,0))</f>
        <v>2.1392207514501376</v>
      </c>
      <c r="M1585" s="524">
        <f>INDEX('Fuel Model -  Input'!$B$3:$N$1312,MATCH($B1585,'Fuel Model -  Input'!$B$3:$B$1312,0),MATCH(M$2,'Fuel Model -  Input'!$B$3:$N$3,0))</f>
        <v>2</v>
      </c>
    </row>
    <row r="1586" spans="2:13" hidden="1" outlineLevel="2" x14ac:dyDescent="0.2">
      <c r="E1586" s="48"/>
      <c r="F1586" s="128"/>
      <c r="G1586" s="524"/>
      <c r="H1586" s="524"/>
      <c r="I1586" s="524"/>
      <c r="J1586" s="524"/>
      <c r="K1586" s="524"/>
      <c r="L1586" s="524"/>
      <c r="M1586" s="524"/>
    </row>
    <row r="1587" spans="2:13" ht="15" hidden="1" outlineLevel="2" collapsed="1" x14ac:dyDescent="0.25">
      <c r="B1587" s="30" t="s">
        <v>197</v>
      </c>
      <c r="C1587" s="30" t="str">
        <f>+B1587</f>
        <v>Middle East</v>
      </c>
      <c r="F1587"/>
    </row>
    <row r="1588" spans="2:13" ht="15" hidden="1" outlineLevel="3" x14ac:dyDescent="0.25">
      <c r="B1588" t="str">
        <f>+C1588&amp;D1588&amp;E1588&amp;F1588</f>
        <v>Middle EastResultsTotal cost of CO2 DACUSD/ton CO2</v>
      </c>
      <c r="C1588" t="str">
        <f>+$B$1587</f>
        <v>Middle East</v>
      </c>
      <c r="D1588" s="30" t="s">
        <v>838</v>
      </c>
      <c r="E1588" s="405" t="s">
        <v>1126</v>
      </c>
      <c r="F1588" s="127" t="s">
        <v>382</v>
      </c>
      <c r="G1588" s="335">
        <f t="shared" ref="G1588:M1588" si="858">SUM(G1589:G1590)</f>
        <v>269.26170603564276</v>
      </c>
      <c r="H1588" s="335">
        <f t="shared" si="858"/>
        <v>213.30018977940477</v>
      </c>
      <c r="I1588" s="335">
        <f t="shared" si="858"/>
        <v>172.63048066122585</v>
      </c>
      <c r="J1588" s="335">
        <f t="shared" si="858"/>
        <v>141.78769504551741</v>
      </c>
      <c r="K1588" s="335">
        <f t="shared" si="858"/>
        <v>119.80467139419926</v>
      </c>
      <c r="L1588" s="335">
        <f t="shared" si="858"/>
        <v>99.790829990527158</v>
      </c>
      <c r="M1588" s="335">
        <f t="shared" si="858"/>
        <v>85.211487326721183</v>
      </c>
    </row>
    <row r="1589" spans="2:13" ht="15" hidden="1" outlineLevel="3" x14ac:dyDescent="0.25">
      <c r="B1589" t="str">
        <f>+C1589&amp;D1589&amp;E1589&amp;F1589</f>
        <v>Middle EastResultsTotal CapexUSD/ton CO2</v>
      </c>
      <c r="C1589" t="str">
        <f>+$B$1587</f>
        <v>Middle East</v>
      </c>
      <c r="D1589" s="30" t="s">
        <v>838</v>
      </c>
      <c r="E1589" s="228" t="s">
        <v>1127</v>
      </c>
      <c r="F1589" s="127" t="s">
        <v>382</v>
      </c>
      <c r="G1589" s="335">
        <f t="shared" ref="G1589:M1589" si="859">G1592</f>
        <v>88.333333333333357</v>
      </c>
      <c r="H1589" s="335">
        <f t="shared" si="859"/>
        <v>75.854838936833332</v>
      </c>
      <c r="I1589" s="335">
        <f t="shared" si="859"/>
        <v>65.139131209051982</v>
      </c>
      <c r="J1589" s="335">
        <f t="shared" si="859"/>
        <v>55.937188373749713</v>
      </c>
      <c r="K1589" s="335">
        <f t="shared" si="859"/>
        <v>48.035166958529324</v>
      </c>
      <c r="L1589" s="335">
        <f t="shared" si="859"/>
        <v>41.249432297469504</v>
      </c>
      <c r="M1589" s="335">
        <f t="shared" si="859"/>
        <v>35.333333333333343</v>
      </c>
    </row>
    <row r="1590" spans="2:13" ht="15" hidden="1" outlineLevel="3" x14ac:dyDescent="0.25">
      <c r="B1590" t="str">
        <f>+C1590&amp;D1590&amp;E1590&amp;F1590</f>
        <v>Middle EastResultsTotal OpexUSD/ton CO2</v>
      </c>
      <c r="C1590" t="str">
        <f>+$B$1587</f>
        <v>Middle East</v>
      </c>
      <c r="D1590" s="30" t="s">
        <v>838</v>
      </c>
      <c r="E1590" s="228" t="s">
        <v>1128</v>
      </c>
      <c r="F1590" s="127" t="s">
        <v>382</v>
      </c>
      <c r="G1590" s="335">
        <f t="shared" ref="G1590:M1590" si="860">SUM(G1599,G1596)</f>
        <v>180.92837270230942</v>
      </c>
      <c r="H1590" s="335">
        <f t="shared" si="860"/>
        <v>137.44535084257143</v>
      </c>
      <c r="I1590" s="335">
        <f t="shared" si="860"/>
        <v>107.49134945217386</v>
      </c>
      <c r="J1590" s="335">
        <f t="shared" si="860"/>
        <v>85.85050667176769</v>
      </c>
      <c r="K1590" s="335">
        <f t="shared" si="860"/>
        <v>71.769504435669944</v>
      </c>
      <c r="L1590" s="335">
        <f t="shared" si="860"/>
        <v>58.541397693057661</v>
      </c>
      <c r="M1590" s="335">
        <f t="shared" si="860"/>
        <v>49.878153993387841</v>
      </c>
    </row>
    <row r="1591" spans="2:13" hidden="1" outlineLevel="3" x14ac:dyDescent="0.2">
      <c r="E1591" s="48"/>
      <c r="F1591" s="128"/>
      <c r="G1591" s="14"/>
      <c r="H1591" s="14"/>
      <c r="I1591" s="14"/>
      <c r="J1591" s="14"/>
      <c r="K1591" s="14"/>
      <c r="L1591" s="14"/>
      <c r="M1591" s="14"/>
    </row>
    <row r="1592" spans="2:13" hidden="1" outlineLevel="3" x14ac:dyDescent="0.2">
      <c r="B1592" t="str">
        <f>+C1592&amp;D1592&amp;E1592&amp;F1592</f>
        <v>Middle EastCapexCapex per yearUSD m/year</v>
      </c>
      <c r="C1592" t="str">
        <f>+$B$1587</f>
        <v>Middle East</v>
      </c>
      <c r="D1592" t="s">
        <v>218</v>
      </c>
      <c r="E1592" t="s">
        <v>956</v>
      </c>
      <c r="F1592" s="128" t="s">
        <v>957</v>
      </c>
      <c r="G1592" s="342">
        <f t="shared" ref="G1592:M1592" si="861">G1594/G1593</f>
        <v>88.333333333333357</v>
      </c>
      <c r="H1592" s="342">
        <f t="shared" si="861"/>
        <v>75.854838936833332</v>
      </c>
      <c r="I1592" s="342">
        <f t="shared" si="861"/>
        <v>65.139131209051982</v>
      </c>
      <c r="J1592" s="342">
        <f t="shared" si="861"/>
        <v>55.937188373749713</v>
      </c>
      <c r="K1592" s="342">
        <f t="shared" si="861"/>
        <v>48.035166958529324</v>
      </c>
      <c r="L1592" s="342">
        <f t="shared" si="861"/>
        <v>41.249432297469504</v>
      </c>
      <c r="M1592" s="342">
        <f t="shared" si="861"/>
        <v>35.333333333333343</v>
      </c>
    </row>
    <row r="1593" spans="2:13" hidden="1" outlineLevel="3" x14ac:dyDescent="0.2">
      <c r="B1593" t="str">
        <f>+C1593&amp;D1593&amp;E1593&amp;F1593</f>
        <v>GlobalPlant capexAnnualisation factor#</v>
      </c>
      <c r="C1593" t="s">
        <v>109</v>
      </c>
      <c r="D1593" t="s">
        <v>786</v>
      </c>
      <c r="E1593" t="s">
        <v>764</v>
      </c>
      <c r="F1593" s="450" t="s">
        <v>787</v>
      </c>
      <c r="G1593" s="524">
        <f>INDEX('Fuel Model -  Input'!$B$3:$N$1312,MATCH($B1593,'Fuel Model -  Input'!$B$3:$B$1312,0),MATCH(G$2,'Fuel Model -  Input'!$B$3:$N$3,0))</f>
        <v>11.32075471698113</v>
      </c>
      <c r="H1593" s="524">
        <f>INDEX('Fuel Model -  Input'!$B$3:$N$1312,MATCH($B1593,'Fuel Model -  Input'!$B$3:$B$1312,0),MATCH(H$2,'Fuel Model -  Input'!$B$3:$N$3,0))</f>
        <v>11.32075471698113</v>
      </c>
      <c r="I1593" s="524">
        <f>INDEX('Fuel Model -  Input'!$B$3:$N$1312,MATCH($B1593,'Fuel Model -  Input'!$B$3:$B$1312,0),MATCH(I$2,'Fuel Model -  Input'!$B$3:$N$3,0))</f>
        <v>11.32075471698113</v>
      </c>
      <c r="J1593" s="524">
        <f>INDEX('Fuel Model -  Input'!$B$3:$N$1312,MATCH($B1593,'Fuel Model -  Input'!$B$3:$B$1312,0),MATCH(J$2,'Fuel Model -  Input'!$B$3:$N$3,0))</f>
        <v>11.32075471698113</v>
      </c>
      <c r="K1593" s="524">
        <f>INDEX('Fuel Model -  Input'!$B$3:$N$1312,MATCH($B1593,'Fuel Model -  Input'!$B$3:$B$1312,0),MATCH(K$2,'Fuel Model -  Input'!$B$3:$N$3,0))</f>
        <v>11.32075471698113</v>
      </c>
      <c r="L1593" s="524">
        <f>INDEX('Fuel Model -  Input'!$B$3:$N$1312,MATCH($B1593,'Fuel Model -  Input'!$B$3:$B$1312,0),MATCH(L$2,'Fuel Model -  Input'!$B$3:$N$3,0))</f>
        <v>11.32075471698113</v>
      </c>
      <c r="M1593" s="524">
        <f>INDEX('Fuel Model -  Input'!$B$3:$N$1312,MATCH($B1593,'Fuel Model -  Input'!$B$3:$B$1312,0),MATCH(M$2,'Fuel Model -  Input'!$B$3:$N$3,0))</f>
        <v>11.32075471698113</v>
      </c>
    </row>
    <row r="1594" spans="2:13" hidden="1" outlineLevel="3" x14ac:dyDescent="0.2">
      <c r="B1594" t="str">
        <f>+C1594&amp;D1594&amp;E1594&amp;F1594</f>
        <v>GlobalCapexDAC plant unit capexUSD/ ton CO2</v>
      </c>
      <c r="C1594" t="s">
        <v>109</v>
      </c>
      <c r="D1594" t="s">
        <v>218</v>
      </c>
      <c r="E1594" t="s">
        <v>1129</v>
      </c>
      <c r="F1594" s="128" t="s">
        <v>1130</v>
      </c>
      <c r="G1594" s="524">
        <f>INDEX('Fuel Model -  Input'!$B$3:$N$1312,MATCH($B1594,'Fuel Model -  Input'!$B$3:$B$1312,0),MATCH(G$2,'Fuel Model -  Input'!$B$3:$N$3,0))</f>
        <v>1000</v>
      </c>
      <c r="H1594" s="524">
        <f>INDEX('Fuel Model -  Input'!$B$3:$N$1312,MATCH($B1594,'Fuel Model -  Input'!$B$3:$B$1312,0),MATCH(H$2,'Fuel Model -  Input'!$B$3:$N$3,0))</f>
        <v>858.73402569999985</v>
      </c>
      <c r="I1594" s="524">
        <f>INDEX('Fuel Model -  Input'!$B$3:$N$1312,MATCH($B1594,'Fuel Model -  Input'!$B$3:$B$1312,0),MATCH(I$2,'Fuel Model -  Input'!$B$3:$N$3,0))</f>
        <v>737.42412689492801</v>
      </c>
      <c r="J1594" s="524">
        <f>INDEX('Fuel Model -  Input'!$B$3:$N$1312,MATCH($B1594,'Fuel Model -  Input'!$B$3:$B$1312,0),MATCH(J$2,'Fuel Model -  Input'!$B$3:$N$3,0))</f>
        <v>633.25118913678909</v>
      </c>
      <c r="K1594" s="524">
        <f>INDEX('Fuel Model -  Input'!$B$3:$N$1312,MATCH($B1594,'Fuel Model -  Input'!$B$3:$B$1312,0),MATCH(K$2,'Fuel Model -  Input'!$B$3:$N$3,0))</f>
        <v>543.79434292674694</v>
      </c>
      <c r="L1594" s="524">
        <f>INDEX('Fuel Model -  Input'!$B$3:$N$1312,MATCH($B1594,'Fuel Model -  Input'!$B$3:$B$1312,0),MATCH(L$2,'Fuel Model -  Input'!$B$3:$N$3,0))</f>
        <v>466.97470525437166</v>
      </c>
      <c r="M1594" s="524">
        <f>INDEX('Fuel Model -  Input'!$B$3:$N$1312,MATCH($B1594,'Fuel Model -  Input'!$B$3:$B$1312,0),MATCH(M$2,'Fuel Model -  Input'!$B$3:$N$3,0))</f>
        <v>400</v>
      </c>
    </row>
    <row r="1595" spans="2:13" hidden="1" outlineLevel="3" x14ac:dyDescent="0.2">
      <c r="E1595" s="48"/>
      <c r="F1595" s="128"/>
      <c r="G1595" s="14"/>
      <c r="H1595" s="14"/>
      <c r="I1595" s="14"/>
      <c r="J1595" s="14"/>
      <c r="K1595" s="14"/>
      <c r="L1595" s="14"/>
      <c r="M1595" s="14"/>
    </row>
    <row r="1596" spans="2:13" hidden="1" outlineLevel="3" x14ac:dyDescent="0.2">
      <c r="B1596" s="78" t="str">
        <f>+C1596&amp;D1596&amp;E1596&amp;F1596</f>
        <v>Middle EastOperationsAnnual capturetons CO2 / year</v>
      </c>
      <c r="C1596" t="str">
        <f>+$B$1587</f>
        <v>Middle East</v>
      </c>
      <c r="D1596" t="s">
        <v>1131</v>
      </c>
      <c r="E1596" t="s">
        <v>1132</v>
      </c>
      <c r="F1596" s="128" t="s">
        <v>1133</v>
      </c>
      <c r="G1596" s="22">
        <f t="shared" ref="G1596:M1596" si="862">G1594*G1597</f>
        <v>55.378317162414504</v>
      </c>
      <c r="H1596" s="22">
        <f t="shared" si="862"/>
        <v>42.936701284999998</v>
      </c>
      <c r="I1596" s="22">
        <f t="shared" si="862"/>
        <v>33.290291429956135</v>
      </c>
      <c r="J1596" s="22">
        <f t="shared" si="862"/>
        <v>25.81110030170337</v>
      </c>
      <c r="K1596" s="22">
        <f t="shared" si="862"/>
        <v>20.012227894920223</v>
      </c>
      <c r="L1596" s="22">
        <f t="shared" si="862"/>
        <v>15.516164000640968</v>
      </c>
      <c r="M1596" s="22">
        <f t="shared" si="862"/>
        <v>12</v>
      </c>
    </row>
    <row r="1597" spans="2:13" hidden="1" outlineLevel="3" x14ac:dyDescent="0.2">
      <c r="B1597" t="str">
        <f>+C1597&amp;D1597&amp;E1597&amp;F1597</f>
        <v>GlobalOpexOpex - DAC facilityPercent of Capex</v>
      </c>
      <c r="C1597" t="s">
        <v>109</v>
      </c>
      <c r="D1597" t="s">
        <v>219</v>
      </c>
      <c r="E1597" t="s">
        <v>1134</v>
      </c>
      <c r="F1597" s="128" t="s">
        <v>883</v>
      </c>
      <c r="G1597" s="544">
        <f>INDEX('Fuel Model -  Input'!$B$3:$N$1312,MATCH($B1597,'Fuel Model -  Input'!$B$3:$B$1312,0),MATCH(G$2,'Fuel Model -  Input'!$B$3:$N$3,0))</f>
        <v>5.5378317162414502E-2</v>
      </c>
      <c r="H1597" s="544">
        <f>INDEX('Fuel Model -  Input'!$B$3:$N$1312,MATCH($B1597,'Fuel Model -  Input'!$B$3:$B$1312,0),MATCH(H$2,'Fuel Model -  Input'!$B$3:$N$3,0))</f>
        <v>0.05</v>
      </c>
      <c r="I1597" s="544">
        <f>INDEX('Fuel Model -  Input'!$B$3:$N$1312,MATCH($B1597,'Fuel Model -  Input'!$B$3:$B$1312,0),MATCH(I$2,'Fuel Model -  Input'!$B$3:$N$3,0))</f>
        <v>4.5144022572371711E-2</v>
      </c>
      <c r="J1597" s="544">
        <f>INDEX('Fuel Model -  Input'!$B$3:$N$1312,MATCH($B1597,'Fuel Model -  Input'!$B$3:$B$1312,0),MATCH(J$2,'Fuel Model -  Input'!$B$3:$N$3,0))</f>
        <v>4.0759655480296135E-2</v>
      </c>
      <c r="K1597" s="544">
        <f>INDEX('Fuel Model -  Input'!$B$3:$N$1312,MATCH($B1597,'Fuel Model -  Input'!$B$3:$B$1312,0),MATCH(K$2,'Fuel Model -  Input'!$B$3:$N$3,0))</f>
        <v>3.6801096140891658E-2</v>
      </c>
      <c r="L1597" s="544">
        <f>INDEX('Fuel Model -  Input'!$B$3:$N$1312,MATCH($B1597,'Fuel Model -  Input'!$B$3:$B$1312,0),MATCH(L$2,'Fuel Model -  Input'!$B$3:$N$3,0))</f>
        <v>3.3226990297448689E-2</v>
      </c>
      <c r="M1597" s="544">
        <f>INDEX('Fuel Model -  Input'!$B$3:$N$1312,MATCH($B1597,'Fuel Model -  Input'!$B$3:$B$1312,0),MATCH(M$2,'Fuel Model -  Input'!$B$3:$N$3,0))</f>
        <v>0.03</v>
      </c>
    </row>
    <row r="1598" spans="2:13" hidden="1" outlineLevel="3" x14ac:dyDescent="0.2">
      <c r="E1598" s="48"/>
      <c r="F1598" s="128"/>
      <c r="G1598" s="14"/>
      <c r="H1598" s="14"/>
      <c r="I1598" s="14"/>
      <c r="J1598" s="14"/>
      <c r="K1598" s="14"/>
      <c r="L1598" s="14"/>
      <c r="M1598" s="14"/>
    </row>
    <row r="1599" spans="2:13" hidden="1" outlineLevel="3" x14ac:dyDescent="0.2">
      <c r="B1599" s="78" t="str">
        <f>+C1599&amp;D1599&amp;E1599&amp;F1599</f>
        <v>Middle EastCO2 DACElectricity costUSD/ton CO2</v>
      </c>
      <c r="C1599" t="str">
        <f>+$B$1587</f>
        <v>Middle East</v>
      </c>
      <c r="D1599" t="s">
        <v>1034</v>
      </c>
      <c r="E1599" s="48" t="s">
        <v>94</v>
      </c>
      <c r="F1599" s="128" t="s">
        <v>382</v>
      </c>
      <c r="G1599" s="260">
        <f t="shared" ref="G1599:M1599" si="863">G1600*G1601</f>
        <v>125.55005553989491</v>
      </c>
      <c r="H1599" s="260">
        <f t="shared" si="863"/>
        <v>94.508649557571417</v>
      </c>
      <c r="I1599" s="260">
        <f t="shared" si="863"/>
        <v>74.201058022217737</v>
      </c>
      <c r="J1599" s="260">
        <f t="shared" si="863"/>
        <v>60.03940637006432</v>
      </c>
      <c r="K1599" s="260">
        <f t="shared" si="863"/>
        <v>51.757276540749729</v>
      </c>
      <c r="L1599" s="260">
        <f t="shared" si="863"/>
        <v>43.025233692416691</v>
      </c>
      <c r="M1599" s="260">
        <f t="shared" si="863"/>
        <v>37.878153993387841</v>
      </c>
    </row>
    <row r="1600" spans="2:13" hidden="1" outlineLevel="3" x14ac:dyDescent="0.2">
      <c r="B1600" s="78" t="str">
        <f>+C1600&amp;D1600&amp;E1600&amp;F1600</f>
        <v>Middle EastFeedstockElectricityUSD/MWh</v>
      </c>
      <c r="C1600" t="str">
        <f>+$B$1587</f>
        <v>Middle East</v>
      </c>
      <c r="D1600" t="s">
        <v>777</v>
      </c>
      <c r="E1600" s="48" t="s">
        <v>54</v>
      </c>
      <c r="F1600" s="128" t="s">
        <v>196</v>
      </c>
      <c r="G1600" s="524">
        <f>INDEX('Fuel Model -  Input'!$B$3:$N$1312,MATCH($B1600,'Fuel Model -  Input'!$B$3:$B$1312,0),MATCH(G$2,'Fuel Model -  Input'!$B$3:$N$3,0))</f>
        <v>41.921157991354328</v>
      </c>
      <c r="H1600" s="524">
        <f>INDEX('Fuel Model -  Input'!$B$3:$N$1312,MATCH($B1600,'Fuel Model -  Input'!$B$3:$B$1312,0),MATCH(H$2,'Fuel Model -  Input'!$B$3:$N$3,0))</f>
        <v>33.753089127704079</v>
      </c>
      <c r="I1600" s="524">
        <f>INDEX('Fuel Model -  Input'!$B$3:$N$1312,MATCH($B1600,'Fuel Model -  Input'!$B$3:$B$1312,0),MATCH(I$2,'Fuel Model -  Input'!$B$3:$N$3,0))</f>
        <v>28.34507912512213</v>
      </c>
      <c r="J1600" s="524">
        <f>INDEX('Fuel Model -  Input'!$B$3:$N$1312,MATCH($B1600,'Fuel Model -  Input'!$B$3:$B$1312,0),MATCH(J$2,'Fuel Model -  Input'!$B$3:$N$3,0))</f>
        <v>24.531808876328746</v>
      </c>
      <c r="K1600" s="524">
        <f>INDEX('Fuel Model -  Input'!$B$3:$N$1312,MATCH($B1600,'Fuel Model -  Input'!$B$3:$B$1312,0),MATCH(K$2,'Fuel Model -  Input'!$B$3:$N$3,0))</f>
        <v>22.619875270215999</v>
      </c>
      <c r="L1600" s="524">
        <f>INDEX('Fuel Model -  Input'!$B$3:$N$1312,MATCH($B1600,'Fuel Model -  Input'!$B$3:$B$1312,0),MATCH(L$2,'Fuel Model -  Input'!$B$3:$N$3,0))</f>
        <v>20.112573077486601</v>
      </c>
      <c r="M1600" s="524">
        <f>INDEX('Fuel Model -  Input'!$B$3:$N$1312,MATCH($B1600,'Fuel Model -  Input'!$B$3:$B$1312,0),MATCH(M$2,'Fuel Model -  Input'!$B$3:$N$3,0))</f>
        <v>18.93907699669392</v>
      </c>
    </row>
    <row r="1601" spans="2:13" hidden="1" outlineLevel="3" x14ac:dyDescent="0.2">
      <c r="B1601" s="78" t="str">
        <f>+C1601&amp;D1601&amp;E1601&amp;F1601</f>
        <v>GlobalCO2 DACElectricity demandmWh/ton CO2</v>
      </c>
      <c r="C1601" t="s">
        <v>109</v>
      </c>
      <c r="D1601" t="s">
        <v>1034</v>
      </c>
      <c r="E1601" s="48" t="s">
        <v>963</v>
      </c>
      <c r="F1601" s="128" t="s">
        <v>1035</v>
      </c>
      <c r="G1601" s="524">
        <f>INDEX('Fuel Model -  Input'!$B$3:$N$1312,MATCH($B1601,'Fuel Model -  Input'!$B$3:$B$1312,0),MATCH(G$2,'Fuel Model -  Input'!$B$3:$N$3,0))</f>
        <v>2.9949090520301924</v>
      </c>
      <c r="H1601" s="524">
        <f>INDEX('Fuel Model -  Input'!$B$3:$N$1312,MATCH($B1601,'Fuel Model -  Input'!$B$3:$B$1312,0),MATCH(H$2,'Fuel Model -  Input'!$B$3:$N$3,0))</f>
        <v>2.8</v>
      </c>
      <c r="I1601" s="524">
        <f>INDEX('Fuel Model -  Input'!$B$3:$N$1312,MATCH($B1601,'Fuel Model -  Input'!$B$3:$B$1312,0),MATCH(I$2,'Fuel Model -  Input'!$B$3:$N$3,0))</f>
        <v>2.6177756532157161</v>
      </c>
      <c r="J1601" s="524">
        <f>INDEX('Fuel Model -  Input'!$B$3:$N$1312,MATCH($B1601,'Fuel Model -  Input'!$B$3:$B$1312,0),MATCH(J$2,'Fuel Model -  Input'!$B$3:$N$3,0))</f>
        <v>2.4474104894889179</v>
      </c>
      <c r="K1601" s="524">
        <f>INDEX('Fuel Model -  Input'!$B$3:$N$1312,MATCH($B1601,'Fuel Model -  Input'!$B$3:$B$1312,0),MATCH(K$2,'Fuel Model -  Input'!$B$3:$N$3,0))</f>
        <v>2.2881327117174459</v>
      </c>
      <c r="L1601" s="524">
        <f>INDEX('Fuel Model -  Input'!$B$3:$N$1312,MATCH($B1601,'Fuel Model -  Input'!$B$3:$B$1312,0),MATCH(L$2,'Fuel Model -  Input'!$B$3:$N$3,0))</f>
        <v>2.1392207514501376</v>
      </c>
      <c r="M1601" s="524">
        <f>INDEX('Fuel Model -  Input'!$B$3:$N$1312,MATCH($B1601,'Fuel Model -  Input'!$B$3:$B$1312,0),MATCH(M$2,'Fuel Model -  Input'!$B$3:$N$3,0))</f>
        <v>2</v>
      </c>
    </row>
    <row r="1602" spans="2:13" ht="12.75" hidden="1" outlineLevel="2" x14ac:dyDescent="0.2">
      <c r="F1602"/>
    </row>
    <row r="1603" spans="2:13" ht="15" hidden="1" outlineLevel="2" collapsed="1" x14ac:dyDescent="0.25">
      <c r="B1603" s="30" t="s">
        <v>198</v>
      </c>
      <c r="C1603" s="30" t="str">
        <f>+B1603</f>
        <v>Asia</v>
      </c>
      <c r="F1603"/>
    </row>
    <row r="1604" spans="2:13" ht="15" hidden="1" outlineLevel="3" x14ac:dyDescent="0.25">
      <c r="B1604" t="str">
        <f>+C1604&amp;D1604&amp;E1604&amp;F1604</f>
        <v>AsiaResultsTotal cost of CO2 DACUSD/ton CO2</v>
      </c>
      <c r="C1604" t="str">
        <f>+$B$1603</f>
        <v>Asia</v>
      </c>
      <c r="D1604" s="30" t="s">
        <v>838</v>
      </c>
      <c r="E1604" s="405" t="s">
        <v>1126</v>
      </c>
      <c r="F1604" s="127" t="s">
        <v>382</v>
      </c>
      <c r="G1604" s="335">
        <f t="shared" ref="G1604:M1604" si="864">SUM(G1605:G1606)</f>
        <v>389.47893716742817</v>
      </c>
      <c r="H1604" s="335">
        <f t="shared" si="864"/>
        <v>268.67053769665483</v>
      </c>
      <c r="I1604" s="335">
        <f t="shared" si="864"/>
        <v>211.76207622108038</v>
      </c>
      <c r="J1604" s="335">
        <f t="shared" si="864"/>
        <v>170.68000464452834</v>
      </c>
      <c r="K1604" s="335">
        <f t="shared" si="864"/>
        <v>143.09871830457155</v>
      </c>
      <c r="L1604" s="335">
        <f t="shared" si="864"/>
        <v>119.01299285302713</v>
      </c>
      <c r="M1604" s="335">
        <f t="shared" si="864"/>
        <v>102.1342072113154</v>
      </c>
    </row>
    <row r="1605" spans="2:13" ht="15" hidden="1" outlineLevel="3" x14ac:dyDescent="0.25">
      <c r="B1605" t="str">
        <f>+C1605&amp;D1605&amp;E1605&amp;F1605</f>
        <v>AsiaResultsTotal CapexUSD/ton CO2</v>
      </c>
      <c r="C1605" t="str">
        <f>+$B$1603</f>
        <v>Asia</v>
      </c>
      <c r="D1605" s="30" t="s">
        <v>838</v>
      </c>
      <c r="E1605" s="228" t="s">
        <v>1127</v>
      </c>
      <c r="F1605" s="127" t="s">
        <v>382</v>
      </c>
      <c r="G1605" s="335">
        <f t="shared" ref="G1605:M1605" si="865">G1608</f>
        <v>88.333333333333357</v>
      </c>
      <c r="H1605" s="335">
        <f t="shared" si="865"/>
        <v>75.854838936833332</v>
      </c>
      <c r="I1605" s="335">
        <f t="shared" si="865"/>
        <v>65.139131209051982</v>
      </c>
      <c r="J1605" s="335">
        <f t="shared" si="865"/>
        <v>55.937188373749713</v>
      </c>
      <c r="K1605" s="335">
        <f t="shared" si="865"/>
        <v>48.035166958529324</v>
      </c>
      <c r="L1605" s="335">
        <f t="shared" si="865"/>
        <v>41.249432297469504</v>
      </c>
      <c r="M1605" s="335">
        <f t="shared" si="865"/>
        <v>35.333333333333343</v>
      </c>
    </row>
    <row r="1606" spans="2:13" ht="15" hidden="1" outlineLevel="3" x14ac:dyDescent="0.25">
      <c r="B1606" t="str">
        <f>+C1606&amp;D1606&amp;E1606&amp;F1606</f>
        <v>AsiaResultsTotal OpexUSD/ton CO2</v>
      </c>
      <c r="C1606" t="str">
        <f>+$B$1603</f>
        <v>Asia</v>
      </c>
      <c r="D1606" s="30" t="s">
        <v>838</v>
      </c>
      <c r="E1606" s="228" t="s">
        <v>1128</v>
      </c>
      <c r="F1606" s="127" t="s">
        <v>382</v>
      </c>
      <c r="G1606" s="335">
        <f t="shared" ref="G1606:M1606" si="866">SUM(G1615,G1612)</f>
        <v>301.1456038340948</v>
      </c>
      <c r="H1606" s="335">
        <f t="shared" si="866"/>
        <v>192.81569875982152</v>
      </c>
      <c r="I1606" s="335">
        <f t="shared" si="866"/>
        <v>146.6229450120284</v>
      </c>
      <c r="J1606" s="335">
        <f t="shared" si="866"/>
        <v>114.74281627077863</v>
      </c>
      <c r="K1606" s="335">
        <f t="shared" si="866"/>
        <v>95.063551346042232</v>
      </c>
      <c r="L1606" s="335">
        <f t="shared" si="866"/>
        <v>77.763560555557632</v>
      </c>
      <c r="M1606" s="335">
        <f t="shared" si="866"/>
        <v>66.800873877982056</v>
      </c>
    </row>
    <row r="1607" spans="2:13" hidden="1" outlineLevel="3" x14ac:dyDescent="0.2">
      <c r="E1607" s="48"/>
      <c r="F1607" s="128"/>
      <c r="G1607" s="14"/>
      <c r="H1607" s="14"/>
      <c r="I1607" s="14"/>
      <c r="J1607" s="14"/>
      <c r="K1607" s="14"/>
      <c r="L1607" s="14"/>
      <c r="M1607" s="14"/>
    </row>
    <row r="1608" spans="2:13" hidden="1" outlineLevel="3" x14ac:dyDescent="0.2">
      <c r="B1608" t="str">
        <f>+C1608&amp;D1608&amp;E1608&amp;F1608</f>
        <v>AsiaCapexCapex per yearUSD m/year</v>
      </c>
      <c r="C1608" t="str">
        <f>+$B$1603</f>
        <v>Asia</v>
      </c>
      <c r="D1608" t="s">
        <v>218</v>
      </c>
      <c r="E1608" t="s">
        <v>956</v>
      </c>
      <c r="F1608" s="128" t="s">
        <v>957</v>
      </c>
      <c r="G1608" s="342">
        <f t="shared" ref="G1608:M1608" si="867">G1610/G1609</f>
        <v>88.333333333333357</v>
      </c>
      <c r="H1608" s="342">
        <f t="shared" si="867"/>
        <v>75.854838936833332</v>
      </c>
      <c r="I1608" s="342">
        <f t="shared" si="867"/>
        <v>65.139131209051982</v>
      </c>
      <c r="J1608" s="342">
        <f t="shared" si="867"/>
        <v>55.937188373749713</v>
      </c>
      <c r="K1608" s="342">
        <f t="shared" si="867"/>
        <v>48.035166958529324</v>
      </c>
      <c r="L1608" s="342">
        <f t="shared" si="867"/>
        <v>41.249432297469504</v>
      </c>
      <c r="M1608" s="342">
        <f t="shared" si="867"/>
        <v>35.333333333333343</v>
      </c>
    </row>
    <row r="1609" spans="2:13" hidden="1" outlineLevel="3" x14ac:dyDescent="0.2">
      <c r="B1609" t="str">
        <f>+C1609&amp;D1609&amp;E1609&amp;F1609</f>
        <v>GlobalPlant capexAnnualisation factor#</v>
      </c>
      <c r="C1609" t="s">
        <v>109</v>
      </c>
      <c r="D1609" t="s">
        <v>786</v>
      </c>
      <c r="E1609" t="s">
        <v>764</v>
      </c>
      <c r="F1609" s="450" t="s">
        <v>787</v>
      </c>
      <c r="G1609" s="524">
        <f>INDEX('Fuel Model -  Input'!$B$3:$N$1312,MATCH($B1609,'Fuel Model -  Input'!$B$3:$B$1312,0),MATCH(G$2,'Fuel Model -  Input'!$B$3:$N$3,0))</f>
        <v>11.32075471698113</v>
      </c>
      <c r="H1609" s="524">
        <f>INDEX('Fuel Model -  Input'!$B$3:$N$1312,MATCH($B1609,'Fuel Model -  Input'!$B$3:$B$1312,0),MATCH(H$2,'Fuel Model -  Input'!$B$3:$N$3,0))</f>
        <v>11.32075471698113</v>
      </c>
      <c r="I1609" s="524">
        <f>INDEX('Fuel Model -  Input'!$B$3:$N$1312,MATCH($B1609,'Fuel Model -  Input'!$B$3:$B$1312,0),MATCH(I$2,'Fuel Model -  Input'!$B$3:$N$3,0))</f>
        <v>11.32075471698113</v>
      </c>
      <c r="J1609" s="524">
        <f>INDEX('Fuel Model -  Input'!$B$3:$N$1312,MATCH($B1609,'Fuel Model -  Input'!$B$3:$B$1312,0),MATCH(J$2,'Fuel Model -  Input'!$B$3:$N$3,0))</f>
        <v>11.32075471698113</v>
      </c>
      <c r="K1609" s="524">
        <f>INDEX('Fuel Model -  Input'!$B$3:$N$1312,MATCH($B1609,'Fuel Model -  Input'!$B$3:$B$1312,0),MATCH(K$2,'Fuel Model -  Input'!$B$3:$N$3,0))</f>
        <v>11.32075471698113</v>
      </c>
      <c r="L1609" s="524">
        <f>INDEX('Fuel Model -  Input'!$B$3:$N$1312,MATCH($B1609,'Fuel Model -  Input'!$B$3:$B$1312,0),MATCH(L$2,'Fuel Model -  Input'!$B$3:$N$3,0))</f>
        <v>11.32075471698113</v>
      </c>
      <c r="M1609" s="524">
        <f>INDEX('Fuel Model -  Input'!$B$3:$N$1312,MATCH($B1609,'Fuel Model -  Input'!$B$3:$B$1312,0),MATCH(M$2,'Fuel Model -  Input'!$B$3:$N$3,0))</f>
        <v>11.32075471698113</v>
      </c>
    </row>
    <row r="1610" spans="2:13" hidden="1" outlineLevel="3" x14ac:dyDescent="0.2">
      <c r="B1610" t="str">
        <f>+C1610&amp;D1610&amp;E1610&amp;F1610</f>
        <v>GlobalCapexDAC plant unit capexUSD/ ton CO2</v>
      </c>
      <c r="C1610" t="s">
        <v>109</v>
      </c>
      <c r="D1610" t="s">
        <v>218</v>
      </c>
      <c r="E1610" t="s">
        <v>1129</v>
      </c>
      <c r="F1610" s="128" t="s">
        <v>1130</v>
      </c>
      <c r="G1610" s="524">
        <f>INDEX('Fuel Model -  Input'!$B$3:$N$1312,MATCH($B1610,'Fuel Model -  Input'!$B$3:$B$1312,0),MATCH(G$2,'Fuel Model -  Input'!$B$3:$N$3,0))</f>
        <v>1000</v>
      </c>
      <c r="H1610" s="524">
        <f>INDEX('Fuel Model -  Input'!$B$3:$N$1312,MATCH($B1610,'Fuel Model -  Input'!$B$3:$B$1312,0),MATCH(H$2,'Fuel Model -  Input'!$B$3:$N$3,0))</f>
        <v>858.73402569999985</v>
      </c>
      <c r="I1610" s="524">
        <f>INDEX('Fuel Model -  Input'!$B$3:$N$1312,MATCH($B1610,'Fuel Model -  Input'!$B$3:$B$1312,0),MATCH(I$2,'Fuel Model -  Input'!$B$3:$N$3,0))</f>
        <v>737.42412689492801</v>
      </c>
      <c r="J1610" s="524">
        <f>INDEX('Fuel Model -  Input'!$B$3:$N$1312,MATCH($B1610,'Fuel Model -  Input'!$B$3:$B$1312,0),MATCH(J$2,'Fuel Model -  Input'!$B$3:$N$3,0))</f>
        <v>633.25118913678909</v>
      </c>
      <c r="K1610" s="524">
        <f>INDEX('Fuel Model -  Input'!$B$3:$N$1312,MATCH($B1610,'Fuel Model -  Input'!$B$3:$B$1312,0),MATCH(K$2,'Fuel Model -  Input'!$B$3:$N$3,0))</f>
        <v>543.79434292674694</v>
      </c>
      <c r="L1610" s="524">
        <f>INDEX('Fuel Model -  Input'!$B$3:$N$1312,MATCH($B1610,'Fuel Model -  Input'!$B$3:$B$1312,0),MATCH(L$2,'Fuel Model -  Input'!$B$3:$N$3,0))</f>
        <v>466.97470525437166</v>
      </c>
      <c r="M1610" s="524">
        <f>INDEX('Fuel Model -  Input'!$B$3:$N$1312,MATCH($B1610,'Fuel Model -  Input'!$B$3:$B$1312,0),MATCH(M$2,'Fuel Model -  Input'!$B$3:$N$3,0))</f>
        <v>400</v>
      </c>
    </row>
    <row r="1611" spans="2:13" hidden="1" outlineLevel="3" x14ac:dyDescent="0.2">
      <c r="E1611" s="48"/>
      <c r="F1611" s="128"/>
      <c r="G1611" s="14"/>
      <c r="H1611" s="14"/>
      <c r="I1611" s="14"/>
      <c r="J1611" s="14"/>
      <c r="K1611" s="14"/>
      <c r="L1611" s="14"/>
      <c r="M1611" s="14"/>
    </row>
    <row r="1612" spans="2:13" hidden="1" outlineLevel="3" x14ac:dyDescent="0.2">
      <c r="B1612" s="78" t="str">
        <f>+C1612&amp;D1612&amp;E1612&amp;F1612</f>
        <v>AsiaOperationsAnnual capturetons CO2 / year</v>
      </c>
      <c r="C1612" t="str">
        <f>+$B$1603</f>
        <v>Asia</v>
      </c>
      <c r="D1612" t="s">
        <v>1131</v>
      </c>
      <c r="E1612" t="s">
        <v>1132</v>
      </c>
      <c r="F1612" s="128" t="s">
        <v>1133</v>
      </c>
      <c r="G1612" s="22">
        <f t="shared" ref="G1612:M1612" si="868">G1610*G1613</f>
        <v>55.378317162414504</v>
      </c>
      <c r="H1612" s="22">
        <f t="shared" si="868"/>
        <v>42.936701284999998</v>
      </c>
      <c r="I1612" s="22">
        <f t="shared" si="868"/>
        <v>33.290291429956135</v>
      </c>
      <c r="J1612" s="22">
        <f t="shared" si="868"/>
        <v>25.81110030170337</v>
      </c>
      <c r="K1612" s="22">
        <f t="shared" si="868"/>
        <v>20.012227894920223</v>
      </c>
      <c r="L1612" s="22">
        <f t="shared" si="868"/>
        <v>15.516164000640968</v>
      </c>
      <c r="M1612" s="22">
        <f t="shared" si="868"/>
        <v>12</v>
      </c>
    </row>
    <row r="1613" spans="2:13" hidden="1" outlineLevel="3" x14ac:dyDescent="0.2">
      <c r="B1613" t="str">
        <f>+C1613&amp;D1613&amp;E1613&amp;F1613</f>
        <v>GlobalOpexOpex - DAC facilityPercent of Capex</v>
      </c>
      <c r="C1613" t="s">
        <v>109</v>
      </c>
      <c r="D1613" t="s">
        <v>219</v>
      </c>
      <c r="E1613" t="s">
        <v>1134</v>
      </c>
      <c r="F1613" s="128" t="s">
        <v>883</v>
      </c>
      <c r="G1613" s="544">
        <f>INDEX('Fuel Model -  Input'!$B$3:$N$1312,MATCH($B1613,'Fuel Model -  Input'!$B$3:$B$1312,0),MATCH(G$2,'Fuel Model -  Input'!$B$3:$N$3,0))</f>
        <v>5.5378317162414502E-2</v>
      </c>
      <c r="H1613" s="544">
        <f>INDEX('Fuel Model -  Input'!$B$3:$N$1312,MATCH($B1613,'Fuel Model -  Input'!$B$3:$B$1312,0),MATCH(H$2,'Fuel Model -  Input'!$B$3:$N$3,0))</f>
        <v>0.05</v>
      </c>
      <c r="I1613" s="544">
        <f>INDEX('Fuel Model -  Input'!$B$3:$N$1312,MATCH($B1613,'Fuel Model -  Input'!$B$3:$B$1312,0),MATCH(I$2,'Fuel Model -  Input'!$B$3:$N$3,0))</f>
        <v>4.5144022572371711E-2</v>
      </c>
      <c r="J1613" s="544">
        <f>INDEX('Fuel Model -  Input'!$B$3:$N$1312,MATCH($B1613,'Fuel Model -  Input'!$B$3:$B$1312,0),MATCH(J$2,'Fuel Model -  Input'!$B$3:$N$3,0))</f>
        <v>4.0759655480296135E-2</v>
      </c>
      <c r="K1613" s="544">
        <f>INDEX('Fuel Model -  Input'!$B$3:$N$1312,MATCH($B1613,'Fuel Model -  Input'!$B$3:$B$1312,0),MATCH(K$2,'Fuel Model -  Input'!$B$3:$N$3,0))</f>
        <v>3.6801096140891658E-2</v>
      </c>
      <c r="L1613" s="544">
        <f>INDEX('Fuel Model -  Input'!$B$3:$N$1312,MATCH($B1613,'Fuel Model -  Input'!$B$3:$B$1312,0),MATCH(L$2,'Fuel Model -  Input'!$B$3:$N$3,0))</f>
        <v>3.3226990297448689E-2</v>
      </c>
      <c r="M1613" s="544">
        <f>INDEX('Fuel Model -  Input'!$B$3:$N$1312,MATCH($B1613,'Fuel Model -  Input'!$B$3:$B$1312,0),MATCH(M$2,'Fuel Model -  Input'!$B$3:$N$3,0))</f>
        <v>0.03</v>
      </c>
    </row>
    <row r="1614" spans="2:13" hidden="1" outlineLevel="3" x14ac:dyDescent="0.2">
      <c r="E1614" s="48"/>
      <c r="F1614" s="128"/>
      <c r="G1614" s="14"/>
      <c r="H1614" s="14"/>
      <c r="I1614" s="14"/>
      <c r="J1614" s="14"/>
      <c r="K1614" s="14"/>
      <c r="L1614" s="14"/>
      <c r="M1614" s="14"/>
    </row>
    <row r="1615" spans="2:13" hidden="1" outlineLevel="3" x14ac:dyDescent="0.2">
      <c r="B1615" s="78" t="str">
        <f>+C1615&amp;D1615&amp;E1615&amp;F1615</f>
        <v>AsiaCO2 DACElectricity costUSD/ton CO2</v>
      </c>
      <c r="C1615" t="str">
        <f>+$B$1603</f>
        <v>Asia</v>
      </c>
      <c r="D1615" t="s">
        <v>1034</v>
      </c>
      <c r="E1615" s="48" t="s">
        <v>94</v>
      </c>
      <c r="F1615" s="128" t="s">
        <v>382</v>
      </c>
      <c r="G1615" s="260">
        <f t="shared" ref="G1615:M1615" si="869">G1616*G1617</f>
        <v>245.76728667168032</v>
      </c>
      <c r="H1615" s="260">
        <f t="shared" si="869"/>
        <v>149.87899747482152</v>
      </c>
      <c r="I1615" s="260">
        <f t="shared" si="869"/>
        <v>113.33265358207227</v>
      </c>
      <c r="J1615" s="260">
        <f t="shared" si="869"/>
        <v>88.93171596907527</v>
      </c>
      <c r="K1615" s="260">
        <f t="shared" si="869"/>
        <v>75.051323451122002</v>
      </c>
      <c r="L1615" s="260">
        <f t="shared" si="869"/>
        <v>62.247396554916662</v>
      </c>
      <c r="M1615" s="260">
        <f t="shared" si="869"/>
        <v>54.800873877982056</v>
      </c>
    </row>
    <row r="1616" spans="2:13" hidden="1" outlineLevel="3" x14ac:dyDescent="0.2">
      <c r="B1616" s="78" t="str">
        <f>+C1616&amp;D1616&amp;E1616&amp;F1616</f>
        <v>AsiaFeedstockElectricityUSD/MWh</v>
      </c>
      <c r="C1616" t="str">
        <f>+$B$1603</f>
        <v>Asia</v>
      </c>
      <c r="D1616" t="s">
        <v>777</v>
      </c>
      <c r="E1616" s="48" t="s">
        <v>54</v>
      </c>
      <c r="F1616" s="128" t="s">
        <v>196</v>
      </c>
      <c r="G1616" s="524">
        <f>INDEX('Fuel Model -  Input'!$B$3:$N$1312,MATCH($B1616,'Fuel Model -  Input'!$B$3:$B$1312,0),MATCH(G$2,'Fuel Model -  Input'!$B$3:$N$3,0))</f>
        <v>82.061686148726054</v>
      </c>
      <c r="H1616" s="524">
        <f>INDEX('Fuel Model -  Input'!$B$3:$N$1312,MATCH($B1616,'Fuel Model -  Input'!$B$3:$B$1312,0),MATCH(H$2,'Fuel Model -  Input'!$B$3:$N$3,0))</f>
        <v>53.528213383864831</v>
      </c>
      <c r="I1616" s="524">
        <f>INDEX('Fuel Model -  Input'!$B$3:$N$1312,MATCH($B1616,'Fuel Model -  Input'!$B$3:$B$1312,0),MATCH(I$2,'Fuel Model -  Input'!$B$3:$N$3,0))</f>
        <v>43.29349363565693</v>
      </c>
      <c r="J1616" s="524">
        <f>INDEX('Fuel Model -  Input'!$B$3:$N$1312,MATCH($B1616,'Fuel Model -  Input'!$B$3:$B$1312,0),MATCH(J$2,'Fuel Model -  Input'!$B$3:$N$3,0))</f>
        <v>36.337065788929628</v>
      </c>
      <c r="K1616" s="524">
        <f>INDEX('Fuel Model -  Input'!$B$3:$N$1312,MATCH($B1616,'Fuel Model -  Input'!$B$3:$B$1312,0),MATCH(K$2,'Fuel Model -  Input'!$B$3:$N$3,0))</f>
        <v>32.800249332911001</v>
      </c>
      <c r="L1616" s="524">
        <f>INDEX('Fuel Model -  Input'!$B$3:$N$1312,MATCH($B1616,'Fuel Model -  Input'!$B$3:$B$1312,0),MATCH(L$2,'Fuel Model -  Input'!$B$3:$N$3,0))</f>
        <v>29.0981641388437</v>
      </c>
      <c r="M1616" s="524">
        <f>INDEX('Fuel Model -  Input'!$B$3:$N$1312,MATCH($B1616,'Fuel Model -  Input'!$B$3:$B$1312,0),MATCH(M$2,'Fuel Model -  Input'!$B$3:$N$3,0))</f>
        <v>27.400436938991028</v>
      </c>
    </row>
    <row r="1617" spans="2:13" hidden="1" outlineLevel="3" x14ac:dyDescent="0.2">
      <c r="B1617" s="78" t="str">
        <f>+C1617&amp;D1617&amp;E1617&amp;F1617</f>
        <v>GlobalCO2 DACElectricity demandmWh/ton CO2</v>
      </c>
      <c r="C1617" t="s">
        <v>109</v>
      </c>
      <c r="D1617" t="s">
        <v>1034</v>
      </c>
      <c r="E1617" s="48" t="s">
        <v>963</v>
      </c>
      <c r="F1617" s="128" t="s">
        <v>1035</v>
      </c>
      <c r="G1617" s="524">
        <f>INDEX('Fuel Model -  Input'!$B$3:$N$1312,MATCH($B1617,'Fuel Model -  Input'!$B$3:$B$1312,0),MATCH(G$2,'Fuel Model -  Input'!$B$3:$N$3,0))</f>
        <v>2.9949090520301924</v>
      </c>
      <c r="H1617" s="524">
        <f>INDEX('Fuel Model -  Input'!$B$3:$N$1312,MATCH($B1617,'Fuel Model -  Input'!$B$3:$B$1312,0),MATCH(H$2,'Fuel Model -  Input'!$B$3:$N$3,0))</f>
        <v>2.8</v>
      </c>
      <c r="I1617" s="524">
        <f>INDEX('Fuel Model -  Input'!$B$3:$N$1312,MATCH($B1617,'Fuel Model -  Input'!$B$3:$B$1312,0),MATCH(I$2,'Fuel Model -  Input'!$B$3:$N$3,0))</f>
        <v>2.6177756532157161</v>
      </c>
      <c r="J1617" s="524">
        <f>INDEX('Fuel Model -  Input'!$B$3:$N$1312,MATCH($B1617,'Fuel Model -  Input'!$B$3:$B$1312,0),MATCH(J$2,'Fuel Model -  Input'!$B$3:$N$3,0))</f>
        <v>2.4474104894889179</v>
      </c>
      <c r="K1617" s="524">
        <f>INDEX('Fuel Model -  Input'!$B$3:$N$1312,MATCH($B1617,'Fuel Model -  Input'!$B$3:$B$1312,0),MATCH(K$2,'Fuel Model -  Input'!$B$3:$N$3,0))</f>
        <v>2.2881327117174459</v>
      </c>
      <c r="L1617" s="524">
        <f>INDEX('Fuel Model -  Input'!$B$3:$N$1312,MATCH($B1617,'Fuel Model -  Input'!$B$3:$B$1312,0),MATCH(L$2,'Fuel Model -  Input'!$B$3:$N$3,0))</f>
        <v>2.1392207514501376</v>
      </c>
      <c r="M1617" s="524">
        <f>INDEX('Fuel Model -  Input'!$B$3:$N$1312,MATCH($B1617,'Fuel Model -  Input'!$B$3:$B$1312,0),MATCH(M$2,'Fuel Model -  Input'!$B$3:$N$3,0))</f>
        <v>2</v>
      </c>
    </row>
    <row r="1618" spans="2:13" ht="12.75" hidden="1" outlineLevel="2" x14ac:dyDescent="0.2">
      <c r="F1618"/>
    </row>
    <row r="1619" spans="2:13" ht="15" hidden="1" outlineLevel="2" collapsed="1" x14ac:dyDescent="0.25">
      <c r="B1619" s="30" t="s">
        <v>199</v>
      </c>
      <c r="C1619" s="30" t="str">
        <f>+B1619</f>
        <v>Americas</v>
      </c>
      <c r="F1619"/>
    </row>
    <row r="1620" spans="2:13" ht="15" hidden="1" outlineLevel="3" x14ac:dyDescent="0.25">
      <c r="B1620" t="str">
        <f>+C1620&amp;D1620&amp;E1620&amp;F1620</f>
        <v>AmericasResultsTotal cost of CO2 DACUSD/ton CO2</v>
      </c>
      <c r="C1620" t="str">
        <f>+$B$1619</f>
        <v>Americas</v>
      </c>
      <c r="D1620" s="30" t="s">
        <v>838</v>
      </c>
      <c r="E1620" s="405" t="s">
        <v>1126</v>
      </c>
      <c r="F1620" s="127" t="s">
        <v>382</v>
      </c>
      <c r="G1620" s="335">
        <f t="shared" ref="G1620:M1620" si="870">SUM(G1621:G1622)</f>
        <v>260.41249166119553</v>
      </c>
      <c r="H1620" s="335">
        <f t="shared" si="870"/>
        <v>217.26111076153137</v>
      </c>
      <c r="I1620" s="335">
        <f t="shared" si="870"/>
        <v>173.68106392619489</v>
      </c>
      <c r="J1620" s="335">
        <f t="shared" si="870"/>
        <v>144.53984292827136</v>
      </c>
      <c r="K1620" s="335">
        <f t="shared" si="870"/>
        <v>121.02093004372364</v>
      </c>
      <c r="L1620" s="335">
        <f t="shared" si="870"/>
        <v>104.13282695607847</v>
      </c>
      <c r="M1620" s="335">
        <f t="shared" si="870"/>
        <v>90.095244360292099</v>
      </c>
    </row>
    <row r="1621" spans="2:13" ht="15" hidden="1" outlineLevel="3" x14ac:dyDescent="0.25">
      <c r="B1621" t="str">
        <f>+C1621&amp;D1621&amp;E1621&amp;F1621</f>
        <v>AmericasResultsTotal CapexUSD/ton CO2</v>
      </c>
      <c r="C1621" t="str">
        <f>+$B$1619</f>
        <v>Americas</v>
      </c>
      <c r="D1621" s="30" t="s">
        <v>838</v>
      </c>
      <c r="E1621" s="228" t="s">
        <v>1127</v>
      </c>
      <c r="F1621" s="127" t="s">
        <v>382</v>
      </c>
      <c r="G1621" s="335">
        <f t="shared" ref="G1621:M1621" si="871">G1624</f>
        <v>88.333333333333357</v>
      </c>
      <c r="H1621" s="335">
        <f t="shared" si="871"/>
        <v>75.854838936833332</v>
      </c>
      <c r="I1621" s="335">
        <f t="shared" si="871"/>
        <v>65.139131209051982</v>
      </c>
      <c r="J1621" s="335">
        <f t="shared" si="871"/>
        <v>55.937188373749713</v>
      </c>
      <c r="K1621" s="335">
        <f t="shared" si="871"/>
        <v>48.035166958529324</v>
      </c>
      <c r="L1621" s="335">
        <f t="shared" si="871"/>
        <v>41.249432297469504</v>
      </c>
      <c r="M1621" s="335">
        <f t="shared" si="871"/>
        <v>35.333333333333343</v>
      </c>
    </row>
    <row r="1622" spans="2:13" ht="15" hidden="1" outlineLevel="3" x14ac:dyDescent="0.25">
      <c r="B1622" t="str">
        <f>+C1622&amp;D1622&amp;E1622&amp;F1622</f>
        <v>AmericasResultsTotal OpexUSD/ton CO2</v>
      </c>
      <c r="C1622" t="str">
        <f>+$B$1619</f>
        <v>Americas</v>
      </c>
      <c r="D1622" s="30" t="s">
        <v>838</v>
      </c>
      <c r="E1622" s="228" t="s">
        <v>1128</v>
      </c>
      <c r="F1622" s="127" t="s">
        <v>382</v>
      </c>
      <c r="G1622" s="335">
        <f t="shared" ref="G1622:M1622" si="872">SUM(G1631,G1628)</f>
        <v>172.07915832786216</v>
      </c>
      <c r="H1622" s="335">
        <f t="shared" si="872"/>
        <v>141.40627182469802</v>
      </c>
      <c r="I1622" s="335">
        <f t="shared" si="872"/>
        <v>108.54193271714291</v>
      </c>
      <c r="J1622" s="335">
        <f t="shared" si="872"/>
        <v>88.602654554521649</v>
      </c>
      <c r="K1622" s="335">
        <f t="shared" si="872"/>
        <v>72.985763085194307</v>
      </c>
      <c r="L1622" s="335">
        <f t="shared" si="872"/>
        <v>62.883394658608971</v>
      </c>
      <c r="M1622" s="335">
        <f t="shared" si="872"/>
        <v>54.761911026958764</v>
      </c>
    </row>
    <row r="1623" spans="2:13" hidden="1" outlineLevel="3" x14ac:dyDescent="0.2">
      <c r="E1623" s="48"/>
      <c r="F1623" s="128"/>
      <c r="G1623" s="14"/>
      <c r="H1623" s="14"/>
      <c r="I1623" s="14"/>
      <c r="J1623" s="14"/>
      <c r="K1623" s="14"/>
      <c r="L1623" s="14"/>
      <c r="M1623" s="14"/>
    </row>
    <row r="1624" spans="2:13" hidden="1" outlineLevel="3" x14ac:dyDescent="0.2">
      <c r="B1624" t="str">
        <f>+C1624&amp;D1624&amp;E1624&amp;F1624</f>
        <v>AmericasCapexCapex per yearUSD m/year</v>
      </c>
      <c r="C1624" t="str">
        <f>+$B$1619</f>
        <v>Americas</v>
      </c>
      <c r="D1624" t="s">
        <v>218</v>
      </c>
      <c r="E1624" t="s">
        <v>956</v>
      </c>
      <c r="F1624" s="128" t="s">
        <v>957</v>
      </c>
      <c r="G1624" s="342">
        <f t="shared" ref="G1624:M1624" si="873">G1626/G1625</f>
        <v>88.333333333333357</v>
      </c>
      <c r="H1624" s="342">
        <f t="shared" si="873"/>
        <v>75.854838936833332</v>
      </c>
      <c r="I1624" s="342">
        <f t="shared" si="873"/>
        <v>65.139131209051982</v>
      </c>
      <c r="J1624" s="342">
        <f t="shared" si="873"/>
        <v>55.937188373749713</v>
      </c>
      <c r="K1624" s="342">
        <f t="shared" si="873"/>
        <v>48.035166958529324</v>
      </c>
      <c r="L1624" s="342">
        <f t="shared" si="873"/>
        <v>41.249432297469504</v>
      </c>
      <c r="M1624" s="342">
        <f t="shared" si="873"/>
        <v>35.333333333333343</v>
      </c>
    </row>
    <row r="1625" spans="2:13" hidden="1" outlineLevel="3" x14ac:dyDescent="0.2">
      <c r="B1625" t="str">
        <f>+C1625&amp;D1625&amp;E1625&amp;F1625</f>
        <v>GlobalPlant capexAnnualisation factor#</v>
      </c>
      <c r="C1625" t="s">
        <v>109</v>
      </c>
      <c r="D1625" t="s">
        <v>786</v>
      </c>
      <c r="E1625" t="s">
        <v>764</v>
      </c>
      <c r="F1625" s="450" t="s">
        <v>787</v>
      </c>
      <c r="G1625" s="524">
        <f>INDEX('Fuel Model -  Input'!$B$3:$N$1312,MATCH($B1625,'Fuel Model -  Input'!$B$3:$B$1312,0),MATCH(G$2,'Fuel Model -  Input'!$B$3:$N$3,0))</f>
        <v>11.32075471698113</v>
      </c>
      <c r="H1625" s="524">
        <f>INDEX('Fuel Model -  Input'!$B$3:$N$1312,MATCH($B1625,'Fuel Model -  Input'!$B$3:$B$1312,0),MATCH(H$2,'Fuel Model -  Input'!$B$3:$N$3,0))</f>
        <v>11.32075471698113</v>
      </c>
      <c r="I1625" s="524">
        <f>INDEX('Fuel Model -  Input'!$B$3:$N$1312,MATCH($B1625,'Fuel Model -  Input'!$B$3:$B$1312,0),MATCH(I$2,'Fuel Model -  Input'!$B$3:$N$3,0))</f>
        <v>11.32075471698113</v>
      </c>
      <c r="J1625" s="524">
        <f>INDEX('Fuel Model -  Input'!$B$3:$N$1312,MATCH($B1625,'Fuel Model -  Input'!$B$3:$B$1312,0),MATCH(J$2,'Fuel Model -  Input'!$B$3:$N$3,0))</f>
        <v>11.32075471698113</v>
      </c>
      <c r="K1625" s="524">
        <f>INDEX('Fuel Model -  Input'!$B$3:$N$1312,MATCH($B1625,'Fuel Model -  Input'!$B$3:$B$1312,0),MATCH(K$2,'Fuel Model -  Input'!$B$3:$N$3,0))</f>
        <v>11.32075471698113</v>
      </c>
      <c r="L1625" s="524">
        <f>INDEX('Fuel Model -  Input'!$B$3:$N$1312,MATCH($B1625,'Fuel Model -  Input'!$B$3:$B$1312,0),MATCH(L$2,'Fuel Model -  Input'!$B$3:$N$3,0))</f>
        <v>11.32075471698113</v>
      </c>
      <c r="M1625" s="524">
        <f>INDEX('Fuel Model -  Input'!$B$3:$N$1312,MATCH($B1625,'Fuel Model -  Input'!$B$3:$B$1312,0),MATCH(M$2,'Fuel Model -  Input'!$B$3:$N$3,0))</f>
        <v>11.32075471698113</v>
      </c>
    </row>
    <row r="1626" spans="2:13" hidden="1" outlineLevel="3" x14ac:dyDescent="0.2">
      <c r="B1626" t="str">
        <f>+C1626&amp;D1626&amp;E1626&amp;F1626</f>
        <v>GlobalCapexDAC plant unit capexUSD/ ton CO2</v>
      </c>
      <c r="C1626" t="s">
        <v>109</v>
      </c>
      <c r="D1626" t="s">
        <v>218</v>
      </c>
      <c r="E1626" t="s">
        <v>1129</v>
      </c>
      <c r="F1626" s="128" t="s">
        <v>1130</v>
      </c>
      <c r="G1626" s="524">
        <f>INDEX('Fuel Model -  Input'!$B$3:$N$1312,MATCH($B1626,'Fuel Model -  Input'!$B$3:$B$1312,0),MATCH(G$2,'Fuel Model -  Input'!$B$3:$N$3,0))</f>
        <v>1000</v>
      </c>
      <c r="H1626" s="524">
        <f>INDEX('Fuel Model -  Input'!$B$3:$N$1312,MATCH($B1626,'Fuel Model -  Input'!$B$3:$B$1312,0),MATCH(H$2,'Fuel Model -  Input'!$B$3:$N$3,0))</f>
        <v>858.73402569999985</v>
      </c>
      <c r="I1626" s="524">
        <f>INDEX('Fuel Model -  Input'!$B$3:$N$1312,MATCH($B1626,'Fuel Model -  Input'!$B$3:$B$1312,0),MATCH(I$2,'Fuel Model -  Input'!$B$3:$N$3,0))</f>
        <v>737.42412689492801</v>
      </c>
      <c r="J1626" s="524">
        <f>INDEX('Fuel Model -  Input'!$B$3:$N$1312,MATCH($B1626,'Fuel Model -  Input'!$B$3:$B$1312,0),MATCH(J$2,'Fuel Model -  Input'!$B$3:$N$3,0))</f>
        <v>633.25118913678909</v>
      </c>
      <c r="K1626" s="524">
        <f>INDEX('Fuel Model -  Input'!$B$3:$N$1312,MATCH($B1626,'Fuel Model -  Input'!$B$3:$B$1312,0),MATCH(K$2,'Fuel Model -  Input'!$B$3:$N$3,0))</f>
        <v>543.79434292674694</v>
      </c>
      <c r="L1626" s="524">
        <f>INDEX('Fuel Model -  Input'!$B$3:$N$1312,MATCH($B1626,'Fuel Model -  Input'!$B$3:$B$1312,0),MATCH(L$2,'Fuel Model -  Input'!$B$3:$N$3,0))</f>
        <v>466.97470525437166</v>
      </c>
      <c r="M1626" s="524">
        <f>INDEX('Fuel Model -  Input'!$B$3:$N$1312,MATCH($B1626,'Fuel Model -  Input'!$B$3:$B$1312,0),MATCH(M$2,'Fuel Model -  Input'!$B$3:$N$3,0))</f>
        <v>400</v>
      </c>
    </row>
    <row r="1627" spans="2:13" hidden="1" outlineLevel="3" x14ac:dyDescent="0.2">
      <c r="E1627" s="48"/>
      <c r="F1627" s="128"/>
      <c r="G1627" s="14"/>
      <c r="H1627" s="14"/>
      <c r="I1627" s="14"/>
      <c r="J1627" s="14"/>
      <c r="K1627" s="14"/>
      <c r="L1627" s="14"/>
      <c r="M1627" s="14"/>
    </row>
    <row r="1628" spans="2:13" hidden="1" outlineLevel="3" x14ac:dyDescent="0.2">
      <c r="B1628" s="78" t="str">
        <f>+C1628&amp;D1628&amp;E1628&amp;F1628</f>
        <v>AmericasOperationsAnnual capturetons CO2 / year</v>
      </c>
      <c r="C1628" t="str">
        <f>+$B$1619</f>
        <v>Americas</v>
      </c>
      <c r="D1628" t="s">
        <v>1131</v>
      </c>
      <c r="E1628" t="s">
        <v>1132</v>
      </c>
      <c r="F1628" s="128" t="s">
        <v>1133</v>
      </c>
      <c r="G1628" s="22">
        <f t="shared" ref="G1628:M1628" si="874">G1626*G1629</f>
        <v>55.378317162414504</v>
      </c>
      <c r="H1628" s="22">
        <f t="shared" si="874"/>
        <v>42.936701284999998</v>
      </c>
      <c r="I1628" s="22">
        <f t="shared" si="874"/>
        <v>33.290291429956135</v>
      </c>
      <c r="J1628" s="22">
        <f t="shared" si="874"/>
        <v>25.81110030170337</v>
      </c>
      <c r="K1628" s="22">
        <f t="shared" si="874"/>
        <v>20.012227894920223</v>
      </c>
      <c r="L1628" s="22">
        <f t="shared" si="874"/>
        <v>15.516164000640968</v>
      </c>
      <c r="M1628" s="22">
        <f t="shared" si="874"/>
        <v>12</v>
      </c>
    </row>
    <row r="1629" spans="2:13" hidden="1" outlineLevel="3" x14ac:dyDescent="0.2">
      <c r="B1629" t="str">
        <f>+C1629&amp;D1629&amp;E1629&amp;F1629</f>
        <v>GlobalOpexOpex - DAC facilityPercent of Capex</v>
      </c>
      <c r="C1629" t="s">
        <v>109</v>
      </c>
      <c r="D1629" t="s">
        <v>219</v>
      </c>
      <c r="E1629" t="s">
        <v>1134</v>
      </c>
      <c r="F1629" s="128" t="s">
        <v>883</v>
      </c>
      <c r="G1629" s="544">
        <f>INDEX('Fuel Model -  Input'!$B$3:$N$1312,MATCH($B1629,'Fuel Model -  Input'!$B$3:$B$1312,0),MATCH(G$2,'Fuel Model -  Input'!$B$3:$N$3,0))</f>
        <v>5.5378317162414502E-2</v>
      </c>
      <c r="H1629" s="544">
        <f>INDEX('Fuel Model -  Input'!$B$3:$N$1312,MATCH($B1629,'Fuel Model -  Input'!$B$3:$B$1312,0),MATCH(H$2,'Fuel Model -  Input'!$B$3:$N$3,0))</f>
        <v>0.05</v>
      </c>
      <c r="I1629" s="544">
        <f>INDEX('Fuel Model -  Input'!$B$3:$N$1312,MATCH($B1629,'Fuel Model -  Input'!$B$3:$B$1312,0),MATCH(I$2,'Fuel Model -  Input'!$B$3:$N$3,0))</f>
        <v>4.5144022572371711E-2</v>
      </c>
      <c r="J1629" s="544">
        <f>INDEX('Fuel Model -  Input'!$B$3:$N$1312,MATCH($B1629,'Fuel Model -  Input'!$B$3:$B$1312,0),MATCH(J$2,'Fuel Model -  Input'!$B$3:$N$3,0))</f>
        <v>4.0759655480296135E-2</v>
      </c>
      <c r="K1629" s="544">
        <f>INDEX('Fuel Model -  Input'!$B$3:$N$1312,MATCH($B1629,'Fuel Model -  Input'!$B$3:$B$1312,0),MATCH(K$2,'Fuel Model -  Input'!$B$3:$N$3,0))</f>
        <v>3.6801096140891658E-2</v>
      </c>
      <c r="L1629" s="544">
        <f>INDEX('Fuel Model -  Input'!$B$3:$N$1312,MATCH($B1629,'Fuel Model -  Input'!$B$3:$B$1312,0),MATCH(L$2,'Fuel Model -  Input'!$B$3:$N$3,0))</f>
        <v>3.3226990297448689E-2</v>
      </c>
      <c r="M1629" s="544">
        <f>INDEX('Fuel Model -  Input'!$B$3:$N$1312,MATCH($B1629,'Fuel Model -  Input'!$B$3:$B$1312,0),MATCH(M$2,'Fuel Model -  Input'!$B$3:$N$3,0))</f>
        <v>0.03</v>
      </c>
    </row>
    <row r="1630" spans="2:13" hidden="1" outlineLevel="3" x14ac:dyDescent="0.2">
      <c r="E1630" s="48"/>
      <c r="F1630" s="128"/>
      <c r="G1630" s="14"/>
      <c r="H1630" s="14"/>
      <c r="I1630" s="14"/>
      <c r="J1630" s="14"/>
      <c r="K1630" s="14"/>
      <c r="L1630" s="14"/>
      <c r="M1630" s="14"/>
    </row>
    <row r="1631" spans="2:13" hidden="1" outlineLevel="3" x14ac:dyDescent="0.2">
      <c r="B1631" s="78" t="str">
        <f>+C1631&amp;D1631&amp;E1631&amp;F1631</f>
        <v>AmericasCO2 DACElectricity costUSD/ton CO2</v>
      </c>
      <c r="C1631" t="str">
        <f>+$B$1619</f>
        <v>Americas</v>
      </c>
      <c r="D1631" t="s">
        <v>1034</v>
      </c>
      <c r="E1631" s="48" t="s">
        <v>94</v>
      </c>
      <c r="F1631" s="128" t="s">
        <v>382</v>
      </c>
      <c r="G1631" s="260">
        <f t="shared" ref="G1631:M1631" si="875">G1632*G1633</f>
        <v>116.70084116544767</v>
      </c>
      <c r="H1631" s="260">
        <f t="shared" si="875"/>
        <v>98.46957053969804</v>
      </c>
      <c r="I1631" s="260">
        <f t="shared" si="875"/>
        <v>75.251641287186786</v>
      </c>
      <c r="J1631" s="260">
        <f t="shared" si="875"/>
        <v>62.791554252818273</v>
      </c>
      <c r="K1631" s="260">
        <f t="shared" si="875"/>
        <v>52.973535190274085</v>
      </c>
      <c r="L1631" s="260">
        <f t="shared" si="875"/>
        <v>47.367230657968001</v>
      </c>
      <c r="M1631" s="260">
        <f t="shared" si="875"/>
        <v>42.761911026958764</v>
      </c>
    </row>
    <row r="1632" spans="2:13" hidden="1" outlineLevel="3" x14ac:dyDescent="0.2">
      <c r="B1632" s="78" t="str">
        <f>+C1632&amp;D1632&amp;E1632&amp;F1632</f>
        <v>AmericasFeedstockElectricityUSD/MWh</v>
      </c>
      <c r="C1632" t="str">
        <f>+$B$1619</f>
        <v>Americas</v>
      </c>
      <c r="D1632" t="s">
        <v>777</v>
      </c>
      <c r="E1632" s="48" t="s">
        <v>54</v>
      </c>
      <c r="F1632" s="128" t="s">
        <v>196</v>
      </c>
      <c r="G1632" s="524">
        <f>INDEX('Fuel Model -  Input'!$B$3:$N$1312,MATCH($B1632,'Fuel Model -  Input'!$B$3:$B$1312,0),MATCH(G$2,'Fuel Model -  Input'!$B$3:$N$3,0))</f>
        <v>38.96640570315094</v>
      </c>
      <c r="H1632" s="524">
        <f>INDEX('Fuel Model -  Input'!$B$3:$N$1312,MATCH($B1632,'Fuel Model -  Input'!$B$3:$B$1312,0),MATCH(H$2,'Fuel Model -  Input'!$B$3:$N$3,0))</f>
        <v>35.167703764177872</v>
      </c>
      <c r="I1632" s="524">
        <f>INDEX('Fuel Model -  Input'!$B$3:$N$1312,MATCH($B1632,'Fuel Model -  Input'!$B$3:$B$1312,0),MATCH(I$2,'Fuel Model -  Input'!$B$3:$N$3,0))</f>
        <v>28.746405825398561</v>
      </c>
      <c r="J1632" s="524">
        <f>INDEX('Fuel Model -  Input'!$B$3:$N$1312,MATCH($B1632,'Fuel Model -  Input'!$B$3:$B$1312,0),MATCH(J$2,'Fuel Model -  Input'!$B$3:$N$3,0))</f>
        <v>25.656323090259679</v>
      </c>
      <c r="K1632" s="524">
        <f>INDEX('Fuel Model -  Input'!$B$3:$N$1312,MATCH($B1632,'Fuel Model -  Input'!$B$3:$B$1312,0),MATCH(K$2,'Fuel Model -  Input'!$B$3:$N$3,0))</f>
        <v>23.151426016069131</v>
      </c>
      <c r="L1632" s="524">
        <f>INDEX('Fuel Model -  Input'!$B$3:$N$1312,MATCH($B1632,'Fuel Model -  Input'!$B$3:$B$1312,0),MATCH(L$2,'Fuel Model -  Input'!$B$3:$N$3,0))</f>
        <v>22.142282710121734</v>
      </c>
      <c r="M1632" s="524">
        <f>INDEX('Fuel Model -  Input'!$B$3:$N$1312,MATCH($B1632,'Fuel Model -  Input'!$B$3:$B$1312,0),MATCH(M$2,'Fuel Model -  Input'!$B$3:$N$3,0))</f>
        <v>21.380955513479382</v>
      </c>
    </row>
    <row r="1633" spans="2:13" hidden="1" outlineLevel="3" x14ac:dyDescent="0.2">
      <c r="B1633" s="78" t="str">
        <f>+C1633&amp;D1633&amp;E1633&amp;F1633</f>
        <v>GlobalCO2 DACElectricity demandmWh/ton CO2</v>
      </c>
      <c r="C1633" t="s">
        <v>109</v>
      </c>
      <c r="D1633" t="s">
        <v>1034</v>
      </c>
      <c r="E1633" s="48" t="s">
        <v>963</v>
      </c>
      <c r="F1633" s="128" t="s">
        <v>1035</v>
      </c>
      <c r="G1633" s="524">
        <f>INDEX('Fuel Model -  Input'!$B$3:$N$1312,MATCH($B1633,'Fuel Model -  Input'!$B$3:$B$1312,0),MATCH(G$2,'Fuel Model -  Input'!$B$3:$N$3,0))</f>
        <v>2.9949090520301924</v>
      </c>
      <c r="H1633" s="524">
        <f>INDEX('Fuel Model -  Input'!$B$3:$N$1312,MATCH($B1633,'Fuel Model -  Input'!$B$3:$B$1312,0),MATCH(H$2,'Fuel Model -  Input'!$B$3:$N$3,0))</f>
        <v>2.8</v>
      </c>
      <c r="I1633" s="524">
        <f>INDEX('Fuel Model -  Input'!$B$3:$N$1312,MATCH($B1633,'Fuel Model -  Input'!$B$3:$B$1312,0),MATCH(I$2,'Fuel Model -  Input'!$B$3:$N$3,0))</f>
        <v>2.6177756532157161</v>
      </c>
      <c r="J1633" s="524">
        <f>INDEX('Fuel Model -  Input'!$B$3:$N$1312,MATCH($B1633,'Fuel Model -  Input'!$B$3:$B$1312,0),MATCH(J$2,'Fuel Model -  Input'!$B$3:$N$3,0))</f>
        <v>2.4474104894889179</v>
      </c>
      <c r="K1633" s="524">
        <f>INDEX('Fuel Model -  Input'!$B$3:$N$1312,MATCH($B1633,'Fuel Model -  Input'!$B$3:$B$1312,0),MATCH(K$2,'Fuel Model -  Input'!$B$3:$N$3,0))</f>
        <v>2.2881327117174459</v>
      </c>
      <c r="L1633" s="524">
        <f>INDEX('Fuel Model -  Input'!$B$3:$N$1312,MATCH($B1633,'Fuel Model -  Input'!$B$3:$B$1312,0),MATCH(L$2,'Fuel Model -  Input'!$B$3:$N$3,0))</f>
        <v>2.1392207514501376</v>
      </c>
      <c r="M1633" s="524">
        <f>INDEX('Fuel Model -  Input'!$B$3:$N$1312,MATCH($B1633,'Fuel Model -  Input'!$B$3:$B$1312,0),MATCH(M$2,'Fuel Model -  Input'!$B$3:$N$3,0))</f>
        <v>2</v>
      </c>
    </row>
    <row r="1634" spans="2:13" ht="12.75" hidden="1" outlineLevel="2" x14ac:dyDescent="0.2">
      <c r="F1634"/>
    </row>
    <row r="1635" spans="2:13" ht="15" hidden="1" outlineLevel="2" collapsed="1" x14ac:dyDescent="0.25">
      <c r="B1635" s="30" t="s">
        <v>200</v>
      </c>
      <c r="C1635" s="30" t="str">
        <f>+B1635</f>
        <v>Africa</v>
      </c>
      <c r="F1635"/>
    </row>
    <row r="1636" spans="2:13" ht="15" hidden="1" outlineLevel="2" x14ac:dyDescent="0.25">
      <c r="B1636" t="str">
        <f>+C1636&amp;D1636&amp;E1636&amp;F1636</f>
        <v>AfricaResultsTotal cost of CO2 DACUSD/ton CO2</v>
      </c>
      <c r="C1636" t="str">
        <f>+$B$1635</f>
        <v>Africa</v>
      </c>
      <c r="D1636" s="30" t="s">
        <v>838</v>
      </c>
      <c r="E1636" s="405" t="s">
        <v>1126</v>
      </c>
      <c r="F1636" s="127" t="s">
        <v>382</v>
      </c>
      <c r="G1636" s="335">
        <f t="shared" ref="G1636:M1636" si="876">SUM(G1637:G1638)</f>
        <v>380.18768956448264</v>
      </c>
      <c r="H1636" s="335">
        <f t="shared" si="876"/>
        <v>243.88653979208317</v>
      </c>
      <c r="I1636" s="335">
        <f t="shared" si="876"/>
        <v>190.36565431859327</v>
      </c>
      <c r="J1636" s="335">
        <f t="shared" si="876"/>
        <v>154.64529304299282</v>
      </c>
      <c r="K1636" s="335">
        <f t="shared" si="876"/>
        <v>130.45493914360833</v>
      </c>
      <c r="L1636" s="335">
        <f t="shared" si="876"/>
        <v>109.58838572848535</v>
      </c>
      <c r="M1636" s="335">
        <f t="shared" si="876"/>
        <v>94.183873121146092</v>
      </c>
    </row>
    <row r="1637" spans="2:13" ht="15" hidden="1" outlineLevel="2" x14ac:dyDescent="0.25">
      <c r="B1637" t="str">
        <f>+C1637&amp;D1637&amp;E1637&amp;F1637</f>
        <v>AfricaResultsTotal CapexUSD/ton CO2</v>
      </c>
      <c r="C1637" t="str">
        <f>+$B$1635</f>
        <v>Africa</v>
      </c>
      <c r="D1637" s="30" t="s">
        <v>838</v>
      </c>
      <c r="E1637" s="228" t="s">
        <v>1127</v>
      </c>
      <c r="F1637" s="127" t="s">
        <v>382</v>
      </c>
      <c r="G1637" s="335">
        <f t="shared" ref="G1637:M1637" si="877">G1640</f>
        <v>88.333333333333357</v>
      </c>
      <c r="H1637" s="335">
        <f t="shared" si="877"/>
        <v>75.854838936833332</v>
      </c>
      <c r="I1637" s="335">
        <f t="shared" si="877"/>
        <v>65.139131209051982</v>
      </c>
      <c r="J1637" s="335">
        <f t="shared" si="877"/>
        <v>55.937188373749713</v>
      </c>
      <c r="K1637" s="335">
        <f t="shared" si="877"/>
        <v>48.035166958529324</v>
      </c>
      <c r="L1637" s="335">
        <f t="shared" si="877"/>
        <v>41.249432297469504</v>
      </c>
      <c r="M1637" s="335">
        <f t="shared" si="877"/>
        <v>35.333333333333343</v>
      </c>
    </row>
    <row r="1638" spans="2:13" ht="15" hidden="1" outlineLevel="2" x14ac:dyDescent="0.25">
      <c r="B1638" t="str">
        <f>+C1638&amp;D1638&amp;E1638&amp;F1638</f>
        <v>AfricaResultsTotal OpexUSD/ton CO2</v>
      </c>
      <c r="C1638" t="str">
        <f>+$B$1635</f>
        <v>Africa</v>
      </c>
      <c r="D1638" s="30" t="s">
        <v>838</v>
      </c>
      <c r="E1638" s="228" t="s">
        <v>1128</v>
      </c>
      <c r="F1638" s="127" t="s">
        <v>382</v>
      </c>
      <c r="G1638" s="335">
        <f t="shared" ref="G1638:M1638" si="878">SUM(G1647,G1644)</f>
        <v>291.85435623114927</v>
      </c>
      <c r="H1638" s="335">
        <f t="shared" si="878"/>
        <v>168.03170085524982</v>
      </c>
      <c r="I1638" s="335">
        <f t="shared" si="878"/>
        <v>125.22652310954129</v>
      </c>
      <c r="J1638" s="335">
        <f t="shared" si="878"/>
        <v>98.708104669243113</v>
      </c>
      <c r="K1638" s="335">
        <f t="shared" si="878"/>
        <v>82.419772185079012</v>
      </c>
      <c r="L1638" s="335">
        <f t="shared" si="878"/>
        <v>68.338953431015838</v>
      </c>
      <c r="M1638" s="335">
        <f t="shared" si="878"/>
        <v>58.850539787812743</v>
      </c>
    </row>
    <row r="1639" spans="2:13" hidden="1" outlineLevel="2" x14ac:dyDescent="0.2">
      <c r="E1639" s="48"/>
      <c r="F1639" s="128"/>
      <c r="G1639" s="14"/>
      <c r="H1639" s="14"/>
      <c r="I1639" s="14"/>
      <c r="J1639" s="14"/>
      <c r="K1639" s="14"/>
      <c r="L1639" s="14"/>
      <c r="M1639" s="14"/>
    </row>
    <row r="1640" spans="2:13" hidden="1" outlineLevel="2" x14ac:dyDescent="0.2">
      <c r="B1640" t="str">
        <f>+C1640&amp;D1640&amp;E1640&amp;F1640</f>
        <v>AfricaCapexCapex per yearUSD m/year</v>
      </c>
      <c r="C1640" t="str">
        <f>+$B$1635</f>
        <v>Africa</v>
      </c>
      <c r="D1640" t="s">
        <v>218</v>
      </c>
      <c r="E1640" t="s">
        <v>956</v>
      </c>
      <c r="F1640" s="128" t="s">
        <v>957</v>
      </c>
      <c r="G1640" s="342">
        <f t="shared" ref="G1640:M1640" si="879">G1642/G1641</f>
        <v>88.333333333333357</v>
      </c>
      <c r="H1640" s="342">
        <f t="shared" si="879"/>
        <v>75.854838936833332</v>
      </c>
      <c r="I1640" s="342">
        <f t="shared" si="879"/>
        <v>65.139131209051982</v>
      </c>
      <c r="J1640" s="342">
        <f t="shared" si="879"/>
        <v>55.937188373749713</v>
      </c>
      <c r="K1640" s="342">
        <f t="shared" si="879"/>
        <v>48.035166958529324</v>
      </c>
      <c r="L1640" s="342">
        <f t="shared" si="879"/>
        <v>41.249432297469504</v>
      </c>
      <c r="M1640" s="342">
        <f t="shared" si="879"/>
        <v>35.333333333333343</v>
      </c>
    </row>
    <row r="1641" spans="2:13" hidden="1" outlineLevel="2" x14ac:dyDescent="0.2">
      <c r="B1641" t="str">
        <f>+C1641&amp;D1641&amp;E1641&amp;F1641</f>
        <v>GlobalPlant capexAnnualisation factor#</v>
      </c>
      <c r="C1641" t="s">
        <v>109</v>
      </c>
      <c r="D1641" t="s">
        <v>786</v>
      </c>
      <c r="E1641" t="s">
        <v>764</v>
      </c>
      <c r="F1641" s="450" t="s">
        <v>787</v>
      </c>
      <c r="G1641" s="524">
        <f>INDEX('Fuel Model -  Input'!$B$3:$N$1312,MATCH($B1641,'Fuel Model -  Input'!$B$3:$B$1312,0),MATCH(G$2,'Fuel Model -  Input'!$B$3:$N$3,0))</f>
        <v>11.32075471698113</v>
      </c>
      <c r="H1641" s="524">
        <f>INDEX('Fuel Model -  Input'!$B$3:$N$1312,MATCH($B1641,'Fuel Model -  Input'!$B$3:$B$1312,0),MATCH(H$2,'Fuel Model -  Input'!$B$3:$N$3,0))</f>
        <v>11.32075471698113</v>
      </c>
      <c r="I1641" s="524">
        <f>INDEX('Fuel Model -  Input'!$B$3:$N$1312,MATCH($B1641,'Fuel Model -  Input'!$B$3:$B$1312,0),MATCH(I$2,'Fuel Model -  Input'!$B$3:$N$3,0))</f>
        <v>11.32075471698113</v>
      </c>
      <c r="J1641" s="524">
        <f>INDEX('Fuel Model -  Input'!$B$3:$N$1312,MATCH($B1641,'Fuel Model -  Input'!$B$3:$B$1312,0),MATCH(J$2,'Fuel Model -  Input'!$B$3:$N$3,0))</f>
        <v>11.32075471698113</v>
      </c>
      <c r="K1641" s="524">
        <f>INDEX('Fuel Model -  Input'!$B$3:$N$1312,MATCH($B1641,'Fuel Model -  Input'!$B$3:$B$1312,0),MATCH(K$2,'Fuel Model -  Input'!$B$3:$N$3,0))</f>
        <v>11.32075471698113</v>
      </c>
      <c r="L1641" s="524">
        <f>INDEX('Fuel Model -  Input'!$B$3:$N$1312,MATCH($B1641,'Fuel Model -  Input'!$B$3:$B$1312,0),MATCH(L$2,'Fuel Model -  Input'!$B$3:$N$3,0))</f>
        <v>11.32075471698113</v>
      </c>
      <c r="M1641" s="524">
        <f>INDEX('Fuel Model -  Input'!$B$3:$N$1312,MATCH($B1641,'Fuel Model -  Input'!$B$3:$B$1312,0),MATCH(M$2,'Fuel Model -  Input'!$B$3:$N$3,0))</f>
        <v>11.32075471698113</v>
      </c>
    </row>
    <row r="1642" spans="2:13" hidden="1" outlineLevel="2" x14ac:dyDescent="0.2">
      <c r="B1642" t="str">
        <f>+C1642&amp;D1642&amp;E1642&amp;F1642</f>
        <v>GlobalCapexDAC plant unit capexUSD/ ton CO2</v>
      </c>
      <c r="C1642" t="s">
        <v>109</v>
      </c>
      <c r="D1642" t="s">
        <v>218</v>
      </c>
      <c r="E1642" t="s">
        <v>1129</v>
      </c>
      <c r="F1642" s="128" t="s">
        <v>1130</v>
      </c>
      <c r="G1642" s="524">
        <f>INDEX('Fuel Model -  Input'!$B$3:$N$1312,MATCH($B1642,'Fuel Model -  Input'!$B$3:$B$1312,0),MATCH(G$2,'Fuel Model -  Input'!$B$3:$N$3,0))</f>
        <v>1000</v>
      </c>
      <c r="H1642" s="524">
        <f>INDEX('Fuel Model -  Input'!$B$3:$N$1312,MATCH($B1642,'Fuel Model -  Input'!$B$3:$B$1312,0),MATCH(H$2,'Fuel Model -  Input'!$B$3:$N$3,0))</f>
        <v>858.73402569999985</v>
      </c>
      <c r="I1642" s="524">
        <f>INDEX('Fuel Model -  Input'!$B$3:$N$1312,MATCH($B1642,'Fuel Model -  Input'!$B$3:$B$1312,0),MATCH(I$2,'Fuel Model -  Input'!$B$3:$N$3,0))</f>
        <v>737.42412689492801</v>
      </c>
      <c r="J1642" s="524">
        <f>INDEX('Fuel Model -  Input'!$B$3:$N$1312,MATCH($B1642,'Fuel Model -  Input'!$B$3:$B$1312,0),MATCH(J$2,'Fuel Model -  Input'!$B$3:$N$3,0))</f>
        <v>633.25118913678909</v>
      </c>
      <c r="K1642" s="524">
        <f>INDEX('Fuel Model -  Input'!$B$3:$N$1312,MATCH($B1642,'Fuel Model -  Input'!$B$3:$B$1312,0),MATCH(K$2,'Fuel Model -  Input'!$B$3:$N$3,0))</f>
        <v>543.79434292674694</v>
      </c>
      <c r="L1642" s="524">
        <f>INDEX('Fuel Model -  Input'!$B$3:$N$1312,MATCH($B1642,'Fuel Model -  Input'!$B$3:$B$1312,0),MATCH(L$2,'Fuel Model -  Input'!$B$3:$N$3,0))</f>
        <v>466.97470525437166</v>
      </c>
      <c r="M1642" s="524">
        <f>INDEX('Fuel Model -  Input'!$B$3:$N$1312,MATCH($B1642,'Fuel Model -  Input'!$B$3:$B$1312,0),MATCH(M$2,'Fuel Model -  Input'!$B$3:$N$3,0))</f>
        <v>400</v>
      </c>
    </row>
    <row r="1643" spans="2:13" hidden="1" outlineLevel="2" x14ac:dyDescent="0.2">
      <c r="E1643" s="48"/>
      <c r="F1643" s="128"/>
      <c r="G1643" s="14"/>
      <c r="H1643" s="14"/>
      <c r="I1643" s="14"/>
      <c r="J1643" s="14"/>
      <c r="K1643" s="14"/>
      <c r="L1643" s="14"/>
      <c r="M1643" s="14"/>
    </row>
    <row r="1644" spans="2:13" hidden="1" outlineLevel="2" x14ac:dyDescent="0.2">
      <c r="B1644" s="78" t="str">
        <f>+C1644&amp;D1644&amp;E1644&amp;F1644</f>
        <v>AfricaOperationsAnnual capturetons CO2 / year</v>
      </c>
      <c r="C1644" t="str">
        <f>+$B$1635</f>
        <v>Africa</v>
      </c>
      <c r="D1644" t="s">
        <v>1131</v>
      </c>
      <c r="E1644" t="s">
        <v>1132</v>
      </c>
      <c r="F1644" s="128" t="s">
        <v>1133</v>
      </c>
      <c r="G1644" s="22">
        <f t="shared" ref="G1644:M1644" si="880">G1642*G1645</f>
        <v>55.378317162414504</v>
      </c>
      <c r="H1644" s="22">
        <f t="shared" si="880"/>
        <v>42.936701284999998</v>
      </c>
      <c r="I1644" s="22">
        <f t="shared" si="880"/>
        <v>33.290291429956135</v>
      </c>
      <c r="J1644" s="22">
        <f t="shared" si="880"/>
        <v>25.81110030170337</v>
      </c>
      <c r="K1644" s="22">
        <f t="shared" si="880"/>
        <v>20.012227894920223</v>
      </c>
      <c r="L1644" s="22">
        <f t="shared" si="880"/>
        <v>15.516164000640968</v>
      </c>
      <c r="M1644" s="22">
        <f t="shared" si="880"/>
        <v>12</v>
      </c>
    </row>
    <row r="1645" spans="2:13" hidden="1" outlineLevel="2" x14ac:dyDescent="0.2">
      <c r="B1645" t="str">
        <f>+C1645&amp;D1645&amp;E1645&amp;F1645</f>
        <v>GlobalOpexOpex - DAC facilityPercent of Capex</v>
      </c>
      <c r="C1645" t="s">
        <v>109</v>
      </c>
      <c r="D1645" t="s">
        <v>219</v>
      </c>
      <c r="E1645" t="s">
        <v>1134</v>
      </c>
      <c r="F1645" s="128" t="s">
        <v>883</v>
      </c>
      <c r="G1645" s="544">
        <f>INDEX('Fuel Model -  Input'!$B$3:$N$1312,MATCH($B1645,'Fuel Model -  Input'!$B$3:$B$1312,0),MATCH(G$2,'Fuel Model -  Input'!$B$3:$N$3,0))</f>
        <v>5.5378317162414502E-2</v>
      </c>
      <c r="H1645" s="544">
        <f>INDEX('Fuel Model -  Input'!$B$3:$N$1312,MATCH($B1645,'Fuel Model -  Input'!$B$3:$B$1312,0),MATCH(H$2,'Fuel Model -  Input'!$B$3:$N$3,0))</f>
        <v>0.05</v>
      </c>
      <c r="I1645" s="544">
        <f>INDEX('Fuel Model -  Input'!$B$3:$N$1312,MATCH($B1645,'Fuel Model -  Input'!$B$3:$B$1312,0),MATCH(I$2,'Fuel Model -  Input'!$B$3:$N$3,0))</f>
        <v>4.5144022572371711E-2</v>
      </c>
      <c r="J1645" s="544">
        <f>INDEX('Fuel Model -  Input'!$B$3:$N$1312,MATCH($B1645,'Fuel Model -  Input'!$B$3:$B$1312,0),MATCH(J$2,'Fuel Model -  Input'!$B$3:$N$3,0))</f>
        <v>4.0759655480296135E-2</v>
      </c>
      <c r="K1645" s="544">
        <f>INDEX('Fuel Model -  Input'!$B$3:$N$1312,MATCH($B1645,'Fuel Model -  Input'!$B$3:$B$1312,0),MATCH(K$2,'Fuel Model -  Input'!$B$3:$N$3,0))</f>
        <v>3.6801096140891658E-2</v>
      </c>
      <c r="L1645" s="544">
        <f>INDEX('Fuel Model -  Input'!$B$3:$N$1312,MATCH($B1645,'Fuel Model -  Input'!$B$3:$B$1312,0),MATCH(L$2,'Fuel Model -  Input'!$B$3:$N$3,0))</f>
        <v>3.3226990297448689E-2</v>
      </c>
      <c r="M1645" s="544">
        <f>INDEX('Fuel Model -  Input'!$B$3:$N$1312,MATCH($B1645,'Fuel Model -  Input'!$B$3:$B$1312,0),MATCH(M$2,'Fuel Model -  Input'!$B$3:$N$3,0))</f>
        <v>0.03</v>
      </c>
    </row>
    <row r="1646" spans="2:13" hidden="1" outlineLevel="2" x14ac:dyDescent="0.2">
      <c r="E1646" s="48"/>
      <c r="F1646" s="128"/>
      <c r="G1646" s="8"/>
      <c r="H1646" s="8"/>
      <c r="I1646" s="8"/>
      <c r="J1646" s="8"/>
      <c r="K1646" s="8"/>
      <c r="L1646" s="8"/>
      <c r="M1646" s="8"/>
    </row>
    <row r="1647" spans="2:13" hidden="1" outlineLevel="2" x14ac:dyDescent="0.2">
      <c r="B1647" s="78" t="str">
        <f>+C1647&amp;D1647&amp;E1647&amp;F1647</f>
        <v>AfricaCO2 DACElectricity costUSD/ton CO2</v>
      </c>
      <c r="C1647" t="str">
        <f>+$B$1635</f>
        <v>Africa</v>
      </c>
      <c r="D1647" t="s">
        <v>1034</v>
      </c>
      <c r="E1647" s="48" t="s">
        <v>94</v>
      </c>
      <c r="F1647" s="128" t="s">
        <v>382</v>
      </c>
      <c r="G1647" s="260">
        <f t="shared" ref="G1647:M1647" si="881">G1648*G1649</f>
        <v>236.47603906873479</v>
      </c>
      <c r="H1647" s="260">
        <f t="shared" si="881"/>
        <v>125.09499957024984</v>
      </c>
      <c r="I1647" s="260">
        <f t="shared" si="881"/>
        <v>91.936231679585148</v>
      </c>
      <c r="J1647" s="260">
        <f t="shared" si="881"/>
        <v>72.897004367539736</v>
      </c>
      <c r="K1647" s="260">
        <f t="shared" si="881"/>
        <v>62.407544290158796</v>
      </c>
      <c r="L1647" s="260">
        <f t="shared" si="881"/>
        <v>52.822789430374868</v>
      </c>
      <c r="M1647" s="260">
        <f t="shared" si="881"/>
        <v>46.850539787812743</v>
      </c>
    </row>
    <row r="1648" spans="2:13" hidden="1" outlineLevel="2" x14ac:dyDescent="0.2">
      <c r="B1648" s="78" t="str">
        <f>+C1648&amp;D1648&amp;E1648&amp;F1648</f>
        <v>AfricaFeedstockElectricityUSD/MWh</v>
      </c>
      <c r="C1648" t="str">
        <f>+$B$1635</f>
        <v>Africa</v>
      </c>
      <c r="D1648" t="s">
        <v>777</v>
      </c>
      <c r="E1648" s="48" t="s">
        <v>54</v>
      </c>
      <c r="F1648" s="128" t="s">
        <v>196</v>
      </c>
      <c r="G1648" s="524">
        <f>INDEX('Fuel Model -  Input'!$B$3:$N$1312,MATCH($B1648,'Fuel Model -  Input'!$B$3:$B$1312,0),MATCH(G$2,'Fuel Model -  Input'!$B$3:$N$3,0))</f>
        <v>78.959338985079413</v>
      </c>
      <c r="H1648" s="524">
        <f>INDEX('Fuel Model -  Input'!$B$3:$N$1312,MATCH($B1648,'Fuel Model -  Input'!$B$3:$B$1312,0),MATCH(H$2,'Fuel Model -  Input'!$B$3:$N$3,0))</f>
        <v>44.676785560803516</v>
      </c>
      <c r="I1648" s="524">
        <f>INDEX('Fuel Model -  Input'!$B$3:$N$1312,MATCH($B1648,'Fuel Model -  Input'!$B$3:$B$1312,0),MATCH(I$2,'Fuel Model -  Input'!$B$3:$N$3,0))</f>
        <v>35.119981181981451</v>
      </c>
      <c r="J1648" s="524">
        <f>INDEX('Fuel Model -  Input'!$B$3:$N$1312,MATCH($B1648,'Fuel Model -  Input'!$B$3:$B$1312,0),MATCH(J$2,'Fuel Model -  Input'!$B$3:$N$3,0))</f>
        <v>29.785360764210218</v>
      </c>
      <c r="K1648" s="524">
        <f>INDEX('Fuel Model -  Input'!$B$3:$N$1312,MATCH($B1648,'Fuel Model -  Input'!$B$3:$B$1312,0),MATCH(K$2,'Fuel Model -  Input'!$B$3:$N$3,0))</f>
        <v>27.274442592674799</v>
      </c>
      <c r="L1648" s="524">
        <f>INDEX('Fuel Model -  Input'!$B$3:$N$1312,MATCH($B1648,'Fuel Model -  Input'!$B$3:$B$1312,0),MATCH(L$2,'Fuel Model -  Input'!$B$3:$N$3,0))</f>
        <v>24.692537876031398</v>
      </c>
      <c r="M1648" s="524">
        <f>INDEX('Fuel Model -  Input'!$B$3:$N$1312,MATCH($B1648,'Fuel Model -  Input'!$B$3:$B$1312,0),MATCH(M$2,'Fuel Model -  Input'!$B$3:$N$3,0))</f>
        <v>23.425269893906371</v>
      </c>
    </row>
    <row r="1649" spans="2:14" hidden="1" outlineLevel="2" x14ac:dyDescent="0.2">
      <c r="B1649" s="78" t="str">
        <f>+C1649&amp;D1649&amp;E1649&amp;F1649</f>
        <v>GlobalCO2 DACElectricity demandmWh/ton CO2</v>
      </c>
      <c r="C1649" t="s">
        <v>109</v>
      </c>
      <c r="D1649" t="s">
        <v>1034</v>
      </c>
      <c r="E1649" s="48" t="s">
        <v>963</v>
      </c>
      <c r="F1649" s="128" t="s">
        <v>1035</v>
      </c>
      <c r="G1649" s="524">
        <f>INDEX('Fuel Model -  Input'!$B$3:$N$1312,MATCH($B1649,'Fuel Model -  Input'!$B$3:$B$1312,0),MATCH(G$2,'Fuel Model -  Input'!$B$3:$N$3,0))</f>
        <v>2.9949090520301924</v>
      </c>
      <c r="H1649" s="524">
        <f>INDEX('Fuel Model -  Input'!$B$3:$N$1312,MATCH($B1649,'Fuel Model -  Input'!$B$3:$B$1312,0),MATCH(H$2,'Fuel Model -  Input'!$B$3:$N$3,0))</f>
        <v>2.8</v>
      </c>
      <c r="I1649" s="524">
        <f>INDEX('Fuel Model -  Input'!$B$3:$N$1312,MATCH($B1649,'Fuel Model -  Input'!$B$3:$B$1312,0),MATCH(I$2,'Fuel Model -  Input'!$B$3:$N$3,0))</f>
        <v>2.6177756532157161</v>
      </c>
      <c r="J1649" s="524">
        <f>INDEX('Fuel Model -  Input'!$B$3:$N$1312,MATCH($B1649,'Fuel Model -  Input'!$B$3:$B$1312,0),MATCH(J$2,'Fuel Model -  Input'!$B$3:$N$3,0))</f>
        <v>2.4474104894889179</v>
      </c>
      <c r="K1649" s="524">
        <f>INDEX('Fuel Model -  Input'!$B$3:$N$1312,MATCH($B1649,'Fuel Model -  Input'!$B$3:$B$1312,0),MATCH(K$2,'Fuel Model -  Input'!$B$3:$N$3,0))</f>
        <v>2.2881327117174459</v>
      </c>
      <c r="L1649" s="524">
        <f>INDEX('Fuel Model -  Input'!$B$3:$N$1312,MATCH($B1649,'Fuel Model -  Input'!$B$3:$B$1312,0),MATCH(L$2,'Fuel Model -  Input'!$B$3:$N$3,0))</f>
        <v>2.1392207514501376</v>
      </c>
      <c r="M1649" s="524">
        <f>INDEX('Fuel Model -  Input'!$B$3:$N$1312,MATCH($B1649,'Fuel Model -  Input'!$B$3:$B$1312,0),MATCH(M$2,'Fuel Model -  Input'!$B$3:$N$3,0))</f>
        <v>2</v>
      </c>
    </row>
    <row r="1650" spans="2:14" hidden="1" outlineLevel="1" x14ac:dyDescent="0.2"/>
    <row r="1651" spans="2:14" ht="15" thickBot="1" x14ac:dyDescent="0.25"/>
    <row r="1652" spans="2:14" s="466" customFormat="1" ht="15.75" collapsed="1" thickBot="1" x14ac:dyDescent="0.3">
      <c r="B1652" s="463" t="s">
        <v>1709</v>
      </c>
      <c r="C1652" s="464" t="str">
        <f>+B1652</f>
        <v>Nitrogen</v>
      </c>
      <c r="D1652" s="465"/>
      <c r="E1652" s="465"/>
      <c r="F1652" s="465"/>
      <c r="G1652" s="738">
        <v>2020</v>
      </c>
      <c r="H1652" s="738">
        <v>2025</v>
      </c>
      <c r="I1652" s="738">
        <v>2030</v>
      </c>
      <c r="J1652" s="738">
        <v>2035</v>
      </c>
      <c r="K1652" s="738">
        <v>2040</v>
      </c>
      <c r="L1652" s="738">
        <v>2045</v>
      </c>
      <c r="M1652" s="739">
        <v>2050</v>
      </c>
    </row>
    <row r="1653" spans="2:14" ht="12.75" hidden="1" outlineLevel="1" x14ac:dyDescent="0.2">
      <c r="F1653"/>
    </row>
    <row r="1654" spans="2:14" ht="15" hidden="1" outlineLevel="1" x14ac:dyDescent="0.25">
      <c r="B1654" t="str">
        <f>+C1654&amp;D1654&amp;E1654&amp;F1654</f>
        <v>EuropeFeedstockCost of N2USD/ton</v>
      </c>
      <c r="C1654" t="s">
        <v>195</v>
      </c>
      <c r="D1654" t="s">
        <v>777</v>
      </c>
      <c r="E1654" s="30" t="s">
        <v>968</v>
      </c>
      <c r="F1654" s="128" t="s">
        <v>205</v>
      </c>
      <c r="G1654" s="524">
        <f>G$1660+G$1664+G1667</f>
        <v>76.36930365029599</v>
      </c>
      <c r="H1654" s="524">
        <f t="shared" ref="H1654:M1654" si="882">H$1660+H$1664+H1667</f>
        <v>48.618966019054945</v>
      </c>
      <c r="I1654" s="524">
        <f t="shared" si="882"/>
        <v>21.268680621504423</v>
      </c>
      <c r="J1654" s="524">
        <f t="shared" si="882"/>
        <v>19.60663738716525</v>
      </c>
      <c r="K1654" s="524">
        <f t="shared" si="882"/>
        <v>18.226474520289038</v>
      </c>
      <c r="L1654" s="524">
        <f t="shared" si="882"/>
        <v>16.81715065733767</v>
      </c>
      <c r="M1654" s="524">
        <f t="shared" si="882"/>
        <v>15.528638764914493</v>
      </c>
      <c r="N1654" s="93"/>
    </row>
    <row r="1655" spans="2:14" ht="15" hidden="1" outlineLevel="1" x14ac:dyDescent="0.25">
      <c r="B1655" t="str">
        <f>+C1655&amp;D1655&amp;E1655&amp;F1655</f>
        <v>Middle EastFeedstockCost of N2USD/ton</v>
      </c>
      <c r="C1655" t="s">
        <v>197</v>
      </c>
      <c r="D1655" t="s">
        <v>777</v>
      </c>
      <c r="E1655" s="30" t="s">
        <v>968</v>
      </c>
      <c r="F1655" s="128" t="s">
        <v>205</v>
      </c>
      <c r="G1655" s="524">
        <f t="shared" ref="G1655:M1655" si="883">G$1660+G$1664+G1668</f>
        <v>73.83423159827089</v>
      </c>
      <c r="H1655" s="524">
        <f t="shared" si="883"/>
        <v>46.533951158874153</v>
      </c>
      <c r="I1655" s="524">
        <f t="shared" si="883"/>
        <v>19.785682491691094</v>
      </c>
      <c r="J1655" s="524">
        <f t="shared" si="883"/>
        <v>18.060528441932419</v>
      </c>
      <c r="K1655" s="524">
        <f t="shared" si="883"/>
        <v>16.715641720709868</v>
      </c>
      <c r="L1655" s="524">
        <f t="shared" si="883"/>
        <v>15.25168128216399</v>
      </c>
      <c r="M1655" s="524">
        <f t="shared" si="883"/>
        <v>14.054482066005454</v>
      </c>
    </row>
    <row r="1656" spans="2:14" ht="15" hidden="1" outlineLevel="1" x14ac:dyDescent="0.25">
      <c r="B1656" t="str">
        <f>+C1656&amp;D1656&amp;E1656&amp;F1656</f>
        <v>AsiaFeedstockCost of N2USD/ton</v>
      </c>
      <c r="C1656" t="s">
        <v>198</v>
      </c>
      <c r="D1656" t="s">
        <v>777</v>
      </c>
      <c r="E1656" s="30" t="s">
        <v>968</v>
      </c>
      <c r="F1656" s="128" t="s">
        <v>205</v>
      </c>
      <c r="G1656" s="524">
        <f t="shared" ref="G1656:M1656" si="884">G$1660+G$1664+G1669</f>
        <v>81.862337229745236</v>
      </c>
      <c r="H1656" s="524">
        <f t="shared" si="884"/>
        <v>50.488976010106306</v>
      </c>
      <c r="I1656" s="524">
        <f t="shared" si="884"/>
        <v>22.775365393798054</v>
      </c>
      <c r="J1656" s="524">
        <f t="shared" si="884"/>
        <v>20.421579824452593</v>
      </c>
      <c r="K1656" s="524">
        <f t="shared" si="884"/>
        <v>18.751716533248871</v>
      </c>
      <c r="L1656" s="524">
        <f t="shared" si="884"/>
        <v>17.048799494435407</v>
      </c>
      <c r="M1656" s="524">
        <f t="shared" si="884"/>
        <v>15.746754054464876</v>
      </c>
    </row>
    <row r="1657" spans="2:14" ht="15" hidden="1" outlineLevel="1" x14ac:dyDescent="0.25">
      <c r="B1657" t="str">
        <f>+C1657&amp;D1657&amp;E1657&amp;F1657</f>
        <v>AmericasFeedstockCost of N2USD/ton</v>
      </c>
      <c r="C1657" t="s">
        <v>199</v>
      </c>
      <c r="D1657" t="s">
        <v>777</v>
      </c>
      <c r="E1657" s="30" t="s">
        <v>968</v>
      </c>
      <c r="F1657" s="128" t="s">
        <v>205</v>
      </c>
      <c r="G1657" s="524">
        <f t="shared" ref="G1657:M1657" si="885">G$1660+G$1664+G1670</f>
        <v>73.243281140630202</v>
      </c>
      <c r="H1657" s="524">
        <f t="shared" si="885"/>
        <v>46.816874086168916</v>
      </c>
      <c r="I1657" s="524">
        <f t="shared" si="885"/>
        <v>19.865947831746382</v>
      </c>
      <c r="J1657" s="524">
        <f t="shared" si="885"/>
        <v>18.285431284718605</v>
      </c>
      <c r="K1657" s="524">
        <f t="shared" si="885"/>
        <v>16.821951869880497</v>
      </c>
      <c r="L1657" s="524">
        <f t="shared" si="885"/>
        <v>15.657623208691014</v>
      </c>
      <c r="M1657" s="524">
        <f t="shared" si="885"/>
        <v>14.542857769362545</v>
      </c>
    </row>
    <row r="1658" spans="2:14" ht="15" hidden="1" outlineLevel="1" x14ac:dyDescent="0.25">
      <c r="B1658" t="str">
        <f>+C1658&amp;D1658&amp;E1658&amp;F1658</f>
        <v>AfricaFeedstockCost of N2USD/ton</v>
      </c>
      <c r="C1658" t="s">
        <v>200</v>
      </c>
      <c r="D1658" t="s">
        <v>777</v>
      </c>
      <c r="E1658" s="30" t="s">
        <v>968</v>
      </c>
      <c r="F1658" s="128" t="s">
        <v>205</v>
      </c>
      <c r="G1658" s="524">
        <f t="shared" ref="G1658:M1658" si="886">G$1660+G$1664+G1671</f>
        <v>81.2418677970159</v>
      </c>
      <c r="H1658" s="524">
        <f t="shared" si="886"/>
        <v>48.71869044549404</v>
      </c>
      <c r="I1658" s="524">
        <f t="shared" si="886"/>
        <v>21.14066290306296</v>
      </c>
      <c r="J1658" s="524">
        <f t="shared" si="886"/>
        <v>19.111238819508714</v>
      </c>
      <c r="K1658" s="524">
        <f t="shared" si="886"/>
        <v>17.646555185201631</v>
      </c>
      <c r="L1658" s="524">
        <f t="shared" si="886"/>
        <v>16.167674241872948</v>
      </c>
      <c r="M1658" s="524">
        <f t="shared" si="886"/>
        <v>14.951720645447944</v>
      </c>
    </row>
    <row r="1659" spans="2:14" ht="15" hidden="1" outlineLevel="1" x14ac:dyDescent="0.25">
      <c r="E1659" s="30"/>
      <c r="F1659" s="128"/>
      <c r="G1659" s="524"/>
      <c r="H1659" s="524"/>
      <c r="I1659" s="524"/>
      <c r="J1659" s="524"/>
      <c r="K1659" s="524"/>
      <c r="L1659" s="524"/>
      <c r="M1659" s="524"/>
    </row>
    <row r="1660" spans="2:14" hidden="1" outlineLevel="2" x14ac:dyDescent="0.2">
      <c r="B1660" t="str">
        <f>+C1660&amp;D1660&amp;E1660&amp;F1660</f>
        <v>GlobalCapexCapex per yearUSD/ ton N2 / year</v>
      </c>
      <c r="C1660" t="s">
        <v>109</v>
      </c>
      <c r="D1660" t="s">
        <v>218</v>
      </c>
      <c r="E1660" t="s">
        <v>956</v>
      </c>
      <c r="F1660" s="128" t="s">
        <v>1726</v>
      </c>
      <c r="G1660" s="342">
        <f t="shared" ref="G1660:M1660" si="887">G1662/G1661</f>
        <v>45.050000000000011</v>
      </c>
      <c r="H1660" s="342">
        <f t="shared" si="887"/>
        <v>27.38333333333334</v>
      </c>
      <c r="I1660" s="342">
        <f t="shared" si="887"/>
        <v>9.7166666666666686</v>
      </c>
      <c r="J1660" s="342">
        <f t="shared" si="887"/>
        <v>9.0541666666666689</v>
      </c>
      <c r="K1660" s="342">
        <f t="shared" si="887"/>
        <v>8.3916666666666693</v>
      </c>
      <c r="L1660" s="342">
        <f t="shared" si="887"/>
        <v>7.7291666666666687</v>
      </c>
      <c r="M1660" s="342">
        <f t="shared" si="887"/>
        <v>7.0666666666666682</v>
      </c>
    </row>
    <row r="1661" spans="2:14" hidden="1" outlineLevel="2" x14ac:dyDescent="0.2">
      <c r="B1661" t="str">
        <f>+C1661&amp;D1661&amp;E1661&amp;F1661</f>
        <v>GlobalPlant capexAnnualisation factor#</v>
      </c>
      <c r="C1661" t="s">
        <v>109</v>
      </c>
      <c r="D1661" t="s">
        <v>786</v>
      </c>
      <c r="E1661" t="s">
        <v>764</v>
      </c>
      <c r="F1661" s="450" t="s">
        <v>787</v>
      </c>
      <c r="G1661" s="532">
        <f>INDEX('Fuel Model -  Input'!$B$3:$N$1312,MATCH($B1661,'Fuel Model -  Input'!$B$3:$B$1312,0),MATCH(G$2,'Fuel Model -  Input'!$B$3:$N$3,0))</f>
        <v>11.32075471698113</v>
      </c>
      <c r="H1661" s="532">
        <f>INDEX('Fuel Model -  Input'!$B$3:$N$1312,MATCH($B1661,'Fuel Model -  Input'!$B$3:$B$1312,0),MATCH(H$2,'Fuel Model -  Input'!$B$3:$N$3,0))</f>
        <v>11.32075471698113</v>
      </c>
      <c r="I1661" s="532">
        <f>INDEX('Fuel Model -  Input'!$B$3:$N$1312,MATCH($B1661,'Fuel Model -  Input'!$B$3:$B$1312,0),MATCH(I$2,'Fuel Model -  Input'!$B$3:$N$3,0))</f>
        <v>11.32075471698113</v>
      </c>
      <c r="J1661" s="532">
        <f>INDEX('Fuel Model -  Input'!$B$3:$N$1312,MATCH($B1661,'Fuel Model -  Input'!$B$3:$B$1312,0),MATCH(J$2,'Fuel Model -  Input'!$B$3:$N$3,0))</f>
        <v>11.32075471698113</v>
      </c>
      <c r="K1661" s="532">
        <f>INDEX('Fuel Model -  Input'!$B$3:$N$1312,MATCH($B1661,'Fuel Model -  Input'!$B$3:$B$1312,0),MATCH(K$2,'Fuel Model -  Input'!$B$3:$N$3,0))</f>
        <v>11.32075471698113</v>
      </c>
      <c r="L1661" s="532">
        <f>INDEX('Fuel Model -  Input'!$B$3:$N$1312,MATCH($B1661,'Fuel Model -  Input'!$B$3:$B$1312,0),MATCH(L$2,'Fuel Model -  Input'!$B$3:$N$3,0))</f>
        <v>11.32075471698113</v>
      </c>
      <c r="M1661" s="532">
        <f>INDEX('Fuel Model -  Input'!$B$3:$N$1312,MATCH($B1661,'Fuel Model -  Input'!$B$3:$B$1312,0),MATCH(M$2,'Fuel Model -  Input'!$B$3:$N$3,0))</f>
        <v>11.32075471698113</v>
      </c>
    </row>
    <row r="1662" spans="2:14" hidden="1" outlineLevel="2" x14ac:dyDescent="0.2">
      <c r="B1662" t="str">
        <f>+C1662&amp;D1662&amp;E1662&amp;F1662</f>
        <v>GlobalCapexNitrogen ASU capexUSD/ ton N2</v>
      </c>
      <c r="C1662" t="s">
        <v>109</v>
      </c>
      <c r="D1662" t="s">
        <v>218</v>
      </c>
      <c r="E1662" t="s">
        <v>1715</v>
      </c>
      <c r="F1662" s="224" t="s">
        <v>1717</v>
      </c>
      <c r="G1662" s="532">
        <f>INDEX('Fuel Model -  Input'!$B$3:$N$1312,MATCH($B1662,'Fuel Model -  Input'!$B$3:$B$1312,0),MATCH(G$2,'Fuel Model -  Input'!$B$3:$N$3,0))</f>
        <v>510</v>
      </c>
      <c r="H1662" s="532">
        <f>INDEX('Fuel Model -  Input'!$B$3:$N$1312,MATCH($B1662,'Fuel Model -  Input'!$B$3:$B$1312,0),MATCH(H$2,'Fuel Model -  Input'!$B$3:$N$3,0))</f>
        <v>310</v>
      </c>
      <c r="I1662" s="532">
        <f>INDEX('Fuel Model -  Input'!$B$3:$N$1312,MATCH($B1662,'Fuel Model -  Input'!$B$3:$B$1312,0),MATCH(I$2,'Fuel Model -  Input'!$B$3:$N$3,0))</f>
        <v>110</v>
      </c>
      <c r="J1662" s="532">
        <f>INDEX('Fuel Model -  Input'!$B$3:$N$1312,MATCH($B1662,'Fuel Model -  Input'!$B$3:$B$1312,0),MATCH(J$2,'Fuel Model -  Input'!$B$3:$N$3,0))</f>
        <v>102.5</v>
      </c>
      <c r="K1662" s="532">
        <f>INDEX('Fuel Model -  Input'!$B$3:$N$1312,MATCH($B1662,'Fuel Model -  Input'!$B$3:$B$1312,0),MATCH(K$2,'Fuel Model -  Input'!$B$3:$N$3,0))</f>
        <v>95</v>
      </c>
      <c r="L1662" s="532">
        <f>INDEX('Fuel Model -  Input'!$B$3:$N$1312,MATCH($B1662,'Fuel Model -  Input'!$B$3:$B$1312,0),MATCH(L$2,'Fuel Model -  Input'!$B$3:$N$3,0))</f>
        <v>87.5</v>
      </c>
      <c r="M1662" s="532">
        <f>INDEX('Fuel Model -  Input'!$B$3:$N$1312,MATCH($B1662,'Fuel Model -  Input'!$B$3:$B$1312,0),MATCH(M$2,'Fuel Model -  Input'!$B$3:$N$3,0))</f>
        <v>80</v>
      </c>
    </row>
    <row r="1663" spans="2:14" hidden="1" outlineLevel="2" x14ac:dyDescent="0.2">
      <c r="E1663" s="48"/>
      <c r="F1663" s="128"/>
      <c r="G1663" s="14"/>
      <c r="H1663" s="14"/>
      <c r="I1663" s="14"/>
      <c r="J1663" s="14"/>
      <c r="K1663" s="14"/>
      <c r="L1663" s="14"/>
      <c r="M1663" s="14"/>
    </row>
    <row r="1664" spans="2:14" hidden="1" outlineLevel="2" x14ac:dyDescent="0.2">
      <c r="B1664" s="78" t="str">
        <f>+C1664&amp;D1664&amp;E1664&amp;F1664</f>
        <v>GlobalOperationsAnnual captureUSD/ ton N2 / year</v>
      </c>
      <c r="C1664" t="s">
        <v>109</v>
      </c>
      <c r="D1664" t="s">
        <v>1131</v>
      </c>
      <c r="E1664" t="s">
        <v>1132</v>
      </c>
      <c r="F1664" s="128" t="s">
        <v>1726</v>
      </c>
      <c r="G1664" s="22">
        <f t="shared" ref="G1664:M1664" si="888">G1662*G1665</f>
        <v>20.400000000000002</v>
      </c>
      <c r="H1664" s="22">
        <f t="shared" si="888"/>
        <v>12.4</v>
      </c>
      <c r="I1664" s="22">
        <f t="shared" si="888"/>
        <v>4.4000000000000004</v>
      </c>
      <c r="J1664" s="22">
        <f t="shared" si="888"/>
        <v>4.0999999999999996</v>
      </c>
      <c r="K1664" s="22">
        <f t="shared" si="888"/>
        <v>3.8000000000000003</v>
      </c>
      <c r="L1664" s="22">
        <f t="shared" si="888"/>
        <v>3.5</v>
      </c>
      <c r="M1664" s="22">
        <f t="shared" si="888"/>
        <v>3.2</v>
      </c>
    </row>
    <row r="1665" spans="2:14" hidden="1" outlineLevel="2" x14ac:dyDescent="0.2">
      <c r="B1665" t="str">
        <f>+C1665&amp;D1665&amp;E1665&amp;F1665</f>
        <v>GlobalOpexOpex - ASU facilityPercent of Capex</v>
      </c>
      <c r="C1665" t="s">
        <v>109</v>
      </c>
      <c r="D1665" t="s">
        <v>219</v>
      </c>
      <c r="E1665" t="s">
        <v>1716</v>
      </c>
      <c r="F1665" s="15" t="s">
        <v>883</v>
      </c>
      <c r="G1665" s="531">
        <f>INDEX('Fuel Model -  Input'!$B$3:$N$1312,MATCH($B1665,'Fuel Model -  Input'!$B$3:$B$1312,0),MATCH(G$2,'Fuel Model -  Input'!$B$3:$N$3,0))</f>
        <v>0.04</v>
      </c>
      <c r="H1665" s="531">
        <f>INDEX('Fuel Model -  Input'!$B$3:$N$1312,MATCH($B1665,'Fuel Model -  Input'!$B$3:$B$1312,0),MATCH(H$2,'Fuel Model -  Input'!$B$3:$N$3,0))</f>
        <v>0.04</v>
      </c>
      <c r="I1665" s="531">
        <f>INDEX('Fuel Model -  Input'!$B$3:$N$1312,MATCH($B1665,'Fuel Model -  Input'!$B$3:$B$1312,0),MATCH(I$2,'Fuel Model -  Input'!$B$3:$N$3,0))</f>
        <v>0.04</v>
      </c>
      <c r="J1665" s="531">
        <f>INDEX('Fuel Model -  Input'!$B$3:$N$1312,MATCH($B1665,'Fuel Model -  Input'!$B$3:$B$1312,0),MATCH(J$2,'Fuel Model -  Input'!$B$3:$N$3,0))</f>
        <v>0.04</v>
      </c>
      <c r="K1665" s="531">
        <f>INDEX('Fuel Model -  Input'!$B$3:$N$1312,MATCH($B1665,'Fuel Model -  Input'!$B$3:$B$1312,0),MATCH(K$2,'Fuel Model -  Input'!$B$3:$N$3,0))</f>
        <v>0.04</v>
      </c>
      <c r="L1665" s="531">
        <f>INDEX('Fuel Model -  Input'!$B$3:$N$1312,MATCH($B1665,'Fuel Model -  Input'!$B$3:$B$1312,0),MATCH(L$2,'Fuel Model -  Input'!$B$3:$N$3,0))</f>
        <v>0.04</v>
      </c>
      <c r="M1665" s="531">
        <f>INDEX('Fuel Model -  Input'!$B$3:$N$1312,MATCH($B1665,'Fuel Model -  Input'!$B$3:$B$1312,0),MATCH(M$2,'Fuel Model -  Input'!$B$3:$N$3,0))</f>
        <v>0.04</v>
      </c>
    </row>
    <row r="1666" spans="2:14" ht="15" hidden="1" outlineLevel="1" x14ac:dyDescent="0.25">
      <c r="E1666" s="30"/>
      <c r="F1666" s="128"/>
      <c r="G1666" s="524"/>
      <c r="H1666" s="22"/>
      <c r="I1666" s="524"/>
      <c r="J1666" s="524"/>
      <c r="K1666" s="524"/>
      <c r="L1666" s="524"/>
      <c r="M1666" s="524"/>
    </row>
    <row r="1667" spans="2:14" hidden="1" outlineLevel="2" x14ac:dyDescent="0.2">
      <c r="B1667" s="78" t="str">
        <f t="shared" ref="B1667:B1677" si="889">+C1667&amp;D1667&amp;E1667&amp;F1667</f>
        <v>EuropeCO2 PSElectricity costUSD/ ton N2 / year</v>
      </c>
      <c r="C1667" t="s">
        <v>195</v>
      </c>
      <c r="D1667" t="s">
        <v>1699</v>
      </c>
      <c r="E1667" s="48" t="s">
        <v>94</v>
      </c>
      <c r="F1667" s="128" t="s">
        <v>1726</v>
      </c>
      <c r="G1667" s="260">
        <f>G1673*G$1672</f>
        <v>10.919303650295966</v>
      </c>
      <c r="H1667" s="260">
        <f t="shared" ref="H1667:M1667" si="890">H1673*H$1672</f>
        <v>8.8356326857216043</v>
      </c>
      <c r="I1667" s="260">
        <f t="shared" si="890"/>
        <v>7.1520139548377522</v>
      </c>
      <c r="J1667" s="260">
        <f t="shared" si="890"/>
        <v>6.4524707204985834</v>
      </c>
      <c r="K1667" s="260">
        <f t="shared" si="890"/>
        <v>6.0348078536223664</v>
      </c>
      <c r="L1667" s="260">
        <f t="shared" si="890"/>
        <v>5.5879839906710007</v>
      </c>
      <c r="M1667" s="260">
        <f t="shared" si="890"/>
        <v>5.2619720982478242</v>
      </c>
    </row>
    <row r="1668" spans="2:14" hidden="1" outlineLevel="2" x14ac:dyDescent="0.2">
      <c r="B1668" s="78" t="str">
        <f t="shared" si="889"/>
        <v>Middle EastCO2 PSElectricity costUSD/ ton N2 / year</v>
      </c>
      <c r="C1668" t="s">
        <v>197</v>
      </c>
      <c r="D1668" t="s">
        <v>1699</v>
      </c>
      <c r="E1668" s="48" t="s">
        <v>94</v>
      </c>
      <c r="F1668" s="128" t="s">
        <v>1726</v>
      </c>
      <c r="G1668" s="260">
        <f t="shared" ref="G1668:M1668" si="891">G1674*G$1672</f>
        <v>8.3842315982708655</v>
      </c>
      <c r="H1668" s="260">
        <f t="shared" si="891"/>
        <v>6.7506178255408162</v>
      </c>
      <c r="I1668" s="260">
        <f t="shared" si="891"/>
        <v>5.6690158250244265</v>
      </c>
      <c r="J1668" s="260">
        <f t="shared" si="891"/>
        <v>4.9063617752657498</v>
      </c>
      <c r="K1668" s="260">
        <f t="shared" si="891"/>
        <v>4.5239750540432002</v>
      </c>
      <c r="L1668" s="260">
        <f t="shared" si="891"/>
        <v>4.0225146154973208</v>
      </c>
      <c r="M1668" s="260">
        <f t="shared" si="891"/>
        <v>3.7878153993387844</v>
      </c>
    </row>
    <row r="1669" spans="2:14" hidden="1" outlineLevel="2" x14ac:dyDescent="0.2">
      <c r="B1669" s="78" t="str">
        <f t="shared" si="889"/>
        <v>AsiaCO2 PSElectricity costUSD/ ton N2 / year</v>
      </c>
      <c r="C1669" t="s">
        <v>198</v>
      </c>
      <c r="D1669" t="s">
        <v>1699</v>
      </c>
      <c r="E1669" s="48" t="s">
        <v>94</v>
      </c>
      <c r="F1669" s="128" t="s">
        <v>1726</v>
      </c>
      <c r="G1669" s="260">
        <f t="shared" ref="G1669:M1669" si="892">G1675*G$1672</f>
        <v>16.412337229745212</v>
      </c>
      <c r="H1669" s="260">
        <f t="shared" si="892"/>
        <v>10.705642676772968</v>
      </c>
      <c r="I1669" s="260">
        <f t="shared" si="892"/>
        <v>8.6586987271313856</v>
      </c>
      <c r="J1669" s="260">
        <f t="shared" si="892"/>
        <v>7.267413157785926</v>
      </c>
      <c r="K1669" s="260">
        <f t="shared" si="892"/>
        <v>6.5600498665822009</v>
      </c>
      <c r="L1669" s="260">
        <f t="shared" si="892"/>
        <v>5.8196328277687401</v>
      </c>
      <c r="M1669" s="260">
        <f t="shared" si="892"/>
        <v>5.4800873877982061</v>
      </c>
    </row>
    <row r="1670" spans="2:14" hidden="1" outlineLevel="2" x14ac:dyDescent="0.2">
      <c r="B1670" s="78" t="str">
        <f t="shared" si="889"/>
        <v>AmericasCO2 PSElectricity costUSD/ ton N2 / year</v>
      </c>
      <c r="C1670" t="s">
        <v>199</v>
      </c>
      <c r="D1670" t="s">
        <v>1699</v>
      </c>
      <c r="E1670" s="48" t="s">
        <v>94</v>
      </c>
      <c r="F1670" s="128" t="s">
        <v>1726</v>
      </c>
      <c r="G1670" s="260">
        <f t="shared" ref="G1670:M1670" si="893">G1676*G$1672</f>
        <v>7.7932811406301887</v>
      </c>
      <c r="H1670" s="260">
        <f t="shared" si="893"/>
        <v>7.0335407528355747</v>
      </c>
      <c r="I1670" s="260">
        <f t="shared" si="893"/>
        <v>5.7492811650797124</v>
      </c>
      <c r="J1670" s="260">
        <f t="shared" si="893"/>
        <v>5.1312646180519366</v>
      </c>
      <c r="K1670" s="260">
        <f t="shared" si="893"/>
        <v>4.630285203213826</v>
      </c>
      <c r="L1670" s="260">
        <f t="shared" si="893"/>
        <v>4.4284565420243469</v>
      </c>
      <c r="M1670" s="260">
        <f t="shared" si="893"/>
        <v>4.2761911026958765</v>
      </c>
    </row>
    <row r="1671" spans="2:14" hidden="1" outlineLevel="2" x14ac:dyDescent="0.2">
      <c r="B1671" s="78" t="str">
        <f t="shared" si="889"/>
        <v>AfricaCO2 PSElectricity costUSD/ ton N2 / year</v>
      </c>
      <c r="C1671" t="s">
        <v>200</v>
      </c>
      <c r="D1671" t="s">
        <v>1699</v>
      </c>
      <c r="E1671" s="48" t="s">
        <v>94</v>
      </c>
      <c r="F1671" s="128" t="s">
        <v>1726</v>
      </c>
      <c r="G1671" s="260">
        <f t="shared" ref="G1671:M1671" si="894">G1677*G$1672</f>
        <v>15.791867797015883</v>
      </c>
      <c r="H1671" s="260">
        <f t="shared" si="894"/>
        <v>8.9353571121607036</v>
      </c>
      <c r="I1671" s="260">
        <f t="shared" si="894"/>
        <v>7.0239962363962904</v>
      </c>
      <c r="J1671" s="260">
        <f t="shared" si="894"/>
        <v>5.9570721528420441</v>
      </c>
      <c r="K1671" s="260">
        <f t="shared" si="894"/>
        <v>5.4548885185349603</v>
      </c>
      <c r="L1671" s="260">
        <f t="shared" si="894"/>
        <v>4.9385075752062804</v>
      </c>
      <c r="M1671" s="260">
        <f t="shared" si="894"/>
        <v>4.6850539787812746</v>
      </c>
    </row>
    <row r="1672" spans="2:14" hidden="1" outlineLevel="2" x14ac:dyDescent="0.2">
      <c r="B1672" s="78" t="str">
        <f t="shared" si="889"/>
        <v>GlobalN2 ASUElectricity demandmWh/ton N2</v>
      </c>
      <c r="C1672" t="s">
        <v>109</v>
      </c>
      <c r="D1672" t="s">
        <v>1721</v>
      </c>
      <c r="E1672" t="s">
        <v>963</v>
      </c>
      <c r="F1672" s="15" t="s">
        <v>1718</v>
      </c>
      <c r="G1672" s="521">
        <f>INDEX('Fuel Model -  Input'!$B$3:$N$1312,MATCH($B1672,'Fuel Model -  Input'!$B$3:$B$1312,0),MATCH(G$2,'Fuel Model -  Input'!$B$3:$N$3,0))</f>
        <v>0.2</v>
      </c>
      <c r="H1672" s="521">
        <f>INDEX('Fuel Model -  Input'!$B$3:$N$1312,MATCH($B1672,'Fuel Model -  Input'!$B$3:$B$1312,0),MATCH(H$2,'Fuel Model -  Input'!$B$3:$N$3,0))</f>
        <v>0.2</v>
      </c>
      <c r="I1672" s="521">
        <f>INDEX('Fuel Model -  Input'!$B$3:$N$1312,MATCH($B1672,'Fuel Model -  Input'!$B$3:$B$1312,0),MATCH(I$2,'Fuel Model -  Input'!$B$3:$N$3,0))</f>
        <v>0.2</v>
      </c>
      <c r="J1672" s="521">
        <f>INDEX('Fuel Model -  Input'!$B$3:$N$1312,MATCH($B1672,'Fuel Model -  Input'!$B$3:$B$1312,0),MATCH(J$2,'Fuel Model -  Input'!$B$3:$N$3,0))</f>
        <v>0.2</v>
      </c>
      <c r="K1672" s="521">
        <f>INDEX('Fuel Model -  Input'!$B$3:$N$1312,MATCH($B1672,'Fuel Model -  Input'!$B$3:$B$1312,0),MATCH(K$2,'Fuel Model -  Input'!$B$3:$N$3,0))</f>
        <v>0.2</v>
      </c>
      <c r="L1672" s="521">
        <f>INDEX('Fuel Model -  Input'!$B$3:$N$1312,MATCH($B1672,'Fuel Model -  Input'!$B$3:$B$1312,0),MATCH(L$2,'Fuel Model -  Input'!$B$3:$N$3,0))</f>
        <v>0.2</v>
      </c>
      <c r="M1672" s="521">
        <f>INDEX('Fuel Model -  Input'!$B$3:$N$1312,MATCH($B1672,'Fuel Model -  Input'!$B$3:$B$1312,0),MATCH(M$2,'Fuel Model -  Input'!$B$3:$N$3,0))</f>
        <v>0.2</v>
      </c>
    </row>
    <row r="1673" spans="2:14" hidden="1" outlineLevel="2" x14ac:dyDescent="0.2">
      <c r="B1673" s="78" t="str">
        <f t="shared" si="889"/>
        <v>EuropeFeedstockElectricityUSD/MWh</v>
      </c>
      <c r="C1673" t="s">
        <v>195</v>
      </c>
      <c r="D1673" t="s">
        <v>777</v>
      </c>
      <c r="E1673" s="48" t="s">
        <v>54</v>
      </c>
      <c r="F1673" s="128" t="s">
        <v>196</v>
      </c>
      <c r="G1673" s="495">
        <f>INDEX('Fuel Model -  Input'!$B$3:$N$1312,MATCH($B1673,'Fuel Model -  Input'!$B$3:$B$1312,0),MATCH(G$2,'Fuel Model -  Input'!$B$3:$N$3,0))</f>
        <v>54.596518251479822</v>
      </c>
      <c r="H1673" s="495">
        <f>INDEX('Fuel Model -  Input'!$B$3:$N$1312,MATCH($B1673,'Fuel Model -  Input'!$B$3:$B$1312,0),MATCH(H$2,'Fuel Model -  Input'!$B$3:$N$3,0))</f>
        <v>44.178163428608016</v>
      </c>
      <c r="I1673" s="495">
        <f>INDEX('Fuel Model -  Input'!$B$3:$N$1312,MATCH($B1673,'Fuel Model -  Input'!$B$3:$B$1312,0),MATCH(I$2,'Fuel Model -  Input'!$B$3:$N$3,0))</f>
        <v>35.760069774188757</v>
      </c>
      <c r="J1673" s="495">
        <f>INDEX('Fuel Model -  Input'!$B$3:$N$1312,MATCH($B1673,'Fuel Model -  Input'!$B$3:$B$1312,0),MATCH(J$2,'Fuel Model -  Input'!$B$3:$N$3,0))</f>
        <v>32.262353602492915</v>
      </c>
      <c r="K1673" s="495">
        <f>INDEX('Fuel Model -  Input'!$B$3:$N$1312,MATCH($B1673,'Fuel Model -  Input'!$B$3:$B$1312,0),MATCH(K$2,'Fuel Model -  Input'!$B$3:$N$3,0))</f>
        <v>30.17403926811183</v>
      </c>
      <c r="L1673" s="495">
        <f>INDEX('Fuel Model -  Input'!$B$3:$N$1312,MATCH($B1673,'Fuel Model -  Input'!$B$3:$B$1312,0),MATCH(L$2,'Fuel Model -  Input'!$B$3:$N$3,0))</f>
        <v>27.939919953355002</v>
      </c>
      <c r="M1673" s="495">
        <f>INDEX('Fuel Model -  Input'!$B$3:$N$1312,MATCH($B1673,'Fuel Model -  Input'!$B$3:$B$1312,0),MATCH(M$2,'Fuel Model -  Input'!$B$3:$N$3,0))</f>
        <v>26.309860491239117</v>
      </c>
    </row>
    <row r="1674" spans="2:14" hidden="1" outlineLevel="2" x14ac:dyDescent="0.2">
      <c r="B1674" s="78" t="str">
        <f t="shared" si="889"/>
        <v>Middle EastFeedstockElectricityUSD/MWh</v>
      </c>
      <c r="C1674" t="s">
        <v>197</v>
      </c>
      <c r="D1674" t="s">
        <v>777</v>
      </c>
      <c r="E1674" s="48" t="s">
        <v>54</v>
      </c>
      <c r="F1674" s="128" t="s">
        <v>196</v>
      </c>
      <c r="G1674" s="495">
        <f>INDEX('Fuel Model -  Input'!$B$3:$N$1312,MATCH($B1674,'Fuel Model -  Input'!$B$3:$B$1312,0),MATCH(G$2,'Fuel Model -  Input'!$B$3:$N$3,0))</f>
        <v>41.921157991354328</v>
      </c>
      <c r="H1674" s="495">
        <f>INDEX('Fuel Model -  Input'!$B$3:$N$1312,MATCH($B1674,'Fuel Model -  Input'!$B$3:$B$1312,0),MATCH(H$2,'Fuel Model -  Input'!$B$3:$N$3,0))</f>
        <v>33.753089127704079</v>
      </c>
      <c r="I1674" s="495">
        <f>INDEX('Fuel Model -  Input'!$B$3:$N$1312,MATCH($B1674,'Fuel Model -  Input'!$B$3:$B$1312,0),MATCH(I$2,'Fuel Model -  Input'!$B$3:$N$3,0))</f>
        <v>28.34507912512213</v>
      </c>
      <c r="J1674" s="495">
        <f>INDEX('Fuel Model -  Input'!$B$3:$N$1312,MATCH($B1674,'Fuel Model -  Input'!$B$3:$B$1312,0),MATCH(J$2,'Fuel Model -  Input'!$B$3:$N$3,0))</f>
        <v>24.531808876328746</v>
      </c>
      <c r="K1674" s="495">
        <f>INDEX('Fuel Model -  Input'!$B$3:$N$1312,MATCH($B1674,'Fuel Model -  Input'!$B$3:$B$1312,0),MATCH(K$2,'Fuel Model -  Input'!$B$3:$N$3,0))</f>
        <v>22.619875270215999</v>
      </c>
      <c r="L1674" s="495">
        <f>INDEX('Fuel Model -  Input'!$B$3:$N$1312,MATCH($B1674,'Fuel Model -  Input'!$B$3:$B$1312,0),MATCH(L$2,'Fuel Model -  Input'!$B$3:$N$3,0))</f>
        <v>20.112573077486601</v>
      </c>
      <c r="M1674" s="495">
        <f>INDEX('Fuel Model -  Input'!$B$3:$N$1312,MATCH($B1674,'Fuel Model -  Input'!$B$3:$B$1312,0),MATCH(M$2,'Fuel Model -  Input'!$B$3:$N$3,0))</f>
        <v>18.93907699669392</v>
      </c>
    </row>
    <row r="1675" spans="2:14" hidden="1" outlineLevel="2" x14ac:dyDescent="0.2">
      <c r="B1675" s="78" t="str">
        <f t="shared" si="889"/>
        <v>AsiaFeedstockElectricityUSD/MWh</v>
      </c>
      <c r="C1675" t="s">
        <v>198</v>
      </c>
      <c r="D1675" t="s">
        <v>777</v>
      </c>
      <c r="E1675" s="48" t="s">
        <v>54</v>
      </c>
      <c r="F1675" s="128" t="s">
        <v>196</v>
      </c>
      <c r="G1675" s="495">
        <f>INDEX('Fuel Model -  Input'!$B$3:$N$1312,MATCH($B1675,'Fuel Model -  Input'!$B$3:$B$1312,0),MATCH(G$2,'Fuel Model -  Input'!$B$3:$N$3,0))</f>
        <v>82.061686148726054</v>
      </c>
      <c r="H1675" s="495">
        <f>INDEX('Fuel Model -  Input'!$B$3:$N$1312,MATCH($B1675,'Fuel Model -  Input'!$B$3:$B$1312,0),MATCH(H$2,'Fuel Model -  Input'!$B$3:$N$3,0))</f>
        <v>53.528213383864831</v>
      </c>
      <c r="I1675" s="495">
        <f>INDEX('Fuel Model -  Input'!$B$3:$N$1312,MATCH($B1675,'Fuel Model -  Input'!$B$3:$B$1312,0),MATCH(I$2,'Fuel Model -  Input'!$B$3:$N$3,0))</f>
        <v>43.29349363565693</v>
      </c>
      <c r="J1675" s="495">
        <f>INDEX('Fuel Model -  Input'!$B$3:$N$1312,MATCH($B1675,'Fuel Model -  Input'!$B$3:$B$1312,0),MATCH(J$2,'Fuel Model -  Input'!$B$3:$N$3,0))</f>
        <v>36.337065788929628</v>
      </c>
      <c r="K1675" s="495">
        <f>INDEX('Fuel Model -  Input'!$B$3:$N$1312,MATCH($B1675,'Fuel Model -  Input'!$B$3:$B$1312,0),MATCH(K$2,'Fuel Model -  Input'!$B$3:$N$3,0))</f>
        <v>32.800249332911001</v>
      </c>
      <c r="L1675" s="495">
        <f>INDEX('Fuel Model -  Input'!$B$3:$N$1312,MATCH($B1675,'Fuel Model -  Input'!$B$3:$B$1312,0),MATCH(L$2,'Fuel Model -  Input'!$B$3:$N$3,0))</f>
        <v>29.0981641388437</v>
      </c>
      <c r="M1675" s="495">
        <f>INDEX('Fuel Model -  Input'!$B$3:$N$1312,MATCH($B1675,'Fuel Model -  Input'!$B$3:$B$1312,0),MATCH(M$2,'Fuel Model -  Input'!$B$3:$N$3,0))</f>
        <v>27.400436938991028</v>
      </c>
    </row>
    <row r="1676" spans="2:14" hidden="1" outlineLevel="2" x14ac:dyDescent="0.2">
      <c r="B1676" s="78" t="str">
        <f t="shared" si="889"/>
        <v>AmericasFeedstockElectricityUSD/MWh</v>
      </c>
      <c r="C1676" t="s">
        <v>199</v>
      </c>
      <c r="D1676" t="s">
        <v>777</v>
      </c>
      <c r="E1676" s="48" t="s">
        <v>54</v>
      </c>
      <c r="F1676" s="128" t="s">
        <v>196</v>
      </c>
      <c r="G1676" s="495">
        <f>INDEX('Fuel Model -  Input'!$B$3:$N$1312,MATCH($B1676,'Fuel Model -  Input'!$B$3:$B$1312,0),MATCH(G$2,'Fuel Model -  Input'!$B$3:$N$3,0))</f>
        <v>38.96640570315094</v>
      </c>
      <c r="H1676" s="495">
        <f>INDEX('Fuel Model -  Input'!$B$3:$N$1312,MATCH($B1676,'Fuel Model -  Input'!$B$3:$B$1312,0),MATCH(H$2,'Fuel Model -  Input'!$B$3:$N$3,0))</f>
        <v>35.167703764177872</v>
      </c>
      <c r="I1676" s="495">
        <f>INDEX('Fuel Model -  Input'!$B$3:$N$1312,MATCH($B1676,'Fuel Model -  Input'!$B$3:$B$1312,0),MATCH(I$2,'Fuel Model -  Input'!$B$3:$N$3,0))</f>
        <v>28.746405825398561</v>
      </c>
      <c r="J1676" s="495">
        <f>INDEX('Fuel Model -  Input'!$B$3:$N$1312,MATCH($B1676,'Fuel Model -  Input'!$B$3:$B$1312,0),MATCH(J$2,'Fuel Model -  Input'!$B$3:$N$3,0))</f>
        <v>25.656323090259679</v>
      </c>
      <c r="K1676" s="495">
        <f>INDEX('Fuel Model -  Input'!$B$3:$N$1312,MATCH($B1676,'Fuel Model -  Input'!$B$3:$B$1312,0),MATCH(K$2,'Fuel Model -  Input'!$B$3:$N$3,0))</f>
        <v>23.151426016069131</v>
      </c>
      <c r="L1676" s="495">
        <f>INDEX('Fuel Model -  Input'!$B$3:$N$1312,MATCH($B1676,'Fuel Model -  Input'!$B$3:$B$1312,0),MATCH(L$2,'Fuel Model -  Input'!$B$3:$N$3,0))</f>
        <v>22.142282710121734</v>
      </c>
      <c r="M1676" s="495">
        <f>INDEX('Fuel Model -  Input'!$B$3:$N$1312,MATCH($B1676,'Fuel Model -  Input'!$B$3:$B$1312,0),MATCH(M$2,'Fuel Model -  Input'!$B$3:$N$3,0))</f>
        <v>21.380955513479382</v>
      </c>
    </row>
    <row r="1677" spans="2:14" hidden="1" outlineLevel="2" x14ac:dyDescent="0.2">
      <c r="B1677" s="78" t="str">
        <f t="shared" si="889"/>
        <v>AfricaFeedstockElectricityUSD/MWh</v>
      </c>
      <c r="C1677" t="s">
        <v>200</v>
      </c>
      <c r="D1677" t="s">
        <v>777</v>
      </c>
      <c r="E1677" s="48" t="s">
        <v>54</v>
      </c>
      <c r="F1677" s="128" t="s">
        <v>196</v>
      </c>
      <c r="G1677" s="495">
        <f>INDEX('Fuel Model -  Input'!$B$3:$N$1312,MATCH($B1677,'Fuel Model -  Input'!$B$3:$B$1312,0),MATCH(G$2,'Fuel Model -  Input'!$B$3:$N$3,0))</f>
        <v>78.959338985079413</v>
      </c>
      <c r="H1677" s="495">
        <f>INDEX('Fuel Model -  Input'!$B$3:$N$1312,MATCH($B1677,'Fuel Model -  Input'!$B$3:$B$1312,0),MATCH(H$2,'Fuel Model -  Input'!$B$3:$N$3,0))</f>
        <v>44.676785560803516</v>
      </c>
      <c r="I1677" s="495">
        <f>INDEX('Fuel Model -  Input'!$B$3:$N$1312,MATCH($B1677,'Fuel Model -  Input'!$B$3:$B$1312,0),MATCH(I$2,'Fuel Model -  Input'!$B$3:$N$3,0))</f>
        <v>35.119981181981451</v>
      </c>
      <c r="J1677" s="495">
        <f>INDEX('Fuel Model -  Input'!$B$3:$N$1312,MATCH($B1677,'Fuel Model -  Input'!$B$3:$B$1312,0),MATCH(J$2,'Fuel Model -  Input'!$B$3:$N$3,0))</f>
        <v>29.785360764210218</v>
      </c>
      <c r="K1677" s="495">
        <f>INDEX('Fuel Model -  Input'!$B$3:$N$1312,MATCH($B1677,'Fuel Model -  Input'!$B$3:$B$1312,0),MATCH(K$2,'Fuel Model -  Input'!$B$3:$N$3,0))</f>
        <v>27.274442592674799</v>
      </c>
      <c r="L1677" s="495">
        <f>INDEX('Fuel Model -  Input'!$B$3:$N$1312,MATCH($B1677,'Fuel Model -  Input'!$B$3:$B$1312,0),MATCH(L$2,'Fuel Model -  Input'!$B$3:$N$3,0))</f>
        <v>24.692537876031398</v>
      </c>
      <c r="M1677" s="495">
        <f>INDEX('Fuel Model -  Input'!$B$3:$N$1312,MATCH($B1677,'Fuel Model -  Input'!$B$3:$B$1312,0),MATCH(M$2,'Fuel Model -  Input'!$B$3:$N$3,0))</f>
        <v>23.425269893906371</v>
      </c>
    </row>
    <row r="1678" spans="2:14" ht="15" thickBot="1" x14ac:dyDescent="0.25"/>
    <row r="1679" spans="2:14" ht="15.75" collapsed="1" thickBot="1" x14ac:dyDescent="0.3">
      <c r="B1679" s="545" t="s">
        <v>117</v>
      </c>
      <c r="C1679" s="546" t="str">
        <f>+B1679</f>
        <v>LSFO</v>
      </c>
      <c r="D1679" s="547"/>
      <c r="E1679" s="547"/>
      <c r="F1679" s="547"/>
      <c r="G1679" s="740">
        <v>2020</v>
      </c>
      <c r="H1679" s="740">
        <v>2025</v>
      </c>
      <c r="I1679" s="740">
        <v>2030</v>
      </c>
      <c r="J1679" s="740">
        <v>2035</v>
      </c>
      <c r="K1679" s="740">
        <v>2040</v>
      </c>
      <c r="L1679" s="740">
        <v>2045</v>
      </c>
      <c r="M1679" s="741">
        <v>2050</v>
      </c>
    </row>
    <row r="1680" spans="2:14" ht="15" hidden="1" outlineLevel="1" x14ac:dyDescent="0.25">
      <c r="B1680" t="str">
        <f>+C1680&amp;D1680&amp;E1680&amp;F1680</f>
        <v>EuropeResultsCost of LSFOUSD/ton</v>
      </c>
      <c r="C1680" t="s">
        <v>195</v>
      </c>
      <c r="D1680" t="s">
        <v>838</v>
      </c>
      <c r="E1680" s="30" t="s">
        <v>1135</v>
      </c>
      <c r="F1680" s="522" t="s">
        <v>205</v>
      </c>
      <c r="G1680" s="524">
        <f>IF($C1680="Africa",INDEX('Fuel Cost - External'!H:H,MATCH($C$1679&amp;" - Africa&amp;Other - Fuel cost - "&amp;$F1680,'Fuel Cost - External'!$B:$B,0)),INDEX('Fuel Cost - External'!H:H,MATCH($C$1679&amp;" - "&amp;$C1680&amp;" - Fuel cost - "&amp;$F1680,'Fuel Cost - External'!$B:$B,0)))</f>
        <v>884.71322310880964</v>
      </c>
      <c r="H1680" s="524">
        <f>IF($C1680="Africa",INDEX('Fuel Cost - External'!I:I,MATCH($C$1679&amp;" - Africa&amp;Other - Fuel cost - "&amp;$F1680,'Fuel Cost - External'!$B:$B,0)),INDEX('Fuel Cost - External'!I:I,MATCH($C$1679&amp;" - "&amp;$C1680&amp;" - Fuel cost - "&amp;$F1680,'Fuel Cost - External'!$B:$B,0)))</f>
        <v>634.68557309979826</v>
      </c>
      <c r="I1680" s="524">
        <f>IF($C1680="Africa",INDEX('Fuel Cost - External'!J:J,MATCH($C$1679&amp;" - Africa&amp;Other - Fuel cost - "&amp;$F1680,'Fuel Cost - External'!$B:$B,0)),INDEX('Fuel Cost - External'!J:J,MATCH($C$1679&amp;" - "&amp;$C1680&amp;" - Fuel cost - "&amp;$F1680,'Fuel Cost - External'!$B:$B,0)))</f>
        <v>553.90740925073305</v>
      </c>
      <c r="J1680" s="524">
        <f>IF($C1680="Africa",INDEX('Fuel Cost - External'!K:K,MATCH($C$1679&amp;" - Africa&amp;Other - Fuel cost - "&amp;$F1680,'Fuel Cost - External'!$B:$B,0)),INDEX('Fuel Cost - External'!K:K,MATCH($C$1679&amp;" - "&amp;$C1680&amp;" - Fuel cost - "&amp;$F1680,'Fuel Cost - External'!$B:$B,0)))</f>
        <v>553.90740925073305</v>
      </c>
      <c r="K1680" s="524">
        <f>IF($C1680="Africa",INDEX('Fuel Cost - External'!L:L,MATCH($C$1679&amp;" - Africa&amp;Other - Fuel cost - "&amp;$F1680,'Fuel Cost - External'!$B:$B,0)),INDEX('Fuel Cost - External'!L:L,MATCH($C$1679&amp;" - "&amp;$C1680&amp;" - Fuel cost - "&amp;$F1680,'Fuel Cost - External'!$B:$B,0)))</f>
        <v>553.90740925073305</v>
      </c>
      <c r="L1680" s="524">
        <f>IF($C1680="Africa",INDEX('Fuel Cost - External'!M:M,MATCH($C$1679&amp;" - Africa&amp;Other - Fuel cost - "&amp;$F1680,'Fuel Cost - External'!$B:$B,0)),INDEX('Fuel Cost - External'!M:M,MATCH($C$1679&amp;" - "&amp;$C1680&amp;" - Fuel cost - "&amp;$F1680,'Fuel Cost - External'!$B:$B,0)))</f>
        <v>553.90740925073305</v>
      </c>
      <c r="M1680" s="524">
        <f>IF($C1680="Africa",INDEX('Fuel Cost - External'!N:N,MATCH($C$1679&amp;" - Africa&amp;Other - Fuel cost - "&amp;$F1680,'Fuel Cost - External'!$B:$B,0)),INDEX('Fuel Cost - External'!N:N,MATCH($C$1679&amp;" - "&amp;$C1680&amp;" - Fuel cost - "&amp;$F1680,'Fuel Cost - External'!$B:$B,0)))</f>
        <v>553.90740925073305</v>
      </c>
      <c r="N1680" s="93"/>
    </row>
    <row r="1681" spans="2:14" ht="15" hidden="1" outlineLevel="1" x14ac:dyDescent="0.25">
      <c r="B1681" t="str">
        <f>+C1681&amp;D1681&amp;E1681&amp;F1681</f>
        <v>Middle EastResultsCost of LSFOUSD/ton</v>
      </c>
      <c r="C1681" t="s">
        <v>197</v>
      </c>
      <c r="D1681" t="s">
        <v>838</v>
      </c>
      <c r="E1681" s="30" t="s">
        <v>1135</v>
      </c>
      <c r="F1681" s="522" t="s">
        <v>205</v>
      </c>
      <c r="G1681" s="524">
        <f>IF($C1681="Africa",INDEX('Fuel Cost - External'!H:H,MATCH($C$1679&amp;" - Africa&amp;Other - Fuel cost - "&amp;$F1681,'Fuel Cost - External'!$B:$B,0)),INDEX('Fuel Cost - External'!H:H,MATCH($C$1679&amp;" - "&amp;$C1681&amp;" - Fuel cost - "&amp;$F1681,'Fuel Cost - External'!$B:$B,0)))</f>
        <v>884.71322310880964</v>
      </c>
      <c r="H1681" s="524">
        <f>IF($C1681="Africa",INDEX('Fuel Cost - External'!I:I,MATCH($C$1679&amp;" - Africa&amp;Other - Fuel cost - "&amp;$F1681,'Fuel Cost - External'!$B:$B,0)),INDEX('Fuel Cost - External'!I:I,MATCH($C$1679&amp;" - "&amp;$C1681&amp;" - Fuel cost - "&amp;$F1681,'Fuel Cost - External'!$B:$B,0)))</f>
        <v>634.68557309979826</v>
      </c>
      <c r="I1681" s="524">
        <f>IF($C1681="Africa",INDEX('Fuel Cost - External'!J:J,MATCH($C$1679&amp;" - Africa&amp;Other - Fuel cost - "&amp;$F1681,'Fuel Cost - External'!$B:$B,0)),INDEX('Fuel Cost - External'!J:J,MATCH($C$1679&amp;" - "&amp;$C1681&amp;" - Fuel cost - "&amp;$F1681,'Fuel Cost - External'!$B:$B,0)))</f>
        <v>553.90740925073305</v>
      </c>
      <c r="J1681" s="524">
        <f>IF($C1681="Africa",INDEX('Fuel Cost - External'!K:K,MATCH($C$1679&amp;" - Africa&amp;Other - Fuel cost - "&amp;$F1681,'Fuel Cost - External'!$B:$B,0)),INDEX('Fuel Cost - External'!K:K,MATCH($C$1679&amp;" - "&amp;$C1681&amp;" - Fuel cost - "&amp;$F1681,'Fuel Cost - External'!$B:$B,0)))</f>
        <v>553.90740925073305</v>
      </c>
      <c r="K1681" s="524">
        <f>IF($C1681="Africa",INDEX('Fuel Cost - External'!L:L,MATCH($C$1679&amp;" - Africa&amp;Other - Fuel cost - "&amp;$F1681,'Fuel Cost - External'!$B:$B,0)),INDEX('Fuel Cost - External'!L:L,MATCH($C$1679&amp;" - "&amp;$C1681&amp;" - Fuel cost - "&amp;$F1681,'Fuel Cost - External'!$B:$B,0)))</f>
        <v>553.90740925073305</v>
      </c>
      <c r="L1681" s="524">
        <f>IF($C1681="Africa",INDEX('Fuel Cost - External'!M:M,MATCH($C$1679&amp;" - Africa&amp;Other - Fuel cost - "&amp;$F1681,'Fuel Cost - External'!$B:$B,0)),INDEX('Fuel Cost - External'!M:M,MATCH($C$1679&amp;" - "&amp;$C1681&amp;" - Fuel cost - "&amp;$F1681,'Fuel Cost - External'!$B:$B,0)))</f>
        <v>553.90740925073305</v>
      </c>
      <c r="M1681" s="524">
        <f>IF($C1681="Africa",INDEX('Fuel Cost - External'!N:N,MATCH($C$1679&amp;" - Africa&amp;Other - Fuel cost - "&amp;$F1681,'Fuel Cost - External'!$B:$B,0)),INDEX('Fuel Cost - External'!N:N,MATCH($C$1679&amp;" - "&amp;$C1681&amp;" - Fuel cost - "&amp;$F1681,'Fuel Cost - External'!$B:$B,0)))</f>
        <v>553.90740925073305</v>
      </c>
    </row>
    <row r="1682" spans="2:14" ht="15" hidden="1" outlineLevel="1" x14ac:dyDescent="0.25">
      <c r="B1682" t="str">
        <f>+C1682&amp;D1682&amp;E1682&amp;F1682</f>
        <v>AsiaResultsCost of LSFOUSD/ton</v>
      </c>
      <c r="C1682" t="s">
        <v>198</v>
      </c>
      <c r="D1682" t="s">
        <v>838</v>
      </c>
      <c r="E1682" s="30" t="s">
        <v>1135</v>
      </c>
      <c r="F1682" s="522" t="s">
        <v>205</v>
      </c>
      <c r="G1682" s="524">
        <f>IF($C1682="Africa",INDEX('Fuel Cost - External'!H:H,MATCH($C$1679&amp;" - Africa&amp;Other - Fuel cost - "&amp;$F1682,'Fuel Cost - External'!$B:$B,0)),INDEX('Fuel Cost - External'!H:H,MATCH($C$1679&amp;" - "&amp;$C1682&amp;" - Fuel cost - "&amp;$F1682,'Fuel Cost - External'!$B:$B,0)))</f>
        <v>884.71322310880964</v>
      </c>
      <c r="H1682" s="524">
        <f>IF($C1682="Africa",INDEX('Fuel Cost - External'!I:I,MATCH($C$1679&amp;" - Africa&amp;Other - Fuel cost - "&amp;$F1682,'Fuel Cost - External'!$B:$B,0)),INDEX('Fuel Cost - External'!I:I,MATCH($C$1679&amp;" - "&amp;$C1682&amp;" - Fuel cost - "&amp;$F1682,'Fuel Cost - External'!$B:$B,0)))</f>
        <v>634.68557309979826</v>
      </c>
      <c r="I1682" s="524">
        <f>IF($C1682="Africa",INDEX('Fuel Cost - External'!J:J,MATCH($C$1679&amp;" - Africa&amp;Other - Fuel cost - "&amp;$F1682,'Fuel Cost - External'!$B:$B,0)),INDEX('Fuel Cost - External'!J:J,MATCH($C$1679&amp;" - "&amp;$C1682&amp;" - Fuel cost - "&amp;$F1682,'Fuel Cost - External'!$B:$B,0)))</f>
        <v>553.90740925073305</v>
      </c>
      <c r="J1682" s="524">
        <f>IF($C1682="Africa",INDEX('Fuel Cost - External'!K:K,MATCH($C$1679&amp;" - Africa&amp;Other - Fuel cost - "&amp;$F1682,'Fuel Cost - External'!$B:$B,0)),INDEX('Fuel Cost - External'!K:K,MATCH($C$1679&amp;" - "&amp;$C1682&amp;" - Fuel cost - "&amp;$F1682,'Fuel Cost - External'!$B:$B,0)))</f>
        <v>553.90740925073305</v>
      </c>
      <c r="K1682" s="524">
        <f>IF($C1682="Africa",INDEX('Fuel Cost - External'!L:L,MATCH($C$1679&amp;" - Africa&amp;Other - Fuel cost - "&amp;$F1682,'Fuel Cost - External'!$B:$B,0)),INDEX('Fuel Cost - External'!L:L,MATCH($C$1679&amp;" - "&amp;$C1682&amp;" - Fuel cost - "&amp;$F1682,'Fuel Cost - External'!$B:$B,0)))</f>
        <v>553.90740925073305</v>
      </c>
      <c r="L1682" s="524">
        <f>IF($C1682="Africa",INDEX('Fuel Cost - External'!M:M,MATCH($C$1679&amp;" - Africa&amp;Other - Fuel cost - "&amp;$F1682,'Fuel Cost - External'!$B:$B,0)),INDEX('Fuel Cost - External'!M:M,MATCH($C$1679&amp;" - "&amp;$C1682&amp;" - Fuel cost - "&amp;$F1682,'Fuel Cost - External'!$B:$B,0)))</f>
        <v>553.90740925073305</v>
      </c>
      <c r="M1682" s="524">
        <f>IF($C1682="Africa",INDEX('Fuel Cost - External'!N:N,MATCH($C$1679&amp;" - Africa&amp;Other - Fuel cost - "&amp;$F1682,'Fuel Cost - External'!$B:$B,0)),INDEX('Fuel Cost - External'!N:N,MATCH($C$1679&amp;" - "&amp;$C1682&amp;" - Fuel cost - "&amp;$F1682,'Fuel Cost - External'!$B:$B,0)))</f>
        <v>553.90740925073305</v>
      </c>
    </row>
    <row r="1683" spans="2:14" ht="15" hidden="1" outlineLevel="1" x14ac:dyDescent="0.25">
      <c r="B1683" t="str">
        <f>+C1683&amp;D1683&amp;E1683&amp;F1683</f>
        <v>AmericasResultsCost of LSFOUSD/ton</v>
      </c>
      <c r="C1683" t="s">
        <v>199</v>
      </c>
      <c r="D1683" t="s">
        <v>838</v>
      </c>
      <c r="E1683" s="30" t="s">
        <v>1135</v>
      </c>
      <c r="F1683" s="522" t="s">
        <v>205</v>
      </c>
      <c r="G1683" s="524">
        <f>IF($C1683="Africa",INDEX('Fuel Cost - External'!H:H,MATCH($C$1679&amp;" - Africa&amp;Other - Fuel cost - "&amp;$F1683,'Fuel Cost - External'!$B:$B,0)),INDEX('Fuel Cost - External'!H:H,MATCH($C$1679&amp;" - "&amp;$C1683&amp;" - Fuel cost - "&amp;$F1683,'Fuel Cost - External'!$B:$B,0)))</f>
        <v>884.71322310880964</v>
      </c>
      <c r="H1683" s="524">
        <f>IF($C1683="Africa",INDEX('Fuel Cost - External'!I:I,MATCH($C$1679&amp;" - Africa&amp;Other - Fuel cost - "&amp;$F1683,'Fuel Cost - External'!$B:$B,0)),INDEX('Fuel Cost - External'!I:I,MATCH($C$1679&amp;" - "&amp;$C1683&amp;" - Fuel cost - "&amp;$F1683,'Fuel Cost - External'!$B:$B,0)))</f>
        <v>634.68557309979826</v>
      </c>
      <c r="I1683" s="524">
        <f>IF($C1683="Africa",INDEX('Fuel Cost - External'!J:J,MATCH($C$1679&amp;" - Africa&amp;Other - Fuel cost - "&amp;$F1683,'Fuel Cost - External'!$B:$B,0)),INDEX('Fuel Cost - External'!J:J,MATCH($C$1679&amp;" - "&amp;$C1683&amp;" - Fuel cost - "&amp;$F1683,'Fuel Cost - External'!$B:$B,0)))</f>
        <v>553.90740925073305</v>
      </c>
      <c r="J1683" s="524">
        <f>IF($C1683="Africa",INDEX('Fuel Cost - External'!K:K,MATCH($C$1679&amp;" - Africa&amp;Other - Fuel cost - "&amp;$F1683,'Fuel Cost - External'!$B:$B,0)),INDEX('Fuel Cost - External'!K:K,MATCH($C$1679&amp;" - "&amp;$C1683&amp;" - Fuel cost - "&amp;$F1683,'Fuel Cost - External'!$B:$B,0)))</f>
        <v>553.90740925073305</v>
      </c>
      <c r="K1683" s="524">
        <f>IF($C1683="Africa",INDEX('Fuel Cost - External'!L:L,MATCH($C$1679&amp;" - Africa&amp;Other - Fuel cost - "&amp;$F1683,'Fuel Cost - External'!$B:$B,0)),INDEX('Fuel Cost - External'!L:L,MATCH($C$1679&amp;" - "&amp;$C1683&amp;" - Fuel cost - "&amp;$F1683,'Fuel Cost - External'!$B:$B,0)))</f>
        <v>553.90740925073305</v>
      </c>
      <c r="L1683" s="524">
        <f>IF($C1683="Africa",INDEX('Fuel Cost - External'!M:M,MATCH($C$1679&amp;" - Africa&amp;Other - Fuel cost - "&amp;$F1683,'Fuel Cost - External'!$B:$B,0)),INDEX('Fuel Cost - External'!M:M,MATCH($C$1679&amp;" - "&amp;$C1683&amp;" - Fuel cost - "&amp;$F1683,'Fuel Cost - External'!$B:$B,0)))</f>
        <v>553.90740925073305</v>
      </c>
      <c r="M1683" s="524">
        <f>IF($C1683="Africa",INDEX('Fuel Cost - External'!N:N,MATCH($C$1679&amp;" - Africa&amp;Other - Fuel cost - "&amp;$F1683,'Fuel Cost - External'!$B:$B,0)),INDEX('Fuel Cost - External'!N:N,MATCH($C$1679&amp;" - "&amp;$C1683&amp;" - Fuel cost - "&amp;$F1683,'Fuel Cost - External'!$B:$B,0)))</f>
        <v>553.90740925073305</v>
      </c>
    </row>
    <row r="1684" spans="2:14" ht="15" hidden="1" outlineLevel="1" x14ac:dyDescent="0.25">
      <c r="B1684" t="str">
        <f>+C1684&amp;D1684&amp;E1684&amp;F1684</f>
        <v>AfricaResultsCost of LSFOUSD/ton</v>
      </c>
      <c r="C1684" t="s">
        <v>200</v>
      </c>
      <c r="D1684" t="s">
        <v>838</v>
      </c>
      <c r="E1684" s="30" t="s">
        <v>1135</v>
      </c>
      <c r="F1684" s="522" t="s">
        <v>205</v>
      </c>
      <c r="G1684" s="524">
        <f>IF($C1684="Africa",INDEX('Fuel Cost - External'!H:H,MATCH($C$1679&amp;" - Africa&amp;Other - Fuel cost - "&amp;$F1684,'Fuel Cost - External'!$B:$B,0)),INDEX('Fuel Cost - External'!H:H,MATCH($C$1679&amp;" - "&amp;$C1684&amp;" - Fuel cost - "&amp;$F1684,'Fuel Cost - External'!$B:$B,0)))</f>
        <v>884.71322310880964</v>
      </c>
      <c r="H1684" s="524">
        <f>IF($C1684="Africa",INDEX('Fuel Cost - External'!I:I,MATCH($C$1679&amp;" - Africa&amp;Other - Fuel cost - "&amp;$F1684,'Fuel Cost - External'!$B:$B,0)),INDEX('Fuel Cost - External'!I:I,MATCH($C$1679&amp;" - "&amp;$C1684&amp;" - Fuel cost - "&amp;$F1684,'Fuel Cost - External'!$B:$B,0)))</f>
        <v>634.68557309979826</v>
      </c>
      <c r="I1684" s="524">
        <f>IF($C1684="Africa",INDEX('Fuel Cost - External'!J:J,MATCH($C$1679&amp;" - Africa&amp;Other - Fuel cost - "&amp;$F1684,'Fuel Cost - External'!$B:$B,0)),INDEX('Fuel Cost - External'!J:J,MATCH($C$1679&amp;" - "&amp;$C1684&amp;" - Fuel cost - "&amp;$F1684,'Fuel Cost - External'!$B:$B,0)))</f>
        <v>553.90740925073305</v>
      </c>
      <c r="J1684" s="524">
        <f>IF($C1684="Africa",INDEX('Fuel Cost - External'!K:K,MATCH($C$1679&amp;" - Africa&amp;Other - Fuel cost - "&amp;$F1684,'Fuel Cost - External'!$B:$B,0)),INDEX('Fuel Cost - External'!K:K,MATCH($C$1679&amp;" - "&amp;$C1684&amp;" - Fuel cost - "&amp;$F1684,'Fuel Cost - External'!$B:$B,0)))</f>
        <v>553.90740925073305</v>
      </c>
      <c r="K1684" s="524">
        <f>IF($C1684="Africa",INDEX('Fuel Cost - External'!L:L,MATCH($C$1679&amp;" - Africa&amp;Other - Fuel cost - "&amp;$F1684,'Fuel Cost - External'!$B:$B,0)),INDEX('Fuel Cost - External'!L:L,MATCH($C$1679&amp;" - "&amp;$C1684&amp;" - Fuel cost - "&amp;$F1684,'Fuel Cost - External'!$B:$B,0)))</f>
        <v>553.90740925073305</v>
      </c>
      <c r="L1684" s="524">
        <f>IF($C1684="Africa",INDEX('Fuel Cost - External'!M:M,MATCH($C$1679&amp;" - Africa&amp;Other - Fuel cost - "&amp;$F1684,'Fuel Cost - External'!$B:$B,0)),INDEX('Fuel Cost - External'!M:M,MATCH($C$1679&amp;" - "&amp;$C1684&amp;" - Fuel cost - "&amp;$F1684,'Fuel Cost - External'!$B:$B,0)))</f>
        <v>553.90740925073305</v>
      </c>
      <c r="M1684" s="524">
        <f>IF($C1684="Africa",INDEX('Fuel Cost - External'!N:N,MATCH($C$1679&amp;" - Africa&amp;Other - Fuel cost - "&amp;$F1684,'Fuel Cost - External'!$B:$B,0)),INDEX('Fuel Cost - External'!N:N,MATCH($C$1679&amp;" - "&amp;$C1684&amp;" - Fuel cost - "&amp;$F1684,'Fuel Cost - External'!$B:$B,0)))</f>
        <v>553.90740925073305</v>
      </c>
    </row>
    <row r="1685" spans="2:14" ht="12.75" hidden="1" outlineLevel="1" x14ac:dyDescent="0.2">
      <c r="F1685"/>
    </row>
    <row r="1686" spans="2:14" ht="15" hidden="1" outlineLevel="1" x14ac:dyDescent="0.25">
      <c r="B1686" s="30" t="s">
        <v>1136</v>
      </c>
      <c r="C1686" s="30" t="str">
        <f>+B1686</f>
        <v>CO2eq intensity ton/ton LSFO</v>
      </c>
      <c r="F1686"/>
    </row>
    <row r="1687" spans="2:14" ht="15" hidden="1" outlineLevel="1" x14ac:dyDescent="0.25">
      <c r="B1687" s="527" t="str">
        <f>+C1687&amp;D1687&amp;E1687&amp;F1687</f>
        <v>GlobalEmissionsWTT Emission - LSFOtonCO2eq/ ton</v>
      </c>
      <c r="C1687" s="516" t="s">
        <v>109</v>
      </c>
      <c r="D1687" s="516" t="s">
        <v>728</v>
      </c>
      <c r="E1687" s="516" t="s">
        <v>1137</v>
      </c>
      <c r="F1687" s="512" t="s">
        <v>1138</v>
      </c>
      <c r="G1687" s="548">
        <f>INDEX('Fuel Model -  Input'!H$3:H$373,MATCH($B1687,'Fuel Model -  Input'!$B$3:$B$373,0))</f>
        <v>0.65508</v>
      </c>
      <c r="H1687" s="548">
        <f>INDEX('Fuel Model -  Input'!I$3:I$373,MATCH($B1687,'Fuel Model -  Input'!$B$3:$B$373,0))</f>
        <v>0.65508</v>
      </c>
      <c r="I1687" s="548">
        <f>INDEX('Fuel Model -  Input'!J$3:J$373,MATCH($B1687,'Fuel Model -  Input'!$B$3:$B$373,0))</f>
        <v>0.65508</v>
      </c>
      <c r="J1687" s="548">
        <f>INDEX('Fuel Model -  Input'!K$3:K$373,MATCH($B1687,'Fuel Model -  Input'!$B$3:$B$373,0))</f>
        <v>0.65508</v>
      </c>
      <c r="K1687" s="548">
        <f>INDEX('Fuel Model -  Input'!L$3:L$373,MATCH($B1687,'Fuel Model -  Input'!$B$3:$B$373,0))</f>
        <v>0.65508</v>
      </c>
      <c r="L1687" s="548">
        <f>INDEX('Fuel Model -  Input'!M$3:M$373,MATCH($B1687,'Fuel Model -  Input'!$B$3:$B$373,0))</f>
        <v>0.65508</v>
      </c>
      <c r="M1687" s="548">
        <f>INDEX('Fuel Model -  Input'!N$3:N$373,MATCH($B1687,'Fuel Model -  Input'!$B$3:$B$373,0))</f>
        <v>0.65508</v>
      </c>
    </row>
    <row r="1688" spans="2:14" ht="15" hidden="1" outlineLevel="1" x14ac:dyDescent="0.25">
      <c r="B1688" s="527" t="str">
        <f>+C1688&amp;D1688&amp;E1688&amp;F1688</f>
        <v>GlobalEmissionsTTW Emission - LSFOtonCO2eq/ ton</v>
      </c>
      <c r="C1688" s="516" t="s">
        <v>109</v>
      </c>
      <c r="D1688" s="516" t="s">
        <v>728</v>
      </c>
      <c r="E1688" s="516" t="s">
        <v>1139</v>
      </c>
      <c r="F1688" s="512" t="s">
        <v>1138</v>
      </c>
      <c r="G1688" s="548">
        <f>INDEX('Fuel Model -  Input'!$B$3:$N$373,MATCH($B1688,'Fuel Model -  Input'!$B$3:$B$373,0),MATCH(G$2,'Fuel Model -  Input'!$B$3:$N$3,0))</f>
        <v>3.1633300000000002</v>
      </c>
      <c r="H1688" s="548">
        <f>INDEX('Fuel Model -  Input'!$B$3:$N$373,MATCH($B1688,'Fuel Model -  Input'!$B$3:$B$373,0),MATCH(H$2,'Fuel Model -  Input'!$B$3:$N$3,0))</f>
        <v>3.1633300000000002</v>
      </c>
      <c r="I1688" s="548">
        <f>INDEX('Fuel Model -  Input'!$B$3:$N$373,MATCH($B1688,'Fuel Model -  Input'!$B$3:$B$373,0),MATCH(I$2,'Fuel Model -  Input'!$B$3:$N$3,0))</f>
        <v>3.1633300000000002</v>
      </c>
      <c r="J1688" s="548">
        <f>INDEX('Fuel Model -  Input'!$B$3:$N$373,MATCH($B1688,'Fuel Model -  Input'!$B$3:$B$373,0),MATCH(J$2,'Fuel Model -  Input'!$B$3:$N$3,0))</f>
        <v>3.1633300000000002</v>
      </c>
      <c r="K1688" s="548">
        <f>INDEX('Fuel Model -  Input'!$B$3:$N$373,MATCH($B1688,'Fuel Model -  Input'!$B$3:$B$373,0),MATCH(K$2,'Fuel Model -  Input'!$B$3:$N$3,0))</f>
        <v>3.1633300000000002</v>
      </c>
      <c r="L1688" s="548">
        <f>INDEX('Fuel Model -  Input'!$B$3:$N$373,MATCH($B1688,'Fuel Model -  Input'!$B$3:$B$373,0),MATCH(L$2,'Fuel Model -  Input'!$B$3:$N$3,0))</f>
        <v>3.1633300000000002</v>
      </c>
      <c r="M1688" s="548">
        <f>INDEX('Fuel Model -  Input'!$B$3:$N$373,MATCH($B1688,'Fuel Model -  Input'!$B$3:$B$373,0),MATCH(M$2,'Fuel Model -  Input'!$B$3:$N$3,0))</f>
        <v>3.1633300000000002</v>
      </c>
    </row>
    <row r="1689" spans="2:14" ht="15" thickBot="1" x14ac:dyDescent="0.25"/>
    <row r="1690" spans="2:14" ht="15.75" collapsed="1" thickBot="1" x14ac:dyDescent="0.3">
      <c r="B1690" s="545" t="s">
        <v>528</v>
      </c>
      <c r="C1690" s="546" t="str">
        <f>+B1690</f>
        <v>LNG</v>
      </c>
      <c r="D1690" s="547"/>
      <c r="E1690" s="547"/>
      <c r="F1690" s="547"/>
      <c r="G1690" s="740">
        <v>2020</v>
      </c>
      <c r="H1690" s="740">
        <v>2025</v>
      </c>
      <c r="I1690" s="740">
        <v>2030</v>
      </c>
      <c r="J1690" s="740">
        <v>2035</v>
      </c>
      <c r="K1690" s="740">
        <v>2040</v>
      </c>
      <c r="L1690" s="740">
        <v>2045</v>
      </c>
      <c r="M1690" s="741">
        <v>2050</v>
      </c>
    </row>
    <row r="1691" spans="2:14" hidden="1" outlineLevel="1" x14ac:dyDescent="0.2"/>
    <row r="1692" spans="2:14" ht="15" hidden="1" outlineLevel="1" x14ac:dyDescent="0.25">
      <c r="B1692" t="str">
        <f>+C1692&amp;D1692&amp;E1692&amp;F1692</f>
        <v>EuropeResultsCost of LNGUSD/ton</v>
      </c>
      <c r="C1692" t="s">
        <v>195</v>
      </c>
      <c r="D1692" t="s">
        <v>838</v>
      </c>
      <c r="E1692" s="30" t="s">
        <v>1140</v>
      </c>
      <c r="F1692" s="522" t="s">
        <v>205</v>
      </c>
      <c r="G1692" s="260">
        <f t="shared" ref="G1692:M1692" si="895">G1699</f>
        <v>1986.2453667393854</v>
      </c>
      <c r="H1692" s="260">
        <f t="shared" si="895"/>
        <v>925.2568980571649</v>
      </c>
      <c r="I1692" s="260">
        <f t="shared" si="895"/>
        <v>690.57888028192156</v>
      </c>
      <c r="J1692" s="260">
        <f t="shared" si="895"/>
        <v>683.96081540794216</v>
      </c>
      <c r="K1692" s="260">
        <f t="shared" si="895"/>
        <v>678.29361003533563</v>
      </c>
      <c r="L1692" s="260">
        <f t="shared" si="895"/>
        <v>672.6416904506774</v>
      </c>
      <c r="M1692" s="260">
        <f t="shared" si="895"/>
        <v>667.45258296141014</v>
      </c>
      <c r="N1692" s="93"/>
    </row>
    <row r="1693" spans="2:14" ht="15" hidden="1" outlineLevel="1" x14ac:dyDescent="0.25">
      <c r="B1693" t="str">
        <f>+C1693&amp;D1693&amp;E1693&amp;F1693</f>
        <v>Middle EastResultsCost of LNGUSD/ton</v>
      </c>
      <c r="C1693" t="s">
        <v>197</v>
      </c>
      <c r="D1693" t="s">
        <v>838</v>
      </c>
      <c r="E1693" s="30" t="s">
        <v>1140</v>
      </c>
      <c r="F1693" s="522" t="s">
        <v>205</v>
      </c>
      <c r="G1693" s="260">
        <f>G1714</f>
        <v>1628.6401505833101</v>
      </c>
      <c r="H1693" s="260">
        <f t="shared" ref="H1693:M1693" si="896">H1714</f>
        <v>744.0018534766225</v>
      </c>
      <c r="I1693" s="260">
        <f t="shared" si="896"/>
        <v>356.12988589248164</v>
      </c>
      <c r="J1693" s="260">
        <f t="shared" si="896"/>
        <v>349.32248857224363</v>
      </c>
      <c r="K1693" s="260">
        <f t="shared" si="896"/>
        <v>343.76111163659812</v>
      </c>
      <c r="L1693" s="260">
        <f t="shared" si="896"/>
        <v>337.94528232515637</v>
      </c>
      <c r="M1693" s="260">
        <f t="shared" si="896"/>
        <v>333.03011286468308</v>
      </c>
    </row>
    <row r="1694" spans="2:14" ht="15" hidden="1" outlineLevel="1" x14ac:dyDescent="0.25">
      <c r="B1694" t="str">
        <f>+C1694&amp;D1694&amp;E1694&amp;F1694</f>
        <v>AsiaResultsCost of LNGUSD/ton</v>
      </c>
      <c r="C1694" t="s">
        <v>198</v>
      </c>
      <c r="D1694" t="s">
        <v>838</v>
      </c>
      <c r="E1694" s="30" t="s">
        <v>1140</v>
      </c>
      <c r="F1694" s="522" t="s">
        <v>205</v>
      </c>
      <c r="G1694" s="260">
        <f t="shared" ref="G1694:M1694" si="897">G1729</f>
        <v>1852.724467477733</v>
      </c>
      <c r="H1694" s="260">
        <f t="shared" si="897"/>
        <v>955.86692803031895</v>
      </c>
      <c r="I1694" s="260">
        <f t="shared" si="897"/>
        <v>570.09893459880254</v>
      </c>
      <c r="J1694" s="260">
        <f t="shared" si="897"/>
        <v>561.40564271980418</v>
      </c>
      <c r="K1694" s="260">
        <f t="shared" si="897"/>
        <v>554.8693360742152</v>
      </c>
      <c r="L1694" s="260">
        <f t="shared" si="897"/>
        <v>548.33663696197061</v>
      </c>
      <c r="M1694" s="260">
        <f t="shared" si="897"/>
        <v>543.10692883006129</v>
      </c>
    </row>
    <row r="1695" spans="2:14" ht="15" hidden="1" outlineLevel="1" x14ac:dyDescent="0.25">
      <c r="B1695" t="str">
        <f>+C1695&amp;D1695&amp;E1695&amp;F1695</f>
        <v>AmericasResultsCost of LNGUSD/ton</v>
      </c>
      <c r="C1695" t="s">
        <v>199</v>
      </c>
      <c r="D1695" t="s">
        <v>838</v>
      </c>
      <c r="E1695" s="30" t="s">
        <v>1140</v>
      </c>
      <c r="F1695" s="522" t="s">
        <v>205</v>
      </c>
      <c r="G1695" s="260">
        <f t="shared" ref="G1695:M1695" si="898">G1744</f>
        <v>576.86729921038807</v>
      </c>
      <c r="H1695" s="260">
        <f t="shared" si="898"/>
        <v>449.85062225850675</v>
      </c>
      <c r="I1695" s="260">
        <f t="shared" si="898"/>
        <v>431.37068191264746</v>
      </c>
      <c r="J1695" s="260">
        <f t="shared" si="898"/>
        <v>454.99719710060219</v>
      </c>
      <c r="K1695" s="260">
        <f t="shared" si="898"/>
        <v>449.08004208411</v>
      </c>
      <c r="L1695" s="260">
        <f t="shared" si="898"/>
        <v>444.16310810473749</v>
      </c>
      <c r="M1695" s="260">
        <f t="shared" si="898"/>
        <v>439.49523997475433</v>
      </c>
    </row>
    <row r="1696" spans="2:14" ht="15" hidden="1" outlineLevel="1" x14ac:dyDescent="0.25">
      <c r="B1696" t="str">
        <f>+C1696&amp;D1696&amp;E1696&amp;F1696</f>
        <v>AfricaResultsCost of LNGUSD/ton</v>
      </c>
      <c r="C1696" t="s">
        <v>200</v>
      </c>
      <c r="D1696" t="s">
        <v>838</v>
      </c>
      <c r="E1696" s="30" t="s">
        <v>1140</v>
      </c>
      <c r="F1696" s="522" t="s">
        <v>205</v>
      </c>
      <c r="G1696" s="260">
        <f t="shared" ref="G1696:M1696" si="899">G1759</f>
        <v>2000.8630591795452</v>
      </c>
      <c r="H1696" s="260">
        <f t="shared" si="899"/>
        <v>925.5560713364822</v>
      </c>
      <c r="I1696" s="260">
        <f t="shared" si="899"/>
        <v>690.19482712659715</v>
      </c>
      <c r="J1696" s="260">
        <f t="shared" si="899"/>
        <v>682.4746197049725</v>
      </c>
      <c r="K1696" s="260">
        <f t="shared" si="899"/>
        <v>676.55385203007336</v>
      </c>
      <c r="L1696" s="260">
        <f t="shared" si="899"/>
        <v>670.69326120428332</v>
      </c>
      <c r="M1696" s="260">
        <f t="shared" si="899"/>
        <v>665.72182860301052</v>
      </c>
    </row>
    <row r="1697" spans="2:14" hidden="1" outlineLevel="1" x14ac:dyDescent="0.2"/>
    <row r="1698" spans="2:14" ht="15" hidden="1" outlineLevel="1" collapsed="1" x14ac:dyDescent="0.25">
      <c r="B1698" s="30" t="s">
        <v>195</v>
      </c>
      <c r="C1698" s="30" t="str">
        <f>+B1698</f>
        <v>Europe</v>
      </c>
    </row>
    <row r="1699" spans="2:14" ht="15" hidden="1" outlineLevel="2" x14ac:dyDescent="0.25">
      <c r="B1699" s="405" t="str">
        <f t="shared" ref="B1699:B1711" si="900">+C1699&amp;D1699&amp;E1699&amp;F1699</f>
        <v>EuropeResultsCost of LNGUSD/ton</v>
      </c>
      <c r="C1699" s="30" t="str">
        <f>+$B$1698</f>
        <v>Europe</v>
      </c>
      <c r="D1699" s="30" t="s">
        <v>838</v>
      </c>
      <c r="E1699" s="405" t="s">
        <v>1140</v>
      </c>
      <c r="F1699" s="127" t="s">
        <v>205</v>
      </c>
      <c r="G1699" s="492">
        <f>+SUM(G1700:G1702)</f>
        <v>1986.2453667393854</v>
      </c>
      <c r="H1699" s="492">
        <f t="shared" ref="H1699:M1699" si="901">+SUM(H1700:H1702)</f>
        <v>925.2568980571649</v>
      </c>
      <c r="I1699" s="492">
        <f t="shared" si="901"/>
        <v>690.57888028192156</v>
      </c>
      <c r="J1699" s="492">
        <f t="shared" si="901"/>
        <v>683.96081540794216</v>
      </c>
      <c r="K1699" s="492">
        <f t="shared" si="901"/>
        <v>678.29361003533563</v>
      </c>
      <c r="L1699" s="492">
        <f t="shared" si="901"/>
        <v>672.6416904506774</v>
      </c>
      <c r="M1699" s="492">
        <f t="shared" si="901"/>
        <v>667.45258296141014</v>
      </c>
    </row>
    <row r="1700" spans="2:14" ht="15" hidden="1" outlineLevel="2" x14ac:dyDescent="0.25">
      <c r="B1700" s="405" t="str">
        <f>+C1700&amp;D1700&amp;E1700&amp;F1700</f>
        <v>EuropeResultsTotal Capex LNGUSD/ton</v>
      </c>
      <c r="C1700" s="30" t="str">
        <f>+$B$1698</f>
        <v>Europe</v>
      </c>
      <c r="D1700" s="30" t="s">
        <v>838</v>
      </c>
      <c r="E1700" s="405" t="s">
        <v>1141</v>
      </c>
      <c r="F1700" s="127" t="s">
        <v>205</v>
      </c>
      <c r="G1700" s="492">
        <f>+G1708</f>
        <v>203.48745578849747</v>
      </c>
      <c r="H1700" s="492">
        <f t="shared" ref="H1700:M1700" si="902">+H1708</f>
        <v>198.75000000000006</v>
      </c>
      <c r="I1700" s="492">
        <f t="shared" si="902"/>
        <v>194.12283841740833</v>
      </c>
      <c r="J1700" s="492">
        <f t="shared" si="902"/>
        <v>189.60340324644639</v>
      </c>
      <c r="K1700" s="492">
        <f t="shared" si="902"/>
        <v>185.18918647446853</v>
      </c>
      <c r="L1700" s="492">
        <f t="shared" si="902"/>
        <v>180.87773847866441</v>
      </c>
      <c r="M1700" s="492">
        <f t="shared" si="902"/>
        <v>176.66666666666671</v>
      </c>
    </row>
    <row r="1701" spans="2:14" ht="15" hidden="1" outlineLevel="2" x14ac:dyDescent="0.25">
      <c r="B1701" s="405" t="str">
        <f>+C1701&amp;D1701&amp;E1701&amp;F1701</f>
        <v>EuropeResultsTotal Opex LNGUSD/ton</v>
      </c>
      <c r="C1701" s="30" t="str">
        <f>+$B$1698</f>
        <v>Europe</v>
      </c>
      <c r="D1701" s="30" t="s">
        <v>838</v>
      </c>
      <c r="E1701" s="405" t="s">
        <v>1142</v>
      </c>
      <c r="F1701" s="127" t="s">
        <v>205</v>
      </c>
      <c r="G1701" s="492">
        <f>+G1705</f>
        <v>32.75791095088789</v>
      </c>
      <c r="H1701" s="492">
        <f t="shared" ref="H1701:M1701" si="903">+H1705</f>
        <v>26.506898057164808</v>
      </c>
      <c r="I1701" s="492">
        <f t="shared" si="903"/>
        <v>21.456041864513253</v>
      </c>
      <c r="J1701" s="492">
        <f t="shared" si="903"/>
        <v>19.357412161495748</v>
      </c>
      <c r="K1701" s="492">
        <f t="shared" si="903"/>
        <v>18.104423560867097</v>
      </c>
      <c r="L1701" s="492">
        <f t="shared" si="903"/>
        <v>16.763951972013</v>
      </c>
      <c r="M1701" s="492">
        <f t="shared" si="903"/>
        <v>15.785916294743469</v>
      </c>
    </row>
    <row r="1702" spans="2:14" ht="15" hidden="1" outlineLevel="2" x14ac:dyDescent="0.25">
      <c r="B1702" s="405" t="str">
        <f>+C1702&amp;D1702&amp;E1702&amp;F1702</f>
        <v>EuropeResultsTotal Raw Material LNGUSD/ton</v>
      </c>
      <c r="C1702" s="30" t="str">
        <f>+$B$1698</f>
        <v>Europe</v>
      </c>
      <c r="D1702" s="30" t="s">
        <v>838</v>
      </c>
      <c r="E1702" s="405" t="s">
        <v>1143</v>
      </c>
      <c r="F1702" s="127" t="s">
        <v>205</v>
      </c>
      <c r="G1702" s="492">
        <f>+G1711</f>
        <v>1750</v>
      </c>
      <c r="H1702" s="492">
        <f t="shared" ref="H1702:M1702" si="904">+H1711</f>
        <v>700</v>
      </c>
      <c r="I1702" s="492">
        <f t="shared" si="904"/>
        <v>475</v>
      </c>
      <c r="J1702" s="492">
        <f t="shared" si="904"/>
        <v>475</v>
      </c>
      <c r="K1702" s="492">
        <f t="shared" si="904"/>
        <v>475</v>
      </c>
      <c r="L1702" s="492">
        <f t="shared" si="904"/>
        <v>475</v>
      </c>
      <c r="M1702" s="492">
        <f t="shared" si="904"/>
        <v>475</v>
      </c>
    </row>
    <row r="1703" spans="2:14" hidden="1" outlineLevel="2" x14ac:dyDescent="0.2">
      <c r="B1703" s="48"/>
      <c r="E1703" s="48"/>
      <c r="F1703" s="128"/>
      <c r="G1703" s="18"/>
      <c r="H1703" s="18"/>
      <c r="I1703" s="18"/>
      <c r="J1703" s="18"/>
      <c r="K1703" s="18"/>
      <c r="L1703" s="18"/>
      <c r="M1703" s="18"/>
    </row>
    <row r="1704" spans="2:14" hidden="1" outlineLevel="2" x14ac:dyDescent="0.2">
      <c r="B1704" s="48" t="str">
        <f t="shared" si="900"/>
        <v>EuropeResultsCH4 Liquifaction costUSD/ton</v>
      </c>
      <c r="C1704" t="str">
        <f>+$B$1698</f>
        <v>Europe</v>
      </c>
      <c r="D1704" t="s">
        <v>838</v>
      </c>
      <c r="E1704" s="48" t="s">
        <v>1094</v>
      </c>
      <c r="F1704" s="128" t="s">
        <v>205</v>
      </c>
      <c r="G1704" s="8">
        <f t="shared" ref="G1704:M1704" si="905">SUM(G1705,G1708)</f>
        <v>236.24536673938536</v>
      </c>
      <c r="H1704" s="8">
        <f t="shared" si="905"/>
        <v>225.25689805716488</v>
      </c>
      <c r="I1704" s="8">
        <f t="shared" si="905"/>
        <v>215.57888028192158</v>
      </c>
      <c r="J1704" s="8">
        <f t="shared" si="905"/>
        <v>208.96081540794214</v>
      </c>
      <c r="K1704" s="8">
        <f t="shared" si="905"/>
        <v>203.29361003533563</v>
      </c>
      <c r="L1704" s="8">
        <f t="shared" si="905"/>
        <v>197.6416904506774</v>
      </c>
      <c r="M1704" s="8">
        <f t="shared" si="905"/>
        <v>192.45258296141017</v>
      </c>
    </row>
    <row r="1705" spans="2:14" hidden="1" outlineLevel="2" x14ac:dyDescent="0.2">
      <c r="B1705" s="48" t="str">
        <f t="shared" si="900"/>
        <v>EuropeResultsCH4 Liquifaction opexUSD/ton</v>
      </c>
      <c r="C1705" t="str">
        <f>+$B$1698</f>
        <v>Europe</v>
      </c>
      <c r="D1705" t="s">
        <v>838</v>
      </c>
      <c r="E1705" t="s">
        <v>1096</v>
      </c>
      <c r="F1705" s="450" t="s">
        <v>205</v>
      </c>
      <c r="G1705" s="8">
        <f t="shared" ref="G1705:M1705" si="906">G1706*G1707</f>
        <v>32.75791095088789</v>
      </c>
      <c r="H1705" s="8">
        <f t="shared" si="906"/>
        <v>26.506898057164808</v>
      </c>
      <c r="I1705" s="8">
        <f t="shared" si="906"/>
        <v>21.456041864513253</v>
      </c>
      <c r="J1705" s="8">
        <f t="shared" si="906"/>
        <v>19.357412161495748</v>
      </c>
      <c r="K1705" s="8">
        <f t="shared" si="906"/>
        <v>18.104423560867097</v>
      </c>
      <c r="L1705" s="8">
        <f t="shared" si="906"/>
        <v>16.763951972013</v>
      </c>
      <c r="M1705" s="8">
        <f t="shared" si="906"/>
        <v>15.785916294743469</v>
      </c>
      <c r="N1705" s="93"/>
    </row>
    <row r="1706" spans="2:14" hidden="1" outlineLevel="2" x14ac:dyDescent="0.2">
      <c r="B1706" s="48" t="str">
        <f t="shared" si="900"/>
        <v>EuropeFeedstockElectricityUSD/MWh</v>
      </c>
      <c r="C1706" t="str">
        <f>+$B$1698</f>
        <v>Europe</v>
      </c>
      <c r="D1706" t="s">
        <v>777</v>
      </c>
      <c r="E1706" t="s">
        <v>54</v>
      </c>
      <c r="F1706" s="450" t="s">
        <v>196</v>
      </c>
      <c r="G1706" s="524">
        <f>+INDEX('Fuel Model -  Input'!$B$3:$N$373,MATCH($B1706,'Fuel Model -  Input'!$B$3:$B$373,0),MATCH(G$2,'Fuel Model -  Input'!$B$3:$N$3,0))</f>
        <v>54.596518251479822</v>
      </c>
      <c r="H1706" s="524">
        <f>+INDEX('Fuel Model -  Input'!$B$3:$N$373,MATCH($B1706,'Fuel Model -  Input'!$B$3:$B$373,0),MATCH(H$2,'Fuel Model -  Input'!$B$3:$N$3,0))</f>
        <v>44.178163428608016</v>
      </c>
      <c r="I1706" s="524">
        <f>+INDEX('Fuel Model -  Input'!$B$3:$N$373,MATCH($B1706,'Fuel Model -  Input'!$B$3:$B$373,0),MATCH(I$2,'Fuel Model -  Input'!$B$3:$N$3,0))</f>
        <v>35.760069774188757</v>
      </c>
      <c r="J1706" s="524">
        <f>+INDEX('Fuel Model -  Input'!$B$3:$N$373,MATCH($B1706,'Fuel Model -  Input'!$B$3:$B$373,0),MATCH(J$2,'Fuel Model -  Input'!$B$3:$N$3,0))</f>
        <v>32.262353602492915</v>
      </c>
      <c r="K1706" s="524">
        <f>+INDEX('Fuel Model -  Input'!$B$3:$N$373,MATCH($B1706,'Fuel Model -  Input'!$B$3:$B$373,0),MATCH(K$2,'Fuel Model -  Input'!$B$3:$N$3,0))</f>
        <v>30.17403926811183</v>
      </c>
      <c r="L1706" s="524">
        <f>+INDEX('Fuel Model -  Input'!$B$3:$N$373,MATCH($B1706,'Fuel Model -  Input'!$B$3:$B$373,0),MATCH(L$2,'Fuel Model -  Input'!$B$3:$N$3,0))</f>
        <v>27.939919953355002</v>
      </c>
      <c r="M1706" s="524">
        <f>+INDEX('Fuel Model -  Input'!$B$3:$N$373,MATCH($B1706,'Fuel Model -  Input'!$B$3:$B$373,0),MATCH(M$2,'Fuel Model -  Input'!$B$3:$N$3,0))</f>
        <v>26.309860491239117</v>
      </c>
      <c r="N1706" s="93"/>
    </row>
    <row r="1707" spans="2:14" hidden="1" outlineLevel="2" x14ac:dyDescent="0.2">
      <c r="B1707" s="48" t="str">
        <f t="shared" si="900"/>
        <v>GlobalProcess - OpexCH4 LiquifactionmWh/ ton e CH4</v>
      </c>
      <c r="C1707" t="s">
        <v>109</v>
      </c>
      <c r="D1707" t="s">
        <v>876</v>
      </c>
      <c r="E1707" t="s">
        <v>1097</v>
      </c>
      <c r="F1707" s="450" t="s">
        <v>1098</v>
      </c>
      <c r="G1707" s="757">
        <f>+INDEX('Fuel Model -  Input'!$B$3:$N$373,MATCH($B1707,'Fuel Model -  Input'!$B$3:$B$373,0),MATCH(G$2,'Fuel Model -  Input'!$B$3:$N$3,0))</f>
        <v>0.6</v>
      </c>
      <c r="H1707" s="757">
        <f>+INDEX('Fuel Model -  Input'!$B$3:$N$373,MATCH($B1707,'Fuel Model -  Input'!$B$3:$B$373,0),MATCH(H$2,'Fuel Model -  Input'!$B$3:$N$3,0))</f>
        <v>0.6</v>
      </c>
      <c r="I1707" s="757">
        <f>+INDEX('Fuel Model -  Input'!$B$3:$N$373,MATCH($B1707,'Fuel Model -  Input'!$B$3:$B$373,0),MATCH(I$2,'Fuel Model -  Input'!$B$3:$N$3,0))</f>
        <v>0.6</v>
      </c>
      <c r="J1707" s="757">
        <f>+INDEX('Fuel Model -  Input'!$B$3:$N$373,MATCH($B1707,'Fuel Model -  Input'!$B$3:$B$373,0),MATCH(J$2,'Fuel Model -  Input'!$B$3:$N$3,0))</f>
        <v>0.6</v>
      </c>
      <c r="K1707" s="757">
        <f>+INDEX('Fuel Model -  Input'!$B$3:$N$373,MATCH($B1707,'Fuel Model -  Input'!$B$3:$B$373,0),MATCH(K$2,'Fuel Model -  Input'!$B$3:$N$3,0))</f>
        <v>0.6</v>
      </c>
      <c r="L1707" s="757">
        <f>+INDEX('Fuel Model -  Input'!$B$3:$N$373,MATCH($B1707,'Fuel Model -  Input'!$B$3:$B$373,0),MATCH(L$2,'Fuel Model -  Input'!$B$3:$N$3,0))</f>
        <v>0.6</v>
      </c>
      <c r="M1707" s="757">
        <f>+INDEX('Fuel Model -  Input'!$B$3:$N$373,MATCH($B1707,'Fuel Model -  Input'!$B$3:$B$373,0),MATCH(M$2,'Fuel Model -  Input'!$B$3:$N$3,0))</f>
        <v>0.6</v>
      </c>
      <c r="N1707" s="93"/>
    </row>
    <row r="1708" spans="2:14" s="157" customFormat="1" hidden="1" outlineLevel="2" x14ac:dyDescent="0.2">
      <c r="B1708" s="498" t="str">
        <f t="shared" si="900"/>
        <v>EuropeProcess - CapexCH4 LiquifactionUSD/ ton CH4 output</v>
      </c>
      <c r="C1708" t="str">
        <f>+$B$1698</f>
        <v>Europe</v>
      </c>
      <c r="D1708" s="157" t="s">
        <v>879</v>
      </c>
      <c r="E1708" s="157" t="s">
        <v>1097</v>
      </c>
      <c r="F1708" s="450" t="s">
        <v>1099</v>
      </c>
      <c r="G1708" s="337">
        <f t="shared" ref="G1708:M1708" si="907">G1710/G1709</f>
        <v>203.48745578849747</v>
      </c>
      <c r="H1708" s="337">
        <f t="shared" si="907"/>
        <v>198.75000000000006</v>
      </c>
      <c r="I1708" s="337">
        <f t="shared" si="907"/>
        <v>194.12283841740833</v>
      </c>
      <c r="J1708" s="337">
        <f t="shared" si="907"/>
        <v>189.60340324644639</v>
      </c>
      <c r="K1708" s="337">
        <f t="shared" si="907"/>
        <v>185.18918647446853</v>
      </c>
      <c r="L1708" s="337">
        <f t="shared" si="907"/>
        <v>180.87773847866441</v>
      </c>
      <c r="M1708" s="337">
        <f t="shared" si="907"/>
        <v>176.66666666666671</v>
      </c>
      <c r="N1708" s="493"/>
    </row>
    <row r="1709" spans="2:14" hidden="1" outlineLevel="2" x14ac:dyDescent="0.2">
      <c r="B1709" s="48" t="str">
        <f t="shared" si="900"/>
        <v>GlobalPlant capexAnnualisation factor#</v>
      </c>
      <c r="C1709" t="s">
        <v>109</v>
      </c>
      <c r="D1709" t="s">
        <v>786</v>
      </c>
      <c r="E1709" t="s">
        <v>764</v>
      </c>
      <c r="F1709" s="450" t="s">
        <v>787</v>
      </c>
      <c r="G1709" s="524">
        <f>INDEX('Fuel Model -  Input'!$B$3:$N$373,MATCH($B1709,'Fuel Model -  Input'!$B$3:$B$373,0),MATCH(G$2,'Fuel Model -  Input'!$B$3:$N$3,0))</f>
        <v>11.32075471698113</v>
      </c>
      <c r="H1709" s="524">
        <f>INDEX('Fuel Model -  Input'!$B$3:$N$373,MATCH($B1709,'Fuel Model -  Input'!$B$3:$B$373,0),MATCH(H$2,'Fuel Model -  Input'!$B$3:$N$3,0))</f>
        <v>11.32075471698113</v>
      </c>
      <c r="I1709" s="524">
        <f>INDEX('Fuel Model -  Input'!$B$3:$N$373,MATCH($B1709,'Fuel Model -  Input'!$B$3:$B$373,0),MATCH(I$2,'Fuel Model -  Input'!$B$3:$N$3,0))</f>
        <v>11.32075471698113</v>
      </c>
      <c r="J1709" s="524">
        <f>INDEX('Fuel Model -  Input'!$B$3:$N$373,MATCH($B1709,'Fuel Model -  Input'!$B$3:$B$373,0),MATCH(J$2,'Fuel Model -  Input'!$B$3:$N$3,0))</f>
        <v>11.32075471698113</v>
      </c>
      <c r="K1709" s="524">
        <f>INDEX('Fuel Model -  Input'!$B$3:$N$373,MATCH($B1709,'Fuel Model -  Input'!$B$3:$B$373,0),MATCH(K$2,'Fuel Model -  Input'!$B$3:$N$3,0))</f>
        <v>11.32075471698113</v>
      </c>
      <c r="L1709" s="524">
        <f>INDEX('Fuel Model -  Input'!$B$3:$N$373,MATCH($B1709,'Fuel Model -  Input'!$B$3:$B$373,0),MATCH(L$2,'Fuel Model -  Input'!$B$3:$N$3,0))</f>
        <v>11.32075471698113</v>
      </c>
      <c r="M1709" s="524">
        <f>INDEX('Fuel Model -  Input'!$B$3:$N$373,MATCH($B1709,'Fuel Model -  Input'!$B$3:$B$373,0),MATCH(M$2,'Fuel Model -  Input'!$B$3:$N$3,0))</f>
        <v>11.32075471698113</v>
      </c>
    </row>
    <row r="1710" spans="2:14" hidden="1" outlineLevel="2" x14ac:dyDescent="0.2">
      <c r="B1710" s="48" t="str">
        <f t="shared" si="900"/>
        <v>GlobalProcess - CapexCH4 LiquifactionUSD/ ton CH4 capacity</v>
      </c>
      <c r="C1710" t="s">
        <v>109</v>
      </c>
      <c r="D1710" t="s">
        <v>879</v>
      </c>
      <c r="E1710" t="s">
        <v>1097</v>
      </c>
      <c r="F1710" s="450" t="s">
        <v>1100</v>
      </c>
      <c r="G1710" s="549">
        <f>+INDEX('Fuel Model -  Input'!$B$3:$N$373,MATCH($B1710,'Fuel Model -  Input'!$B$3:$B$373,0),MATCH(G$2,'Fuel Model -  Input'!$B$3:$N$3,0))</f>
        <v>2303.6315749641217</v>
      </c>
      <c r="H1710" s="549">
        <f>+INDEX('Fuel Model -  Input'!$B$3:$N$373,MATCH($B1710,'Fuel Model -  Input'!$B$3:$B$373,0),MATCH(H$2,'Fuel Model -  Input'!$B$3:$N$3,0))</f>
        <v>2250</v>
      </c>
      <c r="I1710" s="549">
        <f>+INDEX('Fuel Model -  Input'!$B$3:$N$373,MATCH($B1710,'Fuel Model -  Input'!$B$3:$B$373,0),MATCH(I$2,'Fuel Model -  Input'!$B$3:$N$3,0))</f>
        <v>2197.6170386876411</v>
      </c>
      <c r="J1710" s="549">
        <f>+INDEX('Fuel Model -  Input'!$B$3:$N$373,MATCH($B1710,'Fuel Model -  Input'!$B$3:$B$373,0),MATCH(J$2,'Fuel Model -  Input'!$B$3:$N$3,0))</f>
        <v>2146.4536216578831</v>
      </c>
      <c r="K1710" s="549">
        <f>+INDEX('Fuel Model -  Input'!$B$3:$N$373,MATCH($B1710,'Fuel Model -  Input'!$B$3:$B$373,0),MATCH(K$2,'Fuel Model -  Input'!$B$3:$N$3,0))</f>
        <v>2096.4813563147377</v>
      </c>
      <c r="L1710" s="549">
        <f>+INDEX('Fuel Model -  Input'!$B$3:$N$373,MATCH($B1710,'Fuel Model -  Input'!$B$3:$B$373,0),MATCH(L$2,'Fuel Model -  Input'!$B$3:$N$3,0))</f>
        <v>2047.6725110792192</v>
      </c>
      <c r="M1710" s="549">
        <f>+INDEX('Fuel Model -  Input'!$B$3:$N$373,MATCH($B1710,'Fuel Model -  Input'!$B$3:$B$373,0),MATCH(M$2,'Fuel Model -  Input'!$B$3:$N$3,0))</f>
        <v>2000</v>
      </c>
      <c r="N1710" s="93"/>
    </row>
    <row r="1711" spans="2:14" hidden="1" outlineLevel="2" x14ac:dyDescent="0.2">
      <c r="B1711" s="48" t="str">
        <f t="shared" si="900"/>
        <v>EuropeFeedstockCost of NGUSD/ton</v>
      </c>
      <c r="C1711" t="str">
        <f>+$B$1698</f>
        <v>Europe</v>
      </c>
      <c r="D1711" t="s">
        <v>777</v>
      </c>
      <c r="E1711" t="s">
        <v>1144</v>
      </c>
      <c r="F1711" s="450" t="s">
        <v>205</v>
      </c>
      <c r="G1711" s="549">
        <f>+INDEX('Fuel Model -  Input'!$B$3:$N$373,MATCH($B1711,'Fuel Model -  Input'!$B$3:$B$373,0),MATCH(G$2,'Fuel Model -  Input'!$B$3:$N$3,0))</f>
        <v>1750</v>
      </c>
      <c r="H1711" s="549">
        <f>+INDEX('Fuel Model -  Input'!$B$3:$N$373,MATCH($B1711,'Fuel Model -  Input'!$B$3:$B$373,0),MATCH(H$2,'Fuel Model -  Input'!$B$3:$N$3,0))</f>
        <v>700</v>
      </c>
      <c r="I1711" s="549">
        <f>+INDEX('Fuel Model -  Input'!$B$3:$N$373,MATCH($B1711,'Fuel Model -  Input'!$B$3:$B$373,0),MATCH(I$2,'Fuel Model -  Input'!$B$3:$N$3,0))</f>
        <v>475</v>
      </c>
      <c r="J1711" s="549">
        <f>+INDEX('Fuel Model -  Input'!$B$3:$N$373,MATCH($B1711,'Fuel Model -  Input'!$B$3:$B$373,0),MATCH(J$2,'Fuel Model -  Input'!$B$3:$N$3,0))</f>
        <v>475</v>
      </c>
      <c r="K1711" s="549">
        <f>+INDEX('Fuel Model -  Input'!$B$3:$N$373,MATCH($B1711,'Fuel Model -  Input'!$B$3:$B$373,0),MATCH(K$2,'Fuel Model -  Input'!$B$3:$N$3,0))</f>
        <v>475</v>
      </c>
      <c r="L1711" s="549">
        <f>+INDEX('Fuel Model -  Input'!$B$3:$N$373,MATCH($B1711,'Fuel Model -  Input'!$B$3:$B$373,0),MATCH(L$2,'Fuel Model -  Input'!$B$3:$N$3,0))</f>
        <v>475</v>
      </c>
      <c r="M1711" s="549">
        <f>+INDEX('Fuel Model -  Input'!$B$3:$N$373,MATCH($B1711,'Fuel Model -  Input'!$B$3:$B$373,0),MATCH(M$2,'Fuel Model -  Input'!$B$3:$N$3,0))</f>
        <v>475</v>
      </c>
    </row>
    <row r="1712" spans="2:14" hidden="1" outlineLevel="1" x14ac:dyDescent="0.2"/>
    <row r="1713" spans="2:14" ht="15" hidden="1" outlineLevel="1" collapsed="1" x14ac:dyDescent="0.25">
      <c r="B1713" s="30" t="s">
        <v>197</v>
      </c>
      <c r="C1713" s="30" t="str">
        <f>+B1713</f>
        <v>Middle East</v>
      </c>
      <c r="G1713" s="24"/>
    </row>
    <row r="1714" spans="2:14" ht="15" hidden="1" outlineLevel="2" x14ac:dyDescent="0.25">
      <c r="B1714" s="405" t="str">
        <f t="shared" ref="B1714:B1726" si="908">+C1714&amp;D1714&amp;E1714&amp;F1714</f>
        <v>Middle EastResultsCost of LNGUSD/ton</v>
      </c>
      <c r="C1714" s="30" t="str">
        <f>+$B$1713</f>
        <v>Middle East</v>
      </c>
      <c r="D1714" s="30" t="s">
        <v>838</v>
      </c>
      <c r="E1714" s="405" t="s">
        <v>1140</v>
      </c>
      <c r="F1714" s="127" t="s">
        <v>205</v>
      </c>
      <c r="G1714" s="492">
        <f t="shared" ref="G1714:M1714" si="909">+SUM(G1715:G1717)</f>
        <v>1628.6401505833101</v>
      </c>
      <c r="H1714" s="492">
        <f t="shared" si="909"/>
        <v>744.0018534766225</v>
      </c>
      <c r="I1714" s="492">
        <f t="shared" si="909"/>
        <v>356.12988589248164</v>
      </c>
      <c r="J1714" s="492">
        <f t="shared" si="909"/>
        <v>349.32248857224363</v>
      </c>
      <c r="K1714" s="492">
        <f t="shared" si="909"/>
        <v>343.76111163659812</v>
      </c>
      <c r="L1714" s="492">
        <f t="shared" si="909"/>
        <v>337.94528232515637</v>
      </c>
      <c r="M1714" s="492">
        <f t="shared" si="909"/>
        <v>333.03011286468308</v>
      </c>
    </row>
    <row r="1715" spans="2:14" ht="15" hidden="1" outlineLevel="2" x14ac:dyDescent="0.25">
      <c r="B1715" s="405" t="str">
        <f t="shared" si="908"/>
        <v>Middle EastResultsTotal Capex LNGUSD/ton</v>
      </c>
      <c r="C1715" s="30" t="str">
        <f>+$B$1713</f>
        <v>Middle East</v>
      </c>
      <c r="D1715" s="30" t="s">
        <v>838</v>
      </c>
      <c r="E1715" s="405" t="s">
        <v>1141</v>
      </c>
      <c r="F1715" s="127" t="s">
        <v>205</v>
      </c>
      <c r="G1715" s="492">
        <f>+G1723</f>
        <v>203.48745578849747</v>
      </c>
      <c r="H1715" s="492">
        <f t="shared" ref="H1715:M1715" si="910">+H1723</f>
        <v>198.75000000000006</v>
      </c>
      <c r="I1715" s="492">
        <f t="shared" si="910"/>
        <v>194.12283841740833</v>
      </c>
      <c r="J1715" s="492">
        <f t="shared" si="910"/>
        <v>189.60340324644639</v>
      </c>
      <c r="K1715" s="492">
        <f t="shared" si="910"/>
        <v>185.18918647446853</v>
      </c>
      <c r="L1715" s="492">
        <f t="shared" si="910"/>
        <v>180.87773847866441</v>
      </c>
      <c r="M1715" s="492">
        <f t="shared" si="910"/>
        <v>176.66666666666671</v>
      </c>
    </row>
    <row r="1716" spans="2:14" ht="15" hidden="1" outlineLevel="2" x14ac:dyDescent="0.25">
      <c r="B1716" s="405" t="str">
        <f t="shared" si="908"/>
        <v>Middle EastResultsTotal Opex LNGUSD/ton</v>
      </c>
      <c r="C1716" s="30" t="str">
        <f>+$B$1713</f>
        <v>Middle East</v>
      </c>
      <c r="D1716" s="30" t="s">
        <v>838</v>
      </c>
      <c r="E1716" s="405" t="s">
        <v>1142</v>
      </c>
      <c r="F1716" s="127" t="s">
        <v>205</v>
      </c>
      <c r="G1716" s="492">
        <f>+G1720</f>
        <v>25.152694794812597</v>
      </c>
      <c r="H1716" s="492">
        <f t="shared" ref="H1716:M1716" si="911">+H1720</f>
        <v>20.251853476622447</v>
      </c>
      <c r="I1716" s="492">
        <f t="shared" si="911"/>
        <v>17.007047475073279</v>
      </c>
      <c r="J1716" s="492">
        <f t="shared" si="911"/>
        <v>14.719085325797247</v>
      </c>
      <c r="K1716" s="492">
        <f t="shared" si="911"/>
        <v>13.571925162129599</v>
      </c>
      <c r="L1716" s="492">
        <f t="shared" si="911"/>
        <v>12.06754384649196</v>
      </c>
      <c r="M1716" s="492">
        <f t="shared" si="911"/>
        <v>11.363446198016351</v>
      </c>
    </row>
    <row r="1717" spans="2:14" ht="15" hidden="1" outlineLevel="2" x14ac:dyDescent="0.25">
      <c r="B1717" s="405" t="str">
        <f t="shared" si="908"/>
        <v>Middle EastResultsTotal Raw Material LNGUSD/ton</v>
      </c>
      <c r="C1717" s="30" t="str">
        <f>+$B$1713</f>
        <v>Middle East</v>
      </c>
      <c r="D1717" s="30" t="s">
        <v>838</v>
      </c>
      <c r="E1717" s="405" t="s">
        <v>1143</v>
      </c>
      <c r="F1717" s="127" t="s">
        <v>205</v>
      </c>
      <c r="G1717" s="492">
        <f>+G1726</f>
        <v>1400</v>
      </c>
      <c r="H1717" s="492">
        <f t="shared" ref="H1717:M1717" si="912">+H1726</f>
        <v>525</v>
      </c>
      <c r="I1717" s="492">
        <f t="shared" si="912"/>
        <v>145</v>
      </c>
      <c r="J1717" s="492">
        <f t="shared" si="912"/>
        <v>145</v>
      </c>
      <c r="K1717" s="492">
        <f t="shared" si="912"/>
        <v>145</v>
      </c>
      <c r="L1717" s="492">
        <f t="shared" si="912"/>
        <v>145</v>
      </c>
      <c r="M1717" s="492">
        <f t="shared" si="912"/>
        <v>145</v>
      </c>
    </row>
    <row r="1718" spans="2:14" hidden="1" outlineLevel="2" x14ac:dyDescent="0.2">
      <c r="B1718" s="48"/>
      <c r="E1718" s="48"/>
      <c r="F1718" s="128"/>
      <c r="G1718" s="18"/>
      <c r="H1718" s="18"/>
      <c r="I1718" s="18"/>
      <c r="J1718" s="18"/>
      <c r="K1718" s="18"/>
      <c r="L1718" s="18"/>
      <c r="M1718" s="18"/>
    </row>
    <row r="1719" spans="2:14" hidden="1" outlineLevel="2" x14ac:dyDescent="0.2">
      <c r="B1719" s="48" t="str">
        <f t="shared" si="908"/>
        <v>Middle EastResultsCH4 Liquifaction costUSD/ton</v>
      </c>
      <c r="C1719" t="str">
        <f>+$B$1713</f>
        <v>Middle East</v>
      </c>
      <c r="D1719" t="s">
        <v>838</v>
      </c>
      <c r="E1719" s="48" t="s">
        <v>1094</v>
      </c>
      <c r="F1719" s="128" t="s">
        <v>205</v>
      </c>
      <c r="G1719" s="8">
        <f t="shared" ref="G1719:M1719" si="913">SUM(G1720,G1723)</f>
        <v>228.64015058331006</v>
      </c>
      <c r="H1719" s="8">
        <f t="shared" si="913"/>
        <v>219.0018534766225</v>
      </c>
      <c r="I1719" s="8">
        <f t="shared" si="913"/>
        <v>211.12988589248161</v>
      </c>
      <c r="J1719" s="8">
        <f t="shared" si="913"/>
        <v>204.32248857224363</v>
      </c>
      <c r="K1719" s="8">
        <f t="shared" si="913"/>
        <v>198.76111163659812</v>
      </c>
      <c r="L1719" s="8">
        <f t="shared" si="913"/>
        <v>192.94528232515637</v>
      </c>
      <c r="M1719" s="8">
        <f t="shared" si="913"/>
        <v>188.03011286468308</v>
      </c>
    </row>
    <row r="1720" spans="2:14" hidden="1" outlineLevel="2" x14ac:dyDescent="0.2">
      <c r="B1720" s="48" t="str">
        <f t="shared" si="908"/>
        <v>Middle EastResultsCH4 Liquifaction opexUSD/ton</v>
      </c>
      <c r="C1720" t="str">
        <f>+$B$1713</f>
        <v>Middle East</v>
      </c>
      <c r="D1720" t="s">
        <v>838</v>
      </c>
      <c r="E1720" t="s">
        <v>1096</v>
      </c>
      <c r="F1720" s="450" t="s">
        <v>205</v>
      </c>
      <c r="G1720" s="8">
        <f t="shared" ref="G1720:M1720" si="914">G1721*G1722</f>
        <v>25.152694794812597</v>
      </c>
      <c r="H1720" s="8">
        <f t="shared" si="914"/>
        <v>20.251853476622447</v>
      </c>
      <c r="I1720" s="8">
        <f t="shared" si="914"/>
        <v>17.007047475073279</v>
      </c>
      <c r="J1720" s="8">
        <f t="shared" si="914"/>
        <v>14.719085325797247</v>
      </c>
      <c r="K1720" s="8">
        <f t="shared" si="914"/>
        <v>13.571925162129599</v>
      </c>
      <c r="L1720" s="8">
        <f t="shared" si="914"/>
        <v>12.06754384649196</v>
      </c>
      <c r="M1720" s="8">
        <f t="shared" si="914"/>
        <v>11.363446198016351</v>
      </c>
      <c r="N1720" s="93"/>
    </row>
    <row r="1721" spans="2:14" hidden="1" outlineLevel="2" x14ac:dyDescent="0.2">
      <c r="B1721" s="48" t="str">
        <f t="shared" si="908"/>
        <v>Middle EastFeedstockElectricityUSD/MWh</v>
      </c>
      <c r="C1721" t="str">
        <f>+$B$1713</f>
        <v>Middle East</v>
      </c>
      <c r="D1721" t="s">
        <v>777</v>
      </c>
      <c r="E1721" t="s">
        <v>54</v>
      </c>
      <c r="F1721" s="450" t="s">
        <v>196</v>
      </c>
      <c r="G1721" s="524">
        <f>+INDEX('Fuel Model -  Input'!$B$3:$N$373,MATCH($B1721,'Fuel Model -  Input'!$B$3:$B$373,0),MATCH(G$2,'Fuel Model -  Input'!$B$3:$N$3,0))</f>
        <v>41.921157991354328</v>
      </c>
      <c r="H1721" s="524">
        <f>+INDEX('Fuel Model -  Input'!$B$3:$N$373,MATCH($B1721,'Fuel Model -  Input'!$B$3:$B$373,0),MATCH(H$2,'Fuel Model -  Input'!$B$3:$N$3,0))</f>
        <v>33.753089127704079</v>
      </c>
      <c r="I1721" s="524">
        <f>+INDEX('Fuel Model -  Input'!$B$3:$N$373,MATCH($B1721,'Fuel Model -  Input'!$B$3:$B$373,0),MATCH(I$2,'Fuel Model -  Input'!$B$3:$N$3,0))</f>
        <v>28.34507912512213</v>
      </c>
      <c r="J1721" s="524">
        <f>+INDEX('Fuel Model -  Input'!$B$3:$N$373,MATCH($B1721,'Fuel Model -  Input'!$B$3:$B$373,0),MATCH(J$2,'Fuel Model -  Input'!$B$3:$N$3,0))</f>
        <v>24.531808876328746</v>
      </c>
      <c r="K1721" s="524">
        <f>+INDEX('Fuel Model -  Input'!$B$3:$N$373,MATCH($B1721,'Fuel Model -  Input'!$B$3:$B$373,0),MATCH(K$2,'Fuel Model -  Input'!$B$3:$N$3,0))</f>
        <v>22.619875270215999</v>
      </c>
      <c r="L1721" s="524">
        <f>+INDEX('Fuel Model -  Input'!$B$3:$N$373,MATCH($B1721,'Fuel Model -  Input'!$B$3:$B$373,0),MATCH(L$2,'Fuel Model -  Input'!$B$3:$N$3,0))</f>
        <v>20.112573077486601</v>
      </c>
      <c r="M1721" s="524">
        <f>+INDEX('Fuel Model -  Input'!$B$3:$N$373,MATCH($B1721,'Fuel Model -  Input'!$B$3:$B$373,0),MATCH(M$2,'Fuel Model -  Input'!$B$3:$N$3,0))</f>
        <v>18.93907699669392</v>
      </c>
      <c r="N1721" s="93"/>
    </row>
    <row r="1722" spans="2:14" hidden="1" outlineLevel="2" x14ac:dyDescent="0.2">
      <c r="B1722" s="48" t="str">
        <f t="shared" si="908"/>
        <v>GlobalProcess - OpexCH4 LiquifactionmWh/ ton e CH4</v>
      </c>
      <c r="C1722" t="s">
        <v>109</v>
      </c>
      <c r="D1722" t="s">
        <v>876</v>
      </c>
      <c r="E1722" t="s">
        <v>1097</v>
      </c>
      <c r="F1722" s="450" t="s">
        <v>1098</v>
      </c>
      <c r="G1722" s="549">
        <f>+INDEX('Fuel Model -  Input'!$B$3:$N$373,MATCH($B1722,'Fuel Model -  Input'!$B$3:$B$373,0),MATCH(G$2,'Fuel Model -  Input'!$B$3:$N$3,0))</f>
        <v>0.6</v>
      </c>
      <c r="H1722" s="549">
        <f>+INDEX('Fuel Model -  Input'!$B$3:$N$373,MATCH($B1722,'Fuel Model -  Input'!$B$3:$B$373,0),MATCH(H$2,'Fuel Model -  Input'!$B$3:$N$3,0))</f>
        <v>0.6</v>
      </c>
      <c r="I1722" s="549">
        <f>+INDEX('Fuel Model -  Input'!$B$3:$N$373,MATCH($B1722,'Fuel Model -  Input'!$B$3:$B$373,0),MATCH(I$2,'Fuel Model -  Input'!$B$3:$N$3,0))</f>
        <v>0.6</v>
      </c>
      <c r="J1722" s="549">
        <f>+INDEX('Fuel Model -  Input'!$B$3:$N$373,MATCH($B1722,'Fuel Model -  Input'!$B$3:$B$373,0),MATCH(J$2,'Fuel Model -  Input'!$B$3:$N$3,0))</f>
        <v>0.6</v>
      </c>
      <c r="K1722" s="549">
        <f>+INDEX('Fuel Model -  Input'!$B$3:$N$373,MATCH($B1722,'Fuel Model -  Input'!$B$3:$B$373,0),MATCH(K$2,'Fuel Model -  Input'!$B$3:$N$3,0))</f>
        <v>0.6</v>
      </c>
      <c r="L1722" s="549">
        <f>+INDEX('Fuel Model -  Input'!$B$3:$N$373,MATCH($B1722,'Fuel Model -  Input'!$B$3:$B$373,0),MATCH(L$2,'Fuel Model -  Input'!$B$3:$N$3,0))</f>
        <v>0.6</v>
      </c>
      <c r="M1722" s="549">
        <f>+INDEX('Fuel Model -  Input'!$B$3:$N$373,MATCH($B1722,'Fuel Model -  Input'!$B$3:$B$373,0),MATCH(M$2,'Fuel Model -  Input'!$B$3:$N$3,0))</f>
        <v>0.6</v>
      </c>
      <c r="N1722" s="93"/>
    </row>
    <row r="1723" spans="2:14" s="157" customFormat="1" hidden="1" outlineLevel="2" x14ac:dyDescent="0.2">
      <c r="B1723" s="498" t="str">
        <f t="shared" si="908"/>
        <v>Middle EastProcess - CapexCH4 LiquifactionUSD/ ton CH4 output</v>
      </c>
      <c r="C1723" t="str">
        <f>+$B$1713</f>
        <v>Middle East</v>
      </c>
      <c r="D1723" s="157" t="s">
        <v>879</v>
      </c>
      <c r="E1723" s="157" t="s">
        <v>1097</v>
      </c>
      <c r="F1723" s="450" t="s">
        <v>1099</v>
      </c>
      <c r="G1723" s="337">
        <f t="shared" ref="G1723:M1723" si="915">G1725/G1724</f>
        <v>203.48745578849747</v>
      </c>
      <c r="H1723" s="337">
        <f t="shared" si="915"/>
        <v>198.75000000000006</v>
      </c>
      <c r="I1723" s="337">
        <f t="shared" si="915"/>
        <v>194.12283841740833</v>
      </c>
      <c r="J1723" s="337">
        <f t="shared" si="915"/>
        <v>189.60340324644639</v>
      </c>
      <c r="K1723" s="337">
        <f t="shared" si="915"/>
        <v>185.18918647446853</v>
      </c>
      <c r="L1723" s="337">
        <f t="shared" si="915"/>
        <v>180.87773847866441</v>
      </c>
      <c r="M1723" s="337">
        <f t="shared" si="915"/>
        <v>176.66666666666671</v>
      </c>
      <c r="N1723" s="493"/>
    </row>
    <row r="1724" spans="2:14" hidden="1" outlineLevel="2" x14ac:dyDescent="0.2">
      <c r="B1724" s="48" t="str">
        <f t="shared" si="908"/>
        <v>GlobalPlant capexAnnualisation factor#</v>
      </c>
      <c r="C1724" t="s">
        <v>109</v>
      </c>
      <c r="D1724" t="s">
        <v>786</v>
      </c>
      <c r="E1724" t="s">
        <v>764</v>
      </c>
      <c r="F1724" s="450" t="s">
        <v>787</v>
      </c>
      <c r="G1724" s="524">
        <f>INDEX('Fuel Model -  Input'!$B$3:$N$373,MATCH($B1724,'Fuel Model -  Input'!$B$3:$B$373,0),MATCH(G$2,'Fuel Model -  Input'!$B$3:$N$3,0))</f>
        <v>11.32075471698113</v>
      </c>
      <c r="H1724" s="524">
        <f>INDEX('Fuel Model -  Input'!$B$3:$N$373,MATCH($B1724,'Fuel Model -  Input'!$B$3:$B$373,0),MATCH(H$2,'Fuel Model -  Input'!$B$3:$N$3,0))</f>
        <v>11.32075471698113</v>
      </c>
      <c r="I1724" s="524">
        <f>INDEX('Fuel Model -  Input'!$B$3:$N$373,MATCH($B1724,'Fuel Model -  Input'!$B$3:$B$373,0),MATCH(I$2,'Fuel Model -  Input'!$B$3:$N$3,0))</f>
        <v>11.32075471698113</v>
      </c>
      <c r="J1724" s="524">
        <f>INDEX('Fuel Model -  Input'!$B$3:$N$373,MATCH($B1724,'Fuel Model -  Input'!$B$3:$B$373,0),MATCH(J$2,'Fuel Model -  Input'!$B$3:$N$3,0))</f>
        <v>11.32075471698113</v>
      </c>
      <c r="K1724" s="524">
        <f>INDEX('Fuel Model -  Input'!$B$3:$N$373,MATCH($B1724,'Fuel Model -  Input'!$B$3:$B$373,0),MATCH(K$2,'Fuel Model -  Input'!$B$3:$N$3,0))</f>
        <v>11.32075471698113</v>
      </c>
      <c r="L1724" s="524">
        <f>INDEX('Fuel Model -  Input'!$B$3:$N$373,MATCH($B1724,'Fuel Model -  Input'!$B$3:$B$373,0),MATCH(L$2,'Fuel Model -  Input'!$B$3:$N$3,0))</f>
        <v>11.32075471698113</v>
      </c>
      <c r="M1724" s="524">
        <f>INDEX('Fuel Model -  Input'!$B$3:$N$373,MATCH($B1724,'Fuel Model -  Input'!$B$3:$B$373,0),MATCH(M$2,'Fuel Model -  Input'!$B$3:$N$3,0))</f>
        <v>11.32075471698113</v>
      </c>
    </row>
    <row r="1725" spans="2:14" hidden="1" outlineLevel="2" x14ac:dyDescent="0.2">
      <c r="B1725" s="48" t="str">
        <f t="shared" si="908"/>
        <v>GlobalProcess - CapexCH4 LiquifactionUSD/ ton CH4 capacity</v>
      </c>
      <c r="C1725" t="s">
        <v>109</v>
      </c>
      <c r="D1725" t="s">
        <v>879</v>
      </c>
      <c r="E1725" t="s">
        <v>1097</v>
      </c>
      <c r="F1725" s="450" t="s">
        <v>1100</v>
      </c>
      <c r="G1725" s="549">
        <f>+INDEX('Fuel Model -  Input'!$B$3:$N$373,MATCH($B1725,'Fuel Model -  Input'!$B$3:$B$373,0),MATCH(G$2,'Fuel Model -  Input'!$B$3:$N$3,0))</f>
        <v>2303.6315749641217</v>
      </c>
      <c r="H1725" s="549">
        <f>+INDEX('Fuel Model -  Input'!$B$3:$N$373,MATCH($B1725,'Fuel Model -  Input'!$B$3:$B$373,0),MATCH(H$2,'Fuel Model -  Input'!$B$3:$N$3,0))</f>
        <v>2250</v>
      </c>
      <c r="I1725" s="549">
        <f>+INDEX('Fuel Model -  Input'!$B$3:$N$373,MATCH($B1725,'Fuel Model -  Input'!$B$3:$B$373,0),MATCH(I$2,'Fuel Model -  Input'!$B$3:$N$3,0))</f>
        <v>2197.6170386876411</v>
      </c>
      <c r="J1725" s="549">
        <f>+INDEX('Fuel Model -  Input'!$B$3:$N$373,MATCH($B1725,'Fuel Model -  Input'!$B$3:$B$373,0),MATCH(J$2,'Fuel Model -  Input'!$B$3:$N$3,0))</f>
        <v>2146.4536216578831</v>
      </c>
      <c r="K1725" s="549">
        <f>+INDEX('Fuel Model -  Input'!$B$3:$N$373,MATCH($B1725,'Fuel Model -  Input'!$B$3:$B$373,0),MATCH(K$2,'Fuel Model -  Input'!$B$3:$N$3,0))</f>
        <v>2096.4813563147377</v>
      </c>
      <c r="L1725" s="549">
        <f>+INDEX('Fuel Model -  Input'!$B$3:$N$373,MATCH($B1725,'Fuel Model -  Input'!$B$3:$B$373,0),MATCH(L$2,'Fuel Model -  Input'!$B$3:$N$3,0))</f>
        <v>2047.6725110792192</v>
      </c>
      <c r="M1725" s="549">
        <f>+INDEX('Fuel Model -  Input'!$B$3:$N$373,MATCH($B1725,'Fuel Model -  Input'!$B$3:$B$373,0),MATCH(M$2,'Fuel Model -  Input'!$B$3:$N$3,0))</f>
        <v>2000</v>
      </c>
      <c r="N1725" s="93"/>
    </row>
    <row r="1726" spans="2:14" hidden="1" outlineLevel="2" x14ac:dyDescent="0.2">
      <c r="B1726" s="48" t="str">
        <f t="shared" si="908"/>
        <v>Middle EastFeedstockCost of NGUSD/ton</v>
      </c>
      <c r="C1726" t="str">
        <f>+$B$1713</f>
        <v>Middle East</v>
      </c>
      <c r="D1726" t="s">
        <v>777</v>
      </c>
      <c r="E1726" t="s">
        <v>1144</v>
      </c>
      <c r="F1726" s="450" t="s">
        <v>205</v>
      </c>
      <c r="G1726" s="549">
        <f>+INDEX('Fuel Model -  Input'!$B$3:$N$373,MATCH($B1726,'Fuel Model -  Input'!$B$3:$B$373,0),MATCH(G$2,'Fuel Model -  Input'!$B$3:$N$3,0))</f>
        <v>1400</v>
      </c>
      <c r="H1726" s="549">
        <f>+INDEX('Fuel Model -  Input'!$B$3:$N$373,MATCH($B1726,'Fuel Model -  Input'!$B$3:$B$373,0),MATCH(H$2,'Fuel Model -  Input'!$B$3:$N$3,0))</f>
        <v>525</v>
      </c>
      <c r="I1726" s="549">
        <f>+INDEX('Fuel Model -  Input'!$B$3:$N$373,MATCH($B1726,'Fuel Model -  Input'!$B$3:$B$373,0),MATCH(I$2,'Fuel Model -  Input'!$B$3:$N$3,0))</f>
        <v>145</v>
      </c>
      <c r="J1726" s="549">
        <f>+INDEX('Fuel Model -  Input'!$B$3:$N$373,MATCH($B1726,'Fuel Model -  Input'!$B$3:$B$373,0),MATCH(J$2,'Fuel Model -  Input'!$B$3:$N$3,0))</f>
        <v>145</v>
      </c>
      <c r="K1726" s="549">
        <f>+INDEX('Fuel Model -  Input'!$B$3:$N$373,MATCH($B1726,'Fuel Model -  Input'!$B$3:$B$373,0),MATCH(K$2,'Fuel Model -  Input'!$B$3:$N$3,0))</f>
        <v>145</v>
      </c>
      <c r="L1726" s="549">
        <f>+INDEX('Fuel Model -  Input'!$B$3:$N$373,MATCH($B1726,'Fuel Model -  Input'!$B$3:$B$373,0),MATCH(L$2,'Fuel Model -  Input'!$B$3:$N$3,0))</f>
        <v>145</v>
      </c>
      <c r="M1726" s="549">
        <f>+INDEX('Fuel Model -  Input'!$B$3:$N$373,MATCH($B1726,'Fuel Model -  Input'!$B$3:$B$373,0),MATCH(M$2,'Fuel Model -  Input'!$B$3:$N$3,0))</f>
        <v>145</v>
      </c>
    </row>
    <row r="1727" spans="2:14" hidden="1" outlineLevel="1" x14ac:dyDescent="0.2"/>
    <row r="1728" spans="2:14" ht="15" hidden="1" outlineLevel="1" x14ac:dyDescent="0.25">
      <c r="B1728" s="30" t="s">
        <v>198</v>
      </c>
      <c r="C1728" s="30" t="str">
        <f>+B1728</f>
        <v>Asia</v>
      </c>
    </row>
    <row r="1729" spans="2:14" ht="15" hidden="1" outlineLevel="2" x14ac:dyDescent="0.25">
      <c r="B1729" s="405" t="str">
        <f t="shared" ref="B1729:B1741" si="916">+C1729&amp;D1729&amp;E1729&amp;F1729</f>
        <v>AsiaResultsCost of LNGUSD/ton</v>
      </c>
      <c r="C1729" s="30" t="str">
        <f>+$B$1728</f>
        <v>Asia</v>
      </c>
      <c r="D1729" s="30" t="s">
        <v>838</v>
      </c>
      <c r="E1729" s="405" t="s">
        <v>1140</v>
      </c>
      <c r="F1729" s="127" t="s">
        <v>205</v>
      </c>
      <c r="G1729" s="492">
        <f t="shared" ref="G1729:M1729" si="917">+SUM(G1730:G1732)</f>
        <v>1852.724467477733</v>
      </c>
      <c r="H1729" s="492">
        <f t="shared" si="917"/>
        <v>955.86692803031895</v>
      </c>
      <c r="I1729" s="492">
        <f t="shared" si="917"/>
        <v>570.09893459880254</v>
      </c>
      <c r="J1729" s="492">
        <f t="shared" si="917"/>
        <v>561.40564271980418</v>
      </c>
      <c r="K1729" s="492">
        <f t="shared" si="917"/>
        <v>554.8693360742152</v>
      </c>
      <c r="L1729" s="492">
        <f t="shared" si="917"/>
        <v>548.33663696197061</v>
      </c>
      <c r="M1729" s="492">
        <f t="shared" si="917"/>
        <v>543.10692883006129</v>
      </c>
    </row>
    <row r="1730" spans="2:14" ht="15" hidden="1" outlineLevel="2" x14ac:dyDescent="0.25">
      <c r="B1730" s="405" t="str">
        <f t="shared" si="916"/>
        <v>AsiaResultsTotal Capex LNGUSD/ton</v>
      </c>
      <c r="C1730" s="30" t="str">
        <f>+$B$1728</f>
        <v>Asia</v>
      </c>
      <c r="D1730" s="30" t="s">
        <v>838</v>
      </c>
      <c r="E1730" s="405" t="s">
        <v>1141</v>
      </c>
      <c r="F1730" s="127" t="s">
        <v>205</v>
      </c>
      <c r="G1730" s="492">
        <f>+G1738</f>
        <v>203.48745578849747</v>
      </c>
      <c r="H1730" s="492">
        <f t="shared" ref="H1730:M1730" si="918">+H1738</f>
        <v>198.75000000000006</v>
      </c>
      <c r="I1730" s="492">
        <f t="shared" si="918"/>
        <v>194.12283841740833</v>
      </c>
      <c r="J1730" s="492">
        <f t="shared" si="918"/>
        <v>189.60340324644639</v>
      </c>
      <c r="K1730" s="492">
        <f t="shared" si="918"/>
        <v>185.18918647446853</v>
      </c>
      <c r="L1730" s="492">
        <f t="shared" si="918"/>
        <v>180.87773847866441</v>
      </c>
      <c r="M1730" s="492">
        <f t="shared" si="918"/>
        <v>176.66666666666671</v>
      </c>
    </row>
    <row r="1731" spans="2:14" ht="15" hidden="1" outlineLevel="2" x14ac:dyDescent="0.25">
      <c r="B1731" s="405" t="str">
        <f t="shared" si="916"/>
        <v>AsiaResultsTotal Opex LNGUSD/ton</v>
      </c>
      <c r="C1731" s="30" t="str">
        <f>+$B$1728</f>
        <v>Asia</v>
      </c>
      <c r="D1731" s="30" t="s">
        <v>838</v>
      </c>
      <c r="E1731" s="405" t="s">
        <v>1142</v>
      </c>
      <c r="F1731" s="127" t="s">
        <v>205</v>
      </c>
      <c r="G1731" s="492">
        <f>+G1735</f>
        <v>49.237011689235629</v>
      </c>
      <c r="H1731" s="492">
        <f t="shared" ref="H1731:M1731" si="919">+H1735</f>
        <v>32.116928030318896</v>
      </c>
      <c r="I1731" s="492">
        <f t="shared" si="919"/>
        <v>25.976096181394158</v>
      </c>
      <c r="J1731" s="492">
        <f t="shared" si="919"/>
        <v>21.802239473357776</v>
      </c>
      <c r="K1731" s="492">
        <f t="shared" si="919"/>
        <v>19.680149599746599</v>
      </c>
      <c r="L1731" s="492">
        <f t="shared" si="919"/>
        <v>17.458898483306218</v>
      </c>
      <c r="M1731" s="492">
        <f t="shared" si="919"/>
        <v>16.440262163394618</v>
      </c>
    </row>
    <row r="1732" spans="2:14" ht="15" hidden="1" outlineLevel="2" x14ac:dyDescent="0.25">
      <c r="B1732" s="405" t="str">
        <f t="shared" si="916"/>
        <v>AsiaResultsTotal Raw Material LNGUSD/ton</v>
      </c>
      <c r="C1732" s="30" t="str">
        <f>+$B$1728</f>
        <v>Asia</v>
      </c>
      <c r="D1732" s="30" t="s">
        <v>838</v>
      </c>
      <c r="E1732" s="405" t="s">
        <v>1143</v>
      </c>
      <c r="F1732" s="127" t="s">
        <v>205</v>
      </c>
      <c r="G1732" s="492">
        <f>+G1741</f>
        <v>1600</v>
      </c>
      <c r="H1732" s="492">
        <f t="shared" ref="H1732:M1732" si="920">+H1741</f>
        <v>725</v>
      </c>
      <c r="I1732" s="492">
        <f t="shared" si="920"/>
        <v>350</v>
      </c>
      <c r="J1732" s="492">
        <f t="shared" si="920"/>
        <v>350</v>
      </c>
      <c r="K1732" s="492">
        <f t="shared" si="920"/>
        <v>350</v>
      </c>
      <c r="L1732" s="492">
        <f t="shared" si="920"/>
        <v>350</v>
      </c>
      <c r="M1732" s="492">
        <f t="shared" si="920"/>
        <v>350</v>
      </c>
    </row>
    <row r="1733" spans="2:14" hidden="1" outlineLevel="2" x14ac:dyDescent="0.2">
      <c r="B1733" s="48"/>
      <c r="E1733" s="48"/>
      <c r="F1733" s="128"/>
      <c r="G1733" s="18"/>
      <c r="H1733" s="18"/>
      <c r="I1733" s="18"/>
      <c r="J1733" s="18"/>
      <c r="K1733" s="18"/>
      <c r="L1733" s="18"/>
      <c r="M1733" s="18"/>
    </row>
    <row r="1734" spans="2:14" hidden="1" outlineLevel="2" x14ac:dyDescent="0.2">
      <c r="B1734" s="48" t="str">
        <f t="shared" si="916"/>
        <v>AsiaResultsCH4 Liquifaction costUSD/ton</v>
      </c>
      <c r="C1734" t="str">
        <f>+$B$1728</f>
        <v>Asia</v>
      </c>
      <c r="D1734" t="s">
        <v>838</v>
      </c>
      <c r="E1734" s="48" t="s">
        <v>1094</v>
      </c>
      <c r="F1734" s="128" t="s">
        <v>205</v>
      </c>
      <c r="G1734" s="8">
        <f t="shared" ref="G1734:M1734" si="921">SUM(G1735,G1738)</f>
        <v>252.7244674777331</v>
      </c>
      <c r="H1734" s="8">
        <f t="shared" si="921"/>
        <v>230.86692803031895</v>
      </c>
      <c r="I1734" s="8">
        <f t="shared" si="921"/>
        <v>220.09893459880249</v>
      </c>
      <c r="J1734" s="8">
        <f t="shared" si="921"/>
        <v>211.40564271980418</v>
      </c>
      <c r="K1734" s="8">
        <f t="shared" si="921"/>
        <v>204.86933607421514</v>
      </c>
      <c r="L1734" s="8">
        <f t="shared" si="921"/>
        <v>198.33663696197064</v>
      </c>
      <c r="M1734" s="8">
        <f t="shared" si="921"/>
        <v>193.10692883006132</v>
      </c>
    </row>
    <row r="1735" spans="2:14" hidden="1" outlineLevel="2" x14ac:dyDescent="0.2">
      <c r="B1735" s="48" t="str">
        <f t="shared" si="916"/>
        <v>AsiaResultsCH4 Liquifaction opexUSD/ton</v>
      </c>
      <c r="C1735" t="str">
        <f>+$B$1728</f>
        <v>Asia</v>
      </c>
      <c r="D1735" t="s">
        <v>838</v>
      </c>
      <c r="E1735" t="s">
        <v>1096</v>
      </c>
      <c r="F1735" s="450" t="s">
        <v>205</v>
      </c>
      <c r="G1735" s="8">
        <f t="shared" ref="G1735:M1735" si="922">G1736*G1737</f>
        <v>49.237011689235629</v>
      </c>
      <c r="H1735" s="8">
        <f t="shared" si="922"/>
        <v>32.116928030318896</v>
      </c>
      <c r="I1735" s="8">
        <f t="shared" si="922"/>
        <v>25.976096181394158</v>
      </c>
      <c r="J1735" s="8">
        <f t="shared" si="922"/>
        <v>21.802239473357776</v>
      </c>
      <c r="K1735" s="8">
        <f t="shared" si="922"/>
        <v>19.680149599746599</v>
      </c>
      <c r="L1735" s="8">
        <f t="shared" si="922"/>
        <v>17.458898483306218</v>
      </c>
      <c r="M1735" s="8">
        <f t="shared" si="922"/>
        <v>16.440262163394618</v>
      </c>
      <c r="N1735" s="93"/>
    </row>
    <row r="1736" spans="2:14" hidden="1" outlineLevel="2" x14ac:dyDescent="0.2">
      <c r="B1736" s="48" t="str">
        <f t="shared" si="916"/>
        <v>AsiaFeedstockElectricityUSD/MWh</v>
      </c>
      <c r="C1736" t="str">
        <f>+$B$1728</f>
        <v>Asia</v>
      </c>
      <c r="D1736" t="s">
        <v>777</v>
      </c>
      <c r="E1736" t="s">
        <v>54</v>
      </c>
      <c r="F1736" s="450" t="s">
        <v>196</v>
      </c>
      <c r="G1736" s="524">
        <f>+INDEX('Fuel Model -  Input'!$B$3:$N$373,MATCH($B1736,'Fuel Model -  Input'!$B$3:$B$373,0),MATCH(G$2,'Fuel Model -  Input'!$B$3:$N$3,0))</f>
        <v>82.061686148726054</v>
      </c>
      <c r="H1736" s="524">
        <f>+INDEX('Fuel Model -  Input'!$B$3:$N$373,MATCH($B1736,'Fuel Model -  Input'!$B$3:$B$373,0),MATCH(H$2,'Fuel Model -  Input'!$B$3:$N$3,0))</f>
        <v>53.528213383864831</v>
      </c>
      <c r="I1736" s="524">
        <f>+INDEX('Fuel Model -  Input'!$B$3:$N$373,MATCH($B1736,'Fuel Model -  Input'!$B$3:$B$373,0),MATCH(I$2,'Fuel Model -  Input'!$B$3:$N$3,0))</f>
        <v>43.29349363565693</v>
      </c>
      <c r="J1736" s="524">
        <f>+INDEX('Fuel Model -  Input'!$B$3:$N$373,MATCH($B1736,'Fuel Model -  Input'!$B$3:$B$373,0),MATCH(J$2,'Fuel Model -  Input'!$B$3:$N$3,0))</f>
        <v>36.337065788929628</v>
      </c>
      <c r="K1736" s="524">
        <f>+INDEX('Fuel Model -  Input'!$B$3:$N$373,MATCH($B1736,'Fuel Model -  Input'!$B$3:$B$373,0),MATCH(K$2,'Fuel Model -  Input'!$B$3:$N$3,0))</f>
        <v>32.800249332911001</v>
      </c>
      <c r="L1736" s="524">
        <f>+INDEX('Fuel Model -  Input'!$B$3:$N$373,MATCH($B1736,'Fuel Model -  Input'!$B$3:$B$373,0),MATCH(L$2,'Fuel Model -  Input'!$B$3:$N$3,0))</f>
        <v>29.0981641388437</v>
      </c>
      <c r="M1736" s="524">
        <f>+INDEX('Fuel Model -  Input'!$B$3:$N$373,MATCH($B1736,'Fuel Model -  Input'!$B$3:$B$373,0),MATCH(M$2,'Fuel Model -  Input'!$B$3:$N$3,0))</f>
        <v>27.400436938991028</v>
      </c>
      <c r="N1736" s="93"/>
    </row>
    <row r="1737" spans="2:14" hidden="1" outlineLevel="2" x14ac:dyDescent="0.2">
      <c r="B1737" s="48" t="str">
        <f t="shared" si="916"/>
        <v>GlobalProcess - OpexCH4 LiquifactionmWh/ ton e CH4</v>
      </c>
      <c r="C1737" t="s">
        <v>109</v>
      </c>
      <c r="D1737" t="s">
        <v>876</v>
      </c>
      <c r="E1737" t="s">
        <v>1097</v>
      </c>
      <c r="F1737" s="450" t="s">
        <v>1098</v>
      </c>
      <c r="G1737" s="549">
        <f>+INDEX('Fuel Model -  Input'!$B$3:$N$373,MATCH($B1737,'Fuel Model -  Input'!$B$3:$B$373,0),MATCH(G$2,'Fuel Model -  Input'!$B$3:$N$3,0))</f>
        <v>0.6</v>
      </c>
      <c r="H1737" s="549">
        <f>+INDEX('Fuel Model -  Input'!$B$3:$N$373,MATCH($B1737,'Fuel Model -  Input'!$B$3:$B$373,0),MATCH(H$2,'Fuel Model -  Input'!$B$3:$N$3,0))</f>
        <v>0.6</v>
      </c>
      <c r="I1737" s="549">
        <f>+INDEX('Fuel Model -  Input'!$B$3:$N$373,MATCH($B1737,'Fuel Model -  Input'!$B$3:$B$373,0),MATCH(I$2,'Fuel Model -  Input'!$B$3:$N$3,0))</f>
        <v>0.6</v>
      </c>
      <c r="J1737" s="549">
        <f>+INDEX('Fuel Model -  Input'!$B$3:$N$373,MATCH($B1737,'Fuel Model -  Input'!$B$3:$B$373,0),MATCH(J$2,'Fuel Model -  Input'!$B$3:$N$3,0))</f>
        <v>0.6</v>
      </c>
      <c r="K1737" s="549">
        <f>+INDEX('Fuel Model -  Input'!$B$3:$N$373,MATCH($B1737,'Fuel Model -  Input'!$B$3:$B$373,0),MATCH(K$2,'Fuel Model -  Input'!$B$3:$N$3,0))</f>
        <v>0.6</v>
      </c>
      <c r="L1737" s="549">
        <f>+INDEX('Fuel Model -  Input'!$B$3:$N$373,MATCH($B1737,'Fuel Model -  Input'!$B$3:$B$373,0),MATCH(L$2,'Fuel Model -  Input'!$B$3:$N$3,0))</f>
        <v>0.6</v>
      </c>
      <c r="M1737" s="549">
        <f>+INDEX('Fuel Model -  Input'!$B$3:$N$373,MATCH($B1737,'Fuel Model -  Input'!$B$3:$B$373,0),MATCH(M$2,'Fuel Model -  Input'!$B$3:$N$3,0))</f>
        <v>0.6</v>
      </c>
      <c r="N1737" s="93"/>
    </row>
    <row r="1738" spans="2:14" s="157" customFormat="1" hidden="1" outlineLevel="2" x14ac:dyDescent="0.2">
      <c r="B1738" s="498" t="str">
        <f t="shared" si="916"/>
        <v>AsiaProcess - CapexCH4 LiquifactionUSD/ ton CH4 output</v>
      </c>
      <c r="C1738" t="str">
        <f>+$B$1728</f>
        <v>Asia</v>
      </c>
      <c r="D1738" s="157" t="s">
        <v>879</v>
      </c>
      <c r="E1738" s="157" t="s">
        <v>1097</v>
      </c>
      <c r="F1738" s="450" t="s">
        <v>1099</v>
      </c>
      <c r="G1738" s="337">
        <f t="shared" ref="G1738:M1738" si="923">G1740/G1739</f>
        <v>203.48745578849747</v>
      </c>
      <c r="H1738" s="337">
        <f t="shared" si="923"/>
        <v>198.75000000000006</v>
      </c>
      <c r="I1738" s="337">
        <f t="shared" si="923"/>
        <v>194.12283841740833</v>
      </c>
      <c r="J1738" s="337">
        <f t="shared" si="923"/>
        <v>189.60340324644639</v>
      </c>
      <c r="K1738" s="337">
        <f t="shared" si="923"/>
        <v>185.18918647446853</v>
      </c>
      <c r="L1738" s="337">
        <f t="shared" si="923"/>
        <v>180.87773847866441</v>
      </c>
      <c r="M1738" s="337">
        <f t="shared" si="923"/>
        <v>176.66666666666671</v>
      </c>
      <c r="N1738" s="493"/>
    </row>
    <row r="1739" spans="2:14" hidden="1" outlineLevel="2" x14ac:dyDescent="0.2">
      <c r="B1739" s="48" t="str">
        <f t="shared" si="916"/>
        <v>GlobalPlant capexAnnualisation factor#</v>
      </c>
      <c r="C1739" t="s">
        <v>109</v>
      </c>
      <c r="D1739" t="s">
        <v>786</v>
      </c>
      <c r="E1739" t="s">
        <v>764</v>
      </c>
      <c r="F1739" s="450" t="s">
        <v>787</v>
      </c>
      <c r="G1739" s="524">
        <f>INDEX('Fuel Model -  Input'!$B$3:$N$373,MATCH($B1739,'Fuel Model -  Input'!$B$3:$B$373,0),MATCH(G$2,'Fuel Model -  Input'!$B$3:$N$3,0))</f>
        <v>11.32075471698113</v>
      </c>
      <c r="H1739" s="524">
        <f>INDEX('Fuel Model -  Input'!$B$3:$N$373,MATCH($B1739,'Fuel Model -  Input'!$B$3:$B$373,0),MATCH(H$2,'Fuel Model -  Input'!$B$3:$N$3,0))</f>
        <v>11.32075471698113</v>
      </c>
      <c r="I1739" s="524">
        <f>INDEX('Fuel Model -  Input'!$B$3:$N$373,MATCH($B1739,'Fuel Model -  Input'!$B$3:$B$373,0),MATCH(I$2,'Fuel Model -  Input'!$B$3:$N$3,0))</f>
        <v>11.32075471698113</v>
      </c>
      <c r="J1739" s="524">
        <f>INDEX('Fuel Model -  Input'!$B$3:$N$373,MATCH($B1739,'Fuel Model -  Input'!$B$3:$B$373,0),MATCH(J$2,'Fuel Model -  Input'!$B$3:$N$3,0))</f>
        <v>11.32075471698113</v>
      </c>
      <c r="K1739" s="524">
        <f>INDEX('Fuel Model -  Input'!$B$3:$N$373,MATCH($B1739,'Fuel Model -  Input'!$B$3:$B$373,0),MATCH(K$2,'Fuel Model -  Input'!$B$3:$N$3,0))</f>
        <v>11.32075471698113</v>
      </c>
      <c r="L1739" s="524">
        <f>INDEX('Fuel Model -  Input'!$B$3:$N$373,MATCH($B1739,'Fuel Model -  Input'!$B$3:$B$373,0),MATCH(L$2,'Fuel Model -  Input'!$B$3:$N$3,0))</f>
        <v>11.32075471698113</v>
      </c>
      <c r="M1739" s="524">
        <f>INDEX('Fuel Model -  Input'!$B$3:$N$373,MATCH($B1739,'Fuel Model -  Input'!$B$3:$B$373,0),MATCH(M$2,'Fuel Model -  Input'!$B$3:$N$3,0))</f>
        <v>11.32075471698113</v>
      </c>
    </row>
    <row r="1740" spans="2:14" hidden="1" outlineLevel="2" x14ac:dyDescent="0.2">
      <c r="B1740" s="48" t="str">
        <f t="shared" si="916"/>
        <v>GlobalProcess - CapexCH4 LiquifactionUSD/ ton CH4 capacity</v>
      </c>
      <c r="C1740" t="s">
        <v>109</v>
      </c>
      <c r="D1740" t="s">
        <v>879</v>
      </c>
      <c r="E1740" t="s">
        <v>1097</v>
      </c>
      <c r="F1740" s="450" t="s">
        <v>1100</v>
      </c>
      <c r="G1740" s="549">
        <f>+INDEX('Fuel Model -  Input'!$B$3:$N$373,MATCH($B1740,'Fuel Model -  Input'!$B$3:$B$373,0),MATCH(G$2,'Fuel Model -  Input'!$B$3:$N$3,0))</f>
        <v>2303.6315749641217</v>
      </c>
      <c r="H1740" s="549">
        <f>+INDEX('Fuel Model -  Input'!$B$3:$N$373,MATCH($B1740,'Fuel Model -  Input'!$B$3:$B$373,0),MATCH(H$2,'Fuel Model -  Input'!$B$3:$N$3,0))</f>
        <v>2250</v>
      </c>
      <c r="I1740" s="549">
        <f>+INDEX('Fuel Model -  Input'!$B$3:$N$373,MATCH($B1740,'Fuel Model -  Input'!$B$3:$B$373,0),MATCH(I$2,'Fuel Model -  Input'!$B$3:$N$3,0))</f>
        <v>2197.6170386876411</v>
      </c>
      <c r="J1740" s="549">
        <f>+INDEX('Fuel Model -  Input'!$B$3:$N$373,MATCH($B1740,'Fuel Model -  Input'!$B$3:$B$373,0),MATCH(J$2,'Fuel Model -  Input'!$B$3:$N$3,0))</f>
        <v>2146.4536216578831</v>
      </c>
      <c r="K1740" s="549">
        <f>+INDEX('Fuel Model -  Input'!$B$3:$N$373,MATCH($B1740,'Fuel Model -  Input'!$B$3:$B$373,0),MATCH(K$2,'Fuel Model -  Input'!$B$3:$N$3,0))</f>
        <v>2096.4813563147377</v>
      </c>
      <c r="L1740" s="549">
        <f>+INDEX('Fuel Model -  Input'!$B$3:$N$373,MATCH($B1740,'Fuel Model -  Input'!$B$3:$B$373,0),MATCH(L$2,'Fuel Model -  Input'!$B$3:$N$3,0))</f>
        <v>2047.6725110792192</v>
      </c>
      <c r="M1740" s="549">
        <f>+INDEX('Fuel Model -  Input'!$B$3:$N$373,MATCH($B1740,'Fuel Model -  Input'!$B$3:$B$373,0),MATCH(M$2,'Fuel Model -  Input'!$B$3:$N$3,0))</f>
        <v>2000</v>
      </c>
      <c r="N1740" s="93"/>
    </row>
    <row r="1741" spans="2:14" hidden="1" outlineLevel="2" x14ac:dyDescent="0.2">
      <c r="B1741" s="48" t="str">
        <f t="shared" si="916"/>
        <v>AsiaFeedstockCost of NGUSD/ton</v>
      </c>
      <c r="C1741" t="str">
        <f>+$B$1728</f>
        <v>Asia</v>
      </c>
      <c r="D1741" t="s">
        <v>777</v>
      </c>
      <c r="E1741" t="s">
        <v>1144</v>
      </c>
      <c r="F1741" s="450" t="s">
        <v>205</v>
      </c>
      <c r="G1741" s="549">
        <f>+INDEX('Fuel Model -  Input'!$B$3:$N$373,MATCH($B1741,'Fuel Model -  Input'!$B$3:$B$373,0),MATCH(G$2,'Fuel Model -  Input'!$B$3:$N$3,0))</f>
        <v>1600</v>
      </c>
      <c r="H1741" s="549">
        <f>+INDEX('Fuel Model -  Input'!$B$3:$N$373,MATCH($B1741,'Fuel Model -  Input'!$B$3:$B$373,0),MATCH(H$2,'Fuel Model -  Input'!$B$3:$N$3,0))</f>
        <v>725</v>
      </c>
      <c r="I1741" s="549">
        <f>+INDEX('Fuel Model -  Input'!$B$3:$N$373,MATCH($B1741,'Fuel Model -  Input'!$B$3:$B$373,0),MATCH(I$2,'Fuel Model -  Input'!$B$3:$N$3,0))</f>
        <v>350</v>
      </c>
      <c r="J1741" s="549">
        <f>+INDEX('Fuel Model -  Input'!$B$3:$N$373,MATCH($B1741,'Fuel Model -  Input'!$B$3:$B$373,0),MATCH(J$2,'Fuel Model -  Input'!$B$3:$N$3,0))</f>
        <v>350</v>
      </c>
      <c r="K1741" s="549">
        <f>+INDEX('Fuel Model -  Input'!$B$3:$N$373,MATCH($B1741,'Fuel Model -  Input'!$B$3:$B$373,0),MATCH(K$2,'Fuel Model -  Input'!$B$3:$N$3,0))</f>
        <v>350</v>
      </c>
      <c r="L1741" s="549">
        <f>+INDEX('Fuel Model -  Input'!$B$3:$N$373,MATCH($B1741,'Fuel Model -  Input'!$B$3:$B$373,0),MATCH(L$2,'Fuel Model -  Input'!$B$3:$N$3,0))</f>
        <v>350</v>
      </c>
      <c r="M1741" s="549">
        <f>+INDEX('Fuel Model -  Input'!$B$3:$N$373,MATCH($B1741,'Fuel Model -  Input'!$B$3:$B$373,0),MATCH(M$2,'Fuel Model -  Input'!$B$3:$N$3,0))</f>
        <v>350</v>
      </c>
    </row>
    <row r="1742" spans="2:14" hidden="1" outlineLevel="1" x14ac:dyDescent="0.2"/>
    <row r="1743" spans="2:14" ht="15" hidden="1" outlineLevel="1" collapsed="1" x14ac:dyDescent="0.25">
      <c r="B1743" s="30" t="s">
        <v>199</v>
      </c>
      <c r="C1743" s="30" t="str">
        <f>+B1743</f>
        <v>Americas</v>
      </c>
    </row>
    <row r="1744" spans="2:14" ht="15" hidden="1" outlineLevel="2" x14ac:dyDescent="0.25">
      <c r="B1744" s="405" t="str">
        <f t="shared" ref="B1744:B1756" si="924">+C1744&amp;D1744&amp;E1744&amp;F1744</f>
        <v>AmericasResultsCost of LNGUSD/ton</v>
      </c>
      <c r="C1744" s="30" t="str">
        <f>+$B$1743</f>
        <v>Americas</v>
      </c>
      <c r="D1744" s="30" t="s">
        <v>838</v>
      </c>
      <c r="E1744" s="405" t="s">
        <v>1140</v>
      </c>
      <c r="F1744" s="127" t="s">
        <v>205</v>
      </c>
      <c r="G1744" s="492">
        <f t="shared" ref="G1744:M1744" si="925">+SUM(G1745:G1747)</f>
        <v>576.86729921038807</v>
      </c>
      <c r="H1744" s="492">
        <f t="shared" si="925"/>
        <v>449.85062225850675</v>
      </c>
      <c r="I1744" s="492">
        <f t="shared" si="925"/>
        <v>431.37068191264746</v>
      </c>
      <c r="J1744" s="492">
        <f t="shared" si="925"/>
        <v>454.99719710060219</v>
      </c>
      <c r="K1744" s="492">
        <f t="shared" si="925"/>
        <v>449.08004208411</v>
      </c>
      <c r="L1744" s="492">
        <f t="shared" si="925"/>
        <v>444.16310810473749</v>
      </c>
      <c r="M1744" s="492">
        <f t="shared" si="925"/>
        <v>439.49523997475433</v>
      </c>
    </row>
    <row r="1745" spans="2:14" ht="15" hidden="1" outlineLevel="2" x14ac:dyDescent="0.25">
      <c r="B1745" s="405" t="str">
        <f t="shared" si="924"/>
        <v>AmericasResultsTotal Capex LNGUSD/ton</v>
      </c>
      <c r="C1745" s="30" t="str">
        <f>+$B$1743</f>
        <v>Americas</v>
      </c>
      <c r="D1745" s="30" t="s">
        <v>838</v>
      </c>
      <c r="E1745" s="405" t="s">
        <v>1141</v>
      </c>
      <c r="F1745" s="127" t="s">
        <v>205</v>
      </c>
      <c r="G1745" s="492">
        <f>+G1753</f>
        <v>203.48745578849747</v>
      </c>
      <c r="H1745" s="492">
        <f t="shared" ref="H1745:M1745" si="926">+H1753</f>
        <v>198.75000000000006</v>
      </c>
      <c r="I1745" s="492">
        <f t="shared" si="926"/>
        <v>194.12283841740833</v>
      </c>
      <c r="J1745" s="492">
        <f t="shared" si="926"/>
        <v>189.60340324644639</v>
      </c>
      <c r="K1745" s="492">
        <f t="shared" si="926"/>
        <v>185.18918647446853</v>
      </c>
      <c r="L1745" s="492">
        <f t="shared" si="926"/>
        <v>180.87773847866441</v>
      </c>
      <c r="M1745" s="492">
        <f t="shared" si="926"/>
        <v>176.66666666666671</v>
      </c>
    </row>
    <row r="1746" spans="2:14" ht="15" hidden="1" outlineLevel="2" x14ac:dyDescent="0.25">
      <c r="B1746" s="405" t="str">
        <f t="shared" si="924"/>
        <v>AmericasResultsTotal Opex LNGUSD/ton</v>
      </c>
      <c r="C1746" s="30" t="str">
        <f>+$B$1743</f>
        <v>Americas</v>
      </c>
      <c r="D1746" s="30" t="s">
        <v>838</v>
      </c>
      <c r="E1746" s="405" t="s">
        <v>1142</v>
      </c>
      <c r="F1746" s="127" t="s">
        <v>205</v>
      </c>
      <c r="G1746" s="492">
        <f>+G1750</f>
        <v>23.379843421890563</v>
      </c>
      <c r="H1746" s="492">
        <f t="shared" ref="H1746:M1746" si="927">+H1750</f>
        <v>21.100622258506721</v>
      </c>
      <c r="I1746" s="492">
        <f t="shared" si="927"/>
        <v>17.247843495239135</v>
      </c>
      <c r="J1746" s="492">
        <f t="shared" si="927"/>
        <v>15.393793854155806</v>
      </c>
      <c r="K1746" s="492">
        <f t="shared" si="927"/>
        <v>13.890855609641479</v>
      </c>
      <c r="L1746" s="492">
        <f t="shared" si="927"/>
        <v>13.28536962607304</v>
      </c>
      <c r="M1746" s="492">
        <f t="shared" si="927"/>
        <v>12.828573308087629</v>
      </c>
    </row>
    <row r="1747" spans="2:14" ht="15" hidden="1" outlineLevel="2" x14ac:dyDescent="0.25">
      <c r="B1747" s="405" t="str">
        <f t="shared" si="924"/>
        <v>AmericasResultsTotal Raw Material LNGUSD/ton</v>
      </c>
      <c r="C1747" s="30" t="str">
        <f>+$B$1743</f>
        <v>Americas</v>
      </c>
      <c r="D1747" s="30" t="s">
        <v>838</v>
      </c>
      <c r="E1747" s="405" t="s">
        <v>1143</v>
      </c>
      <c r="F1747" s="127" t="s">
        <v>205</v>
      </c>
      <c r="G1747" s="492">
        <f>+G1756</f>
        <v>350</v>
      </c>
      <c r="H1747" s="492">
        <f t="shared" ref="H1747:M1747" si="928">+H1756</f>
        <v>230</v>
      </c>
      <c r="I1747" s="492">
        <f t="shared" si="928"/>
        <v>220</v>
      </c>
      <c r="J1747" s="492">
        <f t="shared" si="928"/>
        <v>250</v>
      </c>
      <c r="K1747" s="492">
        <f t="shared" si="928"/>
        <v>250</v>
      </c>
      <c r="L1747" s="492">
        <f t="shared" si="928"/>
        <v>250</v>
      </c>
      <c r="M1747" s="492">
        <f t="shared" si="928"/>
        <v>250</v>
      </c>
    </row>
    <row r="1748" spans="2:14" hidden="1" outlineLevel="2" x14ac:dyDescent="0.2">
      <c r="B1748" s="48"/>
      <c r="E1748" s="48"/>
      <c r="F1748" s="128"/>
      <c r="G1748" s="18"/>
      <c r="H1748" s="18"/>
      <c r="I1748" s="18"/>
      <c r="J1748" s="18"/>
      <c r="K1748" s="18"/>
      <c r="L1748" s="18"/>
      <c r="M1748" s="18"/>
    </row>
    <row r="1749" spans="2:14" hidden="1" outlineLevel="2" x14ac:dyDescent="0.2">
      <c r="B1749" s="48" t="str">
        <f t="shared" si="924"/>
        <v>AmericasResultsCH4 Liquifaction costUSD/ton</v>
      </c>
      <c r="C1749" t="str">
        <f>+$B$1743</f>
        <v>Americas</v>
      </c>
      <c r="D1749" t="s">
        <v>838</v>
      </c>
      <c r="E1749" s="48" t="s">
        <v>1094</v>
      </c>
      <c r="F1749" s="128" t="s">
        <v>205</v>
      </c>
      <c r="G1749" s="8">
        <f t="shared" ref="G1749:M1749" si="929">SUM(G1750,G1753)</f>
        <v>226.86729921038804</v>
      </c>
      <c r="H1749" s="8">
        <f t="shared" si="929"/>
        <v>219.85062225850677</v>
      </c>
      <c r="I1749" s="8">
        <f t="shared" si="929"/>
        <v>211.37068191264746</v>
      </c>
      <c r="J1749" s="8">
        <f t="shared" si="929"/>
        <v>204.99719710060219</v>
      </c>
      <c r="K1749" s="8">
        <f t="shared" si="929"/>
        <v>199.08004208411</v>
      </c>
      <c r="L1749" s="8">
        <f t="shared" si="929"/>
        <v>194.16310810473746</v>
      </c>
      <c r="M1749" s="8">
        <f t="shared" si="929"/>
        <v>189.49523997475436</v>
      </c>
    </row>
    <row r="1750" spans="2:14" hidden="1" outlineLevel="2" x14ac:dyDescent="0.2">
      <c r="B1750" s="48" t="str">
        <f t="shared" si="924"/>
        <v>AmericasResultsCH4 Liquifaction opexUSD/ton</v>
      </c>
      <c r="C1750" t="str">
        <f>+$B$1743</f>
        <v>Americas</v>
      </c>
      <c r="D1750" t="s">
        <v>838</v>
      </c>
      <c r="E1750" t="s">
        <v>1096</v>
      </c>
      <c r="F1750" s="450" t="s">
        <v>205</v>
      </c>
      <c r="G1750" s="8">
        <f t="shared" ref="G1750:M1750" si="930">G1751*G1752</f>
        <v>23.379843421890563</v>
      </c>
      <c r="H1750" s="8">
        <f t="shared" si="930"/>
        <v>21.100622258506721</v>
      </c>
      <c r="I1750" s="8">
        <f t="shared" si="930"/>
        <v>17.247843495239135</v>
      </c>
      <c r="J1750" s="8">
        <f t="shared" si="930"/>
        <v>15.393793854155806</v>
      </c>
      <c r="K1750" s="8">
        <f t="shared" si="930"/>
        <v>13.890855609641479</v>
      </c>
      <c r="L1750" s="8">
        <f t="shared" si="930"/>
        <v>13.28536962607304</v>
      </c>
      <c r="M1750" s="8">
        <f t="shared" si="930"/>
        <v>12.828573308087629</v>
      </c>
      <c r="N1750" s="93"/>
    </row>
    <row r="1751" spans="2:14" hidden="1" outlineLevel="2" x14ac:dyDescent="0.2">
      <c r="B1751" s="48" t="str">
        <f t="shared" si="924"/>
        <v>AmericasFeedstockElectricityUSD/MWh</v>
      </c>
      <c r="C1751" t="str">
        <f>+$B$1743</f>
        <v>Americas</v>
      </c>
      <c r="D1751" t="s">
        <v>777</v>
      </c>
      <c r="E1751" t="s">
        <v>54</v>
      </c>
      <c r="F1751" s="450" t="s">
        <v>196</v>
      </c>
      <c r="G1751" s="524">
        <f>+INDEX('Fuel Model -  Input'!$B$3:$N$373,MATCH($B1751,'Fuel Model -  Input'!$B$3:$B$373,0),MATCH(G$2,'Fuel Model -  Input'!$B$3:$N$3,0))</f>
        <v>38.96640570315094</v>
      </c>
      <c r="H1751" s="524">
        <f>+INDEX('Fuel Model -  Input'!$B$3:$N$373,MATCH($B1751,'Fuel Model -  Input'!$B$3:$B$373,0),MATCH(H$2,'Fuel Model -  Input'!$B$3:$N$3,0))</f>
        <v>35.167703764177872</v>
      </c>
      <c r="I1751" s="524">
        <f>+INDEX('Fuel Model -  Input'!$B$3:$N$373,MATCH($B1751,'Fuel Model -  Input'!$B$3:$B$373,0),MATCH(I$2,'Fuel Model -  Input'!$B$3:$N$3,0))</f>
        <v>28.746405825398561</v>
      </c>
      <c r="J1751" s="524">
        <f>+INDEX('Fuel Model -  Input'!$B$3:$N$373,MATCH($B1751,'Fuel Model -  Input'!$B$3:$B$373,0),MATCH(J$2,'Fuel Model -  Input'!$B$3:$N$3,0))</f>
        <v>25.656323090259679</v>
      </c>
      <c r="K1751" s="524">
        <f>+INDEX('Fuel Model -  Input'!$B$3:$N$373,MATCH($B1751,'Fuel Model -  Input'!$B$3:$B$373,0),MATCH(K$2,'Fuel Model -  Input'!$B$3:$N$3,0))</f>
        <v>23.151426016069131</v>
      </c>
      <c r="L1751" s="524">
        <f>+INDEX('Fuel Model -  Input'!$B$3:$N$373,MATCH($B1751,'Fuel Model -  Input'!$B$3:$B$373,0),MATCH(L$2,'Fuel Model -  Input'!$B$3:$N$3,0))</f>
        <v>22.142282710121734</v>
      </c>
      <c r="M1751" s="524">
        <f>+INDEX('Fuel Model -  Input'!$B$3:$N$373,MATCH($B1751,'Fuel Model -  Input'!$B$3:$B$373,0),MATCH(M$2,'Fuel Model -  Input'!$B$3:$N$3,0))</f>
        <v>21.380955513479382</v>
      </c>
      <c r="N1751" s="93"/>
    </row>
    <row r="1752" spans="2:14" hidden="1" outlineLevel="2" x14ac:dyDescent="0.2">
      <c r="B1752" s="48" t="str">
        <f t="shared" si="924"/>
        <v>GlobalProcess - OpexCH4 LiquifactionmWh/ ton e CH4</v>
      </c>
      <c r="C1752" t="s">
        <v>109</v>
      </c>
      <c r="D1752" t="s">
        <v>876</v>
      </c>
      <c r="E1752" t="s">
        <v>1097</v>
      </c>
      <c r="F1752" s="450" t="s">
        <v>1098</v>
      </c>
      <c r="G1752" s="549">
        <f>+INDEX('Fuel Model -  Input'!$B$3:$N$373,MATCH($B1752,'Fuel Model -  Input'!$B$3:$B$373,0),MATCH(G$2,'Fuel Model -  Input'!$B$3:$N$3,0))</f>
        <v>0.6</v>
      </c>
      <c r="H1752" s="549">
        <f>+INDEX('Fuel Model -  Input'!$B$3:$N$373,MATCH($B1752,'Fuel Model -  Input'!$B$3:$B$373,0),MATCH(H$2,'Fuel Model -  Input'!$B$3:$N$3,0))</f>
        <v>0.6</v>
      </c>
      <c r="I1752" s="549">
        <f>+INDEX('Fuel Model -  Input'!$B$3:$N$373,MATCH($B1752,'Fuel Model -  Input'!$B$3:$B$373,0),MATCH(I$2,'Fuel Model -  Input'!$B$3:$N$3,0))</f>
        <v>0.6</v>
      </c>
      <c r="J1752" s="549">
        <f>+INDEX('Fuel Model -  Input'!$B$3:$N$373,MATCH($B1752,'Fuel Model -  Input'!$B$3:$B$373,0),MATCH(J$2,'Fuel Model -  Input'!$B$3:$N$3,0))</f>
        <v>0.6</v>
      </c>
      <c r="K1752" s="549">
        <f>+INDEX('Fuel Model -  Input'!$B$3:$N$373,MATCH($B1752,'Fuel Model -  Input'!$B$3:$B$373,0),MATCH(K$2,'Fuel Model -  Input'!$B$3:$N$3,0))</f>
        <v>0.6</v>
      </c>
      <c r="L1752" s="549">
        <f>+INDEX('Fuel Model -  Input'!$B$3:$N$373,MATCH($B1752,'Fuel Model -  Input'!$B$3:$B$373,0),MATCH(L$2,'Fuel Model -  Input'!$B$3:$N$3,0))</f>
        <v>0.6</v>
      </c>
      <c r="M1752" s="549">
        <f>+INDEX('Fuel Model -  Input'!$B$3:$N$373,MATCH($B1752,'Fuel Model -  Input'!$B$3:$B$373,0),MATCH(M$2,'Fuel Model -  Input'!$B$3:$N$3,0))</f>
        <v>0.6</v>
      </c>
      <c r="N1752" s="93"/>
    </row>
    <row r="1753" spans="2:14" s="157" customFormat="1" hidden="1" outlineLevel="2" x14ac:dyDescent="0.2">
      <c r="B1753" s="498" t="str">
        <f t="shared" si="924"/>
        <v>AmericasProcess - CapexCH4 LiquifactionUSD/ ton CH4 output</v>
      </c>
      <c r="C1753" t="str">
        <f>+$B$1743</f>
        <v>Americas</v>
      </c>
      <c r="D1753" s="157" t="s">
        <v>879</v>
      </c>
      <c r="E1753" s="157" t="s">
        <v>1097</v>
      </c>
      <c r="F1753" s="450" t="s">
        <v>1099</v>
      </c>
      <c r="G1753" s="337">
        <f t="shared" ref="G1753:M1753" si="931">G1755/G1754</f>
        <v>203.48745578849747</v>
      </c>
      <c r="H1753" s="337">
        <f t="shared" si="931"/>
        <v>198.75000000000006</v>
      </c>
      <c r="I1753" s="337">
        <f t="shared" si="931"/>
        <v>194.12283841740833</v>
      </c>
      <c r="J1753" s="337">
        <f t="shared" si="931"/>
        <v>189.60340324644639</v>
      </c>
      <c r="K1753" s="337">
        <f t="shared" si="931"/>
        <v>185.18918647446853</v>
      </c>
      <c r="L1753" s="337">
        <f t="shared" si="931"/>
        <v>180.87773847866441</v>
      </c>
      <c r="M1753" s="337">
        <f t="shared" si="931"/>
        <v>176.66666666666671</v>
      </c>
      <c r="N1753" s="493"/>
    </row>
    <row r="1754" spans="2:14" hidden="1" outlineLevel="2" x14ac:dyDescent="0.2">
      <c r="B1754" s="48" t="str">
        <f t="shared" si="924"/>
        <v>GlobalPlant capexAnnualisation factor#</v>
      </c>
      <c r="C1754" t="s">
        <v>109</v>
      </c>
      <c r="D1754" t="s">
        <v>786</v>
      </c>
      <c r="E1754" t="s">
        <v>764</v>
      </c>
      <c r="F1754" s="450" t="s">
        <v>787</v>
      </c>
      <c r="G1754" s="524">
        <f>INDEX('Fuel Model -  Input'!$B$3:$N$373,MATCH($B1754,'Fuel Model -  Input'!$B$3:$B$373,0),MATCH(G$2,'Fuel Model -  Input'!$B$3:$N$3,0))</f>
        <v>11.32075471698113</v>
      </c>
      <c r="H1754" s="524">
        <f>INDEX('Fuel Model -  Input'!$B$3:$N$373,MATCH($B1754,'Fuel Model -  Input'!$B$3:$B$373,0),MATCH(H$2,'Fuel Model -  Input'!$B$3:$N$3,0))</f>
        <v>11.32075471698113</v>
      </c>
      <c r="I1754" s="524">
        <f>INDEX('Fuel Model -  Input'!$B$3:$N$373,MATCH($B1754,'Fuel Model -  Input'!$B$3:$B$373,0),MATCH(I$2,'Fuel Model -  Input'!$B$3:$N$3,0))</f>
        <v>11.32075471698113</v>
      </c>
      <c r="J1754" s="524">
        <f>INDEX('Fuel Model -  Input'!$B$3:$N$373,MATCH($B1754,'Fuel Model -  Input'!$B$3:$B$373,0),MATCH(J$2,'Fuel Model -  Input'!$B$3:$N$3,0))</f>
        <v>11.32075471698113</v>
      </c>
      <c r="K1754" s="524">
        <f>INDEX('Fuel Model -  Input'!$B$3:$N$373,MATCH($B1754,'Fuel Model -  Input'!$B$3:$B$373,0),MATCH(K$2,'Fuel Model -  Input'!$B$3:$N$3,0))</f>
        <v>11.32075471698113</v>
      </c>
      <c r="L1754" s="524">
        <f>INDEX('Fuel Model -  Input'!$B$3:$N$373,MATCH($B1754,'Fuel Model -  Input'!$B$3:$B$373,0),MATCH(L$2,'Fuel Model -  Input'!$B$3:$N$3,0))</f>
        <v>11.32075471698113</v>
      </c>
      <c r="M1754" s="524">
        <f>INDEX('Fuel Model -  Input'!$B$3:$N$373,MATCH($B1754,'Fuel Model -  Input'!$B$3:$B$373,0),MATCH(M$2,'Fuel Model -  Input'!$B$3:$N$3,0))</f>
        <v>11.32075471698113</v>
      </c>
    </row>
    <row r="1755" spans="2:14" hidden="1" outlineLevel="2" x14ac:dyDescent="0.2">
      <c r="B1755" s="48" t="str">
        <f t="shared" si="924"/>
        <v>GlobalProcess - CapexCH4 LiquifactionUSD/ ton CH4 capacity</v>
      </c>
      <c r="C1755" t="s">
        <v>109</v>
      </c>
      <c r="D1755" t="s">
        <v>879</v>
      </c>
      <c r="E1755" t="s">
        <v>1097</v>
      </c>
      <c r="F1755" s="450" t="s">
        <v>1100</v>
      </c>
      <c r="G1755" s="549">
        <f>+INDEX('Fuel Model -  Input'!$B$3:$N$373,MATCH($B1755,'Fuel Model -  Input'!$B$3:$B$373,0),MATCH(G$2,'Fuel Model -  Input'!$B$3:$N$3,0))</f>
        <v>2303.6315749641217</v>
      </c>
      <c r="H1755" s="549">
        <f>+INDEX('Fuel Model -  Input'!$B$3:$N$373,MATCH($B1755,'Fuel Model -  Input'!$B$3:$B$373,0),MATCH(H$2,'Fuel Model -  Input'!$B$3:$N$3,0))</f>
        <v>2250</v>
      </c>
      <c r="I1755" s="549">
        <f>+INDEX('Fuel Model -  Input'!$B$3:$N$373,MATCH($B1755,'Fuel Model -  Input'!$B$3:$B$373,0),MATCH(I$2,'Fuel Model -  Input'!$B$3:$N$3,0))</f>
        <v>2197.6170386876411</v>
      </c>
      <c r="J1755" s="549">
        <f>+INDEX('Fuel Model -  Input'!$B$3:$N$373,MATCH($B1755,'Fuel Model -  Input'!$B$3:$B$373,0),MATCH(J$2,'Fuel Model -  Input'!$B$3:$N$3,0))</f>
        <v>2146.4536216578831</v>
      </c>
      <c r="K1755" s="549">
        <f>+INDEX('Fuel Model -  Input'!$B$3:$N$373,MATCH($B1755,'Fuel Model -  Input'!$B$3:$B$373,0),MATCH(K$2,'Fuel Model -  Input'!$B$3:$N$3,0))</f>
        <v>2096.4813563147377</v>
      </c>
      <c r="L1755" s="549">
        <f>+INDEX('Fuel Model -  Input'!$B$3:$N$373,MATCH($B1755,'Fuel Model -  Input'!$B$3:$B$373,0),MATCH(L$2,'Fuel Model -  Input'!$B$3:$N$3,0))</f>
        <v>2047.6725110792192</v>
      </c>
      <c r="M1755" s="549">
        <f>+INDEX('Fuel Model -  Input'!$B$3:$N$373,MATCH($B1755,'Fuel Model -  Input'!$B$3:$B$373,0),MATCH(M$2,'Fuel Model -  Input'!$B$3:$N$3,0))</f>
        <v>2000</v>
      </c>
      <c r="N1755" s="93"/>
    </row>
    <row r="1756" spans="2:14" hidden="1" outlineLevel="2" x14ac:dyDescent="0.2">
      <c r="B1756" s="48" t="str">
        <f t="shared" si="924"/>
        <v>AmericasFeedstockCost of NGUSD/ton</v>
      </c>
      <c r="C1756" t="str">
        <f>+$B$1743</f>
        <v>Americas</v>
      </c>
      <c r="D1756" t="s">
        <v>777</v>
      </c>
      <c r="E1756" t="s">
        <v>1144</v>
      </c>
      <c r="F1756" s="450" t="s">
        <v>205</v>
      </c>
      <c r="G1756" s="549">
        <f>+INDEX('Fuel Model -  Input'!$B$3:$N$373,MATCH($B1756,'Fuel Model -  Input'!$B$3:$B$373,0),MATCH(G$2,'Fuel Model -  Input'!$B$3:$N$3,0))</f>
        <v>350</v>
      </c>
      <c r="H1756" s="549">
        <f>+INDEX('Fuel Model -  Input'!$B$3:$N$373,MATCH($B1756,'Fuel Model -  Input'!$B$3:$B$373,0),MATCH(H$2,'Fuel Model -  Input'!$B$3:$N$3,0))</f>
        <v>230</v>
      </c>
      <c r="I1756" s="549">
        <f>+INDEX('Fuel Model -  Input'!$B$3:$N$373,MATCH($B1756,'Fuel Model -  Input'!$B$3:$B$373,0),MATCH(I$2,'Fuel Model -  Input'!$B$3:$N$3,0))</f>
        <v>220</v>
      </c>
      <c r="J1756" s="549">
        <f>+INDEX('Fuel Model -  Input'!$B$3:$N$373,MATCH($B1756,'Fuel Model -  Input'!$B$3:$B$373,0),MATCH(J$2,'Fuel Model -  Input'!$B$3:$N$3,0))</f>
        <v>250</v>
      </c>
      <c r="K1756" s="549">
        <f>+INDEX('Fuel Model -  Input'!$B$3:$N$373,MATCH($B1756,'Fuel Model -  Input'!$B$3:$B$373,0),MATCH(K$2,'Fuel Model -  Input'!$B$3:$N$3,0))</f>
        <v>250</v>
      </c>
      <c r="L1756" s="549">
        <f>+INDEX('Fuel Model -  Input'!$B$3:$N$373,MATCH($B1756,'Fuel Model -  Input'!$B$3:$B$373,0),MATCH(L$2,'Fuel Model -  Input'!$B$3:$N$3,0))</f>
        <v>250</v>
      </c>
      <c r="M1756" s="549">
        <f>+INDEX('Fuel Model -  Input'!$B$3:$N$373,MATCH($B1756,'Fuel Model -  Input'!$B$3:$B$373,0),MATCH(M$2,'Fuel Model -  Input'!$B$3:$N$3,0))</f>
        <v>250</v>
      </c>
    </row>
    <row r="1757" spans="2:14" hidden="1" outlineLevel="1" x14ac:dyDescent="0.2"/>
    <row r="1758" spans="2:14" ht="15" hidden="1" outlineLevel="1" collapsed="1" x14ac:dyDescent="0.25">
      <c r="B1758" s="30" t="s">
        <v>200</v>
      </c>
      <c r="C1758" s="30" t="str">
        <f>+B1758</f>
        <v>Africa</v>
      </c>
    </row>
    <row r="1759" spans="2:14" ht="15" hidden="1" outlineLevel="2" x14ac:dyDescent="0.25">
      <c r="B1759" s="405" t="str">
        <f t="shared" ref="B1759:B1771" si="932">+C1759&amp;D1759&amp;E1759&amp;F1759</f>
        <v>AfricaResultsCost of LNGUSD/ton</v>
      </c>
      <c r="C1759" s="30" t="str">
        <f>+$B$1758</f>
        <v>Africa</v>
      </c>
      <c r="D1759" s="30" t="s">
        <v>838</v>
      </c>
      <c r="E1759" s="405" t="s">
        <v>1140</v>
      </c>
      <c r="F1759" s="127" t="s">
        <v>205</v>
      </c>
      <c r="G1759" s="492">
        <f t="shared" ref="G1759:M1759" si="933">+SUM(G1760:G1762)</f>
        <v>2000.8630591795452</v>
      </c>
      <c r="H1759" s="492">
        <f t="shared" si="933"/>
        <v>925.5560713364822</v>
      </c>
      <c r="I1759" s="492">
        <f t="shared" si="933"/>
        <v>690.19482712659715</v>
      </c>
      <c r="J1759" s="492">
        <f t="shared" si="933"/>
        <v>682.4746197049725</v>
      </c>
      <c r="K1759" s="492">
        <f t="shared" si="933"/>
        <v>676.55385203007336</v>
      </c>
      <c r="L1759" s="492">
        <f t="shared" si="933"/>
        <v>670.69326120428332</v>
      </c>
      <c r="M1759" s="492">
        <f t="shared" si="933"/>
        <v>665.72182860301052</v>
      </c>
    </row>
    <row r="1760" spans="2:14" ht="15" hidden="1" outlineLevel="2" x14ac:dyDescent="0.25">
      <c r="B1760" s="405" t="str">
        <f t="shared" si="932"/>
        <v>AfricaResultsTotal Capex LNGUSD/ton</v>
      </c>
      <c r="C1760" s="30" t="str">
        <f>+$B$1758</f>
        <v>Africa</v>
      </c>
      <c r="D1760" s="30" t="s">
        <v>838</v>
      </c>
      <c r="E1760" s="405" t="s">
        <v>1141</v>
      </c>
      <c r="F1760" s="127" t="s">
        <v>205</v>
      </c>
      <c r="G1760" s="492">
        <f>+G1768</f>
        <v>203.48745578849747</v>
      </c>
      <c r="H1760" s="492">
        <f t="shared" ref="H1760:M1760" si="934">+H1768</f>
        <v>198.75000000000006</v>
      </c>
      <c r="I1760" s="492">
        <f t="shared" si="934"/>
        <v>194.12283841740833</v>
      </c>
      <c r="J1760" s="492">
        <f t="shared" si="934"/>
        <v>189.60340324644639</v>
      </c>
      <c r="K1760" s="492">
        <f t="shared" si="934"/>
        <v>185.18918647446853</v>
      </c>
      <c r="L1760" s="492">
        <f t="shared" si="934"/>
        <v>180.87773847866441</v>
      </c>
      <c r="M1760" s="492">
        <f t="shared" si="934"/>
        <v>176.66666666666671</v>
      </c>
    </row>
    <row r="1761" spans="2:14" ht="15" hidden="1" outlineLevel="2" x14ac:dyDescent="0.25">
      <c r="B1761" s="405" t="str">
        <f t="shared" si="932"/>
        <v>AfricaResultsTotal Opex LNGUSD/ton</v>
      </c>
      <c r="C1761" s="30" t="str">
        <f>+$B$1758</f>
        <v>Africa</v>
      </c>
      <c r="D1761" s="30" t="s">
        <v>838</v>
      </c>
      <c r="E1761" s="405" t="s">
        <v>1142</v>
      </c>
      <c r="F1761" s="127" t="s">
        <v>205</v>
      </c>
      <c r="G1761" s="492">
        <f>+G1765</f>
        <v>47.375603391047648</v>
      </c>
      <c r="H1761" s="492">
        <f t="shared" ref="H1761:M1761" si="935">+H1765</f>
        <v>26.806071336482109</v>
      </c>
      <c r="I1761" s="492">
        <f t="shared" si="935"/>
        <v>21.071988709188869</v>
      </c>
      <c r="J1761" s="492">
        <f t="shared" si="935"/>
        <v>17.871216458526131</v>
      </c>
      <c r="K1761" s="492">
        <f t="shared" si="935"/>
        <v>16.36466555560488</v>
      </c>
      <c r="L1761" s="492">
        <f t="shared" si="935"/>
        <v>14.815522725618838</v>
      </c>
      <c r="M1761" s="492">
        <f t="shared" si="935"/>
        <v>14.055161936343822</v>
      </c>
    </row>
    <row r="1762" spans="2:14" ht="15" hidden="1" outlineLevel="2" x14ac:dyDescent="0.25">
      <c r="B1762" s="405" t="str">
        <f t="shared" si="932"/>
        <v>AfricaResultsTotal Raw Material LNGUSD/ton</v>
      </c>
      <c r="C1762" s="30" t="str">
        <f>+$B$1758</f>
        <v>Africa</v>
      </c>
      <c r="D1762" s="30" t="s">
        <v>838</v>
      </c>
      <c r="E1762" s="405" t="s">
        <v>1143</v>
      </c>
      <c r="F1762" s="127" t="s">
        <v>205</v>
      </c>
      <c r="G1762" s="492">
        <f>+G1771</f>
        <v>1750</v>
      </c>
      <c r="H1762" s="492">
        <f t="shared" ref="H1762:M1762" si="936">+H1771</f>
        <v>700</v>
      </c>
      <c r="I1762" s="492">
        <f t="shared" si="936"/>
        <v>475</v>
      </c>
      <c r="J1762" s="492">
        <f t="shared" si="936"/>
        <v>475</v>
      </c>
      <c r="K1762" s="492">
        <f t="shared" si="936"/>
        <v>475</v>
      </c>
      <c r="L1762" s="492">
        <f t="shared" si="936"/>
        <v>475</v>
      </c>
      <c r="M1762" s="492">
        <f t="shared" si="936"/>
        <v>475</v>
      </c>
    </row>
    <row r="1763" spans="2:14" hidden="1" outlineLevel="2" x14ac:dyDescent="0.2">
      <c r="B1763" s="48"/>
      <c r="E1763" s="48"/>
      <c r="F1763" s="128"/>
      <c r="G1763" s="18"/>
      <c r="H1763" s="18"/>
      <c r="I1763" s="18"/>
      <c r="J1763" s="18"/>
      <c r="K1763" s="18"/>
      <c r="L1763" s="18"/>
      <c r="M1763" s="18"/>
    </row>
    <row r="1764" spans="2:14" hidden="1" outlineLevel="2" x14ac:dyDescent="0.2">
      <c r="B1764" s="48" t="str">
        <f t="shared" si="932"/>
        <v>AfricaResultsCH4 Liquifaction costUSD/ton</v>
      </c>
      <c r="C1764" t="str">
        <f>+$B$1758</f>
        <v>Africa</v>
      </c>
      <c r="D1764" t="s">
        <v>838</v>
      </c>
      <c r="E1764" s="48" t="s">
        <v>1094</v>
      </c>
      <c r="F1764" s="128" t="s">
        <v>205</v>
      </c>
      <c r="G1764" s="8">
        <f t="shared" ref="G1764:M1764" si="937">SUM(G1765,G1768)</f>
        <v>250.86305917954513</v>
      </c>
      <c r="H1764" s="8">
        <f t="shared" si="937"/>
        <v>225.55607133648218</v>
      </c>
      <c r="I1764" s="8">
        <f t="shared" si="937"/>
        <v>215.1948271265972</v>
      </c>
      <c r="J1764" s="8">
        <f t="shared" si="937"/>
        <v>207.47461970497253</v>
      </c>
      <c r="K1764" s="8">
        <f t="shared" si="937"/>
        <v>201.55385203007341</v>
      </c>
      <c r="L1764" s="8">
        <f t="shared" si="937"/>
        <v>195.69326120428326</v>
      </c>
      <c r="M1764" s="8">
        <f t="shared" si="937"/>
        <v>190.72182860301052</v>
      </c>
    </row>
    <row r="1765" spans="2:14" hidden="1" outlineLevel="2" x14ac:dyDescent="0.2">
      <c r="B1765" s="48" t="str">
        <f t="shared" si="932"/>
        <v>AfricaResultsCH4 Liquifaction opexUSD/ton</v>
      </c>
      <c r="C1765" t="str">
        <f>+$B$1758</f>
        <v>Africa</v>
      </c>
      <c r="D1765" t="s">
        <v>838</v>
      </c>
      <c r="E1765" t="s">
        <v>1096</v>
      </c>
      <c r="F1765" s="450" t="s">
        <v>205</v>
      </c>
      <c r="G1765" s="8">
        <f t="shared" ref="G1765:M1765" si="938">G1766*G1767</f>
        <v>47.375603391047648</v>
      </c>
      <c r="H1765" s="8">
        <f t="shared" si="938"/>
        <v>26.806071336482109</v>
      </c>
      <c r="I1765" s="8">
        <f t="shared" si="938"/>
        <v>21.071988709188869</v>
      </c>
      <c r="J1765" s="8">
        <f t="shared" si="938"/>
        <v>17.871216458526131</v>
      </c>
      <c r="K1765" s="8">
        <f t="shared" si="938"/>
        <v>16.36466555560488</v>
      </c>
      <c r="L1765" s="8">
        <f t="shared" si="938"/>
        <v>14.815522725618838</v>
      </c>
      <c r="M1765" s="8">
        <f t="shared" si="938"/>
        <v>14.055161936343822</v>
      </c>
      <c r="N1765" s="93"/>
    </row>
    <row r="1766" spans="2:14" hidden="1" outlineLevel="2" x14ac:dyDescent="0.2">
      <c r="B1766" s="48" t="str">
        <f t="shared" si="932"/>
        <v>AfricaFeedstockElectricityUSD/MWh</v>
      </c>
      <c r="C1766" t="str">
        <f>+$B$1758</f>
        <v>Africa</v>
      </c>
      <c r="D1766" t="s">
        <v>777</v>
      </c>
      <c r="E1766" t="s">
        <v>54</v>
      </c>
      <c r="F1766" s="450" t="s">
        <v>196</v>
      </c>
      <c r="G1766" s="524">
        <f>+INDEX('Fuel Model -  Input'!$B$3:$N$373,MATCH($B1766,'Fuel Model -  Input'!$B$3:$B$373,0),MATCH(G$2,'Fuel Model -  Input'!$B$3:$N$3,0))</f>
        <v>78.959338985079413</v>
      </c>
      <c r="H1766" s="524">
        <f>+INDEX('Fuel Model -  Input'!$B$3:$N$373,MATCH($B1766,'Fuel Model -  Input'!$B$3:$B$373,0),MATCH(H$2,'Fuel Model -  Input'!$B$3:$N$3,0))</f>
        <v>44.676785560803516</v>
      </c>
      <c r="I1766" s="524">
        <f>+INDEX('Fuel Model -  Input'!$B$3:$N$373,MATCH($B1766,'Fuel Model -  Input'!$B$3:$B$373,0),MATCH(I$2,'Fuel Model -  Input'!$B$3:$N$3,0))</f>
        <v>35.119981181981451</v>
      </c>
      <c r="J1766" s="524">
        <f>+INDEX('Fuel Model -  Input'!$B$3:$N$373,MATCH($B1766,'Fuel Model -  Input'!$B$3:$B$373,0),MATCH(J$2,'Fuel Model -  Input'!$B$3:$N$3,0))</f>
        <v>29.785360764210218</v>
      </c>
      <c r="K1766" s="524">
        <f>+INDEX('Fuel Model -  Input'!$B$3:$N$373,MATCH($B1766,'Fuel Model -  Input'!$B$3:$B$373,0),MATCH(K$2,'Fuel Model -  Input'!$B$3:$N$3,0))</f>
        <v>27.274442592674799</v>
      </c>
      <c r="L1766" s="524">
        <f>+INDEX('Fuel Model -  Input'!$B$3:$N$373,MATCH($B1766,'Fuel Model -  Input'!$B$3:$B$373,0),MATCH(L$2,'Fuel Model -  Input'!$B$3:$N$3,0))</f>
        <v>24.692537876031398</v>
      </c>
      <c r="M1766" s="524">
        <f>+INDEX('Fuel Model -  Input'!$B$3:$N$373,MATCH($B1766,'Fuel Model -  Input'!$B$3:$B$373,0),MATCH(M$2,'Fuel Model -  Input'!$B$3:$N$3,0))</f>
        <v>23.425269893906371</v>
      </c>
      <c r="N1766" s="93"/>
    </row>
    <row r="1767" spans="2:14" hidden="1" outlineLevel="2" x14ac:dyDescent="0.2">
      <c r="B1767" s="48" t="str">
        <f t="shared" si="932"/>
        <v>GlobalProcess - OpexCH4 LiquifactionmWh/ ton e CH4</v>
      </c>
      <c r="C1767" t="s">
        <v>109</v>
      </c>
      <c r="D1767" t="s">
        <v>876</v>
      </c>
      <c r="E1767" t="s">
        <v>1097</v>
      </c>
      <c r="F1767" s="450" t="s">
        <v>1098</v>
      </c>
      <c r="G1767" s="549">
        <f>+INDEX('Fuel Model -  Input'!$B$3:$N$373,MATCH($B1767,'Fuel Model -  Input'!$B$3:$B$373,0),MATCH(G$2,'Fuel Model -  Input'!$B$3:$N$3,0))</f>
        <v>0.6</v>
      </c>
      <c r="H1767" s="549">
        <f>+INDEX('Fuel Model -  Input'!$B$3:$N$373,MATCH($B1767,'Fuel Model -  Input'!$B$3:$B$373,0),MATCH(H$2,'Fuel Model -  Input'!$B$3:$N$3,0))</f>
        <v>0.6</v>
      </c>
      <c r="I1767" s="549">
        <f>+INDEX('Fuel Model -  Input'!$B$3:$N$373,MATCH($B1767,'Fuel Model -  Input'!$B$3:$B$373,0),MATCH(I$2,'Fuel Model -  Input'!$B$3:$N$3,0))</f>
        <v>0.6</v>
      </c>
      <c r="J1767" s="549">
        <f>+INDEX('Fuel Model -  Input'!$B$3:$N$373,MATCH($B1767,'Fuel Model -  Input'!$B$3:$B$373,0),MATCH(J$2,'Fuel Model -  Input'!$B$3:$N$3,0))</f>
        <v>0.6</v>
      </c>
      <c r="K1767" s="549">
        <f>+INDEX('Fuel Model -  Input'!$B$3:$N$373,MATCH($B1767,'Fuel Model -  Input'!$B$3:$B$373,0),MATCH(K$2,'Fuel Model -  Input'!$B$3:$N$3,0))</f>
        <v>0.6</v>
      </c>
      <c r="L1767" s="549">
        <f>+INDEX('Fuel Model -  Input'!$B$3:$N$373,MATCH($B1767,'Fuel Model -  Input'!$B$3:$B$373,0),MATCH(L$2,'Fuel Model -  Input'!$B$3:$N$3,0))</f>
        <v>0.6</v>
      </c>
      <c r="M1767" s="549">
        <f>+INDEX('Fuel Model -  Input'!$B$3:$N$373,MATCH($B1767,'Fuel Model -  Input'!$B$3:$B$373,0),MATCH(M$2,'Fuel Model -  Input'!$B$3:$N$3,0))</f>
        <v>0.6</v>
      </c>
      <c r="N1767" s="93"/>
    </row>
    <row r="1768" spans="2:14" s="157" customFormat="1" hidden="1" outlineLevel="2" x14ac:dyDescent="0.2">
      <c r="B1768" s="498" t="str">
        <f t="shared" si="932"/>
        <v>AfricaProcess - CapexCH4 LiquifactionUSD/ ton CH4 output</v>
      </c>
      <c r="C1768" t="str">
        <f>+$B$1758</f>
        <v>Africa</v>
      </c>
      <c r="D1768" s="157" t="s">
        <v>879</v>
      </c>
      <c r="E1768" s="157" t="s">
        <v>1097</v>
      </c>
      <c r="F1768" s="450" t="s">
        <v>1099</v>
      </c>
      <c r="G1768" s="337">
        <f t="shared" ref="G1768:M1768" si="939">G1770/G1769</f>
        <v>203.48745578849747</v>
      </c>
      <c r="H1768" s="337">
        <f t="shared" si="939"/>
        <v>198.75000000000006</v>
      </c>
      <c r="I1768" s="337">
        <f t="shared" si="939"/>
        <v>194.12283841740833</v>
      </c>
      <c r="J1768" s="337">
        <f t="shared" si="939"/>
        <v>189.60340324644639</v>
      </c>
      <c r="K1768" s="337">
        <f t="shared" si="939"/>
        <v>185.18918647446853</v>
      </c>
      <c r="L1768" s="337">
        <f t="shared" si="939"/>
        <v>180.87773847866441</v>
      </c>
      <c r="M1768" s="337">
        <f t="shared" si="939"/>
        <v>176.66666666666671</v>
      </c>
      <c r="N1768" s="493"/>
    </row>
    <row r="1769" spans="2:14" hidden="1" outlineLevel="2" x14ac:dyDescent="0.2">
      <c r="B1769" s="48" t="str">
        <f t="shared" si="932"/>
        <v>GlobalPlant capexAnnualisation factor#</v>
      </c>
      <c r="C1769" t="s">
        <v>109</v>
      </c>
      <c r="D1769" t="s">
        <v>786</v>
      </c>
      <c r="E1769" t="s">
        <v>764</v>
      </c>
      <c r="F1769" s="450" t="s">
        <v>787</v>
      </c>
      <c r="G1769" s="524">
        <f>INDEX('Fuel Model -  Input'!$B$3:$N$373,MATCH($B1769,'Fuel Model -  Input'!$B$3:$B$373,0),MATCH(G$2,'Fuel Model -  Input'!$B$3:$N$3,0))</f>
        <v>11.32075471698113</v>
      </c>
      <c r="H1769" s="524">
        <f>INDEX('Fuel Model -  Input'!$B$3:$N$373,MATCH($B1769,'Fuel Model -  Input'!$B$3:$B$373,0),MATCH(H$2,'Fuel Model -  Input'!$B$3:$N$3,0))</f>
        <v>11.32075471698113</v>
      </c>
      <c r="I1769" s="524">
        <f>INDEX('Fuel Model -  Input'!$B$3:$N$373,MATCH($B1769,'Fuel Model -  Input'!$B$3:$B$373,0),MATCH(I$2,'Fuel Model -  Input'!$B$3:$N$3,0))</f>
        <v>11.32075471698113</v>
      </c>
      <c r="J1769" s="524">
        <f>INDEX('Fuel Model -  Input'!$B$3:$N$373,MATCH($B1769,'Fuel Model -  Input'!$B$3:$B$373,0),MATCH(J$2,'Fuel Model -  Input'!$B$3:$N$3,0))</f>
        <v>11.32075471698113</v>
      </c>
      <c r="K1769" s="524">
        <f>INDEX('Fuel Model -  Input'!$B$3:$N$373,MATCH($B1769,'Fuel Model -  Input'!$B$3:$B$373,0),MATCH(K$2,'Fuel Model -  Input'!$B$3:$N$3,0))</f>
        <v>11.32075471698113</v>
      </c>
      <c r="L1769" s="524">
        <f>INDEX('Fuel Model -  Input'!$B$3:$N$373,MATCH($B1769,'Fuel Model -  Input'!$B$3:$B$373,0),MATCH(L$2,'Fuel Model -  Input'!$B$3:$N$3,0))</f>
        <v>11.32075471698113</v>
      </c>
      <c r="M1769" s="524">
        <f>INDEX('Fuel Model -  Input'!$B$3:$N$373,MATCH($B1769,'Fuel Model -  Input'!$B$3:$B$373,0),MATCH(M$2,'Fuel Model -  Input'!$B$3:$N$3,0))</f>
        <v>11.32075471698113</v>
      </c>
    </row>
    <row r="1770" spans="2:14" hidden="1" outlineLevel="2" x14ac:dyDescent="0.2">
      <c r="B1770" s="48" t="str">
        <f t="shared" si="932"/>
        <v>GlobalProcess - CapexCH4 LiquifactionUSD/ ton CH4 capacity</v>
      </c>
      <c r="C1770" t="s">
        <v>109</v>
      </c>
      <c r="D1770" t="s">
        <v>879</v>
      </c>
      <c r="E1770" t="s">
        <v>1097</v>
      </c>
      <c r="F1770" s="450" t="s">
        <v>1100</v>
      </c>
      <c r="G1770" s="549">
        <f>+INDEX('Fuel Model -  Input'!$B$3:$N$373,MATCH($B1770,'Fuel Model -  Input'!$B$3:$B$373,0),MATCH(G$2,'Fuel Model -  Input'!$B$3:$N$3,0))</f>
        <v>2303.6315749641217</v>
      </c>
      <c r="H1770" s="549">
        <f>+INDEX('Fuel Model -  Input'!$B$3:$N$373,MATCH($B1770,'Fuel Model -  Input'!$B$3:$B$373,0),MATCH(H$2,'Fuel Model -  Input'!$B$3:$N$3,0))</f>
        <v>2250</v>
      </c>
      <c r="I1770" s="549">
        <f>+INDEX('Fuel Model -  Input'!$B$3:$N$373,MATCH($B1770,'Fuel Model -  Input'!$B$3:$B$373,0),MATCH(I$2,'Fuel Model -  Input'!$B$3:$N$3,0))</f>
        <v>2197.6170386876411</v>
      </c>
      <c r="J1770" s="549">
        <f>+INDEX('Fuel Model -  Input'!$B$3:$N$373,MATCH($B1770,'Fuel Model -  Input'!$B$3:$B$373,0),MATCH(J$2,'Fuel Model -  Input'!$B$3:$N$3,0))</f>
        <v>2146.4536216578831</v>
      </c>
      <c r="K1770" s="549">
        <f>+INDEX('Fuel Model -  Input'!$B$3:$N$373,MATCH($B1770,'Fuel Model -  Input'!$B$3:$B$373,0),MATCH(K$2,'Fuel Model -  Input'!$B$3:$N$3,0))</f>
        <v>2096.4813563147377</v>
      </c>
      <c r="L1770" s="549">
        <f>+INDEX('Fuel Model -  Input'!$B$3:$N$373,MATCH($B1770,'Fuel Model -  Input'!$B$3:$B$373,0),MATCH(L$2,'Fuel Model -  Input'!$B$3:$N$3,0))</f>
        <v>2047.6725110792192</v>
      </c>
      <c r="M1770" s="549">
        <f>+INDEX('Fuel Model -  Input'!$B$3:$N$373,MATCH($B1770,'Fuel Model -  Input'!$B$3:$B$373,0),MATCH(M$2,'Fuel Model -  Input'!$B$3:$N$3,0))</f>
        <v>2000</v>
      </c>
      <c r="N1770" s="93"/>
    </row>
    <row r="1771" spans="2:14" hidden="1" outlineLevel="2" x14ac:dyDescent="0.2">
      <c r="B1771" s="48" t="str">
        <f t="shared" si="932"/>
        <v>AfricaFeedstockCost of NGUSD/ton</v>
      </c>
      <c r="C1771" t="str">
        <f>+$B$1758</f>
        <v>Africa</v>
      </c>
      <c r="D1771" t="s">
        <v>777</v>
      </c>
      <c r="E1771" t="s">
        <v>1144</v>
      </c>
      <c r="F1771" s="450" t="s">
        <v>205</v>
      </c>
      <c r="G1771" s="549">
        <f>+INDEX('Fuel Model -  Input'!$B$3:$N$373,MATCH($B1771,'Fuel Model -  Input'!$B$3:$B$373,0),MATCH(G$2,'Fuel Model -  Input'!$B$3:$N$3,0))</f>
        <v>1750</v>
      </c>
      <c r="H1771" s="549">
        <f>+INDEX('Fuel Model -  Input'!$B$3:$N$373,MATCH($B1771,'Fuel Model -  Input'!$B$3:$B$373,0),MATCH(H$2,'Fuel Model -  Input'!$B$3:$N$3,0))</f>
        <v>700</v>
      </c>
      <c r="I1771" s="549">
        <f>+INDEX('Fuel Model -  Input'!$B$3:$N$373,MATCH($B1771,'Fuel Model -  Input'!$B$3:$B$373,0),MATCH(I$2,'Fuel Model -  Input'!$B$3:$N$3,0))</f>
        <v>475</v>
      </c>
      <c r="J1771" s="549">
        <f>+INDEX('Fuel Model -  Input'!$B$3:$N$373,MATCH($B1771,'Fuel Model -  Input'!$B$3:$B$373,0),MATCH(J$2,'Fuel Model -  Input'!$B$3:$N$3,0))</f>
        <v>475</v>
      </c>
      <c r="K1771" s="549">
        <f>+INDEX('Fuel Model -  Input'!$B$3:$N$373,MATCH($B1771,'Fuel Model -  Input'!$B$3:$B$373,0),MATCH(K$2,'Fuel Model -  Input'!$B$3:$N$3,0))</f>
        <v>475</v>
      </c>
      <c r="L1771" s="549">
        <f>+INDEX('Fuel Model -  Input'!$B$3:$N$373,MATCH($B1771,'Fuel Model -  Input'!$B$3:$B$373,0),MATCH(L$2,'Fuel Model -  Input'!$B$3:$N$3,0))</f>
        <v>475</v>
      </c>
      <c r="M1771" s="549">
        <f>+INDEX('Fuel Model -  Input'!$B$3:$N$373,MATCH($B1771,'Fuel Model -  Input'!$B$3:$B$373,0),MATCH(M$2,'Fuel Model -  Input'!$B$3:$N$3,0))</f>
        <v>475</v>
      </c>
    </row>
    <row r="1772" spans="2:14" hidden="1" outlineLevel="1" x14ac:dyDescent="0.2">
      <c r="B1772" s="3"/>
      <c r="G1772" s="549"/>
      <c r="H1772" s="549"/>
      <c r="I1772" s="549"/>
      <c r="J1772" s="549"/>
      <c r="K1772" s="549"/>
      <c r="L1772" s="549"/>
      <c r="M1772" s="549"/>
    </row>
    <row r="1773" spans="2:14" ht="15" hidden="1" outlineLevel="1" x14ac:dyDescent="0.25">
      <c r="B1773" s="30" t="s">
        <v>1145</v>
      </c>
      <c r="C1773" s="30" t="str">
        <f>+B1773</f>
        <v>CO2eq intensity ton/ton LNG</v>
      </c>
      <c r="F1773"/>
    </row>
    <row r="1774" spans="2:14" ht="15" hidden="1" outlineLevel="1" x14ac:dyDescent="0.25">
      <c r="B1774" s="527" t="str">
        <f>+C1774&amp;D1774&amp;E1774&amp;F1774</f>
        <v xml:space="preserve">GlobalEmissionsWTT Emission - LNGtonCO2eq/ ton </v>
      </c>
      <c r="C1774" s="516" t="s">
        <v>109</v>
      </c>
      <c r="D1774" s="516" t="s">
        <v>728</v>
      </c>
      <c r="E1774" s="516" t="s">
        <v>1146</v>
      </c>
      <c r="F1774" s="512" t="s">
        <v>1016</v>
      </c>
      <c r="G1774" s="548">
        <f>INDEX('Fuel Model -  Input'!$B$3:$N$373,MATCH($B1774,'Fuel Model -  Input'!$B$3:$B$373,0),MATCH(G$2,'Fuel Model -  Input'!$B$3:$N$3,0))</f>
        <v>0.84480000000000011</v>
      </c>
      <c r="H1774" s="548">
        <f>INDEX('Fuel Model -  Input'!$B$3:$N$373,MATCH($B1774,'Fuel Model -  Input'!$B$3:$B$373,0),MATCH(H$2,'Fuel Model -  Input'!$B$3:$N$3,0))</f>
        <v>0.84480000000000011</v>
      </c>
      <c r="I1774" s="548">
        <f>INDEX('Fuel Model -  Input'!$B$3:$N$373,MATCH($B1774,'Fuel Model -  Input'!$B$3:$B$373,0),MATCH(I$2,'Fuel Model -  Input'!$B$3:$N$3,0))</f>
        <v>0.84480000000000011</v>
      </c>
      <c r="J1774" s="548">
        <f>INDEX('Fuel Model -  Input'!$B$3:$N$373,MATCH($B1774,'Fuel Model -  Input'!$B$3:$B$373,0),MATCH(J$2,'Fuel Model -  Input'!$B$3:$N$3,0))</f>
        <v>0.84480000000000011</v>
      </c>
      <c r="K1774" s="548">
        <f>INDEX('Fuel Model -  Input'!$B$3:$N$373,MATCH($B1774,'Fuel Model -  Input'!$B$3:$B$373,0),MATCH(K$2,'Fuel Model -  Input'!$B$3:$N$3,0))</f>
        <v>0.84480000000000011</v>
      </c>
      <c r="L1774" s="548">
        <f>INDEX('Fuel Model -  Input'!$B$3:$N$373,MATCH($B1774,'Fuel Model -  Input'!$B$3:$B$373,0),MATCH(L$2,'Fuel Model -  Input'!$B$3:$N$3,0))</f>
        <v>0.84480000000000011</v>
      </c>
      <c r="M1774" s="548">
        <f>INDEX('Fuel Model -  Input'!$B$3:$N$373,MATCH($B1774,'Fuel Model -  Input'!$B$3:$B$373,0),MATCH(M$2,'Fuel Model -  Input'!$B$3:$N$3,0))</f>
        <v>0.84480000000000011</v>
      </c>
    </row>
    <row r="1775" spans="2:14" ht="15" hidden="1" outlineLevel="1" x14ac:dyDescent="0.25">
      <c r="B1775" s="527" t="str">
        <f>+C1775&amp;D1775&amp;E1775&amp;F1775</f>
        <v xml:space="preserve">GlobalEmissionsTTW Emission - LNGtonCO2eq/ ton </v>
      </c>
      <c r="C1775" s="516" t="s">
        <v>109</v>
      </c>
      <c r="D1775" s="516" t="s">
        <v>728</v>
      </c>
      <c r="E1775" s="516" t="s">
        <v>1147</v>
      </c>
      <c r="F1775" s="512" t="s">
        <v>1016</v>
      </c>
      <c r="G1775" s="548">
        <f>INDEX('Fuel Model -  Input'!$B$3:$N$373,MATCH($B1775,'Fuel Model -  Input'!$B$3:$B$373,0),MATCH(G$2,'Fuel Model -  Input'!$B$3:$N$3,0))</f>
        <v>3.6492599999999999</v>
      </c>
      <c r="H1775" s="548">
        <f>INDEX('Fuel Model -  Input'!$B$3:$N$373,MATCH($B1775,'Fuel Model -  Input'!$B$3:$B$373,0),MATCH(H$2,'Fuel Model -  Input'!$B$3:$N$3,0))</f>
        <v>3.6492599999999999</v>
      </c>
      <c r="I1775" s="548">
        <f>INDEX('Fuel Model -  Input'!$B$3:$N$373,MATCH($B1775,'Fuel Model -  Input'!$B$3:$B$373,0),MATCH(I$2,'Fuel Model -  Input'!$B$3:$N$3,0))</f>
        <v>3.6492599999999999</v>
      </c>
      <c r="J1775" s="548">
        <f>INDEX('Fuel Model -  Input'!$B$3:$N$373,MATCH($B1775,'Fuel Model -  Input'!$B$3:$B$373,0),MATCH(J$2,'Fuel Model -  Input'!$B$3:$N$3,0))</f>
        <v>3.6492599999999999</v>
      </c>
      <c r="K1775" s="548">
        <f>INDEX('Fuel Model -  Input'!$B$3:$N$373,MATCH($B1775,'Fuel Model -  Input'!$B$3:$B$373,0),MATCH(K$2,'Fuel Model -  Input'!$B$3:$N$3,0))</f>
        <v>3.6492599999999999</v>
      </c>
      <c r="L1775" s="548">
        <f>INDEX('Fuel Model -  Input'!$B$3:$N$373,MATCH($B1775,'Fuel Model -  Input'!$B$3:$B$373,0),MATCH(L$2,'Fuel Model -  Input'!$B$3:$N$3,0))</f>
        <v>3.6492599999999999</v>
      </c>
      <c r="M1775" s="548">
        <f>INDEX('Fuel Model -  Input'!$B$3:$N$373,MATCH($B1775,'Fuel Model -  Input'!$B$3:$B$373,0),MATCH(M$2,'Fuel Model -  Input'!$B$3:$N$3,0))</f>
        <v>3.6492599999999999</v>
      </c>
    </row>
    <row r="1776" spans="2:14" hidden="1" outlineLevel="1" x14ac:dyDescent="0.2"/>
    <row r="1777" spans="2:14" ht="15" thickBot="1" x14ac:dyDescent="0.25"/>
    <row r="1778" spans="2:14" ht="15.75" collapsed="1" thickBot="1" x14ac:dyDescent="0.3">
      <c r="B1778" s="545" t="s">
        <v>534</v>
      </c>
      <c r="C1778" s="546" t="str">
        <f>+B1778</f>
        <v>LPG</v>
      </c>
      <c r="D1778" s="547"/>
      <c r="E1778" s="547"/>
      <c r="F1778" s="547"/>
      <c r="G1778" s="740">
        <v>2020</v>
      </c>
      <c r="H1778" s="740">
        <v>2025</v>
      </c>
      <c r="I1778" s="740">
        <v>2030</v>
      </c>
      <c r="J1778" s="740">
        <v>2035</v>
      </c>
      <c r="K1778" s="740">
        <v>2040</v>
      </c>
      <c r="L1778" s="740">
        <v>2045</v>
      </c>
      <c r="M1778" s="741">
        <v>2050</v>
      </c>
    </row>
    <row r="1779" spans="2:14" ht="15" hidden="1" outlineLevel="1" x14ac:dyDescent="0.25">
      <c r="B1779" t="str">
        <f>+C1779&amp;D1779&amp;E1779&amp;F1779</f>
        <v>EuropeResultsCost of LPGUSD/ton</v>
      </c>
      <c r="C1779" t="s">
        <v>195</v>
      </c>
      <c r="D1779" t="s">
        <v>838</v>
      </c>
      <c r="E1779" s="30" t="s">
        <v>1148</v>
      </c>
      <c r="F1779" s="522" t="s">
        <v>205</v>
      </c>
      <c r="G1779" s="524">
        <f>IF($C1779="Africa",INDEX('Fuel Cost - External'!H:H,MATCH($C$1778&amp;" - Africa&amp;Other - Fuel cost - "&amp;$F1779,'Fuel Cost - External'!$B:$B,0)),INDEX('Fuel Cost - External'!H:H,MATCH($C$1778&amp;" - "&amp;$C1779&amp;" - Fuel cost - "&amp;$F1779,'Fuel Cost - External'!$B:$B,0)))</f>
        <v>760.15317737821692</v>
      </c>
      <c r="H1779" s="524">
        <f>IF($C1779="Africa",INDEX('Fuel Cost - External'!I:I,MATCH($C$1778&amp;" - Africa&amp;Other - Fuel cost - "&amp;$F1779,'Fuel Cost - External'!$B:$B,0)),INDEX('Fuel Cost - External'!I:I,MATCH($C$1778&amp;" - "&amp;$C1779&amp;" - Fuel cost - "&amp;$F1779,'Fuel Cost - External'!$B:$B,0)))</f>
        <v>545.32727942350346</v>
      </c>
      <c r="I1779" s="524">
        <f>IF($C1779="Africa",INDEX('Fuel Cost - External'!J:J,MATCH($C$1778&amp;" - Africa&amp;Other - Fuel cost - "&amp;$F1779,'Fuel Cost - External'!$B:$B,0)),INDEX('Fuel Cost - External'!J:J,MATCH($C$1778&amp;" - "&amp;$C1779&amp;" - Fuel cost - "&amp;$F1779,'Fuel Cost - External'!$B:$B,0)))</f>
        <v>475.92198931505754</v>
      </c>
      <c r="J1779" s="524">
        <f>IF($C1779="Africa",INDEX('Fuel Cost - External'!K:K,MATCH($C$1778&amp;" - Africa&amp;Other - Fuel cost - "&amp;$F1779,'Fuel Cost - External'!$B:$B,0)),INDEX('Fuel Cost - External'!K:K,MATCH($C$1778&amp;" - "&amp;$C1779&amp;" - Fuel cost - "&amp;$F1779,'Fuel Cost - External'!$B:$B,0)))</f>
        <v>475.92198931505754</v>
      </c>
      <c r="K1779" s="524">
        <f>IF($C1779="Africa",INDEX('Fuel Cost - External'!L:L,MATCH($C$1778&amp;" - Africa&amp;Other - Fuel cost - "&amp;$F1779,'Fuel Cost - External'!$B:$B,0)),INDEX('Fuel Cost - External'!L:L,MATCH($C$1778&amp;" - "&amp;$C1779&amp;" - Fuel cost - "&amp;$F1779,'Fuel Cost - External'!$B:$B,0)))</f>
        <v>475.92198931505754</v>
      </c>
      <c r="L1779" s="524">
        <f>IF($C1779="Africa",INDEX('Fuel Cost - External'!M:M,MATCH($C$1778&amp;" - Africa&amp;Other - Fuel cost - "&amp;$F1779,'Fuel Cost - External'!$B:$B,0)),INDEX('Fuel Cost - External'!M:M,MATCH($C$1778&amp;" - "&amp;$C1779&amp;" - Fuel cost - "&amp;$F1779,'Fuel Cost - External'!$B:$B,0)))</f>
        <v>475.92198931505754</v>
      </c>
      <c r="M1779" s="524">
        <f>IF($C1779="Africa",INDEX('Fuel Cost - External'!N:N,MATCH($C$1778&amp;" - Africa&amp;Other - Fuel cost - "&amp;$F1779,'Fuel Cost - External'!$B:$B,0)),INDEX('Fuel Cost - External'!N:N,MATCH($C$1778&amp;" - "&amp;$C1779&amp;" - Fuel cost - "&amp;$F1779,'Fuel Cost - External'!$B:$B,0)))</f>
        <v>475.92198931505754</v>
      </c>
      <c r="N1779" s="93"/>
    </row>
    <row r="1780" spans="2:14" ht="15" hidden="1" outlineLevel="1" x14ac:dyDescent="0.25">
      <c r="B1780" t="str">
        <f>+C1780&amp;D1780&amp;E1780&amp;F1780</f>
        <v>Middle EastResultsCost of LPGUSD/ton</v>
      </c>
      <c r="C1780" t="s">
        <v>197</v>
      </c>
      <c r="D1780" t="s">
        <v>838</v>
      </c>
      <c r="E1780" s="30" t="s">
        <v>1148</v>
      </c>
      <c r="F1780" s="522" t="s">
        <v>205</v>
      </c>
      <c r="G1780" s="524">
        <f>IF($C1780="Africa",INDEX('Fuel Cost - External'!H:H,MATCH($C$1778&amp;" - Africa&amp;Other - Fuel cost - "&amp;$F1780,'Fuel Cost - External'!$B:$B,0)),INDEX('Fuel Cost - External'!H:H,MATCH($C$1778&amp;" - "&amp;$C1780&amp;" - Fuel cost - "&amp;$F1780,'Fuel Cost - External'!$B:$B,0)))</f>
        <v>760.15317737821692</v>
      </c>
      <c r="H1780" s="524">
        <f>IF($C1780="Africa",INDEX('Fuel Cost - External'!I:I,MATCH($C$1778&amp;" - Africa&amp;Other - Fuel cost - "&amp;$F1780,'Fuel Cost - External'!$B:$B,0)),INDEX('Fuel Cost - External'!I:I,MATCH($C$1778&amp;" - "&amp;$C1780&amp;" - Fuel cost - "&amp;$F1780,'Fuel Cost - External'!$B:$B,0)))</f>
        <v>545.32727942350346</v>
      </c>
      <c r="I1780" s="524">
        <f>IF($C1780="Africa",INDEX('Fuel Cost - External'!J:J,MATCH($C$1778&amp;" - Africa&amp;Other - Fuel cost - "&amp;$F1780,'Fuel Cost - External'!$B:$B,0)),INDEX('Fuel Cost - External'!J:J,MATCH($C$1778&amp;" - "&amp;$C1780&amp;" - Fuel cost - "&amp;$F1780,'Fuel Cost - External'!$B:$B,0)))</f>
        <v>475.92198931505754</v>
      </c>
      <c r="J1780" s="524">
        <f>IF($C1780="Africa",INDEX('Fuel Cost - External'!K:K,MATCH($C$1778&amp;" - Africa&amp;Other - Fuel cost - "&amp;$F1780,'Fuel Cost - External'!$B:$B,0)),INDEX('Fuel Cost - External'!K:K,MATCH($C$1778&amp;" - "&amp;$C1780&amp;" - Fuel cost - "&amp;$F1780,'Fuel Cost - External'!$B:$B,0)))</f>
        <v>475.92198931505754</v>
      </c>
      <c r="K1780" s="524">
        <f>IF($C1780="Africa",INDEX('Fuel Cost - External'!L:L,MATCH($C$1778&amp;" - Africa&amp;Other - Fuel cost - "&amp;$F1780,'Fuel Cost - External'!$B:$B,0)),INDEX('Fuel Cost - External'!L:L,MATCH($C$1778&amp;" - "&amp;$C1780&amp;" - Fuel cost - "&amp;$F1780,'Fuel Cost - External'!$B:$B,0)))</f>
        <v>475.92198931505754</v>
      </c>
      <c r="L1780" s="524">
        <f>IF($C1780="Africa",INDEX('Fuel Cost - External'!M:M,MATCH($C$1778&amp;" - Africa&amp;Other - Fuel cost - "&amp;$F1780,'Fuel Cost - External'!$B:$B,0)),INDEX('Fuel Cost - External'!M:M,MATCH($C$1778&amp;" - "&amp;$C1780&amp;" - Fuel cost - "&amp;$F1780,'Fuel Cost - External'!$B:$B,0)))</f>
        <v>475.92198931505754</v>
      </c>
      <c r="M1780" s="524">
        <f>IF($C1780="Africa",INDEX('Fuel Cost - External'!N:N,MATCH($C$1778&amp;" - Africa&amp;Other - Fuel cost - "&amp;$F1780,'Fuel Cost - External'!$B:$B,0)),INDEX('Fuel Cost - External'!N:N,MATCH($C$1778&amp;" - "&amp;$C1780&amp;" - Fuel cost - "&amp;$F1780,'Fuel Cost - External'!$B:$B,0)))</f>
        <v>475.92198931505754</v>
      </c>
    </row>
    <row r="1781" spans="2:14" ht="15" hidden="1" outlineLevel="1" x14ac:dyDescent="0.25">
      <c r="B1781" t="str">
        <f>+C1781&amp;D1781&amp;E1781&amp;F1781</f>
        <v>AsiaResultsCost of LPGUSD/ton</v>
      </c>
      <c r="C1781" t="s">
        <v>198</v>
      </c>
      <c r="D1781" t="s">
        <v>838</v>
      </c>
      <c r="E1781" s="30" t="s">
        <v>1148</v>
      </c>
      <c r="F1781" s="522" t="s">
        <v>205</v>
      </c>
      <c r="G1781" s="524">
        <f>IF($C1781="Africa",INDEX('Fuel Cost - External'!H:H,MATCH($C$1778&amp;" - Africa&amp;Other - Fuel cost - "&amp;$F1781,'Fuel Cost - External'!$B:$B,0)),INDEX('Fuel Cost - External'!H:H,MATCH($C$1778&amp;" - "&amp;$C1781&amp;" - Fuel cost - "&amp;$F1781,'Fuel Cost - External'!$B:$B,0)))</f>
        <v>760.15317737821692</v>
      </c>
      <c r="H1781" s="524">
        <f>IF($C1781="Africa",INDEX('Fuel Cost - External'!I:I,MATCH($C$1778&amp;" - Africa&amp;Other - Fuel cost - "&amp;$F1781,'Fuel Cost - External'!$B:$B,0)),INDEX('Fuel Cost - External'!I:I,MATCH($C$1778&amp;" - "&amp;$C1781&amp;" - Fuel cost - "&amp;$F1781,'Fuel Cost - External'!$B:$B,0)))</f>
        <v>545.32727942350346</v>
      </c>
      <c r="I1781" s="524">
        <f>IF($C1781="Africa",INDEX('Fuel Cost - External'!J:J,MATCH($C$1778&amp;" - Africa&amp;Other - Fuel cost - "&amp;$F1781,'Fuel Cost - External'!$B:$B,0)),INDEX('Fuel Cost - External'!J:J,MATCH($C$1778&amp;" - "&amp;$C1781&amp;" - Fuel cost - "&amp;$F1781,'Fuel Cost - External'!$B:$B,0)))</f>
        <v>475.92198931505754</v>
      </c>
      <c r="J1781" s="524">
        <f>IF($C1781="Africa",INDEX('Fuel Cost - External'!K:K,MATCH($C$1778&amp;" - Africa&amp;Other - Fuel cost - "&amp;$F1781,'Fuel Cost - External'!$B:$B,0)),INDEX('Fuel Cost - External'!K:K,MATCH($C$1778&amp;" - "&amp;$C1781&amp;" - Fuel cost - "&amp;$F1781,'Fuel Cost - External'!$B:$B,0)))</f>
        <v>475.92198931505754</v>
      </c>
      <c r="K1781" s="524">
        <f>IF($C1781="Africa",INDEX('Fuel Cost - External'!L:L,MATCH($C$1778&amp;" - Africa&amp;Other - Fuel cost - "&amp;$F1781,'Fuel Cost - External'!$B:$B,0)),INDEX('Fuel Cost - External'!L:L,MATCH($C$1778&amp;" - "&amp;$C1781&amp;" - Fuel cost - "&amp;$F1781,'Fuel Cost - External'!$B:$B,0)))</f>
        <v>475.92198931505754</v>
      </c>
      <c r="L1781" s="524">
        <f>IF($C1781="Africa",INDEX('Fuel Cost - External'!M:M,MATCH($C$1778&amp;" - Africa&amp;Other - Fuel cost - "&amp;$F1781,'Fuel Cost - External'!$B:$B,0)),INDEX('Fuel Cost - External'!M:M,MATCH($C$1778&amp;" - "&amp;$C1781&amp;" - Fuel cost - "&amp;$F1781,'Fuel Cost - External'!$B:$B,0)))</f>
        <v>475.92198931505754</v>
      </c>
      <c r="M1781" s="524">
        <f>IF($C1781="Africa",INDEX('Fuel Cost - External'!N:N,MATCH($C$1778&amp;" - Africa&amp;Other - Fuel cost - "&amp;$F1781,'Fuel Cost - External'!$B:$B,0)),INDEX('Fuel Cost - External'!N:N,MATCH($C$1778&amp;" - "&amp;$C1781&amp;" - Fuel cost - "&amp;$F1781,'Fuel Cost - External'!$B:$B,0)))</f>
        <v>475.92198931505754</v>
      </c>
    </row>
    <row r="1782" spans="2:14" ht="15" hidden="1" outlineLevel="1" x14ac:dyDescent="0.25">
      <c r="B1782" t="str">
        <f>+C1782&amp;D1782&amp;E1782&amp;F1782</f>
        <v>AmericasResultsCost of LPGUSD/ton</v>
      </c>
      <c r="C1782" t="s">
        <v>199</v>
      </c>
      <c r="D1782" t="s">
        <v>838</v>
      </c>
      <c r="E1782" s="30" t="s">
        <v>1148</v>
      </c>
      <c r="F1782" s="522" t="s">
        <v>205</v>
      </c>
      <c r="G1782" s="524">
        <f>IF($C1782="Africa",INDEX('Fuel Cost - External'!H:H,MATCH($C$1778&amp;" - Africa&amp;Other - Fuel cost - "&amp;$F1782,'Fuel Cost - External'!$B:$B,0)),INDEX('Fuel Cost - External'!H:H,MATCH($C$1778&amp;" - "&amp;$C1782&amp;" - Fuel cost - "&amp;$F1782,'Fuel Cost - External'!$B:$B,0)))</f>
        <v>760.15317737821692</v>
      </c>
      <c r="H1782" s="524">
        <f>IF($C1782="Africa",INDEX('Fuel Cost - External'!I:I,MATCH($C$1778&amp;" - Africa&amp;Other - Fuel cost - "&amp;$F1782,'Fuel Cost - External'!$B:$B,0)),INDEX('Fuel Cost - External'!I:I,MATCH($C$1778&amp;" - "&amp;$C1782&amp;" - Fuel cost - "&amp;$F1782,'Fuel Cost - External'!$B:$B,0)))</f>
        <v>545.32727942350346</v>
      </c>
      <c r="I1782" s="524">
        <f>IF($C1782="Africa",INDEX('Fuel Cost - External'!J:J,MATCH($C$1778&amp;" - Africa&amp;Other - Fuel cost - "&amp;$F1782,'Fuel Cost - External'!$B:$B,0)),INDEX('Fuel Cost - External'!J:J,MATCH($C$1778&amp;" - "&amp;$C1782&amp;" - Fuel cost - "&amp;$F1782,'Fuel Cost - External'!$B:$B,0)))</f>
        <v>475.92198931505754</v>
      </c>
      <c r="J1782" s="524">
        <f>IF($C1782="Africa",INDEX('Fuel Cost - External'!K:K,MATCH($C$1778&amp;" - Africa&amp;Other - Fuel cost - "&amp;$F1782,'Fuel Cost - External'!$B:$B,0)),INDEX('Fuel Cost - External'!K:K,MATCH($C$1778&amp;" - "&amp;$C1782&amp;" - Fuel cost - "&amp;$F1782,'Fuel Cost - External'!$B:$B,0)))</f>
        <v>475.92198931505754</v>
      </c>
      <c r="K1782" s="524">
        <f>IF($C1782="Africa",INDEX('Fuel Cost - External'!L:L,MATCH($C$1778&amp;" - Africa&amp;Other - Fuel cost - "&amp;$F1782,'Fuel Cost - External'!$B:$B,0)),INDEX('Fuel Cost - External'!L:L,MATCH($C$1778&amp;" - "&amp;$C1782&amp;" - Fuel cost - "&amp;$F1782,'Fuel Cost - External'!$B:$B,0)))</f>
        <v>475.92198931505754</v>
      </c>
      <c r="L1782" s="524">
        <f>IF($C1782="Africa",INDEX('Fuel Cost - External'!M:M,MATCH($C$1778&amp;" - Africa&amp;Other - Fuel cost - "&amp;$F1782,'Fuel Cost - External'!$B:$B,0)),INDEX('Fuel Cost - External'!M:M,MATCH($C$1778&amp;" - "&amp;$C1782&amp;" - Fuel cost - "&amp;$F1782,'Fuel Cost - External'!$B:$B,0)))</f>
        <v>475.92198931505754</v>
      </c>
      <c r="M1782" s="524">
        <f>IF($C1782="Africa",INDEX('Fuel Cost - External'!N:N,MATCH($C$1778&amp;" - Africa&amp;Other - Fuel cost - "&amp;$F1782,'Fuel Cost - External'!$B:$B,0)),INDEX('Fuel Cost - External'!N:N,MATCH($C$1778&amp;" - "&amp;$C1782&amp;" - Fuel cost - "&amp;$F1782,'Fuel Cost - External'!$B:$B,0)))</f>
        <v>475.92198931505754</v>
      </c>
    </row>
    <row r="1783" spans="2:14" ht="15" hidden="1" outlineLevel="1" x14ac:dyDescent="0.25">
      <c r="B1783" t="str">
        <f>+C1783&amp;D1783&amp;E1783&amp;F1783</f>
        <v>AfricaResultsCost of LPGUSD/ton</v>
      </c>
      <c r="C1783" t="s">
        <v>200</v>
      </c>
      <c r="D1783" t="s">
        <v>838</v>
      </c>
      <c r="E1783" s="30" t="s">
        <v>1148</v>
      </c>
      <c r="F1783" s="522" t="s">
        <v>205</v>
      </c>
      <c r="G1783" s="524">
        <f>IF($C1783="Africa",INDEX('Fuel Cost - External'!H:H,MATCH($C$1778&amp;" - Africa&amp;Other - Fuel cost - "&amp;$F1783,'Fuel Cost - External'!$B:$B,0)),INDEX('Fuel Cost - External'!H:H,MATCH($C$1778&amp;" - "&amp;$C1783&amp;" - Fuel cost - "&amp;$F1783,'Fuel Cost - External'!$B:$B,0)))</f>
        <v>760.15317737821692</v>
      </c>
      <c r="H1783" s="524">
        <f>IF($C1783="Africa",INDEX('Fuel Cost - External'!I:I,MATCH($C$1778&amp;" - Africa&amp;Other - Fuel cost - "&amp;$F1783,'Fuel Cost - External'!$B:$B,0)),INDEX('Fuel Cost - External'!I:I,MATCH($C$1778&amp;" - "&amp;$C1783&amp;" - Fuel cost - "&amp;$F1783,'Fuel Cost - External'!$B:$B,0)))</f>
        <v>545.32727942350346</v>
      </c>
      <c r="I1783" s="524">
        <f>IF($C1783="Africa",INDEX('Fuel Cost - External'!J:J,MATCH($C$1778&amp;" - Africa&amp;Other - Fuel cost - "&amp;$F1783,'Fuel Cost - External'!$B:$B,0)),INDEX('Fuel Cost - External'!J:J,MATCH($C$1778&amp;" - "&amp;$C1783&amp;" - Fuel cost - "&amp;$F1783,'Fuel Cost - External'!$B:$B,0)))</f>
        <v>475.92198931505754</v>
      </c>
      <c r="J1783" s="524">
        <f>IF($C1783="Africa",INDEX('Fuel Cost - External'!K:K,MATCH($C$1778&amp;" - Africa&amp;Other - Fuel cost - "&amp;$F1783,'Fuel Cost - External'!$B:$B,0)),INDEX('Fuel Cost - External'!K:K,MATCH($C$1778&amp;" - "&amp;$C1783&amp;" - Fuel cost - "&amp;$F1783,'Fuel Cost - External'!$B:$B,0)))</f>
        <v>475.92198931505754</v>
      </c>
      <c r="K1783" s="524">
        <f>IF($C1783="Africa",INDEX('Fuel Cost - External'!L:L,MATCH($C$1778&amp;" - Africa&amp;Other - Fuel cost - "&amp;$F1783,'Fuel Cost - External'!$B:$B,0)),INDEX('Fuel Cost - External'!L:L,MATCH($C$1778&amp;" - "&amp;$C1783&amp;" - Fuel cost - "&amp;$F1783,'Fuel Cost - External'!$B:$B,0)))</f>
        <v>475.92198931505754</v>
      </c>
      <c r="L1783" s="524">
        <f>IF($C1783="Africa",INDEX('Fuel Cost - External'!M:M,MATCH($C$1778&amp;" - Africa&amp;Other - Fuel cost - "&amp;$F1783,'Fuel Cost - External'!$B:$B,0)),INDEX('Fuel Cost - External'!M:M,MATCH($C$1778&amp;" - "&amp;$C1783&amp;" - Fuel cost - "&amp;$F1783,'Fuel Cost - External'!$B:$B,0)))</f>
        <v>475.92198931505754</v>
      </c>
      <c r="M1783" s="524">
        <f>IF($C1783="Africa",INDEX('Fuel Cost - External'!N:N,MATCH($C$1778&amp;" - Africa&amp;Other - Fuel cost - "&amp;$F1783,'Fuel Cost - External'!$B:$B,0)),INDEX('Fuel Cost - External'!N:N,MATCH($C$1778&amp;" - "&amp;$C1783&amp;" - Fuel cost - "&amp;$F1783,'Fuel Cost - External'!$B:$B,0)))</f>
        <v>475.92198931505754</v>
      </c>
    </row>
    <row r="1784" spans="2:14" ht="12.75" hidden="1" outlineLevel="1" x14ac:dyDescent="0.2">
      <c r="F1784"/>
    </row>
    <row r="1785" spans="2:14" ht="15" hidden="1" outlineLevel="1" x14ac:dyDescent="0.25">
      <c r="B1785" s="30" t="s">
        <v>1149</v>
      </c>
      <c r="C1785" s="30" t="str">
        <f>+B1785</f>
        <v>CO2eq intensity ton/ton LPG</v>
      </c>
      <c r="F1785"/>
    </row>
    <row r="1786" spans="2:14" ht="15" hidden="1" outlineLevel="1" x14ac:dyDescent="0.25">
      <c r="B1786" s="527" t="str">
        <f>+C1786&amp;D1786&amp;E1786&amp;F1786</f>
        <v xml:space="preserve">GlobalEmissionsWTT Emission - LPGtonCO2eq/ ton </v>
      </c>
      <c r="C1786" s="516" t="s">
        <v>109</v>
      </c>
      <c r="D1786" s="516" t="s">
        <v>728</v>
      </c>
      <c r="E1786" s="516" t="s">
        <v>1150</v>
      </c>
      <c r="F1786" s="512" t="s">
        <v>1016</v>
      </c>
      <c r="G1786" s="533">
        <f>+INDEX('Fuel Model -  Input'!$B$3:$N$373,MATCH($B1786,'Fuel Model -  Input'!$B$3:$B$373,0),MATCH(G$2,'Fuel Model -  Input'!$B$3:$N$3,0))</f>
        <v>0.81420000000000003</v>
      </c>
      <c r="H1786" s="533">
        <f>+INDEX('Fuel Model -  Input'!$B$3:$N$373,MATCH($B1786,'Fuel Model -  Input'!$B$3:$B$373,0),MATCH(H$2,'Fuel Model -  Input'!$B$3:$N$3,0))</f>
        <v>0.81420000000000003</v>
      </c>
      <c r="I1786" s="533">
        <f>+INDEX('Fuel Model -  Input'!$B$3:$N$373,MATCH($B1786,'Fuel Model -  Input'!$B$3:$B$373,0),MATCH(I$2,'Fuel Model -  Input'!$B$3:$N$3,0))</f>
        <v>0.81420000000000003</v>
      </c>
      <c r="J1786" s="533">
        <f>+INDEX('Fuel Model -  Input'!$B$3:$N$373,MATCH($B1786,'Fuel Model -  Input'!$B$3:$B$373,0),MATCH(J$2,'Fuel Model -  Input'!$B$3:$N$3,0))</f>
        <v>0.81420000000000003</v>
      </c>
      <c r="K1786" s="533">
        <f>+INDEX('Fuel Model -  Input'!$B$3:$N$373,MATCH($B1786,'Fuel Model -  Input'!$B$3:$B$373,0),MATCH(K$2,'Fuel Model -  Input'!$B$3:$N$3,0))</f>
        <v>0.81420000000000003</v>
      </c>
      <c r="L1786" s="533">
        <f>+INDEX('Fuel Model -  Input'!$B$3:$N$373,MATCH($B1786,'Fuel Model -  Input'!$B$3:$B$373,0),MATCH(L$2,'Fuel Model -  Input'!$B$3:$N$3,0))</f>
        <v>0.81420000000000003</v>
      </c>
      <c r="M1786" s="533">
        <f>+INDEX('Fuel Model -  Input'!$B$3:$N$373,MATCH($B1786,'Fuel Model -  Input'!$B$3:$B$373,0),MATCH(M$2,'Fuel Model -  Input'!$B$3:$N$3,0))</f>
        <v>0.81420000000000003</v>
      </c>
    </row>
    <row r="1787" spans="2:14" ht="15" hidden="1" outlineLevel="1" x14ac:dyDescent="0.25">
      <c r="B1787" s="527" t="str">
        <f>+C1787&amp;D1787&amp;E1787&amp;F1787</f>
        <v xml:space="preserve">GlobalEmissionsTTW Emission - LPGtonCO2eq/ ton </v>
      </c>
      <c r="C1787" s="516" t="s">
        <v>109</v>
      </c>
      <c r="D1787" s="516" t="s">
        <v>728</v>
      </c>
      <c r="E1787" s="516" t="s">
        <v>1151</v>
      </c>
      <c r="F1787" s="512" t="s">
        <v>1016</v>
      </c>
      <c r="G1787" s="533">
        <f>+INDEX('Fuel Model -  Input'!$B$3:$N$373,MATCH($B1787,'Fuel Model -  Input'!$B$3:$B$373,0),MATCH(G$2,'Fuel Model -  Input'!$B$3:$N$3,0))</f>
        <v>3.036</v>
      </c>
      <c r="H1787" s="533">
        <f>+INDEX('Fuel Model -  Input'!$B$3:$N$373,MATCH($B1787,'Fuel Model -  Input'!$B$3:$B$373,0),MATCH(H$2,'Fuel Model -  Input'!$B$3:$N$3,0))</f>
        <v>3.036</v>
      </c>
      <c r="I1787" s="533">
        <f>+INDEX('Fuel Model -  Input'!$B$3:$N$373,MATCH($B1787,'Fuel Model -  Input'!$B$3:$B$373,0),MATCH(I$2,'Fuel Model -  Input'!$B$3:$N$3,0))</f>
        <v>3.036</v>
      </c>
      <c r="J1787" s="533">
        <f>+INDEX('Fuel Model -  Input'!$B$3:$N$373,MATCH($B1787,'Fuel Model -  Input'!$B$3:$B$373,0),MATCH(J$2,'Fuel Model -  Input'!$B$3:$N$3,0))</f>
        <v>3.036</v>
      </c>
      <c r="K1787" s="533">
        <f>+INDEX('Fuel Model -  Input'!$B$3:$N$373,MATCH($B1787,'Fuel Model -  Input'!$B$3:$B$373,0),MATCH(K$2,'Fuel Model -  Input'!$B$3:$N$3,0))</f>
        <v>3.036</v>
      </c>
      <c r="L1787" s="533">
        <f>+INDEX('Fuel Model -  Input'!$B$3:$N$373,MATCH($B1787,'Fuel Model -  Input'!$B$3:$B$373,0),MATCH(L$2,'Fuel Model -  Input'!$B$3:$N$3,0))</f>
        <v>3.036</v>
      </c>
      <c r="M1787" s="533">
        <f>+INDEX('Fuel Model -  Input'!$B$3:$N$373,MATCH($B1787,'Fuel Model -  Input'!$B$3:$B$373,0),MATCH(M$2,'Fuel Model -  Input'!$B$3:$N$3,0))</f>
        <v>3.036</v>
      </c>
    </row>
    <row r="1788" spans="2:14" hidden="1" outlineLevel="1" x14ac:dyDescent="0.2"/>
    <row r="1789" spans="2:14" ht="15" thickBot="1" x14ac:dyDescent="0.25"/>
    <row r="1790" spans="2:14" ht="15.75" collapsed="1" thickBot="1" x14ac:dyDescent="0.3">
      <c r="B1790" s="545" t="s">
        <v>1152</v>
      </c>
      <c r="C1790" s="546" t="str">
        <f>+B1790</f>
        <v>Grey hydrogen</v>
      </c>
      <c r="D1790" s="547"/>
      <c r="E1790" s="547"/>
      <c r="F1790" s="547"/>
      <c r="G1790" s="740">
        <v>2020</v>
      </c>
      <c r="H1790" s="740">
        <v>2025</v>
      </c>
      <c r="I1790" s="740">
        <v>2030</v>
      </c>
      <c r="J1790" s="740">
        <v>2035</v>
      </c>
      <c r="K1790" s="740">
        <v>2040</v>
      </c>
      <c r="L1790" s="740">
        <v>2045</v>
      </c>
      <c r="M1790" s="741">
        <v>2050</v>
      </c>
    </row>
    <row r="1791" spans="2:14" ht="15" hidden="1" outlineLevel="1" x14ac:dyDescent="0.25">
      <c r="B1791" s="30" t="s">
        <v>1153</v>
      </c>
      <c r="C1791" s="30" t="str">
        <f>+B1791</f>
        <v>Grey hydrogen (liquid)</v>
      </c>
      <c r="E1791" s="30"/>
      <c r="F1791" s="522"/>
      <c r="G1791" s="8"/>
      <c r="H1791" s="8"/>
      <c r="I1791" s="8"/>
      <c r="J1791" s="8"/>
      <c r="K1791" s="8"/>
      <c r="L1791" s="8"/>
      <c r="M1791" s="8"/>
      <c r="N1791" s="93"/>
    </row>
    <row r="1792" spans="2:14" ht="15" hidden="1" outlineLevel="1" x14ac:dyDescent="0.25">
      <c r="B1792" t="str">
        <f>+C1792&amp;D1792&amp;E1792&amp;F1792</f>
        <v>EuropeResultsCost of Grey hydrogen (liquid)USD/ton</v>
      </c>
      <c r="C1792" t="s">
        <v>195</v>
      </c>
      <c r="D1792" t="s">
        <v>838</v>
      </c>
      <c r="E1792" s="30" t="str">
        <f>"Cost of "&amp;$B$1791</f>
        <v>Cost of Grey hydrogen (liquid)</v>
      </c>
      <c r="F1792" s="522" t="s">
        <v>205</v>
      </c>
      <c r="G1792" s="8">
        <f t="shared" ref="G1792:M1792" si="940">G1862+G1887</f>
        <v>8553.6999056391378</v>
      </c>
      <c r="H1792" s="8">
        <f t="shared" si="940"/>
        <v>4556.7816342860806</v>
      </c>
      <c r="I1792" s="8">
        <f t="shared" si="940"/>
        <v>3587.5585075232002</v>
      </c>
      <c r="J1792" s="8">
        <f t="shared" si="940"/>
        <v>3464.0747315109156</v>
      </c>
      <c r="K1792" s="8">
        <f t="shared" si="940"/>
        <v>3362.4422787776994</v>
      </c>
      <c r="L1792" s="8">
        <f t="shared" si="940"/>
        <v>3266.0314778079464</v>
      </c>
      <c r="M1792" s="8">
        <f t="shared" si="940"/>
        <v>3181.4319382457247</v>
      </c>
      <c r="N1792" s="93"/>
    </row>
    <row r="1793" spans="2:13" ht="15" hidden="1" outlineLevel="1" x14ac:dyDescent="0.25">
      <c r="B1793" t="str">
        <f>+C1793&amp;D1793&amp;E1793&amp;F1793</f>
        <v>Middle EastResultsCost of Grey hydrogen (liquid)USD/ton</v>
      </c>
      <c r="C1793" t="s">
        <v>197</v>
      </c>
      <c r="D1793" t="s">
        <v>838</v>
      </c>
      <c r="E1793" s="30" t="str">
        <f>"Cost of "&amp;$B$1791</f>
        <v>Cost of Grey hydrogen (liquid)</v>
      </c>
      <c r="F1793" s="522" t="s">
        <v>205</v>
      </c>
      <c r="G1793" s="8">
        <f t="shared" ref="G1793" si="941">G1863+G1888</f>
        <v>7185.3491086378826</v>
      </c>
      <c r="H1793" s="8">
        <f t="shared" ref="H1793:M1796" si="942">H1863+H1888</f>
        <v>3853.5308912770406</v>
      </c>
      <c r="I1793" s="8">
        <f t="shared" si="942"/>
        <v>2399.605467702534</v>
      </c>
      <c r="J1793" s="8">
        <f t="shared" si="942"/>
        <v>2299.9988473792746</v>
      </c>
      <c r="K1793" s="8">
        <f t="shared" si="942"/>
        <v>2226.5146552987412</v>
      </c>
      <c r="L1793" s="8">
        <f t="shared" si="942"/>
        <v>2153.1237804792627</v>
      </c>
      <c r="M1793" s="8">
        <f t="shared" si="942"/>
        <v>2098.2241033002724</v>
      </c>
    </row>
    <row r="1794" spans="2:13" ht="15" hidden="1" outlineLevel="1" x14ac:dyDescent="0.25">
      <c r="B1794" t="str">
        <f>+C1794&amp;D1794&amp;E1794&amp;F1794</f>
        <v>AsiaResultsCost of Grey hydrogen (liquid)USD/ton</v>
      </c>
      <c r="C1794" t="s">
        <v>198</v>
      </c>
      <c r="D1794" t="s">
        <v>838</v>
      </c>
      <c r="E1794" s="30" t="str">
        <f>"Cost of "&amp;$B$1791</f>
        <v>Cost of Grey hydrogen (liquid)</v>
      </c>
      <c r="F1794" s="522" t="s">
        <v>205</v>
      </c>
      <c r="G1794" s="8">
        <f t="shared" ref="G1794" si="943">G1864+G1889</f>
        <v>8303.9527870115999</v>
      </c>
      <c r="H1794" s="8">
        <f t="shared" si="942"/>
        <v>4751.2821338386484</v>
      </c>
      <c r="I1794" s="8">
        <f t="shared" si="942"/>
        <v>3249.383983512882</v>
      </c>
      <c r="J1794" s="8">
        <f t="shared" si="942"/>
        <v>3101.5527485002831</v>
      </c>
      <c r="K1794" s="8">
        <f t="shared" si="942"/>
        <v>2995.4293856756913</v>
      </c>
      <c r="L1794" s="8">
        <f t="shared" si="942"/>
        <v>2894.0933785378334</v>
      </c>
      <c r="M1794" s="8">
        <f t="shared" si="942"/>
        <v>2818.3377027232436</v>
      </c>
    </row>
    <row r="1795" spans="2:13" ht="15" hidden="1" outlineLevel="1" x14ac:dyDescent="0.25">
      <c r="B1795" t="str">
        <f>+C1795&amp;D1795&amp;E1795&amp;F1795</f>
        <v>AmericasResultsCost of Grey hydrogen (liquid)USD/ton</v>
      </c>
      <c r="C1795" t="s">
        <v>199</v>
      </c>
      <c r="D1795" t="s">
        <v>838</v>
      </c>
      <c r="E1795" s="30" t="str">
        <f>"Cost of "&amp;$B$1791</f>
        <v>Cost of Grey hydrogen (liquid)</v>
      </c>
      <c r="F1795" s="522" t="s">
        <v>205</v>
      </c>
      <c r="G1795" s="8">
        <f t="shared" ref="G1795" si="944">G1865+G1890</f>
        <v>3390.5100025558486</v>
      </c>
      <c r="H1795" s="8">
        <f t="shared" si="942"/>
        <v>2835.177037641779</v>
      </c>
      <c r="I1795" s="8">
        <f t="shared" si="942"/>
        <v>2659.8239922802977</v>
      </c>
      <c r="J1795" s="8">
        <f t="shared" si="942"/>
        <v>2661.330037613584</v>
      </c>
      <c r="K1795" s="8">
        <f t="shared" si="942"/>
        <v>2573.5211575072726</v>
      </c>
      <c r="L1795" s="8">
        <f t="shared" si="942"/>
        <v>2506.9181313506137</v>
      </c>
      <c r="M1795" s="8">
        <f t="shared" si="942"/>
        <v>2448.1428884681272</v>
      </c>
    </row>
    <row r="1796" spans="2:13" ht="15" hidden="1" outlineLevel="1" x14ac:dyDescent="0.25">
      <c r="B1796" t="str">
        <f>+C1796&amp;D1796&amp;E1796&amp;F1796</f>
        <v>AfricaResultsCost of Grey hydrogen (liquid)USD/ton</v>
      </c>
      <c r="C1796" t="s">
        <v>200</v>
      </c>
      <c r="D1796" t="s">
        <v>838</v>
      </c>
      <c r="E1796" s="30" t="str">
        <f>"Cost of "&amp;$B$1791</f>
        <v>Cost of Grey hydrogen (liquid)</v>
      </c>
      <c r="F1796" s="522" t="s">
        <v>205</v>
      </c>
      <c r="G1796" s="8">
        <f t="shared" ref="G1796" si="945">G1866+G1891</f>
        <v>8810.828112975134</v>
      </c>
      <c r="H1796" s="8">
        <f t="shared" si="942"/>
        <v>4575.2678556080355</v>
      </c>
      <c r="I1796" s="8">
        <f t="shared" si="942"/>
        <v>3594.6576216011267</v>
      </c>
      <c r="J1796" s="8">
        <f t="shared" si="942"/>
        <v>3452.8048031280887</v>
      </c>
      <c r="K1796" s="8">
        <f t="shared" si="942"/>
        <v>3346.9463120233295</v>
      </c>
      <c r="L1796" s="8">
        <f t="shared" si="942"/>
        <v>3247.0576570347102</v>
      </c>
      <c r="M1796" s="8">
        <f t="shared" si="942"/>
        <v>3166.0860322723975</v>
      </c>
    </row>
    <row r="1797" spans="2:13" ht="15" hidden="1" outlineLevel="1" x14ac:dyDescent="0.25">
      <c r="E1797" s="30"/>
      <c r="F1797" s="522"/>
      <c r="G1797" s="8"/>
      <c r="H1797" s="8"/>
      <c r="I1797" s="8"/>
      <c r="J1797" s="8"/>
      <c r="K1797" s="8"/>
      <c r="L1797" s="8"/>
      <c r="M1797" s="8"/>
    </row>
    <row r="1798" spans="2:13" ht="15" hidden="1" outlineLevel="1" collapsed="1" x14ac:dyDescent="0.25">
      <c r="B1798" s="30" t="s">
        <v>1154</v>
      </c>
      <c r="C1798" s="30" t="str">
        <f>+B1798</f>
        <v>Capex, Opex &amp; NG</v>
      </c>
      <c r="G1798" s="8"/>
      <c r="H1798" s="8"/>
      <c r="I1798" s="8"/>
      <c r="J1798" s="8"/>
      <c r="K1798" s="8"/>
      <c r="L1798" s="8"/>
      <c r="M1798" s="8"/>
    </row>
    <row r="1799" spans="2:13" ht="15" hidden="1" outlineLevel="2" x14ac:dyDescent="0.25">
      <c r="B1799" t="str">
        <f>+C1799&amp;D1799&amp;E1799&amp;F1799</f>
        <v>EuropeResultsTotal CAPEX Grey hydrogen (liquid)USD/ton</v>
      </c>
      <c r="C1799" t="str">
        <f>+C1792</f>
        <v>Europe</v>
      </c>
      <c r="D1799" t="s">
        <v>838</v>
      </c>
      <c r="E1799" s="30" t="str">
        <f>"Total CAPEX "&amp;$B$1791</f>
        <v>Total CAPEX Grey hydrogen (liquid)</v>
      </c>
      <c r="F1799" s="450" t="s">
        <v>205</v>
      </c>
      <c r="G1799" s="8">
        <f>+G1868+G1887*G1893</f>
        <v>1274.8413816742118</v>
      </c>
      <c r="H1799" s="8">
        <f t="shared" ref="H1799:M1799" si="946">+H1868+H1887*H1893</f>
        <v>1265</v>
      </c>
      <c r="I1799" s="8">
        <f t="shared" si="946"/>
        <v>1255.5110135606965</v>
      </c>
      <c r="J1799" s="8">
        <f t="shared" si="946"/>
        <v>1246.3618039653368</v>
      </c>
      <c r="K1799" s="8">
        <f t="shared" si="946"/>
        <v>1237.5402046559425</v>
      </c>
      <c r="L1799" s="8">
        <f t="shared" si="946"/>
        <v>1229.0344847285098</v>
      </c>
      <c r="M1799" s="8">
        <f t="shared" si="946"/>
        <v>1220.8333333333335</v>
      </c>
    </row>
    <row r="1800" spans="2:13" ht="15" hidden="1" outlineLevel="2" x14ac:dyDescent="0.25">
      <c r="B1800" t="str">
        <f>+C1800&amp;D1800&amp;E1800&amp;F1800</f>
        <v>Middle EastResultsTotal CAPEX Grey hydrogen (liquid)USD/ton</v>
      </c>
      <c r="C1800" t="str">
        <f>+C1793</f>
        <v>Middle East</v>
      </c>
      <c r="D1800" t="s">
        <v>838</v>
      </c>
      <c r="E1800" s="30" t="str">
        <f t="shared" ref="E1800:E1803" si="947">"Total CAPEX "&amp;$B$1791</f>
        <v>Total CAPEX Grey hydrogen (liquid)</v>
      </c>
      <c r="F1800" s="450" t="s">
        <v>205</v>
      </c>
      <c r="G1800" s="8">
        <f t="shared" ref="G1800:M1800" si="948">+G1869+G1888*G1894</f>
        <v>1274.8413816742118</v>
      </c>
      <c r="H1800" s="8">
        <f t="shared" si="948"/>
        <v>1265.0000000000002</v>
      </c>
      <c r="I1800" s="8">
        <f t="shared" si="948"/>
        <v>1255.5110135606963</v>
      </c>
      <c r="J1800" s="8">
        <f t="shared" si="948"/>
        <v>1246.3618039653368</v>
      </c>
      <c r="K1800" s="8">
        <f t="shared" si="948"/>
        <v>1237.5402046559427</v>
      </c>
      <c r="L1800" s="8">
        <f t="shared" si="948"/>
        <v>1229.0344847285098</v>
      </c>
      <c r="M1800" s="8">
        <f t="shared" si="948"/>
        <v>1220.8333333333335</v>
      </c>
    </row>
    <row r="1801" spans="2:13" ht="15" hidden="1" outlineLevel="2" x14ac:dyDescent="0.25">
      <c r="B1801" t="str">
        <f>+C1801&amp;D1801&amp;E1801&amp;F1801</f>
        <v>AsiaResultsTotal CAPEX Grey hydrogen (liquid)USD/ton</v>
      </c>
      <c r="C1801" t="str">
        <f>+C1794</f>
        <v>Asia</v>
      </c>
      <c r="D1801" t="s">
        <v>838</v>
      </c>
      <c r="E1801" s="30" t="str">
        <f t="shared" si="947"/>
        <v>Total CAPEX Grey hydrogen (liquid)</v>
      </c>
      <c r="F1801" s="450" t="s">
        <v>205</v>
      </c>
      <c r="G1801" s="8">
        <f t="shared" ref="G1801:M1801" si="949">+G1870+G1889*G1895</f>
        <v>1274.8413816742118</v>
      </c>
      <c r="H1801" s="8">
        <f t="shared" si="949"/>
        <v>1265</v>
      </c>
      <c r="I1801" s="8">
        <f t="shared" si="949"/>
        <v>1255.5110135606963</v>
      </c>
      <c r="J1801" s="8">
        <f t="shared" si="949"/>
        <v>1246.361803965337</v>
      </c>
      <c r="K1801" s="8">
        <f t="shared" si="949"/>
        <v>1237.5402046559427</v>
      </c>
      <c r="L1801" s="8">
        <f t="shared" si="949"/>
        <v>1229.0344847285098</v>
      </c>
      <c r="M1801" s="8">
        <f t="shared" si="949"/>
        <v>1220.8333333333335</v>
      </c>
    </row>
    <row r="1802" spans="2:13" ht="15" hidden="1" outlineLevel="2" x14ac:dyDescent="0.25">
      <c r="B1802" t="str">
        <f>+C1802&amp;D1802&amp;E1802&amp;F1802</f>
        <v>AmericasResultsTotal CAPEX Grey hydrogen (liquid)USD/ton</v>
      </c>
      <c r="C1802" t="str">
        <f>+C1795</f>
        <v>Americas</v>
      </c>
      <c r="D1802" t="s">
        <v>838</v>
      </c>
      <c r="E1802" s="30" t="str">
        <f t="shared" si="947"/>
        <v>Total CAPEX Grey hydrogen (liquid)</v>
      </c>
      <c r="F1802" s="450" t="s">
        <v>205</v>
      </c>
      <c r="G1802" s="8">
        <f t="shared" ref="G1802:M1802" si="950">+G1871+G1890*G1896</f>
        <v>1274.8413816742118</v>
      </c>
      <c r="H1802" s="8">
        <f t="shared" si="950"/>
        <v>1265</v>
      </c>
      <c r="I1802" s="8">
        <f t="shared" si="950"/>
        <v>1255.5110135606963</v>
      </c>
      <c r="J1802" s="8">
        <f t="shared" si="950"/>
        <v>1246.3618039653368</v>
      </c>
      <c r="K1802" s="8">
        <f t="shared" si="950"/>
        <v>1237.5402046559427</v>
      </c>
      <c r="L1802" s="8">
        <f t="shared" si="950"/>
        <v>1229.0344847285098</v>
      </c>
      <c r="M1802" s="8">
        <f t="shared" si="950"/>
        <v>1220.8333333333335</v>
      </c>
    </row>
    <row r="1803" spans="2:13" ht="15" hidden="1" outlineLevel="2" x14ac:dyDescent="0.25">
      <c r="B1803" t="str">
        <f>+C1803&amp;D1803&amp;E1803&amp;F1803</f>
        <v>AfricaResultsTotal CAPEX Grey hydrogen (liquid)USD/ton</v>
      </c>
      <c r="C1803" t="str">
        <f>+C1796</f>
        <v>Africa</v>
      </c>
      <c r="D1803" t="s">
        <v>838</v>
      </c>
      <c r="E1803" s="30" t="str">
        <f t="shared" si="947"/>
        <v>Total CAPEX Grey hydrogen (liquid)</v>
      </c>
      <c r="F1803" s="450" t="s">
        <v>205</v>
      </c>
      <c r="G1803" s="8">
        <f t="shared" ref="G1803:M1803" si="951">+G1872+G1891*G1897</f>
        <v>1274.8413816742118</v>
      </c>
      <c r="H1803" s="8">
        <f t="shared" si="951"/>
        <v>1265</v>
      </c>
      <c r="I1803" s="8">
        <f t="shared" si="951"/>
        <v>1255.5110135606965</v>
      </c>
      <c r="J1803" s="8">
        <f t="shared" si="951"/>
        <v>1246.361803965337</v>
      </c>
      <c r="K1803" s="8">
        <f t="shared" si="951"/>
        <v>1237.5402046559427</v>
      </c>
      <c r="L1803" s="8">
        <f t="shared" si="951"/>
        <v>1229.0344847285098</v>
      </c>
      <c r="M1803" s="8">
        <f t="shared" si="951"/>
        <v>1220.8333333333335</v>
      </c>
    </row>
    <row r="1804" spans="2:13" ht="15" hidden="1" outlineLevel="2" x14ac:dyDescent="0.25">
      <c r="E1804" s="30"/>
    </row>
    <row r="1805" spans="2:13" ht="15" hidden="1" outlineLevel="2" x14ac:dyDescent="0.25">
      <c r="B1805" t="str">
        <f>+C1805&amp;D1805&amp;E1805&amp;F1805</f>
        <v>EuropeResultsTotal OPEX Grey hydrogen (liquid)USD/ton</v>
      </c>
      <c r="C1805" t="str">
        <f>+C1799</f>
        <v>Europe</v>
      </c>
      <c r="D1805" t="s">
        <v>838</v>
      </c>
      <c r="E1805" s="30" t="str">
        <f>"Total OPEX "&amp;$B$1791</f>
        <v>Total OPEX Grey hydrogen (liquid)</v>
      </c>
      <c r="F1805" s="450" t="s">
        <v>205</v>
      </c>
      <c r="G1805" s="14">
        <f>+G1874+G1887*(G1899+G1905)</f>
        <v>1003.3725519649257</v>
      </c>
      <c r="H1805" s="14">
        <f t="shared" ref="H1805:M1805" si="952">+H1874+H1887*(H1899+H1905)</f>
        <v>841.78163428608013</v>
      </c>
      <c r="I1805" s="14">
        <f t="shared" si="952"/>
        <v>709.41419598750383</v>
      </c>
      <c r="J1805" s="14">
        <f t="shared" si="952"/>
        <v>633.99032902057911</v>
      </c>
      <c r="K1805" s="14">
        <f t="shared" si="952"/>
        <v>579.15709787175706</v>
      </c>
      <c r="L1805" s="14">
        <f t="shared" si="952"/>
        <v>528.31893680443648</v>
      </c>
      <c r="M1805" s="14">
        <f t="shared" si="952"/>
        <v>488.09860491239112</v>
      </c>
    </row>
    <row r="1806" spans="2:13" ht="15" hidden="1" outlineLevel="2" x14ac:dyDescent="0.25">
      <c r="B1806" t="str">
        <f>+C1806&amp;D1806&amp;E1806&amp;F1806</f>
        <v>Middle EastResultsTotal OPEX Grey hydrogen (liquid)USD/ton</v>
      </c>
      <c r="C1806" t="str">
        <f>+C1800</f>
        <v>Middle East</v>
      </c>
      <c r="D1806" t="s">
        <v>838</v>
      </c>
      <c r="E1806" s="30" t="str">
        <f t="shared" ref="E1806:E1809" si="953">"Total OPEX "&amp;$B$1791</f>
        <v>Total OPEX Grey hydrogen (liquid)</v>
      </c>
      <c r="F1806" s="450" t="s">
        <v>205</v>
      </c>
      <c r="G1806" s="14">
        <f t="shared" ref="G1806:M1806" si="954">+G1875+G1888*(G1900+G1906)</f>
        <v>876.61894936367071</v>
      </c>
      <c r="H1806" s="14">
        <f t="shared" si="954"/>
        <v>737.53089127704084</v>
      </c>
      <c r="I1806" s="14">
        <f t="shared" si="954"/>
        <v>635.26428949683759</v>
      </c>
      <c r="J1806" s="14">
        <f t="shared" si="954"/>
        <v>556.68488175893742</v>
      </c>
      <c r="K1806" s="14">
        <f t="shared" si="954"/>
        <v>503.61545789279876</v>
      </c>
      <c r="L1806" s="14">
        <f t="shared" si="954"/>
        <v>450.04546804575244</v>
      </c>
      <c r="M1806" s="14">
        <f t="shared" si="954"/>
        <v>414.39076996693922</v>
      </c>
    </row>
    <row r="1807" spans="2:13" ht="15" hidden="1" outlineLevel="2" x14ac:dyDescent="0.25">
      <c r="B1807" t="str">
        <f>+C1807&amp;D1807&amp;E1807&amp;F1807</f>
        <v>AsiaResultsTotal OPEX Grey hydrogen (liquid)USD/ton</v>
      </c>
      <c r="C1807" t="str">
        <f>+C1801</f>
        <v>Asia</v>
      </c>
      <c r="D1807" t="s">
        <v>838</v>
      </c>
      <c r="E1807" s="30" t="str">
        <f t="shared" si="953"/>
        <v>Total OPEX Grey hydrogen (liquid)</v>
      </c>
      <c r="F1807" s="450" t="s">
        <v>205</v>
      </c>
      <c r="G1807" s="14">
        <f t="shared" ref="G1807:M1807" si="955">+G1876+G1889*(G1901+G1907)</f>
        <v>1278.024230937388</v>
      </c>
      <c r="H1807" s="14">
        <f t="shared" si="955"/>
        <v>935.28213383864841</v>
      </c>
      <c r="I1807" s="14">
        <f t="shared" si="955"/>
        <v>784.74843460218563</v>
      </c>
      <c r="J1807" s="14">
        <f t="shared" si="955"/>
        <v>674.73745088494616</v>
      </c>
      <c r="K1807" s="14">
        <f t="shared" si="955"/>
        <v>605.41919851974876</v>
      </c>
      <c r="L1807" s="14">
        <f t="shared" si="955"/>
        <v>539.90137865932343</v>
      </c>
      <c r="M1807" s="14">
        <f t="shared" si="955"/>
        <v>499.00436938991032</v>
      </c>
    </row>
    <row r="1808" spans="2:13" ht="15" hidden="1" outlineLevel="2" x14ac:dyDescent="0.25">
      <c r="B1808" t="str">
        <f>+C1808&amp;D1808&amp;E1808&amp;F1808</f>
        <v>AmericasResultsTotal OPEX Grey hydrogen (liquid)USD/ton</v>
      </c>
      <c r="C1808" t="str">
        <f>+C1802</f>
        <v>Americas</v>
      </c>
      <c r="D1808" t="s">
        <v>838</v>
      </c>
      <c r="E1808" s="30" t="str">
        <f t="shared" si="953"/>
        <v>Total OPEX Grey hydrogen (liquid)</v>
      </c>
      <c r="F1808" s="450" t="s">
        <v>205</v>
      </c>
      <c r="G1808" s="14">
        <f t="shared" ref="G1808:M1808" si="956">+G1877+G1890*(G1902+G1908)</f>
        <v>847.07142648163688</v>
      </c>
      <c r="H1808" s="14">
        <f t="shared" si="956"/>
        <v>751.67703764177872</v>
      </c>
      <c r="I1808" s="14">
        <f t="shared" si="956"/>
        <v>639.27755649960181</v>
      </c>
      <c r="J1808" s="14">
        <f t="shared" si="956"/>
        <v>567.93002389824676</v>
      </c>
      <c r="K1808" s="14">
        <f t="shared" si="956"/>
        <v>508.93096535133009</v>
      </c>
      <c r="L1808" s="14">
        <f t="shared" si="956"/>
        <v>470.34256437210382</v>
      </c>
      <c r="M1808" s="14">
        <f t="shared" si="956"/>
        <v>438.80955513479381</v>
      </c>
    </row>
    <row r="1809" spans="2:14" ht="15" hidden="1" outlineLevel="2" x14ac:dyDescent="0.25">
      <c r="B1809" t="str">
        <f>+C1809&amp;D1809&amp;E1809&amp;F1809</f>
        <v>AfricaResultsTotal OPEX Grey hydrogen (liquid)USD/ton</v>
      </c>
      <c r="C1809" t="str">
        <f>+C1803</f>
        <v>Africa</v>
      </c>
      <c r="D1809" t="s">
        <v>838</v>
      </c>
      <c r="E1809" s="30" t="str">
        <f t="shared" si="953"/>
        <v>Total OPEX Grey hydrogen (liquid)</v>
      </c>
      <c r="F1809" s="450" t="s">
        <v>205</v>
      </c>
      <c r="G1809" s="14">
        <f t="shared" ref="G1809:M1809" si="957">+G1878+G1891*(G1903+G1909)</f>
        <v>1247.0007593009216</v>
      </c>
      <c r="H1809" s="14">
        <f t="shared" si="957"/>
        <v>846.76785560803523</v>
      </c>
      <c r="I1809" s="14">
        <f t="shared" si="957"/>
        <v>703.01331006543069</v>
      </c>
      <c r="J1809" s="14">
        <f t="shared" si="957"/>
        <v>609.22040063775205</v>
      </c>
      <c r="K1809" s="14">
        <f t="shared" si="957"/>
        <v>550.16113111738673</v>
      </c>
      <c r="L1809" s="14">
        <f t="shared" si="957"/>
        <v>495.84511603120035</v>
      </c>
      <c r="M1809" s="14">
        <f t="shared" si="957"/>
        <v>459.25269893906369</v>
      </c>
    </row>
    <row r="1810" spans="2:14" ht="15" hidden="1" outlineLevel="2" x14ac:dyDescent="0.25">
      <c r="E1810" s="30"/>
      <c r="G1810" s="8"/>
      <c r="H1810" s="8"/>
      <c r="I1810" s="8"/>
      <c r="J1810" s="8"/>
      <c r="K1810" s="8"/>
      <c r="L1810" s="8"/>
      <c r="M1810" s="8"/>
    </row>
    <row r="1811" spans="2:14" ht="15" hidden="1" outlineLevel="2" x14ac:dyDescent="0.25">
      <c r="B1811" t="str">
        <f>+C1811&amp;D1811&amp;E1811&amp;F1811</f>
        <v>EuropeResultsTotal Raw Material Grey hydrogen (liquid)USD/ton</v>
      </c>
      <c r="C1811" t="str">
        <f>+C1799</f>
        <v>Europe</v>
      </c>
      <c r="D1811" t="s">
        <v>838</v>
      </c>
      <c r="E1811" s="30" t="str">
        <f>"Total Raw Material "&amp;$B$1791</f>
        <v>Total Raw Material Grey hydrogen (liquid)</v>
      </c>
      <c r="F1811" s="450" t="s">
        <v>205</v>
      </c>
      <c r="G1811" s="8">
        <f>+G1880</f>
        <v>6275.4859720000004</v>
      </c>
      <c r="H1811" s="8">
        <f t="shared" ref="H1811:M1811" si="958">+H1880</f>
        <v>2450</v>
      </c>
      <c r="I1811" s="8">
        <f t="shared" si="958"/>
        <v>1622.633297975</v>
      </c>
      <c r="J1811" s="8">
        <f t="shared" si="958"/>
        <v>1583.722598525</v>
      </c>
      <c r="K1811" s="8">
        <f t="shared" si="958"/>
        <v>1545.74497625</v>
      </c>
      <c r="L1811" s="8">
        <f t="shared" si="958"/>
        <v>1508.678056275</v>
      </c>
      <c r="M1811" s="8">
        <f t="shared" si="958"/>
        <v>1472.5</v>
      </c>
    </row>
    <row r="1812" spans="2:14" ht="15" hidden="1" outlineLevel="2" x14ac:dyDescent="0.25">
      <c r="B1812" t="str">
        <f>+C1812&amp;D1812&amp;E1812&amp;F1812</f>
        <v>Middle EastResultsTotal Raw Material Grey hydrogen (liquid)USD/ton</v>
      </c>
      <c r="C1812" t="str">
        <f>+C1800</f>
        <v>Middle East</v>
      </c>
      <c r="D1812" t="s">
        <v>838</v>
      </c>
      <c r="E1812" s="30" t="str">
        <f t="shared" ref="E1812:E1815" si="959">"Total Raw Material "&amp;$B$1791</f>
        <v>Total Raw Material Grey hydrogen (liquid)</v>
      </c>
      <c r="F1812" s="450" t="s">
        <v>205</v>
      </c>
      <c r="G1812" s="8">
        <f t="shared" ref="G1812:M1812" si="960">+G1881</f>
        <v>5033.8887776000001</v>
      </c>
      <c r="H1812" s="8">
        <f t="shared" si="960"/>
        <v>1851</v>
      </c>
      <c r="I1812" s="8">
        <f t="shared" si="960"/>
        <v>508.83016464499997</v>
      </c>
      <c r="J1812" s="8">
        <f t="shared" si="960"/>
        <v>496.952161655</v>
      </c>
      <c r="K1812" s="8">
        <f t="shared" si="960"/>
        <v>485.35899274999997</v>
      </c>
      <c r="L1812" s="8">
        <f t="shared" si="960"/>
        <v>474.04382770500001</v>
      </c>
      <c r="M1812" s="8">
        <f t="shared" si="960"/>
        <v>463</v>
      </c>
    </row>
    <row r="1813" spans="2:14" ht="15" hidden="1" outlineLevel="2" x14ac:dyDescent="0.25">
      <c r="B1813" t="str">
        <f>+C1813&amp;D1813&amp;E1813&amp;F1813</f>
        <v>AsiaResultsTotal Raw Material Grey hydrogen (liquid)USD/ton</v>
      </c>
      <c r="C1813" t="str">
        <f>+C1801</f>
        <v>Asia</v>
      </c>
      <c r="D1813" t="s">
        <v>838</v>
      </c>
      <c r="E1813" s="30" t="str">
        <f t="shared" si="959"/>
        <v>Total Raw Material Grey hydrogen (liquid)</v>
      </c>
      <c r="F1813" s="450" t="s">
        <v>205</v>
      </c>
      <c r="G1813" s="8">
        <f t="shared" ref="G1813:M1813" si="961">+G1882</f>
        <v>5751.0871744000005</v>
      </c>
      <c r="H1813" s="8">
        <f t="shared" si="961"/>
        <v>2551</v>
      </c>
      <c r="I1813" s="8">
        <f t="shared" si="961"/>
        <v>1209.1245353499999</v>
      </c>
      <c r="J1813" s="8">
        <f t="shared" si="961"/>
        <v>1180.4534936500002</v>
      </c>
      <c r="K1813" s="8">
        <f t="shared" si="961"/>
        <v>1152.4699825</v>
      </c>
      <c r="L1813" s="8">
        <f t="shared" si="961"/>
        <v>1125.1575151500001</v>
      </c>
      <c r="M1813" s="8">
        <f t="shared" si="961"/>
        <v>1098.5</v>
      </c>
    </row>
    <row r="1814" spans="2:14" ht="15" hidden="1" outlineLevel="2" x14ac:dyDescent="0.25">
      <c r="B1814" t="str">
        <f>+C1814&amp;D1814&amp;E1814&amp;F1814</f>
        <v>AmericasResultsTotal Raw Material Grey hydrogen (liquid)USD/ton</v>
      </c>
      <c r="C1814" t="str">
        <f>+C1802</f>
        <v>Americas</v>
      </c>
      <c r="D1814" t="s">
        <v>838</v>
      </c>
      <c r="E1814" s="30" t="str">
        <f t="shared" si="959"/>
        <v>Total Raw Material Grey hydrogen (liquid)</v>
      </c>
      <c r="F1814" s="450" t="s">
        <v>205</v>
      </c>
      <c r="G1814" s="8">
        <f t="shared" ref="G1814:M1814" si="962">+G1883</f>
        <v>1268.5971944</v>
      </c>
      <c r="H1814" s="8">
        <f t="shared" si="962"/>
        <v>818.5</v>
      </c>
      <c r="I1814" s="8">
        <f t="shared" si="962"/>
        <v>765.03542221999999</v>
      </c>
      <c r="J1814" s="8">
        <f t="shared" si="962"/>
        <v>847.03820975000008</v>
      </c>
      <c r="K1814" s="8">
        <f t="shared" si="962"/>
        <v>827.04998749999993</v>
      </c>
      <c r="L1814" s="8">
        <f t="shared" si="962"/>
        <v>807.54108225000004</v>
      </c>
      <c r="M1814" s="8">
        <f t="shared" si="962"/>
        <v>788.5</v>
      </c>
    </row>
    <row r="1815" spans="2:14" ht="15" hidden="1" outlineLevel="2" x14ac:dyDescent="0.25">
      <c r="B1815" t="str">
        <f>+C1815&amp;D1815&amp;E1815&amp;F1815</f>
        <v>AfricaResultsTotal Raw Material Grey hydrogen (liquid)USD/ton</v>
      </c>
      <c r="C1815" t="str">
        <f>+C1803</f>
        <v>Africa</v>
      </c>
      <c r="D1815" t="s">
        <v>838</v>
      </c>
      <c r="E1815" s="30" t="str">
        <f t="shared" si="959"/>
        <v>Total Raw Material Grey hydrogen (liquid)</v>
      </c>
      <c r="F1815" s="450" t="s">
        <v>205</v>
      </c>
      <c r="G1815" s="8">
        <f t="shared" ref="G1815:M1815" si="963">+G1884</f>
        <v>6288.9859720000004</v>
      </c>
      <c r="H1815" s="8">
        <f t="shared" si="963"/>
        <v>2463.5</v>
      </c>
      <c r="I1815" s="8">
        <f t="shared" si="963"/>
        <v>1636.133297975</v>
      </c>
      <c r="J1815" s="8">
        <f t="shared" si="963"/>
        <v>1597.222598525</v>
      </c>
      <c r="K1815" s="8">
        <f t="shared" si="963"/>
        <v>1559.24497625</v>
      </c>
      <c r="L1815" s="8">
        <f t="shared" si="963"/>
        <v>1522.178056275</v>
      </c>
      <c r="M1815" s="8">
        <f t="shared" si="963"/>
        <v>1486</v>
      </c>
    </row>
    <row r="1816" spans="2:14" hidden="1" outlineLevel="1" x14ac:dyDescent="0.2">
      <c r="G1816" s="18"/>
      <c r="H1816" s="18"/>
      <c r="I1816" s="18"/>
      <c r="J1816" s="18"/>
      <c r="K1816" s="18"/>
      <c r="L1816" s="18"/>
      <c r="M1816" s="18"/>
    </row>
    <row r="1817" spans="2:14" ht="15" hidden="1" outlineLevel="1" x14ac:dyDescent="0.25">
      <c r="B1817" s="30" t="s">
        <v>1155</v>
      </c>
      <c r="C1817" s="30" t="str">
        <f>+B1817</f>
        <v>Grey hydrogen (compressed)</v>
      </c>
      <c r="E1817" s="30"/>
      <c r="F1817"/>
    </row>
    <row r="1818" spans="2:14" ht="15" hidden="1" outlineLevel="1" x14ac:dyDescent="0.25">
      <c r="B1818" t="str">
        <f>+C1818&amp;D1818&amp;E1818&amp;F1818</f>
        <v>EuropeResultsCost of Grey hydrogen (compressed)USD/ton</v>
      </c>
      <c r="C1818" t="s">
        <v>195</v>
      </c>
      <c r="D1818" t="s">
        <v>838</v>
      </c>
      <c r="E1818" s="30" t="str">
        <f>"Cost of "&amp;$B$1817</f>
        <v>Cost of Grey hydrogen (compressed)</v>
      </c>
      <c r="F1818" s="522" t="s">
        <v>205</v>
      </c>
      <c r="G1818" s="8">
        <f>+G1862+G1912</f>
        <v>6965.0610672883931</v>
      </c>
      <c r="H1818" s="8">
        <f t="shared" ref="H1818:M1818" si="964">+H1862+H1912</f>
        <v>3061.3870716000383</v>
      </c>
      <c r="I1818" s="8">
        <f t="shared" si="964"/>
        <v>2167.5058830442103</v>
      </c>
      <c r="J1818" s="8">
        <f t="shared" si="964"/>
        <v>2075.3266667686044</v>
      </c>
      <c r="K1818" s="8">
        <f t="shared" si="964"/>
        <v>1992.3846273280988</v>
      </c>
      <c r="L1818" s="8">
        <f t="shared" si="964"/>
        <v>1915.9691942254192</v>
      </c>
      <c r="M1818" s="8">
        <f t="shared" si="964"/>
        <v>1845.9586868491347</v>
      </c>
      <c r="N1818" s="93"/>
    </row>
    <row r="1819" spans="2:14" ht="15" hidden="1" outlineLevel="1" x14ac:dyDescent="0.25">
      <c r="B1819" t="str">
        <f>+C1819&amp;D1819&amp;E1819&amp;F1819</f>
        <v>Middle EastResultsCost of Grey hydrogen (compressed)USD/ton</v>
      </c>
      <c r="C1819" t="s">
        <v>197</v>
      </c>
      <c r="D1819" t="s">
        <v>838</v>
      </c>
      <c r="E1819" s="30" t="str">
        <f>"Cost of "&amp;$B$1817</f>
        <v>Cost of Grey hydrogen (compressed)</v>
      </c>
      <c r="F1819" s="522" t="s">
        <v>205</v>
      </c>
      <c r="G1819" s="8">
        <f t="shared" ref="G1819:M1819" si="965">+G1863+G1913</f>
        <v>5710.1547446152608</v>
      </c>
      <c r="H1819" s="8">
        <f t="shared" si="965"/>
        <v>2451.4407435840894</v>
      </c>
      <c r="I1819" s="8">
        <f t="shared" si="965"/>
        <v>1045.9170095326908</v>
      </c>
      <c r="J1819" s="8">
        <f t="shared" si="965"/>
        <v>980.43915793613201</v>
      </c>
      <c r="K1819" s="8">
        <f t="shared" si="965"/>
        <v>924.06677163030815</v>
      </c>
      <c r="L1819" s="8">
        <f t="shared" si="965"/>
        <v>873.11625143575736</v>
      </c>
      <c r="M1819" s="8">
        <f t="shared" si="965"/>
        <v>828.71936417986194</v>
      </c>
    </row>
    <row r="1820" spans="2:14" ht="15" hidden="1" outlineLevel="1" x14ac:dyDescent="0.25">
      <c r="B1820" t="str">
        <f>+C1820&amp;D1820&amp;E1820&amp;F1820</f>
        <v>AsiaResultsCost of Grey hydrogen (compressed)USD/ton</v>
      </c>
      <c r="C1820" t="s">
        <v>198</v>
      </c>
      <c r="D1820" t="s">
        <v>838</v>
      </c>
      <c r="E1820" s="30" t="str">
        <f>"Cost of "&amp;$B$1817</f>
        <v>Cost of Grey hydrogen (compressed)</v>
      </c>
      <c r="F1820" s="522" t="s">
        <v>205</v>
      </c>
      <c r="G1820" s="8">
        <f t="shared" ref="G1820:M1820" si="966">+G1864+G1914</f>
        <v>6469.5006959805014</v>
      </c>
      <c r="H1820" s="8">
        <f t="shared" si="966"/>
        <v>3172.2046240530581</v>
      </c>
      <c r="I1820" s="8">
        <f t="shared" si="966"/>
        <v>1761.9072154737521</v>
      </c>
      <c r="J1820" s="8">
        <f t="shared" si="966"/>
        <v>1676.336009689363</v>
      </c>
      <c r="K1820" s="8">
        <f t="shared" si="966"/>
        <v>1601.8671541461381</v>
      </c>
      <c r="L1820" s="8">
        <f t="shared" si="966"/>
        <v>1533.6648094951825</v>
      </c>
      <c r="M1820" s="8">
        <f t="shared" si="966"/>
        <v>1473.103792119274</v>
      </c>
    </row>
    <row r="1821" spans="2:14" ht="15" hidden="1" outlineLevel="1" x14ac:dyDescent="0.25">
      <c r="B1821" t="str">
        <f>+C1821&amp;D1821&amp;E1821&amp;F1821</f>
        <v>AmericasResultsCost of Grey hydrogen (compressed)USD/ton</v>
      </c>
      <c r="C1821" t="s">
        <v>199</v>
      </c>
      <c r="D1821" t="s">
        <v>838</v>
      </c>
      <c r="E1821" s="30" t="str">
        <f>"Cost of "&amp;$B$1817</f>
        <v>Cost of Grey hydrogen (compressed)</v>
      </c>
      <c r="F1821" s="522" t="s">
        <v>205</v>
      </c>
      <c r="G1821" s="8">
        <f t="shared" ref="G1821:M1821" si="967">+G1865+G1915</f>
        <v>1941.7606715126476</v>
      </c>
      <c r="H1821" s="8">
        <f t="shared" si="967"/>
        <v>1420.4260889523869</v>
      </c>
      <c r="I1821" s="8">
        <f t="shared" si="967"/>
        <v>1302.543660142981</v>
      </c>
      <c r="J1821" s="8">
        <f t="shared" si="967"/>
        <v>1331.7059459557597</v>
      </c>
      <c r="K1821" s="8">
        <f t="shared" si="967"/>
        <v>1266.3158946634539</v>
      </c>
      <c r="L1821" s="8">
        <f t="shared" si="967"/>
        <v>1208.7447010950243</v>
      </c>
      <c r="M1821" s="8">
        <f t="shared" si="967"/>
        <v>1156.7833366224868</v>
      </c>
    </row>
    <row r="1822" spans="2:14" ht="15" hidden="1" outlineLevel="1" x14ac:dyDescent="0.25">
      <c r="B1822" t="str">
        <f>+C1822&amp;D1822&amp;E1822&amp;F1822</f>
        <v>AfricaResultsCost of Grey hydrogen (compressed)USD/ton</v>
      </c>
      <c r="C1822" t="s">
        <v>200</v>
      </c>
      <c r="D1822" t="s">
        <v>838</v>
      </c>
      <c r="E1822" s="30" t="str">
        <f>"Cost of "&amp;$B$1817</f>
        <v>Cost of Grey hydrogen (compressed)</v>
      </c>
      <c r="F1822" s="522" t="s">
        <v>205</v>
      </c>
      <c r="G1822" s="8">
        <f t="shared" ref="G1822:M1822" si="968">+G1866+G1916</f>
        <v>7004.142029058673</v>
      </c>
      <c r="H1822" s="8">
        <f t="shared" si="968"/>
        <v>3075.4106248388439</v>
      </c>
      <c r="I1822" s="8">
        <f t="shared" si="968"/>
        <v>2180.3337900223928</v>
      </c>
      <c r="J1822" s="8">
        <f t="shared" si="968"/>
        <v>2086.2258242884077</v>
      </c>
      <c r="K1822" s="8">
        <f t="shared" si="968"/>
        <v>2002.8400508188899</v>
      </c>
      <c r="L1822" s="8">
        <f t="shared" si="968"/>
        <v>1926.0594430442293</v>
      </c>
      <c r="M1822" s="8">
        <f t="shared" si="968"/>
        <v>1856.4298667219352</v>
      </c>
    </row>
    <row r="1823" spans="2:14" ht="15" hidden="1" outlineLevel="1" x14ac:dyDescent="0.25">
      <c r="E1823" s="30"/>
      <c r="F1823" s="522"/>
      <c r="G1823" s="8"/>
      <c r="H1823" s="8"/>
      <c r="I1823" s="8"/>
      <c r="J1823" s="8"/>
      <c r="K1823" s="8"/>
      <c r="L1823" s="8"/>
      <c r="M1823" s="8"/>
    </row>
    <row r="1824" spans="2:14" ht="15" hidden="1" outlineLevel="1" collapsed="1" x14ac:dyDescent="0.25">
      <c r="B1824" s="30" t="s">
        <v>1156</v>
      </c>
      <c r="C1824" s="30" t="str">
        <f>+B1824</f>
        <v>Capex, Opex, Raw Material &amp; Shares</v>
      </c>
      <c r="G1824" s="8"/>
      <c r="H1824" s="8"/>
      <c r="I1824" s="8"/>
      <c r="J1824" s="8"/>
      <c r="K1824" s="8"/>
      <c r="L1824" s="8"/>
      <c r="M1824" s="8"/>
    </row>
    <row r="1825" spans="2:13" ht="15" hidden="1" outlineLevel="2" x14ac:dyDescent="0.25">
      <c r="B1825" t="str">
        <f>+C1825&amp;D1825&amp;E1825&amp;F1825</f>
        <v>EuropeResultsTotal CAPEX Grey hydrogen (compressed)USD/ton</v>
      </c>
      <c r="C1825" t="str">
        <f>+C1818</f>
        <v>Europe</v>
      </c>
      <c r="D1825" t="s">
        <v>838</v>
      </c>
      <c r="E1825" s="30" t="str">
        <f>"Total CAPEX "&amp;$B$1817</f>
        <v>Total CAPEX Grey hydrogen (compressed)</v>
      </c>
      <c r="F1825" s="450" t="s">
        <v>205</v>
      </c>
      <c r="G1825" s="8">
        <f>+G1868</f>
        <v>274.84138167421179</v>
      </c>
      <c r="H1825" s="8">
        <f t="shared" ref="H1825:M1825" si="969">+H1868</f>
        <v>265.00000000000006</v>
      </c>
      <c r="I1825" s="8">
        <f t="shared" si="969"/>
        <v>255.51101356069626</v>
      </c>
      <c r="J1825" s="8">
        <f t="shared" si="969"/>
        <v>246.36180396533697</v>
      </c>
      <c r="K1825" s="8">
        <f t="shared" si="969"/>
        <v>237.54020465594266</v>
      </c>
      <c r="L1825" s="8">
        <f t="shared" si="969"/>
        <v>229.03448472850988</v>
      </c>
      <c r="M1825" s="8">
        <f t="shared" si="969"/>
        <v>220.83333333333337</v>
      </c>
    </row>
    <row r="1826" spans="2:13" ht="15" hidden="1" outlineLevel="2" x14ac:dyDescent="0.25">
      <c r="B1826" t="str">
        <f>+C1826&amp;D1826&amp;E1826&amp;F1826</f>
        <v>Middle EastResultsTotal CAPEX Grey hydrogen (compressed)USD/ton</v>
      </c>
      <c r="C1826" t="str">
        <f>+C1819</f>
        <v>Middle East</v>
      </c>
      <c r="D1826" t="s">
        <v>838</v>
      </c>
      <c r="E1826" s="30" t="str">
        <f t="shared" ref="E1826:E1829" si="970">"Total CAPEX "&amp;$B$1817</f>
        <v>Total CAPEX Grey hydrogen (compressed)</v>
      </c>
      <c r="F1826" s="450" t="s">
        <v>205</v>
      </c>
      <c r="G1826" s="8">
        <f t="shared" ref="G1826:M1826" si="971">+G1869</f>
        <v>274.84138167421179</v>
      </c>
      <c r="H1826" s="8">
        <f t="shared" si="971"/>
        <v>265.00000000000006</v>
      </c>
      <c r="I1826" s="8">
        <f t="shared" si="971"/>
        <v>255.51101356069626</v>
      </c>
      <c r="J1826" s="8">
        <f t="shared" si="971"/>
        <v>246.36180396533697</v>
      </c>
      <c r="K1826" s="8">
        <f t="shared" si="971"/>
        <v>237.54020465594266</v>
      </c>
      <c r="L1826" s="8">
        <f t="shared" si="971"/>
        <v>229.03448472850988</v>
      </c>
      <c r="M1826" s="8">
        <f t="shared" si="971"/>
        <v>220.83333333333337</v>
      </c>
    </row>
    <row r="1827" spans="2:13" ht="15" hidden="1" outlineLevel="2" x14ac:dyDescent="0.25">
      <c r="B1827" t="str">
        <f>+C1827&amp;D1827&amp;E1827&amp;F1827</f>
        <v>AsiaResultsTotal CAPEX Grey hydrogen (compressed)USD/ton</v>
      </c>
      <c r="C1827" t="str">
        <f>+C1820</f>
        <v>Asia</v>
      </c>
      <c r="D1827" t="s">
        <v>838</v>
      </c>
      <c r="E1827" s="30" t="str">
        <f t="shared" si="970"/>
        <v>Total CAPEX Grey hydrogen (compressed)</v>
      </c>
      <c r="F1827" s="450" t="s">
        <v>205</v>
      </c>
      <c r="G1827" s="8">
        <f t="shared" ref="G1827:M1827" si="972">+G1870</f>
        <v>274.84138167421179</v>
      </c>
      <c r="H1827" s="8">
        <f t="shared" si="972"/>
        <v>265.00000000000006</v>
      </c>
      <c r="I1827" s="8">
        <f t="shared" si="972"/>
        <v>255.51101356069626</v>
      </c>
      <c r="J1827" s="8">
        <f t="shared" si="972"/>
        <v>246.36180396533697</v>
      </c>
      <c r="K1827" s="8">
        <f t="shared" si="972"/>
        <v>237.54020465594266</v>
      </c>
      <c r="L1827" s="8">
        <f t="shared" si="972"/>
        <v>229.03448472850988</v>
      </c>
      <c r="M1827" s="8">
        <f t="shared" si="972"/>
        <v>220.83333333333337</v>
      </c>
    </row>
    <row r="1828" spans="2:13" ht="15" hidden="1" outlineLevel="2" x14ac:dyDescent="0.25">
      <c r="B1828" t="str">
        <f>+C1828&amp;D1828&amp;E1828&amp;F1828</f>
        <v>AmericasResultsTotal CAPEX Grey hydrogen (compressed)USD/ton</v>
      </c>
      <c r="C1828" t="str">
        <f>+C1821</f>
        <v>Americas</v>
      </c>
      <c r="D1828" t="s">
        <v>838</v>
      </c>
      <c r="E1828" s="30" t="str">
        <f t="shared" si="970"/>
        <v>Total CAPEX Grey hydrogen (compressed)</v>
      </c>
      <c r="F1828" s="450" t="s">
        <v>205</v>
      </c>
      <c r="G1828" s="8">
        <f t="shared" ref="G1828:M1828" si="973">+G1871</f>
        <v>274.84138167421179</v>
      </c>
      <c r="H1828" s="8">
        <f t="shared" si="973"/>
        <v>265.00000000000006</v>
      </c>
      <c r="I1828" s="8">
        <f t="shared" si="973"/>
        <v>255.51101356069626</v>
      </c>
      <c r="J1828" s="8">
        <f t="shared" si="973"/>
        <v>246.36180396533697</v>
      </c>
      <c r="K1828" s="8">
        <f t="shared" si="973"/>
        <v>237.54020465594266</v>
      </c>
      <c r="L1828" s="8">
        <f t="shared" si="973"/>
        <v>229.03448472850988</v>
      </c>
      <c r="M1828" s="8">
        <f t="shared" si="973"/>
        <v>220.83333333333337</v>
      </c>
    </row>
    <row r="1829" spans="2:13" ht="15" hidden="1" outlineLevel="2" x14ac:dyDescent="0.25">
      <c r="B1829" t="str">
        <f>+C1829&amp;D1829&amp;E1829&amp;F1829</f>
        <v>AfricaResultsTotal CAPEX Grey hydrogen (compressed)USD/ton</v>
      </c>
      <c r="C1829" t="str">
        <f>+C1822</f>
        <v>Africa</v>
      </c>
      <c r="D1829" t="s">
        <v>838</v>
      </c>
      <c r="E1829" s="30" t="str">
        <f t="shared" si="970"/>
        <v>Total CAPEX Grey hydrogen (compressed)</v>
      </c>
      <c r="F1829" s="450" t="s">
        <v>205</v>
      </c>
      <c r="G1829" s="8">
        <f t="shared" ref="G1829:M1829" si="974">+G1872</f>
        <v>274.84138167421179</v>
      </c>
      <c r="H1829" s="8">
        <f t="shared" si="974"/>
        <v>265.00000000000006</v>
      </c>
      <c r="I1829" s="8">
        <f t="shared" si="974"/>
        <v>255.51101356069626</v>
      </c>
      <c r="J1829" s="8">
        <f t="shared" si="974"/>
        <v>246.36180396533697</v>
      </c>
      <c r="K1829" s="8">
        <f t="shared" si="974"/>
        <v>237.54020465594266</v>
      </c>
      <c r="L1829" s="8">
        <f t="shared" si="974"/>
        <v>229.03448472850988</v>
      </c>
      <c r="M1829" s="8">
        <f t="shared" si="974"/>
        <v>220.83333333333337</v>
      </c>
    </row>
    <row r="1830" spans="2:13" ht="15" hidden="1" outlineLevel="2" x14ac:dyDescent="0.25">
      <c r="E1830" s="30"/>
    </row>
    <row r="1831" spans="2:13" ht="15" hidden="1" outlineLevel="2" x14ac:dyDescent="0.25">
      <c r="B1831" t="str">
        <f>+C1831&amp;D1831&amp;E1831&amp;F1831</f>
        <v>EuropeResultsTotal OPEX Grey hydrogen (compressed)USD/ton</v>
      </c>
      <c r="C1831" t="str">
        <f>+C1825</f>
        <v>Europe</v>
      </c>
      <c r="D1831" t="s">
        <v>838</v>
      </c>
      <c r="E1831" s="30" t="str">
        <f>"Total OPEX "&amp;$B$1817</f>
        <v>Total OPEX Grey hydrogen (compressed)</v>
      </c>
      <c r="F1831" s="450" t="s">
        <v>205</v>
      </c>
      <c r="G1831" s="87">
        <f>+G$1921+G1912</f>
        <v>414.73371361418128</v>
      </c>
      <c r="H1831" s="87">
        <f t="shared" ref="H1831:M1831" si="975">+H$1921+H1912</f>
        <v>346.38707160003844</v>
      </c>
      <c r="I1831" s="87">
        <f t="shared" si="975"/>
        <v>289.36157150851443</v>
      </c>
      <c r="J1831" s="87">
        <f t="shared" si="975"/>
        <v>245.2422642782675</v>
      </c>
      <c r="K1831" s="87">
        <f t="shared" si="975"/>
        <v>209.09944642215621</v>
      </c>
      <c r="L1831" s="87">
        <f t="shared" si="975"/>
        <v>178.2566532219092</v>
      </c>
      <c r="M1831" s="87">
        <f t="shared" si="975"/>
        <v>152.62535351580107</v>
      </c>
    </row>
    <row r="1832" spans="2:13" ht="15" hidden="1" outlineLevel="2" x14ac:dyDescent="0.25">
      <c r="B1832" t="str">
        <f>+C1832&amp;D1832&amp;E1832&amp;F1832</f>
        <v>Middle EastResultsTotal OPEX Grey hydrogen (compressed)USD/ton</v>
      </c>
      <c r="C1832" t="str">
        <f>+C1826</f>
        <v>Middle East</v>
      </c>
      <c r="D1832" t="s">
        <v>838</v>
      </c>
      <c r="E1832" s="30" t="str">
        <f t="shared" ref="E1832:E1835" si="976">"Total OPEX "&amp;$B$1817</f>
        <v>Total OPEX Grey hydrogen (compressed)</v>
      </c>
      <c r="F1832" s="450" t="s">
        <v>205</v>
      </c>
      <c r="G1832" s="550">
        <f>+G$1941+G1913</f>
        <v>401.42458534104952</v>
      </c>
      <c r="H1832" s="550">
        <f t="shared" ref="H1832:M1832" si="977">+H$1941+H1913</f>
        <v>335.44074358408926</v>
      </c>
      <c r="I1832" s="550">
        <f t="shared" si="977"/>
        <v>281.57583132699449</v>
      </c>
      <c r="J1832" s="550">
        <f t="shared" si="977"/>
        <v>237.12519231579512</v>
      </c>
      <c r="K1832" s="550">
        <f t="shared" si="977"/>
        <v>201.16757422436558</v>
      </c>
      <c r="L1832" s="550">
        <f t="shared" si="977"/>
        <v>170.03793900224738</v>
      </c>
      <c r="M1832" s="550">
        <f t="shared" si="977"/>
        <v>144.88603084652863</v>
      </c>
    </row>
    <row r="1833" spans="2:13" ht="15" hidden="1" outlineLevel="2" x14ac:dyDescent="0.25">
      <c r="B1833" t="str">
        <f>+C1833&amp;D1833&amp;E1833&amp;F1833</f>
        <v>AsiaResultsTotal OPEX Grey hydrogen (compressed)USD/ton</v>
      </c>
      <c r="C1833" t="str">
        <f>+C1827</f>
        <v>Asia</v>
      </c>
      <c r="D1833" t="s">
        <v>838</v>
      </c>
      <c r="E1833" s="30" t="str">
        <f t="shared" si="976"/>
        <v>Total OPEX Grey hydrogen (compressed)</v>
      </c>
      <c r="F1833" s="450" t="s">
        <v>205</v>
      </c>
      <c r="G1833" s="550">
        <f>+G$1961+G1914</f>
        <v>443.57213990628986</v>
      </c>
      <c r="H1833" s="550">
        <f t="shared" ref="H1833:M1833" si="978">+H$1961+H1914</f>
        <v>356.20462405305807</v>
      </c>
      <c r="I1833" s="550">
        <f t="shared" si="978"/>
        <v>297.27166656305604</v>
      </c>
      <c r="J1833" s="550">
        <f t="shared" si="978"/>
        <v>249.52071207402605</v>
      </c>
      <c r="K1833" s="550">
        <f t="shared" si="978"/>
        <v>211.85696699019536</v>
      </c>
      <c r="L1833" s="550">
        <f t="shared" si="978"/>
        <v>179.47280961667235</v>
      </c>
      <c r="M1833" s="550">
        <f t="shared" si="978"/>
        <v>153.77045878594058</v>
      </c>
    </row>
    <row r="1834" spans="2:13" ht="15" hidden="1" outlineLevel="2" x14ac:dyDescent="0.25">
      <c r="B1834" t="str">
        <f>+C1834&amp;D1834&amp;E1834&amp;F1834</f>
        <v>AmericasResultsTotal OPEX Grey hydrogen (compressed)USD/ton</v>
      </c>
      <c r="C1834" t="str">
        <f>+C1828</f>
        <v>Americas</v>
      </c>
      <c r="D1834" t="s">
        <v>838</v>
      </c>
      <c r="E1834" s="30" t="str">
        <f t="shared" si="976"/>
        <v>Total OPEX Grey hydrogen (compressed)</v>
      </c>
      <c r="F1834" s="450" t="s">
        <v>205</v>
      </c>
      <c r="G1834" s="550">
        <f>+G$1981+G1915</f>
        <v>398.32209543843595</v>
      </c>
      <c r="H1834" s="550">
        <f t="shared" ref="H1834:M1834" si="979">+H$1981+H1915</f>
        <v>336.92608895238675</v>
      </c>
      <c r="I1834" s="550">
        <f t="shared" si="979"/>
        <v>281.99722436228473</v>
      </c>
      <c r="J1834" s="550">
        <f t="shared" si="979"/>
        <v>238.30593224042261</v>
      </c>
      <c r="K1834" s="550">
        <f t="shared" si="979"/>
        <v>201.72570250751139</v>
      </c>
      <c r="L1834" s="550">
        <f t="shared" si="979"/>
        <v>172.16913411651427</v>
      </c>
      <c r="M1834" s="550">
        <f t="shared" si="979"/>
        <v>147.45000328915336</v>
      </c>
    </row>
    <row r="1835" spans="2:13" ht="15" hidden="1" outlineLevel="2" x14ac:dyDescent="0.25">
      <c r="B1835" t="str">
        <f>+C1835&amp;D1835&amp;E1835&amp;F1835</f>
        <v>AfricaResultsTotal OPEX Grey hydrogen (compressed)USD/ton</v>
      </c>
      <c r="C1835" t="str">
        <f>+C1829</f>
        <v>Africa</v>
      </c>
      <c r="D1835" t="s">
        <v>838</v>
      </c>
      <c r="E1835" s="30" t="str">
        <f t="shared" si="976"/>
        <v>Total OPEX Grey hydrogen (compressed)</v>
      </c>
      <c r="F1835" s="450" t="s">
        <v>205</v>
      </c>
      <c r="G1835" s="550">
        <f>+G$2001+G1916</f>
        <v>440.31467538446088</v>
      </c>
      <c r="H1835" s="550">
        <f t="shared" ref="H1835:M1835" si="980">+H$2001+H1916</f>
        <v>346.91062483884372</v>
      </c>
      <c r="I1835" s="550">
        <f t="shared" si="980"/>
        <v>288.68947848669677</v>
      </c>
      <c r="J1835" s="550">
        <f t="shared" si="980"/>
        <v>242.64142179807067</v>
      </c>
      <c r="K1835" s="550">
        <f t="shared" si="980"/>
        <v>206.05486991294734</v>
      </c>
      <c r="L1835" s="550">
        <f t="shared" si="980"/>
        <v>174.84690204071944</v>
      </c>
      <c r="M1835" s="550">
        <f t="shared" si="980"/>
        <v>149.5965333886017</v>
      </c>
    </row>
    <row r="1836" spans="2:13" ht="15" hidden="1" outlineLevel="2" x14ac:dyDescent="0.25">
      <c r="E1836" s="30"/>
      <c r="G1836" s="8"/>
      <c r="H1836" s="8"/>
      <c r="I1836" s="8"/>
      <c r="J1836" s="8"/>
      <c r="K1836" s="8"/>
      <c r="L1836" s="8"/>
      <c r="M1836" s="8"/>
    </row>
    <row r="1837" spans="2:13" ht="15" hidden="1" outlineLevel="2" x14ac:dyDescent="0.25">
      <c r="B1837" t="str">
        <f>+C1837&amp;D1837&amp;E1837&amp;F1837</f>
        <v>EuropeResultsTotal Raw Material Grey hydrogen (compressed)USD/ton</v>
      </c>
      <c r="C1837" t="str">
        <f>+C1825</f>
        <v>Europe</v>
      </c>
      <c r="D1837" t="s">
        <v>838</v>
      </c>
      <c r="E1837" s="30" t="str">
        <f>"Total Raw Material "&amp;$B$1817</f>
        <v>Total Raw Material Grey hydrogen (compressed)</v>
      </c>
      <c r="F1837" s="450" t="s">
        <v>205</v>
      </c>
      <c r="G1837" s="8">
        <f>+G1880</f>
        <v>6275.4859720000004</v>
      </c>
      <c r="H1837" s="8">
        <f t="shared" ref="H1837:M1837" si="981">+H1880</f>
        <v>2450</v>
      </c>
      <c r="I1837" s="8">
        <f t="shared" si="981"/>
        <v>1622.633297975</v>
      </c>
      <c r="J1837" s="8">
        <f t="shared" si="981"/>
        <v>1583.722598525</v>
      </c>
      <c r="K1837" s="8">
        <f t="shared" si="981"/>
        <v>1545.74497625</v>
      </c>
      <c r="L1837" s="8">
        <f t="shared" si="981"/>
        <v>1508.678056275</v>
      </c>
      <c r="M1837" s="8">
        <f t="shared" si="981"/>
        <v>1472.5</v>
      </c>
    </row>
    <row r="1838" spans="2:13" ht="15" hidden="1" outlineLevel="2" x14ac:dyDescent="0.25">
      <c r="B1838" t="str">
        <f>+C1838&amp;D1838&amp;E1838&amp;F1838</f>
        <v>Middle EastResultsTotal Raw Material Grey hydrogen (compressed)USD/ton</v>
      </c>
      <c r="C1838" t="str">
        <f>+C1826</f>
        <v>Middle East</v>
      </c>
      <c r="D1838" t="s">
        <v>838</v>
      </c>
      <c r="E1838" s="30" t="str">
        <f t="shared" ref="E1838:E1841" si="982">"Total Raw Material "&amp;$B$1817</f>
        <v>Total Raw Material Grey hydrogen (compressed)</v>
      </c>
      <c r="F1838" s="450" t="s">
        <v>205</v>
      </c>
      <c r="G1838" s="8">
        <f t="shared" ref="G1838:M1838" si="983">+G1881</f>
        <v>5033.8887776000001</v>
      </c>
      <c r="H1838" s="8">
        <f t="shared" si="983"/>
        <v>1851</v>
      </c>
      <c r="I1838" s="8">
        <f t="shared" si="983"/>
        <v>508.83016464499997</v>
      </c>
      <c r="J1838" s="8">
        <f t="shared" si="983"/>
        <v>496.952161655</v>
      </c>
      <c r="K1838" s="8">
        <f t="shared" si="983"/>
        <v>485.35899274999997</v>
      </c>
      <c r="L1838" s="8">
        <f t="shared" si="983"/>
        <v>474.04382770500001</v>
      </c>
      <c r="M1838" s="8">
        <f t="shared" si="983"/>
        <v>463</v>
      </c>
    </row>
    <row r="1839" spans="2:13" ht="15" hidden="1" outlineLevel="2" x14ac:dyDescent="0.25">
      <c r="B1839" t="str">
        <f>+C1839&amp;D1839&amp;E1839&amp;F1839</f>
        <v>AsiaResultsTotal Raw Material Grey hydrogen (compressed)USD/ton</v>
      </c>
      <c r="C1839" t="str">
        <f>+C1827</f>
        <v>Asia</v>
      </c>
      <c r="D1839" t="s">
        <v>838</v>
      </c>
      <c r="E1839" s="30" t="str">
        <f t="shared" si="982"/>
        <v>Total Raw Material Grey hydrogen (compressed)</v>
      </c>
      <c r="F1839" s="450" t="s">
        <v>205</v>
      </c>
      <c r="G1839" s="8">
        <f t="shared" ref="G1839:M1839" si="984">+G1882</f>
        <v>5751.0871744000005</v>
      </c>
      <c r="H1839" s="8">
        <f t="shared" si="984"/>
        <v>2551</v>
      </c>
      <c r="I1839" s="8">
        <f t="shared" si="984"/>
        <v>1209.1245353499999</v>
      </c>
      <c r="J1839" s="8">
        <f t="shared" si="984"/>
        <v>1180.4534936500002</v>
      </c>
      <c r="K1839" s="8">
        <f t="shared" si="984"/>
        <v>1152.4699825</v>
      </c>
      <c r="L1839" s="8">
        <f t="shared" si="984"/>
        <v>1125.1575151500001</v>
      </c>
      <c r="M1839" s="8">
        <f t="shared" si="984"/>
        <v>1098.5</v>
      </c>
    </row>
    <row r="1840" spans="2:13" ht="15" hidden="1" outlineLevel="2" x14ac:dyDescent="0.25">
      <c r="B1840" t="str">
        <f>+C1840&amp;D1840&amp;E1840&amp;F1840</f>
        <v>AmericasResultsTotal Raw Material Grey hydrogen (compressed)USD/ton</v>
      </c>
      <c r="C1840" t="str">
        <f>+C1828</f>
        <v>Americas</v>
      </c>
      <c r="D1840" t="s">
        <v>838</v>
      </c>
      <c r="E1840" s="30" t="str">
        <f t="shared" si="982"/>
        <v>Total Raw Material Grey hydrogen (compressed)</v>
      </c>
      <c r="F1840" s="450" t="s">
        <v>205</v>
      </c>
      <c r="G1840" s="8">
        <f t="shared" ref="G1840:M1840" si="985">+G1883</f>
        <v>1268.5971944</v>
      </c>
      <c r="H1840" s="8">
        <f t="shared" si="985"/>
        <v>818.5</v>
      </c>
      <c r="I1840" s="8">
        <f t="shared" si="985"/>
        <v>765.03542221999999</v>
      </c>
      <c r="J1840" s="8">
        <f t="shared" si="985"/>
        <v>847.03820975000008</v>
      </c>
      <c r="K1840" s="8">
        <f t="shared" si="985"/>
        <v>827.04998749999993</v>
      </c>
      <c r="L1840" s="8">
        <f t="shared" si="985"/>
        <v>807.54108225000004</v>
      </c>
      <c r="M1840" s="8">
        <f t="shared" si="985"/>
        <v>788.5</v>
      </c>
    </row>
    <row r="1841" spans="2:13" ht="15" hidden="1" outlineLevel="2" x14ac:dyDescent="0.25">
      <c r="B1841" t="str">
        <f>+C1841&amp;D1841&amp;E1841&amp;F1841</f>
        <v>AfricaResultsTotal Raw Material Grey hydrogen (compressed)USD/ton</v>
      </c>
      <c r="C1841" t="str">
        <f>+C1829</f>
        <v>Africa</v>
      </c>
      <c r="D1841" t="s">
        <v>838</v>
      </c>
      <c r="E1841" s="30" t="str">
        <f t="shared" si="982"/>
        <v>Total Raw Material Grey hydrogen (compressed)</v>
      </c>
      <c r="F1841" s="450" t="s">
        <v>205</v>
      </c>
      <c r="G1841" s="8">
        <f t="shared" ref="G1841:M1841" si="986">+G1884</f>
        <v>6288.9859720000004</v>
      </c>
      <c r="H1841" s="8">
        <f t="shared" si="986"/>
        <v>2463.5</v>
      </c>
      <c r="I1841" s="8">
        <f t="shared" si="986"/>
        <v>1636.133297975</v>
      </c>
      <c r="J1841" s="8">
        <f t="shared" si="986"/>
        <v>1597.222598525</v>
      </c>
      <c r="K1841" s="8">
        <f t="shared" si="986"/>
        <v>1559.24497625</v>
      </c>
      <c r="L1841" s="8">
        <f t="shared" si="986"/>
        <v>1522.178056275</v>
      </c>
      <c r="M1841" s="8">
        <f t="shared" si="986"/>
        <v>1486</v>
      </c>
    </row>
    <row r="1842" spans="2:13" ht="15" hidden="1" outlineLevel="2" x14ac:dyDescent="0.25">
      <c r="E1842" s="30"/>
      <c r="G1842" s="8"/>
      <c r="H1842" s="8"/>
      <c r="I1842" s="8"/>
      <c r="J1842" s="8"/>
      <c r="K1842" s="8"/>
      <c r="L1842" s="8"/>
      <c r="M1842" s="8"/>
    </row>
    <row r="1843" spans="2:13" ht="15" hidden="1" outlineLevel="2" x14ac:dyDescent="0.25">
      <c r="B1843" t="str">
        <f>+C1843&amp;D1843&amp;E1843&amp;F1843</f>
        <v>EuropeResultsShare of Capex Grey hydrogen (compressed)%</v>
      </c>
      <c r="C1843" t="str">
        <f>+C1825</f>
        <v>Europe</v>
      </c>
      <c r="D1843" t="s">
        <v>838</v>
      </c>
      <c r="E1843" s="30" t="s">
        <v>1157</v>
      </c>
      <c r="F1843" s="450" t="s">
        <v>178</v>
      </c>
      <c r="G1843" s="9">
        <f>+G1825/G1818</f>
        <v>3.9460010331425828E-2</v>
      </c>
      <c r="H1843" s="9">
        <f t="shared" ref="H1843:M1843" si="987">+H1825/H1818</f>
        <v>8.6562069350314935E-2</v>
      </c>
      <c r="I1843" s="9">
        <f t="shared" si="987"/>
        <v>0.11788250060103049</v>
      </c>
      <c r="J1843" s="9">
        <f t="shared" si="987"/>
        <v>0.11870989175354046</v>
      </c>
      <c r="K1843" s="9">
        <f t="shared" si="987"/>
        <v>0.11922407019095384</v>
      </c>
      <c r="L1843" s="9">
        <f t="shared" si="987"/>
        <v>0.11953975325845627</v>
      </c>
      <c r="M1843" s="9">
        <f t="shared" si="987"/>
        <v>0.11963070187138024</v>
      </c>
    </row>
    <row r="1844" spans="2:13" ht="15" hidden="1" outlineLevel="2" x14ac:dyDescent="0.25">
      <c r="B1844" t="str">
        <f>+C1844&amp;D1844&amp;E1844&amp;F1844</f>
        <v>Middle EastResultsShare of Capex Grey hydrogen (compressed)%</v>
      </c>
      <c r="C1844" t="str">
        <f t="shared" ref="C1844:C1859" si="988">+C1826</f>
        <v>Middle East</v>
      </c>
      <c r="D1844" t="s">
        <v>838</v>
      </c>
      <c r="E1844" s="30" t="s">
        <v>1157</v>
      </c>
      <c r="F1844" s="450" t="s">
        <v>178</v>
      </c>
      <c r="G1844" s="9">
        <f t="shared" ref="G1844:M1844" si="989">+G1826/G1819</f>
        <v>4.8132037390648696E-2</v>
      </c>
      <c r="H1844" s="9">
        <f t="shared" si="989"/>
        <v>0.10809969634940515</v>
      </c>
      <c r="I1844" s="9">
        <f t="shared" si="989"/>
        <v>0.24429377401067123</v>
      </c>
      <c r="J1844" s="9">
        <f t="shared" si="989"/>
        <v>0.25127699355046113</v>
      </c>
      <c r="K1844" s="9">
        <f t="shared" si="989"/>
        <v>0.2570595674994961</v>
      </c>
      <c r="L1844" s="9">
        <f t="shared" si="989"/>
        <v>0.2623184305089778</v>
      </c>
      <c r="M1844" s="9">
        <f t="shared" si="989"/>
        <v>0.26647541119288315</v>
      </c>
    </row>
    <row r="1845" spans="2:13" ht="15" hidden="1" outlineLevel="2" x14ac:dyDescent="0.25">
      <c r="B1845" t="str">
        <f>+C1845&amp;D1845&amp;E1845&amp;F1845</f>
        <v>AsiaResultsShare of Capex Grey hydrogen (compressed)%</v>
      </c>
      <c r="C1845" t="str">
        <f t="shared" si="988"/>
        <v>Asia</v>
      </c>
      <c r="D1845" t="s">
        <v>838</v>
      </c>
      <c r="E1845" s="30" t="s">
        <v>1157</v>
      </c>
      <c r="F1845" s="450" t="s">
        <v>178</v>
      </c>
      <c r="G1845" s="9">
        <f t="shared" ref="G1845:M1845" si="990">+G1827/G1820</f>
        <v>4.248262649464906E-2</v>
      </c>
      <c r="H1845" s="9">
        <f t="shared" si="990"/>
        <v>8.3538116674647306E-2</v>
      </c>
      <c r="I1845" s="9">
        <f t="shared" si="990"/>
        <v>0.14501956250402945</v>
      </c>
      <c r="J1845" s="9">
        <f t="shared" si="990"/>
        <v>0.1469644525568532</v>
      </c>
      <c r="K1845" s="9">
        <f t="shared" si="990"/>
        <v>0.14828957822196029</v>
      </c>
      <c r="L1845" s="9">
        <f t="shared" si="990"/>
        <v>0.14933803221572148</v>
      </c>
      <c r="M1845" s="9">
        <f t="shared" si="990"/>
        <v>0.14991023342328955</v>
      </c>
    </row>
    <row r="1846" spans="2:13" ht="15" hidden="1" outlineLevel="2" x14ac:dyDescent="0.25">
      <c r="B1846" t="str">
        <f>+C1846&amp;D1846&amp;E1846&amp;F1846</f>
        <v>AmericasResultsShare of Capex Grey hydrogen (compressed)%</v>
      </c>
      <c r="C1846" t="str">
        <f t="shared" si="988"/>
        <v>Americas</v>
      </c>
      <c r="D1846" t="s">
        <v>838</v>
      </c>
      <c r="E1846" s="30" t="s">
        <v>1157</v>
      </c>
      <c r="F1846" s="450" t="s">
        <v>178</v>
      </c>
      <c r="G1846" s="9">
        <f t="shared" ref="G1846:M1846" si="991">+G1828/G1821</f>
        <v>0.14154235674168233</v>
      </c>
      <c r="H1846" s="9">
        <f t="shared" si="991"/>
        <v>0.1865637375017849</v>
      </c>
      <c r="I1846" s="9">
        <f t="shared" si="991"/>
        <v>0.19616310867664019</v>
      </c>
      <c r="J1846" s="9">
        <f t="shared" si="991"/>
        <v>0.18499714949348234</v>
      </c>
      <c r="K1846" s="9">
        <f t="shared" si="991"/>
        <v>0.18758368718026178</v>
      </c>
      <c r="L1846" s="9">
        <f t="shared" si="991"/>
        <v>0.18948127302731774</v>
      </c>
      <c r="M1846" s="9">
        <f t="shared" si="991"/>
        <v>0.19090293431967179</v>
      </c>
    </row>
    <row r="1847" spans="2:13" ht="15" hidden="1" outlineLevel="2" x14ac:dyDescent="0.25">
      <c r="B1847" t="str">
        <f>+C1847&amp;D1847&amp;E1847&amp;F1847</f>
        <v>AfricaResultsShare of Capex Grey hydrogen (compressed)%</v>
      </c>
      <c r="C1847" t="str">
        <f t="shared" si="988"/>
        <v>Africa</v>
      </c>
      <c r="D1847" t="s">
        <v>838</v>
      </c>
      <c r="E1847" s="30" t="s">
        <v>1157</v>
      </c>
      <c r="F1847" s="450" t="s">
        <v>178</v>
      </c>
      <c r="G1847" s="9">
        <f t="shared" ref="G1847:M1847" si="992">+G1829/G1822</f>
        <v>3.923983559070536E-2</v>
      </c>
      <c r="H1847" s="9">
        <f t="shared" si="992"/>
        <v>8.6167355298737203E-2</v>
      </c>
      <c r="I1847" s="9">
        <f t="shared" si="992"/>
        <v>0.11718894360577335</v>
      </c>
      <c r="J1847" s="9">
        <f t="shared" si="992"/>
        <v>0.11808971066177301</v>
      </c>
      <c r="K1847" s="9">
        <f t="shared" si="992"/>
        <v>0.11860168492177942</v>
      </c>
      <c r="L1847" s="9">
        <f t="shared" si="992"/>
        <v>0.11891350786479876</v>
      </c>
      <c r="M1847" s="9">
        <f t="shared" si="992"/>
        <v>0.11895592572170723</v>
      </c>
    </row>
    <row r="1848" spans="2:13" ht="15" hidden="1" outlineLevel="2" x14ac:dyDescent="0.25">
      <c r="E1848" s="30"/>
    </row>
    <row r="1849" spans="2:13" ht="15" hidden="1" outlineLevel="2" x14ac:dyDescent="0.25">
      <c r="B1849" t="str">
        <f>+C1849&amp;D1849&amp;E1849&amp;F1849</f>
        <v>EuropeResultsShare of Opex Grey hydrogen (compressed)%</v>
      </c>
      <c r="C1849" t="str">
        <f t="shared" si="988"/>
        <v>Europe</v>
      </c>
      <c r="D1849" t="s">
        <v>838</v>
      </c>
      <c r="E1849" s="30" t="s">
        <v>1158</v>
      </c>
      <c r="F1849" s="450" t="s">
        <v>178</v>
      </c>
      <c r="G1849" s="9">
        <f>+G1831/G1818</f>
        <v>5.9544878301496872E-2</v>
      </c>
      <c r="H1849" s="9">
        <f t="shared" ref="H1849:M1849" si="993">+H1831/H1818</f>
        <v>0.11314710080715104</v>
      </c>
      <c r="I1849" s="9">
        <f t="shared" si="993"/>
        <v>0.13349978598540779</v>
      </c>
      <c r="J1849" s="9">
        <f t="shared" si="993"/>
        <v>0.11817043948079892</v>
      </c>
      <c r="K1849" s="9">
        <f t="shared" si="993"/>
        <v>0.10494933736894491</v>
      </c>
      <c r="L1849" s="9">
        <f t="shared" si="993"/>
        <v>9.3037327405451384E-2</v>
      </c>
      <c r="M1849" s="9">
        <f t="shared" si="993"/>
        <v>8.2680806782473096E-2</v>
      </c>
    </row>
    <row r="1850" spans="2:13" ht="15" hidden="1" outlineLevel="2" x14ac:dyDescent="0.25">
      <c r="B1850" t="str">
        <f>+C1850&amp;D1850&amp;E1850&amp;F1850</f>
        <v>Middle EastResultsShare of Opex Grey hydrogen (compressed)%</v>
      </c>
      <c r="C1850" t="str">
        <f t="shared" si="988"/>
        <v>Middle East</v>
      </c>
      <c r="D1850" t="s">
        <v>838</v>
      </c>
      <c r="E1850" s="30" t="s">
        <v>1158</v>
      </c>
      <c r="F1850" s="450" t="s">
        <v>178</v>
      </c>
      <c r="G1850" s="9">
        <f t="shared" ref="G1850:M1850" si="994">+G1832/G1819</f>
        <v>7.0300123778536366E-2</v>
      </c>
      <c r="H1850" s="9">
        <f t="shared" si="994"/>
        <v>0.13683412273456119</v>
      </c>
      <c r="I1850" s="9">
        <f t="shared" si="994"/>
        <v>0.26921431505622118</v>
      </c>
      <c r="J1850" s="9">
        <f t="shared" si="994"/>
        <v>0.24185610131581667</v>
      </c>
      <c r="K1850" s="9">
        <f t="shared" si="994"/>
        <v>0.21769809325515579</v>
      </c>
      <c r="L1850" s="9">
        <f t="shared" si="994"/>
        <v>0.19474833817677317</v>
      </c>
      <c r="M1850" s="9">
        <f t="shared" si="994"/>
        <v>0.17483123613252888</v>
      </c>
    </row>
    <row r="1851" spans="2:13" ht="15" hidden="1" outlineLevel="2" x14ac:dyDescent="0.25">
      <c r="B1851" t="str">
        <f>+C1851&amp;D1851&amp;E1851&amp;F1851</f>
        <v>AsiaResultsShare of Opex Grey hydrogen (compressed)%</v>
      </c>
      <c r="C1851" t="str">
        <f t="shared" si="988"/>
        <v>Asia</v>
      </c>
      <c r="D1851" t="s">
        <v>838</v>
      </c>
      <c r="E1851" s="30" t="s">
        <v>1158</v>
      </c>
      <c r="F1851" s="450" t="s">
        <v>178</v>
      </c>
      <c r="G1851" s="9">
        <f t="shared" ref="G1851:M1851" si="995">+G1833/G1820</f>
        <v>6.8563581758617181E-2</v>
      </c>
      <c r="H1851" s="9">
        <f t="shared" si="995"/>
        <v>0.11228929601582355</v>
      </c>
      <c r="I1851" s="9">
        <f t="shared" si="995"/>
        <v>0.16872152174206509</v>
      </c>
      <c r="J1851" s="9">
        <f t="shared" si="995"/>
        <v>0.14884886480501247</v>
      </c>
      <c r="K1851" s="9">
        <f t="shared" si="995"/>
        <v>0.13225626509779079</v>
      </c>
      <c r="L1851" s="9">
        <f t="shared" si="995"/>
        <v>0.11702218666394726</v>
      </c>
      <c r="M1851" s="9">
        <f t="shared" si="995"/>
        <v>0.10438535261980381</v>
      </c>
    </row>
    <row r="1852" spans="2:13" ht="15" hidden="1" outlineLevel="2" x14ac:dyDescent="0.25">
      <c r="B1852" t="str">
        <f>+C1852&amp;D1852&amp;E1852&amp;F1852</f>
        <v>AmericasResultsShare of Opex Grey hydrogen (compressed)%</v>
      </c>
      <c r="C1852" t="str">
        <f t="shared" si="988"/>
        <v>Americas</v>
      </c>
      <c r="D1852" t="s">
        <v>838</v>
      </c>
      <c r="E1852" s="30" t="s">
        <v>1158</v>
      </c>
      <c r="F1852" s="450" t="s">
        <v>178</v>
      </c>
      <c r="G1852" s="9">
        <f t="shared" ref="G1852:M1852" si="996">+G1834/G1821</f>
        <v>0.20513449534856412</v>
      </c>
      <c r="H1852" s="9">
        <f t="shared" si="996"/>
        <v>0.237200718554023</v>
      </c>
      <c r="I1852" s="9">
        <f t="shared" si="996"/>
        <v>0.21649732979494116</v>
      </c>
      <c r="J1852" s="9">
        <f t="shared" si="996"/>
        <v>0.17894786229957954</v>
      </c>
      <c r="K1852" s="9">
        <f t="shared" si="996"/>
        <v>0.15930124809901686</v>
      </c>
      <c r="L1852" s="9">
        <f t="shared" si="996"/>
        <v>0.14243630930546627</v>
      </c>
      <c r="M1852" s="9">
        <f t="shared" si="996"/>
        <v>0.12746553189439078</v>
      </c>
    </row>
    <row r="1853" spans="2:13" ht="15" hidden="1" outlineLevel="2" x14ac:dyDescent="0.25">
      <c r="B1853" t="str">
        <f>+C1853&amp;D1853&amp;E1853&amp;F1853</f>
        <v>AfricaResultsShare of Opex Grey hydrogen (compressed)%</v>
      </c>
      <c r="C1853" t="str">
        <f t="shared" si="988"/>
        <v>Africa</v>
      </c>
      <c r="D1853" t="s">
        <v>838</v>
      </c>
      <c r="E1853" s="30" t="s">
        <v>1158</v>
      </c>
      <c r="F1853" s="450" t="s">
        <v>178</v>
      </c>
      <c r="G1853" s="9">
        <f t="shared" ref="G1853:M1853" si="997">+G1835/G1822</f>
        <v>6.2864898164213451E-2</v>
      </c>
      <c r="H1853" s="9">
        <f t="shared" si="997"/>
        <v>0.11280140025432291</v>
      </c>
      <c r="I1853" s="9">
        <f t="shared" si="997"/>
        <v>0.13240609296053327</v>
      </c>
      <c r="J1853" s="9">
        <f t="shared" si="997"/>
        <v>0.11630640315788125</v>
      </c>
      <c r="K1853" s="9">
        <f t="shared" si="997"/>
        <v>0.10288134083832548</v>
      </c>
      <c r="L1853" s="9">
        <f t="shared" si="997"/>
        <v>9.077959804000936E-2</v>
      </c>
      <c r="M1853" s="9">
        <f t="shared" si="997"/>
        <v>8.0582916742638774E-2</v>
      </c>
    </row>
    <row r="1854" spans="2:13" ht="15" hidden="1" outlineLevel="2" x14ac:dyDescent="0.25">
      <c r="E1854" s="30"/>
      <c r="G1854" s="8"/>
      <c r="H1854" s="8"/>
      <c r="I1854" s="8"/>
      <c r="J1854" s="8"/>
      <c r="K1854" s="8"/>
      <c r="L1854" s="8"/>
      <c r="M1854" s="8"/>
    </row>
    <row r="1855" spans="2:13" ht="15" hidden="1" outlineLevel="2" x14ac:dyDescent="0.25">
      <c r="B1855" t="str">
        <f>+C1855&amp;D1855&amp;E1855&amp;F1855</f>
        <v>EuropeResultsShare of Raw Material Grey hydrogen (compressed)%</v>
      </c>
      <c r="C1855" t="str">
        <f t="shared" si="988"/>
        <v>Europe</v>
      </c>
      <c r="D1855" t="s">
        <v>838</v>
      </c>
      <c r="E1855" s="30" t="s">
        <v>1159</v>
      </c>
      <c r="F1855" s="450" t="s">
        <v>178</v>
      </c>
      <c r="G1855" s="9">
        <f>+G1837/G1818</f>
        <v>0.90099511136707733</v>
      </c>
      <c r="H1855" s="9">
        <f t="shared" ref="H1855:M1855" si="998">+H1837/H1818</f>
        <v>0.80029082984253408</v>
      </c>
      <c r="I1855" s="9">
        <f t="shared" si="998"/>
        <v>0.74861771341356187</v>
      </c>
      <c r="J1855" s="9">
        <f t="shared" si="998"/>
        <v>0.76311966876566062</v>
      </c>
      <c r="K1855" s="9">
        <f t="shared" si="998"/>
        <v>0.77582659244010133</v>
      </c>
      <c r="L1855" s="9">
        <f t="shared" si="998"/>
        <v>0.78742291933609232</v>
      </c>
      <c r="M1855" s="9">
        <f t="shared" si="998"/>
        <v>0.7976884913461465</v>
      </c>
    </row>
    <row r="1856" spans="2:13" ht="15" hidden="1" outlineLevel="2" x14ac:dyDescent="0.25">
      <c r="B1856" t="str">
        <f>+C1856&amp;D1856&amp;E1856&amp;F1856</f>
        <v>Middle EastResultsShare of Raw Material Grey hydrogen (compressed)%</v>
      </c>
      <c r="C1856" t="str">
        <f t="shared" si="988"/>
        <v>Middle East</v>
      </c>
      <c r="D1856" t="s">
        <v>838</v>
      </c>
      <c r="E1856" s="30" t="s">
        <v>1159</v>
      </c>
      <c r="F1856" s="450" t="s">
        <v>178</v>
      </c>
      <c r="G1856" s="9">
        <f t="shared" ref="G1856:M1856" si="999">+G1838/G1819</f>
        <v>0.88156783883081502</v>
      </c>
      <c r="H1856" s="9">
        <f t="shared" si="999"/>
        <v>0.75506618091603361</v>
      </c>
      <c r="I1856" s="9">
        <f t="shared" si="999"/>
        <v>0.48649191093310751</v>
      </c>
      <c r="J1856" s="9">
        <f t="shared" si="999"/>
        <v>0.50686690513372235</v>
      </c>
      <c r="K1856" s="9">
        <f t="shared" si="999"/>
        <v>0.52524233924534813</v>
      </c>
      <c r="L1856" s="9">
        <f t="shared" si="999"/>
        <v>0.54293323131424898</v>
      </c>
      <c r="M1856" s="9">
        <f t="shared" si="999"/>
        <v>0.55869335267458808</v>
      </c>
    </row>
    <row r="1857" spans="2:14" ht="15" hidden="1" outlineLevel="2" x14ac:dyDescent="0.25">
      <c r="B1857" t="str">
        <f>+C1857&amp;D1857&amp;E1857&amp;F1857</f>
        <v>AsiaResultsShare of Raw Material Grey hydrogen (compressed)%</v>
      </c>
      <c r="C1857" t="str">
        <f t="shared" si="988"/>
        <v>Asia</v>
      </c>
      <c r="D1857" t="s">
        <v>838</v>
      </c>
      <c r="E1857" s="30" t="s">
        <v>1159</v>
      </c>
      <c r="F1857" s="450" t="s">
        <v>178</v>
      </c>
      <c r="G1857" s="9">
        <f t="shared" ref="G1857:M1857" si="1000">+G1839/G1820</f>
        <v>0.88895379174673383</v>
      </c>
      <c r="H1857" s="9">
        <f t="shared" si="1000"/>
        <v>0.80417258730952912</v>
      </c>
      <c r="I1857" s="9">
        <f t="shared" si="1000"/>
        <v>0.68625891575390552</v>
      </c>
      <c r="J1857" s="9">
        <f t="shared" si="1000"/>
        <v>0.70418668263813444</v>
      </c>
      <c r="K1857" s="9">
        <f t="shared" si="1000"/>
        <v>0.71945415668024892</v>
      </c>
      <c r="L1857" s="9">
        <f t="shared" si="1000"/>
        <v>0.73363978112033124</v>
      </c>
      <c r="M1857" s="9">
        <f t="shared" si="1000"/>
        <v>0.74570441395690668</v>
      </c>
    </row>
    <row r="1858" spans="2:14" ht="15" hidden="1" outlineLevel="2" x14ac:dyDescent="0.25">
      <c r="B1858" t="str">
        <f>+C1858&amp;D1858&amp;E1858&amp;F1858</f>
        <v>AmericasResultsShare of Raw Material Grey hydrogen (compressed)%</v>
      </c>
      <c r="C1858" t="str">
        <f t="shared" si="988"/>
        <v>Americas</v>
      </c>
      <c r="D1858" t="s">
        <v>838</v>
      </c>
      <c r="E1858" s="30" t="s">
        <v>1159</v>
      </c>
      <c r="F1858" s="450" t="s">
        <v>178</v>
      </c>
      <c r="G1858" s="9">
        <f t="shared" ref="G1858:M1858" si="1001">+G1840/G1821</f>
        <v>0.65332314790975365</v>
      </c>
      <c r="H1858" s="9">
        <f t="shared" si="1001"/>
        <v>0.57623554394419207</v>
      </c>
      <c r="I1858" s="9">
        <f t="shared" si="1001"/>
        <v>0.5873395615284186</v>
      </c>
      <c r="J1858" s="9">
        <f t="shared" si="1001"/>
        <v>0.63605498820693807</v>
      </c>
      <c r="K1858" s="9">
        <f t="shared" si="1001"/>
        <v>0.65311506472072134</v>
      </c>
      <c r="L1858" s="9">
        <f t="shared" si="1001"/>
        <v>0.66808241766721588</v>
      </c>
      <c r="M1858" s="9">
        <f t="shared" si="1001"/>
        <v>0.68163153378593744</v>
      </c>
    </row>
    <row r="1859" spans="2:14" ht="15" hidden="1" outlineLevel="2" x14ac:dyDescent="0.25">
      <c r="B1859" t="str">
        <f>+C1859&amp;D1859&amp;E1859&amp;F1859</f>
        <v>AfricaResultsShare of Raw Material Grey hydrogen (compressed)%</v>
      </c>
      <c r="C1859" t="str">
        <f t="shared" si="988"/>
        <v>Africa</v>
      </c>
      <c r="D1859" t="s">
        <v>838</v>
      </c>
      <c r="E1859" s="30" t="s">
        <v>1159</v>
      </c>
      <c r="F1859" s="450" t="s">
        <v>178</v>
      </c>
      <c r="G1859" s="9">
        <f t="shared" ref="G1859:M1859" si="1002">+G1841/G1822</f>
        <v>0.8978952662450812</v>
      </c>
      <c r="H1859" s="9">
        <f t="shared" si="1002"/>
        <v>0.80103124444693985</v>
      </c>
      <c r="I1859" s="9">
        <f t="shared" si="1002"/>
        <v>0.75040496343369345</v>
      </c>
      <c r="J1859" s="9">
        <f t="shared" si="1002"/>
        <v>0.76560388618034569</v>
      </c>
      <c r="K1859" s="9">
        <f t="shared" si="1002"/>
        <v>0.77851697423989519</v>
      </c>
      <c r="L1859" s="9">
        <f t="shared" si="1002"/>
        <v>0.79030689409519195</v>
      </c>
      <c r="M1859" s="9">
        <f t="shared" si="1002"/>
        <v>0.80046115753565394</v>
      </c>
    </row>
    <row r="1860" spans="2:14" ht="15" hidden="1" outlineLevel="1" x14ac:dyDescent="0.25">
      <c r="B1860" s="12"/>
      <c r="E1860" s="30"/>
      <c r="G1860" s="520"/>
      <c r="H1860" s="549"/>
      <c r="I1860" s="549"/>
      <c r="J1860" s="549"/>
      <c r="K1860" s="549"/>
      <c r="L1860" s="549"/>
      <c r="M1860" s="549"/>
      <c r="N1860" s="93"/>
    </row>
    <row r="1861" spans="2:14" ht="15" hidden="1" outlineLevel="1" collapsed="1" x14ac:dyDescent="0.25">
      <c r="B1861" s="30" t="s">
        <v>1160</v>
      </c>
      <c r="C1861" s="30" t="str">
        <f>+B1861</f>
        <v>Grey Hydrogen</v>
      </c>
      <c r="E1861" s="30"/>
      <c r="G1861" s="520"/>
      <c r="H1861" s="549"/>
      <c r="I1861" s="549"/>
      <c r="J1861" s="549"/>
      <c r="K1861" s="549"/>
      <c r="L1861" s="549"/>
      <c r="M1861" s="549"/>
      <c r="N1861" s="93"/>
    </row>
    <row r="1862" spans="2:14" ht="15" hidden="1" outlineLevel="2" x14ac:dyDescent="0.25">
      <c r="B1862" t="str">
        <f>+C1862&amp;D1862&amp;E1862&amp;F1862</f>
        <v>EuropeResultsCost of Grey HydrogenUSD/ton</v>
      </c>
      <c r="C1862" t="s">
        <v>195</v>
      </c>
      <c r="D1862" t="s">
        <v>838</v>
      </c>
      <c r="E1862" s="30" t="s">
        <v>1161</v>
      </c>
      <c r="F1862" s="522" t="s">
        <v>205</v>
      </c>
      <c r="G1862" s="8">
        <f t="shared" ref="G1862:M1862" si="1003">G1919</f>
        <v>6907.7347231243393</v>
      </c>
      <c r="H1862" s="8">
        <f t="shared" si="1003"/>
        <v>3015</v>
      </c>
      <c r="I1862" s="8">
        <f t="shared" si="1003"/>
        <v>2129.9578097813123</v>
      </c>
      <c r="J1862" s="8">
        <f t="shared" si="1003"/>
        <v>2041.4511954859868</v>
      </c>
      <c r="K1862" s="8">
        <f t="shared" si="1003"/>
        <v>1960.7018860965813</v>
      </c>
      <c r="L1862" s="8">
        <f t="shared" si="1003"/>
        <v>1886.6322782743964</v>
      </c>
      <c r="M1862" s="8">
        <f t="shared" si="1003"/>
        <v>1818.3333333333335</v>
      </c>
      <c r="N1862" s="93"/>
    </row>
    <row r="1863" spans="2:14" ht="15" hidden="1" outlineLevel="2" x14ac:dyDescent="0.25">
      <c r="B1863" t="str">
        <f>+C1863&amp;D1863&amp;E1863&amp;F1863</f>
        <v>Middle EastResultsCost of Grey HydrogenUSD/ton</v>
      </c>
      <c r="C1863" t="s">
        <v>197</v>
      </c>
      <c r="D1863" t="s">
        <v>838</v>
      </c>
      <c r="E1863" s="30" t="s">
        <v>1161</v>
      </c>
      <c r="F1863" s="522" t="s">
        <v>205</v>
      </c>
      <c r="G1863" s="8">
        <f t="shared" ref="G1863:M1863" si="1004">G1939</f>
        <v>5666.1375287243391</v>
      </c>
      <c r="H1863" s="8">
        <f t="shared" si="1004"/>
        <v>2416</v>
      </c>
      <c r="I1863" s="8">
        <f t="shared" si="1004"/>
        <v>1016.1546764513125</v>
      </c>
      <c r="J1863" s="8">
        <f t="shared" si="1004"/>
        <v>954.68075861598686</v>
      </c>
      <c r="K1863" s="8">
        <f t="shared" si="1004"/>
        <v>900.3159025965814</v>
      </c>
      <c r="L1863" s="8">
        <f t="shared" si="1004"/>
        <v>851.99804970439641</v>
      </c>
      <c r="M1863" s="8">
        <f t="shared" si="1004"/>
        <v>808.83333333333337</v>
      </c>
    </row>
    <row r="1864" spans="2:14" ht="15" hidden="1" outlineLevel="2" x14ac:dyDescent="0.25">
      <c r="B1864" t="str">
        <f>+C1864&amp;D1864&amp;E1864&amp;F1864</f>
        <v>AsiaResultsCost of Grey HydrogenUSD/ton</v>
      </c>
      <c r="C1864" t="s">
        <v>198</v>
      </c>
      <c r="D1864" t="s">
        <v>838</v>
      </c>
      <c r="E1864" s="30" t="s">
        <v>1161</v>
      </c>
      <c r="F1864" s="522" t="s">
        <v>205</v>
      </c>
      <c r="G1864" s="8">
        <f>G1959</f>
        <v>6383.3359255243395</v>
      </c>
      <c r="H1864" s="8">
        <f t="shared" ref="H1864:M1864" si="1005">H1959</f>
        <v>3116</v>
      </c>
      <c r="I1864" s="8">
        <f t="shared" si="1005"/>
        <v>1716.4490471563124</v>
      </c>
      <c r="J1864" s="8">
        <f t="shared" si="1005"/>
        <v>1638.182090610987</v>
      </c>
      <c r="K1864" s="8">
        <f t="shared" si="1005"/>
        <v>1567.4268923465816</v>
      </c>
      <c r="L1864" s="8">
        <f t="shared" si="1005"/>
        <v>1503.1117371493965</v>
      </c>
      <c r="M1864" s="8">
        <f t="shared" si="1005"/>
        <v>1444.3333333333335</v>
      </c>
    </row>
    <row r="1865" spans="2:14" ht="15" hidden="1" outlineLevel="2" x14ac:dyDescent="0.25">
      <c r="B1865" t="str">
        <f>+C1865&amp;D1865&amp;E1865&amp;F1865</f>
        <v>AmericasResultsCost of Grey HydrogenUSD/ton</v>
      </c>
      <c r="C1865" t="s">
        <v>199</v>
      </c>
      <c r="D1865" t="s">
        <v>838</v>
      </c>
      <c r="E1865" s="30" t="s">
        <v>1161</v>
      </c>
      <c r="F1865" s="522" t="s">
        <v>205</v>
      </c>
      <c r="G1865" s="8">
        <f>G1979</f>
        <v>1900.8459455243392</v>
      </c>
      <c r="H1865" s="8">
        <f t="shared" ref="H1865:M1865" si="1006">H1979</f>
        <v>1383.5</v>
      </c>
      <c r="I1865" s="8">
        <f t="shared" si="1006"/>
        <v>1272.3599340263124</v>
      </c>
      <c r="J1865" s="8">
        <f t="shared" si="1006"/>
        <v>1304.7668067109871</v>
      </c>
      <c r="K1865" s="8">
        <f t="shared" si="1006"/>
        <v>1242.0068973465814</v>
      </c>
      <c r="L1865" s="8">
        <f t="shared" si="1006"/>
        <v>1185.4953042493964</v>
      </c>
      <c r="M1865" s="8">
        <f t="shared" si="1006"/>
        <v>1134.3333333333335</v>
      </c>
    </row>
    <row r="1866" spans="2:14" ht="15" hidden="1" outlineLevel="2" x14ac:dyDescent="0.25">
      <c r="B1866" t="str">
        <f>+C1866&amp;D1866&amp;E1866&amp;F1866</f>
        <v>AfricaResultsCost of Grey HydrogenUSD/ton</v>
      </c>
      <c r="C1866" t="s">
        <v>200</v>
      </c>
      <c r="D1866" t="s">
        <v>838</v>
      </c>
      <c r="E1866" s="30" t="s">
        <v>1161</v>
      </c>
      <c r="F1866" s="522" t="s">
        <v>205</v>
      </c>
      <c r="G1866" s="8">
        <f t="shared" ref="G1866:M1866" si="1007">G1999</f>
        <v>6921.2347231243393</v>
      </c>
      <c r="H1866" s="8">
        <f t="shared" si="1007"/>
        <v>3028.5</v>
      </c>
      <c r="I1866" s="8">
        <f t="shared" si="1007"/>
        <v>2143.4578097813123</v>
      </c>
      <c r="J1866" s="8">
        <f t="shared" si="1007"/>
        <v>2054.9511954859868</v>
      </c>
      <c r="K1866" s="8">
        <f t="shared" si="1007"/>
        <v>1974.2018860965813</v>
      </c>
      <c r="L1866" s="8">
        <f t="shared" si="1007"/>
        <v>1900.1322782743964</v>
      </c>
      <c r="M1866" s="8">
        <f t="shared" si="1007"/>
        <v>1831.8333333333335</v>
      </c>
    </row>
    <row r="1867" spans="2:14" ht="15" hidden="1" outlineLevel="2" x14ac:dyDescent="0.25">
      <c r="E1867" s="30"/>
      <c r="F1867"/>
    </row>
    <row r="1868" spans="2:14" ht="15" hidden="1" outlineLevel="2" x14ac:dyDescent="0.25">
      <c r="B1868" t="str">
        <f>+C1868&amp;D1868&amp;E1868&amp;F1868</f>
        <v>EuropeResultsTotal Capex Grey HydrogenUSD/ton</v>
      </c>
      <c r="C1868" t="s">
        <v>195</v>
      </c>
      <c r="D1868" t="s">
        <v>838</v>
      </c>
      <c r="E1868" s="30" t="s">
        <v>1162</v>
      </c>
      <c r="F1868" s="522" t="s">
        <v>205</v>
      </c>
      <c r="G1868" s="8">
        <f>G1920</f>
        <v>274.84138167421179</v>
      </c>
      <c r="H1868" s="8">
        <f t="shared" ref="H1868:M1868" si="1008">H1920</f>
        <v>265.00000000000006</v>
      </c>
      <c r="I1868" s="8">
        <f t="shared" si="1008"/>
        <v>255.51101356069626</v>
      </c>
      <c r="J1868" s="8">
        <f t="shared" si="1008"/>
        <v>246.36180396533697</v>
      </c>
      <c r="K1868" s="8">
        <f t="shared" si="1008"/>
        <v>237.54020465594266</v>
      </c>
      <c r="L1868" s="8">
        <f t="shared" si="1008"/>
        <v>229.03448472850988</v>
      </c>
      <c r="M1868" s="8">
        <f t="shared" si="1008"/>
        <v>220.83333333333337</v>
      </c>
      <c r="N1868" s="93"/>
    </row>
    <row r="1869" spans="2:14" ht="15" hidden="1" outlineLevel="2" x14ac:dyDescent="0.25">
      <c r="B1869" t="str">
        <f>+C1869&amp;D1869&amp;E1869&amp;F1869</f>
        <v>Middle EastResultsTotal Capex Grey HydrogenUSD/ton</v>
      </c>
      <c r="C1869" t="s">
        <v>197</v>
      </c>
      <c r="D1869" t="s">
        <v>838</v>
      </c>
      <c r="E1869" s="30" t="s">
        <v>1162</v>
      </c>
      <c r="F1869" s="522" t="s">
        <v>205</v>
      </c>
      <c r="G1869" s="8">
        <f>G1940</f>
        <v>274.84138167421179</v>
      </c>
      <c r="H1869" s="8">
        <f t="shared" ref="H1869:M1869" si="1009">H1940</f>
        <v>265.00000000000006</v>
      </c>
      <c r="I1869" s="8">
        <f t="shared" si="1009"/>
        <v>255.51101356069626</v>
      </c>
      <c r="J1869" s="8">
        <f t="shared" si="1009"/>
        <v>246.36180396533697</v>
      </c>
      <c r="K1869" s="8">
        <f t="shared" si="1009"/>
        <v>237.54020465594266</v>
      </c>
      <c r="L1869" s="8">
        <f t="shared" si="1009"/>
        <v>229.03448472850988</v>
      </c>
      <c r="M1869" s="8">
        <f t="shared" si="1009"/>
        <v>220.83333333333337</v>
      </c>
    </row>
    <row r="1870" spans="2:14" ht="15" hidden="1" outlineLevel="2" x14ac:dyDescent="0.25">
      <c r="B1870" t="str">
        <f>+C1870&amp;D1870&amp;E1870&amp;F1870</f>
        <v>AsiaResultsTotal Capex Grey HydrogenUSD/ton</v>
      </c>
      <c r="C1870" t="s">
        <v>198</v>
      </c>
      <c r="D1870" t="s">
        <v>838</v>
      </c>
      <c r="E1870" s="30" t="s">
        <v>1162</v>
      </c>
      <c r="F1870" s="522" t="s">
        <v>205</v>
      </c>
      <c r="G1870" s="8">
        <f>G1960</f>
        <v>274.84138167421179</v>
      </c>
      <c r="H1870" s="8">
        <f t="shared" ref="H1870:M1870" si="1010">H1960</f>
        <v>265.00000000000006</v>
      </c>
      <c r="I1870" s="8">
        <f t="shared" si="1010"/>
        <v>255.51101356069626</v>
      </c>
      <c r="J1870" s="8">
        <f t="shared" si="1010"/>
        <v>246.36180396533697</v>
      </c>
      <c r="K1870" s="8">
        <f t="shared" si="1010"/>
        <v>237.54020465594266</v>
      </c>
      <c r="L1870" s="8">
        <f t="shared" si="1010"/>
        <v>229.03448472850988</v>
      </c>
      <c r="M1870" s="8">
        <f t="shared" si="1010"/>
        <v>220.83333333333337</v>
      </c>
    </row>
    <row r="1871" spans="2:14" ht="15" hidden="1" outlineLevel="2" x14ac:dyDescent="0.25">
      <c r="B1871" t="str">
        <f>+C1871&amp;D1871&amp;E1871&amp;F1871</f>
        <v>AmericasResultsTotal Capex Grey HydrogenUSD/ton</v>
      </c>
      <c r="C1871" t="s">
        <v>199</v>
      </c>
      <c r="D1871" t="s">
        <v>838</v>
      </c>
      <c r="E1871" s="30" t="s">
        <v>1162</v>
      </c>
      <c r="F1871" s="522" t="s">
        <v>205</v>
      </c>
      <c r="G1871" s="8">
        <f>G1980</f>
        <v>274.84138167421179</v>
      </c>
      <c r="H1871" s="8">
        <f t="shared" ref="H1871:M1871" si="1011">H1980</f>
        <v>265.00000000000006</v>
      </c>
      <c r="I1871" s="8">
        <f t="shared" si="1011"/>
        <v>255.51101356069626</v>
      </c>
      <c r="J1871" s="8">
        <f t="shared" si="1011"/>
        <v>246.36180396533697</v>
      </c>
      <c r="K1871" s="8">
        <f t="shared" si="1011"/>
        <v>237.54020465594266</v>
      </c>
      <c r="L1871" s="8">
        <f t="shared" si="1011"/>
        <v>229.03448472850988</v>
      </c>
      <c r="M1871" s="8">
        <f t="shared" si="1011"/>
        <v>220.83333333333337</v>
      </c>
    </row>
    <row r="1872" spans="2:14" ht="15" hidden="1" outlineLevel="2" x14ac:dyDescent="0.25">
      <c r="B1872" t="str">
        <f>+C1872&amp;D1872&amp;E1872&amp;F1872</f>
        <v>AfricaResultsTotal Capex Grey HydrogenUSD/ton</v>
      </c>
      <c r="C1872" t="s">
        <v>200</v>
      </c>
      <c r="D1872" t="s">
        <v>838</v>
      </c>
      <c r="E1872" s="30" t="s">
        <v>1162</v>
      </c>
      <c r="F1872" s="522" t="s">
        <v>205</v>
      </c>
      <c r="G1872" s="8">
        <f>G2000</f>
        <v>274.84138167421179</v>
      </c>
      <c r="H1872" s="8">
        <f t="shared" ref="H1872:M1872" si="1012">H2000</f>
        <v>265.00000000000006</v>
      </c>
      <c r="I1872" s="8">
        <f t="shared" si="1012"/>
        <v>255.51101356069626</v>
      </c>
      <c r="J1872" s="8">
        <f t="shared" si="1012"/>
        <v>246.36180396533697</v>
      </c>
      <c r="K1872" s="8">
        <f t="shared" si="1012"/>
        <v>237.54020465594266</v>
      </c>
      <c r="L1872" s="8">
        <f t="shared" si="1012"/>
        <v>229.03448472850988</v>
      </c>
      <c r="M1872" s="8">
        <f t="shared" si="1012"/>
        <v>220.83333333333337</v>
      </c>
    </row>
    <row r="1873" spans="2:25" ht="15" hidden="1" outlineLevel="2" x14ac:dyDescent="0.25">
      <c r="E1873" s="30"/>
      <c r="F1873"/>
    </row>
    <row r="1874" spans="2:25" ht="15" hidden="1" outlineLevel="2" x14ac:dyDescent="0.25">
      <c r="B1874" t="str">
        <f>+C1874&amp;D1874&amp;E1874&amp;F1874</f>
        <v>EuropeResultsTotal Opex Grey HydrogenUSD/ton</v>
      </c>
      <c r="C1874" t="s">
        <v>195</v>
      </c>
      <c r="D1874" t="s">
        <v>838</v>
      </c>
      <c r="E1874" s="30" t="s">
        <v>1163</v>
      </c>
      <c r="F1874" s="522" t="s">
        <v>205</v>
      </c>
      <c r="G1874" s="8">
        <f>G1921</f>
        <v>357.40736945012748</v>
      </c>
      <c r="H1874" s="8">
        <f t="shared" ref="H1874:M1874" si="1013">H1921</f>
        <v>300</v>
      </c>
      <c r="I1874" s="8">
        <f t="shared" si="1013"/>
        <v>251.81349824561624</v>
      </c>
      <c r="J1874" s="8">
        <f t="shared" si="1013"/>
        <v>211.36679299564994</v>
      </c>
      <c r="K1874" s="8">
        <f t="shared" si="1013"/>
        <v>177.41670519063879</v>
      </c>
      <c r="L1874" s="8">
        <f t="shared" si="1013"/>
        <v>148.91973727088646</v>
      </c>
      <c r="M1874" s="8">
        <f t="shared" si="1013"/>
        <v>125</v>
      </c>
      <c r="N1874" s="93"/>
    </row>
    <row r="1875" spans="2:25" ht="15" hidden="1" outlineLevel="2" x14ac:dyDescent="0.25">
      <c r="B1875" t="str">
        <f>+C1875&amp;D1875&amp;E1875&amp;F1875</f>
        <v>Middle EastResultsTotal Opex Grey HydrogenUSD/ton</v>
      </c>
      <c r="C1875" t="s">
        <v>197</v>
      </c>
      <c r="D1875" t="s">
        <v>838</v>
      </c>
      <c r="E1875" s="30" t="s">
        <v>1163</v>
      </c>
      <c r="F1875" s="522" t="s">
        <v>205</v>
      </c>
      <c r="G1875" s="8">
        <f>G1941</f>
        <v>357.40736945012748</v>
      </c>
      <c r="H1875" s="8">
        <f t="shared" ref="H1875:M1875" si="1014">H1941</f>
        <v>300</v>
      </c>
      <c r="I1875" s="8">
        <f t="shared" si="1014"/>
        <v>251.81349824561624</v>
      </c>
      <c r="J1875" s="8">
        <f t="shared" si="1014"/>
        <v>211.36679299564994</v>
      </c>
      <c r="K1875" s="8">
        <f t="shared" si="1014"/>
        <v>177.41670519063879</v>
      </c>
      <c r="L1875" s="8">
        <f t="shared" si="1014"/>
        <v>148.91973727088646</v>
      </c>
      <c r="M1875" s="8">
        <f t="shared" si="1014"/>
        <v>125</v>
      </c>
    </row>
    <row r="1876" spans="2:25" ht="15" hidden="1" outlineLevel="2" x14ac:dyDescent="0.25">
      <c r="B1876" t="str">
        <f>+C1876&amp;D1876&amp;E1876&amp;F1876</f>
        <v>AsiaResultsTotal Opex Grey HydrogenUSD/ton</v>
      </c>
      <c r="C1876" t="s">
        <v>198</v>
      </c>
      <c r="D1876" t="s">
        <v>838</v>
      </c>
      <c r="E1876" s="30" t="s">
        <v>1163</v>
      </c>
      <c r="F1876" s="522" t="s">
        <v>205</v>
      </c>
      <c r="G1876" s="8">
        <f>G1961</f>
        <v>357.40736945012748</v>
      </c>
      <c r="H1876" s="8">
        <f t="shared" ref="H1876:M1876" si="1015">H1961</f>
        <v>300</v>
      </c>
      <c r="I1876" s="8">
        <f t="shared" si="1015"/>
        <v>251.81349824561624</v>
      </c>
      <c r="J1876" s="8">
        <f t="shared" si="1015"/>
        <v>211.36679299564994</v>
      </c>
      <c r="K1876" s="8">
        <f t="shared" si="1015"/>
        <v>177.41670519063879</v>
      </c>
      <c r="L1876" s="8">
        <f t="shared" si="1015"/>
        <v>148.91973727088646</v>
      </c>
      <c r="M1876" s="8">
        <f t="shared" si="1015"/>
        <v>125</v>
      </c>
    </row>
    <row r="1877" spans="2:25" ht="15" hidden="1" outlineLevel="2" x14ac:dyDescent="0.25">
      <c r="B1877" t="str">
        <f>+C1877&amp;D1877&amp;E1877&amp;F1877</f>
        <v>AmericasResultsTotal Opex Grey HydrogenUSD/ton</v>
      </c>
      <c r="C1877" t="s">
        <v>199</v>
      </c>
      <c r="D1877" t="s">
        <v>838</v>
      </c>
      <c r="E1877" s="30" t="s">
        <v>1163</v>
      </c>
      <c r="F1877" s="522" t="s">
        <v>205</v>
      </c>
      <c r="G1877" s="8">
        <f>G1981</f>
        <v>357.40736945012748</v>
      </c>
      <c r="H1877" s="8">
        <f t="shared" ref="H1877:M1877" si="1016">H1981</f>
        <v>300</v>
      </c>
      <c r="I1877" s="8">
        <f t="shared" si="1016"/>
        <v>251.81349824561624</v>
      </c>
      <c r="J1877" s="8">
        <f t="shared" si="1016"/>
        <v>211.36679299564994</v>
      </c>
      <c r="K1877" s="8">
        <f t="shared" si="1016"/>
        <v>177.41670519063879</v>
      </c>
      <c r="L1877" s="8">
        <f t="shared" si="1016"/>
        <v>148.91973727088646</v>
      </c>
      <c r="M1877" s="8">
        <f t="shared" si="1016"/>
        <v>125</v>
      </c>
    </row>
    <row r="1878" spans="2:25" ht="15" hidden="1" outlineLevel="2" x14ac:dyDescent="0.25">
      <c r="B1878" t="str">
        <f>+C1878&amp;D1878&amp;E1878&amp;F1878</f>
        <v>AfricaResultsTotal Opex Grey HydrogenUSD/ton</v>
      </c>
      <c r="C1878" t="s">
        <v>200</v>
      </c>
      <c r="D1878" t="s">
        <v>838</v>
      </c>
      <c r="E1878" s="30" t="s">
        <v>1163</v>
      </c>
      <c r="F1878" s="522" t="s">
        <v>205</v>
      </c>
      <c r="G1878" s="8">
        <f>G2001</f>
        <v>357.40736945012748</v>
      </c>
      <c r="H1878" s="8">
        <f t="shared" ref="H1878:M1878" si="1017">H2001</f>
        <v>300</v>
      </c>
      <c r="I1878" s="8">
        <f t="shared" si="1017"/>
        <v>251.81349824561624</v>
      </c>
      <c r="J1878" s="8">
        <f t="shared" si="1017"/>
        <v>211.36679299564994</v>
      </c>
      <c r="K1878" s="8">
        <f t="shared" si="1017"/>
        <v>177.41670519063879</v>
      </c>
      <c r="L1878" s="8">
        <f t="shared" si="1017"/>
        <v>148.91973727088646</v>
      </c>
      <c r="M1878" s="8">
        <f t="shared" si="1017"/>
        <v>125</v>
      </c>
    </row>
    <row r="1879" spans="2:25" ht="15" hidden="1" outlineLevel="2" x14ac:dyDescent="0.25">
      <c r="E1879" s="30"/>
      <c r="F1879"/>
    </row>
    <row r="1880" spans="2:25" ht="15" hidden="1" outlineLevel="2" x14ac:dyDescent="0.25">
      <c r="B1880" t="str">
        <f>+C1880&amp;D1880&amp;E1880&amp;F1880</f>
        <v>EuropeResultsTotal Raw Material Grey HydrogenUSD/ton</v>
      </c>
      <c r="C1880" t="s">
        <v>195</v>
      </c>
      <c r="D1880" t="s">
        <v>838</v>
      </c>
      <c r="E1880" s="30" t="s">
        <v>1164</v>
      </c>
      <c r="F1880" s="522" t="s">
        <v>205</v>
      </c>
      <c r="G1880" s="8">
        <f>G1922</f>
        <v>6275.4859720000004</v>
      </c>
      <c r="H1880" s="8">
        <f t="shared" ref="H1880:M1880" si="1018">H1922</f>
        <v>2450</v>
      </c>
      <c r="I1880" s="8">
        <f t="shared" si="1018"/>
        <v>1622.633297975</v>
      </c>
      <c r="J1880" s="8">
        <f t="shared" si="1018"/>
        <v>1583.722598525</v>
      </c>
      <c r="K1880" s="8">
        <f t="shared" si="1018"/>
        <v>1545.74497625</v>
      </c>
      <c r="L1880" s="8">
        <f t="shared" si="1018"/>
        <v>1508.678056275</v>
      </c>
      <c r="M1880" s="8">
        <f t="shared" si="1018"/>
        <v>1472.5</v>
      </c>
      <c r="N1880" s="93"/>
    </row>
    <row r="1881" spans="2:25" ht="15" hidden="1" outlineLevel="2" x14ac:dyDescent="0.25">
      <c r="B1881" t="str">
        <f>+C1881&amp;D1881&amp;E1881&amp;F1881</f>
        <v>Middle EastResultsTotal Raw Material Grey HydrogenUSD/ton</v>
      </c>
      <c r="C1881" t="s">
        <v>197</v>
      </c>
      <c r="D1881" t="s">
        <v>838</v>
      </c>
      <c r="E1881" s="30" t="s">
        <v>1164</v>
      </c>
      <c r="F1881" s="522" t="s">
        <v>205</v>
      </c>
      <c r="G1881" s="8">
        <f>G1942</f>
        <v>5033.8887776000001</v>
      </c>
      <c r="H1881" s="8">
        <f t="shared" ref="H1881:M1881" si="1019">H1942</f>
        <v>1851</v>
      </c>
      <c r="I1881" s="8">
        <f t="shared" si="1019"/>
        <v>508.83016464499997</v>
      </c>
      <c r="J1881" s="8">
        <f t="shared" si="1019"/>
        <v>496.952161655</v>
      </c>
      <c r="K1881" s="8">
        <f t="shared" si="1019"/>
        <v>485.35899274999997</v>
      </c>
      <c r="L1881" s="8">
        <f t="shared" si="1019"/>
        <v>474.04382770500001</v>
      </c>
      <c r="M1881" s="8">
        <f t="shared" si="1019"/>
        <v>463</v>
      </c>
    </row>
    <row r="1882" spans="2:25" ht="15" hidden="1" outlineLevel="2" x14ac:dyDescent="0.25">
      <c r="B1882" t="str">
        <f>+C1882&amp;D1882&amp;E1882&amp;F1882</f>
        <v>AsiaResultsTotal Raw Material Grey HydrogenUSD/ton</v>
      </c>
      <c r="C1882" t="s">
        <v>198</v>
      </c>
      <c r="D1882" t="s">
        <v>838</v>
      </c>
      <c r="E1882" s="30" t="s">
        <v>1164</v>
      </c>
      <c r="F1882" s="522" t="s">
        <v>205</v>
      </c>
      <c r="G1882" s="8">
        <f>G1962</f>
        <v>5751.0871744000005</v>
      </c>
      <c r="H1882" s="8">
        <f t="shared" ref="H1882:M1882" si="1020">H1962</f>
        <v>2551</v>
      </c>
      <c r="I1882" s="8">
        <f t="shared" si="1020"/>
        <v>1209.1245353499999</v>
      </c>
      <c r="J1882" s="8">
        <f t="shared" si="1020"/>
        <v>1180.4534936500002</v>
      </c>
      <c r="K1882" s="8">
        <f t="shared" si="1020"/>
        <v>1152.4699825</v>
      </c>
      <c r="L1882" s="8">
        <f t="shared" si="1020"/>
        <v>1125.1575151500001</v>
      </c>
      <c r="M1882" s="8">
        <f t="shared" si="1020"/>
        <v>1098.5</v>
      </c>
    </row>
    <row r="1883" spans="2:25" ht="15" hidden="1" outlineLevel="2" x14ac:dyDescent="0.25">
      <c r="B1883" t="str">
        <f>+C1883&amp;D1883&amp;E1883&amp;F1883</f>
        <v>AmericasResultsTotal Raw Material Grey HydrogenUSD/ton</v>
      </c>
      <c r="C1883" t="s">
        <v>199</v>
      </c>
      <c r="D1883" t="s">
        <v>838</v>
      </c>
      <c r="E1883" s="30" t="s">
        <v>1164</v>
      </c>
      <c r="F1883" s="522" t="s">
        <v>205</v>
      </c>
      <c r="G1883" s="8">
        <f>G1982</f>
        <v>1268.5971944</v>
      </c>
      <c r="H1883" s="8">
        <f t="shared" ref="H1883:M1883" si="1021">H1982</f>
        <v>818.5</v>
      </c>
      <c r="I1883" s="8">
        <f t="shared" si="1021"/>
        <v>765.03542221999999</v>
      </c>
      <c r="J1883" s="8">
        <f t="shared" si="1021"/>
        <v>847.03820975000008</v>
      </c>
      <c r="K1883" s="8">
        <f t="shared" si="1021"/>
        <v>827.04998749999993</v>
      </c>
      <c r="L1883" s="8">
        <f t="shared" si="1021"/>
        <v>807.54108225000004</v>
      </c>
      <c r="M1883" s="8">
        <f t="shared" si="1021"/>
        <v>788.5</v>
      </c>
    </row>
    <row r="1884" spans="2:25" ht="15" hidden="1" outlineLevel="2" x14ac:dyDescent="0.25">
      <c r="B1884" t="str">
        <f>+C1884&amp;D1884&amp;E1884&amp;F1884</f>
        <v>AfricaResultsTotal Raw Material Grey HydrogenUSD/ton</v>
      </c>
      <c r="C1884" t="s">
        <v>200</v>
      </c>
      <c r="D1884" t="s">
        <v>838</v>
      </c>
      <c r="E1884" s="30" t="s">
        <v>1164</v>
      </c>
      <c r="F1884" s="522" t="s">
        <v>205</v>
      </c>
      <c r="G1884" s="8">
        <f>G2002</f>
        <v>6288.9859720000004</v>
      </c>
      <c r="H1884" s="8">
        <f t="shared" ref="H1884:M1884" si="1022">H2002</f>
        <v>2463.5</v>
      </c>
      <c r="I1884" s="8">
        <f t="shared" si="1022"/>
        <v>1636.133297975</v>
      </c>
      <c r="J1884" s="8">
        <f t="shared" si="1022"/>
        <v>1597.222598525</v>
      </c>
      <c r="K1884" s="8">
        <f t="shared" si="1022"/>
        <v>1559.24497625</v>
      </c>
      <c r="L1884" s="8">
        <f t="shared" si="1022"/>
        <v>1522.178056275</v>
      </c>
      <c r="M1884" s="8">
        <f t="shared" si="1022"/>
        <v>1486</v>
      </c>
    </row>
    <row r="1885" spans="2:25" ht="15" hidden="1" outlineLevel="1" x14ac:dyDescent="0.25">
      <c r="E1885" s="30"/>
      <c r="F1885"/>
    </row>
    <row r="1886" spans="2:25" ht="15" hidden="1" outlineLevel="1" collapsed="1" x14ac:dyDescent="0.25">
      <c r="B1886" s="405" t="s">
        <v>870</v>
      </c>
      <c r="C1886" s="30" t="str">
        <f>+B1886</f>
        <v>Liquifaction</v>
      </c>
    </row>
    <row r="1887" spans="2:25" ht="15" hidden="1" outlineLevel="2" x14ac:dyDescent="0.25">
      <c r="B1887" s="48" t="str">
        <f>+C1887&amp;D1887&amp;E1887&amp;F1887</f>
        <v>EuropeResultsH2 Liquifaction costUSD/ton</v>
      </c>
      <c r="C1887" t="s">
        <v>195</v>
      </c>
      <c r="D1887" t="s">
        <v>838</v>
      </c>
      <c r="E1887" s="30" t="s">
        <v>871</v>
      </c>
      <c r="F1887" s="450" t="s">
        <v>205</v>
      </c>
      <c r="G1887" s="551">
        <f t="shared" ref="G1887:M1891" si="1023">INDEX(G$143:G$1788,MATCH($B1887,$B$143:$B$1788,0))</f>
        <v>1645.9651825147982</v>
      </c>
      <c r="H1887" s="551">
        <f t="shared" si="1023"/>
        <v>1541.7816342860801</v>
      </c>
      <c r="I1887" s="551">
        <f t="shared" si="1023"/>
        <v>1457.6006977418876</v>
      </c>
      <c r="J1887" s="551">
        <f t="shared" si="1023"/>
        <v>1422.6235360249291</v>
      </c>
      <c r="K1887" s="551">
        <f t="shared" si="1023"/>
        <v>1401.7403926811182</v>
      </c>
      <c r="L1887" s="551">
        <f t="shared" si="1023"/>
        <v>1379.39919953355</v>
      </c>
      <c r="M1887" s="551">
        <f t="shared" si="1023"/>
        <v>1363.0986049123912</v>
      </c>
      <c r="N1887" s="93"/>
      <c r="W1887" s="118"/>
      <c r="X1887" s="118"/>
      <c r="Y1887" s="118"/>
    </row>
    <row r="1888" spans="2:25" ht="15" hidden="1" outlineLevel="2" x14ac:dyDescent="0.25">
      <c r="B1888" s="48" t="str">
        <f>+C1888&amp;D1888&amp;E1888&amp;F1888</f>
        <v>Middle EastResultsH2 Liquifaction costUSD/ton</v>
      </c>
      <c r="C1888" t="s">
        <v>197</v>
      </c>
      <c r="D1888" t="s">
        <v>838</v>
      </c>
      <c r="E1888" s="30" t="s">
        <v>871</v>
      </c>
      <c r="F1888" s="450" t="s">
        <v>205</v>
      </c>
      <c r="G1888" s="551">
        <f t="shared" si="1023"/>
        <v>1519.2115799135433</v>
      </c>
      <c r="H1888" s="551">
        <f t="shared" si="1023"/>
        <v>1437.5308912770408</v>
      </c>
      <c r="I1888" s="551">
        <f t="shared" si="1023"/>
        <v>1383.4507912512213</v>
      </c>
      <c r="J1888" s="551">
        <f t="shared" si="1023"/>
        <v>1345.3180887632875</v>
      </c>
      <c r="K1888" s="551">
        <f t="shared" si="1023"/>
        <v>1326.1987527021599</v>
      </c>
      <c r="L1888" s="551">
        <f t="shared" si="1023"/>
        <v>1301.125730774866</v>
      </c>
      <c r="M1888" s="551">
        <f t="shared" si="1023"/>
        <v>1289.3907699669392</v>
      </c>
      <c r="W1888" s="118"/>
      <c r="X1888" s="118"/>
      <c r="Y1888" s="118"/>
    </row>
    <row r="1889" spans="2:25" ht="15" hidden="1" outlineLevel="2" x14ac:dyDescent="0.25">
      <c r="B1889" s="48" t="str">
        <f>+C1889&amp;D1889&amp;E1889&amp;F1889</f>
        <v>AsiaResultsH2 Liquifaction costUSD/ton</v>
      </c>
      <c r="C1889" t="s">
        <v>198</v>
      </c>
      <c r="D1889" t="s">
        <v>838</v>
      </c>
      <c r="E1889" s="30" t="s">
        <v>871</v>
      </c>
      <c r="F1889" s="450" t="s">
        <v>205</v>
      </c>
      <c r="G1889" s="551">
        <f t="shared" si="1023"/>
        <v>1920.6168614872604</v>
      </c>
      <c r="H1889" s="551">
        <f t="shared" si="1023"/>
        <v>1635.2821338386484</v>
      </c>
      <c r="I1889" s="551">
        <f t="shared" si="1023"/>
        <v>1532.9349363565693</v>
      </c>
      <c r="J1889" s="551">
        <f t="shared" si="1023"/>
        <v>1463.3706578892964</v>
      </c>
      <c r="K1889" s="551">
        <f t="shared" si="1023"/>
        <v>1428.0024933291099</v>
      </c>
      <c r="L1889" s="551">
        <f t="shared" si="1023"/>
        <v>1390.9816413884369</v>
      </c>
      <c r="M1889" s="551">
        <f t="shared" si="1023"/>
        <v>1374.0043693899102</v>
      </c>
      <c r="W1889" s="118"/>
      <c r="X1889" s="118"/>
      <c r="Y1889" s="118"/>
    </row>
    <row r="1890" spans="2:25" ht="15" hidden="1" outlineLevel="2" x14ac:dyDescent="0.25">
      <c r="B1890" s="48" t="str">
        <f>+C1890&amp;D1890&amp;E1890&amp;F1890</f>
        <v>AmericasResultsH2 Liquifaction costUSD/ton</v>
      </c>
      <c r="C1890" t="s">
        <v>199</v>
      </c>
      <c r="D1890" t="s">
        <v>838</v>
      </c>
      <c r="E1890" s="30" t="s">
        <v>871</v>
      </c>
      <c r="F1890" s="450" t="s">
        <v>205</v>
      </c>
      <c r="G1890" s="551">
        <f t="shared" si="1023"/>
        <v>1489.6640570315094</v>
      </c>
      <c r="H1890" s="551">
        <f t="shared" si="1023"/>
        <v>1451.6770376417787</v>
      </c>
      <c r="I1890" s="551">
        <f t="shared" si="1023"/>
        <v>1387.4640582539855</v>
      </c>
      <c r="J1890" s="551">
        <f t="shared" si="1023"/>
        <v>1356.5632309025968</v>
      </c>
      <c r="K1890" s="551">
        <f t="shared" si="1023"/>
        <v>1331.5142601606913</v>
      </c>
      <c r="L1890" s="551">
        <f t="shared" si="1023"/>
        <v>1321.4228271012173</v>
      </c>
      <c r="M1890" s="551">
        <f t="shared" si="1023"/>
        <v>1313.8095551347938</v>
      </c>
      <c r="W1890" s="118"/>
      <c r="X1890" s="118"/>
      <c r="Y1890" s="118"/>
    </row>
    <row r="1891" spans="2:25" ht="15" hidden="1" outlineLevel="2" x14ac:dyDescent="0.25">
      <c r="B1891" s="48" t="str">
        <f>+C1891&amp;D1891&amp;E1891&amp;F1891</f>
        <v>AfricaResultsH2 Liquifaction costUSD/ton</v>
      </c>
      <c r="C1891" t="s">
        <v>200</v>
      </c>
      <c r="D1891" t="s">
        <v>838</v>
      </c>
      <c r="E1891" s="30" t="s">
        <v>871</v>
      </c>
      <c r="F1891" s="450" t="s">
        <v>205</v>
      </c>
      <c r="G1891" s="551">
        <f t="shared" si="1023"/>
        <v>1889.5933898507942</v>
      </c>
      <c r="H1891" s="551">
        <f t="shared" si="1023"/>
        <v>1546.7678556080352</v>
      </c>
      <c r="I1891" s="551">
        <f t="shared" si="1023"/>
        <v>1451.1998118198144</v>
      </c>
      <c r="J1891" s="551">
        <f t="shared" si="1023"/>
        <v>1397.8536076421021</v>
      </c>
      <c r="K1891" s="551">
        <f t="shared" si="1023"/>
        <v>1372.7444259267479</v>
      </c>
      <c r="L1891" s="551">
        <f t="shared" si="1023"/>
        <v>1346.9253787603141</v>
      </c>
      <c r="M1891" s="551">
        <f t="shared" si="1023"/>
        <v>1334.2526989390637</v>
      </c>
      <c r="W1891" s="118"/>
      <c r="X1891" s="118"/>
      <c r="Y1891" s="118"/>
    </row>
    <row r="1892" spans="2:25" ht="15" hidden="1" outlineLevel="2" x14ac:dyDescent="0.25">
      <c r="B1892" s="12"/>
      <c r="E1892" s="30"/>
      <c r="G1892" s="469"/>
      <c r="H1892" s="469"/>
      <c r="I1892" s="469"/>
      <c r="J1892" s="469"/>
      <c r="K1892" s="469"/>
      <c r="L1892" s="469"/>
      <c r="M1892" s="469"/>
    </row>
    <row r="1893" spans="2:25" ht="15" hidden="1" outlineLevel="2" x14ac:dyDescent="0.25">
      <c r="B1893" s="48" t="str">
        <f>+C1893&amp;D1893&amp;E1893&amp;F1893</f>
        <v>EuropeResultsH2 Liquifaction Capex share%</v>
      </c>
      <c r="C1893" t="s">
        <v>195</v>
      </c>
      <c r="D1893" t="s">
        <v>838</v>
      </c>
      <c r="E1893" s="30" t="s">
        <v>873</v>
      </c>
      <c r="F1893" s="450" t="s">
        <v>178</v>
      </c>
      <c r="G1893" s="552">
        <f t="shared" ref="G1893:M1897" si="1024">INDEX(G$143:G$1788,MATCH($B1893,$B$143:$B$1788,0))</f>
        <v>0.60754626563372605</v>
      </c>
      <c r="H1893" s="552">
        <f t="shared" si="1024"/>
        <v>0.64860028019664961</v>
      </c>
      <c r="I1893" s="552">
        <f t="shared" si="1024"/>
        <v>0.68605894711027393</v>
      </c>
      <c r="J1893" s="552">
        <f t="shared" si="1024"/>
        <v>0.70292665253815723</v>
      </c>
      <c r="K1893" s="552">
        <f t="shared" si="1024"/>
        <v>0.71339886131646191</v>
      </c>
      <c r="L1893" s="552">
        <f t="shared" si="1024"/>
        <v>0.72495329875365622</v>
      </c>
      <c r="M1893" s="552">
        <f t="shared" si="1024"/>
        <v>0.73362264211566097</v>
      </c>
      <c r="N1893" s="93"/>
    </row>
    <row r="1894" spans="2:25" ht="15" hidden="1" outlineLevel="2" x14ac:dyDescent="0.25">
      <c r="B1894" s="48" t="str">
        <f>+C1894&amp;D1894&amp;E1894&amp;F1894</f>
        <v>Middle EastResultsH2 Liquifaction Capex share%</v>
      </c>
      <c r="C1894" t="s">
        <v>197</v>
      </c>
      <c r="D1894" t="s">
        <v>838</v>
      </c>
      <c r="E1894" s="30" t="s">
        <v>873</v>
      </c>
      <c r="F1894" s="450" t="s">
        <v>178</v>
      </c>
      <c r="G1894" s="552">
        <f t="shared" si="1024"/>
        <v>0.65823616224470127</v>
      </c>
      <c r="H1894" s="552">
        <f t="shared" si="1024"/>
        <v>0.69563722495844449</v>
      </c>
      <c r="I1894" s="552">
        <f t="shared" si="1024"/>
        <v>0.72283019123186842</v>
      </c>
      <c r="J1894" s="552">
        <f t="shared" si="1024"/>
        <v>0.74331863100069617</v>
      </c>
      <c r="K1894" s="552">
        <f t="shared" si="1024"/>
        <v>0.75403479151407538</v>
      </c>
      <c r="L1894" s="552">
        <f t="shared" si="1024"/>
        <v>0.76856523266545873</v>
      </c>
      <c r="M1894" s="552">
        <f t="shared" si="1024"/>
        <v>0.77556007324733733</v>
      </c>
    </row>
    <row r="1895" spans="2:25" ht="15" hidden="1" outlineLevel="2" x14ac:dyDescent="0.25">
      <c r="B1895" s="48" t="str">
        <f>+C1895&amp;D1895&amp;E1895&amp;F1895</f>
        <v>AsiaResultsH2 Liquifaction Capex share%</v>
      </c>
      <c r="C1895" t="s">
        <v>198</v>
      </c>
      <c r="D1895" t="s">
        <v>838</v>
      </c>
      <c r="E1895" s="30" t="s">
        <v>873</v>
      </c>
      <c r="F1895" s="450" t="s">
        <v>178</v>
      </c>
      <c r="G1895" s="552">
        <f t="shared" si="1024"/>
        <v>0.52066605268977695</v>
      </c>
      <c r="H1895" s="552">
        <f t="shared" si="1024"/>
        <v>0.61151527269035089</v>
      </c>
      <c r="I1895" s="552">
        <f t="shared" si="1024"/>
        <v>0.65234340759221521</v>
      </c>
      <c r="J1895" s="552">
        <f t="shared" si="1024"/>
        <v>0.68335386841933643</v>
      </c>
      <c r="K1895" s="552">
        <f t="shared" si="1024"/>
        <v>0.7002788893377172</v>
      </c>
      <c r="L1895" s="552">
        <f t="shared" si="1024"/>
        <v>0.71891674932663341</v>
      </c>
      <c r="M1895" s="552">
        <f t="shared" si="1024"/>
        <v>0.72779972340555454</v>
      </c>
    </row>
    <row r="1896" spans="2:25" ht="15" hidden="1" outlineLevel="2" x14ac:dyDescent="0.25">
      <c r="B1896" s="48" t="str">
        <f>+C1896&amp;D1896&amp;E1896&amp;F1896</f>
        <v>AmericasResultsH2 Liquifaction Capex share%</v>
      </c>
      <c r="C1896" t="s">
        <v>199</v>
      </c>
      <c r="D1896" t="s">
        <v>838</v>
      </c>
      <c r="E1896" s="30" t="s">
        <v>873</v>
      </c>
      <c r="F1896" s="450" t="s">
        <v>178</v>
      </c>
      <c r="G1896" s="552">
        <f t="shared" si="1024"/>
        <v>0.67129229256744294</v>
      </c>
      <c r="H1896" s="552">
        <f t="shared" si="1024"/>
        <v>0.68885845409835833</v>
      </c>
      <c r="I1896" s="552">
        <f t="shared" si="1024"/>
        <v>0.72073939072585524</v>
      </c>
      <c r="J1896" s="552">
        <f t="shared" si="1024"/>
        <v>0.73715693984617614</v>
      </c>
      <c r="K1896" s="552">
        <f t="shared" si="1024"/>
        <v>0.75102462656263025</v>
      </c>
      <c r="L1896" s="552">
        <f t="shared" si="1024"/>
        <v>0.75676004643697803</v>
      </c>
      <c r="M1896" s="552">
        <f t="shared" si="1024"/>
        <v>0.76114532436735272</v>
      </c>
    </row>
    <row r="1897" spans="2:25" ht="15" hidden="1" outlineLevel="2" x14ac:dyDescent="0.25">
      <c r="B1897" s="48" t="str">
        <f>+C1897&amp;D1897&amp;E1897&amp;F1897</f>
        <v>AfricaResultsH2 Liquifaction Capex share%</v>
      </c>
      <c r="C1897" t="s">
        <v>200</v>
      </c>
      <c r="D1897" t="s">
        <v>838</v>
      </c>
      <c r="E1897" s="30" t="s">
        <v>873</v>
      </c>
      <c r="F1897" s="450" t="s">
        <v>178</v>
      </c>
      <c r="G1897" s="552">
        <f t="shared" si="1024"/>
        <v>0.52921438303663937</v>
      </c>
      <c r="H1897" s="552">
        <f t="shared" si="1024"/>
        <v>0.64650942697984859</v>
      </c>
      <c r="I1897" s="552">
        <f t="shared" si="1024"/>
        <v>0.6890849846142092</v>
      </c>
      <c r="J1897" s="552">
        <f t="shared" si="1024"/>
        <v>0.71538249394140696</v>
      </c>
      <c r="K1897" s="552">
        <f t="shared" si="1024"/>
        <v>0.72846771847199021</v>
      </c>
      <c r="L1897" s="552">
        <f t="shared" si="1024"/>
        <v>0.74243162670257357</v>
      </c>
      <c r="M1897" s="552">
        <f t="shared" si="1024"/>
        <v>0.74948321318379485</v>
      </c>
    </row>
    <row r="1898" spans="2:25" ht="15" hidden="1" outlineLevel="2" x14ac:dyDescent="0.25">
      <c r="B1898" s="12"/>
      <c r="E1898" s="30"/>
      <c r="G1898" s="551"/>
      <c r="H1898" s="551"/>
      <c r="I1898" s="551"/>
      <c r="J1898" s="551"/>
      <c r="K1898" s="551"/>
      <c r="L1898" s="551"/>
      <c r="M1898" s="551"/>
    </row>
    <row r="1899" spans="2:25" ht="15" hidden="1" outlineLevel="2" x14ac:dyDescent="0.25">
      <c r="B1899" s="48" t="str">
        <f>+C1899&amp;D1899&amp;E1899&amp;F1899</f>
        <v>EuropeResultsH2 Liquifaction Opex share%</v>
      </c>
      <c r="C1899" t="s">
        <v>195</v>
      </c>
      <c r="D1899" t="s">
        <v>838</v>
      </c>
      <c r="E1899" s="30" t="s">
        <v>874</v>
      </c>
      <c r="F1899" s="450" t="s">
        <v>178</v>
      </c>
      <c r="G1899" s="552">
        <f t="shared" ref="G1899:M1903" si="1025">INDEX(G$143:G$1788,MATCH($B1899,$B$143:$B$1788,0))</f>
        <v>6.0754626563372605E-2</v>
      </c>
      <c r="H1899" s="552">
        <f t="shared" si="1025"/>
        <v>6.4860028019664964E-2</v>
      </c>
      <c r="I1899" s="552">
        <f t="shared" si="1025"/>
        <v>6.860589471102739E-2</v>
      </c>
      <c r="J1899" s="552">
        <f t="shared" si="1025"/>
        <v>7.0292665253815723E-2</v>
      </c>
      <c r="K1899" s="552">
        <f t="shared" si="1025"/>
        <v>7.1339886131646199E-2</v>
      </c>
      <c r="L1899" s="552">
        <f t="shared" si="1025"/>
        <v>7.2495329875365624E-2</v>
      </c>
      <c r="M1899" s="552">
        <f t="shared" si="1025"/>
        <v>7.3362264211566094E-2</v>
      </c>
      <c r="N1899" s="93"/>
    </row>
    <row r="1900" spans="2:25" ht="15" hidden="1" outlineLevel="2" x14ac:dyDescent="0.25">
      <c r="B1900" s="48" t="str">
        <f>+C1900&amp;D1900&amp;E1900&amp;F1900</f>
        <v>Middle EastResultsH2 Liquifaction Opex share%</v>
      </c>
      <c r="C1900" t="s">
        <v>197</v>
      </c>
      <c r="D1900" t="s">
        <v>838</v>
      </c>
      <c r="E1900" s="30" t="s">
        <v>874</v>
      </c>
      <c r="F1900" s="450" t="s">
        <v>178</v>
      </c>
      <c r="G1900" s="552">
        <f t="shared" si="1025"/>
        <v>6.5823616224470125E-2</v>
      </c>
      <c r="H1900" s="552">
        <f t="shared" si="1025"/>
        <v>6.9563722495844443E-2</v>
      </c>
      <c r="I1900" s="552">
        <f t="shared" si="1025"/>
        <v>7.228301912318684E-2</v>
      </c>
      <c r="J1900" s="552">
        <f t="shared" si="1025"/>
        <v>7.4331863100069617E-2</v>
      </c>
      <c r="K1900" s="552">
        <f t="shared" si="1025"/>
        <v>7.5403479151407535E-2</v>
      </c>
      <c r="L1900" s="552">
        <f t="shared" si="1025"/>
        <v>7.6856523266545879E-2</v>
      </c>
      <c r="M1900" s="552">
        <f t="shared" si="1025"/>
        <v>7.7556007324733736E-2</v>
      </c>
    </row>
    <row r="1901" spans="2:25" ht="15" hidden="1" outlineLevel="2" x14ac:dyDescent="0.25">
      <c r="B1901" s="48" t="str">
        <f>+C1901&amp;D1901&amp;E1901&amp;F1901</f>
        <v>AsiaResultsH2 Liquifaction Opex share%</v>
      </c>
      <c r="C1901" t="s">
        <v>198</v>
      </c>
      <c r="D1901" t="s">
        <v>838</v>
      </c>
      <c r="E1901" s="30" t="s">
        <v>874</v>
      </c>
      <c r="F1901" s="450" t="s">
        <v>178</v>
      </c>
      <c r="G1901" s="552">
        <f t="shared" si="1025"/>
        <v>5.2066605268977696E-2</v>
      </c>
      <c r="H1901" s="552">
        <f t="shared" si="1025"/>
        <v>6.115152726903509E-2</v>
      </c>
      <c r="I1901" s="552">
        <f t="shared" si="1025"/>
        <v>6.5234340759221521E-2</v>
      </c>
      <c r="J1901" s="552">
        <f t="shared" si="1025"/>
        <v>6.8335386841933646E-2</v>
      </c>
      <c r="K1901" s="552">
        <f t="shared" si="1025"/>
        <v>7.0027888933771723E-2</v>
      </c>
      <c r="L1901" s="552">
        <f t="shared" si="1025"/>
        <v>7.1891674932663338E-2</v>
      </c>
      <c r="M1901" s="552">
        <f t="shared" si="1025"/>
        <v>7.2779972340555457E-2</v>
      </c>
    </row>
    <row r="1902" spans="2:25" ht="15" hidden="1" outlineLevel="2" x14ac:dyDescent="0.25">
      <c r="B1902" s="48" t="str">
        <f>+C1902&amp;D1902&amp;E1902&amp;F1902</f>
        <v>AmericasResultsH2 Liquifaction Opex share%</v>
      </c>
      <c r="C1902" t="s">
        <v>199</v>
      </c>
      <c r="D1902" t="s">
        <v>838</v>
      </c>
      <c r="E1902" s="30" t="s">
        <v>874</v>
      </c>
      <c r="F1902" s="450" t="s">
        <v>178</v>
      </c>
      <c r="G1902" s="552">
        <f t="shared" si="1025"/>
        <v>6.7129229256744291E-2</v>
      </c>
      <c r="H1902" s="552">
        <f t="shared" si="1025"/>
        <v>6.8885845409835833E-2</v>
      </c>
      <c r="I1902" s="552">
        <f t="shared" si="1025"/>
        <v>7.2073939072585524E-2</v>
      </c>
      <c r="J1902" s="552">
        <f t="shared" si="1025"/>
        <v>7.3715693984617622E-2</v>
      </c>
      <c r="K1902" s="552">
        <f t="shared" si="1025"/>
        <v>7.5102462656263025E-2</v>
      </c>
      <c r="L1902" s="552">
        <f t="shared" si="1025"/>
        <v>7.5676004643697808E-2</v>
      </c>
      <c r="M1902" s="552">
        <f t="shared" si="1025"/>
        <v>7.6114532436735272E-2</v>
      </c>
    </row>
    <row r="1903" spans="2:25" ht="15" hidden="1" outlineLevel="2" x14ac:dyDescent="0.25">
      <c r="B1903" s="48" t="str">
        <f>+C1903&amp;D1903&amp;E1903&amp;F1903</f>
        <v>AfricaResultsH2 Liquifaction Opex share%</v>
      </c>
      <c r="C1903" t="s">
        <v>200</v>
      </c>
      <c r="D1903" t="s">
        <v>838</v>
      </c>
      <c r="E1903" s="30" t="s">
        <v>874</v>
      </c>
      <c r="F1903" s="450" t="s">
        <v>178</v>
      </c>
      <c r="G1903" s="552">
        <f t="shared" si="1025"/>
        <v>5.2921438303663935E-2</v>
      </c>
      <c r="H1903" s="552">
        <f t="shared" si="1025"/>
        <v>6.4650942697984853E-2</v>
      </c>
      <c r="I1903" s="552">
        <f t="shared" si="1025"/>
        <v>6.8908498461420914E-2</v>
      </c>
      <c r="J1903" s="552">
        <f t="shared" si="1025"/>
        <v>7.1538249394140691E-2</v>
      </c>
      <c r="K1903" s="552">
        <f t="shared" si="1025"/>
        <v>7.2846771847199024E-2</v>
      </c>
      <c r="L1903" s="552">
        <f t="shared" si="1025"/>
        <v>7.4243162670257351E-2</v>
      </c>
      <c r="M1903" s="552">
        <f t="shared" si="1025"/>
        <v>7.4948321318379488E-2</v>
      </c>
    </row>
    <row r="1904" spans="2:25" ht="15" hidden="1" outlineLevel="2" x14ac:dyDescent="0.25">
      <c r="B1904" s="12"/>
      <c r="E1904" s="30"/>
      <c r="G1904" s="551"/>
      <c r="H1904" s="551"/>
      <c r="I1904" s="551"/>
      <c r="J1904" s="551"/>
      <c r="K1904" s="551"/>
      <c r="L1904" s="551"/>
      <c r="M1904" s="551"/>
    </row>
    <row r="1905" spans="2:14" ht="15" hidden="1" outlineLevel="2" x14ac:dyDescent="0.25">
      <c r="B1905" s="48" t="str">
        <f>+C1905&amp;D1905&amp;E1905&amp;F1905</f>
        <v>EuropeResultsH2 Liquifaction Electricity share%</v>
      </c>
      <c r="C1905" t="s">
        <v>195</v>
      </c>
      <c r="D1905" t="s">
        <v>838</v>
      </c>
      <c r="E1905" s="30" t="s">
        <v>875</v>
      </c>
      <c r="F1905" s="450" t="s">
        <v>178</v>
      </c>
      <c r="G1905" s="552">
        <f t="shared" ref="G1905:M1909" si="1026">INDEX(G$143:G$1788,MATCH($B1905,$B$143:$B$1788,0))</f>
        <v>0.33169910780290135</v>
      </c>
      <c r="H1905" s="552">
        <f t="shared" si="1026"/>
        <v>0.28653969178368538</v>
      </c>
      <c r="I1905" s="552">
        <f t="shared" si="1026"/>
        <v>0.24533515817869869</v>
      </c>
      <c r="J1905" s="552">
        <f t="shared" si="1026"/>
        <v>0.22678068220802702</v>
      </c>
      <c r="K1905" s="552">
        <f t="shared" si="1026"/>
        <v>0.21526125255189188</v>
      </c>
      <c r="L1905" s="552">
        <f t="shared" si="1026"/>
        <v>0.20255137137097812</v>
      </c>
      <c r="M1905" s="552">
        <f t="shared" si="1026"/>
        <v>0.19301509367277284</v>
      </c>
      <c r="N1905" s="93"/>
    </row>
    <row r="1906" spans="2:14" ht="15" hidden="1" outlineLevel="2" x14ac:dyDescent="0.25">
      <c r="B1906" s="48" t="str">
        <f>+C1906&amp;D1906&amp;E1906&amp;F1906</f>
        <v>Middle EastResultsH2 Liquifaction Electricity share%</v>
      </c>
      <c r="C1906" t="s">
        <v>197</v>
      </c>
      <c r="D1906" t="s">
        <v>838</v>
      </c>
      <c r="E1906" s="30" t="s">
        <v>875</v>
      </c>
      <c r="F1906" s="450" t="s">
        <v>178</v>
      </c>
      <c r="G1906" s="552">
        <f t="shared" si="1026"/>
        <v>0.27594022153082859</v>
      </c>
      <c r="H1906" s="552">
        <f t="shared" si="1026"/>
        <v>0.23479905254571107</v>
      </c>
      <c r="I1906" s="552">
        <f t="shared" si="1026"/>
        <v>0.20488678964494472</v>
      </c>
      <c r="J1906" s="552">
        <f t="shared" si="1026"/>
        <v>0.1823495058992341</v>
      </c>
      <c r="K1906" s="552">
        <f t="shared" si="1026"/>
        <v>0.1705617293345171</v>
      </c>
      <c r="L1906" s="552">
        <f t="shared" si="1026"/>
        <v>0.15457824406799531</v>
      </c>
      <c r="M1906" s="552">
        <f t="shared" si="1026"/>
        <v>0.146883919427929</v>
      </c>
    </row>
    <row r="1907" spans="2:14" ht="15" hidden="1" outlineLevel="2" x14ac:dyDescent="0.25">
      <c r="B1907" s="48" t="str">
        <f>+C1907&amp;D1907&amp;E1907&amp;F1907</f>
        <v>AsiaResultsH2 Liquifaction Electricity share%</v>
      </c>
      <c r="C1907" t="s">
        <v>198</v>
      </c>
      <c r="D1907" t="s">
        <v>838</v>
      </c>
      <c r="E1907" s="30" t="s">
        <v>875</v>
      </c>
      <c r="F1907" s="450" t="s">
        <v>178</v>
      </c>
      <c r="G1907" s="552">
        <f t="shared" si="1026"/>
        <v>0.42726734204124539</v>
      </c>
      <c r="H1907" s="552">
        <f t="shared" si="1026"/>
        <v>0.32733320004061395</v>
      </c>
      <c r="I1907" s="552">
        <f t="shared" si="1026"/>
        <v>0.28242225164856327</v>
      </c>
      <c r="J1907" s="552">
        <f t="shared" si="1026"/>
        <v>0.24831074473872988</v>
      </c>
      <c r="K1907" s="552">
        <f t="shared" si="1026"/>
        <v>0.22969322172851114</v>
      </c>
      <c r="L1907" s="552">
        <f t="shared" si="1026"/>
        <v>0.20919157574070329</v>
      </c>
      <c r="M1907" s="552">
        <f t="shared" si="1026"/>
        <v>0.1994203042538901</v>
      </c>
    </row>
    <row r="1908" spans="2:14" ht="15" hidden="1" outlineLevel="2" x14ac:dyDescent="0.25">
      <c r="B1908" s="48" t="str">
        <f>+C1908&amp;D1908&amp;E1908&amp;F1908</f>
        <v>AmericasResultsH2 Liquifaction Electricity share%</v>
      </c>
      <c r="C1908" t="s">
        <v>199</v>
      </c>
      <c r="D1908" t="s">
        <v>838</v>
      </c>
      <c r="E1908" s="30" t="s">
        <v>875</v>
      </c>
      <c r="F1908" s="450" t="s">
        <v>178</v>
      </c>
      <c r="G1908" s="552">
        <f t="shared" si="1026"/>
        <v>0.26157847817581276</v>
      </c>
      <c r="H1908" s="552">
        <f t="shared" si="1026"/>
        <v>0.24225570049180586</v>
      </c>
      <c r="I1908" s="552">
        <f t="shared" si="1026"/>
        <v>0.20718667020155934</v>
      </c>
      <c r="J1908" s="552">
        <f t="shared" si="1026"/>
        <v>0.18912736616920614</v>
      </c>
      <c r="K1908" s="552">
        <f t="shared" si="1026"/>
        <v>0.17387291078110681</v>
      </c>
      <c r="L1908" s="552">
        <f t="shared" si="1026"/>
        <v>0.16756394891932419</v>
      </c>
      <c r="M1908" s="552">
        <f t="shared" si="1026"/>
        <v>0.16274014319591201</v>
      </c>
    </row>
    <row r="1909" spans="2:14" ht="15" hidden="1" outlineLevel="2" x14ac:dyDescent="0.25">
      <c r="B1909" s="48" t="str">
        <f>+C1909&amp;D1909&amp;E1909&amp;F1909</f>
        <v>AfricaResultsH2 Liquifaction Electricity share%</v>
      </c>
      <c r="C1909" t="s">
        <v>200</v>
      </c>
      <c r="D1909" t="s">
        <v>838</v>
      </c>
      <c r="E1909" s="30" t="s">
        <v>875</v>
      </c>
      <c r="F1909" s="450" t="s">
        <v>178</v>
      </c>
      <c r="G1909" s="552">
        <f t="shared" si="1026"/>
        <v>0.41786417865969666</v>
      </c>
      <c r="H1909" s="552">
        <f t="shared" si="1026"/>
        <v>0.28883963032216653</v>
      </c>
      <c r="I1909" s="552">
        <f t="shared" si="1026"/>
        <v>0.24200651692437003</v>
      </c>
      <c r="J1909" s="552">
        <f t="shared" si="1026"/>
        <v>0.21307925666445238</v>
      </c>
      <c r="K1909" s="552">
        <f t="shared" si="1026"/>
        <v>0.19868550968081083</v>
      </c>
      <c r="L1909" s="552">
        <f t="shared" si="1026"/>
        <v>0.183325210627169</v>
      </c>
      <c r="M1909" s="552">
        <f t="shared" si="1026"/>
        <v>0.17556846549782562</v>
      </c>
    </row>
    <row r="1910" spans="2:14" ht="15" hidden="1" outlineLevel="1" x14ac:dyDescent="0.25">
      <c r="B1910" s="12"/>
      <c r="E1910" s="30"/>
      <c r="G1910" s="118"/>
      <c r="H1910" s="118"/>
      <c r="I1910" s="118"/>
      <c r="J1910" s="118"/>
      <c r="K1910" s="118"/>
      <c r="L1910" s="118"/>
      <c r="M1910" s="118"/>
    </row>
    <row r="1911" spans="2:14" ht="15" hidden="1" outlineLevel="1" collapsed="1" x14ac:dyDescent="0.25">
      <c r="B1911" s="405" t="s">
        <v>884</v>
      </c>
      <c r="C1911" s="30" t="str">
        <f>+B1911</f>
        <v>Compression (350 bar)</v>
      </c>
    </row>
    <row r="1912" spans="2:14" ht="15" hidden="1" outlineLevel="2" x14ac:dyDescent="0.25">
      <c r="B1912" s="48" t="str">
        <f>+C1912&amp;D1912&amp;E1912&amp;F1912</f>
        <v>EuropeResultsH2 Compression costUSD/ton</v>
      </c>
      <c r="C1912" t="s">
        <v>195</v>
      </c>
      <c r="D1912" t="s">
        <v>838</v>
      </c>
      <c r="E1912" s="30" t="s">
        <v>885</v>
      </c>
      <c r="F1912" s="450" t="s">
        <v>205</v>
      </c>
      <c r="G1912" s="551">
        <f t="shared" ref="G1912:M1916" si="1027">INDEX(G$143:G$1788,MATCH($B1912,$B$143:$B$1788,0))</f>
        <v>57.326344164053815</v>
      </c>
      <c r="H1912" s="551">
        <f t="shared" si="1027"/>
        <v>46.387071600038418</v>
      </c>
      <c r="I1912" s="551">
        <f t="shared" si="1027"/>
        <v>37.5480732628982</v>
      </c>
      <c r="J1912" s="551">
        <f t="shared" si="1027"/>
        <v>33.875471282617561</v>
      </c>
      <c r="K1912" s="551">
        <f t="shared" si="1027"/>
        <v>31.682741231517422</v>
      </c>
      <c r="L1912" s="551">
        <f t="shared" si="1027"/>
        <v>29.336915951022753</v>
      </c>
      <c r="M1912" s="551">
        <f t="shared" si="1027"/>
        <v>27.625353515801073</v>
      </c>
      <c r="N1912" s="93"/>
    </row>
    <row r="1913" spans="2:14" ht="15" hidden="1" outlineLevel="2" x14ac:dyDescent="0.25">
      <c r="B1913" s="48" t="str">
        <f>+C1913&amp;D1913&amp;E1913&amp;F1913</f>
        <v>Middle EastResultsH2 Compression costUSD/ton</v>
      </c>
      <c r="C1913" t="s">
        <v>197</v>
      </c>
      <c r="D1913" t="s">
        <v>838</v>
      </c>
      <c r="E1913" s="30" t="s">
        <v>885</v>
      </c>
      <c r="F1913" s="450" t="s">
        <v>205</v>
      </c>
      <c r="G1913" s="551">
        <f t="shared" si="1027"/>
        <v>44.017215890922046</v>
      </c>
      <c r="H1913" s="551">
        <f t="shared" si="1027"/>
        <v>35.440743584089283</v>
      </c>
      <c r="I1913" s="551">
        <f t="shared" si="1027"/>
        <v>29.762333081378237</v>
      </c>
      <c r="J1913" s="551">
        <f t="shared" si="1027"/>
        <v>25.758399320145184</v>
      </c>
      <c r="K1913" s="551">
        <f t="shared" si="1027"/>
        <v>23.750869033726801</v>
      </c>
      <c r="L1913" s="551">
        <f t="shared" si="1027"/>
        <v>21.118201731360934</v>
      </c>
      <c r="M1913" s="551">
        <f t="shared" si="1027"/>
        <v>19.886030846528616</v>
      </c>
    </row>
    <row r="1914" spans="2:14" ht="15" hidden="1" outlineLevel="2" x14ac:dyDescent="0.25">
      <c r="B1914" s="48" t="str">
        <f>+C1914&amp;D1914&amp;E1914&amp;F1914</f>
        <v>AsiaResultsH2 Compression costUSD/ton</v>
      </c>
      <c r="C1914" t="s">
        <v>198</v>
      </c>
      <c r="D1914" t="s">
        <v>838</v>
      </c>
      <c r="E1914" s="30" t="s">
        <v>885</v>
      </c>
      <c r="F1914" s="450" t="s">
        <v>205</v>
      </c>
      <c r="G1914" s="551">
        <f t="shared" si="1027"/>
        <v>86.164770456162358</v>
      </c>
      <c r="H1914" s="551">
        <f t="shared" si="1027"/>
        <v>56.204624053058076</v>
      </c>
      <c r="I1914" s="551">
        <f t="shared" si="1027"/>
        <v>45.458168317439778</v>
      </c>
      <c r="J1914" s="551">
        <f t="shared" si="1027"/>
        <v>38.153919078376113</v>
      </c>
      <c r="K1914" s="551">
        <f t="shared" si="1027"/>
        <v>34.440261799556552</v>
      </c>
      <c r="L1914" s="551">
        <f t="shared" si="1027"/>
        <v>30.553072345785885</v>
      </c>
      <c r="M1914" s="551">
        <f t="shared" si="1027"/>
        <v>28.77045878594058</v>
      </c>
    </row>
    <row r="1915" spans="2:14" ht="15" hidden="1" outlineLevel="2" x14ac:dyDescent="0.25">
      <c r="B1915" s="48" t="str">
        <f>+C1915&amp;D1915&amp;E1915&amp;F1915</f>
        <v>AmericasResultsH2 Compression costUSD/ton</v>
      </c>
      <c r="C1915" t="s">
        <v>199</v>
      </c>
      <c r="D1915" t="s">
        <v>838</v>
      </c>
      <c r="E1915" s="30" t="s">
        <v>885</v>
      </c>
      <c r="F1915" s="450" t="s">
        <v>205</v>
      </c>
      <c r="G1915" s="551">
        <f t="shared" si="1027"/>
        <v>40.91472598830849</v>
      </c>
      <c r="H1915" s="551">
        <f t="shared" si="1027"/>
        <v>36.92608895238677</v>
      </c>
      <c r="I1915" s="551">
        <f t="shared" si="1027"/>
        <v>30.183726116668492</v>
      </c>
      <c r="J1915" s="551">
        <f t="shared" si="1027"/>
        <v>26.939139244772665</v>
      </c>
      <c r="K1915" s="551">
        <f t="shared" si="1027"/>
        <v>24.308997316872588</v>
      </c>
      <c r="L1915" s="551">
        <f t="shared" si="1027"/>
        <v>23.249396845627821</v>
      </c>
      <c r="M1915" s="551">
        <f t="shared" si="1027"/>
        <v>22.450003289153351</v>
      </c>
    </row>
    <row r="1916" spans="2:14" ht="15" hidden="1" outlineLevel="2" x14ac:dyDescent="0.25">
      <c r="B1916" s="48" t="str">
        <f>+C1916&amp;D1916&amp;E1916&amp;F1916</f>
        <v>AfricaResultsH2 Compression costUSD/ton</v>
      </c>
      <c r="C1916" t="s">
        <v>200</v>
      </c>
      <c r="D1916" t="s">
        <v>838</v>
      </c>
      <c r="E1916" s="30" t="s">
        <v>885</v>
      </c>
      <c r="F1916" s="450" t="s">
        <v>205</v>
      </c>
      <c r="G1916" s="551">
        <f t="shared" si="1027"/>
        <v>82.90730593433338</v>
      </c>
      <c r="H1916" s="551">
        <f t="shared" si="1027"/>
        <v>46.910624838843695</v>
      </c>
      <c r="I1916" s="551">
        <f t="shared" si="1027"/>
        <v>36.875980241080526</v>
      </c>
      <c r="J1916" s="551">
        <f t="shared" si="1027"/>
        <v>31.274628802420729</v>
      </c>
      <c r="K1916" s="551">
        <f t="shared" si="1027"/>
        <v>28.638164722308538</v>
      </c>
      <c r="L1916" s="551">
        <f t="shared" si="1027"/>
        <v>25.92716476983297</v>
      </c>
      <c r="M1916" s="551">
        <f t="shared" si="1027"/>
        <v>24.596533388601692</v>
      </c>
    </row>
    <row r="1917" spans="2:14" ht="15" hidden="1" outlineLevel="1" x14ac:dyDescent="0.25">
      <c r="E1917" s="30"/>
      <c r="F1917"/>
    </row>
    <row r="1918" spans="2:14" s="30" customFormat="1" ht="15" hidden="1" outlineLevel="1" collapsed="1" x14ac:dyDescent="0.25">
      <c r="B1918" s="30" t="s">
        <v>195</v>
      </c>
      <c r="C1918" s="30" t="str">
        <f>+B1918</f>
        <v>Europe</v>
      </c>
    </row>
    <row r="1919" spans="2:14" ht="15" hidden="1" outlineLevel="2" x14ac:dyDescent="0.25">
      <c r="B1919" t="str">
        <f>+C1919&amp;D1919&amp;E1919&amp;F1919</f>
        <v>EuropeResultsTotal cost of Grey hydrogenUSD/ton</v>
      </c>
      <c r="C1919" s="494" t="str">
        <f>+$C$1918</f>
        <v>Europe</v>
      </c>
      <c r="D1919" s="30" t="s">
        <v>838</v>
      </c>
      <c r="E1919" s="405" t="s">
        <v>1165</v>
      </c>
      <c r="F1919" s="127" t="s">
        <v>205</v>
      </c>
      <c r="G1919" s="490">
        <f>+SUM(G1920:G1922)</f>
        <v>6907.7347231243393</v>
      </c>
      <c r="H1919" s="490">
        <f t="shared" ref="H1919:M1919" si="1028">+SUM(H1920:H1922)</f>
        <v>3015</v>
      </c>
      <c r="I1919" s="490">
        <f t="shared" si="1028"/>
        <v>2129.9578097813123</v>
      </c>
      <c r="J1919" s="490">
        <f t="shared" si="1028"/>
        <v>2041.4511954859868</v>
      </c>
      <c r="K1919" s="490">
        <f t="shared" si="1028"/>
        <v>1960.7018860965813</v>
      </c>
      <c r="L1919" s="490">
        <f t="shared" si="1028"/>
        <v>1886.6322782743964</v>
      </c>
      <c r="M1919" s="490">
        <f t="shared" si="1028"/>
        <v>1818.3333333333335</v>
      </c>
    </row>
    <row r="1920" spans="2:14" ht="15" hidden="1" outlineLevel="2" x14ac:dyDescent="0.25">
      <c r="B1920" t="str">
        <f>+C1920&amp;D1920&amp;E1920&amp;F1920</f>
        <v>EuropeResultsTotal Capex Grey HydrogenUSD/ton</v>
      </c>
      <c r="C1920" s="494" t="str">
        <f>+$C$1918</f>
        <v>Europe</v>
      </c>
      <c r="D1920" s="30" t="s">
        <v>838</v>
      </c>
      <c r="E1920" s="228" t="s">
        <v>1162</v>
      </c>
      <c r="F1920" s="127" t="s">
        <v>205</v>
      </c>
      <c r="G1920" s="490">
        <f>G1925</f>
        <v>274.84138167421179</v>
      </c>
      <c r="H1920" s="490">
        <f t="shared" ref="H1920:M1920" si="1029">H1925</f>
        <v>265.00000000000006</v>
      </c>
      <c r="I1920" s="490">
        <f t="shared" si="1029"/>
        <v>255.51101356069626</v>
      </c>
      <c r="J1920" s="490">
        <f t="shared" si="1029"/>
        <v>246.36180396533697</v>
      </c>
      <c r="K1920" s="490">
        <f t="shared" si="1029"/>
        <v>237.54020465594266</v>
      </c>
      <c r="L1920" s="490">
        <f t="shared" si="1029"/>
        <v>229.03448472850988</v>
      </c>
      <c r="M1920" s="490">
        <f t="shared" si="1029"/>
        <v>220.83333333333337</v>
      </c>
    </row>
    <row r="1921" spans="2:13" ht="15" hidden="1" outlineLevel="2" x14ac:dyDescent="0.25">
      <c r="B1921" t="str">
        <f>+C1921&amp;D1921&amp;E1921&amp;F1921</f>
        <v>EuropeResultsTotal Opex Grey HydrogenUSD/ton</v>
      </c>
      <c r="C1921" s="494" t="str">
        <f>+$C$1918</f>
        <v>Europe</v>
      </c>
      <c r="D1921" s="30" t="s">
        <v>838</v>
      </c>
      <c r="E1921" s="228" t="s">
        <v>1163</v>
      </c>
      <c r="F1921" s="127" t="s">
        <v>205</v>
      </c>
      <c r="G1921" s="490">
        <f>+G1935</f>
        <v>357.40736945012748</v>
      </c>
      <c r="H1921" s="490">
        <f t="shared" ref="H1921:M1921" si="1030">+H1935</f>
        <v>300</v>
      </c>
      <c r="I1921" s="490">
        <f t="shared" si="1030"/>
        <v>251.81349824561624</v>
      </c>
      <c r="J1921" s="490">
        <f t="shared" si="1030"/>
        <v>211.36679299564994</v>
      </c>
      <c r="K1921" s="490">
        <f t="shared" si="1030"/>
        <v>177.41670519063879</v>
      </c>
      <c r="L1921" s="490">
        <f t="shared" si="1030"/>
        <v>148.91973727088646</v>
      </c>
      <c r="M1921" s="490">
        <f t="shared" si="1030"/>
        <v>125</v>
      </c>
    </row>
    <row r="1922" spans="2:13" ht="15" hidden="1" outlineLevel="2" x14ac:dyDescent="0.25">
      <c r="B1922" t="str">
        <f>+C1922&amp;D1922&amp;E1922&amp;F1922</f>
        <v>EuropeResultsTotal Raw Material Grey HydrogenUSD/ton</v>
      </c>
      <c r="C1922" s="494" t="str">
        <f>+$C$1918</f>
        <v>Europe</v>
      </c>
      <c r="D1922" s="30" t="s">
        <v>838</v>
      </c>
      <c r="E1922" s="228" t="s">
        <v>1164</v>
      </c>
      <c r="F1922" s="127" t="s">
        <v>205</v>
      </c>
      <c r="G1922" s="490">
        <f>+G1928</f>
        <v>6275.4859720000004</v>
      </c>
      <c r="H1922" s="490">
        <f t="shared" ref="H1922:M1922" si="1031">+H1928</f>
        <v>2450</v>
      </c>
      <c r="I1922" s="490">
        <f t="shared" si="1031"/>
        <v>1622.633297975</v>
      </c>
      <c r="J1922" s="490">
        <f t="shared" si="1031"/>
        <v>1583.722598525</v>
      </c>
      <c r="K1922" s="490">
        <f t="shared" si="1031"/>
        <v>1545.74497625</v>
      </c>
      <c r="L1922" s="490">
        <f t="shared" si="1031"/>
        <v>1508.678056275</v>
      </c>
      <c r="M1922" s="490">
        <f t="shared" si="1031"/>
        <v>1472.5</v>
      </c>
    </row>
    <row r="1923" spans="2:13" ht="15" hidden="1" outlineLevel="2" x14ac:dyDescent="0.25">
      <c r="B1923" t="str">
        <f>+C1923&amp;D1923&amp;E1923&amp;F1923</f>
        <v>EuropeResultsShare of total cost Raw Material Grey Hydrogen%</v>
      </c>
      <c r="C1923" s="494" t="str">
        <f>+$C$1918</f>
        <v>Europe</v>
      </c>
      <c r="D1923" s="30" t="s">
        <v>838</v>
      </c>
      <c r="E1923" s="228" t="s">
        <v>1166</v>
      </c>
      <c r="F1923" s="127" t="s">
        <v>178</v>
      </c>
      <c r="G1923" s="553">
        <f>+G1922/G1919</f>
        <v>0.90847234636735219</v>
      </c>
      <c r="H1923" s="553">
        <f t="shared" ref="H1923:M1923" si="1032">+H1922/H1919</f>
        <v>0.81260364842454391</v>
      </c>
      <c r="I1923" s="553">
        <f t="shared" si="1032"/>
        <v>0.76181476014381688</v>
      </c>
      <c r="J1923" s="553">
        <f t="shared" si="1032"/>
        <v>0.77578273829268785</v>
      </c>
      <c r="K1923" s="553">
        <f t="shared" si="1032"/>
        <v>0.78836307916616088</v>
      </c>
      <c r="L1923" s="553">
        <f t="shared" si="1032"/>
        <v>0.79966725558989626</v>
      </c>
      <c r="M1923" s="553">
        <f t="shared" si="1032"/>
        <v>0.80980751604032986</v>
      </c>
    </row>
    <row r="1924" spans="2:13" hidden="1" outlineLevel="2" x14ac:dyDescent="0.2">
      <c r="E1924" s="48"/>
      <c r="F1924" s="128"/>
      <c r="G1924" s="8"/>
      <c r="H1924" s="8"/>
      <c r="I1924" s="8"/>
      <c r="J1924" s="8"/>
      <c r="K1924" s="8"/>
      <c r="L1924" s="8"/>
      <c r="M1924" s="8"/>
    </row>
    <row r="1925" spans="2:13" hidden="1" outlineLevel="2" x14ac:dyDescent="0.2">
      <c r="B1925" t="str">
        <f t="shared" ref="B1925:B1933" si="1033">+C1925&amp;D1925&amp;E1925&amp;F1925</f>
        <v>EuropePlant - SMRCapex Grey Hydrogen USD/ton H2</v>
      </c>
      <c r="C1925" s="494" t="str">
        <f>+$C$1918</f>
        <v>Europe</v>
      </c>
      <c r="D1925" t="s">
        <v>1167</v>
      </c>
      <c r="E1925" s="48" t="s">
        <v>1168</v>
      </c>
      <c r="F1925" s="128" t="s">
        <v>881</v>
      </c>
      <c r="G1925" s="8">
        <f t="shared" ref="G1925:M1925" si="1034">G1927/G1926</f>
        <v>274.84138167421179</v>
      </c>
      <c r="H1925" s="8">
        <f t="shared" si="1034"/>
        <v>265.00000000000006</v>
      </c>
      <c r="I1925" s="8">
        <f t="shared" si="1034"/>
        <v>255.51101356069626</v>
      </c>
      <c r="J1925" s="8">
        <f t="shared" si="1034"/>
        <v>246.36180396533697</v>
      </c>
      <c r="K1925" s="8">
        <f t="shared" si="1034"/>
        <v>237.54020465594266</v>
      </c>
      <c r="L1925" s="8">
        <f t="shared" si="1034"/>
        <v>229.03448472850988</v>
      </c>
      <c r="M1925" s="8">
        <f t="shared" si="1034"/>
        <v>220.83333333333337</v>
      </c>
    </row>
    <row r="1926" spans="2:13" hidden="1" outlineLevel="2" x14ac:dyDescent="0.2">
      <c r="B1926" t="str">
        <f t="shared" si="1033"/>
        <v>GlobalPlant capexAnnualisation factor#</v>
      </c>
      <c r="C1926" t="s">
        <v>109</v>
      </c>
      <c r="D1926" t="s">
        <v>786</v>
      </c>
      <c r="E1926" t="s">
        <v>764</v>
      </c>
      <c r="F1926" s="450" t="s">
        <v>787</v>
      </c>
      <c r="G1926" s="532">
        <f>+INDEX('Fuel Model -  Input'!$B$3:$N$373,MATCH($B1926,'Fuel Model -  Input'!$B$3:$B$373,0),MATCH(G$2,'Fuel Model -  Input'!$B$3:$N$3,0))</f>
        <v>11.32075471698113</v>
      </c>
      <c r="H1926" s="532">
        <f>+INDEX('Fuel Model -  Input'!$B$3:$N$373,MATCH($B1926,'Fuel Model -  Input'!$B$3:$B$373,0),MATCH(H$2,'Fuel Model -  Input'!$B$3:$N$3,0))</f>
        <v>11.32075471698113</v>
      </c>
      <c r="I1926" s="532">
        <f>+INDEX('Fuel Model -  Input'!$B$3:$N$373,MATCH($B1926,'Fuel Model -  Input'!$B$3:$B$373,0),MATCH(I$2,'Fuel Model -  Input'!$B$3:$N$3,0))</f>
        <v>11.32075471698113</v>
      </c>
      <c r="J1926" s="532">
        <f>+INDEX('Fuel Model -  Input'!$B$3:$N$373,MATCH($B1926,'Fuel Model -  Input'!$B$3:$B$373,0),MATCH(J$2,'Fuel Model -  Input'!$B$3:$N$3,0))</f>
        <v>11.32075471698113</v>
      </c>
      <c r="K1926" s="532">
        <f>+INDEX('Fuel Model -  Input'!$B$3:$N$373,MATCH($B1926,'Fuel Model -  Input'!$B$3:$B$373,0),MATCH(K$2,'Fuel Model -  Input'!$B$3:$N$3,0))</f>
        <v>11.32075471698113</v>
      </c>
      <c r="L1926" s="532">
        <f>+INDEX('Fuel Model -  Input'!$B$3:$N$373,MATCH($B1926,'Fuel Model -  Input'!$B$3:$B$373,0),MATCH(L$2,'Fuel Model -  Input'!$B$3:$N$3,0))</f>
        <v>11.32075471698113</v>
      </c>
      <c r="M1926" s="532">
        <f>+INDEX('Fuel Model -  Input'!$B$3:$N$373,MATCH($B1926,'Fuel Model -  Input'!$B$3:$B$373,0),MATCH(M$2,'Fuel Model -  Input'!$B$3:$N$3,0))</f>
        <v>11.32075471698113</v>
      </c>
    </row>
    <row r="1927" spans="2:13" hidden="1" outlineLevel="2" x14ac:dyDescent="0.2">
      <c r="B1927" t="str">
        <f t="shared" si="1033"/>
        <v>GlobalCapexSMR - PlantUSD/ton H2 Cap</v>
      </c>
      <c r="C1927" t="s">
        <v>109</v>
      </c>
      <c r="D1927" t="s">
        <v>218</v>
      </c>
      <c r="E1927" s="48" t="s">
        <v>1169</v>
      </c>
      <c r="F1927" s="128" t="s">
        <v>1170</v>
      </c>
      <c r="G1927" s="532">
        <f>+INDEX('Fuel Model -  Input'!$B$3:$N$373,MATCH($B1927,'Fuel Model -  Input'!$B$3:$B$373,0),MATCH(G$2,'Fuel Model -  Input'!$B$3:$N$3,0))</f>
        <v>3111.4118680099441</v>
      </c>
      <c r="H1927" s="532">
        <f>+INDEX('Fuel Model -  Input'!$B$3:$N$373,MATCH($B1927,'Fuel Model -  Input'!$B$3:$B$373,0),MATCH(H$2,'Fuel Model -  Input'!$B$3:$N$3,0))</f>
        <v>3000</v>
      </c>
      <c r="I1927" s="532">
        <f>+INDEX('Fuel Model -  Input'!$B$3:$N$373,MATCH($B1927,'Fuel Model -  Input'!$B$3:$B$373,0),MATCH(I$2,'Fuel Model -  Input'!$B$3:$N$3,0))</f>
        <v>2892.5775120078815</v>
      </c>
      <c r="J1927" s="532">
        <f>+INDEX('Fuel Model -  Input'!$B$3:$N$373,MATCH($B1927,'Fuel Model -  Input'!$B$3:$B$373,0),MATCH(J$2,'Fuel Model -  Input'!$B$3:$N$3,0))</f>
        <v>2789.001554324569</v>
      </c>
      <c r="K1927" s="532">
        <f>+INDEX('Fuel Model -  Input'!$B$3:$N$373,MATCH($B1927,'Fuel Model -  Input'!$B$3:$B$373,0),MATCH(K$2,'Fuel Model -  Input'!$B$3:$N$3,0))</f>
        <v>2689.1343923314257</v>
      </c>
      <c r="L1927" s="532">
        <f>+INDEX('Fuel Model -  Input'!$B$3:$N$373,MATCH($B1927,'Fuel Model -  Input'!$B$3:$B$373,0),MATCH(L$2,'Fuel Model -  Input'!$B$3:$N$3,0))</f>
        <v>2592.8432233416206</v>
      </c>
      <c r="M1927" s="532">
        <f>+INDEX('Fuel Model -  Input'!$B$3:$N$373,MATCH($B1927,'Fuel Model -  Input'!$B$3:$B$373,0),MATCH(M$2,'Fuel Model -  Input'!$B$3:$N$3,0))</f>
        <v>2500</v>
      </c>
    </row>
    <row r="1928" spans="2:13" hidden="1" outlineLevel="2" x14ac:dyDescent="0.2">
      <c r="B1928" t="str">
        <f t="shared" si="1033"/>
        <v>EuropeFeedstockCost of NG in H2USD/ton H2</v>
      </c>
      <c r="C1928" s="494" t="str">
        <f>+$C$1918</f>
        <v>Europe</v>
      </c>
      <c r="D1928" t="s">
        <v>777</v>
      </c>
      <c r="E1928" t="s">
        <v>1171</v>
      </c>
      <c r="F1928" s="128" t="s">
        <v>881</v>
      </c>
      <c r="G1928" s="337">
        <f t="shared" ref="G1928:M1928" si="1035">G1929*G1930</f>
        <v>6275.4859720000004</v>
      </c>
      <c r="H1928" s="337">
        <f t="shared" si="1035"/>
        <v>2450</v>
      </c>
      <c r="I1928" s="337">
        <f t="shared" si="1035"/>
        <v>1622.633297975</v>
      </c>
      <c r="J1928" s="337">
        <f t="shared" si="1035"/>
        <v>1583.722598525</v>
      </c>
      <c r="K1928" s="337">
        <f t="shared" si="1035"/>
        <v>1545.74497625</v>
      </c>
      <c r="L1928" s="337">
        <f t="shared" si="1035"/>
        <v>1508.678056275</v>
      </c>
      <c r="M1928" s="337">
        <f t="shared" si="1035"/>
        <v>1472.5</v>
      </c>
    </row>
    <row r="1929" spans="2:13" hidden="1" outlineLevel="2" x14ac:dyDescent="0.2">
      <c r="B1929" t="str">
        <f t="shared" si="1033"/>
        <v>GlobalFeedstockConversion NG : H2 (actual)kg NG/kg H2</v>
      </c>
      <c r="C1929" t="s">
        <v>109</v>
      </c>
      <c r="D1929" t="s">
        <v>777</v>
      </c>
      <c r="E1929" t="s">
        <v>1172</v>
      </c>
      <c r="F1929" s="128" t="s">
        <v>1173</v>
      </c>
      <c r="G1929" s="521">
        <f>INDEX('Fuel Model -  Input'!$B$3:$N$373,MATCH($B1929,'Fuel Model -  Input'!$B$3:$B$373,0),MATCH(G$2,'Fuel Model -  Input'!$B$3:$N$3,0))</f>
        <v>3.5859919840000001</v>
      </c>
      <c r="H1929" s="521">
        <f>INDEX('Fuel Model -  Input'!$B$3:$N$373,MATCH($B1929,'Fuel Model -  Input'!$B$3:$B$373,0),MATCH(H$2,'Fuel Model -  Input'!$B$3:$N$3,0))</f>
        <v>3.5</v>
      </c>
      <c r="I1929" s="521">
        <f>INDEX('Fuel Model -  Input'!$B$3:$N$373,MATCH($B1929,'Fuel Model -  Input'!$B$3:$B$373,0),MATCH(I$2,'Fuel Model -  Input'!$B$3:$N$3,0))</f>
        <v>3.4160701009999999</v>
      </c>
      <c r="J1929" s="521">
        <f>INDEX('Fuel Model -  Input'!$B$3:$N$373,MATCH($B1929,'Fuel Model -  Input'!$B$3:$B$373,0),MATCH(J$2,'Fuel Model -  Input'!$B$3:$N$3,0))</f>
        <v>3.3341528390000001</v>
      </c>
      <c r="K1929" s="521">
        <f>INDEX('Fuel Model -  Input'!$B$3:$N$373,MATCH($B1929,'Fuel Model -  Input'!$B$3:$B$373,0),MATCH(K$2,'Fuel Model -  Input'!$B$3:$N$3,0))</f>
        <v>3.2541999499999998</v>
      </c>
      <c r="L1929" s="521">
        <f>INDEX('Fuel Model -  Input'!$B$3:$N$373,MATCH($B1929,'Fuel Model -  Input'!$B$3:$B$373,0),MATCH(L$2,'Fuel Model -  Input'!$B$3:$N$3,0))</f>
        <v>3.1761643290000001</v>
      </c>
      <c r="M1929" s="521">
        <f>INDEX('Fuel Model -  Input'!$B$3:$N$373,MATCH($B1929,'Fuel Model -  Input'!$B$3:$B$373,0),MATCH(M$2,'Fuel Model -  Input'!$B$3:$N$3,0))</f>
        <v>3.1</v>
      </c>
    </row>
    <row r="1930" spans="2:13" hidden="1" outlineLevel="2" x14ac:dyDescent="0.2">
      <c r="B1930" t="str">
        <f t="shared" si="1033"/>
        <v>EuropeFeedstockCost of NGUSD/ton</v>
      </c>
      <c r="C1930" t="s">
        <v>195</v>
      </c>
      <c r="D1930" t="s">
        <v>777</v>
      </c>
      <c r="E1930" t="s">
        <v>1144</v>
      </c>
      <c r="F1930" s="128" t="s">
        <v>205</v>
      </c>
      <c r="G1930" s="532">
        <f>+INDEX('Fuel Model -  Input'!$B$3:$N$373,MATCH($B1930,'Fuel Model -  Input'!$B$3:$B$373,0),MATCH(G$2,'Fuel Model -  Input'!$B$3:$N$3,0))</f>
        <v>1750</v>
      </c>
      <c r="H1930" s="532">
        <f>+INDEX('Fuel Model -  Input'!$B$3:$N$373,MATCH($B1930,'Fuel Model -  Input'!$B$3:$B$373,0),MATCH(H$2,'Fuel Model -  Input'!$B$3:$N$3,0))</f>
        <v>700</v>
      </c>
      <c r="I1930" s="532">
        <f>+INDEX('Fuel Model -  Input'!$B$3:$N$373,MATCH($B1930,'Fuel Model -  Input'!$B$3:$B$373,0),MATCH(I$2,'Fuel Model -  Input'!$B$3:$N$3,0))</f>
        <v>475</v>
      </c>
      <c r="J1930" s="532">
        <f>+INDEX('Fuel Model -  Input'!$B$3:$N$373,MATCH($B1930,'Fuel Model -  Input'!$B$3:$B$373,0),MATCH(J$2,'Fuel Model -  Input'!$B$3:$N$3,0))</f>
        <v>475</v>
      </c>
      <c r="K1930" s="532">
        <f>+INDEX('Fuel Model -  Input'!$B$3:$N$373,MATCH($B1930,'Fuel Model -  Input'!$B$3:$B$373,0),MATCH(K$2,'Fuel Model -  Input'!$B$3:$N$3,0))</f>
        <v>475</v>
      </c>
      <c r="L1930" s="532">
        <f>+INDEX('Fuel Model -  Input'!$B$3:$N$373,MATCH($B1930,'Fuel Model -  Input'!$B$3:$B$373,0),MATCH(L$2,'Fuel Model -  Input'!$B$3:$N$3,0))</f>
        <v>475</v>
      </c>
      <c r="M1930" s="532">
        <f>+INDEX('Fuel Model -  Input'!$B$3:$N$373,MATCH($B1930,'Fuel Model -  Input'!$B$3:$B$373,0),MATCH(M$2,'Fuel Model -  Input'!$B$3:$N$3,0))</f>
        <v>475</v>
      </c>
    </row>
    <row r="1931" spans="2:13" hidden="1" outlineLevel="2" x14ac:dyDescent="0.2">
      <c r="B1931" t="str">
        <f t="shared" si="1033"/>
        <v>EuropeFeedstockCost of H2O in H2USD/ton H2</v>
      </c>
      <c r="C1931" s="494" t="str">
        <f>C1930</f>
        <v>Europe</v>
      </c>
      <c r="D1931" t="s">
        <v>777</v>
      </c>
      <c r="E1931" t="s">
        <v>897</v>
      </c>
      <c r="F1931" s="128" t="s">
        <v>881</v>
      </c>
      <c r="G1931" s="337">
        <f t="shared" ref="G1931:M1931" si="1036">G1932*G1933</f>
        <v>13.5</v>
      </c>
      <c r="H1931" s="337">
        <f t="shared" si="1036"/>
        <v>13.5</v>
      </c>
      <c r="I1931" s="337">
        <f t="shared" si="1036"/>
        <v>13.5</v>
      </c>
      <c r="J1931" s="337">
        <f t="shared" si="1036"/>
        <v>13.5</v>
      </c>
      <c r="K1931" s="337">
        <f t="shared" si="1036"/>
        <v>13.5</v>
      </c>
      <c r="L1931" s="337">
        <f t="shared" si="1036"/>
        <v>13.5</v>
      </c>
      <c r="M1931" s="337">
        <f t="shared" si="1036"/>
        <v>13.5</v>
      </c>
    </row>
    <row r="1932" spans="2:13" hidden="1" outlineLevel="2" x14ac:dyDescent="0.2">
      <c r="B1932" t="str">
        <f t="shared" si="1033"/>
        <v>GlobalFeedstockConversion H2O:H2 (actual)ton H2O/ton H2</v>
      </c>
      <c r="C1932" t="s">
        <v>109</v>
      </c>
      <c r="D1932" t="s">
        <v>777</v>
      </c>
      <c r="E1932" t="s">
        <v>898</v>
      </c>
      <c r="F1932" s="128" t="s">
        <v>899</v>
      </c>
      <c r="G1932" s="495">
        <f>INDEX('Fuel Model -  Input'!$B$3:$N$373,MATCH($B1932,'Fuel Model -  Input'!$B$3:$B$373,0),MATCH(G$2,'Fuel Model -  Input'!$B$3:$N$3,0))</f>
        <v>9</v>
      </c>
      <c r="H1932" s="495">
        <f>INDEX('Fuel Model -  Input'!$B$3:$N$373,MATCH($B1932,'Fuel Model -  Input'!$B$3:$B$373,0),MATCH(H$2,'Fuel Model -  Input'!$B$3:$N$3,0))</f>
        <v>9</v>
      </c>
      <c r="I1932" s="495">
        <f>INDEX('Fuel Model -  Input'!$B$3:$N$373,MATCH($B1932,'Fuel Model -  Input'!$B$3:$B$373,0),MATCH(I$2,'Fuel Model -  Input'!$B$3:$N$3,0))</f>
        <v>9</v>
      </c>
      <c r="J1932" s="495">
        <f>INDEX('Fuel Model -  Input'!$B$3:$N$373,MATCH($B1932,'Fuel Model -  Input'!$B$3:$B$373,0),MATCH(J$2,'Fuel Model -  Input'!$B$3:$N$3,0))</f>
        <v>9</v>
      </c>
      <c r="K1932" s="495">
        <f>INDEX('Fuel Model -  Input'!$B$3:$N$373,MATCH($B1932,'Fuel Model -  Input'!$B$3:$B$373,0),MATCH(K$2,'Fuel Model -  Input'!$B$3:$N$3,0))</f>
        <v>9</v>
      </c>
      <c r="L1932" s="495">
        <f>INDEX('Fuel Model -  Input'!$B$3:$N$373,MATCH($B1932,'Fuel Model -  Input'!$B$3:$B$373,0),MATCH(L$2,'Fuel Model -  Input'!$B$3:$N$3,0))</f>
        <v>9</v>
      </c>
      <c r="M1932" s="495">
        <f>INDEX('Fuel Model -  Input'!$B$3:$N$373,MATCH($B1932,'Fuel Model -  Input'!$B$3:$B$373,0),MATCH(M$2,'Fuel Model -  Input'!$B$3:$N$3,0))</f>
        <v>9</v>
      </c>
    </row>
    <row r="1933" spans="2:13" hidden="1" outlineLevel="2" x14ac:dyDescent="0.2">
      <c r="B1933" t="str">
        <f t="shared" si="1033"/>
        <v>GlobalFeedstockDemineralized water costUSD/ton demin H2O</v>
      </c>
      <c r="C1933" s="494" t="s">
        <v>109</v>
      </c>
      <c r="D1933" t="s">
        <v>777</v>
      </c>
      <c r="E1933" t="s">
        <v>900</v>
      </c>
      <c r="F1933" s="450" t="s">
        <v>901</v>
      </c>
      <c r="G1933" s="495">
        <f>+INDEX('Fuel Model -  Input'!$B$3:$N$373,MATCH($B1933,'Fuel Model -  Input'!$B$3:$B$373,0),MATCH(G$2,'Fuel Model -  Input'!$B$3:$N$3,0))</f>
        <v>1.5</v>
      </c>
      <c r="H1933" s="495">
        <f>+INDEX('Fuel Model -  Input'!$B$3:$N$373,MATCH($B1933,'Fuel Model -  Input'!$B$3:$B$373,0),MATCH(H$2,'Fuel Model -  Input'!$B$3:$N$3,0))</f>
        <v>1.5</v>
      </c>
      <c r="I1933" s="495">
        <f>+INDEX('Fuel Model -  Input'!$B$3:$N$373,MATCH($B1933,'Fuel Model -  Input'!$B$3:$B$373,0),MATCH(I$2,'Fuel Model -  Input'!$B$3:$N$3,0))</f>
        <v>1.5</v>
      </c>
      <c r="J1933" s="495">
        <f>+INDEX('Fuel Model -  Input'!$B$3:$N$373,MATCH($B1933,'Fuel Model -  Input'!$B$3:$B$373,0),MATCH(J$2,'Fuel Model -  Input'!$B$3:$N$3,0))</f>
        <v>1.5</v>
      </c>
      <c r="K1933" s="495">
        <f>+INDEX('Fuel Model -  Input'!$B$3:$N$373,MATCH($B1933,'Fuel Model -  Input'!$B$3:$B$373,0),MATCH(K$2,'Fuel Model -  Input'!$B$3:$N$3,0))</f>
        <v>1.5</v>
      </c>
      <c r="L1933" s="495">
        <f>+INDEX('Fuel Model -  Input'!$B$3:$N$373,MATCH($B1933,'Fuel Model -  Input'!$B$3:$B$373,0),MATCH(L$2,'Fuel Model -  Input'!$B$3:$N$3,0))</f>
        <v>1.5</v>
      </c>
      <c r="M1933" s="495">
        <f>+INDEX('Fuel Model -  Input'!$B$3:$N$373,MATCH($B1933,'Fuel Model -  Input'!$B$3:$B$373,0),MATCH(M$2,'Fuel Model -  Input'!$B$3:$N$3,0))</f>
        <v>1.5</v>
      </c>
    </row>
    <row r="1934" spans="2:13" hidden="1" outlineLevel="2" x14ac:dyDescent="0.2">
      <c r="F1934" s="128"/>
      <c r="G1934" s="524"/>
      <c r="H1934" s="524"/>
      <c r="I1934" s="524"/>
      <c r="J1934" s="524"/>
      <c r="K1934" s="524"/>
      <c r="L1934" s="524"/>
      <c r="M1934" s="524"/>
    </row>
    <row r="1935" spans="2:13" hidden="1" outlineLevel="2" x14ac:dyDescent="0.2">
      <c r="B1935" t="str">
        <f>+C1935&amp;D1935&amp;E1935&amp;F1935</f>
        <v>EuropeOpexSMRUSD/ton H2</v>
      </c>
      <c r="C1935" s="494" t="str">
        <f>+$C$1918</f>
        <v>Europe</v>
      </c>
      <c r="D1935" t="s">
        <v>219</v>
      </c>
      <c r="E1935" s="48" t="s">
        <v>1174</v>
      </c>
      <c r="F1935" s="128" t="s">
        <v>881</v>
      </c>
      <c r="G1935" s="337">
        <f t="shared" ref="G1935:M1935" si="1037">G1936*G1927</f>
        <v>357.40736945012748</v>
      </c>
      <c r="H1935" s="337">
        <f t="shared" si="1037"/>
        <v>300</v>
      </c>
      <c r="I1935" s="337">
        <f t="shared" si="1037"/>
        <v>251.81349824561624</v>
      </c>
      <c r="J1935" s="337">
        <f t="shared" si="1037"/>
        <v>211.36679299564994</v>
      </c>
      <c r="K1935" s="337">
        <f t="shared" si="1037"/>
        <v>177.41670519063879</v>
      </c>
      <c r="L1935" s="337">
        <f t="shared" si="1037"/>
        <v>148.91973727088646</v>
      </c>
      <c r="M1935" s="337">
        <f t="shared" si="1037"/>
        <v>125</v>
      </c>
    </row>
    <row r="1936" spans="2:13" hidden="1" outlineLevel="2" x14ac:dyDescent="0.2">
      <c r="B1936" t="str">
        <f>+C1936&amp;D1936&amp;E1936&amp;F1936</f>
        <v>GlobalOpexPlant - SMR - opexPercent of Capex</v>
      </c>
      <c r="C1936" t="s">
        <v>109</v>
      </c>
      <c r="D1936" t="s">
        <v>219</v>
      </c>
      <c r="E1936" s="48" t="s">
        <v>1175</v>
      </c>
      <c r="F1936" s="128" t="s">
        <v>883</v>
      </c>
      <c r="G1936" s="531">
        <f>+INDEX('Fuel Model -  Input'!$B$3:$N$373,MATCH($B1936,'Fuel Model -  Input'!$B$3:$B$373,0),MATCH(G$2,'Fuel Model -  Input'!$B$3:$N$3,0))</f>
        <v>0.1148698354997035</v>
      </c>
      <c r="H1936" s="531">
        <f>+INDEX('Fuel Model -  Input'!$B$3:$N$373,MATCH($B1936,'Fuel Model -  Input'!$B$3:$B$373,0),MATCH(H$2,'Fuel Model -  Input'!$B$3:$N$3,0))</f>
        <v>0.1</v>
      </c>
      <c r="I1936" s="531">
        <f>+INDEX('Fuel Model -  Input'!$B$3:$N$373,MATCH($B1936,'Fuel Model -  Input'!$B$3:$B$373,0),MATCH(I$2,'Fuel Model -  Input'!$B$3:$N$3,0))</f>
        <v>8.7055056329612412E-2</v>
      </c>
      <c r="J1936" s="531">
        <f>+INDEX('Fuel Model -  Input'!$B$3:$N$373,MATCH($B1936,'Fuel Model -  Input'!$B$3:$B$373,0),MATCH(J$2,'Fuel Model -  Input'!$B$3:$N$3,0))</f>
        <v>7.5785828325519902E-2</v>
      </c>
      <c r="K1936" s="531">
        <f>+INDEX('Fuel Model -  Input'!$B$3:$N$373,MATCH($B1936,'Fuel Model -  Input'!$B$3:$B$373,0),MATCH(K$2,'Fuel Model -  Input'!$B$3:$N$3,0))</f>
        <v>6.5975395538644704E-2</v>
      </c>
      <c r="L1936" s="531">
        <f>+INDEX('Fuel Model -  Input'!$B$3:$N$373,MATCH($B1936,'Fuel Model -  Input'!$B$3:$B$373,0),MATCH(L$2,'Fuel Model -  Input'!$B$3:$N$3,0))</f>
        <v>5.7434917749851745E-2</v>
      </c>
      <c r="M1936" s="531">
        <f>+INDEX('Fuel Model -  Input'!$B$3:$N$373,MATCH($B1936,'Fuel Model -  Input'!$B$3:$B$373,0),MATCH(M$2,'Fuel Model -  Input'!$B$3:$N$3,0))</f>
        <v>0.05</v>
      </c>
    </row>
    <row r="1937" spans="2:13" ht="12.75" hidden="1" outlineLevel="1" x14ac:dyDescent="0.2">
      <c r="F1937"/>
    </row>
    <row r="1938" spans="2:13" s="30" customFormat="1" ht="15" hidden="1" outlineLevel="1" collapsed="1" x14ac:dyDescent="0.25">
      <c r="B1938" s="30" t="s">
        <v>197</v>
      </c>
      <c r="C1938" s="30" t="str">
        <f>+B1938</f>
        <v>Middle East</v>
      </c>
    </row>
    <row r="1939" spans="2:13" ht="15" hidden="1" outlineLevel="2" x14ac:dyDescent="0.25">
      <c r="B1939" t="str">
        <f>+C1939&amp;D1939&amp;E1939&amp;F1939</f>
        <v>Middle EastResultsTotal cost of Grey hydrogenUSD/ton</v>
      </c>
      <c r="C1939" s="494" t="str">
        <f>+$C$1938</f>
        <v>Middle East</v>
      </c>
      <c r="D1939" s="30" t="s">
        <v>838</v>
      </c>
      <c r="E1939" s="405" t="s">
        <v>1165</v>
      </c>
      <c r="F1939" s="127" t="s">
        <v>205</v>
      </c>
      <c r="G1939" s="490">
        <f t="shared" ref="G1939:M1939" si="1038">+SUM(G1940:G1942)</f>
        <v>5666.1375287243391</v>
      </c>
      <c r="H1939" s="490">
        <f t="shared" si="1038"/>
        <v>2416</v>
      </c>
      <c r="I1939" s="490">
        <f t="shared" si="1038"/>
        <v>1016.1546764513125</v>
      </c>
      <c r="J1939" s="490">
        <f t="shared" si="1038"/>
        <v>954.68075861598686</v>
      </c>
      <c r="K1939" s="490">
        <f t="shared" si="1038"/>
        <v>900.3159025965814</v>
      </c>
      <c r="L1939" s="490">
        <f t="shared" si="1038"/>
        <v>851.99804970439641</v>
      </c>
      <c r="M1939" s="490">
        <f t="shared" si="1038"/>
        <v>808.83333333333337</v>
      </c>
    </row>
    <row r="1940" spans="2:13" ht="15" hidden="1" outlineLevel="2" x14ac:dyDescent="0.25">
      <c r="B1940" t="str">
        <f>+C1940&amp;D1940&amp;E1940&amp;F1940</f>
        <v>Middle EastResultsTotal Capex Grey HydrogenUSD/ton</v>
      </c>
      <c r="C1940" s="494" t="str">
        <f>+$C$1938</f>
        <v>Middle East</v>
      </c>
      <c r="D1940" s="30" t="s">
        <v>838</v>
      </c>
      <c r="E1940" s="228" t="s">
        <v>1162</v>
      </c>
      <c r="F1940" s="127" t="s">
        <v>205</v>
      </c>
      <c r="G1940" s="490">
        <f t="shared" ref="G1940:M1940" si="1039">G1945</f>
        <v>274.84138167421179</v>
      </c>
      <c r="H1940" s="490">
        <f t="shared" si="1039"/>
        <v>265.00000000000006</v>
      </c>
      <c r="I1940" s="490">
        <f t="shared" si="1039"/>
        <v>255.51101356069626</v>
      </c>
      <c r="J1940" s="490">
        <f t="shared" si="1039"/>
        <v>246.36180396533697</v>
      </c>
      <c r="K1940" s="490">
        <f t="shared" si="1039"/>
        <v>237.54020465594266</v>
      </c>
      <c r="L1940" s="490">
        <f t="shared" si="1039"/>
        <v>229.03448472850988</v>
      </c>
      <c r="M1940" s="490">
        <f t="shared" si="1039"/>
        <v>220.83333333333337</v>
      </c>
    </row>
    <row r="1941" spans="2:13" ht="15" hidden="1" outlineLevel="2" x14ac:dyDescent="0.25">
      <c r="B1941" t="str">
        <f>+C1941&amp;D1941&amp;E1941&amp;F1941</f>
        <v>Middle EastResultsTotal Opex Grey HydrogenUSD/ton</v>
      </c>
      <c r="C1941" s="494" t="str">
        <f>+$C$1938</f>
        <v>Middle East</v>
      </c>
      <c r="D1941" s="30" t="s">
        <v>838</v>
      </c>
      <c r="E1941" s="228" t="s">
        <v>1163</v>
      </c>
      <c r="F1941" s="127" t="s">
        <v>205</v>
      </c>
      <c r="G1941" s="490">
        <f>+G1955</f>
        <v>357.40736945012748</v>
      </c>
      <c r="H1941" s="490">
        <f t="shared" ref="H1941:M1941" si="1040">+H1955</f>
        <v>300</v>
      </c>
      <c r="I1941" s="490">
        <f t="shared" si="1040"/>
        <v>251.81349824561624</v>
      </c>
      <c r="J1941" s="490">
        <f t="shared" si="1040"/>
        <v>211.36679299564994</v>
      </c>
      <c r="K1941" s="490">
        <f t="shared" si="1040"/>
        <v>177.41670519063879</v>
      </c>
      <c r="L1941" s="490">
        <f t="shared" si="1040"/>
        <v>148.91973727088646</v>
      </c>
      <c r="M1941" s="490">
        <f t="shared" si="1040"/>
        <v>125</v>
      </c>
    </row>
    <row r="1942" spans="2:13" ht="15" hidden="1" outlineLevel="2" x14ac:dyDescent="0.25">
      <c r="B1942" t="str">
        <f>+C1942&amp;D1942&amp;E1942&amp;F1942</f>
        <v>Middle EastResultsTotal Raw Material Grey HydrogenUSD/ton</v>
      </c>
      <c r="C1942" s="494" t="str">
        <f>+$C$1938</f>
        <v>Middle East</v>
      </c>
      <c r="D1942" s="30" t="s">
        <v>838</v>
      </c>
      <c r="E1942" s="228" t="s">
        <v>1164</v>
      </c>
      <c r="F1942" s="127" t="s">
        <v>205</v>
      </c>
      <c r="G1942" s="490">
        <f>+G1948+G1951</f>
        <v>5033.8887776000001</v>
      </c>
      <c r="H1942" s="490">
        <f t="shared" ref="H1942:M1942" si="1041">+H1948+H1951</f>
        <v>1851</v>
      </c>
      <c r="I1942" s="490">
        <f t="shared" si="1041"/>
        <v>508.83016464499997</v>
      </c>
      <c r="J1942" s="490">
        <f t="shared" si="1041"/>
        <v>496.952161655</v>
      </c>
      <c r="K1942" s="490">
        <f t="shared" si="1041"/>
        <v>485.35899274999997</v>
      </c>
      <c r="L1942" s="490">
        <f t="shared" si="1041"/>
        <v>474.04382770500001</v>
      </c>
      <c r="M1942" s="490">
        <f t="shared" si="1041"/>
        <v>463</v>
      </c>
    </row>
    <row r="1943" spans="2:13" ht="15" hidden="1" outlineLevel="2" x14ac:dyDescent="0.25">
      <c r="B1943" t="str">
        <f>+C1943&amp;D1943&amp;E1943&amp;F1943</f>
        <v>Middle EastResultsShare of total cost Raw Material Grey Hydrogen%</v>
      </c>
      <c r="C1943" s="494" t="str">
        <f>+$C$1938</f>
        <v>Middle East</v>
      </c>
      <c r="D1943" s="30" t="s">
        <v>838</v>
      </c>
      <c r="E1943" s="228" t="s">
        <v>1166</v>
      </c>
      <c r="F1943" s="127" t="s">
        <v>178</v>
      </c>
      <c r="G1943" s="553">
        <f t="shared" ref="G1943:M1943" si="1042">+G1942/G1939</f>
        <v>0.8884162715925672</v>
      </c>
      <c r="H1943" s="553">
        <f t="shared" si="1042"/>
        <v>0.76614238410596025</v>
      </c>
      <c r="I1943" s="553">
        <f t="shared" si="1042"/>
        <v>0.50074085809649849</v>
      </c>
      <c r="J1943" s="553">
        <f t="shared" si="1042"/>
        <v>0.52054276486669537</v>
      </c>
      <c r="K1943" s="553">
        <f t="shared" si="1042"/>
        <v>0.53909854457772732</v>
      </c>
      <c r="L1943" s="553">
        <f t="shared" si="1042"/>
        <v>0.55639074275988198</v>
      </c>
      <c r="M1943" s="553">
        <f t="shared" si="1042"/>
        <v>0.57242942509787753</v>
      </c>
    </row>
    <row r="1944" spans="2:13" hidden="1" outlineLevel="2" x14ac:dyDescent="0.2">
      <c r="E1944" s="48"/>
      <c r="F1944" s="128"/>
      <c r="G1944" s="8"/>
      <c r="H1944" s="8"/>
      <c r="I1944" s="8"/>
      <c r="J1944" s="8"/>
      <c r="K1944" s="8"/>
      <c r="L1944" s="8"/>
      <c r="M1944" s="8"/>
    </row>
    <row r="1945" spans="2:13" hidden="1" outlineLevel="2" x14ac:dyDescent="0.2">
      <c r="B1945" t="str">
        <f t="shared" ref="B1945:B1953" si="1043">+C1945&amp;D1945&amp;E1945&amp;F1945</f>
        <v>Middle EastPlant - SMRCapex Grey Hydrogen USD/ton H2</v>
      </c>
      <c r="C1945" s="494" t="str">
        <f>+$C$1938</f>
        <v>Middle East</v>
      </c>
      <c r="D1945" t="s">
        <v>1167</v>
      </c>
      <c r="E1945" s="48" t="s">
        <v>1168</v>
      </c>
      <c r="F1945" s="128" t="s">
        <v>881</v>
      </c>
      <c r="G1945" s="8">
        <f t="shared" ref="G1945:M1945" si="1044">G1947/G1946</f>
        <v>274.84138167421179</v>
      </c>
      <c r="H1945" s="8">
        <f t="shared" si="1044"/>
        <v>265.00000000000006</v>
      </c>
      <c r="I1945" s="8">
        <f t="shared" si="1044"/>
        <v>255.51101356069626</v>
      </c>
      <c r="J1945" s="8">
        <f t="shared" si="1044"/>
        <v>246.36180396533697</v>
      </c>
      <c r="K1945" s="8">
        <f t="shared" si="1044"/>
        <v>237.54020465594266</v>
      </c>
      <c r="L1945" s="8">
        <f t="shared" si="1044"/>
        <v>229.03448472850988</v>
      </c>
      <c r="M1945" s="8">
        <f t="shared" si="1044"/>
        <v>220.83333333333337</v>
      </c>
    </row>
    <row r="1946" spans="2:13" hidden="1" outlineLevel="2" x14ac:dyDescent="0.2">
      <c r="B1946" t="str">
        <f t="shared" si="1043"/>
        <v>GlobalPlant capexAnnualisation factor#</v>
      </c>
      <c r="C1946" t="s">
        <v>109</v>
      </c>
      <c r="D1946" t="s">
        <v>786</v>
      </c>
      <c r="E1946" t="s">
        <v>764</v>
      </c>
      <c r="F1946" s="450" t="s">
        <v>787</v>
      </c>
      <c r="G1946" s="532">
        <f>+INDEX('Fuel Model -  Input'!$B$3:$N$373,MATCH($B1946,'Fuel Model -  Input'!$B$3:$B$373,0),MATCH(G$2,'Fuel Model -  Input'!$B$3:$N$3,0))</f>
        <v>11.32075471698113</v>
      </c>
      <c r="H1946" s="532">
        <f>+INDEX('Fuel Model -  Input'!$B$3:$N$373,MATCH($B1946,'Fuel Model -  Input'!$B$3:$B$373,0),MATCH(H$2,'Fuel Model -  Input'!$B$3:$N$3,0))</f>
        <v>11.32075471698113</v>
      </c>
      <c r="I1946" s="532">
        <f>+INDEX('Fuel Model -  Input'!$B$3:$N$373,MATCH($B1946,'Fuel Model -  Input'!$B$3:$B$373,0),MATCH(I$2,'Fuel Model -  Input'!$B$3:$N$3,0))</f>
        <v>11.32075471698113</v>
      </c>
      <c r="J1946" s="532">
        <f>+INDEX('Fuel Model -  Input'!$B$3:$N$373,MATCH($B1946,'Fuel Model -  Input'!$B$3:$B$373,0),MATCH(J$2,'Fuel Model -  Input'!$B$3:$N$3,0))</f>
        <v>11.32075471698113</v>
      </c>
      <c r="K1946" s="532">
        <f>+INDEX('Fuel Model -  Input'!$B$3:$N$373,MATCH($B1946,'Fuel Model -  Input'!$B$3:$B$373,0),MATCH(K$2,'Fuel Model -  Input'!$B$3:$N$3,0))</f>
        <v>11.32075471698113</v>
      </c>
      <c r="L1946" s="532">
        <f>+INDEX('Fuel Model -  Input'!$B$3:$N$373,MATCH($B1946,'Fuel Model -  Input'!$B$3:$B$373,0),MATCH(L$2,'Fuel Model -  Input'!$B$3:$N$3,0))</f>
        <v>11.32075471698113</v>
      </c>
      <c r="M1946" s="532">
        <f>+INDEX('Fuel Model -  Input'!$B$3:$N$373,MATCH($B1946,'Fuel Model -  Input'!$B$3:$B$373,0),MATCH(M$2,'Fuel Model -  Input'!$B$3:$N$3,0))</f>
        <v>11.32075471698113</v>
      </c>
    </row>
    <row r="1947" spans="2:13" hidden="1" outlineLevel="2" x14ac:dyDescent="0.2">
      <c r="B1947" t="str">
        <f t="shared" si="1043"/>
        <v>GlobalCapexSMR - PlantUSD/ton H2 Cap</v>
      </c>
      <c r="C1947" t="s">
        <v>109</v>
      </c>
      <c r="D1947" t="s">
        <v>218</v>
      </c>
      <c r="E1947" s="48" t="s">
        <v>1169</v>
      </c>
      <c r="F1947" s="128" t="s">
        <v>1170</v>
      </c>
      <c r="G1947" s="532">
        <f>+INDEX('Fuel Model -  Input'!$B$3:$N$373,MATCH($B1947,'Fuel Model -  Input'!$B$3:$B$373,0),MATCH(G$2,'Fuel Model -  Input'!$B$3:$N$3,0))</f>
        <v>3111.4118680099441</v>
      </c>
      <c r="H1947" s="532">
        <f>+INDEX('Fuel Model -  Input'!$B$3:$N$373,MATCH($B1947,'Fuel Model -  Input'!$B$3:$B$373,0),MATCH(H$2,'Fuel Model -  Input'!$B$3:$N$3,0))</f>
        <v>3000</v>
      </c>
      <c r="I1947" s="532">
        <f>+INDEX('Fuel Model -  Input'!$B$3:$N$373,MATCH($B1947,'Fuel Model -  Input'!$B$3:$B$373,0),MATCH(I$2,'Fuel Model -  Input'!$B$3:$N$3,0))</f>
        <v>2892.5775120078815</v>
      </c>
      <c r="J1947" s="532">
        <f>+INDEX('Fuel Model -  Input'!$B$3:$N$373,MATCH($B1947,'Fuel Model -  Input'!$B$3:$B$373,0),MATCH(J$2,'Fuel Model -  Input'!$B$3:$N$3,0))</f>
        <v>2789.001554324569</v>
      </c>
      <c r="K1947" s="532">
        <f>+INDEX('Fuel Model -  Input'!$B$3:$N$373,MATCH($B1947,'Fuel Model -  Input'!$B$3:$B$373,0),MATCH(K$2,'Fuel Model -  Input'!$B$3:$N$3,0))</f>
        <v>2689.1343923314257</v>
      </c>
      <c r="L1947" s="532">
        <f>+INDEX('Fuel Model -  Input'!$B$3:$N$373,MATCH($B1947,'Fuel Model -  Input'!$B$3:$B$373,0),MATCH(L$2,'Fuel Model -  Input'!$B$3:$N$3,0))</f>
        <v>2592.8432233416206</v>
      </c>
      <c r="M1947" s="532">
        <f>+INDEX('Fuel Model -  Input'!$B$3:$N$373,MATCH($B1947,'Fuel Model -  Input'!$B$3:$B$373,0),MATCH(M$2,'Fuel Model -  Input'!$B$3:$N$3,0))</f>
        <v>2500</v>
      </c>
    </row>
    <row r="1948" spans="2:13" hidden="1" outlineLevel="2" x14ac:dyDescent="0.2">
      <c r="B1948" t="str">
        <f t="shared" si="1043"/>
        <v>Middle EastFeedstockCost of NG in H2USD/ton H2</v>
      </c>
      <c r="C1948" s="494" t="str">
        <f>+$C$1938</f>
        <v>Middle East</v>
      </c>
      <c r="D1948" t="s">
        <v>777</v>
      </c>
      <c r="E1948" t="s">
        <v>1171</v>
      </c>
      <c r="F1948" s="128" t="s">
        <v>881</v>
      </c>
      <c r="G1948" s="337">
        <f t="shared" ref="G1948:M1948" si="1045">G1949*G1950</f>
        <v>5020.3887776000001</v>
      </c>
      <c r="H1948" s="337">
        <f t="shared" si="1045"/>
        <v>1837.5</v>
      </c>
      <c r="I1948" s="337">
        <f t="shared" si="1045"/>
        <v>495.33016464499997</v>
      </c>
      <c r="J1948" s="337">
        <f t="shared" si="1045"/>
        <v>483.452161655</v>
      </c>
      <c r="K1948" s="337">
        <f t="shared" si="1045"/>
        <v>471.85899274999997</v>
      </c>
      <c r="L1948" s="337">
        <f t="shared" si="1045"/>
        <v>460.54382770500001</v>
      </c>
      <c r="M1948" s="337">
        <f t="shared" si="1045"/>
        <v>449.5</v>
      </c>
    </row>
    <row r="1949" spans="2:13" hidden="1" outlineLevel="2" x14ac:dyDescent="0.2">
      <c r="B1949" t="str">
        <f t="shared" si="1043"/>
        <v>GlobalFeedstockConversion NG : H2 (actual)kg NG/kg H2</v>
      </c>
      <c r="C1949" t="s">
        <v>109</v>
      </c>
      <c r="D1949" t="s">
        <v>777</v>
      </c>
      <c r="E1949" t="s">
        <v>1172</v>
      </c>
      <c r="F1949" s="128" t="s">
        <v>1173</v>
      </c>
      <c r="G1949" s="521">
        <f>INDEX('Fuel Model -  Input'!$B$3:$N$373,MATCH($B1949,'Fuel Model -  Input'!$B$3:$B$373,0),MATCH(G$2,'Fuel Model -  Input'!$B$3:$N$3,0))</f>
        <v>3.5859919840000001</v>
      </c>
      <c r="H1949" s="521">
        <f>INDEX('Fuel Model -  Input'!$B$3:$N$373,MATCH($B1949,'Fuel Model -  Input'!$B$3:$B$373,0),MATCH(H$2,'Fuel Model -  Input'!$B$3:$N$3,0))</f>
        <v>3.5</v>
      </c>
      <c r="I1949" s="521">
        <f>INDEX('Fuel Model -  Input'!$B$3:$N$373,MATCH($B1949,'Fuel Model -  Input'!$B$3:$B$373,0),MATCH(I$2,'Fuel Model -  Input'!$B$3:$N$3,0))</f>
        <v>3.4160701009999999</v>
      </c>
      <c r="J1949" s="521">
        <f>INDEX('Fuel Model -  Input'!$B$3:$N$373,MATCH($B1949,'Fuel Model -  Input'!$B$3:$B$373,0),MATCH(J$2,'Fuel Model -  Input'!$B$3:$N$3,0))</f>
        <v>3.3341528390000001</v>
      </c>
      <c r="K1949" s="521">
        <f>INDEX('Fuel Model -  Input'!$B$3:$N$373,MATCH($B1949,'Fuel Model -  Input'!$B$3:$B$373,0),MATCH(K$2,'Fuel Model -  Input'!$B$3:$N$3,0))</f>
        <v>3.2541999499999998</v>
      </c>
      <c r="L1949" s="521">
        <f>INDEX('Fuel Model -  Input'!$B$3:$N$373,MATCH($B1949,'Fuel Model -  Input'!$B$3:$B$373,0),MATCH(L$2,'Fuel Model -  Input'!$B$3:$N$3,0))</f>
        <v>3.1761643290000001</v>
      </c>
      <c r="M1949" s="521">
        <f>INDEX('Fuel Model -  Input'!$B$3:$N$373,MATCH($B1949,'Fuel Model -  Input'!$B$3:$B$373,0),MATCH(M$2,'Fuel Model -  Input'!$B$3:$N$3,0))</f>
        <v>3.1</v>
      </c>
    </row>
    <row r="1950" spans="2:13" hidden="1" outlineLevel="2" x14ac:dyDescent="0.2">
      <c r="B1950" t="str">
        <f t="shared" si="1043"/>
        <v>Middle EastFeedstockCost of NGUSD/ton</v>
      </c>
      <c r="C1950" t="str">
        <f>+$C$1938</f>
        <v>Middle East</v>
      </c>
      <c r="D1950" t="s">
        <v>777</v>
      </c>
      <c r="E1950" t="s">
        <v>1144</v>
      </c>
      <c r="F1950" s="128" t="s">
        <v>205</v>
      </c>
      <c r="G1950" s="532">
        <f>+INDEX('Fuel Model -  Input'!$B$3:$N$373,MATCH($B1950,'Fuel Model -  Input'!$B$3:$B$373,0),MATCH(G$2,'Fuel Model -  Input'!$B$3:$N$3,0))</f>
        <v>1400</v>
      </c>
      <c r="H1950" s="532">
        <f>+INDEX('Fuel Model -  Input'!$B$3:$N$373,MATCH($B1950,'Fuel Model -  Input'!$B$3:$B$373,0),MATCH(H$2,'Fuel Model -  Input'!$B$3:$N$3,0))</f>
        <v>525</v>
      </c>
      <c r="I1950" s="532">
        <f>+INDEX('Fuel Model -  Input'!$B$3:$N$373,MATCH($B1950,'Fuel Model -  Input'!$B$3:$B$373,0),MATCH(I$2,'Fuel Model -  Input'!$B$3:$N$3,0))</f>
        <v>145</v>
      </c>
      <c r="J1950" s="532">
        <f>+INDEX('Fuel Model -  Input'!$B$3:$N$373,MATCH($B1950,'Fuel Model -  Input'!$B$3:$B$373,0),MATCH(J$2,'Fuel Model -  Input'!$B$3:$N$3,0))</f>
        <v>145</v>
      </c>
      <c r="K1950" s="532">
        <f>+INDEX('Fuel Model -  Input'!$B$3:$N$373,MATCH($B1950,'Fuel Model -  Input'!$B$3:$B$373,0),MATCH(K$2,'Fuel Model -  Input'!$B$3:$N$3,0))</f>
        <v>145</v>
      </c>
      <c r="L1950" s="532">
        <f>+INDEX('Fuel Model -  Input'!$B$3:$N$373,MATCH($B1950,'Fuel Model -  Input'!$B$3:$B$373,0),MATCH(L$2,'Fuel Model -  Input'!$B$3:$N$3,0))</f>
        <v>145</v>
      </c>
      <c r="M1950" s="532">
        <f>+INDEX('Fuel Model -  Input'!$B$3:$N$373,MATCH($B1950,'Fuel Model -  Input'!$B$3:$B$373,0),MATCH(M$2,'Fuel Model -  Input'!$B$3:$N$3,0))</f>
        <v>145</v>
      </c>
    </row>
    <row r="1951" spans="2:13" hidden="1" outlineLevel="2" x14ac:dyDescent="0.2">
      <c r="B1951" t="str">
        <f t="shared" si="1043"/>
        <v>Middle EastFeedstockCost of H2O in H2USD/ton H2</v>
      </c>
      <c r="C1951" s="494" t="str">
        <f>C1950</f>
        <v>Middle East</v>
      </c>
      <c r="D1951" t="s">
        <v>777</v>
      </c>
      <c r="E1951" t="s">
        <v>897</v>
      </c>
      <c r="F1951" s="128" t="s">
        <v>881</v>
      </c>
      <c r="G1951" s="337">
        <f t="shared" ref="G1951:M1951" si="1046">G1952*G1953</f>
        <v>13.5</v>
      </c>
      <c r="H1951" s="337">
        <f t="shared" si="1046"/>
        <v>13.5</v>
      </c>
      <c r="I1951" s="337">
        <f t="shared" si="1046"/>
        <v>13.5</v>
      </c>
      <c r="J1951" s="337">
        <f t="shared" si="1046"/>
        <v>13.5</v>
      </c>
      <c r="K1951" s="337">
        <f t="shared" si="1046"/>
        <v>13.5</v>
      </c>
      <c r="L1951" s="337">
        <f t="shared" si="1046"/>
        <v>13.5</v>
      </c>
      <c r="M1951" s="337">
        <f t="shared" si="1046"/>
        <v>13.5</v>
      </c>
    </row>
    <row r="1952" spans="2:13" hidden="1" outlineLevel="2" x14ac:dyDescent="0.2">
      <c r="B1952" t="str">
        <f t="shared" si="1043"/>
        <v>GlobalFeedstockConversion H2O:H2 (actual)ton H2O/ton H2</v>
      </c>
      <c r="C1952" t="s">
        <v>109</v>
      </c>
      <c r="D1952" t="s">
        <v>777</v>
      </c>
      <c r="E1952" t="s">
        <v>898</v>
      </c>
      <c r="F1952" s="128" t="s">
        <v>899</v>
      </c>
      <c r="G1952" s="495">
        <f>INDEX('Fuel Model -  Input'!$B$3:$N$373,MATCH($B1952,'Fuel Model -  Input'!$B$3:$B$373,0),MATCH(G$2,'Fuel Model -  Input'!$B$3:$N$3,0))</f>
        <v>9</v>
      </c>
      <c r="H1952" s="495">
        <f>INDEX('Fuel Model -  Input'!$B$3:$N$373,MATCH($B1952,'Fuel Model -  Input'!$B$3:$B$373,0),MATCH(H$2,'Fuel Model -  Input'!$B$3:$N$3,0))</f>
        <v>9</v>
      </c>
      <c r="I1952" s="495">
        <f>INDEX('Fuel Model -  Input'!$B$3:$N$373,MATCH($B1952,'Fuel Model -  Input'!$B$3:$B$373,0),MATCH(I$2,'Fuel Model -  Input'!$B$3:$N$3,0))</f>
        <v>9</v>
      </c>
      <c r="J1952" s="495">
        <f>INDEX('Fuel Model -  Input'!$B$3:$N$373,MATCH($B1952,'Fuel Model -  Input'!$B$3:$B$373,0),MATCH(J$2,'Fuel Model -  Input'!$B$3:$N$3,0))</f>
        <v>9</v>
      </c>
      <c r="K1952" s="495">
        <f>INDEX('Fuel Model -  Input'!$B$3:$N$373,MATCH($B1952,'Fuel Model -  Input'!$B$3:$B$373,0),MATCH(K$2,'Fuel Model -  Input'!$B$3:$N$3,0))</f>
        <v>9</v>
      </c>
      <c r="L1952" s="495">
        <f>INDEX('Fuel Model -  Input'!$B$3:$N$373,MATCH($B1952,'Fuel Model -  Input'!$B$3:$B$373,0),MATCH(L$2,'Fuel Model -  Input'!$B$3:$N$3,0))</f>
        <v>9</v>
      </c>
      <c r="M1952" s="495">
        <f>INDEX('Fuel Model -  Input'!$B$3:$N$373,MATCH($B1952,'Fuel Model -  Input'!$B$3:$B$373,0),MATCH(M$2,'Fuel Model -  Input'!$B$3:$N$3,0))</f>
        <v>9</v>
      </c>
    </row>
    <row r="1953" spans="2:13" hidden="1" outlineLevel="2" x14ac:dyDescent="0.2">
      <c r="B1953" t="str">
        <f t="shared" si="1043"/>
        <v>GlobalFeedstockDemineralized water costUSD/ton demin H2O</v>
      </c>
      <c r="C1953" s="494" t="s">
        <v>109</v>
      </c>
      <c r="D1953" t="s">
        <v>777</v>
      </c>
      <c r="E1953" t="s">
        <v>900</v>
      </c>
      <c r="F1953" s="450" t="s">
        <v>901</v>
      </c>
      <c r="G1953" s="495">
        <f>+INDEX('Fuel Model -  Input'!$B$3:$N$373,MATCH($B1953,'Fuel Model -  Input'!$B$3:$B$373,0),MATCH(G$2,'Fuel Model -  Input'!$B$3:$N$3,0))</f>
        <v>1.5</v>
      </c>
      <c r="H1953" s="495">
        <f>+INDEX('Fuel Model -  Input'!$B$3:$N$373,MATCH($B1953,'Fuel Model -  Input'!$B$3:$B$373,0),MATCH(H$2,'Fuel Model -  Input'!$B$3:$N$3,0))</f>
        <v>1.5</v>
      </c>
      <c r="I1953" s="495">
        <f>+INDEX('Fuel Model -  Input'!$B$3:$N$373,MATCH($B1953,'Fuel Model -  Input'!$B$3:$B$373,0),MATCH(I$2,'Fuel Model -  Input'!$B$3:$N$3,0))</f>
        <v>1.5</v>
      </c>
      <c r="J1953" s="495">
        <f>+INDEX('Fuel Model -  Input'!$B$3:$N$373,MATCH($B1953,'Fuel Model -  Input'!$B$3:$B$373,0),MATCH(J$2,'Fuel Model -  Input'!$B$3:$N$3,0))</f>
        <v>1.5</v>
      </c>
      <c r="K1953" s="495">
        <f>+INDEX('Fuel Model -  Input'!$B$3:$N$373,MATCH($B1953,'Fuel Model -  Input'!$B$3:$B$373,0),MATCH(K$2,'Fuel Model -  Input'!$B$3:$N$3,0))</f>
        <v>1.5</v>
      </c>
      <c r="L1953" s="495">
        <f>+INDEX('Fuel Model -  Input'!$B$3:$N$373,MATCH($B1953,'Fuel Model -  Input'!$B$3:$B$373,0),MATCH(L$2,'Fuel Model -  Input'!$B$3:$N$3,0))</f>
        <v>1.5</v>
      </c>
      <c r="M1953" s="495">
        <f>+INDEX('Fuel Model -  Input'!$B$3:$N$373,MATCH($B1953,'Fuel Model -  Input'!$B$3:$B$373,0),MATCH(M$2,'Fuel Model -  Input'!$B$3:$N$3,0))</f>
        <v>1.5</v>
      </c>
    </row>
    <row r="1954" spans="2:13" hidden="1" outlineLevel="2" x14ac:dyDescent="0.2">
      <c r="F1954" s="128"/>
      <c r="G1954" s="524"/>
      <c r="H1954" s="524"/>
      <c r="I1954" s="524"/>
      <c r="J1954" s="524"/>
      <c r="K1954" s="524"/>
      <c r="L1954" s="524"/>
      <c r="M1954" s="524"/>
    </row>
    <row r="1955" spans="2:13" hidden="1" outlineLevel="2" x14ac:dyDescent="0.2">
      <c r="B1955" t="str">
        <f>+C1955&amp;D1955&amp;E1955&amp;F1955</f>
        <v>Middle EastOpexSMRUSD/ton H2</v>
      </c>
      <c r="C1955" s="494" t="str">
        <f>+$C$1938</f>
        <v>Middle East</v>
      </c>
      <c r="D1955" t="s">
        <v>219</v>
      </c>
      <c r="E1955" s="48" t="s">
        <v>1174</v>
      </c>
      <c r="F1955" s="128" t="s">
        <v>881</v>
      </c>
      <c r="G1955" s="337">
        <f t="shared" ref="G1955:M1955" si="1047">G1956*G1947</f>
        <v>357.40736945012748</v>
      </c>
      <c r="H1955" s="337">
        <f t="shared" si="1047"/>
        <v>300</v>
      </c>
      <c r="I1955" s="337">
        <f t="shared" si="1047"/>
        <v>251.81349824561624</v>
      </c>
      <c r="J1955" s="337">
        <f t="shared" si="1047"/>
        <v>211.36679299564994</v>
      </c>
      <c r="K1955" s="337">
        <f t="shared" si="1047"/>
        <v>177.41670519063879</v>
      </c>
      <c r="L1955" s="337">
        <f t="shared" si="1047"/>
        <v>148.91973727088646</v>
      </c>
      <c r="M1955" s="337">
        <f t="shared" si="1047"/>
        <v>125</v>
      </c>
    </row>
    <row r="1956" spans="2:13" hidden="1" outlineLevel="2" x14ac:dyDescent="0.2">
      <c r="B1956" t="str">
        <f>+C1956&amp;D1956&amp;E1956&amp;F1956</f>
        <v>GlobalOpexPlant - SMR - opexPercent of Capex</v>
      </c>
      <c r="C1956" t="s">
        <v>109</v>
      </c>
      <c r="D1956" t="s">
        <v>219</v>
      </c>
      <c r="E1956" s="48" t="s">
        <v>1175</v>
      </c>
      <c r="F1956" s="128" t="s">
        <v>883</v>
      </c>
      <c r="G1956" s="531">
        <f>+INDEX('Fuel Model -  Input'!$B$3:$N$373,MATCH($B1956,'Fuel Model -  Input'!$B$3:$B$373,0),MATCH(G$2,'Fuel Model -  Input'!$B$3:$N$3,0))</f>
        <v>0.1148698354997035</v>
      </c>
      <c r="H1956" s="531">
        <f>+INDEX('Fuel Model -  Input'!$B$3:$N$373,MATCH($B1956,'Fuel Model -  Input'!$B$3:$B$373,0),MATCH(H$2,'Fuel Model -  Input'!$B$3:$N$3,0))</f>
        <v>0.1</v>
      </c>
      <c r="I1956" s="531">
        <f>+INDEX('Fuel Model -  Input'!$B$3:$N$373,MATCH($B1956,'Fuel Model -  Input'!$B$3:$B$373,0),MATCH(I$2,'Fuel Model -  Input'!$B$3:$N$3,0))</f>
        <v>8.7055056329612412E-2</v>
      </c>
      <c r="J1956" s="531">
        <f>+INDEX('Fuel Model -  Input'!$B$3:$N$373,MATCH($B1956,'Fuel Model -  Input'!$B$3:$B$373,0),MATCH(J$2,'Fuel Model -  Input'!$B$3:$N$3,0))</f>
        <v>7.5785828325519902E-2</v>
      </c>
      <c r="K1956" s="531">
        <f>+INDEX('Fuel Model -  Input'!$B$3:$N$373,MATCH($B1956,'Fuel Model -  Input'!$B$3:$B$373,0),MATCH(K$2,'Fuel Model -  Input'!$B$3:$N$3,0))</f>
        <v>6.5975395538644704E-2</v>
      </c>
      <c r="L1956" s="531">
        <f>+INDEX('Fuel Model -  Input'!$B$3:$N$373,MATCH($B1956,'Fuel Model -  Input'!$B$3:$B$373,0),MATCH(L$2,'Fuel Model -  Input'!$B$3:$N$3,0))</f>
        <v>5.7434917749851745E-2</v>
      </c>
      <c r="M1956" s="531">
        <f>+INDEX('Fuel Model -  Input'!$B$3:$N$373,MATCH($B1956,'Fuel Model -  Input'!$B$3:$B$373,0),MATCH(M$2,'Fuel Model -  Input'!$B$3:$N$3,0))</f>
        <v>0.05</v>
      </c>
    </row>
    <row r="1957" spans="2:13" ht="12.75" hidden="1" outlineLevel="1" x14ac:dyDescent="0.2">
      <c r="F1957"/>
    </row>
    <row r="1958" spans="2:13" s="30" customFormat="1" ht="15" hidden="1" outlineLevel="1" collapsed="1" x14ac:dyDescent="0.25">
      <c r="B1958" s="30" t="s">
        <v>198</v>
      </c>
      <c r="C1958" s="30" t="str">
        <f>+B1958</f>
        <v>Asia</v>
      </c>
    </row>
    <row r="1959" spans="2:13" ht="15" hidden="1" outlineLevel="2" x14ac:dyDescent="0.25">
      <c r="B1959" t="str">
        <f>+C1959&amp;D1959&amp;E1959&amp;F1959</f>
        <v>AsiaResultsTotal cost of Grey hydrogenUSD/ton</v>
      </c>
      <c r="C1959" s="494" t="str">
        <f>+$C$1958</f>
        <v>Asia</v>
      </c>
      <c r="D1959" s="30" t="s">
        <v>838</v>
      </c>
      <c r="E1959" s="405" t="s">
        <v>1165</v>
      </c>
      <c r="F1959" s="127" t="s">
        <v>205</v>
      </c>
      <c r="G1959" s="490">
        <f t="shared" ref="G1959:M1959" si="1048">+SUM(G1960:G1962)</f>
        <v>6383.3359255243395</v>
      </c>
      <c r="H1959" s="490">
        <f t="shared" si="1048"/>
        <v>3116</v>
      </c>
      <c r="I1959" s="490">
        <f t="shared" si="1048"/>
        <v>1716.4490471563124</v>
      </c>
      <c r="J1959" s="490">
        <f t="shared" si="1048"/>
        <v>1638.182090610987</v>
      </c>
      <c r="K1959" s="490">
        <f t="shared" si="1048"/>
        <v>1567.4268923465816</v>
      </c>
      <c r="L1959" s="490">
        <f t="shared" si="1048"/>
        <v>1503.1117371493965</v>
      </c>
      <c r="M1959" s="490">
        <f t="shared" si="1048"/>
        <v>1444.3333333333335</v>
      </c>
    </row>
    <row r="1960" spans="2:13" ht="15" hidden="1" outlineLevel="2" x14ac:dyDescent="0.25">
      <c r="B1960" t="str">
        <f>+C1960&amp;D1960&amp;E1960&amp;F1960</f>
        <v>AsiaResultsTotal Capex Grey HydrogenUSD/ton</v>
      </c>
      <c r="C1960" s="494" t="str">
        <f>+$C$1958</f>
        <v>Asia</v>
      </c>
      <c r="D1960" s="30" t="s">
        <v>838</v>
      </c>
      <c r="E1960" s="228" t="s">
        <v>1162</v>
      </c>
      <c r="F1960" s="127" t="s">
        <v>205</v>
      </c>
      <c r="G1960" s="490">
        <f t="shared" ref="G1960:M1960" si="1049">G1965</f>
        <v>274.84138167421179</v>
      </c>
      <c r="H1960" s="490">
        <f t="shared" si="1049"/>
        <v>265.00000000000006</v>
      </c>
      <c r="I1960" s="490">
        <f t="shared" si="1049"/>
        <v>255.51101356069626</v>
      </c>
      <c r="J1960" s="490">
        <f t="shared" si="1049"/>
        <v>246.36180396533697</v>
      </c>
      <c r="K1960" s="490">
        <f t="shared" si="1049"/>
        <v>237.54020465594266</v>
      </c>
      <c r="L1960" s="490">
        <f t="shared" si="1049"/>
        <v>229.03448472850988</v>
      </c>
      <c r="M1960" s="490">
        <f t="shared" si="1049"/>
        <v>220.83333333333337</v>
      </c>
    </row>
    <row r="1961" spans="2:13" ht="15" hidden="1" outlineLevel="2" x14ac:dyDescent="0.25">
      <c r="B1961" t="str">
        <f>+C1961&amp;D1961&amp;E1961&amp;F1961</f>
        <v>AsiaResultsTotal Opex Grey HydrogenUSD/ton</v>
      </c>
      <c r="C1961" s="494" t="str">
        <f>+$C$1958</f>
        <v>Asia</v>
      </c>
      <c r="D1961" s="30" t="s">
        <v>838</v>
      </c>
      <c r="E1961" s="228" t="s">
        <v>1163</v>
      </c>
      <c r="F1961" s="127" t="s">
        <v>205</v>
      </c>
      <c r="G1961" s="490">
        <f>+G1975</f>
        <v>357.40736945012748</v>
      </c>
      <c r="H1961" s="490">
        <f t="shared" ref="H1961:M1961" si="1050">+H1975</f>
        <v>300</v>
      </c>
      <c r="I1961" s="490">
        <f t="shared" si="1050"/>
        <v>251.81349824561624</v>
      </c>
      <c r="J1961" s="490">
        <f t="shared" si="1050"/>
        <v>211.36679299564994</v>
      </c>
      <c r="K1961" s="490">
        <f t="shared" si="1050"/>
        <v>177.41670519063879</v>
      </c>
      <c r="L1961" s="490">
        <f t="shared" si="1050"/>
        <v>148.91973727088646</v>
      </c>
      <c r="M1961" s="490">
        <f t="shared" si="1050"/>
        <v>125</v>
      </c>
    </row>
    <row r="1962" spans="2:13" ht="15" hidden="1" outlineLevel="2" x14ac:dyDescent="0.25">
      <c r="B1962" t="str">
        <f>+C1962&amp;D1962&amp;E1962&amp;F1962</f>
        <v>AsiaResultsTotal Raw Material Grey HydrogenUSD/ton</v>
      </c>
      <c r="C1962" s="494" t="str">
        <f>+$C$1958</f>
        <v>Asia</v>
      </c>
      <c r="D1962" s="30" t="s">
        <v>838</v>
      </c>
      <c r="E1962" s="228" t="s">
        <v>1164</v>
      </c>
      <c r="F1962" s="127" t="s">
        <v>205</v>
      </c>
      <c r="G1962" s="490">
        <f>+G1968+G1971</f>
        <v>5751.0871744000005</v>
      </c>
      <c r="H1962" s="490">
        <f t="shared" ref="H1962:M1962" si="1051">+H1968+H1971</f>
        <v>2551</v>
      </c>
      <c r="I1962" s="490">
        <f t="shared" si="1051"/>
        <v>1209.1245353499999</v>
      </c>
      <c r="J1962" s="490">
        <f t="shared" si="1051"/>
        <v>1180.4534936500002</v>
      </c>
      <c r="K1962" s="490">
        <f t="shared" si="1051"/>
        <v>1152.4699825</v>
      </c>
      <c r="L1962" s="490">
        <f t="shared" si="1051"/>
        <v>1125.1575151500001</v>
      </c>
      <c r="M1962" s="490">
        <f t="shared" si="1051"/>
        <v>1098.5</v>
      </c>
    </row>
    <row r="1963" spans="2:13" ht="15" hidden="1" outlineLevel="2" x14ac:dyDescent="0.25">
      <c r="B1963" t="str">
        <f>+C1963&amp;D1963&amp;E1963&amp;F1963</f>
        <v>AsiaResultsShare of total cost Raw Material Grey Hydrogen%</v>
      </c>
      <c r="C1963" s="494" t="str">
        <f>+$C$1958</f>
        <v>Asia</v>
      </c>
      <c r="D1963" s="30" t="s">
        <v>838</v>
      </c>
      <c r="E1963" s="228" t="s">
        <v>1166</v>
      </c>
      <c r="F1963" s="127" t="s">
        <v>178</v>
      </c>
      <c r="G1963" s="553">
        <f t="shared" ref="G1963:M1963" si="1052">+G1962/G1959</f>
        <v>0.90095323847892206</v>
      </c>
      <c r="H1963" s="553">
        <f t="shared" si="1052"/>
        <v>0.81867779204107827</v>
      </c>
      <c r="I1963" s="553">
        <f t="shared" si="1052"/>
        <v>0.70443368962987229</v>
      </c>
      <c r="J1963" s="553">
        <f t="shared" si="1052"/>
        <v>0.72058747340457774</v>
      </c>
      <c r="K1963" s="553">
        <f t="shared" si="1052"/>
        <v>0.73526235139084983</v>
      </c>
      <c r="L1963" s="553">
        <f t="shared" si="1052"/>
        <v>0.74855214508791312</v>
      </c>
      <c r="M1963" s="553">
        <f t="shared" si="1052"/>
        <v>0.76055850450034612</v>
      </c>
    </row>
    <row r="1964" spans="2:13" hidden="1" outlineLevel="2" x14ac:dyDescent="0.2">
      <c r="E1964" s="48"/>
      <c r="F1964" s="128"/>
      <c r="G1964" s="8"/>
      <c r="H1964" s="8"/>
      <c r="I1964" s="8"/>
      <c r="J1964" s="8"/>
      <c r="K1964" s="8"/>
      <c r="L1964" s="8"/>
      <c r="M1964" s="8"/>
    </row>
    <row r="1965" spans="2:13" hidden="1" outlineLevel="2" x14ac:dyDescent="0.2">
      <c r="B1965" t="str">
        <f t="shared" ref="B1965:B1973" si="1053">+C1965&amp;D1965&amp;E1965&amp;F1965</f>
        <v>AsiaPlant - SMRCapex Grey Hydrogen USD/ton H2</v>
      </c>
      <c r="C1965" s="494" t="str">
        <f>+$C$1958</f>
        <v>Asia</v>
      </c>
      <c r="D1965" t="s">
        <v>1167</v>
      </c>
      <c r="E1965" s="48" t="s">
        <v>1168</v>
      </c>
      <c r="F1965" s="128" t="s">
        <v>881</v>
      </c>
      <c r="G1965" s="8">
        <f t="shared" ref="G1965:M1965" si="1054">G1967/G1966</f>
        <v>274.84138167421179</v>
      </c>
      <c r="H1965" s="8">
        <f t="shared" si="1054"/>
        <v>265.00000000000006</v>
      </c>
      <c r="I1965" s="8">
        <f t="shared" si="1054"/>
        <v>255.51101356069626</v>
      </c>
      <c r="J1965" s="8">
        <f t="shared" si="1054"/>
        <v>246.36180396533697</v>
      </c>
      <c r="K1965" s="8">
        <f t="shared" si="1054"/>
        <v>237.54020465594266</v>
      </c>
      <c r="L1965" s="8">
        <f t="shared" si="1054"/>
        <v>229.03448472850988</v>
      </c>
      <c r="M1965" s="8">
        <f t="shared" si="1054"/>
        <v>220.83333333333337</v>
      </c>
    </row>
    <row r="1966" spans="2:13" hidden="1" outlineLevel="2" x14ac:dyDescent="0.2">
      <c r="B1966" t="str">
        <f t="shared" si="1053"/>
        <v>GlobalPlant capexAnnualisation factor#</v>
      </c>
      <c r="C1966" t="s">
        <v>109</v>
      </c>
      <c r="D1966" t="s">
        <v>786</v>
      </c>
      <c r="E1966" t="s">
        <v>764</v>
      </c>
      <c r="F1966" s="450" t="s">
        <v>787</v>
      </c>
      <c r="G1966" s="532">
        <f>+INDEX('Fuel Model -  Input'!$B$3:$N$373,MATCH($B1966,'Fuel Model -  Input'!$B$3:$B$373,0),MATCH(G$2,'Fuel Model -  Input'!$B$3:$N$3,0))</f>
        <v>11.32075471698113</v>
      </c>
      <c r="H1966" s="532">
        <f>+INDEX('Fuel Model -  Input'!$B$3:$N$373,MATCH($B1966,'Fuel Model -  Input'!$B$3:$B$373,0),MATCH(H$2,'Fuel Model -  Input'!$B$3:$N$3,0))</f>
        <v>11.32075471698113</v>
      </c>
      <c r="I1966" s="532">
        <f>+INDEX('Fuel Model -  Input'!$B$3:$N$373,MATCH($B1966,'Fuel Model -  Input'!$B$3:$B$373,0),MATCH(I$2,'Fuel Model -  Input'!$B$3:$N$3,0))</f>
        <v>11.32075471698113</v>
      </c>
      <c r="J1966" s="532">
        <f>+INDEX('Fuel Model -  Input'!$B$3:$N$373,MATCH($B1966,'Fuel Model -  Input'!$B$3:$B$373,0),MATCH(J$2,'Fuel Model -  Input'!$B$3:$N$3,0))</f>
        <v>11.32075471698113</v>
      </c>
      <c r="K1966" s="532">
        <f>+INDEX('Fuel Model -  Input'!$B$3:$N$373,MATCH($B1966,'Fuel Model -  Input'!$B$3:$B$373,0),MATCH(K$2,'Fuel Model -  Input'!$B$3:$N$3,0))</f>
        <v>11.32075471698113</v>
      </c>
      <c r="L1966" s="532">
        <f>+INDEX('Fuel Model -  Input'!$B$3:$N$373,MATCH($B1966,'Fuel Model -  Input'!$B$3:$B$373,0),MATCH(L$2,'Fuel Model -  Input'!$B$3:$N$3,0))</f>
        <v>11.32075471698113</v>
      </c>
      <c r="M1966" s="532">
        <f>+INDEX('Fuel Model -  Input'!$B$3:$N$373,MATCH($B1966,'Fuel Model -  Input'!$B$3:$B$373,0),MATCH(M$2,'Fuel Model -  Input'!$B$3:$N$3,0))</f>
        <v>11.32075471698113</v>
      </c>
    </row>
    <row r="1967" spans="2:13" hidden="1" outlineLevel="2" x14ac:dyDescent="0.2">
      <c r="B1967" t="str">
        <f t="shared" si="1053"/>
        <v>GlobalCapexSMR - PlantUSD/ton H2 Cap</v>
      </c>
      <c r="C1967" t="s">
        <v>109</v>
      </c>
      <c r="D1967" t="s">
        <v>218</v>
      </c>
      <c r="E1967" s="48" t="s">
        <v>1169</v>
      </c>
      <c r="F1967" s="128" t="s">
        <v>1170</v>
      </c>
      <c r="G1967" s="532">
        <f>+INDEX('Fuel Model -  Input'!$B$3:$N$373,MATCH($B1967,'Fuel Model -  Input'!$B$3:$B$373,0),MATCH(G$2,'Fuel Model -  Input'!$B$3:$N$3,0))</f>
        <v>3111.4118680099441</v>
      </c>
      <c r="H1967" s="532">
        <f>+INDEX('Fuel Model -  Input'!$B$3:$N$373,MATCH($B1967,'Fuel Model -  Input'!$B$3:$B$373,0),MATCH(H$2,'Fuel Model -  Input'!$B$3:$N$3,0))</f>
        <v>3000</v>
      </c>
      <c r="I1967" s="532">
        <f>+INDEX('Fuel Model -  Input'!$B$3:$N$373,MATCH($B1967,'Fuel Model -  Input'!$B$3:$B$373,0),MATCH(I$2,'Fuel Model -  Input'!$B$3:$N$3,0))</f>
        <v>2892.5775120078815</v>
      </c>
      <c r="J1967" s="532">
        <f>+INDEX('Fuel Model -  Input'!$B$3:$N$373,MATCH($B1967,'Fuel Model -  Input'!$B$3:$B$373,0),MATCH(J$2,'Fuel Model -  Input'!$B$3:$N$3,0))</f>
        <v>2789.001554324569</v>
      </c>
      <c r="K1967" s="532">
        <f>+INDEX('Fuel Model -  Input'!$B$3:$N$373,MATCH($B1967,'Fuel Model -  Input'!$B$3:$B$373,0),MATCH(K$2,'Fuel Model -  Input'!$B$3:$N$3,0))</f>
        <v>2689.1343923314257</v>
      </c>
      <c r="L1967" s="532">
        <f>+INDEX('Fuel Model -  Input'!$B$3:$N$373,MATCH($B1967,'Fuel Model -  Input'!$B$3:$B$373,0),MATCH(L$2,'Fuel Model -  Input'!$B$3:$N$3,0))</f>
        <v>2592.8432233416206</v>
      </c>
      <c r="M1967" s="532">
        <f>+INDEX('Fuel Model -  Input'!$B$3:$N$373,MATCH($B1967,'Fuel Model -  Input'!$B$3:$B$373,0),MATCH(M$2,'Fuel Model -  Input'!$B$3:$N$3,0))</f>
        <v>2500</v>
      </c>
    </row>
    <row r="1968" spans="2:13" hidden="1" outlineLevel="2" x14ac:dyDescent="0.2">
      <c r="B1968" t="str">
        <f t="shared" si="1053"/>
        <v>AsiaFeedstockCost of NG in H2USD/ton H2</v>
      </c>
      <c r="C1968" s="494" t="str">
        <f>+$C$1958</f>
        <v>Asia</v>
      </c>
      <c r="D1968" t="s">
        <v>777</v>
      </c>
      <c r="E1968" t="s">
        <v>1171</v>
      </c>
      <c r="F1968" s="128" t="s">
        <v>881</v>
      </c>
      <c r="G1968" s="337">
        <f t="shared" ref="G1968:M1968" si="1055">G1969*G1970</f>
        <v>5737.5871744000005</v>
      </c>
      <c r="H1968" s="337">
        <f t="shared" si="1055"/>
        <v>2537.5</v>
      </c>
      <c r="I1968" s="337">
        <f t="shared" si="1055"/>
        <v>1195.6245353499999</v>
      </c>
      <c r="J1968" s="337">
        <f t="shared" si="1055"/>
        <v>1166.9534936500002</v>
      </c>
      <c r="K1968" s="337">
        <f t="shared" si="1055"/>
        <v>1138.9699825</v>
      </c>
      <c r="L1968" s="337">
        <f t="shared" si="1055"/>
        <v>1111.6575151500001</v>
      </c>
      <c r="M1968" s="337">
        <f t="shared" si="1055"/>
        <v>1085</v>
      </c>
    </row>
    <row r="1969" spans="2:13" hidden="1" outlineLevel="2" x14ac:dyDescent="0.2">
      <c r="B1969" t="str">
        <f t="shared" si="1053"/>
        <v>GlobalFeedstockConversion NG : H2 (actual)kg NG/kg H2</v>
      </c>
      <c r="C1969" t="s">
        <v>109</v>
      </c>
      <c r="D1969" t="s">
        <v>777</v>
      </c>
      <c r="E1969" t="s">
        <v>1172</v>
      </c>
      <c r="F1969" s="128" t="s">
        <v>1173</v>
      </c>
      <c r="G1969" s="521">
        <f>INDEX('Fuel Model -  Input'!$B$3:$N$373,MATCH($B1969,'Fuel Model -  Input'!$B$3:$B$373,0),MATCH(G$2,'Fuel Model -  Input'!$B$3:$N$3,0))</f>
        <v>3.5859919840000001</v>
      </c>
      <c r="H1969" s="521">
        <f>INDEX('Fuel Model -  Input'!$B$3:$N$373,MATCH($B1969,'Fuel Model -  Input'!$B$3:$B$373,0),MATCH(H$2,'Fuel Model -  Input'!$B$3:$N$3,0))</f>
        <v>3.5</v>
      </c>
      <c r="I1969" s="521">
        <f>INDEX('Fuel Model -  Input'!$B$3:$N$373,MATCH($B1969,'Fuel Model -  Input'!$B$3:$B$373,0),MATCH(I$2,'Fuel Model -  Input'!$B$3:$N$3,0))</f>
        <v>3.4160701009999999</v>
      </c>
      <c r="J1969" s="521">
        <f>INDEX('Fuel Model -  Input'!$B$3:$N$373,MATCH($B1969,'Fuel Model -  Input'!$B$3:$B$373,0),MATCH(J$2,'Fuel Model -  Input'!$B$3:$N$3,0))</f>
        <v>3.3341528390000001</v>
      </c>
      <c r="K1969" s="521">
        <f>INDEX('Fuel Model -  Input'!$B$3:$N$373,MATCH($B1969,'Fuel Model -  Input'!$B$3:$B$373,0),MATCH(K$2,'Fuel Model -  Input'!$B$3:$N$3,0))</f>
        <v>3.2541999499999998</v>
      </c>
      <c r="L1969" s="521">
        <f>INDEX('Fuel Model -  Input'!$B$3:$N$373,MATCH($B1969,'Fuel Model -  Input'!$B$3:$B$373,0),MATCH(L$2,'Fuel Model -  Input'!$B$3:$N$3,0))</f>
        <v>3.1761643290000001</v>
      </c>
      <c r="M1969" s="521">
        <f>INDEX('Fuel Model -  Input'!$B$3:$N$373,MATCH($B1969,'Fuel Model -  Input'!$B$3:$B$373,0),MATCH(M$2,'Fuel Model -  Input'!$B$3:$N$3,0))</f>
        <v>3.1</v>
      </c>
    </row>
    <row r="1970" spans="2:13" hidden="1" outlineLevel="2" x14ac:dyDescent="0.2">
      <c r="B1970" t="str">
        <f t="shared" si="1053"/>
        <v>AsiaFeedstockCost of NGUSD/ton</v>
      </c>
      <c r="C1970" t="str">
        <f>+$C$1958</f>
        <v>Asia</v>
      </c>
      <c r="D1970" t="s">
        <v>777</v>
      </c>
      <c r="E1970" t="s">
        <v>1144</v>
      </c>
      <c r="F1970" s="128" t="s">
        <v>205</v>
      </c>
      <c r="G1970" s="532">
        <f>+INDEX('Fuel Model -  Input'!$B$3:$N$373,MATCH($B1970,'Fuel Model -  Input'!$B$3:$B$373,0),MATCH(G$2,'Fuel Model -  Input'!$B$3:$N$3,0))</f>
        <v>1600</v>
      </c>
      <c r="H1970" s="532">
        <f>+INDEX('Fuel Model -  Input'!$B$3:$N$373,MATCH($B1970,'Fuel Model -  Input'!$B$3:$B$373,0),MATCH(H$2,'Fuel Model -  Input'!$B$3:$N$3,0))</f>
        <v>725</v>
      </c>
      <c r="I1970" s="532">
        <f>+INDEX('Fuel Model -  Input'!$B$3:$N$373,MATCH($B1970,'Fuel Model -  Input'!$B$3:$B$373,0),MATCH(I$2,'Fuel Model -  Input'!$B$3:$N$3,0))</f>
        <v>350</v>
      </c>
      <c r="J1970" s="532">
        <f>+INDEX('Fuel Model -  Input'!$B$3:$N$373,MATCH($B1970,'Fuel Model -  Input'!$B$3:$B$373,0),MATCH(J$2,'Fuel Model -  Input'!$B$3:$N$3,0))</f>
        <v>350</v>
      </c>
      <c r="K1970" s="532">
        <f>+INDEX('Fuel Model -  Input'!$B$3:$N$373,MATCH($B1970,'Fuel Model -  Input'!$B$3:$B$373,0),MATCH(K$2,'Fuel Model -  Input'!$B$3:$N$3,0))</f>
        <v>350</v>
      </c>
      <c r="L1970" s="532">
        <f>+INDEX('Fuel Model -  Input'!$B$3:$N$373,MATCH($B1970,'Fuel Model -  Input'!$B$3:$B$373,0),MATCH(L$2,'Fuel Model -  Input'!$B$3:$N$3,0))</f>
        <v>350</v>
      </c>
      <c r="M1970" s="532">
        <f>+INDEX('Fuel Model -  Input'!$B$3:$N$373,MATCH($B1970,'Fuel Model -  Input'!$B$3:$B$373,0),MATCH(M$2,'Fuel Model -  Input'!$B$3:$N$3,0))</f>
        <v>350</v>
      </c>
    </row>
    <row r="1971" spans="2:13" hidden="1" outlineLevel="2" x14ac:dyDescent="0.2">
      <c r="B1971" t="str">
        <f t="shared" si="1053"/>
        <v>AsiaFeedstockCost of H2O in H2USD/ton H2</v>
      </c>
      <c r="C1971" s="494" t="str">
        <f>C1970</f>
        <v>Asia</v>
      </c>
      <c r="D1971" t="s">
        <v>777</v>
      </c>
      <c r="E1971" t="s">
        <v>897</v>
      </c>
      <c r="F1971" s="128" t="s">
        <v>881</v>
      </c>
      <c r="G1971" s="337">
        <f t="shared" ref="G1971:M1971" si="1056">G1972*G1973</f>
        <v>13.5</v>
      </c>
      <c r="H1971" s="337">
        <f t="shared" si="1056"/>
        <v>13.5</v>
      </c>
      <c r="I1971" s="337">
        <f t="shared" si="1056"/>
        <v>13.5</v>
      </c>
      <c r="J1971" s="337">
        <f t="shared" si="1056"/>
        <v>13.5</v>
      </c>
      <c r="K1971" s="337">
        <f t="shared" si="1056"/>
        <v>13.5</v>
      </c>
      <c r="L1971" s="337">
        <f t="shared" si="1056"/>
        <v>13.5</v>
      </c>
      <c r="M1971" s="337">
        <f t="shared" si="1056"/>
        <v>13.5</v>
      </c>
    </row>
    <row r="1972" spans="2:13" hidden="1" outlineLevel="2" x14ac:dyDescent="0.2">
      <c r="B1972" t="str">
        <f t="shared" si="1053"/>
        <v>GlobalFeedstockConversion H2O:H2 (actual)ton H2O/ton H2</v>
      </c>
      <c r="C1972" t="s">
        <v>109</v>
      </c>
      <c r="D1972" t="s">
        <v>777</v>
      </c>
      <c r="E1972" t="s">
        <v>898</v>
      </c>
      <c r="F1972" s="128" t="s">
        <v>899</v>
      </c>
      <c r="G1972" s="495">
        <f>INDEX('Fuel Model -  Input'!$B$3:$N$373,MATCH($B1972,'Fuel Model -  Input'!$B$3:$B$373,0),MATCH(G$2,'Fuel Model -  Input'!$B$3:$N$3,0))</f>
        <v>9</v>
      </c>
      <c r="H1972" s="495">
        <f>INDEX('Fuel Model -  Input'!$B$3:$N$373,MATCH($B1972,'Fuel Model -  Input'!$B$3:$B$373,0),MATCH(H$2,'Fuel Model -  Input'!$B$3:$N$3,0))</f>
        <v>9</v>
      </c>
      <c r="I1972" s="495">
        <f>INDEX('Fuel Model -  Input'!$B$3:$N$373,MATCH($B1972,'Fuel Model -  Input'!$B$3:$B$373,0),MATCH(I$2,'Fuel Model -  Input'!$B$3:$N$3,0))</f>
        <v>9</v>
      </c>
      <c r="J1972" s="495">
        <f>INDEX('Fuel Model -  Input'!$B$3:$N$373,MATCH($B1972,'Fuel Model -  Input'!$B$3:$B$373,0),MATCH(J$2,'Fuel Model -  Input'!$B$3:$N$3,0))</f>
        <v>9</v>
      </c>
      <c r="K1972" s="495">
        <f>INDEX('Fuel Model -  Input'!$B$3:$N$373,MATCH($B1972,'Fuel Model -  Input'!$B$3:$B$373,0),MATCH(K$2,'Fuel Model -  Input'!$B$3:$N$3,0))</f>
        <v>9</v>
      </c>
      <c r="L1972" s="495">
        <f>INDEX('Fuel Model -  Input'!$B$3:$N$373,MATCH($B1972,'Fuel Model -  Input'!$B$3:$B$373,0),MATCH(L$2,'Fuel Model -  Input'!$B$3:$N$3,0))</f>
        <v>9</v>
      </c>
      <c r="M1972" s="495">
        <f>INDEX('Fuel Model -  Input'!$B$3:$N$373,MATCH($B1972,'Fuel Model -  Input'!$B$3:$B$373,0),MATCH(M$2,'Fuel Model -  Input'!$B$3:$N$3,0))</f>
        <v>9</v>
      </c>
    </row>
    <row r="1973" spans="2:13" hidden="1" outlineLevel="2" x14ac:dyDescent="0.2">
      <c r="B1973" t="str">
        <f t="shared" si="1053"/>
        <v>GlobalFeedstockDemineralized water costUSD/ton demin H2O</v>
      </c>
      <c r="C1973" s="494" t="s">
        <v>109</v>
      </c>
      <c r="D1973" t="s">
        <v>777</v>
      </c>
      <c r="E1973" t="s">
        <v>900</v>
      </c>
      <c r="F1973" s="450" t="s">
        <v>901</v>
      </c>
      <c r="G1973" s="495">
        <f>+INDEX('Fuel Model -  Input'!$B$3:$N$373,MATCH($B1973,'Fuel Model -  Input'!$B$3:$B$373,0),MATCH(G$2,'Fuel Model -  Input'!$B$3:$N$3,0))</f>
        <v>1.5</v>
      </c>
      <c r="H1973" s="495">
        <f>+INDEX('Fuel Model -  Input'!$B$3:$N$373,MATCH($B1973,'Fuel Model -  Input'!$B$3:$B$373,0),MATCH(H$2,'Fuel Model -  Input'!$B$3:$N$3,0))</f>
        <v>1.5</v>
      </c>
      <c r="I1973" s="495">
        <f>+INDEX('Fuel Model -  Input'!$B$3:$N$373,MATCH($B1973,'Fuel Model -  Input'!$B$3:$B$373,0),MATCH(I$2,'Fuel Model -  Input'!$B$3:$N$3,0))</f>
        <v>1.5</v>
      </c>
      <c r="J1973" s="495">
        <f>+INDEX('Fuel Model -  Input'!$B$3:$N$373,MATCH($B1973,'Fuel Model -  Input'!$B$3:$B$373,0),MATCH(J$2,'Fuel Model -  Input'!$B$3:$N$3,0))</f>
        <v>1.5</v>
      </c>
      <c r="K1973" s="495">
        <f>+INDEX('Fuel Model -  Input'!$B$3:$N$373,MATCH($B1973,'Fuel Model -  Input'!$B$3:$B$373,0),MATCH(K$2,'Fuel Model -  Input'!$B$3:$N$3,0))</f>
        <v>1.5</v>
      </c>
      <c r="L1973" s="495">
        <f>+INDEX('Fuel Model -  Input'!$B$3:$N$373,MATCH($B1973,'Fuel Model -  Input'!$B$3:$B$373,0),MATCH(L$2,'Fuel Model -  Input'!$B$3:$N$3,0))</f>
        <v>1.5</v>
      </c>
      <c r="M1973" s="495">
        <f>+INDEX('Fuel Model -  Input'!$B$3:$N$373,MATCH($B1973,'Fuel Model -  Input'!$B$3:$B$373,0),MATCH(M$2,'Fuel Model -  Input'!$B$3:$N$3,0))</f>
        <v>1.5</v>
      </c>
    </row>
    <row r="1974" spans="2:13" hidden="1" outlineLevel="2" x14ac:dyDescent="0.2">
      <c r="F1974" s="128"/>
      <c r="G1974" s="524"/>
      <c r="H1974" s="524"/>
      <c r="I1974" s="524"/>
      <c r="J1974" s="524"/>
      <c r="K1974" s="524"/>
      <c r="L1974" s="524"/>
      <c r="M1974" s="524"/>
    </row>
    <row r="1975" spans="2:13" hidden="1" outlineLevel="2" x14ac:dyDescent="0.2">
      <c r="B1975" t="str">
        <f>+C1975&amp;D1975&amp;E1975&amp;F1975</f>
        <v>AsiaOpexSMRUSD/ton H2</v>
      </c>
      <c r="C1975" s="494" t="str">
        <f>+$C$1958</f>
        <v>Asia</v>
      </c>
      <c r="D1975" t="s">
        <v>219</v>
      </c>
      <c r="E1975" s="48" t="s">
        <v>1174</v>
      </c>
      <c r="F1975" s="128" t="s">
        <v>881</v>
      </c>
      <c r="G1975" s="337">
        <f t="shared" ref="G1975:M1975" si="1057">G1976*G1967</f>
        <v>357.40736945012748</v>
      </c>
      <c r="H1975" s="337">
        <f t="shared" si="1057"/>
        <v>300</v>
      </c>
      <c r="I1975" s="337">
        <f t="shared" si="1057"/>
        <v>251.81349824561624</v>
      </c>
      <c r="J1975" s="337">
        <f t="shared" si="1057"/>
        <v>211.36679299564994</v>
      </c>
      <c r="K1975" s="337">
        <f t="shared" si="1057"/>
        <v>177.41670519063879</v>
      </c>
      <c r="L1975" s="337">
        <f t="shared" si="1057"/>
        <v>148.91973727088646</v>
      </c>
      <c r="M1975" s="337">
        <f t="shared" si="1057"/>
        <v>125</v>
      </c>
    </row>
    <row r="1976" spans="2:13" hidden="1" outlineLevel="2" x14ac:dyDescent="0.2">
      <c r="B1976" t="str">
        <f>+C1976&amp;D1976&amp;E1976&amp;F1976</f>
        <v>GlobalOpexPlant - SMR - opexPercent of Capex</v>
      </c>
      <c r="C1976" t="s">
        <v>109</v>
      </c>
      <c r="D1976" t="s">
        <v>219</v>
      </c>
      <c r="E1976" s="48" t="s">
        <v>1175</v>
      </c>
      <c r="F1976" s="128" t="s">
        <v>883</v>
      </c>
      <c r="G1976" s="531">
        <f>+INDEX('Fuel Model -  Input'!$B$3:$N$373,MATCH($B1976,'Fuel Model -  Input'!$B$3:$B$373,0),MATCH(G$2,'Fuel Model -  Input'!$B$3:$N$3,0))</f>
        <v>0.1148698354997035</v>
      </c>
      <c r="H1976" s="531">
        <f>+INDEX('Fuel Model -  Input'!$B$3:$N$373,MATCH($B1976,'Fuel Model -  Input'!$B$3:$B$373,0),MATCH(H$2,'Fuel Model -  Input'!$B$3:$N$3,0))</f>
        <v>0.1</v>
      </c>
      <c r="I1976" s="531">
        <f>+INDEX('Fuel Model -  Input'!$B$3:$N$373,MATCH($B1976,'Fuel Model -  Input'!$B$3:$B$373,0),MATCH(I$2,'Fuel Model -  Input'!$B$3:$N$3,0))</f>
        <v>8.7055056329612412E-2</v>
      </c>
      <c r="J1976" s="531">
        <f>+INDEX('Fuel Model -  Input'!$B$3:$N$373,MATCH($B1976,'Fuel Model -  Input'!$B$3:$B$373,0),MATCH(J$2,'Fuel Model -  Input'!$B$3:$N$3,0))</f>
        <v>7.5785828325519902E-2</v>
      </c>
      <c r="K1976" s="531">
        <f>+INDEX('Fuel Model -  Input'!$B$3:$N$373,MATCH($B1976,'Fuel Model -  Input'!$B$3:$B$373,0),MATCH(K$2,'Fuel Model -  Input'!$B$3:$N$3,0))</f>
        <v>6.5975395538644704E-2</v>
      </c>
      <c r="L1976" s="531">
        <f>+INDEX('Fuel Model -  Input'!$B$3:$N$373,MATCH($B1976,'Fuel Model -  Input'!$B$3:$B$373,0),MATCH(L$2,'Fuel Model -  Input'!$B$3:$N$3,0))</f>
        <v>5.7434917749851745E-2</v>
      </c>
      <c r="M1976" s="531">
        <f>+INDEX('Fuel Model -  Input'!$B$3:$N$373,MATCH($B1976,'Fuel Model -  Input'!$B$3:$B$373,0),MATCH(M$2,'Fuel Model -  Input'!$B$3:$N$3,0))</f>
        <v>0.05</v>
      </c>
    </row>
    <row r="1977" spans="2:13" ht="12.75" hidden="1" outlineLevel="1" x14ac:dyDescent="0.2">
      <c r="F1977"/>
    </row>
    <row r="1978" spans="2:13" s="30" customFormat="1" ht="15" hidden="1" outlineLevel="1" collapsed="1" x14ac:dyDescent="0.25">
      <c r="B1978" s="30" t="s">
        <v>199</v>
      </c>
      <c r="C1978" s="30" t="str">
        <f>+B1978</f>
        <v>Americas</v>
      </c>
    </row>
    <row r="1979" spans="2:13" ht="15" hidden="1" outlineLevel="2" x14ac:dyDescent="0.25">
      <c r="B1979" t="str">
        <f>+C1979&amp;D1979&amp;E1979&amp;F1979</f>
        <v>AmericasResultsTotal cost of Grey hydrogenUSD/ton</v>
      </c>
      <c r="C1979" s="494" t="str">
        <f>+$C$1978</f>
        <v>Americas</v>
      </c>
      <c r="D1979" s="30" t="s">
        <v>838</v>
      </c>
      <c r="E1979" s="405" t="s">
        <v>1165</v>
      </c>
      <c r="F1979" s="127" t="s">
        <v>205</v>
      </c>
      <c r="G1979" s="490">
        <f t="shared" ref="G1979:M1979" si="1058">+SUM(G1980:G1982)</f>
        <v>1900.8459455243392</v>
      </c>
      <c r="H1979" s="490">
        <f t="shared" si="1058"/>
        <v>1383.5</v>
      </c>
      <c r="I1979" s="490">
        <f t="shared" si="1058"/>
        <v>1272.3599340263124</v>
      </c>
      <c r="J1979" s="490">
        <f t="shared" si="1058"/>
        <v>1304.7668067109871</v>
      </c>
      <c r="K1979" s="490">
        <f t="shared" si="1058"/>
        <v>1242.0068973465814</v>
      </c>
      <c r="L1979" s="490">
        <f t="shared" si="1058"/>
        <v>1185.4953042493964</v>
      </c>
      <c r="M1979" s="490">
        <f t="shared" si="1058"/>
        <v>1134.3333333333335</v>
      </c>
    </row>
    <row r="1980" spans="2:13" ht="15" hidden="1" outlineLevel="2" x14ac:dyDescent="0.25">
      <c r="B1980" t="str">
        <f>+C1980&amp;D1980&amp;E1980&amp;F1980</f>
        <v>AmericasResultsTotal Capex Grey HydrogenUSD/ton</v>
      </c>
      <c r="C1980" s="494" t="str">
        <f>+$C$1978</f>
        <v>Americas</v>
      </c>
      <c r="D1980" s="30" t="s">
        <v>838</v>
      </c>
      <c r="E1980" s="228" t="s">
        <v>1162</v>
      </c>
      <c r="F1980" s="127" t="s">
        <v>205</v>
      </c>
      <c r="G1980" s="490">
        <f t="shared" ref="G1980:M1980" si="1059">G1985</f>
        <v>274.84138167421179</v>
      </c>
      <c r="H1980" s="490">
        <f t="shared" si="1059"/>
        <v>265.00000000000006</v>
      </c>
      <c r="I1980" s="490">
        <f t="shared" si="1059"/>
        <v>255.51101356069626</v>
      </c>
      <c r="J1980" s="490">
        <f t="shared" si="1059"/>
        <v>246.36180396533697</v>
      </c>
      <c r="K1980" s="490">
        <f t="shared" si="1059"/>
        <v>237.54020465594266</v>
      </c>
      <c r="L1980" s="490">
        <f t="shared" si="1059"/>
        <v>229.03448472850988</v>
      </c>
      <c r="M1980" s="490">
        <f t="shared" si="1059"/>
        <v>220.83333333333337</v>
      </c>
    </row>
    <row r="1981" spans="2:13" ht="15" hidden="1" outlineLevel="2" x14ac:dyDescent="0.25">
      <c r="B1981" t="str">
        <f>+C1981&amp;D1981&amp;E1981&amp;F1981</f>
        <v>AmericasResultsTotal Opex Grey HydrogenUSD/ton</v>
      </c>
      <c r="C1981" s="494" t="str">
        <f>+$C$1978</f>
        <v>Americas</v>
      </c>
      <c r="D1981" s="30" t="s">
        <v>838</v>
      </c>
      <c r="E1981" s="228" t="s">
        <v>1163</v>
      </c>
      <c r="F1981" s="127" t="s">
        <v>205</v>
      </c>
      <c r="G1981" s="490">
        <f>+G1995</f>
        <v>357.40736945012748</v>
      </c>
      <c r="H1981" s="490">
        <f t="shared" ref="H1981:M1981" si="1060">+H1995</f>
        <v>300</v>
      </c>
      <c r="I1981" s="490">
        <f t="shared" si="1060"/>
        <v>251.81349824561624</v>
      </c>
      <c r="J1981" s="490">
        <f t="shared" si="1060"/>
        <v>211.36679299564994</v>
      </c>
      <c r="K1981" s="490">
        <f t="shared" si="1060"/>
        <v>177.41670519063879</v>
      </c>
      <c r="L1981" s="490">
        <f t="shared" si="1060"/>
        <v>148.91973727088646</v>
      </c>
      <c r="M1981" s="490">
        <f t="shared" si="1060"/>
        <v>125</v>
      </c>
    </row>
    <row r="1982" spans="2:13" ht="15" hidden="1" outlineLevel="2" x14ac:dyDescent="0.25">
      <c r="B1982" t="str">
        <f>+C1982&amp;D1982&amp;E1982&amp;F1982</f>
        <v>AmericasResultsTotal Raw Material Grey HydrogenUSD/ton</v>
      </c>
      <c r="C1982" s="494" t="str">
        <f>+$C$1978</f>
        <v>Americas</v>
      </c>
      <c r="D1982" s="30" t="s">
        <v>838</v>
      </c>
      <c r="E1982" s="228" t="s">
        <v>1164</v>
      </c>
      <c r="F1982" s="127" t="s">
        <v>205</v>
      </c>
      <c r="G1982" s="490">
        <f>+G1988+G1991</f>
        <v>1268.5971944</v>
      </c>
      <c r="H1982" s="490">
        <f t="shared" ref="H1982:M1982" si="1061">+H1988+H1991</f>
        <v>818.5</v>
      </c>
      <c r="I1982" s="490">
        <f t="shared" si="1061"/>
        <v>765.03542221999999</v>
      </c>
      <c r="J1982" s="490">
        <f t="shared" si="1061"/>
        <v>847.03820975000008</v>
      </c>
      <c r="K1982" s="490">
        <f t="shared" si="1061"/>
        <v>827.04998749999993</v>
      </c>
      <c r="L1982" s="490">
        <f t="shared" si="1061"/>
        <v>807.54108225000004</v>
      </c>
      <c r="M1982" s="490">
        <f t="shared" si="1061"/>
        <v>788.5</v>
      </c>
    </row>
    <row r="1983" spans="2:13" ht="15" hidden="1" outlineLevel="2" x14ac:dyDescent="0.25">
      <c r="B1983" t="str">
        <f>+C1983&amp;D1983&amp;E1983&amp;F1983</f>
        <v>AmericasResultsShare of total cost Raw Material Grey Hydrogen%</v>
      </c>
      <c r="C1983" s="494" t="str">
        <f>+$C$1978</f>
        <v>Americas</v>
      </c>
      <c r="D1983" s="30" t="s">
        <v>838</v>
      </c>
      <c r="E1983" s="228" t="s">
        <v>1166</v>
      </c>
      <c r="F1983" s="127" t="s">
        <v>178</v>
      </c>
      <c r="G1983" s="553">
        <f t="shared" ref="G1983:M1983" si="1062">+G1982/G1979</f>
        <v>0.66738559081391713</v>
      </c>
      <c r="H1983" s="553">
        <f t="shared" si="1062"/>
        <v>0.5916154680159017</v>
      </c>
      <c r="I1983" s="553">
        <f t="shared" si="1062"/>
        <v>0.60127280163490204</v>
      </c>
      <c r="J1983" s="553">
        <f t="shared" si="1062"/>
        <v>0.64918742980991817</v>
      </c>
      <c r="K1983" s="553">
        <f t="shared" si="1062"/>
        <v>0.6658980632610868</v>
      </c>
      <c r="L1983" s="553">
        <f t="shared" si="1062"/>
        <v>0.68118454738317125</v>
      </c>
      <c r="M1983" s="553">
        <f t="shared" si="1062"/>
        <v>0.69512195121951215</v>
      </c>
    </row>
    <row r="1984" spans="2:13" hidden="1" outlineLevel="2" x14ac:dyDescent="0.2">
      <c r="E1984" s="48"/>
      <c r="F1984" s="128"/>
      <c r="G1984" s="8"/>
      <c r="H1984" s="8"/>
      <c r="I1984" s="8"/>
      <c r="J1984" s="8"/>
      <c r="K1984" s="8"/>
      <c r="L1984" s="8"/>
      <c r="M1984" s="8"/>
    </row>
    <row r="1985" spans="2:13" hidden="1" outlineLevel="2" x14ac:dyDescent="0.2">
      <c r="B1985" t="str">
        <f t="shared" ref="B1985:B1993" si="1063">+C1985&amp;D1985&amp;E1985&amp;F1985</f>
        <v>AmericasPlant - SMRCapex Grey Hydrogen USD/ton H2</v>
      </c>
      <c r="C1985" s="494" t="str">
        <f>+$C$1978</f>
        <v>Americas</v>
      </c>
      <c r="D1985" t="s">
        <v>1167</v>
      </c>
      <c r="E1985" s="48" t="s">
        <v>1168</v>
      </c>
      <c r="F1985" s="128" t="s">
        <v>881</v>
      </c>
      <c r="G1985" s="8">
        <f t="shared" ref="G1985:M1985" si="1064">G1987/G1986</f>
        <v>274.84138167421179</v>
      </c>
      <c r="H1985" s="8">
        <f t="shared" si="1064"/>
        <v>265.00000000000006</v>
      </c>
      <c r="I1985" s="8">
        <f t="shared" si="1064"/>
        <v>255.51101356069626</v>
      </c>
      <c r="J1985" s="8">
        <f t="shared" si="1064"/>
        <v>246.36180396533697</v>
      </c>
      <c r="K1985" s="8">
        <f t="shared" si="1064"/>
        <v>237.54020465594266</v>
      </c>
      <c r="L1985" s="8">
        <f t="shared" si="1064"/>
        <v>229.03448472850988</v>
      </c>
      <c r="M1985" s="8">
        <f t="shared" si="1064"/>
        <v>220.83333333333337</v>
      </c>
    </row>
    <row r="1986" spans="2:13" hidden="1" outlineLevel="2" x14ac:dyDescent="0.2">
      <c r="B1986" t="str">
        <f t="shared" si="1063"/>
        <v>GlobalPlant capexAnnualisation factor#</v>
      </c>
      <c r="C1986" t="s">
        <v>109</v>
      </c>
      <c r="D1986" t="s">
        <v>786</v>
      </c>
      <c r="E1986" t="s">
        <v>764</v>
      </c>
      <c r="F1986" s="450" t="s">
        <v>787</v>
      </c>
      <c r="G1986" s="532">
        <f>+INDEX('Fuel Model -  Input'!$B$3:$N$373,MATCH($B1986,'Fuel Model -  Input'!$B$3:$B$373,0),MATCH(G$2,'Fuel Model -  Input'!$B$3:$N$3,0))</f>
        <v>11.32075471698113</v>
      </c>
      <c r="H1986" s="532">
        <f>+INDEX('Fuel Model -  Input'!$B$3:$N$373,MATCH($B1986,'Fuel Model -  Input'!$B$3:$B$373,0),MATCH(H$2,'Fuel Model -  Input'!$B$3:$N$3,0))</f>
        <v>11.32075471698113</v>
      </c>
      <c r="I1986" s="532">
        <f>+INDEX('Fuel Model -  Input'!$B$3:$N$373,MATCH($B1986,'Fuel Model -  Input'!$B$3:$B$373,0),MATCH(I$2,'Fuel Model -  Input'!$B$3:$N$3,0))</f>
        <v>11.32075471698113</v>
      </c>
      <c r="J1986" s="532">
        <f>+INDEX('Fuel Model -  Input'!$B$3:$N$373,MATCH($B1986,'Fuel Model -  Input'!$B$3:$B$373,0),MATCH(J$2,'Fuel Model -  Input'!$B$3:$N$3,0))</f>
        <v>11.32075471698113</v>
      </c>
      <c r="K1986" s="532">
        <f>+INDEX('Fuel Model -  Input'!$B$3:$N$373,MATCH($B1986,'Fuel Model -  Input'!$B$3:$B$373,0),MATCH(K$2,'Fuel Model -  Input'!$B$3:$N$3,0))</f>
        <v>11.32075471698113</v>
      </c>
      <c r="L1986" s="532">
        <f>+INDEX('Fuel Model -  Input'!$B$3:$N$373,MATCH($B1986,'Fuel Model -  Input'!$B$3:$B$373,0),MATCH(L$2,'Fuel Model -  Input'!$B$3:$N$3,0))</f>
        <v>11.32075471698113</v>
      </c>
      <c r="M1986" s="532">
        <f>+INDEX('Fuel Model -  Input'!$B$3:$N$373,MATCH($B1986,'Fuel Model -  Input'!$B$3:$B$373,0),MATCH(M$2,'Fuel Model -  Input'!$B$3:$N$3,0))</f>
        <v>11.32075471698113</v>
      </c>
    </row>
    <row r="1987" spans="2:13" hidden="1" outlineLevel="2" x14ac:dyDescent="0.2">
      <c r="B1987" t="str">
        <f t="shared" si="1063"/>
        <v>GlobalCapexSMR - PlantUSD/ton H2 Cap</v>
      </c>
      <c r="C1987" t="s">
        <v>109</v>
      </c>
      <c r="D1987" t="s">
        <v>218</v>
      </c>
      <c r="E1987" s="48" t="s">
        <v>1169</v>
      </c>
      <c r="F1987" s="128" t="s">
        <v>1170</v>
      </c>
      <c r="G1987" s="532">
        <f>+INDEX('Fuel Model -  Input'!$B$3:$N$373,MATCH($B1987,'Fuel Model -  Input'!$B$3:$B$373,0),MATCH(G$2,'Fuel Model -  Input'!$B$3:$N$3,0))</f>
        <v>3111.4118680099441</v>
      </c>
      <c r="H1987" s="532">
        <f>+INDEX('Fuel Model -  Input'!$B$3:$N$373,MATCH($B1987,'Fuel Model -  Input'!$B$3:$B$373,0),MATCH(H$2,'Fuel Model -  Input'!$B$3:$N$3,0))</f>
        <v>3000</v>
      </c>
      <c r="I1987" s="532">
        <f>+INDEX('Fuel Model -  Input'!$B$3:$N$373,MATCH($B1987,'Fuel Model -  Input'!$B$3:$B$373,0),MATCH(I$2,'Fuel Model -  Input'!$B$3:$N$3,0))</f>
        <v>2892.5775120078815</v>
      </c>
      <c r="J1987" s="532">
        <f>+INDEX('Fuel Model -  Input'!$B$3:$N$373,MATCH($B1987,'Fuel Model -  Input'!$B$3:$B$373,0),MATCH(J$2,'Fuel Model -  Input'!$B$3:$N$3,0))</f>
        <v>2789.001554324569</v>
      </c>
      <c r="K1987" s="532">
        <f>+INDEX('Fuel Model -  Input'!$B$3:$N$373,MATCH($B1987,'Fuel Model -  Input'!$B$3:$B$373,0),MATCH(K$2,'Fuel Model -  Input'!$B$3:$N$3,0))</f>
        <v>2689.1343923314257</v>
      </c>
      <c r="L1987" s="532">
        <f>+INDEX('Fuel Model -  Input'!$B$3:$N$373,MATCH($B1987,'Fuel Model -  Input'!$B$3:$B$373,0),MATCH(L$2,'Fuel Model -  Input'!$B$3:$N$3,0))</f>
        <v>2592.8432233416206</v>
      </c>
      <c r="M1987" s="532">
        <f>+INDEX('Fuel Model -  Input'!$B$3:$N$373,MATCH($B1987,'Fuel Model -  Input'!$B$3:$B$373,0),MATCH(M$2,'Fuel Model -  Input'!$B$3:$N$3,0))</f>
        <v>2500</v>
      </c>
    </row>
    <row r="1988" spans="2:13" hidden="1" outlineLevel="2" x14ac:dyDescent="0.2">
      <c r="B1988" t="str">
        <f t="shared" si="1063"/>
        <v>AmericasFeedstockCost of NG in H2USD/ton H2</v>
      </c>
      <c r="C1988" s="494" t="str">
        <f>+$C$1978</f>
        <v>Americas</v>
      </c>
      <c r="D1988" t="s">
        <v>777</v>
      </c>
      <c r="E1988" t="s">
        <v>1171</v>
      </c>
      <c r="F1988" s="128" t="s">
        <v>881</v>
      </c>
      <c r="G1988" s="337">
        <f t="shared" ref="G1988:M1988" si="1065">G1989*G1990</f>
        <v>1255.0971944</v>
      </c>
      <c r="H1988" s="337">
        <f t="shared" si="1065"/>
        <v>805</v>
      </c>
      <c r="I1988" s="337">
        <f t="shared" si="1065"/>
        <v>751.53542221999999</v>
      </c>
      <c r="J1988" s="337">
        <f t="shared" si="1065"/>
        <v>833.53820975000008</v>
      </c>
      <c r="K1988" s="337">
        <f t="shared" si="1065"/>
        <v>813.54998749999993</v>
      </c>
      <c r="L1988" s="337">
        <f t="shared" si="1065"/>
        <v>794.04108225000004</v>
      </c>
      <c r="M1988" s="337">
        <f t="shared" si="1065"/>
        <v>775</v>
      </c>
    </row>
    <row r="1989" spans="2:13" hidden="1" outlineLevel="2" x14ac:dyDescent="0.2">
      <c r="B1989" t="str">
        <f t="shared" si="1063"/>
        <v>GlobalFeedstockConversion NG : H2 (actual)kg NG/kg H2</v>
      </c>
      <c r="C1989" t="s">
        <v>109</v>
      </c>
      <c r="D1989" t="s">
        <v>777</v>
      </c>
      <c r="E1989" t="s">
        <v>1172</v>
      </c>
      <c r="F1989" s="128" t="s">
        <v>1173</v>
      </c>
      <c r="G1989" s="521">
        <f>INDEX('Fuel Model -  Input'!$B$3:$N$373,MATCH($B1989,'Fuel Model -  Input'!$B$3:$B$373,0),MATCH(G$2,'Fuel Model -  Input'!$B$3:$N$3,0))</f>
        <v>3.5859919840000001</v>
      </c>
      <c r="H1989" s="521">
        <f>INDEX('Fuel Model -  Input'!$B$3:$N$373,MATCH($B1989,'Fuel Model -  Input'!$B$3:$B$373,0),MATCH(H$2,'Fuel Model -  Input'!$B$3:$N$3,0))</f>
        <v>3.5</v>
      </c>
      <c r="I1989" s="521">
        <f>INDEX('Fuel Model -  Input'!$B$3:$N$373,MATCH($B1989,'Fuel Model -  Input'!$B$3:$B$373,0),MATCH(I$2,'Fuel Model -  Input'!$B$3:$N$3,0))</f>
        <v>3.4160701009999999</v>
      </c>
      <c r="J1989" s="521">
        <f>INDEX('Fuel Model -  Input'!$B$3:$N$373,MATCH($B1989,'Fuel Model -  Input'!$B$3:$B$373,0),MATCH(J$2,'Fuel Model -  Input'!$B$3:$N$3,0))</f>
        <v>3.3341528390000001</v>
      </c>
      <c r="K1989" s="521">
        <f>INDEX('Fuel Model -  Input'!$B$3:$N$373,MATCH($B1989,'Fuel Model -  Input'!$B$3:$B$373,0),MATCH(K$2,'Fuel Model -  Input'!$B$3:$N$3,0))</f>
        <v>3.2541999499999998</v>
      </c>
      <c r="L1989" s="521">
        <f>INDEX('Fuel Model -  Input'!$B$3:$N$373,MATCH($B1989,'Fuel Model -  Input'!$B$3:$B$373,0),MATCH(L$2,'Fuel Model -  Input'!$B$3:$N$3,0))</f>
        <v>3.1761643290000001</v>
      </c>
      <c r="M1989" s="521">
        <f>INDEX('Fuel Model -  Input'!$B$3:$N$373,MATCH($B1989,'Fuel Model -  Input'!$B$3:$B$373,0),MATCH(M$2,'Fuel Model -  Input'!$B$3:$N$3,0))</f>
        <v>3.1</v>
      </c>
    </row>
    <row r="1990" spans="2:13" hidden="1" outlineLevel="2" x14ac:dyDescent="0.2">
      <c r="B1990" t="str">
        <f t="shared" si="1063"/>
        <v>AmericasFeedstockCost of NGUSD/ton</v>
      </c>
      <c r="C1990" t="str">
        <f>+$C$1978</f>
        <v>Americas</v>
      </c>
      <c r="D1990" t="s">
        <v>777</v>
      </c>
      <c r="E1990" t="s">
        <v>1144</v>
      </c>
      <c r="F1990" s="128" t="s">
        <v>205</v>
      </c>
      <c r="G1990" s="532">
        <f>+INDEX('Fuel Model -  Input'!$B$3:$N$373,MATCH($B1990,'Fuel Model -  Input'!$B$3:$B$373,0),MATCH(G$2,'Fuel Model -  Input'!$B$3:$N$3,0))</f>
        <v>350</v>
      </c>
      <c r="H1990" s="532">
        <f>+INDEX('Fuel Model -  Input'!$B$3:$N$373,MATCH($B1990,'Fuel Model -  Input'!$B$3:$B$373,0),MATCH(H$2,'Fuel Model -  Input'!$B$3:$N$3,0))</f>
        <v>230</v>
      </c>
      <c r="I1990" s="532">
        <f>+INDEX('Fuel Model -  Input'!$B$3:$N$373,MATCH($B1990,'Fuel Model -  Input'!$B$3:$B$373,0),MATCH(I$2,'Fuel Model -  Input'!$B$3:$N$3,0))</f>
        <v>220</v>
      </c>
      <c r="J1990" s="532">
        <f>+INDEX('Fuel Model -  Input'!$B$3:$N$373,MATCH($B1990,'Fuel Model -  Input'!$B$3:$B$373,0),MATCH(J$2,'Fuel Model -  Input'!$B$3:$N$3,0))</f>
        <v>250</v>
      </c>
      <c r="K1990" s="532">
        <f>+INDEX('Fuel Model -  Input'!$B$3:$N$373,MATCH($B1990,'Fuel Model -  Input'!$B$3:$B$373,0),MATCH(K$2,'Fuel Model -  Input'!$B$3:$N$3,0))</f>
        <v>250</v>
      </c>
      <c r="L1990" s="532">
        <f>+INDEX('Fuel Model -  Input'!$B$3:$N$373,MATCH($B1990,'Fuel Model -  Input'!$B$3:$B$373,0),MATCH(L$2,'Fuel Model -  Input'!$B$3:$N$3,0))</f>
        <v>250</v>
      </c>
      <c r="M1990" s="532">
        <f>+INDEX('Fuel Model -  Input'!$B$3:$N$373,MATCH($B1990,'Fuel Model -  Input'!$B$3:$B$373,0),MATCH(M$2,'Fuel Model -  Input'!$B$3:$N$3,0))</f>
        <v>250</v>
      </c>
    </row>
    <row r="1991" spans="2:13" hidden="1" outlineLevel="2" x14ac:dyDescent="0.2">
      <c r="B1991" t="str">
        <f t="shared" si="1063"/>
        <v>AmericasFeedstockCost of H2O in H2USD/ton H2</v>
      </c>
      <c r="C1991" s="494" t="str">
        <f>C1990</f>
        <v>Americas</v>
      </c>
      <c r="D1991" t="s">
        <v>777</v>
      </c>
      <c r="E1991" t="s">
        <v>897</v>
      </c>
      <c r="F1991" s="128" t="s">
        <v>881</v>
      </c>
      <c r="G1991" s="337">
        <f t="shared" ref="G1991:M1991" si="1066">G1992*G1993</f>
        <v>13.5</v>
      </c>
      <c r="H1991" s="337">
        <f t="shared" si="1066"/>
        <v>13.5</v>
      </c>
      <c r="I1991" s="337">
        <f t="shared" si="1066"/>
        <v>13.5</v>
      </c>
      <c r="J1991" s="337">
        <f t="shared" si="1066"/>
        <v>13.5</v>
      </c>
      <c r="K1991" s="337">
        <f t="shared" si="1066"/>
        <v>13.5</v>
      </c>
      <c r="L1991" s="337">
        <f t="shared" si="1066"/>
        <v>13.5</v>
      </c>
      <c r="M1991" s="337">
        <f t="shared" si="1066"/>
        <v>13.5</v>
      </c>
    </row>
    <row r="1992" spans="2:13" hidden="1" outlineLevel="2" x14ac:dyDescent="0.2">
      <c r="B1992" t="str">
        <f t="shared" si="1063"/>
        <v>GlobalFeedstockConversion H2O:H2 (actual)ton H2O/ton H2</v>
      </c>
      <c r="C1992" t="s">
        <v>109</v>
      </c>
      <c r="D1992" t="s">
        <v>777</v>
      </c>
      <c r="E1992" t="s">
        <v>898</v>
      </c>
      <c r="F1992" s="128" t="s">
        <v>899</v>
      </c>
      <c r="G1992" s="495">
        <f>INDEX('Fuel Model -  Input'!$B$3:$N$373,MATCH($B1992,'Fuel Model -  Input'!$B$3:$B$373,0),MATCH(G$2,'Fuel Model -  Input'!$B$3:$N$3,0))</f>
        <v>9</v>
      </c>
      <c r="H1992" s="495">
        <f>INDEX('Fuel Model -  Input'!$B$3:$N$373,MATCH($B1992,'Fuel Model -  Input'!$B$3:$B$373,0),MATCH(H$2,'Fuel Model -  Input'!$B$3:$N$3,0))</f>
        <v>9</v>
      </c>
      <c r="I1992" s="495">
        <f>INDEX('Fuel Model -  Input'!$B$3:$N$373,MATCH($B1992,'Fuel Model -  Input'!$B$3:$B$373,0),MATCH(I$2,'Fuel Model -  Input'!$B$3:$N$3,0))</f>
        <v>9</v>
      </c>
      <c r="J1992" s="495">
        <f>INDEX('Fuel Model -  Input'!$B$3:$N$373,MATCH($B1992,'Fuel Model -  Input'!$B$3:$B$373,0),MATCH(J$2,'Fuel Model -  Input'!$B$3:$N$3,0))</f>
        <v>9</v>
      </c>
      <c r="K1992" s="495">
        <f>INDEX('Fuel Model -  Input'!$B$3:$N$373,MATCH($B1992,'Fuel Model -  Input'!$B$3:$B$373,0),MATCH(K$2,'Fuel Model -  Input'!$B$3:$N$3,0))</f>
        <v>9</v>
      </c>
      <c r="L1992" s="495">
        <f>INDEX('Fuel Model -  Input'!$B$3:$N$373,MATCH($B1992,'Fuel Model -  Input'!$B$3:$B$373,0),MATCH(L$2,'Fuel Model -  Input'!$B$3:$N$3,0))</f>
        <v>9</v>
      </c>
      <c r="M1992" s="495">
        <f>INDEX('Fuel Model -  Input'!$B$3:$N$373,MATCH($B1992,'Fuel Model -  Input'!$B$3:$B$373,0),MATCH(M$2,'Fuel Model -  Input'!$B$3:$N$3,0))</f>
        <v>9</v>
      </c>
    </row>
    <row r="1993" spans="2:13" hidden="1" outlineLevel="2" x14ac:dyDescent="0.2">
      <c r="B1993" t="str">
        <f t="shared" si="1063"/>
        <v>GlobalFeedstockDemineralized water costUSD/ton demin H2O</v>
      </c>
      <c r="C1993" s="494" t="s">
        <v>109</v>
      </c>
      <c r="D1993" t="s">
        <v>777</v>
      </c>
      <c r="E1993" t="s">
        <v>900</v>
      </c>
      <c r="F1993" s="450" t="s">
        <v>901</v>
      </c>
      <c r="G1993" s="495">
        <f>+INDEX('Fuel Model -  Input'!$B$3:$N$373,MATCH($B1993,'Fuel Model -  Input'!$B$3:$B$373,0),MATCH(G$2,'Fuel Model -  Input'!$B$3:$N$3,0))</f>
        <v>1.5</v>
      </c>
      <c r="H1993" s="495">
        <f>+INDEX('Fuel Model -  Input'!$B$3:$N$373,MATCH($B1993,'Fuel Model -  Input'!$B$3:$B$373,0),MATCH(H$2,'Fuel Model -  Input'!$B$3:$N$3,0))</f>
        <v>1.5</v>
      </c>
      <c r="I1993" s="495">
        <f>+INDEX('Fuel Model -  Input'!$B$3:$N$373,MATCH($B1993,'Fuel Model -  Input'!$B$3:$B$373,0),MATCH(I$2,'Fuel Model -  Input'!$B$3:$N$3,0))</f>
        <v>1.5</v>
      </c>
      <c r="J1993" s="495">
        <f>+INDEX('Fuel Model -  Input'!$B$3:$N$373,MATCH($B1993,'Fuel Model -  Input'!$B$3:$B$373,0),MATCH(J$2,'Fuel Model -  Input'!$B$3:$N$3,0))</f>
        <v>1.5</v>
      </c>
      <c r="K1993" s="495">
        <f>+INDEX('Fuel Model -  Input'!$B$3:$N$373,MATCH($B1993,'Fuel Model -  Input'!$B$3:$B$373,0),MATCH(K$2,'Fuel Model -  Input'!$B$3:$N$3,0))</f>
        <v>1.5</v>
      </c>
      <c r="L1993" s="495">
        <f>+INDEX('Fuel Model -  Input'!$B$3:$N$373,MATCH($B1993,'Fuel Model -  Input'!$B$3:$B$373,0),MATCH(L$2,'Fuel Model -  Input'!$B$3:$N$3,0))</f>
        <v>1.5</v>
      </c>
      <c r="M1993" s="495">
        <f>+INDEX('Fuel Model -  Input'!$B$3:$N$373,MATCH($B1993,'Fuel Model -  Input'!$B$3:$B$373,0),MATCH(M$2,'Fuel Model -  Input'!$B$3:$N$3,0))</f>
        <v>1.5</v>
      </c>
    </row>
    <row r="1994" spans="2:13" hidden="1" outlineLevel="2" x14ac:dyDescent="0.2">
      <c r="F1994" s="128"/>
      <c r="G1994" s="524"/>
      <c r="H1994" s="524"/>
      <c r="I1994" s="524"/>
      <c r="J1994" s="524"/>
      <c r="K1994" s="524"/>
      <c r="L1994" s="524"/>
      <c r="M1994" s="524"/>
    </row>
    <row r="1995" spans="2:13" hidden="1" outlineLevel="2" x14ac:dyDescent="0.2">
      <c r="B1995" t="str">
        <f>+C1995&amp;D1995&amp;E1995&amp;F1995</f>
        <v>AmericasOpexSMRUSD/ton H2</v>
      </c>
      <c r="C1995" s="494" t="str">
        <f>+$C$1978</f>
        <v>Americas</v>
      </c>
      <c r="D1995" t="s">
        <v>219</v>
      </c>
      <c r="E1995" s="48" t="s">
        <v>1174</v>
      </c>
      <c r="F1995" s="128" t="s">
        <v>881</v>
      </c>
      <c r="G1995" s="337">
        <f t="shared" ref="G1995:M1995" si="1067">G1996*G1987</f>
        <v>357.40736945012748</v>
      </c>
      <c r="H1995" s="337">
        <f t="shared" si="1067"/>
        <v>300</v>
      </c>
      <c r="I1995" s="337">
        <f t="shared" si="1067"/>
        <v>251.81349824561624</v>
      </c>
      <c r="J1995" s="337">
        <f t="shared" si="1067"/>
        <v>211.36679299564994</v>
      </c>
      <c r="K1995" s="337">
        <f t="shared" si="1067"/>
        <v>177.41670519063879</v>
      </c>
      <c r="L1995" s="337">
        <f t="shared" si="1067"/>
        <v>148.91973727088646</v>
      </c>
      <c r="M1995" s="337">
        <f t="shared" si="1067"/>
        <v>125</v>
      </c>
    </row>
    <row r="1996" spans="2:13" hidden="1" outlineLevel="2" x14ac:dyDescent="0.2">
      <c r="B1996" t="str">
        <f>+C1996&amp;D1996&amp;E1996&amp;F1996</f>
        <v>GlobalOpexPlant - SMR - opexPercent of Capex</v>
      </c>
      <c r="C1996" t="s">
        <v>109</v>
      </c>
      <c r="D1996" t="s">
        <v>219</v>
      </c>
      <c r="E1996" s="48" t="s">
        <v>1175</v>
      </c>
      <c r="F1996" s="128" t="s">
        <v>883</v>
      </c>
      <c r="G1996" s="531">
        <f>+INDEX('Fuel Model -  Input'!$B$3:$N$373,MATCH($B1996,'Fuel Model -  Input'!$B$3:$B$373,0),MATCH(G$2,'Fuel Model -  Input'!$B$3:$N$3,0))</f>
        <v>0.1148698354997035</v>
      </c>
      <c r="H1996" s="531">
        <f>+INDEX('Fuel Model -  Input'!$B$3:$N$373,MATCH($B1996,'Fuel Model -  Input'!$B$3:$B$373,0),MATCH(H$2,'Fuel Model -  Input'!$B$3:$N$3,0))</f>
        <v>0.1</v>
      </c>
      <c r="I1996" s="531">
        <f>+INDEX('Fuel Model -  Input'!$B$3:$N$373,MATCH($B1996,'Fuel Model -  Input'!$B$3:$B$373,0),MATCH(I$2,'Fuel Model -  Input'!$B$3:$N$3,0))</f>
        <v>8.7055056329612412E-2</v>
      </c>
      <c r="J1996" s="531">
        <f>+INDEX('Fuel Model -  Input'!$B$3:$N$373,MATCH($B1996,'Fuel Model -  Input'!$B$3:$B$373,0),MATCH(J$2,'Fuel Model -  Input'!$B$3:$N$3,0))</f>
        <v>7.5785828325519902E-2</v>
      </c>
      <c r="K1996" s="531">
        <f>+INDEX('Fuel Model -  Input'!$B$3:$N$373,MATCH($B1996,'Fuel Model -  Input'!$B$3:$B$373,0),MATCH(K$2,'Fuel Model -  Input'!$B$3:$N$3,0))</f>
        <v>6.5975395538644704E-2</v>
      </c>
      <c r="L1996" s="531">
        <f>+INDEX('Fuel Model -  Input'!$B$3:$N$373,MATCH($B1996,'Fuel Model -  Input'!$B$3:$B$373,0),MATCH(L$2,'Fuel Model -  Input'!$B$3:$N$3,0))</f>
        <v>5.7434917749851745E-2</v>
      </c>
      <c r="M1996" s="531">
        <f>+INDEX('Fuel Model -  Input'!$B$3:$N$373,MATCH($B1996,'Fuel Model -  Input'!$B$3:$B$373,0),MATCH(M$2,'Fuel Model -  Input'!$B$3:$N$3,0))</f>
        <v>0.05</v>
      </c>
    </row>
    <row r="1997" spans="2:13" ht="12.75" hidden="1" outlineLevel="1" x14ac:dyDescent="0.2">
      <c r="F1997"/>
    </row>
    <row r="1998" spans="2:13" s="30" customFormat="1" ht="15" hidden="1" outlineLevel="1" collapsed="1" x14ac:dyDescent="0.25">
      <c r="B1998" s="30" t="s">
        <v>200</v>
      </c>
      <c r="C1998" s="30" t="str">
        <f>+B1998</f>
        <v>Africa</v>
      </c>
    </row>
    <row r="1999" spans="2:13" ht="15" hidden="1" outlineLevel="2" x14ac:dyDescent="0.25">
      <c r="B1999" t="str">
        <f>+C1999&amp;D1999&amp;E1999&amp;F1999</f>
        <v>AfricaResultsTotal cost of Grey hydrogenUSD/ton</v>
      </c>
      <c r="C1999" s="494" t="str">
        <f>+$C$1998</f>
        <v>Africa</v>
      </c>
      <c r="D1999" s="30" t="s">
        <v>838</v>
      </c>
      <c r="E1999" s="405" t="s">
        <v>1165</v>
      </c>
      <c r="F1999" s="127" t="s">
        <v>205</v>
      </c>
      <c r="G1999" s="490">
        <f t="shared" ref="G1999:M1999" si="1068">+SUM(G2000:G2002)</f>
        <v>6921.2347231243393</v>
      </c>
      <c r="H1999" s="490">
        <f t="shared" si="1068"/>
        <v>3028.5</v>
      </c>
      <c r="I1999" s="490">
        <f t="shared" si="1068"/>
        <v>2143.4578097813123</v>
      </c>
      <c r="J1999" s="490">
        <f t="shared" si="1068"/>
        <v>2054.9511954859868</v>
      </c>
      <c r="K1999" s="490">
        <f t="shared" si="1068"/>
        <v>1974.2018860965813</v>
      </c>
      <c r="L1999" s="490">
        <f t="shared" si="1068"/>
        <v>1900.1322782743964</v>
      </c>
      <c r="M1999" s="490">
        <f t="shared" si="1068"/>
        <v>1831.8333333333335</v>
      </c>
    </row>
    <row r="2000" spans="2:13" ht="15" hidden="1" outlineLevel="2" x14ac:dyDescent="0.25">
      <c r="B2000" t="str">
        <f>+C2000&amp;D2000&amp;E2000&amp;F2000</f>
        <v>AfricaResultsTotal Capex Grey HydrogenUSD/ton</v>
      </c>
      <c r="C2000" s="494" t="str">
        <f>+$C$1998</f>
        <v>Africa</v>
      </c>
      <c r="D2000" s="30" t="s">
        <v>838</v>
      </c>
      <c r="E2000" s="228" t="s">
        <v>1162</v>
      </c>
      <c r="F2000" s="127" t="s">
        <v>205</v>
      </c>
      <c r="G2000" s="490">
        <f t="shared" ref="G2000:M2000" si="1069">G2005</f>
        <v>274.84138167421179</v>
      </c>
      <c r="H2000" s="490">
        <f t="shared" si="1069"/>
        <v>265.00000000000006</v>
      </c>
      <c r="I2000" s="490">
        <f t="shared" si="1069"/>
        <v>255.51101356069626</v>
      </c>
      <c r="J2000" s="490">
        <f t="shared" si="1069"/>
        <v>246.36180396533697</v>
      </c>
      <c r="K2000" s="490">
        <f t="shared" si="1069"/>
        <v>237.54020465594266</v>
      </c>
      <c r="L2000" s="490">
        <f t="shared" si="1069"/>
        <v>229.03448472850988</v>
      </c>
      <c r="M2000" s="490">
        <f t="shared" si="1069"/>
        <v>220.83333333333337</v>
      </c>
    </row>
    <row r="2001" spans="2:13" ht="15" hidden="1" outlineLevel="2" x14ac:dyDescent="0.25">
      <c r="B2001" t="str">
        <f>+C2001&amp;D2001&amp;E2001&amp;F2001</f>
        <v>AfricaResultsTotal Opex Grey HydrogenUSD/ton</v>
      </c>
      <c r="C2001" s="494" t="str">
        <f>+$C$1998</f>
        <v>Africa</v>
      </c>
      <c r="D2001" s="30" t="s">
        <v>838</v>
      </c>
      <c r="E2001" s="228" t="s">
        <v>1163</v>
      </c>
      <c r="F2001" s="127" t="s">
        <v>205</v>
      </c>
      <c r="G2001" s="490">
        <f>+G2015</f>
        <v>357.40736945012748</v>
      </c>
      <c r="H2001" s="490">
        <f t="shared" ref="H2001:M2001" si="1070">+H2015</f>
        <v>300</v>
      </c>
      <c r="I2001" s="490">
        <f t="shared" si="1070"/>
        <v>251.81349824561624</v>
      </c>
      <c r="J2001" s="490">
        <f t="shared" si="1070"/>
        <v>211.36679299564994</v>
      </c>
      <c r="K2001" s="490">
        <f t="shared" si="1070"/>
        <v>177.41670519063879</v>
      </c>
      <c r="L2001" s="490">
        <f t="shared" si="1070"/>
        <v>148.91973727088646</v>
      </c>
      <c r="M2001" s="490">
        <f t="shared" si="1070"/>
        <v>125</v>
      </c>
    </row>
    <row r="2002" spans="2:13" ht="15" hidden="1" outlineLevel="2" x14ac:dyDescent="0.25">
      <c r="B2002" t="str">
        <f>+C2002&amp;D2002&amp;E2002&amp;F2002</f>
        <v>AfricaResultsTotal Raw Material Grey HydrogenUSD/ton</v>
      </c>
      <c r="C2002" s="494" t="str">
        <f>+$C$1998</f>
        <v>Africa</v>
      </c>
      <c r="D2002" s="30" t="s">
        <v>838</v>
      </c>
      <c r="E2002" s="228" t="s">
        <v>1164</v>
      </c>
      <c r="F2002" s="127" t="s">
        <v>205</v>
      </c>
      <c r="G2002" s="490">
        <f>+G2008+G2011</f>
        <v>6288.9859720000004</v>
      </c>
      <c r="H2002" s="490">
        <f t="shared" ref="H2002:M2002" si="1071">+H2008+H2011</f>
        <v>2463.5</v>
      </c>
      <c r="I2002" s="490">
        <f t="shared" si="1071"/>
        <v>1636.133297975</v>
      </c>
      <c r="J2002" s="490">
        <f t="shared" si="1071"/>
        <v>1597.222598525</v>
      </c>
      <c r="K2002" s="490">
        <f t="shared" si="1071"/>
        <v>1559.24497625</v>
      </c>
      <c r="L2002" s="490">
        <f t="shared" si="1071"/>
        <v>1522.178056275</v>
      </c>
      <c r="M2002" s="490">
        <f t="shared" si="1071"/>
        <v>1486</v>
      </c>
    </row>
    <row r="2003" spans="2:13" ht="15" hidden="1" outlineLevel="2" x14ac:dyDescent="0.25">
      <c r="B2003" t="str">
        <f>+C2003&amp;D2003&amp;E2003&amp;F2003</f>
        <v>AfricaResultsShare of total cost Raw Material Grey Hydrogen%</v>
      </c>
      <c r="C2003" s="494" t="str">
        <f>+$C$1998</f>
        <v>Africa</v>
      </c>
      <c r="D2003" s="30" t="s">
        <v>838</v>
      </c>
      <c r="E2003" s="228" t="s">
        <v>1166</v>
      </c>
      <c r="F2003" s="127" t="s">
        <v>178</v>
      </c>
      <c r="G2003" s="553">
        <f t="shared" ref="G2003:M2003" si="1072">+G2002/G1999</f>
        <v>0.90865087279702406</v>
      </c>
      <c r="H2003" s="553">
        <f t="shared" si="1072"/>
        <v>0.81343899620274063</v>
      </c>
      <c r="I2003" s="553">
        <f t="shared" si="1072"/>
        <v>0.76331490664699742</v>
      </c>
      <c r="J2003" s="553">
        <f t="shared" si="1072"/>
        <v>0.77725573338848275</v>
      </c>
      <c r="K2003" s="553">
        <f t="shared" si="1072"/>
        <v>0.78981029611564213</v>
      </c>
      <c r="L2003" s="553">
        <f t="shared" si="1072"/>
        <v>0.80109057336648415</v>
      </c>
      <c r="M2003" s="553">
        <f t="shared" si="1072"/>
        <v>0.81120917114002355</v>
      </c>
    </row>
    <row r="2004" spans="2:13" hidden="1" outlineLevel="2" x14ac:dyDescent="0.2">
      <c r="E2004" s="48"/>
      <c r="F2004" s="128"/>
      <c r="G2004" s="8"/>
      <c r="H2004" s="8"/>
      <c r="I2004" s="8"/>
      <c r="J2004" s="8"/>
      <c r="K2004" s="8"/>
      <c r="L2004" s="8"/>
      <c r="M2004" s="8"/>
    </row>
    <row r="2005" spans="2:13" hidden="1" outlineLevel="2" x14ac:dyDescent="0.2">
      <c r="B2005" t="str">
        <f t="shared" ref="B2005:B2013" si="1073">+C2005&amp;D2005&amp;E2005&amp;F2005</f>
        <v>AfricaPlant - SMRCapex Grey Hydrogen USD/ton H2</v>
      </c>
      <c r="C2005" s="494" t="str">
        <f>+$C$1998</f>
        <v>Africa</v>
      </c>
      <c r="D2005" t="s">
        <v>1167</v>
      </c>
      <c r="E2005" s="48" t="s">
        <v>1168</v>
      </c>
      <c r="F2005" s="128" t="s">
        <v>881</v>
      </c>
      <c r="G2005" s="8">
        <f t="shared" ref="G2005:M2005" si="1074">G2007/G2006</f>
        <v>274.84138167421179</v>
      </c>
      <c r="H2005" s="8">
        <f t="shared" si="1074"/>
        <v>265.00000000000006</v>
      </c>
      <c r="I2005" s="8">
        <f t="shared" si="1074"/>
        <v>255.51101356069626</v>
      </c>
      <c r="J2005" s="8">
        <f t="shared" si="1074"/>
        <v>246.36180396533697</v>
      </c>
      <c r="K2005" s="8">
        <f t="shared" si="1074"/>
        <v>237.54020465594266</v>
      </c>
      <c r="L2005" s="8">
        <f t="shared" si="1074"/>
        <v>229.03448472850988</v>
      </c>
      <c r="M2005" s="8">
        <f t="shared" si="1074"/>
        <v>220.83333333333337</v>
      </c>
    </row>
    <row r="2006" spans="2:13" hidden="1" outlineLevel="2" x14ac:dyDescent="0.2">
      <c r="B2006" t="str">
        <f t="shared" si="1073"/>
        <v>GlobalPlant capexAnnualisation factor#</v>
      </c>
      <c r="C2006" t="s">
        <v>109</v>
      </c>
      <c r="D2006" t="s">
        <v>786</v>
      </c>
      <c r="E2006" t="s">
        <v>764</v>
      </c>
      <c r="F2006" s="450" t="s">
        <v>787</v>
      </c>
      <c r="G2006" s="532">
        <f>+INDEX('Fuel Model -  Input'!$B$3:$N$373,MATCH($B2006,'Fuel Model -  Input'!$B$3:$B$373,0),MATCH(G$2,'Fuel Model -  Input'!$B$3:$N$3,0))</f>
        <v>11.32075471698113</v>
      </c>
      <c r="H2006" s="532">
        <f>+INDEX('Fuel Model -  Input'!$B$3:$N$373,MATCH($B2006,'Fuel Model -  Input'!$B$3:$B$373,0),MATCH(H$2,'Fuel Model -  Input'!$B$3:$N$3,0))</f>
        <v>11.32075471698113</v>
      </c>
      <c r="I2006" s="532">
        <f>+INDEX('Fuel Model -  Input'!$B$3:$N$373,MATCH($B2006,'Fuel Model -  Input'!$B$3:$B$373,0),MATCH(I$2,'Fuel Model -  Input'!$B$3:$N$3,0))</f>
        <v>11.32075471698113</v>
      </c>
      <c r="J2006" s="532">
        <f>+INDEX('Fuel Model -  Input'!$B$3:$N$373,MATCH($B2006,'Fuel Model -  Input'!$B$3:$B$373,0),MATCH(J$2,'Fuel Model -  Input'!$B$3:$N$3,0))</f>
        <v>11.32075471698113</v>
      </c>
      <c r="K2006" s="532">
        <f>+INDEX('Fuel Model -  Input'!$B$3:$N$373,MATCH($B2006,'Fuel Model -  Input'!$B$3:$B$373,0),MATCH(K$2,'Fuel Model -  Input'!$B$3:$N$3,0))</f>
        <v>11.32075471698113</v>
      </c>
      <c r="L2006" s="532">
        <f>+INDEX('Fuel Model -  Input'!$B$3:$N$373,MATCH($B2006,'Fuel Model -  Input'!$B$3:$B$373,0),MATCH(L$2,'Fuel Model -  Input'!$B$3:$N$3,0))</f>
        <v>11.32075471698113</v>
      </c>
      <c r="M2006" s="532">
        <f>+INDEX('Fuel Model -  Input'!$B$3:$N$373,MATCH($B2006,'Fuel Model -  Input'!$B$3:$B$373,0),MATCH(M$2,'Fuel Model -  Input'!$B$3:$N$3,0))</f>
        <v>11.32075471698113</v>
      </c>
    </row>
    <row r="2007" spans="2:13" hidden="1" outlineLevel="2" x14ac:dyDescent="0.2">
      <c r="B2007" t="str">
        <f t="shared" si="1073"/>
        <v>GlobalCapexSMR - PlantUSD/ton H2 Cap</v>
      </c>
      <c r="C2007" t="s">
        <v>109</v>
      </c>
      <c r="D2007" t="s">
        <v>218</v>
      </c>
      <c r="E2007" s="48" t="s">
        <v>1169</v>
      </c>
      <c r="F2007" s="128" t="s">
        <v>1170</v>
      </c>
      <c r="G2007" s="532">
        <f>+INDEX('Fuel Model -  Input'!$B$3:$N$373,MATCH($B2007,'Fuel Model -  Input'!$B$3:$B$373,0),MATCH(G$2,'Fuel Model -  Input'!$B$3:$N$3,0))</f>
        <v>3111.4118680099441</v>
      </c>
      <c r="H2007" s="532">
        <f>+INDEX('Fuel Model -  Input'!$B$3:$N$373,MATCH($B2007,'Fuel Model -  Input'!$B$3:$B$373,0),MATCH(H$2,'Fuel Model -  Input'!$B$3:$N$3,0))</f>
        <v>3000</v>
      </c>
      <c r="I2007" s="532">
        <f>+INDEX('Fuel Model -  Input'!$B$3:$N$373,MATCH($B2007,'Fuel Model -  Input'!$B$3:$B$373,0),MATCH(I$2,'Fuel Model -  Input'!$B$3:$N$3,0))</f>
        <v>2892.5775120078815</v>
      </c>
      <c r="J2007" s="532">
        <f>+INDEX('Fuel Model -  Input'!$B$3:$N$373,MATCH($B2007,'Fuel Model -  Input'!$B$3:$B$373,0),MATCH(J$2,'Fuel Model -  Input'!$B$3:$N$3,0))</f>
        <v>2789.001554324569</v>
      </c>
      <c r="K2007" s="532">
        <f>+INDEX('Fuel Model -  Input'!$B$3:$N$373,MATCH($B2007,'Fuel Model -  Input'!$B$3:$B$373,0),MATCH(K$2,'Fuel Model -  Input'!$B$3:$N$3,0))</f>
        <v>2689.1343923314257</v>
      </c>
      <c r="L2007" s="532">
        <f>+INDEX('Fuel Model -  Input'!$B$3:$N$373,MATCH($B2007,'Fuel Model -  Input'!$B$3:$B$373,0),MATCH(L$2,'Fuel Model -  Input'!$B$3:$N$3,0))</f>
        <v>2592.8432233416206</v>
      </c>
      <c r="M2007" s="532">
        <f>+INDEX('Fuel Model -  Input'!$B$3:$N$373,MATCH($B2007,'Fuel Model -  Input'!$B$3:$B$373,0),MATCH(M$2,'Fuel Model -  Input'!$B$3:$N$3,0))</f>
        <v>2500</v>
      </c>
    </row>
    <row r="2008" spans="2:13" hidden="1" outlineLevel="2" x14ac:dyDescent="0.2">
      <c r="B2008" t="str">
        <f t="shared" si="1073"/>
        <v>AfricaFeedstockCost of NG in H2USD/ton H2</v>
      </c>
      <c r="C2008" s="494" t="str">
        <f>+$C$1998</f>
        <v>Africa</v>
      </c>
      <c r="D2008" t="s">
        <v>777</v>
      </c>
      <c r="E2008" t="s">
        <v>1171</v>
      </c>
      <c r="F2008" s="128" t="s">
        <v>881</v>
      </c>
      <c r="G2008" s="337">
        <f t="shared" ref="G2008:M2008" si="1075">G2009*G2010</f>
        <v>6275.4859720000004</v>
      </c>
      <c r="H2008" s="337">
        <f t="shared" si="1075"/>
        <v>2450</v>
      </c>
      <c r="I2008" s="337">
        <f t="shared" si="1075"/>
        <v>1622.633297975</v>
      </c>
      <c r="J2008" s="337">
        <f t="shared" si="1075"/>
        <v>1583.722598525</v>
      </c>
      <c r="K2008" s="337">
        <f t="shared" si="1075"/>
        <v>1545.74497625</v>
      </c>
      <c r="L2008" s="337">
        <f t="shared" si="1075"/>
        <v>1508.678056275</v>
      </c>
      <c r="M2008" s="337">
        <f t="shared" si="1075"/>
        <v>1472.5</v>
      </c>
    </row>
    <row r="2009" spans="2:13" hidden="1" outlineLevel="2" x14ac:dyDescent="0.2">
      <c r="B2009" t="str">
        <f t="shared" si="1073"/>
        <v>GlobalFeedstockConversion NG : H2 (actual)kg NG/kg H2</v>
      </c>
      <c r="C2009" t="s">
        <v>109</v>
      </c>
      <c r="D2009" t="s">
        <v>777</v>
      </c>
      <c r="E2009" t="s">
        <v>1172</v>
      </c>
      <c r="F2009" s="128" t="s">
        <v>1173</v>
      </c>
      <c r="G2009" s="521">
        <f>INDEX('Fuel Model -  Input'!$B$3:$N$373,MATCH($B2009,'Fuel Model -  Input'!$B$3:$B$373,0),MATCH(G$2,'Fuel Model -  Input'!$B$3:$N$3,0))</f>
        <v>3.5859919840000001</v>
      </c>
      <c r="H2009" s="521">
        <f>INDEX('Fuel Model -  Input'!$B$3:$N$373,MATCH($B2009,'Fuel Model -  Input'!$B$3:$B$373,0),MATCH(H$2,'Fuel Model -  Input'!$B$3:$N$3,0))</f>
        <v>3.5</v>
      </c>
      <c r="I2009" s="521">
        <f>INDEX('Fuel Model -  Input'!$B$3:$N$373,MATCH($B2009,'Fuel Model -  Input'!$B$3:$B$373,0),MATCH(I$2,'Fuel Model -  Input'!$B$3:$N$3,0))</f>
        <v>3.4160701009999999</v>
      </c>
      <c r="J2009" s="521">
        <f>INDEX('Fuel Model -  Input'!$B$3:$N$373,MATCH($B2009,'Fuel Model -  Input'!$B$3:$B$373,0),MATCH(J$2,'Fuel Model -  Input'!$B$3:$N$3,0))</f>
        <v>3.3341528390000001</v>
      </c>
      <c r="K2009" s="521">
        <f>INDEX('Fuel Model -  Input'!$B$3:$N$373,MATCH($B2009,'Fuel Model -  Input'!$B$3:$B$373,0),MATCH(K$2,'Fuel Model -  Input'!$B$3:$N$3,0))</f>
        <v>3.2541999499999998</v>
      </c>
      <c r="L2009" s="521">
        <f>INDEX('Fuel Model -  Input'!$B$3:$N$373,MATCH($B2009,'Fuel Model -  Input'!$B$3:$B$373,0),MATCH(L$2,'Fuel Model -  Input'!$B$3:$N$3,0))</f>
        <v>3.1761643290000001</v>
      </c>
      <c r="M2009" s="521">
        <f>INDEX('Fuel Model -  Input'!$B$3:$N$373,MATCH($B2009,'Fuel Model -  Input'!$B$3:$B$373,0),MATCH(M$2,'Fuel Model -  Input'!$B$3:$N$3,0))</f>
        <v>3.1</v>
      </c>
    </row>
    <row r="2010" spans="2:13" hidden="1" outlineLevel="2" x14ac:dyDescent="0.2">
      <c r="B2010" t="str">
        <f t="shared" si="1073"/>
        <v>AfricaFeedstockCost of NGUSD/ton</v>
      </c>
      <c r="C2010" t="str">
        <f>+$C$1998</f>
        <v>Africa</v>
      </c>
      <c r="D2010" t="s">
        <v>777</v>
      </c>
      <c r="E2010" t="s">
        <v>1144</v>
      </c>
      <c r="F2010" s="128" t="s">
        <v>205</v>
      </c>
      <c r="G2010" s="532">
        <f>+INDEX('Fuel Model -  Input'!$B$3:$N$373,MATCH($B2010,'Fuel Model -  Input'!$B$3:$B$373,0),MATCH(G$2,'Fuel Model -  Input'!$B$3:$N$3,0))</f>
        <v>1750</v>
      </c>
      <c r="H2010" s="532">
        <f>+INDEX('Fuel Model -  Input'!$B$3:$N$373,MATCH($B2010,'Fuel Model -  Input'!$B$3:$B$373,0),MATCH(H$2,'Fuel Model -  Input'!$B$3:$N$3,0))</f>
        <v>700</v>
      </c>
      <c r="I2010" s="532">
        <f>+INDEX('Fuel Model -  Input'!$B$3:$N$373,MATCH($B2010,'Fuel Model -  Input'!$B$3:$B$373,0),MATCH(I$2,'Fuel Model -  Input'!$B$3:$N$3,0))</f>
        <v>475</v>
      </c>
      <c r="J2010" s="532">
        <f>+INDEX('Fuel Model -  Input'!$B$3:$N$373,MATCH($B2010,'Fuel Model -  Input'!$B$3:$B$373,0),MATCH(J$2,'Fuel Model -  Input'!$B$3:$N$3,0))</f>
        <v>475</v>
      </c>
      <c r="K2010" s="532">
        <f>+INDEX('Fuel Model -  Input'!$B$3:$N$373,MATCH($B2010,'Fuel Model -  Input'!$B$3:$B$373,0),MATCH(K$2,'Fuel Model -  Input'!$B$3:$N$3,0))</f>
        <v>475</v>
      </c>
      <c r="L2010" s="532">
        <f>+INDEX('Fuel Model -  Input'!$B$3:$N$373,MATCH($B2010,'Fuel Model -  Input'!$B$3:$B$373,0),MATCH(L$2,'Fuel Model -  Input'!$B$3:$N$3,0))</f>
        <v>475</v>
      </c>
      <c r="M2010" s="532">
        <f>+INDEX('Fuel Model -  Input'!$B$3:$N$373,MATCH($B2010,'Fuel Model -  Input'!$B$3:$B$373,0),MATCH(M$2,'Fuel Model -  Input'!$B$3:$N$3,0))</f>
        <v>475</v>
      </c>
    </row>
    <row r="2011" spans="2:13" hidden="1" outlineLevel="2" x14ac:dyDescent="0.2">
      <c r="B2011" t="str">
        <f t="shared" si="1073"/>
        <v>AfricaFeedstockCost of H2O in H2USD/ton H2</v>
      </c>
      <c r="C2011" s="494" t="str">
        <f>C2010</f>
        <v>Africa</v>
      </c>
      <c r="D2011" t="s">
        <v>777</v>
      </c>
      <c r="E2011" t="s">
        <v>897</v>
      </c>
      <c r="F2011" s="128" t="s">
        <v>881</v>
      </c>
      <c r="G2011" s="337">
        <f t="shared" ref="G2011:M2011" si="1076">G2012*G2013</f>
        <v>13.5</v>
      </c>
      <c r="H2011" s="337">
        <f t="shared" si="1076"/>
        <v>13.5</v>
      </c>
      <c r="I2011" s="337">
        <f t="shared" si="1076"/>
        <v>13.5</v>
      </c>
      <c r="J2011" s="337">
        <f t="shared" si="1076"/>
        <v>13.5</v>
      </c>
      <c r="K2011" s="337">
        <f t="shared" si="1076"/>
        <v>13.5</v>
      </c>
      <c r="L2011" s="337">
        <f t="shared" si="1076"/>
        <v>13.5</v>
      </c>
      <c r="M2011" s="337">
        <f t="shared" si="1076"/>
        <v>13.5</v>
      </c>
    </row>
    <row r="2012" spans="2:13" hidden="1" outlineLevel="2" x14ac:dyDescent="0.2">
      <c r="B2012" t="str">
        <f t="shared" si="1073"/>
        <v>GlobalFeedstockConversion H2O:H2 (actual)ton H2O/ton H2</v>
      </c>
      <c r="C2012" t="s">
        <v>109</v>
      </c>
      <c r="D2012" t="s">
        <v>777</v>
      </c>
      <c r="E2012" t="s">
        <v>898</v>
      </c>
      <c r="F2012" s="128" t="s">
        <v>899</v>
      </c>
      <c r="G2012" s="495">
        <f>INDEX('Fuel Model -  Input'!$B$3:$N$373,MATCH($B2012,'Fuel Model -  Input'!$B$3:$B$373,0),MATCH(G$2,'Fuel Model -  Input'!$B$3:$N$3,0))</f>
        <v>9</v>
      </c>
      <c r="H2012" s="495">
        <f>INDEX('Fuel Model -  Input'!$B$3:$N$373,MATCH($B2012,'Fuel Model -  Input'!$B$3:$B$373,0),MATCH(H$2,'Fuel Model -  Input'!$B$3:$N$3,0))</f>
        <v>9</v>
      </c>
      <c r="I2012" s="495">
        <f>INDEX('Fuel Model -  Input'!$B$3:$N$373,MATCH($B2012,'Fuel Model -  Input'!$B$3:$B$373,0),MATCH(I$2,'Fuel Model -  Input'!$B$3:$N$3,0))</f>
        <v>9</v>
      </c>
      <c r="J2012" s="495">
        <f>INDEX('Fuel Model -  Input'!$B$3:$N$373,MATCH($B2012,'Fuel Model -  Input'!$B$3:$B$373,0),MATCH(J$2,'Fuel Model -  Input'!$B$3:$N$3,0))</f>
        <v>9</v>
      </c>
      <c r="K2012" s="495">
        <f>INDEX('Fuel Model -  Input'!$B$3:$N$373,MATCH($B2012,'Fuel Model -  Input'!$B$3:$B$373,0),MATCH(K$2,'Fuel Model -  Input'!$B$3:$N$3,0))</f>
        <v>9</v>
      </c>
      <c r="L2012" s="495">
        <f>INDEX('Fuel Model -  Input'!$B$3:$N$373,MATCH($B2012,'Fuel Model -  Input'!$B$3:$B$373,0),MATCH(L$2,'Fuel Model -  Input'!$B$3:$N$3,0))</f>
        <v>9</v>
      </c>
      <c r="M2012" s="495">
        <f>INDEX('Fuel Model -  Input'!$B$3:$N$373,MATCH($B2012,'Fuel Model -  Input'!$B$3:$B$373,0),MATCH(M$2,'Fuel Model -  Input'!$B$3:$N$3,0))</f>
        <v>9</v>
      </c>
    </row>
    <row r="2013" spans="2:13" hidden="1" outlineLevel="2" x14ac:dyDescent="0.2">
      <c r="B2013" t="str">
        <f t="shared" si="1073"/>
        <v>GlobalFeedstockDemineralized water costUSD/ton demin H2O</v>
      </c>
      <c r="C2013" s="494" t="s">
        <v>109</v>
      </c>
      <c r="D2013" t="s">
        <v>777</v>
      </c>
      <c r="E2013" t="s">
        <v>900</v>
      </c>
      <c r="F2013" s="450" t="s">
        <v>901</v>
      </c>
      <c r="G2013" s="495">
        <f>+INDEX('Fuel Model -  Input'!$B$3:$N$373,MATCH($B2013,'Fuel Model -  Input'!$B$3:$B$373,0),MATCH(G$2,'Fuel Model -  Input'!$B$3:$N$3,0))</f>
        <v>1.5</v>
      </c>
      <c r="H2013" s="495">
        <f>+INDEX('Fuel Model -  Input'!$B$3:$N$373,MATCH($B2013,'Fuel Model -  Input'!$B$3:$B$373,0),MATCH(H$2,'Fuel Model -  Input'!$B$3:$N$3,0))</f>
        <v>1.5</v>
      </c>
      <c r="I2013" s="495">
        <f>+INDEX('Fuel Model -  Input'!$B$3:$N$373,MATCH($B2013,'Fuel Model -  Input'!$B$3:$B$373,0),MATCH(I$2,'Fuel Model -  Input'!$B$3:$N$3,0))</f>
        <v>1.5</v>
      </c>
      <c r="J2013" s="495">
        <f>+INDEX('Fuel Model -  Input'!$B$3:$N$373,MATCH($B2013,'Fuel Model -  Input'!$B$3:$B$373,0),MATCH(J$2,'Fuel Model -  Input'!$B$3:$N$3,0))</f>
        <v>1.5</v>
      </c>
      <c r="K2013" s="495">
        <f>+INDEX('Fuel Model -  Input'!$B$3:$N$373,MATCH($B2013,'Fuel Model -  Input'!$B$3:$B$373,0),MATCH(K$2,'Fuel Model -  Input'!$B$3:$N$3,0))</f>
        <v>1.5</v>
      </c>
      <c r="L2013" s="495">
        <f>+INDEX('Fuel Model -  Input'!$B$3:$N$373,MATCH($B2013,'Fuel Model -  Input'!$B$3:$B$373,0),MATCH(L$2,'Fuel Model -  Input'!$B$3:$N$3,0))</f>
        <v>1.5</v>
      </c>
      <c r="M2013" s="495">
        <f>+INDEX('Fuel Model -  Input'!$B$3:$N$373,MATCH($B2013,'Fuel Model -  Input'!$B$3:$B$373,0),MATCH(M$2,'Fuel Model -  Input'!$B$3:$N$3,0))</f>
        <v>1.5</v>
      </c>
    </row>
    <row r="2014" spans="2:13" hidden="1" outlineLevel="2" x14ac:dyDescent="0.2">
      <c r="F2014" s="128"/>
      <c r="G2014" s="524"/>
      <c r="H2014" s="524"/>
      <c r="I2014" s="524"/>
      <c r="J2014" s="524"/>
      <c r="K2014" s="524"/>
      <c r="L2014" s="524"/>
      <c r="M2014" s="524"/>
    </row>
    <row r="2015" spans="2:13" hidden="1" outlineLevel="2" x14ac:dyDescent="0.2">
      <c r="B2015" t="str">
        <f>+C2015&amp;D2015&amp;E2015&amp;F2015</f>
        <v>AfricaOpexSMRUSD/ton H2</v>
      </c>
      <c r="C2015" s="494" t="str">
        <f>+$C$1998</f>
        <v>Africa</v>
      </c>
      <c r="D2015" t="s">
        <v>219</v>
      </c>
      <c r="E2015" s="48" t="s">
        <v>1174</v>
      </c>
      <c r="F2015" s="128" t="s">
        <v>881</v>
      </c>
      <c r="G2015" s="337">
        <f t="shared" ref="G2015:M2015" si="1077">G2016*G2007</f>
        <v>357.40736945012748</v>
      </c>
      <c r="H2015" s="337">
        <f t="shared" si="1077"/>
        <v>300</v>
      </c>
      <c r="I2015" s="337">
        <f t="shared" si="1077"/>
        <v>251.81349824561624</v>
      </c>
      <c r="J2015" s="337">
        <f t="shared" si="1077"/>
        <v>211.36679299564994</v>
      </c>
      <c r="K2015" s="337">
        <f t="shared" si="1077"/>
        <v>177.41670519063879</v>
      </c>
      <c r="L2015" s="337">
        <f t="shared" si="1077"/>
        <v>148.91973727088646</v>
      </c>
      <c r="M2015" s="337">
        <f t="shared" si="1077"/>
        <v>125</v>
      </c>
    </row>
    <row r="2016" spans="2:13" hidden="1" outlineLevel="2" x14ac:dyDescent="0.2">
      <c r="B2016" t="str">
        <f>+C2016&amp;D2016&amp;E2016&amp;F2016</f>
        <v>GlobalOpexPlant - SMR - opexPercent of Capex</v>
      </c>
      <c r="C2016" t="s">
        <v>109</v>
      </c>
      <c r="D2016" t="s">
        <v>219</v>
      </c>
      <c r="E2016" s="48" t="s">
        <v>1175</v>
      </c>
      <c r="F2016" s="128" t="s">
        <v>883</v>
      </c>
      <c r="G2016" s="531">
        <f>+INDEX('Fuel Model -  Input'!$B$3:$N$373,MATCH($B2016,'Fuel Model -  Input'!$B$3:$B$373,0),MATCH(G$2,'Fuel Model -  Input'!$B$3:$N$3,0))</f>
        <v>0.1148698354997035</v>
      </c>
      <c r="H2016" s="531">
        <f>+INDEX('Fuel Model -  Input'!$B$3:$N$373,MATCH($B2016,'Fuel Model -  Input'!$B$3:$B$373,0),MATCH(H$2,'Fuel Model -  Input'!$B$3:$N$3,0))</f>
        <v>0.1</v>
      </c>
      <c r="I2016" s="531">
        <f>+INDEX('Fuel Model -  Input'!$B$3:$N$373,MATCH($B2016,'Fuel Model -  Input'!$B$3:$B$373,0),MATCH(I$2,'Fuel Model -  Input'!$B$3:$N$3,0))</f>
        <v>8.7055056329612412E-2</v>
      </c>
      <c r="J2016" s="531">
        <f>+INDEX('Fuel Model -  Input'!$B$3:$N$373,MATCH($B2016,'Fuel Model -  Input'!$B$3:$B$373,0),MATCH(J$2,'Fuel Model -  Input'!$B$3:$N$3,0))</f>
        <v>7.5785828325519902E-2</v>
      </c>
      <c r="K2016" s="531">
        <f>+INDEX('Fuel Model -  Input'!$B$3:$N$373,MATCH($B2016,'Fuel Model -  Input'!$B$3:$B$373,0),MATCH(K$2,'Fuel Model -  Input'!$B$3:$N$3,0))</f>
        <v>6.5975395538644704E-2</v>
      </c>
      <c r="L2016" s="531">
        <f>+INDEX('Fuel Model -  Input'!$B$3:$N$373,MATCH($B2016,'Fuel Model -  Input'!$B$3:$B$373,0),MATCH(L$2,'Fuel Model -  Input'!$B$3:$N$3,0))</f>
        <v>5.7434917749851745E-2</v>
      </c>
      <c r="M2016" s="531">
        <f>+INDEX('Fuel Model -  Input'!$B$3:$N$373,MATCH($B2016,'Fuel Model -  Input'!$B$3:$B$373,0),MATCH(M$2,'Fuel Model -  Input'!$B$3:$N$3,0))</f>
        <v>0.05</v>
      </c>
    </row>
    <row r="2017" spans="2:16" ht="12.75" hidden="1" outlineLevel="1" x14ac:dyDescent="0.2">
      <c r="F2017"/>
    </row>
    <row r="2018" spans="2:16" ht="15" hidden="1" outlineLevel="1" x14ac:dyDescent="0.25">
      <c r="B2018" s="30" t="s">
        <v>1176</v>
      </c>
      <c r="C2018" s="30" t="str">
        <f>+B2018</f>
        <v>CO2eq intensity ton/ton Grey Hydrogen</v>
      </c>
      <c r="F2018"/>
    </row>
    <row r="2019" spans="2:16" ht="15" hidden="1" outlineLevel="1" x14ac:dyDescent="0.25">
      <c r="B2019" s="527" t="str">
        <f>+C2019&amp;D2019&amp;E2019&amp;F2019</f>
        <v xml:space="preserve">GlobalEmissionsWTT Emission - Grey hydrogen (compressed)tonCO2eq/ ton </v>
      </c>
      <c r="C2019" s="516" t="s">
        <v>109</v>
      </c>
      <c r="D2019" s="516" t="s">
        <v>728</v>
      </c>
      <c r="E2019" s="516" t="s">
        <v>1177</v>
      </c>
      <c r="F2019" s="512" t="s">
        <v>1016</v>
      </c>
      <c r="G2019" s="533">
        <f>G2021+G2025+G2022</f>
        <v>9.0612301380000009</v>
      </c>
      <c r="H2019" s="533">
        <f t="shared" ref="H2019:M2019" si="1078">H2021+H2025+H2022</f>
        <v>9</v>
      </c>
      <c r="I2019" s="533">
        <f t="shared" si="1078"/>
        <v>8.9391836169999994</v>
      </c>
      <c r="J2019" s="533">
        <f t="shared" si="1078"/>
        <v>8.8787781930000005</v>
      </c>
      <c r="K2019" s="533">
        <f t="shared" si="1078"/>
        <v>8.8187809510000008</v>
      </c>
      <c r="L2019" s="533">
        <f t="shared" si="1078"/>
        <v>8.7591891339999997</v>
      </c>
      <c r="M2019" s="533">
        <f t="shared" si="1078"/>
        <v>8.6999999999999993</v>
      </c>
    </row>
    <row r="2020" spans="2:16" hidden="1" outlineLevel="2" x14ac:dyDescent="0.2">
      <c r="B2020" s="496"/>
      <c r="C2020" s="157"/>
      <c r="D2020" s="157"/>
      <c r="E2020" s="157"/>
      <c r="G2020" s="449"/>
      <c r="H2020" s="449"/>
      <c r="I2020" s="449"/>
      <c r="J2020" s="449"/>
      <c r="K2020" s="449"/>
      <c r="L2020" s="449"/>
      <c r="M2020" s="449"/>
    </row>
    <row r="2021" spans="2:16" hidden="1" outlineLevel="2" x14ac:dyDescent="0.2">
      <c r="B2021" s="496" t="str">
        <f>+C2021&amp;D2021&amp;E2021&amp;F2021</f>
        <v>GlobalCO2 CaptureConversion CO2 : H2 (actual)kg CO2/kg H2</v>
      </c>
      <c r="C2021" s="157" t="s">
        <v>109</v>
      </c>
      <c r="D2021" s="157" t="s">
        <v>1178</v>
      </c>
      <c r="E2021" s="157" t="s">
        <v>1179</v>
      </c>
      <c r="F2021" s="157" t="s">
        <v>1180</v>
      </c>
      <c r="G2021" s="521">
        <f>INDEX('Fuel Model -  Input'!$B$3:$N$373,MATCH($B2021,'Fuel Model -  Input'!$B$3:$B$373,0),MATCH(G$2,'Fuel Model -  Input'!$B$3:$N$3,0))</f>
        <v>9.0612301380000009</v>
      </c>
      <c r="H2021" s="521">
        <f>INDEX('Fuel Model -  Input'!$B$3:$N$373,MATCH($B2021,'Fuel Model -  Input'!$B$3:$B$373,0),MATCH(H$2,'Fuel Model -  Input'!$B$3:$N$3,0))</f>
        <v>9</v>
      </c>
      <c r="I2021" s="521">
        <f>INDEX('Fuel Model -  Input'!$B$3:$N$373,MATCH($B2021,'Fuel Model -  Input'!$B$3:$B$373,0),MATCH(I$2,'Fuel Model -  Input'!$B$3:$N$3,0))</f>
        <v>8.9391836169999994</v>
      </c>
      <c r="J2021" s="521">
        <f>INDEX('Fuel Model -  Input'!$B$3:$N$373,MATCH($B2021,'Fuel Model -  Input'!$B$3:$B$373,0),MATCH(J$2,'Fuel Model -  Input'!$B$3:$N$3,0))</f>
        <v>8.8787781930000005</v>
      </c>
      <c r="K2021" s="521">
        <f>INDEX('Fuel Model -  Input'!$B$3:$N$373,MATCH($B2021,'Fuel Model -  Input'!$B$3:$B$373,0),MATCH(K$2,'Fuel Model -  Input'!$B$3:$N$3,0))</f>
        <v>8.8187809510000008</v>
      </c>
      <c r="L2021" s="521">
        <f>INDEX('Fuel Model -  Input'!$B$3:$N$373,MATCH($B2021,'Fuel Model -  Input'!$B$3:$B$373,0),MATCH(L$2,'Fuel Model -  Input'!$B$3:$N$3,0))</f>
        <v>8.7591891339999997</v>
      </c>
      <c r="M2021" s="521">
        <f>INDEX('Fuel Model -  Input'!$B$3:$N$373,MATCH($B2021,'Fuel Model -  Input'!$B$3:$B$373,0),MATCH(M$2,'Fuel Model -  Input'!$B$3:$N$3,0))</f>
        <v>8.6999999999999993</v>
      </c>
      <c r="P2021">
        <f>1.8*1000/18.8</f>
        <v>95.744680851063819</v>
      </c>
    </row>
    <row r="2022" spans="2:16" hidden="1" outlineLevel="2" x14ac:dyDescent="0.2">
      <c r="B2022" s="496" t="str">
        <f t="shared" ref="B2022:B2023" si="1079">+C2022&amp;D2022&amp;E2022&amp;F2022</f>
        <v>GlobalCO2intensityWater CO2 impact on H2 productiontonCO2eq/tonH2</v>
      </c>
      <c r="C2022" s="157" t="s">
        <v>109</v>
      </c>
      <c r="D2022" s="157" t="s">
        <v>927</v>
      </c>
      <c r="E2022" t="s">
        <v>933</v>
      </c>
      <c r="F2022" s="157" t="s">
        <v>929</v>
      </c>
      <c r="G2022" s="520">
        <f>+G2023*G2024</f>
        <v>0</v>
      </c>
      <c r="H2022" s="520">
        <f t="shared" ref="H2022" si="1080">+H2023*H2024</f>
        <v>0</v>
      </c>
      <c r="I2022" s="520">
        <f t="shared" ref="I2022" si="1081">+I2023*I2024</f>
        <v>0</v>
      </c>
      <c r="J2022" s="520">
        <f t="shared" ref="J2022" si="1082">+J2023*J2024</f>
        <v>0</v>
      </c>
      <c r="K2022" s="520">
        <f t="shared" ref="K2022" si="1083">+K2023*K2024</f>
        <v>0</v>
      </c>
      <c r="L2022" s="520">
        <f t="shared" ref="L2022" si="1084">+L2023*L2024</f>
        <v>0</v>
      </c>
      <c r="M2022" s="520">
        <f t="shared" ref="M2022" si="1085">+M2023*M2024</f>
        <v>0</v>
      </c>
    </row>
    <row r="2023" spans="2:16" hidden="1" outlineLevel="2" x14ac:dyDescent="0.2">
      <c r="B2023" s="496" t="str">
        <f t="shared" si="1079"/>
        <v>GlobalFeedstockConversion H2O:H2 (actual)ton H2O/ton H2</v>
      </c>
      <c r="C2023" t="s">
        <v>109</v>
      </c>
      <c r="D2023" t="s">
        <v>777</v>
      </c>
      <c r="E2023" t="s">
        <v>898</v>
      </c>
      <c r="F2023" s="128" t="s">
        <v>899</v>
      </c>
      <c r="G2023" s="521">
        <f>INDEX('Fuel Model -  Input'!$B$3:$N$373,MATCH($B2023,'Fuel Model -  Input'!$B$3:$B$373,0),MATCH(G$2,'Fuel Model -  Input'!$B$3:$N$3,0))</f>
        <v>9</v>
      </c>
      <c r="H2023" s="521">
        <f>INDEX('Fuel Model -  Input'!$B$3:$N$373,MATCH($B2023,'Fuel Model -  Input'!$B$3:$B$373,0),MATCH(H$2,'Fuel Model -  Input'!$B$3:$N$3,0))</f>
        <v>9</v>
      </c>
      <c r="I2023" s="521">
        <f>INDEX('Fuel Model -  Input'!$B$3:$N$373,MATCH($B2023,'Fuel Model -  Input'!$B$3:$B$373,0),MATCH(I$2,'Fuel Model -  Input'!$B$3:$N$3,0))</f>
        <v>9</v>
      </c>
      <c r="J2023" s="521">
        <f>INDEX('Fuel Model -  Input'!$B$3:$N$373,MATCH($B2023,'Fuel Model -  Input'!$B$3:$B$373,0),MATCH(J$2,'Fuel Model -  Input'!$B$3:$N$3,0))</f>
        <v>9</v>
      </c>
      <c r="K2023" s="521">
        <f>INDEX('Fuel Model -  Input'!$B$3:$N$373,MATCH($B2023,'Fuel Model -  Input'!$B$3:$B$373,0),MATCH(K$2,'Fuel Model -  Input'!$B$3:$N$3,0))</f>
        <v>9</v>
      </c>
      <c r="L2023" s="521">
        <f>INDEX('Fuel Model -  Input'!$B$3:$N$373,MATCH($B2023,'Fuel Model -  Input'!$B$3:$B$373,0),MATCH(L$2,'Fuel Model -  Input'!$B$3:$N$3,0))</f>
        <v>9</v>
      </c>
      <c r="M2023" s="521">
        <f>INDEX('Fuel Model -  Input'!$B$3:$N$373,MATCH($B2023,'Fuel Model -  Input'!$B$3:$B$373,0),MATCH(M$2,'Fuel Model -  Input'!$B$3:$N$3,0))</f>
        <v>9</v>
      </c>
    </row>
    <row r="2024" spans="2:16" hidden="1" outlineLevel="2" x14ac:dyDescent="0.2">
      <c r="B2024" s="496" t="str">
        <f>+C2024&amp;D2024&amp;E2024&amp;F2024</f>
        <v>GlobalCO2intensityDemineralized watertonCO2eq/tonH2O</v>
      </c>
      <c r="C2024" s="157" t="s">
        <v>109</v>
      </c>
      <c r="D2024" s="157" t="s">
        <v>927</v>
      </c>
      <c r="E2024" s="157" t="s">
        <v>934</v>
      </c>
      <c r="F2024" s="157" t="s">
        <v>935</v>
      </c>
      <c r="G2024" s="521">
        <f>INDEX('Fuel Model -  Input'!$B$3:$N$373,MATCH($B2024,'Fuel Model -  Input'!$B$3:$B$373,0),MATCH(G$2,'Fuel Model -  Input'!$B$3:$N$3,0))</f>
        <v>0</v>
      </c>
      <c r="H2024" s="521">
        <f>INDEX('Fuel Model -  Input'!$B$3:$N$373,MATCH($B2024,'Fuel Model -  Input'!$B$3:$B$373,0),MATCH(H$2,'Fuel Model -  Input'!$B$3:$N$3,0))</f>
        <v>0</v>
      </c>
      <c r="I2024" s="521">
        <f>INDEX('Fuel Model -  Input'!$B$3:$N$373,MATCH($B2024,'Fuel Model -  Input'!$B$3:$B$373,0),MATCH(I$2,'Fuel Model -  Input'!$B$3:$N$3,0))</f>
        <v>0</v>
      </c>
      <c r="J2024" s="521">
        <f>INDEX('Fuel Model -  Input'!$B$3:$N$373,MATCH($B2024,'Fuel Model -  Input'!$B$3:$B$373,0),MATCH(J$2,'Fuel Model -  Input'!$B$3:$N$3,0))</f>
        <v>0</v>
      </c>
      <c r="K2024" s="521">
        <f>INDEX('Fuel Model -  Input'!$B$3:$N$373,MATCH($B2024,'Fuel Model -  Input'!$B$3:$B$373,0),MATCH(K$2,'Fuel Model -  Input'!$B$3:$N$3,0))</f>
        <v>0</v>
      </c>
      <c r="L2024" s="521">
        <f>INDEX('Fuel Model -  Input'!$B$3:$N$373,MATCH($B2024,'Fuel Model -  Input'!$B$3:$B$373,0),MATCH(L$2,'Fuel Model -  Input'!$B$3:$N$3,0))</f>
        <v>0</v>
      </c>
      <c r="M2024" s="521">
        <f>INDEX('Fuel Model -  Input'!$B$3:$N$373,MATCH($B2024,'Fuel Model -  Input'!$B$3:$B$373,0),MATCH(M$2,'Fuel Model -  Input'!$B$3:$N$3,0))</f>
        <v>0</v>
      </c>
    </row>
    <row r="2025" spans="2:16" hidden="1" outlineLevel="2" x14ac:dyDescent="0.2">
      <c r="B2025" s="496" t="str">
        <f>+C2025&amp;D2025&amp;E2025&amp;F2025</f>
        <v>GlobalCO2intensitySteam reforming process tonCO2eq/tonH2</v>
      </c>
      <c r="C2025" s="157" t="s">
        <v>109</v>
      </c>
      <c r="D2025" s="157" t="s">
        <v>927</v>
      </c>
      <c r="E2025" s="157" t="s">
        <v>1181</v>
      </c>
      <c r="F2025" s="157" t="s">
        <v>929</v>
      </c>
      <c r="G2025" s="521">
        <f>INDEX('Fuel Model -  Input'!$B$3:$N$373,MATCH($B2025,'Fuel Model -  Input'!$B$3:$B$373,0),MATCH(G$2,'Fuel Model -  Input'!$B$3:$N$3,0))</f>
        <v>0</v>
      </c>
      <c r="H2025" s="521">
        <f>INDEX('Fuel Model -  Input'!$B$3:$N$373,MATCH($B2025,'Fuel Model -  Input'!$B$3:$B$373,0),MATCH(H$2,'Fuel Model -  Input'!$B$3:$N$3,0))</f>
        <v>0</v>
      </c>
      <c r="I2025" s="521">
        <f>INDEX('Fuel Model -  Input'!$B$3:$N$373,MATCH($B2025,'Fuel Model -  Input'!$B$3:$B$373,0),MATCH(I$2,'Fuel Model -  Input'!$B$3:$N$3,0))</f>
        <v>0</v>
      </c>
      <c r="J2025" s="521">
        <f>INDEX('Fuel Model -  Input'!$B$3:$N$373,MATCH($B2025,'Fuel Model -  Input'!$B$3:$B$373,0),MATCH(J$2,'Fuel Model -  Input'!$B$3:$N$3,0))</f>
        <v>0</v>
      </c>
      <c r="K2025" s="521">
        <f>INDEX('Fuel Model -  Input'!$B$3:$N$373,MATCH($B2025,'Fuel Model -  Input'!$B$3:$B$373,0),MATCH(K$2,'Fuel Model -  Input'!$B$3:$N$3,0))</f>
        <v>0</v>
      </c>
      <c r="L2025" s="521">
        <f>INDEX('Fuel Model -  Input'!$B$3:$N$373,MATCH($B2025,'Fuel Model -  Input'!$B$3:$B$373,0),MATCH(L$2,'Fuel Model -  Input'!$B$3:$N$3,0))</f>
        <v>0</v>
      </c>
      <c r="M2025" s="521">
        <f>INDEX('Fuel Model -  Input'!$B$3:$N$373,MATCH($B2025,'Fuel Model -  Input'!$B$3:$B$373,0),MATCH(M$2,'Fuel Model -  Input'!$B$3:$N$3,0))</f>
        <v>0</v>
      </c>
    </row>
    <row r="2026" spans="2:16" ht="12.75" hidden="1" outlineLevel="1" x14ac:dyDescent="0.2">
      <c r="F2026"/>
    </row>
    <row r="2027" spans="2:16" ht="15" hidden="1" outlineLevel="1" x14ac:dyDescent="0.25">
      <c r="B2027" s="30" t="s">
        <v>1176</v>
      </c>
      <c r="C2027" s="30" t="str">
        <f>+B2027</f>
        <v>CO2eq intensity ton/ton Grey Hydrogen</v>
      </c>
      <c r="F2027"/>
    </row>
    <row r="2028" spans="2:16" ht="15" hidden="1" outlineLevel="1" x14ac:dyDescent="0.25">
      <c r="B2028" s="527" t="str">
        <f>+C2028&amp;D2028&amp;E2028&amp;F2028</f>
        <v xml:space="preserve">GlobalEmissionsWTT Emission - Grey hydrogen (liquid)tonCO2eq/ ton </v>
      </c>
      <c r="C2028" s="516" t="s">
        <v>109</v>
      </c>
      <c r="D2028" s="516" t="s">
        <v>728</v>
      </c>
      <c r="E2028" s="516" t="s">
        <v>1182</v>
      </c>
      <c r="F2028" s="512" t="s">
        <v>1016</v>
      </c>
      <c r="G2028" s="533">
        <f>G2029+G2033+G2030</f>
        <v>9.0612301380000009</v>
      </c>
      <c r="H2028" s="533">
        <f t="shared" ref="H2028:M2028" si="1086">H2029+H2033+H2030</f>
        <v>9</v>
      </c>
      <c r="I2028" s="533">
        <f t="shared" si="1086"/>
        <v>8.9391836169999994</v>
      </c>
      <c r="J2028" s="533">
        <f t="shared" si="1086"/>
        <v>8.8787781930000005</v>
      </c>
      <c r="K2028" s="533">
        <f t="shared" si="1086"/>
        <v>8.8187809510000008</v>
      </c>
      <c r="L2028" s="533">
        <f t="shared" si="1086"/>
        <v>8.7591891339999997</v>
      </c>
      <c r="M2028" s="533">
        <f t="shared" si="1086"/>
        <v>8.6999999999999993</v>
      </c>
    </row>
    <row r="2029" spans="2:16" hidden="1" outlineLevel="2" x14ac:dyDescent="0.2">
      <c r="B2029" s="496" t="str">
        <f>+C2029&amp;D2029&amp;E2029&amp;F2029</f>
        <v>GlobalCO2 CaptureConversion CO2 : H2 (actual)kg CO2/kg H2</v>
      </c>
      <c r="C2029" s="157" t="s">
        <v>109</v>
      </c>
      <c r="D2029" s="157" t="s">
        <v>1178</v>
      </c>
      <c r="E2029" s="157" t="s">
        <v>1179</v>
      </c>
      <c r="F2029" s="157" t="s">
        <v>1180</v>
      </c>
      <c r="G2029" s="521">
        <f>INDEX('Fuel Model -  Input'!$B$3:$N$373,MATCH($B2029,'Fuel Model -  Input'!$B$3:$B$373,0),MATCH(G$2,'Fuel Model -  Input'!$B$3:$N$3,0))</f>
        <v>9.0612301380000009</v>
      </c>
      <c r="H2029" s="521">
        <f>INDEX('Fuel Model -  Input'!$B$3:$N$373,MATCH($B2029,'Fuel Model -  Input'!$B$3:$B$373,0),MATCH(H$2,'Fuel Model -  Input'!$B$3:$N$3,0))</f>
        <v>9</v>
      </c>
      <c r="I2029" s="521">
        <f>INDEX('Fuel Model -  Input'!$B$3:$N$373,MATCH($B2029,'Fuel Model -  Input'!$B$3:$B$373,0),MATCH(I$2,'Fuel Model -  Input'!$B$3:$N$3,0))</f>
        <v>8.9391836169999994</v>
      </c>
      <c r="J2029" s="521">
        <f>INDEX('Fuel Model -  Input'!$B$3:$N$373,MATCH($B2029,'Fuel Model -  Input'!$B$3:$B$373,0),MATCH(J$2,'Fuel Model -  Input'!$B$3:$N$3,0))</f>
        <v>8.8787781930000005</v>
      </c>
      <c r="K2029" s="521">
        <f>INDEX('Fuel Model -  Input'!$B$3:$N$373,MATCH($B2029,'Fuel Model -  Input'!$B$3:$B$373,0),MATCH(K$2,'Fuel Model -  Input'!$B$3:$N$3,0))</f>
        <v>8.8187809510000008</v>
      </c>
      <c r="L2029" s="521">
        <f>INDEX('Fuel Model -  Input'!$B$3:$N$373,MATCH($B2029,'Fuel Model -  Input'!$B$3:$B$373,0),MATCH(L$2,'Fuel Model -  Input'!$B$3:$N$3,0))</f>
        <v>8.7591891339999997</v>
      </c>
      <c r="M2029" s="521">
        <f>INDEX('Fuel Model -  Input'!$B$3:$N$373,MATCH($B2029,'Fuel Model -  Input'!$B$3:$B$373,0),MATCH(M$2,'Fuel Model -  Input'!$B$3:$N$3,0))</f>
        <v>8.6999999999999993</v>
      </c>
    </row>
    <row r="2030" spans="2:16" hidden="1" outlineLevel="2" x14ac:dyDescent="0.2">
      <c r="B2030" s="496" t="str">
        <f t="shared" ref="B2030:B2031" si="1087">+C2030&amp;D2030&amp;E2030&amp;F2030</f>
        <v>GlobalCO2intensityWater CO2 impact on H2 productiontonCO2eq/tonH2</v>
      </c>
      <c r="C2030" s="157" t="s">
        <v>109</v>
      </c>
      <c r="D2030" s="157" t="s">
        <v>927</v>
      </c>
      <c r="E2030" t="s">
        <v>933</v>
      </c>
      <c r="F2030" s="157" t="s">
        <v>929</v>
      </c>
      <c r="G2030" s="520">
        <f>+G2031*G2032</f>
        <v>0</v>
      </c>
      <c r="H2030" s="520">
        <f t="shared" ref="H2030" si="1088">+H2031*H2032</f>
        <v>0</v>
      </c>
      <c r="I2030" s="520">
        <f t="shared" ref="I2030" si="1089">+I2031*I2032</f>
        <v>0</v>
      </c>
      <c r="J2030" s="520">
        <f t="shared" ref="J2030" si="1090">+J2031*J2032</f>
        <v>0</v>
      </c>
      <c r="K2030" s="520">
        <f t="shared" ref="K2030" si="1091">+K2031*K2032</f>
        <v>0</v>
      </c>
      <c r="L2030" s="520">
        <f t="shared" ref="L2030" si="1092">+L2031*L2032</f>
        <v>0</v>
      </c>
      <c r="M2030" s="520">
        <f t="shared" ref="M2030" si="1093">+M2031*M2032</f>
        <v>0</v>
      </c>
    </row>
    <row r="2031" spans="2:16" hidden="1" outlineLevel="2" x14ac:dyDescent="0.2">
      <c r="B2031" s="496" t="str">
        <f t="shared" si="1087"/>
        <v>GlobalFeedstockConversion H2O:H2 (actual)ton H2O/ton H2</v>
      </c>
      <c r="C2031" t="s">
        <v>109</v>
      </c>
      <c r="D2031" t="s">
        <v>777</v>
      </c>
      <c r="E2031" t="s">
        <v>898</v>
      </c>
      <c r="F2031" s="128" t="s">
        <v>899</v>
      </c>
      <c r="G2031" s="521">
        <f>INDEX('Fuel Model -  Input'!$B$3:$N$373,MATCH($B2031,'Fuel Model -  Input'!$B$3:$B$373,0),MATCH(G$2,'Fuel Model -  Input'!$B$3:$N$3,0))</f>
        <v>9</v>
      </c>
      <c r="H2031" s="521">
        <f>INDEX('Fuel Model -  Input'!$B$3:$N$373,MATCH($B2031,'Fuel Model -  Input'!$B$3:$B$373,0),MATCH(H$2,'Fuel Model -  Input'!$B$3:$N$3,0))</f>
        <v>9</v>
      </c>
      <c r="I2031" s="521">
        <f>INDEX('Fuel Model -  Input'!$B$3:$N$373,MATCH($B2031,'Fuel Model -  Input'!$B$3:$B$373,0),MATCH(I$2,'Fuel Model -  Input'!$B$3:$N$3,0))</f>
        <v>9</v>
      </c>
      <c r="J2031" s="521">
        <f>INDEX('Fuel Model -  Input'!$B$3:$N$373,MATCH($B2031,'Fuel Model -  Input'!$B$3:$B$373,0),MATCH(J$2,'Fuel Model -  Input'!$B$3:$N$3,0))</f>
        <v>9</v>
      </c>
      <c r="K2031" s="521">
        <f>INDEX('Fuel Model -  Input'!$B$3:$N$373,MATCH($B2031,'Fuel Model -  Input'!$B$3:$B$373,0),MATCH(K$2,'Fuel Model -  Input'!$B$3:$N$3,0))</f>
        <v>9</v>
      </c>
      <c r="L2031" s="521">
        <f>INDEX('Fuel Model -  Input'!$B$3:$N$373,MATCH($B2031,'Fuel Model -  Input'!$B$3:$B$373,0),MATCH(L$2,'Fuel Model -  Input'!$B$3:$N$3,0))</f>
        <v>9</v>
      </c>
      <c r="M2031" s="521">
        <f>INDEX('Fuel Model -  Input'!$B$3:$N$373,MATCH($B2031,'Fuel Model -  Input'!$B$3:$B$373,0),MATCH(M$2,'Fuel Model -  Input'!$B$3:$N$3,0))</f>
        <v>9</v>
      </c>
    </row>
    <row r="2032" spans="2:16" hidden="1" outlineLevel="2" x14ac:dyDescent="0.2">
      <c r="B2032" s="496" t="str">
        <f>+C2032&amp;D2032&amp;E2032&amp;F2032</f>
        <v>GlobalCO2intensityDemineralized watertonCO2eq/tonH2O</v>
      </c>
      <c r="C2032" s="157" t="s">
        <v>109</v>
      </c>
      <c r="D2032" s="157" t="s">
        <v>927</v>
      </c>
      <c r="E2032" s="157" t="s">
        <v>934</v>
      </c>
      <c r="F2032" s="157" t="s">
        <v>935</v>
      </c>
      <c r="G2032" s="521">
        <f>INDEX('Fuel Model -  Input'!$B$3:$N$373,MATCH($B2032,'Fuel Model -  Input'!$B$3:$B$373,0),MATCH(G$2,'Fuel Model -  Input'!$B$3:$N$3,0))</f>
        <v>0</v>
      </c>
      <c r="H2032" s="521">
        <f>INDEX('Fuel Model -  Input'!$B$3:$N$373,MATCH($B2032,'Fuel Model -  Input'!$B$3:$B$373,0),MATCH(H$2,'Fuel Model -  Input'!$B$3:$N$3,0))</f>
        <v>0</v>
      </c>
      <c r="I2032" s="521">
        <f>INDEX('Fuel Model -  Input'!$B$3:$N$373,MATCH($B2032,'Fuel Model -  Input'!$B$3:$B$373,0),MATCH(I$2,'Fuel Model -  Input'!$B$3:$N$3,0))</f>
        <v>0</v>
      </c>
      <c r="J2032" s="521">
        <f>INDEX('Fuel Model -  Input'!$B$3:$N$373,MATCH($B2032,'Fuel Model -  Input'!$B$3:$B$373,0),MATCH(J$2,'Fuel Model -  Input'!$B$3:$N$3,0))</f>
        <v>0</v>
      </c>
      <c r="K2032" s="521">
        <f>INDEX('Fuel Model -  Input'!$B$3:$N$373,MATCH($B2032,'Fuel Model -  Input'!$B$3:$B$373,0),MATCH(K$2,'Fuel Model -  Input'!$B$3:$N$3,0))</f>
        <v>0</v>
      </c>
      <c r="L2032" s="521">
        <f>INDEX('Fuel Model -  Input'!$B$3:$N$373,MATCH($B2032,'Fuel Model -  Input'!$B$3:$B$373,0),MATCH(L$2,'Fuel Model -  Input'!$B$3:$N$3,0))</f>
        <v>0</v>
      </c>
      <c r="M2032" s="521">
        <f>INDEX('Fuel Model -  Input'!$B$3:$N$373,MATCH($B2032,'Fuel Model -  Input'!$B$3:$B$373,0),MATCH(M$2,'Fuel Model -  Input'!$B$3:$N$3,0))</f>
        <v>0</v>
      </c>
    </row>
    <row r="2033" spans="2:21" hidden="1" outlineLevel="2" x14ac:dyDescent="0.2">
      <c r="B2033" s="496" t="str">
        <f>+C2033&amp;D2033&amp;E2033&amp;F2033</f>
        <v>GlobalCO2intensitySteam reforming process tonCO2eq/tonH2</v>
      </c>
      <c r="C2033" s="157" t="s">
        <v>109</v>
      </c>
      <c r="D2033" s="157" t="s">
        <v>927</v>
      </c>
      <c r="E2033" s="157" t="s">
        <v>1181</v>
      </c>
      <c r="F2033" s="157" t="s">
        <v>929</v>
      </c>
      <c r="G2033" s="521">
        <f>INDEX('Fuel Model -  Input'!$B$3:$N$373,MATCH($B2033,'Fuel Model -  Input'!$B$3:$B$373,0),MATCH(G$2,'Fuel Model -  Input'!$B$3:$N$3,0))</f>
        <v>0</v>
      </c>
      <c r="H2033" s="521">
        <f>INDEX('Fuel Model -  Input'!$B$3:$N$373,MATCH($B2033,'Fuel Model -  Input'!$B$3:$B$373,0),MATCH(H$2,'Fuel Model -  Input'!$B$3:$N$3,0))</f>
        <v>0</v>
      </c>
      <c r="I2033" s="521">
        <f>INDEX('Fuel Model -  Input'!$B$3:$N$373,MATCH($B2033,'Fuel Model -  Input'!$B$3:$B$373,0),MATCH(I$2,'Fuel Model -  Input'!$B$3:$N$3,0))</f>
        <v>0</v>
      </c>
      <c r="J2033" s="521">
        <f>INDEX('Fuel Model -  Input'!$B$3:$N$373,MATCH($B2033,'Fuel Model -  Input'!$B$3:$B$373,0),MATCH(J$2,'Fuel Model -  Input'!$B$3:$N$3,0))</f>
        <v>0</v>
      </c>
      <c r="K2033" s="521">
        <f>INDEX('Fuel Model -  Input'!$B$3:$N$373,MATCH($B2033,'Fuel Model -  Input'!$B$3:$B$373,0),MATCH(K$2,'Fuel Model -  Input'!$B$3:$N$3,0))</f>
        <v>0</v>
      </c>
      <c r="L2033" s="521">
        <f>INDEX('Fuel Model -  Input'!$B$3:$N$373,MATCH($B2033,'Fuel Model -  Input'!$B$3:$B$373,0),MATCH(L$2,'Fuel Model -  Input'!$B$3:$N$3,0))</f>
        <v>0</v>
      </c>
      <c r="M2033" s="521">
        <f>INDEX('Fuel Model -  Input'!$B$3:$N$373,MATCH($B2033,'Fuel Model -  Input'!$B$3:$B$373,0),MATCH(M$2,'Fuel Model -  Input'!$B$3:$N$3,0))</f>
        <v>0</v>
      </c>
    </row>
    <row r="2034" spans="2:21" hidden="1" outlineLevel="2" x14ac:dyDescent="0.2">
      <c r="B2034" s="496"/>
      <c r="C2034" s="157"/>
      <c r="D2034" s="157"/>
      <c r="E2034" s="157"/>
      <c r="G2034" s="449"/>
      <c r="H2034" s="449"/>
      <c r="I2034" s="449"/>
      <c r="J2034" s="449"/>
      <c r="K2034" s="449"/>
      <c r="L2034" s="449"/>
      <c r="M2034" s="449"/>
    </row>
    <row r="2035" spans="2:21" hidden="1" outlineLevel="1" x14ac:dyDescent="0.2"/>
    <row r="2036" spans="2:21" ht="15" thickBot="1" x14ac:dyDescent="0.25"/>
    <row r="2037" spans="2:21" ht="15.75" collapsed="1" thickBot="1" x14ac:dyDescent="0.3">
      <c r="B2037" s="557" t="s">
        <v>1183</v>
      </c>
      <c r="C2037" s="558" t="str">
        <f>+B2037</f>
        <v>Blue hydrogen</v>
      </c>
      <c r="D2037" s="559"/>
      <c r="E2037" s="559"/>
      <c r="F2037" s="559"/>
      <c r="G2037" s="742">
        <v>2020</v>
      </c>
      <c r="H2037" s="742">
        <v>2025</v>
      </c>
      <c r="I2037" s="742">
        <v>2030</v>
      </c>
      <c r="J2037" s="742">
        <v>2035</v>
      </c>
      <c r="K2037" s="742">
        <v>2040</v>
      </c>
      <c r="L2037" s="742">
        <v>2045</v>
      </c>
      <c r="M2037" s="743">
        <v>2050</v>
      </c>
    </row>
    <row r="2038" spans="2:21" ht="15" hidden="1" outlineLevel="1" x14ac:dyDescent="0.25">
      <c r="B2038" s="30" t="s">
        <v>1184</v>
      </c>
      <c r="C2038" s="30" t="str">
        <f>+B2038</f>
        <v>Blue Hydrogen Liq</v>
      </c>
      <c r="E2038" s="30"/>
      <c r="F2038" s="522"/>
      <c r="G2038" s="8"/>
      <c r="H2038" s="8"/>
      <c r="I2038" s="8"/>
      <c r="J2038" s="8"/>
      <c r="K2038" s="8"/>
      <c r="L2038" s="8"/>
      <c r="M2038" s="8"/>
    </row>
    <row r="2039" spans="2:21" ht="15" hidden="1" outlineLevel="1" x14ac:dyDescent="0.25">
      <c r="B2039" t="str">
        <f>+C2039&amp;D2039&amp;E2039&amp;F2039</f>
        <v>EuropeResultsCost of Blue hydrogen (liquid)USD/ton</v>
      </c>
      <c r="C2039" t="s">
        <v>195</v>
      </c>
      <c r="D2039" t="s">
        <v>838</v>
      </c>
      <c r="E2039" s="30" t="s">
        <v>1185</v>
      </c>
      <c r="F2039" s="522" t="s">
        <v>205</v>
      </c>
      <c r="G2039" s="8">
        <f t="shared" ref="G2039:M2043" si="1094">G2119+G2150</f>
        <v>9246.7921659891381</v>
      </c>
      <c r="H2039" s="8">
        <f t="shared" si="1094"/>
        <v>5245.2816342860806</v>
      </c>
      <c r="I2039" s="8">
        <f t="shared" si="1094"/>
        <v>4271.4972787981997</v>
      </c>
      <c r="J2039" s="8">
        <f t="shared" si="1094"/>
        <v>4143.4830959859155</v>
      </c>
      <c r="K2039" s="8">
        <f t="shared" si="1094"/>
        <v>4037.3508501027</v>
      </c>
      <c r="L2039" s="8">
        <f t="shared" si="1094"/>
        <v>3936.4706628579465</v>
      </c>
      <c r="M2039" s="8">
        <f t="shared" si="1094"/>
        <v>3847.4319382457247</v>
      </c>
      <c r="N2039" s="93"/>
    </row>
    <row r="2040" spans="2:21" ht="15" hidden="1" outlineLevel="1" x14ac:dyDescent="0.25">
      <c r="B2040" t="str">
        <f>+C2040&amp;D2040&amp;E2040&amp;F2040</f>
        <v>Middle EastResultsCost of Blue hydrogen (liquid)USD/ton</v>
      </c>
      <c r="C2040" t="s">
        <v>197</v>
      </c>
      <c r="D2040" t="s">
        <v>838</v>
      </c>
      <c r="E2040" s="30" t="s">
        <v>1185</v>
      </c>
      <c r="F2040" s="522" t="s">
        <v>205</v>
      </c>
      <c r="G2040" s="8">
        <f t="shared" si="1094"/>
        <v>7864.9413689878829</v>
      </c>
      <c r="H2040" s="8">
        <f t="shared" si="1094"/>
        <v>4528.5308912770406</v>
      </c>
      <c r="I2040" s="8">
        <f t="shared" si="1094"/>
        <v>3070.0442389775335</v>
      </c>
      <c r="J2040" s="8">
        <f t="shared" si="1094"/>
        <v>2965.9072118542745</v>
      </c>
      <c r="K2040" s="8">
        <f t="shared" si="1094"/>
        <v>2887.9232266237414</v>
      </c>
      <c r="L2040" s="8">
        <f t="shared" si="1094"/>
        <v>2810.0629655292623</v>
      </c>
      <c r="M2040" s="8">
        <f t="shared" si="1094"/>
        <v>2750.7241033002729</v>
      </c>
    </row>
    <row r="2041" spans="2:21" ht="15" hidden="1" outlineLevel="1" x14ac:dyDescent="0.25">
      <c r="B2041" t="str">
        <f>+C2041&amp;D2041&amp;E2041&amp;F2041</f>
        <v>AsiaResultsCost of Blue hydrogen (liquid)USD/ton</v>
      </c>
      <c r="C2041" t="s">
        <v>198</v>
      </c>
      <c r="D2041" t="s">
        <v>838</v>
      </c>
      <c r="E2041" s="30" t="s">
        <v>1185</v>
      </c>
      <c r="F2041" s="522" t="s">
        <v>205</v>
      </c>
      <c r="G2041" s="8">
        <f t="shared" si="1094"/>
        <v>8983.5450473616002</v>
      </c>
      <c r="H2041" s="8">
        <f t="shared" si="1094"/>
        <v>5426.2821338386484</v>
      </c>
      <c r="I2041" s="8">
        <f t="shared" si="1094"/>
        <v>3919.8227547878819</v>
      </c>
      <c r="J2041" s="8">
        <f t="shared" si="1094"/>
        <v>3767.461112975283</v>
      </c>
      <c r="K2041" s="8">
        <f t="shared" si="1094"/>
        <v>3656.8379570006919</v>
      </c>
      <c r="L2041" s="8">
        <f t="shared" si="1094"/>
        <v>3551.0325635878335</v>
      </c>
      <c r="M2041" s="8">
        <f t="shared" si="1094"/>
        <v>3470.8377027232436</v>
      </c>
    </row>
    <row r="2042" spans="2:21" ht="15" hidden="1" outlineLevel="1" x14ac:dyDescent="0.25">
      <c r="B2042" t="str">
        <f>+C2042&amp;D2042&amp;E2042&amp;F2042</f>
        <v>AmericasResultsCost of Blue hydrogen (liquid)USD/ton</v>
      </c>
      <c r="C2042" t="s">
        <v>199</v>
      </c>
      <c r="D2042" t="s">
        <v>838</v>
      </c>
      <c r="E2042" s="30" t="s">
        <v>1185</v>
      </c>
      <c r="F2042" s="522" t="s">
        <v>205</v>
      </c>
      <c r="G2042" s="8">
        <f t="shared" si="1094"/>
        <v>4070.1022629058489</v>
      </c>
      <c r="H2042" s="8">
        <f t="shared" si="1094"/>
        <v>3510.177037641779</v>
      </c>
      <c r="I2042" s="8">
        <f t="shared" si="1094"/>
        <v>3330.2627635552981</v>
      </c>
      <c r="J2042" s="8">
        <f t="shared" si="1094"/>
        <v>3327.2384020885838</v>
      </c>
      <c r="K2042" s="8">
        <f t="shared" si="1094"/>
        <v>3234.9297288322728</v>
      </c>
      <c r="L2042" s="8">
        <f t="shared" si="1094"/>
        <v>3163.8573164006139</v>
      </c>
      <c r="M2042" s="8">
        <f t="shared" si="1094"/>
        <v>3100.6428884681272</v>
      </c>
    </row>
    <row r="2043" spans="2:21" ht="15" hidden="1" outlineLevel="1" x14ac:dyDescent="0.25">
      <c r="B2043" t="str">
        <f>+C2043&amp;D2043&amp;E2043&amp;F2043</f>
        <v>AfricaResultsCost of Blue hydrogen (liquid)USD/ton</v>
      </c>
      <c r="C2043" t="s">
        <v>200</v>
      </c>
      <c r="D2043" t="s">
        <v>838</v>
      </c>
      <c r="E2043" s="30" t="s">
        <v>1185</v>
      </c>
      <c r="F2043" s="522" t="s">
        <v>205</v>
      </c>
      <c r="G2043" s="8">
        <f t="shared" si="1094"/>
        <v>9490.4203733251343</v>
      </c>
      <c r="H2043" s="8">
        <f t="shared" si="1094"/>
        <v>5250.2678556080355</v>
      </c>
      <c r="I2043" s="8">
        <f t="shared" si="1094"/>
        <v>4265.0963928761266</v>
      </c>
      <c r="J2043" s="8">
        <f t="shared" si="1094"/>
        <v>4118.7131676030886</v>
      </c>
      <c r="K2043" s="8">
        <f t="shared" si="1094"/>
        <v>4008.3548833483292</v>
      </c>
      <c r="L2043" s="8">
        <f t="shared" si="1094"/>
        <v>3903.9968420847108</v>
      </c>
      <c r="M2043" s="8">
        <f t="shared" si="1094"/>
        <v>3818.5860322723975</v>
      </c>
    </row>
    <row r="2044" spans="2:21" ht="15" hidden="1" outlineLevel="1" collapsed="1" x14ac:dyDescent="0.25">
      <c r="E2044" s="30"/>
      <c r="F2044"/>
    </row>
    <row r="2045" spans="2:21" ht="15" hidden="1" outlineLevel="2" x14ac:dyDescent="0.25">
      <c r="B2045" t="str">
        <f>+C2045&amp;D2045&amp;E2045&amp;F2045</f>
        <v>EuropeResultsTotal Capex Blue hydrogen (liquid)USD/ton</v>
      </c>
      <c r="C2045" t="s">
        <v>195</v>
      </c>
      <c r="D2045" t="s">
        <v>838</v>
      </c>
      <c r="E2045" s="30" t="s">
        <v>1186</v>
      </c>
      <c r="F2045" s="522" t="s">
        <v>205</v>
      </c>
      <c r="G2045" s="88">
        <f>+G2076+G2150*G2156</f>
        <v>1274.8413816742118</v>
      </c>
      <c r="H2045" s="88">
        <f t="shared" ref="H2045:M2045" si="1095">+H2076+H2150*H2156</f>
        <v>1265</v>
      </c>
      <c r="I2045" s="88">
        <f t="shared" si="1095"/>
        <v>1255.5110135606965</v>
      </c>
      <c r="J2045" s="88">
        <f t="shared" si="1095"/>
        <v>1246.3618039653368</v>
      </c>
      <c r="K2045" s="88">
        <f t="shared" si="1095"/>
        <v>1237.5402046559425</v>
      </c>
      <c r="L2045" s="88">
        <f t="shared" si="1095"/>
        <v>1229.0344847285098</v>
      </c>
      <c r="M2045" s="88">
        <f t="shared" si="1095"/>
        <v>1220.8333333333335</v>
      </c>
      <c r="O2045" s="86"/>
      <c r="P2045" s="86"/>
      <c r="Q2045" s="86"/>
      <c r="R2045" s="86"/>
      <c r="S2045" s="86"/>
      <c r="T2045" s="86"/>
      <c r="U2045" s="86"/>
    </row>
    <row r="2046" spans="2:21" ht="15" hidden="1" outlineLevel="2" x14ac:dyDescent="0.25">
      <c r="B2046" t="str">
        <f>+C2046&amp;D2046&amp;E2046&amp;F2046</f>
        <v>Middle EastResultsTotal Capex Blue hydrogen (liquid)USD/ton</v>
      </c>
      <c r="C2046" t="s">
        <v>197</v>
      </c>
      <c r="D2046" t="s">
        <v>838</v>
      </c>
      <c r="E2046" s="30" t="s">
        <v>1186</v>
      </c>
      <c r="F2046" s="522" t="s">
        <v>205</v>
      </c>
      <c r="G2046" s="88">
        <f t="shared" ref="G2046:M2046" si="1096">+G2077+G2151*G2157</f>
        <v>1274.8413816742118</v>
      </c>
      <c r="H2046" s="88">
        <f t="shared" si="1096"/>
        <v>1265.0000000000002</v>
      </c>
      <c r="I2046" s="88">
        <f t="shared" si="1096"/>
        <v>1255.5110135606963</v>
      </c>
      <c r="J2046" s="88">
        <f t="shared" si="1096"/>
        <v>1246.3618039653368</v>
      </c>
      <c r="K2046" s="88">
        <f t="shared" si="1096"/>
        <v>1237.5402046559427</v>
      </c>
      <c r="L2046" s="88">
        <f t="shared" si="1096"/>
        <v>1229.0344847285098</v>
      </c>
      <c r="M2046" s="88">
        <f t="shared" si="1096"/>
        <v>1220.8333333333335</v>
      </c>
      <c r="N2046" s="93"/>
      <c r="O2046" s="86"/>
      <c r="P2046" s="86"/>
      <c r="Q2046" s="86"/>
      <c r="R2046" s="86"/>
      <c r="S2046" s="86"/>
      <c r="T2046" s="86"/>
      <c r="U2046" s="86"/>
    </row>
    <row r="2047" spans="2:21" ht="15" hidden="1" outlineLevel="2" x14ac:dyDescent="0.25">
      <c r="B2047" t="str">
        <f>+C2047&amp;D2047&amp;E2047&amp;F2047</f>
        <v>AsiaResultsTotal Capex Blue hydrogen (liquid)USD/ton</v>
      </c>
      <c r="C2047" t="s">
        <v>198</v>
      </c>
      <c r="D2047" t="s">
        <v>838</v>
      </c>
      <c r="E2047" s="30" t="s">
        <v>1186</v>
      </c>
      <c r="F2047" s="522" t="s">
        <v>205</v>
      </c>
      <c r="G2047" s="88">
        <f t="shared" ref="G2047:M2047" si="1097">+G2078+G2152*G2158</f>
        <v>1274.8413816742118</v>
      </c>
      <c r="H2047" s="88">
        <f t="shared" si="1097"/>
        <v>1265</v>
      </c>
      <c r="I2047" s="88">
        <f t="shared" si="1097"/>
        <v>1255.5110135606963</v>
      </c>
      <c r="J2047" s="88">
        <f t="shared" si="1097"/>
        <v>1246.361803965337</v>
      </c>
      <c r="K2047" s="88">
        <f t="shared" si="1097"/>
        <v>1237.5402046559427</v>
      </c>
      <c r="L2047" s="88">
        <f t="shared" si="1097"/>
        <v>1229.0344847285098</v>
      </c>
      <c r="M2047" s="88">
        <f t="shared" si="1097"/>
        <v>1220.8333333333335</v>
      </c>
      <c r="O2047" s="86"/>
      <c r="P2047" s="86"/>
      <c r="Q2047" s="86"/>
      <c r="R2047" s="86"/>
      <c r="S2047" s="86"/>
      <c r="T2047" s="86"/>
      <c r="U2047" s="86"/>
    </row>
    <row r="2048" spans="2:21" ht="15" hidden="1" outlineLevel="2" x14ac:dyDescent="0.25">
      <c r="B2048" t="str">
        <f>+C2048&amp;D2048&amp;E2048&amp;F2048</f>
        <v>AmericasResultsTotal Capex Blue hydrogen (liquid)USD/ton</v>
      </c>
      <c r="C2048" t="s">
        <v>199</v>
      </c>
      <c r="D2048" t="s">
        <v>838</v>
      </c>
      <c r="E2048" s="30" t="s">
        <v>1186</v>
      </c>
      <c r="F2048" s="522" t="s">
        <v>205</v>
      </c>
      <c r="G2048" s="88">
        <f t="shared" ref="G2048:M2048" si="1098">+G2079+G2153*G2159</f>
        <v>1274.8413816742118</v>
      </c>
      <c r="H2048" s="88">
        <f t="shared" si="1098"/>
        <v>1265</v>
      </c>
      <c r="I2048" s="88">
        <f t="shared" si="1098"/>
        <v>1255.5110135606963</v>
      </c>
      <c r="J2048" s="88">
        <f t="shared" si="1098"/>
        <v>1246.3618039653368</v>
      </c>
      <c r="K2048" s="88">
        <f t="shared" si="1098"/>
        <v>1237.5402046559427</v>
      </c>
      <c r="L2048" s="88">
        <f t="shared" si="1098"/>
        <v>1229.0344847285098</v>
      </c>
      <c r="M2048" s="88">
        <f t="shared" si="1098"/>
        <v>1220.8333333333335</v>
      </c>
      <c r="O2048" s="86"/>
      <c r="P2048" s="86"/>
      <c r="Q2048" s="86"/>
      <c r="R2048" s="86"/>
      <c r="S2048" s="86"/>
      <c r="T2048" s="86"/>
      <c r="U2048" s="86"/>
    </row>
    <row r="2049" spans="2:21" ht="15" hidden="1" outlineLevel="2" x14ac:dyDescent="0.25">
      <c r="B2049" t="str">
        <f>+C2049&amp;D2049&amp;E2049&amp;F2049</f>
        <v>AfricaResultsTotal Capex Blue hydrogen (liquid)USD/ton</v>
      </c>
      <c r="C2049" t="s">
        <v>200</v>
      </c>
      <c r="D2049" t="s">
        <v>838</v>
      </c>
      <c r="E2049" s="30" t="s">
        <v>1186</v>
      </c>
      <c r="F2049" s="522" t="s">
        <v>205</v>
      </c>
      <c r="G2049" s="88">
        <f t="shared" ref="G2049:M2049" si="1099">+G2080+G2154*G2160</f>
        <v>1274.8413816742118</v>
      </c>
      <c r="H2049" s="88">
        <f t="shared" si="1099"/>
        <v>1265</v>
      </c>
      <c r="I2049" s="88">
        <f t="shared" si="1099"/>
        <v>1255.5110135606965</v>
      </c>
      <c r="J2049" s="88">
        <f t="shared" si="1099"/>
        <v>1246.361803965337</v>
      </c>
      <c r="K2049" s="88">
        <f t="shared" si="1099"/>
        <v>1237.5402046559427</v>
      </c>
      <c r="L2049" s="88">
        <f t="shared" si="1099"/>
        <v>1229.0344847285098</v>
      </c>
      <c r="M2049" s="88">
        <f t="shared" si="1099"/>
        <v>1220.8333333333335</v>
      </c>
      <c r="O2049" s="86"/>
      <c r="P2049" s="86"/>
      <c r="Q2049" s="86"/>
      <c r="R2049" s="86"/>
      <c r="S2049" s="86"/>
      <c r="T2049" s="86"/>
      <c r="U2049" s="86"/>
    </row>
    <row r="2050" spans="2:21" ht="15" hidden="1" outlineLevel="2" x14ac:dyDescent="0.25">
      <c r="E2050" s="30"/>
      <c r="F2050" s="522"/>
      <c r="G2050" s="8"/>
      <c r="H2050" s="8"/>
      <c r="I2050" s="8"/>
      <c r="J2050" s="8"/>
      <c r="K2050" s="8"/>
      <c r="L2050" s="8"/>
      <c r="M2050" s="8"/>
    </row>
    <row r="2051" spans="2:21" ht="15" hidden="1" outlineLevel="2" x14ac:dyDescent="0.25">
      <c r="B2051" t="str">
        <f>+C2051&amp;D2051&amp;E2051&amp;F2051</f>
        <v>EuropeResultsTotal Opex Blue hydrogen (liquid)USD/ton</v>
      </c>
      <c r="C2051" t="s">
        <v>195</v>
      </c>
      <c r="D2051" t="s">
        <v>838</v>
      </c>
      <c r="E2051" s="30" t="s">
        <v>1187</v>
      </c>
      <c r="F2051" s="522" t="s">
        <v>205</v>
      </c>
      <c r="G2051" s="88">
        <f>+G2131+G2150*(G2162+G2168)</f>
        <v>1003.3725519649257</v>
      </c>
      <c r="H2051" s="88">
        <f t="shared" ref="H2051:M2051" si="1100">+H2131+H2150*(H2162+H2168)</f>
        <v>841.78163428608013</v>
      </c>
      <c r="I2051" s="88">
        <f t="shared" si="1100"/>
        <v>709.41419598750383</v>
      </c>
      <c r="J2051" s="88">
        <f t="shared" si="1100"/>
        <v>633.99032902057911</v>
      </c>
      <c r="K2051" s="88">
        <f t="shared" si="1100"/>
        <v>579.15709787175706</v>
      </c>
      <c r="L2051" s="88">
        <f t="shared" si="1100"/>
        <v>528.31893680443648</v>
      </c>
      <c r="M2051" s="88">
        <f t="shared" si="1100"/>
        <v>488.09860491239112</v>
      </c>
      <c r="O2051" s="86"/>
      <c r="P2051" s="86"/>
      <c r="Q2051" s="86"/>
      <c r="R2051" s="86"/>
      <c r="S2051" s="86"/>
      <c r="T2051" s="86"/>
      <c r="U2051" s="86"/>
    </row>
    <row r="2052" spans="2:21" ht="15" hidden="1" outlineLevel="2" x14ac:dyDescent="0.25">
      <c r="B2052" t="str">
        <f>+C2052&amp;D2052&amp;E2052&amp;F2052</f>
        <v>Middle EastResultsTotal Opex Blue hydrogen (liquid)USD/ton</v>
      </c>
      <c r="C2052" t="s">
        <v>197</v>
      </c>
      <c r="D2052" t="s">
        <v>838</v>
      </c>
      <c r="E2052" s="30" t="s">
        <v>1187</v>
      </c>
      <c r="F2052" s="522" t="s">
        <v>205</v>
      </c>
      <c r="G2052" s="88">
        <f t="shared" ref="G2052:M2052" si="1101">+G2132+G2151*(G2163+G2169)</f>
        <v>876.61894936367071</v>
      </c>
      <c r="H2052" s="88">
        <f t="shared" si="1101"/>
        <v>737.53089127704084</v>
      </c>
      <c r="I2052" s="88">
        <f t="shared" si="1101"/>
        <v>635.26428949683759</v>
      </c>
      <c r="J2052" s="88">
        <f t="shared" si="1101"/>
        <v>556.68488175893742</v>
      </c>
      <c r="K2052" s="88">
        <f t="shared" si="1101"/>
        <v>503.61545789279876</v>
      </c>
      <c r="L2052" s="88">
        <f t="shared" si="1101"/>
        <v>450.04546804575244</v>
      </c>
      <c r="M2052" s="88">
        <f t="shared" si="1101"/>
        <v>414.39076996693922</v>
      </c>
      <c r="N2052" s="93"/>
      <c r="O2052" s="86"/>
      <c r="P2052" s="86"/>
      <c r="Q2052" s="86"/>
      <c r="R2052" s="86"/>
      <c r="S2052" s="86"/>
      <c r="T2052" s="86"/>
      <c r="U2052" s="86"/>
    </row>
    <row r="2053" spans="2:21" ht="15" hidden="1" outlineLevel="2" x14ac:dyDescent="0.25">
      <c r="B2053" t="str">
        <f>+C2053&amp;D2053&amp;E2053&amp;F2053</f>
        <v>AsiaResultsTotal Opex Blue hydrogen (liquid)USD/ton</v>
      </c>
      <c r="C2053" t="s">
        <v>198</v>
      </c>
      <c r="D2053" t="s">
        <v>838</v>
      </c>
      <c r="E2053" s="30" t="s">
        <v>1187</v>
      </c>
      <c r="F2053" s="522" t="s">
        <v>205</v>
      </c>
      <c r="G2053" s="88">
        <f t="shared" ref="G2053:M2053" si="1102">+G2133+G2152*(G2164+G2170)</f>
        <v>1278.024230937388</v>
      </c>
      <c r="H2053" s="88">
        <f t="shared" si="1102"/>
        <v>935.28213383864841</v>
      </c>
      <c r="I2053" s="88">
        <f t="shared" si="1102"/>
        <v>784.74843460218563</v>
      </c>
      <c r="J2053" s="88">
        <f t="shared" si="1102"/>
        <v>674.73745088494616</v>
      </c>
      <c r="K2053" s="88">
        <f t="shared" si="1102"/>
        <v>605.41919851974876</v>
      </c>
      <c r="L2053" s="88">
        <f t="shared" si="1102"/>
        <v>539.90137865932343</v>
      </c>
      <c r="M2053" s="88">
        <f t="shared" si="1102"/>
        <v>499.00436938991032</v>
      </c>
      <c r="O2053" s="86"/>
      <c r="P2053" s="86"/>
      <c r="Q2053" s="86"/>
      <c r="R2053" s="86"/>
      <c r="S2053" s="86"/>
      <c r="T2053" s="86"/>
      <c r="U2053" s="86"/>
    </row>
    <row r="2054" spans="2:21" ht="15" hidden="1" outlineLevel="2" x14ac:dyDescent="0.25">
      <c r="B2054" t="str">
        <f>+C2054&amp;D2054&amp;E2054&amp;F2054</f>
        <v>AmericasResultsTotal Opex Blue hydrogen (liquid)USD/ton</v>
      </c>
      <c r="C2054" t="s">
        <v>199</v>
      </c>
      <c r="D2054" t="s">
        <v>838</v>
      </c>
      <c r="E2054" s="30" t="s">
        <v>1187</v>
      </c>
      <c r="F2054" s="522" t="s">
        <v>205</v>
      </c>
      <c r="G2054" s="88">
        <f t="shared" ref="G2054:M2054" si="1103">+G2134+G2153*(G2165+G2171)</f>
        <v>847.07142648163688</v>
      </c>
      <c r="H2054" s="88">
        <f t="shared" si="1103"/>
        <v>751.67703764177872</v>
      </c>
      <c r="I2054" s="88">
        <f t="shared" si="1103"/>
        <v>639.27755649960181</v>
      </c>
      <c r="J2054" s="88">
        <f t="shared" si="1103"/>
        <v>567.93002389824676</v>
      </c>
      <c r="K2054" s="88">
        <f t="shared" si="1103"/>
        <v>508.93096535133009</v>
      </c>
      <c r="L2054" s="88">
        <f t="shared" si="1103"/>
        <v>470.34256437210382</v>
      </c>
      <c r="M2054" s="88">
        <f t="shared" si="1103"/>
        <v>438.80955513479381</v>
      </c>
      <c r="O2054" s="86"/>
      <c r="P2054" s="86"/>
      <c r="Q2054" s="86"/>
      <c r="R2054" s="86"/>
      <c r="S2054" s="86"/>
      <c r="T2054" s="86"/>
      <c r="U2054" s="86"/>
    </row>
    <row r="2055" spans="2:21" ht="15" hidden="1" outlineLevel="2" x14ac:dyDescent="0.25">
      <c r="B2055" t="str">
        <f>+C2055&amp;D2055&amp;E2055&amp;F2055</f>
        <v>AfricaResultsTotal Opex Blue hydrogen (liquid)USD/ton</v>
      </c>
      <c r="C2055" t="s">
        <v>200</v>
      </c>
      <c r="D2055" t="s">
        <v>838</v>
      </c>
      <c r="E2055" s="30" t="s">
        <v>1187</v>
      </c>
      <c r="F2055" s="522" t="s">
        <v>205</v>
      </c>
      <c r="G2055" s="88">
        <f t="shared" ref="G2055:M2055" si="1104">+G2135+G2154*(G2166+G2172)</f>
        <v>1247.0007593009216</v>
      </c>
      <c r="H2055" s="88">
        <f t="shared" si="1104"/>
        <v>846.76785560803523</v>
      </c>
      <c r="I2055" s="88">
        <f t="shared" si="1104"/>
        <v>703.01331006543069</v>
      </c>
      <c r="J2055" s="88">
        <f t="shared" si="1104"/>
        <v>609.22040063775205</v>
      </c>
      <c r="K2055" s="88">
        <f t="shared" si="1104"/>
        <v>550.16113111738673</v>
      </c>
      <c r="L2055" s="88">
        <f t="shared" si="1104"/>
        <v>495.84511603120035</v>
      </c>
      <c r="M2055" s="88">
        <f t="shared" si="1104"/>
        <v>459.25269893906369</v>
      </c>
      <c r="O2055" s="86"/>
      <c r="P2055" s="86"/>
      <c r="Q2055" s="86"/>
      <c r="R2055" s="86"/>
      <c r="S2055" s="86"/>
      <c r="T2055" s="86"/>
      <c r="U2055" s="86"/>
    </row>
    <row r="2056" spans="2:21" ht="15" hidden="1" outlineLevel="2" x14ac:dyDescent="0.25">
      <c r="E2056" s="30"/>
      <c r="F2056" s="522"/>
      <c r="G2056" s="8"/>
      <c r="H2056" s="8"/>
      <c r="I2056" s="8"/>
      <c r="J2056" s="8"/>
      <c r="K2056" s="8"/>
      <c r="L2056" s="8"/>
      <c r="M2056" s="8"/>
    </row>
    <row r="2057" spans="2:21" ht="15" hidden="1" outlineLevel="2" x14ac:dyDescent="0.25">
      <c r="B2057" t="str">
        <f>+C2057&amp;D2057&amp;E2057&amp;F2057</f>
        <v>EuropeResultsTotal Raw Material Blue hydrogen (liquid)USD/ton</v>
      </c>
      <c r="C2057" t="s">
        <v>195</v>
      </c>
      <c r="D2057" t="s">
        <v>838</v>
      </c>
      <c r="E2057" s="30" t="s">
        <v>1188</v>
      </c>
      <c r="F2057" s="522" t="s">
        <v>205</v>
      </c>
      <c r="G2057" s="88">
        <f>+G2137</f>
        <v>6288.9859720000004</v>
      </c>
      <c r="H2057" s="88">
        <f t="shared" ref="H2057:M2057" si="1105">+H2137</f>
        <v>2463.5</v>
      </c>
      <c r="I2057" s="88">
        <f t="shared" si="1105"/>
        <v>1636.133297975</v>
      </c>
      <c r="J2057" s="88">
        <f t="shared" si="1105"/>
        <v>1597.222598525</v>
      </c>
      <c r="K2057" s="88">
        <f t="shared" si="1105"/>
        <v>1559.24497625</v>
      </c>
      <c r="L2057" s="88">
        <f t="shared" si="1105"/>
        <v>1522.178056275</v>
      </c>
      <c r="M2057" s="88">
        <f t="shared" si="1105"/>
        <v>1486</v>
      </c>
    </row>
    <row r="2058" spans="2:21" ht="15" hidden="1" outlineLevel="2" x14ac:dyDescent="0.25">
      <c r="B2058" t="str">
        <f>+C2058&amp;D2058&amp;E2058&amp;F2058</f>
        <v>Middle EastResultsTotal Raw Material Blue hydrogen (liquid)USD/ton</v>
      </c>
      <c r="C2058" t="s">
        <v>197</v>
      </c>
      <c r="D2058" t="s">
        <v>838</v>
      </c>
      <c r="E2058" s="30" t="s">
        <v>1188</v>
      </c>
      <c r="F2058" s="522" t="s">
        <v>205</v>
      </c>
      <c r="G2058" s="88">
        <f t="shared" ref="G2058:M2058" si="1106">+G2138</f>
        <v>5033.8887776000001</v>
      </c>
      <c r="H2058" s="88">
        <f t="shared" si="1106"/>
        <v>1851</v>
      </c>
      <c r="I2058" s="88">
        <f t="shared" si="1106"/>
        <v>508.83016464499997</v>
      </c>
      <c r="J2058" s="88">
        <f t="shared" si="1106"/>
        <v>496.952161655</v>
      </c>
      <c r="K2058" s="88">
        <f t="shared" si="1106"/>
        <v>485.35899274999997</v>
      </c>
      <c r="L2058" s="88">
        <f t="shared" si="1106"/>
        <v>474.04382770500001</v>
      </c>
      <c r="M2058" s="88">
        <f t="shared" si="1106"/>
        <v>463</v>
      </c>
      <c r="N2058" s="93"/>
    </row>
    <row r="2059" spans="2:21" ht="15" hidden="1" outlineLevel="2" x14ac:dyDescent="0.25">
      <c r="B2059" t="str">
        <f>+C2059&amp;D2059&amp;E2059&amp;F2059</f>
        <v>AsiaResultsTotal Raw Material Blue hydrogen (liquid)USD/ton</v>
      </c>
      <c r="C2059" t="s">
        <v>198</v>
      </c>
      <c r="D2059" t="s">
        <v>838</v>
      </c>
      <c r="E2059" s="30" t="s">
        <v>1188</v>
      </c>
      <c r="F2059" s="522" t="s">
        <v>205</v>
      </c>
      <c r="G2059" s="88">
        <f t="shared" ref="G2059:M2059" si="1107">+G2139</f>
        <v>5751.0871744000005</v>
      </c>
      <c r="H2059" s="88">
        <f t="shared" si="1107"/>
        <v>2551</v>
      </c>
      <c r="I2059" s="88">
        <f t="shared" si="1107"/>
        <v>1209.1245353499999</v>
      </c>
      <c r="J2059" s="88">
        <f t="shared" si="1107"/>
        <v>1180.4534936500002</v>
      </c>
      <c r="K2059" s="88">
        <f t="shared" si="1107"/>
        <v>1152.4699825</v>
      </c>
      <c r="L2059" s="88">
        <f t="shared" si="1107"/>
        <v>1125.1575151500001</v>
      </c>
      <c r="M2059" s="88">
        <f t="shared" si="1107"/>
        <v>1098.5</v>
      </c>
    </row>
    <row r="2060" spans="2:21" ht="15" hidden="1" outlineLevel="2" x14ac:dyDescent="0.25">
      <c r="B2060" t="str">
        <f>+C2060&amp;D2060&amp;E2060&amp;F2060</f>
        <v>AmericasResultsTotal Raw Material Blue hydrogen (liquid)USD/ton</v>
      </c>
      <c r="C2060" t="s">
        <v>199</v>
      </c>
      <c r="D2060" t="s">
        <v>838</v>
      </c>
      <c r="E2060" s="30" t="s">
        <v>1188</v>
      </c>
      <c r="F2060" s="522" t="s">
        <v>205</v>
      </c>
      <c r="G2060" s="88">
        <f t="shared" ref="G2060:M2060" si="1108">+G2140</f>
        <v>1268.5971944</v>
      </c>
      <c r="H2060" s="88">
        <f t="shared" si="1108"/>
        <v>818.5</v>
      </c>
      <c r="I2060" s="88">
        <f t="shared" si="1108"/>
        <v>765.03542221999999</v>
      </c>
      <c r="J2060" s="88">
        <f t="shared" si="1108"/>
        <v>847.03820975000008</v>
      </c>
      <c r="K2060" s="88">
        <f t="shared" si="1108"/>
        <v>827.04998749999993</v>
      </c>
      <c r="L2060" s="88">
        <f t="shared" si="1108"/>
        <v>807.54108225000004</v>
      </c>
      <c r="M2060" s="88">
        <f t="shared" si="1108"/>
        <v>788.5</v>
      </c>
    </row>
    <row r="2061" spans="2:21" ht="15" hidden="1" outlineLevel="2" x14ac:dyDescent="0.25">
      <c r="B2061" t="str">
        <f>+C2061&amp;D2061&amp;E2061&amp;F2061</f>
        <v>AfricaResultsTotal Raw Material Blue hydrogen (liquid)USD/ton</v>
      </c>
      <c r="C2061" t="s">
        <v>200</v>
      </c>
      <c r="D2061" t="s">
        <v>838</v>
      </c>
      <c r="E2061" s="30" t="s">
        <v>1188</v>
      </c>
      <c r="F2061" s="522" t="s">
        <v>205</v>
      </c>
      <c r="G2061" s="88">
        <f t="shared" ref="G2061:M2061" si="1109">+G2141</f>
        <v>6288.9859720000004</v>
      </c>
      <c r="H2061" s="88">
        <f t="shared" si="1109"/>
        <v>2463.5</v>
      </c>
      <c r="I2061" s="88">
        <f t="shared" si="1109"/>
        <v>1636.133297975</v>
      </c>
      <c r="J2061" s="88">
        <f t="shared" si="1109"/>
        <v>1597.222598525</v>
      </c>
      <c r="K2061" s="88">
        <f t="shared" si="1109"/>
        <v>1559.24497625</v>
      </c>
      <c r="L2061" s="88">
        <f t="shared" si="1109"/>
        <v>1522.178056275</v>
      </c>
      <c r="M2061" s="88">
        <f t="shared" si="1109"/>
        <v>1486</v>
      </c>
    </row>
    <row r="2062" spans="2:21" ht="15" hidden="1" outlineLevel="2" x14ac:dyDescent="0.25">
      <c r="E2062" s="30"/>
      <c r="F2062" s="522"/>
      <c r="H2062" s="8"/>
      <c r="I2062" s="8"/>
      <c r="J2062" s="8"/>
      <c r="K2062" s="8"/>
      <c r="L2062" s="8"/>
      <c r="M2062" s="8"/>
    </row>
    <row r="2063" spans="2:21" ht="15" hidden="1" outlineLevel="2" x14ac:dyDescent="0.25">
      <c r="B2063" t="str">
        <f>+C2063&amp;D2063&amp;E2063&amp;F2063</f>
        <v>EuropeResultsTotal CO2 Blue hydrogen (liquid)USD/ton</v>
      </c>
      <c r="C2063" t="s">
        <v>195</v>
      </c>
      <c r="D2063" t="s">
        <v>838</v>
      </c>
      <c r="E2063" s="30" t="s">
        <v>1189</v>
      </c>
      <c r="F2063" s="522" t="s">
        <v>205</v>
      </c>
      <c r="G2063" s="88">
        <f>+G2143</f>
        <v>679.59226035000006</v>
      </c>
      <c r="H2063" s="88">
        <f t="shared" ref="H2063:M2063" si="1110">+H2143</f>
        <v>675</v>
      </c>
      <c r="I2063" s="88">
        <f t="shared" si="1110"/>
        <v>670.43877127499991</v>
      </c>
      <c r="J2063" s="88">
        <f t="shared" si="1110"/>
        <v>665.90836447499998</v>
      </c>
      <c r="K2063" s="88">
        <f t="shared" si="1110"/>
        <v>661.40857132500003</v>
      </c>
      <c r="L2063" s="88">
        <f t="shared" si="1110"/>
        <v>656.93918504999999</v>
      </c>
      <c r="M2063" s="88">
        <f t="shared" si="1110"/>
        <v>652.5</v>
      </c>
    </row>
    <row r="2064" spans="2:21" ht="15" hidden="1" outlineLevel="2" x14ac:dyDescent="0.25">
      <c r="B2064" t="str">
        <f>+C2064&amp;D2064&amp;E2064&amp;F2064</f>
        <v>Middle EastResultsTotal CO2 Blue hydrogen (liquid)USD/ton</v>
      </c>
      <c r="C2064" t="s">
        <v>197</v>
      </c>
      <c r="D2064" t="s">
        <v>838</v>
      </c>
      <c r="E2064" s="30" t="s">
        <v>1189</v>
      </c>
      <c r="F2064" s="522" t="s">
        <v>205</v>
      </c>
      <c r="G2064" s="88">
        <f t="shared" ref="G2064:M2064" si="1111">+G2144</f>
        <v>679.59226035000006</v>
      </c>
      <c r="H2064" s="88">
        <f t="shared" si="1111"/>
        <v>675</v>
      </c>
      <c r="I2064" s="88">
        <f t="shared" si="1111"/>
        <v>670.43877127499991</v>
      </c>
      <c r="J2064" s="88">
        <f t="shared" si="1111"/>
        <v>665.90836447499998</v>
      </c>
      <c r="K2064" s="88">
        <f t="shared" si="1111"/>
        <v>661.40857132500003</v>
      </c>
      <c r="L2064" s="88">
        <f t="shared" si="1111"/>
        <v>656.93918504999999</v>
      </c>
      <c r="M2064" s="88">
        <f t="shared" si="1111"/>
        <v>652.5</v>
      </c>
      <c r="N2064" s="93"/>
    </row>
    <row r="2065" spans="2:22" ht="15" hidden="1" outlineLevel="2" x14ac:dyDescent="0.25">
      <c r="B2065" t="str">
        <f>+C2065&amp;D2065&amp;E2065&amp;F2065</f>
        <v>AsiaResultsTotal CO2 Blue hydrogen (liquid)USD/ton</v>
      </c>
      <c r="C2065" t="s">
        <v>198</v>
      </c>
      <c r="D2065" t="s">
        <v>838</v>
      </c>
      <c r="E2065" s="30" t="s">
        <v>1189</v>
      </c>
      <c r="F2065" s="522" t="s">
        <v>205</v>
      </c>
      <c r="G2065" s="88">
        <f t="shared" ref="G2065:M2065" si="1112">+G2145</f>
        <v>679.59226035000006</v>
      </c>
      <c r="H2065" s="88">
        <f t="shared" si="1112"/>
        <v>675</v>
      </c>
      <c r="I2065" s="88">
        <f t="shared" si="1112"/>
        <v>670.43877127499991</v>
      </c>
      <c r="J2065" s="88">
        <f t="shared" si="1112"/>
        <v>665.90836447499998</v>
      </c>
      <c r="K2065" s="88">
        <f t="shared" si="1112"/>
        <v>661.40857132500003</v>
      </c>
      <c r="L2065" s="88">
        <f t="shared" si="1112"/>
        <v>656.93918504999999</v>
      </c>
      <c r="M2065" s="88">
        <f t="shared" si="1112"/>
        <v>652.5</v>
      </c>
    </row>
    <row r="2066" spans="2:22" ht="15" hidden="1" outlineLevel="2" x14ac:dyDescent="0.25">
      <c r="B2066" t="str">
        <f>+C2066&amp;D2066&amp;E2066&amp;F2066</f>
        <v>AmericasResultsTotal CO2 Blue hydrogen (liquid)USD/ton</v>
      </c>
      <c r="C2066" t="s">
        <v>199</v>
      </c>
      <c r="D2066" t="s">
        <v>838</v>
      </c>
      <c r="E2066" s="30" t="s">
        <v>1189</v>
      </c>
      <c r="F2066" s="522" t="s">
        <v>205</v>
      </c>
      <c r="G2066" s="88">
        <f t="shared" ref="G2066:M2066" si="1113">+G2146</f>
        <v>679.59226035000006</v>
      </c>
      <c r="H2066" s="88">
        <f t="shared" si="1113"/>
        <v>675</v>
      </c>
      <c r="I2066" s="88">
        <f t="shared" si="1113"/>
        <v>670.43877127499991</v>
      </c>
      <c r="J2066" s="88">
        <f t="shared" si="1113"/>
        <v>665.90836447499998</v>
      </c>
      <c r="K2066" s="88">
        <f t="shared" si="1113"/>
        <v>661.40857132500003</v>
      </c>
      <c r="L2066" s="88">
        <f t="shared" si="1113"/>
        <v>656.93918504999999</v>
      </c>
      <c r="M2066" s="88">
        <f t="shared" si="1113"/>
        <v>652.5</v>
      </c>
    </row>
    <row r="2067" spans="2:22" ht="15" hidden="1" outlineLevel="2" x14ac:dyDescent="0.25">
      <c r="B2067" t="str">
        <f>+C2067&amp;D2067&amp;E2067&amp;F2067</f>
        <v>AfricaResultsTotal CO2 Blue hydrogen (liquid)USD/ton</v>
      </c>
      <c r="C2067" t="s">
        <v>200</v>
      </c>
      <c r="D2067" t="s">
        <v>838</v>
      </c>
      <c r="E2067" s="30" t="s">
        <v>1189</v>
      </c>
      <c r="F2067" s="522" t="s">
        <v>205</v>
      </c>
      <c r="G2067" s="88">
        <f t="shared" ref="G2067:M2067" si="1114">+G2147</f>
        <v>679.59226035000006</v>
      </c>
      <c r="H2067" s="88">
        <f t="shared" si="1114"/>
        <v>675</v>
      </c>
      <c r="I2067" s="88">
        <f t="shared" si="1114"/>
        <v>670.43877127499991</v>
      </c>
      <c r="J2067" s="88">
        <f t="shared" si="1114"/>
        <v>665.90836447499998</v>
      </c>
      <c r="K2067" s="88">
        <f t="shared" si="1114"/>
        <v>661.40857132500003</v>
      </c>
      <c r="L2067" s="88">
        <f t="shared" si="1114"/>
        <v>656.93918504999999</v>
      </c>
      <c r="M2067" s="88">
        <f t="shared" si="1114"/>
        <v>652.5</v>
      </c>
    </row>
    <row r="2068" spans="2:22" ht="15" hidden="1" outlineLevel="2" x14ac:dyDescent="0.25">
      <c r="E2068" s="30"/>
      <c r="F2068" s="522"/>
      <c r="G2068" s="8"/>
      <c r="H2068" s="8"/>
      <c r="I2068" s="8"/>
      <c r="J2068" s="8"/>
      <c r="K2068" s="8"/>
      <c r="L2068" s="8"/>
      <c r="M2068" s="8"/>
    </row>
    <row r="2069" spans="2:22" ht="15" hidden="1" outlineLevel="1" x14ac:dyDescent="0.25">
      <c r="B2069" s="30" t="s">
        <v>1190</v>
      </c>
      <c r="C2069" s="30" t="str">
        <f>+B2069</f>
        <v>Blue Hydrogen Comp</v>
      </c>
      <c r="E2069" s="30"/>
      <c r="F2069" s="522"/>
      <c r="G2069" s="18"/>
      <c r="H2069" s="18"/>
      <c r="I2069" s="18"/>
      <c r="J2069" s="18"/>
      <c r="K2069" s="18"/>
      <c r="L2069" s="18"/>
      <c r="M2069" s="18"/>
    </row>
    <row r="2070" spans="2:22" ht="15" hidden="1" outlineLevel="1" x14ac:dyDescent="0.25">
      <c r="B2070" t="str">
        <f>+C2070&amp;D2070&amp;E2070&amp;F2070</f>
        <v>EuropeResultsCost of Blue hydrogen (compressed)USD/ton</v>
      </c>
      <c r="C2070" t="s">
        <v>195</v>
      </c>
      <c r="D2070" t="s">
        <v>838</v>
      </c>
      <c r="E2070" s="30" t="s">
        <v>1191</v>
      </c>
      <c r="F2070" s="522" t="s">
        <v>205</v>
      </c>
      <c r="G2070" s="8">
        <f t="shared" ref="G2070:M2074" si="1115">G2119+G2175</f>
        <v>7658.1533276383934</v>
      </c>
      <c r="H2070" s="8">
        <f t="shared" si="1115"/>
        <v>3749.8870716000383</v>
      </c>
      <c r="I2070" s="8">
        <f t="shared" si="1115"/>
        <v>2851.4446543192103</v>
      </c>
      <c r="J2070" s="8">
        <f t="shared" si="1115"/>
        <v>2754.7350312436042</v>
      </c>
      <c r="K2070" s="8">
        <f t="shared" si="1115"/>
        <v>2667.2931986530989</v>
      </c>
      <c r="L2070" s="8">
        <f t="shared" si="1115"/>
        <v>2586.4083792754191</v>
      </c>
      <c r="M2070" s="8">
        <f t="shared" si="1115"/>
        <v>2511.9586868491347</v>
      </c>
      <c r="N2070" s="93"/>
      <c r="O2070" s="8"/>
      <c r="P2070" s="8"/>
      <c r="Q2070" s="8"/>
      <c r="R2070" s="8"/>
      <c r="S2070" s="8"/>
      <c r="T2070" s="8"/>
      <c r="U2070" s="8"/>
      <c r="V2070" s="8"/>
    </row>
    <row r="2071" spans="2:22" ht="15" hidden="1" outlineLevel="1" x14ac:dyDescent="0.25">
      <c r="B2071" t="str">
        <f>+C2071&amp;D2071&amp;E2071&amp;F2071</f>
        <v>Middle EastResultsCost of Blue hydrogen (compressed)USD/ton</v>
      </c>
      <c r="C2071" t="s">
        <v>197</v>
      </c>
      <c r="D2071" t="s">
        <v>838</v>
      </c>
      <c r="E2071" s="30" t="s">
        <v>1191</v>
      </c>
      <c r="F2071" s="522" t="s">
        <v>205</v>
      </c>
      <c r="G2071" s="8">
        <f t="shared" si="1115"/>
        <v>6389.7470049652611</v>
      </c>
      <c r="H2071" s="8">
        <f t="shared" si="1115"/>
        <v>3126.4407435840894</v>
      </c>
      <c r="I2071" s="8">
        <f t="shared" si="1115"/>
        <v>1716.3557808076907</v>
      </c>
      <c r="J2071" s="8">
        <f t="shared" si="1115"/>
        <v>1646.3475224111321</v>
      </c>
      <c r="K2071" s="8">
        <f t="shared" si="1115"/>
        <v>1585.4753429553082</v>
      </c>
      <c r="L2071" s="8">
        <f t="shared" si="1115"/>
        <v>1530.0554364857571</v>
      </c>
      <c r="M2071" s="8">
        <f t="shared" si="1115"/>
        <v>1481.2193641798622</v>
      </c>
      <c r="O2071" s="8"/>
      <c r="P2071" s="8"/>
      <c r="Q2071" s="8"/>
      <c r="R2071" s="8"/>
      <c r="S2071" s="8"/>
      <c r="T2071" s="8"/>
      <c r="U2071" s="8"/>
      <c r="V2071" s="8"/>
    </row>
    <row r="2072" spans="2:22" ht="15" hidden="1" outlineLevel="1" x14ac:dyDescent="0.25">
      <c r="B2072" t="str">
        <f>+C2072&amp;D2072&amp;E2072&amp;F2072</f>
        <v>AsiaResultsCost of Blue hydrogen (compressed)USD/ton</v>
      </c>
      <c r="C2072" t="s">
        <v>198</v>
      </c>
      <c r="D2072" t="s">
        <v>838</v>
      </c>
      <c r="E2072" s="30" t="s">
        <v>1191</v>
      </c>
      <c r="F2072" s="522" t="s">
        <v>205</v>
      </c>
      <c r="G2072" s="8">
        <f t="shared" si="1115"/>
        <v>7149.0929563305017</v>
      </c>
      <c r="H2072" s="8">
        <f t="shared" si="1115"/>
        <v>3847.2046240530581</v>
      </c>
      <c r="I2072" s="8">
        <f t="shared" si="1115"/>
        <v>2432.3459867487522</v>
      </c>
      <c r="J2072" s="8">
        <f t="shared" si="1115"/>
        <v>2342.2443741643629</v>
      </c>
      <c r="K2072" s="8">
        <f t="shared" si="1115"/>
        <v>2263.2757254711382</v>
      </c>
      <c r="L2072" s="8">
        <f t="shared" si="1115"/>
        <v>2190.6039945451826</v>
      </c>
      <c r="M2072" s="8">
        <f t="shared" si="1115"/>
        <v>2125.6037921192742</v>
      </c>
      <c r="O2072" s="8"/>
      <c r="P2072" s="8"/>
      <c r="Q2072" s="8"/>
      <c r="R2072" s="8"/>
      <c r="S2072" s="8"/>
      <c r="T2072" s="8"/>
      <c r="U2072" s="8"/>
      <c r="V2072" s="8"/>
    </row>
    <row r="2073" spans="2:22" ht="15" hidden="1" outlineLevel="1" x14ac:dyDescent="0.25">
      <c r="B2073" t="str">
        <f>+C2073&amp;D2073&amp;E2073&amp;F2073</f>
        <v>AmericasResultsCost of Blue hydrogen (compressed)USD/ton</v>
      </c>
      <c r="C2073" t="s">
        <v>199</v>
      </c>
      <c r="D2073" t="s">
        <v>838</v>
      </c>
      <c r="E2073" s="30" t="s">
        <v>1191</v>
      </c>
      <c r="F2073" s="522" t="s">
        <v>205</v>
      </c>
      <c r="G2073" s="8">
        <f t="shared" si="1115"/>
        <v>2621.3529318626479</v>
      </c>
      <c r="H2073" s="8">
        <f t="shared" si="1115"/>
        <v>2095.4260889523866</v>
      </c>
      <c r="I2073" s="8">
        <f t="shared" si="1115"/>
        <v>1972.9824314179809</v>
      </c>
      <c r="J2073" s="8">
        <f t="shared" si="1115"/>
        <v>1997.6143104307596</v>
      </c>
      <c r="K2073" s="8">
        <f t="shared" si="1115"/>
        <v>1927.7244659884541</v>
      </c>
      <c r="L2073" s="8">
        <f t="shared" si="1115"/>
        <v>1865.6838861450242</v>
      </c>
      <c r="M2073" s="8">
        <f t="shared" si="1115"/>
        <v>1809.2833366224868</v>
      </c>
      <c r="O2073" s="8"/>
      <c r="P2073" s="8"/>
      <c r="Q2073" s="8"/>
      <c r="R2073" s="8"/>
      <c r="S2073" s="8"/>
      <c r="T2073" s="8"/>
      <c r="U2073" s="8"/>
      <c r="V2073" s="8"/>
    </row>
    <row r="2074" spans="2:22" ht="15" hidden="1" outlineLevel="1" x14ac:dyDescent="0.25">
      <c r="B2074" t="str">
        <f>+C2074&amp;D2074&amp;E2074&amp;F2074</f>
        <v>AfricaResultsCost of Blue hydrogen (compressed)USD/ton</v>
      </c>
      <c r="C2074" t="s">
        <v>200</v>
      </c>
      <c r="D2074" t="s">
        <v>838</v>
      </c>
      <c r="E2074" s="30" t="s">
        <v>1191</v>
      </c>
      <c r="F2074" s="522" t="s">
        <v>205</v>
      </c>
      <c r="G2074" s="8">
        <f t="shared" si="1115"/>
        <v>7683.7342894086732</v>
      </c>
      <c r="H2074" s="8">
        <f t="shared" si="1115"/>
        <v>3750.4106248388439</v>
      </c>
      <c r="I2074" s="8">
        <f t="shared" si="1115"/>
        <v>2850.7725612973927</v>
      </c>
      <c r="J2074" s="8">
        <f t="shared" si="1115"/>
        <v>2752.1341887634076</v>
      </c>
      <c r="K2074" s="8">
        <f t="shared" si="1115"/>
        <v>2664.2486221438899</v>
      </c>
      <c r="L2074" s="8">
        <f t="shared" si="1115"/>
        <v>2582.9986280942294</v>
      </c>
      <c r="M2074" s="8">
        <f t="shared" si="1115"/>
        <v>2508.929866721935</v>
      </c>
      <c r="O2074" s="8"/>
      <c r="P2074" s="8"/>
      <c r="Q2074" s="8"/>
      <c r="R2074" s="8"/>
      <c r="S2074" s="8"/>
      <c r="T2074" s="8"/>
      <c r="U2074" s="8"/>
      <c r="V2074" s="8"/>
    </row>
    <row r="2075" spans="2:22" ht="15" hidden="1" outlineLevel="1" collapsed="1" x14ac:dyDescent="0.25">
      <c r="E2075" s="30"/>
      <c r="F2075" s="522"/>
      <c r="G2075" s="8"/>
      <c r="H2075" s="8"/>
      <c r="I2075" s="8"/>
      <c r="J2075" s="8"/>
      <c r="K2075" s="8"/>
      <c r="L2075" s="8"/>
      <c r="M2075" s="8"/>
    </row>
    <row r="2076" spans="2:22" ht="15" hidden="1" outlineLevel="2" x14ac:dyDescent="0.25">
      <c r="B2076" t="str">
        <f>+C2076&amp;D2076&amp;E2076&amp;F2076</f>
        <v>EuropeResultsTotal Capex Blue hydrogen (compressed)USD/ton</v>
      </c>
      <c r="C2076" t="s">
        <v>195</v>
      </c>
      <c r="D2076" t="s">
        <v>838</v>
      </c>
      <c r="E2076" s="30" t="s">
        <v>1192</v>
      </c>
      <c r="F2076" s="522" t="s">
        <v>205</v>
      </c>
      <c r="G2076" s="88">
        <f>+G2125</f>
        <v>274.84138167421179</v>
      </c>
      <c r="H2076" s="88">
        <f t="shared" ref="H2076:M2076" si="1116">+H2125</f>
        <v>265.00000000000006</v>
      </c>
      <c r="I2076" s="88">
        <f t="shared" si="1116"/>
        <v>255.51101356069626</v>
      </c>
      <c r="J2076" s="88">
        <f t="shared" si="1116"/>
        <v>246.36180396533697</v>
      </c>
      <c r="K2076" s="88">
        <f t="shared" si="1116"/>
        <v>237.54020465594266</v>
      </c>
      <c r="L2076" s="88">
        <f t="shared" si="1116"/>
        <v>229.03448472850988</v>
      </c>
      <c r="M2076" s="88">
        <f t="shared" si="1116"/>
        <v>220.83333333333337</v>
      </c>
      <c r="O2076" s="86"/>
      <c r="P2076" s="86"/>
      <c r="Q2076" s="86"/>
      <c r="R2076" s="86"/>
      <c r="S2076" s="86"/>
      <c r="T2076" s="86"/>
      <c r="U2076" s="86"/>
    </row>
    <row r="2077" spans="2:22" ht="15" hidden="1" outlineLevel="2" x14ac:dyDescent="0.25">
      <c r="B2077" t="str">
        <f>+C2077&amp;D2077&amp;E2077&amp;F2077</f>
        <v>Middle EastResultsTotal Capex Blue hydrogen (compressed)USD/ton</v>
      </c>
      <c r="C2077" t="s">
        <v>197</v>
      </c>
      <c r="D2077" t="s">
        <v>838</v>
      </c>
      <c r="E2077" s="30" t="s">
        <v>1192</v>
      </c>
      <c r="F2077" s="522" t="s">
        <v>205</v>
      </c>
      <c r="G2077" s="88">
        <f t="shared" ref="G2077:M2077" si="1117">+G2126</f>
        <v>274.84138167421179</v>
      </c>
      <c r="H2077" s="88">
        <f t="shared" si="1117"/>
        <v>265.00000000000006</v>
      </c>
      <c r="I2077" s="88">
        <f t="shared" si="1117"/>
        <v>255.51101356069626</v>
      </c>
      <c r="J2077" s="88">
        <f t="shared" si="1117"/>
        <v>246.36180396533697</v>
      </c>
      <c r="K2077" s="88">
        <f t="shared" si="1117"/>
        <v>237.54020465594266</v>
      </c>
      <c r="L2077" s="88">
        <f t="shared" si="1117"/>
        <v>229.03448472850988</v>
      </c>
      <c r="M2077" s="88">
        <f t="shared" si="1117"/>
        <v>220.83333333333337</v>
      </c>
      <c r="N2077" s="93"/>
      <c r="O2077" s="86"/>
      <c r="P2077" s="86"/>
      <c r="Q2077" s="86"/>
      <c r="R2077" s="86"/>
      <c r="S2077" s="86"/>
      <c r="T2077" s="86"/>
      <c r="U2077" s="86"/>
    </row>
    <row r="2078" spans="2:22" ht="15" hidden="1" outlineLevel="2" x14ac:dyDescent="0.25">
      <c r="B2078" t="str">
        <f>+C2078&amp;D2078&amp;E2078&amp;F2078</f>
        <v>AsiaResultsTotal Capex Blue hydrogen (compressed)USD/ton</v>
      </c>
      <c r="C2078" t="s">
        <v>198</v>
      </c>
      <c r="D2078" t="s">
        <v>838</v>
      </c>
      <c r="E2078" s="30" t="s">
        <v>1192</v>
      </c>
      <c r="F2078" s="522" t="s">
        <v>205</v>
      </c>
      <c r="G2078" s="88">
        <f t="shared" ref="G2078:M2078" si="1118">+G2127</f>
        <v>274.84138167421179</v>
      </c>
      <c r="H2078" s="88">
        <f t="shared" si="1118"/>
        <v>265.00000000000006</v>
      </c>
      <c r="I2078" s="88">
        <f t="shared" si="1118"/>
        <v>255.51101356069626</v>
      </c>
      <c r="J2078" s="88">
        <f t="shared" si="1118"/>
        <v>246.36180396533697</v>
      </c>
      <c r="K2078" s="88">
        <f t="shared" si="1118"/>
        <v>237.54020465594266</v>
      </c>
      <c r="L2078" s="88">
        <f t="shared" si="1118"/>
        <v>229.03448472850988</v>
      </c>
      <c r="M2078" s="88">
        <f t="shared" si="1118"/>
        <v>220.83333333333337</v>
      </c>
      <c r="O2078" s="86"/>
      <c r="P2078" s="86"/>
      <c r="Q2078" s="86"/>
      <c r="R2078" s="86"/>
      <c r="S2078" s="86"/>
      <c r="T2078" s="86"/>
      <c r="U2078" s="86"/>
    </row>
    <row r="2079" spans="2:22" ht="15" hidden="1" outlineLevel="2" x14ac:dyDescent="0.25">
      <c r="B2079" t="str">
        <f>+C2079&amp;D2079&amp;E2079&amp;F2079</f>
        <v>AmericasResultsTotal Capex Blue hydrogen (compressed)USD/ton</v>
      </c>
      <c r="C2079" t="s">
        <v>199</v>
      </c>
      <c r="D2079" t="s">
        <v>838</v>
      </c>
      <c r="E2079" s="30" t="s">
        <v>1192</v>
      </c>
      <c r="F2079" s="522" t="s">
        <v>205</v>
      </c>
      <c r="G2079" s="88">
        <f t="shared" ref="G2079:M2079" si="1119">+G2128</f>
        <v>274.84138167421179</v>
      </c>
      <c r="H2079" s="88">
        <f t="shared" si="1119"/>
        <v>265.00000000000006</v>
      </c>
      <c r="I2079" s="88">
        <f t="shared" si="1119"/>
        <v>255.51101356069626</v>
      </c>
      <c r="J2079" s="88">
        <f t="shared" si="1119"/>
        <v>246.36180396533697</v>
      </c>
      <c r="K2079" s="88">
        <f t="shared" si="1119"/>
        <v>237.54020465594266</v>
      </c>
      <c r="L2079" s="88">
        <f t="shared" si="1119"/>
        <v>229.03448472850988</v>
      </c>
      <c r="M2079" s="88">
        <f t="shared" si="1119"/>
        <v>220.83333333333337</v>
      </c>
      <c r="O2079" s="86"/>
      <c r="P2079" s="86"/>
      <c r="Q2079" s="86"/>
      <c r="R2079" s="86"/>
      <c r="S2079" s="86"/>
      <c r="T2079" s="86"/>
      <c r="U2079" s="86"/>
    </row>
    <row r="2080" spans="2:22" ht="15" hidden="1" outlineLevel="2" x14ac:dyDescent="0.25">
      <c r="B2080" t="str">
        <f>+C2080&amp;D2080&amp;E2080&amp;F2080</f>
        <v>AfricaResultsTotal Capex Blue hydrogen (compressed)USD/ton</v>
      </c>
      <c r="C2080" t="s">
        <v>200</v>
      </c>
      <c r="D2080" t="s">
        <v>838</v>
      </c>
      <c r="E2080" s="30" t="s">
        <v>1192</v>
      </c>
      <c r="F2080" s="522" t="s">
        <v>205</v>
      </c>
      <c r="G2080" s="88">
        <f t="shared" ref="G2080:M2080" si="1120">+G2129</f>
        <v>274.84138167421179</v>
      </c>
      <c r="H2080" s="88">
        <f t="shared" si="1120"/>
        <v>265.00000000000006</v>
      </c>
      <c r="I2080" s="88">
        <f t="shared" si="1120"/>
        <v>255.51101356069626</v>
      </c>
      <c r="J2080" s="88">
        <f t="shared" si="1120"/>
        <v>246.36180396533697</v>
      </c>
      <c r="K2080" s="88">
        <f t="shared" si="1120"/>
        <v>237.54020465594266</v>
      </c>
      <c r="L2080" s="88">
        <f t="shared" si="1120"/>
        <v>229.03448472850988</v>
      </c>
      <c r="M2080" s="88">
        <f t="shared" si="1120"/>
        <v>220.83333333333337</v>
      </c>
      <c r="O2080" s="86"/>
      <c r="P2080" s="86"/>
      <c r="Q2080" s="86"/>
      <c r="R2080" s="86"/>
      <c r="S2080" s="86"/>
      <c r="T2080" s="86"/>
      <c r="U2080" s="86"/>
    </row>
    <row r="2081" spans="2:21" ht="15" hidden="1" outlineLevel="2" x14ac:dyDescent="0.25">
      <c r="E2081" s="30"/>
      <c r="F2081" s="522"/>
      <c r="G2081" s="8"/>
      <c r="H2081" s="8"/>
      <c r="I2081" s="8"/>
      <c r="J2081" s="8"/>
      <c r="K2081" s="8"/>
      <c r="L2081" s="8"/>
      <c r="M2081" s="8"/>
    </row>
    <row r="2082" spans="2:21" ht="15" hidden="1" outlineLevel="2" x14ac:dyDescent="0.25">
      <c r="B2082" t="str">
        <f>+C2082&amp;D2082&amp;E2082&amp;F2082</f>
        <v>EuropeResultsTotal Opex Blue hydrogen (compressed)USD/ton</v>
      </c>
      <c r="C2082" t="s">
        <v>195</v>
      </c>
      <c r="D2082" t="s">
        <v>838</v>
      </c>
      <c r="E2082" s="30" t="s">
        <v>1193</v>
      </c>
      <c r="F2082" s="522" t="s">
        <v>205</v>
      </c>
      <c r="G2082" s="88">
        <f>+G2131+G2175</f>
        <v>414.73371361418128</v>
      </c>
      <c r="H2082" s="88">
        <f t="shared" ref="H2082:M2082" si="1121">+H2131+H2175</f>
        <v>346.38707160003844</v>
      </c>
      <c r="I2082" s="88">
        <f t="shared" si="1121"/>
        <v>289.36157150851443</v>
      </c>
      <c r="J2082" s="88">
        <f t="shared" si="1121"/>
        <v>245.2422642782675</v>
      </c>
      <c r="K2082" s="88">
        <f t="shared" si="1121"/>
        <v>209.09944642215621</v>
      </c>
      <c r="L2082" s="88">
        <f t="shared" si="1121"/>
        <v>178.2566532219092</v>
      </c>
      <c r="M2082" s="88">
        <f t="shared" si="1121"/>
        <v>152.62535351580107</v>
      </c>
      <c r="O2082" s="86"/>
      <c r="P2082" s="86"/>
      <c r="Q2082" s="86"/>
      <c r="R2082" s="86"/>
      <c r="S2082" s="86"/>
      <c r="T2082" s="86"/>
      <c r="U2082" s="86"/>
    </row>
    <row r="2083" spans="2:21" ht="15" hidden="1" outlineLevel="2" x14ac:dyDescent="0.25">
      <c r="B2083" t="str">
        <f>+C2083&amp;D2083&amp;E2083&amp;F2083</f>
        <v>Middle EastResultsTotal Opex Blue hydrogen (compressed)USD/ton</v>
      </c>
      <c r="C2083" t="s">
        <v>197</v>
      </c>
      <c r="D2083" t="s">
        <v>838</v>
      </c>
      <c r="E2083" s="30" t="s">
        <v>1193</v>
      </c>
      <c r="F2083" s="522" t="s">
        <v>205</v>
      </c>
      <c r="G2083" s="88">
        <f t="shared" ref="G2083:M2083" si="1122">+G2132+G2176</f>
        <v>401.42458534104952</v>
      </c>
      <c r="H2083" s="88">
        <f t="shared" si="1122"/>
        <v>335.44074358408926</v>
      </c>
      <c r="I2083" s="88">
        <f t="shared" si="1122"/>
        <v>281.57583132699449</v>
      </c>
      <c r="J2083" s="88">
        <f t="shared" si="1122"/>
        <v>237.12519231579512</v>
      </c>
      <c r="K2083" s="88">
        <f t="shared" si="1122"/>
        <v>201.16757422436558</v>
      </c>
      <c r="L2083" s="88">
        <f t="shared" si="1122"/>
        <v>170.03793900224738</v>
      </c>
      <c r="M2083" s="88">
        <f t="shared" si="1122"/>
        <v>144.88603084652863</v>
      </c>
      <c r="N2083" s="93"/>
      <c r="O2083" s="86"/>
      <c r="P2083" s="86"/>
      <c r="Q2083" s="86"/>
      <c r="R2083" s="86"/>
      <c r="S2083" s="86"/>
      <c r="T2083" s="86"/>
      <c r="U2083" s="86"/>
    </row>
    <row r="2084" spans="2:21" ht="15" hidden="1" outlineLevel="2" x14ac:dyDescent="0.25">
      <c r="B2084" t="str">
        <f>+C2084&amp;D2084&amp;E2084&amp;F2084</f>
        <v>AsiaResultsTotal Opex Blue hydrogen (compressed)USD/ton</v>
      </c>
      <c r="C2084" t="s">
        <v>198</v>
      </c>
      <c r="D2084" t="s">
        <v>838</v>
      </c>
      <c r="E2084" s="30" t="s">
        <v>1193</v>
      </c>
      <c r="F2084" s="522" t="s">
        <v>205</v>
      </c>
      <c r="G2084" s="88">
        <f t="shared" ref="G2084:M2084" si="1123">+G2133+G2177</f>
        <v>443.57213990628986</v>
      </c>
      <c r="H2084" s="88">
        <f t="shared" si="1123"/>
        <v>356.20462405305807</v>
      </c>
      <c r="I2084" s="88">
        <f t="shared" si="1123"/>
        <v>297.27166656305604</v>
      </c>
      <c r="J2084" s="88">
        <f t="shared" si="1123"/>
        <v>249.52071207402605</v>
      </c>
      <c r="K2084" s="88">
        <f t="shared" si="1123"/>
        <v>211.85696699019536</v>
      </c>
      <c r="L2084" s="88">
        <f t="shared" si="1123"/>
        <v>179.47280961667235</v>
      </c>
      <c r="M2084" s="88">
        <f t="shared" si="1123"/>
        <v>153.77045878594058</v>
      </c>
      <c r="O2084" s="86"/>
      <c r="P2084" s="86"/>
      <c r="Q2084" s="86"/>
      <c r="R2084" s="86"/>
      <c r="S2084" s="86"/>
      <c r="T2084" s="86"/>
      <c r="U2084" s="86"/>
    </row>
    <row r="2085" spans="2:21" ht="15" hidden="1" outlineLevel="2" x14ac:dyDescent="0.25">
      <c r="B2085" t="str">
        <f>+C2085&amp;D2085&amp;E2085&amp;F2085</f>
        <v>AmericasResultsTotal Opex Blue hydrogen (compressed)USD/ton</v>
      </c>
      <c r="C2085" t="s">
        <v>199</v>
      </c>
      <c r="D2085" t="s">
        <v>838</v>
      </c>
      <c r="E2085" s="30" t="s">
        <v>1193</v>
      </c>
      <c r="F2085" s="522" t="s">
        <v>205</v>
      </c>
      <c r="G2085" s="88">
        <f t="shared" ref="G2085:M2085" si="1124">+G2134+G2178</f>
        <v>398.32209543843595</v>
      </c>
      <c r="H2085" s="88">
        <f t="shared" si="1124"/>
        <v>336.92608895238675</v>
      </c>
      <c r="I2085" s="88">
        <f t="shared" si="1124"/>
        <v>281.99722436228473</v>
      </c>
      <c r="J2085" s="88">
        <f t="shared" si="1124"/>
        <v>238.30593224042261</v>
      </c>
      <c r="K2085" s="88">
        <f t="shared" si="1124"/>
        <v>201.72570250751139</v>
      </c>
      <c r="L2085" s="88">
        <f t="shared" si="1124"/>
        <v>172.16913411651427</v>
      </c>
      <c r="M2085" s="88">
        <f t="shared" si="1124"/>
        <v>147.45000328915336</v>
      </c>
      <c r="O2085" s="86"/>
      <c r="P2085" s="86"/>
      <c r="Q2085" s="86"/>
      <c r="R2085" s="86"/>
      <c r="S2085" s="86"/>
      <c r="T2085" s="86"/>
      <c r="U2085" s="86"/>
    </row>
    <row r="2086" spans="2:21" ht="15" hidden="1" outlineLevel="2" x14ac:dyDescent="0.25">
      <c r="B2086" t="str">
        <f>+C2086&amp;D2086&amp;E2086&amp;F2086</f>
        <v>AfricaResultsTotal Opex Blue hydrogen (compressed)USD/ton</v>
      </c>
      <c r="C2086" t="s">
        <v>200</v>
      </c>
      <c r="D2086" t="s">
        <v>838</v>
      </c>
      <c r="E2086" s="30" t="s">
        <v>1193</v>
      </c>
      <c r="F2086" s="522" t="s">
        <v>205</v>
      </c>
      <c r="G2086" s="88">
        <f t="shared" ref="G2086:M2086" si="1125">+G2135+G2179</f>
        <v>440.31467538446088</v>
      </c>
      <c r="H2086" s="88">
        <f t="shared" si="1125"/>
        <v>346.91062483884372</v>
      </c>
      <c r="I2086" s="88">
        <f t="shared" si="1125"/>
        <v>288.68947848669677</v>
      </c>
      <c r="J2086" s="88">
        <f t="shared" si="1125"/>
        <v>242.64142179807067</v>
      </c>
      <c r="K2086" s="88">
        <f t="shared" si="1125"/>
        <v>206.05486991294734</v>
      </c>
      <c r="L2086" s="88">
        <f t="shared" si="1125"/>
        <v>174.84690204071944</v>
      </c>
      <c r="M2086" s="88">
        <f t="shared" si="1125"/>
        <v>149.5965333886017</v>
      </c>
      <c r="O2086" s="86"/>
      <c r="P2086" s="86"/>
      <c r="Q2086" s="86"/>
      <c r="R2086" s="86"/>
      <c r="S2086" s="86"/>
      <c r="T2086" s="86"/>
      <c r="U2086" s="86"/>
    </row>
    <row r="2087" spans="2:21" ht="15" hidden="1" outlineLevel="2" x14ac:dyDescent="0.25">
      <c r="E2087" s="30"/>
      <c r="F2087" s="522"/>
      <c r="G2087" s="8"/>
      <c r="H2087" s="8"/>
      <c r="I2087" s="8"/>
      <c r="J2087" s="8"/>
      <c r="K2087" s="8"/>
      <c r="L2087" s="8"/>
      <c r="M2087" s="8"/>
    </row>
    <row r="2088" spans="2:21" ht="15" hidden="1" outlineLevel="2" x14ac:dyDescent="0.25">
      <c r="B2088" t="str">
        <f>+C2088&amp;D2088&amp;E2088&amp;F2088</f>
        <v>EuropeResultsTotal Raw Material Blue hydrogen (compressed)USD/ton</v>
      </c>
      <c r="C2088" t="s">
        <v>195</v>
      </c>
      <c r="D2088" t="s">
        <v>838</v>
      </c>
      <c r="E2088" s="30" t="s">
        <v>1194</v>
      </c>
      <c r="F2088" s="522" t="s">
        <v>205</v>
      </c>
      <c r="G2088" s="88">
        <f>+G2137</f>
        <v>6288.9859720000004</v>
      </c>
      <c r="H2088" s="88">
        <f t="shared" ref="H2088:M2088" si="1126">+H2137</f>
        <v>2463.5</v>
      </c>
      <c r="I2088" s="88">
        <f t="shared" si="1126"/>
        <v>1636.133297975</v>
      </c>
      <c r="J2088" s="88">
        <f t="shared" si="1126"/>
        <v>1597.222598525</v>
      </c>
      <c r="K2088" s="88">
        <f t="shared" si="1126"/>
        <v>1559.24497625</v>
      </c>
      <c r="L2088" s="88">
        <f t="shared" si="1126"/>
        <v>1522.178056275</v>
      </c>
      <c r="M2088" s="88">
        <f t="shared" si="1126"/>
        <v>1486</v>
      </c>
    </row>
    <row r="2089" spans="2:21" ht="15" hidden="1" outlineLevel="2" x14ac:dyDescent="0.25">
      <c r="B2089" t="str">
        <f>+C2089&amp;D2089&amp;E2089&amp;F2089</f>
        <v>Middle EastResultsTotal Raw Material Blue hydrogen (compressed)USD/ton</v>
      </c>
      <c r="C2089" t="s">
        <v>197</v>
      </c>
      <c r="D2089" t="s">
        <v>838</v>
      </c>
      <c r="E2089" s="30" t="s">
        <v>1194</v>
      </c>
      <c r="F2089" s="522" t="s">
        <v>205</v>
      </c>
      <c r="G2089" s="88">
        <f>+G2138</f>
        <v>5033.8887776000001</v>
      </c>
      <c r="H2089" s="88">
        <f t="shared" ref="H2089:M2089" si="1127">+H2138</f>
        <v>1851</v>
      </c>
      <c r="I2089" s="88">
        <f t="shared" si="1127"/>
        <v>508.83016464499997</v>
      </c>
      <c r="J2089" s="88">
        <f t="shared" si="1127"/>
        <v>496.952161655</v>
      </c>
      <c r="K2089" s="88">
        <f t="shared" si="1127"/>
        <v>485.35899274999997</v>
      </c>
      <c r="L2089" s="88">
        <f t="shared" si="1127"/>
        <v>474.04382770500001</v>
      </c>
      <c r="M2089" s="88">
        <f t="shared" si="1127"/>
        <v>463</v>
      </c>
      <c r="N2089" s="93"/>
    </row>
    <row r="2090" spans="2:21" ht="15" hidden="1" outlineLevel="2" x14ac:dyDescent="0.25">
      <c r="B2090" t="str">
        <f>+C2090&amp;D2090&amp;E2090&amp;F2090</f>
        <v>AsiaResultsTotal Raw Material Blue hydrogen (compressed)USD/ton</v>
      </c>
      <c r="C2090" t="s">
        <v>198</v>
      </c>
      <c r="D2090" t="s">
        <v>838</v>
      </c>
      <c r="E2090" s="30" t="s">
        <v>1194</v>
      </c>
      <c r="F2090" s="522" t="s">
        <v>205</v>
      </c>
      <c r="G2090" s="88">
        <f>+G2139</f>
        <v>5751.0871744000005</v>
      </c>
      <c r="H2090" s="88">
        <f t="shared" ref="H2090:M2090" si="1128">+H2139</f>
        <v>2551</v>
      </c>
      <c r="I2090" s="88">
        <f t="shared" si="1128"/>
        <v>1209.1245353499999</v>
      </c>
      <c r="J2090" s="88">
        <f t="shared" si="1128"/>
        <v>1180.4534936500002</v>
      </c>
      <c r="K2090" s="88">
        <f t="shared" si="1128"/>
        <v>1152.4699825</v>
      </c>
      <c r="L2090" s="88">
        <f t="shared" si="1128"/>
        <v>1125.1575151500001</v>
      </c>
      <c r="M2090" s="88">
        <f t="shared" si="1128"/>
        <v>1098.5</v>
      </c>
    </row>
    <row r="2091" spans="2:21" ht="15" hidden="1" outlineLevel="2" x14ac:dyDescent="0.25">
      <c r="B2091" t="str">
        <f>+C2091&amp;D2091&amp;E2091&amp;F2091</f>
        <v>AmericasResultsTotal Raw Material Blue hydrogen (compressed)USD/ton</v>
      </c>
      <c r="C2091" t="s">
        <v>199</v>
      </c>
      <c r="D2091" t="s">
        <v>838</v>
      </c>
      <c r="E2091" s="30" t="s">
        <v>1194</v>
      </c>
      <c r="F2091" s="522" t="s">
        <v>205</v>
      </c>
      <c r="G2091" s="88">
        <f>+G2140</f>
        <v>1268.5971944</v>
      </c>
      <c r="H2091" s="88">
        <f t="shared" ref="H2091:M2091" si="1129">+H2140</f>
        <v>818.5</v>
      </c>
      <c r="I2091" s="88">
        <f t="shared" si="1129"/>
        <v>765.03542221999999</v>
      </c>
      <c r="J2091" s="88">
        <f t="shared" si="1129"/>
        <v>847.03820975000008</v>
      </c>
      <c r="K2091" s="88">
        <f t="shared" si="1129"/>
        <v>827.04998749999993</v>
      </c>
      <c r="L2091" s="88">
        <f t="shared" si="1129"/>
        <v>807.54108225000004</v>
      </c>
      <c r="M2091" s="88">
        <f t="shared" si="1129"/>
        <v>788.5</v>
      </c>
    </row>
    <row r="2092" spans="2:21" ht="15" hidden="1" outlineLevel="2" x14ac:dyDescent="0.25">
      <c r="B2092" t="str">
        <f>+C2092&amp;D2092&amp;E2092&amp;F2092</f>
        <v>AfricaResultsTotal Raw Material Blue hydrogen (compressed)USD/ton</v>
      </c>
      <c r="C2092" t="s">
        <v>200</v>
      </c>
      <c r="D2092" t="s">
        <v>838</v>
      </c>
      <c r="E2092" s="30" t="s">
        <v>1194</v>
      </c>
      <c r="F2092" s="522" t="s">
        <v>205</v>
      </c>
      <c r="G2092" s="88">
        <f>+G2141</f>
        <v>6288.9859720000004</v>
      </c>
      <c r="H2092" s="88">
        <f t="shared" ref="H2092:M2092" si="1130">+H2141</f>
        <v>2463.5</v>
      </c>
      <c r="I2092" s="88">
        <f t="shared" si="1130"/>
        <v>1636.133297975</v>
      </c>
      <c r="J2092" s="88">
        <f t="shared" si="1130"/>
        <v>1597.222598525</v>
      </c>
      <c r="K2092" s="88">
        <f t="shared" si="1130"/>
        <v>1559.24497625</v>
      </c>
      <c r="L2092" s="88">
        <f t="shared" si="1130"/>
        <v>1522.178056275</v>
      </c>
      <c r="M2092" s="88">
        <f t="shared" si="1130"/>
        <v>1486</v>
      </c>
    </row>
    <row r="2093" spans="2:21" ht="15" hidden="1" outlineLevel="2" x14ac:dyDescent="0.25">
      <c r="E2093" s="30"/>
      <c r="F2093" s="522"/>
      <c r="H2093" s="8"/>
      <c r="I2093" s="8"/>
      <c r="J2093" s="8"/>
      <c r="K2093" s="8"/>
      <c r="L2093" s="8"/>
      <c r="M2093" s="8"/>
    </row>
    <row r="2094" spans="2:21" ht="15" hidden="1" outlineLevel="2" x14ac:dyDescent="0.25">
      <c r="B2094" t="str">
        <f>+C2094&amp;D2094&amp;E2094&amp;F2094</f>
        <v>EuropeResultsTotal CO2 Blue hydrogen (compressed)USD/ton</v>
      </c>
      <c r="C2094" t="s">
        <v>195</v>
      </c>
      <c r="D2094" t="s">
        <v>838</v>
      </c>
      <c r="E2094" s="30" t="s">
        <v>1195</v>
      </c>
      <c r="F2094" s="522" t="s">
        <v>205</v>
      </c>
      <c r="G2094" s="88">
        <f>+G2143</f>
        <v>679.59226035000006</v>
      </c>
      <c r="H2094" s="88">
        <f t="shared" ref="H2094:M2094" si="1131">+H2143</f>
        <v>675</v>
      </c>
      <c r="I2094" s="88">
        <f t="shared" si="1131"/>
        <v>670.43877127499991</v>
      </c>
      <c r="J2094" s="88">
        <f t="shared" si="1131"/>
        <v>665.90836447499998</v>
      </c>
      <c r="K2094" s="88">
        <f t="shared" si="1131"/>
        <v>661.40857132500003</v>
      </c>
      <c r="L2094" s="88">
        <f t="shared" si="1131"/>
        <v>656.93918504999999</v>
      </c>
      <c r="M2094" s="88">
        <f t="shared" si="1131"/>
        <v>652.5</v>
      </c>
    </row>
    <row r="2095" spans="2:21" ht="15" hidden="1" outlineLevel="2" x14ac:dyDescent="0.25">
      <c r="B2095" t="str">
        <f>+C2095&amp;D2095&amp;E2095&amp;F2095</f>
        <v>Middle EastResultsTotal CO2 Blue hydrogen (compressed)USD/ton</v>
      </c>
      <c r="C2095" t="s">
        <v>197</v>
      </c>
      <c r="D2095" t="s">
        <v>838</v>
      </c>
      <c r="E2095" s="30" t="s">
        <v>1195</v>
      </c>
      <c r="F2095" s="522" t="s">
        <v>205</v>
      </c>
      <c r="G2095" s="88">
        <f>+G2144</f>
        <v>679.59226035000006</v>
      </c>
      <c r="H2095" s="88">
        <f t="shared" ref="H2095:M2095" si="1132">+H2144</f>
        <v>675</v>
      </c>
      <c r="I2095" s="88">
        <f t="shared" si="1132"/>
        <v>670.43877127499991</v>
      </c>
      <c r="J2095" s="88">
        <f t="shared" si="1132"/>
        <v>665.90836447499998</v>
      </c>
      <c r="K2095" s="88">
        <f t="shared" si="1132"/>
        <v>661.40857132500003</v>
      </c>
      <c r="L2095" s="88">
        <f t="shared" si="1132"/>
        <v>656.93918504999999</v>
      </c>
      <c r="M2095" s="88">
        <f t="shared" si="1132"/>
        <v>652.5</v>
      </c>
      <c r="N2095" s="93"/>
    </row>
    <row r="2096" spans="2:21" ht="15" hidden="1" outlineLevel="2" x14ac:dyDescent="0.25">
      <c r="B2096" t="str">
        <f>+C2096&amp;D2096&amp;E2096&amp;F2096</f>
        <v>AsiaResultsTotal CO2 Blue hydrogen (compressed)USD/ton</v>
      </c>
      <c r="C2096" t="s">
        <v>198</v>
      </c>
      <c r="D2096" t="s">
        <v>838</v>
      </c>
      <c r="E2096" s="30" t="s">
        <v>1195</v>
      </c>
      <c r="F2096" s="522" t="s">
        <v>205</v>
      </c>
      <c r="G2096" s="88">
        <f>+G2145</f>
        <v>679.59226035000006</v>
      </c>
      <c r="H2096" s="88">
        <f t="shared" ref="H2096:M2096" si="1133">+H2145</f>
        <v>675</v>
      </c>
      <c r="I2096" s="88">
        <f t="shared" si="1133"/>
        <v>670.43877127499991</v>
      </c>
      <c r="J2096" s="88">
        <f t="shared" si="1133"/>
        <v>665.90836447499998</v>
      </c>
      <c r="K2096" s="88">
        <f t="shared" si="1133"/>
        <v>661.40857132500003</v>
      </c>
      <c r="L2096" s="88">
        <f t="shared" si="1133"/>
        <v>656.93918504999999</v>
      </c>
      <c r="M2096" s="88">
        <f t="shared" si="1133"/>
        <v>652.5</v>
      </c>
    </row>
    <row r="2097" spans="2:21" ht="15" hidden="1" outlineLevel="2" x14ac:dyDescent="0.25">
      <c r="B2097" t="str">
        <f>+C2097&amp;D2097&amp;E2097&amp;F2097</f>
        <v>AmericasResultsTotal CO2 Blue hydrogen (compressed)USD/ton</v>
      </c>
      <c r="C2097" t="s">
        <v>199</v>
      </c>
      <c r="D2097" t="s">
        <v>838</v>
      </c>
      <c r="E2097" s="30" t="s">
        <v>1195</v>
      </c>
      <c r="F2097" s="522" t="s">
        <v>205</v>
      </c>
      <c r="G2097" s="88">
        <f>+G2146</f>
        <v>679.59226035000006</v>
      </c>
      <c r="H2097" s="88">
        <f t="shared" ref="H2097:M2097" si="1134">+H2146</f>
        <v>675</v>
      </c>
      <c r="I2097" s="88">
        <f t="shared" si="1134"/>
        <v>670.43877127499991</v>
      </c>
      <c r="J2097" s="88">
        <f t="shared" si="1134"/>
        <v>665.90836447499998</v>
      </c>
      <c r="K2097" s="88">
        <f t="shared" si="1134"/>
        <v>661.40857132500003</v>
      </c>
      <c r="L2097" s="88">
        <f t="shared" si="1134"/>
        <v>656.93918504999999</v>
      </c>
      <c r="M2097" s="88">
        <f t="shared" si="1134"/>
        <v>652.5</v>
      </c>
    </row>
    <row r="2098" spans="2:21" ht="15" hidden="1" outlineLevel="2" x14ac:dyDescent="0.25">
      <c r="B2098" t="str">
        <f>+C2098&amp;D2098&amp;E2098&amp;F2098</f>
        <v>AfricaResultsTotal CO2 Blue hydrogen (compressed)USD/ton</v>
      </c>
      <c r="C2098" t="s">
        <v>200</v>
      </c>
      <c r="D2098" t="s">
        <v>838</v>
      </c>
      <c r="E2098" s="30" t="s">
        <v>1195</v>
      </c>
      <c r="F2098" s="522" t="s">
        <v>205</v>
      </c>
      <c r="G2098" s="88">
        <f>+G2147</f>
        <v>679.59226035000006</v>
      </c>
      <c r="H2098" s="88">
        <f t="shared" ref="H2098:M2098" si="1135">+H2147</f>
        <v>675</v>
      </c>
      <c r="I2098" s="88">
        <f t="shared" si="1135"/>
        <v>670.43877127499991</v>
      </c>
      <c r="J2098" s="88">
        <f t="shared" si="1135"/>
        <v>665.90836447499998</v>
      </c>
      <c r="K2098" s="88">
        <f t="shared" si="1135"/>
        <v>661.40857132500003</v>
      </c>
      <c r="L2098" s="88">
        <f t="shared" si="1135"/>
        <v>656.93918504999999</v>
      </c>
      <c r="M2098" s="88">
        <f t="shared" si="1135"/>
        <v>652.5</v>
      </c>
    </row>
    <row r="2099" spans="2:21" ht="15" hidden="1" outlineLevel="2" x14ac:dyDescent="0.25">
      <c r="E2099" s="30"/>
      <c r="F2099" s="522"/>
      <c r="G2099" s="8"/>
      <c r="H2099" s="8"/>
      <c r="I2099" s="8"/>
      <c r="J2099" s="8"/>
      <c r="K2099" s="8"/>
      <c r="L2099" s="8"/>
      <c r="M2099" s="8"/>
    </row>
    <row r="2100" spans="2:21" ht="15" hidden="1" outlineLevel="2" x14ac:dyDescent="0.25">
      <c r="B2100" t="str">
        <f>+C2100&amp;D2100&amp;E2100&amp;F2100</f>
        <v>EuropeResultsShare of Capex Blue Hydrogen Comp%</v>
      </c>
      <c r="C2100" t="s">
        <v>195</v>
      </c>
      <c r="D2100" t="s">
        <v>838</v>
      </c>
      <c r="E2100" s="30" t="s">
        <v>1196</v>
      </c>
      <c r="F2100" s="522" t="s">
        <v>178</v>
      </c>
      <c r="G2100" s="9">
        <f>+G2076/G2070</f>
        <v>3.5888727989070814E-2</v>
      </c>
      <c r="H2100" s="9">
        <f t="shared" ref="H2100:M2100" si="1136">+H2076/H2070</f>
        <v>7.0668794803713186E-2</v>
      </c>
      <c r="I2100" s="9">
        <f t="shared" si="1136"/>
        <v>8.9607565475157427E-2</v>
      </c>
      <c r="J2100" s="9">
        <f t="shared" si="1136"/>
        <v>8.9432123660226875E-2</v>
      </c>
      <c r="K2100" s="9">
        <f t="shared" si="1136"/>
        <v>8.9056652930353947E-2</v>
      </c>
      <c r="L2100" s="9">
        <f t="shared" si="1136"/>
        <v>8.8553101885895436E-2</v>
      </c>
      <c r="M2100" s="9">
        <f t="shared" si="1136"/>
        <v>8.7912804652983678E-2</v>
      </c>
      <c r="O2100" s="86"/>
      <c r="P2100" s="86"/>
      <c r="Q2100" s="86"/>
      <c r="R2100" s="86"/>
      <c r="S2100" s="86"/>
      <c r="T2100" s="86"/>
      <c r="U2100" s="86"/>
    </row>
    <row r="2101" spans="2:21" ht="15" hidden="1" outlineLevel="2" x14ac:dyDescent="0.25">
      <c r="B2101" t="str">
        <f>+C2101&amp;D2101&amp;E2101&amp;F2101</f>
        <v>Middle EastResultsShare of Capex Blue Hydrogen Comp%</v>
      </c>
      <c r="C2101" t="s">
        <v>197</v>
      </c>
      <c r="D2101" t="s">
        <v>838</v>
      </c>
      <c r="E2101" s="30" t="s">
        <v>1196</v>
      </c>
      <c r="F2101" s="522" t="s">
        <v>178</v>
      </c>
      <c r="G2101" s="9">
        <f t="shared" ref="G2101:M2101" si="1137">+G2077/G2071</f>
        <v>4.3012873821239188E-2</v>
      </c>
      <c r="H2101" s="9">
        <f t="shared" si="1137"/>
        <v>8.4760921998543723E-2</v>
      </c>
      <c r="I2101" s="9">
        <f t="shared" si="1137"/>
        <v>0.1488683269621737</v>
      </c>
      <c r="J2101" s="9">
        <f t="shared" si="1137"/>
        <v>0.1496414339085175</v>
      </c>
      <c r="K2101" s="9">
        <f t="shared" si="1137"/>
        <v>0.14982270504009881</v>
      </c>
      <c r="L2101" s="9">
        <f t="shared" si="1137"/>
        <v>0.14969031792374662</v>
      </c>
      <c r="M2101" s="9">
        <f t="shared" si="1137"/>
        <v>0.14908887817275249</v>
      </c>
      <c r="N2101" s="93"/>
      <c r="O2101" s="86"/>
      <c r="P2101" s="86"/>
      <c r="Q2101" s="86"/>
      <c r="R2101" s="86"/>
      <c r="S2101" s="86"/>
      <c r="T2101" s="86"/>
      <c r="U2101" s="86"/>
    </row>
    <row r="2102" spans="2:21" ht="15" hidden="1" outlineLevel="2" x14ac:dyDescent="0.25">
      <c r="B2102" t="str">
        <f>+C2102&amp;D2102&amp;E2102&amp;F2102</f>
        <v>AsiaResultsShare of Capex Blue Hydrogen Comp%</v>
      </c>
      <c r="C2102" t="s">
        <v>198</v>
      </c>
      <c r="D2102" t="s">
        <v>838</v>
      </c>
      <c r="E2102" s="30" t="s">
        <v>1196</v>
      </c>
      <c r="F2102" s="522" t="s">
        <v>178</v>
      </c>
      <c r="G2102" s="9">
        <f t="shared" ref="G2102:M2102" si="1138">+G2078/G2072</f>
        <v>3.8444231086803886E-2</v>
      </c>
      <c r="H2102" s="9">
        <f t="shared" si="1138"/>
        <v>6.8881181505968517E-2</v>
      </c>
      <c r="I2102" s="9">
        <f t="shared" si="1138"/>
        <v>0.10504714993372738</v>
      </c>
      <c r="J2102" s="9">
        <f t="shared" si="1138"/>
        <v>0.10518193860673949</v>
      </c>
      <c r="K2102" s="9">
        <f t="shared" si="1138"/>
        <v>0.10495416090167041</v>
      </c>
      <c r="L2102" s="9">
        <f t="shared" si="1138"/>
        <v>0.10455312110213807</v>
      </c>
      <c r="M2102" s="9">
        <f t="shared" si="1138"/>
        <v>0.10389204900371279</v>
      </c>
      <c r="O2102" s="86"/>
      <c r="P2102" s="86"/>
      <c r="Q2102" s="86"/>
      <c r="R2102" s="86"/>
      <c r="S2102" s="86"/>
      <c r="T2102" s="86"/>
      <c r="U2102" s="86"/>
    </row>
    <row r="2103" spans="2:21" ht="15" hidden="1" outlineLevel="2" x14ac:dyDescent="0.25">
      <c r="B2103" t="str">
        <f>+C2103&amp;D2103&amp;E2103&amp;F2103</f>
        <v>AmericasResultsShare of Capex Blue Hydrogen Comp%</v>
      </c>
      <c r="C2103" t="s">
        <v>199</v>
      </c>
      <c r="D2103" t="s">
        <v>838</v>
      </c>
      <c r="E2103" s="30" t="s">
        <v>1196</v>
      </c>
      <c r="F2103" s="522" t="s">
        <v>178</v>
      </c>
      <c r="G2103" s="9">
        <f t="shared" ref="G2103:M2103" si="1139">+G2079/G2073</f>
        <v>0.10484714909370044</v>
      </c>
      <c r="H2103" s="9">
        <f t="shared" si="1139"/>
        <v>0.12646592566406742</v>
      </c>
      <c r="I2103" s="9">
        <f t="shared" si="1139"/>
        <v>0.12950496136808512</v>
      </c>
      <c r="J2103" s="9">
        <f t="shared" si="1139"/>
        <v>0.12332801315996392</v>
      </c>
      <c r="K2103" s="9">
        <f t="shared" si="1139"/>
        <v>0.1232231103806333</v>
      </c>
      <c r="L2103" s="9">
        <f t="shared" si="1139"/>
        <v>0.1227616781328123</v>
      </c>
      <c r="M2103" s="9">
        <f t="shared" si="1139"/>
        <v>0.12205569402168821</v>
      </c>
      <c r="O2103" s="86"/>
      <c r="P2103" s="86"/>
      <c r="Q2103" s="86"/>
      <c r="R2103" s="86"/>
      <c r="S2103" s="86"/>
      <c r="T2103" s="86"/>
      <c r="U2103" s="86"/>
    </row>
    <row r="2104" spans="2:21" ht="15" hidden="1" outlineLevel="2" x14ac:dyDescent="0.25">
      <c r="B2104" t="str">
        <f>+C2104&amp;D2104&amp;E2104&amp;F2104</f>
        <v>AfricaResultsShare of Capex Blue Hydrogen Comp%</v>
      </c>
      <c r="C2104" t="s">
        <v>200</v>
      </c>
      <c r="D2104" t="s">
        <v>838</v>
      </c>
      <c r="E2104" s="30" t="s">
        <v>1196</v>
      </c>
      <c r="F2104" s="522" t="s">
        <v>178</v>
      </c>
      <c r="G2104" s="9">
        <f t="shared" ref="G2104:M2104" si="1140">+G2080/G2074</f>
        <v>3.5769245958056563E-2</v>
      </c>
      <c r="H2104" s="9">
        <f t="shared" si="1140"/>
        <v>7.065892951692114E-2</v>
      </c>
      <c r="I2104" s="9">
        <f t="shared" si="1140"/>
        <v>8.9628691193945217E-2</v>
      </c>
      <c r="J2104" s="9">
        <f t="shared" si="1140"/>
        <v>8.9516639476083307E-2</v>
      </c>
      <c r="K2104" s="9">
        <f t="shared" si="1140"/>
        <v>8.9158422634294854E-2</v>
      </c>
      <c r="L2104" s="9">
        <f t="shared" si="1140"/>
        <v>8.8669998596745112E-2</v>
      </c>
      <c r="M2104" s="9">
        <f t="shared" si="1140"/>
        <v>8.8018934392082138E-2</v>
      </c>
      <c r="O2104" s="86"/>
      <c r="P2104" s="86"/>
      <c r="Q2104" s="86"/>
      <c r="R2104" s="86"/>
      <c r="S2104" s="86"/>
      <c r="T2104" s="86"/>
      <c r="U2104" s="86"/>
    </row>
    <row r="2105" spans="2:21" ht="15" hidden="1" outlineLevel="2" x14ac:dyDescent="0.25">
      <c r="E2105" s="30"/>
      <c r="F2105" s="522"/>
    </row>
    <row r="2106" spans="2:21" ht="15" hidden="1" outlineLevel="2" x14ac:dyDescent="0.25">
      <c r="B2106" t="str">
        <f>+C2106&amp;D2106&amp;E2106&amp;F2106</f>
        <v>EuropeResultsShare of Raw Material Blue Hydrogen Comp%</v>
      </c>
      <c r="C2106" t="s">
        <v>195</v>
      </c>
      <c r="D2106" t="s">
        <v>838</v>
      </c>
      <c r="E2106" s="30" t="s">
        <v>1197</v>
      </c>
      <c r="F2106" s="522" t="s">
        <v>178</v>
      </c>
      <c r="G2106" s="9">
        <f>+G2088/G2070</f>
        <v>0.82121442375708942</v>
      </c>
      <c r="H2106" s="9">
        <f t="shared" ref="H2106:M2106" si="1141">+H2088/H2070</f>
        <v>0.65695311697715997</v>
      </c>
      <c r="I2106" s="9">
        <f t="shared" si="1141"/>
        <v>0.57379100642780356</v>
      </c>
      <c r="J2106" s="9">
        <f t="shared" si="1141"/>
        <v>0.57980988385802967</v>
      </c>
      <c r="K2106" s="9">
        <f t="shared" si="1141"/>
        <v>0.58457951943092379</v>
      </c>
      <c r="L2106" s="9">
        <f t="shared" si="1141"/>
        <v>0.58852966471653534</v>
      </c>
      <c r="M2106" s="9">
        <f t="shared" si="1141"/>
        <v>0.5915702387064169</v>
      </c>
    </row>
    <row r="2107" spans="2:21" ht="15" hidden="1" outlineLevel="2" x14ac:dyDescent="0.25">
      <c r="B2107" t="str">
        <f>+C2107&amp;D2107&amp;E2107&amp;F2107</f>
        <v>Middle EastResultsShare of Raw Material Blue Hydrogen Comp%</v>
      </c>
      <c r="C2107" t="s">
        <v>197</v>
      </c>
      <c r="D2107" t="s">
        <v>838</v>
      </c>
      <c r="E2107" s="30" t="s">
        <v>1197</v>
      </c>
      <c r="F2107" s="522" t="s">
        <v>178</v>
      </c>
      <c r="G2107" s="9">
        <f t="shared" ref="G2107:M2107" si="1142">+G2089/G2071</f>
        <v>0.78780721266246245</v>
      </c>
      <c r="H2107" s="9">
        <f t="shared" si="1142"/>
        <v>0.5920470438464317</v>
      </c>
      <c r="I2107" s="9">
        <f t="shared" si="1142"/>
        <v>0.29645960956040962</v>
      </c>
      <c r="J2107" s="9">
        <f t="shared" si="1142"/>
        <v>0.30185131321921427</v>
      </c>
      <c r="K2107" s="9">
        <f t="shared" si="1142"/>
        <v>0.30612837651911778</v>
      </c>
      <c r="L2107" s="9">
        <f t="shared" si="1142"/>
        <v>0.30982134137164824</v>
      </c>
      <c r="M2107" s="9">
        <f t="shared" si="1142"/>
        <v>0.31258030457653307</v>
      </c>
      <c r="N2107" s="93"/>
    </row>
    <row r="2108" spans="2:21" ht="15" hidden="1" outlineLevel="2" x14ac:dyDescent="0.25">
      <c r="B2108" t="str">
        <f>+C2108&amp;D2108&amp;E2108&amp;F2108</f>
        <v>AsiaResultsShare of Raw Material Blue Hydrogen Comp%</v>
      </c>
      <c r="C2108" t="s">
        <v>198</v>
      </c>
      <c r="D2108" t="s">
        <v>838</v>
      </c>
      <c r="E2108" s="30" t="s">
        <v>1197</v>
      </c>
      <c r="F2108" s="522" t="s">
        <v>178</v>
      </c>
      <c r="G2108" s="9">
        <f t="shared" ref="G2108:M2108" si="1143">+G2090/G2072</f>
        <v>0.80444990847509246</v>
      </c>
      <c r="H2108" s="9">
        <f t="shared" si="1143"/>
        <v>0.66307884536500239</v>
      </c>
      <c r="I2108" s="9">
        <f t="shared" si="1143"/>
        <v>0.49710219760561375</v>
      </c>
      <c r="J2108" s="9">
        <f t="shared" si="1143"/>
        <v>0.50398391673846921</v>
      </c>
      <c r="K2108" s="9">
        <f t="shared" si="1143"/>
        <v>0.5092044109031808</v>
      </c>
      <c r="L2108" s="9">
        <f t="shared" si="1143"/>
        <v>0.5136288977614174</v>
      </c>
      <c r="M2108" s="9">
        <f t="shared" si="1143"/>
        <v>0.51679433583658185</v>
      </c>
    </row>
    <row r="2109" spans="2:21" ht="15" hidden="1" outlineLevel="2" x14ac:dyDescent="0.25">
      <c r="B2109" t="str">
        <f>+C2109&amp;D2109&amp;E2109&amp;F2109</f>
        <v>AmericasResultsShare of Raw Material Blue Hydrogen Comp%</v>
      </c>
      <c r="C2109" t="s">
        <v>199</v>
      </c>
      <c r="D2109" t="s">
        <v>838</v>
      </c>
      <c r="E2109" s="30" t="s">
        <v>1197</v>
      </c>
      <c r="F2109" s="522" t="s">
        <v>178</v>
      </c>
      <c r="G2109" s="9">
        <f t="shared" ref="G2109:M2109" si="1144">+G2091/G2073</f>
        <v>0.48394749862948683</v>
      </c>
      <c r="H2109" s="9">
        <f t="shared" si="1144"/>
        <v>0.39061267983411002</v>
      </c>
      <c r="I2109" s="9">
        <f t="shared" si="1144"/>
        <v>0.38775582085146576</v>
      </c>
      <c r="J2109" s="9">
        <f t="shared" si="1144"/>
        <v>0.42402490076642835</v>
      </c>
      <c r="K2109" s="9">
        <f t="shared" si="1144"/>
        <v>0.4290291491818175</v>
      </c>
      <c r="L2109" s="9">
        <f t="shared" si="1144"/>
        <v>0.4328391793738352</v>
      </c>
      <c r="M2109" s="9">
        <f t="shared" si="1144"/>
        <v>0.43580791578611838</v>
      </c>
    </row>
    <row r="2110" spans="2:21" ht="15" hidden="1" outlineLevel="2" x14ac:dyDescent="0.25">
      <c r="B2110" t="str">
        <f>+C2110&amp;D2110&amp;E2110&amp;F2110</f>
        <v>AfricaResultsShare of Raw Material Blue Hydrogen Comp%</v>
      </c>
      <c r="C2110" t="s">
        <v>200</v>
      </c>
      <c r="D2110" t="s">
        <v>838</v>
      </c>
      <c r="E2110" s="30" t="s">
        <v>1197</v>
      </c>
      <c r="F2110" s="522" t="s">
        <v>178</v>
      </c>
      <c r="G2110" s="9">
        <f t="shared" ref="G2110:M2110" si="1145">+G2092/G2074</f>
        <v>0.81848040745875272</v>
      </c>
      <c r="H2110" s="9">
        <f t="shared" si="1145"/>
        <v>0.6568614070374913</v>
      </c>
      <c r="I2110" s="9">
        <f t="shared" si="1145"/>
        <v>0.57392628236550458</v>
      </c>
      <c r="J2110" s="9">
        <f t="shared" si="1145"/>
        <v>0.5803578201405456</v>
      </c>
      <c r="K2110" s="9">
        <f t="shared" si="1145"/>
        <v>0.58524754908019572</v>
      </c>
      <c r="L2110" s="9">
        <f t="shared" si="1145"/>
        <v>0.58930656784672131</v>
      </c>
      <c r="M2110" s="9">
        <f t="shared" si="1145"/>
        <v>0.59228439172815406</v>
      </c>
    </row>
    <row r="2111" spans="2:21" ht="15" hidden="1" outlineLevel="2" x14ac:dyDescent="0.25">
      <c r="E2111" s="30"/>
      <c r="F2111" s="522"/>
    </row>
    <row r="2112" spans="2:21" ht="15" hidden="1" outlineLevel="2" x14ac:dyDescent="0.25">
      <c r="B2112" t="str">
        <f>+C2112&amp;D2112&amp;E2112&amp;F2112</f>
        <v>EuropeResultsShare of CO2 Blue Hydrogen Comp%</v>
      </c>
      <c r="C2112" t="s">
        <v>195</v>
      </c>
      <c r="D2112" t="s">
        <v>838</v>
      </c>
      <c r="E2112" s="30" t="s">
        <v>1198</v>
      </c>
      <c r="F2112" s="522" t="s">
        <v>178</v>
      </c>
      <c r="G2112" s="9">
        <f>+G2094/G2070</f>
        <v>8.8741009911272095E-2</v>
      </c>
      <c r="H2112" s="9">
        <f t="shared" ref="H2112:M2112" si="1146">+H2094/H2070</f>
        <v>0.18000542072643921</v>
      </c>
      <c r="I2112" s="9">
        <f t="shared" si="1146"/>
        <v>0.23512249142183295</v>
      </c>
      <c r="J2112" s="9">
        <f t="shared" si="1146"/>
        <v>0.24173227440113568</v>
      </c>
      <c r="K2112" s="9">
        <f t="shared" si="1146"/>
        <v>0.24796995383146894</v>
      </c>
      <c r="L2112" s="9">
        <f t="shared" si="1146"/>
        <v>0.25399669685343396</v>
      </c>
      <c r="M2112" s="9">
        <f t="shared" si="1146"/>
        <v>0.25975745676711776</v>
      </c>
    </row>
    <row r="2113" spans="2:14" ht="15" hidden="1" outlineLevel="2" x14ac:dyDescent="0.25">
      <c r="B2113" t="str">
        <f>+C2113&amp;D2113&amp;E2113&amp;F2113</f>
        <v>Middle EastResultsShare of CO2 Blue Hydrogen Comp%</v>
      </c>
      <c r="C2113" t="s">
        <v>197</v>
      </c>
      <c r="D2113" t="s">
        <v>838</v>
      </c>
      <c r="E2113" s="30" t="s">
        <v>1198</v>
      </c>
      <c r="F2113" s="522" t="s">
        <v>178</v>
      </c>
      <c r="G2113" s="9">
        <f t="shared" ref="G2113:M2113" si="1147">+G2095/G2071</f>
        <v>0.10635667731788306</v>
      </c>
      <c r="H2113" s="9">
        <f t="shared" si="1147"/>
        <v>0.2159004616944038</v>
      </c>
      <c r="I2113" s="9">
        <f t="shared" si="1147"/>
        <v>0.39061759733725004</v>
      </c>
      <c r="J2113" s="9">
        <f t="shared" si="1147"/>
        <v>0.40447618465131496</v>
      </c>
      <c r="K2113" s="9">
        <f t="shared" si="1147"/>
        <v>0.41716736514624181</v>
      </c>
      <c r="L2113" s="9">
        <f t="shared" si="1147"/>
        <v>0.42935645950114254</v>
      </c>
      <c r="M2113" s="9">
        <f t="shared" si="1147"/>
        <v>0.44051544003496296</v>
      </c>
      <c r="N2113" s="93"/>
    </row>
    <row r="2114" spans="2:14" ht="15" hidden="1" outlineLevel="2" x14ac:dyDescent="0.25">
      <c r="B2114" t="str">
        <f>+C2114&amp;D2114&amp;E2114&amp;F2114</f>
        <v>AsiaResultsShare of CO2 Blue Hydrogen Comp%</v>
      </c>
      <c r="C2114" t="s">
        <v>198</v>
      </c>
      <c r="D2114" t="s">
        <v>838</v>
      </c>
      <c r="E2114" s="30" t="s">
        <v>1198</v>
      </c>
      <c r="F2114" s="522" t="s">
        <v>178</v>
      </c>
      <c r="G2114" s="9">
        <f t="shared" ref="G2114:M2114" si="1148">+G2096/G2072</f>
        <v>9.5059927811992295E-2</v>
      </c>
      <c r="H2114" s="9">
        <f t="shared" si="1148"/>
        <v>0.17545206610010844</v>
      </c>
      <c r="I2114" s="9">
        <f t="shared" si="1148"/>
        <v>0.27563462390938731</v>
      </c>
      <c r="J2114" s="9">
        <f t="shared" si="1148"/>
        <v>0.28430353887073573</v>
      </c>
      <c r="K2114" s="9">
        <f t="shared" si="1148"/>
        <v>0.292235083813006</v>
      </c>
      <c r="L2114" s="9">
        <f t="shared" si="1148"/>
        <v>0.29988952210707304</v>
      </c>
      <c r="M2114" s="9">
        <f t="shared" si="1148"/>
        <v>0.30697160139587587</v>
      </c>
    </row>
    <row r="2115" spans="2:14" ht="15" hidden="1" outlineLevel="2" x14ac:dyDescent="0.25">
      <c r="B2115" t="str">
        <f>+C2115&amp;D2115&amp;E2115&amp;F2115</f>
        <v>AmericasResultsShare of CO2 Blue Hydrogen Comp%</v>
      </c>
      <c r="C2115" t="s">
        <v>199</v>
      </c>
      <c r="D2115" t="s">
        <v>838</v>
      </c>
      <c r="E2115" s="30" t="s">
        <v>1198</v>
      </c>
      <c r="F2115" s="522" t="s">
        <v>178</v>
      </c>
      <c r="G2115" s="9">
        <f t="shared" ref="G2115:M2115" si="1149">+G2097/G2073</f>
        <v>0.25925248450505439</v>
      </c>
      <c r="H2115" s="9">
        <f t="shared" si="1149"/>
        <v>0.32213018801224713</v>
      </c>
      <c r="I2115" s="9">
        <f t="shared" si="1149"/>
        <v>0.33980980296573449</v>
      </c>
      <c r="J2115" s="9">
        <f t="shared" si="1149"/>
        <v>0.33335181921649604</v>
      </c>
      <c r="K2115" s="9">
        <f t="shared" si="1149"/>
        <v>0.34310327175614186</v>
      </c>
      <c r="L2115" s="9">
        <f t="shared" si="1149"/>
        <v>0.35211709225157262</v>
      </c>
      <c r="M2115" s="9">
        <f t="shared" si="1149"/>
        <v>0.36064003176974285</v>
      </c>
    </row>
    <row r="2116" spans="2:14" ht="15" hidden="1" outlineLevel="2" x14ac:dyDescent="0.25">
      <c r="B2116" t="str">
        <f>+C2116&amp;D2116&amp;E2116&amp;F2116</f>
        <v>AfricaResultsShare of CO2 Blue Hydrogen Comp%</v>
      </c>
      <c r="C2116" t="s">
        <v>200</v>
      </c>
      <c r="D2116" t="s">
        <v>838</v>
      </c>
      <c r="E2116" s="30" t="s">
        <v>1198</v>
      </c>
      <c r="F2116" s="522" t="s">
        <v>178</v>
      </c>
      <c r="G2116" s="9">
        <f t="shared" ref="G2116:M2116" si="1150">+G2098/G2074</f>
        <v>8.8445570181513958E-2</v>
      </c>
      <c r="H2116" s="9">
        <f t="shared" si="1150"/>
        <v>0.17998029216574249</v>
      </c>
      <c r="I2116" s="9">
        <f t="shared" si="1150"/>
        <v>0.23517792347835767</v>
      </c>
      <c r="J2116" s="9">
        <f t="shared" si="1150"/>
        <v>0.24196071804703925</v>
      </c>
      <c r="K2116" s="9">
        <f t="shared" si="1150"/>
        <v>0.24825332209152923</v>
      </c>
      <c r="L2116" s="9">
        <f t="shared" si="1150"/>
        <v>0.25433199147097435</v>
      </c>
      <c r="M2116" s="9">
        <f t="shared" si="1150"/>
        <v>0.2600710401094351</v>
      </c>
    </row>
    <row r="2117" spans="2:14" ht="15" hidden="1" outlineLevel="2" x14ac:dyDescent="0.25">
      <c r="E2117" s="30"/>
      <c r="F2117" s="522"/>
      <c r="G2117" s="9"/>
      <c r="H2117" s="9"/>
      <c r="I2117" s="9"/>
      <c r="J2117" s="9"/>
      <c r="K2117" s="9"/>
      <c r="L2117" s="9"/>
      <c r="M2117" s="9"/>
    </row>
    <row r="2118" spans="2:14" ht="15" hidden="1" outlineLevel="1" collapsed="1" x14ac:dyDescent="0.25">
      <c r="B2118" s="30" t="s">
        <v>1199</v>
      </c>
      <c r="C2118" s="30" t="str">
        <f>+B2118</f>
        <v>Blue Hydrogen</v>
      </c>
      <c r="E2118" s="30"/>
      <c r="F2118"/>
    </row>
    <row r="2119" spans="2:14" ht="15" hidden="1" outlineLevel="2" x14ac:dyDescent="0.25">
      <c r="B2119" t="str">
        <f>+C2119&amp;D2119&amp;E2119&amp;F2119</f>
        <v>EuropeResultsCost of Blue HydrogenUSD/ton</v>
      </c>
      <c r="C2119" t="s">
        <v>195</v>
      </c>
      <c r="D2119" t="s">
        <v>838</v>
      </c>
      <c r="E2119" s="30" t="s">
        <v>1200</v>
      </c>
      <c r="F2119" s="522" t="s">
        <v>205</v>
      </c>
      <c r="G2119" s="8">
        <f t="shared" ref="G2119:M2119" si="1151">G2183</f>
        <v>7600.8269834743396</v>
      </c>
      <c r="H2119" s="8">
        <f t="shared" si="1151"/>
        <v>3703.5</v>
      </c>
      <c r="I2119" s="8">
        <f t="shared" si="1151"/>
        <v>2813.8965810563122</v>
      </c>
      <c r="J2119" s="8">
        <f t="shared" si="1151"/>
        <v>2720.8595599609866</v>
      </c>
      <c r="K2119" s="8">
        <f t="shared" si="1151"/>
        <v>2635.6104574215815</v>
      </c>
      <c r="L2119" s="8">
        <f t="shared" si="1151"/>
        <v>2557.0714633243965</v>
      </c>
      <c r="M2119" s="8">
        <f t="shared" si="1151"/>
        <v>2484.3333333333335</v>
      </c>
      <c r="N2119" s="93"/>
    </row>
    <row r="2120" spans="2:14" ht="15" hidden="1" outlineLevel="2" x14ac:dyDescent="0.25">
      <c r="B2120" t="str">
        <f>+C2120&amp;D2120&amp;E2120&amp;F2120</f>
        <v>Middle EastResultsCost of Blue HydrogenUSD/ton</v>
      </c>
      <c r="C2120" t="s">
        <v>197</v>
      </c>
      <c r="D2120" t="s">
        <v>838</v>
      </c>
      <c r="E2120" s="30" t="s">
        <v>1200</v>
      </c>
      <c r="F2120" s="522" t="s">
        <v>205</v>
      </c>
      <c r="G2120" s="8">
        <f t="shared" ref="G2120:M2120" si="1152">G2208</f>
        <v>6345.7297890743394</v>
      </c>
      <c r="H2120" s="8">
        <f t="shared" si="1152"/>
        <v>3091</v>
      </c>
      <c r="I2120" s="8">
        <f t="shared" si="1152"/>
        <v>1686.5934477263124</v>
      </c>
      <c r="J2120" s="8">
        <f t="shared" si="1152"/>
        <v>1620.589123090987</v>
      </c>
      <c r="K2120" s="8">
        <f t="shared" si="1152"/>
        <v>1561.7244739215814</v>
      </c>
      <c r="L2120" s="8">
        <f t="shared" si="1152"/>
        <v>1508.9372347543963</v>
      </c>
      <c r="M2120" s="8">
        <f t="shared" si="1152"/>
        <v>1461.3333333333335</v>
      </c>
    </row>
    <row r="2121" spans="2:14" ht="15" hidden="1" outlineLevel="2" x14ac:dyDescent="0.25">
      <c r="B2121" t="str">
        <f>+C2121&amp;D2121&amp;E2121&amp;F2121</f>
        <v>AsiaResultsCost of Blue HydrogenUSD/ton</v>
      </c>
      <c r="C2121" t="s">
        <v>198</v>
      </c>
      <c r="D2121" t="s">
        <v>838</v>
      </c>
      <c r="E2121" s="30" t="s">
        <v>1200</v>
      </c>
      <c r="F2121" s="522" t="s">
        <v>205</v>
      </c>
      <c r="G2121" s="8">
        <f t="shared" ref="G2121:M2121" si="1153">G2233</f>
        <v>7062.9281858743398</v>
      </c>
      <c r="H2121" s="8">
        <f t="shared" si="1153"/>
        <v>3791</v>
      </c>
      <c r="I2121" s="8">
        <f t="shared" si="1153"/>
        <v>2386.8878184313126</v>
      </c>
      <c r="J2121" s="8">
        <f t="shared" si="1153"/>
        <v>2304.0904550859868</v>
      </c>
      <c r="K2121" s="8">
        <f t="shared" si="1153"/>
        <v>2228.8354636715817</v>
      </c>
      <c r="L2121" s="8">
        <f t="shared" si="1153"/>
        <v>2160.0509221993966</v>
      </c>
      <c r="M2121" s="8">
        <f t="shared" si="1153"/>
        <v>2096.8333333333335</v>
      </c>
    </row>
    <row r="2122" spans="2:14" ht="15" hidden="1" outlineLevel="2" x14ac:dyDescent="0.25">
      <c r="B2122" t="str">
        <f>+C2122&amp;D2122&amp;E2122&amp;F2122</f>
        <v>AmericasResultsCost of Blue HydrogenUSD/ton</v>
      </c>
      <c r="C2122" t="s">
        <v>199</v>
      </c>
      <c r="D2122" t="s">
        <v>838</v>
      </c>
      <c r="E2122" s="30" t="s">
        <v>1200</v>
      </c>
      <c r="F2122" s="522" t="s">
        <v>205</v>
      </c>
      <c r="G2122" s="8">
        <f t="shared" ref="G2122:M2122" si="1154">G2258</f>
        <v>2580.4382058743395</v>
      </c>
      <c r="H2122" s="8">
        <f t="shared" si="1154"/>
        <v>2058.5</v>
      </c>
      <c r="I2122" s="8">
        <f t="shared" si="1154"/>
        <v>1942.7987053013123</v>
      </c>
      <c r="J2122" s="8">
        <f t="shared" si="1154"/>
        <v>1970.675171185987</v>
      </c>
      <c r="K2122" s="8">
        <f t="shared" si="1154"/>
        <v>1903.4154686715815</v>
      </c>
      <c r="L2122" s="8">
        <f t="shared" si="1154"/>
        <v>1842.4344892993963</v>
      </c>
      <c r="M2122" s="8">
        <f t="shared" si="1154"/>
        <v>1786.8333333333335</v>
      </c>
    </row>
    <row r="2123" spans="2:14" ht="15" hidden="1" outlineLevel="2" x14ac:dyDescent="0.25">
      <c r="B2123" t="str">
        <f>+C2123&amp;D2123&amp;E2123&amp;F2123</f>
        <v>AfricaResultsCost of Blue HydrogenUSD/ton</v>
      </c>
      <c r="C2123" t="s">
        <v>200</v>
      </c>
      <c r="D2123" t="s">
        <v>838</v>
      </c>
      <c r="E2123" s="30" t="s">
        <v>1200</v>
      </c>
      <c r="F2123" s="522" t="s">
        <v>205</v>
      </c>
      <c r="G2123" s="8">
        <f t="shared" ref="G2123:M2123" si="1155">G2283</f>
        <v>7600.8269834743396</v>
      </c>
      <c r="H2123" s="8">
        <f t="shared" si="1155"/>
        <v>3703.5</v>
      </c>
      <c r="I2123" s="8">
        <f t="shared" si="1155"/>
        <v>2813.8965810563122</v>
      </c>
      <c r="J2123" s="8">
        <f t="shared" si="1155"/>
        <v>2720.8595599609866</v>
      </c>
      <c r="K2123" s="8">
        <f t="shared" si="1155"/>
        <v>2635.6104574215815</v>
      </c>
      <c r="L2123" s="8">
        <f t="shared" si="1155"/>
        <v>2557.0714633243965</v>
      </c>
      <c r="M2123" s="8">
        <f t="shared" si="1155"/>
        <v>2484.3333333333335</v>
      </c>
    </row>
    <row r="2124" spans="2:14" ht="15" hidden="1" outlineLevel="2" x14ac:dyDescent="0.25">
      <c r="E2124" s="30"/>
      <c r="F2124"/>
    </row>
    <row r="2125" spans="2:14" ht="15" hidden="1" outlineLevel="2" x14ac:dyDescent="0.25">
      <c r="B2125" t="str">
        <f>+C2125&amp;D2125&amp;E2125&amp;F2125</f>
        <v>EuropeResultsTotal Capex Blue HydrogenUSD/ton</v>
      </c>
      <c r="C2125" t="s">
        <v>195</v>
      </c>
      <c r="D2125" t="s">
        <v>838</v>
      </c>
      <c r="E2125" s="30" t="s">
        <v>1201</v>
      </c>
      <c r="F2125" s="522" t="s">
        <v>205</v>
      </c>
      <c r="G2125" s="8">
        <f>+G2184</f>
        <v>274.84138167421179</v>
      </c>
      <c r="H2125" s="8">
        <f t="shared" ref="H2125:M2125" si="1156">+H2184</f>
        <v>265.00000000000006</v>
      </c>
      <c r="I2125" s="8">
        <f t="shared" si="1156"/>
        <v>255.51101356069626</v>
      </c>
      <c r="J2125" s="8">
        <f t="shared" si="1156"/>
        <v>246.36180396533697</v>
      </c>
      <c r="K2125" s="8">
        <f t="shared" si="1156"/>
        <v>237.54020465594266</v>
      </c>
      <c r="L2125" s="8">
        <f t="shared" si="1156"/>
        <v>229.03448472850988</v>
      </c>
      <c r="M2125" s="8">
        <f t="shared" si="1156"/>
        <v>220.83333333333337</v>
      </c>
      <c r="N2125" s="93"/>
    </row>
    <row r="2126" spans="2:14" ht="15" hidden="1" outlineLevel="2" x14ac:dyDescent="0.25">
      <c r="B2126" t="str">
        <f>+C2126&amp;D2126&amp;E2126&amp;F2126</f>
        <v>Middle EastResultsTotal Capex Blue HydrogenUSD/ton</v>
      </c>
      <c r="C2126" t="s">
        <v>197</v>
      </c>
      <c r="D2126" t="s">
        <v>838</v>
      </c>
      <c r="E2126" s="30" t="s">
        <v>1201</v>
      </c>
      <c r="F2126" s="522" t="s">
        <v>205</v>
      </c>
      <c r="G2126" s="8">
        <f t="shared" ref="G2126:M2126" si="1157">+G2209</f>
        <v>274.84138167421179</v>
      </c>
      <c r="H2126" s="8">
        <f t="shared" si="1157"/>
        <v>265.00000000000006</v>
      </c>
      <c r="I2126" s="8">
        <f t="shared" si="1157"/>
        <v>255.51101356069626</v>
      </c>
      <c r="J2126" s="8">
        <f t="shared" si="1157"/>
        <v>246.36180396533697</v>
      </c>
      <c r="K2126" s="8">
        <f t="shared" si="1157"/>
        <v>237.54020465594266</v>
      </c>
      <c r="L2126" s="8">
        <f t="shared" si="1157"/>
        <v>229.03448472850988</v>
      </c>
      <c r="M2126" s="8">
        <f t="shared" si="1157"/>
        <v>220.83333333333337</v>
      </c>
    </row>
    <row r="2127" spans="2:14" ht="15" hidden="1" outlineLevel="2" x14ac:dyDescent="0.25">
      <c r="B2127" t="str">
        <f>+C2127&amp;D2127&amp;E2127&amp;F2127</f>
        <v>AsiaResultsTotal Capex Blue HydrogenUSD/ton</v>
      </c>
      <c r="C2127" t="s">
        <v>198</v>
      </c>
      <c r="D2127" t="s">
        <v>838</v>
      </c>
      <c r="E2127" s="30" t="s">
        <v>1201</v>
      </c>
      <c r="F2127" s="522" t="s">
        <v>205</v>
      </c>
      <c r="G2127" s="8">
        <f t="shared" ref="G2127:M2127" si="1158">+G2234</f>
        <v>274.84138167421179</v>
      </c>
      <c r="H2127" s="8">
        <f t="shared" si="1158"/>
        <v>265.00000000000006</v>
      </c>
      <c r="I2127" s="8">
        <f t="shared" si="1158"/>
        <v>255.51101356069626</v>
      </c>
      <c r="J2127" s="8">
        <f t="shared" si="1158"/>
        <v>246.36180396533697</v>
      </c>
      <c r="K2127" s="8">
        <f t="shared" si="1158"/>
        <v>237.54020465594266</v>
      </c>
      <c r="L2127" s="8">
        <f t="shared" si="1158"/>
        <v>229.03448472850988</v>
      </c>
      <c r="M2127" s="8">
        <f t="shared" si="1158"/>
        <v>220.83333333333337</v>
      </c>
    </row>
    <row r="2128" spans="2:14" ht="15" hidden="1" outlineLevel="2" x14ac:dyDescent="0.25">
      <c r="B2128" t="str">
        <f>+C2128&amp;D2128&amp;E2128&amp;F2128</f>
        <v>AmericasResultsTotal Capex Blue HydrogenUSD/ton</v>
      </c>
      <c r="C2128" t="s">
        <v>199</v>
      </c>
      <c r="D2128" t="s">
        <v>838</v>
      </c>
      <c r="E2128" s="30" t="s">
        <v>1201</v>
      </c>
      <c r="F2128" s="522" t="s">
        <v>205</v>
      </c>
      <c r="G2128" s="8">
        <f t="shared" ref="G2128:M2128" si="1159">+G2259</f>
        <v>274.84138167421179</v>
      </c>
      <c r="H2128" s="8">
        <f t="shared" si="1159"/>
        <v>265.00000000000006</v>
      </c>
      <c r="I2128" s="8">
        <f t="shared" si="1159"/>
        <v>255.51101356069626</v>
      </c>
      <c r="J2128" s="8">
        <f t="shared" si="1159"/>
        <v>246.36180396533697</v>
      </c>
      <c r="K2128" s="8">
        <f t="shared" si="1159"/>
        <v>237.54020465594266</v>
      </c>
      <c r="L2128" s="8">
        <f t="shared" si="1159"/>
        <v>229.03448472850988</v>
      </c>
      <c r="M2128" s="8">
        <f t="shared" si="1159"/>
        <v>220.83333333333337</v>
      </c>
    </row>
    <row r="2129" spans="2:14" ht="15" hidden="1" outlineLevel="2" x14ac:dyDescent="0.25">
      <c r="B2129" t="str">
        <f>+C2129&amp;D2129&amp;E2129&amp;F2129</f>
        <v>AfricaResultsTotal Capex Blue HydrogenUSD/ton</v>
      </c>
      <c r="C2129" t="s">
        <v>200</v>
      </c>
      <c r="D2129" t="s">
        <v>838</v>
      </c>
      <c r="E2129" s="30" t="s">
        <v>1201</v>
      </c>
      <c r="F2129" s="522" t="s">
        <v>205</v>
      </c>
      <c r="G2129" s="8">
        <f t="shared" ref="G2129:M2129" si="1160">+G2284</f>
        <v>274.84138167421179</v>
      </c>
      <c r="H2129" s="8">
        <f t="shared" si="1160"/>
        <v>265.00000000000006</v>
      </c>
      <c r="I2129" s="8">
        <f t="shared" si="1160"/>
        <v>255.51101356069626</v>
      </c>
      <c r="J2129" s="8">
        <f t="shared" si="1160"/>
        <v>246.36180396533697</v>
      </c>
      <c r="K2129" s="8">
        <f t="shared" si="1160"/>
        <v>237.54020465594266</v>
      </c>
      <c r="L2129" s="8">
        <f t="shared" si="1160"/>
        <v>229.03448472850988</v>
      </c>
      <c r="M2129" s="8">
        <f t="shared" si="1160"/>
        <v>220.83333333333337</v>
      </c>
    </row>
    <row r="2130" spans="2:14" ht="15" hidden="1" outlineLevel="2" x14ac:dyDescent="0.25">
      <c r="E2130" s="30"/>
      <c r="F2130"/>
    </row>
    <row r="2131" spans="2:14" ht="15" hidden="1" outlineLevel="2" x14ac:dyDescent="0.25">
      <c r="B2131" t="str">
        <f>+C2131&amp;D2131&amp;E2131&amp;F2131</f>
        <v>EuropeResultsTotal Opex Blue HydrogenUSD/ton</v>
      </c>
      <c r="C2131" t="s">
        <v>195</v>
      </c>
      <c r="D2131" t="s">
        <v>838</v>
      </c>
      <c r="E2131" s="30" t="s">
        <v>1202</v>
      </c>
      <c r="F2131" s="522" t="s">
        <v>205</v>
      </c>
      <c r="G2131" s="8">
        <f>+G2185</f>
        <v>357.40736945012748</v>
      </c>
      <c r="H2131" s="8">
        <f t="shared" ref="H2131:M2131" si="1161">+H2185</f>
        <v>300</v>
      </c>
      <c r="I2131" s="8">
        <f t="shared" si="1161"/>
        <v>251.81349824561624</v>
      </c>
      <c r="J2131" s="8">
        <f t="shared" si="1161"/>
        <v>211.36679299564994</v>
      </c>
      <c r="K2131" s="8">
        <f t="shared" si="1161"/>
        <v>177.41670519063879</v>
      </c>
      <c r="L2131" s="8">
        <f t="shared" si="1161"/>
        <v>148.91973727088646</v>
      </c>
      <c r="M2131" s="8">
        <f t="shared" si="1161"/>
        <v>125</v>
      </c>
      <c r="N2131" s="93"/>
    </row>
    <row r="2132" spans="2:14" ht="15" hidden="1" outlineLevel="2" x14ac:dyDescent="0.25">
      <c r="B2132" t="str">
        <f>+C2132&amp;D2132&amp;E2132&amp;F2132</f>
        <v>Middle EastResultsTotal Opex Blue HydrogenUSD/ton</v>
      </c>
      <c r="C2132" t="s">
        <v>197</v>
      </c>
      <c r="D2132" t="s">
        <v>838</v>
      </c>
      <c r="E2132" s="30" t="s">
        <v>1202</v>
      </c>
      <c r="F2132" s="522" t="s">
        <v>205</v>
      </c>
      <c r="G2132" s="8">
        <f>+G2210</f>
        <v>357.40736945012748</v>
      </c>
      <c r="H2132" s="8">
        <f t="shared" ref="H2132:M2132" si="1162">+H2210</f>
        <v>300</v>
      </c>
      <c r="I2132" s="8">
        <f t="shared" si="1162"/>
        <v>251.81349824561624</v>
      </c>
      <c r="J2132" s="8">
        <f t="shared" si="1162"/>
        <v>211.36679299564994</v>
      </c>
      <c r="K2132" s="8">
        <f t="shared" si="1162"/>
        <v>177.41670519063879</v>
      </c>
      <c r="L2132" s="8">
        <f t="shared" si="1162"/>
        <v>148.91973727088646</v>
      </c>
      <c r="M2132" s="8">
        <f t="shared" si="1162"/>
        <v>125</v>
      </c>
    </row>
    <row r="2133" spans="2:14" ht="15" hidden="1" outlineLevel="2" x14ac:dyDescent="0.25">
      <c r="B2133" t="str">
        <f>+C2133&amp;D2133&amp;E2133&amp;F2133</f>
        <v>AsiaResultsTotal Opex Blue HydrogenUSD/ton</v>
      </c>
      <c r="C2133" t="s">
        <v>198</v>
      </c>
      <c r="D2133" t="s">
        <v>838</v>
      </c>
      <c r="E2133" s="30" t="s">
        <v>1202</v>
      </c>
      <c r="F2133" s="522" t="s">
        <v>205</v>
      </c>
      <c r="G2133" s="8">
        <f>+G2235</f>
        <v>357.40736945012748</v>
      </c>
      <c r="H2133" s="8">
        <f t="shared" ref="H2133:M2133" si="1163">+H2235</f>
        <v>300</v>
      </c>
      <c r="I2133" s="8">
        <f t="shared" si="1163"/>
        <v>251.81349824561624</v>
      </c>
      <c r="J2133" s="8">
        <f t="shared" si="1163"/>
        <v>211.36679299564994</v>
      </c>
      <c r="K2133" s="8">
        <f t="shared" si="1163"/>
        <v>177.41670519063879</v>
      </c>
      <c r="L2133" s="8">
        <f t="shared" si="1163"/>
        <v>148.91973727088646</v>
      </c>
      <c r="M2133" s="8">
        <f t="shared" si="1163"/>
        <v>125</v>
      </c>
    </row>
    <row r="2134" spans="2:14" ht="15" hidden="1" outlineLevel="2" x14ac:dyDescent="0.25">
      <c r="B2134" t="str">
        <f>+C2134&amp;D2134&amp;E2134&amp;F2134</f>
        <v>AmericasResultsTotal Opex Blue HydrogenUSD/ton</v>
      </c>
      <c r="C2134" t="s">
        <v>199</v>
      </c>
      <c r="D2134" t="s">
        <v>838</v>
      </c>
      <c r="E2134" s="30" t="s">
        <v>1202</v>
      </c>
      <c r="F2134" s="522" t="s">
        <v>205</v>
      </c>
      <c r="G2134" s="8">
        <f>+G2260</f>
        <v>357.40736945012748</v>
      </c>
      <c r="H2134" s="8">
        <f t="shared" ref="H2134:M2134" si="1164">+H2260</f>
        <v>300</v>
      </c>
      <c r="I2134" s="8">
        <f t="shared" si="1164"/>
        <v>251.81349824561624</v>
      </c>
      <c r="J2134" s="8">
        <f t="shared" si="1164"/>
        <v>211.36679299564994</v>
      </c>
      <c r="K2134" s="8">
        <f t="shared" si="1164"/>
        <v>177.41670519063879</v>
      </c>
      <c r="L2134" s="8">
        <f t="shared" si="1164"/>
        <v>148.91973727088646</v>
      </c>
      <c r="M2134" s="8">
        <f t="shared" si="1164"/>
        <v>125</v>
      </c>
    </row>
    <row r="2135" spans="2:14" ht="15" hidden="1" outlineLevel="2" x14ac:dyDescent="0.25">
      <c r="B2135" t="str">
        <f>+C2135&amp;D2135&amp;E2135&amp;F2135</f>
        <v>AfricaResultsTotal Opex Blue HydrogenUSD/ton</v>
      </c>
      <c r="C2135" t="s">
        <v>200</v>
      </c>
      <c r="D2135" t="s">
        <v>838</v>
      </c>
      <c r="E2135" s="30" t="s">
        <v>1202</v>
      </c>
      <c r="F2135" s="522" t="s">
        <v>205</v>
      </c>
      <c r="G2135" s="8">
        <f>+G2285</f>
        <v>357.40736945012748</v>
      </c>
      <c r="H2135" s="8">
        <f t="shared" ref="H2135:M2135" si="1165">+H2285</f>
        <v>300</v>
      </c>
      <c r="I2135" s="8">
        <f t="shared" si="1165"/>
        <v>251.81349824561624</v>
      </c>
      <c r="J2135" s="8">
        <f t="shared" si="1165"/>
        <v>211.36679299564994</v>
      </c>
      <c r="K2135" s="8">
        <f t="shared" si="1165"/>
        <v>177.41670519063879</v>
      </c>
      <c r="L2135" s="8">
        <f t="shared" si="1165"/>
        <v>148.91973727088646</v>
      </c>
      <c r="M2135" s="8">
        <f t="shared" si="1165"/>
        <v>125</v>
      </c>
    </row>
    <row r="2136" spans="2:14" ht="15" hidden="1" outlineLevel="2" x14ac:dyDescent="0.25">
      <c r="E2136" s="30"/>
      <c r="F2136"/>
      <c r="G2136" s="8"/>
    </row>
    <row r="2137" spans="2:14" ht="15" hidden="1" outlineLevel="2" x14ac:dyDescent="0.25">
      <c r="B2137" t="str">
        <f>+C2137&amp;D2137&amp;E2137&amp;F2137</f>
        <v>EuropeResultsTotal Raw Material Blue HydrogenUSD/ton</v>
      </c>
      <c r="C2137" t="s">
        <v>195</v>
      </c>
      <c r="D2137" t="s">
        <v>838</v>
      </c>
      <c r="E2137" s="30" t="s">
        <v>1203</v>
      </c>
      <c r="F2137" s="522" t="s">
        <v>205</v>
      </c>
      <c r="G2137" s="8">
        <f>+G2186</f>
        <v>6288.9859720000004</v>
      </c>
      <c r="H2137" s="8">
        <f t="shared" ref="H2137:M2137" si="1166">+H2186</f>
        <v>2463.5</v>
      </c>
      <c r="I2137" s="8">
        <f t="shared" si="1166"/>
        <v>1636.133297975</v>
      </c>
      <c r="J2137" s="8">
        <f t="shared" si="1166"/>
        <v>1597.222598525</v>
      </c>
      <c r="K2137" s="8">
        <f t="shared" si="1166"/>
        <v>1559.24497625</v>
      </c>
      <c r="L2137" s="8">
        <f t="shared" si="1166"/>
        <v>1522.178056275</v>
      </c>
      <c r="M2137" s="8">
        <f t="shared" si="1166"/>
        <v>1486</v>
      </c>
      <c r="N2137" s="93"/>
    </row>
    <row r="2138" spans="2:14" ht="15" hidden="1" outlineLevel="2" x14ac:dyDescent="0.25">
      <c r="B2138" t="str">
        <f>+C2138&amp;D2138&amp;E2138&amp;F2138</f>
        <v>Middle EastResultsTotal Raw Material Blue HydrogenUSD/ton</v>
      </c>
      <c r="C2138" t="s">
        <v>197</v>
      </c>
      <c r="D2138" t="s">
        <v>838</v>
      </c>
      <c r="E2138" s="30" t="s">
        <v>1203</v>
      </c>
      <c r="F2138" s="522" t="s">
        <v>205</v>
      </c>
      <c r="G2138" s="8">
        <f>+G2211</f>
        <v>5033.8887776000001</v>
      </c>
      <c r="H2138" s="8">
        <f t="shared" ref="H2138:M2138" si="1167">+H2211</f>
        <v>1851</v>
      </c>
      <c r="I2138" s="8">
        <f t="shared" si="1167"/>
        <v>508.83016464499997</v>
      </c>
      <c r="J2138" s="8">
        <f t="shared" si="1167"/>
        <v>496.952161655</v>
      </c>
      <c r="K2138" s="8">
        <f t="shared" si="1167"/>
        <v>485.35899274999997</v>
      </c>
      <c r="L2138" s="8">
        <f t="shared" si="1167"/>
        <v>474.04382770500001</v>
      </c>
      <c r="M2138" s="8">
        <f t="shared" si="1167"/>
        <v>463</v>
      </c>
    </row>
    <row r="2139" spans="2:14" ht="15" hidden="1" outlineLevel="2" x14ac:dyDescent="0.25">
      <c r="B2139" t="str">
        <f>+C2139&amp;D2139&amp;E2139&amp;F2139</f>
        <v>AsiaResultsTotal Raw Material Blue HydrogenUSD/ton</v>
      </c>
      <c r="C2139" t="s">
        <v>198</v>
      </c>
      <c r="D2139" t="s">
        <v>838</v>
      </c>
      <c r="E2139" s="30" t="s">
        <v>1203</v>
      </c>
      <c r="F2139" s="522" t="s">
        <v>205</v>
      </c>
      <c r="G2139" s="8">
        <f>+G2236</f>
        <v>5751.0871744000005</v>
      </c>
      <c r="H2139" s="8">
        <f t="shared" ref="H2139:M2139" si="1168">+H2236</f>
        <v>2551</v>
      </c>
      <c r="I2139" s="8">
        <f t="shared" si="1168"/>
        <v>1209.1245353499999</v>
      </c>
      <c r="J2139" s="8">
        <f t="shared" si="1168"/>
        <v>1180.4534936500002</v>
      </c>
      <c r="K2139" s="8">
        <f t="shared" si="1168"/>
        <v>1152.4699825</v>
      </c>
      <c r="L2139" s="8">
        <f t="shared" si="1168"/>
        <v>1125.1575151500001</v>
      </c>
      <c r="M2139" s="8">
        <f t="shared" si="1168"/>
        <v>1098.5</v>
      </c>
    </row>
    <row r="2140" spans="2:14" ht="15" hidden="1" outlineLevel="2" x14ac:dyDescent="0.25">
      <c r="B2140" t="str">
        <f>+C2140&amp;D2140&amp;E2140&amp;F2140</f>
        <v>AmericasResultsTotal Raw Material Blue HydrogenUSD/ton</v>
      </c>
      <c r="C2140" t="s">
        <v>199</v>
      </c>
      <c r="D2140" t="s">
        <v>838</v>
      </c>
      <c r="E2140" s="30" t="s">
        <v>1203</v>
      </c>
      <c r="F2140" s="522" t="s">
        <v>205</v>
      </c>
      <c r="G2140" s="8">
        <f>+G2261</f>
        <v>1268.5971944</v>
      </c>
      <c r="H2140" s="8">
        <f t="shared" ref="H2140:M2140" si="1169">+H2261</f>
        <v>818.5</v>
      </c>
      <c r="I2140" s="8">
        <f t="shared" si="1169"/>
        <v>765.03542221999999</v>
      </c>
      <c r="J2140" s="8">
        <f t="shared" si="1169"/>
        <v>847.03820975000008</v>
      </c>
      <c r="K2140" s="8">
        <f t="shared" si="1169"/>
        <v>827.04998749999993</v>
      </c>
      <c r="L2140" s="8">
        <f t="shared" si="1169"/>
        <v>807.54108225000004</v>
      </c>
      <c r="M2140" s="8">
        <f t="shared" si="1169"/>
        <v>788.5</v>
      </c>
    </row>
    <row r="2141" spans="2:14" ht="15" hidden="1" outlineLevel="2" x14ac:dyDescent="0.25">
      <c r="B2141" t="str">
        <f>+C2141&amp;D2141&amp;E2141&amp;F2141</f>
        <v>AfricaResultsTotal Raw Material Blue HydrogenUSD/ton</v>
      </c>
      <c r="C2141" t="s">
        <v>200</v>
      </c>
      <c r="D2141" t="s">
        <v>838</v>
      </c>
      <c r="E2141" s="30" t="s">
        <v>1203</v>
      </c>
      <c r="F2141" s="522" t="s">
        <v>205</v>
      </c>
      <c r="G2141" s="8">
        <f>+G2286</f>
        <v>6288.9859720000004</v>
      </c>
      <c r="H2141" s="8">
        <f t="shared" ref="H2141:M2141" si="1170">+H2286</f>
        <v>2463.5</v>
      </c>
      <c r="I2141" s="8">
        <f t="shared" si="1170"/>
        <v>1636.133297975</v>
      </c>
      <c r="J2141" s="8">
        <f t="shared" si="1170"/>
        <v>1597.222598525</v>
      </c>
      <c r="K2141" s="8">
        <f t="shared" si="1170"/>
        <v>1559.24497625</v>
      </c>
      <c r="L2141" s="8">
        <f t="shared" si="1170"/>
        <v>1522.178056275</v>
      </c>
      <c r="M2141" s="8">
        <f t="shared" si="1170"/>
        <v>1486</v>
      </c>
    </row>
    <row r="2142" spans="2:14" ht="15" hidden="1" outlineLevel="2" x14ac:dyDescent="0.25">
      <c r="E2142" s="30"/>
      <c r="F2142"/>
    </row>
    <row r="2143" spans="2:14" ht="15" hidden="1" outlineLevel="2" x14ac:dyDescent="0.25">
      <c r="B2143" t="str">
        <f>+C2143&amp;D2143&amp;E2143&amp;F2143</f>
        <v>EuropeResultsTotal CO2 Blue HydrogenUSD/ton</v>
      </c>
      <c r="C2143" t="s">
        <v>195</v>
      </c>
      <c r="D2143" t="s">
        <v>838</v>
      </c>
      <c r="E2143" s="30" t="s">
        <v>1204</v>
      </c>
      <c r="F2143" s="522" t="s">
        <v>205</v>
      </c>
      <c r="G2143" s="8">
        <f>+G2187</f>
        <v>679.59226035000006</v>
      </c>
      <c r="H2143" s="8">
        <f t="shared" ref="H2143:M2143" si="1171">+H2187</f>
        <v>675</v>
      </c>
      <c r="I2143" s="8">
        <f t="shared" si="1171"/>
        <v>670.43877127499991</v>
      </c>
      <c r="J2143" s="8">
        <f t="shared" si="1171"/>
        <v>665.90836447499998</v>
      </c>
      <c r="K2143" s="8">
        <f t="shared" si="1171"/>
        <v>661.40857132500003</v>
      </c>
      <c r="L2143" s="8">
        <f t="shared" si="1171"/>
        <v>656.93918504999999</v>
      </c>
      <c r="M2143" s="8">
        <f t="shared" si="1171"/>
        <v>652.5</v>
      </c>
      <c r="N2143" s="93"/>
    </row>
    <row r="2144" spans="2:14" ht="15" hidden="1" outlineLevel="2" x14ac:dyDescent="0.25">
      <c r="B2144" t="str">
        <f>+C2144&amp;D2144&amp;E2144&amp;F2144</f>
        <v>Middle EastResultsTotal CO2 Blue HydrogenUSD/ton</v>
      </c>
      <c r="C2144" t="s">
        <v>197</v>
      </c>
      <c r="D2144" t="s">
        <v>838</v>
      </c>
      <c r="E2144" s="30" t="s">
        <v>1204</v>
      </c>
      <c r="F2144" s="522" t="s">
        <v>205</v>
      </c>
      <c r="G2144" s="8">
        <f>+G2212</f>
        <v>679.59226035000006</v>
      </c>
      <c r="H2144" s="8">
        <f t="shared" ref="H2144:M2144" si="1172">+H2212</f>
        <v>675</v>
      </c>
      <c r="I2144" s="8">
        <f t="shared" si="1172"/>
        <v>670.43877127499991</v>
      </c>
      <c r="J2144" s="8">
        <f t="shared" si="1172"/>
        <v>665.90836447499998</v>
      </c>
      <c r="K2144" s="8">
        <f t="shared" si="1172"/>
        <v>661.40857132500003</v>
      </c>
      <c r="L2144" s="8">
        <f t="shared" si="1172"/>
        <v>656.93918504999999</v>
      </c>
      <c r="M2144" s="8">
        <f t="shared" si="1172"/>
        <v>652.5</v>
      </c>
    </row>
    <row r="2145" spans="2:14" ht="15" hidden="1" outlineLevel="2" x14ac:dyDescent="0.25">
      <c r="B2145" t="str">
        <f>+C2145&amp;D2145&amp;E2145&amp;F2145</f>
        <v>AsiaResultsTotal CO2 Blue HydrogenUSD/ton</v>
      </c>
      <c r="C2145" t="s">
        <v>198</v>
      </c>
      <c r="D2145" t="s">
        <v>838</v>
      </c>
      <c r="E2145" s="30" t="s">
        <v>1204</v>
      </c>
      <c r="F2145" s="522" t="s">
        <v>205</v>
      </c>
      <c r="G2145" s="8">
        <f>+G2237</f>
        <v>679.59226035000006</v>
      </c>
      <c r="H2145" s="8">
        <f t="shared" ref="H2145:M2145" si="1173">+H2237</f>
        <v>675</v>
      </c>
      <c r="I2145" s="8">
        <f t="shared" si="1173"/>
        <v>670.43877127499991</v>
      </c>
      <c r="J2145" s="8">
        <f t="shared" si="1173"/>
        <v>665.90836447499998</v>
      </c>
      <c r="K2145" s="8">
        <f t="shared" si="1173"/>
        <v>661.40857132500003</v>
      </c>
      <c r="L2145" s="8">
        <f t="shared" si="1173"/>
        <v>656.93918504999999</v>
      </c>
      <c r="M2145" s="8">
        <f t="shared" si="1173"/>
        <v>652.5</v>
      </c>
    </row>
    <row r="2146" spans="2:14" ht="15" hidden="1" outlineLevel="2" x14ac:dyDescent="0.25">
      <c r="B2146" t="str">
        <f>+C2146&amp;D2146&amp;E2146&amp;F2146</f>
        <v>AmericasResultsTotal CO2 Blue HydrogenUSD/ton</v>
      </c>
      <c r="C2146" t="s">
        <v>199</v>
      </c>
      <c r="D2146" t="s">
        <v>838</v>
      </c>
      <c r="E2146" s="30" t="s">
        <v>1204</v>
      </c>
      <c r="F2146" s="522" t="s">
        <v>205</v>
      </c>
      <c r="G2146" s="8">
        <f>+G2262</f>
        <v>679.59226035000006</v>
      </c>
      <c r="H2146" s="8">
        <f t="shared" ref="H2146:M2146" si="1174">+H2262</f>
        <v>675</v>
      </c>
      <c r="I2146" s="8">
        <f t="shared" si="1174"/>
        <v>670.43877127499991</v>
      </c>
      <c r="J2146" s="8">
        <f t="shared" si="1174"/>
        <v>665.90836447499998</v>
      </c>
      <c r="K2146" s="8">
        <f t="shared" si="1174"/>
        <v>661.40857132500003</v>
      </c>
      <c r="L2146" s="8">
        <f t="shared" si="1174"/>
        <v>656.93918504999999</v>
      </c>
      <c r="M2146" s="8">
        <f t="shared" si="1174"/>
        <v>652.5</v>
      </c>
    </row>
    <row r="2147" spans="2:14" ht="15" hidden="1" outlineLevel="2" x14ac:dyDescent="0.25">
      <c r="B2147" t="str">
        <f>+C2147&amp;D2147&amp;E2147&amp;F2147</f>
        <v>AfricaResultsTotal CO2 Blue HydrogenUSD/ton</v>
      </c>
      <c r="C2147" t="s">
        <v>200</v>
      </c>
      <c r="D2147" t="s">
        <v>838</v>
      </c>
      <c r="E2147" s="30" t="s">
        <v>1204</v>
      </c>
      <c r="F2147" s="522" t="s">
        <v>205</v>
      </c>
      <c r="G2147" s="8">
        <f>+G2287</f>
        <v>679.59226035000006</v>
      </c>
      <c r="H2147" s="8">
        <f t="shared" ref="H2147:M2147" si="1175">+H2287</f>
        <v>675</v>
      </c>
      <c r="I2147" s="8">
        <f t="shared" si="1175"/>
        <v>670.43877127499991</v>
      </c>
      <c r="J2147" s="8">
        <f t="shared" si="1175"/>
        <v>665.90836447499998</v>
      </c>
      <c r="K2147" s="8">
        <f t="shared" si="1175"/>
        <v>661.40857132500003</v>
      </c>
      <c r="L2147" s="8">
        <f t="shared" si="1175"/>
        <v>656.93918504999999</v>
      </c>
      <c r="M2147" s="8">
        <f t="shared" si="1175"/>
        <v>652.5</v>
      </c>
    </row>
    <row r="2148" spans="2:14" ht="15" hidden="1" outlineLevel="1" x14ac:dyDescent="0.25">
      <c r="E2148" s="30"/>
      <c r="F2148"/>
    </row>
    <row r="2149" spans="2:14" ht="15" hidden="1" outlineLevel="1" collapsed="1" x14ac:dyDescent="0.25">
      <c r="B2149" s="405" t="s">
        <v>870</v>
      </c>
      <c r="C2149" s="30" t="str">
        <f>+B2149</f>
        <v>Liquifaction</v>
      </c>
    </row>
    <row r="2150" spans="2:14" ht="15" hidden="1" outlineLevel="2" x14ac:dyDescent="0.25">
      <c r="B2150" s="48" t="str">
        <f>+C2150&amp;D2150&amp;E2150&amp;F2150</f>
        <v>EuropeResultsH2 Liquifaction costUSD/ton</v>
      </c>
      <c r="C2150" t="s">
        <v>195</v>
      </c>
      <c r="D2150" t="s">
        <v>838</v>
      </c>
      <c r="E2150" s="30" t="s">
        <v>871</v>
      </c>
      <c r="F2150" s="450" t="s">
        <v>205</v>
      </c>
      <c r="G2150" s="469">
        <f t="shared" ref="G2150:M2154" si="1176">INDEX(G$143:G$1788,MATCH($B2150,$B$143:$B$1788,0))</f>
        <v>1645.9651825147982</v>
      </c>
      <c r="H2150" s="469">
        <f t="shared" si="1176"/>
        <v>1541.7816342860801</v>
      </c>
      <c r="I2150" s="469">
        <f t="shared" si="1176"/>
        <v>1457.6006977418876</v>
      </c>
      <c r="J2150" s="469">
        <f t="shared" si="1176"/>
        <v>1422.6235360249291</v>
      </c>
      <c r="K2150" s="469">
        <f t="shared" si="1176"/>
        <v>1401.7403926811182</v>
      </c>
      <c r="L2150" s="469">
        <f t="shared" si="1176"/>
        <v>1379.39919953355</v>
      </c>
      <c r="M2150" s="469">
        <f t="shared" si="1176"/>
        <v>1363.0986049123912</v>
      </c>
      <c r="N2150" s="93"/>
    </row>
    <row r="2151" spans="2:14" ht="15" hidden="1" outlineLevel="2" x14ac:dyDescent="0.25">
      <c r="B2151" s="48" t="str">
        <f>+C2151&amp;D2151&amp;E2151&amp;F2151</f>
        <v>Middle EastResultsH2 Liquifaction costUSD/ton</v>
      </c>
      <c r="C2151" t="s">
        <v>197</v>
      </c>
      <c r="D2151" t="s">
        <v>838</v>
      </c>
      <c r="E2151" s="30" t="s">
        <v>871</v>
      </c>
      <c r="F2151" s="450" t="s">
        <v>205</v>
      </c>
      <c r="G2151" s="469">
        <f t="shared" si="1176"/>
        <v>1519.2115799135433</v>
      </c>
      <c r="H2151" s="469">
        <f t="shared" si="1176"/>
        <v>1437.5308912770408</v>
      </c>
      <c r="I2151" s="469">
        <f t="shared" si="1176"/>
        <v>1383.4507912512213</v>
      </c>
      <c r="J2151" s="469">
        <f t="shared" si="1176"/>
        <v>1345.3180887632875</v>
      </c>
      <c r="K2151" s="469">
        <f t="shared" si="1176"/>
        <v>1326.1987527021599</v>
      </c>
      <c r="L2151" s="469">
        <f t="shared" si="1176"/>
        <v>1301.125730774866</v>
      </c>
      <c r="M2151" s="469">
        <f t="shared" si="1176"/>
        <v>1289.3907699669392</v>
      </c>
    </row>
    <row r="2152" spans="2:14" ht="15" hidden="1" outlineLevel="2" x14ac:dyDescent="0.25">
      <c r="B2152" s="48" t="str">
        <f>+C2152&amp;D2152&amp;E2152&amp;F2152</f>
        <v>AsiaResultsH2 Liquifaction costUSD/ton</v>
      </c>
      <c r="C2152" t="s">
        <v>198</v>
      </c>
      <c r="D2152" t="s">
        <v>838</v>
      </c>
      <c r="E2152" s="30" t="s">
        <v>871</v>
      </c>
      <c r="F2152" s="450" t="s">
        <v>205</v>
      </c>
      <c r="G2152" s="469">
        <f t="shared" si="1176"/>
        <v>1920.6168614872604</v>
      </c>
      <c r="H2152" s="469">
        <f t="shared" si="1176"/>
        <v>1635.2821338386484</v>
      </c>
      <c r="I2152" s="469">
        <f t="shared" si="1176"/>
        <v>1532.9349363565693</v>
      </c>
      <c r="J2152" s="469">
        <f t="shared" si="1176"/>
        <v>1463.3706578892964</v>
      </c>
      <c r="K2152" s="469">
        <f t="shared" si="1176"/>
        <v>1428.0024933291099</v>
      </c>
      <c r="L2152" s="469">
        <f t="shared" si="1176"/>
        <v>1390.9816413884369</v>
      </c>
      <c r="M2152" s="469">
        <f t="shared" si="1176"/>
        <v>1374.0043693899102</v>
      </c>
    </row>
    <row r="2153" spans="2:14" ht="15" hidden="1" outlineLevel="2" x14ac:dyDescent="0.25">
      <c r="B2153" s="48" t="str">
        <f>+C2153&amp;D2153&amp;E2153&amp;F2153</f>
        <v>AmericasResultsH2 Liquifaction costUSD/ton</v>
      </c>
      <c r="C2153" t="s">
        <v>199</v>
      </c>
      <c r="D2153" t="s">
        <v>838</v>
      </c>
      <c r="E2153" s="30" t="s">
        <v>871</v>
      </c>
      <c r="F2153" s="450" t="s">
        <v>205</v>
      </c>
      <c r="G2153" s="469">
        <f t="shared" si="1176"/>
        <v>1489.6640570315094</v>
      </c>
      <c r="H2153" s="469">
        <f t="shared" si="1176"/>
        <v>1451.6770376417787</v>
      </c>
      <c r="I2153" s="469">
        <f t="shared" si="1176"/>
        <v>1387.4640582539855</v>
      </c>
      <c r="J2153" s="469">
        <f t="shared" si="1176"/>
        <v>1356.5632309025968</v>
      </c>
      <c r="K2153" s="469">
        <f t="shared" si="1176"/>
        <v>1331.5142601606913</v>
      </c>
      <c r="L2153" s="469">
        <f t="shared" si="1176"/>
        <v>1321.4228271012173</v>
      </c>
      <c r="M2153" s="469">
        <f t="shared" si="1176"/>
        <v>1313.8095551347938</v>
      </c>
    </row>
    <row r="2154" spans="2:14" ht="15" hidden="1" outlineLevel="2" x14ac:dyDescent="0.25">
      <c r="B2154" s="48" t="str">
        <f>+C2154&amp;D2154&amp;E2154&amp;F2154</f>
        <v>AfricaResultsH2 Liquifaction costUSD/ton</v>
      </c>
      <c r="C2154" t="s">
        <v>200</v>
      </c>
      <c r="D2154" t="s">
        <v>838</v>
      </c>
      <c r="E2154" s="30" t="s">
        <v>871</v>
      </c>
      <c r="F2154" s="450" t="s">
        <v>205</v>
      </c>
      <c r="G2154" s="469">
        <f t="shared" si="1176"/>
        <v>1889.5933898507942</v>
      </c>
      <c r="H2154" s="469">
        <f t="shared" si="1176"/>
        <v>1546.7678556080352</v>
      </c>
      <c r="I2154" s="469">
        <f t="shared" si="1176"/>
        <v>1451.1998118198144</v>
      </c>
      <c r="J2154" s="469">
        <f t="shared" si="1176"/>
        <v>1397.8536076421021</v>
      </c>
      <c r="K2154" s="469">
        <f t="shared" si="1176"/>
        <v>1372.7444259267479</v>
      </c>
      <c r="L2154" s="469">
        <f t="shared" si="1176"/>
        <v>1346.9253787603141</v>
      </c>
      <c r="M2154" s="469">
        <f t="shared" si="1176"/>
        <v>1334.2526989390637</v>
      </c>
    </row>
    <row r="2155" spans="2:14" ht="15" hidden="1" outlineLevel="2" x14ac:dyDescent="0.25">
      <c r="B2155" s="12"/>
      <c r="E2155" s="30"/>
      <c r="G2155" s="469"/>
      <c r="H2155" s="469"/>
      <c r="I2155" s="469"/>
      <c r="J2155" s="469"/>
      <c r="K2155" s="469"/>
      <c r="L2155" s="469"/>
      <c r="M2155" s="469"/>
    </row>
    <row r="2156" spans="2:14" ht="15" hidden="1" outlineLevel="2" x14ac:dyDescent="0.25">
      <c r="B2156" s="48" t="str">
        <f>+C2156&amp;D2156&amp;E2156&amp;F2156</f>
        <v>EuropeResultsH2 Liquifaction Capex share%</v>
      </c>
      <c r="C2156" t="s">
        <v>195</v>
      </c>
      <c r="D2156" t="s">
        <v>838</v>
      </c>
      <c r="E2156" s="30" t="s">
        <v>873</v>
      </c>
      <c r="F2156" s="450" t="s">
        <v>178</v>
      </c>
      <c r="G2156" s="470">
        <f t="shared" ref="G2156:M2160" si="1177">INDEX(G$143:G$1788,MATCH($B2156,$B$143:$B$1788,0))</f>
        <v>0.60754626563372605</v>
      </c>
      <c r="H2156" s="470">
        <f t="shared" si="1177"/>
        <v>0.64860028019664961</v>
      </c>
      <c r="I2156" s="470">
        <f t="shared" si="1177"/>
        <v>0.68605894711027393</v>
      </c>
      <c r="J2156" s="470">
        <f t="shared" si="1177"/>
        <v>0.70292665253815723</v>
      </c>
      <c r="K2156" s="470">
        <f t="shared" si="1177"/>
        <v>0.71339886131646191</v>
      </c>
      <c r="L2156" s="470">
        <f t="shared" si="1177"/>
        <v>0.72495329875365622</v>
      </c>
      <c r="M2156" s="470">
        <f t="shared" si="1177"/>
        <v>0.73362264211566097</v>
      </c>
      <c r="N2156" s="93"/>
    </row>
    <row r="2157" spans="2:14" ht="15" hidden="1" outlineLevel="2" x14ac:dyDescent="0.25">
      <c r="B2157" s="48" t="str">
        <f>+C2157&amp;D2157&amp;E2157&amp;F2157</f>
        <v>Middle EastResultsH2 Liquifaction Capex share%</v>
      </c>
      <c r="C2157" t="s">
        <v>197</v>
      </c>
      <c r="D2157" t="s">
        <v>838</v>
      </c>
      <c r="E2157" s="30" t="s">
        <v>873</v>
      </c>
      <c r="F2157" s="450" t="s">
        <v>178</v>
      </c>
      <c r="G2157" s="470">
        <f t="shared" si="1177"/>
        <v>0.65823616224470127</v>
      </c>
      <c r="H2157" s="470">
        <f t="shared" si="1177"/>
        <v>0.69563722495844449</v>
      </c>
      <c r="I2157" s="470">
        <f t="shared" si="1177"/>
        <v>0.72283019123186842</v>
      </c>
      <c r="J2157" s="470">
        <f t="shared" si="1177"/>
        <v>0.74331863100069617</v>
      </c>
      <c r="K2157" s="470">
        <f t="shared" si="1177"/>
        <v>0.75403479151407538</v>
      </c>
      <c r="L2157" s="470">
        <f t="shared" si="1177"/>
        <v>0.76856523266545873</v>
      </c>
      <c r="M2157" s="470">
        <f t="shared" si="1177"/>
        <v>0.77556007324733733</v>
      </c>
    </row>
    <row r="2158" spans="2:14" ht="15" hidden="1" outlineLevel="2" x14ac:dyDescent="0.25">
      <c r="B2158" s="48" t="str">
        <f>+C2158&amp;D2158&amp;E2158&amp;F2158</f>
        <v>AsiaResultsH2 Liquifaction Capex share%</v>
      </c>
      <c r="C2158" t="s">
        <v>198</v>
      </c>
      <c r="D2158" t="s">
        <v>838</v>
      </c>
      <c r="E2158" s="30" t="s">
        <v>873</v>
      </c>
      <c r="F2158" s="450" t="s">
        <v>178</v>
      </c>
      <c r="G2158" s="470">
        <f t="shared" si="1177"/>
        <v>0.52066605268977695</v>
      </c>
      <c r="H2158" s="470">
        <f t="shared" si="1177"/>
        <v>0.61151527269035089</v>
      </c>
      <c r="I2158" s="470">
        <f t="shared" si="1177"/>
        <v>0.65234340759221521</v>
      </c>
      <c r="J2158" s="470">
        <f t="shared" si="1177"/>
        <v>0.68335386841933643</v>
      </c>
      <c r="K2158" s="470">
        <f t="shared" si="1177"/>
        <v>0.7002788893377172</v>
      </c>
      <c r="L2158" s="470">
        <f t="shared" si="1177"/>
        <v>0.71891674932663341</v>
      </c>
      <c r="M2158" s="470">
        <f t="shared" si="1177"/>
        <v>0.72779972340555454</v>
      </c>
    </row>
    <row r="2159" spans="2:14" ht="15" hidden="1" outlineLevel="2" x14ac:dyDescent="0.25">
      <c r="B2159" s="48" t="str">
        <f>+C2159&amp;D2159&amp;E2159&amp;F2159</f>
        <v>AmericasResultsH2 Liquifaction Capex share%</v>
      </c>
      <c r="C2159" t="s">
        <v>199</v>
      </c>
      <c r="D2159" t="s">
        <v>838</v>
      </c>
      <c r="E2159" s="30" t="s">
        <v>873</v>
      </c>
      <c r="F2159" s="450" t="s">
        <v>178</v>
      </c>
      <c r="G2159" s="470">
        <f t="shared" si="1177"/>
        <v>0.67129229256744294</v>
      </c>
      <c r="H2159" s="470">
        <f t="shared" si="1177"/>
        <v>0.68885845409835833</v>
      </c>
      <c r="I2159" s="470">
        <f t="shared" si="1177"/>
        <v>0.72073939072585524</v>
      </c>
      <c r="J2159" s="470">
        <f t="shared" si="1177"/>
        <v>0.73715693984617614</v>
      </c>
      <c r="K2159" s="470">
        <f t="shared" si="1177"/>
        <v>0.75102462656263025</v>
      </c>
      <c r="L2159" s="470">
        <f t="shared" si="1177"/>
        <v>0.75676004643697803</v>
      </c>
      <c r="M2159" s="470">
        <f t="shared" si="1177"/>
        <v>0.76114532436735272</v>
      </c>
    </row>
    <row r="2160" spans="2:14" ht="15" hidden="1" outlineLevel="2" x14ac:dyDescent="0.25">
      <c r="B2160" s="48" t="str">
        <f>+C2160&amp;D2160&amp;E2160&amp;F2160</f>
        <v>AfricaResultsH2 Liquifaction Capex share%</v>
      </c>
      <c r="C2160" t="s">
        <v>200</v>
      </c>
      <c r="D2160" t="s">
        <v>838</v>
      </c>
      <c r="E2160" s="30" t="s">
        <v>873</v>
      </c>
      <c r="F2160" s="450" t="s">
        <v>178</v>
      </c>
      <c r="G2160" s="470">
        <f t="shared" si="1177"/>
        <v>0.52921438303663937</v>
      </c>
      <c r="H2160" s="470">
        <f t="shared" si="1177"/>
        <v>0.64650942697984859</v>
      </c>
      <c r="I2160" s="470">
        <f t="shared" si="1177"/>
        <v>0.6890849846142092</v>
      </c>
      <c r="J2160" s="470">
        <f t="shared" si="1177"/>
        <v>0.71538249394140696</v>
      </c>
      <c r="K2160" s="470">
        <f t="shared" si="1177"/>
        <v>0.72846771847199021</v>
      </c>
      <c r="L2160" s="470">
        <f t="shared" si="1177"/>
        <v>0.74243162670257357</v>
      </c>
      <c r="M2160" s="470">
        <f t="shared" si="1177"/>
        <v>0.74948321318379485</v>
      </c>
    </row>
    <row r="2161" spans="2:14" ht="15" hidden="1" outlineLevel="2" x14ac:dyDescent="0.25">
      <c r="B2161" s="12"/>
      <c r="E2161" s="30"/>
      <c r="G2161" s="469"/>
      <c r="H2161" s="469"/>
      <c r="I2161" s="469"/>
      <c r="J2161" s="469"/>
      <c r="K2161" s="469"/>
      <c r="L2161" s="469"/>
      <c r="M2161" s="469"/>
    </row>
    <row r="2162" spans="2:14" ht="15" hidden="1" outlineLevel="2" x14ac:dyDescent="0.25">
      <c r="B2162" s="48" t="str">
        <f>+C2162&amp;D2162&amp;E2162&amp;F2162</f>
        <v>EuropeResultsH2 Liquifaction Opex share%</v>
      </c>
      <c r="C2162" t="s">
        <v>195</v>
      </c>
      <c r="D2162" t="s">
        <v>838</v>
      </c>
      <c r="E2162" s="30" t="s">
        <v>874</v>
      </c>
      <c r="F2162" s="450" t="s">
        <v>178</v>
      </c>
      <c r="G2162" s="470">
        <f t="shared" ref="G2162:M2166" si="1178">INDEX(G$143:G$1788,MATCH($B2162,$B$143:$B$1788,0))</f>
        <v>6.0754626563372605E-2</v>
      </c>
      <c r="H2162" s="470">
        <f t="shared" si="1178"/>
        <v>6.4860028019664964E-2</v>
      </c>
      <c r="I2162" s="470">
        <f t="shared" si="1178"/>
        <v>6.860589471102739E-2</v>
      </c>
      <c r="J2162" s="470">
        <f t="shared" si="1178"/>
        <v>7.0292665253815723E-2</v>
      </c>
      <c r="K2162" s="470">
        <f t="shared" si="1178"/>
        <v>7.1339886131646199E-2</v>
      </c>
      <c r="L2162" s="470">
        <f t="shared" si="1178"/>
        <v>7.2495329875365624E-2</v>
      </c>
      <c r="M2162" s="470">
        <f t="shared" si="1178"/>
        <v>7.3362264211566094E-2</v>
      </c>
      <c r="N2162" s="93"/>
    </row>
    <row r="2163" spans="2:14" ht="15" hidden="1" outlineLevel="2" x14ac:dyDescent="0.25">
      <c r="B2163" s="48" t="str">
        <f>+C2163&amp;D2163&amp;E2163&amp;F2163</f>
        <v>Middle EastResultsH2 Liquifaction Opex share%</v>
      </c>
      <c r="C2163" t="s">
        <v>197</v>
      </c>
      <c r="D2163" t="s">
        <v>838</v>
      </c>
      <c r="E2163" s="30" t="s">
        <v>874</v>
      </c>
      <c r="F2163" s="450" t="s">
        <v>178</v>
      </c>
      <c r="G2163" s="470">
        <f t="shared" si="1178"/>
        <v>6.5823616224470125E-2</v>
      </c>
      <c r="H2163" s="470">
        <f t="shared" si="1178"/>
        <v>6.9563722495844443E-2</v>
      </c>
      <c r="I2163" s="470">
        <f t="shared" si="1178"/>
        <v>7.228301912318684E-2</v>
      </c>
      <c r="J2163" s="470">
        <f t="shared" si="1178"/>
        <v>7.4331863100069617E-2</v>
      </c>
      <c r="K2163" s="470">
        <f t="shared" si="1178"/>
        <v>7.5403479151407535E-2</v>
      </c>
      <c r="L2163" s="470">
        <f t="shared" si="1178"/>
        <v>7.6856523266545879E-2</v>
      </c>
      <c r="M2163" s="470">
        <f t="shared" si="1178"/>
        <v>7.7556007324733736E-2</v>
      </c>
    </row>
    <row r="2164" spans="2:14" ht="15" hidden="1" outlineLevel="2" x14ac:dyDescent="0.25">
      <c r="B2164" s="48" t="str">
        <f>+C2164&amp;D2164&amp;E2164&amp;F2164</f>
        <v>AsiaResultsH2 Liquifaction Opex share%</v>
      </c>
      <c r="C2164" t="s">
        <v>198</v>
      </c>
      <c r="D2164" t="s">
        <v>838</v>
      </c>
      <c r="E2164" s="30" t="s">
        <v>874</v>
      </c>
      <c r="F2164" s="450" t="s">
        <v>178</v>
      </c>
      <c r="G2164" s="470">
        <f t="shared" si="1178"/>
        <v>5.2066605268977696E-2</v>
      </c>
      <c r="H2164" s="470">
        <f t="shared" si="1178"/>
        <v>6.115152726903509E-2</v>
      </c>
      <c r="I2164" s="470">
        <f t="shared" si="1178"/>
        <v>6.5234340759221521E-2</v>
      </c>
      <c r="J2164" s="470">
        <f t="shared" si="1178"/>
        <v>6.8335386841933646E-2</v>
      </c>
      <c r="K2164" s="470">
        <f t="shared" si="1178"/>
        <v>7.0027888933771723E-2</v>
      </c>
      <c r="L2164" s="470">
        <f t="shared" si="1178"/>
        <v>7.1891674932663338E-2</v>
      </c>
      <c r="M2164" s="470">
        <f t="shared" si="1178"/>
        <v>7.2779972340555457E-2</v>
      </c>
    </row>
    <row r="2165" spans="2:14" ht="15" hidden="1" outlineLevel="2" x14ac:dyDescent="0.25">
      <c r="B2165" s="48" t="str">
        <f>+C2165&amp;D2165&amp;E2165&amp;F2165</f>
        <v>AmericasResultsH2 Liquifaction Opex share%</v>
      </c>
      <c r="C2165" t="s">
        <v>199</v>
      </c>
      <c r="D2165" t="s">
        <v>838</v>
      </c>
      <c r="E2165" s="30" t="s">
        <v>874</v>
      </c>
      <c r="F2165" s="450" t="s">
        <v>178</v>
      </c>
      <c r="G2165" s="470">
        <f t="shared" si="1178"/>
        <v>6.7129229256744291E-2</v>
      </c>
      <c r="H2165" s="470">
        <f t="shared" si="1178"/>
        <v>6.8885845409835833E-2</v>
      </c>
      <c r="I2165" s="470">
        <f t="shared" si="1178"/>
        <v>7.2073939072585524E-2</v>
      </c>
      <c r="J2165" s="470">
        <f t="shared" si="1178"/>
        <v>7.3715693984617622E-2</v>
      </c>
      <c r="K2165" s="470">
        <f t="shared" si="1178"/>
        <v>7.5102462656263025E-2</v>
      </c>
      <c r="L2165" s="470">
        <f t="shared" si="1178"/>
        <v>7.5676004643697808E-2</v>
      </c>
      <c r="M2165" s="470">
        <f t="shared" si="1178"/>
        <v>7.6114532436735272E-2</v>
      </c>
    </row>
    <row r="2166" spans="2:14" ht="15" hidden="1" outlineLevel="2" x14ac:dyDescent="0.25">
      <c r="B2166" s="48" t="str">
        <f>+C2166&amp;D2166&amp;E2166&amp;F2166</f>
        <v>AfricaResultsH2 Liquifaction Opex share%</v>
      </c>
      <c r="C2166" t="s">
        <v>200</v>
      </c>
      <c r="D2166" t="s">
        <v>838</v>
      </c>
      <c r="E2166" s="30" t="s">
        <v>874</v>
      </c>
      <c r="F2166" s="450" t="s">
        <v>178</v>
      </c>
      <c r="G2166" s="470">
        <f t="shared" si="1178"/>
        <v>5.2921438303663935E-2</v>
      </c>
      <c r="H2166" s="470">
        <f t="shared" si="1178"/>
        <v>6.4650942697984853E-2</v>
      </c>
      <c r="I2166" s="470">
        <f t="shared" si="1178"/>
        <v>6.8908498461420914E-2</v>
      </c>
      <c r="J2166" s="470">
        <f t="shared" si="1178"/>
        <v>7.1538249394140691E-2</v>
      </c>
      <c r="K2166" s="470">
        <f t="shared" si="1178"/>
        <v>7.2846771847199024E-2</v>
      </c>
      <c r="L2166" s="470">
        <f t="shared" si="1178"/>
        <v>7.4243162670257351E-2</v>
      </c>
      <c r="M2166" s="470">
        <f t="shared" si="1178"/>
        <v>7.4948321318379488E-2</v>
      </c>
    </row>
    <row r="2167" spans="2:14" ht="15" hidden="1" outlineLevel="2" x14ac:dyDescent="0.25">
      <c r="B2167" s="12"/>
      <c r="E2167" s="30"/>
      <c r="G2167" s="469"/>
      <c r="H2167" s="469"/>
      <c r="I2167" s="469"/>
      <c r="J2167" s="469"/>
      <c r="K2167" s="469"/>
      <c r="L2167" s="469"/>
      <c r="M2167" s="469"/>
    </row>
    <row r="2168" spans="2:14" ht="15" hidden="1" outlineLevel="2" x14ac:dyDescent="0.25">
      <c r="B2168" s="48" t="str">
        <f>+C2168&amp;D2168&amp;E2168&amp;F2168</f>
        <v>EuropeResultsH2 Liquifaction Electricity share%</v>
      </c>
      <c r="C2168" t="s">
        <v>195</v>
      </c>
      <c r="D2168" t="s">
        <v>838</v>
      </c>
      <c r="E2168" s="30" t="s">
        <v>875</v>
      </c>
      <c r="F2168" s="450" t="s">
        <v>178</v>
      </c>
      <c r="G2168" s="470">
        <f t="shared" ref="G2168:M2172" si="1179">INDEX(G$143:G$1788,MATCH($B2168,$B$143:$B$1788,0))</f>
        <v>0.33169910780290135</v>
      </c>
      <c r="H2168" s="470">
        <f t="shared" si="1179"/>
        <v>0.28653969178368538</v>
      </c>
      <c r="I2168" s="470">
        <f t="shared" si="1179"/>
        <v>0.24533515817869869</v>
      </c>
      <c r="J2168" s="470">
        <f t="shared" si="1179"/>
        <v>0.22678068220802702</v>
      </c>
      <c r="K2168" s="470">
        <f t="shared" si="1179"/>
        <v>0.21526125255189188</v>
      </c>
      <c r="L2168" s="470">
        <f t="shared" si="1179"/>
        <v>0.20255137137097812</v>
      </c>
      <c r="M2168" s="470">
        <f t="shared" si="1179"/>
        <v>0.19301509367277284</v>
      </c>
      <c r="N2168" s="93"/>
    </row>
    <row r="2169" spans="2:14" ht="15" hidden="1" outlineLevel="2" x14ac:dyDescent="0.25">
      <c r="B2169" s="48" t="str">
        <f>+C2169&amp;D2169&amp;E2169&amp;F2169</f>
        <v>Middle EastResultsH2 Liquifaction Electricity share%</v>
      </c>
      <c r="C2169" t="s">
        <v>197</v>
      </c>
      <c r="D2169" t="s">
        <v>838</v>
      </c>
      <c r="E2169" s="30" t="s">
        <v>875</v>
      </c>
      <c r="F2169" s="450" t="s">
        <v>178</v>
      </c>
      <c r="G2169" s="470">
        <f t="shared" si="1179"/>
        <v>0.27594022153082859</v>
      </c>
      <c r="H2169" s="470">
        <f t="shared" si="1179"/>
        <v>0.23479905254571107</v>
      </c>
      <c r="I2169" s="470">
        <f t="shared" si="1179"/>
        <v>0.20488678964494472</v>
      </c>
      <c r="J2169" s="470">
        <f t="shared" si="1179"/>
        <v>0.1823495058992341</v>
      </c>
      <c r="K2169" s="470">
        <f t="shared" si="1179"/>
        <v>0.1705617293345171</v>
      </c>
      <c r="L2169" s="470">
        <f t="shared" si="1179"/>
        <v>0.15457824406799531</v>
      </c>
      <c r="M2169" s="470">
        <f t="shared" si="1179"/>
        <v>0.146883919427929</v>
      </c>
    </row>
    <row r="2170" spans="2:14" ht="15" hidden="1" outlineLevel="2" x14ac:dyDescent="0.25">
      <c r="B2170" s="48" t="str">
        <f>+C2170&amp;D2170&amp;E2170&amp;F2170</f>
        <v>AsiaResultsH2 Liquifaction Electricity share%</v>
      </c>
      <c r="C2170" t="s">
        <v>198</v>
      </c>
      <c r="D2170" t="s">
        <v>838</v>
      </c>
      <c r="E2170" s="30" t="s">
        <v>875</v>
      </c>
      <c r="F2170" s="450" t="s">
        <v>178</v>
      </c>
      <c r="G2170" s="470">
        <f t="shared" si="1179"/>
        <v>0.42726734204124539</v>
      </c>
      <c r="H2170" s="470">
        <f t="shared" si="1179"/>
        <v>0.32733320004061395</v>
      </c>
      <c r="I2170" s="470">
        <f t="shared" si="1179"/>
        <v>0.28242225164856327</v>
      </c>
      <c r="J2170" s="470">
        <f t="shared" si="1179"/>
        <v>0.24831074473872988</v>
      </c>
      <c r="K2170" s="470">
        <f t="shared" si="1179"/>
        <v>0.22969322172851114</v>
      </c>
      <c r="L2170" s="470">
        <f t="shared" si="1179"/>
        <v>0.20919157574070329</v>
      </c>
      <c r="M2170" s="470">
        <f t="shared" si="1179"/>
        <v>0.1994203042538901</v>
      </c>
    </row>
    <row r="2171" spans="2:14" ht="15" hidden="1" outlineLevel="2" x14ac:dyDescent="0.25">
      <c r="B2171" s="48" t="str">
        <f>+C2171&amp;D2171&amp;E2171&amp;F2171</f>
        <v>AmericasResultsH2 Liquifaction Electricity share%</v>
      </c>
      <c r="C2171" t="s">
        <v>199</v>
      </c>
      <c r="D2171" t="s">
        <v>838</v>
      </c>
      <c r="E2171" s="30" t="s">
        <v>875</v>
      </c>
      <c r="F2171" s="450" t="s">
        <v>178</v>
      </c>
      <c r="G2171" s="470">
        <f t="shared" si="1179"/>
        <v>0.26157847817581276</v>
      </c>
      <c r="H2171" s="470">
        <f t="shared" si="1179"/>
        <v>0.24225570049180586</v>
      </c>
      <c r="I2171" s="470">
        <f t="shared" si="1179"/>
        <v>0.20718667020155934</v>
      </c>
      <c r="J2171" s="470">
        <f t="shared" si="1179"/>
        <v>0.18912736616920614</v>
      </c>
      <c r="K2171" s="470">
        <f t="shared" si="1179"/>
        <v>0.17387291078110681</v>
      </c>
      <c r="L2171" s="470">
        <f t="shared" si="1179"/>
        <v>0.16756394891932419</v>
      </c>
      <c r="M2171" s="470">
        <f t="shared" si="1179"/>
        <v>0.16274014319591201</v>
      </c>
    </row>
    <row r="2172" spans="2:14" ht="15" hidden="1" outlineLevel="2" x14ac:dyDescent="0.25">
      <c r="B2172" s="48" t="str">
        <f>+C2172&amp;D2172&amp;E2172&amp;F2172</f>
        <v>AfricaResultsH2 Liquifaction Electricity share%</v>
      </c>
      <c r="C2172" t="s">
        <v>200</v>
      </c>
      <c r="D2172" t="s">
        <v>838</v>
      </c>
      <c r="E2172" s="30" t="s">
        <v>875</v>
      </c>
      <c r="F2172" s="450" t="s">
        <v>178</v>
      </c>
      <c r="G2172" s="470">
        <f t="shared" si="1179"/>
        <v>0.41786417865969666</v>
      </c>
      <c r="H2172" s="470">
        <f t="shared" si="1179"/>
        <v>0.28883963032216653</v>
      </c>
      <c r="I2172" s="470">
        <f t="shared" si="1179"/>
        <v>0.24200651692437003</v>
      </c>
      <c r="J2172" s="470">
        <f t="shared" si="1179"/>
        <v>0.21307925666445238</v>
      </c>
      <c r="K2172" s="470">
        <f t="shared" si="1179"/>
        <v>0.19868550968081083</v>
      </c>
      <c r="L2172" s="470">
        <f t="shared" si="1179"/>
        <v>0.183325210627169</v>
      </c>
      <c r="M2172" s="470">
        <f t="shared" si="1179"/>
        <v>0.17556846549782562</v>
      </c>
    </row>
    <row r="2173" spans="2:14" ht="15" hidden="1" outlineLevel="1" x14ac:dyDescent="0.25">
      <c r="B2173" s="12"/>
      <c r="E2173" s="30"/>
      <c r="G2173" s="469"/>
      <c r="H2173" s="469"/>
      <c r="I2173" s="469"/>
      <c r="J2173" s="469"/>
      <c r="K2173" s="469"/>
      <c r="L2173" s="469"/>
      <c r="M2173" s="469"/>
    </row>
    <row r="2174" spans="2:14" ht="15" hidden="1" outlineLevel="1" collapsed="1" x14ac:dyDescent="0.25">
      <c r="B2174" s="405" t="s">
        <v>884</v>
      </c>
      <c r="C2174" s="30" t="str">
        <f>+B2174</f>
        <v>Compression (350 bar)</v>
      </c>
      <c r="E2174" s="30"/>
    </row>
    <row r="2175" spans="2:14" ht="15" hidden="1" outlineLevel="2" x14ac:dyDescent="0.25">
      <c r="B2175" s="48" t="str">
        <f>+C2175&amp;D2175&amp;E2175&amp;F2175</f>
        <v>EuropeResultsH2 Compression costUSD/ton</v>
      </c>
      <c r="C2175" t="s">
        <v>195</v>
      </c>
      <c r="D2175" t="s">
        <v>838</v>
      </c>
      <c r="E2175" s="30" t="s">
        <v>885</v>
      </c>
      <c r="F2175" s="450" t="s">
        <v>205</v>
      </c>
      <c r="G2175" s="469">
        <f t="shared" ref="G2175:M2179" si="1180">INDEX(G$143:G$1788,MATCH($B2175,$B$143:$B$1788,0))</f>
        <v>57.326344164053815</v>
      </c>
      <c r="H2175" s="469">
        <f t="shared" si="1180"/>
        <v>46.387071600038418</v>
      </c>
      <c r="I2175" s="469">
        <f t="shared" si="1180"/>
        <v>37.5480732628982</v>
      </c>
      <c r="J2175" s="469">
        <f t="shared" si="1180"/>
        <v>33.875471282617561</v>
      </c>
      <c r="K2175" s="469">
        <f t="shared" si="1180"/>
        <v>31.682741231517422</v>
      </c>
      <c r="L2175" s="469">
        <f t="shared" si="1180"/>
        <v>29.336915951022753</v>
      </c>
      <c r="M2175" s="469">
        <f t="shared" si="1180"/>
        <v>27.625353515801073</v>
      </c>
      <c r="N2175" s="93"/>
    </row>
    <row r="2176" spans="2:14" ht="15" hidden="1" outlineLevel="2" x14ac:dyDescent="0.25">
      <c r="B2176" s="48" t="str">
        <f>+C2176&amp;D2176&amp;E2176&amp;F2176</f>
        <v>Middle EastResultsH2 Compression costUSD/ton</v>
      </c>
      <c r="C2176" t="s">
        <v>197</v>
      </c>
      <c r="D2176" t="s">
        <v>838</v>
      </c>
      <c r="E2176" s="30" t="s">
        <v>885</v>
      </c>
      <c r="F2176" s="450" t="s">
        <v>205</v>
      </c>
      <c r="G2176" s="469">
        <f t="shared" si="1180"/>
        <v>44.017215890922046</v>
      </c>
      <c r="H2176" s="469">
        <f t="shared" si="1180"/>
        <v>35.440743584089283</v>
      </c>
      <c r="I2176" s="469">
        <f t="shared" si="1180"/>
        <v>29.762333081378237</v>
      </c>
      <c r="J2176" s="469">
        <f t="shared" si="1180"/>
        <v>25.758399320145184</v>
      </c>
      <c r="K2176" s="469">
        <f t="shared" si="1180"/>
        <v>23.750869033726801</v>
      </c>
      <c r="L2176" s="469">
        <f t="shared" si="1180"/>
        <v>21.118201731360934</v>
      </c>
      <c r="M2176" s="469">
        <f t="shared" si="1180"/>
        <v>19.886030846528616</v>
      </c>
    </row>
    <row r="2177" spans="2:14" ht="15" hidden="1" outlineLevel="2" x14ac:dyDescent="0.25">
      <c r="B2177" s="48" t="str">
        <f>+C2177&amp;D2177&amp;E2177&amp;F2177</f>
        <v>AsiaResultsH2 Compression costUSD/ton</v>
      </c>
      <c r="C2177" t="s">
        <v>198</v>
      </c>
      <c r="D2177" t="s">
        <v>838</v>
      </c>
      <c r="E2177" s="30" t="s">
        <v>885</v>
      </c>
      <c r="F2177" s="450" t="s">
        <v>205</v>
      </c>
      <c r="G2177" s="469">
        <f t="shared" si="1180"/>
        <v>86.164770456162358</v>
      </c>
      <c r="H2177" s="469">
        <f t="shared" si="1180"/>
        <v>56.204624053058076</v>
      </c>
      <c r="I2177" s="469">
        <f t="shared" si="1180"/>
        <v>45.458168317439778</v>
      </c>
      <c r="J2177" s="469">
        <f t="shared" si="1180"/>
        <v>38.153919078376113</v>
      </c>
      <c r="K2177" s="469">
        <f t="shared" si="1180"/>
        <v>34.440261799556552</v>
      </c>
      <c r="L2177" s="469">
        <f t="shared" si="1180"/>
        <v>30.553072345785885</v>
      </c>
      <c r="M2177" s="469">
        <f t="shared" si="1180"/>
        <v>28.77045878594058</v>
      </c>
    </row>
    <row r="2178" spans="2:14" ht="15" hidden="1" outlineLevel="2" x14ac:dyDescent="0.25">
      <c r="B2178" s="48" t="str">
        <f>+C2178&amp;D2178&amp;E2178&amp;F2178</f>
        <v>AmericasResultsH2 Compression costUSD/ton</v>
      </c>
      <c r="C2178" t="s">
        <v>199</v>
      </c>
      <c r="D2178" t="s">
        <v>838</v>
      </c>
      <c r="E2178" s="30" t="s">
        <v>885</v>
      </c>
      <c r="F2178" s="450" t="s">
        <v>205</v>
      </c>
      <c r="G2178" s="469">
        <f t="shared" si="1180"/>
        <v>40.91472598830849</v>
      </c>
      <c r="H2178" s="469">
        <f t="shared" si="1180"/>
        <v>36.92608895238677</v>
      </c>
      <c r="I2178" s="469">
        <f t="shared" si="1180"/>
        <v>30.183726116668492</v>
      </c>
      <c r="J2178" s="469">
        <f t="shared" si="1180"/>
        <v>26.939139244772665</v>
      </c>
      <c r="K2178" s="469">
        <f t="shared" si="1180"/>
        <v>24.308997316872588</v>
      </c>
      <c r="L2178" s="469">
        <f t="shared" si="1180"/>
        <v>23.249396845627821</v>
      </c>
      <c r="M2178" s="469">
        <f t="shared" si="1180"/>
        <v>22.450003289153351</v>
      </c>
    </row>
    <row r="2179" spans="2:14" ht="15" hidden="1" outlineLevel="2" x14ac:dyDescent="0.25">
      <c r="B2179" s="48" t="str">
        <f>+C2179&amp;D2179&amp;E2179&amp;F2179</f>
        <v>AfricaResultsH2 Compression costUSD/ton</v>
      </c>
      <c r="C2179" t="s">
        <v>200</v>
      </c>
      <c r="D2179" t="s">
        <v>838</v>
      </c>
      <c r="E2179" s="30" t="s">
        <v>885</v>
      </c>
      <c r="F2179" s="450" t="s">
        <v>205</v>
      </c>
      <c r="G2179" s="469">
        <f t="shared" si="1180"/>
        <v>82.90730593433338</v>
      </c>
      <c r="H2179" s="469">
        <f t="shared" si="1180"/>
        <v>46.910624838843695</v>
      </c>
      <c r="I2179" s="469">
        <f t="shared" si="1180"/>
        <v>36.875980241080526</v>
      </c>
      <c r="J2179" s="469">
        <f t="shared" si="1180"/>
        <v>31.274628802420729</v>
      </c>
      <c r="K2179" s="469">
        <f t="shared" si="1180"/>
        <v>28.638164722308538</v>
      </c>
      <c r="L2179" s="469">
        <f t="shared" si="1180"/>
        <v>25.92716476983297</v>
      </c>
      <c r="M2179" s="469">
        <f t="shared" si="1180"/>
        <v>24.596533388601692</v>
      </c>
    </row>
    <row r="2180" spans="2:14" ht="15" hidden="1" outlineLevel="2" x14ac:dyDescent="0.25">
      <c r="B2180" s="12"/>
      <c r="E2180" s="30"/>
      <c r="G2180" s="520"/>
      <c r="H2180" s="549"/>
      <c r="I2180" s="549"/>
      <c r="J2180" s="549"/>
      <c r="K2180" s="549"/>
      <c r="L2180" s="549"/>
      <c r="M2180" s="549"/>
      <c r="N2180" s="93"/>
    </row>
    <row r="2181" spans="2:14" ht="15" hidden="1" outlineLevel="1" x14ac:dyDescent="0.25">
      <c r="E2181" s="30"/>
      <c r="F2181"/>
    </row>
    <row r="2182" spans="2:14" s="30" customFormat="1" ht="15" hidden="1" outlineLevel="1" collapsed="1" x14ac:dyDescent="0.25">
      <c r="B2182" s="30" t="s">
        <v>195</v>
      </c>
      <c r="C2182" s="30" t="str">
        <f>+B2182</f>
        <v>Europe</v>
      </c>
    </row>
    <row r="2183" spans="2:14" ht="15" hidden="1" outlineLevel="2" x14ac:dyDescent="0.25">
      <c r="B2183" t="str">
        <f>+C2183&amp;D2183&amp;E2183&amp;F2183</f>
        <v>EuropeResultsTotal cost of Blue hydrogenUSD/ton</v>
      </c>
      <c r="C2183" s="494" t="str">
        <f>+$C$2182</f>
        <v>Europe</v>
      </c>
      <c r="D2183" s="30" t="s">
        <v>838</v>
      </c>
      <c r="E2183" s="405" t="s">
        <v>1205</v>
      </c>
      <c r="F2183" s="127" t="s">
        <v>205</v>
      </c>
      <c r="G2183" s="490">
        <f t="shared" ref="G2183:M2183" si="1181">G2184+G2185+G2186+G2187</f>
        <v>7600.8269834743396</v>
      </c>
      <c r="H2183" s="490">
        <f t="shared" si="1181"/>
        <v>3703.5</v>
      </c>
      <c r="I2183" s="490">
        <f t="shared" si="1181"/>
        <v>2813.8965810563122</v>
      </c>
      <c r="J2183" s="490">
        <f t="shared" si="1181"/>
        <v>2720.8595599609866</v>
      </c>
      <c r="K2183" s="490">
        <f t="shared" si="1181"/>
        <v>2635.6104574215815</v>
      </c>
      <c r="L2183" s="490">
        <f t="shared" si="1181"/>
        <v>2557.0714633243965</v>
      </c>
      <c r="M2183" s="490">
        <f t="shared" si="1181"/>
        <v>2484.3333333333335</v>
      </c>
    </row>
    <row r="2184" spans="2:14" ht="15" hidden="1" outlineLevel="2" x14ac:dyDescent="0.25">
      <c r="B2184" t="str">
        <f>+C2184&amp;D2184&amp;E2184&amp;F2184</f>
        <v>EuropeResultsTotal Capex Blue HydrogenUSD/ton</v>
      </c>
      <c r="C2184" s="494" t="str">
        <f>+$C$2182</f>
        <v>Europe</v>
      </c>
      <c r="D2184" s="30" t="s">
        <v>838</v>
      </c>
      <c r="E2184" s="228" t="s">
        <v>1201</v>
      </c>
      <c r="F2184" s="127" t="s">
        <v>205</v>
      </c>
      <c r="G2184" s="490">
        <f t="shared" ref="G2184:M2184" si="1182">G2189</f>
        <v>274.84138167421179</v>
      </c>
      <c r="H2184" s="490">
        <f t="shared" si="1182"/>
        <v>265.00000000000006</v>
      </c>
      <c r="I2184" s="490">
        <f t="shared" si="1182"/>
        <v>255.51101356069626</v>
      </c>
      <c r="J2184" s="490">
        <f t="shared" si="1182"/>
        <v>246.36180396533697</v>
      </c>
      <c r="K2184" s="490">
        <f t="shared" si="1182"/>
        <v>237.54020465594266</v>
      </c>
      <c r="L2184" s="490">
        <f t="shared" si="1182"/>
        <v>229.03448472850988</v>
      </c>
      <c r="M2184" s="490">
        <f t="shared" si="1182"/>
        <v>220.83333333333337</v>
      </c>
    </row>
    <row r="2185" spans="2:14" ht="15" hidden="1" outlineLevel="2" x14ac:dyDescent="0.25">
      <c r="B2185" t="str">
        <f>+C2185&amp;D2185&amp;E2185&amp;F2185</f>
        <v>EuropeResultsTotal Opex Blue HydrogenUSD/ton</v>
      </c>
      <c r="C2185" s="494" t="str">
        <f>+$C$2182</f>
        <v>Europe</v>
      </c>
      <c r="D2185" s="30" t="s">
        <v>838</v>
      </c>
      <c r="E2185" s="228" t="s">
        <v>1202</v>
      </c>
      <c r="F2185" s="127" t="s">
        <v>205</v>
      </c>
      <c r="G2185" s="335">
        <f>+G2204</f>
        <v>357.40736945012748</v>
      </c>
      <c r="H2185" s="335">
        <f t="shared" ref="H2185:M2185" si="1183">+H2204</f>
        <v>300</v>
      </c>
      <c r="I2185" s="335">
        <f t="shared" si="1183"/>
        <v>251.81349824561624</v>
      </c>
      <c r="J2185" s="335">
        <f t="shared" si="1183"/>
        <v>211.36679299564994</v>
      </c>
      <c r="K2185" s="335">
        <f t="shared" si="1183"/>
        <v>177.41670519063879</v>
      </c>
      <c r="L2185" s="335">
        <f t="shared" si="1183"/>
        <v>148.91973727088646</v>
      </c>
      <c r="M2185" s="335">
        <f t="shared" si="1183"/>
        <v>125</v>
      </c>
    </row>
    <row r="2186" spans="2:14" ht="15" hidden="1" outlineLevel="2" x14ac:dyDescent="0.25">
      <c r="B2186" t="str">
        <f>+C2186&amp;D2186&amp;E2186&amp;F2186</f>
        <v>EuropeResultsTotal Raw Material Blue HydrogenUSD/ton</v>
      </c>
      <c r="C2186" s="494" t="str">
        <f>+$C$2182</f>
        <v>Europe</v>
      </c>
      <c r="D2186" s="30" t="s">
        <v>838</v>
      </c>
      <c r="E2186" s="228" t="s">
        <v>1203</v>
      </c>
      <c r="F2186" s="127" t="s">
        <v>205</v>
      </c>
      <c r="G2186" s="490">
        <f>+G2192+G2195</f>
        <v>6288.9859720000004</v>
      </c>
      <c r="H2186" s="490">
        <f t="shared" ref="H2186:M2186" si="1184">+H2192+H2195</f>
        <v>2463.5</v>
      </c>
      <c r="I2186" s="490">
        <f t="shared" si="1184"/>
        <v>1636.133297975</v>
      </c>
      <c r="J2186" s="490">
        <f t="shared" si="1184"/>
        <v>1597.222598525</v>
      </c>
      <c r="K2186" s="490">
        <f t="shared" si="1184"/>
        <v>1559.24497625</v>
      </c>
      <c r="L2186" s="490">
        <f t="shared" si="1184"/>
        <v>1522.178056275</v>
      </c>
      <c r="M2186" s="490">
        <f t="shared" si="1184"/>
        <v>1486</v>
      </c>
    </row>
    <row r="2187" spans="2:14" ht="15" hidden="1" outlineLevel="2" x14ac:dyDescent="0.25">
      <c r="B2187" t="str">
        <f>+C2187&amp;D2187&amp;E2187&amp;F2187</f>
        <v>EuropeResultsTotal CO2 Blue HydrogenUSD/ton</v>
      </c>
      <c r="C2187" s="494" t="str">
        <f>+$C$2182</f>
        <v>Europe</v>
      </c>
      <c r="D2187" s="30" t="s">
        <v>838</v>
      </c>
      <c r="E2187" s="228" t="s">
        <v>1204</v>
      </c>
      <c r="F2187" s="127" t="s">
        <v>205</v>
      </c>
      <c r="G2187" s="490">
        <f>+G2199</f>
        <v>679.59226035000006</v>
      </c>
      <c r="H2187" s="490">
        <f t="shared" ref="H2187:M2187" si="1185">+H2199</f>
        <v>675</v>
      </c>
      <c r="I2187" s="490">
        <f t="shared" si="1185"/>
        <v>670.43877127499991</v>
      </c>
      <c r="J2187" s="490">
        <f t="shared" si="1185"/>
        <v>665.90836447499998</v>
      </c>
      <c r="K2187" s="490">
        <f t="shared" si="1185"/>
        <v>661.40857132500003</v>
      </c>
      <c r="L2187" s="490">
        <f t="shared" si="1185"/>
        <v>656.93918504999999</v>
      </c>
      <c r="M2187" s="490">
        <f t="shared" si="1185"/>
        <v>652.5</v>
      </c>
    </row>
    <row r="2188" spans="2:14" hidden="1" outlineLevel="2" x14ac:dyDescent="0.2">
      <c r="E2188" s="48"/>
      <c r="F2188" s="128"/>
      <c r="G2188" s="8"/>
      <c r="H2188" s="8"/>
      <c r="I2188" s="8"/>
      <c r="J2188" s="8"/>
      <c r="K2188" s="8"/>
      <c r="L2188" s="8"/>
      <c r="M2188" s="8"/>
    </row>
    <row r="2189" spans="2:14" hidden="1" outlineLevel="2" x14ac:dyDescent="0.2">
      <c r="B2189" t="str">
        <f t="shared" ref="B2189:B2194" si="1186">+C2189&amp;D2189&amp;E2189&amp;F2189</f>
        <v>EuropePlant - SMRCapex Grey Hydrogen USD/ton H2</v>
      </c>
      <c r="C2189" s="494" t="str">
        <f>+$C$2182</f>
        <v>Europe</v>
      </c>
      <c r="D2189" t="s">
        <v>1167</v>
      </c>
      <c r="E2189" s="48" t="s">
        <v>1168</v>
      </c>
      <c r="F2189" s="128" t="s">
        <v>881</v>
      </c>
      <c r="G2189" s="8">
        <f t="shared" ref="G2189:M2189" si="1187">G2191/G2190</f>
        <v>274.84138167421179</v>
      </c>
      <c r="H2189" s="8">
        <f t="shared" si="1187"/>
        <v>265.00000000000006</v>
      </c>
      <c r="I2189" s="8">
        <f t="shared" si="1187"/>
        <v>255.51101356069626</v>
      </c>
      <c r="J2189" s="8">
        <f t="shared" si="1187"/>
        <v>246.36180396533697</v>
      </c>
      <c r="K2189" s="8">
        <f t="shared" si="1187"/>
        <v>237.54020465594266</v>
      </c>
      <c r="L2189" s="8">
        <f t="shared" si="1187"/>
        <v>229.03448472850988</v>
      </c>
      <c r="M2189" s="8">
        <f t="shared" si="1187"/>
        <v>220.83333333333337</v>
      </c>
    </row>
    <row r="2190" spans="2:14" hidden="1" outlineLevel="2" x14ac:dyDescent="0.2">
      <c r="B2190" t="str">
        <f t="shared" si="1186"/>
        <v>GlobalPlant capexAnnualisation factor#</v>
      </c>
      <c r="C2190" t="s">
        <v>109</v>
      </c>
      <c r="D2190" t="s">
        <v>786</v>
      </c>
      <c r="E2190" t="s">
        <v>764</v>
      </c>
      <c r="F2190" s="450" t="s">
        <v>787</v>
      </c>
      <c r="G2190" s="524">
        <f>+INDEX('Fuel Model -  Input'!$B$3:$N$373,MATCH($B2190,'Fuel Model -  Input'!$B$3:$B$373,0),MATCH(G$2,'Fuel Model -  Input'!$B$3:$N$3,0))</f>
        <v>11.32075471698113</v>
      </c>
      <c r="H2190" s="524">
        <f>+INDEX('Fuel Model -  Input'!$B$3:$N$373,MATCH($B2190,'Fuel Model -  Input'!$B$3:$B$373,0),MATCH(H$2,'Fuel Model -  Input'!$B$3:$N$3,0))</f>
        <v>11.32075471698113</v>
      </c>
      <c r="I2190" s="524">
        <f>+INDEX('Fuel Model -  Input'!$B$3:$N$373,MATCH($B2190,'Fuel Model -  Input'!$B$3:$B$373,0),MATCH(I$2,'Fuel Model -  Input'!$B$3:$N$3,0))</f>
        <v>11.32075471698113</v>
      </c>
      <c r="J2190" s="524">
        <f>+INDEX('Fuel Model -  Input'!$B$3:$N$373,MATCH($B2190,'Fuel Model -  Input'!$B$3:$B$373,0),MATCH(J$2,'Fuel Model -  Input'!$B$3:$N$3,0))</f>
        <v>11.32075471698113</v>
      </c>
      <c r="K2190" s="524">
        <f>+INDEX('Fuel Model -  Input'!$B$3:$N$373,MATCH($B2190,'Fuel Model -  Input'!$B$3:$B$373,0),MATCH(K$2,'Fuel Model -  Input'!$B$3:$N$3,0))</f>
        <v>11.32075471698113</v>
      </c>
      <c r="L2190" s="524">
        <f>+INDEX('Fuel Model -  Input'!$B$3:$N$373,MATCH($B2190,'Fuel Model -  Input'!$B$3:$B$373,0),MATCH(L$2,'Fuel Model -  Input'!$B$3:$N$3,0))</f>
        <v>11.32075471698113</v>
      </c>
      <c r="M2190" s="524">
        <f>+INDEX('Fuel Model -  Input'!$B$3:$N$373,MATCH($B2190,'Fuel Model -  Input'!$B$3:$B$373,0),MATCH(M$2,'Fuel Model -  Input'!$B$3:$N$3,0))</f>
        <v>11.32075471698113</v>
      </c>
    </row>
    <row r="2191" spans="2:14" hidden="1" outlineLevel="2" x14ac:dyDescent="0.2">
      <c r="B2191" t="str">
        <f t="shared" si="1186"/>
        <v>GlobalCapexSMR - PlantUSD/ton H2 Cap</v>
      </c>
      <c r="C2191" t="s">
        <v>109</v>
      </c>
      <c r="D2191" t="s">
        <v>218</v>
      </c>
      <c r="E2191" s="48" t="s">
        <v>1169</v>
      </c>
      <c r="F2191" s="128" t="s">
        <v>1170</v>
      </c>
      <c r="G2191" s="524">
        <f>+INDEX('Fuel Model -  Input'!$B$3:$N$373,MATCH($B2191,'Fuel Model -  Input'!$B$3:$B$373,0),MATCH(G$2,'Fuel Model -  Input'!$B$3:$N$3,0))</f>
        <v>3111.4118680099441</v>
      </c>
      <c r="H2191" s="524">
        <f>+INDEX('Fuel Model -  Input'!$B$3:$N$373,MATCH($B2191,'Fuel Model -  Input'!$B$3:$B$373,0),MATCH(H$2,'Fuel Model -  Input'!$B$3:$N$3,0))</f>
        <v>3000</v>
      </c>
      <c r="I2191" s="524">
        <f>+INDEX('Fuel Model -  Input'!$B$3:$N$373,MATCH($B2191,'Fuel Model -  Input'!$B$3:$B$373,0),MATCH(I$2,'Fuel Model -  Input'!$B$3:$N$3,0))</f>
        <v>2892.5775120078815</v>
      </c>
      <c r="J2191" s="524">
        <f>+INDEX('Fuel Model -  Input'!$B$3:$N$373,MATCH($B2191,'Fuel Model -  Input'!$B$3:$B$373,0),MATCH(J$2,'Fuel Model -  Input'!$B$3:$N$3,0))</f>
        <v>2789.001554324569</v>
      </c>
      <c r="K2191" s="524">
        <f>+INDEX('Fuel Model -  Input'!$B$3:$N$373,MATCH($B2191,'Fuel Model -  Input'!$B$3:$B$373,0),MATCH(K$2,'Fuel Model -  Input'!$B$3:$N$3,0))</f>
        <v>2689.1343923314257</v>
      </c>
      <c r="L2191" s="524">
        <f>+INDEX('Fuel Model -  Input'!$B$3:$N$373,MATCH($B2191,'Fuel Model -  Input'!$B$3:$B$373,0),MATCH(L$2,'Fuel Model -  Input'!$B$3:$N$3,0))</f>
        <v>2592.8432233416206</v>
      </c>
      <c r="M2191" s="524">
        <f>+INDEX('Fuel Model -  Input'!$B$3:$N$373,MATCH($B2191,'Fuel Model -  Input'!$B$3:$B$373,0),MATCH(M$2,'Fuel Model -  Input'!$B$3:$N$3,0))</f>
        <v>2500</v>
      </c>
    </row>
    <row r="2192" spans="2:14" hidden="1" outlineLevel="2" x14ac:dyDescent="0.2">
      <c r="B2192" t="str">
        <f t="shared" si="1186"/>
        <v>EuropeFeedstockCost of NG in H2USD/ton H2</v>
      </c>
      <c r="C2192" s="494" t="str">
        <f>+$C$2182</f>
        <v>Europe</v>
      </c>
      <c r="D2192" t="s">
        <v>777</v>
      </c>
      <c r="E2192" t="s">
        <v>1171</v>
      </c>
      <c r="F2192" s="128" t="s">
        <v>881</v>
      </c>
      <c r="G2192" s="337">
        <f t="shared" ref="G2192:M2192" si="1188">G2193*G2194</f>
        <v>6275.4859720000004</v>
      </c>
      <c r="H2192" s="337">
        <f t="shared" si="1188"/>
        <v>2450</v>
      </c>
      <c r="I2192" s="337">
        <f t="shared" si="1188"/>
        <v>1622.633297975</v>
      </c>
      <c r="J2192" s="337">
        <f t="shared" si="1188"/>
        <v>1583.722598525</v>
      </c>
      <c r="K2192" s="337">
        <f t="shared" si="1188"/>
        <v>1545.74497625</v>
      </c>
      <c r="L2192" s="337">
        <f t="shared" si="1188"/>
        <v>1508.678056275</v>
      </c>
      <c r="M2192" s="337">
        <f t="shared" si="1188"/>
        <v>1472.5</v>
      </c>
    </row>
    <row r="2193" spans="2:13" hidden="1" outlineLevel="2" x14ac:dyDescent="0.2">
      <c r="B2193" t="str">
        <f t="shared" si="1186"/>
        <v>GlobalFeedstockConversion NG : H2 (actual)kg NG/kg H2</v>
      </c>
      <c r="C2193" t="s">
        <v>109</v>
      </c>
      <c r="D2193" t="s">
        <v>777</v>
      </c>
      <c r="E2193" t="s">
        <v>1172</v>
      </c>
      <c r="F2193" s="128" t="s">
        <v>1173</v>
      </c>
      <c r="G2193" s="520">
        <f>INDEX('Fuel Model -  Input'!$B$3:$N$373,MATCH($B2193,'Fuel Model -  Input'!$B$3:$B$373,0),MATCH(G$2,'Fuel Model -  Input'!$B$3:$N$3,0))</f>
        <v>3.5859919840000001</v>
      </c>
      <c r="H2193" s="520">
        <f>INDEX('Fuel Model -  Input'!$B$3:$N$373,MATCH($B2193,'Fuel Model -  Input'!$B$3:$B$373,0),MATCH(H$2,'Fuel Model -  Input'!$B$3:$N$3,0))</f>
        <v>3.5</v>
      </c>
      <c r="I2193" s="520">
        <f>INDEX('Fuel Model -  Input'!$B$3:$N$373,MATCH($B2193,'Fuel Model -  Input'!$B$3:$B$373,0),MATCH(I$2,'Fuel Model -  Input'!$B$3:$N$3,0))</f>
        <v>3.4160701009999999</v>
      </c>
      <c r="J2193" s="520">
        <f>INDEX('Fuel Model -  Input'!$B$3:$N$373,MATCH($B2193,'Fuel Model -  Input'!$B$3:$B$373,0),MATCH(J$2,'Fuel Model -  Input'!$B$3:$N$3,0))</f>
        <v>3.3341528390000001</v>
      </c>
      <c r="K2193" s="520">
        <f>INDEX('Fuel Model -  Input'!$B$3:$N$373,MATCH($B2193,'Fuel Model -  Input'!$B$3:$B$373,0),MATCH(K$2,'Fuel Model -  Input'!$B$3:$N$3,0))</f>
        <v>3.2541999499999998</v>
      </c>
      <c r="L2193" s="520">
        <f>INDEX('Fuel Model -  Input'!$B$3:$N$373,MATCH($B2193,'Fuel Model -  Input'!$B$3:$B$373,0),MATCH(L$2,'Fuel Model -  Input'!$B$3:$N$3,0))</f>
        <v>3.1761643290000001</v>
      </c>
      <c r="M2193" s="520">
        <f>INDEX('Fuel Model -  Input'!$B$3:$N$373,MATCH($B2193,'Fuel Model -  Input'!$B$3:$B$373,0),MATCH(M$2,'Fuel Model -  Input'!$B$3:$N$3,0))</f>
        <v>3.1</v>
      </c>
    </row>
    <row r="2194" spans="2:13" hidden="1" outlineLevel="2" x14ac:dyDescent="0.2">
      <c r="B2194" t="str">
        <f t="shared" si="1186"/>
        <v>EuropeFeedstockCost of NGUSD/ton</v>
      </c>
      <c r="C2194" s="494" t="str">
        <f>+$C$2182</f>
        <v>Europe</v>
      </c>
      <c r="D2194" t="s">
        <v>777</v>
      </c>
      <c r="E2194" t="s">
        <v>1144</v>
      </c>
      <c r="F2194" s="450" t="s">
        <v>205</v>
      </c>
      <c r="G2194" s="524">
        <f>+INDEX('Fuel Model -  Input'!$B$3:$N$373,MATCH($B2194,'Fuel Model -  Input'!$B$3:$B$373,0),MATCH(G$2,'Fuel Model -  Input'!$B$3:$N$3,0))</f>
        <v>1750</v>
      </c>
      <c r="H2194" s="524">
        <f>+INDEX('Fuel Model -  Input'!$B$3:$N$373,MATCH($B2194,'Fuel Model -  Input'!$B$3:$B$373,0),MATCH(H$2,'Fuel Model -  Input'!$B$3:$N$3,0))</f>
        <v>700</v>
      </c>
      <c r="I2194" s="524">
        <f>+INDEX('Fuel Model -  Input'!$B$3:$N$373,MATCH($B2194,'Fuel Model -  Input'!$B$3:$B$373,0),MATCH(I$2,'Fuel Model -  Input'!$B$3:$N$3,0))</f>
        <v>475</v>
      </c>
      <c r="J2194" s="524">
        <f>+INDEX('Fuel Model -  Input'!$B$3:$N$373,MATCH($B2194,'Fuel Model -  Input'!$B$3:$B$373,0),MATCH(J$2,'Fuel Model -  Input'!$B$3:$N$3,0))</f>
        <v>475</v>
      </c>
      <c r="K2194" s="524">
        <f>+INDEX('Fuel Model -  Input'!$B$3:$N$373,MATCH($B2194,'Fuel Model -  Input'!$B$3:$B$373,0),MATCH(K$2,'Fuel Model -  Input'!$B$3:$N$3,0))</f>
        <v>475</v>
      </c>
      <c r="L2194" s="524">
        <f>+INDEX('Fuel Model -  Input'!$B$3:$N$373,MATCH($B2194,'Fuel Model -  Input'!$B$3:$B$373,0),MATCH(L$2,'Fuel Model -  Input'!$B$3:$N$3,0))</f>
        <v>475</v>
      </c>
      <c r="M2194" s="524">
        <f>+INDEX('Fuel Model -  Input'!$B$3:$N$373,MATCH($B2194,'Fuel Model -  Input'!$B$3:$B$373,0),MATCH(M$2,'Fuel Model -  Input'!$B$3:$N$3,0))</f>
        <v>475</v>
      </c>
    </row>
    <row r="2195" spans="2:13" hidden="1" outlineLevel="2" x14ac:dyDescent="0.2">
      <c r="B2195" t="str">
        <f t="shared" ref="B2195:B2197" si="1189">+C2195&amp;D2195&amp;E2195&amp;F2195</f>
        <v>EuropeFeedstockCost of H2O in H2USD/ton H2</v>
      </c>
      <c r="C2195" s="494" t="str">
        <f>C2194</f>
        <v>Europe</v>
      </c>
      <c r="D2195" t="s">
        <v>777</v>
      </c>
      <c r="E2195" t="s">
        <v>897</v>
      </c>
      <c r="F2195" s="128" t="s">
        <v>881</v>
      </c>
      <c r="G2195" s="337">
        <f t="shared" ref="G2195:M2195" si="1190">G2196*G2197</f>
        <v>13.5</v>
      </c>
      <c r="H2195" s="337">
        <f t="shared" si="1190"/>
        <v>13.5</v>
      </c>
      <c r="I2195" s="337">
        <f t="shared" si="1190"/>
        <v>13.5</v>
      </c>
      <c r="J2195" s="337">
        <f t="shared" si="1190"/>
        <v>13.5</v>
      </c>
      <c r="K2195" s="337">
        <f t="shared" si="1190"/>
        <v>13.5</v>
      </c>
      <c r="L2195" s="337">
        <f t="shared" si="1190"/>
        <v>13.5</v>
      </c>
      <c r="M2195" s="337">
        <f t="shared" si="1190"/>
        <v>13.5</v>
      </c>
    </row>
    <row r="2196" spans="2:13" hidden="1" outlineLevel="2" x14ac:dyDescent="0.2">
      <c r="B2196" t="str">
        <f t="shared" si="1189"/>
        <v>GlobalFeedstockConversion H2O:H2 (actual)ton H2O/ton H2</v>
      </c>
      <c r="C2196" t="s">
        <v>109</v>
      </c>
      <c r="D2196" t="s">
        <v>777</v>
      </c>
      <c r="E2196" t="s">
        <v>898</v>
      </c>
      <c r="F2196" s="128" t="s">
        <v>899</v>
      </c>
      <c r="G2196" s="499">
        <f>INDEX('Fuel Model -  Input'!$B$3:$N$373,MATCH($B2196,'Fuel Model -  Input'!$B$3:$B$373,0),MATCH(G$2,'Fuel Model -  Input'!$B$3:$N$3,0))</f>
        <v>9</v>
      </c>
      <c r="H2196" s="499">
        <f>INDEX('Fuel Model -  Input'!$B$3:$N$373,MATCH($B2196,'Fuel Model -  Input'!$B$3:$B$373,0),MATCH(H$2,'Fuel Model -  Input'!$B$3:$N$3,0))</f>
        <v>9</v>
      </c>
      <c r="I2196" s="499">
        <f>INDEX('Fuel Model -  Input'!$B$3:$N$373,MATCH($B2196,'Fuel Model -  Input'!$B$3:$B$373,0),MATCH(I$2,'Fuel Model -  Input'!$B$3:$N$3,0))</f>
        <v>9</v>
      </c>
      <c r="J2196" s="499">
        <f>INDEX('Fuel Model -  Input'!$B$3:$N$373,MATCH($B2196,'Fuel Model -  Input'!$B$3:$B$373,0),MATCH(J$2,'Fuel Model -  Input'!$B$3:$N$3,0))</f>
        <v>9</v>
      </c>
      <c r="K2196" s="499">
        <f>INDEX('Fuel Model -  Input'!$B$3:$N$373,MATCH($B2196,'Fuel Model -  Input'!$B$3:$B$373,0),MATCH(K$2,'Fuel Model -  Input'!$B$3:$N$3,0))</f>
        <v>9</v>
      </c>
      <c r="L2196" s="499">
        <f>INDEX('Fuel Model -  Input'!$B$3:$N$373,MATCH($B2196,'Fuel Model -  Input'!$B$3:$B$373,0),MATCH(L$2,'Fuel Model -  Input'!$B$3:$N$3,0))</f>
        <v>9</v>
      </c>
      <c r="M2196" s="499">
        <f>INDEX('Fuel Model -  Input'!$B$3:$N$373,MATCH($B2196,'Fuel Model -  Input'!$B$3:$B$373,0),MATCH(M$2,'Fuel Model -  Input'!$B$3:$N$3,0))</f>
        <v>9</v>
      </c>
    </row>
    <row r="2197" spans="2:13" hidden="1" outlineLevel="2" x14ac:dyDescent="0.2">
      <c r="B2197" t="str">
        <f t="shared" si="1189"/>
        <v>GlobalFeedstockDemineralized water costUSD/ton demin H2O</v>
      </c>
      <c r="C2197" s="494" t="s">
        <v>109</v>
      </c>
      <c r="D2197" t="s">
        <v>777</v>
      </c>
      <c r="E2197" t="s">
        <v>900</v>
      </c>
      <c r="F2197" s="450" t="s">
        <v>901</v>
      </c>
      <c r="G2197" s="499">
        <f>+INDEX('Fuel Model -  Input'!$B$3:$N$373,MATCH($B2197,'Fuel Model -  Input'!$B$3:$B$373,0),MATCH(G$2,'Fuel Model -  Input'!$B$3:$N$3,0))</f>
        <v>1.5</v>
      </c>
      <c r="H2197" s="499">
        <f>+INDEX('Fuel Model -  Input'!$B$3:$N$373,MATCH($B2197,'Fuel Model -  Input'!$B$3:$B$373,0),MATCH(H$2,'Fuel Model -  Input'!$B$3:$N$3,0))</f>
        <v>1.5</v>
      </c>
      <c r="I2197" s="499">
        <f>+INDEX('Fuel Model -  Input'!$B$3:$N$373,MATCH($B2197,'Fuel Model -  Input'!$B$3:$B$373,0),MATCH(I$2,'Fuel Model -  Input'!$B$3:$N$3,0))</f>
        <v>1.5</v>
      </c>
      <c r="J2197" s="499">
        <f>+INDEX('Fuel Model -  Input'!$B$3:$N$373,MATCH($B2197,'Fuel Model -  Input'!$B$3:$B$373,0),MATCH(J$2,'Fuel Model -  Input'!$B$3:$N$3,0))</f>
        <v>1.5</v>
      </c>
      <c r="K2197" s="499">
        <f>+INDEX('Fuel Model -  Input'!$B$3:$N$373,MATCH($B2197,'Fuel Model -  Input'!$B$3:$B$373,0),MATCH(K$2,'Fuel Model -  Input'!$B$3:$N$3,0))</f>
        <v>1.5</v>
      </c>
      <c r="L2197" s="499">
        <f>+INDEX('Fuel Model -  Input'!$B$3:$N$373,MATCH($B2197,'Fuel Model -  Input'!$B$3:$B$373,0),MATCH(L$2,'Fuel Model -  Input'!$B$3:$N$3,0))</f>
        <v>1.5</v>
      </c>
      <c r="M2197" s="499">
        <f>+INDEX('Fuel Model -  Input'!$B$3:$N$373,MATCH($B2197,'Fuel Model -  Input'!$B$3:$B$373,0),MATCH(M$2,'Fuel Model -  Input'!$B$3:$N$3,0))</f>
        <v>1.5</v>
      </c>
    </row>
    <row r="2198" spans="2:13" ht="12.75" hidden="1" outlineLevel="2" x14ac:dyDescent="0.2">
      <c r="F2198"/>
    </row>
    <row r="2199" spans="2:13" hidden="1" outlineLevel="2" x14ac:dyDescent="0.2">
      <c r="B2199" t="str">
        <f>+C2199&amp;D2199&amp;E2199&amp;F2199</f>
        <v>EuropeCO2 StorageCO2 Storage Capture Blue HydrogenUSD/ton H2</v>
      </c>
      <c r="C2199" s="494" t="str">
        <f>+$C$2182</f>
        <v>Europe</v>
      </c>
      <c r="D2199" t="s">
        <v>1206</v>
      </c>
      <c r="E2199" s="48" t="s">
        <v>1207</v>
      </c>
      <c r="F2199" s="128" t="s">
        <v>881</v>
      </c>
      <c r="G2199" s="8">
        <f t="shared" ref="G2199:M2199" si="1191">+G2200*(G2201+G2202)</f>
        <v>679.59226035000006</v>
      </c>
      <c r="H2199" s="8">
        <f t="shared" si="1191"/>
        <v>675</v>
      </c>
      <c r="I2199" s="8">
        <f t="shared" si="1191"/>
        <v>670.43877127499991</v>
      </c>
      <c r="J2199" s="8">
        <f t="shared" si="1191"/>
        <v>665.90836447499998</v>
      </c>
      <c r="K2199" s="8">
        <f t="shared" si="1191"/>
        <v>661.40857132500003</v>
      </c>
      <c r="L2199" s="8">
        <f t="shared" si="1191"/>
        <v>656.93918504999999</v>
      </c>
      <c r="M2199" s="8">
        <f t="shared" si="1191"/>
        <v>652.5</v>
      </c>
    </row>
    <row r="2200" spans="2:13" hidden="1" outlineLevel="2" x14ac:dyDescent="0.2">
      <c r="B2200" t="str">
        <f>+C2200&amp;D2200&amp;E2200&amp;F2200</f>
        <v>GlobalCO2 CaptureConversion CO2 : H2 (actual)kg CO2/kg H2</v>
      </c>
      <c r="C2200" t="s">
        <v>109</v>
      </c>
      <c r="D2200" t="s">
        <v>1178</v>
      </c>
      <c r="E2200" t="s">
        <v>1179</v>
      </c>
      <c r="F2200" s="128" t="s">
        <v>1180</v>
      </c>
      <c r="G2200" s="520">
        <f>INDEX('Fuel Model -  Input'!$B$3:$N$373,MATCH($B2200,'Fuel Model -  Input'!$B$3:$B$373,0),MATCH(G$2,'Fuel Model -  Input'!$B$3:$N$3,0))</f>
        <v>9.0612301380000009</v>
      </c>
      <c r="H2200" s="520">
        <f>INDEX('Fuel Model -  Input'!$B$3:$N$373,MATCH($B2200,'Fuel Model -  Input'!$B$3:$B$373,0),MATCH(H$2,'Fuel Model -  Input'!$B$3:$N$3,0))</f>
        <v>9</v>
      </c>
      <c r="I2200" s="520">
        <f>INDEX('Fuel Model -  Input'!$B$3:$N$373,MATCH($B2200,'Fuel Model -  Input'!$B$3:$B$373,0),MATCH(I$2,'Fuel Model -  Input'!$B$3:$N$3,0))</f>
        <v>8.9391836169999994</v>
      </c>
      <c r="J2200" s="520">
        <f>INDEX('Fuel Model -  Input'!$B$3:$N$373,MATCH($B2200,'Fuel Model -  Input'!$B$3:$B$373,0),MATCH(J$2,'Fuel Model -  Input'!$B$3:$N$3,0))</f>
        <v>8.8787781930000005</v>
      </c>
      <c r="K2200" s="520">
        <f>INDEX('Fuel Model -  Input'!$B$3:$N$373,MATCH($B2200,'Fuel Model -  Input'!$B$3:$B$373,0),MATCH(K$2,'Fuel Model -  Input'!$B$3:$N$3,0))</f>
        <v>8.8187809510000008</v>
      </c>
      <c r="L2200" s="520">
        <f>INDEX('Fuel Model -  Input'!$B$3:$N$373,MATCH($B2200,'Fuel Model -  Input'!$B$3:$B$373,0),MATCH(L$2,'Fuel Model -  Input'!$B$3:$N$3,0))</f>
        <v>8.7591891339999997</v>
      </c>
      <c r="M2200" s="520">
        <f>INDEX('Fuel Model -  Input'!$B$3:$N$373,MATCH($B2200,'Fuel Model -  Input'!$B$3:$B$373,0),MATCH(M$2,'Fuel Model -  Input'!$B$3:$N$3,0))</f>
        <v>8.6999999999999993</v>
      </c>
    </row>
    <row r="2201" spans="2:13" hidden="1" outlineLevel="2" x14ac:dyDescent="0.2">
      <c r="B2201" t="str">
        <f>+C2201&amp;D2201&amp;E2201&amp;F2201</f>
        <v>EuropeCO2 StorageCost of CO2 storageUSD/ton CO2</v>
      </c>
      <c r="C2201" s="494" t="str">
        <f>+$C$2182</f>
        <v>Europe</v>
      </c>
      <c r="D2201" t="s">
        <v>1206</v>
      </c>
      <c r="E2201" t="s">
        <v>1208</v>
      </c>
      <c r="F2201" s="128" t="s">
        <v>382</v>
      </c>
      <c r="G2201" s="524">
        <f>+INDEX('Fuel Model -  Input'!$B$3:$N$373,MATCH($B2201,'Fuel Model -  Input'!$B$3:$B$373,0),MATCH(G$2,'Fuel Model -  Input'!$B$3:$N$3,0))</f>
        <v>50</v>
      </c>
      <c r="H2201" s="524">
        <f>+INDEX('Fuel Model -  Input'!$B$3:$N$373,MATCH($B2201,'Fuel Model -  Input'!$B$3:$B$373,0),MATCH(H$2,'Fuel Model -  Input'!$B$3:$N$3,0))</f>
        <v>50</v>
      </c>
      <c r="I2201" s="524">
        <f>+INDEX('Fuel Model -  Input'!$B$3:$N$373,MATCH($B2201,'Fuel Model -  Input'!$B$3:$B$373,0),MATCH(I$2,'Fuel Model -  Input'!$B$3:$N$3,0))</f>
        <v>50</v>
      </c>
      <c r="J2201" s="524">
        <f>+INDEX('Fuel Model -  Input'!$B$3:$N$373,MATCH($B2201,'Fuel Model -  Input'!$B$3:$B$373,0),MATCH(J$2,'Fuel Model -  Input'!$B$3:$N$3,0))</f>
        <v>50</v>
      </c>
      <c r="K2201" s="524">
        <f>+INDEX('Fuel Model -  Input'!$B$3:$N$373,MATCH($B2201,'Fuel Model -  Input'!$B$3:$B$373,0),MATCH(K$2,'Fuel Model -  Input'!$B$3:$N$3,0))</f>
        <v>50</v>
      </c>
      <c r="L2201" s="524">
        <f>+INDEX('Fuel Model -  Input'!$B$3:$N$373,MATCH($B2201,'Fuel Model -  Input'!$B$3:$B$373,0),MATCH(L$2,'Fuel Model -  Input'!$B$3:$N$3,0))</f>
        <v>50</v>
      </c>
      <c r="M2201" s="524">
        <f>+INDEX('Fuel Model -  Input'!$B$3:$N$373,MATCH($B2201,'Fuel Model -  Input'!$B$3:$B$373,0),MATCH(M$2,'Fuel Model -  Input'!$B$3:$N$3,0))</f>
        <v>50</v>
      </c>
    </row>
    <row r="2202" spans="2:13" hidden="1" outlineLevel="2" x14ac:dyDescent="0.2">
      <c r="B2202" t="str">
        <f>+C2202&amp;D2202&amp;E2202&amp;F2202</f>
        <v>EuropeFeedstockCost of blue CO2 PSUSD/ton</v>
      </c>
      <c r="C2202" s="494" t="str">
        <f>+$C$2182</f>
        <v>Europe</v>
      </c>
      <c r="D2202" t="s">
        <v>777</v>
      </c>
      <c r="E2202" t="s">
        <v>1209</v>
      </c>
      <c r="F2202" s="128" t="s">
        <v>205</v>
      </c>
      <c r="G2202" s="524">
        <f>+INDEX('Fuel Model -  Input'!$B$3:$N$373,MATCH($B2202,'Fuel Model -  Input'!$B$3:$B$373,0),MATCH(G$2,'Fuel Model -  Input'!$B$3:$N$3,0))</f>
        <v>25</v>
      </c>
      <c r="H2202" s="524">
        <f>+INDEX('Fuel Model -  Input'!$B$3:$N$373,MATCH($B2202,'Fuel Model -  Input'!$B$3:$B$373,0),MATCH(H$2,'Fuel Model -  Input'!$B$3:$N$3,0))</f>
        <v>25</v>
      </c>
      <c r="I2202" s="524">
        <f>+INDEX('Fuel Model -  Input'!$B$3:$N$373,MATCH($B2202,'Fuel Model -  Input'!$B$3:$B$373,0),MATCH(I$2,'Fuel Model -  Input'!$B$3:$N$3,0))</f>
        <v>25</v>
      </c>
      <c r="J2202" s="524">
        <f>+INDEX('Fuel Model -  Input'!$B$3:$N$373,MATCH($B2202,'Fuel Model -  Input'!$B$3:$B$373,0),MATCH(J$2,'Fuel Model -  Input'!$B$3:$N$3,0))</f>
        <v>25</v>
      </c>
      <c r="K2202" s="524">
        <f>+INDEX('Fuel Model -  Input'!$B$3:$N$373,MATCH($B2202,'Fuel Model -  Input'!$B$3:$B$373,0),MATCH(K$2,'Fuel Model -  Input'!$B$3:$N$3,0))</f>
        <v>25</v>
      </c>
      <c r="L2202" s="524">
        <f>+INDEX('Fuel Model -  Input'!$B$3:$N$373,MATCH($B2202,'Fuel Model -  Input'!$B$3:$B$373,0),MATCH(L$2,'Fuel Model -  Input'!$B$3:$N$3,0))</f>
        <v>25</v>
      </c>
      <c r="M2202" s="524">
        <f>+INDEX('Fuel Model -  Input'!$B$3:$N$373,MATCH($B2202,'Fuel Model -  Input'!$B$3:$B$373,0),MATCH(M$2,'Fuel Model -  Input'!$B$3:$N$3,0))</f>
        <v>25</v>
      </c>
    </row>
    <row r="2203" spans="2:13" hidden="1" outlineLevel="2" x14ac:dyDescent="0.2">
      <c r="F2203" s="128"/>
      <c r="G2203" s="524"/>
      <c r="H2203" s="524"/>
      <c r="I2203" s="524"/>
      <c r="J2203" s="524"/>
      <c r="K2203" s="524"/>
      <c r="L2203" s="524"/>
      <c r="M2203" s="524"/>
    </row>
    <row r="2204" spans="2:13" hidden="1" outlineLevel="2" x14ac:dyDescent="0.2">
      <c r="B2204" t="str">
        <f>+C2204&amp;D2204&amp;E2204&amp;F2204</f>
        <v>EuropeOpexSMRUSD/ton H2</v>
      </c>
      <c r="C2204" s="494" t="str">
        <f>+$C$2182</f>
        <v>Europe</v>
      </c>
      <c r="D2204" t="s">
        <v>219</v>
      </c>
      <c r="E2204" s="48" t="s">
        <v>1174</v>
      </c>
      <c r="F2204" s="128" t="s">
        <v>881</v>
      </c>
      <c r="G2204" s="337">
        <f t="shared" ref="G2204:M2204" si="1192">G2205*G2191</f>
        <v>357.40736945012748</v>
      </c>
      <c r="H2204" s="337">
        <f t="shared" si="1192"/>
        <v>300</v>
      </c>
      <c r="I2204" s="337">
        <f t="shared" si="1192"/>
        <v>251.81349824561624</v>
      </c>
      <c r="J2204" s="337">
        <f t="shared" si="1192"/>
        <v>211.36679299564994</v>
      </c>
      <c r="K2204" s="337">
        <f t="shared" si="1192"/>
        <v>177.41670519063879</v>
      </c>
      <c r="L2204" s="337">
        <f t="shared" si="1192"/>
        <v>148.91973727088646</v>
      </c>
      <c r="M2204" s="337">
        <f t="shared" si="1192"/>
        <v>125</v>
      </c>
    </row>
    <row r="2205" spans="2:13" hidden="1" outlineLevel="2" x14ac:dyDescent="0.2">
      <c r="B2205" t="str">
        <f>+C2205&amp;D2205&amp;E2205&amp;F2205</f>
        <v>GlobalOpexPlant - SMR - opexPercent of Capex</v>
      </c>
      <c r="C2205" t="s">
        <v>109</v>
      </c>
      <c r="D2205" t="s">
        <v>219</v>
      </c>
      <c r="E2205" s="48" t="s">
        <v>1175</v>
      </c>
      <c r="F2205" s="128" t="s">
        <v>883</v>
      </c>
      <c r="G2205" s="544">
        <f>+INDEX('Fuel Model -  Input'!$B$3:$N$373,MATCH($B2205,'Fuel Model -  Input'!$B$3:$B$373,0),MATCH(G$2,'Fuel Model -  Input'!$B$3:$N$3,0))</f>
        <v>0.1148698354997035</v>
      </c>
      <c r="H2205" s="544">
        <f>+INDEX('Fuel Model -  Input'!$B$3:$N$373,MATCH($B2205,'Fuel Model -  Input'!$B$3:$B$373,0),MATCH(H$2,'Fuel Model -  Input'!$B$3:$N$3,0))</f>
        <v>0.1</v>
      </c>
      <c r="I2205" s="544">
        <f>+INDEX('Fuel Model -  Input'!$B$3:$N$373,MATCH($B2205,'Fuel Model -  Input'!$B$3:$B$373,0),MATCH(I$2,'Fuel Model -  Input'!$B$3:$N$3,0))</f>
        <v>8.7055056329612412E-2</v>
      </c>
      <c r="J2205" s="544">
        <f>+INDEX('Fuel Model -  Input'!$B$3:$N$373,MATCH($B2205,'Fuel Model -  Input'!$B$3:$B$373,0),MATCH(J$2,'Fuel Model -  Input'!$B$3:$N$3,0))</f>
        <v>7.5785828325519902E-2</v>
      </c>
      <c r="K2205" s="544">
        <f>+INDEX('Fuel Model -  Input'!$B$3:$N$373,MATCH($B2205,'Fuel Model -  Input'!$B$3:$B$373,0),MATCH(K$2,'Fuel Model -  Input'!$B$3:$N$3,0))</f>
        <v>6.5975395538644704E-2</v>
      </c>
      <c r="L2205" s="544">
        <f>+INDEX('Fuel Model -  Input'!$B$3:$N$373,MATCH($B2205,'Fuel Model -  Input'!$B$3:$B$373,0),MATCH(L$2,'Fuel Model -  Input'!$B$3:$N$3,0))</f>
        <v>5.7434917749851745E-2</v>
      </c>
      <c r="M2205" s="544">
        <f>+INDEX('Fuel Model -  Input'!$B$3:$N$373,MATCH($B2205,'Fuel Model -  Input'!$B$3:$B$373,0),MATCH(M$2,'Fuel Model -  Input'!$B$3:$N$3,0))</f>
        <v>0.05</v>
      </c>
    </row>
    <row r="2206" spans="2:13" ht="12.75" hidden="1" outlineLevel="1" x14ac:dyDescent="0.2">
      <c r="F2206"/>
    </row>
    <row r="2207" spans="2:13" s="30" customFormat="1" ht="15" hidden="1" outlineLevel="1" collapsed="1" x14ac:dyDescent="0.25">
      <c r="B2207" s="30" t="s">
        <v>197</v>
      </c>
      <c r="C2207" s="30" t="str">
        <f>+B2207</f>
        <v>Middle East</v>
      </c>
    </row>
    <row r="2208" spans="2:13" ht="15" hidden="1" outlineLevel="2" x14ac:dyDescent="0.25">
      <c r="B2208" t="str">
        <f>+C2208&amp;D2208&amp;E2208&amp;F2208</f>
        <v>Middle EastResultsTotal cost of Blue hydrogenUSD/ton</v>
      </c>
      <c r="C2208" s="494" t="str">
        <f>+$C$2207</f>
        <v>Middle East</v>
      </c>
      <c r="D2208" s="30" t="s">
        <v>838</v>
      </c>
      <c r="E2208" s="405" t="s">
        <v>1205</v>
      </c>
      <c r="F2208" s="127" t="s">
        <v>205</v>
      </c>
      <c r="G2208" s="490">
        <f t="shared" ref="G2208:M2208" si="1193">G2209+G2210+G2211+G2212</f>
        <v>6345.7297890743394</v>
      </c>
      <c r="H2208" s="490">
        <f t="shared" si="1193"/>
        <v>3091</v>
      </c>
      <c r="I2208" s="490">
        <f t="shared" si="1193"/>
        <v>1686.5934477263124</v>
      </c>
      <c r="J2208" s="490">
        <f t="shared" si="1193"/>
        <v>1620.589123090987</v>
      </c>
      <c r="K2208" s="490">
        <f t="shared" si="1193"/>
        <v>1561.7244739215814</v>
      </c>
      <c r="L2208" s="490">
        <f t="shared" si="1193"/>
        <v>1508.9372347543963</v>
      </c>
      <c r="M2208" s="490">
        <f t="shared" si="1193"/>
        <v>1461.3333333333335</v>
      </c>
    </row>
    <row r="2209" spans="2:13" ht="15" hidden="1" outlineLevel="2" x14ac:dyDescent="0.25">
      <c r="B2209" t="str">
        <f>+C2209&amp;D2209&amp;E2209&amp;F2209</f>
        <v>Middle EastResultsTotal Capex Blue HydrogenUSD/ton</v>
      </c>
      <c r="C2209" s="494" t="str">
        <f>+$C$2207</f>
        <v>Middle East</v>
      </c>
      <c r="D2209" s="30" t="s">
        <v>838</v>
      </c>
      <c r="E2209" s="228" t="s">
        <v>1201</v>
      </c>
      <c r="F2209" s="127" t="s">
        <v>205</v>
      </c>
      <c r="G2209" s="490">
        <f t="shared" ref="G2209:M2209" si="1194">G2214</f>
        <v>274.84138167421179</v>
      </c>
      <c r="H2209" s="490">
        <f t="shared" si="1194"/>
        <v>265.00000000000006</v>
      </c>
      <c r="I2209" s="490">
        <f t="shared" si="1194"/>
        <v>255.51101356069626</v>
      </c>
      <c r="J2209" s="490">
        <f t="shared" si="1194"/>
        <v>246.36180396533697</v>
      </c>
      <c r="K2209" s="490">
        <f t="shared" si="1194"/>
        <v>237.54020465594266</v>
      </c>
      <c r="L2209" s="490">
        <f t="shared" si="1194"/>
        <v>229.03448472850988</v>
      </c>
      <c r="M2209" s="490">
        <f t="shared" si="1194"/>
        <v>220.83333333333337</v>
      </c>
    </row>
    <row r="2210" spans="2:13" ht="15" hidden="1" outlineLevel="2" x14ac:dyDescent="0.25">
      <c r="B2210" t="str">
        <f>+C2210&amp;D2210&amp;E2210&amp;F2210</f>
        <v>Middle EastResultsTotal Opex Blue HydrogenUSD/ton</v>
      </c>
      <c r="C2210" s="494" t="str">
        <f>+$C$2207</f>
        <v>Middle East</v>
      </c>
      <c r="D2210" s="30" t="s">
        <v>838</v>
      </c>
      <c r="E2210" s="228" t="s">
        <v>1202</v>
      </c>
      <c r="F2210" s="127" t="s">
        <v>205</v>
      </c>
      <c r="G2210" s="335">
        <f>+G2229</f>
        <v>357.40736945012748</v>
      </c>
      <c r="H2210" s="335">
        <f t="shared" ref="H2210:M2210" si="1195">+H2229</f>
        <v>300</v>
      </c>
      <c r="I2210" s="335">
        <f t="shared" si="1195"/>
        <v>251.81349824561624</v>
      </c>
      <c r="J2210" s="335">
        <f t="shared" si="1195"/>
        <v>211.36679299564994</v>
      </c>
      <c r="K2210" s="335">
        <f t="shared" si="1195"/>
        <v>177.41670519063879</v>
      </c>
      <c r="L2210" s="335">
        <f t="shared" si="1195"/>
        <v>148.91973727088646</v>
      </c>
      <c r="M2210" s="335">
        <f t="shared" si="1195"/>
        <v>125</v>
      </c>
    </row>
    <row r="2211" spans="2:13" ht="15" hidden="1" outlineLevel="2" x14ac:dyDescent="0.25">
      <c r="B2211" t="str">
        <f>+C2211&amp;D2211&amp;E2211&amp;F2211</f>
        <v>Middle EastResultsTotal Raw Material Blue HydrogenUSD/ton</v>
      </c>
      <c r="C2211" s="494" t="str">
        <f>+$C$2207</f>
        <v>Middle East</v>
      </c>
      <c r="D2211" s="30" t="s">
        <v>838</v>
      </c>
      <c r="E2211" s="228" t="s">
        <v>1203</v>
      </c>
      <c r="F2211" s="127" t="s">
        <v>205</v>
      </c>
      <c r="G2211" s="490">
        <f>+G2217+G2220</f>
        <v>5033.8887776000001</v>
      </c>
      <c r="H2211" s="490">
        <f t="shared" ref="H2211:M2211" si="1196">+H2217+H2220</f>
        <v>1851</v>
      </c>
      <c r="I2211" s="490">
        <f t="shared" si="1196"/>
        <v>508.83016464499997</v>
      </c>
      <c r="J2211" s="490">
        <f t="shared" si="1196"/>
        <v>496.952161655</v>
      </c>
      <c r="K2211" s="490">
        <f t="shared" si="1196"/>
        <v>485.35899274999997</v>
      </c>
      <c r="L2211" s="490">
        <f t="shared" si="1196"/>
        <v>474.04382770500001</v>
      </c>
      <c r="M2211" s="490">
        <f t="shared" si="1196"/>
        <v>463</v>
      </c>
    </row>
    <row r="2212" spans="2:13" ht="15" hidden="1" outlineLevel="2" x14ac:dyDescent="0.25">
      <c r="B2212" t="str">
        <f>+C2212&amp;D2212&amp;E2212&amp;F2212</f>
        <v>Middle EastResultsTotal CO2 Blue HydrogenUSD/ton</v>
      </c>
      <c r="C2212" s="494" t="str">
        <f>+$C$2207</f>
        <v>Middle East</v>
      </c>
      <c r="D2212" s="30" t="s">
        <v>838</v>
      </c>
      <c r="E2212" s="228" t="s">
        <v>1204</v>
      </c>
      <c r="F2212" s="127" t="s">
        <v>205</v>
      </c>
      <c r="G2212" s="490">
        <f>+G2224</f>
        <v>679.59226035000006</v>
      </c>
      <c r="H2212" s="490">
        <f t="shared" ref="H2212:M2212" si="1197">+H2224</f>
        <v>675</v>
      </c>
      <c r="I2212" s="490">
        <f t="shared" si="1197"/>
        <v>670.43877127499991</v>
      </c>
      <c r="J2212" s="490">
        <f t="shared" si="1197"/>
        <v>665.90836447499998</v>
      </c>
      <c r="K2212" s="490">
        <f t="shared" si="1197"/>
        <v>661.40857132500003</v>
      </c>
      <c r="L2212" s="490">
        <f t="shared" si="1197"/>
        <v>656.93918504999999</v>
      </c>
      <c r="M2212" s="490">
        <f t="shared" si="1197"/>
        <v>652.5</v>
      </c>
    </row>
    <row r="2213" spans="2:13" hidden="1" outlineLevel="2" x14ac:dyDescent="0.2">
      <c r="E2213" s="48"/>
      <c r="F2213" s="128"/>
      <c r="G2213" s="8"/>
      <c r="H2213" s="8"/>
      <c r="I2213" s="8"/>
      <c r="J2213" s="8"/>
      <c r="K2213" s="8"/>
      <c r="L2213" s="8"/>
      <c r="M2213" s="8"/>
    </row>
    <row r="2214" spans="2:13" hidden="1" outlineLevel="2" x14ac:dyDescent="0.2">
      <c r="B2214" t="str">
        <f t="shared" ref="B2214:B2222" si="1198">+C2214&amp;D2214&amp;E2214&amp;F2214</f>
        <v>Middle EastPlant - SMRCapex Grey Hydrogen USD/ton H2</v>
      </c>
      <c r="C2214" s="494" t="str">
        <f>+$C$2207</f>
        <v>Middle East</v>
      </c>
      <c r="D2214" t="s">
        <v>1167</v>
      </c>
      <c r="E2214" s="48" t="s">
        <v>1168</v>
      </c>
      <c r="F2214" s="128" t="s">
        <v>881</v>
      </c>
      <c r="G2214" s="8">
        <f t="shared" ref="G2214:M2214" si="1199">G2216/G2215</f>
        <v>274.84138167421179</v>
      </c>
      <c r="H2214" s="8">
        <f t="shared" si="1199"/>
        <v>265.00000000000006</v>
      </c>
      <c r="I2214" s="8">
        <f t="shared" si="1199"/>
        <v>255.51101356069626</v>
      </c>
      <c r="J2214" s="8">
        <f t="shared" si="1199"/>
        <v>246.36180396533697</v>
      </c>
      <c r="K2214" s="8">
        <f t="shared" si="1199"/>
        <v>237.54020465594266</v>
      </c>
      <c r="L2214" s="8">
        <f t="shared" si="1199"/>
        <v>229.03448472850988</v>
      </c>
      <c r="M2214" s="8">
        <f t="shared" si="1199"/>
        <v>220.83333333333337</v>
      </c>
    </row>
    <row r="2215" spans="2:13" hidden="1" outlineLevel="2" x14ac:dyDescent="0.2">
      <c r="B2215" t="str">
        <f t="shared" si="1198"/>
        <v>GlobalPlant capexAnnualisation factor#</v>
      </c>
      <c r="C2215" t="s">
        <v>109</v>
      </c>
      <c r="D2215" t="s">
        <v>786</v>
      </c>
      <c r="E2215" t="s">
        <v>764</v>
      </c>
      <c r="F2215" s="450" t="s">
        <v>787</v>
      </c>
      <c r="G2215" s="524">
        <f>+INDEX('Fuel Model -  Input'!$B$3:$N$373,MATCH($B2215,'Fuel Model -  Input'!$B$3:$B$373,0),MATCH(G$2,'Fuel Model -  Input'!$B$3:$N$3,0))</f>
        <v>11.32075471698113</v>
      </c>
      <c r="H2215" s="524">
        <f>+INDEX('Fuel Model -  Input'!$B$3:$N$373,MATCH($B2215,'Fuel Model -  Input'!$B$3:$B$373,0),MATCH(H$2,'Fuel Model -  Input'!$B$3:$N$3,0))</f>
        <v>11.32075471698113</v>
      </c>
      <c r="I2215" s="524">
        <f>+INDEX('Fuel Model -  Input'!$B$3:$N$373,MATCH($B2215,'Fuel Model -  Input'!$B$3:$B$373,0),MATCH(I$2,'Fuel Model -  Input'!$B$3:$N$3,0))</f>
        <v>11.32075471698113</v>
      </c>
      <c r="J2215" s="524">
        <f>+INDEX('Fuel Model -  Input'!$B$3:$N$373,MATCH($B2215,'Fuel Model -  Input'!$B$3:$B$373,0),MATCH(J$2,'Fuel Model -  Input'!$B$3:$N$3,0))</f>
        <v>11.32075471698113</v>
      </c>
      <c r="K2215" s="524">
        <f>+INDEX('Fuel Model -  Input'!$B$3:$N$373,MATCH($B2215,'Fuel Model -  Input'!$B$3:$B$373,0),MATCH(K$2,'Fuel Model -  Input'!$B$3:$N$3,0))</f>
        <v>11.32075471698113</v>
      </c>
      <c r="L2215" s="524">
        <f>+INDEX('Fuel Model -  Input'!$B$3:$N$373,MATCH($B2215,'Fuel Model -  Input'!$B$3:$B$373,0),MATCH(L$2,'Fuel Model -  Input'!$B$3:$N$3,0))</f>
        <v>11.32075471698113</v>
      </c>
      <c r="M2215" s="524">
        <f>+INDEX('Fuel Model -  Input'!$B$3:$N$373,MATCH($B2215,'Fuel Model -  Input'!$B$3:$B$373,0),MATCH(M$2,'Fuel Model -  Input'!$B$3:$N$3,0))</f>
        <v>11.32075471698113</v>
      </c>
    </row>
    <row r="2216" spans="2:13" hidden="1" outlineLevel="2" x14ac:dyDescent="0.2">
      <c r="B2216" t="str">
        <f t="shared" si="1198"/>
        <v>GlobalCapexSMR - PlantUSD/ton H2 Cap</v>
      </c>
      <c r="C2216" t="s">
        <v>109</v>
      </c>
      <c r="D2216" t="s">
        <v>218</v>
      </c>
      <c r="E2216" s="48" t="s">
        <v>1169</v>
      </c>
      <c r="F2216" s="128" t="s">
        <v>1170</v>
      </c>
      <c r="G2216" s="524">
        <f>+INDEX('Fuel Model -  Input'!$B$3:$N$373,MATCH($B2216,'Fuel Model -  Input'!$B$3:$B$373,0),MATCH(G$2,'Fuel Model -  Input'!$B$3:$N$3,0))</f>
        <v>3111.4118680099441</v>
      </c>
      <c r="H2216" s="524">
        <f>+INDEX('Fuel Model -  Input'!$B$3:$N$373,MATCH($B2216,'Fuel Model -  Input'!$B$3:$B$373,0),MATCH(H$2,'Fuel Model -  Input'!$B$3:$N$3,0))</f>
        <v>3000</v>
      </c>
      <c r="I2216" s="524">
        <f>+INDEX('Fuel Model -  Input'!$B$3:$N$373,MATCH($B2216,'Fuel Model -  Input'!$B$3:$B$373,0),MATCH(I$2,'Fuel Model -  Input'!$B$3:$N$3,0))</f>
        <v>2892.5775120078815</v>
      </c>
      <c r="J2216" s="524">
        <f>+INDEX('Fuel Model -  Input'!$B$3:$N$373,MATCH($B2216,'Fuel Model -  Input'!$B$3:$B$373,0),MATCH(J$2,'Fuel Model -  Input'!$B$3:$N$3,0))</f>
        <v>2789.001554324569</v>
      </c>
      <c r="K2216" s="524">
        <f>+INDEX('Fuel Model -  Input'!$B$3:$N$373,MATCH($B2216,'Fuel Model -  Input'!$B$3:$B$373,0),MATCH(K$2,'Fuel Model -  Input'!$B$3:$N$3,0))</f>
        <v>2689.1343923314257</v>
      </c>
      <c r="L2216" s="524">
        <f>+INDEX('Fuel Model -  Input'!$B$3:$N$373,MATCH($B2216,'Fuel Model -  Input'!$B$3:$B$373,0),MATCH(L$2,'Fuel Model -  Input'!$B$3:$N$3,0))</f>
        <v>2592.8432233416206</v>
      </c>
      <c r="M2216" s="524">
        <f>+INDEX('Fuel Model -  Input'!$B$3:$N$373,MATCH($B2216,'Fuel Model -  Input'!$B$3:$B$373,0),MATCH(M$2,'Fuel Model -  Input'!$B$3:$N$3,0))</f>
        <v>2500</v>
      </c>
    </row>
    <row r="2217" spans="2:13" hidden="1" outlineLevel="2" x14ac:dyDescent="0.2">
      <c r="B2217" t="str">
        <f t="shared" si="1198"/>
        <v>GlobalFeedstockCost of NG in H2USD/ton H2</v>
      </c>
      <c r="C2217" t="s">
        <v>109</v>
      </c>
      <c r="D2217" t="s">
        <v>777</v>
      </c>
      <c r="E2217" t="s">
        <v>1171</v>
      </c>
      <c r="F2217" s="128" t="s">
        <v>881</v>
      </c>
      <c r="G2217" s="337">
        <f t="shared" ref="G2217:M2217" si="1200">G2218*G2219</f>
        <v>5020.3887776000001</v>
      </c>
      <c r="H2217" s="337">
        <f t="shared" si="1200"/>
        <v>1837.5</v>
      </c>
      <c r="I2217" s="337">
        <f t="shared" si="1200"/>
        <v>495.33016464499997</v>
      </c>
      <c r="J2217" s="337">
        <f t="shared" si="1200"/>
        <v>483.452161655</v>
      </c>
      <c r="K2217" s="337">
        <f t="shared" si="1200"/>
        <v>471.85899274999997</v>
      </c>
      <c r="L2217" s="337">
        <f t="shared" si="1200"/>
        <v>460.54382770500001</v>
      </c>
      <c r="M2217" s="337">
        <f t="shared" si="1200"/>
        <v>449.5</v>
      </c>
    </row>
    <row r="2218" spans="2:13" hidden="1" outlineLevel="2" x14ac:dyDescent="0.2">
      <c r="B2218" t="str">
        <f t="shared" si="1198"/>
        <v>GlobalFeedstockConversion NG : H2 (actual)kg NG/kg H2</v>
      </c>
      <c r="C2218" t="s">
        <v>109</v>
      </c>
      <c r="D2218" t="s">
        <v>777</v>
      </c>
      <c r="E2218" t="s">
        <v>1172</v>
      </c>
      <c r="F2218" s="128" t="s">
        <v>1173</v>
      </c>
      <c r="G2218" s="520">
        <f>INDEX('Fuel Model -  Input'!$B$3:$N$373,MATCH($B2218,'Fuel Model -  Input'!$B$3:$B$373,0),MATCH(G$2,'Fuel Model -  Input'!$B$3:$N$3,0))</f>
        <v>3.5859919840000001</v>
      </c>
      <c r="H2218" s="520">
        <f>INDEX('Fuel Model -  Input'!$B$3:$N$373,MATCH($B2218,'Fuel Model -  Input'!$B$3:$B$373,0),MATCH(H$2,'Fuel Model -  Input'!$B$3:$N$3,0))</f>
        <v>3.5</v>
      </c>
      <c r="I2218" s="520">
        <f>INDEX('Fuel Model -  Input'!$B$3:$N$373,MATCH($B2218,'Fuel Model -  Input'!$B$3:$B$373,0),MATCH(I$2,'Fuel Model -  Input'!$B$3:$N$3,0))</f>
        <v>3.4160701009999999</v>
      </c>
      <c r="J2218" s="520">
        <f>INDEX('Fuel Model -  Input'!$B$3:$N$373,MATCH($B2218,'Fuel Model -  Input'!$B$3:$B$373,0),MATCH(J$2,'Fuel Model -  Input'!$B$3:$N$3,0))</f>
        <v>3.3341528390000001</v>
      </c>
      <c r="K2218" s="520">
        <f>INDEX('Fuel Model -  Input'!$B$3:$N$373,MATCH($B2218,'Fuel Model -  Input'!$B$3:$B$373,0),MATCH(K$2,'Fuel Model -  Input'!$B$3:$N$3,0))</f>
        <v>3.2541999499999998</v>
      </c>
      <c r="L2218" s="520">
        <f>INDEX('Fuel Model -  Input'!$B$3:$N$373,MATCH($B2218,'Fuel Model -  Input'!$B$3:$B$373,0),MATCH(L$2,'Fuel Model -  Input'!$B$3:$N$3,0))</f>
        <v>3.1761643290000001</v>
      </c>
      <c r="M2218" s="520">
        <f>INDEX('Fuel Model -  Input'!$B$3:$N$373,MATCH($B2218,'Fuel Model -  Input'!$B$3:$B$373,0),MATCH(M$2,'Fuel Model -  Input'!$B$3:$N$3,0))</f>
        <v>3.1</v>
      </c>
    </row>
    <row r="2219" spans="2:13" hidden="1" outlineLevel="2" x14ac:dyDescent="0.2">
      <c r="B2219" t="str">
        <f t="shared" si="1198"/>
        <v>Middle EastFeedstockCost of NGUSD/ton</v>
      </c>
      <c r="C2219" s="494" t="str">
        <f>+$C$2207</f>
        <v>Middle East</v>
      </c>
      <c r="D2219" t="s">
        <v>777</v>
      </c>
      <c r="E2219" t="s">
        <v>1144</v>
      </c>
      <c r="F2219" s="450" t="s">
        <v>205</v>
      </c>
      <c r="G2219" s="524">
        <f>+INDEX('Fuel Model -  Input'!$B$3:$N$373,MATCH($B2219,'Fuel Model -  Input'!$B$3:$B$373,0),MATCH(G$2,'Fuel Model -  Input'!$B$3:$N$3,0))</f>
        <v>1400</v>
      </c>
      <c r="H2219" s="524">
        <f>+INDEX('Fuel Model -  Input'!$B$3:$N$373,MATCH($B2219,'Fuel Model -  Input'!$B$3:$B$373,0),MATCH(H$2,'Fuel Model -  Input'!$B$3:$N$3,0))</f>
        <v>525</v>
      </c>
      <c r="I2219" s="524">
        <f>+INDEX('Fuel Model -  Input'!$B$3:$N$373,MATCH($B2219,'Fuel Model -  Input'!$B$3:$B$373,0),MATCH(I$2,'Fuel Model -  Input'!$B$3:$N$3,0))</f>
        <v>145</v>
      </c>
      <c r="J2219" s="524">
        <f>+INDEX('Fuel Model -  Input'!$B$3:$N$373,MATCH($B2219,'Fuel Model -  Input'!$B$3:$B$373,0),MATCH(J$2,'Fuel Model -  Input'!$B$3:$N$3,0))</f>
        <v>145</v>
      </c>
      <c r="K2219" s="524">
        <f>+INDEX('Fuel Model -  Input'!$B$3:$N$373,MATCH($B2219,'Fuel Model -  Input'!$B$3:$B$373,0),MATCH(K$2,'Fuel Model -  Input'!$B$3:$N$3,0))</f>
        <v>145</v>
      </c>
      <c r="L2219" s="524">
        <f>+INDEX('Fuel Model -  Input'!$B$3:$N$373,MATCH($B2219,'Fuel Model -  Input'!$B$3:$B$373,0),MATCH(L$2,'Fuel Model -  Input'!$B$3:$N$3,0))</f>
        <v>145</v>
      </c>
      <c r="M2219" s="524">
        <f>+INDEX('Fuel Model -  Input'!$B$3:$N$373,MATCH($B2219,'Fuel Model -  Input'!$B$3:$B$373,0),MATCH(M$2,'Fuel Model -  Input'!$B$3:$N$3,0))</f>
        <v>145</v>
      </c>
    </row>
    <row r="2220" spans="2:13" hidden="1" outlineLevel="2" x14ac:dyDescent="0.2">
      <c r="B2220" t="str">
        <f t="shared" si="1198"/>
        <v>Middle EastFeedstockCost of H2O in H2USD/ton H2</v>
      </c>
      <c r="C2220" s="494" t="str">
        <f>C2219</f>
        <v>Middle East</v>
      </c>
      <c r="D2220" t="s">
        <v>777</v>
      </c>
      <c r="E2220" t="s">
        <v>897</v>
      </c>
      <c r="F2220" s="128" t="s">
        <v>881</v>
      </c>
      <c r="G2220" s="337">
        <f t="shared" ref="G2220:M2220" si="1201">G2221*G2222</f>
        <v>13.5</v>
      </c>
      <c r="H2220" s="337">
        <f t="shared" si="1201"/>
        <v>13.5</v>
      </c>
      <c r="I2220" s="337">
        <f t="shared" si="1201"/>
        <v>13.5</v>
      </c>
      <c r="J2220" s="337">
        <f t="shared" si="1201"/>
        <v>13.5</v>
      </c>
      <c r="K2220" s="337">
        <f t="shared" si="1201"/>
        <v>13.5</v>
      </c>
      <c r="L2220" s="337">
        <f t="shared" si="1201"/>
        <v>13.5</v>
      </c>
      <c r="M2220" s="337">
        <f t="shared" si="1201"/>
        <v>13.5</v>
      </c>
    </row>
    <row r="2221" spans="2:13" hidden="1" outlineLevel="2" x14ac:dyDescent="0.2">
      <c r="B2221" t="str">
        <f t="shared" si="1198"/>
        <v>GlobalFeedstockConversion H2O:H2 (actual)ton H2O/ton H2</v>
      </c>
      <c r="C2221" t="s">
        <v>109</v>
      </c>
      <c r="D2221" t="s">
        <v>777</v>
      </c>
      <c r="E2221" t="s">
        <v>898</v>
      </c>
      <c r="F2221" s="128" t="s">
        <v>899</v>
      </c>
      <c r="G2221" s="499">
        <f>INDEX('Fuel Model -  Input'!$B$3:$N$373,MATCH($B2221,'Fuel Model -  Input'!$B$3:$B$373,0),MATCH(G$2,'Fuel Model -  Input'!$B$3:$N$3,0))</f>
        <v>9</v>
      </c>
      <c r="H2221" s="499">
        <f>INDEX('Fuel Model -  Input'!$B$3:$N$373,MATCH($B2221,'Fuel Model -  Input'!$B$3:$B$373,0),MATCH(H$2,'Fuel Model -  Input'!$B$3:$N$3,0))</f>
        <v>9</v>
      </c>
      <c r="I2221" s="499">
        <f>INDEX('Fuel Model -  Input'!$B$3:$N$373,MATCH($B2221,'Fuel Model -  Input'!$B$3:$B$373,0),MATCH(I$2,'Fuel Model -  Input'!$B$3:$N$3,0))</f>
        <v>9</v>
      </c>
      <c r="J2221" s="499">
        <f>INDEX('Fuel Model -  Input'!$B$3:$N$373,MATCH($B2221,'Fuel Model -  Input'!$B$3:$B$373,0),MATCH(J$2,'Fuel Model -  Input'!$B$3:$N$3,0))</f>
        <v>9</v>
      </c>
      <c r="K2221" s="499">
        <f>INDEX('Fuel Model -  Input'!$B$3:$N$373,MATCH($B2221,'Fuel Model -  Input'!$B$3:$B$373,0),MATCH(K$2,'Fuel Model -  Input'!$B$3:$N$3,0))</f>
        <v>9</v>
      </c>
      <c r="L2221" s="499">
        <f>INDEX('Fuel Model -  Input'!$B$3:$N$373,MATCH($B2221,'Fuel Model -  Input'!$B$3:$B$373,0),MATCH(L$2,'Fuel Model -  Input'!$B$3:$N$3,0))</f>
        <v>9</v>
      </c>
      <c r="M2221" s="499">
        <f>INDEX('Fuel Model -  Input'!$B$3:$N$373,MATCH($B2221,'Fuel Model -  Input'!$B$3:$B$373,0),MATCH(M$2,'Fuel Model -  Input'!$B$3:$N$3,0))</f>
        <v>9</v>
      </c>
    </row>
    <row r="2222" spans="2:13" hidden="1" outlineLevel="2" x14ac:dyDescent="0.2">
      <c r="B2222" t="str">
        <f t="shared" si="1198"/>
        <v>GlobalFeedstockDemineralized water costUSD/ton demin H2O</v>
      </c>
      <c r="C2222" s="494" t="s">
        <v>109</v>
      </c>
      <c r="D2222" t="s">
        <v>777</v>
      </c>
      <c r="E2222" t="s">
        <v>900</v>
      </c>
      <c r="F2222" s="450" t="s">
        <v>901</v>
      </c>
      <c r="G2222" s="499">
        <f>+INDEX('Fuel Model -  Input'!$B$3:$N$373,MATCH($B2222,'Fuel Model -  Input'!$B$3:$B$373,0),MATCH(G$2,'Fuel Model -  Input'!$B$3:$N$3,0))</f>
        <v>1.5</v>
      </c>
      <c r="H2222" s="499">
        <f>+INDEX('Fuel Model -  Input'!$B$3:$N$373,MATCH($B2222,'Fuel Model -  Input'!$B$3:$B$373,0),MATCH(H$2,'Fuel Model -  Input'!$B$3:$N$3,0))</f>
        <v>1.5</v>
      </c>
      <c r="I2222" s="499">
        <f>+INDEX('Fuel Model -  Input'!$B$3:$N$373,MATCH($B2222,'Fuel Model -  Input'!$B$3:$B$373,0),MATCH(I$2,'Fuel Model -  Input'!$B$3:$N$3,0))</f>
        <v>1.5</v>
      </c>
      <c r="J2222" s="499">
        <f>+INDEX('Fuel Model -  Input'!$B$3:$N$373,MATCH($B2222,'Fuel Model -  Input'!$B$3:$B$373,0),MATCH(J$2,'Fuel Model -  Input'!$B$3:$N$3,0))</f>
        <v>1.5</v>
      </c>
      <c r="K2222" s="499">
        <f>+INDEX('Fuel Model -  Input'!$B$3:$N$373,MATCH($B2222,'Fuel Model -  Input'!$B$3:$B$373,0),MATCH(K$2,'Fuel Model -  Input'!$B$3:$N$3,0))</f>
        <v>1.5</v>
      </c>
      <c r="L2222" s="499">
        <f>+INDEX('Fuel Model -  Input'!$B$3:$N$373,MATCH($B2222,'Fuel Model -  Input'!$B$3:$B$373,0),MATCH(L$2,'Fuel Model -  Input'!$B$3:$N$3,0))</f>
        <v>1.5</v>
      </c>
      <c r="M2222" s="499">
        <f>+INDEX('Fuel Model -  Input'!$B$3:$N$373,MATCH($B2222,'Fuel Model -  Input'!$B$3:$B$373,0),MATCH(M$2,'Fuel Model -  Input'!$B$3:$N$3,0))</f>
        <v>1.5</v>
      </c>
    </row>
    <row r="2223" spans="2:13" ht="12.75" hidden="1" outlineLevel="2" x14ac:dyDescent="0.2">
      <c r="F2223"/>
    </row>
    <row r="2224" spans="2:13" hidden="1" outlineLevel="2" x14ac:dyDescent="0.2">
      <c r="B2224" t="str">
        <f>+C2224&amp;D2224&amp;E2224&amp;F2224</f>
        <v>Middle EastCO2 StorageCO2 Storage Capture Blue HydrogenUSD/ton H2</v>
      </c>
      <c r="C2224" s="494" t="str">
        <f>+$C$2207</f>
        <v>Middle East</v>
      </c>
      <c r="D2224" t="s">
        <v>1206</v>
      </c>
      <c r="E2224" s="48" t="s">
        <v>1207</v>
      </c>
      <c r="F2224" s="128" t="s">
        <v>881</v>
      </c>
      <c r="G2224" s="8">
        <f t="shared" ref="G2224:M2224" si="1202">+G2225*(G2226+G2227)</f>
        <v>679.59226035000006</v>
      </c>
      <c r="H2224" s="8">
        <f t="shared" si="1202"/>
        <v>675</v>
      </c>
      <c r="I2224" s="8">
        <f t="shared" si="1202"/>
        <v>670.43877127499991</v>
      </c>
      <c r="J2224" s="8">
        <f t="shared" si="1202"/>
        <v>665.90836447499998</v>
      </c>
      <c r="K2224" s="8">
        <f t="shared" si="1202"/>
        <v>661.40857132500003</v>
      </c>
      <c r="L2224" s="8">
        <f t="shared" si="1202"/>
        <v>656.93918504999999</v>
      </c>
      <c r="M2224" s="8">
        <f t="shared" si="1202"/>
        <v>652.5</v>
      </c>
    </row>
    <row r="2225" spans="2:13" hidden="1" outlineLevel="2" x14ac:dyDescent="0.2">
      <c r="B2225" t="str">
        <f>+C2225&amp;D2225&amp;E2225&amp;F2225</f>
        <v>GlobalCO2 CaptureConversion CO2 : H2 (actual)kg CO2/kg H2</v>
      </c>
      <c r="C2225" t="s">
        <v>109</v>
      </c>
      <c r="D2225" t="s">
        <v>1178</v>
      </c>
      <c r="E2225" t="s">
        <v>1179</v>
      </c>
      <c r="F2225" s="128" t="s">
        <v>1180</v>
      </c>
      <c r="G2225" s="520">
        <f>INDEX('Fuel Model -  Input'!$B$3:$N$373,MATCH($B2225,'Fuel Model -  Input'!$B$3:$B$373,0),MATCH(G$2,'Fuel Model -  Input'!$B$3:$N$3,0))</f>
        <v>9.0612301380000009</v>
      </c>
      <c r="H2225" s="520">
        <f>INDEX('Fuel Model -  Input'!$B$3:$N$373,MATCH($B2225,'Fuel Model -  Input'!$B$3:$B$373,0),MATCH(H$2,'Fuel Model -  Input'!$B$3:$N$3,0))</f>
        <v>9</v>
      </c>
      <c r="I2225" s="520">
        <f>INDEX('Fuel Model -  Input'!$B$3:$N$373,MATCH($B2225,'Fuel Model -  Input'!$B$3:$B$373,0),MATCH(I$2,'Fuel Model -  Input'!$B$3:$N$3,0))</f>
        <v>8.9391836169999994</v>
      </c>
      <c r="J2225" s="520">
        <f>INDEX('Fuel Model -  Input'!$B$3:$N$373,MATCH($B2225,'Fuel Model -  Input'!$B$3:$B$373,0),MATCH(J$2,'Fuel Model -  Input'!$B$3:$N$3,0))</f>
        <v>8.8787781930000005</v>
      </c>
      <c r="K2225" s="520">
        <f>INDEX('Fuel Model -  Input'!$B$3:$N$373,MATCH($B2225,'Fuel Model -  Input'!$B$3:$B$373,0),MATCH(K$2,'Fuel Model -  Input'!$B$3:$N$3,0))</f>
        <v>8.8187809510000008</v>
      </c>
      <c r="L2225" s="520">
        <f>INDEX('Fuel Model -  Input'!$B$3:$N$373,MATCH($B2225,'Fuel Model -  Input'!$B$3:$B$373,0),MATCH(L$2,'Fuel Model -  Input'!$B$3:$N$3,0))</f>
        <v>8.7591891339999997</v>
      </c>
      <c r="M2225" s="520">
        <f>INDEX('Fuel Model -  Input'!$B$3:$N$373,MATCH($B2225,'Fuel Model -  Input'!$B$3:$B$373,0),MATCH(M$2,'Fuel Model -  Input'!$B$3:$N$3,0))</f>
        <v>8.6999999999999993</v>
      </c>
    </row>
    <row r="2226" spans="2:13" hidden="1" outlineLevel="2" x14ac:dyDescent="0.2">
      <c r="B2226" t="str">
        <f>+C2226&amp;D2226&amp;E2226&amp;F2226</f>
        <v>Middle EastCO2 StorageCost of CO2 storageUSD/ton CO2</v>
      </c>
      <c r="C2226" s="494" t="str">
        <f>+$C$2207</f>
        <v>Middle East</v>
      </c>
      <c r="D2226" t="s">
        <v>1206</v>
      </c>
      <c r="E2226" t="s">
        <v>1208</v>
      </c>
      <c r="F2226" s="128" t="s">
        <v>382</v>
      </c>
      <c r="G2226" s="524">
        <f>+INDEX('Fuel Model -  Input'!$B$3:$N$373,MATCH($B2226,'Fuel Model -  Input'!$B$3:$B$373,0),MATCH(G$2,'Fuel Model -  Input'!$B$3:$N$3,0))</f>
        <v>50</v>
      </c>
      <c r="H2226" s="524">
        <f>+INDEX('Fuel Model -  Input'!$B$3:$N$373,MATCH($B2226,'Fuel Model -  Input'!$B$3:$B$373,0),MATCH(H$2,'Fuel Model -  Input'!$B$3:$N$3,0))</f>
        <v>50</v>
      </c>
      <c r="I2226" s="524">
        <f>+INDEX('Fuel Model -  Input'!$B$3:$N$373,MATCH($B2226,'Fuel Model -  Input'!$B$3:$B$373,0),MATCH(I$2,'Fuel Model -  Input'!$B$3:$N$3,0))</f>
        <v>50</v>
      </c>
      <c r="J2226" s="524">
        <f>+INDEX('Fuel Model -  Input'!$B$3:$N$373,MATCH($B2226,'Fuel Model -  Input'!$B$3:$B$373,0),MATCH(J$2,'Fuel Model -  Input'!$B$3:$N$3,0))</f>
        <v>50</v>
      </c>
      <c r="K2226" s="524">
        <f>+INDEX('Fuel Model -  Input'!$B$3:$N$373,MATCH($B2226,'Fuel Model -  Input'!$B$3:$B$373,0),MATCH(K$2,'Fuel Model -  Input'!$B$3:$N$3,0))</f>
        <v>50</v>
      </c>
      <c r="L2226" s="524">
        <f>+INDEX('Fuel Model -  Input'!$B$3:$N$373,MATCH($B2226,'Fuel Model -  Input'!$B$3:$B$373,0),MATCH(L$2,'Fuel Model -  Input'!$B$3:$N$3,0))</f>
        <v>50</v>
      </c>
      <c r="M2226" s="524">
        <f>+INDEX('Fuel Model -  Input'!$B$3:$N$373,MATCH($B2226,'Fuel Model -  Input'!$B$3:$B$373,0),MATCH(M$2,'Fuel Model -  Input'!$B$3:$N$3,0))</f>
        <v>50</v>
      </c>
    </row>
    <row r="2227" spans="2:13" hidden="1" outlineLevel="2" x14ac:dyDescent="0.2">
      <c r="B2227" t="str">
        <f>+C2227&amp;D2227&amp;E2227&amp;F2227</f>
        <v>Middle EastFeedstockCost of blue CO2 PSUSD/ton</v>
      </c>
      <c r="C2227" s="494" t="str">
        <f>+$C$2207</f>
        <v>Middle East</v>
      </c>
      <c r="D2227" t="s">
        <v>777</v>
      </c>
      <c r="E2227" t="s">
        <v>1209</v>
      </c>
      <c r="F2227" s="128" t="s">
        <v>205</v>
      </c>
      <c r="G2227" s="524">
        <f>+INDEX('Fuel Model -  Input'!$B$3:$N$373,MATCH($B2227,'Fuel Model -  Input'!$B$3:$B$373,0),MATCH(G$2,'Fuel Model -  Input'!$B$3:$N$3,0))</f>
        <v>25</v>
      </c>
      <c r="H2227" s="524">
        <f>+INDEX('Fuel Model -  Input'!$B$3:$N$373,MATCH($B2227,'Fuel Model -  Input'!$B$3:$B$373,0),MATCH(H$2,'Fuel Model -  Input'!$B$3:$N$3,0))</f>
        <v>25</v>
      </c>
      <c r="I2227" s="524">
        <f>+INDEX('Fuel Model -  Input'!$B$3:$N$373,MATCH($B2227,'Fuel Model -  Input'!$B$3:$B$373,0),MATCH(I$2,'Fuel Model -  Input'!$B$3:$N$3,0))</f>
        <v>25</v>
      </c>
      <c r="J2227" s="524">
        <f>+INDEX('Fuel Model -  Input'!$B$3:$N$373,MATCH($B2227,'Fuel Model -  Input'!$B$3:$B$373,0),MATCH(J$2,'Fuel Model -  Input'!$B$3:$N$3,0))</f>
        <v>25</v>
      </c>
      <c r="K2227" s="524">
        <f>+INDEX('Fuel Model -  Input'!$B$3:$N$373,MATCH($B2227,'Fuel Model -  Input'!$B$3:$B$373,0),MATCH(K$2,'Fuel Model -  Input'!$B$3:$N$3,0))</f>
        <v>25</v>
      </c>
      <c r="L2227" s="524">
        <f>+INDEX('Fuel Model -  Input'!$B$3:$N$373,MATCH($B2227,'Fuel Model -  Input'!$B$3:$B$373,0),MATCH(L$2,'Fuel Model -  Input'!$B$3:$N$3,0))</f>
        <v>25</v>
      </c>
      <c r="M2227" s="524">
        <f>+INDEX('Fuel Model -  Input'!$B$3:$N$373,MATCH($B2227,'Fuel Model -  Input'!$B$3:$B$373,0),MATCH(M$2,'Fuel Model -  Input'!$B$3:$N$3,0))</f>
        <v>25</v>
      </c>
    </row>
    <row r="2228" spans="2:13" hidden="1" outlineLevel="2" x14ac:dyDescent="0.2">
      <c r="F2228" s="128"/>
      <c r="G2228" s="524"/>
      <c r="H2228" s="524"/>
      <c r="I2228" s="524"/>
      <c r="J2228" s="524"/>
      <c r="K2228" s="524"/>
      <c r="L2228" s="524"/>
      <c r="M2228" s="524"/>
    </row>
    <row r="2229" spans="2:13" hidden="1" outlineLevel="2" x14ac:dyDescent="0.2">
      <c r="B2229" t="str">
        <f>+C2229&amp;D2229&amp;E2229&amp;F2229</f>
        <v>Middle EastOpexSMRUSD/ton H2</v>
      </c>
      <c r="C2229" s="494" t="str">
        <f>+$C$2207</f>
        <v>Middle East</v>
      </c>
      <c r="D2229" t="s">
        <v>219</v>
      </c>
      <c r="E2229" s="48" t="s">
        <v>1174</v>
      </c>
      <c r="F2229" s="128" t="s">
        <v>881</v>
      </c>
      <c r="G2229" s="337">
        <f t="shared" ref="G2229:M2229" si="1203">G2230*G2216</f>
        <v>357.40736945012748</v>
      </c>
      <c r="H2229" s="337">
        <f t="shared" si="1203"/>
        <v>300</v>
      </c>
      <c r="I2229" s="337">
        <f t="shared" si="1203"/>
        <v>251.81349824561624</v>
      </c>
      <c r="J2229" s="337">
        <f t="shared" si="1203"/>
        <v>211.36679299564994</v>
      </c>
      <c r="K2229" s="337">
        <f t="shared" si="1203"/>
        <v>177.41670519063879</v>
      </c>
      <c r="L2229" s="337">
        <f t="shared" si="1203"/>
        <v>148.91973727088646</v>
      </c>
      <c r="M2229" s="337">
        <f t="shared" si="1203"/>
        <v>125</v>
      </c>
    </row>
    <row r="2230" spans="2:13" hidden="1" outlineLevel="2" x14ac:dyDescent="0.2">
      <c r="B2230" t="str">
        <f>+C2230&amp;D2230&amp;E2230&amp;F2230</f>
        <v>GlobalOpexPlant - SMR - opexPercent of Capex</v>
      </c>
      <c r="C2230" t="s">
        <v>109</v>
      </c>
      <c r="D2230" t="s">
        <v>219</v>
      </c>
      <c r="E2230" s="48" t="s">
        <v>1175</v>
      </c>
      <c r="F2230" s="128" t="s">
        <v>883</v>
      </c>
      <c r="G2230" s="544">
        <f>+INDEX('Fuel Model -  Input'!$B$3:$N$373,MATCH($B2230,'Fuel Model -  Input'!$B$3:$B$373,0),MATCH(G$2,'Fuel Model -  Input'!$B$3:$N$3,0))</f>
        <v>0.1148698354997035</v>
      </c>
      <c r="H2230" s="544">
        <f>+INDEX('Fuel Model -  Input'!$B$3:$N$373,MATCH($B2230,'Fuel Model -  Input'!$B$3:$B$373,0),MATCH(H$2,'Fuel Model -  Input'!$B$3:$N$3,0))</f>
        <v>0.1</v>
      </c>
      <c r="I2230" s="544">
        <f>+INDEX('Fuel Model -  Input'!$B$3:$N$373,MATCH($B2230,'Fuel Model -  Input'!$B$3:$B$373,0),MATCH(I$2,'Fuel Model -  Input'!$B$3:$N$3,0))</f>
        <v>8.7055056329612412E-2</v>
      </c>
      <c r="J2230" s="544">
        <f>+INDEX('Fuel Model -  Input'!$B$3:$N$373,MATCH($B2230,'Fuel Model -  Input'!$B$3:$B$373,0),MATCH(J$2,'Fuel Model -  Input'!$B$3:$N$3,0))</f>
        <v>7.5785828325519902E-2</v>
      </c>
      <c r="K2230" s="544">
        <f>+INDEX('Fuel Model -  Input'!$B$3:$N$373,MATCH($B2230,'Fuel Model -  Input'!$B$3:$B$373,0),MATCH(K$2,'Fuel Model -  Input'!$B$3:$N$3,0))</f>
        <v>6.5975395538644704E-2</v>
      </c>
      <c r="L2230" s="544">
        <f>+INDEX('Fuel Model -  Input'!$B$3:$N$373,MATCH($B2230,'Fuel Model -  Input'!$B$3:$B$373,0),MATCH(L$2,'Fuel Model -  Input'!$B$3:$N$3,0))</f>
        <v>5.7434917749851745E-2</v>
      </c>
      <c r="M2230" s="544">
        <f>+INDEX('Fuel Model -  Input'!$B$3:$N$373,MATCH($B2230,'Fuel Model -  Input'!$B$3:$B$373,0),MATCH(M$2,'Fuel Model -  Input'!$B$3:$N$3,0))</f>
        <v>0.05</v>
      </c>
    </row>
    <row r="2231" spans="2:13" ht="12.75" hidden="1" outlineLevel="1" x14ac:dyDescent="0.2">
      <c r="F2231"/>
    </row>
    <row r="2232" spans="2:13" s="30" customFormat="1" ht="15" hidden="1" outlineLevel="1" collapsed="1" x14ac:dyDescent="0.25">
      <c r="B2232" s="30" t="s">
        <v>198</v>
      </c>
      <c r="C2232" s="30" t="str">
        <f>+B2232</f>
        <v>Asia</v>
      </c>
    </row>
    <row r="2233" spans="2:13" ht="15" hidden="1" outlineLevel="2" x14ac:dyDescent="0.25">
      <c r="B2233" t="str">
        <f>+C2233&amp;D2233&amp;E2233&amp;F2233</f>
        <v>AsiaResultsTotal cost of Blue hydrogenUSD/ton</v>
      </c>
      <c r="C2233" s="494" t="str">
        <f>+$C$2232</f>
        <v>Asia</v>
      </c>
      <c r="D2233" s="30" t="s">
        <v>838</v>
      </c>
      <c r="E2233" s="405" t="s">
        <v>1205</v>
      </c>
      <c r="F2233" s="127" t="s">
        <v>205</v>
      </c>
      <c r="G2233" s="490">
        <f t="shared" ref="G2233:M2233" si="1204">G2234+G2235+G2236+G2237</f>
        <v>7062.9281858743398</v>
      </c>
      <c r="H2233" s="490">
        <f t="shared" si="1204"/>
        <v>3791</v>
      </c>
      <c r="I2233" s="490">
        <f t="shared" si="1204"/>
        <v>2386.8878184313126</v>
      </c>
      <c r="J2233" s="490">
        <f t="shared" si="1204"/>
        <v>2304.0904550859868</v>
      </c>
      <c r="K2233" s="490">
        <f t="shared" si="1204"/>
        <v>2228.8354636715817</v>
      </c>
      <c r="L2233" s="490">
        <f t="shared" si="1204"/>
        <v>2160.0509221993966</v>
      </c>
      <c r="M2233" s="490">
        <f t="shared" si="1204"/>
        <v>2096.8333333333335</v>
      </c>
    </row>
    <row r="2234" spans="2:13" ht="15" hidden="1" outlineLevel="2" x14ac:dyDescent="0.25">
      <c r="B2234" t="str">
        <f>+C2234&amp;D2234&amp;E2234&amp;F2234</f>
        <v>AsiaResultsTotal Capex Blue HydrogenUSD/ton</v>
      </c>
      <c r="C2234" s="494" t="str">
        <f>+$C$2232</f>
        <v>Asia</v>
      </c>
      <c r="D2234" s="30" t="s">
        <v>838</v>
      </c>
      <c r="E2234" s="228" t="s">
        <v>1201</v>
      </c>
      <c r="F2234" s="127" t="s">
        <v>205</v>
      </c>
      <c r="G2234" s="490">
        <f t="shared" ref="G2234:M2234" si="1205">G2239</f>
        <v>274.84138167421179</v>
      </c>
      <c r="H2234" s="490">
        <f t="shared" si="1205"/>
        <v>265.00000000000006</v>
      </c>
      <c r="I2234" s="490">
        <f t="shared" si="1205"/>
        <v>255.51101356069626</v>
      </c>
      <c r="J2234" s="490">
        <f t="shared" si="1205"/>
        <v>246.36180396533697</v>
      </c>
      <c r="K2234" s="490">
        <f t="shared" si="1205"/>
        <v>237.54020465594266</v>
      </c>
      <c r="L2234" s="490">
        <f t="shared" si="1205"/>
        <v>229.03448472850988</v>
      </c>
      <c r="M2234" s="490">
        <f t="shared" si="1205"/>
        <v>220.83333333333337</v>
      </c>
    </row>
    <row r="2235" spans="2:13" ht="15" hidden="1" outlineLevel="2" x14ac:dyDescent="0.25">
      <c r="B2235" t="str">
        <f>+C2235&amp;D2235&amp;E2235&amp;F2235</f>
        <v>AsiaResultsTotal Opex Blue HydrogenUSD/ton</v>
      </c>
      <c r="C2235" s="494" t="str">
        <f>+$C$2232</f>
        <v>Asia</v>
      </c>
      <c r="D2235" s="30" t="s">
        <v>838</v>
      </c>
      <c r="E2235" s="228" t="s">
        <v>1202</v>
      </c>
      <c r="F2235" s="127" t="s">
        <v>205</v>
      </c>
      <c r="G2235" s="335">
        <f>+G2254</f>
        <v>357.40736945012748</v>
      </c>
      <c r="H2235" s="335">
        <f t="shared" ref="H2235:M2235" si="1206">+H2254</f>
        <v>300</v>
      </c>
      <c r="I2235" s="335">
        <f t="shared" si="1206"/>
        <v>251.81349824561624</v>
      </c>
      <c r="J2235" s="335">
        <f t="shared" si="1206"/>
        <v>211.36679299564994</v>
      </c>
      <c r="K2235" s="335">
        <f t="shared" si="1206"/>
        <v>177.41670519063879</v>
      </c>
      <c r="L2235" s="335">
        <f t="shared" si="1206"/>
        <v>148.91973727088646</v>
      </c>
      <c r="M2235" s="335">
        <f t="shared" si="1206"/>
        <v>125</v>
      </c>
    </row>
    <row r="2236" spans="2:13" ht="15" hidden="1" outlineLevel="2" x14ac:dyDescent="0.25">
      <c r="B2236" t="str">
        <f>+C2236&amp;D2236&amp;E2236&amp;F2236</f>
        <v>AsiaResultsTotal Raw Material Blue HydrogenUSD/ton</v>
      </c>
      <c r="C2236" s="494" t="str">
        <f>+$C$2232</f>
        <v>Asia</v>
      </c>
      <c r="D2236" s="30" t="s">
        <v>838</v>
      </c>
      <c r="E2236" s="228" t="s">
        <v>1203</v>
      </c>
      <c r="F2236" s="127" t="s">
        <v>205</v>
      </c>
      <c r="G2236" s="490">
        <f>+G2242+G2245</f>
        <v>5751.0871744000005</v>
      </c>
      <c r="H2236" s="490">
        <f t="shared" ref="H2236:M2236" si="1207">+H2242+H2245</f>
        <v>2551</v>
      </c>
      <c r="I2236" s="490">
        <f t="shared" si="1207"/>
        <v>1209.1245353499999</v>
      </c>
      <c r="J2236" s="490">
        <f t="shared" si="1207"/>
        <v>1180.4534936500002</v>
      </c>
      <c r="K2236" s="490">
        <f t="shared" si="1207"/>
        <v>1152.4699825</v>
      </c>
      <c r="L2236" s="490">
        <f t="shared" si="1207"/>
        <v>1125.1575151500001</v>
      </c>
      <c r="M2236" s="490">
        <f t="shared" si="1207"/>
        <v>1098.5</v>
      </c>
    </row>
    <row r="2237" spans="2:13" ht="15" hidden="1" outlineLevel="2" x14ac:dyDescent="0.25">
      <c r="B2237" t="str">
        <f>+C2237&amp;D2237&amp;E2237&amp;F2237</f>
        <v>AsiaResultsTotal CO2 Blue HydrogenUSD/ton</v>
      </c>
      <c r="C2237" s="494" t="str">
        <f>+$C$2232</f>
        <v>Asia</v>
      </c>
      <c r="D2237" s="30" t="s">
        <v>838</v>
      </c>
      <c r="E2237" s="228" t="s">
        <v>1204</v>
      </c>
      <c r="F2237" s="127" t="s">
        <v>205</v>
      </c>
      <c r="G2237" s="490">
        <f>+G2249</f>
        <v>679.59226035000006</v>
      </c>
      <c r="H2237" s="490">
        <f t="shared" ref="H2237:M2237" si="1208">+H2249</f>
        <v>675</v>
      </c>
      <c r="I2237" s="490">
        <f t="shared" si="1208"/>
        <v>670.43877127499991</v>
      </c>
      <c r="J2237" s="490">
        <f t="shared" si="1208"/>
        <v>665.90836447499998</v>
      </c>
      <c r="K2237" s="490">
        <f t="shared" si="1208"/>
        <v>661.40857132500003</v>
      </c>
      <c r="L2237" s="490">
        <f t="shared" si="1208"/>
        <v>656.93918504999999</v>
      </c>
      <c r="M2237" s="490">
        <f t="shared" si="1208"/>
        <v>652.5</v>
      </c>
    </row>
    <row r="2238" spans="2:13" hidden="1" outlineLevel="2" x14ac:dyDescent="0.2">
      <c r="E2238" s="48"/>
      <c r="F2238" s="128"/>
      <c r="G2238" s="8"/>
      <c r="H2238" s="8"/>
      <c r="I2238" s="8"/>
      <c r="J2238" s="8"/>
      <c r="K2238" s="8"/>
      <c r="L2238" s="8"/>
      <c r="M2238" s="8"/>
    </row>
    <row r="2239" spans="2:13" hidden="1" outlineLevel="2" x14ac:dyDescent="0.2">
      <c r="B2239" t="str">
        <f t="shared" ref="B2239:B2247" si="1209">+C2239&amp;D2239&amp;E2239&amp;F2239</f>
        <v>AsiaPlant - SMRCapex Grey Hydrogen USD/ton H2</v>
      </c>
      <c r="C2239" s="494" t="str">
        <f>+$C$2232</f>
        <v>Asia</v>
      </c>
      <c r="D2239" t="s">
        <v>1167</v>
      </c>
      <c r="E2239" s="48" t="s">
        <v>1168</v>
      </c>
      <c r="F2239" s="128" t="s">
        <v>881</v>
      </c>
      <c r="G2239" s="8">
        <f t="shared" ref="G2239:M2239" si="1210">G2241/G2240</f>
        <v>274.84138167421179</v>
      </c>
      <c r="H2239" s="8">
        <f t="shared" si="1210"/>
        <v>265.00000000000006</v>
      </c>
      <c r="I2239" s="8">
        <f t="shared" si="1210"/>
        <v>255.51101356069626</v>
      </c>
      <c r="J2239" s="8">
        <f t="shared" si="1210"/>
        <v>246.36180396533697</v>
      </c>
      <c r="K2239" s="8">
        <f t="shared" si="1210"/>
        <v>237.54020465594266</v>
      </c>
      <c r="L2239" s="8">
        <f t="shared" si="1210"/>
        <v>229.03448472850988</v>
      </c>
      <c r="M2239" s="8">
        <f t="shared" si="1210"/>
        <v>220.83333333333337</v>
      </c>
    </row>
    <row r="2240" spans="2:13" hidden="1" outlineLevel="2" x14ac:dyDescent="0.2">
      <c r="B2240" t="str">
        <f t="shared" si="1209"/>
        <v>GlobalPlant capexAnnualisation factor#</v>
      </c>
      <c r="C2240" t="s">
        <v>109</v>
      </c>
      <c r="D2240" t="s">
        <v>786</v>
      </c>
      <c r="E2240" t="s">
        <v>764</v>
      </c>
      <c r="F2240" s="450" t="s">
        <v>787</v>
      </c>
      <c r="G2240" s="524">
        <f>+INDEX('Fuel Model -  Input'!$B$3:$N$373,MATCH($B2240,'Fuel Model -  Input'!$B$3:$B$373,0),MATCH(G$2,'Fuel Model -  Input'!$B$3:$N$3,0))</f>
        <v>11.32075471698113</v>
      </c>
      <c r="H2240" s="524">
        <f>+INDEX('Fuel Model -  Input'!$B$3:$N$373,MATCH($B2240,'Fuel Model -  Input'!$B$3:$B$373,0),MATCH(H$2,'Fuel Model -  Input'!$B$3:$N$3,0))</f>
        <v>11.32075471698113</v>
      </c>
      <c r="I2240" s="524">
        <f>+INDEX('Fuel Model -  Input'!$B$3:$N$373,MATCH($B2240,'Fuel Model -  Input'!$B$3:$B$373,0),MATCH(I$2,'Fuel Model -  Input'!$B$3:$N$3,0))</f>
        <v>11.32075471698113</v>
      </c>
      <c r="J2240" s="524">
        <f>+INDEX('Fuel Model -  Input'!$B$3:$N$373,MATCH($B2240,'Fuel Model -  Input'!$B$3:$B$373,0),MATCH(J$2,'Fuel Model -  Input'!$B$3:$N$3,0))</f>
        <v>11.32075471698113</v>
      </c>
      <c r="K2240" s="524">
        <f>+INDEX('Fuel Model -  Input'!$B$3:$N$373,MATCH($B2240,'Fuel Model -  Input'!$B$3:$B$373,0),MATCH(K$2,'Fuel Model -  Input'!$B$3:$N$3,0))</f>
        <v>11.32075471698113</v>
      </c>
      <c r="L2240" s="524">
        <f>+INDEX('Fuel Model -  Input'!$B$3:$N$373,MATCH($B2240,'Fuel Model -  Input'!$B$3:$B$373,0),MATCH(L$2,'Fuel Model -  Input'!$B$3:$N$3,0))</f>
        <v>11.32075471698113</v>
      </c>
      <c r="M2240" s="524">
        <f>+INDEX('Fuel Model -  Input'!$B$3:$N$373,MATCH($B2240,'Fuel Model -  Input'!$B$3:$B$373,0),MATCH(M$2,'Fuel Model -  Input'!$B$3:$N$3,0))</f>
        <v>11.32075471698113</v>
      </c>
    </row>
    <row r="2241" spans="2:13" hidden="1" outlineLevel="2" x14ac:dyDescent="0.2">
      <c r="B2241" t="str">
        <f t="shared" si="1209"/>
        <v>GlobalCapexSMR - PlantUSD/ton H2 Cap</v>
      </c>
      <c r="C2241" t="s">
        <v>109</v>
      </c>
      <c r="D2241" t="s">
        <v>218</v>
      </c>
      <c r="E2241" s="48" t="s">
        <v>1169</v>
      </c>
      <c r="F2241" s="128" t="s">
        <v>1170</v>
      </c>
      <c r="G2241" s="524">
        <f>+INDEX('Fuel Model -  Input'!$B$3:$N$373,MATCH($B2241,'Fuel Model -  Input'!$B$3:$B$373,0),MATCH(G$2,'Fuel Model -  Input'!$B$3:$N$3,0))</f>
        <v>3111.4118680099441</v>
      </c>
      <c r="H2241" s="524">
        <f>+INDEX('Fuel Model -  Input'!$B$3:$N$373,MATCH($B2241,'Fuel Model -  Input'!$B$3:$B$373,0),MATCH(H$2,'Fuel Model -  Input'!$B$3:$N$3,0))</f>
        <v>3000</v>
      </c>
      <c r="I2241" s="524">
        <f>+INDEX('Fuel Model -  Input'!$B$3:$N$373,MATCH($B2241,'Fuel Model -  Input'!$B$3:$B$373,0),MATCH(I$2,'Fuel Model -  Input'!$B$3:$N$3,0))</f>
        <v>2892.5775120078815</v>
      </c>
      <c r="J2241" s="524">
        <f>+INDEX('Fuel Model -  Input'!$B$3:$N$373,MATCH($B2241,'Fuel Model -  Input'!$B$3:$B$373,0),MATCH(J$2,'Fuel Model -  Input'!$B$3:$N$3,0))</f>
        <v>2789.001554324569</v>
      </c>
      <c r="K2241" s="524">
        <f>+INDEX('Fuel Model -  Input'!$B$3:$N$373,MATCH($B2241,'Fuel Model -  Input'!$B$3:$B$373,0),MATCH(K$2,'Fuel Model -  Input'!$B$3:$N$3,0))</f>
        <v>2689.1343923314257</v>
      </c>
      <c r="L2241" s="524">
        <f>+INDEX('Fuel Model -  Input'!$B$3:$N$373,MATCH($B2241,'Fuel Model -  Input'!$B$3:$B$373,0),MATCH(L$2,'Fuel Model -  Input'!$B$3:$N$3,0))</f>
        <v>2592.8432233416206</v>
      </c>
      <c r="M2241" s="524">
        <f>+INDEX('Fuel Model -  Input'!$B$3:$N$373,MATCH($B2241,'Fuel Model -  Input'!$B$3:$B$373,0),MATCH(M$2,'Fuel Model -  Input'!$B$3:$N$3,0))</f>
        <v>2500</v>
      </c>
    </row>
    <row r="2242" spans="2:13" hidden="1" outlineLevel="2" x14ac:dyDescent="0.2">
      <c r="B2242" t="str">
        <f t="shared" si="1209"/>
        <v>GlobalFeedstockCost of NG in H2USD/ton H2</v>
      </c>
      <c r="C2242" t="s">
        <v>109</v>
      </c>
      <c r="D2242" t="s">
        <v>777</v>
      </c>
      <c r="E2242" t="s">
        <v>1171</v>
      </c>
      <c r="F2242" s="128" t="s">
        <v>881</v>
      </c>
      <c r="G2242" s="337">
        <f t="shared" ref="G2242:M2242" si="1211">G2243*G2244</f>
        <v>5737.5871744000005</v>
      </c>
      <c r="H2242" s="337">
        <f t="shared" si="1211"/>
        <v>2537.5</v>
      </c>
      <c r="I2242" s="337">
        <f t="shared" si="1211"/>
        <v>1195.6245353499999</v>
      </c>
      <c r="J2242" s="337">
        <f t="shared" si="1211"/>
        <v>1166.9534936500002</v>
      </c>
      <c r="K2242" s="337">
        <f t="shared" si="1211"/>
        <v>1138.9699825</v>
      </c>
      <c r="L2242" s="337">
        <f t="shared" si="1211"/>
        <v>1111.6575151500001</v>
      </c>
      <c r="M2242" s="337">
        <f t="shared" si="1211"/>
        <v>1085</v>
      </c>
    </row>
    <row r="2243" spans="2:13" hidden="1" outlineLevel="2" x14ac:dyDescent="0.2">
      <c r="B2243" t="str">
        <f t="shared" si="1209"/>
        <v>GlobalFeedstockConversion NG : H2 (actual)kg NG/kg H2</v>
      </c>
      <c r="C2243" t="s">
        <v>109</v>
      </c>
      <c r="D2243" t="s">
        <v>777</v>
      </c>
      <c r="E2243" t="s">
        <v>1172</v>
      </c>
      <c r="F2243" s="128" t="s">
        <v>1173</v>
      </c>
      <c r="G2243" s="520">
        <f>INDEX('Fuel Model -  Input'!$B$3:$N$373,MATCH($B2243,'Fuel Model -  Input'!$B$3:$B$373,0),MATCH(G$2,'Fuel Model -  Input'!$B$3:$N$3,0))</f>
        <v>3.5859919840000001</v>
      </c>
      <c r="H2243" s="520">
        <f>INDEX('Fuel Model -  Input'!$B$3:$N$373,MATCH($B2243,'Fuel Model -  Input'!$B$3:$B$373,0),MATCH(H$2,'Fuel Model -  Input'!$B$3:$N$3,0))</f>
        <v>3.5</v>
      </c>
      <c r="I2243" s="520">
        <f>INDEX('Fuel Model -  Input'!$B$3:$N$373,MATCH($B2243,'Fuel Model -  Input'!$B$3:$B$373,0),MATCH(I$2,'Fuel Model -  Input'!$B$3:$N$3,0))</f>
        <v>3.4160701009999999</v>
      </c>
      <c r="J2243" s="520">
        <f>INDEX('Fuel Model -  Input'!$B$3:$N$373,MATCH($B2243,'Fuel Model -  Input'!$B$3:$B$373,0),MATCH(J$2,'Fuel Model -  Input'!$B$3:$N$3,0))</f>
        <v>3.3341528390000001</v>
      </c>
      <c r="K2243" s="520">
        <f>INDEX('Fuel Model -  Input'!$B$3:$N$373,MATCH($B2243,'Fuel Model -  Input'!$B$3:$B$373,0),MATCH(K$2,'Fuel Model -  Input'!$B$3:$N$3,0))</f>
        <v>3.2541999499999998</v>
      </c>
      <c r="L2243" s="520">
        <f>INDEX('Fuel Model -  Input'!$B$3:$N$373,MATCH($B2243,'Fuel Model -  Input'!$B$3:$B$373,0),MATCH(L$2,'Fuel Model -  Input'!$B$3:$N$3,0))</f>
        <v>3.1761643290000001</v>
      </c>
      <c r="M2243" s="520">
        <f>INDEX('Fuel Model -  Input'!$B$3:$N$373,MATCH($B2243,'Fuel Model -  Input'!$B$3:$B$373,0),MATCH(M$2,'Fuel Model -  Input'!$B$3:$N$3,0))</f>
        <v>3.1</v>
      </c>
    </row>
    <row r="2244" spans="2:13" hidden="1" outlineLevel="2" x14ac:dyDescent="0.2">
      <c r="B2244" t="str">
        <f t="shared" si="1209"/>
        <v>AsiaFeedstockCost of NGUSD/ton</v>
      </c>
      <c r="C2244" t="s">
        <v>198</v>
      </c>
      <c r="D2244" t="s">
        <v>777</v>
      </c>
      <c r="E2244" t="s">
        <v>1144</v>
      </c>
      <c r="F2244" s="450" t="s">
        <v>205</v>
      </c>
      <c r="G2244" s="524">
        <f>+INDEX('Fuel Model -  Input'!$B$3:$N$373,MATCH($B2244,'Fuel Model -  Input'!$B$3:$B$373,0),MATCH(G$2,'Fuel Model -  Input'!$B$3:$N$3,0))</f>
        <v>1600</v>
      </c>
      <c r="H2244" s="524">
        <f>+INDEX('Fuel Model -  Input'!$B$3:$N$373,MATCH($B2244,'Fuel Model -  Input'!$B$3:$B$373,0),MATCH(H$2,'Fuel Model -  Input'!$B$3:$N$3,0))</f>
        <v>725</v>
      </c>
      <c r="I2244" s="524">
        <f>+INDEX('Fuel Model -  Input'!$B$3:$N$373,MATCH($B2244,'Fuel Model -  Input'!$B$3:$B$373,0),MATCH(I$2,'Fuel Model -  Input'!$B$3:$N$3,0))</f>
        <v>350</v>
      </c>
      <c r="J2244" s="524">
        <f>+INDEX('Fuel Model -  Input'!$B$3:$N$373,MATCH($B2244,'Fuel Model -  Input'!$B$3:$B$373,0),MATCH(J$2,'Fuel Model -  Input'!$B$3:$N$3,0))</f>
        <v>350</v>
      </c>
      <c r="K2244" s="524">
        <f>+INDEX('Fuel Model -  Input'!$B$3:$N$373,MATCH($B2244,'Fuel Model -  Input'!$B$3:$B$373,0),MATCH(K$2,'Fuel Model -  Input'!$B$3:$N$3,0))</f>
        <v>350</v>
      </c>
      <c r="L2244" s="524">
        <f>+INDEX('Fuel Model -  Input'!$B$3:$N$373,MATCH($B2244,'Fuel Model -  Input'!$B$3:$B$373,0),MATCH(L$2,'Fuel Model -  Input'!$B$3:$N$3,0))</f>
        <v>350</v>
      </c>
      <c r="M2244" s="524">
        <f>+INDEX('Fuel Model -  Input'!$B$3:$N$373,MATCH($B2244,'Fuel Model -  Input'!$B$3:$B$373,0),MATCH(M$2,'Fuel Model -  Input'!$B$3:$N$3,0))</f>
        <v>350</v>
      </c>
    </row>
    <row r="2245" spans="2:13" hidden="1" outlineLevel="2" x14ac:dyDescent="0.2">
      <c r="B2245" t="str">
        <f t="shared" si="1209"/>
        <v>AsiaFeedstockCost of H2O in H2USD/ton H2</v>
      </c>
      <c r="C2245" s="494" t="str">
        <f>C2244</f>
        <v>Asia</v>
      </c>
      <c r="D2245" t="s">
        <v>777</v>
      </c>
      <c r="E2245" t="s">
        <v>897</v>
      </c>
      <c r="F2245" s="128" t="s">
        <v>881</v>
      </c>
      <c r="G2245" s="337">
        <f t="shared" ref="G2245:M2245" si="1212">G2246*G2247</f>
        <v>13.5</v>
      </c>
      <c r="H2245" s="337">
        <f t="shared" si="1212"/>
        <v>13.5</v>
      </c>
      <c r="I2245" s="337">
        <f t="shared" si="1212"/>
        <v>13.5</v>
      </c>
      <c r="J2245" s="337">
        <f t="shared" si="1212"/>
        <v>13.5</v>
      </c>
      <c r="K2245" s="337">
        <f t="shared" si="1212"/>
        <v>13.5</v>
      </c>
      <c r="L2245" s="337">
        <f t="shared" si="1212"/>
        <v>13.5</v>
      </c>
      <c r="M2245" s="337">
        <f t="shared" si="1212"/>
        <v>13.5</v>
      </c>
    </row>
    <row r="2246" spans="2:13" hidden="1" outlineLevel="2" x14ac:dyDescent="0.2">
      <c r="B2246" t="str">
        <f t="shared" si="1209"/>
        <v>GlobalFeedstockConversion H2O:H2 (actual)ton H2O/ton H2</v>
      </c>
      <c r="C2246" t="s">
        <v>109</v>
      </c>
      <c r="D2246" t="s">
        <v>777</v>
      </c>
      <c r="E2246" t="s">
        <v>898</v>
      </c>
      <c r="F2246" s="128" t="s">
        <v>899</v>
      </c>
      <c r="G2246" s="499">
        <f>INDEX('Fuel Model -  Input'!$B$3:$N$373,MATCH($B2246,'Fuel Model -  Input'!$B$3:$B$373,0),MATCH(G$2,'Fuel Model -  Input'!$B$3:$N$3,0))</f>
        <v>9</v>
      </c>
      <c r="H2246" s="499">
        <f>INDEX('Fuel Model -  Input'!$B$3:$N$373,MATCH($B2246,'Fuel Model -  Input'!$B$3:$B$373,0),MATCH(H$2,'Fuel Model -  Input'!$B$3:$N$3,0))</f>
        <v>9</v>
      </c>
      <c r="I2246" s="499">
        <f>INDEX('Fuel Model -  Input'!$B$3:$N$373,MATCH($B2246,'Fuel Model -  Input'!$B$3:$B$373,0),MATCH(I$2,'Fuel Model -  Input'!$B$3:$N$3,0))</f>
        <v>9</v>
      </c>
      <c r="J2246" s="499">
        <f>INDEX('Fuel Model -  Input'!$B$3:$N$373,MATCH($B2246,'Fuel Model -  Input'!$B$3:$B$373,0),MATCH(J$2,'Fuel Model -  Input'!$B$3:$N$3,0))</f>
        <v>9</v>
      </c>
      <c r="K2246" s="499">
        <f>INDEX('Fuel Model -  Input'!$B$3:$N$373,MATCH($B2246,'Fuel Model -  Input'!$B$3:$B$373,0),MATCH(K$2,'Fuel Model -  Input'!$B$3:$N$3,0))</f>
        <v>9</v>
      </c>
      <c r="L2246" s="499">
        <f>INDEX('Fuel Model -  Input'!$B$3:$N$373,MATCH($B2246,'Fuel Model -  Input'!$B$3:$B$373,0),MATCH(L$2,'Fuel Model -  Input'!$B$3:$N$3,0))</f>
        <v>9</v>
      </c>
      <c r="M2246" s="499">
        <f>INDEX('Fuel Model -  Input'!$B$3:$N$373,MATCH($B2246,'Fuel Model -  Input'!$B$3:$B$373,0),MATCH(M$2,'Fuel Model -  Input'!$B$3:$N$3,0))</f>
        <v>9</v>
      </c>
    </row>
    <row r="2247" spans="2:13" hidden="1" outlineLevel="2" x14ac:dyDescent="0.2">
      <c r="B2247" t="str">
        <f t="shared" si="1209"/>
        <v>GlobalFeedstockDemineralized water costUSD/ton demin H2O</v>
      </c>
      <c r="C2247" s="494" t="s">
        <v>109</v>
      </c>
      <c r="D2247" t="s">
        <v>777</v>
      </c>
      <c r="E2247" t="s">
        <v>900</v>
      </c>
      <c r="F2247" s="450" t="s">
        <v>901</v>
      </c>
      <c r="G2247" s="499">
        <f>+INDEX('Fuel Model -  Input'!$B$3:$N$373,MATCH($B2247,'Fuel Model -  Input'!$B$3:$B$373,0),MATCH(G$2,'Fuel Model -  Input'!$B$3:$N$3,0))</f>
        <v>1.5</v>
      </c>
      <c r="H2247" s="499">
        <f>+INDEX('Fuel Model -  Input'!$B$3:$N$373,MATCH($B2247,'Fuel Model -  Input'!$B$3:$B$373,0),MATCH(H$2,'Fuel Model -  Input'!$B$3:$N$3,0))</f>
        <v>1.5</v>
      </c>
      <c r="I2247" s="499">
        <f>+INDEX('Fuel Model -  Input'!$B$3:$N$373,MATCH($B2247,'Fuel Model -  Input'!$B$3:$B$373,0),MATCH(I$2,'Fuel Model -  Input'!$B$3:$N$3,0))</f>
        <v>1.5</v>
      </c>
      <c r="J2247" s="499">
        <f>+INDEX('Fuel Model -  Input'!$B$3:$N$373,MATCH($B2247,'Fuel Model -  Input'!$B$3:$B$373,0),MATCH(J$2,'Fuel Model -  Input'!$B$3:$N$3,0))</f>
        <v>1.5</v>
      </c>
      <c r="K2247" s="499">
        <f>+INDEX('Fuel Model -  Input'!$B$3:$N$373,MATCH($B2247,'Fuel Model -  Input'!$B$3:$B$373,0),MATCH(K$2,'Fuel Model -  Input'!$B$3:$N$3,0))</f>
        <v>1.5</v>
      </c>
      <c r="L2247" s="499">
        <f>+INDEX('Fuel Model -  Input'!$B$3:$N$373,MATCH($B2247,'Fuel Model -  Input'!$B$3:$B$373,0),MATCH(L$2,'Fuel Model -  Input'!$B$3:$N$3,0))</f>
        <v>1.5</v>
      </c>
      <c r="M2247" s="499">
        <f>+INDEX('Fuel Model -  Input'!$B$3:$N$373,MATCH($B2247,'Fuel Model -  Input'!$B$3:$B$373,0),MATCH(M$2,'Fuel Model -  Input'!$B$3:$N$3,0))</f>
        <v>1.5</v>
      </c>
    </row>
    <row r="2248" spans="2:13" ht="12.75" hidden="1" outlineLevel="2" x14ac:dyDescent="0.2">
      <c r="F2248"/>
    </row>
    <row r="2249" spans="2:13" hidden="1" outlineLevel="2" x14ac:dyDescent="0.2">
      <c r="B2249" t="str">
        <f>+C2249&amp;D2249&amp;E2249&amp;F2249</f>
        <v>AsiaCO2 StorageCO2 Storage Capture Blue HydrogenUSD/ton H2</v>
      </c>
      <c r="C2249" s="494" t="str">
        <f>+$C$2232</f>
        <v>Asia</v>
      </c>
      <c r="D2249" t="s">
        <v>1206</v>
      </c>
      <c r="E2249" s="48" t="s">
        <v>1207</v>
      </c>
      <c r="F2249" s="128" t="s">
        <v>881</v>
      </c>
      <c r="G2249" s="8">
        <f t="shared" ref="G2249:M2249" si="1213">+G2250*(G2251+G2252)</f>
        <v>679.59226035000006</v>
      </c>
      <c r="H2249" s="8">
        <f t="shared" si="1213"/>
        <v>675</v>
      </c>
      <c r="I2249" s="8">
        <f t="shared" si="1213"/>
        <v>670.43877127499991</v>
      </c>
      <c r="J2249" s="8">
        <f t="shared" si="1213"/>
        <v>665.90836447499998</v>
      </c>
      <c r="K2249" s="8">
        <f t="shared" si="1213"/>
        <v>661.40857132500003</v>
      </c>
      <c r="L2249" s="8">
        <f t="shared" si="1213"/>
        <v>656.93918504999999</v>
      </c>
      <c r="M2249" s="8">
        <f t="shared" si="1213"/>
        <v>652.5</v>
      </c>
    </row>
    <row r="2250" spans="2:13" hidden="1" outlineLevel="2" x14ac:dyDescent="0.2">
      <c r="B2250" t="str">
        <f>+C2250&amp;D2250&amp;E2250&amp;F2250</f>
        <v>GlobalCO2 CaptureConversion CO2 : H2 (actual)kg CO2/kg H2</v>
      </c>
      <c r="C2250" t="s">
        <v>109</v>
      </c>
      <c r="D2250" t="s">
        <v>1178</v>
      </c>
      <c r="E2250" t="s">
        <v>1179</v>
      </c>
      <c r="F2250" s="128" t="s">
        <v>1180</v>
      </c>
      <c r="G2250" s="520">
        <f>INDEX('Fuel Model -  Input'!$B$3:$N$373,MATCH($B2250,'Fuel Model -  Input'!$B$3:$B$373,0),MATCH(G$2,'Fuel Model -  Input'!$B$3:$N$3,0))</f>
        <v>9.0612301380000009</v>
      </c>
      <c r="H2250" s="520">
        <f>INDEX('Fuel Model -  Input'!$B$3:$N$373,MATCH($B2250,'Fuel Model -  Input'!$B$3:$B$373,0),MATCH(H$2,'Fuel Model -  Input'!$B$3:$N$3,0))</f>
        <v>9</v>
      </c>
      <c r="I2250" s="520">
        <f>INDEX('Fuel Model -  Input'!$B$3:$N$373,MATCH($B2250,'Fuel Model -  Input'!$B$3:$B$373,0),MATCH(I$2,'Fuel Model -  Input'!$B$3:$N$3,0))</f>
        <v>8.9391836169999994</v>
      </c>
      <c r="J2250" s="520">
        <f>INDEX('Fuel Model -  Input'!$B$3:$N$373,MATCH($B2250,'Fuel Model -  Input'!$B$3:$B$373,0),MATCH(J$2,'Fuel Model -  Input'!$B$3:$N$3,0))</f>
        <v>8.8787781930000005</v>
      </c>
      <c r="K2250" s="520">
        <f>INDEX('Fuel Model -  Input'!$B$3:$N$373,MATCH($B2250,'Fuel Model -  Input'!$B$3:$B$373,0),MATCH(K$2,'Fuel Model -  Input'!$B$3:$N$3,0))</f>
        <v>8.8187809510000008</v>
      </c>
      <c r="L2250" s="520">
        <f>INDEX('Fuel Model -  Input'!$B$3:$N$373,MATCH($B2250,'Fuel Model -  Input'!$B$3:$B$373,0),MATCH(L$2,'Fuel Model -  Input'!$B$3:$N$3,0))</f>
        <v>8.7591891339999997</v>
      </c>
      <c r="M2250" s="520">
        <f>INDEX('Fuel Model -  Input'!$B$3:$N$373,MATCH($B2250,'Fuel Model -  Input'!$B$3:$B$373,0),MATCH(M$2,'Fuel Model -  Input'!$B$3:$N$3,0))</f>
        <v>8.6999999999999993</v>
      </c>
    </row>
    <row r="2251" spans="2:13" hidden="1" outlineLevel="2" x14ac:dyDescent="0.2">
      <c r="B2251" t="str">
        <f>+C2251&amp;D2251&amp;E2251&amp;F2251</f>
        <v>AsiaCO2 StorageCost of CO2 storageUSD/ton CO2</v>
      </c>
      <c r="C2251" t="s">
        <v>198</v>
      </c>
      <c r="D2251" t="s">
        <v>1206</v>
      </c>
      <c r="E2251" t="s">
        <v>1208</v>
      </c>
      <c r="F2251" s="128" t="s">
        <v>382</v>
      </c>
      <c r="G2251" s="524">
        <f>+INDEX('Fuel Model -  Input'!$B$3:$N$373,MATCH($B2251,'Fuel Model -  Input'!$B$3:$B$373,0),MATCH(G$2,'Fuel Model -  Input'!$B$3:$N$3,0))</f>
        <v>50</v>
      </c>
      <c r="H2251" s="524">
        <f>+INDEX('Fuel Model -  Input'!$B$3:$N$373,MATCH($B2251,'Fuel Model -  Input'!$B$3:$B$373,0),MATCH(H$2,'Fuel Model -  Input'!$B$3:$N$3,0))</f>
        <v>50</v>
      </c>
      <c r="I2251" s="524">
        <f>+INDEX('Fuel Model -  Input'!$B$3:$N$373,MATCH($B2251,'Fuel Model -  Input'!$B$3:$B$373,0),MATCH(I$2,'Fuel Model -  Input'!$B$3:$N$3,0))</f>
        <v>50</v>
      </c>
      <c r="J2251" s="524">
        <f>+INDEX('Fuel Model -  Input'!$B$3:$N$373,MATCH($B2251,'Fuel Model -  Input'!$B$3:$B$373,0),MATCH(J$2,'Fuel Model -  Input'!$B$3:$N$3,0))</f>
        <v>50</v>
      </c>
      <c r="K2251" s="524">
        <f>+INDEX('Fuel Model -  Input'!$B$3:$N$373,MATCH($B2251,'Fuel Model -  Input'!$B$3:$B$373,0),MATCH(K$2,'Fuel Model -  Input'!$B$3:$N$3,0))</f>
        <v>50</v>
      </c>
      <c r="L2251" s="524">
        <f>+INDEX('Fuel Model -  Input'!$B$3:$N$373,MATCH($B2251,'Fuel Model -  Input'!$B$3:$B$373,0),MATCH(L$2,'Fuel Model -  Input'!$B$3:$N$3,0))</f>
        <v>50</v>
      </c>
      <c r="M2251" s="524">
        <f>+INDEX('Fuel Model -  Input'!$B$3:$N$373,MATCH($B2251,'Fuel Model -  Input'!$B$3:$B$373,0),MATCH(M$2,'Fuel Model -  Input'!$B$3:$N$3,0))</f>
        <v>50</v>
      </c>
    </row>
    <row r="2252" spans="2:13" hidden="1" outlineLevel="2" x14ac:dyDescent="0.2">
      <c r="B2252" t="str">
        <f>+C2252&amp;D2252&amp;E2252&amp;F2252</f>
        <v>AsiaFeedstockCost of blue CO2 PSUSD/ton</v>
      </c>
      <c r="C2252" s="494" t="str">
        <f>+C2232</f>
        <v>Asia</v>
      </c>
      <c r="D2252" t="s">
        <v>777</v>
      </c>
      <c r="E2252" t="s">
        <v>1209</v>
      </c>
      <c r="F2252" s="128" t="s">
        <v>205</v>
      </c>
      <c r="G2252" s="524">
        <f>+INDEX('Fuel Model -  Input'!$B$3:$N$373,MATCH($B2252,'Fuel Model -  Input'!$B$3:$B$373,0),MATCH(G$2,'Fuel Model -  Input'!$B$3:$N$3,0))</f>
        <v>25</v>
      </c>
      <c r="H2252" s="524">
        <f>+INDEX('Fuel Model -  Input'!$B$3:$N$373,MATCH($B2252,'Fuel Model -  Input'!$B$3:$B$373,0),MATCH(H$2,'Fuel Model -  Input'!$B$3:$N$3,0))</f>
        <v>25</v>
      </c>
      <c r="I2252" s="524">
        <f>+INDEX('Fuel Model -  Input'!$B$3:$N$373,MATCH($B2252,'Fuel Model -  Input'!$B$3:$B$373,0),MATCH(I$2,'Fuel Model -  Input'!$B$3:$N$3,0))</f>
        <v>25</v>
      </c>
      <c r="J2252" s="524">
        <f>+INDEX('Fuel Model -  Input'!$B$3:$N$373,MATCH($B2252,'Fuel Model -  Input'!$B$3:$B$373,0),MATCH(J$2,'Fuel Model -  Input'!$B$3:$N$3,0))</f>
        <v>25</v>
      </c>
      <c r="K2252" s="524">
        <f>+INDEX('Fuel Model -  Input'!$B$3:$N$373,MATCH($B2252,'Fuel Model -  Input'!$B$3:$B$373,0),MATCH(K$2,'Fuel Model -  Input'!$B$3:$N$3,0))</f>
        <v>25</v>
      </c>
      <c r="L2252" s="524">
        <f>+INDEX('Fuel Model -  Input'!$B$3:$N$373,MATCH($B2252,'Fuel Model -  Input'!$B$3:$B$373,0),MATCH(L$2,'Fuel Model -  Input'!$B$3:$N$3,0))</f>
        <v>25</v>
      </c>
      <c r="M2252" s="524">
        <f>+INDEX('Fuel Model -  Input'!$B$3:$N$373,MATCH($B2252,'Fuel Model -  Input'!$B$3:$B$373,0),MATCH(M$2,'Fuel Model -  Input'!$B$3:$N$3,0))</f>
        <v>25</v>
      </c>
    </row>
    <row r="2253" spans="2:13" hidden="1" outlineLevel="2" x14ac:dyDescent="0.2">
      <c r="F2253" s="128"/>
      <c r="G2253" s="524"/>
      <c r="H2253" s="524"/>
      <c r="I2253" s="524"/>
      <c r="J2253" s="524"/>
      <c r="K2253" s="524"/>
      <c r="L2253" s="524"/>
      <c r="M2253" s="524"/>
    </row>
    <row r="2254" spans="2:13" hidden="1" outlineLevel="2" x14ac:dyDescent="0.2">
      <c r="B2254" t="str">
        <f>+C2254&amp;D2254&amp;E2254&amp;F2254</f>
        <v>AsiaOpexSMRUSD/ton H2</v>
      </c>
      <c r="C2254" s="494" t="str">
        <f>+$C$2232</f>
        <v>Asia</v>
      </c>
      <c r="D2254" t="s">
        <v>219</v>
      </c>
      <c r="E2254" s="48" t="s">
        <v>1174</v>
      </c>
      <c r="F2254" s="128" t="s">
        <v>881</v>
      </c>
      <c r="G2254" s="337">
        <f t="shared" ref="G2254:M2254" si="1214">G2255*G2241</f>
        <v>357.40736945012748</v>
      </c>
      <c r="H2254" s="337">
        <f t="shared" si="1214"/>
        <v>300</v>
      </c>
      <c r="I2254" s="337">
        <f t="shared" si="1214"/>
        <v>251.81349824561624</v>
      </c>
      <c r="J2254" s="337">
        <f t="shared" si="1214"/>
        <v>211.36679299564994</v>
      </c>
      <c r="K2254" s="337">
        <f t="shared" si="1214"/>
        <v>177.41670519063879</v>
      </c>
      <c r="L2254" s="337">
        <f t="shared" si="1214"/>
        <v>148.91973727088646</v>
      </c>
      <c r="M2254" s="337">
        <f t="shared" si="1214"/>
        <v>125</v>
      </c>
    </row>
    <row r="2255" spans="2:13" hidden="1" outlineLevel="2" x14ac:dyDescent="0.2">
      <c r="B2255" t="str">
        <f>+C2255&amp;D2255&amp;E2255&amp;F2255</f>
        <v>GlobalOpexPlant - SMR - opexPercent of Capex</v>
      </c>
      <c r="C2255" t="s">
        <v>109</v>
      </c>
      <c r="D2255" t="s">
        <v>219</v>
      </c>
      <c r="E2255" s="48" t="s">
        <v>1175</v>
      </c>
      <c r="F2255" s="128" t="s">
        <v>883</v>
      </c>
      <c r="G2255" s="544">
        <f>+INDEX('Fuel Model -  Input'!$B$3:$N$373,MATCH($B2255,'Fuel Model -  Input'!$B$3:$B$373,0),MATCH(G$2,'Fuel Model -  Input'!$B$3:$N$3,0))</f>
        <v>0.1148698354997035</v>
      </c>
      <c r="H2255" s="544">
        <f>+INDEX('Fuel Model -  Input'!$B$3:$N$373,MATCH($B2255,'Fuel Model -  Input'!$B$3:$B$373,0),MATCH(H$2,'Fuel Model -  Input'!$B$3:$N$3,0))</f>
        <v>0.1</v>
      </c>
      <c r="I2255" s="544">
        <f>+INDEX('Fuel Model -  Input'!$B$3:$N$373,MATCH($B2255,'Fuel Model -  Input'!$B$3:$B$373,0),MATCH(I$2,'Fuel Model -  Input'!$B$3:$N$3,0))</f>
        <v>8.7055056329612412E-2</v>
      </c>
      <c r="J2255" s="544">
        <f>+INDEX('Fuel Model -  Input'!$B$3:$N$373,MATCH($B2255,'Fuel Model -  Input'!$B$3:$B$373,0),MATCH(J$2,'Fuel Model -  Input'!$B$3:$N$3,0))</f>
        <v>7.5785828325519902E-2</v>
      </c>
      <c r="K2255" s="544">
        <f>+INDEX('Fuel Model -  Input'!$B$3:$N$373,MATCH($B2255,'Fuel Model -  Input'!$B$3:$B$373,0),MATCH(K$2,'Fuel Model -  Input'!$B$3:$N$3,0))</f>
        <v>6.5975395538644704E-2</v>
      </c>
      <c r="L2255" s="544">
        <f>+INDEX('Fuel Model -  Input'!$B$3:$N$373,MATCH($B2255,'Fuel Model -  Input'!$B$3:$B$373,0),MATCH(L$2,'Fuel Model -  Input'!$B$3:$N$3,0))</f>
        <v>5.7434917749851745E-2</v>
      </c>
      <c r="M2255" s="544">
        <f>+INDEX('Fuel Model -  Input'!$B$3:$N$373,MATCH($B2255,'Fuel Model -  Input'!$B$3:$B$373,0),MATCH(M$2,'Fuel Model -  Input'!$B$3:$N$3,0))</f>
        <v>0.05</v>
      </c>
    </row>
    <row r="2256" spans="2:13" ht="12.75" hidden="1" outlineLevel="1" x14ac:dyDescent="0.2">
      <c r="F2256"/>
    </row>
    <row r="2257" spans="2:13" s="30" customFormat="1" ht="15" hidden="1" outlineLevel="1" collapsed="1" x14ac:dyDescent="0.25">
      <c r="B2257" s="30" t="s">
        <v>199</v>
      </c>
      <c r="C2257" s="30" t="str">
        <f>+B2257</f>
        <v>Americas</v>
      </c>
    </row>
    <row r="2258" spans="2:13" ht="15" hidden="1" outlineLevel="2" x14ac:dyDescent="0.25">
      <c r="B2258" t="str">
        <f>+C2258&amp;D2258&amp;E2258&amp;F2258</f>
        <v>AmericasResultsTotal cost of Blue hydrogenUSD/ton</v>
      </c>
      <c r="C2258" s="494" t="str">
        <f>+$C$2257</f>
        <v>Americas</v>
      </c>
      <c r="D2258" s="30" t="s">
        <v>838</v>
      </c>
      <c r="E2258" s="405" t="s">
        <v>1205</v>
      </c>
      <c r="F2258" s="127" t="s">
        <v>205</v>
      </c>
      <c r="G2258" s="490">
        <f t="shared" ref="G2258:M2258" si="1215">G2259+G2260+G2261+G2262</f>
        <v>2580.4382058743395</v>
      </c>
      <c r="H2258" s="490">
        <f t="shared" si="1215"/>
        <v>2058.5</v>
      </c>
      <c r="I2258" s="490">
        <f t="shared" si="1215"/>
        <v>1942.7987053013123</v>
      </c>
      <c r="J2258" s="490">
        <f t="shared" si="1215"/>
        <v>1970.675171185987</v>
      </c>
      <c r="K2258" s="490">
        <f t="shared" si="1215"/>
        <v>1903.4154686715815</v>
      </c>
      <c r="L2258" s="490">
        <f t="shared" si="1215"/>
        <v>1842.4344892993963</v>
      </c>
      <c r="M2258" s="490">
        <f t="shared" si="1215"/>
        <v>1786.8333333333335</v>
      </c>
    </row>
    <row r="2259" spans="2:13" ht="15" hidden="1" outlineLevel="2" x14ac:dyDescent="0.25">
      <c r="B2259" t="str">
        <f>+C2259&amp;D2259&amp;E2259&amp;F2259</f>
        <v>AmericasResultsTotal Capex Blue HydrogenUSD/ton</v>
      </c>
      <c r="C2259" s="494" t="str">
        <f>+$C$2257</f>
        <v>Americas</v>
      </c>
      <c r="D2259" s="30" t="s">
        <v>838</v>
      </c>
      <c r="E2259" s="228" t="s">
        <v>1201</v>
      </c>
      <c r="F2259" s="127" t="s">
        <v>205</v>
      </c>
      <c r="G2259" s="490">
        <f t="shared" ref="G2259:M2259" si="1216">G2264</f>
        <v>274.84138167421179</v>
      </c>
      <c r="H2259" s="490">
        <f t="shared" si="1216"/>
        <v>265.00000000000006</v>
      </c>
      <c r="I2259" s="490">
        <f t="shared" si="1216"/>
        <v>255.51101356069626</v>
      </c>
      <c r="J2259" s="490">
        <f t="shared" si="1216"/>
        <v>246.36180396533697</v>
      </c>
      <c r="K2259" s="490">
        <f t="shared" si="1216"/>
        <v>237.54020465594266</v>
      </c>
      <c r="L2259" s="490">
        <f t="shared" si="1216"/>
        <v>229.03448472850988</v>
      </c>
      <c r="M2259" s="490">
        <f t="shared" si="1216"/>
        <v>220.83333333333337</v>
      </c>
    </row>
    <row r="2260" spans="2:13" ht="15" hidden="1" outlineLevel="2" x14ac:dyDescent="0.25">
      <c r="B2260" t="str">
        <f>+C2260&amp;D2260&amp;E2260&amp;F2260</f>
        <v>AmericasResultsTotal Opex Blue HydrogenUSD/ton</v>
      </c>
      <c r="C2260" s="494" t="str">
        <f>+$C$2257</f>
        <v>Americas</v>
      </c>
      <c r="D2260" s="30" t="s">
        <v>838</v>
      </c>
      <c r="E2260" s="228" t="s">
        <v>1202</v>
      </c>
      <c r="F2260" s="127" t="s">
        <v>205</v>
      </c>
      <c r="G2260" s="335">
        <f>+G2279</f>
        <v>357.40736945012748</v>
      </c>
      <c r="H2260" s="335">
        <f t="shared" ref="H2260:M2260" si="1217">+H2279</f>
        <v>300</v>
      </c>
      <c r="I2260" s="335">
        <f t="shared" si="1217"/>
        <v>251.81349824561624</v>
      </c>
      <c r="J2260" s="335">
        <f t="shared" si="1217"/>
        <v>211.36679299564994</v>
      </c>
      <c r="K2260" s="335">
        <f t="shared" si="1217"/>
        <v>177.41670519063879</v>
      </c>
      <c r="L2260" s="335">
        <f t="shared" si="1217"/>
        <v>148.91973727088646</v>
      </c>
      <c r="M2260" s="335">
        <f t="shared" si="1217"/>
        <v>125</v>
      </c>
    </row>
    <row r="2261" spans="2:13" ht="15" hidden="1" outlineLevel="2" x14ac:dyDescent="0.25">
      <c r="B2261" t="str">
        <f>+C2261&amp;D2261&amp;E2261&amp;F2261</f>
        <v>AmericasResultsTotal Raw Material Blue HydrogenUSD/ton</v>
      </c>
      <c r="C2261" s="494" t="str">
        <f>+$C$2257</f>
        <v>Americas</v>
      </c>
      <c r="D2261" s="30" t="s">
        <v>838</v>
      </c>
      <c r="E2261" s="228" t="s">
        <v>1203</v>
      </c>
      <c r="F2261" s="127" t="s">
        <v>205</v>
      </c>
      <c r="G2261" s="490">
        <f>+G2267+G2270</f>
        <v>1268.5971944</v>
      </c>
      <c r="H2261" s="490">
        <f t="shared" ref="H2261:M2261" si="1218">+H2267+H2270</f>
        <v>818.5</v>
      </c>
      <c r="I2261" s="490">
        <f t="shared" si="1218"/>
        <v>765.03542221999999</v>
      </c>
      <c r="J2261" s="490">
        <f t="shared" si="1218"/>
        <v>847.03820975000008</v>
      </c>
      <c r="K2261" s="490">
        <f t="shared" si="1218"/>
        <v>827.04998749999993</v>
      </c>
      <c r="L2261" s="490">
        <f t="shared" si="1218"/>
        <v>807.54108225000004</v>
      </c>
      <c r="M2261" s="490">
        <f t="shared" si="1218"/>
        <v>788.5</v>
      </c>
    </row>
    <row r="2262" spans="2:13" ht="15" hidden="1" outlineLevel="2" x14ac:dyDescent="0.25">
      <c r="B2262" t="str">
        <f>+C2262&amp;D2262&amp;E2262&amp;F2262</f>
        <v>AmericasResultsTotal CO2 Blue HydrogenUSD/ton</v>
      </c>
      <c r="C2262" s="494" t="str">
        <f>+$C$2257</f>
        <v>Americas</v>
      </c>
      <c r="D2262" s="30" t="s">
        <v>838</v>
      </c>
      <c r="E2262" s="228" t="s">
        <v>1204</v>
      </c>
      <c r="F2262" s="127" t="s">
        <v>205</v>
      </c>
      <c r="G2262" s="490">
        <f>+G2274</f>
        <v>679.59226035000006</v>
      </c>
      <c r="H2262" s="490">
        <f t="shared" ref="H2262:M2262" si="1219">+H2274</f>
        <v>675</v>
      </c>
      <c r="I2262" s="490">
        <f t="shared" si="1219"/>
        <v>670.43877127499991</v>
      </c>
      <c r="J2262" s="490">
        <f t="shared" si="1219"/>
        <v>665.90836447499998</v>
      </c>
      <c r="K2262" s="490">
        <f t="shared" si="1219"/>
        <v>661.40857132500003</v>
      </c>
      <c r="L2262" s="490">
        <f t="shared" si="1219"/>
        <v>656.93918504999999</v>
      </c>
      <c r="M2262" s="490">
        <f t="shared" si="1219"/>
        <v>652.5</v>
      </c>
    </row>
    <row r="2263" spans="2:13" hidden="1" outlineLevel="2" x14ac:dyDescent="0.2">
      <c r="E2263" s="48"/>
      <c r="F2263" s="128"/>
      <c r="G2263" s="8"/>
      <c r="H2263" s="8"/>
      <c r="I2263" s="8"/>
      <c r="J2263" s="8"/>
      <c r="K2263" s="8"/>
      <c r="L2263" s="8"/>
      <c r="M2263" s="8"/>
    </row>
    <row r="2264" spans="2:13" hidden="1" outlineLevel="2" x14ac:dyDescent="0.2">
      <c r="B2264" t="str">
        <f t="shared" ref="B2264:B2272" si="1220">+C2264&amp;D2264&amp;E2264&amp;F2264</f>
        <v>AmericasPlant - SMRCapex Grey Hydrogen USD/ton H2</v>
      </c>
      <c r="C2264" s="494" t="str">
        <f>+$C$2257</f>
        <v>Americas</v>
      </c>
      <c r="D2264" t="s">
        <v>1167</v>
      </c>
      <c r="E2264" s="48" t="s">
        <v>1168</v>
      </c>
      <c r="F2264" s="128" t="s">
        <v>881</v>
      </c>
      <c r="G2264" s="8">
        <f t="shared" ref="G2264:M2264" si="1221">G2266/G2265</f>
        <v>274.84138167421179</v>
      </c>
      <c r="H2264" s="8">
        <f t="shared" si="1221"/>
        <v>265.00000000000006</v>
      </c>
      <c r="I2264" s="8">
        <f t="shared" si="1221"/>
        <v>255.51101356069626</v>
      </c>
      <c r="J2264" s="8">
        <f t="shared" si="1221"/>
        <v>246.36180396533697</v>
      </c>
      <c r="K2264" s="8">
        <f t="shared" si="1221"/>
        <v>237.54020465594266</v>
      </c>
      <c r="L2264" s="8">
        <f t="shared" si="1221"/>
        <v>229.03448472850988</v>
      </c>
      <c r="M2264" s="8">
        <f t="shared" si="1221"/>
        <v>220.83333333333337</v>
      </c>
    </row>
    <row r="2265" spans="2:13" hidden="1" outlineLevel="2" x14ac:dyDescent="0.2">
      <c r="B2265" t="str">
        <f t="shared" si="1220"/>
        <v>GlobalPlant capexAnnualisation factor#</v>
      </c>
      <c r="C2265" t="s">
        <v>109</v>
      </c>
      <c r="D2265" t="s">
        <v>786</v>
      </c>
      <c r="E2265" t="s">
        <v>764</v>
      </c>
      <c r="F2265" s="450" t="s">
        <v>787</v>
      </c>
      <c r="G2265" s="524">
        <f>+INDEX('Fuel Model -  Input'!$B$3:$N$373,MATCH($B2265,'Fuel Model -  Input'!$B$3:$B$373,0),MATCH(G$2,'Fuel Model -  Input'!$B$3:$N$3,0))</f>
        <v>11.32075471698113</v>
      </c>
      <c r="H2265" s="524">
        <f>+INDEX('Fuel Model -  Input'!$B$3:$N$373,MATCH($B2265,'Fuel Model -  Input'!$B$3:$B$373,0),MATCH(H$2,'Fuel Model -  Input'!$B$3:$N$3,0))</f>
        <v>11.32075471698113</v>
      </c>
      <c r="I2265" s="524">
        <f>+INDEX('Fuel Model -  Input'!$B$3:$N$373,MATCH($B2265,'Fuel Model -  Input'!$B$3:$B$373,0),MATCH(I$2,'Fuel Model -  Input'!$B$3:$N$3,0))</f>
        <v>11.32075471698113</v>
      </c>
      <c r="J2265" s="524">
        <f>+INDEX('Fuel Model -  Input'!$B$3:$N$373,MATCH($B2265,'Fuel Model -  Input'!$B$3:$B$373,0),MATCH(J$2,'Fuel Model -  Input'!$B$3:$N$3,0))</f>
        <v>11.32075471698113</v>
      </c>
      <c r="K2265" s="524">
        <f>+INDEX('Fuel Model -  Input'!$B$3:$N$373,MATCH($B2265,'Fuel Model -  Input'!$B$3:$B$373,0),MATCH(K$2,'Fuel Model -  Input'!$B$3:$N$3,0))</f>
        <v>11.32075471698113</v>
      </c>
      <c r="L2265" s="524">
        <f>+INDEX('Fuel Model -  Input'!$B$3:$N$373,MATCH($B2265,'Fuel Model -  Input'!$B$3:$B$373,0),MATCH(L$2,'Fuel Model -  Input'!$B$3:$N$3,0))</f>
        <v>11.32075471698113</v>
      </c>
      <c r="M2265" s="524">
        <f>+INDEX('Fuel Model -  Input'!$B$3:$N$373,MATCH($B2265,'Fuel Model -  Input'!$B$3:$B$373,0),MATCH(M$2,'Fuel Model -  Input'!$B$3:$N$3,0))</f>
        <v>11.32075471698113</v>
      </c>
    </row>
    <row r="2266" spans="2:13" hidden="1" outlineLevel="2" x14ac:dyDescent="0.2">
      <c r="B2266" t="str">
        <f t="shared" si="1220"/>
        <v>GlobalCapexSMR - PlantUSD/ton H2 Cap</v>
      </c>
      <c r="C2266" t="s">
        <v>109</v>
      </c>
      <c r="D2266" t="s">
        <v>218</v>
      </c>
      <c r="E2266" s="48" t="s">
        <v>1169</v>
      </c>
      <c r="F2266" s="128" t="s">
        <v>1170</v>
      </c>
      <c r="G2266" s="524">
        <f>+INDEX('Fuel Model -  Input'!$B$3:$N$373,MATCH($B2266,'Fuel Model -  Input'!$B$3:$B$373,0),MATCH(G$2,'Fuel Model -  Input'!$B$3:$N$3,0))</f>
        <v>3111.4118680099441</v>
      </c>
      <c r="H2266" s="524">
        <f>+INDEX('Fuel Model -  Input'!$B$3:$N$373,MATCH($B2266,'Fuel Model -  Input'!$B$3:$B$373,0),MATCH(H$2,'Fuel Model -  Input'!$B$3:$N$3,0))</f>
        <v>3000</v>
      </c>
      <c r="I2266" s="524">
        <f>+INDEX('Fuel Model -  Input'!$B$3:$N$373,MATCH($B2266,'Fuel Model -  Input'!$B$3:$B$373,0),MATCH(I$2,'Fuel Model -  Input'!$B$3:$N$3,0))</f>
        <v>2892.5775120078815</v>
      </c>
      <c r="J2266" s="524">
        <f>+INDEX('Fuel Model -  Input'!$B$3:$N$373,MATCH($B2266,'Fuel Model -  Input'!$B$3:$B$373,0),MATCH(J$2,'Fuel Model -  Input'!$B$3:$N$3,0))</f>
        <v>2789.001554324569</v>
      </c>
      <c r="K2266" s="524">
        <f>+INDEX('Fuel Model -  Input'!$B$3:$N$373,MATCH($B2266,'Fuel Model -  Input'!$B$3:$B$373,0),MATCH(K$2,'Fuel Model -  Input'!$B$3:$N$3,0))</f>
        <v>2689.1343923314257</v>
      </c>
      <c r="L2266" s="524">
        <f>+INDEX('Fuel Model -  Input'!$B$3:$N$373,MATCH($B2266,'Fuel Model -  Input'!$B$3:$B$373,0),MATCH(L$2,'Fuel Model -  Input'!$B$3:$N$3,0))</f>
        <v>2592.8432233416206</v>
      </c>
      <c r="M2266" s="524">
        <f>+INDEX('Fuel Model -  Input'!$B$3:$N$373,MATCH($B2266,'Fuel Model -  Input'!$B$3:$B$373,0),MATCH(M$2,'Fuel Model -  Input'!$B$3:$N$3,0))</f>
        <v>2500</v>
      </c>
    </row>
    <row r="2267" spans="2:13" hidden="1" outlineLevel="2" x14ac:dyDescent="0.2">
      <c r="B2267" t="str">
        <f t="shared" si="1220"/>
        <v>GlobalFeedstockCost of NG in H2USD/ton H2</v>
      </c>
      <c r="C2267" t="s">
        <v>109</v>
      </c>
      <c r="D2267" t="s">
        <v>777</v>
      </c>
      <c r="E2267" t="s">
        <v>1171</v>
      </c>
      <c r="F2267" s="128" t="s">
        <v>881</v>
      </c>
      <c r="G2267" s="337">
        <f t="shared" ref="G2267:M2267" si="1222">G2268*G2269</f>
        <v>1255.0971944</v>
      </c>
      <c r="H2267" s="337">
        <f t="shared" si="1222"/>
        <v>805</v>
      </c>
      <c r="I2267" s="337">
        <f t="shared" si="1222"/>
        <v>751.53542221999999</v>
      </c>
      <c r="J2267" s="337">
        <f t="shared" si="1222"/>
        <v>833.53820975000008</v>
      </c>
      <c r="K2267" s="337">
        <f t="shared" si="1222"/>
        <v>813.54998749999993</v>
      </c>
      <c r="L2267" s="337">
        <f t="shared" si="1222"/>
        <v>794.04108225000004</v>
      </c>
      <c r="M2267" s="337">
        <f t="shared" si="1222"/>
        <v>775</v>
      </c>
    </row>
    <row r="2268" spans="2:13" hidden="1" outlineLevel="2" x14ac:dyDescent="0.2">
      <c r="B2268" t="str">
        <f t="shared" si="1220"/>
        <v>GlobalFeedstockConversion NG : H2 (actual)kg NG/kg H2</v>
      </c>
      <c r="C2268" t="s">
        <v>109</v>
      </c>
      <c r="D2268" t="s">
        <v>777</v>
      </c>
      <c r="E2268" t="s">
        <v>1172</v>
      </c>
      <c r="F2268" s="128" t="s">
        <v>1173</v>
      </c>
      <c r="G2268" s="520">
        <f>INDEX('Fuel Model -  Input'!$B$3:$N$373,MATCH($B2268,'Fuel Model -  Input'!$B$3:$B$373,0),MATCH(G$2,'Fuel Model -  Input'!$B$3:$N$3,0))</f>
        <v>3.5859919840000001</v>
      </c>
      <c r="H2268" s="520">
        <f>INDEX('Fuel Model -  Input'!$B$3:$N$373,MATCH($B2268,'Fuel Model -  Input'!$B$3:$B$373,0),MATCH(H$2,'Fuel Model -  Input'!$B$3:$N$3,0))</f>
        <v>3.5</v>
      </c>
      <c r="I2268" s="520">
        <f>INDEX('Fuel Model -  Input'!$B$3:$N$373,MATCH($B2268,'Fuel Model -  Input'!$B$3:$B$373,0),MATCH(I$2,'Fuel Model -  Input'!$B$3:$N$3,0))</f>
        <v>3.4160701009999999</v>
      </c>
      <c r="J2268" s="520">
        <f>INDEX('Fuel Model -  Input'!$B$3:$N$373,MATCH($B2268,'Fuel Model -  Input'!$B$3:$B$373,0),MATCH(J$2,'Fuel Model -  Input'!$B$3:$N$3,0))</f>
        <v>3.3341528390000001</v>
      </c>
      <c r="K2268" s="520">
        <f>INDEX('Fuel Model -  Input'!$B$3:$N$373,MATCH($B2268,'Fuel Model -  Input'!$B$3:$B$373,0),MATCH(K$2,'Fuel Model -  Input'!$B$3:$N$3,0))</f>
        <v>3.2541999499999998</v>
      </c>
      <c r="L2268" s="520">
        <f>INDEX('Fuel Model -  Input'!$B$3:$N$373,MATCH($B2268,'Fuel Model -  Input'!$B$3:$B$373,0),MATCH(L$2,'Fuel Model -  Input'!$B$3:$N$3,0))</f>
        <v>3.1761643290000001</v>
      </c>
      <c r="M2268" s="520">
        <f>INDEX('Fuel Model -  Input'!$B$3:$N$373,MATCH($B2268,'Fuel Model -  Input'!$B$3:$B$373,0),MATCH(M$2,'Fuel Model -  Input'!$B$3:$N$3,0))</f>
        <v>3.1</v>
      </c>
    </row>
    <row r="2269" spans="2:13" hidden="1" outlineLevel="2" x14ac:dyDescent="0.2">
      <c r="B2269" t="str">
        <f t="shared" si="1220"/>
        <v>AmericasFeedstockCost of NGUSD/ton</v>
      </c>
      <c r="C2269" t="s">
        <v>199</v>
      </c>
      <c r="D2269" t="s">
        <v>777</v>
      </c>
      <c r="E2269" t="s">
        <v>1144</v>
      </c>
      <c r="F2269" s="450" t="s">
        <v>205</v>
      </c>
      <c r="G2269" s="524">
        <f>+INDEX('Fuel Model -  Input'!$B$3:$N$373,MATCH($B2269,'Fuel Model -  Input'!$B$3:$B$373,0),MATCH(G$2,'Fuel Model -  Input'!$B$3:$N$3,0))</f>
        <v>350</v>
      </c>
      <c r="H2269" s="524">
        <f>+INDEX('Fuel Model -  Input'!$B$3:$N$373,MATCH($B2269,'Fuel Model -  Input'!$B$3:$B$373,0),MATCH(H$2,'Fuel Model -  Input'!$B$3:$N$3,0))</f>
        <v>230</v>
      </c>
      <c r="I2269" s="524">
        <f>+INDEX('Fuel Model -  Input'!$B$3:$N$373,MATCH($B2269,'Fuel Model -  Input'!$B$3:$B$373,0),MATCH(I$2,'Fuel Model -  Input'!$B$3:$N$3,0))</f>
        <v>220</v>
      </c>
      <c r="J2269" s="524">
        <f>+INDEX('Fuel Model -  Input'!$B$3:$N$373,MATCH($B2269,'Fuel Model -  Input'!$B$3:$B$373,0),MATCH(J$2,'Fuel Model -  Input'!$B$3:$N$3,0))</f>
        <v>250</v>
      </c>
      <c r="K2269" s="524">
        <f>+INDEX('Fuel Model -  Input'!$B$3:$N$373,MATCH($B2269,'Fuel Model -  Input'!$B$3:$B$373,0),MATCH(K$2,'Fuel Model -  Input'!$B$3:$N$3,0))</f>
        <v>250</v>
      </c>
      <c r="L2269" s="524">
        <f>+INDEX('Fuel Model -  Input'!$B$3:$N$373,MATCH($B2269,'Fuel Model -  Input'!$B$3:$B$373,0),MATCH(L$2,'Fuel Model -  Input'!$B$3:$N$3,0))</f>
        <v>250</v>
      </c>
      <c r="M2269" s="524">
        <f>+INDEX('Fuel Model -  Input'!$B$3:$N$373,MATCH($B2269,'Fuel Model -  Input'!$B$3:$B$373,0),MATCH(M$2,'Fuel Model -  Input'!$B$3:$N$3,0))</f>
        <v>250</v>
      </c>
    </row>
    <row r="2270" spans="2:13" hidden="1" outlineLevel="2" x14ac:dyDescent="0.2">
      <c r="B2270" t="str">
        <f t="shared" si="1220"/>
        <v>AmericasFeedstockCost of H2O in H2USD/ton H2</v>
      </c>
      <c r="C2270" s="494" t="str">
        <f>C2269</f>
        <v>Americas</v>
      </c>
      <c r="D2270" t="s">
        <v>777</v>
      </c>
      <c r="E2270" t="s">
        <v>897</v>
      </c>
      <c r="F2270" s="128" t="s">
        <v>881</v>
      </c>
      <c r="G2270" s="337">
        <f t="shared" ref="G2270:M2270" si="1223">G2271*G2272</f>
        <v>13.5</v>
      </c>
      <c r="H2270" s="337">
        <f t="shared" si="1223"/>
        <v>13.5</v>
      </c>
      <c r="I2270" s="337">
        <f t="shared" si="1223"/>
        <v>13.5</v>
      </c>
      <c r="J2270" s="337">
        <f t="shared" si="1223"/>
        <v>13.5</v>
      </c>
      <c r="K2270" s="337">
        <f t="shared" si="1223"/>
        <v>13.5</v>
      </c>
      <c r="L2270" s="337">
        <f t="shared" si="1223"/>
        <v>13.5</v>
      </c>
      <c r="M2270" s="337">
        <f t="shared" si="1223"/>
        <v>13.5</v>
      </c>
    </row>
    <row r="2271" spans="2:13" hidden="1" outlineLevel="2" x14ac:dyDescent="0.2">
      <c r="B2271" t="str">
        <f t="shared" si="1220"/>
        <v>GlobalFeedstockConversion H2O:H2 (actual)ton H2O/ton H2</v>
      </c>
      <c r="C2271" t="s">
        <v>109</v>
      </c>
      <c r="D2271" t="s">
        <v>777</v>
      </c>
      <c r="E2271" t="s">
        <v>898</v>
      </c>
      <c r="F2271" s="128" t="s">
        <v>899</v>
      </c>
      <c r="G2271" s="499">
        <f>INDEX('Fuel Model -  Input'!$B$3:$N$373,MATCH($B2271,'Fuel Model -  Input'!$B$3:$B$373,0),MATCH(G$2,'Fuel Model -  Input'!$B$3:$N$3,0))</f>
        <v>9</v>
      </c>
      <c r="H2271" s="499">
        <f>INDEX('Fuel Model -  Input'!$B$3:$N$373,MATCH($B2271,'Fuel Model -  Input'!$B$3:$B$373,0),MATCH(H$2,'Fuel Model -  Input'!$B$3:$N$3,0))</f>
        <v>9</v>
      </c>
      <c r="I2271" s="499">
        <f>INDEX('Fuel Model -  Input'!$B$3:$N$373,MATCH($B2271,'Fuel Model -  Input'!$B$3:$B$373,0),MATCH(I$2,'Fuel Model -  Input'!$B$3:$N$3,0))</f>
        <v>9</v>
      </c>
      <c r="J2271" s="499">
        <f>INDEX('Fuel Model -  Input'!$B$3:$N$373,MATCH($B2271,'Fuel Model -  Input'!$B$3:$B$373,0),MATCH(J$2,'Fuel Model -  Input'!$B$3:$N$3,0))</f>
        <v>9</v>
      </c>
      <c r="K2271" s="499">
        <f>INDEX('Fuel Model -  Input'!$B$3:$N$373,MATCH($B2271,'Fuel Model -  Input'!$B$3:$B$373,0),MATCH(K$2,'Fuel Model -  Input'!$B$3:$N$3,0))</f>
        <v>9</v>
      </c>
      <c r="L2271" s="499">
        <f>INDEX('Fuel Model -  Input'!$B$3:$N$373,MATCH($B2271,'Fuel Model -  Input'!$B$3:$B$373,0),MATCH(L$2,'Fuel Model -  Input'!$B$3:$N$3,0))</f>
        <v>9</v>
      </c>
      <c r="M2271" s="499">
        <f>INDEX('Fuel Model -  Input'!$B$3:$N$373,MATCH($B2271,'Fuel Model -  Input'!$B$3:$B$373,0),MATCH(M$2,'Fuel Model -  Input'!$B$3:$N$3,0))</f>
        <v>9</v>
      </c>
    </row>
    <row r="2272" spans="2:13" hidden="1" outlineLevel="2" x14ac:dyDescent="0.2">
      <c r="B2272" t="str">
        <f t="shared" si="1220"/>
        <v>GlobalFeedstockDemineralized water costUSD/ton demin H2O</v>
      </c>
      <c r="C2272" s="494" t="s">
        <v>109</v>
      </c>
      <c r="D2272" t="s">
        <v>777</v>
      </c>
      <c r="E2272" t="s">
        <v>900</v>
      </c>
      <c r="F2272" s="450" t="s">
        <v>901</v>
      </c>
      <c r="G2272" s="499">
        <f>+INDEX('Fuel Model -  Input'!$B$3:$N$373,MATCH($B2272,'Fuel Model -  Input'!$B$3:$B$373,0),MATCH(G$2,'Fuel Model -  Input'!$B$3:$N$3,0))</f>
        <v>1.5</v>
      </c>
      <c r="H2272" s="499">
        <f>+INDEX('Fuel Model -  Input'!$B$3:$N$373,MATCH($B2272,'Fuel Model -  Input'!$B$3:$B$373,0),MATCH(H$2,'Fuel Model -  Input'!$B$3:$N$3,0))</f>
        <v>1.5</v>
      </c>
      <c r="I2272" s="499">
        <f>+INDEX('Fuel Model -  Input'!$B$3:$N$373,MATCH($B2272,'Fuel Model -  Input'!$B$3:$B$373,0),MATCH(I$2,'Fuel Model -  Input'!$B$3:$N$3,0))</f>
        <v>1.5</v>
      </c>
      <c r="J2272" s="499">
        <f>+INDEX('Fuel Model -  Input'!$B$3:$N$373,MATCH($B2272,'Fuel Model -  Input'!$B$3:$B$373,0),MATCH(J$2,'Fuel Model -  Input'!$B$3:$N$3,0))</f>
        <v>1.5</v>
      </c>
      <c r="K2272" s="499">
        <f>+INDEX('Fuel Model -  Input'!$B$3:$N$373,MATCH($B2272,'Fuel Model -  Input'!$B$3:$B$373,0),MATCH(K$2,'Fuel Model -  Input'!$B$3:$N$3,0))</f>
        <v>1.5</v>
      </c>
      <c r="L2272" s="499">
        <f>+INDEX('Fuel Model -  Input'!$B$3:$N$373,MATCH($B2272,'Fuel Model -  Input'!$B$3:$B$373,0),MATCH(L$2,'Fuel Model -  Input'!$B$3:$N$3,0))</f>
        <v>1.5</v>
      </c>
      <c r="M2272" s="499">
        <f>+INDEX('Fuel Model -  Input'!$B$3:$N$373,MATCH($B2272,'Fuel Model -  Input'!$B$3:$B$373,0),MATCH(M$2,'Fuel Model -  Input'!$B$3:$N$3,0))</f>
        <v>1.5</v>
      </c>
    </row>
    <row r="2273" spans="2:13" ht="12.75" hidden="1" outlineLevel="2" x14ac:dyDescent="0.2">
      <c r="F2273"/>
    </row>
    <row r="2274" spans="2:13" hidden="1" outlineLevel="2" x14ac:dyDescent="0.2">
      <c r="B2274" t="str">
        <f>+C2274&amp;D2274&amp;E2274&amp;F2274</f>
        <v>AmericasCO2 StorageCO2 Storage Capture Blue HydrogenUSD/ton H2</v>
      </c>
      <c r="C2274" s="494" t="str">
        <f>+$C$2257</f>
        <v>Americas</v>
      </c>
      <c r="D2274" t="s">
        <v>1206</v>
      </c>
      <c r="E2274" s="48" t="s">
        <v>1207</v>
      </c>
      <c r="F2274" s="128" t="s">
        <v>881</v>
      </c>
      <c r="G2274" s="8">
        <f t="shared" ref="G2274:M2274" si="1224">+G2275*(G2276+G2277)</f>
        <v>679.59226035000006</v>
      </c>
      <c r="H2274" s="8">
        <f t="shared" si="1224"/>
        <v>675</v>
      </c>
      <c r="I2274" s="8">
        <f t="shared" si="1224"/>
        <v>670.43877127499991</v>
      </c>
      <c r="J2274" s="8">
        <f t="shared" si="1224"/>
        <v>665.90836447499998</v>
      </c>
      <c r="K2274" s="8">
        <f t="shared" si="1224"/>
        <v>661.40857132500003</v>
      </c>
      <c r="L2274" s="8">
        <f t="shared" si="1224"/>
        <v>656.93918504999999</v>
      </c>
      <c r="M2274" s="8">
        <f t="shared" si="1224"/>
        <v>652.5</v>
      </c>
    </row>
    <row r="2275" spans="2:13" hidden="1" outlineLevel="2" x14ac:dyDescent="0.2">
      <c r="B2275" t="str">
        <f>+C2275&amp;D2275&amp;E2275&amp;F2275</f>
        <v>GlobalCO2 CaptureConversion CO2 : H2 (actual)kg CO2/kg H2</v>
      </c>
      <c r="C2275" t="s">
        <v>109</v>
      </c>
      <c r="D2275" t="s">
        <v>1178</v>
      </c>
      <c r="E2275" t="s">
        <v>1179</v>
      </c>
      <c r="F2275" s="128" t="s">
        <v>1180</v>
      </c>
      <c r="G2275" s="520">
        <f>INDEX('Fuel Model -  Input'!$B$3:$N$373,MATCH($B2275,'Fuel Model -  Input'!$B$3:$B$373,0),MATCH(G$2,'Fuel Model -  Input'!$B$3:$N$3,0))</f>
        <v>9.0612301380000009</v>
      </c>
      <c r="H2275" s="520">
        <f>INDEX('Fuel Model -  Input'!$B$3:$N$373,MATCH($B2275,'Fuel Model -  Input'!$B$3:$B$373,0),MATCH(H$2,'Fuel Model -  Input'!$B$3:$N$3,0))</f>
        <v>9</v>
      </c>
      <c r="I2275" s="520">
        <f>INDEX('Fuel Model -  Input'!$B$3:$N$373,MATCH($B2275,'Fuel Model -  Input'!$B$3:$B$373,0),MATCH(I$2,'Fuel Model -  Input'!$B$3:$N$3,0))</f>
        <v>8.9391836169999994</v>
      </c>
      <c r="J2275" s="520">
        <f>INDEX('Fuel Model -  Input'!$B$3:$N$373,MATCH($B2275,'Fuel Model -  Input'!$B$3:$B$373,0),MATCH(J$2,'Fuel Model -  Input'!$B$3:$N$3,0))</f>
        <v>8.8787781930000005</v>
      </c>
      <c r="K2275" s="520">
        <f>INDEX('Fuel Model -  Input'!$B$3:$N$373,MATCH($B2275,'Fuel Model -  Input'!$B$3:$B$373,0),MATCH(K$2,'Fuel Model -  Input'!$B$3:$N$3,0))</f>
        <v>8.8187809510000008</v>
      </c>
      <c r="L2275" s="520">
        <f>INDEX('Fuel Model -  Input'!$B$3:$N$373,MATCH($B2275,'Fuel Model -  Input'!$B$3:$B$373,0),MATCH(L$2,'Fuel Model -  Input'!$B$3:$N$3,0))</f>
        <v>8.7591891339999997</v>
      </c>
      <c r="M2275" s="520">
        <f>INDEX('Fuel Model -  Input'!$B$3:$N$373,MATCH($B2275,'Fuel Model -  Input'!$B$3:$B$373,0),MATCH(M$2,'Fuel Model -  Input'!$B$3:$N$3,0))</f>
        <v>8.6999999999999993</v>
      </c>
    </row>
    <row r="2276" spans="2:13" hidden="1" outlineLevel="2" x14ac:dyDescent="0.2">
      <c r="B2276" t="str">
        <f>+C2276&amp;D2276&amp;E2276&amp;F2276</f>
        <v>AmericasCO2 StorageCost of CO2 storageUSD/ton CO2</v>
      </c>
      <c r="C2276" t="s">
        <v>199</v>
      </c>
      <c r="D2276" t="s">
        <v>1206</v>
      </c>
      <c r="E2276" t="s">
        <v>1208</v>
      </c>
      <c r="F2276" s="128" t="s">
        <v>382</v>
      </c>
      <c r="G2276" s="524">
        <f>+INDEX('Fuel Model -  Input'!$B$3:$N$373,MATCH($B2276,'Fuel Model -  Input'!$B$3:$B$373,0),MATCH(G$2,'Fuel Model -  Input'!$B$3:$N$3,0))</f>
        <v>50</v>
      </c>
      <c r="H2276" s="524">
        <f>+INDEX('Fuel Model -  Input'!$B$3:$N$373,MATCH($B2276,'Fuel Model -  Input'!$B$3:$B$373,0),MATCH(H$2,'Fuel Model -  Input'!$B$3:$N$3,0))</f>
        <v>50</v>
      </c>
      <c r="I2276" s="524">
        <f>+INDEX('Fuel Model -  Input'!$B$3:$N$373,MATCH($B2276,'Fuel Model -  Input'!$B$3:$B$373,0),MATCH(I$2,'Fuel Model -  Input'!$B$3:$N$3,0))</f>
        <v>50</v>
      </c>
      <c r="J2276" s="524">
        <f>+INDEX('Fuel Model -  Input'!$B$3:$N$373,MATCH($B2276,'Fuel Model -  Input'!$B$3:$B$373,0),MATCH(J$2,'Fuel Model -  Input'!$B$3:$N$3,0))</f>
        <v>50</v>
      </c>
      <c r="K2276" s="524">
        <f>+INDEX('Fuel Model -  Input'!$B$3:$N$373,MATCH($B2276,'Fuel Model -  Input'!$B$3:$B$373,0),MATCH(K$2,'Fuel Model -  Input'!$B$3:$N$3,0))</f>
        <v>50</v>
      </c>
      <c r="L2276" s="524">
        <f>+INDEX('Fuel Model -  Input'!$B$3:$N$373,MATCH($B2276,'Fuel Model -  Input'!$B$3:$B$373,0),MATCH(L$2,'Fuel Model -  Input'!$B$3:$N$3,0))</f>
        <v>50</v>
      </c>
      <c r="M2276" s="524">
        <f>+INDEX('Fuel Model -  Input'!$B$3:$N$373,MATCH($B2276,'Fuel Model -  Input'!$B$3:$B$373,0),MATCH(M$2,'Fuel Model -  Input'!$B$3:$N$3,0))</f>
        <v>50</v>
      </c>
    </row>
    <row r="2277" spans="2:13" hidden="1" outlineLevel="2" x14ac:dyDescent="0.2">
      <c r="B2277" t="str">
        <f>+C2277&amp;D2277&amp;E2277&amp;F2277</f>
        <v>AmericasFeedstockCost of blue CO2 PSUSD/ton</v>
      </c>
      <c r="C2277" s="494" t="str">
        <f>+C2257</f>
        <v>Americas</v>
      </c>
      <c r="D2277" t="s">
        <v>777</v>
      </c>
      <c r="E2277" t="s">
        <v>1209</v>
      </c>
      <c r="F2277" s="128" t="s">
        <v>205</v>
      </c>
      <c r="G2277" s="524">
        <f>+INDEX('Fuel Model -  Input'!$B$3:$N$373,MATCH($B2277,'Fuel Model -  Input'!$B$3:$B$373,0),MATCH(G$2,'Fuel Model -  Input'!$B$3:$N$3,0))</f>
        <v>25</v>
      </c>
      <c r="H2277" s="524">
        <f>+INDEX('Fuel Model -  Input'!$B$3:$N$373,MATCH($B2277,'Fuel Model -  Input'!$B$3:$B$373,0),MATCH(H$2,'Fuel Model -  Input'!$B$3:$N$3,0))</f>
        <v>25</v>
      </c>
      <c r="I2277" s="524">
        <f>+INDEX('Fuel Model -  Input'!$B$3:$N$373,MATCH($B2277,'Fuel Model -  Input'!$B$3:$B$373,0),MATCH(I$2,'Fuel Model -  Input'!$B$3:$N$3,0))</f>
        <v>25</v>
      </c>
      <c r="J2277" s="524">
        <f>+INDEX('Fuel Model -  Input'!$B$3:$N$373,MATCH($B2277,'Fuel Model -  Input'!$B$3:$B$373,0),MATCH(J$2,'Fuel Model -  Input'!$B$3:$N$3,0))</f>
        <v>25</v>
      </c>
      <c r="K2277" s="524">
        <f>+INDEX('Fuel Model -  Input'!$B$3:$N$373,MATCH($B2277,'Fuel Model -  Input'!$B$3:$B$373,0),MATCH(K$2,'Fuel Model -  Input'!$B$3:$N$3,0))</f>
        <v>25</v>
      </c>
      <c r="L2277" s="524">
        <f>+INDEX('Fuel Model -  Input'!$B$3:$N$373,MATCH($B2277,'Fuel Model -  Input'!$B$3:$B$373,0),MATCH(L$2,'Fuel Model -  Input'!$B$3:$N$3,0))</f>
        <v>25</v>
      </c>
      <c r="M2277" s="524">
        <f>+INDEX('Fuel Model -  Input'!$B$3:$N$373,MATCH($B2277,'Fuel Model -  Input'!$B$3:$B$373,0),MATCH(M$2,'Fuel Model -  Input'!$B$3:$N$3,0))</f>
        <v>25</v>
      </c>
    </row>
    <row r="2278" spans="2:13" hidden="1" outlineLevel="2" x14ac:dyDescent="0.2">
      <c r="F2278" s="128"/>
      <c r="G2278" s="524"/>
      <c r="H2278" s="524"/>
      <c r="I2278" s="524"/>
      <c r="J2278" s="524"/>
      <c r="K2278" s="524"/>
      <c r="L2278" s="524"/>
      <c r="M2278" s="524"/>
    </row>
    <row r="2279" spans="2:13" hidden="1" outlineLevel="2" x14ac:dyDescent="0.2">
      <c r="B2279" t="str">
        <f>+C2279&amp;D2279&amp;E2279&amp;F2279</f>
        <v>AmericasOpexSMRUSD/ton H2</v>
      </c>
      <c r="C2279" s="494" t="str">
        <f>+$C$2257</f>
        <v>Americas</v>
      </c>
      <c r="D2279" t="s">
        <v>219</v>
      </c>
      <c r="E2279" s="48" t="s">
        <v>1174</v>
      </c>
      <c r="F2279" s="128" t="s">
        <v>881</v>
      </c>
      <c r="G2279" s="337">
        <f t="shared" ref="G2279:M2279" si="1225">G2280*G2266</f>
        <v>357.40736945012748</v>
      </c>
      <c r="H2279" s="337">
        <f t="shared" si="1225"/>
        <v>300</v>
      </c>
      <c r="I2279" s="337">
        <f t="shared" si="1225"/>
        <v>251.81349824561624</v>
      </c>
      <c r="J2279" s="337">
        <f t="shared" si="1225"/>
        <v>211.36679299564994</v>
      </c>
      <c r="K2279" s="337">
        <f t="shared" si="1225"/>
        <v>177.41670519063879</v>
      </c>
      <c r="L2279" s="337">
        <f t="shared" si="1225"/>
        <v>148.91973727088646</v>
      </c>
      <c r="M2279" s="337">
        <f t="shared" si="1225"/>
        <v>125</v>
      </c>
    </row>
    <row r="2280" spans="2:13" hidden="1" outlineLevel="2" x14ac:dyDescent="0.2">
      <c r="B2280" t="str">
        <f>+C2280&amp;D2280&amp;E2280&amp;F2280</f>
        <v>GlobalOpexPlant - SMR - opexPercent of Capex</v>
      </c>
      <c r="C2280" t="s">
        <v>109</v>
      </c>
      <c r="D2280" t="s">
        <v>219</v>
      </c>
      <c r="E2280" s="48" t="s">
        <v>1175</v>
      </c>
      <c r="F2280" s="128" t="s">
        <v>883</v>
      </c>
      <c r="G2280" s="544">
        <f>+INDEX('Fuel Model -  Input'!$B$3:$N$373,MATCH($B2280,'Fuel Model -  Input'!$B$3:$B$373,0),MATCH(G$2,'Fuel Model -  Input'!$B$3:$N$3,0))</f>
        <v>0.1148698354997035</v>
      </c>
      <c r="H2280" s="544">
        <f>+INDEX('Fuel Model -  Input'!$B$3:$N$373,MATCH($B2280,'Fuel Model -  Input'!$B$3:$B$373,0),MATCH(H$2,'Fuel Model -  Input'!$B$3:$N$3,0))</f>
        <v>0.1</v>
      </c>
      <c r="I2280" s="544">
        <f>+INDEX('Fuel Model -  Input'!$B$3:$N$373,MATCH($B2280,'Fuel Model -  Input'!$B$3:$B$373,0),MATCH(I$2,'Fuel Model -  Input'!$B$3:$N$3,0))</f>
        <v>8.7055056329612412E-2</v>
      </c>
      <c r="J2280" s="544">
        <f>+INDEX('Fuel Model -  Input'!$B$3:$N$373,MATCH($B2280,'Fuel Model -  Input'!$B$3:$B$373,0),MATCH(J$2,'Fuel Model -  Input'!$B$3:$N$3,0))</f>
        <v>7.5785828325519902E-2</v>
      </c>
      <c r="K2280" s="544">
        <f>+INDEX('Fuel Model -  Input'!$B$3:$N$373,MATCH($B2280,'Fuel Model -  Input'!$B$3:$B$373,0),MATCH(K$2,'Fuel Model -  Input'!$B$3:$N$3,0))</f>
        <v>6.5975395538644704E-2</v>
      </c>
      <c r="L2280" s="544">
        <f>+INDEX('Fuel Model -  Input'!$B$3:$N$373,MATCH($B2280,'Fuel Model -  Input'!$B$3:$B$373,0),MATCH(L$2,'Fuel Model -  Input'!$B$3:$N$3,0))</f>
        <v>5.7434917749851745E-2</v>
      </c>
      <c r="M2280" s="544">
        <f>+INDEX('Fuel Model -  Input'!$B$3:$N$373,MATCH($B2280,'Fuel Model -  Input'!$B$3:$B$373,0),MATCH(M$2,'Fuel Model -  Input'!$B$3:$N$3,0))</f>
        <v>0.05</v>
      </c>
    </row>
    <row r="2281" spans="2:13" ht="12.75" hidden="1" outlineLevel="1" x14ac:dyDescent="0.2">
      <c r="F2281"/>
    </row>
    <row r="2282" spans="2:13" s="30" customFormat="1" ht="15" hidden="1" outlineLevel="1" collapsed="1" x14ac:dyDescent="0.25">
      <c r="B2282" s="30" t="s">
        <v>200</v>
      </c>
      <c r="C2282" s="30" t="str">
        <f>+B2282</f>
        <v>Africa</v>
      </c>
    </row>
    <row r="2283" spans="2:13" ht="15" hidden="1" outlineLevel="2" x14ac:dyDescent="0.25">
      <c r="B2283" t="str">
        <f>+C2283&amp;D2283&amp;E2283&amp;F2283</f>
        <v>AfricaResultsTotal cost of Blue hydrogenUSD/ton</v>
      </c>
      <c r="C2283" s="494" t="str">
        <f>+$C$2282</f>
        <v>Africa</v>
      </c>
      <c r="D2283" s="30" t="s">
        <v>838</v>
      </c>
      <c r="E2283" s="405" t="s">
        <v>1205</v>
      </c>
      <c r="F2283" s="127" t="s">
        <v>205</v>
      </c>
      <c r="G2283" s="490">
        <f t="shared" ref="G2283:M2283" si="1226">G2284+G2285+G2286+G2287</f>
        <v>7600.8269834743396</v>
      </c>
      <c r="H2283" s="490">
        <f t="shared" si="1226"/>
        <v>3703.5</v>
      </c>
      <c r="I2283" s="490">
        <f t="shared" si="1226"/>
        <v>2813.8965810563122</v>
      </c>
      <c r="J2283" s="490">
        <f t="shared" si="1226"/>
        <v>2720.8595599609866</v>
      </c>
      <c r="K2283" s="490">
        <f t="shared" si="1226"/>
        <v>2635.6104574215815</v>
      </c>
      <c r="L2283" s="490">
        <f t="shared" si="1226"/>
        <v>2557.0714633243965</v>
      </c>
      <c r="M2283" s="490">
        <f t="shared" si="1226"/>
        <v>2484.3333333333335</v>
      </c>
    </row>
    <row r="2284" spans="2:13" ht="15" hidden="1" outlineLevel="2" x14ac:dyDescent="0.25">
      <c r="B2284" t="str">
        <f>+C2284&amp;D2284&amp;E2284&amp;F2284</f>
        <v>AfricaResultsTotal Capex Blue HydrogenUSD/ton</v>
      </c>
      <c r="C2284" s="494" t="str">
        <f>+$C$2282</f>
        <v>Africa</v>
      </c>
      <c r="D2284" s="30" t="s">
        <v>838</v>
      </c>
      <c r="E2284" s="228" t="s">
        <v>1201</v>
      </c>
      <c r="F2284" s="127" t="s">
        <v>205</v>
      </c>
      <c r="G2284" s="490">
        <f t="shared" ref="G2284:M2284" si="1227">G2289</f>
        <v>274.84138167421179</v>
      </c>
      <c r="H2284" s="490">
        <f t="shared" si="1227"/>
        <v>265.00000000000006</v>
      </c>
      <c r="I2284" s="490">
        <f t="shared" si="1227"/>
        <v>255.51101356069626</v>
      </c>
      <c r="J2284" s="490">
        <f t="shared" si="1227"/>
        <v>246.36180396533697</v>
      </c>
      <c r="K2284" s="490">
        <f t="shared" si="1227"/>
        <v>237.54020465594266</v>
      </c>
      <c r="L2284" s="490">
        <f t="shared" si="1227"/>
        <v>229.03448472850988</v>
      </c>
      <c r="M2284" s="490">
        <f t="shared" si="1227"/>
        <v>220.83333333333337</v>
      </c>
    </row>
    <row r="2285" spans="2:13" ht="15" hidden="1" outlineLevel="2" x14ac:dyDescent="0.25">
      <c r="B2285" t="str">
        <f>+C2285&amp;D2285&amp;E2285&amp;F2285</f>
        <v>AfricaResultsTotal Opex Blue HydrogenUSD/ton</v>
      </c>
      <c r="C2285" s="494" t="str">
        <f>+$C$2282</f>
        <v>Africa</v>
      </c>
      <c r="D2285" s="30" t="s">
        <v>838</v>
      </c>
      <c r="E2285" s="228" t="s">
        <v>1202</v>
      </c>
      <c r="F2285" s="127" t="s">
        <v>205</v>
      </c>
      <c r="G2285" s="335">
        <f>+G2304</f>
        <v>357.40736945012748</v>
      </c>
      <c r="H2285" s="335">
        <f t="shared" ref="H2285:M2285" si="1228">+H2304</f>
        <v>300</v>
      </c>
      <c r="I2285" s="335">
        <f t="shared" si="1228"/>
        <v>251.81349824561624</v>
      </c>
      <c r="J2285" s="335">
        <f t="shared" si="1228"/>
        <v>211.36679299564994</v>
      </c>
      <c r="K2285" s="335">
        <f t="shared" si="1228"/>
        <v>177.41670519063879</v>
      </c>
      <c r="L2285" s="335">
        <f t="shared" si="1228"/>
        <v>148.91973727088646</v>
      </c>
      <c r="M2285" s="335">
        <f t="shared" si="1228"/>
        <v>125</v>
      </c>
    </row>
    <row r="2286" spans="2:13" ht="15" hidden="1" outlineLevel="2" x14ac:dyDescent="0.25">
      <c r="B2286" t="str">
        <f>+C2286&amp;D2286&amp;E2286&amp;F2286</f>
        <v>AfricaResultsTotal Raw Material Blue HydrogenUSD/ton</v>
      </c>
      <c r="C2286" s="494" t="str">
        <f>+$C$2282</f>
        <v>Africa</v>
      </c>
      <c r="D2286" s="30" t="s">
        <v>838</v>
      </c>
      <c r="E2286" s="228" t="s">
        <v>1203</v>
      </c>
      <c r="F2286" s="127" t="s">
        <v>205</v>
      </c>
      <c r="G2286" s="490">
        <f>+G2292+G2295</f>
        <v>6288.9859720000004</v>
      </c>
      <c r="H2286" s="490">
        <f t="shared" ref="H2286:M2286" si="1229">+H2292+H2295</f>
        <v>2463.5</v>
      </c>
      <c r="I2286" s="490">
        <f t="shared" si="1229"/>
        <v>1636.133297975</v>
      </c>
      <c r="J2286" s="490">
        <f t="shared" si="1229"/>
        <v>1597.222598525</v>
      </c>
      <c r="K2286" s="490">
        <f t="shared" si="1229"/>
        <v>1559.24497625</v>
      </c>
      <c r="L2286" s="490">
        <f t="shared" si="1229"/>
        <v>1522.178056275</v>
      </c>
      <c r="M2286" s="490">
        <f t="shared" si="1229"/>
        <v>1486</v>
      </c>
    </row>
    <row r="2287" spans="2:13" ht="15" hidden="1" outlineLevel="2" x14ac:dyDescent="0.25">
      <c r="B2287" t="str">
        <f>+C2287&amp;D2287&amp;E2287&amp;F2287</f>
        <v>AfricaResultsTotal CO2 Blue HydrogenUSD/ton</v>
      </c>
      <c r="C2287" s="494" t="str">
        <f>+$C$2282</f>
        <v>Africa</v>
      </c>
      <c r="D2287" s="30" t="s">
        <v>838</v>
      </c>
      <c r="E2287" s="228" t="s">
        <v>1204</v>
      </c>
      <c r="F2287" s="127" t="s">
        <v>205</v>
      </c>
      <c r="G2287" s="490">
        <f>+G2299</f>
        <v>679.59226035000006</v>
      </c>
      <c r="H2287" s="490">
        <f t="shared" ref="H2287:M2287" si="1230">+H2299</f>
        <v>675</v>
      </c>
      <c r="I2287" s="490">
        <f t="shared" si="1230"/>
        <v>670.43877127499991</v>
      </c>
      <c r="J2287" s="490">
        <f t="shared" si="1230"/>
        <v>665.90836447499998</v>
      </c>
      <c r="K2287" s="490">
        <f t="shared" si="1230"/>
        <v>661.40857132500003</v>
      </c>
      <c r="L2287" s="490">
        <f t="shared" si="1230"/>
        <v>656.93918504999999</v>
      </c>
      <c r="M2287" s="490">
        <f t="shared" si="1230"/>
        <v>652.5</v>
      </c>
    </row>
    <row r="2288" spans="2:13" hidden="1" outlineLevel="2" x14ac:dyDescent="0.2">
      <c r="E2288" s="48"/>
      <c r="F2288" s="128"/>
      <c r="G2288" s="8"/>
      <c r="H2288" s="8"/>
      <c r="I2288" s="8"/>
      <c r="J2288" s="8"/>
      <c r="K2288" s="8"/>
      <c r="L2288" s="8"/>
      <c r="M2288" s="8"/>
    </row>
    <row r="2289" spans="2:13" hidden="1" outlineLevel="2" x14ac:dyDescent="0.2">
      <c r="B2289" t="str">
        <f t="shared" ref="B2289:B2297" si="1231">+C2289&amp;D2289&amp;E2289&amp;F2289</f>
        <v>AfricaPlant - SMRCapex Grey Hydrogen USD/ton H2</v>
      </c>
      <c r="C2289" s="494" t="str">
        <f>+$C$2282</f>
        <v>Africa</v>
      </c>
      <c r="D2289" t="s">
        <v>1167</v>
      </c>
      <c r="E2289" s="48" t="s">
        <v>1168</v>
      </c>
      <c r="F2289" s="128" t="s">
        <v>881</v>
      </c>
      <c r="G2289" s="8">
        <f t="shared" ref="G2289:M2289" si="1232">G2291/G2290</f>
        <v>274.84138167421179</v>
      </c>
      <c r="H2289" s="8">
        <f t="shared" si="1232"/>
        <v>265.00000000000006</v>
      </c>
      <c r="I2289" s="8">
        <f t="shared" si="1232"/>
        <v>255.51101356069626</v>
      </c>
      <c r="J2289" s="8">
        <f t="shared" si="1232"/>
        <v>246.36180396533697</v>
      </c>
      <c r="K2289" s="8">
        <f t="shared" si="1232"/>
        <v>237.54020465594266</v>
      </c>
      <c r="L2289" s="8">
        <f t="shared" si="1232"/>
        <v>229.03448472850988</v>
      </c>
      <c r="M2289" s="8">
        <f t="shared" si="1232"/>
        <v>220.83333333333337</v>
      </c>
    </row>
    <row r="2290" spans="2:13" hidden="1" outlineLevel="2" x14ac:dyDescent="0.2">
      <c r="B2290" t="str">
        <f t="shared" si="1231"/>
        <v>GlobalPlant capexAnnualisation factor#</v>
      </c>
      <c r="C2290" t="s">
        <v>109</v>
      </c>
      <c r="D2290" t="s">
        <v>786</v>
      </c>
      <c r="E2290" t="s">
        <v>764</v>
      </c>
      <c r="F2290" s="450" t="s">
        <v>787</v>
      </c>
      <c r="G2290" s="524">
        <f>+INDEX('Fuel Model -  Input'!$B$3:$N$373,MATCH($B2290,'Fuel Model -  Input'!$B$3:$B$373,0),MATCH(G$2,'Fuel Model -  Input'!$B$3:$N$3,0))</f>
        <v>11.32075471698113</v>
      </c>
      <c r="H2290" s="524">
        <f>+INDEX('Fuel Model -  Input'!$B$3:$N$373,MATCH($B2290,'Fuel Model -  Input'!$B$3:$B$373,0),MATCH(H$2,'Fuel Model -  Input'!$B$3:$N$3,0))</f>
        <v>11.32075471698113</v>
      </c>
      <c r="I2290" s="524">
        <f>+INDEX('Fuel Model -  Input'!$B$3:$N$373,MATCH($B2290,'Fuel Model -  Input'!$B$3:$B$373,0),MATCH(I$2,'Fuel Model -  Input'!$B$3:$N$3,0))</f>
        <v>11.32075471698113</v>
      </c>
      <c r="J2290" s="524">
        <f>+INDEX('Fuel Model -  Input'!$B$3:$N$373,MATCH($B2290,'Fuel Model -  Input'!$B$3:$B$373,0),MATCH(J$2,'Fuel Model -  Input'!$B$3:$N$3,0))</f>
        <v>11.32075471698113</v>
      </c>
      <c r="K2290" s="524">
        <f>+INDEX('Fuel Model -  Input'!$B$3:$N$373,MATCH($B2290,'Fuel Model -  Input'!$B$3:$B$373,0),MATCH(K$2,'Fuel Model -  Input'!$B$3:$N$3,0))</f>
        <v>11.32075471698113</v>
      </c>
      <c r="L2290" s="524">
        <f>+INDEX('Fuel Model -  Input'!$B$3:$N$373,MATCH($B2290,'Fuel Model -  Input'!$B$3:$B$373,0),MATCH(L$2,'Fuel Model -  Input'!$B$3:$N$3,0))</f>
        <v>11.32075471698113</v>
      </c>
      <c r="M2290" s="524">
        <f>+INDEX('Fuel Model -  Input'!$B$3:$N$373,MATCH($B2290,'Fuel Model -  Input'!$B$3:$B$373,0),MATCH(M$2,'Fuel Model -  Input'!$B$3:$N$3,0))</f>
        <v>11.32075471698113</v>
      </c>
    </row>
    <row r="2291" spans="2:13" hidden="1" outlineLevel="2" x14ac:dyDescent="0.2">
      <c r="B2291" t="str">
        <f t="shared" si="1231"/>
        <v>GlobalCapexSMR - PlantUSD/ton H2 Cap</v>
      </c>
      <c r="C2291" t="s">
        <v>109</v>
      </c>
      <c r="D2291" t="s">
        <v>218</v>
      </c>
      <c r="E2291" s="48" t="s">
        <v>1169</v>
      </c>
      <c r="F2291" s="128" t="s">
        <v>1170</v>
      </c>
      <c r="G2291" s="524">
        <f>+INDEX('Fuel Model -  Input'!$B$3:$N$373,MATCH($B2291,'Fuel Model -  Input'!$B$3:$B$373,0),MATCH(G$2,'Fuel Model -  Input'!$B$3:$N$3,0))</f>
        <v>3111.4118680099441</v>
      </c>
      <c r="H2291" s="524">
        <f>+INDEX('Fuel Model -  Input'!$B$3:$N$373,MATCH($B2291,'Fuel Model -  Input'!$B$3:$B$373,0),MATCH(H$2,'Fuel Model -  Input'!$B$3:$N$3,0))</f>
        <v>3000</v>
      </c>
      <c r="I2291" s="524">
        <f>+INDEX('Fuel Model -  Input'!$B$3:$N$373,MATCH($B2291,'Fuel Model -  Input'!$B$3:$B$373,0),MATCH(I$2,'Fuel Model -  Input'!$B$3:$N$3,0))</f>
        <v>2892.5775120078815</v>
      </c>
      <c r="J2291" s="524">
        <f>+INDEX('Fuel Model -  Input'!$B$3:$N$373,MATCH($B2291,'Fuel Model -  Input'!$B$3:$B$373,0),MATCH(J$2,'Fuel Model -  Input'!$B$3:$N$3,0))</f>
        <v>2789.001554324569</v>
      </c>
      <c r="K2291" s="524">
        <f>+INDEX('Fuel Model -  Input'!$B$3:$N$373,MATCH($B2291,'Fuel Model -  Input'!$B$3:$B$373,0),MATCH(K$2,'Fuel Model -  Input'!$B$3:$N$3,0))</f>
        <v>2689.1343923314257</v>
      </c>
      <c r="L2291" s="524">
        <f>+INDEX('Fuel Model -  Input'!$B$3:$N$373,MATCH($B2291,'Fuel Model -  Input'!$B$3:$B$373,0),MATCH(L$2,'Fuel Model -  Input'!$B$3:$N$3,0))</f>
        <v>2592.8432233416206</v>
      </c>
      <c r="M2291" s="524">
        <f>+INDEX('Fuel Model -  Input'!$B$3:$N$373,MATCH($B2291,'Fuel Model -  Input'!$B$3:$B$373,0),MATCH(M$2,'Fuel Model -  Input'!$B$3:$N$3,0))</f>
        <v>2500</v>
      </c>
    </row>
    <row r="2292" spans="2:13" hidden="1" outlineLevel="2" x14ac:dyDescent="0.2">
      <c r="B2292" t="str">
        <f t="shared" si="1231"/>
        <v>GlobalFeedstockCost of NG in H2USD/ton H2</v>
      </c>
      <c r="C2292" t="s">
        <v>109</v>
      </c>
      <c r="D2292" t="s">
        <v>777</v>
      </c>
      <c r="E2292" t="s">
        <v>1171</v>
      </c>
      <c r="F2292" s="128" t="s">
        <v>881</v>
      </c>
      <c r="G2292" s="337">
        <f t="shared" ref="G2292:M2292" si="1233">G2293*G2294</f>
        <v>6275.4859720000004</v>
      </c>
      <c r="H2292" s="337">
        <f t="shared" si="1233"/>
        <v>2450</v>
      </c>
      <c r="I2292" s="337">
        <f t="shared" si="1233"/>
        <v>1622.633297975</v>
      </c>
      <c r="J2292" s="337">
        <f t="shared" si="1233"/>
        <v>1583.722598525</v>
      </c>
      <c r="K2292" s="337">
        <f t="shared" si="1233"/>
        <v>1545.74497625</v>
      </c>
      <c r="L2292" s="337">
        <f t="shared" si="1233"/>
        <v>1508.678056275</v>
      </c>
      <c r="M2292" s="337">
        <f t="shared" si="1233"/>
        <v>1472.5</v>
      </c>
    </row>
    <row r="2293" spans="2:13" hidden="1" outlineLevel="2" x14ac:dyDescent="0.2">
      <c r="B2293" t="str">
        <f t="shared" si="1231"/>
        <v>GlobalFeedstockConversion NG : H2 (actual)kg NG/kg H2</v>
      </c>
      <c r="C2293" t="s">
        <v>109</v>
      </c>
      <c r="D2293" t="s">
        <v>777</v>
      </c>
      <c r="E2293" t="s">
        <v>1172</v>
      </c>
      <c r="F2293" s="128" t="s">
        <v>1173</v>
      </c>
      <c r="G2293" s="520">
        <f>INDEX('Fuel Model -  Input'!$B$3:$N$373,MATCH($B2293,'Fuel Model -  Input'!$B$3:$B$373,0),MATCH(G$2,'Fuel Model -  Input'!$B$3:$N$3,0))</f>
        <v>3.5859919840000001</v>
      </c>
      <c r="H2293" s="520">
        <f>INDEX('Fuel Model -  Input'!$B$3:$N$373,MATCH($B2293,'Fuel Model -  Input'!$B$3:$B$373,0),MATCH(H$2,'Fuel Model -  Input'!$B$3:$N$3,0))</f>
        <v>3.5</v>
      </c>
      <c r="I2293" s="520">
        <f>INDEX('Fuel Model -  Input'!$B$3:$N$373,MATCH($B2293,'Fuel Model -  Input'!$B$3:$B$373,0),MATCH(I$2,'Fuel Model -  Input'!$B$3:$N$3,0))</f>
        <v>3.4160701009999999</v>
      </c>
      <c r="J2293" s="520">
        <f>INDEX('Fuel Model -  Input'!$B$3:$N$373,MATCH($B2293,'Fuel Model -  Input'!$B$3:$B$373,0),MATCH(J$2,'Fuel Model -  Input'!$B$3:$N$3,0))</f>
        <v>3.3341528390000001</v>
      </c>
      <c r="K2293" s="520">
        <f>INDEX('Fuel Model -  Input'!$B$3:$N$373,MATCH($B2293,'Fuel Model -  Input'!$B$3:$B$373,0),MATCH(K$2,'Fuel Model -  Input'!$B$3:$N$3,0))</f>
        <v>3.2541999499999998</v>
      </c>
      <c r="L2293" s="520">
        <f>INDEX('Fuel Model -  Input'!$B$3:$N$373,MATCH($B2293,'Fuel Model -  Input'!$B$3:$B$373,0),MATCH(L$2,'Fuel Model -  Input'!$B$3:$N$3,0))</f>
        <v>3.1761643290000001</v>
      </c>
      <c r="M2293" s="520">
        <f>INDEX('Fuel Model -  Input'!$B$3:$N$373,MATCH($B2293,'Fuel Model -  Input'!$B$3:$B$373,0),MATCH(M$2,'Fuel Model -  Input'!$B$3:$N$3,0))</f>
        <v>3.1</v>
      </c>
    </row>
    <row r="2294" spans="2:13" hidden="1" outlineLevel="2" x14ac:dyDescent="0.2">
      <c r="B2294" t="str">
        <f t="shared" si="1231"/>
        <v>AfricaFeedstockCost of NGUSD/ton</v>
      </c>
      <c r="C2294" t="s">
        <v>200</v>
      </c>
      <c r="D2294" t="s">
        <v>777</v>
      </c>
      <c r="E2294" t="s">
        <v>1144</v>
      </c>
      <c r="F2294" s="450" t="s">
        <v>205</v>
      </c>
      <c r="G2294" s="524">
        <f>+INDEX('Fuel Model -  Input'!$B$3:$N$373,MATCH($B2294,'Fuel Model -  Input'!$B$3:$B$373,0),MATCH(G$2,'Fuel Model -  Input'!$B$3:$N$3,0))</f>
        <v>1750</v>
      </c>
      <c r="H2294" s="524">
        <f>+INDEX('Fuel Model -  Input'!$B$3:$N$373,MATCH($B2294,'Fuel Model -  Input'!$B$3:$B$373,0),MATCH(H$2,'Fuel Model -  Input'!$B$3:$N$3,0))</f>
        <v>700</v>
      </c>
      <c r="I2294" s="524">
        <f>+INDEX('Fuel Model -  Input'!$B$3:$N$373,MATCH($B2294,'Fuel Model -  Input'!$B$3:$B$373,0),MATCH(I$2,'Fuel Model -  Input'!$B$3:$N$3,0))</f>
        <v>475</v>
      </c>
      <c r="J2294" s="524">
        <f>+INDEX('Fuel Model -  Input'!$B$3:$N$373,MATCH($B2294,'Fuel Model -  Input'!$B$3:$B$373,0),MATCH(J$2,'Fuel Model -  Input'!$B$3:$N$3,0))</f>
        <v>475</v>
      </c>
      <c r="K2294" s="524">
        <f>+INDEX('Fuel Model -  Input'!$B$3:$N$373,MATCH($B2294,'Fuel Model -  Input'!$B$3:$B$373,0),MATCH(K$2,'Fuel Model -  Input'!$B$3:$N$3,0))</f>
        <v>475</v>
      </c>
      <c r="L2294" s="524">
        <f>+INDEX('Fuel Model -  Input'!$B$3:$N$373,MATCH($B2294,'Fuel Model -  Input'!$B$3:$B$373,0),MATCH(L$2,'Fuel Model -  Input'!$B$3:$N$3,0))</f>
        <v>475</v>
      </c>
      <c r="M2294" s="524">
        <f>+INDEX('Fuel Model -  Input'!$B$3:$N$373,MATCH($B2294,'Fuel Model -  Input'!$B$3:$B$373,0),MATCH(M$2,'Fuel Model -  Input'!$B$3:$N$3,0))</f>
        <v>475</v>
      </c>
    </row>
    <row r="2295" spans="2:13" hidden="1" outlineLevel="2" x14ac:dyDescent="0.2">
      <c r="B2295" t="str">
        <f t="shared" si="1231"/>
        <v>AfricaFeedstockCost of H2O in H2USD/ton H2</v>
      </c>
      <c r="C2295" s="494" t="str">
        <f>C2294</f>
        <v>Africa</v>
      </c>
      <c r="D2295" t="s">
        <v>777</v>
      </c>
      <c r="E2295" t="s">
        <v>897</v>
      </c>
      <c r="F2295" s="128" t="s">
        <v>881</v>
      </c>
      <c r="G2295" s="337">
        <f t="shared" ref="G2295:M2295" si="1234">G2296*G2297</f>
        <v>13.5</v>
      </c>
      <c r="H2295" s="337">
        <f t="shared" si="1234"/>
        <v>13.5</v>
      </c>
      <c r="I2295" s="337">
        <f t="shared" si="1234"/>
        <v>13.5</v>
      </c>
      <c r="J2295" s="337">
        <f t="shared" si="1234"/>
        <v>13.5</v>
      </c>
      <c r="K2295" s="337">
        <f t="shared" si="1234"/>
        <v>13.5</v>
      </c>
      <c r="L2295" s="337">
        <f t="shared" si="1234"/>
        <v>13.5</v>
      </c>
      <c r="M2295" s="337">
        <f t="shared" si="1234"/>
        <v>13.5</v>
      </c>
    </row>
    <row r="2296" spans="2:13" hidden="1" outlineLevel="2" x14ac:dyDescent="0.2">
      <c r="B2296" t="str">
        <f t="shared" si="1231"/>
        <v>GlobalFeedstockConversion H2O:H2 (actual)ton H2O/ton H2</v>
      </c>
      <c r="C2296" t="s">
        <v>109</v>
      </c>
      <c r="D2296" t="s">
        <v>777</v>
      </c>
      <c r="E2296" t="s">
        <v>898</v>
      </c>
      <c r="F2296" s="128" t="s">
        <v>899</v>
      </c>
      <c r="G2296" s="499">
        <f>INDEX('Fuel Model -  Input'!$B$3:$N$373,MATCH($B2296,'Fuel Model -  Input'!$B$3:$B$373,0),MATCH(G$2,'Fuel Model -  Input'!$B$3:$N$3,0))</f>
        <v>9</v>
      </c>
      <c r="H2296" s="499">
        <f>INDEX('Fuel Model -  Input'!$B$3:$N$373,MATCH($B2296,'Fuel Model -  Input'!$B$3:$B$373,0),MATCH(H$2,'Fuel Model -  Input'!$B$3:$N$3,0))</f>
        <v>9</v>
      </c>
      <c r="I2296" s="499">
        <f>INDEX('Fuel Model -  Input'!$B$3:$N$373,MATCH($B2296,'Fuel Model -  Input'!$B$3:$B$373,0),MATCH(I$2,'Fuel Model -  Input'!$B$3:$N$3,0))</f>
        <v>9</v>
      </c>
      <c r="J2296" s="499">
        <f>INDEX('Fuel Model -  Input'!$B$3:$N$373,MATCH($B2296,'Fuel Model -  Input'!$B$3:$B$373,0),MATCH(J$2,'Fuel Model -  Input'!$B$3:$N$3,0))</f>
        <v>9</v>
      </c>
      <c r="K2296" s="499">
        <f>INDEX('Fuel Model -  Input'!$B$3:$N$373,MATCH($B2296,'Fuel Model -  Input'!$B$3:$B$373,0),MATCH(K$2,'Fuel Model -  Input'!$B$3:$N$3,0))</f>
        <v>9</v>
      </c>
      <c r="L2296" s="499">
        <f>INDEX('Fuel Model -  Input'!$B$3:$N$373,MATCH($B2296,'Fuel Model -  Input'!$B$3:$B$373,0),MATCH(L$2,'Fuel Model -  Input'!$B$3:$N$3,0))</f>
        <v>9</v>
      </c>
      <c r="M2296" s="499">
        <f>INDEX('Fuel Model -  Input'!$B$3:$N$373,MATCH($B2296,'Fuel Model -  Input'!$B$3:$B$373,0),MATCH(M$2,'Fuel Model -  Input'!$B$3:$N$3,0))</f>
        <v>9</v>
      </c>
    </row>
    <row r="2297" spans="2:13" hidden="1" outlineLevel="2" x14ac:dyDescent="0.2">
      <c r="B2297" t="str">
        <f t="shared" si="1231"/>
        <v>GlobalFeedstockDemineralized water costUSD/ton demin H2O</v>
      </c>
      <c r="C2297" s="494" t="s">
        <v>109</v>
      </c>
      <c r="D2297" t="s">
        <v>777</v>
      </c>
      <c r="E2297" t="s">
        <v>900</v>
      </c>
      <c r="F2297" s="450" t="s">
        <v>901</v>
      </c>
      <c r="G2297" s="499">
        <f>+INDEX('Fuel Model -  Input'!$B$3:$N$373,MATCH($B2297,'Fuel Model -  Input'!$B$3:$B$373,0),MATCH(G$2,'Fuel Model -  Input'!$B$3:$N$3,0))</f>
        <v>1.5</v>
      </c>
      <c r="H2297" s="499">
        <f>+INDEX('Fuel Model -  Input'!$B$3:$N$373,MATCH($B2297,'Fuel Model -  Input'!$B$3:$B$373,0),MATCH(H$2,'Fuel Model -  Input'!$B$3:$N$3,0))</f>
        <v>1.5</v>
      </c>
      <c r="I2297" s="499">
        <f>+INDEX('Fuel Model -  Input'!$B$3:$N$373,MATCH($B2297,'Fuel Model -  Input'!$B$3:$B$373,0),MATCH(I$2,'Fuel Model -  Input'!$B$3:$N$3,0))</f>
        <v>1.5</v>
      </c>
      <c r="J2297" s="499">
        <f>+INDEX('Fuel Model -  Input'!$B$3:$N$373,MATCH($B2297,'Fuel Model -  Input'!$B$3:$B$373,0),MATCH(J$2,'Fuel Model -  Input'!$B$3:$N$3,0))</f>
        <v>1.5</v>
      </c>
      <c r="K2297" s="499">
        <f>+INDEX('Fuel Model -  Input'!$B$3:$N$373,MATCH($B2297,'Fuel Model -  Input'!$B$3:$B$373,0),MATCH(K$2,'Fuel Model -  Input'!$B$3:$N$3,0))</f>
        <v>1.5</v>
      </c>
      <c r="L2297" s="499">
        <f>+INDEX('Fuel Model -  Input'!$B$3:$N$373,MATCH($B2297,'Fuel Model -  Input'!$B$3:$B$373,0),MATCH(L$2,'Fuel Model -  Input'!$B$3:$N$3,0))</f>
        <v>1.5</v>
      </c>
      <c r="M2297" s="499">
        <f>+INDEX('Fuel Model -  Input'!$B$3:$N$373,MATCH($B2297,'Fuel Model -  Input'!$B$3:$B$373,0),MATCH(M$2,'Fuel Model -  Input'!$B$3:$N$3,0))</f>
        <v>1.5</v>
      </c>
    </row>
    <row r="2298" spans="2:13" ht="12.75" hidden="1" outlineLevel="2" x14ac:dyDescent="0.2">
      <c r="F2298"/>
    </row>
    <row r="2299" spans="2:13" hidden="1" outlineLevel="2" x14ac:dyDescent="0.2">
      <c r="B2299" t="str">
        <f>+C2299&amp;D2299&amp;E2299&amp;F2299</f>
        <v>AfricaCO2 StorageCO2 Storage Capture Blue HydrogenUSD/ton H2</v>
      </c>
      <c r="C2299" s="494" t="str">
        <f>+$C$2282</f>
        <v>Africa</v>
      </c>
      <c r="D2299" t="s">
        <v>1206</v>
      </c>
      <c r="E2299" s="48" t="s">
        <v>1207</v>
      </c>
      <c r="F2299" s="128" t="s">
        <v>881</v>
      </c>
      <c r="G2299" s="8">
        <f t="shared" ref="G2299:M2299" si="1235">+G2300*(G2301+G2302)</f>
        <v>679.59226035000006</v>
      </c>
      <c r="H2299" s="8">
        <f t="shared" si="1235"/>
        <v>675</v>
      </c>
      <c r="I2299" s="8">
        <f t="shared" si="1235"/>
        <v>670.43877127499991</v>
      </c>
      <c r="J2299" s="8">
        <f t="shared" si="1235"/>
        <v>665.90836447499998</v>
      </c>
      <c r="K2299" s="8">
        <f t="shared" si="1235"/>
        <v>661.40857132500003</v>
      </c>
      <c r="L2299" s="8">
        <f t="shared" si="1235"/>
        <v>656.93918504999999</v>
      </c>
      <c r="M2299" s="8">
        <f t="shared" si="1235"/>
        <v>652.5</v>
      </c>
    </row>
    <row r="2300" spans="2:13" hidden="1" outlineLevel="2" x14ac:dyDescent="0.2">
      <c r="B2300" t="str">
        <f>+C2300&amp;D2300&amp;E2300&amp;F2300</f>
        <v>GlobalCO2 CaptureConversion CO2 : H2 (actual)kg CO2/kg H2</v>
      </c>
      <c r="C2300" t="s">
        <v>109</v>
      </c>
      <c r="D2300" t="s">
        <v>1178</v>
      </c>
      <c r="E2300" t="s">
        <v>1179</v>
      </c>
      <c r="F2300" s="128" t="s">
        <v>1180</v>
      </c>
      <c r="G2300" s="520">
        <f>INDEX('Fuel Model -  Input'!$B$3:$N$373,MATCH($B2300,'Fuel Model -  Input'!$B$3:$B$373,0),MATCH(G$2,'Fuel Model -  Input'!$B$3:$N$3,0))</f>
        <v>9.0612301380000009</v>
      </c>
      <c r="H2300" s="520">
        <f>INDEX('Fuel Model -  Input'!$B$3:$N$373,MATCH($B2300,'Fuel Model -  Input'!$B$3:$B$373,0),MATCH(H$2,'Fuel Model -  Input'!$B$3:$N$3,0))</f>
        <v>9</v>
      </c>
      <c r="I2300" s="520">
        <f>INDEX('Fuel Model -  Input'!$B$3:$N$373,MATCH($B2300,'Fuel Model -  Input'!$B$3:$B$373,0),MATCH(I$2,'Fuel Model -  Input'!$B$3:$N$3,0))</f>
        <v>8.9391836169999994</v>
      </c>
      <c r="J2300" s="520">
        <f>INDEX('Fuel Model -  Input'!$B$3:$N$373,MATCH($B2300,'Fuel Model -  Input'!$B$3:$B$373,0),MATCH(J$2,'Fuel Model -  Input'!$B$3:$N$3,0))</f>
        <v>8.8787781930000005</v>
      </c>
      <c r="K2300" s="520">
        <f>INDEX('Fuel Model -  Input'!$B$3:$N$373,MATCH($B2300,'Fuel Model -  Input'!$B$3:$B$373,0),MATCH(K$2,'Fuel Model -  Input'!$B$3:$N$3,0))</f>
        <v>8.8187809510000008</v>
      </c>
      <c r="L2300" s="520">
        <f>INDEX('Fuel Model -  Input'!$B$3:$N$373,MATCH($B2300,'Fuel Model -  Input'!$B$3:$B$373,0),MATCH(L$2,'Fuel Model -  Input'!$B$3:$N$3,0))</f>
        <v>8.7591891339999997</v>
      </c>
      <c r="M2300" s="520">
        <f>INDEX('Fuel Model -  Input'!$B$3:$N$373,MATCH($B2300,'Fuel Model -  Input'!$B$3:$B$373,0),MATCH(M$2,'Fuel Model -  Input'!$B$3:$N$3,0))</f>
        <v>8.6999999999999993</v>
      </c>
    </row>
    <row r="2301" spans="2:13" hidden="1" outlineLevel="2" x14ac:dyDescent="0.2">
      <c r="B2301" t="str">
        <f>+C2301&amp;D2301&amp;E2301&amp;F2301</f>
        <v>AfricaCO2 StorageCost of CO2 storageUSD/ton CO2</v>
      </c>
      <c r="C2301" t="s">
        <v>200</v>
      </c>
      <c r="D2301" t="s">
        <v>1206</v>
      </c>
      <c r="E2301" t="s">
        <v>1208</v>
      </c>
      <c r="F2301" s="128" t="s">
        <v>382</v>
      </c>
      <c r="G2301" s="524">
        <f>+INDEX('Fuel Model -  Input'!$B$3:$N$373,MATCH($B2301,'Fuel Model -  Input'!$B$3:$B$373,0),MATCH(G$2,'Fuel Model -  Input'!$B$3:$N$3,0))</f>
        <v>50</v>
      </c>
      <c r="H2301" s="524">
        <f>+INDEX('Fuel Model -  Input'!$B$3:$N$373,MATCH($B2301,'Fuel Model -  Input'!$B$3:$B$373,0),MATCH(H$2,'Fuel Model -  Input'!$B$3:$N$3,0))</f>
        <v>50</v>
      </c>
      <c r="I2301" s="524">
        <f>+INDEX('Fuel Model -  Input'!$B$3:$N$373,MATCH($B2301,'Fuel Model -  Input'!$B$3:$B$373,0),MATCH(I$2,'Fuel Model -  Input'!$B$3:$N$3,0))</f>
        <v>50</v>
      </c>
      <c r="J2301" s="524">
        <f>+INDEX('Fuel Model -  Input'!$B$3:$N$373,MATCH($B2301,'Fuel Model -  Input'!$B$3:$B$373,0),MATCH(J$2,'Fuel Model -  Input'!$B$3:$N$3,0))</f>
        <v>50</v>
      </c>
      <c r="K2301" s="524">
        <f>+INDEX('Fuel Model -  Input'!$B$3:$N$373,MATCH($B2301,'Fuel Model -  Input'!$B$3:$B$373,0),MATCH(K$2,'Fuel Model -  Input'!$B$3:$N$3,0))</f>
        <v>50</v>
      </c>
      <c r="L2301" s="524">
        <f>+INDEX('Fuel Model -  Input'!$B$3:$N$373,MATCH($B2301,'Fuel Model -  Input'!$B$3:$B$373,0),MATCH(L$2,'Fuel Model -  Input'!$B$3:$N$3,0))</f>
        <v>50</v>
      </c>
      <c r="M2301" s="524">
        <f>+INDEX('Fuel Model -  Input'!$B$3:$N$373,MATCH($B2301,'Fuel Model -  Input'!$B$3:$B$373,0),MATCH(M$2,'Fuel Model -  Input'!$B$3:$N$3,0))</f>
        <v>50</v>
      </c>
    </row>
    <row r="2302" spans="2:13" hidden="1" outlineLevel="2" x14ac:dyDescent="0.2">
      <c r="B2302" t="str">
        <f>+C2302&amp;D2302&amp;E2302&amp;F2302</f>
        <v>AfricaFeedstockCost of blue CO2 PSUSD/ton</v>
      </c>
      <c r="C2302" s="494" t="str">
        <f>+C2282</f>
        <v>Africa</v>
      </c>
      <c r="D2302" t="s">
        <v>777</v>
      </c>
      <c r="E2302" t="s">
        <v>1209</v>
      </c>
      <c r="F2302" s="128" t="s">
        <v>205</v>
      </c>
      <c r="G2302" s="524">
        <f>+INDEX('Fuel Model -  Input'!$B$3:$N$373,MATCH($B2302,'Fuel Model -  Input'!$B$3:$B$373,0),MATCH(G$2,'Fuel Model -  Input'!$B$3:$N$3,0))</f>
        <v>25</v>
      </c>
      <c r="H2302" s="524">
        <f>+INDEX('Fuel Model -  Input'!$B$3:$N$373,MATCH($B2302,'Fuel Model -  Input'!$B$3:$B$373,0),MATCH(H$2,'Fuel Model -  Input'!$B$3:$N$3,0))</f>
        <v>25</v>
      </c>
      <c r="I2302" s="524">
        <f>+INDEX('Fuel Model -  Input'!$B$3:$N$373,MATCH($B2302,'Fuel Model -  Input'!$B$3:$B$373,0),MATCH(I$2,'Fuel Model -  Input'!$B$3:$N$3,0))</f>
        <v>25</v>
      </c>
      <c r="J2302" s="524">
        <f>+INDEX('Fuel Model -  Input'!$B$3:$N$373,MATCH($B2302,'Fuel Model -  Input'!$B$3:$B$373,0),MATCH(J$2,'Fuel Model -  Input'!$B$3:$N$3,0))</f>
        <v>25</v>
      </c>
      <c r="K2302" s="524">
        <f>+INDEX('Fuel Model -  Input'!$B$3:$N$373,MATCH($B2302,'Fuel Model -  Input'!$B$3:$B$373,0),MATCH(K$2,'Fuel Model -  Input'!$B$3:$N$3,0))</f>
        <v>25</v>
      </c>
      <c r="L2302" s="524">
        <f>+INDEX('Fuel Model -  Input'!$B$3:$N$373,MATCH($B2302,'Fuel Model -  Input'!$B$3:$B$373,0),MATCH(L$2,'Fuel Model -  Input'!$B$3:$N$3,0))</f>
        <v>25</v>
      </c>
      <c r="M2302" s="524">
        <f>+INDEX('Fuel Model -  Input'!$B$3:$N$373,MATCH($B2302,'Fuel Model -  Input'!$B$3:$B$373,0),MATCH(M$2,'Fuel Model -  Input'!$B$3:$N$3,0))</f>
        <v>25</v>
      </c>
    </row>
    <row r="2303" spans="2:13" hidden="1" outlineLevel="2" x14ac:dyDescent="0.2">
      <c r="F2303" s="128"/>
      <c r="G2303" s="524"/>
      <c r="H2303" s="524"/>
      <c r="I2303" s="524"/>
      <c r="J2303" s="524"/>
      <c r="K2303" s="524"/>
      <c r="L2303" s="524"/>
      <c r="M2303" s="524"/>
    </row>
    <row r="2304" spans="2:13" hidden="1" outlineLevel="2" x14ac:dyDescent="0.2">
      <c r="B2304" t="str">
        <f>+C2304&amp;D2304&amp;E2304&amp;F2304</f>
        <v>AfricaOpexSMRUSD/ton H2</v>
      </c>
      <c r="C2304" s="494" t="str">
        <f>+$C$2282</f>
        <v>Africa</v>
      </c>
      <c r="D2304" t="s">
        <v>219</v>
      </c>
      <c r="E2304" s="48" t="s">
        <v>1174</v>
      </c>
      <c r="F2304" s="128" t="s">
        <v>881</v>
      </c>
      <c r="G2304" s="337">
        <f t="shared" ref="G2304:M2304" si="1236">G2305*G2291</f>
        <v>357.40736945012748</v>
      </c>
      <c r="H2304" s="337">
        <f t="shared" si="1236"/>
        <v>300</v>
      </c>
      <c r="I2304" s="337">
        <f t="shared" si="1236"/>
        <v>251.81349824561624</v>
      </c>
      <c r="J2304" s="337">
        <f t="shared" si="1236"/>
        <v>211.36679299564994</v>
      </c>
      <c r="K2304" s="337">
        <f t="shared" si="1236"/>
        <v>177.41670519063879</v>
      </c>
      <c r="L2304" s="337">
        <f t="shared" si="1236"/>
        <v>148.91973727088646</v>
      </c>
      <c r="M2304" s="337">
        <f t="shared" si="1236"/>
        <v>125</v>
      </c>
    </row>
    <row r="2305" spans="2:17" hidden="1" outlineLevel="2" x14ac:dyDescent="0.2">
      <c r="B2305" t="str">
        <f>+C2305&amp;D2305&amp;E2305&amp;F2305</f>
        <v>GlobalOpexPlant - SMR - opexPercent of Capex</v>
      </c>
      <c r="C2305" t="s">
        <v>109</v>
      </c>
      <c r="D2305" t="s">
        <v>219</v>
      </c>
      <c r="E2305" s="48" t="s">
        <v>1175</v>
      </c>
      <c r="F2305" s="128" t="s">
        <v>883</v>
      </c>
      <c r="G2305" s="544">
        <f>+INDEX('Fuel Model -  Input'!$B$3:$N$373,MATCH($B2305,'Fuel Model -  Input'!$B$3:$B$373,0),MATCH(G$2,'Fuel Model -  Input'!$B$3:$N$3,0))</f>
        <v>0.1148698354997035</v>
      </c>
      <c r="H2305" s="544">
        <f>+INDEX('Fuel Model -  Input'!$B$3:$N$373,MATCH($B2305,'Fuel Model -  Input'!$B$3:$B$373,0),MATCH(H$2,'Fuel Model -  Input'!$B$3:$N$3,0))</f>
        <v>0.1</v>
      </c>
      <c r="I2305" s="544">
        <f>+INDEX('Fuel Model -  Input'!$B$3:$N$373,MATCH($B2305,'Fuel Model -  Input'!$B$3:$B$373,0),MATCH(I$2,'Fuel Model -  Input'!$B$3:$N$3,0))</f>
        <v>8.7055056329612412E-2</v>
      </c>
      <c r="J2305" s="544">
        <f>+INDEX('Fuel Model -  Input'!$B$3:$N$373,MATCH($B2305,'Fuel Model -  Input'!$B$3:$B$373,0),MATCH(J$2,'Fuel Model -  Input'!$B$3:$N$3,0))</f>
        <v>7.5785828325519902E-2</v>
      </c>
      <c r="K2305" s="544">
        <f>+INDEX('Fuel Model -  Input'!$B$3:$N$373,MATCH($B2305,'Fuel Model -  Input'!$B$3:$B$373,0),MATCH(K$2,'Fuel Model -  Input'!$B$3:$N$3,0))</f>
        <v>6.5975395538644704E-2</v>
      </c>
      <c r="L2305" s="544">
        <f>+INDEX('Fuel Model -  Input'!$B$3:$N$373,MATCH($B2305,'Fuel Model -  Input'!$B$3:$B$373,0),MATCH(L$2,'Fuel Model -  Input'!$B$3:$N$3,0))</f>
        <v>5.7434917749851745E-2</v>
      </c>
      <c r="M2305" s="544">
        <f>+INDEX('Fuel Model -  Input'!$B$3:$N$373,MATCH($B2305,'Fuel Model -  Input'!$B$3:$B$373,0),MATCH(M$2,'Fuel Model -  Input'!$B$3:$N$3,0))</f>
        <v>0.05</v>
      </c>
    </row>
    <row r="2306" spans="2:17" ht="12.75" hidden="1" outlineLevel="1" x14ac:dyDescent="0.2">
      <c r="F2306"/>
    </row>
    <row r="2307" spans="2:17" ht="15" hidden="1" outlineLevel="1" x14ac:dyDescent="0.25">
      <c r="B2307" s="30" t="s">
        <v>1210</v>
      </c>
      <c r="C2307" s="30" t="str">
        <f>+B2307</f>
        <v>CO2eq intensity ton/ton Blue Hydrogen</v>
      </c>
      <c r="F2307"/>
    </row>
    <row r="2308" spans="2:17" ht="15" hidden="1" outlineLevel="1" collapsed="1" x14ac:dyDescent="0.25">
      <c r="B2308" s="527" t="str">
        <f>+C2308&amp;D2308&amp;E2308&amp;F2308</f>
        <v xml:space="preserve">GlobalEmissionsWTT Emission - Blue Hydrogen (compressed)tonCO2eq/ ton </v>
      </c>
      <c r="C2308" s="516" t="s">
        <v>109</v>
      </c>
      <c r="D2308" s="516" t="s">
        <v>728</v>
      </c>
      <c r="E2308" s="516" t="s">
        <v>1211</v>
      </c>
      <c r="F2308" s="512" t="s">
        <v>1016</v>
      </c>
      <c r="G2308" s="533">
        <f>G2310*(100%-G2311)+G2315+G2318+G2316*G2317+G2313*G2314*G2312</f>
        <v>1.9865325617428082</v>
      </c>
      <c r="H2308" s="533">
        <f t="shared" ref="H2308:M2308" si="1237">H2310*(100%-H2311)+H2315+H2318+H2316*H2317+H2313*H2314*H2312</f>
        <v>1.8688949152542371</v>
      </c>
      <c r="I2308" s="533">
        <f t="shared" si="1237"/>
        <v>1.7521101087172288</v>
      </c>
      <c r="J2308" s="533">
        <f t="shared" si="1237"/>
        <v>1.6361611252163055</v>
      </c>
      <c r="K2308" s="533">
        <f t="shared" si="1237"/>
        <v>1.5210312923520297</v>
      </c>
      <c r="L2308" s="533">
        <f t="shared" si="1237"/>
        <v>1.4067042752465706</v>
      </c>
      <c r="M2308" s="533">
        <f t="shared" si="1237"/>
        <v>1.2931640677966105</v>
      </c>
    </row>
    <row r="2309" spans="2:17" s="157" customFormat="1" hidden="1" outlineLevel="2" x14ac:dyDescent="0.2">
      <c r="B2309" s="496"/>
      <c r="F2309" s="450"/>
      <c r="G2309" s="449"/>
      <c r="H2309" s="449"/>
      <c r="I2309" s="449"/>
      <c r="J2309" s="449"/>
      <c r="K2309" s="449"/>
      <c r="L2309" s="449"/>
      <c r="M2309" s="449"/>
    </row>
    <row r="2310" spans="2:17" s="157" customFormat="1" hidden="1" outlineLevel="2" x14ac:dyDescent="0.2">
      <c r="B2310" s="496" t="str">
        <f>+C2310&amp;D2310&amp;E2310&amp;F2310</f>
        <v>GlobalCO2 CaptureConversion CO2 : H2 (actual)kg CO2/kg H2</v>
      </c>
      <c r="C2310" s="157" t="s">
        <v>109</v>
      </c>
      <c r="D2310" t="s">
        <v>1178</v>
      </c>
      <c r="E2310" t="s">
        <v>1179</v>
      </c>
      <c r="F2310" s="128" t="s">
        <v>1180</v>
      </c>
      <c r="G2310" s="521">
        <f>INDEX('Fuel Model -  Input'!$B$3:$N$373,MATCH($B2310,'Fuel Model -  Input'!$B$3:$B$373,0),MATCH(G$2,'Fuel Model -  Input'!$B$3:$N$3,0))</f>
        <v>9.0612301380000009</v>
      </c>
      <c r="H2310" s="521">
        <f>INDEX('Fuel Model -  Input'!$B$3:$N$373,MATCH($B2310,'Fuel Model -  Input'!$B$3:$B$373,0),MATCH(H$2,'Fuel Model -  Input'!$B$3:$N$3,0))</f>
        <v>9</v>
      </c>
      <c r="I2310" s="521">
        <f>INDEX('Fuel Model -  Input'!$B$3:$N$373,MATCH($B2310,'Fuel Model -  Input'!$B$3:$B$373,0),MATCH(I$2,'Fuel Model -  Input'!$B$3:$N$3,0))</f>
        <v>8.9391836169999994</v>
      </c>
      <c r="J2310" s="521">
        <f>INDEX('Fuel Model -  Input'!$B$3:$N$373,MATCH($B2310,'Fuel Model -  Input'!$B$3:$B$373,0),MATCH(J$2,'Fuel Model -  Input'!$B$3:$N$3,0))</f>
        <v>8.8787781930000005</v>
      </c>
      <c r="K2310" s="521">
        <f>INDEX('Fuel Model -  Input'!$B$3:$N$373,MATCH($B2310,'Fuel Model -  Input'!$B$3:$B$373,0),MATCH(K$2,'Fuel Model -  Input'!$B$3:$N$3,0))</f>
        <v>8.8187809510000008</v>
      </c>
      <c r="L2310" s="521">
        <f>INDEX('Fuel Model -  Input'!$B$3:$N$373,MATCH($B2310,'Fuel Model -  Input'!$B$3:$B$373,0),MATCH(L$2,'Fuel Model -  Input'!$B$3:$N$3,0))</f>
        <v>8.7591891339999997</v>
      </c>
      <c r="M2310" s="521">
        <f>INDEX('Fuel Model -  Input'!$B$3:$N$373,MATCH($B2310,'Fuel Model -  Input'!$B$3:$B$373,0),MATCH(M$2,'Fuel Model -  Input'!$B$3:$N$3,0))</f>
        <v>8.6999999999999993</v>
      </c>
    </row>
    <row r="2311" spans="2:17" hidden="1" outlineLevel="2" x14ac:dyDescent="0.2">
      <c r="B2311" s="496" t="str">
        <f>+C2311&amp;D2311&amp;E2311&amp;F2311</f>
        <v>GlobalSMRCarboncaptureeff%</v>
      </c>
      <c r="C2311" t="s">
        <v>109</v>
      </c>
      <c r="D2311" t="s">
        <v>1174</v>
      </c>
      <c r="E2311" t="s">
        <v>1212</v>
      </c>
      <c r="F2311" s="157" t="s">
        <v>178</v>
      </c>
      <c r="G2311" s="531">
        <f>INDEX('Fuel Model -  Input'!$B$3:$N$373,MATCH($B2311,'Fuel Model -  Input'!$B$3:$B$373,0),MATCH(G$2,'Fuel Model -  Input'!$B$3:$N$3,0))</f>
        <v>0.89032032977911724</v>
      </c>
      <c r="H2311" s="531">
        <f>INDEX('Fuel Model -  Input'!$B$3:$N$373,MATCH($B2311,'Fuel Model -  Input'!$B$3:$B$373,0),MATCH(H$2,'Fuel Model -  Input'!$B$3:$N$3,0))</f>
        <v>0.9</v>
      </c>
      <c r="I2311" s="531">
        <f>INDEX('Fuel Model -  Input'!$B$3:$N$373,MATCH($B2311,'Fuel Model -  Input'!$B$3:$B$373,0),MATCH(I$2,'Fuel Model -  Input'!$B$3:$N$3,0))</f>
        <v>0.90978490876531581</v>
      </c>
      <c r="J2311" s="531">
        <f>INDEX('Fuel Model -  Input'!$B$3:$N$373,MATCH($B2311,'Fuel Model -  Input'!$B$3:$B$373,0),MATCH(J$2,'Fuel Model -  Input'!$B$3:$N$3,0))</f>
        <v>0.91967620024123775</v>
      </c>
      <c r="K2311" s="531">
        <f>INDEX('Fuel Model -  Input'!$B$3:$N$373,MATCH($B2311,'Fuel Model -  Input'!$B$3:$B$373,0),MATCH(K$2,'Fuel Model -  Input'!$B$3:$N$3,0))</f>
        <v>0.92967503103345195</v>
      </c>
      <c r="L2311" s="531">
        <f>INDEX('Fuel Model -  Input'!$B$3:$N$373,MATCH($B2311,'Fuel Model -  Input'!$B$3:$B$373,0),MATCH(L$2,'Fuel Model -  Input'!$B$3:$N$3,0))</f>
        <v>0.93978257032240131</v>
      </c>
      <c r="M2311" s="531">
        <f>INDEX('Fuel Model -  Input'!$B$3:$N$373,MATCH($B2311,'Fuel Model -  Input'!$B$3:$B$373,0),MATCH(M$2,'Fuel Model -  Input'!$B$3:$N$3,0))</f>
        <v>0.95</v>
      </c>
    </row>
    <row r="2312" spans="2:17" hidden="1" outlineLevel="2" x14ac:dyDescent="0.2">
      <c r="B2312" s="496" t="str">
        <f t="shared" ref="B2312" si="1238">+C2312&amp;D2312&amp;E2312&amp;F2312</f>
        <v>GlobalCO2intensityWTTemissionsShareBeforeSMR%</v>
      </c>
      <c r="C2312" s="157" t="s">
        <v>109</v>
      </c>
      <c r="D2312" s="530" t="s">
        <v>927</v>
      </c>
      <c r="E2312" s="530" t="s">
        <v>1213</v>
      </c>
      <c r="F2312" s="157" t="s">
        <v>178</v>
      </c>
      <c r="G2312" s="531">
        <f>INDEX('Fuel Model -  Input'!$B$3:$N$373,MATCH($B2312,'Fuel Model -  Input'!$B$3:$B$373,0),MATCH(G$2,'Fuel Model -  Input'!$B$3:$N$3,0))</f>
        <v>0.32768361581920902</v>
      </c>
      <c r="H2312" s="531">
        <f>INDEX('Fuel Model -  Input'!$B$3:$N$373,MATCH($B2312,'Fuel Model -  Input'!$B$3:$B$373,0),MATCH(H$2,'Fuel Model -  Input'!$B$3:$N$3,0))</f>
        <v>0.32768361581920902</v>
      </c>
      <c r="I2312" s="531">
        <f>INDEX('Fuel Model -  Input'!$B$3:$N$373,MATCH($B2312,'Fuel Model -  Input'!$B$3:$B$373,0),MATCH(I$2,'Fuel Model -  Input'!$B$3:$N$3,0))</f>
        <v>0.32768361581920902</v>
      </c>
      <c r="J2312" s="531">
        <f>INDEX('Fuel Model -  Input'!$B$3:$N$373,MATCH($B2312,'Fuel Model -  Input'!$B$3:$B$373,0),MATCH(J$2,'Fuel Model -  Input'!$B$3:$N$3,0))</f>
        <v>0.32768361581920902</v>
      </c>
      <c r="K2312" s="531">
        <f>INDEX('Fuel Model -  Input'!$B$3:$N$373,MATCH($B2312,'Fuel Model -  Input'!$B$3:$B$373,0),MATCH(K$2,'Fuel Model -  Input'!$B$3:$N$3,0))</f>
        <v>0.32768361581920902</v>
      </c>
      <c r="L2312" s="531">
        <f>INDEX('Fuel Model -  Input'!$B$3:$N$373,MATCH($B2312,'Fuel Model -  Input'!$B$3:$B$373,0),MATCH(L$2,'Fuel Model -  Input'!$B$3:$N$3,0))</f>
        <v>0.32768361581920902</v>
      </c>
      <c r="M2312" s="531">
        <f>INDEX('Fuel Model -  Input'!$B$3:$N$373,MATCH($B2312,'Fuel Model -  Input'!$B$3:$B$373,0),MATCH(M$2,'Fuel Model -  Input'!$B$3:$N$3,0))</f>
        <v>0.32768361581920902</v>
      </c>
    </row>
    <row r="2313" spans="2:17" hidden="1" outlineLevel="2" x14ac:dyDescent="0.2">
      <c r="B2313" s="496" t="str">
        <f t="shared" ref="B2313" si="1239">+C2313&amp;D2313&amp;E2313&amp;F2313</f>
        <v xml:space="preserve">GlobalEmissionsWTT Emission - LNGtonCO2eq/ ton </v>
      </c>
      <c r="C2313" s="157" t="s">
        <v>109</v>
      </c>
      <c r="D2313" s="157" t="s">
        <v>728</v>
      </c>
      <c r="E2313" s="157" t="s">
        <v>1146</v>
      </c>
      <c r="F2313" s="450" t="s">
        <v>1016</v>
      </c>
      <c r="G2313" s="560">
        <f>INDEX('Fuel Model -  Input'!$B$3:$N$373,MATCH($B2313,'Fuel Model -  Input'!$B$3:$B$373,0),MATCH(G$2,'Fuel Model -  Input'!$B$3:$N$3,0))</f>
        <v>0.84480000000000011</v>
      </c>
      <c r="H2313" s="560">
        <f>INDEX('Fuel Model -  Input'!$B$3:$N$373,MATCH($B2313,'Fuel Model -  Input'!$B$3:$B$373,0),MATCH(H$2,'Fuel Model -  Input'!$B$3:$N$3,0))</f>
        <v>0.84480000000000011</v>
      </c>
      <c r="I2313" s="560">
        <f>INDEX('Fuel Model -  Input'!$B$3:$N$373,MATCH($B2313,'Fuel Model -  Input'!$B$3:$B$373,0),MATCH(I$2,'Fuel Model -  Input'!$B$3:$N$3,0))</f>
        <v>0.84480000000000011</v>
      </c>
      <c r="J2313" s="560">
        <f>INDEX('Fuel Model -  Input'!$B$3:$N$373,MATCH($B2313,'Fuel Model -  Input'!$B$3:$B$373,0),MATCH(J$2,'Fuel Model -  Input'!$B$3:$N$3,0))</f>
        <v>0.84480000000000011</v>
      </c>
      <c r="K2313" s="560">
        <f>INDEX('Fuel Model -  Input'!$B$3:$N$373,MATCH($B2313,'Fuel Model -  Input'!$B$3:$B$373,0),MATCH(K$2,'Fuel Model -  Input'!$B$3:$N$3,0))</f>
        <v>0.84480000000000011</v>
      </c>
      <c r="L2313" s="560">
        <f>INDEX('Fuel Model -  Input'!$B$3:$N$373,MATCH($B2313,'Fuel Model -  Input'!$B$3:$B$373,0),MATCH(L$2,'Fuel Model -  Input'!$B$3:$N$3,0))</f>
        <v>0.84480000000000011</v>
      </c>
      <c r="M2313" s="560">
        <f>INDEX('Fuel Model -  Input'!$B$3:$N$373,MATCH($B2313,'Fuel Model -  Input'!$B$3:$B$373,0),MATCH(M$2,'Fuel Model -  Input'!$B$3:$N$3,0))</f>
        <v>0.84480000000000011</v>
      </c>
    </row>
    <row r="2314" spans="2:17" hidden="1" outlineLevel="2" x14ac:dyDescent="0.2">
      <c r="B2314" s="496" t="str">
        <f t="shared" ref="B2314" si="1240">+C2314&amp;D2314&amp;E2314&amp;F2314</f>
        <v>GlobalFeedstockConversion NG : H2 (actual)kg NG/kg H2</v>
      </c>
      <c r="C2314" t="s">
        <v>109</v>
      </c>
      <c r="D2314" t="s">
        <v>777</v>
      </c>
      <c r="E2314" t="s">
        <v>1172</v>
      </c>
      <c r="F2314" s="128" t="s">
        <v>1173</v>
      </c>
      <c r="G2314" s="560">
        <f>INDEX('Fuel Model -  Input'!$B$3:$N$373,MATCH($B2314,'Fuel Model -  Input'!$B$3:$B$373,0),MATCH(G$2,'Fuel Model -  Input'!$B$3:$N$3,0))</f>
        <v>3.5859919840000001</v>
      </c>
      <c r="H2314" s="560">
        <f>INDEX('Fuel Model -  Input'!$B$3:$N$373,MATCH($B2314,'Fuel Model -  Input'!$B$3:$B$373,0),MATCH(H$2,'Fuel Model -  Input'!$B$3:$N$3,0))</f>
        <v>3.5</v>
      </c>
      <c r="I2314" s="560">
        <f>INDEX('Fuel Model -  Input'!$B$3:$N$373,MATCH($B2314,'Fuel Model -  Input'!$B$3:$B$373,0),MATCH(I$2,'Fuel Model -  Input'!$B$3:$N$3,0))</f>
        <v>3.4160701009999999</v>
      </c>
      <c r="J2314" s="560">
        <f>INDEX('Fuel Model -  Input'!$B$3:$N$373,MATCH($B2314,'Fuel Model -  Input'!$B$3:$B$373,0),MATCH(J$2,'Fuel Model -  Input'!$B$3:$N$3,0))</f>
        <v>3.3341528390000001</v>
      </c>
      <c r="K2314" s="560">
        <f>INDEX('Fuel Model -  Input'!$B$3:$N$373,MATCH($B2314,'Fuel Model -  Input'!$B$3:$B$373,0),MATCH(K$2,'Fuel Model -  Input'!$B$3:$N$3,0))</f>
        <v>3.2541999499999998</v>
      </c>
      <c r="L2314" s="560">
        <f>INDEX('Fuel Model -  Input'!$B$3:$N$373,MATCH($B2314,'Fuel Model -  Input'!$B$3:$B$373,0),MATCH(L$2,'Fuel Model -  Input'!$B$3:$N$3,0))</f>
        <v>3.1761643290000001</v>
      </c>
      <c r="M2314" s="560">
        <f>INDEX('Fuel Model -  Input'!$B$3:$N$373,MATCH($B2314,'Fuel Model -  Input'!$B$3:$B$373,0),MATCH(M$2,'Fuel Model -  Input'!$B$3:$N$3,0))</f>
        <v>3.1</v>
      </c>
    </row>
    <row r="2315" spans="2:17" hidden="1" outlineLevel="2" x14ac:dyDescent="0.2">
      <c r="B2315" s="496" t="str">
        <f t="shared" ref="B2315:B2316" si="1241">+C2315&amp;D2315&amp;E2315&amp;F2315</f>
        <v>GlobalCO2intensityWater CO2 impact on H2 productiontonCO2eq/tonH2</v>
      </c>
      <c r="C2315" s="157" t="s">
        <v>109</v>
      </c>
      <c r="D2315" s="157" t="s">
        <v>927</v>
      </c>
      <c r="E2315" t="s">
        <v>933</v>
      </c>
      <c r="F2315" s="157" t="s">
        <v>929</v>
      </c>
      <c r="G2315" s="520">
        <f>+G2316*G2317</f>
        <v>0</v>
      </c>
      <c r="H2315" s="520">
        <f t="shared" ref="H2315:M2315" si="1242">+H2316*H2317</f>
        <v>0</v>
      </c>
      <c r="I2315" s="520">
        <f t="shared" si="1242"/>
        <v>0</v>
      </c>
      <c r="J2315" s="520">
        <f t="shared" si="1242"/>
        <v>0</v>
      </c>
      <c r="K2315" s="520">
        <f t="shared" si="1242"/>
        <v>0</v>
      </c>
      <c r="L2315" s="520">
        <f t="shared" si="1242"/>
        <v>0</v>
      </c>
      <c r="M2315" s="520">
        <f t="shared" si="1242"/>
        <v>0</v>
      </c>
    </row>
    <row r="2316" spans="2:17" hidden="1" outlineLevel="2" x14ac:dyDescent="0.2">
      <c r="B2316" s="496" t="str">
        <f t="shared" si="1241"/>
        <v>GlobalFeedstockConversion H2O:H2 (actual)ton H2O/ton H2</v>
      </c>
      <c r="C2316" t="s">
        <v>109</v>
      </c>
      <c r="D2316" t="s">
        <v>777</v>
      </c>
      <c r="E2316" t="s">
        <v>898</v>
      </c>
      <c r="F2316" s="128" t="s">
        <v>899</v>
      </c>
      <c r="G2316" s="521">
        <f>INDEX('Fuel Model -  Input'!$B$3:$N$373,MATCH($B2316,'Fuel Model -  Input'!$B$3:$B$373,0),MATCH(G$2,'Fuel Model -  Input'!$B$3:$N$3,0))</f>
        <v>9</v>
      </c>
      <c r="H2316" s="521">
        <f>INDEX('Fuel Model -  Input'!$B$3:$N$373,MATCH($B2316,'Fuel Model -  Input'!$B$3:$B$373,0),MATCH(H$2,'Fuel Model -  Input'!$B$3:$N$3,0))</f>
        <v>9</v>
      </c>
      <c r="I2316" s="521">
        <f>INDEX('Fuel Model -  Input'!$B$3:$N$373,MATCH($B2316,'Fuel Model -  Input'!$B$3:$B$373,0),MATCH(I$2,'Fuel Model -  Input'!$B$3:$N$3,0))</f>
        <v>9</v>
      </c>
      <c r="J2316" s="521">
        <f>INDEX('Fuel Model -  Input'!$B$3:$N$373,MATCH($B2316,'Fuel Model -  Input'!$B$3:$B$373,0),MATCH(J$2,'Fuel Model -  Input'!$B$3:$N$3,0))</f>
        <v>9</v>
      </c>
      <c r="K2316" s="521">
        <f>INDEX('Fuel Model -  Input'!$B$3:$N$373,MATCH($B2316,'Fuel Model -  Input'!$B$3:$B$373,0),MATCH(K$2,'Fuel Model -  Input'!$B$3:$N$3,0))</f>
        <v>9</v>
      </c>
      <c r="L2316" s="521">
        <f>INDEX('Fuel Model -  Input'!$B$3:$N$373,MATCH($B2316,'Fuel Model -  Input'!$B$3:$B$373,0),MATCH(L$2,'Fuel Model -  Input'!$B$3:$N$3,0))</f>
        <v>9</v>
      </c>
      <c r="M2316" s="521">
        <f>INDEX('Fuel Model -  Input'!$B$3:$N$373,MATCH($B2316,'Fuel Model -  Input'!$B$3:$B$373,0),MATCH(M$2,'Fuel Model -  Input'!$B$3:$N$3,0))</f>
        <v>9</v>
      </c>
    </row>
    <row r="2317" spans="2:17" hidden="1" outlineLevel="2" x14ac:dyDescent="0.2">
      <c r="B2317" s="496" t="str">
        <f>+C2317&amp;D2317&amp;E2317&amp;F2317</f>
        <v>GlobalCO2intensityDemineralized watertonCO2eq/tonH2O</v>
      </c>
      <c r="C2317" s="157" t="s">
        <v>109</v>
      </c>
      <c r="D2317" s="157" t="s">
        <v>927</v>
      </c>
      <c r="E2317" s="157" t="s">
        <v>934</v>
      </c>
      <c r="F2317" s="157" t="s">
        <v>935</v>
      </c>
      <c r="G2317" s="521">
        <f>INDEX('Fuel Model -  Input'!$B$3:$N$373,MATCH($B2317,'Fuel Model -  Input'!$B$3:$B$373,0),MATCH(G$2,'Fuel Model -  Input'!$B$3:$N$3,0))</f>
        <v>0</v>
      </c>
      <c r="H2317" s="521">
        <f>INDEX('Fuel Model -  Input'!$B$3:$N$373,MATCH($B2317,'Fuel Model -  Input'!$B$3:$B$373,0),MATCH(H$2,'Fuel Model -  Input'!$B$3:$N$3,0))</f>
        <v>0</v>
      </c>
      <c r="I2317" s="521">
        <f>INDEX('Fuel Model -  Input'!$B$3:$N$373,MATCH($B2317,'Fuel Model -  Input'!$B$3:$B$373,0),MATCH(I$2,'Fuel Model -  Input'!$B$3:$N$3,0))</f>
        <v>0</v>
      </c>
      <c r="J2317" s="521">
        <f>INDEX('Fuel Model -  Input'!$B$3:$N$373,MATCH($B2317,'Fuel Model -  Input'!$B$3:$B$373,0),MATCH(J$2,'Fuel Model -  Input'!$B$3:$N$3,0))</f>
        <v>0</v>
      </c>
      <c r="K2317" s="521">
        <f>INDEX('Fuel Model -  Input'!$B$3:$N$373,MATCH($B2317,'Fuel Model -  Input'!$B$3:$B$373,0),MATCH(K$2,'Fuel Model -  Input'!$B$3:$N$3,0))</f>
        <v>0</v>
      </c>
      <c r="L2317" s="521">
        <f>INDEX('Fuel Model -  Input'!$B$3:$N$373,MATCH($B2317,'Fuel Model -  Input'!$B$3:$B$373,0),MATCH(L$2,'Fuel Model -  Input'!$B$3:$N$3,0))</f>
        <v>0</v>
      </c>
      <c r="M2317" s="521">
        <f>INDEX('Fuel Model -  Input'!$B$3:$N$373,MATCH($B2317,'Fuel Model -  Input'!$B$3:$B$373,0),MATCH(M$2,'Fuel Model -  Input'!$B$3:$N$3,0))</f>
        <v>0</v>
      </c>
    </row>
    <row r="2318" spans="2:17" hidden="1" outlineLevel="2" x14ac:dyDescent="0.2">
      <c r="B2318" s="496" t="str">
        <f>+C2318&amp;D2318&amp;E2318&amp;F2318</f>
        <v>GlobalCO2intensitySteam reforming process tonCO2eq/tonH2</v>
      </c>
      <c r="C2318" s="157" t="s">
        <v>109</v>
      </c>
      <c r="D2318" s="157" t="s">
        <v>927</v>
      </c>
      <c r="E2318" s="157" t="s">
        <v>1181</v>
      </c>
      <c r="F2318" s="157" t="s">
        <v>929</v>
      </c>
      <c r="G2318" s="521">
        <f>INDEX('Fuel Model -  Input'!$B$3:$N$373,MATCH($B2318,'Fuel Model -  Input'!$B$3:$B$373,0),MATCH(G$2,'Fuel Model -  Input'!$B$3:$N$3,0))</f>
        <v>0</v>
      </c>
      <c r="H2318" s="521">
        <f>INDEX('Fuel Model -  Input'!$B$3:$N$373,MATCH($B2318,'Fuel Model -  Input'!$B$3:$B$373,0),MATCH(H$2,'Fuel Model -  Input'!$B$3:$N$3,0))</f>
        <v>0</v>
      </c>
      <c r="I2318" s="521">
        <f>INDEX('Fuel Model -  Input'!$B$3:$N$373,MATCH($B2318,'Fuel Model -  Input'!$B$3:$B$373,0),MATCH(I$2,'Fuel Model -  Input'!$B$3:$N$3,0))</f>
        <v>0</v>
      </c>
      <c r="J2318" s="521">
        <f>INDEX('Fuel Model -  Input'!$B$3:$N$373,MATCH($B2318,'Fuel Model -  Input'!$B$3:$B$373,0),MATCH(J$2,'Fuel Model -  Input'!$B$3:$N$3,0))</f>
        <v>0</v>
      </c>
      <c r="K2318" s="521">
        <f>INDEX('Fuel Model -  Input'!$B$3:$N$373,MATCH($B2318,'Fuel Model -  Input'!$B$3:$B$373,0),MATCH(K$2,'Fuel Model -  Input'!$B$3:$N$3,0))</f>
        <v>0</v>
      </c>
      <c r="L2318" s="521">
        <f>INDEX('Fuel Model -  Input'!$B$3:$N$373,MATCH($B2318,'Fuel Model -  Input'!$B$3:$B$373,0),MATCH(L$2,'Fuel Model -  Input'!$B$3:$N$3,0))</f>
        <v>0</v>
      </c>
      <c r="M2318" s="521">
        <f>INDEX('Fuel Model -  Input'!$B$3:$N$373,MATCH($B2318,'Fuel Model -  Input'!$B$3:$B$373,0),MATCH(M$2,'Fuel Model -  Input'!$B$3:$N$3,0))</f>
        <v>0</v>
      </c>
    </row>
    <row r="2319" spans="2:17" ht="12.75" hidden="1" outlineLevel="1" x14ac:dyDescent="0.2">
      <c r="F2319"/>
    </row>
    <row r="2320" spans="2:17" ht="15" hidden="1" outlineLevel="1" x14ac:dyDescent="0.25">
      <c r="B2320" s="30" t="s">
        <v>1210</v>
      </c>
      <c r="C2320" s="30" t="str">
        <f>+B2320</f>
        <v>CO2eq intensity ton/ton Blue Hydrogen</v>
      </c>
      <c r="F2320"/>
      <c r="P2320" s="763"/>
      <c r="Q2320" s="763"/>
    </row>
    <row r="2321" spans="2:23" ht="15" hidden="1" outlineLevel="1" x14ac:dyDescent="0.25">
      <c r="B2321" s="527" t="str">
        <f>+C2321&amp;D2321&amp;E2321&amp;F2321</f>
        <v xml:space="preserve">GlobalEmissionsWTT Emission - Blue Hydrogen (liquid)tonCO2eq/ ton </v>
      </c>
      <c r="C2321" s="516" t="s">
        <v>109</v>
      </c>
      <c r="D2321" s="516" t="s">
        <v>728</v>
      </c>
      <c r="E2321" s="516" t="s">
        <v>1214</v>
      </c>
      <c r="F2321" s="512" t="s">
        <v>1016</v>
      </c>
      <c r="G2321" s="533">
        <f>G2323*(100%-G2324)+G2328+G2331+G2329*G2330+G2326*G2327*G2325</f>
        <v>1.9865325617428082</v>
      </c>
      <c r="H2321" s="533">
        <f t="shared" ref="H2321:M2321" si="1243">H2323*(100%-H2324)+H2328+H2331+H2329*H2330+H2326*H2327*H2325</f>
        <v>1.8688949152542371</v>
      </c>
      <c r="I2321" s="533">
        <f t="shared" si="1243"/>
        <v>1.7521101087172288</v>
      </c>
      <c r="J2321" s="533">
        <f t="shared" si="1243"/>
        <v>1.6361611252163055</v>
      </c>
      <c r="K2321" s="533">
        <f t="shared" si="1243"/>
        <v>1.5210312923520297</v>
      </c>
      <c r="L2321" s="533">
        <f t="shared" si="1243"/>
        <v>1.4067042752465706</v>
      </c>
      <c r="M2321" s="533">
        <f t="shared" si="1243"/>
        <v>1.2931640677966105</v>
      </c>
    </row>
    <row r="2322" spans="2:23" s="157" customFormat="1" hidden="1" outlineLevel="2" x14ac:dyDescent="0.2">
      <c r="B2322" s="496"/>
      <c r="F2322" s="450"/>
      <c r="G2322" s="449"/>
      <c r="H2322" s="449"/>
      <c r="I2322" s="449"/>
      <c r="J2322" s="449"/>
      <c r="K2322" s="449"/>
      <c r="L2322" s="449"/>
      <c r="M2322" s="449"/>
    </row>
    <row r="2323" spans="2:23" s="157" customFormat="1" hidden="1" outlineLevel="2" x14ac:dyDescent="0.2">
      <c r="B2323" s="496" t="str">
        <f>+C2323&amp;D2323&amp;E2323&amp;F2323</f>
        <v>GlobalCO2 CaptureConversion CO2 : H2 (actual)kg CO2/kg H2</v>
      </c>
      <c r="C2323" s="157" t="s">
        <v>109</v>
      </c>
      <c r="D2323" t="s">
        <v>1178</v>
      </c>
      <c r="E2323" t="s">
        <v>1179</v>
      </c>
      <c r="F2323" s="128" t="s">
        <v>1180</v>
      </c>
      <c r="G2323" s="521">
        <f>INDEX('Fuel Model -  Input'!$B$3:$N$373,MATCH($B2323,'Fuel Model -  Input'!$B$3:$B$373,0),MATCH(G$2,'Fuel Model -  Input'!$B$3:$N$3,0))</f>
        <v>9.0612301380000009</v>
      </c>
      <c r="H2323" s="521">
        <f>INDEX('Fuel Model -  Input'!$B$3:$N$373,MATCH($B2323,'Fuel Model -  Input'!$B$3:$B$373,0),MATCH(H$2,'Fuel Model -  Input'!$B$3:$N$3,0))</f>
        <v>9</v>
      </c>
      <c r="I2323" s="521">
        <f>INDEX('Fuel Model -  Input'!$B$3:$N$373,MATCH($B2323,'Fuel Model -  Input'!$B$3:$B$373,0),MATCH(I$2,'Fuel Model -  Input'!$B$3:$N$3,0))</f>
        <v>8.9391836169999994</v>
      </c>
      <c r="J2323" s="521">
        <f>INDEX('Fuel Model -  Input'!$B$3:$N$373,MATCH($B2323,'Fuel Model -  Input'!$B$3:$B$373,0),MATCH(J$2,'Fuel Model -  Input'!$B$3:$N$3,0))</f>
        <v>8.8787781930000005</v>
      </c>
      <c r="K2323" s="521">
        <f>INDEX('Fuel Model -  Input'!$B$3:$N$373,MATCH($B2323,'Fuel Model -  Input'!$B$3:$B$373,0),MATCH(K$2,'Fuel Model -  Input'!$B$3:$N$3,0))</f>
        <v>8.8187809510000008</v>
      </c>
      <c r="L2323" s="521">
        <f>INDEX('Fuel Model -  Input'!$B$3:$N$373,MATCH($B2323,'Fuel Model -  Input'!$B$3:$B$373,0),MATCH(L$2,'Fuel Model -  Input'!$B$3:$N$3,0))</f>
        <v>8.7591891339999997</v>
      </c>
      <c r="M2323" s="521">
        <f>INDEX('Fuel Model -  Input'!$B$3:$N$373,MATCH($B2323,'Fuel Model -  Input'!$B$3:$B$373,0),MATCH(M$2,'Fuel Model -  Input'!$B$3:$N$3,0))</f>
        <v>8.6999999999999993</v>
      </c>
    </row>
    <row r="2324" spans="2:23" hidden="1" outlineLevel="2" x14ac:dyDescent="0.2">
      <c r="B2324" s="496" t="str">
        <f>+C2324&amp;D2324&amp;E2324&amp;F2324</f>
        <v>GlobalSMRCarboncaptureeff%</v>
      </c>
      <c r="C2324" t="s">
        <v>109</v>
      </c>
      <c r="D2324" t="s">
        <v>1174</v>
      </c>
      <c r="E2324" t="s">
        <v>1212</v>
      </c>
      <c r="F2324" s="157" t="s">
        <v>178</v>
      </c>
      <c r="G2324" s="531">
        <f>INDEX('Fuel Model -  Input'!$B$3:$N$373,MATCH($B2324,'Fuel Model -  Input'!$B$3:$B$373,0),MATCH(G$2,'Fuel Model -  Input'!$B$3:$N$3,0))</f>
        <v>0.89032032977911724</v>
      </c>
      <c r="H2324" s="531">
        <f>INDEX('Fuel Model -  Input'!$B$3:$N$373,MATCH($B2324,'Fuel Model -  Input'!$B$3:$B$373,0),MATCH(H$2,'Fuel Model -  Input'!$B$3:$N$3,0))</f>
        <v>0.9</v>
      </c>
      <c r="I2324" s="531">
        <f>INDEX('Fuel Model -  Input'!$B$3:$N$373,MATCH($B2324,'Fuel Model -  Input'!$B$3:$B$373,0),MATCH(I$2,'Fuel Model -  Input'!$B$3:$N$3,0))</f>
        <v>0.90978490876531581</v>
      </c>
      <c r="J2324" s="531">
        <f>INDEX('Fuel Model -  Input'!$B$3:$N$373,MATCH($B2324,'Fuel Model -  Input'!$B$3:$B$373,0),MATCH(J$2,'Fuel Model -  Input'!$B$3:$N$3,0))</f>
        <v>0.91967620024123775</v>
      </c>
      <c r="K2324" s="531">
        <f>INDEX('Fuel Model -  Input'!$B$3:$N$373,MATCH($B2324,'Fuel Model -  Input'!$B$3:$B$373,0),MATCH(K$2,'Fuel Model -  Input'!$B$3:$N$3,0))</f>
        <v>0.92967503103345195</v>
      </c>
      <c r="L2324" s="531">
        <f>INDEX('Fuel Model -  Input'!$B$3:$N$373,MATCH($B2324,'Fuel Model -  Input'!$B$3:$B$373,0),MATCH(L$2,'Fuel Model -  Input'!$B$3:$N$3,0))</f>
        <v>0.93978257032240131</v>
      </c>
      <c r="M2324" s="531">
        <f>INDEX('Fuel Model -  Input'!$B$3:$N$373,MATCH($B2324,'Fuel Model -  Input'!$B$3:$B$373,0),MATCH(M$2,'Fuel Model -  Input'!$B$3:$N$3,0))</f>
        <v>0.95</v>
      </c>
    </row>
    <row r="2325" spans="2:23" hidden="1" outlineLevel="2" x14ac:dyDescent="0.2">
      <c r="B2325" s="496" t="str">
        <f t="shared" ref="B2325" si="1244">+C2325&amp;D2325&amp;E2325&amp;F2325</f>
        <v>GlobalCO2intensityWTTemissionsShareBeforeSMR%</v>
      </c>
      <c r="C2325" s="157" t="s">
        <v>109</v>
      </c>
      <c r="D2325" s="530" t="s">
        <v>927</v>
      </c>
      <c r="E2325" s="530" t="s">
        <v>1213</v>
      </c>
      <c r="F2325" s="157" t="s">
        <v>178</v>
      </c>
      <c r="G2325" s="531">
        <f>INDEX('Fuel Model -  Input'!$B$3:$N$373,MATCH($B2325,'Fuel Model -  Input'!$B$3:$B$373,0),MATCH(G$2,'Fuel Model -  Input'!$B$3:$N$3,0))</f>
        <v>0.32768361581920902</v>
      </c>
      <c r="H2325" s="531">
        <f>INDEX('Fuel Model -  Input'!$B$3:$N$373,MATCH($B2325,'Fuel Model -  Input'!$B$3:$B$373,0),MATCH(H$2,'Fuel Model -  Input'!$B$3:$N$3,0))</f>
        <v>0.32768361581920902</v>
      </c>
      <c r="I2325" s="531">
        <f>INDEX('Fuel Model -  Input'!$B$3:$N$373,MATCH($B2325,'Fuel Model -  Input'!$B$3:$B$373,0),MATCH(I$2,'Fuel Model -  Input'!$B$3:$N$3,0))</f>
        <v>0.32768361581920902</v>
      </c>
      <c r="J2325" s="531">
        <f>INDEX('Fuel Model -  Input'!$B$3:$N$373,MATCH($B2325,'Fuel Model -  Input'!$B$3:$B$373,0),MATCH(J$2,'Fuel Model -  Input'!$B$3:$N$3,0))</f>
        <v>0.32768361581920902</v>
      </c>
      <c r="K2325" s="531">
        <f>INDEX('Fuel Model -  Input'!$B$3:$N$373,MATCH($B2325,'Fuel Model -  Input'!$B$3:$B$373,0),MATCH(K$2,'Fuel Model -  Input'!$B$3:$N$3,0))</f>
        <v>0.32768361581920902</v>
      </c>
      <c r="L2325" s="531">
        <f>INDEX('Fuel Model -  Input'!$B$3:$N$373,MATCH($B2325,'Fuel Model -  Input'!$B$3:$B$373,0),MATCH(L$2,'Fuel Model -  Input'!$B$3:$N$3,0))</f>
        <v>0.32768361581920902</v>
      </c>
      <c r="M2325" s="531">
        <f>INDEX('Fuel Model -  Input'!$B$3:$N$373,MATCH($B2325,'Fuel Model -  Input'!$B$3:$B$373,0),MATCH(M$2,'Fuel Model -  Input'!$B$3:$N$3,0))</f>
        <v>0.32768361581920902</v>
      </c>
    </row>
    <row r="2326" spans="2:23" hidden="1" outlineLevel="2" x14ac:dyDescent="0.2">
      <c r="B2326" s="496" t="str">
        <f t="shared" ref="B2326:B2327" si="1245">+C2326&amp;D2326&amp;E2326&amp;F2326</f>
        <v xml:space="preserve">GlobalEmissionsWTT Emission - LNGtonCO2eq/ ton </v>
      </c>
      <c r="C2326" s="157" t="s">
        <v>109</v>
      </c>
      <c r="D2326" s="157" t="s">
        <v>728</v>
      </c>
      <c r="E2326" s="157" t="s">
        <v>1146</v>
      </c>
      <c r="F2326" s="450" t="s">
        <v>1016</v>
      </c>
      <c r="G2326" s="560">
        <f>INDEX('Fuel Model -  Input'!$B$3:$N$373,MATCH($B2326,'Fuel Model -  Input'!$B$3:$B$373,0),MATCH(G$2,'Fuel Model -  Input'!$B$3:$N$3,0))</f>
        <v>0.84480000000000011</v>
      </c>
      <c r="H2326" s="560">
        <f>INDEX('Fuel Model -  Input'!$B$3:$N$373,MATCH($B2326,'Fuel Model -  Input'!$B$3:$B$373,0),MATCH(H$2,'Fuel Model -  Input'!$B$3:$N$3,0))</f>
        <v>0.84480000000000011</v>
      </c>
      <c r="I2326" s="560">
        <f>INDEX('Fuel Model -  Input'!$B$3:$N$373,MATCH($B2326,'Fuel Model -  Input'!$B$3:$B$373,0),MATCH(I$2,'Fuel Model -  Input'!$B$3:$N$3,0))</f>
        <v>0.84480000000000011</v>
      </c>
      <c r="J2326" s="560">
        <f>INDEX('Fuel Model -  Input'!$B$3:$N$373,MATCH($B2326,'Fuel Model -  Input'!$B$3:$B$373,0),MATCH(J$2,'Fuel Model -  Input'!$B$3:$N$3,0))</f>
        <v>0.84480000000000011</v>
      </c>
      <c r="K2326" s="560">
        <f>INDEX('Fuel Model -  Input'!$B$3:$N$373,MATCH($B2326,'Fuel Model -  Input'!$B$3:$B$373,0),MATCH(K$2,'Fuel Model -  Input'!$B$3:$N$3,0))</f>
        <v>0.84480000000000011</v>
      </c>
      <c r="L2326" s="560">
        <f>INDEX('Fuel Model -  Input'!$B$3:$N$373,MATCH($B2326,'Fuel Model -  Input'!$B$3:$B$373,0),MATCH(L$2,'Fuel Model -  Input'!$B$3:$N$3,0))</f>
        <v>0.84480000000000011</v>
      </c>
      <c r="M2326" s="560">
        <f>INDEX('Fuel Model -  Input'!$B$3:$N$373,MATCH($B2326,'Fuel Model -  Input'!$B$3:$B$373,0),MATCH(M$2,'Fuel Model -  Input'!$B$3:$N$3,0))</f>
        <v>0.84480000000000011</v>
      </c>
    </row>
    <row r="2327" spans="2:23" hidden="1" outlineLevel="2" x14ac:dyDescent="0.2">
      <c r="B2327" s="496" t="str">
        <f t="shared" si="1245"/>
        <v>GlobalFeedstockConversion NG : H2 (actual)kg NG/kg H2</v>
      </c>
      <c r="C2327" t="s">
        <v>109</v>
      </c>
      <c r="D2327" t="s">
        <v>777</v>
      </c>
      <c r="E2327" t="s">
        <v>1172</v>
      </c>
      <c r="F2327" s="128" t="s">
        <v>1173</v>
      </c>
      <c r="G2327" s="560">
        <f>INDEX('Fuel Model -  Input'!$B$3:$N$373,MATCH($B2327,'Fuel Model -  Input'!$B$3:$B$373,0),MATCH(G$2,'Fuel Model -  Input'!$B$3:$N$3,0))</f>
        <v>3.5859919840000001</v>
      </c>
      <c r="H2327" s="560">
        <f>INDEX('Fuel Model -  Input'!$B$3:$N$373,MATCH($B2327,'Fuel Model -  Input'!$B$3:$B$373,0),MATCH(H$2,'Fuel Model -  Input'!$B$3:$N$3,0))</f>
        <v>3.5</v>
      </c>
      <c r="I2327" s="560">
        <f>INDEX('Fuel Model -  Input'!$B$3:$N$373,MATCH($B2327,'Fuel Model -  Input'!$B$3:$B$373,0),MATCH(I$2,'Fuel Model -  Input'!$B$3:$N$3,0))</f>
        <v>3.4160701009999999</v>
      </c>
      <c r="J2327" s="560">
        <f>INDEX('Fuel Model -  Input'!$B$3:$N$373,MATCH($B2327,'Fuel Model -  Input'!$B$3:$B$373,0),MATCH(J$2,'Fuel Model -  Input'!$B$3:$N$3,0))</f>
        <v>3.3341528390000001</v>
      </c>
      <c r="K2327" s="560">
        <f>INDEX('Fuel Model -  Input'!$B$3:$N$373,MATCH($B2327,'Fuel Model -  Input'!$B$3:$B$373,0),MATCH(K$2,'Fuel Model -  Input'!$B$3:$N$3,0))</f>
        <v>3.2541999499999998</v>
      </c>
      <c r="L2327" s="560">
        <f>INDEX('Fuel Model -  Input'!$B$3:$N$373,MATCH($B2327,'Fuel Model -  Input'!$B$3:$B$373,0),MATCH(L$2,'Fuel Model -  Input'!$B$3:$N$3,0))</f>
        <v>3.1761643290000001</v>
      </c>
      <c r="M2327" s="560">
        <f>INDEX('Fuel Model -  Input'!$B$3:$N$373,MATCH($B2327,'Fuel Model -  Input'!$B$3:$B$373,0),MATCH(M$2,'Fuel Model -  Input'!$B$3:$N$3,0))</f>
        <v>3.1</v>
      </c>
    </row>
    <row r="2328" spans="2:23" hidden="1" outlineLevel="2" x14ac:dyDescent="0.2">
      <c r="B2328" s="496" t="str">
        <f t="shared" ref="B2328:B2329" si="1246">+C2328&amp;D2328&amp;E2328&amp;F2328</f>
        <v>GlobalCO2intensityWater CO2 impact on H2 productiontonCO2eq/tonH2</v>
      </c>
      <c r="C2328" s="157" t="s">
        <v>109</v>
      </c>
      <c r="D2328" s="157" t="s">
        <v>927</v>
      </c>
      <c r="E2328" t="s">
        <v>933</v>
      </c>
      <c r="F2328" s="157" t="s">
        <v>929</v>
      </c>
      <c r="G2328" s="520">
        <f>+G2329*G2330</f>
        <v>0</v>
      </c>
      <c r="H2328" s="520">
        <f t="shared" ref="H2328" si="1247">+H2329*H2330</f>
        <v>0</v>
      </c>
      <c r="I2328" s="520">
        <f t="shared" ref="I2328" si="1248">+I2329*I2330</f>
        <v>0</v>
      </c>
      <c r="J2328" s="520">
        <f t="shared" ref="J2328" si="1249">+J2329*J2330</f>
        <v>0</v>
      </c>
      <c r="K2328" s="520">
        <f t="shared" ref="K2328" si="1250">+K2329*K2330</f>
        <v>0</v>
      </c>
      <c r="L2328" s="520">
        <f t="shared" ref="L2328" si="1251">+L2329*L2330</f>
        <v>0</v>
      </c>
      <c r="M2328" s="520">
        <f t="shared" ref="M2328" si="1252">+M2329*M2330</f>
        <v>0</v>
      </c>
    </row>
    <row r="2329" spans="2:23" hidden="1" outlineLevel="2" x14ac:dyDescent="0.2">
      <c r="B2329" s="496" t="str">
        <f t="shared" si="1246"/>
        <v>GlobalFeedstockConversion H2O:H2 (actual)ton H2O/ton H2</v>
      </c>
      <c r="C2329" t="s">
        <v>109</v>
      </c>
      <c r="D2329" t="s">
        <v>777</v>
      </c>
      <c r="E2329" t="s">
        <v>898</v>
      </c>
      <c r="F2329" s="128" t="s">
        <v>899</v>
      </c>
      <c r="G2329" s="521">
        <f>INDEX('Fuel Model -  Input'!$B$3:$N$373,MATCH($B2329,'Fuel Model -  Input'!$B$3:$B$373,0),MATCH(G$2,'Fuel Model -  Input'!$B$3:$N$3,0))</f>
        <v>9</v>
      </c>
      <c r="H2329" s="521">
        <f>INDEX('Fuel Model -  Input'!$B$3:$N$373,MATCH($B2329,'Fuel Model -  Input'!$B$3:$B$373,0),MATCH(H$2,'Fuel Model -  Input'!$B$3:$N$3,0))</f>
        <v>9</v>
      </c>
      <c r="I2329" s="521">
        <f>INDEX('Fuel Model -  Input'!$B$3:$N$373,MATCH($B2329,'Fuel Model -  Input'!$B$3:$B$373,0),MATCH(I$2,'Fuel Model -  Input'!$B$3:$N$3,0))</f>
        <v>9</v>
      </c>
      <c r="J2329" s="521">
        <f>INDEX('Fuel Model -  Input'!$B$3:$N$373,MATCH($B2329,'Fuel Model -  Input'!$B$3:$B$373,0),MATCH(J$2,'Fuel Model -  Input'!$B$3:$N$3,0))</f>
        <v>9</v>
      </c>
      <c r="K2329" s="521">
        <f>INDEX('Fuel Model -  Input'!$B$3:$N$373,MATCH($B2329,'Fuel Model -  Input'!$B$3:$B$373,0),MATCH(K$2,'Fuel Model -  Input'!$B$3:$N$3,0))</f>
        <v>9</v>
      </c>
      <c r="L2329" s="521">
        <f>INDEX('Fuel Model -  Input'!$B$3:$N$373,MATCH($B2329,'Fuel Model -  Input'!$B$3:$B$373,0),MATCH(L$2,'Fuel Model -  Input'!$B$3:$N$3,0))</f>
        <v>9</v>
      </c>
      <c r="M2329" s="521">
        <f>INDEX('Fuel Model -  Input'!$B$3:$N$373,MATCH($B2329,'Fuel Model -  Input'!$B$3:$B$373,0),MATCH(M$2,'Fuel Model -  Input'!$B$3:$N$3,0))</f>
        <v>9</v>
      </c>
    </row>
    <row r="2330" spans="2:23" hidden="1" outlineLevel="2" x14ac:dyDescent="0.2">
      <c r="B2330" s="496" t="str">
        <f>+C2330&amp;D2330&amp;E2330&amp;F2330</f>
        <v>GlobalCO2intensityDemineralized watertonCO2eq/tonH2O</v>
      </c>
      <c r="C2330" s="157" t="s">
        <v>109</v>
      </c>
      <c r="D2330" s="157" t="s">
        <v>927</v>
      </c>
      <c r="E2330" s="157" t="s">
        <v>934</v>
      </c>
      <c r="F2330" s="157" t="s">
        <v>935</v>
      </c>
      <c r="G2330" s="521">
        <f>INDEX('Fuel Model -  Input'!$B$3:$N$373,MATCH($B2330,'Fuel Model -  Input'!$B$3:$B$373,0),MATCH(G$2,'Fuel Model -  Input'!$B$3:$N$3,0))</f>
        <v>0</v>
      </c>
      <c r="H2330" s="521">
        <f>INDEX('Fuel Model -  Input'!$B$3:$N$373,MATCH($B2330,'Fuel Model -  Input'!$B$3:$B$373,0),MATCH(H$2,'Fuel Model -  Input'!$B$3:$N$3,0))</f>
        <v>0</v>
      </c>
      <c r="I2330" s="521">
        <f>INDEX('Fuel Model -  Input'!$B$3:$N$373,MATCH($B2330,'Fuel Model -  Input'!$B$3:$B$373,0),MATCH(I$2,'Fuel Model -  Input'!$B$3:$N$3,0))</f>
        <v>0</v>
      </c>
      <c r="J2330" s="521">
        <f>INDEX('Fuel Model -  Input'!$B$3:$N$373,MATCH($B2330,'Fuel Model -  Input'!$B$3:$B$373,0),MATCH(J$2,'Fuel Model -  Input'!$B$3:$N$3,0))</f>
        <v>0</v>
      </c>
      <c r="K2330" s="521">
        <f>INDEX('Fuel Model -  Input'!$B$3:$N$373,MATCH($B2330,'Fuel Model -  Input'!$B$3:$B$373,0),MATCH(K$2,'Fuel Model -  Input'!$B$3:$N$3,0))</f>
        <v>0</v>
      </c>
      <c r="L2330" s="521">
        <f>INDEX('Fuel Model -  Input'!$B$3:$N$373,MATCH($B2330,'Fuel Model -  Input'!$B$3:$B$373,0),MATCH(L$2,'Fuel Model -  Input'!$B$3:$N$3,0))</f>
        <v>0</v>
      </c>
      <c r="M2330" s="521">
        <f>INDEX('Fuel Model -  Input'!$B$3:$N$373,MATCH($B2330,'Fuel Model -  Input'!$B$3:$B$373,0),MATCH(M$2,'Fuel Model -  Input'!$B$3:$N$3,0))</f>
        <v>0</v>
      </c>
    </row>
    <row r="2331" spans="2:23" hidden="1" outlineLevel="2" x14ac:dyDescent="0.2">
      <c r="B2331" s="496" t="str">
        <f>+C2331&amp;D2331&amp;E2331&amp;F2331</f>
        <v>GlobalCO2intensitySteam reforming process tonCO2eq/tonH2</v>
      </c>
      <c r="C2331" s="157" t="s">
        <v>109</v>
      </c>
      <c r="D2331" s="157" t="s">
        <v>927</v>
      </c>
      <c r="E2331" s="157" t="s">
        <v>1181</v>
      </c>
      <c r="F2331" s="157" t="s">
        <v>929</v>
      </c>
      <c r="G2331" s="521">
        <f>INDEX('Fuel Model -  Input'!$B$3:$N$373,MATCH($B2331,'Fuel Model -  Input'!$B$3:$B$373,0),MATCH(G$2,'Fuel Model -  Input'!$B$3:$N$3,0))</f>
        <v>0</v>
      </c>
      <c r="H2331" s="521">
        <f>INDEX('Fuel Model -  Input'!$B$3:$N$373,MATCH($B2331,'Fuel Model -  Input'!$B$3:$B$373,0),MATCH(H$2,'Fuel Model -  Input'!$B$3:$N$3,0))</f>
        <v>0</v>
      </c>
      <c r="I2331" s="521">
        <f>INDEX('Fuel Model -  Input'!$B$3:$N$373,MATCH($B2331,'Fuel Model -  Input'!$B$3:$B$373,0),MATCH(I$2,'Fuel Model -  Input'!$B$3:$N$3,0))</f>
        <v>0</v>
      </c>
      <c r="J2331" s="521">
        <f>INDEX('Fuel Model -  Input'!$B$3:$N$373,MATCH($B2331,'Fuel Model -  Input'!$B$3:$B$373,0),MATCH(J$2,'Fuel Model -  Input'!$B$3:$N$3,0))</f>
        <v>0</v>
      </c>
      <c r="K2331" s="521">
        <f>INDEX('Fuel Model -  Input'!$B$3:$N$373,MATCH($B2331,'Fuel Model -  Input'!$B$3:$B$373,0),MATCH(K$2,'Fuel Model -  Input'!$B$3:$N$3,0))</f>
        <v>0</v>
      </c>
      <c r="L2331" s="521">
        <f>INDEX('Fuel Model -  Input'!$B$3:$N$373,MATCH($B2331,'Fuel Model -  Input'!$B$3:$B$373,0),MATCH(L$2,'Fuel Model -  Input'!$B$3:$N$3,0))</f>
        <v>0</v>
      </c>
      <c r="M2331" s="521">
        <f>INDEX('Fuel Model -  Input'!$B$3:$N$373,MATCH($B2331,'Fuel Model -  Input'!$B$3:$B$373,0),MATCH(M$2,'Fuel Model -  Input'!$B$3:$N$3,0))</f>
        <v>0</v>
      </c>
    </row>
    <row r="2332" spans="2:23" ht="12.75" hidden="1" outlineLevel="1" x14ac:dyDescent="0.2">
      <c r="F2332"/>
    </row>
    <row r="2333" spans="2:23" ht="15" thickBot="1" x14ac:dyDescent="0.25"/>
    <row r="2334" spans="2:23" ht="15.75" collapsed="1" thickBot="1" x14ac:dyDescent="0.3">
      <c r="B2334" s="557" t="s">
        <v>120</v>
      </c>
      <c r="C2334" s="558" t="str">
        <f>+B2334</f>
        <v>Blue ammonia</v>
      </c>
      <c r="D2334" s="559"/>
      <c r="E2334" s="559"/>
      <c r="F2334" s="559"/>
      <c r="G2334" s="742">
        <v>2020</v>
      </c>
      <c r="H2334" s="742">
        <v>2025</v>
      </c>
      <c r="I2334" s="742">
        <v>2030</v>
      </c>
      <c r="J2334" s="742">
        <v>2035</v>
      </c>
      <c r="K2334" s="742">
        <v>2040</v>
      </c>
      <c r="L2334" s="742">
        <v>2045</v>
      </c>
      <c r="M2334" s="743">
        <v>2050</v>
      </c>
    </row>
    <row r="2335" spans="2:23" hidden="1" outlineLevel="1" x14ac:dyDescent="0.2"/>
    <row r="2336" spans="2:23" ht="15" hidden="1" outlineLevel="1" x14ac:dyDescent="0.25">
      <c r="B2336" t="str">
        <f>+C2336&amp;D2336&amp;E2336&amp;F2336</f>
        <v>EuropeResultsCost of Blue AmmoniaUSD/ton</v>
      </c>
      <c r="C2336" t="s">
        <v>195</v>
      </c>
      <c r="D2336" t="s">
        <v>838</v>
      </c>
      <c r="E2336" s="30" t="s">
        <v>1215</v>
      </c>
      <c r="F2336" s="522" t="s">
        <v>205</v>
      </c>
      <c r="G2336" s="8">
        <f t="shared" ref="G2336:M2336" si="1253">+G2343</f>
        <v>1475.6915676005433</v>
      </c>
      <c r="H2336" s="8">
        <f t="shared" si="1253"/>
        <v>774.1247900676633</v>
      </c>
      <c r="I2336" s="8">
        <f t="shared" si="1253"/>
        <v>600.88685547087664</v>
      </c>
      <c r="J2336" s="8">
        <f t="shared" si="1253"/>
        <v>592.76465593224987</v>
      </c>
      <c r="K2336" s="8">
        <f t="shared" si="1253"/>
        <v>584.87416205567763</v>
      </c>
      <c r="L2336" s="8">
        <f t="shared" si="1253"/>
        <v>576.95969784033161</v>
      </c>
      <c r="M2336" s="8">
        <f t="shared" si="1253"/>
        <v>569.14454106475978</v>
      </c>
      <c r="N2336" s="93"/>
      <c r="O2336" s="18"/>
      <c r="P2336" s="18"/>
      <c r="Q2336" s="18"/>
      <c r="R2336" s="18"/>
      <c r="S2336" s="18"/>
      <c r="T2336" s="18"/>
      <c r="U2336" s="18"/>
      <c r="V2336" s="18"/>
      <c r="W2336" s="18"/>
    </row>
    <row r="2337" spans="2:23" ht="15" hidden="1" outlineLevel="1" x14ac:dyDescent="0.25">
      <c r="B2337" t="str">
        <f>+C2337&amp;D2337&amp;E2337&amp;F2337</f>
        <v>Middle EastResultsCost of Blue AmmoniaUSD/ton</v>
      </c>
      <c r="C2337" t="s">
        <v>197</v>
      </c>
      <c r="D2337" t="s">
        <v>838</v>
      </c>
      <c r="E2337" s="30" t="s">
        <v>1215</v>
      </c>
      <c r="F2337" s="522" t="s">
        <v>205</v>
      </c>
      <c r="G2337" s="8">
        <f t="shared" ref="G2337:M2337" si="1254">G2377</f>
        <v>1249.6077383737788</v>
      </c>
      <c r="H2337" s="8">
        <f t="shared" si="1254"/>
        <v>660.41090785259462</v>
      </c>
      <c r="I2337" s="8">
        <f t="shared" si="1254"/>
        <v>388.46783100817009</v>
      </c>
      <c r="J2337" s="8">
        <f t="shared" si="1254"/>
        <v>380.29375437926848</v>
      </c>
      <c r="K2337" s="8">
        <f t="shared" si="1254"/>
        <v>372.43225749442354</v>
      </c>
      <c r="L2337" s="8">
        <f t="shared" si="1254"/>
        <v>364.47288201393883</v>
      </c>
      <c r="M2337" s="8">
        <f t="shared" si="1254"/>
        <v>356.73278425825652</v>
      </c>
      <c r="O2337" s="18"/>
      <c r="P2337" s="18"/>
      <c r="Q2337" s="18"/>
      <c r="R2337" s="18"/>
      <c r="S2337" s="18"/>
      <c r="T2337" s="18"/>
      <c r="U2337" s="18"/>
      <c r="V2337" s="18"/>
      <c r="W2337" s="18"/>
    </row>
    <row r="2338" spans="2:23" ht="15" hidden="1" outlineLevel="1" x14ac:dyDescent="0.25">
      <c r="B2338" t="str">
        <f>+C2338&amp;D2338&amp;E2338&amp;F2338</f>
        <v>AsiaResultsCost of Blue AmmoniaUSD/ton</v>
      </c>
      <c r="C2338" t="s">
        <v>198</v>
      </c>
      <c r="D2338" t="s">
        <v>838</v>
      </c>
      <c r="E2338" s="30" t="s">
        <v>1215</v>
      </c>
      <c r="F2338" s="522" t="s">
        <v>205</v>
      </c>
      <c r="G2338" s="8">
        <f t="shared" ref="G2338:M2338" si="1255">G2411</f>
        <v>1384.2068412028507</v>
      </c>
      <c r="H2338" s="8">
        <f t="shared" si="1255"/>
        <v>791.66193828030737</v>
      </c>
      <c r="I2338" s="8">
        <f t="shared" si="1255"/>
        <v>522.12535035370206</v>
      </c>
      <c r="J2338" s="8">
        <f t="shared" si="1255"/>
        <v>513.43453861570003</v>
      </c>
      <c r="K2338" s="8">
        <f t="shared" si="1255"/>
        <v>505.30591099033063</v>
      </c>
      <c r="L2338" s="8">
        <f t="shared" si="1255"/>
        <v>497.15011318442589</v>
      </c>
      <c r="M2338" s="8">
        <f t="shared" si="1255"/>
        <v>489.32383183277011</v>
      </c>
      <c r="O2338" s="18"/>
      <c r="P2338" s="18"/>
      <c r="Q2338" s="18"/>
      <c r="R2338" s="18"/>
      <c r="S2338" s="18"/>
      <c r="T2338" s="18"/>
      <c r="U2338" s="18"/>
      <c r="V2338" s="18"/>
      <c r="W2338" s="18"/>
    </row>
    <row r="2339" spans="2:23" ht="15" hidden="1" outlineLevel="1" x14ac:dyDescent="0.25">
      <c r="B2339" t="str">
        <f>+C2339&amp;D2339&amp;E2339&amp;F2339</f>
        <v>AmericasResultsCost of Blue AmmoniaUSD/ton</v>
      </c>
      <c r="C2339" t="s">
        <v>199</v>
      </c>
      <c r="D2339" t="s">
        <v>838</v>
      </c>
      <c r="E2339" s="30" t="s">
        <v>1215</v>
      </c>
      <c r="F2339" s="522" t="s">
        <v>205</v>
      </c>
      <c r="G2339" s="8">
        <f t="shared" ref="G2339:M2339" si="1256">G2445</f>
        <v>577.12197709759801</v>
      </c>
      <c r="H2339" s="8">
        <f t="shared" si="1256"/>
        <v>471.84347049883092</v>
      </c>
      <c r="I2339" s="8">
        <f t="shared" si="1256"/>
        <v>436.53380911769557</v>
      </c>
      <c r="J2339" s="8">
        <f t="shared" si="1256"/>
        <v>447.67862451603872</v>
      </c>
      <c r="K2339" s="8">
        <f t="shared" si="1256"/>
        <v>439.71964443704184</v>
      </c>
      <c r="L2339" s="8">
        <f t="shared" si="1256"/>
        <v>432.00656627754404</v>
      </c>
      <c r="M2339" s="8">
        <f t="shared" si="1256"/>
        <v>424.33422908641603</v>
      </c>
      <c r="O2339" s="18"/>
      <c r="P2339" s="18"/>
      <c r="Q2339" s="18"/>
      <c r="R2339" s="18"/>
      <c r="S2339" s="18"/>
      <c r="T2339" s="18"/>
      <c r="U2339" s="18"/>
      <c r="V2339" s="18"/>
      <c r="W2339" s="18"/>
    </row>
    <row r="2340" spans="2:23" ht="15" hidden="1" outlineLevel="1" x14ac:dyDescent="0.25">
      <c r="B2340" t="str">
        <f>+C2340&amp;D2340&amp;E2340&amp;F2340</f>
        <v>AfricaResultsCost of Blue AmmoniaUSD/ton</v>
      </c>
      <c r="C2340" t="s">
        <v>200</v>
      </c>
      <c r="D2340" t="s">
        <v>838</v>
      </c>
      <c r="E2340" s="30" t="s">
        <v>1215</v>
      </c>
      <c r="F2340" s="522" t="s">
        <v>205</v>
      </c>
      <c r="G2340" s="8">
        <f t="shared" ref="G2340:M2340" si="1257">G2479</f>
        <v>1479.6968153291473</v>
      </c>
      <c r="H2340" s="8">
        <f t="shared" si="1257"/>
        <v>774.20676354619604</v>
      </c>
      <c r="I2340" s="8">
        <f t="shared" si="1257"/>
        <v>600.7816249063178</v>
      </c>
      <c r="J2340" s="8">
        <f t="shared" si="1257"/>
        <v>592.35743830963611</v>
      </c>
      <c r="K2340" s="8">
        <f t="shared" si="1257"/>
        <v>584.39746836223571</v>
      </c>
      <c r="L2340" s="8">
        <f t="shared" si="1257"/>
        <v>576.42582822681959</v>
      </c>
      <c r="M2340" s="8">
        <f t="shared" si="1257"/>
        <v>568.67031437055823</v>
      </c>
      <c r="O2340" s="18"/>
      <c r="P2340" s="18"/>
      <c r="Q2340" s="18"/>
      <c r="R2340" s="18"/>
      <c r="S2340" s="18"/>
      <c r="T2340" s="18"/>
      <c r="U2340" s="18"/>
      <c r="V2340" s="18"/>
      <c r="W2340" s="18"/>
    </row>
    <row r="2341" spans="2:23" ht="15" hidden="1" outlineLevel="1" x14ac:dyDescent="0.25">
      <c r="E2341" s="30"/>
      <c r="F2341"/>
    </row>
    <row r="2342" spans="2:23" s="30" customFormat="1" ht="15" hidden="1" outlineLevel="1" collapsed="1" x14ac:dyDescent="0.25">
      <c r="B2342" s="30" t="s">
        <v>195</v>
      </c>
      <c r="C2342" s="30" t="str">
        <f>+B2342</f>
        <v>Europe</v>
      </c>
    </row>
    <row r="2343" spans="2:23" ht="15" hidden="1" outlineLevel="2" x14ac:dyDescent="0.25">
      <c r="B2343" t="str">
        <f>+C2343&amp;D2343&amp;E2343&amp;F2343</f>
        <v>EuropeResultsTotal cost of Blue AmmoniaUSD/ton</v>
      </c>
      <c r="C2343" s="494" t="str">
        <f>+$C$2342</f>
        <v>Europe</v>
      </c>
      <c r="D2343" s="30" t="s">
        <v>838</v>
      </c>
      <c r="E2343" s="405" t="s">
        <v>1216</v>
      </c>
      <c r="F2343" s="127" t="s">
        <v>205</v>
      </c>
      <c r="G2343" s="490">
        <f>SUM(G2344:G2347)</f>
        <v>1475.6915676005433</v>
      </c>
      <c r="H2343" s="490">
        <f t="shared" ref="H2343:M2343" si="1258">SUM(H2344:H2347)</f>
        <v>774.1247900676633</v>
      </c>
      <c r="I2343" s="490">
        <f t="shared" si="1258"/>
        <v>600.88685547087664</v>
      </c>
      <c r="J2343" s="490">
        <f t="shared" si="1258"/>
        <v>592.76465593224987</v>
      </c>
      <c r="K2343" s="490">
        <f t="shared" si="1258"/>
        <v>584.87416205567763</v>
      </c>
      <c r="L2343" s="490">
        <f t="shared" si="1258"/>
        <v>576.95969784033161</v>
      </c>
      <c r="M2343" s="490">
        <f t="shared" si="1258"/>
        <v>569.14454106475978</v>
      </c>
    </row>
    <row r="2344" spans="2:23" ht="15" hidden="1" outlineLevel="2" x14ac:dyDescent="0.25">
      <c r="B2344" t="str">
        <f>+C2344&amp;D2344&amp;E2344&amp;F2344</f>
        <v>EuropeResultsTotal Capex Blue AmmoniaUSD/ton</v>
      </c>
      <c r="C2344" s="494" t="str">
        <f>+$C$2342</f>
        <v>Europe</v>
      </c>
      <c r="D2344" s="30" t="s">
        <v>838</v>
      </c>
      <c r="E2344" s="228" t="s">
        <v>1217</v>
      </c>
      <c r="F2344" s="127" t="s">
        <v>205</v>
      </c>
      <c r="G2344" s="490">
        <f>G2349</f>
        <v>111.30000000000003</v>
      </c>
      <c r="H2344" s="490">
        <f t="shared" ref="H2344:M2344" si="1259">H2349</f>
        <v>106.00000000000003</v>
      </c>
      <c r="I2344" s="490">
        <f t="shared" si="1259"/>
        <v>100.70000000000002</v>
      </c>
      <c r="J2344" s="490">
        <f t="shared" si="1259"/>
        <v>95.40000000000002</v>
      </c>
      <c r="K2344" s="490">
        <f t="shared" si="1259"/>
        <v>90.100000000000023</v>
      </c>
      <c r="L2344" s="490">
        <f t="shared" si="1259"/>
        <v>84.800000000000026</v>
      </c>
      <c r="M2344" s="490">
        <f t="shared" si="1259"/>
        <v>79.500000000000014</v>
      </c>
    </row>
    <row r="2345" spans="2:23" ht="15" hidden="1" outlineLevel="2" x14ac:dyDescent="0.25">
      <c r="B2345" t="str">
        <f>+C2345&amp;D2345&amp;E2345&amp;F2345</f>
        <v>EuropeResultsTotal Opex Blue AmmoniaUSD/ton</v>
      </c>
      <c r="C2345" s="494" t="str">
        <f>+$C$2342</f>
        <v>Europe</v>
      </c>
      <c r="D2345" s="30" t="s">
        <v>838</v>
      </c>
      <c r="E2345" s="228" t="s">
        <v>1218</v>
      </c>
      <c r="F2345" s="127" t="s">
        <v>205</v>
      </c>
      <c r="G2345" s="490">
        <f>G2353</f>
        <v>50.4</v>
      </c>
      <c r="H2345" s="490">
        <f t="shared" ref="H2345:M2345" si="1260">H2353</f>
        <v>48</v>
      </c>
      <c r="I2345" s="490">
        <f t="shared" si="1260"/>
        <v>45.6</v>
      </c>
      <c r="J2345" s="490">
        <f t="shared" si="1260"/>
        <v>43.2</v>
      </c>
      <c r="K2345" s="490">
        <f t="shared" si="1260"/>
        <v>40.800000000000004</v>
      </c>
      <c r="L2345" s="490">
        <f t="shared" si="1260"/>
        <v>38.4</v>
      </c>
      <c r="M2345" s="490">
        <f t="shared" si="1260"/>
        <v>36</v>
      </c>
    </row>
    <row r="2346" spans="2:23" ht="15" hidden="1" outlineLevel="2" x14ac:dyDescent="0.25">
      <c r="B2346" t="str">
        <f>+C2346&amp;D2346&amp;E2346&amp;F2346</f>
        <v>EuropeResultsTotal Raw Material Blue AmmoniaUSD/ton</v>
      </c>
      <c r="C2346" s="494" t="str">
        <f>+$C$2342</f>
        <v>Europe</v>
      </c>
      <c r="D2346" s="30" t="s">
        <v>838</v>
      </c>
      <c r="E2346" s="228" t="s">
        <v>1219</v>
      </c>
      <c r="F2346" s="127" t="s">
        <v>205</v>
      </c>
      <c r="G2346" s="490">
        <f>G2364+G2360</f>
        <v>1182.7755676005434</v>
      </c>
      <c r="H2346" s="490">
        <f t="shared" ref="H2346:M2346" si="1261">H2364+H2360</f>
        <v>487.96479006766316</v>
      </c>
      <c r="I2346" s="490">
        <f t="shared" si="1261"/>
        <v>321.48285547087664</v>
      </c>
      <c r="J2346" s="490">
        <f t="shared" si="1261"/>
        <v>320.11665593224984</v>
      </c>
      <c r="K2346" s="490">
        <f t="shared" si="1261"/>
        <v>318.98216205567758</v>
      </c>
      <c r="L2346" s="490">
        <f t="shared" si="1261"/>
        <v>317.82369784033159</v>
      </c>
      <c r="M2346" s="490">
        <f t="shared" si="1261"/>
        <v>316.76454106475973</v>
      </c>
    </row>
    <row r="2347" spans="2:23" ht="15" hidden="1" outlineLevel="2" x14ac:dyDescent="0.25">
      <c r="B2347" t="str">
        <f>+C2347&amp;D2347&amp;E2347&amp;F2347</f>
        <v>EuropeResultsTotal CO2 Blue AmmoniaUSD/ton</v>
      </c>
      <c r="C2347" s="494" t="str">
        <f>+$C$2342</f>
        <v>Europe</v>
      </c>
      <c r="D2347" s="30" t="s">
        <v>838</v>
      </c>
      <c r="E2347" s="228" t="s">
        <v>1220</v>
      </c>
      <c r="F2347" s="127" t="s">
        <v>205</v>
      </c>
      <c r="G2347" s="490">
        <f>G2368</f>
        <v>131.21600000000001</v>
      </c>
      <c r="H2347" s="490">
        <f t="shared" ref="H2347:M2347" si="1262">H2368</f>
        <v>132.16000000000003</v>
      </c>
      <c r="I2347" s="490">
        <f t="shared" si="1262"/>
        <v>133.10400000000001</v>
      </c>
      <c r="J2347" s="490">
        <f t="shared" si="1262"/>
        <v>134.048</v>
      </c>
      <c r="K2347" s="490">
        <f t="shared" si="1262"/>
        <v>134.99200000000002</v>
      </c>
      <c r="L2347" s="490">
        <f t="shared" si="1262"/>
        <v>135.93600000000001</v>
      </c>
      <c r="M2347" s="490">
        <f t="shared" si="1262"/>
        <v>136.88</v>
      </c>
    </row>
    <row r="2348" spans="2:23" hidden="1" outlineLevel="2" x14ac:dyDescent="0.2">
      <c r="E2348" s="48"/>
      <c r="F2348" s="128"/>
      <c r="G2348" s="8"/>
      <c r="H2348" s="8"/>
      <c r="I2348" s="8"/>
      <c r="J2348" s="8"/>
      <c r="K2348" s="8"/>
      <c r="L2348" s="8"/>
      <c r="M2348" s="8"/>
    </row>
    <row r="2349" spans="2:23" hidden="1" outlineLevel="2" x14ac:dyDescent="0.2">
      <c r="B2349" t="str">
        <f>+C2349&amp;D2349&amp;E2349&amp;F2349</f>
        <v>GlobalCapexCapex per yearUSD m/year</v>
      </c>
      <c r="C2349" t="s">
        <v>109</v>
      </c>
      <c r="D2349" t="s">
        <v>218</v>
      </c>
      <c r="E2349" t="s">
        <v>956</v>
      </c>
      <c r="F2349" s="128" t="s">
        <v>957</v>
      </c>
      <c r="G2349" s="523">
        <f t="shared" ref="G2349:M2349" si="1263">G2351/G2350</f>
        <v>111.30000000000003</v>
      </c>
      <c r="H2349" s="523">
        <f t="shared" si="1263"/>
        <v>106.00000000000003</v>
      </c>
      <c r="I2349" s="523">
        <f t="shared" si="1263"/>
        <v>100.70000000000002</v>
      </c>
      <c r="J2349" s="523">
        <f t="shared" si="1263"/>
        <v>95.40000000000002</v>
      </c>
      <c r="K2349" s="523">
        <f t="shared" si="1263"/>
        <v>90.100000000000023</v>
      </c>
      <c r="L2349" s="523">
        <f t="shared" si="1263"/>
        <v>84.800000000000026</v>
      </c>
      <c r="M2349" s="523">
        <f t="shared" si="1263"/>
        <v>79.500000000000014</v>
      </c>
    </row>
    <row r="2350" spans="2:23" hidden="1" outlineLevel="2" x14ac:dyDescent="0.2">
      <c r="B2350" t="str">
        <f>+C2350&amp;D2350&amp;E2350&amp;F2350</f>
        <v>GlobalPlant capexAnnualisation factor#</v>
      </c>
      <c r="C2350" t="s">
        <v>109</v>
      </c>
      <c r="D2350" t="s">
        <v>786</v>
      </c>
      <c r="E2350" t="s">
        <v>764</v>
      </c>
      <c r="F2350" s="450" t="s">
        <v>787</v>
      </c>
      <c r="G2350" s="532">
        <f>INDEX('Fuel Model -  Input'!$B$3:$N$373,MATCH($B2350,'Fuel Model -  Input'!$B$3:$B$373,0),MATCH(G$2,'Fuel Model -  Input'!$B$3:$N$3,0))</f>
        <v>11.32075471698113</v>
      </c>
      <c r="H2350" s="532">
        <f>INDEX('Fuel Model -  Input'!$B$3:$N$373,MATCH($B2350,'Fuel Model -  Input'!$B$3:$B$373,0),MATCH(H$2,'Fuel Model -  Input'!$B$3:$N$3,0))</f>
        <v>11.32075471698113</v>
      </c>
      <c r="I2350" s="532">
        <f>INDEX('Fuel Model -  Input'!$B$3:$N$373,MATCH($B2350,'Fuel Model -  Input'!$B$3:$B$373,0),MATCH(I$2,'Fuel Model -  Input'!$B$3:$N$3,0))</f>
        <v>11.32075471698113</v>
      </c>
      <c r="J2350" s="532">
        <f>INDEX('Fuel Model -  Input'!$B$3:$N$373,MATCH($B2350,'Fuel Model -  Input'!$B$3:$B$373,0),MATCH(J$2,'Fuel Model -  Input'!$B$3:$N$3,0))</f>
        <v>11.32075471698113</v>
      </c>
      <c r="K2350" s="532">
        <f>INDEX('Fuel Model -  Input'!$B$3:$N$373,MATCH($B2350,'Fuel Model -  Input'!$B$3:$B$373,0),MATCH(K$2,'Fuel Model -  Input'!$B$3:$N$3,0))</f>
        <v>11.32075471698113</v>
      </c>
      <c r="L2350" s="532">
        <f>INDEX('Fuel Model -  Input'!$B$3:$N$373,MATCH($B2350,'Fuel Model -  Input'!$B$3:$B$373,0),MATCH(L$2,'Fuel Model -  Input'!$B$3:$N$3,0))</f>
        <v>11.32075471698113</v>
      </c>
      <c r="M2350" s="532">
        <f>INDEX('Fuel Model -  Input'!$B$3:$N$373,MATCH($B2350,'Fuel Model -  Input'!$B$3:$B$373,0),MATCH(M$2,'Fuel Model -  Input'!$B$3:$N$3,0))</f>
        <v>11.32075471698113</v>
      </c>
    </row>
    <row r="2351" spans="2:23" hidden="1" outlineLevel="2" x14ac:dyDescent="0.2">
      <c r="B2351" t="str">
        <f>+C2351&amp;D2351&amp;E2351&amp;F2351</f>
        <v>GlobalCapexBlue ammonia plant unit cost (ATR incl CCS)USD/ton NH3</v>
      </c>
      <c r="C2351" t="s">
        <v>109</v>
      </c>
      <c r="D2351" s="157" t="s">
        <v>218</v>
      </c>
      <c r="E2351" s="15" t="s">
        <v>1704</v>
      </c>
      <c r="F2351" s="224" t="s">
        <v>960</v>
      </c>
      <c r="G2351" s="532">
        <f>INDEX('Fuel Model -  Input'!$B$3:$N$373,MATCH($B2351,'Fuel Model -  Input'!$B$3:$B$373,0),MATCH(G$2,'Fuel Model -  Input'!$B$3:$N$3,0))</f>
        <v>1260</v>
      </c>
      <c r="H2351" s="532">
        <f>INDEX('Fuel Model -  Input'!$B$3:$N$373,MATCH($B2351,'Fuel Model -  Input'!$B$3:$B$373,0),MATCH(H$2,'Fuel Model -  Input'!$B$3:$N$3,0))</f>
        <v>1200</v>
      </c>
      <c r="I2351" s="532">
        <f>INDEX('Fuel Model -  Input'!$B$3:$N$373,MATCH($B2351,'Fuel Model -  Input'!$B$3:$B$373,0),MATCH(I$2,'Fuel Model -  Input'!$B$3:$N$3,0))</f>
        <v>1140</v>
      </c>
      <c r="J2351" s="532">
        <f>INDEX('Fuel Model -  Input'!$B$3:$N$373,MATCH($B2351,'Fuel Model -  Input'!$B$3:$B$373,0),MATCH(J$2,'Fuel Model -  Input'!$B$3:$N$3,0))</f>
        <v>1080</v>
      </c>
      <c r="K2351" s="532">
        <f>INDEX('Fuel Model -  Input'!$B$3:$N$373,MATCH($B2351,'Fuel Model -  Input'!$B$3:$B$373,0),MATCH(K$2,'Fuel Model -  Input'!$B$3:$N$3,0))</f>
        <v>1020</v>
      </c>
      <c r="L2351" s="532">
        <f>INDEX('Fuel Model -  Input'!$B$3:$N$373,MATCH($B2351,'Fuel Model -  Input'!$B$3:$B$373,0),MATCH(L$2,'Fuel Model -  Input'!$B$3:$N$3,0))</f>
        <v>960</v>
      </c>
      <c r="M2351" s="532">
        <f>INDEX('Fuel Model -  Input'!$B$3:$N$373,MATCH($B2351,'Fuel Model -  Input'!$B$3:$B$373,0),MATCH(M$2,'Fuel Model -  Input'!$B$3:$N$3,0))</f>
        <v>900</v>
      </c>
    </row>
    <row r="2352" spans="2:23" hidden="1" outlineLevel="2" x14ac:dyDescent="0.2">
      <c r="E2352" s="48"/>
      <c r="F2352" s="128"/>
      <c r="G2352" s="8"/>
      <c r="H2352" s="8"/>
      <c r="I2352" s="8"/>
      <c r="J2352" s="8"/>
      <c r="K2352" s="8"/>
      <c r="L2352" s="8"/>
      <c r="M2352" s="8"/>
    </row>
    <row r="2353" spans="2:13" hidden="1" outlineLevel="2" x14ac:dyDescent="0.2">
      <c r="B2353" t="str">
        <f>+C2353&amp;D2353&amp;E2353&amp;F2353</f>
        <v>GlobalOpexOpexUSD/ton NH3</v>
      </c>
      <c r="C2353" t="s">
        <v>109</v>
      </c>
      <c r="D2353" t="s">
        <v>219</v>
      </c>
      <c r="E2353" s="48" t="s">
        <v>219</v>
      </c>
      <c r="F2353" s="128" t="s">
        <v>960</v>
      </c>
      <c r="G2353" s="8">
        <f t="shared" ref="G2353:M2353" si="1264">G2351*G2354</f>
        <v>50.4</v>
      </c>
      <c r="H2353" s="8">
        <f t="shared" si="1264"/>
        <v>48</v>
      </c>
      <c r="I2353" s="8">
        <f t="shared" si="1264"/>
        <v>45.6</v>
      </c>
      <c r="J2353" s="8">
        <f t="shared" si="1264"/>
        <v>43.2</v>
      </c>
      <c r="K2353" s="8">
        <f t="shared" si="1264"/>
        <v>40.800000000000004</v>
      </c>
      <c r="L2353" s="8">
        <f t="shared" si="1264"/>
        <v>38.4</v>
      </c>
      <c r="M2353" s="8">
        <f t="shared" si="1264"/>
        <v>36</v>
      </c>
    </row>
    <row r="2354" spans="2:13" hidden="1" outlineLevel="2" x14ac:dyDescent="0.2">
      <c r="B2354" t="str">
        <f>+C2354&amp;D2354&amp;E2354&amp;F2354</f>
        <v>GlobalOpexPlant - ATR - opexPercent of Capex</v>
      </c>
      <c r="C2354" t="s">
        <v>109</v>
      </c>
      <c r="D2354" t="s">
        <v>219</v>
      </c>
      <c r="E2354" s="48" t="s">
        <v>1706</v>
      </c>
      <c r="F2354" s="224" t="s">
        <v>883</v>
      </c>
      <c r="G2354" s="531">
        <f>INDEX('Fuel Model -  Input'!$B$3:$N$373,MATCH($B2354,'Fuel Model -  Input'!$B$3:$B$373,0),MATCH(G$2,'Fuel Model -  Input'!$B$3:$N$3,0))</f>
        <v>0.04</v>
      </c>
      <c r="H2354" s="531">
        <f>INDEX('Fuel Model -  Input'!$B$3:$N$373,MATCH($B2354,'Fuel Model -  Input'!$B$3:$B$373,0),MATCH(H$2,'Fuel Model -  Input'!$B$3:$N$3,0))</f>
        <v>0.04</v>
      </c>
      <c r="I2354" s="531">
        <f>INDEX('Fuel Model -  Input'!$B$3:$N$373,MATCH($B2354,'Fuel Model -  Input'!$B$3:$B$373,0),MATCH(I$2,'Fuel Model -  Input'!$B$3:$N$3,0))</f>
        <v>0.04</v>
      </c>
      <c r="J2354" s="531">
        <f>INDEX('Fuel Model -  Input'!$B$3:$N$373,MATCH($B2354,'Fuel Model -  Input'!$B$3:$B$373,0),MATCH(J$2,'Fuel Model -  Input'!$B$3:$N$3,0))</f>
        <v>0.04</v>
      </c>
      <c r="K2354" s="531">
        <f>INDEX('Fuel Model -  Input'!$B$3:$N$373,MATCH($B2354,'Fuel Model -  Input'!$B$3:$B$373,0),MATCH(K$2,'Fuel Model -  Input'!$B$3:$N$3,0))</f>
        <v>0.04</v>
      </c>
      <c r="L2354" s="531">
        <f>INDEX('Fuel Model -  Input'!$B$3:$N$373,MATCH($B2354,'Fuel Model -  Input'!$B$3:$B$373,0),MATCH(L$2,'Fuel Model -  Input'!$B$3:$N$3,0))</f>
        <v>0.04</v>
      </c>
      <c r="M2354" s="531">
        <f>INDEX('Fuel Model -  Input'!$B$3:$N$373,MATCH($B2354,'Fuel Model -  Input'!$B$3:$B$373,0),MATCH(M$2,'Fuel Model -  Input'!$B$3:$N$3,0))</f>
        <v>0.04</v>
      </c>
    </row>
    <row r="2355" spans="2:13" hidden="1" outlineLevel="2" x14ac:dyDescent="0.2">
      <c r="E2355" s="48"/>
      <c r="F2355" s="128"/>
      <c r="G2355" s="8"/>
      <c r="H2355" s="8"/>
      <c r="I2355" s="8"/>
      <c r="J2355" s="8"/>
      <c r="K2355" s="8"/>
      <c r="L2355" s="8"/>
      <c r="M2355" s="8"/>
    </row>
    <row r="2356" spans="2:13" hidden="1" outlineLevel="2" x14ac:dyDescent="0.2">
      <c r="B2356" t="str">
        <f>+C2356&amp;D2356&amp;E2356&amp;F2356</f>
        <v>EuropeSynthesisElectricity costUSD/ton NH3</v>
      </c>
      <c r="C2356" s="494" t="str">
        <f>+$C$2342</f>
        <v>Europe</v>
      </c>
      <c r="D2356" t="s">
        <v>962</v>
      </c>
      <c r="E2356" s="48" t="s">
        <v>94</v>
      </c>
      <c r="F2356" s="128" t="s">
        <v>960</v>
      </c>
      <c r="G2356" s="260">
        <f t="shared" ref="G2356:M2356" si="1265">G2357*G2358</f>
        <v>16.378955475443945</v>
      </c>
      <c r="H2356" s="260">
        <f t="shared" si="1265"/>
        <v>13.695230662868484</v>
      </c>
      <c r="I2356" s="260">
        <f t="shared" si="1265"/>
        <v>11.443222327740402</v>
      </c>
      <c r="J2356" s="260">
        <f t="shared" si="1265"/>
        <v>10.646576688822663</v>
      </c>
      <c r="K2356" s="260">
        <f t="shared" si="1265"/>
        <v>10.259173351158021</v>
      </c>
      <c r="L2356" s="260">
        <f t="shared" si="1265"/>
        <v>9.7789719836742499</v>
      </c>
      <c r="M2356" s="260">
        <f t="shared" si="1265"/>
        <v>9.4715497768460821</v>
      </c>
    </row>
    <row r="2357" spans="2:13" hidden="1" outlineLevel="2" x14ac:dyDescent="0.2">
      <c r="B2357" t="str">
        <f>+C2357&amp;D2357&amp;E2357&amp;F2357</f>
        <v>EuropeFeedstockElectricityUSD/MWh</v>
      </c>
      <c r="C2357" t="str">
        <f>C2342</f>
        <v>Europe</v>
      </c>
      <c r="D2357" t="s">
        <v>777</v>
      </c>
      <c r="E2357" s="48" t="s">
        <v>54</v>
      </c>
      <c r="F2357" s="128" t="s">
        <v>196</v>
      </c>
      <c r="G2357" s="532">
        <f>INDEX('Fuel Model -  Input'!$B$3:$N$373,MATCH($B2357,'Fuel Model -  Input'!$B$3:$B$373,0),MATCH(G$2,'Fuel Model -  Input'!$B$3:$N$3,0))</f>
        <v>54.596518251479822</v>
      </c>
      <c r="H2357" s="532">
        <f>INDEX('Fuel Model -  Input'!$B$3:$N$373,MATCH($B2357,'Fuel Model -  Input'!$B$3:$B$373,0),MATCH(H$2,'Fuel Model -  Input'!$B$3:$N$3,0))</f>
        <v>44.178163428608016</v>
      </c>
      <c r="I2357" s="532">
        <f>INDEX('Fuel Model -  Input'!$B$3:$N$373,MATCH($B2357,'Fuel Model -  Input'!$B$3:$B$373,0),MATCH(I$2,'Fuel Model -  Input'!$B$3:$N$3,0))</f>
        <v>35.760069774188757</v>
      </c>
      <c r="J2357" s="532">
        <f>INDEX('Fuel Model -  Input'!$B$3:$N$373,MATCH($B2357,'Fuel Model -  Input'!$B$3:$B$373,0),MATCH(J$2,'Fuel Model -  Input'!$B$3:$N$3,0))</f>
        <v>32.262353602492915</v>
      </c>
      <c r="K2357" s="532">
        <f>INDEX('Fuel Model -  Input'!$B$3:$N$373,MATCH($B2357,'Fuel Model -  Input'!$B$3:$B$373,0),MATCH(K$2,'Fuel Model -  Input'!$B$3:$N$3,0))</f>
        <v>30.17403926811183</v>
      </c>
      <c r="L2357" s="532">
        <f>INDEX('Fuel Model -  Input'!$B$3:$N$373,MATCH($B2357,'Fuel Model -  Input'!$B$3:$B$373,0),MATCH(L$2,'Fuel Model -  Input'!$B$3:$N$3,0))</f>
        <v>27.939919953355002</v>
      </c>
      <c r="M2357" s="532">
        <f>INDEX('Fuel Model -  Input'!$B$3:$N$373,MATCH($B2357,'Fuel Model -  Input'!$B$3:$B$373,0),MATCH(M$2,'Fuel Model -  Input'!$B$3:$N$3,0))</f>
        <v>26.309860491239117</v>
      </c>
    </row>
    <row r="2358" spans="2:13" hidden="1" outlineLevel="2" x14ac:dyDescent="0.2">
      <c r="B2358" t="str">
        <f>+C2358&amp;D2358&amp;E2358&amp;F2358</f>
        <v>GlobalSynthesisElectricity demandmWh/ton blue NH3</v>
      </c>
      <c r="C2358" t="s">
        <v>109</v>
      </c>
      <c r="D2358" t="s">
        <v>962</v>
      </c>
      <c r="E2358" s="48" t="s">
        <v>963</v>
      </c>
      <c r="F2358" s="224" t="s">
        <v>1705</v>
      </c>
      <c r="G2358" s="521">
        <f>INDEX('Fuel Model -  Input'!$B$3:$N$373,MATCH($B2358,'Fuel Model -  Input'!$B$3:$B$373,0),MATCH(G$2,'Fuel Model -  Input'!$B$3:$N$3,0))</f>
        <v>0.3</v>
      </c>
      <c r="H2358" s="521">
        <f>INDEX('Fuel Model -  Input'!$B$3:$N$373,MATCH($B2358,'Fuel Model -  Input'!$B$3:$B$373,0),MATCH(H$2,'Fuel Model -  Input'!$B$3:$N$3,0))</f>
        <v>0.31</v>
      </c>
      <c r="I2358" s="521">
        <f>INDEX('Fuel Model -  Input'!$B$3:$N$373,MATCH($B2358,'Fuel Model -  Input'!$B$3:$B$373,0),MATCH(I$2,'Fuel Model -  Input'!$B$3:$N$3,0))</f>
        <v>0.32</v>
      </c>
      <c r="J2358" s="521">
        <f>INDEX('Fuel Model -  Input'!$B$3:$N$373,MATCH($B2358,'Fuel Model -  Input'!$B$3:$B$373,0),MATCH(J$2,'Fuel Model -  Input'!$B$3:$N$3,0))</f>
        <v>0.33</v>
      </c>
      <c r="K2358" s="521">
        <f>INDEX('Fuel Model -  Input'!$B$3:$N$373,MATCH($B2358,'Fuel Model -  Input'!$B$3:$B$373,0),MATCH(K$2,'Fuel Model -  Input'!$B$3:$N$3,0))</f>
        <v>0.33999999999999997</v>
      </c>
      <c r="L2358" s="521">
        <f>INDEX('Fuel Model -  Input'!$B$3:$N$373,MATCH($B2358,'Fuel Model -  Input'!$B$3:$B$373,0),MATCH(L$2,'Fuel Model -  Input'!$B$3:$N$3,0))</f>
        <v>0.35</v>
      </c>
      <c r="M2358" s="521">
        <f>INDEX('Fuel Model -  Input'!$B$3:$N$373,MATCH($B2358,'Fuel Model -  Input'!$B$3:$B$373,0),MATCH(M$2,'Fuel Model -  Input'!$B$3:$N$3,0))</f>
        <v>0.36</v>
      </c>
    </row>
    <row r="2359" spans="2:13" hidden="1" outlineLevel="2" x14ac:dyDescent="0.2">
      <c r="E2359" s="48"/>
      <c r="F2359" s="128"/>
      <c r="G2359" s="524"/>
      <c r="H2359" s="524"/>
      <c r="I2359" s="524"/>
      <c r="J2359" s="524"/>
      <c r="K2359" s="524"/>
      <c r="L2359" s="524"/>
      <c r="M2359" s="524"/>
    </row>
    <row r="2360" spans="2:13" hidden="1" outlineLevel="2" x14ac:dyDescent="0.2">
      <c r="B2360" t="str">
        <f>+C2360&amp;D2360&amp;E2360&amp;F2360</f>
        <v>EuropeFeedstockFeedstock N2USD/ton NH3</v>
      </c>
      <c r="C2360" s="494" t="str">
        <f>+$C$2342</f>
        <v>Europe</v>
      </c>
      <c r="D2360" t="s">
        <v>777</v>
      </c>
      <c r="E2360" s="48" t="s">
        <v>965</v>
      </c>
      <c r="F2360" s="128" t="s">
        <v>960</v>
      </c>
      <c r="G2360" s="8">
        <f>G2361*G2362</f>
        <v>62.775567600543297</v>
      </c>
      <c r="H2360" s="8">
        <f t="shared" ref="H2360:M2360" si="1266">H2361*H2362</f>
        <v>39.964790067663159</v>
      </c>
      <c r="I2360" s="8">
        <f t="shared" si="1266"/>
        <v>17.482855470876636</v>
      </c>
      <c r="J2360" s="8">
        <f t="shared" si="1266"/>
        <v>16.116655932249834</v>
      </c>
      <c r="K2360" s="8">
        <f t="shared" si="1266"/>
        <v>14.982162055677588</v>
      </c>
      <c r="L2360" s="8">
        <f t="shared" si="1266"/>
        <v>13.823697840331564</v>
      </c>
      <c r="M2360" s="8">
        <f t="shared" si="1266"/>
        <v>12.764541064759714</v>
      </c>
    </row>
    <row r="2361" spans="2:13" hidden="1" outlineLevel="2" x14ac:dyDescent="0.2">
      <c r="B2361" t="str">
        <f>+C2361&amp;D2361&amp;E2361&amp;F2361</f>
        <v>GlobalFeedstockConversion N2 : NH3kg N2/kg NH3</v>
      </c>
      <c r="C2361" t="s">
        <v>109</v>
      </c>
      <c r="D2361" t="s">
        <v>777</v>
      </c>
      <c r="E2361" t="s">
        <v>1702</v>
      </c>
      <c r="F2361" s="224" t="s">
        <v>967</v>
      </c>
      <c r="G2361" s="521">
        <f>INDEX('Fuel Model -  Input'!$B$3:$N$373,MATCH($B2361,'Fuel Model -  Input'!$B$3:$B$373,0),MATCH(G$2,'Fuel Model -  Input'!$B$3:$N$3,0))</f>
        <v>0.82199999999999995</v>
      </c>
      <c r="H2361" s="521">
        <f>INDEX('Fuel Model -  Input'!$B$3:$N$373,MATCH($B2361,'Fuel Model -  Input'!$B$3:$B$373,0),MATCH(H$2,'Fuel Model -  Input'!$B$3:$N$3,0))</f>
        <v>0.82199999999999995</v>
      </c>
      <c r="I2361" s="521">
        <f>INDEX('Fuel Model -  Input'!$B$3:$N$373,MATCH($B2361,'Fuel Model -  Input'!$B$3:$B$373,0),MATCH(I$2,'Fuel Model -  Input'!$B$3:$N$3,0))</f>
        <v>0.82199999999999995</v>
      </c>
      <c r="J2361" s="521">
        <f>INDEX('Fuel Model -  Input'!$B$3:$N$373,MATCH($B2361,'Fuel Model -  Input'!$B$3:$B$373,0),MATCH(J$2,'Fuel Model -  Input'!$B$3:$N$3,0))</f>
        <v>0.82199999999999995</v>
      </c>
      <c r="K2361" s="521">
        <f>INDEX('Fuel Model -  Input'!$B$3:$N$373,MATCH($B2361,'Fuel Model -  Input'!$B$3:$B$373,0),MATCH(K$2,'Fuel Model -  Input'!$B$3:$N$3,0))</f>
        <v>0.82199999999999995</v>
      </c>
      <c r="L2361" s="521">
        <f>INDEX('Fuel Model -  Input'!$B$3:$N$373,MATCH($B2361,'Fuel Model -  Input'!$B$3:$B$373,0),MATCH(L$2,'Fuel Model -  Input'!$B$3:$N$3,0))</f>
        <v>0.82199999999999995</v>
      </c>
      <c r="M2361" s="521">
        <f>INDEX('Fuel Model -  Input'!$B$3:$N$373,MATCH($B2361,'Fuel Model -  Input'!$B$3:$B$373,0),MATCH(M$2,'Fuel Model -  Input'!$B$3:$N$3,0))</f>
        <v>0.82199999999999995</v>
      </c>
    </row>
    <row r="2362" spans="2:13" hidden="1" outlineLevel="2" x14ac:dyDescent="0.2">
      <c r="B2362" t="str">
        <f>+C2362&amp;D2362&amp;E2362&amp;F2362</f>
        <v>EuropeFeedstockCost of N2USD/ton</v>
      </c>
      <c r="C2362" s="494" t="str">
        <f>+$C$2342</f>
        <v>Europe</v>
      </c>
      <c r="D2362" t="s">
        <v>777</v>
      </c>
      <c r="E2362" t="s">
        <v>968</v>
      </c>
      <c r="F2362" s="128" t="s">
        <v>205</v>
      </c>
      <c r="G2362" s="521">
        <f>INDEX(G$1654:G$1658,MATCH($B2362,$B$1654:$B$1658,0))</f>
        <v>76.36930365029599</v>
      </c>
      <c r="H2362" s="521">
        <f t="shared" ref="H2362:M2362" si="1267">INDEX(H$1654:H$1658,MATCH($B2362,$B$1654:$B$1658,0))</f>
        <v>48.618966019054945</v>
      </c>
      <c r="I2362" s="521">
        <f t="shared" si="1267"/>
        <v>21.268680621504423</v>
      </c>
      <c r="J2362" s="521">
        <f t="shared" si="1267"/>
        <v>19.60663738716525</v>
      </c>
      <c r="K2362" s="521">
        <f t="shared" si="1267"/>
        <v>18.226474520289038</v>
      </c>
      <c r="L2362" s="521">
        <f t="shared" si="1267"/>
        <v>16.81715065733767</v>
      </c>
      <c r="M2362" s="521">
        <f t="shared" si="1267"/>
        <v>15.528638764914493</v>
      </c>
    </row>
    <row r="2363" spans="2:13" hidden="1" outlineLevel="2" x14ac:dyDescent="0.2">
      <c r="F2363" s="128"/>
      <c r="G2363" s="521"/>
      <c r="H2363" s="521"/>
      <c r="I2363" s="521"/>
      <c r="J2363" s="521"/>
      <c r="K2363" s="521"/>
      <c r="L2363" s="521"/>
      <c r="M2363" s="521"/>
    </row>
    <row r="2364" spans="2:13" hidden="1" outlineLevel="2" x14ac:dyDescent="0.2">
      <c r="B2364" t="str">
        <f>+C2364&amp;D2364&amp;E2364&amp;F2364</f>
        <v>EuropeFeedstockFeedstock NGUSD/ton NH3</v>
      </c>
      <c r="C2364" s="494" t="str">
        <f>+$C$2342</f>
        <v>Europe</v>
      </c>
      <c r="D2364" t="s">
        <v>777</v>
      </c>
      <c r="E2364" s="48" t="s">
        <v>1725</v>
      </c>
      <c r="F2364" s="128" t="s">
        <v>960</v>
      </c>
      <c r="G2364" s="8">
        <f>G2365*G2366</f>
        <v>1120</v>
      </c>
      <c r="H2364" s="8">
        <f t="shared" ref="H2364:M2364" si="1268">H2365*H2366</f>
        <v>448</v>
      </c>
      <c r="I2364" s="8">
        <f t="shared" si="1268"/>
        <v>304</v>
      </c>
      <c r="J2364" s="8">
        <f t="shared" si="1268"/>
        <v>304</v>
      </c>
      <c r="K2364" s="8">
        <f t="shared" si="1268"/>
        <v>304</v>
      </c>
      <c r="L2364" s="8">
        <f t="shared" si="1268"/>
        <v>304</v>
      </c>
      <c r="M2364" s="8">
        <f t="shared" si="1268"/>
        <v>304</v>
      </c>
    </row>
    <row r="2365" spans="2:13" hidden="1" outlineLevel="2" x14ac:dyDescent="0.2">
      <c r="B2365" t="str">
        <f>+C2365&amp;D2365&amp;E2365&amp;F2365</f>
        <v>GlobalFeedstockConversion NG : NH3kg NG/kg NH3</v>
      </c>
      <c r="C2365" t="s">
        <v>109</v>
      </c>
      <c r="D2365" t="s">
        <v>777</v>
      </c>
      <c r="E2365" t="s">
        <v>1701</v>
      </c>
      <c r="F2365" s="224" t="s">
        <v>1703</v>
      </c>
      <c r="G2365" s="521">
        <f>INDEX('Fuel Model -  Input'!$B$3:$N$373,MATCH($B2365,'Fuel Model -  Input'!$B$3:$B$373,0),MATCH(G$2,'Fuel Model -  Input'!$B$3:$N$3,0))</f>
        <v>0.64</v>
      </c>
      <c r="H2365" s="521">
        <f>INDEX('Fuel Model -  Input'!$B$3:$N$373,MATCH($B2365,'Fuel Model -  Input'!$B$3:$B$373,0),MATCH(H$2,'Fuel Model -  Input'!$B$3:$N$3,0))</f>
        <v>0.64</v>
      </c>
      <c r="I2365" s="521">
        <f>INDEX('Fuel Model -  Input'!$B$3:$N$373,MATCH($B2365,'Fuel Model -  Input'!$B$3:$B$373,0),MATCH(I$2,'Fuel Model -  Input'!$B$3:$N$3,0))</f>
        <v>0.64</v>
      </c>
      <c r="J2365" s="521">
        <f>INDEX('Fuel Model -  Input'!$B$3:$N$373,MATCH($B2365,'Fuel Model -  Input'!$B$3:$B$373,0),MATCH(J$2,'Fuel Model -  Input'!$B$3:$N$3,0))</f>
        <v>0.64</v>
      </c>
      <c r="K2365" s="521">
        <f>INDEX('Fuel Model -  Input'!$B$3:$N$373,MATCH($B2365,'Fuel Model -  Input'!$B$3:$B$373,0),MATCH(K$2,'Fuel Model -  Input'!$B$3:$N$3,0))</f>
        <v>0.64</v>
      </c>
      <c r="L2365" s="521">
        <f>INDEX('Fuel Model -  Input'!$B$3:$N$373,MATCH($B2365,'Fuel Model -  Input'!$B$3:$B$373,0),MATCH(L$2,'Fuel Model -  Input'!$B$3:$N$3,0))</f>
        <v>0.64</v>
      </c>
      <c r="M2365" s="521">
        <f>INDEX('Fuel Model -  Input'!$B$3:$N$373,MATCH($B2365,'Fuel Model -  Input'!$B$3:$B$373,0),MATCH(M$2,'Fuel Model -  Input'!$B$3:$N$3,0))</f>
        <v>0.64</v>
      </c>
    </row>
    <row r="2366" spans="2:13" hidden="1" outlineLevel="2" x14ac:dyDescent="0.2">
      <c r="B2366" t="str">
        <f>+C2366&amp;D2366&amp;E2366&amp;F2366</f>
        <v>EuropeFeedstockCost of NGUSD/ton</v>
      </c>
      <c r="C2366" s="494" t="str">
        <f>+$C$2342</f>
        <v>Europe</v>
      </c>
      <c r="D2366" s="15" t="s">
        <v>777</v>
      </c>
      <c r="E2366" s="15" t="s">
        <v>1144</v>
      </c>
      <c r="F2366" s="15" t="s">
        <v>205</v>
      </c>
      <c r="G2366" s="532">
        <f>INDEX('Fuel Model -  Input'!$B$3:$N$373,MATCH($B2366,'Fuel Model -  Input'!$B$3:$B$373,0),MATCH(G$2,'Fuel Model -  Input'!$B$3:$N$3,0))</f>
        <v>1750</v>
      </c>
      <c r="H2366" s="532">
        <f>INDEX('Fuel Model -  Input'!$B$3:$N$373,MATCH($B2366,'Fuel Model -  Input'!$B$3:$B$373,0),MATCH(H$2,'Fuel Model -  Input'!$B$3:$N$3,0))</f>
        <v>700</v>
      </c>
      <c r="I2366" s="532">
        <f>INDEX('Fuel Model -  Input'!$B$3:$N$373,MATCH($B2366,'Fuel Model -  Input'!$B$3:$B$373,0),MATCH(I$2,'Fuel Model -  Input'!$B$3:$N$3,0))</f>
        <v>475</v>
      </c>
      <c r="J2366" s="532">
        <f>INDEX('Fuel Model -  Input'!$B$3:$N$373,MATCH($B2366,'Fuel Model -  Input'!$B$3:$B$373,0),MATCH(J$2,'Fuel Model -  Input'!$B$3:$N$3,0))</f>
        <v>475</v>
      </c>
      <c r="K2366" s="532">
        <f>INDEX('Fuel Model -  Input'!$B$3:$N$373,MATCH($B2366,'Fuel Model -  Input'!$B$3:$B$373,0),MATCH(K$2,'Fuel Model -  Input'!$B$3:$N$3,0))</f>
        <v>475</v>
      </c>
      <c r="L2366" s="532">
        <f>INDEX('Fuel Model -  Input'!$B$3:$N$373,MATCH($B2366,'Fuel Model -  Input'!$B$3:$B$373,0),MATCH(L$2,'Fuel Model -  Input'!$B$3:$N$3,0))</f>
        <v>475</v>
      </c>
      <c r="M2366" s="532">
        <f>INDEX('Fuel Model -  Input'!$B$3:$N$373,MATCH($B2366,'Fuel Model -  Input'!$B$3:$B$373,0),MATCH(M$2,'Fuel Model -  Input'!$B$3:$N$3,0))</f>
        <v>475</v>
      </c>
    </row>
    <row r="2367" spans="2:13" hidden="1" outlineLevel="2" x14ac:dyDescent="0.2">
      <c r="F2367" s="128"/>
      <c r="G2367" s="521"/>
      <c r="H2367" s="521"/>
      <c r="I2367" s="521"/>
      <c r="J2367" s="521"/>
      <c r="K2367" s="521"/>
      <c r="L2367" s="521"/>
      <c r="M2367" s="521"/>
    </row>
    <row r="2368" spans="2:13" hidden="1" outlineLevel="2" x14ac:dyDescent="0.2">
      <c r="B2368" t="str">
        <f>+C2368&amp;D2368&amp;E2368&amp;F2368</f>
        <v>GlobalCO2 StorageCO2 Storage Capture Blue HydrogenUSD/ton NH3</v>
      </c>
      <c r="C2368" t="s">
        <v>109</v>
      </c>
      <c r="D2368" t="s">
        <v>1206</v>
      </c>
      <c r="E2368" s="48" t="s">
        <v>1207</v>
      </c>
      <c r="F2368" s="128" t="s">
        <v>960</v>
      </c>
      <c r="G2368" s="8">
        <f>G2371*G2374+G2369*G2373</f>
        <v>131.21600000000001</v>
      </c>
      <c r="H2368" s="8">
        <f t="shared" ref="H2368:M2368" si="1269">H2371*H2374+H2369*H2373</f>
        <v>132.16000000000003</v>
      </c>
      <c r="I2368" s="8">
        <f t="shared" si="1269"/>
        <v>133.10400000000001</v>
      </c>
      <c r="J2368" s="8">
        <f t="shared" si="1269"/>
        <v>134.048</v>
      </c>
      <c r="K2368" s="8">
        <f t="shared" si="1269"/>
        <v>134.99200000000002</v>
      </c>
      <c r="L2368" s="8">
        <f t="shared" si="1269"/>
        <v>135.93600000000001</v>
      </c>
      <c r="M2368" s="8">
        <f t="shared" si="1269"/>
        <v>136.88</v>
      </c>
    </row>
    <row r="2369" spans="2:13" hidden="1" outlineLevel="2" x14ac:dyDescent="0.2">
      <c r="B2369" t="str">
        <f t="shared" ref="B2369:B2371" si="1270">+C2369&amp;D2369&amp;E2369&amp;F2369</f>
        <v>GlobalShareCO2 captured per ton NH3Ton CO2/ton NH3</v>
      </c>
      <c r="C2369" t="s">
        <v>109</v>
      </c>
      <c r="D2369" t="s">
        <v>1714</v>
      </c>
      <c r="E2369" s="48" t="s">
        <v>1710</v>
      </c>
      <c r="F2369" s="128" t="s">
        <v>1713</v>
      </c>
      <c r="G2369" s="763">
        <f>G2371*G2370</f>
        <v>1.68032</v>
      </c>
      <c r="H2369" s="763">
        <f t="shared" ref="H2369:M2369" si="1271">H2371*H2370</f>
        <v>1.6992</v>
      </c>
      <c r="I2369" s="763">
        <f t="shared" si="1271"/>
        <v>1.7180800000000003</v>
      </c>
      <c r="J2369" s="763">
        <f t="shared" si="1271"/>
        <v>1.7369600000000003</v>
      </c>
      <c r="K2369" s="763">
        <f t="shared" si="1271"/>
        <v>1.7558400000000001</v>
      </c>
      <c r="L2369" s="763">
        <f t="shared" si="1271"/>
        <v>1.7747200000000001</v>
      </c>
      <c r="M2369" s="763">
        <f t="shared" si="1271"/>
        <v>1.7936000000000001</v>
      </c>
    </row>
    <row r="2370" spans="2:13" hidden="1" outlineLevel="2" x14ac:dyDescent="0.2">
      <c r="B2370" t="str">
        <f t="shared" si="1270"/>
        <v>GlobalCCSCarboncaptureeff%</v>
      </c>
      <c r="C2370" t="s">
        <v>109</v>
      </c>
      <c r="D2370" s="15" t="s">
        <v>1711</v>
      </c>
      <c r="E2370" s="15" t="s">
        <v>1212</v>
      </c>
      <c r="F2370" s="15" t="s">
        <v>178</v>
      </c>
      <c r="G2370" s="531">
        <f>INDEX('Fuel Model -  Input'!$B$3:$N$373,MATCH($B2370,'Fuel Model -  Input'!$B$3:$B$373,0),MATCH(G$2,'Fuel Model -  Input'!$B$3:$N$3,0))</f>
        <v>0.89</v>
      </c>
      <c r="H2370" s="531">
        <f>INDEX('Fuel Model -  Input'!$B$3:$N$373,MATCH($B2370,'Fuel Model -  Input'!$B$3:$B$373,0),MATCH(H$2,'Fuel Model -  Input'!$B$3:$N$3,0))</f>
        <v>0.9</v>
      </c>
      <c r="I2370" s="531">
        <f>INDEX('Fuel Model -  Input'!$B$3:$N$373,MATCH($B2370,'Fuel Model -  Input'!$B$3:$B$373,0),MATCH(I$2,'Fuel Model -  Input'!$B$3:$N$3,0))</f>
        <v>0.91</v>
      </c>
      <c r="J2370" s="531">
        <f>INDEX('Fuel Model -  Input'!$B$3:$N$373,MATCH($B2370,'Fuel Model -  Input'!$B$3:$B$373,0),MATCH(J$2,'Fuel Model -  Input'!$B$3:$N$3,0))</f>
        <v>0.92</v>
      </c>
      <c r="K2370" s="531">
        <f>INDEX('Fuel Model -  Input'!$B$3:$N$373,MATCH($B2370,'Fuel Model -  Input'!$B$3:$B$373,0),MATCH(K$2,'Fuel Model -  Input'!$B$3:$N$3,0))</f>
        <v>0.92999999999999994</v>
      </c>
      <c r="L2370" s="531">
        <f>INDEX('Fuel Model -  Input'!$B$3:$N$373,MATCH($B2370,'Fuel Model -  Input'!$B$3:$B$373,0),MATCH(L$2,'Fuel Model -  Input'!$B$3:$N$3,0))</f>
        <v>0.94</v>
      </c>
      <c r="M2370" s="531">
        <f>INDEX('Fuel Model -  Input'!$B$3:$N$373,MATCH($B2370,'Fuel Model -  Input'!$B$3:$B$373,0),MATCH(M$2,'Fuel Model -  Input'!$B$3:$N$3,0))</f>
        <v>0.95</v>
      </c>
    </row>
    <row r="2371" spans="2:13" hidden="1" outlineLevel="2" x14ac:dyDescent="0.2">
      <c r="B2371" t="str">
        <f t="shared" si="1270"/>
        <v>GlobalShareCO2 produced per ton NH3Ton CO2/ton NH3</v>
      </c>
      <c r="C2371" t="s">
        <v>109</v>
      </c>
      <c r="D2371" t="s">
        <v>1714</v>
      </c>
      <c r="E2371" s="48" t="s">
        <v>1712</v>
      </c>
      <c r="F2371" s="128" t="s">
        <v>1713</v>
      </c>
      <c r="G2371" s="2">
        <f t="shared" ref="G2371:M2371" si="1272">G2365*G2372</f>
        <v>1.8880000000000001</v>
      </c>
      <c r="H2371" s="2">
        <f t="shared" si="1272"/>
        <v>1.8880000000000001</v>
      </c>
      <c r="I2371" s="2">
        <f t="shared" si="1272"/>
        <v>1.8880000000000001</v>
      </c>
      <c r="J2371" s="2">
        <f t="shared" si="1272"/>
        <v>1.8880000000000001</v>
      </c>
      <c r="K2371" s="2">
        <f t="shared" si="1272"/>
        <v>1.8880000000000001</v>
      </c>
      <c r="L2371" s="2">
        <f t="shared" si="1272"/>
        <v>1.8880000000000001</v>
      </c>
      <c r="M2371" s="2">
        <f t="shared" si="1272"/>
        <v>1.8880000000000001</v>
      </c>
    </row>
    <row r="2372" spans="2:13" hidden="1" outlineLevel="2" x14ac:dyDescent="0.2">
      <c r="B2372" t="str">
        <f>+C2372&amp;D2372&amp;E2372&amp;F2372</f>
        <v>GlobalCO2 CaptureConversion CO2 : NG (actual)kg CO2/kg NG</v>
      </c>
      <c r="C2372" t="s">
        <v>109</v>
      </c>
      <c r="D2372" t="s">
        <v>1178</v>
      </c>
      <c r="E2372" t="s">
        <v>1707</v>
      </c>
      <c r="F2372" s="224" t="s">
        <v>1708</v>
      </c>
      <c r="G2372" s="521">
        <f>INDEX('Fuel Model -  Input'!$B$3:$N$373,MATCH($B2372,'Fuel Model -  Input'!$B$3:$B$373,0),MATCH(G$2,'Fuel Model -  Input'!$B$3:$N$3,0))</f>
        <v>2.95</v>
      </c>
      <c r="H2372" s="521">
        <f>INDEX('Fuel Model -  Input'!$B$3:$N$373,MATCH($B2372,'Fuel Model -  Input'!$B$3:$B$373,0),MATCH(H$2,'Fuel Model -  Input'!$B$3:$N$3,0))</f>
        <v>2.95</v>
      </c>
      <c r="I2372" s="521">
        <f>INDEX('Fuel Model -  Input'!$B$3:$N$373,MATCH($B2372,'Fuel Model -  Input'!$B$3:$B$373,0),MATCH(I$2,'Fuel Model -  Input'!$B$3:$N$3,0))</f>
        <v>2.95</v>
      </c>
      <c r="J2372" s="521">
        <f>INDEX('Fuel Model -  Input'!$B$3:$N$373,MATCH($B2372,'Fuel Model -  Input'!$B$3:$B$373,0),MATCH(J$2,'Fuel Model -  Input'!$B$3:$N$3,0))</f>
        <v>2.95</v>
      </c>
      <c r="K2372" s="521">
        <f>INDEX('Fuel Model -  Input'!$B$3:$N$373,MATCH($B2372,'Fuel Model -  Input'!$B$3:$B$373,0),MATCH(K$2,'Fuel Model -  Input'!$B$3:$N$3,0))</f>
        <v>2.95</v>
      </c>
      <c r="L2372" s="521">
        <f>INDEX('Fuel Model -  Input'!$B$3:$N$373,MATCH($B2372,'Fuel Model -  Input'!$B$3:$B$373,0),MATCH(L$2,'Fuel Model -  Input'!$B$3:$N$3,0))</f>
        <v>2.95</v>
      </c>
      <c r="M2372" s="521">
        <f>INDEX('Fuel Model -  Input'!$B$3:$N$373,MATCH($B2372,'Fuel Model -  Input'!$B$3:$B$373,0),MATCH(M$2,'Fuel Model -  Input'!$B$3:$N$3,0))</f>
        <v>2.95</v>
      </c>
    </row>
    <row r="2373" spans="2:13" hidden="1" outlineLevel="2" x14ac:dyDescent="0.2">
      <c r="B2373" t="str">
        <f>+C2373&amp;D2373&amp;E2373&amp;F2373</f>
        <v>EuropeCO2 StorageCost of CO2 storageUSD/ton CO2</v>
      </c>
      <c r="C2373" t="str">
        <f>C2342</f>
        <v>Europe</v>
      </c>
      <c r="D2373" t="s">
        <v>1206</v>
      </c>
      <c r="E2373" t="s">
        <v>1208</v>
      </c>
      <c r="F2373" s="224" t="s">
        <v>382</v>
      </c>
      <c r="G2373" s="532">
        <f>INDEX('Fuel Model -  Input'!$B$3:$N$373,MATCH($B2373,'Fuel Model -  Input'!$B$3:$B$373,0),MATCH(G$2,'Fuel Model -  Input'!$B$3:$N$3,0))</f>
        <v>50</v>
      </c>
      <c r="H2373" s="532">
        <f>INDEX('Fuel Model -  Input'!$B$3:$N$373,MATCH($B2373,'Fuel Model -  Input'!$B$3:$B$373,0),MATCH(H$2,'Fuel Model -  Input'!$B$3:$N$3,0))</f>
        <v>50</v>
      </c>
      <c r="I2373" s="532">
        <f>INDEX('Fuel Model -  Input'!$B$3:$N$373,MATCH($B2373,'Fuel Model -  Input'!$B$3:$B$373,0),MATCH(I$2,'Fuel Model -  Input'!$B$3:$N$3,0))</f>
        <v>50</v>
      </c>
      <c r="J2373" s="532">
        <f>INDEX('Fuel Model -  Input'!$B$3:$N$373,MATCH($B2373,'Fuel Model -  Input'!$B$3:$B$373,0),MATCH(J$2,'Fuel Model -  Input'!$B$3:$N$3,0))</f>
        <v>50</v>
      </c>
      <c r="K2373" s="532">
        <f>INDEX('Fuel Model -  Input'!$B$3:$N$373,MATCH($B2373,'Fuel Model -  Input'!$B$3:$B$373,0),MATCH(K$2,'Fuel Model -  Input'!$B$3:$N$3,0))</f>
        <v>50</v>
      </c>
      <c r="L2373" s="532">
        <f>INDEX('Fuel Model -  Input'!$B$3:$N$373,MATCH($B2373,'Fuel Model -  Input'!$B$3:$B$373,0),MATCH(L$2,'Fuel Model -  Input'!$B$3:$N$3,0))</f>
        <v>50</v>
      </c>
      <c r="M2373" s="532">
        <f>INDEX('Fuel Model -  Input'!$B$3:$N$373,MATCH($B2373,'Fuel Model -  Input'!$B$3:$B$373,0),MATCH(M$2,'Fuel Model -  Input'!$B$3:$N$3,0))</f>
        <v>50</v>
      </c>
    </row>
    <row r="2374" spans="2:13" hidden="1" outlineLevel="2" x14ac:dyDescent="0.2">
      <c r="B2374" t="str">
        <f>+C2374&amp;D2374&amp;E2374&amp;F2374</f>
        <v>EuropeFeedstockCost of blue CO2 PSUSD/ton</v>
      </c>
      <c r="C2374" t="str">
        <f>C2342</f>
        <v>Europe</v>
      </c>
      <c r="D2374" t="s">
        <v>777</v>
      </c>
      <c r="E2374" t="s">
        <v>1209</v>
      </c>
      <c r="F2374" s="224" t="s">
        <v>205</v>
      </c>
      <c r="G2374" s="532">
        <f>INDEX('Fuel Model -  Input'!$B$3:$N$373,MATCH($B2374,'Fuel Model -  Input'!$B$3:$B$373,0),MATCH(G$2,'Fuel Model -  Input'!$B$3:$N$3,0))</f>
        <v>25</v>
      </c>
      <c r="H2374" s="532">
        <f>INDEX('Fuel Model -  Input'!$B$3:$N$373,MATCH($B2374,'Fuel Model -  Input'!$B$3:$B$373,0),MATCH(H$2,'Fuel Model -  Input'!$B$3:$N$3,0))</f>
        <v>25</v>
      </c>
      <c r="I2374" s="532">
        <f>INDEX('Fuel Model -  Input'!$B$3:$N$373,MATCH($B2374,'Fuel Model -  Input'!$B$3:$B$373,0),MATCH(I$2,'Fuel Model -  Input'!$B$3:$N$3,0))</f>
        <v>25</v>
      </c>
      <c r="J2374" s="532">
        <f>INDEX('Fuel Model -  Input'!$B$3:$N$373,MATCH($B2374,'Fuel Model -  Input'!$B$3:$B$373,0),MATCH(J$2,'Fuel Model -  Input'!$B$3:$N$3,0))</f>
        <v>25</v>
      </c>
      <c r="K2374" s="532">
        <f>INDEX('Fuel Model -  Input'!$B$3:$N$373,MATCH($B2374,'Fuel Model -  Input'!$B$3:$B$373,0),MATCH(K$2,'Fuel Model -  Input'!$B$3:$N$3,0))</f>
        <v>25</v>
      </c>
      <c r="L2374" s="532">
        <f>INDEX('Fuel Model -  Input'!$B$3:$N$373,MATCH($B2374,'Fuel Model -  Input'!$B$3:$B$373,0),MATCH(L$2,'Fuel Model -  Input'!$B$3:$N$3,0))</f>
        <v>25</v>
      </c>
      <c r="M2374" s="532">
        <f>INDEX('Fuel Model -  Input'!$B$3:$N$373,MATCH($B2374,'Fuel Model -  Input'!$B$3:$B$373,0),MATCH(M$2,'Fuel Model -  Input'!$B$3:$N$3,0))</f>
        <v>25</v>
      </c>
    </row>
    <row r="2375" spans="2:13" ht="12.75" hidden="1" outlineLevel="1" x14ac:dyDescent="0.2">
      <c r="F2375"/>
    </row>
    <row r="2376" spans="2:13" s="30" customFormat="1" ht="15" hidden="1" outlineLevel="1" collapsed="1" x14ac:dyDescent="0.25">
      <c r="B2376" s="30" t="s">
        <v>197</v>
      </c>
      <c r="C2376" s="30" t="str">
        <f>+B2376</f>
        <v>Middle East</v>
      </c>
    </row>
    <row r="2377" spans="2:13" ht="15" hidden="1" outlineLevel="2" x14ac:dyDescent="0.25">
      <c r="B2377" t="str">
        <f>+C2377&amp;D2377&amp;E2377&amp;F2377</f>
        <v>Middle EastResultsTotal cost of Blue AmmoniaUSD/ton</v>
      </c>
      <c r="C2377" s="494" t="str">
        <f>+$C$2376</f>
        <v>Middle East</v>
      </c>
      <c r="D2377" s="30" t="s">
        <v>838</v>
      </c>
      <c r="E2377" s="405" t="s">
        <v>1216</v>
      </c>
      <c r="F2377" s="127" t="s">
        <v>205</v>
      </c>
      <c r="G2377" s="490">
        <f>SUM(G2378:G2381)</f>
        <v>1249.6077383737788</v>
      </c>
      <c r="H2377" s="490">
        <f t="shared" ref="H2377:M2377" si="1273">SUM(H2378:H2381)</f>
        <v>660.41090785259462</v>
      </c>
      <c r="I2377" s="490">
        <f t="shared" si="1273"/>
        <v>388.46783100817009</v>
      </c>
      <c r="J2377" s="490">
        <f t="shared" si="1273"/>
        <v>380.29375437926848</v>
      </c>
      <c r="K2377" s="490">
        <f t="shared" si="1273"/>
        <v>372.43225749442354</v>
      </c>
      <c r="L2377" s="490">
        <f t="shared" si="1273"/>
        <v>364.47288201393883</v>
      </c>
      <c r="M2377" s="490">
        <f t="shared" si="1273"/>
        <v>356.73278425825652</v>
      </c>
    </row>
    <row r="2378" spans="2:13" ht="15" hidden="1" outlineLevel="2" x14ac:dyDescent="0.25">
      <c r="B2378" t="str">
        <f>+C2378&amp;D2378&amp;E2378&amp;F2378</f>
        <v>Middle EastResultsTotal Capex Blue AmmoniaUSD/ton</v>
      </c>
      <c r="C2378" s="494" t="str">
        <f>+$C$2376</f>
        <v>Middle East</v>
      </c>
      <c r="D2378" s="30" t="s">
        <v>838</v>
      </c>
      <c r="E2378" s="228" t="s">
        <v>1217</v>
      </c>
      <c r="F2378" s="127" t="s">
        <v>205</v>
      </c>
      <c r="G2378" s="490">
        <f>G2383</f>
        <v>111.30000000000003</v>
      </c>
      <c r="H2378" s="490">
        <f t="shared" ref="H2378:M2378" si="1274">H2383</f>
        <v>106.00000000000003</v>
      </c>
      <c r="I2378" s="490">
        <f t="shared" si="1274"/>
        <v>100.70000000000002</v>
      </c>
      <c r="J2378" s="490">
        <f t="shared" si="1274"/>
        <v>95.40000000000002</v>
      </c>
      <c r="K2378" s="490">
        <f t="shared" si="1274"/>
        <v>90.100000000000023</v>
      </c>
      <c r="L2378" s="490">
        <f t="shared" si="1274"/>
        <v>84.800000000000026</v>
      </c>
      <c r="M2378" s="490">
        <f t="shared" si="1274"/>
        <v>79.500000000000014</v>
      </c>
    </row>
    <row r="2379" spans="2:13" ht="15" hidden="1" outlineLevel="2" x14ac:dyDescent="0.25">
      <c r="B2379" t="str">
        <f>+C2379&amp;D2379&amp;E2379&amp;F2379</f>
        <v>Middle EastResultsTotal Opex Blue AmmoniaUSD/ton</v>
      </c>
      <c r="C2379" s="494" t="str">
        <f>+$C$2376</f>
        <v>Middle East</v>
      </c>
      <c r="D2379" s="30" t="s">
        <v>838</v>
      </c>
      <c r="E2379" s="228" t="s">
        <v>1218</v>
      </c>
      <c r="F2379" s="127" t="s">
        <v>205</v>
      </c>
      <c r="G2379" s="490">
        <f>G2387</f>
        <v>50.4</v>
      </c>
      <c r="H2379" s="490">
        <f t="shared" ref="H2379:M2379" si="1275">H2387</f>
        <v>48</v>
      </c>
      <c r="I2379" s="490">
        <f t="shared" si="1275"/>
        <v>45.6</v>
      </c>
      <c r="J2379" s="490">
        <f t="shared" si="1275"/>
        <v>43.2</v>
      </c>
      <c r="K2379" s="490">
        <f t="shared" si="1275"/>
        <v>40.800000000000004</v>
      </c>
      <c r="L2379" s="490">
        <f t="shared" si="1275"/>
        <v>38.4</v>
      </c>
      <c r="M2379" s="490">
        <f t="shared" si="1275"/>
        <v>36</v>
      </c>
    </row>
    <row r="2380" spans="2:13" ht="15" hidden="1" outlineLevel="2" x14ac:dyDescent="0.25">
      <c r="B2380" t="str">
        <f>+C2380&amp;D2380&amp;E2380&amp;F2380</f>
        <v>Middle EastResultsTotal Raw Material Blue AmmoniaUSD/ton</v>
      </c>
      <c r="C2380" s="494" t="str">
        <f>+$C$2376</f>
        <v>Middle East</v>
      </c>
      <c r="D2380" s="30" t="s">
        <v>838</v>
      </c>
      <c r="E2380" s="228" t="s">
        <v>1219</v>
      </c>
      <c r="F2380" s="127" t="s">
        <v>205</v>
      </c>
      <c r="G2380" s="490">
        <f>G2398+G2394</f>
        <v>956.69173837377866</v>
      </c>
      <c r="H2380" s="490">
        <f t="shared" ref="H2380:M2380" si="1276">H2398+H2394</f>
        <v>374.25090785259454</v>
      </c>
      <c r="I2380" s="490">
        <f t="shared" si="1276"/>
        <v>109.06383100817007</v>
      </c>
      <c r="J2380" s="490">
        <f t="shared" si="1276"/>
        <v>107.64575437926844</v>
      </c>
      <c r="K2380" s="490">
        <f t="shared" si="1276"/>
        <v>106.54025749442351</v>
      </c>
      <c r="L2380" s="490">
        <f t="shared" si="1276"/>
        <v>105.33688201393879</v>
      </c>
      <c r="M2380" s="490">
        <f t="shared" si="1276"/>
        <v>104.35278425825648</v>
      </c>
    </row>
    <row r="2381" spans="2:13" ht="15" hidden="1" outlineLevel="2" x14ac:dyDescent="0.25">
      <c r="B2381" t="str">
        <f>+C2381&amp;D2381&amp;E2381&amp;F2381</f>
        <v>Middle EastResultsTotal CO2 Blue AmmoniaUSD/ton</v>
      </c>
      <c r="C2381" s="494" t="str">
        <f>+$C$2376</f>
        <v>Middle East</v>
      </c>
      <c r="D2381" s="30" t="s">
        <v>838</v>
      </c>
      <c r="E2381" s="228" t="s">
        <v>1220</v>
      </c>
      <c r="F2381" s="127" t="s">
        <v>205</v>
      </c>
      <c r="G2381" s="490">
        <f>G2402</f>
        <v>131.21600000000001</v>
      </c>
      <c r="H2381" s="490">
        <f t="shared" ref="H2381:M2381" si="1277">H2402</f>
        <v>132.16000000000003</v>
      </c>
      <c r="I2381" s="490">
        <f t="shared" si="1277"/>
        <v>133.10400000000001</v>
      </c>
      <c r="J2381" s="490">
        <f t="shared" si="1277"/>
        <v>134.048</v>
      </c>
      <c r="K2381" s="490">
        <f t="shared" si="1277"/>
        <v>134.99200000000002</v>
      </c>
      <c r="L2381" s="490">
        <f t="shared" si="1277"/>
        <v>135.93600000000001</v>
      </c>
      <c r="M2381" s="490">
        <f t="shared" si="1277"/>
        <v>136.88</v>
      </c>
    </row>
    <row r="2382" spans="2:13" hidden="1" outlineLevel="2" x14ac:dyDescent="0.2">
      <c r="E2382" s="48"/>
      <c r="F2382" s="128"/>
      <c r="G2382" s="8"/>
      <c r="H2382" s="8"/>
      <c r="I2382" s="8"/>
      <c r="J2382" s="8"/>
      <c r="K2382" s="8"/>
      <c r="L2382" s="8"/>
      <c r="M2382" s="8"/>
    </row>
    <row r="2383" spans="2:13" hidden="1" outlineLevel="2" x14ac:dyDescent="0.2">
      <c r="B2383" t="str">
        <f>+C2383&amp;D2383&amp;E2383&amp;F2383</f>
        <v>GlobalCapexCapex per yearUSD m/year</v>
      </c>
      <c r="C2383" t="s">
        <v>109</v>
      </c>
      <c r="D2383" t="s">
        <v>218</v>
      </c>
      <c r="E2383" t="s">
        <v>956</v>
      </c>
      <c r="F2383" s="128" t="s">
        <v>957</v>
      </c>
      <c r="G2383" s="523">
        <f t="shared" ref="G2383:M2383" si="1278">G2385/G2384</f>
        <v>111.30000000000003</v>
      </c>
      <c r="H2383" s="523">
        <f t="shared" si="1278"/>
        <v>106.00000000000003</v>
      </c>
      <c r="I2383" s="523">
        <f t="shared" si="1278"/>
        <v>100.70000000000002</v>
      </c>
      <c r="J2383" s="523">
        <f t="shared" si="1278"/>
        <v>95.40000000000002</v>
      </c>
      <c r="K2383" s="523">
        <f t="shared" si="1278"/>
        <v>90.100000000000023</v>
      </c>
      <c r="L2383" s="523">
        <f t="shared" si="1278"/>
        <v>84.800000000000026</v>
      </c>
      <c r="M2383" s="523">
        <f t="shared" si="1278"/>
        <v>79.500000000000014</v>
      </c>
    </row>
    <row r="2384" spans="2:13" hidden="1" outlineLevel="2" x14ac:dyDescent="0.2">
      <c r="B2384" t="str">
        <f>+C2384&amp;D2384&amp;E2384&amp;F2384</f>
        <v>GlobalPlant capexAnnualisation factor#</v>
      </c>
      <c r="C2384" t="s">
        <v>109</v>
      </c>
      <c r="D2384" t="s">
        <v>786</v>
      </c>
      <c r="E2384" t="s">
        <v>764</v>
      </c>
      <c r="F2384" s="450" t="s">
        <v>787</v>
      </c>
      <c r="G2384" s="532">
        <f>INDEX('Fuel Model -  Input'!$B$3:$N$373,MATCH($B2384,'Fuel Model -  Input'!$B$3:$B$373,0),MATCH(G$2,'Fuel Model -  Input'!$B$3:$N$3,0))</f>
        <v>11.32075471698113</v>
      </c>
      <c r="H2384" s="532">
        <f>INDEX('Fuel Model -  Input'!$B$3:$N$373,MATCH($B2384,'Fuel Model -  Input'!$B$3:$B$373,0),MATCH(H$2,'Fuel Model -  Input'!$B$3:$N$3,0))</f>
        <v>11.32075471698113</v>
      </c>
      <c r="I2384" s="532">
        <f>INDEX('Fuel Model -  Input'!$B$3:$N$373,MATCH($B2384,'Fuel Model -  Input'!$B$3:$B$373,0),MATCH(I$2,'Fuel Model -  Input'!$B$3:$N$3,0))</f>
        <v>11.32075471698113</v>
      </c>
      <c r="J2384" s="532">
        <f>INDEX('Fuel Model -  Input'!$B$3:$N$373,MATCH($B2384,'Fuel Model -  Input'!$B$3:$B$373,0),MATCH(J$2,'Fuel Model -  Input'!$B$3:$N$3,0))</f>
        <v>11.32075471698113</v>
      </c>
      <c r="K2384" s="532">
        <f>INDEX('Fuel Model -  Input'!$B$3:$N$373,MATCH($B2384,'Fuel Model -  Input'!$B$3:$B$373,0),MATCH(K$2,'Fuel Model -  Input'!$B$3:$N$3,0))</f>
        <v>11.32075471698113</v>
      </c>
      <c r="L2384" s="532">
        <f>INDEX('Fuel Model -  Input'!$B$3:$N$373,MATCH($B2384,'Fuel Model -  Input'!$B$3:$B$373,0),MATCH(L$2,'Fuel Model -  Input'!$B$3:$N$3,0))</f>
        <v>11.32075471698113</v>
      </c>
      <c r="M2384" s="532">
        <f>INDEX('Fuel Model -  Input'!$B$3:$N$373,MATCH($B2384,'Fuel Model -  Input'!$B$3:$B$373,0),MATCH(M$2,'Fuel Model -  Input'!$B$3:$N$3,0))</f>
        <v>11.32075471698113</v>
      </c>
    </row>
    <row r="2385" spans="2:13" hidden="1" outlineLevel="2" x14ac:dyDescent="0.2">
      <c r="B2385" t="str">
        <f>+C2385&amp;D2385&amp;E2385&amp;F2385</f>
        <v>GlobalCapexBlue ammonia plant unit cost (ATR incl CCS)USD/ton NH3</v>
      </c>
      <c r="C2385" t="s">
        <v>109</v>
      </c>
      <c r="D2385" s="157" t="s">
        <v>218</v>
      </c>
      <c r="E2385" s="15" t="s">
        <v>1704</v>
      </c>
      <c r="F2385" s="224" t="s">
        <v>960</v>
      </c>
      <c r="G2385" s="532">
        <f>INDEX('Fuel Model -  Input'!$B$3:$N$373,MATCH($B2385,'Fuel Model -  Input'!$B$3:$B$373,0),MATCH(G$2,'Fuel Model -  Input'!$B$3:$N$3,0))</f>
        <v>1260</v>
      </c>
      <c r="H2385" s="532">
        <f>INDEX('Fuel Model -  Input'!$B$3:$N$373,MATCH($B2385,'Fuel Model -  Input'!$B$3:$B$373,0),MATCH(H$2,'Fuel Model -  Input'!$B$3:$N$3,0))</f>
        <v>1200</v>
      </c>
      <c r="I2385" s="532">
        <f>INDEX('Fuel Model -  Input'!$B$3:$N$373,MATCH($B2385,'Fuel Model -  Input'!$B$3:$B$373,0),MATCH(I$2,'Fuel Model -  Input'!$B$3:$N$3,0))</f>
        <v>1140</v>
      </c>
      <c r="J2385" s="532">
        <f>INDEX('Fuel Model -  Input'!$B$3:$N$373,MATCH($B2385,'Fuel Model -  Input'!$B$3:$B$373,0),MATCH(J$2,'Fuel Model -  Input'!$B$3:$N$3,0))</f>
        <v>1080</v>
      </c>
      <c r="K2385" s="532">
        <f>INDEX('Fuel Model -  Input'!$B$3:$N$373,MATCH($B2385,'Fuel Model -  Input'!$B$3:$B$373,0),MATCH(K$2,'Fuel Model -  Input'!$B$3:$N$3,0))</f>
        <v>1020</v>
      </c>
      <c r="L2385" s="532">
        <f>INDEX('Fuel Model -  Input'!$B$3:$N$373,MATCH($B2385,'Fuel Model -  Input'!$B$3:$B$373,0),MATCH(L$2,'Fuel Model -  Input'!$B$3:$N$3,0))</f>
        <v>960</v>
      </c>
      <c r="M2385" s="532">
        <f>INDEX('Fuel Model -  Input'!$B$3:$N$373,MATCH($B2385,'Fuel Model -  Input'!$B$3:$B$373,0),MATCH(M$2,'Fuel Model -  Input'!$B$3:$N$3,0))</f>
        <v>900</v>
      </c>
    </row>
    <row r="2386" spans="2:13" hidden="1" outlineLevel="2" x14ac:dyDescent="0.2">
      <c r="E2386" s="48"/>
      <c r="F2386" s="128"/>
      <c r="G2386" s="8"/>
      <c r="H2386" s="8"/>
      <c r="I2386" s="8"/>
      <c r="J2386" s="8"/>
      <c r="K2386" s="8"/>
      <c r="L2386" s="8"/>
      <c r="M2386" s="8"/>
    </row>
    <row r="2387" spans="2:13" hidden="1" outlineLevel="2" x14ac:dyDescent="0.2">
      <c r="B2387" t="str">
        <f>+C2387&amp;D2387&amp;E2387&amp;F2387</f>
        <v>GlobalOpexOpexUSD/ton NH3</v>
      </c>
      <c r="C2387" t="s">
        <v>109</v>
      </c>
      <c r="D2387" t="s">
        <v>219</v>
      </c>
      <c r="E2387" s="48" t="s">
        <v>219</v>
      </c>
      <c r="F2387" s="128" t="s">
        <v>960</v>
      </c>
      <c r="G2387" s="8">
        <f t="shared" ref="G2387:M2387" si="1279">G2385*G2388</f>
        <v>50.4</v>
      </c>
      <c r="H2387" s="8">
        <f t="shared" si="1279"/>
        <v>48</v>
      </c>
      <c r="I2387" s="8">
        <f t="shared" si="1279"/>
        <v>45.6</v>
      </c>
      <c r="J2387" s="8">
        <f t="shared" si="1279"/>
        <v>43.2</v>
      </c>
      <c r="K2387" s="8">
        <f t="shared" si="1279"/>
        <v>40.800000000000004</v>
      </c>
      <c r="L2387" s="8">
        <f t="shared" si="1279"/>
        <v>38.4</v>
      </c>
      <c r="M2387" s="8">
        <f t="shared" si="1279"/>
        <v>36</v>
      </c>
    </row>
    <row r="2388" spans="2:13" hidden="1" outlineLevel="2" x14ac:dyDescent="0.2">
      <c r="B2388" t="str">
        <f>+C2388&amp;D2388&amp;E2388&amp;F2388</f>
        <v>GlobalOpexPlant - ATR - opexPercent of Capex</v>
      </c>
      <c r="C2388" t="s">
        <v>109</v>
      </c>
      <c r="D2388" t="s">
        <v>219</v>
      </c>
      <c r="E2388" s="48" t="s">
        <v>1706</v>
      </c>
      <c r="F2388" s="224" t="s">
        <v>883</v>
      </c>
      <c r="G2388" s="531">
        <f>INDEX('Fuel Model -  Input'!$B$3:$N$373,MATCH($B2388,'Fuel Model -  Input'!$B$3:$B$373,0),MATCH(G$2,'Fuel Model -  Input'!$B$3:$N$3,0))</f>
        <v>0.04</v>
      </c>
      <c r="H2388" s="531">
        <f>INDEX('Fuel Model -  Input'!$B$3:$N$373,MATCH($B2388,'Fuel Model -  Input'!$B$3:$B$373,0),MATCH(H$2,'Fuel Model -  Input'!$B$3:$N$3,0))</f>
        <v>0.04</v>
      </c>
      <c r="I2388" s="531">
        <f>INDEX('Fuel Model -  Input'!$B$3:$N$373,MATCH($B2388,'Fuel Model -  Input'!$B$3:$B$373,0),MATCH(I$2,'Fuel Model -  Input'!$B$3:$N$3,0))</f>
        <v>0.04</v>
      </c>
      <c r="J2388" s="531">
        <f>INDEX('Fuel Model -  Input'!$B$3:$N$373,MATCH($B2388,'Fuel Model -  Input'!$B$3:$B$373,0),MATCH(J$2,'Fuel Model -  Input'!$B$3:$N$3,0))</f>
        <v>0.04</v>
      </c>
      <c r="K2388" s="531">
        <f>INDEX('Fuel Model -  Input'!$B$3:$N$373,MATCH($B2388,'Fuel Model -  Input'!$B$3:$B$373,0),MATCH(K$2,'Fuel Model -  Input'!$B$3:$N$3,0))</f>
        <v>0.04</v>
      </c>
      <c r="L2388" s="531">
        <f>INDEX('Fuel Model -  Input'!$B$3:$N$373,MATCH($B2388,'Fuel Model -  Input'!$B$3:$B$373,0),MATCH(L$2,'Fuel Model -  Input'!$B$3:$N$3,0))</f>
        <v>0.04</v>
      </c>
      <c r="M2388" s="531">
        <f>INDEX('Fuel Model -  Input'!$B$3:$N$373,MATCH($B2388,'Fuel Model -  Input'!$B$3:$B$373,0),MATCH(M$2,'Fuel Model -  Input'!$B$3:$N$3,0))</f>
        <v>0.04</v>
      </c>
    </row>
    <row r="2389" spans="2:13" hidden="1" outlineLevel="2" x14ac:dyDescent="0.2">
      <c r="E2389" s="48"/>
      <c r="F2389" s="128"/>
      <c r="G2389" s="8"/>
      <c r="H2389" s="8"/>
      <c r="I2389" s="8"/>
      <c r="J2389" s="8"/>
      <c r="K2389" s="8"/>
      <c r="L2389" s="8"/>
      <c r="M2389" s="8"/>
    </row>
    <row r="2390" spans="2:13" hidden="1" outlineLevel="2" x14ac:dyDescent="0.2">
      <c r="B2390" t="str">
        <f>+C2390&amp;D2390&amp;E2390&amp;F2390</f>
        <v>Middle EastSynthesisElectricity costUSD/ton NH3</v>
      </c>
      <c r="C2390" t="str">
        <f>C2376</f>
        <v>Middle East</v>
      </c>
      <c r="D2390" t="s">
        <v>962</v>
      </c>
      <c r="E2390" s="48" t="s">
        <v>94</v>
      </c>
      <c r="F2390" s="128" t="s">
        <v>960</v>
      </c>
      <c r="G2390" s="260">
        <f t="shared" ref="G2390:M2390" si="1280">G2391*G2392</f>
        <v>12.576347397406298</v>
      </c>
      <c r="H2390" s="260">
        <f t="shared" si="1280"/>
        <v>10.463457629588264</v>
      </c>
      <c r="I2390" s="260">
        <f t="shared" si="1280"/>
        <v>9.0704253200390816</v>
      </c>
      <c r="J2390" s="260">
        <f t="shared" si="1280"/>
        <v>8.0954969291884868</v>
      </c>
      <c r="K2390" s="260">
        <f t="shared" si="1280"/>
        <v>7.6907575918734388</v>
      </c>
      <c r="L2390" s="260">
        <f t="shared" si="1280"/>
        <v>7.0394005771203103</v>
      </c>
      <c r="M2390" s="260">
        <f t="shared" si="1280"/>
        <v>6.8180677188098109</v>
      </c>
    </row>
    <row r="2391" spans="2:13" hidden="1" outlineLevel="2" x14ac:dyDescent="0.2">
      <c r="B2391" t="str">
        <f>+C2391&amp;D2391&amp;E2391&amp;F2391</f>
        <v>Middle EastFeedstockElectricityUSD/MWh</v>
      </c>
      <c r="C2391" t="str">
        <f>C2376</f>
        <v>Middle East</v>
      </c>
      <c r="D2391" t="s">
        <v>777</v>
      </c>
      <c r="E2391" s="48" t="s">
        <v>54</v>
      </c>
      <c r="F2391" s="128" t="s">
        <v>196</v>
      </c>
      <c r="G2391" s="532">
        <f>INDEX('Fuel Model -  Input'!$B$3:$N$373,MATCH($B2391,'Fuel Model -  Input'!$B$3:$B$373,0),MATCH(G$2,'Fuel Model -  Input'!$B$3:$N$3,0))</f>
        <v>41.921157991354328</v>
      </c>
      <c r="H2391" s="532">
        <f>INDEX('Fuel Model -  Input'!$B$3:$N$373,MATCH($B2391,'Fuel Model -  Input'!$B$3:$B$373,0),MATCH(H$2,'Fuel Model -  Input'!$B$3:$N$3,0))</f>
        <v>33.753089127704079</v>
      </c>
      <c r="I2391" s="532">
        <f>INDEX('Fuel Model -  Input'!$B$3:$N$373,MATCH($B2391,'Fuel Model -  Input'!$B$3:$B$373,0),MATCH(I$2,'Fuel Model -  Input'!$B$3:$N$3,0))</f>
        <v>28.34507912512213</v>
      </c>
      <c r="J2391" s="532">
        <f>INDEX('Fuel Model -  Input'!$B$3:$N$373,MATCH($B2391,'Fuel Model -  Input'!$B$3:$B$373,0),MATCH(J$2,'Fuel Model -  Input'!$B$3:$N$3,0))</f>
        <v>24.531808876328746</v>
      </c>
      <c r="K2391" s="532">
        <f>INDEX('Fuel Model -  Input'!$B$3:$N$373,MATCH($B2391,'Fuel Model -  Input'!$B$3:$B$373,0),MATCH(K$2,'Fuel Model -  Input'!$B$3:$N$3,0))</f>
        <v>22.619875270215999</v>
      </c>
      <c r="L2391" s="532">
        <f>INDEX('Fuel Model -  Input'!$B$3:$N$373,MATCH($B2391,'Fuel Model -  Input'!$B$3:$B$373,0),MATCH(L$2,'Fuel Model -  Input'!$B$3:$N$3,0))</f>
        <v>20.112573077486601</v>
      </c>
      <c r="M2391" s="532">
        <f>INDEX('Fuel Model -  Input'!$B$3:$N$373,MATCH($B2391,'Fuel Model -  Input'!$B$3:$B$373,0),MATCH(M$2,'Fuel Model -  Input'!$B$3:$N$3,0))</f>
        <v>18.93907699669392</v>
      </c>
    </row>
    <row r="2392" spans="2:13" hidden="1" outlineLevel="2" x14ac:dyDescent="0.2">
      <c r="B2392" t="str">
        <f>+C2392&amp;D2392&amp;E2392&amp;F2392</f>
        <v>GlobalSynthesisElectricity demandmWh/ton blue NH3</v>
      </c>
      <c r="C2392" t="s">
        <v>109</v>
      </c>
      <c r="D2392" t="s">
        <v>962</v>
      </c>
      <c r="E2392" s="48" t="s">
        <v>963</v>
      </c>
      <c r="F2392" s="224" t="s">
        <v>1705</v>
      </c>
      <c r="G2392" s="521">
        <f>INDEX('Fuel Model -  Input'!$B$3:$N$373,MATCH($B2392,'Fuel Model -  Input'!$B$3:$B$373,0),MATCH(G$2,'Fuel Model -  Input'!$B$3:$N$3,0))</f>
        <v>0.3</v>
      </c>
      <c r="H2392" s="521">
        <f>INDEX('Fuel Model -  Input'!$B$3:$N$373,MATCH($B2392,'Fuel Model -  Input'!$B$3:$B$373,0),MATCH(H$2,'Fuel Model -  Input'!$B$3:$N$3,0))</f>
        <v>0.31</v>
      </c>
      <c r="I2392" s="521">
        <f>INDEX('Fuel Model -  Input'!$B$3:$N$373,MATCH($B2392,'Fuel Model -  Input'!$B$3:$B$373,0),MATCH(I$2,'Fuel Model -  Input'!$B$3:$N$3,0))</f>
        <v>0.32</v>
      </c>
      <c r="J2392" s="521">
        <f>INDEX('Fuel Model -  Input'!$B$3:$N$373,MATCH($B2392,'Fuel Model -  Input'!$B$3:$B$373,0),MATCH(J$2,'Fuel Model -  Input'!$B$3:$N$3,0))</f>
        <v>0.33</v>
      </c>
      <c r="K2392" s="521">
        <f>INDEX('Fuel Model -  Input'!$B$3:$N$373,MATCH($B2392,'Fuel Model -  Input'!$B$3:$B$373,0),MATCH(K$2,'Fuel Model -  Input'!$B$3:$N$3,0))</f>
        <v>0.33999999999999997</v>
      </c>
      <c r="L2392" s="521">
        <f>INDEX('Fuel Model -  Input'!$B$3:$N$373,MATCH($B2392,'Fuel Model -  Input'!$B$3:$B$373,0),MATCH(L$2,'Fuel Model -  Input'!$B$3:$N$3,0))</f>
        <v>0.35</v>
      </c>
      <c r="M2392" s="521">
        <f>INDEX('Fuel Model -  Input'!$B$3:$N$373,MATCH($B2392,'Fuel Model -  Input'!$B$3:$B$373,0),MATCH(M$2,'Fuel Model -  Input'!$B$3:$N$3,0))</f>
        <v>0.36</v>
      </c>
    </row>
    <row r="2393" spans="2:13" hidden="1" outlineLevel="2" x14ac:dyDescent="0.2">
      <c r="E2393" s="48"/>
      <c r="F2393" s="128"/>
      <c r="G2393" s="524"/>
      <c r="H2393" s="524"/>
      <c r="I2393" s="524"/>
      <c r="J2393" s="524"/>
      <c r="K2393" s="524"/>
      <c r="L2393" s="524"/>
      <c r="M2393" s="524"/>
    </row>
    <row r="2394" spans="2:13" hidden="1" outlineLevel="2" x14ac:dyDescent="0.2">
      <c r="B2394" t="str">
        <f>+C2394&amp;D2394&amp;E2394&amp;F2394</f>
        <v>Middle EastFeedstockFeedstock N2USD/ton NH3</v>
      </c>
      <c r="C2394" t="str">
        <f>C2376</f>
        <v>Middle East</v>
      </c>
      <c r="D2394" t="s">
        <v>777</v>
      </c>
      <c r="E2394" s="48" t="s">
        <v>965</v>
      </c>
      <c r="F2394" s="128" t="s">
        <v>960</v>
      </c>
      <c r="G2394" s="8">
        <f>G2395*G2396</f>
        <v>60.691738373778669</v>
      </c>
      <c r="H2394" s="8">
        <f t="shared" ref="H2394" si="1281">H2395*H2396</f>
        <v>38.250907852594551</v>
      </c>
      <c r="I2394" s="8">
        <f t="shared" ref="I2394" si="1282">I2395*I2396</f>
        <v>16.263831008170079</v>
      </c>
      <c r="J2394" s="8">
        <f t="shared" ref="J2394" si="1283">J2395*J2396</f>
        <v>14.845754379268447</v>
      </c>
      <c r="K2394" s="8">
        <f t="shared" ref="K2394" si="1284">K2395*K2396</f>
        <v>13.740257494423512</v>
      </c>
      <c r="L2394" s="8">
        <f t="shared" ref="L2394" si="1285">L2395*L2396</f>
        <v>12.536882013938799</v>
      </c>
      <c r="M2394" s="8">
        <f t="shared" ref="M2394" si="1286">M2395*M2396</f>
        <v>11.552784258256482</v>
      </c>
    </row>
    <row r="2395" spans="2:13" hidden="1" outlineLevel="2" x14ac:dyDescent="0.2">
      <c r="B2395" t="str">
        <f>+C2395&amp;D2395&amp;E2395&amp;F2395</f>
        <v>GlobalFeedstockConversion N2 : NH3kg N2/kg NH3</v>
      </c>
      <c r="C2395" t="s">
        <v>109</v>
      </c>
      <c r="D2395" t="s">
        <v>777</v>
      </c>
      <c r="E2395" t="s">
        <v>1702</v>
      </c>
      <c r="F2395" s="224" t="s">
        <v>967</v>
      </c>
      <c r="G2395" s="521">
        <f>INDEX('Fuel Model -  Input'!$B$3:$N$373,MATCH($B2395,'Fuel Model -  Input'!$B$3:$B$373,0),MATCH(G$2,'Fuel Model -  Input'!$B$3:$N$3,0))</f>
        <v>0.82199999999999995</v>
      </c>
      <c r="H2395" s="521">
        <f>INDEX('Fuel Model -  Input'!$B$3:$N$373,MATCH($B2395,'Fuel Model -  Input'!$B$3:$B$373,0),MATCH(H$2,'Fuel Model -  Input'!$B$3:$N$3,0))</f>
        <v>0.82199999999999995</v>
      </c>
      <c r="I2395" s="521">
        <f>INDEX('Fuel Model -  Input'!$B$3:$N$373,MATCH($B2395,'Fuel Model -  Input'!$B$3:$B$373,0),MATCH(I$2,'Fuel Model -  Input'!$B$3:$N$3,0))</f>
        <v>0.82199999999999995</v>
      </c>
      <c r="J2395" s="521">
        <f>INDEX('Fuel Model -  Input'!$B$3:$N$373,MATCH($B2395,'Fuel Model -  Input'!$B$3:$B$373,0),MATCH(J$2,'Fuel Model -  Input'!$B$3:$N$3,0))</f>
        <v>0.82199999999999995</v>
      </c>
      <c r="K2395" s="521">
        <f>INDEX('Fuel Model -  Input'!$B$3:$N$373,MATCH($B2395,'Fuel Model -  Input'!$B$3:$B$373,0),MATCH(K$2,'Fuel Model -  Input'!$B$3:$N$3,0))</f>
        <v>0.82199999999999995</v>
      </c>
      <c r="L2395" s="521">
        <f>INDEX('Fuel Model -  Input'!$B$3:$N$373,MATCH($B2395,'Fuel Model -  Input'!$B$3:$B$373,0),MATCH(L$2,'Fuel Model -  Input'!$B$3:$N$3,0))</f>
        <v>0.82199999999999995</v>
      </c>
      <c r="M2395" s="521">
        <f>INDEX('Fuel Model -  Input'!$B$3:$N$373,MATCH($B2395,'Fuel Model -  Input'!$B$3:$B$373,0),MATCH(M$2,'Fuel Model -  Input'!$B$3:$N$3,0))</f>
        <v>0.82199999999999995</v>
      </c>
    </row>
    <row r="2396" spans="2:13" hidden="1" outlineLevel="2" x14ac:dyDescent="0.2">
      <c r="B2396" t="str">
        <f>+C2396&amp;D2396&amp;E2396&amp;F2396</f>
        <v>Middle EastFeedstockCost of N2USD/ton</v>
      </c>
      <c r="C2396" t="str">
        <f>C2376</f>
        <v>Middle East</v>
      </c>
      <c r="D2396" t="s">
        <v>777</v>
      </c>
      <c r="E2396" t="s">
        <v>968</v>
      </c>
      <c r="F2396" s="128" t="s">
        <v>205</v>
      </c>
      <c r="G2396" s="521">
        <f>INDEX(G$1654:G$1658,MATCH($B2396,$B$1654:$B$1658,0))</f>
        <v>73.83423159827089</v>
      </c>
      <c r="H2396" s="521">
        <f t="shared" ref="H2396:M2396" si="1287">INDEX(H$1654:H$1658,MATCH($B2396,$B$1654:$B$1658,0))</f>
        <v>46.533951158874153</v>
      </c>
      <c r="I2396" s="521">
        <f t="shared" si="1287"/>
        <v>19.785682491691094</v>
      </c>
      <c r="J2396" s="521">
        <f t="shared" si="1287"/>
        <v>18.060528441932419</v>
      </c>
      <c r="K2396" s="521">
        <f t="shared" si="1287"/>
        <v>16.715641720709868</v>
      </c>
      <c r="L2396" s="521">
        <f t="shared" si="1287"/>
        <v>15.25168128216399</v>
      </c>
      <c r="M2396" s="521">
        <f t="shared" si="1287"/>
        <v>14.054482066005454</v>
      </c>
    </row>
    <row r="2397" spans="2:13" hidden="1" outlineLevel="2" x14ac:dyDescent="0.2">
      <c r="F2397" s="128"/>
      <c r="G2397" s="521"/>
      <c r="H2397" s="521"/>
      <c r="I2397" s="521"/>
      <c r="J2397" s="521"/>
      <c r="K2397" s="521"/>
      <c r="L2397" s="521"/>
      <c r="M2397" s="521"/>
    </row>
    <row r="2398" spans="2:13" hidden="1" outlineLevel="2" x14ac:dyDescent="0.2">
      <c r="B2398" t="str">
        <f>+C2398&amp;D2398&amp;E2398&amp;F2398</f>
        <v>Middle EastFeedstockFeedstock N2USD/ton NH3</v>
      </c>
      <c r="C2398" t="str">
        <f>C2376</f>
        <v>Middle East</v>
      </c>
      <c r="D2398" t="s">
        <v>777</v>
      </c>
      <c r="E2398" s="48" t="s">
        <v>965</v>
      </c>
      <c r="F2398" s="128" t="s">
        <v>960</v>
      </c>
      <c r="G2398" s="8">
        <f>G2399*G2400</f>
        <v>896</v>
      </c>
      <c r="H2398" s="8">
        <f t="shared" ref="H2398" si="1288">H2399*H2400</f>
        <v>336</v>
      </c>
      <c r="I2398" s="8">
        <f t="shared" ref="I2398" si="1289">I2399*I2400</f>
        <v>92.8</v>
      </c>
      <c r="J2398" s="8">
        <f t="shared" ref="J2398" si="1290">J2399*J2400</f>
        <v>92.8</v>
      </c>
      <c r="K2398" s="8">
        <f t="shared" ref="K2398" si="1291">K2399*K2400</f>
        <v>92.8</v>
      </c>
      <c r="L2398" s="8">
        <f t="shared" ref="L2398" si="1292">L2399*L2400</f>
        <v>92.8</v>
      </c>
      <c r="M2398" s="8">
        <f t="shared" ref="M2398" si="1293">M2399*M2400</f>
        <v>92.8</v>
      </c>
    </row>
    <row r="2399" spans="2:13" hidden="1" outlineLevel="2" x14ac:dyDescent="0.2">
      <c r="B2399" t="str">
        <f>+C2399&amp;D2399&amp;E2399&amp;F2399</f>
        <v>GlobalFeedstockConversion NG : NH3kg NG/kg NH3</v>
      </c>
      <c r="C2399" t="s">
        <v>109</v>
      </c>
      <c r="D2399" t="s">
        <v>777</v>
      </c>
      <c r="E2399" t="s">
        <v>1701</v>
      </c>
      <c r="F2399" s="224" t="s">
        <v>1703</v>
      </c>
      <c r="G2399" s="521">
        <f>INDEX('Fuel Model -  Input'!$B$3:$N$373,MATCH($B2399,'Fuel Model -  Input'!$B$3:$B$373,0),MATCH(G$2,'Fuel Model -  Input'!$B$3:$N$3,0))</f>
        <v>0.64</v>
      </c>
      <c r="H2399" s="521">
        <f>INDEX('Fuel Model -  Input'!$B$3:$N$373,MATCH($B2399,'Fuel Model -  Input'!$B$3:$B$373,0),MATCH(H$2,'Fuel Model -  Input'!$B$3:$N$3,0))</f>
        <v>0.64</v>
      </c>
      <c r="I2399" s="521">
        <f>INDEX('Fuel Model -  Input'!$B$3:$N$373,MATCH($B2399,'Fuel Model -  Input'!$B$3:$B$373,0),MATCH(I$2,'Fuel Model -  Input'!$B$3:$N$3,0))</f>
        <v>0.64</v>
      </c>
      <c r="J2399" s="521">
        <f>INDEX('Fuel Model -  Input'!$B$3:$N$373,MATCH($B2399,'Fuel Model -  Input'!$B$3:$B$373,0),MATCH(J$2,'Fuel Model -  Input'!$B$3:$N$3,0))</f>
        <v>0.64</v>
      </c>
      <c r="K2399" s="521">
        <f>INDEX('Fuel Model -  Input'!$B$3:$N$373,MATCH($B2399,'Fuel Model -  Input'!$B$3:$B$373,0),MATCH(K$2,'Fuel Model -  Input'!$B$3:$N$3,0))</f>
        <v>0.64</v>
      </c>
      <c r="L2399" s="521">
        <f>INDEX('Fuel Model -  Input'!$B$3:$N$373,MATCH($B2399,'Fuel Model -  Input'!$B$3:$B$373,0),MATCH(L$2,'Fuel Model -  Input'!$B$3:$N$3,0))</f>
        <v>0.64</v>
      </c>
      <c r="M2399" s="521">
        <f>INDEX('Fuel Model -  Input'!$B$3:$N$373,MATCH($B2399,'Fuel Model -  Input'!$B$3:$B$373,0),MATCH(M$2,'Fuel Model -  Input'!$B$3:$N$3,0))</f>
        <v>0.64</v>
      </c>
    </row>
    <row r="2400" spans="2:13" hidden="1" outlineLevel="2" x14ac:dyDescent="0.2">
      <c r="B2400" t="str">
        <f>+C2400&amp;D2400&amp;E2400&amp;F2400</f>
        <v>Middle EastFeedstockCost of NGUSD/ton</v>
      </c>
      <c r="C2400" t="str">
        <f>C2376</f>
        <v>Middle East</v>
      </c>
      <c r="D2400" s="15" t="s">
        <v>777</v>
      </c>
      <c r="E2400" s="15" t="s">
        <v>1144</v>
      </c>
      <c r="F2400" s="15" t="s">
        <v>205</v>
      </c>
      <c r="G2400" s="532">
        <f>INDEX('Fuel Model -  Input'!$B$3:$N$373,MATCH($B2400,'Fuel Model -  Input'!$B$3:$B$373,0),MATCH(G$2,'Fuel Model -  Input'!$B$3:$N$3,0))</f>
        <v>1400</v>
      </c>
      <c r="H2400" s="532">
        <f>INDEX('Fuel Model -  Input'!$B$3:$N$373,MATCH($B2400,'Fuel Model -  Input'!$B$3:$B$373,0),MATCH(H$2,'Fuel Model -  Input'!$B$3:$N$3,0))</f>
        <v>525</v>
      </c>
      <c r="I2400" s="532">
        <f>INDEX('Fuel Model -  Input'!$B$3:$N$373,MATCH($B2400,'Fuel Model -  Input'!$B$3:$B$373,0),MATCH(I$2,'Fuel Model -  Input'!$B$3:$N$3,0))</f>
        <v>145</v>
      </c>
      <c r="J2400" s="532">
        <f>INDEX('Fuel Model -  Input'!$B$3:$N$373,MATCH($B2400,'Fuel Model -  Input'!$B$3:$B$373,0),MATCH(J$2,'Fuel Model -  Input'!$B$3:$N$3,0))</f>
        <v>145</v>
      </c>
      <c r="K2400" s="532">
        <f>INDEX('Fuel Model -  Input'!$B$3:$N$373,MATCH($B2400,'Fuel Model -  Input'!$B$3:$B$373,0),MATCH(K$2,'Fuel Model -  Input'!$B$3:$N$3,0))</f>
        <v>145</v>
      </c>
      <c r="L2400" s="532">
        <f>INDEX('Fuel Model -  Input'!$B$3:$N$373,MATCH($B2400,'Fuel Model -  Input'!$B$3:$B$373,0),MATCH(L$2,'Fuel Model -  Input'!$B$3:$N$3,0))</f>
        <v>145</v>
      </c>
      <c r="M2400" s="532">
        <f>INDEX('Fuel Model -  Input'!$B$3:$N$373,MATCH($B2400,'Fuel Model -  Input'!$B$3:$B$373,0),MATCH(M$2,'Fuel Model -  Input'!$B$3:$N$3,0))</f>
        <v>145</v>
      </c>
    </row>
    <row r="2401" spans="2:13" hidden="1" outlineLevel="2" x14ac:dyDescent="0.2">
      <c r="F2401" s="128"/>
      <c r="G2401" s="521"/>
      <c r="H2401" s="521"/>
      <c r="I2401" s="521"/>
      <c r="J2401" s="521"/>
      <c r="K2401" s="521"/>
      <c r="L2401" s="521"/>
      <c r="M2401" s="521"/>
    </row>
    <row r="2402" spans="2:13" hidden="1" outlineLevel="2" x14ac:dyDescent="0.2">
      <c r="B2402" t="str">
        <f>+C2402&amp;D2402&amp;E2402&amp;F2402</f>
        <v>GlobalCO2 StorageCO2 Storage Capture Blue HydrogenUSD/ton NH3</v>
      </c>
      <c r="C2402" t="s">
        <v>109</v>
      </c>
      <c r="D2402" t="s">
        <v>1206</v>
      </c>
      <c r="E2402" s="48" t="s">
        <v>1207</v>
      </c>
      <c r="F2402" s="128" t="s">
        <v>960</v>
      </c>
      <c r="G2402" s="8">
        <f>G2405*G2408+G2403*G2407</f>
        <v>131.21600000000001</v>
      </c>
      <c r="H2402" s="8">
        <f t="shared" ref="H2402" si="1294">H2405*H2408+H2403*H2407</f>
        <v>132.16000000000003</v>
      </c>
      <c r="I2402" s="8">
        <f t="shared" ref="I2402" si="1295">I2405*I2408+I2403*I2407</f>
        <v>133.10400000000001</v>
      </c>
      <c r="J2402" s="8">
        <f t="shared" ref="J2402" si="1296">J2405*J2408+J2403*J2407</f>
        <v>134.048</v>
      </c>
      <c r="K2402" s="8">
        <f t="shared" ref="K2402" si="1297">K2405*K2408+K2403*K2407</f>
        <v>134.99200000000002</v>
      </c>
      <c r="L2402" s="8">
        <f t="shared" ref="L2402" si="1298">L2405*L2408+L2403*L2407</f>
        <v>135.93600000000001</v>
      </c>
      <c r="M2402" s="8">
        <f t="shared" ref="M2402" si="1299">M2405*M2408+M2403*M2407</f>
        <v>136.88</v>
      </c>
    </row>
    <row r="2403" spans="2:13" hidden="1" outlineLevel="2" x14ac:dyDescent="0.2">
      <c r="B2403" t="str">
        <f t="shared" ref="B2403:B2405" si="1300">+C2403&amp;D2403&amp;E2403&amp;F2403</f>
        <v>GlobalShareCO2 captured per ton NH3Ton CO2/ton NH3</v>
      </c>
      <c r="C2403" t="s">
        <v>109</v>
      </c>
      <c r="D2403" t="s">
        <v>1714</v>
      </c>
      <c r="E2403" s="48" t="s">
        <v>1710</v>
      </c>
      <c r="F2403" s="128" t="s">
        <v>1713</v>
      </c>
      <c r="G2403" s="763">
        <f>G2405*G2404</f>
        <v>1.68032</v>
      </c>
      <c r="H2403" s="763">
        <f t="shared" ref="H2403:M2403" si="1301">H2405*H2404</f>
        <v>1.6992</v>
      </c>
      <c r="I2403" s="763">
        <f t="shared" si="1301"/>
        <v>1.7180800000000003</v>
      </c>
      <c r="J2403" s="763">
        <f t="shared" si="1301"/>
        <v>1.7369600000000003</v>
      </c>
      <c r="K2403" s="763">
        <f t="shared" si="1301"/>
        <v>1.7558400000000001</v>
      </c>
      <c r="L2403" s="763">
        <f t="shared" si="1301"/>
        <v>1.7747200000000001</v>
      </c>
      <c r="M2403" s="763">
        <f t="shared" si="1301"/>
        <v>1.7936000000000001</v>
      </c>
    </row>
    <row r="2404" spans="2:13" hidden="1" outlineLevel="2" x14ac:dyDescent="0.2">
      <c r="B2404" t="str">
        <f t="shared" si="1300"/>
        <v>GlobalCCSCarboncaptureeff%</v>
      </c>
      <c r="C2404" t="s">
        <v>109</v>
      </c>
      <c r="D2404" s="15" t="s">
        <v>1711</v>
      </c>
      <c r="E2404" s="15" t="s">
        <v>1212</v>
      </c>
      <c r="F2404" s="15" t="s">
        <v>178</v>
      </c>
      <c r="G2404" s="531">
        <f>INDEX('Fuel Model -  Input'!$B$3:$N$373,MATCH($B2404,'Fuel Model -  Input'!$B$3:$B$373,0),MATCH(G$2,'Fuel Model -  Input'!$B$3:$N$3,0))</f>
        <v>0.89</v>
      </c>
      <c r="H2404" s="531">
        <f>INDEX('Fuel Model -  Input'!$B$3:$N$373,MATCH($B2404,'Fuel Model -  Input'!$B$3:$B$373,0),MATCH(H$2,'Fuel Model -  Input'!$B$3:$N$3,0))</f>
        <v>0.9</v>
      </c>
      <c r="I2404" s="531">
        <f>INDEX('Fuel Model -  Input'!$B$3:$N$373,MATCH($B2404,'Fuel Model -  Input'!$B$3:$B$373,0),MATCH(I$2,'Fuel Model -  Input'!$B$3:$N$3,0))</f>
        <v>0.91</v>
      </c>
      <c r="J2404" s="531">
        <f>INDEX('Fuel Model -  Input'!$B$3:$N$373,MATCH($B2404,'Fuel Model -  Input'!$B$3:$B$373,0),MATCH(J$2,'Fuel Model -  Input'!$B$3:$N$3,0))</f>
        <v>0.92</v>
      </c>
      <c r="K2404" s="531">
        <f>INDEX('Fuel Model -  Input'!$B$3:$N$373,MATCH($B2404,'Fuel Model -  Input'!$B$3:$B$373,0),MATCH(K$2,'Fuel Model -  Input'!$B$3:$N$3,0))</f>
        <v>0.92999999999999994</v>
      </c>
      <c r="L2404" s="531">
        <f>INDEX('Fuel Model -  Input'!$B$3:$N$373,MATCH($B2404,'Fuel Model -  Input'!$B$3:$B$373,0),MATCH(L$2,'Fuel Model -  Input'!$B$3:$N$3,0))</f>
        <v>0.94</v>
      </c>
      <c r="M2404" s="531">
        <f>INDEX('Fuel Model -  Input'!$B$3:$N$373,MATCH($B2404,'Fuel Model -  Input'!$B$3:$B$373,0),MATCH(M$2,'Fuel Model -  Input'!$B$3:$N$3,0))</f>
        <v>0.95</v>
      </c>
    </row>
    <row r="2405" spans="2:13" hidden="1" outlineLevel="2" x14ac:dyDescent="0.2">
      <c r="B2405" t="str">
        <f t="shared" si="1300"/>
        <v>GlobalShareCO2 produced per ton NH3Ton CO2/ton NH3</v>
      </c>
      <c r="C2405" t="s">
        <v>109</v>
      </c>
      <c r="D2405" t="s">
        <v>1714</v>
      </c>
      <c r="E2405" s="48" t="s">
        <v>1712</v>
      </c>
      <c r="F2405" s="128" t="s">
        <v>1713</v>
      </c>
      <c r="G2405" s="2">
        <f t="shared" ref="G2405" si="1302">G2399*G2406</f>
        <v>1.8880000000000001</v>
      </c>
      <c r="H2405" s="2">
        <f t="shared" ref="H2405" si="1303">H2399*H2406</f>
        <v>1.8880000000000001</v>
      </c>
      <c r="I2405" s="2">
        <f t="shared" ref="I2405" si="1304">I2399*I2406</f>
        <v>1.8880000000000001</v>
      </c>
      <c r="J2405" s="2">
        <f t="shared" ref="J2405" si="1305">J2399*J2406</f>
        <v>1.8880000000000001</v>
      </c>
      <c r="K2405" s="2">
        <f t="shared" ref="K2405" si="1306">K2399*K2406</f>
        <v>1.8880000000000001</v>
      </c>
      <c r="L2405" s="2">
        <f t="shared" ref="L2405" si="1307">L2399*L2406</f>
        <v>1.8880000000000001</v>
      </c>
      <c r="M2405" s="2">
        <f t="shared" ref="M2405" si="1308">M2399*M2406</f>
        <v>1.8880000000000001</v>
      </c>
    </row>
    <row r="2406" spans="2:13" hidden="1" outlineLevel="2" x14ac:dyDescent="0.2">
      <c r="B2406" t="str">
        <f>+C2406&amp;D2406&amp;E2406&amp;F2406</f>
        <v>GlobalCO2 CaptureConversion CO2 : NG (actual)kg CO2/kg NG</v>
      </c>
      <c r="C2406" t="s">
        <v>109</v>
      </c>
      <c r="D2406" t="s">
        <v>1178</v>
      </c>
      <c r="E2406" t="s">
        <v>1707</v>
      </c>
      <c r="F2406" s="224" t="s">
        <v>1708</v>
      </c>
      <c r="G2406" s="521">
        <f>INDEX('Fuel Model -  Input'!$B$3:$N$373,MATCH($B2406,'Fuel Model -  Input'!$B$3:$B$373,0),MATCH(G$2,'Fuel Model -  Input'!$B$3:$N$3,0))</f>
        <v>2.95</v>
      </c>
      <c r="H2406" s="521">
        <f>INDEX('Fuel Model -  Input'!$B$3:$N$373,MATCH($B2406,'Fuel Model -  Input'!$B$3:$B$373,0),MATCH(H$2,'Fuel Model -  Input'!$B$3:$N$3,0))</f>
        <v>2.95</v>
      </c>
      <c r="I2406" s="521">
        <f>INDEX('Fuel Model -  Input'!$B$3:$N$373,MATCH($B2406,'Fuel Model -  Input'!$B$3:$B$373,0),MATCH(I$2,'Fuel Model -  Input'!$B$3:$N$3,0))</f>
        <v>2.95</v>
      </c>
      <c r="J2406" s="521">
        <f>INDEX('Fuel Model -  Input'!$B$3:$N$373,MATCH($B2406,'Fuel Model -  Input'!$B$3:$B$373,0),MATCH(J$2,'Fuel Model -  Input'!$B$3:$N$3,0))</f>
        <v>2.95</v>
      </c>
      <c r="K2406" s="521">
        <f>INDEX('Fuel Model -  Input'!$B$3:$N$373,MATCH($B2406,'Fuel Model -  Input'!$B$3:$B$373,0),MATCH(K$2,'Fuel Model -  Input'!$B$3:$N$3,0))</f>
        <v>2.95</v>
      </c>
      <c r="L2406" s="521">
        <f>INDEX('Fuel Model -  Input'!$B$3:$N$373,MATCH($B2406,'Fuel Model -  Input'!$B$3:$B$373,0),MATCH(L$2,'Fuel Model -  Input'!$B$3:$N$3,0))</f>
        <v>2.95</v>
      </c>
      <c r="M2406" s="521">
        <f>INDEX('Fuel Model -  Input'!$B$3:$N$373,MATCH($B2406,'Fuel Model -  Input'!$B$3:$B$373,0),MATCH(M$2,'Fuel Model -  Input'!$B$3:$N$3,0))</f>
        <v>2.95</v>
      </c>
    </row>
    <row r="2407" spans="2:13" hidden="1" outlineLevel="2" x14ac:dyDescent="0.2">
      <c r="B2407" t="str">
        <f>+C2407&amp;D2407&amp;E2407&amp;F2407</f>
        <v>Middle EastCO2 StorageCost of CO2 storageUSD/ton CO2</v>
      </c>
      <c r="C2407" t="str">
        <f>C2376</f>
        <v>Middle East</v>
      </c>
      <c r="D2407" t="s">
        <v>1206</v>
      </c>
      <c r="E2407" t="s">
        <v>1208</v>
      </c>
      <c r="F2407" s="224" t="s">
        <v>382</v>
      </c>
      <c r="G2407" s="532">
        <f>INDEX('Fuel Model -  Input'!$B$3:$N$373,MATCH($B2407,'Fuel Model -  Input'!$B$3:$B$373,0),MATCH(G$2,'Fuel Model -  Input'!$B$3:$N$3,0))</f>
        <v>50</v>
      </c>
      <c r="H2407" s="532">
        <f>INDEX('Fuel Model -  Input'!$B$3:$N$373,MATCH($B2407,'Fuel Model -  Input'!$B$3:$B$373,0),MATCH(H$2,'Fuel Model -  Input'!$B$3:$N$3,0))</f>
        <v>50</v>
      </c>
      <c r="I2407" s="532">
        <f>INDEX('Fuel Model -  Input'!$B$3:$N$373,MATCH($B2407,'Fuel Model -  Input'!$B$3:$B$373,0),MATCH(I$2,'Fuel Model -  Input'!$B$3:$N$3,0))</f>
        <v>50</v>
      </c>
      <c r="J2407" s="532">
        <f>INDEX('Fuel Model -  Input'!$B$3:$N$373,MATCH($B2407,'Fuel Model -  Input'!$B$3:$B$373,0),MATCH(J$2,'Fuel Model -  Input'!$B$3:$N$3,0))</f>
        <v>50</v>
      </c>
      <c r="K2407" s="532">
        <f>INDEX('Fuel Model -  Input'!$B$3:$N$373,MATCH($B2407,'Fuel Model -  Input'!$B$3:$B$373,0),MATCH(K$2,'Fuel Model -  Input'!$B$3:$N$3,0))</f>
        <v>50</v>
      </c>
      <c r="L2407" s="532">
        <f>INDEX('Fuel Model -  Input'!$B$3:$N$373,MATCH($B2407,'Fuel Model -  Input'!$B$3:$B$373,0),MATCH(L$2,'Fuel Model -  Input'!$B$3:$N$3,0))</f>
        <v>50</v>
      </c>
      <c r="M2407" s="532">
        <f>INDEX('Fuel Model -  Input'!$B$3:$N$373,MATCH($B2407,'Fuel Model -  Input'!$B$3:$B$373,0),MATCH(M$2,'Fuel Model -  Input'!$B$3:$N$3,0))</f>
        <v>50</v>
      </c>
    </row>
    <row r="2408" spans="2:13" hidden="1" outlineLevel="2" x14ac:dyDescent="0.2">
      <c r="B2408" t="str">
        <f>+C2408&amp;D2408&amp;E2408&amp;F2408</f>
        <v>Middle EastFeedstockCost of blue CO2 PSUSD/ton</v>
      </c>
      <c r="C2408" t="str">
        <f>C2376</f>
        <v>Middle East</v>
      </c>
      <c r="D2408" t="s">
        <v>777</v>
      </c>
      <c r="E2408" t="s">
        <v>1209</v>
      </c>
      <c r="F2408" s="224" t="s">
        <v>205</v>
      </c>
      <c r="G2408" s="532">
        <f>INDEX('Fuel Model -  Input'!$B$3:$N$373,MATCH($B2408,'Fuel Model -  Input'!$B$3:$B$373,0),MATCH(G$2,'Fuel Model -  Input'!$B$3:$N$3,0))</f>
        <v>25</v>
      </c>
      <c r="H2408" s="532">
        <f>INDEX('Fuel Model -  Input'!$B$3:$N$373,MATCH($B2408,'Fuel Model -  Input'!$B$3:$B$373,0),MATCH(H$2,'Fuel Model -  Input'!$B$3:$N$3,0))</f>
        <v>25</v>
      </c>
      <c r="I2408" s="532">
        <f>INDEX('Fuel Model -  Input'!$B$3:$N$373,MATCH($B2408,'Fuel Model -  Input'!$B$3:$B$373,0),MATCH(I$2,'Fuel Model -  Input'!$B$3:$N$3,0))</f>
        <v>25</v>
      </c>
      <c r="J2408" s="532">
        <f>INDEX('Fuel Model -  Input'!$B$3:$N$373,MATCH($B2408,'Fuel Model -  Input'!$B$3:$B$373,0),MATCH(J$2,'Fuel Model -  Input'!$B$3:$N$3,0))</f>
        <v>25</v>
      </c>
      <c r="K2408" s="532">
        <f>INDEX('Fuel Model -  Input'!$B$3:$N$373,MATCH($B2408,'Fuel Model -  Input'!$B$3:$B$373,0),MATCH(K$2,'Fuel Model -  Input'!$B$3:$N$3,0))</f>
        <v>25</v>
      </c>
      <c r="L2408" s="532">
        <f>INDEX('Fuel Model -  Input'!$B$3:$N$373,MATCH($B2408,'Fuel Model -  Input'!$B$3:$B$373,0),MATCH(L$2,'Fuel Model -  Input'!$B$3:$N$3,0))</f>
        <v>25</v>
      </c>
      <c r="M2408" s="532">
        <f>INDEX('Fuel Model -  Input'!$B$3:$N$373,MATCH($B2408,'Fuel Model -  Input'!$B$3:$B$373,0),MATCH(M$2,'Fuel Model -  Input'!$B$3:$N$3,0))</f>
        <v>25</v>
      </c>
    </row>
    <row r="2409" spans="2:13" hidden="1" outlineLevel="1" x14ac:dyDescent="0.2">
      <c r="F2409" s="128"/>
      <c r="G2409" s="524"/>
      <c r="H2409" s="524"/>
      <c r="I2409" s="524"/>
      <c r="J2409" s="524"/>
      <c r="K2409" s="524"/>
      <c r="L2409" s="524"/>
      <c r="M2409" s="524"/>
    </row>
    <row r="2410" spans="2:13" s="30" customFormat="1" ht="15" hidden="1" outlineLevel="1" collapsed="1" x14ac:dyDescent="0.25">
      <c r="B2410" s="30" t="s">
        <v>198</v>
      </c>
      <c r="C2410" s="30" t="str">
        <f>+B2410</f>
        <v>Asia</v>
      </c>
    </row>
    <row r="2411" spans="2:13" ht="15" hidden="1" outlineLevel="2" x14ac:dyDescent="0.25">
      <c r="B2411" t="str">
        <f>+C2411&amp;D2411&amp;E2411&amp;F2411</f>
        <v>AsiaResultsTotal cost of Blue AmmoniaUSD/ton</v>
      </c>
      <c r="C2411" s="494" t="str">
        <f>+$C$2410</f>
        <v>Asia</v>
      </c>
      <c r="D2411" s="30" t="s">
        <v>838</v>
      </c>
      <c r="E2411" s="405" t="s">
        <v>1216</v>
      </c>
      <c r="F2411" s="127" t="s">
        <v>205</v>
      </c>
      <c r="G2411" s="490">
        <f>SUM(G2412:G2415)</f>
        <v>1384.2068412028507</v>
      </c>
      <c r="H2411" s="490">
        <f t="shared" ref="H2411:M2411" si="1309">SUM(H2412:H2415)</f>
        <v>791.66193828030737</v>
      </c>
      <c r="I2411" s="490">
        <f t="shared" si="1309"/>
        <v>522.12535035370206</v>
      </c>
      <c r="J2411" s="490">
        <f t="shared" si="1309"/>
        <v>513.43453861570003</v>
      </c>
      <c r="K2411" s="490">
        <f t="shared" si="1309"/>
        <v>505.30591099033063</v>
      </c>
      <c r="L2411" s="490">
        <f t="shared" si="1309"/>
        <v>497.15011318442589</v>
      </c>
      <c r="M2411" s="490">
        <f t="shared" si="1309"/>
        <v>489.32383183277011</v>
      </c>
    </row>
    <row r="2412" spans="2:13" ht="15" hidden="1" outlineLevel="2" x14ac:dyDescent="0.25">
      <c r="B2412" t="str">
        <f>+C2412&amp;D2412&amp;E2412&amp;F2412</f>
        <v>AsiaResultsTotal Capex Blue AmmoniaUSD/ton</v>
      </c>
      <c r="C2412" s="494" t="str">
        <f>+$C$2410</f>
        <v>Asia</v>
      </c>
      <c r="D2412" s="30" t="s">
        <v>838</v>
      </c>
      <c r="E2412" s="228" t="s">
        <v>1217</v>
      </c>
      <c r="F2412" s="127" t="s">
        <v>205</v>
      </c>
      <c r="G2412" s="490">
        <f>G2417</f>
        <v>111.30000000000003</v>
      </c>
      <c r="H2412" s="490">
        <f t="shared" ref="H2412:M2412" si="1310">H2417</f>
        <v>106.00000000000003</v>
      </c>
      <c r="I2412" s="490">
        <f t="shared" si="1310"/>
        <v>100.70000000000002</v>
      </c>
      <c r="J2412" s="490">
        <f t="shared" si="1310"/>
        <v>95.40000000000002</v>
      </c>
      <c r="K2412" s="490">
        <f t="shared" si="1310"/>
        <v>90.100000000000023</v>
      </c>
      <c r="L2412" s="490">
        <f t="shared" si="1310"/>
        <v>84.800000000000026</v>
      </c>
      <c r="M2412" s="490">
        <f t="shared" si="1310"/>
        <v>79.500000000000014</v>
      </c>
    </row>
    <row r="2413" spans="2:13" ht="15" hidden="1" outlineLevel="2" x14ac:dyDescent="0.25">
      <c r="B2413" t="str">
        <f>+C2413&amp;D2413&amp;E2413&amp;F2413</f>
        <v>AsiaResultsTotal Opex Blue AmmoniaUSD/ton</v>
      </c>
      <c r="C2413" s="494" t="str">
        <f>+$C$2410</f>
        <v>Asia</v>
      </c>
      <c r="D2413" s="30" t="s">
        <v>838</v>
      </c>
      <c r="E2413" s="228" t="s">
        <v>1218</v>
      </c>
      <c r="F2413" s="127" t="s">
        <v>205</v>
      </c>
      <c r="G2413" s="490">
        <f>G2421</f>
        <v>50.4</v>
      </c>
      <c r="H2413" s="490">
        <f t="shared" ref="H2413:M2413" si="1311">H2421</f>
        <v>48</v>
      </c>
      <c r="I2413" s="490">
        <f t="shared" si="1311"/>
        <v>45.6</v>
      </c>
      <c r="J2413" s="490">
        <f t="shared" si="1311"/>
        <v>43.2</v>
      </c>
      <c r="K2413" s="490">
        <f t="shared" si="1311"/>
        <v>40.800000000000004</v>
      </c>
      <c r="L2413" s="490">
        <f t="shared" si="1311"/>
        <v>38.4</v>
      </c>
      <c r="M2413" s="490">
        <f t="shared" si="1311"/>
        <v>36</v>
      </c>
    </row>
    <row r="2414" spans="2:13" ht="15" hidden="1" outlineLevel="2" x14ac:dyDescent="0.25">
      <c r="B2414" t="str">
        <f>+C2414&amp;D2414&amp;E2414&amp;F2414</f>
        <v>AsiaResultsTotal Raw Material Blue AmmoniaUSD/ton</v>
      </c>
      <c r="C2414" s="494" t="str">
        <f>+$C$2410</f>
        <v>Asia</v>
      </c>
      <c r="D2414" s="30" t="s">
        <v>838</v>
      </c>
      <c r="E2414" s="228" t="s">
        <v>1219</v>
      </c>
      <c r="F2414" s="127" t="s">
        <v>205</v>
      </c>
      <c r="G2414" s="490">
        <f>G2432+G2428</f>
        <v>1091.2908412028505</v>
      </c>
      <c r="H2414" s="490">
        <f t="shared" ref="H2414:M2414" si="1312">H2432+H2428</f>
        <v>505.5019382803074</v>
      </c>
      <c r="I2414" s="490">
        <f t="shared" si="1312"/>
        <v>242.72135035370201</v>
      </c>
      <c r="J2414" s="490">
        <f t="shared" si="1312"/>
        <v>240.78653861570004</v>
      </c>
      <c r="K2414" s="490">
        <f t="shared" si="1312"/>
        <v>239.41391099033058</v>
      </c>
      <c r="L2414" s="490">
        <f t="shared" si="1312"/>
        <v>238.0141131844259</v>
      </c>
      <c r="M2414" s="490">
        <f t="shared" si="1312"/>
        <v>236.94383183277012</v>
      </c>
    </row>
    <row r="2415" spans="2:13" ht="15" hidden="1" outlineLevel="2" x14ac:dyDescent="0.25">
      <c r="B2415" t="str">
        <f>+C2415&amp;D2415&amp;E2415&amp;F2415</f>
        <v>AsiaResultsTotal CO2 Blue AmmoniaUSD/ton</v>
      </c>
      <c r="C2415" s="494" t="str">
        <f>+$C$2410</f>
        <v>Asia</v>
      </c>
      <c r="D2415" s="30" t="s">
        <v>838</v>
      </c>
      <c r="E2415" s="228" t="s">
        <v>1220</v>
      </c>
      <c r="F2415" s="127" t="s">
        <v>205</v>
      </c>
      <c r="G2415" s="490">
        <f>G2436</f>
        <v>131.21600000000001</v>
      </c>
      <c r="H2415" s="490">
        <f t="shared" ref="H2415:M2415" si="1313">H2436</f>
        <v>132.16000000000003</v>
      </c>
      <c r="I2415" s="490">
        <f t="shared" si="1313"/>
        <v>133.10400000000001</v>
      </c>
      <c r="J2415" s="490">
        <f t="shared" si="1313"/>
        <v>134.048</v>
      </c>
      <c r="K2415" s="490">
        <f t="shared" si="1313"/>
        <v>134.99200000000002</v>
      </c>
      <c r="L2415" s="490">
        <f t="shared" si="1313"/>
        <v>135.93600000000001</v>
      </c>
      <c r="M2415" s="490">
        <f t="shared" si="1313"/>
        <v>136.88</v>
      </c>
    </row>
    <row r="2416" spans="2:13" hidden="1" outlineLevel="2" x14ac:dyDescent="0.2">
      <c r="E2416" s="48"/>
      <c r="F2416" s="128"/>
      <c r="G2416" s="8"/>
      <c r="H2416" s="8"/>
      <c r="I2416" s="8"/>
      <c r="J2416" s="8"/>
      <c r="K2416" s="8"/>
      <c r="L2416" s="8"/>
      <c r="M2416" s="8"/>
    </row>
    <row r="2417" spans="2:13" hidden="1" outlineLevel="2" x14ac:dyDescent="0.2">
      <c r="B2417" t="str">
        <f>+C2417&amp;D2417&amp;E2417&amp;F2417</f>
        <v>GlobalCapexCapex per yearUSD m/year</v>
      </c>
      <c r="C2417" t="s">
        <v>109</v>
      </c>
      <c r="D2417" t="s">
        <v>218</v>
      </c>
      <c r="E2417" t="s">
        <v>956</v>
      </c>
      <c r="F2417" s="128" t="s">
        <v>957</v>
      </c>
      <c r="G2417" s="523">
        <f t="shared" ref="G2417:M2417" si="1314">G2419/G2418</f>
        <v>111.30000000000003</v>
      </c>
      <c r="H2417" s="523">
        <f t="shared" si="1314"/>
        <v>106.00000000000003</v>
      </c>
      <c r="I2417" s="523">
        <f t="shared" si="1314"/>
        <v>100.70000000000002</v>
      </c>
      <c r="J2417" s="523">
        <f t="shared" si="1314"/>
        <v>95.40000000000002</v>
      </c>
      <c r="K2417" s="523">
        <f t="shared" si="1314"/>
        <v>90.100000000000023</v>
      </c>
      <c r="L2417" s="523">
        <f t="shared" si="1314"/>
        <v>84.800000000000026</v>
      </c>
      <c r="M2417" s="523">
        <f t="shared" si="1314"/>
        <v>79.500000000000014</v>
      </c>
    </row>
    <row r="2418" spans="2:13" hidden="1" outlineLevel="2" x14ac:dyDescent="0.2">
      <c r="B2418" t="str">
        <f>+C2418&amp;D2418&amp;E2418&amp;F2418</f>
        <v>GlobalPlant capexAnnualisation factor#</v>
      </c>
      <c r="C2418" t="s">
        <v>109</v>
      </c>
      <c r="D2418" t="s">
        <v>786</v>
      </c>
      <c r="E2418" t="s">
        <v>764</v>
      </c>
      <c r="F2418" s="450" t="s">
        <v>787</v>
      </c>
      <c r="G2418" s="532">
        <f>INDEX('Fuel Model -  Input'!$B$3:$N$373,MATCH($B2418,'Fuel Model -  Input'!$B$3:$B$373,0),MATCH(G$2,'Fuel Model -  Input'!$B$3:$N$3,0))</f>
        <v>11.32075471698113</v>
      </c>
      <c r="H2418" s="532">
        <f>INDEX('Fuel Model -  Input'!$B$3:$N$373,MATCH($B2418,'Fuel Model -  Input'!$B$3:$B$373,0),MATCH(H$2,'Fuel Model -  Input'!$B$3:$N$3,0))</f>
        <v>11.32075471698113</v>
      </c>
      <c r="I2418" s="532">
        <f>INDEX('Fuel Model -  Input'!$B$3:$N$373,MATCH($B2418,'Fuel Model -  Input'!$B$3:$B$373,0),MATCH(I$2,'Fuel Model -  Input'!$B$3:$N$3,0))</f>
        <v>11.32075471698113</v>
      </c>
      <c r="J2418" s="532">
        <f>INDEX('Fuel Model -  Input'!$B$3:$N$373,MATCH($B2418,'Fuel Model -  Input'!$B$3:$B$373,0),MATCH(J$2,'Fuel Model -  Input'!$B$3:$N$3,0))</f>
        <v>11.32075471698113</v>
      </c>
      <c r="K2418" s="532">
        <f>INDEX('Fuel Model -  Input'!$B$3:$N$373,MATCH($B2418,'Fuel Model -  Input'!$B$3:$B$373,0),MATCH(K$2,'Fuel Model -  Input'!$B$3:$N$3,0))</f>
        <v>11.32075471698113</v>
      </c>
      <c r="L2418" s="532">
        <f>INDEX('Fuel Model -  Input'!$B$3:$N$373,MATCH($B2418,'Fuel Model -  Input'!$B$3:$B$373,0),MATCH(L$2,'Fuel Model -  Input'!$B$3:$N$3,0))</f>
        <v>11.32075471698113</v>
      </c>
      <c r="M2418" s="532">
        <f>INDEX('Fuel Model -  Input'!$B$3:$N$373,MATCH($B2418,'Fuel Model -  Input'!$B$3:$B$373,0),MATCH(M$2,'Fuel Model -  Input'!$B$3:$N$3,0))</f>
        <v>11.32075471698113</v>
      </c>
    </row>
    <row r="2419" spans="2:13" hidden="1" outlineLevel="2" x14ac:dyDescent="0.2">
      <c r="B2419" t="str">
        <f>+C2419&amp;D2419&amp;E2419&amp;F2419</f>
        <v>GlobalCapexBlue ammonia plant unit cost (ATR incl CCS)USD/ton NH3</v>
      </c>
      <c r="C2419" t="s">
        <v>109</v>
      </c>
      <c r="D2419" s="157" t="s">
        <v>218</v>
      </c>
      <c r="E2419" s="15" t="s">
        <v>1704</v>
      </c>
      <c r="F2419" s="224" t="s">
        <v>960</v>
      </c>
      <c r="G2419" s="532">
        <f>INDEX('Fuel Model -  Input'!$B$3:$N$373,MATCH($B2419,'Fuel Model -  Input'!$B$3:$B$373,0),MATCH(G$2,'Fuel Model -  Input'!$B$3:$N$3,0))</f>
        <v>1260</v>
      </c>
      <c r="H2419" s="532">
        <f>INDEX('Fuel Model -  Input'!$B$3:$N$373,MATCH($B2419,'Fuel Model -  Input'!$B$3:$B$373,0),MATCH(H$2,'Fuel Model -  Input'!$B$3:$N$3,0))</f>
        <v>1200</v>
      </c>
      <c r="I2419" s="532">
        <f>INDEX('Fuel Model -  Input'!$B$3:$N$373,MATCH($B2419,'Fuel Model -  Input'!$B$3:$B$373,0),MATCH(I$2,'Fuel Model -  Input'!$B$3:$N$3,0))</f>
        <v>1140</v>
      </c>
      <c r="J2419" s="532">
        <f>INDEX('Fuel Model -  Input'!$B$3:$N$373,MATCH($B2419,'Fuel Model -  Input'!$B$3:$B$373,0),MATCH(J$2,'Fuel Model -  Input'!$B$3:$N$3,0))</f>
        <v>1080</v>
      </c>
      <c r="K2419" s="532">
        <f>INDEX('Fuel Model -  Input'!$B$3:$N$373,MATCH($B2419,'Fuel Model -  Input'!$B$3:$B$373,0),MATCH(K$2,'Fuel Model -  Input'!$B$3:$N$3,0))</f>
        <v>1020</v>
      </c>
      <c r="L2419" s="532">
        <f>INDEX('Fuel Model -  Input'!$B$3:$N$373,MATCH($B2419,'Fuel Model -  Input'!$B$3:$B$373,0),MATCH(L$2,'Fuel Model -  Input'!$B$3:$N$3,0))</f>
        <v>960</v>
      </c>
      <c r="M2419" s="532">
        <f>INDEX('Fuel Model -  Input'!$B$3:$N$373,MATCH($B2419,'Fuel Model -  Input'!$B$3:$B$373,0),MATCH(M$2,'Fuel Model -  Input'!$B$3:$N$3,0))</f>
        <v>900</v>
      </c>
    </row>
    <row r="2420" spans="2:13" hidden="1" outlineLevel="2" x14ac:dyDescent="0.2">
      <c r="E2420" s="48"/>
      <c r="F2420" s="128"/>
      <c r="G2420" s="8"/>
      <c r="H2420" s="8"/>
      <c r="I2420" s="8"/>
      <c r="J2420" s="8"/>
      <c r="K2420" s="8"/>
      <c r="L2420" s="8"/>
      <c r="M2420" s="8"/>
    </row>
    <row r="2421" spans="2:13" hidden="1" outlineLevel="2" x14ac:dyDescent="0.2">
      <c r="B2421" t="str">
        <f>+C2421&amp;D2421&amp;E2421&amp;F2421</f>
        <v>GlobalOpexOpexUSD/ton NH3</v>
      </c>
      <c r="C2421" t="s">
        <v>109</v>
      </c>
      <c r="D2421" t="s">
        <v>219</v>
      </c>
      <c r="E2421" s="48" t="s">
        <v>219</v>
      </c>
      <c r="F2421" s="128" t="s">
        <v>960</v>
      </c>
      <c r="G2421" s="8">
        <f t="shared" ref="G2421:M2421" si="1315">G2419*G2422</f>
        <v>50.4</v>
      </c>
      <c r="H2421" s="8">
        <f t="shared" si="1315"/>
        <v>48</v>
      </c>
      <c r="I2421" s="8">
        <f t="shared" si="1315"/>
        <v>45.6</v>
      </c>
      <c r="J2421" s="8">
        <f t="shared" si="1315"/>
        <v>43.2</v>
      </c>
      <c r="K2421" s="8">
        <f t="shared" si="1315"/>
        <v>40.800000000000004</v>
      </c>
      <c r="L2421" s="8">
        <f t="shared" si="1315"/>
        <v>38.4</v>
      </c>
      <c r="M2421" s="8">
        <f t="shared" si="1315"/>
        <v>36</v>
      </c>
    </row>
    <row r="2422" spans="2:13" hidden="1" outlineLevel="2" x14ac:dyDescent="0.2">
      <c r="B2422" t="str">
        <f>+C2422&amp;D2422&amp;E2422&amp;F2422</f>
        <v>GlobalOpexPlant - ATR - opexPercent of Capex</v>
      </c>
      <c r="C2422" t="s">
        <v>109</v>
      </c>
      <c r="D2422" t="s">
        <v>219</v>
      </c>
      <c r="E2422" s="48" t="s">
        <v>1706</v>
      </c>
      <c r="F2422" s="224" t="s">
        <v>883</v>
      </c>
      <c r="G2422" s="531">
        <f>INDEX('Fuel Model -  Input'!$B$3:$N$373,MATCH($B2422,'Fuel Model -  Input'!$B$3:$B$373,0),MATCH(G$2,'Fuel Model -  Input'!$B$3:$N$3,0))</f>
        <v>0.04</v>
      </c>
      <c r="H2422" s="531">
        <f>INDEX('Fuel Model -  Input'!$B$3:$N$373,MATCH($B2422,'Fuel Model -  Input'!$B$3:$B$373,0),MATCH(H$2,'Fuel Model -  Input'!$B$3:$N$3,0))</f>
        <v>0.04</v>
      </c>
      <c r="I2422" s="531">
        <f>INDEX('Fuel Model -  Input'!$B$3:$N$373,MATCH($B2422,'Fuel Model -  Input'!$B$3:$B$373,0),MATCH(I$2,'Fuel Model -  Input'!$B$3:$N$3,0))</f>
        <v>0.04</v>
      </c>
      <c r="J2422" s="531">
        <f>INDEX('Fuel Model -  Input'!$B$3:$N$373,MATCH($B2422,'Fuel Model -  Input'!$B$3:$B$373,0),MATCH(J$2,'Fuel Model -  Input'!$B$3:$N$3,0))</f>
        <v>0.04</v>
      </c>
      <c r="K2422" s="531">
        <f>INDEX('Fuel Model -  Input'!$B$3:$N$373,MATCH($B2422,'Fuel Model -  Input'!$B$3:$B$373,0),MATCH(K$2,'Fuel Model -  Input'!$B$3:$N$3,0))</f>
        <v>0.04</v>
      </c>
      <c r="L2422" s="531">
        <f>INDEX('Fuel Model -  Input'!$B$3:$N$373,MATCH($B2422,'Fuel Model -  Input'!$B$3:$B$373,0),MATCH(L$2,'Fuel Model -  Input'!$B$3:$N$3,0))</f>
        <v>0.04</v>
      </c>
      <c r="M2422" s="531">
        <f>INDEX('Fuel Model -  Input'!$B$3:$N$373,MATCH($B2422,'Fuel Model -  Input'!$B$3:$B$373,0),MATCH(M$2,'Fuel Model -  Input'!$B$3:$N$3,0))</f>
        <v>0.04</v>
      </c>
    </row>
    <row r="2423" spans="2:13" hidden="1" outlineLevel="2" x14ac:dyDescent="0.2">
      <c r="E2423" s="48"/>
      <c r="F2423" s="128"/>
      <c r="G2423" s="8"/>
      <c r="H2423" s="8"/>
      <c r="I2423" s="8"/>
      <c r="J2423" s="8"/>
      <c r="K2423" s="8"/>
      <c r="L2423" s="8"/>
      <c r="M2423" s="8"/>
    </row>
    <row r="2424" spans="2:13" hidden="1" outlineLevel="2" x14ac:dyDescent="0.2">
      <c r="B2424" t="str">
        <f>+C2424&amp;D2424&amp;E2424&amp;F2424</f>
        <v>AsiaSynthesisElectricity costUSD/ton NH3</v>
      </c>
      <c r="C2424" t="str">
        <f>C2410</f>
        <v>Asia</v>
      </c>
      <c r="D2424" t="s">
        <v>962</v>
      </c>
      <c r="E2424" s="48" t="s">
        <v>94</v>
      </c>
      <c r="F2424" s="128" t="s">
        <v>960</v>
      </c>
      <c r="G2424" s="260">
        <f t="shared" ref="G2424:M2424" si="1316">G2425*G2426</f>
        <v>24.618505844617815</v>
      </c>
      <c r="H2424" s="260">
        <f t="shared" si="1316"/>
        <v>16.593746148998097</v>
      </c>
      <c r="I2424" s="260">
        <f t="shared" si="1316"/>
        <v>13.853917963410218</v>
      </c>
      <c r="J2424" s="260">
        <f t="shared" si="1316"/>
        <v>11.991231710346778</v>
      </c>
      <c r="K2424" s="260">
        <f t="shared" si="1316"/>
        <v>11.15208477318974</v>
      </c>
      <c r="L2424" s="260">
        <f t="shared" si="1316"/>
        <v>10.184357448595295</v>
      </c>
      <c r="M2424" s="260">
        <f t="shared" si="1316"/>
        <v>9.8641572980367691</v>
      </c>
    </row>
    <row r="2425" spans="2:13" hidden="1" outlineLevel="2" x14ac:dyDescent="0.2">
      <c r="B2425" t="str">
        <f>+C2425&amp;D2425&amp;E2425&amp;F2425</f>
        <v>AsiaFeedstockElectricityUSD/MWh</v>
      </c>
      <c r="C2425" t="str">
        <f>C2410</f>
        <v>Asia</v>
      </c>
      <c r="D2425" t="s">
        <v>777</v>
      </c>
      <c r="E2425" s="48" t="s">
        <v>54</v>
      </c>
      <c r="F2425" s="128" t="s">
        <v>196</v>
      </c>
      <c r="G2425" s="532">
        <f>INDEX('Fuel Model -  Input'!$B$3:$N$373,MATCH($B2425,'Fuel Model -  Input'!$B$3:$B$373,0),MATCH(G$2,'Fuel Model -  Input'!$B$3:$N$3,0))</f>
        <v>82.061686148726054</v>
      </c>
      <c r="H2425" s="532">
        <f>INDEX('Fuel Model -  Input'!$B$3:$N$373,MATCH($B2425,'Fuel Model -  Input'!$B$3:$B$373,0),MATCH(H$2,'Fuel Model -  Input'!$B$3:$N$3,0))</f>
        <v>53.528213383864831</v>
      </c>
      <c r="I2425" s="532">
        <f>INDEX('Fuel Model -  Input'!$B$3:$N$373,MATCH($B2425,'Fuel Model -  Input'!$B$3:$B$373,0),MATCH(I$2,'Fuel Model -  Input'!$B$3:$N$3,0))</f>
        <v>43.29349363565693</v>
      </c>
      <c r="J2425" s="532">
        <f>INDEX('Fuel Model -  Input'!$B$3:$N$373,MATCH($B2425,'Fuel Model -  Input'!$B$3:$B$373,0),MATCH(J$2,'Fuel Model -  Input'!$B$3:$N$3,0))</f>
        <v>36.337065788929628</v>
      </c>
      <c r="K2425" s="532">
        <f>INDEX('Fuel Model -  Input'!$B$3:$N$373,MATCH($B2425,'Fuel Model -  Input'!$B$3:$B$373,0),MATCH(K$2,'Fuel Model -  Input'!$B$3:$N$3,0))</f>
        <v>32.800249332911001</v>
      </c>
      <c r="L2425" s="532">
        <f>INDEX('Fuel Model -  Input'!$B$3:$N$373,MATCH($B2425,'Fuel Model -  Input'!$B$3:$B$373,0),MATCH(L$2,'Fuel Model -  Input'!$B$3:$N$3,0))</f>
        <v>29.0981641388437</v>
      </c>
      <c r="M2425" s="532">
        <f>INDEX('Fuel Model -  Input'!$B$3:$N$373,MATCH($B2425,'Fuel Model -  Input'!$B$3:$B$373,0),MATCH(M$2,'Fuel Model -  Input'!$B$3:$N$3,0))</f>
        <v>27.400436938991028</v>
      </c>
    </row>
    <row r="2426" spans="2:13" hidden="1" outlineLevel="2" x14ac:dyDescent="0.2">
      <c r="B2426" t="str">
        <f>+C2426&amp;D2426&amp;E2426&amp;F2426</f>
        <v>GlobalSynthesisElectricity demandmWh/ton blue NH3</v>
      </c>
      <c r="C2426" t="s">
        <v>109</v>
      </c>
      <c r="D2426" t="s">
        <v>962</v>
      </c>
      <c r="E2426" s="48" t="s">
        <v>963</v>
      </c>
      <c r="F2426" s="224" t="s">
        <v>1705</v>
      </c>
      <c r="G2426" s="521">
        <f>INDEX('Fuel Model -  Input'!$B$3:$N$373,MATCH($B2426,'Fuel Model -  Input'!$B$3:$B$373,0),MATCH(G$2,'Fuel Model -  Input'!$B$3:$N$3,0))</f>
        <v>0.3</v>
      </c>
      <c r="H2426" s="521">
        <f>INDEX('Fuel Model -  Input'!$B$3:$N$373,MATCH($B2426,'Fuel Model -  Input'!$B$3:$B$373,0),MATCH(H$2,'Fuel Model -  Input'!$B$3:$N$3,0))</f>
        <v>0.31</v>
      </c>
      <c r="I2426" s="521">
        <f>INDEX('Fuel Model -  Input'!$B$3:$N$373,MATCH($B2426,'Fuel Model -  Input'!$B$3:$B$373,0),MATCH(I$2,'Fuel Model -  Input'!$B$3:$N$3,0))</f>
        <v>0.32</v>
      </c>
      <c r="J2426" s="521">
        <f>INDEX('Fuel Model -  Input'!$B$3:$N$373,MATCH($B2426,'Fuel Model -  Input'!$B$3:$B$373,0),MATCH(J$2,'Fuel Model -  Input'!$B$3:$N$3,0))</f>
        <v>0.33</v>
      </c>
      <c r="K2426" s="521">
        <f>INDEX('Fuel Model -  Input'!$B$3:$N$373,MATCH($B2426,'Fuel Model -  Input'!$B$3:$B$373,0),MATCH(K$2,'Fuel Model -  Input'!$B$3:$N$3,0))</f>
        <v>0.33999999999999997</v>
      </c>
      <c r="L2426" s="521">
        <f>INDEX('Fuel Model -  Input'!$B$3:$N$373,MATCH($B2426,'Fuel Model -  Input'!$B$3:$B$373,0),MATCH(L$2,'Fuel Model -  Input'!$B$3:$N$3,0))</f>
        <v>0.35</v>
      </c>
      <c r="M2426" s="521">
        <f>INDEX('Fuel Model -  Input'!$B$3:$N$373,MATCH($B2426,'Fuel Model -  Input'!$B$3:$B$373,0),MATCH(M$2,'Fuel Model -  Input'!$B$3:$N$3,0))</f>
        <v>0.36</v>
      </c>
    </row>
    <row r="2427" spans="2:13" hidden="1" outlineLevel="2" x14ac:dyDescent="0.2">
      <c r="E2427" s="48"/>
      <c r="F2427" s="128"/>
      <c r="G2427" s="524"/>
      <c r="H2427" s="524"/>
      <c r="I2427" s="524"/>
      <c r="J2427" s="524"/>
      <c r="K2427" s="524"/>
      <c r="L2427" s="524"/>
      <c r="M2427" s="524"/>
    </row>
    <row r="2428" spans="2:13" hidden="1" outlineLevel="2" x14ac:dyDescent="0.2">
      <c r="B2428" t="str">
        <f>+C2428&amp;D2428&amp;E2428&amp;F2428</f>
        <v>AsiaFeedstockFeedstock N2USD/ton NH3</v>
      </c>
      <c r="C2428" t="str">
        <f>C2410</f>
        <v>Asia</v>
      </c>
      <c r="D2428" t="s">
        <v>777</v>
      </c>
      <c r="E2428" s="48" t="s">
        <v>965</v>
      </c>
      <c r="F2428" s="128" t="s">
        <v>960</v>
      </c>
      <c r="G2428" s="8">
        <f>G2429*G2430</f>
        <v>67.290841202850586</v>
      </c>
      <c r="H2428" s="8">
        <f t="shared" ref="H2428" si="1317">H2429*H2430</f>
        <v>41.501938280307378</v>
      </c>
      <c r="I2428" s="8">
        <f t="shared" ref="I2428" si="1318">I2429*I2430</f>
        <v>18.721350353702</v>
      </c>
      <c r="J2428" s="8">
        <f t="shared" ref="J2428" si="1319">J2429*J2430</f>
        <v>16.786538615700032</v>
      </c>
      <c r="K2428" s="8">
        <f t="shared" ref="K2428" si="1320">K2429*K2430</f>
        <v>15.413910990330571</v>
      </c>
      <c r="L2428" s="8">
        <f t="shared" ref="L2428" si="1321">L2429*L2430</f>
        <v>14.014113184425904</v>
      </c>
      <c r="M2428" s="8">
        <f t="shared" ref="M2428" si="1322">M2429*M2430</f>
        <v>12.943831832770128</v>
      </c>
    </row>
    <row r="2429" spans="2:13" hidden="1" outlineLevel="2" x14ac:dyDescent="0.2">
      <c r="B2429" t="str">
        <f>+C2429&amp;D2429&amp;E2429&amp;F2429</f>
        <v>GlobalFeedstockConversion N2 : NH3kg N2/kg NH3</v>
      </c>
      <c r="C2429" t="s">
        <v>109</v>
      </c>
      <c r="D2429" t="s">
        <v>777</v>
      </c>
      <c r="E2429" t="s">
        <v>1702</v>
      </c>
      <c r="F2429" s="224" t="s">
        <v>967</v>
      </c>
      <c r="G2429" s="521">
        <f>INDEX('Fuel Model -  Input'!$B$3:$N$373,MATCH($B2429,'Fuel Model -  Input'!$B$3:$B$373,0),MATCH(G$2,'Fuel Model -  Input'!$B$3:$N$3,0))</f>
        <v>0.82199999999999995</v>
      </c>
      <c r="H2429" s="521">
        <f>INDEX('Fuel Model -  Input'!$B$3:$N$373,MATCH($B2429,'Fuel Model -  Input'!$B$3:$B$373,0),MATCH(H$2,'Fuel Model -  Input'!$B$3:$N$3,0))</f>
        <v>0.82199999999999995</v>
      </c>
      <c r="I2429" s="521">
        <f>INDEX('Fuel Model -  Input'!$B$3:$N$373,MATCH($B2429,'Fuel Model -  Input'!$B$3:$B$373,0),MATCH(I$2,'Fuel Model -  Input'!$B$3:$N$3,0))</f>
        <v>0.82199999999999995</v>
      </c>
      <c r="J2429" s="521">
        <f>INDEX('Fuel Model -  Input'!$B$3:$N$373,MATCH($B2429,'Fuel Model -  Input'!$B$3:$B$373,0),MATCH(J$2,'Fuel Model -  Input'!$B$3:$N$3,0))</f>
        <v>0.82199999999999995</v>
      </c>
      <c r="K2429" s="521">
        <f>INDEX('Fuel Model -  Input'!$B$3:$N$373,MATCH($B2429,'Fuel Model -  Input'!$B$3:$B$373,0),MATCH(K$2,'Fuel Model -  Input'!$B$3:$N$3,0))</f>
        <v>0.82199999999999995</v>
      </c>
      <c r="L2429" s="521">
        <f>INDEX('Fuel Model -  Input'!$B$3:$N$373,MATCH($B2429,'Fuel Model -  Input'!$B$3:$B$373,0),MATCH(L$2,'Fuel Model -  Input'!$B$3:$N$3,0))</f>
        <v>0.82199999999999995</v>
      </c>
      <c r="M2429" s="521">
        <f>INDEX('Fuel Model -  Input'!$B$3:$N$373,MATCH($B2429,'Fuel Model -  Input'!$B$3:$B$373,0),MATCH(M$2,'Fuel Model -  Input'!$B$3:$N$3,0))</f>
        <v>0.82199999999999995</v>
      </c>
    </row>
    <row r="2430" spans="2:13" hidden="1" outlineLevel="2" x14ac:dyDescent="0.2">
      <c r="B2430" t="str">
        <f>+C2430&amp;D2430&amp;E2430&amp;F2430</f>
        <v>AsiaFeedstockCost of N2USD/ton</v>
      </c>
      <c r="C2430" t="str">
        <f>C2410</f>
        <v>Asia</v>
      </c>
      <c r="D2430" t="s">
        <v>777</v>
      </c>
      <c r="E2430" t="s">
        <v>968</v>
      </c>
      <c r="F2430" s="128" t="s">
        <v>205</v>
      </c>
      <c r="G2430" s="521">
        <f>INDEX(G$1654:G$1658,MATCH($B2430,$B$1654:$B$1658,0))</f>
        <v>81.862337229745236</v>
      </c>
      <c r="H2430" s="521">
        <f t="shared" ref="H2430:M2430" si="1323">INDEX(H$1654:H$1658,MATCH($B2430,$B$1654:$B$1658,0))</f>
        <v>50.488976010106306</v>
      </c>
      <c r="I2430" s="521">
        <f t="shared" si="1323"/>
        <v>22.775365393798054</v>
      </c>
      <c r="J2430" s="521">
        <f t="shared" si="1323"/>
        <v>20.421579824452593</v>
      </c>
      <c r="K2430" s="521">
        <f t="shared" si="1323"/>
        <v>18.751716533248871</v>
      </c>
      <c r="L2430" s="521">
        <f t="shared" si="1323"/>
        <v>17.048799494435407</v>
      </c>
      <c r="M2430" s="521">
        <f t="shared" si="1323"/>
        <v>15.746754054464876</v>
      </c>
    </row>
    <row r="2431" spans="2:13" hidden="1" outlineLevel="2" x14ac:dyDescent="0.2">
      <c r="F2431" s="128"/>
      <c r="G2431" s="521"/>
      <c r="H2431" s="521"/>
      <c r="I2431" s="521"/>
      <c r="J2431" s="521"/>
      <c r="K2431" s="521"/>
      <c r="L2431" s="521"/>
      <c r="M2431" s="521"/>
    </row>
    <row r="2432" spans="2:13" hidden="1" outlineLevel="2" x14ac:dyDescent="0.2">
      <c r="B2432" t="str">
        <f>+C2432&amp;D2432&amp;E2432&amp;F2432</f>
        <v>AsiaFeedstockFeedstock N2USD/ton NH3</v>
      </c>
      <c r="C2432" t="str">
        <f>C2410</f>
        <v>Asia</v>
      </c>
      <c r="D2432" t="s">
        <v>777</v>
      </c>
      <c r="E2432" s="48" t="s">
        <v>965</v>
      </c>
      <c r="F2432" s="128" t="s">
        <v>960</v>
      </c>
      <c r="G2432" s="8">
        <f>G2433*G2434</f>
        <v>1024</v>
      </c>
      <c r="H2432" s="8">
        <f t="shared" ref="H2432" si="1324">H2433*H2434</f>
        <v>464</v>
      </c>
      <c r="I2432" s="8">
        <f t="shared" ref="I2432" si="1325">I2433*I2434</f>
        <v>224</v>
      </c>
      <c r="J2432" s="8">
        <f t="shared" ref="J2432" si="1326">J2433*J2434</f>
        <v>224</v>
      </c>
      <c r="K2432" s="8">
        <f t="shared" ref="K2432" si="1327">K2433*K2434</f>
        <v>224</v>
      </c>
      <c r="L2432" s="8">
        <f t="shared" ref="L2432" si="1328">L2433*L2434</f>
        <v>224</v>
      </c>
      <c r="M2432" s="8">
        <f t="shared" ref="M2432" si="1329">M2433*M2434</f>
        <v>224</v>
      </c>
    </row>
    <row r="2433" spans="2:13" hidden="1" outlineLevel="2" x14ac:dyDescent="0.2">
      <c r="B2433" t="str">
        <f>+C2433&amp;D2433&amp;E2433&amp;F2433</f>
        <v>GlobalFeedstockConversion NG : NH3kg NG/kg NH3</v>
      </c>
      <c r="C2433" t="s">
        <v>109</v>
      </c>
      <c r="D2433" t="s">
        <v>777</v>
      </c>
      <c r="E2433" t="s">
        <v>1701</v>
      </c>
      <c r="F2433" s="224" t="s">
        <v>1703</v>
      </c>
      <c r="G2433" s="521">
        <f>INDEX('Fuel Model -  Input'!$B$3:$N$373,MATCH($B2433,'Fuel Model -  Input'!$B$3:$B$373,0),MATCH(G$2,'Fuel Model -  Input'!$B$3:$N$3,0))</f>
        <v>0.64</v>
      </c>
      <c r="H2433" s="521">
        <f>INDEX('Fuel Model -  Input'!$B$3:$N$373,MATCH($B2433,'Fuel Model -  Input'!$B$3:$B$373,0),MATCH(H$2,'Fuel Model -  Input'!$B$3:$N$3,0))</f>
        <v>0.64</v>
      </c>
      <c r="I2433" s="521">
        <f>INDEX('Fuel Model -  Input'!$B$3:$N$373,MATCH($B2433,'Fuel Model -  Input'!$B$3:$B$373,0),MATCH(I$2,'Fuel Model -  Input'!$B$3:$N$3,0))</f>
        <v>0.64</v>
      </c>
      <c r="J2433" s="521">
        <f>INDEX('Fuel Model -  Input'!$B$3:$N$373,MATCH($B2433,'Fuel Model -  Input'!$B$3:$B$373,0),MATCH(J$2,'Fuel Model -  Input'!$B$3:$N$3,0))</f>
        <v>0.64</v>
      </c>
      <c r="K2433" s="521">
        <f>INDEX('Fuel Model -  Input'!$B$3:$N$373,MATCH($B2433,'Fuel Model -  Input'!$B$3:$B$373,0),MATCH(K$2,'Fuel Model -  Input'!$B$3:$N$3,0))</f>
        <v>0.64</v>
      </c>
      <c r="L2433" s="521">
        <f>INDEX('Fuel Model -  Input'!$B$3:$N$373,MATCH($B2433,'Fuel Model -  Input'!$B$3:$B$373,0),MATCH(L$2,'Fuel Model -  Input'!$B$3:$N$3,0))</f>
        <v>0.64</v>
      </c>
      <c r="M2433" s="521">
        <f>INDEX('Fuel Model -  Input'!$B$3:$N$373,MATCH($B2433,'Fuel Model -  Input'!$B$3:$B$373,0),MATCH(M$2,'Fuel Model -  Input'!$B$3:$N$3,0))</f>
        <v>0.64</v>
      </c>
    </row>
    <row r="2434" spans="2:13" hidden="1" outlineLevel="2" x14ac:dyDescent="0.2">
      <c r="B2434" t="str">
        <f>+C2434&amp;D2434&amp;E2434&amp;F2434</f>
        <v>AsiaFeedstockCost of NGUSD/ton</v>
      </c>
      <c r="C2434" t="str">
        <f>C2410</f>
        <v>Asia</v>
      </c>
      <c r="D2434" s="15" t="s">
        <v>777</v>
      </c>
      <c r="E2434" s="15" t="s">
        <v>1144</v>
      </c>
      <c r="F2434" s="15" t="s">
        <v>205</v>
      </c>
      <c r="G2434" s="532">
        <f>INDEX('Fuel Model -  Input'!$B$3:$N$373,MATCH($B2434,'Fuel Model -  Input'!$B$3:$B$373,0),MATCH(G$2,'Fuel Model -  Input'!$B$3:$N$3,0))</f>
        <v>1600</v>
      </c>
      <c r="H2434" s="532">
        <f>INDEX('Fuel Model -  Input'!$B$3:$N$373,MATCH($B2434,'Fuel Model -  Input'!$B$3:$B$373,0),MATCH(H$2,'Fuel Model -  Input'!$B$3:$N$3,0))</f>
        <v>725</v>
      </c>
      <c r="I2434" s="532">
        <f>INDEX('Fuel Model -  Input'!$B$3:$N$373,MATCH($B2434,'Fuel Model -  Input'!$B$3:$B$373,0),MATCH(I$2,'Fuel Model -  Input'!$B$3:$N$3,0))</f>
        <v>350</v>
      </c>
      <c r="J2434" s="532">
        <f>INDEX('Fuel Model -  Input'!$B$3:$N$373,MATCH($B2434,'Fuel Model -  Input'!$B$3:$B$373,0),MATCH(J$2,'Fuel Model -  Input'!$B$3:$N$3,0))</f>
        <v>350</v>
      </c>
      <c r="K2434" s="532">
        <f>INDEX('Fuel Model -  Input'!$B$3:$N$373,MATCH($B2434,'Fuel Model -  Input'!$B$3:$B$373,0),MATCH(K$2,'Fuel Model -  Input'!$B$3:$N$3,0))</f>
        <v>350</v>
      </c>
      <c r="L2434" s="532">
        <f>INDEX('Fuel Model -  Input'!$B$3:$N$373,MATCH($B2434,'Fuel Model -  Input'!$B$3:$B$373,0),MATCH(L$2,'Fuel Model -  Input'!$B$3:$N$3,0))</f>
        <v>350</v>
      </c>
      <c r="M2434" s="532">
        <f>INDEX('Fuel Model -  Input'!$B$3:$N$373,MATCH($B2434,'Fuel Model -  Input'!$B$3:$B$373,0),MATCH(M$2,'Fuel Model -  Input'!$B$3:$N$3,0))</f>
        <v>350</v>
      </c>
    </row>
    <row r="2435" spans="2:13" hidden="1" outlineLevel="2" x14ac:dyDescent="0.2">
      <c r="F2435" s="128"/>
      <c r="G2435" s="521"/>
      <c r="H2435" s="521"/>
      <c r="I2435" s="521"/>
      <c r="J2435" s="521"/>
      <c r="K2435" s="521"/>
      <c r="L2435" s="521"/>
      <c r="M2435" s="521"/>
    </row>
    <row r="2436" spans="2:13" hidden="1" outlineLevel="2" x14ac:dyDescent="0.2">
      <c r="B2436" t="str">
        <f>+C2436&amp;D2436&amp;E2436&amp;F2436</f>
        <v>GlobalCO2 StorageCO2 Storage Capture Blue HydrogenUSD/ton NH3</v>
      </c>
      <c r="C2436" t="s">
        <v>109</v>
      </c>
      <c r="D2436" t="s">
        <v>1206</v>
      </c>
      <c r="E2436" s="48" t="s">
        <v>1207</v>
      </c>
      <c r="F2436" s="128" t="s">
        <v>960</v>
      </c>
      <c r="G2436" s="8">
        <f>G2439*G2442+G2437*G2441</f>
        <v>131.21600000000001</v>
      </c>
      <c r="H2436" s="8">
        <f t="shared" ref="H2436" si="1330">H2439*H2442+H2437*H2441</f>
        <v>132.16000000000003</v>
      </c>
      <c r="I2436" s="8">
        <f t="shared" ref="I2436" si="1331">I2439*I2442+I2437*I2441</f>
        <v>133.10400000000001</v>
      </c>
      <c r="J2436" s="8">
        <f t="shared" ref="J2436" si="1332">J2439*J2442+J2437*J2441</f>
        <v>134.048</v>
      </c>
      <c r="K2436" s="8">
        <f t="shared" ref="K2436" si="1333">K2439*K2442+K2437*K2441</f>
        <v>134.99200000000002</v>
      </c>
      <c r="L2436" s="8">
        <f t="shared" ref="L2436" si="1334">L2439*L2442+L2437*L2441</f>
        <v>135.93600000000001</v>
      </c>
      <c r="M2436" s="8">
        <f t="shared" ref="M2436" si="1335">M2439*M2442+M2437*M2441</f>
        <v>136.88</v>
      </c>
    </row>
    <row r="2437" spans="2:13" hidden="1" outlineLevel="2" x14ac:dyDescent="0.2">
      <c r="B2437" t="str">
        <f t="shared" ref="B2437:B2439" si="1336">+C2437&amp;D2437&amp;E2437&amp;F2437</f>
        <v>GlobalShareCO2 captured per ton NH3Ton CO2/ton NH3</v>
      </c>
      <c r="C2437" t="s">
        <v>109</v>
      </c>
      <c r="D2437" t="s">
        <v>1714</v>
      </c>
      <c r="E2437" s="48" t="s">
        <v>1710</v>
      </c>
      <c r="F2437" s="128" t="s">
        <v>1713</v>
      </c>
      <c r="G2437" s="763">
        <f>G2439*G2438</f>
        <v>1.68032</v>
      </c>
      <c r="H2437" s="763">
        <f t="shared" ref="H2437:M2437" si="1337">H2439*H2438</f>
        <v>1.6992</v>
      </c>
      <c r="I2437" s="763">
        <f t="shared" si="1337"/>
        <v>1.7180800000000003</v>
      </c>
      <c r="J2437" s="763">
        <f t="shared" si="1337"/>
        <v>1.7369600000000003</v>
      </c>
      <c r="K2437" s="763">
        <f t="shared" si="1337"/>
        <v>1.7558400000000001</v>
      </c>
      <c r="L2437" s="763">
        <f t="shared" si="1337"/>
        <v>1.7747200000000001</v>
      </c>
      <c r="M2437" s="763">
        <f t="shared" si="1337"/>
        <v>1.7936000000000001</v>
      </c>
    </row>
    <row r="2438" spans="2:13" hidden="1" outlineLevel="2" x14ac:dyDescent="0.2">
      <c r="B2438" t="str">
        <f t="shared" si="1336"/>
        <v>GlobalCCSCarboncaptureeff%</v>
      </c>
      <c r="C2438" t="s">
        <v>109</v>
      </c>
      <c r="D2438" s="15" t="s">
        <v>1711</v>
      </c>
      <c r="E2438" s="15" t="s">
        <v>1212</v>
      </c>
      <c r="F2438" s="15" t="s">
        <v>178</v>
      </c>
      <c r="G2438" s="531">
        <f>INDEX('Fuel Model -  Input'!$B$3:$N$373,MATCH($B2438,'Fuel Model -  Input'!$B$3:$B$373,0),MATCH(G$2,'Fuel Model -  Input'!$B$3:$N$3,0))</f>
        <v>0.89</v>
      </c>
      <c r="H2438" s="531">
        <f>INDEX('Fuel Model -  Input'!$B$3:$N$373,MATCH($B2438,'Fuel Model -  Input'!$B$3:$B$373,0),MATCH(H$2,'Fuel Model -  Input'!$B$3:$N$3,0))</f>
        <v>0.9</v>
      </c>
      <c r="I2438" s="531">
        <f>INDEX('Fuel Model -  Input'!$B$3:$N$373,MATCH($B2438,'Fuel Model -  Input'!$B$3:$B$373,0),MATCH(I$2,'Fuel Model -  Input'!$B$3:$N$3,0))</f>
        <v>0.91</v>
      </c>
      <c r="J2438" s="531">
        <f>INDEX('Fuel Model -  Input'!$B$3:$N$373,MATCH($B2438,'Fuel Model -  Input'!$B$3:$B$373,0),MATCH(J$2,'Fuel Model -  Input'!$B$3:$N$3,0))</f>
        <v>0.92</v>
      </c>
      <c r="K2438" s="531">
        <f>INDEX('Fuel Model -  Input'!$B$3:$N$373,MATCH($B2438,'Fuel Model -  Input'!$B$3:$B$373,0),MATCH(K$2,'Fuel Model -  Input'!$B$3:$N$3,0))</f>
        <v>0.92999999999999994</v>
      </c>
      <c r="L2438" s="531">
        <f>INDEX('Fuel Model -  Input'!$B$3:$N$373,MATCH($B2438,'Fuel Model -  Input'!$B$3:$B$373,0),MATCH(L$2,'Fuel Model -  Input'!$B$3:$N$3,0))</f>
        <v>0.94</v>
      </c>
      <c r="M2438" s="531">
        <f>INDEX('Fuel Model -  Input'!$B$3:$N$373,MATCH($B2438,'Fuel Model -  Input'!$B$3:$B$373,0),MATCH(M$2,'Fuel Model -  Input'!$B$3:$N$3,0))</f>
        <v>0.95</v>
      </c>
    </row>
    <row r="2439" spans="2:13" hidden="1" outlineLevel="2" x14ac:dyDescent="0.2">
      <c r="B2439" t="str">
        <f t="shared" si="1336"/>
        <v>GlobalShareCO2 produced per ton NH3Ton CO2/ton NH3</v>
      </c>
      <c r="C2439" t="s">
        <v>109</v>
      </c>
      <c r="D2439" t="s">
        <v>1714</v>
      </c>
      <c r="E2439" s="48" t="s">
        <v>1712</v>
      </c>
      <c r="F2439" s="128" t="s">
        <v>1713</v>
      </c>
      <c r="G2439" s="2">
        <f t="shared" ref="G2439" si="1338">G2433*G2440</f>
        <v>1.8880000000000001</v>
      </c>
      <c r="H2439" s="2">
        <f t="shared" ref="H2439" si="1339">H2433*H2440</f>
        <v>1.8880000000000001</v>
      </c>
      <c r="I2439" s="2">
        <f t="shared" ref="I2439" si="1340">I2433*I2440</f>
        <v>1.8880000000000001</v>
      </c>
      <c r="J2439" s="2">
        <f t="shared" ref="J2439" si="1341">J2433*J2440</f>
        <v>1.8880000000000001</v>
      </c>
      <c r="K2439" s="2">
        <f t="shared" ref="K2439" si="1342">K2433*K2440</f>
        <v>1.8880000000000001</v>
      </c>
      <c r="L2439" s="2">
        <f t="shared" ref="L2439" si="1343">L2433*L2440</f>
        <v>1.8880000000000001</v>
      </c>
      <c r="M2439" s="2">
        <f t="shared" ref="M2439" si="1344">M2433*M2440</f>
        <v>1.8880000000000001</v>
      </c>
    </row>
    <row r="2440" spans="2:13" hidden="1" outlineLevel="2" x14ac:dyDescent="0.2">
      <c r="B2440" t="str">
        <f>+C2440&amp;D2440&amp;E2440&amp;F2440</f>
        <v>GlobalCO2 CaptureConversion CO2 : NG (actual)kg CO2/kg NG</v>
      </c>
      <c r="C2440" t="s">
        <v>109</v>
      </c>
      <c r="D2440" t="s">
        <v>1178</v>
      </c>
      <c r="E2440" t="s">
        <v>1707</v>
      </c>
      <c r="F2440" s="224" t="s">
        <v>1708</v>
      </c>
      <c r="G2440" s="521">
        <f>INDEX('Fuel Model -  Input'!$B$3:$N$373,MATCH($B2440,'Fuel Model -  Input'!$B$3:$B$373,0),MATCH(G$2,'Fuel Model -  Input'!$B$3:$N$3,0))</f>
        <v>2.95</v>
      </c>
      <c r="H2440" s="521">
        <f>INDEX('Fuel Model -  Input'!$B$3:$N$373,MATCH($B2440,'Fuel Model -  Input'!$B$3:$B$373,0),MATCH(H$2,'Fuel Model -  Input'!$B$3:$N$3,0))</f>
        <v>2.95</v>
      </c>
      <c r="I2440" s="521">
        <f>INDEX('Fuel Model -  Input'!$B$3:$N$373,MATCH($B2440,'Fuel Model -  Input'!$B$3:$B$373,0),MATCH(I$2,'Fuel Model -  Input'!$B$3:$N$3,0))</f>
        <v>2.95</v>
      </c>
      <c r="J2440" s="521">
        <f>INDEX('Fuel Model -  Input'!$B$3:$N$373,MATCH($B2440,'Fuel Model -  Input'!$B$3:$B$373,0),MATCH(J$2,'Fuel Model -  Input'!$B$3:$N$3,0))</f>
        <v>2.95</v>
      </c>
      <c r="K2440" s="521">
        <f>INDEX('Fuel Model -  Input'!$B$3:$N$373,MATCH($B2440,'Fuel Model -  Input'!$B$3:$B$373,0),MATCH(K$2,'Fuel Model -  Input'!$B$3:$N$3,0))</f>
        <v>2.95</v>
      </c>
      <c r="L2440" s="521">
        <f>INDEX('Fuel Model -  Input'!$B$3:$N$373,MATCH($B2440,'Fuel Model -  Input'!$B$3:$B$373,0),MATCH(L$2,'Fuel Model -  Input'!$B$3:$N$3,0))</f>
        <v>2.95</v>
      </c>
      <c r="M2440" s="521">
        <f>INDEX('Fuel Model -  Input'!$B$3:$N$373,MATCH($B2440,'Fuel Model -  Input'!$B$3:$B$373,0),MATCH(M$2,'Fuel Model -  Input'!$B$3:$N$3,0))</f>
        <v>2.95</v>
      </c>
    </row>
    <row r="2441" spans="2:13" hidden="1" outlineLevel="2" x14ac:dyDescent="0.2">
      <c r="B2441" t="str">
        <f>+C2441&amp;D2441&amp;E2441&amp;F2441</f>
        <v>AsiaCO2 StorageCost of CO2 storageUSD/ton CO2</v>
      </c>
      <c r="C2441" t="str">
        <f>C2410</f>
        <v>Asia</v>
      </c>
      <c r="D2441" t="s">
        <v>1206</v>
      </c>
      <c r="E2441" t="s">
        <v>1208</v>
      </c>
      <c r="F2441" s="224" t="s">
        <v>382</v>
      </c>
      <c r="G2441" s="532">
        <f>INDEX('Fuel Model -  Input'!$B$3:$N$373,MATCH($B2441,'Fuel Model -  Input'!$B$3:$B$373,0),MATCH(G$2,'Fuel Model -  Input'!$B$3:$N$3,0))</f>
        <v>50</v>
      </c>
      <c r="H2441" s="532">
        <f>INDEX('Fuel Model -  Input'!$B$3:$N$373,MATCH($B2441,'Fuel Model -  Input'!$B$3:$B$373,0),MATCH(H$2,'Fuel Model -  Input'!$B$3:$N$3,0))</f>
        <v>50</v>
      </c>
      <c r="I2441" s="532">
        <f>INDEX('Fuel Model -  Input'!$B$3:$N$373,MATCH($B2441,'Fuel Model -  Input'!$B$3:$B$373,0),MATCH(I$2,'Fuel Model -  Input'!$B$3:$N$3,0))</f>
        <v>50</v>
      </c>
      <c r="J2441" s="532">
        <f>INDEX('Fuel Model -  Input'!$B$3:$N$373,MATCH($B2441,'Fuel Model -  Input'!$B$3:$B$373,0),MATCH(J$2,'Fuel Model -  Input'!$B$3:$N$3,0))</f>
        <v>50</v>
      </c>
      <c r="K2441" s="532">
        <f>INDEX('Fuel Model -  Input'!$B$3:$N$373,MATCH($B2441,'Fuel Model -  Input'!$B$3:$B$373,0),MATCH(K$2,'Fuel Model -  Input'!$B$3:$N$3,0))</f>
        <v>50</v>
      </c>
      <c r="L2441" s="532">
        <f>INDEX('Fuel Model -  Input'!$B$3:$N$373,MATCH($B2441,'Fuel Model -  Input'!$B$3:$B$373,0),MATCH(L$2,'Fuel Model -  Input'!$B$3:$N$3,0))</f>
        <v>50</v>
      </c>
      <c r="M2441" s="532">
        <f>INDEX('Fuel Model -  Input'!$B$3:$N$373,MATCH($B2441,'Fuel Model -  Input'!$B$3:$B$373,0),MATCH(M$2,'Fuel Model -  Input'!$B$3:$N$3,0))</f>
        <v>50</v>
      </c>
    </row>
    <row r="2442" spans="2:13" hidden="1" outlineLevel="2" x14ac:dyDescent="0.2">
      <c r="B2442" t="str">
        <f>+C2442&amp;D2442&amp;E2442&amp;F2442</f>
        <v>AsiaFeedstockCost of blue CO2 PSUSD/ton</v>
      </c>
      <c r="C2442" t="str">
        <f>C2410</f>
        <v>Asia</v>
      </c>
      <c r="D2442" t="s">
        <v>777</v>
      </c>
      <c r="E2442" t="s">
        <v>1209</v>
      </c>
      <c r="F2442" s="224" t="s">
        <v>205</v>
      </c>
      <c r="G2442" s="532">
        <f>INDEX('Fuel Model -  Input'!$B$3:$N$373,MATCH($B2442,'Fuel Model -  Input'!$B$3:$B$373,0),MATCH(G$2,'Fuel Model -  Input'!$B$3:$N$3,0))</f>
        <v>25</v>
      </c>
      <c r="H2442" s="532">
        <f>INDEX('Fuel Model -  Input'!$B$3:$N$373,MATCH($B2442,'Fuel Model -  Input'!$B$3:$B$373,0),MATCH(H$2,'Fuel Model -  Input'!$B$3:$N$3,0))</f>
        <v>25</v>
      </c>
      <c r="I2442" s="532">
        <f>INDEX('Fuel Model -  Input'!$B$3:$N$373,MATCH($B2442,'Fuel Model -  Input'!$B$3:$B$373,0),MATCH(I$2,'Fuel Model -  Input'!$B$3:$N$3,0))</f>
        <v>25</v>
      </c>
      <c r="J2442" s="532">
        <f>INDEX('Fuel Model -  Input'!$B$3:$N$373,MATCH($B2442,'Fuel Model -  Input'!$B$3:$B$373,0),MATCH(J$2,'Fuel Model -  Input'!$B$3:$N$3,0))</f>
        <v>25</v>
      </c>
      <c r="K2442" s="532">
        <f>INDEX('Fuel Model -  Input'!$B$3:$N$373,MATCH($B2442,'Fuel Model -  Input'!$B$3:$B$373,0),MATCH(K$2,'Fuel Model -  Input'!$B$3:$N$3,0))</f>
        <v>25</v>
      </c>
      <c r="L2442" s="532">
        <f>INDEX('Fuel Model -  Input'!$B$3:$N$373,MATCH($B2442,'Fuel Model -  Input'!$B$3:$B$373,0),MATCH(L$2,'Fuel Model -  Input'!$B$3:$N$3,0))</f>
        <v>25</v>
      </c>
      <c r="M2442" s="532">
        <f>INDEX('Fuel Model -  Input'!$B$3:$N$373,MATCH($B2442,'Fuel Model -  Input'!$B$3:$B$373,0),MATCH(M$2,'Fuel Model -  Input'!$B$3:$N$3,0))</f>
        <v>25</v>
      </c>
    </row>
    <row r="2443" spans="2:13" ht="12.75" hidden="1" outlineLevel="1" x14ac:dyDescent="0.2">
      <c r="F2443"/>
    </row>
    <row r="2444" spans="2:13" s="30" customFormat="1" ht="15" hidden="1" outlineLevel="1" collapsed="1" x14ac:dyDescent="0.25">
      <c r="B2444" s="30" t="s">
        <v>199</v>
      </c>
      <c r="C2444" s="30" t="str">
        <f>+B2444</f>
        <v>Americas</v>
      </c>
    </row>
    <row r="2445" spans="2:13" ht="15" hidden="1" outlineLevel="2" x14ac:dyDescent="0.25">
      <c r="B2445" t="str">
        <f>+C2445&amp;D2445&amp;E2445&amp;F2445</f>
        <v>AmericasResultsTotal cost of Blue AmmoniaUSD/ton</v>
      </c>
      <c r="C2445" s="494" t="str">
        <f>+$C$2444</f>
        <v>Americas</v>
      </c>
      <c r="D2445" s="30" t="s">
        <v>838</v>
      </c>
      <c r="E2445" s="405" t="s">
        <v>1216</v>
      </c>
      <c r="F2445" s="127" t="s">
        <v>205</v>
      </c>
      <c r="G2445" s="490">
        <f>SUM(G2446:G2449)</f>
        <v>577.12197709759801</v>
      </c>
      <c r="H2445" s="490">
        <f t="shared" ref="H2445:M2445" si="1345">SUM(H2446:H2449)</f>
        <v>471.84347049883092</v>
      </c>
      <c r="I2445" s="490">
        <f t="shared" si="1345"/>
        <v>436.53380911769557</v>
      </c>
      <c r="J2445" s="490">
        <f t="shared" si="1345"/>
        <v>447.67862451603872</v>
      </c>
      <c r="K2445" s="490">
        <f t="shared" si="1345"/>
        <v>439.71964443704184</v>
      </c>
      <c r="L2445" s="490">
        <f t="shared" si="1345"/>
        <v>432.00656627754404</v>
      </c>
      <c r="M2445" s="490">
        <f t="shared" si="1345"/>
        <v>424.33422908641603</v>
      </c>
    </row>
    <row r="2446" spans="2:13" ht="15" hidden="1" outlineLevel="2" x14ac:dyDescent="0.25">
      <c r="B2446" t="str">
        <f>+C2446&amp;D2446&amp;E2446&amp;F2446</f>
        <v>AmericasResultsTotal Capex Blue AmmoniaUSD/ton</v>
      </c>
      <c r="C2446" s="494" t="str">
        <f>+$C$2444</f>
        <v>Americas</v>
      </c>
      <c r="D2446" s="30" t="s">
        <v>838</v>
      </c>
      <c r="E2446" s="228" t="s">
        <v>1217</v>
      </c>
      <c r="F2446" s="127" t="s">
        <v>205</v>
      </c>
      <c r="G2446" s="490">
        <f>G2451</f>
        <v>111.30000000000003</v>
      </c>
      <c r="H2446" s="490">
        <f t="shared" ref="H2446:M2446" si="1346">H2451</f>
        <v>106.00000000000003</v>
      </c>
      <c r="I2446" s="490">
        <f t="shared" si="1346"/>
        <v>100.70000000000002</v>
      </c>
      <c r="J2446" s="490">
        <f t="shared" si="1346"/>
        <v>95.40000000000002</v>
      </c>
      <c r="K2446" s="490">
        <f t="shared" si="1346"/>
        <v>90.100000000000023</v>
      </c>
      <c r="L2446" s="490">
        <f t="shared" si="1346"/>
        <v>84.800000000000026</v>
      </c>
      <c r="M2446" s="490">
        <f t="shared" si="1346"/>
        <v>79.500000000000014</v>
      </c>
    </row>
    <row r="2447" spans="2:13" ht="15" hidden="1" outlineLevel="2" x14ac:dyDescent="0.25">
      <c r="B2447" t="str">
        <f>+C2447&amp;D2447&amp;E2447&amp;F2447</f>
        <v>AmericasResultsTotal Opex Blue AmmoniaUSD/ton</v>
      </c>
      <c r="C2447" s="494" t="str">
        <f>+$C$2444</f>
        <v>Americas</v>
      </c>
      <c r="D2447" s="30" t="s">
        <v>838</v>
      </c>
      <c r="E2447" s="228" t="s">
        <v>1218</v>
      </c>
      <c r="F2447" s="127" t="s">
        <v>205</v>
      </c>
      <c r="G2447" s="490">
        <f>G2455</f>
        <v>50.4</v>
      </c>
      <c r="H2447" s="490">
        <f t="shared" ref="H2447:M2447" si="1347">H2455</f>
        <v>48</v>
      </c>
      <c r="I2447" s="490">
        <f t="shared" si="1347"/>
        <v>45.6</v>
      </c>
      <c r="J2447" s="490">
        <f t="shared" si="1347"/>
        <v>43.2</v>
      </c>
      <c r="K2447" s="490">
        <f t="shared" si="1347"/>
        <v>40.800000000000004</v>
      </c>
      <c r="L2447" s="490">
        <f t="shared" si="1347"/>
        <v>38.4</v>
      </c>
      <c r="M2447" s="490">
        <f t="shared" si="1347"/>
        <v>36</v>
      </c>
    </row>
    <row r="2448" spans="2:13" ht="15" hidden="1" outlineLevel="2" x14ac:dyDescent="0.25">
      <c r="B2448" t="str">
        <f>+C2448&amp;D2448&amp;E2448&amp;F2448</f>
        <v>AmericasResultsTotal Raw Material Blue AmmoniaUSD/ton</v>
      </c>
      <c r="C2448" s="494" t="str">
        <f>+$C$2444</f>
        <v>Americas</v>
      </c>
      <c r="D2448" s="30" t="s">
        <v>838</v>
      </c>
      <c r="E2448" s="228" t="s">
        <v>1219</v>
      </c>
      <c r="F2448" s="127" t="s">
        <v>205</v>
      </c>
      <c r="G2448" s="490">
        <f>G2466+G2462</f>
        <v>284.20597709759801</v>
      </c>
      <c r="H2448" s="490">
        <f t="shared" ref="H2448:M2448" si="1348">H2466+H2462</f>
        <v>185.68347049883087</v>
      </c>
      <c r="I2448" s="490">
        <f t="shared" si="1348"/>
        <v>157.12980911769554</v>
      </c>
      <c r="J2448" s="490">
        <f t="shared" si="1348"/>
        <v>175.0306245160387</v>
      </c>
      <c r="K2448" s="490">
        <f t="shared" si="1348"/>
        <v>173.82764443704176</v>
      </c>
      <c r="L2448" s="490">
        <f t="shared" si="1348"/>
        <v>172.87056627754401</v>
      </c>
      <c r="M2448" s="490">
        <f t="shared" si="1348"/>
        <v>171.95422908641601</v>
      </c>
    </row>
    <row r="2449" spans="2:13" ht="15" hidden="1" outlineLevel="2" x14ac:dyDescent="0.25">
      <c r="B2449" t="str">
        <f>+C2449&amp;D2449&amp;E2449&amp;F2449</f>
        <v>AmericasResultsTotal CO2 Blue AmmoniaUSD/ton</v>
      </c>
      <c r="C2449" s="494" t="str">
        <f>+$C$2444</f>
        <v>Americas</v>
      </c>
      <c r="D2449" s="30" t="s">
        <v>838</v>
      </c>
      <c r="E2449" s="228" t="s">
        <v>1220</v>
      </c>
      <c r="F2449" s="127" t="s">
        <v>205</v>
      </c>
      <c r="G2449" s="490">
        <f>G2470</f>
        <v>131.21600000000001</v>
      </c>
      <c r="H2449" s="490">
        <f t="shared" ref="H2449:M2449" si="1349">H2470</f>
        <v>132.16000000000003</v>
      </c>
      <c r="I2449" s="490">
        <f t="shared" si="1349"/>
        <v>133.10400000000001</v>
      </c>
      <c r="J2449" s="490">
        <f t="shared" si="1349"/>
        <v>134.048</v>
      </c>
      <c r="K2449" s="490">
        <f t="shared" si="1349"/>
        <v>134.99200000000002</v>
      </c>
      <c r="L2449" s="490">
        <f t="shared" si="1349"/>
        <v>135.93600000000001</v>
      </c>
      <c r="M2449" s="490">
        <f t="shared" si="1349"/>
        <v>136.88</v>
      </c>
    </row>
    <row r="2450" spans="2:13" hidden="1" outlineLevel="2" x14ac:dyDescent="0.2">
      <c r="E2450" s="48"/>
      <c r="F2450" s="128"/>
      <c r="G2450" s="8"/>
      <c r="H2450" s="8"/>
      <c r="I2450" s="8"/>
      <c r="J2450" s="8"/>
      <c r="K2450" s="8"/>
      <c r="L2450" s="8"/>
      <c r="M2450" s="8"/>
    </row>
    <row r="2451" spans="2:13" hidden="1" outlineLevel="2" x14ac:dyDescent="0.2">
      <c r="B2451" t="str">
        <f>+C2451&amp;D2451&amp;E2451&amp;F2451</f>
        <v>GlobalCapexCapex per yearUSD m/year</v>
      </c>
      <c r="C2451" t="s">
        <v>109</v>
      </c>
      <c r="D2451" t="s">
        <v>218</v>
      </c>
      <c r="E2451" t="s">
        <v>956</v>
      </c>
      <c r="F2451" s="128" t="s">
        <v>957</v>
      </c>
      <c r="G2451" s="523">
        <f t="shared" ref="G2451:M2451" si="1350">G2453/G2452</f>
        <v>111.30000000000003</v>
      </c>
      <c r="H2451" s="523">
        <f t="shared" si="1350"/>
        <v>106.00000000000003</v>
      </c>
      <c r="I2451" s="523">
        <f t="shared" si="1350"/>
        <v>100.70000000000002</v>
      </c>
      <c r="J2451" s="523">
        <f t="shared" si="1350"/>
        <v>95.40000000000002</v>
      </c>
      <c r="K2451" s="523">
        <f t="shared" si="1350"/>
        <v>90.100000000000023</v>
      </c>
      <c r="L2451" s="523">
        <f t="shared" si="1350"/>
        <v>84.800000000000026</v>
      </c>
      <c r="M2451" s="523">
        <f t="shared" si="1350"/>
        <v>79.500000000000014</v>
      </c>
    </row>
    <row r="2452" spans="2:13" hidden="1" outlineLevel="2" x14ac:dyDescent="0.2">
      <c r="B2452" t="str">
        <f>+C2452&amp;D2452&amp;E2452&amp;F2452</f>
        <v>GlobalPlant capexAnnualisation factor#</v>
      </c>
      <c r="C2452" t="s">
        <v>109</v>
      </c>
      <c r="D2452" t="s">
        <v>786</v>
      </c>
      <c r="E2452" t="s">
        <v>764</v>
      </c>
      <c r="F2452" s="450" t="s">
        <v>787</v>
      </c>
      <c r="G2452" s="532">
        <f>INDEX('Fuel Model -  Input'!$B$3:$N$373,MATCH($B2452,'Fuel Model -  Input'!$B$3:$B$373,0),MATCH(G$2,'Fuel Model -  Input'!$B$3:$N$3,0))</f>
        <v>11.32075471698113</v>
      </c>
      <c r="H2452" s="532">
        <f>INDEX('Fuel Model -  Input'!$B$3:$N$373,MATCH($B2452,'Fuel Model -  Input'!$B$3:$B$373,0),MATCH(H$2,'Fuel Model -  Input'!$B$3:$N$3,0))</f>
        <v>11.32075471698113</v>
      </c>
      <c r="I2452" s="532">
        <f>INDEX('Fuel Model -  Input'!$B$3:$N$373,MATCH($B2452,'Fuel Model -  Input'!$B$3:$B$373,0),MATCH(I$2,'Fuel Model -  Input'!$B$3:$N$3,0))</f>
        <v>11.32075471698113</v>
      </c>
      <c r="J2452" s="532">
        <f>INDEX('Fuel Model -  Input'!$B$3:$N$373,MATCH($B2452,'Fuel Model -  Input'!$B$3:$B$373,0),MATCH(J$2,'Fuel Model -  Input'!$B$3:$N$3,0))</f>
        <v>11.32075471698113</v>
      </c>
      <c r="K2452" s="532">
        <f>INDEX('Fuel Model -  Input'!$B$3:$N$373,MATCH($B2452,'Fuel Model -  Input'!$B$3:$B$373,0),MATCH(K$2,'Fuel Model -  Input'!$B$3:$N$3,0))</f>
        <v>11.32075471698113</v>
      </c>
      <c r="L2452" s="532">
        <f>INDEX('Fuel Model -  Input'!$B$3:$N$373,MATCH($B2452,'Fuel Model -  Input'!$B$3:$B$373,0),MATCH(L$2,'Fuel Model -  Input'!$B$3:$N$3,0))</f>
        <v>11.32075471698113</v>
      </c>
      <c r="M2452" s="532">
        <f>INDEX('Fuel Model -  Input'!$B$3:$N$373,MATCH($B2452,'Fuel Model -  Input'!$B$3:$B$373,0),MATCH(M$2,'Fuel Model -  Input'!$B$3:$N$3,0))</f>
        <v>11.32075471698113</v>
      </c>
    </row>
    <row r="2453" spans="2:13" hidden="1" outlineLevel="2" x14ac:dyDescent="0.2">
      <c r="B2453" t="str">
        <f>+C2453&amp;D2453&amp;E2453&amp;F2453</f>
        <v>GlobalCapexBlue ammonia plant unit cost (ATR incl CCS)USD/ton NH3</v>
      </c>
      <c r="C2453" t="s">
        <v>109</v>
      </c>
      <c r="D2453" s="157" t="s">
        <v>218</v>
      </c>
      <c r="E2453" s="15" t="s">
        <v>1704</v>
      </c>
      <c r="F2453" s="224" t="s">
        <v>960</v>
      </c>
      <c r="G2453" s="532">
        <f>INDEX('Fuel Model -  Input'!$B$3:$N$373,MATCH($B2453,'Fuel Model -  Input'!$B$3:$B$373,0),MATCH(G$2,'Fuel Model -  Input'!$B$3:$N$3,0))</f>
        <v>1260</v>
      </c>
      <c r="H2453" s="532">
        <f>INDEX('Fuel Model -  Input'!$B$3:$N$373,MATCH($B2453,'Fuel Model -  Input'!$B$3:$B$373,0),MATCH(H$2,'Fuel Model -  Input'!$B$3:$N$3,0))</f>
        <v>1200</v>
      </c>
      <c r="I2453" s="532">
        <f>INDEX('Fuel Model -  Input'!$B$3:$N$373,MATCH($B2453,'Fuel Model -  Input'!$B$3:$B$373,0),MATCH(I$2,'Fuel Model -  Input'!$B$3:$N$3,0))</f>
        <v>1140</v>
      </c>
      <c r="J2453" s="532">
        <f>INDEX('Fuel Model -  Input'!$B$3:$N$373,MATCH($B2453,'Fuel Model -  Input'!$B$3:$B$373,0),MATCH(J$2,'Fuel Model -  Input'!$B$3:$N$3,0))</f>
        <v>1080</v>
      </c>
      <c r="K2453" s="532">
        <f>INDEX('Fuel Model -  Input'!$B$3:$N$373,MATCH($B2453,'Fuel Model -  Input'!$B$3:$B$373,0),MATCH(K$2,'Fuel Model -  Input'!$B$3:$N$3,0))</f>
        <v>1020</v>
      </c>
      <c r="L2453" s="532">
        <f>INDEX('Fuel Model -  Input'!$B$3:$N$373,MATCH($B2453,'Fuel Model -  Input'!$B$3:$B$373,0),MATCH(L$2,'Fuel Model -  Input'!$B$3:$N$3,0))</f>
        <v>960</v>
      </c>
      <c r="M2453" s="532">
        <f>INDEX('Fuel Model -  Input'!$B$3:$N$373,MATCH($B2453,'Fuel Model -  Input'!$B$3:$B$373,0),MATCH(M$2,'Fuel Model -  Input'!$B$3:$N$3,0))</f>
        <v>900</v>
      </c>
    </row>
    <row r="2454" spans="2:13" hidden="1" outlineLevel="2" x14ac:dyDescent="0.2">
      <c r="E2454" s="48"/>
      <c r="F2454" s="128"/>
      <c r="G2454" s="8"/>
      <c r="H2454" s="8"/>
      <c r="I2454" s="8"/>
      <c r="J2454" s="8"/>
      <c r="K2454" s="8"/>
      <c r="L2454" s="8"/>
      <c r="M2454" s="8"/>
    </row>
    <row r="2455" spans="2:13" hidden="1" outlineLevel="2" x14ac:dyDescent="0.2">
      <c r="B2455" t="str">
        <f>+C2455&amp;D2455&amp;E2455&amp;F2455</f>
        <v>GlobalOpexOpexUSD/ton NH3</v>
      </c>
      <c r="C2455" t="s">
        <v>109</v>
      </c>
      <c r="D2455" t="s">
        <v>219</v>
      </c>
      <c r="E2455" s="48" t="s">
        <v>219</v>
      </c>
      <c r="F2455" s="128" t="s">
        <v>960</v>
      </c>
      <c r="G2455" s="8">
        <f t="shared" ref="G2455:M2455" si="1351">G2453*G2456</f>
        <v>50.4</v>
      </c>
      <c r="H2455" s="8">
        <f t="shared" si="1351"/>
        <v>48</v>
      </c>
      <c r="I2455" s="8">
        <f t="shared" si="1351"/>
        <v>45.6</v>
      </c>
      <c r="J2455" s="8">
        <f t="shared" si="1351"/>
        <v>43.2</v>
      </c>
      <c r="K2455" s="8">
        <f t="shared" si="1351"/>
        <v>40.800000000000004</v>
      </c>
      <c r="L2455" s="8">
        <f t="shared" si="1351"/>
        <v>38.4</v>
      </c>
      <c r="M2455" s="8">
        <f t="shared" si="1351"/>
        <v>36</v>
      </c>
    </row>
    <row r="2456" spans="2:13" hidden="1" outlineLevel="2" x14ac:dyDescent="0.2">
      <c r="B2456" t="str">
        <f>+C2456&amp;D2456&amp;E2456&amp;F2456</f>
        <v>GlobalOpexPlant - ATR - opexPercent of Capex</v>
      </c>
      <c r="C2456" t="s">
        <v>109</v>
      </c>
      <c r="D2456" t="s">
        <v>219</v>
      </c>
      <c r="E2456" s="48" t="s">
        <v>1706</v>
      </c>
      <c r="F2456" s="224" t="s">
        <v>883</v>
      </c>
      <c r="G2456" s="531">
        <f>INDEX('Fuel Model -  Input'!$B$3:$N$373,MATCH($B2456,'Fuel Model -  Input'!$B$3:$B$373,0),MATCH(G$2,'Fuel Model -  Input'!$B$3:$N$3,0))</f>
        <v>0.04</v>
      </c>
      <c r="H2456" s="531">
        <f>INDEX('Fuel Model -  Input'!$B$3:$N$373,MATCH($B2456,'Fuel Model -  Input'!$B$3:$B$373,0),MATCH(H$2,'Fuel Model -  Input'!$B$3:$N$3,0))</f>
        <v>0.04</v>
      </c>
      <c r="I2456" s="531">
        <f>INDEX('Fuel Model -  Input'!$B$3:$N$373,MATCH($B2456,'Fuel Model -  Input'!$B$3:$B$373,0),MATCH(I$2,'Fuel Model -  Input'!$B$3:$N$3,0))</f>
        <v>0.04</v>
      </c>
      <c r="J2456" s="531">
        <f>INDEX('Fuel Model -  Input'!$B$3:$N$373,MATCH($B2456,'Fuel Model -  Input'!$B$3:$B$373,0),MATCH(J$2,'Fuel Model -  Input'!$B$3:$N$3,0))</f>
        <v>0.04</v>
      </c>
      <c r="K2456" s="531">
        <f>INDEX('Fuel Model -  Input'!$B$3:$N$373,MATCH($B2456,'Fuel Model -  Input'!$B$3:$B$373,0),MATCH(K$2,'Fuel Model -  Input'!$B$3:$N$3,0))</f>
        <v>0.04</v>
      </c>
      <c r="L2456" s="531">
        <f>INDEX('Fuel Model -  Input'!$B$3:$N$373,MATCH($B2456,'Fuel Model -  Input'!$B$3:$B$373,0),MATCH(L$2,'Fuel Model -  Input'!$B$3:$N$3,0))</f>
        <v>0.04</v>
      </c>
      <c r="M2456" s="531">
        <f>INDEX('Fuel Model -  Input'!$B$3:$N$373,MATCH($B2456,'Fuel Model -  Input'!$B$3:$B$373,0),MATCH(M$2,'Fuel Model -  Input'!$B$3:$N$3,0))</f>
        <v>0.04</v>
      </c>
    </row>
    <row r="2457" spans="2:13" hidden="1" outlineLevel="2" x14ac:dyDescent="0.2">
      <c r="E2457" s="48"/>
      <c r="F2457" s="128"/>
      <c r="G2457" s="8"/>
      <c r="H2457" s="8"/>
      <c r="I2457" s="8"/>
      <c r="J2457" s="8"/>
      <c r="K2457" s="8"/>
      <c r="L2457" s="8"/>
      <c r="M2457" s="8"/>
    </row>
    <row r="2458" spans="2:13" hidden="1" outlineLevel="2" x14ac:dyDescent="0.2">
      <c r="B2458" t="str">
        <f>+C2458&amp;D2458&amp;E2458&amp;F2458</f>
        <v>AmericasSynthesisElectricity costUSD/ton NH3</v>
      </c>
      <c r="C2458" t="str">
        <f>C2444</f>
        <v>Americas</v>
      </c>
      <c r="D2458" t="s">
        <v>962</v>
      </c>
      <c r="E2458" s="48" t="s">
        <v>94</v>
      </c>
      <c r="F2458" s="128" t="s">
        <v>960</v>
      </c>
      <c r="G2458" s="260">
        <f t="shared" ref="G2458:M2458" si="1352">G2459*G2460</f>
        <v>11.689921710945281</v>
      </c>
      <c r="H2458" s="260">
        <f t="shared" si="1352"/>
        <v>10.901988166895141</v>
      </c>
      <c r="I2458" s="260">
        <f t="shared" si="1352"/>
        <v>9.1988498641275402</v>
      </c>
      <c r="J2458" s="260">
        <f t="shared" si="1352"/>
        <v>8.4665866197856943</v>
      </c>
      <c r="K2458" s="260">
        <f t="shared" si="1352"/>
        <v>7.8714848454635034</v>
      </c>
      <c r="L2458" s="260">
        <f t="shared" si="1352"/>
        <v>7.7497989485426064</v>
      </c>
      <c r="M2458" s="260">
        <f t="shared" si="1352"/>
        <v>7.6971439848525769</v>
      </c>
    </row>
    <row r="2459" spans="2:13" hidden="1" outlineLevel="2" x14ac:dyDescent="0.2">
      <c r="B2459" t="str">
        <f>+C2459&amp;D2459&amp;E2459&amp;F2459</f>
        <v>AmericasFeedstockElectricityUSD/MWh</v>
      </c>
      <c r="C2459" t="str">
        <f>C2444</f>
        <v>Americas</v>
      </c>
      <c r="D2459" t="s">
        <v>777</v>
      </c>
      <c r="E2459" s="48" t="s">
        <v>54</v>
      </c>
      <c r="F2459" s="128" t="s">
        <v>196</v>
      </c>
      <c r="G2459" s="532">
        <f>INDEX('Fuel Model -  Input'!$B$3:$N$373,MATCH($B2459,'Fuel Model -  Input'!$B$3:$B$373,0),MATCH(G$2,'Fuel Model -  Input'!$B$3:$N$3,0))</f>
        <v>38.96640570315094</v>
      </c>
      <c r="H2459" s="532">
        <f>INDEX('Fuel Model -  Input'!$B$3:$N$373,MATCH($B2459,'Fuel Model -  Input'!$B$3:$B$373,0),MATCH(H$2,'Fuel Model -  Input'!$B$3:$N$3,0))</f>
        <v>35.167703764177872</v>
      </c>
      <c r="I2459" s="532">
        <f>INDEX('Fuel Model -  Input'!$B$3:$N$373,MATCH($B2459,'Fuel Model -  Input'!$B$3:$B$373,0),MATCH(I$2,'Fuel Model -  Input'!$B$3:$N$3,0))</f>
        <v>28.746405825398561</v>
      </c>
      <c r="J2459" s="532">
        <f>INDEX('Fuel Model -  Input'!$B$3:$N$373,MATCH($B2459,'Fuel Model -  Input'!$B$3:$B$373,0),MATCH(J$2,'Fuel Model -  Input'!$B$3:$N$3,0))</f>
        <v>25.656323090259679</v>
      </c>
      <c r="K2459" s="532">
        <f>INDEX('Fuel Model -  Input'!$B$3:$N$373,MATCH($B2459,'Fuel Model -  Input'!$B$3:$B$373,0),MATCH(K$2,'Fuel Model -  Input'!$B$3:$N$3,0))</f>
        <v>23.151426016069131</v>
      </c>
      <c r="L2459" s="532">
        <f>INDEX('Fuel Model -  Input'!$B$3:$N$373,MATCH($B2459,'Fuel Model -  Input'!$B$3:$B$373,0),MATCH(L$2,'Fuel Model -  Input'!$B$3:$N$3,0))</f>
        <v>22.142282710121734</v>
      </c>
      <c r="M2459" s="532">
        <f>INDEX('Fuel Model -  Input'!$B$3:$N$373,MATCH($B2459,'Fuel Model -  Input'!$B$3:$B$373,0),MATCH(M$2,'Fuel Model -  Input'!$B$3:$N$3,0))</f>
        <v>21.380955513479382</v>
      </c>
    </row>
    <row r="2460" spans="2:13" hidden="1" outlineLevel="2" x14ac:dyDescent="0.2">
      <c r="B2460" t="str">
        <f>+C2460&amp;D2460&amp;E2460&amp;F2460</f>
        <v>GlobalSynthesisElectricity demandmWh/ton blue NH3</v>
      </c>
      <c r="C2460" t="s">
        <v>109</v>
      </c>
      <c r="D2460" t="s">
        <v>962</v>
      </c>
      <c r="E2460" s="48" t="s">
        <v>963</v>
      </c>
      <c r="F2460" s="224" t="s">
        <v>1705</v>
      </c>
      <c r="G2460" s="521">
        <f>INDEX('Fuel Model -  Input'!$B$3:$N$373,MATCH($B2460,'Fuel Model -  Input'!$B$3:$B$373,0),MATCH(G$2,'Fuel Model -  Input'!$B$3:$N$3,0))</f>
        <v>0.3</v>
      </c>
      <c r="H2460" s="521">
        <f>INDEX('Fuel Model -  Input'!$B$3:$N$373,MATCH($B2460,'Fuel Model -  Input'!$B$3:$B$373,0),MATCH(H$2,'Fuel Model -  Input'!$B$3:$N$3,0))</f>
        <v>0.31</v>
      </c>
      <c r="I2460" s="521">
        <f>INDEX('Fuel Model -  Input'!$B$3:$N$373,MATCH($B2460,'Fuel Model -  Input'!$B$3:$B$373,0),MATCH(I$2,'Fuel Model -  Input'!$B$3:$N$3,0))</f>
        <v>0.32</v>
      </c>
      <c r="J2460" s="521">
        <f>INDEX('Fuel Model -  Input'!$B$3:$N$373,MATCH($B2460,'Fuel Model -  Input'!$B$3:$B$373,0),MATCH(J$2,'Fuel Model -  Input'!$B$3:$N$3,0))</f>
        <v>0.33</v>
      </c>
      <c r="K2460" s="521">
        <f>INDEX('Fuel Model -  Input'!$B$3:$N$373,MATCH($B2460,'Fuel Model -  Input'!$B$3:$B$373,0),MATCH(K$2,'Fuel Model -  Input'!$B$3:$N$3,0))</f>
        <v>0.33999999999999997</v>
      </c>
      <c r="L2460" s="521">
        <f>INDEX('Fuel Model -  Input'!$B$3:$N$373,MATCH($B2460,'Fuel Model -  Input'!$B$3:$B$373,0),MATCH(L$2,'Fuel Model -  Input'!$B$3:$N$3,0))</f>
        <v>0.35</v>
      </c>
      <c r="M2460" s="521">
        <f>INDEX('Fuel Model -  Input'!$B$3:$N$373,MATCH($B2460,'Fuel Model -  Input'!$B$3:$B$373,0),MATCH(M$2,'Fuel Model -  Input'!$B$3:$N$3,0))</f>
        <v>0.36</v>
      </c>
    </row>
    <row r="2461" spans="2:13" hidden="1" outlineLevel="2" x14ac:dyDescent="0.2">
      <c r="E2461" s="48"/>
      <c r="F2461" s="128"/>
      <c r="G2461" s="524"/>
      <c r="H2461" s="524"/>
      <c r="I2461" s="524"/>
      <c r="J2461" s="524"/>
      <c r="K2461" s="524"/>
      <c r="L2461" s="524"/>
      <c r="M2461" s="524"/>
    </row>
    <row r="2462" spans="2:13" hidden="1" outlineLevel="2" x14ac:dyDescent="0.2">
      <c r="B2462" t="str">
        <f>+C2462&amp;D2462&amp;E2462&amp;F2462</f>
        <v>AmericasFeedstockFeedstock N2USD/ton NH3</v>
      </c>
      <c r="C2462" t="str">
        <f>C2444</f>
        <v>Americas</v>
      </c>
      <c r="D2462" t="s">
        <v>777</v>
      </c>
      <c r="E2462" s="48" t="s">
        <v>965</v>
      </c>
      <c r="F2462" s="128" t="s">
        <v>960</v>
      </c>
      <c r="G2462" s="8">
        <f>G2463*G2464</f>
        <v>60.205977097598023</v>
      </c>
      <c r="H2462" s="8">
        <f t="shared" ref="H2462" si="1353">H2463*H2464</f>
        <v>38.483470498830847</v>
      </c>
      <c r="I2462" s="8">
        <f t="shared" ref="I2462" si="1354">I2463*I2464</f>
        <v>16.329809117695525</v>
      </c>
      <c r="J2462" s="8">
        <f t="shared" ref="J2462" si="1355">J2463*J2464</f>
        <v>15.030624516038692</v>
      </c>
      <c r="K2462" s="8">
        <f t="shared" ref="K2462" si="1356">K2463*K2464</f>
        <v>13.827644437041767</v>
      </c>
      <c r="L2462" s="8">
        <f t="shared" ref="L2462" si="1357">L2463*L2464</f>
        <v>12.870566277544013</v>
      </c>
      <c r="M2462" s="8">
        <f t="shared" ref="M2462" si="1358">M2463*M2464</f>
        <v>11.954229086416012</v>
      </c>
    </row>
    <row r="2463" spans="2:13" hidden="1" outlineLevel="2" x14ac:dyDescent="0.2">
      <c r="B2463" t="str">
        <f>+C2463&amp;D2463&amp;E2463&amp;F2463</f>
        <v>GlobalFeedstockConversion N2 : NH3kg N2/kg NH3</v>
      </c>
      <c r="C2463" t="s">
        <v>109</v>
      </c>
      <c r="D2463" t="s">
        <v>777</v>
      </c>
      <c r="E2463" t="s">
        <v>1702</v>
      </c>
      <c r="F2463" s="224" t="s">
        <v>967</v>
      </c>
      <c r="G2463" s="521">
        <f>INDEX('Fuel Model -  Input'!$B$3:$N$373,MATCH($B2463,'Fuel Model -  Input'!$B$3:$B$373,0),MATCH(G$2,'Fuel Model -  Input'!$B$3:$N$3,0))</f>
        <v>0.82199999999999995</v>
      </c>
      <c r="H2463" s="521">
        <f>INDEX('Fuel Model -  Input'!$B$3:$N$373,MATCH($B2463,'Fuel Model -  Input'!$B$3:$B$373,0),MATCH(H$2,'Fuel Model -  Input'!$B$3:$N$3,0))</f>
        <v>0.82199999999999995</v>
      </c>
      <c r="I2463" s="521">
        <f>INDEX('Fuel Model -  Input'!$B$3:$N$373,MATCH($B2463,'Fuel Model -  Input'!$B$3:$B$373,0),MATCH(I$2,'Fuel Model -  Input'!$B$3:$N$3,0))</f>
        <v>0.82199999999999995</v>
      </c>
      <c r="J2463" s="521">
        <f>INDEX('Fuel Model -  Input'!$B$3:$N$373,MATCH($B2463,'Fuel Model -  Input'!$B$3:$B$373,0),MATCH(J$2,'Fuel Model -  Input'!$B$3:$N$3,0))</f>
        <v>0.82199999999999995</v>
      </c>
      <c r="K2463" s="521">
        <f>INDEX('Fuel Model -  Input'!$B$3:$N$373,MATCH($B2463,'Fuel Model -  Input'!$B$3:$B$373,0),MATCH(K$2,'Fuel Model -  Input'!$B$3:$N$3,0))</f>
        <v>0.82199999999999995</v>
      </c>
      <c r="L2463" s="521">
        <f>INDEX('Fuel Model -  Input'!$B$3:$N$373,MATCH($B2463,'Fuel Model -  Input'!$B$3:$B$373,0),MATCH(L$2,'Fuel Model -  Input'!$B$3:$N$3,0))</f>
        <v>0.82199999999999995</v>
      </c>
      <c r="M2463" s="521">
        <f>INDEX('Fuel Model -  Input'!$B$3:$N$373,MATCH($B2463,'Fuel Model -  Input'!$B$3:$B$373,0),MATCH(M$2,'Fuel Model -  Input'!$B$3:$N$3,0))</f>
        <v>0.82199999999999995</v>
      </c>
    </row>
    <row r="2464" spans="2:13" hidden="1" outlineLevel="2" x14ac:dyDescent="0.2">
      <c r="B2464" t="str">
        <f>+C2464&amp;D2464&amp;E2464&amp;F2464</f>
        <v>AmericasFeedstockCost of N2USD/ton</v>
      </c>
      <c r="C2464" t="str">
        <f>C2444</f>
        <v>Americas</v>
      </c>
      <c r="D2464" t="s">
        <v>777</v>
      </c>
      <c r="E2464" t="s">
        <v>968</v>
      </c>
      <c r="F2464" s="128" t="s">
        <v>205</v>
      </c>
      <c r="G2464" s="521">
        <f>INDEX(G$1654:G$1658,MATCH($B2464,$B$1654:$B$1658,0))</f>
        <v>73.243281140630202</v>
      </c>
      <c r="H2464" s="521">
        <f t="shared" ref="H2464:M2464" si="1359">INDEX(H$1654:H$1658,MATCH($B2464,$B$1654:$B$1658,0))</f>
        <v>46.816874086168916</v>
      </c>
      <c r="I2464" s="521">
        <f t="shared" si="1359"/>
        <v>19.865947831746382</v>
      </c>
      <c r="J2464" s="521">
        <f t="shared" si="1359"/>
        <v>18.285431284718605</v>
      </c>
      <c r="K2464" s="521">
        <f t="shared" si="1359"/>
        <v>16.821951869880497</v>
      </c>
      <c r="L2464" s="521">
        <f t="shared" si="1359"/>
        <v>15.657623208691014</v>
      </c>
      <c r="M2464" s="521">
        <f t="shared" si="1359"/>
        <v>14.542857769362545</v>
      </c>
    </row>
    <row r="2465" spans="2:13" hidden="1" outlineLevel="2" x14ac:dyDescent="0.2">
      <c r="F2465" s="128"/>
      <c r="G2465" s="521"/>
      <c r="H2465" s="521"/>
      <c r="I2465" s="521"/>
      <c r="J2465" s="521"/>
      <c r="K2465" s="521"/>
      <c r="L2465" s="521"/>
      <c r="M2465" s="521"/>
    </row>
    <row r="2466" spans="2:13" hidden="1" outlineLevel="2" x14ac:dyDescent="0.2">
      <c r="B2466" t="str">
        <f>+C2466&amp;D2466&amp;E2466&amp;F2466</f>
        <v>AmericasFeedstockFeedstock N2USD/ton NH3</v>
      </c>
      <c r="C2466" t="str">
        <f>C2444</f>
        <v>Americas</v>
      </c>
      <c r="D2466" t="s">
        <v>777</v>
      </c>
      <c r="E2466" s="48" t="s">
        <v>965</v>
      </c>
      <c r="F2466" s="128" t="s">
        <v>960</v>
      </c>
      <c r="G2466" s="8">
        <f>G2467*G2468</f>
        <v>224</v>
      </c>
      <c r="H2466" s="8">
        <f t="shared" ref="H2466" si="1360">H2467*H2468</f>
        <v>147.20000000000002</v>
      </c>
      <c r="I2466" s="8">
        <f t="shared" ref="I2466" si="1361">I2467*I2468</f>
        <v>140.80000000000001</v>
      </c>
      <c r="J2466" s="8">
        <f t="shared" ref="J2466" si="1362">J2467*J2468</f>
        <v>160</v>
      </c>
      <c r="K2466" s="8">
        <f t="shared" ref="K2466" si="1363">K2467*K2468</f>
        <v>160</v>
      </c>
      <c r="L2466" s="8">
        <f t="shared" ref="L2466" si="1364">L2467*L2468</f>
        <v>160</v>
      </c>
      <c r="M2466" s="8">
        <f t="shared" ref="M2466" si="1365">M2467*M2468</f>
        <v>160</v>
      </c>
    </row>
    <row r="2467" spans="2:13" hidden="1" outlineLevel="2" x14ac:dyDescent="0.2">
      <c r="B2467" t="str">
        <f>+C2467&amp;D2467&amp;E2467&amp;F2467</f>
        <v>GlobalFeedstockConversion NG : NH3kg NG/kg NH3</v>
      </c>
      <c r="C2467" t="s">
        <v>109</v>
      </c>
      <c r="D2467" t="s">
        <v>777</v>
      </c>
      <c r="E2467" t="s">
        <v>1701</v>
      </c>
      <c r="F2467" s="224" t="s">
        <v>1703</v>
      </c>
      <c r="G2467" s="521">
        <f>INDEX('Fuel Model -  Input'!$B$3:$N$373,MATCH($B2467,'Fuel Model -  Input'!$B$3:$B$373,0),MATCH(G$2,'Fuel Model -  Input'!$B$3:$N$3,0))</f>
        <v>0.64</v>
      </c>
      <c r="H2467" s="521">
        <f>INDEX('Fuel Model -  Input'!$B$3:$N$373,MATCH($B2467,'Fuel Model -  Input'!$B$3:$B$373,0),MATCH(H$2,'Fuel Model -  Input'!$B$3:$N$3,0))</f>
        <v>0.64</v>
      </c>
      <c r="I2467" s="521">
        <f>INDEX('Fuel Model -  Input'!$B$3:$N$373,MATCH($B2467,'Fuel Model -  Input'!$B$3:$B$373,0),MATCH(I$2,'Fuel Model -  Input'!$B$3:$N$3,0))</f>
        <v>0.64</v>
      </c>
      <c r="J2467" s="521">
        <f>INDEX('Fuel Model -  Input'!$B$3:$N$373,MATCH($B2467,'Fuel Model -  Input'!$B$3:$B$373,0),MATCH(J$2,'Fuel Model -  Input'!$B$3:$N$3,0))</f>
        <v>0.64</v>
      </c>
      <c r="K2467" s="521">
        <f>INDEX('Fuel Model -  Input'!$B$3:$N$373,MATCH($B2467,'Fuel Model -  Input'!$B$3:$B$373,0),MATCH(K$2,'Fuel Model -  Input'!$B$3:$N$3,0))</f>
        <v>0.64</v>
      </c>
      <c r="L2467" s="521">
        <f>INDEX('Fuel Model -  Input'!$B$3:$N$373,MATCH($B2467,'Fuel Model -  Input'!$B$3:$B$373,0),MATCH(L$2,'Fuel Model -  Input'!$B$3:$N$3,0))</f>
        <v>0.64</v>
      </c>
      <c r="M2467" s="521">
        <f>INDEX('Fuel Model -  Input'!$B$3:$N$373,MATCH($B2467,'Fuel Model -  Input'!$B$3:$B$373,0),MATCH(M$2,'Fuel Model -  Input'!$B$3:$N$3,0))</f>
        <v>0.64</v>
      </c>
    </row>
    <row r="2468" spans="2:13" hidden="1" outlineLevel="2" x14ac:dyDescent="0.2">
      <c r="B2468" t="str">
        <f>+C2468&amp;D2468&amp;E2468&amp;F2468</f>
        <v>AmericasFeedstockCost of NGUSD/ton</v>
      </c>
      <c r="C2468" t="str">
        <f>C2444</f>
        <v>Americas</v>
      </c>
      <c r="D2468" s="15" t="s">
        <v>777</v>
      </c>
      <c r="E2468" s="15" t="s">
        <v>1144</v>
      </c>
      <c r="F2468" s="15" t="s">
        <v>205</v>
      </c>
      <c r="G2468" s="532">
        <f>INDEX('Fuel Model -  Input'!$B$3:$N$373,MATCH($B2468,'Fuel Model -  Input'!$B$3:$B$373,0),MATCH(G$2,'Fuel Model -  Input'!$B$3:$N$3,0))</f>
        <v>350</v>
      </c>
      <c r="H2468" s="532">
        <f>INDEX('Fuel Model -  Input'!$B$3:$N$373,MATCH($B2468,'Fuel Model -  Input'!$B$3:$B$373,0),MATCH(H$2,'Fuel Model -  Input'!$B$3:$N$3,0))</f>
        <v>230</v>
      </c>
      <c r="I2468" s="532">
        <f>INDEX('Fuel Model -  Input'!$B$3:$N$373,MATCH($B2468,'Fuel Model -  Input'!$B$3:$B$373,0),MATCH(I$2,'Fuel Model -  Input'!$B$3:$N$3,0))</f>
        <v>220</v>
      </c>
      <c r="J2468" s="532">
        <f>INDEX('Fuel Model -  Input'!$B$3:$N$373,MATCH($B2468,'Fuel Model -  Input'!$B$3:$B$373,0),MATCH(J$2,'Fuel Model -  Input'!$B$3:$N$3,0))</f>
        <v>250</v>
      </c>
      <c r="K2468" s="532">
        <f>INDEX('Fuel Model -  Input'!$B$3:$N$373,MATCH($B2468,'Fuel Model -  Input'!$B$3:$B$373,0),MATCH(K$2,'Fuel Model -  Input'!$B$3:$N$3,0))</f>
        <v>250</v>
      </c>
      <c r="L2468" s="532">
        <f>INDEX('Fuel Model -  Input'!$B$3:$N$373,MATCH($B2468,'Fuel Model -  Input'!$B$3:$B$373,0),MATCH(L$2,'Fuel Model -  Input'!$B$3:$N$3,0))</f>
        <v>250</v>
      </c>
      <c r="M2468" s="532">
        <f>INDEX('Fuel Model -  Input'!$B$3:$N$373,MATCH($B2468,'Fuel Model -  Input'!$B$3:$B$373,0),MATCH(M$2,'Fuel Model -  Input'!$B$3:$N$3,0))</f>
        <v>250</v>
      </c>
    </row>
    <row r="2469" spans="2:13" hidden="1" outlineLevel="2" x14ac:dyDescent="0.2">
      <c r="F2469" s="128"/>
      <c r="G2469" s="521"/>
      <c r="H2469" s="521"/>
      <c r="I2469" s="521"/>
      <c r="J2469" s="521"/>
      <c r="K2469" s="521"/>
      <c r="L2469" s="521"/>
      <c r="M2469" s="521"/>
    </row>
    <row r="2470" spans="2:13" hidden="1" outlineLevel="2" x14ac:dyDescent="0.2">
      <c r="B2470" t="str">
        <f>+C2470&amp;D2470&amp;E2470&amp;F2470</f>
        <v>GlobalCO2 StorageCO2 Storage Capture Blue HydrogenUSD/ton NH3</v>
      </c>
      <c r="C2470" t="s">
        <v>109</v>
      </c>
      <c r="D2470" t="s">
        <v>1206</v>
      </c>
      <c r="E2470" s="48" t="s">
        <v>1207</v>
      </c>
      <c r="F2470" s="128" t="s">
        <v>960</v>
      </c>
      <c r="G2470" s="8">
        <f>G2473*G2476+G2471*G2475</f>
        <v>131.21600000000001</v>
      </c>
      <c r="H2470" s="8">
        <f t="shared" ref="H2470" si="1366">H2473*H2476+H2471*H2475</f>
        <v>132.16000000000003</v>
      </c>
      <c r="I2470" s="8">
        <f t="shared" ref="I2470" si="1367">I2473*I2476+I2471*I2475</f>
        <v>133.10400000000001</v>
      </c>
      <c r="J2470" s="8">
        <f t="shared" ref="J2470" si="1368">J2473*J2476+J2471*J2475</f>
        <v>134.048</v>
      </c>
      <c r="K2470" s="8">
        <f t="shared" ref="K2470" si="1369">K2473*K2476+K2471*K2475</f>
        <v>134.99200000000002</v>
      </c>
      <c r="L2470" s="8">
        <f t="shared" ref="L2470" si="1370">L2473*L2476+L2471*L2475</f>
        <v>135.93600000000001</v>
      </c>
      <c r="M2470" s="8">
        <f t="shared" ref="M2470" si="1371">M2473*M2476+M2471*M2475</f>
        <v>136.88</v>
      </c>
    </row>
    <row r="2471" spans="2:13" hidden="1" outlineLevel="2" x14ac:dyDescent="0.2">
      <c r="B2471" t="str">
        <f t="shared" ref="B2471:B2473" si="1372">+C2471&amp;D2471&amp;E2471&amp;F2471</f>
        <v>GlobalShareCO2 captured per ton NH3Ton CO2/ton NH3</v>
      </c>
      <c r="C2471" t="s">
        <v>109</v>
      </c>
      <c r="D2471" t="s">
        <v>1714</v>
      </c>
      <c r="E2471" s="48" t="s">
        <v>1710</v>
      </c>
      <c r="F2471" s="128" t="s">
        <v>1713</v>
      </c>
      <c r="G2471" s="763">
        <f>G2473*G2472</f>
        <v>1.68032</v>
      </c>
      <c r="H2471" s="763">
        <f t="shared" ref="H2471:M2471" si="1373">H2473*H2472</f>
        <v>1.6992</v>
      </c>
      <c r="I2471" s="763">
        <f t="shared" si="1373"/>
        <v>1.7180800000000003</v>
      </c>
      <c r="J2471" s="763">
        <f t="shared" si="1373"/>
        <v>1.7369600000000003</v>
      </c>
      <c r="K2471" s="763">
        <f t="shared" si="1373"/>
        <v>1.7558400000000001</v>
      </c>
      <c r="L2471" s="763">
        <f t="shared" si="1373"/>
        <v>1.7747200000000001</v>
      </c>
      <c r="M2471" s="763">
        <f t="shared" si="1373"/>
        <v>1.7936000000000001</v>
      </c>
    </row>
    <row r="2472" spans="2:13" hidden="1" outlineLevel="2" x14ac:dyDescent="0.2">
      <c r="B2472" t="str">
        <f t="shared" si="1372"/>
        <v>GlobalCCSCarboncaptureeff%</v>
      </c>
      <c r="C2472" t="s">
        <v>109</v>
      </c>
      <c r="D2472" s="15" t="s">
        <v>1711</v>
      </c>
      <c r="E2472" s="15" t="s">
        <v>1212</v>
      </c>
      <c r="F2472" s="15" t="s">
        <v>178</v>
      </c>
      <c r="G2472" s="531">
        <f>INDEX('Fuel Model -  Input'!$B$3:$N$373,MATCH($B2472,'Fuel Model -  Input'!$B$3:$B$373,0),MATCH(G$2,'Fuel Model -  Input'!$B$3:$N$3,0))</f>
        <v>0.89</v>
      </c>
      <c r="H2472" s="531">
        <f>INDEX('Fuel Model -  Input'!$B$3:$N$373,MATCH($B2472,'Fuel Model -  Input'!$B$3:$B$373,0),MATCH(H$2,'Fuel Model -  Input'!$B$3:$N$3,0))</f>
        <v>0.9</v>
      </c>
      <c r="I2472" s="531">
        <f>INDEX('Fuel Model -  Input'!$B$3:$N$373,MATCH($B2472,'Fuel Model -  Input'!$B$3:$B$373,0),MATCH(I$2,'Fuel Model -  Input'!$B$3:$N$3,0))</f>
        <v>0.91</v>
      </c>
      <c r="J2472" s="531">
        <f>INDEX('Fuel Model -  Input'!$B$3:$N$373,MATCH($B2472,'Fuel Model -  Input'!$B$3:$B$373,0),MATCH(J$2,'Fuel Model -  Input'!$B$3:$N$3,0))</f>
        <v>0.92</v>
      </c>
      <c r="K2472" s="531">
        <f>INDEX('Fuel Model -  Input'!$B$3:$N$373,MATCH($B2472,'Fuel Model -  Input'!$B$3:$B$373,0),MATCH(K$2,'Fuel Model -  Input'!$B$3:$N$3,0))</f>
        <v>0.92999999999999994</v>
      </c>
      <c r="L2472" s="531">
        <f>INDEX('Fuel Model -  Input'!$B$3:$N$373,MATCH($B2472,'Fuel Model -  Input'!$B$3:$B$373,0),MATCH(L$2,'Fuel Model -  Input'!$B$3:$N$3,0))</f>
        <v>0.94</v>
      </c>
      <c r="M2472" s="531">
        <f>INDEX('Fuel Model -  Input'!$B$3:$N$373,MATCH($B2472,'Fuel Model -  Input'!$B$3:$B$373,0),MATCH(M$2,'Fuel Model -  Input'!$B$3:$N$3,0))</f>
        <v>0.95</v>
      </c>
    </row>
    <row r="2473" spans="2:13" hidden="1" outlineLevel="2" x14ac:dyDescent="0.2">
      <c r="B2473" t="str">
        <f t="shared" si="1372"/>
        <v>GlobalShareCO2 produced per ton NH3Ton CO2/ton NH3</v>
      </c>
      <c r="C2473" t="s">
        <v>109</v>
      </c>
      <c r="D2473" t="s">
        <v>1714</v>
      </c>
      <c r="E2473" s="48" t="s">
        <v>1712</v>
      </c>
      <c r="F2473" s="128" t="s">
        <v>1713</v>
      </c>
      <c r="G2473" s="2">
        <f t="shared" ref="G2473" si="1374">G2467*G2474</f>
        <v>1.8880000000000001</v>
      </c>
      <c r="H2473" s="2">
        <f t="shared" ref="H2473" si="1375">H2467*H2474</f>
        <v>1.8880000000000001</v>
      </c>
      <c r="I2473" s="2">
        <f t="shared" ref="I2473" si="1376">I2467*I2474</f>
        <v>1.8880000000000001</v>
      </c>
      <c r="J2473" s="2">
        <f t="shared" ref="J2473" si="1377">J2467*J2474</f>
        <v>1.8880000000000001</v>
      </c>
      <c r="K2473" s="2">
        <f t="shared" ref="K2473" si="1378">K2467*K2474</f>
        <v>1.8880000000000001</v>
      </c>
      <c r="L2473" s="2">
        <f t="shared" ref="L2473" si="1379">L2467*L2474</f>
        <v>1.8880000000000001</v>
      </c>
      <c r="M2473" s="2">
        <f t="shared" ref="M2473" si="1380">M2467*M2474</f>
        <v>1.8880000000000001</v>
      </c>
    </row>
    <row r="2474" spans="2:13" hidden="1" outlineLevel="2" x14ac:dyDescent="0.2">
      <c r="B2474" t="str">
        <f>+C2474&amp;D2474&amp;E2474&amp;F2474</f>
        <v>GlobalCO2 CaptureConversion CO2 : NG (actual)kg CO2/kg NG</v>
      </c>
      <c r="C2474" t="s">
        <v>109</v>
      </c>
      <c r="D2474" t="s">
        <v>1178</v>
      </c>
      <c r="E2474" t="s">
        <v>1707</v>
      </c>
      <c r="F2474" s="224" t="s">
        <v>1708</v>
      </c>
      <c r="G2474" s="521">
        <f>INDEX('Fuel Model -  Input'!$B$3:$N$373,MATCH($B2474,'Fuel Model -  Input'!$B$3:$B$373,0),MATCH(G$2,'Fuel Model -  Input'!$B$3:$N$3,0))</f>
        <v>2.95</v>
      </c>
      <c r="H2474" s="521">
        <f>INDEX('Fuel Model -  Input'!$B$3:$N$373,MATCH($B2474,'Fuel Model -  Input'!$B$3:$B$373,0),MATCH(H$2,'Fuel Model -  Input'!$B$3:$N$3,0))</f>
        <v>2.95</v>
      </c>
      <c r="I2474" s="521">
        <f>INDEX('Fuel Model -  Input'!$B$3:$N$373,MATCH($B2474,'Fuel Model -  Input'!$B$3:$B$373,0),MATCH(I$2,'Fuel Model -  Input'!$B$3:$N$3,0))</f>
        <v>2.95</v>
      </c>
      <c r="J2474" s="521">
        <f>INDEX('Fuel Model -  Input'!$B$3:$N$373,MATCH($B2474,'Fuel Model -  Input'!$B$3:$B$373,0),MATCH(J$2,'Fuel Model -  Input'!$B$3:$N$3,0))</f>
        <v>2.95</v>
      </c>
      <c r="K2474" s="521">
        <f>INDEX('Fuel Model -  Input'!$B$3:$N$373,MATCH($B2474,'Fuel Model -  Input'!$B$3:$B$373,0),MATCH(K$2,'Fuel Model -  Input'!$B$3:$N$3,0))</f>
        <v>2.95</v>
      </c>
      <c r="L2474" s="521">
        <f>INDEX('Fuel Model -  Input'!$B$3:$N$373,MATCH($B2474,'Fuel Model -  Input'!$B$3:$B$373,0),MATCH(L$2,'Fuel Model -  Input'!$B$3:$N$3,0))</f>
        <v>2.95</v>
      </c>
      <c r="M2474" s="521">
        <f>INDEX('Fuel Model -  Input'!$B$3:$N$373,MATCH($B2474,'Fuel Model -  Input'!$B$3:$B$373,0),MATCH(M$2,'Fuel Model -  Input'!$B$3:$N$3,0))</f>
        <v>2.95</v>
      </c>
    </row>
    <row r="2475" spans="2:13" hidden="1" outlineLevel="2" x14ac:dyDescent="0.2">
      <c r="B2475" t="str">
        <f>+C2475&amp;D2475&amp;E2475&amp;F2475</f>
        <v>AmericasCO2 StorageCost of CO2 storageUSD/ton CO2</v>
      </c>
      <c r="C2475" t="str">
        <f>C2444</f>
        <v>Americas</v>
      </c>
      <c r="D2475" t="s">
        <v>1206</v>
      </c>
      <c r="E2475" t="s">
        <v>1208</v>
      </c>
      <c r="F2475" s="224" t="s">
        <v>382</v>
      </c>
      <c r="G2475" s="532">
        <f>INDEX('Fuel Model -  Input'!$B$3:$N$373,MATCH($B2475,'Fuel Model -  Input'!$B$3:$B$373,0),MATCH(G$2,'Fuel Model -  Input'!$B$3:$N$3,0))</f>
        <v>50</v>
      </c>
      <c r="H2475" s="532">
        <f>INDEX('Fuel Model -  Input'!$B$3:$N$373,MATCH($B2475,'Fuel Model -  Input'!$B$3:$B$373,0),MATCH(H$2,'Fuel Model -  Input'!$B$3:$N$3,0))</f>
        <v>50</v>
      </c>
      <c r="I2475" s="532">
        <f>INDEX('Fuel Model -  Input'!$B$3:$N$373,MATCH($B2475,'Fuel Model -  Input'!$B$3:$B$373,0),MATCH(I$2,'Fuel Model -  Input'!$B$3:$N$3,0))</f>
        <v>50</v>
      </c>
      <c r="J2475" s="532">
        <f>INDEX('Fuel Model -  Input'!$B$3:$N$373,MATCH($B2475,'Fuel Model -  Input'!$B$3:$B$373,0),MATCH(J$2,'Fuel Model -  Input'!$B$3:$N$3,0))</f>
        <v>50</v>
      </c>
      <c r="K2475" s="532">
        <f>INDEX('Fuel Model -  Input'!$B$3:$N$373,MATCH($B2475,'Fuel Model -  Input'!$B$3:$B$373,0),MATCH(K$2,'Fuel Model -  Input'!$B$3:$N$3,0))</f>
        <v>50</v>
      </c>
      <c r="L2475" s="532">
        <f>INDEX('Fuel Model -  Input'!$B$3:$N$373,MATCH($B2475,'Fuel Model -  Input'!$B$3:$B$373,0),MATCH(L$2,'Fuel Model -  Input'!$B$3:$N$3,0))</f>
        <v>50</v>
      </c>
      <c r="M2475" s="532">
        <f>INDEX('Fuel Model -  Input'!$B$3:$N$373,MATCH($B2475,'Fuel Model -  Input'!$B$3:$B$373,0),MATCH(M$2,'Fuel Model -  Input'!$B$3:$N$3,0))</f>
        <v>50</v>
      </c>
    </row>
    <row r="2476" spans="2:13" hidden="1" outlineLevel="2" x14ac:dyDescent="0.2">
      <c r="B2476" t="str">
        <f>+C2476&amp;D2476&amp;E2476&amp;F2476</f>
        <v>AmericasFeedstockCost of blue CO2 PSUSD/ton</v>
      </c>
      <c r="C2476" t="str">
        <f>C2444</f>
        <v>Americas</v>
      </c>
      <c r="D2476" t="s">
        <v>777</v>
      </c>
      <c r="E2476" t="s">
        <v>1209</v>
      </c>
      <c r="F2476" s="224" t="s">
        <v>205</v>
      </c>
      <c r="G2476" s="532">
        <f>INDEX('Fuel Model -  Input'!$B$3:$N$373,MATCH($B2476,'Fuel Model -  Input'!$B$3:$B$373,0),MATCH(G$2,'Fuel Model -  Input'!$B$3:$N$3,0))</f>
        <v>25</v>
      </c>
      <c r="H2476" s="532">
        <f>INDEX('Fuel Model -  Input'!$B$3:$N$373,MATCH($B2476,'Fuel Model -  Input'!$B$3:$B$373,0),MATCH(H$2,'Fuel Model -  Input'!$B$3:$N$3,0))</f>
        <v>25</v>
      </c>
      <c r="I2476" s="532">
        <f>INDEX('Fuel Model -  Input'!$B$3:$N$373,MATCH($B2476,'Fuel Model -  Input'!$B$3:$B$373,0),MATCH(I$2,'Fuel Model -  Input'!$B$3:$N$3,0))</f>
        <v>25</v>
      </c>
      <c r="J2476" s="532">
        <f>INDEX('Fuel Model -  Input'!$B$3:$N$373,MATCH($B2476,'Fuel Model -  Input'!$B$3:$B$373,0),MATCH(J$2,'Fuel Model -  Input'!$B$3:$N$3,0))</f>
        <v>25</v>
      </c>
      <c r="K2476" s="532">
        <f>INDEX('Fuel Model -  Input'!$B$3:$N$373,MATCH($B2476,'Fuel Model -  Input'!$B$3:$B$373,0),MATCH(K$2,'Fuel Model -  Input'!$B$3:$N$3,0))</f>
        <v>25</v>
      </c>
      <c r="L2476" s="532">
        <f>INDEX('Fuel Model -  Input'!$B$3:$N$373,MATCH($B2476,'Fuel Model -  Input'!$B$3:$B$373,0),MATCH(L$2,'Fuel Model -  Input'!$B$3:$N$3,0))</f>
        <v>25</v>
      </c>
      <c r="M2476" s="532">
        <f>INDEX('Fuel Model -  Input'!$B$3:$N$373,MATCH($B2476,'Fuel Model -  Input'!$B$3:$B$373,0),MATCH(M$2,'Fuel Model -  Input'!$B$3:$N$3,0))</f>
        <v>25</v>
      </c>
    </row>
    <row r="2477" spans="2:13" hidden="1" outlineLevel="1" x14ac:dyDescent="0.2">
      <c r="F2477" s="128"/>
      <c r="G2477" s="524"/>
      <c r="H2477" s="524"/>
      <c r="I2477" s="524"/>
      <c r="J2477" s="524"/>
      <c r="K2477" s="524"/>
      <c r="L2477" s="524"/>
      <c r="M2477" s="524"/>
    </row>
    <row r="2478" spans="2:13" s="30" customFormat="1" ht="15" hidden="1" outlineLevel="1" collapsed="1" x14ac:dyDescent="0.25">
      <c r="B2478" s="30" t="s">
        <v>200</v>
      </c>
      <c r="C2478" s="30" t="str">
        <f>+B2478</f>
        <v>Africa</v>
      </c>
    </row>
    <row r="2479" spans="2:13" ht="15" hidden="1" outlineLevel="2" x14ac:dyDescent="0.25">
      <c r="B2479" t="str">
        <f>+C2479&amp;D2479&amp;E2479&amp;F2479</f>
        <v>AfricaResultsTotal cost of Blue AmmoniaUSD/ton</v>
      </c>
      <c r="C2479" s="494" t="str">
        <f>+$C$2478</f>
        <v>Africa</v>
      </c>
      <c r="D2479" s="30" t="s">
        <v>838</v>
      </c>
      <c r="E2479" s="405" t="s">
        <v>1216</v>
      </c>
      <c r="F2479" s="127" t="s">
        <v>205</v>
      </c>
      <c r="G2479" s="490">
        <f>SUM(G2480:G2483)</f>
        <v>1479.6968153291473</v>
      </c>
      <c r="H2479" s="490">
        <f t="shared" ref="H2479:M2479" si="1381">SUM(H2480:H2483)</f>
        <v>774.20676354619604</v>
      </c>
      <c r="I2479" s="490">
        <f t="shared" si="1381"/>
        <v>600.7816249063178</v>
      </c>
      <c r="J2479" s="490">
        <f t="shared" si="1381"/>
        <v>592.35743830963611</v>
      </c>
      <c r="K2479" s="490">
        <f t="shared" si="1381"/>
        <v>584.39746836223571</v>
      </c>
      <c r="L2479" s="490">
        <f t="shared" si="1381"/>
        <v>576.42582822681959</v>
      </c>
      <c r="M2479" s="490">
        <f t="shared" si="1381"/>
        <v>568.67031437055823</v>
      </c>
    </row>
    <row r="2480" spans="2:13" ht="15" hidden="1" outlineLevel="2" x14ac:dyDescent="0.25">
      <c r="B2480" t="str">
        <f>+C2480&amp;D2480&amp;E2480&amp;F2480</f>
        <v>AfricaResultsTotal Capex Blue AmmoniaUSD/ton</v>
      </c>
      <c r="C2480" s="494" t="str">
        <f>+$C$2478</f>
        <v>Africa</v>
      </c>
      <c r="D2480" s="30" t="s">
        <v>838</v>
      </c>
      <c r="E2480" s="228" t="s">
        <v>1217</v>
      </c>
      <c r="F2480" s="127" t="s">
        <v>205</v>
      </c>
      <c r="G2480" s="490">
        <f>G2485</f>
        <v>111.30000000000003</v>
      </c>
      <c r="H2480" s="490">
        <f t="shared" ref="H2480:M2480" si="1382">H2485</f>
        <v>106.00000000000003</v>
      </c>
      <c r="I2480" s="490">
        <f t="shared" si="1382"/>
        <v>100.70000000000002</v>
      </c>
      <c r="J2480" s="490">
        <f t="shared" si="1382"/>
        <v>95.40000000000002</v>
      </c>
      <c r="K2480" s="490">
        <f t="shared" si="1382"/>
        <v>90.100000000000023</v>
      </c>
      <c r="L2480" s="490">
        <f t="shared" si="1382"/>
        <v>84.800000000000026</v>
      </c>
      <c r="M2480" s="490">
        <f t="shared" si="1382"/>
        <v>79.500000000000014</v>
      </c>
    </row>
    <row r="2481" spans="2:13" ht="15" hidden="1" outlineLevel="2" x14ac:dyDescent="0.25">
      <c r="B2481" t="str">
        <f>+C2481&amp;D2481&amp;E2481&amp;F2481</f>
        <v>AfricaResultsTotal Opex Blue AmmoniaUSD/ton</v>
      </c>
      <c r="C2481" s="494" t="str">
        <f>+$C$2478</f>
        <v>Africa</v>
      </c>
      <c r="D2481" s="30" t="s">
        <v>838</v>
      </c>
      <c r="E2481" s="228" t="s">
        <v>1218</v>
      </c>
      <c r="F2481" s="127" t="s">
        <v>205</v>
      </c>
      <c r="G2481" s="490">
        <f>G2489</f>
        <v>50.4</v>
      </c>
      <c r="H2481" s="490">
        <f t="shared" ref="H2481:M2481" si="1383">H2489</f>
        <v>48</v>
      </c>
      <c r="I2481" s="490">
        <f t="shared" si="1383"/>
        <v>45.6</v>
      </c>
      <c r="J2481" s="490">
        <f t="shared" si="1383"/>
        <v>43.2</v>
      </c>
      <c r="K2481" s="490">
        <f t="shared" si="1383"/>
        <v>40.800000000000004</v>
      </c>
      <c r="L2481" s="490">
        <f t="shared" si="1383"/>
        <v>38.4</v>
      </c>
      <c r="M2481" s="490">
        <f t="shared" si="1383"/>
        <v>36</v>
      </c>
    </row>
    <row r="2482" spans="2:13" ht="15" hidden="1" outlineLevel="2" x14ac:dyDescent="0.25">
      <c r="B2482" t="str">
        <f>+C2482&amp;D2482&amp;E2482&amp;F2482</f>
        <v>AfricaResultsTotal Raw Material Blue AmmoniaUSD/ton</v>
      </c>
      <c r="C2482" s="494" t="str">
        <f>+$C$2478</f>
        <v>Africa</v>
      </c>
      <c r="D2482" s="30" t="s">
        <v>838</v>
      </c>
      <c r="E2482" s="228" t="s">
        <v>1219</v>
      </c>
      <c r="F2482" s="127" t="s">
        <v>205</v>
      </c>
      <c r="G2482" s="490">
        <f>G2500+G2496</f>
        <v>1186.7808153291471</v>
      </c>
      <c r="H2482" s="490">
        <f t="shared" ref="H2482:M2482" si="1384">H2500+H2496</f>
        <v>488.04676354619608</v>
      </c>
      <c r="I2482" s="490">
        <f t="shared" si="1384"/>
        <v>321.37762490631775</v>
      </c>
      <c r="J2482" s="490">
        <f t="shared" si="1384"/>
        <v>319.70943830963614</v>
      </c>
      <c r="K2482" s="490">
        <f t="shared" si="1384"/>
        <v>318.50546836223572</v>
      </c>
      <c r="L2482" s="490">
        <f t="shared" si="1384"/>
        <v>317.28982822681957</v>
      </c>
      <c r="M2482" s="490">
        <f t="shared" si="1384"/>
        <v>316.29031437055824</v>
      </c>
    </row>
    <row r="2483" spans="2:13" ht="15" hidden="1" outlineLevel="2" x14ac:dyDescent="0.25">
      <c r="B2483" t="str">
        <f>+C2483&amp;D2483&amp;E2483&amp;F2483</f>
        <v>AfricaResultsTotal CO2 Blue AmmoniaUSD/ton</v>
      </c>
      <c r="C2483" s="494" t="str">
        <f>+$C$2478</f>
        <v>Africa</v>
      </c>
      <c r="D2483" s="30" t="s">
        <v>838</v>
      </c>
      <c r="E2483" s="228" t="s">
        <v>1220</v>
      </c>
      <c r="F2483" s="127" t="s">
        <v>205</v>
      </c>
      <c r="G2483" s="490">
        <f>G2504</f>
        <v>131.21600000000001</v>
      </c>
      <c r="H2483" s="490">
        <f t="shared" ref="H2483:M2483" si="1385">H2504</f>
        <v>132.16000000000003</v>
      </c>
      <c r="I2483" s="490">
        <f t="shared" si="1385"/>
        <v>133.10400000000001</v>
      </c>
      <c r="J2483" s="490">
        <f t="shared" si="1385"/>
        <v>134.048</v>
      </c>
      <c r="K2483" s="490">
        <f t="shared" si="1385"/>
        <v>134.99200000000002</v>
      </c>
      <c r="L2483" s="490">
        <f t="shared" si="1385"/>
        <v>135.93600000000001</v>
      </c>
      <c r="M2483" s="490">
        <f t="shared" si="1385"/>
        <v>136.88</v>
      </c>
    </row>
    <row r="2484" spans="2:13" hidden="1" outlineLevel="2" x14ac:dyDescent="0.2">
      <c r="E2484" s="48"/>
      <c r="F2484" s="128"/>
      <c r="G2484" s="8"/>
      <c r="H2484" s="8"/>
      <c r="I2484" s="8"/>
      <c r="J2484" s="8"/>
      <c r="K2484" s="8"/>
      <c r="L2484" s="8"/>
      <c r="M2484" s="8"/>
    </row>
    <row r="2485" spans="2:13" hidden="1" outlineLevel="2" x14ac:dyDescent="0.2">
      <c r="B2485" t="str">
        <f>+C2485&amp;D2485&amp;E2485&amp;F2485</f>
        <v>GlobalCapexCapex per yearUSD m/year</v>
      </c>
      <c r="C2485" t="s">
        <v>109</v>
      </c>
      <c r="D2485" t="s">
        <v>218</v>
      </c>
      <c r="E2485" t="s">
        <v>956</v>
      </c>
      <c r="F2485" s="128" t="s">
        <v>957</v>
      </c>
      <c r="G2485" s="523">
        <f t="shared" ref="G2485:M2485" si="1386">G2487/G2486</f>
        <v>111.30000000000003</v>
      </c>
      <c r="H2485" s="523">
        <f t="shared" si="1386"/>
        <v>106.00000000000003</v>
      </c>
      <c r="I2485" s="523">
        <f t="shared" si="1386"/>
        <v>100.70000000000002</v>
      </c>
      <c r="J2485" s="523">
        <f t="shared" si="1386"/>
        <v>95.40000000000002</v>
      </c>
      <c r="K2485" s="523">
        <f t="shared" si="1386"/>
        <v>90.100000000000023</v>
      </c>
      <c r="L2485" s="523">
        <f t="shared" si="1386"/>
        <v>84.800000000000026</v>
      </c>
      <c r="M2485" s="523">
        <f t="shared" si="1386"/>
        <v>79.500000000000014</v>
      </c>
    </row>
    <row r="2486" spans="2:13" hidden="1" outlineLevel="2" x14ac:dyDescent="0.2">
      <c r="B2486" t="str">
        <f>+C2486&amp;D2486&amp;E2486&amp;F2486</f>
        <v>GlobalPlant capexAnnualisation factor#</v>
      </c>
      <c r="C2486" t="s">
        <v>109</v>
      </c>
      <c r="D2486" t="s">
        <v>786</v>
      </c>
      <c r="E2486" t="s">
        <v>764</v>
      </c>
      <c r="F2486" s="450" t="s">
        <v>787</v>
      </c>
      <c r="G2486" s="532">
        <f>INDEX('Fuel Model -  Input'!$B$3:$N$373,MATCH($B2486,'Fuel Model -  Input'!$B$3:$B$373,0),MATCH(G$2,'Fuel Model -  Input'!$B$3:$N$3,0))</f>
        <v>11.32075471698113</v>
      </c>
      <c r="H2486" s="532">
        <f>INDEX('Fuel Model -  Input'!$B$3:$N$373,MATCH($B2486,'Fuel Model -  Input'!$B$3:$B$373,0),MATCH(H$2,'Fuel Model -  Input'!$B$3:$N$3,0))</f>
        <v>11.32075471698113</v>
      </c>
      <c r="I2486" s="532">
        <f>INDEX('Fuel Model -  Input'!$B$3:$N$373,MATCH($B2486,'Fuel Model -  Input'!$B$3:$B$373,0),MATCH(I$2,'Fuel Model -  Input'!$B$3:$N$3,0))</f>
        <v>11.32075471698113</v>
      </c>
      <c r="J2486" s="532">
        <f>INDEX('Fuel Model -  Input'!$B$3:$N$373,MATCH($B2486,'Fuel Model -  Input'!$B$3:$B$373,0),MATCH(J$2,'Fuel Model -  Input'!$B$3:$N$3,0))</f>
        <v>11.32075471698113</v>
      </c>
      <c r="K2486" s="532">
        <f>INDEX('Fuel Model -  Input'!$B$3:$N$373,MATCH($B2486,'Fuel Model -  Input'!$B$3:$B$373,0),MATCH(K$2,'Fuel Model -  Input'!$B$3:$N$3,0))</f>
        <v>11.32075471698113</v>
      </c>
      <c r="L2486" s="532">
        <f>INDEX('Fuel Model -  Input'!$B$3:$N$373,MATCH($B2486,'Fuel Model -  Input'!$B$3:$B$373,0),MATCH(L$2,'Fuel Model -  Input'!$B$3:$N$3,0))</f>
        <v>11.32075471698113</v>
      </c>
      <c r="M2486" s="532">
        <f>INDEX('Fuel Model -  Input'!$B$3:$N$373,MATCH($B2486,'Fuel Model -  Input'!$B$3:$B$373,0),MATCH(M$2,'Fuel Model -  Input'!$B$3:$N$3,0))</f>
        <v>11.32075471698113</v>
      </c>
    </row>
    <row r="2487" spans="2:13" hidden="1" outlineLevel="2" x14ac:dyDescent="0.2">
      <c r="B2487" t="str">
        <f>+C2487&amp;D2487&amp;E2487&amp;F2487</f>
        <v>GlobalCapexBlue ammonia plant unit cost (ATR incl CCS)USD/ton NH3</v>
      </c>
      <c r="C2487" t="s">
        <v>109</v>
      </c>
      <c r="D2487" s="157" t="s">
        <v>218</v>
      </c>
      <c r="E2487" s="15" t="s">
        <v>1704</v>
      </c>
      <c r="F2487" s="224" t="s">
        <v>960</v>
      </c>
      <c r="G2487" s="532">
        <f>INDEX('Fuel Model -  Input'!$B$3:$N$373,MATCH($B2487,'Fuel Model -  Input'!$B$3:$B$373,0),MATCH(G$2,'Fuel Model -  Input'!$B$3:$N$3,0))</f>
        <v>1260</v>
      </c>
      <c r="H2487" s="532">
        <f>INDEX('Fuel Model -  Input'!$B$3:$N$373,MATCH($B2487,'Fuel Model -  Input'!$B$3:$B$373,0),MATCH(H$2,'Fuel Model -  Input'!$B$3:$N$3,0))</f>
        <v>1200</v>
      </c>
      <c r="I2487" s="532">
        <f>INDEX('Fuel Model -  Input'!$B$3:$N$373,MATCH($B2487,'Fuel Model -  Input'!$B$3:$B$373,0),MATCH(I$2,'Fuel Model -  Input'!$B$3:$N$3,0))</f>
        <v>1140</v>
      </c>
      <c r="J2487" s="532">
        <f>INDEX('Fuel Model -  Input'!$B$3:$N$373,MATCH($B2487,'Fuel Model -  Input'!$B$3:$B$373,0),MATCH(J$2,'Fuel Model -  Input'!$B$3:$N$3,0))</f>
        <v>1080</v>
      </c>
      <c r="K2487" s="532">
        <f>INDEX('Fuel Model -  Input'!$B$3:$N$373,MATCH($B2487,'Fuel Model -  Input'!$B$3:$B$373,0),MATCH(K$2,'Fuel Model -  Input'!$B$3:$N$3,0))</f>
        <v>1020</v>
      </c>
      <c r="L2487" s="532">
        <f>INDEX('Fuel Model -  Input'!$B$3:$N$373,MATCH($B2487,'Fuel Model -  Input'!$B$3:$B$373,0),MATCH(L$2,'Fuel Model -  Input'!$B$3:$N$3,0))</f>
        <v>960</v>
      </c>
      <c r="M2487" s="532">
        <f>INDEX('Fuel Model -  Input'!$B$3:$N$373,MATCH($B2487,'Fuel Model -  Input'!$B$3:$B$373,0),MATCH(M$2,'Fuel Model -  Input'!$B$3:$N$3,0))</f>
        <v>900</v>
      </c>
    </row>
    <row r="2488" spans="2:13" hidden="1" outlineLevel="2" x14ac:dyDescent="0.2">
      <c r="E2488" s="48"/>
      <c r="F2488" s="128"/>
      <c r="G2488" s="8"/>
      <c r="H2488" s="8"/>
      <c r="I2488" s="8"/>
      <c r="J2488" s="8"/>
      <c r="K2488" s="8"/>
      <c r="L2488" s="8"/>
      <c r="M2488" s="8"/>
    </row>
    <row r="2489" spans="2:13" hidden="1" outlineLevel="2" x14ac:dyDescent="0.2">
      <c r="B2489" t="str">
        <f>+C2489&amp;D2489&amp;E2489&amp;F2489</f>
        <v>GlobalOpexOpexUSD/ton NH3</v>
      </c>
      <c r="C2489" t="s">
        <v>109</v>
      </c>
      <c r="D2489" t="s">
        <v>219</v>
      </c>
      <c r="E2489" s="48" t="s">
        <v>219</v>
      </c>
      <c r="F2489" s="128" t="s">
        <v>960</v>
      </c>
      <c r="G2489" s="8">
        <f t="shared" ref="G2489:M2489" si="1387">G2487*G2490</f>
        <v>50.4</v>
      </c>
      <c r="H2489" s="8">
        <f t="shared" si="1387"/>
        <v>48</v>
      </c>
      <c r="I2489" s="8">
        <f t="shared" si="1387"/>
        <v>45.6</v>
      </c>
      <c r="J2489" s="8">
        <f t="shared" si="1387"/>
        <v>43.2</v>
      </c>
      <c r="K2489" s="8">
        <f t="shared" si="1387"/>
        <v>40.800000000000004</v>
      </c>
      <c r="L2489" s="8">
        <f t="shared" si="1387"/>
        <v>38.4</v>
      </c>
      <c r="M2489" s="8">
        <f t="shared" si="1387"/>
        <v>36</v>
      </c>
    </row>
    <row r="2490" spans="2:13" hidden="1" outlineLevel="2" x14ac:dyDescent="0.2">
      <c r="B2490" t="str">
        <f>+C2490&amp;D2490&amp;E2490&amp;F2490</f>
        <v>GlobalOpexPlant - ATR - opexPercent of Capex</v>
      </c>
      <c r="C2490" t="s">
        <v>109</v>
      </c>
      <c r="D2490" t="s">
        <v>219</v>
      </c>
      <c r="E2490" s="48" t="s">
        <v>1706</v>
      </c>
      <c r="F2490" s="224" t="s">
        <v>883</v>
      </c>
      <c r="G2490" s="531">
        <f>INDEX('Fuel Model -  Input'!$B$3:$N$373,MATCH($B2490,'Fuel Model -  Input'!$B$3:$B$373,0),MATCH(G$2,'Fuel Model -  Input'!$B$3:$N$3,0))</f>
        <v>0.04</v>
      </c>
      <c r="H2490" s="531">
        <f>INDEX('Fuel Model -  Input'!$B$3:$N$373,MATCH($B2490,'Fuel Model -  Input'!$B$3:$B$373,0),MATCH(H$2,'Fuel Model -  Input'!$B$3:$N$3,0))</f>
        <v>0.04</v>
      </c>
      <c r="I2490" s="531">
        <f>INDEX('Fuel Model -  Input'!$B$3:$N$373,MATCH($B2490,'Fuel Model -  Input'!$B$3:$B$373,0),MATCH(I$2,'Fuel Model -  Input'!$B$3:$N$3,0))</f>
        <v>0.04</v>
      </c>
      <c r="J2490" s="531">
        <f>INDEX('Fuel Model -  Input'!$B$3:$N$373,MATCH($B2490,'Fuel Model -  Input'!$B$3:$B$373,0),MATCH(J$2,'Fuel Model -  Input'!$B$3:$N$3,0))</f>
        <v>0.04</v>
      </c>
      <c r="K2490" s="531">
        <f>INDEX('Fuel Model -  Input'!$B$3:$N$373,MATCH($B2490,'Fuel Model -  Input'!$B$3:$B$373,0),MATCH(K$2,'Fuel Model -  Input'!$B$3:$N$3,0))</f>
        <v>0.04</v>
      </c>
      <c r="L2490" s="531">
        <f>INDEX('Fuel Model -  Input'!$B$3:$N$373,MATCH($B2490,'Fuel Model -  Input'!$B$3:$B$373,0),MATCH(L$2,'Fuel Model -  Input'!$B$3:$N$3,0))</f>
        <v>0.04</v>
      </c>
      <c r="M2490" s="531">
        <f>INDEX('Fuel Model -  Input'!$B$3:$N$373,MATCH($B2490,'Fuel Model -  Input'!$B$3:$B$373,0),MATCH(M$2,'Fuel Model -  Input'!$B$3:$N$3,0))</f>
        <v>0.04</v>
      </c>
    </row>
    <row r="2491" spans="2:13" hidden="1" outlineLevel="2" x14ac:dyDescent="0.2">
      <c r="E2491" s="48"/>
      <c r="F2491" s="128"/>
      <c r="G2491" s="8"/>
      <c r="H2491" s="8"/>
      <c r="I2491" s="8"/>
      <c r="J2491" s="8"/>
      <c r="K2491" s="8"/>
      <c r="L2491" s="8"/>
      <c r="M2491" s="8"/>
    </row>
    <row r="2492" spans="2:13" hidden="1" outlineLevel="2" x14ac:dyDescent="0.2">
      <c r="B2492" t="str">
        <f>+C2492&amp;D2492&amp;E2492&amp;F2492</f>
        <v>AfricaSynthesisElectricity costUSD/ton NH3</v>
      </c>
      <c r="C2492" t="str">
        <f>C2478</f>
        <v>Africa</v>
      </c>
      <c r="D2492" t="s">
        <v>962</v>
      </c>
      <c r="E2492" s="48" t="s">
        <v>94</v>
      </c>
      <c r="F2492" s="128" t="s">
        <v>960</v>
      </c>
      <c r="G2492" s="260">
        <f t="shared" ref="G2492:M2492" si="1388">G2493*G2494</f>
        <v>23.687801695523824</v>
      </c>
      <c r="H2492" s="260">
        <f t="shared" si="1388"/>
        <v>13.84980352384909</v>
      </c>
      <c r="I2492" s="260">
        <f t="shared" si="1388"/>
        <v>11.238393978234065</v>
      </c>
      <c r="J2492" s="260">
        <f t="shared" si="1388"/>
        <v>9.8291690521893731</v>
      </c>
      <c r="K2492" s="260">
        <f t="shared" si="1388"/>
        <v>9.27331048150943</v>
      </c>
      <c r="L2492" s="260">
        <f t="shared" si="1388"/>
        <v>8.6423882566109889</v>
      </c>
      <c r="M2492" s="260">
        <f t="shared" si="1388"/>
        <v>8.4330971618062929</v>
      </c>
    </row>
    <row r="2493" spans="2:13" hidden="1" outlineLevel="2" x14ac:dyDescent="0.2">
      <c r="B2493" t="str">
        <f>+C2493&amp;D2493&amp;E2493&amp;F2493</f>
        <v>AfricaFeedstockElectricityUSD/MWh</v>
      </c>
      <c r="C2493" t="str">
        <f>C2478</f>
        <v>Africa</v>
      </c>
      <c r="D2493" t="s">
        <v>777</v>
      </c>
      <c r="E2493" s="48" t="s">
        <v>54</v>
      </c>
      <c r="F2493" s="128" t="s">
        <v>196</v>
      </c>
      <c r="G2493" s="532">
        <f>INDEX('Fuel Model -  Input'!$B$3:$N$373,MATCH($B2493,'Fuel Model -  Input'!$B$3:$B$373,0),MATCH(G$2,'Fuel Model -  Input'!$B$3:$N$3,0))</f>
        <v>78.959338985079413</v>
      </c>
      <c r="H2493" s="532">
        <f>INDEX('Fuel Model -  Input'!$B$3:$N$373,MATCH($B2493,'Fuel Model -  Input'!$B$3:$B$373,0),MATCH(H$2,'Fuel Model -  Input'!$B$3:$N$3,0))</f>
        <v>44.676785560803516</v>
      </c>
      <c r="I2493" s="532">
        <f>INDEX('Fuel Model -  Input'!$B$3:$N$373,MATCH($B2493,'Fuel Model -  Input'!$B$3:$B$373,0),MATCH(I$2,'Fuel Model -  Input'!$B$3:$N$3,0))</f>
        <v>35.119981181981451</v>
      </c>
      <c r="J2493" s="532">
        <f>INDEX('Fuel Model -  Input'!$B$3:$N$373,MATCH($B2493,'Fuel Model -  Input'!$B$3:$B$373,0),MATCH(J$2,'Fuel Model -  Input'!$B$3:$N$3,0))</f>
        <v>29.785360764210218</v>
      </c>
      <c r="K2493" s="532">
        <f>INDEX('Fuel Model -  Input'!$B$3:$N$373,MATCH($B2493,'Fuel Model -  Input'!$B$3:$B$373,0),MATCH(K$2,'Fuel Model -  Input'!$B$3:$N$3,0))</f>
        <v>27.274442592674799</v>
      </c>
      <c r="L2493" s="532">
        <f>INDEX('Fuel Model -  Input'!$B$3:$N$373,MATCH($B2493,'Fuel Model -  Input'!$B$3:$B$373,0),MATCH(L$2,'Fuel Model -  Input'!$B$3:$N$3,0))</f>
        <v>24.692537876031398</v>
      </c>
      <c r="M2493" s="532">
        <f>INDEX('Fuel Model -  Input'!$B$3:$N$373,MATCH($B2493,'Fuel Model -  Input'!$B$3:$B$373,0),MATCH(M$2,'Fuel Model -  Input'!$B$3:$N$3,0))</f>
        <v>23.425269893906371</v>
      </c>
    </row>
    <row r="2494" spans="2:13" hidden="1" outlineLevel="2" x14ac:dyDescent="0.2">
      <c r="B2494" t="str">
        <f>+C2494&amp;D2494&amp;E2494&amp;F2494</f>
        <v>GlobalSynthesisElectricity demandmWh/ton blue NH3</v>
      </c>
      <c r="C2494" t="s">
        <v>109</v>
      </c>
      <c r="D2494" t="s">
        <v>962</v>
      </c>
      <c r="E2494" s="48" t="s">
        <v>963</v>
      </c>
      <c r="F2494" s="224" t="s">
        <v>1705</v>
      </c>
      <c r="G2494" s="521">
        <f>INDEX('Fuel Model -  Input'!$B$3:$N$373,MATCH($B2494,'Fuel Model -  Input'!$B$3:$B$373,0),MATCH(G$2,'Fuel Model -  Input'!$B$3:$N$3,0))</f>
        <v>0.3</v>
      </c>
      <c r="H2494" s="521">
        <f>INDEX('Fuel Model -  Input'!$B$3:$N$373,MATCH($B2494,'Fuel Model -  Input'!$B$3:$B$373,0),MATCH(H$2,'Fuel Model -  Input'!$B$3:$N$3,0))</f>
        <v>0.31</v>
      </c>
      <c r="I2494" s="521">
        <f>INDEX('Fuel Model -  Input'!$B$3:$N$373,MATCH($B2494,'Fuel Model -  Input'!$B$3:$B$373,0),MATCH(I$2,'Fuel Model -  Input'!$B$3:$N$3,0))</f>
        <v>0.32</v>
      </c>
      <c r="J2494" s="521">
        <f>INDEX('Fuel Model -  Input'!$B$3:$N$373,MATCH($B2494,'Fuel Model -  Input'!$B$3:$B$373,0),MATCH(J$2,'Fuel Model -  Input'!$B$3:$N$3,0))</f>
        <v>0.33</v>
      </c>
      <c r="K2494" s="521">
        <f>INDEX('Fuel Model -  Input'!$B$3:$N$373,MATCH($B2494,'Fuel Model -  Input'!$B$3:$B$373,0),MATCH(K$2,'Fuel Model -  Input'!$B$3:$N$3,0))</f>
        <v>0.33999999999999997</v>
      </c>
      <c r="L2494" s="521">
        <f>INDEX('Fuel Model -  Input'!$B$3:$N$373,MATCH($B2494,'Fuel Model -  Input'!$B$3:$B$373,0),MATCH(L$2,'Fuel Model -  Input'!$B$3:$N$3,0))</f>
        <v>0.35</v>
      </c>
      <c r="M2494" s="521">
        <f>INDEX('Fuel Model -  Input'!$B$3:$N$373,MATCH($B2494,'Fuel Model -  Input'!$B$3:$B$373,0),MATCH(M$2,'Fuel Model -  Input'!$B$3:$N$3,0))</f>
        <v>0.36</v>
      </c>
    </row>
    <row r="2495" spans="2:13" hidden="1" outlineLevel="2" x14ac:dyDescent="0.2">
      <c r="E2495" s="48"/>
      <c r="F2495" s="128"/>
      <c r="G2495" s="524"/>
      <c r="H2495" s="524"/>
      <c r="I2495" s="524"/>
      <c r="J2495" s="524"/>
      <c r="K2495" s="524"/>
      <c r="L2495" s="524"/>
      <c r="M2495" s="524"/>
    </row>
    <row r="2496" spans="2:13" hidden="1" outlineLevel="2" x14ac:dyDescent="0.2">
      <c r="B2496" t="str">
        <f>+C2496&amp;D2496&amp;E2496&amp;F2496</f>
        <v>AfricaFeedstockFeedstock N2USD/ton NH3</v>
      </c>
      <c r="C2496" t="str">
        <f>C2478</f>
        <v>Africa</v>
      </c>
      <c r="D2496" t="s">
        <v>777</v>
      </c>
      <c r="E2496" s="48" t="s">
        <v>965</v>
      </c>
      <c r="F2496" s="128" t="s">
        <v>960</v>
      </c>
      <c r="G2496" s="8">
        <f>G2497*G2498</f>
        <v>66.78081532914706</v>
      </c>
      <c r="H2496" s="8">
        <f t="shared" ref="H2496" si="1389">H2497*H2498</f>
        <v>40.046763546196097</v>
      </c>
      <c r="I2496" s="8">
        <f t="shared" ref="I2496" si="1390">I2497*I2498</f>
        <v>17.377624906317752</v>
      </c>
      <c r="J2496" s="8">
        <f t="shared" ref="J2496" si="1391">J2497*J2498</f>
        <v>15.709438309636161</v>
      </c>
      <c r="K2496" s="8">
        <f t="shared" ref="K2496" si="1392">K2497*K2498</f>
        <v>14.505468362235741</v>
      </c>
      <c r="L2496" s="8">
        <f t="shared" ref="L2496" si="1393">L2497*L2498</f>
        <v>13.289828226819562</v>
      </c>
      <c r="M2496" s="8">
        <f t="shared" ref="M2496" si="1394">M2497*M2498</f>
        <v>12.290314370558209</v>
      </c>
    </row>
    <row r="2497" spans="2:13" hidden="1" outlineLevel="2" x14ac:dyDescent="0.2">
      <c r="B2497" t="str">
        <f>+C2497&amp;D2497&amp;E2497&amp;F2497</f>
        <v>GlobalFeedstockConversion N2 : NH3kg N2/kg NH3</v>
      </c>
      <c r="C2497" t="s">
        <v>109</v>
      </c>
      <c r="D2497" t="s">
        <v>777</v>
      </c>
      <c r="E2497" t="s">
        <v>1702</v>
      </c>
      <c r="F2497" s="224" t="s">
        <v>967</v>
      </c>
      <c r="G2497" s="521">
        <f>INDEX('Fuel Model -  Input'!$B$3:$N$373,MATCH($B2497,'Fuel Model -  Input'!$B$3:$B$373,0),MATCH(G$2,'Fuel Model -  Input'!$B$3:$N$3,0))</f>
        <v>0.82199999999999995</v>
      </c>
      <c r="H2497" s="521">
        <f>INDEX('Fuel Model -  Input'!$B$3:$N$373,MATCH($B2497,'Fuel Model -  Input'!$B$3:$B$373,0),MATCH(H$2,'Fuel Model -  Input'!$B$3:$N$3,0))</f>
        <v>0.82199999999999995</v>
      </c>
      <c r="I2497" s="521">
        <f>INDEX('Fuel Model -  Input'!$B$3:$N$373,MATCH($B2497,'Fuel Model -  Input'!$B$3:$B$373,0),MATCH(I$2,'Fuel Model -  Input'!$B$3:$N$3,0))</f>
        <v>0.82199999999999995</v>
      </c>
      <c r="J2497" s="521">
        <f>INDEX('Fuel Model -  Input'!$B$3:$N$373,MATCH($B2497,'Fuel Model -  Input'!$B$3:$B$373,0),MATCH(J$2,'Fuel Model -  Input'!$B$3:$N$3,0))</f>
        <v>0.82199999999999995</v>
      </c>
      <c r="K2497" s="521">
        <f>INDEX('Fuel Model -  Input'!$B$3:$N$373,MATCH($B2497,'Fuel Model -  Input'!$B$3:$B$373,0),MATCH(K$2,'Fuel Model -  Input'!$B$3:$N$3,0))</f>
        <v>0.82199999999999995</v>
      </c>
      <c r="L2497" s="521">
        <f>INDEX('Fuel Model -  Input'!$B$3:$N$373,MATCH($B2497,'Fuel Model -  Input'!$B$3:$B$373,0),MATCH(L$2,'Fuel Model -  Input'!$B$3:$N$3,0))</f>
        <v>0.82199999999999995</v>
      </c>
      <c r="M2497" s="521">
        <f>INDEX('Fuel Model -  Input'!$B$3:$N$373,MATCH($B2497,'Fuel Model -  Input'!$B$3:$B$373,0),MATCH(M$2,'Fuel Model -  Input'!$B$3:$N$3,0))</f>
        <v>0.82199999999999995</v>
      </c>
    </row>
    <row r="2498" spans="2:13" hidden="1" outlineLevel="2" x14ac:dyDescent="0.2">
      <c r="B2498" t="str">
        <f>+C2498&amp;D2498&amp;E2498&amp;F2498</f>
        <v>AfricaFeedstockCost of N2USD/ton</v>
      </c>
      <c r="C2498" t="str">
        <f>C2478</f>
        <v>Africa</v>
      </c>
      <c r="D2498" t="s">
        <v>777</v>
      </c>
      <c r="E2498" t="s">
        <v>968</v>
      </c>
      <c r="F2498" s="128" t="s">
        <v>205</v>
      </c>
      <c r="G2498" s="521">
        <f>INDEX(G$1654:G$1658,MATCH($B2498,$B$1654:$B$1658,0))</f>
        <v>81.2418677970159</v>
      </c>
      <c r="H2498" s="521">
        <f t="shared" ref="H2498:M2498" si="1395">INDEX(H$1654:H$1658,MATCH($B2498,$B$1654:$B$1658,0))</f>
        <v>48.71869044549404</v>
      </c>
      <c r="I2498" s="521">
        <f t="shared" si="1395"/>
        <v>21.14066290306296</v>
      </c>
      <c r="J2498" s="521">
        <f t="shared" si="1395"/>
        <v>19.111238819508714</v>
      </c>
      <c r="K2498" s="521">
        <f t="shared" si="1395"/>
        <v>17.646555185201631</v>
      </c>
      <c r="L2498" s="521">
        <f t="shared" si="1395"/>
        <v>16.167674241872948</v>
      </c>
      <c r="M2498" s="521">
        <f t="shared" si="1395"/>
        <v>14.951720645447944</v>
      </c>
    </row>
    <row r="2499" spans="2:13" hidden="1" outlineLevel="2" x14ac:dyDescent="0.2">
      <c r="F2499" s="128"/>
      <c r="G2499" s="521"/>
      <c r="H2499" s="521"/>
      <c r="I2499" s="521"/>
      <c r="J2499" s="521"/>
      <c r="K2499" s="521"/>
      <c r="L2499" s="521"/>
      <c r="M2499" s="521"/>
    </row>
    <row r="2500" spans="2:13" hidden="1" outlineLevel="2" x14ac:dyDescent="0.2">
      <c r="B2500" t="str">
        <f>+C2500&amp;D2500&amp;E2500&amp;F2500</f>
        <v>AfricaFeedstockFeedstock N2USD/ton NH3</v>
      </c>
      <c r="C2500" t="str">
        <f>C2478</f>
        <v>Africa</v>
      </c>
      <c r="D2500" t="s">
        <v>777</v>
      </c>
      <c r="E2500" s="48" t="s">
        <v>965</v>
      </c>
      <c r="F2500" s="128" t="s">
        <v>960</v>
      </c>
      <c r="G2500" s="8">
        <f>G2501*G2502</f>
        <v>1120</v>
      </c>
      <c r="H2500" s="8">
        <f t="shared" ref="H2500" si="1396">H2501*H2502</f>
        <v>448</v>
      </c>
      <c r="I2500" s="8">
        <f t="shared" ref="I2500" si="1397">I2501*I2502</f>
        <v>304</v>
      </c>
      <c r="J2500" s="8">
        <f t="shared" ref="J2500" si="1398">J2501*J2502</f>
        <v>304</v>
      </c>
      <c r="K2500" s="8">
        <f t="shared" ref="K2500" si="1399">K2501*K2502</f>
        <v>304</v>
      </c>
      <c r="L2500" s="8">
        <f t="shared" ref="L2500" si="1400">L2501*L2502</f>
        <v>304</v>
      </c>
      <c r="M2500" s="8">
        <f t="shared" ref="M2500" si="1401">M2501*M2502</f>
        <v>304</v>
      </c>
    </row>
    <row r="2501" spans="2:13" hidden="1" outlineLevel="2" x14ac:dyDescent="0.2">
      <c r="B2501" t="str">
        <f>+C2501&amp;D2501&amp;E2501&amp;F2501</f>
        <v>GlobalFeedstockConversion NG : NH3kg NG/kg NH3</v>
      </c>
      <c r="C2501" t="s">
        <v>109</v>
      </c>
      <c r="D2501" t="s">
        <v>777</v>
      </c>
      <c r="E2501" t="s">
        <v>1701</v>
      </c>
      <c r="F2501" s="224" t="s">
        <v>1703</v>
      </c>
      <c r="G2501" s="521">
        <f>INDEX('Fuel Model -  Input'!$B$3:$N$373,MATCH($B2501,'Fuel Model -  Input'!$B$3:$B$373,0),MATCH(G$2,'Fuel Model -  Input'!$B$3:$N$3,0))</f>
        <v>0.64</v>
      </c>
      <c r="H2501" s="521">
        <f>INDEX('Fuel Model -  Input'!$B$3:$N$373,MATCH($B2501,'Fuel Model -  Input'!$B$3:$B$373,0),MATCH(H$2,'Fuel Model -  Input'!$B$3:$N$3,0))</f>
        <v>0.64</v>
      </c>
      <c r="I2501" s="521">
        <f>INDEX('Fuel Model -  Input'!$B$3:$N$373,MATCH($B2501,'Fuel Model -  Input'!$B$3:$B$373,0),MATCH(I$2,'Fuel Model -  Input'!$B$3:$N$3,0))</f>
        <v>0.64</v>
      </c>
      <c r="J2501" s="521">
        <f>INDEX('Fuel Model -  Input'!$B$3:$N$373,MATCH($B2501,'Fuel Model -  Input'!$B$3:$B$373,0),MATCH(J$2,'Fuel Model -  Input'!$B$3:$N$3,0))</f>
        <v>0.64</v>
      </c>
      <c r="K2501" s="521">
        <f>INDEX('Fuel Model -  Input'!$B$3:$N$373,MATCH($B2501,'Fuel Model -  Input'!$B$3:$B$373,0),MATCH(K$2,'Fuel Model -  Input'!$B$3:$N$3,0))</f>
        <v>0.64</v>
      </c>
      <c r="L2501" s="521">
        <f>INDEX('Fuel Model -  Input'!$B$3:$N$373,MATCH($B2501,'Fuel Model -  Input'!$B$3:$B$373,0),MATCH(L$2,'Fuel Model -  Input'!$B$3:$N$3,0))</f>
        <v>0.64</v>
      </c>
      <c r="M2501" s="521">
        <f>INDEX('Fuel Model -  Input'!$B$3:$N$373,MATCH($B2501,'Fuel Model -  Input'!$B$3:$B$373,0),MATCH(M$2,'Fuel Model -  Input'!$B$3:$N$3,0))</f>
        <v>0.64</v>
      </c>
    </row>
    <row r="2502" spans="2:13" hidden="1" outlineLevel="2" x14ac:dyDescent="0.2">
      <c r="B2502" t="str">
        <f>+C2502&amp;D2502&amp;E2502&amp;F2502</f>
        <v>AfricaFeedstockCost of NGUSD/ton</v>
      </c>
      <c r="C2502" t="str">
        <f>C2478</f>
        <v>Africa</v>
      </c>
      <c r="D2502" s="15" t="s">
        <v>777</v>
      </c>
      <c r="E2502" s="15" t="s">
        <v>1144</v>
      </c>
      <c r="F2502" s="15" t="s">
        <v>205</v>
      </c>
      <c r="G2502" s="532">
        <f>INDEX('Fuel Model -  Input'!$B$3:$N$373,MATCH($B2502,'Fuel Model -  Input'!$B$3:$B$373,0),MATCH(G$2,'Fuel Model -  Input'!$B$3:$N$3,0))</f>
        <v>1750</v>
      </c>
      <c r="H2502" s="532">
        <f>INDEX('Fuel Model -  Input'!$B$3:$N$373,MATCH($B2502,'Fuel Model -  Input'!$B$3:$B$373,0),MATCH(H$2,'Fuel Model -  Input'!$B$3:$N$3,0))</f>
        <v>700</v>
      </c>
      <c r="I2502" s="532">
        <f>INDEX('Fuel Model -  Input'!$B$3:$N$373,MATCH($B2502,'Fuel Model -  Input'!$B$3:$B$373,0),MATCH(I$2,'Fuel Model -  Input'!$B$3:$N$3,0))</f>
        <v>475</v>
      </c>
      <c r="J2502" s="532">
        <f>INDEX('Fuel Model -  Input'!$B$3:$N$373,MATCH($B2502,'Fuel Model -  Input'!$B$3:$B$373,0),MATCH(J$2,'Fuel Model -  Input'!$B$3:$N$3,0))</f>
        <v>475</v>
      </c>
      <c r="K2502" s="532">
        <f>INDEX('Fuel Model -  Input'!$B$3:$N$373,MATCH($B2502,'Fuel Model -  Input'!$B$3:$B$373,0),MATCH(K$2,'Fuel Model -  Input'!$B$3:$N$3,0))</f>
        <v>475</v>
      </c>
      <c r="L2502" s="532">
        <f>INDEX('Fuel Model -  Input'!$B$3:$N$373,MATCH($B2502,'Fuel Model -  Input'!$B$3:$B$373,0),MATCH(L$2,'Fuel Model -  Input'!$B$3:$N$3,0))</f>
        <v>475</v>
      </c>
      <c r="M2502" s="532">
        <f>INDEX('Fuel Model -  Input'!$B$3:$N$373,MATCH($B2502,'Fuel Model -  Input'!$B$3:$B$373,0),MATCH(M$2,'Fuel Model -  Input'!$B$3:$N$3,0))</f>
        <v>475</v>
      </c>
    </row>
    <row r="2503" spans="2:13" hidden="1" outlineLevel="2" x14ac:dyDescent="0.2">
      <c r="F2503" s="128"/>
      <c r="G2503" s="521"/>
      <c r="H2503" s="521"/>
      <c r="I2503" s="521"/>
      <c r="J2503" s="521"/>
      <c r="K2503" s="521"/>
      <c r="L2503" s="521"/>
      <c r="M2503" s="521"/>
    </row>
    <row r="2504" spans="2:13" hidden="1" outlineLevel="2" x14ac:dyDescent="0.2">
      <c r="B2504" t="str">
        <f>+C2504&amp;D2504&amp;E2504&amp;F2504</f>
        <v>GlobalCO2 StorageCO2 Storage Capture Blue HydrogenUSD/ton NH3</v>
      </c>
      <c r="C2504" t="s">
        <v>109</v>
      </c>
      <c r="D2504" t="s">
        <v>1206</v>
      </c>
      <c r="E2504" s="48" t="s">
        <v>1207</v>
      </c>
      <c r="F2504" s="128" t="s">
        <v>960</v>
      </c>
      <c r="G2504" s="8">
        <f>G2507*G2510+G2505*G2509</f>
        <v>131.21600000000001</v>
      </c>
      <c r="H2504" s="8">
        <f t="shared" ref="H2504" si="1402">H2507*H2510+H2505*H2509</f>
        <v>132.16000000000003</v>
      </c>
      <c r="I2504" s="8">
        <f t="shared" ref="I2504" si="1403">I2507*I2510+I2505*I2509</f>
        <v>133.10400000000001</v>
      </c>
      <c r="J2504" s="8">
        <f t="shared" ref="J2504" si="1404">J2507*J2510+J2505*J2509</f>
        <v>134.048</v>
      </c>
      <c r="K2504" s="8">
        <f t="shared" ref="K2504" si="1405">K2507*K2510+K2505*K2509</f>
        <v>134.99200000000002</v>
      </c>
      <c r="L2504" s="8">
        <f t="shared" ref="L2504" si="1406">L2507*L2510+L2505*L2509</f>
        <v>135.93600000000001</v>
      </c>
      <c r="M2504" s="8">
        <f t="shared" ref="M2504" si="1407">M2507*M2510+M2505*M2509</f>
        <v>136.88</v>
      </c>
    </row>
    <row r="2505" spans="2:13" hidden="1" outlineLevel="2" x14ac:dyDescent="0.2">
      <c r="B2505" t="str">
        <f t="shared" ref="B2505:B2507" si="1408">+C2505&amp;D2505&amp;E2505&amp;F2505</f>
        <v>GlobalShareCO2 captured per ton NH3Ton CO2/ton NH3</v>
      </c>
      <c r="C2505" t="s">
        <v>109</v>
      </c>
      <c r="D2505" t="s">
        <v>1714</v>
      </c>
      <c r="E2505" s="48" t="s">
        <v>1710</v>
      </c>
      <c r="F2505" s="128" t="s">
        <v>1713</v>
      </c>
      <c r="G2505" s="763">
        <f>G2507*G2506</f>
        <v>1.68032</v>
      </c>
      <c r="H2505" s="763">
        <f t="shared" ref="H2505:M2505" si="1409">H2507*H2506</f>
        <v>1.6992</v>
      </c>
      <c r="I2505" s="763">
        <f t="shared" si="1409"/>
        <v>1.7180800000000003</v>
      </c>
      <c r="J2505" s="763">
        <f t="shared" si="1409"/>
        <v>1.7369600000000003</v>
      </c>
      <c r="K2505" s="763">
        <f t="shared" si="1409"/>
        <v>1.7558400000000001</v>
      </c>
      <c r="L2505" s="763">
        <f t="shared" si="1409"/>
        <v>1.7747200000000001</v>
      </c>
      <c r="M2505" s="763">
        <f t="shared" si="1409"/>
        <v>1.7936000000000001</v>
      </c>
    </row>
    <row r="2506" spans="2:13" hidden="1" outlineLevel="2" x14ac:dyDescent="0.2">
      <c r="B2506" t="str">
        <f t="shared" si="1408"/>
        <v>GlobalCCSCarboncaptureeff%</v>
      </c>
      <c r="C2506" t="s">
        <v>109</v>
      </c>
      <c r="D2506" s="15" t="s">
        <v>1711</v>
      </c>
      <c r="E2506" s="15" t="s">
        <v>1212</v>
      </c>
      <c r="F2506" s="15" t="s">
        <v>178</v>
      </c>
      <c r="G2506" s="531">
        <f>INDEX('Fuel Model -  Input'!$B$3:$N$373,MATCH($B2506,'Fuel Model -  Input'!$B$3:$B$373,0),MATCH(G$2,'Fuel Model -  Input'!$B$3:$N$3,0))</f>
        <v>0.89</v>
      </c>
      <c r="H2506" s="531">
        <f>INDEX('Fuel Model -  Input'!$B$3:$N$373,MATCH($B2506,'Fuel Model -  Input'!$B$3:$B$373,0),MATCH(H$2,'Fuel Model -  Input'!$B$3:$N$3,0))</f>
        <v>0.9</v>
      </c>
      <c r="I2506" s="531">
        <f>INDEX('Fuel Model -  Input'!$B$3:$N$373,MATCH($B2506,'Fuel Model -  Input'!$B$3:$B$373,0),MATCH(I$2,'Fuel Model -  Input'!$B$3:$N$3,0))</f>
        <v>0.91</v>
      </c>
      <c r="J2506" s="531">
        <f>INDEX('Fuel Model -  Input'!$B$3:$N$373,MATCH($B2506,'Fuel Model -  Input'!$B$3:$B$373,0),MATCH(J$2,'Fuel Model -  Input'!$B$3:$N$3,0))</f>
        <v>0.92</v>
      </c>
      <c r="K2506" s="531">
        <f>INDEX('Fuel Model -  Input'!$B$3:$N$373,MATCH($B2506,'Fuel Model -  Input'!$B$3:$B$373,0),MATCH(K$2,'Fuel Model -  Input'!$B$3:$N$3,0))</f>
        <v>0.92999999999999994</v>
      </c>
      <c r="L2506" s="531">
        <f>INDEX('Fuel Model -  Input'!$B$3:$N$373,MATCH($B2506,'Fuel Model -  Input'!$B$3:$B$373,0),MATCH(L$2,'Fuel Model -  Input'!$B$3:$N$3,0))</f>
        <v>0.94</v>
      </c>
      <c r="M2506" s="531">
        <f>INDEX('Fuel Model -  Input'!$B$3:$N$373,MATCH($B2506,'Fuel Model -  Input'!$B$3:$B$373,0),MATCH(M$2,'Fuel Model -  Input'!$B$3:$N$3,0))</f>
        <v>0.95</v>
      </c>
    </row>
    <row r="2507" spans="2:13" hidden="1" outlineLevel="2" x14ac:dyDescent="0.2">
      <c r="B2507" t="str">
        <f t="shared" si="1408"/>
        <v>GlobalShareCO2 produced per ton NH3Ton CO2/ton NH3</v>
      </c>
      <c r="C2507" t="s">
        <v>109</v>
      </c>
      <c r="D2507" t="s">
        <v>1714</v>
      </c>
      <c r="E2507" s="48" t="s">
        <v>1712</v>
      </c>
      <c r="F2507" s="128" t="s">
        <v>1713</v>
      </c>
      <c r="G2507" s="2">
        <f t="shared" ref="G2507" si="1410">G2501*G2508</f>
        <v>1.8880000000000001</v>
      </c>
      <c r="H2507" s="2">
        <f t="shared" ref="H2507" si="1411">H2501*H2508</f>
        <v>1.8880000000000001</v>
      </c>
      <c r="I2507" s="2">
        <f t="shared" ref="I2507" si="1412">I2501*I2508</f>
        <v>1.8880000000000001</v>
      </c>
      <c r="J2507" s="2">
        <f t="shared" ref="J2507" si="1413">J2501*J2508</f>
        <v>1.8880000000000001</v>
      </c>
      <c r="K2507" s="2">
        <f t="shared" ref="K2507" si="1414">K2501*K2508</f>
        <v>1.8880000000000001</v>
      </c>
      <c r="L2507" s="2">
        <f t="shared" ref="L2507" si="1415">L2501*L2508</f>
        <v>1.8880000000000001</v>
      </c>
      <c r="M2507" s="2">
        <f t="shared" ref="M2507" si="1416">M2501*M2508</f>
        <v>1.8880000000000001</v>
      </c>
    </row>
    <row r="2508" spans="2:13" hidden="1" outlineLevel="2" x14ac:dyDescent="0.2">
      <c r="B2508" t="str">
        <f>+C2508&amp;D2508&amp;E2508&amp;F2508</f>
        <v>GlobalCO2 CaptureConversion CO2 : NG (actual)kg CO2/kg NG</v>
      </c>
      <c r="C2508" t="s">
        <v>109</v>
      </c>
      <c r="D2508" t="s">
        <v>1178</v>
      </c>
      <c r="E2508" t="s">
        <v>1707</v>
      </c>
      <c r="F2508" s="224" t="s">
        <v>1708</v>
      </c>
      <c r="G2508" s="521">
        <f>INDEX('Fuel Model -  Input'!$B$3:$N$373,MATCH($B2508,'Fuel Model -  Input'!$B$3:$B$373,0),MATCH(G$2,'Fuel Model -  Input'!$B$3:$N$3,0))</f>
        <v>2.95</v>
      </c>
      <c r="H2508" s="521">
        <f>INDEX('Fuel Model -  Input'!$B$3:$N$373,MATCH($B2508,'Fuel Model -  Input'!$B$3:$B$373,0),MATCH(H$2,'Fuel Model -  Input'!$B$3:$N$3,0))</f>
        <v>2.95</v>
      </c>
      <c r="I2508" s="521">
        <f>INDEX('Fuel Model -  Input'!$B$3:$N$373,MATCH($B2508,'Fuel Model -  Input'!$B$3:$B$373,0),MATCH(I$2,'Fuel Model -  Input'!$B$3:$N$3,0))</f>
        <v>2.95</v>
      </c>
      <c r="J2508" s="521">
        <f>INDEX('Fuel Model -  Input'!$B$3:$N$373,MATCH($B2508,'Fuel Model -  Input'!$B$3:$B$373,0),MATCH(J$2,'Fuel Model -  Input'!$B$3:$N$3,0))</f>
        <v>2.95</v>
      </c>
      <c r="K2508" s="521">
        <f>INDEX('Fuel Model -  Input'!$B$3:$N$373,MATCH($B2508,'Fuel Model -  Input'!$B$3:$B$373,0),MATCH(K$2,'Fuel Model -  Input'!$B$3:$N$3,0))</f>
        <v>2.95</v>
      </c>
      <c r="L2508" s="521">
        <f>INDEX('Fuel Model -  Input'!$B$3:$N$373,MATCH($B2508,'Fuel Model -  Input'!$B$3:$B$373,0),MATCH(L$2,'Fuel Model -  Input'!$B$3:$N$3,0))</f>
        <v>2.95</v>
      </c>
      <c r="M2508" s="521">
        <f>INDEX('Fuel Model -  Input'!$B$3:$N$373,MATCH($B2508,'Fuel Model -  Input'!$B$3:$B$373,0),MATCH(M$2,'Fuel Model -  Input'!$B$3:$N$3,0))</f>
        <v>2.95</v>
      </c>
    </row>
    <row r="2509" spans="2:13" hidden="1" outlineLevel="2" x14ac:dyDescent="0.2">
      <c r="B2509" t="str">
        <f>+C2509&amp;D2509&amp;E2509&amp;F2509</f>
        <v>AfricaCO2 StorageCost of CO2 storageUSD/ton CO2</v>
      </c>
      <c r="C2509" t="str">
        <f>C2478</f>
        <v>Africa</v>
      </c>
      <c r="D2509" t="s">
        <v>1206</v>
      </c>
      <c r="E2509" t="s">
        <v>1208</v>
      </c>
      <c r="F2509" s="224" t="s">
        <v>382</v>
      </c>
      <c r="G2509" s="532">
        <f>INDEX('Fuel Model -  Input'!$B$3:$N$373,MATCH($B2509,'Fuel Model -  Input'!$B$3:$B$373,0),MATCH(G$2,'Fuel Model -  Input'!$B$3:$N$3,0))</f>
        <v>50</v>
      </c>
      <c r="H2509" s="532">
        <f>INDEX('Fuel Model -  Input'!$B$3:$N$373,MATCH($B2509,'Fuel Model -  Input'!$B$3:$B$373,0),MATCH(H$2,'Fuel Model -  Input'!$B$3:$N$3,0))</f>
        <v>50</v>
      </c>
      <c r="I2509" s="532">
        <f>INDEX('Fuel Model -  Input'!$B$3:$N$373,MATCH($B2509,'Fuel Model -  Input'!$B$3:$B$373,0),MATCH(I$2,'Fuel Model -  Input'!$B$3:$N$3,0))</f>
        <v>50</v>
      </c>
      <c r="J2509" s="532">
        <f>INDEX('Fuel Model -  Input'!$B$3:$N$373,MATCH($B2509,'Fuel Model -  Input'!$B$3:$B$373,0),MATCH(J$2,'Fuel Model -  Input'!$B$3:$N$3,0))</f>
        <v>50</v>
      </c>
      <c r="K2509" s="532">
        <f>INDEX('Fuel Model -  Input'!$B$3:$N$373,MATCH($B2509,'Fuel Model -  Input'!$B$3:$B$373,0),MATCH(K$2,'Fuel Model -  Input'!$B$3:$N$3,0))</f>
        <v>50</v>
      </c>
      <c r="L2509" s="532">
        <f>INDEX('Fuel Model -  Input'!$B$3:$N$373,MATCH($B2509,'Fuel Model -  Input'!$B$3:$B$373,0),MATCH(L$2,'Fuel Model -  Input'!$B$3:$N$3,0))</f>
        <v>50</v>
      </c>
      <c r="M2509" s="532">
        <f>INDEX('Fuel Model -  Input'!$B$3:$N$373,MATCH($B2509,'Fuel Model -  Input'!$B$3:$B$373,0),MATCH(M$2,'Fuel Model -  Input'!$B$3:$N$3,0))</f>
        <v>50</v>
      </c>
    </row>
    <row r="2510" spans="2:13" hidden="1" outlineLevel="2" x14ac:dyDescent="0.2">
      <c r="B2510" t="str">
        <f>+C2510&amp;D2510&amp;E2510&amp;F2510</f>
        <v>AfricaFeedstockCost of blue CO2 PSUSD/ton</v>
      </c>
      <c r="C2510" t="str">
        <f>C2478</f>
        <v>Africa</v>
      </c>
      <c r="D2510" t="s">
        <v>777</v>
      </c>
      <c r="E2510" t="s">
        <v>1209</v>
      </c>
      <c r="F2510" s="224" t="s">
        <v>205</v>
      </c>
      <c r="G2510" s="532">
        <f>INDEX('Fuel Model -  Input'!$B$3:$N$373,MATCH($B2510,'Fuel Model -  Input'!$B$3:$B$373,0),MATCH(G$2,'Fuel Model -  Input'!$B$3:$N$3,0))</f>
        <v>25</v>
      </c>
      <c r="H2510" s="532">
        <f>INDEX('Fuel Model -  Input'!$B$3:$N$373,MATCH($B2510,'Fuel Model -  Input'!$B$3:$B$373,0),MATCH(H$2,'Fuel Model -  Input'!$B$3:$N$3,0))</f>
        <v>25</v>
      </c>
      <c r="I2510" s="532">
        <f>INDEX('Fuel Model -  Input'!$B$3:$N$373,MATCH($B2510,'Fuel Model -  Input'!$B$3:$B$373,0),MATCH(I$2,'Fuel Model -  Input'!$B$3:$N$3,0))</f>
        <v>25</v>
      </c>
      <c r="J2510" s="532">
        <f>INDEX('Fuel Model -  Input'!$B$3:$N$373,MATCH($B2510,'Fuel Model -  Input'!$B$3:$B$373,0),MATCH(J$2,'Fuel Model -  Input'!$B$3:$N$3,0))</f>
        <v>25</v>
      </c>
      <c r="K2510" s="532">
        <f>INDEX('Fuel Model -  Input'!$B$3:$N$373,MATCH($B2510,'Fuel Model -  Input'!$B$3:$B$373,0),MATCH(K$2,'Fuel Model -  Input'!$B$3:$N$3,0))</f>
        <v>25</v>
      </c>
      <c r="L2510" s="532">
        <f>INDEX('Fuel Model -  Input'!$B$3:$N$373,MATCH($B2510,'Fuel Model -  Input'!$B$3:$B$373,0),MATCH(L$2,'Fuel Model -  Input'!$B$3:$N$3,0))</f>
        <v>25</v>
      </c>
      <c r="M2510" s="532">
        <f>INDEX('Fuel Model -  Input'!$B$3:$N$373,MATCH($B2510,'Fuel Model -  Input'!$B$3:$B$373,0),MATCH(M$2,'Fuel Model -  Input'!$B$3:$N$3,0))</f>
        <v>25</v>
      </c>
    </row>
    <row r="2511" spans="2:13" ht="12.75" hidden="1" outlineLevel="1" x14ac:dyDescent="0.2">
      <c r="F2511"/>
    </row>
    <row r="2512" spans="2:13" s="157" customFormat="1" ht="15" hidden="1" outlineLevel="1" x14ac:dyDescent="0.25">
      <c r="B2512" s="30" t="s">
        <v>1221</v>
      </c>
      <c r="C2512" s="30" t="str">
        <f>+B2512</f>
        <v>CO2eq intensity ton/ton blue Ammonia</v>
      </c>
      <c r="D2512"/>
      <c r="E2512"/>
      <c r="F2512"/>
      <c r="G2512" s="763"/>
      <c r="H2512" s="763"/>
      <c r="I2512" s="763"/>
      <c r="J2512" s="763"/>
      <c r="K2512" s="763"/>
      <c r="L2512" s="763"/>
      <c r="M2512" s="763"/>
    </row>
    <row r="2513" spans="2:14" ht="15" hidden="1" outlineLevel="1" collapsed="1" x14ac:dyDescent="0.25">
      <c r="B2513" s="527" t="str">
        <f>+C2513&amp;D2513&amp;E2513&amp;F2513</f>
        <v xml:space="preserve">GlobalEmissionsWTT Emission - Blue AmmoniatonCO2eq/ ton </v>
      </c>
      <c r="C2513" s="516" t="s">
        <v>109</v>
      </c>
      <c r="D2513" s="516" t="s">
        <v>728</v>
      </c>
      <c r="E2513" s="516" t="s">
        <v>1222</v>
      </c>
      <c r="F2513" s="512" t="s">
        <v>1016</v>
      </c>
      <c r="G2513" s="533">
        <f t="shared" ref="G2513:M2513" si="1417">G2515+G2517+G2516*G2365+G2518*G2358+G2361*G2519</f>
        <v>0.41517900000000002</v>
      </c>
      <c r="H2513" s="533">
        <f t="shared" si="1417"/>
        <v>0.39635270000000006</v>
      </c>
      <c r="I2513" s="533">
        <f t="shared" si="1417"/>
        <v>0.37752639999999982</v>
      </c>
      <c r="J2513" s="533">
        <f t="shared" si="1417"/>
        <v>0.3587000999999998</v>
      </c>
      <c r="K2513" s="533">
        <f t="shared" si="1417"/>
        <v>0.3398738</v>
      </c>
      <c r="L2513" s="533">
        <f t="shared" si="1417"/>
        <v>0.32104749999999999</v>
      </c>
      <c r="M2513" s="533">
        <f t="shared" si="1417"/>
        <v>0.30222120000000002</v>
      </c>
    </row>
    <row r="2514" spans="2:14" hidden="1" outlineLevel="2" x14ac:dyDescent="0.2">
      <c r="B2514" s="554"/>
      <c r="C2514" s="555"/>
      <c r="D2514" s="555"/>
      <c r="E2514" s="555"/>
      <c r="F2514" s="555"/>
      <c r="G2514" s="556"/>
      <c r="H2514" s="556"/>
      <c r="I2514" s="556"/>
      <c r="J2514" s="556"/>
      <c r="K2514" s="556"/>
      <c r="L2514" s="556"/>
      <c r="M2514" s="556"/>
    </row>
    <row r="2515" spans="2:14" hidden="1" outlineLevel="2" x14ac:dyDescent="0.2">
      <c r="B2515" s="496" t="str">
        <f>+C2515&amp;D2515&amp;E2515&amp;F2515</f>
        <v>GlobalCO2intensityCO2 not captured per ton NH3tonCO2eq/ton NH3</v>
      </c>
      <c r="C2515" t="s">
        <v>109</v>
      </c>
      <c r="D2515" t="s">
        <v>927</v>
      </c>
      <c r="E2515" s="157" t="s">
        <v>1722</v>
      </c>
      <c r="F2515" s="157" t="s">
        <v>980</v>
      </c>
      <c r="G2515" s="340">
        <f t="shared" ref="G2515:M2515" si="1418">G2371-G2369</f>
        <v>0.20768000000000009</v>
      </c>
      <c r="H2515" s="340">
        <f t="shared" si="1418"/>
        <v>0.18880000000000008</v>
      </c>
      <c r="I2515" s="340">
        <f t="shared" si="1418"/>
        <v>0.16991999999999985</v>
      </c>
      <c r="J2515" s="340">
        <f t="shared" si="1418"/>
        <v>0.15103999999999984</v>
      </c>
      <c r="K2515" s="340">
        <f t="shared" si="1418"/>
        <v>0.13216000000000006</v>
      </c>
      <c r="L2515" s="340">
        <f t="shared" si="1418"/>
        <v>0.11328000000000005</v>
      </c>
      <c r="M2515" s="340">
        <f t="shared" si="1418"/>
        <v>9.4400000000000039E-2</v>
      </c>
    </row>
    <row r="2516" spans="2:14" hidden="1" outlineLevel="2" x14ac:dyDescent="0.2">
      <c r="B2516" t="str">
        <f t="shared" ref="B2516" si="1419">+C2516&amp;D2516&amp;E2516&amp;F2516</f>
        <v xml:space="preserve">GlobalEmissionsWTT Emission - NGtonCO2eq/ ton </v>
      </c>
      <c r="C2516" t="s">
        <v>109</v>
      </c>
      <c r="D2516" s="15" t="s">
        <v>728</v>
      </c>
      <c r="E2516" s="15" t="s">
        <v>1723</v>
      </c>
      <c r="F2516" s="55" t="s">
        <v>1016</v>
      </c>
      <c r="G2516" s="521">
        <f>INDEX('Fuel Model -  Input'!$B$3:$N$373,MATCH($B2516,'Fuel Model -  Input'!$B$3:$B$373,0),MATCH(G$2,'Fuel Model -  Input'!$B$3:$N$3,0))</f>
        <v>0.32169999999999999</v>
      </c>
      <c r="H2516" s="521">
        <f>INDEX('Fuel Model -  Input'!$B$3:$N$373,MATCH($B2516,'Fuel Model -  Input'!$B$3:$B$373,0),MATCH(H$2,'Fuel Model -  Input'!$B$3:$N$3,0))</f>
        <v>0.32169999999999999</v>
      </c>
      <c r="I2516" s="521">
        <f>INDEX('Fuel Model -  Input'!$B$3:$N$373,MATCH($B2516,'Fuel Model -  Input'!$B$3:$B$373,0),MATCH(I$2,'Fuel Model -  Input'!$B$3:$N$3,0))</f>
        <v>0.32169999999999999</v>
      </c>
      <c r="J2516" s="521">
        <f>INDEX('Fuel Model -  Input'!$B$3:$N$373,MATCH($B2516,'Fuel Model -  Input'!$B$3:$B$373,0),MATCH(J$2,'Fuel Model -  Input'!$B$3:$N$3,0))</f>
        <v>0.32169999999999999</v>
      </c>
      <c r="K2516" s="521">
        <f>INDEX('Fuel Model -  Input'!$B$3:$N$373,MATCH($B2516,'Fuel Model -  Input'!$B$3:$B$373,0),MATCH(K$2,'Fuel Model -  Input'!$B$3:$N$3,0))</f>
        <v>0.32169999999999999</v>
      </c>
      <c r="L2516" s="521">
        <f>INDEX('Fuel Model -  Input'!$B$3:$N$373,MATCH($B2516,'Fuel Model -  Input'!$B$3:$B$373,0),MATCH(L$2,'Fuel Model -  Input'!$B$3:$N$3,0))</f>
        <v>0.32169999999999999</v>
      </c>
      <c r="M2516" s="521">
        <f>INDEX('Fuel Model -  Input'!$B$3:$N$373,MATCH($B2516,'Fuel Model -  Input'!$B$3:$B$373,0),MATCH(M$2,'Fuel Model -  Input'!$B$3:$N$3,0))</f>
        <v>0.32169999999999999</v>
      </c>
    </row>
    <row r="2517" spans="2:14" hidden="1" outlineLevel="2" x14ac:dyDescent="0.2">
      <c r="B2517" s="496" t="str">
        <f>+C2517&amp;D2517&amp;E2517&amp;F2517</f>
        <v>GlobalCO2intensityAmmonia synthesis process tonCO2eq/ton NH3</v>
      </c>
      <c r="C2517" t="s">
        <v>109</v>
      </c>
      <c r="D2517" t="s">
        <v>927</v>
      </c>
      <c r="E2517" t="s">
        <v>979</v>
      </c>
      <c r="F2517" s="157" t="s">
        <v>980</v>
      </c>
      <c r="G2517" s="521">
        <f>INDEX('Fuel Model -  Input'!$B$3:$N$373,MATCH($B2517,'Fuel Model -  Input'!$B$3:$B$373,0),MATCH(G$2,'Fuel Model -  Input'!$B$3:$N$3,0))</f>
        <v>0</v>
      </c>
      <c r="H2517" s="521">
        <f>INDEX('Fuel Model -  Input'!$B$3:$N$373,MATCH($B2517,'Fuel Model -  Input'!$B$3:$B$373,0),MATCH(H$2,'Fuel Model -  Input'!$B$3:$N$3,0))</f>
        <v>0</v>
      </c>
      <c r="I2517" s="521">
        <f>INDEX('Fuel Model -  Input'!$B$3:$N$373,MATCH($B2517,'Fuel Model -  Input'!$B$3:$B$373,0),MATCH(I$2,'Fuel Model -  Input'!$B$3:$N$3,0))</f>
        <v>0</v>
      </c>
      <c r="J2517" s="521">
        <f>INDEX('Fuel Model -  Input'!$B$3:$N$373,MATCH($B2517,'Fuel Model -  Input'!$B$3:$B$373,0),MATCH(J$2,'Fuel Model -  Input'!$B$3:$N$3,0))</f>
        <v>0</v>
      </c>
      <c r="K2517" s="521">
        <f>INDEX('Fuel Model -  Input'!$B$3:$N$373,MATCH($B2517,'Fuel Model -  Input'!$B$3:$B$373,0),MATCH(K$2,'Fuel Model -  Input'!$B$3:$N$3,0))</f>
        <v>0</v>
      </c>
      <c r="L2517" s="521">
        <f>INDEX('Fuel Model -  Input'!$B$3:$N$373,MATCH($B2517,'Fuel Model -  Input'!$B$3:$B$373,0),MATCH(L$2,'Fuel Model -  Input'!$B$3:$N$3,0))</f>
        <v>0</v>
      </c>
      <c r="M2517" s="521">
        <f>INDEX('Fuel Model -  Input'!$B$3:$N$373,MATCH($B2517,'Fuel Model -  Input'!$B$3:$B$373,0),MATCH(M$2,'Fuel Model -  Input'!$B$3:$N$3,0))</f>
        <v>0</v>
      </c>
    </row>
    <row r="2518" spans="2:14" hidden="1" outlineLevel="2" x14ac:dyDescent="0.2">
      <c r="B2518" s="496" t="str">
        <f>+C2518&amp;D2518&amp;E2518&amp;F2518</f>
        <v>GlobalCO2intensityElectricitytonCO2eq/MWH</v>
      </c>
      <c r="C2518" s="157" t="s">
        <v>109</v>
      </c>
      <c r="D2518" s="157" t="s">
        <v>927</v>
      </c>
      <c r="E2518" s="157" t="s">
        <v>54</v>
      </c>
      <c r="F2518" s="157" t="s">
        <v>937</v>
      </c>
      <c r="G2518" s="521">
        <f>INDEX('Fuel Model -  Input'!$B$3:$N$373,MATCH($B2518,'Fuel Model -  Input'!$B$3:$B$373,0),MATCH(G$2,'Fuel Model -  Input'!$B$3:$N$3,0))</f>
        <v>5.3699999999999998E-3</v>
      </c>
      <c r="H2518" s="521">
        <f>INDEX('Fuel Model -  Input'!$B$3:$N$373,MATCH($B2518,'Fuel Model -  Input'!$B$3:$B$373,0),MATCH(H$2,'Fuel Model -  Input'!$B$3:$N$3,0))</f>
        <v>5.3699999999999998E-3</v>
      </c>
      <c r="I2518" s="521">
        <f>INDEX('Fuel Model -  Input'!$B$3:$N$373,MATCH($B2518,'Fuel Model -  Input'!$B$3:$B$373,0),MATCH(I$2,'Fuel Model -  Input'!$B$3:$N$3,0))</f>
        <v>5.3699999999999998E-3</v>
      </c>
      <c r="J2518" s="521">
        <f>INDEX('Fuel Model -  Input'!$B$3:$N$373,MATCH($B2518,'Fuel Model -  Input'!$B$3:$B$373,0),MATCH(J$2,'Fuel Model -  Input'!$B$3:$N$3,0))</f>
        <v>5.3699999999999998E-3</v>
      </c>
      <c r="K2518" s="521">
        <f>INDEX('Fuel Model -  Input'!$B$3:$N$373,MATCH($B2518,'Fuel Model -  Input'!$B$3:$B$373,0),MATCH(K$2,'Fuel Model -  Input'!$B$3:$N$3,0))</f>
        <v>5.3699999999999998E-3</v>
      </c>
      <c r="L2518" s="521">
        <f>INDEX('Fuel Model -  Input'!$B$3:$N$373,MATCH($B2518,'Fuel Model -  Input'!$B$3:$B$373,0),MATCH(L$2,'Fuel Model -  Input'!$B$3:$N$3,0))</f>
        <v>5.3699999999999998E-3</v>
      </c>
      <c r="M2518" s="521">
        <f>INDEX('Fuel Model -  Input'!$B$3:$N$373,MATCH($B2518,'Fuel Model -  Input'!$B$3:$B$373,0),MATCH(M$2,'Fuel Model -  Input'!$B$3:$N$3,0))</f>
        <v>5.3699999999999998E-3</v>
      </c>
    </row>
    <row r="2519" spans="2:14" hidden="1" outlineLevel="2" x14ac:dyDescent="0.2">
      <c r="B2519" s="496" t="str">
        <f>+C2519&amp;D2519&amp;E2519&amp;F2519</f>
        <v>GlobalCO2intensityN2tonCO2eq/ton N2</v>
      </c>
      <c r="C2519" s="157" t="s">
        <v>109</v>
      </c>
      <c r="D2519" s="157" t="s">
        <v>927</v>
      </c>
      <c r="E2519" s="157" t="s">
        <v>981</v>
      </c>
      <c r="F2519" s="157" t="s">
        <v>982</v>
      </c>
      <c r="G2519" s="521">
        <f>INDEX('Fuel Model -  Input'!$B$3:$N$373,MATCH($B2519,'Fuel Model -  Input'!$B$3:$B$373,0),MATCH(G$2,'Fuel Model -  Input'!$B$3:$N$3,0))</f>
        <v>0</v>
      </c>
      <c r="H2519" s="521">
        <f>INDEX('Fuel Model -  Input'!$B$3:$N$373,MATCH($B2519,'Fuel Model -  Input'!$B$3:$B$373,0),MATCH(H$2,'Fuel Model -  Input'!$B$3:$N$3,0))</f>
        <v>0</v>
      </c>
      <c r="I2519" s="521">
        <f>INDEX('Fuel Model -  Input'!$B$3:$N$373,MATCH($B2519,'Fuel Model -  Input'!$B$3:$B$373,0),MATCH(I$2,'Fuel Model -  Input'!$B$3:$N$3,0))</f>
        <v>0</v>
      </c>
      <c r="J2519" s="521">
        <f>INDEX('Fuel Model -  Input'!$B$3:$N$373,MATCH($B2519,'Fuel Model -  Input'!$B$3:$B$373,0),MATCH(J$2,'Fuel Model -  Input'!$B$3:$N$3,0))</f>
        <v>0</v>
      </c>
      <c r="K2519" s="521">
        <f>INDEX('Fuel Model -  Input'!$B$3:$N$373,MATCH($B2519,'Fuel Model -  Input'!$B$3:$B$373,0),MATCH(K$2,'Fuel Model -  Input'!$B$3:$N$3,0))</f>
        <v>0</v>
      </c>
      <c r="L2519" s="521">
        <f>INDEX('Fuel Model -  Input'!$B$3:$N$373,MATCH($B2519,'Fuel Model -  Input'!$B$3:$B$373,0),MATCH(L$2,'Fuel Model -  Input'!$B$3:$N$3,0))</f>
        <v>0</v>
      </c>
      <c r="M2519" s="521">
        <f>INDEX('Fuel Model -  Input'!$B$3:$N$373,MATCH($B2519,'Fuel Model -  Input'!$B$3:$B$373,0),MATCH(M$2,'Fuel Model -  Input'!$B$3:$N$3,0))</f>
        <v>0</v>
      </c>
    </row>
    <row r="2520" spans="2:14" hidden="1" outlineLevel="1" x14ac:dyDescent="0.2"/>
    <row r="2521" spans="2:14" ht="15" thickBot="1" x14ac:dyDescent="0.25"/>
    <row r="2522" spans="2:14" ht="15.75" collapsed="1" thickBot="1" x14ac:dyDescent="0.3">
      <c r="B2522" s="561" t="s">
        <v>586</v>
      </c>
      <c r="C2522" s="562" t="str">
        <f>+B2522</f>
        <v>Biomethanol</v>
      </c>
      <c r="D2522" s="563"/>
      <c r="E2522" s="563"/>
      <c r="F2522" s="563"/>
      <c r="G2522" s="744">
        <v>2020</v>
      </c>
      <c r="H2522" s="744">
        <v>2025</v>
      </c>
      <c r="I2522" s="744">
        <v>2030</v>
      </c>
      <c r="J2522" s="744">
        <v>2035</v>
      </c>
      <c r="K2522" s="744">
        <v>2040</v>
      </c>
      <c r="L2522" s="744">
        <v>2045</v>
      </c>
      <c r="M2522" s="745">
        <v>2050</v>
      </c>
    </row>
    <row r="2523" spans="2:14" ht="15" hidden="1" outlineLevel="1" x14ac:dyDescent="0.25">
      <c r="B2523" t="str">
        <f>+C2523&amp;D2523&amp;E2523&amp;F2523</f>
        <v>EuropeResultsCost of BiomethanolUSD/ton</v>
      </c>
      <c r="C2523" t="s">
        <v>195</v>
      </c>
      <c r="D2523" t="s">
        <v>838</v>
      </c>
      <c r="E2523" s="30" t="s">
        <v>1223</v>
      </c>
      <c r="F2523" s="522" t="s">
        <v>205</v>
      </c>
      <c r="G2523" s="8">
        <f t="shared" ref="G2523:M2523" si="1420">G2530</f>
        <v>1005.1679168634591</v>
      </c>
      <c r="H2523" s="8">
        <f t="shared" si="1420"/>
        <v>709.06900790931672</v>
      </c>
      <c r="I2523" s="8">
        <f t="shared" si="1420"/>
        <v>599.38082807450667</v>
      </c>
      <c r="J2523" s="8">
        <f t="shared" si="1420"/>
        <v>555.33474100900685</v>
      </c>
      <c r="K2523" s="8">
        <f t="shared" si="1420"/>
        <v>510.82483825797152</v>
      </c>
      <c r="L2523" s="8">
        <f t="shared" si="1420"/>
        <v>485.99759419628617</v>
      </c>
      <c r="M2523" s="8">
        <f t="shared" si="1420"/>
        <v>461.4905592102117</v>
      </c>
      <c r="N2523" s="93"/>
    </row>
    <row r="2524" spans="2:14" ht="15" hidden="1" outlineLevel="1" x14ac:dyDescent="0.25">
      <c r="B2524" t="str">
        <f>+C2524&amp;D2524&amp;E2524&amp;F2524</f>
        <v>Middle EastResultsCost of BiomethanolUSD/ton</v>
      </c>
      <c r="C2524" t="s">
        <v>197</v>
      </c>
      <c r="D2524" t="s">
        <v>838</v>
      </c>
      <c r="E2524" s="30" t="s">
        <v>1223</v>
      </c>
      <c r="F2524" s="522" t="s">
        <v>205</v>
      </c>
      <c r="G2524" s="8">
        <f t="shared" ref="G2524:M2524" si="1421">G2554</f>
        <v>1017.8573603178172</v>
      </c>
      <c r="H2524" s="8">
        <f t="shared" si="1421"/>
        <v>721.73256900898184</v>
      </c>
      <c r="I2524" s="8">
        <f t="shared" si="1421"/>
        <v>612.43041184438846</v>
      </c>
      <c r="J2524" s="8">
        <f t="shared" si="1421"/>
        <v>567.02150040119852</v>
      </c>
      <c r="K2524" s="8">
        <f t="shared" si="1421"/>
        <v>523.82610625534608</v>
      </c>
      <c r="L2524" s="8">
        <f t="shared" si="1421"/>
        <v>497.65931431372428</v>
      </c>
      <c r="M2524" s="8">
        <f t="shared" si="1421"/>
        <v>472.19163883922494</v>
      </c>
    </row>
    <row r="2525" spans="2:14" ht="15" hidden="1" outlineLevel="1" x14ac:dyDescent="0.25">
      <c r="B2525" t="str">
        <f>+C2525&amp;D2525&amp;E2525&amp;F2525</f>
        <v>AsiaResultsCost of BiomethanolUSD/ton</v>
      </c>
      <c r="C2525" t="s">
        <v>198</v>
      </c>
      <c r="D2525" t="s">
        <v>838</v>
      </c>
      <c r="E2525" s="30" t="s">
        <v>1223</v>
      </c>
      <c r="F2525" s="522" t="s">
        <v>205</v>
      </c>
      <c r="G2525" s="8">
        <f t="shared" ref="G2525:M2525" si="1422">G2578</f>
        <v>986.9512757095813</v>
      </c>
      <c r="H2525" s="8">
        <f t="shared" si="1422"/>
        <v>681.32058553457</v>
      </c>
      <c r="I2525" s="8">
        <f t="shared" si="1422"/>
        <v>569.45429312526596</v>
      </c>
      <c r="J2525" s="8">
        <f t="shared" si="1422"/>
        <v>523.58730063532232</v>
      </c>
      <c r="K2525" s="8">
        <f t="shared" si="1422"/>
        <v>479.52560393690737</v>
      </c>
      <c r="L2525" s="8">
        <f t="shared" si="1422"/>
        <v>452.72131759680371</v>
      </c>
      <c r="M2525" s="8">
        <f t="shared" si="1422"/>
        <v>428.17733760343026</v>
      </c>
    </row>
    <row r="2526" spans="2:14" ht="15" hidden="1" outlineLevel="1" x14ac:dyDescent="0.25">
      <c r="B2526" t="str">
        <f>+C2526&amp;D2526&amp;E2526&amp;F2526</f>
        <v>AmericasResultsCost of BiomethanolUSD/ton</v>
      </c>
      <c r="C2526" t="s">
        <v>199</v>
      </c>
      <c r="D2526" t="s">
        <v>838</v>
      </c>
      <c r="E2526" s="30" t="s">
        <v>1223</v>
      </c>
      <c r="F2526" s="522" t="s">
        <v>205</v>
      </c>
      <c r="G2526" s="8">
        <f t="shared" ref="G2526:M2526" si="1423">G2602</f>
        <v>984.84435242391737</v>
      </c>
      <c r="H2526" s="8">
        <f t="shared" si="1423"/>
        <v>691.0186269965792</v>
      </c>
      <c r="I2526" s="8">
        <f t="shared" si="1423"/>
        <v>582.39257789027681</v>
      </c>
      <c r="J2526" s="8">
        <f t="shared" si="1423"/>
        <v>537.3611728735051</v>
      </c>
      <c r="K2526" s="8">
        <f t="shared" si="1423"/>
        <v>492.64490958145183</v>
      </c>
      <c r="L2526" s="8">
        <f t="shared" si="1423"/>
        <v>468.46568974254984</v>
      </c>
      <c r="M2526" s="8">
        <f t="shared" si="1423"/>
        <v>443.20820466208778</v>
      </c>
    </row>
    <row r="2527" spans="2:14" ht="15" hidden="1" outlineLevel="1" x14ac:dyDescent="0.25">
      <c r="B2527" t="str">
        <f>+C2527&amp;D2527&amp;E2527&amp;F2527</f>
        <v>AfricaResultsCost of BiomethanolUSD/ton</v>
      </c>
      <c r="C2527" t="s">
        <v>200</v>
      </c>
      <c r="D2527" t="s">
        <v>838</v>
      </c>
      <c r="E2527" s="30" t="s">
        <v>1223</v>
      </c>
      <c r="F2527" s="522" t="s">
        <v>205</v>
      </c>
      <c r="G2527" s="8">
        <f t="shared" ref="G2527:M2527" si="1424">G2626</f>
        <v>1043.3957154259911</v>
      </c>
      <c r="H2527" s="8">
        <f t="shared" si="1424"/>
        <v>734.73998399857635</v>
      </c>
      <c r="I2527" s="8">
        <f t="shared" si="1424"/>
        <v>624.45368523365198</v>
      </c>
      <c r="J2527" s="8">
        <f t="shared" si="1424"/>
        <v>580.65804184442868</v>
      </c>
      <c r="K2527" s="8">
        <f t="shared" si="1424"/>
        <v>537.14182700649462</v>
      </c>
      <c r="L2527" s="8">
        <f t="shared" si="1424"/>
        <v>512.13859683779435</v>
      </c>
      <c r="M2527" s="8">
        <f t="shared" si="1424"/>
        <v>487.82479703823822</v>
      </c>
    </row>
    <row r="2528" spans="2:14" ht="12.75" hidden="1" outlineLevel="1" x14ac:dyDescent="0.2">
      <c r="F2528"/>
    </row>
    <row r="2529" spans="2:15" s="30" customFormat="1" ht="15" hidden="1" outlineLevel="1" x14ac:dyDescent="0.25">
      <c r="B2529" s="30" t="s">
        <v>195</v>
      </c>
      <c r="C2529" s="30" t="s">
        <v>195</v>
      </c>
      <c r="G2529" s="564"/>
      <c r="O2529" s="564"/>
    </row>
    <row r="2530" spans="2:15" ht="15" hidden="1" outlineLevel="2" x14ac:dyDescent="0.25">
      <c r="B2530" t="str">
        <f>+C2530&amp;D2530&amp;E2530&amp;F2530</f>
        <v>EuropeResultsTotal cost of BiomethanolUSD/ton</v>
      </c>
      <c r="C2530" s="494" t="str">
        <f>+$C$2529</f>
        <v>Europe</v>
      </c>
      <c r="D2530" s="30" t="s">
        <v>838</v>
      </c>
      <c r="E2530" s="405" t="s">
        <v>1224</v>
      </c>
      <c r="F2530" s="127" t="s">
        <v>205</v>
      </c>
      <c r="G2530" s="490">
        <f>+SUM(G2531:G2533)</f>
        <v>1005.1679168634591</v>
      </c>
      <c r="H2530" s="490">
        <f t="shared" ref="H2530:M2530" si="1425">+SUM(H2531:H2533)</f>
        <v>709.06900790931672</v>
      </c>
      <c r="I2530" s="490">
        <f t="shared" si="1425"/>
        <v>599.38082807450667</v>
      </c>
      <c r="J2530" s="490">
        <f t="shared" si="1425"/>
        <v>555.33474100900685</v>
      </c>
      <c r="K2530" s="490">
        <f t="shared" si="1425"/>
        <v>510.82483825797152</v>
      </c>
      <c r="L2530" s="490">
        <f t="shared" si="1425"/>
        <v>485.99759419628617</v>
      </c>
      <c r="M2530" s="490">
        <f t="shared" si="1425"/>
        <v>461.4905592102117</v>
      </c>
    </row>
    <row r="2531" spans="2:15" ht="15" hidden="1" outlineLevel="2" x14ac:dyDescent="0.25">
      <c r="B2531" t="str">
        <f>+C2531&amp;D2531&amp;E2531&amp;F2531</f>
        <v>EuropeResultsTotal Capex BiomethanolUSD/ton</v>
      </c>
      <c r="C2531" s="494" t="str">
        <f>+$C$2529</f>
        <v>Europe</v>
      </c>
      <c r="D2531" s="30" t="s">
        <v>838</v>
      </c>
      <c r="E2531" s="228" t="s">
        <v>1225</v>
      </c>
      <c r="F2531" s="127" t="s">
        <v>205</v>
      </c>
      <c r="G2531" s="490">
        <f>+G2535</f>
        <v>477.00000000000011</v>
      </c>
      <c r="H2531" s="490">
        <f t="shared" ref="H2531:M2531" si="1426">+H2535</f>
        <v>300.33333333333343</v>
      </c>
      <c r="I2531" s="490">
        <f t="shared" si="1426"/>
        <v>234.08333333333337</v>
      </c>
      <c r="J2531" s="490">
        <f t="shared" si="1426"/>
        <v>205.37500000000006</v>
      </c>
      <c r="K2531" s="490">
        <f t="shared" si="1426"/>
        <v>176.66666666666671</v>
      </c>
      <c r="L2531" s="490">
        <f t="shared" si="1426"/>
        <v>159.00000000000003</v>
      </c>
      <c r="M2531" s="490">
        <f t="shared" si="1426"/>
        <v>141.33333333333337</v>
      </c>
    </row>
    <row r="2532" spans="2:15" ht="15" hidden="1" outlineLevel="2" x14ac:dyDescent="0.25">
      <c r="B2532" t="str">
        <f>+C2532&amp;D2532&amp;E2532&amp;F2532</f>
        <v>EuropeResultsTotal Opex BiomethanolUSD/ton</v>
      </c>
      <c r="C2532" s="494" t="str">
        <f>+$C$2529</f>
        <v>Europe</v>
      </c>
      <c r="D2532" s="30" t="s">
        <v>838</v>
      </c>
      <c r="E2532" s="228" t="s">
        <v>1226</v>
      </c>
      <c r="F2532" s="127" t="s">
        <v>205</v>
      </c>
      <c r="G2532" s="490">
        <f>+G2539+G2541</f>
        <v>352.72750092275277</v>
      </c>
      <c r="H2532" s="490">
        <f t="shared" ref="H2532:M2532" si="1427">+H2539+H2541</f>
        <v>227.24558912008018</v>
      </c>
      <c r="I2532" s="490">
        <f t="shared" si="1427"/>
        <v>177.75773977007344</v>
      </c>
      <c r="J2532" s="490">
        <f t="shared" si="1427"/>
        <v>156.37031652271014</v>
      </c>
      <c r="K2532" s="490">
        <f t="shared" si="1427"/>
        <v>135.72901149285076</v>
      </c>
      <c r="L2532" s="490">
        <f t="shared" si="1427"/>
        <v>122.51876458263541</v>
      </c>
      <c r="M2532" s="490">
        <f t="shared" si="1427"/>
        <v>109.6287267480308</v>
      </c>
    </row>
    <row r="2533" spans="2:15" ht="15" hidden="1" outlineLevel="2" x14ac:dyDescent="0.25">
      <c r="B2533" t="str">
        <f>+C2533&amp;D2533&amp;E2533&amp;F2533</f>
        <v>EuropeResultsTotal Raw Material BiomethanolUSD/ton</v>
      </c>
      <c r="C2533" s="494" t="str">
        <f>+$C$2529</f>
        <v>Europe</v>
      </c>
      <c r="D2533" s="30" t="s">
        <v>838</v>
      </c>
      <c r="E2533" s="228" t="s">
        <v>1227</v>
      </c>
      <c r="F2533" s="127" t="s">
        <v>205</v>
      </c>
      <c r="G2533" s="490">
        <f>+G2545</f>
        <v>175.44041594070632</v>
      </c>
      <c r="H2533" s="490">
        <f t="shared" ref="H2533:M2533" si="1428">+H2545</f>
        <v>181.49008545590308</v>
      </c>
      <c r="I2533" s="490">
        <f t="shared" si="1428"/>
        <v>187.53975497109985</v>
      </c>
      <c r="J2533" s="490">
        <f t="shared" si="1428"/>
        <v>193.58942448629662</v>
      </c>
      <c r="K2533" s="490">
        <f t="shared" si="1428"/>
        <v>198.42916009845402</v>
      </c>
      <c r="L2533" s="490">
        <f t="shared" si="1428"/>
        <v>204.47882961365079</v>
      </c>
      <c r="M2533" s="490">
        <f t="shared" si="1428"/>
        <v>210.52849912884756</v>
      </c>
    </row>
    <row r="2534" spans="2:15" ht="12.75" hidden="1" outlineLevel="2" x14ac:dyDescent="0.2">
      <c r="C2534" s="494"/>
      <c r="F2534"/>
    </row>
    <row r="2535" spans="2:15" hidden="1" outlineLevel="2" x14ac:dyDescent="0.2">
      <c r="B2535" t="str">
        <f>+C2535&amp;D2535&amp;E2535&amp;F2535</f>
        <v>EuropeCapexBiomethanol plant USD/ton Methanol</v>
      </c>
      <c r="C2535" s="494" t="str">
        <f>+$C$2529</f>
        <v>Europe</v>
      </c>
      <c r="D2535" t="s">
        <v>218</v>
      </c>
      <c r="E2535" s="48" t="s">
        <v>1228</v>
      </c>
      <c r="F2535" s="128" t="s">
        <v>1229</v>
      </c>
      <c r="G2535" s="8">
        <f t="shared" ref="G2535:M2535" si="1429">G2537/G2536</f>
        <v>477.00000000000011</v>
      </c>
      <c r="H2535" s="8">
        <f t="shared" si="1429"/>
        <v>300.33333333333343</v>
      </c>
      <c r="I2535" s="8">
        <f t="shared" si="1429"/>
        <v>234.08333333333337</v>
      </c>
      <c r="J2535" s="8">
        <f t="shared" si="1429"/>
        <v>205.37500000000006</v>
      </c>
      <c r="K2535" s="8">
        <f t="shared" si="1429"/>
        <v>176.66666666666671</v>
      </c>
      <c r="L2535" s="8">
        <f t="shared" si="1429"/>
        <v>159.00000000000003</v>
      </c>
      <c r="M2535" s="8">
        <f t="shared" si="1429"/>
        <v>141.33333333333337</v>
      </c>
    </row>
    <row r="2536" spans="2:15" hidden="1" outlineLevel="2" x14ac:dyDescent="0.2">
      <c r="B2536" t="str">
        <f>+C2536&amp;D2536&amp;E2536&amp;F2536</f>
        <v>GlobalPlant capexAnnualisation factor#</v>
      </c>
      <c r="C2536" s="494" t="s">
        <v>109</v>
      </c>
      <c r="D2536" t="s">
        <v>786</v>
      </c>
      <c r="E2536" t="s">
        <v>764</v>
      </c>
      <c r="F2536" s="450" t="s">
        <v>787</v>
      </c>
      <c r="G2536" s="532">
        <f>+INDEX('Fuel Model -  Input'!$B$3:$N$1312,MATCH($B2536,'Fuel Model -  Input'!$B$3:$B$1312,0),MATCH(G$2,'Fuel Model -  Input'!$B$3:$N$3,0))</f>
        <v>11.32075471698113</v>
      </c>
      <c r="H2536" s="532">
        <f>+INDEX('Fuel Model -  Input'!$B$3:$N$1312,MATCH($B2536,'Fuel Model -  Input'!$B$3:$B$1312,0),MATCH(H$2,'Fuel Model -  Input'!$B$3:$N$3,0))</f>
        <v>11.32075471698113</v>
      </c>
      <c r="I2536" s="532">
        <f>+INDEX('Fuel Model -  Input'!$B$3:$N$1312,MATCH($B2536,'Fuel Model -  Input'!$B$3:$B$1312,0),MATCH(I$2,'Fuel Model -  Input'!$B$3:$N$3,0))</f>
        <v>11.32075471698113</v>
      </c>
      <c r="J2536" s="532">
        <f>+INDEX('Fuel Model -  Input'!$B$3:$N$1312,MATCH($B2536,'Fuel Model -  Input'!$B$3:$B$1312,0),MATCH(J$2,'Fuel Model -  Input'!$B$3:$N$3,0))</f>
        <v>11.32075471698113</v>
      </c>
      <c r="K2536" s="532">
        <f>+INDEX('Fuel Model -  Input'!$B$3:$N$1312,MATCH($B2536,'Fuel Model -  Input'!$B$3:$B$1312,0),MATCH(K$2,'Fuel Model -  Input'!$B$3:$N$3,0))</f>
        <v>11.32075471698113</v>
      </c>
      <c r="L2536" s="532">
        <f>+INDEX('Fuel Model -  Input'!$B$3:$N$1312,MATCH($B2536,'Fuel Model -  Input'!$B$3:$B$1312,0),MATCH(L$2,'Fuel Model -  Input'!$B$3:$N$3,0))</f>
        <v>11.32075471698113</v>
      </c>
      <c r="M2536" s="532">
        <f>+INDEX('Fuel Model -  Input'!$B$3:$N$1312,MATCH($B2536,'Fuel Model -  Input'!$B$3:$B$1312,0),MATCH(M$2,'Fuel Model -  Input'!$B$3:$N$3,0))</f>
        <v>11.32075471698113</v>
      </c>
    </row>
    <row r="2537" spans="2:15" hidden="1" outlineLevel="2" x14ac:dyDescent="0.2">
      <c r="B2537" t="str">
        <f>+C2537&amp;D2537&amp;E2537&amp;F2537</f>
        <v>GlobalCAPEXBioMethanol plantUSD/ton BioMethanol capacity</v>
      </c>
      <c r="C2537" s="494" t="s">
        <v>109</v>
      </c>
      <c r="D2537" t="s">
        <v>50</v>
      </c>
      <c r="E2537" s="48" t="s">
        <v>1230</v>
      </c>
      <c r="F2537" s="128" t="s">
        <v>1231</v>
      </c>
      <c r="G2537" s="532">
        <f>+INDEX('Fuel Model -  Input'!$B$3:$N$1312,MATCH($B2537,'Fuel Model -  Input'!$B$3:$B$1312,0),MATCH(G$2,'Fuel Model -  Input'!$B$3:$N$3,0))</f>
        <v>5400</v>
      </c>
      <c r="H2537" s="532">
        <f>+INDEX('Fuel Model -  Input'!$B$3:$N$1312,MATCH($B2537,'Fuel Model -  Input'!$B$3:$B$1312,0),MATCH(H$2,'Fuel Model -  Input'!$B$3:$N$3,0))</f>
        <v>3400</v>
      </c>
      <c r="I2537" s="532">
        <f>+INDEX('Fuel Model -  Input'!$B$3:$N$1312,MATCH($B2537,'Fuel Model -  Input'!$B$3:$B$1312,0),MATCH(I$2,'Fuel Model -  Input'!$B$3:$N$3,0))</f>
        <v>2650</v>
      </c>
      <c r="J2537" s="532">
        <f>+INDEX('Fuel Model -  Input'!$B$3:$N$1312,MATCH($B2537,'Fuel Model -  Input'!$B$3:$B$1312,0),MATCH(J$2,'Fuel Model -  Input'!$B$3:$N$3,0))</f>
        <v>2325</v>
      </c>
      <c r="K2537" s="532">
        <f>+INDEX('Fuel Model -  Input'!$B$3:$N$1312,MATCH($B2537,'Fuel Model -  Input'!$B$3:$B$1312,0),MATCH(K$2,'Fuel Model -  Input'!$B$3:$N$3,0))</f>
        <v>2000</v>
      </c>
      <c r="L2537" s="532">
        <f>+INDEX('Fuel Model -  Input'!$B$3:$N$1312,MATCH($B2537,'Fuel Model -  Input'!$B$3:$B$1312,0),MATCH(L$2,'Fuel Model -  Input'!$B$3:$N$3,0))</f>
        <v>1800</v>
      </c>
      <c r="M2537" s="532">
        <f>+INDEX('Fuel Model -  Input'!$B$3:$N$1312,MATCH($B2537,'Fuel Model -  Input'!$B$3:$B$1312,0),MATCH(M$2,'Fuel Model -  Input'!$B$3:$N$3,0))</f>
        <v>1600</v>
      </c>
    </row>
    <row r="2538" spans="2:15" ht="12.75" hidden="1" outlineLevel="2" x14ac:dyDescent="0.2">
      <c r="C2538" s="494"/>
      <c r="F2538"/>
    </row>
    <row r="2539" spans="2:15" hidden="1" outlineLevel="2" x14ac:dyDescent="0.2">
      <c r="B2539" t="str">
        <f>+C2539&amp;D2539&amp;E2539&amp;F2539</f>
        <v>GlobalOPEXBioMethanol plant OPEXUSD/ton BioMethanol</v>
      </c>
      <c r="C2539" s="494" t="s">
        <v>109</v>
      </c>
      <c r="D2539" t="s">
        <v>319</v>
      </c>
      <c r="E2539" s="48" t="s">
        <v>1232</v>
      </c>
      <c r="F2539" s="128" t="s">
        <v>1233</v>
      </c>
      <c r="G2539" s="565">
        <f>+INDEX('Fuel Model -  Input'!$B$3:$N$1312,MATCH($B2539,'Fuel Model -  Input'!$B$3:$B$1312,0),MATCH(G$2,'Fuel Model -  Input'!$B$3:$N$3,0))</f>
        <v>324</v>
      </c>
      <c r="H2539" s="565">
        <f>+INDEX('Fuel Model -  Input'!$B$3:$N$1312,MATCH($B2539,'Fuel Model -  Input'!$B$3:$B$1312,0),MATCH(H$2,'Fuel Model -  Input'!$B$3:$N$3,0))</f>
        <v>204</v>
      </c>
      <c r="I2539" s="565">
        <f>+INDEX('Fuel Model -  Input'!$B$3:$N$1312,MATCH($B2539,'Fuel Model -  Input'!$B$3:$B$1312,0),MATCH(I$2,'Fuel Model -  Input'!$B$3:$N$3,0))</f>
        <v>159</v>
      </c>
      <c r="J2539" s="565">
        <f>+INDEX('Fuel Model -  Input'!$B$3:$N$1312,MATCH($B2539,'Fuel Model -  Input'!$B$3:$B$1312,0),MATCH(J$2,'Fuel Model -  Input'!$B$3:$N$3,0))</f>
        <v>139.5</v>
      </c>
      <c r="K2539" s="565">
        <f>+INDEX('Fuel Model -  Input'!$B$3:$N$1312,MATCH($B2539,'Fuel Model -  Input'!$B$3:$B$1312,0),MATCH(K$2,'Fuel Model -  Input'!$B$3:$N$3,0))</f>
        <v>120</v>
      </c>
      <c r="L2539" s="565">
        <f>+INDEX('Fuel Model -  Input'!$B$3:$N$1312,MATCH($B2539,'Fuel Model -  Input'!$B$3:$B$1312,0),MATCH(L$2,'Fuel Model -  Input'!$B$3:$N$3,0))</f>
        <v>108</v>
      </c>
      <c r="M2539" s="565">
        <f>+INDEX('Fuel Model -  Input'!$B$3:$N$1312,MATCH($B2539,'Fuel Model -  Input'!$B$3:$B$1312,0),MATCH(M$2,'Fuel Model -  Input'!$B$3:$N$3,0))</f>
        <v>96</v>
      </c>
    </row>
    <row r="2540" spans="2:15" hidden="1" outlineLevel="2" x14ac:dyDescent="0.2">
      <c r="C2540" s="494"/>
      <c r="E2540" s="48"/>
      <c r="F2540" s="128"/>
      <c r="G2540" s="565"/>
      <c r="H2540" s="565"/>
      <c r="I2540" s="565"/>
      <c r="J2540" s="565"/>
      <c r="K2540" s="565"/>
      <c r="L2540" s="565"/>
      <c r="M2540" s="565"/>
    </row>
    <row r="2541" spans="2:15" hidden="1" outlineLevel="2" x14ac:dyDescent="0.2">
      <c r="B2541" t="str">
        <f>+C2541&amp;D2541&amp;E2541&amp;F2541</f>
        <v>GlobalFeedstockCost of electricity for CH4USD/ton BioMethanol</v>
      </c>
      <c r="C2541" s="494" t="s">
        <v>109</v>
      </c>
      <c r="D2541" t="s">
        <v>777</v>
      </c>
      <c r="E2541" t="s">
        <v>1234</v>
      </c>
      <c r="F2541" s="450" t="s">
        <v>1233</v>
      </c>
      <c r="G2541" s="8">
        <f>+G2542*G2543</f>
        <v>28.727500922752764</v>
      </c>
      <c r="H2541" s="8">
        <f t="shared" ref="H2541:M2541" si="1430">+H2542*H2543</f>
        <v>23.245589120080197</v>
      </c>
      <c r="I2541" s="8">
        <f t="shared" si="1430"/>
        <v>18.757739770073449</v>
      </c>
      <c r="J2541" s="8">
        <f t="shared" si="1430"/>
        <v>16.870316522710134</v>
      </c>
      <c r="K2541" s="8">
        <f t="shared" si="1430"/>
        <v>15.72901149285077</v>
      </c>
      <c r="L2541" s="8">
        <f t="shared" si="1430"/>
        <v>14.518764582635409</v>
      </c>
      <c r="M2541" s="8">
        <f t="shared" si="1430"/>
        <v>13.628726748030806</v>
      </c>
    </row>
    <row r="2542" spans="2:15" hidden="1" outlineLevel="2" x14ac:dyDescent="0.2">
      <c r="B2542" t="str">
        <f>+C2542&amp;D2542&amp;E2542&amp;F2542</f>
        <v>GlobalFeedstockBioMethanol plant Electricity demandMwH/ton fuel</v>
      </c>
      <c r="C2542" s="494" t="s">
        <v>109</v>
      </c>
      <c r="D2542" t="s">
        <v>777</v>
      </c>
      <c r="E2542" t="s">
        <v>1235</v>
      </c>
      <c r="F2542" t="s">
        <v>1236</v>
      </c>
      <c r="G2542" s="521">
        <f>INDEX('Fuel Model -  Input'!$B$3:$N$373,MATCH($B2542,'Fuel Model -  Input'!$B$3:$B$373,0),MATCH(G$2,'Fuel Model -  Input'!$B$3:$N$3,0))</f>
        <v>0.52617825903163917</v>
      </c>
      <c r="H2542" s="521">
        <f>INDEX('Fuel Model -  Input'!$B$3:$N$373,MATCH($B2542,'Fuel Model -  Input'!$B$3:$B$373,0),MATCH(H$2,'Fuel Model -  Input'!$B$3:$N$3,0))</f>
        <v>0.52617825903163917</v>
      </c>
      <c r="I2542" s="521">
        <f>INDEX('Fuel Model -  Input'!$B$3:$N$373,MATCH($B2542,'Fuel Model -  Input'!$B$3:$B$373,0),MATCH(I$2,'Fuel Model -  Input'!$B$3:$N$3,0))</f>
        <v>0.5245442721035346</v>
      </c>
      <c r="J2542" s="521">
        <f>INDEX('Fuel Model -  Input'!$B$3:$N$373,MATCH($B2542,'Fuel Model -  Input'!$B$3:$B$373,0),MATCH(J$2,'Fuel Model -  Input'!$B$3:$N$3,0))</f>
        <v>0.52291028517543003</v>
      </c>
      <c r="K2542" s="521">
        <f>INDEX('Fuel Model -  Input'!$B$3:$N$373,MATCH($B2542,'Fuel Model -  Input'!$B$3:$B$373,0),MATCH(K$2,'Fuel Model -  Input'!$B$3:$N$3,0))</f>
        <v>0.52127629824732535</v>
      </c>
      <c r="L2542" s="521">
        <f>INDEX('Fuel Model -  Input'!$B$3:$N$373,MATCH($B2542,'Fuel Model -  Input'!$B$3:$B$373,0),MATCH(L$2,'Fuel Model -  Input'!$B$3:$N$3,0))</f>
        <v>0.51964231131922078</v>
      </c>
      <c r="M2542" s="521">
        <f>INDEX('Fuel Model -  Input'!$B$3:$N$373,MATCH($B2542,'Fuel Model -  Input'!$B$3:$B$373,0),MATCH(M$2,'Fuel Model -  Input'!$B$3:$N$3,0))</f>
        <v>0.51800832439111621</v>
      </c>
    </row>
    <row r="2543" spans="2:15" hidden="1" outlineLevel="2" x14ac:dyDescent="0.2">
      <c r="B2543" t="str">
        <f>+C2543&amp;D2543&amp;E2543&amp;F2543</f>
        <v>EuropeFeedstockElectricityUSD/MWh</v>
      </c>
      <c r="C2543" s="494" t="str">
        <f>+$C$2529</f>
        <v>Europe</v>
      </c>
      <c r="D2543" t="s">
        <v>777</v>
      </c>
      <c r="E2543" t="s">
        <v>54</v>
      </c>
      <c r="F2543" s="450" t="s">
        <v>196</v>
      </c>
      <c r="G2543" s="532">
        <f>INDEX('Fuel Model -  Input'!$B$3:$N$373,MATCH($B2543,'Fuel Model -  Input'!$B$3:$B$373,0),MATCH(G$2,'Fuel Model -  Input'!$B$3:$N$3,0))</f>
        <v>54.596518251479822</v>
      </c>
      <c r="H2543" s="532">
        <f>INDEX('Fuel Model -  Input'!$B$3:$N$373,MATCH($B2543,'Fuel Model -  Input'!$B$3:$B$373,0),MATCH(H$2,'Fuel Model -  Input'!$B$3:$N$3,0))</f>
        <v>44.178163428608016</v>
      </c>
      <c r="I2543" s="532">
        <f>INDEX('Fuel Model -  Input'!$B$3:$N$373,MATCH($B2543,'Fuel Model -  Input'!$B$3:$B$373,0),MATCH(I$2,'Fuel Model -  Input'!$B$3:$N$3,0))</f>
        <v>35.760069774188757</v>
      </c>
      <c r="J2543" s="532">
        <f>INDEX('Fuel Model -  Input'!$B$3:$N$373,MATCH($B2543,'Fuel Model -  Input'!$B$3:$B$373,0),MATCH(J$2,'Fuel Model -  Input'!$B$3:$N$3,0))</f>
        <v>32.262353602492915</v>
      </c>
      <c r="K2543" s="532">
        <f>INDEX('Fuel Model -  Input'!$B$3:$N$373,MATCH($B2543,'Fuel Model -  Input'!$B$3:$B$373,0),MATCH(K$2,'Fuel Model -  Input'!$B$3:$N$3,0))</f>
        <v>30.17403926811183</v>
      </c>
      <c r="L2543" s="532">
        <f>INDEX('Fuel Model -  Input'!$B$3:$N$373,MATCH($B2543,'Fuel Model -  Input'!$B$3:$B$373,0),MATCH(L$2,'Fuel Model -  Input'!$B$3:$N$3,0))</f>
        <v>27.939919953355002</v>
      </c>
      <c r="M2543" s="532">
        <f>INDEX('Fuel Model -  Input'!$B$3:$N$373,MATCH($B2543,'Fuel Model -  Input'!$B$3:$B$373,0),MATCH(M$2,'Fuel Model -  Input'!$B$3:$N$3,0))</f>
        <v>26.309860491239117</v>
      </c>
    </row>
    <row r="2544" spans="2:15" ht="12.75" hidden="1" outlineLevel="2" x14ac:dyDescent="0.2">
      <c r="C2544" s="494"/>
      <c r="F2544"/>
    </row>
    <row r="2545" spans="2:13" hidden="1" outlineLevel="2" x14ac:dyDescent="0.2">
      <c r="B2545" t="str">
        <f t="shared" ref="B2545:B2551" si="1431">+C2545&amp;D2545&amp;E2545&amp;F2545</f>
        <v>EuropeFeedstockBiomass costUSD/ton Methanol</v>
      </c>
      <c r="C2545" s="494" t="str">
        <f>+$C$2529</f>
        <v>Europe</v>
      </c>
      <c r="D2545" t="s">
        <v>777</v>
      </c>
      <c r="E2545" s="48" t="s">
        <v>1237</v>
      </c>
      <c r="F2545" s="128" t="s">
        <v>1229</v>
      </c>
      <c r="G2545" s="8">
        <f t="shared" ref="G2545:M2545" si="1432">+G2547*G2548*G2549+G2546*G2550*G2551</f>
        <v>175.44041594070632</v>
      </c>
      <c r="H2545" s="8">
        <f t="shared" si="1432"/>
        <v>181.49008545590308</v>
      </c>
      <c r="I2545" s="8">
        <f t="shared" si="1432"/>
        <v>187.53975497109985</v>
      </c>
      <c r="J2545" s="8">
        <f t="shared" si="1432"/>
        <v>193.58942448629662</v>
      </c>
      <c r="K2545" s="8">
        <f t="shared" si="1432"/>
        <v>198.42916009845402</v>
      </c>
      <c r="L2545" s="8">
        <f t="shared" si="1432"/>
        <v>204.47882961365079</v>
      </c>
      <c r="M2545" s="8">
        <f t="shared" si="1432"/>
        <v>210.52849912884756</v>
      </c>
    </row>
    <row r="2546" spans="2:13" hidden="1" outlineLevel="2" x14ac:dyDescent="0.2">
      <c r="B2546" t="str">
        <f t="shared" si="1431"/>
        <v>GlobalFeedstockDry wood biomass market share Biomethanol%</v>
      </c>
      <c r="C2546" s="494" t="s">
        <v>109</v>
      </c>
      <c r="D2546" t="s">
        <v>777</v>
      </c>
      <c r="E2546" t="s">
        <v>1238</v>
      </c>
      <c r="F2546" t="s">
        <v>178</v>
      </c>
      <c r="G2546" s="531">
        <f>+INDEX('Fuel Model -  Input'!$B$3:$N$1312,MATCH($B2546,'Fuel Model -  Input'!$B$3:$B$1312,0),MATCH(G$2,'Fuel Model -  Input'!$B$3:$N$3,0))</f>
        <v>0.5</v>
      </c>
      <c r="H2546" s="531">
        <f>+INDEX('Fuel Model -  Input'!$B$3:$N$1312,MATCH($B2546,'Fuel Model -  Input'!$B$3:$B$1312,0),MATCH(H$2,'Fuel Model -  Input'!$B$3:$N$3,0))</f>
        <v>0.5</v>
      </c>
      <c r="I2546" s="531">
        <f>+INDEX('Fuel Model -  Input'!$B$3:$N$1312,MATCH($B2546,'Fuel Model -  Input'!$B$3:$B$1312,0),MATCH(I$2,'Fuel Model -  Input'!$B$3:$N$3,0))</f>
        <v>0.5</v>
      </c>
      <c r="J2546" s="531">
        <f>+INDEX('Fuel Model -  Input'!$B$3:$N$1312,MATCH($B2546,'Fuel Model -  Input'!$B$3:$B$1312,0),MATCH(J$2,'Fuel Model -  Input'!$B$3:$N$3,0))</f>
        <v>0.5</v>
      </c>
      <c r="K2546" s="531">
        <f>+INDEX('Fuel Model -  Input'!$B$3:$N$1312,MATCH($B2546,'Fuel Model -  Input'!$B$3:$B$1312,0),MATCH(K$2,'Fuel Model -  Input'!$B$3:$N$3,0))</f>
        <v>0.5</v>
      </c>
      <c r="L2546" s="531">
        <f>+INDEX('Fuel Model -  Input'!$B$3:$N$1312,MATCH($B2546,'Fuel Model -  Input'!$B$3:$B$1312,0),MATCH(L$2,'Fuel Model -  Input'!$B$3:$N$3,0))</f>
        <v>0.5</v>
      </c>
      <c r="M2546" s="531">
        <f>+INDEX('Fuel Model -  Input'!$B$3:$N$1312,MATCH($B2546,'Fuel Model -  Input'!$B$3:$B$1312,0),MATCH(M$2,'Fuel Model -  Input'!$B$3:$N$3,0))</f>
        <v>0.5</v>
      </c>
    </row>
    <row r="2547" spans="2:13" hidden="1" outlineLevel="2" x14ac:dyDescent="0.2">
      <c r="B2547" t="str">
        <f t="shared" si="1431"/>
        <v>GlobalFeedstockOrganic wet wate market share Biomethanol%</v>
      </c>
      <c r="C2547" s="494" t="s">
        <v>109</v>
      </c>
      <c r="D2547" t="s">
        <v>777</v>
      </c>
      <c r="E2547" t="s">
        <v>1239</v>
      </c>
      <c r="F2547" t="s">
        <v>178</v>
      </c>
      <c r="G2547" s="531">
        <f>+INDEX('Fuel Model -  Input'!$B$3:$N$1312,MATCH($B2547,'Fuel Model -  Input'!$B$3:$B$1312,0),MATCH(G$2,'Fuel Model -  Input'!$B$3:$N$3,0))</f>
        <v>0.5</v>
      </c>
      <c r="H2547" s="531">
        <f>+INDEX('Fuel Model -  Input'!$B$3:$N$1312,MATCH($B2547,'Fuel Model -  Input'!$B$3:$B$1312,0),MATCH(H$2,'Fuel Model -  Input'!$B$3:$N$3,0))</f>
        <v>0.5</v>
      </c>
      <c r="I2547" s="531">
        <f>+INDEX('Fuel Model -  Input'!$B$3:$N$1312,MATCH($B2547,'Fuel Model -  Input'!$B$3:$B$1312,0),MATCH(I$2,'Fuel Model -  Input'!$B$3:$N$3,0))</f>
        <v>0.5</v>
      </c>
      <c r="J2547" s="531">
        <f>+INDEX('Fuel Model -  Input'!$B$3:$N$1312,MATCH($B2547,'Fuel Model -  Input'!$B$3:$B$1312,0),MATCH(J$2,'Fuel Model -  Input'!$B$3:$N$3,0))</f>
        <v>0.5</v>
      </c>
      <c r="K2547" s="531">
        <f>+INDEX('Fuel Model -  Input'!$B$3:$N$1312,MATCH($B2547,'Fuel Model -  Input'!$B$3:$B$1312,0),MATCH(K$2,'Fuel Model -  Input'!$B$3:$N$3,0))</f>
        <v>0.5</v>
      </c>
      <c r="L2547" s="531">
        <f>+INDEX('Fuel Model -  Input'!$B$3:$N$1312,MATCH($B2547,'Fuel Model -  Input'!$B$3:$B$1312,0),MATCH(L$2,'Fuel Model -  Input'!$B$3:$N$3,0))</f>
        <v>0.5</v>
      </c>
      <c r="M2547" s="531">
        <f>+INDEX('Fuel Model -  Input'!$B$3:$N$1312,MATCH($B2547,'Fuel Model -  Input'!$B$3:$B$1312,0),MATCH(M$2,'Fuel Model -  Input'!$B$3:$N$3,0))</f>
        <v>0.5</v>
      </c>
    </row>
    <row r="2548" spans="2:13" hidden="1" outlineLevel="2" x14ac:dyDescent="0.2">
      <c r="B2548" t="str">
        <f t="shared" si="1431"/>
        <v>GlobalFeedstockConversion Organic wet waste : BioMethanolTon feedstock / ton fuel</v>
      </c>
      <c r="C2548" s="494" t="s">
        <v>109</v>
      </c>
      <c r="D2548" t="s">
        <v>777</v>
      </c>
      <c r="E2548" s="48" t="s">
        <v>1240</v>
      </c>
      <c r="F2548" s="128" t="s">
        <v>1241</v>
      </c>
      <c r="G2548" s="521">
        <f>+INDEX('Fuel Model -  Input'!$B$3:$N$1312,MATCH($B2548,'Fuel Model -  Input'!$B$3:$B$1312,0),MATCH(G$2,'Fuel Model -  Input'!$B$3:$N$3,0))</f>
        <v>2.4198678060787078</v>
      </c>
      <c r="H2548" s="521">
        <f>+INDEX('Fuel Model -  Input'!$B$3:$N$1312,MATCH($B2548,'Fuel Model -  Input'!$B$3:$B$1312,0),MATCH(H$2,'Fuel Model -  Input'!$B$3:$N$3,0))</f>
        <v>2.4198678060787078</v>
      </c>
      <c r="I2548" s="521">
        <f>+INDEX('Fuel Model -  Input'!$B$3:$N$1312,MATCH($B2548,'Fuel Model -  Input'!$B$3:$B$1312,0),MATCH(I$2,'Fuel Model -  Input'!$B$3:$N$3,0))</f>
        <v>2.4198678060787078</v>
      </c>
      <c r="J2548" s="521">
        <f>+INDEX('Fuel Model -  Input'!$B$3:$N$1312,MATCH($B2548,'Fuel Model -  Input'!$B$3:$B$1312,0),MATCH(J$2,'Fuel Model -  Input'!$B$3:$N$3,0))</f>
        <v>2.4198678060787078</v>
      </c>
      <c r="K2548" s="521">
        <f>+INDEX('Fuel Model -  Input'!$B$3:$N$1312,MATCH($B2548,'Fuel Model -  Input'!$B$3:$B$1312,0),MATCH(K$2,'Fuel Model -  Input'!$B$3:$N$3,0))</f>
        <v>2.4198678060787078</v>
      </c>
      <c r="L2548" s="521">
        <f>+INDEX('Fuel Model -  Input'!$B$3:$N$1312,MATCH($B2548,'Fuel Model -  Input'!$B$3:$B$1312,0),MATCH(L$2,'Fuel Model -  Input'!$B$3:$N$3,0))</f>
        <v>2.4198678060787078</v>
      </c>
      <c r="M2548" s="521">
        <f>+INDEX('Fuel Model -  Input'!$B$3:$N$1312,MATCH($B2548,'Fuel Model -  Input'!$B$3:$B$1312,0),MATCH(M$2,'Fuel Model -  Input'!$B$3:$N$3,0))</f>
        <v>2.4198678060787078</v>
      </c>
    </row>
    <row r="2549" spans="2:13" hidden="1" outlineLevel="2" x14ac:dyDescent="0.2">
      <c r="B2549" t="str">
        <f t="shared" si="1431"/>
        <v>EuropeFeedstockCost of Organic wet wasteUSD/ton</v>
      </c>
      <c r="C2549" s="494" t="s">
        <v>195</v>
      </c>
      <c r="D2549" t="s">
        <v>777</v>
      </c>
      <c r="E2549" t="s">
        <v>1242</v>
      </c>
      <c r="F2549" t="s">
        <v>205</v>
      </c>
      <c r="G2549" s="532">
        <f>+INDEX('Fuel Model -  Input'!$B$3:$N$1312,MATCH($B2549,'Fuel Model -  Input'!$B$3:$B$1312,0),MATCH(G$2,'Fuel Model -  Input'!$B$3:$N$3,0))</f>
        <v>50</v>
      </c>
      <c r="H2549" s="532">
        <f>+INDEX('Fuel Model -  Input'!$B$3:$N$1312,MATCH($B2549,'Fuel Model -  Input'!$B$3:$B$1312,0),MATCH(H$2,'Fuel Model -  Input'!$B$3:$N$3,0))</f>
        <v>50</v>
      </c>
      <c r="I2549" s="532">
        <f>+INDEX('Fuel Model -  Input'!$B$3:$N$1312,MATCH($B2549,'Fuel Model -  Input'!$B$3:$B$1312,0),MATCH(I$2,'Fuel Model -  Input'!$B$3:$N$3,0))</f>
        <v>50</v>
      </c>
      <c r="J2549" s="532">
        <f>+INDEX('Fuel Model -  Input'!$B$3:$N$1312,MATCH($B2549,'Fuel Model -  Input'!$B$3:$B$1312,0),MATCH(J$2,'Fuel Model -  Input'!$B$3:$N$3,0))</f>
        <v>50</v>
      </c>
      <c r="K2549" s="532">
        <f>+INDEX('Fuel Model -  Input'!$B$3:$N$1312,MATCH($B2549,'Fuel Model -  Input'!$B$3:$B$1312,0),MATCH(K$2,'Fuel Model -  Input'!$B$3:$N$3,0))</f>
        <v>50</v>
      </c>
      <c r="L2549" s="532">
        <f>+INDEX('Fuel Model -  Input'!$B$3:$N$1312,MATCH($B2549,'Fuel Model -  Input'!$B$3:$B$1312,0),MATCH(L$2,'Fuel Model -  Input'!$B$3:$N$3,0))</f>
        <v>50</v>
      </c>
      <c r="M2549" s="532">
        <f>+INDEX('Fuel Model -  Input'!$B$3:$N$1312,MATCH($B2549,'Fuel Model -  Input'!$B$3:$B$1312,0),MATCH(M$2,'Fuel Model -  Input'!$B$3:$N$3,0))</f>
        <v>50</v>
      </c>
    </row>
    <row r="2550" spans="2:13" hidden="1" outlineLevel="2" x14ac:dyDescent="0.2">
      <c r="B2550" t="str">
        <f t="shared" si="1431"/>
        <v>GlobalFeedstockConversion Dry Wood biomass : BioMethanolTon feedstock / ton fuel</v>
      </c>
      <c r="C2550" s="494" t="s">
        <v>109</v>
      </c>
      <c r="D2550" t="s">
        <v>777</v>
      </c>
      <c r="E2550" s="48" t="s">
        <v>1243</v>
      </c>
      <c r="F2550" s="128" t="s">
        <v>1241</v>
      </c>
      <c r="G2550" s="521">
        <f>+INDEX('Fuel Model -  Input'!$B$3:$N$1312,MATCH($B2550,'Fuel Model -  Input'!$B$3:$B$1312,0),MATCH(G$2,'Fuel Model -  Input'!$B$3:$N$3,0))</f>
        <v>2.4198678060787078</v>
      </c>
      <c r="H2550" s="521">
        <f>+INDEX('Fuel Model -  Input'!$B$3:$N$1312,MATCH($B2550,'Fuel Model -  Input'!$B$3:$B$1312,0),MATCH(H$2,'Fuel Model -  Input'!$B$3:$N$3,0))</f>
        <v>2.4198678060787078</v>
      </c>
      <c r="I2550" s="521">
        <f>+INDEX('Fuel Model -  Input'!$B$3:$N$1312,MATCH($B2550,'Fuel Model -  Input'!$B$3:$B$1312,0),MATCH(I$2,'Fuel Model -  Input'!$B$3:$N$3,0))</f>
        <v>2.4198678060787078</v>
      </c>
      <c r="J2550" s="521">
        <f>+INDEX('Fuel Model -  Input'!$B$3:$N$1312,MATCH($B2550,'Fuel Model -  Input'!$B$3:$B$1312,0),MATCH(J$2,'Fuel Model -  Input'!$B$3:$N$3,0))</f>
        <v>2.4198678060787078</v>
      </c>
      <c r="K2550" s="521">
        <f>+INDEX('Fuel Model -  Input'!$B$3:$N$1312,MATCH($B2550,'Fuel Model -  Input'!$B$3:$B$1312,0),MATCH(K$2,'Fuel Model -  Input'!$B$3:$N$3,0))</f>
        <v>2.4198678060787078</v>
      </c>
      <c r="L2550" s="521">
        <f>+INDEX('Fuel Model -  Input'!$B$3:$N$1312,MATCH($B2550,'Fuel Model -  Input'!$B$3:$B$1312,0),MATCH(L$2,'Fuel Model -  Input'!$B$3:$N$3,0))</f>
        <v>2.4198678060787078</v>
      </c>
      <c r="M2550" s="521">
        <f>+INDEX('Fuel Model -  Input'!$B$3:$N$1312,MATCH($B2550,'Fuel Model -  Input'!$B$3:$B$1312,0),MATCH(M$2,'Fuel Model -  Input'!$B$3:$N$3,0))</f>
        <v>2.4198678060787078</v>
      </c>
    </row>
    <row r="2551" spans="2:13" hidden="1" outlineLevel="2" x14ac:dyDescent="0.2">
      <c r="B2551" t="str">
        <f t="shared" si="1431"/>
        <v>EuropeFeedstockCost of Wood biomassUSD/ton Wood</v>
      </c>
      <c r="C2551" s="494" t="s">
        <v>195</v>
      </c>
      <c r="D2551" t="s">
        <v>777</v>
      </c>
      <c r="E2551" s="48" t="s">
        <v>1244</v>
      </c>
      <c r="F2551" s="128" t="s">
        <v>1245</v>
      </c>
      <c r="G2551" s="532">
        <f>+INDEX('Fuel Model -  Input'!$B$3:$N$1312,MATCH($B2551,'Fuel Model -  Input'!$B$3:$B$1312,0),MATCH(G$2,'Fuel Model -  Input'!$B$3:$N$3,0))</f>
        <v>95</v>
      </c>
      <c r="H2551" s="532">
        <f>+INDEX('Fuel Model -  Input'!$B$3:$N$1312,MATCH($B2551,'Fuel Model -  Input'!$B$3:$B$1312,0),MATCH(H$2,'Fuel Model -  Input'!$B$3:$N$3,0))</f>
        <v>100</v>
      </c>
      <c r="I2551" s="532">
        <f>+INDEX('Fuel Model -  Input'!$B$3:$N$1312,MATCH($B2551,'Fuel Model -  Input'!$B$3:$B$1312,0),MATCH(I$2,'Fuel Model -  Input'!$B$3:$N$3,0))</f>
        <v>105</v>
      </c>
      <c r="J2551" s="532">
        <f>+INDEX('Fuel Model -  Input'!$B$3:$N$1312,MATCH($B2551,'Fuel Model -  Input'!$B$3:$B$1312,0),MATCH(J$2,'Fuel Model -  Input'!$B$3:$N$3,0))</f>
        <v>110</v>
      </c>
      <c r="K2551" s="532">
        <f>+INDEX('Fuel Model -  Input'!$B$3:$N$1312,MATCH($B2551,'Fuel Model -  Input'!$B$3:$B$1312,0),MATCH(K$2,'Fuel Model -  Input'!$B$3:$N$3,0))</f>
        <v>114</v>
      </c>
      <c r="L2551" s="532">
        <f>+INDEX('Fuel Model -  Input'!$B$3:$N$1312,MATCH($B2551,'Fuel Model -  Input'!$B$3:$B$1312,0),MATCH(L$2,'Fuel Model -  Input'!$B$3:$N$3,0))</f>
        <v>119</v>
      </c>
      <c r="M2551" s="532">
        <f>+INDEX('Fuel Model -  Input'!$B$3:$N$1312,MATCH($B2551,'Fuel Model -  Input'!$B$3:$B$1312,0),MATCH(M$2,'Fuel Model -  Input'!$B$3:$N$3,0))</f>
        <v>124</v>
      </c>
    </row>
    <row r="2552" spans="2:13" ht="12.75" hidden="1" outlineLevel="1" x14ac:dyDescent="0.2">
      <c r="C2552" s="494"/>
      <c r="F2552"/>
    </row>
    <row r="2553" spans="2:13" ht="15" hidden="1" outlineLevel="1" collapsed="1" x14ac:dyDescent="0.25">
      <c r="B2553" s="30" t="s">
        <v>197</v>
      </c>
      <c r="C2553" s="30" t="str">
        <f>+B2553</f>
        <v>Middle East</v>
      </c>
      <c r="D2553" s="30"/>
      <c r="E2553" s="30"/>
      <c r="F2553" s="30"/>
      <c r="G2553" s="564"/>
      <c r="H2553" s="30"/>
      <c r="I2553" s="30"/>
      <c r="J2553" s="30"/>
      <c r="K2553" s="30"/>
      <c r="L2553" s="30"/>
      <c r="M2553" s="30"/>
    </row>
    <row r="2554" spans="2:13" ht="15" hidden="1" outlineLevel="2" x14ac:dyDescent="0.25">
      <c r="B2554" t="str">
        <f>+C2554&amp;D2554&amp;E2554&amp;F2554</f>
        <v>Middle EastResultsTotal cost of BiomethanolUSD/ton</v>
      </c>
      <c r="C2554" s="494" t="str">
        <f>+$C$2553</f>
        <v>Middle East</v>
      </c>
      <c r="D2554" s="30" t="s">
        <v>838</v>
      </c>
      <c r="E2554" s="405" t="s">
        <v>1224</v>
      </c>
      <c r="F2554" s="127" t="s">
        <v>205</v>
      </c>
      <c r="G2554" s="490">
        <f>+SUM(G2555:G2557)</f>
        <v>1017.8573603178172</v>
      </c>
      <c r="H2554" s="490">
        <f t="shared" ref="H2554:M2554" si="1433">+SUM(H2555:H2557)</f>
        <v>721.73256900898184</v>
      </c>
      <c r="I2554" s="490">
        <f t="shared" si="1433"/>
        <v>612.43041184438846</v>
      </c>
      <c r="J2554" s="490">
        <f t="shared" si="1433"/>
        <v>567.02150040119852</v>
      </c>
      <c r="K2554" s="490">
        <f t="shared" si="1433"/>
        <v>523.82610625534608</v>
      </c>
      <c r="L2554" s="490">
        <f t="shared" si="1433"/>
        <v>497.65931431372428</v>
      </c>
      <c r="M2554" s="490">
        <f t="shared" si="1433"/>
        <v>472.19163883922494</v>
      </c>
    </row>
    <row r="2555" spans="2:13" ht="15" hidden="1" outlineLevel="2" x14ac:dyDescent="0.25">
      <c r="B2555" t="str">
        <f>+C2555&amp;D2555&amp;E2555&amp;F2555</f>
        <v>Middle EastResultsTotal Capex BiomethanolUSD/ton</v>
      </c>
      <c r="C2555" s="494" t="str">
        <f>+$C$2553</f>
        <v>Middle East</v>
      </c>
      <c r="D2555" s="30" t="s">
        <v>838</v>
      </c>
      <c r="E2555" s="228" t="s">
        <v>1225</v>
      </c>
      <c r="F2555" s="127" t="s">
        <v>205</v>
      </c>
      <c r="G2555" s="490">
        <f>+G2559</f>
        <v>477.00000000000011</v>
      </c>
      <c r="H2555" s="490">
        <f t="shared" ref="H2555:M2555" si="1434">+H2559</f>
        <v>300.33333333333343</v>
      </c>
      <c r="I2555" s="490">
        <f t="shared" si="1434"/>
        <v>234.08333333333337</v>
      </c>
      <c r="J2555" s="490">
        <f t="shared" si="1434"/>
        <v>205.37500000000006</v>
      </c>
      <c r="K2555" s="490">
        <f t="shared" si="1434"/>
        <v>176.66666666666671</v>
      </c>
      <c r="L2555" s="490">
        <f t="shared" si="1434"/>
        <v>159.00000000000003</v>
      </c>
      <c r="M2555" s="490">
        <f t="shared" si="1434"/>
        <v>141.33333333333337</v>
      </c>
    </row>
    <row r="2556" spans="2:13" ht="15" hidden="1" outlineLevel="2" x14ac:dyDescent="0.25">
      <c r="B2556" t="str">
        <f>+C2556&amp;D2556&amp;E2556&amp;F2556</f>
        <v>Middle EastResultsTotal Opex BiomethanolUSD/ton</v>
      </c>
      <c r="C2556" s="494" t="str">
        <f>+$C$2553</f>
        <v>Middle East</v>
      </c>
      <c r="D2556" s="30" t="s">
        <v>838</v>
      </c>
      <c r="E2556" s="228" t="s">
        <v>1226</v>
      </c>
      <c r="F2556" s="127" t="s">
        <v>205</v>
      </c>
      <c r="G2556" s="490">
        <f>+G2563+G2565</f>
        <v>346.05800192848113</v>
      </c>
      <c r="H2556" s="490">
        <f t="shared" ref="H2556:M2556" si="1435">+H2563+H2565</f>
        <v>221.76014167415508</v>
      </c>
      <c r="I2556" s="490">
        <f t="shared" si="1435"/>
        <v>173.86824889740427</v>
      </c>
      <c r="J2556" s="490">
        <f t="shared" si="1435"/>
        <v>152.32793517539022</v>
      </c>
      <c r="K2556" s="490">
        <f t="shared" si="1435"/>
        <v>131.79120484767441</v>
      </c>
      <c r="L2556" s="490">
        <f t="shared" si="1435"/>
        <v>118.45134396056187</v>
      </c>
      <c r="M2556" s="490">
        <f t="shared" si="1435"/>
        <v>105.81059954057176</v>
      </c>
    </row>
    <row r="2557" spans="2:13" ht="15" hidden="1" outlineLevel="2" x14ac:dyDescent="0.25">
      <c r="B2557" t="str">
        <f>+C2557&amp;D2557&amp;E2557&amp;F2557</f>
        <v>Middle EastResultsTotal Raw Material BiomethanolUSD/ton</v>
      </c>
      <c r="C2557" s="494" t="str">
        <f>+$C$2553</f>
        <v>Middle East</v>
      </c>
      <c r="D2557" s="30" t="s">
        <v>838</v>
      </c>
      <c r="E2557" s="228" t="s">
        <v>1227</v>
      </c>
      <c r="F2557" s="127" t="s">
        <v>205</v>
      </c>
      <c r="G2557" s="490">
        <f>+G2569</f>
        <v>194.79935838933596</v>
      </c>
      <c r="H2557" s="490">
        <f t="shared" ref="H2557:M2557" si="1436">+H2569</f>
        <v>199.63909400149339</v>
      </c>
      <c r="I2557" s="490">
        <f t="shared" si="1436"/>
        <v>204.47882961365079</v>
      </c>
      <c r="J2557" s="490">
        <f t="shared" si="1436"/>
        <v>209.31856522580821</v>
      </c>
      <c r="K2557" s="490">
        <f t="shared" si="1436"/>
        <v>215.36823474100498</v>
      </c>
      <c r="L2557" s="490">
        <f t="shared" si="1436"/>
        <v>220.20797035316241</v>
      </c>
      <c r="M2557" s="490">
        <f t="shared" si="1436"/>
        <v>225.04770596531981</v>
      </c>
    </row>
    <row r="2558" spans="2:13" ht="12.75" hidden="1" outlineLevel="2" x14ac:dyDescent="0.2">
      <c r="C2558" s="494"/>
      <c r="F2558"/>
    </row>
    <row r="2559" spans="2:13" hidden="1" outlineLevel="2" x14ac:dyDescent="0.2">
      <c r="B2559" t="str">
        <f>+C2559&amp;D2559&amp;E2559&amp;F2559</f>
        <v>Middle EastCapexBiomethanol plant USD/ton Methanol</v>
      </c>
      <c r="C2559" s="494" t="str">
        <f>+$C$2553</f>
        <v>Middle East</v>
      </c>
      <c r="D2559" t="s">
        <v>218</v>
      </c>
      <c r="E2559" s="48" t="s">
        <v>1228</v>
      </c>
      <c r="F2559" s="128" t="s">
        <v>1229</v>
      </c>
      <c r="G2559" s="8">
        <f t="shared" ref="G2559:M2559" si="1437">G2561/G2560</f>
        <v>477.00000000000011</v>
      </c>
      <c r="H2559" s="8">
        <f t="shared" si="1437"/>
        <v>300.33333333333343</v>
      </c>
      <c r="I2559" s="8">
        <f t="shared" si="1437"/>
        <v>234.08333333333337</v>
      </c>
      <c r="J2559" s="8">
        <f t="shared" si="1437"/>
        <v>205.37500000000006</v>
      </c>
      <c r="K2559" s="8">
        <f t="shared" si="1437"/>
        <v>176.66666666666671</v>
      </c>
      <c r="L2559" s="8">
        <f t="shared" si="1437"/>
        <v>159.00000000000003</v>
      </c>
      <c r="M2559" s="8">
        <f t="shared" si="1437"/>
        <v>141.33333333333337</v>
      </c>
    </row>
    <row r="2560" spans="2:13" hidden="1" outlineLevel="2" x14ac:dyDescent="0.2">
      <c r="B2560" t="str">
        <f>+C2560&amp;D2560&amp;E2560&amp;F2560</f>
        <v>GlobalPlant capexAnnualisation factor#</v>
      </c>
      <c r="C2560" s="494" t="s">
        <v>109</v>
      </c>
      <c r="D2560" t="s">
        <v>786</v>
      </c>
      <c r="E2560" t="s">
        <v>764</v>
      </c>
      <c r="F2560" s="450" t="s">
        <v>787</v>
      </c>
      <c r="G2560" s="532">
        <f>+INDEX('Fuel Model -  Input'!$B$3:$N$1312,MATCH($B2560,'Fuel Model -  Input'!$B$3:$B$1312,0),MATCH(G$2,'Fuel Model -  Input'!$B$3:$N$3,0))</f>
        <v>11.32075471698113</v>
      </c>
      <c r="H2560" s="532">
        <f>+INDEX('Fuel Model -  Input'!$B$3:$N$1312,MATCH($B2560,'Fuel Model -  Input'!$B$3:$B$1312,0),MATCH(H$2,'Fuel Model -  Input'!$B$3:$N$3,0))</f>
        <v>11.32075471698113</v>
      </c>
      <c r="I2560" s="532">
        <f>+INDEX('Fuel Model -  Input'!$B$3:$N$1312,MATCH($B2560,'Fuel Model -  Input'!$B$3:$B$1312,0),MATCH(I$2,'Fuel Model -  Input'!$B$3:$N$3,0))</f>
        <v>11.32075471698113</v>
      </c>
      <c r="J2560" s="532">
        <f>+INDEX('Fuel Model -  Input'!$B$3:$N$1312,MATCH($B2560,'Fuel Model -  Input'!$B$3:$B$1312,0),MATCH(J$2,'Fuel Model -  Input'!$B$3:$N$3,0))</f>
        <v>11.32075471698113</v>
      </c>
      <c r="K2560" s="532">
        <f>+INDEX('Fuel Model -  Input'!$B$3:$N$1312,MATCH($B2560,'Fuel Model -  Input'!$B$3:$B$1312,0),MATCH(K$2,'Fuel Model -  Input'!$B$3:$N$3,0))</f>
        <v>11.32075471698113</v>
      </c>
      <c r="L2560" s="532">
        <f>+INDEX('Fuel Model -  Input'!$B$3:$N$1312,MATCH($B2560,'Fuel Model -  Input'!$B$3:$B$1312,0),MATCH(L$2,'Fuel Model -  Input'!$B$3:$N$3,0))</f>
        <v>11.32075471698113</v>
      </c>
      <c r="M2560" s="532">
        <f>+INDEX('Fuel Model -  Input'!$B$3:$N$1312,MATCH($B2560,'Fuel Model -  Input'!$B$3:$B$1312,0),MATCH(M$2,'Fuel Model -  Input'!$B$3:$N$3,0))</f>
        <v>11.32075471698113</v>
      </c>
    </row>
    <row r="2561" spans="2:13" hidden="1" outlineLevel="2" x14ac:dyDescent="0.2">
      <c r="B2561" t="str">
        <f>+C2561&amp;D2561&amp;E2561&amp;F2561</f>
        <v>GlobalCapexBioMethanol plantUSD/ton BioMethanol capacity</v>
      </c>
      <c r="C2561" s="494" t="s">
        <v>109</v>
      </c>
      <c r="D2561" t="s">
        <v>218</v>
      </c>
      <c r="E2561" s="48" t="s">
        <v>1230</v>
      </c>
      <c r="F2561" s="128" t="s">
        <v>1231</v>
      </c>
      <c r="G2561" s="532">
        <f>+INDEX('Fuel Model -  Input'!$B$3:$N$1312,MATCH($B2561,'Fuel Model -  Input'!$B$3:$B$1312,0),MATCH(G$2,'Fuel Model -  Input'!$B$3:$N$3,0))</f>
        <v>5400</v>
      </c>
      <c r="H2561" s="532">
        <f>+INDEX('Fuel Model -  Input'!$B$3:$N$1312,MATCH($B2561,'Fuel Model -  Input'!$B$3:$B$1312,0),MATCH(H$2,'Fuel Model -  Input'!$B$3:$N$3,0))</f>
        <v>3400</v>
      </c>
      <c r="I2561" s="532">
        <f>+INDEX('Fuel Model -  Input'!$B$3:$N$1312,MATCH($B2561,'Fuel Model -  Input'!$B$3:$B$1312,0),MATCH(I$2,'Fuel Model -  Input'!$B$3:$N$3,0))</f>
        <v>2650</v>
      </c>
      <c r="J2561" s="532">
        <f>+INDEX('Fuel Model -  Input'!$B$3:$N$1312,MATCH($B2561,'Fuel Model -  Input'!$B$3:$B$1312,0),MATCH(J$2,'Fuel Model -  Input'!$B$3:$N$3,0))</f>
        <v>2325</v>
      </c>
      <c r="K2561" s="532">
        <f>+INDEX('Fuel Model -  Input'!$B$3:$N$1312,MATCH($B2561,'Fuel Model -  Input'!$B$3:$B$1312,0),MATCH(K$2,'Fuel Model -  Input'!$B$3:$N$3,0))</f>
        <v>2000</v>
      </c>
      <c r="L2561" s="532">
        <f>+INDEX('Fuel Model -  Input'!$B$3:$N$1312,MATCH($B2561,'Fuel Model -  Input'!$B$3:$B$1312,0),MATCH(L$2,'Fuel Model -  Input'!$B$3:$N$3,0))</f>
        <v>1800</v>
      </c>
      <c r="M2561" s="532">
        <f>+INDEX('Fuel Model -  Input'!$B$3:$N$1312,MATCH($B2561,'Fuel Model -  Input'!$B$3:$B$1312,0),MATCH(M$2,'Fuel Model -  Input'!$B$3:$N$3,0))</f>
        <v>1600</v>
      </c>
    </row>
    <row r="2562" spans="2:13" ht="12.75" hidden="1" outlineLevel="2" x14ac:dyDescent="0.2">
      <c r="C2562" s="494"/>
      <c r="F2562"/>
    </row>
    <row r="2563" spans="2:13" hidden="1" outlineLevel="2" x14ac:dyDescent="0.2">
      <c r="B2563" t="str">
        <f>+C2563&amp;D2563&amp;E2563&amp;F2563</f>
        <v>GlobalOPEXBioMethanol plant OPEXUSD/ton BioMethanol</v>
      </c>
      <c r="C2563" s="494" t="s">
        <v>109</v>
      </c>
      <c r="D2563" t="s">
        <v>319</v>
      </c>
      <c r="E2563" s="48" t="s">
        <v>1232</v>
      </c>
      <c r="F2563" s="128" t="s">
        <v>1233</v>
      </c>
      <c r="G2563" s="565">
        <f>+INDEX('Fuel Model -  Input'!$B$3:$N$1312,MATCH($B2563,'Fuel Model -  Input'!$B$3:$B$1312,0),MATCH(G$2,'Fuel Model -  Input'!$B$3:$N$3,0))</f>
        <v>324</v>
      </c>
      <c r="H2563" s="565">
        <f>+INDEX('Fuel Model -  Input'!$B$3:$N$1312,MATCH($B2563,'Fuel Model -  Input'!$B$3:$B$1312,0),MATCH(H$2,'Fuel Model -  Input'!$B$3:$N$3,0))</f>
        <v>204</v>
      </c>
      <c r="I2563" s="565">
        <f>+INDEX('Fuel Model -  Input'!$B$3:$N$1312,MATCH($B2563,'Fuel Model -  Input'!$B$3:$B$1312,0),MATCH(I$2,'Fuel Model -  Input'!$B$3:$N$3,0))</f>
        <v>159</v>
      </c>
      <c r="J2563" s="565">
        <f>+INDEX('Fuel Model -  Input'!$B$3:$N$1312,MATCH($B2563,'Fuel Model -  Input'!$B$3:$B$1312,0),MATCH(J$2,'Fuel Model -  Input'!$B$3:$N$3,0))</f>
        <v>139.5</v>
      </c>
      <c r="K2563" s="565">
        <f>+INDEX('Fuel Model -  Input'!$B$3:$N$1312,MATCH($B2563,'Fuel Model -  Input'!$B$3:$B$1312,0),MATCH(K$2,'Fuel Model -  Input'!$B$3:$N$3,0))</f>
        <v>120</v>
      </c>
      <c r="L2563" s="565">
        <f>+INDEX('Fuel Model -  Input'!$B$3:$N$1312,MATCH($B2563,'Fuel Model -  Input'!$B$3:$B$1312,0),MATCH(L$2,'Fuel Model -  Input'!$B$3:$N$3,0))</f>
        <v>108</v>
      </c>
      <c r="M2563" s="565">
        <f>+INDEX('Fuel Model -  Input'!$B$3:$N$1312,MATCH($B2563,'Fuel Model -  Input'!$B$3:$B$1312,0),MATCH(M$2,'Fuel Model -  Input'!$B$3:$N$3,0))</f>
        <v>96</v>
      </c>
    </row>
    <row r="2564" spans="2:13" hidden="1" outlineLevel="2" x14ac:dyDescent="0.2">
      <c r="C2564" s="494"/>
      <c r="E2564" s="48"/>
      <c r="F2564" s="128"/>
      <c r="G2564" s="565"/>
      <c r="H2564" s="565"/>
      <c r="I2564" s="565"/>
      <c r="J2564" s="565"/>
      <c r="K2564" s="565"/>
      <c r="L2564" s="565"/>
      <c r="M2564" s="565"/>
    </row>
    <row r="2565" spans="2:13" hidden="1" outlineLevel="2" x14ac:dyDescent="0.2">
      <c r="B2565" t="str">
        <f>+C2565&amp;D2565&amp;E2565&amp;F2565</f>
        <v>GlobalFeedstockCost of electricity for CH4USD/ton BioMethanol</v>
      </c>
      <c r="C2565" s="494" t="s">
        <v>109</v>
      </c>
      <c r="D2565" t="s">
        <v>777</v>
      </c>
      <c r="E2565" t="s">
        <v>1234</v>
      </c>
      <c r="F2565" s="450" t="s">
        <v>1233</v>
      </c>
      <c r="G2565" s="8">
        <f>+G2566*G2567</f>
        <v>22.058001928481108</v>
      </c>
      <c r="H2565" s="8">
        <f t="shared" ref="H2565" si="1438">+H2566*H2567</f>
        <v>17.760141674155079</v>
      </c>
      <c r="I2565" s="8">
        <f t="shared" ref="I2565" si="1439">+I2566*I2567</f>
        <v>14.86824889740428</v>
      </c>
      <c r="J2565" s="8">
        <f t="shared" ref="J2565" si="1440">+J2566*J2567</f>
        <v>12.827935175390211</v>
      </c>
      <c r="K2565" s="8">
        <f t="shared" ref="K2565" si="1441">+K2566*K2567</f>
        <v>11.791204847674415</v>
      </c>
      <c r="L2565" s="8">
        <f t="shared" ref="L2565" si="1442">+L2566*L2567</f>
        <v>10.451343960561871</v>
      </c>
      <c r="M2565" s="8">
        <f t="shared" ref="M2565" si="1443">+M2566*M2567</f>
        <v>9.8105995405717508</v>
      </c>
    </row>
    <row r="2566" spans="2:13" hidden="1" outlineLevel="2" x14ac:dyDescent="0.2">
      <c r="B2566" t="str">
        <f>+C2566&amp;D2566&amp;E2566&amp;F2566</f>
        <v>GlobalFeedstockBioMethanol plant Electricity demandMwH/ton fuel</v>
      </c>
      <c r="C2566" s="494" t="s">
        <v>109</v>
      </c>
      <c r="D2566" t="s">
        <v>777</v>
      </c>
      <c r="E2566" t="s">
        <v>1235</v>
      </c>
      <c r="F2566" t="s">
        <v>1236</v>
      </c>
      <c r="G2566" s="521">
        <f>INDEX('Fuel Model -  Input'!$B$3:$N$373,MATCH($B2566,'Fuel Model -  Input'!$B$3:$B$373,0),MATCH(G$2,'Fuel Model -  Input'!$B$3:$N$3,0))</f>
        <v>0.52617825903163917</v>
      </c>
      <c r="H2566" s="521">
        <f>INDEX('Fuel Model -  Input'!$B$3:$N$373,MATCH($B2566,'Fuel Model -  Input'!$B$3:$B$373,0),MATCH(H$2,'Fuel Model -  Input'!$B$3:$N$3,0))</f>
        <v>0.52617825903163917</v>
      </c>
      <c r="I2566" s="521">
        <f>INDEX('Fuel Model -  Input'!$B$3:$N$373,MATCH($B2566,'Fuel Model -  Input'!$B$3:$B$373,0),MATCH(I$2,'Fuel Model -  Input'!$B$3:$N$3,0))</f>
        <v>0.5245442721035346</v>
      </c>
      <c r="J2566" s="521">
        <f>INDEX('Fuel Model -  Input'!$B$3:$N$373,MATCH($B2566,'Fuel Model -  Input'!$B$3:$B$373,0),MATCH(J$2,'Fuel Model -  Input'!$B$3:$N$3,0))</f>
        <v>0.52291028517543003</v>
      </c>
      <c r="K2566" s="521">
        <f>INDEX('Fuel Model -  Input'!$B$3:$N$373,MATCH($B2566,'Fuel Model -  Input'!$B$3:$B$373,0),MATCH(K$2,'Fuel Model -  Input'!$B$3:$N$3,0))</f>
        <v>0.52127629824732535</v>
      </c>
      <c r="L2566" s="521">
        <f>INDEX('Fuel Model -  Input'!$B$3:$N$373,MATCH($B2566,'Fuel Model -  Input'!$B$3:$B$373,0),MATCH(L$2,'Fuel Model -  Input'!$B$3:$N$3,0))</f>
        <v>0.51964231131922078</v>
      </c>
      <c r="M2566" s="521">
        <f>INDEX('Fuel Model -  Input'!$B$3:$N$373,MATCH($B2566,'Fuel Model -  Input'!$B$3:$B$373,0),MATCH(M$2,'Fuel Model -  Input'!$B$3:$N$3,0))</f>
        <v>0.51800832439111621</v>
      </c>
    </row>
    <row r="2567" spans="2:13" hidden="1" outlineLevel="2" x14ac:dyDescent="0.2">
      <c r="B2567" t="str">
        <f>+C2567&amp;D2567&amp;E2567&amp;F2567</f>
        <v>Middle EastFeedstockElectricityUSD/MWh</v>
      </c>
      <c r="C2567" s="494" t="str">
        <f>C2557</f>
        <v>Middle East</v>
      </c>
      <c r="D2567" t="s">
        <v>777</v>
      </c>
      <c r="E2567" t="s">
        <v>54</v>
      </c>
      <c r="F2567" s="450" t="s">
        <v>196</v>
      </c>
      <c r="G2567" s="532">
        <f>INDEX('Fuel Model -  Input'!$B$3:$N$373,MATCH($B2567,'Fuel Model -  Input'!$B$3:$B$373,0),MATCH(G$2,'Fuel Model -  Input'!$B$3:$N$3,0))</f>
        <v>41.921157991354328</v>
      </c>
      <c r="H2567" s="532">
        <f>INDEX('Fuel Model -  Input'!$B$3:$N$373,MATCH($B2567,'Fuel Model -  Input'!$B$3:$B$373,0),MATCH(H$2,'Fuel Model -  Input'!$B$3:$N$3,0))</f>
        <v>33.753089127704079</v>
      </c>
      <c r="I2567" s="532">
        <f>INDEX('Fuel Model -  Input'!$B$3:$N$373,MATCH($B2567,'Fuel Model -  Input'!$B$3:$B$373,0),MATCH(I$2,'Fuel Model -  Input'!$B$3:$N$3,0))</f>
        <v>28.34507912512213</v>
      </c>
      <c r="J2567" s="532">
        <f>INDEX('Fuel Model -  Input'!$B$3:$N$373,MATCH($B2567,'Fuel Model -  Input'!$B$3:$B$373,0),MATCH(J$2,'Fuel Model -  Input'!$B$3:$N$3,0))</f>
        <v>24.531808876328746</v>
      </c>
      <c r="K2567" s="532">
        <f>INDEX('Fuel Model -  Input'!$B$3:$N$373,MATCH($B2567,'Fuel Model -  Input'!$B$3:$B$373,0),MATCH(K$2,'Fuel Model -  Input'!$B$3:$N$3,0))</f>
        <v>22.619875270215999</v>
      </c>
      <c r="L2567" s="532">
        <f>INDEX('Fuel Model -  Input'!$B$3:$N$373,MATCH($B2567,'Fuel Model -  Input'!$B$3:$B$373,0),MATCH(L$2,'Fuel Model -  Input'!$B$3:$N$3,0))</f>
        <v>20.112573077486601</v>
      </c>
      <c r="M2567" s="532">
        <f>INDEX('Fuel Model -  Input'!$B$3:$N$373,MATCH($B2567,'Fuel Model -  Input'!$B$3:$B$373,0),MATCH(M$2,'Fuel Model -  Input'!$B$3:$N$3,0))</f>
        <v>18.93907699669392</v>
      </c>
    </row>
    <row r="2568" spans="2:13" ht="12.75" hidden="1" outlineLevel="2" x14ac:dyDescent="0.2">
      <c r="C2568" s="494"/>
      <c r="F2568"/>
    </row>
    <row r="2569" spans="2:13" hidden="1" outlineLevel="2" x14ac:dyDescent="0.2">
      <c r="B2569" t="str">
        <f t="shared" ref="B2569:B2575" si="1444">+C2569&amp;D2569&amp;E2569&amp;F2569</f>
        <v>Middle EastFeedstockBiomass costUSD/ton Methanol</v>
      </c>
      <c r="C2569" s="494" t="str">
        <f>C2559</f>
        <v>Middle East</v>
      </c>
      <c r="D2569" t="s">
        <v>777</v>
      </c>
      <c r="E2569" s="48" t="s">
        <v>1237</v>
      </c>
      <c r="F2569" s="128" t="s">
        <v>1229</v>
      </c>
      <c r="G2569" s="8">
        <f t="shared" ref="G2569" si="1445">+G2571*G2572*G2573+G2570*G2574*G2575</f>
        <v>194.79935838933596</v>
      </c>
      <c r="H2569" s="8">
        <f t="shared" ref="H2569" si="1446">+H2571*H2572*H2573+H2570*H2574*H2575</f>
        <v>199.63909400149339</v>
      </c>
      <c r="I2569" s="8">
        <f t="shared" ref="I2569" si="1447">+I2571*I2572*I2573+I2570*I2574*I2575</f>
        <v>204.47882961365079</v>
      </c>
      <c r="J2569" s="8">
        <f t="shared" ref="J2569" si="1448">+J2571*J2572*J2573+J2570*J2574*J2575</f>
        <v>209.31856522580821</v>
      </c>
      <c r="K2569" s="8">
        <f t="shared" ref="K2569" si="1449">+K2571*K2572*K2573+K2570*K2574*K2575</f>
        <v>215.36823474100498</v>
      </c>
      <c r="L2569" s="8">
        <f t="shared" ref="L2569" si="1450">+L2571*L2572*L2573+L2570*L2574*L2575</f>
        <v>220.20797035316241</v>
      </c>
      <c r="M2569" s="8">
        <f t="shared" ref="M2569" si="1451">+M2571*M2572*M2573+M2570*M2574*M2575</f>
        <v>225.04770596531981</v>
      </c>
    </row>
    <row r="2570" spans="2:13" hidden="1" outlineLevel="2" x14ac:dyDescent="0.2">
      <c r="B2570" t="str">
        <f t="shared" si="1444"/>
        <v>GlobalFeedstockDry wood biomass market share Biomethanol%</v>
      </c>
      <c r="C2570" s="494" t="s">
        <v>109</v>
      </c>
      <c r="D2570" t="s">
        <v>777</v>
      </c>
      <c r="E2570" t="s">
        <v>1238</v>
      </c>
      <c r="F2570" t="s">
        <v>178</v>
      </c>
      <c r="G2570" s="531">
        <f>+INDEX('Fuel Model -  Input'!$B$3:$N$1312,MATCH($B2570,'Fuel Model -  Input'!$B$3:$B$1312,0),MATCH(G$2,'Fuel Model -  Input'!$B$3:$N$3,0))</f>
        <v>0.5</v>
      </c>
      <c r="H2570" s="531">
        <f>+INDEX('Fuel Model -  Input'!$B$3:$N$1312,MATCH($B2570,'Fuel Model -  Input'!$B$3:$B$1312,0),MATCH(H$2,'Fuel Model -  Input'!$B$3:$N$3,0))</f>
        <v>0.5</v>
      </c>
      <c r="I2570" s="531">
        <f>+INDEX('Fuel Model -  Input'!$B$3:$N$1312,MATCH($B2570,'Fuel Model -  Input'!$B$3:$B$1312,0),MATCH(I$2,'Fuel Model -  Input'!$B$3:$N$3,0))</f>
        <v>0.5</v>
      </c>
      <c r="J2570" s="531">
        <f>+INDEX('Fuel Model -  Input'!$B$3:$N$1312,MATCH($B2570,'Fuel Model -  Input'!$B$3:$B$1312,0),MATCH(J$2,'Fuel Model -  Input'!$B$3:$N$3,0))</f>
        <v>0.5</v>
      </c>
      <c r="K2570" s="531">
        <f>+INDEX('Fuel Model -  Input'!$B$3:$N$1312,MATCH($B2570,'Fuel Model -  Input'!$B$3:$B$1312,0),MATCH(K$2,'Fuel Model -  Input'!$B$3:$N$3,0))</f>
        <v>0.5</v>
      </c>
      <c r="L2570" s="531">
        <f>+INDEX('Fuel Model -  Input'!$B$3:$N$1312,MATCH($B2570,'Fuel Model -  Input'!$B$3:$B$1312,0),MATCH(L$2,'Fuel Model -  Input'!$B$3:$N$3,0))</f>
        <v>0.5</v>
      </c>
      <c r="M2570" s="531">
        <f>+INDEX('Fuel Model -  Input'!$B$3:$N$1312,MATCH($B2570,'Fuel Model -  Input'!$B$3:$B$1312,0),MATCH(M$2,'Fuel Model -  Input'!$B$3:$N$3,0))</f>
        <v>0.5</v>
      </c>
    </row>
    <row r="2571" spans="2:13" hidden="1" outlineLevel="2" x14ac:dyDescent="0.2">
      <c r="B2571" t="str">
        <f t="shared" si="1444"/>
        <v>GlobalFeedstockOrganic wet wate market share Biomethanol%</v>
      </c>
      <c r="C2571" s="494" t="s">
        <v>109</v>
      </c>
      <c r="D2571" t="s">
        <v>777</v>
      </c>
      <c r="E2571" t="s">
        <v>1239</v>
      </c>
      <c r="F2571" t="s">
        <v>178</v>
      </c>
      <c r="G2571" s="531">
        <f>+INDEX('Fuel Model -  Input'!$B$3:$N$1312,MATCH($B2571,'Fuel Model -  Input'!$B$3:$B$1312,0),MATCH(G$2,'Fuel Model -  Input'!$B$3:$N$3,0))</f>
        <v>0.5</v>
      </c>
      <c r="H2571" s="531">
        <f>+INDEX('Fuel Model -  Input'!$B$3:$N$1312,MATCH($B2571,'Fuel Model -  Input'!$B$3:$B$1312,0),MATCH(H$2,'Fuel Model -  Input'!$B$3:$N$3,0))</f>
        <v>0.5</v>
      </c>
      <c r="I2571" s="531">
        <f>+INDEX('Fuel Model -  Input'!$B$3:$N$1312,MATCH($B2571,'Fuel Model -  Input'!$B$3:$B$1312,0),MATCH(I$2,'Fuel Model -  Input'!$B$3:$N$3,0))</f>
        <v>0.5</v>
      </c>
      <c r="J2571" s="531">
        <f>+INDEX('Fuel Model -  Input'!$B$3:$N$1312,MATCH($B2571,'Fuel Model -  Input'!$B$3:$B$1312,0),MATCH(J$2,'Fuel Model -  Input'!$B$3:$N$3,0))</f>
        <v>0.5</v>
      </c>
      <c r="K2571" s="531">
        <f>+INDEX('Fuel Model -  Input'!$B$3:$N$1312,MATCH($B2571,'Fuel Model -  Input'!$B$3:$B$1312,0),MATCH(K$2,'Fuel Model -  Input'!$B$3:$N$3,0))</f>
        <v>0.5</v>
      </c>
      <c r="L2571" s="531">
        <f>+INDEX('Fuel Model -  Input'!$B$3:$N$1312,MATCH($B2571,'Fuel Model -  Input'!$B$3:$B$1312,0),MATCH(L$2,'Fuel Model -  Input'!$B$3:$N$3,0))</f>
        <v>0.5</v>
      </c>
      <c r="M2571" s="531">
        <f>+INDEX('Fuel Model -  Input'!$B$3:$N$1312,MATCH($B2571,'Fuel Model -  Input'!$B$3:$B$1312,0),MATCH(M$2,'Fuel Model -  Input'!$B$3:$N$3,0))</f>
        <v>0.5</v>
      </c>
    </row>
    <row r="2572" spans="2:13" hidden="1" outlineLevel="2" x14ac:dyDescent="0.2">
      <c r="B2572" t="str">
        <f t="shared" si="1444"/>
        <v>GlobalFeedstockConversion Organic wet waste : BioMethanolTon feedstock / ton fuel</v>
      </c>
      <c r="C2572" s="494" t="s">
        <v>109</v>
      </c>
      <c r="D2572" t="s">
        <v>777</v>
      </c>
      <c r="E2572" s="48" t="s">
        <v>1240</v>
      </c>
      <c r="F2572" s="128" t="s">
        <v>1241</v>
      </c>
      <c r="G2572" s="521">
        <f>+INDEX('Fuel Model -  Input'!$B$3:$N$1312,MATCH($B2572,'Fuel Model -  Input'!$B$3:$B$1312,0),MATCH(G$2,'Fuel Model -  Input'!$B$3:$N$3,0))</f>
        <v>2.4198678060787078</v>
      </c>
      <c r="H2572" s="521">
        <f>+INDEX('Fuel Model -  Input'!$B$3:$N$1312,MATCH($B2572,'Fuel Model -  Input'!$B$3:$B$1312,0),MATCH(H$2,'Fuel Model -  Input'!$B$3:$N$3,0))</f>
        <v>2.4198678060787078</v>
      </c>
      <c r="I2572" s="521">
        <f>+INDEX('Fuel Model -  Input'!$B$3:$N$1312,MATCH($B2572,'Fuel Model -  Input'!$B$3:$B$1312,0),MATCH(I$2,'Fuel Model -  Input'!$B$3:$N$3,0))</f>
        <v>2.4198678060787078</v>
      </c>
      <c r="J2572" s="521">
        <f>+INDEX('Fuel Model -  Input'!$B$3:$N$1312,MATCH($B2572,'Fuel Model -  Input'!$B$3:$B$1312,0),MATCH(J$2,'Fuel Model -  Input'!$B$3:$N$3,0))</f>
        <v>2.4198678060787078</v>
      </c>
      <c r="K2572" s="521">
        <f>+INDEX('Fuel Model -  Input'!$B$3:$N$1312,MATCH($B2572,'Fuel Model -  Input'!$B$3:$B$1312,0),MATCH(K$2,'Fuel Model -  Input'!$B$3:$N$3,0))</f>
        <v>2.4198678060787078</v>
      </c>
      <c r="L2572" s="521">
        <f>+INDEX('Fuel Model -  Input'!$B$3:$N$1312,MATCH($B2572,'Fuel Model -  Input'!$B$3:$B$1312,0),MATCH(L$2,'Fuel Model -  Input'!$B$3:$N$3,0))</f>
        <v>2.4198678060787078</v>
      </c>
      <c r="M2572" s="521">
        <f>+INDEX('Fuel Model -  Input'!$B$3:$N$1312,MATCH($B2572,'Fuel Model -  Input'!$B$3:$B$1312,0),MATCH(M$2,'Fuel Model -  Input'!$B$3:$N$3,0))</f>
        <v>2.4198678060787078</v>
      </c>
    </row>
    <row r="2573" spans="2:13" hidden="1" outlineLevel="2" x14ac:dyDescent="0.2">
      <c r="B2573" t="str">
        <f t="shared" si="1444"/>
        <v>Middle EastFeedstockCost of Organic wet wasteUSD/ton</v>
      </c>
      <c r="C2573" s="494" t="str">
        <f>C2554</f>
        <v>Middle East</v>
      </c>
      <c r="D2573" t="s">
        <v>777</v>
      </c>
      <c r="E2573" t="s">
        <v>1242</v>
      </c>
      <c r="F2573" t="s">
        <v>205</v>
      </c>
      <c r="G2573" s="532">
        <f>+INDEX('Fuel Model -  Input'!$B$3:$N$1312,MATCH($B2573,'Fuel Model -  Input'!$B$3:$B$1312,0),MATCH(G$2,'Fuel Model -  Input'!$B$3:$N$3,0))</f>
        <v>50</v>
      </c>
      <c r="H2573" s="532">
        <f>+INDEX('Fuel Model -  Input'!$B$3:$N$1312,MATCH($B2573,'Fuel Model -  Input'!$B$3:$B$1312,0),MATCH(H$2,'Fuel Model -  Input'!$B$3:$N$3,0))</f>
        <v>50</v>
      </c>
      <c r="I2573" s="532">
        <f>+INDEX('Fuel Model -  Input'!$B$3:$N$1312,MATCH($B2573,'Fuel Model -  Input'!$B$3:$B$1312,0),MATCH(I$2,'Fuel Model -  Input'!$B$3:$N$3,0))</f>
        <v>50</v>
      </c>
      <c r="J2573" s="532">
        <f>+INDEX('Fuel Model -  Input'!$B$3:$N$1312,MATCH($B2573,'Fuel Model -  Input'!$B$3:$B$1312,0),MATCH(J$2,'Fuel Model -  Input'!$B$3:$N$3,0))</f>
        <v>50</v>
      </c>
      <c r="K2573" s="532">
        <f>+INDEX('Fuel Model -  Input'!$B$3:$N$1312,MATCH($B2573,'Fuel Model -  Input'!$B$3:$B$1312,0),MATCH(K$2,'Fuel Model -  Input'!$B$3:$N$3,0))</f>
        <v>50</v>
      </c>
      <c r="L2573" s="532">
        <f>+INDEX('Fuel Model -  Input'!$B$3:$N$1312,MATCH($B2573,'Fuel Model -  Input'!$B$3:$B$1312,0),MATCH(L$2,'Fuel Model -  Input'!$B$3:$N$3,0))</f>
        <v>50</v>
      </c>
      <c r="M2573" s="532">
        <f>+INDEX('Fuel Model -  Input'!$B$3:$N$1312,MATCH($B2573,'Fuel Model -  Input'!$B$3:$B$1312,0),MATCH(M$2,'Fuel Model -  Input'!$B$3:$N$3,0))</f>
        <v>50</v>
      </c>
    </row>
    <row r="2574" spans="2:13" hidden="1" outlineLevel="2" x14ac:dyDescent="0.2">
      <c r="B2574" t="str">
        <f t="shared" si="1444"/>
        <v>GlobalFeedstockConversion Dry Wood biomass : BioMethanolTon feedstock / ton fuel</v>
      </c>
      <c r="C2574" s="494" t="s">
        <v>109</v>
      </c>
      <c r="D2574" t="s">
        <v>777</v>
      </c>
      <c r="E2574" s="48" t="s">
        <v>1243</v>
      </c>
      <c r="F2574" s="128" t="s">
        <v>1241</v>
      </c>
      <c r="G2574" s="521">
        <f>+INDEX('Fuel Model -  Input'!$B$3:$N$1312,MATCH($B2574,'Fuel Model -  Input'!$B$3:$B$1312,0),MATCH(G$2,'Fuel Model -  Input'!$B$3:$N$3,0))</f>
        <v>2.4198678060787078</v>
      </c>
      <c r="H2574" s="521">
        <f>+INDEX('Fuel Model -  Input'!$B$3:$N$1312,MATCH($B2574,'Fuel Model -  Input'!$B$3:$B$1312,0),MATCH(H$2,'Fuel Model -  Input'!$B$3:$N$3,0))</f>
        <v>2.4198678060787078</v>
      </c>
      <c r="I2574" s="521">
        <f>+INDEX('Fuel Model -  Input'!$B$3:$N$1312,MATCH($B2574,'Fuel Model -  Input'!$B$3:$B$1312,0),MATCH(I$2,'Fuel Model -  Input'!$B$3:$N$3,0))</f>
        <v>2.4198678060787078</v>
      </c>
      <c r="J2574" s="521">
        <f>+INDEX('Fuel Model -  Input'!$B$3:$N$1312,MATCH($B2574,'Fuel Model -  Input'!$B$3:$B$1312,0),MATCH(J$2,'Fuel Model -  Input'!$B$3:$N$3,0))</f>
        <v>2.4198678060787078</v>
      </c>
      <c r="K2574" s="521">
        <f>+INDEX('Fuel Model -  Input'!$B$3:$N$1312,MATCH($B2574,'Fuel Model -  Input'!$B$3:$B$1312,0),MATCH(K$2,'Fuel Model -  Input'!$B$3:$N$3,0))</f>
        <v>2.4198678060787078</v>
      </c>
      <c r="L2574" s="521">
        <f>+INDEX('Fuel Model -  Input'!$B$3:$N$1312,MATCH($B2574,'Fuel Model -  Input'!$B$3:$B$1312,0),MATCH(L$2,'Fuel Model -  Input'!$B$3:$N$3,0))</f>
        <v>2.4198678060787078</v>
      </c>
      <c r="M2574" s="521">
        <f>+INDEX('Fuel Model -  Input'!$B$3:$N$1312,MATCH($B2574,'Fuel Model -  Input'!$B$3:$B$1312,0),MATCH(M$2,'Fuel Model -  Input'!$B$3:$N$3,0))</f>
        <v>2.4198678060787078</v>
      </c>
    </row>
    <row r="2575" spans="2:13" hidden="1" outlineLevel="2" x14ac:dyDescent="0.2">
      <c r="B2575" t="str">
        <f t="shared" si="1444"/>
        <v>Middle EastFeedstockCost of Wood biomassUSD/ton Wood</v>
      </c>
      <c r="C2575" s="494" t="str">
        <f>+$C$2553</f>
        <v>Middle East</v>
      </c>
      <c r="D2575" t="s">
        <v>777</v>
      </c>
      <c r="E2575" s="48" t="s">
        <v>1244</v>
      </c>
      <c r="F2575" s="128" t="s">
        <v>1245</v>
      </c>
      <c r="G2575" s="532">
        <f>+INDEX('Fuel Model -  Input'!$B$3:$N$1312,MATCH($B2575,'Fuel Model -  Input'!$B$3:$B$1312,0),MATCH(G$2,'Fuel Model -  Input'!$B$3:$N$3,0))</f>
        <v>111</v>
      </c>
      <c r="H2575" s="532">
        <f>+INDEX('Fuel Model -  Input'!$B$3:$N$1312,MATCH($B2575,'Fuel Model -  Input'!$B$3:$B$1312,0),MATCH(H$2,'Fuel Model -  Input'!$B$3:$N$3,0))</f>
        <v>115</v>
      </c>
      <c r="I2575" s="532">
        <f>+INDEX('Fuel Model -  Input'!$B$3:$N$1312,MATCH($B2575,'Fuel Model -  Input'!$B$3:$B$1312,0),MATCH(I$2,'Fuel Model -  Input'!$B$3:$N$3,0))</f>
        <v>119</v>
      </c>
      <c r="J2575" s="532">
        <f>+INDEX('Fuel Model -  Input'!$B$3:$N$1312,MATCH($B2575,'Fuel Model -  Input'!$B$3:$B$1312,0),MATCH(J$2,'Fuel Model -  Input'!$B$3:$N$3,0))</f>
        <v>123</v>
      </c>
      <c r="K2575" s="532">
        <f>+INDEX('Fuel Model -  Input'!$B$3:$N$1312,MATCH($B2575,'Fuel Model -  Input'!$B$3:$B$1312,0),MATCH(K$2,'Fuel Model -  Input'!$B$3:$N$3,0))</f>
        <v>128</v>
      </c>
      <c r="L2575" s="532">
        <f>+INDEX('Fuel Model -  Input'!$B$3:$N$1312,MATCH($B2575,'Fuel Model -  Input'!$B$3:$B$1312,0),MATCH(L$2,'Fuel Model -  Input'!$B$3:$N$3,0))</f>
        <v>132</v>
      </c>
      <c r="M2575" s="532">
        <f>+INDEX('Fuel Model -  Input'!$B$3:$N$1312,MATCH($B2575,'Fuel Model -  Input'!$B$3:$B$1312,0),MATCH(M$2,'Fuel Model -  Input'!$B$3:$N$3,0))</f>
        <v>136</v>
      </c>
    </row>
    <row r="2576" spans="2:13" ht="12.75" hidden="1" outlineLevel="1" x14ac:dyDescent="0.2">
      <c r="C2576" s="494"/>
      <c r="F2576"/>
    </row>
    <row r="2577" spans="2:13" ht="15" hidden="1" outlineLevel="1" collapsed="1" x14ac:dyDescent="0.25">
      <c r="B2577" s="30" t="s">
        <v>198</v>
      </c>
      <c r="C2577" s="30" t="str">
        <f>+B2577</f>
        <v>Asia</v>
      </c>
      <c r="D2577" s="30"/>
      <c r="E2577" s="30"/>
      <c r="F2577" s="30"/>
      <c r="G2577" s="564"/>
      <c r="H2577" s="30"/>
      <c r="I2577" s="30"/>
      <c r="J2577" s="30"/>
      <c r="K2577" s="30"/>
      <c r="L2577" s="30"/>
      <c r="M2577" s="30"/>
    </row>
    <row r="2578" spans="2:13" ht="15" hidden="1" outlineLevel="2" x14ac:dyDescent="0.25">
      <c r="B2578" t="str">
        <f>+C2578&amp;D2578&amp;E2578&amp;F2578</f>
        <v>AsiaResultsTotal cost of BiomethanolUSD/ton</v>
      </c>
      <c r="C2578" s="494" t="str">
        <f>+$C$2577</f>
        <v>Asia</v>
      </c>
      <c r="D2578" s="30" t="s">
        <v>838</v>
      </c>
      <c r="E2578" s="405" t="s">
        <v>1224</v>
      </c>
      <c r="F2578" s="127" t="s">
        <v>205</v>
      </c>
      <c r="G2578" s="490">
        <f>+SUM(G2579:G2581)</f>
        <v>986.9512757095813</v>
      </c>
      <c r="H2578" s="490">
        <f t="shared" ref="H2578:M2578" si="1452">+SUM(H2579:H2581)</f>
        <v>681.32058553457</v>
      </c>
      <c r="I2578" s="490">
        <f t="shared" si="1452"/>
        <v>569.45429312526596</v>
      </c>
      <c r="J2578" s="490">
        <f t="shared" si="1452"/>
        <v>523.58730063532232</v>
      </c>
      <c r="K2578" s="490">
        <f t="shared" si="1452"/>
        <v>479.52560393690737</v>
      </c>
      <c r="L2578" s="490">
        <f t="shared" si="1452"/>
        <v>452.72131759680371</v>
      </c>
      <c r="M2578" s="490">
        <f t="shared" si="1452"/>
        <v>428.17733760343026</v>
      </c>
    </row>
    <row r="2579" spans="2:13" ht="15" hidden="1" outlineLevel="2" x14ac:dyDescent="0.25">
      <c r="B2579" t="str">
        <f>+C2579&amp;D2579&amp;E2579&amp;F2579</f>
        <v>AsiaResultsTotal Capex BiomethanolUSD/ton</v>
      </c>
      <c r="C2579" s="494" t="str">
        <f>+$C$2577</f>
        <v>Asia</v>
      </c>
      <c r="D2579" s="30" t="s">
        <v>838</v>
      </c>
      <c r="E2579" s="228" t="s">
        <v>1225</v>
      </c>
      <c r="F2579" s="127" t="s">
        <v>205</v>
      </c>
      <c r="G2579" s="490">
        <f>+G2583</f>
        <v>477.00000000000011</v>
      </c>
      <c r="H2579" s="490">
        <f t="shared" ref="H2579:M2579" si="1453">+H2583</f>
        <v>300.33333333333343</v>
      </c>
      <c r="I2579" s="490">
        <f t="shared" si="1453"/>
        <v>234.08333333333337</v>
      </c>
      <c r="J2579" s="490">
        <f t="shared" si="1453"/>
        <v>205.37500000000006</v>
      </c>
      <c r="K2579" s="490">
        <f t="shared" si="1453"/>
        <v>176.66666666666671</v>
      </c>
      <c r="L2579" s="490">
        <f t="shared" si="1453"/>
        <v>159.00000000000003</v>
      </c>
      <c r="M2579" s="490">
        <f t="shared" si="1453"/>
        <v>141.33333333333337</v>
      </c>
    </row>
    <row r="2580" spans="2:13" ht="15" hidden="1" outlineLevel="2" x14ac:dyDescent="0.25">
      <c r="B2580" t="str">
        <f>+C2580&amp;D2580&amp;E2580&amp;F2580</f>
        <v>AsiaResultsTotal Opex BiomethanolUSD/ton</v>
      </c>
      <c r="C2580" s="494" t="str">
        <f>+$C$2577</f>
        <v>Asia</v>
      </c>
      <c r="D2580" s="30" t="s">
        <v>838</v>
      </c>
      <c r="E2580" s="228" t="s">
        <v>1226</v>
      </c>
      <c r="F2580" s="127" t="s">
        <v>205</v>
      </c>
      <c r="G2580" s="490">
        <f>+G2587+G2589</f>
        <v>367.17907515093748</v>
      </c>
      <c r="H2580" s="490">
        <f t="shared" ref="H2580:M2580" si="1454">+H2587+H2589</f>
        <v>232.16538212739607</v>
      </c>
      <c r="I2580" s="490">
        <f t="shared" si="1454"/>
        <v>181.70935410593466</v>
      </c>
      <c r="J2580" s="490">
        <f t="shared" si="1454"/>
        <v>158.50102543412754</v>
      </c>
      <c r="K2580" s="490">
        <f t="shared" si="1454"/>
        <v>137.09799255384914</v>
      </c>
      <c r="L2580" s="490">
        <f t="shared" si="1454"/>
        <v>123.1206372682548</v>
      </c>
      <c r="M2580" s="490">
        <f t="shared" si="1454"/>
        <v>110.19365442635119</v>
      </c>
    </row>
    <row r="2581" spans="2:13" ht="15" hidden="1" outlineLevel="2" x14ac:dyDescent="0.25">
      <c r="B2581" t="str">
        <f>+C2581&amp;D2581&amp;E2581&amp;F2581</f>
        <v>AsiaResultsTotal Raw Material BiomethanolUSD/ton</v>
      </c>
      <c r="C2581" s="494" t="str">
        <f>+$C$2577</f>
        <v>Asia</v>
      </c>
      <c r="D2581" s="30" t="s">
        <v>838</v>
      </c>
      <c r="E2581" s="228" t="s">
        <v>1227</v>
      </c>
      <c r="F2581" s="127" t="s">
        <v>205</v>
      </c>
      <c r="G2581" s="490">
        <f>+G2593</f>
        <v>142.77220055864376</v>
      </c>
      <c r="H2581" s="490">
        <f t="shared" ref="H2581:M2581" si="1455">+H2593</f>
        <v>148.82187007384053</v>
      </c>
      <c r="I2581" s="490">
        <f t="shared" si="1455"/>
        <v>153.66160568599796</v>
      </c>
      <c r="J2581" s="490">
        <f t="shared" si="1455"/>
        <v>159.71127520119472</v>
      </c>
      <c r="K2581" s="490">
        <f t="shared" si="1455"/>
        <v>165.76094471639149</v>
      </c>
      <c r="L2581" s="490">
        <f t="shared" si="1455"/>
        <v>170.60068032854889</v>
      </c>
      <c r="M2581" s="490">
        <f t="shared" si="1455"/>
        <v>176.65034984374566</v>
      </c>
    </row>
    <row r="2582" spans="2:13" ht="12.75" hidden="1" outlineLevel="2" x14ac:dyDescent="0.2">
      <c r="C2582" s="494"/>
      <c r="F2582"/>
    </row>
    <row r="2583" spans="2:13" hidden="1" outlineLevel="2" x14ac:dyDescent="0.2">
      <c r="B2583" t="str">
        <f>+C2583&amp;D2583&amp;E2583&amp;F2583</f>
        <v>AsiaCapexBiomethanol plant USD/ton Methanol</v>
      </c>
      <c r="C2583" s="494" t="str">
        <f>+$C$2577</f>
        <v>Asia</v>
      </c>
      <c r="D2583" t="s">
        <v>218</v>
      </c>
      <c r="E2583" s="48" t="s">
        <v>1228</v>
      </c>
      <c r="F2583" s="128" t="s">
        <v>1229</v>
      </c>
      <c r="G2583" s="8">
        <f t="shared" ref="G2583:M2583" si="1456">G2585/G2584</f>
        <v>477.00000000000011</v>
      </c>
      <c r="H2583" s="8">
        <f t="shared" si="1456"/>
        <v>300.33333333333343</v>
      </c>
      <c r="I2583" s="8">
        <f t="shared" si="1456"/>
        <v>234.08333333333337</v>
      </c>
      <c r="J2583" s="8">
        <f t="shared" si="1456"/>
        <v>205.37500000000006</v>
      </c>
      <c r="K2583" s="8">
        <f t="shared" si="1456"/>
        <v>176.66666666666671</v>
      </c>
      <c r="L2583" s="8">
        <f t="shared" si="1456"/>
        <v>159.00000000000003</v>
      </c>
      <c r="M2583" s="8">
        <f t="shared" si="1456"/>
        <v>141.33333333333337</v>
      </c>
    </row>
    <row r="2584" spans="2:13" hidden="1" outlineLevel="2" x14ac:dyDescent="0.2">
      <c r="B2584" t="str">
        <f>+C2584&amp;D2584&amp;E2584&amp;F2584</f>
        <v>GlobalPlant capexAnnualisation factor#</v>
      </c>
      <c r="C2584" s="494" t="s">
        <v>109</v>
      </c>
      <c r="D2584" t="s">
        <v>786</v>
      </c>
      <c r="E2584" t="s">
        <v>764</v>
      </c>
      <c r="F2584" s="450" t="s">
        <v>787</v>
      </c>
      <c r="G2584" s="532">
        <f>+INDEX('Fuel Model -  Input'!$B$3:$N$1312,MATCH($B2584,'Fuel Model -  Input'!$B$3:$B$1312,0),MATCH(G$2,'Fuel Model -  Input'!$B$3:$N$3,0))</f>
        <v>11.32075471698113</v>
      </c>
      <c r="H2584" s="532">
        <f>+INDEX('Fuel Model -  Input'!$B$3:$N$1312,MATCH($B2584,'Fuel Model -  Input'!$B$3:$B$1312,0),MATCH(H$2,'Fuel Model -  Input'!$B$3:$N$3,0))</f>
        <v>11.32075471698113</v>
      </c>
      <c r="I2584" s="532">
        <f>+INDEX('Fuel Model -  Input'!$B$3:$N$1312,MATCH($B2584,'Fuel Model -  Input'!$B$3:$B$1312,0),MATCH(I$2,'Fuel Model -  Input'!$B$3:$N$3,0))</f>
        <v>11.32075471698113</v>
      </c>
      <c r="J2584" s="532">
        <f>+INDEX('Fuel Model -  Input'!$B$3:$N$1312,MATCH($B2584,'Fuel Model -  Input'!$B$3:$B$1312,0),MATCH(J$2,'Fuel Model -  Input'!$B$3:$N$3,0))</f>
        <v>11.32075471698113</v>
      </c>
      <c r="K2584" s="532">
        <f>+INDEX('Fuel Model -  Input'!$B$3:$N$1312,MATCH($B2584,'Fuel Model -  Input'!$B$3:$B$1312,0),MATCH(K$2,'Fuel Model -  Input'!$B$3:$N$3,0))</f>
        <v>11.32075471698113</v>
      </c>
      <c r="L2584" s="532">
        <f>+INDEX('Fuel Model -  Input'!$B$3:$N$1312,MATCH($B2584,'Fuel Model -  Input'!$B$3:$B$1312,0),MATCH(L$2,'Fuel Model -  Input'!$B$3:$N$3,0))</f>
        <v>11.32075471698113</v>
      </c>
      <c r="M2584" s="532">
        <f>+INDEX('Fuel Model -  Input'!$B$3:$N$1312,MATCH($B2584,'Fuel Model -  Input'!$B$3:$B$1312,0),MATCH(M$2,'Fuel Model -  Input'!$B$3:$N$3,0))</f>
        <v>11.32075471698113</v>
      </c>
    </row>
    <row r="2585" spans="2:13" hidden="1" outlineLevel="2" x14ac:dyDescent="0.2">
      <c r="B2585" t="str">
        <f>+C2585&amp;D2585&amp;E2585&amp;F2585</f>
        <v>GlobalCapexBioMethanol plantUSD/ton BioMethanol capacity</v>
      </c>
      <c r="C2585" s="494" t="s">
        <v>109</v>
      </c>
      <c r="D2585" t="s">
        <v>218</v>
      </c>
      <c r="E2585" s="48" t="s">
        <v>1230</v>
      </c>
      <c r="F2585" s="128" t="s">
        <v>1231</v>
      </c>
      <c r="G2585" s="532">
        <f>+INDEX('Fuel Model -  Input'!$B$3:$N$1312,MATCH($B2585,'Fuel Model -  Input'!$B$3:$B$1312,0),MATCH(G$2,'Fuel Model -  Input'!$B$3:$N$3,0))</f>
        <v>5400</v>
      </c>
      <c r="H2585" s="532">
        <f>+INDEX('Fuel Model -  Input'!$B$3:$N$1312,MATCH($B2585,'Fuel Model -  Input'!$B$3:$B$1312,0),MATCH(H$2,'Fuel Model -  Input'!$B$3:$N$3,0))</f>
        <v>3400</v>
      </c>
      <c r="I2585" s="532">
        <f>+INDEX('Fuel Model -  Input'!$B$3:$N$1312,MATCH($B2585,'Fuel Model -  Input'!$B$3:$B$1312,0),MATCH(I$2,'Fuel Model -  Input'!$B$3:$N$3,0))</f>
        <v>2650</v>
      </c>
      <c r="J2585" s="532">
        <f>+INDEX('Fuel Model -  Input'!$B$3:$N$1312,MATCH($B2585,'Fuel Model -  Input'!$B$3:$B$1312,0),MATCH(J$2,'Fuel Model -  Input'!$B$3:$N$3,0))</f>
        <v>2325</v>
      </c>
      <c r="K2585" s="532">
        <f>+INDEX('Fuel Model -  Input'!$B$3:$N$1312,MATCH($B2585,'Fuel Model -  Input'!$B$3:$B$1312,0),MATCH(K$2,'Fuel Model -  Input'!$B$3:$N$3,0))</f>
        <v>2000</v>
      </c>
      <c r="L2585" s="532">
        <f>+INDEX('Fuel Model -  Input'!$B$3:$N$1312,MATCH($B2585,'Fuel Model -  Input'!$B$3:$B$1312,0),MATCH(L$2,'Fuel Model -  Input'!$B$3:$N$3,0))</f>
        <v>1800</v>
      </c>
      <c r="M2585" s="532">
        <f>+INDEX('Fuel Model -  Input'!$B$3:$N$1312,MATCH($B2585,'Fuel Model -  Input'!$B$3:$B$1312,0),MATCH(M$2,'Fuel Model -  Input'!$B$3:$N$3,0))</f>
        <v>1600</v>
      </c>
    </row>
    <row r="2586" spans="2:13" ht="12.75" hidden="1" outlineLevel="2" x14ac:dyDescent="0.2">
      <c r="C2586" s="494"/>
      <c r="F2586"/>
    </row>
    <row r="2587" spans="2:13" hidden="1" outlineLevel="2" x14ac:dyDescent="0.2">
      <c r="B2587" t="str">
        <f>+C2587&amp;D2587&amp;E2587&amp;F2587</f>
        <v>GlobalOPEXBioMethanol plant OPEXUSD/ton BioMethanol</v>
      </c>
      <c r="C2587" s="494" t="s">
        <v>109</v>
      </c>
      <c r="D2587" t="s">
        <v>319</v>
      </c>
      <c r="E2587" s="48" t="s">
        <v>1232</v>
      </c>
      <c r="F2587" s="128" t="s">
        <v>1233</v>
      </c>
      <c r="G2587" s="565">
        <f>+INDEX('Fuel Model -  Input'!$B$3:$N$1312,MATCH($B2587,'Fuel Model -  Input'!$B$3:$B$1312,0),MATCH(G$2,'Fuel Model -  Input'!$B$3:$N$3,0))</f>
        <v>324</v>
      </c>
      <c r="H2587" s="565">
        <f>+INDEX('Fuel Model -  Input'!$B$3:$N$1312,MATCH($B2587,'Fuel Model -  Input'!$B$3:$B$1312,0),MATCH(H$2,'Fuel Model -  Input'!$B$3:$N$3,0))</f>
        <v>204</v>
      </c>
      <c r="I2587" s="565">
        <f>+INDEX('Fuel Model -  Input'!$B$3:$N$1312,MATCH($B2587,'Fuel Model -  Input'!$B$3:$B$1312,0),MATCH(I$2,'Fuel Model -  Input'!$B$3:$N$3,0))</f>
        <v>159</v>
      </c>
      <c r="J2587" s="565">
        <f>+INDEX('Fuel Model -  Input'!$B$3:$N$1312,MATCH($B2587,'Fuel Model -  Input'!$B$3:$B$1312,0),MATCH(J$2,'Fuel Model -  Input'!$B$3:$N$3,0))</f>
        <v>139.5</v>
      </c>
      <c r="K2587" s="565">
        <f>+INDEX('Fuel Model -  Input'!$B$3:$N$1312,MATCH($B2587,'Fuel Model -  Input'!$B$3:$B$1312,0),MATCH(K$2,'Fuel Model -  Input'!$B$3:$N$3,0))</f>
        <v>120</v>
      </c>
      <c r="L2587" s="565">
        <f>+INDEX('Fuel Model -  Input'!$B$3:$N$1312,MATCH($B2587,'Fuel Model -  Input'!$B$3:$B$1312,0),MATCH(L$2,'Fuel Model -  Input'!$B$3:$N$3,0))</f>
        <v>108</v>
      </c>
      <c r="M2587" s="565">
        <f>+INDEX('Fuel Model -  Input'!$B$3:$N$1312,MATCH($B2587,'Fuel Model -  Input'!$B$3:$B$1312,0),MATCH(M$2,'Fuel Model -  Input'!$B$3:$N$3,0))</f>
        <v>96</v>
      </c>
    </row>
    <row r="2588" spans="2:13" hidden="1" outlineLevel="2" x14ac:dyDescent="0.2">
      <c r="C2588" s="494"/>
      <c r="E2588" s="48"/>
      <c r="F2588" s="128"/>
      <c r="G2588" s="565"/>
      <c r="H2588" s="565"/>
      <c r="I2588" s="565"/>
      <c r="J2588" s="565"/>
      <c r="K2588" s="565"/>
      <c r="L2588" s="565"/>
      <c r="M2588" s="565"/>
    </row>
    <row r="2589" spans="2:13" hidden="1" outlineLevel="2" x14ac:dyDescent="0.2">
      <c r="B2589" t="str">
        <f>+C2589&amp;D2589&amp;E2589&amp;F2589</f>
        <v>GlobalFeedstockCost of electricity for CH4USD/ton BioMethanol</v>
      </c>
      <c r="C2589" s="494" t="s">
        <v>109</v>
      </c>
      <c r="D2589" t="s">
        <v>777</v>
      </c>
      <c r="E2589" t="s">
        <v>1234</v>
      </c>
      <c r="F2589" s="450" t="s">
        <v>1233</v>
      </c>
      <c r="G2589" s="8">
        <f>+G2590*G2591</f>
        <v>43.179075150937457</v>
      </c>
      <c r="H2589" s="8">
        <f t="shared" ref="H2589" si="1457">+H2590*H2591</f>
        <v>28.165382127396082</v>
      </c>
      <c r="I2589" s="8">
        <f t="shared" ref="I2589" si="1458">+I2590*I2591</f>
        <v>22.709354105934672</v>
      </c>
      <c r="J2589" s="8">
        <f t="shared" ref="J2589" si="1459">+J2590*J2591</f>
        <v>19.001025434127556</v>
      </c>
      <c r="K2589" s="8">
        <f t="shared" ref="K2589" si="1460">+K2590*K2591</f>
        <v>17.097992553849149</v>
      </c>
      <c r="L2589" s="8">
        <f t="shared" ref="L2589" si="1461">+L2590*L2591</f>
        <v>15.120637268254804</v>
      </c>
      <c r="M2589" s="8">
        <f t="shared" ref="M2589" si="1462">+M2590*M2591</f>
        <v>14.193654426351188</v>
      </c>
    </row>
    <row r="2590" spans="2:13" hidden="1" outlineLevel="2" x14ac:dyDescent="0.2">
      <c r="B2590" t="str">
        <f>+C2590&amp;D2590&amp;E2590&amp;F2590</f>
        <v>GlobalFeedstockBioMethanol plant Electricity demandMwH/ton fuel</v>
      </c>
      <c r="C2590" s="494" t="s">
        <v>109</v>
      </c>
      <c r="D2590" t="s">
        <v>777</v>
      </c>
      <c r="E2590" t="s">
        <v>1235</v>
      </c>
      <c r="F2590" t="s">
        <v>1236</v>
      </c>
      <c r="G2590" s="521">
        <f>INDEX('Fuel Model -  Input'!$B$3:$N$373,MATCH($B2590,'Fuel Model -  Input'!$B$3:$B$373,0),MATCH(G$2,'Fuel Model -  Input'!$B$3:$N$3,0))</f>
        <v>0.52617825903163917</v>
      </c>
      <c r="H2590" s="521">
        <f>INDEX('Fuel Model -  Input'!$B$3:$N$373,MATCH($B2590,'Fuel Model -  Input'!$B$3:$B$373,0),MATCH(H$2,'Fuel Model -  Input'!$B$3:$N$3,0))</f>
        <v>0.52617825903163917</v>
      </c>
      <c r="I2590" s="521">
        <f>INDEX('Fuel Model -  Input'!$B$3:$N$373,MATCH($B2590,'Fuel Model -  Input'!$B$3:$B$373,0),MATCH(I$2,'Fuel Model -  Input'!$B$3:$N$3,0))</f>
        <v>0.5245442721035346</v>
      </c>
      <c r="J2590" s="521">
        <f>INDEX('Fuel Model -  Input'!$B$3:$N$373,MATCH($B2590,'Fuel Model -  Input'!$B$3:$B$373,0),MATCH(J$2,'Fuel Model -  Input'!$B$3:$N$3,0))</f>
        <v>0.52291028517543003</v>
      </c>
      <c r="K2590" s="521">
        <f>INDEX('Fuel Model -  Input'!$B$3:$N$373,MATCH($B2590,'Fuel Model -  Input'!$B$3:$B$373,0),MATCH(K$2,'Fuel Model -  Input'!$B$3:$N$3,0))</f>
        <v>0.52127629824732535</v>
      </c>
      <c r="L2590" s="521">
        <f>INDEX('Fuel Model -  Input'!$B$3:$N$373,MATCH($B2590,'Fuel Model -  Input'!$B$3:$B$373,0),MATCH(L$2,'Fuel Model -  Input'!$B$3:$N$3,0))</f>
        <v>0.51964231131922078</v>
      </c>
      <c r="M2590" s="521">
        <f>INDEX('Fuel Model -  Input'!$B$3:$N$373,MATCH($B2590,'Fuel Model -  Input'!$B$3:$B$373,0),MATCH(M$2,'Fuel Model -  Input'!$B$3:$N$3,0))</f>
        <v>0.51800832439111621</v>
      </c>
    </row>
    <row r="2591" spans="2:13" hidden="1" outlineLevel="2" x14ac:dyDescent="0.2">
      <c r="B2591" t="str">
        <f>+C2591&amp;D2591&amp;E2591&amp;F2591</f>
        <v>AsiaFeedstockElectricityUSD/MWh</v>
      </c>
      <c r="C2591" s="494" t="str">
        <f>+C2599</f>
        <v>Asia</v>
      </c>
      <c r="D2591" t="s">
        <v>777</v>
      </c>
      <c r="E2591" t="s">
        <v>54</v>
      </c>
      <c r="F2591" s="450" t="s">
        <v>196</v>
      </c>
      <c r="G2591" s="532">
        <f>INDEX('Fuel Model -  Input'!$B$3:$N$373,MATCH($B2591,'Fuel Model -  Input'!$B$3:$B$373,0),MATCH(G$2,'Fuel Model -  Input'!$B$3:$N$3,0))</f>
        <v>82.061686148726054</v>
      </c>
      <c r="H2591" s="532">
        <f>INDEX('Fuel Model -  Input'!$B$3:$N$373,MATCH($B2591,'Fuel Model -  Input'!$B$3:$B$373,0),MATCH(H$2,'Fuel Model -  Input'!$B$3:$N$3,0))</f>
        <v>53.528213383864831</v>
      </c>
      <c r="I2591" s="532">
        <f>INDEX('Fuel Model -  Input'!$B$3:$N$373,MATCH($B2591,'Fuel Model -  Input'!$B$3:$B$373,0),MATCH(I$2,'Fuel Model -  Input'!$B$3:$N$3,0))</f>
        <v>43.29349363565693</v>
      </c>
      <c r="J2591" s="532">
        <f>INDEX('Fuel Model -  Input'!$B$3:$N$373,MATCH($B2591,'Fuel Model -  Input'!$B$3:$B$373,0),MATCH(J$2,'Fuel Model -  Input'!$B$3:$N$3,0))</f>
        <v>36.337065788929628</v>
      </c>
      <c r="K2591" s="532">
        <f>INDEX('Fuel Model -  Input'!$B$3:$N$373,MATCH($B2591,'Fuel Model -  Input'!$B$3:$B$373,0),MATCH(K$2,'Fuel Model -  Input'!$B$3:$N$3,0))</f>
        <v>32.800249332911001</v>
      </c>
      <c r="L2591" s="532">
        <f>INDEX('Fuel Model -  Input'!$B$3:$N$373,MATCH($B2591,'Fuel Model -  Input'!$B$3:$B$373,0),MATCH(L$2,'Fuel Model -  Input'!$B$3:$N$3,0))</f>
        <v>29.0981641388437</v>
      </c>
      <c r="M2591" s="532">
        <f>INDEX('Fuel Model -  Input'!$B$3:$N$373,MATCH($B2591,'Fuel Model -  Input'!$B$3:$B$373,0),MATCH(M$2,'Fuel Model -  Input'!$B$3:$N$3,0))</f>
        <v>27.400436938991028</v>
      </c>
    </row>
    <row r="2592" spans="2:13" ht="12.75" hidden="1" outlineLevel="2" x14ac:dyDescent="0.2">
      <c r="C2592" s="494"/>
      <c r="F2592"/>
    </row>
    <row r="2593" spans="2:13" hidden="1" outlineLevel="2" x14ac:dyDescent="0.2">
      <c r="B2593" t="str">
        <f t="shared" ref="B2593:B2599" si="1463">+C2593&amp;D2593&amp;E2593&amp;F2593</f>
        <v>AsiaFeedstockBiomass costUSD/ton Methanol</v>
      </c>
      <c r="C2593" s="494" t="str">
        <f>+C2599</f>
        <v>Asia</v>
      </c>
      <c r="D2593" t="s">
        <v>777</v>
      </c>
      <c r="E2593" s="48" t="s">
        <v>1237</v>
      </c>
      <c r="F2593" s="128" t="s">
        <v>1229</v>
      </c>
      <c r="G2593" s="8">
        <f t="shared" ref="G2593" si="1464">+G2595*G2596*G2597+G2594*G2598*G2599</f>
        <v>142.77220055864376</v>
      </c>
      <c r="H2593" s="8">
        <f t="shared" ref="H2593" si="1465">+H2595*H2596*H2597+H2594*H2598*H2599</f>
        <v>148.82187007384053</v>
      </c>
      <c r="I2593" s="8">
        <f t="shared" ref="I2593" si="1466">+I2595*I2596*I2597+I2594*I2598*I2599</f>
        <v>153.66160568599796</v>
      </c>
      <c r="J2593" s="8">
        <f t="shared" ref="J2593" si="1467">+J2595*J2596*J2597+J2594*J2598*J2599</f>
        <v>159.71127520119472</v>
      </c>
      <c r="K2593" s="8">
        <f t="shared" ref="K2593" si="1468">+K2595*K2596*K2597+K2594*K2598*K2599</f>
        <v>165.76094471639149</v>
      </c>
      <c r="L2593" s="8">
        <f t="shared" ref="L2593" si="1469">+L2595*L2596*L2597+L2594*L2598*L2599</f>
        <v>170.60068032854889</v>
      </c>
      <c r="M2593" s="8">
        <f t="shared" ref="M2593" si="1470">+M2595*M2596*M2597+M2594*M2598*M2599</f>
        <v>176.65034984374566</v>
      </c>
    </row>
    <row r="2594" spans="2:13" hidden="1" outlineLevel="2" x14ac:dyDescent="0.2">
      <c r="B2594" t="str">
        <f t="shared" si="1463"/>
        <v>GlobalFeedstockDry wood biomass market share Biomethanol%</v>
      </c>
      <c r="C2594" s="494" t="s">
        <v>109</v>
      </c>
      <c r="D2594" t="s">
        <v>777</v>
      </c>
      <c r="E2594" t="s">
        <v>1238</v>
      </c>
      <c r="F2594" t="s">
        <v>178</v>
      </c>
      <c r="G2594" s="531">
        <f>+INDEX('Fuel Model -  Input'!$B$3:$N$1312,MATCH($B2594,'Fuel Model -  Input'!$B$3:$B$1312,0),MATCH(G$2,'Fuel Model -  Input'!$B$3:$N$3,0))</f>
        <v>0.5</v>
      </c>
      <c r="H2594" s="531">
        <f>+INDEX('Fuel Model -  Input'!$B$3:$N$1312,MATCH($B2594,'Fuel Model -  Input'!$B$3:$B$1312,0),MATCH(H$2,'Fuel Model -  Input'!$B$3:$N$3,0))</f>
        <v>0.5</v>
      </c>
      <c r="I2594" s="531">
        <f>+INDEX('Fuel Model -  Input'!$B$3:$N$1312,MATCH($B2594,'Fuel Model -  Input'!$B$3:$B$1312,0),MATCH(I$2,'Fuel Model -  Input'!$B$3:$N$3,0))</f>
        <v>0.5</v>
      </c>
      <c r="J2594" s="531">
        <f>+INDEX('Fuel Model -  Input'!$B$3:$N$1312,MATCH($B2594,'Fuel Model -  Input'!$B$3:$B$1312,0),MATCH(J$2,'Fuel Model -  Input'!$B$3:$N$3,0))</f>
        <v>0.5</v>
      </c>
      <c r="K2594" s="531">
        <f>+INDEX('Fuel Model -  Input'!$B$3:$N$1312,MATCH($B2594,'Fuel Model -  Input'!$B$3:$B$1312,0),MATCH(K$2,'Fuel Model -  Input'!$B$3:$N$3,0))</f>
        <v>0.5</v>
      </c>
      <c r="L2594" s="531">
        <f>+INDEX('Fuel Model -  Input'!$B$3:$N$1312,MATCH($B2594,'Fuel Model -  Input'!$B$3:$B$1312,0),MATCH(L$2,'Fuel Model -  Input'!$B$3:$N$3,0))</f>
        <v>0.5</v>
      </c>
      <c r="M2594" s="531">
        <f>+INDEX('Fuel Model -  Input'!$B$3:$N$1312,MATCH($B2594,'Fuel Model -  Input'!$B$3:$B$1312,0),MATCH(M$2,'Fuel Model -  Input'!$B$3:$N$3,0))</f>
        <v>0.5</v>
      </c>
    </row>
    <row r="2595" spans="2:13" hidden="1" outlineLevel="2" x14ac:dyDescent="0.2">
      <c r="B2595" t="str">
        <f t="shared" si="1463"/>
        <v>GlobalFeedstockOrganic wet wate market share Biomethanol%</v>
      </c>
      <c r="C2595" s="494" t="s">
        <v>109</v>
      </c>
      <c r="D2595" t="s">
        <v>777</v>
      </c>
      <c r="E2595" t="s">
        <v>1239</v>
      </c>
      <c r="F2595" t="s">
        <v>178</v>
      </c>
      <c r="G2595" s="531">
        <f>+INDEX('Fuel Model -  Input'!$B$3:$N$1312,MATCH($B2595,'Fuel Model -  Input'!$B$3:$B$1312,0),MATCH(G$2,'Fuel Model -  Input'!$B$3:$N$3,0))</f>
        <v>0.5</v>
      </c>
      <c r="H2595" s="531">
        <f>+INDEX('Fuel Model -  Input'!$B$3:$N$1312,MATCH($B2595,'Fuel Model -  Input'!$B$3:$B$1312,0),MATCH(H$2,'Fuel Model -  Input'!$B$3:$N$3,0))</f>
        <v>0.5</v>
      </c>
      <c r="I2595" s="531">
        <f>+INDEX('Fuel Model -  Input'!$B$3:$N$1312,MATCH($B2595,'Fuel Model -  Input'!$B$3:$B$1312,0),MATCH(I$2,'Fuel Model -  Input'!$B$3:$N$3,0))</f>
        <v>0.5</v>
      </c>
      <c r="J2595" s="531">
        <f>+INDEX('Fuel Model -  Input'!$B$3:$N$1312,MATCH($B2595,'Fuel Model -  Input'!$B$3:$B$1312,0),MATCH(J$2,'Fuel Model -  Input'!$B$3:$N$3,0))</f>
        <v>0.5</v>
      </c>
      <c r="K2595" s="531">
        <f>+INDEX('Fuel Model -  Input'!$B$3:$N$1312,MATCH($B2595,'Fuel Model -  Input'!$B$3:$B$1312,0),MATCH(K$2,'Fuel Model -  Input'!$B$3:$N$3,0))</f>
        <v>0.5</v>
      </c>
      <c r="L2595" s="531">
        <f>+INDEX('Fuel Model -  Input'!$B$3:$N$1312,MATCH($B2595,'Fuel Model -  Input'!$B$3:$B$1312,0),MATCH(L$2,'Fuel Model -  Input'!$B$3:$N$3,0))</f>
        <v>0.5</v>
      </c>
      <c r="M2595" s="531">
        <f>+INDEX('Fuel Model -  Input'!$B$3:$N$1312,MATCH($B2595,'Fuel Model -  Input'!$B$3:$B$1312,0),MATCH(M$2,'Fuel Model -  Input'!$B$3:$N$3,0))</f>
        <v>0.5</v>
      </c>
    </row>
    <row r="2596" spans="2:13" hidden="1" outlineLevel="2" x14ac:dyDescent="0.2">
      <c r="B2596" t="str">
        <f t="shared" si="1463"/>
        <v>GlobalFeedstockConversion Organic wet waste : BioMethanolTon feedstock / ton fuel</v>
      </c>
      <c r="C2596" s="494" t="s">
        <v>109</v>
      </c>
      <c r="D2596" t="s">
        <v>777</v>
      </c>
      <c r="E2596" s="48" t="s">
        <v>1240</v>
      </c>
      <c r="F2596" s="128" t="s">
        <v>1241</v>
      </c>
      <c r="G2596" s="521">
        <f>+INDEX('Fuel Model -  Input'!$B$3:$N$1312,MATCH($B2596,'Fuel Model -  Input'!$B$3:$B$1312,0),MATCH(G$2,'Fuel Model -  Input'!$B$3:$N$3,0))</f>
        <v>2.4198678060787078</v>
      </c>
      <c r="H2596" s="521">
        <f>+INDEX('Fuel Model -  Input'!$B$3:$N$1312,MATCH($B2596,'Fuel Model -  Input'!$B$3:$B$1312,0),MATCH(H$2,'Fuel Model -  Input'!$B$3:$N$3,0))</f>
        <v>2.4198678060787078</v>
      </c>
      <c r="I2596" s="521">
        <f>+INDEX('Fuel Model -  Input'!$B$3:$N$1312,MATCH($B2596,'Fuel Model -  Input'!$B$3:$B$1312,0),MATCH(I$2,'Fuel Model -  Input'!$B$3:$N$3,0))</f>
        <v>2.4198678060787078</v>
      </c>
      <c r="J2596" s="521">
        <f>+INDEX('Fuel Model -  Input'!$B$3:$N$1312,MATCH($B2596,'Fuel Model -  Input'!$B$3:$B$1312,0),MATCH(J$2,'Fuel Model -  Input'!$B$3:$N$3,0))</f>
        <v>2.4198678060787078</v>
      </c>
      <c r="K2596" s="521">
        <f>+INDEX('Fuel Model -  Input'!$B$3:$N$1312,MATCH($B2596,'Fuel Model -  Input'!$B$3:$B$1312,0),MATCH(K$2,'Fuel Model -  Input'!$B$3:$N$3,0))</f>
        <v>2.4198678060787078</v>
      </c>
      <c r="L2596" s="521">
        <f>+INDEX('Fuel Model -  Input'!$B$3:$N$1312,MATCH($B2596,'Fuel Model -  Input'!$B$3:$B$1312,0),MATCH(L$2,'Fuel Model -  Input'!$B$3:$N$3,0))</f>
        <v>2.4198678060787078</v>
      </c>
      <c r="M2596" s="521">
        <f>+INDEX('Fuel Model -  Input'!$B$3:$N$1312,MATCH($B2596,'Fuel Model -  Input'!$B$3:$B$1312,0),MATCH(M$2,'Fuel Model -  Input'!$B$3:$N$3,0))</f>
        <v>2.4198678060787078</v>
      </c>
    </row>
    <row r="2597" spans="2:13" hidden="1" outlineLevel="2" x14ac:dyDescent="0.2">
      <c r="B2597" t="str">
        <f t="shared" si="1463"/>
        <v>AsiaFeedstockCost of Organic wet wasteUSD/ton</v>
      </c>
      <c r="C2597" s="494" t="str">
        <f>C2581</f>
        <v>Asia</v>
      </c>
      <c r="D2597" t="s">
        <v>777</v>
      </c>
      <c r="E2597" t="s">
        <v>1242</v>
      </c>
      <c r="F2597" t="s">
        <v>205</v>
      </c>
      <c r="G2597" s="532">
        <f>+INDEX('Fuel Model -  Input'!$B$3:$N$1312,MATCH($B2597,'Fuel Model -  Input'!$B$3:$B$1312,0),MATCH(G$2,'Fuel Model -  Input'!$B$3:$N$3,0))</f>
        <v>50</v>
      </c>
      <c r="H2597" s="532">
        <f>+INDEX('Fuel Model -  Input'!$B$3:$N$1312,MATCH($B2597,'Fuel Model -  Input'!$B$3:$B$1312,0),MATCH(H$2,'Fuel Model -  Input'!$B$3:$N$3,0))</f>
        <v>50</v>
      </c>
      <c r="I2597" s="532">
        <f>+INDEX('Fuel Model -  Input'!$B$3:$N$1312,MATCH($B2597,'Fuel Model -  Input'!$B$3:$B$1312,0),MATCH(I$2,'Fuel Model -  Input'!$B$3:$N$3,0))</f>
        <v>50</v>
      </c>
      <c r="J2597" s="532">
        <f>+INDEX('Fuel Model -  Input'!$B$3:$N$1312,MATCH($B2597,'Fuel Model -  Input'!$B$3:$B$1312,0),MATCH(J$2,'Fuel Model -  Input'!$B$3:$N$3,0))</f>
        <v>50</v>
      </c>
      <c r="K2597" s="532">
        <f>+INDEX('Fuel Model -  Input'!$B$3:$N$1312,MATCH($B2597,'Fuel Model -  Input'!$B$3:$B$1312,0),MATCH(K$2,'Fuel Model -  Input'!$B$3:$N$3,0))</f>
        <v>50</v>
      </c>
      <c r="L2597" s="532">
        <f>+INDEX('Fuel Model -  Input'!$B$3:$N$1312,MATCH($B2597,'Fuel Model -  Input'!$B$3:$B$1312,0),MATCH(L$2,'Fuel Model -  Input'!$B$3:$N$3,0))</f>
        <v>50</v>
      </c>
      <c r="M2597" s="532">
        <f>+INDEX('Fuel Model -  Input'!$B$3:$N$1312,MATCH($B2597,'Fuel Model -  Input'!$B$3:$B$1312,0),MATCH(M$2,'Fuel Model -  Input'!$B$3:$N$3,0))</f>
        <v>50</v>
      </c>
    </row>
    <row r="2598" spans="2:13" hidden="1" outlineLevel="2" x14ac:dyDescent="0.2">
      <c r="B2598" t="str">
        <f t="shared" si="1463"/>
        <v>GlobalFeedstockConversion Dry Wood biomass : BioMethanolTon feedstock / ton fuel</v>
      </c>
      <c r="C2598" s="494" t="s">
        <v>109</v>
      </c>
      <c r="D2598" t="s">
        <v>777</v>
      </c>
      <c r="E2598" s="48" t="s">
        <v>1243</v>
      </c>
      <c r="F2598" s="128" t="s">
        <v>1241</v>
      </c>
      <c r="G2598" s="521">
        <f>+INDEX('Fuel Model -  Input'!$B$3:$N$1312,MATCH($B2598,'Fuel Model -  Input'!$B$3:$B$1312,0),MATCH(G$2,'Fuel Model -  Input'!$B$3:$N$3,0))</f>
        <v>2.4198678060787078</v>
      </c>
      <c r="H2598" s="521">
        <f>+INDEX('Fuel Model -  Input'!$B$3:$N$1312,MATCH($B2598,'Fuel Model -  Input'!$B$3:$B$1312,0),MATCH(H$2,'Fuel Model -  Input'!$B$3:$N$3,0))</f>
        <v>2.4198678060787078</v>
      </c>
      <c r="I2598" s="521">
        <f>+INDEX('Fuel Model -  Input'!$B$3:$N$1312,MATCH($B2598,'Fuel Model -  Input'!$B$3:$B$1312,0),MATCH(I$2,'Fuel Model -  Input'!$B$3:$N$3,0))</f>
        <v>2.4198678060787078</v>
      </c>
      <c r="J2598" s="521">
        <f>+INDEX('Fuel Model -  Input'!$B$3:$N$1312,MATCH($B2598,'Fuel Model -  Input'!$B$3:$B$1312,0),MATCH(J$2,'Fuel Model -  Input'!$B$3:$N$3,0))</f>
        <v>2.4198678060787078</v>
      </c>
      <c r="K2598" s="521">
        <f>+INDEX('Fuel Model -  Input'!$B$3:$N$1312,MATCH($B2598,'Fuel Model -  Input'!$B$3:$B$1312,0),MATCH(K$2,'Fuel Model -  Input'!$B$3:$N$3,0))</f>
        <v>2.4198678060787078</v>
      </c>
      <c r="L2598" s="521">
        <f>+INDEX('Fuel Model -  Input'!$B$3:$N$1312,MATCH($B2598,'Fuel Model -  Input'!$B$3:$B$1312,0),MATCH(L$2,'Fuel Model -  Input'!$B$3:$N$3,0))</f>
        <v>2.4198678060787078</v>
      </c>
      <c r="M2598" s="521">
        <f>+INDEX('Fuel Model -  Input'!$B$3:$N$1312,MATCH($B2598,'Fuel Model -  Input'!$B$3:$B$1312,0),MATCH(M$2,'Fuel Model -  Input'!$B$3:$N$3,0))</f>
        <v>2.4198678060787078</v>
      </c>
    </row>
    <row r="2599" spans="2:13" hidden="1" outlineLevel="2" x14ac:dyDescent="0.2">
      <c r="B2599" t="str">
        <f t="shared" si="1463"/>
        <v>AsiaFeedstockCost of Wood biomassUSD/ton Wood</v>
      </c>
      <c r="C2599" s="494" t="s">
        <v>198</v>
      </c>
      <c r="D2599" t="s">
        <v>777</v>
      </c>
      <c r="E2599" s="48" t="s">
        <v>1244</v>
      </c>
      <c r="F2599" s="128" t="s">
        <v>1245</v>
      </c>
      <c r="G2599" s="532">
        <f>+INDEX('Fuel Model -  Input'!$B$3:$N$1312,MATCH($B2599,'Fuel Model -  Input'!$B$3:$B$1312,0),MATCH(G$2,'Fuel Model -  Input'!$B$3:$N$3,0))</f>
        <v>68</v>
      </c>
      <c r="H2599" s="532">
        <f>+INDEX('Fuel Model -  Input'!$B$3:$N$1312,MATCH($B2599,'Fuel Model -  Input'!$B$3:$B$1312,0),MATCH(H$2,'Fuel Model -  Input'!$B$3:$N$3,0))</f>
        <v>73</v>
      </c>
      <c r="I2599" s="532">
        <f>+INDEX('Fuel Model -  Input'!$B$3:$N$1312,MATCH($B2599,'Fuel Model -  Input'!$B$3:$B$1312,0),MATCH(I$2,'Fuel Model -  Input'!$B$3:$N$3,0))</f>
        <v>77</v>
      </c>
      <c r="J2599" s="532">
        <f>+INDEX('Fuel Model -  Input'!$B$3:$N$1312,MATCH($B2599,'Fuel Model -  Input'!$B$3:$B$1312,0),MATCH(J$2,'Fuel Model -  Input'!$B$3:$N$3,0))</f>
        <v>82</v>
      </c>
      <c r="K2599" s="532">
        <f>+INDEX('Fuel Model -  Input'!$B$3:$N$1312,MATCH($B2599,'Fuel Model -  Input'!$B$3:$B$1312,0),MATCH(K$2,'Fuel Model -  Input'!$B$3:$N$3,0))</f>
        <v>87</v>
      </c>
      <c r="L2599" s="532">
        <f>+INDEX('Fuel Model -  Input'!$B$3:$N$1312,MATCH($B2599,'Fuel Model -  Input'!$B$3:$B$1312,0),MATCH(L$2,'Fuel Model -  Input'!$B$3:$N$3,0))</f>
        <v>91</v>
      </c>
      <c r="M2599" s="532">
        <f>+INDEX('Fuel Model -  Input'!$B$3:$N$1312,MATCH($B2599,'Fuel Model -  Input'!$B$3:$B$1312,0),MATCH(M$2,'Fuel Model -  Input'!$B$3:$N$3,0))</f>
        <v>96</v>
      </c>
    </row>
    <row r="2600" spans="2:13" ht="12.75" hidden="1" outlineLevel="1" x14ac:dyDescent="0.2">
      <c r="C2600" s="494"/>
      <c r="F2600"/>
    </row>
    <row r="2601" spans="2:13" ht="15" hidden="1" outlineLevel="1" collapsed="1" x14ac:dyDescent="0.25">
      <c r="B2601" s="30" t="s">
        <v>199</v>
      </c>
      <c r="C2601" s="30" t="str">
        <f>+B2601</f>
        <v>Americas</v>
      </c>
      <c r="D2601" s="30"/>
      <c r="E2601" s="30"/>
      <c r="F2601" s="30"/>
      <c r="G2601" s="564"/>
      <c r="H2601" s="30"/>
      <c r="I2601" s="30"/>
      <c r="J2601" s="30"/>
      <c r="K2601" s="30"/>
      <c r="L2601" s="30"/>
      <c r="M2601" s="30"/>
    </row>
    <row r="2602" spans="2:13" ht="15" hidden="1" outlineLevel="2" x14ac:dyDescent="0.25">
      <c r="B2602" t="str">
        <f>+C2602&amp;D2602&amp;E2602&amp;F2602</f>
        <v>AmericasResultsTotal cost of BiomethanolUSD/ton</v>
      </c>
      <c r="C2602" s="494" t="str">
        <f>+$C$2601</f>
        <v>Americas</v>
      </c>
      <c r="D2602" s="30" t="s">
        <v>838</v>
      </c>
      <c r="E2602" s="405" t="s">
        <v>1224</v>
      </c>
      <c r="F2602" s="127" t="s">
        <v>205</v>
      </c>
      <c r="G2602" s="490">
        <f>+SUM(G2603:G2605)</f>
        <v>984.84435242391737</v>
      </c>
      <c r="H2602" s="490">
        <f t="shared" ref="H2602:M2602" si="1471">+SUM(H2603:H2605)</f>
        <v>691.0186269965792</v>
      </c>
      <c r="I2602" s="490">
        <f t="shared" si="1471"/>
        <v>582.39257789027681</v>
      </c>
      <c r="J2602" s="490">
        <f t="shared" si="1471"/>
        <v>537.3611728735051</v>
      </c>
      <c r="K2602" s="490">
        <f t="shared" si="1471"/>
        <v>492.64490958145183</v>
      </c>
      <c r="L2602" s="490">
        <f t="shared" si="1471"/>
        <v>468.46568974254984</v>
      </c>
      <c r="M2602" s="490">
        <f t="shared" si="1471"/>
        <v>443.20820466208778</v>
      </c>
    </row>
    <row r="2603" spans="2:13" ht="15" hidden="1" outlineLevel="2" x14ac:dyDescent="0.25">
      <c r="B2603" t="str">
        <f>+C2603&amp;D2603&amp;E2603&amp;F2603</f>
        <v>AmericasResultsTotal Capex BiomethanolUSD/ton</v>
      </c>
      <c r="C2603" s="494" t="str">
        <f>+$C$2601</f>
        <v>Americas</v>
      </c>
      <c r="D2603" s="30" t="s">
        <v>838</v>
      </c>
      <c r="E2603" s="228" t="s">
        <v>1225</v>
      </c>
      <c r="F2603" s="127" t="s">
        <v>205</v>
      </c>
      <c r="G2603" s="490">
        <f>+G2607</f>
        <v>477.00000000000011</v>
      </c>
      <c r="H2603" s="490">
        <f t="shared" ref="H2603:M2603" si="1472">+H2607</f>
        <v>300.33333333333343</v>
      </c>
      <c r="I2603" s="490">
        <f t="shared" si="1472"/>
        <v>234.08333333333337</v>
      </c>
      <c r="J2603" s="490">
        <f t="shared" si="1472"/>
        <v>205.37500000000006</v>
      </c>
      <c r="K2603" s="490">
        <f t="shared" si="1472"/>
        <v>176.66666666666671</v>
      </c>
      <c r="L2603" s="490">
        <f t="shared" si="1472"/>
        <v>159.00000000000003</v>
      </c>
      <c r="M2603" s="490">
        <f t="shared" si="1472"/>
        <v>141.33333333333337</v>
      </c>
    </row>
    <row r="2604" spans="2:13" ht="15" hidden="1" outlineLevel="2" x14ac:dyDescent="0.25">
      <c r="B2604" t="str">
        <f>+C2604&amp;D2604&amp;E2604&amp;F2604</f>
        <v>AmericasResultsTotal Opex BiomethanolUSD/ton</v>
      </c>
      <c r="C2604" s="494" t="str">
        <f>+$C$2601</f>
        <v>Americas</v>
      </c>
      <c r="D2604" s="30" t="s">
        <v>838</v>
      </c>
      <c r="E2604" s="228" t="s">
        <v>1226</v>
      </c>
      <c r="F2604" s="127" t="s">
        <v>205</v>
      </c>
      <c r="G2604" s="490">
        <f>+G2611+G2613</f>
        <v>344.50327551360448</v>
      </c>
      <c r="H2604" s="490">
        <f t="shared" ref="H2604:M2604" si="1473">+H2611+H2613</f>
        <v>222.50448114077554</v>
      </c>
      <c r="I2604" s="490">
        <f t="shared" si="1473"/>
        <v>174.07876251927649</v>
      </c>
      <c r="J2604" s="490">
        <f t="shared" si="1473"/>
        <v>152.91595522368067</v>
      </c>
      <c r="K2604" s="490">
        <f t="shared" si="1473"/>
        <v>132.06828965280334</v>
      </c>
      <c r="L2604" s="490">
        <f t="shared" si="1473"/>
        <v>119.50606696537128</v>
      </c>
      <c r="M2604" s="490">
        <f t="shared" si="1473"/>
        <v>107.07551293941845</v>
      </c>
    </row>
    <row r="2605" spans="2:13" ht="15" hidden="1" outlineLevel="2" x14ac:dyDescent="0.25">
      <c r="B2605" t="str">
        <f>+C2605&amp;D2605&amp;E2605&amp;F2605</f>
        <v>AmericasResultsTotal Raw Material BiomethanolUSD/ton</v>
      </c>
      <c r="C2605" s="494" t="str">
        <f>+$C$2601</f>
        <v>Americas</v>
      </c>
      <c r="D2605" s="30" t="s">
        <v>838</v>
      </c>
      <c r="E2605" s="228" t="s">
        <v>1227</v>
      </c>
      <c r="F2605" s="127" t="s">
        <v>205</v>
      </c>
      <c r="G2605" s="490">
        <f>+G2617</f>
        <v>163.34107691031278</v>
      </c>
      <c r="H2605" s="490">
        <f t="shared" ref="H2605:M2605" si="1474">+H2617</f>
        <v>168.18081252247018</v>
      </c>
      <c r="I2605" s="490">
        <f t="shared" si="1474"/>
        <v>174.23048203766695</v>
      </c>
      <c r="J2605" s="490">
        <f t="shared" si="1474"/>
        <v>179.07021764982437</v>
      </c>
      <c r="K2605" s="490">
        <f t="shared" si="1474"/>
        <v>183.9099532619818</v>
      </c>
      <c r="L2605" s="490">
        <f t="shared" si="1474"/>
        <v>189.95962277717854</v>
      </c>
      <c r="M2605" s="490">
        <f t="shared" si="1474"/>
        <v>194.79935838933596</v>
      </c>
    </row>
    <row r="2606" spans="2:13" ht="12.75" hidden="1" outlineLevel="2" x14ac:dyDescent="0.2">
      <c r="C2606" s="494"/>
      <c r="F2606"/>
    </row>
    <row r="2607" spans="2:13" hidden="1" outlineLevel="2" x14ac:dyDescent="0.2">
      <c r="B2607" t="str">
        <f>+C2607&amp;D2607&amp;E2607&amp;F2607</f>
        <v>AmericasCapexBiomethanol plant USD/ton Methanol</v>
      </c>
      <c r="C2607" s="494" t="str">
        <f>+$C$2601</f>
        <v>Americas</v>
      </c>
      <c r="D2607" t="s">
        <v>218</v>
      </c>
      <c r="E2607" s="48" t="s">
        <v>1228</v>
      </c>
      <c r="F2607" s="128" t="s">
        <v>1229</v>
      </c>
      <c r="G2607" s="8">
        <f t="shared" ref="G2607:M2607" si="1475">G2609/G2608</f>
        <v>477.00000000000011</v>
      </c>
      <c r="H2607" s="8">
        <f t="shared" si="1475"/>
        <v>300.33333333333343</v>
      </c>
      <c r="I2607" s="8">
        <f t="shared" si="1475"/>
        <v>234.08333333333337</v>
      </c>
      <c r="J2607" s="8">
        <f t="shared" si="1475"/>
        <v>205.37500000000006</v>
      </c>
      <c r="K2607" s="8">
        <f t="shared" si="1475"/>
        <v>176.66666666666671</v>
      </c>
      <c r="L2607" s="8">
        <f t="shared" si="1475"/>
        <v>159.00000000000003</v>
      </c>
      <c r="M2607" s="8">
        <f t="shared" si="1475"/>
        <v>141.33333333333337</v>
      </c>
    </row>
    <row r="2608" spans="2:13" hidden="1" outlineLevel="2" x14ac:dyDescent="0.2">
      <c r="B2608" t="str">
        <f>+C2608&amp;D2608&amp;E2608&amp;F2608</f>
        <v>GlobalPlant capexAnnualisation factor#</v>
      </c>
      <c r="C2608" s="494" t="s">
        <v>109</v>
      </c>
      <c r="D2608" t="s">
        <v>786</v>
      </c>
      <c r="E2608" t="s">
        <v>764</v>
      </c>
      <c r="F2608" s="450" t="s">
        <v>787</v>
      </c>
      <c r="G2608" s="532">
        <f>+INDEX('Fuel Model -  Input'!$B$3:$N$1312,MATCH($B2608,'Fuel Model -  Input'!$B$3:$B$1312,0),MATCH(G$2,'Fuel Model -  Input'!$B$3:$N$3,0))</f>
        <v>11.32075471698113</v>
      </c>
      <c r="H2608" s="532">
        <f>+INDEX('Fuel Model -  Input'!$B$3:$N$1312,MATCH($B2608,'Fuel Model -  Input'!$B$3:$B$1312,0),MATCH(H$2,'Fuel Model -  Input'!$B$3:$N$3,0))</f>
        <v>11.32075471698113</v>
      </c>
      <c r="I2608" s="532">
        <f>+INDEX('Fuel Model -  Input'!$B$3:$N$1312,MATCH($B2608,'Fuel Model -  Input'!$B$3:$B$1312,0),MATCH(I$2,'Fuel Model -  Input'!$B$3:$N$3,0))</f>
        <v>11.32075471698113</v>
      </c>
      <c r="J2608" s="532">
        <f>+INDEX('Fuel Model -  Input'!$B$3:$N$1312,MATCH($B2608,'Fuel Model -  Input'!$B$3:$B$1312,0),MATCH(J$2,'Fuel Model -  Input'!$B$3:$N$3,0))</f>
        <v>11.32075471698113</v>
      </c>
      <c r="K2608" s="532">
        <f>+INDEX('Fuel Model -  Input'!$B$3:$N$1312,MATCH($B2608,'Fuel Model -  Input'!$B$3:$B$1312,0),MATCH(K$2,'Fuel Model -  Input'!$B$3:$N$3,0))</f>
        <v>11.32075471698113</v>
      </c>
      <c r="L2608" s="532">
        <f>+INDEX('Fuel Model -  Input'!$B$3:$N$1312,MATCH($B2608,'Fuel Model -  Input'!$B$3:$B$1312,0),MATCH(L$2,'Fuel Model -  Input'!$B$3:$N$3,0))</f>
        <v>11.32075471698113</v>
      </c>
      <c r="M2608" s="532">
        <f>+INDEX('Fuel Model -  Input'!$B$3:$N$1312,MATCH($B2608,'Fuel Model -  Input'!$B$3:$B$1312,0),MATCH(M$2,'Fuel Model -  Input'!$B$3:$N$3,0))</f>
        <v>11.32075471698113</v>
      </c>
    </row>
    <row r="2609" spans="2:13" hidden="1" outlineLevel="2" x14ac:dyDescent="0.2">
      <c r="B2609" t="str">
        <f>+C2609&amp;D2609&amp;E2609&amp;F2609</f>
        <v>GlobalCapexBioMethanol plantUSD/ton BioMethanol capacity</v>
      </c>
      <c r="C2609" s="494" t="s">
        <v>109</v>
      </c>
      <c r="D2609" t="s">
        <v>218</v>
      </c>
      <c r="E2609" s="48" t="s">
        <v>1230</v>
      </c>
      <c r="F2609" s="128" t="s">
        <v>1231</v>
      </c>
      <c r="G2609" s="532">
        <f>+INDEX('Fuel Model -  Input'!$B$3:$N$1312,MATCH($B2609,'Fuel Model -  Input'!$B$3:$B$1312,0),MATCH(G$2,'Fuel Model -  Input'!$B$3:$N$3,0))</f>
        <v>5400</v>
      </c>
      <c r="H2609" s="532">
        <f>+INDEX('Fuel Model -  Input'!$B$3:$N$1312,MATCH($B2609,'Fuel Model -  Input'!$B$3:$B$1312,0),MATCH(H$2,'Fuel Model -  Input'!$B$3:$N$3,0))</f>
        <v>3400</v>
      </c>
      <c r="I2609" s="532">
        <f>+INDEX('Fuel Model -  Input'!$B$3:$N$1312,MATCH($B2609,'Fuel Model -  Input'!$B$3:$B$1312,0),MATCH(I$2,'Fuel Model -  Input'!$B$3:$N$3,0))</f>
        <v>2650</v>
      </c>
      <c r="J2609" s="532">
        <f>+INDEX('Fuel Model -  Input'!$B$3:$N$1312,MATCH($B2609,'Fuel Model -  Input'!$B$3:$B$1312,0),MATCH(J$2,'Fuel Model -  Input'!$B$3:$N$3,0))</f>
        <v>2325</v>
      </c>
      <c r="K2609" s="532">
        <f>+INDEX('Fuel Model -  Input'!$B$3:$N$1312,MATCH($B2609,'Fuel Model -  Input'!$B$3:$B$1312,0),MATCH(K$2,'Fuel Model -  Input'!$B$3:$N$3,0))</f>
        <v>2000</v>
      </c>
      <c r="L2609" s="532">
        <f>+INDEX('Fuel Model -  Input'!$B$3:$N$1312,MATCH($B2609,'Fuel Model -  Input'!$B$3:$B$1312,0),MATCH(L$2,'Fuel Model -  Input'!$B$3:$N$3,0))</f>
        <v>1800</v>
      </c>
      <c r="M2609" s="532">
        <f>+INDEX('Fuel Model -  Input'!$B$3:$N$1312,MATCH($B2609,'Fuel Model -  Input'!$B$3:$B$1312,0),MATCH(M$2,'Fuel Model -  Input'!$B$3:$N$3,0))</f>
        <v>1600</v>
      </c>
    </row>
    <row r="2610" spans="2:13" ht="12.75" hidden="1" outlineLevel="2" x14ac:dyDescent="0.2">
      <c r="C2610" s="494"/>
      <c r="F2610"/>
    </row>
    <row r="2611" spans="2:13" hidden="1" outlineLevel="2" x14ac:dyDescent="0.2">
      <c r="B2611" t="str">
        <f>+C2611&amp;D2611&amp;E2611&amp;F2611</f>
        <v>GlobalOPEXBioMethanol plant OPEXUSD/ton BioMethanol</v>
      </c>
      <c r="C2611" s="494" t="s">
        <v>109</v>
      </c>
      <c r="D2611" t="s">
        <v>319</v>
      </c>
      <c r="E2611" s="48" t="s">
        <v>1232</v>
      </c>
      <c r="F2611" s="128" t="s">
        <v>1233</v>
      </c>
      <c r="G2611" s="565">
        <f>+INDEX('Fuel Model -  Input'!$B$3:$N$1312,MATCH($B2611,'Fuel Model -  Input'!$B$3:$B$1312,0),MATCH(G$2,'Fuel Model -  Input'!$B$3:$N$3,0))</f>
        <v>324</v>
      </c>
      <c r="H2611" s="565">
        <f>+INDEX('Fuel Model -  Input'!$B$3:$N$1312,MATCH($B2611,'Fuel Model -  Input'!$B$3:$B$1312,0),MATCH(H$2,'Fuel Model -  Input'!$B$3:$N$3,0))</f>
        <v>204</v>
      </c>
      <c r="I2611" s="565">
        <f>+INDEX('Fuel Model -  Input'!$B$3:$N$1312,MATCH($B2611,'Fuel Model -  Input'!$B$3:$B$1312,0),MATCH(I$2,'Fuel Model -  Input'!$B$3:$N$3,0))</f>
        <v>159</v>
      </c>
      <c r="J2611" s="565">
        <f>+INDEX('Fuel Model -  Input'!$B$3:$N$1312,MATCH($B2611,'Fuel Model -  Input'!$B$3:$B$1312,0),MATCH(J$2,'Fuel Model -  Input'!$B$3:$N$3,0))</f>
        <v>139.5</v>
      </c>
      <c r="K2611" s="565">
        <f>+INDEX('Fuel Model -  Input'!$B$3:$N$1312,MATCH($B2611,'Fuel Model -  Input'!$B$3:$B$1312,0),MATCH(K$2,'Fuel Model -  Input'!$B$3:$N$3,0))</f>
        <v>120</v>
      </c>
      <c r="L2611" s="565">
        <f>+INDEX('Fuel Model -  Input'!$B$3:$N$1312,MATCH($B2611,'Fuel Model -  Input'!$B$3:$B$1312,0),MATCH(L$2,'Fuel Model -  Input'!$B$3:$N$3,0))</f>
        <v>108</v>
      </c>
      <c r="M2611" s="565">
        <f>+INDEX('Fuel Model -  Input'!$B$3:$N$1312,MATCH($B2611,'Fuel Model -  Input'!$B$3:$B$1312,0),MATCH(M$2,'Fuel Model -  Input'!$B$3:$N$3,0))</f>
        <v>96</v>
      </c>
    </row>
    <row r="2612" spans="2:13" hidden="1" outlineLevel="2" x14ac:dyDescent="0.2">
      <c r="C2612" s="494"/>
      <c r="E2612" s="48"/>
      <c r="F2612" s="128"/>
      <c r="G2612" s="565"/>
      <c r="H2612" s="565"/>
      <c r="I2612" s="565"/>
      <c r="J2612" s="565"/>
      <c r="K2612" s="565"/>
      <c r="L2612" s="565"/>
      <c r="M2612" s="565"/>
    </row>
    <row r="2613" spans="2:13" hidden="1" outlineLevel="2" x14ac:dyDescent="0.2">
      <c r="B2613" t="str">
        <f>+C2613&amp;D2613&amp;E2613&amp;F2613</f>
        <v>GlobalFeedstockCost of electricity for CH4USD/ton BioMethanol</v>
      </c>
      <c r="C2613" s="494" t="s">
        <v>109</v>
      </c>
      <c r="D2613" t="s">
        <v>777</v>
      </c>
      <c r="E2613" t="s">
        <v>1234</v>
      </c>
      <c r="F2613" s="450" t="s">
        <v>1233</v>
      </c>
      <c r="G2613" s="8">
        <f>+G2614*G2615</f>
        <v>20.503275513604496</v>
      </c>
      <c r="H2613" s="8">
        <f t="shared" ref="H2613" si="1476">+H2614*H2615</f>
        <v>18.504481140775535</v>
      </c>
      <c r="I2613" s="8">
        <f t="shared" ref="I2613" si="1477">+I2614*I2615</f>
        <v>15.078762519276495</v>
      </c>
      <c r="J2613" s="8">
        <f t="shared" ref="J2613" si="1478">+J2614*J2615</f>
        <v>13.41595522368066</v>
      </c>
      <c r="K2613" s="8">
        <f t="shared" ref="K2613" si="1479">+K2614*K2615</f>
        <v>12.06828965280334</v>
      </c>
      <c r="L2613" s="8">
        <f t="shared" ref="L2613" si="1480">+L2614*L2615</f>
        <v>11.506066965371277</v>
      </c>
      <c r="M2613" s="8">
        <f t="shared" ref="M2613" si="1481">+M2614*M2615</f>
        <v>11.075512939418452</v>
      </c>
    </row>
    <row r="2614" spans="2:13" hidden="1" outlineLevel="2" x14ac:dyDescent="0.2">
      <c r="B2614" t="str">
        <f>+C2614&amp;D2614&amp;E2614&amp;F2614</f>
        <v>GlobalFeedstockBioMethanol plant Electricity demandMwH/ton fuel</v>
      </c>
      <c r="C2614" s="494" t="s">
        <v>109</v>
      </c>
      <c r="D2614" t="s">
        <v>777</v>
      </c>
      <c r="E2614" t="s">
        <v>1235</v>
      </c>
      <c r="F2614" t="s">
        <v>1236</v>
      </c>
      <c r="G2614" s="521">
        <f>INDEX('Fuel Model -  Input'!$B$3:$N$373,MATCH($B2614,'Fuel Model -  Input'!$B$3:$B$373,0),MATCH(G$2,'Fuel Model -  Input'!$B$3:$N$3,0))</f>
        <v>0.52617825903163917</v>
      </c>
      <c r="H2614" s="521">
        <f>INDEX('Fuel Model -  Input'!$B$3:$N$373,MATCH($B2614,'Fuel Model -  Input'!$B$3:$B$373,0),MATCH(H$2,'Fuel Model -  Input'!$B$3:$N$3,0))</f>
        <v>0.52617825903163917</v>
      </c>
      <c r="I2614" s="521">
        <f>INDEX('Fuel Model -  Input'!$B$3:$N$373,MATCH($B2614,'Fuel Model -  Input'!$B$3:$B$373,0),MATCH(I$2,'Fuel Model -  Input'!$B$3:$N$3,0))</f>
        <v>0.5245442721035346</v>
      </c>
      <c r="J2614" s="521">
        <f>INDEX('Fuel Model -  Input'!$B$3:$N$373,MATCH($B2614,'Fuel Model -  Input'!$B$3:$B$373,0),MATCH(J$2,'Fuel Model -  Input'!$B$3:$N$3,0))</f>
        <v>0.52291028517543003</v>
      </c>
      <c r="K2614" s="521">
        <f>INDEX('Fuel Model -  Input'!$B$3:$N$373,MATCH($B2614,'Fuel Model -  Input'!$B$3:$B$373,0),MATCH(K$2,'Fuel Model -  Input'!$B$3:$N$3,0))</f>
        <v>0.52127629824732535</v>
      </c>
      <c r="L2614" s="521">
        <f>INDEX('Fuel Model -  Input'!$B$3:$N$373,MATCH($B2614,'Fuel Model -  Input'!$B$3:$B$373,0),MATCH(L$2,'Fuel Model -  Input'!$B$3:$N$3,0))</f>
        <v>0.51964231131922078</v>
      </c>
      <c r="M2614" s="521">
        <f>INDEX('Fuel Model -  Input'!$B$3:$N$373,MATCH($B2614,'Fuel Model -  Input'!$B$3:$B$373,0),MATCH(M$2,'Fuel Model -  Input'!$B$3:$N$3,0))</f>
        <v>0.51800832439111621</v>
      </c>
    </row>
    <row r="2615" spans="2:13" hidden="1" outlineLevel="2" x14ac:dyDescent="0.2">
      <c r="B2615" t="str">
        <f>+C2615&amp;D2615&amp;E2615&amp;F2615</f>
        <v>AmericasFeedstockElectricityUSD/MWh</v>
      </c>
      <c r="C2615" s="494" t="str">
        <f>+C2623</f>
        <v>Americas</v>
      </c>
      <c r="D2615" t="s">
        <v>777</v>
      </c>
      <c r="E2615" t="s">
        <v>54</v>
      </c>
      <c r="F2615" s="450" t="s">
        <v>196</v>
      </c>
      <c r="G2615" s="532">
        <f>INDEX('Fuel Model -  Input'!$B$3:$N$373,MATCH($B2615,'Fuel Model -  Input'!$B$3:$B$373,0),MATCH(G$2,'Fuel Model -  Input'!$B$3:$N$3,0))</f>
        <v>38.96640570315094</v>
      </c>
      <c r="H2615" s="532">
        <f>INDEX('Fuel Model -  Input'!$B$3:$N$373,MATCH($B2615,'Fuel Model -  Input'!$B$3:$B$373,0),MATCH(H$2,'Fuel Model -  Input'!$B$3:$N$3,0))</f>
        <v>35.167703764177872</v>
      </c>
      <c r="I2615" s="532">
        <f>INDEX('Fuel Model -  Input'!$B$3:$N$373,MATCH($B2615,'Fuel Model -  Input'!$B$3:$B$373,0),MATCH(I$2,'Fuel Model -  Input'!$B$3:$N$3,0))</f>
        <v>28.746405825398561</v>
      </c>
      <c r="J2615" s="532">
        <f>INDEX('Fuel Model -  Input'!$B$3:$N$373,MATCH($B2615,'Fuel Model -  Input'!$B$3:$B$373,0),MATCH(J$2,'Fuel Model -  Input'!$B$3:$N$3,0))</f>
        <v>25.656323090259679</v>
      </c>
      <c r="K2615" s="532">
        <f>INDEX('Fuel Model -  Input'!$B$3:$N$373,MATCH($B2615,'Fuel Model -  Input'!$B$3:$B$373,0),MATCH(K$2,'Fuel Model -  Input'!$B$3:$N$3,0))</f>
        <v>23.151426016069131</v>
      </c>
      <c r="L2615" s="532">
        <f>INDEX('Fuel Model -  Input'!$B$3:$N$373,MATCH($B2615,'Fuel Model -  Input'!$B$3:$B$373,0),MATCH(L$2,'Fuel Model -  Input'!$B$3:$N$3,0))</f>
        <v>22.142282710121734</v>
      </c>
      <c r="M2615" s="532">
        <f>INDEX('Fuel Model -  Input'!$B$3:$N$373,MATCH($B2615,'Fuel Model -  Input'!$B$3:$B$373,0),MATCH(M$2,'Fuel Model -  Input'!$B$3:$N$3,0))</f>
        <v>21.380955513479382</v>
      </c>
    </row>
    <row r="2616" spans="2:13" ht="12.75" hidden="1" outlineLevel="2" x14ac:dyDescent="0.2">
      <c r="C2616" s="494"/>
      <c r="F2616"/>
    </row>
    <row r="2617" spans="2:13" hidden="1" outlineLevel="2" x14ac:dyDescent="0.2">
      <c r="B2617" t="str">
        <f t="shared" ref="B2617:B2623" si="1482">+C2617&amp;D2617&amp;E2617&amp;F2617</f>
        <v>AmericasFeedstockBiomass costUSD/ton Methanol</v>
      </c>
      <c r="C2617" s="494" t="str">
        <f>+C2623</f>
        <v>Americas</v>
      </c>
      <c r="D2617" t="s">
        <v>777</v>
      </c>
      <c r="E2617" s="48" t="s">
        <v>1237</v>
      </c>
      <c r="F2617" s="128" t="s">
        <v>1229</v>
      </c>
      <c r="G2617" s="8">
        <f t="shared" ref="G2617" si="1483">+G2619*G2620*G2621+G2618*G2622*G2623</f>
        <v>163.34107691031278</v>
      </c>
      <c r="H2617" s="8">
        <f t="shared" ref="H2617" si="1484">+H2619*H2620*H2621+H2618*H2622*H2623</f>
        <v>168.18081252247018</v>
      </c>
      <c r="I2617" s="8">
        <f t="shared" ref="I2617" si="1485">+I2619*I2620*I2621+I2618*I2622*I2623</f>
        <v>174.23048203766695</v>
      </c>
      <c r="J2617" s="8">
        <f t="shared" ref="J2617" si="1486">+J2619*J2620*J2621+J2618*J2622*J2623</f>
        <v>179.07021764982437</v>
      </c>
      <c r="K2617" s="8">
        <f t="shared" ref="K2617" si="1487">+K2619*K2620*K2621+K2618*K2622*K2623</f>
        <v>183.9099532619818</v>
      </c>
      <c r="L2617" s="8">
        <f t="shared" ref="L2617" si="1488">+L2619*L2620*L2621+L2618*L2622*L2623</f>
        <v>189.95962277717854</v>
      </c>
      <c r="M2617" s="8">
        <f t="shared" ref="M2617" si="1489">+M2619*M2620*M2621+M2618*M2622*M2623</f>
        <v>194.79935838933596</v>
      </c>
    </row>
    <row r="2618" spans="2:13" hidden="1" outlineLevel="2" x14ac:dyDescent="0.2">
      <c r="B2618" t="str">
        <f t="shared" si="1482"/>
        <v>GlobalFeedstockDry wood biomass market share Biomethanol%</v>
      </c>
      <c r="C2618" s="494" t="s">
        <v>109</v>
      </c>
      <c r="D2618" t="s">
        <v>777</v>
      </c>
      <c r="E2618" t="s">
        <v>1238</v>
      </c>
      <c r="F2618" t="s">
        <v>178</v>
      </c>
      <c r="G2618" s="531">
        <f>+INDEX('Fuel Model -  Input'!$B$3:$N$1312,MATCH($B2618,'Fuel Model -  Input'!$B$3:$B$1312,0),MATCH(G$2,'Fuel Model -  Input'!$B$3:$N$3,0))</f>
        <v>0.5</v>
      </c>
      <c r="H2618" s="531">
        <f>+INDEX('Fuel Model -  Input'!$B$3:$N$1312,MATCH($B2618,'Fuel Model -  Input'!$B$3:$B$1312,0),MATCH(H$2,'Fuel Model -  Input'!$B$3:$N$3,0))</f>
        <v>0.5</v>
      </c>
      <c r="I2618" s="531">
        <f>+INDEX('Fuel Model -  Input'!$B$3:$N$1312,MATCH($B2618,'Fuel Model -  Input'!$B$3:$B$1312,0),MATCH(I$2,'Fuel Model -  Input'!$B$3:$N$3,0))</f>
        <v>0.5</v>
      </c>
      <c r="J2618" s="531">
        <f>+INDEX('Fuel Model -  Input'!$B$3:$N$1312,MATCH($B2618,'Fuel Model -  Input'!$B$3:$B$1312,0),MATCH(J$2,'Fuel Model -  Input'!$B$3:$N$3,0))</f>
        <v>0.5</v>
      </c>
      <c r="K2618" s="531">
        <f>+INDEX('Fuel Model -  Input'!$B$3:$N$1312,MATCH($B2618,'Fuel Model -  Input'!$B$3:$B$1312,0),MATCH(K$2,'Fuel Model -  Input'!$B$3:$N$3,0))</f>
        <v>0.5</v>
      </c>
      <c r="L2618" s="531">
        <f>+INDEX('Fuel Model -  Input'!$B$3:$N$1312,MATCH($B2618,'Fuel Model -  Input'!$B$3:$B$1312,0),MATCH(L$2,'Fuel Model -  Input'!$B$3:$N$3,0))</f>
        <v>0.5</v>
      </c>
      <c r="M2618" s="531">
        <f>+INDEX('Fuel Model -  Input'!$B$3:$N$1312,MATCH($B2618,'Fuel Model -  Input'!$B$3:$B$1312,0),MATCH(M$2,'Fuel Model -  Input'!$B$3:$N$3,0))</f>
        <v>0.5</v>
      </c>
    </row>
    <row r="2619" spans="2:13" hidden="1" outlineLevel="2" x14ac:dyDescent="0.2">
      <c r="B2619" t="str">
        <f t="shared" si="1482"/>
        <v>GlobalFeedstockOrganic wet wate market share Biomethanol%</v>
      </c>
      <c r="C2619" s="494" t="s">
        <v>109</v>
      </c>
      <c r="D2619" t="s">
        <v>777</v>
      </c>
      <c r="E2619" t="s">
        <v>1239</v>
      </c>
      <c r="F2619" t="s">
        <v>178</v>
      </c>
      <c r="G2619" s="531">
        <f>+INDEX('Fuel Model -  Input'!$B$3:$N$1312,MATCH($B2619,'Fuel Model -  Input'!$B$3:$B$1312,0),MATCH(G$2,'Fuel Model -  Input'!$B$3:$N$3,0))</f>
        <v>0.5</v>
      </c>
      <c r="H2619" s="531">
        <f>+INDEX('Fuel Model -  Input'!$B$3:$N$1312,MATCH($B2619,'Fuel Model -  Input'!$B$3:$B$1312,0),MATCH(H$2,'Fuel Model -  Input'!$B$3:$N$3,0))</f>
        <v>0.5</v>
      </c>
      <c r="I2619" s="531">
        <f>+INDEX('Fuel Model -  Input'!$B$3:$N$1312,MATCH($B2619,'Fuel Model -  Input'!$B$3:$B$1312,0),MATCH(I$2,'Fuel Model -  Input'!$B$3:$N$3,0))</f>
        <v>0.5</v>
      </c>
      <c r="J2619" s="531">
        <f>+INDEX('Fuel Model -  Input'!$B$3:$N$1312,MATCH($B2619,'Fuel Model -  Input'!$B$3:$B$1312,0),MATCH(J$2,'Fuel Model -  Input'!$B$3:$N$3,0))</f>
        <v>0.5</v>
      </c>
      <c r="K2619" s="531">
        <f>+INDEX('Fuel Model -  Input'!$B$3:$N$1312,MATCH($B2619,'Fuel Model -  Input'!$B$3:$B$1312,0),MATCH(K$2,'Fuel Model -  Input'!$B$3:$N$3,0))</f>
        <v>0.5</v>
      </c>
      <c r="L2619" s="531">
        <f>+INDEX('Fuel Model -  Input'!$B$3:$N$1312,MATCH($B2619,'Fuel Model -  Input'!$B$3:$B$1312,0),MATCH(L$2,'Fuel Model -  Input'!$B$3:$N$3,0))</f>
        <v>0.5</v>
      </c>
      <c r="M2619" s="531">
        <f>+INDEX('Fuel Model -  Input'!$B$3:$N$1312,MATCH($B2619,'Fuel Model -  Input'!$B$3:$B$1312,0),MATCH(M$2,'Fuel Model -  Input'!$B$3:$N$3,0))</f>
        <v>0.5</v>
      </c>
    </row>
    <row r="2620" spans="2:13" hidden="1" outlineLevel="2" x14ac:dyDescent="0.2">
      <c r="B2620" t="str">
        <f t="shared" si="1482"/>
        <v>GlobalFeedstockConversion Organic wet waste : BioMethanolTon feedstock / ton fuel</v>
      </c>
      <c r="C2620" s="494" t="s">
        <v>109</v>
      </c>
      <c r="D2620" t="s">
        <v>777</v>
      </c>
      <c r="E2620" s="48" t="s">
        <v>1240</v>
      </c>
      <c r="F2620" s="128" t="s">
        <v>1241</v>
      </c>
      <c r="G2620" s="521">
        <f>+INDEX('Fuel Model -  Input'!$B$3:$N$1312,MATCH($B2620,'Fuel Model -  Input'!$B$3:$B$1312,0),MATCH(G$2,'Fuel Model -  Input'!$B$3:$N$3,0))</f>
        <v>2.4198678060787078</v>
      </c>
      <c r="H2620" s="521">
        <f>+INDEX('Fuel Model -  Input'!$B$3:$N$1312,MATCH($B2620,'Fuel Model -  Input'!$B$3:$B$1312,0),MATCH(H$2,'Fuel Model -  Input'!$B$3:$N$3,0))</f>
        <v>2.4198678060787078</v>
      </c>
      <c r="I2620" s="521">
        <f>+INDEX('Fuel Model -  Input'!$B$3:$N$1312,MATCH($B2620,'Fuel Model -  Input'!$B$3:$B$1312,0),MATCH(I$2,'Fuel Model -  Input'!$B$3:$N$3,0))</f>
        <v>2.4198678060787078</v>
      </c>
      <c r="J2620" s="521">
        <f>+INDEX('Fuel Model -  Input'!$B$3:$N$1312,MATCH($B2620,'Fuel Model -  Input'!$B$3:$B$1312,0),MATCH(J$2,'Fuel Model -  Input'!$B$3:$N$3,0))</f>
        <v>2.4198678060787078</v>
      </c>
      <c r="K2620" s="521">
        <f>+INDEX('Fuel Model -  Input'!$B$3:$N$1312,MATCH($B2620,'Fuel Model -  Input'!$B$3:$B$1312,0),MATCH(K$2,'Fuel Model -  Input'!$B$3:$N$3,0))</f>
        <v>2.4198678060787078</v>
      </c>
      <c r="L2620" s="521">
        <f>+INDEX('Fuel Model -  Input'!$B$3:$N$1312,MATCH($B2620,'Fuel Model -  Input'!$B$3:$B$1312,0),MATCH(L$2,'Fuel Model -  Input'!$B$3:$N$3,0))</f>
        <v>2.4198678060787078</v>
      </c>
      <c r="M2620" s="521">
        <f>+INDEX('Fuel Model -  Input'!$B$3:$N$1312,MATCH($B2620,'Fuel Model -  Input'!$B$3:$B$1312,0),MATCH(M$2,'Fuel Model -  Input'!$B$3:$N$3,0))</f>
        <v>2.4198678060787078</v>
      </c>
    </row>
    <row r="2621" spans="2:13" hidden="1" outlineLevel="2" x14ac:dyDescent="0.2">
      <c r="B2621" t="str">
        <f t="shared" si="1482"/>
        <v>AmericasFeedstockCost of Organic wet wasteUSD/ton</v>
      </c>
      <c r="C2621" s="494" t="str">
        <f>+C2623</f>
        <v>Americas</v>
      </c>
      <c r="D2621" t="s">
        <v>777</v>
      </c>
      <c r="E2621" t="s">
        <v>1242</v>
      </c>
      <c r="F2621" t="s">
        <v>205</v>
      </c>
      <c r="G2621" s="532">
        <f>+INDEX('Fuel Model -  Input'!$B$3:$N$1312,MATCH($B2621,'Fuel Model -  Input'!$B$3:$B$1312,0),MATCH(G$2,'Fuel Model -  Input'!$B$3:$N$3,0))</f>
        <v>50</v>
      </c>
      <c r="H2621" s="532">
        <f>+INDEX('Fuel Model -  Input'!$B$3:$N$1312,MATCH($B2621,'Fuel Model -  Input'!$B$3:$B$1312,0),MATCH(H$2,'Fuel Model -  Input'!$B$3:$N$3,0))</f>
        <v>50</v>
      </c>
      <c r="I2621" s="532">
        <f>+INDEX('Fuel Model -  Input'!$B$3:$N$1312,MATCH($B2621,'Fuel Model -  Input'!$B$3:$B$1312,0),MATCH(I$2,'Fuel Model -  Input'!$B$3:$N$3,0))</f>
        <v>50</v>
      </c>
      <c r="J2621" s="532">
        <f>+INDEX('Fuel Model -  Input'!$B$3:$N$1312,MATCH($B2621,'Fuel Model -  Input'!$B$3:$B$1312,0),MATCH(J$2,'Fuel Model -  Input'!$B$3:$N$3,0))</f>
        <v>50</v>
      </c>
      <c r="K2621" s="532">
        <f>+INDEX('Fuel Model -  Input'!$B$3:$N$1312,MATCH($B2621,'Fuel Model -  Input'!$B$3:$B$1312,0),MATCH(K$2,'Fuel Model -  Input'!$B$3:$N$3,0))</f>
        <v>50</v>
      </c>
      <c r="L2621" s="532">
        <f>+INDEX('Fuel Model -  Input'!$B$3:$N$1312,MATCH($B2621,'Fuel Model -  Input'!$B$3:$B$1312,0),MATCH(L$2,'Fuel Model -  Input'!$B$3:$N$3,0))</f>
        <v>50</v>
      </c>
      <c r="M2621" s="532">
        <f>+INDEX('Fuel Model -  Input'!$B$3:$N$1312,MATCH($B2621,'Fuel Model -  Input'!$B$3:$B$1312,0),MATCH(M$2,'Fuel Model -  Input'!$B$3:$N$3,0))</f>
        <v>50</v>
      </c>
    </row>
    <row r="2622" spans="2:13" hidden="1" outlineLevel="2" x14ac:dyDescent="0.2">
      <c r="B2622" t="str">
        <f t="shared" si="1482"/>
        <v>GlobalFeedstockConversion Dry Wood biomass : BioMethanolTon feedstock / ton fuel</v>
      </c>
      <c r="C2622" s="494" t="s">
        <v>109</v>
      </c>
      <c r="D2622" t="s">
        <v>777</v>
      </c>
      <c r="E2622" s="48" t="s">
        <v>1243</v>
      </c>
      <c r="F2622" s="128" t="s">
        <v>1241</v>
      </c>
      <c r="G2622" s="521">
        <f>+INDEX('Fuel Model -  Input'!$B$3:$N$1312,MATCH($B2622,'Fuel Model -  Input'!$B$3:$B$1312,0),MATCH(G$2,'Fuel Model -  Input'!$B$3:$N$3,0))</f>
        <v>2.4198678060787078</v>
      </c>
      <c r="H2622" s="521">
        <f>+INDEX('Fuel Model -  Input'!$B$3:$N$1312,MATCH($B2622,'Fuel Model -  Input'!$B$3:$B$1312,0),MATCH(H$2,'Fuel Model -  Input'!$B$3:$N$3,0))</f>
        <v>2.4198678060787078</v>
      </c>
      <c r="I2622" s="521">
        <f>+INDEX('Fuel Model -  Input'!$B$3:$N$1312,MATCH($B2622,'Fuel Model -  Input'!$B$3:$B$1312,0),MATCH(I$2,'Fuel Model -  Input'!$B$3:$N$3,0))</f>
        <v>2.4198678060787078</v>
      </c>
      <c r="J2622" s="521">
        <f>+INDEX('Fuel Model -  Input'!$B$3:$N$1312,MATCH($B2622,'Fuel Model -  Input'!$B$3:$B$1312,0),MATCH(J$2,'Fuel Model -  Input'!$B$3:$N$3,0))</f>
        <v>2.4198678060787078</v>
      </c>
      <c r="K2622" s="521">
        <f>+INDEX('Fuel Model -  Input'!$B$3:$N$1312,MATCH($B2622,'Fuel Model -  Input'!$B$3:$B$1312,0),MATCH(K$2,'Fuel Model -  Input'!$B$3:$N$3,0))</f>
        <v>2.4198678060787078</v>
      </c>
      <c r="L2622" s="521">
        <f>+INDEX('Fuel Model -  Input'!$B$3:$N$1312,MATCH($B2622,'Fuel Model -  Input'!$B$3:$B$1312,0),MATCH(L$2,'Fuel Model -  Input'!$B$3:$N$3,0))</f>
        <v>2.4198678060787078</v>
      </c>
      <c r="M2622" s="521">
        <f>+INDEX('Fuel Model -  Input'!$B$3:$N$1312,MATCH($B2622,'Fuel Model -  Input'!$B$3:$B$1312,0),MATCH(M$2,'Fuel Model -  Input'!$B$3:$N$3,0))</f>
        <v>2.4198678060787078</v>
      </c>
    </row>
    <row r="2623" spans="2:13" hidden="1" outlineLevel="2" x14ac:dyDescent="0.2">
      <c r="B2623" t="str">
        <f t="shared" si="1482"/>
        <v>AmericasFeedstockCost of Wood biomassUSD/ton Wood</v>
      </c>
      <c r="C2623" s="494" t="s">
        <v>199</v>
      </c>
      <c r="D2623" t="s">
        <v>777</v>
      </c>
      <c r="E2623" s="48" t="s">
        <v>1244</v>
      </c>
      <c r="F2623" s="128" t="s">
        <v>1245</v>
      </c>
      <c r="G2623" s="532">
        <f>+INDEX('Fuel Model -  Input'!$B$3:$N$1312,MATCH($B2623,'Fuel Model -  Input'!$B$3:$B$1312,0),MATCH(G$2,'Fuel Model -  Input'!$B$3:$N$3,0))</f>
        <v>85</v>
      </c>
      <c r="H2623" s="532">
        <f>+INDEX('Fuel Model -  Input'!$B$3:$N$1312,MATCH($B2623,'Fuel Model -  Input'!$B$3:$B$1312,0),MATCH(H$2,'Fuel Model -  Input'!$B$3:$N$3,0))</f>
        <v>89</v>
      </c>
      <c r="I2623" s="532">
        <f>+INDEX('Fuel Model -  Input'!$B$3:$N$1312,MATCH($B2623,'Fuel Model -  Input'!$B$3:$B$1312,0),MATCH(I$2,'Fuel Model -  Input'!$B$3:$N$3,0))</f>
        <v>94</v>
      </c>
      <c r="J2623" s="532">
        <f>+INDEX('Fuel Model -  Input'!$B$3:$N$1312,MATCH($B2623,'Fuel Model -  Input'!$B$3:$B$1312,0),MATCH(J$2,'Fuel Model -  Input'!$B$3:$N$3,0))</f>
        <v>98</v>
      </c>
      <c r="K2623" s="532">
        <f>+INDEX('Fuel Model -  Input'!$B$3:$N$1312,MATCH($B2623,'Fuel Model -  Input'!$B$3:$B$1312,0),MATCH(K$2,'Fuel Model -  Input'!$B$3:$N$3,0))</f>
        <v>102</v>
      </c>
      <c r="L2623" s="532">
        <f>+INDEX('Fuel Model -  Input'!$B$3:$N$1312,MATCH($B2623,'Fuel Model -  Input'!$B$3:$B$1312,0),MATCH(L$2,'Fuel Model -  Input'!$B$3:$N$3,0))</f>
        <v>107</v>
      </c>
      <c r="M2623" s="532">
        <f>+INDEX('Fuel Model -  Input'!$B$3:$N$1312,MATCH($B2623,'Fuel Model -  Input'!$B$3:$B$1312,0),MATCH(M$2,'Fuel Model -  Input'!$B$3:$N$3,0))</f>
        <v>111</v>
      </c>
    </row>
    <row r="2624" spans="2:13" ht="12.75" hidden="1" outlineLevel="1" x14ac:dyDescent="0.2">
      <c r="C2624" s="494"/>
      <c r="F2624"/>
    </row>
    <row r="2625" spans="2:13" ht="15" hidden="1" outlineLevel="1" collapsed="1" x14ac:dyDescent="0.25">
      <c r="B2625" s="30" t="s">
        <v>200</v>
      </c>
      <c r="C2625" s="30" t="str">
        <f>+B2625</f>
        <v>Africa</v>
      </c>
      <c r="D2625" s="30"/>
      <c r="E2625" s="30"/>
      <c r="F2625" s="30"/>
      <c r="G2625" s="564"/>
      <c r="H2625" s="30"/>
      <c r="I2625" s="30"/>
      <c r="J2625" s="30"/>
      <c r="K2625" s="30"/>
      <c r="L2625" s="30"/>
      <c r="M2625" s="30"/>
    </row>
    <row r="2626" spans="2:13" ht="15" hidden="1" outlineLevel="2" x14ac:dyDescent="0.25">
      <c r="B2626" t="str">
        <f>+C2626&amp;D2626&amp;E2626&amp;F2626</f>
        <v>AfricaResultsTotal cost of BiomethanolUSD/ton</v>
      </c>
      <c r="C2626" s="494" t="str">
        <f>+$C$2625</f>
        <v>Africa</v>
      </c>
      <c r="D2626" s="30" t="s">
        <v>838</v>
      </c>
      <c r="E2626" s="405" t="s">
        <v>1224</v>
      </c>
      <c r="F2626" s="127" t="s">
        <v>205</v>
      </c>
      <c r="G2626" s="490">
        <f>+SUM(G2627:G2629)</f>
        <v>1043.3957154259911</v>
      </c>
      <c r="H2626" s="490">
        <f t="shared" ref="H2626:M2626" si="1490">+SUM(H2627:H2629)</f>
        <v>734.73998399857635</v>
      </c>
      <c r="I2626" s="490">
        <f t="shared" si="1490"/>
        <v>624.45368523365198</v>
      </c>
      <c r="J2626" s="490">
        <f t="shared" si="1490"/>
        <v>580.65804184442868</v>
      </c>
      <c r="K2626" s="490">
        <f t="shared" si="1490"/>
        <v>537.14182700649462</v>
      </c>
      <c r="L2626" s="490">
        <f t="shared" si="1490"/>
        <v>512.13859683779435</v>
      </c>
      <c r="M2626" s="490">
        <f t="shared" si="1490"/>
        <v>487.82479703823822</v>
      </c>
    </row>
    <row r="2627" spans="2:13" ht="15" hidden="1" outlineLevel="2" x14ac:dyDescent="0.25">
      <c r="B2627" t="str">
        <f>+C2627&amp;D2627&amp;E2627&amp;F2627</f>
        <v>AfricaResultsTotal Capex BiomethanolUSD/ton</v>
      </c>
      <c r="C2627" s="494" t="str">
        <f>+$C$2625</f>
        <v>Africa</v>
      </c>
      <c r="D2627" s="30" t="s">
        <v>838</v>
      </c>
      <c r="E2627" s="228" t="s">
        <v>1225</v>
      </c>
      <c r="F2627" s="127" t="s">
        <v>205</v>
      </c>
      <c r="G2627" s="490">
        <f>+G2631</f>
        <v>477.00000000000011</v>
      </c>
      <c r="H2627" s="490">
        <f t="shared" ref="H2627:M2627" si="1491">+H2631</f>
        <v>300.33333333333343</v>
      </c>
      <c r="I2627" s="490">
        <f t="shared" si="1491"/>
        <v>234.08333333333337</v>
      </c>
      <c r="J2627" s="490">
        <f t="shared" si="1491"/>
        <v>205.37500000000006</v>
      </c>
      <c r="K2627" s="490">
        <f t="shared" si="1491"/>
        <v>176.66666666666671</v>
      </c>
      <c r="L2627" s="490">
        <f t="shared" si="1491"/>
        <v>159.00000000000003</v>
      </c>
      <c r="M2627" s="490">
        <f t="shared" si="1491"/>
        <v>141.33333333333337</v>
      </c>
    </row>
    <row r="2628" spans="2:13" ht="15" hidden="1" outlineLevel="2" x14ac:dyDescent="0.25">
      <c r="B2628" t="str">
        <f>+C2628&amp;D2628&amp;E2628&amp;F2628</f>
        <v>AfricaResultsTotal Opex BiomethanolUSD/ton</v>
      </c>
      <c r="C2628" s="494" t="str">
        <f>+$C$2625</f>
        <v>Africa</v>
      </c>
      <c r="D2628" s="30" t="s">
        <v>838</v>
      </c>
      <c r="E2628" s="228" t="s">
        <v>1226</v>
      </c>
      <c r="F2628" s="127" t="s">
        <v>205</v>
      </c>
      <c r="G2628" s="490">
        <f>+G2635+G2637</f>
        <v>365.54668752145813</v>
      </c>
      <c r="H2628" s="490">
        <f t="shared" ref="H2628:M2628" si="1492">+H2635+H2637</f>
        <v>227.50795324551348</v>
      </c>
      <c r="I2628" s="490">
        <f t="shared" si="1492"/>
        <v>177.42198496539228</v>
      </c>
      <c r="J2628" s="490">
        <f t="shared" si="1492"/>
        <v>155.07507149126621</v>
      </c>
      <c r="K2628" s="490">
        <f t="shared" si="1492"/>
        <v>134.2175204714687</v>
      </c>
      <c r="L2628" s="490">
        <f t="shared" si="1492"/>
        <v>120.83128745423836</v>
      </c>
      <c r="M2628" s="490">
        <f t="shared" si="1492"/>
        <v>108.1344848061521</v>
      </c>
    </row>
    <row r="2629" spans="2:13" ht="15" hidden="1" outlineLevel="2" x14ac:dyDescent="0.25">
      <c r="B2629" t="str">
        <f>+C2629&amp;D2629&amp;E2629&amp;F2629</f>
        <v>AfricaResultsTotal Raw Material BiomethanolUSD/ton</v>
      </c>
      <c r="C2629" s="494" t="str">
        <f>+$C$2625</f>
        <v>Africa</v>
      </c>
      <c r="D2629" s="30" t="s">
        <v>838</v>
      </c>
      <c r="E2629" s="228" t="s">
        <v>1227</v>
      </c>
      <c r="F2629" s="127" t="s">
        <v>205</v>
      </c>
      <c r="G2629" s="490">
        <f>+G2641</f>
        <v>200.84902790453273</v>
      </c>
      <c r="H2629" s="490">
        <f t="shared" ref="H2629:M2629" si="1493">+H2641</f>
        <v>206.8986974197295</v>
      </c>
      <c r="I2629" s="490">
        <f t="shared" si="1493"/>
        <v>212.94836693492627</v>
      </c>
      <c r="J2629" s="490">
        <f t="shared" si="1493"/>
        <v>220.20797035316241</v>
      </c>
      <c r="K2629" s="490">
        <f t="shared" si="1493"/>
        <v>226.25763986835918</v>
      </c>
      <c r="L2629" s="490">
        <f t="shared" si="1493"/>
        <v>232.30730938355595</v>
      </c>
      <c r="M2629" s="490">
        <f t="shared" si="1493"/>
        <v>238.35697889875271</v>
      </c>
    </row>
    <row r="2630" spans="2:13" ht="12.75" hidden="1" outlineLevel="2" x14ac:dyDescent="0.2">
      <c r="C2630" s="494"/>
      <c r="F2630"/>
    </row>
    <row r="2631" spans="2:13" hidden="1" outlineLevel="2" x14ac:dyDescent="0.2">
      <c r="B2631" t="str">
        <f>+C2631&amp;D2631&amp;E2631&amp;F2631</f>
        <v>AfricaCapexBiomethanol plant USD/ton Methanol</v>
      </c>
      <c r="C2631" s="494" t="str">
        <f>+$C$2625</f>
        <v>Africa</v>
      </c>
      <c r="D2631" t="s">
        <v>218</v>
      </c>
      <c r="E2631" s="48" t="s">
        <v>1228</v>
      </c>
      <c r="F2631" s="128" t="s">
        <v>1229</v>
      </c>
      <c r="G2631" s="8">
        <f t="shared" ref="G2631:M2631" si="1494">G2633/G2632</f>
        <v>477.00000000000011</v>
      </c>
      <c r="H2631" s="8">
        <f t="shared" si="1494"/>
        <v>300.33333333333343</v>
      </c>
      <c r="I2631" s="8">
        <f t="shared" si="1494"/>
        <v>234.08333333333337</v>
      </c>
      <c r="J2631" s="8">
        <f t="shared" si="1494"/>
        <v>205.37500000000006</v>
      </c>
      <c r="K2631" s="8">
        <f t="shared" si="1494"/>
        <v>176.66666666666671</v>
      </c>
      <c r="L2631" s="8">
        <f t="shared" si="1494"/>
        <v>159.00000000000003</v>
      </c>
      <c r="M2631" s="8">
        <f t="shared" si="1494"/>
        <v>141.33333333333337</v>
      </c>
    </row>
    <row r="2632" spans="2:13" hidden="1" outlineLevel="2" x14ac:dyDescent="0.2">
      <c r="B2632" t="str">
        <f>+C2632&amp;D2632&amp;E2632&amp;F2632</f>
        <v>GlobalPlant capexAnnualisation factor#</v>
      </c>
      <c r="C2632" s="494" t="s">
        <v>109</v>
      </c>
      <c r="D2632" t="s">
        <v>786</v>
      </c>
      <c r="E2632" t="s">
        <v>764</v>
      </c>
      <c r="F2632" s="450" t="s">
        <v>787</v>
      </c>
      <c r="G2632" s="532">
        <f>+INDEX('Fuel Model -  Input'!$B$3:$N$1312,MATCH($B2632,'Fuel Model -  Input'!$B$3:$B$1312,0),MATCH(G$2,'Fuel Model -  Input'!$B$3:$N$3,0))</f>
        <v>11.32075471698113</v>
      </c>
      <c r="H2632" s="532">
        <f>+INDEX('Fuel Model -  Input'!$B$3:$N$1312,MATCH($B2632,'Fuel Model -  Input'!$B$3:$B$1312,0),MATCH(H$2,'Fuel Model -  Input'!$B$3:$N$3,0))</f>
        <v>11.32075471698113</v>
      </c>
      <c r="I2632" s="532">
        <f>+INDEX('Fuel Model -  Input'!$B$3:$N$1312,MATCH($B2632,'Fuel Model -  Input'!$B$3:$B$1312,0),MATCH(I$2,'Fuel Model -  Input'!$B$3:$N$3,0))</f>
        <v>11.32075471698113</v>
      </c>
      <c r="J2632" s="532">
        <f>+INDEX('Fuel Model -  Input'!$B$3:$N$1312,MATCH($B2632,'Fuel Model -  Input'!$B$3:$B$1312,0),MATCH(J$2,'Fuel Model -  Input'!$B$3:$N$3,0))</f>
        <v>11.32075471698113</v>
      </c>
      <c r="K2632" s="532">
        <f>+INDEX('Fuel Model -  Input'!$B$3:$N$1312,MATCH($B2632,'Fuel Model -  Input'!$B$3:$B$1312,0),MATCH(K$2,'Fuel Model -  Input'!$B$3:$N$3,0))</f>
        <v>11.32075471698113</v>
      </c>
      <c r="L2632" s="532">
        <f>+INDEX('Fuel Model -  Input'!$B$3:$N$1312,MATCH($B2632,'Fuel Model -  Input'!$B$3:$B$1312,0),MATCH(L$2,'Fuel Model -  Input'!$B$3:$N$3,0))</f>
        <v>11.32075471698113</v>
      </c>
      <c r="M2632" s="532">
        <f>+INDEX('Fuel Model -  Input'!$B$3:$N$1312,MATCH($B2632,'Fuel Model -  Input'!$B$3:$B$1312,0),MATCH(M$2,'Fuel Model -  Input'!$B$3:$N$3,0))</f>
        <v>11.32075471698113</v>
      </c>
    </row>
    <row r="2633" spans="2:13" hidden="1" outlineLevel="2" x14ac:dyDescent="0.2">
      <c r="B2633" t="str">
        <f>+C2633&amp;D2633&amp;E2633&amp;F2633</f>
        <v>GlobalCapexBioMethanol plantUSD/ton BioMethanol capacity</v>
      </c>
      <c r="C2633" s="494" t="s">
        <v>109</v>
      </c>
      <c r="D2633" t="s">
        <v>218</v>
      </c>
      <c r="E2633" s="48" t="s">
        <v>1230</v>
      </c>
      <c r="F2633" s="128" t="s">
        <v>1231</v>
      </c>
      <c r="G2633" s="532">
        <f>+INDEX('Fuel Model -  Input'!$B$3:$N$1312,MATCH($B2633,'Fuel Model -  Input'!$B$3:$B$1312,0),MATCH(G$2,'Fuel Model -  Input'!$B$3:$N$3,0))</f>
        <v>5400</v>
      </c>
      <c r="H2633" s="532">
        <f>+INDEX('Fuel Model -  Input'!$B$3:$N$1312,MATCH($B2633,'Fuel Model -  Input'!$B$3:$B$1312,0),MATCH(H$2,'Fuel Model -  Input'!$B$3:$N$3,0))</f>
        <v>3400</v>
      </c>
      <c r="I2633" s="532">
        <f>+INDEX('Fuel Model -  Input'!$B$3:$N$1312,MATCH($B2633,'Fuel Model -  Input'!$B$3:$B$1312,0),MATCH(I$2,'Fuel Model -  Input'!$B$3:$N$3,0))</f>
        <v>2650</v>
      </c>
      <c r="J2633" s="532">
        <f>+INDEX('Fuel Model -  Input'!$B$3:$N$1312,MATCH($B2633,'Fuel Model -  Input'!$B$3:$B$1312,0),MATCH(J$2,'Fuel Model -  Input'!$B$3:$N$3,0))</f>
        <v>2325</v>
      </c>
      <c r="K2633" s="532">
        <f>+INDEX('Fuel Model -  Input'!$B$3:$N$1312,MATCH($B2633,'Fuel Model -  Input'!$B$3:$B$1312,0),MATCH(K$2,'Fuel Model -  Input'!$B$3:$N$3,0))</f>
        <v>2000</v>
      </c>
      <c r="L2633" s="532">
        <f>+INDEX('Fuel Model -  Input'!$B$3:$N$1312,MATCH($B2633,'Fuel Model -  Input'!$B$3:$B$1312,0),MATCH(L$2,'Fuel Model -  Input'!$B$3:$N$3,0))</f>
        <v>1800</v>
      </c>
      <c r="M2633" s="532">
        <f>+INDEX('Fuel Model -  Input'!$B$3:$N$1312,MATCH($B2633,'Fuel Model -  Input'!$B$3:$B$1312,0),MATCH(M$2,'Fuel Model -  Input'!$B$3:$N$3,0))</f>
        <v>1600</v>
      </c>
    </row>
    <row r="2634" spans="2:13" ht="12.75" hidden="1" outlineLevel="2" x14ac:dyDescent="0.2">
      <c r="C2634" s="494"/>
      <c r="F2634"/>
    </row>
    <row r="2635" spans="2:13" hidden="1" outlineLevel="2" x14ac:dyDescent="0.2">
      <c r="B2635" t="str">
        <f>+C2635&amp;D2635&amp;E2635&amp;F2635</f>
        <v>GlobalOPEXBioMethanol plant OPEXUSD/ton BioMethanol</v>
      </c>
      <c r="C2635" s="494" t="s">
        <v>109</v>
      </c>
      <c r="D2635" t="s">
        <v>319</v>
      </c>
      <c r="E2635" s="48" t="s">
        <v>1232</v>
      </c>
      <c r="F2635" s="128" t="s">
        <v>1233</v>
      </c>
      <c r="G2635" s="565">
        <f>+INDEX('Fuel Model -  Input'!$B$3:$N$1312,MATCH($B2635,'Fuel Model -  Input'!$B$3:$B$1312,0),MATCH(G$2,'Fuel Model -  Input'!$B$3:$N$3,0))</f>
        <v>324</v>
      </c>
      <c r="H2635" s="565">
        <f>+INDEX('Fuel Model -  Input'!$B$3:$N$1312,MATCH($B2635,'Fuel Model -  Input'!$B$3:$B$1312,0),MATCH(H$2,'Fuel Model -  Input'!$B$3:$N$3,0))</f>
        <v>204</v>
      </c>
      <c r="I2635" s="565">
        <f>+INDEX('Fuel Model -  Input'!$B$3:$N$1312,MATCH($B2635,'Fuel Model -  Input'!$B$3:$B$1312,0),MATCH(I$2,'Fuel Model -  Input'!$B$3:$N$3,0))</f>
        <v>159</v>
      </c>
      <c r="J2635" s="565">
        <f>+INDEX('Fuel Model -  Input'!$B$3:$N$1312,MATCH($B2635,'Fuel Model -  Input'!$B$3:$B$1312,0),MATCH(J$2,'Fuel Model -  Input'!$B$3:$N$3,0))</f>
        <v>139.5</v>
      </c>
      <c r="K2635" s="565">
        <f>+INDEX('Fuel Model -  Input'!$B$3:$N$1312,MATCH($B2635,'Fuel Model -  Input'!$B$3:$B$1312,0),MATCH(K$2,'Fuel Model -  Input'!$B$3:$N$3,0))</f>
        <v>120</v>
      </c>
      <c r="L2635" s="565">
        <f>+INDEX('Fuel Model -  Input'!$B$3:$N$1312,MATCH($B2635,'Fuel Model -  Input'!$B$3:$B$1312,0),MATCH(L$2,'Fuel Model -  Input'!$B$3:$N$3,0))</f>
        <v>108</v>
      </c>
      <c r="M2635" s="565">
        <f>+INDEX('Fuel Model -  Input'!$B$3:$N$1312,MATCH($B2635,'Fuel Model -  Input'!$B$3:$B$1312,0),MATCH(M$2,'Fuel Model -  Input'!$B$3:$N$3,0))</f>
        <v>96</v>
      </c>
    </row>
    <row r="2636" spans="2:13" hidden="1" outlineLevel="2" x14ac:dyDescent="0.2">
      <c r="C2636" s="494"/>
      <c r="E2636" s="48"/>
      <c r="F2636" s="128"/>
      <c r="G2636" s="565"/>
      <c r="H2636" s="565"/>
      <c r="I2636" s="565"/>
      <c r="J2636" s="565"/>
      <c r="K2636" s="565"/>
      <c r="L2636" s="565"/>
      <c r="M2636" s="565"/>
    </row>
    <row r="2637" spans="2:13" hidden="1" outlineLevel="2" x14ac:dyDescent="0.2">
      <c r="B2637" t="str">
        <f>+C2637&amp;D2637&amp;E2637&amp;F2637</f>
        <v>GlobalFeedstockCost of electricity for CH4USD/ton BioMethanol</v>
      </c>
      <c r="C2637" s="494" t="s">
        <v>109</v>
      </c>
      <c r="D2637" t="s">
        <v>777</v>
      </c>
      <c r="E2637" t="s">
        <v>1234</v>
      </c>
      <c r="F2637" s="450" t="s">
        <v>1233</v>
      </c>
      <c r="G2637" s="8">
        <f>+G2638*G2639</f>
        <v>41.546687521458118</v>
      </c>
      <c r="H2637" s="8">
        <f t="shared" ref="H2637" si="1495">+H2638*H2639</f>
        <v>23.50795324551347</v>
      </c>
      <c r="I2637" s="8">
        <f t="shared" ref="I2637" si="1496">+I2638*I2639</f>
        <v>18.421984965392294</v>
      </c>
      <c r="J2637" s="8">
        <f t="shared" ref="J2637" si="1497">+J2638*J2639</f>
        <v>15.575071491266229</v>
      </c>
      <c r="K2637" s="8">
        <f t="shared" ref="K2637" si="1498">+K2638*K2639</f>
        <v>14.217520471468703</v>
      </c>
      <c r="L2637" s="8">
        <f t="shared" ref="L2637" si="1499">+L2638*L2639</f>
        <v>12.831287454238359</v>
      </c>
      <c r="M2637" s="8">
        <f t="shared" ref="M2637" si="1500">+M2638*M2639</f>
        <v>12.1344848061521</v>
      </c>
    </row>
    <row r="2638" spans="2:13" hidden="1" outlineLevel="2" x14ac:dyDescent="0.2">
      <c r="B2638" t="str">
        <f>+C2638&amp;D2638&amp;E2638&amp;F2638</f>
        <v>GlobalFeedstockBioMethanol plant Electricity demandMwH/ton fuel</v>
      </c>
      <c r="C2638" s="494" t="s">
        <v>109</v>
      </c>
      <c r="D2638" t="s">
        <v>777</v>
      </c>
      <c r="E2638" t="s">
        <v>1235</v>
      </c>
      <c r="F2638" t="s">
        <v>1236</v>
      </c>
      <c r="G2638" s="521">
        <f>INDEX('Fuel Model -  Input'!$B$3:$N$373,MATCH($B2638,'Fuel Model -  Input'!$B$3:$B$373,0),MATCH(G$2,'Fuel Model -  Input'!$B$3:$N$3,0))</f>
        <v>0.52617825903163917</v>
      </c>
      <c r="H2638" s="521">
        <f>INDEX('Fuel Model -  Input'!$B$3:$N$373,MATCH($B2638,'Fuel Model -  Input'!$B$3:$B$373,0),MATCH(H$2,'Fuel Model -  Input'!$B$3:$N$3,0))</f>
        <v>0.52617825903163917</v>
      </c>
      <c r="I2638" s="521">
        <f>INDEX('Fuel Model -  Input'!$B$3:$N$373,MATCH($B2638,'Fuel Model -  Input'!$B$3:$B$373,0),MATCH(I$2,'Fuel Model -  Input'!$B$3:$N$3,0))</f>
        <v>0.5245442721035346</v>
      </c>
      <c r="J2638" s="521">
        <f>INDEX('Fuel Model -  Input'!$B$3:$N$373,MATCH($B2638,'Fuel Model -  Input'!$B$3:$B$373,0),MATCH(J$2,'Fuel Model -  Input'!$B$3:$N$3,0))</f>
        <v>0.52291028517543003</v>
      </c>
      <c r="K2638" s="521">
        <f>INDEX('Fuel Model -  Input'!$B$3:$N$373,MATCH($B2638,'Fuel Model -  Input'!$B$3:$B$373,0),MATCH(K$2,'Fuel Model -  Input'!$B$3:$N$3,0))</f>
        <v>0.52127629824732535</v>
      </c>
      <c r="L2638" s="521">
        <f>INDEX('Fuel Model -  Input'!$B$3:$N$373,MATCH($B2638,'Fuel Model -  Input'!$B$3:$B$373,0),MATCH(L$2,'Fuel Model -  Input'!$B$3:$N$3,0))</f>
        <v>0.51964231131922078</v>
      </c>
      <c r="M2638" s="521">
        <f>INDEX('Fuel Model -  Input'!$B$3:$N$373,MATCH($B2638,'Fuel Model -  Input'!$B$3:$B$373,0),MATCH(M$2,'Fuel Model -  Input'!$B$3:$N$3,0))</f>
        <v>0.51800832439111621</v>
      </c>
    </row>
    <row r="2639" spans="2:13" hidden="1" outlineLevel="2" x14ac:dyDescent="0.2">
      <c r="B2639" t="str">
        <f>+C2639&amp;D2639&amp;E2639&amp;F2639</f>
        <v>AfricaFeedstockElectricityUSD/MWh</v>
      </c>
      <c r="C2639" s="494" t="str">
        <f>+C2647</f>
        <v>Africa</v>
      </c>
      <c r="D2639" t="s">
        <v>777</v>
      </c>
      <c r="E2639" t="s">
        <v>54</v>
      </c>
      <c r="F2639" s="450" t="s">
        <v>196</v>
      </c>
      <c r="G2639" s="532">
        <f>INDEX('Fuel Model -  Input'!$B$3:$N$373,MATCH($B2639,'Fuel Model -  Input'!$B$3:$B$373,0),MATCH(G$2,'Fuel Model -  Input'!$B$3:$N$3,0))</f>
        <v>78.959338985079413</v>
      </c>
      <c r="H2639" s="532">
        <f>INDEX('Fuel Model -  Input'!$B$3:$N$373,MATCH($B2639,'Fuel Model -  Input'!$B$3:$B$373,0),MATCH(H$2,'Fuel Model -  Input'!$B$3:$N$3,0))</f>
        <v>44.676785560803516</v>
      </c>
      <c r="I2639" s="532">
        <f>INDEX('Fuel Model -  Input'!$B$3:$N$373,MATCH($B2639,'Fuel Model -  Input'!$B$3:$B$373,0),MATCH(I$2,'Fuel Model -  Input'!$B$3:$N$3,0))</f>
        <v>35.119981181981451</v>
      </c>
      <c r="J2639" s="532">
        <f>INDEX('Fuel Model -  Input'!$B$3:$N$373,MATCH($B2639,'Fuel Model -  Input'!$B$3:$B$373,0),MATCH(J$2,'Fuel Model -  Input'!$B$3:$N$3,0))</f>
        <v>29.785360764210218</v>
      </c>
      <c r="K2639" s="532">
        <f>INDEX('Fuel Model -  Input'!$B$3:$N$373,MATCH($B2639,'Fuel Model -  Input'!$B$3:$B$373,0),MATCH(K$2,'Fuel Model -  Input'!$B$3:$N$3,0))</f>
        <v>27.274442592674799</v>
      </c>
      <c r="L2639" s="532">
        <f>INDEX('Fuel Model -  Input'!$B$3:$N$373,MATCH($B2639,'Fuel Model -  Input'!$B$3:$B$373,0),MATCH(L$2,'Fuel Model -  Input'!$B$3:$N$3,0))</f>
        <v>24.692537876031398</v>
      </c>
      <c r="M2639" s="532">
        <f>INDEX('Fuel Model -  Input'!$B$3:$N$373,MATCH($B2639,'Fuel Model -  Input'!$B$3:$B$373,0),MATCH(M$2,'Fuel Model -  Input'!$B$3:$N$3,0))</f>
        <v>23.425269893906371</v>
      </c>
    </row>
    <row r="2640" spans="2:13" ht="12.75" hidden="1" outlineLevel="2" x14ac:dyDescent="0.2">
      <c r="C2640" s="494"/>
      <c r="F2640"/>
    </row>
    <row r="2641" spans="2:13" hidden="1" outlineLevel="2" x14ac:dyDescent="0.2">
      <c r="B2641" t="str">
        <f t="shared" ref="B2641:B2647" si="1501">+C2641&amp;D2641&amp;E2641&amp;F2641</f>
        <v>AfricaFeedstockBiomass costUSD/ton Methanol</v>
      </c>
      <c r="C2641" s="494" t="str">
        <f>+C2647</f>
        <v>Africa</v>
      </c>
      <c r="D2641" t="s">
        <v>777</v>
      </c>
      <c r="E2641" s="48" t="s">
        <v>1237</v>
      </c>
      <c r="F2641" s="128" t="s">
        <v>1229</v>
      </c>
      <c r="G2641" s="8">
        <f t="shared" ref="G2641" si="1502">+G2643*G2644*G2645+G2642*G2646*G2647</f>
        <v>200.84902790453273</v>
      </c>
      <c r="H2641" s="8">
        <f t="shared" ref="H2641" si="1503">+H2643*H2644*H2645+H2642*H2646*H2647</f>
        <v>206.8986974197295</v>
      </c>
      <c r="I2641" s="8">
        <f t="shared" ref="I2641" si="1504">+I2643*I2644*I2645+I2642*I2646*I2647</f>
        <v>212.94836693492627</v>
      </c>
      <c r="J2641" s="8">
        <f t="shared" ref="J2641" si="1505">+J2643*J2644*J2645+J2642*J2646*J2647</f>
        <v>220.20797035316241</v>
      </c>
      <c r="K2641" s="8">
        <f t="shared" ref="K2641" si="1506">+K2643*K2644*K2645+K2642*K2646*K2647</f>
        <v>226.25763986835918</v>
      </c>
      <c r="L2641" s="8">
        <f t="shared" ref="L2641" si="1507">+L2643*L2644*L2645+L2642*L2646*L2647</f>
        <v>232.30730938355595</v>
      </c>
      <c r="M2641" s="8">
        <f t="shared" ref="M2641" si="1508">+M2643*M2644*M2645+M2642*M2646*M2647</f>
        <v>238.35697889875271</v>
      </c>
    </row>
    <row r="2642" spans="2:13" hidden="1" outlineLevel="2" x14ac:dyDescent="0.2">
      <c r="B2642" t="str">
        <f t="shared" si="1501"/>
        <v>GlobalFeedstockDry wood biomass market share Biomethanol%</v>
      </c>
      <c r="C2642" s="494" t="s">
        <v>109</v>
      </c>
      <c r="D2642" t="s">
        <v>777</v>
      </c>
      <c r="E2642" t="s">
        <v>1238</v>
      </c>
      <c r="F2642" t="s">
        <v>178</v>
      </c>
      <c r="G2642" s="531">
        <f>+INDEX('Fuel Model -  Input'!$B$3:$N$1312,MATCH($B2642,'Fuel Model -  Input'!$B$3:$B$1312,0),MATCH(G$2,'Fuel Model -  Input'!$B$3:$N$3,0))</f>
        <v>0.5</v>
      </c>
      <c r="H2642" s="531">
        <f>+INDEX('Fuel Model -  Input'!$B$3:$N$1312,MATCH($B2642,'Fuel Model -  Input'!$B$3:$B$1312,0),MATCH(H$2,'Fuel Model -  Input'!$B$3:$N$3,0))</f>
        <v>0.5</v>
      </c>
      <c r="I2642" s="531">
        <f>+INDEX('Fuel Model -  Input'!$B$3:$N$1312,MATCH($B2642,'Fuel Model -  Input'!$B$3:$B$1312,0),MATCH(I$2,'Fuel Model -  Input'!$B$3:$N$3,0))</f>
        <v>0.5</v>
      </c>
      <c r="J2642" s="531">
        <f>+INDEX('Fuel Model -  Input'!$B$3:$N$1312,MATCH($B2642,'Fuel Model -  Input'!$B$3:$B$1312,0),MATCH(J$2,'Fuel Model -  Input'!$B$3:$N$3,0))</f>
        <v>0.5</v>
      </c>
      <c r="K2642" s="531">
        <f>+INDEX('Fuel Model -  Input'!$B$3:$N$1312,MATCH($B2642,'Fuel Model -  Input'!$B$3:$B$1312,0),MATCH(K$2,'Fuel Model -  Input'!$B$3:$N$3,0))</f>
        <v>0.5</v>
      </c>
      <c r="L2642" s="531">
        <f>+INDEX('Fuel Model -  Input'!$B$3:$N$1312,MATCH($B2642,'Fuel Model -  Input'!$B$3:$B$1312,0),MATCH(L$2,'Fuel Model -  Input'!$B$3:$N$3,0))</f>
        <v>0.5</v>
      </c>
      <c r="M2642" s="531">
        <f>+INDEX('Fuel Model -  Input'!$B$3:$N$1312,MATCH($B2642,'Fuel Model -  Input'!$B$3:$B$1312,0),MATCH(M$2,'Fuel Model -  Input'!$B$3:$N$3,0))</f>
        <v>0.5</v>
      </c>
    </row>
    <row r="2643" spans="2:13" hidden="1" outlineLevel="2" x14ac:dyDescent="0.2">
      <c r="B2643" t="str">
        <f t="shared" si="1501"/>
        <v>GlobalFeedstockOrganic wet wate market share Biomethanol%</v>
      </c>
      <c r="C2643" s="494" t="s">
        <v>109</v>
      </c>
      <c r="D2643" t="s">
        <v>777</v>
      </c>
      <c r="E2643" t="s">
        <v>1239</v>
      </c>
      <c r="F2643" t="s">
        <v>178</v>
      </c>
      <c r="G2643" s="531">
        <f>+INDEX('Fuel Model -  Input'!$B$3:$N$1312,MATCH($B2643,'Fuel Model -  Input'!$B$3:$B$1312,0),MATCH(G$2,'Fuel Model -  Input'!$B$3:$N$3,0))</f>
        <v>0.5</v>
      </c>
      <c r="H2643" s="531">
        <f>+INDEX('Fuel Model -  Input'!$B$3:$N$1312,MATCH($B2643,'Fuel Model -  Input'!$B$3:$B$1312,0),MATCH(H$2,'Fuel Model -  Input'!$B$3:$N$3,0))</f>
        <v>0.5</v>
      </c>
      <c r="I2643" s="531">
        <f>+INDEX('Fuel Model -  Input'!$B$3:$N$1312,MATCH($B2643,'Fuel Model -  Input'!$B$3:$B$1312,0),MATCH(I$2,'Fuel Model -  Input'!$B$3:$N$3,0))</f>
        <v>0.5</v>
      </c>
      <c r="J2643" s="531">
        <f>+INDEX('Fuel Model -  Input'!$B$3:$N$1312,MATCH($B2643,'Fuel Model -  Input'!$B$3:$B$1312,0),MATCH(J$2,'Fuel Model -  Input'!$B$3:$N$3,0))</f>
        <v>0.5</v>
      </c>
      <c r="K2643" s="531">
        <f>+INDEX('Fuel Model -  Input'!$B$3:$N$1312,MATCH($B2643,'Fuel Model -  Input'!$B$3:$B$1312,0),MATCH(K$2,'Fuel Model -  Input'!$B$3:$N$3,0))</f>
        <v>0.5</v>
      </c>
      <c r="L2643" s="531">
        <f>+INDEX('Fuel Model -  Input'!$B$3:$N$1312,MATCH($B2643,'Fuel Model -  Input'!$B$3:$B$1312,0),MATCH(L$2,'Fuel Model -  Input'!$B$3:$N$3,0))</f>
        <v>0.5</v>
      </c>
      <c r="M2643" s="531">
        <f>+INDEX('Fuel Model -  Input'!$B$3:$N$1312,MATCH($B2643,'Fuel Model -  Input'!$B$3:$B$1312,0),MATCH(M$2,'Fuel Model -  Input'!$B$3:$N$3,0))</f>
        <v>0.5</v>
      </c>
    </row>
    <row r="2644" spans="2:13" hidden="1" outlineLevel="2" x14ac:dyDescent="0.2">
      <c r="B2644" t="str">
        <f t="shared" si="1501"/>
        <v>GlobalFeedstockConversion Organic wet waste : BioMethanolTon feedstock / ton fuel</v>
      </c>
      <c r="C2644" s="494" t="s">
        <v>109</v>
      </c>
      <c r="D2644" t="s">
        <v>777</v>
      </c>
      <c r="E2644" s="48" t="s">
        <v>1240</v>
      </c>
      <c r="F2644" s="128" t="s">
        <v>1241</v>
      </c>
      <c r="G2644" s="521">
        <f>+INDEX('Fuel Model -  Input'!$B$3:$N$1312,MATCH($B2644,'Fuel Model -  Input'!$B$3:$B$1312,0),MATCH(G$2,'Fuel Model -  Input'!$B$3:$N$3,0))</f>
        <v>2.4198678060787078</v>
      </c>
      <c r="H2644" s="521">
        <f>+INDEX('Fuel Model -  Input'!$B$3:$N$1312,MATCH($B2644,'Fuel Model -  Input'!$B$3:$B$1312,0),MATCH(H$2,'Fuel Model -  Input'!$B$3:$N$3,0))</f>
        <v>2.4198678060787078</v>
      </c>
      <c r="I2644" s="521">
        <f>+INDEX('Fuel Model -  Input'!$B$3:$N$1312,MATCH($B2644,'Fuel Model -  Input'!$B$3:$B$1312,0),MATCH(I$2,'Fuel Model -  Input'!$B$3:$N$3,0))</f>
        <v>2.4198678060787078</v>
      </c>
      <c r="J2644" s="521">
        <f>+INDEX('Fuel Model -  Input'!$B$3:$N$1312,MATCH($B2644,'Fuel Model -  Input'!$B$3:$B$1312,0),MATCH(J$2,'Fuel Model -  Input'!$B$3:$N$3,0))</f>
        <v>2.4198678060787078</v>
      </c>
      <c r="K2644" s="521">
        <f>+INDEX('Fuel Model -  Input'!$B$3:$N$1312,MATCH($B2644,'Fuel Model -  Input'!$B$3:$B$1312,0),MATCH(K$2,'Fuel Model -  Input'!$B$3:$N$3,0))</f>
        <v>2.4198678060787078</v>
      </c>
      <c r="L2644" s="521">
        <f>+INDEX('Fuel Model -  Input'!$B$3:$N$1312,MATCH($B2644,'Fuel Model -  Input'!$B$3:$B$1312,0),MATCH(L$2,'Fuel Model -  Input'!$B$3:$N$3,0))</f>
        <v>2.4198678060787078</v>
      </c>
      <c r="M2644" s="521">
        <f>+INDEX('Fuel Model -  Input'!$B$3:$N$1312,MATCH($B2644,'Fuel Model -  Input'!$B$3:$B$1312,0),MATCH(M$2,'Fuel Model -  Input'!$B$3:$N$3,0))</f>
        <v>2.4198678060787078</v>
      </c>
    </row>
    <row r="2645" spans="2:13" hidden="1" outlineLevel="2" x14ac:dyDescent="0.2">
      <c r="B2645" t="str">
        <f t="shared" si="1501"/>
        <v>AfricaFeedstockCost of Organic wet wasteUSD/ton</v>
      </c>
      <c r="C2645" s="494" t="str">
        <f>+C2647</f>
        <v>Africa</v>
      </c>
      <c r="D2645" t="s">
        <v>777</v>
      </c>
      <c r="E2645" t="s">
        <v>1242</v>
      </c>
      <c r="F2645" t="s">
        <v>205</v>
      </c>
      <c r="G2645" s="532">
        <f>+INDEX('Fuel Model -  Input'!$B$3:$N$1312,MATCH($B2645,'Fuel Model -  Input'!$B$3:$B$1312,0),MATCH(G$2,'Fuel Model -  Input'!$B$3:$N$3,0))</f>
        <v>50</v>
      </c>
      <c r="H2645" s="532">
        <f>+INDEX('Fuel Model -  Input'!$B$3:$N$1312,MATCH($B2645,'Fuel Model -  Input'!$B$3:$B$1312,0),MATCH(H$2,'Fuel Model -  Input'!$B$3:$N$3,0))</f>
        <v>50</v>
      </c>
      <c r="I2645" s="532">
        <f>+INDEX('Fuel Model -  Input'!$B$3:$N$1312,MATCH($B2645,'Fuel Model -  Input'!$B$3:$B$1312,0),MATCH(I$2,'Fuel Model -  Input'!$B$3:$N$3,0))</f>
        <v>50</v>
      </c>
      <c r="J2645" s="532">
        <f>+INDEX('Fuel Model -  Input'!$B$3:$N$1312,MATCH($B2645,'Fuel Model -  Input'!$B$3:$B$1312,0),MATCH(J$2,'Fuel Model -  Input'!$B$3:$N$3,0))</f>
        <v>50</v>
      </c>
      <c r="K2645" s="532">
        <f>+INDEX('Fuel Model -  Input'!$B$3:$N$1312,MATCH($B2645,'Fuel Model -  Input'!$B$3:$B$1312,0),MATCH(K$2,'Fuel Model -  Input'!$B$3:$N$3,0))</f>
        <v>50</v>
      </c>
      <c r="L2645" s="532">
        <f>+INDEX('Fuel Model -  Input'!$B$3:$N$1312,MATCH($B2645,'Fuel Model -  Input'!$B$3:$B$1312,0),MATCH(L$2,'Fuel Model -  Input'!$B$3:$N$3,0))</f>
        <v>50</v>
      </c>
      <c r="M2645" s="532">
        <f>+INDEX('Fuel Model -  Input'!$B$3:$N$1312,MATCH($B2645,'Fuel Model -  Input'!$B$3:$B$1312,0),MATCH(M$2,'Fuel Model -  Input'!$B$3:$N$3,0))</f>
        <v>50</v>
      </c>
    </row>
    <row r="2646" spans="2:13" hidden="1" outlineLevel="2" x14ac:dyDescent="0.2">
      <c r="B2646" t="str">
        <f t="shared" si="1501"/>
        <v>GlobalFeedstockConversion Dry Wood biomass : BioMethanolTon feedstock / ton fuel</v>
      </c>
      <c r="C2646" s="494" t="s">
        <v>109</v>
      </c>
      <c r="D2646" t="s">
        <v>777</v>
      </c>
      <c r="E2646" s="48" t="s">
        <v>1243</v>
      </c>
      <c r="F2646" s="128" t="s">
        <v>1241</v>
      </c>
      <c r="G2646" s="521">
        <f>+INDEX('Fuel Model -  Input'!$B$3:$N$1312,MATCH($B2646,'Fuel Model -  Input'!$B$3:$B$1312,0),MATCH(G$2,'Fuel Model -  Input'!$B$3:$N$3,0))</f>
        <v>2.4198678060787078</v>
      </c>
      <c r="H2646" s="521">
        <f>+INDEX('Fuel Model -  Input'!$B$3:$N$1312,MATCH($B2646,'Fuel Model -  Input'!$B$3:$B$1312,0),MATCH(H$2,'Fuel Model -  Input'!$B$3:$N$3,0))</f>
        <v>2.4198678060787078</v>
      </c>
      <c r="I2646" s="521">
        <f>+INDEX('Fuel Model -  Input'!$B$3:$N$1312,MATCH($B2646,'Fuel Model -  Input'!$B$3:$B$1312,0),MATCH(I$2,'Fuel Model -  Input'!$B$3:$N$3,0))</f>
        <v>2.4198678060787078</v>
      </c>
      <c r="J2646" s="521">
        <f>+INDEX('Fuel Model -  Input'!$B$3:$N$1312,MATCH($B2646,'Fuel Model -  Input'!$B$3:$B$1312,0),MATCH(J$2,'Fuel Model -  Input'!$B$3:$N$3,0))</f>
        <v>2.4198678060787078</v>
      </c>
      <c r="K2646" s="521">
        <f>+INDEX('Fuel Model -  Input'!$B$3:$N$1312,MATCH($B2646,'Fuel Model -  Input'!$B$3:$B$1312,0),MATCH(K$2,'Fuel Model -  Input'!$B$3:$N$3,0))</f>
        <v>2.4198678060787078</v>
      </c>
      <c r="L2646" s="521">
        <f>+INDEX('Fuel Model -  Input'!$B$3:$N$1312,MATCH($B2646,'Fuel Model -  Input'!$B$3:$B$1312,0),MATCH(L$2,'Fuel Model -  Input'!$B$3:$N$3,0))</f>
        <v>2.4198678060787078</v>
      </c>
      <c r="M2646" s="521">
        <f>+INDEX('Fuel Model -  Input'!$B$3:$N$1312,MATCH($B2646,'Fuel Model -  Input'!$B$3:$B$1312,0),MATCH(M$2,'Fuel Model -  Input'!$B$3:$N$3,0))</f>
        <v>2.4198678060787078</v>
      </c>
    </row>
    <row r="2647" spans="2:13" hidden="1" outlineLevel="2" x14ac:dyDescent="0.2">
      <c r="B2647" t="str">
        <f t="shared" si="1501"/>
        <v>AfricaFeedstockCost of Wood biomassUSD/ton Wood</v>
      </c>
      <c r="C2647" s="494" t="s">
        <v>200</v>
      </c>
      <c r="D2647" t="s">
        <v>777</v>
      </c>
      <c r="E2647" s="48" t="s">
        <v>1244</v>
      </c>
      <c r="F2647" s="128" t="s">
        <v>1245</v>
      </c>
      <c r="G2647" s="532">
        <f>+INDEX('Fuel Model -  Input'!$B$3:$N$1312,MATCH($B2647,'Fuel Model -  Input'!$B$3:$B$1312,0),MATCH(G$2,'Fuel Model -  Input'!$B$3:$N$3,0))</f>
        <v>116</v>
      </c>
      <c r="H2647" s="532">
        <f>+INDEX('Fuel Model -  Input'!$B$3:$N$1312,MATCH($B2647,'Fuel Model -  Input'!$B$3:$B$1312,0),MATCH(H$2,'Fuel Model -  Input'!$B$3:$N$3,0))</f>
        <v>121</v>
      </c>
      <c r="I2647" s="532">
        <f>+INDEX('Fuel Model -  Input'!$B$3:$N$1312,MATCH($B2647,'Fuel Model -  Input'!$B$3:$B$1312,0),MATCH(I$2,'Fuel Model -  Input'!$B$3:$N$3,0))</f>
        <v>126</v>
      </c>
      <c r="J2647" s="532">
        <f>+INDEX('Fuel Model -  Input'!$B$3:$N$1312,MATCH($B2647,'Fuel Model -  Input'!$B$3:$B$1312,0),MATCH(J$2,'Fuel Model -  Input'!$B$3:$N$3,0))</f>
        <v>132</v>
      </c>
      <c r="K2647" s="532">
        <f>+INDEX('Fuel Model -  Input'!$B$3:$N$1312,MATCH($B2647,'Fuel Model -  Input'!$B$3:$B$1312,0),MATCH(K$2,'Fuel Model -  Input'!$B$3:$N$3,0))</f>
        <v>137</v>
      </c>
      <c r="L2647" s="532">
        <f>+INDEX('Fuel Model -  Input'!$B$3:$N$1312,MATCH($B2647,'Fuel Model -  Input'!$B$3:$B$1312,0),MATCH(L$2,'Fuel Model -  Input'!$B$3:$N$3,0))</f>
        <v>142</v>
      </c>
      <c r="M2647" s="532">
        <f>+INDEX('Fuel Model -  Input'!$B$3:$N$1312,MATCH($B2647,'Fuel Model -  Input'!$B$3:$B$1312,0),MATCH(M$2,'Fuel Model -  Input'!$B$3:$N$3,0))</f>
        <v>147</v>
      </c>
    </row>
    <row r="2648" spans="2:13" ht="12.75" hidden="1" outlineLevel="1" x14ac:dyDescent="0.2">
      <c r="C2648" s="494"/>
      <c r="F2648"/>
    </row>
    <row r="2649" spans="2:13" ht="15" hidden="1" outlineLevel="1" x14ac:dyDescent="0.25">
      <c r="B2649" s="30" t="s">
        <v>1246</v>
      </c>
      <c r="C2649" s="30" t="str">
        <f>+B2649</f>
        <v>CO2eq intensity ton/ton Bio-methanol</v>
      </c>
      <c r="F2649"/>
      <c r="G2649" s="9"/>
    </row>
    <row r="2650" spans="2:13" ht="15" hidden="1" outlineLevel="1" collapsed="1" x14ac:dyDescent="0.25">
      <c r="B2650" s="527" t="str">
        <f>+C2650&amp;D2650&amp;E2650&amp;F2650</f>
        <v xml:space="preserve">GlobalEmissionsWTT emission - BiomethanoltonCO2eq/ ton </v>
      </c>
      <c r="C2650" s="257" t="s">
        <v>109</v>
      </c>
      <c r="D2650" s="257" t="s">
        <v>728</v>
      </c>
      <c r="E2650" s="516" t="s">
        <v>1247</v>
      </c>
      <c r="F2650" s="539" t="s">
        <v>1016</v>
      </c>
      <c r="G2650" s="566">
        <f>-G2652+G2653*G2654+G2655+G2656*G2660*G2661+G2657*G2658*G2659</f>
        <v>-1.1543863202019162</v>
      </c>
      <c r="H2650" s="566">
        <f t="shared" ref="H2650:M2650" si="1509">-H2652+H2653*H2654+H2655+H2656*H2660*H2661+H2657*H2658*H2659</f>
        <v>-1.1870545355839788</v>
      </c>
      <c r="I2650" s="566">
        <f t="shared" si="1509"/>
        <v>-1.2197315254758454</v>
      </c>
      <c r="J2650" s="566">
        <f t="shared" si="1509"/>
        <v>-1.2524085153677118</v>
      </c>
      <c r="K2650" s="566">
        <f t="shared" si="1509"/>
        <v>-1.2850855052595782</v>
      </c>
      <c r="L2650" s="566">
        <f t="shared" si="1509"/>
        <v>-1.3177624951514446</v>
      </c>
      <c r="M2650" s="566">
        <f t="shared" si="1509"/>
        <v>-1.3504394850433112</v>
      </c>
    </row>
    <row r="2651" spans="2:13" ht="12.75" hidden="1" outlineLevel="2" x14ac:dyDescent="0.2">
      <c r="F2651"/>
    </row>
    <row r="2652" spans="2:13" hidden="1" outlineLevel="2" x14ac:dyDescent="0.2">
      <c r="B2652" s="496" t="str">
        <f t="shared" ref="B2652:B2657" si="1510">+C2652&amp;D2652&amp;E2652&amp;F2652</f>
        <v>GlobalTTW CO2_MethanoltonCO2eq/ton Methanol</v>
      </c>
      <c r="C2652" s="157" t="s">
        <v>109</v>
      </c>
      <c r="D2652" s="157" t="s">
        <v>1248</v>
      </c>
      <c r="E2652" s="157" t="s">
        <v>530</v>
      </c>
      <c r="F2652" s="157" t="s">
        <v>1018</v>
      </c>
      <c r="G2652" s="567">
        <f>INDEX('Fuel Model -  Input'!$B$3:$N$373,MATCH($B2652,'Fuel Model -  Input'!$B$3:$B$373,0),MATCH(G$2,'Fuel Model -  Input'!$B$3:$N$3,0))</f>
        <v>1.375</v>
      </c>
      <c r="H2652" s="567">
        <f>INDEX('Fuel Model -  Input'!$B$3:$N$373,MATCH($B2652,'Fuel Model -  Input'!$B$3:$B$373,0),MATCH(H$2,'Fuel Model -  Input'!$B$3:$N$3,0))</f>
        <v>1.375</v>
      </c>
      <c r="I2652" s="567">
        <f>INDEX('Fuel Model -  Input'!$B$3:$N$373,MATCH($B2652,'Fuel Model -  Input'!$B$3:$B$373,0),MATCH(I$2,'Fuel Model -  Input'!$B$3:$N$3,0))</f>
        <v>1.375</v>
      </c>
      <c r="J2652" s="567">
        <f>INDEX('Fuel Model -  Input'!$B$3:$N$373,MATCH($B2652,'Fuel Model -  Input'!$B$3:$B$373,0),MATCH(J$2,'Fuel Model -  Input'!$B$3:$N$3,0))</f>
        <v>1.375</v>
      </c>
      <c r="K2652" s="567">
        <f>INDEX('Fuel Model -  Input'!$B$3:$N$373,MATCH($B2652,'Fuel Model -  Input'!$B$3:$B$373,0),MATCH(K$2,'Fuel Model -  Input'!$B$3:$N$3,0))</f>
        <v>1.375</v>
      </c>
      <c r="L2652" s="567">
        <f>INDEX('Fuel Model -  Input'!$B$3:$N$373,MATCH($B2652,'Fuel Model -  Input'!$B$3:$B$373,0),MATCH(L$2,'Fuel Model -  Input'!$B$3:$N$3,0))</f>
        <v>1.375</v>
      </c>
      <c r="M2652" s="567">
        <f>INDEX('Fuel Model -  Input'!$B$3:$N$373,MATCH($B2652,'Fuel Model -  Input'!$B$3:$B$373,0),MATCH(M$2,'Fuel Model -  Input'!$B$3:$N$3,0))</f>
        <v>1.375</v>
      </c>
    </row>
    <row r="2653" spans="2:13" hidden="1" outlineLevel="2" x14ac:dyDescent="0.2">
      <c r="B2653" s="496" t="str">
        <f t="shared" si="1510"/>
        <v>GlobalCO2intensityElectricitytonCO2eq/MWH</v>
      </c>
      <c r="C2653" t="s">
        <v>109</v>
      </c>
      <c r="D2653" t="s">
        <v>927</v>
      </c>
      <c r="E2653" t="s">
        <v>54</v>
      </c>
      <c r="F2653" t="s">
        <v>937</v>
      </c>
      <c r="G2653" s="520">
        <f>INDEX('Fuel Model -  Input'!$B$3:$N$373,MATCH($B2653,'Fuel Model -  Input'!$B$3:$B$373,0),MATCH(G$2,'Fuel Model -  Input'!$B$3:$N$3,0))</f>
        <v>5.3699999999999998E-3</v>
      </c>
      <c r="H2653" s="520">
        <f>INDEX('Fuel Model -  Input'!$B$3:$N$373,MATCH($B2653,'Fuel Model -  Input'!$B$3:$B$373,0),MATCH(H$2,'Fuel Model -  Input'!$B$3:$N$3,0))</f>
        <v>5.3699999999999998E-3</v>
      </c>
      <c r="I2653" s="520">
        <f>INDEX('Fuel Model -  Input'!$B$3:$N$373,MATCH($B2653,'Fuel Model -  Input'!$B$3:$B$373,0),MATCH(I$2,'Fuel Model -  Input'!$B$3:$N$3,0))</f>
        <v>5.3699999999999998E-3</v>
      </c>
      <c r="J2653" s="520">
        <f>INDEX('Fuel Model -  Input'!$B$3:$N$373,MATCH($B2653,'Fuel Model -  Input'!$B$3:$B$373,0),MATCH(J$2,'Fuel Model -  Input'!$B$3:$N$3,0))</f>
        <v>5.3699999999999998E-3</v>
      </c>
      <c r="K2653" s="520">
        <f>INDEX('Fuel Model -  Input'!$B$3:$N$373,MATCH($B2653,'Fuel Model -  Input'!$B$3:$B$373,0),MATCH(K$2,'Fuel Model -  Input'!$B$3:$N$3,0))</f>
        <v>5.3699999999999998E-3</v>
      </c>
      <c r="L2653" s="520">
        <f>INDEX('Fuel Model -  Input'!$B$3:$N$373,MATCH($B2653,'Fuel Model -  Input'!$B$3:$B$373,0),MATCH(L$2,'Fuel Model -  Input'!$B$3:$N$3,0))</f>
        <v>5.3699999999999998E-3</v>
      </c>
      <c r="M2653" s="520">
        <f>INDEX('Fuel Model -  Input'!$B$3:$N$373,MATCH($B2653,'Fuel Model -  Input'!$B$3:$B$373,0),MATCH(M$2,'Fuel Model -  Input'!$B$3:$N$3,0))</f>
        <v>5.3699999999999998E-3</v>
      </c>
    </row>
    <row r="2654" spans="2:13" hidden="1" outlineLevel="2" x14ac:dyDescent="0.2">
      <c r="B2654" s="496" t="str">
        <f t="shared" si="1510"/>
        <v>GlobalFeedstockBioMethanol plant Electricity demandMwH/ton fuel</v>
      </c>
      <c r="C2654" t="s">
        <v>109</v>
      </c>
      <c r="D2654" t="s">
        <v>777</v>
      </c>
      <c r="E2654" t="s">
        <v>1235</v>
      </c>
      <c r="F2654" t="s">
        <v>1236</v>
      </c>
      <c r="G2654" s="520">
        <f>INDEX('Fuel Model -  Input'!$B$3:$N$373,MATCH($B2654,'Fuel Model -  Input'!$B$3:$B$373,0),MATCH(G$2,'Fuel Model -  Input'!$B$3:$N$3,0))</f>
        <v>0.52617825903163917</v>
      </c>
      <c r="H2654" s="520">
        <f>INDEX('Fuel Model -  Input'!$B$3:$N$373,MATCH($B2654,'Fuel Model -  Input'!$B$3:$B$373,0),MATCH(H$2,'Fuel Model -  Input'!$B$3:$N$3,0))</f>
        <v>0.52617825903163917</v>
      </c>
      <c r="I2654" s="520">
        <f>INDEX('Fuel Model -  Input'!$B$3:$N$373,MATCH($B2654,'Fuel Model -  Input'!$B$3:$B$373,0),MATCH(I$2,'Fuel Model -  Input'!$B$3:$N$3,0))</f>
        <v>0.5245442721035346</v>
      </c>
      <c r="J2654" s="520">
        <f>INDEX('Fuel Model -  Input'!$B$3:$N$373,MATCH($B2654,'Fuel Model -  Input'!$B$3:$B$373,0),MATCH(J$2,'Fuel Model -  Input'!$B$3:$N$3,0))</f>
        <v>0.52291028517543003</v>
      </c>
      <c r="K2654" s="520">
        <f>INDEX('Fuel Model -  Input'!$B$3:$N$373,MATCH($B2654,'Fuel Model -  Input'!$B$3:$B$373,0),MATCH(K$2,'Fuel Model -  Input'!$B$3:$N$3,0))</f>
        <v>0.52127629824732535</v>
      </c>
      <c r="L2654" s="520">
        <f>INDEX('Fuel Model -  Input'!$B$3:$N$373,MATCH($B2654,'Fuel Model -  Input'!$B$3:$B$373,0),MATCH(L$2,'Fuel Model -  Input'!$B$3:$N$3,0))</f>
        <v>0.51964231131922078</v>
      </c>
      <c r="M2654" s="520">
        <f>INDEX('Fuel Model -  Input'!$B$3:$N$373,MATCH($B2654,'Fuel Model -  Input'!$B$3:$B$373,0),MATCH(M$2,'Fuel Model -  Input'!$B$3:$N$3,0))</f>
        <v>0.51800832439111621</v>
      </c>
    </row>
    <row r="2655" spans="2:13" hidden="1" outlineLevel="2" x14ac:dyDescent="0.2">
      <c r="B2655" s="496" t="str">
        <f t="shared" si="1510"/>
        <v>GlobalCO2intensityBiomethanol processtonCO2eq/ ton Biomethanol</v>
      </c>
      <c r="C2655" t="s">
        <v>109</v>
      </c>
      <c r="D2655" s="86" t="s">
        <v>927</v>
      </c>
      <c r="E2655" s="86" t="s">
        <v>1249</v>
      </c>
      <c r="F2655" t="s">
        <v>1250</v>
      </c>
      <c r="G2655" s="520">
        <f>INDEX('Fuel Model -  Input'!$B$3:$N$373,MATCH($B2655,'Fuel Model -  Input'!$B$3:$B$373,0),MATCH(G$2,'Fuel Model -  Input'!$B$3:$N$3,0))</f>
        <v>0</v>
      </c>
      <c r="H2655" s="520">
        <f>INDEX('Fuel Model -  Input'!$B$3:$N$373,MATCH($B2655,'Fuel Model -  Input'!$B$3:$B$373,0),MATCH(H$2,'Fuel Model -  Input'!$B$3:$N$3,0))</f>
        <v>0</v>
      </c>
      <c r="I2655" s="520">
        <f>INDEX('Fuel Model -  Input'!$B$3:$N$373,MATCH($B2655,'Fuel Model -  Input'!$B$3:$B$373,0),MATCH(I$2,'Fuel Model -  Input'!$B$3:$N$3,0))</f>
        <v>0</v>
      </c>
      <c r="J2655" s="520">
        <f>INDEX('Fuel Model -  Input'!$B$3:$N$373,MATCH($B2655,'Fuel Model -  Input'!$B$3:$B$373,0),MATCH(J$2,'Fuel Model -  Input'!$B$3:$N$3,0))</f>
        <v>0</v>
      </c>
      <c r="K2655" s="520">
        <f>INDEX('Fuel Model -  Input'!$B$3:$N$373,MATCH($B2655,'Fuel Model -  Input'!$B$3:$B$373,0),MATCH(K$2,'Fuel Model -  Input'!$B$3:$N$3,0))</f>
        <v>0</v>
      </c>
      <c r="L2655" s="520">
        <f>INDEX('Fuel Model -  Input'!$B$3:$N$373,MATCH($B2655,'Fuel Model -  Input'!$B$3:$B$373,0),MATCH(L$2,'Fuel Model -  Input'!$B$3:$N$3,0))</f>
        <v>0</v>
      </c>
      <c r="M2655" s="520">
        <f>INDEX('Fuel Model -  Input'!$B$3:$N$373,MATCH($B2655,'Fuel Model -  Input'!$B$3:$B$373,0),MATCH(M$2,'Fuel Model -  Input'!$B$3:$N$3,0))</f>
        <v>0</v>
      </c>
    </row>
    <row r="2656" spans="2:13" hidden="1" outlineLevel="2" x14ac:dyDescent="0.2">
      <c r="B2656" s="496" t="str">
        <f t="shared" si="1510"/>
        <v>GlobalFeedstockDry wood biomass market share Biomethanol%</v>
      </c>
      <c r="C2656" t="s">
        <v>109</v>
      </c>
      <c r="D2656" s="86" t="s">
        <v>777</v>
      </c>
      <c r="E2656" s="86" t="s">
        <v>1238</v>
      </c>
      <c r="F2656" t="s">
        <v>178</v>
      </c>
      <c r="G2656" s="544">
        <f>INDEX('Fuel Model -  Input'!$B$3:$N$373,MATCH($B2656,'Fuel Model -  Input'!$B$3:$B$373,0),MATCH(G$2,'Fuel Model -  Input'!$B$3:$N$3,0))</f>
        <v>0.5</v>
      </c>
      <c r="H2656" s="544">
        <f>INDEX('Fuel Model -  Input'!$B$3:$N$373,MATCH($B2656,'Fuel Model -  Input'!$B$3:$B$373,0),MATCH(H$2,'Fuel Model -  Input'!$B$3:$N$3,0))</f>
        <v>0.5</v>
      </c>
      <c r="I2656" s="544">
        <f>INDEX('Fuel Model -  Input'!$B$3:$N$373,MATCH($B2656,'Fuel Model -  Input'!$B$3:$B$373,0),MATCH(I$2,'Fuel Model -  Input'!$B$3:$N$3,0))</f>
        <v>0.5</v>
      </c>
      <c r="J2656" s="544">
        <f>INDEX('Fuel Model -  Input'!$B$3:$N$373,MATCH($B2656,'Fuel Model -  Input'!$B$3:$B$373,0),MATCH(J$2,'Fuel Model -  Input'!$B$3:$N$3,0))</f>
        <v>0.5</v>
      </c>
      <c r="K2656" s="544">
        <f>INDEX('Fuel Model -  Input'!$B$3:$N$373,MATCH($B2656,'Fuel Model -  Input'!$B$3:$B$373,0),MATCH(K$2,'Fuel Model -  Input'!$B$3:$N$3,0))</f>
        <v>0.5</v>
      </c>
      <c r="L2656" s="544">
        <f>INDEX('Fuel Model -  Input'!$B$3:$N$373,MATCH($B2656,'Fuel Model -  Input'!$B$3:$B$373,0),MATCH(L$2,'Fuel Model -  Input'!$B$3:$N$3,0))</f>
        <v>0.5</v>
      </c>
      <c r="M2656" s="544">
        <f>INDEX('Fuel Model -  Input'!$B$3:$N$373,MATCH($B2656,'Fuel Model -  Input'!$B$3:$B$373,0),MATCH(M$2,'Fuel Model -  Input'!$B$3:$N$3,0))</f>
        <v>0.5</v>
      </c>
    </row>
    <row r="2657" spans="2:14" hidden="1" outlineLevel="2" x14ac:dyDescent="0.2">
      <c r="B2657" s="496" t="str">
        <f t="shared" si="1510"/>
        <v>GlobalFeedstockOrganic wet wate market share Biomethanol%</v>
      </c>
      <c r="C2657" t="s">
        <v>109</v>
      </c>
      <c r="D2657" s="86" t="s">
        <v>777</v>
      </c>
      <c r="E2657" s="86" t="s">
        <v>1239</v>
      </c>
      <c r="F2657" t="s">
        <v>178</v>
      </c>
      <c r="G2657" s="544">
        <f>INDEX('Fuel Model -  Input'!$B$3:$N$373,MATCH($B2657,'Fuel Model -  Input'!$B$3:$B$373,0),MATCH(G$2,'Fuel Model -  Input'!$B$3:$N$3,0))</f>
        <v>0.5</v>
      </c>
      <c r="H2657" s="544">
        <f>INDEX('Fuel Model -  Input'!$B$3:$N$373,MATCH($B2657,'Fuel Model -  Input'!$B$3:$B$373,0),MATCH(H$2,'Fuel Model -  Input'!$B$3:$N$3,0))</f>
        <v>0.5</v>
      </c>
      <c r="I2657" s="544">
        <f>INDEX('Fuel Model -  Input'!$B$3:$N$373,MATCH($B2657,'Fuel Model -  Input'!$B$3:$B$373,0),MATCH(I$2,'Fuel Model -  Input'!$B$3:$N$3,0))</f>
        <v>0.5</v>
      </c>
      <c r="J2657" s="544">
        <f>INDEX('Fuel Model -  Input'!$B$3:$N$373,MATCH($B2657,'Fuel Model -  Input'!$B$3:$B$373,0),MATCH(J$2,'Fuel Model -  Input'!$B$3:$N$3,0))</f>
        <v>0.5</v>
      </c>
      <c r="K2657" s="544">
        <f>INDEX('Fuel Model -  Input'!$B$3:$N$373,MATCH($B2657,'Fuel Model -  Input'!$B$3:$B$373,0),MATCH(K$2,'Fuel Model -  Input'!$B$3:$N$3,0))</f>
        <v>0.5</v>
      </c>
      <c r="L2657" s="544">
        <f>INDEX('Fuel Model -  Input'!$B$3:$N$373,MATCH($B2657,'Fuel Model -  Input'!$B$3:$B$373,0),MATCH(L$2,'Fuel Model -  Input'!$B$3:$N$3,0))</f>
        <v>0.5</v>
      </c>
      <c r="M2657" s="544">
        <f>INDEX('Fuel Model -  Input'!$B$3:$N$373,MATCH($B2657,'Fuel Model -  Input'!$B$3:$B$373,0),MATCH(M$2,'Fuel Model -  Input'!$B$3:$N$3,0))</f>
        <v>0.5</v>
      </c>
    </row>
    <row r="2658" spans="2:14" hidden="1" outlineLevel="2" x14ac:dyDescent="0.2">
      <c r="B2658" s="496" t="str">
        <f t="shared" ref="B2658:B2659" si="1511">+C2658&amp;D2658&amp;E2658&amp;F2658</f>
        <v>GlobalFeedstockConversion Organic wet waste : BioMethanolTon feedstock / ton fuel</v>
      </c>
      <c r="C2658" t="s">
        <v>109</v>
      </c>
      <c r="D2658" t="s">
        <v>777</v>
      </c>
      <c r="E2658" t="s">
        <v>1240</v>
      </c>
      <c r="F2658" t="s">
        <v>1241</v>
      </c>
      <c r="G2658" s="520">
        <f>INDEX('Fuel Model -  Input'!$B$3:$N$373,MATCH($B2658,'Fuel Model -  Input'!$B$3:$B$373,0),MATCH(G$2,'Fuel Model -  Input'!$B$3:$N$3,0))</f>
        <v>2.4198678060787078</v>
      </c>
      <c r="H2658" s="520">
        <f>INDEX('Fuel Model -  Input'!$B$3:$N$373,MATCH($B2658,'Fuel Model -  Input'!$B$3:$B$373,0),MATCH(H$2,'Fuel Model -  Input'!$B$3:$N$3,0))</f>
        <v>2.4198678060787078</v>
      </c>
      <c r="I2658" s="520">
        <f>INDEX('Fuel Model -  Input'!$B$3:$N$373,MATCH($B2658,'Fuel Model -  Input'!$B$3:$B$373,0),MATCH(I$2,'Fuel Model -  Input'!$B$3:$N$3,0))</f>
        <v>2.4198678060787078</v>
      </c>
      <c r="J2658" s="520">
        <f>INDEX('Fuel Model -  Input'!$B$3:$N$373,MATCH($B2658,'Fuel Model -  Input'!$B$3:$B$373,0),MATCH(J$2,'Fuel Model -  Input'!$B$3:$N$3,0))</f>
        <v>2.4198678060787078</v>
      </c>
      <c r="K2658" s="520">
        <f>INDEX('Fuel Model -  Input'!$B$3:$N$373,MATCH($B2658,'Fuel Model -  Input'!$B$3:$B$373,0),MATCH(K$2,'Fuel Model -  Input'!$B$3:$N$3,0))</f>
        <v>2.4198678060787078</v>
      </c>
      <c r="L2658" s="520">
        <f>INDEX('Fuel Model -  Input'!$B$3:$N$373,MATCH($B2658,'Fuel Model -  Input'!$B$3:$B$373,0),MATCH(L$2,'Fuel Model -  Input'!$B$3:$N$3,0))</f>
        <v>2.4198678060787078</v>
      </c>
      <c r="M2658" s="520">
        <f>INDEX('Fuel Model -  Input'!$B$3:$N$373,MATCH($B2658,'Fuel Model -  Input'!$B$3:$B$373,0),MATCH(M$2,'Fuel Model -  Input'!$B$3:$N$3,0))</f>
        <v>2.4198678060787078</v>
      </c>
    </row>
    <row r="2659" spans="2:14" hidden="1" outlineLevel="2" x14ac:dyDescent="0.2">
      <c r="B2659" s="496" t="str">
        <f t="shared" si="1511"/>
        <v>GlobalCO2intensityWTT Organic wet wastetonCO2eq/ton</v>
      </c>
      <c r="C2659" t="s">
        <v>109</v>
      </c>
      <c r="D2659" s="530" t="s">
        <v>927</v>
      </c>
      <c r="E2659" s="530" t="s">
        <v>1251</v>
      </c>
      <c r="F2659" s="157" t="s">
        <v>1252</v>
      </c>
      <c r="G2659" s="520">
        <f>INDEX('Fuel Model -  Input'!$B$3:$N$373,MATCH($B2659,'Fuel Model -  Input'!$B$3:$B$373,0),MATCH(G$2,'Fuel Model -  Input'!$B$3:$N$3,0))</f>
        <v>0.09</v>
      </c>
      <c r="H2659" s="520">
        <f>INDEX('Fuel Model -  Input'!$B$3:$N$373,MATCH($B2659,'Fuel Model -  Input'!$B$3:$B$373,0),MATCH(H$2,'Fuel Model -  Input'!$B$3:$N$3,0))</f>
        <v>7.6499999999999999E-2</v>
      </c>
      <c r="I2659" s="520">
        <f>INDEX('Fuel Model -  Input'!$B$3:$N$373,MATCH($B2659,'Fuel Model -  Input'!$B$3:$B$373,0),MATCH(I$2,'Fuel Model -  Input'!$B$3:$N$3,0))</f>
        <v>6.3E-2</v>
      </c>
      <c r="J2659" s="520">
        <f>INDEX('Fuel Model -  Input'!$B$3:$N$373,MATCH($B2659,'Fuel Model -  Input'!$B$3:$B$373,0),MATCH(J$2,'Fuel Model -  Input'!$B$3:$N$3,0))</f>
        <v>4.9499999999999995E-2</v>
      </c>
      <c r="K2659" s="520">
        <f>INDEX('Fuel Model -  Input'!$B$3:$N$373,MATCH($B2659,'Fuel Model -  Input'!$B$3:$B$373,0),MATCH(K$2,'Fuel Model -  Input'!$B$3:$N$3,0))</f>
        <v>3.599999999999999E-2</v>
      </c>
      <c r="L2659" s="520">
        <f>INDEX('Fuel Model -  Input'!$B$3:$N$373,MATCH($B2659,'Fuel Model -  Input'!$B$3:$B$373,0),MATCH(L$2,'Fuel Model -  Input'!$B$3:$N$3,0))</f>
        <v>2.2499999999999992E-2</v>
      </c>
      <c r="M2659" s="520">
        <f>INDEX('Fuel Model -  Input'!$B$3:$N$373,MATCH($B2659,'Fuel Model -  Input'!$B$3:$B$373,0),MATCH(M$2,'Fuel Model -  Input'!$B$3:$N$3,0))</f>
        <v>8.9999999999999993E-3</v>
      </c>
    </row>
    <row r="2660" spans="2:14" hidden="1" outlineLevel="2" x14ac:dyDescent="0.2">
      <c r="B2660" s="496" t="str">
        <f>+C2660&amp;D2660&amp;E2660&amp;F2660</f>
        <v>GlobalFeedstockConversion Dry Wood biomass : BioMethanolTon feedstock / ton fuel</v>
      </c>
      <c r="C2660" t="s">
        <v>109</v>
      </c>
      <c r="D2660" t="s">
        <v>777</v>
      </c>
      <c r="E2660" t="s">
        <v>1243</v>
      </c>
      <c r="F2660" t="s">
        <v>1241</v>
      </c>
      <c r="G2660" s="520">
        <f>INDEX('Fuel Model -  Input'!$B$3:$N$373,MATCH($B2660,'Fuel Model -  Input'!$B$3:$B$373,0),MATCH(G$2,'Fuel Model -  Input'!$B$3:$N$3,0))</f>
        <v>2.4198678060787078</v>
      </c>
      <c r="H2660" s="520">
        <f>INDEX('Fuel Model -  Input'!$B$3:$N$373,MATCH($B2660,'Fuel Model -  Input'!$B$3:$B$373,0),MATCH(H$2,'Fuel Model -  Input'!$B$3:$N$3,0))</f>
        <v>2.4198678060787078</v>
      </c>
      <c r="I2660" s="520">
        <f>INDEX('Fuel Model -  Input'!$B$3:$N$373,MATCH($B2660,'Fuel Model -  Input'!$B$3:$B$373,0),MATCH(I$2,'Fuel Model -  Input'!$B$3:$N$3,0))</f>
        <v>2.4198678060787078</v>
      </c>
      <c r="J2660" s="520">
        <f>INDEX('Fuel Model -  Input'!$B$3:$N$373,MATCH($B2660,'Fuel Model -  Input'!$B$3:$B$373,0),MATCH(J$2,'Fuel Model -  Input'!$B$3:$N$3,0))</f>
        <v>2.4198678060787078</v>
      </c>
      <c r="K2660" s="520">
        <f>INDEX('Fuel Model -  Input'!$B$3:$N$373,MATCH($B2660,'Fuel Model -  Input'!$B$3:$B$373,0),MATCH(K$2,'Fuel Model -  Input'!$B$3:$N$3,0))</f>
        <v>2.4198678060787078</v>
      </c>
      <c r="L2660" s="520">
        <f>INDEX('Fuel Model -  Input'!$B$3:$N$373,MATCH($B2660,'Fuel Model -  Input'!$B$3:$B$373,0),MATCH(L$2,'Fuel Model -  Input'!$B$3:$N$3,0))</f>
        <v>2.4198678060787078</v>
      </c>
      <c r="M2660" s="520">
        <f>INDEX('Fuel Model -  Input'!$B$3:$N$373,MATCH($B2660,'Fuel Model -  Input'!$B$3:$B$373,0),MATCH(M$2,'Fuel Model -  Input'!$B$3:$N$3,0))</f>
        <v>2.4198678060787078</v>
      </c>
    </row>
    <row r="2661" spans="2:14" hidden="1" outlineLevel="2" x14ac:dyDescent="0.2">
      <c r="B2661" s="496" t="str">
        <f>+C2661&amp;D2661&amp;E2661&amp;F2661</f>
        <v>GlobalCO2intensityWTT Wood biomasstonCO2eq/ton</v>
      </c>
      <c r="C2661" s="157" t="s">
        <v>109</v>
      </c>
      <c r="D2661" s="530" t="s">
        <v>927</v>
      </c>
      <c r="E2661" s="530" t="s">
        <v>1253</v>
      </c>
      <c r="F2661" s="157" t="s">
        <v>1252</v>
      </c>
      <c r="G2661" s="520">
        <f>INDEX('Fuel Model -  Input'!$B$3:$N$373,MATCH($B2661,'Fuel Model -  Input'!$B$3:$B$373,0),MATCH(G$2,'Fuel Model -  Input'!$B$3:$N$3,0))</f>
        <v>0.09</v>
      </c>
      <c r="H2661" s="520">
        <f>INDEX('Fuel Model -  Input'!$B$3:$N$373,MATCH($B2661,'Fuel Model -  Input'!$B$3:$B$373,0),MATCH(H$2,'Fuel Model -  Input'!$B$3:$N$3,0))</f>
        <v>7.6499999999999999E-2</v>
      </c>
      <c r="I2661" s="520">
        <f>INDEX('Fuel Model -  Input'!$B$3:$N$373,MATCH($B2661,'Fuel Model -  Input'!$B$3:$B$373,0),MATCH(I$2,'Fuel Model -  Input'!$B$3:$N$3,0))</f>
        <v>6.3E-2</v>
      </c>
      <c r="J2661" s="520">
        <f>INDEX('Fuel Model -  Input'!$B$3:$N$373,MATCH($B2661,'Fuel Model -  Input'!$B$3:$B$373,0),MATCH(J$2,'Fuel Model -  Input'!$B$3:$N$3,0))</f>
        <v>4.9499999999999995E-2</v>
      </c>
      <c r="K2661" s="520">
        <f>INDEX('Fuel Model -  Input'!$B$3:$N$373,MATCH($B2661,'Fuel Model -  Input'!$B$3:$B$373,0),MATCH(K$2,'Fuel Model -  Input'!$B$3:$N$3,0))</f>
        <v>3.599999999999999E-2</v>
      </c>
      <c r="L2661" s="520">
        <f>INDEX('Fuel Model -  Input'!$B$3:$N$373,MATCH($B2661,'Fuel Model -  Input'!$B$3:$B$373,0),MATCH(L$2,'Fuel Model -  Input'!$B$3:$N$3,0))</f>
        <v>2.2499999999999992E-2</v>
      </c>
      <c r="M2661" s="520">
        <f>INDEX('Fuel Model -  Input'!$B$3:$N$373,MATCH($B2661,'Fuel Model -  Input'!$B$3:$B$373,0),MATCH(M$2,'Fuel Model -  Input'!$B$3:$N$3,0))</f>
        <v>8.9999999999999993E-3</v>
      </c>
    </row>
    <row r="2662" spans="2:14" ht="12.75" hidden="1" outlineLevel="1" x14ac:dyDescent="0.2">
      <c r="F2662"/>
    </row>
    <row r="2663" spans="2:14" ht="15" hidden="1" outlineLevel="1" x14ac:dyDescent="0.25">
      <c r="B2663" s="30" t="s">
        <v>1254</v>
      </c>
      <c r="C2663" s="30" t="str">
        <f>+B2663</f>
        <v>Primary energy efficiency - bio Methanol</v>
      </c>
      <c r="F2663"/>
    </row>
    <row r="2664" spans="2:14" ht="15" hidden="1" outlineLevel="1" collapsed="1" x14ac:dyDescent="0.25">
      <c r="B2664" s="541" t="str">
        <f>+C2664&amp;D2664&amp;E2664&amp;F2664</f>
        <v>GlobalResultsAverage Primary EE of Biomethanol%</v>
      </c>
      <c r="C2664" s="516" t="s">
        <v>109</v>
      </c>
      <c r="D2664" s="516" t="s">
        <v>838</v>
      </c>
      <c r="E2664" s="516" t="s">
        <v>1255</v>
      </c>
      <c r="F2664" s="512" t="s">
        <v>178</v>
      </c>
      <c r="G2664" s="529">
        <f t="shared" ref="G2664:M2664" si="1512">1*G2667/(G2666*G2550)</f>
        <v>0.38249254485049838</v>
      </c>
      <c r="H2664" s="529">
        <f t="shared" si="1512"/>
        <v>0.38249254485049838</v>
      </c>
      <c r="I2664" s="529">
        <f t="shared" si="1512"/>
        <v>0.38249254485049838</v>
      </c>
      <c r="J2664" s="529">
        <f t="shared" si="1512"/>
        <v>0.38249254485049838</v>
      </c>
      <c r="K2664" s="529">
        <f t="shared" si="1512"/>
        <v>0.38249254485049838</v>
      </c>
      <c r="L2664" s="529">
        <f t="shared" si="1512"/>
        <v>0.38249254485049838</v>
      </c>
      <c r="M2664" s="529">
        <f t="shared" si="1512"/>
        <v>0.38249254485049838</v>
      </c>
    </row>
    <row r="2665" spans="2:14" hidden="1" outlineLevel="2" x14ac:dyDescent="0.2">
      <c r="B2665" s="496"/>
      <c r="C2665" s="157"/>
      <c r="D2665" s="157"/>
      <c r="E2665" s="157"/>
      <c r="G2665" s="530"/>
      <c r="H2665" s="530"/>
      <c r="I2665" s="530"/>
      <c r="J2665" s="530"/>
      <c r="K2665" s="530"/>
      <c r="L2665" s="530"/>
      <c r="M2665" s="530"/>
    </row>
    <row r="2666" spans="2:14" hidden="1" outlineLevel="2" x14ac:dyDescent="0.2">
      <c r="B2666" s="496" t="str">
        <f>+C2666&amp;D2666&amp;E2666&amp;F2666</f>
        <v>GlobalLHVLHV dry wood BiomassMJ/ ton</v>
      </c>
      <c r="C2666" s="157" t="s">
        <v>109</v>
      </c>
      <c r="D2666" s="157" t="s">
        <v>582</v>
      </c>
      <c r="E2666" s="157" t="s">
        <v>1256</v>
      </c>
      <c r="F2666" s="157" t="s">
        <v>583</v>
      </c>
      <c r="G2666" s="524">
        <f>+INDEX('Fuel Model -  Input'!$B$3:$N$1312,MATCH($B2666,'Fuel Model -  Input'!$B$3:$B$1312,0),MATCH(G$2,'Fuel Model -  Input'!$B$3:$N$3,0))</f>
        <v>21500</v>
      </c>
      <c r="H2666" s="524">
        <f>+INDEX('Fuel Model -  Input'!$B$3:$N$1312,MATCH($B2666,'Fuel Model -  Input'!$B$3:$B$1312,0),MATCH(H$2,'Fuel Model -  Input'!$B$3:$N$3,0))</f>
        <v>21500</v>
      </c>
      <c r="I2666" s="524">
        <f>+INDEX('Fuel Model -  Input'!$B$3:$N$1312,MATCH($B2666,'Fuel Model -  Input'!$B$3:$B$1312,0),MATCH(I$2,'Fuel Model -  Input'!$B$3:$N$3,0))</f>
        <v>21500</v>
      </c>
      <c r="J2666" s="524">
        <f>+INDEX('Fuel Model -  Input'!$B$3:$N$1312,MATCH($B2666,'Fuel Model -  Input'!$B$3:$B$1312,0),MATCH(J$2,'Fuel Model -  Input'!$B$3:$N$3,0))</f>
        <v>21500</v>
      </c>
      <c r="K2666" s="524">
        <f>+INDEX('Fuel Model -  Input'!$B$3:$N$1312,MATCH($B2666,'Fuel Model -  Input'!$B$3:$B$1312,0),MATCH(K$2,'Fuel Model -  Input'!$B$3:$N$3,0))</f>
        <v>21500</v>
      </c>
      <c r="L2666" s="524">
        <f>+INDEX('Fuel Model -  Input'!$B$3:$N$1312,MATCH($B2666,'Fuel Model -  Input'!$B$3:$B$1312,0),MATCH(L$2,'Fuel Model -  Input'!$B$3:$N$3,0))</f>
        <v>21500</v>
      </c>
      <c r="M2666" s="524">
        <f>+INDEX('Fuel Model -  Input'!$B$3:$N$1312,MATCH($B2666,'Fuel Model -  Input'!$B$3:$B$1312,0),MATCH(M$2,'Fuel Model -  Input'!$B$3:$N$3,0))</f>
        <v>21500</v>
      </c>
    </row>
    <row r="2667" spans="2:14" hidden="1" outlineLevel="2" x14ac:dyDescent="0.2">
      <c r="B2667" s="496" t="str">
        <f>+C2667&amp;D2667&amp;E2667&amp;F2667</f>
        <v>GlobalLHVBiomethanolMJ/ ton</v>
      </c>
      <c r="C2667" s="157" t="s">
        <v>109</v>
      </c>
      <c r="D2667" s="157" t="s">
        <v>582</v>
      </c>
      <c r="E2667" s="157" t="s">
        <v>586</v>
      </c>
      <c r="F2667" s="157" t="s">
        <v>583</v>
      </c>
      <c r="G2667" s="524">
        <f>+INDEX('Fuel Model -  Input'!$B$3:$N$1312,MATCH($B2667,'Fuel Model -  Input'!$B$3:$B$1312,0),MATCH(G$2,'Fuel Model -  Input'!$B$3:$N$3,0))</f>
        <v>19900</v>
      </c>
      <c r="H2667" s="524">
        <f>+INDEX('Fuel Model -  Input'!$B$3:$N$1312,MATCH($B2667,'Fuel Model -  Input'!$B$3:$B$1312,0),MATCH(H$2,'Fuel Model -  Input'!$B$3:$N$3,0))</f>
        <v>19900</v>
      </c>
      <c r="I2667" s="524">
        <f>+INDEX('Fuel Model -  Input'!$B$3:$N$1312,MATCH($B2667,'Fuel Model -  Input'!$B$3:$B$1312,0),MATCH(I$2,'Fuel Model -  Input'!$B$3:$N$3,0))</f>
        <v>19900</v>
      </c>
      <c r="J2667" s="524">
        <f>+INDEX('Fuel Model -  Input'!$B$3:$N$1312,MATCH($B2667,'Fuel Model -  Input'!$B$3:$B$1312,0),MATCH(J$2,'Fuel Model -  Input'!$B$3:$N$3,0))</f>
        <v>19900</v>
      </c>
      <c r="K2667" s="524">
        <f>+INDEX('Fuel Model -  Input'!$B$3:$N$1312,MATCH($B2667,'Fuel Model -  Input'!$B$3:$B$1312,0),MATCH(K$2,'Fuel Model -  Input'!$B$3:$N$3,0))</f>
        <v>19900</v>
      </c>
      <c r="L2667" s="524">
        <f>+INDEX('Fuel Model -  Input'!$B$3:$N$1312,MATCH($B2667,'Fuel Model -  Input'!$B$3:$B$1312,0),MATCH(L$2,'Fuel Model -  Input'!$B$3:$N$3,0))</f>
        <v>19900</v>
      </c>
      <c r="M2667" s="524">
        <f>+INDEX('Fuel Model -  Input'!$B$3:$N$1312,MATCH($B2667,'Fuel Model -  Input'!$B$3:$B$1312,0),MATCH(M$2,'Fuel Model -  Input'!$B$3:$N$3,0))</f>
        <v>19900</v>
      </c>
    </row>
    <row r="2668" spans="2:14" ht="12.75" hidden="1" outlineLevel="1" x14ac:dyDescent="0.2">
      <c r="F2668"/>
    </row>
    <row r="2669" spans="2:14" ht="15" thickBot="1" x14ac:dyDescent="0.25"/>
    <row r="2670" spans="2:14" ht="15.75" collapsed="1" thickBot="1" x14ac:dyDescent="0.3">
      <c r="B2670" s="561" t="s">
        <v>118</v>
      </c>
      <c r="C2670" s="562" t="str">
        <f>+B2670</f>
        <v>Biomethane</v>
      </c>
      <c r="D2670" s="563"/>
      <c r="E2670" s="563"/>
      <c r="F2670" s="563"/>
      <c r="G2670" s="744">
        <v>2020</v>
      </c>
      <c r="H2670" s="744">
        <v>2025</v>
      </c>
      <c r="I2670" s="744">
        <v>2030</v>
      </c>
      <c r="J2670" s="744">
        <v>2035</v>
      </c>
      <c r="K2670" s="744">
        <v>2040</v>
      </c>
      <c r="L2670" s="744">
        <v>2045</v>
      </c>
      <c r="M2670" s="745">
        <v>2050</v>
      </c>
    </row>
    <row r="2671" spans="2:14" ht="15" hidden="1" outlineLevel="1" x14ac:dyDescent="0.25">
      <c r="B2671" t="str">
        <f>+C2671&amp;D2671&amp;E2671&amp;F2671</f>
        <v>EuropeResultsCost of biomethaneUSD/ton</v>
      </c>
      <c r="C2671" t="s">
        <v>195</v>
      </c>
      <c r="D2671" t="s">
        <v>838</v>
      </c>
      <c r="E2671" s="30" t="s">
        <v>1257</v>
      </c>
      <c r="F2671" s="522" t="s">
        <v>205</v>
      </c>
      <c r="G2671" s="8">
        <f t="shared" ref="G2671:M2671" si="1513">+G2678</f>
        <v>1254.5189240573652</v>
      </c>
      <c r="H2671" s="8">
        <f t="shared" si="1513"/>
        <v>1146.0170143731482</v>
      </c>
      <c r="I2671" s="8">
        <f t="shared" si="1513"/>
        <v>1066.7277132912959</v>
      </c>
      <c r="J2671" s="8">
        <f t="shared" si="1513"/>
        <v>998.90910731606436</v>
      </c>
      <c r="K2671" s="8">
        <f t="shared" si="1513"/>
        <v>932.75713261766077</v>
      </c>
      <c r="L2671" s="8">
        <f t="shared" si="1513"/>
        <v>866.38105287036149</v>
      </c>
      <c r="M2671" s="8">
        <f t="shared" si="1513"/>
        <v>800.71659673602551</v>
      </c>
      <c r="N2671" s="93"/>
    </row>
    <row r="2672" spans="2:14" ht="15" hidden="1" outlineLevel="1" x14ac:dyDescent="0.25">
      <c r="B2672" t="str">
        <f>+C2672&amp;D2672&amp;E2672&amp;F2672</f>
        <v>Middle EastResultsCost of biomethaneUSD/ton</v>
      </c>
      <c r="C2672" t="s">
        <v>197</v>
      </c>
      <c r="D2672" t="s">
        <v>838</v>
      </c>
      <c r="E2672" s="30" t="s">
        <v>1257</v>
      </c>
      <c r="F2672" s="522" t="s">
        <v>205</v>
      </c>
      <c r="G2672" s="8">
        <f t="shared" ref="G2672:M2672" si="1514">G2701</f>
        <v>1228.9051013363401</v>
      </c>
      <c r="H2672" s="8">
        <f t="shared" si="1514"/>
        <v>1129.1045956917369</v>
      </c>
      <c r="I2672" s="8">
        <f t="shared" si="1514"/>
        <v>1051.1343315629933</v>
      </c>
      <c r="J2672" s="8">
        <f t="shared" si="1514"/>
        <v>984.50381437891167</v>
      </c>
      <c r="K2672" s="8">
        <f t="shared" si="1514"/>
        <v>920.1401923818579</v>
      </c>
      <c r="L2672" s="8">
        <f t="shared" si="1514"/>
        <v>854.99700376464489</v>
      </c>
      <c r="M2672" s="8">
        <f t="shared" si="1514"/>
        <v>791.47482596122586</v>
      </c>
    </row>
    <row r="2673" spans="2:14" ht="15" hidden="1" outlineLevel="1" x14ac:dyDescent="0.25">
      <c r="B2673" t="str">
        <f>+C2673&amp;D2673&amp;E2673&amp;F2673</f>
        <v>AsiaResultsCost of biomethaneUSD/ton</v>
      </c>
      <c r="C2673" t="s">
        <v>198</v>
      </c>
      <c r="D2673" t="s">
        <v>838</v>
      </c>
      <c r="E2673" s="30" t="s">
        <v>1257</v>
      </c>
      <c r="F2673" s="522" t="s">
        <v>205</v>
      </c>
      <c r="G2673" s="8">
        <f t="shared" ref="G2673:M2673" si="1515">G2724</f>
        <v>1282.7677903683307</v>
      </c>
      <c r="H2673" s="8">
        <f t="shared" si="1515"/>
        <v>1157.8865856440693</v>
      </c>
      <c r="I2673" s="8">
        <f t="shared" si="1515"/>
        <v>1073.3647385032984</v>
      </c>
      <c r="J2673" s="8">
        <f t="shared" si="1515"/>
        <v>1002.0179213579063</v>
      </c>
      <c r="K2673" s="8">
        <f t="shared" si="1515"/>
        <v>934.74617299687588</v>
      </c>
      <c r="L2673" s="8">
        <f t="shared" si="1515"/>
        <v>867.19643949903082</v>
      </c>
      <c r="M2673" s="8">
        <f t="shared" si="1515"/>
        <v>802.08400327428262</v>
      </c>
    </row>
    <row r="2674" spans="2:14" ht="15" hidden="1" outlineLevel="1" x14ac:dyDescent="0.25">
      <c r="B2674" t="str">
        <f>+C2674&amp;D2674&amp;E2674&amp;F2674</f>
        <v>AmericasResultsCost of biomethaneUSD/ton</v>
      </c>
      <c r="C2674" t="s">
        <v>199</v>
      </c>
      <c r="D2674" t="s">
        <v>838</v>
      </c>
      <c r="E2674" s="30" t="s">
        <v>1257</v>
      </c>
      <c r="F2674" s="522" t="s">
        <v>205</v>
      </c>
      <c r="G2674" s="8">
        <f t="shared" ref="G2674:M2674" si="1516">G2747</f>
        <v>1193.8819192451033</v>
      </c>
      <c r="H2674" s="8">
        <f t="shared" si="1516"/>
        <v>1123.4308416932918</v>
      </c>
      <c r="I2674" s="8">
        <f t="shared" si="1516"/>
        <v>1053.1210866223271</v>
      </c>
      <c r="J2674" s="8">
        <f t="shared" si="1516"/>
        <v>987.45421697747906</v>
      </c>
      <c r="K2674" s="8">
        <f t="shared" si="1516"/>
        <v>921.84578134349408</v>
      </c>
      <c r="L2674" s="8">
        <f t="shared" si="1516"/>
        <v>858.04614042905257</v>
      </c>
      <c r="M2674" s="8">
        <f t="shared" si="1516"/>
        <v>794.53654681203363</v>
      </c>
    </row>
    <row r="2675" spans="2:14" ht="15" hidden="1" outlineLevel="1" x14ac:dyDescent="0.25">
      <c r="B2675" t="str">
        <f>+C2675&amp;D2675&amp;E2675&amp;F2675</f>
        <v>AfricaResultsCost of biomethaneUSD/ton</v>
      </c>
      <c r="C2675" t="s">
        <v>200</v>
      </c>
      <c r="D2675" t="s">
        <v>838</v>
      </c>
      <c r="E2675" s="30" t="s">
        <v>1257</v>
      </c>
      <c r="F2675" s="522" t="s">
        <v>205</v>
      </c>
      <c r="G2675" s="8">
        <f t="shared" ref="G2675:M2675" si="1517">G2770</f>
        <v>1283.5686193713584</v>
      </c>
      <c r="H2675" s="8">
        <f t="shared" si="1517"/>
        <v>1146.6166680786964</v>
      </c>
      <c r="I2675" s="8">
        <f t="shared" si="1517"/>
        <v>1065.9513723190551</v>
      </c>
      <c r="J2675" s="8">
        <f t="shared" si="1517"/>
        <v>995.87947697062123</v>
      </c>
      <c r="K2675" s="8">
        <f t="shared" si="1517"/>
        <v>929.1809104254362</v>
      </c>
      <c r="L2675" s="8">
        <f t="shared" si="1517"/>
        <v>862.34262489380842</v>
      </c>
      <c r="M2675" s="8">
        <f t="shared" si="1517"/>
        <v>797.09978651504684</v>
      </c>
    </row>
    <row r="2676" spans="2:14" ht="12.75" hidden="1" outlineLevel="1" x14ac:dyDescent="0.2">
      <c r="F2676"/>
    </row>
    <row r="2677" spans="2:14" s="30" customFormat="1" ht="15" hidden="1" outlineLevel="1" collapsed="1" x14ac:dyDescent="0.25">
      <c r="B2677" s="30" t="s">
        <v>195</v>
      </c>
      <c r="C2677" s="30" t="str">
        <f>+B2677</f>
        <v>Europe</v>
      </c>
    </row>
    <row r="2678" spans="2:14" ht="15" hidden="1" outlineLevel="3" x14ac:dyDescent="0.25">
      <c r="B2678" t="str">
        <f>+C2678&amp;D2678&amp;E2678&amp;F2678</f>
        <v>EuropeResultsTotal cost of biomethaneUSD/ton</v>
      </c>
      <c r="C2678" t="str">
        <f>+$C$2677</f>
        <v>Europe</v>
      </c>
      <c r="D2678" s="30" t="s">
        <v>838</v>
      </c>
      <c r="E2678" s="405" t="s">
        <v>1258</v>
      </c>
      <c r="F2678" s="127" t="s">
        <v>205</v>
      </c>
      <c r="G2678" s="490">
        <f>+SUM(G2679:G2681)</f>
        <v>1254.5189240573652</v>
      </c>
      <c r="H2678" s="490">
        <f t="shared" ref="H2678:M2678" si="1518">+SUM(H2679:H2681)</f>
        <v>1146.0170143731482</v>
      </c>
      <c r="I2678" s="490">
        <f t="shared" si="1518"/>
        <v>1066.7277132912959</v>
      </c>
      <c r="J2678" s="490">
        <f t="shared" si="1518"/>
        <v>998.90910731606436</v>
      </c>
      <c r="K2678" s="490">
        <f t="shared" si="1518"/>
        <v>932.75713261766077</v>
      </c>
      <c r="L2678" s="490">
        <f t="shared" si="1518"/>
        <v>866.38105287036149</v>
      </c>
      <c r="M2678" s="490">
        <f t="shared" si="1518"/>
        <v>800.71659673602551</v>
      </c>
    </row>
    <row r="2679" spans="2:14" ht="15" hidden="1" outlineLevel="3" x14ac:dyDescent="0.25">
      <c r="B2679" t="str">
        <f>+C2679&amp;D2679&amp;E2679&amp;F2679</f>
        <v>EuropeResultsTotal Capex biomethaneUSD/ton</v>
      </c>
      <c r="C2679" t="str">
        <f>+$C$2677</f>
        <v>Europe</v>
      </c>
      <c r="D2679" s="30" t="s">
        <v>838</v>
      </c>
      <c r="E2679" s="228" t="s">
        <v>1259</v>
      </c>
      <c r="F2679" s="127" t="s">
        <v>205</v>
      </c>
      <c r="G2679" s="490">
        <f>+G2692</f>
        <v>572.92139234957222</v>
      </c>
      <c r="H2679" s="490">
        <f t="shared" ref="H2679:M2679" si="1519">+H2692</f>
        <v>535.20819791503743</v>
      </c>
      <c r="I2679" s="490">
        <f t="shared" si="1519"/>
        <v>497.49500348050253</v>
      </c>
      <c r="J2679" s="490">
        <f t="shared" si="1519"/>
        <v>459.78180904596769</v>
      </c>
      <c r="K2679" s="490">
        <f t="shared" si="1519"/>
        <v>422.06861461143285</v>
      </c>
      <c r="L2679" s="490">
        <f t="shared" si="1519"/>
        <v>384.35542017689801</v>
      </c>
      <c r="M2679" s="490">
        <f t="shared" si="1519"/>
        <v>346.64222574236317</v>
      </c>
    </row>
    <row r="2680" spans="2:14" ht="15" hidden="1" outlineLevel="3" x14ac:dyDescent="0.25">
      <c r="B2680" t="str">
        <f>+C2680&amp;D2680&amp;E2680&amp;F2680</f>
        <v>EuropeResultsTotal Opex biomethaneUSD/ton</v>
      </c>
      <c r="C2680" t="str">
        <f>+$C$2677</f>
        <v>Europe</v>
      </c>
      <c r="D2680" s="30" t="s">
        <v>838</v>
      </c>
      <c r="E2680" s="228" t="s">
        <v>1260</v>
      </c>
      <c r="F2680" s="127" t="s">
        <v>205</v>
      </c>
      <c r="G2680" s="490">
        <f>SUM(G2684,G2690)</f>
        <v>406.15764926676468</v>
      </c>
      <c r="H2680" s="490">
        <f t="shared" ref="H2680:M2680" si="1520">SUM(H2684,H2690)</f>
        <v>376.76393469800701</v>
      </c>
      <c r="I2680" s="490">
        <f t="shared" si="1520"/>
        <v>349.58282873161426</v>
      </c>
      <c r="J2680" s="490">
        <f t="shared" si="1520"/>
        <v>328.24741787184234</v>
      </c>
      <c r="K2680" s="490">
        <f t="shared" si="1520"/>
        <v>308.57863828889822</v>
      </c>
      <c r="L2680" s="490">
        <f t="shared" si="1520"/>
        <v>288.68575365705851</v>
      </c>
      <c r="M2680" s="490">
        <f t="shared" si="1520"/>
        <v>269.504492638182</v>
      </c>
    </row>
    <row r="2681" spans="2:14" ht="15" hidden="1" outlineLevel="3" x14ac:dyDescent="0.25">
      <c r="B2681" t="str">
        <f>+C2681&amp;D2681&amp;E2681&amp;F2681</f>
        <v>EuropeResultsTotal Raw Material biomethaneUSD/ton</v>
      </c>
      <c r="C2681" t="str">
        <f>+$C$2677</f>
        <v>Europe</v>
      </c>
      <c r="D2681" s="30" t="s">
        <v>838</v>
      </c>
      <c r="E2681" s="228" t="s">
        <v>1261</v>
      </c>
      <c r="F2681" s="127" t="s">
        <v>205</v>
      </c>
      <c r="G2681" s="490">
        <f>+G2696+G2683</f>
        <v>275.43988244102837</v>
      </c>
      <c r="H2681" s="490">
        <f t="shared" ref="H2681:M2681" si="1521">+H2696+H2683</f>
        <v>234.04488176010366</v>
      </c>
      <c r="I2681" s="490">
        <f t="shared" si="1521"/>
        <v>219.64988107917901</v>
      </c>
      <c r="J2681" s="490">
        <f t="shared" si="1521"/>
        <v>210.87988039825433</v>
      </c>
      <c r="K2681" s="490">
        <f t="shared" si="1521"/>
        <v>202.10987971732968</v>
      </c>
      <c r="L2681" s="490">
        <f t="shared" si="1521"/>
        <v>193.33987903640502</v>
      </c>
      <c r="M2681" s="490">
        <f t="shared" si="1521"/>
        <v>184.56987835548034</v>
      </c>
    </row>
    <row r="2682" spans="2:14" hidden="1" outlineLevel="3" x14ac:dyDescent="0.2">
      <c r="E2682" s="48"/>
      <c r="F2682" s="128"/>
      <c r="G2682" s="8"/>
      <c r="H2682" s="8"/>
      <c r="I2682" s="8"/>
      <c r="J2682" s="8"/>
      <c r="K2682" s="8"/>
      <c r="L2682" s="8"/>
      <c r="M2682" s="8"/>
    </row>
    <row r="2683" spans="2:14" hidden="1" outlineLevel="3" x14ac:dyDescent="0.2">
      <c r="B2683" s="48" t="str">
        <f t="shared" ref="B2683:B2688" si="1522">+C2683&amp;D2683&amp;E2683&amp;F2683</f>
        <v>EuropeResultsCost of NG for CH4USD/ton CH4</v>
      </c>
      <c r="C2683" t="str">
        <f>+$C$2677</f>
        <v>Europe</v>
      </c>
      <c r="D2683" t="s">
        <v>838</v>
      </c>
      <c r="E2683" t="s">
        <v>1262</v>
      </c>
      <c r="F2683" s="450" t="s">
        <v>1263</v>
      </c>
      <c r="G2683" s="8">
        <f>+G2685*G2686</f>
        <v>52.500000000000007</v>
      </c>
      <c r="H2683" s="8">
        <f t="shared" ref="H2683:M2683" si="1523">+H2685*H2686</f>
        <v>17.500000000000004</v>
      </c>
      <c r="I2683" s="8">
        <f t="shared" si="1523"/>
        <v>9.5000000000000018</v>
      </c>
      <c r="J2683" s="8">
        <f t="shared" si="1523"/>
        <v>7.1250000000000018</v>
      </c>
      <c r="K2683" s="8">
        <f t="shared" si="1523"/>
        <v>4.7500000000000009</v>
      </c>
      <c r="L2683" s="8">
        <f t="shared" si="1523"/>
        <v>2.3750000000000004</v>
      </c>
      <c r="M2683" s="8">
        <f t="shared" si="1523"/>
        <v>0</v>
      </c>
    </row>
    <row r="2684" spans="2:14" hidden="1" outlineLevel="3" x14ac:dyDescent="0.2">
      <c r="B2684" s="3" t="str">
        <f t="shared" ref="B2684" si="1524">+C2684&amp;D2684&amp;E2684&amp;F2684</f>
        <v>EuropeResultsCost of electricity for CH4USD/ton CH4</v>
      </c>
      <c r="C2684" t="str">
        <f>+$C$2677</f>
        <v>Europe</v>
      </c>
      <c r="D2684" t="s">
        <v>838</v>
      </c>
      <c r="E2684" t="s">
        <v>1234</v>
      </c>
      <c r="F2684" s="450" t="s">
        <v>1263</v>
      </c>
      <c r="G2684" s="337">
        <f>+G2687*G2688</f>
        <v>65.09969587483063</v>
      </c>
      <c r="H2684" s="337">
        <f t="shared" ref="H2684:M2684" si="1525">+H2687*H2688</f>
        <v>53.129609966639535</v>
      </c>
      <c r="I2684" s="337">
        <f t="shared" si="1525"/>
        <v>43.372132660813385</v>
      </c>
      <c r="J2684" s="337">
        <f t="shared" si="1525"/>
        <v>39.460350461608044</v>
      </c>
      <c r="K2684" s="337">
        <f t="shared" si="1525"/>
        <v>37.215199539230511</v>
      </c>
      <c r="L2684" s="337">
        <f t="shared" si="1525"/>
        <v>34.74594356795744</v>
      </c>
      <c r="M2684" s="337">
        <f t="shared" si="1525"/>
        <v>32.98831120964752</v>
      </c>
      <c r="N2684" s="93"/>
    </row>
    <row r="2685" spans="2:14" hidden="1" outlineLevel="3" x14ac:dyDescent="0.2">
      <c r="B2685" s="3" t="str">
        <f t="shared" si="1522"/>
        <v>EuropeFeedstockCost of NGUSD/ton</v>
      </c>
      <c r="C2685" t="str">
        <f>+$C$2677</f>
        <v>Europe</v>
      </c>
      <c r="D2685" t="s">
        <v>777</v>
      </c>
      <c r="E2685" t="s">
        <v>1144</v>
      </c>
      <c r="F2685" s="450" t="s">
        <v>205</v>
      </c>
      <c r="G2685" s="532">
        <f>INDEX('Fuel Model -  Input'!$B$3:$N$373,MATCH($B2685,'Fuel Model -  Input'!$B$3:$B$373,0),MATCH(G$2,'Fuel Model -  Input'!$B$3:$N$3,0))</f>
        <v>1750</v>
      </c>
      <c r="H2685" s="532">
        <f>INDEX('Fuel Model -  Input'!$B$3:$N$373,MATCH($B2685,'Fuel Model -  Input'!$B$3:$B$373,0),MATCH(H$2,'Fuel Model -  Input'!$B$3:$N$3,0))</f>
        <v>700</v>
      </c>
      <c r="I2685" s="532">
        <f>INDEX('Fuel Model -  Input'!$B$3:$N$373,MATCH($B2685,'Fuel Model -  Input'!$B$3:$B$373,0),MATCH(I$2,'Fuel Model -  Input'!$B$3:$N$3,0))</f>
        <v>475</v>
      </c>
      <c r="J2685" s="532">
        <f>INDEX('Fuel Model -  Input'!$B$3:$N$373,MATCH($B2685,'Fuel Model -  Input'!$B$3:$B$373,0),MATCH(J$2,'Fuel Model -  Input'!$B$3:$N$3,0))</f>
        <v>475</v>
      </c>
      <c r="K2685" s="532">
        <f>INDEX('Fuel Model -  Input'!$B$3:$N$373,MATCH($B2685,'Fuel Model -  Input'!$B$3:$B$373,0),MATCH(K$2,'Fuel Model -  Input'!$B$3:$N$3,0))</f>
        <v>475</v>
      </c>
      <c r="L2685" s="532">
        <f>INDEX('Fuel Model -  Input'!$B$3:$N$373,MATCH($B2685,'Fuel Model -  Input'!$B$3:$B$373,0),MATCH(L$2,'Fuel Model -  Input'!$B$3:$N$3,0))</f>
        <v>475</v>
      </c>
      <c r="M2685" s="532">
        <f>INDEX('Fuel Model -  Input'!$B$3:$N$373,MATCH($B2685,'Fuel Model -  Input'!$B$3:$B$373,0),MATCH(M$2,'Fuel Model -  Input'!$B$3:$N$3,0))</f>
        <v>475</v>
      </c>
      <c r="N2685" s="93"/>
    </row>
    <row r="2686" spans="2:14" hidden="1" outlineLevel="3" x14ac:dyDescent="0.2">
      <c r="B2686" s="3" t="str">
        <f t="shared" ref="B2686:B2687" si="1526">+C2686&amp;D2686&amp;E2686&amp;F2686</f>
        <v>GlobalFeedstockNatural gasTon feedstock / ton fuel</v>
      </c>
      <c r="C2686" s="80" t="s">
        <v>109</v>
      </c>
      <c r="D2686" t="s">
        <v>777</v>
      </c>
      <c r="E2686" t="s">
        <v>204</v>
      </c>
      <c r="F2686" s="128" t="s">
        <v>1241</v>
      </c>
      <c r="G2686" s="521">
        <f>INDEX('Fuel Model -  Input'!$B$3:$N$373,MATCH($B2686,'Fuel Model -  Input'!$B$3:$B$373,0),MATCH(G$2,'Fuel Model -  Input'!$B$3:$N$3,0))</f>
        <v>3.0000000000000006E-2</v>
      </c>
      <c r="H2686" s="521">
        <f>INDEX('Fuel Model -  Input'!$B$3:$N$373,MATCH($B2686,'Fuel Model -  Input'!$B$3:$B$373,0),MATCH(H$2,'Fuel Model -  Input'!$B$3:$N$3,0))</f>
        <v>2.5000000000000005E-2</v>
      </c>
      <c r="I2686" s="521">
        <f>INDEX('Fuel Model -  Input'!$B$3:$N$373,MATCH($B2686,'Fuel Model -  Input'!$B$3:$B$373,0),MATCH(I$2,'Fuel Model -  Input'!$B$3:$N$3,0))</f>
        <v>2.0000000000000004E-2</v>
      </c>
      <c r="J2686" s="521">
        <f>INDEX('Fuel Model -  Input'!$B$3:$N$373,MATCH($B2686,'Fuel Model -  Input'!$B$3:$B$373,0),MATCH(J$2,'Fuel Model -  Input'!$B$3:$N$3,0))</f>
        <v>1.5000000000000003E-2</v>
      </c>
      <c r="K2686" s="521">
        <f>INDEX('Fuel Model -  Input'!$B$3:$N$373,MATCH($B2686,'Fuel Model -  Input'!$B$3:$B$373,0),MATCH(K$2,'Fuel Model -  Input'!$B$3:$N$3,0))</f>
        <v>1.0000000000000002E-2</v>
      </c>
      <c r="L2686" s="521">
        <f>INDEX('Fuel Model -  Input'!$B$3:$N$373,MATCH($B2686,'Fuel Model -  Input'!$B$3:$B$373,0),MATCH(L$2,'Fuel Model -  Input'!$B$3:$N$3,0))</f>
        <v>5.000000000000001E-3</v>
      </c>
      <c r="M2686" s="521">
        <f>INDEX('Fuel Model -  Input'!$B$3:$N$373,MATCH($B2686,'Fuel Model -  Input'!$B$3:$B$373,0),MATCH(M$2,'Fuel Model -  Input'!$B$3:$N$3,0))</f>
        <v>0</v>
      </c>
      <c r="N2686" s="93"/>
    </row>
    <row r="2687" spans="2:14" hidden="1" outlineLevel="3" x14ac:dyDescent="0.2">
      <c r="B2687" s="12" t="str">
        <f t="shared" si="1526"/>
        <v>GlobalFeedstockLBM plant Electricity demandMwH/ton LBM</v>
      </c>
      <c r="C2687" s="80" t="s">
        <v>109</v>
      </c>
      <c r="D2687" t="s">
        <v>777</v>
      </c>
      <c r="E2687" t="s">
        <v>1264</v>
      </c>
      <c r="F2687" s="128" t="s">
        <v>1265</v>
      </c>
      <c r="G2687" s="521">
        <f>INDEX('Fuel Model -  Input'!$B$3:$N$373,MATCH($B2687,'Fuel Model -  Input'!$B$3:$B$373,0),MATCH(G$2,'Fuel Model -  Input'!$B$3:$N$3,0))</f>
        <v>1.192378158163339</v>
      </c>
      <c r="H2687" s="521">
        <f>INDEX('Fuel Model -  Input'!$B$3:$N$373,MATCH($B2687,'Fuel Model -  Input'!$B$3:$B$373,0),MATCH(H$2,'Fuel Model -  Input'!$B$3:$N$3,0))</f>
        <v>1.2026215180379118</v>
      </c>
      <c r="I2687" s="521">
        <f>INDEX('Fuel Model -  Input'!$B$3:$N$373,MATCH($B2687,'Fuel Model -  Input'!$B$3:$B$373,0),MATCH(I$2,'Fuel Model -  Input'!$B$3:$N$3,0))</f>
        <v>1.2128648779124849</v>
      </c>
      <c r="J2687" s="521">
        <f>INDEX('Fuel Model -  Input'!$B$3:$N$373,MATCH($B2687,'Fuel Model -  Input'!$B$3:$B$373,0),MATCH(J$2,'Fuel Model -  Input'!$B$3:$N$3,0))</f>
        <v>1.2231082377870577</v>
      </c>
      <c r="K2687" s="521">
        <f>INDEX('Fuel Model -  Input'!$B$3:$N$373,MATCH($B2687,'Fuel Model -  Input'!$B$3:$B$373,0),MATCH(K$2,'Fuel Model -  Input'!$B$3:$N$3,0))</f>
        <v>1.2333515976616307</v>
      </c>
      <c r="L2687" s="521">
        <f>INDEX('Fuel Model -  Input'!$B$3:$N$373,MATCH($B2687,'Fuel Model -  Input'!$B$3:$B$373,0),MATCH(L$2,'Fuel Model -  Input'!$B$3:$N$3,0))</f>
        <v>1.2435949575362035</v>
      </c>
      <c r="M2687" s="521">
        <f>INDEX('Fuel Model -  Input'!$B$3:$N$373,MATCH($B2687,'Fuel Model -  Input'!$B$3:$B$373,0),MATCH(M$2,'Fuel Model -  Input'!$B$3:$N$3,0))</f>
        <v>1.2538383174107766</v>
      </c>
      <c r="N2687" s="93"/>
    </row>
    <row r="2688" spans="2:14" hidden="1" outlineLevel="3" x14ac:dyDescent="0.2">
      <c r="B2688" s="12" t="str">
        <f t="shared" si="1522"/>
        <v>EuropeFeedstockElectricityUSD/MWh</v>
      </c>
      <c r="C2688" t="str">
        <f>+$C$2677</f>
        <v>Europe</v>
      </c>
      <c r="D2688" t="s">
        <v>777</v>
      </c>
      <c r="E2688" t="s">
        <v>54</v>
      </c>
      <c r="F2688" s="450" t="s">
        <v>196</v>
      </c>
      <c r="G2688" s="532">
        <f>INDEX('Fuel Model -  Input'!$B$3:$N$373,MATCH($B2688,'Fuel Model -  Input'!$B$3:$B$373,0),MATCH(G$2,'Fuel Model -  Input'!$B$3:$N$3,0))</f>
        <v>54.596518251479822</v>
      </c>
      <c r="H2688" s="532">
        <f>INDEX('Fuel Model -  Input'!$B$3:$N$373,MATCH($B2688,'Fuel Model -  Input'!$B$3:$B$373,0),MATCH(H$2,'Fuel Model -  Input'!$B$3:$N$3,0))</f>
        <v>44.178163428608016</v>
      </c>
      <c r="I2688" s="532">
        <f>INDEX('Fuel Model -  Input'!$B$3:$N$373,MATCH($B2688,'Fuel Model -  Input'!$B$3:$B$373,0),MATCH(I$2,'Fuel Model -  Input'!$B$3:$N$3,0))</f>
        <v>35.760069774188757</v>
      </c>
      <c r="J2688" s="532">
        <f>INDEX('Fuel Model -  Input'!$B$3:$N$373,MATCH($B2688,'Fuel Model -  Input'!$B$3:$B$373,0),MATCH(J$2,'Fuel Model -  Input'!$B$3:$N$3,0))</f>
        <v>32.262353602492915</v>
      </c>
      <c r="K2688" s="532">
        <f>INDEX('Fuel Model -  Input'!$B$3:$N$373,MATCH($B2688,'Fuel Model -  Input'!$B$3:$B$373,0),MATCH(K$2,'Fuel Model -  Input'!$B$3:$N$3,0))</f>
        <v>30.17403926811183</v>
      </c>
      <c r="L2688" s="532">
        <f>INDEX('Fuel Model -  Input'!$B$3:$N$373,MATCH($B2688,'Fuel Model -  Input'!$B$3:$B$373,0),MATCH(L$2,'Fuel Model -  Input'!$B$3:$N$3,0))</f>
        <v>27.939919953355002</v>
      </c>
      <c r="M2688" s="532">
        <f>INDEX('Fuel Model -  Input'!$B$3:$N$373,MATCH($B2688,'Fuel Model -  Input'!$B$3:$B$373,0),MATCH(M$2,'Fuel Model -  Input'!$B$3:$N$3,0))</f>
        <v>26.309860491239117</v>
      </c>
      <c r="N2688" s="93"/>
    </row>
    <row r="2689" spans="2:13" ht="12.75" hidden="1" outlineLevel="3" x14ac:dyDescent="0.2">
      <c r="F2689"/>
      <c r="G2689" s="24"/>
      <c r="H2689" s="24"/>
      <c r="I2689" s="24"/>
      <c r="J2689" s="24"/>
      <c r="K2689" s="24"/>
      <c r="L2689" s="24"/>
      <c r="M2689" s="24"/>
    </row>
    <row r="2690" spans="2:13" hidden="1" outlineLevel="3" x14ac:dyDescent="0.2">
      <c r="B2690" t="str">
        <f>+C2690&amp;D2690&amp;E2690&amp;F2690</f>
        <v>GlobalOPEXLBM plant opexUSD/ton LBM</v>
      </c>
      <c r="C2690" t="s">
        <v>109</v>
      </c>
      <c r="D2690" t="s">
        <v>319</v>
      </c>
      <c r="E2690" t="s">
        <v>1266</v>
      </c>
      <c r="F2690" s="128" t="s">
        <v>1267</v>
      </c>
      <c r="G2690" s="532">
        <f>INDEX('Fuel Model -  Input'!$B$3:$N$373,MATCH($B2690,'Fuel Model -  Input'!$B$3:$B$373,0),MATCH(G$2,'Fuel Model -  Input'!$B$3:$N$3,0))</f>
        <v>341.05795339193406</v>
      </c>
      <c r="H2690" s="532">
        <f>INDEX('Fuel Model -  Input'!$B$3:$N$373,MATCH($B2690,'Fuel Model -  Input'!$B$3:$B$373,0),MATCH(H$2,'Fuel Model -  Input'!$B$3:$N$3,0))</f>
        <v>323.63432473136749</v>
      </c>
      <c r="I2690" s="532">
        <f>INDEX('Fuel Model -  Input'!$B$3:$N$373,MATCH($B2690,'Fuel Model -  Input'!$B$3:$B$373,0),MATCH(I$2,'Fuel Model -  Input'!$B$3:$N$3,0))</f>
        <v>306.21069607080085</v>
      </c>
      <c r="J2690" s="532">
        <f>INDEX('Fuel Model -  Input'!$B$3:$N$373,MATCH($B2690,'Fuel Model -  Input'!$B$3:$B$373,0),MATCH(J$2,'Fuel Model -  Input'!$B$3:$N$3,0))</f>
        <v>288.78706741023427</v>
      </c>
      <c r="K2690" s="532">
        <f>INDEX('Fuel Model -  Input'!$B$3:$N$373,MATCH($B2690,'Fuel Model -  Input'!$B$3:$B$373,0),MATCH(K$2,'Fuel Model -  Input'!$B$3:$N$3,0))</f>
        <v>271.36343874966769</v>
      </c>
      <c r="L2690" s="532">
        <f>INDEX('Fuel Model -  Input'!$B$3:$N$373,MATCH($B2690,'Fuel Model -  Input'!$B$3:$B$373,0),MATCH(L$2,'Fuel Model -  Input'!$B$3:$N$3,0))</f>
        <v>253.93981008910106</v>
      </c>
      <c r="M2690" s="532">
        <f>INDEX('Fuel Model -  Input'!$B$3:$N$373,MATCH($B2690,'Fuel Model -  Input'!$B$3:$B$373,0),MATCH(M$2,'Fuel Model -  Input'!$B$3:$N$3,0))</f>
        <v>236.51618142853448</v>
      </c>
    </row>
    <row r="2691" spans="2:13" hidden="1" outlineLevel="3" x14ac:dyDescent="0.2">
      <c r="B2691" s="3"/>
      <c r="E2691" s="48"/>
      <c r="F2691" s="128"/>
      <c r="G2691" s="524"/>
      <c r="H2691" s="524"/>
      <c r="I2691" s="524"/>
      <c r="J2691" s="524"/>
      <c r="K2691" s="524"/>
      <c r="L2691" s="524"/>
      <c r="M2691" s="524"/>
    </row>
    <row r="2692" spans="2:13" hidden="1" outlineLevel="3" x14ac:dyDescent="0.2">
      <c r="B2692" t="str">
        <f>+C2692&amp;D2692&amp;E2692&amp;F2692</f>
        <v>EuropePlant capexAnnual capex (AD)USD/ton Biomethane</v>
      </c>
      <c r="C2692" t="str">
        <f>+$C$2677</f>
        <v>Europe</v>
      </c>
      <c r="D2692" t="s">
        <v>786</v>
      </c>
      <c r="E2692" s="48" t="s">
        <v>1268</v>
      </c>
      <c r="F2692" s="128" t="s">
        <v>1269</v>
      </c>
      <c r="G2692" s="8">
        <f>+G2694/G2693</f>
        <v>572.92139234957222</v>
      </c>
      <c r="H2692" s="8">
        <f t="shared" ref="H2692:M2692" si="1527">+H2694/H2693</f>
        <v>535.20819791503743</v>
      </c>
      <c r="I2692" s="8">
        <f t="shared" si="1527"/>
        <v>497.49500348050253</v>
      </c>
      <c r="J2692" s="8">
        <f t="shared" si="1527"/>
        <v>459.78180904596769</v>
      </c>
      <c r="K2692" s="8">
        <f t="shared" si="1527"/>
        <v>422.06861461143285</v>
      </c>
      <c r="L2692" s="8">
        <f t="shared" si="1527"/>
        <v>384.35542017689801</v>
      </c>
      <c r="M2692" s="8">
        <f t="shared" si="1527"/>
        <v>346.64222574236317</v>
      </c>
    </row>
    <row r="2693" spans="2:13" hidden="1" outlineLevel="3" x14ac:dyDescent="0.2">
      <c r="B2693" s="3" t="str">
        <f>+C2693&amp;D2693&amp;E2693&amp;F2693</f>
        <v>GlobalPlant capexAnnualisation factor#</v>
      </c>
      <c r="C2693" t="s">
        <v>109</v>
      </c>
      <c r="D2693" t="s">
        <v>786</v>
      </c>
      <c r="E2693" t="s">
        <v>764</v>
      </c>
      <c r="F2693" s="450" t="s">
        <v>787</v>
      </c>
      <c r="G2693" s="532">
        <f>INDEX('Fuel Model -  Input'!$B$3:$N$373,MATCH($B2693,'Fuel Model -  Input'!$B$3:$B$373,0),MATCH(G$2,'Fuel Model -  Input'!$B$3:$N$3,0))</f>
        <v>11.32075471698113</v>
      </c>
      <c r="H2693" s="532">
        <f>INDEX('Fuel Model -  Input'!$B$3:$N$373,MATCH($B2693,'Fuel Model -  Input'!$B$3:$B$373,0),MATCH(H$2,'Fuel Model -  Input'!$B$3:$N$3,0))</f>
        <v>11.32075471698113</v>
      </c>
      <c r="I2693" s="532">
        <f>INDEX('Fuel Model -  Input'!$B$3:$N$373,MATCH($B2693,'Fuel Model -  Input'!$B$3:$B$373,0),MATCH(I$2,'Fuel Model -  Input'!$B$3:$N$3,0))</f>
        <v>11.32075471698113</v>
      </c>
      <c r="J2693" s="532">
        <f>INDEX('Fuel Model -  Input'!$B$3:$N$373,MATCH($B2693,'Fuel Model -  Input'!$B$3:$B$373,0),MATCH(J$2,'Fuel Model -  Input'!$B$3:$N$3,0))</f>
        <v>11.32075471698113</v>
      </c>
      <c r="K2693" s="532">
        <f>INDEX('Fuel Model -  Input'!$B$3:$N$373,MATCH($B2693,'Fuel Model -  Input'!$B$3:$B$373,0),MATCH(K$2,'Fuel Model -  Input'!$B$3:$N$3,0))</f>
        <v>11.32075471698113</v>
      </c>
      <c r="L2693" s="532">
        <f>INDEX('Fuel Model -  Input'!$B$3:$N$373,MATCH($B2693,'Fuel Model -  Input'!$B$3:$B$373,0),MATCH(L$2,'Fuel Model -  Input'!$B$3:$N$3,0))</f>
        <v>11.32075471698113</v>
      </c>
      <c r="M2693" s="532">
        <f>INDEX('Fuel Model -  Input'!$B$3:$N$373,MATCH($B2693,'Fuel Model -  Input'!$B$3:$B$373,0),MATCH(M$2,'Fuel Model -  Input'!$B$3:$N$3,0))</f>
        <v>11.32075471698113</v>
      </c>
    </row>
    <row r="2694" spans="2:13" hidden="1" outlineLevel="3" x14ac:dyDescent="0.2">
      <c r="B2694" s="3" t="str">
        <f>+C2694&amp;D2694&amp;E2694&amp;F2694</f>
        <v>GlobalCAPEXLBM plantUSD/ton LBM capacity</v>
      </c>
      <c r="C2694" t="s">
        <v>109</v>
      </c>
      <c r="D2694" t="s">
        <v>50</v>
      </c>
      <c r="E2694" t="s">
        <v>1270</v>
      </c>
      <c r="F2694" s="128" t="s">
        <v>1271</v>
      </c>
      <c r="G2694" s="532">
        <f>INDEX('Fuel Model -  Input'!$B$3:$N$373,MATCH($B2694,'Fuel Model -  Input'!$B$3:$B$373,0),MATCH(G$2,'Fuel Model -  Input'!$B$3:$N$3,0))</f>
        <v>6485.9025549008165</v>
      </c>
      <c r="H2694" s="532">
        <f>INDEX('Fuel Model -  Input'!$B$3:$N$373,MATCH($B2694,'Fuel Model -  Input'!$B$3:$B$373,0),MATCH(H$2,'Fuel Model -  Input'!$B$3:$N$3,0))</f>
        <v>6058.9607311136297</v>
      </c>
      <c r="I2694" s="532">
        <f>INDEX('Fuel Model -  Input'!$B$3:$N$373,MATCH($B2694,'Fuel Model -  Input'!$B$3:$B$373,0),MATCH(I$2,'Fuel Model -  Input'!$B$3:$N$3,0))</f>
        <v>5632.0189073264428</v>
      </c>
      <c r="J2694" s="532">
        <f>INDEX('Fuel Model -  Input'!$B$3:$N$373,MATCH($B2694,'Fuel Model -  Input'!$B$3:$B$373,0),MATCH(J$2,'Fuel Model -  Input'!$B$3:$N$3,0))</f>
        <v>5205.0770835392559</v>
      </c>
      <c r="K2694" s="532">
        <f>INDEX('Fuel Model -  Input'!$B$3:$N$373,MATCH($B2694,'Fuel Model -  Input'!$B$3:$B$373,0),MATCH(K$2,'Fuel Model -  Input'!$B$3:$N$3,0))</f>
        <v>4778.135259752069</v>
      </c>
      <c r="L2694" s="532">
        <f>INDEX('Fuel Model -  Input'!$B$3:$N$373,MATCH($B2694,'Fuel Model -  Input'!$B$3:$B$373,0),MATCH(L$2,'Fuel Model -  Input'!$B$3:$N$3,0))</f>
        <v>4351.1934359648822</v>
      </c>
      <c r="M2694" s="532">
        <f>INDEX('Fuel Model -  Input'!$B$3:$N$373,MATCH($B2694,'Fuel Model -  Input'!$B$3:$B$373,0),MATCH(M$2,'Fuel Model -  Input'!$B$3:$N$3,0))</f>
        <v>3924.2516121776953</v>
      </c>
    </row>
    <row r="2695" spans="2:13" ht="12.75" hidden="1" outlineLevel="3" x14ac:dyDescent="0.2">
      <c r="F2695"/>
    </row>
    <row r="2696" spans="2:13" hidden="1" outlineLevel="3" x14ac:dyDescent="0.2">
      <c r="B2696" s="78" t="str">
        <f>+C2696&amp;D2696&amp;E2696&amp;F2696</f>
        <v>EuropeFeedstockMunicipal waste costUSD/ton Biogas</v>
      </c>
      <c r="C2696" t="str">
        <f>+$C$2677</f>
        <v>Europe</v>
      </c>
      <c r="D2696" t="s">
        <v>777</v>
      </c>
      <c r="E2696" t="s">
        <v>1272</v>
      </c>
      <c r="F2696" s="128" t="s">
        <v>1273</v>
      </c>
      <c r="G2696" s="526">
        <f t="shared" ref="G2696:M2696" si="1528">G2697*G2698</f>
        <v>222.93988244102835</v>
      </c>
      <c r="H2696" s="526">
        <f t="shared" si="1528"/>
        <v>216.54488176010366</v>
      </c>
      <c r="I2696" s="526">
        <f t="shared" si="1528"/>
        <v>210.14988107917901</v>
      </c>
      <c r="J2696" s="526">
        <f t="shared" si="1528"/>
        <v>203.75488039825433</v>
      </c>
      <c r="K2696" s="526">
        <f t="shared" si="1528"/>
        <v>197.35987971732968</v>
      </c>
      <c r="L2696" s="526">
        <f t="shared" si="1528"/>
        <v>190.96487903640502</v>
      </c>
      <c r="M2696" s="526">
        <f t="shared" si="1528"/>
        <v>184.56987835548034</v>
      </c>
    </row>
    <row r="2697" spans="2:13" hidden="1" outlineLevel="3" x14ac:dyDescent="0.2">
      <c r="B2697" s="79" t="str">
        <f>+C2697&amp;D2697&amp;E2697&amp;F2697</f>
        <v>GlobalFeedstockConversion Organic wet waste : LBMTon feedstock / ton fuel</v>
      </c>
      <c r="C2697" t="s">
        <v>109</v>
      </c>
      <c r="D2697" t="s">
        <v>777</v>
      </c>
      <c r="E2697" s="48" t="s">
        <v>1274</v>
      </c>
      <c r="F2697" s="128" t="s">
        <v>1241</v>
      </c>
      <c r="G2697" s="521">
        <f>INDEX('Fuel Model -  Input'!$B$3:$N$373,MATCH($B2697,'Fuel Model -  Input'!$B$3:$B$373,0),MATCH(G$2,'Fuel Model -  Input'!$B$3:$N$3,0))</f>
        <v>4.4587976488205667</v>
      </c>
      <c r="H2697" s="521">
        <f>INDEX('Fuel Model -  Input'!$B$3:$N$373,MATCH($B2697,'Fuel Model -  Input'!$B$3:$B$373,0),MATCH(H$2,'Fuel Model -  Input'!$B$3:$N$3,0))</f>
        <v>4.3308976352020734</v>
      </c>
      <c r="I2697" s="521">
        <f>INDEX('Fuel Model -  Input'!$B$3:$N$373,MATCH($B2697,'Fuel Model -  Input'!$B$3:$B$373,0),MATCH(I$2,'Fuel Model -  Input'!$B$3:$N$3,0))</f>
        <v>4.20299762158358</v>
      </c>
      <c r="J2697" s="521">
        <f>INDEX('Fuel Model -  Input'!$B$3:$N$373,MATCH($B2697,'Fuel Model -  Input'!$B$3:$B$373,0),MATCH(J$2,'Fuel Model -  Input'!$B$3:$N$3,0))</f>
        <v>4.0750976079650867</v>
      </c>
      <c r="K2697" s="521">
        <f>INDEX('Fuel Model -  Input'!$B$3:$N$373,MATCH($B2697,'Fuel Model -  Input'!$B$3:$B$373,0),MATCH(K$2,'Fuel Model -  Input'!$B$3:$N$3,0))</f>
        <v>3.9471975943465938</v>
      </c>
      <c r="L2697" s="521">
        <f>INDEX('Fuel Model -  Input'!$B$3:$N$373,MATCH($B2697,'Fuel Model -  Input'!$B$3:$B$373,0),MATCH(L$2,'Fuel Model -  Input'!$B$3:$N$3,0))</f>
        <v>3.8192975807281004</v>
      </c>
      <c r="M2697" s="521">
        <f>INDEX('Fuel Model -  Input'!$B$3:$N$373,MATCH($B2697,'Fuel Model -  Input'!$B$3:$B$373,0),MATCH(M$2,'Fuel Model -  Input'!$B$3:$N$3,0))</f>
        <v>3.6913975671096071</v>
      </c>
    </row>
    <row r="2698" spans="2:13" hidden="1" outlineLevel="3" x14ac:dyDescent="0.2">
      <c r="B2698" s="3" t="str">
        <f>+C2698&amp;D2698&amp;E2698&amp;F2698</f>
        <v>EuropeFeedstockCost of Organic wet wasteUSD/ton</v>
      </c>
      <c r="C2698" t="s">
        <v>195</v>
      </c>
      <c r="D2698" t="s">
        <v>777</v>
      </c>
      <c r="E2698" t="s">
        <v>1242</v>
      </c>
      <c r="F2698" t="s">
        <v>205</v>
      </c>
      <c r="G2698" s="532">
        <f>INDEX('Fuel Model -  Input'!$B$3:$N$373,MATCH($B2698,'Fuel Model -  Input'!$B$3:$B$373,0),MATCH(G$2,'Fuel Model -  Input'!$B$3:$N$3,0))</f>
        <v>50</v>
      </c>
      <c r="H2698" s="532">
        <f>INDEX('Fuel Model -  Input'!$B$3:$N$373,MATCH($B2698,'Fuel Model -  Input'!$B$3:$B$373,0),MATCH(H$2,'Fuel Model -  Input'!$B$3:$N$3,0))</f>
        <v>50</v>
      </c>
      <c r="I2698" s="532">
        <f>INDEX('Fuel Model -  Input'!$B$3:$N$373,MATCH($B2698,'Fuel Model -  Input'!$B$3:$B$373,0),MATCH(I$2,'Fuel Model -  Input'!$B$3:$N$3,0))</f>
        <v>50</v>
      </c>
      <c r="J2698" s="532">
        <f>INDEX('Fuel Model -  Input'!$B$3:$N$373,MATCH($B2698,'Fuel Model -  Input'!$B$3:$B$373,0),MATCH(J$2,'Fuel Model -  Input'!$B$3:$N$3,0))</f>
        <v>50</v>
      </c>
      <c r="K2698" s="532">
        <f>INDEX('Fuel Model -  Input'!$B$3:$N$373,MATCH($B2698,'Fuel Model -  Input'!$B$3:$B$373,0),MATCH(K$2,'Fuel Model -  Input'!$B$3:$N$3,0))</f>
        <v>50</v>
      </c>
      <c r="L2698" s="532">
        <f>INDEX('Fuel Model -  Input'!$B$3:$N$373,MATCH($B2698,'Fuel Model -  Input'!$B$3:$B$373,0),MATCH(L$2,'Fuel Model -  Input'!$B$3:$N$3,0))</f>
        <v>50</v>
      </c>
      <c r="M2698" s="532">
        <f>INDEX('Fuel Model -  Input'!$B$3:$N$373,MATCH($B2698,'Fuel Model -  Input'!$B$3:$B$373,0),MATCH(M$2,'Fuel Model -  Input'!$B$3:$N$3,0))</f>
        <v>50</v>
      </c>
    </row>
    <row r="2699" spans="2:13" ht="12.75" hidden="1" outlineLevel="1" x14ac:dyDescent="0.2">
      <c r="F2699"/>
    </row>
    <row r="2700" spans="2:13" ht="15" hidden="1" outlineLevel="1" collapsed="1" x14ac:dyDescent="0.25">
      <c r="B2700" s="30" t="s">
        <v>197</v>
      </c>
      <c r="C2700" s="30" t="str">
        <f>+B2700</f>
        <v>Middle East</v>
      </c>
      <c r="D2700" s="30"/>
      <c r="E2700" s="30"/>
      <c r="F2700" s="30"/>
      <c r="G2700" s="30"/>
      <c r="H2700" s="30"/>
      <c r="I2700" s="30"/>
      <c r="J2700" s="30"/>
      <c r="K2700" s="30"/>
      <c r="L2700" s="30"/>
      <c r="M2700" s="30"/>
    </row>
    <row r="2701" spans="2:13" ht="15" hidden="1" outlineLevel="2" x14ac:dyDescent="0.25">
      <c r="B2701" t="str">
        <f>+C2701&amp;D2701&amp;E2701&amp;F2701</f>
        <v>Middle EastResultsTotal cost of biomethaneUSD/ton</v>
      </c>
      <c r="C2701" t="str">
        <f>+$C$2700</f>
        <v>Middle East</v>
      </c>
      <c r="D2701" s="30" t="s">
        <v>838</v>
      </c>
      <c r="E2701" s="405" t="s">
        <v>1258</v>
      </c>
      <c r="F2701" s="127" t="s">
        <v>205</v>
      </c>
      <c r="G2701" s="490">
        <f>+SUM(G2702:G2704)</f>
        <v>1228.9051013363401</v>
      </c>
      <c r="H2701" s="490">
        <f t="shared" ref="H2701:M2701" si="1529">+SUM(H2702:H2704)</f>
        <v>1129.1045956917369</v>
      </c>
      <c r="I2701" s="490">
        <f t="shared" si="1529"/>
        <v>1051.1343315629933</v>
      </c>
      <c r="J2701" s="490">
        <f t="shared" si="1529"/>
        <v>984.50381437891167</v>
      </c>
      <c r="K2701" s="490">
        <f t="shared" si="1529"/>
        <v>920.1401923818579</v>
      </c>
      <c r="L2701" s="490">
        <f t="shared" si="1529"/>
        <v>854.99700376464489</v>
      </c>
      <c r="M2701" s="490">
        <f t="shared" si="1529"/>
        <v>791.47482596122586</v>
      </c>
    </row>
    <row r="2702" spans="2:13" ht="15" hidden="1" outlineLevel="2" x14ac:dyDescent="0.25">
      <c r="B2702" t="str">
        <f>+C2702&amp;D2702&amp;E2702&amp;F2702</f>
        <v>Middle EastResultsTotal Capex biomethaneUSD/ton</v>
      </c>
      <c r="C2702" t="str">
        <f>+$C$2700</f>
        <v>Middle East</v>
      </c>
      <c r="D2702" s="30" t="s">
        <v>838</v>
      </c>
      <c r="E2702" s="228" t="s">
        <v>1259</v>
      </c>
      <c r="F2702" s="127" t="s">
        <v>205</v>
      </c>
      <c r="G2702" s="490">
        <f>+G2715</f>
        <v>572.92139234957222</v>
      </c>
      <c r="H2702" s="490">
        <f t="shared" ref="H2702:M2702" si="1530">+H2715</f>
        <v>535.20819791503743</v>
      </c>
      <c r="I2702" s="490">
        <f t="shared" si="1530"/>
        <v>497.49500348050253</v>
      </c>
      <c r="J2702" s="490">
        <f t="shared" si="1530"/>
        <v>459.78180904596769</v>
      </c>
      <c r="K2702" s="490">
        <f t="shared" si="1530"/>
        <v>422.06861461143285</v>
      </c>
      <c r="L2702" s="490">
        <f t="shared" si="1530"/>
        <v>384.35542017689801</v>
      </c>
      <c r="M2702" s="490">
        <f t="shared" si="1530"/>
        <v>346.64222574236317</v>
      </c>
    </row>
    <row r="2703" spans="2:13" ht="15" hidden="1" outlineLevel="2" x14ac:dyDescent="0.25">
      <c r="B2703" t="str">
        <f>+C2703&amp;D2703&amp;E2703&amp;F2703</f>
        <v>Middle EastResultsTotal Opex biomethaneUSD/ton</v>
      </c>
      <c r="C2703" t="str">
        <f>+$C$2700</f>
        <v>Middle East</v>
      </c>
      <c r="D2703" s="30" t="s">
        <v>838</v>
      </c>
      <c r="E2703" s="228" t="s">
        <v>1260</v>
      </c>
      <c r="F2703" s="127" t="s">
        <v>205</v>
      </c>
      <c r="G2703" s="490">
        <f>SUM(G2707,G2713)</f>
        <v>391.04382654573948</v>
      </c>
      <c r="H2703" s="490">
        <f t="shared" ref="H2703:M2703" si="1531">SUM(H2707,H2713)</f>
        <v>364.22651601659589</v>
      </c>
      <c r="I2703" s="490">
        <f t="shared" si="1531"/>
        <v>340.58944700331182</v>
      </c>
      <c r="J2703" s="490">
        <f t="shared" si="1531"/>
        <v>318.79212493468964</v>
      </c>
      <c r="K2703" s="490">
        <f t="shared" si="1531"/>
        <v>299.26169805309542</v>
      </c>
      <c r="L2703" s="490">
        <f t="shared" si="1531"/>
        <v>278.95170455134178</v>
      </c>
      <c r="M2703" s="490">
        <f t="shared" si="1531"/>
        <v>260.26272186338235</v>
      </c>
    </row>
    <row r="2704" spans="2:13" ht="15" hidden="1" outlineLevel="2" x14ac:dyDescent="0.25">
      <c r="B2704" t="str">
        <f>+C2704&amp;D2704&amp;E2704&amp;F2704</f>
        <v>Middle EastResultsTotal Raw Material biomethaneUSD/ton</v>
      </c>
      <c r="C2704" t="str">
        <f>+$C$2700</f>
        <v>Middle East</v>
      </c>
      <c r="D2704" s="30" t="s">
        <v>838</v>
      </c>
      <c r="E2704" s="228" t="s">
        <v>1261</v>
      </c>
      <c r="F2704" s="127" t="s">
        <v>205</v>
      </c>
      <c r="G2704" s="490">
        <f>+G2719+G2706</f>
        <v>264.93988244102837</v>
      </c>
      <c r="H2704" s="490">
        <f t="shared" ref="H2704:M2704" si="1532">+H2719+H2706</f>
        <v>229.66988176010366</v>
      </c>
      <c r="I2704" s="490">
        <f t="shared" si="1532"/>
        <v>213.04988107917902</v>
      </c>
      <c r="J2704" s="490">
        <f t="shared" si="1532"/>
        <v>205.92988039825434</v>
      </c>
      <c r="K2704" s="490">
        <f t="shared" si="1532"/>
        <v>198.80987971732966</v>
      </c>
      <c r="L2704" s="490">
        <f t="shared" si="1532"/>
        <v>191.68987903640502</v>
      </c>
      <c r="M2704" s="490">
        <f t="shared" si="1532"/>
        <v>184.56987835548034</v>
      </c>
    </row>
    <row r="2705" spans="2:14" hidden="1" outlineLevel="2" x14ac:dyDescent="0.2">
      <c r="E2705" s="48"/>
      <c r="F2705" s="128"/>
      <c r="G2705" s="8"/>
      <c r="H2705" s="8"/>
      <c r="I2705" s="8"/>
      <c r="J2705" s="8"/>
      <c r="K2705" s="8"/>
      <c r="L2705" s="8"/>
      <c r="M2705" s="8"/>
    </row>
    <row r="2706" spans="2:14" hidden="1" outlineLevel="2" x14ac:dyDescent="0.2">
      <c r="B2706" s="48" t="str">
        <f t="shared" ref="B2706:B2711" si="1533">+C2706&amp;D2706&amp;E2706&amp;F2706</f>
        <v>Middle EastResultsCost of NG for CH4USD/ton CH4</v>
      </c>
      <c r="C2706" t="str">
        <f>+$C$2700</f>
        <v>Middle East</v>
      </c>
      <c r="D2706" t="s">
        <v>838</v>
      </c>
      <c r="E2706" t="s">
        <v>1262</v>
      </c>
      <c r="F2706" s="450" t="s">
        <v>1263</v>
      </c>
      <c r="G2706" s="8">
        <f>+G2708*G2709</f>
        <v>42.000000000000007</v>
      </c>
      <c r="H2706" s="8">
        <f t="shared" ref="H2706:M2706" si="1534">+H2708*H2709</f>
        <v>13.125000000000002</v>
      </c>
      <c r="I2706" s="8">
        <f t="shared" si="1534"/>
        <v>2.9000000000000004</v>
      </c>
      <c r="J2706" s="8">
        <f t="shared" si="1534"/>
        <v>2.1750000000000003</v>
      </c>
      <c r="K2706" s="8">
        <f t="shared" si="1534"/>
        <v>1.4500000000000002</v>
      </c>
      <c r="L2706" s="8">
        <f t="shared" si="1534"/>
        <v>0.72500000000000009</v>
      </c>
      <c r="M2706" s="8">
        <f t="shared" si="1534"/>
        <v>0</v>
      </c>
    </row>
    <row r="2707" spans="2:14" hidden="1" outlineLevel="2" x14ac:dyDescent="0.2">
      <c r="B2707" s="3" t="str">
        <f t="shared" si="1533"/>
        <v>Middle EastResultsCost of electricity for CH4USD/ton CH4</v>
      </c>
      <c r="C2707" t="str">
        <f>+$C$2700</f>
        <v>Middle East</v>
      </c>
      <c r="D2707" t="s">
        <v>838</v>
      </c>
      <c r="E2707" t="s">
        <v>1234</v>
      </c>
      <c r="F2707" s="450" t="s">
        <v>1263</v>
      </c>
      <c r="G2707" s="337">
        <f>+G2710*G2711</f>
        <v>49.985873153805414</v>
      </c>
      <c r="H2707" s="337">
        <f t="shared" ref="H2707:M2707" si="1535">+H2710*H2711</f>
        <v>40.592191285228417</v>
      </c>
      <c r="I2707" s="337">
        <f t="shared" si="1535"/>
        <v>34.378750932510975</v>
      </c>
      <c r="J2707" s="337">
        <f t="shared" si="1535"/>
        <v>30.005057524455353</v>
      </c>
      <c r="K2707" s="337">
        <f t="shared" si="1535"/>
        <v>27.898259303427714</v>
      </c>
      <c r="L2707" s="337">
        <f t="shared" si="1535"/>
        <v>25.01189446224074</v>
      </c>
      <c r="M2707" s="337">
        <f t="shared" si="1535"/>
        <v>23.746540434847848</v>
      </c>
      <c r="N2707" s="93"/>
    </row>
    <row r="2708" spans="2:14" hidden="1" outlineLevel="2" x14ac:dyDescent="0.2">
      <c r="B2708" s="3" t="str">
        <f t="shared" si="1533"/>
        <v>Middle EastFeedstockCost of NGUSD/ton</v>
      </c>
      <c r="C2708" t="str">
        <f>+$C$2700</f>
        <v>Middle East</v>
      </c>
      <c r="D2708" t="s">
        <v>777</v>
      </c>
      <c r="E2708" t="s">
        <v>1144</v>
      </c>
      <c r="F2708" s="450" t="s">
        <v>205</v>
      </c>
      <c r="G2708" s="532">
        <f>INDEX('Fuel Model -  Input'!$B$3:$N$373,MATCH($B2708,'Fuel Model -  Input'!$B$3:$B$373,0),MATCH(G$2,'Fuel Model -  Input'!$B$3:$N$3,0))</f>
        <v>1400</v>
      </c>
      <c r="H2708" s="532">
        <f>INDEX('Fuel Model -  Input'!$B$3:$N$373,MATCH($B2708,'Fuel Model -  Input'!$B$3:$B$373,0),MATCH(H$2,'Fuel Model -  Input'!$B$3:$N$3,0))</f>
        <v>525</v>
      </c>
      <c r="I2708" s="532">
        <f>INDEX('Fuel Model -  Input'!$B$3:$N$373,MATCH($B2708,'Fuel Model -  Input'!$B$3:$B$373,0),MATCH(I$2,'Fuel Model -  Input'!$B$3:$N$3,0))</f>
        <v>145</v>
      </c>
      <c r="J2708" s="532">
        <f>INDEX('Fuel Model -  Input'!$B$3:$N$373,MATCH($B2708,'Fuel Model -  Input'!$B$3:$B$373,0),MATCH(J$2,'Fuel Model -  Input'!$B$3:$N$3,0))</f>
        <v>145</v>
      </c>
      <c r="K2708" s="532">
        <f>INDEX('Fuel Model -  Input'!$B$3:$N$373,MATCH($B2708,'Fuel Model -  Input'!$B$3:$B$373,0),MATCH(K$2,'Fuel Model -  Input'!$B$3:$N$3,0))</f>
        <v>145</v>
      </c>
      <c r="L2708" s="532">
        <f>INDEX('Fuel Model -  Input'!$B$3:$N$373,MATCH($B2708,'Fuel Model -  Input'!$B$3:$B$373,0),MATCH(L$2,'Fuel Model -  Input'!$B$3:$N$3,0))</f>
        <v>145</v>
      </c>
      <c r="M2708" s="532">
        <f>INDEX('Fuel Model -  Input'!$B$3:$N$373,MATCH($B2708,'Fuel Model -  Input'!$B$3:$B$373,0),MATCH(M$2,'Fuel Model -  Input'!$B$3:$N$3,0))</f>
        <v>145</v>
      </c>
      <c r="N2708" s="93"/>
    </row>
    <row r="2709" spans="2:14" hidden="1" outlineLevel="2" x14ac:dyDescent="0.2">
      <c r="B2709" s="3" t="str">
        <f t="shared" si="1533"/>
        <v>GlobalFeedstockNatural gasTon feedstock / ton fuel</v>
      </c>
      <c r="C2709" s="80" t="s">
        <v>109</v>
      </c>
      <c r="D2709" t="s">
        <v>777</v>
      </c>
      <c r="E2709" t="s">
        <v>204</v>
      </c>
      <c r="F2709" s="128" t="s">
        <v>1241</v>
      </c>
      <c r="G2709" s="521">
        <f>INDEX('Fuel Model -  Input'!$B$3:$N$373,MATCH($B2709,'Fuel Model -  Input'!$B$3:$B$373,0),MATCH(G$2,'Fuel Model -  Input'!$B$3:$N$3,0))</f>
        <v>3.0000000000000006E-2</v>
      </c>
      <c r="H2709" s="521">
        <f>INDEX('Fuel Model -  Input'!$B$3:$N$373,MATCH($B2709,'Fuel Model -  Input'!$B$3:$B$373,0),MATCH(H$2,'Fuel Model -  Input'!$B$3:$N$3,0))</f>
        <v>2.5000000000000005E-2</v>
      </c>
      <c r="I2709" s="521">
        <f>INDEX('Fuel Model -  Input'!$B$3:$N$373,MATCH($B2709,'Fuel Model -  Input'!$B$3:$B$373,0),MATCH(I$2,'Fuel Model -  Input'!$B$3:$N$3,0))</f>
        <v>2.0000000000000004E-2</v>
      </c>
      <c r="J2709" s="521">
        <f>INDEX('Fuel Model -  Input'!$B$3:$N$373,MATCH($B2709,'Fuel Model -  Input'!$B$3:$B$373,0),MATCH(J$2,'Fuel Model -  Input'!$B$3:$N$3,0))</f>
        <v>1.5000000000000003E-2</v>
      </c>
      <c r="K2709" s="521">
        <f>INDEX('Fuel Model -  Input'!$B$3:$N$373,MATCH($B2709,'Fuel Model -  Input'!$B$3:$B$373,0),MATCH(K$2,'Fuel Model -  Input'!$B$3:$N$3,0))</f>
        <v>1.0000000000000002E-2</v>
      </c>
      <c r="L2709" s="521">
        <f>INDEX('Fuel Model -  Input'!$B$3:$N$373,MATCH($B2709,'Fuel Model -  Input'!$B$3:$B$373,0),MATCH(L$2,'Fuel Model -  Input'!$B$3:$N$3,0))</f>
        <v>5.000000000000001E-3</v>
      </c>
      <c r="M2709" s="521">
        <f>INDEX('Fuel Model -  Input'!$B$3:$N$373,MATCH($B2709,'Fuel Model -  Input'!$B$3:$B$373,0),MATCH(M$2,'Fuel Model -  Input'!$B$3:$N$3,0))</f>
        <v>0</v>
      </c>
      <c r="N2709" s="93"/>
    </row>
    <row r="2710" spans="2:14" hidden="1" outlineLevel="2" x14ac:dyDescent="0.2">
      <c r="B2710" s="12" t="str">
        <f t="shared" si="1533"/>
        <v>GlobalFeedstockLBM plant Electricity demandMwH/ton LBM</v>
      </c>
      <c r="C2710" s="80" t="s">
        <v>109</v>
      </c>
      <c r="D2710" t="s">
        <v>777</v>
      </c>
      <c r="E2710" t="s">
        <v>1264</v>
      </c>
      <c r="F2710" s="128" t="s">
        <v>1265</v>
      </c>
      <c r="G2710" s="521">
        <f>INDEX('Fuel Model -  Input'!$B$3:$N$373,MATCH($B2710,'Fuel Model -  Input'!$B$3:$B$373,0),MATCH(G$2,'Fuel Model -  Input'!$B$3:$N$3,0))</f>
        <v>1.192378158163339</v>
      </c>
      <c r="H2710" s="521">
        <f>INDEX('Fuel Model -  Input'!$B$3:$N$373,MATCH($B2710,'Fuel Model -  Input'!$B$3:$B$373,0),MATCH(H$2,'Fuel Model -  Input'!$B$3:$N$3,0))</f>
        <v>1.2026215180379118</v>
      </c>
      <c r="I2710" s="521">
        <f>INDEX('Fuel Model -  Input'!$B$3:$N$373,MATCH($B2710,'Fuel Model -  Input'!$B$3:$B$373,0),MATCH(I$2,'Fuel Model -  Input'!$B$3:$N$3,0))</f>
        <v>1.2128648779124849</v>
      </c>
      <c r="J2710" s="521">
        <f>INDEX('Fuel Model -  Input'!$B$3:$N$373,MATCH($B2710,'Fuel Model -  Input'!$B$3:$B$373,0),MATCH(J$2,'Fuel Model -  Input'!$B$3:$N$3,0))</f>
        <v>1.2231082377870577</v>
      </c>
      <c r="K2710" s="521">
        <f>INDEX('Fuel Model -  Input'!$B$3:$N$373,MATCH($B2710,'Fuel Model -  Input'!$B$3:$B$373,0),MATCH(K$2,'Fuel Model -  Input'!$B$3:$N$3,0))</f>
        <v>1.2333515976616307</v>
      </c>
      <c r="L2710" s="521">
        <f>INDEX('Fuel Model -  Input'!$B$3:$N$373,MATCH($B2710,'Fuel Model -  Input'!$B$3:$B$373,0),MATCH(L$2,'Fuel Model -  Input'!$B$3:$N$3,0))</f>
        <v>1.2435949575362035</v>
      </c>
      <c r="M2710" s="521">
        <f>INDEX('Fuel Model -  Input'!$B$3:$N$373,MATCH($B2710,'Fuel Model -  Input'!$B$3:$B$373,0),MATCH(M$2,'Fuel Model -  Input'!$B$3:$N$3,0))</f>
        <v>1.2538383174107766</v>
      </c>
      <c r="N2710" s="93"/>
    </row>
    <row r="2711" spans="2:14" hidden="1" outlineLevel="2" x14ac:dyDescent="0.2">
      <c r="B2711" s="12" t="str">
        <f t="shared" si="1533"/>
        <v>Middle EastFeedstockElectricityUSD/MWh</v>
      </c>
      <c r="C2711" t="str">
        <f>+$C$2700</f>
        <v>Middle East</v>
      </c>
      <c r="D2711" t="s">
        <v>777</v>
      </c>
      <c r="E2711" t="s">
        <v>54</v>
      </c>
      <c r="F2711" s="450" t="s">
        <v>196</v>
      </c>
      <c r="G2711" s="532">
        <f>INDEX('Fuel Model -  Input'!$B$3:$N$373,MATCH($B2711,'Fuel Model -  Input'!$B$3:$B$373,0),MATCH(G$2,'Fuel Model -  Input'!$B$3:$N$3,0))</f>
        <v>41.921157991354328</v>
      </c>
      <c r="H2711" s="532">
        <f>INDEX('Fuel Model -  Input'!$B$3:$N$373,MATCH($B2711,'Fuel Model -  Input'!$B$3:$B$373,0),MATCH(H$2,'Fuel Model -  Input'!$B$3:$N$3,0))</f>
        <v>33.753089127704079</v>
      </c>
      <c r="I2711" s="532">
        <f>INDEX('Fuel Model -  Input'!$B$3:$N$373,MATCH($B2711,'Fuel Model -  Input'!$B$3:$B$373,0),MATCH(I$2,'Fuel Model -  Input'!$B$3:$N$3,0))</f>
        <v>28.34507912512213</v>
      </c>
      <c r="J2711" s="532">
        <f>INDEX('Fuel Model -  Input'!$B$3:$N$373,MATCH($B2711,'Fuel Model -  Input'!$B$3:$B$373,0),MATCH(J$2,'Fuel Model -  Input'!$B$3:$N$3,0))</f>
        <v>24.531808876328746</v>
      </c>
      <c r="K2711" s="532">
        <f>INDEX('Fuel Model -  Input'!$B$3:$N$373,MATCH($B2711,'Fuel Model -  Input'!$B$3:$B$373,0),MATCH(K$2,'Fuel Model -  Input'!$B$3:$N$3,0))</f>
        <v>22.619875270215999</v>
      </c>
      <c r="L2711" s="532">
        <f>INDEX('Fuel Model -  Input'!$B$3:$N$373,MATCH($B2711,'Fuel Model -  Input'!$B$3:$B$373,0),MATCH(L$2,'Fuel Model -  Input'!$B$3:$N$3,0))</f>
        <v>20.112573077486601</v>
      </c>
      <c r="M2711" s="532">
        <f>INDEX('Fuel Model -  Input'!$B$3:$N$373,MATCH($B2711,'Fuel Model -  Input'!$B$3:$B$373,0),MATCH(M$2,'Fuel Model -  Input'!$B$3:$N$3,0))</f>
        <v>18.93907699669392</v>
      </c>
      <c r="N2711" s="93"/>
    </row>
    <row r="2712" spans="2:14" ht="12.75" hidden="1" outlineLevel="2" x14ac:dyDescent="0.2">
      <c r="F2712"/>
      <c r="G2712" s="24"/>
      <c r="H2712" s="24"/>
      <c r="I2712" s="24"/>
      <c r="J2712" s="24"/>
      <c r="K2712" s="24"/>
      <c r="L2712" s="24"/>
      <c r="M2712" s="24"/>
    </row>
    <row r="2713" spans="2:14" hidden="1" outlineLevel="2" x14ac:dyDescent="0.2">
      <c r="B2713" t="str">
        <f>+C2713&amp;D2713&amp;E2713&amp;F2713</f>
        <v>GlobalOPEXLBM plant opexUSD/ton LBM</v>
      </c>
      <c r="C2713" t="s">
        <v>109</v>
      </c>
      <c r="D2713" t="s">
        <v>319</v>
      </c>
      <c r="E2713" t="s">
        <v>1266</v>
      </c>
      <c r="F2713" s="128" t="s">
        <v>1267</v>
      </c>
      <c r="G2713" s="532">
        <f>INDEX('Fuel Model -  Input'!$B$3:$N$373,MATCH($B2713,'Fuel Model -  Input'!$B$3:$B$373,0),MATCH(G$2,'Fuel Model -  Input'!$B$3:$N$3,0))</f>
        <v>341.05795339193406</v>
      </c>
      <c r="H2713" s="532">
        <f>INDEX('Fuel Model -  Input'!$B$3:$N$373,MATCH($B2713,'Fuel Model -  Input'!$B$3:$B$373,0),MATCH(H$2,'Fuel Model -  Input'!$B$3:$N$3,0))</f>
        <v>323.63432473136749</v>
      </c>
      <c r="I2713" s="532">
        <f>INDEX('Fuel Model -  Input'!$B$3:$N$373,MATCH($B2713,'Fuel Model -  Input'!$B$3:$B$373,0),MATCH(I$2,'Fuel Model -  Input'!$B$3:$N$3,0))</f>
        <v>306.21069607080085</v>
      </c>
      <c r="J2713" s="532">
        <f>INDEX('Fuel Model -  Input'!$B$3:$N$373,MATCH($B2713,'Fuel Model -  Input'!$B$3:$B$373,0),MATCH(J$2,'Fuel Model -  Input'!$B$3:$N$3,0))</f>
        <v>288.78706741023427</v>
      </c>
      <c r="K2713" s="532">
        <f>INDEX('Fuel Model -  Input'!$B$3:$N$373,MATCH($B2713,'Fuel Model -  Input'!$B$3:$B$373,0),MATCH(K$2,'Fuel Model -  Input'!$B$3:$N$3,0))</f>
        <v>271.36343874966769</v>
      </c>
      <c r="L2713" s="532">
        <f>INDEX('Fuel Model -  Input'!$B$3:$N$373,MATCH($B2713,'Fuel Model -  Input'!$B$3:$B$373,0),MATCH(L$2,'Fuel Model -  Input'!$B$3:$N$3,0))</f>
        <v>253.93981008910106</v>
      </c>
      <c r="M2713" s="532">
        <f>INDEX('Fuel Model -  Input'!$B$3:$N$373,MATCH($B2713,'Fuel Model -  Input'!$B$3:$B$373,0),MATCH(M$2,'Fuel Model -  Input'!$B$3:$N$3,0))</f>
        <v>236.51618142853448</v>
      </c>
    </row>
    <row r="2714" spans="2:14" hidden="1" outlineLevel="2" x14ac:dyDescent="0.2">
      <c r="B2714" s="3"/>
      <c r="E2714" s="48"/>
      <c r="F2714" s="128"/>
      <c r="G2714" s="524"/>
      <c r="H2714" s="524"/>
      <c r="I2714" s="524"/>
      <c r="J2714" s="524"/>
      <c r="K2714" s="524"/>
      <c r="L2714" s="524"/>
      <c r="M2714" s="524"/>
    </row>
    <row r="2715" spans="2:14" hidden="1" outlineLevel="2" x14ac:dyDescent="0.2">
      <c r="B2715" t="str">
        <f>+C2715&amp;D2715&amp;E2715&amp;F2715</f>
        <v>Middle EastPlant capexAnnual capex (AD)USD/ton Biomethane</v>
      </c>
      <c r="C2715" t="str">
        <f>+$C$2700</f>
        <v>Middle East</v>
      </c>
      <c r="D2715" t="s">
        <v>786</v>
      </c>
      <c r="E2715" s="48" t="s">
        <v>1268</v>
      </c>
      <c r="F2715" s="128" t="s">
        <v>1269</v>
      </c>
      <c r="G2715" s="8">
        <f>+G2717/G2716</f>
        <v>572.92139234957222</v>
      </c>
      <c r="H2715" s="8">
        <f t="shared" ref="H2715" si="1536">+H2717/H2716</f>
        <v>535.20819791503743</v>
      </c>
      <c r="I2715" s="8">
        <f t="shared" ref="I2715" si="1537">+I2717/I2716</f>
        <v>497.49500348050253</v>
      </c>
      <c r="J2715" s="8">
        <f t="shared" ref="J2715" si="1538">+J2717/J2716</f>
        <v>459.78180904596769</v>
      </c>
      <c r="K2715" s="8">
        <f t="shared" ref="K2715" si="1539">+K2717/K2716</f>
        <v>422.06861461143285</v>
      </c>
      <c r="L2715" s="8">
        <f t="shared" ref="L2715" si="1540">+L2717/L2716</f>
        <v>384.35542017689801</v>
      </c>
      <c r="M2715" s="8">
        <f t="shared" ref="M2715" si="1541">+M2717/M2716</f>
        <v>346.64222574236317</v>
      </c>
    </row>
    <row r="2716" spans="2:14" hidden="1" outlineLevel="2" x14ac:dyDescent="0.2">
      <c r="B2716" s="3" t="str">
        <f>+C2716&amp;D2716&amp;E2716&amp;F2716</f>
        <v>GlobalPlant capexAnnualisation factor#</v>
      </c>
      <c r="C2716" t="s">
        <v>109</v>
      </c>
      <c r="D2716" t="s">
        <v>786</v>
      </c>
      <c r="E2716" t="s">
        <v>764</v>
      </c>
      <c r="F2716" s="450" t="s">
        <v>787</v>
      </c>
      <c r="G2716" s="532">
        <f>INDEX('Fuel Model -  Input'!$B$3:$N$373,MATCH($B2716,'Fuel Model -  Input'!$B$3:$B$373,0),MATCH(G$2,'Fuel Model -  Input'!$B$3:$N$3,0))</f>
        <v>11.32075471698113</v>
      </c>
      <c r="H2716" s="532">
        <f>INDEX('Fuel Model -  Input'!$B$3:$N$373,MATCH($B2716,'Fuel Model -  Input'!$B$3:$B$373,0),MATCH(H$2,'Fuel Model -  Input'!$B$3:$N$3,0))</f>
        <v>11.32075471698113</v>
      </c>
      <c r="I2716" s="532">
        <f>INDEX('Fuel Model -  Input'!$B$3:$N$373,MATCH($B2716,'Fuel Model -  Input'!$B$3:$B$373,0),MATCH(I$2,'Fuel Model -  Input'!$B$3:$N$3,0))</f>
        <v>11.32075471698113</v>
      </c>
      <c r="J2716" s="532">
        <f>INDEX('Fuel Model -  Input'!$B$3:$N$373,MATCH($B2716,'Fuel Model -  Input'!$B$3:$B$373,0),MATCH(J$2,'Fuel Model -  Input'!$B$3:$N$3,0))</f>
        <v>11.32075471698113</v>
      </c>
      <c r="K2716" s="532">
        <f>INDEX('Fuel Model -  Input'!$B$3:$N$373,MATCH($B2716,'Fuel Model -  Input'!$B$3:$B$373,0),MATCH(K$2,'Fuel Model -  Input'!$B$3:$N$3,0))</f>
        <v>11.32075471698113</v>
      </c>
      <c r="L2716" s="532">
        <f>INDEX('Fuel Model -  Input'!$B$3:$N$373,MATCH($B2716,'Fuel Model -  Input'!$B$3:$B$373,0),MATCH(L$2,'Fuel Model -  Input'!$B$3:$N$3,0))</f>
        <v>11.32075471698113</v>
      </c>
      <c r="M2716" s="532">
        <f>INDEX('Fuel Model -  Input'!$B$3:$N$373,MATCH($B2716,'Fuel Model -  Input'!$B$3:$B$373,0),MATCH(M$2,'Fuel Model -  Input'!$B$3:$N$3,0))</f>
        <v>11.32075471698113</v>
      </c>
    </row>
    <row r="2717" spans="2:14" hidden="1" outlineLevel="2" x14ac:dyDescent="0.2">
      <c r="B2717" s="3" t="str">
        <f>+C2717&amp;D2717&amp;E2717&amp;F2717</f>
        <v>GlobalCAPEXLBM plantUSD/ton LBM capacity</v>
      </c>
      <c r="C2717" t="s">
        <v>109</v>
      </c>
      <c r="D2717" t="s">
        <v>50</v>
      </c>
      <c r="E2717" t="s">
        <v>1270</v>
      </c>
      <c r="F2717" s="128" t="s">
        <v>1271</v>
      </c>
      <c r="G2717" s="532">
        <f>INDEX('Fuel Model -  Input'!$B$3:$N$373,MATCH($B2717,'Fuel Model -  Input'!$B$3:$B$373,0),MATCH(G$2,'Fuel Model -  Input'!$B$3:$N$3,0))</f>
        <v>6485.9025549008165</v>
      </c>
      <c r="H2717" s="532">
        <f>INDEX('Fuel Model -  Input'!$B$3:$N$373,MATCH($B2717,'Fuel Model -  Input'!$B$3:$B$373,0),MATCH(H$2,'Fuel Model -  Input'!$B$3:$N$3,0))</f>
        <v>6058.9607311136297</v>
      </c>
      <c r="I2717" s="532">
        <f>INDEX('Fuel Model -  Input'!$B$3:$N$373,MATCH($B2717,'Fuel Model -  Input'!$B$3:$B$373,0),MATCH(I$2,'Fuel Model -  Input'!$B$3:$N$3,0))</f>
        <v>5632.0189073264428</v>
      </c>
      <c r="J2717" s="532">
        <f>INDEX('Fuel Model -  Input'!$B$3:$N$373,MATCH($B2717,'Fuel Model -  Input'!$B$3:$B$373,0),MATCH(J$2,'Fuel Model -  Input'!$B$3:$N$3,0))</f>
        <v>5205.0770835392559</v>
      </c>
      <c r="K2717" s="532">
        <f>INDEX('Fuel Model -  Input'!$B$3:$N$373,MATCH($B2717,'Fuel Model -  Input'!$B$3:$B$373,0),MATCH(K$2,'Fuel Model -  Input'!$B$3:$N$3,0))</f>
        <v>4778.135259752069</v>
      </c>
      <c r="L2717" s="532">
        <f>INDEX('Fuel Model -  Input'!$B$3:$N$373,MATCH($B2717,'Fuel Model -  Input'!$B$3:$B$373,0),MATCH(L$2,'Fuel Model -  Input'!$B$3:$N$3,0))</f>
        <v>4351.1934359648822</v>
      </c>
      <c r="M2717" s="532">
        <f>INDEX('Fuel Model -  Input'!$B$3:$N$373,MATCH($B2717,'Fuel Model -  Input'!$B$3:$B$373,0),MATCH(M$2,'Fuel Model -  Input'!$B$3:$N$3,0))</f>
        <v>3924.2516121776953</v>
      </c>
    </row>
    <row r="2718" spans="2:14" ht="12.75" hidden="1" outlineLevel="2" x14ac:dyDescent="0.2">
      <c r="F2718"/>
    </row>
    <row r="2719" spans="2:14" hidden="1" outlineLevel="2" x14ac:dyDescent="0.2">
      <c r="B2719" s="78" t="str">
        <f>+C2719&amp;D2719&amp;E2719&amp;F2719</f>
        <v>Middle EastFeedstockMunicipal waste costUSD/ton Biogas</v>
      </c>
      <c r="C2719" t="str">
        <f>+$C$2700</f>
        <v>Middle East</v>
      </c>
      <c r="D2719" t="s">
        <v>777</v>
      </c>
      <c r="E2719" t="s">
        <v>1272</v>
      </c>
      <c r="F2719" s="128" t="s">
        <v>1273</v>
      </c>
      <c r="G2719" s="526">
        <f t="shared" ref="G2719:M2719" si="1542">G2720*G2721</f>
        <v>222.93988244102835</v>
      </c>
      <c r="H2719" s="526">
        <f t="shared" si="1542"/>
        <v>216.54488176010366</v>
      </c>
      <c r="I2719" s="526">
        <f t="shared" si="1542"/>
        <v>210.14988107917901</v>
      </c>
      <c r="J2719" s="526">
        <f t="shared" si="1542"/>
        <v>203.75488039825433</v>
      </c>
      <c r="K2719" s="526">
        <f t="shared" si="1542"/>
        <v>197.35987971732968</v>
      </c>
      <c r="L2719" s="526">
        <f t="shared" si="1542"/>
        <v>190.96487903640502</v>
      </c>
      <c r="M2719" s="526">
        <f t="shared" si="1542"/>
        <v>184.56987835548034</v>
      </c>
    </row>
    <row r="2720" spans="2:14" hidden="1" outlineLevel="2" x14ac:dyDescent="0.2">
      <c r="B2720" s="79" t="str">
        <f>+C2720&amp;D2720&amp;E2720&amp;F2720</f>
        <v>GlobalFeedstockConversion Organic wet waste : LBMTon feedstock / ton fuel</v>
      </c>
      <c r="C2720" t="s">
        <v>109</v>
      </c>
      <c r="D2720" t="s">
        <v>777</v>
      </c>
      <c r="E2720" s="48" t="s">
        <v>1274</v>
      </c>
      <c r="F2720" s="128" t="s">
        <v>1241</v>
      </c>
      <c r="G2720" s="521">
        <f>INDEX('Fuel Model -  Input'!$B$3:$N$373,MATCH($B2720,'Fuel Model -  Input'!$B$3:$B$373,0),MATCH(G$2,'Fuel Model -  Input'!$B$3:$N$3,0))</f>
        <v>4.4587976488205667</v>
      </c>
      <c r="H2720" s="521">
        <f>INDEX('Fuel Model -  Input'!$B$3:$N$373,MATCH($B2720,'Fuel Model -  Input'!$B$3:$B$373,0),MATCH(H$2,'Fuel Model -  Input'!$B$3:$N$3,0))</f>
        <v>4.3308976352020734</v>
      </c>
      <c r="I2720" s="521">
        <f>INDEX('Fuel Model -  Input'!$B$3:$N$373,MATCH($B2720,'Fuel Model -  Input'!$B$3:$B$373,0),MATCH(I$2,'Fuel Model -  Input'!$B$3:$N$3,0))</f>
        <v>4.20299762158358</v>
      </c>
      <c r="J2720" s="521">
        <f>INDEX('Fuel Model -  Input'!$B$3:$N$373,MATCH($B2720,'Fuel Model -  Input'!$B$3:$B$373,0),MATCH(J$2,'Fuel Model -  Input'!$B$3:$N$3,0))</f>
        <v>4.0750976079650867</v>
      </c>
      <c r="K2720" s="521">
        <f>INDEX('Fuel Model -  Input'!$B$3:$N$373,MATCH($B2720,'Fuel Model -  Input'!$B$3:$B$373,0),MATCH(K$2,'Fuel Model -  Input'!$B$3:$N$3,0))</f>
        <v>3.9471975943465938</v>
      </c>
      <c r="L2720" s="521">
        <f>INDEX('Fuel Model -  Input'!$B$3:$N$373,MATCH($B2720,'Fuel Model -  Input'!$B$3:$B$373,0),MATCH(L$2,'Fuel Model -  Input'!$B$3:$N$3,0))</f>
        <v>3.8192975807281004</v>
      </c>
      <c r="M2720" s="521">
        <f>INDEX('Fuel Model -  Input'!$B$3:$N$373,MATCH($B2720,'Fuel Model -  Input'!$B$3:$B$373,0),MATCH(M$2,'Fuel Model -  Input'!$B$3:$N$3,0))</f>
        <v>3.6913975671096071</v>
      </c>
    </row>
    <row r="2721" spans="2:14" hidden="1" outlineLevel="2" x14ac:dyDescent="0.2">
      <c r="B2721" s="3" t="str">
        <f>+C2721&amp;D2721&amp;E2721&amp;F2721</f>
        <v>Middle EastFeedstockCost of Organic wet wasteUSD/ton</v>
      </c>
      <c r="C2721" t="s">
        <v>197</v>
      </c>
      <c r="D2721" t="s">
        <v>777</v>
      </c>
      <c r="E2721" t="s">
        <v>1242</v>
      </c>
      <c r="F2721" t="s">
        <v>205</v>
      </c>
      <c r="G2721" s="532">
        <f>INDEX('Fuel Model -  Input'!$B$3:$N$373,MATCH($B2721,'Fuel Model -  Input'!$B$3:$B$373,0),MATCH(G$2,'Fuel Model -  Input'!$B$3:$N$3,0))</f>
        <v>50</v>
      </c>
      <c r="H2721" s="532">
        <f>INDEX('Fuel Model -  Input'!$B$3:$N$373,MATCH($B2721,'Fuel Model -  Input'!$B$3:$B$373,0),MATCH(H$2,'Fuel Model -  Input'!$B$3:$N$3,0))</f>
        <v>50</v>
      </c>
      <c r="I2721" s="532">
        <f>INDEX('Fuel Model -  Input'!$B$3:$N$373,MATCH($B2721,'Fuel Model -  Input'!$B$3:$B$373,0),MATCH(I$2,'Fuel Model -  Input'!$B$3:$N$3,0))</f>
        <v>50</v>
      </c>
      <c r="J2721" s="532">
        <f>INDEX('Fuel Model -  Input'!$B$3:$N$373,MATCH($B2721,'Fuel Model -  Input'!$B$3:$B$373,0),MATCH(J$2,'Fuel Model -  Input'!$B$3:$N$3,0))</f>
        <v>50</v>
      </c>
      <c r="K2721" s="532">
        <f>INDEX('Fuel Model -  Input'!$B$3:$N$373,MATCH($B2721,'Fuel Model -  Input'!$B$3:$B$373,0),MATCH(K$2,'Fuel Model -  Input'!$B$3:$N$3,0))</f>
        <v>50</v>
      </c>
      <c r="L2721" s="532">
        <f>INDEX('Fuel Model -  Input'!$B$3:$N$373,MATCH($B2721,'Fuel Model -  Input'!$B$3:$B$373,0),MATCH(L$2,'Fuel Model -  Input'!$B$3:$N$3,0))</f>
        <v>50</v>
      </c>
      <c r="M2721" s="532">
        <f>INDEX('Fuel Model -  Input'!$B$3:$N$373,MATCH($B2721,'Fuel Model -  Input'!$B$3:$B$373,0),MATCH(M$2,'Fuel Model -  Input'!$B$3:$N$3,0))</f>
        <v>50</v>
      </c>
    </row>
    <row r="2722" spans="2:14" ht="12.75" hidden="1" outlineLevel="1" x14ac:dyDescent="0.2">
      <c r="F2722"/>
    </row>
    <row r="2723" spans="2:14" ht="15" hidden="1" outlineLevel="1" collapsed="1" x14ac:dyDescent="0.25">
      <c r="B2723" s="30" t="s">
        <v>198</v>
      </c>
      <c r="C2723" s="30" t="str">
        <f>+B2723</f>
        <v>Asia</v>
      </c>
      <c r="D2723" s="30"/>
      <c r="E2723" s="30"/>
      <c r="F2723" s="30"/>
      <c r="G2723" s="30"/>
      <c r="H2723" s="30"/>
      <c r="I2723" s="30"/>
      <c r="J2723" s="30"/>
      <c r="K2723" s="30"/>
      <c r="L2723" s="30"/>
      <c r="M2723" s="30"/>
    </row>
    <row r="2724" spans="2:14" ht="15" hidden="1" outlineLevel="2" x14ac:dyDescent="0.25">
      <c r="B2724" t="str">
        <f>+C2724&amp;D2724&amp;E2724&amp;F2724</f>
        <v>AsiaResultsTotal cost of biomethaneUSD/ton</v>
      </c>
      <c r="C2724" t="str">
        <f>+$C$2723</f>
        <v>Asia</v>
      </c>
      <c r="D2724" s="30" t="s">
        <v>838</v>
      </c>
      <c r="E2724" s="405" t="s">
        <v>1258</v>
      </c>
      <c r="F2724" s="127" t="s">
        <v>205</v>
      </c>
      <c r="G2724" s="490">
        <f>+SUM(G2725:G2727)</f>
        <v>1282.7677903683307</v>
      </c>
      <c r="H2724" s="490">
        <f t="shared" ref="H2724:M2724" si="1543">+SUM(H2725:H2727)</f>
        <v>1157.8865856440693</v>
      </c>
      <c r="I2724" s="490">
        <f t="shared" si="1543"/>
        <v>1073.3647385032984</v>
      </c>
      <c r="J2724" s="490">
        <f t="shared" si="1543"/>
        <v>1002.0179213579063</v>
      </c>
      <c r="K2724" s="490">
        <f t="shared" si="1543"/>
        <v>934.74617299687588</v>
      </c>
      <c r="L2724" s="490">
        <f t="shared" si="1543"/>
        <v>867.19643949903082</v>
      </c>
      <c r="M2724" s="490">
        <f t="shared" si="1543"/>
        <v>802.08400327428262</v>
      </c>
    </row>
    <row r="2725" spans="2:14" ht="15" hidden="1" outlineLevel="2" x14ac:dyDescent="0.25">
      <c r="B2725" t="str">
        <f>+C2725&amp;D2725&amp;E2725&amp;F2725</f>
        <v>AsiaResultsTotal Capex biomethaneUSD/ton</v>
      </c>
      <c r="C2725" t="str">
        <f>+$C$2723</f>
        <v>Asia</v>
      </c>
      <c r="D2725" s="30" t="s">
        <v>838</v>
      </c>
      <c r="E2725" s="228" t="s">
        <v>1259</v>
      </c>
      <c r="F2725" s="127" t="s">
        <v>205</v>
      </c>
      <c r="G2725" s="490">
        <f>+G2738</f>
        <v>572.92139234957222</v>
      </c>
      <c r="H2725" s="490">
        <f t="shared" ref="H2725:M2725" si="1544">+H2738</f>
        <v>535.20819791503743</v>
      </c>
      <c r="I2725" s="490">
        <f t="shared" si="1544"/>
        <v>497.49500348050253</v>
      </c>
      <c r="J2725" s="490">
        <f t="shared" si="1544"/>
        <v>459.78180904596769</v>
      </c>
      <c r="K2725" s="490">
        <f t="shared" si="1544"/>
        <v>422.06861461143285</v>
      </c>
      <c r="L2725" s="490">
        <f t="shared" si="1544"/>
        <v>384.35542017689801</v>
      </c>
      <c r="M2725" s="490">
        <f t="shared" si="1544"/>
        <v>346.64222574236317</v>
      </c>
    </row>
    <row r="2726" spans="2:14" ht="15" hidden="1" outlineLevel="2" x14ac:dyDescent="0.25">
      <c r="B2726" t="str">
        <f>+C2726&amp;D2726&amp;E2726&amp;F2726</f>
        <v>AsiaResultsTotal Opex biomethaneUSD/ton</v>
      </c>
      <c r="C2726" t="str">
        <f>+$C$2723</f>
        <v>Asia</v>
      </c>
      <c r="D2726" s="30" t="s">
        <v>838</v>
      </c>
      <c r="E2726" s="228" t="s">
        <v>1260</v>
      </c>
      <c r="F2726" s="127" t="s">
        <v>205</v>
      </c>
      <c r="G2726" s="490">
        <f>SUM(G2730,G2736)</f>
        <v>438.90651557773003</v>
      </c>
      <c r="H2726" s="490">
        <f t="shared" ref="H2726:M2726" si="1545">SUM(H2730,H2736)</f>
        <v>388.00850596892826</v>
      </c>
      <c r="I2726" s="490">
        <f t="shared" si="1545"/>
        <v>358.71985394361684</v>
      </c>
      <c r="J2726" s="490">
        <f t="shared" si="1545"/>
        <v>333.23123191368438</v>
      </c>
      <c r="K2726" s="490">
        <f t="shared" si="1545"/>
        <v>311.81767866811333</v>
      </c>
      <c r="L2726" s="490">
        <f t="shared" si="1545"/>
        <v>290.12614028572784</v>
      </c>
      <c r="M2726" s="490">
        <f t="shared" si="1545"/>
        <v>270.87189917643906</v>
      </c>
    </row>
    <row r="2727" spans="2:14" ht="15" hidden="1" outlineLevel="2" x14ac:dyDescent="0.25">
      <c r="B2727" t="str">
        <f>+C2727&amp;D2727&amp;E2727&amp;F2727</f>
        <v>AsiaResultsTotal Raw Material biomethaneUSD/ton</v>
      </c>
      <c r="C2727" t="str">
        <f>+$C$2723</f>
        <v>Asia</v>
      </c>
      <c r="D2727" s="30" t="s">
        <v>838</v>
      </c>
      <c r="E2727" s="228" t="s">
        <v>1261</v>
      </c>
      <c r="F2727" s="127" t="s">
        <v>205</v>
      </c>
      <c r="G2727" s="490">
        <f>+G2742+G2729</f>
        <v>270.93988244102837</v>
      </c>
      <c r="H2727" s="490">
        <f t="shared" ref="H2727:M2727" si="1546">+H2742+H2729</f>
        <v>234.66988176010366</v>
      </c>
      <c r="I2727" s="490">
        <f t="shared" si="1546"/>
        <v>217.14988107917901</v>
      </c>
      <c r="J2727" s="490">
        <f t="shared" si="1546"/>
        <v>209.00488039825433</v>
      </c>
      <c r="K2727" s="490">
        <f t="shared" si="1546"/>
        <v>200.85987971732968</v>
      </c>
      <c r="L2727" s="490">
        <f t="shared" si="1546"/>
        <v>192.71487903640502</v>
      </c>
      <c r="M2727" s="490">
        <f t="shared" si="1546"/>
        <v>184.56987835548034</v>
      </c>
    </row>
    <row r="2728" spans="2:14" hidden="1" outlineLevel="2" x14ac:dyDescent="0.2">
      <c r="E2728" s="48"/>
      <c r="F2728" s="128"/>
      <c r="G2728" s="8"/>
      <c r="H2728" s="8"/>
      <c r="I2728" s="8"/>
      <c r="J2728" s="8"/>
      <c r="K2728" s="8"/>
      <c r="L2728" s="8"/>
      <c r="M2728" s="8"/>
    </row>
    <row r="2729" spans="2:14" hidden="1" outlineLevel="2" x14ac:dyDescent="0.2">
      <c r="B2729" s="48" t="str">
        <f t="shared" ref="B2729:B2734" si="1547">+C2729&amp;D2729&amp;E2729&amp;F2729</f>
        <v>AsiaResultsCost of NG for CH4USD/ton CH4</v>
      </c>
      <c r="C2729" t="str">
        <f>+$C$2723</f>
        <v>Asia</v>
      </c>
      <c r="D2729" t="s">
        <v>838</v>
      </c>
      <c r="E2729" t="s">
        <v>1262</v>
      </c>
      <c r="F2729" s="450" t="s">
        <v>1263</v>
      </c>
      <c r="G2729" s="8">
        <f>+G2731*G2732</f>
        <v>48.000000000000007</v>
      </c>
      <c r="H2729" s="8">
        <f t="shared" ref="H2729:M2729" si="1548">+H2731*H2732</f>
        <v>18.125000000000004</v>
      </c>
      <c r="I2729" s="8">
        <f t="shared" si="1548"/>
        <v>7.0000000000000018</v>
      </c>
      <c r="J2729" s="8">
        <f t="shared" si="1548"/>
        <v>5.2500000000000009</v>
      </c>
      <c r="K2729" s="8">
        <f t="shared" si="1548"/>
        <v>3.5000000000000009</v>
      </c>
      <c r="L2729" s="8">
        <f t="shared" si="1548"/>
        <v>1.7500000000000004</v>
      </c>
      <c r="M2729" s="8">
        <f t="shared" si="1548"/>
        <v>0</v>
      </c>
    </row>
    <row r="2730" spans="2:14" hidden="1" outlineLevel="2" x14ac:dyDescent="0.2">
      <c r="B2730" s="3" t="str">
        <f t="shared" si="1547"/>
        <v>AsiaResultsCost of electricity for CH4USD/ton CH4</v>
      </c>
      <c r="C2730" t="str">
        <f>+$C$2723</f>
        <v>Asia</v>
      </c>
      <c r="D2730" t="s">
        <v>838</v>
      </c>
      <c r="E2730" t="s">
        <v>1234</v>
      </c>
      <c r="F2730" s="450" t="s">
        <v>1263</v>
      </c>
      <c r="G2730" s="337">
        <f>+G2733*G2734</f>
        <v>97.848562185795956</v>
      </c>
      <c r="H2730" s="337">
        <f t="shared" ref="H2730:M2730" si="1549">+H2733*H2734</f>
        <v>64.374181237560791</v>
      </c>
      <c r="I2730" s="337">
        <f t="shared" si="1549"/>
        <v>52.509157872815983</v>
      </c>
      <c r="J2730" s="337">
        <f t="shared" si="1549"/>
        <v>44.444164503450097</v>
      </c>
      <c r="K2730" s="337">
        <f t="shared" si="1549"/>
        <v>40.454239918445623</v>
      </c>
      <c r="L2730" s="337">
        <f t="shared" si="1549"/>
        <v>36.186330196626812</v>
      </c>
      <c r="M2730" s="337">
        <f t="shared" si="1549"/>
        <v>34.355717747904599</v>
      </c>
      <c r="N2730" s="93"/>
    </row>
    <row r="2731" spans="2:14" hidden="1" outlineLevel="2" x14ac:dyDescent="0.2">
      <c r="B2731" s="3" t="str">
        <f t="shared" si="1547"/>
        <v>AsiaFeedstockCost of NGUSD/ton</v>
      </c>
      <c r="C2731" t="str">
        <f>+$C$2723</f>
        <v>Asia</v>
      </c>
      <c r="D2731" t="s">
        <v>777</v>
      </c>
      <c r="E2731" t="s">
        <v>1144</v>
      </c>
      <c r="F2731" s="450" t="s">
        <v>205</v>
      </c>
      <c r="G2731" s="532">
        <f>INDEX('Fuel Model -  Input'!$B$3:$N$373,MATCH($B2731,'Fuel Model -  Input'!$B$3:$B$373,0),MATCH(G$2,'Fuel Model -  Input'!$B$3:$N$3,0))</f>
        <v>1600</v>
      </c>
      <c r="H2731" s="532">
        <f>INDEX('Fuel Model -  Input'!$B$3:$N$373,MATCH($B2731,'Fuel Model -  Input'!$B$3:$B$373,0),MATCH(H$2,'Fuel Model -  Input'!$B$3:$N$3,0))</f>
        <v>725</v>
      </c>
      <c r="I2731" s="532">
        <f>INDEX('Fuel Model -  Input'!$B$3:$N$373,MATCH($B2731,'Fuel Model -  Input'!$B$3:$B$373,0),MATCH(I$2,'Fuel Model -  Input'!$B$3:$N$3,0))</f>
        <v>350</v>
      </c>
      <c r="J2731" s="532">
        <f>INDEX('Fuel Model -  Input'!$B$3:$N$373,MATCH($B2731,'Fuel Model -  Input'!$B$3:$B$373,0),MATCH(J$2,'Fuel Model -  Input'!$B$3:$N$3,0))</f>
        <v>350</v>
      </c>
      <c r="K2731" s="532">
        <f>INDEX('Fuel Model -  Input'!$B$3:$N$373,MATCH($B2731,'Fuel Model -  Input'!$B$3:$B$373,0),MATCH(K$2,'Fuel Model -  Input'!$B$3:$N$3,0))</f>
        <v>350</v>
      </c>
      <c r="L2731" s="532">
        <f>INDEX('Fuel Model -  Input'!$B$3:$N$373,MATCH($B2731,'Fuel Model -  Input'!$B$3:$B$373,0),MATCH(L$2,'Fuel Model -  Input'!$B$3:$N$3,0))</f>
        <v>350</v>
      </c>
      <c r="M2731" s="532">
        <f>INDEX('Fuel Model -  Input'!$B$3:$N$373,MATCH($B2731,'Fuel Model -  Input'!$B$3:$B$373,0),MATCH(M$2,'Fuel Model -  Input'!$B$3:$N$3,0))</f>
        <v>350</v>
      </c>
      <c r="N2731" s="93"/>
    </row>
    <row r="2732" spans="2:14" hidden="1" outlineLevel="2" x14ac:dyDescent="0.2">
      <c r="B2732" s="3" t="str">
        <f t="shared" si="1547"/>
        <v>GlobalFeedstockNatural gasTon feedstock / ton fuel</v>
      </c>
      <c r="C2732" s="80" t="s">
        <v>109</v>
      </c>
      <c r="D2732" t="s">
        <v>777</v>
      </c>
      <c r="E2732" t="s">
        <v>204</v>
      </c>
      <c r="F2732" s="128" t="s">
        <v>1241</v>
      </c>
      <c r="G2732" s="521">
        <f>INDEX('Fuel Model -  Input'!$B$3:$N$373,MATCH($B2732,'Fuel Model -  Input'!$B$3:$B$373,0),MATCH(G$2,'Fuel Model -  Input'!$B$3:$N$3,0))</f>
        <v>3.0000000000000006E-2</v>
      </c>
      <c r="H2732" s="521">
        <f>INDEX('Fuel Model -  Input'!$B$3:$N$373,MATCH($B2732,'Fuel Model -  Input'!$B$3:$B$373,0),MATCH(H$2,'Fuel Model -  Input'!$B$3:$N$3,0))</f>
        <v>2.5000000000000005E-2</v>
      </c>
      <c r="I2732" s="521">
        <f>INDEX('Fuel Model -  Input'!$B$3:$N$373,MATCH($B2732,'Fuel Model -  Input'!$B$3:$B$373,0),MATCH(I$2,'Fuel Model -  Input'!$B$3:$N$3,0))</f>
        <v>2.0000000000000004E-2</v>
      </c>
      <c r="J2732" s="521">
        <f>INDEX('Fuel Model -  Input'!$B$3:$N$373,MATCH($B2732,'Fuel Model -  Input'!$B$3:$B$373,0),MATCH(J$2,'Fuel Model -  Input'!$B$3:$N$3,0))</f>
        <v>1.5000000000000003E-2</v>
      </c>
      <c r="K2732" s="521">
        <f>INDEX('Fuel Model -  Input'!$B$3:$N$373,MATCH($B2732,'Fuel Model -  Input'!$B$3:$B$373,0),MATCH(K$2,'Fuel Model -  Input'!$B$3:$N$3,0))</f>
        <v>1.0000000000000002E-2</v>
      </c>
      <c r="L2732" s="521">
        <f>INDEX('Fuel Model -  Input'!$B$3:$N$373,MATCH($B2732,'Fuel Model -  Input'!$B$3:$B$373,0),MATCH(L$2,'Fuel Model -  Input'!$B$3:$N$3,0))</f>
        <v>5.000000000000001E-3</v>
      </c>
      <c r="M2732" s="521">
        <f>INDEX('Fuel Model -  Input'!$B$3:$N$373,MATCH($B2732,'Fuel Model -  Input'!$B$3:$B$373,0),MATCH(M$2,'Fuel Model -  Input'!$B$3:$N$3,0))</f>
        <v>0</v>
      </c>
      <c r="N2732" s="93"/>
    </row>
    <row r="2733" spans="2:14" hidden="1" outlineLevel="2" x14ac:dyDescent="0.2">
      <c r="B2733" s="12" t="str">
        <f t="shared" si="1547"/>
        <v>GlobalFeedstockLBM plant Electricity demandMwH/ton LBM</v>
      </c>
      <c r="C2733" s="80" t="s">
        <v>109</v>
      </c>
      <c r="D2733" t="s">
        <v>777</v>
      </c>
      <c r="E2733" t="s">
        <v>1264</v>
      </c>
      <c r="F2733" s="128" t="s">
        <v>1265</v>
      </c>
      <c r="G2733" s="521">
        <f>INDEX('Fuel Model -  Input'!$B$3:$N$373,MATCH($B2733,'Fuel Model -  Input'!$B$3:$B$373,0),MATCH(G$2,'Fuel Model -  Input'!$B$3:$N$3,0))</f>
        <v>1.192378158163339</v>
      </c>
      <c r="H2733" s="521">
        <f>INDEX('Fuel Model -  Input'!$B$3:$N$373,MATCH($B2733,'Fuel Model -  Input'!$B$3:$B$373,0),MATCH(H$2,'Fuel Model -  Input'!$B$3:$N$3,0))</f>
        <v>1.2026215180379118</v>
      </c>
      <c r="I2733" s="521">
        <f>INDEX('Fuel Model -  Input'!$B$3:$N$373,MATCH($B2733,'Fuel Model -  Input'!$B$3:$B$373,0),MATCH(I$2,'Fuel Model -  Input'!$B$3:$N$3,0))</f>
        <v>1.2128648779124849</v>
      </c>
      <c r="J2733" s="521">
        <f>INDEX('Fuel Model -  Input'!$B$3:$N$373,MATCH($B2733,'Fuel Model -  Input'!$B$3:$B$373,0),MATCH(J$2,'Fuel Model -  Input'!$B$3:$N$3,0))</f>
        <v>1.2231082377870577</v>
      </c>
      <c r="K2733" s="521">
        <f>INDEX('Fuel Model -  Input'!$B$3:$N$373,MATCH($B2733,'Fuel Model -  Input'!$B$3:$B$373,0),MATCH(K$2,'Fuel Model -  Input'!$B$3:$N$3,0))</f>
        <v>1.2333515976616307</v>
      </c>
      <c r="L2733" s="521">
        <f>INDEX('Fuel Model -  Input'!$B$3:$N$373,MATCH($B2733,'Fuel Model -  Input'!$B$3:$B$373,0),MATCH(L$2,'Fuel Model -  Input'!$B$3:$N$3,0))</f>
        <v>1.2435949575362035</v>
      </c>
      <c r="M2733" s="521">
        <f>INDEX('Fuel Model -  Input'!$B$3:$N$373,MATCH($B2733,'Fuel Model -  Input'!$B$3:$B$373,0),MATCH(M$2,'Fuel Model -  Input'!$B$3:$N$3,0))</f>
        <v>1.2538383174107766</v>
      </c>
      <c r="N2733" s="93"/>
    </row>
    <row r="2734" spans="2:14" hidden="1" outlineLevel="2" x14ac:dyDescent="0.2">
      <c r="B2734" s="12" t="str">
        <f t="shared" si="1547"/>
        <v>AsiaFeedstockElectricityUSD/MWh</v>
      </c>
      <c r="C2734" t="str">
        <f>+$C$2723</f>
        <v>Asia</v>
      </c>
      <c r="D2734" t="s">
        <v>777</v>
      </c>
      <c r="E2734" t="s">
        <v>54</v>
      </c>
      <c r="F2734" s="450" t="s">
        <v>196</v>
      </c>
      <c r="G2734" s="532">
        <f>INDEX('Fuel Model -  Input'!$B$3:$N$373,MATCH($B2734,'Fuel Model -  Input'!$B$3:$B$373,0),MATCH(G$2,'Fuel Model -  Input'!$B$3:$N$3,0))</f>
        <v>82.061686148726054</v>
      </c>
      <c r="H2734" s="532">
        <f>INDEX('Fuel Model -  Input'!$B$3:$N$373,MATCH($B2734,'Fuel Model -  Input'!$B$3:$B$373,0),MATCH(H$2,'Fuel Model -  Input'!$B$3:$N$3,0))</f>
        <v>53.528213383864831</v>
      </c>
      <c r="I2734" s="532">
        <f>INDEX('Fuel Model -  Input'!$B$3:$N$373,MATCH($B2734,'Fuel Model -  Input'!$B$3:$B$373,0),MATCH(I$2,'Fuel Model -  Input'!$B$3:$N$3,0))</f>
        <v>43.29349363565693</v>
      </c>
      <c r="J2734" s="532">
        <f>INDEX('Fuel Model -  Input'!$B$3:$N$373,MATCH($B2734,'Fuel Model -  Input'!$B$3:$B$373,0),MATCH(J$2,'Fuel Model -  Input'!$B$3:$N$3,0))</f>
        <v>36.337065788929628</v>
      </c>
      <c r="K2734" s="532">
        <f>INDEX('Fuel Model -  Input'!$B$3:$N$373,MATCH($B2734,'Fuel Model -  Input'!$B$3:$B$373,0),MATCH(K$2,'Fuel Model -  Input'!$B$3:$N$3,0))</f>
        <v>32.800249332911001</v>
      </c>
      <c r="L2734" s="532">
        <f>INDEX('Fuel Model -  Input'!$B$3:$N$373,MATCH($B2734,'Fuel Model -  Input'!$B$3:$B$373,0),MATCH(L$2,'Fuel Model -  Input'!$B$3:$N$3,0))</f>
        <v>29.0981641388437</v>
      </c>
      <c r="M2734" s="532">
        <f>INDEX('Fuel Model -  Input'!$B$3:$N$373,MATCH($B2734,'Fuel Model -  Input'!$B$3:$B$373,0),MATCH(M$2,'Fuel Model -  Input'!$B$3:$N$3,0))</f>
        <v>27.400436938991028</v>
      </c>
      <c r="N2734" s="93"/>
    </row>
    <row r="2735" spans="2:14" ht="12.75" hidden="1" outlineLevel="2" x14ac:dyDescent="0.2">
      <c r="F2735"/>
      <c r="G2735" s="24"/>
      <c r="H2735" s="24"/>
      <c r="I2735" s="24"/>
      <c r="J2735" s="24"/>
      <c r="K2735" s="24"/>
      <c r="L2735" s="24"/>
      <c r="M2735" s="24"/>
    </row>
    <row r="2736" spans="2:14" hidden="1" outlineLevel="2" x14ac:dyDescent="0.2">
      <c r="B2736" t="str">
        <f>+C2736&amp;D2736&amp;E2736&amp;F2736</f>
        <v>GlobalOPEXLBM plant opexUSD/ton LBM</v>
      </c>
      <c r="C2736" t="s">
        <v>109</v>
      </c>
      <c r="D2736" t="s">
        <v>319</v>
      </c>
      <c r="E2736" t="s">
        <v>1266</v>
      </c>
      <c r="F2736" s="128" t="s">
        <v>1267</v>
      </c>
      <c r="G2736" s="532">
        <f>INDEX('Fuel Model -  Input'!$B$3:$N$373,MATCH($B2736,'Fuel Model -  Input'!$B$3:$B$373,0),MATCH(G$2,'Fuel Model -  Input'!$B$3:$N$3,0))</f>
        <v>341.05795339193406</v>
      </c>
      <c r="H2736" s="532">
        <f>INDEX('Fuel Model -  Input'!$B$3:$N$373,MATCH($B2736,'Fuel Model -  Input'!$B$3:$B$373,0),MATCH(H$2,'Fuel Model -  Input'!$B$3:$N$3,0))</f>
        <v>323.63432473136749</v>
      </c>
      <c r="I2736" s="532">
        <f>INDEX('Fuel Model -  Input'!$B$3:$N$373,MATCH($B2736,'Fuel Model -  Input'!$B$3:$B$373,0),MATCH(I$2,'Fuel Model -  Input'!$B$3:$N$3,0))</f>
        <v>306.21069607080085</v>
      </c>
      <c r="J2736" s="532">
        <f>INDEX('Fuel Model -  Input'!$B$3:$N$373,MATCH($B2736,'Fuel Model -  Input'!$B$3:$B$373,0),MATCH(J$2,'Fuel Model -  Input'!$B$3:$N$3,0))</f>
        <v>288.78706741023427</v>
      </c>
      <c r="K2736" s="532">
        <f>INDEX('Fuel Model -  Input'!$B$3:$N$373,MATCH($B2736,'Fuel Model -  Input'!$B$3:$B$373,0),MATCH(K$2,'Fuel Model -  Input'!$B$3:$N$3,0))</f>
        <v>271.36343874966769</v>
      </c>
      <c r="L2736" s="532">
        <f>INDEX('Fuel Model -  Input'!$B$3:$N$373,MATCH($B2736,'Fuel Model -  Input'!$B$3:$B$373,0),MATCH(L$2,'Fuel Model -  Input'!$B$3:$N$3,0))</f>
        <v>253.93981008910106</v>
      </c>
      <c r="M2736" s="532">
        <f>INDEX('Fuel Model -  Input'!$B$3:$N$373,MATCH($B2736,'Fuel Model -  Input'!$B$3:$B$373,0),MATCH(M$2,'Fuel Model -  Input'!$B$3:$N$3,0))</f>
        <v>236.51618142853448</v>
      </c>
    </row>
    <row r="2737" spans="2:13" hidden="1" outlineLevel="2" x14ac:dyDescent="0.2">
      <c r="B2737" s="3"/>
      <c r="E2737" s="48"/>
      <c r="F2737" s="128"/>
      <c r="G2737" s="524"/>
      <c r="H2737" s="524"/>
      <c r="I2737" s="524"/>
      <c r="J2737" s="524"/>
      <c r="K2737" s="524"/>
      <c r="L2737" s="524"/>
      <c r="M2737" s="524"/>
    </row>
    <row r="2738" spans="2:13" hidden="1" outlineLevel="2" x14ac:dyDescent="0.2">
      <c r="B2738" t="str">
        <f>+C2738&amp;D2738&amp;E2738&amp;F2738</f>
        <v>AsiaPlant capexAnnual capex (AD)USD/ton Biomethane</v>
      </c>
      <c r="C2738" t="str">
        <f>+$C$2723</f>
        <v>Asia</v>
      </c>
      <c r="D2738" t="s">
        <v>786</v>
      </c>
      <c r="E2738" s="48" t="s">
        <v>1268</v>
      </c>
      <c r="F2738" s="128" t="s">
        <v>1269</v>
      </c>
      <c r="G2738" s="8">
        <f>+G2740/G2739</f>
        <v>572.92139234957222</v>
      </c>
      <c r="H2738" s="8">
        <f t="shared" ref="H2738" si="1550">+H2740/H2739</f>
        <v>535.20819791503743</v>
      </c>
      <c r="I2738" s="8">
        <f t="shared" ref="I2738" si="1551">+I2740/I2739</f>
        <v>497.49500348050253</v>
      </c>
      <c r="J2738" s="8">
        <f t="shared" ref="J2738" si="1552">+J2740/J2739</f>
        <v>459.78180904596769</v>
      </c>
      <c r="K2738" s="8">
        <f t="shared" ref="K2738" si="1553">+K2740/K2739</f>
        <v>422.06861461143285</v>
      </c>
      <c r="L2738" s="8">
        <f t="shared" ref="L2738" si="1554">+L2740/L2739</f>
        <v>384.35542017689801</v>
      </c>
      <c r="M2738" s="8">
        <f t="shared" ref="M2738" si="1555">+M2740/M2739</f>
        <v>346.64222574236317</v>
      </c>
    </row>
    <row r="2739" spans="2:13" hidden="1" outlineLevel="2" x14ac:dyDescent="0.2">
      <c r="B2739" s="3" t="str">
        <f>+C2739&amp;D2739&amp;E2739&amp;F2739</f>
        <v>GlobalPlant capexAnnualisation factor#</v>
      </c>
      <c r="C2739" t="s">
        <v>109</v>
      </c>
      <c r="D2739" t="s">
        <v>786</v>
      </c>
      <c r="E2739" t="s">
        <v>764</v>
      </c>
      <c r="F2739" s="450" t="s">
        <v>787</v>
      </c>
      <c r="G2739" s="532">
        <f>INDEX('Fuel Model -  Input'!$B$3:$N$373,MATCH($B2739,'Fuel Model -  Input'!$B$3:$B$373,0),MATCH(G$2,'Fuel Model -  Input'!$B$3:$N$3,0))</f>
        <v>11.32075471698113</v>
      </c>
      <c r="H2739" s="532">
        <f>INDEX('Fuel Model -  Input'!$B$3:$N$373,MATCH($B2739,'Fuel Model -  Input'!$B$3:$B$373,0),MATCH(H$2,'Fuel Model -  Input'!$B$3:$N$3,0))</f>
        <v>11.32075471698113</v>
      </c>
      <c r="I2739" s="532">
        <f>INDEX('Fuel Model -  Input'!$B$3:$N$373,MATCH($B2739,'Fuel Model -  Input'!$B$3:$B$373,0),MATCH(I$2,'Fuel Model -  Input'!$B$3:$N$3,0))</f>
        <v>11.32075471698113</v>
      </c>
      <c r="J2739" s="532">
        <f>INDEX('Fuel Model -  Input'!$B$3:$N$373,MATCH($B2739,'Fuel Model -  Input'!$B$3:$B$373,0),MATCH(J$2,'Fuel Model -  Input'!$B$3:$N$3,0))</f>
        <v>11.32075471698113</v>
      </c>
      <c r="K2739" s="532">
        <f>INDEX('Fuel Model -  Input'!$B$3:$N$373,MATCH($B2739,'Fuel Model -  Input'!$B$3:$B$373,0),MATCH(K$2,'Fuel Model -  Input'!$B$3:$N$3,0))</f>
        <v>11.32075471698113</v>
      </c>
      <c r="L2739" s="532">
        <f>INDEX('Fuel Model -  Input'!$B$3:$N$373,MATCH($B2739,'Fuel Model -  Input'!$B$3:$B$373,0),MATCH(L$2,'Fuel Model -  Input'!$B$3:$N$3,0))</f>
        <v>11.32075471698113</v>
      </c>
      <c r="M2739" s="532">
        <f>INDEX('Fuel Model -  Input'!$B$3:$N$373,MATCH($B2739,'Fuel Model -  Input'!$B$3:$B$373,0),MATCH(M$2,'Fuel Model -  Input'!$B$3:$N$3,0))</f>
        <v>11.32075471698113</v>
      </c>
    </row>
    <row r="2740" spans="2:13" hidden="1" outlineLevel="2" x14ac:dyDescent="0.2">
      <c r="B2740" s="3" t="str">
        <f>+C2740&amp;D2740&amp;E2740&amp;F2740</f>
        <v>GlobalCAPEXLBM plantUSD/ton LBM capacity</v>
      </c>
      <c r="C2740" t="s">
        <v>109</v>
      </c>
      <c r="D2740" t="s">
        <v>50</v>
      </c>
      <c r="E2740" t="s">
        <v>1270</v>
      </c>
      <c r="F2740" s="128" t="s">
        <v>1271</v>
      </c>
      <c r="G2740" s="532">
        <f>INDEX('Fuel Model -  Input'!$B$3:$N$373,MATCH($B2740,'Fuel Model -  Input'!$B$3:$B$373,0),MATCH(G$2,'Fuel Model -  Input'!$B$3:$N$3,0))</f>
        <v>6485.9025549008165</v>
      </c>
      <c r="H2740" s="532">
        <f>INDEX('Fuel Model -  Input'!$B$3:$N$373,MATCH($B2740,'Fuel Model -  Input'!$B$3:$B$373,0),MATCH(H$2,'Fuel Model -  Input'!$B$3:$N$3,0))</f>
        <v>6058.9607311136297</v>
      </c>
      <c r="I2740" s="532">
        <f>INDEX('Fuel Model -  Input'!$B$3:$N$373,MATCH($B2740,'Fuel Model -  Input'!$B$3:$B$373,0),MATCH(I$2,'Fuel Model -  Input'!$B$3:$N$3,0))</f>
        <v>5632.0189073264428</v>
      </c>
      <c r="J2740" s="532">
        <f>INDEX('Fuel Model -  Input'!$B$3:$N$373,MATCH($B2740,'Fuel Model -  Input'!$B$3:$B$373,0),MATCH(J$2,'Fuel Model -  Input'!$B$3:$N$3,0))</f>
        <v>5205.0770835392559</v>
      </c>
      <c r="K2740" s="532">
        <f>INDEX('Fuel Model -  Input'!$B$3:$N$373,MATCH($B2740,'Fuel Model -  Input'!$B$3:$B$373,0),MATCH(K$2,'Fuel Model -  Input'!$B$3:$N$3,0))</f>
        <v>4778.135259752069</v>
      </c>
      <c r="L2740" s="532">
        <f>INDEX('Fuel Model -  Input'!$B$3:$N$373,MATCH($B2740,'Fuel Model -  Input'!$B$3:$B$373,0),MATCH(L$2,'Fuel Model -  Input'!$B$3:$N$3,0))</f>
        <v>4351.1934359648822</v>
      </c>
      <c r="M2740" s="532">
        <f>INDEX('Fuel Model -  Input'!$B$3:$N$373,MATCH($B2740,'Fuel Model -  Input'!$B$3:$B$373,0),MATCH(M$2,'Fuel Model -  Input'!$B$3:$N$3,0))</f>
        <v>3924.2516121776953</v>
      </c>
    </row>
    <row r="2741" spans="2:13" ht="12.75" hidden="1" outlineLevel="2" x14ac:dyDescent="0.2">
      <c r="F2741"/>
    </row>
    <row r="2742" spans="2:13" hidden="1" outlineLevel="2" x14ac:dyDescent="0.2">
      <c r="B2742" s="78" t="str">
        <f>+C2742&amp;D2742&amp;E2742&amp;F2742</f>
        <v>AsiaFeedstockMunicipal waste costUSD/ton Biogas</v>
      </c>
      <c r="C2742" t="str">
        <f>+$C$2723</f>
        <v>Asia</v>
      </c>
      <c r="D2742" t="s">
        <v>777</v>
      </c>
      <c r="E2742" t="s">
        <v>1272</v>
      </c>
      <c r="F2742" s="128" t="s">
        <v>1273</v>
      </c>
      <c r="G2742" s="526">
        <f t="shared" ref="G2742:M2742" si="1556">G2743*G2744</f>
        <v>222.93988244102835</v>
      </c>
      <c r="H2742" s="526">
        <f t="shared" si="1556"/>
        <v>216.54488176010366</v>
      </c>
      <c r="I2742" s="526">
        <f t="shared" si="1556"/>
        <v>210.14988107917901</v>
      </c>
      <c r="J2742" s="526">
        <f t="shared" si="1556"/>
        <v>203.75488039825433</v>
      </c>
      <c r="K2742" s="526">
        <f t="shared" si="1556"/>
        <v>197.35987971732968</v>
      </c>
      <c r="L2742" s="526">
        <f t="shared" si="1556"/>
        <v>190.96487903640502</v>
      </c>
      <c r="M2742" s="526">
        <f t="shared" si="1556"/>
        <v>184.56987835548034</v>
      </c>
    </row>
    <row r="2743" spans="2:13" hidden="1" outlineLevel="2" x14ac:dyDescent="0.2">
      <c r="B2743" s="79" t="str">
        <f>+C2743&amp;D2743&amp;E2743&amp;F2743</f>
        <v>GlobalFeedstockConversion Organic wet waste : LBMTon feedstock / ton fuel</v>
      </c>
      <c r="C2743" t="s">
        <v>109</v>
      </c>
      <c r="D2743" t="s">
        <v>777</v>
      </c>
      <c r="E2743" s="48" t="s">
        <v>1274</v>
      </c>
      <c r="F2743" s="128" t="s">
        <v>1241</v>
      </c>
      <c r="G2743" s="521">
        <f>INDEX('Fuel Model -  Input'!$B$3:$N$373,MATCH($B2743,'Fuel Model -  Input'!$B$3:$B$373,0),MATCH(G$2,'Fuel Model -  Input'!$B$3:$N$3,0))</f>
        <v>4.4587976488205667</v>
      </c>
      <c r="H2743" s="521">
        <f>INDEX('Fuel Model -  Input'!$B$3:$N$373,MATCH($B2743,'Fuel Model -  Input'!$B$3:$B$373,0),MATCH(H$2,'Fuel Model -  Input'!$B$3:$N$3,0))</f>
        <v>4.3308976352020734</v>
      </c>
      <c r="I2743" s="521">
        <f>INDEX('Fuel Model -  Input'!$B$3:$N$373,MATCH($B2743,'Fuel Model -  Input'!$B$3:$B$373,0),MATCH(I$2,'Fuel Model -  Input'!$B$3:$N$3,0))</f>
        <v>4.20299762158358</v>
      </c>
      <c r="J2743" s="521">
        <f>INDEX('Fuel Model -  Input'!$B$3:$N$373,MATCH($B2743,'Fuel Model -  Input'!$B$3:$B$373,0),MATCH(J$2,'Fuel Model -  Input'!$B$3:$N$3,0))</f>
        <v>4.0750976079650867</v>
      </c>
      <c r="K2743" s="521">
        <f>INDEX('Fuel Model -  Input'!$B$3:$N$373,MATCH($B2743,'Fuel Model -  Input'!$B$3:$B$373,0),MATCH(K$2,'Fuel Model -  Input'!$B$3:$N$3,0))</f>
        <v>3.9471975943465938</v>
      </c>
      <c r="L2743" s="521">
        <f>INDEX('Fuel Model -  Input'!$B$3:$N$373,MATCH($B2743,'Fuel Model -  Input'!$B$3:$B$373,0),MATCH(L$2,'Fuel Model -  Input'!$B$3:$N$3,0))</f>
        <v>3.8192975807281004</v>
      </c>
      <c r="M2743" s="521">
        <f>INDEX('Fuel Model -  Input'!$B$3:$N$373,MATCH($B2743,'Fuel Model -  Input'!$B$3:$B$373,0),MATCH(M$2,'Fuel Model -  Input'!$B$3:$N$3,0))</f>
        <v>3.6913975671096071</v>
      </c>
    </row>
    <row r="2744" spans="2:13" hidden="1" outlineLevel="2" x14ac:dyDescent="0.2">
      <c r="B2744" s="3" t="str">
        <f>+C2744&amp;D2744&amp;E2744&amp;F2744</f>
        <v>AsiaFeedstockCost of Organic wet wasteUSD/ton</v>
      </c>
      <c r="C2744" t="s">
        <v>198</v>
      </c>
      <c r="D2744" t="s">
        <v>777</v>
      </c>
      <c r="E2744" t="s">
        <v>1242</v>
      </c>
      <c r="F2744" t="s">
        <v>205</v>
      </c>
      <c r="G2744" s="532">
        <f>INDEX('Fuel Model -  Input'!$B$3:$N$373,MATCH($B2744,'Fuel Model -  Input'!$B$3:$B$373,0),MATCH(G$2,'Fuel Model -  Input'!$B$3:$N$3,0))</f>
        <v>50</v>
      </c>
      <c r="H2744" s="532">
        <f>INDEX('Fuel Model -  Input'!$B$3:$N$373,MATCH($B2744,'Fuel Model -  Input'!$B$3:$B$373,0),MATCH(H$2,'Fuel Model -  Input'!$B$3:$N$3,0))</f>
        <v>50</v>
      </c>
      <c r="I2744" s="532">
        <f>INDEX('Fuel Model -  Input'!$B$3:$N$373,MATCH($B2744,'Fuel Model -  Input'!$B$3:$B$373,0),MATCH(I$2,'Fuel Model -  Input'!$B$3:$N$3,0))</f>
        <v>50</v>
      </c>
      <c r="J2744" s="532">
        <f>INDEX('Fuel Model -  Input'!$B$3:$N$373,MATCH($B2744,'Fuel Model -  Input'!$B$3:$B$373,0),MATCH(J$2,'Fuel Model -  Input'!$B$3:$N$3,0))</f>
        <v>50</v>
      </c>
      <c r="K2744" s="532">
        <f>INDEX('Fuel Model -  Input'!$B$3:$N$373,MATCH($B2744,'Fuel Model -  Input'!$B$3:$B$373,0),MATCH(K$2,'Fuel Model -  Input'!$B$3:$N$3,0))</f>
        <v>50</v>
      </c>
      <c r="L2744" s="532">
        <f>INDEX('Fuel Model -  Input'!$B$3:$N$373,MATCH($B2744,'Fuel Model -  Input'!$B$3:$B$373,0),MATCH(L$2,'Fuel Model -  Input'!$B$3:$N$3,0))</f>
        <v>50</v>
      </c>
      <c r="M2744" s="532">
        <f>INDEX('Fuel Model -  Input'!$B$3:$N$373,MATCH($B2744,'Fuel Model -  Input'!$B$3:$B$373,0),MATCH(M$2,'Fuel Model -  Input'!$B$3:$N$3,0))</f>
        <v>50</v>
      </c>
    </row>
    <row r="2745" spans="2:13" ht="12.75" hidden="1" outlineLevel="1" x14ac:dyDescent="0.2">
      <c r="F2745"/>
    </row>
    <row r="2746" spans="2:13" ht="15" hidden="1" outlineLevel="1" collapsed="1" x14ac:dyDescent="0.25">
      <c r="B2746" s="30" t="s">
        <v>199</v>
      </c>
      <c r="C2746" s="30" t="str">
        <f>+B2746</f>
        <v>Americas</v>
      </c>
      <c r="D2746" s="30"/>
      <c r="E2746" s="30"/>
      <c r="F2746" s="30"/>
      <c r="G2746" s="30"/>
      <c r="H2746" s="30"/>
      <c r="I2746" s="30"/>
      <c r="J2746" s="30"/>
      <c r="K2746" s="30"/>
      <c r="L2746" s="30"/>
      <c r="M2746" s="30"/>
    </row>
    <row r="2747" spans="2:13" ht="15" hidden="1" outlineLevel="2" x14ac:dyDescent="0.25">
      <c r="B2747" t="str">
        <f>+C2747&amp;D2747&amp;E2747&amp;F2747</f>
        <v>AmericasResultsTotal cost of biomethaneUSD/ton</v>
      </c>
      <c r="C2747" t="str">
        <f>+$C$2746</f>
        <v>Americas</v>
      </c>
      <c r="D2747" s="30" t="s">
        <v>838</v>
      </c>
      <c r="E2747" s="405" t="s">
        <v>1258</v>
      </c>
      <c r="F2747" s="127" t="s">
        <v>205</v>
      </c>
      <c r="G2747" s="490">
        <f>+SUM(G2748:G2750)</f>
        <v>1193.8819192451033</v>
      </c>
      <c r="H2747" s="490">
        <f t="shared" ref="H2747:M2747" si="1557">+SUM(H2748:H2750)</f>
        <v>1123.4308416932918</v>
      </c>
      <c r="I2747" s="490">
        <f t="shared" si="1557"/>
        <v>1053.1210866223271</v>
      </c>
      <c r="J2747" s="490">
        <f t="shared" si="1557"/>
        <v>987.45421697747906</v>
      </c>
      <c r="K2747" s="490">
        <f t="shared" si="1557"/>
        <v>921.84578134349408</v>
      </c>
      <c r="L2747" s="490">
        <f t="shared" si="1557"/>
        <v>858.04614042905257</v>
      </c>
      <c r="M2747" s="490">
        <f t="shared" si="1557"/>
        <v>794.53654681203363</v>
      </c>
    </row>
    <row r="2748" spans="2:13" ht="15" hidden="1" outlineLevel="2" x14ac:dyDescent="0.25">
      <c r="B2748" t="str">
        <f>+C2748&amp;D2748&amp;E2748&amp;F2748</f>
        <v>AmericasResultsTotal Capex biomethaneUSD/ton</v>
      </c>
      <c r="C2748" t="str">
        <f>+$C$2746</f>
        <v>Americas</v>
      </c>
      <c r="D2748" s="30" t="s">
        <v>838</v>
      </c>
      <c r="E2748" s="228" t="s">
        <v>1259</v>
      </c>
      <c r="F2748" s="127" t="s">
        <v>205</v>
      </c>
      <c r="G2748" s="490">
        <f>+G2761</f>
        <v>572.92139234957222</v>
      </c>
      <c r="H2748" s="490">
        <f t="shared" ref="H2748:M2748" si="1558">+H2761</f>
        <v>535.20819791503743</v>
      </c>
      <c r="I2748" s="490">
        <f t="shared" si="1558"/>
        <v>497.49500348050253</v>
      </c>
      <c r="J2748" s="490">
        <f t="shared" si="1558"/>
        <v>459.78180904596769</v>
      </c>
      <c r="K2748" s="490">
        <f t="shared" si="1558"/>
        <v>422.06861461143285</v>
      </c>
      <c r="L2748" s="490">
        <f t="shared" si="1558"/>
        <v>384.35542017689801</v>
      </c>
      <c r="M2748" s="490">
        <f t="shared" si="1558"/>
        <v>346.64222574236317</v>
      </c>
    </row>
    <row r="2749" spans="2:13" ht="15" hidden="1" outlineLevel="2" x14ac:dyDescent="0.25">
      <c r="B2749" t="str">
        <f>+C2749&amp;D2749&amp;E2749&amp;F2749</f>
        <v>AmericasResultsTotal Opex biomethaneUSD/ton</v>
      </c>
      <c r="C2749" t="str">
        <f>+$C$2746</f>
        <v>Americas</v>
      </c>
      <c r="D2749" s="30" t="s">
        <v>838</v>
      </c>
      <c r="E2749" s="228" t="s">
        <v>1260</v>
      </c>
      <c r="F2749" s="127" t="s">
        <v>205</v>
      </c>
      <c r="G2749" s="490">
        <f>SUM(G2753,G2759)</f>
        <v>387.52064445450259</v>
      </c>
      <c r="H2749" s="490">
        <f t="shared" ref="H2749:M2749" si="1559">SUM(H2753,H2759)</f>
        <v>365.92776201815064</v>
      </c>
      <c r="I2749" s="490">
        <f t="shared" si="1559"/>
        <v>341.07620206264562</v>
      </c>
      <c r="J2749" s="490">
        <f t="shared" si="1559"/>
        <v>320.16752753325716</v>
      </c>
      <c r="K2749" s="490">
        <f t="shared" si="1559"/>
        <v>299.91728701473158</v>
      </c>
      <c r="L2749" s="490">
        <f t="shared" si="1559"/>
        <v>281.47584121574948</v>
      </c>
      <c r="M2749" s="490">
        <f t="shared" si="1559"/>
        <v>263.32444271419013</v>
      </c>
    </row>
    <row r="2750" spans="2:13" ht="15" hidden="1" outlineLevel="2" x14ac:dyDescent="0.25">
      <c r="B2750" t="str">
        <f>+C2750&amp;D2750&amp;E2750&amp;F2750</f>
        <v>AmericasResultsTotal Raw Material biomethaneUSD/ton</v>
      </c>
      <c r="C2750" t="str">
        <f>+$C$2746</f>
        <v>Americas</v>
      </c>
      <c r="D2750" s="30" t="s">
        <v>838</v>
      </c>
      <c r="E2750" s="228" t="s">
        <v>1261</v>
      </c>
      <c r="F2750" s="127" t="s">
        <v>205</v>
      </c>
      <c r="G2750" s="490">
        <f>+G2765+G2752</f>
        <v>233.43988244102835</v>
      </c>
      <c r="H2750" s="490">
        <f t="shared" ref="H2750:M2750" si="1560">+H2765+H2752</f>
        <v>222.29488176010366</v>
      </c>
      <c r="I2750" s="490">
        <f t="shared" si="1560"/>
        <v>214.54988107917902</v>
      </c>
      <c r="J2750" s="490">
        <f t="shared" si="1560"/>
        <v>207.50488039825433</v>
      </c>
      <c r="K2750" s="490">
        <f t="shared" si="1560"/>
        <v>199.85987971732968</v>
      </c>
      <c r="L2750" s="490">
        <f t="shared" si="1560"/>
        <v>192.21487903640502</v>
      </c>
      <c r="M2750" s="490">
        <f t="shared" si="1560"/>
        <v>184.56987835548034</v>
      </c>
    </row>
    <row r="2751" spans="2:13" hidden="1" outlineLevel="2" x14ac:dyDescent="0.2">
      <c r="E2751" s="48"/>
      <c r="F2751" s="128"/>
      <c r="G2751" s="8"/>
      <c r="H2751" s="8"/>
      <c r="I2751" s="8"/>
      <c r="J2751" s="8"/>
      <c r="K2751" s="8"/>
      <c r="L2751" s="8"/>
      <c r="M2751" s="8"/>
    </row>
    <row r="2752" spans="2:13" hidden="1" outlineLevel="2" x14ac:dyDescent="0.2">
      <c r="B2752" s="48" t="str">
        <f t="shared" ref="B2752:B2757" si="1561">+C2752&amp;D2752&amp;E2752&amp;F2752</f>
        <v>AmericasResultsCost of NG for CH4USD/ton CH4</v>
      </c>
      <c r="C2752" t="str">
        <f>+$C$2746</f>
        <v>Americas</v>
      </c>
      <c r="D2752" t="s">
        <v>838</v>
      </c>
      <c r="E2752" t="s">
        <v>1262</v>
      </c>
      <c r="F2752" s="450" t="s">
        <v>1263</v>
      </c>
      <c r="G2752" s="8">
        <f>+G2754*G2755</f>
        <v>10.500000000000002</v>
      </c>
      <c r="H2752" s="8">
        <f t="shared" ref="H2752:M2752" si="1562">+H2754*H2755</f>
        <v>5.7500000000000009</v>
      </c>
      <c r="I2752" s="8">
        <f t="shared" si="1562"/>
        <v>4.4000000000000012</v>
      </c>
      <c r="J2752" s="8">
        <f t="shared" si="1562"/>
        <v>3.7500000000000009</v>
      </c>
      <c r="K2752" s="8">
        <f t="shared" si="1562"/>
        <v>2.5000000000000004</v>
      </c>
      <c r="L2752" s="8">
        <f t="shared" si="1562"/>
        <v>1.2500000000000002</v>
      </c>
      <c r="M2752" s="8">
        <f t="shared" si="1562"/>
        <v>0</v>
      </c>
    </row>
    <row r="2753" spans="2:14" hidden="1" outlineLevel="2" x14ac:dyDescent="0.2">
      <c r="B2753" s="3" t="str">
        <f t="shared" si="1561"/>
        <v>AmericasResultsCost of electricity for CH4USD/ton CH4</v>
      </c>
      <c r="C2753" t="str">
        <f>+$C$2746</f>
        <v>Americas</v>
      </c>
      <c r="D2753" t="s">
        <v>838</v>
      </c>
      <c r="E2753" t="s">
        <v>1234</v>
      </c>
      <c r="F2753" s="450" t="s">
        <v>1263</v>
      </c>
      <c r="G2753" s="337">
        <f>+G2756*G2757</f>
        <v>46.462691062568545</v>
      </c>
      <c r="H2753" s="337">
        <f t="shared" ref="H2753:M2753" si="1563">+H2756*H2757</f>
        <v>42.293437286783181</v>
      </c>
      <c r="I2753" s="337">
        <f t="shared" si="1563"/>
        <v>34.865505991844771</v>
      </c>
      <c r="J2753" s="337">
        <f t="shared" si="1563"/>
        <v>31.380460123022914</v>
      </c>
      <c r="K2753" s="337">
        <f t="shared" si="1563"/>
        <v>28.553848265063905</v>
      </c>
      <c r="L2753" s="337">
        <f t="shared" si="1563"/>
        <v>27.536031126648449</v>
      </c>
      <c r="M2753" s="337">
        <f t="shared" si="1563"/>
        <v>26.808261285655654</v>
      </c>
      <c r="N2753" s="93"/>
    </row>
    <row r="2754" spans="2:14" hidden="1" outlineLevel="2" x14ac:dyDescent="0.2">
      <c r="B2754" s="3" t="str">
        <f t="shared" si="1561"/>
        <v>AmericasFeedstockCost of NGUSD/ton</v>
      </c>
      <c r="C2754" t="str">
        <f>+$C$2746</f>
        <v>Americas</v>
      </c>
      <c r="D2754" t="s">
        <v>777</v>
      </c>
      <c r="E2754" t="s">
        <v>1144</v>
      </c>
      <c r="F2754" s="450" t="s">
        <v>205</v>
      </c>
      <c r="G2754" s="532">
        <f>INDEX('Fuel Model -  Input'!$B$3:$N$373,MATCH($B2754,'Fuel Model -  Input'!$B$3:$B$373,0),MATCH(G$2,'Fuel Model -  Input'!$B$3:$N$3,0))</f>
        <v>350</v>
      </c>
      <c r="H2754" s="532">
        <f>INDEX('Fuel Model -  Input'!$B$3:$N$373,MATCH($B2754,'Fuel Model -  Input'!$B$3:$B$373,0),MATCH(H$2,'Fuel Model -  Input'!$B$3:$N$3,0))</f>
        <v>230</v>
      </c>
      <c r="I2754" s="532">
        <f>INDEX('Fuel Model -  Input'!$B$3:$N$373,MATCH($B2754,'Fuel Model -  Input'!$B$3:$B$373,0),MATCH(I$2,'Fuel Model -  Input'!$B$3:$N$3,0))</f>
        <v>220</v>
      </c>
      <c r="J2754" s="532">
        <f>INDEX('Fuel Model -  Input'!$B$3:$N$373,MATCH($B2754,'Fuel Model -  Input'!$B$3:$B$373,0),MATCH(J$2,'Fuel Model -  Input'!$B$3:$N$3,0))</f>
        <v>250</v>
      </c>
      <c r="K2754" s="532">
        <f>INDEX('Fuel Model -  Input'!$B$3:$N$373,MATCH($B2754,'Fuel Model -  Input'!$B$3:$B$373,0),MATCH(K$2,'Fuel Model -  Input'!$B$3:$N$3,0))</f>
        <v>250</v>
      </c>
      <c r="L2754" s="532">
        <f>INDEX('Fuel Model -  Input'!$B$3:$N$373,MATCH($B2754,'Fuel Model -  Input'!$B$3:$B$373,0),MATCH(L$2,'Fuel Model -  Input'!$B$3:$N$3,0))</f>
        <v>250</v>
      </c>
      <c r="M2754" s="532">
        <f>INDEX('Fuel Model -  Input'!$B$3:$N$373,MATCH($B2754,'Fuel Model -  Input'!$B$3:$B$373,0),MATCH(M$2,'Fuel Model -  Input'!$B$3:$N$3,0))</f>
        <v>250</v>
      </c>
      <c r="N2754" s="93"/>
    </row>
    <row r="2755" spans="2:14" hidden="1" outlineLevel="2" x14ac:dyDescent="0.2">
      <c r="B2755" s="3" t="str">
        <f t="shared" si="1561"/>
        <v>GlobalFeedstockNatural gasTon feedstock / ton fuel</v>
      </c>
      <c r="C2755" s="80" t="s">
        <v>109</v>
      </c>
      <c r="D2755" t="s">
        <v>777</v>
      </c>
      <c r="E2755" t="s">
        <v>204</v>
      </c>
      <c r="F2755" s="128" t="s">
        <v>1241</v>
      </c>
      <c r="G2755" s="521">
        <f>INDEX('Fuel Model -  Input'!$B$3:$N$373,MATCH($B2755,'Fuel Model -  Input'!$B$3:$B$373,0),MATCH(G$2,'Fuel Model -  Input'!$B$3:$N$3,0))</f>
        <v>3.0000000000000006E-2</v>
      </c>
      <c r="H2755" s="521">
        <f>INDEX('Fuel Model -  Input'!$B$3:$N$373,MATCH($B2755,'Fuel Model -  Input'!$B$3:$B$373,0),MATCH(H$2,'Fuel Model -  Input'!$B$3:$N$3,0))</f>
        <v>2.5000000000000005E-2</v>
      </c>
      <c r="I2755" s="521">
        <f>INDEX('Fuel Model -  Input'!$B$3:$N$373,MATCH($B2755,'Fuel Model -  Input'!$B$3:$B$373,0),MATCH(I$2,'Fuel Model -  Input'!$B$3:$N$3,0))</f>
        <v>2.0000000000000004E-2</v>
      </c>
      <c r="J2755" s="521">
        <f>INDEX('Fuel Model -  Input'!$B$3:$N$373,MATCH($B2755,'Fuel Model -  Input'!$B$3:$B$373,0),MATCH(J$2,'Fuel Model -  Input'!$B$3:$N$3,0))</f>
        <v>1.5000000000000003E-2</v>
      </c>
      <c r="K2755" s="521">
        <f>INDEX('Fuel Model -  Input'!$B$3:$N$373,MATCH($B2755,'Fuel Model -  Input'!$B$3:$B$373,0),MATCH(K$2,'Fuel Model -  Input'!$B$3:$N$3,0))</f>
        <v>1.0000000000000002E-2</v>
      </c>
      <c r="L2755" s="521">
        <f>INDEX('Fuel Model -  Input'!$B$3:$N$373,MATCH($B2755,'Fuel Model -  Input'!$B$3:$B$373,0),MATCH(L$2,'Fuel Model -  Input'!$B$3:$N$3,0))</f>
        <v>5.000000000000001E-3</v>
      </c>
      <c r="M2755" s="521">
        <f>INDEX('Fuel Model -  Input'!$B$3:$N$373,MATCH($B2755,'Fuel Model -  Input'!$B$3:$B$373,0),MATCH(M$2,'Fuel Model -  Input'!$B$3:$N$3,0))</f>
        <v>0</v>
      </c>
      <c r="N2755" s="93"/>
    </row>
    <row r="2756" spans="2:14" hidden="1" outlineLevel="2" x14ac:dyDescent="0.2">
      <c r="B2756" s="12" t="str">
        <f t="shared" si="1561"/>
        <v>GlobalFeedstockLBM plant Electricity demandMwH/ton LBM</v>
      </c>
      <c r="C2756" s="80" t="s">
        <v>109</v>
      </c>
      <c r="D2756" t="s">
        <v>777</v>
      </c>
      <c r="E2756" t="s">
        <v>1264</v>
      </c>
      <c r="F2756" s="128" t="s">
        <v>1265</v>
      </c>
      <c r="G2756" s="521">
        <f>INDEX('Fuel Model -  Input'!$B$3:$N$373,MATCH($B2756,'Fuel Model -  Input'!$B$3:$B$373,0),MATCH(G$2,'Fuel Model -  Input'!$B$3:$N$3,0))</f>
        <v>1.192378158163339</v>
      </c>
      <c r="H2756" s="521">
        <f>INDEX('Fuel Model -  Input'!$B$3:$N$373,MATCH($B2756,'Fuel Model -  Input'!$B$3:$B$373,0),MATCH(H$2,'Fuel Model -  Input'!$B$3:$N$3,0))</f>
        <v>1.2026215180379118</v>
      </c>
      <c r="I2756" s="521">
        <f>INDEX('Fuel Model -  Input'!$B$3:$N$373,MATCH($B2756,'Fuel Model -  Input'!$B$3:$B$373,0),MATCH(I$2,'Fuel Model -  Input'!$B$3:$N$3,0))</f>
        <v>1.2128648779124849</v>
      </c>
      <c r="J2756" s="521">
        <f>INDEX('Fuel Model -  Input'!$B$3:$N$373,MATCH($B2756,'Fuel Model -  Input'!$B$3:$B$373,0),MATCH(J$2,'Fuel Model -  Input'!$B$3:$N$3,0))</f>
        <v>1.2231082377870577</v>
      </c>
      <c r="K2756" s="521">
        <f>INDEX('Fuel Model -  Input'!$B$3:$N$373,MATCH($B2756,'Fuel Model -  Input'!$B$3:$B$373,0),MATCH(K$2,'Fuel Model -  Input'!$B$3:$N$3,0))</f>
        <v>1.2333515976616307</v>
      </c>
      <c r="L2756" s="521">
        <f>INDEX('Fuel Model -  Input'!$B$3:$N$373,MATCH($B2756,'Fuel Model -  Input'!$B$3:$B$373,0),MATCH(L$2,'Fuel Model -  Input'!$B$3:$N$3,0))</f>
        <v>1.2435949575362035</v>
      </c>
      <c r="M2756" s="521">
        <f>INDEX('Fuel Model -  Input'!$B$3:$N$373,MATCH($B2756,'Fuel Model -  Input'!$B$3:$B$373,0),MATCH(M$2,'Fuel Model -  Input'!$B$3:$N$3,0))</f>
        <v>1.2538383174107766</v>
      </c>
      <c r="N2756" s="93"/>
    </row>
    <row r="2757" spans="2:14" hidden="1" outlineLevel="2" x14ac:dyDescent="0.2">
      <c r="B2757" s="12" t="str">
        <f t="shared" si="1561"/>
        <v>AmericasFeedstockElectricityUSD/MWh</v>
      </c>
      <c r="C2757" t="str">
        <f>+$C$2746</f>
        <v>Americas</v>
      </c>
      <c r="D2757" t="s">
        <v>777</v>
      </c>
      <c r="E2757" t="s">
        <v>54</v>
      </c>
      <c r="F2757" s="450" t="s">
        <v>196</v>
      </c>
      <c r="G2757" s="532">
        <f>INDEX('Fuel Model -  Input'!$B$3:$N$373,MATCH($B2757,'Fuel Model -  Input'!$B$3:$B$373,0),MATCH(G$2,'Fuel Model -  Input'!$B$3:$N$3,0))</f>
        <v>38.96640570315094</v>
      </c>
      <c r="H2757" s="532">
        <f>INDEX('Fuel Model -  Input'!$B$3:$N$373,MATCH($B2757,'Fuel Model -  Input'!$B$3:$B$373,0),MATCH(H$2,'Fuel Model -  Input'!$B$3:$N$3,0))</f>
        <v>35.167703764177872</v>
      </c>
      <c r="I2757" s="532">
        <f>INDEX('Fuel Model -  Input'!$B$3:$N$373,MATCH($B2757,'Fuel Model -  Input'!$B$3:$B$373,0),MATCH(I$2,'Fuel Model -  Input'!$B$3:$N$3,0))</f>
        <v>28.746405825398561</v>
      </c>
      <c r="J2757" s="532">
        <f>INDEX('Fuel Model -  Input'!$B$3:$N$373,MATCH($B2757,'Fuel Model -  Input'!$B$3:$B$373,0),MATCH(J$2,'Fuel Model -  Input'!$B$3:$N$3,0))</f>
        <v>25.656323090259679</v>
      </c>
      <c r="K2757" s="532">
        <f>INDEX('Fuel Model -  Input'!$B$3:$N$373,MATCH($B2757,'Fuel Model -  Input'!$B$3:$B$373,0),MATCH(K$2,'Fuel Model -  Input'!$B$3:$N$3,0))</f>
        <v>23.151426016069131</v>
      </c>
      <c r="L2757" s="532">
        <f>INDEX('Fuel Model -  Input'!$B$3:$N$373,MATCH($B2757,'Fuel Model -  Input'!$B$3:$B$373,0),MATCH(L$2,'Fuel Model -  Input'!$B$3:$N$3,0))</f>
        <v>22.142282710121734</v>
      </c>
      <c r="M2757" s="532">
        <f>INDEX('Fuel Model -  Input'!$B$3:$N$373,MATCH($B2757,'Fuel Model -  Input'!$B$3:$B$373,0),MATCH(M$2,'Fuel Model -  Input'!$B$3:$N$3,0))</f>
        <v>21.380955513479382</v>
      </c>
      <c r="N2757" s="93"/>
    </row>
    <row r="2758" spans="2:14" ht="12.75" hidden="1" outlineLevel="2" x14ac:dyDescent="0.2">
      <c r="F2758"/>
      <c r="G2758" s="24"/>
      <c r="H2758" s="24"/>
      <c r="I2758" s="24"/>
      <c r="J2758" s="24"/>
      <c r="K2758" s="24"/>
      <c r="L2758" s="24"/>
      <c r="M2758" s="24"/>
    </row>
    <row r="2759" spans="2:14" hidden="1" outlineLevel="2" x14ac:dyDescent="0.2">
      <c r="B2759" t="str">
        <f>+C2759&amp;D2759&amp;E2759&amp;F2759</f>
        <v>GlobalOPEXLBM plant opexUSD/ton LBM</v>
      </c>
      <c r="C2759" t="s">
        <v>109</v>
      </c>
      <c r="D2759" t="s">
        <v>319</v>
      </c>
      <c r="E2759" t="s">
        <v>1266</v>
      </c>
      <c r="F2759" s="128" t="s">
        <v>1267</v>
      </c>
      <c r="G2759" s="532">
        <f>INDEX('Fuel Model -  Input'!$B$3:$N$373,MATCH($B2759,'Fuel Model -  Input'!$B$3:$B$373,0),MATCH(G$2,'Fuel Model -  Input'!$B$3:$N$3,0))</f>
        <v>341.05795339193406</v>
      </c>
      <c r="H2759" s="532">
        <f>INDEX('Fuel Model -  Input'!$B$3:$N$373,MATCH($B2759,'Fuel Model -  Input'!$B$3:$B$373,0),MATCH(H$2,'Fuel Model -  Input'!$B$3:$N$3,0))</f>
        <v>323.63432473136749</v>
      </c>
      <c r="I2759" s="532">
        <f>INDEX('Fuel Model -  Input'!$B$3:$N$373,MATCH($B2759,'Fuel Model -  Input'!$B$3:$B$373,0),MATCH(I$2,'Fuel Model -  Input'!$B$3:$N$3,0))</f>
        <v>306.21069607080085</v>
      </c>
      <c r="J2759" s="532">
        <f>INDEX('Fuel Model -  Input'!$B$3:$N$373,MATCH($B2759,'Fuel Model -  Input'!$B$3:$B$373,0),MATCH(J$2,'Fuel Model -  Input'!$B$3:$N$3,0))</f>
        <v>288.78706741023427</v>
      </c>
      <c r="K2759" s="532">
        <f>INDEX('Fuel Model -  Input'!$B$3:$N$373,MATCH($B2759,'Fuel Model -  Input'!$B$3:$B$373,0),MATCH(K$2,'Fuel Model -  Input'!$B$3:$N$3,0))</f>
        <v>271.36343874966769</v>
      </c>
      <c r="L2759" s="532">
        <f>INDEX('Fuel Model -  Input'!$B$3:$N$373,MATCH($B2759,'Fuel Model -  Input'!$B$3:$B$373,0),MATCH(L$2,'Fuel Model -  Input'!$B$3:$N$3,0))</f>
        <v>253.93981008910106</v>
      </c>
      <c r="M2759" s="532">
        <f>INDEX('Fuel Model -  Input'!$B$3:$N$373,MATCH($B2759,'Fuel Model -  Input'!$B$3:$B$373,0),MATCH(M$2,'Fuel Model -  Input'!$B$3:$N$3,0))</f>
        <v>236.51618142853448</v>
      </c>
    </row>
    <row r="2760" spans="2:14" hidden="1" outlineLevel="2" x14ac:dyDescent="0.2">
      <c r="B2760" s="3"/>
      <c r="E2760" s="48"/>
      <c r="F2760" s="128"/>
      <c r="G2760" s="524"/>
      <c r="H2760" s="524"/>
      <c r="I2760" s="524"/>
      <c r="J2760" s="524"/>
      <c r="K2760" s="524"/>
      <c r="L2760" s="524"/>
      <c r="M2760" s="524"/>
    </row>
    <row r="2761" spans="2:14" hidden="1" outlineLevel="2" x14ac:dyDescent="0.2">
      <c r="B2761" t="str">
        <f>+C2761&amp;D2761&amp;E2761&amp;F2761</f>
        <v>AmericasPlant capexAnnual capex (AD)USD/ton Biomethane</v>
      </c>
      <c r="C2761" t="str">
        <f>+$C$2746</f>
        <v>Americas</v>
      </c>
      <c r="D2761" t="s">
        <v>786</v>
      </c>
      <c r="E2761" s="48" t="s">
        <v>1268</v>
      </c>
      <c r="F2761" s="128" t="s">
        <v>1269</v>
      </c>
      <c r="G2761" s="8">
        <f>+G2763/G2762</f>
        <v>572.92139234957222</v>
      </c>
      <c r="H2761" s="8">
        <f t="shared" ref="H2761" si="1564">+H2763/H2762</f>
        <v>535.20819791503743</v>
      </c>
      <c r="I2761" s="8">
        <f t="shared" ref="I2761" si="1565">+I2763/I2762</f>
        <v>497.49500348050253</v>
      </c>
      <c r="J2761" s="8">
        <f t="shared" ref="J2761" si="1566">+J2763/J2762</f>
        <v>459.78180904596769</v>
      </c>
      <c r="K2761" s="8">
        <f t="shared" ref="K2761" si="1567">+K2763/K2762</f>
        <v>422.06861461143285</v>
      </c>
      <c r="L2761" s="8">
        <f t="shared" ref="L2761" si="1568">+L2763/L2762</f>
        <v>384.35542017689801</v>
      </c>
      <c r="M2761" s="8">
        <f t="shared" ref="M2761" si="1569">+M2763/M2762</f>
        <v>346.64222574236317</v>
      </c>
    </row>
    <row r="2762" spans="2:14" hidden="1" outlineLevel="2" x14ac:dyDescent="0.2">
      <c r="B2762" s="3" t="str">
        <f>+C2762&amp;D2762&amp;E2762&amp;F2762</f>
        <v>GlobalPlant capexAnnualisation factor#</v>
      </c>
      <c r="C2762" t="s">
        <v>109</v>
      </c>
      <c r="D2762" t="s">
        <v>786</v>
      </c>
      <c r="E2762" t="s">
        <v>764</v>
      </c>
      <c r="F2762" s="450" t="s">
        <v>787</v>
      </c>
      <c r="G2762" s="532">
        <f>INDEX('Fuel Model -  Input'!$B$3:$N$373,MATCH($B2762,'Fuel Model -  Input'!$B$3:$B$373,0),MATCH(G$2,'Fuel Model -  Input'!$B$3:$N$3,0))</f>
        <v>11.32075471698113</v>
      </c>
      <c r="H2762" s="532">
        <f>INDEX('Fuel Model -  Input'!$B$3:$N$373,MATCH($B2762,'Fuel Model -  Input'!$B$3:$B$373,0),MATCH(H$2,'Fuel Model -  Input'!$B$3:$N$3,0))</f>
        <v>11.32075471698113</v>
      </c>
      <c r="I2762" s="532">
        <f>INDEX('Fuel Model -  Input'!$B$3:$N$373,MATCH($B2762,'Fuel Model -  Input'!$B$3:$B$373,0),MATCH(I$2,'Fuel Model -  Input'!$B$3:$N$3,0))</f>
        <v>11.32075471698113</v>
      </c>
      <c r="J2762" s="532">
        <f>INDEX('Fuel Model -  Input'!$B$3:$N$373,MATCH($B2762,'Fuel Model -  Input'!$B$3:$B$373,0),MATCH(J$2,'Fuel Model -  Input'!$B$3:$N$3,0))</f>
        <v>11.32075471698113</v>
      </c>
      <c r="K2762" s="532">
        <f>INDEX('Fuel Model -  Input'!$B$3:$N$373,MATCH($B2762,'Fuel Model -  Input'!$B$3:$B$373,0),MATCH(K$2,'Fuel Model -  Input'!$B$3:$N$3,0))</f>
        <v>11.32075471698113</v>
      </c>
      <c r="L2762" s="532">
        <f>INDEX('Fuel Model -  Input'!$B$3:$N$373,MATCH($B2762,'Fuel Model -  Input'!$B$3:$B$373,0),MATCH(L$2,'Fuel Model -  Input'!$B$3:$N$3,0))</f>
        <v>11.32075471698113</v>
      </c>
      <c r="M2762" s="532">
        <f>INDEX('Fuel Model -  Input'!$B$3:$N$373,MATCH($B2762,'Fuel Model -  Input'!$B$3:$B$373,0),MATCH(M$2,'Fuel Model -  Input'!$B$3:$N$3,0))</f>
        <v>11.32075471698113</v>
      </c>
    </row>
    <row r="2763" spans="2:14" hidden="1" outlineLevel="2" x14ac:dyDescent="0.2">
      <c r="B2763" s="3" t="str">
        <f>+C2763&amp;D2763&amp;E2763&amp;F2763</f>
        <v>GlobalCAPEXLBM plantUSD/ton LBM capacity</v>
      </c>
      <c r="C2763" t="s">
        <v>109</v>
      </c>
      <c r="D2763" t="s">
        <v>50</v>
      </c>
      <c r="E2763" t="s">
        <v>1270</v>
      </c>
      <c r="F2763" s="128" t="s">
        <v>1271</v>
      </c>
      <c r="G2763" s="532">
        <f>INDEX('Fuel Model -  Input'!$B$3:$N$373,MATCH($B2763,'Fuel Model -  Input'!$B$3:$B$373,0),MATCH(G$2,'Fuel Model -  Input'!$B$3:$N$3,0))</f>
        <v>6485.9025549008165</v>
      </c>
      <c r="H2763" s="532">
        <f>INDEX('Fuel Model -  Input'!$B$3:$N$373,MATCH($B2763,'Fuel Model -  Input'!$B$3:$B$373,0),MATCH(H$2,'Fuel Model -  Input'!$B$3:$N$3,0))</f>
        <v>6058.9607311136297</v>
      </c>
      <c r="I2763" s="532">
        <f>INDEX('Fuel Model -  Input'!$B$3:$N$373,MATCH($B2763,'Fuel Model -  Input'!$B$3:$B$373,0),MATCH(I$2,'Fuel Model -  Input'!$B$3:$N$3,0))</f>
        <v>5632.0189073264428</v>
      </c>
      <c r="J2763" s="532">
        <f>INDEX('Fuel Model -  Input'!$B$3:$N$373,MATCH($B2763,'Fuel Model -  Input'!$B$3:$B$373,0),MATCH(J$2,'Fuel Model -  Input'!$B$3:$N$3,0))</f>
        <v>5205.0770835392559</v>
      </c>
      <c r="K2763" s="532">
        <f>INDEX('Fuel Model -  Input'!$B$3:$N$373,MATCH($B2763,'Fuel Model -  Input'!$B$3:$B$373,0),MATCH(K$2,'Fuel Model -  Input'!$B$3:$N$3,0))</f>
        <v>4778.135259752069</v>
      </c>
      <c r="L2763" s="532">
        <f>INDEX('Fuel Model -  Input'!$B$3:$N$373,MATCH($B2763,'Fuel Model -  Input'!$B$3:$B$373,0),MATCH(L$2,'Fuel Model -  Input'!$B$3:$N$3,0))</f>
        <v>4351.1934359648822</v>
      </c>
      <c r="M2763" s="532">
        <f>INDEX('Fuel Model -  Input'!$B$3:$N$373,MATCH($B2763,'Fuel Model -  Input'!$B$3:$B$373,0),MATCH(M$2,'Fuel Model -  Input'!$B$3:$N$3,0))</f>
        <v>3924.2516121776953</v>
      </c>
    </row>
    <row r="2764" spans="2:14" ht="12.75" hidden="1" outlineLevel="2" x14ac:dyDescent="0.2">
      <c r="F2764"/>
    </row>
    <row r="2765" spans="2:14" hidden="1" outlineLevel="2" x14ac:dyDescent="0.2">
      <c r="B2765" s="78" t="str">
        <f>+C2765&amp;D2765&amp;E2765&amp;F2765</f>
        <v>AmericasFeedstockMunicipal waste costUSD/ton Biogas</v>
      </c>
      <c r="C2765" t="str">
        <f>+$C$2746</f>
        <v>Americas</v>
      </c>
      <c r="D2765" t="s">
        <v>777</v>
      </c>
      <c r="E2765" t="s">
        <v>1272</v>
      </c>
      <c r="F2765" s="128" t="s">
        <v>1273</v>
      </c>
      <c r="G2765" s="526">
        <f t="shared" ref="G2765:M2765" si="1570">G2766*G2767</f>
        <v>222.93988244102835</v>
      </c>
      <c r="H2765" s="526">
        <f t="shared" si="1570"/>
        <v>216.54488176010366</v>
      </c>
      <c r="I2765" s="526">
        <f t="shared" si="1570"/>
        <v>210.14988107917901</v>
      </c>
      <c r="J2765" s="526">
        <f t="shared" si="1570"/>
        <v>203.75488039825433</v>
      </c>
      <c r="K2765" s="526">
        <f t="shared" si="1570"/>
        <v>197.35987971732968</v>
      </c>
      <c r="L2765" s="526">
        <f t="shared" si="1570"/>
        <v>190.96487903640502</v>
      </c>
      <c r="M2765" s="526">
        <f t="shared" si="1570"/>
        <v>184.56987835548034</v>
      </c>
    </row>
    <row r="2766" spans="2:14" hidden="1" outlineLevel="2" x14ac:dyDescent="0.2">
      <c r="B2766" s="79" t="str">
        <f>+C2766&amp;D2766&amp;E2766&amp;F2766</f>
        <v>GlobalFeedstockConversion Organic wet waste : LBMTon feedstock / ton fuel</v>
      </c>
      <c r="C2766" t="s">
        <v>109</v>
      </c>
      <c r="D2766" t="s">
        <v>777</v>
      </c>
      <c r="E2766" s="48" t="s">
        <v>1274</v>
      </c>
      <c r="F2766" s="128" t="s">
        <v>1241</v>
      </c>
      <c r="G2766" s="521">
        <f>INDEX('Fuel Model -  Input'!$B$3:$N$373,MATCH($B2766,'Fuel Model -  Input'!$B$3:$B$373,0),MATCH(G$2,'Fuel Model -  Input'!$B$3:$N$3,0))</f>
        <v>4.4587976488205667</v>
      </c>
      <c r="H2766" s="521">
        <f>INDEX('Fuel Model -  Input'!$B$3:$N$373,MATCH($B2766,'Fuel Model -  Input'!$B$3:$B$373,0),MATCH(H$2,'Fuel Model -  Input'!$B$3:$N$3,0))</f>
        <v>4.3308976352020734</v>
      </c>
      <c r="I2766" s="521">
        <f>INDEX('Fuel Model -  Input'!$B$3:$N$373,MATCH($B2766,'Fuel Model -  Input'!$B$3:$B$373,0),MATCH(I$2,'Fuel Model -  Input'!$B$3:$N$3,0))</f>
        <v>4.20299762158358</v>
      </c>
      <c r="J2766" s="521">
        <f>INDEX('Fuel Model -  Input'!$B$3:$N$373,MATCH($B2766,'Fuel Model -  Input'!$B$3:$B$373,0),MATCH(J$2,'Fuel Model -  Input'!$B$3:$N$3,0))</f>
        <v>4.0750976079650867</v>
      </c>
      <c r="K2766" s="521">
        <f>INDEX('Fuel Model -  Input'!$B$3:$N$373,MATCH($B2766,'Fuel Model -  Input'!$B$3:$B$373,0),MATCH(K$2,'Fuel Model -  Input'!$B$3:$N$3,0))</f>
        <v>3.9471975943465938</v>
      </c>
      <c r="L2766" s="521">
        <f>INDEX('Fuel Model -  Input'!$B$3:$N$373,MATCH($B2766,'Fuel Model -  Input'!$B$3:$B$373,0),MATCH(L$2,'Fuel Model -  Input'!$B$3:$N$3,0))</f>
        <v>3.8192975807281004</v>
      </c>
      <c r="M2766" s="521">
        <f>INDEX('Fuel Model -  Input'!$B$3:$N$373,MATCH($B2766,'Fuel Model -  Input'!$B$3:$B$373,0),MATCH(M$2,'Fuel Model -  Input'!$B$3:$N$3,0))</f>
        <v>3.6913975671096071</v>
      </c>
    </row>
    <row r="2767" spans="2:14" hidden="1" outlineLevel="2" x14ac:dyDescent="0.2">
      <c r="B2767" s="3" t="str">
        <f>+C2767&amp;D2767&amp;E2767&amp;F2767</f>
        <v>AmericasFeedstockCost of Organic wet wasteUSD/ton</v>
      </c>
      <c r="C2767" t="s">
        <v>199</v>
      </c>
      <c r="D2767" t="s">
        <v>777</v>
      </c>
      <c r="E2767" t="s">
        <v>1242</v>
      </c>
      <c r="F2767" t="s">
        <v>205</v>
      </c>
      <c r="G2767" s="532">
        <f>INDEX('Fuel Model -  Input'!$B$3:$N$373,MATCH($B2767,'Fuel Model -  Input'!$B$3:$B$373,0),MATCH(G$2,'Fuel Model -  Input'!$B$3:$N$3,0))</f>
        <v>50</v>
      </c>
      <c r="H2767" s="532">
        <f>INDEX('Fuel Model -  Input'!$B$3:$N$373,MATCH($B2767,'Fuel Model -  Input'!$B$3:$B$373,0),MATCH(H$2,'Fuel Model -  Input'!$B$3:$N$3,0))</f>
        <v>50</v>
      </c>
      <c r="I2767" s="532">
        <f>INDEX('Fuel Model -  Input'!$B$3:$N$373,MATCH($B2767,'Fuel Model -  Input'!$B$3:$B$373,0),MATCH(I$2,'Fuel Model -  Input'!$B$3:$N$3,0))</f>
        <v>50</v>
      </c>
      <c r="J2767" s="532">
        <f>INDEX('Fuel Model -  Input'!$B$3:$N$373,MATCH($B2767,'Fuel Model -  Input'!$B$3:$B$373,0),MATCH(J$2,'Fuel Model -  Input'!$B$3:$N$3,0))</f>
        <v>50</v>
      </c>
      <c r="K2767" s="532">
        <f>INDEX('Fuel Model -  Input'!$B$3:$N$373,MATCH($B2767,'Fuel Model -  Input'!$B$3:$B$373,0),MATCH(K$2,'Fuel Model -  Input'!$B$3:$N$3,0))</f>
        <v>50</v>
      </c>
      <c r="L2767" s="532">
        <f>INDEX('Fuel Model -  Input'!$B$3:$N$373,MATCH($B2767,'Fuel Model -  Input'!$B$3:$B$373,0),MATCH(L$2,'Fuel Model -  Input'!$B$3:$N$3,0))</f>
        <v>50</v>
      </c>
      <c r="M2767" s="532">
        <f>INDEX('Fuel Model -  Input'!$B$3:$N$373,MATCH($B2767,'Fuel Model -  Input'!$B$3:$B$373,0),MATCH(M$2,'Fuel Model -  Input'!$B$3:$N$3,0))</f>
        <v>50</v>
      </c>
    </row>
    <row r="2768" spans="2:14" ht="12.75" hidden="1" outlineLevel="1" x14ac:dyDescent="0.2">
      <c r="F2768"/>
    </row>
    <row r="2769" spans="2:14" ht="15" hidden="1" outlineLevel="1" collapsed="1" x14ac:dyDescent="0.25">
      <c r="B2769" s="30" t="s">
        <v>200</v>
      </c>
      <c r="C2769" s="30" t="str">
        <f>+B2769</f>
        <v>Africa</v>
      </c>
      <c r="D2769" s="30"/>
      <c r="E2769" s="30"/>
      <c r="F2769" s="30"/>
      <c r="G2769" s="30"/>
      <c r="H2769" s="30"/>
      <c r="I2769" s="30"/>
      <c r="J2769" s="30"/>
      <c r="K2769" s="30"/>
      <c r="L2769" s="30"/>
      <c r="M2769" s="30"/>
    </row>
    <row r="2770" spans="2:14" ht="15" hidden="1" outlineLevel="2" x14ac:dyDescent="0.25">
      <c r="B2770" t="str">
        <f>+C2770&amp;D2770&amp;E2770&amp;F2770</f>
        <v>AfricaResultsTotal cost of biomethaneUSD/ton</v>
      </c>
      <c r="C2770" t="str">
        <f>+$C$2769</f>
        <v>Africa</v>
      </c>
      <c r="D2770" s="30" t="s">
        <v>838</v>
      </c>
      <c r="E2770" s="405" t="s">
        <v>1258</v>
      </c>
      <c r="F2770" s="127" t="s">
        <v>205</v>
      </c>
      <c r="G2770" s="490">
        <f>+SUM(G2771:G2773)</f>
        <v>1283.5686193713584</v>
      </c>
      <c r="H2770" s="490">
        <f t="shared" ref="H2770:M2770" si="1571">+SUM(H2771:H2773)</f>
        <v>1146.6166680786964</v>
      </c>
      <c r="I2770" s="490">
        <f t="shared" si="1571"/>
        <v>1065.9513723190551</v>
      </c>
      <c r="J2770" s="490">
        <f t="shared" si="1571"/>
        <v>995.87947697062123</v>
      </c>
      <c r="K2770" s="490">
        <f t="shared" si="1571"/>
        <v>929.1809104254362</v>
      </c>
      <c r="L2770" s="490">
        <f t="shared" si="1571"/>
        <v>862.34262489380842</v>
      </c>
      <c r="M2770" s="490">
        <f t="shared" si="1571"/>
        <v>797.09978651504684</v>
      </c>
    </row>
    <row r="2771" spans="2:14" ht="15" hidden="1" outlineLevel="2" x14ac:dyDescent="0.25">
      <c r="B2771" t="str">
        <f>+C2771&amp;D2771&amp;E2771&amp;F2771</f>
        <v>AfricaResultsTotal Capex biomethaneUSD/ton</v>
      </c>
      <c r="C2771" t="str">
        <f>+$C$2769</f>
        <v>Africa</v>
      </c>
      <c r="D2771" s="30" t="s">
        <v>838</v>
      </c>
      <c r="E2771" s="228" t="s">
        <v>1259</v>
      </c>
      <c r="F2771" s="127" t="s">
        <v>205</v>
      </c>
      <c r="G2771" s="490">
        <f>+G2784</f>
        <v>572.92139234957222</v>
      </c>
      <c r="H2771" s="490">
        <f t="shared" ref="H2771:M2771" si="1572">+H2784</f>
        <v>535.20819791503743</v>
      </c>
      <c r="I2771" s="490">
        <f t="shared" si="1572"/>
        <v>497.49500348050253</v>
      </c>
      <c r="J2771" s="490">
        <f t="shared" si="1572"/>
        <v>459.78180904596769</v>
      </c>
      <c r="K2771" s="490">
        <f t="shared" si="1572"/>
        <v>422.06861461143285</v>
      </c>
      <c r="L2771" s="490">
        <f t="shared" si="1572"/>
        <v>384.35542017689801</v>
      </c>
      <c r="M2771" s="490">
        <f t="shared" si="1572"/>
        <v>346.64222574236317</v>
      </c>
    </row>
    <row r="2772" spans="2:14" ht="15" hidden="1" outlineLevel="2" x14ac:dyDescent="0.25">
      <c r="B2772" t="str">
        <f>+C2772&amp;D2772&amp;E2772&amp;F2772</f>
        <v>AfricaResultsTotal Opex biomethaneUSD/ton</v>
      </c>
      <c r="C2772" t="str">
        <f>+$C$2769</f>
        <v>Africa</v>
      </c>
      <c r="D2772" s="30" t="s">
        <v>838</v>
      </c>
      <c r="E2772" s="228" t="s">
        <v>1260</v>
      </c>
      <c r="F2772" s="127" t="s">
        <v>205</v>
      </c>
      <c r="G2772" s="490">
        <f>SUM(G2776,G2782)</f>
        <v>435.20734458075776</v>
      </c>
      <c r="H2772" s="490">
        <f t="shared" ref="H2772:M2772" si="1573">SUM(H2776,H2782)</f>
        <v>377.36358840355524</v>
      </c>
      <c r="I2772" s="490">
        <f t="shared" si="1573"/>
        <v>348.80648775937357</v>
      </c>
      <c r="J2772" s="490">
        <f t="shared" si="1573"/>
        <v>325.21778752639921</v>
      </c>
      <c r="K2772" s="490">
        <f t="shared" si="1573"/>
        <v>305.00241609667358</v>
      </c>
      <c r="L2772" s="490">
        <f t="shared" si="1573"/>
        <v>284.64732568050545</v>
      </c>
      <c r="M2772" s="490">
        <f t="shared" si="1573"/>
        <v>265.88768241720334</v>
      </c>
    </row>
    <row r="2773" spans="2:14" ht="15" hidden="1" outlineLevel="2" x14ac:dyDescent="0.25">
      <c r="B2773" t="str">
        <f>+C2773&amp;D2773&amp;E2773&amp;F2773</f>
        <v>AfricaResultsTotal Raw Material biomethaneUSD/ton</v>
      </c>
      <c r="C2773" t="str">
        <f>+$C$2769</f>
        <v>Africa</v>
      </c>
      <c r="D2773" s="30" t="s">
        <v>838</v>
      </c>
      <c r="E2773" s="228" t="s">
        <v>1261</v>
      </c>
      <c r="F2773" s="127" t="s">
        <v>205</v>
      </c>
      <c r="G2773" s="490">
        <f>+G2788+G2775</f>
        <v>275.43988244102837</v>
      </c>
      <c r="H2773" s="490">
        <f t="shared" ref="H2773:M2773" si="1574">+H2788+H2775</f>
        <v>234.04488176010366</v>
      </c>
      <c r="I2773" s="490">
        <f t="shared" si="1574"/>
        <v>219.64988107917901</v>
      </c>
      <c r="J2773" s="490">
        <f t="shared" si="1574"/>
        <v>210.87988039825433</v>
      </c>
      <c r="K2773" s="490">
        <f t="shared" si="1574"/>
        <v>202.10987971732968</v>
      </c>
      <c r="L2773" s="490">
        <f t="shared" si="1574"/>
        <v>193.33987903640502</v>
      </c>
      <c r="M2773" s="490">
        <f t="shared" si="1574"/>
        <v>184.56987835548034</v>
      </c>
    </row>
    <row r="2774" spans="2:14" hidden="1" outlineLevel="2" x14ac:dyDescent="0.2">
      <c r="E2774" s="48"/>
      <c r="F2774" s="128"/>
      <c r="G2774" s="8"/>
      <c r="H2774" s="8"/>
      <c r="I2774" s="8"/>
      <c r="J2774" s="8"/>
      <c r="K2774" s="8"/>
      <c r="L2774" s="8"/>
      <c r="M2774" s="8"/>
    </row>
    <row r="2775" spans="2:14" hidden="1" outlineLevel="2" x14ac:dyDescent="0.2">
      <c r="B2775" s="48" t="str">
        <f t="shared" ref="B2775:B2780" si="1575">+C2775&amp;D2775&amp;E2775&amp;F2775</f>
        <v>AfricaResultsCost of NG for CH4USD/ton CH4</v>
      </c>
      <c r="C2775" t="str">
        <f>+$C$2769</f>
        <v>Africa</v>
      </c>
      <c r="D2775" t="s">
        <v>838</v>
      </c>
      <c r="E2775" t="s">
        <v>1262</v>
      </c>
      <c r="F2775" s="450" t="s">
        <v>1263</v>
      </c>
      <c r="G2775" s="8">
        <f>+G2777*G2778</f>
        <v>52.500000000000007</v>
      </c>
      <c r="H2775" s="8">
        <f t="shared" ref="H2775:M2775" si="1576">+H2777*H2778</f>
        <v>17.500000000000004</v>
      </c>
      <c r="I2775" s="8">
        <f t="shared" si="1576"/>
        <v>9.5000000000000018</v>
      </c>
      <c r="J2775" s="8">
        <f t="shared" si="1576"/>
        <v>7.1250000000000018</v>
      </c>
      <c r="K2775" s="8">
        <f t="shared" si="1576"/>
        <v>4.7500000000000009</v>
      </c>
      <c r="L2775" s="8">
        <f t="shared" si="1576"/>
        <v>2.3750000000000004</v>
      </c>
      <c r="M2775" s="8">
        <f t="shared" si="1576"/>
        <v>0</v>
      </c>
    </row>
    <row r="2776" spans="2:14" hidden="1" outlineLevel="2" x14ac:dyDescent="0.2">
      <c r="B2776" s="3" t="str">
        <f t="shared" si="1575"/>
        <v>AfricaResultsCost of electricity for CH4USD/ton CH4</v>
      </c>
      <c r="C2776" t="str">
        <f>+$C$2769</f>
        <v>Africa</v>
      </c>
      <c r="D2776" t="s">
        <v>838</v>
      </c>
      <c r="E2776" t="s">
        <v>1234</v>
      </c>
      <c r="F2776" s="450" t="s">
        <v>1263</v>
      </c>
      <c r="G2776" s="337">
        <f>+G2779*G2780</f>
        <v>94.149391188823728</v>
      </c>
      <c r="H2776" s="337">
        <f t="shared" ref="H2776:M2776" si="1577">+H2779*H2780</f>
        <v>53.729263672187784</v>
      </c>
      <c r="I2776" s="337">
        <f t="shared" si="1577"/>
        <v>42.595791688572696</v>
      </c>
      <c r="J2776" s="337">
        <f t="shared" si="1577"/>
        <v>36.430720116164927</v>
      </c>
      <c r="K2776" s="337">
        <f t="shared" si="1577"/>
        <v>33.638977347005891</v>
      </c>
      <c r="L2776" s="337">
        <f t="shared" si="1577"/>
        <v>30.707515591404363</v>
      </c>
      <c r="M2776" s="337">
        <f t="shared" si="1577"/>
        <v>29.371500988668885</v>
      </c>
      <c r="N2776" s="93"/>
    </row>
    <row r="2777" spans="2:14" hidden="1" outlineLevel="2" x14ac:dyDescent="0.2">
      <c r="B2777" s="3" t="str">
        <f t="shared" si="1575"/>
        <v>AfricaFeedstockCost of NGUSD/ton</v>
      </c>
      <c r="C2777" t="str">
        <f>+$C$2769</f>
        <v>Africa</v>
      </c>
      <c r="D2777" t="s">
        <v>777</v>
      </c>
      <c r="E2777" t="s">
        <v>1144</v>
      </c>
      <c r="F2777" s="450" t="s">
        <v>205</v>
      </c>
      <c r="G2777" s="532">
        <f>INDEX('Fuel Model -  Input'!$B$3:$N$373,MATCH($B2777,'Fuel Model -  Input'!$B$3:$B$373,0),MATCH(G$2,'Fuel Model -  Input'!$B$3:$N$3,0))</f>
        <v>1750</v>
      </c>
      <c r="H2777" s="532">
        <f>INDEX('Fuel Model -  Input'!$B$3:$N$373,MATCH($B2777,'Fuel Model -  Input'!$B$3:$B$373,0),MATCH(H$2,'Fuel Model -  Input'!$B$3:$N$3,0))</f>
        <v>700</v>
      </c>
      <c r="I2777" s="532">
        <f>INDEX('Fuel Model -  Input'!$B$3:$N$373,MATCH($B2777,'Fuel Model -  Input'!$B$3:$B$373,0),MATCH(I$2,'Fuel Model -  Input'!$B$3:$N$3,0))</f>
        <v>475</v>
      </c>
      <c r="J2777" s="532">
        <f>INDEX('Fuel Model -  Input'!$B$3:$N$373,MATCH($B2777,'Fuel Model -  Input'!$B$3:$B$373,0),MATCH(J$2,'Fuel Model -  Input'!$B$3:$N$3,0))</f>
        <v>475</v>
      </c>
      <c r="K2777" s="532">
        <f>INDEX('Fuel Model -  Input'!$B$3:$N$373,MATCH($B2777,'Fuel Model -  Input'!$B$3:$B$373,0),MATCH(K$2,'Fuel Model -  Input'!$B$3:$N$3,0))</f>
        <v>475</v>
      </c>
      <c r="L2777" s="532">
        <f>INDEX('Fuel Model -  Input'!$B$3:$N$373,MATCH($B2777,'Fuel Model -  Input'!$B$3:$B$373,0),MATCH(L$2,'Fuel Model -  Input'!$B$3:$N$3,0))</f>
        <v>475</v>
      </c>
      <c r="M2777" s="532">
        <f>INDEX('Fuel Model -  Input'!$B$3:$N$373,MATCH($B2777,'Fuel Model -  Input'!$B$3:$B$373,0),MATCH(M$2,'Fuel Model -  Input'!$B$3:$N$3,0))</f>
        <v>475</v>
      </c>
      <c r="N2777" s="93"/>
    </row>
    <row r="2778" spans="2:14" hidden="1" outlineLevel="2" x14ac:dyDescent="0.2">
      <c r="B2778" s="3" t="str">
        <f t="shared" si="1575"/>
        <v>GlobalFeedstockNatural gasTon feedstock / ton fuel</v>
      </c>
      <c r="C2778" s="80" t="s">
        <v>109</v>
      </c>
      <c r="D2778" t="s">
        <v>777</v>
      </c>
      <c r="E2778" t="s">
        <v>204</v>
      </c>
      <c r="F2778" s="128" t="s">
        <v>1241</v>
      </c>
      <c r="G2778" s="521">
        <f>INDEX('Fuel Model -  Input'!$B$3:$N$373,MATCH($B2778,'Fuel Model -  Input'!$B$3:$B$373,0),MATCH(G$2,'Fuel Model -  Input'!$B$3:$N$3,0))</f>
        <v>3.0000000000000006E-2</v>
      </c>
      <c r="H2778" s="521">
        <f>INDEX('Fuel Model -  Input'!$B$3:$N$373,MATCH($B2778,'Fuel Model -  Input'!$B$3:$B$373,0),MATCH(H$2,'Fuel Model -  Input'!$B$3:$N$3,0))</f>
        <v>2.5000000000000005E-2</v>
      </c>
      <c r="I2778" s="521">
        <f>INDEX('Fuel Model -  Input'!$B$3:$N$373,MATCH($B2778,'Fuel Model -  Input'!$B$3:$B$373,0),MATCH(I$2,'Fuel Model -  Input'!$B$3:$N$3,0))</f>
        <v>2.0000000000000004E-2</v>
      </c>
      <c r="J2778" s="521">
        <f>INDEX('Fuel Model -  Input'!$B$3:$N$373,MATCH($B2778,'Fuel Model -  Input'!$B$3:$B$373,0),MATCH(J$2,'Fuel Model -  Input'!$B$3:$N$3,0))</f>
        <v>1.5000000000000003E-2</v>
      </c>
      <c r="K2778" s="521">
        <f>INDEX('Fuel Model -  Input'!$B$3:$N$373,MATCH($B2778,'Fuel Model -  Input'!$B$3:$B$373,0),MATCH(K$2,'Fuel Model -  Input'!$B$3:$N$3,0))</f>
        <v>1.0000000000000002E-2</v>
      </c>
      <c r="L2778" s="521">
        <f>INDEX('Fuel Model -  Input'!$B$3:$N$373,MATCH($B2778,'Fuel Model -  Input'!$B$3:$B$373,0),MATCH(L$2,'Fuel Model -  Input'!$B$3:$N$3,0))</f>
        <v>5.000000000000001E-3</v>
      </c>
      <c r="M2778" s="521">
        <f>INDEX('Fuel Model -  Input'!$B$3:$N$373,MATCH($B2778,'Fuel Model -  Input'!$B$3:$B$373,0),MATCH(M$2,'Fuel Model -  Input'!$B$3:$N$3,0))</f>
        <v>0</v>
      </c>
      <c r="N2778" s="93"/>
    </row>
    <row r="2779" spans="2:14" hidden="1" outlineLevel="2" x14ac:dyDescent="0.2">
      <c r="B2779" s="12" t="str">
        <f t="shared" si="1575"/>
        <v>GlobalFeedstockLBM plant Electricity demandMwH/ton LBM</v>
      </c>
      <c r="C2779" s="80" t="s">
        <v>109</v>
      </c>
      <c r="D2779" t="s">
        <v>777</v>
      </c>
      <c r="E2779" t="s">
        <v>1264</v>
      </c>
      <c r="F2779" s="128" t="s">
        <v>1265</v>
      </c>
      <c r="G2779" s="521">
        <f>INDEX('Fuel Model -  Input'!$B$3:$N$373,MATCH($B2779,'Fuel Model -  Input'!$B$3:$B$373,0),MATCH(G$2,'Fuel Model -  Input'!$B$3:$N$3,0))</f>
        <v>1.192378158163339</v>
      </c>
      <c r="H2779" s="521">
        <f>INDEX('Fuel Model -  Input'!$B$3:$N$373,MATCH($B2779,'Fuel Model -  Input'!$B$3:$B$373,0),MATCH(H$2,'Fuel Model -  Input'!$B$3:$N$3,0))</f>
        <v>1.2026215180379118</v>
      </c>
      <c r="I2779" s="521">
        <f>INDEX('Fuel Model -  Input'!$B$3:$N$373,MATCH($B2779,'Fuel Model -  Input'!$B$3:$B$373,0),MATCH(I$2,'Fuel Model -  Input'!$B$3:$N$3,0))</f>
        <v>1.2128648779124849</v>
      </c>
      <c r="J2779" s="521">
        <f>INDEX('Fuel Model -  Input'!$B$3:$N$373,MATCH($B2779,'Fuel Model -  Input'!$B$3:$B$373,0),MATCH(J$2,'Fuel Model -  Input'!$B$3:$N$3,0))</f>
        <v>1.2231082377870577</v>
      </c>
      <c r="K2779" s="521">
        <f>INDEX('Fuel Model -  Input'!$B$3:$N$373,MATCH($B2779,'Fuel Model -  Input'!$B$3:$B$373,0),MATCH(K$2,'Fuel Model -  Input'!$B$3:$N$3,0))</f>
        <v>1.2333515976616307</v>
      </c>
      <c r="L2779" s="521">
        <f>INDEX('Fuel Model -  Input'!$B$3:$N$373,MATCH($B2779,'Fuel Model -  Input'!$B$3:$B$373,0),MATCH(L$2,'Fuel Model -  Input'!$B$3:$N$3,0))</f>
        <v>1.2435949575362035</v>
      </c>
      <c r="M2779" s="521">
        <f>INDEX('Fuel Model -  Input'!$B$3:$N$373,MATCH($B2779,'Fuel Model -  Input'!$B$3:$B$373,0),MATCH(M$2,'Fuel Model -  Input'!$B$3:$N$3,0))</f>
        <v>1.2538383174107766</v>
      </c>
      <c r="N2779" s="93"/>
    </row>
    <row r="2780" spans="2:14" hidden="1" outlineLevel="2" x14ac:dyDescent="0.2">
      <c r="B2780" s="12" t="str">
        <f t="shared" si="1575"/>
        <v>AfricaFeedstockElectricityUSD/MWh</v>
      </c>
      <c r="C2780" t="str">
        <f>+$C$2769</f>
        <v>Africa</v>
      </c>
      <c r="D2780" t="s">
        <v>777</v>
      </c>
      <c r="E2780" t="s">
        <v>54</v>
      </c>
      <c r="F2780" s="450" t="s">
        <v>196</v>
      </c>
      <c r="G2780" s="532">
        <f>INDEX('Fuel Model -  Input'!$B$3:$N$373,MATCH($B2780,'Fuel Model -  Input'!$B$3:$B$373,0),MATCH(G$2,'Fuel Model -  Input'!$B$3:$N$3,0))</f>
        <v>78.959338985079413</v>
      </c>
      <c r="H2780" s="532">
        <f>INDEX('Fuel Model -  Input'!$B$3:$N$373,MATCH($B2780,'Fuel Model -  Input'!$B$3:$B$373,0),MATCH(H$2,'Fuel Model -  Input'!$B$3:$N$3,0))</f>
        <v>44.676785560803516</v>
      </c>
      <c r="I2780" s="532">
        <f>INDEX('Fuel Model -  Input'!$B$3:$N$373,MATCH($B2780,'Fuel Model -  Input'!$B$3:$B$373,0),MATCH(I$2,'Fuel Model -  Input'!$B$3:$N$3,0))</f>
        <v>35.119981181981451</v>
      </c>
      <c r="J2780" s="532">
        <f>INDEX('Fuel Model -  Input'!$B$3:$N$373,MATCH($B2780,'Fuel Model -  Input'!$B$3:$B$373,0),MATCH(J$2,'Fuel Model -  Input'!$B$3:$N$3,0))</f>
        <v>29.785360764210218</v>
      </c>
      <c r="K2780" s="532">
        <f>INDEX('Fuel Model -  Input'!$B$3:$N$373,MATCH($B2780,'Fuel Model -  Input'!$B$3:$B$373,0),MATCH(K$2,'Fuel Model -  Input'!$B$3:$N$3,0))</f>
        <v>27.274442592674799</v>
      </c>
      <c r="L2780" s="532">
        <f>INDEX('Fuel Model -  Input'!$B$3:$N$373,MATCH($B2780,'Fuel Model -  Input'!$B$3:$B$373,0),MATCH(L$2,'Fuel Model -  Input'!$B$3:$N$3,0))</f>
        <v>24.692537876031398</v>
      </c>
      <c r="M2780" s="532">
        <f>INDEX('Fuel Model -  Input'!$B$3:$N$373,MATCH($B2780,'Fuel Model -  Input'!$B$3:$B$373,0),MATCH(M$2,'Fuel Model -  Input'!$B$3:$N$3,0))</f>
        <v>23.425269893906371</v>
      </c>
      <c r="N2780" s="93"/>
    </row>
    <row r="2781" spans="2:14" ht="12.75" hidden="1" outlineLevel="2" x14ac:dyDescent="0.2">
      <c r="F2781"/>
      <c r="G2781" s="24"/>
      <c r="H2781" s="24"/>
      <c r="I2781" s="24"/>
      <c r="J2781" s="24"/>
      <c r="K2781" s="24"/>
      <c r="L2781" s="24"/>
      <c r="M2781" s="24"/>
    </row>
    <row r="2782" spans="2:14" hidden="1" outlineLevel="2" x14ac:dyDescent="0.2">
      <c r="B2782" s="157" t="str">
        <f>+C2782&amp;D2782&amp;E2782&amp;F2782</f>
        <v>GlobalOPEXLBM plant opexUSD/ton LBM</v>
      </c>
      <c r="C2782" t="s">
        <v>109</v>
      </c>
      <c r="D2782" t="s">
        <v>319</v>
      </c>
      <c r="E2782" t="s">
        <v>1266</v>
      </c>
      <c r="F2782" s="128" t="s">
        <v>1267</v>
      </c>
      <c r="G2782" s="532">
        <f>INDEX('Fuel Model -  Input'!$B$3:$N$373,MATCH($B2782,'Fuel Model -  Input'!$B$3:$B$373,0),MATCH(G$2,'Fuel Model -  Input'!$B$3:$N$3,0))</f>
        <v>341.05795339193406</v>
      </c>
      <c r="H2782" s="532">
        <f>INDEX('Fuel Model -  Input'!$B$3:$N$373,MATCH($B2782,'Fuel Model -  Input'!$B$3:$B$373,0),MATCH(H$2,'Fuel Model -  Input'!$B$3:$N$3,0))</f>
        <v>323.63432473136749</v>
      </c>
      <c r="I2782" s="532">
        <f>INDEX('Fuel Model -  Input'!$B$3:$N$373,MATCH($B2782,'Fuel Model -  Input'!$B$3:$B$373,0),MATCH(I$2,'Fuel Model -  Input'!$B$3:$N$3,0))</f>
        <v>306.21069607080085</v>
      </c>
      <c r="J2782" s="532">
        <f>INDEX('Fuel Model -  Input'!$B$3:$N$373,MATCH($B2782,'Fuel Model -  Input'!$B$3:$B$373,0),MATCH(J$2,'Fuel Model -  Input'!$B$3:$N$3,0))</f>
        <v>288.78706741023427</v>
      </c>
      <c r="K2782" s="532">
        <f>INDEX('Fuel Model -  Input'!$B$3:$N$373,MATCH($B2782,'Fuel Model -  Input'!$B$3:$B$373,0),MATCH(K$2,'Fuel Model -  Input'!$B$3:$N$3,0))</f>
        <v>271.36343874966769</v>
      </c>
      <c r="L2782" s="532">
        <f>INDEX('Fuel Model -  Input'!$B$3:$N$373,MATCH($B2782,'Fuel Model -  Input'!$B$3:$B$373,0),MATCH(L$2,'Fuel Model -  Input'!$B$3:$N$3,0))</f>
        <v>253.93981008910106</v>
      </c>
      <c r="M2782" s="532">
        <f>INDEX('Fuel Model -  Input'!$B$3:$N$373,MATCH($B2782,'Fuel Model -  Input'!$B$3:$B$373,0),MATCH(M$2,'Fuel Model -  Input'!$B$3:$N$3,0))</f>
        <v>236.51618142853448</v>
      </c>
    </row>
    <row r="2783" spans="2:14" hidden="1" outlineLevel="2" x14ac:dyDescent="0.2">
      <c r="B2783" s="3"/>
      <c r="E2783" s="48"/>
      <c r="F2783" s="128"/>
      <c r="G2783" s="524"/>
      <c r="H2783" s="524"/>
      <c r="I2783" s="524"/>
      <c r="J2783" s="524"/>
      <c r="K2783" s="524"/>
      <c r="L2783" s="524"/>
      <c r="M2783" s="524"/>
    </row>
    <row r="2784" spans="2:14" hidden="1" outlineLevel="2" x14ac:dyDescent="0.2">
      <c r="B2784" t="str">
        <f>+C2784&amp;D2784&amp;E2784&amp;F2784</f>
        <v>AfricaPlant capexAnnual capex (AD)USD/ton Biomethane</v>
      </c>
      <c r="C2784" t="str">
        <f>+$C$2769</f>
        <v>Africa</v>
      </c>
      <c r="D2784" t="s">
        <v>786</v>
      </c>
      <c r="E2784" s="48" t="s">
        <v>1268</v>
      </c>
      <c r="F2784" s="128" t="s">
        <v>1269</v>
      </c>
      <c r="G2784" s="8">
        <f>+G2786/G2785</f>
        <v>572.92139234957222</v>
      </c>
      <c r="H2784" s="8">
        <f t="shared" ref="H2784" si="1578">+H2786/H2785</f>
        <v>535.20819791503743</v>
      </c>
      <c r="I2784" s="8">
        <f t="shared" ref="I2784" si="1579">+I2786/I2785</f>
        <v>497.49500348050253</v>
      </c>
      <c r="J2784" s="8">
        <f t="shared" ref="J2784" si="1580">+J2786/J2785</f>
        <v>459.78180904596769</v>
      </c>
      <c r="K2784" s="8">
        <f t="shared" ref="K2784" si="1581">+K2786/K2785</f>
        <v>422.06861461143285</v>
      </c>
      <c r="L2784" s="8">
        <f t="shared" ref="L2784" si="1582">+L2786/L2785</f>
        <v>384.35542017689801</v>
      </c>
      <c r="M2784" s="8">
        <f t="shared" ref="M2784" si="1583">+M2786/M2785</f>
        <v>346.64222574236317</v>
      </c>
    </row>
    <row r="2785" spans="2:13" hidden="1" outlineLevel="2" x14ac:dyDescent="0.2">
      <c r="B2785" s="3" t="str">
        <f>+C2785&amp;D2785&amp;E2785&amp;F2785</f>
        <v>GlobalPlant capexAnnualisation factor#</v>
      </c>
      <c r="C2785" t="s">
        <v>109</v>
      </c>
      <c r="D2785" t="s">
        <v>786</v>
      </c>
      <c r="E2785" t="s">
        <v>764</v>
      </c>
      <c r="F2785" s="450" t="s">
        <v>787</v>
      </c>
      <c r="G2785" s="532">
        <f>INDEX('Fuel Model -  Input'!$B$3:$N$373,MATCH($B2785,'Fuel Model -  Input'!$B$3:$B$373,0),MATCH(G$2,'Fuel Model -  Input'!$B$3:$N$3,0))</f>
        <v>11.32075471698113</v>
      </c>
      <c r="H2785" s="532">
        <f>INDEX('Fuel Model -  Input'!$B$3:$N$373,MATCH($B2785,'Fuel Model -  Input'!$B$3:$B$373,0),MATCH(H$2,'Fuel Model -  Input'!$B$3:$N$3,0))</f>
        <v>11.32075471698113</v>
      </c>
      <c r="I2785" s="532">
        <f>INDEX('Fuel Model -  Input'!$B$3:$N$373,MATCH($B2785,'Fuel Model -  Input'!$B$3:$B$373,0),MATCH(I$2,'Fuel Model -  Input'!$B$3:$N$3,0))</f>
        <v>11.32075471698113</v>
      </c>
      <c r="J2785" s="532">
        <f>INDEX('Fuel Model -  Input'!$B$3:$N$373,MATCH($B2785,'Fuel Model -  Input'!$B$3:$B$373,0),MATCH(J$2,'Fuel Model -  Input'!$B$3:$N$3,0))</f>
        <v>11.32075471698113</v>
      </c>
      <c r="K2785" s="532">
        <f>INDEX('Fuel Model -  Input'!$B$3:$N$373,MATCH($B2785,'Fuel Model -  Input'!$B$3:$B$373,0),MATCH(K$2,'Fuel Model -  Input'!$B$3:$N$3,0))</f>
        <v>11.32075471698113</v>
      </c>
      <c r="L2785" s="532">
        <f>INDEX('Fuel Model -  Input'!$B$3:$N$373,MATCH($B2785,'Fuel Model -  Input'!$B$3:$B$373,0),MATCH(L$2,'Fuel Model -  Input'!$B$3:$N$3,0))</f>
        <v>11.32075471698113</v>
      </c>
      <c r="M2785" s="532">
        <f>INDEX('Fuel Model -  Input'!$B$3:$N$373,MATCH($B2785,'Fuel Model -  Input'!$B$3:$B$373,0),MATCH(M$2,'Fuel Model -  Input'!$B$3:$N$3,0))</f>
        <v>11.32075471698113</v>
      </c>
    </row>
    <row r="2786" spans="2:13" hidden="1" outlineLevel="2" x14ac:dyDescent="0.2">
      <c r="B2786" s="3" t="str">
        <f>+C2786&amp;D2786&amp;E2786&amp;F2786</f>
        <v>GlobalCAPEXLBM plantUSD/ton LBM capacity</v>
      </c>
      <c r="C2786" t="s">
        <v>109</v>
      </c>
      <c r="D2786" t="s">
        <v>50</v>
      </c>
      <c r="E2786" t="s">
        <v>1270</v>
      </c>
      <c r="F2786" s="128" t="s">
        <v>1271</v>
      </c>
      <c r="G2786" s="532">
        <f>INDEX('Fuel Model -  Input'!$B$3:$N$373,MATCH($B2786,'Fuel Model -  Input'!$B$3:$B$373,0),MATCH(G$2,'Fuel Model -  Input'!$B$3:$N$3,0))</f>
        <v>6485.9025549008165</v>
      </c>
      <c r="H2786" s="532">
        <f>INDEX('Fuel Model -  Input'!$B$3:$N$373,MATCH($B2786,'Fuel Model -  Input'!$B$3:$B$373,0),MATCH(H$2,'Fuel Model -  Input'!$B$3:$N$3,0))</f>
        <v>6058.9607311136297</v>
      </c>
      <c r="I2786" s="532">
        <f>INDEX('Fuel Model -  Input'!$B$3:$N$373,MATCH($B2786,'Fuel Model -  Input'!$B$3:$B$373,0),MATCH(I$2,'Fuel Model -  Input'!$B$3:$N$3,0))</f>
        <v>5632.0189073264428</v>
      </c>
      <c r="J2786" s="532">
        <f>INDEX('Fuel Model -  Input'!$B$3:$N$373,MATCH($B2786,'Fuel Model -  Input'!$B$3:$B$373,0),MATCH(J$2,'Fuel Model -  Input'!$B$3:$N$3,0))</f>
        <v>5205.0770835392559</v>
      </c>
      <c r="K2786" s="532">
        <f>INDEX('Fuel Model -  Input'!$B$3:$N$373,MATCH($B2786,'Fuel Model -  Input'!$B$3:$B$373,0),MATCH(K$2,'Fuel Model -  Input'!$B$3:$N$3,0))</f>
        <v>4778.135259752069</v>
      </c>
      <c r="L2786" s="532">
        <f>INDEX('Fuel Model -  Input'!$B$3:$N$373,MATCH($B2786,'Fuel Model -  Input'!$B$3:$B$373,0),MATCH(L$2,'Fuel Model -  Input'!$B$3:$N$3,0))</f>
        <v>4351.1934359648822</v>
      </c>
      <c r="M2786" s="532">
        <f>INDEX('Fuel Model -  Input'!$B$3:$N$373,MATCH($B2786,'Fuel Model -  Input'!$B$3:$B$373,0),MATCH(M$2,'Fuel Model -  Input'!$B$3:$N$3,0))</f>
        <v>3924.2516121776953</v>
      </c>
    </row>
    <row r="2787" spans="2:13" ht="12.75" hidden="1" outlineLevel="2" x14ac:dyDescent="0.2">
      <c r="F2787"/>
    </row>
    <row r="2788" spans="2:13" hidden="1" outlineLevel="2" x14ac:dyDescent="0.2">
      <c r="B2788" s="78" t="str">
        <f>+C2788&amp;D2788&amp;E2788&amp;F2788</f>
        <v>AfricaFeedstockMunicipal waste costUSD/ton Biogas</v>
      </c>
      <c r="C2788" t="str">
        <f>+$C$2769</f>
        <v>Africa</v>
      </c>
      <c r="D2788" t="s">
        <v>777</v>
      </c>
      <c r="E2788" t="s">
        <v>1272</v>
      </c>
      <c r="F2788" s="128" t="s">
        <v>1273</v>
      </c>
      <c r="G2788" s="526">
        <f t="shared" ref="G2788:M2788" si="1584">G2789*G2790</f>
        <v>222.93988244102835</v>
      </c>
      <c r="H2788" s="526">
        <f t="shared" si="1584"/>
        <v>216.54488176010366</v>
      </c>
      <c r="I2788" s="526">
        <f t="shared" si="1584"/>
        <v>210.14988107917901</v>
      </c>
      <c r="J2788" s="526">
        <f t="shared" si="1584"/>
        <v>203.75488039825433</v>
      </c>
      <c r="K2788" s="526">
        <f t="shared" si="1584"/>
        <v>197.35987971732968</v>
      </c>
      <c r="L2788" s="526">
        <f t="shared" si="1584"/>
        <v>190.96487903640502</v>
      </c>
      <c r="M2788" s="526">
        <f t="shared" si="1584"/>
        <v>184.56987835548034</v>
      </c>
    </row>
    <row r="2789" spans="2:13" hidden="1" outlineLevel="2" x14ac:dyDescent="0.2">
      <c r="B2789" s="79" t="str">
        <f>+C2789&amp;D2789&amp;E2789&amp;F2789</f>
        <v>GlobalFeedstockConversion Organic wet waste : LBMTon feedstock / ton fuel</v>
      </c>
      <c r="C2789" t="s">
        <v>109</v>
      </c>
      <c r="D2789" t="s">
        <v>777</v>
      </c>
      <c r="E2789" s="48" t="s">
        <v>1274</v>
      </c>
      <c r="F2789" s="128" t="s">
        <v>1241</v>
      </c>
      <c r="G2789" s="521">
        <f>INDEX('Fuel Model -  Input'!$B$3:$N$373,MATCH($B2789,'Fuel Model -  Input'!$B$3:$B$373,0),MATCH(G$2,'Fuel Model -  Input'!$B$3:$N$3,0))</f>
        <v>4.4587976488205667</v>
      </c>
      <c r="H2789" s="521">
        <f>INDEX('Fuel Model -  Input'!$B$3:$N$373,MATCH($B2789,'Fuel Model -  Input'!$B$3:$B$373,0),MATCH(H$2,'Fuel Model -  Input'!$B$3:$N$3,0))</f>
        <v>4.3308976352020734</v>
      </c>
      <c r="I2789" s="521">
        <f>INDEX('Fuel Model -  Input'!$B$3:$N$373,MATCH($B2789,'Fuel Model -  Input'!$B$3:$B$373,0),MATCH(I$2,'Fuel Model -  Input'!$B$3:$N$3,0))</f>
        <v>4.20299762158358</v>
      </c>
      <c r="J2789" s="521">
        <f>INDEX('Fuel Model -  Input'!$B$3:$N$373,MATCH($B2789,'Fuel Model -  Input'!$B$3:$B$373,0),MATCH(J$2,'Fuel Model -  Input'!$B$3:$N$3,0))</f>
        <v>4.0750976079650867</v>
      </c>
      <c r="K2789" s="521">
        <f>INDEX('Fuel Model -  Input'!$B$3:$N$373,MATCH($B2789,'Fuel Model -  Input'!$B$3:$B$373,0),MATCH(K$2,'Fuel Model -  Input'!$B$3:$N$3,0))</f>
        <v>3.9471975943465938</v>
      </c>
      <c r="L2789" s="521">
        <f>INDEX('Fuel Model -  Input'!$B$3:$N$373,MATCH($B2789,'Fuel Model -  Input'!$B$3:$B$373,0),MATCH(L$2,'Fuel Model -  Input'!$B$3:$N$3,0))</f>
        <v>3.8192975807281004</v>
      </c>
      <c r="M2789" s="521">
        <f>INDEX('Fuel Model -  Input'!$B$3:$N$373,MATCH($B2789,'Fuel Model -  Input'!$B$3:$B$373,0),MATCH(M$2,'Fuel Model -  Input'!$B$3:$N$3,0))</f>
        <v>3.6913975671096071</v>
      </c>
    </row>
    <row r="2790" spans="2:13" hidden="1" outlineLevel="2" x14ac:dyDescent="0.2">
      <c r="B2790" s="3" t="str">
        <f>+C2790&amp;D2790&amp;E2790&amp;F2790</f>
        <v>AfricaFeedstockCost of Organic wet wasteUSD/ton</v>
      </c>
      <c r="C2790" t="s">
        <v>200</v>
      </c>
      <c r="D2790" t="s">
        <v>777</v>
      </c>
      <c r="E2790" t="s">
        <v>1242</v>
      </c>
      <c r="F2790" t="s">
        <v>205</v>
      </c>
      <c r="G2790" s="532">
        <f>INDEX('Fuel Model -  Input'!$B$3:$N$373,MATCH($B2790,'Fuel Model -  Input'!$B$3:$B$373,0),MATCH(G$2,'Fuel Model -  Input'!$B$3:$N$3,0))</f>
        <v>50</v>
      </c>
      <c r="H2790" s="532">
        <f>INDEX('Fuel Model -  Input'!$B$3:$N$373,MATCH($B2790,'Fuel Model -  Input'!$B$3:$B$373,0),MATCH(H$2,'Fuel Model -  Input'!$B$3:$N$3,0))</f>
        <v>50</v>
      </c>
      <c r="I2790" s="532">
        <f>INDEX('Fuel Model -  Input'!$B$3:$N$373,MATCH($B2790,'Fuel Model -  Input'!$B$3:$B$373,0),MATCH(I$2,'Fuel Model -  Input'!$B$3:$N$3,0))</f>
        <v>50</v>
      </c>
      <c r="J2790" s="532">
        <f>INDEX('Fuel Model -  Input'!$B$3:$N$373,MATCH($B2790,'Fuel Model -  Input'!$B$3:$B$373,0),MATCH(J$2,'Fuel Model -  Input'!$B$3:$N$3,0))</f>
        <v>50</v>
      </c>
      <c r="K2790" s="532">
        <f>INDEX('Fuel Model -  Input'!$B$3:$N$373,MATCH($B2790,'Fuel Model -  Input'!$B$3:$B$373,0),MATCH(K$2,'Fuel Model -  Input'!$B$3:$N$3,0))</f>
        <v>50</v>
      </c>
      <c r="L2790" s="532">
        <f>INDEX('Fuel Model -  Input'!$B$3:$N$373,MATCH($B2790,'Fuel Model -  Input'!$B$3:$B$373,0),MATCH(L$2,'Fuel Model -  Input'!$B$3:$N$3,0))</f>
        <v>50</v>
      </c>
      <c r="M2790" s="532">
        <f>INDEX('Fuel Model -  Input'!$B$3:$N$373,MATCH($B2790,'Fuel Model -  Input'!$B$3:$B$373,0),MATCH(M$2,'Fuel Model -  Input'!$B$3:$N$3,0))</f>
        <v>50</v>
      </c>
    </row>
    <row r="2791" spans="2:13" ht="12.75" hidden="1" outlineLevel="1" x14ac:dyDescent="0.2">
      <c r="F2791"/>
      <c r="G2791" s="256"/>
      <c r="H2791" s="256"/>
      <c r="I2791" s="256"/>
      <c r="J2791" s="256"/>
      <c r="K2791" s="256"/>
      <c r="L2791" s="256"/>
      <c r="M2791" s="256"/>
    </row>
    <row r="2792" spans="2:13" ht="15" hidden="1" outlineLevel="1" x14ac:dyDescent="0.25">
      <c r="B2792" s="30" t="s">
        <v>1275</v>
      </c>
      <c r="C2792" s="30" t="str">
        <f>+B2792</f>
        <v>CO2eq intensity ton/ton Bio-gas(liq)</v>
      </c>
      <c r="F2792"/>
      <c r="G2792" s="27">
        <f>G2793*1000000/'Fuel Model -  Input'!H30</f>
        <v>-39.352190435350245</v>
      </c>
      <c r="H2792" s="27">
        <f>H2793*1000000/'Fuel Model -  Input'!I30</f>
        <v>-42.400588611566207</v>
      </c>
      <c r="I2792" s="27">
        <f>I2793*1000000/'Fuel Model -  Input'!J30</f>
        <v>-45.377043030121754</v>
      </c>
      <c r="J2792" s="27">
        <f>J2793*1000000/'Fuel Model -  Input'!K30</f>
        <v>-48.28155369101691</v>
      </c>
      <c r="K2792" s="27">
        <f>K2793*1000000/'Fuel Model -  Input'!L30</f>
        <v>-51.114120594251652</v>
      </c>
      <c r="L2792" s="27">
        <f>L2793*1000000/'Fuel Model -  Input'!M30</f>
        <v>-53.874743739826016</v>
      </c>
      <c r="M2792" s="27">
        <f>M2793*1000000/'Fuel Model -  Input'!N30</f>
        <v>-56.563423127739952</v>
      </c>
    </row>
    <row r="2793" spans="2:13" ht="15" hidden="1" outlineLevel="1" collapsed="1" x14ac:dyDescent="0.25">
      <c r="B2793" s="527" t="str">
        <f>+C2793&amp;D2793&amp;E2793&amp;F2793</f>
        <v xml:space="preserve">GlobalEmissionsWTT emission - BiomethanetonCO2eq/ ton </v>
      </c>
      <c r="C2793" s="257" t="s">
        <v>109</v>
      </c>
      <c r="D2793" s="257" t="s">
        <v>728</v>
      </c>
      <c r="E2793" s="516" t="s">
        <v>1276</v>
      </c>
      <c r="F2793" s="539" t="s">
        <v>1016</v>
      </c>
      <c r="G2793" s="566">
        <f>-G2795+G2796*G2798+G2799+G2800*G2801+G2795*G2797</f>
        <v>-1.8889051408968118</v>
      </c>
      <c r="H2793" s="566">
        <f t="shared" ref="H2793:M2793" si="1585">-H2795+H2796*H2798+H2799+H2800*H2801+H2795*H2797</f>
        <v>-2.0352282533551778</v>
      </c>
      <c r="I2793" s="566">
        <f t="shared" si="1585"/>
        <v>-2.1780980654458442</v>
      </c>
      <c r="J2793" s="566">
        <f t="shared" si="1585"/>
        <v>-2.3175145771688115</v>
      </c>
      <c r="K2793" s="566">
        <f t="shared" si="1585"/>
        <v>-2.4534777885240793</v>
      </c>
      <c r="L2793" s="566">
        <f t="shared" si="1585"/>
        <v>-2.5859876995116484</v>
      </c>
      <c r="M2793" s="566">
        <f t="shared" si="1585"/>
        <v>-2.7150443101315176</v>
      </c>
    </row>
    <row r="2794" spans="2:13" ht="12.75" hidden="1" outlineLevel="2" x14ac:dyDescent="0.2">
      <c r="F2794"/>
    </row>
    <row r="2795" spans="2:13" hidden="1" outlineLevel="2" x14ac:dyDescent="0.2">
      <c r="B2795" s="496" t="str">
        <f>+C2795&amp;D2795&amp;E2795&amp;F2795</f>
        <v>GlobalTTW CO2_MethanetonCO2eq/ton Methane</v>
      </c>
      <c r="C2795" s="157" t="s">
        <v>109</v>
      </c>
      <c r="D2795" s="157" t="s">
        <v>1248</v>
      </c>
      <c r="E2795" s="157" t="s">
        <v>599</v>
      </c>
      <c r="F2795" s="157" t="s">
        <v>1115</v>
      </c>
      <c r="G2795" s="567">
        <v>2.78</v>
      </c>
      <c r="H2795" s="567">
        <v>2.78</v>
      </c>
      <c r="I2795" s="567">
        <v>2.78</v>
      </c>
      <c r="J2795" s="567">
        <v>2.78</v>
      </c>
      <c r="K2795" s="567">
        <v>2.78</v>
      </c>
      <c r="L2795" s="567">
        <v>2.78</v>
      </c>
      <c r="M2795" s="567">
        <v>2.78</v>
      </c>
    </row>
    <row r="2796" spans="2:13" hidden="1" outlineLevel="2" x14ac:dyDescent="0.2">
      <c r="B2796" s="496" t="str">
        <f>+C2796&amp;D2796&amp;E2796&amp;F2796</f>
        <v>GlobalCO2intensityElectricitytonCO2eq/MWH</v>
      </c>
      <c r="C2796" t="s">
        <v>109</v>
      </c>
      <c r="D2796" t="s">
        <v>927</v>
      </c>
      <c r="E2796" t="s">
        <v>54</v>
      </c>
      <c r="F2796" t="s">
        <v>937</v>
      </c>
      <c r="G2796" s="520">
        <f>INDEX('Fuel Model -  Input'!$B$3:$N$373,MATCH($B2796,'Fuel Model -  Input'!$B$3:$B$373,0),MATCH(G$2,'Fuel Model -  Input'!$B$3:$N$3,0))</f>
        <v>5.3699999999999998E-3</v>
      </c>
      <c r="H2796" s="520">
        <f>INDEX('Fuel Model -  Input'!$B$3:$N$373,MATCH($B2796,'Fuel Model -  Input'!$B$3:$B$373,0),MATCH(H$2,'Fuel Model -  Input'!$B$3:$N$3,0))</f>
        <v>5.3699999999999998E-3</v>
      </c>
      <c r="I2796" s="520">
        <f>INDEX('Fuel Model -  Input'!$B$3:$N$373,MATCH($B2796,'Fuel Model -  Input'!$B$3:$B$373,0),MATCH(I$2,'Fuel Model -  Input'!$B$3:$N$3,0))</f>
        <v>5.3699999999999998E-3</v>
      </c>
      <c r="J2796" s="520">
        <f>INDEX('Fuel Model -  Input'!$B$3:$N$373,MATCH($B2796,'Fuel Model -  Input'!$B$3:$B$373,0),MATCH(J$2,'Fuel Model -  Input'!$B$3:$N$3,0))</f>
        <v>5.3699999999999998E-3</v>
      </c>
      <c r="K2796" s="520">
        <f>INDEX('Fuel Model -  Input'!$B$3:$N$373,MATCH($B2796,'Fuel Model -  Input'!$B$3:$B$373,0),MATCH(K$2,'Fuel Model -  Input'!$B$3:$N$3,0))</f>
        <v>5.3699999999999998E-3</v>
      </c>
      <c r="L2796" s="520">
        <f>INDEX('Fuel Model -  Input'!$B$3:$N$373,MATCH($B2796,'Fuel Model -  Input'!$B$3:$B$373,0),MATCH(L$2,'Fuel Model -  Input'!$B$3:$N$3,0))</f>
        <v>5.3699999999999998E-3</v>
      </c>
      <c r="M2796" s="520">
        <f>INDEX('Fuel Model -  Input'!$B$3:$N$373,MATCH($B2796,'Fuel Model -  Input'!$B$3:$B$373,0),MATCH(M$2,'Fuel Model -  Input'!$B$3:$N$3,0))</f>
        <v>5.3699999999999998E-3</v>
      </c>
    </row>
    <row r="2797" spans="2:13" hidden="1" outlineLevel="2" x14ac:dyDescent="0.2">
      <c r="B2797" s="496" t="str">
        <f>+C2797&amp;D2797&amp;E2797&amp;F2797</f>
        <v>GlobalFeedstockNatural gasTon feedstock / ton fuel</v>
      </c>
      <c r="C2797" t="s">
        <v>109</v>
      </c>
      <c r="D2797" t="s">
        <v>777</v>
      </c>
      <c r="E2797" t="s">
        <v>204</v>
      </c>
      <c r="F2797" s="128" t="s">
        <v>1241</v>
      </c>
      <c r="G2797" s="520">
        <f>INDEX('Fuel Model -  Input'!$B$3:$N$373,MATCH($B2797,'Fuel Model -  Input'!$B$3:$B$373,0),MATCH(G$2,'Fuel Model -  Input'!$B$3:$N$3,0))</f>
        <v>3.0000000000000006E-2</v>
      </c>
      <c r="H2797" s="520">
        <f>INDEX('Fuel Model -  Input'!$B$3:$N$373,MATCH($B2797,'Fuel Model -  Input'!$B$3:$B$373,0),MATCH(H$2,'Fuel Model -  Input'!$B$3:$N$3,0))</f>
        <v>2.5000000000000005E-2</v>
      </c>
      <c r="I2797" s="520">
        <f>INDEX('Fuel Model -  Input'!$B$3:$N$373,MATCH($B2797,'Fuel Model -  Input'!$B$3:$B$373,0),MATCH(I$2,'Fuel Model -  Input'!$B$3:$N$3,0))</f>
        <v>2.0000000000000004E-2</v>
      </c>
      <c r="J2797" s="520">
        <f>INDEX('Fuel Model -  Input'!$B$3:$N$373,MATCH($B2797,'Fuel Model -  Input'!$B$3:$B$373,0),MATCH(J$2,'Fuel Model -  Input'!$B$3:$N$3,0))</f>
        <v>1.5000000000000003E-2</v>
      </c>
      <c r="K2797" s="520">
        <f>INDEX('Fuel Model -  Input'!$B$3:$N$373,MATCH($B2797,'Fuel Model -  Input'!$B$3:$B$373,0),MATCH(K$2,'Fuel Model -  Input'!$B$3:$N$3,0))</f>
        <v>1.0000000000000002E-2</v>
      </c>
      <c r="L2797" s="520">
        <f>INDEX('Fuel Model -  Input'!$B$3:$N$373,MATCH($B2797,'Fuel Model -  Input'!$B$3:$B$373,0),MATCH(L$2,'Fuel Model -  Input'!$B$3:$N$3,0))</f>
        <v>5.000000000000001E-3</v>
      </c>
      <c r="M2797" s="520">
        <f>INDEX('Fuel Model -  Input'!$B$3:$N$373,MATCH($B2797,'Fuel Model -  Input'!$B$3:$B$373,0),MATCH(M$2,'Fuel Model -  Input'!$B$3:$N$3,0))</f>
        <v>0</v>
      </c>
    </row>
    <row r="2798" spans="2:13" hidden="1" outlineLevel="2" x14ac:dyDescent="0.2">
      <c r="B2798" s="496" t="str">
        <f>+C2798&amp;D2798&amp;E2798&amp;F2798</f>
        <v>GlobalFeedstockLBM plant Electricity demandMwH/ton LBM</v>
      </c>
      <c r="C2798" t="s">
        <v>109</v>
      </c>
      <c r="D2798" t="s">
        <v>777</v>
      </c>
      <c r="E2798" t="s">
        <v>1264</v>
      </c>
      <c r="F2798" t="s">
        <v>1265</v>
      </c>
      <c r="G2798" s="520">
        <f>INDEX('Fuel Model -  Input'!$B$3:$N$373,MATCH($B2798,'Fuel Model -  Input'!$B$3:$B$373,0),MATCH(G$2,'Fuel Model -  Input'!$B$3:$N$3,0))</f>
        <v>1.192378158163339</v>
      </c>
      <c r="H2798" s="520">
        <f>INDEX('Fuel Model -  Input'!$B$3:$N$373,MATCH($B2798,'Fuel Model -  Input'!$B$3:$B$373,0),MATCH(H$2,'Fuel Model -  Input'!$B$3:$N$3,0))</f>
        <v>1.2026215180379118</v>
      </c>
      <c r="I2798" s="520">
        <f>INDEX('Fuel Model -  Input'!$B$3:$N$373,MATCH($B2798,'Fuel Model -  Input'!$B$3:$B$373,0),MATCH(I$2,'Fuel Model -  Input'!$B$3:$N$3,0))</f>
        <v>1.2128648779124849</v>
      </c>
      <c r="J2798" s="520">
        <f>INDEX('Fuel Model -  Input'!$B$3:$N$373,MATCH($B2798,'Fuel Model -  Input'!$B$3:$B$373,0),MATCH(J$2,'Fuel Model -  Input'!$B$3:$N$3,0))</f>
        <v>1.2231082377870577</v>
      </c>
      <c r="K2798" s="520">
        <f>INDEX('Fuel Model -  Input'!$B$3:$N$373,MATCH($B2798,'Fuel Model -  Input'!$B$3:$B$373,0),MATCH(K$2,'Fuel Model -  Input'!$B$3:$N$3,0))</f>
        <v>1.2333515976616307</v>
      </c>
      <c r="L2798" s="520">
        <f>INDEX('Fuel Model -  Input'!$B$3:$N$373,MATCH($B2798,'Fuel Model -  Input'!$B$3:$B$373,0),MATCH(L$2,'Fuel Model -  Input'!$B$3:$N$3,0))</f>
        <v>1.2435949575362035</v>
      </c>
      <c r="M2798" s="520">
        <f>INDEX('Fuel Model -  Input'!$B$3:$N$373,MATCH($B2798,'Fuel Model -  Input'!$B$3:$B$373,0),MATCH(M$2,'Fuel Model -  Input'!$B$3:$N$3,0))</f>
        <v>1.2538383174107766</v>
      </c>
    </row>
    <row r="2799" spans="2:13" hidden="1" outlineLevel="2" x14ac:dyDescent="0.2">
      <c r="B2799" s="496" t="str">
        <f>+C2799&amp;D2799&amp;E2799&amp;F2799</f>
        <v>GlobalCO2intensityLBM processtonCO2eq/ton LBM</v>
      </c>
      <c r="C2799" t="s">
        <v>109</v>
      </c>
      <c r="D2799" s="86" t="s">
        <v>927</v>
      </c>
      <c r="E2799" s="86" t="s">
        <v>1277</v>
      </c>
      <c r="F2799" t="s">
        <v>1278</v>
      </c>
      <c r="G2799" s="520">
        <f>INDEX('Fuel Model -  Input'!$B$3:$N$373,MATCH($B2799,'Fuel Model -  Input'!$B$3:$B$373,0),MATCH(G$2,'Fuel Model -  Input'!$B$3:$N$3,0))</f>
        <v>0.4</v>
      </c>
      <c r="H2799" s="520">
        <f>INDEX('Fuel Model -  Input'!$B$3:$N$373,MATCH($B2799,'Fuel Model -  Input'!$B$3:$B$373,0),MATCH(H$2,'Fuel Model -  Input'!$B$3:$N$3,0))</f>
        <v>0.33750000000000002</v>
      </c>
      <c r="I2799" s="520">
        <f>INDEX('Fuel Model -  Input'!$B$3:$N$373,MATCH($B2799,'Fuel Model -  Input'!$B$3:$B$373,0),MATCH(I$2,'Fuel Model -  Input'!$B$3:$N$3,0))</f>
        <v>0.27500000000000002</v>
      </c>
      <c r="J2799" s="520">
        <f>INDEX('Fuel Model -  Input'!$B$3:$N$373,MATCH($B2799,'Fuel Model -  Input'!$B$3:$B$373,0),MATCH(J$2,'Fuel Model -  Input'!$B$3:$N$3,0))</f>
        <v>0.21250000000000002</v>
      </c>
      <c r="K2799" s="520">
        <f>INDEX('Fuel Model -  Input'!$B$3:$N$373,MATCH($B2799,'Fuel Model -  Input'!$B$3:$B$373,0),MATCH(K$2,'Fuel Model -  Input'!$B$3:$N$3,0))</f>
        <v>0.15000000000000002</v>
      </c>
      <c r="L2799" s="520">
        <f>INDEX('Fuel Model -  Input'!$B$3:$N$373,MATCH($B2799,'Fuel Model -  Input'!$B$3:$B$373,0),MATCH(L$2,'Fuel Model -  Input'!$B$3:$N$3,0))</f>
        <v>8.7500000000000022E-2</v>
      </c>
      <c r="M2799" s="520">
        <f>INDEX('Fuel Model -  Input'!$B$3:$N$373,MATCH($B2799,'Fuel Model -  Input'!$B$3:$B$373,0),MATCH(M$2,'Fuel Model -  Input'!$B$3:$N$3,0))</f>
        <v>2.5000000000000005E-2</v>
      </c>
    </row>
    <row r="2800" spans="2:13" hidden="1" outlineLevel="2" x14ac:dyDescent="0.2">
      <c r="B2800" s="496" t="str">
        <f t="shared" ref="B2800:B2801" si="1586">+C2800&amp;D2800&amp;E2800&amp;F2800</f>
        <v>GlobalFeedstockConversion Organic wet waste : LBMTon feedstock / ton fuel</v>
      </c>
      <c r="C2800" t="s">
        <v>109</v>
      </c>
      <c r="D2800" t="s">
        <v>777</v>
      </c>
      <c r="E2800" t="s">
        <v>1274</v>
      </c>
      <c r="F2800" t="s">
        <v>1241</v>
      </c>
      <c r="G2800" s="520">
        <f>INDEX('Fuel Model -  Input'!$B$3:$N$373,MATCH($B2800,'Fuel Model -  Input'!$B$3:$B$373,0),MATCH(G$2,'Fuel Model -  Input'!$B$3:$N$3,0))</f>
        <v>4.4587976488205667</v>
      </c>
      <c r="H2800" s="520">
        <f>INDEX('Fuel Model -  Input'!$B$3:$N$373,MATCH($B2800,'Fuel Model -  Input'!$B$3:$B$373,0),MATCH(H$2,'Fuel Model -  Input'!$B$3:$N$3,0))</f>
        <v>4.3308976352020734</v>
      </c>
      <c r="I2800" s="520">
        <f>INDEX('Fuel Model -  Input'!$B$3:$N$373,MATCH($B2800,'Fuel Model -  Input'!$B$3:$B$373,0),MATCH(I$2,'Fuel Model -  Input'!$B$3:$N$3,0))</f>
        <v>4.20299762158358</v>
      </c>
      <c r="J2800" s="520">
        <f>INDEX('Fuel Model -  Input'!$B$3:$N$373,MATCH($B2800,'Fuel Model -  Input'!$B$3:$B$373,0),MATCH(J$2,'Fuel Model -  Input'!$B$3:$N$3,0))</f>
        <v>4.0750976079650867</v>
      </c>
      <c r="K2800" s="520">
        <f>INDEX('Fuel Model -  Input'!$B$3:$N$373,MATCH($B2800,'Fuel Model -  Input'!$B$3:$B$373,0),MATCH(K$2,'Fuel Model -  Input'!$B$3:$N$3,0))</f>
        <v>3.9471975943465938</v>
      </c>
      <c r="L2800" s="520">
        <f>INDEX('Fuel Model -  Input'!$B$3:$N$373,MATCH($B2800,'Fuel Model -  Input'!$B$3:$B$373,0),MATCH(L$2,'Fuel Model -  Input'!$B$3:$N$3,0))</f>
        <v>3.8192975807281004</v>
      </c>
      <c r="M2800" s="520">
        <f>INDEX('Fuel Model -  Input'!$B$3:$N$373,MATCH($B2800,'Fuel Model -  Input'!$B$3:$B$373,0),MATCH(M$2,'Fuel Model -  Input'!$B$3:$N$3,0))</f>
        <v>3.6913975671096071</v>
      </c>
    </row>
    <row r="2801" spans="2:14" hidden="1" outlineLevel="2" x14ac:dyDescent="0.2">
      <c r="B2801" s="496" t="str">
        <f t="shared" si="1586"/>
        <v>GlobalCO2intensityWTT Organic wet wastetonCO2eq/ton</v>
      </c>
      <c r="C2801" t="s">
        <v>109</v>
      </c>
      <c r="D2801" s="530" t="s">
        <v>927</v>
      </c>
      <c r="E2801" s="530" t="s">
        <v>1251</v>
      </c>
      <c r="F2801" s="157" t="s">
        <v>1252</v>
      </c>
      <c r="G2801" s="520">
        <f>INDEX('Fuel Model -  Input'!$B$3:$N$373,MATCH($B2801,'Fuel Model -  Input'!$B$3:$B$373,0),MATCH(G$2,'Fuel Model -  Input'!$B$3:$N$3,0))</f>
        <v>0.09</v>
      </c>
      <c r="H2801" s="520">
        <f>INDEX('Fuel Model -  Input'!$B$3:$N$373,MATCH($B2801,'Fuel Model -  Input'!$B$3:$B$373,0),MATCH(H$2,'Fuel Model -  Input'!$B$3:$N$3,0))</f>
        <v>7.6499999999999999E-2</v>
      </c>
      <c r="I2801" s="520">
        <f>INDEX('Fuel Model -  Input'!$B$3:$N$373,MATCH($B2801,'Fuel Model -  Input'!$B$3:$B$373,0),MATCH(I$2,'Fuel Model -  Input'!$B$3:$N$3,0))</f>
        <v>6.3E-2</v>
      </c>
      <c r="J2801" s="520">
        <f>INDEX('Fuel Model -  Input'!$B$3:$N$373,MATCH($B2801,'Fuel Model -  Input'!$B$3:$B$373,0),MATCH(J$2,'Fuel Model -  Input'!$B$3:$N$3,0))</f>
        <v>4.9499999999999995E-2</v>
      </c>
      <c r="K2801" s="520">
        <f>INDEX('Fuel Model -  Input'!$B$3:$N$373,MATCH($B2801,'Fuel Model -  Input'!$B$3:$B$373,0),MATCH(K$2,'Fuel Model -  Input'!$B$3:$N$3,0))</f>
        <v>3.599999999999999E-2</v>
      </c>
      <c r="L2801" s="520">
        <f>INDEX('Fuel Model -  Input'!$B$3:$N$373,MATCH($B2801,'Fuel Model -  Input'!$B$3:$B$373,0),MATCH(L$2,'Fuel Model -  Input'!$B$3:$N$3,0))</f>
        <v>2.2499999999999992E-2</v>
      </c>
      <c r="M2801" s="520">
        <f>INDEX('Fuel Model -  Input'!$B$3:$N$373,MATCH($B2801,'Fuel Model -  Input'!$B$3:$B$373,0),MATCH(M$2,'Fuel Model -  Input'!$B$3:$N$3,0))</f>
        <v>8.9999999999999993E-3</v>
      </c>
    </row>
    <row r="2802" spans="2:14" ht="12.75" hidden="1" outlineLevel="1" x14ac:dyDescent="0.2">
      <c r="F2802"/>
    </row>
    <row r="2803" spans="2:14" ht="15" hidden="1" outlineLevel="1" x14ac:dyDescent="0.25">
      <c r="B2803" s="30" t="s">
        <v>1279</v>
      </c>
      <c r="C2803" s="30" t="str">
        <f>+B2803</f>
        <v>Primary energy efficiency - Bio-gas (liq)</v>
      </c>
      <c r="F2803"/>
    </row>
    <row r="2804" spans="2:14" ht="15" hidden="1" outlineLevel="1" collapsed="1" x14ac:dyDescent="0.25">
      <c r="B2804" s="541" t="str">
        <f>+C2804&amp;D2804&amp;E2804&amp;F2804</f>
        <v>GlobalResultsAverage Primary EE of Biomethane%</v>
      </c>
      <c r="C2804" s="516" t="s">
        <v>109</v>
      </c>
      <c r="D2804" s="516" t="s">
        <v>838</v>
      </c>
      <c r="E2804" s="516" t="s">
        <v>1280</v>
      </c>
      <c r="F2804" s="512" t="s">
        <v>178</v>
      </c>
      <c r="G2804" s="529">
        <v>0</v>
      </c>
      <c r="H2804" s="529">
        <v>0</v>
      </c>
      <c r="I2804" s="529">
        <v>0</v>
      </c>
      <c r="J2804" s="529">
        <v>0</v>
      </c>
      <c r="K2804" s="529">
        <v>0</v>
      </c>
      <c r="L2804" s="529">
        <v>0</v>
      </c>
      <c r="M2804" s="529">
        <v>0</v>
      </c>
    </row>
    <row r="2805" spans="2:14" hidden="1" outlineLevel="2" x14ac:dyDescent="0.2">
      <c r="B2805" s="496"/>
      <c r="C2805" s="157"/>
      <c r="D2805" s="157"/>
      <c r="E2805" s="157"/>
      <c r="G2805" s="530"/>
      <c r="H2805" s="530"/>
      <c r="I2805" s="530"/>
      <c r="J2805" s="530"/>
      <c r="K2805" s="530"/>
      <c r="L2805" s="530"/>
      <c r="M2805" s="530"/>
    </row>
    <row r="2806" spans="2:14" hidden="1" outlineLevel="2" x14ac:dyDescent="0.2">
      <c r="B2806" s="496" t="str">
        <f>+C2806&amp;D2806&amp;E2806&amp;F2806</f>
        <v>GlobalLHVLHV dry organic MCWMJ/ ton</v>
      </c>
      <c r="C2806" t="s">
        <v>109</v>
      </c>
      <c r="D2806" t="s">
        <v>582</v>
      </c>
      <c r="E2806" t="s">
        <v>1281</v>
      </c>
      <c r="F2806" t="s">
        <v>583</v>
      </c>
      <c r="G2806" s="520">
        <f>INDEX('Fuel Model -  Input'!$B$3:$N$373,MATCH($B2806,'Fuel Model -  Input'!$B$3:$B$373,0),MATCH(G$2,'Fuel Model -  Input'!$B$3:$N$3,0))</f>
        <v>19500</v>
      </c>
      <c r="H2806" s="520">
        <f>INDEX('Fuel Model -  Input'!$B$3:$N$373,MATCH($B2806,'Fuel Model -  Input'!$B$3:$B$373,0),MATCH(H$2,'Fuel Model -  Input'!$B$3:$N$3,0))</f>
        <v>19500</v>
      </c>
      <c r="I2806" s="520">
        <f>INDEX('Fuel Model -  Input'!$B$3:$N$373,MATCH($B2806,'Fuel Model -  Input'!$B$3:$B$373,0),MATCH(I$2,'Fuel Model -  Input'!$B$3:$N$3,0))</f>
        <v>19500</v>
      </c>
      <c r="J2806" s="520">
        <f>INDEX('Fuel Model -  Input'!$B$3:$N$373,MATCH($B2806,'Fuel Model -  Input'!$B$3:$B$373,0),MATCH(J$2,'Fuel Model -  Input'!$B$3:$N$3,0))</f>
        <v>19500</v>
      </c>
      <c r="K2806" s="520">
        <f>INDEX('Fuel Model -  Input'!$B$3:$N$373,MATCH($B2806,'Fuel Model -  Input'!$B$3:$B$373,0),MATCH(K$2,'Fuel Model -  Input'!$B$3:$N$3,0))</f>
        <v>19500</v>
      </c>
      <c r="L2806" s="520">
        <f>INDEX('Fuel Model -  Input'!$B$3:$N$373,MATCH($B2806,'Fuel Model -  Input'!$B$3:$B$373,0),MATCH(L$2,'Fuel Model -  Input'!$B$3:$N$3,0))</f>
        <v>19500</v>
      </c>
      <c r="M2806" s="520">
        <f>INDEX('Fuel Model -  Input'!$B$3:$N$373,MATCH($B2806,'Fuel Model -  Input'!$B$3:$B$373,0),MATCH(M$2,'Fuel Model -  Input'!$B$3:$N$3,0))</f>
        <v>19500</v>
      </c>
    </row>
    <row r="2807" spans="2:14" hidden="1" outlineLevel="2" x14ac:dyDescent="0.2">
      <c r="B2807" s="496" t="str">
        <f>+C2807&amp;D2807&amp;E2807&amp;F2807</f>
        <v>GlobalLHVe Methane PSMJ/ ton</v>
      </c>
      <c r="C2807" t="s">
        <v>109</v>
      </c>
      <c r="D2807" t="s">
        <v>582</v>
      </c>
      <c r="E2807" t="s">
        <v>1081</v>
      </c>
      <c r="F2807" s="157" t="s">
        <v>583</v>
      </c>
      <c r="G2807" s="520" t="e">
        <f>INDEX('Fuel Model -  Input'!$B$3:$N$373,MATCH($B2807,'Fuel Model -  Input'!$B$3:$B$373,0),MATCH(G$2,'Fuel Model -  Input'!$B$3:$N$3,0))</f>
        <v>#N/A</v>
      </c>
      <c r="H2807" s="520" t="e">
        <f>INDEX('Fuel Model -  Input'!$B$3:$N$373,MATCH($B2807,'Fuel Model -  Input'!$B$3:$B$373,0),MATCH(H$2,'Fuel Model -  Input'!$B$3:$N$3,0))</f>
        <v>#N/A</v>
      </c>
      <c r="I2807" s="520" t="e">
        <f>INDEX('Fuel Model -  Input'!$B$3:$N$373,MATCH($B2807,'Fuel Model -  Input'!$B$3:$B$373,0),MATCH(I$2,'Fuel Model -  Input'!$B$3:$N$3,0))</f>
        <v>#N/A</v>
      </c>
      <c r="J2807" s="520" t="e">
        <f>INDEX('Fuel Model -  Input'!$B$3:$N$373,MATCH($B2807,'Fuel Model -  Input'!$B$3:$B$373,0),MATCH(J$2,'Fuel Model -  Input'!$B$3:$N$3,0))</f>
        <v>#N/A</v>
      </c>
      <c r="K2807" s="520" t="e">
        <f>INDEX('Fuel Model -  Input'!$B$3:$N$373,MATCH($B2807,'Fuel Model -  Input'!$B$3:$B$373,0),MATCH(K$2,'Fuel Model -  Input'!$B$3:$N$3,0))</f>
        <v>#N/A</v>
      </c>
      <c r="L2807" s="520" t="e">
        <f>INDEX('Fuel Model -  Input'!$B$3:$N$373,MATCH($B2807,'Fuel Model -  Input'!$B$3:$B$373,0),MATCH(L$2,'Fuel Model -  Input'!$B$3:$N$3,0))</f>
        <v>#N/A</v>
      </c>
      <c r="M2807" s="520" t="e">
        <f>INDEX('Fuel Model -  Input'!$B$3:$N$373,MATCH($B2807,'Fuel Model -  Input'!$B$3:$B$373,0),MATCH(M$2,'Fuel Model -  Input'!$B$3:$N$3,0))</f>
        <v>#N/A</v>
      </c>
    </row>
    <row r="2808" spans="2:14" ht="12.75" hidden="1" outlineLevel="1" x14ac:dyDescent="0.2">
      <c r="F2808"/>
    </row>
    <row r="2809" spans="2:14" ht="15" thickBot="1" x14ac:dyDescent="0.25"/>
    <row r="2810" spans="2:14" ht="15.75" collapsed="1" thickBot="1" x14ac:dyDescent="0.3">
      <c r="B2810" s="561" t="s">
        <v>594</v>
      </c>
      <c r="C2810" s="562" t="str">
        <f>+B2810</f>
        <v>Biodiesel (HtL)</v>
      </c>
      <c r="D2810" s="563"/>
      <c r="E2810" s="563"/>
      <c r="F2810" s="563"/>
      <c r="G2810" s="744">
        <v>2020</v>
      </c>
      <c r="H2810" s="744">
        <v>2025</v>
      </c>
      <c r="I2810" s="744">
        <v>2030</v>
      </c>
      <c r="J2810" s="744">
        <v>2035</v>
      </c>
      <c r="K2810" s="744">
        <v>2040</v>
      </c>
      <c r="L2810" s="744">
        <v>2045</v>
      </c>
      <c r="M2810" s="745">
        <v>2050</v>
      </c>
    </row>
    <row r="2811" spans="2:14" ht="15" hidden="1" outlineLevel="1" x14ac:dyDescent="0.25">
      <c r="B2811" t="str">
        <f>+C2811&amp;D2811&amp;E2811&amp;F2811</f>
        <v>EuropeResultsCost of Biodiesel (HtL)USD/ton</v>
      </c>
      <c r="C2811" t="s">
        <v>195</v>
      </c>
      <c r="D2811" t="s">
        <v>838</v>
      </c>
      <c r="E2811" s="30" t="s">
        <v>1282</v>
      </c>
      <c r="F2811" s="522" t="s">
        <v>205</v>
      </c>
      <c r="G2811" s="8">
        <f t="shared" ref="G2811:M2811" si="1587">G2818</f>
        <v>6870.3485857649594</v>
      </c>
      <c r="H2811" s="8">
        <f t="shared" si="1587"/>
        <v>2254.2177174588669</v>
      </c>
      <c r="I2811" s="8">
        <f t="shared" si="1587"/>
        <v>1037.2328869880616</v>
      </c>
      <c r="J2811" s="8">
        <f t="shared" si="1587"/>
        <v>1020.25653680792</v>
      </c>
      <c r="K2811" s="8">
        <f t="shared" si="1587"/>
        <v>999.18177078054873</v>
      </c>
      <c r="L2811" s="8">
        <f t="shared" si="1587"/>
        <v>971.49628534591409</v>
      </c>
      <c r="M2811" s="8">
        <f t="shared" si="1587"/>
        <v>919.45765626413083</v>
      </c>
      <c r="N2811" s="93"/>
    </row>
    <row r="2812" spans="2:14" ht="15" hidden="1" outlineLevel="1" x14ac:dyDescent="0.25">
      <c r="B2812" t="str">
        <f>+C2812&amp;D2812&amp;E2812&amp;F2812</f>
        <v>Middle EastResultsCost of Biodiesel (HtL)USD/ton</v>
      </c>
      <c r="C2812" t="s">
        <v>197</v>
      </c>
      <c r="D2812" t="s">
        <v>838</v>
      </c>
      <c r="E2812" s="30" t="s">
        <v>1282</v>
      </c>
      <c r="F2812" s="522" t="s">
        <v>205</v>
      </c>
      <c r="G2812" s="8">
        <f t="shared" ref="G2812:M2812" si="1588">G2853</f>
        <v>6799.915994836183</v>
      </c>
      <c r="H2812" s="8">
        <f t="shared" si="1588"/>
        <v>2224.41348544826</v>
      </c>
      <c r="I2812" s="8">
        <f t="shared" si="1588"/>
        <v>976.43375921860127</v>
      </c>
      <c r="J2812" s="8">
        <f t="shared" si="1588"/>
        <v>959.41398159459106</v>
      </c>
      <c r="K2812" s="8">
        <f t="shared" si="1588"/>
        <v>945.67612700882444</v>
      </c>
      <c r="L2812" s="8">
        <f t="shared" si="1588"/>
        <v>926.92963809148955</v>
      </c>
      <c r="M2812" s="8">
        <f t="shared" si="1588"/>
        <v>898.1632758894433</v>
      </c>
    </row>
    <row r="2813" spans="2:14" ht="15" hidden="1" outlineLevel="1" x14ac:dyDescent="0.25">
      <c r="B2813" t="str">
        <f>+C2813&amp;D2813&amp;E2813&amp;F2813</f>
        <v>AsiaResultsCost of Biodiesel (HtL)USD/ton</v>
      </c>
      <c r="C2813" t="s">
        <v>198</v>
      </c>
      <c r="D2813" t="s">
        <v>838</v>
      </c>
      <c r="E2813" s="30" t="s">
        <v>1282</v>
      </c>
      <c r="F2813" s="522" t="s">
        <v>205</v>
      </c>
      <c r="G2813" s="8">
        <f t="shared" ref="G2813:M2813" si="1589">G2888</f>
        <v>6830.3420629802004</v>
      </c>
      <c r="H2813" s="8">
        <f t="shared" si="1589"/>
        <v>2238.5453168583863</v>
      </c>
      <c r="I2813" s="8">
        <f t="shared" si="1589"/>
        <v>986.67669318684057</v>
      </c>
      <c r="J2813" s="8">
        <f t="shared" si="1589"/>
        <v>967.14813007363568</v>
      </c>
      <c r="K2813" s="8">
        <f t="shared" si="1589"/>
        <v>949.95231662801484</v>
      </c>
      <c r="L2813" s="8">
        <f t="shared" si="1589"/>
        <v>925.71934798909729</v>
      </c>
      <c r="M2813" s="8">
        <f t="shared" si="1589"/>
        <v>887.49575264178122</v>
      </c>
    </row>
    <row r="2814" spans="2:14" ht="15" hidden="1" outlineLevel="1" x14ac:dyDescent="0.25">
      <c r="B2814" t="str">
        <f>+C2814&amp;D2814&amp;E2814&amp;F2814</f>
        <v>AmericasResultsCost of Biodiesel (HtL)USD/ton</v>
      </c>
      <c r="C2814" t="s">
        <v>199</v>
      </c>
      <c r="D2814" t="s">
        <v>838</v>
      </c>
      <c r="E2814" s="30" t="s">
        <v>1282</v>
      </c>
      <c r="F2814" s="522" t="s">
        <v>205</v>
      </c>
      <c r="G2814" s="8">
        <f t="shared" ref="G2814:M2814" si="1590">G2923</f>
        <v>6534.0862364726536</v>
      </c>
      <c r="H2814" s="8">
        <f t="shared" si="1590"/>
        <v>2132.8806442695704</v>
      </c>
      <c r="I2814" s="8">
        <f t="shared" si="1590"/>
        <v>965.71481253963861</v>
      </c>
      <c r="J2814" s="8">
        <f t="shared" si="1590"/>
        <v>955.13604633477144</v>
      </c>
      <c r="K2814" s="8">
        <f t="shared" si="1590"/>
        <v>937.34274541318587</v>
      </c>
      <c r="L2814" s="8">
        <f t="shared" si="1590"/>
        <v>917.78169663099675</v>
      </c>
      <c r="M2814" s="8">
        <f t="shared" si="1590"/>
        <v>882.30022580437685</v>
      </c>
    </row>
    <row r="2815" spans="2:14" ht="15" hidden="1" outlineLevel="1" x14ac:dyDescent="0.25">
      <c r="B2815" t="str">
        <f>+C2815&amp;D2815&amp;E2815&amp;F2815</f>
        <v>AfricaResultsCost of Biodiesel (HtL)USD/ton</v>
      </c>
      <c r="C2815" t="s">
        <v>200</v>
      </c>
      <c r="D2815" t="s">
        <v>838</v>
      </c>
      <c r="E2815" s="30" t="s">
        <v>1282</v>
      </c>
      <c r="F2815" s="522" t="s">
        <v>205</v>
      </c>
      <c r="G2815" s="8">
        <f t="shared" ref="G2815:M2815" si="1591">G2958</f>
        <v>6913.4170095252111</v>
      </c>
      <c r="H2815" s="8">
        <f t="shared" si="1591"/>
        <v>2277.931008676107</v>
      </c>
      <c r="I2815" s="8">
        <f t="shared" si="1591"/>
        <v>1059.8678259084766</v>
      </c>
      <c r="J2815" s="8">
        <f t="shared" si="1591"/>
        <v>1042.0939638480768</v>
      </c>
      <c r="K2815" s="8">
        <f t="shared" si="1591"/>
        <v>1020.9033191142904</v>
      </c>
      <c r="L2815" s="8">
        <f t="shared" si="1591"/>
        <v>991.08279827462457</v>
      </c>
      <c r="M2815" s="8">
        <f t="shared" si="1591"/>
        <v>935.93444722497964</v>
      </c>
    </row>
    <row r="2816" spans="2:14" ht="15" hidden="1" outlineLevel="1" x14ac:dyDescent="0.25">
      <c r="E2816" s="30"/>
      <c r="F2816"/>
    </row>
    <row r="2817" spans="2:13" s="30" customFormat="1" ht="15" hidden="1" outlineLevel="1" collapsed="1" x14ac:dyDescent="0.25">
      <c r="B2817" s="30" t="s">
        <v>195</v>
      </c>
      <c r="C2817" s="30" t="str">
        <f>+B2817</f>
        <v>Europe</v>
      </c>
    </row>
    <row r="2818" spans="2:13" ht="15" hidden="1" outlineLevel="2" x14ac:dyDescent="0.25">
      <c r="B2818" t="str">
        <f>+C2818&amp;D2818&amp;E2818&amp;F2818</f>
        <v>EuropeResultsTotal cost of Biodiesel (HtL)USD/ton</v>
      </c>
      <c r="C2818" s="494" t="str">
        <f>+$C$2817</f>
        <v>Europe</v>
      </c>
      <c r="D2818" s="30" t="s">
        <v>838</v>
      </c>
      <c r="E2818" s="405" t="s">
        <v>1283</v>
      </c>
      <c r="F2818" s="127" t="s">
        <v>205</v>
      </c>
      <c r="G2818" s="490">
        <f>+SUM(G2819:G2822)</f>
        <v>6870.3485857649594</v>
      </c>
      <c r="H2818" s="490">
        <f t="shared" ref="H2818:M2818" si="1592">+SUM(H2819:H2822)</f>
        <v>2254.2177174588669</v>
      </c>
      <c r="I2818" s="490">
        <f t="shared" si="1592"/>
        <v>1037.2328869880616</v>
      </c>
      <c r="J2818" s="490">
        <f t="shared" si="1592"/>
        <v>1020.25653680792</v>
      </c>
      <c r="K2818" s="490">
        <f t="shared" si="1592"/>
        <v>999.18177078054873</v>
      </c>
      <c r="L2818" s="490">
        <f t="shared" si="1592"/>
        <v>971.49628534591409</v>
      </c>
      <c r="M2818" s="490">
        <f t="shared" si="1592"/>
        <v>919.45765626413083</v>
      </c>
    </row>
    <row r="2819" spans="2:13" ht="15" hidden="1" outlineLevel="2" x14ac:dyDescent="0.25">
      <c r="B2819" t="str">
        <f>+C2819&amp;D2819&amp;E2819&amp;F2819</f>
        <v>EuropeResultsTotal Capex Biodiesel (HtL)USD/ton</v>
      </c>
      <c r="C2819" s="494" t="str">
        <f>+$C$2817</f>
        <v>Europe</v>
      </c>
      <c r="D2819" s="30" t="s">
        <v>838</v>
      </c>
      <c r="E2819" s="228" t="s">
        <v>1284</v>
      </c>
      <c r="F2819" s="127" t="s">
        <v>205</v>
      </c>
      <c r="G2819" s="490">
        <f>G2826/G2825</f>
        <v>1314.6947939385132</v>
      </c>
      <c r="H2819" s="490">
        <f t="shared" ref="H2819:M2819" si="1593">H2826/H2825</f>
        <v>788.81687636310789</v>
      </c>
      <c r="I2819" s="490">
        <f t="shared" si="1593"/>
        <v>262.93895878770263</v>
      </c>
      <c r="J2819" s="490">
        <f t="shared" si="1593"/>
        <v>247.16262126044049</v>
      </c>
      <c r="K2819" s="490">
        <f t="shared" si="1593"/>
        <v>239.2744524968094</v>
      </c>
      <c r="L2819" s="490">
        <f t="shared" si="1593"/>
        <v>231.38628373317832</v>
      </c>
      <c r="M2819" s="490">
        <f t="shared" si="1593"/>
        <v>223.49811496954723</v>
      </c>
    </row>
    <row r="2820" spans="2:13" ht="15" hidden="1" outlineLevel="2" x14ac:dyDescent="0.25">
      <c r="B2820" t="str">
        <f>+C2820&amp;D2820&amp;E2820&amp;F2820</f>
        <v>EuropeResultsTotal Opex Biodiesel (HtL)USD/ton</v>
      </c>
      <c r="C2820" s="494" t="str">
        <f>+$C$2817</f>
        <v>Europe</v>
      </c>
      <c r="D2820" s="30" t="s">
        <v>838</v>
      </c>
      <c r="E2820" s="228" t="s">
        <v>1285</v>
      </c>
      <c r="F2820" s="127" t="s">
        <v>205</v>
      </c>
      <c r="G2820" s="490">
        <f>+G2828</f>
        <v>4821.1718011339271</v>
      </c>
      <c r="H2820" s="490">
        <f t="shared" ref="H2820:M2820" si="1594">+H2828</f>
        <v>964.23436022678538</v>
      </c>
      <c r="I2820" s="490">
        <f t="shared" si="1594"/>
        <v>321.41145340892848</v>
      </c>
      <c r="J2820" s="490">
        <f t="shared" si="1594"/>
        <v>302.12676620439277</v>
      </c>
      <c r="K2820" s="490">
        <f t="shared" si="1594"/>
        <v>292.48442260212494</v>
      </c>
      <c r="L2820" s="490">
        <f t="shared" si="1594"/>
        <v>282.84207899985711</v>
      </c>
      <c r="M2820" s="490">
        <f t="shared" si="1594"/>
        <v>273.19973539758922</v>
      </c>
    </row>
    <row r="2821" spans="2:13" ht="15" hidden="1" outlineLevel="2" x14ac:dyDescent="0.25">
      <c r="B2821" t="str">
        <f>+C2821&amp;D2821&amp;E2821&amp;F2821</f>
        <v>EuropeResultsTotal RNE Biodiesel (HtL)USD/ton</v>
      </c>
      <c r="C2821" s="494" t="str">
        <f>+$C$2817</f>
        <v>Europe</v>
      </c>
      <c r="D2821" s="30" t="s">
        <v>838</v>
      </c>
      <c r="E2821" s="228" t="s">
        <v>1286</v>
      </c>
      <c r="F2821" s="127" t="s">
        <v>205</v>
      </c>
      <c r="G2821" s="490">
        <f>+G2830</f>
        <v>43.701576611944951</v>
      </c>
      <c r="H2821" s="490">
        <f t="shared" ref="H2821:M2821" si="1595">+H2830</f>
        <v>35.36224388444419</v>
      </c>
      <c r="I2821" s="490">
        <f t="shared" si="1595"/>
        <v>28.519294993998994</v>
      </c>
      <c r="J2821" s="490">
        <f t="shared" si="1595"/>
        <v>25.63532866254312</v>
      </c>
      <c r="K2821" s="490">
        <f t="shared" si="1595"/>
        <v>23.887616084774027</v>
      </c>
      <c r="L2821" s="490">
        <f t="shared" si="1595"/>
        <v>22.037132918055487</v>
      </c>
      <c r="M2821" s="490">
        <f t="shared" si="1595"/>
        <v>20.674407235670209</v>
      </c>
    </row>
    <row r="2822" spans="2:13" ht="15" hidden="1" outlineLevel="2" x14ac:dyDescent="0.25">
      <c r="B2822" t="str">
        <f>+C2822&amp;D2822&amp;E2822&amp;F2822</f>
        <v>EuropeResultsTotal Raw Material Biodiesel (HtL)USD/ton</v>
      </c>
      <c r="C2822" s="494" t="str">
        <f>+$C$2817</f>
        <v>Europe</v>
      </c>
      <c r="D2822" s="30" t="s">
        <v>838</v>
      </c>
      <c r="E2822" s="228" t="s">
        <v>1287</v>
      </c>
      <c r="F2822" s="127" t="s">
        <v>205</v>
      </c>
      <c r="G2822" s="490">
        <f>+G2834+G2844</f>
        <v>690.78041408057379</v>
      </c>
      <c r="H2822" s="490">
        <f t="shared" ref="H2822:M2822" si="1596">+H2834+H2844</f>
        <v>465.80423698452915</v>
      </c>
      <c r="I2822" s="490">
        <f t="shared" si="1596"/>
        <v>424.36317979743137</v>
      </c>
      <c r="J2822" s="490">
        <f t="shared" si="1596"/>
        <v>445.33182068054373</v>
      </c>
      <c r="K2822" s="490">
        <f t="shared" si="1596"/>
        <v>443.53527959684038</v>
      </c>
      <c r="L2822" s="490">
        <f t="shared" si="1596"/>
        <v>435.23078969482322</v>
      </c>
      <c r="M2822" s="490">
        <f t="shared" si="1596"/>
        <v>402.08539866132423</v>
      </c>
    </row>
    <row r="2823" spans="2:13" hidden="1" outlineLevel="2" x14ac:dyDescent="0.2">
      <c r="C2823" s="494"/>
      <c r="E2823" s="48"/>
      <c r="F2823" s="128"/>
      <c r="G2823" s="8"/>
      <c r="H2823" s="8"/>
      <c r="I2823" s="8"/>
      <c r="J2823" s="8"/>
      <c r="K2823" s="8"/>
      <c r="L2823" s="8"/>
      <c r="M2823" s="8"/>
    </row>
    <row r="2824" spans="2:13" hidden="1" outlineLevel="2" x14ac:dyDescent="0.2">
      <c r="B2824" t="str">
        <f>+C2824&amp;D2824&amp;E2824&amp;F2824</f>
        <v>EuropeHTL PlantAnnual capex (HTL)USD/ton HTL Oil</v>
      </c>
      <c r="C2824" s="494" t="str">
        <f>+$C$2817</f>
        <v>Europe</v>
      </c>
      <c r="D2824" t="s">
        <v>1288</v>
      </c>
      <c r="E2824" s="48" t="s">
        <v>1289</v>
      </c>
      <c r="F2824" s="128" t="s">
        <v>1290</v>
      </c>
      <c r="G2824" s="8">
        <f t="shared" ref="G2824:M2824" si="1597">G2826/G2825</f>
        <v>1314.6947939385132</v>
      </c>
      <c r="H2824" s="8">
        <f t="shared" si="1597"/>
        <v>788.81687636310789</v>
      </c>
      <c r="I2824" s="8">
        <f t="shared" si="1597"/>
        <v>262.93895878770263</v>
      </c>
      <c r="J2824" s="8">
        <f t="shared" si="1597"/>
        <v>247.16262126044049</v>
      </c>
      <c r="K2824" s="8">
        <f t="shared" si="1597"/>
        <v>239.2744524968094</v>
      </c>
      <c r="L2824" s="8">
        <f t="shared" si="1597"/>
        <v>231.38628373317832</v>
      </c>
      <c r="M2824" s="8">
        <f t="shared" si="1597"/>
        <v>223.49811496954723</v>
      </c>
    </row>
    <row r="2825" spans="2:13" hidden="1" outlineLevel="2" x14ac:dyDescent="0.2">
      <c r="B2825" t="str">
        <f>+C2825&amp;D2825&amp;E2825&amp;F2825</f>
        <v>GlobalPlant capexAnnualisation factor#</v>
      </c>
      <c r="C2825" s="494" t="s">
        <v>109</v>
      </c>
      <c r="D2825" t="s">
        <v>786</v>
      </c>
      <c r="E2825" t="s">
        <v>764</v>
      </c>
      <c r="F2825" s="450" t="s">
        <v>787</v>
      </c>
      <c r="G2825" s="532">
        <f>+INDEX('Fuel Model -  Input'!$B$3:$N$373,MATCH($B2825,'Fuel Model -  Input'!$B$3:$B$373,0),MATCH(G$2,'Fuel Model -  Input'!$B$3:$N$3,0))</f>
        <v>11.32075471698113</v>
      </c>
      <c r="H2825" s="532">
        <f>+INDEX('Fuel Model -  Input'!$B$3:$N$373,MATCH($B2825,'Fuel Model -  Input'!$B$3:$B$373,0),MATCH(H$2,'Fuel Model -  Input'!$B$3:$N$3,0))</f>
        <v>11.32075471698113</v>
      </c>
      <c r="I2825" s="532">
        <f>+INDEX('Fuel Model -  Input'!$B$3:$N$373,MATCH($B2825,'Fuel Model -  Input'!$B$3:$B$373,0),MATCH(I$2,'Fuel Model -  Input'!$B$3:$N$3,0))</f>
        <v>11.32075471698113</v>
      </c>
      <c r="J2825" s="532">
        <f>+INDEX('Fuel Model -  Input'!$B$3:$N$373,MATCH($B2825,'Fuel Model -  Input'!$B$3:$B$373,0),MATCH(J$2,'Fuel Model -  Input'!$B$3:$N$3,0))</f>
        <v>11.32075471698113</v>
      </c>
      <c r="K2825" s="532">
        <f>+INDEX('Fuel Model -  Input'!$B$3:$N$373,MATCH($B2825,'Fuel Model -  Input'!$B$3:$B$373,0),MATCH(K$2,'Fuel Model -  Input'!$B$3:$N$3,0))</f>
        <v>11.32075471698113</v>
      </c>
      <c r="L2825" s="532">
        <f>+INDEX('Fuel Model -  Input'!$B$3:$N$373,MATCH($B2825,'Fuel Model -  Input'!$B$3:$B$373,0),MATCH(L$2,'Fuel Model -  Input'!$B$3:$N$3,0))</f>
        <v>11.32075471698113</v>
      </c>
      <c r="M2825" s="532">
        <f>+INDEX('Fuel Model -  Input'!$B$3:$N$373,MATCH($B2825,'Fuel Model -  Input'!$B$3:$B$373,0),MATCH(M$2,'Fuel Model -  Input'!$B$3:$N$3,0))</f>
        <v>11.32075471698113</v>
      </c>
    </row>
    <row r="2826" spans="2:13" hidden="1" outlineLevel="2" x14ac:dyDescent="0.2">
      <c r="B2826" t="str">
        <f>+C2826&amp;D2826&amp;E2826&amp;F2826</f>
        <v>GlobalCAPEXHTL plantUSD/ton HTL oil capacity</v>
      </c>
      <c r="C2826" s="494" t="s">
        <v>109</v>
      </c>
      <c r="D2826" t="s">
        <v>50</v>
      </c>
      <c r="E2826" t="s">
        <v>1291</v>
      </c>
      <c r="F2826" s="157" t="s">
        <v>1292</v>
      </c>
      <c r="G2826" s="532">
        <f>+INDEX('Fuel Model -  Input'!$B$3:$N$373,MATCH($B2826,'Fuel Model -  Input'!$B$3:$B$373,0),MATCH(G$2,'Fuel Model -  Input'!$B$3:$N$3,0))</f>
        <v>14883.337289869958</v>
      </c>
      <c r="H2826" s="532">
        <f>+INDEX('Fuel Model -  Input'!$B$3:$N$373,MATCH($B2826,'Fuel Model -  Input'!$B$3:$B$373,0),MATCH(H$2,'Fuel Model -  Input'!$B$3:$N$3,0))</f>
        <v>8930.0023739219741</v>
      </c>
      <c r="I2826" s="532">
        <f>+INDEX('Fuel Model -  Input'!$B$3:$N$373,MATCH($B2826,'Fuel Model -  Input'!$B$3:$B$373,0),MATCH(I$2,'Fuel Model -  Input'!$B$3:$N$3,0))</f>
        <v>2976.6674579739915</v>
      </c>
      <c r="J2826" s="532">
        <f>+INDEX('Fuel Model -  Input'!$B$3:$N$373,MATCH($B2826,'Fuel Model -  Input'!$B$3:$B$373,0),MATCH(J$2,'Fuel Model -  Input'!$B$3:$N$3,0))</f>
        <v>2798.0674104955519</v>
      </c>
      <c r="K2826" s="532">
        <f>+INDEX('Fuel Model -  Input'!$B$3:$N$373,MATCH($B2826,'Fuel Model -  Input'!$B$3:$B$373,0),MATCH(K$2,'Fuel Model -  Input'!$B$3:$N$3,0))</f>
        <v>2708.7673867563321</v>
      </c>
      <c r="L2826" s="532">
        <f>+INDEX('Fuel Model -  Input'!$B$3:$N$373,MATCH($B2826,'Fuel Model -  Input'!$B$3:$B$373,0),MATCH(L$2,'Fuel Model -  Input'!$B$3:$N$3,0))</f>
        <v>2619.4673630171123</v>
      </c>
      <c r="M2826" s="532">
        <f>+INDEX('Fuel Model -  Input'!$B$3:$N$373,MATCH($B2826,'Fuel Model -  Input'!$B$3:$B$373,0),MATCH(M$2,'Fuel Model -  Input'!$B$3:$N$3,0))</f>
        <v>2530.1673392778926</v>
      </c>
    </row>
    <row r="2827" spans="2:13" hidden="1" outlineLevel="2" x14ac:dyDescent="0.2">
      <c r="C2827" s="494"/>
      <c r="E2827" s="48"/>
      <c r="F2827" s="128"/>
      <c r="G2827" s="524"/>
      <c r="H2827" s="524"/>
      <c r="I2827" s="524"/>
      <c r="J2827" s="524"/>
      <c r="K2827" s="524"/>
      <c r="L2827" s="524"/>
      <c r="M2827" s="524"/>
    </row>
    <row r="2828" spans="2:13" hidden="1" outlineLevel="2" x14ac:dyDescent="0.2">
      <c r="B2828" t="str">
        <f>+C2828&amp;D2828&amp;E2828&amp;F2828</f>
        <v>GlobalOPEXPlant opexUSD/ton HTL oil</v>
      </c>
      <c r="C2828" s="494" t="s">
        <v>109</v>
      </c>
      <c r="D2828" t="s">
        <v>319</v>
      </c>
      <c r="E2828" t="s">
        <v>1293</v>
      </c>
      <c r="F2828" s="128" t="s">
        <v>1294</v>
      </c>
      <c r="G2828" s="532">
        <f>+INDEX('Fuel Model -  Input'!$B$3:$N$373,MATCH($B2828,'Fuel Model -  Input'!$B$3:$B$373,0),MATCH(G$2,'Fuel Model -  Input'!$B$3:$N$3,0))</f>
        <v>4821.1718011339271</v>
      </c>
      <c r="H2828" s="532">
        <f>+INDEX('Fuel Model -  Input'!$B$3:$N$373,MATCH($B2828,'Fuel Model -  Input'!$B$3:$B$373,0),MATCH(H$2,'Fuel Model -  Input'!$B$3:$N$3,0))</f>
        <v>964.23436022678538</v>
      </c>
      <c r="I2828" s="532">
        <f>+INDEX('Fuel Model -  Input'!$B$3:$N$373,MATCH($B2828,'Fuel Model -  Input'!$B$3:$B$373,0),MATCH(I$2,'Fuel Model -  Input'!$B$3:$N$3,0))</f>
        <v>321.41145340892848</v>
      </c>
      <c r="J2828" s="532">
        <f>+INDEX('Fuel Model -  Input'!$B$3:$N$373,MATCH($B2828,'Fuel Model -  Input'!$B$3:$B$373,0),MATCH(J$2,'Fuel Model -  Input'!$B$3:$N$3,0))</f>
        <v>302.12676620439277</v>
      </c>
      <c r="K2828" s="532">
        <f>+INDEX('Fuel Model -  Input'!$B$3:$N$373,MATCH($B2828,'Fuel Model -  Input'!$B$3:$B$373,0),MATCH(K$2,'Fuel Model -  Input'!$B$3:$N$3,0))</f>
        <v>292.48442260212494</v>
      </c>
      <c r="L2828" s="532">
        <f>+INDEX('Fuel Model -  Input'!$B$3:$N$373,MATCH($B2828,'Fuel Model -  Input'!$B$3:$B$373,0),MATCH(L$2,'Fuel Model -  Input'!$B$3:$N$3,0))</f>
        <v>282.84207899985711</v>
      </c>
      <c r="M2828" s="532">
        <f>+INDEX('Fuel Model -  Input'!$B$3:$N$373,MATCH($B2828,'Fuel Model -  Input'!$B$3:$B$373,0),MATCH(M$2,'Fuel Model -  Input'!$B$3:$N$3,0))</f>
        <v>273.19973539758922</v>
      </c>
    </row>
    <row r="2829" spans="2:13" hidden="1" outlineLevel="2" x14ac:dyDescent="0.2">
      <c r="C2829" s="494"/>
      <c r="E2829" s="48"/>
      <c r="F2829" s="128"/>
      <c r="G2829" s="520"/>
      <c r="H2829" s="520"/>
      <c r="I2829" s="520"/>
      <c r="J2829" s="520"/>
      <c r="K2829" s="520"/>
      <c r="L2829" s="520"/>
      <c r="M2829" s="520"/>
    </row>
    <row r="2830" spans="2:13" hidden="1" outlineLevel="2" x14ac:dyDescent="0.2">
      <c r="B2830" t="str">
        <f>+C2830&amp;D2830&amp;E2830&amp;F2830</f>
        <v>EuropeElectricityTotal electricityUSD/ ton HTL oil</v>
      </c>
      <c r="C2830" s="494" t="str">
        <f>+$C$2817</f>
        <v>Europe</v>
      </c>
      <c r="D2830" t="s">
        <v>54</v>
      </c>
      <c r="E2830" s="48" t="s">
        <v>1295</v>
      </c>
      <c r="F2830" s="128" t="s">
        <v>1296</v>
      </c>
      <c r="G2830" s="8">
        <f t="shared" ref="G2830:M2830" si="1598">G2832*G2831</f>
        <v>43.701576611944951</v>
      </c>
      <c r="H2830" s="8">
        <f t="shared" si="1598"/>
        <v>35.36224388444419</v>
      </c>
      <c r="I2830" s="8">
        <f t="shared" si="1598"/>
        <v>28.519294993998994</v>
      </c>
      <c r="J2830" s="8">
        <f t="shared" si="1598"/>
        <v>25.63532866254312</v>
      </c>
      <c r="K2830" s="8">
        <f t="shared" si="1598"/>
        <v>23.887616084774027</v>
      </c>
      <c r="L2830" s="8">
        <f t="shared" si="1598"/>
        <v>22.037132918055487</v>
      </c>
      <c r="M2830" s="8">
        <f t="shared" si="1598"/>
        <v>20.674407235670209</v>
      </c>
    </row>
    <row r="2831" spans="2:13" hidden="1" outlineLevel="2" x14ac:dyDescent="0.2">
      <c r="B2831" t="str">
        <f>+C2831&amp;D2831&amp;E2831&amp;F2831</f>
        <v>GlobalFeedstockHTL plant electricity demandMWh/ton fuel</v>
      </c>
      <c r="C2831" s="494" t="s">
        <v>109</v>
      </c>
      <c r="D2831" t="s">
        <v>777</v>
      </c>
      <c r="E2831" t="s">
        <v>1297</v>
      </c>
      <c r="F2831" t="s">
        <v>1298</v>
      </c>
      <c r="G2831" s="521">
        <f>INDEX('Fuel Model -  Input'!$B$3:$N$373,MATCH($B2831,'Fuel Model -  Input'!$B$3:$B$373,0),MATCH(G$2,'Fuel Model -  Input'!$B$3:$N$3,0))</f>
        <v>0.80044621912790992</v>
      </c>
      <c r="H2831" s="521">
        <f>INDEX('Fuel Model -  Input'!$B$3:$N$373,MATCH($B2831,'Fuel Model -  Input'!$B$3:$B$373,0),MATCH(H$2,'Fuel Model -  Input'!$B$3:$N$3,0))</f>
        <v>0.80044621912790992</v>
      </c>
      <c r="I2831" s="521">
        <f>INDEX('Fuel Model -  Input'!$B$3:$N$373,MATCH($B2831,'Fuel Model -  Input'!$B$3:$B$373,0),MATCH(I$2,'Fuel Model -  Input'!$B$3:$N$3,0))</f>
        <v>0.79751787885447367</v>
      </c>
      <c r="J2831" s="521">
        <f>INDEX('Fuel Model -  Input'!$B$3:$N$373,MATCH($B2831,'Fuel Model -  Input'!$B$3:$B$373,0),MATCH(J$2,'Fuel Model -  Input'!$B$3:$N$3,0))</f>
        <v>0.79458953858103754</v>
      </c>
      <c r="K2831" s="521">
        <f>INDEX('Fuel Model -  Input'!$B$3:$N$373,MATCH($B2831,'Fuel Model -  Input'!$B$3:$B$373,0),MATCH(K$2,'Fuel Model -  Input'!$B$3:$N$3,0))</f>
        <v>0.79166119830760129</v>
      </c>
      <c r="L2831" s="521">
        <f>INDEX('Fuel Model -  Input'!$B$3:$N$373,MATCH($B2831,'Fuel Model -  Input'!$B$3:$B$373,0),MATCH(L$2,'Fuel Model -  Input'!$B$3:$N$3,0))</f>
        <v>0.78873285803416515</v>
      </c>
      <c r="M2831" s="521">
        <f>INDEX('Fuel Model -  Input'!$B$3:$N$373,MATCH($B2831,'Fuel Model -  Input'!$B$3:$B$373,0),MATCH(M$2,'Fuel Model -  Input'!$B$3:$N$3,0))</f>
        <v>0.7858045177607289</v>
      </c>
    </row>
    <row r="2832" spans="2:13" hidden="1" outlineLevel="2" x14ac:dyDescent="0.2">
      <c r="B2832" t="str">
        <f>+C2832&amp;D2832&amp;E2832&amp;F2832</f>
        <v>EuropeFeedstockElectricityUSD/MWh</v>
      </c>
      <c r="C2832" s="494" t="s">
        <v>195</v>
      </c>
      <c r="D2832" t="s">
        <v>777</v>
      </c>
      <c r="E2832" s="48" t="s">
        <v>54</v>
      </c>
      <c r="F2832" s="128" t="s">
        <v>196</v>
      </c>
      <c r="G2832" s="532">
        <f>INDEX('Fuel Model -  Input'!$B$3:$N$373,MATCH($B2832,'Fuel Model -  Input'!$B$3:$B$373,0),MATCH(G$2,'Fuel Model -  Input'!$B$3:$N$3,0))</f>
        <v>54.596518251479822</v>
      </c>
      <c r="H2832" s="532">
        <f>INDEX('Fuel Model -  Input'!$B$3:$N$373,MATCH($B2832,'Fuel Model -  Input'!$B$3:$B$373,0),MATCH(H$2,'Fuel Model -  Input'!$B$3:$N$3,0))</f>
        <v>44.178163428608016</v>
      </c>
      <c r="I2832" s="532">
        <f>INDEX('Fuel Model -  Input'!$B$3:$N$373,MATCH($B2832,'Fuel Model -  Input'!$B$3:$B$373,0),MATCH(I$2,'Fuel Model -  Input'!$B$3:$N$3,0))</f>
        <v>35.760069774188757</v>
      </c>
      <c r="J2832" s="532">
        <f>INDEX('Fuel Model -  Input'!$B$3:$N$373,MATCH($B2832,'Fuel Model -  Input'!$B$3:$B$373,0),MATCH(J$2,'Fuel Model -  Input'!$B$3:$N$3,0))</f>
        <v>32.262353602492915</v>
      </c>
      <c r="K2832" s="532">
        <f>INDEX('Fuel Model -  Input'!$B$3:$N$373,MATCH($B2832,'Fuel Model -  Input'!$B$3:$B$373,0),MATCH(K$2,'Fuel Model -  Input'!$B$3:$N$3,0))</f>
        <v>30.17403926811183</v>
      </c>
      <c r="L2832" s="532">
        <f>INDEX('Fuel Model -  Input'!$B$3:$N$373,MATCH($B2832,'Fuel Model -  Input'!$B$3:$B$373,0),MATCH(L$2,'Fuel Model -  Input'!$B$3:$N$3,0))</f>
        <v>27.939919953355002</v>
      </c>
      <c r="M2832" s="532">
        <f>INDEX('Fuel Model -  Input'!$B$3:$N$373,MATCH($B2832,'Fuel Model -  Input'!$B$3:$B$373,0),MATCH(M$2,'Fuel Model -  Input'!$B$3:$N$3,0))</f>
        <v>26.309860491239117</v>
      </c>
    </row>
    <row r="2833" spans="2:13" hidden="1" outlineLevel="2" x14ac:dyDescent="0.2">
      <c r="C2833" s="494"/>
      <c r="E2833" s="48"/>
      <c r="F2833" s="128"/>
      <c r="G2833" s="520"/>
      <c r="H2833" s="520"/>
      <c r="I2833" s="520"/>
      <c r="J2833" s="520"/>
      <c r="K2833" s="520"/>
      <c r="L2833" s="520"/>
      <c r="M2833" s="520"/>
    </row>
    <row r="2834" spans="2:13" hidden="1" outlineLevel="2" x14ac:dyDescent="0.2">
      <c r="B2834" t="str">
        <f t="shared" ref="B2834:B2842" si="1599">+C2834&amp;D2834&amp;E2834&amp;F2834</f>
        <v>EuropeElectricityTotal hydrogenUSD/ ton HTL oil</v>
      </c>
      <c r="C2834" s="494" t="str">
        <f>+$C$2817</f>
        <v>Europe</v>
      </c>
      <c r="D2834" t="s">
        <v>54</v>
      </c>
      <c r="E2834" s="48" t="s">
        <v>1299</v>
      </c>
      <c r="F2834" s="128" t="s">
        <v>1296</v>
      </c>
      <c r="G2834" s="8">
        <f>G2836*G2835</f>
        <v>431.73342019527121</v>
      </c>
      <c r="H2834" s="8">
        <f t="shared" ref="H2834:M2834" si="1600">H2836*H2835</f>
        <v>201.34687500000001</v>
      </c>
      <c r="I2834" s="8">
        <f t="shared" si="1600"/>
        <v>154.49544971367578</v>
      </c>
      <c r="J2834" s="8">
        <f t="shared" si="1600"/>
        <v>170.05372249756167</v>
      </c>
      <c r="K2834" s="8">
        <f t="shared" si="1600"/>
        <v>163.92888693447716</v>
      </c>
      <c r="L2834" s="8">
        <f t="shared" si="1600"/>
        <v>150.21402893323349</v>
      </c>
      <c r="M2834" s="8">
        <f t="shared" si="1600"/>
        <v>111.65826980050812</v>
      </c>
    </row>
    <row r="2835" spans="2:13" hidden="1" outlineLevel="2" x14ac:dyDescent="0.2">
      <c r="B2835" t="str">
        <f t="shared" si="1599"/>
        <v>GlobalFeedstockConversion Hydrogen : HTL oilTon feedstock / ton fuel</v>
      </c>
      <c r="C2835" s="494" t="s">
        <v>109</v>
      </c>
      <c r="D2835" t="s">
        <v>777</v>
      </c>
      <c r="E2835" s="48" t="s">
        <v>1300</v>
      </c>
      <c r="F2835" s="128" t="s">
        <v>1241</v>
      </c>
      <c r="G2835" s="521">
        <f>INDEX('Fuel Model -  Input'!$B$3:$N$373,MATCH($B2835,'Fuel Model -  Input'!$B$3:$B$373,0),MATCH(G$2,'Fuel Model -  Input'!$B$3:$N$3,0))</f>
        <v>6.25E-2</v>
      </c>
      <c r="H2835" s="521">
        <f>INDEX('Fuel Model -  Input'!$B$3:$N$373,MATCH($B2835,'Fuel Model -  Input'!$B$3:$B$373,0),MATCH(H$2,'Fuel Model -  Input'!$B$3:$N$3,0))</f>
        <v>6.25E-2</v>
      </c>
      <c r="I2835" s="521">
        <f>INDEX('Fuel Model -  Input'!$B$3:$N$373,MATCH($B2835,'Fuel Model -  Input'!$B$3:$B$373,0),MATCH(I$2,'Fuel Model -  Input'!$B$3:$N$3,0))</f>
        <v>6.25E-2</v>
      </c>
      <c r="J2835" s="521">
        <f>INDEX('Fuel Model -  Input'!$B$3:$N$373,MATCH($B2835,'Fuel Model -  Input'!$B$3:$B$373,0),MATCH(J$2,'Fuel Model -  Input'!$B$3:$N$3,0))</f>
        <v>6.25E-2</v>
      </c>
      <c r="K2835" s="521">
        <f>INDEX('Fuel Model -  Input'!$B$3:$N$373,MATCH($B2835,'Fuel Model -  Input'!$B$3:$B$373,0),MATCH(K$2,'Fuel Model -  Input'!$B$3:$N$3,0))</f>
        <v>6.25E-2</v>
      </c>
      <c r="L2835" s="521">
        <f>INDEX('Fuel Model -  Input'!$B$3:$N$373,MATCH($B2835,'Fuel Model -  Input'!$B$3:$B$373,0),MATCH(L$2,'Fuel Model -  Input'!$B$3:$N$3,0))</f>
        <v>6.25E-2</v>
      </c>
      <c r="M2835" s="521">
        <f>INDEX('Fuel Model -  Input'!$B$3:$N$373,MATCH($B2835,'Fuel Model -  Input'!$B$3:$B$373,0),MATCH(M$2,'Fuel Model -  Input'!$B$3:$N$3,0))</f>
        <v>6.25E-2</v>
      </c>
    </row>
    <row r="2836" spans="2:13" hidden="1" outlineLevel="2" x14ac:dyDescent="0.2">
      <c r="B2836" t="str">
        <f t="shared" si="1599"/>
        <v>EuropeFeedstockWeighted hydrogen costUSD/ton</v>
      </c>
      <c r="C2836" s="494" t="s">
        <v>195</v>
      </c>
      <c r="D2836" t="s">
        <v>777</v>
      </c>
      <c r="E2836" s="48" t="s">
        <v>1301</v>
      </c>
      <c r="F2836" s="128" t="s">
        <v>205</v>
      </c>
      <c r="G2836" s="337">
        <f>SUMPRODUCT(G2837:G2839,G2840:G2842)</f>
        <v>6907.7347231243393</v>
      </c>
      <c r="H2836" s="337">
        <f t="shared" ref="H2836:M2836" si="1601">SUMPRODUCT(H2837:H2839,H2840:H2842)</f>
        <v>3221.55</v>
      </c>
      <c r="I2836" s="337">
        <f t="shared" si="1601"/>
        <v>2471.9271954188125</v>
      </c>
      <c r="J2836" s="337">
        <f t="shared" si="1601"/>
        <v>2720.8595599609866</v>
      </c>
      <c r="K2836" s="337">
        <f t="shared" si="1601"/>
        <v>2622.8621909516346</v>
      </c>
      <c r="L2836" s="337">
        <f t="shared" si="1601"/>
        <v>2403.4244629317359</v>
      </c>
      <c r="M2836" s="337">
        <f t="shared" si="1601"/>
        <v>1786.53231680813</v>
      </c>
    </row>
    <row r="2837" spans="2:13" hidden="1" outlineLevel="2" x14ac:dyDescent="0.2">
      <c r="B2837" t="str">
        <f t="shared" ref="B2837:B2839" si="1602">+C2837&amp;D2837&amp;E2837&amp;F2837</f>
        <v>GlobalFeedstockHTL hydrogen fraction - Grey%</v>
      </c>
      <c r="C2837" s="494" t="s">
        <v>109</v>
      </c>
      <c r="D2837" t="s">
        <v>777</v>
      </c>
      <c r="E2837" s="48" t="s">
        <v>1302</v>
      </c>
      <c r="F2837" t="s">
        <v>178</v>
      </c>
      <c r="G2837" s="531">
        <f>INDEX('Fuel Model -  Input'!$B$3:$N$373,MATCH($B2837,'Fuel Model -  Input'!$B$3:$B$373,0),MATCH(G$2,'Fuel Model -  Input'!$B$3:$N$3,0))</f>
        <v>1</v>
      </c>
      <c r="H2837" s="531">
        <f>INDEX('Fuel Model -  Input'!$B$3:$N$373,MATCH($B2837,'Fuel Model -  Input'!$B$3:$B$373,0),MATCH(H$2,'Fuel Model -  Input'!$B$3:$N$3,0))</f>
        <v>0.7</v>
      </c>
      <c r="I2837" s="531">
        <f>INDEX('Fuel Model -  Input'!$B$3:$N$373,MATCH($B2837,'Fuel Model -  Input'!$B$3:$B$373,0),MATCH(I$2,'Fuel Model -  Input'!$B$3:$N$3,0))</f>
        <v>0.5</v>
      </c>
      <c r="J2837" s="531">
        <f>INDEX('Fuel Model -  Input'!$B$3:$N$373,MATCH($B2837,'Fuel Model -  Input'!$B$3:$B$373,0),MATCH(J$2,'Fuel Model -  Input'!$B$3:$N$3,0))</f>
        <v>0</v>
      </c>
      <c r="K2837" s="531">
        <f>INDEX('Fuel Model -  Input'!$B$3:$N$373,MATCH($B2837,'Fuel Model -  Input'!$B$3:$B$373,0),MATCH(K$2,'Fuel Model -  Input'!$B$3:$N$3,0))</f>
        <v>0</v>
      </c>
      <c r="L2837" s="531">
        <f>INDEX('Fuel Model -  Input'!$B$3:$N$373,MATCH($B2837,'Fuel Model -  Input'!$B$3:$B$373,0),MATCH(L$2,'Fuel Model -  Input'!$B$3:$N$3,0))</f>
        <v>0</v>
      </c>
      <c r="M2837" s="531">
        <f>INDEX('Fuel Model -  Input'!$B$3:$N$373,MATCH($B2837,'Fuel Model -  Input'!$B$3:$B$373,0),MATCH(M$2,'Fuel Model -  Input'!$B$3:$N$3,0))</f>
        <v>0</v>
      </c>
    </row>
    <row r="2838" spans="2:13" hidden="1" outlineLevel="2" x14ac:dyDescent="0.2">
      <c r="B2838" t="str">
        <f t="shared" si="1602"/>
        <v>GlobalFeedstockHTL hydrogen fraction - Blue%</v>
      </c>
      <c r="C2838" s="494" t="s">
        <v>109</v>
      </c>
      <c r="D2838" t="s">
        <v>777</v>
      </c>
      <c r="E2838" s="48" t="s">
        <v>1303</v>
      </c>
      <c r="F2838" t="s">
        <v>178</v>
      </c>
      <c r="G2838" s="531">
        <f>INDEX('Fuel Model -  Input'!$B$3:$N$373,MATCH($B2838,'Fuel Model -  Input'!$B$3:$B$373,0),MATCH(G$2,'Fuel Model -  Input'!$B$3:$N$3,0))</f>
        <v>0</v>
      </c>
      <c r="H2838" s="531">
        <f>INDEX('Fuel Model -  Input'!$B$3:$N$373,MATCH($B2838,'Fuel Model -  Input'!$B$3:$B$373,0),MATCH(H$2,'Fuel Model -  Input'!$B$3:$N$3,0))</f>
        <v>0.3</v>
      </c>
      <c r="I2838" s="531">
        <f>INDEX('Fuel Model -  Input'!$B$3:$N$373,MATCH($B2838,'Fuel Model -  Input'!$B$3:$B$373,0),MATCH(I$2,'Fuel Model -  Input'!$B$3:$N$3,0))</f>
        <v>0.5</v>
      </c>
      <c r="J2838" s="531">
        <f>INDEX('Fuel Model -  Input'!$B$3:$N$373,MATCH($B2838,'Fuel Model -  Input'!$B$3:$B$373,0),MATCH(J$2,'Fuel Model -  Input'!$B$3:$N$3,0))</f>
        <v>1</v>
      </c>
      <c r="K2838" s="531">
        <f>INDEX('Fuel Model -  Input'!$B$3:$N$373,MATCH($B2838,'Fuel Model -  Input'!$B$3:$B$373,0),MATCH(K$2,'Fuel Model -  Input'!$B$3:$N$3,0))</f>
        <v>0.9</v>
      </c>
      <c r="L2838" s="531">
        <f>INDEX('Fuel Model -  Input'!$B$3:$N$373,MATCH($B2838,'Fuel Model -  Input'!$B$3:$B$373,0),MATCH(L$2,'Fuel Model -  Input'!$B$3:$N$3,0))</f>
        <v>0.7</v>
      </c>
      <c r="M2838" s="531">
        <f>INDEX('Fuel Model -  Input'!$B$3:$N$373,MATCH($B2838,'Fuel Model -  Input'!$B$3:$B$373,0),MATCH(M$2,'Fuel Model -  Input'!$B$3:$N$3,0))</f>
        <v>0.2</v>
      </c>
    </row>
    <row r="2839" spans="2:13" hidden="1" outlineLevel="2" x14ac:dyDescent="0.2">
      <c r="B2839" t="str">
        <f t="shared" si="1602"/>
        <v>GlobalFeedstockHTL hydrogen fraction - Green%</v>
      </c>
      <c r="C2839" s="494" t="s">
        <v>109</v>
      </c>
      <c r="D2839" t="s">
        <v>777</v>
      </c>
      <c r="E2839" s="48" t="s">
        <v>1304</v>
      </c>
      <c r="F2839" t="s">
        <v>178</v>
      </c>
      <c r="G2839" s="531">
        <f>INDEX('Fuel Model -  Input'!$B$3:$N$373,MATCH($B2839,'Fuel Model -  Input'!$B$3:$B$373,0),MATCH(G$2,'Fuel Model -  Input'!$B$3:$N$3,0))</f>
        <v>0</v>
      </c>
      <c r="H2839" s="531">
        <f>INDEX('Fuel Model -  Input'!$B$3:$N$373,MATCH($B2839,'Fuel Model -  Input'!$B$3:$B$373,0),MATCH(H$2,'Fuel Model -  Input'!$B$3:$N$3,0))</f>
        <v>0</v>
      </c>
      <c r="I2839" s="531">
        <f>INDEX('Fuel Model -  Input'!$B$3:$N$373,MATCH($B2839,'Fuel Model -  Input'!$B$3:$B$373,0),MATCH(I$2,'Fuel Model -  Input'!$B$3:$N$3,0))</f>
        <v>0</v>
      </c>
      <c r="J2839" s="531">
        <f>INDEX('Fuel Model -  Input'!$B$3:$N$373,MATCH($B2839,'Fuel Model -  Input'!$B$3:$B$373,0),MATCH(J$2,'Fuel Model -  Input'!$B$3:$N$3,0))</f>
        <v>0</v>
      </c>
      <c r="K2839" s="531">
        <f>INDEX('Fuel Model -  Input'!$B$3:$N$373,MATCH($B2839,'Fuel Model -  Input'!$B$3:$B$373,0),MATCH(K$2,'Fuel Model -  Input'!$B$3:$N$3,0))</f>
        <v>0.1</v>
      </c>
      <c r="L2839" s="531">
        <f>INDEX('Fuel Model -  Input'!$B$3:$N$373,MATCH($B2839,'Fuel Model -  Input'!$B$3:$B$373,0),MATCH(L$2,'Fuel Model -  Input'!$B$3:$N$3,0))</f>
        <v>0.3</v>
      </c>
      <c r="M2839" s="531">
        <f>INDEX('Fuel Model -  Input'!$B$3:$N$373,MATCH($B2839,'Fuel Model -  Input'!$B$3:$B$373,0),MATCH(M$2,'Fuel Model -  Input'!$B$3:$N$3,0))</f>
        <v>0.8</v>
      </c>
    </row>
    <row r="2840" spans="2:13" hidden="1" outlineLevel="2" x14ac:dyDescent="0.2">
      <c r="B2840" t="str">
        <f t="shared" si="1599"/>
        <v>EuropeResultsCost of Grey HydrogenUSD/ton</v>
      </c>
      <c r="C2840" s="494" t="s">
        <v>195</v>
      </c>
      <c r="D2840" t="s">
        <v>838</v>
      </c>
      <c r="E2840" s="48" t="s">
        <v>1161</v>
      </c>
      <c r="F2840" s="128" t="s">
        <v>205</v>
      </c>
      <c r="G2840" s="532">
        <f t="shared" ref="G2840:M2842" si="1603">+INDEX(G$2:G$2521,MATCH($B2840,$B$2:$B$2521,0))</f>
        <v>6907.7347231243393</v>
      </c>
      <c r="H2840" s="532">
        <f t="shared" si="1603"/>
        <v>3015</v>
      </c>
      <c r="I2840" s="532">
        <f t="shared" si="1603"/>
        <v>2129.9578097813123</v>
      </c>
      <c r="J2840" s="532">
        <f t="shared" si="1603"/>
        <v>2041.4511954859868</v>
      </c>
      <c r="K2840" s="532">
        <f t="shared" si="1603"/>
        <v>1960.7018860965813</v>
      </c>
      <c r="L2840" s="532">
        <f t="shared" si="1603"/>
        <v>1886.6322782743964</v>
      </c>
      <c r="M2840" s="532">
        <f t="shared" si="1603"/>
        <v>1818.3333333333335</v>
      </c>
    </row>
    <row r="2841" spans="2:13" hidden="1" outlineLevel="2" x14ac:dyDescent="0.2">
      <c r="B2841" t="str">
        <f t="shared" si="1599"/>
        <v>EuropeResultsCost of Blue HydrogenUSD/ton</v>
      </c>
      <c r="C2841" s="494" t="s">
        <v>195</v>
      </c>
      <c r="D2841" t="s">
        <v>838</v>
      </c>
      <c r="E2841" s="48" t="s">
        <v>1200</v>
      </c>
      <c r="F2841" s="128" t="s">
        <v>205</v>
      </c>
      <c r="G2841" s="532">
        <f t="shared" si="1603"/>
        <v>7600.8269834743396</v>
      </c>
      <c r="H2841" s="532">
        <f t="shared" si="1603"/>
        <v>3703.5</v>
      </c>
      <c r="I2841" s="532">
        <f t="shared" si="1603"/>
        <v>2813.8965810563122</v>
      </c>
      <c r="J2841" s="532">
        <f t="shared" si="1603"/>
        <v>2720.8595599609866</v>
      </c>
      <c r="K2841" s="532">
        <f t="shared" si="1603"/>
        <v>2635.6104574215815</v>
      </c>
      <c r="L2841" s="532">
        <f t="shared" si="1603"/>
        <v>2557.0714633243965</v>
      </c>
      <c r="M2841" s="532">
        <f t="shared" si="1603"/>
        <v>2484.3333333333335</v>
      </c>
    </row>
    <row r="2842" spans="2:13" hidden="1" outlineLevel="2" x14ac:dyDescent="0.2">
      <c r="B2842" t="str">
        <f t="shared" si="1599"/>
        <v>EuropeResultsCost of e-HydrogenUSD/ton</v>
      </c>
      <c r="C2842" s="494" t="s">
        <v>195</v>
      </c>
      <c r="D2842" t="s">
        <v>838</v>
      </c>
      <c r="E2842" s="48" t="s">
        <v>853</v>
      </c>
      <c r="F2842" s="128" t="s">
        <v>205</v>
      </c>
      <c r="G2842" s="532">
        <f t="shared" si="1603"/>
        <v>4708.2385020539878</v>
      </c>
      <c r="H2842" s="532">
        <f t="shared" si="1603"/>
        <v>3843.9448561999607</v>
      </c>
      <c r="I2842" s="532">
        <f t="shared" si="1603"/>
        <v>3137.4742355809412</v>
      </c>
      <c r="J2842" s="532">
        <f t="shared" si="1603"/>
        <v>2867.5500666394773</v>
      </c>
      <c r="K2842" s="532">
        <f t="shared" si="1603"/>
        <v>2508.1277927221117</v>
      </c>
      <c r="L2842" s="532">
        <f t="shared" si="1603"/>
        <v>2044.9147953488614</v>
      </c>
      <c r="M2842" s="532">
        <f t="shared" si="1603"/>
        <v>1612.0820626768289</v>
      </c>
    </row>
    <row r="2843" spans="2:13" hidden="1" outlineLevel="2" x14ac:dyDescent="0.2">
      <c r="C2843" s="494"/>
      <c r="E2843" s="48"/>
      <c r="F2843" s="128"/>
    </row>
    <row r="2844" spans="2:13" hidden="1" outlineLevel="2" x14ac:dyDescent="0.2">
      <c r="B2844" t="str">
        <f t="shared" ref="B2844:B2850" si="1604">+C2844&amp;D2844&amp;E2844&amp;F2844</f>
        <v>EuropeFeedstockBiomass costUSD/ton Methanol</v>
      </c>
      <c r="C2844" s="494" t="str">
        <f>+$C$2529</f>
        <v>Europe</v>
      </c>
      <c r="D2844" t="s">
        <v>777</v>
      </c>
      <c r="E2844" s="48" t="s">
        <v>1237</v>
      </c>
      <c r="F2844" s="128" t="s">
        <v>1229</v>
      </c>
      <c r="G2844" s="8">
        <f>+G2846*G2847*G2848+G2845*G2849*G2850</f>
        <v>259.04699388530264</v>
      </c>
      <c r="H2844" s="8">
        <f t="shared" ref="H2844:M2844" si="1605">+H2846*H2847*H2848+H2845*H2849*H2850</f>
        <v>264.45736198452914</v>
      </c>
      <c r="I2844" s="8">
        <f t="shared" si="1605"/>
        <v>269.86773008375559</v>
      </c>
      <c r="J2844" s="8">
        <f t="shared" si="1605"/>
        <v>275.27809818298203</v>
      </c>
      <c r="K2844" s="8">
        <f t="shared" si="1605"/>
        <v>279.60639266236319</v>
      </c>
      <c r="L2844" s="8">
        <f t="shared" si="1605"/>
        <v>285.01676076158969</v>
      </c>
      <c r="M2844" s="8">
        <f t="shared" si="1605"/>
        <v>290.42712886081614</v>
      </c>
    </row>
    <row r="2845" spans="2:13" hidden="1" outlineLevel="2" x14ac:dyDescent="0.2">
      <c r="B2845" t="str">
        <f t="shared" si="1604"/>
        <v>GlobalFeedstockDry wood biomass market share HTL%</v>
      </c>
      <c r="C2845" s="494" t="s">
        <v>109</v>
      </c>
      <c r="D2845" t="s">
        <v>777</v>
      </c>
      <c r="E2845" t="s">
        <v>1305</v>
      </c>
      <c r="F2845" t="s">
        <v>178</v>
      </c>
      <c r="G2845" s="531">
        <f>+INDEX('Fuel Model -  Input'!$B$3:$N$1312,MATCH($B2845,'Fuel Model -  Input'!$B$3:$B$1312,0),MATCH(G$2,'Fuel Model -  Input'!$B$3:$N$3,0))</f>
        <v>0.3</v>
      </c>
      <c r="H2845" s="531">
        <f>+INDEX('Fuel Model -  Input'!$B$3:$N$1312,MATCH($B2845,'Fuel Model -  Input'!$B$3:$B$1312,0),MATCH(H$2,'Fuel Model -  Input'!$B$3:$N$3,0))</f>
        <v>0.3</v>
      </c>
      <c r="I2845" s="531">
        <f>+INDEX('Fuel Model -  Input'!$B$3:$N$1312,MATCH($B2845,'Fuel Model -  Input'!$B$3:$B$1312,0),MATCH(I$2,'Fuel Model -  Input'!$B$3:$N$3,0))</f>
        <v>0.3</v>
      </c>
      <c r="J2845" s="531">
        <f>+INDEX('Fuel Model -  Input'!$B$3:$N$1312,MATCH($B2845,'Fuel Model -  Input'!$B$3:$B$1312,0),MATCH(J$2,'Fuel Model -  Input'!$B$3:$N$3,0))</f>
        <v>0.3</v>
      </c>
      <c r="K2845" s="531">
        <f>+INDEX('Fuel Model -  Input'!$B$3:$N$1312,MATCH($B2845,'Fuel Model -  Input'!$B$3:$B$1312,0),MATCH(K$2,'Fuel Model -  Input'!$B$3:$N$3,0))</f>
        <v>0.3</v>
      </c>
      <c r="L2845" s="531">
        <f>+INDEX('Fuel Model -  Input'!$B$3:$N$1312,MATCH($B2845,'Fuel Model -  Input'!$B$3:$B$1312,0),MATCH(L$2,'Fuel Model -  Input'!$B$3:$N$3,0))</f>
        <v>0.3</v>
      </c>
      <c r="M2845" s="531">
        <f>+INDEX('Fuel Model -  Input'!$B$3:$N$1312,MATCH($B2845,'Fuel Model -  Input'!$B$3:$B$1312,0),MATCH(M$2,'Fuel Model -  Input'!$B$3:$N$3,0))</f>
        <v>0.3</v>
      </c>
    </row>
    <row r="2846" spans="2:13" hidden="1" outlineLevel="2" x14ac:dyDescent="0.2">
      <c r="B2846" t="str">
        <f t="shared" si="1604"/>
        <v>GlobalFeedstockOrganic wet waste market share HTL%</v>
      </c>
      <c r="C2846" s="494" t="s">
        <v>109</v>
      </c>
      <c r="D2846" t="s">
        <v>777</v>
      </c>
      <c r="E2846" t="s">
        <v>1306</v>
      </c>
      <c r="F2846" t="s">
        <v>178</v>
      </c>
      <c r="G2846" s="531">
        <f>+INDEX('Fuel Model -  Input'!$B$3:$N$1312,MATCH($B2846,'Fuel Model -  Input'!$B$3:$B$1312,0),MATCH(G$2,'Fuel Model -  Input'!$B$3:$N$3,0))</f>
        <v>0.7</v>
      </c>
      <c r="H2846" s="531">
        <f>+INDEX('Fuel Model -  Input'!$B$3:$N$1312,MATCH($B2846,'Fuel Model -  Input'!$B$3:$B$1312,0),MATCH(H$2,'Fuel Model -  Input'!$B$3:$N$3,0))</f>
        <v>0.7</v>
      </c>
      <c r="I2846" s="531">
        <f>+INDEX('Fuel Model -  Input'!$B$3:$N$1312,MATCH($B2846,'Fuel Model -  Input'!$B$3:$B$1312,0),MATCH(I$2,'Fuel Model -  Input'!$B$3:$N$3,0))</f>
        <v>0.7</v>
      </c>
      <c r="J2846" s="531">
        <f>+INDEX('Fuel Model -  Input'!$B$3:$N$1312,MATCH($B2846,'Fuel Model -  Input'!$B$3:$B$1312,0),MATCH(J$2,'Fuel Model -  Input'!$B$3:$N$3,0))</f>
        <v>0.7</v>
      </c>
      <c r="K2846" s="531">
        <f>+INDEX('Fuel Model -  Input'!$B$3:$N$1312,MATCH($B2846,'Fuel Model -  Input'!$B$3:$B$1312,0),MATCH(K$2,'Fuel Model -  Input'!$B$3:$N$3,0))</f>
        <v>0.7</v>
      </c>
      <c r="L2846" s="531">
        <f>+INDEX('Fuel Model -  Input'!$B$3:$N$1312,MATCH($B2846,'Fuel Model -  Input'!$B$3:$B$1312,0),MATCH(L$2,'Fuel Model -  Input'!$B$3:$N$3,0))</f>
        <v>0.7</v>
      </c>
      <c r="M2846" s="531">
        <f>+INDEX('Fuel Model -  Input'!$B$3:$N$1312,MATCH($B2846,'Fuel Model -  Input'!$B$3:$B$1312,0),MATCH(M$2,'Fuel Model -  Input'!$B$3:$N$3,0))</f>
        <v>0.7</v>
      </c>
    </row>
    <row r="2847" spans="2:13" hidden="1" outlineLevel="2" x14ac:dyDescent="0.2">
      <c r="B2847" t="str">
        <f t="shared" si="1604"/>
        <v>GlobalFeedstockConversion Organic wet waste : HTL oilTon feedstock / ton fuel</v>
      </c>
      <c r="C2847" s="494" t="s">
        <v>109</v>
      </c>
      <c r="D2847" t="s">
        <v>777</v>
      </c>
      <c r="E2847" t="s">
        <v>1307</v>
      </c>
      <c r="F2847" s="128" t="s">
        <v>1241</v>
      </c>
      <c r="G2847" s="521">
        <f>INDEX('Fuel Model -  Input'!$B$3:$N$373,MATCH($B2847,'Fuel Model -  Input'!$B$3:$B$373,0),MATCH(G$2,'Fuel Model -  Input'!$B$3:$N$3,0))</f>
        <v>4.4642857142857135</v>
      </c>
      <c r="H2847" s="521">
        <f>INDEX('Fuel Model -  Input'!$B$3:$N$373,MATCH($B2847,'Fuel Model -  Input'!$B$3:$B$373,0),MATCH(H$2,'Fuel Model -  Input'!$B$3:$N$3,0))</f>
        <v>4.4642857142857135</v>
      </c>
      <c r="I2847" s="521">
        <f>INDEX('Fuel Model -  Input'!$B$3:$N$373,MATCH($B2847,'Fuel Model -  Input'!$B$3:$B$373,0),MATCH(I$2,'Fuel Model -  Input'!$B$3:$N$3,0))</f>
        <v>4.4642857142857135</v>
      </c>
      <c r="J2847" s="521">
        <f>INDEX('Fuel Model -  Input'!$B$3:$N$373,MATCH($B2847,'Fuel Model -  Input'!$B$3:$B$373,0),MATCH(J$2,'Fuel Model -  Input'!$B$3:$N$3,0))</f>
        <v>4.4642857142857135</v>
      </c>
      <c r="K2847" s="521">
        <f>INDEX('Fuel Model -  Input'!$B$3:$N$373,MATCH($B2847,'Fuel Model -  Input'!$B$3:$B$373,0),MATCH(K$2,'Fuel Model -  Input'!$B$3:$N$3,0))</f>
        <v>4.4642857142857135</v>
      </c>
      <c r="L2847" s="521">
        <f>INDEX('Fuel Model -  Input'!$B$3:$N$373,MATCH($B2847,'Fuel Model -  Input'!$B$3:$B$373,0),MATCH(L$2,'Fuel Model -  Input'!$B$3:$N$3,0))</f>
        <v>4.4642857142857135</v>
      </c>
      <c r="M2847" s="521">
        <f>INDEX('Fuel Model -  Input'!$B$3:$N$373,MATCH($B2847,'Fuel Model -  Input'!$B$3:$B$373,0),MATCH(M$2,'Fuel Model -  Input'!$B$3:$N$3,0))</f>
        <v>4.4642857142857135</v>
      </c>
    </row>
    <row r="2848" spans="2:13" hidden="1" outlineLevel="2" x14ac:dyDescent="0.2">
      <c r="B2848" t="str">
        <f t="shared" si="1604"/>
        <v>EuropeFeedstockCost of Organic wet wasteUSD/ton</v>
      </c>
      <c r="C2848" s="494" t="s">
        <v>195</v>
      </c>
      <c r="D2848" t="s">
        <v>777</v>
      </c>
      <c r="E2848" s="48" t="s">
        <v>1242</v>
      </c>
      <c r="F2848" s="450" t="s">
        <v>205</v>
      </c>
      <c r="G2848" s="532">
        <f>+INDEX('Fuel Model -  Input'!$B$3:$N$373,MATCH($B2848,'Fuel Model -  Input'!$B$3:$B$373,0),MATCH(G$2,'Fuel Model -  Input'!$B$3:$N$3,0))</f>
        <v>50</v>
      </c>
      <c r="H2848" s="532">
        <f>+INDEX('Fuel Model -  Input'!$B$3:$N$373,MATCH($B2848,'Fuel Model -  Input'!$B$3:$B$373,0),MATCH(H$2,'Fuel Model -  Input'!$B$3:$N$3,0))</f>
        <v>50</v>
      </c>
      <c r="I2848" s="532">
        <f>+INDEX('Fuel Model -  Input'!$B$3:$N$373,MATCH($B2848,'Fuel Model -  Input'!$B$3:$B$373,0),MATCH(I$2,'Fuel Model -  Input'!$B$3:$N$3,0))</f>
        <v>50</v>
      </c>
      <c r="J2848" s="532">
        <f>+INDEX('Fuel Model -  Input'!$B$3:$N$373,MATCH($B2848,'Fuel Model -  Input'!$B$3:$B$373,0),MATCH(J$2,'Fuel Model -  Input'!$B$3:$N$3,0))</f>
        <v>50</v>
      </c>
      <c r="K2848" s="532">
        <f>+INDEX('Fuel Model -  Input'!$B$3:$N$373,MATCH($B2848,'Fuel Model -  Input'!$B$3:$B$373,0),MATCH(K$2,'Fuel Model -  Input'!$B$3:$N$3,0))</f>
        <v>50</v>
      </c>
      <c r="L2848" s="532">
        <f>+INDEX('Fuel Model -  Input'!$B$3:$N$373,MATCH($B2848,'Fuel Model -  Input'!$B$3:$B$373,0),MATCH(L$2,'Fuel Model -  Input'!$B$3:$N$3,0))</f>
        <v>50</v>
      </c>
      <c r="M2848" s="532">
        <f>+INDEX('Fuel Model -  Input'!$B$3:$N$373,MATCH($B2848,'Fuel Model -  Input'!$B$3:$B$373,0),MATCH(M$2,'Fuel Model -  Input'!$B$3:$N$3,0))</f>
        <v>50</v>
      </c>
    </row>
    <row r="2849" spans="2:13" hidden="1" outlineLevel="2" x14ac:dyDescent="0.2">
      <c r="B2849" t="str">
        <f t="shared" si="1604"/>
        <v>GlobalFeedstockConversion Dry Wood biomass : HTL oilTon feedstock / ton fuel</v>
      </c>
      <c r="C2849" s="494" t="s">
        <v>109</v>
      </c>
      <c r="D2849" t="s">
        <v>777</v>
      </c>
      <c r="E2849" s="48" t="s">
        <v>1308</v>
      </c>
      <c r="F2849" s="128" t="s">
        <v>1241</v>
      </c>
      <c r="G2849" s="521">
        <f>INDEX('Fuel Model -  Input'!$B$3:$N$373,MATCH($B2849,'Fuel Model -  Input'!$B$3:$B$373,0),MATCH(G$2,'Fuel Model -  Input'!$B$3:$N$3,0))</f>
        <v>3.6069120661509726</v>
      </c>
      <c r="H2849" s="521">
        <f>INDEX('Fuel Model -  Input'!$B$3:$N$373,MATCH($B2849,'Fuel Model -  Input'!$B$3:$B$373,0),MATCH(H$2,'Fuel Model -  Input'!$B$3:$N$3,0))</f>
        <v>3.6069120661509726</v>
      </c>
      <c r="I2849" s="521">
        <f>INDEX('Fuel Model -  Input'!$B$3:$N$373,MATCH($B2849,'Fuel Model -  Input'!$B$3:$B$373,0),MATCH(I$2,'Fuel Model -  Input'!$B$3:$N$3,0))</f>
        <v>3.6069120661509726</v>
      </c>
      <c r="J2849" s="521">
        <f>INDEX('Fuel Model -  Input'!$B$3:$N$373,MATCH($B2849,'Fuel Model -  Input'!$B$3:$B$373,0),MATCH(J$2,'Fuel Model -  Input'!$B$3:$N$3,0))</f>
        <v>3.6069120661509726</v>
      </c>
      <c r="K2849" s="521">
        <f>INDEX('Fuel Model -  Input'!$B$3:$N$373,MATCH($B2849,'Fuel Model -  Input'!$B$3:$B$373,0),MATCH(K$2,'Fuel Model -  Input'!$B$3:$N$3,0))</f>
        <v>3.6069120661509726</v>
      </c>
      <c r="L2849" s="521">
        <f>INDEX('Fuel Model -  Input'!$B$3:$N$373,MATCH($B2849,'Fuel Model -  Input'!$B$3:$B$373,0),MATCH(L$2,'Fuel Model -  Input'!$B$3:$N$3,0))</f>
        <v>3.6069120661509726</v>
      </c>
      <c r="M2849" s="521">
        <f>INDEX('Fuel Model -  Input'!$B$3:$N$373,MATCH($B2849,'Fuel Model -  Input'!$B$3:$B$373,0),MATCH(M$2,'Fuel Model -  Input'!$B$3:$N$3,0))</f>
        <v>3.6069120661509726</v>
      </c>
    </row>
    <row r="2850" spans="2:13" hidden="1" outlineLevel="2" x14ac:dyDescent="0.2">
      <c r="B2850" t="str">
        <f t="shared" si="1604"/>
        <v>EuropeFeedstockCost of Wood biomassUSD/ton Wood</v>
      </c>
      <c r="C2850" s="494" t="s">
        <v>195</v>
      </c>
      <c r="D2850" t="s">
        <v>777</v>
      </c>
      <c r="E2850" s="48" t="s">
        <v>1244</v>
      </c>
      <c r="F2850" s="128" t="s">
        <v>1245</v>
      </c>
      <c r="G2850" s="532">
        <f>+INDEX('Fuel Model -  Input'!$B$3:$N$373,MATCH($B2850,'Fuel Model -  Input'!$B$3:$B$373,0),MATCH(G$2,'Fuel Model -  Input'!$B$3:$N$3,0))</f>
        <v>95</v>
      </c>
      <c r="H2850" s="532">
        <f>+INDEX('Fuel Model -  Input'!$B$3:$N$373,MATCH($B2850,'Fuel Model -  Input'!$B$3:$B$373,0),MATCH(H$2,'Fuel Model -  Input'!$B$3:$N$3,0))</f>
        <v>100</v>
      </c>
      <c r="I2850" s="532">
        <f>+INDEX('Fuel Model -  Input'!$B$3:$N$373,MATCH($B2850,'Fuel Model -  Input'!$B$3:$B$373,0),MATCH(I$2,'Fuel Model -  Input'!$B$3:$N$3,0))</f>
        <v>105</v>
      </c>
      <c r="J2850" s="532">
        <f>+INDEX('Fuel Model -  Input'!$B$3:$N$373,MATCH($B2850,'Fuel Model -  Input'!$B$3:$B$373,0),MATCH(J$2,'Fuel Model -  Input'!$B$3:$N$3,0))</f>
        <v>110</v>
      </c>
      <c r="K2850" s="532">
        <f>+INDEX('Fuel Model -  Input'!$B$3:$N$373,MATCH($B2850,'Fuel Model -  Input'!$B$3:$B$373,0),MATCH(K$2,'Fuel Model -  Input'!$B$3:$N$3,0))</f>
        <v>114</v>
      </c>
      <c r="L2850" s="532">
        <f>+INDEX('Fuel Model -  Input'!$B$3:$N$373,MATCH($B2850,'Fuel Model -  Input'!$B$3:$B$373,0),MATCH(L$2,'Fuel Model -  Input'!$B$3:$N$3,0))</f>
        <v>119</v>
      </c>
      <c r="M2850" s="532">
        <f>+INDEX('Fuel Model -  Input'!$B$3:$N$373,MATCH($B2850,'Fuel Model -  Input'!$B$3:$B$373,0),MATCH(M$2,'Fuel Model -  Input'!$B$3:$N$3,0))</f>
        <v>124</v>
      </c>
    </row>
    <row r="2851" spans="2:13" ht="12.75" hidden="1" outlineLevel="1" x14ac:dyDescent="0.2">
      <c r="F2851"/>
    </row>
    <row r="2852" spans="2:13" s="30" customFormat="1" ht="15" hidden="1" outlineLevel="1" collapsed="1" x14ac:dyDescent="0.25">
      <c r="B2852" s="30" t="s">
        <v>197</v>
      </c>
      <c r="C2852" s="30" t="str">
        <f>+B2852</f>
        <v>Middle East</v>
      </c>
    </row>
    <row r="2853" spans="2:13" ht="15" hidden="1" outlineLevel="2" x14ac:dyDescent="0.25">
      <c r="B2853" t="str">
        <f>+C2853&amp;D2853&amp;E2853&amp;F2853</f>
        <v>Middle EastResultsTotal cost of Biodiesel (HtL)USD/ton</v>
      </c>
      <c r="C2853" s="494" t="str">
        <f>+$C$2852</f>
        <v>Middle East</v>
      </c>
      <c r="D2853" s="30" t="s">
        <v>838</v>
      </c>
      <c r="E2853" s="405" t="s">
        <v>1283</v>
      </c>
      <c r="F2853" s="127" t="s">
        <v>205</v>
      </c>
      <c r="G2853" s="490">
        <f>+SUM(G2854:G2857)</f>
        <v>6799.915994836183</v>
      </c>
      <c r="H2853" s="490">
        <f t="shared" ref="H2853" si="1606">+SUM(H2854:H2857)</f>
        <v>2224.41348544826</v>
      </c>
      <c r="I2853" s="490">
        <f t="shared" ref="I2853" si="1607">+SUM(I2854:I2857)</f>
        <v>976.43375921860127</v>
      </c>
      <c r="J2853" s="490">
        <f t="shared" ref="J2853" si="1608">+SUM(J2854:J2857)</f>
        <v>959.41398159459106</v>
      </c>
      <c r="K2853" s="490">
        <f t="shared" ref="K2853" si="1609">+SUM(K2854:K2857)</f>
        <v>945.67612700882444</v>
      </c>
      <c r="L2853" s="490">
        <f t="shared" ref="L2853" si="1610">+SUM(L2854:L2857)</f>
        <v>926.92963809148955</v>
      </c>
      <c r="M2853" s="490">
        <f t="shared" ref="M2853" si="1611">+SUM(M2854:M2857)</f>
        <v>898.1632758894433</v>
      </c>
    </row>
    <row r="2854" spans="2:13" ht="15" hidden="1" outlineLevel="2" x14ac:dyDescent="0.25">
      <c r="B2854" t="str">
        <f>+C2854&amp;D2854&amp;E2854&amp;F2854</f>
        <v>Middle EastResultsTotal Capex Biodiesel (HtL)USD/ton</v>
      </c>
      <c r="C2854" s="494" t="str">
        <f>+$C$2852</f>
        <v>Middle East</v>
      </c>
      <c r="D2854" s="30" t="s">
        <v>838</v>
      </c>
      <c r="E2854" s="228" t="s">
        <v>1284</v>
      </c>
      <c r="F2854" s="127" t="s">
        <v>205</v>
      </c>
      <c r="G2854" s="490">
        <f>G2861/G2860</f>
        <v>1314.6947939385132</v>
      </c>
      <c r="H2854" s="490">
        <f t="shared" ref="H2854:M2854" si="1612">H2861/H2860</f>
        <v>788.81687636310789</v>
      </c>
      <c r="I2854" s="490">
        <f t="shared" si="1612"/>
        <v>262.93895878770263</v>
      </c>
      <c r="J2854" s="490">
        <f t="shared" si="1612"/>
        <v>247.16262126044049</v>
      </c>
      <c r="K2854" s="490">
        <f t="shared" si="1612"/>
        <v>239.2744524968094</v>
      </c>
      <c r="L2854" s="490">
        <f t="shared" si="1612"/>
        <v>231.38628373317832</v>
      </c>
      <c r="M2854" s="490">
        <f t="shared" si="1612"/>
        <v>223.49811496954723</v>
      </c>
    </row>
    <row r="2855" spans="2:13" ht="15" hidden="1" outlineLevel="2" x14ac:dyDescent="0.25">
      <c r="B2855" t="str">
        <f>+C2855&amp;D2855&amp;E2855&amp;F2855</f>
        <v>Middle EastResultsTotal Opex Biodiesel (HtL)USD/ton</v>
      </c>
      <c r="C2855" s="494" t="str">
        <f>+$C$2852</f>
        <v>Middle East</v>
      </c>
      <c r="D2855" s="30" t="s">
        <v>838</v>
      </c>
      <c r="E2855" s="228" t="s">
        <v>1285</v>
      </c>
      <c r="F2855" s="127" t="s">
        <v>205</v>
      </c>
      <c r="G2855" s="490">
        <f>+G2863</f>
        <v>4821.1718011339271</v>
      </c>
      <c r="H2855" s="490">
        <f t="shared" ref="H2855:M2855" si="1613">+H2863</f>
        <v>964.23436022678538</v>
      </c>
      <c r="I2855" s="490">
        <f t="shared" si="1613"/>
        <v>321.41145340892848</v>
      </c>
      <c r="J2855" s="490">
        <f t="shared" si="1613"/>
        <v>302.12676620439277</v>
      </c>
      <c r="K2855" s="490">
        <f t="shared" si="1613"/>
        <v>292.48442260212494</v>
      </c>
      <c r="L2855" s="490">
        <f t="shared" si="1613"/>
        <v>282.84207899985711</v>
      </c>
      <c r="M2855" s="490">
        <f t="shared" si="1613"/>
        <v>273.19973539758922</v>
      </c>
    </row>
    <row r="2856" spans="2:13" ht="15" hidden="1" outlineLevel="2" x14ac:dyDescent="0.25">
      <c r="B2856" t="str">
        <f>+C2856&amp;D2856&amp;E2856&amp;F2856</f>
        <v>Middle EastResultsTotal RNE Biodiesel (HtL)USD/ton</v>
      </c>
      <c r="C2856" s="494" t="str">
        <f>+$C$2852</f>
        <v>Middle East</v>
      </c>
      <c r="D2856" s="30" t="s">
        <v>838</v>
      </c>
      <c r="E2856" s="228" t="s">
        <v>1286</v>
      </c>
      <c r="F2856" s="127" t="s">
        <v>205</v>
      </c>
      <c r="G2856" s="490">
        <f>+G2865</f>
        <v>33.555632415643338</v>
      </c>
      <c r="H2856" s="490">
        <f t="shared" ref="H2856:M2856" si="1614">+H2865</f>
        <v>27.017532576158093</v>
      </c>
      <c r="I2856" s="490">
        <f t="shared" si="1614"/>
        <v>22.605707379829621</v>
      </c>
      <c r="J2856" s="490">
        <f t="shared" si="1614"/>
        <v>19.49271869560026</v>
      </c>
      <c r="K2856" s="490">
        <f t="shared" si="1614"/>
        <v>17.907277561987673</v>
      </c>
      <c r="L2856" s="490">
        <f t="shared" si="1614"/>
        <v>15.863447245827011</v>
      </c>
      <c r="M2856" s="490">
        <f t="shared" si="1614"/>
        <v>14.882412266220379</v>
      </c>
    </row>
    <row r="2857" spans="2:13" ht="15" hidden="1" outlineLevel="2" x14ac:dyDescent="0.25">
      <c r="B2857" t="str">
        <f>+C2857&amp;D2857&amp;E2857&amp;F2857</f>
        <v>Middle EastResultsTotal Raw Material Biodiesel (HtL)USD/ton</v>
      </c>
      <c r="C2857" s="494" t="str">
        <f>+$C$2852</f>
        <v>Middle East</v>
      </c>
      <c r="D2857" s="30" t="s">
        <v>838</v>
      </c>
      <c r="E2857" s="228" t="s">
        <v>1287</v>
      </c>
      <c r="F2857" s="127" t="s">
        <v>205</v>
      </c>
      <c r="G2857" s="490">
        <f>+G2869+G2879</f>
        <v>630.49376734809857</v>
      </c>
      <c r="H2857" s="490">
        <f t="shared" ref="H2857:M2857" si="1615">+H2869+H2879</f>
        <v>444.34471628220854</v>
      </c>
      <c r="I2857" s="490">
        <f t="shared" si="1615"/>
        <v>369.4776396421405</v>
      </c>
      <c r="J2857" s="490">
        <f t="shared" si="1615"/>
        <v>390.63187543415756</v>
      </c>
      <c r="K2857" s="490">
        <f t="shared" si="1615"/>
        <v>396.00997434790236</v>
      </c>
      <c r="L2857" s="490">
        <f t="shared" si="1615"/>
        <v>396.83782811262711</v>
      </c>
      <c r="M2857" s="490">
        <f t="shared" si="1615"/>
        <v>386.58301325608647</v>
      </c>
    </row>
    <row r="2858" spans="2:13" hidden="1" outlineLevel="2" x14ac:dyDescent="0.2">
      <c r="C2858" s="494"/>
      <c r="E2858" s="48"/>
      <c r="F2858" s="128"/>
      <c r="G2858" s="8"/>
      <c r="H2858" s="8"/>
      <c r="I2858" s="8"/>
      <c r="J2858" s="8"/>
      <c r="K2858" s="8"/>
      <c r="L2858" s="8"/>
      <c r="M2858" s="8"/>
    </row>
    <row r="2859" spans="2:13" hidden="1" outlineLevel="2" x14ac:dyDescent="0.2">
      <c r="B2859" t="str">
        <f>+C2859&amp;D2859&amp;E2859&amp;F2859</f>
        <v>Middle EastHTL PlantAnnual capex (HTL)USD/ton HTL Oil</v>
      </c>
      <c r="C2859" s="494" t="str">
        <f>+$C$2852</f>
        <v>Middle East</v>
      </c>
      <c r="D2859" t="s">
        <v>1288</v>
      </c>
      <c r="E2859" s="48" t="s">
        <v>1289</v>
      </c>
      <c r="F2859" s="128" t="s">
        <v>1290</v>
      </c>
      <c r="G2859" s="8">
        <f t="shared" ref="G2859:M2859" si="1616">G2861/G2860</f>
        <v>1314.6947939385132</v>
      </c>
      <c r="H2859" s="8">
        <f t="shared" si="1616"/>
        <v>788.81687636310789</v>
      </c>
      <c r="I2859" s="8">
        <f t="shared" si="1616"/>
        <v>262.93895878770263</v>
      </c>
      <c r="J2859" s="8">
        <f t="shared" si="1616"/>
        <v>247.16262126044049</v>
      </c>
      <c r="K2859" s="8">
        <f t="shared" si="1616"/>
        <v>239.2744524968094</v>
      </c>
      <c r="L2859" s="8">
        <f t="shared" si="1616"/>
        <v>231.38628373317832</v>
      </c>
      <c r="M2859" s="8">
        <f t="shared" si="1616"/>
        <v>223.49811496954723</v>
      </c>
    </row>
    <row r="2860" spans="2:13" hidden="1" outlineLevel="2" x14ac:dyDescent="0.2">
      <c r="B2860" t="str">
        <f>+C2860&amp;D2860&amp;E2860&amp;F2860</f>
        <v>GlobalPlant capexAnnualisation factor#</v>
      </c>
      <c r="C2860" s="494" t="s">
        <v>109</v>
      </c>
      <c r="D2860" t="s">
        <v>786</v>
      </c>
      <c r="E2860" t="s">
        <v>764</v>
      </c>
      <c r="F2860" s="450" t="s">
        <v>787</v>
      </c>
      <c r="G2860" s="532">
        <f>+INDEX('Fuel Model -  Input'!$B$3:$N$373,MATCH($B2860,'Fuel Model -  Input'!$B$3:$B$373,0),MATCH(G$2,'Fuel Model -  Input'!$B$3:$N$3,0))</f>
        <v>11.32075471698113</v>
      </c>
      <c r="H2860" s="532">
        <f>+INDEX('Fuel Model -  Input'!$B$3:$N$373,MATCH($B2860,'Fuel Model -  Input'!$B$3:$B$373,0),MATCH(H$2,'Fuel Model -  Input'!$B$3:$N$3,0))</f>
        <v>11.32075471698113</v>
      </c>
      <c r="I2860" s="532">
        <f>+INDEX('Fuel Model -  Input'!$B$3:$N$373,MATCH($B2860,'Fuel Model -  Input'!$B$3:$B$373,0),MATCH(I$2,'Fuel Model -  Input'!$B$3:$N$3,0))</f>
        <v>11.32075471698113</v>
      </c>
      <c r="J2860" s="532">
        <f>+INDEX('Fuel Model -  Input'!$B$3:$N$373,MATCH($B2860,'Fuel Model -  Input'!$B$3:$B$373,0),MATCH(J$2,'Fuel Model -  Input'!$B$3:$N$3,0))</f>
        <v>11.32075471698113</v>
      </c>
      <c r="K2860" s="532">
        <f>+INDEX('Fuel Model -  Input'!$B$3:$N$373,MATCH($B2860,'Fuel Model -  Input'!$B$3:$B$373,0),MATCH(K$2,'Fuel Model -  Input'!$B$3:$N$3,0))</f>
        <v>11.32075471698113</v>
      </c>
      <c r="L2860" s="532">
        <f>+INDEX('Fuel Model -  Input'!$B$3:$N$373,MATCH($B2860,'Fuel Model -  Input'!$B$3:$B$373,0),MATCH(L$2,'Fuel Model -  Input'!$B$3:$N$3,0))</f>
        <v>11.32075471698113</v>
      </c>
      <c r="M2860" s="532">
        <f>+INDEX('Fuel Model -  Input'!$B$3:$N$373,MATCH($B2860,'Fuel Model -  Input'!$B$3:$B$373,0),MATCH(M$2,'Fuel Model -  Input'!$B$3:$N$3,0))</f>
        <v>11.32075471698113</v>
      </c>
    </row>
    <row r="2861" spans="2:13" hidden="1" outlineLevel="2" x14ac:dyDescent="0.2">
      <c r="B2861" t="str">
        <f>+C2861&amp;D2861&amp;E2861&amp;F2861</f>
        <v>GlobalCAPEXHTL plantUSD/ton HTL oil capacity</v>
      </c>
      <c r="C2861" s="494" t="s">
        <v>109</v>
      </c>
      <c r="D2861" t="s">
        <v>50</v>
      </c>
      <c r="E2861" t="s">
        <v>1291</v>
      </c>
      <c r="F2861" s="157" t="s">
        <v>1292</v>
      </c>
      <c r="G2861" s="532">
        <f>+INDEX('Fuel Model -  Input'!$B$3:$N$373,MATCH($B2861,'Fuel Model -  Input'!$B$3:$B$373,0),MATCH(G$2,'Fuel Model -  Input'!$B$3:$N$3,0))</f>
        <v>14883.337289869958</v>
      </c>
      <c r="H2861" s="532">
        <f>+INDEX('Fuel Model -  Input'!$B$3:$N$373,MATCH($B2861,'Fuel Model -  Input'!$B$3:$B$373,0),MATCH(H$2,'Fuel Model -  Input'!$B$3:$N$3,0))</f>
        <v>8930.0023739219741</v>
      </c>
      <c r="I2861" s="532">
        <f>+INDEX('Fuel Model -  Input'!$B$3:$N$373,MATCH($B2861,'Fuel Model -  Input'!$B$3:$B$373,0),MATCH(I$2,'Fuel Model -  Input'!$B$3:$N$3,0))</f>
        <v>2976.6674579739915</v>
      </c>
      <c r="J2861" s="532">
        <f>+INDEX('Fuel Model -  Input'!$B$3:$N$373,MATCH($B2861,'Fuel Model -  Input'!$B$3:$B$373,0),MATCH(J$2,'Fuel Model -  Input'!$B$3:$N$3,0))</f>
        <v>2798.0674104955519</v>
      </c>
      <c r="K2861" s="532">
        <f>+INDEX('Fuel Model -  Input'!$B$3:$N$373,MATCH($B2861,'Fuel Model -  Input'!$B$3:$B$373,0),MATCH(K$2,'Fuel Model -  Input'!$B$3:$N$3,0))</f>
        <v>2708.7673867563321</v>
      </c>
      <c r="L2861" s="532">
        <f>+INDEX('Fuel Model -  Input'!$B$3:$N$373,MATCH($B2861,'Fuel Model -  Input'!$B$3:$B$373,0),MATCH(L$2,'Fuel Model -  Input'!$B$3:$N$3,0))</f>
        <v>2619.4673630171123</v>
      </c>
      <c r="M2861" s="532">
        <f>+INDEX('Fuel Model -  Input'!$B$3:$N$373,MATCH($B2861,'Fuel Model -  Input'!$B$3:$B$373,0),MATCH(M$2,'Fuel Model -  Input'!$B$3:$N$3,0))</f>
        <v>2530.1673392778926</v>
      </c>
    </row>
    <row r="2862" spans="2:13" hidden="1" outlineLevel="2" x14ac:dyDescent="0.2">
      <c r="C2862" s="494"/>
      <c r="E2862" s="48"/>
      <c r="F2862" s="128"/>
      <c r="G2862" s="524"/>
      <c r="H2862" s="524"/>
      <c r="I2862" s="524"/>
      <c r="J2862" s="524"/>
      <c r="K2862" s="524"/>
      <c r="L2862" s="524"/>
      <c r="M2862" s="524"/>
    </row>
    <row r="2863" spans="2:13" hidden="1" outlineLevel="2" x14ac:dyDescent="0.2">
      <c r="B2863" t="str">
        <f>+C2863&amp;D2863&amp;E2863&amp;F2863</f>
        <v>GlobalOPEXPlant opexUSD/ton HTL oil</v>
      </c>
      <c r="C2863" s="494" t="s">
        <v>109</v>
      </c>
      <c r="D2863" t="s">
        <v>319</v>
      </c>
      <c r="E2863" t="s">
        <v>1293</v>
      </c>
      <c r="F2863" s="128" t="s">
        <v>1294</v>
      </c>
      <c r="G2863" s="532">
        <f>+INDEX('Fuel Model -  Input'!$B$3:$N$373,MATCH($B2863,'Fuel Model -  Input'!$B$3:$B$373,0),MATCH(G$2,'Fuel Model -  Input'!$B$3:$N$3,0))</f>
        <v>4821.1718011339271</v>
      </c>
      <c r="H2863" s="532">
        <f>+INDEX('Fuel Model -  Input'!$B$3:$N$373,MATCH($B2863,'Fuel Model -  Input'!$B$3:$B$373,0),MATCH(H$2,'Fuel Model -  Input'!$B$3:$N$3,0))</f>
        <v>964.23436022678538</v>
      </c>
      <c r="I2863" s="532">
        <f>+INDEX('Fuel Model -  Input'!$B$3:$N$373,MATCH($B2863,'Fuel Model -  Input'!$B$3:$B$373,0),MATCH(I$2,'Fuel Model -  Input'!$B$3:$N$3,0))</f>
        <v>321.41145340892848</v>
      </c>
      <c r="J2863" s="532">
        <f>+INDEX('Fuel Model -  Input'!$B$3:$N$373,MATCH($B2863,'Fuel Model -  Input'!$B$3:$B$373,0),MATCH(J$2,'Fuel Model -  Input'!$B$3:$N$3,0))</f>
        <v>302.12676620439277</v>
      </c>
      <c r="K2863" s="532">
        <f>+INDEX('Fuel Model -  Input'!$B$3:$N$373,MATCH($B2863,'Fuel Model -  Input'!$B$3:$B$373,0),MATCH(K$2,'Fuel Model -  Input'!$B$3:$N$3,0))</f>
        <v>292.48442260212494</v>
      </c>
      <c r="L2863" s="532">
        <f>+INDEX('Fuel Model -  Input'!$B$3:$N$373,MATCH($B2863,'Fuel Model -  Input'!$B$3:$B$373,0),MATCH(L$2,'Fuel Model -  Input'!$B$3:$N$3,0))</f>
        <v>282.84207899985711</v>
      </c>
      <c r="M2863" s="532">
        <f>+INDEX('Fuel Model -  Input'!$B$3:$N$373,MATCH($B2863,'Fuel Model -  Input'!$B$3:$B$373,0),MATCH(M$2,'Fuel Model -  Input'!$B$3:$N$3,0))</f>
        <v>273.19973539758922</v>
      </c>
    </row>
    <row r="2864" spans="2:13" hidden="1" outlineLevel="2" x14ac:dyDescent="0.2">
      <c r="C2864" s="494"/>
      <c r="E2864" s="48"/>
      <c r="F2864" s="128"/>
      <c r="G2864" s="520"/>
      <c r="H2864" s="520"/>
      <c r="I2864" s="520"/>
      <c r="J2864" s="520"/>
      <c r="K2864" s="520"/>
      <c r="L2864" s="520"/>
      <c r="M2864" s="520"/>
    </row>
    <row r="2865" spans="2:13" hidden="1" outlineLevel="2" x14ac:dyDescent="0.2">
      <c r="B2865" t="str">
        <f>+C2865&amp;D2865&amp;E2865&amp;F2865</f>
        <v>Middle EastElectricityTotal electricityUSD/ ton HTL oil</v>
      </c>
      <c r="C2865" s="494" t="str">
        <f>+$C$2852</f>
        <v>Middle East</v>
      </c>
      <c r="D2865" t="s">
        <v>54</v>
      </c>
      <c r="E2865" s="48" t="s">
        <v>1295</v>
      </c>
      <c r="F2865" s="128" t="s">
        <v>1296</v>
      </c>
      <c r="G2865" s="8">
        <f t="shared" ref="G2865:M2865" si="1617">G2867*G2866</f>
        <v>33.555632415643338</v>
      </c>
      <c r="H2865" s="8">
        <f t="shared" si="1617"/>
        <v>27.017532576158093</v>
      </c>
      <c r="I2865" s="8">
        <f t="shared" si="1617"/>
        <v>22.605707379829621</v>
      </c>
      <c r="J2865" s="8">
        <f t="shared" si="1617"/>
        <v>19.49271869560026</v>
      </c>
      <c r="K2865" s="8">
        <f t="shared" si="1617"/>
        <v>17.907277561987673</v>
      </c>
      <c r="L2865" s="8">
        <f t="shared" si="1617"/>
        <v>15.863447245827011</v>
      </c>
      <c r="M2865" s="8">
        <f t="shared" si="1617"/>
        <v>14.882412266220379</v>
      </c>
    </row>
    <row r="2866" spans="2:13" hidden="1" outlineLevel="2" x14ac:dyDescent="0.2">
      <c r="B2866" t="str">
        <f>+C2866&amp;D2866&amp;E2866&amp;F2866</f>
        <v>GlobalFeedstockHTL plant electricity demandMWh/ton fuel</v>
      </c>
      <c r="C2866" s="494" t="s">
        <v>109</v>
      </c>
      <c r="D2866" t="s">
        <v>777</v>
      </c>
      <c r="E2866" t="s">
        <v>1297</v>
      </c>
      <c r="F2866" t="s">
        <v>1298</v>
      </c>
      <c r="G2866" s="521">
        <f>INDEX('Fuel Model -  Input'!$B$3:$N$373,MATCH($B2866,'Fuel Model -  Input'!$B$3:$B$373,0),MATCH(G$2,'Fuel Model -  Input'!$B$3:$N$3,0))</f>
        <v>0.80044621912790992</v>
      </c>
      <c r="H2866" s="521">
        <f>INDEX('Fuel Model -  Input'!$B$3:$N$373,MATCH($B2866,'Fuel Model -  Input'!$B$3:$B$373,0),MATCH(H$2,'Fuel Model -  Input'!$B$3:$N$3,0))</f>
        <v>0.80044621912790992</v>
      </c>
      <c r="I2866" s="521">
        <f>INDEX('Fuel Model -  Input'!$B$3:$N$373,MATCH($B2866,'Fuel Model -  Input'!$B$3:$B$373,0),MATCH(I$2,'Fuel Model -  Input'!$B$3:$N$3,0))</f>
        <v>0.79751787885447367</v>
      </c>
      <c r="J2866" s="521">
        <f>INDEX('Fuel Model -  Input'!$B$3:$N$373,MATCH($B2866,'Fuel Model -  Input'!$B$3:$B$373,0),MATCH(J$2,'Fuel Model -  Input'!$B$3:$N$3,0))</f>
        <v>0.79458953858103754</v>
      </c>
      <c r="K2866" s="521">
        <f>INDEX('Fuel Model -  Input'!$B$3:$N$373,MATCH($B2866,'Fuel Model -  Input'!$B$3:$B$373,0),MATCH(K$2,'Fuel Model -  Input'!$B$3:$N$3,0))</f>
        <v>0.79166119830760129</v>
      </c>
      <c r="L2866" s="521">
        <f>INDEX('Fuel Model -  Input'!$B$3:$N$373,MATCH($B2866,'Fuel Model -  Input'!$B$3:$B$373,0),MATCH(L$2,'Fuel Model -  Input'!$B$3:$N$3,0))</f>
        <v>0.78873285803416515</v>
      </c>
      <c r="M2866" s="521">
        <f>INDEX('Fuel Model -  Input'!$B$3:$N$373,MATCH($B2866,'Fuel Model -  Input'!$B$3:$B$373,0),MATCH(M$2,'Fuel Model -  Input'!$B$3:$N$3,0))</f>
        <v>0.7858045177607289</v>
      </c>
    </row>
    <row r="2867" spans="2:13" hidden="1" outlineLevel="2" x14ac:dyDescent="0.2">
      <c r="B2867" t="str">
        <f>+C2867&amp;D2867&amp;E2867&amp;F2867</f>
        <v>Middle EastFeedstockElectricityUSD/MWh</v>
      </c>
      <c r="C2867" s="494" t="str">
        <f>+$C$2852</f>
        <v>Middle East</v>
      </c>
      <c r="D2867" t="s">
        <v>777</v>
      </c>
      <c r="E2867" s="48" t="s">
        <v>54</v>
      </c>
      <c r="F2867" s="128" t="s">
        <v>196</v>
      </c>
      <c r="G2867" s="532">
        <f>INDEX('Fuel Model -  Input'!$B$3:$N$373,MATCH($B2867,'Fuel Model -  Input'!$B$3:$B$373,0),MATCH(G$2,'Fuel Model -  Input'!$B$3:$N$3,0))</f>
        <v>41.921157991354328</v>
      </c>
      <c r="H2867" s="532">
        <f>INDEX('Fuel Model -  Input'!$B$3:$N$373,MATCH($B2867,'Fuel Model -  Input'!$B$3:$B$373,0),MATCH(H$2,'Fuel Model -  Input'!$B$3:$N$3,0))</f>
        <v>33.753089127704079</v>
      </c>
      <c r="I2867" s="532">
        <f>INDEX('Fuel Model -  Input'!$B$3:$N$373,MATCH($B2867,'Fuel Model -  Input'!$B$3:$B$373,0),MATCH(I$2,'Fuel Model -  Input'!$B$3:$N$3,0))</f>
        <v>28.34507912512213</v>
      </c>
      <c r="J2867" s="532">
        <f>INDEX('Fuel Model -  Input'!$B$3:$N$373,MATCH($B2867,'Fuel Model -  Input'!$B$3:$B$373,0),MATCH(J$2,'Fuel Model -  Input'!$B$3:$N$3,0))</f>
        <v>24.531808876328746</v>
      </c>
      <c r="K2867" s="532">
        <f>INDEX('Fuel Model -  Input'!$B$3:$N$373,MATCH($B2867,'Fuel Model -  Input'!$B$3:$B$373,0),MATCH(K$2,'Fuel Model -  Input'!$B$3:$N$3,0))</f>
        <v>22.619875270215999</v>
      </c>
      <c r="L2867" s="532">
        <f>INDEX('Fuel Model -  Input'!$B$3:$N$373,MATCH($B2867,'Fuel Model -  Input'!$B$3:$B$373,0),MATCH(L$2,'Fuel Model -  Input'!$B$3:$N$3,0))</f>
        <v>20.112573077486601</v>
      </c>
      <c r="M2867" s="532">
        <f>INDEX('Fuel Model -  Input'!$B$3:$N$373,MATCH($B2867,'Fuel Model -  Input'!$B$3:$B$373,0),MATCH(M$2,'Fuel Model -  Input'!$B$3:$N$3,0))</f>
        <v>18.93907699669392</v>
      </c>
    </row>
    <row r="2868" spans="2:13" hidden="1" outlineLevel="2" x14ac:dyDescent="0.2">
      <c r="C2868" s="494"/>
      <c r="E2868" s="48"/>
      <c r="F2868" s="128"/>
      <c r="G2868" s="520"/>
      <c r="H2868" s="520"/>
      <c r="I2868" s="520"/>
      <c r="J2868" s="520"/>
      <c r="K2868" s="520"/>
      <c r="L2868" s="520"/>
      <c r="M2868" s="520"/>
    </row>
    <row r="2869" spans="2:13" hidden="1" outlineLevel="2" x14ac:dyDescent="0.2">
      <c r="B2869" t="str">
        <f t="shared" ref="B2869:B2877" si="1618">+C2869&amp;D2869&amp;E2869&amp;F2869</f>
        <v>Middle EastElectricityTotal hydrogenUSD/ ton HTL oil</v>
      </c>
      <c r="C2869" s="494" t="str">
        <f>+$C$2852</f>
        <v>Middle East</v>
      </c>
      <c r="D2869" t="s">
        <v>54</v>
      </c>
      <c r="E2869" s="48" t="s">
        <v>1299</v>
      </c>
      <c r="F2869" s="128" t="s">
        <v>1296</v>
      </c>
      <c r="G2869" s="8">
        <f>G2871*G2870</f>
        <v>354.13359554527119</v>
      </c>
      <c r="H2869" s="8">
        <f t="shared" ref="H2869" si="1619">H2871*H2870</f>
        <v>163.65625</v>
      </c>
      <c r="I2869" s="8">
        <f t="shared" ref="I2869" si="1620">I2871*I2870</f>
        <v>84.46087888055078</v>
      </c>
      <c r="J2869" s="8">
        <f t="shared" ref="J2869" si="1621">J2871*J2870</f>
        <v>101.28682019318668</v>
      </c>
      <c r="K2869" s="8">
        <f t="shared" ref="K2869" si="1622">K2871*K2870</f>
        <v>101.25455100770509</v>
      </c>
      <c r="L2869" s="8">
        <f t="shared" ref="L2869" si="1623">L2871*L2870</f>
        <v>97.75411029304864</v>
      </c>
      <c r="M2869" s="8">
        <f t="shared" ref="M2869" si="1624">M2871*M2870</f>
        <v>83.171000957126836</v>
      </c>
    </row>
    <row r="2870" spans="2:13" hidden="1" outlineLevel="2" x14ac:dyDescent="0.2">
      <c r="B2870" t="str">
        <f t="shared" si="1618"/>
        <v>GlobalFeedstockConversion Hydrogen : HTL oilTon feedstock / ton fuel</v>
      </c>
      <c r="C2870" s="494" t="s">
        <v>109</v>
      </c>
      <c r="D2870" t="s">
        <v>777</v>
      </c>
      <c r="E2870" s="48" t="s">
        <v>1300</v>
      </c>
      <c r="F2870" s="128" t="s">
        <v>1241</v>
      </c>
      <c r="G2870" s="521">
        <f>INDEX('Fuel Model -  Input'!$B$3:$N$373,MATCH($B2870,'Fuel Model -  Input'!$B$3:$B$373,0),MATCH(G$2,'Fuel Model -  Input'!$B$3:$N$3,0))</f>
        <v>6.25E-2</v>
      </c>
      <c r="H2870" s="521">
        <f>INDEX('Fuel Model -  Input'!$B$3:$N$373,MATCH($B2870,'Fuel Model -  Input'!$B$3:$B$373,0),MATCH(H$2,'Fuel Model -  Input'!$B$3:$N$3,0))</f>
        <v>6.25E-2</v>
      </c>
      <c r="I2870" s="521">
        <f>INDEX('Fuel Model -  Input'!$B$3:$N$373,MATCH($B2870,'Fuel Model -  Input'!$B$3:$B$373,0),MATCH(I$2,'Fuel Model -  Input'!$B$3:$N$3,0))</f>
        <v>6.25E-2</v>
      </c>
      <c r="J2870" s="521">
        <f>INDEX('Fuel Model -  Input'!$B$3:$N$373,MATCH($B2870,'Fuel Model -  Input'!$B$3:$B$373,0),MATCH(J$2,'Fuel Model -  Input'!$B$3:$N$3,0))</f>
        <v>6.25E-2</v>
      </c>
      <c r="K2870" s="521">
        <f>INDEX('Fuel Model -  Input'!$B$3:$N$373,MATCH($B2870,'Fuel Model -  Input'!$B$3:$B$373,0),MATCH(K$2,'Fuel Model -  Input'!$B$3:$N$3,0))</f>
        <v>6.25E-2</v>
      </c>
      <c r="L2870" s="521">
        <f>INDEX('Fuel Model -  Input'!$B$3:$N$373,MATCH($B2870,'Fuel Model -  Input'!$B$3:$B$373,0),MATCH(L$2,'Fuel Model -  Input'!$B$3:$N$3,0))</f>
        <v>6.25E-2</v>
      </c>
      <c r="M2870" s="521">
        <f>INDEX('Fuel Model -  Input'!$B$3:$N$373,MATCH($B2870,'Fuel Model -  Input'!$B$3:$B$373,0),MATCH(M$2,'Fuel Model -  Input'!$B$3:$N$3,0))</f>
        <v>6.25E-2</v>
      </c>
    </row>
    <row r="2871" spans="2:13" hidden="1" outlineLevel="2" x14ac:dyDescent="0.2">
      <c r="B2871" t="str">
        <f t="shared" si="1618"/>
        <v>Middle EastFeedstockWeighted hydrogen costUSD/ton</v>
      </c>
      <c r="C2871" s="494" t="str">
        <f>+$C$2852</f>
        <v>Middle East</v>
      </c>
      <c r="D2871" t="s">
        <v>777</v>
      </c>
      <c r="E2871" s="48" t="s">
        <v>1301</v>
      </c>
      <c r="F2871" s="128" t="s">
        <v>205</v>
      </c>
      <c r="G2871" s="337">
        <f>SUMPRODUCT(G2872:G2874,G2875:G2877)</f>
        <v>5666.1375287243391</v>
      </c>
      <c r="H2871" s="337">
        <f t="shared" ref="H2871" si="1625">SUMPRODUCT(H2872:H2874,H2875:H2877)</f>
        <v>2618.5</v>
      </c>
      <c r="I2871" s="337">
        <f t="shared" ref="I2871" si="1626">SUMPRODUCT(I2872:I2874,I2875:I2877)</f>
        <v>1351.3740620888125</v>
      </c>
      <c r="J2871" s="337">
        <f t="shared" ref="J2871" si="1627">SUMPRODUCT(J2872:J2874,J2875:J2877)</f>
        <v>1620.589123090987</v>
      </c>
      <c r="K2871" s="337">
        <f t="shared" ref="K2871" si="1628">SUMPRODUCT(K2872:K2874,K2875:K2877)</f>
        <v>1620.0728161232814</v>
      </c>
      <c r="L2871" s="337">
        <f t="shared" ref="L2871" si="1629">SUMPRODUCT(L2872:L2874,L2875:L2877)</f>
        <v>1564.0657646887782</v>
      </c>
      <c r="M2871" s="337">
        <f t="shared" ref="M2871" si="1630">SUMPRODUCT(M2872:M2874,M2875:M2877)</f>
        <v>1330.7360153140294</v>
      </c>
    </row>
    <row r="2872" spans="2:13" hidden="1" outlineLevel="2" x14ac:dyDescent="0.2">
      <c r="B2872" t="str">
        <f t="shared" si="1618"/>
        <v>GlobalFeedstockHTL hydrogen fraction - Grey%</v>
      </c>
      <c r="C2872" s="494" t="s">
        <v>109</v>
      </c>
      <c r="D2872" t="s">
        <v>777</v>
      </c>
      <c r="E2872" s="48" t="s">
        <v>1302</v>
      </c>
      <c r="F2872" t="s">
        <v>178</v>
      </c>
      <c r="G2872" s="531">
        <f>INDEX('Fuel Model -  Input'!$B$3:$N$373,MATCH($B2872,'Fuel Model -  Input'!$B$3:$B$373,0),MATCH(G$2,'Fuel Model -  Input'!$B$3:$N$3,0))</f>
        <v>1</v>
      </c>
      <c r="H2872" s="531">
        <f>INDEX('Fuel Model -  Input'!$B$3:$N$373,MATCH($B2872,'Fuel Model -  Input'!$B$3:$B$373,0),MATCH(H$2,'Fuel Model -  Input'!$B$3:$N$3,0))</f>
        <v>0.7</v>
      </c>
      <c r="I2872" s="531">
        <f>INDEX('Fuel Model -  Input'!$B$3:$N$373,MATCH($B2872,'Fuel Model -  Input'!$B$3:$B$373,0),MATCH(I$2,'Fuel Model -  Input'!$B$3:$N$3,0))</f>
        <v>0.5</v>
      </c>
      <c r="J2872" s="531">
        <f>INDEX('Fuel Model -  Input'!$B$3:$N$373,MATCH($B2872,'Fuel Model -  Input'!$B$3:$B$373,0),MATCH(J$2,'Fuel Model -  Input'!$B$3:$N$3,0))</f>
        <v>0</v>
      </c>
      <c r="K2872" s="531">
        <f>INDEX('Fuel Model -  Input'!$B$3:$N$373,MATCH($B2872,'Fuel Model -  Input'!$B$3:$B$373,0),MATCH(K$2,'Fuel Model -  Input'!$B$3:$N$3,0))</f>
        <v>0</v>
      </c>
      <c r="L2872" s="531">
        <f>INDEX('Fuel Model -  Input'!$B$3:$N$373,MATCH($B2872,'Fuel Model -  Input'!$B$3:$B$373,0),MATCH(L$2,'Fuel Model -  Input'!$B$3:$N$3,0))</f>
        <v>0</v>
      </c>
      <c r="M2872" s="531">
        <f>INDEX('Fuel Model -  Input'!$B$3:$N$373,MATCH($B2872,'Fuel Model -  Input'!$B$3:$B$373,0),MATCH(M$2,'Fuel Model -  Input'!$B$3:$N$3,0))</f>
        <v>0</v>
      </c>
    </row>
    <row r="2873" spans="2:13" hidden="1" outlineLevel="2" x14ac:dyDescent="0.2">
      <c r="B2873" t="str">
        <f t="shared" si="1618"/>
        <v>GlobalFeedstockHTL hydrogen fraction - Blue%</v>
      </c>
      <c r="C2873" s="494" t="s">
        <v>109</v>
      </c>
      <c r="D2873" t="s">
        <v>777</v>
      </c>
      <c r="E2873" s="48" t="s">
        <v>1303</v>
      </c>
      <c r="F2873" t="s">
        <v>178</v>
      </c>
      <c r="G2873" s="531">
        <f>INDEX('Fuel Model -  Input'!$B$3:$N$373,MATCH($B2873,'Fuel Model -  Input'!$B$3:$B$373,0),MATCH(G$2,'Fuel Model -  Input'!$B$3:$N$3,0))</f>
        <v>0</v>
      </c>
      <c r="H2873" s="531">
        <f>INDEX('Fuel Model -  Input'!$B$3:$N$373,MATCH($B2873,'Fuel Model -  Input'!$B$3:$B$373,0),MATCH(H$2,'Fuel Model -  Input'!$B$3:$N$3,0))</f>
        <v>0.3</v>
      </c>
      <c r="I2873" s="531">
        <f>INDEX('Fuel Model -  Input'!$B$3:$N$373,MATCH($B2873,'Fuel Model -  Input'!$B$3:$B$373,0),MATCH(I$2,'Fuel Model -  Input'!$B$3:$N$3,0))</f>
        <v>0.5</v>
      </c>
      <c r="J2873" s="531">
        <f>INDEX('Fuel Model -  Input'!$B$3:$N$373,MATCH($B2873,'Fuel Model -  Input'!$B$3:$B$373,0),MATCH(J$2,'Fuel Model -  Input'!$B$3:$N$3,0))</f>
        <v>1</v>
      </c>
      <c r="K2873" s="531">
        <f>INDEX('Fuel Model -  Input'!$B$3:$N$373,MATCH($B2873,'Fuel Model -  Input'!$B$3:$B$373,0),MATCH(K$2,'Fuel Model -  Input'!$B$3:$N$3,0))</f>
        <v>0.9</v>
      </c>
      <c r="L2873" s="531">
        <f>INDEX('Fuel Model -  Input'!$B$3:$N$373,MATCH($B2873,'Fuel Model -  Input'!$B$3:$B$373,0),MATCH(L$2,'Fuel Model -  Input'!$B$3:$N$3,0))</f>
        <v>0.7</v>
      </c>
      <c r="M2873" s="531">
        <f>INDEX('Fuel Model -  Input'!$B$3:$N$373,MATCH($B2873,'Fuel Model -  Input'!$B$3:$B$373,0),MATCH(M$2,'Fuel Model -  Input'!$B$3:$N$3,0))</f>
        <v>0.2</v>
      </c>
    </row>
    <row r="2874" spans="2:13" hidden="1" outlineLevel="2" x14ac:dyDescent="0.2">
      <c r="B2874" t="str">
        <f t="shared" si="1618"/>
        <v>GlobalFeedstockHTL hydrogen fraction - Green%</v>
      </c>
      <c r="C2874" s="494" t="s">
        <v>109</v>
      </c>
      <c r="D2874" t="s">
        <v>777</v>
      </c>
      <c r="E2874" s="48" t="s">
        <v>1304</v>
      </c>
      <c r="F2874" t="s">
        <v>178</v>
      </c>
      <c r="G2874" s="531">
        <f>INDEX('Fuel Model -  Input'!$B$3:$N$373,MATCH($B2874,'Fuel Model -  Input'!$B$3:$B$373,0),MATCH(G$2,'Fuel Model -  Input'!$B$3:$N$3,0))</f>
        <v>0</v>
      </c>
      <c r="H2874" s="531">
        <f>INDEX('Fuel Model -  Input'!$B$3:$N$373,MATCH($B2874,'Fuel Model -  Input'!$B$3:$B$373,0),MATCH(H$2,'Fuel Model -  Input'!$B$3:$N$3,0))</f>
        <v>0</v>
      </c>
      <c r="I2874" s="531">
        <f>INDEX('Fuel Model -  Input'!$B$3:$N$373,MATCH($B2874,'Fuel Model -  Input'!$B$3:$B$373,0),MATCH(I$2,'Fuel Model -  Input'!$B$3:$N$3,0))</f>
        <v>0</v>
      </c>
      <c r="J2874" s="531">
        <f>INDEX('Fuel Model -  Input'!$B$3:$N$373,MATCH($B2874,'Fuel Model -  Input'!$B$3:$B$373,0),MATCH(J$2,'Fuel Model -  Input'!$B$3:$N$3,0))</f>
        <v>0</v>
      </c>
      <c r="K2874" s="531">
        <f>INDEX('Fuel Model -  Input'!$B$3:$N$373,MATCH($B2874,'Fuel Model -  Input'!$B$3:$B$373,0),MATCH(K$2,'Fuel Model -  Input'!$B$3:$N$3,0))</f>
        <v>0.1</v>
      </c>
      <c r="L2874" s="531">
        <f>INDEX('Fuel Model -  Input'!$B$3:$N$373,MATCH($B2874,'Fuel Model -  Input'!$B$3:$B$373,0),MATCH(L$2,'Fuel Model -  Input'!$B$3:$N$3,0))</f>
        <v>0.3</v>
      </c>
      <c r="M2874" s="531">
        <f>INDEX('Fuel Model -  Input'!$B$3:$N$373,MATCH($B2874,'Fuel Model -  Input'!$B$3:$B$373,0),MATCH(M$2,'Fuel Model -  Input'!$B$3:$N$3,0))</f>
        <v>0.8</v>
      </c>
    </row>
    <row r="2875" spans="2:13" hidden="1" outlineLevel="2" x14ac:dyDescent="0.2">
      <c r="B2875" t="str">
        <f t="shared" si="1618"/>
        <v>Middle EastResultsCost of Grey HydrogenUSD/ton</v>
      </c>
      <c r="C2875" s="494" t="str">
        <f>+$C$2852</f>
        <v>Middle East</v>
      </c>
      <c r="D2875" t="s">
        <v>838</v>
      </c>
      <c r="E2875" s="48" t="s">
        <v>1161</v>
      </c>
      <c r="F2875" s="128" t="s">
        <v>205</v>
      </c>
      <c r="G2875" s="532">
        <f t="shared" ref="G2875:M2877" si="1631">+INDEX(G$2:G$2521,MATCH($B2875,$B$2:$B$2521,0))</f>
        <v>5666.1375287243391</v>
      </c>
      <c r="H2875" s="532">
        <f t="shared" si="1631"/>
        <v>2416</v>
      </c>
      <c r="I2875" s="532">
        <f t="shared" si="1631"/>
        <v>1016.1546764513125</v>
      </c>
      <c r="J2875" s="532">
        <f t="shared" si="1631"/>
        <v>954.68075861598686</v>
      </c>
      <c r="K2875" s="532">
        <f t="shared" si="1631"/>
        <v>900.3159025965814</v>
      </c>
      <c r="L2875" s="532">
        <f t="shared" si="1631"/>
        <v>851.99804970439641</v>
      </c>
      <c r="M2875" s="532">
        <f t="shared" si="1631"/>
        <v>808.83333333333337</v>
      </c>
    </row>
    <row r="2876" spans="2:13" hidden="1" outlineLevel="2" x14ac:dyDescent="0.2">
      <c r="B2876" t="str">
        <f t="shared" si="1618"/>
        <v>Middle EastResultsCost of Blue HydrogenUSD/ton</v>
      </c>
      <c r="C2876" s="494" t="str">
        <f>+$C$2852</f>
        <v>Middle East</v>
      </c>
      <c r="D2876" t="s">
        <v>838</v>
      </c>
      <c r="E2876" s="48" t="s">
        <v>1200</v>
      </c>
      <c r="F2876" s="128" t="s">
        <v>205</v>
      </c>
      <c r="G2876" s="532">
        <f t="shared" si="1631"/>
        <v>6345.7297890743394</v>
      </c>
      <c r="H2876" s="532">
        <f t="shared" si="1631"/>
        <v>3091</v>
      </c>
      <c r="I2876" s="532">
        <f t="shared" si="1631"/>
        <v>1686.5934477263124</v>
      </c>
      <c r="J2876" s="532">
        <f t="shared" si="1631"/>
        <v>1620.589123090987</v>
      </c>
      <c r="K2876" s="532">
        <f t="shared" si="1631"/>
        <v>1561.7244739215814</v>
      </c>
      <c r="L2876" s="532">
        <f t="shared" si="1631"/>
        <v>1508.9372347543963</v>
      </c>
      <c r="M2876" s="532">
        <f t="shared" si="1631"/>
        <v>1461.3333333333335</v>
      </c>
    </row>
    <row r="2877" spans="2:13" hidden="1" outlineLevel="2" x14ac:dyDescent="0.2">
      <c r="B2877" t="str">
        <f t="shared" si="1618"/>
        <v>Middle EastResultsCost of e-HydrogenUSD/ton</v>
      </c>
      <c r="C2877" s="494" t="str">
        <f>+$C$2852</f>
        <v>Middle East</v>
      </c>
      <c r="D2877" t="s">
        <v>838</v>
      </c>
      <c r="E2877" s="48" t="s">
        <v>853</v>
      </c>
      <c r="F2877" s="128" t="s">
        <v>205</v>
      </c>
      <c r="G2877" s="532">
        <f t="shared" si="1631"/>
        <v>4033.8443316563344</v>
      </c>
      <c r="H2877" s="532">
        <f t="shared" si="1631"/>
        <v>3291.9371719670976</v>
      </c>
      <c r="I2877" s="532">
        <f t="shared" si="1631"/>
        <v>2750.1662484364051</v>
      </c>
      <c r="J2877" s="532">
        <f t="shared" si="1631"/>
        <v>2478.4794366977089</v>
      </c>
      <c r="K2877" s="532">
        <f t="shared" si="1631"/>
        <v>2145.2078959385808</v>
      </c>
      <c r="L2877" s="532">
        <f t="shared" si="1631"/>
        <v>1692.6990012023361</v>
      </c>
      <c r="M2877" s="532">
        <f t="shared" si="1631"/>
        <v>1298.0866858092033</v>
      </c>
    </row>
    <row r="2878" spans="2:13" hidden="1" outlineLevel="2" x14ac:dyDescent="0.2">
      <c r="C2878" s="494"/>
      <c r="E2878" s="48"/>
      <c r="F2878" s="128"/>
    </row>
    <row r="2879" spans="2:13" hidden="1" outlineLevel="2" x14ac:dyDescent="0.2">
      <c r="B2879" t="str">
        <f t="shared" ref="B2879:B2885" si="1632">+C2879&amp;D2879&amp;E2879&amp;F2879</f>
        <v>Middle EastFeedstockBiomass costUSD/ton Methanol</v>
      </c>
      <c r="C2879" s="494" t="str">
        <f>+$C$2852</f>
        <v>Middle East</v>
      </c>
      <c r="D2879" t="s">
        <v>777</v>
      </c>
      <c r="E2879" s="48" t="s">
        <v>1237</v>
      </c>
      <c r="F2879" s="128" t="s">
        <v>1229</v>
      </c>
      <c r="G2879" s="8">
        <f>+G2881*G2882*G2883+G2880*G2884*G2885</f>
        <v>276.36017180282732</v>
      </c>
      <c r="H2879" s="8">
        <f t="shared" ref="H2879" si="1633">+H2881*H2882*H2883+H2880*H2884*H2885</f>
        <v>280.68846628220854</v>
      </c>
      <c r="I2879" s="8">
        <f t="shared" ref="I2879" si="1634">+I2881*I2882*I2883+I2880*I2884*I2885</f>
        <v>285.01676076158969</v>
      </c>
      <c r="J2879" s="8">
        <f t="shared" ref="J2879" si="1635">+J2881*J2882*J2883+J2880*J2884*J2885</f>
        <v>289.34505524097085</v>
      </c>
      <c r="K2879" s="8">
        <f t="shared" ref="K2879" si="1636">+K2881*K2882*K2883+K2880*K2884*K2885</f>
        <v>294.7554233401973</v>
      </c>
      <c r="L2879" s="8">
        <f t="shared" ref="L2879" si="1637">+L2881*L2882*L2883+L2880*L2884*L2885</f>
        <v>299.08371781957845</v>
      </c>
      <c r="M2879" s="8">
        <f t="shared" ref="M2879" si="1638">+M2881*M2882*M2883+M2880*M2884*M2885</f>
        <v>303.41201229895967</v>
      </c>
    </row>
    <row r="2880" spans="2:13" hidden="1" outlineLevel="2" x14ac:dyDescent="0.2">
      <c r="B2880" t="str">
        <f t="shared" si="1632"/>
        <v>GlobalFeedstockDry wood biomass market share HTL%</v>
      </c>
      <c r="C2880" s="494" t="s">
        <v>109</v>
      </c>
      <c r="D2880" t="s">
        <v>777</v>
      </c>
      <c r="E2880" t="s">
        <v>1305</v>
      </c>
      <c r="F2880" t="s">
        <v>178</v>
      </c>
      <c r="G2880" s="531">
        <f>+INDEX('Fuel Model -  Input'!$B$3:$N$1312,MATCH($B2880,'Fuel Model -  Input'!$B$3:$B$1312,0),MATCH(G$2,'Fuel Model -  Input'!$B$3:$N$3,0))</f>
        <v>0.3</v>
      </c>
      <c r="H2880" s="531">
        <f>+INDEX('Fuel Model -  Input'!$B$3:$N$1312,MATCH($B2880,'Fuel Model -  Input'!$B$3:$B$1312,0),MATCH(H$2,'Fuel Model -  Input'!$B$3:$N$3,0))</f>
        <v>0.3</v>
      </c>
      <c r="I2880" s="531">
        <f>+INDEX('Fuel Model -  Input'!$B$3:$N$1312,MATCH($B2880,'Fuel Model -  Input'!$B$3:$B$1312,0),MATCH(I$2,'Fuel Model -  Input'!$B$3:$N$3,0))</f>
        <v>0.3</v>
      </c>
      <c r="J2880" s="531">
        <f>+INDEX('Fuel Model -  Input'!$B$3:$N$1312,MATCH($B2880,'Fuel Model -  Input'!$B$3:$B$1312,0),MATCH(J$2,'Fuel Model -  Input'!$B$3:$N$3,0))</f>
        <v>0.3</v>
      </c>
      <c r="K2880" s="531">
        <f>+INDEX('Fuel Model -  Input'!$B$3:$N$1312,MATCH($B2880,'Fuel Model -  Input'!$B$3:$B$1312,0),MATCH(K$2,'Fuel Model -  Input'!$B$3:$N$3,0))</f>
        <v>0.3</v>
      </c>
      <c r="L2880" s="531">
        <f>+INDEX('Fuel Model -  Input'!$B$3:$N$1312,MATCH($B2880,'Fuel Model -  Input'!$B$3:$B$1312,0),MATCH(L$2,'Fuel Model -  Input'!$B$3:$N$3,0))</f>
        <v>0.3</v>
      </c>
      <c r="M2880" s="531">
        <f>+INDEX('Fuel Model -  Input'!$B$3:$N$1312,MATCH($B2880,'Fuel Model -  Input'!$B$3:$B$1312,0),MATCH(M$2,'Fuel Model -  Input'!$B$3:$N$3,0))</f>
        <v>0.3</v>
      </c>
    </row>
    <row r="2881" spans="2:13" hidden="1" outlineLevel="2" x14ac:dyDescent="0.2">
      <c r="B2881" t="str">
        <f t="shared" si="1632"/>
        <v>GlobalFeedstockOrganic wet waste market share HTL%</v>
      </c>
      <c r="C2881" s="494" t="s">
        <v>109</v>
      </c>
      <c r="D2881" t="s">
        <v>777</v>
      </c>
      <c r="E2881" t="s">
        <v>1306</v>
      </c>
      <c r="F2881" t="s">
        <v>178</v>
      </c>
      <c r="G2881" s="531">
        <f>+INDEX('Fuel Model -  Input'!$B$3:$N$1312,MATCH($B2881,'Fuel Model -  Input'!$B$3:$B$1312,0),MATCH(G$2,'Fuel Model -  Input'!$B$3:$N$3,0))</f>
        <v>0.7</v>
      </c>
      <c r="H2881" s="531">
        <f>+INDEX('Fuel Model -  Input'!$B$3:$N$1312,MATCH($B2881,'Fuel Model -  Input'!$B$3:$B$1312,0),MATCH(H$2,'Fuel Model -  Input'!$B$3:$N$3,0))</f>
        <v>0.7</v>
      </c>
      <c r="I2881" s="531">
        <f>+INDEX('Fuel Model -  Input'!$B$3:$N$1312,MATCH($B2881,'Fuel Model -  Input'!$B$3:$B$1312,0),MATCH(I$2,'Fuel Model -  Input'!$B$3:$N$3,0))</f>
        <v>0.7</v>
      </c>
      <c r="J2881" s="531">
        <f>+INDEX('Fuel Model -  Input'!$B$3:$N$1312,MATCH($B2881,'Fuel Model -  Input'!$B$3:$B$1312,0),MATCH(J$2,'Fuel Model -  Input'!$B$3:$N$3,0))</f>
        <v>0.7</v>
      </c>
      <c r="K2881" s="531">
        <f>+INDEX('Fuel Model -  Input'!$B$3:$N$1312,MATCH($B2881,'Fuel Model -  Input'!$B$3:$B$1312,0),MATCH(K$2,'Fuel Model -  Input'!$B$3:$N$3,0))</f>
        <v>0.7</v>
      </c>
      <c r="L2881" s="531">
        <f>+INDEX('Fuel Model -  Input'!$B$3:$N$1312,MATCH($B2881,'Fuel Model -  Input'!$B$3:$B$1312,0),MATCH(L$2,'Fuel Model -  Input'!$B$3:$N$3,0))</f>
        <v>0.7</v>
      </c>
      <c r="M2881" s="531">
        <f>+INDEX('Fuel Model -  Input'!$B$3:$N$1312,MATCH($B2881,'Fuel Model -  Input'!$B$3:$B$1312,0),MATCH(M$2,'Fuel Model -  Input'!$B$3:$N$3,0))</f>
        <v>0.7</v>
      </c>
    </row>
    <row r="2882" spans="2:13" hidden="1" outlineLevel="2" x14ac:dyDescent="0.2">
      <c r="B2882" t="str">
        <f t="shared" si="1632"/>
        <v>GlobalFeedstockConversion Organic wet waste : HTL oilTon feedstock / ton fuel</v>
      </c>
      <c r="C2882" s="494" t="s">
        <v>109</v>
      </c>
      <c r="D2882" t="s">
        <v>777</v>
      </c>
      <c r="E2882" t="s">
        <v>1307</v>
      </c>
      <c r="F2882" s="128" t="s">
        <v>1241</v>
      </c>
      <c r="G2882" s="521">
        <f>INDEX('Fuel Model -  Input'!$B$3:$N$373,MATCH($B2882,'Fuel Model -  Input'!$B$3:$B$373,0),MATCH(G$2,'Fuel Model -  Input'!$B$3:$N$3,0))</f>
        <v>4.4642857142857135</v>
      </c>
      <c r="H2882" s="521">
        <f>INDEX('Fuel Model -  Input'!$B$3:$N$373,MATCH($B2882,'Fuel Model -  Input'!$B$3:$B$373,0),MATCH(H$2,'Fuel Model -  Input'!$B$3:$N$3,0))</f>
        <v>4.4642857142857135</v>
      </c>
      <c r="I2882" s="521">
        <f>INDEX('Fuel Model -  Input'!$B$3:$N$373,MATCH($B2882,'Fuel Model -  Input'!$B$3:$B$373,0),MATCH(I$2,'Fuel Model -  Input'!$B$3:$N$3,0))</f>
        <v>4.4642857142857135</v>
      </c>
      <c r="J2882" s="521">
        <f>INDEX('Fuel Model -  Input'!$B$3:$N$373,MATCH($B2882,'Fuel Model -  Input'!$B$3:$B$373,0),MATCH(J$2,'Fuel Model -  Input'!$B$3:$N$3,0))</f>
        <v>4.4642857142857135</v>
      </c>
      <c r="K2882" s="521">
        <f>INDEX('Fuel Model -  Input'!$B$3:$N$373,MATCH($B2882,'Fuel Model -  Input'!$B$3:$B$373,0),MATCH(K$2,'Fuel Model -  Input'!$B$3:$N$3,0))</f>
        <v>4.4642857142857135</v>
      </c>
      <c r="L2882" s="521">
        <f>INDEX('Fuel Model -  Input'!$B$3:$N$373,MATCH($B2882,'Fuel Model -  Input'!$B$3:$B$373,0),MATCH(L$2,'Fuel Model -  Input'!$B$3:$N$3,0))</f>
        <v>4.4642857142857135</v>
      </c>
      <c r="M2882" s="521">
        <f>INDEX('Fuel Model -  Input'!$B$3:$N$373,MATCH($B2882,'Fuel Model -  Input'!$B$3:$B$373,0),MATCH(M$2,'Fuel Model -  Input'!$B$3:$N$3,0))</f>
        <v>4.4642857142857135</v>
      </c>
    </row>
    <row r="2883" spans="2:13" hidden="1" outlineLevel="2" x14ac:dyDescent="0.2">
      <c r="B2883" t="str">
        <f t="shared" si="1632"/>
        <v>Middle EastFeedstockCost of Organic wet wasteUSD/ton</v>
      </c>
      <c r="C2883" s="494" t="str">
        <f>+$C$2852</f>
        <v>Middle East</v>
      </c>
      <c r="D2883" t="s">
        <v>777</v>
      </c>
      <c r="E2883" s="48" t="s">
        <v>1242</v>
      </c>
      <c r="F2883" s="450" t="s">
        <v>205</v>
      </c>
      <c r="G2883" s="532">
        <f>+INDEX('Fuel Model -  Input'!$B$3:$N$373,MATCH($B2883,'Fuel Model -  Input'!$B$3:$B$373,0),MATCH(G$2,'Fuel Model -  Input'!$B$3:$N$3,0))</f>
        <v>50</v>
      </c>
      <c r="H2883" s="532">
        <f>+INDEX('Fuel Model -  Input'!$B$3:$N$373,MATCH($B2883,'Fuel Model -  Input'!$B$3:$B$373,0),MATCH(H$2,'Fuel Model -  Input'!$B$3:$N$3,0))</f>
        <v>50</v>
      </c>
      <c r="I2883" s="532">
        <f>+INDEX('Fuel Model -  Input'!$B$3:$N$373,MATCH($B2883,'Fuel Model -  Input'!$B$3:$B$373,0),MATCH(I$2,'Fuel Model -  Input'!$B$3:$N$3,0))</f>
        <v>50</v>
      </c>
      <c r="J2883" s="532">
        <f>+INDEX('Fuel Model -  Input'!$B$3:$N$373,MATCH($B2883,'Fuel Model -  Input'!$B$3:$B$373,0),MATCH(J$2,'Fuel Model -  Input'!$B$3:$N$3,0))</f>
        <v>50</v>
      </c>
      <c r="K2883" s="532">
        <f>+INDEX('Fuel Model -  Input'!$B$3:$N$373,MATCH($B2883,'Fuel Model -  Input'!$B$3:$B$373,0),MATCH(K$2,'Fuel Model -  Input'!$B$3:$N$3,0))</f>
        <v>50</v>
      </c>
      <c r="L2883" s="532">
        <f>+INDEX('Fuel Model -  Input'!$B$3:$N$373,MATCH($B2883,'Fuel Model -  Input'!$B$3:$B$373,0),MATCH(L$2,'Fuel Model -  Input'!$B$3:$N$3,0))</f>
        <v>50</v>
      </c>
      <c r="M2883" s="532">
        <f>+INDEX('Fuel Model -  Input'!$B$3:$N$373,MATCH($B2883,'Fuel Model -  Input'!$B$3:$B$373,0),MATCH(M$2,'Fuel Model -  Input'!$B$3:$N$3,0))</f>
        <v>50</v>
      </c>
    </row>
    <row r="2884" spans="2:13" hidden="1" outlineLevel="2" x14ac:dyDescent="0.2">
      <c r="B2884" t="str">
        <f t="shared" si="1632"/>
        <v>GlobalFeedstockConversion Dry Wood biomass : HTL oilTon feedstock / ton fuel</v>
      </c>
      <c r="C2884" s="494" t="s">
        <v>109</v>
      </c>
      <c r="D2884" t="s">
        <v>777</v>
      </c>
      <c r="E2884" s="48" t="s">
        <v>1308</v>
      </c>
      <c r="F2884" s="128" t="s">
        <v>1241</v>
      </c>
      <c r="G2884" s="521">
        <f>INDEX('Fuel Model -  Input'!$B$3:$N$373,MATCH($B2884,'Fuel Model -  Input'!$B$3:$B$373,0),MATCH(G$2,'Fuel Model -  Input'!$B$3:$N$3,0))</f>
        <v>3.6069120661509726</v>
      </c>
      <c r="H2884" s="521">
        <f>INDEX('Fuel Model -  Input'!$B$3:$N$373,MATCH($B2884,'Fuel Model -  Input'!$B$3:$B$373,0),MATCH(H$2,'Fuel Model -  Input'!$B$3:$N$3,0))</f>
        <v>3.6069120661509726</v>
      </c>
      <c r="I2884" s="521">
        <f>INDEX('Fuel Model -  Input'!$B$3:$N$373,MATCH($B2884,'Fuel Model -  Input'!$B$3:$B$373,0),MATCH(I$2,'Fuel Model -  Input'!$B$3:$N$3,0))</f>
        <v>3.6069120661509726</v>
      </c>
      <c r="J2884" s="521">
        <f>INDEX('Fuel Model -  Input'!$B$3:$N$373,MATCH($B2884,'Fuel Model -  Input'!$B$3:$B$373,0),MATCH(J$2,'Fuel Model -  Input'!$B$3:$N$3,0))</f>
        <v>3.6069120661509726</v>
      </c>
      <c r="K2884" s="521">
        <f>INDEX('Fuel Model -  Input'!$B$3:$N$373,MATCH($B2884,'Fuel Model -  Input'!$B$3:$B$373,0),MATCH(K$2,'Fuel Model -  Input'!$B$3:$N$3,0))</f>
        <v>3.6069120661509726</v>
      </c>
      <c r="L2884" s="521">
        <f>INDEX('Fuel Model -  Input'!$B$3:$N$373,MATCH($B2884,'Fuel Model -  Input'!$B$3:$B$373,0),MATCH(L$2,'Fuel Model -  Input'!$B$3:$N$3,0))</f>
        <v>3.6069120661509726</v>
      </c>
      <c r="M2884" s="521">
        <f>INDEX('Fuel Model -  Input'!$B$3:$N$373,MATCH($B2884,'Fuel Model -  Input'!$B$3:$B$373,0),MATCH(M$2,'Fuel Model -  Input'!$B$3:$N$3,0))</f>
        <v>3.6069120661509726</v>
      </c>
    </row>
    <row r="2885" spans="2:13" hidden="1" outlineLevel="2" x14ac:dyDescent="0.2">
      <c r="B2885" t="str">
        <f t="shared" si="1632"/>
        <v>Middle EastFeedstockCost of Wood biomassUSD/ton Wood</v>
      </c>
      <c r="C2885" s="494" t="str">
        <f>+$C$2852</f>
        <v>Middle East</v>
      </c>
      <c r="D2885" t="s">
        <v>777</v>
      </c>
      <c r="E2885" s="48" t="s">
        <v>1244</v>
      </c>
      <c r="F2885" s="128" t="s">
        <v>1245</v>
      </c>
      <c r="G2885" s="532">
        <f>+INDEX('Fuel Model -  Input'!$B$3:$N$373,MATCH($B2885,'Fuel Model -  Input'!$B$3:$B$373,0),MATCH(G$2,'Fuel Model -  Input'!$B$3:$N$3,0))</f>
        <v>111</v>
      </c>
      <c r="H2885" s="532">
        <f>+INDEX('Fuel Model -  Input'!$B$3:$N$373,MATCH($B2885,'Fuel Model -  Input'!$B$3:$B$373,0),MATCH(H$2,'Fuel Model -  Input'!$B$3:$N$3,0))</f>
        <v>115</v>
      </c>
      <c r="I2885" s="532">
        <f>+INDEX('Fuel Model -  Input'!$B$3:$N$373,MATCH($B2885,'Fuel Model -  Input'!$B$3:$B$373,0),MATCH(I$2,'Fuel Model -  Input'!$B$3:$N$3,0))</f>
        <v>119</v>
      </c>
      <c r="J2885" s="532">
        <f>+INDEX('Fuel Model -  Input'!$B$3:$N$373,MATCH($B2885,'Fuel Model -  Input'!$B$3:$B$373,0),MATCH(J$2,'Fuel Model -  Input'!$B$3:$N$3,0))</f>
        <v>123</v>
      </c>
      <c r="K2885" s="532">
        <f>+INDEX('Fuel Model -  Input'!$B$3:$N$373,MATCH($B2885,'Fuel Model -  Input'!$B$3:$B$373,0),MATCH(K$2,'Fuel Model -  Input'!$B$3:$N$3,0))</f>
        <v>128</v>
      </c>
      <c r="L2885" s="532">
        <f>+INDEX('Fuel Model -  Input'!$B$3:$N$373,MATCH($B2885,'Fuel Model -  Input'!$B$3:$B$373,0),MATCH(L$2,'Fuel Model -  Input'!$B$3:$N$3,0))</f>
        <v>132</v>
      </c>
      <c r="M2885" s="532">
        <f>+INDEX('Fuel Model -  Input'!$B$3:$N$373,MATCH($B2885,'Fuel Model -  Input'!$B$3:$B$373,0),MATCH(M$2,'Fuel Model -  Input'!$B$3:$N$3,0))</f>
        <v>136</v>
      </c>
    </row>
    <row r="2886" spans="2:13" hidden="1" outlineLevel="1" x14ac:dyDescent="0.2">
      <c r="E2886" s="48"/>
      <c r="F2886" s="128"/>
    </row>
    <row r="2887" spans="2:13" s="30" customFormat="1" ht="15" hidden="1" outlineLevel="1" collapsed="1" x14ac:dyDescent="0.25">
      <c r="B2887" s="30" t="s">
        <v>198</v>
      </c>
      <c r="C2887" s="30" t="str">
        <f>+B2887</f>
        <v>Asia</v>
      </c>
    </row>
    <row r="2888" spans="2:13" ht="15" hidden="1" outlineLevel="2" x14ac:dyDescent="0.25">
      <c r="B2888" t="str">
        <f>+C2888&amp;D2888&amp;E2888&amp;F2888</f>
        <v>AsiaResultsTotal cost of Biodiesel (HtL)USD/ton</v>
      </c>
      <c r="C2888" s="494" t="str">
        <f>+$C$2887</f>
        <v>Asia</v>
      </c>
      <c r="D2888" s="30" t="s">
        <v>838</v>
      </c>
      <c r="E2888" s="405" t="s">
        <v>1283</v>
      </c>
      <c r="F2888" s="127" t="s">
        <v>205</v>
      </c>
      <c r="G2888" s="490">
        <f>+SUM(G2889:G2892)</f>
        <v>6830.3420629802004</v>
      </c>
      <c r="H2888" s="490">
        <f t="shared" ref="H2888" si="1639">+SUM(H2889:H2892)</f>
        <v>2238.5453168583863</v>
      </c>
      <c r="I2888" s="490">
        <f t="shared" ref="I2888" si="1640">+SUM(I2889:I2892)</f>
        <v>986.67669318684057</v>
      </c>
      <c r="J2888" s="490">
        <f t="shared" ref="J2888" si="1641">+SUM(J2889:J2892)</f>
        <v>967.14813007363568</v>
      </c>
      <c r="K2888" s="490">
        <f t="shared" ref="K2888" si="1642">+SUM(K2889:K2892)</f>
        <v>949.95231662801484</v>
      </c>
      <c r="L2888" s="490">
        <f t="shared" ref="L2888" si="1643">+SUM(L2889:L2892)</f>
        <v>925.71934798909729</v>
      </c>
      <c r="M2888" s="490">
        <f t="shared" ref="M2888" si="1644">+SUM(M2889:M2892)</f>
        <v>887.49575264178122</v>
      </c>
    </row>
    <row r="2889" spans="2:13" ht="15" hidden="1" outlineLevel="2" x14ac:dyDescent="0.25">
      <c r="B2889" t="str">
        <f>+C2889&amp;D2889&amp;E2889&amp;F2889</f>
        <v>AsiaResultsTotal Capex Biodiesel (HtL)USD/ton</v>
      </c>
      <c r="C2889" s="494" t="str">
        <f>+$C$2887</f>
        <v>Asia</v>
      </c>
      <c r="D2889" s="30" t="s">
        <v>838</v>
      </c>
      <c r="E2889" s="228" t="s">
        <v>1284</v>
      </c>
      <c r="F2889" s="127" t="s">
        <v>205</v>
      </c>
      <c r="G2889" s="490">
        <f>G2896/G2895</f>
        <v>1314.6947939385132</v>
      </c>
      <c r="H2889" s="490">
        <f t="shared" ref="H2889:M2889" si="1645">H2896/H2895</f>
        <v>788.81687636310789</v>
      </c>
      <c r="I2889" s="490">
        <f t="shared" si="1645"/>
        <v>262.93895878770263</v>
      </c>
      <c r="J2889" s="490">
        <f t="shared" si="1645"/>
        <v>247.16262126044049</v>
      </c>
      <c r="K2889" s="490">
        <f t="shared" si="1645"/>
        <v>239.2744524968094</v>
      </c>
      <c r="L2889" s="490">
        <f t="shared" si="1645"/>
        <v>231.38628373317832</v>
      </c>
      <c r="M2889" s="490">
        <f t="shared" si="1645"/>
        <v>223.49811496954723</v>
      </c>
    </row>
    <row r="2890" spans="2:13" ht="15" hidden="1" outlineLevel="2" x14ac:dyDescent="0.25">
      <c r="B2890" t="str">
        <f>+C2890&amp;D2890&amp;E2890&amp;F2890</f>
        <v>AsiaResultsTotal Opex Biodiesel (HtL)USD/ton</v>
      </c>
      <c r="C2890" s="494" t="str">
        <f>+$C$2887</f>
        <v>Asia</v>
      </c>
      <c r="D2890" s="30" t="s">
        <v>838</v>
      </c>
      <c r="E2890" s="228" t="s">
        <v>1285</v>
      </c>
      <c r="F2890" s="127" t="s">
        <v>205</v>
      </c>
      <c r="G2890" s="490">
        <f>+G2898</f>
        <v>4821.1718011339271</v>
      </c>
      <c r="H2890" s="490">
        <f t="shared" ref="H2890:M2890" si="1646">+H2898</f>
        <v>964.23436022678538</v>
      </c>
      <c r="I2890" s="490">
        <f t="shared" si="1646"/>
        <v>321.41145340892848</v>
      </c>
      <c r="J2890" s="490">
        <f t="shared" si="1646"/>
        <v>302.12676620439277</v>
      </c>
      <c r="K2890" s="490">
        <f t="shared" si="1646"/>
        <v>292.48442260212494</v>
      </c>
      <c r="L2890" s="490">
        <f t="shared" si="1646"/>
        <v>282.84207899985711</v>
      </c>
      <c r="M2890" s="490">
        <f t="shared" si="1646"/>
        <v>273.19973539758922</v>
      </c>
    </row>
    <row r="2891" spans="2:13" ht="15" hidden="1" outlineLevel="2" x14ac:dyDescent="0.25">
      <c r="B2891" t="str">
        <f>+C2891&amp;D2891&amp;E2891&amp;F2891</f>
        <v>AsiaResultsTotal RNE Biodiesel (HtL)USD/ton</v>
      </c>
      <c r="C2891" s="494" t="str">
        <f>+$C$2887</f>
        <v>Asia</v>
      </c>
      <c r="D2891" s="30" t="s">
        <v>838</v>
      </c>
      <c r="E2891" s="228" t="s">
        <v>1286</v>
      </c>
      <c r="F2891" s="127" t="s">
        <v>205</v>
      </c>
      <c r="G2891" s="490">
        <f>+G2900</f>
        <v>65.685966413008941</v>
      </c>
      <c r="H2891" s="490">
        <f t="shared" ref="H2891:M2891" si="1647">+H2900</f>
        <v>42.846456019786586</v>
      </c>
      <c r="I2891" s="490">
        <f t="shared" si="1647"/>
        <v>34.527335212508767</v>
      </c>
      <c r="J2891" s="490">
        <f t="shared" si="1647"/>
        <v>28.873052338614396</v>
      </c>
      <c r="K2891" s="490">
        <f t="shared" si="1647"/>
        <v>25.966684691680424</v>
      </c>
      <c r="L2891" s="490">
        <f t="shared" si="1647"/>
        <v>22.950678164777443</v>
      </c>
      <c r="M2891" s="490">
        <f t="shared" si="1647"/>
        <v>21.531387135277107</v>
      </c>
    </row>
    <row r="2892" spans="2:13" ht="15" hidden="1" outlineLevel="2" x14ac:dyDescent="0.25">
      <c r="B2892" t="str">
        <f>+C2892&amp;D2892&amp;E2892&amp;F2892</f>
        <v>AsiaResultsTotal Raw Material Biodiesel (HtL)USD/ton</v>
      </c>
      <c r="C2892" s="494" t="str">
        <f>+$C$2887</f>
        <v>Asia</v>
      </c>
      <c r="D2892" s="30" t="s">
        <v>838</v>
      </c>
      <c r="E2892" s="228" t="s">
        <v>1287</v>
      </c>
      <c r="F2892" s="127" t="s">
        <v>205</v>
      </c>
      <c r="G2892" s="490">
        <f>+G2904+G2914</f>
        <v>628.78950149475099</v>
      </c>
      <c r="H2892" s="490">
        <f t="shared" ref="H2892:M2892" si="1648">+H2904+H2914</f>
        <v>442.64762424870628</v>
      </c>
      <c r="I2892" s="490">
        <f t="shared" si="1648"/>
        <v>367.79894577770068</v>
      </c>
      <c r="J2892" s="490">
        <f t="shared" si="1648"/>
        <v>388.98569027018806</v>
      </c>
      <c r="K2892" s="490">
        <f t="shared" si="1648"/>
        <v>392.22675683740005</v>
      </c>
      <c r="L2892" s="490">
        <f t="shared" si="1648"/>
        <v>388.54030709128455</v>
      </c>
      <c r="M2892" s="490">
        <f t="shared" si="1648"/>
        <v>369.2665151393677</v>
      </c>
    </row>
    <row r="2893" spans="2:13" hidden="1" outlineLevel="2" x14ac:dyDescent="0.2">
      <c r="C2893" s="494"/>
      <c r="E2893" s="48"/>
      <c r="F2893" s="128"/>
      <c r="G2893" s="8"/>
      <c r="H2893" s="8"/>
      <c r="I2893" s="8"/>
      <c r="J2893" s="8"/>
      <c r="K2893" s="8"/>
      <c r="L2893" s="8"/>
      <c r="M2893" s="8"/>
    </row>
    <row r="2894" spans="2:13" hidden="1" outlineLevel="2" x14ac:dyDescent="0.2">
      <c r="B2894" t="str">
        <f>+C2894&amp;D2894&amp;E2894&amp;F2894</f>
        <v>AsiaHTL PlantAnnual capex (HTL)USD/ton HTL Oil</v>
      </c>
      <c r="C2894" s="494" t="str">
        <f>+$C$2887</f>
        <v>Asia</v>
      </c>
      <c r="D2894" t="s">
        <v>1288</v>
      </c>
      <c r="E2894" s="48" t="s">
        <v>1289</v>
      </c>
      <c r="F2894" s="128" t="s">
        <v>1290</v>
      </c>
      <c r="G2894" s="8">
        <f t="shared" ref="G2894:M2894" si="1649">G2896/G2895</f>
        <v>1314.6947939385132</v>
      </c>
      <c r="H2894" s="8">
        <f t="shared" si="1649"/>
        <v>788.81687636310789</v>
      </c>
      <c r="I2894" s="8">
        <f t="shared" si="1649"/>
        <v>262.93895878770263</v>
      </c>
      <c r="J2894" s="8">
        <f t="shared" si="1649"/>
        <v>247.16262126044049</v>
      </c>
      <c r="K2894" s="8">
        <f t="shared" si="1649"/>
        <v>239.2744524968094</v>
      </c>
      <c r="L2894" s="8">
        <f t="shared" si="1649"/>
        <v>231.38628373317832</v>
      </c>
      <c r="M2894" s="8">
        <f t="shared" si="1649"/>
        <v>223.49811496954723</v>
      </c>
    </row>
    <row r="2895" spans="2:13" hidden="1" outlineLevel="2" x14ac:dyDescent="0.2">
      <c r="B2895" t="str">
        <f>+C2895&amp;D2895&amp;E2895&amp;F2895</f>
        <v>GlobalPlant capexAnnualisation factor#</v>
      </c>
      <c r="C2895" s="494" t="s">
        <v>109</v>
      </c>
      <c r="D2895" t="s">
        <v>786</v>
      </c>
      <c r="E2895" t="s">
        <v>764</v>
      </c>
      <c r="F2895" s="450" t="s">
        <v>787</v>
      </c>
      <c r="G2895" s="532">
        <f>+INDEX('Fuel Model -  Input'!$B$3:$N$373,MATCH($B2895,'Fuel Model -  Input'!$B$3:$B$373,0),MATCH(G$2,'Fuel Model -  Input'!$B$3:$N$3,0))</f>
        <v>11.32075471698113</v>
      </c>
      <c r="H2895" s="532">
        <f>+INDEX('Fuel Model -  Input'!$B$3:$N$373,MATCH($B2895,'Fuel Model -  Input'!$B$3:$B$373,0),MATCH(H$2,'Fuel Model -  Input'!$B$3:$N$3,0))</f>
        <v>11.32075471698113</v>
      </c>
      <c r="I2895" s="532">
        <f>+INDEX('Fuel Model -  Input'!$B$3:$N$373,MATCH($B2895,'Fuel Model -  Input'!$B$3:$B$373,0),MATCH(I$2,'Fuel Model -  Input'!$B$3:$N$3,0))</f>
        <v>11.32075471698113</v>
      </c>
      <c r="J2895" s="532">
        <f>+INDEX('Fuel Model -  Input'!$B$3:$N$373,MATCH($B2895,'Fuel Model -  Input'!$B$3:$B$373,0),MATCH(J$2,'Fuel Model -  Input'!$B$3:$N$3,0))</f>
        <v>11.32075471698113</v>
      </c>
      <c r="K2895" s="532">
        <f>+INDEX('Fuel Model -  Input'!$B$3:$N$373,MATCH($B2895,'Fuel Model -  Input'!$B$3:$B$373,0),MATCH(K$2,'Fuel Model -  Input'!$B$3:$N$3,0))</f>
        <v>11.32075471698113</v>
      </c>
      <c r="L2895" s="532">
        <f>+INDEX('Fuel Model -  Input'!$B$3:$N$373,MATCH($B2895,'Fuel Model -  Input'!$B$3:$B$373,0),MATCH(L$2,'Fuel Model -  Input'!$B$3:$N$3,0))</f>
        <v>11.32075471698113</v>
      </c>
      <c r="M2895" s="532">
        <f>+INDEX('Fuel Model -  Input'!$B$3:$N$373,MATCH($B2895,'Fuel Model -  Input'!$B$3:$B$373,0),MATCH(M$2,'Fuel Model -  Input'!$B$3:$N$3,0))</f>
        <v>11.32075471698113</v>
      </c>
    </row>
    <row r="2896" spans="2:13" hidden="1" outlineLevel="2" x14ac:dyDescent="0.2">
      <c r="B2896" t="str">
        <f>+C2896&amp;D2896&amp;E2896&amp;F2896</f>
        <v>GlobalCAPEXHTL plantUSD/ton HTL oil capacity</v>
      </c>
      <c r="C2896" s="494" t="s">
        <v>109</v>
      </c>
      <c r="D2896" t="s">
        <v>50</v>
      </c>
      <c r="E2896" t="s">
        <v>1291</v>
      </c>
      <c r="F2896" s="157" t="s">
        <v>1292</v>
      </c>
      <c r="G2896" s="532">
        <f>+INDEX('Fuel Model -  Input'!$B$3:$N$373,MATCH($B2896,'Fuel Model -  Input'!$B$3:$B$373,0),MATCH(G$2,'Fuel Model -  Input'!$B$3:$N$3,0))</f>
        <v>14883.337289869958</v>
      </c>
      <c r="H2896" s="532">
        <f>+INDEX('Fuel Model -  Input'!$B$3:$N$373,MATCH($B2896,'Fuel Model -  Input'!$B$3:$B$373,0),MATCH(H$2,'Fuel Model -  Input'!$B$3:$N$3,0))</f>
        <v>8930.0023739219741</v>
      </c>
      <c r="I2896" s="532">
        <f>+INDEX('Fuel Model -  Input'!$B$3:$N$373,MATCH($B2896,'Fuel Model -  Input'!$B$3:$B$373,0),MATCH(I$2,'Fuel Model -  Input'!$B$3:$N$3,0))</f>
        <v>2976.6674579739915</v>
      </c>
      <c r="J2896" s="532">
        <f>+INDEX('Fuel Model -  Input'!$B$3:$N$373,MATCH($B2896,'Fuel Model -  Input'!$B$3:$B$373,0),MATCH(J$2,'Fuel Model -  Input'!$B$3:$N$3,0))</f>
        <v>2798.0674104955519</v>
      </c>
      <c r="K2896" s="532">
        <f>+INDEX('Fuel Model -  Input'!$B$3:$N$373,MATCH($B2896,'Fuel Model -  Input'!$B$3:$B$373,0),MATCH(K$2,'Fuel Model -  Input'!$B$3:$N$3,0))</f>
        <v>2708.7673867563321</v>
      </c>
      <c r="L2896" s="532">
        <f>+INDEX('Fuel Model -  Input'!$B$3:$N$373,MATCH($B2896,'Fuel Model -  Input'!$B$3:$B$373,0),MATCH(L$2,'Fuel Model -  Input'!$B$3:$N$3,0))</f>
        <v>2619.4673630171123</v>
      </c>
      <c r="M2896" s="532">
        <f>+INDEX('Fuel Model -  Input'!$B$3:$N$373,MATCH($B2896,'Fuel Model -  Input'!$B$3:$B$373,0),MATCH(M$2,'Fuel Model -  Input'!$B$3:$N$3,0))</f>
        <v>2530.1673392778926</v>
      </c>
    </row>
    <row r="2897" spans="2:13" hidden="1" outlineLevel="2" x14ac:dyDescent="0.2">
      <c r="C2897" s="494"/>
      <c r="E2897" s="48"/>
      <c r="F2897" s="128"/>
      <c r="G2897" s="524"/>
      <c r="H2897" s="524"/>
      <c r="I2897" s="524"/>
      <c r="J2897" s="524"/>
      <c r="K2897" s="524"/>
      <c r="L2897" s="524"/>
      <c r="M2897" s="524"/>
    </row>
    <row r="2898" spans="2:13" hidden="1" outlineLevel="2" x14ac:dyDescent="0.2">
      <c r="B2898" t="str">
        <f>+C2898&amp;D2898&amp;E2898&amp;F2898</f>
        <v>GlobalOPEXPlant opexUSD/ton HTL oil</v>
      </c>
      <c r="C2898" s="494" t="s">
        <v>109</v>
      </c>
      <c r="D2898" t="s">
        <v>319</v>
      </c>
      <c r="E2898" t="s">
        <v>1293</v>
      </c>
      <c r="F2898" s="128" t="s">
        <v>1294</v>
      </c>
      <c r="G2898" s="532">
        <f>+INDEX('Fuel Model -  Input'!$B$3:$N$373,MATCH($B2898,'Fuel Model -  Input'!$B$3:$B$373,0),MATCH(G$2,'Fuel Model -  Input'!$B$3:$N$3,0))</f>
        <v>4821.1718011339271</v>
      </c>
      <c r="H2898" s="532">
        <f>+INDEX('Fuel Model -  Input'!$B$3:$N$373,MATCH($B2898,'Fuel Model -  Input'!$B$3:$B$373,0),MATCH(H$2,'Fuel Model -  Input'!$B$3:$N$3,0))</f>
        <v>964.23436022678538</v>
      </c>
      <c r="I2898" s="532">
        <f>+INDEX('Fuel Model -  Input'!$B$3:$N$373,MATCH($B2898,'Fuel Model -  Input'!$B$3:$B$373,0),MATCH(I$2,'Fuel Model -  Input'!$B$3:$N$3,0))</f>
        <v>321.41145340892848</v>
      </c>
      <c r="J2898" s="532">
        <f>+INDEX('Fuel Model -  Input'!$B$3:$N$373,MATCH($B2898,'Fuel Model -  Input'!$B$3:$B$373,0),MATCH(J$2,'Fuel Model -  Input'!$B$3:$N$3,0))</f>
        <v>302.12676620439277</v>
      </c>
      <c r="K2898" s="532">
        <f>+INDEX('Fuel Model -  Input'!$B$3:$N$373,MATCH($B2898,'Fuel Model -  Input'!$B$3:$B$373,0),MATCH(K$2,'Fuel Model -  Input'!$B$3:$N$3,0))</f>
        <v>292.48442260212494</v>
      </c>
      <c r="L2898" s="532">
        <f>+INDEX('Fuel Model -  Input'!$B$3:$N$373,MATCH($B2898,'Fuel Model -  Input'!$B$3:$B$373,0),MATCH(L$2,'Fuel Model -  Input'!$B$3:$N$3,0))</f>
        <v>282.84207899985711</v>
      </c>
      <c r="M2898" s="532">
        <f>+INDEX('Fuel Model -  Input'!$B$3:$N$373,MATCH($B2898,'Fuel Model -  Input'!$B$3:$B$373,0),MATCH(M$2,'Fuel Model -  Input'!$B$3:$N$3,0))</f>
        <v>273.19973539758922</v>
      </c>
    </row>
    <row r="2899" spans="2:13" hidden="1" outlineLevel="2" x14ac:dyDescent="0.2">
      <c r="C2899" s="494"/>
      <c r="E2899" s="48"/>
      <c r="F2899" s="128"/>
      <c r="G2899" s="520"/>
      <c r="H2899" s="520"/>
      <c r="I2899" s="520"/>
      <c r="J2899" s="520"/>
      <c r="K2899" s="520"/>
      <c r="L2899" s="520"/>
      <c r="M2899" s="520"/>
    </row>
    <row r="2900" spans="2:13" hidden="1" outlineLevel="2" x14ac:dyDescent="0.2">
      <c r="B2900" t="str">
        <f>+C2900&amp;D2900&amp;E2900&amp;F2900</f>
        <v>AsiaElectricityTotal electricityUSD/ ton HTL oil</v>
      </c>
      <c r="C2900" s="494" t="str">
        <f>+$C$2887</f>
        <v>Asia</v>
      </c>
      <c r="D2900" t="s">
        <v>54</v>
      </c>
      <c r="E2900" s="48" t="s">
        <v>1295</v>
      </c>
      <c r="F2900" s="128" t="s">
        <v>1296</v>
      </c>
      <c r="G2900" s="8">
        <f t="shared" ref="G2900:M2900" si="1650">G2902*G2901</f>
        <v>65.685966413008941</v>
      </c>
      <c r="H2900" s="8">
        <f t="shared" si="1650"/>
        <v>42.846456019786586</v>
      </c>
      <c r="I2900" s="8">
        <f t="shared" si="1650"/>
        <v>34.527335212508767</v>
      </c>
      <c r="J2900" s="8">
        <f t="shared" si="1650"/>
        <v>28.873052338614396</v>
      </c>
      <c r="K2900" s="8">
        <f t="shared" si="1650"/>
        <v>25.966684691680424</v>
      </c>
      <c r="L2900" s="8">
        <f t="shared" si="1650"/>
        <v>22.950678164777443</v>
      </c>
      <c r="M2900" s="8">
        <f t="shared" si="1650"/>
        <v>21.531387135277107</v>
      </c>
    </row>
    <row r="2901" spans="2:13" hidden="1" outlineLevel="2" x14ac:dyDescent="0.2">
      <c r="B2901" t="str">
        <f>+C2901&amp;D2901&amp;E2901&amp;F2901</f>
        <v>GlobalFeedstockHTL plant electricity demandMWh/ton fuel</v>
      </c>
      <c r="C2901" s="494" t="s">
        <v>109</v>
      </c>
      <c r="D2901" t="s">
        <v>777</v>
      </c>
      <c r="E2901" t="s">
        <v>1297</v>
      </c>
      <c r="F2901" t="s">
        <v>1298</v>
      </c>
      <c r="G2901" s="521">
        <f>INDEX('Fuel Model -  Input'!$B$3:$N$373,MATCH($B2901,'Fuel Model -  Input'!$B$3:$B$373,0),MATCH(G$2,'Fuel Model -  Input'!$B$3:$N$3,0))</f>
        <v>0.80044621912790992</v>
      </c>
      <c r="H2901" s="521">
        <f>INDEX('Fuel Model -  Input'!$B$3:$N$373,MATCH($B2901,'Fuel Model -  Input'!$B$3:$B$373,0),MATCH(H$2,'Fuel Model -  Input'!$B$3:$N$3,0))</f>
        <v>0.80044621912790992</v>
      </c>
      <c r="I2901" s="521">
        <f>INDEX('Fuel Model -  Input'!$B$3:$N$373,MATCH($B2901,'Fuel Model -  Input'!$B$3:$B$373,0),MATCH(I$2,'Fuel Model -  Input'!$B$3:$N$3,0))</f>
        <v>0.79751787885447367</v>
      </c>
      <c r="J2901" s="521">
        <f>INDEX('Fuel Model -  Input'!$B$3:$N$373,MATCH($B2901,'Fuel Model -  Input'!$B$3:$B$373,0),MATCH(J$2,'Fuel Model -  Input'!$B$3:$N$3,0))</f>
        <v>0.79458953858103754</v>
      </c>
      <c r="K2901" s="521">
        <f>INDEX('Fuel Model -  Input'!$B$3:$N$373,MATCH($B2901,'Fuel Model -  Input'!$B$3:$B$373,0),MATCH(K$2,'Fuel Model -  Input'!$B$3:$N$3,0))</f>
        <v>0.79166119830760129</v>
      </c>
      <c r="L2901" s="521">
        <f>INDEX('Fuel Model -  Input'!$B$3:$N$373,MATCH($B2901,'Fuel Model -  Input'!$B$3:$B$373,0),MATCH(L$2,'Fuel Model -  Input'!$B$3:$N$3,0))</f>
        <v>0.78873285803416515</v>
      </c>
      <c r="M2901" s="521">
        <f>INDEX('Fuel Model -  Input'!$B$3:$N$373,MATCH($B2901,'Fuel Model -  Input'!$B$3:$B$373,0),MATCH(M$2,'Fuel Model -  Input'!$B$3:$N$3,0))</f>
        <v>0.7858045177607289</v>
      </c>
    </row>
    <row r="2902" spans="2:13" hidden="1" outlineLevel="2" x14ac:dyDescent="0.2">
      <c r="B2902" t="str">
        <f>+C2902&amp;D2902&amp;E2902&amp;F2902</f>
        <v>AsiaFeedstockElectricityUSD/MWh</v>
      </c>
      <c r="C2902" s="494" t="str">
        <f>+$C$2887</f>
        <v>Asia</v>
      </c>
      <c r="D2902" t="s">
        <v>777</v>
      </c>
      <c r="E2902" s="48" t="s">
        <v>54</v>
      </c>
      <c r="F2902" s="128" t="s">
        <v>196</v>
      </c>
      <c r="G2902" s="532">
        <f>INDEX('Fuel Model -  Input'!$B$3:$N$373,MATCH($B2902,'Fuel Model -  Input'!$B$3:$B$373,0),MATCH(G$2,'Fuel Model -  Input'!$B$3:$N$3,0))</f>
        <v>82.061686148726054</v>
      </c>
      <c r="H2902" s="532">
        <f>INDEX('Fuel Model -  Input'!$B$3:$N$373,MATCH($B2902,'Fuel Model -  Input'!$B$3:$B$373,0),MATCH(H$2,'Fuel Model -  Input'!$B$3:$N$3,0))</f>
        <v>53.528213383864831</v>
      </c>
      <c r="I2902" s="532">
        <f>INDEX('Fuel Model -  Input'!$B$3:$N$373,MATCH($B2902,'Fuel Model -  Input'!$B$3:$B$373,0),MATCH(I$2,'Fuel Model -  Input'!$B$3:$N$3,0))</f>
        <v>43.29349363565693</v>
      </c>
      <c r="J2902" s="532">
        <f>INDEX('Fuel Model -  Input'!$B$3:$N$373,MATCH($B2902,'Fuel Model -  Input'!$B$3:$B$373,0),MATCH(J$2,'Fuel Model -  Input'!$B$3:$N$3,0))</f>
        <v>36.337065788929628</v>
      </c>
      <c r="K2902" s="532">
        <f>INDEX('Fuel Model -  Input'!$B$3:$N$373,MATCH($B2902,'Fuel Model -  Input'!$B$3:$B$373,0),MATCH(K$2,'Fuel Model -  Input'!$B$3:$N$3,0))</f>
        <v>32.800249332911001</v>
      </c>
      <c r="L2902" s="532">
        <f>INDEX('Fuel Model -  Input'!$B$3:$N$373,MATCH($B2902,'Fuel Model -  Input'!$B$3:$B$373,0),MATCH(L$2,'Fuel Model -  Input'!$B$3:$N$3,0))</f>
        <v>29.0981641388437</v>
      </c>
      <c r="M2902" s="532">
        <f>INDEX('Fuel Model -  Input'!$B$3:$N$373,MATCH($B2902,'Fuel Model -  Input'!$B$3:$B$373,0),MATCH(M$2,'Fuel Model -  Input'!$B$3:$N$3,0))</f>
        <v>27.400436938991028</v>
      </c>
    </row>
    <row r="2903" spans="2:13" hidden="1" outlineLevel="2" x14ac:dyDescent="0.2">
      <c r="C2903" s="494"/>
      <c r="E2903" s="48"/>
      <c r="F2903" s="128"/>
      <c r="G2903" s="520"/>
      <c r="H2903" s="520"/>
      <c r="I2903" s="520"/>
      <c r="J2903" s="520"/>
      <c r="K2903" s="520"/>
      <c r="L2903" s="520"/>
      <c r="M2903" s="520"/>
    </row>
    <row r="2904" spans="2:13" hidden="1" outlineLevel="2" x14ac:dyDescent="0.2">
      <c r="B2904" t="str">
        <f t="shared" ref="B2904:B2912" si="1651">+C2904&amp;D2904&amp;E2904&amp;F2904</f>
        <v>AsiaElectricityTotal hydrogenUSD/ ton HTL oil</v>
      </c>
      <c r="C2904" s="494" t="str">
        <f>+$C$2887</f>
        <v>Asia</v>
      </c>
      <c r="D2904" t="s">
        <v>54</v>
      </c>
      <c r="E2904" s="48" t="s">
        <v>1299</v>
      </c>
      <c r="F2904" s="128" t="s">
        <v>1296</v>
      </c>
      <c r="G2904" s="8">
        <f>G2906*G2905</f>
        <v>398.95849534527122</v>
      </c>
      <c r="H2904" s="8">
        <f t="shared" ref="H2904" si="1652">H2906*H2905</f>
        <v>207.40625</v>
      </c>
      <c r="I2904" s="8">
        <f t="shared" ref="I2904" si="1653">I2906*I2905</f>
        <v>128.22927704961327</v>
      </c>
      <c r="J2904" s="8">
        <f t="shared" ref="J2904" si="1654">J2906*J2905</f>
        <v>144.00565344287418</v>
      </c>
      <c r="K2904" s="8">
        <f t="shared" ref="K2904" si="1655">K2906*K2905</f>
        <v>141.83635191085972</v>
      </c>
      <c r="L2904" s="8">
        <f t="shared" ref="L2904" si="1656">L2906*L2905</f>
        <v>133.82160768536306</v>
      </c>
      <c r="M2904" s="8">
        <f t="shared" ref="M2904" si="1657">M2906*M2905</f>
        <v>109.1374476342197</v>
      </c>
    </row>
    <row r="2905" spans="2:13" hidden="1" outlineLevel="2" x14ac:dyDescent="0.2">
      <c r="B2905" t="str">
        <f t="shared" si="1651"/>
        <v>GlobalFeedstockConversion Hydrogen : HTL oilTon feedstock / ton fuel</v>
      </c>
      <c r="C2905" s="494" t="s">
        <v>109</v>
      </c>
      <c r="D2905" t="s">
        <v>777</v>
      </c>
      <c r="E2905" s="48" t="s">
        <v>1300</v>
      </c>
      <c r="F2905" s="128" t="s">
        <v>1241</v>
      </c>
      <c r="G2905" s="521">
        <f>INDEX('Fuel Model -  Input'!$B$3:$N$373,MATCH($B2905,'Fuel Model -  Input'!$B$3:$B$373,0),MATCH(G$2,'Fuel Model -  Input'!$B$3:$N$3,0))</f>
        <v>6.25E-2</v>
      </c>
      <c r="H2905" s="521">
        <f>INDEX('Fuel Model -  Input'!$B$3:$N$373,MATCH($B2905,'Fuel Model -  Input'!$B$3:$B$373,0),MATCH(H$2,'Fuel Model -  Input'!$B$3:$N$3,0))</f>
        <v>6.25E-2</v>
      </c>
      <c r="I2905" s="521">
        <f>INDEX('Fuel Model -  Input'!$B$3:$N$373,MATCH($B2905,'Fuel Model -  Input'!$B$3:$B$373,0),MATCH(I$2,'Fuel Model -  Input'!$B$3:$N$3,0))</f>
        <v>6.25E-2</v>
      </c>
      <c r="J2905" s="521">
        <f>INDEX('Fuel Model -  Input'!$B$3:$N$373,MATCH($B2905,'Fuel Model -  Input'!$B$3:$B$373,0),MATCH(J$2,'Fuel Model -  Input'!$B$3:$N$3,0))</f>
        <v>6.25E-2</v>
      </c>
      <c r="K2905" s="521">
        <f>INDEX('Fuel Model -  Input'!$B$3:$N$373,MATCH($B2905,'Fuel Model -  Input'!$B$3:$B$373,0),MATCH(K$2,'Fuel Model -  Input'!$B$3:$N$3,0))</f>
        <v>6.25E-2</v>
      </c>
      <c r="L2905" s="521">
        <f>INDEX('Fuel Model -  Input'!$B$3:$N$373,MATCH($B2905,'Fuel Model -  Input'!$B$3:$B$373,0),MATCH(L$2,'Fuel Model -  Input'!$B$3:$N$3,0))</f>
        <v>6.25E-2</v>
      </c>
      <c r="M2905" s="521">
        <f>INDEX('Fuel Model -  Input'!$B$3:$N$373,MATCH($B2905,'Fuel Model -  Input'!$B$3:$B$373,0),MATCH(M$2,'Fuel Model -  Input'!$B$3:$N$3,0))</f>
        <v>6.25E-2</v>
      </c>
    </row>
    <row r="2906" spans="2:13" hidden="1" outlineLevel="2" x14ac:dyDescent="0.2">
      <c r="B2906" t="str">
        <f t="shared" si="1651"/>
        <v>AsiaFeedstockWeighted hydrogen costUSD/ton</v>
      </c>
      <c r="C2906" s="494" t="str">
        <f>+$C$2887</f>
        <v>Asia</v>
      </c>
      <c r="D2906" t="s">
        <v>777</v>
      </c>
      <c r="E2906" s="48" t="s">
        <v>1301</v>
      </c>
      <c r="F2906" s="128" t="s">
        <v>205</v>
      </c>
      <c r="G2906" s="337">
        <f>SUMPRODUCT(G2907:G2909,G2910:G2912)</f>
        <v>6383.3359255243395</v>
      </c>
      <c r="H2906" s="337">
        <f t="shared" ref="H2906" si="1658">SUMPRODUCT(H2907:H2909,H2910:H2912)</f>
        <v>3318.5</v>
      </c>
      <c r="I2906" s="337">
        <f t="shared" ref="I2906" si="1659">SUMPRODUCT(I2907:I2909,I2910:I2912)</f>
        <v>2051.6684327938124</v>
      </c>
      <c r="J2906" s="337">
        <f t="shared" ref="J2906" si="1660">SUMPRODUCT(J2907:J2909,J2910:J2912)</f>
        <v>2304.0904550859868</v>
      </c>
      <c r="K2906" s="337">
        <f t="shared" ref="K2906" si="1661">SUMPRODUCT(K2907:K2909,K2910:K2912)</f>
        <v>2269.3816305737555</v>
      </c>
      <c r="L2906" s="337">
        <f t="shared" ref="L2906" si="1662">SUMPRODUCT(L2907:L2909,L2910:L2912)</f>
        <v>2141.145722965809</v>
      </c>
      <c r="M2906" s="337">
        <f t="shared" ref="M2906" si="1663">SUMPRODUCT(M2907:M2909,M2910:M2912)</f>
        <v>1746.1991621475152</v>
      </c>
    </row>
    <row r="2907" spans="2:13" hidden="1" outlineLevel="2" x14ac:dyDescent="0.2">
      <c r="B2907" t="str">
        <f t="shared" si="1651"/>
        <v>GlobalFeedstockHTL hydrogen fraction - Grey%</v>
      </c>
      <c r="C2907" s="494" t="s">
        <v>109</v>
      </c>
      <c r="D2907" t="s">
        <v>777</v>
      </c>
      <c r="E2907" s="48" t="s">
        <v>1302</v>
      </c>
      <c r="F2907" t="s">
        <v>178</v>
      </c>
      <c r="G2907" s="531">
        <f>INDEX('Fuel Model -  Input'!$B$3:$N$373,MATCH($B2907,'Fuel Model -  Input'!$B$3:$B$373,0),MATCH(G$2,'Fuel Model -  Input'!$B$3:$N$3,0))</f>
        <v>1</v>
      </c>
      <c r="H2907" s="531">
        <f>INDEX('Fuel Model -  Input'!$B$3:$N$373,MATCH($B2907,'Fuel Model -  Input'!$B$3:$B$373,0),MATCH(H$2,'Fuel Model -  Input'!$B$3:$N$3,0))</f>
        <v>0.7</v>
      </c>
      <c r="I2907" s="531">
        <f>INDEX('Fuel Model -  Input'!$B$3:$N$373,MATCH($B2907,'Fuel Model -  Input'!$B$3:$B$373,0),MATCH(I$2,'Fuel Model -  Input'!$B$3:$N$3,0))</f>
        <v>0.5</v>
      </c>
      <c r="J2907" s="531">
        <f>INDEX('Fuel Model -  Input'!$B$3:$N$373,MATCH($B2907,'Fuel Model -  Input'!$B$3:$B$373,0),MATCH(J$2,'Fuel Model -  Input'!$B$3:$N$3,0))</f>
        <v>0</v>
      </c>
      <c r="K2907" s="531">
        <f>INDEX('Fuel Model -  Input'!$B$3:$N$373,MATCH($B2907,'Fuel Model -  Input'!$B$3:$B$373,0),MATCH(K$2,'Fuel Model -  Input'!$B$3:$N$3,0))</f>
        <v>0</v>
      </c>
      <c r="L2907" s="531">
        <f>INDEX('Fuel Model -  Input'!$B$3:$N$373,MATCH($B2907,'Fuel Model -  Input'!$B$3:$B$373,0),MATCH(L$2,'Fuel Model -  Input'!$B$3:$N$3,0))</f>
        <v>0</v>
      </c>
      <c r="M2907" s="531">
        <f>INDEX('Fuel Model -  Input'!$B$3:$N$373,MATCH($B2907,'Fuel Model -  Input'!$B$3:$B$373,0),MATCH(M$2,'Fuel Model -  Input'!$B$3:$N$3,0))</f>
        <v>0</v>
      </c>
    </row>
    <row r="2908" spans="2:13" hidden="1" outlineLevel="2" x14ac:dyDescent="0.2">
      <c r="B2908" t="str">
        <f t="shared" si="1651"/>
        <v>GlobalFeedstockHTL hydrogen fraction - Blue%</v>
      </c>
      <c r="C2908" s="494" t="s">
        <v>109</v>
      </c>
      <c r="D2908" t="s">
        <v>777</v>
      </c>
      <c r="E2908" s="48" t="s">
        <v>1303</v>
      </c>
      <c r="F2908" t="s">
        <v>178</v>
      </c>
      <c r="G2908" s="531">
        <f>INDEX('Fuel Model -  Input'!$B$3:$N$373,MATCH($B2908,'Fuel Model -  Input'!$B$3:$B$373,0),MATCH(G$2,'Fuel Model -  Input'!$B$3:$N$3,0))</f>
        <v>0</v>
      </c>
      <c r="H2908" s="531">
        <f>INDEX('Fuel Model -  Input'!$B$3:$N$373,MATCH($B2908,'Fuel Model -  Input'!$B$3:$B$373,0),MATCH(H$2,'Fuel Model -  Input'!$B$3:$N$3,0))</f>
        <v>0.3</v>
      </c>
      <c r="I2908" s="531">
        <f>INDEX('Fuel Model -  Input'!$B$3:$N$373,MATCH($B2908,'Fuel Model -  Input'!$B$3:$B$373,0),MATCH(I$2,'Fuel Model -  Input'!$B$3:$N$3,0))</f>
        <v>0.5</v>
      </c>
      <c r="J2908" s="531">
        <f>INDEX('Fuel Model -  Input'!$B$3:$N$373,MATCH($B2908,'Fuel Model -  Input'!$B$3:$B$373,0),MATCH(J$2,'Fuel Model -  Input'!$B$3:$N$3,0))</f>
        <v>1</v>
      </c>
      <c r="K2908" s="531">
        <f>INDEX('Fuel Model -  Input'!$B$3:$N$373,MATCH($B2908,'Fuel Model -  Input'!$B$3:$B$373,0),MATCH(K$2,'Fuel Model -  Input'!$B$3:$N$3,0))</f>
        <v>0.9</v>
      </c>
      <c r="L2908" s="531">
        <f>INDEX('Fuel Model -  Input'!$B$3:$N$373,MATCH($B2908,'Fuel Model -  Input'!$B$3:$B$373,0),MATCH(L$2,'Fuel Model -  Input'!$B$3:$N$3,0))</f>
        <v>0.7</v>
      </c>
      <c r="M2908" s="531">
        <f>INDEX('Fuel Model -  Input'!$B$3:$N$373,MATCH($B2908,'Fuel Model -  Input'!$B$3:$B$373,0),MATCH(M$2,'Fuel Model -  Input'!$B$3:$N$3,0))</f>
        <v>0.2</v>
      </c>
    </row>
    <row r="2909" spans="2:13" hidden="1" outlineLevel="2" x14ac:dyDescent="0.2">
      <c r="B2909" t="str">
        <f t="shared" si="1651"/>
        <v>GlobalFeedstockHTL hydrogen fraction - Green%</v>
      </c>
      <c r="C2909" s="494" t="s">
        <v>109</v>
      </c>
      <c r="D2909" t="s">
        <v>777</v>
      </c>
      <c r="E2909" s="48" t="s">
        <v>1304</v>
      </c>
      <c r="F2909" t="s">
        <v>178</v>
      </c>
      <c r="G2909" s="531">
        <f>INDEX('Fuel Model -  Input'!$B$3:$N$373,MATCH($B2909,'Fuel Model -  Input'!$B$3:$B$373,0),MATCH(G$2,'Fuel Model -  Input'!$B$3:$N$3,0))</f>
        <v>0</v>
      </c>
      <c r="H2909" s="531">
        <f>INDEX('Fuel Model -  Input'!$B$3:$N$373,MATCH($B2909,'Fuel Model -  Input'!$B$3:$B$373,0),MATCH(H$2,'Fuel Model -  Input'!$B$3:$N$3,0))</f>
        <v>0</v>
      </c>
      <c r="I2909" s="531">
        <f>INDEX('Fuel Model -  Input'!$B$3:$N$373,MATCH($B2909,'Fuel Model -  Input'!$B$3:$B$373,0),MATCH(I$2,'Fuel Model -  Input'!$B$3:$N$3,0))</f>
        <v>0</v>
      </c>
      <c r="J2909" s="531">
        <f>INDEX('Fuel Model -  Input'!$B$3:$N$373,MATCH($B2909,'Fuel Model -  Input'!$B$3:$B$373,0),MATCH(J$2,'Fuel Model -  Input'!$B$3:$N$3,0))</f>
        <v>0</v>
      </c>
      <c r="K2909" s="531">
        <f>INDEX('Fuel Model -  Input'!$B$3:$N$373,MATCH($B2909,'Fuel Model -  Input'!$B$3:$B$373,0),MATCH(K$2,'Fuel Model -  Input'!$B$3:$N$3,0))</f>
        <v>0.1</v>
      </c>
      <c r="L2909" s="531">
        <f>INDEX('Fuel Model -  Input'!$B$3:$N$373,MATCH($B2909,'Fuel Model -  Input'!$B$3:$B$373,0),MATCH(L$2,'Fuel Model -  Input'!$B$3:$N$3,0))</f>
        <v>0.3</v>
      </c>
      <c r="M2909" s="531">
        <f>INDEX('Fuel Model -  Input'!$B$3:$N$373,MATCH($B2909,'Fuel Model -  Input'!$B$3:$B$373,0),MATCH(M$2,'Fuel Model -  Input'!$B$3:$N$3,0))</f>
        <v>0.8</v>
      </c>
    </row>
    <row r="2910" spans="2:13" hidden="1" outlineLevel="2" x14ac:dyDescent="0.2">
      <c r="B2910" t="str">
        <f t="shared" si="1651"/>
        <v>AsiaResultsCost of Grey HydrogenUSD/ton</v>
      </c>
      <c r="C2910" s="494" t="str">
        <f>+$C$2887</f>
        <v>Asia</v>
      </c>
      <c r="D2910" t="s">
        <v>838</v>
      </c>
      <c r="E2910" s="48" t="s">
        <v>1161</v>
      </c>
      <c r="F2910" s="128" t="s">
        <v>205</v>
      </c>
      <c r="G2910" s="532">
        <f t="shared" ref="G2910:M2912" si="1664">+INDEX(G$2:G$2521,MATCH($B2910,$B$2:$B$2521,0))</f>
        <v>6383.3359255243395</v>
      </c>
      <c r="H2910" s="532">
        <f t="shared" si="1664"/>
        <v>3116</v>
      </c>
      <c r="I2910" s="532">
        <f t="shared" si="1664"/>
        <v>1716.4490471563124</v>
      </c>
      <c r="J2910" s="532">
        <f t="shared" si="1664"/>
        <v>1638.182090610987</v>
      </c>
      <c r="K2910" s="532">
        <f t="shared" si="1664"/>
        <v>1567.4268923465816</v>
      </c>
      <c r="L2910" s="532">
        <f t="shared" si="1664"/>
        <v>1503.1117371493965</v>
      </c>
      <c r="M2910" s="532">
        <f t="shared" si="1664"/>
        <v>1444.3333333333335</v>
      </c>
    </row>
    <row r="2911" spans="2:13" hidden="1" outlineLevel="2" x14ac:dyDescent="0.2">
      <c r="B2911" t="str">
        <f t="shared" si="1651"/>
        <v>AsiaResultsCost of Blue HydrogenUSD/ton</v>
      </c>
      <c r="C2911" s="494" t="str">
        <f>+$C$2887</f>
        <v>Asia</v>
      </c>
      <c r="D2911" t="s">
        <v>838</v>
      </c>
      <c r="E2911" s="48" t="s">
        <v>1200</v>
      </c>
      <c r="F2911" s="128" t="s">
        <v>205</v>
      </c>
      <c r="G2911" s="532">
        <f t="shared" si="1664"/>
        <v>7062.9281858743398</v>
      </c>
      <c r="H2911" s="532">
        <f t="shared" si="1664"/>
        <v>3791</v>
      </c>
      <c r="I2911" s="532">
        <f t="shared" si="1664"/>
        <v>2386.8878184313126</v>
      </c>
      <c r="J2911" s="532">
        <f t="shared" si="1664"/>
        <v>2304.0904550859868</v>
      </c>
      <c r="K2911" s="532">
        <f t="shared" si="1664"/>
        <v>2228.8354636715817</v>
      </c>
      <c r="L2911" s="532">
        <f t="shared" si="1664"/>
        <v>2160.0509221993966</v>
      </c>
      <c r="M2911" s="532">
        <f t="shared" si="1664"/>
        <v>2096.8333333333335</v>
      </c>
    </row>
    <row r="2912" spans="2:13" hidden="1" outlineLevel="2" x14ac:dyDescent="0.2">
      <c r="B2912" t="str">
        <f t="shared" si="1651"/>
        <v>AsiaResultsCost of e-HydrogenUSD/ton</v>
      </c>
      <c r="C2912" s="494" t="str">
        <f>+$C$2887</f>
        <v>Asia</v>
      </c>
      <c r="D2912" t="s">
        <v>838</v>
      </c>
      <c r="E2912" s="48" t="s">
        <v>853</v>
      </c>
      <c r="F2912" s="128" t="s">
        <v>205</v>
      </c>
      <c r="G2912" s="532">
        <f t="shared" si="1664"/>
        <v>6169.5262870776432</v>
      </c>
      <c r="H2912" s="532">
        <f t="shared" si="1664"/>
        <v>4339.0300013308097</v>
      </c>
      <c r="I2912" s="532">
        <f t="shared" si="1664"/>
        <v>3530.9683571762444</v>
      </c>
      <c r="J2912" s="532">
        <f t="shared" si="1664"/>
        <v>3072.6262796833898</v>
      </c>
      <c r="K2912" s="532">
        <f t="shared" si="1664"/>
        <v>2634.2971326933207</v>
      </c>
      <c r="L2912" s="532">
        <f t="shared" si="1664"/>
        <v>2097.0335914207726</v>
      </c>
      <c r="M2912" s="532">
        <f t="shared" si="1664"/>
        <v>1658.5406193510603</v>
      </c>
    </row>
    <row r="2913" spans="2:13" hidden="1" outlineLevel="2" x14ac:dyDescent="0.2">
      <c r="C2913" s="494"/>
      <c r="E2913" s="48"/>
      <c r="F2913" s="128"/>
    </row>
    <row r="2914" spans="2:13" hidden="1" outlineLevel="2" x14ac:dyDescent="0.2">
      <c r="B2914" t="str">
        <f t="shared" ref="B2914:B2920" si="1665">+C2914&amp;D2914&amp;E2914&amp;F2914</f>
        <v>AsiaFeedstockBiomass costUSD/ton Methanol</v>
      </c>
      <c r="C2914" s="494" t="str">
        <f>+$C$2887</f>
        <v>Asia</v>
      </c>
      <c r="D2914" t="s">
        <v>777</v>
      </c>
      <c r="E2914" s="48" t="s">
        <v>1237</v>
      </c>
      <c r="F2914" s="128" t="s">
        <v>1229</v>
      </c>
      <c r="G2914" s="8">
        <f>+G2916*G2917*G2918+G2915*G2919*G2920</f>
        <v>229.83100614947978</v>
      </c>
      <c r="H2914" s="8">
        <f t="shared" ref="H2914" si="1666">+H2916*H2917*H2918+H2915*H2919*H2920</f>
        <v>235.24137424870625</v>
      </c>
      <c r="I2914" s="8">
        <f t="shared" ref="I2914" si="1667">+I2916*I2917*I2918+I2915*I2919*I2920</f>
        <v>239.56966872808741</v>
      </c>
      <c r="J2914" s="8">
        <f t="shared" ref="J2914" si="1668">+J2916*J2917*J2918+J2915*J2919*J2920</f>
        <v>244.98003682731388</v>
      </c>
      <c r="K2914" s="8">
        <f t="shared" ref="K2914" si="1669">+K2916*K2917*K2918+K2915*K2919*K2920</f>
        <v>250.39040492654033</v>
      </c>
      <c r="L2914" s="8">
        <f t="shared" ref="L2914" si="1670">+L2916*L2917*L2918+L2915*L2919*L2920</f>
        <v>254.71869940592148</v>
      </c>
      <c r="M2914" s="8">
        <f t="shared" ref="M2914" si="1671">+M2916*M2917*M2918+M2915*M2919*M2920</f>
        <v>260.12906750514799</v>
      </c>
    </row>
    <row r="2915" spans="2:13" hidden="1" outlineLevel="2" x14ac:dyDescent="0.2">
      <c r="B2915" t="str">
        <f t="shared" si="1665"/>
        <v>GlobalFeedstockDry wood biomass market share HTL%</v>
      </c>
      <c r="C2915" s="494" t="s">
        <v>109</v>
      </c>
      <c r="D2915" t="s">
        <v>777</v>
      </c>
      <c r="E2915" t="s">
        <v>1305</v>
      </c>
      <c r="F2915" t="s">
        <v>178</v>
      </c>
      <c r="G2915" s="531">
        <f>+INDEX('Fuel Model -  Input'!$B$3:$N$1312,MATCH($B2915,'Fuel Model -  Input'!$B$3:$B$1312,0),MATCH(G$2,'Fuel Model -  Input'!$B$3:$N$3,0))</f>
        <v>0.3</v>
      </c>
      <c r="H2915" s="531">
        <f>+INDEX('Fuel Model -  Input'!$B$3:$N$1312,MATCH($B2915,'Fuel Model -  Input'!$B$3:$B$1312,0),MATCH(H$2,'Fuel Model -  Input'!$B$3:$N$3,0))</f>
        <v>0.3</v>
      </c>
      <c r="I2915" s="531">
        <f>+INDEX('Fuel Model -  Input'!$B$3:$N$1312,MATCH($B2915,'Fuel Model -  Input'!$B$3:$B$1312,0),MATCH(I$2,'Fuel Model -  Input'!$B$3:$N$3,0))</f>
        <v>0.3</v>
      </c>
      <c r="J2915" s="531">
        <f>+INDEX('Fuel Model -  Input'!$B$3:$N$1312,MATCH($B2915,'Fuel Model -  Input'!$B$3:$B$1312,0),MATCH(J$2,'Fuel Model -  Input'!$B$3:$N$3,0))</f>
        <v>0.3</v>
      </c>
      <c r="K2915" s="531">
        <f>+INDEX('Fuel Model -  Input'!$B$3:$N$1312,MATCH($B2915,'Fuel Model -  Input'!$B$3:$B$1312,0),MATCH(K$2,'Fuel Model -  Input'!$B$3:$N$3,0))</f>
        <v>0.3</v>
      </c>
      <c r="L2915" s="531">
        <f>+INDEX('Fuel Model -  Input'!$B$3:$N$1312,MATCH($B2915,'Fuel Model -  Input'!$B$3:$B$1312,0),MATCH(L$2,'Fuel Model -  Input'!$B$3:$N$3,0))</f>
        <v>0.3</v>
      </c>
      <c r="M2915" s="531">
        <f>+INDEX('Fuel Model -  Input'!$B$3:$N$1312,MATCH($B2915,'Fuel Model -  Input'!$B$3:$B$1312,0),MATCH(M$2,'Fuel Model -  Input'!$B$3:$N$3,0))</f>
        <v>0.3</v>
      </c>
    </row>
    <row r="2916" spans="2:13" hidden="1" outlineLevel="2" x14ac:dyDescent="0.2">
      <c r="B2916" t="str">
        <f t="shared" si="1665"/>
        <v>GlobalFeedstockOrganic wet waste market share HTL%</v>
      </c>
      <c r="C2916" s="494" t="s">
        <v>109</v>
      </c>
      <c r="D2916" t="s">
        <v>777</v>
      </c>
      <c r="E2916" t="s">
        <v>1306</v>
      </c>
      <c r="F2916" t="s">
        <v>178</v>
      </c>
      <c r="G2916" s="531">
        <f>+INDEX('Fuel Model -  Input'!$B$3:$N$1312,MATCH($B2916,'Fuel Model -  Input'!$B$3:$B$1312,0),MATCH(G$2,'Fuel Model -  Input'!$B$3:$N$3,0))</f>
        <v>0.7</v>
      </c>
      <c r="H2916" s="531">
        <f>+INDEX('Fuel Model -  Input'!$B$3:$N$1312,MATCH($B2916,'Fuel Model -  Input'!$B$3:$B$1312,0),MATCH(H$2,'Fuel Model -  Input'!$B$3:$N$3,0))</f>
        <v>0.7</v>
      </c>
      <c r="I2916" s="531">
        <f>+INDEX('Fuel Model -  Input'!$B$3:$N$1312,MATCH($B2916,'Fuel Model -  Input'!$B$3:$B$1312,0),MATCH(I$2,'Fuel Model -  Input'!$B$3:$N$3,0))</f>
        <v>0.7</v>
      </c>
      <c r="J2916" s="531">
        <f>+INDEX('Fuel Model -  Input'!$B$3:$N$1312,MATCH($B2916,'Fuel Model -  Input'!$B$3:$B$1312,0),MATCH(J$2,'Fuel Model -  Input'!$B$3:$N$3,0))</f>
        <v>0.7</v>
      </c>
      <c r="K2916" s="531">
        <f>+INDEX('Fuel Model -  Input'!$B$3:$N$1312,MATCH($B2916,'Fuel Model -  Input'!$B$3:$B$1312,0),MATCH(K$2,'Fuel Model -  Input'!$B$3:$N$3,0))</f>
        <v>0.7</v>
      </c>
      <c r="L2916" s="531">
        <f>+INDEX('Fuel Model -  Input'!$B$3:$N$1312,MATCH($B2916,'Fuel Model -  Input'!$B$3:$B$1312,0),MATCH(L$2,'Fuel Model -  Input'!$B$3:$N$3,0))</f>
        <v>0.7</v>
      </c>
      <c r="M2916" s="531">
        <f>+INDEX('Fuel Model -  Input'!$B$3:$N$1312,MATCH($B2916,'Fuel Model -  Input'!$B$3:$B$1312,0),MATCH(M$2,'Fuel Model -  Input'!$B$3:$N$3,0))</f>
        <v>0.7</v>
      </c>
    </row>
    <row r="2917" spans="2:13" hidden="1" outlineLevel="2" x14ac:dyDescent="0.2">
      <c r="B2917" t="str">
        <f t="shared" si="1665"/>
        <v>GlobalFeedstockConversion Organic wet waste : HTL oilTon feedstock / ton fuel</v>
      </c>
      <c r="C2917" s="494" t="s">
        <v>109</v>
      </c>
      <c r="D2917" t="s">
        <v>777</v>
      </c>
      <c r="E2917" t="s">
        <v>1307</v>
      </c>
      <c r="F2917" s="128" t="s">
        <v>1241</v>
      </c>
      <c r="G2917" s="521">
        <f>INDEX('Fuel Model -  Input'!$B$3:$N$373,MATCH($B2917,'Fuel Model -  Input'!$B$3:$B$373,0),MATCH(G$2,'Fuel Model -  Input'!$B$3:$N$3,0))</f>
        <v>4.4642857142857135</v>
      </c>
      <c r="H2917" s="521">
        <f>INDEX('Fuel Model -  Input'!$B$3:$N$373,MATCH($B2917,'Fuel Model -  Input'!$B$3:$B$373,0),MATCH(H$2,'Fuel Model -  Input'!$B$3:$N$3,0))</f>
        <v>4.4642857142857135</v>
      </c>
      <c r="I2917" s="521">
        <f>INDEX('Fuel Model -  Input'!$B$3:$N$373,MATCH($B2917,'Fuel Model -  Input'!$B$3:$B$373,0),MATCH(I$2,'Fuel Model -  Input'!$B$3:$N$3,0))</f>
        <v>4.4642857142857135</v>
      </c>
      <c r="J2917" s="521">
        <f>INDEX('Fuel Model -  Input'!$B$3:$N$373,MATCH($B2917,'Fuel Model -  Input'!$B$3:$B$373,0),MATCH(J$2,'Fuel Model -  Input'!$B$3:$N$3,0))</f>
        <v>4.4642857142857135</v>
      </c>
      <c r="K2917" s="521">
        <f>INDEX('Fuel Model -  Input'!$B$3:$N$373,MATCH($B2917,'Fuel Model -  Input'!$B$3:$B$373,0),MATCH(K$2,'Fuel Model -  Input'!$B$3:$N$3,0))</f>
        <v>4.4642857142857135</v>
      </c>
      <c r="L2917" s="521">
        <f>INDEX('Fuel Model -  Input'!$B$3:$N$373,MATCH($B2917,'Fuel Model -  Input'!$B$3:$B$373,0),MATCH(L$2,'Fuel Model -  Input'!$B$3:$N$3,0))</f>
        <v>4.4642857142857135</v>
      </c>
      <c r="M2917" s="521">
        <f>INDEX('Fuel Model -  Input'!$B$3:$N$373,MATCH($B2917,'Fuel Model -  Input'!$B$3:$B$373,0),MATCH(M$2,'Fuel Model -  Input'!$B$3:$N$3,0))</f>
        <v>4.4642857142857135</v>
      </c>
    </row>
    <row r="2918" spans="2:13" hidden="1" outlineLevel="2" x14ac:dyDescent="0.2">
      <c r="B2918" t="str">
        <f t="shared" si="1665"/>
        <v>AsiaFeedstockCost of Organic wet wasteUSD/ton</v>
      </c>
      <c r="C2918" s="494" t="str">
        <f>+$C$2887</f>
        <v>Asia</v>
      </c>
      <c r="D2918" t="s">
        <v>777</v>
      </c>
      <c r="E2918" s="48" t="s">
        <v>1242</v>
      </c>
      <c r="F2918" s="450" t="s">
        <v>205</v>
      </c>
      <c r="G2918" s="532">
        <f>+INDEX('Fuel Model -  Input'!$B$3:$N$373,MATCH($B2918,'Fuel Model -  Input'!$B$3:$B$373,0),MATCH(G$2,'Fuel Model -  Input'!$B$3:$N$3,0))</f>
        <v>50</v>
      </c>
      <c r="H2918" s="532">
        <f>+INDEX('Fuel Model -  Input'!$B$3:$N$373,MATCH($B2918,'Fuel Model -  Input'!$B$3:$B$373,0),MATCH(H$2,'Fuel Model -  Input'!$B$3:$N$3,0))</f>
        <v>50</v>
      </c>
      <c r="I2918" s="532">
        <f>+INDEX('Fuel Model -  Input'!$B$3:$N$373,MATCH($B2918,'Fuel Model -  Input'!$B$3:$B$373,0),MATCH(I$2,'Fuel Model -  Input'!$B$3:$N$3,0))</f>
        <v>50</v>
      </c>
      <c r="J2918" s="532">
        <f>+INDEX('Fuel Model -  Input'!$B$3:$N$373,MATCH($B2918,'Fuel Model -  Input'!$B$3:$B$373,0),MATCH(J$2,'Fuel Model -  Input'!$B$3:$N$3,0))</f>
        <v>50</v>
      </c>
      <c r="K2918" s="532">
        <f>+INDEX('Fuel Model -  Input'!$B$3:$N$373,MATCH($B2918,'Fuel Model -  Input'!$B$3:$B$373,0),MATCH(K$2,'Fuel Model -  Input'!$B$3:$N$3,0))</f>
        <v>50</v>
      </c>
      <c r="L2918" s="532">
        <f>+INDEX('Fuel Model -  Input'!$B$3:$N$373,MATCH($B2918,'Fuel Model -  Input'!$B$3:$B$373,0),MATCH(L$2,'Fuel Model -  Input'!$B$3:$N$3,0))</f>
        <v>50</v>
      </c>
      <c r="M2918" s="532">
        <f>+INDEX('Fuel Model -  Input'!$B$3:$N$373,MATCH($B2918,'Fuel Model -  Input'!$B$3:$B$373,0),MATCH(M$2,'Fuel Model -  Input'!$B$3:$N$3,0))</f>
        <v>50</v>
      </c>
    </row>
    <row r="2919" spans="2:13" hidden="1" outlineLevel="2" x14ac:dyDescent="0.2">
      <c r="B2919" t="str">
        <f t="shared" si="1665"/>
        <v>GlobalFeedstockConversion Dry Wood biomass : HTL oilTon feedstock / ton fuel</v>
      </c>
      <c r="C2919" s="494" t="s">
        <v>109</v>
      </c>
      <c r="D2919" t="s">
        <v>777</v>
      </c>
      <c r="E2919" s="48" t="s">
        <v>1308</v>
      </c>
      <c r="F2919" s="128" t="s">
        <v>1241</v>
      </c>
      <c r="G2919" s="521">
        <f>INDEX('Fuel Model -  Input'!$B$3:$N$373,MATCH($B2919,'Fuel Model -  Input'!$B$3:$B$373,0),MATCH(G$2,'Fuel Model -  Input'!$B$3:$N$3,0))</f>
        <v>3.6069120661509726</v>
      </c>
      <c r="H2919" s="521">
        <f>INDEX('Fuel Model -  Input'!$B$3:$N$373,MATCH($B2919,'Fuel Model -  Input'!$B$3:$B$373,0),MATCH(H$2,'Fuel Model -  Input'!$B$3:$N$3,0))</f>
        <v>3.6069120661509726</v>
      </c>
      <c r="I2919" s="521">
        <f>INDEX('Fuel Model -  Input'!$B$3:$N$373,MATCH($B2919,'Fuel Model -  Input'!$B$3:$B$373,0),MATCH(I$2,'Fuel Model -  Input'!$B$3:$N$3,0))</f>
        <v>3.6069120661509726</v>
      </c>
      <c r="J2919" s="521">
        <f>INDEX('Fuel Model -  Input'!$B$3:$N$373,MATCH($B2919,'Fuel Model -  Input'!$B$3:$B$373,0),MATCH(J$2,'Fuel Model -  Input'!$B$3:$N$3,0))</f>
        <v>3.6069120661509726</v>
      </c>
      <c r="K2919" s="521">
        <f>INDEX('Fuel Model -  Input'!$B$3:$N$373,MATCH($B2919,'Fuel Model -  Input'!$B$3:$B$373,0),MATCH(K$2,'Fuel Model -  Input'!$B$3:$N$3,0))</f>
        <v>3.6069120661509726</v>
      </c>
      <c r="L2919" s="521">
        <f>INDEX('Fuel Model -  Input'!$B$3:$N$373,MATCH($B2919,'Fuel Model -  Input'!$B$3:$B$373,0),MATCH(L$2,'Fuel Model -  Input'!$B$3:$N$3,0))</f>
        <v>3.6069120661509726</v>
      </c>
      <c r="M2919" s="521">
        <f>INDEX('Fuel Model -  Input'!$B$3:$N$373,MATCH($B2919,'Fuel Model -  Input'!$B$3:$B$373,0),MATCH(M$2,'Fuel Model -  Input'!$B$3:$N$3,0))</f>
        <v>3.6069120661509726</v>
      </c>
    </row>
    <row r="2920" spans="2:13" hidden="1" outlineLevel="2" x14ac:dyDescent="0.2">
      <c r="B2920" t="str">
        <f t="shared" si="1665"/>
        <v>AsiaFeedstockCost of Wood biomassUSD/ton Wood</v>
      </c>
      <c r="C2920" s="494" t="str">
        <f>+$C$2887</f>
        <v>Asia</v>
      </c>
      <c r="D2920" t="s">
        <v>777</v>
      </c>
      <c r="E2920" s="48" t="s">
        <v>1244</v>
      </c>
      <c r="F2920" s="128" t="s">
        <v>1245</v>
      </c>
      <c r="G2920" s="524">
        <f>+INDEX('Fuel Model -  Input'!$B$3:$N$373,MATCH($B2920,'Fuel Model -  Input'!$B$3:$B$373,0),MATCH(G$2,'Fuel Model -  Input'!$B$3:$N$3,0))</f>
        <v>68</v>
      </c>
      <c r="H2920" s="524">
        <f>+INDEX('Fuel Model -  Input'!$B$3:$N$373,MATCH($B2920,'Fuel Model -  Input'!$B$3:$B$373,0),MATCH(H$2,'Fuel Model -  Input'!$B$3:$N$3,0))</f>
        <v>73</v>
      </c>
      <c r="I2920" s="524">
        <f>+INDEX('Fuel Model -  Input'!$B$3:$N$373,MATCH($B2920,'Fuel Model -  Input'!$B$3:$B$373,0),MATCH(I$2,'Fuel Model -  Input'!$B$3:$N$3,0))</f>
        <v>77</v>
      </c>
      <c r="J2920" s="524">
        <f>+INDEX('Fuel Model -  Input'!$B$3:$N$373,MATCH($B2920,'Fuel Model -  Input'!$B$3:$B$373,0),MATCH(J$2,'Fuel Model -  Input'!$B$3:$N$3,0))</f>
        <v>82</v>
      </c>
      <c r="K2920" s="524">
        <f>+INDEX('Fuel Model -  Input'!$B$3:$N$373,MATCH($B2920,'Fuel Model -  Input'!$B$3:$B$373,0),MATCH(K$2,'Fuel Model -  Input'!$B$3:$N$3,0))</f>
        <v>87</v>
      </c>
      <c r="L2920" s="524">
        <f>+INDEX('Fuel Model -  Input'!$B$3:$N$373,MATCH($B2920,'Fuel Model -  Input'!$B$3:$B$373,0),MATCH(L$2,'Fuel Model -  Input'!$B$3:$N$3,0))</f>
        <v>91</v>
      </c>
      <c r="M2920" s="524">
        <f>+INDEX('Fuel Model -  Input'!$B$3:$N$373,MATCH($B2920,'Fuel Model -  Input'!$B$3:$B$373,0),MATCH(M$2,'Fuel Model -  Input'!$B$3:$N$3,0))</f>
        <v>96</v>
      </c>
    </row>
    <row r="2921" spans="2:13" hidden="1" outlineLevel="1" x14ac:dyDescent="0.2">
      <c r="E2921" s="48"/>
      <c r="F2921" s="128"/>
    </row>
    <row r="2922" spans="2:13" s="30" customFormat="1" ht="15" hidden="1" outlineLevel="1" collapsed="1" x14ac:dyDescent="0.25">
      <c r="B2922" s="30" t="s">
        <v>199</v>
      </c>
      <c r="C2922" s="30" t="str">
        <f>+B2922</f>
        <v>Americas</v>
      </c>
    </row>
    <row r="2923" spans="2:13" ht="15" hidden="1" outlineLevel="2" x14ac:dyDescent="0.25">
      <c r="B2923" t="str">
        <f>+C2923&amp;D2923&amp;E2923&amp;F2923</f>
        <v>AmericasResultsTotal cost of Biodiesel (HtL)USD/ton</v>
      </c>
      <c r="C2923" s="494" t="str">
        <f>+$C$2922</f>
        <v>Americas</v>
      </c>
      <c r="D2923" s="30" t="s">
        <v>838</v>
      </c>
      <c r="E2923" s="405" t="s">
        <v>1283</v>
      </c>
      <c r="F2923" s="127" t="s">
        <v>205</v>
      </c>
      <c r="G2923" s="490">
        <f>+SUM(G2924:G2927)</f>
        <v>6534.0862364726536</v>
      </c>
      <c r="H2923" s="490">
        <f t="shared" ref="H2923" si="1672">+SUM(H2924:H2927)</f>
        <v>2132.8806442695704</v>
      </c>
      <c r="I2923" s="490">
        <f t="shared" ref="I2923" si="1673">+SUM(I2924:I2927)</f>
        <v>965.71481253963861</v>
      </c>
      <c r="J2923" s="490">
        <f t="shared" ref="J2923" si="1674">+SUM(J2924:J2927)</f>
        <v>955.13604633477144</v>
      </c>
      <c r="K2923" s="490">
        <f t="shared" ref="K2923" si="1675">+SUM(K2924:K2927)</f>
        <v>937.34274541318587</v>
      </c>
      <c r="L2923" s="490">
        <f t="shared" ref="L2923" si="1676">+SUM(L2924:L2927)</f>
        <v>917.78169663099675</v>
      </c>
      <c r="M2923" s="490">
        <f t="shared" ref="M2923" si="1677">+SUM(M2924:M2927)</f>
        <v>882.30022580437685</v>
      </c>
    </row>
    <row r="2924" spans="2:13" ht="15" hidden="1" outlineLevel="2" x14ac:dyDescent="0.25">
      <c r="B2924" t="str">
        <f>+C2924&amp;D2924&amp;E2924&amp;F2924</f>
        <v>AmericasResultsTotal Capex Biodiesel (HtL)USD/ton</v>
      </c>
      <c r="C2924" s="494" t="str">
        <f>+$C$2922</f>
        <v>Americas</v>
      </c>
      <c r="D2924" s="30" t="s">
        <v>838</v>
      </c>
      <c r="E2924" s="228" t="s">
        <v>1284</v>
      </c>
      <c r="F2924" s="127" t="s">
        <v>205</v>
      </c>
      <c r="G2924" s="490">
        <f>G2931/G2930</f>
        <v>1314.6947939385132</v>
      </c>
      <c r="H2924" s="490">
        <f t="shared" ref="H2924:M2924" si="1678">H2931/H2930</f>
        <v>788.81687636310789</v>
      </c>
      <c r="I2924" s="490">
        <f t="shared" si="1678"/>
        <v>262.93895878770263</v>
      </c>
      <c r="J2924" s="490">
        <f t="shared" si="1678"/>
        <v>247.16262126044049</v>
      </c>
      <c r="K2924" s="490">
        <f t="shared" si="1678"/>
        <v>239.2744524968094</v>
      </c>
      <c r="L2924" s="490">
        <f t="shared" si="1678"/>
        <v>231.38628373317832</v>
      </c>
      <c r="M2924" s="490">
        <f t="shared" si="1678"/>
        <v>223.49811496954723</v>
      </c>
    </row>
    <row r="2925" spans="2:13" ht="15" hidden="1" outlineLevel="2" x14ac:dyDescent="0.25">
      <c r="B2925" t="str">
        <f>+C2925&amp;D2925&amp;E2925&amp;F2925</f>
        <v>AmericasResultsTotal Opex Biodiesel (HtL)USD/ton</v>
      </c>
      <c r="C2925" s="494" t="str">
        <f>+$C$2922</f>
        <v>Americas</v>
      </c>
      <c r="D2925" s="30" t="s">
        <v>838</v>
      </c>
      <c r="E2925" s="228" t="s">
        <v>1285</v>
      </c>
      <c r="F2925" s="127" t="s">
        <v>205</v>
      </c>
      <c r="G2925" s="490">
        <f>+G2933</f>
        <v>4821.1718011339271</v>
      </c>
      <c r="H2925" s="490">
        <f t="shared" ref="H2925:M2925" si="1679">+H2933</f>
        <v>964.23436022678538</v>
      </c>
      <c r="I2925" s="490">
        <f t="shared" si="1679"/>
        <v>321.41145340892848</v>
      </c>
      <c r="J2925" s="490">
        <f t="shared" si="1679"/>
        <v>302.12676620439277</v>
      </c>
      <c r="K2925" s="490">
        <f t="shared" si="1679"/>
        <v>292.48442260212494</v>
      </c>
      <c r="L2925" s="490">
        <f t="shared" si="1679"/>
        <v>282.84207899985711</v>
      </c>
      <c r="M2925" s="490">
        <f t="shared" si="1679"/>
        <v>273.19973539758922</v>
      </c>
    </row>
    <row r="2926" spans="2:13" ht="15" hidden="1" outlineLevel="2" x14ac:dyDescent="0.25">
      <c r="B2926" t="str">
        <f>+C2926&amp;D2926&amp;E2926&amp;F2926</f>
        <v>AmericasResultsTotal RNE Biodiesel (HtL)USD/ton</v>
      </c>
      <c r="C2926" s="494" t="str">
        <f>+$C$2922</f>
        <v>Americas</v>
      </c>
      <c r="D2926" s="30" t="s">
        <v>838</v>
      </c>
      <c r="E2926" s="228" t="s">
        <v>1286</v>
      </c>
      <c r="F2926" s="127" t="s">
        <v>205</v>
      </c>
      <c r="G2926" s="490">
        <f>+G2935</f>
        <v>31.190512118091394</v>
      </c>
      <c r="H2926" s="490">
        <f t="shared" ref="H2926:M2926" si="1680">+H2935</f>
        <v>28.149855513446543</v>
      </c>
      <c r="I2926" s="490">
        <f t="shared" si="1680"/>
        <v>22.925772598561746</v>
      </c>
      <c r="J2926" s="490">
        <f t="shared" si="1680"/>
        <v>20.386245925975459</v>
      </c>
      <c r="K2926" s="490">
        <f t="shared" si="1680"/>
        <v>18.328085662411063</v>
      </c>
      <c r="L2926" s="490">
        <f t="shared" si="1680"/>
        <v>17.464345925354795</v>
      </c>
      <c r="M2926" s="490">
        <f t="shared" si="1680"/>
        <v>16.801251436533263</v>
      </c>
    </row>
    <row r="2927" spans="2:13" ht="15" hidden="1" outlineLevel="2" x14ac:dyDescent="0.25">
      <c r="B2927" t="str">
        <f>+C2927&amp;D2927&amp;E2927&amp;F2927</f>
        <v>AmericasResultsTotal Raw Material Biodiesel (HtL)USD/ton</v>
      </c>
      <c r="C2927" s="494" t="str">
        <f>+$C$2922</f>
        <v>Americas</v>
      </c>
      <c r="D2927" s="30" t="s">
        <v>838</v>
      </c>
      <c r="E2927" s="228" t="s">
        <v>1287</v>
      </c>
      <c r="F2927" s="127" t="s">
        <v>205</v>
      </c>
      <c r="G2927" s="490">
        <f>+G2939+G2949</f>
        <v>367.02912928212095</v>
      </c>
      <c r="H2927" s="490">
        <f t="shared" ref="H2927:M2927" si="1681">+H2939+H2949</f>
        <v>351.67955216623091</v>
      </c>
      <c r="I2927" s="490">
        <f t="shared" si="1681"/>
        <v>358.43862774444568</v>
      </c>
      <c r="J2927" s="490">
        <f t="shared" si="1681"/>
        <v>385.46041294396275</v>
      </c>
      <c r="K2927" s="490">
        <f t="shared" si="1681"/>
        <v>387.25578465184054</v>
      </c>
      <c r="L2927" s="490">
        <f t="shared" si="1681"/>
        <v>386.0889879726065</v>
      </c>
      <c r="M2927" s="490">
        <f t="shared" si="1681"/>
        <v>368.8011240007072</v>
      </c>
    </row>
    <row r="2928" spans="2:13" hidden="1" outlineLevel="2" x14ac:dyDescent="0.2">
      <c r="C2928" s="494"/>
      <c r="E2928" s="48"/>
      <c r="F2928" s="128"/>
      <c r="G2928" s="8"/>
      <c r="H2928" s="8"/>
      <c r="I2928" s="8"/>
      <c r="J2928" s="8"/>
      <c r="K2928" s="8"/>
      <c r="L2928" s="8"/>
      <c r="M2928" s="8"/>
    </row>
    <row r="2929" spans="2:13" hidden="1" outlineLevel="2" x14ac:dyDescent="0.2">
      <c r="B2929" t="str">
        <f>+C2929&amp;D2929&amp;E2929&amp;F2929</f>
        <v>AmericasHTL PlantAnnual capex (HTL)USD/ton HTL Oil</v>
      </c>
      <c r="C2929" s="494" t="str">
        <f>+$C$2922</f>
        <v>Americas</v>
      </c>
      <c r="D2929" t="s">
        <v>1288</v>
      </c>
      <c r="E2929" s="48" t="s">
        <v>1289</v>
      </c>
      <c r="F2929" s="128" t="s">
        <v>1290</v>
      </c>
      <c r="G2929" s="8">
        <f t="shared" ref="G2929:M2929" si="1682">G2931/G2930</f>
        <v>1314.6947939385132</v>
      </c>
      <c r="H2929" s="8">
        <f t="shared" si="1682"/>
        <v>788.81687636310789</v>
      </c>
      <c r="I2929" s="8">
        <f t="shared" si="1682"/>
        <v>262.93895878770263</v>
      </c>
      <c r="J2929" s="8">
        <f t="shared" si="1682"/>
        <v>247.16262126044049</v>
      </c>
      <c r="K2929" s="8">
        <f t="shared" si="1682"/>
        <v>239.2744524968094</v>
      </c>
      <c r="L2929" s="8">
        <f t="shared" si="1682"/>
        <v>231.38628373317832</v>
      </c>
      <c r="M2929" s="8">
        <f t="shared" si="1682"/>
        <v>223.49811496954723</v>
      </c>
    </row>
    <row r="2930" spans="2:13" hidden="1" outlineLevel="2" x14ac:dyDescent="0.2">
      <c r="B2930" t="str">
        <f>+C2930&amp;D2930&amp;E2930&amp;F2930</f>
        <v>GlobalPlant capexAnnualisation factor#</v>
      </c>
      <c r="C2930" s="494" t="s">
        <v>109</v>
      </c>
      <c r="D2930" t="s">
        <v>786</v>
      </c>
      <c r="E2930" t="s">
        <v>764</v>
      </c>
      <c r="F2930" s="450" t="s">
        <v>787</v>
      </c>
      <c r="G2930" s="532">
        <f>+INDEX('Fuel Model -  Input'!$B$3:$N$373,MATCH($B2930,'Fuel Model -  Input'!$B$3:$B$373,0),MATCH(G$2,'Fuel Model -  Input'!$B$3:$N$3,0))</f>
        <v>11.32075471698113</v>
      </c>
      <c r="H2930" s="532">
        <f>+INDEX('Fuel Model -  Input'!$B$3:$N$373,MATCH($B2930,'Fuel Model -  Input'!$B$3:$B$373,0),MATCH(H$2,'Fuel Model -  Input'!$B$3:$N$3,0))</f>
        <v>11.32075471698113</v>
      </c>
      <c r="I2930" s="532">
        <f>+INDEX('Fuel Model -  Input'!$B$3:$N$373,MATCH($B2930,'Fuel Model -  Input'!$B$3:$B$373,0),MATCH(I$2,'Fuel Model -  Input'!$B$3:$N$3,0))</f>
        <v>11.32075471698113</v>
      </c>
      <c r="J2930" s="532">
        <f>+INDEX('Fuel Model -  Input'!$B$3:$N$373,MATCH($B2930,'Fuel Model -  Input'!$B$3:$B$373,0),MATCH(J$2,'Fuel Model -  Input'!$B$3:$N$3,0))</f>
        <v>11.32075471698113</v>
      </c>
      <c r="K2930" s="532">
        <f>+INDEX('Fuel Model -  Input'!$B$3:$N$373,MATCH($B2930,'Fuel Model -  Input'!$B$3:$B$373,0),MATCH(K$2,'Fuel Model -  Input'!$B$3:$N$3,0))</f>
        <v>11.32075471698113</v>
      </c>
      <c r="L2930" s="532">
        <f>+INDEX('Fuel Model -  Input'!$B$3:$N$373,MATCH($B2930,'Fuel Model -  Input'!$B$3:$B$373,0),MATCH(L$2,'Fuel Model -  Input'!$B$3:$N$3,0))</f>
        <v>11.32075471698113</v>
      </c>
      <c r="M2930" s="532">
        <f>+INDEX('Fuel Model -  Input'!$B$3:$N$373,MATCH($B2930,'Fuel Model -  Input'!$B$3:$B$373,0),MATCH(M$2,'Fuel Model -  Input'!$B$3:$N$3,0))</f>
        <v>11.32075471698113</v>
      </c>
    </row>
    <row r="2931" spans="2:13" hidden="1" outlineLevel="2" x14ac:dyDescent="0.2">
      <c r="B2931" t="str">
        <f>+C2931&amp;D2931&amp;E2931&amp;F2931</f>
        <v>GlobalCAPEXHTL plantUSD/ton HTL oil capacity</v>
      </c>
      <c r="C2931" s="494" t="s">
        <v>109</v>
      </c>
      <c r="D2931" t="s">
        <v>50</v>
      </c>
      <c r="E2931" t="s">
        <v>1291</v>
      </c>
      <c r="F2931" s="157" t="s">
        <v>1292</v>
      </c>
      <c r="G2931" s="532">
        <f>+INDEX('Fuel Model -  Input'!$B$3:$N$373,MATCH($B2931,'Fuel Model -  Input'!$B$3:$B$373,0),MATCH(G$2,'Fuel Model -  Input'!$B$3:$N$3,0))</f>
        <v>14883.337289869958</v>
      </c>
      <c r="H2931" s="532">
        <f>+INDEX('Fuel Model -  Input'!$B$3:$N$373,MATCH($B2931,'Fuel Model -  Input'!$B$3:$B$373,0),MATCH(H$2,'Fuel Model -  Input'!$B$3:$N$3,0))</f>
        <v>8930.0023739219741</v>
      </c>
      <c r="I2931" s="532">
        <f>+INDEX('Fuel Model -  Input'!$B$3:$N$373,MATCH($B2931,'Fuel Model -  Input'!$B$3:$B$373,0),MATCH(I$2,'Fuel Model -  Input'!$B$3:$N$3,0))</f>
        <v>2976.6674579739915</v>
      </c>
      <c r="J2931" s="532">
        <f>+INDEX('Fuel Model -  Input'!$B$3:$N$373,MATCH($B2931,'Fuel Model -  Input'!$B$3:$B$373,0),MATCH(J$2,'Fuel Model -  Input'!$B$3:$N$3,0))</f>
        <v>2798.0674104955519</v>
      </c>
      <c r="K2931" s="532">
        <f>+INDEX('Fuel Model -  Input'!$B$3:$N$373,MATCH($B2931,'Fuel Model -  Input'!$B$3:$B$373,0),MATCH(K$2,'Fuel Model -  Input'!$B$3:$N$3,0))</f>
        <v>2708.7673867563321</v>
      </c>
      <c r="L2931" s="532">
        <f>+INDEX('Fuel Model -  Input'!$B$3:$N$373,MATCH($B2931,'Fuel Model -  Input'!$B$3:$B$373,0),MATCH(L$2,'Fuel Model -  Input'!$B$3:$N$3,0))</f>
        <v>2619.4673630171123</v>
      </c>
      <c r="M2931" s="532">
        <f>+INDEX('Fuel Model -  Input'!$B$3:$N$373,MATCH($B2931,'Fuel Model -  Input'!$B$3:$B$373,0),MATCH(M$2,'Fuel Model -  Input'!$B$3:$N$3,0))</f>
        <v>2530.1673392778926</v>
      </c>
    </row>
    <row r="2932" spans="2:13" hidden="1" outlineLevel="2" x14ac:dyDescent="0.2">
      <c r="C2932" s="494"/>
      <c r="E2932" s="48"/>
      <c r="F2932" s="128"/>
      <c r="G2932" s="524"/>
      <c r="H2932" s="524"/>
      <c r="I2932" s="524"/>
      <c r="J2932" s="524"/>
      <c r="K2932" s="524"/>
      <c r="L2932" s="524"/>
      <c r="M2932" s="524"/>
    </row>
    <row r="2933" spans="2:13" hidden="1" outlineLevel="2" x14ac:dyDescent="0.2">
      <c r="B2933" t="str">
        <f>+C2933&amp;D2933&amp;E2933&amp;F2933</f>
        <v>GlobalOPEXPlant opexUSD/ton HTL oil</v>
      </c>
      <c r="C2933" s="494" t="s">
        <v>109</v>
      </c>
      <c r="D2933" t="s">
        <v>319</v>
      </c>
      <c r="E2933" t="s">
        <v>1293</v>
      </c>
      <c r="F2933" s="128" t="s">
        <v>1294</v>
      </c>
      <c r="G2933" s="532">
        <f>+INDEX('Fuel Model -  Input'!$B$3:$N$373,MATCH($B2933,'Fuel Model -  Input'!$B$3:$B$373,0),MATCH(G$2,'Fuel Model -  Input'!$B$3:$N$3,0))</f>
        <v>4821.1718011339271</v>
      </c>
      <c r="H2933" s="532">
        <f>+INDEX('Fuel Model -  Input'!$B$3:$N$373,MATCH($B2933,'Fuel Model -  Input'!$B$3:$B$373,0),MATCH(H$2,'Fuel Model -  Input'!$B$3:$N$3,0))</f>
        <v>964.23436022678538</v>
      </c>
      <c r="I2933" s="532">
        <f>+INDEX('Fuel Model -  Input'!$B$3:$N$373,MATCH($B2933,'Fuel Model -  Input'!$B$3:$B$373,0),MATCH(I$2,'Fuel Model -  Input'!$B$3:$N$3,0))</f>
        <v>321.41145340892848</v>
      </c>
      <c r="J2933" s="532">
        <f>+INDEX('Fuel Model -  Input'!$B$3:$N$373,MATCH($B2933,'Fuel Model -  Input'!$B$3:$B$373,0),MATCH(J$2,'Fuel Model -  Input'!$B$3:$N$3,0))</f>
        <v>302.12676620439277</v>
      </c>
      <c r="K2933" s="532">
        <f>+INDEX('Fuel Model -  Input'!$B$3:$N$373,MATCH($B2933,'Fuel Model -  Input'!$B$3:$B$373,0),MATCH(K$2,'Fuel Model -  Input'!$B$3:$N$3,0))</f>
        <v>292.48442260212494</v>
      </c>
      <c r="L2933" s="532">
        <f>+INDEX('Fuel Model -  Input'!$B$3:$N$373,MATCH($B2933,'Fuel Model -  Input'!$B$3:$B$373,0),MATCH(L$2,'Fuel Model -  Input'!$B$3:$N$3,0))</f>
        <v>282.84207899985711</v>
      </c>
      <c r="M2933" s="532">
        <f>+INDEX('Fuel Model -  Input'!$B$3:$N$373,MATCH($B2933,'Fuel Model -  Input'!$B$3:$B$373,0),MATCH(M$2,'Fuel Model -  Input'!$B$3:$N$3,0))</f>
        <v>273.19973539758922</v>
      </c>
    </row>
    <row r="2934" spans="2:13" hidden="1" outlineLevel="2" x14ac:dyDescent="0.2">
      <c r="C2934" s="494"/>
      <c r="E2934" s="48"/>
      <c r="F2934" s="128"/>
      <c r="G2934" s="520"/>
      <c r="H2934" s="520"/>
      <c r="I2934" s="520"/>
      <c r="J2934" s="520"/>
      <c r="K2934" s="520"/>
      <c r="L2934" s="520"/>
      <c r="M2934" s="520"/>
    </row>
    <row r="2935" spans="2:13" hidden="1" outlineLevel="2" x14ac:dyDescent="0.2">
      <c r="B2935" t="str">
        <f>+C2935&amp;D2935&amp;E2935&amp;F2935</f>
        <v>AmericasElectricityTotal electricityUSD/ ton HTL oil</v>
      </c>
      <c r="C2935" s="494" t="str">
        <f>+$C$2922</f>
        <v>Americas</v>
      </c>
      <c r="D2935" t="s">
        <v>54</v>
      </c>
      <c r="E2935" s="48" t="s">
        <v>1295</v>
      </c>
      <c r="F2935" s="128" t="s">
        <v>1296</v>
      </c>
      <c r="G2935" s="8">
        <f t="shared" ref="G2935:M2935" si="1683">G2937*G2936</f>
        <v>31.190512118091394</v>
      </c>
      <c r="H2935" s="8">
        <f t="shared" si="1683"/>
        <v>28.149855513446543</v>
      </c>
      <c r="I2935" s="8">
        <f t="shared" si="1683"/>
        <v>22.925772598561746</v>
      </c>
      <c r="J2935" s="8">
        <f t="shared" si="1683"/>
        <v>20.386245925975459</v>
      </c>
      <c r="K2935" s="8">
        <f t="shared" si="1683"/>
        <v>18.328085662411063</v>
      </c>
      <c r="L2935" s="8">
        <f t="shared" si="1683"/>
        <v>17.464345925354795</v>
      </c>
      <c r="M2935" s="8">
        <f t="shared" si="1683"/>
        <v>16.801251436533263</v>
      </c>
    </row>
    <row r="2936" spans="2:13" hidden="1" outlineLevel="2" x14ac:dyDescent="0.2">
      <c r="B2936" t="str">
        <f>+C2936&amp;D2936&amp;E2936&amp;F2936</f>
        <v>GlobalFeedstockHTL plant electricity demandMWh/ton fuel</v>
      </c>
      <c r="C2936" s="494" t="s">
        <v>109</v>
      </c>
      <c r="D2936" t="s">
        <v>777</v>
      </c>
      <c r="E2936" t="s">
        <v>1297</v>
      </c>
      <c r="F2936" t="s">
        <v>1298</v>
      </c>
      <c r="G2936" s="521">
        <f>INDEX('Fuel Model -  Input'!$B$3:$N$373,MATCH($B2936,'Fuel Model -  Input'!$B$3:$B$373,0),MATCH(G$2,'Fuel Model -  Input'!$B$3:$N$3,0))</f>
        <v>0.80044621912790992</v>
      </c>
      <c r="H2936" s="521">
        <f>INDEX('Fuel Model -  Input'!$B$3:$N$373,MATCH($B2936,'Fuel Model -  Input'!$B$3:$B$373,0),MATCH(H$2,'Fuel Model -  Input'!$B$3:$N$3,0))</f>
        <v>0.80044621912790992</v>
      </c>
      <c r="I2936" s="521">
        <f>INDEX('Fuel Model -  Input'!$B$3:$N$373,MATCH($B2936,'Fuel Model -  Input'!$B$3:$B$373,0),MATCH(I$2,'Fuel Model -  Input'!$B$3:$N$3,0))</f>
        <v>0.79751787885447367</v>
      </c>
      <c r="J2936" s="521">
        <f>INDEX('Fuel Model -  Input'!$B$3:$N$373,MATCH($B2936,'Fuel Model -  Input'!$B$3:$B$373,0),MATCH(J$2,'Fuel Model -  Input'!$B$3:$N$3,0))</f>
        <v>0.79458953858103754</v>
      </c>
      <c r="K2936" s="521">
        <f>INDEX('Fuel Model -  Input'!$B$3:$N$373,MATCH($B2936,'Fuel Model -  Input'!$B$3:$B$373,0),MATCH(K$2,'Fuel Model -  Input'!$B$3:$N$3,0))</f>
        <v>0.79166119830760129</v>
      </c>
      <c r="L2936" s="521">
        <f>INDEX('Fuel Model -  Input'!$B$3:$N$373,MATCH($B2936,'Fuel Model -  Input'!$B$3:$B$373,0),MATCH(L$2,'Fuel Model -  Input'!$B$3:$N$3,0))</f>
        <v>0.78873285803416515</v>
      </c>
      <c r="M2936" s="521">
        <f>INDEX('Fuel Model -  Input'!$B$3:$N$373,MATCH($B2936,'Fuel Model -  Input'!$B$3:$B$373,0),MATCH(M$2,'Fuel Model -  Input'!$B$3:$N$3,0))</f>
        <v>0.7858045177607289</v>
      </c>
    </row>
    <row r="2937" spans="2:13" hidden="1" outlineLevel="2" x14ac:dyDescent="0.2">
      <c r="B2937" t="str">
        <f>+C2937&amp;D2937&amp;E2937&amp;F2937</f>
        <v>AmericasFeedstockElectricityUSD/MWh</v>
      </c>
      <c r="C2937" s="494" t="str">
        <f>+$C$2922</f>
        <v>Americas</v>
      </c>
      <c r="D2937" t="s">
        <v>777</v>
      </c>
      <c r="E2937" s="48" t="s">
        <v>54</v>
      </c>
      <c r="F2937" s="128" t="s">
        <v>196</v>
      </c>
      <c r="G2937" s="532">
        <f>INDEX('Fuel Model -  Input'!$B$3:$N$373,MATCH($B2937,'Fuel Model -  Input'!$B$3:$B$373,0),MATCH(G$2,'Fuel Model -  Input'!$B$3:$N$3,0))</f>
        <v>38.96640570315094</v>
      </c>
      <c r="H2937" s="532">
        <f>INDEX('Fuel Model -  Input'!$B$3:$N$373,MATCH($B2937,'Fuel Model -  Input'!$B$3:$B$373,0),MATCH(H$2,'Fuel Model -  Input'!$B$3:$N$3,0))</f>
        <v>35.167703764177872</v>
      </c>
      <c r="I2937" s="532">
        <f>INDEX('Fuel Model -  Input'!$B$3:$N$373,MATCH($B2937,'Fuel Model -  Input'!$B$3:$B$373,0),MATCH(I$2,'Fuel Model -  Input'!$B$3:$N$3,0))</f>
        <v>28.746405825398561</v>
      </c>
      <c r="J2937" s="532">
        <f>INDEX('Fuel Model -  Input'!$B$3:$N$373,MATCH($B2937,'Fuel Model -  Input'!$B$3:$B$373,0),MATCH(J$2,'Fuel Model -  Input'!$B$3:$N$3,0))</f>
        <v>25.656323090259679</v>
      </c>
      <c r="K2937" s="532">
        <f>INDEX('Fuel Model -  Input'!$B$3:$N$373,MATCH($B2937,'Fuel Model -  Input'!$B$3:$B$373,0),MATCH(K$2,'Fuel Model -  Input'!$B$3:$N$3,0))</f>
        <v>23.151426016069131</v>
      </c>
      <c r="L2937" s="532">
        <f>INDEX('Fuel Model -  Input'!$B$3:$N$373,MATCH($B2937,'Fuel Model -  Input'!$B$3:$B$373,0),MATCH(L$2,'Fuel Model -  Input'!$B$3:$N$3,0))</f>
        <v>22.142282710121734</v>
      </c>
      <c r="M2937" s="532">
        <f>INDEX('Fuel Model -  Input'!$B$3:$N$373,MATCH($B2937,'Fuel Model -  Input'!$B$3:$B$373,0),MATCH(M$2,'Fuel Model -  Input'!$B$3:$N$3,0))</f>
        <v>21.380955513479382</v>
      </c>
    </row>
    <row r="2938" spans="2:13" hidden="1" outlineLevel="2" x14ac:dyDescent="0.2">
      <c r="C2938" s="494"/>
      <c r="E2938" s="48"/>
      <c r="F2938" s="128"/>
      <c r="G2938" s="520"/>
      <c r="H2938" s="520"/>
      <c r="I2938" s="520"/>
      <c r="J2938" s="520"/>
      <c r="K2938" s="520"/>
      <c r="L2938" s="520"/>
      <c r="M2938" s="520"/>
    </row>
    <row r="2939" spans="2:13" hidden="1" outlineLevel="2" x14ac:dyDescent="0.2">
      <c r="B2939" t="str">
        <f t="shared" ref="B2939:B2947" si="1684">+C2939&amp;D2939&amp;E2939&amp;F2939</f>
        <v>AmericasElectricityTotal hydrogenUSD/ ton HTL oil</v>
      </c>
      <c r="C2939" s="494" t="str">
        <f>+$C$2922</f>
        <v>Americas</v>
      </c>
      <c r="D2939" t="s">
        <v>54</v>
      </c>
      <c r="E2939" s="48" t="s">
        <v>1299</v>
      </c>
      <c r="F2939" s="128" t="s">
        <v>1296</v>
      </c>
      <c r="G2939" s="8">
        <f>G2941*G2940</f>
        <v>118.8028715952712</v>
      </c>
      <c r="H2939" s="8">
        <f t="shared" ref="H2939" si="1685">H2941*H2940</f>
        <v>99.125</v>
      </c>
      <c r="I2939" s="8">
        <f t="shared" ref="I2939" si="1686">I2941*I2940</f>
        <v>100.47370747898827</v>
      </c>
      <c r="J2939" s="8">
        <f t="shared" ref="J2939" si="1687">J2941*J2940</f>
        <v>123.16719819912419</v>
      </c>
      <c r="K2939" s="8">
        <f t="shared" ref="K2939" si="1688">K2941*K2940</f>
        <v>120.63427542762082</v>
      </c>
      <c r="L2939" s="8">
        <f t="shared" ref="L2939" si="1689">L2941*L2940</f>
        <v>114.05711064916034</v>
      </c>
      <c r="M2939" s="8">
        <f t="shared" ref="M2939" si="1690">M2941*M2940</f>
        <v>92.440952197879867</v>
      </c>
    </row>
    <row r="2940" spans="2:13" hidden="1" outlineLevel="2" x14ac:dyDescent="0.2">
      <c r="B2940" t="str">
        <f t="shared" si="1684"/>
        <v>GlobalFeedstockConversion Hydrogen : HTL oilTon feedstock / ton fuel</v>
      </c>
      <c r="C2940" s="494" t="s">
        <v>109</v>
      </c>
      <c r="D2940" t="s">
        <v>777</v>
      </c>
      <c r="E2940" s="48" t="s">
        <v>1300</v>
      </c>
      <c r="F2940" s="128" t="s">
        <v>1241</v>
      </c>
      <c r="G2940" s="521">
        <f>INDEX('Fuel Model -  Input'!$B$3:$N$373,MATCH($B2940,'Fuel Model -  Input'!$B$3:$B$373,0),MATCH(G$2,'Fuel Model -  Input'!$B$3:$N$3,0))</f>
        <v>6.25E-2</v>
      </c>
      <c r="H2940" s="521">
        <f>INDEX('Fuel Model -  Input'!$B$3:$N$373,MATCH($B2940,'Fuel Model -  Input'!$B$3:$B$373,0),MATCH(H$2,'Fuel Model -  Input'!$B$3:$N$3,0))</f>
        <v>6.25E-2</v>
      </c>
      <c r="I2940" s="521">
        <f>INDEX('Fuel Model -  Input'!$B$3:$N$373,MATCH($B2940,'Fuel Model -  Input'!$B$3:$B$373,0),MATCH(I$2,'Fuel Model -  Input'!$B$3:$N$3,0))</f>
        <v>6.25E-2</v>
      </c>
      <c r="J2940" s="521">
        <f>INDEX('Fuel Model -  Input'!$B$3:$N$373,MATCH($B2940,'Fuel Model -  Input'!$B$3:$B$373,0),MATCH(J$2,'Fuel Model -  Input'!$B$3:$N$3,0))</f>
        <v>6.25E-2</v>
      </c>
      <c r="K2940" s="521">
        <f>INDEX('Fuel Model -  Input'!$B$3:$N$373,MATCH($B2940,'Fuel Model -  Input'!$B$3:$B$373,0),MATCH(K$2,'Fuel Model -  Input'!$B$3:$N$3,0))</f>
        <v>6.25E-2</v>
      </c>
      <c r="L2940" s="521">
        <f>INDEX('Fuel Model -  Input'!$B$3:$N$373,MATCH($B2940,'Fuel Model -  Input'!$B$3:$B$373,0),MATCH(L$2,'Fuel Model -  Input'!$B$3:$N$3,0))</f>
        <v>6.25E-2</v>
      </c>
      <c r="M2940" s="521">
        <f>INDEX('Fuel Model -  Input'!$B$3:$N$373,MATCH($B2940,'Fuel Model -  Input'!$B$3:$B$373,0),MATCH(M$2,'Fuel Model -  Input'!$B$3:$N$3,0))</f>
        <v>6.25E-2</v>
      </c>
    </row>
    <row r="2941" spans="2:13" hidden="1" outlineLevel="2" x14ac:dyDescent="0.2">
      <c r="B2941" t="str">
        <f t="shared" si="1684"/>
        <v>AmericasFeedstockWeighted hydrogen costUSD/ton</v>
      </c>
      <c r="C2941" s="494" t="str">
        <f>+$C$2922</f>
        <v>Americas</v>
      </c>
      <c r="D2941" t="s">
        <v>777</v>
      </c>
      <c r="E2941" s="48" t="s">
        <v>1301</v>
      </c>
      <c r="F2941" s="128" t="s">
        <v>205</v>
      </c>
      <c r="G2941" s="337">
        <f>SUMPRODUCT(G2942:G2944,G2945:G2947)</f>
        <v>1900.8459455243392</v>
      </c>
      <c r="H2941" s="337">
        <f t="shared" ref="H2941" si="1691">SUMPRODUCT(H2942:H2944,H2945:H2947)</f>
        <v>1586</v>
      </c>
      <c r="I2941" s="337">
        <f t="shared" ref="I2941" si="1692">SUMPRODUCT(I2942:I2944,I2945:I2947)</f>
        <v>1607.5793196638124</v>
      </c>
      <c r="J2941" s="337">
        <f t="shared" ref="J2941" si="1693">SUMPRODUCT(J2942:J2944,J2945:J2947)</f>
        <v>1970.675171185987</v>
      </c>
      <c r="K2941" s="337">
        <f t="shared" ref="K2941" si="1694">SUMPRODUCT(K2942:K2944,K2945:K2947)</f>
        <v>1930.1484068419331</v>
      </c>
      <c r="L2941" s="337">
        <f t="shared" ref="L2941" si="1695">SUMPRODUCT(L2942:L2944,L2945:L2947)</f>
        <v>1824.9137703865654</v>
      </c>
      <c r="M2941" s="337">
        <f t="shared" ref="M2941" si="1696">SUMPRODUCT(M2942:M2944,M2945:M2947)</f>
        <v>1479.0552351660779</v>
      </c>
    </row>
    <row r="2942" spans="2:13" hidden="1" outlineLevel="2" x14ac:dyDescent="0.2">
      <c r="B2942" t="str">
        <f t="shared" si="1684"/>
        <v>GlobalFeedstockHTL hydrogen fraction - Grey%</v>
      </c>
      <c r="C2942" s="494" t="s">
        <v>109</v>
      </c>
      <c r="D2942" t="s">
        <v>777</v>
      </c>
      <c r="E2942" s="48" t="s">
        <v>1302</v>
      </c>
      <c r="F2942" t="s">
        <v>178</v>
      </c>
      <c r="G2942" s="531">
        <f>INDEX('Fuel Model -  Input'!$B$3:$N$373,MATCH($B2942,'Fuel Model -  Input'!$B$3:$B$373,0),MATCH(G$2,'Fuel Model -  Input'!$B$3:$N$3,0))</f>
        <v>1</v>
      </c>
      <c r="H2942" s="531">
        <f>INDEX('Fuel Model -  Input'!$B$3:$N$373,MATCH($B2942,'Fuel Model -  Input'!$B$3:$B$373,0),MATCH(H$2,'Fuel Model -  Input'!$B$3:$N$3,0))</f>
        <v>0.7</v>
      </c>
      <c r="I2942" s="531">
        <f>INDEX('Fuel Model -  Input'!$B$3:$N$373,MATCH($B2942,'Fuel Model -  Input'!$B$3:$B$373,0),MATCH(I$2,'Fuel Model -  Input'!$B$3:$N$3,0))</f>
        <v>0.5</v>
      </c>
      <c r="J2942" s="531">
        <f>INDEX('Fuel Model -  Input'!$B$3:$N$373,MATCH($B2942,'Fuel Model -  Input'!$B$3:$B$373,0),MATCH(J$2,'Fuel Model -  Input'!$B$3:$N$3,0))</f>
        <v>0</v>
      </c>
      <c r="K2942" s="531">
        <f>INDEX('Fuel Model -  Input'!$B$3:$N$373,MATCH($B2942,'Fuel Model -  Input'!$B$3:$B$373,0),MATCH(K$2,'Fuel Model -  Input'!$B$3:$N$3,0))</f>
        <v>0</v>
      </c>
      <c r="L2942" s="531">
        <f>INDEX('Fuel Model -  Input'!$B$3:$N$373,MATCH($B2942,'Fuel Model -  Input'!$B$3:$B$373,0),MATCH(L$2,'Fuel Model -  Input'!$B$3:$N$3,0))</f>
        <v>0</v>
      </c>
      <c r="M2942" s="531">
        <f>INDEX('Fuel Model -  Input'!$B$3:$N$373,MATCH($B2942,'Fuel Model -  Input'!$B$3:$B$373,0),MATCH(M$2,'Fuel Model -  Input'!$B$3:$N$3,0))</f>
        <v>0</v>
      </c>
    </row>
    <row r="2943" spans="2:13" hidden="1" outlineLevel="2" x14ac:dyDescent="0.2">
      <c r="B2943" t="str">
        <f t="shared" si="1684"/>
        <v>GlobalFeedstockHTL hydrogen fraction - Blue%</v>
      </c>
      <c r="C2943" s="494" t="s">
        <v>109</v>
      </c>
      <c r="D2943" t="s">
        <v>777</v>
      </c>
      <c r="E2943" s="48" t="s">
        <v>1303</v>
      </c>
      <c r="F2943" t="s">
        <v>178</v>
      </c>
      <c r="G2943" s="531">
        <f>INDEX('Fuel Model -  Input'!$B$3:$N$373,MATCH($B2943,'Fuel Model -  Input'!$B$3:$B$373,0),MATCH(G$2,'Fuel Model -  Input'!$B$3:$N$3,0))</f>
        <v>0</v>
      </c>
      <c r="H2943" s="531">
        <f>INDEX('Fuel Model -  Input'!$B$3:$N$373,MATCH($B2943,'Fuel Model -  Input'!$B$3:$B$373,0),MATCH(H$2,'Fuel Model -  Input'!$B$3:$N$3,0))</f>
        <v>0.3</v>
      </c>
      <c r="I2943" s="531">
        <f>INDEX('Fuel Model -  Input'!$B$3:$N$373,MATCH($B2943,'Fuel Model -  Input'!$B$3:$B$373,0),MATCH(I$2,'Fuel Model -  Input'!$B$3:$N$3,0))</f>
        <v>0.5</v>
      </c>
      <c r="J2943" s="531">
        <f>INDEX('Fuel Model -  Input'!$B$3:$N$373,MATCH($B2943,'Fuel Model -  Input'!$B$3:$B$373,0),MATCH(J$2,'Fuel Model -  Input'!$B$3:$N$3,0))</f>
        <v>1</v>
      </c>
      <c r="K2943" s="531">
        <f>INDEX('Fuel Model -  Input'!$B$3:$N$373,MATCH($B2943,'Fuel Model -  Input'!$B$3:$B$373,0),MATCH(K$2,'Fuel Model -  Input'!$B$3:$N$3,0))</f>
        <v>0.9</v>
      </c>
      <c r="L2943" s="531">
        <f>INDEX('Fuel Model -  Input'!$B$3:$N$373,MATCH($B2943,'Fuel Model -  Input'!$B$3:$B$373,0),MATCH(L$2,'Fuel Model -  Input'!$B$3:$N$3,0))</f>
        <v>0.7</v>
      </c>
      <c r="M2943" s="531">
        <f>INDEX('Fuel Model -  Input'!$B$3:$N$373,MATCH($B2943,'Fuel Model -  Input'!$B$3:$B$373,0),MATCH(M$2,'Fuel Model -  Input'!$B$3:$N$3,0))</f>
        <v>0.2</v>
      </c>
    </row>
    <row r="2944" spans="2:13" hidden="1" outlineLevel="2" x14ac:dyDescent="0.2">
      <c r="B2944" t="str">
        <f t="shared" si="1684"/>
        <v>GlobalFeedstockHTL hydrogen fraction - Green%</v>
      </c>
      <c r="C2944" s="494" t="s">
        <v>109</v>
      </c>
      <c r="D2944" t="s">
        <v>777</v>
      </c>
      <c r="E2944" s="48" t="s">
        <v>1304</v>
      </c>
      <c r="F2944" t="s">
        <v>178</v>
      </c>
      <c r="G2944" s="531">
        <f>INDEX('Fuel Model -  Input'!$B$3:$N$373,MATCH($B2944,'Fuel Model -  Input'!$B$3:$B$373,0),MATCH(G$2,'Fuel Model -  Input'!$B$3:$N$3,0))</f>
        <v>0</v>
      </c>
      <c r="H2944" s="531">
        <f>INDEX('Fuel Model -  Input'!$B$3:$N$373,MATCH($B2944,'Fuel Model -  Input'!$B$3:$B$373,0),MATCH(H$2,'Fuel Model -  Input'!$B$3:$N$3,0))</f>
        <v>0</v>
      </c>
      <c r="I2944" s="531">
        <f>INDEX('Fuel Model -  Input'!$B$3:$N$373,MATCH($B2944,'Fuel Model -  Input'!$B$3:$B$373,0),MATCH(I$2,'Fuel Model -  Input'!$B$3:$N$3,0))</f>
        <v>0</v>
      </c>
      <c r="J2944" s="531">
        <f>INDEX('Fuel Model -  Input'!$B$3:$N$373,MATCH($B2944,'Fuel Model -  Input'!$B$3:$B$373,0),MATCH(J$2,'Fuel Model -  Input'!$B$3:$N$3,0))</f>
        <v>0</v>
      </c>
      <c r="K2944" s="531">
        <f>INDEX('Fuel Model -  Input'!$B$3:$N$373,MATCH($B2944,'Fuel Model -  Input'!$B$3:$B$373,0),MATCH(K$2,'Fuel Model -  Input'!$B$3:$N$3,0))</f>
        <v>0.1</v>
      </c>
      <c r="L2944" s="531">
        <f>INDEX('Fuel Model -  Input'!$B$3:$N$373,MATCH($B2944,'Fuel Model -  Input'!$B$3:$B$373,0),MATCH(L$2,'Fuel Model -  Input'!$B$3:$N$3,0))</f>
        <v>0.3</v>
      </c>
      <c r="M2944" s="531">
        <f>INDEX('Fuel Model -  Input'!$B$3:$N$373,MATCH($B2944,'Fuel Model -  Input'!$B$3:$B$373,0),MATCH(M$2,'Fuel Model -  Input'!$B$3:$N$3,0))</f>
        <v>0.8</v>
      </c>
    </row>
    <row r="2945" spans="2:13" hidden="1" outlineLevel="2" x14ac:dyDescent="0.2">
      <c r="B2945" t="str">
        <f t="shared" si="1684"/>
        <v>AmericasResultsCost of Grey HydrogenUSD/ton</v>
      </c>
      <c r="C2945" s="494" t="str">
        <f>+$C$2922</f>
        <v>Americas</v>
      </c>
      <c r="D2945" t="s">
        <v>838</v>
      </c>
      <c r="E2945" s="48" t="s">
        <v>1161</v>
      </c>
      <c r="F2945" s="128" t="s">
        <v>205</v>
      </c>
      <c r="G2945" s="532">
        <f t="shared" ref="G2945:M2947" si="1697">+INDEX(G$2:G$2521,MATCH($B2945,$B$2:$B$2521,0))</f>
        <v>1900.8459455243392</v>
      </c>
      <c r="H2945" s="532">
        <f t="shared" si="1697"/>
        <v>1383.5</v>
      </c>
      <c r="I2945" s="532">
        <f t="shared" si="1697"/>
        <v>1272.3599340263124</v>
      </c>
      <c r="J2945" s="532">
        <f t="shared" si="1697"/>
        <v>1304.7668067109871</v>
      </c>
      <c r="K2945" s="532">
        <f t="shared" si="1697"/>
        <v>1242.0068973465814</v>
      </c>
      <c r="L2945" s="532">
        <f t="shared" si="1697"/>
        <v>1185.4953042493964</v>
      </c>
      <c r="M2945" s="532">
        <f t="shared" si="1697"/>
        <v>1134.3333333333335</v>
      </c>
    </row>
    <row r="2946" spans="2:13" hidden="1" outlineLevel="2" x14ac:dyDescent="0.2">
      <c r="B2946" t="str">
        <f t="shared" si="1684"/>
        <v>AmericasResultsCost of Blue HydrogenUSD/ton</v>
      </c>
      <c r="C2946" s="494" t="str">
        <f>+$C$2922</f>
        <v>Americas</v>
      </c>
      <c r="D2946" t="s">
        <v>838</v>
      </c>
      <c r="E2946" s="48" t="s">
        <v>1200</v>
      </c>
      <c r="F2946" s="128" t="s">
        <v>205</v>
      </c>
      <c r="G2946" s="532">
        <f t="shared" si="1697"/>
        <v>2580.4382058743395</v>
      </c>
      <c r="H2946" s="532">
        <f t="shared" si="1697"/>
        <v>2058.5</v>
      </c>
      <c r="I2946" s="532">
        <f t="shared" si="1697"/>
        <v>1942.7987053013123</v>
      </c>
      <c r="J2946" s="532">
        <f t="shared" si="1697"/>
        <v>1970.675171185987</v>
      </c>
      <c r="K2946" s="532">
        <f t="shared" si="1697"/>
        <v>1903.4154686715815</v>
      </c>
      <c r="L2946" s="532">
        <f t="shared" si="1697"/>
        <v>1842.4344892993963</v>
      </c>
      <c r="M2946" s="532">
        <f t="shared" si="1697"/>
        <v>1786.8333333333335</v>
      </c>
    </row>
    <row r="2947" spans="2:13" hidden="1" outlineLevel="2" x14ac:dyDescent="0.2">
      <c r="B2947" t="str">
        <f t="shared" si="1684"/>
        <v>AmericasResultsCost of e-HydrogenUSD/ton</v>
      </c>
      <c r="C2947" s="494" t="str">
        <f>+$C$2922</f>
        <v>Americas</v>
      </c>
      <c r="D2947" t="s">
        <v>838</v>
      </c>
      <c r="E2947" s="48" t="s">
        <v>853</v>
      </c>
      <c r="F2947" s="128" t="s">
        <v>205</v>
      </c>
      <c r="G2947" s="532">
        <f t="shared" si="1697"/>
        <v>3876.636356716002</v>
      </c>
      <c r="H2947" s="532">
        <f t="shared" si="1697"/>
        <v>3366.8410169683852</v>
      </c>
      <c r="I2947" s="532">
        <f t="shared" si="1697"/>
        <v>2771.1287882193769</v>
      </c>
      <c r="J2947" s="532">
        <f t="shared" si="1697"/>
        <v>2535.0751190319434</v>
      </c>
      <c r="K2947" s="532">
        <f t="shared" si="1697"/>
        <v>2170.7448503750957</v>
      </c>
      <c r="L2947" s="532">
        <f t="shared" si="1697"/>
        <v>1784.032092923293</v>
      </c>
      <c r="M2947" s="532">
        <f t="shared" si="1697"/>
        <v>1402.1107106242639</v>
      </c>
    </row>
    <row r="2948" spans="2:13" hidden="1" outlineLevel="2" x14ac:dyDescent="0.2">
      <c r="C2948" s="494"/>
      <c r="E2948" s="48"/>
      <c r="F2948" s="128"/>
    </row>
    <row r="2949" spans="2:13" hidden="1" outlineLevel="2" x14ac:dyDescent="0.2">
      <c r="B2949" t="str">
        <f t="shared" ref="B2949:B2955" si="1698">+C2949&amp;D2949&amp;E2949&amp;F2949</f>
        <v>AmericasFeedstockBiomass costUSD/ton Methanol</v>
      </c>
      <c r="C2949" s="494" t="str">
        <f>+$C$2922</f>
        <v>Americas</v>
      </c>
      <c r="D2949" t="s">
        <v>777</v>
      </c>
      <c r="E2949" s="48" t="s">
        <v>1237</v>
      </c>
      <c r="F2949" s="128" t="s">
        <v>1229</v>
      </c>
      <c r="G2949" s="8">
        <f>+G2951*G2952*G2953+G2950*G2954*G2955</f>
        <v>248.22625768684975</v>
      </c>
      <c r="H2949" s="8">
        <f t="shared" ref="H2949" si="1699">+H2951*H2952*H2953+H2950*H2954*H2955</f>
        <v>252.55455216623091</v>
      </c>
      <c r="I2949" s="8">
        <f t="shared" ref="I2949" si="1700">+I2951*I2952*I2953+I2950*I2954*I2955</f>
        <v>257.96492026545741</v>
      </c>
      <c r="J2949" s="8">
        <f t="shared" ref="J2949" si="1701">+J2951*J2952*J2953+J2950*J2954*J2955</f>
        <v>262.29321474483856</v>
      </c>
      <c r="K2949" s="8">
        <f t="shared" ref="K2949" si="1702">+K2951*K2952*K2953+K2950*K2954*K2955</f>
        <v>266.62150922421972</v>
      </c>
      <c r="L2949" s="8">
        <f t="shared" ref="L2949" si="1703">+L2951*L2952*L2953+L2950*L2954*L2955</f>
        <v>272.03187732344617</v>
      </c>
      <c r="M2949" s="8">
        <f t="shared" ref="M2949" si="1704">+M2951*M2952*M2953+M2950*M2954*M2955</f>
        <v>276.36017180282732</v>
      </c>
    </row>
    <row r="2950" spans="2:13" hidden="1" outlineLevel="2" x14ac:dyDescent="0.2">
      <c r="B2950" t="str">
        <f t="shared" si="1698"/>
        <v>GlobalFeedstockDry wood biomass market share HTL%</v>
      </c>
      <c r="C2950" s="494" t="s">
        <v>109</v>
      </c>
      <c r="D2950" t="s">
        <v>777</v>
      </c>
      <c r="E2950" t="s">
        <v>1305</v>
      </c>
      <c r="F2950" t="s">
        <v>178</v>
      </c>
      <c r="G2950" s="531">
        <f>+INDEX('Fuel Model -  Input'!$B$3:$N$1312,MATCH($B2950,'Fuel Model -  Input'!$B$3:$B$1312,0),MATCH(G$2,'Fuel Model -  Input'!$B$3:$N$3,0))</f>
        <v>0.3</v>
      </c>
      <c r="H2950" s="531">
        <f>+INDEX('Fuel Model -  Input'!$B$3:$N$1312,MATCH($B2950,'Fuel Model -  Input'!$B$3:$B$1312,0),MATCH(H$2,'Fuel Model -  Input'!$B$3:$N$3,0))</f>
        <v>0.3</v>
      </c>
      <c r="I2950" s="531">
        <f>+INDEX('Fuel Model -  Input'!$B$3:$N$1312,MATCH($B2950,'Fuel Model -  Input'!$B$3:$B$1312,0),MATCH(I$2,'Fuel Model -  Input'!$B$3:$N$3,0))</f>
        <v>0.3</v>
      </c>
      <c r="J2950" s="531">
        <f>+INDEX('Fuel Model -  Input'!$B$3:$N$1312,MATCH($B2950,'Fuel Model -  Input'!$B$3:$B$1312,0),MATCH(J$2,'Fuel Model -  Input'!$B$3:$N$3,0))</f>
        <v>0.3</v>
      </c>
      <c r="K2950" s="531">
        <f>+INDEX('Fuel Model -  Input'!$B$3:$N$1312,MATCH($B2950,'Fuel Model -  Input'!$B$3:$B$1312,0),MATCH(K$2,'Fuel Model -  Input'!$B$3:$N$3,0))</f>
        <v>0.3</v>
      </c>
      <c r="L2950" s="531">
        <f>+INDEX('Fuel Model -  Input'!$B$3:$N$1312,MATCH($B2950,'Fuel Model -  Input'!$B$3:$B$1312,0),MATCH(L$2,'Fuel Model -  Input'!$B$3:$N$3,0))</f>
        <v>0.3</v>
      </c>
      <c r="M2950" s="531">
        <f>+INDEX('Fuel Model -  Input'!$B$3:$N$1312,MATCH($B2950,'Fuel Model -  Input'!$B$3:$B$1312,0),MATCH(M$2,'Fuel Model -  Input'!$B$3:$N$3,0))</f>
        <v>0.3</v>
      </c>
    </row>
    <row r="2951" spans="2:13" hidden="1" outlineLevel="2" x14ac:dyDescent="0.2">
      <c r="B2951" t="str">
        <f t="shared" si="1698"/>
        <v>GlobalFeedstockOrganic wet waste market share HTL%</v>
      </c>
      <c r="C2951" s="494" t="s">
        <v>109</v>
      </c>
      <c r="D2951" t="s">
        <v>777</v>
      </c>
      <c r="E2951" t="s">
        <v>1306</v>
      </c>
      <c r="F2951" t="s">
        <v>178</v>
      </c>
      <c r="G2951" s="531">
        <f>+INDEX('Fuel Model -  Input'!$B$3:$N$1312,MATCH($B2951,'Fuel Model -  Input'!$B$3:$B$1312,0),MATCH(G$2,'Fuel Model -  Input'!$B$3:$N$3,0))</f>
        <v>0.7</v>
      </c>
      <c r="H2951" s="531">
        <f>+INDEX('Fuel Model -  Input'!$B$3:$N$1312,MATCH($B2951,'Fuel Model -  Input'!$B$3:$B$1312,0),MATCH(H$2,'Fuel Model -  Input'!$B$3:$N$3,0))</f>
        <v>0.7</v>
      </c>
      <c r="I2951" s="531">
        <f>+INDEX('Fuel Model -  Input'!$B$3:$N$1312,MATCH($B2951,'Fuel Model -  Input'!$B$3:$B$1312,0),MATCH(I$2,'Fuel Model -  Input'!$B$3:$N$3,0))</f>
        <v>0.7</v>
      </c>
      <c r="J2951" s="531">
        <f>+INDEX('Fuel Model -  Input'!$B$3:$N$1312,MATCH($B2951,'Fuel Model -  Input'!$B$3:$B$1312,0),MATCH(J$2,'Fuel Model -  Input'!$B$3:$N$3,0))</f>
        <v>0.7</v>
      </c>
      <c r="K2951" s="531">
        <f>+INDEX('Fuel Model -  Input'!$B$3:$N$1312,MATCH($B2951,'Fuel Model -  Input'!$B$3:$B$1312,0),MATCH(K$2,'Fuel Model -  Input'!$B$3:$N$3,0))</f>
        <v>0.7</v>
      </c>
      <c r="L2951" s="531">
        <f>+INDEX('Fuel Model -  Input'!$B$3:$N$1312,MATCH($B2951,'Fuel Model -  Input'!$B$3:$B$1312,0),MATCH(L$2,'Fuel Model -  Input'!$B$3:$N$3,0))</f>
        <v>0.7</v>
      </c>
      <c r="M2951" s="531">
        <f>+INDEX('Fuel Model -  Input'!$B$3:$N$1312,MATCH($B2951,'Fuel Model -  Input'!$B$3:$B$1312,0),MATCH(M$2,'Fuel Model -  Input'!$B$3:$N$3,0))</f>
        <v>0.7</v>
      </c>
    </row>
    <row r="2952" spans="2:13" hidden="1" outlineLevel="2" x14ac:dyDescent="0.2">
      <c r="B2952" t="str">
        <f t="shared" si="1698"/>
        <v>GlobalFeedstockConversion Organic wet waste : HTL oilTon feedstock / ton fuel</v>
      </c>
      <c r="C2952" s="494" t="s">
        <v>109</v>
      </c>
      <c r="D2952" t="s">
        <v>777</v>
      </c>
      <c r="E2952" t="s">
        <v>1307</v>
      </c>
      <c r="F2952" s="128" t="s">
        <v>1241</v>
      </c>
      <c r="G2952" s="521">
        <f>INDEX('Fuel Model -  Input'!$B$3:$N$373,MATCH($B2952,'Fuel Model -  Input'!$B$3:$B$373,0),MATCH(G$2,'Fuel Model -  Input'!$B$3:$N$3,0))</f>
        <v>4.4642857142857135</v>
      </c>
      <c r="H2952" s="521">
        <f>INDEX('Fuel Model -  Input'!$B$3:$N$373,MATCH($B2952,'Fuel Model -  Input'!$B$3:$B$373,0),MATCH(H$2,'Fuel Model -  Input'!$B$3:$N$3,0))</f>
        <v>4.4642857142857135</v>
      </c>
      <c r="I2952" s="521">
        <f>INDEX('Fuel Model -  Input'!$B$3:$N$373,MATCH($B2952,'Fuel Model -  Input'!$B$3:$B$373,0),MATCH(I$2,'Fuel Model -  Input'!$B$3:$N$3,0))</f>
        <v>4.4642857142857135</v>
      </c>
      <c r="J2952" s="521">
        <f>INDEX('Fuel Model -  Input'!$B$3:$N$373,MATCH($B2952,'Fuel Model -  Input'!$B$3:$B$373,0),MATCH(J$2,'Fuel Model -  Input'!$B$3:$N$3,0))</f>
        <v>4.4642857142857135</v>
      </c>
      <c r="K2952" s="521">
        <f>INDEX('Fuel Model -  Input'!$B$3:$N$373,MATCH($B2952,'Fuel Model -  Input'!$B$3:$B$373,0),MATCH(K$2,'Fuel Model -  Input'!$B$3:$N$3,0))</f>
        <v>4.4642857142857135</v>
      </c>
      <c r="L2952" s="521">
        <f>INDEX('Fuel Model -  Input'!$B$3:$N$373,MATCH($B2952,'Fuel Model -  Input'!$B$3:$B$373,0),MATCH(L$2,'Fuel Model -  Input'!$B$3:$N$3,0))</f>
        <v>4.4642857142857135</v>
      </c>
      <c r="M2952" s="521">
        <f>INDEX('Fuel Model -  Input'!$B$3:$N$373,MATCH($B2952,'Fuel Model -  Input'!$B$3:$B$373,0),MATCH(M$2,'Fuel Model -  Input'!$B$3:$N$3,0))</f>
        <v>4.4642857142857135</v>
      </c>
    </row>
    <row r="2953" spans="2:13" hidden="1" outlineLevel="2" x14ac:dyDescent="0.2">
      <c r="B2953" t="str">
        <f t="shared" si="1698"/>
        <v>AmericasFeedstockCost of Organic wet wasteUSD/ton</v>
      </c>
      <c r="C2953" s="494" t="str">
        <f>+$C$2922</f>
        <v>Americas</v>
      </c>
      <c r="D2953" t="s">
        <v>777</v>
      </c>
      <c r="E2953" s="48" t="s">
        <v>1242</v>
      </c>
      <c r="F2953" s="450" t="s">
        <v>205</v>
      </c>
      <c r="G2953" s="532">
        <f>+INDEX('Fuel Model -  Input'!$B$3:$N$373,MATCH($B2953,'Fuel Model -  Input'!$B$3:$B$373,0),MATCH(G$2,'Fuel Model -  Input'!$B$3:$N$3,0))</f>
        <v>50</v>
      </c>
      <c r="H2953" s="532">
        <f>+INDEX('Fuel Model -  Input'!$B$3:$N$373,MATCH($B2953,'Fuel Model -  Input'!$B$3:$B$373,0),MATCH(H$2,'Fuel Model -  Input'!$B$3:$N$3,0))</f>
        <v>50</v>
      </c>
      <c r="I2953" s="532">
        <f>+INDEX('Fuel Model -  Input'!$B$3:$N$373,MATCH($B2953,'Fuel Model -  Input'!$B$3:$B$373,0),MATCH(I$2,'Fuel Model -  Input'!$B$3:$N$3,0))</f>
        <v>50</v>
      </c>
      <c r="J2953" s="532">
        <f>+INDEX('Fuel Model -  Input'!$B$3:$N$373,MATCH($B2953,'Fuel Model -  Input'!$B$3:$B$373,0),MATCH(J$2,'Fuel Model -  Input'!$B$3:$N$3,0))</f>
        <v>50</v>
      </c>
      <c r="K2953" s="532">
        <f>+INDEX('Fuel Model -  Input'!$B$3:$N$373,MATCH($B2953,'Fuel Model -  Input'!$B$3:$B$373,0),MATCH(K$2,'Fuel Model -  Input'!$B$3:$N$3,0))</f>
        <v>50</v>
      </c>
      <c r="L2953" s="532">
        <f>+INDEX('Fuel Model -  Input'!$B$3:$N$373,MATCH($B2953,'Fuel Model -  Input'!$B$3:$B$373,0),MATCH(L$2,'Fuel Model -  Input'!$B$3:$N$3,0))</f>
        <v>50</v>
      </c>
      <c r="M2953" s="532">
        <f>+INDEX('Fuel Model -  Input'!$B$3:$N$373,MATCH($B2953,'Fuel Model -  Input'!$B$3:$B$373,0),MATCH(M$2,'Fuel Model -  Input'!$B$3:$N$3,0))</f>
        <v>50</v>
      </c>
    </row>
    <row r="2954" spans="2:13" hidden="1" outlineLevel="2" x14ac:dyDescent="0.2">
      <c r="B2954" t="str">
        <f t="shared" si="1698"/>
        <v>GlobalFeedstockConversion Dry Wood biomass : HTL oilTon feedstock / ton fuel</v>
      </c>
      <c r="C2954" s="494" t="s">
        <v>109</v>
      </c>
      <c r="D2954" t="s">
        <v>777</v>
      </c>
      <c r="E2954" s="48" t="s">
        <v>1308</v>
      </c>
      <c r="F2954" s="128" t="s">
        <v>1241</v>
      </c>
      <c r="G2954" s="521">
        <f>INDEX('Fuel Model -  Input'!$B$3:$N$373,MATCH($B2954,'Fuel Model -  Input'!$B$3:$B$373,0),MATCH(G$2,'Fuel Model -  Input'!$B$3:$N$3,0))</f>
        <v>3.6069120661509726</v>
      </c>
      <c r="H2954" s="521">
        <f>INDEX('Fuel Model -  Input'!$B$3:$N$373,MATCH($B2954,'Fuel Model -  Input'!$B$3:$B$373,0),MATCH(H$2,'Fuel Model -  Input'!$B$3:$N$3,0))</f>
        <v>3.6069120661509726</v>
      </c>
      <c r="I2954" s="521">
        <f>INDEX('Fuel Model -  Input'!$B$3:$N$373,MATCH($B2954,'Fuel Model -  Input'!$B$3:$B$373,0),MATCH(I$2,'Fuel Model -  Input'!$B$3:$N$3,0))</f>
        <v>3.6069120661509726</v>
      </c>
      <c r="J2954" s="521">
        <f>INDEX('Fuel Model -  Input'!$B$3:$N$373,MATCH($B2954,'Fuel Model -  Input'!$B$3:$B$373,0),MATCH(J$2,'Fuel Model -  Input'!$B$3:$N$3,0))</f>
        <v>3.6069120661509726</v>
      </c>
      <c r="K2954" s="521">
        <f>INDEX('Fuel Model -  Input'!$B$3:$N$373,MATCH($B2954,'Fuel Model -  Input'!$B$3:$B$373,0),MATCH(K$2,'Fuel Model -  Input'!$B$3:$N$3,0))</f>
        <v>3.6069120661509726</v>
      </c>
      <c r="L2954" s="521">
        <f>INDEX('Fuel Model -  Input'!$B$3:$N$373,MATCH($B2954,'Fuel Model -  Input'!$B$3:$B$373,0),MATCH(L$2,'Fuel Model -  Input'!$B$3:$N$3,0))</f>
        <v>3.6069120661509726</v>
      </c>
      <c r="M2954" s="521">
        <f>INDEX('Fuel Model -  Input'!$B$3:$N$373,MATCH($B2954,'Fuel Model -  Input'!$B$3:$B$373,0),MATCH(M$2,'Fuel Model -  Input'!$B$3:$N$3,0))</f>
        <v>3.6069120661509726</v>
      </c>
    </row>
    <row r="2955" spans="2:13" hidden="1" outlineLevel="2" x14ac:dyDescent="0.2">
      <c r="B2955" t="str">
        <f t="shared" si="1698"/>
        <v>AmericasFeedstockCost of Wood biomassUSD/ton Wood</v>
      </c>
      <c r="C2955" s="494" t="s">
        <v>199</v>
      </c>
      <c r="D2955" t="s">
        <v>777</v>
      </c>
      <c r="E2955" s="48" t="s">
        <v>1244</v>
      </c>
      <c r="F2955" s="128" t="s">
        <v>1245</v>
      </c>
      <c r="G2955" s="524">
        <f>+INDEX('Fuel Model -  Input'!$B$3:$N$373,MATCH($B2955,'Fuel Model -  Input'!$B$3:$B$373,0),MATCH(G$2,'Fuel Model -  Input'!$B$3:$N$3,0))</f>
        <v>85</v>
      </c>
      <c r="H2955" s="524">
        <f>+INDEX('Fuel Model -  Input'!$B$3:$N$373,MATCH($B2955,'Fuel Model -  Input'!$B$3:$B$373,0),MATCH(H$2,'Fuel Model -  Input'!$B$3:$N$3,0))</f>
        <v>89</v>
      </c>
      <c r="I2955" s="524">
        <f>+INDEX('Fuel Model -  Input'!$B$3:$N$373,MATCH($B2955,'Fuel Model -  Input'!$B$3:$B$373,0),MATCH(I$2,'Fuel Model -  Input'!$B$3:$N$3,0))</f>
        <v>94</v>
      </c>
      <c r="J2955" s="524">
        <f>+INDEX('Fuel Model -  Input'!$B$3:$N$373,MATCH($B2955,'Fuel Model -  Input'!$B$3:$B$373,0),MATCH(J$2,'Fuel Model -  Input'!$B$3:$N$3,0))</f>
        <v>98</v>
      </c>
      <c r="K2955" s="524">
        <f>+INDEX('Fuel Model -  Input'!$B$3:$N$373,MATCH($B2955,'Fuel Model -  Input'!$B$3:$B$373,0),MATCH(K$2,'Fuel Model -  Input'!$B$3:$N$3,0))</f>
        <v>102</v>
      </c>
      <c r="L2955" s="524">
        <f>+INDEX('Fuel Model -  Input'!$B$3:$N$373,MATCH($B2955,'Fuel Model -  Input'!$B$3:$B$373,0),MATCH(L$2,'Fuel Model -  Input'!$B$3:$N$3,0))</f>
        <v>107</v>
      </c>
      <c r="M2955" s="524">
        <f>+INDEX('Fuel Model -  Input'!$B$3:$N$373,MATCH($B2955,'Fuel Model -  Input'!$B$3:$B$373,0),MATCH(M$2,'Fuel Model -  Input'!$B$3:$N$3,0))</f>
        <v>111</v>
      </c>
    </row>
    <row r="2956" spans="2:13" ht="12.75" hidden="1" outlineLevel="1" x14ac:dyDescent="0.2">
      <c r="F2956"/>
    </row>
    <row r="2957" spans="2:13" s="30" customFormat="1" ht="15" hidden="1" outlineLevel="1" collapsed="1" x14ac:dyDescent="0.25">
      <c r="B2957" s="30" t="s">
        <v>200</v>
      </c>
      <c r="C2957" s="30" t="str">
        <f>+B2957</f>
        <v>Africa</v>
      </c>
    </row>
    <row r="2958" spans="2:13" ht="15" hidden="1" outlineLevel="2" x14ac:dyDescent="0.25">
      <c r="B2958" t="str">
        <f>+C2958&amp;D2958&amp;E2958&amp;F2958</f>
        <v>AfricaResultsTotal cost of Biodiesel (HtL)USD/ton</v>
      </c>
      <c r="C2958" s="494" t="str">
        <f>+$C$2957</f>
        <v>Africa</v>
      </c>
      <c r="D2958" s="30" t="s">
        <v>838</v>
      </c>
      <c r="E2958" s="405" t="s">
        <v>1283</v>
      </c>
      <c r="F2958" s="127" t="s">
        <v>205</v>
      </c>
      <c r="G2958" s="490">
        <f>+SUM(G2959:G2962)</f>
        <v>6913.4170095252111</v>
      </c>
      <c r="H2958" s="490">
        <f t="shared" ref="H2958" si="1705">+SUM(H2959:H2962)</f>
        <v>2277.931008676107</v>
      </c>
      <c r="I2958" s="490">
        <f t="shared" ref="I2958" si="1706">+SUM(I2959:I2962)</f>
        <v>1059.8678259084766</v>
      </c>
      <c r="J2958" s="490">
        <f t="shared" ref="J2958" si="1707">+SUM(J2959:J2962)</f>
        <v>1042.0939638480768</v>
      </c>
      <c r="K2958" s="490">
        <f t="shared" ref="K2958" si="1708">+SUM(K2959:K2962)</f>
        <v>1020.9033191142904</v>
      </c>
      <c r="L2958" s="490">
        <f t="shared" ref="L2958" si="1709">+SUM(L2959:L2962)</f>
        <v>991.08279827462457</v>
      </c>
      <c r="M2958" s="490">
        <f t="shared" ref="M2958" si="1710">+SUM(M2959:M2962)</f>
        <v>935.93444722497964</v>
      </c>
    </row>
    <row r="2959" spans="2:13" ht="15" hidden="1" outlineLevel="2" x14ac:dyDescent="0.25">
      <c r="B2959" t="str">
        <f>+C2959&amp;D2959&amp;E2959&amp;F2959</f>
        <v>AfricaResultsTotal Capex Biodiesel (HtL)USD/ton</v>
      </c>
      <c r="C2959" s="494" t="str">
        <f>+$C$2957</f>
        <v>Africa</v>
      </c>
      <c r="D2959" s="30" t="s">
        <v>838</v>
      </c>
      <c r="E2959" s="228" t="s">
        <v>1284</v>
      </c>
      <c r="F2959" s="127" t="s">
        <v>205</v>
      </c>
      <c r="G2959" s="490">
        <f>G2966/G2965</f>
        <v>1314.6947939385132</v>
      </c>
      <c r="H2959" s="490">
        <f t="shared" ref="H2959:M2959" si="1711">H2966/H2965</f>
        <v>788.81687636310789</v>
      </c>
      <c r="I2959" s="490">
        <f t="shared" si="1711"/>
        <v>262.93895878770263</v>
      </c>
      <c r="J2959" s="490">
        <f t="shared" si="1711"/>
        <v>247.16262126044049</v>
      </c>
      <c r="K2959" s="490">
        <f t="shared" si="1711"/>
        <v>239.2744524968094</v>
      </c>
      <c r="L2959" s="490">
        <f t="shared" si="1711"/>
        <v>231.38628373317832</v>
      </c>
      <c r="M2959" s="490">
        <f t="shared" si="1711"/>
        <v>223.49811496954723</v>
      </c>
    </row>
    <row r="2960" spans="2:13" ht="15" hidden="1" outlineLevel="2" x14ac:dyDescent="0.25">
      <c r="B2960" t="str">
        <f>+C2960&amp;D2960&amp;E2960&amp;F2960</f>
        <v>AfricaResultsTotal Opex Biodiesel (HtL)USD/ton</v>
      </c>
      <c r="C2960" s="494" t="str">
        <f>+$C$2957</f>
        <v>Africa</v>
      </c>
      <c r="D2960" s="30" t="s">
        <v>838</v>
      </c>
      <c r="E2960" s="228" t="s">
        <v>1285</v>
      </c>
      <c r="F2960" s="127" t="s">
        <v>205</v>
      </c>
      <c r="G2960" s="490">
        <f>+G2968</f>
        <v>4821.1718011339271</v>
      </c>
      <c r="H2960" s="490">
        <f t="shared" ref="H2960:M2960" si="1712">+H2968</f>
        <v>964.23436022678538</v>
      </c>
      <c r="I2960" s="490">
        <f t="shared" si="1712"/>
        <v>321.41145340892848</v>
      </c>
      <c r="J2960" s="490">
        <f t="shared" si="1712"/>
        <v>302.12676620439277</v>
      </c>
      <c r="K2960" s="490">
        <f t="shared" si="1712"/>
        <v>292.48442260212494</v>
      </c>
      <c r="L2960" s="490">
        <f t="shared" si="1712"/>
        <v>282.84207899985711</v>
      </c>
      <c r="M2960" s="490">
        <f t="shared" si="1712"/>
        <v>273.19973539758922</v>
      </c>
    </row>
    <row r="2961" spans="2:13" ht="15" hidden="1" outlineLevel="2" x14ac:dyDescent="0.25">
      <c r="B2961" t="str">
        <f>+C2961&amp;D2961&amp;E2961&amp;F2961</f>
        <v>AfricaResultsTotal RNE Biodiesel (HtL)USD/ton</v>
      </c>
      <c r="C2961" s="494" t="str">
        <f>+$C$2957</f>
        <v>Africa</v>
      </c>
      <c r="D2961" s="30" t="s">
        <v>838</v>
      </c>
      <c r="E2961" s="228" t="s">
        <v>1286</v>
      </c>
      <c r="F2961" s="127" t="s">
        <v>205</v>
      </c>
      <c r="G2961" s="490">
        <f>+G2970</f>
        <v>63.202704355445796</v>
      </c>
      <c r="H2961" s="490">
        <f t="shared" ref="H2961:M2961" si="1713">+H2970</f>
        <v>35.761364084933575</v>
      </c>
      <c r="I2961" s="490">
        <f t="shared" si="1713"/>
        <v>28.008812897662878</v>
      </c>
      <c r="J2961" s="490">
        <f t="shared" si="1713"/>
        <v>23.667136066103538</v>
      </c>
      <c r="K2961" s="490">
        <f t="shared" si="1713"/>
        <v>21.592117906088809</v>
      </c>
      <c r="L2961" s="490">
        <f t="shared" si="1713"/>
        <v>19.475815971079118</v>
      </c>
      <c r="M2961" s="490">
        <f t="shared" si="1713"/>
        <v>18.407682912396016</v>
      </c>
    </row>
    <row r="2962" spans="2:13" ht="15" hidden="1" outlineLevel="2" x14ac:dyDescent="0.25">
      <c r="B2962" t="str">
        <f>+C2962&amp;D2962&amp;E2962&amp;F2962</f>
        <v>AfricaResultsTotal Raw Material Biodiesel (HtL)USD/ton</v>
      </c>
      <c r="C2962" s="494" t="str">
        <f>+$C$2957</f>
        <v>Africa</v>
      </c>
      <c r="D2962" s="30" t="s">
        <v>838</v>
      </c>
      <c r="E2962" s="228" t="s">
        <v>1287</v>
      </c>
      <c r="F2962" s="127" t="s">
        <v>205</v>
      </c>
      <c r="G2962" s="490">
        <f t="shared" ref="G2962:M2962" si="1714">+G2974+G2984</f>
        <v>714.34771009732503</v>
      </c>
      <c r="H2962" s="490">
        <f t="shared" si="1714"/>
        <v>489.11840800128027</v>
      </c>
      <c r="I2962" s="490">
        <f t="shared" si="1714"/>
        <v>447.5086008141825</v>
      </c>
      <c r="J2962" s="490">
        <f t="shared" si="1714"/>
        <v>469.13744031714009</v>
      </c>
      <c r="K2962" s="490">
        <f t="shared" si="1714"/>
        <v>467.55232610926726</v>
      </c>
      <c r="L2962" s="490">
        <f t="shared" si="1714"/>
        <v>457.37861957051007</v>
      </c>
      <c r="M2962" s="490">
        <f t="shared" si="1714"/>
        <v>420.8289139454472</v>
      </c>
    </row>
    <row r="2963" spans="2:13" hidden="1" outlineLevel="2" x14ac:dyDescent="0.2">
      <c r="C2963" s="494"/>
      <c r="E2963" s="48"/>
      <c r="F2963" s="128"/>
      <c r="G2963" s="8"/>
      <c r="H2963" s="8"/>
      <c r="I2963" s="8"/>
      <c r="J2963" s="8"/>
      <c r="K2963" s="8"/>
      <c r="L2963" s="8"/>
      <c r="M2963" s="8"/>
    </row>
    <row r="2964" spans="2:13" hidden="1" outlineLevel="2" x14ac:dyDescent="0.2">
      <c r="B2964" t="str">
        <f>+C2964&amp;D2964&amp;E2964&amp;F2964</f>
        <v>AfricaHTL PlantAnnual capex (HTL)USD/ton HTL Oil</v>
      </c>
      <c r="C2964" s="494" t="str">
        <f>+$C$2957</f>
        <v>Africa</v>
      </c>
      <c r="D2964" t="s">
        <v>1288</v>
      </c>
      <c r="E2964" s="48" t="s">
        <v>1289</v>
      </c>
      <c r="F2964" s="128" t="s">
        <v>1290</v>
      </c>
      <c r="G2964" s="8">
        <f t="shared" ref="G2964:M2964" si="1715">G2966/G2965</f>
        <v>1314.6947939385132</v>
      </c>
      <c r="H2964" s="8">
        <f t="shared" si="1715"/>
        <v>788.81687636310789</v>
      </c>
      <c r="I2964" s="8">
        <f t="shared" si="1715"/>
        <v>262.93895878770263</v>
      </c>
      <c r="J2964" s="8">
        <f t="shared" si="1715"/>
        <v>247.16262126044049</v>
      </c>
      <c r="K2964" s="8">
        <f t="shared" si="1715"/>
        <v>239.2744524968094</v>
      </c>
      <c r="L2964" s="8">
        <f t="shared" si="1715"/>
        <v>231.38628373317832</v>
      </c>
      <c r="M2964" s="8">
        <f t="shared" si="1715"/>
        <v>223.49811496954723</v>
      </c>
    </row>
    <row r="2965" spans="2:13" hidden="1" outlineLevel="2" x14ac:dyDescent="0.2">
      <c r="B2965" t="str">
        <f>+C2965&amp;D2965&amp;E2965&amp;F2965</f>
        <v>GlobalPlant capexAnnualisation factor#</v>
      </c>
      <c r="C2965" s="494" t="s">
        <v>109</v>
      </c>
      <c r="D2965" t="s">
        <v>786</v>
      </c>
      <c r="E2965" t="s">
        <v>764</v>
      </c>
      <c r="F2965" s="450" t="s">
        <v>787</v>
      </c>
      <c r="G2965" s="532">
        <f>+INDEX('Fuel Model -  Input'!$B$3:$N$373,MATCH($B2965,'Fuel Model -  Input'!$B$3:$B$373,0),MATCH(G$2,'Fuel Model -  Input'!$B$3:$N$3,0))</f>
        <v>11.32075471698113</v>
      </c>
      <c r="H2965" s="532">
        <f>+INDEX('Fuel Model -  Input'!$B$3:$N$373,MATCH($B2965,'Fuel Model -  Input'!$B$3:$B$373,0),MATCH(H$2,'Fuel Model -  Input'!$B$3:$N$3,0))</f>
        <v>11.32075471698113</v>
      </c>
      <c r="I2965" s="532">
        <f>+INDEX('Fuel Model -  Input'!$B$3:$N$373,MATCH($B2965,'Fuel Model -  Input'!$B$3:$B$373,0),MATCH(I$2,'Fuel Model -  Input'!$B$3:$N$3,0))</f>
        <v>11.32075471698113</v>
      </c>
      <c r="J2965" s="532">
        <f>+INDEX('Fuel Model -  Input'!$B$3:$N$373,MATCH($B2965,'Fuel Model -  Input'!$B$3:$B$373,0),MATCH(J$2,'Fuel Model -  Input'!$B$3:$N$3,0))</f>
        <v>11.32075471698113</v>
      </c>
      <c r="K2965" s="532">
        <f>+INDEX('Fuel Model -  Input'!$B$3:$N$373,MATCH($B2965,'Fuel Model -  Input'!$B$3:$B$373,0),MATCH(K$2,'Fuel Model -  Input'!$B$3:$N$3,0))</f>
        <v>11.32075471698113</v>
      </c>
      <c r="L2965" s="532">
        <f>+INDEX('Fuel Model -  Input'!$B$3:$N$373,MATCH($B2965,'Fuel Model -  Input'!$B$3:$B$373,0),MATCH(L$2,'Fuel Model -  Input'!$B$3:$N$3,0))</f>
        <v>11.32075471698113</v>
      </c>
      <c r="M2965" s="532">
        <f>+INDEX('Fuel Model -  Input'!$B$3:$N$373,MATCH($B2965,'Fuel Model -  Input'!$B$3:$B$373,0),MATCH(M$2,'Fuel Model -  Input'!$B$3:$N$3,0))</f>
        <v>11.32075471698113</v>
      </c>
    </row>
    <row r="2966" spans="2:13" hidden="1" outlineLevel="2" x14ac:dyDescent="0.2">
      <c r="B2966" t="str">
        <f>+C2966&amp;D2966&amp;E2966&amp;F2966</f>
        <v>GlobalCAPEXHTL plantUSD/ton HTL oil capacity</v>
      </c>
      <c r="C2966" s="494" t="s">
        <v>109</v>
      </c>
      <c r="D2966" t="s">
        <v>50</v>
      </c>
      <c r="E2966" t="s">
        <v>1291</v>
      </c>
      <c r="F2966" s="157" t="s">
        <v>1292</v>
      </c>
      <c r="G2966" s="532">
        <f>+INDEX('Fuel Model -  Input'!$B$3:$N$373,MATCH($B2966,'Fuel Model -  Input'!$B$3:$B$373,0),MATCH(G$2,'Fuel Model -  Input'!$B$3:$N$3,0))</f>
        <v>14883.337289869958</v>
      </c>
      <c r="H2966" s="532">
        <f>+INDEX('Fuel Model -  Input'!$B$3:$N$373,MATCH($B2966,'Fuel Model -  Input'!$B$3:$B$373,0),MATCH(H$2,'Fuel Model -  Input'!$B$3:$N$3,0))</f>
        <v>8930.0023739219741</v>
      </c>
      <c r="I2966" s="532">
        <f>+INDEX('Fuel Model -  Input'!$B$3:$N$373,MATCH($B2966,'Fuel Model -  Input'!$B$3:$B$373,0),MATCH(I$2,'Fuel Model -  Input'!$B$3:$N$3,0))</f>
        <v>2976.6674579739915</v>
      </c>
      <c r="J2966" s="532">
        <f>+INDEX('Fuel Model -  Input'!$B$3:$N$373,MATCH($B2966,'Fuel Model -  Input'!$B$3:$B$373,0),MATCH(J$2,'Fuel Model -  Input'!$B$3:$N$3,0))</f>
        <v>2798.0674104955519</v>
      </c>
      <c r="K2966" s="532">
        <f>+INDEX('Fuel Model -  Input'!$B$3:$N$373,MATCH($B2966,'Fuel Model -  Input'!$B$3:$B$373,0),MATCH(K$2,'Fuel Model -  Input'!$B$3:$N$3,0))</f>
        <v>2708.7673867563321</v>
      </c>
      <c r="L2966" s="532">
        <f>+INDEX('Fuel Model -  Input'!$B$3:$N$373,MATCH($B2966,'Fuel Model -  Input'!$B$3:$B$373,0),MATCH(L$2,'Fuel Model -  Input'!$B$3:$N$3,0))</f>
        <v>2619.4673630171123</v>
      </c>
      <c r="M2966" s="532">
        <f>+INDEX('Fuel Model -  Input'!$B$3:$N$373,MATCH($B2966,'Fuel Model -  Input'!$B$3:$B$373,0),MATCH(M$2,'Fuel Model -  Input'!$B$3:$N$3,0))</f>
        <v>2530.1673392778926</v>
      </c>
    </row>
    <row r="2967" spans="2:13" hidden="1" outlineLevel="2" x14ac:dyDescent="0.2">
      <c r="C2967" s="494"/>
      <c r="E2967" s="48"/>
      <c r="F2967" s="128"/>
      <c r="G2967" s="524"/>
      <c r="H2967" s="524"/>
      <c r="I2967" s="524"/>
      <c r="J2967" s="524"/>
      <c r="K2967" s="524"/>
      <c r="L2967" s="524"/>
      <c r="M2967" s="524"/>
    </row>
    <row r="2968" spans="2:13" hidden="1" outlineLevel="2" x14ac:dyDescent="0.2">
      <c r="B2968" t="str">
        <f>+C2968&amp;D2968&amp;E2968&amp;F2968</f>
        <v>GlobalOPEXPlant opexUSD/ton HTL oil</v>
      </c>
      <c r="C2968" s="494" t="s">
        <v>109</v>
      </c>
      <c r="D2968" t="s">
        <v>319</v>
      </c>
      <c r="E2968" t="s">
        <v>1293</v>
      </c>
      <c r="F2968" s="128" t="s">
        <v>1294</v>
      </c>
      <c r="G2968" s="532">
        <f>+INDEX('Fuel Model -  Input'!$B$3:$N$373,MATCH($B2968,'Fuel Model -  Input'!$B$3:$B$373,0),MATCH(G$2,'Fuel Model -  Input'!$B$3:$N$3,0))</f>
        <v>4821.1718011339271</v>
      </c>
      <c r="H2968" s="532">
        <f>+INDEX('Fuel Model -  Input'!$B$3:$N$373,MATCH($B2968,'Fuel Model -  Input'!$B$3:$B$373,0),MATCH(H$2,'Fuel Model -  Input'!$B$3:$N$3,0))</f>
        <v>964.23436022678538</v>
      </c>
      <c r="I2968" s="532">
        <f>+INDEX('Fuel Model -  Input'!$B$3:$N$373,MATCH($B2968,'Fuel Model -  Input'!$B$3:$B$373,0),MATCH(I$2,'Fuel Model -  Input'!$B$3:$N$3,0))</f>
        <v>321.41145340892848</v>
      </c>
      <c r="J2968" s="532">
        <f>+INDEX('Fuel Model -  Input'!$B$3:$N$373,MATCH($B2968,'Fuel Model -  Input'!$B$3:$B$373,0),MATCH(J$2,'Fuel Model -  Input'!$B$3:$N$3,0))</f>
        <v>302.12676620439277</v>
      </c>
      <c r="K2968" s="532">
        <f>+INDEX('Fuel Model -  Input'!$B$3:$N$373,MATCH($B2968,'Fuel Model -  Input'!$B$3:$B$373,0),MATCH(K$2,'Fuel Model -  Input'!$B$3:$N$3,0))</f>
        <v>292.48442260212494</v>
      </c>
      <c r="L2968" s="532">
        <f>+INDEX('Fuel Model -  Input'!$B$3:$N$373,MATCH($B2968,'Fuel Model -  Input'!$B$3:$B$373,0),MATCH(L$2,'Fuel Model -  Input'!$B$3:$N$3,0))</f>
        <v>282.84207899985711</v>
      </c>
      <c r="M2968" s="532">
        <f>+INDEX('Fuel Model -  Input'!$B$3:$N$373,MATCH($B2968,'Fuel Model -  Input'!$B$3:$B$373,0),MATCH(M$2,'Fuel Model -  Input'!$B$3:$N$3,0))</f>
        <v>273.19973539758922</v>
      </c>
    </row>
    <row r="2969" spans="2:13" hidden="1" outlineLevel="2" x14ac:dyDescent="0.2">
      <c r="C2969" s="494"/>
      <c r="E2969" s="48"/>
      <c r="F2969" s="128"/>
      <c r="G2969" s="520"/>
      <c r="H2969" s="520"/>
      <c r="I2969" s="520"/>
      <c r="J2969" s="520"/>
      <c r="K2969" s="520"/>
      <c r="L2969" s="520"/>
      <c r="M2969" s="520"/>
    </row>
    <row r="2970" spans="2:13" hidden="1" outlineLevel="2" x14ac:dyDescent="0.2">
      <c r="B2970" t="str">
        <f>+C2970&amp;D2970&amp;E2970&amp;F2970</f>
        <v>AfricaElectricityTotal electricityUSD/ ton HTL oil</v>
      </c>
      <c r="C2970" s="494" t="str">
        <f>+$C$2957</f>
        <v>Africa</v>
      </c>
      <c r="D2970" t="s">
        <v>54</v>
      </c>
      <c r="E2970" s="48" t="s">
        <v>1295</v>
      </c>
      <c r="F2970" s="128" t="s">
        <v>1296</v>
      </c>
      <c r="G2970" s="8">
        <f t="shared" ref="G2970:M2970" si="1716">G2972*G2971</f>
        <v>63.202704355445796</v>
      </c>
      <c r="H2970" s="8">
        <f t="shared" si="1716"/>
        <v>35.761364084933575</v>
      </c>
      <c r="I2970" s="8">
        <f t="shared" si="1716"/>
        <v>28.008812897662878</v>
      </c>
      <c r="J2970" s="8">
        <f t="shared" si="1716"/>
        <v>23.667136066103538</v>
      </c>
      <c r="K2970" s="8">
        <f t="shared" si="1716"/>
        <v>21.592117906088809</v>
      </c>
      <c r="L2970" s="8">
        <f t="shared" si="1716"/>
        <v>19.475815971079118</v>
      </c>
      <c r="M2970" s="8">
        <f t="shared" si="1716"/>
        <v>18.407682912396016</v>
      </c>
    </row>
    <row r="2971" spans="2:13" hidden="1" outlineLevel="2" x14ac:dyDescent="0.2">
      <c r="B2971" t="str">
        <f>+C2971&amp;D2971&amp;E2971&amp;F2971</f>
        <v>GlobalFeedstockHTL plant electricity demandMWh/ton fuel</v>
      </c>
      <c r="C2971" s="494" t="s">
        <v>109</v>
      </c>
      <c r="D2971" t="s">
        <v>777</v>
      </c>
      <c r="E2971" t="s">
        <v>1297</v>
      </c>
      <c r="F2971" t="s">
        <v>1298</v>
      </c>
      <c r="G2971" s="521">
        <f>INDEX('Fuel Model -  Input'!$B$3:$N$373,MATCH($B2971,'Fuel Model -  Input'!$B$3:$B$373,0),MATCH(G$2,'Fuel Model -  Input'!$B$3:$N$3,0))</f>
        <v>0.80044621912790992</v>
      </c>
      <c r="H2971" s="521">
        <f>INDEX('Fuel Model -  Input'!$B$3:$N$373,MATCH($B2971,'Fuel Model -  Input'!$B$3:$B$373,0),MATCH(H$2,'Fuel Model -  Input'!$B$3:$N$3,0))</f>
        <v>0.80044621912790992</v>
      </c>
      <c r="I2971" s="521">
        <f>INDEX('Fuel Model -  Input'!$B$3:$N$373,MATCH($B2971,'Fuel Model -  Input'!$B$3:$B$373,0),MATCH(I$2,'Fuel Model -  Input'!$B$3:$N$3,0))</f>
        <v>0.79751787885447367</v>
      </c>
      <c r="J2971" s="521">
        <f>INDEX('Fuel Model -  Input'!$B$3:$N$373,MATCH($B2971,'Fuel Model -  Input'!$B$3:$B$373,0),MATCH(J$2,'Fuel Model -  Input'!$B$3:$N$3,0))</f>
        <v>0.79458953858103754</v>
      </c>
      <c r="K2971" s="521">
        <f>INDEX('Fuel Model -  Input'!$B$3:$N$373,MATCH($B2971,'Fuel Model -  Input'!$B$3:$B$373,0),MATCH(K$2,'Fuel Model -  Input'!$B$3:$N$3,0))</f>
        <v>0.79166119830760129</v>
      </c>
      <c r="L2971" s="521">
        <f>INDEX('Fuel Model -  Input'!$B$3:$N$373,MATCH($B2971,'Fuel Model -  Input'!$B$3:$B$373,0),MATCH(L$2,'Fuel Model -  Input'!$B$3:$N$3,0))</f>
        <v>0.78873285803416515</v>
      </c>
      <c r="M2971" s="521">
        <f>INDEX('Fuel Model -  Input'!$B$3:$N$373,MATCH($B2971,'Fuel Model -  Input'!$B$3:$B$373,0),MATCH(M$2,'Fuel Model -  Input'!$B$3:$N$3,0))</f>
        <v>0.7858045177607289</v>
      </c>
    </row>
    <row r="2972" spans="2:13" hidden="1" outlineLevel="2" x14ac:dyDescent="0.2">
      <c r="B2972" t="str">
        <f>+C2972&amp;D2972&amp;E2972&amp;F2972</f>
        <v>AfricaFeedstockElectricityUSD/MWh</v>
      </c>
      <c r="C2972" s="494" t="str">
        <f>+$C$2957</f>
        <v>Africa</v>
      </c>
      <c r="D2972" t="s">
        <v>777</v>
      </c>
      <c r="E2972" s="48" t="s">
        <v>54</v>
      </c>
      <c r="F2972" s="128" t="s">
        <v>196</v>
      </c>
      <c r="G2972" s="532">
        <f>INDEX('Fuel Model -  Input'!$B$3:$N$373,MATCH($B2972,'Fuel Model -  Input'!$B$3:$B$373,0),MATCH(G$2,'Fuel Model -  Input'!$B$3:$N$3,0))</f>
        <v>78.959338985079413</v>
      </c>
      <c r="H2972" s="532">
        <f>INDEX('Fuel Model -  Input'!$B$3:$N$373,MATCH($B2972,'Fuel Model -  Input'!$B$3:$B$373,0),MATCH(H$2,'Fuel Model -  Input'!$B$3:$N$3,0))</f>
        <v>44.676785560803516</v>
      </c>
      <c r="I2972" s="532">
        <f>INDEX('Fuel Model -  Input'!$B$3:$N$373,MATCH($B2972,'Fuel Model -  Input'!$B$3:$B$373,0),MATCH(I$2,'Fuel Model -  Input'!$B$3:$N$3,0))</f>
        <v>35.119981181981451</v>
      </c>
      <c r="J2972" s="532">
        <f>INDEX('Fuel Model -  Input'!$B$3:$N$373,MATCH($B2972,'Fuel Model -  Input'!$B$3:$B$373,0),MATCH(J$2,'Fuel Model -  Input'!$B$3:$N$3,0))</f>
        <v>29.785360764210218</v>
      </c>
      <c r="K2972" s="532">
        <f>INDEX('Fuel Model -  Input'!$B$3:$N$373,MATCH($B2972,'Fuel Model -  Input'!$B$3:$B$373,0),MATCH(K$2,'Fuel Model -  Input'!$B$3:$N$3,0))</f>
        <v>27.274442592674799</v>
      </c>
      <c r="L2972" s="532">
        <f>INDEX('Fuel Model -  Input'!$B$3:$N$373,MATCH($B2972,'Fuel Model -  Input'!$B$3:$B$373,0),MATCH(L$2,'Fuel Model -  Input'!$B$3:$N$3,0))</f>
        <v>24.692537876031398</v>
      </c>
      <c r="M2972" s="532">
        <f>INDEX('Fuel Model -  Input'!$B$3:$N$373,MATCH($B2972,'Fuel Model -  Input'!$B$3:$B$373,0),MATCH(M$2,'Fuel Model -  Input'!$B$3:$N$3,0))</f>
        <v>23.425269893906371</v>
      </c>
    </row>
    <row r="2973" spans="2:13" hidden="1" outlineLevel="2" x14ac:dyDescent="0.2">
      <c r="C2973" s="494"/>
      <c r="E2973" s="48"/>
      <c r="F2973" s="128"/>
      <c r="G2973" s="520"/>
      <c r="H2973" s="520"/>
      <c r="I2973" s="520"/>
      <c r="J2973" s="520"/>
      <c r="K2973" s="520"/>
      <c r="L2973" s="520"/>
      <c r="M2973" s="520"/>
    </row>
    <row r="2974" spans="2:13" hidden="1" outlineLevel="2" x14ac:dyDescent="0.2">
      <c r="B2974" t="str">
        <f t="shared" ref="B2974:B2982" si="1717">+C2974&amp;D2974&amp;E2974&amp;F2974</f>
        <v>AfricaElectricityTotal hydrogenUSD/ ton HTL oil</v>
      </c>
      <c r="C2974" s="494" t="str">
        <f>+$C$2957</f>
        <v>Africa</v>
      </c>
      <c r="D2974" t="s">
        <v>54</v>
      </c>
      <c r="E2974" s="48" t="s">
        <v>1299</v>
      </c>
      <c r="F2974" s="128" t="s">
        <v>1296</v>
      </c>
      <c r="G2974" s="8">
        <f t="shared" ref="G2974:M2974" si="1718">G2976*G2975</f>
        <v>432.57717019527121</v>
      </c>
      <c r="H2974" s="8">
        <f t="shared" si="1718"/>
        <v>201.9375</v>
      </c>
      <c r="I2974" s="8">
        <f t="shared" si="1718"/>
        <v>154.91732471367578</v>
      </c>
      <c r="J2974" s="8">
        <f t="shared" si="1718"/>
        <v>170.05372249756167</v>
      </c>
      <c r="K2974" s="8">
        <f t="shared" si="1718"/>
        <v>163.05824019046239</v>
      </c>
      <c r="L2974" s="8">
        <f t="shared" si="1718"/>
        <v>147.47416555247867</v>
      </c>
      <c r="M2974" s="8">
        <f t="shared" si="1718"/>
        <v>105.51409182818936</v>
      </c>
    </row>
    <row r="2975" spans="2:13" hidden="1" outlineLevel="2" x14ac:dyDescent="0.2">
      <c r="B2975" t="str">
        <f t="shared" si="1717"/>
        <v>GlobalFeedstockConversion Hydrogen : HTL oilTon feedstock / ton fuel</v>
      </c>
      <c r="C2975" s="494" t="s">
        <v>109</v>
      </c>
      <c r="D2975" t="s">
        <v>777</v>
      </c>
      <c r="E2975" s="48" t="s">
        <v>1300</v>
      </c>
      <c r="F2975" s="128" t="s">
        <v>1241</v>
      </c>
      <c r="G2975" s="521">
        <f>INDEX('Fuel Model -  Input'!$B$3:$N$373,MATCH($B2975,'Fuel Model -  Input'!$B$3:$B$373,0),MATCH(G$2,'Fuel Model -  Input'!$B$3:$N$3,0))</f>
        <v>6.25E-2</v>
      </c>
      <c r="H2975" s="521">
        <f>INDEX('Fuel Model -  Input'!$B$3:$N$373,MATCH($B2975,'Fuel Model -  Input'!$B$3:$B$373,0),MATCH(H$2,'Fuel Model -  Input'!$B$3:$N$3,0))</f>
        <v>6.25E-2</v>
      </c>
      <c r="I2975" s="521">
        <f>INDEX('Fuel Model -  Input'!$B$3:$N$373,MATCH($B2975,'Fuel Model -  Input'!$B$3:$B$373,0),MATCH(I$2,'Fuel Model -  Input'!$B$3:$N$3,0))</f>
        <v>6.25E-2</v>
      </c>
      <c r="J2975" s="521">
        <f>INDEX('Fuel Model -  Input'!$B$3:$N$373,MATCH($B2975,'Fuel Model -  Input'!$B$3:$B$373,0),MATCH(J$2,'Fuel Model -  Input'!$B$3:$N$3,0))</f>
        <v>6.25E-2</v>
      </c>
      <c r="K2975" s="521">
        <f>INDEX('Fuel Model -  Input'!$B$3:$N$373,MATCH($B2975,'Fuel Model -  Input'!$B$3:$B$373,0),MATCH(K$2,'Fuel Model -  Input'!$B$3:$N$3,0))</f>
        <v>6.25E-2</v>
      </c>
      <c r="L2975" s="521">
        <f>INDEX('Fuel Model -  Input'!$B$3:$N$373,MATCH($B2975,'Fuel Model -  Input'!$B$3:$B$373,0),MATCH(L$2,'Fuel Model -  Input'!$B$3:$N$3,0))</f>
        <v>6.25E-2</v>
      </c>
      <c r="M2975" s="521">
        <f>INDEX('Fuel Model -  Input'!$B$3:$N$373,MATCH($B2975,'Fuel Model -  Input'!$B$3:$B$373,0),MATCH(M$2,'Fuel Model -  Input'!$B$3:$N$3,0))</f>
        <v>6.25E-2</v>
      </c>
    </row>
    <row r="2976" spans="2:13" hidden="1" outlineLevel="2" x14ac:dyDescent="0.2">
      <c r="B2976" t="str">
        <f>+C2976&amp;D2976&amp;E2976&amp;F2976</f>
        <v>AfricaFeedstockWeighted hydrogen costUSD/ton</v>
      </c>
      <c r="C2976" s="494" t="str">
        <f>+$C$2957</f>
        <v>Africa</v>
      </c>
      <c r="D2976" t="s">
        <v>777</v>
      </c>
      <c r="E2976" s="48" t="s">
        <v>1301</v>
      </c>
      <c r="F2976" s="128" t="s">
        <v>205</v>
      </c>
      <c r="G2976" s="337">
        <f>SUMPRODUCT(G2977:G2979,G2980:G2982)</f>
        <v>6921.2347231243393</v>
      </c>
      <c r="H2976" s="337">
        <f t="shared" ref="H2976" si="1719">SUMPRODUCT(H2977:H2979,H2980:H2982)</f>
        <v>3231</v>
      </c>
      <c r="I2976" s="337">
        <f t="shared" ref="I2976" si="1720">SUMPRODUCT(I2977:I2979,I2980:I2982)</f>
        <v>2478.6771954188125</v>
      </c>
      <c r="J2976" s="337">
        <f t="shared" ref="J2976" si="1721">SUMPRODUCT(J2977:J2979,J2980:J2982)</f>
        <v>2720.8595599609866</v>
      </c>
      <c r="K2976" s="337">
        <f t="shared" ref="K2976" si="1722">SUMPRODUCT(K2977:K2979,K2980:K2982)</f>
        <v>2608.9318430473982</v>
      </c>
      <c r="L2976" s="337">
        <f t="shared" ref="L2976" si="1723">SUMPRODUCT(L2977:L2979,L2980:L2982)</f>
        <v>2359.5866488396587</v>
      </c>
      <c r="M2976" s="337">
        <f t="shared" ref="M2976" si="1724">SUMPRODUCT(M2977:M2979,M2980:M2982)</f>
        <v>1688.2254692510298</v>
      </c>
    </row>
    <row r="2977" spans="2:13" hidden="1" outlineLevel="2" x14ac:dyDescent="0.2">
      <c r="B2977" t="str">
        <f t="shared" si="1717"/>
        <v>GlobalFeedstockHTL hydrogen fraction - Grey%</v>
      </c>
      <c r="C2977" s="494" t="s">
        <v>109</v>
      </c>
      <c r="D2977" t="s">
        <v>777</v>
      </c>
      <c r="E2977" s="48" t="s">
        <v>1302</v>
      </c>
      <c r="F2977" t="s">
        <v>178</v>
      </c>
      <c r="G2977" s="531">
        <f>INDEX('Fuel Model -  Input'!$B$3:$N$373,MATCH($B2977,'Fuel Model -  Input'!$B$3:$B$373,0),MATCH(G$2,'Fuel Model -  Input'!$B$3:$N$3,0))</f>
        <v>1</v>
      </c>
      <c r="H2977" s="531">
        <f>INDEX('Fuel Model -  Input'!$B$3:$N$373,MATCH($B2977,'Fuel Model -  Input'!$B$3:$B$373,0),MATCH(H$2,'Fuel Model -  Input'!$B$3:$N$3,0))</f>
        <v>0.7</v>
      </c>
      <c r="I2977" s="531">
        <f>INDEX('Fuel Model -  Input'!$B$3:$N$373,MATCH($B2977,'Fuel Model -  Input'!$B$3:$B$373,0),MATCH(I$2,'Fuel Model -  Input'!$B$3:$N$3,0))</f>
        <v>0.5</v>
      </c>
      <c r="J2977" s="531">
        <f>INDEX('Fuel Model -  Input'!$B$3:$N$373,MATCH($B2977,'Fuel Model -  Input'!$B$3:$B$373,0),MATCH(J$2,'Fuel Model -  Input'!$B$3:$N$3,0))</f>
        <v>0</v>
      </c>
      <c r="K2977" s="531">
        <f>INDEX('Fuel Model -  Input'!$B$3:$N$373,MATCH($B2977,'Fuel Model -  Input'!$B$3:$B$373,0),MATCH(K$2,'Fuel Model -  Input'!$B$3:$N$3,0))</f>
        <v>0</v>
      </c>
      <c r="L2977" s="531">
        <f>INDEX('Fuel Model -  Input'!$B$3:$N$373,MATCH($B2977,'Fuel Model -  Input'!$B$3:$B$373,0),MATCH(L$2,'Fuel Model -  Input'!$B$3:$N$3,0))</f>
        <v>0</v>
      </c>
      <c r="M2977" s="531">
        <f>INDEX('Fuel Model -  Input'!$B$3:$N$373,MATCH($B2977,'Fuel Model -  Input'!$B$3:$B$373,0),MATCH(M$2,'Fuel Model -  Input'!$B$3:$N$3,0))</f>
        <v>0</v>
      </c>
    </row>
    <row r="2978" spans="2:13" hidden="1" outlineLevel="2" x14ac:dyDescent="0.2">
      <c r="B2978" t="str">
        <f t="shared" si="1717"/>
        <v>GlobalFeedstockHTL hydrogen fraction - Blue%</v>
      </c>
      <c r="C2978" s="494" t="s">
        <v>109</v>
      </c>
      <c r="D2978" t="s">
        <v>777</v>
      </c>
      <c r="E2978" s="48" t="s">
        <v>1303</v>
      </c>
      <c r="F2978" t="s">
        <v>178</v>
      </c>
      <c r="G2978" s="531">
        <f>INDEX('Fuel Model -  Input'!$B$3:$N$373,MATCH($B2978,'Fuel Model -  Input'!$B$3:$B$373,0),MATCH(G$2,'Fuel Model -  Input'!$B$3:$N$3,0))</f>
        <v>0</v>
      </c>
      <c r="H2978" s="531">
        <f>INDEX('Fuel Model -  Input'!$B$3:$N$373,MATCH($B2978,'Fuel Model -  Input'!$B$3:$B$373,0),MATCH(H$2,'Fuel Model -  Input'!$B$3:$N$3,0))</f>
        <v>0.3</v>
      </c>
      <c r="I2978" s="531">
        <f>INDEX('Fuel Model -  Input'!$B$3:$N$373,MATCH($B2978,'Fuel Model -  Input'!$B$3:$B$373,0),MATCH(I$2,'Fuel Model -  Input'!$B$3:$N$3,0))</f>
        <v>0.5</v>
      </c>
      <c r="J2978" s="531">
        <f>INDEX('Fuel Model -  Input'!$B$3:$N$373,MATCH($B2978,'Fuel Model -  Input'!$B$3:$B$373,0),MATCH(J$2,'Fuel Model -  Input'!$B$3:$N$3,0))</f>
        <v>1</v>
      </c>
      <c r="K2978" s="531">
        <f>INDEX('Fuel Model -  Input'!$B$3:$N$373,MATCH($B2978,'Fuel Model -  Input'!$B$3:$B$373,0),MATCH(K$2,'Fuel Model -  Input'!$B$3:$N$3,0))</f>
        <v>0.9</v>
      </c>
      <c r="L2978" s="531">
        <f>INDEX('Fuel Model -  Input'!$B$3:$N$373,MATCH($B2978,'Fuel Model -  Input'!$B$3:$B$373,0),MATCH(L$2,'Fuel Model -  Input'!$B$3:$N$3,0))</f>
        <v>0.7</v>
      </c>
      <c r="M2978" s="531">
        <f>INDEX('Fuel Model -  Input'!$B$3:$N$373,MATCH($B2978,'Fuel Model -  Input'!$B$3:$B$373,0),MATCH(M$2,'Fuel Model -  Input'!$B$3:$N$3,0))</f>
        <v>0.2</v>
      </c>
    </row>
    <row r="2979" spans="2:13" hidden="1" outlineLevel="2" x14ac:dyDescent="0.2">
      <c r="B2979" t="str">
        <f t="shared" si="1717"/>
        <v>GlobalFeedstockHTL hydrogen fraction - Green%</v>
      </c>
      <c r="C2979" s="494" t="s">
        <v>109</v>
      </c>
      <c r="D2979" t="s">
        <v>777</v>
      </c>
      <c r="E2979" s="48" t="s">
        <v>1304</v>
      </c>
      <c r="F2979" t="s">
        <v>178</v>
      </c>
      <c r="G2979" s="531">
        <f>INDEX('Fuel Model -  Input'!$B$3:$N$373,MATCH($B2979,'Fuel Model -  Input'!$B$3:$B$373,0),MATCH(G$2,'Fuel Model -  Input'!$B$3:$N$3,0))</f>
        <v>0</v>
      </c>
      <c r="H2979" s="531">
        <f>INDEX('Fuel Model -  Input'!$B$3:$N$373,MATCH($B2979,'Fuel Model -  Input'!$B$3:$B$373,0),MATCH(H$2,'Fuel Model -  Input'!$B$3:$N$3,0))</f>
        <v>0</v>
      </c>
      <c r="I2979" s="531">
        <f>INDEX('Fuel Model -  Input'!$B$3:$N$373,MATCH($B2979,'Fuel Model -  Input'!$B$3:$B$373,0),MATCH(I$2,'Fuel Model -  Input'!$B$3:$N$3,0))</f>
        <v>0</v>
      </c>
      <c r="J2979" s="531">
        <f>INDEX('Fuel Model -  Input'!$B$3:$N$373,MATCH($B2979,'Fuel Model -  Input'!$B$3:$B$373,0),MATCH(J$2,'Fuel Model -  Input'!$B$3:$N$3,0))</f>
        <v>0</v>
      </c>
      <c r="K2979" s="531">
        <f>INDEX('Fuel Model -  Input'!$B$3:$N$373,MATCH($B2979,'Fuel Model -  Input'!$B$3:$B$373,0),MATCH(K$2,'Fuel Model -  Input'!$B$3:$N$3,0))</f>
        <v>0.1</v>
      </c>
      <c r="L2979" s="531">
        <f>INDEX('Fuel Model -  Input'!$B$3:$N$373,MATCH($B2979,'Fuel Model -  Input'!$B$3:$B$373,0),MATCH(L$2,'Fuel Model -  Input'!$B$3:$N$3,0))</f>
        <v>0.3</v>
      </c>
      <c r="M2979" s="531">
        <f>INDEX('Fuel Model -  Input'!$B$3:$N$373,MATCH($B2979,'Fuel Model -  Input'!$B$3:$B$373,0),MATCH(M$2,'Fuel Model -  Input'!$B$3:$N$3,0))</f>
        <v>0.8</v>
      </c>
    </row>
    <row r="2980" spans="2:13" hidden="1" outlineLevel="2" x14ac:dyDescent="0.2">
      <c r="B2980" t="str">
        <f t="shared" si="1717"/>
        <v>AfricaResultsCost of Grey HydrogenUSD/ton</v>
      </c>
      <c r="C2980" s="494" t="str">
        <f>+$C$2957</f>
        <v>Africa</v>
      </c>
      <c r="D2980" t="s">
        <v>838</v>
      </c>
      <c r="E2980" s="48" t="s">
        <v>1161</v>
      </c>
      <c r="F2980" s="128" t="s">
        <v>205</v>
      </c>
      <c r="G2980" s="532">
        <f t="shared" ref="G2980:M2982" si="1725">+INDEX(G$2:G$2521,MATCH($B2980,$B$2:$B$2521,0))</f>
        <v>6921.2347231243393</v>
      </c>
      <c r="H2980" s="532">
        <f t="shared" si="1725"/>
        <v>3028.5</v>
      </c>
      <c r="I2980" s="532">
        <f t="shared" si="1725"/>
        <v>2143.4578097813123</v>
      </c>
      <c r="J2980" s="532">
        <f t="shared" si="1725"/>
        <v>2054.9511954859868</v>
      </c>
      <c r="K2980" s="532">
        <f t="shared" si="1725"/>
        <v>1974.2018860965813</v>
      </c>
      <c r="L2980" s="532">
        <f t="shared" si="1725"/>
        <v>1900.1322782743964</v>
      </c>
      <c r="M2980" s="532">
        <f t="shared" si="1725"/>
        <v>1831.8333333333335</v>
      </c>
    </row>
    <row r="2981" spans="2:13" hidden="1" outlineLevel="2" x14ac:dyDescent="0.2">
      <c r="B2981" t="str">
        <f t="shared" si="1717"/>
        <v>AfricaResultsCost of Blue HydrogenUSD/ton</v>
      </c>
      <c r="C2981" s="494" t="str">
        <f>+$C$2957</f>
        <v>Africa</v>
      </c>
      <c r="D2981" t="s">
        <v>838</v>
      </c>
      <c r="E2981" s="48" t="s">
        <v>1200</v>
      </c>
      <c r="F2981" s="128" t="s">
        <v>205</v>
      </c>
      <c r="G2981" s="532">
        <f t="shared" si="1725"/>
        <v>7600.8269834743396</v>
      </c>
      <c r="H2981" s="532">
        <f t="shared" si="1725"/>
        <v>3703.5</v>
      </c>
      <c r="I2981" s="532">
        <f t="shared" si="1725"/>
        <v>2813.8965810563122</v>
      </c>
      <c r="J2981" s="532">
        <f t="shared" si="1725"/>
        <v>2720.8595599609866</v>
      </c>
      <c r="K2981" s="532">
        <f t="shared" si="1725"/>
        <v>2635.6104574215815</v>
      </c>
      <c r="L2981" s="532">
        <f t="shared" si="1725"/>
        <v>2557.0714633243965</v>
      </c>
      <c r="M2981" s="532">
        <f t="shared" si="1725"/>
        <v>2484.3333333333335</v>
      </c>
    </row>
    <row r="2982" spans="2:13" hidden="1" outlineLevel="2" x14ac:dyDescent="0.2">
      <c r="B2982" t="str">
        <f t="shared" si="1717"/>
        <v>AfricaResultsCost of e-HydrogenUSD/ton</v>
      </c>
      <c r="C2982" s="494" t="str">
        <f>+$C$2957</f>
        <v>Africa</v>
      </c>
      <c r="D2982" t="s">
        <v>838</v>
      </c>
      <c r="E2982" s="48" t="s">
        <v>853</v>
      </c>
      <c r="F2982" s="128" t="s">
        <v>205</v>
      </c>
      <c r="G2982" s="532">
        <f t="shared" si="1725"/>
        <v>6004.465507835358</v>
      </c>
      <c r="H2982" s="532">
        <f t="shared" si="1725"/>
        <v>3870.3468980997131</v>
      </c>
      <c r="I2982" s="532">
        <f t="shared" si="1725"/>
        <v>3104.040420762416</v>
      </c>
      <c r="J2982" s="532">
        <f t="shared" si="1725"/>
        <v>2742.8854798490856</v>
      </c>
      <c r="K2982" s="532">
        <f t="shared" si="1725"/>
        <v>2368.824313679746</v>
      </c>
      <c r="L2982" s="532">
        <f t="shared" si="1725"/>
        <v>1898.7887483752716</v>
      </c>
      <c r="M2982" s="532">
        <f t="shared" si="1725"/>
        <v>1489.1985032304538</v>
      </c>
    </row>
    <row r="2983" spans="2:13" hidden="1" outlineLevel="2" x14ac:dyDescent="0.2">
      <c r="C2983" s="494"/>
      <c r="E2983" s="48"/>
      <c r="F2983" s="128"/>
    </row>
    <row r="2984" spans="2:13" hidden="1" outlineLevel="2" x14ac:dyDescent="0.2">
      <c r="B2984" t="str">
        <f t="shared" ref="B2984:B2990" si="1726">+C2984&amp;D2984&amp;E2984&amp;F2984</f>
        <v>AfricaFeedstockBiomass costUSD/ton Methanol</v>
      </c>
      <c r="C2984" s="494" t="str">
        <f>+$C$2957</f>
        <v>Africa</v>
      </c>
      <c r="D2984" t="s">
        <v>777</v>
      </c>
      <c r="E2984" s="48" t="s">
        <v>1237</v>
      </c>
      <c r="F2984" s="128" t="s">
        <v>1229</v>
      </c>
      <c r="G2984" s="8">
        <f>+G2986*G2987*G2988+G2985*G2989*G2990</f>
        <v>281.77053990205377</v>
      </c>
      <c r="H2984" s="8">
        <f t="shared" ref="H2984" si="1727">+H2986*H2987*H2988+H2985*H2989*H2990</f>
        <v>287.18090800128027</v>
      </c>
      <c r="I2984" s="8">
        <f t="shared" ref="I2984" si="1728">+I2986*I2987*I2988+I2985*I2989*I2990</f>
        <v>292.59127610050672</v>
      </c>
      <c r="J2984" s="8">
        <f t="shared" ref="J2984" si="1729">+J2986*J2987*J2988+J2985*J2989*J2990</f>
        <v>299.08371781957845</v>
      </c>
      <c r="K2984" s="8">
        <f t="shared" ref="K2984" si="1730">+K2986*K2987*K2988+K2985*K2989*K2990</f>
        <v>304.4940859188049</v>
      </c>
      <c r="L2984" s="8">
        <f t="shared" ref="L2984" si="1731">+L2986*L2987*L2988+L2985*L2989*L2990</f>
        <v>309.9044540180314</v>
      </c>
      <c r="M2984" s="8">
        <f t="shared" ref="M2984" si="1732">+M2986*M2987*M2988+M2985*M2989*M2990</f>
        <v>315.31482211725785</v>
      </c>
    </row>
    <row r="2985" spans="2:13" hidden="1" outlineLevel="2" x14ac:dyDescent="0.2">
      <c r="B2985" t="str">
        <f t="shared" si="1726"/>
        <v>GlobalFeedstockDry wood biomass market share HTL%</v>
      </c>
      <c r="C2985" s="494" t="s">
        <v>109</v>
      </c>
      <c r="D2985" t="s">
        <v>777</v>
      </c>
      <c r="E2985" t="s">
        <v>1305</v>
      </c>
      <c r="F2985" t="s">
        <v>178</v>
      </c>
      <c r="G2985" s="531">
        <f>+INDEX('Fuel Model -  Input'!$B$3:$N$1312,MATCH($B2985,'Fuel Model -  Input'!$B$3:$B$1312,0),MATCH(G$2,'Fuel Model -  Input'!$B$3:$N$3,0))</f>
        <v>0.3</v>
      </c>
      <c r="H2985" s="531">
        <f>+INDEX('Fuel Model -  Input'!$B$3:$N$1312,MATCH($B2985,'Fuel Model -  Input'!$B$3:$B$1312,0),MATCH(H$2,'Fuel Model -  Input'!$B$3:$N$3,0))</f>
        <v>0.3</v>
      </c>
      <c r="I2985" s="531">
        <f>+INDEX('Fuel Model -  Input'!$B$3:$N$1312,MATCH($B2985,'Fuel Model -  Input'!$B$3:$B$1312,0),MATCH(I$2,'Fuel Model -  Input'!$B$3:$N$3,0))</f>
        <v>0.3</v>
      </c>
      <c r="J2985" s="531">
        <f>+INDEX('Fuel Model -  Input'!$B$3:$N$1312,MATCH($B2985,'Fuel Model -  Input'!$B$3:$B$1312,0),MATCH(J$2,'Fuel Model -  Input'!$B$3:$N$3,0))</f>
        <v>0.3</v>
      </c>
      <c r="K2985" s="531">
        <f>+INDEX('Fuel Model -  Input'!$B$3:$N$1312,MATCH($B2985,'Fuel Model -  Input'!$B$3:$B$1312,0),MATCH(K$2,'Fuel Model -  Input'!$B$3:$N$3,0))</f>
        <v>0.3</v>
      </c>
      <c r="L2985" s="531">
        <f>+INDEX('Fuel Model -  Input'!$B$3:$N$1312,MATCH($B2985,'Fuel Model -  Input'!$B$3:$B$1312,0),MATCH(L$2,'Fuel Model -  Input'!$B$3:$N$3,0))</f>
        <v>0.3</v>
      </c>
      <c r="M2985" s="531">
        <f>+INDEX('Fuel Model -  Input'!$B$3:$N$1312,MATCH($B2985,'Fuel Model -  Input'!$B$3:$B$1312,0),MATCH(M$2,'Fuel Model -  Input'!$B$3:$N$3,0))</f>
        <v>0.3</v>
      </c>
    </row>
    <row r="2986" spans="2:13" hidden="1" outlineLevel="2" x14ac:dyDescent="0.2">
      <c r="B2986" t="str">
        <f t="shared" si="1726"/>
        <v>GlobalFeedstockOrganic wet waste market share HTL%</v>
      </c>
      <c r="C2986" s="494" t="s">
        <v>109</v>
      </c>
      <c r="D2986" t="s">
        <v>777</v>
      </c>
      <c r="E2986" t="s">
        <v>1306</v>
      </c>
      <c r="F2986" t="s">
        <v>178</v>
      </c>
      <c r="G2986" s="531">
        <f>+INDEX('Fuel Model -  Input'!$B$3:$N$1312,MATCH($B2986,'Fuel Model -  Input'!$B$3:$B$1312,0),MATCH(G$2,'Fuel Model -  Input'!$B$3:$N$3,0))</f>
        <v>0.7</v>
      </c>
      <c r="H2986" s="531">
        <f>+INDEX('Fuel Model -  Input'!$B$3:$N$1312,MATCH($B2986,'Fuel Model -  Input'!$B$3:$B$1312,0),MATCH(H$2,'Fuel Model -  Input'!$B$3:$N$3,0))</f>
        <v>0.7</v>
      </c>
      <c r="I2986" s="531">
        <f>+INDEX('Fuel Model -  Input'!$B$3:$N$1312,MATCH($B2986,'Fuel Model -  Input'!$B$3:$B$1312,0),MATCH(I$2,'Fuel Model -  Input'!$B$3:$N$3,0))</f>
        <v>0.7</v>
      </c>
      <c r="J2986" s="531">
        <f>+INDEX('Fuel Model -  Input'!$B$3:$N$1312,MATCH($B2986,'Fuel Model -  Input'!$B$3:$B$1312,0),MATCH(J$2,'Fuel Model -  Input'!$B$3:$N$3,0))</f>
        <v>0.7</v>
      </c>
      <c r="K2986" s="531">
        <f>+INDEX('Fuel Model -  Input'!$B$3:$N$1312,MATCH($B2986,'Fuel Model -  Input'!$B$3:$B$1312,0),MATCH(K$2,'Fuel Model -  Input'!$B$3:$N$3,0))</f>
        <v>0.7</v>
      </c>
      <c r="L2986" s="531">
        <f>+INDEX('Fuel Model -  Input'!$B$3:$N$1312,MATCH($B2986,'Fuel Model -  Input'!$B$3:$B$1312,0),MATCH(L$2,'Fuel Model -  Input'!$B$3:$N$3,0))</f>
        <v>0.7</v>
      </c>
      <c r="M2986" s="531">
        <f>+INDEX('Fuel Model -  Input'!$B$3:$N$1312,MATCH($B2986,'Fuel Model -  Input'!$B$3:$B$1312,0),MATCH(M$2,'Fuel Model -  Input'!$B$3:$N$3,0))</f>
        <v>0.7</v>
      </c>
    </row>
    <row r="2987" spans="2:13" hidden="1" outlineLevel="2" x14ac:dyDescent="0.2">
      <c r="B2987" t="str">
        <f t="shared" si="1726"/>
        <v>GlobalFeedstockConversion Organic wet waste : HTL oilTon feedstock / ton fuel</v>
      </c>
      <c r="C2987" s="494" t="s">
        <v>109</v>
      </c>
      <c r="D2987" t="s">
        <v>777</v>
      </c>
      <c r="E2987" t="s">
        <v>1307</v>
      </c>
      <c r="F2987" s="128" t="s">
        <v>1241</v>
      </c>
      <c r="G2987" s="521">
        <f>INDEX('Fuel Model -  Input'!$B$3:$N$373,MATCH($B2987,'Fuel Model -  Input'!$B$3:$B$373,0),MATCH(G$2,'Fuel Model -  Input'!$B$3:$N$3,0))</f>
        <v>4.4642857142857135</v>
      </c>
      <c r="H2987" s="521">
        <f>INDEX('Fuel Model -  Input'!$B$3:$N$373,MATCH($B2987,'Fuel Model -  Input'!$B$3:$B$373,0),MATCH(H$2,'Fuel Model -  Input'!$B$3:$N$3,0))</f>
        <v>4.4642857142857135</v>
      </c>
      <c r="I2987" s="521">
        <f>INDEX('Fuel Model -  Input'!$B$3:$N$373,MATCH($B2987,'Fuel Model -  Input'!$B$3:$B$373,0),MATCH(I$2,'Fuel Model -  Input'!$B$3:$N$3,0))</f>
        <v>4.4642857142857135</v>
      </c>
      <c r="J2987" s="521">
        <f>INDEX('Fuel Model -  Input'!$B$3:$N$373,MATCH($B2987,'Fuel Model -  Input'!$B$3:$B$373,0),MATCH(J$2,'Fuel Model -  Input'!$B$3:$N$3,0))</f>
        <v>4.4642857142857135</v>
      </c>
      <c r="K2987" s="521">
        <f>INDEX('Fuel Model -  Input'!$B$3:$N$373,MATCH($B2987,'Fuel Model -  Input'!$B$3:$B$373,0),MATCH(K$2,'Fuel Model -  Input'!$B$3:$N$3,0))</f>
        <v>4.4642857142857135</v>
      </c>
      <c r="L2987" s="521">
        <f>INDEX('Fuel Model -  Input'!$B$3:$N$373,MATCH($B2987,'Fuel Model -  Input'!$B$3:$B$373,0),MATCH(L$2,'Fuel Model -  Input'!$B$3:$N$3,0))</f>
        <v>4.4642857142857135</v>
      </c>
      <c r="M2987" s="521">
        <f>INDEX('Fuel Model -  Input'!$B$3:$N$373,MATCH($B2987,'Fuel Model -  Input'!$B$3:$B$373,0),MATCH(M$2,'Fuel Model -  Input'!$B$3:$N$3,0))</f>
        <v>4.4642857142857135</v>
      </c>
    </row>
    <row r="2988" spans="2:13" hidden="1" outlineLevel="2" x14ac:dyDescent="0.2">
      <c r="B2988" t="str">
        <f t="shared" si="1726"/>
        <v>AfricaFeedstockCost of Organic wet wasteUSD/ton</v>
      </c>
      <c r="C2988" s="494" t="str">
        <f>+$C$2957</f>
        <v>Africa</v>
      </c>
      <c r="D2988" t="s">
        <v>777</v>
      </c>
      <c r="E2988" s="48" t="s">
        <v>1242</v>
      </c>
      <c r="F2988" s="450" t="s">
        <v>205</v>
      </c>
      <c r="G2988" s="532">
        <f>+INDEX('Fuel Model -  Input'!$B$3:$N$373,MATCH($B2988,'Fuel Model -  Input'!$B$3:$B$373,0),MATCH(G$2,'Fuel Model -  Input'!$B$3:$N$3,0))</f>
        <v>50</v>
      </c>
      <c r="H2988" s="532">
        <f>+INDEX('Fuel Model -  Input'!$B$3:$N$373,MATCH($B2988,'Fuel Model -  Input'!$B$3:$B$373,0),MATCH(H$2,'Fuel Model -  Input'!$B$3:$N$3,0))</f>
        <v>50</v>
      </c>
      <c r="I2988" s="532">
        <f>+INDEX('Fuel Model -  Input'!$B$3:$N$373,MATCH($B2988,'Fuel Model -  Input'!$B$3:$B$373,0),MATCH(I$2,'Fuel Model -  Input'!$B$3:$N$3,0))</f>
        <v>50</v>
      </c>
      <c r="J2988" s="532">
        <f>+INDEX('Fuel Model -  Input'!$B$3:$N$373,MATCH($B2988,'Fuel Model -  Input'!$B$3:$B$373,0),MATCH(J$2,'Fuel Model -  Input'!$B$3:$N$3,0))</f>
        <v>50</v>
      </c>
      <c r="K2988" s="532">
        <f>+INDEX('Fuel Model -  Input'!$B$3:$N$373,MATCH($B2988,'Fuel Model -  Input'!$B$3:$B$373,0),MATCH(K$2,'Fuel Model -  Input'!$B$3:$N$3,0))</f>
        <v>50</v>
      </c>
      <c r="L2988" s="532">
        <f>+INDEX('Fuel Model -  Input'!$B$3:$N$373,MATCH($B2988,'Fuel Model -  Input'!$B$3:$B$373,0),MATCH(L$2,'Fuel Model -  Input'!$B$3:$N$3,0))</f>
        <v>50</v>
      </c>
      <c r="M2988" s="532">
        <f>+INDEX('Fuel Model -  Input'!$B$3:$N$373,MATCH($B2988,'Fuel Model -  Input'!$B$3:$B$373,0),MATCH(M$2,'Fuel Model -  Input'!$B$3:$N$3,0))</f>
        <v>50</v>
      </c>
    </row>
    <row r="2989" spans="2:13" hidden="1" outlineLevel="2" x14ac:dyDescent="0.2">
      <c r="B2989" t="str">
        <f t="shared" si="1726"/>
        <v>GlobalFeedstockConversion Dry Wood biomass : HTL oilTon feedstock / ton fuel</v>
      </c>
      <c r="C2989" s="494" t="s">
        <v>109</v>
      </c>
      <c r="D2989" t="s">
        <v>777</v>
      </c>
      <c r="E2989" s="48" t="s">
        <v>1308</v>
      </c>
      <c r="F2989" s="128" t="s">
        <v>1241</v>
      </c>
      <c r="G2989" s="521">
        <f>INDEX('Fuel Model -  Input'!$B$3:$N$373,MATCH($B2989,'Fuel Model -  Input'!$B$3:$B$373,0),MATCH(G$2,'Fuel Model -  Input'!$B$3:$N$3,0))</f>
        <v>3.6069120661509726</v>
      </c>
      <c r="H2989" s="521">
        <f>INDEX('Fuel Model -  Input'!$B$3:$N$373,MATCH($B2989,'Fuel Model -  Input'!$B$3:$B$373,0),MATCH(H$2,'Fuel Model -  Input'!$B$3:$N$3,0))</f>
        <v>3.6069120661509726</v>
      </c>
      <c r="I2989" s="521">
        <f>INDEX('Fuel Model -  Input'!$B$3:$N$373,MATCH($B2989,'Fuel Model -  Input'!$B$3:$B$373,0),MATCH(I$2,'Fuel Model -  Input'!$B$3:$N$3,0))</f>
        <v>3.6069120661509726</v>
      </c>
      <c r="J2989" s="521">
        <f>INDEX('Fuel Model -  Input'!$B$3:$N$373,MATCH($B2989,'Fuel Model -  Input'!$B$3:$B$373,0),MATCH(J$2,'Fuel Model -  Input'!$B$3:$N$3,0))</f>
        <v>3.6069120661509726</v>
      </c>
      <c r="K2989" s="521">
        <f>INDEX('Fuel Model -  Input'!$B$3:$N$373,MATCH($B2989,'Fuel Model -  Input'!$B$3:$B$373,0),MATCH(K$2,'Fuel Model -  Input'!$B$3:$N$3,0))</f>
        <v>3.6069120661509726</v>
      </c>
      <c r="L2989" s="521">
        <f>INDEX('Fuel Model -  Input'!$B$3:$N$373,MATCH($B2989,'Fuel Model -  Input'!$B$3:$B$373,0),MATCH(L$2,'Fuel Model -  Input'!$B$3:$N$3,0))</f>
        <v>3.6069120661509726</v>
      </c>
      <c r="M2989" s="521">
        <f>INDEX('Fuel Model -  Input'!$B$3:$N$373,MATCH($B2989,'Fuel Model -  Input'!$B$3:$B$373,0),MATCH(M$2,'Fuel Model -  Input'!$B$3:$N$3,0))</f>
        <v>3.6069120661509726</v>
      </c>
    </row>
    <row r="2990" spans="2:13" hidden="1" outlineLevel="2" x14ac:dyDescent="0.2">
      <c r="B2990" t="str">
        <f t="shared" si="1726"/>
        <v>AfricaFeedstockCost of Wood biomassUSD/ton Wood</v>
      </c>
      <c r="C2990" s="494" t="s">
        <v>200</v>
      </c>
      <c r="D2990" t="s">
        <v>777</v>
      </c>
      <c r="E2990" s="48" t="s">
        <v>1244</v>
      </c>
      <c r="F2990" s="128" t="s">
        <v>1245</v>
      </c>
      <c r="G2990" s="524">
        <f>+INDEX('Fuel Model -  Input'!$B$3:$N$373,MATCH($B2990,'Fuel Model -  Input'!$B$3:$B$373,0),MATCH(G$2,'Fuel Model -  Input'!$B$3:$N$3,0))</f>
        <v>116</v>
      </c>
      <c r="H2990" s="524">
        <f>+INDEX('Fuel Model -  Input'!$B$3:$N$373,MATCH($B2990,'Fuel Model -  Input'!$B$3:$B$373,0),MATCH(H$2,'Fuel Model -  Input'!$B$3:$N$3,0))</f>
        <v>121</v>
      </c>
      <c r="I2990" s="524">
        <f>+INDEX('Fuel Model -  Input'!$B$3:$N$373,MATCH($B2990,'Fuel Model -  Input'!$B$3:$B$373,0),MATCH(I$2,'Fuel Model -  Input'!$B$3:$N$3,0))</f>
        <v>126</v>
      </c>
      <c r="J2990" s="524">
        <f>+INDEX('Fuel Model -  Input'!$B$3:$N$373,MATCH($B2990,'Fuel Model -  Input'!$B$3:$B$373,0),MATCH(J$2,'Fuel Model -  Input'!$B$3:$N$3,0))</f>
        <v>132</v>
      </c>
      <c r="K2990" s="524">
        <f>+INDEX('Fuel Model -  Input'!$B$3:$N$373,MATCH($B2990,'Fuel Model -  Input'!$B$3:$B$373,0),MATCH(K$2,'Fuel Model -  Input'!$B$3:$N$3,0))</f>
        <v>137</v>
      </c>
      <c r="L2990" s="524">
        <f>+INDEX('Fuel Model -  Input'!$B$3:$N$373,MATCH($B2990,'Fuel Model -  Input'!$B$3:$B$373,0),MATCH(L$2,'Fuel Model -  Input'!$B$3:$N$3,0))</f>
        <v>142</v>
      </c>
      <c r="M2990" s="524">
        <f>+INDEX('Fuel Model -  Input'!$B$3:$N$373,MATCH($B2990,'Fuel Model -  Input'!$B$3:$B$373,0),MATCH(M$2,'Fuel Model -  Input'!$B$3:$N$3,0))</f>
        <v>147</v>
      </c>
    </row>
    <row r="2991" spans="2:13" hidden="1" outlineLevel="1" x14ac:dyDescent="0.2">
      <c r="E2991" s="48"/>
      <c r="F2991" s="128"/>
      <c r="G2991" s="256"/>
    </row>
    <row r="2992" spans="2:13" ht="15" hidden="1" outlineLevel="1" x14ac:dyDescent="0.25">
      <c r="B2992" s="30" t="s">
        <v>1309</v>
      </c>
      <c r="C2992" s="30" t="str">
        <f>+B2992</f>
        <v>CO2eq intensity ton/ton HTL oil</v>
      </c>
      <c r="F2992"/>
      <c r="G2992" s="9"/>
    </row>
    <row r="2993" spans="2:13" ht="15" hidden="1" outlineLevel="1" collapsed="1" x14ac:dyDescent="0.25">
      <c r="B2993" s="527" t="str">
        <f>+C2993&amp;D2993&amp;E2993&amp;F2993</f>
        <v xml:space="preserve">GlobalEmissionsWTT emission - Biodiesel (HtL)tonCO2eq/ ton </v>
      </c>
      <c r="C2993" s="257" t="s">
        <v>109</v>
      </c>
      <c r="D2993" s="257" t="s">
        <v>728</v>
      </c>
      <c r="E2993" s="516" t="s">
        <v>1310</v>
      </c>
      <c r="F2993" s="539" t="s">
        <v>1016</v>
      </c>
      <c r="G2993" s="566">
        <f>-G2995+G2996*G3003+G3004*G3005+G3006+G3009*G3008*G3010+G3007*G3011*G3012</f>
        <v>-2.3060680943922076</v>
      </c>
      <c r="H2993" s="566">
        <f t="shared" ref="H2993:M2993" si="1733">-H2995+H2996*H3003+H3004*H3005+H3006+H3009*H3008*H3010+H3007*H3011*H3012</f>
        <v>-2.5003986922241022</v>
      </c>
      <c r="I2993" s="566">
        <f t="shared" si="1733"/>
        <v>-2.6518987620116352</v>
      </c>
      <c r="J2993" s="566">
        <f t="shared" si="1733"/>
        <v>-2.9405528396694591</v>
      </c>
      <c r="K2993" s="566">
        <f t="shared" si="1733"/>
        <v>-3.0124184563878584</v>
      </c>
      <c r="L2993" s="566">
        <f t="shared" si="1733"/>
        <v>-3.0902555672657961</v>
      </c>
      <c r="M2993" s="566">
        <f t="shared" si="1733"/>
        <v>-3.18536199131356</v>
      </c>
    </row>
    <row r="2994" spans="2:13" ht="12.75" hidden="1" outlineLevel="2" x14ac:dyDescent="0.2">
      <c r="F2994"/>
    </row>
    <row r="2995" spans="2:13" hidden="1" outlineLevel="2" x14ac:dyDescent="0.2">
      <c r="B2995" s="496" t="str">
        <f t="shared" ref="B2995:B3006" si="1734">+C2995&amp;D2995&amp;E2995&amp;F2995</f>
        <v>GlobalTTW CO2_Biodiesel (HtL)tonCO2eq/ton HTL Oil</v>
      </c>
      <c r="C2995" s="157" t="s">
        <v>109</v>
      </c>
      <c r="D2995" s="157" t="s">
        <v>1248</v>
      </c>
      <c r="E2995" s="157" t="s">
        <v>594</v>
      </c>
      <c r="F2995" s="157" t="s">
        <v>1311</v>
      </c>
      <c r="G2995" s="567">
        <f>INDEX('Fuel Model -  Input'!$B$3:$N$373,MATCH($B2995,'Fuel Model -  Input'!$B$3:$B$373,0),MATCH(G$2,'Fuel Model -  Input'!$B$3:$N$3,0))</f>
        <v>3.2553300000000003</v>
      </c>
      <c r="H2995" s="567">
        <f>INDEX('Fuel Model -  Input'!$B$3:$N$373,MATCH($B2995,'Fuel Model -  Input'!$B$3:$B$373,0),MATCH(H$2,'Fuel Model -  Input'!$B$3:$N$3,0))</f>
        <v>3.2553300000000003</v>
      </c>
      <c r="I2995" s="567">
        <f>INDEX('Fuel Model -  Input'!$B$3:$N$373,MATCH($B2995,'Fuel Model -  Input'!$B$3:$B$373,0),MATCH(I$2,'Fuel Model -  Input'!$B$3:$N$3,0))</f>
        <v>3.2553300000000003</v>
      </c>
      <c r="J2995" s="567">
        <f>INDEX('Fuel Model -  Input'!$B$3:$N$373,MATCH($B2995,'Fuel Model -  Input'!$B$3:$B$373,0),MATCH(J$2,'Fuel Model -  Input'!$B$3:$N$3,0))</f>
        <v>3.2553300000000003</v>
      </c>
      <c r="K2995" s="567">
        <f>INDEX('Fuel Model -  Input'!$B$3:$N$373,MATCH($B2995,'Fuel Model -  Input'!$B$3:$B$373,0),MATCH(K$2,'Fuel Model -  Input'!$B$3:$N$3,0))</f>
        <v>3.2553300000000003</v>
      </c>
      <c r="L2995" s="567">
        <f>INDEX('Fuel Model -  Input'!$B$3:$N$373,MATCH($B2995,'Fuel Model -  Input'!$B$3:$B$373,0),MATCH(L$2,'Fuel Model -  Input'!$B$3:$N$3,0))</f>
        <v>3.2553300000000003</v>
      </c>
      <c r="M2995" s="567">
        <f>INDEX('Fuel Model -  Input'!$B$3:$N$373,MATCH($B2995,'Fuel Model -  Input'!$B$3:$B$373,0),MATCH(M$2,'Fuel Model -  Input'!$B$3:$N$3,0))</f>
        <v>3.2553300000000003</v>
      </c>
    </row>
    <row r="2996" spans="2:13" hidden="1" outlineLevel="2" x14ac:dyDescent="0.2">
      <c r="B2996" s="496" t="str">
        <f t="shared" ref="B2996" si="1735">+C2996&amp;D2996&amp;E2996&amp;F2996</f>
        <v xml:space="preserve">GlobalEmissionsHydrogen usedtonCO2eq/ ton </v>
      </c>
      <c r="C2996" t="s">
        <v>109</v>
      </c>
      <c r="D2996" t="s">
        <v>728</v>
      </c>
      <c r="E2996" t="s">
        <v>1312</v>
      </c>
      <c r="F2996" t="s">
        <v>1016</v>
      </c>
      <c r="G2996" s="521">
        <f>+SUMPRODUCT(G2997:G2999,G3000:G3002)</f>
        <v>9.0612301380000009</v>
      </c>
      <c r="H2996" s="521">
        <f t="shared" ref="H2996:M2996" si="1736">+SUMPRODUCT(H2997:H2999,H3000:H3002)</f>
        <v>6.8606684745762712</v>
      </c>
      <c r="I2996" s="521">
        <f t="shared" si="1736"/>
        <v>5.3456468628586142</v>
      </c>
      <c r="J2996" s="521">
        <f t="shared" si="1736"/>
        <v>1.6361611252163055</v>
      </c>
      <c r="K2996" s="521">
        <f t="shared" si="1736"/>
        <v>1.3952907626047968</v>
      </c>
      <c r="L2996" s="521">
        <f t="shared" si="1736"/>
        <v>1.0588764934406685</v>
      </c>
      <c r="M2996" s="521">
        <f t="shared" si="1736"/>
        <v>0.44615321355932214</v>
      </c>
    </row>
    <row r="2997" spans="2:13" hidden="1" outlineLevel="2" x14ac:dyDescent="0.2">
      <c r="B2997" s="496" t="str">
        <f t="shared" si="1734"/>
        <v xml:space="preserve">GlobalEmissionsWTT Emission - Grey hydrogen (compressed)tonCO2eq/ ton </v>
      </c>
      <c r="C2997" t="s">
        <v>109</v>
      </c>
      <c r="D2997" t="s">
        <v>728</v>
      </c>
      <c r="E2997" t="s">
        <v>1177</v>
      </c>
      <c r="F2997" t="s">
        <v>1016</v>
      </c>
      <c r="G2997" s="521">
        <f t="shared" ref="G2997:M2999" si="1737">INDEX(G$2:G$2521,MATCH($B2997,$B$2:$B$2521,0))</f>
        <v>9.0612301380000009</v>
      </c>
      <c r="H2997" s="521">
        <f t="shared" si="1737"/>
        <v>9</v>
      </c>
      <c r="I2997" s="521">
        <f t="shared" si="1737"/>
        <v>8.9391836169999994</v>
      </c>
      <c r="J2997" s="521">
        <f t="shared" si="1737"/>
        <v>8.8787781930000005</v>
      </c>
      <c r="K2997" s="521">
        <f t="shared" si="1737"/>
        <v>8.8187809510000008</v>
      </c>
      <c r="L2997" s="521">
        <f t="shared" si="1737"/>
        <v>8.7591891339999997</v>
      </c>
      <c r="M2997" s="521">
        <f t="shared" si="1737"/>
        <v>8.6999999999999993</v>
      </c>
    </row>
    <row r="2998" spans="2:13" hidden="1" outlineLevel="2" x14ac:dyDescent="0.2">
      <c r="B2998" t="str">
        <f t="shared" ref="B2998:B2999" si="1738">+C2998&amp;D2998&amp;E2998&amp;F2998</f>
        <v xml:space="preserve">GlobalEmissionsWTT Emission - Blue Hydrogen (compressed)tonCO2eq/ ton </v>
      </c>
      <c r="C2998" s="494" t="s">
        <v>109</v>
      </c>
      <c r="D2998" t="s">
        <v>728</v>
      </c>
      <c r="E2998" s="48" t="s">
        <v>1211</v>
      </c>
      <c r="F2998" t="s">
        <v>1016</v>
      </c>
      <c r="G2998" s="521">
        <f t="shared" si="1737"/>
        <v>1.9865325617428082</v>
      </c>
      <c r="H2998" s="521">
        <f t="shared" si="1737"/>
        <v>1.8688949152542371</v>
      </c>
      <c r="I2998" s="521">
        <f t="shared" si="1737"/>
        <v>1.7521101087172288</v>
      </c>
      <c r="J2998" s="521">
        <f t="shared" si="1737"/>
        <v>1.6361611252163055</v>
      </c>
      <c r="K2998" s="521">
        <f t="shared" si="1737"/>
        <v>1.5210312923520297</v>
      </c>
      <c r="L2998" s="521">
        <f t="shared" si="1737"/>
        <v>1.4067042752465706</v>
      </c>
      <c r="M2998" s="521">
        <f t="shared" si="1737"/>
        <v>1.2931640677966105</v>
      </c>
    </row>
    <row r="2999" spans="2:13" hidden="1" outlineLevel="2" x14ac:dyDescent="0.2">
      <c r="B2999" t="str">
        <f t="shared" si="1738"/>
        <v>GlobalCO2intensityWTT Emission - e-Hydrogen (compressed)tonCO2eq/tonH2</v>
      </c>
      <c r="C2999" s="494" t="s">
        <v>109</v>
      </c>
      <c r="D2999" t="s">
        <v>927</v>
      </c>
      <c r="E2999" s="48" t="s">
        <v>1313</v>
      </c>
      <c r="F2999" t="s">
        <v>929</v>
      </c>
      <c r="G2999" s="521">
        <f t="shared" si="1737"/>
        <v>0.29135003961027883</v>
      </c>
      <c r="H2999" s="521">
        <f t="shared" si="1737"/>
        <v>0.28997999999999996</v>
      </c>
      <c r="I2999" s="521">
        <f t="shared" si="1737"/>
        <v>0.28613027529683921</v>
      </c>
      <c r="J2999" s="521">
        <f t="shared" si="1737"/>
        <v>0.27590526085528511</v>
      </c>
      <c r="K2999" s="521">
        <f t="shared" si="1737"/>
        <v>0.26362599487969951</v>
      </c>
      <c r="L2999" s="521">
        <f t="shared" si="1737"/>
        <v>0.24727833589356388</v>
      </c>
      <c r="M2999" s="521">
        <f t="shared" si="1737"/>
        <v>0.23440049999999998</v>
      </c>
    </row>
    <row r="3000" spans="2:13" hidden="1" outlineLevel="2" x14ac:dyDescent="0.2">
      <c r="B3000" t="str">
        <f t="shared" si="1734"/>
        <v>GlobalFeedstockHTL hydrogen fraction - Grey%</v>
      </c>
      <c r="C3000" s="494" t="s">
        <v>109</v>
      </c>
      <c r="D3000" t="s">
        <v>777</v>
      </c>
      <c r="E3000" s="48" t="s">
        <v>1302</v>
      </c>
      <c r="F3000" t="s">
        <v>178</v>
      </c>
      <c r="G3000" s="531">
        <f>INDEX('Fuel Model -  Input'!$B$3:$N$373,MATCH($B3000,'Fuel Model -  Input'!$B$3:$B$373,0),MATCH(G$2,'Fuel Model -  Input'!$B$3:$N$3,0))</f>
        <v>1</v>
      </c>
      <c r="H3000" s="531">
        <f>INDEX('Fuel Model -  Input'!$B$3:$N$373,MATCH($B3000,'Fuel Model -  Input'!$B$3:$B$373,0),MATCH(H$2,'Fuel Model -  Input'!$B$3:$N$3,0))</f>
        <v>0.7</v>
      </c>
      <c r="I3000" s="531">
        <f>INDEX('Fuel Model -  Input'!$B$3:$N$373,MATCH($B3000,'Fuel Model -  Input'!$B$3:$B$373,0),MATCH(I$2,'Fuel Model -  Input'!$B$3:$N$3,0))</f>
        <v>0.5</v>
      </c>
      <c r="J3000" s="531">
        <f>INDEX('Fuel Model -  Input'!$B$3:$N$373,MATCH($B3000,'Fuel Model -  Input'!$B$3:$B$373,0),MATCH(J$2,'Fuel Model -  Input'!$B$3:$N$3,0))</f>
        <v>0</v>
      </c>
      <c r="K3000" s="531">
        <f>INDEX('Fuel Model -  Input'!$B$3:$N$373,MATCH($B3000,'Fuel Model -  Input'!$B$3:$B$373,0),MATCH(K$2,'Fuel Model -  Input'!$B$3:$N$3,0))</f>
        <v>0</v>
      </c>
      <c r="L3000" s="531">
        <f>INDEX('Fuel Model -  Input'!$B$3:$N$373,MATCH($B3000,'Fuel Model -  Input'!$B$3:$B$373,0),MATCH(L$2,'Fuel Model -  Input'!$B$3:$N$3,0))</f>
        <v>0</v>
      </c>
      <c r="M3000" s="531">
        <f>INDEX('Fuel Model -  Input'!$B$3:$N$373,MATCH($B3000,'Fuel Model -  Input'!$B$3:$B$373,0),MATCH(M$2,'Fuel Model -  Input'!$B$3:$N$3,0))</f>
        <v>0</v>
      </c>
    </row>
    <row r="3001" spans="2:13" hidden="1" outlineLevel="2" x14ac:dyDescent="0.2">
      <c r="B3001" t="str">
        <f t="shared" si="1734"/>
        <v>GlobalFeedstockHTL hydrogen fraction - Blue%</v>
      </c>
      <c r="C3001" s="494" t="s">
        <v>109</v>
      </c>
      <c r="D3001" t="s">
        <v>777</v>
      </c>
      <c r="E3001" s="48" t="s">
        <v>1303</v>
      </c>
      <c r="F3001" t="s">
        <v>178</v>
      </c>
      <c r="G3001" s="531">
        <f>INDEX('Fuel Model -  Input'!$B$3:$N$373,MATCH($B3001,'Fuel Model -  Input'!$B$3:$B$373,0),MATCH(G$2,'Fuel Model -  Input'!$B$3:$N$3,0))</f>
        <v>0</v>
      </c>
      <c r="H3001" s="531">
        <f>INDEX('Fuel Model -  Input'!$B$3:$N$373,MATCH($B3001,'Fuel Model -  Input'!$B$3:$B$373,0),MATCH(H$2,'Fuel Model -  Input'!$B$3:$N$3,0))</f>
        <v>0.3</v>
      </c>
      <c r="I3001" s="531">
        <f>INDEX('Fuel Model -  Input'!$B$3:$N$373,MATCH($B3001,'Fuel Model -  Input'!$B$3:$B$373,0),MATCH(I$2,'Fuel Model -  Input'!$B$3:$N$3,0))</f>
        <v>0.5</v>
      </c>
      <c r="J3001" s="531">
        <f>INDEX('Fuel Model -  Input'!$B$3:$N$373,MATCH($B3001,'Fuel Model -  Input'!$B$3:$B$373,0),MATCH(J$2,'Fuel Model -  Input'!$B$3:$N$3,0))</f>
        <v>1</v>
      </c>
      <c r="K3001" s="531">
        <f>INDEX('Fuel Model -  Input'!$B$3:$N$373,MATCH($B3001,'Fuel Model -  Input'!$B$3:$B$373,0),MATCH(K$2,'Fuel Model -  Input'!$B$3:$N$3,0))</f>
        <v>0.9</v>
      </c>
      <c r="L3001" s="531">
        <f>INDEX('Fuel Model -  Input'!$B$3:$N$373,MATCH($B3001,'Fuel Model -  Input'!$B$3:$B$373,0),MATCH(L$2,'Fuel Model -  Input'!$B$3:$N$3,0))</f>
        <v>0.7</v>
      </c>
      <c r="M3001" s="531">
        <f>INDEX('Fuel Model -  Input'!$B$3:$N$373,MATCH($B3001,'Fuel Model -  Input'!$B$3:$B$373,0),MATCH(M$2,'Fuel Model -  Input'!$B$3:$N$3,0))</f>
        <v>0.2</v>
      </c>
    </row>
    <row r="3002" spans="2:13" hidden="1" outlineLevel="2" x14ac:dyDescent="0.2">
      <c r="B3002" t="str">
        <f t="shared" si="1734"/>
        <v>GlobalFeedstockHTL hydrogen fraction - Green%</v>
      </c>
      <c r="C3002" s="494" t="s">
        <v>109</v>
      </c>
      <c r="D3002" t="s">
        <v>777</v>
      </c>
      <c r="E3002" s="48" t="s">
        <v>1304</v>
      </c>
      <c r="F3002" t="s">
        <v>178</v>
      </c>
      <c r="G3002" s="531">
        <f>INDEX('Fuel Model -  Input'!$B$3:$N$373,MATCH($B3002,'Fuel Model -  Input'!$B$3:$B$373,0),MATCH(G$2,'Fuel Model -  Input'!$B$3:$N$3,0))</f>
        <v>0</v>
      </c>
      <c r="H3002" s="531">
        <f>INDEX('Fuel Model -  Input'!$B$3:$N$373,MATCH($B3002,'Fuel Model -  Input'!$B$3:$B$373,0),MATCH(H$2,'Fuel Model -  Input'!$B$3:$N$3,0))</f>
        <v>0</v>
      </c>
      <c r="I3002" s="531">
        <f>INDEX('Fuel Model -  Input'!$B$3:$N$373,MATCH($B3002,'Fuel Model -  Input'!$B$3:$B$373,0),MATCH(I$2,'Fuel Model -  Input'!$B$3:$N$3,0))</f>
        <v>0</v>
      </c>
      <c r="J3002" s="531">
        <f>INDEX('Fuel Model -  Input'!$B$3:$N$373,MATCH($B3002,'Fuel Model -  Input'!$B$3:$B$373,0),MATCH(J$2,'Fuel Model -  Input'!$B$3:$N$3,0))</f>
        <v>0</v>
      </c>
      <c r="K3002" s="531">
        <f>INDEX('Fuel Model -  Input'!$B$3:$N$373,MATCH($B3002,'Fuel Model -  Input'!$B$3:$B$373,0),MATCH(K$2,'Fuel Model -  Input'!$B$3:$N$3,0))</f>
        <v>0.1</v>
      </c>
      <c r="L3002" s="531">
        <f>INDEX('Fuel Model -  Input'!$B$3:$N$373,MATCH($B3002,'Fuel Model -  Input'!$B$3:$B$373,0),MATCH(L$2,'Fuel Model -  Input'!$B$3:$N$3,0))</f>
        <v>0.3</v>
      </c>
      <c r="M3002" s="531">
        <f>INDEX('Fuel Model -  Input'!$B$3:$N$373,MATCH($B3002,'Fuel Model -  Input'!$B$3:$B$373,0),MATCH(M$2,'Fuel Model -  Input'!$B$3:$N$3,0))</f>
        <v>0.8</v>
      </c>
    </row>
    <row r="3003" spans="2:13" hidden="1" outlineLevel="2" x14ac:dyDescent="0.2">
      <c r="B3003" s="496" t="str">
        <f t="shared" si="1734"/>
        <v>GlobalFeedstockConversion Hydrogen : HTL oilTon feedstock / ton fuel</v>
      </c>
      <c r="C3003" t="s">
        <v>109</v>
      </c>
      <c r="D3003" t="s">
        <v>777</v>
      </c>
      <c r="E3003" t="s">
        <v>1300</v>
      </c>
      <c r="F3003" t="s">
        <v>1241</v>
      </c>
      <c r="G3003" s="520">
        <f>INDEX('Fuel Model -  Input'!$B$3:$N$373,MATCH($B3003,'Fuel Model -  Input'!$B$3:$B$373,0),MATCH(G$2,'Fuel Model -  Input'!$B$3:$N$3,0))</f>
        <v>6.25E-2</v>
      </c>
      <c r="H3003" s="520">
        <f>INDEX('Fuel Model -  Input'!$B$3:$N$373,MATCH($B3003,'Fuel Model -  Input'!$B$3:$B$373,0),MATCH(H$2,'Fuel Model -  Input'!$B$3:$N$3,0))</f>
        <v>6.25E-2</v>
      </c>
      <c r="I3003" s="520">
        <f>INDEX('Fuel Model -  Input'!$B$3:$N$373,MATCH($B3003,'Fuel Model -  Input'!$B$3:$B$373,0),MATCH(I$2,'Fuel Model -  Input'!$B$3:$N$3,0))</f>
        <v>6.25E-2</v>
      </c>
      <c r="J3003" s="520">
        <f>INDEX('Fuel Model -  Input'!$B$3:$N$373,MATCH($B3003,'Fuel Model -  Input'!$B$3:$B$373,0),MATCH(J$2,'Fuel Model -  Input'!$B$3:$N$3,0))</f>
        <v>6.25E-2</v>
      </c>
      <c r="K3003" s="520">
        <f>INDEX('Fuel Model -  Input'!$B$3:$N$373,MATCH($B3003,'Fuel Model -  Input'!$B$3:$B$373,0),MATCH(K$2,'Fuel Model -  Input'!$B$3:$N$3,0))</f>
        <v>6.25E-2</v>
      </c>
      <c r="L3003" s="520">
        <f>INDEX('Fuel Model -  Input'!$B$3:$N$373,MATCH($B3003,'Fuel Model -  Input'!$B$3:$B$373,0),MATCH(L$2,'Fuel Model -  Input'!$B$3:$N$3,0))</f>
        <v>6.25E-2</v>
      </c>
      <c r="M3003" s="520">
        <f>INDEX('Fuel Model -  Input'!$B$3:$N$373,MATCH($B3003,'Fuel Model -  Input'!$B$3:$B$373,0),MATCH(M$2,'Fuel Model -  Input'!$B$3:$N$3,0))</f>
        <v>6.25E-2</v>
      </c>
    </row>
    <row r="3004" spans="2:13" hidden="1" outlineLevel="2" x14ac:dyDescent="0.2">
      <c r="B3004" s="496" t="str">
        <f t="shared" si="1734"/>
        <v>GlobalCO2intensityElectricitytonCO2eq/MWH</v>
      </c>
      <c r="C3004" t="s">
        <v>109</v>
      </c>
      <c r="D3004" t="s">
        <v>927</v>
      </c>
      <c r="E3004" t="s">
        <v>54</v>
      </c>
      <c r="F3004" t="s">
        <v>937</v>
      </c>
      <c r="G3004" s="520">
        <f>INDEX('Fuel Model -  Input'!$B$3:$N$373,MATCH($B3004,'Fuel Model -  Input'!$B$3:$B$373,0),MATCH(G$2,'Fuel Model -  Input'!$B$3:$N$3,0))</f>
        <v>5.3699999999999998E-3</v>
      </c>
      <c r="H3004" s="520">
        <f>INDEX('Fuel Model -  Input'!$B$3:$N$373,MATCH($B3004,'Fuel Model -  Input'!$B$3:$B$373,0),MATCH(H$2,'Fuel Model -  Input'!$B$3:$N$3,0))</f>
        <v>5.3699999999999998E-3</v>
      </c>
      <c r="I3004" s="520">
        <f>INDEX('Fuel Model -  Input'!$B$3:$N$373,MATCH($B3004,'Fuel Model -  Input'!$B$3:$B$373,0),MATCH(I$2,'Fuel Model -  Input'!$B$3:$N$3,0))</f>
        <v>5.3699999999999998E-3</v>
      </c>
      <c r="J3004" s="520">
        <f>INDEX('Fuel Model -  Input'!$B$3:$N$373,MATCH($B3004,'Fuel Model -  Input'!$B$3:$B$373,0),MATCH(J$2,'Fuel Model -  Input'!$B$3:$N$3,0))</f>
        <v>5.3699999999999998E-3</v>
      </c>
      <c r="K3004" s="520">
        <f>INDEX('Fuel Model -  Input'!$B$3:$N$373,MATCH($B3004,'Fuel Model -  Input'!$B$3:$B$373,0),MATCH(K$2,'Fuel Model -  Input'!$B$3:$N$3,0))</f>
        <v>5.3699999999999998E-3</v>
      </c>
      <c r="L3004" s="520">
        <f>INDEX('Fuel Model -  Input'!$B$3:$N$373,MATCH($B3004,'Fuel Model -  Input'!$B$3:$B$373,0),MATCH(L$2,'Fuel Model -  Input'!$B$3:$N$3,0))</f>
        <v>5.3699999999999998E-3</v>
      </c>
      <c r="M3004" s="520">
        <f>INDEX('Fuel Model -  Input'!$B$3:$N$373,MATCH($B3004,'Fuel Model -  Input'!$B$3:$B$373,0),MATCH(M$2,'Fuel Model -  Input'!$B$3:$N$3,0))</f>
        <v>5.3699999999999998E-3</v>
      </c>
    </row>
    <row r="3005" spans="2:13" hidden="1" outlineLevel="2" x14ac:dyDescent="0.2">
      <c r="B3005" s="496" t="str">
        <f t="shared" si="1734"/>
        <v>GlobalFeedstockHTL plant electricity demandMWh/ton fuel</v>
      </c>
      <c r="C3005" t="s">
        <v>109</v>
      </c>
      <c r="D3005" t="s">
        <v>777</v>
      </c>
      <c r="E3005" t="s">
        <v>1297</v>
      </c>
      <c r="F3005" t="s">
        <v>1298</v>
      </c>
      <c r="G3005" s="520">
        <f>INDEX('Fuel Model -  Input'!$B$3:$N$373,MATCH($B3005,'Fuel Model -  Input'!$B$3:$B$373,0),MATCH(G$2,'Fuel Model -  Input'!$B$3:$N$3,0))</f>
        <v>0.80044621912790992</v>
      </c>
      <c r="H3005" s="520">
        <f>INDEX('Fuel Model -  Input'!$B$3:$N$373,MATCH($B3005,'Fuel Model -  Input'!$B$3:$B$373,0),MATCH(H$2,'Fuel Model -  Input'!$B$3:$N$3,0))</f>
        <v>0.80044621912790992</v>
      </c>
      <c r="I3005" s="520">
        <f>INDEX('Fuel Model -  Input'!$B$3:$N$373,MATCH($B3005,'Fuel Model -  Input'!$B$3:$B$373,0),MATCH(I$2,'Fuel Model -  Input'!$B$3:$N$3,0))</f>
        <v>0.79751787885447367</v>
      </c>
      <c r="J3005" s="520">
        <f>INDEX('Fuel Model -  Input'!$B$3:$N$373,MATCH($B3005,'Fuel Model -  Input'!$B$3:$B$373,0),MATCH(J$2,'Fuel Model -  Input'!$B$3:$N$3,0))</f>
        <v>0.79458953858103754</v>
      </c>
      <c r="K3005" s="520">
        <f>INDEX('Fuel Model -  Input'!$B$3:$N$373,MATCH($B3005,'Fuel Model -  Input'!$B$3:$B$373,0),MATCH(K$2,'Fuel Model -  Input'!$B$3:$N$3,0))</f>
        <v>0.79166119830760129</v>
      </c>
      <c r="L3005" s="520">
        <f>INDEX('Fuel Model -  Input'!$B$3:$N$373,MATCH($B3005,'Fuel Model -  Input'!$B$3:$B$373,0),MATCH(L$2,'Fuel Model -  Input'!$B$3:$N$3,0))</f>
        <v>0.78873285803416515</v>
      </c>
      <c r="M3005" s="520">
        <f>INDEX('Fuel Model -  Input'!$B$3:$N$373,MATCH($B3005,'Fuel Model -  Input'!$B$3:$B$373,0),MATCH(M$2,'Fuel Model -  Input'!$B$3:$N$3,0))</f>
        <v>0.7858045177607289</v>
      </c>
    </row>
    <row r="3006" spans="2:13" hidden="1" outlineLevel="2" x14ac:dyDescent="0.2">
      <c r="B3006" s="496" t="str">
        <f t="shared" si="1734"/>
        <v>GlobalCO2intensityHTL processtonCO2eq/ton HTL oil</v>
      </c>
      <c r="C3006" t="s">
        <v>109</v>
      </c>
      <c r="D3006" s="86" t="s">
        <v>927</v>
      </c>
      <c r="E3006" s="86" t="s">
        <v>1314</v>
      </c>
      <c r="F3006" t="s">
        <v>1315</v>
      </c>
      <c r="G3006" s="520">
        <f>INDEX('Fuel Model -  Input'!$B$3:$N$373,MATCH($B3006,'Fuel Model -  Input'!$B$3:$B$373,0),MATCH(G$2,'Fuel Model -  Input'!$B$3:$N$3,0))</f>
        <v>0</v>
      </c>
      <c r="H3006" s="520">
        <f>INDEX('Fuel Model -  Input'!$B$3:$N$373,MATCH($B3006,'Fuel Model -  Input'!$B$3:$B$373,0),MATCH(H$2,'Fuel Model -  Input'!$B$3:$N$3,0))</f>
        <v>0</v>
      </c>
      <c r="I3006" s="520">
        <f>INDEX('Fuel Model -  Input'!$B$3:$N$373,MATCH($B3006,'Fuel Model -  Input'!$B$3:$B$373,0),MATCH(I$2,'Fuel Model -  Input'!$B$3:$N$3,0))</f>
        <v>0</v>
      </c>
      <c r="J3006" s="520">
        <f>INDEX('Fuel Model -  Input'!$B$3:$N$373,MATCH($B3006,'Fuel Model -  Input'!$B$3:$B$373,0),MATCH(J$2,'Fuel Model -  Input'!$B$3:$N$3,0))</f>
        <v>0</v>
      </c>
      <c r="K3006" s="520">
        <f>INDEX('Fuel Model -  Input'!$B$3:$N$373,MATCH($B3006,'Fuel Model -  Input'!$B$3:$B$373,0),MATCH(K$2,'Fuel Model -  Input'!$B$3:$N$3,0))</f>
        <v>0</v>
      </c>
      <c r="L3006" s="520">
        <f>INDEX('Fuel Model -  Input'!$B$3:$N$373,MATCH($B3006,'Fuel Model -  Input'!$B$3:$B$373,0),MATCH(L$2,'Fuel Model -  Input'!$B$3:$N$3,0))</f>
        <v>0</v>
      </c>
      <c r="M3006" s="520">
        <f>INDEX('Fuel Model -  Input'!$B$3:$N$373,MATCH($B3006,'Fuel Model -  Input'!$B$3:$B$373,0),MATCH(M$2,'Fuel Model -  Input'!$B$3:$N$3,0))</f>
        <v>0</v>
      </c>
    </row>
    <row r="3007" spans="2:13" hidden="1" outlineLevel="2" x14ac:dyDescent="0.2">
      <c r="B3007" s="496" t="str">
        <f t="shared" ref="B3007:B3008" si="1739">+C3007&amp;D3007&amp;E3007&amp;F3007</f>
        <v>GlobalFeedstockDry wood biomass market share HTL%</v>
      </c>
      <c r="C3007" t="s">
        <v>109</v>
      </c>
      <c r="D3007" s="86" t="s">
        <v>777</v>
      </c>
      <c r="E3007" s="86" t="s">
        <v>1305</v>
      </c>
      <c r="F3007" t="s">
        <v>178</v>
      </c>
      <c r="G3007" s="544">
        <f>INDEX('Fuel Model -  Input'!$B$3:$N$373,MATCH($B3007,'Fuel Model -  Input'!$B$3:$B$373,0),MATCH(G$2,'Fuel Model -  Input'!$B$3:$N$3,0))</f>
        <v>0.3</v>
      </c>
      <c r="H3007" s="544">
        <f>INDEX('Fuel Model -  Input'!$B$3:$N$373,MATCH($B3007,'Fuel Model -  Input'!$B$3:$B$373,0),MATCH(H$2,'Fuel Model -  Input'!$B$3:$N$3,0))</f>
        <v>0.3</v>
      </c>
      <c r="I3007" s="544">
        <f>INDEX('Fuel Model -  Input'!$B$3:$N$373,MATCH($B3007,'Fuel Model -  Input'!$B$3:$B$373,0),MATCH(I$2,'Fuel Model -  Input'!$B$3:$N$3,0))</f>
        <v>0.3</v>
      </c>
      <c r="J3007" s="544">
        <f>INDEX('Fuel Model -  Input'!$B$3:$N$373,MATCH($B3007,'Fuel Model -  Input'!$B$3:$B$373,0),MATCH(J$2,'Fuel Model -  Input'!$B$3:$N$3,0))</f>
        <v>0.3</v>
      </c>
      <c r="K3007" s="544">
        <f>INDEX('Fuel Model -  Input'!$B$3:$N$373,MATCH($B3007,'Fuel Model -  Input'!$B$3:$B$373,0),MATCH(K$2,'Fuel Model -  Input'!$B$3:$N$3,0))</f>
        <v>0.3</v>
      </c>
      <c r="L3007" s="544">
        <f>INDEX('Fuel Model -  Input'!$B$3:$N$373,MATCH($B3007,'Fuel Model -  Input'!$B$3:$B$373,0),MATCH(L$2,'Fuel Model -  Input'!$B$3:$N$3,0))</f>
        <v>0.3</v>
      </c>
      <c r="M3007" s="544">
        <f>INDEX('Fuel Model -  Input'!$B$3:$N$373,MATCH($B3007,'Fuel Model -  Input'!$B$3:$B$373,0),MATCH(M$2,'Fuel Model -  Input'!$B$3:$N$3,0))</f>
        <v>0.3</v>
      </c>
    </row>
    <row r="3008" spans="2:13" hidden="1" outlineLevel="2" x14ac:dyDescent="0.2">
      <c r="B3008" s="496" t="str">
        <f t="shared" si="1739"/>
        <v>GlobalFeedstockOrganic wet waste market share HTL%</v>
      </c>
      <c r="C3008" t="s">
        <v>109</v>
      </c>
      <c r="D3008" s="86" t="s">
        <v>777</v>
      </c>
      <c r="E3008" s="86" t="s">
        <v>1306</v>
      </c>
      <c r="F3008" t="s">
        <v>178</v>
      </c>
      <c r="G3008" s="544">
        <f>INDEX('Fuel Model -  Input'!$B$3:$N$373,MATCH($B3008,'Fuel Model -  Input'!$B$3:$B$373,0),MATCH(G$2,'Fuel Model -  Input'!$B$3:$N$3,0))</f>
        <v>0.7</v>
      </c>
      <c r="H3008" s="544">
        <f>INDEX('Fuel Model -  Input'!$B$3:$N$373,MATCH($B3008,'Fuel Model -  Input'!$B$3:$B$373,0),MATCH(H$2,'Fuel Model -  Input'!$B$3:$N$3,0))</f>
        <v>0.7</v>
      </c>
      <c r="I3008" s="544">
        <f>INDEX('Fuel Model -  Input'!$B$3:$N$373,MATCH($B3008,'Fuel Model -  Input'!$B$3:$B$373,0),MATCH(I$2,'Fuel Model -  Input'!$B$3:$N$3,0))</f>
        <v>0.7</v>
      </c>
      <c r="J3008" s="544">
        <f>INDEX('Fuel Model -  Input'!$B$3:$N$373,MATCH($B3008,'Fuel Model -  Input'!$B$3:$B$373,0),MATCH(J$2,'Fuel Model -  Input'!$B$3:$N$3,0))</f>
        <v>0.7</v>
      </c>
      <c r="K3008" s="544">
        <f>INDEX('Fuel Model -  Input'!$B$3:$N$373,MATCH($B3008,'Fuel Model -  Input'!$B$3:$B$373,0),MATCH(K$2,'Fuel Model -  Input'!$B$3:$N$3,0))</f>
        <v>0.7</v>
      </c>
      <c r="L3008" s="544">
        <f>INDEX('Fuel Model -  Input'!$B$3:$N$373,MATCH($B3008,'Fuel Model -  Input'!$B$3:$B$373,0),MATCH(L$2,'Fuel Model -  Input'!$B$3:$N$3,0))</f>
        <v>0.7</v>
      </c>
      <c r="M3008" s="544">
        <f>INDEX('Fuel Model -  Input'!$B$3:$N$373,MATCH($B3008,'Fuel Model -  Input'!$B$3:$B$373,0),MATCH(M$2,'Fuel Model -  Input'!$B$3:$N$3,0))</f>
        <v>0.7</v>
      </c>
    </row>
    <row r="3009" spans="2:14" hidden="1" outlineLevel="2" x14ac:dyDescent="0.2">
      <c r="B3009" s="496" t="str">
        <f>+C3009&amp;D3009&amp;E3009&amp;F3009</f>
        <v>GlobalFeedstockConversion Organic wet waste : HTL oilTon feedstock / ton fuel</v>
      </c>
      <c r="C3009" t="s">
        <v>109</v>
      </c>
      <c r="D3009" t="s">
        <v>777</v>
      </c>
      <c r="E3009" t="s">
        <v>1307</v>
      </c>
      <c r="F3009" t="s">
        <v>1241</v>
      </c>
      <c r="G3009" s="520">
        <f>INDEX('Fuel Model -  Input'!$B$3:$N$373,MATCH($B3009,'Fuel Model -  Input'!$B$3:$B$373,0),MATCH(G$2,'Fuel Model -  Input'!$B$3:$N$3,0))</f>
        <v>4.4642857142857135</v>
      </c>
      <c r="H3009" s="520">
        <f>INDEX('Fuel Model -  Input'!$B$3:$N$373,MATCH($B3009,'Fuel Model -  Input'!$B$3:$B$373,0),MATCH(H$2,'Fuel Model -  Input'!$B$3:$N$3,0))</f>
        <v>4.4642857142857135</v>
      </c>
      <c r="I3009" s="520">
        <f>INDEX('Fuel Model -  Input'!$B$3:$N$373,MATCH($B3009,'Fuel Model -  Input'!$B$3:$B$373,0),MATCH(I$2,'Fuel Model -  Input'!$B$3:$N$3,0))</f>
        <v>4.4642857142857135</v>
      </c>
      <c r="J3009" s="520">
        <f>INDEX('Fuel Model -  Input'!$B$3:$N$373,MATCH($B3009,'Fuel Model -  Input'!$B$3:$B$373,0),MATCH(J$2,'Fuel Model -  Input'!$B$3:$N$3,0))</f>
        <v>4.4642857142857135</v>
      </c>
      <c r="K3009" s="520">
        <f>INDEX('Fuel Model -  Input'!$B$3:$N$373,MATCH($B3009,'Fuel Model -  Input'!$B$3:$B$373,0),MATCH(K$2,'Fuel Model -  Input'!$B$3:$N$3,0))</f>
        <v>4.4642857142857135</v>
      </c>
      <c r="L3009" s="520">
        <f>INDEX('Fuel Model -  Input'!$B$3:$N$373,MATCH($B3009,'Fuel Model -  Input'!$B$3:$B$373,0),MATCH(L$2,'Fuel Model -  Input'!$B$3:$N$3,0))</f>
        <v>4.4642857142857135</v>
      </c>
      <c r="M3009" s="520">
        <f>INDEX('Fuel Model -  Input'!$B$3:$N$373,MATCH($B3009,'Fuel Model -  Input'!$B$3:$B$373,0),MATCH(M$2,'Fuel Model -  Input'!$B$3:$N$3,0))</f>
        <v>4.4642857142857135</v>
      </c>
    </row>
    <row r="3010" spans="2:14" hidden="1" outlineLevel="2" x14ac:dyDescent="0.2">
      <c r="B3010" s="496" t="str">
        <f>+C3010&amp;D3010&amp;E3010&amp;F3010</f>
        <v>GlobalCO2intensityWTT Organic wet wastetonCO2eq/ton</v>
      </c>
      <c r="C3010" s="157" t="s">
        <v>109</v>
      </c>
      <c r="D3010" s="530" t="s">
        <v>927</v>
      </c>
      <c r="E3010" s="530" t="s">
        <v>1251</v>
      </c>
      <c r="F3010" s="157" t="s">
        <v>1252</v>
      </c>
      <c r="G3010" s="520">
        <f>INDEX('Fuel Model -  Input'!$B$3:$N$373,MATCH($B3010,'Fuel Model -  Input'!$B$3:$B$373,0),MATCH(G$2,'Fuel Model -  Input'!$B$3:$N$3,0))</f>
        <v>0.09</v>
      </c>
      <c r="H3010" s="520">
        <f>INDEX('Fuel Model -  Input'!$B$3:$N$373,MATCH($B3010,'Fuel Model -  Input'!$B$3:$B$373,0),MATCH(H$2,'Fuel Model -  Input'!$B$3:$N$3,0))</f>
        <v>7.6499999999999999E-2</v>
      </c>
      <c r="I3010" s="520">
        <f>INDEX('Fuel Model -  Input'!$B$3:$N$373,MATCH($B3010,'Fuel Model -  Input'!$B$3:$B$373,0),MATCH(I$2,'Fuel Model -  Input'!$B$3:$N$3,0))</f>
        <v>6.3E-2</v>
      </c>
      <c r="J3010" s="520">
        <f>INDEX('Fuel Model -  Input'!$B$3:$N$373,MATCH($B3010,'Fuel Model -  Input'!$B$3:$B$373,0),MATCH(J$2,'Fuel Model -  Input'!$B$3:$N$3,0))</f>
        <v>4.9499999999999995E-2</v>
      </c>
      <c r="K3010" s="520">
        <f>INDEX('Fuel Model -  Input'!$B$3:$N$373,MATCH($B3010,'Fuel Model -  Input'!$B$3:$B$373,0),MATCH(K$2,'Fuel Model -  Input'!$B$3:$N$3,0))</f>
        <v>3.599999999999999E-2</v>
      </c>
      <c r="L3010" s="520">
        <f>INDEX('Fuel Model -  Input'!$B$3:$N$373,MATCH($B3010,'Fuel Model -  Input'!$B$3:$B$373,0),MATCH(L$2,'Fuel Model -  Input'!$B$3:$N$3,0))</f>
        <v>2.2499999999999992E-2</v>
      </c>
      <c r="M3010" s="520">
        <f>INDEX('Fuel Model -  Input'!$B$3:$N$373,MATCH($B3010,'Fuel Model -  Input'!$B$3:$B$373,0),MATCH(M$2,'Fuel Model -  Input'!$B$3:$N$3,0))</f>
        <v>8.9999999999999993E-3</v>
      </c>
    </row>
    <row r="3011" spans="2:14" hidden="1" outlineLevel="2" x14ac:dyDescent="0.2">
      <c r="B3011" s="496" t="str">
        <f>+C3011&amp;D3011&amp;E3011&amp;F3011</f>
        <v>GlobalFeedstockConversion Dry Wood biomass : HTL oilTon feedstock / ton fuel</v>
      </c>
      <c r="C3011" t="s">
        <v>109</v>
      </c>
      <c r="D3011" t="s">
        <v>777</v>
      </c>
      <c r="E3011" t="s">
        <v>1308</v>
      </c>
      <c r="F3011" t="s">
        <v>1241</v>
      </c>
      <c r="G3011" s="520">
        <f>INDEX('Fuel Model -  Input'!$B$3:$N$373,MATCH($B3011,'Fuel Model -  Input'!$B$3:$B$373,0),MATCH(G$2,'Fuel Model -  Input'!$B$3:$N$3,0))</f>
        <v>3.6069120661509726</v>
      </c>
      <c r="H3011" s="520">
        <f>INDEX('Fuel Model -  Input'!$B$3:$N$373,MATCH($B3011,'Fuel Model -  Input'!$B$3:$B$373,0),MATCH(H$2,'Fuel Model -  Input'!$B$3:$N$3,0))</f>
        <v>3.6069120661509726</v>
      </c>
      <c r="I3011" s="520">
        <f>INDEX('Fuel Model -  Input'!$B$3:$N$373,MATCH($B3011,'Fuel Model -  Input'!$B$3:$B$373,0),MATCH(I$2,'Fuel Model -  Input'!$B$3:$N$3,0))</f>
        <v>3.6069120661509726</v>
      </c>
      <c r="J3011" s="520">
        <f>INDEX('Fuel Model -  Input'!$B$3:$N$373,MATCH($B3011,'Fuel Model -  Input'!$B$3:$B$373,0),MATCH(J$2,'Fuel Model -  Input'!$B$3:$N$3,0))</f>
        <v>3.6069120661509726</v>
      </c>
      <c r="K3011" s="520">
        <f>INDEX('Fuel Model -  Input'!$B$3:$N$373,MATCH($B3011,'Fuel Model -  Input'!$B$3:$B$373,0),MATCH(K$2,'Fuel Model -  Input'!$B$3:$N$3,0))</f>
        <v>3.6069120661509726</v>
      </c>
      <c r="L3011" s="520">
        <f>INDEX('Fuel Model -  Input'!$B$3:$N$373,MATCH($B3011,'Fuel Model -  Input'!$B$3:$B$373,0),MATCH(L$2,'Fuel Model -  Input'!$B$3:$N$3,0))</f>
        <v>3.6069120661509726</v>
      </c>
      <c r="M3011" s="520">
        <f>INDEX('Fuel Model -  Input'!$B$3:$N$373,MATCH($B3011,'Fuel Model -  Input'!$B$3:$B$373,0),MATCH(M$2,'Fuel Model -  Input'!$B$3:$N$3,0))</f>
        <v>3.6069120661509726</v>
      </c>
    </row>
    <row r="3012" spans="2:14" hidden="1" outlineLevel="2" x14ac:dyDescent="0.2">
      <c r="B3012" s="496" t="str">
        <f>+C3012&amp;D3012&amp;E3012&amp;F3012</f>
        <v>GlobalCO2intensityWTT Wood biomasstonCO2eq/ton</v>
      </c>
      <c r="C3012" s="157" t="s">
        <v>109</v>
      </c>
      <c r="D3012" s="530" t="s">
        <v>927</v>
      </c>
      <c r="E3012" s="530" t="s">
        <v>1253</v>
      </c>
      <c r="F3012" s="157" t="s">
        <v>1252</v>
      </c>
      <c r="G3012" s="520">
        <f>INDEX('Fuel Model -  Input'!$B$3:$N$373,MATCH($B3012,'Fuel Model -  Input'!$B$3:$B$373,0),MATCH(G$2,'Fuel Model -  Input'!$B$3:$N$3,0))</f>
        <v>0.09</v>
      </c>
      <c r="H3012" s="520">
        <f>INDEX('Fuel Model -  Input'!$B$3:$N$373,MATCH($B3012,'Fuel Model -  Input'!$B$3:$B$373,0),MATCH(H$2,'Fuel Model -  Input'!$B$3:$N$3,0))</f>
        <v>7.6499999999999999E-2</v>
      </c>
      <c r="I3012" s="520">
        <f>INDEX('Fuel Model -  Input'!$B$3:$N$373,MATCH($B3012,'Fuel Model -  Input'!$B$3:$B$373,0),MATCH(I$2,'Fuel Model -  Input'!$B$3:$N$3,0))</f>
        <v>6.3E-2</v>
      </c>
      <c r="J3012" s="520">
        <f>INDEX('Fuel Model -  Input'!$B$3:$N$373,MATCH($B3012,'Fuel Model -  Input'!$B$3:$B$373,0),MATCH(J$2,'Fuel Model -  Input'!$B$3:$N$3,0))</f>
        <v>4.9499999999999995E-2</v>
      </c>
      <c r="K3012" s="520">
        <f>INDEX('Fuel Model -  Input'!$B$3:$N$373,MATCH($B3012,'Fuel Model -  Input'!$B$3:$B$373,0),MATCH(K$2,'Fuel Model -  Input'!$B$3:$N$3,0))</f>
        <v>3.599999999999999E-2</v>
      </c>
      <c r="L3012" s="520">
        <f>INDEX('Fuel Model -  Input'!$B$3:$N$373,MATCH($B3012,'Fuel Model -  Input'!$B$3:$B$373,0),MATCH(L$2,'Fuel Model -  Input'!$B$3:$N$3,0))</f>
        <v>2.2499999999999992E-2</v>
      </c>
      <c r="M3012" s="520">
        <f>INDEX('Fuel Model -  Input'!$B$3:$N$373,MATCH($B3012,'Fuel Model -  Input'!$B$3:$B$373,0),MATCH(M$2,'Fuel Model -  Input'!$B$3:$N$3,0))</f>
        <v>8.9999999999999993E-3</v>
      </c>
    </row>
    <row r="3013" spans="2:14" ht="12.75" hidden="1" outlineLevel="1" x14ac:dyDescent="0.2">
      <c r="F3013"/>
    </row>
    <row r="3014" spans="2:14" ht="15" hidden="1" outlineLevel="1" x14ac:dyDescent="0.25">
      <c r="B3014" s="30" t="s">
        <v>1316</v>
      </c>
      <c r="C3014" s="30" t="str">
        <f>+B3014</f>
        <v>Primary energy efficiency - HTL oil</v>
      </c>
      <c r="F3014"/>
    </row>
    <row r="3015" spans="2:14" ht="15" hidden="1" outlineLevel="1" x14ac:dyDescent="0.25">
      <c r="B3015" s="541" t="str">
        <f>+C3015&amp;D3015&amp;E3015&amp;F3015</f>
        <v>GlobalResultsAverage Primary EE of Biodiesel (HtL)%</v>
      </c>
      <c r="C3015" s="516" t="s">
        <v>109</v>
      </c>
      <c r="D3015" s="516" t="s">
        <v>838</v>
      </c>
      <c r="E3015" s="516" t="s">
        <v>1317</v>
      </c>
      <c r="F3015" s="512" t="s">
        <v>178</v>
      </c>
      <c r="G3015" s="529">
        <v>0</v>
      </c>
      <c r="H3015" s="529">
        <v>0</v>
      </c>
      <c r="I3015" s="529">
        <v>0</v>
      </c>
      <c r="J3015" s="529">
        <v>0</v>
      </c>
      <c r="K3015" s="529">
        <v>0</v>
      </c>
      <c r="L3015" s="529">
        <v>0</v>
      </c>
      <c r="M3015" s="529">
        <v>0</v>
      </c>
    </row>
    <row r="3016" spans="2:14" hidden="1" outlineLevel="2" x14ac:dyDescent="0.2">
      <c r="B3016" s="496"/>
      <c r="C3016" s="157"/>
      <c r="D3016" s="157"/>
      <c r="E3016" s="157"/>
      <c r="G3016" s="530"/>
      <c r="H3016" s="530"/>
      <c r="I3016" s="530"/>
      <c r="J3016" s="530"/>
      <c r="K3016" s="530"/>
      <c r="L3016" s="530"/>
      <c r="M3016" s="530"/>
    </row>
    <row r="3017" spans="2:14" hidden="1" outlineLevel="2" x14ac:dyDescent="0.2">
      <c r="B3017" s="496" t="str">
        <f>+C3017&amp;D3017&amp;E3017&amp;F3017</f>
        <v>GlobalLHVLHV dry wood BiomassMJ/ ton</v>
      </c>
      <c r="C3017" s="157" t="s">
        <v>109</v>
      </c>
      <c r="D3017" s="157" t="s">
        <v>582</v>
      </c>
      <c r="E3017" s="157" t="s">
        <v>1256</v>
      </c>
      <c r="F3017" s="157" t="s">
        <v>583</v>
      </c>
      <c r="G3017" s="520">
        <f>INDEX('Fuel Model -  Input'!$B$3:$N$373,MATCH($B3017,'Fuel Model -  Input'!$B$3:$B$373,0),MATCH(G$2,'Fuel Model -  Input'!$B$3:$N$3,0))</f>
        <v>21500</v>
      </c>
      <c r="H3017" s="520">
        <f>INDEX('Fuel Model -  Input'!$B$3:$N$373,MATCH($B3017,'Fuel Model -  Input'!$B$3:$B$373,0),MATCH(H$2,'Fuel Model -  Input'!$B$3:$N$3,0))</f>
        <v>21500</v>
      </c>
      <c r="I3017" s="520">
        <f>INDEX('Fuel Model -  Input'!$B$3:$N$373,MATCH($B3017,'Fuel Model -  Input'!$B$3:$B$373,0),MATCH(I$2,'Fuel Model -  Input'!$B$3:$N$3,0))</f>
        <v>21500</v>
      </c>
      <c r="J3017" s="520">
        <f>INDEX('Fuel Model -  Input'!$B$3:$N$373,MATCH($B3017,'Fuel Model -  Input'!$B$3:$B$373,0),MATCH(J$2,'Fuel Model -  Input'!$B$3:$N$3,0))</f>
        <v>21500</v>
      </c>
      <c r="K3017" s="520">
        <f>INDEX('Fuel Model -  Input'!$B$3:$N$373,MATCH($B3017,'Fuel Model -  Input'!$B$3:$B$373,0),MATCH(K$2,'Fuel Model -  Input'!$B$3:$N$3,0))</f>
        <v>21500</v>
      </c>
      <c r="L3017" s="520">
        <f>INDEX('Fuel Model -  Input'!$B$3:$N$373,MATCH($B3017,'Fuel Model -  Input'!$B$3:$B$373,0),MATCH(L$2,'Fuel Model -  Input'!$B$3:$N$3,0))</f>
        <v>21500</v>
      </c>
      <c r="M3017" s="520">
        <f>INDEX('Fuel Model -  Input'!$B$3:$N$373,MATCH($B3017,'Fuel Model -  Input'!$B$3:$B$373,0),MATCH(M$2,'Fuel Model -  Input'!$B$3:$N$3,0))</f>
        <v>21500</v>
      </c>
    </row>
    <row r="3018" spans="2:14" hidden="1" outlineLevel="2" x14ac:dyDescent="0.2">
      <c r="B3018" s="496" t="str">
        <f>+C3018&amp;D3018&amp;E3018&amp;F3018</f>
        <v>GlobalLHVBiodiesel (HtL)MJ/ ton</v>
      </c>
      <c r="C3018" t="s">
        <v>109</v>
      </c>
      <c r="D3018" t="s">
        <v>582</v>
      </c>
      <c r="E3018" t="s">
        <v>594</v>
      </c>
      <c r="F3018" t="s">
        <v>583</v>
      </c>
      <c r="G3018" s="520">
        <f>INDEX('Fuel Model -  Input'!$B$3:$N$373,MATCH($B3018,'Fuel Model -  Input'!$B$3:$B$373,0),MATCH(G$2,'Fuel Model -  Input'!$B$3:$N$3,0))</f>
        <v>42700</v>
      </c>
      <c r="H3018" s="520">
        <f>INDEX('Fuel Model -  Input'!$B$3:$N$373,MATCH($B3018,'Fuel Model -  Input'!$B$3:$B$373,0),MATCH(H$2,'Fuel Model -  Input'!$B$3:$N$3,0))</f>
        <v>42700</v>
      </c>
      <c r="I3018" s="520">
        <f>INDEX('Fuel Model -  Input'!$B$3:$N$373,MATCH($B3018,'Fuel Model -  Input'!$B$3:$B$373,0),MATCH(I$2,'Fuel Model -  Input'!$B$3:$N$3,0))</f>
        <v>42700</v>
      </c>
      <c r="J3018" s="520">
        <f>INDEX('Fuel Model -  Input'!$B$3:$N$373,MATCH($B3018,'Fuel Model -  Input'!$B$3:$B$373,0),MATCH(J$2,'Fuel Model -  Input'!$B$3:$N$3,0))</f>
        <v>42700</v>
      </c>
      <c r="K3018" s="520">
        <f>INDEX('Fuel Model -  Input'!$B$3:$N$373,MATCH($B3018,'Fuel Model -  Input'!$B$3:$B$373,0),MATCH(K$2,'Fuel Model -  Input'!$B$3:$N$3,0))</f>
        <v>42700</v>
      </c>
      <c r="L3018" s="520">
        <f>INDEX('Fuel Model -  Input'!$B$3:$N$373,MATCH($B3018,'Fuel Model -  Input'!$B$3:$B$373,0),MATCH(L$2,'Fuel Model -  Input'!$B$3:$N$3,0))</f>
        <v>42700</v>
      </c>
      <c r="M3018" s="520">
        <f>INDEX('Fuel Model -  Input'!$B$3:$N$373,MATCH($B3018,'Fuel Model -  Input'!$B$3:$B$373,0),MATCH(M$2,'Fuel Model -  Input'!$B$3:$N$3,0))</f>
        <v>42700</v>
      </c>
    </row>
    <row r="3019" spans="2:14" ht="12.75" hidden="1" outlineLevel="1" x14ac:dyDescent="0.2">
      <c r="F3019"/>
    </row>
    <row r="3020" spans="2:14" ht="15" thickBot="1" x14ac:dyDescent="0.25"/>
    <row r="3021" spans="2:14" ht="15.75" collapsed="1" thickBot="1" x14ac:dyDescent="0.3">
      <c r="B3021" s="561" t="s">
        <v>595</v>
      </c>
      <c r="C3021" s="562" t="str">
        <f>+B3021</f>
        <v>Biodiesel (HtL blend)</v>
      </c>
      <c r="D3021" s="563"/>
      <c r="E3021" s="563"/>
      <c r="F3021" s="563"/>
      <c r="G3021" s="744">
        <v>2020</v>
      </c>
      <c r="H3021" s="744">
        <v>2025</v>
      </c>
      <c r="I3021" s="744">
        <v>2030</v>
      </c>
      <c r="J3021" s="744">
        <v>2035</v>
      </c>
      <c r="K3021" s="744">
        <v>2040</v>
      </c>
      <c r="L3021" s="744">
        <v>2045</v>
      </c>
      <c r="M3021" s="745">
        <v>2050</v>
      </c>
    </row>
    <row r="3022" spans="2:14" ht="15" hidden="1" outlineLevel="1" x14ac:dyDescent="0.25">
      <c r="B3022" t="str">
        <f>+C3022&amp;D3022&amp;E3022&amp;F3022</f>
        <v>EuropeResultsCost of Biodiesel (HtL blend)USD/ton</v>
      </c>
      <c r="C3022" t="s">
        <v>195</v>
      </c>
      <c r="D3022" t="s">
        <v>838</v>
      </c>
      <c r="E3022" s="30" t="s">
        <v>1318</v>
      </c>
      <c r="F3022" s="522" t="s">
        <v>205</v>
      </c>
      <c r="G3022" s="8">
        <f t="shared" ref="G3022:M3022" si="1740">G3029</f>
        <v>1529.0166595154024</v>
      </c>
      <c r="H3022" s="8">
        <f t="shared" si="1740"/>
        <v>1019.7193969719121</v>
      </c>
      <c r="I3022" s="8">
        <f t="shared" si="1740"/>
        <v>612.432251920407</v>
      </c>
      <c r="J3022" s="8">
        <f t="shared" si="1740"/>
        <v>598.71543057033568</v>
      </c>
      <c r="K3022" s="8">
        <f t="shared" si="1740"/>
        <v>592.62860820285584</v>
      </c>
      <c r="L3022" s="8">
        <f t="shared" si="1740"/>
        <v>587.08727004628349</v>
      </c>
      <c r="M3022" s="8">
        <f t="shared" si="1740"/>
        <v>581.69601111565976</v>
      </c>
      <c r="N3022" s="93"/>
    </row>
    <row r="3023" spans="2:14" ht="15" hidden="1" outlineLevel="1" x14ac:dyDescent="0.25">
      <c r="B3023" t="str">
        <f>+C3023&amp;D3023&amp;E3023&amp;F3023</f>
        <v>Middle EastResultsCost of Biodiesel (HtL blend)USD/ton</v>
      </c>
      <c r="C3023" t="s">
        <v>197</v>
      </c>
      <c r="D3023" t="s">
        <v>838</v>
      </c>
      <c r="E3023" s="30" t="s">
        <v>1318</v>
      </c>
      <c r="F3023" s="522" t="s">
        <v>205</v>
      </c>
      <c r="G3023" s="8">
        <f t="shared" ref="G3023:M3023" si="1741">G3061</f>
        <v>1535.1285254212712</v>
      </c>
      <c r="H3023" s="8">
        <f t="shared" si="1741"/>
        <v>1025.8083824512019</v>
      </c>
      <c r="I3023" s="8">
        <f t="shared" si="1741"/>
        <v>618.69216952884074</v>
      </c>
      <c r="J3023" s="8">
        <f t="shared" si="1741"/>
        <v>604.3277738319473</v>
      </c>
      <c r="K3023" s="8">
        <f t="shared" si="1741"/>
        <v>598.8679870701767</v>
      </c>
      <c r="L3023" s="8">
        <f t="shared" si="1741"/>
        <v>592.69005155242257</v>
      </c>
      <c r="M3023" s="8">
        <f t="shared" si="1741"/>
        <v>586.83912998437734</v>
      </c>
    </row>
    <row r="3024" spans="2:14" ht="15" hidden="1" outlineLevel="1" x14ac:dyDescent="0.25">
      <c r="B3024" t="str">
        <f>+C3024&amp;D3024&amp;E3024&amp;F3024</f>
        <v>AsiaResultsCost of Biodiesel (HtL blend)USD/ton</v>
      </c>
      <c r="C3024" t="s">
        <v>198</v>
      </c>
      <c r="D3024" t="s">
        <v>838</v>
      </c>
      <c r="E3024" s="30" t="s">
        <v>1318</v>
      </c>
      <c r="F3024" s="522" t="s">
        <v>205</v>
      </c>
      <c r="G3024" s="8">
        <f t="shared" ref="G3024:M3024" si="1742">G3093</f>
        <v>1520.1992270207265</v>
      </c>
      <c r="H3024" s="8">
        <f t="shared" si="1742"/>
        <v>1006.4403713493222</v>
      </c>
      <c r="I3024" s="8">
        <f t="shared" si="1742"/>
        <v>598.12191362359215</v>
      </c>
      <c r="J3024" s="8">
        <f t="shared" si="1742"/>
        <v>583.55268718353966</v>
      </c>
      <c r="K3024" s="8">
        <f t="shared" si="1742"/>
        <v>577.68646149459323</v>
      </c>
      <c r="L3024" s="8">
        <f t="shared" si="1742"/>
        <v>571.20939483507232</v>
      </c>
      <c r="M3024" s="8">
        <f t="shared" si="1742"/>
        <v>565.80073118225937</v>
      </c>
    </row>
    <row r="3025" spans="2:13" ht="15" hidden="1" outlineLevel="1" x14ac:dyDescent="0.25">
      <c r="B3025" t="str">
        <f>+C3025&amp;D3025&amp;E3025&amp;F3025</f>
        <v>AmericasResultsCost of Biodiesel (HtL blend)USD/ton</v>
      </c>
      <c r="C3025" t="s">
        <v>199</v>
      </c>
      <c r="D3025" t="s">
        <v>838</v>
      </c>
      <c r="E3025" s="30" t="s">
        <v>1318</v>
      </c>
      <c r="F3025" s="522" t="s">
        <v>205</v>
      </c>
      <c r="G3025" s="8">
        <f t="shared" ref="G3025:M3025" si="1743">G3125</f>
        <v>1519.3960419037594</v>
      </c>
      <c r="H3025" s="8">
        <f t="shared" si="1743"/>
        <v>1011.1520353136409</v>
      </c>
      <c r="I3025" s="8">
        <f t="shared" si="1743"/>
        <v>604.36300287000063</v>
      </c>
      <c r="J3025" s="8">
        <f t="shared" si="1743"/>
        <v>590.17505702284348</v>
      </c>
      <c r="K3025" s="8">
        <f t="shared" si="1743"/>
        <v>583.9927122905035</v>
      </c>
      <c r="L3025" s="8">
        <f t="shared" si="1743"/>
        <v>578.75498749690405</v>
      </c>
      <c r="M3025" s="8">
        <f t="shared" si="1743"/>
        <v>573.00189377217748</v>
      </c>
    </row>
    <row r="3026" spans="2:13" ht="15" hidden="1" outlineLevel="1" x14ac:dyDescent="0.25">
      <c r="B3026" t="str">
        <f>+C3026&amp;D3026&amp;E3026&amp;F3026</f>
        <v>AfricaResultsCost of Biodiesel (HtL blend)USD/ton</v>
      </c>
      <c r="C3026" t="s">
        <v>200</v>
      </c>
      <c r="D3026" t="s">
        <v>838</v>
      </c>
      <c r="E3026" s="30" t="s">
        <v>1318</v>
      </c>
      <c r="F3026" s="522" t="s">
        <v>205</v>
      </c>
      <c r="G3026" s="8">
        <f t="shared" ref="G3026:M3026" si="1744">G3157</f>
        <v>3138.7788707140003</v>
      </c>
      <c r="H3026" s="8">
        <f t="shared" si="1744"/>
        <v>1228.2665132735206</v>
      </c>
      <c r="I3026" s="8">
        <f t="shared" si="1744"/>
        <v>712.82517679801913</v>
      </c>
      <c r="J3026" s="8">
        <f t="shared" si="1744"/>
        <v>701.39239065205743</v>
      </c>
      <c r="K3026" s="8">
        <f t="shared" si="1744"/>
        <v>697.1570905078429</v>
      </c>
      <c r="L3026" s="8">
        <f t="shared" si="1744"/>
        <v>692.90527685363043</v>
      </c>
      <c r="M3026" s="8">
        <f t="shared" si="1744"/>
        <v>689.07273074994851</v>
      </c>
    </row>
    <row r="3027" spans="2:13" ht="15" hidden="1" outlineLevel="1" x14ac:dyDescent="0.25">
      <c r="E3027" s="30"/>
      <c r="F3027"/>
    </row>
    <row r="3028" spans="2:13" s="30" customFormat="1" ht="15" hidden="1" outlineLevel="1" collapsed="1" x14ac:dyDescent="0.25">
      <c r="B3028" s="30" t="s">
        <v>195</v>
      </c>
      <c r="C3028" s="30" t="str">
        <f>+B3028</f>
        <v>Europe</v>
      </c>
    </row>
    <row r="3029" spans="2:13" ht="15" hidden="1" outlineLevel="2" x14ac:dyDescent="0.25">
      <c r="B3029" t="str">
        <f>+C3029&amp;D3029&amp;E3029&amp;F3029</f>
        <v>EuropeResultsTotal cost of Biodiesel (HtL blend)USD/ton</v>
      </c>
      <c r="C3029" s="494" t="str">
        <f>+$C$2817</f>
        <v>Europe</v>
      </c>
      <c r="D3029" s="30" t="s">
        <v>838</v>
      </c>
      <c r="E3029" s="405" t="s">
        <v>1319</v>
      </c>
      <c r="F3029" s="127" t="s">
        <v>205</v>
      </c>
      <c r="G3029" s="490">
        <f>SUM(G3030:G3033)</f>
        <v>1529.0166595154024</v>
      </c>
      <c r="H3029" s="490">
        <f t="shared" ref="H3029:M3029" si="1745">SUM(H3030:H3033)</f>
        <v>1019.7193969719121</v>
      </c>
      <c r="I3029" s="490">
        <f t="shared" si="1745"/>
        <v>612.432251920407</v>
      </c>
      <c r="J3029" s="490">
        <f t="shared" si="1745"/>
        <v>598.71543057033568</v>
      </c>
      <c r="K3029" s="490">
        <f t="shared" si="1745"/>
        <v>592.62860820285584</v>
      </c>
      <c r="L3029" s="490">
        <f t="shared" si="1745"/>
        <v>587.08727004628349</v>
      </c>
      <c r="M3029" s="490">
        <f t="shared" si="1745"/>
        <v>581.69601111565976</v>
      </c>
    </row>
    <row r="3030" spans="2:13" ht="15" hidden="1" outlineLevel="2" x14ac:dyDescent="0.25">
      <c r="B3030" t="str">
        <f>+C3030&amp;D3030&amp;E3030&amp;F3030</f>
        <v>EuropeResultsTotal Capex Biodiesel (HtL blend)USD/ton</v>
      </c>
      <c r="C3030" s="494" t="str">
        <f>+$C$2817</f>
        <v>Europe</v>
      </c>
      <c r="D3030" s="30" t="s">
        <v>838</v>
      </c>
      <c r="E3030" s="228" t="s">
        <v>1320</v>
      </c>
      <c r="F3030" s="127" t="s">
        <v>205</v>
      </c>
      <c r="G3030" s="490">
        <f>+G3042*G3036</f>
        <v>404.521475058004</v>
      </c>
      <c r="H3030" s="490">
        <f t="shared" ref="H3030:M3030" si="1746">+H3042*H3036</f>
        <v>242.71288503480241</v>
      </c>
      <c r="I3030" s="490">
        <f t="shared" si="1746"/>
        <v>80.904295011600823</v>
      </c>
      <c r="J3030" s="490">
        <f t="shared" si="1746"/>
        <v>77.056818082617085</v>
      </c>
      <c r="K3030" s="490">
        <f t="shared" si="1746"/>
        <v>75.133079618125223</v>
      </c>
      <c r="L3030" s="490">
        <f t="shared" si="1746"/>
        <v>73.20934115363336</v>
      </c>
      <c r="M3030" s="490">
        <f t="shared" si="1746"/>
        <v>71.285602689141498</v>
      </c>
    </row>
    <row r="3031" spans="2:13" ht="15" hidden="1" outlineLevel="2" x14ac:dyDescent="0.25">
      <c r="B3031" t="str">
        <f>+C3031&amp;D3031&amp;E3031&amp;F3031</f>
        <v>EuropeResultsTotal Opex Biodiesel (HtL blend)USD/ton</v>
      </c>
      <c r="C3031" s="494" t="str">
        <f>+$C$2817</f>
        <v>Europe</v>
      </c>
      <c r="D3031" s="30" t="s">
        <v>838</v>
      </c>
      <c r="E3031" s="228" t="s">
        <v>1321</v>
      </c>
      <c r="F3031" s="127" t="s">
        <v>205</v>
      </c>
      <c r="G3031" s="490">
        <f>+G3046*G3036</f>
        <v>494.47915909065927</v>
      </c>
      <c r="H3031" s="490">
        <f t="shared" ref="H3031:M3031" si="1747">+H3046*H3036</f>
        <v>296.6874954543955</v>
      </c>
      <c r="I3031" s="490">
        <f t="shared" si="1747"/>
        <v>98.895831818131853</v>
      </c>
      <c r="J3031" s="490">
        <f t="shared" si="1747"/>
        <v>87.028331999956023</v>
      </c>
      <c r="K3031" s="490">
        <f t="shared" si="1747"/>
        <v>81.094582090868116</v>
      </c>
      <c r="L3031" s="490">
        <f t="shared" si="1747"/>
        <v>75.160832181780194</v>
      </c>
      <c r="M3031" s="490">
        <f t="shared" si="1747"/>
        <v>69.227082272692286</v>
      </c>
    </row>
    <row r="3032" spans="2:13" ht="15" hidden="1" outlineLevel="2" x14ac:dyDescent="0.25">
      <c r="B3032" t="str">
        <f>+C3032&amp;D3032&amp;E3032&amp;F3032</f>
        <v>EuropeResultsTotal RNE Biodiesel (HtL blend)USD/ton</v>
      </c>
      <c r="C3032" s="494" t="str">
        <f>+$C$2817</f>
        <v>Europe</v>
      </c>
      <c r="D3032" s="30" t="s">
        <v>838</v>
      </c>
      <c r="E3032" s="228" t="s">
        <v>1322</v>
      </c>
      <c r="F3032" s="127" t="s">
        <v>205</v>
      </c>
      <c r="G3032" s="490">
        <f>+G3048*G3036</f>
        <v>13.446638957521523</v>
      </c>
      <c r="H3032" s="490">
        <f t="shared" ref="H3032:M3032" si="1748">+H3048*H3036</f>
        <v>10.880690425982827</v>
      </c>
      <c r="I3032" s="490">
        <f t="shared" si="1748"/>
        <v>8.7751676904612292</v>
      </c>
      <c r="J3032" s="490">
        <f t="shared" si="1748"/>
        <v>7.8877934346286525</v>
      </c>
      <c r="K3032" s="490">
        <f t="shared" si="1748"/>
        <v>7.3500357183920091</v>
      </c>
      <c r="L3032" s="490">
        <f t="shared" si="1748"/>
        <v>6.7806562824786116</v>
      </c>
      <c r="M3032" s="490">
        <f t="shared" si="1748"/>
        <v>6.3613560725139102</v>
      </c>
    </row>
    <row r="3033" spans="2:13" ht="15" hidden="1" outlineLevel="2" x14ac:dyDescent="0.25">
      <c r="B3033" t="str">
        <f>+C3033&amp;D3033&amp;E3033&amp;F3033</f>
        <v>EuropeResultsTotal Raw Material Biodiesel (HtL blend)USD/ton</v>
      </c>
      <c r="C3033" s="494" t="str">
        <f>+$C$2817</f>
        <v>Europe</v>
      </c>
      <c r="D3033" s="30" t="s">
        <v>838</v>
      </c>
      <c r="E3033" s="228" t="s">
        <v>1323</v>
      </c>
      <c r="F3033" s="127" t="s">
        <v>205</v>
      </c>
      <c r="G3033" s="490">
        <f>+G3052*G3036+G3037*G3038</f>
        <v>616.56938640921749</v>
      </c>
      <c r="H3033" s="490">
        <f t="shared" ref="H3033:M3033" si="1749">+H3052*H3036+H3037*H3038</f>
        <v>469.4383260567314</v>
      </c>
      <c r="I3033" s="490">
        <f t="shared" si="1749"/>
        <v>423.8569574002131</v>
      </c>
      <c r="J3033" s="490">
        <f t="shared" si="1749"/>
        <v>426.74248705313386</v>
      </c>
      <c r="K3033" s="490">
        <f t="shared" si="1749"/>
        <v>429.05091077547047</v>
      </c>
      <c r="L3033" s="490">
        <f t="shared" si="1749"/>
        <v>431.93644042839128</v>
      </c>
      <c r="M3033" s="490">
        <f t="shared" si="1749"/>
        <v>434.82197008131203</v>
      </c>
    </row>
    <row r="3034" spans="2:13" hidden="1" outlineLevel="2" x14ac:dyDescent="0.2">
      <c r="C3034" s="494"/>
      <c r="E3034" s="48"/>
      <c r="F3034" s="128"/>
      <c r="G3034" s="8"/>
      <c r="H3034" s="8"/>
      <c r="I3034" s="8"/>
      <c r="J3034" s="8"/>
      <c r="K3034" s="8"/>
      <c r="L3034" s="8"/>
      <c r="M3034" s="8"/>
    </row>
    <row r="3035" spans="2:13" hidden="1" outlineLevel="2" x14ac:dyDescent="0.2">
      <c r="B3035" t="str">
        <f>+C3035&amp;D3035&amp;E3035&amp;F3035</f>
        <v>EuropeResultsTotal cost of HTL Oil blend (60% LSFO)USD/ton</v>
      </c>
      <c r="C3035" s="494" t="str">
        <f>+$C$2817</f>
        <v>Europe</v>
      </c>
      <c r="D3035" t="s">
        <v>838</v>
      </c>
      <c r="E3035" s="48" t="s">
        <v>1324</v>
      </c>
      <c r="F3035" s="128" t="s">
        <v>205</v>
      </c>
      <c r="G3035" s="8">
        <f>+G3037*G3038+G3036*G3040</f>
        <v>1529.0166595154024</v>
      </c>
      <c r="H3035" s="8">
        <f t="shared" ref="H3035:M3035" si="1750">+H3037*H3038+H3036*H3040</f>
        <v>1019.7193969719121</v>
      </c>
      <c r="I3035" s="8">
        <f t="shared" si="1750"/>
        <v>612.432251920407</v>
      </c>
      <c r="J3035" s="8">
        <f t="shared" si="1750"/>
        <v>598.71543057033568</v>
      </c>
      <c r="K3035" s="8">
        <f t="shared" si="1750"/>
        <v>592.62860820285573</v>
      </c>
      <c r="L3035" s="8">
        <f t="shared" si="1750"/>
        <v>587.08727004628349</v>
      </c>
      <c r="M3035" s="8">
        <f t="shared" si="1750"/>
        <v>581.69601111565976</v>
      </c>
    </row>
    <row r="3036" spans="2:13" hidden="1" outlineLevel="2" x14ac:dyDescent="0.2">
      <c r="B3036" t="str">
        <f>+C3036&amp;D3036&amp;E3036&amp;F3036</f>
        <v>GlobalFeedstockConversion HTL blend grade : HTL VLSFO blendTon feedstock / ton fuel</v>
      </c>
      <c r="C3036" s="494" t="s">
        <v>109</v>
      </c>
      <c r="D3036" t="s">
        <v>777</v>
      </c>
      <c r="E3036" t="s">
        <v>1325</v>
      </c>
      <c r="F3036" s="450" t="s">
        <v>1241</v>
      </c>
      <c r="G3036" s="521">
        <f>+INDEX('Fuel Model -  Input'!$B$3:$N$373,MATCH($B3036,'Fuel Model -  Input'!$B$3:$B$373,0),MATCH(G$2,'Fuel Model -  Input'!$B$3:$N$3,0))</f>
        <v>0.4</v>
      </c>
      <c r="H3036" s="521">
        <f>+INDEX('Fuel Model -  Input'!$B$3:$N$373,MATCH($B3036,'Fuel Model -  Input'!$B$3:$B$373,0),MATCH(H$2,'Fuel Model -  Input'!$B$3:$N$3,0))</f>
        <v>0.4</v>
      </c>
      <c r="I3036" s="521">
        <f>+INDEX('Fuel Model -  Input'!$B$3:$N$373,MATCH($B3036,'Fuel Model -  Input'!$B$3:$B$373,0),MATCH(I$2,'Fuel Model -  Input'!$B$3:$N$3,0))</f>
        <v>0.4</v>
      </c>
      <c r="J3036" s="521">
        <f>+INDEX('Fuel Model -  Input'!$B$3:$N$373,MATCH($B3036,'Fuel Model -  Input'!$B$3:$B$373,0),MATCH(J$2,'Fuel Model -  Input'!$B$3:$N$3,0))</f>
        <v>0.4</v>
      </c>
      <c r="K3036" s="521">
        <f>+INDEX('Fuel Model -  Input'!$B$3:$N$373,MATCH($B3036,'Fuel Model -  Input'!$B$3:$B$373,0),MATCH(K$2,'Fuel Model -  Input'!$B$3:$N$3,0))</f>
        <v>0.4</v>
      </c>
      <c r="L3036" s="521">
        <f>+INDEX('Fuel Model -  Input'!$B$3:$N$373,MATCH($B3036,'Fuel Model -  Input'!$B$3:$B$373,0),MATCH(L$2,'Fuel Model -  Input'!$B$3:$N$3,0))</f>
        <v>0.4</v>
      </c>
      <c r="M3036" s="521">
        <f>+INDEX('Fuel Model -  Input'!$B$3:$N$373,MATCH($B3036,'Fuel Model -  Input'!$B$3:$B$373,0),MATCH(M$2,'Fuel Model -  Input'!$B$3:$N$3,0))</f>
        <v>0.4</v>
      </c>
    </row>
    <row r="3037" spans="2:13" hidden="1" outlineLevel="2" x14ac:dyDescent="0.2">
      <c r="B3037" t="str">
        <f>+C3037&amp;D3037&amp;E3037&amp;F3037</f>
        <v>GlobalFeedstockConversion VLSFO : HTL VLSFO blendTon feedstock / ton fuel</v>
      </c>
      <c r="C3037" s="494" t="s">
        <v>109</v>
      </c>
      <c r="D3037" t="s">
        <v>777</v>
      </c>
      <c r="E3037" t="s">
        <v>1326</v>
      </c>
      <c r="F3037" s="450" t="s">
        <v>1241</v>
      </c>
      <c r="G3037" s="521">
        <f>+INDEX('Fuel Model -  Input'!$B$3:$N$373,MATCH($B3037,'Fuel Model -  Input'!$B$3:$B$373,0),MATCH(G$2,'Fuel Model -  Input'!$B$3:$N$3,0))</f>
        <v>0.6</v>
      </c>
      <c r="H3037" s="521">
        <f>+INDEX('Fuel Model -  Input'!$B$3:$N$373,MATCH($B3037,'Fuel Model -  Input'!$B$3:$B$373,0),MATCH(H$2,'Fuel Model -  Input'!$B$3:$N$3,0))</f>
        <v>0.6</v>
      </c>
      <c r="I3037" s="521">
        <f>+INDEX('Fuel Model -  Input'!$B$3:$N$373,MATCH($B3037,'Fuel Model -  Input'!$B$3:$B$373,0),MATCH(I$2,'Fuel Model -  Input'!$B$3:$N$3,0))</f>
        <v>0.6</v>
      </c>
      <c r="J3037" s="521">
        <f>+INDEX('Fuel Model -  Input'!$B$3:$N$373,MATCH($B3037,'Fuel Model -  Input'!$B$3:$B$373,0),MATCH(J$2,'Fuel Model -  Input'!$B$3:$N$3,0))</f>
        <v>0.6</v>
      </c>
      <c r="K3037" s="521">
        <f>+INDEX('Fuel Model -  Input'!$B$3:$N$373,MATCH($B3037,'Fuel Model -  Input'!$B$3:$B$373,0),MATCH(K$2,'Fuel Model -  Input'!$B$3:$N$3,0))</f>
        <v>0.6</v>
      </c>
      <c r="L3037" s="521">
        <f>+INDEX('Fuel Model -  Input'!$B$3:$N$373,MATCH($B3037,'Fuel Model -  Input'!$B$3:$B$373,0),MATCH(L$2,'Fuel Model -  Input'!$B$3:$N$3,0))</f>
        <v>0.6</v>
      </c>
      <c r="M3037" s="521">
        <f>+INDEX('Fuel Model -  Input'!$B$3:$N$373,MATCH($B3037,'Fuel Model -  Input'!$B$3:$B$373,0),MATCH(M$2,'Fuel Model -  Input'!$B$3:$N$3,0))</f>
        <v>0.6</v>
      </c>
    </row>
    <row r="3038" spans="2:13" hidden="1" outlineLevel="2" x14ac:dyDescent="0.2">
      <c r="B3038" t="str">
        <f>+C3038&amp;D3038&amp;E3038&amp;F3038</f>
        <v>EuropeResultsCost of LSFOUSD/ton</v>
      </c>
      <c r="C3038" s="494" t="s">
        <v>195</v>
      </c>
      <c r="D3038" t="s">
        <v>838</v>
      </c>
      <c r="E3038" t="s">
        <v>1135</v>
      </c>
      <c r="F3038" s="157" t="s">
        <v>205</v>
      </c>
      <c r="G3038" s="532">
        <f>+INDEX('Fuel Model -  Input'!$B$3:$N$373,MATCH($B3038,'Fuel Model -  Input'!$B$3:$B$373,0),MATCH(G$2,'Fuel Model -  Input'!$B$3:$N$3,0))</f>
        <v>884.71322310880964</v>
      </c>
      <c r="H3038" s="532">
        <f>+INDEX('Fuel Model -  Input'!$B$3:$N$373,MATCH($B3038,'Fuel Model -  Input'!$B$3:$B$373,0),MATCH(H$2,'Fuel Model -  Input'!$B$3:$N$3,0))</f>
        <v>634.68557309979826</v>
      </c>
      <c r="I3038" s="532">
        <f>+INDEX('Fuel Model -  Input'!$B$3:$N$373,MATCH($B3038,'Fuel Model -  Input'!$B$3:$B$373,0),MATCH(I$2,'Fuel Model -  Input'!$B$3:$N$3,0))</f>
        <v>553.90740925073305</v>
      </c>
      <c r="J3038" s="532">
        <f>+INDEX('Fuel Model -  Input'!$B$3:$N$373,MATCH($B3038,'Fuel Model -  Input'!$B$3:$B$373,0),MATCH(J$2,'Fuel Model -  Input'!$B$3:$N$3,0))</f>
        <v>553.90740925073305</v>
      </c>
      <c r="K3038" s="532">
        <f>+INDEX('Fuel Model -  Input'!$B$3:$N$373,MATCH($B3038,'Fuel Model -  Input'!$B$3:$B$373,0),MATCH(K$2,'Fuel Model -  Input'!$B$3:$N$3,0))</f>
        <v>553.90740925073305</v>
      </c>
      <c r="L3038" s="532">
        <f>+INDEX('Fuel Model -  Input'!$B$3:$N$373,MATCH($B3038,'Fuel Model -  Input'!$B$3:$B$373,0),MATCH(L$2,'Fuel Model -  Input'!$B$3:$N$3,0))</f>
        <v>553.90740925073305</v>
      </c>
      <c r="M3038" s="532">
        <f>+INDEX('Fuel Model -  Input'!$B$3:$N$373,MATCH($B3038,'Fuel Model -  Input'!$B$3:$B$373,0),MATCH(M$2,'Fuel Model -  Input'!$B$3:$N$3,0))</f>
        <v>553.90740925073305</v>
      </c>
    </row>
    <row r="3039" spans="2:13" hidden="1" outlineLevel="2" x14ac:dyDescent="0.2">
      <c r="C3039" s="494"/>
      <c r="E3039" s="48"/>
      <c r="F3039" s="128"/>
      <c r="G3039" s="524"/>
      <c r="H3039" s="524"/>
      <c r="I3039" s="524"/>
      <c r="J3039" s="524"/>
      <c r="K3039" s="524"/>
      <c r="L3039" s="524"/>
      <c r="M3039" s="524"/>
    </row>
    <row r="3040" spans="2:13" hidden="1" outlineLevel="2" x14ac:dyDescent="0.2">
      <c r="B3040" t="str">
        <f>+C3040&amp;D3040&amp;E3040&amp;F3040</f>
        <v>EuropeSubtotalSubtotal - cost of HTL blend oil feedstockUSD/ton HTL blend oil feedstock</v>
      </c>
      <c r="C3040" s="494" t="str">
        <f>+$C$2817</f>
        <v>Europe</v>
      </c>
      <c r="D3040" t="s">
        <v>1327</v>
      </c>
      <c r="E3040" s="48" t="s">
        <v>1328</v>
      </c>
      <c r="F3040" s="128" t="s">
        <v>1329</v>
      </c>
      <c r="G3040" s="8">
        <f>+SUM(G3042,G3048,G3052,G3046)</f>
        <v>2495.4718141252911</v>
      </c>
      <c r="H3040" s="8">
        <f t="shared" ref="H3040:M3040" si="1751">+SUM(H3042,H3048,H3052,H3046)</f>
        <v>1597.270132780083</v>
      </c>
      <c r="I3040" s="8">
        <f t="shared" si="1751"/>
        <v>700.21951592491791</v>
      </c>
      <c r="J3040" s="8">
        <f t="shared" si="1751"/>
        <v>665.9274625497394</v>
      </c>
      <c r="K3040" s="8">
        <f t="shared" si="1751"/>
        <v>650.71040663103986</v>
      </c>
      <c r="L3040" s="8">
        <f t="shared" si="1751"/>
        <v>636.85706123960892</v>
      </c>
      <c r="M3040" s="8">
        <f t="shared" si="1751"/>
        <v>623.3789139130497</v>
      </c>
    </row>
    <row r="3041" spans="2:13" hidden="1" outlineLevel="2" x14ac:dyDescent="0.2">
      <c r="C3041" s="494"/>
      <c r="E3041" s="48"/>
      <c r="F3041" s="128"/>
      <c r="G3041" s="524"/>
      <c r="H3041" s="524"/>
      <c r="I3041" s="524"/>
      <c r="J3041" s="524"/>
      <c r="K3041" s="524"/>
      <c r="L3041" s="524"/>
      <c r="M3041" s="524"/>
    </row>
    <row r="3042" spans="2:13" hidden="1" outlineLevel="2" x14ac:dyDescent="0.2">
      <c r="B3042" t="str">
        <f>+C3042&amp;D3042&amp;E3042&amp;F3042</f>
        <v>EuropeHTL PlantAnnual capex (HTL blend)USD/ton HTL blend oil</v>
      </c>
      <c r="C3042" s="494" t="str">
        <f>+$C$2817</f>
        <v>Europe</v>
      </c>
      <c r="D3042" t="s">
        <v>1288</v>
      </c>
      <c r="E3042" s="48" t="s">
        <v>1330</v>
      </c>
      <c r="F3042" s="128" t="s">
        <v>1331</v>
      </c>
      <c r="G3042" s="8">
        <f t="shared" ref="G3042:M3042" si="1752">G3044/G3043</f>
        <v>1011.30368764501</v>
      </c>
      <c r="H3042" s="8">
        <f t="shared" si="1752"/>
        <v>606.78221258700603</v>
      </c>
      <c r="I3042" s="8">
        <f t="shared" si="1752"/>
        <v>202.26073752900203</v>
      </c>
      <c r="J3042" s="8">
        <f t="shared" si="1752"/>
        <v>192.64204520654269</v>
      </c>
      <c r="K3042" s="8">
        <f t="shared" si="1752"/>
        <v>187.83269904531303</v>
      </c>
      <c r="L3042" s="8">
        <f t="shared" si="1752"/>
        <v>183.02335288408338</v>
      </c>
      <c r="M3042" s="8">
        <f t="shared" si="1752"/>
        <v>178.21400672285372</v>
      </c>
    </row>
    <row r="3043" spans="2:13" hidden="1" outlineLevel="2" x14ac:dyDescent="0.2">
      <c r="B3043" t="str">
        <f>+C3043&amp;D3043&amp;E3043&amp;F3043</f>
        <v>GlobalPlant capexAnnualisation factor#</v>
      </c>
      <c r="C3043" s="494" t="s">
        <v>109</v>
      </c>
      <c r="D3043" t="s">
        <v>786</v>
      </c>
      <c r="E3043" t="s">
        <v>764</v>
      </c>
      <c r="F3043" s="450" t="s">
        <v>787</v>
      </c>
      <c r="G3043" s="532">
        <f>+INDEX('Fuel Model -  Input'!$B$3:$N$373,MATCH($B3043,'Fuel Model -  Input'!$B$3:$B$373,0),MATCH(G$2,'Fuel Model -  Input'!$B$3:$N$3,0))</f>
        <v>11.32075471698113</v>
      </c>
      <c r="H3043" s="532">
        <f>+INDEX('Fuel Model -  Input'!$B$3:$N$373,MATCH($B3043,'Fuel Model -  Input'!$B$3:$B$373,0),MATCH(H$2,'Fuel Model -  Input'!$B$3:$N$3,0))</f>
        <v>11.32075471698113</v>
      </c>
      <c r="I3043" s="532">
        <f>+INDEX('Fuel Model -  Input'!$B$3:$N$373,MATCH($B3043,'Fuel Model -  Input'!$B$3:$B$373,0),MATCH(I$2,'Fuel Model -  Input'!$B$3:$N$3,0))</f>
        <v>11.32075471698113</v>
      </c>
      <c r="J3043" s="532">
        <f>+INDEX('Fuel Model -  Input'!$B$3:$N$373,MATCH($B3043,'Fuel Model -  Input'!$B$3:$B$373,0),MATCH(J$2,'Fuel Model -  Input'!$B$3:$N$3,0))</f>
        <v>11.32075471698113</v>
      </c>
      <c r="K3043" s="532">
        <f>+INDEX('Fuel Model -  Input'!$B$3:$N$373,MATCH($B3043,'Fuel Model -  Input'!$B$3:$B$373,0),MATCH(K$2,'Fuel Model -  Input'!$B$3:$N$3,0))</f>
        <v>11.32075471698113</v>
      </c>
      <c r="L3043" s="532">
        <f>+INDEX('Fuel Model -  Input'!$B$3:$N$373,MATCH($B3043,'Fuel Model -  Input'!$B$3:$B$373,0),MATCH(L$2,'Fuel Model -  Input'!$B$3:$N$3,0))</f>
        <v>11.32075471698113</v>
      </c>
      <c r="M3043" s="532">
        <f>+INDEX('Fuel Model -  Input'!$B$3:$N$373,MATCH($B3043,'Fuel Model -  Input'!$B$3:$B$373,0),MATCH(M$2,'Fuel Model -  Input'!$B$3:$N$3,0))</f>
        <v>11.32075471698113</v>
      </c>
    </row>
    <row r="3044" spans="2:13" hidden="1" outlineLevel="2" x14ac:dyDescent="0.2">
      <c r="B3044" t="str">
        <f>+C3044&amp;D3044&amp;E3044&amp;F3044</f>
        <v>GlobalCAPEXHTL blend grade plantUSD/ton HTL blend oil capacity</v>
      </c>
      <c r="C3044" s="494" t="s">
        <v>109</v>
      </c>
      <c r="D3044" t="s">
        <v>50</v>
      </c>
      <c r="E3044" t="s">
        <v>1332</v>
      </c>
      <c r="F3044" s="157" t="s">
        <v>1333</v>
      </c>
      <c r="G3044" s="532">
        <f>+INDEX('Fuel Model -  Input'!$B$3:$N$373,MATCH($B3044,'Fuel Model -  Input'!$B$3:$B$373,0),MATCH(G$2,'Fuel Model -  Input'!$B$3:$N$3,0))</f>
        <v>11448.720992207658</v>
      </c>
      <c r="H3044" s="532">
        <f>+INDEX('Fuel Model -  Input'!$B$3:$N$373,MATCH($B3044,'Fuel Model -  Input'!$B$3:$B$373,0),MATCH(H$2,'Fuel Model -  Input'!$B$3:$N$3,0))</f>
        <v>6869.2325953245954</v>
      </c>
      <c r="I3044" s="532">
        <f>+INDEX('Fuel Model -  Input'!$B$3:$N$373,MATCH($B3044,'Fuel Model -  Input'!$B$3:$B$373,0),MATCH(I$2,'Fuel Model -  Input'!$B$3:$N$3,0))</f>
        <v>2289.7441984415318</v>
      </c>
      <c r="J3044" s="532">
        <f>+INDEX('Fuel Model -  Input'!$B$3:$N$373,MATCH($B3044,'Fuel Model -  Input'!$B$3:$B$373,0),MATCH(J$2,'Fuel Model -  Input'!$B$3:$N$3,0))</f>
        <v>2180.8533419608602</v>
      </c>
      <c r="K3044" s="532">
        <f>+INDEX('Fuel Model -  Input'!$B$3:$N$373,MATCH($B3044,'Fuel Model -  Input'!$B$3:$B$373,0),MATCH(K$2,'Fuel Model -  Input'!$B$3:$N$3,0))</f>
        <v>2126.4079137205244</v>
      </c>
      <c r="L3044" s="532">
        <f>+INDEX('Fuel Model -  Input'!$B$3:$N$373,MATCH($B3044,'Fuel Model -  Input'!$B$3:$B$373,0),MATCH(L$2,'Fuel Model -  Input'!$B$3:$N$3,0))</f>
        <v>2071.9624854801887</v>
      </c>
      <c r="M3044" s="532">
        <f>+INDEX('Fuel Model -  Input'!$B$3:$N$373,MATCH($B3044,'Fuel Model -  Input'!$B$3:$B$373,0),MATCH(M$2,'Fuel Model -  Input'!$B$3:$N$3,0))</f>
        <v>2017.5170572398531</v>
      </c>
    </row>
    <row r="3045" spans="2:13" hidden="1" outlineLevel="2" x14ac:dyDescent="0.2">
      <c r="C3045" s="494"/>
      <c r="E3045" s="48"/>
      <c r="F3045" s="128"/>
      <c r="G3045" s="524"/>
      <c r="H3045" s="524"/>
      <c r="I3045" s="524"/>
      <c r="J3045" s="524"/>
      <c r="K3045" s="524"/>
      <c r="L3045" s="524"/>
      <c r="M3045" s="524"/>
    </row>
    <row r="3046" spans="2:13" hidden="1" outlineLevel="2" x14ac:dyDescent="0.2">
      <c r="B3046" t="str">
        <f>+C3046&amp;D3046&amp;E3046&amp;F3046</f>
        <v>GlobalOPEXPlant opexUSD/ton HTL blend oil</v>
      </c>
      <c r="C3046" s="494" t="s">
        <v>109</v>
      </c>
      <c r="D3046" t="s">
        <v>319</v>
      </c>
      <c r="E3046" t="s">
        <v>1293</v>
      </c>
      <c r="F3046" s="128" t="s">
        <v>1331</v>
      </c>
      <c r="G3046" s="532">
        <f>+INDEX('Fuel Model -  Input'!$B$3:$N$373,MATCH($B3046,'Fuel Model -  Input'!$B$3:$B$373,0),MATCH(G$2,'Fuel Model -  Input'!$B$3:$N$3,0))</f>
        <v>1236.1978977266481</v>
      </c>
      <c r="H3046" s="532">
        <f>+INDEX('Fuel Model -  Input'!$B$3:$N$373,MATCH($B3046,'Fuel Model -  Input'!$B$3:$B$373,0),MATCH(H$2,'Fuel Model -  Input'!$B$3:$N$3,0))</f>
        <v>741.71873863598876</v>
      </c>
      <c r="I3046" s="532">
        <f>+INDEX('Fuel Model -  Input'!$B$3:$N$373,MATCH($B3046,'Fuel Model -  Input'!$B$3:$B$373,0),MATCH(I$2,'Fuel Model -  Input'!$B$3:$N$3,0))</f>
        <v>247.2395795453296</v>
      </c>
      <c r="J3046" s="532">
        <f>+INDEX('Fuel Model -  Input'!$B$3:$N$373,MATCH($B3046,'Fuel Model -  Input'!$B$3:$B$373,0),MATCH(J$2,'Fuel Model -  Input'!$B$3:$N$3,0))</f>
        <v>217.57082999989004</v>
      </c>
      <c r="K3046" s="532">
        <f>+INDEX('Fuel Model -  Input'!$B$3:$N$373,MATCH($B3046,'Fuel Model -  Input'!$B$3:$B$373,0),MATCH(K$2,'Fuel Model -  Input'!$B$3:$N$3,0))</f>
        <v>202.73645522717027</v>
      </c>
      <c r="L3046" s="532">
        <f>+INDEX('Fuel Model -  Input'!$B$3:$N$373,MATCH($B3046,'Fuel Model -  Input'!$B$3:$B$373,0),MATCH(L$2,'Fuel Model -  Input'!$B$3:$N$3,0))</f>
        <v>187.90208045445047</v>
      </c>
      <c r="M3046" s="532">
        <f>+INDEX('Fuel Model -  Input'!$B$3:$N$373,MATCH($B3046,'Fuel Model -  Input'!$B$3:$B$373,0),MATCH(M$2,'Fuel Model -  Input'!$B$3:$N$3,0))</f>
        <v>173.0677056817307</v>
      </c>
    </row>
    <row r="3047" spans="2:13" hidden="1" outlineLevel="2" x14ac:dyDescent="0.2">
      <c r="C3047" s="494"/>
      <c r="E3047" s="48"/>
      <c r="F3047" s="128"/>
      <c r="G3047" s="520"/>
      <c r="H3047" s="520"/>
      <c r="I3047" s="520"/>
      <c r="J3047" s="520"/>
      <c r="K3047" s="520"/>
      <c r="L3047" s="520"/>
      <c r="M3047" s="520"/>
    </row>
    <row r="3048" spans="2:13" hidden="1" outlineLevel="2" x14ac:dyDescent="0.2">
      <c r="B3048" t="str">
        <f>+C3048&amp;D3048&amp;E3048&amp;F3048</f>
        <v>EuropeElectricityTotal electricityUSD/ton HTL blend oil</v>
      </c>
      <c r="C3048" s="494" t="str">
        <f>+$C$2817</f>
        <v>Europe</v>
      </c>
      <c r="D3048" t="s">
        <v>54</v>
      </c>
      <c r="E3048" s="48" t="s">
        <v>1295</v>
      </c>
      <c r="F3048" s="128" t="s">
        <v>1331</v>
      </c>
      <c r="G3048" s="8">
        <f t="shared" ref="G3048:M3048" si="1753">G3050*G3049</f>
        <v>33.616597393803808</v>
      </c>
      <c r="H3048" s="8">
        <f t="shared" si="1753"/>
        <v>27.201726064957068</v>
      </c>
      <c r="I3048" s="8">
        <f t="shared" si="1753"/>
        <v>21.937919226153074</v>
      </c>
      <c r="J3048" s="8">
        <f t="shared" si="1753"/>
        <v>19.719483586571631</v>
      </c>
      <c r="K3048" s="8">
        <f t="shared" si="1753"/>
        <v>18.375089295980022</v>
      </c>
      <c r="L3048" s="8">
        <f t="shared" si="1753"/>
        <v>16.951640706196528</v>
      </c>
      <c r="M3048" s="8">
        <f t="shared" si="1753"/>
        <v>15.903390181284776</v>
      </c>
    </row>
    <row r="3049" spans="2:13" hidden="1" outlineLevel="2" x14ac:dyDescent="0.2">
      <c r="B3049" t="str">
        <f>+C3049&amp;D3049&amp;E3049&amp;F3049</f>
        <v>GlobalFeedstockHTL blend grade plant electricity demandMWh/ton fuel</v>
      </c>
      <c r="C3049" s="494" t="s">
        <v>109</v>
      </c>
      <c r="D3049" t="s">
        <v>777</v>
      </c>
      <c r="E3049" t="s">
        <v>1334</v>
      </c>
      <c r="F3049" t="s">
        <v>1298</v>
      </c>
      <c r="G3049" s="521">
        <f>INDEX('Fuel Model -  Input'!$B$3:$N$373,MATCH($B3049,'Fuel Model -  Input'!$B$3:$B$373,0),MATCH(G$2,'Fuel Model -  Input'!$B$3:$N$3,0))</f>
        <v>0.61572786086762299</v>
      </c>
      <c r="H3049" s="521">
        <f>INDEX('Fuel Model -  Input'!$B$3:$N$373,MATCH($B3049,'Fuel Model -  Input'!$B$3:$B$373,0),MATCH(H$2,'Fuel Model -  Input'!$B$3:$N$3,0))</f>
        <v>0.61572786086762299</v>
      </c>
      <c r="I3049" s="521">
        <f>INDEX('Fuel Model -  Input'!$B$3:$N$373,MATCH($B3049,'Fuel Model -  Input'!$B$3:$B$373,0),MATCH(I$2,'Fuel Model -  Input'!$B$3:$N$3,0))</f>
        <v>0.61347529142651824</v>
      </c>
      <c r="J3049" s="521">
        <f>INDEX('Fuel Model -  Input'!$B$3:$N$373,MATCH($B3049,'Fuel Model -  Input'!$B$3:$B$373,0),MATCH(J$2,'Fuel Model -  Input'!$B$3:$N$3,0))</f>
        <v>0.6112227219854135</v>
      </c>
      <c r="K3049" s="521">
        <f>INDEX('Fuel Model -  Input'!$B$3:$N$373,MATCH($B3049,'Fuel Model -  Input'!$B$3:$B$373,0),MATCH(K$2,'Fuel Model -  Input'!$B$3:$N$3,0))</f>
        <v>0.60897015254430864</v>
      </c>
      <c r="L3049" s="521">
        <f>INDEX('Fuel Model -  Input'!$B$3:$N$373,MATCH($B3049,'Fuel Model -  Input'!$B$3:$B$373,0),MATCH(L$2,'Fuel Model -  Input'!$B$3:$N$3,0))</f>
        <v>0.60671758310320389</v>
      </c>
      <c r="M3049" s="521">
        <f>INDEX('Fuel Model -  Input'!$B$3:$N$373,MATCH($B3049,'Fuel Model -  Input'!$B$3:$B$373,0),MATCH(M$2,'Fuel Model -  Input'!$B$3:$N$3,0))</f>
        <v>0.60446501366209915</v>
      </c>
    </row>
    <row r="3050" spans="2:13" hidden="1" outlineLevel="2" x14ac:dyDescent="0.2">
      <c r="B3050" t="str">
        <f>+C3050&amp;D3050&amp;E3050&amp;F3050</f>
        <v>EuropeFeedstockElectricityUSD/MWh</v>
      </c>
      <c r="C3050" s="494" t="s">
        <v>195</v>
      </c>
      <c r="D3050" t="s">
        <v>777</v>
      </c>
      <c r="E3050" s="48" t="s">
        <v>54</v>
      </c>
      <c r="F3050" s="128" t="s">
        <v>196</v>
      </c>
      <c r="G3050" s="532">
        <f>INDEX('Fuel Model -  Input'!$B$3:$N$373,MATCH($B3050,'Fuel Model -  Input'!$B$3:$B$373,0),MATCH(G$2,'Fuel Model -  Input'!$B$3:$N$3,0))</f>
        <v>54.596518251479822</v>
      </c>
      <c r="H3050" s="532">
        <f>INDEX('Fuel Model -  Input'!$B$3:$N$373,MATCH($B3050,'Fuel Model -  Input'!$B$3:$B$373,0),MATCH(H$2,'Fuel Model -  Input'!$B$3:$N$3,0))</f>
        <v>44.178163428608016</v>
      </c>
      <c r="I3050" s="532">
        <f>INDEX('Fuel Model -  Input'!$B$3:$N$373,MATCH($B3050,'Fuel Model -  Input'!$B$3:$B$373,0),MATCH(I$2,'Fuel Model -  Input'!$B$3:$N$3,0))</f>
        <v>35.760069774188757</v>
      </c>
      <c r="J3050" s="532">
        <f>INDEX('Fuel Model -  Input'!$B$3:$N$373,MATCH($B3050,'Fuel Model -  Input'!$B$3:$B$373,0),MATCH(J$2,'Fuel Model -  Input'!$B$3:$N$3,0))</f>
        <v>32.262353602492915</v>
      </c>
      <c r="K3050" s="532">
        <f>INDEX('Fuel Model -  Input'!$B$3:$N$373,MATCH($B3050,'Fuel Model -  Input'!$B$3:$B$373,0),MATCH(K$2,'Fuel Model -  Input'!$B$3:$N$3,0))</f>
        <v>30.17403926811183</v>
      </c>
      <c r="L3050" s="532">
        <f>INDEX('Fuel Model -  Input'!$B$3:$N$373,MATCH($B3050,'Fuel Model -  Input'!$B$3:$B$373,0),MATCH(L$2,'Fuel Model -  Input'!$B$3:$N$3,0))</f>
        <v>27.939919953355002</v>
      </c>
      <c r="M3050" s="532">
        <f>INDEX('Fuel Model -  Input'!$B$3:$N$373,MATCH($B3050,'Fuel Model -  Input'!$B$3:$B$373,0),MATCH(M$2,'Fuel Model -  Input'!$B$3:$N$3,0))</f>
        <v>26.309860491239117</v>
      </c>
    </row>
    <row r="3051" spans="2:13" hidden="1" outlineLevel="2" x14ac:dyDescent="0.2">
      <c r="C3051" s="494"/>
      <c r="E3051" s="48"/>
      <c r="F3051" s="128"/>
    </row>
    <row r="3052" spans="2:13" hidden="1" outlineLevel="2" x14ac:dyDescent="0.2">
      <c r="B3052" t="str">
        <f t="shared" ref="B3052:B3058" si="1754">+C3052&amp;D3052&amp;E3052&amp;F3052</f>
        <v>EuropeFeedstockBiomass costUSD/ton HTL blend oil</v>
      </c>
      <c r="C3052" s="494" t="str">
        <f>+$C$2529</f>
        <v>Europe</v>
      </c>
      <c r="D3052" t="s">
        <v>777</v>
      </c>
      <c r="E3052" s="48" t="s">
        <v>1237</v>
      </c>
      <c r="F3052" s="128" t="s">
        <v>1331</v>
      </c>
      <c r="G3052" s="8">
        <f>+G3053*G3055*G3056+G3054*G3057*G3058</f>
        <v>214.35363135982919</v>
      </c>
      <c r="H3052" s="8">
        <f t="shared" ref="H3052:M3052" si="1755">+H3053*H3055*H3056+H3054*H3057*H3058</f>
        <v>221.56745549213116</v>
      </c>
      <c r="I3052" s="8">
        <f t="shared" si="1755"/>
        <v>228.78127962443313</v>
      </c>
      <c r="J3052" s="8">
        <f t="shared" si="1755"/>
        <v>235.99510375673503</v>
      </c>
      <c r="K3052" s="8">
        <f t="shared" si="1755"/>
        <v>241.7661630625766</v>
      </c>
      <c r="L3052" s="8">
        <f t="shared" si="1755"/>
        <v>248.97998719487856</v>
      </c>
      <c r="M3052" s="8">
        <f t="shared" si="1755"/>
        <v>256.19381132718047</v>
      </c>
    </row>
    <row r="3053" spans="2:13" hidden="1" outlineLevel="2" x14ac:dyDescent="0.2">
      <c r="B3053" t="str">
        <f t="shared" si="1754"/>
        <v>GlobalFeedstockDry wood biomass market share HTL blend%</v>
      </c>
      <c r="C3053" s="494" t="s">
        <v>109</v>
      </c>
      <c r="D3053" t="s">
        <v>777</v>
      </c>
      <c r="E3053" t="s">
        <v>1335</v>
      </c>
      <c r="F3053" t="s">
        <v>178</v>
      </c>
      <c r="G3053" s="531">
        <f>+INDEX('Fuel Model -  Input'!$B$3:$N$1312,MATCH($B3053,'Fuel Model -  Input'!$B$3:$B$1312,0),MATCH(G$2,'Fuel Model -  Input'!$B$3:$N$3,0))</f>
        <v>0.5</v>
      </c>
      <c r="H3053" s="531">
        <f>+INDEX('Fuel Model -  Input'!$B$3:$N$1312,MATCH($B3053,'Fuel Model -  Input'!$B$3:$B$1312,0),MATCH(H$2,'Fuel Model -  Input'!$B$3:$N$3,0))</f>
        <v>0.5</v>
      </c>
      <c r="I3053" s="531">
        <f>+INDEX('Fuel Model -  Input'!$B$3:$N$1312,MATCH($B3053,'Fuel Model -  Input'!$B$3:$B$1312,0),MATCH(I$2,'Fuel Model -  Input'!$B$3:$N$3,0))</f>
        <v>0.5</v>
      </c>
      <c r="J3053" s="531">
        <f>+INDEX('Fuel Model -  Input'!$B$3:$N$1312,MATCH($B3053,'Fuel Model -  Input'!$B$3:$B$1312,0),MATCH(J$2,'Fuel Model -  Input'!$B$3:$N$3,0))</f>
        <v>0.5</v>
      </c>
      <c r="K3053" s="531">
        <f>+INDEX('Fuel Model -  Input'!$B$3:$N$1312,MATCH($B3053,'Fuel Model -  Input'!$B$3:$B$1312,0),MATCH(K$2,'Fuel Model -  Input'!$B$3:$N$3,0))</f>
        <v>0.5</v>
      </c>
      <c r="L3053" s="531">
        <f>+INDEX('Fuel Model -  Input'!$B$3:$N$1312,MATCH($B3053,'Fuel Model -  Input'!$B$3:$B$1312,0),MATCH(L$2,'Fuel Model -  Input'!$B$3:$N$3,0))</f>
        <v>0.5</v>
      </c>
      <c r="M3053" s="531">
        <f>+INDEX('Fuel Model -  Input'!$B$3:$N$1312,MATCH($B3053,'Fuel Model -  Input'!$B$3:$B$1312,0),MATCH(M$2,'Fuel Model -  Input'!$B$3:$N$3,0))</f>
        <v>0.5</v>
      </c>
    </row>
    <row r="3054" spans="2:13" hidden="1" outlineLevel="2" x14ac:dyDescent="0.2">
      <c r="B3054" t="str">
        <f t="shared" si="1754"/>
        <v>GlobalFeedstockOrganic wet waste market share HTL blend%</v>
      </c>
      <c r="C3054" s="494" t="s">
        <v>109</v>
      </c>
      <c r="D3054" t="s">
        <v>777</v>
      </c>
      <c r="E3054" t="s">
        <v>1336</v>
      </c>
      <c r="F3054" t="s">
        <v>178</v>
      </c>
      <c r="G3054" s="531">
        <f>+INDEX('Fuel Model -  Input'!$B$3:$N$1312,MATCH($B3054,'Fuel Model -  Input'!$B$3:$B$1312,0),MATCH(G$2,'Fuel Model -  Input'!$B$3:$N$3,0))</f>
        <v>0.5</v>
      </c>
      <c r="H3054" s="531">
        <f>+INDEX('Fuel Model -  Input'!$B$3:$N$1312,MATCH($B3054,'Fuel Model -  Input'!$B$3:$B$1312,0),MATCH(H$2,'Fuel Model -  Input'!$B$3:$N$3,0))</f>
        <v>0.5</v>
      </c>
      <c r="I3054" s="531">
        <f>+INDEX('Fuel Model -  Input'!$B$3:$N$1312,MATCH($B3054,'Fuel Model -  Input'!$B$3:$B$1312,0),MATCH(I$2,'Fuel Model -  Input'!$B$3:$N$3,0))</f>
        <v>0.5</v>
      </c>
      <c r="J3054" s="531">
        <f>+INDEX('Fuel Model -  Input'!$B$3:$N$1312,MATCH($B3054,'Fuel Model -  Input'!$B$3:$B$1312,0),MATCH(J$2,'Fuel Model -  Input'!$B$3:$N$3,0))</f>
        <v>0.5</v>
      </c>
      <c r="K3054" s="531">
        <f>+INDEX('Fuel Model -  Input'!$B$3:$N$1312,MATCH($B3054,'Fuel Model -  Input'!$B$3:$B$1312,0),MATCH(K$2,'Fuel Model -  Input'!$B$3:$N$3,0))</f>
        <v>0.5</v>
      </c>
      <c r="L3054" s="531">
        <f>+INDEX('Fuel Model -  Input'!$B$3:$N$1312,MATCH($B3054,'Fuel Model -  Input'!$B$3:$B$1312,0),MATCH(L$2,'Fuel Model -  Input'!$B$3:$N$3,0))</f>
        <v>0.5</v>
      </c>
      <c r="M3054" s="531">
        <f>+INDEX('Fuel Model -  Input'!$B$3:$N$1312,MATCH($B3054,'Fuel Model -  Input'!$B$3:$B$1312,0),MATCH(M$2,'Fuel Model -  Input'!$B$3:$N$3,0))</f>
        <v>0.5</v>
      </c>
    </row>
    <row r="3055" spans="2:13" hidden="1" outlineLevel="2" x14ac:dyDescent="0.2">
      <c r="B3055" t="str">
        <f t="shared" si="1754"/>
        <v>GlobalFeedstockConversion Organic wet waste : HTL blend gradeTon feedstock / ton fuel</v>
      </c>
      <c r="C3055" s="494" t="s">
        <v>109</v>
      </c>
      <c r="D3055" t="s">
        <v>777</v>
      </c>
      <c r="E3055" t="s">
        <v>1337</v>
      </c>
      <c r="F3055" s="128" t="s">
        <v>1241</v>
      </c>
      <c r="G3055" s="521">
        <f>INDEX('Fuel Model -  Input'!$B$3:$N$373,MATCH($B3055,'Fuel Model -  Input'!$B$3:$B$373,0),MATCH(G$2,'Fuel Model -  Input'!$B$3:$N$3,0))</f>
        <v>3.0916389138436906</v>
      </c>
      <c r="H3055" s="521">
        <f>INDEX('Fuel Model -  Input'!$B$3:$N$373,MATCH($B3055,'Fuel Model -  Input'!$B$3:$B$373,0),MATCH(H$2,'Fuel Model -  Input'!$B$3:$N$3,0))</f>
        <v>3.0916389138436906</v>
      </c>
      <c r="I3055" s="521">
        <f>INDEX('Fuel Model -  Input'!$B$3:$N$373,MATCH($B3055,'Fuel Model -  Input'!$B$3:$B$373,0),MATCH(I$2,'Fuel Model -  Input'!$B$3:$N$3,0))</f>
        <v>3.0916389138436906</v>
      </c>
      <c r="J3055" s="521">
        <f>INDEX('Fuel Model -  Input'!$B$3:$N$373,MATCH($B3055,'Fuel Model -  Input'!$B$3:$B$373,0),MATCH(J$2,'Fuel Model -  Input'!$B$3:$N$3,0))</f>
        <v>3.0916389138436906</v>
      </c>
      <c r="K3055" s="521">
        <f>INDEX('Fuel Model -  Input'!$B$3:$N$373,MATCH($B3055,'Fuel Model -  Input'!$B$3:$B$373,0),MATCH(K$2,'Fuel Model -  Input'!$B$3:$N$3,0))</f>
        <v>3.0916389138436906</v>
      </c>
      <c r="L3055" s="521">
        <f>INDEX('Fuel Model -  Input'!$B$3:$N$373,MATCH($B3055,'Fuel Model -  Input'!$B$3:$B$373,0),MATCH(L$2,'Fuel Model -  Input'!$B$3:$N$3,0))</f>
        <v>3.0916389138436906</v>
      </c>
      <c r="M3055" s="521">
        <f>INDEX('Fuel Model -  Input'!$B$3:$N$373,MATCH($B3055,'Fuel Model -  Input'!$B$3:$B$373,0),MATCH(M$2,'Fuel Model -  Input'!$B$3:$N$3,0))</f>
        <v>3.0916389138436906</v>
      </c>
    </row>
    <row r="3056" spans="2:13" hidden="1" outlineLevel="2" x14ac:dyDescent="0.2">
      <c r="B3056" t="str">
        <f t="shared" si="1754"/>
        <v>EuropeFeedstockCost of Organic wet wasteUSD/ton</v>
      </c>
      <c r="C3056" s="494" t="s">
        <v>195</v>
      </c>
      <c r="D3056" t="s">
        <v>777</v>
      </c>
      <c r="E3056" s="48" t="s">
        <v>1242</v>
      </c>
      <c r="F3056" s="450" t="s">
        <v>205</v>
      </c>
      <c r="G3056" s="532">
        <f>INDEX('Fuel Model -  Input'!$B$3:$N$373,MATCH($B3056,'Fuel Model -  Input'!$B$3:$B$373,0),MATCH(G$2,'Fuel Model -  Input'!$B$3:$N$3,0))</f>
        <v>50</v>
      </c>
      <c r="H3056" s="532">
        <f>INDEX('Fuel Model -  Input'!$B$3:$N$373,MATCH($B3056,'Fuel Model -  Input'!$B$3:$B$373,0),MATCH(H$2,'Fuel Model -  Input'!$B$3:$N$3,0))</f>
        <v>50</v>
      </c>
      <c r="I3056" s="532">
        <f>INDEX('Fuel Model -  Input'!$B$3:$N$373,MATCH($B3056,'Fuel Model -  Input'!$B$3:$B$373,0),MATCH(I$2,'Fuel Model -  Input'!$B$3:$N$3,0))</f>
        <v>50</v>
      </c>
      <c r="J3056" s="532">
        <f>INDEX('Fuel Model -  Input'!$B$3:$N$373,MATCH($B3056,'Fuel Model -  Input'!$B$3:$B$373,0),MATCH(J$2,'Fuel Model -  Input'!$B$3:$N$3,0))</f>
        <v>50</v>
      </c>
      <c r="K3056" s="532">
        <f>INDEX('Fuel Model -  Input'!$B$3:$N$373,MATCH($B3056,'Fuel Model -  Input'!$B$3:$B$373,0),MATCH(K$2,'Fuel Model -  Input'!$B$3:$N$3,0))</f>
        <v>50</v>
      </c>
      <c r="L3056" s="532">
        <f>INDEX('Fuel Model -  Input'!$B$3:$N$373,MATCH($B3056,'Fuel Model -  Input'!$B$3:$B$373,0),MATCH(L$2,'Fuel Model -  Input'!$B$3:$N$3,0))</f>
        <v>50</v>
      </c>
      <c r="M3056" s="532">
        <f>INDEX('Fuel Model -  Input'!$B$3:$N$373,MATCH($B3056,'Fuel Model -  Input'!$B$3:$B$373,0),MATCH(M$2,'Fuel Model -  Input'!$B$3:$N$3,0))</f>
        <v>50</v>
      </c>
    </row>
    <row r="3057" spans="2:13" hidden="1" outlineLevel="2" x14ac:dyDescent="0.2">
      <c r="B3057" t="str">
        <f t="shared" si="1754"/>
        <v>GlobalFeedstockConversion Dry Wood biomass : HTL blend gradeTon feedstock / ton fuel</v>
      </c>
      <c r="C3057" s="494" t="s">
        <v>109</v>
      </c>
      <c r="D3057" t="s">
        <v>777</v>
      </c>
      <c r="E3057" s="48" t="s">
        <v>1338</v>
      </c>
      <c r="F3057" s="128" t="s">
        <v>1241</v>
      </c>
      <c r="G3057" s="521">
        <f>INDEX('Fuel Model -  Input'!$B$3:$N$373,MATCH($B3057,'Fuel Model -  Input'!$B$3:$B$373,0),MATCH(G$2,'Fuel Model -  Input'!$B$3:$N$3,0))</f>
        <v>2.8855296529207779</v>
      </c>
      <c r="H3057" s="521">
        <f>INDEX('Fuel Model -  Input'!$B$3:$N$373,MATCH($B3057,'Fuel Model -  Input'!$B$3:$B$373,0),MATCH(H$2,'Fuel Model -  Input'!$B$3:$N$3,0))</f>
        <v>2.8855296529207779</v>
      </c>
      <c r="I3057" s="521">
        <f>INDEX('Fuel Model -  Input'!$B$3:$N$373,MATCH($B3057,'Fuel Model -  Input'!$B$3:$B$373,0),MATCH(I$2,'Fuel Model -  Input'!$B$3:$N$3,0))</f>
        <v>2.8855296529207779</v>
      </c>
      <c r="J3057" s="521">
        <f>INDEX('Fuel Model -  Input'!$B$3:$N$373,MATCH($B3057,'Fuel Model -  Input'!$B$3:$B$373,0),MATCH(J$2,'Fuel Model -  Input'!$B$3:$N$3,0))</f>
        <v>2.8855296529207779</v>
      </c>
      <c r="K3057" s="521">
        <f>INDEX('Fuel Model -  Input'!$B$3:$N$373,MATCH($B3057,'Fuel Model -  Input'!$B$3:$B$373,0),MATCH(K$2,'Fuel Model -  Input'!$B$3:$N$3,0))</f>
        <v>2.8855296529207779</v>
      </c>
      <c r="L3057" s="521">
        <f>INDEX('Fuel Model -  Input'!$B$3:$N$373,MATCH($B3057,'Fuel Model -  Input'!$B$3:$B$373,0),MATCH(L$2,'Fuel Model -  Input'!$B$3:$N$3,0))</f>
        <v>2.8855296529207779</v>
      </c>
      <c r="M3057" s="521">
        <f>INDEX('Fuel Model -  Input'!$B$3:$N$373,MATCH($B3057,'Fuel Model -  Input'!$B$3:$B$373,0),MATCH(M$2,'Fuel Model -  Input'!$B$3:$N$3,0))</f>
        <v>2.8855296529207779</v>
      </c>
    </row>
    <row r="3058" spans="2:13" hidden="1" outlineLevel="2" x14ac:dyDescent="0.2">
      <c r="B3058" t="str">
        <f t="shared" si="1754"/>
        <v>EuropeFeedstockCost of Wood biomassUSD/ton Wood</v>
      </c>
      <c r="C3058" s="494" t="s">
        <v>195</v>
      </c>
      <c r="D3058" t="s">
        <v>777</v>
      </c>
      <c r="E3058" s="48" t="s">
        <v>1244</v>
      </c>
      <c r="F3058" s="128" t="s">
        <v>1245</v>
      </c>
      <c r="G3058" s="532">
        <f>+INDEX('Fuel Model -  Input'!$B$3:$N$373,MATCH($B3058,'Fuel Model -  Input'!$B$3:$B$373,0),MATCH(G$2,'Fuel Model -  Input'!$B$3:$N$3,0))</f>
        <v>95</v>
      </c>
      <c r="H3058" s="532">
        <f>+INDEX('Fuel Model -  Input'!$B$3:$N$373,MATCH($B3058,'Fuel Model -  Input'!$B$3:$B$373,0),MATCH(H$2,'Fuel Model -  Input'!$B$3:$N$3,0))</f>
        <v>100</v>
      </c>
      <c r="I3058" s="532">
        <f>+INDEX('Fuel Model -  Input'!$B$3:$N$373,MATCH($B3058,'Fuel Model -  Input'!$B$3:$B$373,0),MATCH(I$2,'Fuel Model -  Input'!$B$3:$N$3,0))</f>
        <v>105</v>
      </c>
      <c r="J3058" s="532">
        <f>+INDEX('Fuel Model -  Input'!$B$3:$N$373,MATCH($B3058,'Fuel Model -  Input'!$B$3:$B$373,0),MATCH(J$2,'Fuel Model -  Input'!$B$3:$N$3,0))</f>
        <v>110</v>
      </c>
      <c r="K3058" s="532">
        <f>+INDEX('Fuel Model -  Input'!$B$3:$N$373,MATCH($B3058,'Fuel Model -  Input'!$B$3:$B$373,0),MATCH(K$2,'Fuel Model -  Input'!$B$3:$N$3,0))</f>
        <v>114</v>
      </c>
      <c r="L3058" s="532">
        <f>+INDEX('Fuel Model -  Input'!$B$3:$N$373,MATCH($B3058,'Fuel Model -  Input'!$B$3:$B$373,0),MATCH(L$2,'Fuel Model -  Input'!$B$3:$N$3,0))</f>
        <v>119</v>
      </c>
      <c r="M3058" s="532">
        <f>+INDEX('Fuel Model -  Input'!$B$3:$N$373,MATCH($B3058,'Fuel Model -  Input'!$B$3:$B$373,0),MATCH(M$2,'Fuel Model -  Input'!$B$3:$N$3,0))</f>
        <v>124</v>
      </c>
    </row>
    <row r="3059" spans="2:13" ht="12.75" hidden="1" outlineLevel="1" x14ac:dyDescent="0.2">
      <c r="F3059"/>
    </row>
    <row r="3060" spans="2:13" s="30" customFormat="1" ht="15" hidden="1" outlineLevel="1" collapsed="1" x14ac:dyDescent="0.25">
      <c r="B3060" s="30" t="s">
        <v>197</v>
      </c>
      <c r="C3060" s="30" t="str">
        <f>+B3060</f>
        <v>Middle East</v>
      </c>
    </row>
    <row r="3061" spans="2:13" ht="15" hidden="1" outlineLevel="2" x14ac:dyDescent="0.25">
      <c r="B3061" t="str">
        <f>+C3061&amp;D3061&amp;E3061&amp;F3061</f>
        <v>Middle EastResultsTotal cost of Biodiesel (HtL blend)USD/ton</v>
      </c>
      <c r="C3061" s="494" t="str">
        <f>+$C$2852</f>
        <v>Middle East</v>
      </c>
      <c r="D3061" s="30" t="s">
        <v>838</v>
      </c>
      <c r="E3061" s="405" t="s">
        <v>1319</v>
      </c>
      <c r="F3061" s="127" t="s">
        <v>205</v>
      </c>
      <c r="G3061" s="490">
        <f>SUM(G3062:G3065)</f>
        <v>1535.1285254212712</v>
      </c>
      <c r="H3061" s="490">
        <f t="shared" ref="H3061" si="1756">SUM(H3062:H3065)</f>
        <v>1025.8083824512019</v>
      </c>
      <c r="I3061" s="490">
        <f t="shared" ref="I3061" si="1757">SUM(I3062:I3065)</f>
        <v>618.69216952884074</v>
      </c>
      <c r="J3061" s="490">
        <f t="shared" ref="J3061" si="1758">SUM(J3062:J3065)</f>
        <v>604.3277738319473</v>
      </c>
      <c r="K3061" s="490">
        <f t="shared" ref="K3061" si="1759">SUM(K3062:K3065)</f>
        <v>598.8679870701767</v>
      </c>
      <c r="L3061" s="490">
        <f t="shared" ref="L3061" si="1760">SUM(L3062:L3065)</f>
        <v>592.69005155242257</v>
      </c>
      <c r="M3061" s="490">
        <f t="shared" ref="M3061" si="1761">SUM(M3062:M3065)</f>
        <v>586.83912998437734</v>
      </c>
    </row>
    <row r="3062" spans="2:13" ht="15" hidden="1" outlineLevel="2" x14ac:dyDescent="0.25">
      <c r="B3062" t="str">
        <f>+C3062&amp;D3062&amp;E3062&amp;F3062</f>
        <v>Middle EastResultsTotal Capex Biodiesel (HtL blend)USD/ton</v>
      </c>
      <c r="C3062" s="494" t="str">
        <f>+$C$2852</f>
        <v>Middle East</v>
      </c>
      <c r="D3062" s="30" t="s">
        <v>838</v>
      </c>
      <c r="E3062" s="228" t="s">
        <v>1320</v>
      </c>
      <c r="F3062" s="127" t="s">
        <v>205</v>
      </c>
      <c r="G3062" s="490">
        <f>+G3074*G3068</f>
        <v>404.521475058004</v>
      </c>
      <c r="H3062" s="490">
        <f t="shared" ref="H3062:M3062" si="1762">+H3074*H3068</f>
        <v>242.71288503480241</v>
      </c>
      <c r="I3062" s="490">
        <f t="shared" si="1762"/>
        <v>80.904295011600823</v>
      </c>
      <c r="J3062" s="490">
        <f t="shared" si="1762"/>
        <v>77.056818082617085</v>
      </c>
      <c r="K3062" s="490">
        <f t="shared" si="1762"/>
        <v>75.133079618125223</v>
      </c>
      <c r="L3062" s="490">
        <f t="shared" si="1762"/>
        <v>73.20934115363336</v>
      </c>
      <c r="M3062" s="490">
        <f t="shared" si="1762"/>
        <v>71.285602689141498</v>
      </c>
    </row>
    <row r="3063" spans="2:13" ht="15" hidden="1" outlineLevel="2" x14ac:dyDescent="0.25">
      <c r="B3063" t="str">
        <f>+C3063&amp;D3063&amp;E3063&amp;F3063</f>
        <v>Middle EastResultsTotal Opex Biodiesel (HtL blend)USD/ton</v>
      </c>
      <c r="C3063" s="494" t="str">
        <f>+$C$2852</f>
        <v>Middle East</v>
      </c>
      <c r="D3063" s="30" t="s">
        <v>838</v>
      </c>
      <c r="E3063" s="228" t="s">
        <v>1321</v>
      </c>
      <c r="F3063" s="127" t="s">
        <v>205</v>
      </c>
      <c r="G3063" s="490">
        <f>+G3078*G3068</f>
        <v>494.47915909065927</v>
      </c>
      <c r="H3063" s="490">
        <f t="shared" ref="H3063:M3063" si="1763">+H3078*H3068</f>
        <v>296.6874954543955</v>
      </c>
      <c r="I3063" s="490">
        <f t="shared" si="1763"/>
        <v>98.895831818131853</v>
      </c>
      <c r="J3063" s="490">
        <f t="shared" si="1763"/>
        <v>87.028331999956023</v>
      </c>
      <c r="K3063" s="490">
        <f t="shared" si="1763"/>
        <v>81.094582090868116</v>
      </c>
      <c r="L3063" s="490">
        <f t="shared" si="1763"/>
        <v>75.160832181780194</v>
      </c>
      <c r="M3063" s="490">
        <f t="shared" si="1763"/>
        <v>69.227082272692286</v>
      </c>
    </row>
    <row r="3064" spans="2:13" ht="15" hidden="1" outlineLevel="2" x14ac:dyDescent="0.25">
      <c r="B3064" t="str">
        <f>+C3064&amp;D3064&amp;E3064&amp;F3064</f>
        <v>Middle EastResultsTotal RNE Biodiesel (HtL blend)USD/ton</v>
      </c>
      <c r="C3064" s="494" t="str">
        <f>+$C$2852</f>
        <v>Middle East</v>
      </c>
      <c r="D3064" s="30" t="s">
        <v>838</v>
      </c>
      <c r="E3064" s="228" t="s">
        <v>1322</v>
      </c>
      <c r="F3064" s="127" t="s">
        <v>205</v>
      </c>
      <c r="G3064" s="490">
        <f>+G3080*G3068</f>
        <v>10.324809974044104</v>
      </c>
      <c r="H3064" s="490">
        <f t="shared" ref="H3064:M3064" si="1764">+H3080*H3068</f>
        <v>8.3130869465101824</v>
      </c>
      <c r="I3064" s="490">
        <f t="shared" si="1764"/>
        <v>6.955602270716807</v>
      </c>
      <c r="J3064" s="490">
        <f t="shared" si="1764"/>
        <v>5.9977595986462342</v>
      </c>
      <c r="K3064" s="490">
        <f t="shared" si="1764"/>
        <v>5.509931557534669</v>
      </c>
      <c r="L3064" s="490">
        <f t="shared" si="1764"/>
        <v>4.8810606910236958</v>
      </c>
      <c r="M3064" s="490">
        <f t="shared" si="1764"/>
        <v>4.5792037742216554</v>
      </c>
    </row>
    <row r="3065" spans="2:13" ht="15" hidden="1" outlineLevel="2" x14ac:dyDescent="0.25">
      <c r="B3065" t="str">
        <f>+C3065&amp;D3065&amp;E3065&amp;F3065</f>
        <v>Middle EastResultsTotal Raw Material Biodiesel (HtL blend)USD/ton</v>
      </c>
      <c r="C3065" s="494" t="str">
        <f>+$C$2852</f>
        <v>Middle East</v>
      </c>
      <c r="D3065" s="30" t="s">
        <v>838</v>
      </c>
      <c r="E3065" s="228" t="s">
        <v>1323</v>
      </c>
      <c r="F3065" s="127" t="s">
        <v>205</v>
      </c>
      <c r="G3065" s="490">
        <f>+G3084*G3068+G3069*G3070</f>
        <v>625.80308129856394</v>
      </c>
      <c r="H3065" s="490">
        <f t="shared" ref="H3065:M3065" si="1765">+H3084*H3068+H3069*H3070</f>
        <v>478.09491501549377</v>
      </c>
      <c r="I3065" s="490">
        <f t="shared" si="1765"/>
        <v>431.93644042839128</v>
      </c>
      <c r="J3065" s="490">
        <f t="shared" si="1765"/>
        <v>434.24486415072789</v>
      </c>
      <c r="K3065" s="490">
        <f t="shared" si="1765"/>
        <v>437.13039380364864</v>
      </c>
      <c r="L3065" s="490">
        <f t="shared" si="1765"/>
        <v>439.43881752598531</v>
      </c>
      <c r="M3065" s="490">
        <f t="shared" si="1765"/>
        <v>441.74724124832193</v>
      </c>
    </row>
    <row r="3066" spans="2:13" hidden="1" outlineLevel="2" x14ac:dyDescent="0.2">
      <c r="C3066" s="494"/>
      <c r="E3066" s="48"/>
      <c r="F3066" s="128"/>
      <c r="G3066" s="8"/>
      <c r="H3066" s="8"/>
      <c r="I3066" s="8"/>
      <c r="J3066" s="8"/>
      <c r="K3066" s="8"/>
      <c r="L3066" s="8"/>
      <c r="M3066" s="8"/>
    </row>
    <row r="3067" spans="2:13" hidden="1" outlineLevel="2" x14ac:dyDescent="0.2">
      <c r="B3067" t="str">
        <f>+C3067&amp;D3067&amp;E3067&amp;F3067</f>
        <v>Middle EastResultsTotal cost of HTL Oil blend (60% LSFO)USD/ton</v>
      </c>
      <c r="C3067" s="494" t="str">
        <f>+$C$2852</f>
        <v>Middle East</v>
      </c>
      <c r="D3067" t="s">
        <v>838</v>
      </c>
      <c r="E3067" s="48" t="s">
        <v>1324</v>
      </c>
      <c r="F3067" s="128" t="s">
        <v>205</v>
      </c>
      <c r="G3067" s="8">
        <f>+G3069*G3070+G3068*G3072</f>
        <v>1535.1285254212714</v>
      </c>
      <c r="H3067" s="8">
        <f t="shared" ref="H3067" si="1766">+H3069*H3070+H3068*H3072</f>
        <v>1025.8083824512019</v>
      </c>
      <c r="I3067" s="8">
        <f t="shared" ref="I3067" si="1767">+I3069*I3070+I3068*I3072</f>
        <v>618.69216952884074</v>
      </c>
      <c r="J3067" s="8">
        <f t="shared" ref="J3067" si="1768">+J3069*J3070+J3068*J3072</f>
        <v>604.3277738319473</v>
      </c>
      <c r="K3067" s="8">
        <f t="shared" ref="K3067" si="1769">+K3069*K3070+K3068*K3072</f>
        <v>598.8679870701767</v>
      </c>
      <c r="L3067" s="8">
        <f t="shared" ref="L3067" si="1770">+L3069*L3070+L3068*L3072</f>
        <v>592.69005155242257</v>
      </c>
      <c r="M3067" s="8">
        <f t="shared" ref="M3067" si="1771">+M3069*M3070+M3068*M3072</f>
        <v>586.83912998437734</v>
      </c>
    </row>
    <row r="3068" spans="2:13" hidden="1" outlineLevel="2" x14ac:dyDescent="0.2">
      <c r="B3068" t="str">
        <f>+C3068&amp;D3068&amp;E3068&amp;F3068</f>
        <v>GlobalFeedstockConversion HTL blend grade : HTL VLSFO blendTon feedstock / ton fuel</v>
      </c>
      <c r="C3068" s="494" t="s">
        <v>109</v>
      </c>
      <c r="D3068" t="s">
        <v>777</v>
      </c>
      <c r="E3068" t="s">
        <v>1325</v>
      </c>
      <c r="F3068" s="450" t="s">
        <v>1241</v>
      </c>
      <c r="G3068" s="521">
        <f>+INDEX('Fuel Model -  Input'!$B$3:$N$373,MATCH($B3068,'Fuel Model -  Input'!$B$3:$B$373,0),MATCH(G$2,'Fuel Model -  Input'!$B$3:$N$3,0))</f>
        <v>0.4</v>
      </c>
      <c r="H3068" s="521">
        <f>+INDEX('Fuel Model -  Input'!$B$3:$N$373,MATCH($B3068,'Fuel Model -  Input'!$B$3:$B$373,0),MATCH(H$2,'Fuel Model -  Input'!$B$3:$N$3,0))</f>
        <v>0.4</v>
      </c>
      <c r="I3068" s="521">
        <f>+INDEX('Fuel Model -  Input'!$B$3:$N$373,MATCH($B3068,'Fuel Model -  Input'!$B$3:$B$373,0),MATCH(I$2,'Fuel Model -  Input'!$B$3:$N$3,0))</f>
        <v>0.4</v>
      </c>
      <c r="J3068" s="521">
        <f>+INDEX('Fuel Model -  Input'!$B$3:$N$373,MATCH($B3068,'Fuel Model -  Input'!$B$3:$B$373,0),MATCH(J$2,'Fuel Model -  Input'!$B$3:$N$3,0))</f>
        <v>0.4</v>
      </c>
      <c r="K3068" s="521">
        <f>+INDEX('Fuel Model -  Input'!$B$3:$N$373,MATCH($B3068,'Fuel Model -  Input'!$B$3:$B$373,0),MATCH(K$2,'Fuel Model -  Input'!$B$3:$N$3,0))</f>
        <v>0.4</v>
      </c>
      <c r="L3068" s="521">
        <f>+INDEX('Fuel Model -  Input'!$B$3:$N$373,MATCH($B3068,'Fuel Model -  Input'!$B$3:$B$373,0),MATCH(L$2,'Fuel Model -  Input'!$B$3:$N$3,0))</f>
        <v>0.4</v>
      </c>
      <c r="M3068" s="521">
        <f>+INDEX('Fuel Model -  Input'!$B$3:$N$373,MATCH($B3068,'Fuel Model -  Input'!$B$3:$B$373,0),MATCH(M$2,'Fuel Model -  Input'!$B$3:$N$3,0))</f>
        <v>0.4</v>
      </c>
    </row>
    <row r="3069" spans="2:13" hidden="1" outlineLevel="2" x14ac:dyDescent="0.2">
      <c r="B3069" t="str">
        <f>+C3069&amp;D3069&amp;E3069&amp;F3069</f>
        <v>GlobalFeedstockConversion VLSFO : HTL VLSFO blendTon feedstock / ton fuel</v>
      </c>
      <c r="C3069" s="494" t="s">
        <v>109</v>
      </c>
      <c r="D3069" t="s">
        <v>777</v>
      </c>
      <c r="E3069" t="s">
        <v>1326</v>
      </c>
      <c r="F3069" s="450" t="s">
        <v>1241</v>
      </c>
      <c r="G3069" s="521">
        <f>+INDEX('Fuel Model -  Input'!$B$3:$N$373,MATCH($B3069,'Fuel Model -  Input'!$B$3:$B$373,0),MATCH(G$2,'Fuel Model -  Input'!$B$3:$N$3,0))</f>
        <v>0.6</v>
      </c>
      <c r="H3069" s="521">
        <f>+INDEX('Fuel Model -  Input'!$B$3:$N$373,MATCH($B3069,'Fuel Model -  Input'!$B$3:$B$373,0),MATCH(H$2,'Fuel Model -  Input'!$B$3:$N$3,0))</f>
        <v>0.6</v>
      </c>
      <c r="I3069" s="521">
        <f>+INDEX('Fuel Model -  Input'!$B$3:$N$373,MATCH($B3069,'Fuel Model -  Input'!$B$3:$B$373,0),MATCH(I$2,'Fuel Model -  Input'!$B$3:$N$3,0))</f>
        <v>0.6</v>
      </c>
      <c r="J3069" s="521">
        <f>+INDEX('Fuel Model -  Input'!$B$3:$N$373,MATCH($B3069,'Fuel Model -  Input'!$B$3:$B$373,0),MATCH(J$2,'Fuel Model -  Input'!$B$3:$N$3,0))</f>
        <v>0.6</v>
      </c>
      <c r="K3069" s="521">
        <f>+INDEX('Fuel Model -  Input'!$B$3:$N$373,MATCH($B3069,'Fuel Model -  Input'!$B$3:$B$373,0),MATCH(K$2,'Fuel Model -  Input'!$B$3:$N$3,0))</f>
        <v>0.6</v>
      </c>
      <c r="L3069" s="521">
        <f>+INDEX('Fuel Model -  Input'!$B$3:$N$373,MATCH($B3069,'Fuel Model -  Input'!$B$3:$B$373,0),MATCH(L$2,'Fuel Model -  Input'!$B$3:$N$3,0))</f>
        <v>0.6</v>
      </c>
      <c r="M3069" s="521">
        <f>+INDEX('Fuel Model -  Input'!$B$3:$N$373,MATCH($B3069,'Fuel Model -  Input'!$B$3:$B$373,0),MATCH(M$2,'Fuel Model -  Input'!$B$3:$N$3,0))</f>
        <v>0.6</v>
      </c>
    </row>
    <row r="3070" spans="2:13" hidden="1" outlineLevel="2" x14ac:dyDescent="0.2">
      <c r="B3070" t="str">
        <f>+C3070&amp;D3070&amp;E3070&amp;F3070</f>
        <v>Middle EastResultsCost of LSFOUSD/ton</v>
      </c>
      <c r="C3070" s="494" t="str">
        <f>+$C$2852</f>
        <v>Middle East</v>
      </c>
      <c r="D3070" t="s">
        <v>838</v>
      </c>
      <c r="E3070" t="s">
        <v>1135</v>
      </c>
      <c r="F3070" s="157" t="s">
        <v>205</v>
      </c>
      <c r="G3070" s="532">
        <f>+INDEX('Fuel Model -  Input'!$B$3:$N$373,MATCH($B3070,'Fuel Model -  Input'!$B$3:$B$373,0),MATCH(G$2,'Fuel Model -  Input'!$B$3:$N$3,0))</f>
        <v>884.71322310880964</v>
      </c>
      <c r="H3070" s="532">
        <f>+INDEX('Fuel Model -  Input'!$B$3:$N$373,MATCH($B3070,'Fuel Model -  Input'!$B$3:$B$373,0),MATCH(H$2,'Fuel Model -  Input'!$B$3:$N$3,0))</f>
        <v>634.68557309979826</v>
      </c>
      <c r="I3070" s="532">
        <f>+INDEX('Fuel Model -  Input'!$B$3:$N$373,MATCH($B3070,'Fuel Model -  Input'!$B$3:$B$373,0),MATCH(I$2,'Fuel Model -  Input'!$B$3:$N$3,0))</f>
        <v>553.90740925073305</v>
      </c>
      <c r="J3070" s="532">
        <f>+INDEX('Fuel Model -  Input'!$B$3:$N$373,MATCH($B3070,'Fuel Model -  Input'!$B$3:$B$373,0),MATCH(J$2,'Fuel Model -  Input'!$B$3:$N$3,0))</f>
        <v>553.90740925073305</v>
      </c>
      <c r="K3070" s="532">
        <f>+INDEX('Fuel Model -  Input'!$B$3:$N$373,MATCH($B3070,'Fuel Model -  Input'!$B$3:$B$373,0),MATCH(K$2,'Fuel Model -  Input'!$B$3:$N$3,0))</f>
        <v>553.90740925073305</v>
      </c>
      <c r="L3070" s="532">
        <f>+INDEX('Fuel Model -  Input'!$B$3:$N$373,MATCH($B3070,'Fuel Model -  Input'!$B$3:$B$373,0),MATCH(L$2,'Fuel Model -  Input'!$B$3:$N$3,0))</f>
        <v>553.90740925073305</v>
      </c>
      <c r="M3070" s="532">
        <f>+INDEX('Fuel Model -  Input'!$B$3:$N$373,MATCH($B3070,'Fuel Model -  Input'!$B$3:$B$373,0),MATCH(M$2,'Fuel Model -  Input'!$B$3:$N$3,0))</f>
        <v>553.90740925073305</v>
      </c>
    </row>
    <row r="3071" spans="2:13" hidden="1" outlineLevel="2" x14ac:dyDescent="0.2">
      <c r="C3071" s="494"/>
      <c r="E3071" s="48"/>
      <c r="F3071" s="128"/>
      <c r="G3071" s="524"/>
      <c r="H3071" s="524"/>
      <c r="I3071" s="524"/>
      <c r="J3071" s="524"/>
      <c r="K3071" s="524"/>
      <c r="L3071" s="524"/>
      <c r="M3071" s="524"/>
    </row>
    <row r="3072" spans="2:13" hidden="1" outlineLevel="2" x14ac:dyDescent="0.2">
      <c r="B3072" t="str">
        <f>+C3072&amp;D3072&amp;E3072&amp;F3072</f>
        <v>Middle EastSubtotalSubtotal - cost of HTL blend oil feedstockUSD/ton HTL blend oil feedstock</v>
      </c>
      <c r="C3072" s="494" t="str">
        <f>+$C$2852</f>
        <v>Middle East</v>
      </c>
      <c r="D3072" t="s">
        <v>1327</v>
      </c>
      <c r="E3072" s="48" t="s">
        <v>1328</v>
      </c>
      <c r="F3072" s="128" t="s">
        <v>1329</v>
      </c>
      <c r="G3072" s="8">
        <f>+SUM(G3074,G3080,G3084,G3078)</f>
        <v>2510.7514788899639</v>
      </c>
      <c r="H3072" s="8">
        <f t="shared" ref="H3072:M3072" si="1772">+SUM(H3074,H3080,H3084,H3078)</f>
        <v>1612.4925964783074</v>
      </c>
      <c r="I3072" s="8">
        <f t="shared" si="1772"/>
        <v>715.8693099460022</v>
      </c>
      <c r="J3072" s="8">
        <f t="shared" si="1772"/>
        <v>679.95832070376844</v>
      </c>
      <c r="K3072" s="8">
        <f t="shared" si="1772"/>
        <v>666.30885379934205</v>
      </c>
      <c r="L3072" s="8">
        <f t="shared" si="1772"/>
        <v>650.86401500495663</v>
      </c>
      <c r="M3072" s="8">
        <f t="shared" si="1772"/>
        <v>636.23671108484371</v>
      </c>
    </row>
    <row r="3073" spans="2:13" hidden="1" outlineLevel="2" x14ac:dyDescent="0.2">
      <c r="C3073" s="494"/>
      <c r="E3073" s="48"/>
      <c r="F3073" s="128"/>
      <c r="G3073" s="8"/>
      <c r="H3073" s="8"/>
      <c r="I3073" s="8"/>
      <c r="J3073" s="8"/>
      <c r="K3073" s="8"/>
      <c r="L3073" s="8"/>
      <c r="M3073" s="8"/>
    </row>
    <row r="3074" spans="2:13" hidden="1" outlineLevel="2" x14ac:dyDescent="0.2">
      <c r="B3074" t="str">
        <f>+C3074&amp;D3074&amp;E3074&amp;F3074</f>
        <v>Middle EastHTL PlantAnnual capex (HTL blend)USD/ton HTL blend oil</v>
      </c>
      <c r="C3074" s="494" t="str">
        <f>+$C$2852</f>
        <v>Middle East</v>
      </c>
      <c r="D3074" t="s">
        <v>1288</v>
      </c>
      <c r="E3074" s="48" t="s">
        <v>1330</v>
      </c>
      <c r="F3074" s="128" t="s">
        <v>1331</v>
      </c>
      <c r="G3074" s="8">
        <f t="shared" ref="G3074:M3074" si="1773">G3076/G3075</f>
        <v>1011.30368764501</v>
      </c>
      <c r="H3074" s="8">
        <f t="shared" si="1773"/>
        <v>606.78221258700603</v>
      </c>
      <c r="I3074" s="8">
        <f t="shared" si="1773"/>
        <v>202.26073752900203</v>
      </c>
      <c r="J3074" s="8">
        <f t="shared" si="1773"/>
        <v>192.64204520654269</v>
      </c>
      <c r="K3074" s="8">
        <f t="shared" si="1773"/>
        <v>187.83269904531303</v>
      </c>
      <c r="L3074" s="8">
        <f t="shared" si="1773"/>
        <v>183.02335288408338</v>
      </c>
      <c r="M3074" s="8">
        <f t="shared" si="1773"/>
        <v>178.21400672285372</v>
      </c>
    </row>
    <row r="3075" spans="2:13" hidden="1" outlineLevel="2" x14ac:dyDescent="0.2">
      <c r="B3075" t="str">
        <f>+C3075&amp;D3075&amp;E3075&amp;F3075</f>
        <v>GlobalPlant capexAnnualisation factor#</v>
      </c>
      <c r="C3075" s="494" t="s">
        <v>109</v>
      </c>
      <c r="D3075" t="s">
        <v>786</v>
      </c>
      <c r="E3075" t="s">
        <v>764</v>
      </c>
      <c r="F3075" s="450" t="s">
        <v>787</v>
      </c>
      <c r="G3075" s="532">
        <f>+INDEX('Fuel Model -  Input'!$B$3:$N$373,MATCH($B3075,'Fuel Model -  Input'!$B$3:$B$373,0),MATCH(G$2,'Fuel Model -  Input'!$B$3:$N$3,0))</f>
        <v>11.32075471698113</v>
      </c>
      <c r="H3075" s="532">
        <f>+INDEX('Fuel Model -  Input'!$B$3:$N$373,MATCH($B3075,'Fuel Model -  Input'!$B$3:$B$373,0),MATCH(H$2,'Fuel Model -  Input'!$B$3:$N$3,0))</f>
        <v>11.32075471698113</v>
      </c>
      <c r="I3075" s="532">
        <f>+INDEX('Fuel Model -  Input'!$B$3:$N$373,MATCH($B3075,'Fuel Model -  Input'!$B$3:$B$373,0),MATCH(I$2,'Fuel Model -  Input'!$B$3:$N$3,0))</f>
        <v>11.32075471698113</v>
      </c>
      <c r="J3075" s="532">
        <f>+INDEX('Fuel Model -  Input'!$B$3:$N$373,MATCH($B3075,'Fuel Model -  Input'!$B$3:$B$373,0),MATCH(J$2,'Fuel Model -  Input'!$B$3:$N$3,0))</f>
        <v>11.32075471698113</v>
      </c>
      <c r="K3075" s="532">
        <f>+INDEX('Fuel Model -  Input'!$B$3:$N$373,MATCH($B3075,'Fuel Model -  Input'!$B$3:$B$373,0),MATCH(K$2,'Fuel Model -  Input'!$B$3:$N$3,0))</f>
        <v>11.32075471698113</v>
      </c>
      <c r="L3075" s="532">
        <f>+INDEX('Fuel Model -  Input'!$B$3:$N$373,MATCH($B3075,'Fuel Model -  Input'!$B$3:$B$373,0),MATCH(L$2,'Fuel Model -  Input'!$B$3:$N$3,0))</f>
        <v>11.32075471698113</v>
      </c>
      <c r="M3075" s="532">
        <f>+INDEX('Fuel Model -  Input'!$B$3:$N$373,MATCH($B3075,'Fuel Model -  Input'!$B$3:$B$373,0),MATCH(M$2,'Fuel Model -  Input'!$B$3:$N$3,0))</f>
        <v>11.32075471698113</v>
      </c>
    </row>
    <row r="3076" spans="2:13" hidden="1" outlineLevel="2" x14ac:dyDescent="0.2">
      <c r="B3076" t="str">
        <f>+C3076&amp;D3076&amp;E3076&amp;F3076</f>
        <v>GlobalCAPEXHTL blend grade plantUSD/ton HTL blend oil capacity</v>
      </c>
      <c r="C3076" s="494" t="s">
        <v>109</v>
      </c>
      <c r="D3076" t="s">
        <v>50</v>
      </c>
      <c r="E3076" t="s">
        <v>1332</v>
      </c>
      <c r="F3076" s="157" t="s">
        <v>1333</v>
      </c>
      <c r="G3076" s="532">
        <f>+INDEX('Fuel Model -  Input'!$B$3:$N$373,MATCH($B3076,'Fuel Model -  Input'!$B$3:$B$373,0),MATCH(G$2,'Fuel Model -  Input'!$B$3:$N$3,0))</f>
        <v>11448.720992207658</v>
      </c>
      <c r="H3076" s="532">
        <f>+INDEX('Fuel Model -  Input'!$B$3:$N$373,MATCH($B3076,'Fuel Model -  Input'!$B$3:$B$373,0),MATCH(H$2,'Fuel Model -  Input'!$B$3:$N$3,0))</f>
        <v>6869.2325953245954</v>
      </c>
      <c r="I3076" s="532">
        <f>+INDEX('Fuel Model -  Input'!$B$3:$N$373,MATCH($B3076,'Fuel Model -  Input'!$B$3:$B$373,0),MATCH(I$2,'Fuel Model -  Input'!$B$3:$N$3,0))</f>
        <v>2289.7441984415318</v>
      </c>
      <c r="J3076" s="532">
        <f>+INDEX('Fuel Model -  Input'!$B$3:$N$373,MATCH($B3076,'Fuel Model -  Input'!$B$3:$B$373,0),MATCH(J$2,'Fuel Model -  Input'!$B$3:$N$3,0))</f>
        <v>2180.8533419608602</v>
      </c>
      <c r="K3076" s="532">
        <f>+INDEX('Fuel Model -  Input'!$B$3:$N$373,MATCH($B3076,'Fuel Model -  Input'!$B$3:$B$373,0),MATCH(K$2,'Fuel Model -  Input'!$B$3:$N$3,0))</f>
        <v>2126.4079137205244</v>
      </c>
      <c r="L3076" s="532">
        <f>+INDEX('Fuel Model -  Input'!$B$3:$N$373,MATCH($B3076,'Fuel Model -  Input'!$B$3:$B$373,0),MATCH(L$2,'Fuel Model -  Input'!$B$3:$N$3,0))</f>
        <v>2071.9624854801887</v>
      </c>
      <c r="M3076" s="532">
        <f>+INDEX('Fuel Model -  Input'!$B$3:$N$373,MATCH($B3076,'Fuel Model -  Input'!$B$3:$B$373,0),MATCH(M$2,'Fuel Model -  Input'!$B$3:$N$3,0))</f>
        <v>2017.5170572398531</v>
      </c>
    </row>
    <row r="3077" spans="2:13" hidden="1" outlineLevel="2" x14ac:dyDescent="0.2">
      <c r="C3077" s="494"/>
      <c r="E3077" s="48"/>
      <c r="F3077" s="128"/>
      <c r="G3077" s="524"/>
      <c r="H3077" s="524"/>
      <c r="I3077" s="524"/>
      <c r="J3077" s="524"/>
      <c r="K3077" s="524"/>
      <c r="L3077" s="524"/>
      <c r="M3077" s="524"/>
    </row>
    <row r="3078" spans="2:13" hidden="1" outlineLevel="2" x14ac:dyDescent="0.2">
      <c r="B3078" t="str">
        <f>+C3078&amp;D3078&amp;E3078&amp;F3078</f>
        <v>GlobalOPEXPlant opexUSD/ton HTL blend oil</v>
      </c>
      <c r="C3078" s="494" t="s">
        <v>109</v>
      </c>
      <c r="D3078" t="s">
        <v>319</v>
      </c>
      <c r="E3078" t="s">
        <v>1293</v>
      </c>
      <c r="F3078" s="128" t="s">
        <v>1331</v>
      </c>
      <c r="G3078" s="532">
        <f>+INDEX('Fuel Model -  Input'!$B$3:$N$373,MATCH($B3078,'Fuel Model -  Input'!$B$3:$B$373,0),MATCH(G$2,'Fuel Model -  Input'!$B$3:$N$3,0))</f>
        <v>1236.1978977266481</v>
      </c>
      <c r="H3078" s="532">
        <f>+INDEX('Fuel Model -  Input'!$B$3:$N$373,MATCH($B3078,'Fuel Model -  Input'!$B$3:$B$373,0),MATCH(H$2,'Fuel Model -  Input'!$B$3:$N$3,0))</f>
        <v>741.71873863598876</v>
      </c>
      <c r="I3078" s="532">
        <f>+INDEX('Fuel Model -  Input'!$B$3:$N$373,MATCH($B3078,'Fuel Model -  Input'!$B$3:$B$373,0),MATCH(I$2,'Fuel Model -  Input'!$B$3:$N$3,0))</f>
        <v>247.2395795453296</v>
      </c>
      <c r="J3078" s="532">
        <f>+INDEX('Fuel Model -  Input'!$B$3:$N$373,MATCH($B3078,'Fuel Model -  Input'!$B$3:$B$373,0),MATCH(J$2,'Fuel Model -  Input'!$B$3:$N$3,0))</f>
        <v>217.57082999989004</v>
      </c>
      <c r="K3078" s="532">
        <f>+INDEX('Fuel Model -  Input'!$B$3:$N$373,MATCH($B3078,'Fuel Model -  Input'!$B$3:$B$373,0),MATCH(K$2,'Fuel Model -  Input'!$B$3:$N$3,0))</f>
        <v>202.73645522717027</v>
      </c>
      <c r="L3078" s="532">
        <f>+INDEX('Fuel Model -  Input'!$B$3:$N$373,MATCH($B3078,'Fuel Model -  Input'!$B$3:$B$373,0),MATCH(L$2,'Fuel Model -  Input'!$B$3:$N$3,0))</f>
        <v>187.90208045445047</v>
      </c>
      <c r="M3078" s="532">
        <f>+INDEX('Fuel Model -  Input'!$B$3:$N$373,MATCH($B3078,'Fuel Model -  Input'!$B$3:$B$373,0),MATCH(M$2,'Fuel Model -  Input'!$B$3:$N$3,0))</f>
        <v>173.0677056817307</v>
      </c>
    </row>
    <row r="3079" spans="2:13" hidden="1" outlineLevel="2" x14ac:dyDescent="0.2">
      <c r="C3079" s="494"/>
      <c r="E3079" s="48"/>
      <c r="F3079" s="128"/>
      <c r="G3079" s="520"/>
      <c r="H3079" s="520"/>
      <c r="I3079" s="520"/>
      <c r="J3079" s="520"/>
      <c r="K3079" s="520"/>
      <c r="L3079" s="520"/>
      <c r="M3079" s="520"/>
    </row>
    <row r="3080" spans="2:13" hidden="1" outlineLevel="2" x14ac:dyDescent="0.2">
      <c r="B3080" t="str">
        <f>+C3080&amp;D3080&amp;E3080&amp;F3080</f>
        <v>Middle EastElectricityTotal electricityUSD/ton HTL blend oil</v>
      </c>
      <c r="C3080" s="494" t="str">
        <f>+$C$2852</f>
        <v>Middle East</v>
      </c>
      <c r="D3080" t="s">
        <v>54</v>
      </c>
      <c r="E3080" s="48" t="s">
        <v>1295</v>
      </c>
      <c r="F3080" s="128" t="s">
        <v>1331</v>
      </c>
      <c r="G3080" s="8">
        <f t="shared" ref="G3080:M3080" si="1774">G3082*G3081</f>
        <v>25.812024935110259</v>
      </c>
      <c r="H3080" s="8">
        <f t="shared" si="1774"/>
        <v>20.782717366275456</v>
      </c>
      <c r="I3080" s="8">
        <f t="shared" si="1774"/>
        <v>17.389005676792017</v>
      </c>
      <c r="J3080" s="8">
        <f t="shared" si="1774"/>
        <v>14.994398996615585</v>
      </c>
      <c r="K3080" s="8">
        <f t="shared" si="1774"/>
        <v>13.774828893836672</v>
      </c>
      <c r="L3080" s="8">
        <f t="shared" si="1774"/>
        <v>12.202651727559239</v>
      </c>
      <c r="M3080" s="8">
        <f t="shared" si="1774"/>
        <v>11.448009435554138</v>
      </c>
    </row>
    <row r="3081" spans="2:13" hidden="1" outlineLevel="2" x14ac:dyDescent="0.2">
      <c r="B3081" t="str">
        <f>+C3081&amp;D3081&amp;E3081&amp;F3081</f>
        <v>GlobalFeedstockHTL blend grade plant electricity demandMWh/ton fuel</v>
      </c>
      <c r="C3081" s="494" t="s">
        <v>109</v>
      </c>
      <c r="D3081" t="s">
        <v>777</v>
      </c>
      <c r="E3081" t="s">
        <v>1334</v>
      </c>
      <c r="F3081" t="s">
        <v>1298</v>
      </c>
      <c r="G3081" s="521">
        <f>INDEX('Fuel Model -  Input'!$B$3:$N$373,MATCH($B3081,'Fuel Model -  Input'!$B$3:$B$373,0),MATCH(G$2,'Fuel Model -  Input'!$B$3:$N$3,0))</f>
        <v>0.61572786086762299</v>
      </c>
      <c r="H3081" s="521">
        <f>INDEX('Fuel Model -  Input'!$B$3:$N$373,MATCH($B3081,'Fuel Model -  Input'!$B$3:$B$373,0),MATCH(H$2,'Fuel Model -  Input'!$B$3:$N$3,0))</f>
        <v>0.61572786086762299</v>
      </c>
      <c r="I3081" s="521">
        <f>INDEX('Fuel Model -  Input'!$B$3:$N$373,MATCH($B3081,'Fuel Model -  Input'!$B$3:$B$373,0),MATCH(I$2,'Fuel Model -  Input'!$B$3:$N$3,0))</f>
        <v>0.61347529142651824</v>
      </c>
      <c r="J3081" s="521">
        <f>INDEX('Fuel Model -  Input'!$B$3:$N$373,MATCH($B3081,'Fuel Model -  Input'!$B$3:$B$373,0),MATCH(J$2,'Fuel Model -  Input'!$B$3:$N$3,0))</f>
        <v>0.6112227219854135</v>
      </c>
      <c r="K3081" s="521">
        <f>INDEX('Fuel Model -  Input'!$B$3:$N$373,MATCH($B3081,'Fuel Model -  Input'!$B$3:$B$373,0),MATCH(K$2,'Fuel Model -  Input'!$B$3:$N$3,0))</f>
        <v>0.60897015254430864</v>
      </c>
      <c r="L3081" s="521">
        <f>INDEX('Fuel Model -  Input'!$B$3:$N$373,MATCH($B3081,'Fuel Model -  Input'!$B$3:$B$373,0),MATCH(L$2,'Fuel Model -  Input'!$B$3:$N$3,0))</f>
        <v>0.60671758310320389</v>
      </c>
      <c r="M3081" s="521">
        <f>INDEX('Fuel Model -  Input'!$B$3:$N$373,MATCH($B3081,'Fuel Model -  Input'!$B$3:$B$373,0),MATCH(M$2,'Fuel Model -  Input'!$B$3:$N$3,0))</f>
        <v>0.60446501366209915</v>
      </c>
    </row>
    <row r="3082" spans="2:13" hidden="1" outlineLevel="2" x14ac:dyDescent="0.2">
      <c r="B3082" t="str">
        <f>+C3082&amp;D3082&amp;E3082&amp;F3082</f>
        <v>Middle EastFeedstockElectricityUSD/MWh</v>
      </c>
      <c r="C3082" s="494" t="str">
        <f>+$C$2852</f>
        <v>Middle East</v>
      </c>
      <c r="D3082" t="s">
        <v>777</v>
      </c>
      <c r="E3082" s="48" t="s">
        <v>54</v>
      </c>
      <c r="F3082" s="128" t="s">
        <v>196</v>
      </c>
      <c r="G3082" s="532">
        <f>INDEX('Fuel Model -  Input'!$B$3:$N$373,MATCH($B3082,'Fuel Model -  Input'!$B$3:$B$373,0),MATCH(G$2,'Fuel Model -  Input'!$B$3:$N$3,0))</f>
        <v>41.921157991354328</v>
      </c>
      <c r="H3082" s="532">
        <f>INDEX('Fuel Model -  Input'!$B$3:$N$373,MATCH($B3082,'Fuel Model -  Input'!$B$3:$B$373,0),MATCH(H$2,'Fuel Model -  Input'!$B$3:$N$3,0))</f>
        <v>33.753089127704079</v>
      </c>
      <c r="I3082" s="532">
        <f>INDEX('Fuel Model -  Input'!$B$3:$N$373,MATCH($B3082,'Fuel Model -  Input'!$B$3:$B$373,0),MATCH(I$2,'Fuel Model -  Input'!$B$3:$N$3,0))</f>
        <v>28.34507912512213</v>
      </c>
      <c r="J3082" s="532">
        <f>INDEX('Fuel Model -  Input'!$B$3:$N$373,MATCH($B3082,'Fuel Model -  Input'!$B$3:$B$373,0),MATCH(J$2,'Fuel Model -  Input'!$B$3:$N$3,0))</f>
        <v>24.531808876328746</v>
      </c>
      <c r="K3082" s="532">
        <f>INDEX('Fuel Model -  Input'!$B$3:$N$373,MATCH($B3082,'Fuel Model -  Input'!$B$3:$B$373,0),MATCH(K$2,'Fuel Model -  Input'!$B$3:$N$3,0))</f>
        <v>22.619875270215999</v>
      </c>
      <c r="L3082" s="532">
        <f>INDEX('Fuel Model -  Input'!$B$3:$N$373,MATCH($B3082,'Fuel Model -  Input'!$B$3:$B$373,0),MATCH(L$2,'Fuel Model -  Input'!$B$3:$N$3,0))</f>
        <v>20.112573077486601</v>
      </c>
      <c r="M3082" s="532">
        <f>INDEX('Fuel Model -  Input'!$B$3:$N$373,MATCH($B3082,'Fuel Model -  Input'!$B$3:$B$373,0),MATCH(M$2,'Fuel Model -  Input'!$B$3:$N$3,0))</f>
        <v>18.93907699669392</v>
      </c>
    </row>
    <row r="3083" spans="2:13" hidden="1" outlineLevel="2" x14ac:dyDescent="0.2">
      <c r="C3083" s="494"/>
      <c r="E3083" s="48"/>
      <c r="F3083" s="128"/>
    </row>
    <row r="3084" spans="2:13" hidden="1" outlineLevel="2" x14ac:dyDescent="0.2">
      <c r="B3084" t="str">
        <f t="shared" ref="B3084:B3090" si="1775">+C3084&amp;D3084&amp;E3084&amp;F3084</f>
        <v>Middle EastFeedstockBiomass costUSD/ton HTL blend oil</v>
      </c>
      <c r="C3084" s="494" t="str">
        <f>+$C$2852</f>
        <v>Middle East</v>
      </c>
      <c r="D3084" t="s">
        <v>777</v>
      </c>
      <c r="E3084" s="48" t="s">
        <v>1237</v>
      </c>
      <c r="F3084" s="128" t="s">
        <v>1331</v>
      </c>
      <c r="G3084" s="8">
        <f>+G3085*G3087*G3088+G3086*G3089*G3090</f>
        <v>237.43786858319544</v>
      </c>
      <c r="H3084" s="8">
        <f t="shared" ref="H3084:M3084" si="1776">+H3085*H3087*H3088+H3086*H3089*H3090</f>
        <v>243.208927889037</v>
      </c>
      <c r="I3084" s="8">
        <f t="shared" si="1776"/>
        <v>248.97998719487856</v>
      </c>
      <c r="J3084" s="8">
        <f t="shared" si="1776"/>
        <v>254.75104650072012</v>
      </c>
      <c r="K3084" s="8">
        <f t="shared" si="1776"/>
        <v>261.96487063302203</v>
      </c>
      <c r="L3084" s="8">
        <f t="shared" si="1776"/>
        <v>267.73592993886359</v>
      </c>
      <c r="M3084" s="8">
        <f t="shared" si="1776"/>
        <v>273.50698924470515</v>
      </c>
    </row>
    <row r="3085" spans="2:13" hidden="1" outlineLevel="2" x14ac:dyDescent="0.2">
      <c r="B3085" t="str">
        <f t="shared" si="1775"/>
        <v>GlobalFeedstockDry wood biomass market share HTL blend%</v>
      </c>
      <c r="C3085" s="494" t="s">
        <v>109</v>
      </c>
      <c r="D3085" t="s">
        <v>777</v>
      </c>
      <c r="E3085" t="s">
        <v>1335</v>
      </c>
      <c r="F3085" t="s">
        <v>178</v>
      </c>
      <c r="G3085" s="531">
        <f>+INDEX('Fuel Model -  Input'!$B$3:$N$1312,MATCH($B3085,'Fuel Model -  Input'!$B$3:$B$1312,0),MATCH(G$2,'Fuel Model -  Input'!$B$3:$N$3,0))</f>
        <v>0.5</v>
      </c>
      <c r="H3085" s="531">
        <f>+INDEX('Fuel Model -  Input'!$B$3:$N$1312,MATCH($B3085,'Fuel Model -  Input'!$B$3:$B$1312,0),MATCH(H$2,'Fuel Model -  Input'!$B$3:$N$3,0))</f>
        <v>0.5</v>
      </c>
      <c r="I3085" s="531">
        <f>+INDEX('Fuel Model -  Input'!$B$3:$N$1312,MATCH($B3085,'Fuel Model -  Input'!$B$3:$B$1312,0),MATCH(I$2,'Fuel Model -  Input'!$B$3:$N$3,0))</f>
        <v>0.5</v>
      </c>
      <c r="J3085" s="531">
        <f>+INDEX('Fuel Model -  Input'!$B$3:$N$1312,MATCH($B3085,'Fuel Model -  Input'!$B$3:$B$1312,0),MATCH(J$2,'Fuel Model -  Input'!$B$3:$N$3,0))</f>
        <v>0.5</v>
      </c>
      <c r="K3085" s="531">
        <f>+INDEX('Fuel Model -  Input'!$B$3:$N$1312,MATCH($B3085,'Fuel Model -  Input'!$B$3:$B$1312,0),MATCH(K$2,'Fuel Model -  Input'!$B$3:$N$3,0))</f>
        <v>0.5</v>
      </c>
      <c r="L3085" s="531">
        <f>+INDEX('Fuel Model -  Input'!$B$3:$N$1312,MATCH($B3085,'Fuel Model -  Input'!$B$3:$B$1312,0),MATCH(L$2,'Fuel Model -  Input'!$B$3:$N$3,0))</f>
        <v>0.5</v>
      </c>
      <c r="M3085" s="531">
        <f>+INDEX('Fuel Model -  Input'!$B$3:$N$1312,MATCH($B3085,'Fuel Model -  Input'!$B$3:$B$1312,0),MATCH(M$2,'Fuel Model -  Input'!$B$3:$N$3,0))</f>
        <v>0.5</v>
      </c>
    </row>
    <row r="3086" spans="2:13" hidden="1" outlineLevel="2" x14ac:dyDescent="0.2">
      <c r="B3086" t="str">
        <f t="shared" si="1775"/>
        <v>GlobalFeedstockOrganic wet waste market share HTL blend%</v>
      </c>
      <c r="C3086" s="494" t="s">
        <v>109</v>
      </c>
      <c r="D3086" t="s">
        <v>777</v>
      </c>
      <c r="E3086" t="s">
        <v>1336</v>
      </c>
      <c r="F3086" t="s">
        <v>178</v>
      </c>
      <c r="G3086" s="531">
        <f>+INDEX('Fuel Model -  Input'!$B$3:$N$1312,MATCH($B3086,'Fuel Model -  Input'!$B$3:$B$1312,0),MATCH(G$2,'Fuel Model -  Input'!$B$3:$N$3,0))</f>
        <v>0.5</v>
      </c>
      <c r="H3086" s="531">
        <f>+INDEX('Fuel Model -  Input'!$B$3:$N$1312,MATCH($B3086,'Fuel Model -  Input'!$B$3:$B$1312,0),MATCH(H$2,'Fuel Model -  Input'!$B$3:$N$3,0))</f>
        <v>0.5</v>
      </c>
      <c r="I3086" s="531">
        <f>+INDEX('Fuel Model -  Input'!$B$3:$N$1312,MATCH($B3086,'Fuel Model -  Input'!$B$3:$B$1312,0),MATCH(I$2,'Fuel Model -  Input'!$B$3:$N$3,0))</f>
        <v>0.5</v>
      </c>
      <c r="J3086" s="531">
        <f>+INDEX('Fuel Model -  Input'!$B$3:$N$1312,MATCH($B3086,'Fuel Model -  Input'!$B$3:$B$1312,0),MATCH(J$2,'Fuel Model -  Input'!$B$3:$N$3,0))</f>
        <v>0.5</v>
      </c>
      <c r="K3086" s="531">
        <f>+INDEX('Fuel Model -  Input'!$B$3:$N$1312,MATCH($B3086,'Fuel Model -  Input'!$B$3:$B$1312,0),MATCH(K$2,'Fuel Model -  Input'!$B$3:$N$3,0))</f>
        <v>0.5</v>
      </c>
      <c r="L3086" s="531">
        <f>+INDEX('Fuel Model -  Input'!$B$3:$N$1312,MATCH($B3086,'Fuel Model -  Input'!$B$3:$B$1312,0),MATCH(L$2,'Fuel Model -  Input'!$B$3:$N$3,0))</f>
        <v>0.5</v>
      </c>
      <c r="M3086" s="531">
        <f>+INDEX('Fuel Model -  Input'!$B$3:$N$1312,MATCH($B3086,'Fuel Model -  Input'!$B$3:$B$1312,0),MATCH(M$2,'Fuel Model -  Input'!$B$3:$N$3,0))</f>
        <v>0.5</v>
      </c>
    </row>
    <row r="3087" spans="2:13" hidden="1" outlineLevel="2" x14ac:dyDescent="0.2">
      <c r="B3087" t="str">
        <f t="shared" si="1775"/>
        <v>GlobalFeedstockConversion Organic wet waste : HTL blend gradeTon feedstock / ton fuel</v>
      </c>
      <c r="C3087" s="494" t="s">
        <v>109</v>
      </c>
      <c r="D3087" t="s">
        <v>777</v>
      </c>
      <c r="E3087" t="s">
        <v>1337</v>
      </c>
      <c r="F3087" s="128" t="s">
        <v>1241</v>
      </c>
      <c r="G3087" s="521">
        <f>INDEX('Fuel Model -  Input'!$B$3:$N$373,MATCH($B3087,'Fuel Model -  Input'!$B$3:$B$373,0),MATCH(G$2,'Fuel Model -  Input'!$B$3:$N$3,0))</f>
        <v>3.0916389138436906</v>
      </c>
      <c r="H3087" s="521">
        <f>INDEX('Fuel Model -  Input'!$B$3:$N$373,MATCH($B3087,'Fuel Model -  Input'!$B$3:$B$373,0),MATCH(H$2,'Fuel Model -  Input'!$B$3:$N$3,0))</f>
        <v>3.0916389138436906</v>
      </c>
      <c r="I3087" s="521">
        <f>INDEX('Fuel Model -  Input'!$B$3:$N$373,MATCH($B3087,'Fuel Model -  Input'!$B$3:$B$373,0),MATCH(I$2,'Fuel Model -  Input'!$B$3:$N$3,0))</f>
        <v>3.0916389138436906</v>
      </c>
      <c r="J3087" s="521">
        <f>INDEX('Fuel Model -  Input'!$B$3:$N$373,MATCH($B3087,'Fuel Model -  Input'!$B$3:$B$373,0),MATCH(J$2,'Fuel Model -  Input'!$B$3:$N$3,0))</f>
        <v>3.0916389138436906</v>
      </c>
      <c r="K3087" s="521">
        <f>INDEX('Fuel Model -  Input'!$B$3:$N$373,MATCH($B3087,'Fuel Model -  Input'!$B$3:$B$373,0),MATCH(K$2,'Fuel Model -  Input'!$B$3:$N$3,0))</f>
        <v>3.0916389138436906</v>
      </c>
      <c r="L3087" s="521">
        <f>INDEX('Fuel Model -  Input'!$B$3:$N$373,MATCH($B3087,'Fuel Model -  Input'!$B$3:$B$373,0),MATCH(L$2,'Fuel Model -  Input'!$B$3:$N$3,0))</f>
        <v>3.0916389138436906</v>
      </c>
      <c r="M3087" s="521">
        <f>INDEX('Fuel Model -  Input'!$B$3:$N$373,MATCH($B3087,'Fuel Model -  Input'!$B$3:$B$373,0),MATCH(M$2,'Fuel Model -  Input'!$B$3:$N$3,0))</f>
        <v>3.0916389138436906</v>
      </c>
    </row>
    <row r="3088" spans="2:13" hidden="1" outlineLevel="2" x14ac:dyDescent="0.2">
      <c r="B3088" t="str">
        <f t="shared" si="1775"/>
        <v>Middle EastFeedstockCost of Organic wet wasteUSD/ton</v>
      </c>
      <c r="C3088" s="494" t="str">
        <f>+$C$2852</f>
        <v>Middle East</v>
      </c>
      <c r="D3088" t="s">
        <v>777</v>
      </c>
      <c r="E3088" s="48" t="s">
        <v>1242</v>
      </c>
      <c r="F3088" s="450" t="s">
        <v>205</v>
      </c>
      <c r="G3088" s="532">
        <f>INDEX('Fuel Model -  Input'!$B$3:$N$373,MATCH($B3088,'Fuel Model -  Input'!$B$3:$B$373,0),MATCH(G$2,'Fuel Model -  Input'!$B$3:$N$3,0))</f>
        <v>50</v>
      </c>
      <c r="H3088" s="532">
        <f>INDEX('Fuel Model -  Input'!$B$3:$N$373,MATCH($B3088,'Fuel Model -  Input'!$B$3:$B$373,0),MATCH(H$2,'Fuel Model -  Input'!$B$3:$N$3,0))</f>
        <v>50</v>
      </c>
      <c r="I3088" s="532">
        <f>INDEX('Fuel Model -  Input'!$B$3:$N$373,MATCH($B3088,'Fuel Model -  Input'!$B$3:$B$373,0),MATCH(I$2,'Fuel Model -  Input'!$B$3:$N$3,0))</f>
        <v>50</v>
      </c>
      <c r="J3088" s="532">
        <f>INDEX('Fuel Model -  Input'!$B$3:$N$373,MATCH($B3088,'Fuel Model -  Input'!$B$3:$B$373,0),MATCH(J$2,'Fuel Model -  Input'!$B$3:$N$3,0))</f>
        <v>50</v>
      </c>
      <c r="K3088" s="532">
        <f>INDEX('Fuel Model -  Input'!$B$3:$N$373,MATCH($B3088,'Fuel Model -  Input'!$B$3:$B$373,0),MATCH(K$2,'Fuel Model -  Input'!$B$3:$N$3,0))</f>
        <v>50</v>
      </c>
      <c r="L3088" s="532">
        <f>INDEX('Fuel Model -  Input'!$B$3:$N$373,MATCH($B3088,'Fuel Model -  Input'!$B$3:$B$373,0),MATCH(L$2,'Fuel Model -  Input'!$B$3:$N$3,0))</f>
        <v>50</v>
      </c>
      <c r="M3088" s="532">
        <f>INDEX('Fuel Model -  Input'!$B$3:$N$373,MATCH($B3088,'Fuel Model -  Input'!$B$3:$B$373,0),MATCH(M$2,'Fuel Model -  Input'!$B$3:$N$3,0))</f>
        <v>50</v>
      </c>
    </row>
    <row r="3089" spans="2:13" hidden="1" outlineLevel="2" x14ac:dyDescent="0.2">
      <c r="B3089" t="str">
        <f t="shared" si="1775"/>
        <v>GlobalFeedstockConversion Dry Wood biomass : HTL blend gradeTon feedstock / ton fuel</v>
      </c>
      <c r="C3089" s="494" t="s">
        <v>109</v>
      </c>
      <c r="D3089" t="s">
        <v>777</v>
      </c>
      <c r="E3089" s="48" t="s">
        <v>1338</v>
      </c>
      <c r="F3089" s="128" t="s">
        <v>1241</v>
      </c>
      <c r="G3089" s="521">
        <f>INDEX('Fuel Model -  Input'!$B$3:$N$373,MATCH($B3089,'Fuel Model -  Input'!$B$3:$B$373,0),MATCH(G$2,'Fuel Model -  Input'!$B$3:$N$3,0))</f>
        <v>2.8855296529207779</v>
      </c>
      <c r="H3089" s="521">
        <f>INDEX('Fuel Model -  Input'!$B$3:$N$373,MATCH($B3089,'Fuel Model -  Input'!$B$3:$B$373,0),MATCH(H$2,'Fuel Model -  Input'!$B$3:$N$3,0))</f>
        <v>2.8855296529207779</v>
      </c>
      <c r="I3089" s="521">
        <f>INDEX('Fuel Model -  Input'!$B$3:$N$373,MATCH($B3089,'Fuel Model -  Input'!$B$3:$B$373,0),MATCH(I$2,'Fuel Model -  Input'!$B$3:$N$3,0))</f>
        <v>2.8855296529207779</v>
      </c>
      <c r="J3089" s="521">
        <f>INDEX('Fuel Model -  Input'!$B$3:$N$373,MATCH($B3089,'Fuel Model -  Input'!$B$3:$B$373,0),MATCH(J$2,'Fuel Model -  Input'!$B$3:$N$3,0))</f>
        <v>2.8855296529207779</v>
      </c>
      <c r="K3089" s="521">
        <f>INDEX('Fuel Model -  Input'!$B$3:$N$373,MATCH($B3089,'Fuel Model -  Input'!$B$3:$B$373,0),MATCH(K$2,'Fuel Model -  Input'!$B$3:$N$3,0))</f>
        <v>2.8855296529207779</v>
      </c>
      <c r="L3089" s="521">
        <f>INDEX('Fuel Model -  Input'!$B$3:$N$373,MATCH($B3089,'Fuel Model -  Input'!$B$3:$B$373,0),MATCH(L$2,'Fuel Model -  Input'!$B$3:$N$3,0))</f>
        <v>2.8855296529207779</v>
      </c>
      <c r="M3089" s="521">
        <f>INDEX('Fuel Model -  Input'!$B$3:$N$373,MATCH($B3089,'Fuel Model -  Input'!$B$3:$B$373,0),MATCH(M$2,'Fuel Model -  Input'!$B$3:$N$3,0))</f>
        <v>2.8855296529207779</v>
      </c>
    </row>
    <row r="3090" spans="2:13" hidden="1" outlineLevel="2" x14ac:dyDescent="0.2">
      <c r="B3090" t="str">
        <f t="shared" si="1775"/>
        <v>Middle EastFeedstockCost of Wood biomassUSD/ton Wood</v>
      </c>
      <c r="C3090" s="494" t="str">
        <f>+$C$2852</f>
        <v>Middle East</v>
      </c>
      <c r="D3090" t="s">
        <v>777</v>
      </c>
      <c r="E3090" s="48" t="s">
        <v>1244</v>
      </c>
      <c r="F3090" s="128" t="s">
        <v>1245</v>
      </c>
      <c r="G3090" s="532">
        <f>+INDEX('Fuel Model -  Input'!$B$3:$N$373,MATCH($B3090,'Fuel Model -  Input'!$B$3:$B$373,0),MATCH(G$2,'Fuel Model -  Input'!$B$3:$N$3,0))</f>
        <v>111</v>
      </c>
      <c r="H3090" s="532">
        <f>+INDEX('Fuel Model -  Input'!$B$3:$N$373,MATCH($B3090,'Fuel Model -  Input'!$B$3:$B$373,0),MATCH(H$2,'Fuel Model -  Input'!$B$3:$N$3,0))</f>
        <v>115</v>
      </c>
      <c r="I3090" s="532">
        <f>+INDEX('Fuel Model -  Input'!$B$3:$N$373,MATCH($B3090,'Fuel Model -  Input'!$B$3:$B$373,0),MATCH(I$2,'Fuel Model -  Input'!$B$3:$N$3,0))</f>
        <v>119</v>
      </c>
      <c r="J3090" s="532">
        <f>+INDEX('Fuel Model -  Input'!$B$3:$N$373,MATCH($B3090,'Fuel Model -  Input'!$B$3:$B$373,0),MATCH(J$2,'Fuel Model -  Input'!$B$3:$N$3,0))</f>
        <v>123</v>
      </c>
      <c r="K3090" s="532">
        <f>+INDEX('Fuel Model -  Input'!$B$3:$N$373,MATCH($B3090,'Fuel Model -  Input'!$B$3:$B$373,0),MATCH(K$2,'Fuel Model -  Input'!$B$3:$N$3,0))</f>
        <v>128</v>
      </c>
      <c r="L3090" s="532">
        <f>+INDEX('Fuel Model -  Input'!$B$3:$N$373,MATCH($B3090,'Fuel Model -  Input'!$B$3:$B$373,0),MATCH(L$2,'Fuel Model -  Input'!$B$3:$N$3,0))</f>
        <v>132</v>
      </c>
      <c r="M3090" s="532">
        <f>+INDEX('Fuel Model -  Input'!$B$3:$N$373,MATCH($B3090,'Fuel Model -  Input'!$B$3:$B$373,0),MATCH(M$2,'Fuel Model -  Input'!$B$3:$N$3,0))</f>
        <v>136</v>
      </c>
    </row>
    <row r="3091" spans="2:13" hidden="1" outlineLevel="1" x14ac:dyDescent="0.2">
      <c r="E3091" s="48"/>
      <c r="F3091" s="128"/>
    </row>
    <row r="3092" spans="2:13" s="30" customFormat="1" ht="15" hidden="1" outlineLevel="1" collapsed="1" x14ac:dyDescent="0.25">
      <c r="B3092" s="30" t="s">
        <v>198</v>
      </c>
      <c r="C3092" s="30" t="str">
        <f>+B3092</f>
        <v>Asia</v>
      </c>
    </row>
    <row r="3093" spans="2:13" ht="15" hidden="1" outlineLevel="2" x14ac:dyDescent="0.25">
      <c r="B3093" t="str">
        <f>+C3093&amp;D3093&amp;E3093&amp;F3093</f>
        <v>AsiaResultsTotal cost of Biodiesel (HtL blend)USD/ton</v>
      </c>
      <c r="C3093" s="494" t="str">
        <f>+$C$2887</f>
        <v>Asia</v>
      </c>
      <c r="D3093" s="30" t="s">
        <v>838</v>
      </c>
      <c r="E3093" s="405" t="s">
        <v>1319</v>
      </c>
      <c r="F3093" s="127" t="s">
        <v>205</v>
      </c>
      <c r="G3093" s="490">
        <f>SUM(G3094:G3097)</f>
        <v>1520.1992270207265</v>
      </c>
      <c r="H3093" s="490">
        <f t="shared" ref="H3093" si="1777">SUM(H3094:H3097)</f>
        <v>1006.4403713493222</v>
      </c>
      <c r="I3093" s="490">
        <f t="shared" ref="I3093" si="1778">SUM(I3094:I3097)</f>
        <v>598.12191362359215</v>
      </c>
      <c r="J3093" s="490">
        <f t="shared" ref="J3093" si="1779">SUM(J3094:J3097)</f>
        <v>583.55268718353966</v>
      </c>
      <c r="K3093" s="490">
        <f t="shared" ref="K3093" si="1780">SUM(K3094:K3097)</f>
        <v>577.68646149459323</v>
      </c>
      <c r="L3093" s="490">
        <f t="shared" ref="L3093" si="1781">SUM(L3094:L3097)</f>
        <v>571.20939483507232</v>
      </c>
      <c r="M3093" s="490">
        <f t="shared" ref="M3093" si="1782">SUM(M3094:M3097)</f>
        <v>565.80073118225937</v>
      </c>
    </row>
    <row r="3094" spans="2:13" ht="15" hidden="1" outlineLevel="2" x14ac:dyDescent="0.25">
      <c r="B3094" t="str">
        <f>+C3094&amp;D3094&amp;E3094&amp;F3094</f>
        <v>AsiaResultsTotal Capex Biodiesel (HtL blend)USD/ton</v>
      </c>
      <c r="C3094" s="494" t="str">
        <f>+$C$2887</f>
        <v>Asia</v>
      </c>
      <c r="D3094" s="30" t="s">
        <v>838</v>
      </c>
      <c r="E3094" s="228" t="s">
        <v>1320</v>
      </c>
      <c r="F3094" s="127" t="s">
        <v>205</v>
      </c>
      <c r="G3094" s="490">
        <f>+G3106*G3100</f>
        <v>404.521475058004</v>
      </c>
      <c r="H3094" s="490">
        <f t="shared" ref="H3094:M3094" si="1783">+H3106*H3100</f>
        <v>242.71288503480241</v>
      </c>
      <c r="I3094" s="490">
        <f t="shared" si="1783"/>
        <v>80.904295011600823</v>
      </c>
      <c r="J3094" s="490">
        <f t="shared" si="1783"/>
        <v>77.056818082617085</v>
      </c>
      <c r="K3094" s="490">
        <f t="shared" si="1783"/>
        <v>75.133079618125223</v>
      </c>
      <c r="L3094" s="490">
        <f t="shared" si="1783"/>
        <v>73.20934115363336</v>
      </c>
      <c r="M3094" s="490">
        <f t="shared" si="1783"/>
        <v>71.285602689141498</v>
      </c>
    </row>
    <row r="3095" spans="2:13" ht="15" hidden="1" outlineLevel="2" x14ac:dyDescent="0.25">
      <c r="B3095" t="str">
        <f>+C3095&amp;D3095&amp;E3095&amp;F3095</f>
        <v>AsiaResultsTotal Opex Biodiesel (HtL blend)USD/ton</v>
      </c>
      <c r="C3095" s="494" t="str">
        <f>+$C$2887</f>
        <v>Asia</v>
      </c>
      <c r="D3095" s="30" t="s">
        <v>838</v>
      </c>
      <c r="E3095" s="228" t="s">
        <v>1321</v>
      </c>
      <c r="F3095" s="127" t="s">
        <v>205</v>
      </c>
      <c r="G3095" s="490">
        <f>+G3110*G3100</f>
        <v>494.47915909065927</v>
      </c>
      <c r="H3095" s="490">
        <f t="shared" ref="H3095:M3095" si="1784">+H3110*H3100</f>
        <v>296.6874954543955</v>
      </c>
      <c r="I3095" s="490">
        <f t="shared" si="1784"/>
        <v>98.895831818131853</v>
      </c>
      <c r="J3095" s="490">
        <f t="shared" si="1784"/>
        <v>87.028331999956023</v>
      </c>
      <c r="K3095" s="490">
        <f t="shared" si="1784"/>
        <v>81.094582090868116</v>
      </c>
      <c r="L3095" s="490">
        <f t="shared" si="1784"/>
        <v>75.160832181780194</v>
      </c>
      <c r="M3095" s="490">
        <f t="shared" si="1784"/>
        <v>69.227082272692286</v>
      </c>
    </row>
    <row r="3096" spans="2:13" ht="15" hidden="1" outlineLevel="2" x14ac:dyDescent="0.25">
      <c r="B3096" t="str">
        <f>+C3096&amp;D3096&amp;E3096&amp;F3096</f>
        <v>AsiaResultsTotal RNE Biodiesel (HtL blend)USD/ton</v>
      </c>
      <c r="C3096" s="494" t="str">
        <f>+$C$2887</f>
        <v>Asia</v>
      </c>
      <c r="D3096" s="30" t="s">
        <v>838</v>
      </c>
      <c r="E3096" s="228" t="s">
        <v>1322</v>
      </c>
      <c r="F3096" s="127" t="s">
        <v>205</v>
      </c>
      <c r="G3096" s="490">
        <f>+G3112*G3100</f>
        <v>20.211066588618138</v>
      </c>
      <c r="H3096" s="490">
        <f t="shared" ref="H3096:M3096" si="1785">+H3112*H3100</f>
        <v>13.183524929165102</v>
      </c>
      <c r="I3096" s="490">
        <f t="shared" si="1785"/>
        <v>10.623795450002699</v>
      </c>
      <c r="J3096" s="490">
        <f t="shared" si="1785"/>
        <v>8.8840161041890457</v>
      </c>
      <c r="K3096" s="490">
        <f t="shared" si="1785"/>
        <v>7.9897491359016684</v>
      </c>
      <c r="L3096" s="490">
        <f t="shared" si="1785"/>
        <v>7.0617471276238284</v>
      </c>
      <c r="M3096" s="490">
        <f t="shared" si="1785"/>
        <v>6.6250421954698799</v>
      </c>
    </row>
    <row r="3097" spans="2:13" ht="15" hidden="1" outlineLevel="2" x14ac:dyDescent="0.25">
      <c r="B3097" t="str">
        <f>+C3097&amp;D3097&amp;E3097&amp;F3097</f>
        <v>AsiaResultsTotal Raw Material Biodiesel (HtL blend)USD/ton</v>
      </c>
      <c r="C3097" s="494" t="str">
        <f>+$C$2887</f>
        <v>Asia</v>
      </c>
      <c r="D3097" s="30" t="s">
        <v>838</v>
      </c>
      <c r="E3097" s="228" t="s">
        <v>1323</v>
      </c>
      <c r="F3097" s="127" t="s">
        <v>205</v>
      </c>
      <c r="G3097" s="490">
        <f>+G3116*G3100+G3101*G3102</f>
        <v>600.98752628344528</v>
      </c>
      <c r="H3097" s="490">
        <f t="shared" ref="H3097:M3097" si="1786">+H3116*H3100+H3101*H3102</f>
        <v>453.85646593095919</v>
      </c>
      <c r="I3097" s="490">
        <f t="shared" si="1786"/>
        <v>407.69799134385676</v>
      </c>
      <c r="J3097" s="490">
        <f t="shared" si="1786"/>
        <v>410.58352099677751</v>
      </c>
      <c r="K3097" s="490">
        <f t="shared" si="1786"/>
        <v>413.46905064969826</v>
      </c>
      <c r="L3097" s="490">
        <f t="shared" si="1786"/>
        <v>415.77747437203493</v>
      </c>
      <c r="M3097" s="490">
        <f t="shared" si="1786"/>
        <v>418.66300402495568</v>
      </c>
    </row>
    <row r="3098" spans="2:13" hidden="1" outlineLevel="2" x14ac:dyDescent="0.2">
      <c r="C3098" s="494"/>
      <c r="E3098" s="48"/>
      <c r="F3098" s="128"/>
      <c r="G3098" s="8"/>
      <c r="H3098" s="8"/>
      <c r="I3098" s="8"/>
      <c r="J3098" s="8"/>
      <c r="K3098" s="8"/>
      <c r="L3098" s="8"/>
      <c r="M3098" s="8"/>
    </row>
    <row r="3099" spans="2:13" hidden="1" outlineLevel="2" x14ac:dyDescent="0.2">
      <c r="B3099" t="str">
        <f>+C3099&amp;D3099&amp;E3099&amp;F3099</f>
        <v>AsiaResultsTotal cost of HTL Oil blend (60% LSFO)USD/ton</v>
      </c>
      <c r="C3099" s="494" t="str">
        <f>+$C$2887</f>
        <v>Asia</v>
      </c>
      <c r="D3099" t="s">
        <v>838</v>
      </c>
      <c r="E3099" s="48" t="s">
        <v>1324</v>
      </c>
      <c r="F3099" s="128" t="s">
        <v>205</v>
      </c>
      <c r="G3099" s="8">
        <f>+G3101*G3102+G3100*G3104</f>
        <v>1520.1992270207265</v>
      </c>
      <c r="H3099" s="8">
        <f t="shared" ref="H3099" si="1787">+H3101*H3102+H3100*H3104</f>
        <v>1006.4403713493223</v>
      </c>
      <c r="I3099" s="8">
        <f t="shared" ref="I3099" si="1788">+I3101*I3102+I3100*I3104</f>
        <v>598.12191362359204</v>
      </c>
      <c r="J3099" s="8">
        <f t="shared" ref="J3099" si="1789">+J3101*J3102+J3100*J3104</f>
        <v>583.55268718353966</v>
      </c>
      <c r="K3099" s="8">
        <f t="shared" ref="K3099" si="1790">+K3101*K3102+K3100*K3104</f>
        <v>577.68646149459323</v>
      </c>
      <c r="L3099" s="8">
        <f t="shared" ref="L3099" si="1791">+L3101*L3102+L3100*L3104</f>
        <v>571.20939483507232</v>
      </c>
      <c r="M3099" s="8">
        <f t="shared" ref="M3099" si="1792">+M3101*M3102+M3100*M3104</f>
        <v>565.80073118225937</v>
      </c>
    </row>
    <row r="3100" spans="2:13" hidden="1" outlineLevel="2" x14ac:dyDescent="0.2">
      <c r="B3100" t="str">
        <f>+C3100&amp;D3100&amp;E3100&amp;F3100</f>
        <v>GlobalFeedstockConversion HTL blend grade : HTL VLSFO blendTon feedstock / ton fuel</v>
      </c>
      <c r="C3100" s="494" t="s">
        <v>109</v>
      </c>
      <c r="D3100" t="s">
        <v>777</v>
      </c>
      <c r="E3100" t="s">
        <v>1325</v>
      </c>
      <c r="F3100" s="450" t="s">
        <v>1241</v>
      </c>
      <c r="G3100" s="521">
        <f>+INDEX('Fuel Model -  Input'!$B$3:$N$373,MATCH($B3100,'Fuel Model -  Input'!$B$3:$B$373,0),MATCH(G$2,'Fuel Model -  Input'!$B$3:$N$3,0))</f>
        <v>0.4</v>
      </c>
      <c r="H3100" s="521">
        <f>+INDEX('Fuel Model -  Input'!$B$3:$N$373,MATCH($B3100,'Fuel Model -  Input'!$B$3:$B$373,0),MATCH(H$2,'Fuel Model -  Input'!$B$3:$N$3,0))</f>
        <v>0.4</v>
      </c>
      <c r="I3100" s="521">
        <f>+INDEX('Fuel Model -  Input'!$B$3:$N$373,MATCH($B3100,'Fuel Model -  Input'!$B$3:$B$373,0),MATCH(I$2,'Fuel Model -  Input'!$B$3:$N$3,0))</f>
        <v>0.4</v>
      </c>
      <c r="J3100" s="521">
        <f>+INDEX('Fuel Model -  Input'!$B$3:$N$373,MATCH($B3100,'Fuel Model -  Input'!$B$3:$B$373,0),MATCH(J$2,'Fuel Model -  Input'!$B$3:$N$3,0))</f>
        <v>0.4</v>
      </c>
      <c r="K3100" s="521">
        <f>+INDEX('Fuel Model -  Input'!$B$3:$N$373,MATCH($B3100,'Fuel Model -  Input'!$B$3:$B$373,0),MATCH(K$2,'Fuel Model -  Input'!$B$3:$N$3,0))</f>
        <v>0.4</v>
      </c>
      <c r="L3100" s="521">
        <f>+INDEX('Fuel Model -  Input'!$B$3:$N$373,MATCH($B3100,'Fuel Model -  Input'!$B$3:$B$373,0),MATCH(L$2,'Fuel Model -  Input'!$B$3:$N$3,0))</f>
        <v>0.4</v>
      </c>
      <c r="M3100" s="521">
        <f>+INDEX('Fuel Model -  Input'!$B$3:$N$373,MATCH($B3100,'Fuel Model -  Input'!$B$3:$B$373,0),MATCH(M$2,'Fuel Model -  Input'!$B$3:$N$3,0))</f>
        <v>0.4</v>
      </c>
    </row>
    <row r="3101" spans="2:13" hidden="1" outlineLevel="2" x14ac:dyDescent="0.2">
      <c r="B3101" t="str">
        <f>+C3101&amp;D3101&amp;E3101&amp;F3101</f>
        <v>GlobalFeedstockConversion VLSFO : HTL VLSFO blendTon feedstock / ton fuel</v>
      </c>
      <c r="C3101" s="494" t="s">
        <v>109</v>
      </c>
      <c r="D3101" t="s">
        <v>777</v>
      </c>
      <c r="E3101" t="s">
        <v>1326</v>
      </c>
      <c r="F3101" s="450" t="s">
        <v>1241</v>
      </c>
      <c r="G3101" s="521">
        <f>+INDEX('Fuel Model -  Input'!$B$3:$N$373,MATCH($B3101,'Fuel Model -  Input'!$B$3:$B$373,0),MATCH(G$2,'Fuel Model -  Input'!$B$3:$N$3,0))</f>
        <v>0.6</v>
      </c>
      <c r="H3101" s="521">
        <f>+INDEX('Fuel Model -  Input'!$B$3:$N$373,MATCH($B3101,'Fuel Model -  Input'!$B$3:$B$373,0),MATCH(H$2,'Fuel Model -  Input'!$B$3:$N$3,0))</f>
        <v>0.6</v>
      </c>
      <c r="I3101" s="521">
        <f>+INDEX('Fuel Model -  Input'!$B$3:$N$373,MATCH($B3101,'Fuel Model -  Input'!$B$3:$B$373,0),MATCH(I$2,'Fuel Model -  Input'!$B$3:$N$3,0))</f>
        <v>0.6</v>
      </c>
      <c r="J3101" s="521">
        <f>+INDEX('Fuel Model -  Input'!$B$3:$N$373,MATCH($B3101,'Fuel Model -  Input'!$B$3:$B$373,0),MATCH(J$2,'Fuel Model -  Input'!$B$3:$N$3,0))</f>
        <v>0.6</v>
      </c>
      <c r="K3101" s="521">
        <f>+INDEX('Fuel Model -  Input'!$B$3:$N$373,MATCH($B3101,'Fuel Model -  Input'!$B$3:$B$373,0),MATCH(K$2,'Fuel Model -  Input'!$B$3:$N$3,0))</f>
        <v>0.6</v>
      </c>
      <c r="L3101" s="521">
        <f>+INDEX('Fuel Model -  Input'!$B$3:$N$373,MATCH($B3101,'Fuel Model -  Input'!$B$3:$B$373,0),MATCH(L$2,'Fuel Model -  Input'!$B$3:$N$3,0))</f>
        <v>0.6</v>
      </c>
      <c r="M3101" s="521">
        <f>+INDEX('Fuel Model -  Input'!$B$3:$N$373,MATCH($B3101,'Fuel Model -  Input'!$B$3:$B$373,0),MATCH(M$2,'Fuel Model -  Input'!$B$3:$N$3,0))</f>
        <v>0.6</v>
      </c>
    </row>
    <row r="3102" spans="2:13" hidden="1" outlineLevel="2" x14ac:dyDescent="0.2">
      <c r="B3102" t="str">
        <f>+C3102&amp;D3102&amp;E3102&amp;F3102</f>
        <v>AsiaResultsCost of LSFOUSD/ton</v>
      </c>
      <c r="C3102" s="494" t="str">
        <f>+$C$2887</f>
        <v>Asia</v>
      </c>
      <c r="D3102" t="s">
        <v>838</v>
      </c>
      <c r="E3102" t="s">
        <v>1135</v>
      </c>
      <c r="F3102" s="157" t="s">
        <v>205</v>
      </c>
      <c r="G3102" s="532">
        <f>+INDEX('Fuel Model -  Input'!$B$3:$N$373,MATCH($B3102,'Fuel Model -  Input'!$B$3:$B$373,0),MATCH(G$2,'Fuel Model -  Input'!$B$3:$N$3,0))</f>
        <v>884.71322310880964</v>
      </c>
      <c r="H3102" s="532">
        <f>+INDEX('Fuel Model -  Input'!$B$3:$N$373,MATCH($B3102,'Fuel Model -  Input'!$B$3:$B$373,0),MATCH(H$2,'Fuel Model -  Input'!$B$3:$N$3,0))</f>
        <v>634.68557309979826</v>
      </c>
      <c r="I3102" s="532">
        <f>+INDEX('Fuel Model -  Input'!$B$3:$N$373,MATCH($B3102,'Fuel Model -  Input'!$B$3:$B$373,0),MATCH(I$2,'Fuel Model -  Input'!$B$3:$N$3,0))</f>
        <v>553.90740925073305</v>
      </c>
      <c r="J3102" s="532">
        <f>+INDEX('Fuel Model -  Input'!$B$3:$N$373,MATCH($B3102,'Fuel Model -  Input'!$B$3:$B$373,0),MATCH(J$2,'Fuel Model -  Input'!$B$3:$N$3,0))</f>
        <v>553.90740925073305</v>
      </c>
      <c r="K3102" s="532">
        <f>+INDEX('Fuel Model -  Input'!$B$3:$N$373,MATCH($B3102,'Fuel Model -  Input'!$B$3:$B$373,0),MATCH(K$2,'Fuel Model -  Input'!$B$3:$N$3,0))</f>
        <v>553.90740925073305</v>
      </c>
      <c r="L3102" s="532">
        <f>+INDEX('Fuel Model -  Input'!$B$3:$N$373,MATCH($B3102,'Fuel Model -  Input'!$B$3:$B$373,0),MATCH(L$2,'Fuel Model -  Input'!$B$3:$N$3,0))</f>
        <v>553.90740925073305</v>
      </c>
      <c r="M3102" s="532">
        <f>+INDEX('Fuel Model -  Input'!$B$3:$N$373,MATCH($B3102,'Fuel Model -  Input'!$B$3:$B$373,0),MATCH(M$2,'Fuel Model -  Input'!$B$3:$N$3,0))</f>
        <v>553.90740925073305</v>
      </c>
    </row>
    <row r="3103" spans="2:13" hidden="1" outlineLevel="2" x14ac:dyDescent="0.2">
      <c r="C3103" s="494"/>
      <c r="E3103" s="48"/>
      <c r="F3103" s="128"/>
      <c r="G3103" s="524"/>
      <c r="H3103" s="524"/>
      <c r="I3103" s="524"/>
      <c r="J3103" s="524"/>
      <c r="K3103" s="524"/>
      <c r="L3103" s="524"/>
      <c r="M3103" s="524"/>
    </row>
    <row r="3104" spans="2:13" hidden="1" outlineLevel="2" x14ac:dyDescent="0.2">
      <c r="B3104" t="str">
        <f>+C3104&amp;D3104&amp;E3104&amp;F3104</f>
        <v>AsiaSubtotalSubtotal - cost of HTL blend oil feedstockUSD/ton HTL blend oil feedstock</v>
      </c>
      <c r="C3104" s="494" t="str">
        <f>+$C$2887</f>
        <v>Asia</v>
      </c>
      <c r="D3104" t="s">
        <v>1327</v>
      </c>
      <c r="E3104" s="48" t="s">
        <v>1328</v>
      </c>
      <c r="F3104" s="128" t="s">
        <v>1329</v>
      </c>
      <c r="G3104" s="8">
        <f>+SUM(G3106,G3112,G3116,G3110)</f>
        <v>2473.428232888602</v>
      </c>
      <c r="H3104" s="8">
        <f t="shared" ref="H3104:M3104" si="1793">+SUM(H3106,H3112,H3116,H3110)</f>
        <v>1564.0725687236081</v>
      </c>
      <c r="I3104" s="8">
        <f t="shared" si="1793"/>
        <v>664.44367018288062</v>
      </c>
      <c r="J3104" s="8">
        <f t="shared" si="1793"/>
        <v>628.02060408274951</v>
      </c>
      <c r="K3104" s="8">
        <f t="shared" si="1793"/>
        <v>613.35503986038361</v>
      </c>
      <c r="L3104" s="8">
        <f t="shared" si="1793"/>
        <v>597.1623732115811</v>
      </c>
      <c r="M3104" s="8">
        <f t="shared" si="1793"/>
        <v>583.64071407954873</v>
      </c>
    </row>
    <row r="3105" spans="2:13" hidden="1" outlineLevel="2" x14ac:dyDescent="0.2">
      <c r="C3105" s="494"/>
      <c r="E3105" s="48"/>
      <c r="F3105" s="128"/>
      <c r="G3105" s="8"/>
      <c r="H3105" s="8"/>
      <c r="I3105" s="8"/>
      <c r="J3105" s="8"/>
      <c r="K3105" s="8"/>
      <c r="L3105" s="8"/>
      <c r="M3105" s="8"/>
    </row>
    <row r="3106" spans="2:13" hidden="1" outlineLevel="2" x14ac:dyDescent="0.2">
      <c r="B3106" t="str">
        <f>+C3106&amp;D3106&amp;E3106&amp;F3106</f>
        <v>AsiaHTL PlantAnnual capex (HTL blend)USD/ton HTL blend oil</v>
      </c>
      <c r="C3106" s="494" t="str">
        <f>+$C$2887</f>
        <v>Asia</v>
      </c>
      <c r="D3106" t="s">
        <v>1288</v>
      </c>
      <c r="E3106" s="48" t="s">
        <v>1330</v>
      </c>
      <c r="F3106" s="128" t="s">
        <v>1331</v>
      </c>
      <c r="G3106" s="8">
        <f t="shared" ref="G3106:M3106" si="1794">G3108/G3107</f>
        <v>1011.30368764501</v>
      </c>
      <c r="H3106" s="8">
        <f t="shared" si="1794"/>
        <v>606.78221258700603</v>
      </c>
      <c r="I3106" s="8">
        <f t="shared" si="1794"/>
        <v>202.26073752900203</v>
      </c>
      <c r="J3106" s="8">
        <f t="shared" si="1794"/>
        <v>192.64204520654269</v>
      </c>
      <c r="K3106" s="8">
        <f t="shared" si="1794"/>
        <v>187.83269904531303</v>
      </c>
      <c r="L3106" s="8">
        <f t="shared" si="1794"/>
        <v>183.02335288408338</v>
      </c>
      <c r="M3106" s="8">
        <f t="shared" si="1794"/>
        <v>178.21400672285372</v>
      </c>
    </row>
    <row r="3107" spans="2:13" hidden="1" outlineLevel="2" x14ac:dyDescent="0.2">
      <c r="B3107" t="str">
        <f>+C3107&amp;D3107&amp;E3107&amp;F3107</f>
        <v>GlobalPlant capexAnnualisation factor#</v>
      </c>
      <c r="C3107" s="494" t="s">
        <v>109</v>
      </c>
      <c r="D3107" t="s">
        <v>786</v>
      </c>
      <c r="E3107" t="s">
        <v>764</v>
      </c>
      <c r="F3107" s="450" t="s">
        <v>787</v>
      </c>
      <c r="G3107" s="532">
        <f>+INDEX('Fuel Model -  Input'!$B$3:$N$373,MATCH($B3107,'Fuel Model -  Input'!$B$3:$B$373,0),MATCH(G$2,'Fuel Model -  Input'!$B$3:$N$3,0))</f>
        <v>11.32075471698113</v>
      </c>
      <c r="H3107" s="532">
        <f>+INDEX('Fuel Model -  Input'!$B$3:$N$373,MATCH($B3107,'Fuel Model -  Input'!$B$3:$B$373,0),MATCH(H$2,'Fuel Model -  Input'!$B$3:$N$3,0))</f>
        <v>11.32075471698113</v>
      </c>
      <c r="I3107" s="532">
        <f>+INDEX('Fuel Model -  Input'!$B$3:$N$373,MATCH($B3107,'Fuel Model -  Input'!$B$3:$B$373,0),MATCH(I$2,'Fuel Model -  Input'!$B$3:$N$3,0))</f>
        <v>11.32075471698113</v>
      </c>
      <c r="J3107" s="532">
        <f>+INDEX('Fuel Model -  Input'!$B$3:$N$373,MATCH($B3107,'Fuel Model -  Input'!$B$3:$B$373,0),MATCH(J$2,'Fuel Model -  Input'!$B$3:$N$3,0))</f>
        <v>11.32075471698113</v>
      </c>
      <c r="K3107" s="532">
        <f>+INDEX('Fuel Model -  Input'!$B$3:$N$373,MATCH($B3107,'Fuel Model -  Input'!$B$3:$B$373,0),MATCH(K$2,'Fuel Model -  Input'!$B$3:$N$3,0))</f>
        <v>11.32075471698113</v>
      </c>
      <c r="L3107" s="532">
        <f>+INDEX('Fuel Model -  Input'!$B$3:$N$373,MATCH($B3107,'Fuel Model -  Input'!$B$3:$B$373,0),MATCH(L$2,'Fuel Model -  Input'!$B$3:$N$3,0))</f>
        <v>11.32075471698113</v>
      </c>
      <c r="M3107" s="532">
        <f>+INDEX('Fuel Model -  Input'!$B$3:$N$373,MATCH($B3107,'Fuel Model -  Input'!$B$3:$B$373,0),MATCH(M$2,'Fuel Model -  Input'!$B$3:$N$3,0))</f>
        <v>11.32075471698113</v>
      </c>
    </row>
    <row r="3108" spans="2:13" hidden="1" outlineLevel="2" x14ac:dyDescent="0.2">
      <c r="B3108" t="str">
        <f>+C3108&amp;D3108&amp;E3108&amp;F3108</f>
        <v>GlobalCAPEXHTL blend grade plantUSD/ton HTL blend oil capacity</v>
      </c>
      <c r="C3108" s="494" t="s">
        <v>109</v>
      </c>
      <c r="D3108" t="s">
        <v>50</v>
      </c>
      <c r="E3108" t="s">
        <v>1332</v>
      </c>
      <c r="F3108" s="157" t="s">
        <v>1333</v>
      </c>
      <c r="G3108" s="532">
        <f>+INDEX('Fuel Model -  Input'!$B$3:$N$373,MATCH($B3108,'Fuel Model -  Input'!$B$3:$B$373,0),MATCH(G$2,'Fuel Model -  Input'!$B$3:$N$3,0))</f>
        <v>11448.720992207658</v>
      </c>
      <c r="H3108" s="532">
        <f>+INDEX('Fuel Model -  Input'!$B$3:$N$373,MATCH($B3108,'Fuel Model -  Input'!$B$3:$B$373,0),MATCH(H$2,'Fuel Model -  Input'!$B$3:$N$3,0))</f>
        <v>6869.2325953245954</v>
      </c>
      <c r="I3108" s="532">
        <f>+INDEX('Fuel Model -  Input'!$B$3:$N$373,MATCH($B3108,'Fuel Model -  Input'!$B$3:$B$373,0),MATCH(I$2,'Fuel Model -  Input'!$B$3:$N$3,0))</f>
        <v>2289.7441984415318</v>
      </c>
      <c r="J3108" s="532">
        <f>+INDEX('Fuel Model -  Input'!$B$3:$N$373,MATCH($B3108,'Fuel Model -  Input'!$B$3:$B$373,0),MATCH(J$2,'Fuel Model -  Input'!$B$3:$N$3,0))</f>
        <v>2180.8533419608602</v>
      </c>
      <c r="K3108" s="532">
        <f>+INDEX('Fuel Model -  Input'!$B$3:$N$373,MATCH($B3108,'Fuel Model -  Input'!$B$3:$B$373,0),MATCH(K$2,'Fuel Model -  Input'!$B$3:$N$3,0))</f>
        <v>2126.4079137205244</v>
      </c>
      <c r="L3108" s="532">
        <f>+INDEX('Fuel Model -  Input'!$B$3:$N$373,MATCH($B3108,'Fuel Model -  Input'!$B$3:$B$373,0),MATCH(L$2,'Fuel Model -  Input'!$B$3:$N$3,0))</f>
        <v>2071.9624854801887</v>
      </c>
      <c r="M3108" s="532">
        <f>+INDEX('Fuel Model -  Input'!$B$3:$N$373,MATCH($B3108,'Fuel Model -  Input'!$B$3:$B$373,0),MATCH(M$2,'Fuel Model -  Input'!$B$3:$N$3,0))</f>
        <v>2017.5170572398531</v>
      </c>
    </row>
    <row r="3109" spans="2:13" hidden="1" outlineLevel="2" x14ac:dyDescent="0.2">
      <c r="C3109" s="494"/>
      <c r="E3109" s="48"/>
      <c r="F3109" s="128"/>
      <c r="G3109" s="524"/>
      <c r="H3109" s="524"/>
      <c r="I3109" s="524"/>
      <c r="J3109" s="524"/>
      <c r="K3109" s="524"/>
      <c r="L3109" s="524"/>
      <c r="M3109" s="524"/>
    </row>
    <row r="3110" spans="2:13" hidden="1" outlineLevel="2" x14ac:dyDescent="0.2">
      <c r="B3110" t="str">
        <f>+C3110&amp;D3110&amp;E3110&amp;F3110</f>
        <v>GlobalOPEXPlant opexUSD/ton HTL blend oil</v>
      </c>
      <c r="C3110" s="494" t="s">
        <v>109</v>
      </c>
      <c r="D3110" t="s">
        <v>319</v>
      </c>
      <c r="E3110" t="s">
        <v>1293</v>
      </c>
      <c r="F3110" s="128" t="s">
        <v>1331</v>
      </c>
      <c r="G3110" s="532">
        <f>+INDEX('Fuel Model -  Input'!$B$3:$N$373,MATCH($B3110,'Fuel Model -  Input'!$B$3:$B$373,0),MATCH(G$2,'Fuel Model -  Input'!$B$3:$N$3,0))</f>
        <v>1236.1978977266481</v>
      </c>
      <c r="H3110" s="532">
        <f>+INDEX('Fuel Model -  Input'!$B$3:$N$373,MATCH($B3110,'Fuel Model -  Input'!$B$3:$B$373,0),MATCH(H$2,'Fuel Model -  Input'!$B$3:$N$3,0))</f>
        <v>741.71873863598876</v>
      </c>
      <c r="I3110" s="532">
        <f>+INDEX('Fuel Model -  Input'!$B$3:$N$373,MATCH($B3110,'Fuel Model -  Input'!$B$3:$B$373,0),MATCH(I$2,'Fuel Model -  Input'!$B$3:$N$3,0))</f>
        <v>247.2395795453296</v>
      </c>
      <c r="J3110" s="532">
        <f>+INDEX('Fuel Model -  Input'!$B$3:$N$373,MATCH($B3110,'Fuel Model -  Input'!$B$3:$B$373,0),MATCH(J$2,'Fuel Model -  Input'!$B$3:$N$3,0))</f>
        <v>217.57082999989004</v>
      </c>
      <c r="K3110" s="532">
        <f>+INDEX('Fuel Model -  Input'!$B$3:$N$373,MATCH($B3110,'Fuel Model -  Input'!$B$3:$B$373,0),MATCH(K$2,'Fuel Model -  Input'!$B$3:$N$3,0))</f>
        <v>202.73645522717027</v>
      </c>
      <c r="L3110" s="532">
        <f>+INDEX('Fuel Model -  Input'!$B$3:$N$373,MATCH($B3110,'Fuel Model -  Input'!$B$3:$B$373,0),MATCH(L$2,'Fuel Model -  Input'!$B$3:$N$3,0))</f>
        <v>187.90208045445047</v>
      </c>
      <c r="M3110" s="532">
        <f>+INDEX('Fuel Model -  Input'!$B$3:$N$373,MATCH($B3110,'Fuel Model -  Input'!$B$3:$B$373,0),MATCH(M$2,'Fuel Model -  Input'!$B$3:$N$3,0))</f>
        <v>173.0677056817307</v>
      </c>
    </row>
    <row r="3111" spans="2:13" hidden="1" outlineLevel="2" x14ac:dyDescent="0.2">
      <c r="C3111" s="494"/>
      <c r="E3111" s="48"/>
      <c r="F3111" s="128"/>
      <c r="G3111" s="520"/>
      <c r="H3111" s="520"/>
      <c r="I3111" s="520"/>
      <c r="J3111" s="520"/>
      <c r="K3111" s="520"/>
      <c r="L3111" s="520"/>
      <c r="M3111" s="520"/>
    </row>
    <row r="3112" spans="2:13" hidden="1" outlineLevel="2" x14ac:dyDescent="0.2">
      <c r="B3112" t="str">
        <f>+C3112&amp;D3112&amp;E3112&amp;F3112</f>
        <v>AsiaElectricityTotal electricityUSD/ton HTL blend oil</v>
      </c>
      <c r="C3112" s="494" t="str">
        <f>+$C$2887</f>
        <v>Asia</v>
      </c>
      <c r="D3112" t="s">
        <v>54</v>
      </c>
      <c r="E3112" s="48" t="s">
        <v>1295</v>
      </c>
      <c r="F3112" s="128" t="s">
        <v>1331</v>
      </c>
      <c r="G3112" s="8">
        <f t="shared" ref="G3112:M3112" si="1795">G3114*G3113</f>
        <v>50.527666471545338</v>
      </c>
      <c r="H3112" s="8">
        <f t="shared" si="1795"/>
        <v>32.958812322912756</v>
      </c>
      <c r="I3112" s="8">
        <f t="shared" si="1795"/>
        <v>26.559488625006747</v>
      </c>
      <c r="J3112" s="8">
        <f t="shared" si="1795"/>
        <v>22.210040260472613</v>
      </c>
      <c r="K3112" s="8">
        <f t="shared" si="1795"/>
        <v>19.974372839754171</v>
      </c>
      <c r="L3112" s="8">
        <f t="shared" si="1795"/>
        <v>17.654367819059569</v>
      </c>
      <c r="M3112" s="8">
        <f t="shared" si="1795"/>
        <v>16.562605488674699</v>
      </c>
    </row>
    <row r="3113" spans="2:13" hidden="1" outlineLevel="2" x14ac:dyDescent="0.2">
      <c r="B3113" t="str">
        <f>+C3113&amp;D3113&amp;E3113&amp;F3113</f>
        <v>GlobalFeedstockHTL blend grade plant electricity demandMWh/ton fuel</v>
      </c>
      <c r="C3113" s="494" t="s">
        <v>109</v>
      </c>
      <c r="D3113" t="s">
        <v>777</v>
      </c>
      <c r="E3113" t="s">
        <v>1334</v>
      </c>
      <c r="F3113" t="s">
        <v>1298</v>
      </c>
      <c r="G3113" s="521">
        <f>INDEX('Fuel Model -  Input'!$B$3:$N$373,MATCH($B3113,'Fuel Model -  Input'!$B$3:$B$373,0),MATCH(G$2,'Fuel Model -  Input'!$B$3:$N$3,0))</f>
        <v>0.61572786086762299</v>
      </c>
      <c r="H3113" s="521">
        <f>INDEX('Fuel Model -  Input'!$B$3:$N$373,MATCH($B3113,'Fuel Model -  Input'!$B$3:$B$373,0),MATCH(H$2,'Fuel Model -  Input'!$B$3:$N$3,0))</f>
        <v>0.61572786086762299</v>
      </c>
      <c r="I3113" s="521">
        <f>INDEX('Fuel Model -  Input'!$B$3:$N$373,MATCH($B3113,'Fuel Model -  Input'!$B$3:$B$373,0),MATCH(I$2,'Fuel Model -  Input'!$B$3:$N$3,0))</f>
        <v>0.61347529142651824</v>
      </c>
      <c r="J3113" s="521">
        <f>INDEX('Fuel Model -  Input'!$B$3:$N$373,MATCH($B3113,'Fuel Model -  Input'!$B$3:$B$373,0),MATCH(J$2,'Fuel Model -  Input'!$B$3:$N$3,0))</f>
        <v>0.6112227219854135</v>
      </c>
      <c r="K3113" s="521">
        <f>INDEX('Fuel Model -  Input'!$B$3:$N$373,MATCH($B3113,'Fuel Model -  Input'!$B$3:$B$373,0),MATCH(K$2,'Fuel Model -  Input'!$B$3:$N$3,0))</f>
        <v>0.60897015254430864</v>
      </c>
      <c r="L3113" s="521">
        <f>INDEX('Fuel Model -  Input'!$B$3:$N$373,MATCH($B3113,'Fuel Model -  Input'!$B$3:$B$373,0),MATCH(L$2,'Fuel Model -  Input'!$B$3:$N$3,0))</f>
        <v>0.60671758310320389</v>
      </c>
      <c r="M3113" s="521">
        <f>INDEX('Fuel Model -  Input'!$B$3:$N$373,MATCH($B3113,'Fuel Model -  Input'!$B$3:$B$373,0),MATCH(M$2,'Fuel Model -  Input'!$B$3:$N$3,0))</f>
        <v>0.60446501366209915</v>
      </c>
    </row>
    <row r="3114" spans="2:13" hidden="1" outlineLevel="2" x14ac:dyDescent="0.2">
      <c r="B3114" t="str">
        <f>+C3114&amp;D3114&amp;E3114&amp;F3114</f>
        <v>AsiaFeedstockElectricityUSD/MWh</v>
      </c>
      <c r="C3114" s="494" t="str">
        <f>+$C$2887</f>
        <v>Asia</v>
      </c>
      <c r="D3114" t="s">
        <v>777</v>
      </c>
      <c r="E3114" s="48" t="s">
        <v>54</v>
      </c>
      <c r="F3114" s="128" t="s">
        <v>196</v>
      </c>
      <c r="G3114" s="532">
        <f>INDEX('Fuel Model -  Input'!$B$3:$N$373,MATCH($B3114,'Fuel Model -  Input'!$B$3:$B$373,0),MATCH(G$2,'Fuel Model -  Input'!$B$3:$N$3,0))</f>
        <v>82.061686148726054</v>
      </c>
      <c r="H3114" s="532">
        <f>INDEX('Fuel Model -  Input'!$B$3:$N$373,MATCH($B3114,'Fuel Model -  Input'!$B$3:$B$373,0),MATCH(H$2,'Fuel Model -  Input'!$B$3:$N$3,0))</f>
        <v>53.528213383864831</v>
      </c>
      <c r="I3114" s="532">
        <f>INDEX('Fuel Model -  Input'!$B$3:$N$373,MATCH($B3114,'Fuel Model -  Input'!$B$3:$B$373,0),MATCH(I$2,'Fuel Model -  Input'!$B$3:$N$3,0))</f>
        <v>43.29349363565693</v>
      </c>
      <c r="J3114" s="532">
        <f>INDEX('Fuel Model -  Input'!$B$3:$N$373,MATCH($B3114,'Fuel Model -  Input'!$B$3:$B$373,0),MATCH(J$2,'Fuel Model -  Input'!$B$3:$N$3,0))</f>
        <v>36.337065788929628</v>
      </c>
      <c r="K3114" s="532">
        <f>INDEX('Fuel Model -  Input'!$B$3:$N$373,MATCH($B3114,'Fuel Model -  Input'!$B$3:$B$373,0),MATCH(K$2,'Fuel Model -  Input'!$B$3:$N$3,0))</f>
        <v>32.800249332911001</v>
      </c>
      <c r="L3114" s="532">
        <f>INDEX('Fuel Model -  Input'!$B$3:$N$373,MATCH($B3114,'Fuel Model -  Input'!$B$3:$B$373,0),MATCH(L$2,'Fuel Model -  Input'!$B$3:$N$3,0))</f>
        <v>29.0981641388437</v>
      </c>
      <c r="M3114" s="532">
        <f>INDEX('Fuel Model -  Input'!$B$3:$N$373,MATCH($B3114,'Fuel Model -  Input'!$B$3:$B$373,0),MATCH(M$2,'Fuel Model -  Input'!$B$3:$N$3,0))</f>
        <v>27.400436938991028</v>
      </c>
    </row>
    <row r="3115" spans="2:13" hidden="1" outlineLevel="2" x14ac:dyDescent="0.2">
      <c r="C3115" s="494"/>
      <c r="E3115" s="48"/>
      <c r="F3115" s="128"/>
    </row>
    <row r="3116" spans="2:13" hidden="1" outlineLevel="2" x14ac:dyDescent="0.2">
      <c r="B3116" t="str">
        <f t="shared" ref="B3116:B3122" si="1796">+C3116&amp;D3116&amp;E3116&amp;F3116</f>
        <v>AsiaFeedstockBiomass costUSD/ton HTL blend oil</v>
      </c>
      <c r="C3116" s="494" t="str">
        <f>+$C$2887</f>
        <v>Asia</v>
      </c>
      <c r="D3116" t="s">
        <v>777</v>
      </c>
      <c r="E3116" s="48" t="s">
        <v>1237</v>
      </c>
      <c r="F3116" s="128" t="s">
        <v>1331</v>
      </c>
      <c r="G3116" s="8">
        <f>+G3117*G3119*G3120+G3118*G3121*G3122</f>
        <v>175.39898104539873</v>
      </c>
      <c r="H3116" s="8">
        <f t="shared" ref="H3116:M3116" si="1797">+H3117*H3119*H3120+H3118*H3121*H3122</f>
        <v>182.61280517770064</v>
      </c>
      <c r="I3116" s="8">
        <f t="shared" si="1797"/>
        <v>188.3838644835422</v>
      </c>
      <c r="J3116" s="8">
        <f t="shared" si="1797"/>
        <v>195.59768861584416</v>
      </c>
      <c r="K3116" s="8">
        <f t="shared" si="1797"/>
        <v>202.8115127481461</v>
      </c>
      <c r="L3116" s="8">
        <f t="shared" si="1797"/>
        <v>208.58257205398763</v>
      </c>
      <c r="M3116" s="8">
        <f t="shared" si="1797"/>
        <v>215.7963961862896</v>
      </c>
    </row>
    <row r="3117" spans="2:13" hidden="1" outlineLevel="2" x14ac:dyDescent="0.2">
      <c r="B3117" t="str">
        <f t="shared" si="1796"/>
        <v>GlobalFeedstockDry wood biomass market share HTL blend%</v>
      </c>
      <c r="C3117" s="494" t="s">
        <v>109</v>
      </c>
      <c r="D3117" t="s">
        <v>777</v>
      </c>
      <c r="E3117" t="s">
        <v>1335</v>
      </c>
      <c r="F3117" t="s">
        <v>178</v>
      </c>
      <c r="G3117" s="531">
        <f>+INDEX('Fuel Model -  Input'!$B$3:$N$1312,MATCH($B3117,'Fuel Model -  Input'!$B$3:$B$1312,0),MATCH(G$2,'Fuel Model -  Input'!$B$3:$N$3,0))</f>
        <v>0.5</v>
      </c>
      <c r="H3117" s="531">
        <f>+INDEX('Fuel Model -  Input'!$B$3:$N$1312,MATCH($B3117,'Fuel Model -  Input'!$B$3:$B$1312,0),MATCH(H$2,'Fuel Model -  Input'!$B$3:$N$3,0))</f>
        <v>0.5</v>
      </c>
      <c r="I3117" s="531">
        <f>+INDEX('Fuel Model -  Input'!$B$3:$N$1312,MATCH($B3117,'Fuel Model -  Input'!$B$3:$B$1312,0),MATCH(I$2,'Fuel Model -  Input'!$B$3:$N$3,0))</f>
        <v>0.5</v>
      </c>
      <c r="J3117" s="531">
        <f>+INDEX('Fuel Model -  Input'!$B$3:$N$1312,MATCH($B3117,'Fuel Model -  Input'!$B$3:$B$1312,0),MATCH(J$2,'Fuel Model -  Input'!$B$3:$N$3,0))</f>
        <v>0.5</v>
      </c>
      <c r="K3117" s="531">
        <f>+INDEX('Fuel Model -  Input'!$B$3:$N$1312,MATCH($B3117,'Fuel Model -  Input'!$B$3:$B$1312,0),MATCH(K$2,'Fuel Model -  Input'!$B$3:$N$3,0))</f>
        <v>0.5</v>
      </c>
      <c r="L3117" s="531">
        <f>+INDEX('Fuel Model -  Input'!$B$3:$N$1312,MATCH($B3117,'Fuel Model -  Input'!$B$3:$B$1312,0),MATCH(L$2,'Fuel Model -  Input'!$B$3:$N$3,0))</f>
        <v>0.5</v>
      </c>
      <c r="M3117" s="531">
        <f>+INDEX('Fuel Model -  Input'!$B$3:$N$1312,MATCH($B3117,'Fuel Model -  Input'!$B$3:$B$1312,0),MATCH(M$2,'Fuel Model -  Input'!$B$3:$N$3,0))</f>
        <v>0.5</v>
      </c>
    </row>
    <row r="3118" spans="2:13" hidden="1" outlineLevel="2" x14ac:dyDescent="0.2">
      <c r="B3118" t="str">
        <f t="shared" si="1796"/>
        <v>GlobalFeedstockOrganic wet waste market share HTL blend%</v>
      </c>
      <c r="C3118" s="494" t="s">
        <v>109</v>
      </c>
      <c r="D3118" t="s">
        <v>777</v>
      </c>
      <c r="E3118" t="s">
        <v>1336</v>
      </c>
      <c r="F3118" t="s">
        <v>178</v>
      </c>
      <c r="G3118" s="531">
        <f>+INDEX('Fuel Model -  Input'!$B$3:$N$1312,MATCH($B3118,'Fuel Model -  Input'!$B$3:$B$1312,0),MATCH(G$2,'Fuel Model -  Input'!$B$3:$N$3,0))</f>
        <v>0.5</v>
      </c>
      <c r="H3118" s="531">
        <f>+INDEX('Fuel Model -  Input'!$B$3:$N$1312,MATCH($B3118,'Fuel Model -  Input'!$B$3:$B$1312,0),MATCH(H$2,'Fuel Model -  Input'!$B$3:$N$3,0))</f>
        <v>0.5</v>
      </c>
      <c r="I3118" s="531">
        <f>+INDEX('Fuel Model -  Input'!$B$3:$N$1312,MATCH($B3118,'Fuel Model -  Input'!$B$3:$B$1312,0),MATCH(I$2,'Fuel Model -  Input'!$B$3:$N$3,0))</f>
        <v>0.5</v>
      </c>
      <c r="J3118" s="531">
        <f>+INDEX('Fuel Model -  Input'!$B$3:$N$1312,MATCH($B3118,'Fuel Model -  Input'!$B$3:$B$1312,0),MATCH(J$2,'Fuel Model -  Input'!$B$3:$N$3,0))</f>
        <v>0.5</v>
      </c>
      <c r="K3118" s="531">
        <f>+INDEX('Fuel Model -  Input'!$B$3:$N$1312,MATCH($B3118,'Fuel Model -  Input'!$B$3:$B$1312,0),MATCH(K$2,'Fuel Model -  Input'!$B$3:$N$3,0))</f>
        <v>0.5</v>
      </c>
      <c r="L3118" s="531">
        <f>+INDEX('Fuel Model -  Input'!$B$3:$N$1312,MATCH($B3118,'Fuel Model -  Input'!$B$3:$B$1312,0),MATCH(L$2,'Fuel Model -  Input'!$B$3:$N$3,0))</f>
        <v>0.5</v>
      </c>
      <c r="M3118" s="531">
        <f>+INDEX('Fuel Model -  Input'!$B$3:$N$1312,MATCH($B3118,'Fuel Model -  Input'!$B$3:$B$1312,0),MATCH(M$2,'Fuel Model -  Input'!$B$3:$N$3,0))</f>
        <v>0.5</v>
      </c>
    </row>
    <row r="3119" spans="2:13" hidden="1" outlineLevel="2" x14ac:dyDescent="0.2">
      <c r="B3119" t="str">
        <f t="shared" si="1796"/>
        <v>GlobalFeedstockConversion Organic wet waste : HTL blend gradeTon feedstock / ton fuel</v>
      </c>
      <c r="C3119" s="494" t="s">
        <v>109</v>
      </c>
      <c r="D3119" t="s">
        <v>777</v>
      </c>
      <c r="E3119" t="s">
        <v>1337</v>
      </c>
      <c r="F3119" s="128" t="s">
        <v>1241</v>
      </c>
      <c r="G3119" s="521">
        <f>INDEX('Fuel Model -  Input'!$B$3:$N$373,MATCH($B3119,'Fuel Model -  Input'!$B$3:$B$373,0),MATCH(G$2,'Fuel Model -  Input'!$B$3:$N$3,0))</f>
        <v>3.0916389138436906</v>
      </c>
      <c r="H3119" s="521">
        <f>INDEX('Fuel Model -  Input'!$B$3:$N$373,MATCH($B3119,'Fuel Model -  Input'!$B$3:$B$373,0),MATCH(H$2,'Fuel Model -  Input'!$B$3:$N$3,0))</f>
        <v>3.0916389138436906</v>
      </c>
      <c r="I3119" s="521">
        <f>INDEX('Fuel Model -  Input'!$B$3:$N$373,MATCH($B3119,'Fuel Model -  Input'!$B$3:$B$373,0),MATCH(I$2,'Fuel Model -  Input'!$B$3:$N$3,0))</f>
        <v>3.0916389138436906</v>
      </c>
      <c r="J3119" s="521">
        <f>INDEX('Fuel Model -  Input'!$B$3:$N$373,MATCH($B3119,'Fuel Model -  Input'!$B$3:$B$373,0),MATCH(J$2,'Fuel Model -  Input'!$B$3:$N$3,0))</f>
        <v>3.0916389138436906</v>
      </c>
      <c r="K3119" s="521">
        <f>INDEX('Fuel Model -  Input'!$B$3:$N$373,MATCH($B3119,'Fuel Model -  Input'!$B$3:$B$373,0),MATCH(K$2,'Fuel Model -  Input'!$B$3:$N$3,0))</f>
        <v>3.0916389138436906</v>
      </c>
      <c r="L3119" s="521">
        <f>INDEX('Fuel Model -  Input'!$B$3:$N$373,MATCH($B3119,'Fuel Model -  Input'!$B$3:$B$373,0),MATCH(L$2,'Fuel Model -  Input'!$B$3:$N$3,0))</f>
        <v>3.0916389138436906</v>
      </c>
      <c r="M3119" s="521">
        <f>INDEX('Fuel Model -  Input'!$B$3:$N$373,MATCH($B3119,'Fuel Model -  Input'!$B$3:$B$373,0),MATCH(M$2,'Fuel Model -  Input'!$B$3:$N$3,0))</f>
        <v>3.0916389138436906</v>
      </c>
    </row>
    <row r="3120" spans="2:13" hidden="1" outlineLevel="2" x14ac:dyDescent="0.2">
      <c r="B3120" t="str">
        <f t="shared" si="1796"/>
        <v>AsiaFeedstockCost of Organic wet wasteUSD/ton</v>
      </c>
      <c r="C3120" s="494" t="str">
        <f>+$C$2887</f>
        <v>Asia</v>
      </c>
      <c r="D3120" t="s">
        <v>777</v>
      </c>
      <c r="E3120" s="48" t="s">
        <v>1242</v>
      </c>
      <c r="F3120" s="450" t="s">
        <v>205</v>
      </c>
      <c r="G3120" s="532">
        <f>INDEX('Fuel Model -  Input'!$B$3:$N$373,MATCH($B3120,'Fuel Model -  Input'!$B$3:$B$373,0),MATCH(G$2,'Fuel Model -  Input'!$B$3:$N$3,0))</f>
        <v>50</v>
      </c>
      <c r="H3120" s="532">
        <f>INDEX('Fuel Model -  Input'!$B$3:$N$373,MATCH($B3120,'Fuel Model -  Input'!$B$3:$B$373,0),MATCH(H$2,'Fuel Model -  Input'!$B$3:$N$3,0))</f>
        <v>50</v>
      </c>
      <c r="I3120" s="532">
        <f>INDEX('Fuel Model -  Input'!$B$3:$N$373,MATCH($B3120,'Fuel Model -  Input'!$B$3:$B$373,0),MATCH(I$2,'Fuel Model -  Input'!$B$3:$N$3,0))</f>
        <v>50</v>
      </c>
      <c r="J3120" s="532">
        <f>INDEX('Fuel Model -  Input'!$B$3:$N$373,MATCH($B3120,'Fuel Model -  Input'!$B$3:$B$373,0),MATCH(J$2,'Fuel Model -  Input'!$B$3:$N$3,0))</f>
        <v>50</v>
      </c>
      <c r="K3120" s="532">
        <f>INDEX('Fuel Model -  Input'!$B$3:$N$373,MATCH($B3120,'Fuel Model -  Input'!$B$3:$B$373,0),MATCH(K$2,'Fuel Model -  Input'!$B$3:$N$3,0))</f>
        <v>50</v>
      </c>
      <c r="L3120" s="532">
        <f>INDEX('Fuel Model -  Input'!$B$3:$N$373,MATCH($B3120,'Fuel Model -  Input'!$B$3:$B$373,0),MATCH(L$2,'Fuel Model -  Input'!$B$3:$N$3,0))</f>
        <v>50</v>
      </c>
      <c r="M3120" s="532">
        <f>INDEX('Fuel Model -  Input'!$B$3:$N$373,MATCH($B3120,'Fuel Model -  Input'!$B$3:$B$373,0),MATCH(M$2,'Fuel Model -  Input'!$B$3:$N$3,0))</f>
        <v>50</v>
      </c>
    </row>
    <row r="3121" spans="2:13" hidden="1" outlineLevel="2" x14ac:dyDescent="0.2">
      <c r="B3121" t="str">
        <f t="shared" si="1796"/>
        <v>GlobalFeedstockConversion Dry Wood biomass : HTL blend gradeTon feedstock / ton fuel</v>
      </c>
      <c r="C3121" s="494" t="s">
        <v>109</v>
      </c>
      <c r="D3121" t="s">
        <v>777</v>
      </c>
      <c r="E3121" s="48" t="s">
        <v>1338</v>
      </c>
      <c r="F3121" s="128" t="s">
        <v>1241</v>
      </c>
      <c r="G3121" s="521">
        <f>INDEX('Fuel Model -  Input'!$B$3:$N$373,MATCH($B3121,'Fuel Model -  Input'!$B$3:$B$373,0),MATCH(G$2,'Fuel Model -  Input'!$B$3:$N$3,0))</f>
        <v>2.8855296529207779</v>
      </c>
      <c r="H3121" s="521">
        <f>INDEX('Fuel Model -  Input'!$B$3:$N$373,MATCH($B3121,'Fuel Model -  Input'!$B$3:$B$373,0),MATCH(H$2,'Fuel Model -  Input'!$B$3:$N$3,0))</f>
        <v>2.8855296529207779</v>
      </c>
      <c r="I3121" s="521">
        <f>INDEX('Fuel Model -  Input'!$B$3:$N$373,MATCH($B3121,'Fuel Model -  Input'!$B$3:$B$373,0),MATCH(I$2,'Fuel Model -  Input'!$B$3:$N$3,0))</f>
        <v>2.8855296529207779</v>
      </c>
      <c r="J3121" s="521">
        <f>INDEX('Fuel Model -  Input'!$B$3:$N$373,MATCH($B3121,'Fuel Model -  Input'!$B$3:$B$373,0),MATCH(J$2,'Fuel Model -  Input'!$B$3:$N$3,0))</f>
        <v>2.8855296529207779</v>
      </c>
      <c r="K3121" s="521">
        <f>INDEX('Fuel Model -  Input'!$B$3:$N$373,MATCH($B3121,'Fuel Model -  Input'!$B$3:$B$373,0),MATCH(K$2,'Fuel Model -  Input'!$B$3:$N$3,0))</f>
        <v>2.8855296529207779</v>
      </c>
      <c r="L3121" s="521">
        <f>INDEX('Fuel Model -  Input'!$B$3:$N$373,MATCH($B3121,'Fuel Model -  Input'!$B$3:$B$373,0),MATCH(L$2,'Fuel Model -  Input'!$B$3:$N$3,0))</f>
        <v>2.8855296529207779</v>
      </c>
      <c r="M3121" s="521">
        <f>INDEX('Fuel Model -  Input'!$B$3:$N$373,MATCH($B3121,'Fuel Model -  Input'!$B$3:$B$373,0),MATCH(M$2,'Fuel Model -  Input'!$B$3:$N$3,0))</f>
        <v>2.8855296529207779</v>
      </c>
    </row>
    <row r="3122" spans="2:13" hidden="1" outlineLevel="2" x14ac:dyDescent="0.2">
      <c r="B3122" t="str">
        <f t="shared" si="1796"/>
        <v>AsiaFeedstockCost of Wood biomassUSD/ton Wood</v>
      </c>
      <c r="C3122" s="494" t="str">
        <f>+$C$2887</f>
        <v>Asia</v>
      </c>
      <c r="D3122" t="s">
        <v>777</v>
      </c>
      <c r="E3122" s="48" t="s">
        <v>1244</v>
      </c>
      <c r="F3122" s="128" t="s">
        <v>1245</v>
      </c>
      <c r="G3122" s="532">
        <f>+INDEX('Fuel Model -  Input'!$B$3:$N$373,MATCH($B3122,'Fuel Model -  Input'!$B$3:$B$373,0),MATCH(G$2,'Fuel Model -  Input'!$B$3:$N$3,0))</f>
        <v>68</v>
      </c>
      <c r="H3122" s="532">
        <f>+INDEX('Fuel Model -  Input'!$B$3:$N$373,MATCH($B3122,'Fuel Model -  Input'!$B$3:$B$373,0),MATCH(H$2,'Fuel Model -  Input'!$B$3:$N$3,0))</f>
        <v>73</v>
      </c>
      <c r="I3122" s="532">
        <f>+INDEX('Fuel Model -  Input'!$B$3:$N$373,MATCH($B3122,'Fuel Model -  Input'!$B$3:$B$373,0),MATCH(I$2,'Fuel Model -  Input'!$B$3:$N$3,0))</f>
        <v>77</v>
      </c>
      <c r="J3122" s="532">
        <f>+INDEX('Fuel Model -  Input'!$B$3:$N$373,MATCH($B3122,'Fuel Model -  Input'!$B$3:$B$373,0),MATCH(J$2,'Fuel Model -  Input'!$B$3:$N$3,0))</f>
        <v>82</v>
      </c>
      <c r="K3122" s="532">
        <f>+INDEX('Fuel Model -  Input'!$B$3:$N$373,MATCH($B3122,'Fuel Model -  Input'!$B$3:$B$373,0),MATCH(K$2,'Fuel Model -  Input'!$B$3:$N$3,0))</f>
        <v>87</v>
      </c>
      <c r="L3122" s="532">
        <f>+INDEX('Fuel Model -  Input'!$B$3:$N$373,MATCH($B3122,'Fuel Model -  Input'!$B$3:$B$373,0),MATCH(L$2,'Fuel Model -  Input'!$B$3:$N$3,0))</f>
        <v>91</v>
      </c>
      <c r="M3122" s="532">
        <f>+INDEX('Fuel Model -  Input'!$B$3:$N$373,MATCH($B3122,'Fuel Model -  Input'!$B$3:$B$373,0),MATCH(M$2,'Fuel Model -  Input'!$B$3:$N$3,0))</f>
        <v>96</v>
      </c>
    </row>
    <row r="3123" spans="2:13" hidden="1" outlineLevel="1" x14ac:dyDescent="0.2">
      <c r="E3123" s="48"/>
      <c r="F3123" s="128"/>
    </row>
    <row r="3124" spans="2:13" s="30" customFormat="1" ht="15" hidden="1" outlineLevel="1" collapsed="1" x14ac:dyDescent="0.25">
      <c r="B3124" s="30" t="s">
        <v>199</v>
      </c>
      <c r="C3124" s="30" t="str">
        <f>+B3124</f>
        <v>Americas</v>
      </c>
    </row>
    <row r="3125" spans="2:13" ht="15" hidden="1" outlineLevel="2" x14ac:dyDescent="0.25">
      <c r="B3125" t="str">
        <f>+C3125&amp;D3125&amp;E3125&amp;F3125</f>
        <v>AmericasResultsTotal cost of Biodiesel (HtL blend)USD/ton</v>
      </c>
      <c r="C3125" s="494" t="str">
        <f>+$C$2922</f>
        <v>Americas</v>
      </c>
      <c r="D3125" s="30" t="s">
        <v>838</v>
      </c>
      <c r="E3125" s="405" t="s">
        <v>1319</v>
      </c>
      <c r="F3125" s="127" t="s">
        <v>205</v>
      </c>
      <c r="G3125" s="490">
        <f>SUM(G3126:G3129)</f>
        <v>1519.3960419037594</v>
      </c>
      <c r="H3125" s="490">
        <f t="shared" ref="H3125" si="1798">SUM(H3126:H3129)</f>
        <v>1011.1520353136409</v>
      </c>
      <c r="I3125" s="490">
        <f t="shared" ref="I3125" si="1799">SUM(I3126:I3129)</f>
        <v>604.36300287000063</v>
      </c>
      <c r="J3125" s="490">
        <f t="shared" ref="J3125" si="1800">SUM(J3126:J3129)</f>
        <v>590.17505702284348</v>
      </c>
      <c r="K3125" s="490">
        <f t="shared" ref="K3125" si="1801">SUM(K3126:K3129)</f>
        <v>583.9927122905035</v>
      </c>
      <c r="L3125" s="490">
        <f t="shared" ref="L3125" si="1802">SUM(L3126:L3129)</f>
        <v>578.75498749690405</v>
      </c>
      <c r="M3125" s="490">
        <f t="shared" ref="M3125" si="1803">SUM(M3126:M3129)</f>
        <v>573.00189377217748</v>
      </c>
    </row>
    <row r="3126" spans="2:13" ht="15" hidden="1" outlineLevel="2" x14ac:dyDescent="0.25">
      <c r="B3126" t="str">
        <f>+C3126&amp;D3126&amp;E3126&amp;F3126</f>
        <v>AmericasResultsTotal Capex Biodiesel (HtL blend)USD/ton</v>
      </c>
      <c r="C3126" s="494" t="str">
        <f>+$C$2922</f>
        <v>Americas</v>
      </c>
      <c r="D3126" s="30" t="s">
        <v>838</v>
      </c>
      <c r="E3126" s="228" t="s">
        <v>1320</v>
      </c>
      <c r="F3126" s="127" t="s">
        <v>205</v>
      </c>
      <c r="G3126" s="490">
        <f>+G3138*G3132</f>
        <v>404.521475058004</v>
      </c>
      <c r="H3126" s="490">
        <f t="shared" ref="H3126:M3126" si="1804">+H3138*H3132</f>
        <v>242.71288503480241</v>
      </c>
      <c r="I3126" s="490">
        <f t="shared" si="1804"/>
        <v>80.904295011600823</v>
      </c>
      <c r="J3126" s="490">
        <f t="shared" si="1804"/>
        <v>77.056818082617085</v>
      </c>
      <c r="K3126" s="490">
        <f t="shared" si="1804"/>
        <v>75.133079618125223</v>
      </c>
      <c r="L3126" s="490">
        <f t="shared" si="1804"/>
        <v>73.20934115363336</v>
      </c>
      <c r="M3126" s="490">
        <f t="shared" si="1804"/>
        <v>71.285602689141498</v>
      </c>
    </row>
    <row r="3127" spans="2:13" ht="15" hidden="1" outlineLevel="2" x14ac:dyDescent="0.25">
      <c r="B3127" t="str">
        <f>+C3127&amp;D3127&amp;E3127&amp;F3127</f>
        <v>AmericasResultsTotal Opex Biodiesel (HtL blend)USD/ton</v>
      </c>
      <c r="C3127" s="494" t="str">
        <f>+$C$2922</f>
        <v>Americas</v>
      </c>
      <c r="D3127" s="30" t="s">
        <v>838</v>
      </c>
      <c r="E3127" s="228" t="s">
        <v>1321</v>
      </c>
      <c r="F3127" s="127" t="s">
        <v>205</v>
      </c>
      <c r="G3127" s="490">
        <f>+G3142*G3132</f>
        <v>494.47915909065927</v>
      </c>
      <c r="H3127" s="490">
        <f t="shared" ref="H3127:M3127" si="1805">+H3142*H3132</f>
        <v>296.6874954543955</v>
      </c>
      <c r="I3127" s="490">
        <f t="shared" si="1805"/>
        <v>98.895831818131853</v>
      </c>
      <c r="J3127" s="490">
        <f t="shared" si="1805"/>
        <v>87.028331999956023</v>
      </c>
      <c r="K3127" s="490">
        <f t="shared" si="1805"/>
        <v>81.094582090868116</v>
      </c>
      <c r="L3127" s="490">
        <f t="shared" si="1805"/>
        <v>75.160832181780194</v>
      </c>
      <c r="M3127" s="490">
        <f t="shared" si="1805"/>
        <v>69.227082272692286</v>
      </c>
    </row>
    <row r="3128" spans="2:13" ht="15" hidden="1" outlineLevel="2" x14ac:dyDescent="0.25">
      <c r="B3128" t="str">
        <f>+C3128&amp;D3128&amp;E3128&amp;F3128</f>
        <v>AmericasResultsTotal RNE Biodiesel (HtL blend)USD/ton</v>
      </c>
      <c r="C3128" s="494" t="str">
        <f>+$C$2922</f>
        <v>Americas</v>
      </c>
      <c r="D3128" s="30" t="s">
        <v>838</v>
      </c>
      <c r="E3128" s="228" t="s">
        <v>1322</v>
      </c>
      <c r="F3128" s="127" t="s">
        <v>205</v>
      </c>
      <c r="G3128" s="490">
        <f>+G3144*G3132</f>
        <v>9.5970806517204306</v>
      </c>
      <c r="H3128" s="490">
        <f t="shared" ref="H3128:M3128" si="1806">+H3144*H3132</f>
        <v>8.6614940041373991</v>
      </c>
      <c r="I3128" s="490">
        <f t="shared" si="1806"/>
        <v>7.0540838764805374</v>
      </c>
      <c r="J3128" s="490">
        <f t="shared" si="1806"/>
        <v>6.2726910541462955</v>
      </c>
      <c r="K3128" s="490">
        <f t="shared" si="1806"/>
        <v>5.6394109730495581</v>
      </c>
      <c r="L3128" s="490">
        <f t="shared" si="1806"/>
        <v>5.3736449001091673</v>
      </c>
      <c r="M3128" s="490">
        <f t="shared" si="1806"/>
        <v>5.1696158266256198</v>
      </c>
    </row>
    <row r="3129" spans="2:13" ht="15" hidden="1" outlineLevel="2" x14ac:dyDescent="0.25">
      <c r="B3129" t="str">
        <f>+C3129&amp;D3129&amp;E3129&amp;F3129</f>
        <v>AmericasResultsTotal Raw Material Biodiesel (HtL blend)USD/ton</v>
      </c>
      <c r="C3129" s="494" t="str">
        <f>+$C$2922</f>
        <v>Americas</v>
      </c>
      <c r="D3129" s="30" t="s">
        <v>838</v>
      </c>
      <c r="E3129" s="228" t="s">
        <v>1323</v>
      </c>
      <c r="F3129" s="127" t="s">
        <v>205</v>
      </c>
      <c r="G3129" s="490">
        <f>+G3148*G3132+G3133*G3134</f>
        <v>610.79832710337587</v>
      </c>
      <c r="H3129" s="490">
        <f t="shared" ref="H3129:M3129" si="1807">+H3148*H3132+H3133*H3134</f>
        <v>463.0901608203057</v>
      </c>
      <c r="I3129" s="490">
        <f t="shared" si="1807"/>
        <v>417.5087921637874</v>
      </c>
      <c r="J3129" s="490">
        <f t="shared" si="1807"/>
        <v>419.81721588612402</v>
      </c>
      <c r="K3129" s="490">
        <f t="shared" si="1807"/>
        <v>422.12563960846063</v>
      </c>
      <c r="L3129" s="490">
        <f t="shared" si="1807"/>
        <v>425.01116926138138</v>
      </c>
      <c r="M3129" s="490">
        <f t="shared" si="1807"/>
        <v>427.31959298371805</v>
      </c>
    </row>
    <row r="3130" spans="2:13" hidden="1" outlineLevel="2" x14ac:dyDescent="0.2">
      <c r="C3130" s="494"/>
      <c r="E3130" s="48"/>
      <c r="F3130" s="128"/>
      <c r="G3130" s="8"/>
      <c r="H3130" s="8"/>
      <c r="I3130" s="8"/>
      <c r="J3130" s="8"/>
      <c r="K3130" s="8"/>
      <c r="L3130" s="8"/>
      <c r="M3130" s="8"/>
    </row>
    <row r="3131" spans="2:13" hidden="1" outlineLevel="2" x14ac:dyDescent="0.2">
      <c r="B3131" t="str">
        <f>+C3131&amp;D3131&amp;E3131&amp;F3131</f>
        <v>AmericasResultsTotal cost of HTL Oil blend (60% LSFO)USD/ton</v>
      </c>
      <c r="C3131" s="494" t="str">
        <f>+$C$2922</f>
        <v>Americas</v>
      </c>
      <c r="D3131" t="s">
        <v>838</v>
      </c>
      <c r="E3131" s="48" t="s">
        <v>1324</v>
      </c>
      <c r="F3131" s="128" t="s">
        <v>205</v>
      </c>
      <c r="G3131" s="8">
        <f>+G3133*G3134+G3132*G3136</f>
        <v>1519.3960419037594</v>
      </c>
      <c r="H3131" s="8">
        <f t="shared" ref="H3131" si="1808">+H3133*H3134+H3132*H3136</f>
        <v>1011.1520353136411</v>
      </c>
      <c r="I3131" s="8">
        <f t="shared" ref="I3131" si="1809">+I3133*I3134+I3132*I3136</f>
        <v>604.36300287000063</v>
      </c>
      <c r="J3131" s="8">
        <f t="shared" ref="J3131" si="1810">+J3133*J3134+J3132*J3136</f>
        <v>590.17505702284348</v>
      </c>
      <c r="K3131" s="8">
        <f t="shared" ref="K3131" si="1811">+K3133*K3134+K3132*K3136</f>
        <v>583.9927122905035</v>
      </c>
      <c r="L3131" s="8">
        <f t="shared" ref="L3131" si="1812">+L3133*L3134+L3132*L3136</f>
        <v>578.75498749690405</v>
      </c>
      <c r="M3131" s="8">
        <f t="shared" ref="M3131" si="1813">+M3133*M3134+M3132*M3136</f>
        <v>573.00189377217748</v>
      </c>
    </row>
    <row r="3132" spans="2:13" hidden="1" outlineLevel="2" x14ac:dyDescent="0.2">
      <c r="B3132" t="str">
        <f>+C3132&amp;D3132&amp;E3132&amp;F3132</f>
        <v>GlobalFeedstockConversion HTL blend grade : HTL VLSFO blendTon feedstock / ton fuel</v>
      </c>
      <c r="C3132" s="494" t="s">
        <v>109</v>
      </c>
      <c r="D3132" t="s">
        <v>777</v>
      </c>
      <c r="E3132" t="s">
        <v>1325</v>
      </c>
      <c r="F3132" s="450" t="s">
        <v>1241</v>
      </c>
      <c r="G3132" s="521">
        <f>+INDEX('Fuel Model -  Input'!$B$3:$N$373,MATCH($B3132,'Fuel Model -  Input'!$B$3:$B$373,0),MATCH(G$2,'Fuel Model -  Input'!$B$3:$N$3,0))</f>
        <v>0.4</v>
      </c>
      <c r="H3132" s="521">
        <f>+INDEX('Fuel Model -  Input'!$B$3:$N$373,MATCH($B3132,'Fuel Model -  Input'!$B$3:$B$373,0),MATCH(H$2,'Fuel Model -  Input'!$B$3:$N$3,0))</f>
        <v>0.4</v>
      </c>
      <c r="I3132" s="521">
        <f>+INDEX('Fuel Model -  Input'!$B$3:$N$373,MATCH($B3132,'Fuel Model -  Input'!$B$3:$B$373,0),MATCH(I$2,'Fuel Model -  Input'!$B$3:$N$3,0))</f>
        <v>0.4</v>
      </c>
      <c r="J3132" s="521">
        <f>+INDEX('Fuel Model -  Input'!$B$3:$N$373,MATCH($B3132,'Fuel Model -  Input'!$B$3:$B$373,0),MATCH(J$2,'Fuel Model -  Input'!$B$3:$N$3,0))</f>
        <v>0.4</v>
      </c>
      <c r="K3132" s="521">
        <f>+INDEX('Fuel Model -  Input'!$B$3:$N$373,MATCH($B3132,'Fuel Model -  Input'!$B$3:$B$373,0),MATCH(K$2,'Fuel Model -  Input'!$B$3:$N$3,0))</f>
        <v>0.4</v>
      </c>
      <c r="L3132" s="521">
        <f>+INDEX('Fuel Model -  Input'!$B$3:$N$373,MATCH($B3132,'Fuel Model -  Input'!$B$3:$B$373,0),MATCH(L$2,'Fuel Model -  Input'!$B$3:$N$3,0))</f>
        <v>0.4</v>
      </c>
      <c r="M3132" s="521">
        <f>+INDEX('Fuel Model -  Input'!$B$3:$N$373,MATCH($B3132,'Fuel Model -  Input'!$B$3:$B$373,0),MATCH(M$2,'Fuel Model -  Input'!$B$3:$N$3,0))</f>
        <v>0.4</v>
      </c>
    </row>
    <row r="3133" spans="2:13" hidden="1" outlineLevel="2" x14ac:dyDescent="0.2">
      <c r="B3133" t="str">
        <f>+C3133&amp;D3133&amp;E3133&amp;F3133</f>
        <v>GlobalFeedstockConversion VLSFO : HTL VLSFO blendTon feedstock / ton fuel</v>
      </c>
      <c r="C3133" s="494" t="s">
        <v>109</v>
      </c>
      <c r="D3133" t="s">
        <v>777</v>
      </c>
      <c r="E3133" t="s">
        <v>1326</v>
      </c>
      <c r="F3133" s="450" t="s">
        <v>1241</v>
      </c>
      <c r="G3133" s="521">
        <f>+INDEX('Fuel Model -  Input'!$B$3:$N$373,MATCH($B3133,'Fuel Model -  Input'!$B$3:$B$373,0),MATCH(G$2,'Fuel Model -  Input'!$B$3:$N$3,0))</f>
        <v>0.6</v>
      </c>
      <c r="H3133" s="521">
        <f>+INDEX('Fuel Model -  Input'!$B$3:$N$373,MATCH($B3133,'Fuel Model -  Input'!$B$3:$B$373,0),MATCH(H$2,'Fuel Model -  Input'!$B$3:$N$3,0))</f>
        <v>0.6</v>
      </c>
      <c r="I3133" s="521">
        <f>+INDEX('Fuel Model -  Input'!$B$3:$N$373,MATCH($B3133,'Fuel Model -  Input'!$B$3:$B$373,0),MATCH(I$2,'Fuel Model -  Input'!$B$3:$N$3,0))</f>
        <v>0.6</v>
      </c>
      <c r="J3133" s="521">
        <f>+INDEX('Fuel Model -  Input'!$B$3:$N$373,MATCH($B3133,'Fuel Model -  Input'!$B$3:$B$373,0),MATCH(J$2,'Fuel Model -  Input'!$B$3:$N$3,0))</f>
        <v>0.6</v>
      </c>
      <c r="K3133" s="521">
        <f>+INDEX('Fuel Model -  Input'!$B$3:$N$373,MATCH($B3133,'Fuel Model -  Input'!$B$3:$B$373,0),MATCH(K$2,'Fuel Model -  Input'!$B$3:$N$3,0))</f>
        <v>0.6</v>
      </c>
      <c r="L3133" s="521">
        <f>+INDEX('Fuel Model -  Input'!$B$3:$N$373,MATCH($B3133,'Fuel Model -  Input'!$B$3:$B$373,0),MATCH(L$2,'Fuel Model -  Input'!$B$3:$N$3,0))</f>
        <v>0.6</v>
      </c>
      <c r="M3133" s="521">
        <f>+INDEX('Fuel Model -  Input'!$B$3:$N$373,MATCH($B3133,'Fuel Model -  Input'!$B$3:$B$373,0),MATCH(M$2,'Fuel Model -  Input'!$B$3:$N$3,0))</f>
        <v>0.6</v>
      </c>
    </row>
    <row r="3134" spans="2:13" hidden="1" outlineLevel="2" x14ac:dyDescent="0.2">
      <c r="B3134" t="str">
        <f>+C3134&amp;D3134&amp;E3134&amp;F3134</f>
        <v>AmericasResultsCost of LSFOUSD/ton</v>
      </c>
      <c r="C3134" s="494" t="str">
        <f>+$C$2922</f>
        <v>Americas</v>
      </c>
      <c r="D3134" t="s">
        <v>838</v>
      </c>
      <c r="E3134" t="s">
        <v>1135</v>
      </c>
      <c r="F3134" s="157" t="s">
        <v>205</v>
      </c>
      <c r="G3134" s="532">
        <f>+INDEX('Fuel Model -  Input'!$B$3:$N$373,MATCH($B3134,'Fuel Model -  Input'!$B$3:$B$373,0),MATCH(G$2,'Fuel Model -  Input'!$B$3:$N$3,0))</f>
        <v>884.71322310880964</v>
      </c>
      <c r="H3134" s="532">
        <f>+INDEX('Fuel Model -  Input'!$B$3:$N$373,MATCH($B3134,'Fuel Model -  Input'!$B$3:$B$373,0),MATCH(H$2,'Fuel Model -  Input'!$B$3:$N$3,0))</f>
        <v>634.68557309979826</v>
      </c>
      <c r="I3134" s="532">
        <f>+INDEX('Fuel Model -  Input'!$B$3:$N$373,MATCH($B3134,'Fuel Model -  Input'!$B$3:$B$373,0),MATCH(I$2,'Fuel Model -  Input'!$B$3:$N$3,0))</f>
        <v>553.90740925073305</v>
      </c>
      <c r="J3134" s="532">
        <f>+INDEX('Fuel Model -  Input'!$B$3:$N$373,MATCH($B3134,'Fuel Model -  Input'!$B$3:$B$373,0),MATCH(J$2,'Fuel Model -  Input'!$B$3:$N$3,0))</f>
        <v>553.90740925073305</v>
      </c>
      <c r="K3134" s="532">
        <f>+INDEX('Fuel Model -  Input'!$B$3:$N$373,MATCH($B3134,'Fuel Model -  Input'!$B$3:$B$373,0),MATCH(K$2,'Fuel Model -  Input'!$B$3:$N$3,0))</f>
        <v>553.90740925073305</v>
      </c>
      <c r="L3134" s="532">
        <f>+INDEX('Fuel Model -  Input'!$B$3:$N$373,MATCH($B3134,'Fuel Model -  Input'!$B$3:$B$373,0),MATCH(L$2,'Fuel Model -  Input'!$B$3:$N$3,0))</f>
        <v>553.90740925073305</v>
      </c>
      <c r="M3134" s="532">
        <f>+INDEX('Fuel Model -  Input'!$B$3:$N$373,MATCH($B3134,'Fuel Model -  Input'!$B$3:$B$373,0),MATCH(M$2,'Fuel Model -  Input'!$B$3:$N$3,0))</f>
        <v>553.90740925073305</v>
      </c>
    </row>
    <row r="3135" spans="2:13" hidden="1" outlineLevel="2" x14ac:dyDescent="0.2">
      <c r="C3135" s="494"/>
      <c r="E3135" s="48"/>
      <c r="F3135" s="128"/>
      <c r="G3135" s="524"/>
      <c r="H3135" s="524"/>
      <c r="I3135" s="524"/>
      <c r="J3135" s="524"/>
      <c r="K3135" s="524"/>
      <c r="L3135" s="524"/>
      <c r="M3135" s="524"/>
    </row>
    <row r="3136" spans="2:13" hidden="1" outlineLevel="2" x14ac:dyDescent="0.2">
      <c r="B3136" t="str">
        <f>+C3136&amp;D3136&amp;E3136&amp;F3136</f>
        <v>AmericasSubtotalSubtotal - cost of HTL blend oil feedstockUSD/ton HTL blend oil feedstock</v>
      </c>
      <c r="C3136" s="494" t="str">
        <f>+$C$2922</f>
        <v>Americas</v>
      </c>
      <c r="D3136" t="s">
        <v>1327</v>
      </c>
      <c r="E3136" s="48" t="s">
        <v>1328</v>
      </c>
      <c r="F3136" s="128" t="s">
        <v>1329</v>
      </c>
      <c r="G3136" s="8">
        <f>+SUM(G3138,G3144,G3148,G3142)</f>
        <v>2471.4202700961841</v>
      </c>
      <c r="H3136" s="8">
        <f t="shared" ref="H3136:M3136" si="1814">+SUM(H3138,H3144,H3148,H3142)</f>
        <v>1575.8517286344052</v>
      </c>
      <c r="I3136" s="8">
        <f t="shared" si="1814"/>
        <v>680.04639329890188</v>
      </c>
      <c r="J3136" s="8">
        <f t="shared" si="1814"/>
        <v>644.57652868100888</v>
      </c>
      <c r="K3136" s="8">
        <f t="shared" si="1814"/>
        <v>629.12066685015907</v>
      </c>
      <c r="L3136" s="8">
        <f t="shared" si="1814"/>
        <v>616.02635486616066</v>
      </c>
      <c r="M3136" s="8">
        <f t="shared" si="1814"/>
        <v>601.6436205543439</v>
      </c>
    </row>
    <row r="3137" spans="2:13" hidden="1" outlineLevel="2" x14ac:dyDescent="0.2">
      <c r="C3137" s="494"/>
      <c r="E3137" s="48"/>
      <c r="F3137" s="128"/>
      <c r="G3137" s="8"/>
      <c r="H3137" s="8"/>
      <c r="I3137" s="8"/>
      <c r="J3137" s="8"/>
      <c r="K3137" s="8"/>
      <c r="L3137" s="8"/>
      <c r="M3137" s="8"/>
    </row>
    <row r="3138" spans="2:13" hidden="1" outlineLevel="2" x14ac:dyDescent="0.2">
      <c r="B3138" t="str">
        <f>+C3138&amp;D3138&amp;E3138&amp;F3138</f>
        <v>AmericasHTL PlantAnnual capex (HTL blend)USD/ton HTL blend oil</v>
      </c>
      <c r="C3138" s="494" t="str">
        <f>+$C$2922</f>
        <v>Americas</v>
      </c>
      <c r="D3138" t="s">
        <v>1288</v>
      </c>
      <c r="E3138" s="48" t="s">
        <v>1330</v>
      </c>
      <c r="F3138" s="128" t="s">
        <v>1331</v>
      </c>
      <c r="G3138" s="8">
        <f t="shared" ref="G3138:M3138" si="1815">G3140/G3139</f>
        <v>1011.30368764501</v>
      </c>
      <c r="H3138" s="8">
        <f t="shared" si="1815"/>
        <v>606.78221258700603</v>
      </c>
      <c r="I3138" s="8">
        <f t="shared" si="1815"/>
        <v>202.26073752900203</v>
      </c>
      <c r="J3138" s="8">
        <f t="shared" si="1815"/>
        <v>192.64204520654269</v>
      </c>
      <c r="K3138" s="8">
        <f t="shared" si="1815"/>
        <v>187.83269904531303</v>
      </c>
      <c r="L3138" s="8">
        <f t="shared" si="1815"/>
        <v>183.02335288408338</v>
      </c>
      <c r="M3138" s="8">
        <f t="shared" si="1815"/>
        <v>178.21400672285372</v>
      </c>
    </row>
    <row r="3139" spans="2:13" hidden="1" outlineLevel="2" x14ac:dyDescent="0.2">
      <c r="B3139" t="str">
        <f>+C3139&amp;D3139&amp;E3139&amp;F3139</f>
        <v>GlobalPlant capexAnnualisation factor#</v>
      </c>
      <c r="C3139" s="494" t="s">
        <v>109</v>
      </c>
      <c r="D3139" t="s">
        <v>786</v>
      </c>
      <c r="E3139" t="s">
        <v>764</v>
      </c>
      <c r="F3139" s="450" t="s">
        <v>787</v>
      </c>
      <c r="G3139" s="532">
        <f>+INDEX('Fuel Model -  Input'!$B$3:$N$373,MATCH($B3139,'Fuel Model -  Input'!$B$3:$B$373,0),MATCH(G$2,'Fuel Model -  Input'!$B$3:$N$3,0))</f>
        <v>11.32075471698113</v>
      </c>
      <c r="H3139" s="532">
        <f>+INDEX('Fuel Model -  Input'!$B$3:$N$373,MATCH($B3139,'Fuel Model -  Input'!$B$3:$B$373,0),MATCH(H$2,'Fuel Model -  Input'!$B$3:$N$3,0))</f>
        <v>11.32075471698113</v>
      </c>
      <c r="I3139" s="532">
        <f>+INDEX('Fuel Model -  Input'!$B$3:$N$373,MATCH($B3139,'Fuel Model -  Input'!$B$3:$B$373,0),MATCH(I$2,'Fuel Model -  Input'!$B$3:$N$3,0))</f>
        <v>11.32075471698113</v>
      </c>
      <c r="J3139" s="532">
        <f>+INDEX('Fuel Model -  Input'!$B$3:$N$373,MATCH($B3139,'Fuel Model -  Input'!$B$3:$B$373,0),MATCH(J$2,'Fuel Model -  Input'!$B$3:$N$3,0))</f>
        <v>11.32075471698113</v>
      </c>
      <c r="K3139" s="532">
        <f>+INDEX('Fuel Model -  Input'!$B$3:$N$373,MATCH($B3139,'Fuel Model -  Input'!$B$3:$B$373,0),MATCH(K$2,'Fuel Model -  Input'!$B$3:$N$3,0))</f>
        <v>11.32075471698113</v>
      </c>
      <c r="L3139" s="532">
        <f>+INDEX('Fuel Model -  Input'!$B$3:$N$373,MATCH($B3139,'Fuel Model -  Input'!$B$3:$B$373,0),MATCH(L$2,'Fuel Model -  Input'!$B$3:$N$3,0))</f>
        <v>11.32075471698113</v>
      </c>
      <c r="M3139" s="532">
        <f>+INDEX('Fuel Model -  Input'!$B$3:$N$373,MATCH($B3139,'Fuel Model -  Input'!$B$3:$B$373,0),MATCH(M$2,'Fuel Model -  Input'!$B$3:$N$3,0))</f>
        <v>11.32075471698113</v>
      </c>
    </row>
    <row r="3140" spans="2:13" hidden="1" outlineLevel="2" x14ac:dyDescent="0.2">
      <c r="B3140" t="str">
        <f>+C3140&amp;D3140&amp;E3140&amp;F3140</f>
        <v>GlobalCAPEXHTL blend grade plantUSD/ton HTL blend oil capacity</v>
      </c>
      <c r="C3140" s="494" t="s">
        <v>109</v>
      </c>
      <c r="D3140" t="s">
        <v>50</v>
      </c>
      <c r="E3140" t="s">
        <v>1332</v>
      </c>
      <c r="F3140" s="157" t="s">
        <v>1333</v>
      </c>
      <c r="G3140" s="532">
        <f>+INDEX('Fuel Model -  Input'!$B$3:$N$373,MATCH($B3140,'Fuel Model -  Input'!$B$3:$B$373,0),MATCH(G$2,'Fuel Model -  Input'!$B$3:$N$3,0))</f>
        <v>11448.720992207658</v>
      </c>
      <c r="H3140" s="532">
        <f>+INDEX('Fuel Model -  Input'!$B$3:$N$373,MATCH($B3140,'Fuel Model -  Input'!$B$3:$B$373,0),MATCH(H$2,'Fuel Model -  Input'!$B$3:$N$3,0))</f>
        <v>6869.2325953245954</v>
      </c>
      <c r="I3140" s="532">
        <f>+INDEX('Fuel Model -  Input'!$B$3:$N$373,MATCH($B3140,'Fuel Model -  Input'!$B$3:$B$373,0),MATCH(I$2,'Fuel Model -  Input'!$B$3:$N$3,0))</f>
        <v>2289.7441984415318</v>
      </c>
      <c r="J3140" s="532">
        <f>+INDEX('Fuel Model -  Input'!$B$3:$N$373,MATCH($B3140,'Fuel Model -  Input'!$B$3:$B$373,0),MATCH(J$2,'Fuel Model -  Input'!$B$3:$N$3,0))</f>
        <v>2180.8533419608602</v>
      </c>
      <c r="K3140" s="532">
        <f>+INDEX('Fuel Model -  Input'!$B$3:$N$373,MATCH($B3140,'Fuel Model -  Input'!$B$3:$B$373,0),MATCH(K$2,'Fuel Model -  Input'!$B$3:$N$3,0))</f>
        <v>2126.4079137205244</v>
      </c>
      <c r="L3140" s="532">
        <f>+INDEX('Fuel Model -  Input'!$B$3:$N$373,MATCH($B3140,'Fuel Model -  Input'!$B$3:$B$373,0),MATCH(L$2,'Fuel Model -  Input'!$B$3:$N$3,0))</f>
        <v>2071.9624854801887</v>
      </c>
      <c r="M3140" s="532">
        <f>+INDEX('Fuel Model -  Input'!$B$3:$N$373,MATCH($B3140,'Fuel Model -  Input'!$B$3:$B$373,0),MATCH(M$2,'Fuel Model -  Input'!$B$3:$N$3,0))</f>
        <v>2017.5170572398531</v>
      </c>
    </row>
    <row r="3141" spans="2:13" hidden="1" outlineLevel="2" x14ac:dyDescent="0.2">
      <c r="C3141" s="494"/>
      <c r="E3141" s="48"/>
      <c r="F3141" s="128"/>
      <c r="G3141" s="524"/>
      <c r="H3141" s="524"/>
      <c r="I3141" s="524"/>
      <c r="J3141" s="524"/>
      <c r="K3141" s="524"/>
      <c r="L3141" s="524"/>
      <c r="M3141" s="524"/>
    </row>
    <row r="3142" spans="2:13" hidden="1" outlineLevel="2" x14ac:dyDescent="0.2">
      <c r="B3142" t="str">
        <f>+C3142&amp;D3142&amp;E3142&amp;F3142</f>
        <v>GlobalOPEXPlant opexUSD/ton HTL blend oil</v>
      </c>
      <c r="C3142" s="494" t="s">
        <v>109</v>
      </c>
      <c r="D3142" t="s">
        <v>319</v>
      </c>
      <c r="E3142" t="s">
        <v>1293</v>
      </c>
      <c r="F3142" s="128" t="s">
        <v>1331</v>
      </c>
      <c r="G3142" s="532">
        <f>+INDEX('Fuel Model -  Input'!$B$3:$N$373,MATCH($B3142,'Fuel Model -  Input'!$B$3:$B$373,0),MATCH(G$2,'Fuel Model -  Input'!$B$3:$N$3,0))</f>
        <v>1236.1978977266481</v>
      </c>
      <c r="H3142" s="532">
        <f>+INDEX('Fuel Model -  Input'!$B$3:$N$373,MATCH($B3142,'Fuel Model -  Input'!$B$3:$B$373,0),MATCH(H$2,'Fuel Model -  Input'!$B$3:$N$3,0))</f>
        <v>741.71873863598876</v>
      </c>
      <c r="I3142" s="532">
        <f>+INDEX('Fuel Model -  Input'!$B$3:$N$373,MATCH($B3142,'Fuel Model -  Input'!$B$3:$B$373,0),MATCH(I$2,'Fuel Model -  Input'!$B$3:$N$3,0))</f>
        <v>247.2395795453296</v>
      </c>
      <c r="J3142" s="532">
        <f>+INDEX('Fuel Model -  Input'!$B$3:$N$373,MATCH($B3142,'Fuel Model -  Input'!$B$3:$B$373,0),MATCH(J$2,'Fuel Model -  Input'!$B$3:$N$3,0))</f>
        <v>217.57082999989004</v>
      </c>
      <c r="K3142" s="532">
        <f>+INDEX('Fuel Model -  Input'!$B$3:$N$373,MATCH($B3142,'Fuel Model -  Input'!$B$3:$B$373,0),MATCH(K$2,'Fuel Model -  Input'!$B$3:$N$3,0))</f>
        <v>202.73645522717027</v>
      </c>
      <c r="L3142" s="532">
        <f>+INDEX('Fuel Model -  Input'!$B$3:$N$373,MATCH($B3142,'Fuel Model -  Input'!$B$3:$B$373,0),MATCH(L$2,'Fuel Model -  Input'!$B$3:$N$3,0))</f>
        <v>187.90208045445047</v>
      </c>
      <c r="M3142" s="532">
        <f>+INDEX('Fuel Model -  Input'!$B$3:$N$373,MATCH($B3142,'Fuel Model -  Input'!$B$3:$B$373,0),MATCH(M$2,'Fuel Model -  Input'!$B$3:$N$3,0))</f>
        <v>173.0677056817307</v>
      </c>
    </row>
    <row r="3143" spans="2:13" hidden="1" outlineLevel="2" x14ac:dyDescent="0.2">
      <c r="C3143" s="494"/>
      <c r="E3143" s="48"/>
      <c r="F3143" s="128"/>
      <c r="G3143" s="520"/>
      <c r="H3143" s="520"/>
      <c r="I3143" s="520"/>
      <c r="J3143" s="520"/>
      <c r="K3143" s="520"/>
      <c r="L3143" s="520"/>
      <c r="M3143" s="520"/>
    </row>
    <row r="3144" spans="2:13" hidden="1" outlineLevel="2" x14ac:dyDescent="0.2">
      <c r="B3144" t="str">
        <f>+C3144&amp;D3144&amp;E3144&amp;F3144</f>
        <v>AmericasElectricityTotal electricityUSD/ton HTL blend oil</v>
      </c>
      <c r="C3144" s="494" t="str">
        <f>+$C$2922</f>
        <v>Americas</v>
      </c>
      <c r="D3144" t="s">
        <v>54</v>
      </c>
      <c r="E3144" s="48" t="s">
        <v>1295</v>
      </c>
      <c r="F3144" s="128" t="s">
        <v>1331</v>
      </c>
      <c r="G3144" s="8">
        <f t="shared" ref="G3144:M3144" si="1816">G3146*G3145</f>
        <v>23.992701629301074</v>
      </c>
      <c r="H3144" s="8">
        <f t="shared" si="1816"/>
        <v>21.653735010343496</v>
      </c>
      <c r="I3144" s="8">
        <f t="shared" si="1816"/>
        <v>17.635209691201343</v>
      </c>
      <c r="J3144" s="8">
        <f t="shared" si="1816"/>
        <v>15.681727635365737</v>
      </c>
      <c r="K3144" s="8">
        <f t="shared" si="1816"/>
        <v>14.098527432623895</v>
      </c>
      <c r="L3144" s="8">
        <f t="shared" si="1816"/>
        <v>13.434112250272918</v>
      </c>
      <c r="M3144" s="8">
        <f t="shared" si="1816"/>
        <v>12.92403956656405</v>
      </c>
    </row>
    <row r="3145" spans="2:13" hidden="1" outlineLevel="2" x14ac:dyDescent="0.2">
      <c r="B3145" t="str">
        <f>+C3145&amp;D3145&amp;E3145&amp;F3145</f>
        <v>GlobalFeedstockHTL blend grade plant electricity demandMWh/ton fuel</v>
      </c>
      <c r="C3145" s="494" t="s">
        <v>109</v>
      </c>
      <c r="D3145" t="s">
        <v>777</v>
      </c>
      <c r="E3145" t="s">
        <v>1334</v>
      </c>
      <c r="F3145" t="s">
        <v>1298</v>
      </c>
      <c r="G3145" s="521">
        <f>INDEX('Fuel Model -  Input'!$B$3:$N$373,MATCH($B3145,'Fuel Model -  Input'!$B$3:$B$373,0),MATCH(G$2,'Fuel Model -  Input'!$B$3:$N$3,0))</f>
        <v>0.61572786086762299</v>
      </c>
      <c r="H3145" s="521">
        <f>INDEX('Fuel Model -  Input'!$B$3:$N$373,MATCH($B3145,'Fuel Model -  Input'!$B$3:$B$373,0),MATCH(H$2,'Fuel Model -  Input'!$B$3:$N$3,0))</f>
        <v>0.61572786086762299</v>
      </c>
      <c r="I3145" s="521">
        <f>INDEX('Fuel Model -  Input'!$B$3:$N$373,MATCH($B3145,'Fuel Model -  Input'!$B$3:$B$373,0),MATCH(I$2,'Fuel Model -  Input'!$B$3:$N$3,0))</f>
        <v>0.61347529142651824</v>
      </c>
      <c r="J3145" s="521">
        <f>INDEX('Fuel Model -  Input'!$B$3:$N$373,MATCH($B3145,'Fuel Model -  Input'!$B$3:$B$373,0),MATCH(J$2,'Fuel Model -  Input'!$B$3:$N$3,0))</f>
        <v>0.6112227219854135</v>
      </c>
      <c r="K3145" s="521">
        <f>INDEX('Fuel Model -  Input'!$B$3:$N$373,MATCH($B3145,'Fuel Model -  Input'!$B$3:$B$373,0),MATCH(K$2,'Fuel Model -  Input'!$B$3:$N$3,0))</f>
        <v>0.60897015254430864</v>
      </c>
      <c r="L3145" s="521">
        <f>INDEX('Fuel Model -  Input'!$B$3:$N$373,MATCH($B3145,'Fuel Model -  Input'!$B$3:$B$373,0),MATCH(L$2,'Fuel Model -  Input'!$B$3:$N$3,0))</f>
        <v>0.60671758310320389</v>
      </c>
      <c r="M3145" s="521">
        <f>INDEX('Fuel Model -  Input'!$B$3:$N$373,MATCH($B3145,'Fuel Model -  Input'!$B$3:$B$373,0),MATCH(M$2,'Fuel Model -  Input'!$B$3:$N$3,0))</f>
        <v>0.60446501366209915</v>
      </c>
    </row>
    <row r="3146" spans="2:13" hidden="1" outlineLevel="2" x14ac:dyDescent="0.2">
      <c r="B3146" t="str">
        <f>+C3146&amp;D3146&amp;E3146&amp;F3146</f>
        <v>AmericasFeedstockElectricityUSD/MWh</v>
      </c>
      <c r="C3146" s="494" t="str">
        <f>+$C$2922</f>
        <v>Americas</v>
      </c>
      <c r="D3146" t="s">
        <v>777</v>
      </c>
      <c r="E3146" s="48" t="s">
        <v>54</v>
      </c>
      <c r="F3146" s="128" t="s">
        <v>196</v>
      </c>
      <c r="G3146" s="532">
        <f>INDEX('Fuel Model -  Input'!$B$3:$N$373,MATCH($B3146,'Fuel Model -  Input'!$B$3:$B$373,0),MATCH(G$2,'Fuel Model -  Input'!$B$3:$N$3,0))</f>
        <v>38.96640570315094</v>
      </c>
      <c r="H3146" s="532">
        <f>INDEX('Fuel Model -  Input'!$B$3:$N$373,MATCH($B3146,'Fuel Model -  Input'!$B$3:$B$373,0),MATCH(H$2,'Fuel Model -  Input'!$B$3:$N$3,0))</f>
        <v>35.167703764177872</v>
      </c>
      <c r="I3146" s="532">
        <f>INDEX('Fuel Model -  Input'!$B$3:$N$373,MATCH($B3146,'Fuel Model -  Input'!$B$3:$B$373,0),MATCH(I$2,'Fuel Model -  Input'!$B$3:$N$3,0))</f>
        <v>28.746405825398561</v>
      </c>
      <c r="J3146" s="532">
        <f>INDEX('Fuel Model -  Input'!$B$3:$N$373,MATCH($B3146,'Fuel Model -  Input'!$B$3:$B$373,0),MATCH(J$2,'Fuel Model -  Input'!$B$3:$N$3,0))</f>
        <v>25.656323090259679</v>
      </c>
      <c r="K3146" s="532">
        <f>INDEX('Fuel Model -  Input'!$B$3:$N$373,MATCH($B3146,'Fuel Model -  Input'!$B$3:$B$373,0),MATCH(K$2,'Fuel Model -  Input'!$B$3:$N$3,0))</f>
        <v>23.151426016069131</v>
      </c>
      <c r="L3146" s="532">
        <f>INDEX('Fuel Model -  Input'!$B$3:$N$373,MATCH($B3146,'Fuel Model -  Input'!$B$3:$B$373,0),MATCH(L$2,'Fuel Model -  Input'!$B$3:$N$3,0))</f>
        <v>22.142282710121734</v>
      </c>
      <c r="M3146" s="532">
        <f>INDEX('Fuel Model -  Input'!$B$3:$N$373,MATCH($B3146,'Fuel Model -  Input'!$B$3:$B$373,0),MATCH(M$2,'Fuel Model -  Input'!$B$3:$N$3,0))</f>
        <v>21.380955513479382</v>
      </c>
    </row>
    <row r="3147" spans="2:13" hidden="1" outlineLevel="2" x14ac:dyDescent="0.2">
      <c r="C3147" s="494"/>
      <c r="E3147" s="48"/>
      <c r="F3147" s="128"/>
    </row>
    <row r="3148" spans="2:13" hidden="1" outlineLevel="2" x14ac:dyDescent="0.2">
      <c r="B3148" t="str">
        <f t="shared" ref="B3148:B3154" si="1817">+C3148&amp;D3148&amp;E3148&amp;F3148</f>
        <v>AmericasFeedstockBiomass costUSD/ton HTL blend oil</v>
      </c>
      <c r="C3148" s="494" t="str">
        <f>+$C$2922</f>
        <v>Americas</v>
      </c>
      <c r="D3148" t="s">
        <v>777</v>
      </c>
      <c r="E3148" s="48" t="s">
        <v>1237</v>
      </c>
      <c r="F3148" s="128" t="s">
        <v>1331</v>
      </c>
      <c r="G3148" s="8">
        <f>+G3149*G3151*G3152+G3150*G3153*G3154</f>
        <v>199.92598309522532</v>
      </c>
      <c r="H3148" s="8">
        <f t="shared" ref="H3148:M3148" si="1818">+H3149*H3151*H3152+H3150*H3153*H3154</f>
        <v>205.69704240106688</v>
      </c>
      <c r="I3148" s="8">
        <f t="shared" si="1818"/>
        <v>212.91086653336885</v>
      </c>
      <c r="J3148" s="8">
        <f t="shared" si="1818"/>
        <v>218.68192583921035</v>
      </c>
      <c r="K3148" s="8">
        <f t="shared" si="1818"/>
        <v>224.45298514505191</v>
      </c>
      <c r="L3148" s="8">
        <f t="shared" si="1818"/>
        <v>231.66680927735388</v>
      </c>
      <c r="M3148" s="8">
        <f t="shared" si="1818"/>
        <v>237.43786858319544</v>
      </c>
    </row>
    <row r="3149" spans="2:13" hidden="1" outlineLevel="2" x14ac:dyDescent="0.2">
      <c r="B3149" t="str">
        <f t="shared" si="1817"/>
        <v>GlobalFeedstockDry wood biomass market share HTL blend%</v>
      </c>
      <c r="C3149" s="494" t="s">
        <v>109</v>
      </c>
      <c r="D3149" t="s">
        <v>777</v>
      </c>
      <c r="E3149" t="s">
        <v>1335</v>
      </c>
      <c r="F3149" t="s">
        <v>178</v>
      </c>
      <c r="G3149" s="531">
        <f>+INDEX('Fuel Model -  Input'!$B$3:$N$1312,MATCH($B3149,'Fuel Model -  Input'!$B$3:$B$1312,0),MATCH(G$2,'Fuel Model -  Input'!$B$3:$N$3,0))</f>
        <v>0.5</v>
      </c>
      <c r="H3149" s="531">
        <f>+INDEX('Fuel Model -  Input'!$B$3:$N$1312,MATCH($B3149,'Fuel Model -  Input'!$B$3:$B$1312,0),MATCH(H$2,'Fuel Model -  Input'!$B$3:$N$3,0))</f>
        <v>0.5</v>
      </c>
      <c r="I3149" s="531">
        <f>+INDEX('Fuel Model -  Input'!$B$3:$N$1312,MATCH($B3149,'Fuel Model -  Input'!$B$3:$B$1312,0),MATCH(I$2,'Fuel Model -  Input'!$B$3:$N$3,0))</f>
        <v>0.5</v>
      </c>
      <c r="J3149" s="531">
        <f>+INDEX('Fuel Model -  Input'!$B$3:$N$1312,MATCH($B3149,'Fuel Model -  Input'!$B$3:$B$1312,0),MATCH(J$2,'Fuel Model -  Input'!$B$3:$N$3,0))</f>
        <v>0.5</v>
      </c>
      <c r="K3149" s="531">
        <f>+INDEX('Fuel Model -  Input'!$B$3:$N$1312,MATCH($B3149,'Fuel Model -  Input'!$B$3:$B$1312,0),MATCH(K$2,'Fuel Model -  Input'!$B$3:$N$3,0))</f>
        <v>0.5</v>
      </c>
      <c r="L3149" s="531">
        <f>+INDEX('Fuel Model -  Input'!$B$3:$N$1312,MATCH($B3149,'Fuel Model -  Input'!$B$3:$B$1312,0),MATCH(L$2,'Fuel Model -  Input'!$B$3:$N$3,0))</f>
        <v>0.5</v>
      </c>
      <c r="M3149" s="531">
        <f>+INDEX('Fuel Model -  Input'!$B$3:$N$1312,MATCH($B3149,'Fuel Model -  Input'!$B$3:$B$1312,0),MATCH(M$2,'Fuel Model -  Input'!$B$3:$N$3,0))</f>
        <v>0.5</v>
      </c>
    </row>
    <row r="3150" spans="2:13" hidden="1" outlineLevel="2" x14ac:dyDescent="0.2">
      <c r="B3150" t="str">
        <f t="shared" si="1817"/>
        <v>GlobalFeedstockOrganic wet waste market share HTL blend%</v>
      </c>
      <c r="C3150" s="494" t="s">
        <v>109</v>
      </c>
      <c r="D3150" t="s">
        <v>777</v>
      </c>
      <c r="E3150" t="s">
        <v>1336</v>
      </c>
      <c r="F3150" t="s">
        <v>178</v>
      </c>
      <c r="G3150" s="531">
        <f>+INDEX('Fuel Model -  Input'!$B$3:$N$1312,MATCH($B3150,'Fuel Model -  Input'!$B$3:$B$1312,0),MATCH(G$2,'Fuel Model -  Input'!$B$3:$N$3,0))</f>
        <v>0.5</v>
      </c>
      <c r="H3150" s="531">
        <f>+INDEX('Fuel Model -  Input'!$B$3:$N$1312,MATCH($B3150,'Fuel Model -  Input'!$B$3:$B$1312,0),MATCH(H$2,'Fuel Model -  Input'!$B$3:$N$3,0))</f>
        <v>0.5</v>
      </c>
      <c r="I3150" s="531">
        <f>+INDEX('Fuel Model -  Input'!$B$3:$N$1312,MATCH($B3150,'Fuel Model -  Input'!$B$3:$B$1312,0),MATCH(I$2,'Fuel Model -  Input'!$B$3:$N$3,0))</f>
        <v>0.5</v>
      </c>
      <c r="J3150" s="531">
        <f>+INDEX('Fuel Model -  Input'!$B$3:$N$1312,MATCH($B3150,'Fuel Model -  Input'!$B$3:$B$1312,0),MATCH(J$2,'Fuel Model -  Input'!$B$3:$N$3,0))</f>
        <v>0.5</v>
      </c>
      <c r="K3150" s="531">
        <f>+INDEX('Fuel Model -  Input'!$B$3:$N$1312,MATCH($B3150,'Fuel Model -  Input'!$B$3:$B$1312,0),MATCH(K$2,'Fuel Model -  Input'!$B$3:$N$3,0))</f>
        <v>0.5</v>
      </c>
      <c r="L3150" s="531">
        <f>+INDEX('Fuel Model -  Input'!$B$3:$N$1312,MATCH($B3150,'Fuel Model -  Input'!$B$3:$B$1312,0),MATCH(L$2,'Fuel Model -  Input'!$B$3:$N$3,0))</f>
        <v>0.5</v>
      </c>
      <c r="M3150" s="531">
        <f>+INDEX('Fuel Model -  Input'!$B$3:$N$1312,MATCH($B3150,'Fuel Model -  Input'!$B$3:$B$1312,0),MATCH(M$2,'Fuel Model -  Input'!$B$3:$N$3,0))</f>
        <v>0.5</v>
      </c>
    </row>
    <row r="3151" spans="2:13" hidden="1" outlineLevel="2" x14ac:dyDescent="0.2">
      <c r="B3151" t="str">
        <f t="shared" si="1817"/>
        <v>GlobalFeedstockConversion Organic wet waste : HTL blend gradeTon feedstock / ton fuel</v>
      </c>
      <c r="C3151" s="494" t="s">
        <v>109</v>
      </c>
      <c r="D3151" t="s">
        <v>777</v>
      </c>
      <c r="E3151" t="s">
        <v>1337</v>
      </c>
      <c r="F3151" s="128" t="s">
        <v>1241</v>
      </c>
      <c r="G3151" s="521">
        <f>INDEX('Fuel Model -  Input'!$B$3:$N$373,MATCH($B3151,'Fuel Model -  Input'!$B$3:$B$373,0),MATCH(G$2,'Fuel Model -  Input'!$B$3:$N$3,0))</f>
        <v>3.0916389138436906</v>
      </c>
      <c r="H3151" s="521">
        <f>INDEX('Fuel Model -  Input'!$B$3:$N$373,MATCH($B3151,'Fuel Model -  Input'!$B$3:$B$373,0),MATCH(H$2,'Fuel Model -  Input'!$B$3:$N$3,0))</f>
        <v>3.0916389138436906</v>
      </c>
      <c r="I3151" s="521">
        <f>INDEX('Fuel Model -  Input'!$B$3:$N$373,MATCH($B3151,'Fuel Model -  Input'!$B$3:$B$373,0),MATCH(I$2,'Fuel Model -  Input'!$B$3:$N$3,0))</f>
        <v>3.0916389138436906</v>
      </c>
      <c r="J3151" s="521">
        <f>INDEX('Fuel Model -  Input'!$B$3:$N$373,MATCH($B3151,'Fuel Model -  Input'!$B$3:$B$373,0),MATCH(J$2,'Fuel Model -  Input'!$B$3:$N$3,0))</f>
        <v>3.0916389138436906</v>
      </c>
      <c r="K3151" s="521">
        <f>INDEX('Fuel Model -  Input'!$B$3:$N$373,MATCH($B3151,'Fuel Model -  Input'!$B$3:$B$373,0),MATCH(K$2,'Fuel Model -  Input'!$B$3:$N$3,0))</f>
        <v>3.0916389138436906</v>
      </c>
      <c r="L3151" s="521">
        <f>INDEX('Fuel Model -  Input'!$B$3:$N$373,MATCH($B3151,'Fuel Model -  Input'!$B$3:$B$373,0),MATCH(L$2,'Fuel Model -  Input'!$B$3:$N$3,0))</f>
        <v>3.0916389138436906</v>
      </c>
      <c r="M3151" s="521">
        <f>INDEX('Fuel Model -  Input'!$B$3:$N$373,MATCH($B3151,'Fuel Model -  Input'!$B$3:$B$373,0),MATCH(M$2,'Fuel Model -  Input'!$B$3:$N$3,0))</f>
        <v>3.0916389138436906</v>
      </c>
    </row>
    <row r="3152" spans="2:13" hidden="1" outlineLevel="2" x14ac:dyDescent="0.2">
      <c r="B3152" t="str">
        <f t="shared" si="1817"/>
        <v>AmericasFeedstockCost of Organic wet wasteUSD/ton</v>
      </c>
      <c r="C3152" s="494" t="str">
        <f>+$C$2922</f>
        <v>Americas</v>
      </c>
      <c r="D3152" t="s">
        <v>777</v>
      </c>
      <c r="E3152" s="48" t="s">
        <v>1242</v>
      </c>
      <c r="F3152" s="450" t="s">
        <v>205</v>
      </c>
      <c r="G3152" s="532">
        <f>INDEX('Fuel Model -  Input'!$B$3:$N$373,MATCH($B3152,'Fuel Model -  Input'!$B$3:$B$373,0),MATCH(G$2,'Fuel Model -  Input'!$B$3:$N$3,0))</f>
        <v>50</v>
      </c>
      <c r="H3152" s="532">
        <f>INDEX('Fuel Model -  Input'!$B$3:$N$373,MATCH($B3152,'Fuel Model -  Input'!$B$3:$B$373,0),MATCH(H$2,'Fuel Model -  Input'!$B$3:$N$3,0))</f>
        <v>50</v>
      </c>
      <c r="I3152" s="532">
        <f>INDEX('Fuel Model -  Input'!$B$3:$N$373,MATCH($B3152,'Fuel Model -  Input'!$B$3:$B$373,0),MATCH(I$2,'Fuel Model -  Input'!$B$3:$N$3,0))</f>
        <v>50</v>
      </c>
      <c r="J3152" s="532">
        <f>INDEX('Fuel Model -  Input'!$B$3:$N$373,MATCH($B3152,'Fuel Model -  Input'!$B$3:$B$373,0),MATCH(J$2,'Fuel Model -  Input'!$B$3:$N$3,0))</f>
        <v>50</v>
      </c>
      <c r="K3152" s="532">
        <f>INDEX('Fuel Model -  Input'!$B$3:$N$373,MATCH($B3152,'Fuel Model -  Input'!$B$3:$B$373,0),MATCH(K$2,'Fuel Model -  Input'!$B$3:$N$3,0))</f>
        <v>50</v>
      </c>
      <c r="L3152" s="532">
        <f>INDEX('Fuel Model -  Input'!$B$3:$N$373,MATCH($B3152,'Fuel Model -  Input'!$B$3:$B$373,0),MATCH(L$2,'Fuel Model -  Input'!$B$3:$N$3,0))</f>
        <v>50</v>
      </c>
      <c r="M3152" s="532">
        <f>INDEX('Fuel Model -  Input'!$B$3:$N$373,MATCH($B3152,'Fuel Model -  Input'!$B$3:$B$373,0),MATCH(M$2,'Fuel Model -  Input'!$B$3:$N$3,0))</f>
        <v>50</v>
      </c>
    </row>
    <row r="3153" spans="2:13" hidden="1" outlineLevel="2" x14ac:dyDescent="0.2">
      <c r="B3153" t="str">
        <f t="shared" si="1817"/>
        <v>GlobalFeedstockConversion Dry Wood biomass : HTL blend gradeTon feedstock / ton fuel</v>
      </c>
      <c r="C3153" s="494" t="s">
        <v>109</v>
      </c>
      <c r="D3153" t="s">
        <v>777</v>
      </c>
      <c r="E3153" s="48" t="s">
        <v>1338</v>
      </c>
      <c r="F3153" s="128" t="s">
        <v>1241</v>
      </c>
      <c r="G3153" s="521">
        <f>INDEX('Fuel Model -  Input'!$B$3:$N$373,MATCH($B3153,'Fuel Model -  Input'!$B$3:$B$373,0),MATCH(G$2,'Fuel Model -  Input'!$B$3:$N$3,0))</f>
        <v>2.8855296529207779</v>
      </c>
      <c r="H3153" s="521">
        <f>INDEX('Fuel Model -  Input'!$B$3:$N$373,MATCH($B3153,'Fuel Model -  Input'!$B$3:$B$373,0),MATCH(H$2,'Fuel Model -  Input'!$B$3:$N$3,0))</f>
        <v>2.8855296529207779</v>
      </c>
      <c r="I3153" s="521">
        <f>INDEX('Fuel Model -  Input'!$B$3:$N$373,MATCH($B3153,'Fuel Model -  Input'!$B$3:$B$373,0),MATCH(I$2,'Fuel Model -  Input'!$B$3:$N$3,0))</f>
        <v>2.8855296529207779</v>
      </c>
      <c r="J3153" s="521">
        <f>INDEX('Fuel Model -  Input'!$B$3:$N$373,MATCH($B3153,'Fuel Model -  Input'!$B$3:$B$373,0),MATCH(J$2,'Fuel Model -  Input'!$B$3:$N$3,0))</f>
        <v>2.8855296529207779</v>
      </c>
      <c r="K3153" s="521">
        <f>INDEX('Fuel Model -  Input'!$B$3:$N$373,MATCH($B3153,'Fuel Model -  Input'!$B$3:$B$373,0),MATCH(K$2,'Fuel Model -  Input'!$B$3:$N$3,0))</f>
        <v>2.8855296529207779</v>
      </c>
      <c r="L3153" s="521">
        <f>INDEX('Fuel Model -  Input'!$B$3:$N$373,MATCH($B3153,'Fuel Model -  Input'!$B$3:$B$373,0),MATCH(L$2,'Fuel Model -  Input'!$B$3:$N$3,0))</f>
        <v>2.8855296529207779</v>
      </c>
      <c r="M3153" s="521">
        <f>INDEX('Fuel Model -  Input'!$B$3:$N$373,MATCH($B3153,'Fuel Model -  Input'!$B$3:$B$373,0),MATCH(M$2,'Fuel Model -  Input'!$B$3:$N$3,0))</f>
        <v>2.8855296529207779</v>
      </c>
    </row>
    <row r="3154" spans="2:13" hidden="1" outlineLevel="2" x14ac:dyDescent="0.2">
      <c r="B3154" t="str">
        <f t="shared" si="1817"/>
        <v>AmericasFeedstockCost of Wood biomassUSD/ton Wood</v>
      </c>
      <c r="C3154" s="494" t="s">
        <v>199</v>
      </c>
      <c r="D3154" t="s">
        <v>777</v>
      </c>
      <c r="E3154" s="48" t="s">
        <v>1244</v>
      </c>
      <c r="F3154" s="128" t="s">
        <v>1245</v>
      </c>
      <c r="G3154" s="532">
        <f>+INDEX('Fuel Model -  Input'!$B$3:$N$373,MATCH($B3154,'Fuel Model -  Input'!$B$3:$B$373,0),MATCH(G$2,'Fuel Model -  Input'!$B$3:$N$3,0))</f>
        <v>85</v>
      </c>
      <c r="H3154" s="532">
        <f>+INDEX('Fuel Model -  Input'!$B$3:$N$373,MATCH($B3154,'Fuel Model -  Input'!$B$3:$B$373,0),MATCH(H$2,'Fuel Model -  Input'!$B$3:$N$3,0))</f>
        <v>89</v>
      </c>
      <c r="I3154" s="532">
        <f>+INDEX('Fuel Model -  Input'!$B$3:$N$373,MATCH($B3154,'Fuel Model -  Input'!$B$3:$B$373,0),MATCH(I$2,'Fuel Model -  Input'!$B$3:$N$3,0))</f>
        <v>94</v>
      </c>
      <c r="J3154" s="532">
        <f>+INDEX('Fuel Model -  Input'!$B$3:$N$373,MATCH($B3154,'Fuel Model -  Input'!$B$3:$B$373,0),MATCH(J$2,'Fuel Model -  Input'!$B$3:$N$3,0))</f>
        <v>98</v>
      </c>
      <c r="K3154" s="532">
        <f>+INDEX('Fuel Model -  Input'!$B$3:$N$373,MATCH($B3154,'Fuel Model -  Input'!$B$3:$B$373,0),MATCH(K$2,'Fuel Model -  Input'!$B$3:$N$3,0))</f>
        <v>102</v>
      </c>
      <c r="L3154" s="532">
        <f>+INDEX('Fuel Model -  Input'!$B$3:$N$373,MATCH($B3154,'Fuel Model -  Input'!$B$3:$B$373,0),MATCH(L$2,'Fuel Model -  Input'!$B$3:$N$3,0))</f>
        <v>107</v>
      </c>
      <c r="M3154" s="532">
        <f>+INDEX('Fuel Model -  Input'!$B$3:$N$373,MATCH($B3154,'Fuel Model -  Input'!$B$3:$B$373,0),MATCH(M$2,'Fuel Model -  Input'!$B$3:$N$3,0))</f>
        <v>111</v>
      </c>
    </row>
    <row r="3155" spans="2:13" ht="12.75" hidden="1" outlineLevel="1" x14ac:dyDescent="0.2">
      <c r="F3155"/>
    </row>
    <row r="3156" spans="2:13" s="30" customFormat="1" ht="15" hidden="1" outlineLevel="1" collapsed="1" x14ac:dyDescent="0.25">
      <c r="B3156" s="30" t="s">
        <v>200</v>
      </c>
      <c r="C3156" s="30" t="str">
        <f>+B3156</f>
        <v>Africa</v>
      </c>
    </row>
    <row r="3157" spans="2:13" ht="15" hidden="1" outlineLevel="2" x14ac:dyDescent="0.25">
      <c r="B3157" t="str">
        <f>+C3157&amp;D3157&amp;E3157&amp;F3157</f>
        <v>AfricaResultsTotal cost of Biodiesel (HtL blend)USD/ton</v>
      </c>
      <c r="C3157" s="494" t="str">
        <f>+$C$2957</f>
        <v>Africa</v>
      </c>
      <c r="D3157" s="30" t="s">
        <v>838</v>
      </c>
      <c r="E3157" s="405" t="s">
        <v>1319</v>
      </c>
      <c r="F3157" s="127" t="s">
        <v>205</v>
      </c>
      <c r="G3157" s="490">
        <f>SUM(G3158:G3161)</f>
        <v>3138.7788707140003</v>
      </c>
      <c r="H3157" s="490">
        <f t="shared" ref="H3157" si="1819">SUM(H3158:H3161)</f>
        <v>1228.2665132735206</v>
      </c>
      <c r="I3157" s="490">
        <f t="shared" ref="I3157" si="1820">SUM(I3158:I3161)</f>
        <v>712.82517679801913</v>
      </c>
      <c r="J3157" s="490">
        <f t="shared" ref="J3157" si="1821">SUM(J3158:J3161)</f>
        <v>701.39239065205743</v>
      </c>
      <c r="K3157" s="490">
        <f t="shared" ref="K3157" si="1822">SUM(K3158:K3161)</f>
        <v>697.1570905078429</v>
      </c>
      <c r="L3157" s="490">
        <f t="shared" ref="L3157" si="1823">SUM(L3158:L3161)</f>
        <v>692.90527685363043</v>
      </c>
      <c r="M3157" s="490">
        <f t="shared" ref="M3157" si="1824">SUM(M3158:M3161)</f>
        <v>689.07273074994851</v>
      </c>
    </row>
    <row r="3158" spans="2:13" ht="15" hidden="1" outlineLevel="2" x14ac:dyDescent="0.25">
      <c r="B3158" t="str">
        <f>+C3158&amp;D3158&amp;E3158&amp;F3158</f>
        <v>AfricaResultsTotal Capex Biodiesel (HtL blend)USD/ton</v>
      </c>
      <c r="C3158" s="494" t="str">
        <f>+$C$2957</f>
        <v>Africa</v>
      </c>
      <c r="D3158" s="30" t="s">
        <v>838</v>
      </c>
      <c r="E3158" s="228" t="s">
        <v>1320</v>
      </c>
      <c r="F3158" s="127" t="s">
        <v>205</v>
      </c>
      <c r="G3158" s="490">
        <f>+G3170*G3164</f>
        <v>525.87791757540526</v>
      </c>
      <c r="H3158" s="490">
        <f t="shared" ref="H3158:M3158" si="1825">+H3170*H3164</f>
        <v>315.5267505452432</v>
      </c>
      <c r="I3158" s="490">
        <f t="shared" si="1825"/>
        <v>105.17558351508106</v>
      </c>
      <c r="J3158" s="490">
        <f t="shared" si="1825"/>
        <v>98.865048504176201</v>
      </c>
      <c r="K3158" s="490">
        <f t="shared" si="1825"/>
        <v>95.709780998723772</v>
      </c>
      <c r="L3158" s="490">
        <f t="shared" si="1825"/>
        <v>92.55451349327133</v>
      </c>
      <c r="M3158" s="490">
        <f t="shared" si="1825"/>
        <v>89.399245987818901</v>
      </c>
    </row>
    <row r="3159" spans="2:13" ht="15" hidden="1" outlineLevel="2" x14ac:dyDescent="0.25">
      <c r="B3159" t="str">
        <f>+C3159&amp;D3159&amp;E3159&amp;F3159</f>
        <v>AfricaResultsTotal Opex Biodiesel (HtL blend)USD/ton</v>
      </c>
      <c r="C3159" s="494" t="str">
        <f>+$C$2957</f>
        <v>Africa</v>
      </c>
      <c r="D3159" s="30" t="s">
        <v>838</v>
      </c>
      <c r="E3159" s="228" t="s">
        <v>1321</v>
      </c>
      <c r="F3159" s="127" t="s">
        <v>205</v>
      </c>
      <c r="G3159" s="490">
        <f>+G3174*G3164</f>
        <v>1928.468720453571</v>
      </c>
      <c r="H3159" s="490">
        <f t="shared" ref="H3159:M3159" si="1826">+H3174*H3164</f>
        <v>385.69374409071418</v>
      </c>
      <c r="I3159" s="490">
        <f t="shared" si="1826"/>
        <v>128.56458136357139</v>
      </c>
      <c r="J3159" s="490">
        <f t="shared" si="1826"/>
        <v>120.85070648175711</v>
      </c>
      <c r="K3159" s="490">
        <f t="shared" si="1826"/>
        <v>116.99376904084998</v>
      </c>
      <c r="L3159" s="490">
        <f t="shared" si="1826"/>
        <v>113.13683159994285</v>
      </c>
      <c r="M3159" s="490">
        <f t="shared" si="1826"/>
        <v>109.27989415903569</v>
      </c>
    </row>
    <row r="3160" spans="2:13" ht="15" hidden="1" outlineLevel="2" x14ac:dyDescent="0.25">
      <c r="B3160" t="str">
        <f>+C3160&amp;D3160&amp;E3160&amp;F3160</f>
        <v>AfricaResultsTotal RNE Biodiesel (HtL blend)USD/ton</v>
      </c>
      <c r="C3160" s="494" t="str">
        <f>+$C$2957</f>
        <v>Africa</v>
      </c>
      <c r="D3160" s="30" t="s">
        <v>838</v>
      </c>
      <c r="E3160" s="228" t="s">
        <v>1322</v>
      </c>
      <c r="F3160" s="127" t="s">
        <v>205</v>
      </c>
      <c r="G3160" s="490">
        <f>+G3176*G3164</f>
        <v>25.281081742178319</v>
      </c>
      <c r="H3160" s="490">
        <f t="shared" ref="H3160:M3160" si="1827">+H3176*H3164</f>
        <v>14.304545633973431</v>
      </c>
      <c r="I3160" s="490">
        <f t="shared" si="1827"/>
        <v>11.203525159065151</v>
      </c>
      <c r="J3160" s="490">
        <f t="shared" si="1827"/>
        <v>9.4668544264414152</v>
      </c>
      <c r="K3160" s="490">
        <f t="shared" si="1827"/>
        <v>8.6368471624355241</v>
      </c>
      <c r="L3160" s="490">
        <f t="shared" si="1827"/>
        <v>7.790326388431648</v>
      </c>
      <c r="M3160" s="490">
        <f t="shared" si="1827"/>
        <v>7.3630731649584069</v>
      </c>
    </row>
    <row r="3161" spans="2:13" ht="15" hidden="1" outlineLevel="2" x14ac:dyDescent="0.25">
      <c r="B3161" t="str">
        <f>+C3161&amp;D3161&amp;E3161&amp;F3161</f>
        <v>AfricaResultsTotal Raw Material Biodiesel (HtL blend)USD/ton</v>
      </c>
      <c r="C3161" s="494" t="str">
        <f>+$C$2957</f>
        <v>Africa</v>
      </c>
      <c r="D3161" s="30" t="s">
        <v>838</v>
      </c>
      <c r="E3161" s="228" t="s">
        <v>1323</v>
      </c>
      <c r="F3161" s="127" t="s">
        <v>205</v>
      </c>
      <c r="G3161" s="490">
        <f>+G3180*G3164+G3165*G3166</f>
        <v>659.15115094284545</v>
      </c>
      <c r="H3161" s="490">
        <f t="shared" ref="H3161:M3161" si="1828">+H3180*H3164+H3165*H3166</f>
        <v>512.74147300358959</v>
      </c>
      <c r="I3161" s="490">
        <f t="shared" si="1828"/>
        <v>467.88148676030147</v>
      </c>
      <c r="J3161" s="490">
        <f t="shared" si="1828"/>
        <v>472.20978123968268</v>
      </c>
      <c r="K3161" s="490">
        <f t="shared" si="1828"/>
        <v>475.81669330583361</v>
      </c>
      <c r="L3161" s="490">
        <f t="shared" si="1828"/>
        <v>479.42360537198459</v>
      </c>
      <c r="M3161" s="490">
        <f t="shared" si="1828"/>
        <v>483.03051743813558</v>
      </c>
    </row>
    <row r="3162" spans="2:13" hidden="1" outlineLevel="2" x14ac:dyDescent="0.2">
      <c r="C3162" s="494"/>
      <c r="E3162" s="48"/>
      <c r="F3162" s="128"/>
      <c r="G3162" s="8"/>
      <c r="H3162" s="8"/>
      <c r="I3162" s="8"/>
      <c r="J3162" s="8"/>
      <c r="K3162" s="8"/>
      <c r="L3162" s="8"/>
      <c r="M3162" s="8"/>
    </row>
    <row r="3163" spans="2:13" hidden="1" outlineLevel="2" x14ac:dyDescent="0.2">
      <c r="B3163" t="str">
        <f>+C3163&amp;D3163&amp;E3163&amp;F3163</f>
        <v>AfricaResultsTotal cost of HTL Oil blend (60% LSFO)USD/ton</v>
      </c>
      <c r="C3163" s="494" t="str">
        <f>+$C$2957</f>
        <v>Africa</v>
      </c>
      <c r="D3163" t="s">
        <v>838</v>
      </c>
      <c r="E3163" s="48" t="s">
        <v>1324</v>
      </c>
      <c r="F3163" s="128" t="s">
        <v>205</v>
      </c>
      <c r="G3163" s="8">
        <f>+G3165*G3166+G3164*G3168</f>
        <v>3138.7788707139998</v>
      </c>
      <c r="H3163" s="8">
        <f t="shared" ref="H3163" si="1829">+H3165*H3166+H3164*H3168</f>
        <v>1228.2665132735206</v>
      </c>
      <c r="I3163" s="8">
        <f t="shared" ref="I3163" si="1830">+I3165*I3166+I3164*I3168</f>
        <v>712.82517679801913</v>
      </c>
      <c r="J3163" s="8">
        <f t="shared" ref="J3163" si="1831">+J3165*J3166+J3164*J3168</f>
        <v>701.39239065205743</v>
      </c>
      <c r="K3163" s="8">
        <f t="shared" ref="K3163" si="1832">+K3165*K3166+K3164*K3168</f>
        <v>697.1570905078429</v>
      </c>
      <c r="L3163" s="8">
        <f t="shared" ref="L3163" si="1833">+L3165*L3166+L3164*L3168</f>
        <v>692.90527685363043</v>
      </c>
      <c r="M3163" s="8">
        <f t="shared" ref="M3163" si="1834">+M3165*M3166+M3164*M3168</f>
        <v>689.07273074994851</v>
      </c>
    </row>
    <row r="3164" spans="2:13" hidden="1" outlineLevel="2" x14ac:dyDescent="0.2">
      <c r="B3164" t="str">
        <f>+C3164&amp;D3164&amp;E3164&amp;F3164</f>
        <v>GlobalFeedstockConversion HTL blend grade : HTL VLSFO blendTon feedstock / ton fuel</v>
      </c>
      <c r="C3164" s="494" t="s">
        <v>109</v>
      </c>
      <c r="D3164" t="s">
        <v>777</v>
      </c>
      <c r="E3164" t="s">
        <v>1325</v>
      </c>
      <c r="F3164" s="450" t="s">
        <v>1241</v>
      </c>
      <c r="G3164" s="521">
        <f>+INDEX('Fuel Model -  Input'!$B$3:$N$373,MATCH($B3164,'Fuel Model -  Input'!$B$3:$B$373,0),MATCH(G$2,'Fuel Model -  Input'!$B$3:$N$3,0))</f>
        <v>0.4</v>
      </c>
      <c r="H3164" s="521">
        <f>+INDEX('Fuel Model -  Input'!$B$3:$N$373,MATCH($B3164,'Fuel Model -  Input'!$B$3:$B$373,0),MATCH(H$2,'Fuel Model -  Input'!$B$3:$N$3,0))</f>
        <v>0.4</v>
      </c>
      <c r="I3164" s="521">
        <f>+INDEX('Fuel Model -  Input'!$B$3:$N$373,MATCH($B3164,'Fuel Model -  Input'!$B$3:$B$373,0),MATCH(I$2,'Fuel Model -  Input'!$B$3:$N$3,0))</f>
        <v>0.4</v>
      </c>
      <c r="J3164" s="521">
        <f>+INDEX('Fuel Model -  Input'!$B$3:$N$373,MATCH($B3164,'Fuel Model -  Input'!$B$3:$B$373,0),MATCH(J$2,'Fuel Model -  Input'!$B$3:$N$3,0))</f>
        <v>0.4</v>
      </c>
      <c r="K3164" s="521">
        <f>+INDEX('Fuel Model -  Input'!$B$3:$N$373,MATCH($B3164,'Fuel Model -  Input'!$B$3:$B$373,0),MATCH(K$2,'Fuel Model -  Input'!$B$3:$N$3,0))</f>
        <v>0.4</v>
      </c>
      <c r="L3164" s="521">
        <f>+INDEX('Fuel Model -  Input'!$B$3:$N$373,MATCH($B3164,'Fuel Model -  Input'!$B$3:$B$373,0),MATCH(L$2,'Fuel Model -  Input'!$B$3:$N$3,0))</f>
        <v>0.4</v>
      </c>
      <c r="M3164" s="521">
        <f>+INDEX('Fuel Model -  Input'!$B$3:$N$373,MATCH($B3164,'Fuel Model -  Input'!$B$3:$B$373,0),MATCH(M$2,'Fuel Model -  Input'!$B$3:$N$3,0))</f>
        <v>0.4</v>
      </c>
    </row>
    <row r="3165" spans="2:13" hidden="1" outlineLevel="2" x14ac:dyDescent="0.2">
      <c r="B3165" t="str">
        <f>+C3165&amp;D3165&amp;E3165&amp;F3165</f>
        <v>GlobalFeedstockConversion VLSFO : HTL VLSFO blendTon feedstock / ton fuel</v>
      </c>
      <c r="C3165" s="494" t="s">
        <v>109</v>
      </c>
      <c r="D3165" t="s">
        <v>777</v>
      </c>
      <c r="E3165" t="s">
        <v>1326</v>
      </c>
      <c r="F3165" s="450" t="s">
        <v>1241</v>
      </c>
      <c r="G3165" s="521">
        <f>+INDEX('Fuel Model -  Input'!$B$3:$N$373,MATCH($B3165,'Fuel Model -  Input'!$B$3:$B$373,0),MATCH(G$2,'Fuel Model -  Input'!$B$3:$N$3,0))</f>
        <v>0.6</v>
      </c>
      <c r="H3165" s="521">
        <f>+INDEX('Fuel Model -  Input'!$B$3:$N$373,MATCH($B3165,'Fuel Model -  Input'!$B$3:$B$373,0),MATCH(H$2,'Fuel Model -  Input'!$B$3:$N$3,0))</f>
        <v>0.6</v>
      </c>
      <c r="I3165" s="521">
        <f>+INDEX('Fuel Model -  Input'!$B$3:$N$373,MATCH($B3165,'Fuel Model -  Input'!$B$3:$B$373,0),MATCH(I$2,'Fuel Model -  Input'!$B$3:$N$3,0))</f>
        <v>0.6</v>
      </c>
      <c r="J3165" s="521">
        <f>+INDEX('Fuel Model -  Input'!$B$3:$N$373,MATCH($B3165,'Fuel Model -  Input'!$B$3:$B$373,0),MATCH(J$2,'Fuel Model -  Input'!$B$3:$N$3,0))</f>
        <v>0.6</v>
      </c>
      <c r="K3165" s="521">
        <f>+INDEX('Fuel Model -  Input'!$B$3:$N$373,MATCH($B3165,'Fuel Model -  Input'!$B$3:$B$373,0),MATCH(K$2,'Fuel Model -  Input'!$B$3:$N$3,0))</f>
        <v>0.6</v>
      </c>
      <c r="L3165" s="521">
        <f>+INDEX('Fuel Model -  Input'!$B$3:$N$373,MATCH($B3165,'Fuel Model -  Input'!$B$3:$B$373,0),MATCH(L$2,'Fuel Model -  Input'!$B$3:$N$3,0))</f>
        <v>0.6</v>
      </c>
      <c r="M3165" s="521">
        <f>+INDEX('Fuel Model -  Input'!$B$3:$N$373,MATCH($B3165,'Fuel Model -  Input'!$B$3:$B$373,0),MATCH(M$2,'Fuel Model -  Input'!$B$3:$N$3,0))</f>
        <v>0.6</v>
      </c>
    </row>
    <row r="3166" spans="2:13" hidden="1" outlineLevel="2" x14ac:dyDescent="0.2">
      <c r="B3166" t="str">
        <f>+C3166&amp;D3166&amp;E3166&amp;F3166</f>
        <v>AfricaResultsCost of LSFOUSD/ton</v>
      </c>
      <c r="C3166" s="494" t="str">
        <f>+$C$2957</f>
        <v>Africa</v>
      </c>
      <c r="D3166" t="s">
        <v>838</v>
      </c>
      <c r="E3166" t="s">
        <v>1135</v>
      </c>
      <c r="F3166" s="157" t="s">
        <v>205</v>
      </c>
      <c r="G3166" s="532">
        <f>+INDEX('Fuel Model -  Input'!$B$3:$N$373,MATCH($B3166,'Fuel Model -  Input'!$B$3:$B$373,0),MATCH(G$2,'Fuel Model -  Input'!$B$3:$N$3,0))</f>
        <v>884.71322310880964</v>
      </c>
      <c r="H3166" s="532">
        <f>+INDEX('Fuel Model -  Input'!$B$3:$N$373,MATCH($B3166,'Fuel Model -  Input'!$B$3:$B$373,0),MATCH(H$2,'Fuel Model -  Input'!$B$3:$N$3,0))</f>
        <v>634.68557309979826</v>
      </c>
      <c r="I3166" s="532">
        <f>+INDEX('Fuel Model -  Input'!$B$3:$N$373,MATCH($B3166,'Fuel Model -  Input'!$B$3:$B$373,0),MATCH(I$2,'Fuel Model -  Input'!$B$3:$N$3,0))</f>
        <v>553.90740925073305</v>
      </c>
      <c r="J3166" s="532">
        <f>+INDEX('Fuel Model -  Input'!$B$3:$N$373,MATCH($B3166,'Fuel Model -  Input'!$B$3:$B$373,0),MATCH(J$2,'Fuel Model -  Input'!$B$3:$N$3,0))</f>
        <v>553.90740925073305</v>
      </c>
      <c r="K3166" s="532">
        <f>+INDEX('Fuel Model -  Input'!$B$3:$N$373,MATCH($B3166,'Fuel Model -  Input'!$B$3:$B$373,0),MATCH(K$2,'Fuel Model -  Input'!$B$3:$N$3,0))</f>
        <v>553.90740925073305</v>
      </c>
      <c r="L3166" s="532">
        <f>+INDEX('Fuel Model -  Input'!$B$3:$N$373,MATCH($B3166,'Fuel Model -  Input'!$B$3:$B$373,0),MATCH(L$2,'Fuel Model -  Input'!$B$3:$N$3,0))</f>
        <v>553.90740925073305</v>
      </c>
      <c r="M3166" s="532">
        <f>+INDEX('Fuel Model -  Input'!$B$3:$N$373,MATCH($B3166,'Fuel Model -  Input'!$B$3:$B$373,0),MATCH(M$2,'Fuel Model -  Input'!$B$3:$N$3,0))</f>
        <v>553.90740925073305</v>
      </c>
    </row>
    <row r="3167" spans="2:13" hidden="1" outlineLevel="2" x14ac:dyDescent="0.2">
      <c r="C3167" s="494"/>
      <c r="E3167" s="48"/>
      <c r="F3167" s="128"/>
      <c r="G3167" s="524"/>
      <c r="H3167" s="524"/>
      <c r="I3167" s="524"/>
      <c r="J3167" s="524"/>
      <c r="K3167" s="524"/>
      <c r="L3167" s="524"/>
      <c r="M3167" s="524"/>
    </row>
    <row r="3168" spans="2:13" hidden="1" outlineLevel="2" x14ac:dyDescent="0.2">
      <c r="B3168" t="str">
        <f>+C3168&amp;D3168&amp;E3168&amp;F3168</f>
        <v>AfricaSubtotalSubtotal - cost of HTL blend oil feedstockUSD/ton HTL blend oil feedstock</v>
      </c>
      <c r="C3168" s="494" t="str">
        <f>+$C$2957</f>
        <v>Africa</v>
      </c>
      <c r="D3168" t="s">
        <v>1327</v>
      </c>
      <c r="E3168" s="48" t="s">
        <v>1328</v>
      </c>
      <c r="F3168" s="128" t="s">
        <v>1329</v>
      </c>
      <c r="G3168" s="8">
        <f>+SUM(G3170,G3176,G3180,G3174)</f>
        <v>6519.8773421217847</v>
      </c>
      <c r="H3168" s="8">
        <f t="shared" ref="H3168:M3168" si="1835">+SUM(H3170,H3176,H3180,H3174)</f>
        <v>2118.6379235341037</v>
      </c>
      <c r="I3168" s="8">
        <f t="shared" si="1835"/>
        <v>951.20182811894801</v>
      </c>
      <c r="J3168" s="8">
        <f t="shared" si="1835"/>
        <v>922.61986275404377</v>
      </c>
      <c r="K3168" s="8">
        <f t="shared" si="1835"/>
        <v>912.03161239350754</v>
      </c>
      <c r="L3168" s="8">
        <f t="shared" si="1835"/>
        <v>901.40207825797643</v>
      </c>
      <c r="M3168" s="8">
        <f t="shared" si="1835"/>
        <v>891.8207129987718</v>
      </c>
    </row>
    <row r="3169" spans="2:13" hidden="1" outlineLevel="2" x14ac:dyDescent="0.2">
      <c r="C3169" s="494"/>
      <c r="E3169" s="48"/>
      <c r="F3169" s="128"/>
      <c r="G3169" s="8"/>
      <c r="H3169" s="8"/>
      <c r="I3169" s="8"/>
      <c r="J3169" s="8"/>
      <c r="K3169" s="8"/>
      <c r="L3169" s="8"/>
      <c r="M3169" s="8"/>
    </row>
    <row r="3170" spans="2:13" hidden="1" outlineLevel="2" x14ac:dyDescent="0.2">
      <c r="B3170" t="str">
        <f>+C3170&amp;D3170&amp;E3170&amp;F3170</f>
        <v>AfricaHTL PlantAnnual capex (HTL)USD/ton HTL Oil</v>
      </c>
      <c r="C3170" s="494" t="str">
        <f>+$C$2957</f>
        <v>Africa</v>
      </c>
      <c r="D3170" t="s">
        <v>1288</v>
      </c>
      <c r="E3170" s="48" t="s">
        <v>1289</v>
      </c>
      <c r="F3170" s="128" t="s">
        <v>1290</v>
      </c>
      <c r="G3170" s="8">
        <f t="shared" ref="G3170:M3170" si="1836">G3172/G3171</f>
        <v>1314.6947939385132</v>
      </c>
      <c r="H3170" s="8">
        <f t="shared" si="1836"/>
        <v>788.81687636310789</v>
      </c>
      <c r="I3170" s="8">
        <f t="shared" si="1836"/>
        <v>262.93895878770263</v>
      </c>
      <c r="J3170" s="8">
        <f t="shared" si="1836"/>
        <v>247.16262126044049</v>
      </c>
      <c r="K3170" s="8">
        <f t="shared" si="1836"/>
        <v>239.2744524968094</v>
      </c>
      <c r="L3170" s="8">
        <f t="shared" si="1836"/>
        <v>231.38628373317832</v>
      </c>
      <c r="M3170" s="8">
        <f t="shared" si="1836"/>
        <v>223.49811496954723</v>
      </c>
    </row>
    <row r="3171" spans="2:13" hidden="1" outlineLevel="2" x14ac:dyDescent="0.2">
      <c r="B3171" t="str">
        <f>+C3171&amp;D3171&amp;E3171&amp;F3171</f>
        <v>GlobalPlant capexAnnualisation factor#</v>
      </c>
      <c r="C3171" s="494" t="s">
        <v>109</v>
      </c>
      <c r="D3171" t="s">
        <v>786</v>
      </c>
      <c r="E3171" t="s">
        <v>764</v>
      </c>
      <c r="F3171" s="450" t="s">
        <v>787</v>
      </c>
      <c r="G3171" s="532">
        <f>+INDEX('Fuel Model -  Input'!$B$3:$N$373,MATCH($B3171,'Fuel Model -  Input'!$B$3:$B$373,0),MATCH(G$2,'Fuel Model -  Input'!$B$3:$N$3,0))</f>
        <v>11.32075471698113</v>
      </c>
      <c r="H3171" s="532">
        <f>+INDEX('Fuel Model -  Input'!$B$3:$N$373,MATCH($B3171,'Fuel Model -  Input'!$B$3:$B$373,0),MATCH(H$2,'Fuel Model -  Input'!$B$3:$N$3,0))</f>
        <v>11.32075471698113</v>
      </c>
      <c r="I3171" s="532">
        <f>+INDEX('Fuel Model -  Input'!$B$3:$N$373,MATCH($B3171,'Fuel Model -  Input'!$B$3:$B$373,0),MATCH(I$2,'Fuel Model -  Input'!$B$3:$N$3,0))</f>
        <v>11.32075471698113</v>
      </c>
      <c r="J3171" s="532">
        <f>+INDEX('Fuel Model -  Input'!$B$3:$N$373,MATCH($B3171,'Fuel Model -  Input'!$B$3:$B$373,0),MATCH(J$2,'Fuel Model -  Input'!$B$3:$N$3,0))</f>
        <v>11.32075471698113</v>
      </c>
      <c r="K3171" s="532">
        <f>+INDEX('Fuel Model -  Input'!$B$3:$N$373,MATCH($B3171,'Fuel Model -  Input'!$B$3:$B$373,0),MATCH(K$2,'Fuel Model -  Input'!$B$3:$N$3,0))</f>
        <v>11.32075471698113</v>
      </c>
      <c r="L3171" s="532">
        <f>+INDEX('Fuel Model -  Input'!$B$3:$N$373,MATCH($B3171,'Fuel Model -  Input'!$B$3:$B$373,0),MATCH(L$2,'Fuel Model -  Input'!$B$3:$N$3,0))</f>
        <v>11.32075471698113</v>
      </c>
      <c r="M3171" s="532">
        <f>+INDEX('Fuel Model -  Input'!$B$3:$N$373,MATCH($B3171,'Fuel Model -  Input'!$B$3:$B$373,0),MATCH(M$2,'Fuel Model -  Input'!$B$3:$N$3,0))</f>
        <v>11.32075471698113</v>
      </c>
    </row>
    <row r="3172" spans="2:13" hidden="1" outlineLevel="2" x14ac:dyDescent="0.2">
      <c r="B3172" t="str">
        <f>+C3172&amp;D3172&amp;E3172&amp;F3172</f>
        <v>GlobalCAPEXHTL plantUSD/ton HTL oil capacity</v>
      </c>
      <c r="C3172" s="494" t="s">
        <v>109</v>
      </c>
      <c r="D3172" t="s">
        <v>50</v>
      </c>
      <c r="E3172" t="s">
        <v>1291</v>
      </c>
      <c r="F3172" s="157" t="s">
        <v>1292</v>
      </c>
      <c r="G3172" s="532">
        <f>+INDEX('Fuel Model -  Input'!$B$3:$N$373,MATCH($B3172,'Fuel Model -  Input'!$B$3:$B$373,0),MATCH(G$2,'Fuel Model -  Input'!$B$3:$N$3,0))</f>
        <v>14883.337289869958</v>
      </c>
      <c r="H3172" s="532">
        <f>+INDEX('Fuel Model -  Input'!$B$3:$N$373,MATCH($B3172,'Fuel Model -  Input'!$B$3:$B$373,0),MATCH(H$2,'Fuel Model -  Input'!$B$3:$N$3,0))</f>
        <v>8930.0023739219741</v>
      </c>
      <c r="I3172" s="532">
        <f>+INDEX('Fuel Model -  Input'!$B$3:$N$373,MATCH($B3172,'Fuel Model -  Input'!$B$3:$B$373,0),MATCH(I$2,'Fuel Model -  Input'!$B$3:$N$3,0))</f>
        <v>2976.6674579739915</v>
      </c>
      <c r="J3172" s="532">
        <f>+INDEX('Fuel Model -  Input'!$B$3:$N$373,MATCH($B3172,'Fuel Model -  Input'!$B$3:$B$373,0),MATCH(J$2,'Fuel Model -  Input'!$B$3:$N$3,0))</f>
        <v>2798.0674104955519</v>
      </c>
      <c r="K3172" s="532">
        <f>+INDEX('Fuel Model -  Input'!$B$3:$N$373,MATCH($B3172,'Fuel Model -  Input'!$B$3:$B$373,0),MATCH(K$2,'Fuel Model -  Input'!$B$3:$N$3,0))</f>
        <v>2708.7673867563321</v>
      </c>
      <c r="L3172" s="532">
        <f>+INDEX('Fuel Model -  Input'!$B$3:$N$373,MATCH($B3172,'Fuel Model -  Input'!$B$3:$B$373,0),MATCH(L$2,'Fuel Model -  Input'!$B$3:$N$3,0))</f>
        <v>2619.4673630171123</v>
      </c>
      <c r="M3172" s="532">
        <f>+INDEX('Fuel Model -  Input'!$B$3:$N$373,MATCH($B3172,'Fuel Model -  Input'!$B$3:$B$373,0),MATCH(M$2,'Fuel Model -  Input'!$B$3:$N$3,0))</f>
        <v>2530.1673392778926</v>
      </c>
    </row>
    <row r="3173" spans="2:13" hidden="1" outlineLevel="2" x14ac:dyDescent="0.2">
      <c r="C3173" s="494"/>
      <c r="E3173" s="48"/>
      <c r="F3173" s="128"/>
      <c r="G3173" s="524"/>
      <c r="H3173" s="524"/>
      <c r="I3173" s="524"/>
      <c r="J3173" s="524"/>
      <c r="K3173" s="524"/>
      <c r="L3173" s="524"/>
      <c r="M3173" s="524"/>
    </row>
    <row r="3174" spans="2:13" hidden="1" outlineLevel="2" x14ac:dyDescent="0.2">
      <c r="B3174" t="str">
        <f>+C3174&amp;D3174&amp;E3174&amp;F3174</f>
        <v>GlobalOPEXPlant opexUSD/ton HTL oil</v>
      </c>
      <c r="C3174" s="494" t="s">
        <v>109</v>
      </c>
      <c r="D3174" t="s">
        <v>319</v>
      </c>
      <c r="E3174" t="s">
        <v>1293</v>
      </c>
      <c r="F3174" s="128" t="s">
        <v>1294</v>
      </c>
      <c r="G3174" s="532">
        <f>+INDEX('Fuel Model -  Input'!$B$3:$N$373,MATCH($B3174,'Fuel Model -  Input'!$B$3:$B$373,0),MATCH(G$2,'Fuel Model -  Input'!$B$3:$N$3,0))</f>
        <v>4821.1718011339271</v>
      </c>
      <c r="H3174" s="532">
        <f>+INDEX('Fuel Model -  Input'!$B$3:$N$373,MATCH($B3174,'Fuel Model -  Input'!$B$3:$B$373,0),MATCH(H$2,'Fuel Model -  Input'!$B$3:$N$3,0))</f>
        <v>964.23436022678538</v>
      </c>
      <c r="I3174" s="532">
        <f>+INDEX('Fuel Model -  Input'!$B$3:$N$373,MATCH($B3174,'Fuel Model -  Input'!$B$3:$B$373,0),MATCH(I$2,'Fuel Model -  Input'!$B$3:$N$3,0))</f>
        <v>321.41145340892848</v>
      </c>
      <c r="J3174" s="532">
        <f>+INDEX('Fuel Model -  Input'!$B$3:$N$373,MATCH($B3174,'Fuel Model -  Input'!$B$3:$B$373,0),MATCH(J$2,'Fuel Model -  Input'!$B$3:$N$3,0))</f>
        <v>302.12676620439277</v>
      </c>
      <c r="K3174" s="532">
        <f>+INDEX('Fuel Model -  Input'!$B$3:$N$373,MATCH($B3174,'Fuel Model -  Input'!$B$3:$B$373,0),MATCH(K$2,'Fuel Model -  Input'!$B$3:$N$3,0))</f>
        <v>292.48442260212494</v>
      </c>
      <c r="L3174" s="532">
        <f>+INDEX('Fuel Model -  Input'!$B$3:$N$373,MATCH($B3174,'Fuel Model -  Input'!$B$3:$B$373,0),MATCH(L$2,'Fuel Model -  Input'!$B$3:$N$3,0))</f>
        <v>282.84207899985711</v>
      </c>
      <c r="M3174" s="532">
        <f>+INDEX('Fuel Model -  Input'!$B$3:$N$373,MATCH($B3174,'Fuel Model -  Input'!$B$3:$B$373,0),MATCH(M$2,'Fuel Model -  Input'!$B$3:$N$3,0))</f>
        <v>273.19973539758922</v>
      </c>
    </row>
    <row r="3175" spans="2:13" hidden="1" outlineLevel="2" x14ac:dyDescent="0.2">
      <c r="C3175" s="494"/>
      <c r="E3175" s="48"/>
      <c r="F3175" s="128"/>
      <c r="G3175" s="520"/>
      <c r="H3175" s="520"/>
      <c r="I3175" s="520"/>
      <c r="J3175" s="520"/>
      <c r="K3175" s="520"/>
      <c r="L3175" s="520"/>
      <c r="M3175" s="520"/>
    </row>
    <row r="3176" spans="2:13" hidden="1" outlineLevel="2" x14ac:dyDescent="0.2">
      <c r="B3176" t="str">
        <f>+C3176&amp;D3176&amp;E3176&amp;F3176</f>
        <v>AfricaElectricityTotal electricityUSD/ ton HTL oil</v>
      </c>
      <c r="C3176" s="494" t="str">
        <f>+$C$2957</f>
        <v>Africa</v>
      </c>
      <c r="D3176" t="s">
        <v>54</v>
      </c>
      <c r="E3176" s="48" t="s">
        <v>1295</v>
      </c>
      <c r="F3176" s="128" t="s">
        <v>1296</v>
      </c>
      <c r="G3176" s="8">
        <f t="shared" ref="G3176:M3176" si="1837">G3178*G3177</f>
        <v>63.202704355445796</v>
      </c>
      <c r="H3176" s="8">
        <f t="shared" si="1837"/>
        <v>35.761364084933575</v>
      </c>
      <c r="I3176" s="8">
        <f t="shared" si="1837"/>
        <v>28.008812897662878</v>
      </c>
      <c r="J3176" s="8">
        <f t="shared" si="1837"/>
        <v>23.667136066103538</v>
      </c>
      <c r="K3176" s="8">
        <f t="shared" si="1837"/>
        <v>21.592117906088809</v>
      </c>
      <c r="L3176" s="8">
        <f t="shared" si="1837"/>
        <v>19.475815971079118</v>
      </c>
      <c r="M3176" s="8">
        <f t="shared" si="1837"/>
        <v>18.407682912396016</v>
      </c>
    </row>
    <row r="3177" spans="2:13" hidden="1" outlineLevel="2" x14ac:dyDescent="0.2">
      <c r="B3177" t="str">
        <f>+C3177&amp;D3177&amp;E3177&amp;F3177</f>
        <v>GlobalFeedstockHTL plant electricity demandMWh/ton fuel</v>
      </c>
      <c r="C3177" s="494" t="s">
        <v>109</v>
      </c>
      <c r="D3177" t="s">
        <v>777</v>
      </c>
      <c r="E3177" t="s">
        <v>1297</v>
      </c>
      <c r="F3177" t="s">
        <v>1298</v>
      </c>
      <c r="G3177" s="521">
        <f>INDEX('Fuel Model -  Input'!$B$3:$N$373,MATCH($B3177,'Fuel Model -  Input'!$B$3:$B$373,0),MATCH(G$2,'Fuel Model -  Input'!$B$3:$N$3,0))</f>
        <v>0.80044621912790992</v>
      </c>
      <c r="H3177" s="521">
        <f>INDEX('Fuel Model -  Input'!$B$3:$N$373,MATCH($B3177,'Fuel Model -  Input'!$B$3:$B$373,0),MATCH(H$2,'Fuel Model -  Input'!$B$3:$N$3,0))</f>
        <v>0.80044621912790992</v>
      </c>
      <c r="I3177" s="521">
        <f>INDEX('Fuel Model -  Input'!$B$3:$N$373,MATCH($B3177,'Fuel Model -  Input'!$B$3:$B$373,0),MATCH(I$2,'Fuel Model -  Input'!$B$3:$N$3,0))</f>
        <v>0.79751787885447367</v>
      </c>
      <c r="J3177" s="521">
        <f>INDEX('Fuel Model -  Input'!$B$3:$N$373,MATCH($B3177,'Fuel Model -  Input'!$B$3:$B$373,0),MATCH(J$2,'Fuel Model -  Input'!$B$3:$N$3,0))</f>
        <v>0.79458953858103754</v>
      </c>
      <c r="K3177" s="521">
        <f>INDEX('Fuel Model -  Input'!$B$3:$N$373,MATCH($B3177,'Fuel Model -  Input'!$B$3:$B$373,0),MATCH(K$2,'Fuel Model -  Input'!$B$3:$N$3,0))</f>
        <v>0.79166119830760129</v>
      </c>
      <c r="L3177" s="521">
        <f>INDEX('Fuel Model -  Input'!$B$3:$N$373,MATCH($B3177,'Fuel Model -  Input'!$B$3:$B$373,0),MATCH(L$2,'Fuel Model -  Input'!$B$3:$N$3,0))</f>
        <v>0.78873285803416515</v>
      </c>
      <c r="M3177" s="521">
        <f>INDEX('Fuel Model -  Input'!$B$3:$N$373,MATCH($B3177,'Fuel Model -  Input'!$B$3:$B$373,0),MATCH(M$2,'Fuel Model -  Input'!$B$3:$N$3,0))</f>
        <v>0.7858045177607289</v>
      </c>
    </row>
    <row r="3178" spans="2:13" hidden="1" outlineLevel="2" x14ac:dyDescent="0.2">
      <c r="B3178" t="str">
        <f>+C3178&amp;D3178&amp;E3178&amp;F3178</f>
        <v>AfricaFeedstockElectricityUSD/MWh</v>
      </c>
      <c r="C3178" s="494" t="str">
        <f>+$C$2957</f>
        <v>Africa</v>
      </c>
      <c r="D3178" t="s">
        <v>777</v>
      </c>
      <c r="E3178" s="48" t="s">
        <v>54</v>
      </c>
      <c r="F3178" s="128" t="s">
        <v>196</v>
      </c>
      <c r="G3178" s="532">
        <f>INDEX('Fuel Model -  Input'!$B$3:$N$373,MATCH($B3178,'Fuel Model -  Input'!$B$3:$B$373,0),MATCH(G$2,'Fuel Model -  Input'!$B$3:$N$3,0))</f>
        <v>78.959338985079413</v>
      </c>
      <c r="H3178" s="532">
        <f>INDEX('Fuel Model -  Input'!$B$3:$N$373,MATCH($B3178,'Fuel Model -  Input'!$B$3:$B$373,0),MATCH(H$2,'Fuel Model -  Input'!$B$3:$N$3,0))</f>
        <v>44.676785560803516</v>
      </c>
      <c r="I3178" s="532">
        <f>INDEX('Fuel Model -  Input'!$B$3:$N$373,MATCH($B3178,'Fuel Model -  Input'!$B$3:$B$373,0),MATCH(I$2,'Fuel Model -  Input'!$B$3:$N$3,0))</f>
        <v>35.119981181981451</v>
      </c>
      <c r="J3178" s="532">
        <f>INDEX('Fuel Model -  Input'!$B$3:$N$373,MATCH($B3178,'Fuel Model -  Input'!$B$3:$B$373,0),MATCH(J$2,'Fuel Model -  Input'!$B$3:$N$3,0))</f>
        <v>29.785360764210218</v>
      </c>
      <c r="K3178" s="532">
        <f>INDEX('Fuel Model -  Input'!$B$3:$N$373,MATCH($B3178,'Fuel Model -  Input'!$B$3:$B$373,0),MATCH(K$2,'Fuel Model -  Input'!$B$3:$N$3,0))</f>
        <v>27.274442592674799</v>
      </c>
      <c r="L3178" s="532">
        <f>INDEX('Fuel Model -  Input'!$B$3:$N$373,MATCH($B3178,'Fuel Model -  Input'!$B$3:$B$373,0),MATCH(L$2,'Fuel Model -  Input'!$B$3:$N$3,0))</f>
        <v>24.692537876031398</v>
      </c>
      <c r="M3178" s="532">
        <f>INDEX('Fuel Model -  Input'!$B$3:$N$373,MATCH($B3178,'Fuel Model -  Input'!$B$3:$B$373,0),MATCH(M$2,'Fuel Model -  Input'!$B$3:$N$3,0))</f>
        <v>23.425269893906371</v>
      </c>
    </row>
    <row r="3179" spans="2:13" hidden="1" outlineLevel="2" x14ac:dyDescent="0.2">
      <c r="C3179" s="494"/>
      <c r="E3179" s="48"/>
      <c r="F3179" s="128"/>
    </row>
    <row r="3180" spans="2:13" hidden="1" outlineLevel="2" x14ac:dyDescent="0.2">
      <c r="B3180" t="str">
        <f t="shared" ref="B3180:B3186" si="1838">+C3180&amp;D3180&amp;E3180&amp;F3180</f>
        <v>AfricaFeedstockBiomass costUSD/ton Methanol</v>
      </c>
      <c r="C3180" s="494" t="str">
        <f>+$C$2957</f>
        <v>Africa</v>
      </c>
      <c r="D3180" t="s">
        <v>777</v>
      </c>
      <c r="E3180" s="48" t="s">
        <v>1237</v>
      </c>
      <c r="F3180" s="128" t="s">
        <v>1229</v>
      </c>
      <c r="G3180" s="8">
        <f>+G3181*G3183*G3184+G3182*G3185*G3186</f>
        <v>320.80804269389921</v>
      </c>
      <c r="H3180" s="8">
        <f t="shared" ref="H3180:M3180" si="1839">+H3181*H3183*H3184+H3182*H3185*H3186</f>
        <v>329.82532285927664</v>
      </c>
      <c r="I3180" s="8">
        <f t="shared" si="1839"/>
        <v>338.84260302465407</v>
      </c>
      <c r="J3180" s="8">
        <f t="shared" si="1839"/>
        <v>349.66333922310702</v>
      </c>
      <c r="K3180" s="8">
        <f t="shared" si="1839"/>
        <v>358.68061938848444</v>
      </c>
      <c r="L3180" s="8">
        <f t="shared" si="1839"/>
        <v>367.69789955386187</v>
      </c>
      <c r="M3180" s="8">
        <f t="shared" si="1839"/>
        <v>376.7151797192393</v>
      </c>
    </row>
    <row r="3181" spans="2:13" hidden="1" outlineLevel="2" x14ac:dyDescent="0.2">
      <c r="B3181" t="str">
        <f t="shared" si="1838"/>
        <v>GlobalFeedstockDry wood biomass market share Biomethanol%</v>
      </c>
      <c r="C3181" s="494" t="s">
        <v>109</v>
      </c>
      <c r="D3181" t="s">
        <v>777</v>
      </c>
      <c r="E3181" t="s">
        <v>1238</v>
      </c>
      <c r="F3181" t="s">
        <v>178</v>
      </c>
      <c r="G3181" s="531">
        <f>+INDEX('Fuel Model -  Input'!$B$3:$N$1312,MATCH($B3181,'Fuel Model -  Input'!$B$3:$B$1312,0),MATCH(G$2,'Fuel Model -  Input'!$B$3:$N$3,0))</f>
        <v>0.5</v>
      </c>
      <c r="H3181" s="531">
        <f>+INDEX('Fuel Model -  Input'!$B$3:$N$1312,MATCH($B3181,'Fuel Model -  Input'!$B$3:$B$1312,0),MATCH(H$2,'Fuel Model -  Input'!$B$3:$N$3,0))</f>
        <v>0.5</v>
      </c>
      <c r="I3181" s="531">
        <f>+INDEX('Fuel Model -  Input'!$B$3:$N$1312,MATCH($B3181,'Fuel Model -  Input'!$B$3:$B$1312,0),MATCH(I$2,'Fuel Model -  Input'!$B$3:$N$3,0))</f>
        <v>0.5</v>
      </c>
      <c r="J3181" s="531">
        <f>+INDEX('Fuel Model -  Input'!$B$3:$N$1312,MATCH($B3181,'Fuel Model -  Input'!$B$3:$B$1312,0),MATCH(J$2,'Fuel Model -  Input'!$B$3:$N$3,0))</f>
        <v>0.5</v>
      </c>
      <c r="K3181" s="531">
        <f>+INDEX('Fuel Model -  Input'!$B$3:$N$1312,MATCH($B3181,'Fuel Model -  Input'!$B$3:$B$1312,0),MATCH(K$2,'Fuel Model -  Input'!$B$3:$N$3,0))</f>
        <v>0.5</v>
      </c>
      <c r="L3181" s="531">
        <f>+INDEX('Fuel Model -  Input'!$B$3:$N$1312,MATCH($B3181,'Fuel Model -  Input'!$B$3:$B$1312,0),MATCH(L$2,'Fuel Model -  Input'!$B$3:$N$3,0))</f>
        <v>0.5</v>
      </c>
      <c r="M3181" s="531">
        <f>+INDEX('Fuel Model -  Input'!$B$3:$N$1312,MATCH($B3181,'Fuel Model -  Input'!$B$3:$B$1312,0),MATCH(M$2,'Fuel Model -  Input'!$B$3:$N$3,0))</f>
        <v>0.5</v>
      </c>
    </row>
    <row r="3182" spans="2:13" hidden="1" outlineLevel="2" x14ac:dyDescent="0.2">
      <c r="B3182" t="str">
        <f t="shared" si="1838"/>
        <v>GlobalFeedstockOrganic wet wate market share Biomethanol%</v>
      </c>
      <c r="C3182" s="494" t="s">
        <v>109</v>
      </c>
      <c r="D3182" t="s">
        <v>777</v>
      </c>
      <c r="E3182" t="s">
        <v>1239</v>
      </c>
      <c r="F3182" t="s">
        <v>178</v>
      </c>
      <c r="G3182" s="531">
        <f>+INDEX('Fuel Model -  Input'!$B$3:$N$1312,MATCH($B3182,'Fuel Model -  Input'!$B$3:$B$1312,0),MATCH(G$2,'Fuel Model -  Input'!$B$3:$N$3,0))</f>
        <v>0.5</v>
      </c>
      <c r="H3182" s="531">
        <f>+INDEX('Fuel Model -  Input'!$B$3:$N$1312,MATCH($B3182,'Fuel Model -  Input'!$B$3:$B$1312,0),MATCH(H$2,'Fuel Model -  Input'!$B$3:$N$3,0))</f>
        <v>0.5</v>
      </c>
      <c r="I3182" s="531">
        <f>+INDEX('Fuel Model -  Input'!$B$3:$N$1312,MATCH($B3182,'Fuel Model -  Input'!$B$3:$B$1312,0),MATCH(I$2,'Fuel Model -  Input'!$B$3:$N$3,0))</f>
        <v>0.5</v>
      </c>
      <c r="J3182" s="531">
        <f>+INDEX('Fuel Model -  Input'!$B$3:$N$1312,MATCH($B3182,'Fuel Model -  Input'!$B$3:$B$1312,0),MATCH(J$2,'Fuel Model -  Input'!$B$3:$N$3,0))</f>
        <v>0.5</v>
      </c>
      <c r="K3182" s="531">
        <f>+INDEX('Fuel Model -  Input'!$B$3:$N$1312,MATCH($B3182,'Fuel Model -  Input'!$B$3:$B$1312,0),MATCH(K$2,'Fuel Model -  Input'!$B$3:$N$3,0))</f>
        <v>0.5</v>
      </c>
      <c r="L3182" s="531">
        <f>+INDEX('Fuel Model -  Input'!$B$3:$N$1312,MATCH($B3182,'Fuel Model -  Input'!$B$3:$B$1312,0),MATCH(L$2,'Fuel Model -  Input'!$B$3:$N$3,0))</f>
        <v>0.5</v>
      </c>
      <c r="M3182" s="531">
        <f>+INDEX('Fuel Model -  Input'!$B$3:$N$1312,MATCH($B3182,'Fuel Model -  Input'!$B$3:$B$1312,0),MATCH(M$2,'Fuel Model -  Input'!$B$3:$N$3,0))</f>
        <v>0.5</v>
      </c>
    </row>
    <row r="3183" spans="2:13" hidden="1" outlineLevel="2" x14ac:dyDescent="0.2">
      <c r="B3183" t="str">
        <f t="shared" si="1838"/>
        <v>GlobalFeedstockConversion Organic wet waste : HTL oilTon feedstock / ton fuel</v>
      </c>
      <c r="C3183" s="494" t="s">
        <v>109</v>
      </c>
      <c r="D3183" t="s">
        <v>777</v>
      </c>
      <c r="E3183" t="s">
        <v>1307</v>
      </c>
      <c r="F3183" s="128" t="s">
        <v>1241</v>
      </c>
      <c r="G3183" s="521">
        <f>INDEX('Fuel Model -  Input'!$B$3:$N$373,MATCH($B3183,'Fuel Model -  Input'!$B$3:$B$373,0),MATCH(G$2,'Fuel Model -  Input'!$B$3:$N$3,0))</f>
        <v>4.4642857142857135</v>
      </c>
      <c r="H3183" s="521">
        <f>INDEX('Fuel Model -  Input'!$B$3:$N$373,MATCH($B3183,'Fuel Model -  Input'!$B$3:$B$373,0),MATCH(H$2,'Fuel Model -  Input'!$B$3:$N$3,0))</f>
        <v>4.4642857142857135</v>
      </c>
      <c r="I3183" s="521">
        <f>INDEX('Fuel Model -  Input'!$B$3:$N$373,MATCH($B3183,'Fuel Model -  Input'!$B$3:$B$373,0),MATCH(I$2,'Fuel Model -  Input'!$B$3:$N$3,0))</f>
        <v>4.4642857142857135</v>
      </c>
      <c r="J3183" s="521">
        <f>INDEX('Fuel Model -  Input'!$B$3:$N$373,MATCH($B3183,'Fuel Model -  Input'!$B$3:$B$373,0),MATCH(J$2,'Fuel Model -  Input'!$B$3:$N$3,0))</f>
        <v>4.4642857142857135</v>
      </c>
      <c r="K3183" s="521">
        <f>INDEX('Fuel Model -  Input'!$B$3:$N$373,MATCH($B3183,'Fuel Model -  Input'!$B$3:$B$373,0),MATCH(K$2,'Fuel Model -  Input'!$B$3:$N$3,0))</f>
        <v>4.4642857142857135</v>
      </c>
      <c r="L3183" s="521">
        <f>INDEX('Fuel Model -  Input'!$B$3:$N$373,MATCH($B3183,'Fuel Model -  Input'!$B$3:$B$373,0),MATCH(L$2,'Fuel Model -  Input'!$B$3:$N$3,0))</f>
        <v>4.4642857142857135</v>
      </c>
      <c r="M3183" s="521">
        <f>INDEX('Fuel Model -  Input'!$B$3:$N$373,MATCH($B3183,'Fuel Model -  Input'!$B$3:$B$373,0),MATCH(M$2,'Fuel Model -  Input'!$B$3:$N$3,0))</f>
        <v>4.4642857142857135</v>
      </c>
    </row>
    <row r="3184" spans="2:13" hidden="1" outlineLevel="2" x14ac:dyDescent="0.2">
      <c r="B3184" t="str">
        <f t="shared" si="1838"/>
        <v>AfricaFeedstockCost of Organic wet wasteUSD/ton</v>
      </c>
      <c r="C3184" s="494" t="str">
        <f>+$C$2957</f>
        <v>Africa</v>
      </c>
      <c r="D3184" t="s">
        <v>777</v>
      </c>
      <c r="E3184" s="48" t="s">
        <v>1242</v>
      </c>
      <c r="F3184" s="450" t="s">
        <v>205</v>
      </c>
      <c r="G3184" s="532">
        <f>+INDEX('Fuel Model -  Input'!$B$3:$N$373,MATCH($B3184,'Fuel Model -  Input'!$B$3:$B$373,0),MATCH(G$2,'Fuel Model -  Input'!$B$3:$N$3,0))</f>
        <v>50</v>
      </c>
      <c r="H3184" s="532">
        <f>+INDEX('Fuel Model -  Input'!$B$3:$N$373,MATCH($B3184,'Fuel Model -  Input'!$B$3:$B$373,0),MATCH(H$2,'Fuel Model -  Input'!$B$3:$N$3,0))</f>
        <v>50</v>
      </c>
      <c r="I3184" s="532">
        <f>+INDEX('Fuel Model -  Input'!$B$3:$N$373,MATCH($B3184,'Fuel Model -  Input'!$B$3:$B$373,0),MATCH(I$2,'Fuel Model -  Input'!$B$3:$N$3,0))</f>
        <v>50</v>
      </c>
      <c r="J3184" s="532">
        <f>+INDEX('Fuel Model -  Input'!$B$3:$N$373,MATCH($B3184,'Fuel Model -  Input'!$B$3:$B$373,0),MATCH(J$2,'Fuel Model -  Input'!$B$3:$N$3,0))</f>
        <v>50</v>
      </c>
      <c r="K3184" s="532">
        <f>+INDEX('Fuel Model -  Input'!$B$3:$N$373,MATCH($B3184,'Fuel Model -  Input'!$B$3:$B$373,0),MATCH(K$2,'Fuel Model -  Input'!$B$3:$N$3,0))</f>
        <v>50</v>
      </c>
      <c r="L3184" s="532">
        <f>+INDEX('Fuel Model -  Input'!$B$3:$N$373,MATCH($B3184,'Fuel Model -  Input'!$B$3:$B$373,0),MATCH(L$2,'Fuel Model -  Input'!$B$3:$N$3,0))</f>
        <v>50</v>
      </c>
      <c r="M3184" s="532">
        <f>+INDEX('Fuel Model -  Input'!$B$3:$N$373,MATCH($B3184,'Fuel Model -  Input'!$B$3:$B$373,0),MATCH(M$2,'Fuel Model -  Input'!$B$3:$N$3,0))</f>
        <v>50</v>
      </c>
    </row>
    <row r="3185" spans="2:13" hidden="1" outlineLevel="2" x14ac:dyDescent="0.2">
      <c r="B3185" t="str">
        <f t="shared" si="1838"/>
        <v>GlobalFeedstockConversion Dry Wood biomass : HTL oilTon feedstock / ton fuel</v>
      </c>
      <c r="C3185" s="494" t="s">
        <v>109</v>
      </c>
      <c r="D3185" t="s">
        <v>777</v>
      </c>
      <c r="E3185" s="48" t="s">
        <v>1308</v>
      </c>
      <c r="F3185" s="128" t="s">
        <v>1241</v>
      </c>
      <c r="G3185" s="521">
        <f>INDEX('Fuel Model -  Input'!$B$3:$N$373,MATCH($B3185,'Fuel Model -  Input'!$B$3:$B$373,0),MATCH(G$2,'Fuel Model -  Input'!$B$3:$N$3,0))</f>
        <v>3.6069120661509726</v>
      </c>
      <c r="H3185" s="521">
        <f>INDEX('Fuel Model -  Input'!$B$3:$N$373,MATCH($B3185,'Fuel Model -  Input'!$B$3:$B$373,0),MATCH(H$2,'Fuel Model -  Input'!$B$3:$N$3,0))</f>
        <v>3.6069120661509726</v>
      </c>
      <c r="I3185" s="521">
        <f>INDEX('Fuel Model -  Input'!$B$3:$N$373,MATCH($B3185,'Fuel Model -  Input'!$B$3:$B$373,0),MATCH(I$2,'Fuel Model -  Input'!$B$3:$N$3,0))</f>
        <v>3.6069120661509726</v>
      </c>
      <c r="J3185" s="521">
        <f>INDEX('Fuel Model -  Input'!$B$3:$N$373,MATCH($B3185,'Fuel Model -  Input'!$B$3:$B$373,0),MATCH(J$2,'Fuel Model -  Input'!$B$3:$N$3,0))</f>
        <v>3.6069120661509726</v>
      </c>
      <c r="K3185" s="521">
        <f>INDEX('Fuel Model -  Input'!$B$3:$N$373,MATCH($B3185,'Fuel Model -  Input'!$B$3:$B$373,0),MATCH(K$2,'Fuel Model -  Input'!$B$3:$N$3,0))</f>
        <v>3.6069120661509726</v>
      </c>
      <c r="L3185" s="521">
        <f>INDEX('Fuel Model -  Input'!$B$3:$N$373,MATCH($B3185,'Fuel Model -  Input'!$B$3:$B$373,0),MATCH(L$2,'Fuel Model -  Input'!$B$3:$N$3,0))</f>
        <v>3.6069120661509726</v>
      </c>
      <c r="M3185" s="521">
        <f>INDEX('Fuel Model -  Input'!$B$3:$N$373,MATCH($B3185,'Fuel Model -  Input'!$B$3:$B$373,0),MATCH(M$2,'Fuel Model -  Input'!$B$3:$N$3,0))</f>
        <v>3.6069120661509726</v>
      </c>
    </row>
    <row r="3186" spans="2:13" hidden="1" outlineLevel="2" x14ac:dyDescent="0.2">
      <c r="B3186" t="str">
        <f t="shared" si="1838"/>
        <v>AfricaFeedstockCost of Wood biomassUSD/ton Wood</v>
      </c>
      <c r="C3186" s="494" t="s">
        <v>200</v>
      </c>
      <c r="D3186" t="s">
        <v>777</v>
      </c>
      <c r="E3186" s="48" t="s">
        <v>1244</v>
      </c>
      <c r="F3186" s="128" t="s">
        <v>1245</v>
      </c>
      <c r="G3186" s="524">
        <f>+INDEX('Fuel Model -  Input'!$B$3:$N$373,MATCH($B3186,'Fuel Model -  Input'!$B$3:$B$373,0),MATCH(G$2,'Fuel Model -  Input'!$B$3:$N$3,0))</f>
        <v>116</v>
      </c>
      <c r="H3186" s="524">
        <f>+INDEX('Fuel Model -  Input'!$B$3:$N$373,MATCH($B3186,'Fuel Model -  Input'!$B$3:$B$373,0),MATCH(H$2,'Fuel Model -  Input'!$B$3:$N$3,0))</f>
        <v>121</v>
      </c>
      <c r="I3186" s="524">
        <f>+INDEX('Fuel Model -  Input'!$B$3:$N$373,MATCH($B3186,'Fuel Model -  Input'!$B$3:$B$373,0),MATCH(I$2,'Fuel Model -  Input'!$B$3:$N$3,0))</f>
        <v>126</v>
      </c>
      <c r="J3186" s="524">
        <f>+INDEX('Fuel Model -  Input'!$B$3:$N$373,MATCH($B3186,'Fuel Model -  Input'!$B$3:$B$373,0),MATCH(J$2,'Fuel Model -  Input'!$B$3:$N$3,0))</f>
        <v>132</v>
      </c>
      <c r="K3186" s="524">
        <f>+INDEX('Fuel Model -  Input'!$B$3:$N$373,MATCH($B3186,'Fuel Model -  Input'!$B$3:$B$373,0),MATCH(K$2,'Fuel Model -  Input'!$B$3:$N$3,0))</f>
        <v>137</v>
      </c>
      <c r="L3186" s="524">
        <f>+INDEX('Fuel Model -  Input'!$B$3:$N$373,MATCH($B3186,'Fuel Model -  Input'!$B$3:$B$373,0),MATCH(L$2,'Fuel Model -  Input'!$B$3:$N$3,0))</f>
        <v>142</v>
      </c>
      <c r="M3186" s="524">
        <f>+INDEX('Fuel Model -  Input'!$B$3:$N$373,MATCH($B3186,'Fuel Model -  Input'!$B$3:$B$373,0),MATCH(M$2,'Fuel Model -  Input'!$B$3:$N$3,0))</f>
        <v>147</v>
      </c>
    </row>
    <row r="3187" spans="2:13" hidden="1" outlineLevel="1" x14ac:dyDescent="0.2">
      <c r="E3187" s="48"/>
      <c r="F3187" s="128"/>
    </row>
    <row r="3188" spans="2:13" ht="15" hidden="1" outlineLevel="1" x14ac:dyDescent="0.25">
      <c r="B3188" s="30" t="s">
        <v>1309</v>
      </c>
      <c r="C3188" s="30" t="str">
        <f>+B3188</f>
        <v>CO2eq intensity ton/ton HTL oil</v>
      </c>
      <c r="F3188"/>
      <c r="G3188" s="9"/>
    </row>
    <row r="3189" spans="2:13" ht="15" hidden="1" outlineLevel="1" collapsed="1" x14ac:dyDescent="0.25">
      <c r="B3189" s="527" t="str">
        <f>+C3189&amp;D3189&amp;E3189&amp;F3189</f>
        <v xml:space="preserve">GlobalEmissionsWTT emission - Biodiesel (HtL blend)tonCO2eq/ ton </v>
      </c>
      <c r="C3189" s="257" t="s">
        <v>109</v>
      </c>
      <c r="D3189" s="257" t="s">
        <v>728</v>
      </c>
      <c r="E3189" s="516" t="s">
        <v>1339</v>
      </c>
      <c r="F3189" s="539" t="s">
        <v>1016</v>
      </c>
      <c r="G3189" s="566">
        <f>G3191*G3193+G3192*G3195</f>
        <v>-0.12831027398621947</v>
      </c>
      <c r="H3189" s="566">
        <f t="shared" ref="H3189:M3189" si="1840">H3191*H3193+H3192*H3195</f>
        <v>-0.14444862911648365</v>
      </c>
      <c r="I3189" s="566">
        <f t="shared" si="1840"/>
        <v>-0.16059327432165488</v>
      </c>
      <c r="J3189" s="566">
        <f t="shared" si="1840"/>
        <v>-0.17673791952682633</v>
      </c>
      <c r="K3189" s="566">
        <f t="shared" si="1840"/>
        <v>-0.19288256473199777</v>
      </c>
      <c r="L3189" s="566">
        <f t="shared" si="1840"/>
        <v>-0.20902720993716911</v>
      </c>
      <c r="M3189" s="566">
        <f t="shared" si="1840"/>
        <v>-0.22517185514234067</v>
      </c>
    </row>
    <row r="3190" spans="2:13" ht="12.75" hidden="1" outlineLevel="2" x14ac:dyDescent="0.2">
      <c r="F3190"/>
    </row>
    <row r="3191" spans="2:13" hidden="1" outlineLevel="2" x14ac:dyDescent="0.2">
      <c r="B3191" s="496" t="str">
        <f>+C3191&amp;D3191&amp;E3191&amp;F3191</f>
        <v>GlobalEmissionsWTT Emission - LSFOtonCO2eq/ ton</v>
      </c>
      <c r="C3191" s="157" t="s">
        <v>109</v>
      </c>
      <c r="D3191" s="157" t="s">
        <v>728</v>
      </c>
      <c r="E3191" s="157" t="s">
        <v>1137</v>
      </c>
      <c r="F3191" s="157" t="s">
        <v>1138</v>
      </c>
      <c r="G3191" s="567">
        <f>INDEX('Fuel Model -  Input'!$B$3:$N$373,MATCH($B3191,'Fuel Model -  Input'!$B$3:$B$373,0),MATCH(G$2,'Fuel Model -  Input'!$B$3:$N$3,0))</f>
        <v>0.65508</v>
      </c>
      <c r="H3191" s="567">
        <f>INDEX('Fuel Model -  Input'!$B$3:$N$373,MATCH($B3191,'Fuel Model -  Input'!$B$3:$B$373,0),MATCH(H$2,'Fuel Model -  Input'!$B$3:$N$3,0))</f>
        <v>0.65508</v>
      </c>
      <c r="I3191" s="567">
        <f>INDEX('Fuel Model -  Input'!$B$3:$N$373,MATCH($B3191,'Fuel Model -  Input'!$B$3:$B$373,0),MATCH(I$2,'Fuel Model -  Input'!$B$3:$N$3,0))</f>
        <v>0.65508</v>
      </c>
      <c r="J3191" s="567">
        <f>INDEX('Fuel Model -  Input'!$B$3:$N$373,MATCH($B3191,'Fuel Model -  Input'!$B$3:$B$373,0),MATCH(J$2,'Fuel Model -  Input'!$B$3:$N$3,0))</f>
        <v>0.65508</v>
      </c>
      <c r="K3191" s="567">
        <f>INDEX('Fuel Model -  Input'!$B$3:$N$373,MATCH($B3191,'Fuel Model -  Input'!$B$3:$B$373,0),MATCH(K$2,'Fuel Model -  Input'!$B$3:$N$3,0))</f>
        <v>0.65508</v>
      </c>
      <c r="L3191" s="567">
        <f>INDEX('Fuel Model -  Input'!$B$3:$N$373,MATCH($B3191,'Fuel Model -  Input'!$B$3:$B$373,0),MATCH(L$2,'Fuel Model -  Input'!$B$3:$N$3,0))</f>
        <v>0.65508</v>
      </c>
      <c r="M3191" s="567">
        <f>INDEX('Fuel Model -  Input'!$B$3:$N$373,MATCH($B3191,'Fuel Model -  Input'!$B$3:$B$373,0),MATCH(M$2,'Fuel Model -  Input'!$B$3:$N$3,0))</f>
        <v>0.65508</v>
      </c>
    </row>
    <row r="3192" spans="2:13" hidden="1" outlineLevel="2" x14ac:dyDescent="0.2">
      <c r="B3192" s="496" t="str">
        <f>+C3192&amp;D3192&amp;E3192&amp;F3192</f>
        <v>GlobalFeedstockConversion HTL blend grade : HTL VLSFO blendTon feedstock / ton fuel</v>
      </c>
      <c r="C3192" t="s">
        <v>109</v>
      </c>
      <c r="D3192" t="s">
        <v>777</v>
      </c>
      <c r="E3192" t="s">
        <v>1325</v>
      </c>
      <c r="F3192" t="s">
        <v>1241</v>
      </c>
      <c r="G3192" s="520">
        <f>INDEX('Fuel Model -  Input'!$B$3:$N$373,MATCH($B3192,'Fuel Model -  Input'!$B$3:$B$373,0),MATCH(G$2,'Fuel Model -  Input'!$B$3:$N$3,0))</f>
        <v>0.4</v>
      </c>
      <c r="H3192" s="520">
        <f>INDEX('Fuel Model -  Input'!$B$3:$N$373,MATCH($B3192,'Fuel Model -  Input'!$B$3:$B$373,0),MATCH(H$2,'Fuel Model -  Input'!$B$3:$N$3,0))</f>
        <v>0.4</v>
      </c>
      <c r="I3192" s="520">
        <f>INDEX('Fuel Model -  Input'!$B$3:$N$373,MATCH($B3192,'Fuel Model -  Input'!$B$3:$B$373,0),MATCH(I$2,'Fuel Model -  Input'!$B$3:$N$3,0))</f>
        <v>0.4</v>
      </c>
      <c r="J3192" s="520">
        <f>INDEX('Fuel Model -  Input'!$B$3:$N$373,MATCH($B3192,'Fuel Model -  Input'!$B$3:$B$373,0),MATCH(J$2,'Fuel Model -  Input'!$B$3:$N$3,0))</f>
        <v>0.4</v>
      </c>
      <c r="K3192" s="520">
        <f>INDEX('Fuel Model -  Input'!$B$3:$N$373,MATCH($B3192,'Fuel Model -  Input'!$B$3:$B$373,0),MATCH(K$2,'Fuel Model -  Input'!$B$3:$N$3,0))</f>
        <v>0.4</v>
      </c>
      <c r="L3192" s="520">
        <f>INDEX('Fuel Model -  Input'!$B$3:$N$373,MATCH($B3192,'Fuel Model -  Input'!$B$3:$B$373,0),MATCH(L$2,'Fuel Model -  Input'!$B$3:$N$3,0))</f>
        <v>0.4</v>
      </c>
      <c r="M3192" s="520">
        <f>INDEX('Fuel Model -  Input'!$B$3:$N$373,MATCH($B3192,'Fuel Model -  Input'!$B$3:$B$373,0),MATCH(M$2,'Fuel Model -  Input'!$B$3:$N$3,0))</f>
        <v>0.4</v>
      </c>
    </row>
    <row r="3193" spans="2:13" hidden="1" outlineLevel="2" x14ac:dyDescent="0.2">
      <c r="B3193" s="496" t="str">
        <f>+C3193&amp;D3193&amp;E3193&amp;F3193</f>
        <v>GlobalFeedstockConversion VLSFO : HTL VLSFO blendTon feedstock / ton fuel</v>
      </c>
      <c r="C3193" t="s">
        <v>109</v>
      </c>
      <c r="D3193" t="s">
        <v>777</v>
      </c>
      <c r="E3193" t="s">
        <v>1326</v>
      </c>
      <c r="F3193" t="s">
        <v>1241</v>
      </c>
      <c r="G3193" s="520">
        <f>INDEX('Fuel Model -  Input'!$B$3:$N$373,MATCH($B3193,'Fuel Model -  Input'!$B$3:$B$373,0),MATCH(G$2,'Fuel Model -  Input'!$B$3:$N$3,0))</f>
        <v>0.6</v>
      </c>
      <c r="H3193" s="520">
        <f>INDEX('Fuel Model -  Input'!$B$3:$N$373,MATCH($B3193,'Fuel Model -  Input'!$B$3:$B$373,0),MATCH(H$2,'Fuel Model -  Input'!$B$3:$N$3,0))</f>
        <v>0.6</v>
      </c>
      <c r="I3193" s="520">
        <f>INDEX('Fuel Model -  Input'!$B$3:$N$373,MATCH($B3193,'Fuel Model -  Input'!$B$3:$B$373,0),MATCH(I$2,'Fuel Model -  Input'!$B$3:$N$3,0))</f>
        <v>0.6</v>
      </c>
      <c r="J3193" s="520">
        <f>INDEX('Fuel Model -  Input'!$B$3:$N$373,MATCH($B3193,'Fuel Model -  Input'!$B$3:$B$373,0),MATCH(J$2,'Fuel Model -  Input'!$B$3:$N$3,0))</f>
        <v>0.6</v>
      </c>
      <c r="K3193" s="520">
        <f>INDEX('Fuel Model -  Input'!$B$3:$N$373,MATCH($B3193,'Fuel Model -  Input'!$B$3:$B$373,0),MATCH(K$2,'Fuel Model -  Input'!$B$3:$N$3,0))</f>
        <v>0.6</v>
      </c>
      <c r="L3193" s="520">
        <f>INDEX('Fuel Model -  Input'!$B$3:$N$373,MATCH($B3193,'Fuel Model -  Input'!$B$3:$B$373,0),MATCH(L$2,'Fuel Model -  Input'!$B$3:$N$3,0))</f>
        <v>0.6</v>
      </c>
      <c r="M3193" s="520">
        <f>INDEX('Fuel Model -  Input'!$B$3:$N$373,MATCH($B3193,'Fuel Model -  Input'!$B$3:$B$373,0),MATCH(M$2,'Fuel Model -  Input'!$B$3:$N$3,0))</f>
        <v>0.6</v>
      </c>
    </row>
    <row r="3194" spans="2:13" hidden="1" outlineLevel="2" x14ac:dyDescent="0.2">
      <c r="B3194" s="496"/>
      <c r="F3194"/>
      <c r="G3194" s="520"/>
      <c r="H3194" s="520"/>
      <c r="I3194" s="520"/>
      <c r="J3194" s="520"/>
      <c r="K3194" s="520"/>
      <c r="L3194" s="520"/>
      <c r="M3194" s="520"/>
    </row>
    <row r="3195" spans="2:13" ht="15" hidden="1" outlineLevel="2" x14ac:dyDescent="0.25">
      <c r="B3195" s="496" t="str">
        <f>+C3195&amp;D3195&amp;E3195&amp;F3195</f>
        <v xml:space="preserve">GlobalEmissionsWTT emission - HTL oil for blendtonCO2eq/ ton </v>
      </c>
      <c r="C3195" s="157" t="s">
        <v>109</v>
      </c>
      <c r="D3195" s="157" t="s">
        <v>728</v>
      </c>
      <c r="E3195" s="157" t="s">
        <v>1340</v>
      </c>
      <c r="F3195" s="157" t="s">
        <v>1016</v>
      </c>
      <c r="G3195" s="568">
        <f>-G3196+G3197*G3198+G3199+G3200*G3202*G3205+G3201*G3204*G3203</f>
        <v>-1.3033956849655486</v>
      </c>
      <c r="H3195" s="568">
        <f t="shared" ref="H3195:M3195" si="1841">-H3196+H3197*H3198+H3199+H3200*H3202*H3205+H3201*H3204*H3203</f>
        <v>-1.343741572791209</v>
      </c>
      <c r="I3195" s="568">
        <f t="shared" si="1841"/>
        <v>-1.3841031858041373</v>
      </c>
      <c r="J3195" s="568">
        <f t="shared" si="1841"/>
        <v>-1.4244647988170658</v>
      </c>
      <c r="K3195" s="568">
        <f t="shared" si="1841"/>
        <v>-1.4648264118299945</v>
      </c>
      <c r="L3195" s="568">
        <f t="shared" si="1841"/>
        <v>-1.5051880248429228</v>
      </c>
      <c r="M3195" s="568">
        <f t="shared" si="1841"/>
        <v>-1.5455496378558515</v>
      </c>
    </row>
    <row r="3196" spans="2:13" hidden="1" outlineLevel="2" x14ac:dyDescent="0.2">
      <c r="B3196" s="496" t="str">
        <f>+C3196&amp;D3196&amp;E3196&amp;F3196</f>
        <v>GlobalTTW CO2_Biodiesel (HtL blend)tonCO2eq/ton HTL Oil</v>
      </c>
      <c r="C3196" s="157" t="s">
        <v>109</v>
      </c>
      <c r="D3196" s="157" t="s">
        <v>1248</v>
      </c>
      <c r="E3196" s="157" t="s">
        <v>595</v>
      </c>
      <c r="F3196" s="157" t="s">
        <v>1311</v>
      </c>
      <c r="G3196" s="567">
        <f>INDEX('Fuel Model -  Input'!$B$3:$N$373,MATCH($B3196,'Fuel Model -  Input'!$B$3:$B$373,0),MATCH(G$2,'Fuel Model -  Input'!$B$3:$N$3,0))</f>
        <v>1.5766666666666667</v>
      </c>
      <c r="H3196" s="567">
        <f>INDEX('Fuel Model -  Input'!$B$3:$N$373,MATCH($B3196,'Fuel Model -  Input'!$B$3:$B$373,0),MATCH(H$2,'Fuel Model -  Input'!$B$3:$N$3,0))</f>
        <v>1.5766666666666667</v>
      </c>
      <c r="I3196" s="567">
        <f>INDEX('Fuel Model -  Input'!$B$3:$N$373,MATCH($B3196,'Fuel Model -  Input'!$B$3:$B$373,0),MATCH(I$2,'Fuel Model -  Input'!$B$3:$N$3,0))</f>
        <v>1.5766666666666667</v>
      </c>
      <c r="J3196" s="567">
        <f>INDEX('Fuel Model -  Input'!$B$3:$N$373,MATCH($B3196,'Fuel Model -  Input'!$B$3:$B$373,0),MATCH(J$2,'Fuel Model -  Input'!$B$3:$N$3,0))</f>
        <v>1.5766666666666667</v>
      </c>
      <c r="K3196" s="567">
        <f>INDEX('Fuel Model -  Input'!$B$3:$N$373,MATCH($B3196,'Fuel Model -  Input'!$B$3:$B$373,0),MATCH(K$2,'Fuel Model -  Input'!$B$3:$N$3,0))</f>
        <v>1.5766666666666667</v>
      </c>
      <c r="L3196" s="567">
        <f>INDEX('Fuel Model -  Input'!$B$3:$N$373,MATCH($B3196,'Fuel Model -  Input'!$B$3:$B$373,0),MATCH(L$2,'Fuel Model -  Input'!$B$3:$N$3,0))</f>
        <v>1.5766666666666667</v>
      </c>
      <c r="M3196" s="567">
        <f>INDEX('Fuel Model -  Input'!$B$3:$N$373,MATCH($B3196,'Fuel Model -  Input'!$B$3:$B$373,0),MATCH(M$2,'Fuel Model -  Input'!$B$3:$N$3,0))</f>
        <v>1.5766666666666667</v>
      </c>
    </row>
    <row r="3197" spans="2:13" hidden="1" outlineLevel="2" x14ac:dyDescent="0.2">
      <c r="B3197" s="496" t="str">
        <f>+C3197&amp;D3197&amp;E3197&amp;F3197</f>
        <v>GlobalCO2intensityElectricitytonCO2eq/MWH</v>
      </c>
      <c r="C3197" t="s">
        <v>109</v>
      </c>
      <c r="D3197" t="s">
        <v>927</v>
      </c>
      <c r="E3197" t="s">
        <v>54</v>
      </c>
      <c r="F3197" t="s">
        <v>937</v>
      </c>
      <c r="G3197" s="520">
        <f>INDEX('Fuel Model -  Input'!$B$3:$N$373,MATCH($B3197,'Fuel Model -  Input'!$B$3:$B$373,0),MATCH(G$2,'Fuel Model -  Input'!$B$3:$N$3,0))</f>
        <v>5.3699999999999998E-3</v>
      </c>
      <c r="H3197" s="520">
        <f>INDEX('Fuel Model -  Input'!$B$3:$N$373,MATCH($B3197,'Fuel Model -  Input'!$B$3:$B$373,0),MATCH(H$2,'Fuel Model -  Input'!$B$3:$N$3,0))</f>
        <v>5.3699999999999998E-3</v>
      </c>
      <c r="I3197" s="520">
        <f>INDEX('Fuel Model -  Input'!$B$3:$N$373,MATCH($B3197,'Fuel Model -  Input'!$B$3:$B$373,0),MATCH(I$2,'Fuel Model -  Input'!$B$3:$N$3,0))</f>
        <v>5.3699999999999998E-3</v>
      </c>
      <c r="J3197" s="520">
        <f>INDEX('Fuel Model -  Input'!$B$3:$N$373,MATCH($B3197,'Fuel Model -  Input'!$B$3:$B$373,0),MATCH(J$2,'Fuel Model -  Input'!$B$3:$N$3,0))</f>
        <v>5.3699999999999998E-3</v>
      </c>
      <c r="K3197" s="520">
        <f>INDEX('Fuel Model -  Input'!$B$3:$N$373,MATCH($B3197,'Fuel Model -  Input'!$B$3:$B$373,0),MATCH(K$2,'Fuel Model -  Input'!$B$3:$N$3,0))</f>
        <v>5.3699999999999998E-3</v>
      </c>
      <c r="L3197" s="520">
        <f>INDEX('Fuel Model -  Input'!$B$3:$N$373,MATCH($B3197,'Fuel Model -  Input'!$B$3:$B$373,0),MATCH(L$2,'Fuel Model -  Input'!$B$3:$N$3,0))</f>
        <v>5.3699999999999998E-3</v>
      </c>
      <c r="M3197" s="520">
        <f>INDEX('Fuel Model -  Input'!$B$3:$N$373,MATCH($B3197,'Fuel Model -  Input'!$B$3:$B$373,0),MATCH(M$2,'Fuel Model -  Input'!$B$3:$N$3,0))</f>
        <v>5.3699999999999998E-3</v>
      </c>
    </row>
    <row r="3198" spans="2:13" hidden="1" outlineLevel="2" x14ac:dyDescent="0.2">
      <c r="B3198" s="496" t="str">
        <f>+C3198&amp;D3198&amp;E3198&amp;F3198</f>
        <v>GlobalFeedstockHTL plant electricity demandMWh/ton fuel</v>
      </c>
      <c r="C3198" t="s">
        <v>109</v>
      </c>
      <c r="D3198" t="s">
        <v>777</v>
      </c>
      <c r="E3198" t="s">
        <v>1297</v>
      </c>
      <c r="F3198" t="s">
        <v>1298</v>
      </c>
      <c r="G3198" s="520">
        <f>INDEX('Fuel Model -  Input'!$B$3:$N$373,MATCH($B3198,'Fuel Model -  Input'!$B$3:$B$373,0),MATCH(G$2,'Fuel Model -  Input'!$B$3:$N$3,0))</f>
        <v>0.80044621912790992</v>
      </c>
      <c r="H3198" s="520">
        <f>INDEX('Fuel Model -  Input'!$B$3:$N$373,MATCH($B3198,'Fuel Model -  Input'!$B$3:$B$373,0),MATCH(H$2,'Fuel Model -  Input'!$B$3:$N$3,0))</f>
        <v>0.80044621912790992</v>
      </c>
      <c r="I3198" s="520">
        <f>INDEX('Fuel Model -  Input'!$B$3:$N$373,MATCH($B3198,'Fuel Model -  Input'!$B$3:$B$373,0),MATCH(I$2,'Fuel Model -  Input'!$B$3:$N$3,0))</f>
        <v>0.79751787885447367</v>
      </c>
      <c r="J3198" s="520">
        <f>INDEX('Fuel Model -  Input'!$B$3:$N$373,MATCH($B3198,'Fuel Model -  Input'!$B$3:$B$373,0),MATCH(J$2,'Fuel Model -  Input'!$B$3:$N$3,0))</f>
        <v>0.79458953858103754</v>
      </c>
      <c r="K3198" s="520">
        <f>INDEX('Fuel Model -  Input'!$B$3:$N$373,MATCH($B3198,'Fuel Model -  Input'!$B$3:$B$373,0),MATCH(K$2,'Fuel Model -  Input'!$B$3:$N$3,0))</f>
        <v>0.79166119830760129</v>
      </c>
      <c r="L3198" s="520">
        <f>INDEX('Fuel Model -  Input'!$B$3:$N$373,MATCH($B3198,'Fuel Model -  Input'!$B$3:$B$373,0),MATCH(L$2,'Fuel Model -  Input'!$B$3:$N$3,0))</f>
        <v>0.78873285803416515</v>
      </c>
      <c r="M3198" s="520">
        <f>INDEX('Fuel Model -  Input'!$B$3:$N$373,MATCH($B3198,'Fuel Model -  Input'!$B$3:$B$373,0),MATCH(M$2,'Fuel Model -  Input'!$B$3:$N$3,0))</f>
        <v>0.7858045177607289</v>
      </c>
    </row>
    <row r="3199" spans="2:13" hidden="1" outlineLevel="2" x14ac:dyDescent="0.2">
      <c r="B3199" s="496" t="str">
        <f>+C3199&amp;D3199&amp;E3199&amp;F3199</f>
        <v>GlobalCO2intensityHTL processtonCO2eq/ton HTL oil</v>
      </c>
      <c r="C3199" t="s">
        <v>109</v>
      </c>
      <c r="D3199" s="86" t="s">
        <v>927</v>
      </c>
      <c r="E3199" s="86" t="s">
        <v>1314</v>
      </c>
      <c r="F3199" t="s">
        <v>1315</v>
      </c>
      <c r="G3199" s="520">
        <f>INDEX('Fuel Model -  Input'!$B$3:$N$373,MATCH($B3199,'Fuel Model -  Input'!$B$3:$B$373,0),MATCH(G$2,'Fuel Model -  Input'!$B$3:$N$3,0))</f>
        <v>0</v>
      </c>
      <c r="H3199" s="520">
        <f>INDEX('Fuel Model -  Input'!$B$3:$N$373,MATCH($B3199,'Fuel Model -  Input'!$B$3:$B$373,0),MATCH(H$2,'Fuel Model -  Input'!$B$3:$N$3,0))</f>
        <v>0</v>
      </c>
      <c r="I3199" s="520">
        <f>INDEX('Fuel Model -  Input'!$B$3:$N$373,MATCH($B3199,'Fuel Model -  Input'!$B$3:$B$373,0),MATCH(I$2,'Fuel Model -  Input'!$B$3:$N$3,0))</f>
        <v>0</v>
      </c>
      <c r="J3199" s="520">
        <f>INDEX('Fuel Model -  Input'!$B$3:$N$373,MATCH($B3199,'Fuel Model -  Input'!$B$3:$B$373,0),MATCH(J$2,'Fuel Model -  Input'!$B$3:$N$3,0))</f>
        <v>0</v>
      </c>
      <c r="K3199" s="520">
        <f>INDEX('Fuel Model -  Input'!$B$3:$N$373,MATCH($B3199,'Fuel Model -  Input'!$B$3:$B$373,0),MATCH(K$2,'Fuel Model -  Input'!$B$3:$N$3,0))</f>
        <v>0</v>
      </c>
      <c r="L3199" s="520">
        <f>INDEX('Fuel Model -  Input'!$B$3:$N$373,MATCH($B3199,'Fuel Model -  Input'!$B$3:$B$373,0),MATCH(L$2,'Fuel Model -  Input'!$B$3:$N$3,0))</f>
        <v>0</v>
      </c>
      <c r="M3199" s="520">
        <f>INDEX('Fuel Model -  Input'!$B$3:$N$373,MATCH($B3199,'Fuel Model -  Input'!$B$3:$B$373,0),MATCH(M$2,'Fuel Model -  Input'!$B$3:$N$3,0))</f>
        <v>0</v>
      </c>
    </row>
    <row r="3200" spans="2:13" hidden="1" outlineLevel="2" x14ac:dyDescent="0.2">
      <c r="B3200" s="496" t="str">
        <f t="shared" ref="B3200:B3201" si="1842">+C3200&amp;D3200&amp;E3200&amp;F3200</f>
        <v>GlobalFeedstockDry wood biomass market share HTL blend%</v>
      </c>
      <c r="C3200" t="s">
        <v>109</v>
      </c>
      <c r="D3200" s="86" t="s">
        <v>777</v>
      </c>
      <c r="E3200" s="86" t="s">
        <v>1335</v>
      </c>
      <c r="F3200" t="s">
        <v>178</v>
      </c>
      <c r="G3200" s="544">
        <f>INDEX('Fuel Model -  Input'!$B$3:$N$373,MATCH($B3200,'Fuel Model -  Input'!$B$3:$B$373,0),MATCH(G$2,'Fuel Model -  Input'!$B$3:$N$3,0))</f>
        <v>0.5</v>
      </c>
      <c r="H3200" s="544">
        <f>INDEX('Fuel Model -  Input'!$B$3:$N$373,MATCH($B3200,'Fuel Model -  Input'!$B$3:$B$373,0),MATCH(H$2,'Fuel Model -  Input'!$B$3:$N$3,0))</f>
        <v>0.5</v>
      </c>
      <c r="I3200" s="544">
        <f>INDEX('Fuel Model -  Input'!$B$3:$N$373,MATCH($B3200,'Fuel Model -  Input'!$B$3:$B$373,0),MATCH(I$2,'Fuel Model -  Input'!$B$3:$N$3,0))</f>
        <v>0.5</v>
      </c>
      <c r="J3200" s="544">
        <f>INDEX('Fuel Model -  Input'!$B$3:$N$373,MATCH($B3200,'Fuel Model -  Input'!$B$3:$B$373,0),MATCH(J$2,'Fuel Model -  Input'!$B$3:$N$3,0))</f>
        <v>0.5</v>
      </c>
      <c r="K3200" s="544">
        <f>INDEX('Fuel Model -  Input'!$B$3:$N$373,MATCH($B3200,'Fuel Model -  Input'!$B$3:$B$373,0),MATCH(K$2,'Fuel Model -  Input'!$B$3:$N$3,0))</f>
        <v>0.5</v>
      </c>
      <c r="L3200" s="544">
        <f>INDEX('Fuel Model -  Input'!$B$3:$N$373,MATCH($B3200,'Fuel Model -  Input'!$B$3:$B$373,0),MATCH(L$2,'Fuel Model -  Input'!$B$3:$N$3,0))</f>
        <v>0.5</v>
      </c>
      <c r="M3200" s="544">
        <f>INDEX('Fuel Model -  Input'!$B$3:$N$373,MATCH($B3200,'Fuel Model -  Input'!$B$3:$B$373,0),MATCH(M$2,'Fuel Model -  Input'!$B$3:$N$3,0))</f>
        <v>0.5</v>
      </c>
    </row>
    <row r="3201" spans="2:14" hidden="1" outlineLevel="2" x14ac:dyDescent="0.2">
      <c r="B3201" s="496" t="str">
        <f t="shared" si="1842"/>
        <v>GlobalFeedstockOrganic wet waste market share HTL blend%</v>
      </c>
      <c r="C3201" t="s">
        <v>109</v>
      </c>
      <c r="D3201" s="86" t="s">
        <v>777</v>
      </c>
      <c r="E3201" s="86" t="s">
        <v>1336</v>
      </c>
      <c r="F3201" t="s">
        <v>178</v>
      </c>
      <c r="G3201" s="544">
        <f>INDEX('Fuel Model -  Input'!$B$3:$N$373,MATCH($B3201,'Fuel Model -  Input'!$B$3:$B$373,0),MATCH(G$2,'Fuel Model -  Input'!$B$3:$N$3,0))</f>
        <v>0.5</v>
      </c>
      <c r="H3201" s="544">
        <f>INDEX('Fuel Model -  Input'!$B$3:$N$373,MATCH($B3201,'Fuel Model -  Input'!$B$3:$B$373,0),MATCH(H$2,'Fuel Model -  Input'!$B$3:$N$3,0))</f>
        <v>0.5</v>
      </c>
      <c r="I3201" s="544">
        <f>INDEX('Fuel Model -  Input'!$B$3:$N$373,MATCH($B3201,'Fuel Model -  Input'!$B$3:$B$373,0),MATCH(I$2,'Fuel Model -  Input'!$B$3:$N$3,0))</f>
        <v>0.5</v>
      </c>
      <c r="J3201" s="544">
        <f>INDEX('Fuel Model -  Input'!$B$3:$N$373,MATCH($B3201,'Fuel Model -  Input'!$B$3:$B$373,0),MATCH(J$2,'Fuel Model -  Input'!$B$3:$N$3,0))</f>
        <v>0.5</v>
      </c>
      <c r="K3201" s="544">
        <f>INDEX('Fuel Model -  Input'!$B$3:$N$373,MATCH($B3201,'Fuel Model -  Input'!$B$3:$B$373,0),MATCH(K$2,'Fuel Model -  Input'!$B$3:$N$3,0))</f>
        <v>0.5</v>
      </c>
      <c r="L3201" s="544">
        <f>INDEX('Fuel Model -  Input'!$B$3:$N$373,MATCH($B3201,'Fuel Model -  Input'!$B$3:$B$373,0),MATCH(L$2,'Fuel Model -  Input'!$B$3:$N$3,0))</f>
        <v>0.5</v>
      </c>
      <c r="M3201" s="544">
        <f>INDEX('Fuel Model -  Input'!$B$3:$N$373,MATCH($B3201,'Fuel Model -  Input'!$B$3:$B$373,0),MATCH(M$2,'Fuel Model -  Input'!$B$3:$N$3,0))</f>
        <v>0.5</v>
      </c>
    </row>
    <row r="3202" spans="2:14" hidden="1" outlineLevel="2" x14ac:dyDescent="0.2">
      <c r="B3202" s="496" t="str">
        <f>+C3202&amp;D3202&amp;E3202&amp;F3202</f>
        <v>GlobalFeedstockConversion Dry Wood biomass : HTL blend gradeTon feedstock / ton fuel</v>
      </c>
      <c r="C3202" t="s">
        <v>109</v>
      </c>
      <c r="D3202" t="s">
        <v>777</v>
      </c>
      <c r="E3202" t="s">
        <v>1338</v>
      </c>
      <c r="F3202" t="s">
        <v>1241</v>
      </c>
      <c r="G3202" s="520">
        <f>INDEX('Fuel Model -  Input'!$B$3:$N$373,MATCH($B3202,'Fuel Model -  Input'!$B$3:$B$373,0),MATCH(G$2,'Fuel Model -  Input'!$B$3:$N$3,0))</f>
        <v>2.8855296529207779</v>
      </c>
      <c r="H3202" s="520">
        <f>INDEX('Fuel Model -  Input'!$B$3:$N$373,MATCH($B3202,'Fuel Model -  Input'!$B$3:$B$373,0),MATCH(H$2,'Fuel Model -  Input'!$B$3:$N$3,0))</f>
        <v>2.8855296529207779</v>
      </c>
      <c r="I3202" s="520">
        <f>INDEX('Fuel Model -  Input'!$B$3:$N$373,MATCH($B3202,'Fuel Model -  Input'!$B$3:$B$373,0),MATCH(I$2,'Fuel Model -  Input'!$B$3:$N$3,0))</f>
        <v>2.8855296529207779</v>
      </c>
      <c r="J3202" s="520">
        <f>INDEX('Fuel Model -  Input'!$B$3:$N$373,MATCH($B3202,'Fuel Model -  Input'!$B$3:$B$373,0),MATCH(J$2,'Fuel Model -  Input'!$B$3:$N$3,0))</f>
        <v>2.8855296529207779</v>
      </c>
      <c r="K3202" s="520">
        <f>INDEX('Fuel Model -  Input'!$B$3:$N$373,MATCH($B3202,'Fuel Model -  Input'!$B$3:$B$373,0),MATCH(K$2,'Fuel Model -  Input'!$B$3:$N$3,0))</f>
        <v>2.8855296529207779</v>
      </c>
      <c r="L3202" s="520">
        <f>INDEX('Fuel Model -  Input'!$B$3:$N$373,MATCH($B3202,'Fuel Model -  Input'!$B$3:$B$373,0),MATCH(L$2,'Fuel Model -  Input'!$B$3:$N$3,0))</f>
        <v>2.8855296529207779</v>
      </c>
      <c r="M3202" s="520">
        <f>INDEX('Fuel Model -  Input'!$B$3:$N$373,MATCH($B3202,'Fuel Model -  Input'!$B$3:$B$373,0),MATCH(M$2,'Fuel Model -  Input'!$B$3:$N$3,0))</f>
        <v>2.8855296529207779</v>
      </c>
    </row>
    <row r="3203" spans="2:14" hidden="1" outlineLevel="2" x14ac:dyDescent="0.2">
      <c r="B3203" s="496" t="str">
        <f>+C3203&amp;D3203&amp;E3203&amp;F3203</f>
        <v>GlobalCO2intensityWTT Organic wet wastetonCO2eq/ton</v>
      </c>
      <c r="C3203" s="157" t="s">
        <v>109</v>
      </c>
      <c r="D3203" s="530" t="s">
        <v>927</v>
      </c>
      <c r="E3203" s="530" t="s">
        <v>1251</v>
      </c>
      <c r="F3203" s="157" t="s">
        <v>1252</v>
      </c>
      <c r="G3203" s="520">
        <f>INDEX('Fuel Model -  Input'!$B$3:$N$373,MATCH($B3203,'Fuel Model -  Input'!$B$3:$B$373,0),MATCH(G$2,'Fuel Model -  Input'!$B$3:$N$3,0))</f>
        <v>0.09</v>
      </c>
      <c r="H3203" s="520">
        <f>INDEX('Fuel Model -  Input'!$B$3:$N$373,MATCH($B3203,'Fuel Model -  Input'!$B$3:$B$373,0),MATCH(H$2,'Fuel Model -  Input'!$B$3:$N$3,0))</f>
        <v>7.6499999999999999E-2</v>
      </c>
      <c r="I3203" s="520">
        <f>INDEX('Fuel Model -  Input'!$B$3:$N$373,MATCH($B3203,'Fuel Model -  Input'!$B$3:$B$373,0),MATCH(I$2,'Fuel Model -  Input'!$B$3:$N$3,0))</f>
        <v>6.3E-2</v>
      </c>
      <c r="J3203" s="520">
        <f>INDEX('Fuel Model -  Input'!$B$3:$N$373,MATCH($B3203,'Fuel Model -  Input'!$B$3:$B$373,0),MATCH(J$2,'Fuel Model -  Input'!$B$3:$N$3,0))</f>
        <v>4.9499999999999995E-2</v>
      </c>
      <c r="K3203" s="520">
        <f>INDEX('Fuel Model -  Input'!$B$3:$N$373,MATCH($B3203,'Fuel Model -  Input'!$B$3:$B$373,0),MATCH(K$2,'Fuel Model -  Input'!$B$3:$N$3,0))</f>
        <v>3.599999999999999E-2</v>
      </c>
      <c r="L3203" s="520">
        <f>INDEX('Fuel Model -  Input'!$B$3:$N$373,MATCH($B3203,'Fuel Model -  Input'!$B$3:$B$373,0),MATCH(L$2,'Fuel Model -  Input'!$B$3:$N$3,0))</f>
        <v>2.2499999999999992E-2</v>
      </c>
      <c r="M3203" s="520">
        <f>INDEX('Fuel Model -  Input'!$B$3:$N$373,MATCH($B3203,'Fuel Model -  Input'!$B$3:$B$373,0),MATCH(M$2,'Fuel Model -  Input'!$B$3:$N$3,0))</f>
        <v>8.9999999999999993E-3</v>
      </c>
    </row>
    <row r="3204" spans="2:14" hidden="1" outlineLevel="2" x14ac:dyDescent="0.2">
      <c r="B3204" s="496" t="str">
        <f>+C3204&amp;D3204&amp;E3204&amp;F3204</f>
        <v>GlobalFeedstockConversion Organic wet waste : HTL blend gradeTon feedstock / ton fuel</v>
      </c>
      <c r="C3204" t="s">
        <v>109</v>
      </c>
      <c r="D3204" t="s">
        <v>777</v>
      </c>
      <c r="E3204" t="s">
        <v>1337</v>
      </c>
      <c r="F3204" t="s">
        <v>1241</v>
      </c>
      <c r="G3204" s="520">
        <f>INDEX('Fuel Model -  Input'!$B$3:$N$373,MATCH($B3204,'Fuel Model -  Input'!$B$3:$B$373,0),MATCH(G$2,'Fuel Model -  Input'!$B$3:$N$3,0))</f>
        <v>3.0916389138436906</v>
      </c>
      <c r="H3204" s="520">
        <f>INDEX('Fuel Model -  Input'!$B$3:$N$373,MATCH($B3204,'Fuel Model -  Input'!$B$3:$B$373,0),MATCH(H$2,'Fuel Model -  Input'!$B$3:$N$3,0))</f>
        <v>3.0916389138436906</v>
      </c>
      <c r="I3204" s="520">
        <f>INDEX('Fuel Model -  Input'!$B$3:$N$373,MATCH($B3204,'Fuel Model -  Input'!$B$3:$B$373,0),MATCH(I$2,'Fuel Model -  Input'!$B$3:$N$3,0))</f>
        <v>3.0916389138436906</v>
      </c>
      <c r="J3204" s="520">
        <f>INDEX('Fuel Model -  Input'!$B$3:$N$373,MATCH($B3204,'Fuel Model -  Input'!$B$3:$B$373,0),MATCH(J$2,'Fuel Model -  Input'!$B$3:$N$3,0))</f>
        <v>3.0916389138436906</v>
      </c>
      <c r="K3204" s="520">
        <f>INDEX('Fuel Model -  Input'!$B$3:$N$373,MATCH($B3204,'Fuel Model -  Input'!$B$3:$B$373,0),MATCH(K$2,'Fuel Model -  Input'!$B$3:$N$3,0))</f>
        <v>3.0916389138436906</v>
      </c>
      <c r="L3204" s="520">
        <f>INDEX('Fuel Model -  Input'!$B$3:$N$373,MATCH($B3204,'Fuel Model -  Input'!$B$3:$B$373,0),MATCH(L$2,'Fuel Model -  Input'!$B$3:$N$3,0))</f>
        <v>3.0916389138436906</v>
      </c>
      <c r="M3204" s="520">
        <f>INDEX('Fuel Model -  Input'!$B$3:$N$373,MATCH($B3204,'Fuel Model -  Input'!$B$3:$B$373,0),MATCH(M$2,'Fuel Model -  Input'!$B$3:$N$3,0))</f>
        <v>3.0916389138436906</v>
      </c>
    </row>
    <row r="3205" spans="2:14" hidden="1" outlineLevel="2" x14ac:dyDescent="0.2">
      <c r="B3205" s="496" t="str">
        <f>+C3205&amp;D3205&amp;E3205&amp;F3205</f>
        <v>GlobalCO2intensityWTT Wood biomasstonCO2eq/ton</v>
      </c>
      <c r="C3205" s="157" t="s">
        <v>109</v>
      </c>
      <c r="D3205" s="530" t="s">
        <v>927</v>
      </c>
      <c r="E3205" s="530" t="s">
        <v>1253</v>
      </c>
      <c r="F3205" s="157" t="s">
        <v>1252</v>
      </c>
      <c r="G3205" s="520">
        <f>INDEX('Fuel Model -  Input'!$B$3:$N$373,MATCH($B3205,'Fuel Model -  Input'!$B$3:$B$373,0),MATCH(G$2,'Fuel Model -  Input'!$B$3:$N$3,0))</f>
        <v>0.09</v>
      </c>
      <c r="H3205" s="520">
        <f>INDEX('Fuel Model -  Input'!$B$3:$N$373,MATCH($B3205,'Fuel Model -  Input'!$B$3:$B$373,0),MATCH(H$2,'Fuel Model -  Input'!$B$3:$N$3,0))</f>
        <v>7.6499999999999999E-2</v>
      </c>
      <c r="I3205" s="520">
        <f>INDEX('Fuel Model -  Input'!$B$3:$N$373,MATCH($B3205,'Fuel Model -  Input'!$B$3:$B$373,0),MATCH(I$2,'Fuel Model -  Input'!$B$3:$N$3,0))</f>
        <v>6.3E-2</v>
      </c>
      <c r="J3205" s="520">
        <f>INDEX('Fuel Model -  Input'!$B$3:$N$373,MATCH($B3205,'Fuel Model -  Input'!$B$3:$B$373,0),MATCH(J$2,'Fuel Model -  Input'!$B$3:$N$3,0))</f>
        <v>4.9499999999999995E-2</v>
      </c>
      <c r="K3205" s="520">
        <f>INDEX('Fuel Model -  Input'!$B$3:$N$373,MATCH($B3205,'Fuel Model -  Input'!$B$3:$B$373,0),MATCH(K$2,'Fuel Model -  Input'!$B$3:$N$3,0))</f>
        <v>3.599999999999999E-2</v>
      </c>
      <c r="L3205" s="520">
        <f>INDEX('Fuel Model -  Input'!$B$3:$N$373,MATCH($B3205,'Fuel Model -  Input'!$B$3:$B$373,0),MATCH(L$2,'Fuel Model -  Input'!$B$3:$N$3,0))</f>
        <v>2.2499999999999992E-2</v>
      </c>
      <c r="M3205" s="520">
        <f>INDEX('Fuel Model -  Input'!$B$3:$N$373,MATCH($B3205,'Fuel Model -  Input'!$B$3:$B$373,0),MATCH(M$2,'Fuel Model -  Input'!$B$3:$N$3,0))</f>
        <v>8.9999999999999993E-3</v>
      </c>
    </row>
    <row r="3206" spans="2:14" ht="12.75" hidden="1" outlineLevel="1" x14ac:dyDescent="0.2">
      <c r="F3206"/>
    </row>
    <row r="3207" spans="2:14" ht="15" hidden="1" outlineLevel="1" x14ac:dyDescent="0.25">
      <c r="B3207" s="30" t="s">
        <v>1316</v>
      </c>
      <c r="C3207" s="30" t="str">
        <f>+B3207</f>
        <v>Primary energy efficiency - HTL oil</v>
      </c>
      <c r="F3207"/>
    </row>
    <row r="3208" spans="2:14" ht="15" hidden="1" outlineLevel="1" collapsed="1" x14ac:dyDescent="0.25">
      <c r="B3208" s="541" t="str">
        <f>+C3208&amp;D3208&amp;E3208&amp;F3208</f>
        <v>GlobalResultsAverage Primary EE of Biodiesel (HtL blend)%</v>
      </c>
      <c r="C3208" s="516" t="s">
        <v>109</v>
      </c>
      <c r="D3208" s="516" t="s">
        <v>838</v>
      </c>
      <c r="E3208" s="516" t="s">
        <v>1341</v>
      </c>
      <c r="F3208" s="512" t="s">
        <v>178</v>
      </c>
      <c r="G3208" s="569">
        <v>0</v>
      </c>
      <c r="H3208" s="569">
        <v>0</v>
      </c>
      <c r="I3208" s="569">
        <v>0</v>
      </c>
      <c r="J3208" s="569">
        <v>0</v>
      </c>
      <c r="K3208" s="569">
        <v>0</v>
      </c>
      <c r="L3208" s="569">
        <v>0</v>
      </c>
      <c r="M3208" s="569">
        <v>0</v>
      </c>
    </row>
    <row r="3209" spans="2:14" hidden="1" outlineLevel="2" x14ac:dyDescent="0.2">
      <c r="B3209" s="496"/>
      <c r="C3209" s="157"/>
      <c r="D3209" s="157"/>
      <c r="E3209" s="157"/>
      <c r="G3209" s="530"/>
      <c r="H3209" s="530"/>
      <c r="I3209" s="530"/>
      <c r="J3209" s="530"/>
      <c r="K3209" s="530"/>
      <c r="L3209" s="530"/>
      <c r="M3209" s="530"/>
    </row>
    <row r="3210" spans="2:14" hidden="1" outlineLevel="2" x14ac:dyDescent="0.2">
      <c r="B3210" s="496" t="str">
        <f>+C3210&amp;D3210&amp;E3210&amp;F3210</f>
        <v>GlobalLHVLHV dry wood BiomassMJ/ ton</v>
      </c>
      <c r="C3210" s="157" t="s">
        <v>109</v>
      </c>
      <c r="D3210" s="157" t="s">
        <v>582</v>
      </c>
      <c r="E3210" s="157" t="s">
        <v>1256</v>
      </c>
      <c r="F3210" s="157" t="s">
        <v>583</v>
      </c>
      <c r="G3210" s="520">
        <f>INDEX('Fuel Model -  Input'!$B$3:$N$373,MATCH($B3210,'Fuel Model -  Input'!$B$3:$B$373,0),MATCH(G$2,'Fuel Model -  Input'!$B$3:$N$3,0))</f>
        <v>21500</v>
      </c>
      <c r="H3210" s="520">
        <f>INDEX('Fuel Model -  Input'!$B$3:$N$373,MATCH($B3210,'Fuel Model -  Input'!$B$3:$B$373,0),MATCH(H$2,'Fuel Model -  Input'!$B$3:$N$3,0))</f>
        <v>21500</v>
      </c>
      <c r="I3210" s="520">
        <f>INDEX('Fuel Model -  Input'!$B$3:$N$373,MATCH($B3210,'Fuel Model -  Input'!$B$3:$B$373,0),MATCH(I$2,'Fuel Model -  Input'!$B$3:$N$3,0))</f>
        <v>21500</v>
      </c>
      <c r="J3210" s="520">
        <f>INDEX('Fuel Model -  Input'!$B$3:$N$373,MATCH($B3210,'Fuel Model -  Input'!$B$3:$B$373,0),MATCH(J$2,'Fuel Model -  Input'!$B$3:$N$3,0))</f>
        <v>21500</v>
      </c>
      <c r="K3210" s="520">
        <f>INDEX('Fuel Model -  Input'!$B$3:$N$373,MATCH($B3210,'Fuel Model -  Input'!$B$3:$B$373,0),MATCH(K$2,'Fuel Model -  Input'!$B$3:$N$3,0))</f>
        <v>21500</v>
      </c>
      <c r="L3210" s="520">
        <f>INDEX('Fuel Model -  Input'!$B$3:$N$373,MATCH($B3210,'Fuel Model -  Input'!$B$3:$B$373,0),MATCH(L$2,'Fuel Model -  Input'!$B$3:$N$3,0))</f>
        <v>21500</v>
      </c>
      <c r="M3210" s="520">
        <f>INDEX('Fuel Model -  Input'!$B$3:$N$373,MATCH($B3210,'Fuel Model -  Input'!$B$3:$B$373,0),MATCH(M$2,'Fuel Model -  Input'!$B$3:$N$3,0))</f>
        <v>21500</v>
      </c>
    </row>
    <row r="3211" spans="2:14" hidden="1" outlineLevel="2" x14ac:dyDescent="0.2">
      <c r="B3211" s="496" t="str">
        <f>+C3211&amp;D3211&amp;E3211&amp;F3211</f>
        <v>GlobalLHVLHV HTL OilMJ/ ton</v>
      </c>
      <c r="C3211" t="s">
        <v>109</v>
      </c>
      <c r="D3211" t="s">
        <v>582</v>
      </c>
      <c r="E3211" t="s">
        <v>1342</v>
      </c>
      <c r="F3211" t="s">
        <v>583</v>
      </c>
      <c r="G3211" s="520" t="e">
        <f>INDEX('Fuel Model -  Input'!$B$3:$N$373,MATCH($B3211,'Fuel Model -  Input'!$B$3:$B$373,0),MATCH(G$2,'Fuel Model -  Input'!$B$3:$N$3,0))</f>
        <v>#N/A</v>
      </c>
      <c r="H3211" s="520" t="e">
        <f>INDEX('Fuel Model -  Input'!$B$3:$N$373,MATCH($B3211,'Fuel Model -  Input'!$B$3:$B$373,0),MATCH(H$2,'Fuel Model -  Input'!$B$3:$N$3,0))</f>
        <v>#N/A</v>
      </c>
      <c r="I3211" s="520" t="e">
        <f>INDEX('Fuel Model -  Input'!$B$3:$N$373,MATCH($B3211,'Fuel Model -  Input'!$B$3:$B$373,0),MATCH(I$2,'Fuel Model -  Input'!$B$3:$N$3,0))</f>
        <v>#N/A</v>
      </c>
      <c r="J3211" s="520" t="e">
        <f>INDEX('Fuel Model -  Input'!$B$3:$N$373,MATCH($B3211,'Fuel Model -  Input'!$B$3:$B$373,0),MATCH(J$2,'Fuel Model -  Input'!$B$3:$N$3,0))</f>
        <v>#N/A</v>
      </c>
      <c r="K3211" s="520" t="e">
        <f>INDEX('Fuel Model -  Input'!$B$3:$N$373,MATCH($B3211,'Fuel Model -  Input'!$B$3:$B$373,0),MATCH(K$2,'Fuel Model -  Input'!$B$3:$N$3,0))</f>
        <v>#N/A</v>
      </c>
      <c r="L3211" s="520" t="e">
        <f>INDEX('Fuel Model -  Input'!$B$3:$N$373,MATCH($B3211,'Fuel Model -  Input'!$B$3:$B$373,0),MATCH(L$2,'Fuel Model -  Input'!$B$3:$N$3,0))</f>
        <v>#N/A</v>
      </c>
      <c r="M3211" s="520" t="e">
        <f>INDEX('Fuel Model -  Input'!$B$3:$N$373,MATCH($B3211,'Fuel Model -  Input'!$B$3:$B$373,0),MATCH(M$2,'Fuel Model -  Input'!$B$3:$N$3,0))</f>
        <v>#N/A</v>
      </c>
    </row>
    <row r="3212" spans="2:14" ht="12.75" hidden="1" outlineLevel="1" x14ac:dyDescent="0.2">
      <c r="F3212"/>
    </row>
    <row r="3213" spans="2:14" ht="15" thickBot="1" x14ac:dyDescent="0.25"/>
    <row r="3214" spans="2:14" ht="15.75" collapsed="1" thickBot="1" x14ac:dyDescent="0.3">
      <c r="B3214" s="561" t="s">
        <v>123</v>
      </c>
      <c r="C3214" s="562" t="str">
        <f>+B3214</f>
        <v>Biodiesel (Pyr)</v>
      </c>
      <c r="D3214" s="563"/>
      <c r="E3214" s="563"/>
      <c r="F3214" s="563"/>
      <c r="G3214" s="744">
        <v>2020</v>
      </c>
      <c r="H3214" s="744">
        <v>2025</v>
      </c>
      <c r="I3214" s="744">
        <v>2030</v>
      </c>
      <c r="J3214" s="744">
        <v>2035</v>
      </c>
      <c r="K3214" s="744">
        <v>2040</v>
      </c>
      <c r="L3214" s="744">
        <v>2045</v>
      </c>
      <c r="M3214" s="745">
        <v>2050</v>
      </c>
    </row>
    <row r="3215" spans="2:14" ht="15" hidden="1" outlineLevel="1" x14ac:dyDescent="0.25">
      <c r="B3215" t="str">
        <f>+C3215&amp;D3215&amp;E3215&amp;F3215</f>
        <v>EuropeResultsCost of Biodiesel (Pyr)USD/ton</v>
      </c>
      <c r="C3215" t="s">
        <v>195</v>
      </c>
      <c r="D3215" t="s">
        <v>838</v>
      </c>
      <c r="E3215" s="30" t="s">
        <v>1343</v>
      </c>
      <c r="F3215" s="522" t="s">
        <v>205</v>
      </c>
      <c r="G3215" s="8">
        <f t="shared" ref="G3215:M3215" si="1843">G3222</f>
        <v>2788.9311707720599</v>
      </c>
      <c r="H3215" s="8">
        <f t="shared" si="1843"/>
        <v>1729.4332323483279</v>
      </c>
      <c r="I3215" s="8">
        <f t="shared" si="1843"/>
        <v>1052.8556240526912</v>
      </c>
      <c r="J3215" s="8">
        <f t="shared" si="1843"/>
        <v>1073.1790863041242</v>
      </c>
      <c r="K3215" s="8">
        <f t="shared" si="1843"/>
        <v>1065.081454988509</v>
      </c>
      <c r="L3215" s="8">
        <f t="shared" si="1843"/>
        <v>1045.0513017974279</v>
      </c>
      <c r="M3215" s="8">
        <f t="shared" si="1843"/>
        <v>973.70458193001991</v>
      </c>
      <c r="N3215" s="93"/>
    </row>
    <row r="3216" spans="2:14" ht="15" hidden="1" outlineLevel="1" x14ac:dyDescent="0.25">
      <c r="B3216" t="str">
        <f>+C3216&amp;D3216&amp;E3216&amp;F3216</f>
        <v>Middle EastResultsCost of Biodiesel (Pyr)USD/ton</v>
      </c>
      <c r="C3216" t="s">
        <v>197</v>
      </c>
      <c r="D3216" t="s">
        <v>838</v>
      </c>
      <c r="E3216" s="30" t="s">
        <v>1343</v>
      </c>
      <c r="F3216" s="522" t="s">
        <v>205</v>
      </c>
      <c r="G3216" s="8">
        <f t="shared" ref="G3216:M3216" si="1844">G3253</f>
        <v>2683.1636313031977</v>
      </c>
      <c r="H3216" s="8">
        <f t="shared" si="1844"/>
        <v>1704.0502030185771</v>
      </c>
      <c r="I3216" s="8">
        <f t="shared" si="1844"/>
        <v>958.01395295521024</v>
      </c>
      <c r="J3216" s="8">
        <f t="shared" si="1844"/>
        <v>976.85020834225713</v>
      </c>
      <c r="K3216" s="8">
        <f t="shared" si="1844"/>
        <v>985.46785591860794</v>
      </c>
      <c r="L3216" s="8">
        <f t="shared" si="1844"/>
        <v>982.5844595924334</v>
      </c>
      <c r="M3216" s="8">
        <f t="shared" si="1844"/>
        <v>957.42747396996447</v>
      </c>
    </row>
    <row r="3217" spans="2:15" ht="15" hidden="1" outlineLevel="1" x14ac:dyDescent="0.25">
      <c r="B3217" t="str">
        <f>+C3217&amp;D3217&amp;E3217&amp;F3217</f>
        <v>AsiaResultsCost of Biodiesel (Pyr)USD/ton</v>
      </c>
      <c r="C3217" t="s">
        <v>198</v>
      </c>
      <c r="D3217" t="s">
        <v>838</v>
      </c>
      <c r="E3217" s="30" t="s">
        <v>1343</v>
      </c>
      <c r="F3217" s="522" t="s">
        <v>205</v>
      </c>
      <c r="G3217" s="8">
        <f t="shared" ref="G3217:M3217" si="1845">G3284</f>
        <v>2630.4121079534866</v>
      </c>
      <c r="H3217" s="8">
        <f t="shared" si="1845"/>
        <v>1641.1181797328313</v>
      </c>
      <c r="I3217" s="8">
        <f t="shared" si="1845"/>
        <v>892.30350306954097</v>
      </c>
      <c r="J3217" s="8">
        <f t="shared" si="1845"/>
        <v>911.06224067428229</v>
      </c>
      <c r="K3217" s="8">
        <f t="shared" si="1845"/>
        <v>914.28663758342827</v>
      </c>
      <c r="L3217" s="8">
        <f t="shared" si="1845"/>
        <v>901.31625742275628</v>
      </c>
      <c r="M3217" s="8">
        <f t="shared" si="1845"/>
        <v>858.78297517888154</v>
      </c>
    </row>
    <row r="3218" spans="2:15" ht="15" hidden="1" outlineLevel="1" x14ac:dyDescent="0.25">
      <c r="B3218" t="str">
        <f>+C3218&amp;D3218&amp;E3218&amp;F3218</f>
        <v>AmericasResultsCost of Biodiesel (Pyr)USD/ton</v>
      </c>
      <c r="C3218" t="s">
        <v>199</v>
      </c>
      <c r="D3218" t="s">
        <v>838</v>
      </c>
      <c r="E3218" s="30" t="s">
        <v>1343</v>
      </c>
      <c r="F3218" s="522" t="s">
        <v>205</v>
      </c>
      <c r="G3218" s="8">
        <f t="shared" ref="G3218:M3218" si="1846">G3315</f>
        <v>2089.5163427105836</v>
      </c>
      <c r="H3218" s="8">
        <f t="shared" si="1846"/>
        <v>1468.2156261569269</v>
      </c>
      <c r="I3218" s="8">
        <f t="shared" si="1846"/>
        <v>893.05955241658489</v>
      </c>
      <c r="J3218" s="8">
        <f t="shared" si="1846"/>
        <v>924.52233688116007</v>
      </c>
      <c r="K3218" s="8">
        <f t="shared" si="1846"/>
        <v>923.65278141771046</v>
      </c>
      <c r="L3218" s="8">
        <f t="shared" si="1846"/>
        <v>919.18388221884402</v>
      </c>
      <c r="M3218" s="8">
        <f t="shared" si="1846"/>
        <v>879.63868142280683</v>
      </c>
    </row>
    <row r="3219" spans="2:15" ht="15" hidden="1" outlineLevel="1" x14ac:dyDescent="0.25">
      <c r="B3219" t="str">
        <f>+C3219&amp;D3219&amp;E3219&amp;F3219</f>
        <v>AfricaResultsCost of Biodiesel (Pyr)USD/ton</v>
      </c>
      <c r="C3219" t="s">
        <v>200</v>
      </c>
      <c r="D3219" t="s">
        <v>838</v>
      </c>
      <c r="E3219" s="30" t="s">
        <v>1343</v>
      </c>
      <c r="F3219" s="522" t="s">
        <v>205</v>
      </c>
      <c r="G3219" s="8">
        <f t="shared" ref="G3219:M3219" si="1847">G3346</f>
        <v>2887.6394781298486</v>
      </c>
      <c r="H3219" s="8">
        <f t="shared" si="1847"/>
        <v>1813.688748827208</v>
      </c>
      <c r="I3219" s="8">
        <f t="shared" si="1847"/>
        <v>1136.0956297705002</v>
      </c>
      <c r="J3219" s="8">
        <f t="shared" si="1847"/>
        <v>1158.4094519047273</v>
      </c>
      <c r="K3219" s="8">
        <f t="shared" si="1847"/>
        <v>1152.1940702666525</v>
      </c>
      <c r="L3219" s="8">
        <f t="shared" si="1847"/>
        <v>1128.0729913771636</v>
      </c>
      <c r="M3219" s="8">
        <f t="shared" si="1847"/>
        <v>1049.8570092625719</v>
      </c>
    </row>
    <row r="3220" spans="2:15" ht="12.75" hidden="1" outlineLevel="1" x14ac:dyDescent="0.2">
      <c r="F3220"/>
    </row>
    <row r="3221" spans="2:15" s="30" customFormat="1" ht="15" hidden="1" outlineLevel="1" collapsed="1" x14ac:dyDescent="0.25">
      <c r="B3221" s="30" t="s">
        <v>195</v>
      </c>
      <c r="C3221" s="30" t="s">
        <v>195</v>
      </c>
      <c r="G3221" s="564"/>
      <c r="O3221" s="564"/>
    </row>
    <row r="3222" spans="2:15" ht="15" hidden="1" outlineLevel="2" x14ac:dyDescent="0.25">
      <c r="B3222" t="str">
        <f>+C3222&amp;D3222&amp;E3222&amp;F3222</f>
        <v>EuropeResultsTotal cost of Biodiesel (Pyr)USD/ton</v>
      </c>
      <c r="C3222" s="494" t="str">
        <f>+$C$3221</f>
        <v>Europe</v>
      </c>
      <c r="D3222" s="30" t="s">
        <v>838</v>
      </c>
      <c r="E3222" s="405" t="s">
        <v>1344</v>
      </c>
      <c r="F3222" s="127" t="s">
        <v>205</v>
      </c>
      <c r="G3222" s="490">
        <f>+SUM(G3223:G3225)</f>
        <v>2788.9311707720599</v>
      </c>
      <c r="H3222" s="490">
        <f t="shared" ref="H3222:M3222" si="1848">+SUM(H3223:H3225)</f>
        <v>1729.4332323483279</v>
      </c>
      <c r="I3222" s="490">
        <f t="shared" si="1848"/>
        <v>1052.8556240526912</v>
      </c>
      <c r="J3222" s="490">
        <f t="shared" si="1848"/>
        <v>1073.1790863041242</v>
      </c>
      <c r="K3222" s="490">
        <f t="shared" si="1848"/>
        <v>1065.081454988509</v>
      </c>
      <c r="L3222" s="490">
        <f t="shared" si="1848"/>
        <v>1045.0513017974279</v>
      </c>
      <c r="M3222" s="490">
        <f t="shared" si="1848"/>
        <v>973.70458193001991</v>
      </c>
    </row>
    <row r="3223" spans="2:15" ht="15" hidden="1" outlineLevel="2" x14ac:dyDescent="0.25">
      <c r="B3223" t="str">
        <f>+C3223&amp;D3223&amp;E3223&amp;F3223</f>
        <v>EuropeResultsTotal Capex Biodiesel (Pyr)USD/ton</v>
      </c>
      <c r="C3223" s="494" t="str">
        <f>+$C$3221</f>
        <v>Europe</v>
      </c>
      <c r="D3223" s="30" t="s">
        <v>838</v>
      </c>
      <c r="E3223" s="228" t="s">
        <v>1345</v>
      </c>
      <c r="F3223" s="127" t="s">
        <v>205</v>
      </c>
      <c r="G3223" s="490">
        <f>G3227</f>
        <v>1027.3166666666668</v>
      </c>
      <c r="H3223" s="490">
        <f t="shared" ref="H3223:M3223" si="1849">H3227</f>
        <v>616.3900000000001</v>
      </c>
      <c r="I3223" s="490">
        <f t="shared" si="1849"/>
        <v>205.46333333333337</v>
      </c>
      <c r="J3223" s="490">
        <f t="shared" si="1849"/>
        <v>184.91700000000006</v>
      </c>
      <c r="K3223" s="490">
        <f t="shared" si="1849"/>
        <v>178.06822222222226</v>
      </c>
      <c r="L3223" s="490">
        <f t="shared" si="1849"/>
        <v>171.21944444444452</v>
      </c>
      <c r="M3223" s="490">
        <f t="shared" si="1849"/>
        <v>164.37066666666675</v>
      </c>
    </row>
    <row r="3224" spans="2:15" ht="15" hidden="1" outlineLevel="2" x14ac:dyDescent="0.25">
      <c r="B3224" t="str">
        <f>+C3224&amp;D3224&amp;E3224&amp;F3224</f>
        <v>EuropeResultsTotal Opex Biodiesel (Pyr)USD/ton</v>
      </c>
      <c r="C3224" s="494" t="str">
        <f>+$C$3221</f>
        <v>Europe</v>
      </c>
      <c r="D3224" s="30" t="s">
        <v>838</v>
      </c>
      <c r="E3224" s="228" t="s">
        <v>1346</v>
      </c>
      <c r="F3224" s="127" t="s">
        <v>205</v>
      </c>
      <c r="G3224" s="490">
        <f>G3231+G3234</f>
        <v>489.32691127965455</v>
      </c>
      <c r="H3224" s="490">
        <f>H3231+H3234</f>
        <v>300.26059674877609</v>
      </c>
      <c r="I3224" s="490">
        <f>I3231+I3234</f>
        <v>112.36156293538291</v>
      </c>
      <c r="J3224" s="490">
        <f t="shared" ref="J3224:M3224" si="1850">J3231+J3234</f>
        <v>101.17109434968907</v>
      </c>
      <c r="K3224" s="490">
        <f t="shared" si="1850"/>
        <v>96.902653359085278</v>
      </c>
      <c r="L3224" s="490">
        <f t="shared" si="1850"/>
        <v>92.549125808391153</v>
      </c>
      <c r="M3224" s="490">
        <f t="shared" si="1850"/>
        <v>88.548105934852089</v>
      </c>
    </row>
    <row r="3225" spans="2:15" ht="15" hidden="1" outlineLevel="2" x14ac:dyDescent="0.25">
      <c r="B3225" t="str">
        <f>+C3225&amp;D3225&amp;E3225&amp;F3225</f>
        <v>EuropeResultsTotal Raw Material Biodiesel (Pyr)USD/ton</v>
      </c>
      <c r="C3225" s="494" t="str">
        <f>+$C$3221</f>
        <v>Europe</v>
      </c>
      <c r="D3225" s="30" t="s">
        <v>838</v>
      </c>
      <c r="E3225" s="228" t="s">
        <v>1347</v>
      </c>
      <c r="F3225" s="127" t="s">
        <v>205</v>
      </c>
      <c r="G3225" s="490">
        <f>+G3248+G3238</f>
        <v>1272.2875928257383</v>
      </c>
      <c r="H3225" s="490">
        <f t="shared" ref="H3225:M3225" si="1851">+H3248+H3238</f>
        <v>812.78263559955167</v>
      </c>
      <c r="I3225" s="490">
        <f t="shared" si="1851"/>
        <v>735.03072778397495</v>
      </c>
      <c r="J3225" s="490">
        <f t="shared" si="1851"/>
        <v>787.09099195443514</v>
      </c>
      <c r="K3225" s="490">
        <f t="shared" si="1851"/>
        <v>790.11057940720139</v>
      </c>
      <c r="L3225" s="490">
        <f t="shared" si="1851"/>
        <v>781.28273154459225</v>
      </c>
      <c r="M3225" s="490">
        <f t="shared" si="1851"/>
        <v>720.78580932850105</v>
      </c>
    </row>
    <row r="3226" spans="2:15" hidden="1" outlineLevel="2" x14ac:dyDescent="0.2">
      <c r="C3226" s="494"/>
      <c r="E3226" s="48"/>
      <c r="F3226" s="128"/>
      <c r="G3226" s="8"/>
      <c r="H3226" s="8"/>
      <c r="I3226" s="8"/>
      <c r="J3226" s="8"/>
      <c r="K3226" s="8"/>
      <c r="L3226" s="8"/>
      <c r="M3226" s="8"/>
    </row>
    <row r="3227" spans="2:15" hidden="1" outlineLevel="2" x14ac:dyDescent="0.2">
      <c r="B3227" t="str">
        <f>+C3227&amp;D3227&amp;E3227&amp;F3227</f>
        <v>EuropeHTL PlantAnnual capex (Pyr)USD/ton oil</v>
      </c>
      <c r="C3227" s="494" t="str">
        <f>+$C$3221</f>
        <v>Europe</v>
      </c>
      <c r="D3227" t="s">
        <v>1288</v>
      </c>
      <c r="E3227" s="48" t="s">
        <v>1348</v>
      </c>
      <c r="F3227" s="128" t="s">
        <v>1349</v>
      </c>
      <c r="G3227" s="8">
        <f t="shared" ref="G3227:M3227" si="1852">G3229/G3228</f>
        <v>1027.3166666666668</v>
      </c>
      <c r="H3227" s="8">
        <f t="shared" si="1852"/>
        <v>616.3900000000001</v>
      </c>
      <c r="I3227" s="8">
        <f t="shared" si="1852"/>
        <v>205.46333333333337</v>
      </c>
      <c r="J3227" s="8">
        <f t="shared" si="1852"/>
        <v>184.91700000000006</v>
      </c>
      <c r="K3227" s="8">
        <f t="shared" si="1852"/>
        <v>178.06822222222226</v>
      </c>
      <c r="L3227" s="8">
        <f t="shared" si="1852"/>
        <v>171.21944444444452</v>
      </c>
      <c r="M3227" s="8">
        <f t="shared" si="1852"/>
        <v>164.37066666666675</v>
      </c>
    </row>
    <row r="3228" spans="2:15" hidden="1" outlineLevel="2" x14ac:dyDescent="0.2">
      <c r="B3228" t="str">
        <f>+C3228&amp;D3228&amp;E3228&amp;F3228</f>
        <v>GlobalPlant capexAnnualisation factor#</v>
      </c>
      <c r="C3228" s="494" t="s">
        <v>109</v>
      </c>
      <c r="D3228" t="s">
        <v>786</v>
      </c>
      <c r="E3228" t="s">
        <v>764</v>
      </c>
      <c r="F3228" s="450" t="s">
        <v>787</v>
      </c>
      <c r="G3228" s="532">
        <f>+INDEX('Fuel Model -  Input'!$B$3:$N$373,MATCH($B3228,'Fuel Model -  Input'!$B$3:$B$373,0),MATCH(G$2,'Fuel Model -  Input'!$B$3:$N$3,0))</f>
        <v>11.32075471698113</v>
      </c>
      <c r="H3228" s="532">
        <f>+INDEX('Fuel Model -  Input'!$B$3:$N$373,MATCH($B3228,'Fuel Model -  Input'!$B$3:$B$373,0),MATCH(H$2,'Fuel Model -  Input'!$B$3:$N$3,0))</f>
        <v>11.32075471698113</v>
      </c>
      <c r="I3228" s="532">
        <f>+INDEX('Fuel Model -  Input'!$B$3:$N$373,MATCH($B3228,'Fuel Model -  Input'!$B$3:$B$373,0),MATCH(I$2,'Fuel Model -  Input'!$B$3:$N$3,0))</f>
        <v>11.32075471698113</v>
      </c>
      <c r="J3228" s="532">
        <f>+INDEX('Fuel Model -  Input'!$B$3:$N$373,MATCH($B3228,'Fuel Model -  Input'!$B$3:$B$373,0),MATCH(J$2,'Fuel Model -  Input'!$B$3:$N$3,0))</f>
        <v>11.32075471698113</v>
      </c>
      <c r="K3228" s="532">
        <f>+INDEX('Fuel Model -  Input'!$B$3:$N$373,MATCH($B3228,'Fuel Model -  Input'!$B$3:$B$373,0),MATCH(K$2,'Fuel Model -  Input'!$B$3:$N$3,0))</f>
        <v>11.32075471698113</v>
      </c>
      <c r="L3228" s="532">
        <f>+INDEX('Fuel Model -  Input'!$B$3:$N$373,MATCH($B3228,'Fuel Model -  Input'!$B$3:$B$373,0),MATCH(L$2,'Fuel Model -  Input'!$B$3:$N$3,0))</f>
        <v>11.32075471698113</v>
      </c>
      <c r="M3228" s="532">
        <f>+INDEX('Fuel Model -  Input'!$B$3:$N$373,MATCH($B3228,'Fuel Model -  Input'!$B$3:$B$373,0),MATCH(M$2,'Fuel Model -  Input'!$B$3:$N$3,0))</f>
        <v>11.32075471698113</v>
      </c>
    </row>
    <row r="3229" spans="2:15" hidden="1" outlineLevel="2" x14ac:dyDescent="0.2">
      <c r="B3229" t="str">
        <f>+C3229&amp;D3229&amp;E3229&amp;F3229</f>
        <v>GlobalCAPEXFP plantUSD/ton FP oil capacity</v>
      </c>
      <c r="C3229" s="494" t="s">
        <v>109</v>
      </c>
      <c r="D3229" t="s">
        <v>50</v>
      </c>
      <c r="E3229" s="48" t="s">
        <v>1350</v>
      </c>
      <c r="F3229" s="128" t="s">
        <v>1351</v>
      </c>
      <c r="G3229" s="532">
        <f>+INDEX('Fuel Model -  Input'!$B$3:$N$373,MATCH($B3229,'Fuel Model -  Input'!$B$3:$B$373,0),MATCH(G$2,'Fuel Model -  Input'!$B$3:$N$3,0))</f>
        <v>11630</v>
      </c>
      <c r="H3229" s="532">
        <f>+INDEX('Fuel Model -  Input'!$B$3:$N$373,MATCH($B3229,'Fuel Model -  Input'!$B$3:$B$373,0),MATCH(H$2,'Fuel Model -  Input'!$B$3:$N$3,0))</f>
        <v>6978</v>
      </c>
      <c r="I3229" s="532">
        <f>+INDEX('Fuel Model -  Input'!$B$3:$N$373,MATCH($B3229,'Fuel Model -  Input'!$B$3:$B$373,0),MATCH(I$2,'Fuel Model -  Input'!$B$3:$N$3,0))</f>
        <v>2326</v>
      </c>
      <c r="J3229" s="532">
        <f>+INDEX('Fuel Model -  Input'!$B$3:$N$373,MATCH($B3229,'Fuel Model -  Input'!$B$3:$B$373,0),MATCH(J$2,'Fuel Model -  Input'!$B$3:$N$3,0))</f>
        <v>2093.4</v>
      </c>
      <c r="K3229" s="532">
        <f>+INDEX('Fuel Model -  Input'!$B$3:$N$373,MATCH($B3229,'Fuel Model -  Input'!$B$3:$B$373,0),MATCH(K$2,'Fuel Model -  Input'!$B$3:$N$3,0))</f>
        <v>2015.8666666666668</v>
      </c>
      <c r="L3229" s="532">
        <f>+INDEX('Fuel Model -  Input'!$B$3:$N$373,MATCH($B3229,'Fuel Model -  Input'!$B$3:$B$373,0),MATCH(L$2,'Fuel Model -  Input'!$B$3:$N$3,0))</f>
        <v>1938.3333333333337</v>
      </c>
      <c r="M3229" s="532">
        <f>+INDEX('Fuel Model -  Input'!$B$3:$N$373,MATCH($B3229,'Fuel Model -  Input'!$B$3:$B$373,0),MATCH(M$2,'Fuel Model -  Input'!$B$3:$N$3,0))</f>
        <v>1860.8000000000004</v>
      </c>
    </row>
    <row r="3230" spans="2:15" hidden="1" outlineLevel="2" x14ac:dyDescent="0.2">
      <c r="C3230" s="494"/>
      <c r="E3230" s="48"/>
      <c r="F3230" s="128"/>
      <c r="G3230" s="524"/>
      <c r="H3230" s="524"/>
      <c r="I3230" s="524"/>
      <c r="J3230" s="524"/>
      <c r="K3230" s="524"/>
      <c r="L3230" s="524"/>
      <c r="M3230" s="524"/>
    </row>
    <row r="3231" spans="2:15" hidden="1" outlineLevel="2" x14ac:dyDescent="0.2">
      <c r="B3231" t="str">
        <f>+C3231&amp;D3231&amp;E3231&amp;F3231</f>
        <v>EuropeOpexOpexUSD/ton oil</v>
      </c>
      <c r="C3231" s="494" t="str">
        <f>+$C$3221</f>
        <v>Europe</v>
      </c>
      <c r="D3231" t="s">
        <v>219</v>
      </c>
      <c r="E3231" s="48" t="s">
        <v>219</v>
      </c>
      <c r="F3231" s="128" t="s">
        <v>1349</v>
      </c>
      <c r="G3231" s="8">
        <f t="shared" ref="G3231:M3231" si="1853">G3229*G3232</f>
        <v>457.46634026927774</v>
      </c>
      <c r="H3231" s="8">
        <f t="shared" si="1853"/>
        <v>274.47980416156662</v>
      </c>
      <c r="I3231" s="8">
        <f t="shared" si="1853"/>
        <v>91.493268053855545</v>
      </c>
      <c r="J3231" s="8">
        <f t="shared" si="1853"/>
        <v>82.343941248469989</v>
      </c>
      <c r="K3231" s="8">
        <f t="shared" si="1853"/>
        <v>79.294165646674813</v>
      </c>
      <c r="L3231" s="8">
        <f t="shared" si="1853"/>
        <v>76.244390044879637</v>
      </c>
      <c r="M3231" s="8">
        <f t="shared" si="1853"/>
        <v>73.194614443084447</v>
      </c>
    </row>
    <row r="3232" spans="2:15" hidden="1" outlineLevel="2" x14ac:dyDescent="0.2">
      <c r="B3232" t="str">
        <f>+C3232&amp;D3232&amp;E3232&amp;F3232</f>
        <v>GlobalOPEXFP plant opexPercent of Capex</v>
      </c>
      <c r="C3232" s="494" t="s">
        <v>109</v>
      </c>
      <c r="D3232" t="s">
        <v>319</v>
      </c>
      <c r="E3232" s="48" t="s">
        <v>1352</v>
      </c>
      <c r="F3232" s="128" t="s">
        <v>883</v>
      </c>
      <c r="G3232" s="531">
        <f>INDEX('Fuel Model -  Input'!$B$3:$N$373,MATCH($B3232,'Fuel Model -  Input'!$B$3:$B$373,0),MATCH(G$2,'Fuel Model -  Input'!$B$3:$N$3,0))</f>
        <v>3.9335024958665324E-2</v>
      </c>
      <c r="H3232" s="531">
        <f>INDEX('Fuel Model -  Input'!$B$3:$N$373,MATCH($B3232,'Fuel Model -  Input'!$B$3:$B$373,0),MATCH(H$2,'Fuel Model -  Input'!$B$3:$N$3,0))</f>
        <v>3.9335024958665324E-2</v>
      </c>
      <c r="I3232" s="531">
        <f>INDEX('Fuel Model -  Input'!$B$3:$N$373,MATCH($B3232,'Fuel Model -  Input'!$B$3:$B$373,0),MATCH(I$2,'Fuel Model -  Input'!$B$3:$N$3,0))</f>
        <v>3.9335024958665324E-2</v>
      </c>
      <c r="J3232" s="531">
        <f>INDEX('Fuel Model -  Input'!$B$3:$N$373,MATCH($B3232,'Fuel Model -  Input'!$B$3:$B$373,0),MATCH(J$2,'Fuel Model -  Input'!$B$3:$N$3,0))</f>
        <v>3.9335024958665324E-2</v>
      </c>
      <c r="K3232" s="531">
        <f>INDEX('Fuel Model -  Input'!$B$3:$N$373,MATCH($B3232,'Fuel Model -  Input'!$B$3:$B$373,0),MATCH(K$2,'Fuel Model -  Input'!$B$3:$N$3,0))</f>
        <v>3.9335024958665324E-2</v>
      </c>
      <c r="L3232" s="531">
        <f>INDEX('Fuel Model -  Input'!$B$3:$N$373,MATCH($B3232,'Fuel Model -  Input'!$B$3:$B$373,0),MATCH(L$2,'Fuel Model -  Input'!$B$3:$N$3,0))</f>
        <v>3.9335024958665324E-2</v>
      </c>
      <c r="M3232" s="531">
        <f>INDEX('Fuel Model -  Input'!$B$3:$N$373,MATCH($B3232,'Fuel Model -  Input'!$B$3:$B$373,0),MATCH(M$2,'Fuel Model -  Input'!$B$3:$N$3,0))</f>
        <v>3.9335024958665324E-2</v>
      </c>
    </row>
    <row r="3233" spans="2:13" hidden="1" outlineLevel="2" x14ac:dyDescent="0.2">
      <c r="C3233" s="494"/>
      <c r="E3233" s="48"/>
      <c r="F3233" s="128"/>
      <c r="G3233" s="520"/>
      <c r="H3233" s="520"/>
      <c r="I3233" s="520"/>
      <c r="J3233" s="520"/>
      <c r="K3233" s="520"/>
      <c r="L3233" s="520"/>
      <c r="M3233" s="520"/>
    </row>
    <row r="3234" spans="2:13" hidden="1" outlineLevel="2" x14ac:dyDescent="0.2">
      <c r="B3234" t="str">
        <f>+C3234&amp;D3234&amp;E3234&amp;F3234</f>
        <v>EuropeElectricityTotal (Pyr)USD/ ton oil</v>
      </c>
      <c r="C3234" s="494" t="str">
        <f>+$C$3221</f>
        <v>Europe</v>
      </c>
      <c r="D3234" t="s">
        <v>54</v>
      </c>
      <c r="E3234" s="48" t="s">
        <v>1353</v>
      </c>
      <c r="F3234" s="128" t="s">
        <v>1354</v>
      </c>
      <c r="G3234" s="8">
        <f t="shared" ref="G3234:M3234" si="1854">G3236*G3235</f>
        <v>31.860571010376841</v>
      </c>
      <c r="H3234" s="8">
        <f t="shared" si="1854"/>
        <v>25.780792587209493</v>
      </c>
      <c r="I3234" s="8">
        <f t="shared" si="1854"/>
        <v>20.868294881527358</v>
      </c>
      <c r="J3234" s="8">
        <f t="shared" si="1854"/>
        <v>18.827153101219082</v>
      </c>
      <c r="K3234" s="8">
        <f t="shared" si="1854"/>
        <v>17.608487712410465</v>
      </c>
      <c r="L3234" s="8">
        <f t="shared" si="1854"/>
        <v>16.304735763511509</v>
      </c>
      <c r="M3234" s="8">
        <f t="shared" si="1854"/>
        <v>15.353491491767638</v>
      </c>
    </row>
    <row r="3235" spans="2:13" hidden="1" outlineLevel="2" x14ac:dyDescent="0.2">
      <c r="B3235" t="str">
        <f>+C3235&amp;D3235&amp;E3235&amp;F3235</f>
        <v>GlobalFeedstockFP plant electricity demandMWh/ton fuel</v>
      </c>
      <c r="C3235" s="494" t="s">
        <v>109</v>
      </c>
      <c r="D3235" t="s">
        <v>777</v>
      </c>
      <c r="E3235" s="48" t="s">
        <v>1355</v>
      </c>
      <c r="F3235" s="128" t="s">
        <v>1298</v>
      </c>
      <c r="G3235" s="521">
        <f>INDEX('Fuel Model -  Input'!$B$3:$N$373,MATCH($B3235,'Fuel Model -  Input'!$B$3:$B$373,0),MATCH(G$2,'Fuel Model -  Input'!$B$3:$N$3,0))</f>
        <v>0.58356415446901266</v>
      </c>
      <c r="H3235" s="521">
        <f>INDEX('Fuel Model -  Input'!$B$3:$N$373,MATCH($B3235,'Fuel Model -  Input'!$B$3:$B$373,0),MATCH(H$2,'Fuel Model -  Input'!$B$3:$N$3,0))</f>
        <v>0.58356415446901266</v>
      </c>
      <c r="I3235" s="521">
        <f>INDEX('Fuel Model -  Input'!$B$3:$N$373,MATCH($B3235,'Fuel Model -  Input'!$B$3:$B$373,0),MATCH(I$2,'Fuel Model -  Input'!$B$3:$N$3,0))</f>
        <v>0.58356415446901266</v>
      </c>
      <c r="J3235" s="521">
        <f>INDEX('Fuel Model -  Input'!$B$3:$N$373,MATCH($B3235,'Fuel Model -  Input'!$B$3:$B$373,0),MATCH(J$2,'Fuel Model -  Input'!$B$3:$N$3,0))</f>
        <v>0.58356415446901266</v>
      </c>
      <c r="K3235" s="521">
        <f>INDEX('Fuel Model -  Input'!$B$3:$N$373,MATCH($B3235,'Fuel Model -  Input'!$B$3:$B$373,0),MATCH(K$2,'Fuel Model -  Input'!$B$3:$N$3,0))</f>
        <v>0.58356415446901266</v>
      </c>
      <c r="L3235" s="521">
        <f>INDEX('Fuel Model -  Input'!$B$3:$N$373,MATCH($B3235,'Fuel Model -  Input'!$B$3:$B$373,0),MATCH(L$2,'Fuel Model -  Input'!$B$3:$N$3,0))</f>
        <v>0.58356415446901266</v>
      </c>
      <c r="M3235" s="521">
        <f>INDEX('Fuel Model -  Input'!$B$3:$N$373,MATCH($B3235,'Fuel Model -  Input'!$B$3:$B$373,0),MATCH(M$2,'Fuel Model -  Input'!$B$3:$N$3,0))</f>
        <v>0.58356415446901266</v>
      </c>
    </row>
    <row r="3236" spans="2:13" hidden="1" outlineLevel="2" x14ac:dyDescent="0.2">
      <c r="B3236" t="str">
        <f>+C3236&amp;D3236&amp;E3236&amp;F3236</f>
        <v>EuropeFeedstockElectricityUSD/MWh</v>
      </c>
      <c r="C3236" s="494" t="str">
        <f>C3221</f>
        <v>Europe</v>
      </c>
      <c r="D3236" t="s">
        <v>777</v>
      </c>
      <c r="E3236" s="48" t="s">
        <v>54</v>
      </c>
      <c r="F3236" s="128" t="s">
        <v>196</v>
      </c>
      <c r="G3236" s="521">
        <f>INDEX('Fuel Model -  Input'!$B$3:$N$373,MATCH($B3236,'Fuel Model -  Input'!$B$3:$B$373,0),MATCH(G$2,'Fuel Model -  Input'!$B$3:$N$3,0))</f>
        <v>54.596518251479822</v>
      </c>
      <c r="H3236" s="521">
        <f>INDEX('Fuel Model -  Input'!$B$3:$N$373,MATCH($B3236,'Fuel Model -  Input'!$B$3:$B$373,0),MATCH(H$2,'Fuel Model -  Input'!$B$3:$N$3,0))</f>
        <v>44.178163428608016</v>
      </c>
      <c r="I3236" s="521">
        <f>INDEX('Fuel Model -  Input'!$B$3:$N$373,MATCH($B3236,'Fuel Model -  Input'!$B$3:$B$373,0),MATCH(I$2,'Fuel Model -  Input'!$B$3:$N$3,0))</f>
        <v>35.760069774188757</v>
      </c>
      <c r="J3236" s="521">
        <f>INDEX('Fuel Model -  Input'!$B$3:$N$373,MATCH($B3236,'Fuel Model -  Input'!$B$3:$B$373,0),MATCH(J$2,'Fuel Model -  Input'!$B$3:$N$3,0))</f>
        <v>32.262353602492915</v>
      </c>
      <c r="K3236" s="521">
        <f>INDEX('Fuel Model -  Input'!$B$3:$N$373,MATCH($B3236,'Fuel Model -  Input'!$B$3:$B$373,0),MATCH(K$2,'Fuel Model -  Input'!$B$3:$N$3,0))</f>
        <v>30.17403926811183</v>
      </c>
      <c r="L3236" s="521">
        <f>INDEX('Fuel Model -  Input'!$B$3:$N$373,MATCH($B3236,'Fuel Model -  Input'!$B$3:$B$373,0),MATCH(L$2,'Fuel Model -  Input'!$B$3:$N$3,0))</f>
        <v>27.939919953355002</v>
      </c>
      <c r="M3236" s="521">
        <f>INDEX('Fuel Model -  Input'!$B$3:$N$373,MATCH($B3236,'Fuel Model -  Input'!$B$3:$B$373,0),MATCH(M$2,'Fuel Model -  Input'!$B$3:$N$3,0))</f>
        <v>26.309860491239117</v>
      </c>
    </row>
    <row r="3237" spans="2:13" hidden="1" outlineLevel="2" x14ac:dyDescent="0.2">
      <c r="C3237" s="494"/>
      <c r="E3237" s="48"/>
      <c r="F3237" s="128"/>
      <c r="G3237" s="520"/>
      <c r="H3237" s="520"/>
      <c r="I3237" s="520"/>
      <c r="J3237" s="520"/>
      <c r="K3237" s="520"/>
      <c r="L3237" s="520"/>
      <c r="M3237" s="520"/>
    </row>
    <row r="3238" spans="2:13" hidden="1" outlineLevel="2" x14ac:dyDescent="0.2">
      <c r="B3238" t="str">
        <f t="shared" ref="B3238:B3246" si="1855">+C3238&amp;D3238&amp;E3238&amp;F3238</f>
        <v>EuropeElectricityTotal hydrogenUSD/ ton HTL oil</v>
      </c>
      <c r="C3238" s="494" t="str">
        <f>+$C$2817</f>
        <v>Europe</v>
      </c>
      <c r="D3238" t="s">
        <v>54</v>
      </c>
      <c r="E3238" s="48" t="s">
        <v>1299</v>
      </c>
      <c r="F3238" s="128" t="s">
        <v>1296</v>
      </c>
      <c r="G3238" s="8">
        <f>G3240*G3239</f>
        <v>898.00551400616416</v>
      </c>
      <c r="H3238" s="8">
        <f t="shared" ref="H3238" si="1856">H3240*H3239</f>
        <v>418.80150000000003</v>
      </c>
      <c r="I3238" s="8">
        <f t="shared" ref="I3238" si="1857">I3240*I3239</f>
        <v>321.35053540444562</v>
      </c>
      <c r="J3238" s="8">
        <f t="shared" ref="J3238" si="1858">J3240*J3239</f>
        <v>353.71174279492828</v>
      </c>
      <c r="K3238" s="8">
        <f t="shared" ref="K3238" si="1859">K3240*K3239</f>
        <v>340.97208482371252</v>
      </c>
      <c r="L3238" s="8">
        <f t="shared" ref="L3238" si="1860">L3240*L3239</f>
        <v>312.44518018112569</v>
      </c>
      <c r="M3238" s="8">
        <f t="shared" ref="M3238" si="1861">M3240*M3239</f>
        <v>232.2492011850569</v>
      </c>
    </row>
    <row r="3239" spans="2:13" hidden="1" outlineLevel="2" x14ac:dyDescent="0.2">
      <c r="B3239" t="str">
        <f t="shared" si="1855"/>
        <v>GlobalFeedstockConversion Hydrogen : FP oilTon feedstock / ton fuel</v>
      </c>
      <c r="C3239" s="494" t="s">
        <v>109</v>
      </c>
      <c r="D3239" t="s">
        <v>777</v>
      </c>
      <c r="E3239" s="48" t="s">
        <v>1356</v>
      </c>
      <c r="F3239" s="128" t="s">
        <v>1241</v>
      </c>
      <c r="G3239" s="521">
        <f>INDEX('Fuel Model -  Input'!$B$3:$N$373,MATCH($B3239,'Fuel Model -  Input'!$B$3:$B$373,0),MATCH(G$2,'Fuel Model -  Input'!$B$3:$N$3,0))</f>
        <v>0.13</v>
      </c>
      <c r="H3239" s="521">
        <f>INDEX('Fuel Model -  Input'!$B$3:$N$373,MATCH($B3239,'Fuel Model -  Input'!$B$3:$B$373,0),MATCH(H$2,'Fuel Model -  Input'!$B$3:$N$3,0))</f>
        <v>0.13</v>
      </c>
      <c r="I3239" s="521">
        <f>INDEX('Fuel Model -  Input'!$B$3:$N$373,MATCH($B3239,'Fuel Model -  Input'!$B$3:$B$373,0),MATCH(I$2,'Fuel Model -  Input'!$B$3:$N$3,0))</f>
        <v>0.13</v>
      </c>
      <c r="J3239" s="521">
        <f>INDEX('Fuel Model -  Input'!$B$3:$N$373,MATCH($B3239,'Fuel Model -  Input'!$B$3:$B$373,0),MATCH(J$2,'Fuel Model -  Input'!$B$3:$N$3,0))</f>
        <v>0.13</v>
      </c>
      <c r="K3239" s="521">
        <f>INDEX('Fuel Model -  Input'!$B$3:$N$373,MATCH($B3239,'Fuel Model -  Input'!$B$3:$B$373,0),MATCH(K$2,'Fuel Model -  Input'!$B$3:$N$3,0))</f>
        <v>0.13</v>
      </c>
      <c r="L3239" s="521">
        <f>INDEX('Fuel Model -  Input'!$B$3:$N$373,MATCH($B3239,'Fuel Model -  Input'!$B$3:$B$373,0),MATCH(L$2,'Fuel Model -  Input'!$B$3:$N$3,0))</f>
        <v>0.13</v>
      </c>
      <c r="M3239" s="521">
        <f>INDEX('Fuel Model -  Input'!$B$3:$N$373,MATCH($B3239,'Fuel Model -  Input'!$B$3:$B$373,0),MATCH(M$2,'Fuel Model -  Input'!$B$3:$N$3,0))</f>
        <v>0.13</v>
      </c>
    </row>
    <row r="3240" spans="2:13" hidden="1" outlineLevel="2" x14ac:dyDescent="0.2">
      <c r="B3240" t="str">
        <f t="shared" si="1855"/>
        <v>EuropeFeedstockWeighted hydrogen costUSD/ton</v>
      </c>
      <c r="C3240" s="494" t="s">
        <v>195</v>
      </c>
      <c r="D3240" t="s">
        <v>777</v>
      </c>
      <c r="E3240" s="48" t="s">
        <v>1301</v>
      </c>
      <c r="F3240" s="128" t="s">
        <v>205</v>
      </c>
      <c r="G3240" s="337">
        <f>SUMPRODUCT(G3241:G3243,G3244:G3246)</f>
        <v>6907.7347231243393</v>
      </c>
      <c r="H3240" s="337">
        <f t="shared" ref="H3240" si="1862">SUMPRODUCT(H3241:H3243,H3244:H3246)</f>
        <v>3221.55</v>
      </c>
      <c r="I3240" s="337">
        <f t="shared" ref="I3240" si="1863">SUMPRODUCT(I3241:I3243,I3244:I3246)</f>
        <v>2471.9271954188125</v>
      </c>
      <c r="J3240" s="337">
        <f t="shared" ref="J3240" si="1864">SUMPRODUCT(J3241:J3243,J3244:J3246)</f>
        <v>2720.8595599609866</v>
      </c>
      <c r="K3240" s="337">
        <f t="shared" ref="K3240" si="1865">SUMPRODUCT(K3241:K3243,K3244:K3246)</f>
        <v>2622.8621909516346</v>
      </c>
      <c r="L3240" s="337">
        <f t="shared" ref="L3240" si="1866">SUMPRODUCT(L3241:L3243,L3244:L3246)</f>
        <v>2403.4244629317359</v>
      </c>
      <c r="M3240" s="337">
        <f t="shared" ref="M3240" si="1867">SUMPRODUCT(M3241:M3243,M3244:M3246)</f>
        <v>1786.53231680813</v>
      </c>
    </row>
    <row r="3241" spans="2:13" hidden="1" outlineLevel="2" x14ac:dyDescent="0.2">
      <c r="B3241" t="str">
        <f t="shared" si="1855"/>
        <v>GlobalFeedstockFP hydrogen fraction - Grey%</v>
      </c>
      <c r="C3241" s="494" t="s">
        <v>109</v>
      </c>
      <c r="D3241" t="s">
        <v>777</v>
      </c>
      <c r="E3241" s="48" t="s">
        <v>1357</v>
      </c>
      <c r="F3241" t="s">
        <v>178</v>
      </c>
      <c r="G3241" s="531">
        <f>INDEX('Fuel Model -  Input'!$B$3:$N$373,MATCH($B3241,'Fuel Model -  Input'!$B$3:$B$373,0),MATCH(G$2,'Fuel Model -  Input'!$B$3:$N$3,0))</f>
        <v>1</v>
      </c>
      <c r="H3241" s="531">
        <f>INDEX('Fuel Model -  Input'!$B$3:$N$373,MATCH($B3241,'Fuel Model -  Input'!$B$3:$B$373,0),MATCH(H$2,'Fuel Model -  Input'!$B$3:$N$3,0))</f>
        <v>0.7</v>
      </c>
      <c r="I3241" s="531">
        <f>INDEX('Fuel Model -  Input'!$B$3:$N$373,MATCH($B3241,'Fuel Model -  Input'!$B$3:$B$373,0),MATCH(I$2,'Fuel Model -  Input'!$B$3:$N$3,0))</f>
        <v>0.5</v>
      </c>
      <c r="J3241" s="531">
        <f>INDEX('Fuel Model -  Input'!$B$3:$N$373,MATCH($B3241,'Fuel Model -  Input'!$B$3:$B$373,0),MATCH(J$2,'Fuel Model -  Input'!$B$3:$N$3,0))</f>
        <v>0</v>
      </c>
      <c r="K3241" s="531">
        <f>INDEX('Fuel Model -  Input'!$B$3:$N$373,MATCH($B3241,'Fuel Model -  Input'!$B$3:$B$373,0),MATCH(K$2,'Fuel Model -  Input'!$B$3:$N$3,0))</f>
        <v>0</v>
      </c>
      <c r="L3241" s="531">
        <f>INDEX('Fuel Model -  Input'!$B$3:$N$373,MATCH($B3241,'Fuel Model -  Input'!$B$3:$B$373,0),MATCH(L$2,'Fuel Model -  Input'!$B$3:$N$3,0))</f>
        <v>0</v>
      </c>
      <c r="M3241" s="531">
        <f>INDEX('Fuel Model -  Input'!$B$3:$N$373,MATCH($B3241,'Fuel Model -  Input'!$B$3:$B$373,0),MATCH(M$2,'Fuel Model -  Input'!$B$3:$N$3,0))</f>
        <v>0</v>
      </c>
    </row>
    <row r="3242" spans="2:13" hidden="1" outlineLevel="2" x14ac:dyDescent="0.2">
      <c r="B3242" t="str">
        <f t="shared" si="1855"/>
        <v>GlobalFeedstockFP hydrogen fraction - Blue%</v>
      </c>
      <c r="C3242" s="494" t="s">
        <v>109</v>
      </c>
      <c r="D3242" t="s">
        <v>777</v>
      </c>
      <c r="E3242" s="48" t="s">
        <v>1358</v>
      </c>
      <c r="F3242" t="s">
        <v>178</v>
      </c>
      <c r="G3242" s="531">
        <f>INDEX('Fuel Model -  Input'!$B$3:$N$373,MATCH($B3242,'Fuel Model -  Input'!$B$3:$B$373,0),MATCH(G$2,'Fuel Model -  Input'!$B$3:$N$3,0))</f>
        <v>0</v>
      </c>
      <c r="H3242" s="531">
        <f>INDEX('Fuel Model -  Input'!$B$3:$N$373,MATCH($B3242,'Fuel Model -  Input'!$B$3:$B$373,0),MATCH(H$2,'Fuel Model -  Input'!$B$3:$N$3,0))</f>
        <v>0.3</v>
      </c>
      <c r="I3242" s="531">
        <f>INDEX('Fuel Model -  Input'!$B$3:$N$373,MATCH($B3242,'Fuel Model -  Input'!$B$3:$B$373,0),MATCH(I$2,'Fuel Model -  Input'!$B$3:$N$3,0))</f>
        <v>0.5</v>
      </c>
      <c r="J3242" s="531">
        <f>INDEX('Fuel Model -  Input'!$B$3:$N$373,MATCH($B3242,'Fuel Model -  Input'!$B$3:$B$373,0),MATCH(J$2,'Fuel Model -  Input'!$B$3:$N$3,0))</f>
        <v>1</v>
      </c>
      <c r="K3242" s="531">
        <f>INDEX('Fuel Model -  Input'!$B$3:$N$373,MATCH($B3242,'Fuel Model -  Input'!$B$3:$B$373,0),MATCH(K$2,'Fuel Model -  Input'!$B$3:$N$3,0))</f>
        <v>0.9</v>
      </c>
      <c r="L3242" s="531">
        <f>INDEX('Fuel Model -  Input'!$B$3:$N$373,MATCH($B3242,'Fuel Model -  Input'!$B$3:$B$373,0),MATCH(L$2,'Fuel Model -  Input'!$B$3:$N$3,0))</f>
        <v>0.7</v>
      </c>
      <c r="M3242" s="531">
        <f>INDEX('Fuel Model -  Input'!$B$3:$N$373,MATCH($B3242,'Fuel Model -  Input'!$B$3:$B$373,0),MATCH(M$2,'Fuel Model -  Input'!$B$3:$N$3,0))</f>
        <v>0.2</v>
      </c>
    </row>
    <row r="3243" spans="2:13" hidden="1" outlineLevel="2" x14ac:dyDescent="0.2">
      <c r="B3243" t="str">
        <f t="shared" si="1855"/>
        <v>GlobalFeedstockFP hydrogen fraction - Green%</v>
      </c>
      <c r="C3243" s="494" t="s">
        <v>109</v>
      </c>
      <c r="D3243" t="s">
        <v>777</v>
      </c>
      <c r="E3243" s="48" t="s">
        <v>1359</v>
      </c>
      <c r="F3243" t="s">
        <v>178</v>
      </c>
      <c r="G3243" s="531">
        <f>INDEX('Fuel Model -  Input'!$B$3:$N$373,MATCH($B3243,'Fuel Model -  Input'!$B$3:$B$373,0),MATCH(G$2,'Fuel Model -  Input'!$B$3:$N$3,0))</f>
        <v>0</v>
      </c>
      <c r="H3243" s="531">
        <f>INDEX('Fuel Model -  Input'!$B$3:$N$373,MATCH($B3243,'Fuel Model -  Input'!$B$3:$B$373,0),MATCH(H$2,'Fuel Model -  Input'!$B$3:$N$3,0))</f>
        <v>0</v>
      </c>
      <c r="I3243" s="531">
        <f>INDEX('Fuel Model -  Input'!$B$3:$N$373,MATCH($B3243,'Fuel Model -  Input'!$B$3:$B$373,0),MATCH(I$2,'Fuel Model -  Input'!$B$3:$N$3,0))</f>
        <v>0</v>
      </c>
      <c r="J3243" s="531">
        <f>INDEX('Fuel Model -  Input'!$B$3:$N$373,MATCH($B3243,'Fuel Model -  Input'!$B$3:$B$373,0),MATCH(J$2,'Fuel Model -  Input'!$B$3:$N$3,0))</f>
        <v>0</v>
      </c>
      <c r="K3243" s="531">
        <f>INDEX('Fuel Model -  Input'!$B$3:$N$373,MATCH($B3243,'Fuel Model -  Input'!$B$3:$B$373,0),MATCH(K$2,'Fuel Model -  Input'!$B$3:$N$3,0))</f>
        <v>0.1</v>
      </c>
      <c r="L3243" s="531">
        <f>INDEX('Fuel Model -  Input'!$B$3:$N$373,MATCH($B3243,'Fuel Model -  Input'!$B$3:$B$373,0),MATCH(L$2,'Fuel Model -  Input'!$B$3:$N$3,0))</f>
        <v>0.3</v>
      </c>
      <c r="M3243" s="531">
        <f>INDEX('Fuel Model -  Input'!$B$3:$N$373,MATCH($B3243,'Fuel Model -  Input'!$B$3:$B$373,0),MATCH(M$2,'Fuel Model -  Input'!$B$3:$N$3,0))</f>
        <v>0.8</v>
      </c>
    </row>
    <row r="3244" spans="2:13" hidden="1" outlineLevel="2" x14ac:dyDescent="0.2">
      <c r="B3244" t="str">
        <f t="shared" si="1855"/>
        <v>EuropeResultsCost of Grey HydrogenUSD/ton</v>
      </c>
      <c r="C3244" s="494" t="s">
        <v>195</v>
      </c>
      <c r="D3244" t="s">
        <v>838</v>
      </c>
      <c r="E3244" s="48" t="s">
        <v>1161</v>
      </c>
      <c r="F3244" s="128" t="s">
        <v>205</v>
      </c>
      <c r="G3244" s="532">
        <f t="shared" ref="G3244:M3246" si="1868">+INDEX(G$2:G$2521,MATCH($B3244,$B$2:$B$2521,0))</f>
        <v>6907.7347231243393</v>
      </c>
      <c r="H3244" s="532">
        <f t="shared" si="1868"/>
        <v>3015</v>
      </c>
      <c r="I3244" s="532">
        <f t="shared" si="1868"/>
        <v>2129.9578097813123</v>
      </c>
      <c r="J3244" s="532">
        <f t="shared" si="1868"/>
        <v>2041.4511954859868</v>
      </c>
      <c r="K3244" s="532">
        <f t="shared" si="1868"/>
        <v>1960.7018860965813</v>
      </c>
      <c r="L3244" s="532">
        <f t="shared" si="1868"/>
        <v>1886.6322782743964</v>
      </c>
      <c r="M3244" s="532">
        <f t="shared" si="1868"/>
        <v>1818.3333333333335</v>
      </c>
    </row>
    <row r="3245" spans="2:13" hidden="1" outlineLevel="2" x14ac:dyDescent="0.2">
      <c r="B3245" t="str">
        <f t="shared" si="1855"/>
        <v>EuropeResultsCost of Blue HydrogenUSD/ton</v>
      </c>
      <c r="C3245" s="494" t="s">
        <v>195</v>
      </c>
      <c r="D3245" t="s">
        <v>838</v>
      </c>
      <c r="E3245" s="48" t="s">
        <v>1200</v>
      </c>
      <c r="F3245" s="128" t="s">
        <v>205</v>
      </c>
      <c r="G3245" s="532">
        <f t="shared" si="1868"/>
        <v>7600.8269834743396</v>
      </c>
      <c r="H3245" s="532">
        <f t="shared" si="1868"/>
        <v>3703.5</v>
      </c>
      <c r="I3245" s="532">
        <f t="shared" si="1868"/>
        <v>2813.8965810563122</v>
      </c>
      <c r="J3245" s="532">
        <f t="shared" si="1868"/>
        <v>2720.8595599609866</v>
      </c>
      <c r="K3245" s="532">
        <f t="shared" si="1868"/>
        <v>2635.6104574215815</v>
      </c>
      <c r="L3245" s="532">
        <f t="shared" si="1868"/>
        <v>2557.0714633243965</v>
      </c>
      <c r="M3245" s="532">
        <f t="shared" si="1868"/>
        <v>2484.3333333333335</v>
      </c>
    </row>
    <row r="3246" spans="2:13" hidden="1" outlineLevel="2" x14ac:dyDescent="0.2">
      <c r="B3246" t="str">
        <f t="shared" si="1855"/>
        <v>EuropeResultsCost of e-HydrogenUSD/ton</v>
      </c>
      <c r="C3246" s="494" t="s">
        <v>195</v>
      </c>
      <c r="D3246" t="s">
        <v>838</v>
      </c>
      <c r="E3246" s="48" t="s">
        <v>853</v>
      </c>
      <c r="F3246" s="128" t="s">
        <v>205</v>
      </c>
      <c r="G3246" s="532">
        <f t="shared" si="1868"/>
        <v>4708.2385020539878</v>
      </c>
      <c r="H3246" s="532">
        <f t="shared" si="1868"/>
        <v>3843.9448561999607</v>
      </c>
      <c r="I3246" s="532">
        <f t="shared" si="1868"/>
        <v>3137.4742355809412</v>
      </c>
      <c r="J3246" s="532">
        <f t="shared" si="1868"/>
        <v>2867.5500666394773</v>
      </c>
      <c r="K3246" s="532">
        <f t="shared" si="1868"/>
        <v>2508.1277927221117</v>
      </c>
      <c r="L3246" s="532">
        <f t="shared" si="1868"/>
        <v>2044.9147953488614</v>
      </c>
      <c r="M3246" s="532">
        <f t="shared" si="1868"/>
        <v>1612.0820626768289</v>
      </c>
    </row>
    <row r="3247" spans="2:13" hidden="1" outlineLevel="2" x14ac:dyDescent="0.2">
      <c r="C3247" s="494"/>
      <c r="E3247" s="48"/>
      <c r="F3247" s="128"/>
      <c r="G3247" s="532"/>
      <c r="H3247" s="532"/>
      <c r="I3247" s="532"/>
      <c r="J3247" s="532"/>
      <c r="K3247" s="532"/>
      <c r="L3247" s="532"/>
      <c r="M3247" s="532"/>
    </row>
    <row r="3248" spans="2:13" hidden="1" outlineLevel="2" x14ac:dyDescent="0.2">
      <c r="B3248" t="str">
        <f>+C3248&amp;D3248&amp;E3248&amp;F3248</f>
        <v>EuropeFeedstockWood biomass to pyrolysis oilUSD/ton oil</v>
      </c>
      <c r="C3248" s="494" t="str">
        <f>+$C$3221</f>
        <v>Europe</v>
      </c>
      <c r="D3248" t="s">
        <v>777</v>
      </c>
      <c r="E3248" s="48" t="s">
        <v>1360</v>
      </c>
      <c r="F3248" s="128" t="s">
        <v>1349</v>
      </c>
      <c r="G3248" s="8">
        <f t="shared" ref="G3248:M3248" si="1869">G3250*G3249</f>
        <v>374.28207881957411</v>
      </c>
      <c r="H3248" s="8">
        <f t="shared" si="1869"/>
        <v>393.98113559955169</v>
      </c>
      <c r="I3248" s="8">
        <f t="shared" si="1869"/>
        <v>413.68019237952927</v>
      </c>
      <c r="J3248" s="8">
        <f t="shared" si="1869"/>
        <v>433.37924915950686</v>
      </c>
      <c r="K3248" s="8">
        <f t="shared" si="1869"/>
        <v>449.13849458348892</v>
      </c>
      <c r="L3248" s="8">
        <f t="shared" si="1869"/>
        <v>468.8375513634665</v>
      </c>
      <c r="M3248" s="8">
        <f t="shared" si="1869"/>
        <v>488.53660814344408</v>
      </c>
    </row>
    <row r="3249" spans="2:16" hidden="1" outlineLevel="2" x14ac:dyDescent="0.2">
      <c r="B3249" t="str">
        <f>+C3249&amp;D3249&amp;E3249&amp;F3249</f>
        <v>GlobalFeedstockConversion Dry Wood biomass : FP oilTon feedstock / ton fuel</v>
      </c>
      <c r="C3249" s="494" t="s">
        <v>109</v>
      </c>
      <c r="D3249" t="s">
        <v>777</v>
      </c>
      <c r="E3249" s="48" t="s">
        <v>1361</v>
      </c>
      <c r="F3249" s="128" t="s">
        <v>1241</v>
      </c>
      <c r="G3249" s="521">
        <f>+INDEX('Fuel Model -  Input'!$B$3:$N$373,MATCH($B3249,'Fuel Model -  Input'!$B$3:$B$373,0),MATCH(G$2,'Fuel Model -  Input'!$B$3:$N$3,0))</f>
        <v>3.9398113559955168</v>
      </c>
      <c r="H3249" s="521">
        <f>+INDEX('Fuel Model -  Input'!$B$3:$N$373,MATCH($B3249,'Fuel Model -  Input'!$B$3:$B$373,0),MATCH(H$2,'Fuel Model -  Input'!$B$3:$N$3,0))</f>
        <v>3.9398113559955168</v>
      </c>
      <c r="I3249" s="521">
        <f>+INDEX('Fuel Model -  Input'!$B$3:$N$373,MATCH($B3249,'Fuel Model -  Input'!$B$3:$B$373,0),MATCH(I$2,'Fuel Model -  Input'!$B$3:$N$3,0))</f>
        <v>3.9398113559955168</v>
      </c>
      <c r="J3249" s="521">
        <f>+INDEX('Fuel Model -  Input'!$B$3:$N$373,MATCH($B3249,'Fuel Model -  Input'!$B$3:$B$373,0),MATCH(J$2,'Fuel Model -  Input'!$B$3:$N$3,0))</f>
        <v>3.9398113559955168</v>
      </c>
      <c r="K3249" s="521">
        <f>+INDEX('Fuel Model -  Input'!$B$3:$N$373,MATCH($B3249,'Fuel Model -  Input'!$B$3:$B$373,0),MATCH(K$2,'Fuel Model -  Input'!$B$3:$N$3,0))</f>
        <v>3.9398113559955168</v>
      </c>
      <c r="L3249" s="521">
        <f>+INDEX('Fuel Model -  Input'!$B$3:$N$373,MATCH($B3249,'Fuel Model -  Input'!$B$3:$B$373,0),MATCH(L$2,'Fuel Model -  Input'!$B$3:$N$3,0))</f>
        <v>3.9398113559955168</v>
      </c>
      <c r="M3249" s="521">
        <f>+INDEX('Fuel Model -  Input'!$B$3:$N$373,MATCH($B3249,'Fuel Model -  Input'!$B$3:$B$373,0),MATCH(M$2,'Fuel Model -  Input'!$B$3:$N$3,0))</f>
        <v>3.9398113559955168</v>
      </c>
    </row>
    <row r="3250" spans="2:16" hidden="1" outlineLevel="2" x14ac:dyDescent="0.2">
      <c r="B3250" t="str">
        <f>+C3250&amp;D3250&amp;E3250&amp;F3250</f>
        <v>EuropeFeedstockCost of Wood biomassUSD/ton Wood</v>
      </c>
      <c r="C3250" s="494" t="str">
        <f>C3221</f>
        <v>Europe</v>
      </c>
      <c r="D3250" t="s">
        <v>777</v>
      </c>
      <c r="E3250" s="48" t="s">
        <v>1244</v>
      </c>
      <c r="F3250" s="128" t="s">
        <v>1245</v>
      </c>
      <c r="G3250" s="532">
        <f>+INDEX('Fuel Model -  Input'!$B$3:$N$373,MATCH($B3250,'Fuel Model -  Input'!$B$3:$B$373,0),MATCH(G$2,'Fuel Model -  Input'!$B$3:$N$3,0))</f>
        <v>95</v>
      </c>
      <c r="H3250" s="532">
        <f>+INDEX('Fuel Model -  Input'!$B$3:$N$373,MATCH($B3250,'Fuel Model -  Input'!$B$3:$B$373,0),MATCH(H$2,'Fuel Model -  Input'!$B$3:$N$3,0))</f>
        <v>100</v>
      </c>
      <c r="I3250" s="532">
        <f>+INDEX('Fuel Model -  Input'!$B$3:$N$373,MATCH($B3250,'Fuel Model -  Input'!$B$3:$B$373,0),MATCH(I$2,'Fuel Model -  Input'!$B$3:$N$3,0))</f>
        <v>105</v>
      </c>
      <c r="J3250" s="532">
        <f>+INDEX('Fuel Model -  Input'!$B$3:$N$373,MATCH($B3250,'Fuel Model -  Input'!$B$3:$B$373,0),MATCH(J$2,'Fuel Model -  Input'!$B$3:$N$3,0))</f>
        <v>110</v>
      </c>
      <c r="K3250" s="532">
        <f>+INDEX('Fuel Model -  Input'!$B$3:$N$373,MATCH($B3250,'Fuel Model -  Input'!$B$3:$B$373,0),MATCH(K$2,'Fuel Model -  Input'!$B$3:$N$3,0))</f>
        <v>114</v>
      </c>
      <c r="L3250" s="532">
        <f>+INDEX('Fuel Model -  Input'!$B$3:$N$373,MATCH($B3250,'Fuel Model -  Input'!$B$3:$B$373,0),MATCH(L$2,'Fuel Model -  Input'!$B$3:$N$3,0))</f>
        <v>119</v>
      </c>
      <c r="M3250" s="532">
        <f>+INDEX('Fuel Model -  Input'!$B$3:$N$373,MATCH($B3250,'Fuel Model -  Input'!$B$3:$B$373,0),MATCH(M$2,'Fuel Model -  Input'!$B$3:$N$3,0))</f>
        <v>124</v>
      </c>
    </row>
    <row r="3251" spans="2:16" ht="12.75" hidden="1" outlineLevel="1" x14ac:dyDescent="0.2">
      <c r="F3251"/>
    </row>
    <row r="3252" spans="2:16" s="30" customFormat="1" ht="15" hidden="1" outlineLevel="1" collapsed="1" x14ac:dyDescent="0.25">
      <c r="B3252" s="30" t="s">
        <v>197</v>
      </c>
      <c r="C3252" s="30" t="str">
        <f>+B3252</f>
        <v>Middle East</v>
      </c>
    </row>
    <row r="3253" spans="2:16" ht="15" hidden="1" outlineLevel="2" x14ac:dyDescent="0.25">
      <c r="B3253" t="str">
        <f>+C3253&amp;D3253&amp;E3253&amp;F3253</f>
        <v>Middle EastResultsTotal cost of Biodiesel (Pyr)USD/ton</v>
      </c>
      <c r="C3253" s="494" t="str">
        <f>+$C$3252</f>
        <v>Middle East</v>
      </c>
      <c r="D3253" s="30" t="s">
        <v>838</v>
      </c>
      <c r="E3253" s="405" t="s">
        <v>1344</v>
      </c>
      <c r="F3253" s="127" t="s">
        <v>205</v>
      </c>
      <c r="G3253" s="490">
        <f>+SUM(G3254:G3256)</f>
        <v>2683.1636313031977</v>
      </c>
      <c r="H3253" s="490">
        <f t="shared" ref="H3253:M3253" si="1870">+SUM(H3254:H3256)</f>
        <v>1704.0502030185771</v>
      </c>
      <c r="I3253" s="490">
        <f t="shared" si="1870"/>
        <v>958.01395295521024</v>
      </c>
      <c r="J3253" s="490">
        <f t="shared" si="1870"/>
        <v>976.85020834225713</v>
      </c>
      <c r="K3253" s="490">
        <f t="shared" si="1870"/>
        <v>985.46785591860794</v>
      </c>
      <c r="L3253" s="490">
        <f t="shared" si="1870"/>
        <v>982.5844595924334</v>
      </c>
      <c r="M3253" s="490">
        <f t="shared" si="1870"/>
        <v>957.42747396996447</v>
      </c>
    </row>
    <row r="3254" spans="2:16" ht="15" hidden="1" outlineLevel="2" x14ac:dyDescent="0.25">
      <c r="B3254" t="str">
        <f>+C3254&amp;D3254&amp;E3254&amp;F3254</f>
        <v>Middle EastResultsTotal Capex Biodiesel (Pyr)USD/ton</v>
      </c>
      <c r="C3254" s="494" t="str">
        <f>+$C$3252</f>
        <v>Middle East</v>
      </c>
      <c r="D3254" s="30" t="s">
        <v>838</v>
      </c>
      <c r="E3254" s="228" t="s">
        <v>1345</v>
      </c>
      <c r="F3254" s="127" t="s">
        <v>205</v>
      </c>
      <c r="G3254" s="490">
        <f>G3258</f>
        <v>1027.3166666666668</v>
      </c>
      <c r="H3254" s="490">
        <f t="shared" ref="H3254:M3254" si="1871">H3258</f>
        <v>616.3900000000001</v>
      </c>
      <c r="I3254" s="490">
        <f t="shared" si="1871"/>
        <v>205.46333333333337</v>
      </c>
      <c r="J3254" s="490">
        <f t="shared" si="1871"/>
        <v>184.91700000000006</v>
      </c>
      <c r="K3254" s="490">
        <f t="shared" si="1871"/>
        <v>178.06822222222226</v>
      </c>
      <c r="L3254" s="490">
        <f t="shared" si="1871"/>
        <v>171.21944444444452</v>
      </c>
      <c r="M3254" s="490">
        <f t="shared" si="1871"/>
        <v>164.37066666666675</v>
      </c>
    </row>
    <row r="3255" spans="2:16" ht="15" hidden="1" outlineLevel="2" x14ac:dyDescent="0.25">
      <c r="B3255" t="str">
        <f>+C3255&amp;D3255&amp;E3255&amp;F3255</f>
        <v>Middle EastResultsTotal Opex Biodiesel (Pyr)USD/ton</v>
      </c>
      <c r="C3255" s="494" t="str">
        <f>+$C$3252</f>
        <v>Middle East</v>
      </c>
      <c r="D3255" s="30" t="s">
        <v>838</v>
      </c>
      <c r="E3255" s="228" t="s">
        <v>1346</v>
      </c>
      <c r="F3255" s="127" t="s">
        <v>205</v>
      </c>
      <c r="G3255" s="490">
        <f>G3262+G3265</f>
        <v>481.93002538686432</v>
      </c>
      <c r="H3255" s="490">
        <f t="shared" ref="H3255:M3255" si="1872">H3262+H3265</f>
        <v>294.1768970790925</v>
      </c>
      <c r="I3255" s="490">
        <f t="shared" si="1872"/>
        <v>108.0344401868647</v>
      </c>
      <c r="J3255" s="490">
        <f t="shared" si="1872"/>
        <v>96.659825552980195</v>
      </c>
      <c r="K3255" s="490">
        <f t="shared" si="1872"/>
        <v>92.494314032932948</v>
      </c>
      <c r="L3255" s="490">
        <f t="shared" si="1872"/>
        <v>87.981366747039331</v>
      </c>
      <c r="M3255" s="490">
        <f t="shared" si="1872"/>
        <v>84.246780897083667</v>
      </c>
    </row>
    <row r="3256" spans="2:16" ht="15" hidden="1" outlineLevel="2" x14ac:dyDescent="0.25">
      <c r="B3256" t="str">
        <f>+C3256&amp;D3256&amp;E3256&amp;F3256</f>
        <v>Middle EastResultsTotal Raw Material Biodiesel (Pyr)USD/ton</v>
      </c>
      <c r="C3256" s="494" t="str">
        <f>+$C$3252</f>
        <v>Middle East</v>
      </c>
      <c r="D3256" s="30" t="s">
        <v>838</v>
      </c>
      <c r="E3256" s="228" t="s">
        <v>1347</v>
      </c>
      <c r="F3256" s="127" t="s">
        <v>205</v>
      </c>
      <c r="G3256" s="335">
        <f>+G3279+G3269</f>
        <v>1173.9169392496665</v>
      </c>
      <c r="H3256" s="335">
        <f t="shared" ref="H3256:M3256" si="1873">+H3279+H3269</f>
        <v>793.48330593948447</v>
      </c>
      <c r="I3256" s="335">
        <f t="shared" si="1873"/>
        <v>644.51617943501219</v>
      </c>
      <c r="J3256" s="335">
        <f t="shared" si="1873"/>
        <v>695.27338278927687</v>
      </c>
      <c r="K3256" s="335">
        <f t="shared" si="1873"/>
        <v>714.9053196634527</v>
      </c>
      <c r="L3256" s="335">
        <f t="shared" si="1873"/>
        <v>723.38364840094948</v>
      </c>
      <c r="M3256" s="335">
        <f t="shared" si="1873"/>
        <v>708.81002640621409</v>
      </c>
      <c r="P3256" t="s">
        <v>1362</v>
      </c>
    </row>
    <row r="3257" spans="2:16" hidden="1" outlineLevel="2" x14ac:dyDescent="0.2">
      <c r="C3257" s="494"/>
      <c r="E3257" s="48"/>
      <c r="F3257" s="128"/>
      <c r="G3257" s="8"/>
      <c r="H3257" s="8"/>
      <c r="I3257" s="8"/>
      <c r="J3257" s="8"/>
      <c r="K3257" s="8"/>
      <c r="L3257" s="8"/>
      <c r="M3257" s="8"/>
    </row>
    <row r="3258" spans="2:16" hidden="1" outlineLevel="2" x14ac:dyDescent="0.2">
      <c r="B3258" t="str">
        <f>+C3258&amp;D3258&amp;E3258&amp;F3258</f>
        <v>Middle EastHTL PlantAnnual capex (Pyr)USD/ton oil</v>
      </c>
      <c r="C3258" s="494" t="str">
        <f>+$C$3252</f>
        <v>Middle East</v>
      </c>
      <c r="D3258" t="s">
        <v>1288</v>
      </c>
      <c r="E3258" s="48" t="s">
        <v>1348</v>
      </c>
      <c r="F3258" s="128" t="s">
        <v>1349</v>
      </c>
      <c r="G3258" s="8">
        <f t="shared" ref="G3258:M3258" si="1874">G3260/G3259</f>
        <v>1027.3166666666668</v>
      </c>
      <c r="H3258" s="8">
        <f t="shared" si="1874"/>
        <v>616.3900000000001</v>
      </c>
      <c r="I3258" s="8">
        <f t="shared" si="1874"/>
        <v>205.46333333333337</v>
      </c>
      <c r="J3258" s="8">
        <f t="shared" si="1874"/>
        <v>184.91700000000006</v>
      </c>
      <c r="K3258" s="8">
        <f t="shared" si="1874"/>
        <v>178.06822222222226</v>
      </c>
      <c r="L3258" s="8">
        <f t="shared" si="1874"/>
        <v>171.21944444444452</v>
      </c>
      <c r="M3258" s="8">
        <f t="shared" si="1874"/>
        <v>164.37066666666675</v>
      </c>
    </row>
    <row r="3259" spans="2:16" hidden="1" outlineLevel="2" x14ac:dyDescent="0.2">
      <c r="B3259" t="str">
        <f>+C3259&amp;D3259&amp;E3259&amp;F3259</f>
        <v>GlobalPlant capexAnnualisation factor#</v>
      </c>
      <c r="C3259" s="494" t="s">
        <v>109</v>
      </c>
      <c r="D3259" t="s">
        <v>786</v>
      </c>
      <c r="E3259" t="s">
        <v>764</v>
      </c>
      <c r="F3259" s="450" t="s">
        <v>787</v>
      </c>
      <c r="G3259" s="532">
        <f>+INDEX('Fuel Model -  Input'!$B$3:$N$373,MATCH($B3259,'Fuel Model -  Input'!$B$3:$B$373,0),MATCH(G$2,'Fuel Model -  Input'!$B$3:$N$3,0))</f>
        <v>11.32075471698113</v>
      </c>
      <c r="H3259" s="532">
        <f>+INDEX('Fuel Model -  Input'!$B$3:$N$373,MATCH($B3259,'Fuel Model -  Input'!$B$3:$B$373,0),MATCH(H$2,'Fuel Model -  Input'!$B$3:$N$3,0))</f>
        <v>11.32075471698113</v>
      </c>
      <c r="I3259" s="532">
        <f>+INDEX('Fuel Model -  Input'!$B$3:$N$373,MATCH($B3259,'Fuel Model -  Input'!$B$3:$B$373,0),MATCH(I$2,'Fuel Model -  Input'!$B$3:$N$3,0))</f>
        <v>11.32075471698113</v>
      </c>
      <c r="J3259" s="532">
        <f>+INDEX('Fuel Model -  Input'!$B$3:$N$373,MATCH($B3259,'Fuel Model -  Input'!$B$3:$B$373,0),MATCH(J$2,'Fuel Model -  Input'!$B$3:$N$3,0))</f>
        <v>11.32075471698113</v>
      </c>
      <c r="K3259" s="532">
        <f>+INDEX('Fuel Model -  Input'!$B$3:$N$373,MATCH($B3259,'Fuel Model -  Input'!$B$3:$B$373,0),MATCH(K$2,'Fuel Model -  Input'!$B$3:$N$3,0))</f>
        <v>11.32075471698113</v>
      </c>
      <c r="L3259" s="532">
        <f>+INDEX('Fuel Model -  Input'!$B$3:$N$373,MATCH($B3259,'Fuel Model -  Input'!$B$3:$B$373,0),MATCH(L$2,'Fuel Model -  Input'!$B$3:$N$3,0))</f>
        <v>11.32075471698113</v>
      </c>
      <c r="M3259" s="532">
        <f>+INDEX('Fuel Model -  Input'!$B$3:$N$373,MATCH($B3259,'Fuel Model -  Input'!$B$3:$B$373,0),MATCH(M$2,'Fuel Model -  Input'!$B$3:$N$3,0))</f>
        <v>11.32075471698113</v>
      </c>
    </row>
    <row r="3260" spans="2:16" hidden="1" outlineLevel="2" x14ac:dyDescent="0.2">
      <c r="B3260" t="str">
        <f>+C3260&amp;D3260&amp;E3260&amp;F3260</f>
        <v>GlobalCAPEXFP plantUSD/ton FP oil capacity</v>
      </c>
      <c r="C3260" s="494" t="s">
        <v>109</v>
      </c>
      <c r="D3260" t="s">
        <v>50</v>
      </c>
      <c r="E3260" s="48" t="s">
        <v>1350</v>
      </c>
      <c r="F3260" s="128" t="s">
        <v>1351</v>
      </c>
      <c r="G3260" s="532">
        <f>+INDEX('Fuel Model -  Input'!$B$3:$N$373,MATCH($B3260,'Fuel Model -  Input'!$B$3:$B$373,0),MATCH(G$2,'Fuel Model -  Input'!$B$3:$N$3,0))</f>
        <v>11630</v>
      </c>
      <c r="H3260" s="532">
        <f>+INDEX('Fuel Model -  Input'!$B$3:$N$373,MATCH($B3260,'Fuel Model -  Input'!$B$3:$B$373,0),MATCH(H$2,'Fuel Model -  Input'!$B$3:$N$3,0))</f>
        <v>6978</v>
      </c>
      <c r="I3260" s="532">
        <f>+INDEX('Fuel Model -  Input'!$B$3:$N$373,MATCH($B3260,'Fuel Model -  Input'!$B$3:$B$373,0),MATCH(I$2,'Fuel Model -  Input'!$B$3:$N$3,0))</f>
        <v>2326</v>
      </c>
      <c r="J3260" s="532">
        <f>+INDEX('Fuel Model -  Input'!$B$3:$N$373,MATCH($B3260,'Fuel Model -  Input'!$B$3:$B$373,0),MATCH(J$2,'Fuel Model -  Input'!$B$3:$N$3,0))</f>
        <v>2093.4</v>
      </c>
      <c r="K3260" s="532">
        <f>+INDEX('Fuel Model -  Input'!$B$3:$N$373,MATCH($B3260,'Fuel Model -  Input'!$B$3:$B$373,0),MATCH(K$2,'Fuel Model -  Input'!$B$3:$N$3,0))</f>
        <v>2015.8666666666668</v>
      </c>
      <c r="L3260" s="532">
        <f>+INDEX('Fuel Model -  Input'!$B$3:$N$373,MATCH($B3260,'Fuel Model -  Input'!$B$3:$B$373,0),MATCH(L$2,'Fuel Model -  Input'!$B$3:$N$3,0))</f>
        <v>1938.3333333333337</v>
      </c>
      <c r="M3260" s="532">
        <f>+INDEX('Fuel Model -  Input'!$B$3:$N$373,MATCH($B3260,'Fuel Model -  Input'!$B$3:$B$373,0),MATCH(M$2,'Fuel Model -  Input'!$B$3:$N$3,0))</f>
        <v>1860.8000000000004</v>
      </c>
    </row>
    <row r="3261" spans="2:16" hidden="1" outlineLevel="2" x14ac:dyDescent="0.2">
      <c r="C3261" s="494"/>
      <c r="E3261" s="48"/>
      <c r="F3261" s="128"/>
      <c r="G3261" s="524"/>
      <c r="H3261" s="524"/>
      <c r="I3261" s="524"/>
      <c r="J3261" s="524"/>
      <c r="K3261" s="524"/>
      <c r="L3261" s="524"/>
      <c r="M3261" s="524"/>
    </row>
    <row r="3262" spans="2:16" hidden="1" outlineLevel="2" x14ac:dyDescent="0.2">
      <c r="B3262" t="str">
        <f>+C3262&amp;D3262&amp;E3262&amp;F3262</f>
        <v>Middle EastOpexOpexUSD/ton oil</v>
      </c>
      <c r="C3262" s="494" t="str">
        <f>+$C$3252</f>
        <v>Middle East</v>
      </c>
      <c r="D3262" t="s">
        <v>219</v>
      </c>
      <c r="E3262" s="48" t="s">
        <v>219</v>
      </c>
      <c r="F3262" s="128" t="s">
        <v>1349</v>
      </c>
      <c r="G3262" s="8">
        <f t="shared" ref="G3262:M3262" si="1875">G3260*G3263</f>
        <v>457.46634026927774</v>
      </c>
      <c r="H3262" s="8">
        <f t="shared" si="1875"/>
        <v>274.47980416156662</v>
      </c>
      <c r="I3262" s="8">
        <f t="shared" si="1875"/>
        <v>91.493268053855545</v>
      </c>
      <c r="J3262" s="8">
        <f t="shared" si="1875"/>
        <v>82.343941248469989</v>
      </c>
      <c r="K3262" s="8">
        <f t="shared" si="1875"/>
        <v>79.294165646674813</v>
      </c>
      <c r="L3262" s="8">
        <f t="shared" si="1875"/>
        <v>76.244390044879637</v>
      </c>
      <c r="M3262" s="8">
        <f t="shared" si="1875"/>
        <v>73.194614443084447</v>
      </c>
    </row>
    <row r="3263" spans="2:16" hidden="1" outlineLevel="2" x14ac:dyDescent="0.2">
      <c r="B3263" t="str">
        <f>+C3263&amp;D3263&amp;E3263&amp;F3263</f>
        <v>GlobalOPEXFP plant opexPercent of Capex</v>
      </c>
      <c r="C3263" s="494" t="s">
        <v>109</v>
      </c>
      <c r="D3263" t="s">
        <v>319</v>
      </c>
      <c r="E3263" s="48" t="s">
        <v>1352</v>
      </c>
      <c r="F3263" s="128" t="s">
        <v>883</v>
      </c>
      <c r="G3263" s="531">
        <f>INDEX('Fuel Model -  Input'!$B$3:$N$373,MATCH($B3263,'Fuel Model -  Input'!$B$3:$B$373,0),MATCH(G$2,'Fuel Model -  Input'!$B$3:$N$3,0))</f>
        <v>3.9335024958665324E-2</v>
      </c>
      <c r="H3263" s="531">
        <f>INDEX('Fuel Model -  Input'!$B$3:$N$373,MATCH($B3263,'Fuel Model -  Input'!$B$3:$B$373,0),MATCH(H$2,'Fuel Model -  Input'!$B$3:$N$3,0))</f>
        <v>3.9335024958665324E-2</v>
      </c>
      <c r="I3263" s="531">
        <f>INDEX('Fuel Model -  Input'!$B$3:$N$373,MATCH($B3263,'Fuel Model -  Input'!$B$3:$B$373,0),MATCH(I$2,'Fuel Model -  Input'!$B$3:$N$3,0))</f>
        <v>3.9335024958665324E-2</v>
      </c>
      <c r="J3263" s="531">
        <f>INDEX('Fuel Model -  Input'!$B$3:$N$373,MATCH($B3263,'Fuel Model -  Input'!$B$3:$B$373,0),MATCH(J$2,'Fuel Model -  Input'!$B$3:$N$3,0))</f>
        <v>3.9335024958665324E-2</v>
      </c>
      <c r="K3263" s="531">
        <f>INDEX('Fuel Model -  Input'!$B$3:$N$373,MATCH($B3263,'Fuel Model -  Input'!$B$3:$B$373,0),MATCH(K$2,'Fuel Model -  Input'!$B$3:$N$3,0))</f>
        <v>3.9335024958665324E-2</v>
      </c>
      <c r="L3263" s="531">
        <f>INDEX('Fuel Model -  Input'!$B$3:$N$373,MATCH($B3263,'Fuel Model -  Input'!$B$3:$B$373,0),MATCH(L$2,'Fuel Model -  Input'!$B$3:$N$3,0))</f>
        <v>3.9335024958665324E-2</v>
      </c>
      <c r="M3263" s="531">
        <f>INDEX('Fuel Model -  Input'!$B$3:$N$373,MATCH($B3263,'Fuel Model -  Input'!$B$3:$B$373,0),MATCH(M$2,'Fuel Model -  Input'!$B$3:$N$3,0))</f>
        <v>3.9335024958665324E-2</v>
      </c>
    </row>
    <row r="3264" spans="2:16" hidden="1" outlineLevel="2" x14ac:dyDescent="0.2">
      <c r="C3264" s="494"/>
      <c r="E3264" s="48"/>
      <c r="F3264" s="128"/>
      <c r="G3264" s="520"/>
      <c r="H3264" s="520"/>
      <c r="I3264" s="520"/>
      <c r="J3264" s="520"/>
      <c r="K3264" s="520"/>
      <c r="L3264" s="520"/>
      <c r="M3264" s="520"/>
    </row>
    <row r="3265" spans="2:13" hidden="1" outlineLevel="2" x14ac:dyDescent="0.2">
      <c r="B3265" t="str">
        <f>+C3265&amp;D3265&amp;E3265&amp;F3265</f>
        <v>Middle EastElectricityTotal (Pyr)USD/ ton oil</v>
      </c>
      <c r="C3265" s="494" t="str">
        <f>+$C$3252</f>
        <v>Middle East</v>
      </c>
      <c r="D3265" t="s">
        <v>54</v>
      </c>
      <c r="E3265" s="48" t="s">
        <v>1353</v>
      </c>
      <c r="F3265" s="128" t="s">
        <v>1354</v>
      </c>
      <c r="G3265" s="8">
        <f t="shared" ref="G3265:M3265" si="1876">G3267*G3266</f>
        <v>24.463685117586582</v>
      </c>
      <c r="H3265" s="8">
        <f t="shared" si="1876"/>
        <v>19.697092917525854</v>
      </c>
      <c r="I3265" s="8">
        <f t="shared" si="1876"/>
        <v>16.541172133009155</v>
      </c>
      <c r="J3265" s="8">
        <f t="shared" si="1876"/>
        <v>14.315884304510204</v>
      </c>
      <c r="K3265" s="8">
        <f t="shared" si="1876"/>
        <v>13.200148386258128</v>
      </c>
      <c r="L3265" s="8">
        <f t="shared" si="1876"/>
        <v>11.736976702159696</v>
      </c>
      <c r="M3265" s="8">
        <f t="shared" si="1876"/>
        <v>11.052166453999215</v>
      </c>
    </row>
    <row r="3266" spans="2:13" hidden="1" outlineLevel="2" x14ac:dyDescent="0.2">
      <c r="B3266" t="str">
        <f>+C3266&amp;D3266&amp;E3266&amp;F3266</f>
        <v>GlobalFeedstockFP plant electricity demandMWh/ton fuel</v>
      </c>
      <c r="C3266" s="494" t="s">
        <v>109</v>
      </c>
      <c r="D3266" t="s">
        <v>777</v>
      </c>
      <c r="E3266" s="48" t="s">
        <v>1355</v>
      </c>
      <c r="F3266" s="128" t="s">
        <v>1298</v>
      </c>
      <c r="G3266" s="521">
        <f>INDEX('Fuel Model -  Input'!$B$3:$N$373,MATCH($B3266,'Fuel Model -  Input'!$B$3:$B$373,0),MATCH(G$2,'Fuel Model -  Input'!$B$3:$N$3,0))</f>
        <v>0.58356415446901266</v>
      </c>
      <c r="H3266" s="521">
        <f>INDEX('Fuel Model -  Input'!$B$3:$N$373,MATCH($B3266,'Fuel Model -  Input'!$B$3:$B$373,0),MATCH(H$2,'Fuel Model -  Input'!$B$3:$N$3,0))</f>
        <v>0.58356415446901266</v>
      </c>
      <c r="I3266" s="521">
        <f>INDEX('Fuel Model -  Input'!$B$3:$N$373,MATCH($B3266,'Fuel Model -  Input'!$B$3:$B$373,0),MATCH(I$2,'Fuel Model -  Input'!$B$3:$N$3,0))</f>
        <v>0.58356415446901266</v>
      </c>
      <c r="J3266" s="521">
        <f>INDEX('Fuel Model -  Input'!$B$3:$N$373,MATCH($B3266,'Fuel Model -  Input'!$B$3:$B$373,0),MATCH(J$2,'Fuel Model -  Input'!$B$3:$N$3,0))</f>
        <v>0.58356415446901266</v>
      </c>
      <c r="K3266" s="521">
        <f>INDEX('Fuel Model -  Input'!$B$3:$N$373,MATCH($B3266,'Fuel Model -  Input'!$B$3:$B$373,0),MATCH(K$2,'Fuel Model -  Input'!$B$3:$N$3,0))</f>
        <v>0.58356415446901266</v>
      </c>
      <c r="L3266" s="521">
        <f>INDEX('Fuel Model -  Input'!$B$3:$N$373,MATCH($B3266,'Fuel Model -  Input'!$B$3:$B$373,0),MATCH(L$2,'Fuel Model -  Input'!$B$3:$N$3,0))</f>
        <v>0.58356415446901266</v>
      </c>
      <c r="M3266" s="521">
        <f>INDEX('Fuel Model -  Input'!$B$3:$N$373,MATCH($B3266,'Fuel Model -  Input'!$B$3:$B$373,0),MATCH(M$2,'Fuel Model -  Input'!$B$3:$N$3,0))</f>
        <v>0.58356415446901266</v>
      </c>
    </row>
    <row r="3267" spans="2:13" hidden="1" outlineLevel="2" x14ac:dyDescent="0.2">
      <c r="B3267" t="str">
        <f>+C3267&amp;D3267&amp;E3267&amp;F3267</f>
        <v>Middle EastFeedstockElectricityUSD/MWh</v>
      </c>
      <c r="C3267" s="494" t="str">
        <f>+$C$3252</f>
        <v>Middle East</v>
      </c>
      <c r="D3267" t="s">
        <v>777</v>
      </c>
      <c r="E3267" s="48" t="s">
        <v>54</v>
      </c>
      <c r="F3267" s="128" t="s">
        <v>196</v>
      </c>
      <c r="G3267" s="521">
        <f>INDEX('Fuel Model -  Input'!$B$3:$N$373,MATCH($B3267,'Fuel Model -  Input'!$B$3:$B$373,0),MATCH(G$2,'Fuel Model -  Input'!$B$3:$N$3,0))</f>
        <v>41.921157991354328</v>
      </c>
      <c r="H3267" s="521">
        <f>INDEX('Fuel Model -  Input'!$B$3:$N$373,MATCH($B3267,'Fuel Model -  Input'!$B$3:$B$373,0),MATCH(H$2,'Fuel Model -  Input'!$B$3:$N$3,0))</f>
        <v>33.753089127704079</v>
      </c>
      <c r="I3267" s="521">
        <f>INDEX('Fuel Model -  Input'!$B$3:$N$373,MATCH($B3267,'Fuel Model -  Input'!$B$3:$B$373,0),MATCH(I$2,'Fuel Model -  Input'!$B$3:$N$3,0))</f>
        <v>28.34507912512213</v>
      </c>
      <c r="J3267" s="521">
        <f>INDEX('Fuel Model -  Input'!$B$3:$N$373,MATCH($B3267,'Fuel Model -  Input'!$B$3:$B$373,0),MATCH(J$2,'Fuel Model -  Input'!$B$3:$N$3,0))</f>
        <v>24.531808876328746</v>
      </c>
      <c r="K3267" s="521">
        <f>INDEX('Fuel Model -  Input'!$B$3:$N$373,MATCH($B3267,'Fuel Model -  Input'!$B$3:$B$373,0),MATCH(K$2,'Fuel Model -  Input'!$B$3:$N$3,0))</f>
        <v>22.619875270215999</v>
      </c>
      <c r="L3267" s="521">
        <f>INDEX('Fuel Model -  Input'!$B$3:$N$373,MATCH($B3267,'Fuel Model -  Input'!$B$3:$B$373,0),MATCH(L$2,'Fuel Model -  Input'!$B$3:$N$3,0))</f>
        <v>20.112573077486601</v>
      </c>
      <c r="M3267" s="521">
        <f>INDEX('Fuel Model -  Input'!$B$3:$N$373,MATCH($B3267,'Fuel Model -  Input'!$B$3:$B$373,0),MATCH(M$2,'Fuel Model -  Input'!$B$3:$N$3,0))</f>
        <v>18.93907699669392</v>
      </c>
    </row>
    <row r="3268" spans="2:13" hidden="1" outlineLevel="2" x14ac:dyDescent="0.2">
      <c r="C3268" s="494"/>
      <c r="E3268" s="48"/>
      <c r="F3268" s="128"/>
      <c r="G3268" s="520"/>
      <c r="H3268" s="520"/>
      <c r="I3268" s="520"/>
      <c r="J3268" s="520"/>
      <c r="K3268" s="520"/>
      <c r="L3268" s="520"/>
      <c r="M3268" s="520"/>
    </row>
    <row r="3269" spans="2:13" hidden="1" outlineLevel="2" x14ac:dyDescent="0.2">
      <c r="B3269" t="str">
        <f t="shared" ref="B3269:B3277" si="1877">+C3269&amp;D3269&amp;E3269&amp;F3269</f>
        <v>Middle EastElectricityTotal hydrogenUSD/ ton HTL oil</v>
      </c>
      <c r="C3269" s="494" t="str">
        <f>+$C$3252</f>
        <v>Middle East</v>
      </c>
      <c r="D3269" t="s">
        <v>54</v>
      </c>
      <c r="E3269" s="48" t="s">
        <v>1299</v>
      </c>
      <c r="F3269" s="128" t="s">
        <v>1296</v>
      </c>
      <c r="G3269" s="8">
        <f>G3271*G3270</f>
        <v>736.59787873416406</v>
      </c>
      <c r="H3269" s="8">
        <f t="shared" ref="H3269" si="1878">H3271*H3270</f>
        <v>340.40500000000003</v>
      </c>
      <c r="I3269" s="8">
        <f t="shared" ref="I3269" si="1879">I3271*I3270</f>
        <v>175.67862807154563</v>
      </c>
      <c r="J3269" s="8">
        <f t="shared" ref="J3269" si="1880">J3271*J3270</f>
        <v>210.6765860018283</v>
      </c>
      <c r="K3269" s="8">
        <f t="shared" ref="K3269" si="1881">K3271*K3270</f>
        <v>210.60946609602658</v>
      </c>
      <c r="L3269" s="8">
        <f t="shared" ref="L3269" si="1882">L3271*L3270</f>
        <v>203.32854940954118</v>
      </c>
      <c r="M3269" s="8">
        <f t="shared" ref="M3269" si="1883">M3271*M3270</f>
        <v>172.99568199082381</v>
      </c>
    </row>
    <row r="3270" spans="2:13" hidden="1" outlineLevel="2" x14ac:dyDescent="0.2">
      <c r="B3270" t="str">
        <f t="shared" si="1877"/>
        <v>GlobalFeedstockConversion Hydrogen : FP oilTon feedstock / ton fuel</v>
      </c>
      <c r="C3270" s="494" t="s">
        <v>109</v>
      </c>
      <c r="D3270" t="s">
        <v>777</v>
      </c>
      <c r="E3270" s="48" t="s">
        <v>1356</v>
      </c>
      <c r="F3270" s="128" t="s">
        <v>1241</v>
      </c>
      <c r="G3270" s="521">
        <f>INDEX('Fuel Model -  Input'!$B$3:$N$373,MATCH($B3270,'Fuel Model -  Input'!$B$3:$B$373,0),MATCH(G$2,'Fuel Model -  Input'!$B$3:$N$3,0))</f>
        <v>0.13</v>
      </c>
      <c r="H3270" s="521">
        <f>INDEX('Fuel Model -  Input'!$B$3:$N$373,MATCH($B3270,'Fuel Model -  Input'!$B$3:$B$373,0),MATCH(H$2,'Fuel Model -  Input'!$B$3:$N$3,0))</f>
        <v>0.13</v>
      </c>
      <c r="I3270" s="521">
        <f>INDEX('Fuel Model -  Input'!$B$3:$N$373,MATCH($B3270,'Fuel Model -  Input'!$B$3:$B$373,0),MATCH(I$2,'Fuel Model -  Input'!$B$3:$N$3,0))</f>
        <v>0.13</v>
      </c>
      <c r="J3270" s="521">
        <f>INDEX('Fuel Model -  Input'!$B$3:$N$373,MATCH($B3270,'Fuel Model -  Input'!$B$3:$B$373,0),MATCH(J$2,'Fuel Model -  Input'!$B$3:$N$3,0))</f>
        <v>0.13</v>
      </c>
      <c r="K3270" s="521">
        <f>INDEX('Fuel Model -  Input'!$B$3:$N$373,MATCH($B3270,'Fuel Model -  Input'!$B$3:$B$373,0),MATCH(K$2,'Fuel Model -  Input'!$B$3:$N$3,0))</f>
        <v>0.13</v>
      </c>
      <c r="L3270" s="521">
        <f>INDEX('Fuel Model -  Input'!$B$3:$N$373,MATCH($B3270,'Fuel Model -  Input'!$B$3:$B$373,0),MATCH(L$2,'Fuel Model -  Input'!$B$3:$N$3,0))</f>
        <v>0.13</v>
      </c>
      <c r="M3270" s="521">
        <f>INDEX('Fuel Model -  Input'!$B$3:$N$373,MATCH($B3270,'Fuel Model -  Input'!$B$3:$B$373,0),MATCH(M$2,'Fuel Model -  Input'!$B$3:$N$3,0))</f>
        <v>0.13</v>
      </c>
    </row>
    <row r="3271" spans="2:13" hidden="1" outlineLevel="2" x14ac:dyDescent="0.2">
      <c r="B3271" t="str">
        <f t="shared" si="1877"/>
        <v>Middle EastFeedstockWeighted hydrogen costUSD/ton</v>
      </c>
      <c r="C3271" s="494" t="str">
        <f t="shared" ref="C3271:C3277" si="1884">+$C$3252</f>
        <v>Middle East</v>
      </c>
      <c r="D3271" t="s">
        <v>777</v>
      </c>
      <c r="E3271" s="48" t="s">
        <v>1301</v>
      </c>
      <c r="F3271" s="128" t="s">
        <v>205</v>
      </c>
      <c r="G3271" s="337">
        <f>SUMPRODUCT(G3272:G3274,G3275:G3277)</f>
        <v>5666.1375287243391</v>
      </c>
      <c r="H3271" s="337">
        <f t="shared" ref="H3271" si="1885">SUMPRODUCT(H3272:H3274,H3275:H3277)</f>
        <v>2618.5</v>
      </c>
      <c r="I3271" s="337">
        <f t="shared" ref="I3271" si="1886">SUMPRODUCT(I3272:I3274,I3275:I3277)</f>
        <v>1351.3740620888125</v>
      </c>
      <c r="J3271" s="337">
        <f t="shared" ref="J3271" si="1887">SUMPRODUCT(J3272:J3274,J3275:J3277)</f>
        <v>1620.589123090987</v>
      </c>
      <c r="K3271" s="337">
        <f t="shared" ref="K3271" si="1888">SUMPRODUCT(K3272:K3274,K3275:K3277)</f>
        <v>1620.0728161232814</v>
      </c>
      <c r="L3271" s="337">
        <f t="shared" ref="L3271" si="1889">SUMPRODUCT(L3272:L3274,L3275:L3277)</f>
        <v>1564.0657646887782</v>
      </c>
      <c r="M3271" s="337">
        <f t="shared" ref="M3271" si="1890">SUMPRODUCT(M3272:M3274,M3275:M3277)</f>
        <v>1330.7360153140294</v>
      </c>
    </row>
    <row r="3272" spans="2:13" hidden="1" outlineLevel="2" x14ac:dyDescent="0.2">
      <c r="B3272" t="str">
        <f t="shared" si="1877"/>
        <v>GlobalFeedstockFP hydrogen fraction - Grey%</v>
      </c>
      <c r="C3272" s="494" t="s">
        <v>109</v>
      </c>
      <c r="D3272" t="s">
        <v>777</v>
      </c>
      <c r="E3272" s="48" t="s">
        <v>1357</v>
      </c>
      <c r="F3272" t="s">
        <v>178</v>
      </c>
      <c r="G3272" s="531">
        <f>INDEX('Fuel Model -  Input'!$B$3:$N$373,MATCH($B3272,'Fuel Model -  Input'!$B$3:$B$373,0),MATCH(G$2,'Fuel Model -  Input'!$B$3:$N$3,0))</f>
        <v>1</v>
      </c>
      <c r="H3272" s="531">
        <f>INDEX('Fuel Model -  Input'!$B$3:$N$373,MATCH($B3272,'Fuel Model -  Input'!$B$3:$B$373,0),MATCH(H$2,'Fuel Model -  Input'!$B$3:$N$3,0))</f>
        <v>0.7</v>
      </c>
      <c r="I3272" s="531">
        <f>INDEX('Fuel Model -  Input'!$B$3:$N$373,MATCH($B3272,'Fuel Model -  Input'!$B$3:$B$373,0),MATCH(I$2,'Fuel Model -  Input'!$B$3:$N$3,0))</f>
        <v>0.5</v>
      </c>
      <c r="J3272" s="531">
        <f>INDEX('Fuel Model -  Input'!$B$3:$N$373,MATCH($B3272,'Fuel Model -  Input'!$B$3:$B$373,0),MATCH(J$2,'Fuel Model -  Input'!$B$3:$N$3,0))</f>
        <v>0</v>
      </c>
      <c r="K3272" s="531">
        <f>INDEX('Fuel Model -  Input'!$B$3:$N$373,MATCH($B3272,'Fuel Model -  Input'!$B$3:$B$373,0),MATCH(K$2,'Fuel Model -  Input'!$B$3:$N$3,0))</f>
        <v>0</v>
      </c>
      <c r="L3272" s="531">
        <f>INDEX('Fuel Model -  Input'!$B$3:$N$373,MATCH($B3272,'Fuel Model -  Input'!$B$3:$B$373,0),MATCH(L$2,'Fuel Model -  Input'!$B$3:$N$3,0))</f>
        <v>0</v>
      </c>
      <c r="M3272" s="531">
        <f>INDEX('Fuel Model -  Input'!$B$3:$N$373,MATCH($B3272,'Fuel Model -  Input'!$B$3:$B$373,0),MATCH(M$2,'Fuel Model -  Input'!$B$3:$N$3,0))</f>
        <v>0</v>
      </c>
    </row>
    <row r="3273" spans="2:13" hidden="1" outlineLevel="2" x14ac:dyDescent="0.2">
      <c r="B3273" t="str">
        <f t="shared" si="1877"/>
        <v>GlobalFeedstockFP hydrogen fraction - Blue%</v>
      </c>
      <c r="C3273" s="494" t="s">
        <v>109</v>
      </c>
      <c r="D3273" t="s">
        <v>777</v>
      </c>
      <c r="E3273" s="48" t="s">
        <v>1358</v>
      </c>
      <c r="F3273" t="s">
        <v>178</v>
      </c>
      <c r="G3273" s="531">
        <f>INDEX('Fuel Model -  Input'!$B$3:$N$373,MATCH($B3273,'Fuel Model -  Input'!$B$3:$B$373,0),MATCH(G$2,'Fuel Model -  Input'!$B$3:$N$3,0))</f>
        <v>0</v>
      </c>
      <c r="H3273" s="531">
        <f>INDEX('Fuel Model -  Input'!$B$3:$N$373,MATCH($B3273,'Fuel Model -  Input'!$B$3:$B$373,0),MATCH(H$2,'Fuel Model -  Input'!$B$3:$N$3,0))</f>
        <v>0.3</v>
      </c>
      <c r="I3273" s="531">
        <f>INDEX('Fuel Model -  Input'!$B$3:$N$373,MATCH($B3273,'Fuel Model -  Input'!$B$3:$B$373,0),MATCH(I$2,'Fuel Model -  Input'!$B$3:$N$3,0))</f>
        <v>0.5</v>
      </c>
      <c r="J3273" s="531">
        <f>INDEX('Fuel Model -  Input'!$B$3:$N$373,MATCH($B3273,'Fuel Model -  Input'!$B$3:$B$373,0),MATCH(J$2,'Fuel Model -  Input'!$B$3:$N$3,0))</f>
        <v>1</v>
      </c>
      <c r="K3273" s="531">
        <f>INDEX('Fuel Model -  Input'!$B$3:$N$373,MATCH($B3273,'Fuel Model -  Input'!$B$3:$B$373,0),MATCH(K$2,'Fuel Model -  Input'!$B$3:$N$3,0))</f>
        <v>0.9</v>
      </c>
      <c r="L3273" s="531">
        <f>INDEX('Fuel Model -  Input'!$B$3:$N$373,MATCH($B3273,'Fuel Model -  Input'!$B$3:$B$373,0),MATCH(L$2,'Fuel Model -  Input'!$B$3:$N$3,0))</f>
        <v>0.7</v>
      </c>
      <c r="M3273" s="531">
        <f>INDEX('Fuel Model -  Input'!$B$3:$N$373,MATCH($B3273,'Fuel Model -  Input'!$B$3:$B$373,0),MATCH(M$2,'Fuel Model -  Input'!$B$3:$N$3,0))</f>
        <v>0.2</v>
      </c>
    </row>
    <row r="3274" spans="2:13" hidden="1" outlineLevel="2" x14ac:dyDescent="0.2">
      <c r="B3274" t="str">
        <f t="shared" si="1877"/>
        <v>GlobalFeedstockFP hydrogen fraction - Green%</v>
      </c>
      <c r="C3274" s="494" t="s">
        <v>109</v>
      </c>
      <c r="D3274" t="s">
        <v>777</v>
      </c>
      <c r="E3274" s="48" t="s">
        <v>1359</v>
      </c>
      <c r="F3274" t="s">
        <v>178</v>
      </c>
      <c r="G3274" s="531">
        <f>INDEX('Fuel Model -  Input'!$B$3:$N$373,MATCH($B3274,'Fuel Model -  Input'!$B$3:$B$373,0),MATCH(G$2,'Fuel Model -  Input'!$B$3:$N$3,0))</f>
        <v>0</v>
      </c>
      <c r="H3274" s="531">
        <f>INDEX('Fuel Model -  Input'!$B$3:$N$373,MATCH($B3274,'Fuel Model -  Input'!$B$3:$B$373,0),MATCH(H$2,'Fuel Model -  Input'!$B$3:$N$3,0))</f>
        <v>0</v>
      </c>
      <c r="I3274" s="531">
        <f>INDEX('Fuel Model -  Input'!$B$3:$N$373,MATCH($B3274,'Fuel Model -  Input'!$B$3:$B$373,0),MATCH(I$2,'Fuel Model -  Input'!$B$3:$N$3,0))</f>
        <v>0</v>
      </c>
      <c r="J3274" s="531">
        <f>INDEX('Fuel Model -  Input'!$B$3:$N$373,MATCH($B3274,'Fuel Model -  Input'!$B$3:$B$373,0),MATCH(J$2,'Fuel Model -  Input'!$B$3:$N$3,0))</f>
        <v>0</v>
      </c>
      <c r="K3274" s="531">
        <f>INDEX('Fuel Model -  Input'!$B$3:$N$373,MATCH($B3274,'Fuel Model -  Input'!$B$3:$B$373,0),MATCH(K$2,'Fuel Model -  Input'!$B$3:$N$3,0))</f>
        <v>0.1</v>
      </c>
      <c r="L3274" s="531">
        <f>INDEX('Fuel Model -  Input'!$B$3:$N$373,MATCH($B3274,'Fuel Model -  Input'!$B$3:$B$373,0),MATCH(L$2,'Fuel Model -  Input'!$B$3:$N$3,0))</f>
        <v>0.3</v>
      </c>
      <c r="M3274" s="531">
        <f>INDEX('Fuel Model -  Input'!$B$3:$N$373,MATCH($B3274,'Fuel Model -  Input'!$B$3:$B$373,0),MATCH(M$2,'Fuel Model -  Input'!$B$3:$N$3,0))</f>
        <v>0.8</v>
      </c>
    </row>
    <row r="3275" spans="2:13" hidden="1" outlineLevel="2" x14ac:dyDescent="0.2">
      <c r="B3275" t="str">
        <f t="shared" si="1877"/>
        <v>Middle EastResultsCost of Grey HydrogenUSD/ton</v>
      </c>
      <c r="C3275" s="494" t="str">
        <f t="shared" si="1884"/>
        <v>Middle East</v>
      </c>
      <c r="D3275" t="s">
        <v>838</v>
      </c>
      <c r="E3275" s="48" t="s">
        <v>1161</v>
      </c>
      <c r="F3275" s="128" t="s">
        <v>205</v>
      </c>
      <c r="G3275" s="532">
        <f t="shared" ref="G3275:M3277" si="1891">+INDEX(G$2:G$2521,MATCH($B3275,$B$2:$B$2521,0))</f>
        <v>5666.1375287243391</v>
      </c>
      <c r="H3275" s="532">
        <f t="shared" si="1891"/>
        <v>2416</v>
      </c>
      <c r="I3275" s="532">
        <f t="shared" si="1891"/>
        <v>1016.1546764513125</v>
      </c>
      <c r="J3275" s="532">
        <f t="shared" si="1891"/>
        <v>954.68075861598686</v>
      </c>
      <c r="K3275" s="532">
        <f t="shared" si="1891"/>
        <v>900.3159025965814</v>
      </c>
      <c r="L3275" s="532">
        <f t="shared" si="1891"/>
        <v>851.99804970439641</v>
      </c>
      <c r="M3275" s="532">
        <f t="shared" si="1891"/>
        <v>808.83333333333337</v>
      </c>
    </row>
    <row r="3276" spans="2:13" hidden="1" outlineLevel="2" x14ac:dyDescent="0.2">
      <c r="B3276" t="str">
        <f t="shared" si="1877"/>
        <v>Middle EastResultsCost of Blue HydrogenUSD/ton</v>
      </c>
      <c r="C3276" s="494" t="str">
        <f t="shared" si="1884"/>
        <v>Middle East</v>
      </c>
      <c r="D3276" t="s">
        <v>838</v>
      </c>
      <c r="E3276" s="48" t="s">
        <v>1200</v>
      </c>
      <c r="F3276" s="128" t="s">
        <v>205</v>
      </c>
      <c r="G3276" s="532">
        <f t="shared" si="1891"/>
        <v>6345.7297890743394</v>
      </c>
      <c r="H3276" s="532">
        <f t="shared" si="1891"/>
        <v>3091</v>
      </c>
      <c r="I3276" s="532">
        <f t="shared" si="1891"/>
        <v>1686.5934477263124</v>
      </c>
      <c r="J3276" s="532">
        <f t="shared" si="1891"/>
        <v>1620.589123090987</v>
      </c>
      <c r="K3276" s="532">
        <f t="shared" si="1891"/>
        <v>1561.7244739215814</v>
      </c>
      <c r="L3276" s="532">
        <f t="shared" si="1891"/>
        <v>1508.9372347543963</v>
      </c>
      <c r="M3276" s="532">
        <f t="shared" si="1891"/>
        <v>1461.3333333333335</v>
      </c>
    </row>
    <row r="3277" spans="2:13" hidden="1" outlineLevel="2" x14ac:dyDescent="0.2">
      <c r="B3277" t="str">
        <f t="shared" si="1877"/>
        <v>Middle EastResultsCost of e-HydrogenUSD/ton</v>
      </c>
      <c r="C3277" s="494" t="str">
        <f t="shared" si="1884"/>
        <v>Middle East</v>
      </c>
      <c r="D3277" t="s">
        <v>838</v>
      </c>
      <c r="E3277" s="48" t="s">
        <v>853</v>
      </c>
      <c r="F3277" s="128" t="s">
        <v>205</v>
      </c>
      <c r="G3277" s="532">
        <f t="shared" si="1891"/>
        <v>4033.8443316563344</v>
      </c>
      <c r="H3277" s="532">
        <f t="shared" si="1891"/>
        <v>3291.9371719670976</v>
      </c>
      <c r="I3277" s="532">
        <f t="shared" si="1891"/>
        <v>2750.1662484364051</v>
      </c>
      <c r="J3277" s="532">
        <f t="shared" si="1891"/>
        <v>2478.4794366977089</v>
      </c>
      <c r="K3277" s="532">
        <f t="shared" si="1891"/>
        <v>2145.2078959385808</v>
      </c>
      <c r="L3277" s="532">
        <f t="shared" si="1891"/>
        <v>1692.6990012023361</v>
      </c>
      <c r="M3277" s="532">
        <f t="shared" si="1891"/>
        <v>1298.0866858092033</v>
      </c>
    </row>
    <row r="3278" spans="2:13" hidden="1" outlineLevel="2" x14ac:dyDescent="0.2">
      <c r="C3278" s="494"/>
      <c r="E3278" s="48"/>
      <c r="F3278" s="128"/>
      <c r="G3278" s="532"/>
      <c r="H3278" s="532"/>
      <c r="I3278" s="532"/>
      <c r="J3278" s="532"/>
      <c r="K3278" s="532"/>
      <c r="L3278" s="532"/>
      <c r="M3278" s="532"/>
    </row>
    <row r="3279" spans="2:13" hidden="1" outlineLevel="2" x14ac:dyDescent="0.2">
      <c r="B3279" t="str">
        <f>+C3279&amp;D3279&amp;E3279&amp;F3279</f>
        <v>Middle EastFeedstockWood biomass to pyrolysis oilUSD/ton oil</v>
      </c>
      <c r="C3279" s="494" t="str">
        <f>+$C$3252</f>
        <v>Middle East</v>
      </c>
      <c r="D3279" t="s">
        <v>777</v>
      </c>
      <c r="E3279" s="48" t="s">
        <v>1360</v>
      </c>
      <c r="F3279" s="128" t="s">
        <v>1349</v>
      </c>
      <c r="G3279" s="8">
        <f t="shared" ref="G3279:M3279" si="1892">G3281*G3280</f>
        <v>437.31906051550237</v>
      </c>
      <c r="H3279" s="8">
        <f t="shared" si="1892"/>
        <v>453.07830593948444</v>
      </c>
      <c r="I3279" s="8">
        <f t="shared" si="1892"/>
        <v>468.8375513634665</v>
      </c>
      <c r="J3279" s="8">
        <f t="shared" si="1892"/>
        <v>484.59679678744857</v>
      </c>
      <c r="K3279" s="8">
        <f t="shared" si="1892"/>
        <v>504.29585356742615</v>
      </c>
      <c r="L3279" s="8">
        <f t="shared" si="1892"/>
        <v>520.05509899140827</v>
      </c>
      <c r="M3279" s="8">
        <f t="shared" si="1892"/>
        <v>535.81434441539034</v>
      </c>
    </row>
    <row r="3280" spans="2:13" hidden="1" outlineLevel="2" x14ac:dyDescent="0.2">
      <c r="B3280" t="str">
        <f>+C3280&amp;D3280&amp;E3280&amp;F3280</f>
        <v>GlobalFeedstockConversion Dry Wood biomass : FP oilTon feedstock / ton fuel</v>
      </c>
      <c r="C3280" s="494" t="s">
        <v>109</v>
      </c>
      <c r="D3280" t="s">
        <v>777</v>
      </c>
      <c r="E3280" s="48" t="s">
        <v>1361</v>
      </c>
      <c r="F3280" s="128" t="s">
        <v>1241</v>
      </c>
      <c r="G3280" s="521">
        <f>+INDEX('Fuel Model -  Input'!$B$3:$N$373,MATCH($B3280,'Fuel Model -  Input'!$B$3:$B$373,0),MATCH(G$2,'Fuel Model -  Input'!$B$3:$N$3,0))</f>
        <v>3.9398113559955168</v>
      </c>
      <c r="H3280" s="521">
        <f>+INDEX('Fuel Model -  Input'!$B$3:$N$373,MATCH($B3280,'Fuel Model -  Input'!$B$3:$B$373,0),MATCH(H$2,'Fuel Model -  Input'!$B$3:$N$3,0))</f>
        <v>3.9398113559955168</v>
      </c>
      <c r="I3280" s="521">
        <f>+INDEX('Fuel Model -  Input'!$B$3:$N$373,MATCH($B3280,'Fuel Model -  Input'!$B$3:$B$373,0),MATCH(I$2,'Fuel Model -  Input'!$B$3:$N$3,0))</f>
        <v>3.9398113559955168</v>
      </c>
      <c r="J3280" s="521">
        <f>+INDEX('Fuel Model -  Input'!$B$3:$N$373,MATCH($B3280,'Fuel Model -  Input'!$B$3:$B$373,0),MATCH(J$2,'Fuel Model -  Input'!$B$3:$N$3,0))</f>
        <v>3.9398113559955168</v>
      </c>
      <c r="K3280" s="521">
        <f>+INDEX('Fuel Model -  Input'!$B$3:$N$373,MATCH($B3280,'Fuel Model -  Input'!$B$3:$B$373,0),MATCH(K$2,'Fuel Model -  Input'!$B$3:$N$3,0))</f>
        <v>3.9398113559955168</v>
      </c>
      <c r="L3280" s="521">
        <f>+INDEX('Fuel Model -  Input'!$B$3:$N$373,MATCH($B3280,'Fuel Model -  Input'!$B$3:$B$373,0),MATCH(L$2,'Fuel Model -  Input'!$B$3:$N$3,0))</f>
        <v>3.9398113559955168</v>
      </c>
      <c r="M3280" s="521">
        <f>+INDEX('Fuel Model -  Input'!$B$3:$N$373,MATCH($B3280,'Fuel Model -  Input'!$B$3:$B$373,0),MATCH(M$2,'Fuel Model -  Input'!$B$3:$N$3,0))</f>
        <v>3.9398113559955168</v>
      </c>
    </row>
    <row r="3281" spans="2:16" hidden="1" outlineLevel="2" x14ac:dyDescent="0.2">
      <c r="B3281" t="str">
        <f>+C3281&amp;D3281&amp;E3281&amp;F3281</f>
        <v>Middle EastFeedstockCost of Wood biomassUSD/ton Wood</v>
      </c>
      <c r="C3281" s="494" t="str">
        <f>C3252</f>
        <v>Middle East</v>
      </c>
      <c r="D3281" t="s">
        <v>777</v>
      </c>
      <c r="E3281" s="48" t="s">
        <v>1244</v>
      </c>
      <c r="F3281" s="128" t="s">
        <v>1245</v>
      </c>
      <c r="G3281" s="524">
        <f>+INDEX('Fuel Model -  Input'!$B$3:$N$373,MATCH($B3281,'Fuel Model -  Input'!$B$3:$B$373,0),MATCH(G$2,'Fuel Model -  Input'!$B$3:$N$3,0))</f>
        <v>111</v>
      </c>
      <c r="H3281" s="524">
        <f>+INDEX('Fuel Model -  Input'!$B$3:$N$373,MATCH($B3281,'Fuel Model -  Input'!$B$3:$B$373,0),MATCH(H$2,'Fuel Model -  Input'!$B$3:$N$3,0))</f>
        <v>115</v>
      </c>
      <c r="I3281" s="524">
        <f>+INDEX('Fuel Model -  Input'!$B$3:$N$373,MATCH($B3281,'Fuel Model -  Input'!$B$3:$B$373,0),MATCH(I$2,'Fuel Model -  Input'!$B$3:$N$3,0))</f>
        <v>119</v>
      </c>
      <c r="J3281" s="524">
        <f>+INDEX('Fuel Model -  Input'!$B$3:$N$373,MATCH($B3281,'Fuel Model -  Input'!$B$3:$B$373,0),MATCH(J$2,'Fuel Model -  Input'!$B$3:$N$3,0))</f>
        <v>123</v>
      </c>
      <c r="K3281" s="524">
        <f>+INDEX('Fuel Model -  Input'!$B$3:$N$373,MATCH($B3281,'Fuel Model -  Input'!$B$3:$B$373,0),MATCH(K$2,'Fuel Model -  Input'!$B$3:$N$3,0))</f>
        <v>128</v>
      </c>
      <c r="L3281" s="524">
        <f>+INDEX('Fuel Model -  Input'!$B$3:$N$373,MATCH($B3281,'Fuel Model -  Input'!$B$3:$B$373,0),MATCH(L$2,'Fuel Model -  Input'!$B$3:$N$3,0))</f>
        <v>132</v>
      </c>
      <c r="M3281" s="524">
        <f>+INDEX('Fuel Model -  Input'!$B$3:$N$373,MATCH($B3281,'Fuel Model -  Input'!$B$3:$B$373,0),MATCH(M$2,'Fuel Model -  Input'!$B$3:$N$3,0))</f>
        <v>136</v>
      </c>
    </row>
    <row r="3282" spans="2:16" ht="12.75" hidden="1" outlineLevel="1" x14ac:dyDescent="0.2">
      <c r="F3282"/>
    </row>
    <row r="3283" spans="2:16" s="30" customFormat="1" ht="15" hidden="1" outlineLevel="1" collapsed="1" x14ac:dyDescent="0.25">
      <c r="B3283" s="30" t="s">
        <v>198</v>
      </c>
      <c r="C3283" s="30" t="str">
        <f>+B3283</f>
        <v>Asia</v>
      </c>
    </row>
    <row r="3284" spans="2:16" ht="15" hidden="1" outlineLevel="2" x14ac:dyDescent="0.25">
      <c r="B3284" t="str">
        <f>+C3284&amp;D3284&amp;E3284&amp;F3284</f>
        <v>AsiaResultsTotal cost of Biodiesel (Pyr)USD/ton</v>
      </c>
      <c r="C3284" s="494" t="str">
        <f>+$C$3283</f>
        <v>Asia</v>
      </c>
      <c r="D3284" s="30" t="s">
        <v>838</v>
      </c>
      <c r="E3284" s="405" t="s">
        <v>1344</v>
      </c>
      <c r="F3284" s="127" t="s">
        <v>205</v>
      </c>
      <c r="G3284" s="490">
        <f>+SUM(G3285:G3287)</f>
        <v>2630.4121079534866</v>
      </c>
      <c r="H3284" s="490">
        <f t="shared" ref="H3284:M3284" si="1893">+SUM(H3285:H3287)</f>
        <v>1641.1181797328313</v>
      </c>
      <c r="I3284" s="490">
        <f t="shared" si="1893"/>
        <v>892.30350306954097</v>
      </c>
      <c r="J3284" s="490">
        <f t="shared" si="1893"/>
        <v>911.06224067428229</v>
      </c>
      <c r="K3284" s="490">
        <f t="shared" si="1893"/>
        <v>914.28663758342827</v>
      </c>
      <c r="L3284" s="490">
        <f t="shared" si="1893"/>
        <v>901.31625742275628</v>
      </c>
      <c r="M3284" s="490">
        <f t="shared" si="1893"/>
        <v>858.78297517888154</v>
      </c>
    </row>
    <row r="3285" spans="2:16" ht="15" hidden="1" outlineLevel="2" x14ac:dyDescent="0.25">
      <c r="B3285" t="str">
        <f>+C3285&amp;D3285&amp;E3285&amp;F3285</f>
        <v>AsiaResultsTotal Capex Biodiesel (Pyr)USD/ton</v>
      </c>
      <c r="C3285" s="494" t="str">
        <f>+$C$3283</f>
        <v>Asia</v>
      </c>
      <c r="D3285" s="30" t="s">
        <v>838</v>
      </c>
      <c r="E3285" s="228" t="s">
        <v>1345</v>
      </c>
      <c r="F3285" s="127" t="s">
        <v>205</v>
      </c>
      <c r="G3285" s="490">
        <f>G3289</f>
        <v>1027.3166666666668</v>
      </c>
      <c r="H3285" s="490">
        <f t="shared" ref="H3285:M3285" si="1894">H3289</f>
        <v>616.3900000000001</v>
      </c>
      <c r="I3285" s="490">
        <f t="shared" si="1894"/>
        <v>205.46333333333337</v>
      </c>
      <c r="J3285" s="490">
        <f t="shared" si="1894"/>
        <v>184.91700000000006</v>
      </c>
      <c r="K3285" s="490">
        <f t="shared" si="1894"/>
        <v>178.06822222222226</v>
      </c>
      <c r="L3285" s="490">
        <f t="shared" si="1894"/>
        <v>171.21944444444452</v>
      </c>
      <c r="M3285" s="490">
        <f t="shared" si="1894"/>
        <v>164.37066666666675</v>
      </c>
    </row>
    <row r="3286" spans="2:16" ht="15" hidden="1" outlineLevel="2" x14ac:dyDescent="0.25">
      <c r="B3286" t="str">
        <f>+C3286&amp;D3286&amp;E3286&amp;F3286</f>
        <v>AsiaResultsTotal Opex Biodiesel (Pyr)USD/ton</v>
      </c>
      <c r="C3286" s="494" t="str">
        <f>+$C$3283</f>
        <v>Asia</v>
      </c>
      <c r="D3286" s="30" t="s">
        <v>838</v>
      </c>
      <c r="E3286" s="228" t="s">
        <v>1346</v>
      </c>
      <c r="F3286" s="127" t="s">
        <v>205</v>
      </c>
      <c r="G3286" s="490">
        <f>G3293+G3296</f>
        <v>505.35459876096053</v>
      </c>
      <c r="H3286" s="490">
        <f t="shared" ref="H3286:M3286" si="1895">H3293+H3296</f>
        <v>305.71695074515861</v>
      </c>
      <c r="I3286" s="490">
        <f t="shared" si="1895"/>
        <v>116.75779906135726</v>
      </c>
      <c r="J3286" s="490">
        <f t="shared" si="1895"/>
        <v>103.54895032147159</v>
      </c>
      <c r="K3286" s="490">
        <f t="shared" si="1895"/>
        <v>98.435215415007818</v>
      </c>
      <c r="L3286" s="490">
        <f t="shared" si="1895"/>
        <v>93.225035597164506</v>
      </c>
      <c r="M3286" s="490">
        <f t="shared" si="1895"/>
        <v>89.184527257468247</v>
      </c>
    </row>
    <row r="3287" spans="2:16" ht="15" hidden="1" outlineLevel="2" x14ac:dyDescent="0.25">
      <c r="B3287" t="str">
        <f>+C3287&amp;D3287&amp;E3287&amp;F3287</f>
        <v>AsiaResultsTotal Raw Material Biodiesel (Pyr)USD/ton</v>
      </c>
      <c r="C3287" s="494" t="str">
        <f>+$C$3283</f>
        <v>Asia</v>
      </c>
      <c r="D3287" s="30" t="s">
        <v>838</v>
      </c>
      <c r="E3287" s="228" t="s">
        <v>1347</v>
      </c>
      <c r="F3287" s="127" t="s">
        <v>205</v>
      </c>
      <c r="G3287" s="490">
        <f>+G3310+G3300</f>
        <v>1097.7408425258593</v>
      </c>
      <c r="H3287" s="490">
        <f t="shared" ref="H3287:M3287" si="1896">+H3310+H3300</f>
        <v>719.01122898767278</v>
      </c>
      <c r="I3287" s="490">
        <f t="shared" si="1896"/>
        <v>570.08237067485038</v>
      </c>
      <c r="J3287" s="490">
        <f t="shared" si="1896"/>
        <v>622.59629035281068</v>
      </c>
      <c r="K3287" s="490">
        <f t="shared" si="1896"/>
        <v>637.78319994619824</v>
      </c>
      <c r="L3287" s="490">
        <f t="shared" si="1896"/>
        <v>636.87177738114724</v>
      </c>
      <c r="M3287" s="490">
        <f t="shared" si="1896"/>
        <v>605.22778125474656</v>
      </c>
      <c r="P3287" t="s">
        <v>1362</v>
      </c>
    </row>
    <row r="3288" spans="2:16" hidden="1" outlineLevel="2" x14ac:dyDescent="0.2">
      <c r="C3288" s="494"/>
      <c r="E3288" s="48"/>
      <c r="F3288" s="128"/>
      <c r="G3288" s="8"/>
      <c r="H3288" s="8"/>
      <c r="I3288" s="8"/>
      <c r="J3288" s="8"/>
      <c r="K3288" s="8"/>
      <c r="L3288" s="8"/>
      <c r="M3288" s="8"/>
    </row>
    <row r="3289" spans="2:16" hidden="1" outlineLevel="2" x14ac:dyDescent="0.2">
      <c r="B3289" t="str">
        <f>+C3289&amp;D3289&amp;E3289&amp;F3289</f>
        <v>AsiaHTL PlantAnnual capex (Pyr)USD/ton oil</v>
      </c>
      <c r="C3289" s="494" t="str">
        <f>+$C$3283</f>
        <v>Asia</v>
      </c>
      <c r="D3289" t="s">
        <v>1288</v>
      </c>
      <c r="E3289" s="48" t="s">
        <v>1348</v>
      </c>
      <c r="F3289" s="128" t="s">
        <v>1349</v>
      </c>
      <c r="G3289" s="8">
        <f t="shared" ref="G3289:M3289" si="1897">G3291/G3290</f>
        <v>1027.3166666666668</v>
      </c>
      <c r="H3289" s="8">
        <f t="shared" si="1897"/>
        <v>616.3900000000001</v>
      </c>
      <c r="I3289" s="8">
        <f t="shared" si="1897"/>
        <v>205.46333333333337</v>
      </c>
      <c r="J3289" s="8">
        <f t="shared" si="1897"/>
        <v>184.91700000000006</v>
      </c>
      <c r="K3289" s="8">
        <f t="shared" si="1897"/>
        <v>178.06822222222226</v>
      </c>
      <c r="L3289" s="8">
        <f t="shared" si="1897"/>
        <v>171.21944444444452</v>
      </c>
      <c r="M3289" s="8">
        <f t="shared" si="1897"/>
        <v>164.37066666666675</v>
      </c>
    </row>
    <row r="3290" spans="2:16" hidden="1" outlineLevel="2" x14ac:dyDescent="0.2">
      <c r="B3290" t="str">
        <f>+C3290&amp;D3290&amp;E3290&amp;F3290</f>
        <v>GlobalPlant capexAnnualisation factor#</v>
      </c>
      <c r="C3290" s="494" t="s">
        <v>109</v>
      </c>
      <c r="D3290" t="s">
        <v>786</v>
      </c>
      <c r="E3290" t="s">
        <v>764</v>
      </c>
      <c r="F3290" s="450" t="s">
        <v>787</v>
      </c>
      <c r="G3290" s="532">
        <f>+INDEX('Fuel Model -  Input'!$B$3:$N$373,MATCH($B3290,'Fuel Model -  Input'!$B$3:$B$373,0),MATCH(G$2,'Fuel Model -  Input'!$B$3:$N$3,0))</f>
        <v>11.32075471698113</v>
      </c>
      <c r="H3290" s="532">
        <f>+INDEX('Fuel Model -  Input'!$B$3:$N$373,MATCH($B3290,'Fuel Model -  Input'!$B$3:$B$373,0),MATCH(H$2,'Fuel Model -  Input'!$B$3:$N$3,0))</f>
        <v>11.32075471698113</v>
      </c>
      <c r="I3290" s="532">
        <f>+INDEX('Fuel Model -  Input'!$B$3:$N$373,MATCH($B3290,'Fuel Model -  Input'!$B$3:$B$373,0),MATCH(I$2,'Fuel Model -  Input'!$B$3:$N$3,0))</f>
        <v>11.32075471698113</v>
      </c>
      <c r="J3290" s="532">
        <f>+INDEX('Fuel Model -  Input'!$B$3:$N$373,MATCH($B3290,'Fuel Model -  Input'!$B$3:$B$373,0),MATCH(J$2,'Fuel Model -  Input'!$B$3:$N$3,0))</f>
        <v>11.32075471698113</v>
      </c>
      <c r="K3290" s="532">
        <f>+INDEX('Fuel Model -  Input'!$B$3:$N$373,MATCH($B3290,'Fuel Model -  Input'!$B$3:$B$373,0),MATCH(K$2,'Fuel Model -  Input'!$B$3:$N$3,0))</f>
        <v>11.32075471698113</v>
      </c>
      <c r="L3290" s="532">
        <f>+INDEX('Fuel Model -  Input'!$B$3:$N$373,MATCH($B3290,'Fuel Model -  Input'!$B$3:$B$373,0),MATCH(L$2,'Fuel Model -  Input'!$B$3:$N$3,0))</f>
        <v>11.32075471698113</v>
      </c>
      <c r="M3290" s="532">
        <f>+INDEX('Fuel Model -  Input'!$B$3:$N$373,MATCH($B3290,'Fuel Model -  Input'!$B$3:$B$373,0),MATCH(M$2,'Fuel Model -  Input'!$B$3:$N$3,0))</f>
        <v>11.32075471698113</v>
      </c>
    </row>
    <row r="3291" spans="2:16" hidden="1" outlineLevel="2" x14ac:dyDescent="0.2">
      <c r="B3291" t="str">
        <f>+C3291&amp;D3291&amp;E3291&amp;F3291</f>
        <v>GlobalCAPEXFP plantUSD/ton FP oil capacity</v>
      </c>
      <c r="C3291" s="494" t="s">
        <v>109</v>
      </c>
      <c r="D3291" t="s">
        <v>50</v>
      </c>
      <c r="E3291" s="48" t="s">
        <v>1350</v>
      </c>
      <c r="F3291" s="128" t="s">
        <v>1351</v>
      </c>
      <c r="G3291" s="532">
        <f>+INDEX('Fuel Model -  Input'!$B$3:$N$373,MATCH($B3291,'Fuel Model -  Input'!$B$3:$B$373,0),MATCH(G$2,'Fuel Model -  Input'!$B$3:$N$3,0))</f>
        <v>11630</v>
      </c>
      <c r="H3291" s="532">
        <f>+INDEX('Fuel Model -  Input'!$B$3:$N$373,MATCH($B3291,'Fuel Model -  Input'!$B$3:$B$373,0),MATCH(H$2,'Fuel Model -  Input'!$B$3:$N$3,0))</f>
        <v>6978</v>
      </c>
      <c r="I3291" s="532">
        <f>+INDEX('Fuel Model -  Input'!$B$3:$N$373,MATCH($B3291,'Fuel Model -  Input'!$B$3:$B$373,0),MATCH(I$2,'Fuel Model -  Input'!$B$3:$N$3,0))</f>
        <v>2326</v>
      </c>
      <c r="J3291" s="532">
        <f>+INDEX('Fuel Model -  Input'!$B$3:$N$373,MATCH($B3291,'Fuel Model -  Input'!$B$3:$B$373,0),MATCH(J$2,'Fuel Model -  Input'!$B$3:$N$3,0))</f>
        <v>2093.4</v>
      </c>
      <c r="K3291" s="532">
        <f>+INDEX('Fuel Model -  Input'!$B$3:$N$373,MATCH($B3291,'Fuel Model -  Input'!$B$3:$B$373,0),MATCH(K$2,'Fuel Model -  Input'!$B$3:$N$3,0))</f>
        <v>2015.8666666666668</v>
      </c>
      <c r="L3291" s="532">
        <f>+INDEX('Fuel Model -  Input'!$B$3:$N$373,MATCH($B3291,'Fuel Model -  Input'!$B$3:$B$373,0),MATCH(L$2,'Fuel Model -  Input'!$B$3:$N$3,0))</f>
        <v>1938.3333333333337</v>
      </c>
      <c r="M3291" s="532">
        <f>+INDEX('Fuel Model -  Input'!$B$3:$N$373,MATCH($B3291,'Fuel Model -  Input'!$B$3:$B$373,0),MATCH(M$2,'Fuel Model -  Input'!$B$3:$N$3,0))</f>
        <v>1860.8000000000004</v>
      </c>
    </row>
    <row r="3292" spans="2:16" hidden="1" outlineLevel="2" x14ac:dyDescent="0.2">
      <c r="C3292" s="494"/>
      <c r="E3292" s="48"/>
      <c r="F3292" s="128"/>
      <c r="G3292" s="524"/>
      <c r="H3292" s="524"/>
      <c r="I3292" s="524"/>
      <c r="J3292" s="524"/>
      <c r="K3292" s="524"/>
      <c r="L3292" s="524"/>
      <c r="M3292" s="524"/>
    </row>
    <row r="3293" spans="2:16" hidden="1" outlineLevel="2" x14ac:dyDescent="0.2">
      <c r="B3293" t="str">
        <f>+C3293&amp;D3293&amp;E3293&amp;F3293</f>
        <v>AsiaOpexOpexUSD/ton oil</v>
      </c>
      <c r="C3293" s="494" t="str">
        <f>+$C$3283</f>
        <v>Asia</v>
      </c>
      <c r="D3293" t="s">
        <v>219</v>
      </c>
      <c r="E3293" s="48" t="s">
        <v>219</v>
      </c>
      <c r="F3293" s="128" t="s">
        <v>1349</v>
      </c>
      <c r="G3293" s="8">
        <f t="shared" ref="G3293:M3293" si="1898">G3291*G3294</f>
        <v>457.46634026927774</v>
      </c>
      <c r="H3293" s="8">
        <f t="shared" si="1898"/>
        <v>274.47980416156662</v>
      </c>
      <c r="I3293" s="8">
        <f t="shared" si="1898"/>
        <v>91.493268053855545</v>
      </c>
      <c r="J3293" s="8">
        <f t="shared" si="1898"/>
        <v>82.343941248469989</v>
      </c>
      <c r="K3293" s="8">
        <f t="shared" si="1898"/>
        <v>79.294165646674813</v>
      </c>
      <c r="L3293" s="8">
        <f t="shared" si="1898"/>
        <v>76.244390044879637</v>
      </c>
      <c r="M3293" s="8">
        <f t="shared" si="1898"/>
        <v>73.194614443084447</v>
      </c>
    </row>
    <row r="3294" spans="2:16" hidden="1" outlineLevel="2" x14ac:dyDescent="0.2">
      <c r="B3294" t="str">
        <f>+C3294&amp;D3294&amp;E3294&amp;F3294</f>
        <v>GlobalOPEXFP plant opexPercent of Capex</v>
      </c>
      <c r="C3294" s="494" t="s">
        <v>109</v>
      </c>
      <c r="D3294" t="s">
        <v>319</v>
      </c>
      <c r="E3294" s="48" t="s">
        <v>1352</v>
      </c>
      <c r="F3294" s="128" t="s">
        <v>883</v>
      </c>
      <c r="G3294" s="531">
        <f>INDEX('Fuel Model -  Input'!$B$3:$N$373,MATCH($B3294,'Fuel Model -  Input'!$B$3:$B$373,0),MATCH(G$2,'Fuel Model -  Input'!$B$3:$N$3,0))</f>
        <v>3.9335024958665324E-2</v>
      </c>
      <c r="H3294" s="531">
        <f>INDEX('Fuel Model -  Input'!$B$3:$N$373,MATCH($B3294,'Fuel Model -  Input'!$B$3:$B$373,0),MATCH(H$2,'Fuel Model -  Input'!$B$3:$N$3,0))</f>
        <v>3.9335024958665324E-2</v>
      </c>
      <c r="I3294" s="531">
        <f>INDEX('Fuel Model -  Input'!$B$3:$N$373,MATCH($B3294,'Fuel Model -  Input'!$B$3:$B$373,0),MATCH(I$2,'Fuel Model -  Input'!$B$3:$N$3,0))</f>
        <v>3.9335024958665324E-2</v>
      </c>
      <c r="J3294" s="531">
        <f>INDEX('Fuel Model -  Input'!$B$3:$N$373,MATCH($B3294,'Fuel Model -  Input'!$B$3:$B$373,0),MATCH(J$2,'Fuel Model -  Input'!$B$3:$N$3,0))</f>
        <v>3.9335024958665324E-2</v>
      </c>
      <c r="K3294" s="531">
        <f>INDEX('Fuel Model -  Input'!$B$3:$N$373,MATCH($B3294,'Fuel Model -  Input'!$B$3:$B$373,0),MATCH(K$2,'Fuel Model -  Input'!$B$3:$N$3,0))</f>
        <v>3.9335024958665324E-2</v>
      </c>
      <c r="L3294" s="531">
        <f>INDEX('Fuel Model -  Input'!$B$3:$N$373,MATCH($B3294,'Fuel Model -  Input'!$B$3:$B$373,0),MATCH(L$2,'Fuel Model -  Input'!$B$3:$N$3,0))</f>
        <v>3.9335024958665324E-2</v>
      </c>
      <c r="M3294" s="531">
        <f>INDEX('Fuel Model -  Input'!$B$3:$N$373,MATCH($B3294,'Fuel Model -  Input'!$B$3:$B$373,0),MATCH(M$2,'Fuel Model -  Input'!$B$3:$N$3,0))</f>
        <v>3.9335024958665324E-2</v>
      </c>
    </row>
    <row r="3295" spans="2:16" hidden="1" outlineLevel="2" x14ac:dyDescent="0.2">
      <c r="C3295" s="494"/>
      <c r="E3295" s="48"/>
      <c r="F3295" s="128"/>
      <c r="G3295" s="520"/>
      <c r="H3295" s="520"/>
      <c r="I3295" s="520"/>
      <c r="J3295" s="520"/>
      <c r="K3295" s="520"/>
      <c r="L3295" s="520"/>
      <c r="M3295" s="520"/>
    </row>
    <row r="3296" spans="2:16" hidden="1" outlineLevel="2" x14ac:dyDescent="0.2">
      <c r="B3296" t="str">
        <f>+C3296&amp;D3296&amp;E3296&amp;F3296</f>
        <v>AsiaElectricityTotal (Pyr)USD/ ton oil</v>
      </c>
      <c r="C3296" s="494" t="str">
        <f>+$C$3283</f>
        <v>Asia</v>
      </c>
      <c r="D3296" t="s">
        <v>54</v>
      </c>
      <c r="E3296" s="48" t="s">
        <v>1353</v>
      </c>
      <c r="F3296" s="128" t="s">
        <v>1354</v>
      </c>
      <c r="G3296" s="8">
        <f t="shared" ref="G3296:M3296" si="1899">G3298*G3297</f>
        <v>47.888258491682805</v>
      </c>
      <c r="H3296" s="8">
        <f t="shared" si="1899"/>
        <v>31.237146583591969</v>
      </c>
      <c r="I3296" s="8">
        <f t="shared" si="1899"/>
        <v>25.264531007501716</v>
      </c>
      <c r="J3296" s="8">
        <f t="shared" si="1899"/>
        <v>21.205009073001605</v>
      </c>
      <c r="K3296" s="8">
        <f t="shared" si="1899"/>
        <v>19.141049768333005</v>
      </c>
      <c r="L3296" s="8">
        <f t="shared" si="1899"/>
        <v>16.980645552284869</v>
      </c>
      <c r="M3296" s="8">
        <f t="shared" si="1899"/>
        <v>15.989912814383802</v>
      </c>
    </row>
    <row r="3297" spans="2:13" hidden="1" outlineLevel="2" x14ac:dyDescent="0.2">
      <c r="B3297" t="str">
        <f>+C3297&amp;D3297&amp;E3297&amp;F3297</f>
        <v>GlobalFeedstockFP plant electricity demandMWh/ton fuel</v>
      </c>
      <c r="C3297" s="494" t="s">
        <v>109</v>
      </c>
      <c r="D3297" t="s">
        <v>777</v>
      </c>
      <c r="E3297" s="48" t="s">
        <v>1355</v>
      </c>
      <c r="F3297" s="128" t="s">
        <v>1298</v>
      </c>
      <c r="G3297" s="521">
        <f>INDEX('Fuel Model -  Input'!$B$3:$N$373,MATCH($B3297,'Fuel Model -  Input'!$B$3:$B$373,0),MATCH(G$2,'Fuel Model -  Input'!$B$3:$N$3,0))</f>
        <v>0.58356415446901266</v>
      </c>
      <c r="H3297" s="521">
        <f>INDEX('Fuel Model -  Input'!$B$3:$N$373,MATCH($B3297,'Fuel Model -  Input'!$B$3:$B$373,0),MATCH(H$2,'Fuel Model -  Input'!$B$3:$N$3,0))</f>
        <v>0.58356415446901266</v>
      </c>
      <c r="I3297" s="521">
        <f>INDEX('Fuel Model -  Input'!$B$3:$N$373,MATCH($B3297,'Fuel Model -  Input'!$B$3:$B$373,0),MATCH(I$2,'Fuel Model -  Input'!$B$3:$N$3,0))</f>
        <v>0.58356415446901266</v>
      </c>
      <c r="J3297" s="521">
        <f>INDEX('Fuel Model -  Input'!$B$3:$N$373,MATCH($B3297,'Fuel Model -  Input'!$B$3:$B$373,0),MATCH(J$2,'Fuel Model -  Input'!$B$3:$N$3,0))</f>
        <v>0.58356415446901266</v>
      </c>
      <c r="K3297" s="521">
        <f>INDEX('Fuel Model -  Input'!$B$3:$N$373,MATCH($B3297,'Fuel Model -  Input'!$B$3:$B$373,0),MATCH(K$2,'Fuel Model -  Input'!$B$3:$N$3,0))</f>
        <v>0.58356415446901266</v>
      </c>
      <c r="L3297" s="521">
        <f>INDEX('Fuel Model -  Input'!$B$3:$N$373,MATCH($B3297,'Fuel Model -  Input'!$B$3:$B$373,0),MATCH(L$2,'Fuel Model -  Input'!$B$3:$N$3,0))</f>
        <v>0.58356415446901266</v>
      </c>
      <c r="M3297" s="521">
        <f>INDEX('Fuel Model -  Input'!$B$3:$N$373,MATCH($B3297,'Fuel Model -  Input'!$B$3:$B$373,0),MATCH(M$2,'Fuel Model -  Input'!$B$3:$N$3,0))</f>
        <v>0.58356415446901266</v>
      </c>
    </row>
    <row r="3298" spans="2:13" hidden="1" outlineLevel="2" x14ac:dyDescent="0.2">
      <c r="B3298" t="str">
        <f>+C3298&amp;D3298&amp;E3298&amp;F3298</f>
        <v>AsiaFeedstockElectricityUSD/MWh</v>
      </c>
      <c r="C3298" s="494" t="str">
        <f>+$C$3283</f>
        <v>Asia</v>
      </c>
      <c r="D3298" t="s">
        <v>777</v>
      </c>
      <c r="E3298" s="48" t="s">
        <v>54</v>
      </c>
      <c r="F3298" s="128" t="s">
        <v>196</v>
      </c>
      <c r="G3298" s="521">
        <f>INDEX('Fuel Model -  Input'!$B$3:$N$373,MATCH($B3298,'Fuel Model -  Input'!$B$3:$B$373,0),MATCH(G$2,'Fuel Model -  Input'!$B$3:$N$3,0))</f>
        <v>82.061686148726054</v>
      </c>
      <c r="H3298" s="521">
        <f>INDEX('Fuel Model -  Input'!$B$3:$N$373,MATCH($B3298,'Fuel Model -  Input'!$B$3:$B$373,0),MATCH(H$2,'Fuel Model -  Input'!$B$3:$N$3,0))</f>
        <v>53.528213383864831</v>
      </c>
      <c r="I3298" s="521">
        <f>INDEX('Fuel Model -  Input'!$B$3:$N$373,MATCH($B3298,'Fuel Model -  Input'!$B$3:$B$373,0),MATCH(I$2,'Fuel Model -  Input'!$B$3:$N$3,0))</f>
        <v>43.29349363565693</v>
      </c>
      <c r="J3298" s="521">
        <f>INDEX('Fuel Model -  Input'!$B$3:$N$373,MATCH($B3298,'Fuel Model -  Input'!$B$3:$B$373,0),MATCH(J$2,'Fuel Model -  Input'!$B$3:$N$3,0))</f>
        <v>36.337065788929628</v>
      </c>
      <c r="K3298" s="521">
        <f>INDEX('Fuel Model -  Input'!$B$3:$N$373,MATCH($B3298,'Fuel Model -  Input'!$B$3:$B$373,0),MATCH(K$2,'Fuel Model -  Input'!$B$3:$N$3,0))</f>
        <v>32.800249332911001</v>
      </c>
      <c r="L3298" s="521">
        <f>INDEX('Fuel Model -  Input'!$B$3:$N$373,MATCH($B3298,'Fuel Model -  Input'!$B$3:$B$373,0),MATCH(L$2,'Fuel Model -  Input'!$B$3:$N$3,0))</f>
        <v>29.0981641388437</v>
      </c>
      <c r="M3298" s="521">
        <f>INDEX('Fuel Model -  Input'!$B$3:$N$373,MATCH($B3298,'Fuel Model -  Input'!$B$3:$B$373,0),MATCH(M$2,'Fuel Model -  Input'!$B$3:$N$3,0))</f>
        <v>27.400436938991028</v>
      </c>
    </row>
    <row r="3299" spans="2:13" hidden="1" outlineLevel="2" x14ac:dyDescent="0.2">
      <c r="C3299" s="494"/>
      <c r="E3299" s="48"/>
      <c r="F3299" s="128"/>
      <c r="G3299" s="520"/>
      <c r="H3299" s="520"/>
      <c r="I3299" s="520"/>
      <c r="J3299" s="520"/>
      <c r="K3299" s="520"/>
      <c r="L3299" s="520"/>
      <c r="M3299" s="520"/>
    </row>
    <row r="3300" spans="2:13" hidden="1" outlineLevel="2" x14ac:dyDescent="0.2">
      <c r="B3300" t="str">
        <f t="shared" ref="B3300:B3308" si="1900">+C3300&amp;D3300&amp;E3300&amp;F3300</f>
        <v>AsiaElectricityTotal hydrogenUSD/ ton HTL oil</v>
      </c>
      <c r="C3300" s="494" t="str">
        <f>+$C$3283</f>
        <v>Asia</v>
      </c>
      <c r="D3300" t="s">
        <v>54</v>
      </c>
      <c r="E3300" s="48" t="s">
        <v>1299</v>
      </c>
      <c r="F3300" s="128" t="s">
        <v>1296</v>
      </c>
      <c r="G3300" s="8">
        <f>G3302*G3301</f>
        <v>829.8336703181642</v>
      </c>
      <c r="H3300" s="8">
        <f t="shared" ref="H3300" si="1901">H3302*H3301</f>
        <v>431.40500000000003</v>
      </c>
      <c r="I3300" s="8">
        <f t="shared" ref="I3300" si="1902">I3302*I3301</f>
        <v>266.71689626319562</v>
      </c>
      <c r="J3300" s="8">
        <f t="shared" ref="J3300" si="1903">J3302*J3301</f>
        <v>299.53175916117829</v>
      </c>
      <c r="K3300" s="8">
        <f t="shared" ref="K3300" si="1904">K3302*K3301</f>
        <v>295.0196119745882</v>
      </c>
      <c r="L3300" s="8">
        <f t="shared" ref="L3300" si="1905">L3302*L3301</f>
        <v>278.3489439855552</v>
      </c>
      <c r="M3300" s="8">
        <f t="shared" ref="M3300" si="1906">M3302*M3301</f>
        <v>227.00589107917699</v>
      </c>
    </row>
    <row r="3301" spans="2:13" hidden="1" outlineLevel="2" x14ac:dyDescent="0.2">
      <c r="B3301" t="str">
        <f t="shared" si="1900"/>
        <v>GlobalFeedstockConversion Hydrogen : FP oilTon feedstock / ton fuel</v>
      </c>
      <c r="C3301" s="494" t="s">
        <v>109</v>
      </c>
      <c r="D3301" t="s">
        <v>777</v>
      </c>
      <c r="E3301" s="48" t="s">
        <v>1356</v>
      </c>
      <c r="F3301" s="128" t="s">
        <v>1241</v>
      </c>
      <c r="G3301" s="521">
        <f>INDEX('Fuel Model -  Input'!$B$3:$N$373,MATCH($B3301,'Fuel Model -  Input'!$B$3:$B$373,0),MATCH(G$2,'Fuel Model -  Input'!$B$3:$N$3,0))</f>
        <v>0.13</v>
      </c>
      <c r="H3301" s="521">
        <f>INDEX('Fuel Model -  Input'!$B$3:$N$373,MATCH($B3301,'Fuel Model -  Input'!$B$3:$B$373,0),MATCH(H$2,'Fuel Model -  Input'!$B$3:$N$3,0))</f>
        <v>0.13</v>
      </c>
      <c r="I3301" s="521">
        <f>INDEX('Fuel Model -  Input'!$B$3:$N$373,MATCH($B3301,'Fuel Model -  Input'!$B$3:$B$373,0),MATCH(I$2,'Fuel Model -  Input'!$B$3:$N$3,0))</f>
        <v>0.13</v>
      </c>
      <c r="J3301" s="521">
        <f>INDEX('Fuel Model -  Input'!$B$3:$N$373,MATCH($B3301,'Fuel Model -  Input'!$B$3:$B$373,0),MATCH(J$2,'Fuel Model -  Input'!$B$3:$N$3,0))</f>
        <v>0.13</v>
      </c>
      <c r="K3301" s="521">
        <f>INDEX('Fuel Model -  Input'!$B$3:$N$373,MATCH($B3301,'Fuel Model -  Input'!$B$3:$B$373,0),MATCH(K$2,'Fuel Model -  Input'!$B$3:$N$3,0))</f>
        <v>0.13</v>
      </c>
      <c r="L3301" s="521">
        <f>INDEX('Fuel Model -  Input'!$B$3:$N$373,MATCH($B3301,'Fuel Model -  Input'!$B$3:$B$373,0),MATCH(L$2,'Fuel Model -  Input'!$B$3:$N$3,0))</f>
        <v>0.13</v>
      </c>
      <c r="M3301" s="521">
        <f>INDEX('Fuel Model -  Input'!$B$3:$N$373,MATCH($B3301,'Fuel Model -  Input'!$B$3:$B$373,0),MATCH(M$2,'Fuel Model -  Input'!$B$3:$N$3,0))</f>
        <v>0.13</v>
      </c>
    </row>
    <row r="3302" spans="2:13" hidden="1" outlineLevel="2" x14ac:dyDescent="0.2">
      <c r="B3302" t="str">
        <f t="shared" si="1900"/>
        <v>AsiaFeedstockWeighted hydrogen costUSD/ton</v>
      </c>
      <c r="C3302" s="494" t="str">
        <f t="shared" ref="C3302:C3308" si="1907">+$C$3283</f>
        <v>Asia</v>
      </c>
      <c r="D3302" t="s">
        <v>777</v>
      </c>
      <c r="E3302" s="48" t="s">
        <v>1301</v>
      </c>
      <c r="F3302" s="128" t="s">
        <v>205</v>
      </c>
      <c r="G3302" s="337">
        <f>SUMPRODUCT(G3303:G3305,G3306:G3308)</f>
        <v>6383.3359255243395</v>
      </c>
      <c r="H3302" s="337">
        <f t="shared" ref="H3302" si="1908">SUMPRODUCT(H3303:H3305,H3306:H3308)</f>
        <v>3318.5</v>
      </c>
      <c r="I3302" s="337">
        <f t="shared" ref="I3302" si="1909">SUMPRODUCT(I3303:I3305,I3306:I3308)</f>
        <v>2051.6684327938124</v>
      </c>
      <c r="J3302" s="337">
        <f t="shared" ref="J3302" si="1910">SUMPRODUCT(J3303:J3305,J3306:J3308)</f>
        <v>2304.0904550859868</v>
      </c>
      <c r="K3302" s="337">
        <f t="shared" ref="K3302" si="1911">SUMPRODUCT(K3303:K3305,K3306:K3308)</f>
        <v>2269.3816305737555</v>
      </c>
      <c r="L3302" s="337">
        <f t="shared" ref="L3302" si="1912">SUMPRODUCT(L3303:L3305,L3306:L3308)</f>
        <v>2141.145722965809</v>
      </c>
      <c r="M3302" s="337">
        <f t="shared" ref="M3302" si="1913">SUMPRODUCT(M3303:M3305,M3306:M3308)</f>
        <v>1746.1991621475152</v>
      </c>
    </row>
    <row r="3303" spans="2:13" hidden="1" outlineLevel="2" x14ac:dyDescent="0.2">
      <c r="B3303" t="str">
        <f t="shared" si="1900"/>
        <v>GlobalFeedstockFP hydrogen fraction - Grey%</v>
      </c>
      <c r="C3303" s="494" t="s">
        <v>109</v>
      </c>
      <c r="D3303" t="s">
        <v>777</v>
      </c>
      <c r="E3303" s="48" t="s">
        <v>1357</v>
      </c>
      <c r="F3303" t="s">
        <v>178</v>
      </c>
      <c r="G3303" s="531">
        <f>INDEX('Fuel Model -  Input'!$B$3:$N$373,MATCH($B3303,'Fuel Model -  Input'!$B$3:$B$373,0),MATCH(G$2,'Fuel Model -  Input'!$B$3:$N$3,0))</f>
        <v>1</v>
      </c>
      <c r="H3303" s="531">
        <f>INDEX('Fuel Model -  Input'!$B$3:$N$373,MATCH($B3303,'Fuel Model -  Input'!$B$3:$B$373,0),MATCH(H$2,'Fuel Model -  Input'!$B$3:$N$3,0))</f>
        <v>0.7</v>
      </c>
      <c r="I3303" s="531">
        <f>INDEX('Fuel Model -  Input'!$B$3:$N$373,MATCH($B3303,'Fuel Model -  Input'!$B$3:$B$373,0),MATCH(I$2,'Fuel Model -  Input'!$B$3:$N$3,0))</f>
        <v>0.5</v>
      </c>
      <c r="J3303" s="531">
        <f>INDEX('Fuel Model -  Input'!$B$3:$N$373,MATCH($B3303,'Fuel Model -  Input'!$B$3:$B$373,0),MATCH(J$2,'Fuel Model -  Input'!$B$3:$N$3,0))</f>
        <v>0</v>
      </c>
      <c r="K3303" s="531">
        <f>INDEX('Fuel Model -  Input'!$B$3:$N$373,MATCH($B3303,'Fuel Model -  Input'!$B$3:$B$373,0),MATCH(K$2,'Fuel Model -  Input'!$B$3:$N$3,0))</f>
        <v>0</v>
      </c>
      <c r="L3303" s="531">
        <f>INDEX('Fuel Model -  Input'!$B$3:$N$373,MATCH($B3303,'Fuel Model -  Input'!$B$3:$B$373,0),MATCH(L$2,'Fuel Model -  Input'!$B$3:$N$3,0))</f>
        <v>0</v>
      </c>
      <c r="M3303" s="531">
        <f>INDEX('Fuel Model -  Input'!$B$3:$N$373,MATCH($B3303,'Fuel Model -  Input'!$B$3:$B$373,0),MATCH(M$2,'Fuel Model -  Input'!$B$3:$N$3,0))</f>
        <v>0</v>
      </c>
    </row>
    <row r="3304" spans="2:13" hidden="1" outlineLevel="2" x14ac:dyDescent="0.2">
      <c r="B3304" t="str">
        <f t="shared" si="1900"/>
        <v>GlobalFeedstockFP hydrogen fraction - Blue%</v>
      </c>
      <c r="C3304" s="494" t="s">
        <v>109</v>
      </c>
      <c r="D3304" t="s">
        <v>777</v>
      </c>
      <c r="E3304" s="48" t="s">
        <v>1358</v>
      </c>
      <c r="F3304" t="s">
        <v>178</v>
      </c>
      <c r="G3304" s="531">
        <f>INDEX('Fuel Model -  Input'!$B$3:$N$373,MATCH($B3304,'Fuel Model -  Input'!$B$3:$B$373,0),MATCH(G$2,'Fuel Model -  Input'!$B$3:$N$3,0))</f>
        <v>0</v>
      </c>
      <c r="H3304" s="531">
        <f>INDEX('Fuel Model -  Input'!$B$3:$N$373,MATCH($B3304,'Fuel Model -  Input'!$B$3:$B$373,0),MATCH(H$2,'Fuel Model -  Input'!$B$3:$N$3,0))</f>
        <v>0.3</v>
      </c>
      <c r="I3304" s="531">
        <f>INDEX('Fuel Model -  Input'!$B$3:$N$373,MATCH($B3304,'Fuel Model -  Input'!$B$3:$B$373,0),MATCH(I$2,'Fuel Model -  Input'!$B$3:$N$3,0))</f>
        <v>0.5</v>
      </c>
      <c r="J3304" s="531">
        <f>INDEX('Fuel Model -  Input'!$B$3:$N$373,MATCH($B3304,'Fuel Model -  Input'!$B$3:$B$373,0),MATCH(J$2,'Fuel Model -  Input'!$B$3:$N$3,0))</f>
        <v>1</v>
      </c>
      <c r="K3304" s="531">
        <f>INDEX('Fuel Model -  Input'!$B$3:$N$373,MATCH($B3304,'Fuel Model -  Input'!$B$3:$B$373,0),MATCH(K$2,'Fuel Model -  Input'!$B$3:$N$3,0))</f>
        <v>0.9</v>
      </c>
      <c r="L3304" s="531">
        <f>INDEX('Fuel Model -  Input'!$B$3:$N$373,MATCH($B3304,'Fuel Model -  Input'!$B$3:$B$373,0),MATCH(L$2,'Fuel Model -  Input'!$B$3:$N$3,0))</f>
        <v>0.7</v>
      </c>
      <c r="M3304" s="531">
        <f>INDEX('Fuel Model -  Input'!$B$3:$N$373,MATCH($B3304,'Fuel Model -  Input'!$B$3:$B$373,0),MATCH(M$2,'Fuel Model -  Input'!$B$3:$N$3,0))</f>
        <v>0.2</v>
      </c>
    </row>
    <row r="3305" spans="2:13" hidden="1" outlineLevel="2" x14ac:dyDescent="0.2">
      <c r="B3305" t="str">
        <f t="shared" si="1900"/>
        <v>GlobalFeedstockFP hydrogen fraction - Green%</v>
      </c>
      <c r="C3305" s="494" t="s">
        <v>109</v>
      </c>
      <c r="D3305" t="s">
        <v>777</v>
      </c>
      <c r="E3305" s="48" t="s">
        <v>1359</v>
      </c>
      <c r="F3305" t="s">
        <v>178</v>
      </c>
      <c r="G3305" s="531">
        <f>INDEX('Fuel Model -  Input'!$B$3:$N$373,MATCH($B3305,'Fuel Model -  Input'!$B$3:$B$373,0),MATCH(G$2,'Fuel Model -  Input'!$B$3:$N$3,0))</f>
        <v>0</v>
      </c>
      <c r="H3305" s="531">
        <f>INDEX('Fuel Model -  Input'!$B$3:$N$373,MATCH($B3305,'Fuel Model -  Input'!$B$3:$B$373,0),MATCH(H$2,'Fuel Model -  Input'!$B$3:$N$3,0))</f>
        <v>0</v>
      </c>
      <c r="I3305" s="531">
        <f>INDEX('Fuel Model -  Input'!$B$3:$N$373,MATCH($B3305,'Fuel Model -  Input'!$B$3:$B$373,0),MATCH(I$2,'Fuel Model -  Input'!$B$3:$N$3,0))</f>
        <v>0</v>
      </c>
      <c r="J3305" s="531">
        <f>INDEX('Fuel Model -  Input'!$B$3:$N$373,MATCH($B3305,'Fuel Model -  Input'!$B$3:$B$373,0),MATCH(J$2,'Fuel Model -  Input'!$B$3:$N$3,0))</f>
        <v>0</v>
      </c>
      <c r="K3305" s="531">
        <f>INDEX('Fuel Model -  Input'!$B$3:$N$373,MATCH($B3305,'Fuel Model -  Input'!$B$3:$B$373,0),MATCH(K$2,'Fuel Model -  Input'!$B$3:$N$3,0))</f>
        <v>0.1</v>
      </c>
      <c r="L3305" s="531">
        <f>INDEX('Fuel Model -  Input'!$B$3:$N$373,MATCH($B3305,'Fuel Model -  Input'!$B$3:$B$373,0),MATCH(L$2,'Fuel Model -  Input'!$B$3:$N$3,0))</f>
        <v>0.3</v>
      </c>
      <c r="M3305" s="531">
        <f>INDEX('Fuel Model -  Input'!$B$3:$N$373,MATCH($B3305,'Fuel Model -  Input'!$B$3:$B$373,0),MATCH(M$2,'Fuel Model -  Input'!$B$3:$N$3,0))</f>
        <v>0.8</v>
      </c>
    </row>
    <row r="3306" spans="2:13" hidden="1" outlineLevel="2" x14ac:dyDescent="0.2">
      <c r="B3306" t="str">
        <f t="shared" si="1900"/>
        <v>AsiaResultsCost of Grey HydrogenUSD/ton</v>
      </c>
      <c r="C3306" s="494" t="str">
        <f t="shared" si="1907"/>
        <v>Asia</v>
      </c>
      <c r="D3306" t="s">
        <v>838</v>
      </c>
      <c r="E3306" s="48" t="s">
        <v>1161</v>
      </c>
      <c r="F3306" s="128" t="s">
        <v>205</v>
      </c>
      <c r="G3306" s="532">
        <f t="shared" ref="G3306:M3308" si="1914">+INDEX(G$2:G$2521,MATCH($B3306,$B$2:$B$2521,0))</f>
        <v>6383.3359255243395</v>
      </c>
      <c r="H3306" s="532">
        <f t="shared" si="1914"/>
        <v>3116</v>
      </c>
      <c r="I3306" s="532">
        <f t="shared" si="1914"/>
        <v>1716.4490471563124</v>
      </c>
      <c r="J3306" s="532">
        <f t="shared" si="1914"/>
        <v>1638.182090610987</v>
      </c>
      <c r="K3306" s="532">
        <f t="shared" si="1914"/>
        <v>1567.4268923465816</v>
      </c>
      <c r="L3306" s="532">
        <f t="shared" si="1914"/>
        <v>1503.1117371493965</v>
      </c>
      <c r="M3306" s="532">
        <f t="shared" si="1914"/>
        <v>1444.3333333333335</v>
      </c>
    </row>
    <row r="3307" spans="2:13" hidden="1" outlineLevel="2" x14ac:dyDescent="0.2">
      <c r="B3307" t="str">
        <f t="shared" si="1900"/>
        <v>AsiaResultsCost of Blue HydrogenUSD/ton</v>
      </c>
      <c r="C3307" s="494" t="str">
        <f t="shared" si="1907"/>
        <v>Asia</v>
      </c>
      <c r="D3307" t="s">
        <v>838</v>
      </c>
      <c r="E3307" s="48" t="s">
        <v>1200</v>
      </c>
      <c r="F3307" s="128" t="s">
        <v>205</v>
      </c>
      <c r="G3307" s="532">
        <f t="shared" si="1914"/>
        <v>7062.9281858743398</v>
      </c>
      <c r="H3307" s="532">
        <f t="shared" si="1914"/>
        <v>3791</v>
      </c>
      <c r="I3307" s="532">
        <f t="shared" si="1914"/>
        <v>2386.8878184313126</v>
      </c>
      <c r="J3307" s="532">
        <f t="shared" si="1914"/>
        <v>2304.0904550859868</v>
      </c>
      <c r="K3307" s="532">
        <f t="shared" si="1914"/>
        <v>2228.8354636715817</v>
      </c>
      <c r="L3307" s="532">
        <f t="shared" si="1914"/>
        <v>2160.0509221993966</v>
      </c>
      <c r="M3307" s="532">
        <f t="shared" si="1914"/>
        <v>2096.8333333333335</v>
      </c>
    </row>
    <row r="3308" spans="2:13" hidden="1" outlineLevel="2" x14ac:dyDescent="0.2">
      <c r="B3308" t="str">
        <f t="shared" si="1900"/>
        <v>AsiaResultsCost of e-HydrogenUSD/ton</v>
      </c>
      <c r="C3308" s="494" t="str">
        <f t="shared" si="1907"/>
        <v>Asia</v>
      </c>
      <c r="D3308" t="s">
        <v>838</v>
      </c>
      <c r="E3308" s="48" t="s">
        <v>853</v>
      </c>
      <c r="F3308" s="128" t="s">
        <v>205</v>
      </c>
      <c r="G3308" s="532">
        <f t="shared" si="1914"/>
        <v>6169.5262870776432</v>
      </c>
      <c r="H3308" s="532">
        <f t="shared" si="1914"/>
        <v>4339.0300013308097</v>
      </c>
      <c r="I3308" s="532">
        <f t="shared" si="1914"/>
        <v>3530.9683571762444</v>
      </c>
      <c r="J3308" s="532">
        <f t="shared" si="1914"/>
        <v>3072.6262796833898</v>
      </c>
      <c r="K3308" s="532">
        <f t="shared" si="1914"/>
        <v>2634.2971326933207</v>
      </c>
      <c r="L3308" s="532">
        <f t="shared" si="1914"/>
        <v>2097.0335914207726</v>
      </c>
      <c r="M3308" s="532">
        <f t="shared" si="1914"/>
        <v>1658.5406193510603</v>
      </c>
    </row>
    <row r="3309" spans="2:13" hidden="1" outlineLevel="2" x14ac:dyDescent="0.2">
      <c r="C3309" s="494"/>
      <c r="E3309" s="48"/>
      <c r="F3309" s="128"/>
      <c r="G3309" s="532"/>
      <c r="H3309" s="532"/>
      <c r="I3309" s="532"/>
      <c r="J3309" s="532"/>
      <c r="K3309" s="532"/>
      <c r="L3309" s="532"/>
      <c r="M3309" s="532"/>
    </row>
    <row r="3310" spans="2:13" hidden="1" outlineLevel="2" x14ac:dyDescent="0.2">
      <c r="B3310" t="str">
        <f>+C3310&amp;D3310&amp;E3310&amp;F3310</f>
        <v>AsiaFeedstockWood biomass to pyrolysis oilUSD/ton oil</v>
      </c>
      <c r="C3310" s="494" t="str">
        <f>+$C$3283</f>
        <v>Asia</v>
      </c>
      <c r="D3310" t="s">
        <v>777</v>
      </c>
      <c r="E3310" s="48" t="s">
        <v>1360</v>
      </c>
      <c r="F3310" s="128" t="s">
        <v>1349</v>
      </c>
      <c r="G3310" s="8">
        <f t="shared" ref="G3310:M3310" si="1915">G3312*G3311</f>
        <v>267.90717220769517</v>
      </c>
      <c r="H3310" s="8">
        <f t="shared" si="1915"/>
        <v>287.60622898767275</v>
      </c>
      <c r="I3310" s="8">
        <f t="shared" si="1915"/>
        <v>303.36547441165482</v>
      </c>
      <c r="J3310" s="8">
        <f t="shared" si="1915"/>
        <v>323.0645311916324</v>
      </c>
      <c r="K3310" s="8">
        <f t="shared" si="1915"/>
        <v>342.76358797160998</v>
      </c>
      <c r="L3310" s="8">
        <f t="shared" si="1915"/>
        <v>358.52283339559204</v>
      </c>
      <c r="M3310" s="8">
        <f t="shared" si="1915"/>
        <v>378.22189017556963</v>
      </c>
    </row>
    <row r="3311" spans="2:13" hidden="1" outlineLevel="2" x14ac:dyDescent="0.2">
      <c r="B3311" t="str">
        <f>+C3311&amp;D3311&amp;E3311&amp;F3311</f>
        <v>GlobalFeedstockConversion Dry Wood biomass : FP oilTon feedstock / ton fuel</v>
      </c>
      <c r="C3311" s="494" t="s">
        <v>109</v>
      </c>
      <c r="D3311" t="s">
        <v>777</v>
      </c>
      <c r="E3311" s="48" t="s">
        <v>1361</v>
      </c>
      <c r="F3311" s="128" t="s">
        <v>1241</v>
      </c>
      <c r="G3311" s="521">
        <f>+INDEX('Fuel Model -  Input'!$B$3:$N$373,MATCH($B3311,'Fuel Model -  Input'!$B$3:$B$373,0),MATCH(G$2,'Fuel Model -  Input'!$B$3:$N$3,0))</f>
        <v>3.9398113559955168</v>
      </c>
      <c r="H3311" s="521">
        <f>+INDEX('Fuel Model -  Input'!$B$3:$N$373,MATCH($B3311,'Fuel Model -  Input'!$B$3:$B$373,0),MATCH(H$2,'Fuel Model -  Input'!$B$3:$N$3,0))</f>
        <v>3.9398113559955168</v>
      </c>
      <c r="I3311" s="521">
        <f>+INDEX('Fuel Model -  Input'!$B$3:$N$373,MATCH($B3311,'Fuel Model -  Input'!$B$3:$B$373,0),MATCH(I$2,'Fuel Model -  Input'!$B$3:$N$3,0))</f>
        <v>3.9398113559955168</v>
      </c>
      <c r="J3311" s="521">
        <f>+INDEX('Fuel Model -  Input'!$B$3:$N$373,MATCH($B3311,'Fuel Model -  Input'!$B$3:$B$373,0),MATCH(J$2,'Fuel Model -  Input'!$B$3:$N$3,0))</f>
        <v>3.9398113559955168</v>
      </c>
      <c r="K3311" s="521">
        <f>+INDEX('Fuel Model -  Input'!$B$3:$N$373,MATCH($B3311,'Fuel Model -  Input'!$B$3:$B$373,0),MATCH(K$2,'Fuel Model -  Input'!$B$3:$N$3,0))</f>
        <v>3.9398113559955168</v>
      </c>
      <c r="L3311" s="521">
        <f>+INDEX('Fuel Model -  Input'!$B$3:$N$373,MATCH($B3311,'Fuel Model -  Input'!$B$3:$B$373,0),MATCH(L$2,'Fuel Model -  Input'!$B$3:$N$3,0))</f>
        <v>3.9398113559955168</v>
      </c>
      <c r="M3311" s="521">
        <f>+INDEX('Fuel Model -  Input'!$B$3:$N$373,MATCH($B3311,'Fuel Model -  Input'!$B$3:$B$373,0),MATCH(M$2,'Fuel Model -  Input'!$B$3:$N$3,0))</f>
        <v>3.9398113559955168</v>
      </c>
    </row>
    <row r="3312" spans="2:13" hidden="1" outlineLevel="2" x14ac:dyDescent="0.2">
      <c r="B3312" t="str">
        <f>+C3312&amp;D3312&amp;E3312&amp;F3312</f>
        <v>AsiaFeedstockCost of Wood biomassUSD/ton Wood</v>
      </c>
      <c r="C3312" s="494" t="str">
        <f>C3283</f>
        <v>Asia</v>
      </c>
      <c r="D3312" t="s">
        <v>777</v>
      </c>
      <c r="E3312" s="48" t="s">
        <v>1244</v>
      </c>
      <c r="F3312" s="128" t="s">
        <v>1245</v>
      </c>
      <c r="G3312" s="524">
        <f>+INDEX('Fuel Model -  Input'!$B$3:$N$373,MATCH($B3312,'Fuel Model -  Input'!$B$3:$B$373,0),MATCH(G$2,'Fuel Model -  Input'!$B$3:$N$3,0))</f>
        <v>68</v>
      </c>
      <c r="H3312" s="524">
        <f>+INDEX('Fuel Model -  Input'!$B$3:$N$373,MATCH($B3312,'Fuel Model -  Input'!$B$3:$B$373,0),MATCH(H$2,'Fuel Model -  Input'!$B$3:$N$3,0))</f>
        <v>73</v>
      </c>
      <c r="I3312" s="524">
        <f>+INDEX('Fuel Model -  Input'!$B$3:$N$373,MATCH($B3312,'Fuel Model -  Input'!$B$3:$B$373,0),MATCH(I$2,'Fuel Model -  Input'!$B$3:$N$3,0))</f>
        <v>77</v>
      </c>
      <c r="J3312" s="524">
        <f>+INDEX('Fuel Model -  Input'!$B$3:$N$373,MATCH($B3312,'Fuel Model -  Input'!$B$3:$B$373,0),MATCH(J$2,'Fuel Model -  Input'!$B$3:$N$3,0))</f>
        <v>82</v>
      </c>
      <c r="K3312" s="524">
        <f>+INDEX('Fuel Model -  Input'!$B$3:$N$373,MATCH($B3312,'Fuel Model -  Input'!$B$3:$B$373,0),MATCH(K$2,'Fuel Model -  Input'!$B$3:$N$3,0))</f>
        <v>87</v>
      </c>
      <c r="L3312" s="524">
        <f>+INDEX('Fuel Model -  Input'!$B$3:$N$373,MATCH($B3312,'Fuel Model -  Input'!$B$3:$B$373,0),MATCH(L$2,'Fuel Model -  Input'!$B$3:$N$3,0))</f>
        <v>91</v>
      </c>
      <c r="M3312" s="524">
        <f>+INDEX('Fuel Model -  Input'!$B$3:$N$373,MATCH($B3312,'Fuel Model -  Input'!$B$3:$B$373,0),MATCH(M$2,'Fuel Model -  Input'!$B$3:$N$3,0))</f>
        <v>96</v>
      </c>
    </row>
    <row r="3313" spans="2:16" ht="12.75" hidden="1" outlineLevel="1" x14ac:dyDescent="0.2">
      <c r="F3313"/>
    </row>
    <row r="3314" spans="2:16" s="30" customFormat="1" ht="15" hidden="1" outlineLevel="1" collapsed="1" x14ac:dyDescent="0.25">
      <c r="B3314" s="30" t="s">
        <v>199</v>
      </c>
      <c r="C3314" s="30" t="str">
        <f>+B3314</f>
        <v>Americas</v>
      </c>
    </row>
    <row r="3315" spans="2:16" ht="15" hidden="1" outlineLevel="2" x14ac:dyDescent="0.25">
      <c r="B3315" t="str">
        <f>+C3315&amp;D3315&amp;E3315&amp;F3315</f>
        <v>AmericasResultsTotal cost of Biodiesel (Pyr)USD/ton</v>
      </c>
      <c r="C3315" s="494" t="str">
        <f>+$C$3314</f>
        <v>Americas</v>
      </c>
      <c r="D3315" s="30" t="s">
        <v>838</v>
      </c>
      <c r="E3315" s="405" t="s">
        <v>1344</v>
      </c>
      <c r="F3315" s="127" t="s">
        <v>205</v>
      </c>
      <c r="G3315" s="490">
        <f>+SUM(G3316:G3318)</f>
        <v>2089.5163427105836</v>
      </c>
      <c r="H3315" s="490">
        <f t="shared" ref="H3315:M3315" si="1916">+SUM(H3316:H3318)</f>
        <v>1468.2156261569269</v>
      </c>
      <c r="I3315" s="490">
        <f t="shared" si="1916"/>
        <v>893.05955241658489</v>
      </c>
      <c r="J3315" s="490">
        <f t="shared" si="1916"/>
        <v>924.52233688116007</v>
      </c>
      <c r="K3315" s="490">
        <f t="shared" si="1916"/>
        <v>923.65278141771046</v>
      </c>
      <c r="L3315" s="490">
        <f t="shared" si="1916"/>
        <v>919.18388221884402</v>
      </c>
      <c r="M3315" s="490">
        <f t="shared" si="1916"/>
        <v>879.63868142280683</v>
      </c>
      <c r="N3315" s="490"/>
    </row>
    <row r="3316" spans="2:16" ht="15" hidden="1" outlineLevel="2" x14ac:dyDescent="0.25">
      <c r="B3316" t="str">
        <f>+C3316&amp;D3316&amp;E3316&amp;F3316</f>
        <v>AmericasResultsTotal Capex Biodiesel (Pyr)USD/ton</v>
      </c>
      <c r="C3316" s="494" t="str">
        <f>+$C$3314</f>
        <v>Americas</v>
      </c>
      <c r="D3316" s="30" t="s">
        <v>838</v>
      </c>
      <c r="E3316" s="228" t="s">
        <v>1345</v>
      </c>
      <c r="F3316" s="127" t="s">
        <v>205</v>
      </c>
      <c r="G3316" s="490">
        <f>G3320</f>
        <v>1027.3166666666668</v>
      </c>
      <c r="H3316" s="490">
        <f t="shared" ref="H3316:M3316" si="1917">H3320</f>
        <v>616.3900000000001</v>
      </c>
      <c r="I3316" s="490">
        <f t="shared" si="1917"/>
        <v>205.46333333333337</v>
      </c>
      <c r="J3316" s="490">
        <f t="shared" si="1917"/>
        <v>184.91700000000006</v>
      </c>
      <c r="K3316" s="490">
        <f t="shared" si="1917"/>
        <v>178.06822222222226</v>
      </c>
      <c r="L3316" s="490">
        <f t="shared" si="1917"/>
        <v>171.21944444444452</v>
      </c>
      <c r="M3316" s="490">
        <f t="shared" si="1917"/>
        <v>164.37066666666675</v>
      </c>
      <c r="N3316" s="490"/>
    </row>
    <row r="3317" spans="2:16" ht="15" hidden="1" outlineLevel="2" x14ac:dyDescent="0.25">
      <c r="B3317" t="str">
        <f>+C3317&amp;D3317&amp;E3317&amp;F3317</f>
        <v>AmericasResultsTotal Opex Biodiesel (Pyr)USD/ton</v>
      </c>
      <c r="C3317" s="494" t="str">
        <f>+$C$3314</f>
        <v>Americas</v>
      </c>
      <c r="D3317" s="30" t="s">
        <v>838</v>
      </c>
      <c r="E3317" s="228" t="s">
        <v>1346</v>
      </c>
      <c r="F3317" s="127" t="s">
        <v>205</v>
      </c>
      <c r="G3317" s="490">
        <f>G3324+G3327</f>
        <v>480.20573786613352</v>
      </c>
      <c r="H3317" s="490">
        <f t="shared" ref="H3317:M3317" si="1918">H3324+H3327</f>
        <v>295.00241547332581</v>
      </c>
      <c r="I3317" s="490">
        <f t="shared" si="1918"/>
        <v>108.26864006337735</v>
      </c>
      <c r="J3317" s="490">
        <f t="shared" si="1918"/>
        <v>97.316051739421184</v>
      </c>
      <c r="K3317" s="490">
        <f t="shared" si="1918"/>
        <v>92.804507994494102</v>
      </c>
      <c r="L3317" s="490">
        <f t="shared" si="1918"/>
        <v>89.165832532625672</v>
      </c>
      <c r="M3317" s="490">
        <f t="shared" si="1918"/>
        <v>85.67177366904761</v>
      </c>
      <c r="N3317" s="490"/>
    </row>
    <row r="3318" spans="2:16" ht="15" hidden="1" outlineLevel="2" x14ac:dyDescent="0.25">
      <c r="B3318" t="str">
        <f>+C3318&amp;D3318&amp;E3318&amp;F3318</f>
        <v>AmericasResultsTotal Raw Material Biodiesel (Pyr)USD/ton</v>
      </c>
      <c r="C3318" s="494" t="str">
        <f>+$C$3314</f>
        <v>Americas</v>
      </c>
      <c r="D3318" s="30" t="s">
        <v>838</v>
      </c>
      <c r="E3318" s="228" t="s">
        <v>1347</v>
      </c>
      <c r="F3318" s="127" t="s">
        <v>205</v>
      </c>
      <c r="G3318" s="490">
        <f>+G3341+G3331</f>
        <v>581.99393817778309</v>
      </c>
      <c r="H3318" s="490">
        <f t="shared" ref="H3318:M3318" si="1919">+H3341+H3331</f>
        <v>556.82321068360102</v>
      </c>
      <c r="I3318" s="490">
        <f t="shared" si="1919"/>
        <v>579.32757901987418</v>
      </c>
      <c r="J3318" s="490">
        <f t="shared" si="1919"/>
        <v>642.2892851417389</v>
      </c>
      <c r="K3318" s="490">
        <f t="shared" si="1919"/>
        <v>652.78005120099408</v>
      </c>
      <c r="L3318" s="490">
        <f t="shared" si="1919"/>
        <v>658.79860524177377</v>
      </c>
      <c r="M3318" s="490">
        <f t="shared" si="1919"/>
        <v>629.59624108709249</v>
      </c>
      <c r="N3318" s="490"/>
      <c r="P3318" t="s">
        <v>1362</v>
      </c>
    </row>
    <row r="3319" spans="2:16" hidden="1" outlineLevel="2" x14ac:dyDescent="0.2">
      <c r="C3319" s="494"/>
      <c r="E3319" s="48"/>
      <c r="F3319" s="128"/>
      <c r="G3319" s="8"/>
      <c r="H3319" s="8"/>
      <c r="I3319" s="8"/>
      <c r="J3319" s="8"/>
      <c r="K3319" s="8"/>
      <c r="L3319" s="8"/>
      <c r="M3319" s="8"/>
    </row>
    <row r="3320" spans="2:16" hidden="1" outlineLevel="2" x14ac:dyDescent="0.2">
      <c r="B3320" t="str">
        <f>+C3320&amp;D3320&amp;E3320&amp;F3320</f>
        <v>AmericasHTL PlantAnnual capex (Pyr)USD/ton oil</v>
      </c>
      <c r="C3320" s="494" t="str">
        <f>+$C$3314</f>
        <v>Americas</v>
      </c>
      <c r="D3320" t="s">
        <v>1288</v>
      </c>
      <c r="E3320" s="48" t="s">
        <v>1348</v>
      </c>
      <c r="F3320" s="128" t="s">
        <v>1349</v>
      </c>
      <c r="G3320" s="8">
        <f t="shared" ref="G3320:M3320" si="1920">G3322/G3321</f>
        <v>1027.3166666666668</v>
      </c>
      <c r="H3320" s="8">
        <f t="shared" si="1920"/>
        <v>616.3900000000001</v>
      </c>
      <c r="I3320" s="8">
        <f t="shared" si="1920"/>
        <v>205.46333333333337</v>
      </c>
      <c r="J3320" s="8">
        <f t="shared" si="1920"/>
        <v>184.91700000000006</v>
      </c>
      <c r="K3320" s="8">
        <f t="shared" si="1920"/>
        <v>178.06822222222226</v>
      </c>
      <c r="L3320" s="8">
        <f t="shared" si="1920"/>
        <v>171.21944444444452</v>
      </c>
      <c r="M3320" s="8">
        <f t="shared" si="1920"/>
        <v>164.37066666666675</v>
      </c>
    </row>
    <row r="3321" spans="2:16" hidden="1" outlineLevel="2" x14ac:dyDescent="0.2">
      <c r="B3321" t="str">
        <f>+C3321&amp;D3321&amp;E3321&amp;F3321</f>
        <v>GlobalPlant capexAnnualisation factor#</v>
      </c>
      <c r="C3321" s="494" t="s">
        <v>109</v>
      </c>
      <c r="D3321" t="s">
        <v>786</v>
      </c>
      <c r="E3321" t="s">
        <v>764</v>
      </c>
      <c r="F3321" s="450" t="s">
        <v>787</v>
      </c>
      <c r="G3321" s="532">
        <f>+INDEX('Fuel Model -  Input'!$B$3:$N$373,MATCH($B3321,'Fuel Model -  Input'!$B$3:$B$373,0),MATCH(G$2,'Fuel Model -  Input'!$B$3:$N$3,0))</f>
        <v>11.32075471698113</v>
      </c>
      <c r="H3321" s="532">
        <f>+INDEX('Fuel Model -  Input'!$B$3:$N$373,MATCH($B3321,'Fuel Model -  Input'!$B$3:$B$373,0),MATCH(H$2,'Fuel Model -  Input'!$B$3:$N$3,0))</f>
        <v>11.32075471698113</v>
      </c>
      <c r="I3321" s="532">
        <f>+INDEX('Fuel Model -  Input'!$B$3:$N$373,MATCH($B3321,'Fuel Model -  Input'!$B$3:$B$373,0),MATCH(I$2,'Fuel Model -  Input'!$B$3:$N$3,0))</f>
        <v>11.32075471698113</v>
      </c>
      <c r="J3321" s="532">
        <f>+INDEX('Fuel Model -  Input'!$B$3:$N$373,MATCH($B3321,'Fuel Model -  Input'!$B$3:$B$373,0),MATCH(J$2,'Fuel Model -  Input'!$B$3:$N$3,0))</f>
        <v>11.32075471698113</v>
      </c>
      <c r="K3321" s="532">
        <f>+INDEX('Fuel Model -  Input'!$B$3:$N$373,MATCH($B3321,'Fuel Model -  Input'!$B$3:$B$373,0),MATCH(K$2,'Fuel Model -  Input'!$B$3:$N$3,0))</f>
        <v>11.32075471698113</v>
      </c>
      <c r="L3321" s="532">
        <f>+INDEX('Fuel Model -  Input'!$B$3:$N$373,MATCH($B3321,'Fuel Model -  Input'!$B$3:$B$373,0),MATCH(L$2,'Fuel Model -  Input'!$B$3:$N$3,0))</f>
        <v>11.32075471698113</v>
      </c>
      <c r="M3321" s="532">
        <f>+INDEX('Fuel Model -  Input'!$B$3:$N$373,MATCH($B3321,'Fuel Model -  Input'!$B$3:$B$373,0),MATCH(M$2,'Fuel Model -  Input'!$B$3:$N$3,0))</f>
        <v>11.32075471698113</v>
      </c>
    </row>
    <row r="3322" spans="2:16" hidden="1" outlineLevel="2" x14ac:dyDescent="0.2">
      <c r="B3322" t="str">
        <f>+C3322&amp;D3322&amp;E3322&amp;F3322</f>
        <v>GlobalCAPEXFP plantUSD/ton FP oil capacity</v>
      </c>
      <c r="C3322" s="494" t="s">
        <v>109</v>
      </c>
      <c r="D3322" t="s">
        <v>50</v>
      </c>
      <c r="E3322" s="48" t="s">
        <v>1350</v>
      </c>
      <c r="F3322" s="128" t="s">
        <v>1351</v>
      </c>
      <c r="G3322" s="532">
        <f>+INDEX('Fuel Model -  Input'!$B$3:$N$373,MATCH($B3322,'Fuel Model -  Input'!$B$3:$B$373,0),MATCH(G$2,'Fuel Model -  Input'!$B$3:$N$3,0))</f>
        <v>11630</v>
      </c>
      <c r="H3322" s="532">
        <f>+INDEX('Fuel Model -  Input'!$B$3:$N$373,MATCH($B3322,'Fuel Model -  Input'!$B$3:$B$373,0),MATCH(H$2,'Fuel Model -  Input'!$B$3:$N$3,0))</f>
        <v>6978</v>
      </c>
      <c r="I3322" s="532">
        <f>+INDEX('Fuel Model -  Input'!$B$3:$N$373,MATCH($B3322,'Fuel Model -  Input'!$B$3:$B$373,0),MATCH(I$2,'Fuel Model -  Input'!$B$3:$N$3,0))</f>
        <v>2326</v>
      </c>
      <c r="J3322" s="532">
        <f>+INDEX('Fuel Model -  Input'!$B$3:$N$373,MATCH($B3322,'Fuel Model -  Input'!$B$3:$B$373,0),MATCH(J$2,'Fuel Model -  Input'!$B$3:$N$3,0))</f>
        <v>2093.4</v>
      </c>
      <c r="K3322" s="532">
        <f>+INDEX('Fuel Model -  Input'!$B$3:$N$373,MATCH($B3322,'Fuel Model -  Input'!$B$3:$B$373,0),MATCH(K$2,'Fuel Model -  Input'!$B$3:$N$3,0))</f>
        <v>2015.8666666666668</v>
      </c>
      <c r="L3322" s="532">
        <f>+INDEX('Fuel Model -  Input'!$B$3:$N$373,MATCH($B3322,'Fuel Model -  Input'!$B$3:$B$373,0),MATCH(L$2,'Fuel Model -  Input'!$B$3:$N$3,0))</f>
        <v>1938.3333333333337</v>
      </c>
      <c r="M3322" s="532">
        <f>+INDEX('Fuel Model -  Input'!$B$3:$N$373,MATCH($B3322,'Fuel Model -  Input'!$B$3:$B$373,0),MATCH(M$2,'Fuel Model -  Input'!$B$3:$N$3,0))</f>
        <v>1860.8000000000004</v>
      </c>
    </row>
    <row r="3323" spans="2:16" hidden="1" outlineLevel="2" x14ac:dyDescent="0.2">
      <c r="C3323" s="494"/>
      <c r="E3323" s="48"/>
      <c r="F3323" s="128"/>
      <c r="G3323" s="524"/>
      <c r="H3323" s="524"/>
      <c r="I3323" s="524"/>
      <c r="J3323" s="524"/>
      <c r="K3323" s="524"/>
      <c r="L3323" s="524"/>
      <c r="M3323" s="524"/>
    </row>
    <row r="3324" spans="2:16" hidden="1" outlineLevel="2" x14ac:dyDescent="0.2">
      <c r="B3324" t="str">
        <f>+C3324&amp;D3324&amp;E3324&amp;F3324</f>
        <v>AmericasOpexOpexUSD/ton oil</v>
      </c>
      <c r="C3324" s="494" t="str">
        <f>+$C$3314</f>
        <v>Americas</v>
      </c>
      <c r="D3324" t="s">
        <v>219</v>
      </c>
      <c r="E3324" s="48" t="s">
        <v>219</v>
      </c>
      <c r="F3324" s="128" t="s">
        <v>1349</v>
      </c>
      <c r="G3324" s="8">
        <f t="shared" ref="G3324:M3324" si="1921">G3322*G3325</f>
        <v>457.46634026927774</v>
      </c>
      <c r="H3324" s="8">
        <f t="shared" si="1921"/>
        <v>274.47980416156662</v>
      </c>
      <c r="I3324" s="8">
        <f t="shared" si="1921"/>
        <v>91.493268053855545</v>
      </c>
      <c r="J3324" s="8">
        <f t="shared" si="1921"/>
        <v>82.343941248469989</v>
      </c>
      <c r="K3324" s="8">
        <f t="shared" si="1921"/>
        <v>79.294165646674813</v>
      </c>
      <c r="L3324" s="8">
        <f t="shared" si="1921"/>
        <v>76.244390044879637</v>
      </c>
      <c r="M3324" s="8">
        <f t="shared" si="1921"/>
        <v>73.194614443084447</v>
      </c>
    </row>
    <row r="3325" spans="2:16" hidden="1" outlineLevel="2" x14ac:dyDescent="0.2">
      <c r="B3325" t="str">
        <f>+C3325&amp;D3325&amp;E3325&amp;F3325</f>
        <v>GlobalOPEXFP plant opexPercent of Capex</v>
      </c>
      <c r="C3325" s="494" t="s">
        <v>109</v>
      </c>
      <c r="D3325" t="s">
        <v>319</v>
      </c>
      <c r="E3325" s="48" t="s">
        <v>1352</v>
      </c>
      <c r="F3325" s="128" t="s">
        <v>883</v>
      </c>
      <c r="G3325" s="531">
        <f>INDEX('Fuel Model -  Input'!$B$3:$N$373,MATCH($B3325,'Fuel Model -  Input'!$B$3:$B$373,0),MATCH(G$2,'Fuel Model -  Input'!$B$3:$N$3,0))</f>
        <v>3.9335024958665324E-2</v>
      </c>
      <c r="H3325" s="531">
        <f>INDEX('Fuel Model -  Input'!$B$3:$N$373,MATCH($B3325,'Fuel Model -  Input'!$B$3:$B$373,0),MATCH(H$2,'Fuel Model -  Input'!$B$3:$N$3,0))</f>
        <v>3.9335024958665324E-2</v>
      </c>
      <c r="I3325" s="531">
        <f>INDEX('Fuel Model -  Input'!$B$3:$N$373,MATCH($B3325,'Fuel Model -  Input'!$B$3:$B$373,0),MATCH(I$2,'Fuel Model -  Input'!$B$3:$N$3,0))</f>
        <v>3.9335024958665324E-2</v>
      </c>
      <c r="J3325" s="531">
        <f>INDEX('Fuel Model -  Input'!$B$3:$N$373,MATCH($B3325,'Fuel Model -  Input'!$B$3:$B$373,0),MATCH(J$2,'Fuel Model -  Input'!$B$3:$N$3,0))</f>
        <v>3.9335024958665324E-2</v>
      </c>
      <c r="K3325" s="531">
        <f>INDEX('Fuel Model -  Input'!$B$3:$N$373,MATCH($B3325,'Fuel Model -  Input'!$B$3:$B$373,0),MATCH(K$2,'Fuel Model -  Input'!$B$3:$N$3,0))</f>
        <v>3.9335024958665324E-2</v>
      </c>
      <c r="L3325" s="531">
        <f>INDEX('Fuel Model -  Input'!$B$3:$N$373,MATCH($B3325,'Fuel Model -  Input'!$B$3:$B$373,0),MATCH(L$2,'Fuel Model -  Input'!$B$3:$N$3,0))</f>
        <v>3.9335024958665324E-2</v>
      </c>
      <c r="M3325" s="531">
        <f>INDEX('Fuel Model -  Input'!$B$3:$N$373,MATCH($B3325,'Fuel Model -  Input'!$B$3:$B$373,0),MATCH(M$2,'Fuel Model -  Input'!$B$3:$N$3,0))</f>
        <v>3.9335024958665324E-2</v>
      </c>
    </row>
    <row r="3326" spans="2:16" hidden="1" outlineLevel="2" x14ac:dyDescent="0.2">
      <c r="C3326" s="494"/>
      <c r="E3326" s="48"/>
      <c r="F3326" s="128"/>
      <c r="G3326" s="520"/>
      <c r="H3326" s="520"/>
      <c r="I3326" s="520"/>
      <c r="J3326" s="520"/>
      <c r="K3326" s="520"/>
      <c r="L3326" s="520"/>
      <c r="M3326" s="520"/>
    </row>
    <row r="3327" spans="2:16" hidden="1" outlineLevel="2" x14ac:dyDescent="0.2">
      <c r="B3327" t="str">
        <f>+C3327&amp;D3327&amp;E3327&amp;F3327</f>
        <v>AmericasElectricityTotal (Pyr)USD/ ton oil</v>
      </c>
      <c r="C3327" s="494" t="str">
        <f>+$C$3314</f>
        <v>Americas</v>
      </c>
      <c r="D3327" t="s">
        <v>54</v>
      </c>
      <c r="E3327" s="48" t="s">
        <v>1353</v>
      </c>
      <c r="F3327" s="128" t="s">
        <v>1354</v>
      </c>
      <c r="G3327" s="8">
        <f t="shared" ref="G3327:M3327" si="1922">G3329*G3328</f>
        <v>22.739397596855792</v>
      </c>
      <c r="H3327" s="8">
        <f t="shared" si="1922"/>
        <v>20.522611311759174</v>
      </c>
      <c r="I3327" s="8">
        <f t="shared" si="1922"/>
        <v>16.77537200952181</v>
      </c>
      <c r="J3327" s="8">
        <f t="shared" si="1922"/>
        <v>14.972110490951195</v>
      </c>
      <c r="K3327" s="8">
        <f t="shared" si="1922"/>
        <v>13.510342347819284</v>
      </c>
      <c r="L3327" s="8">
        <f t="shared" si="1922"/>
        <v>12.921442487746027</v>
      </c>
      <c r="M3327" s="8">
        <f t="shared" si="1922"/>
        <v>12.47715922596317</v>
      </c>
    </row>
    <row r="3328" spans="2:16" hidden="1" outlineLevel="2" x14ac:dyDescent="0.2">
      <c r="B3328" t="str">
        <f>+C3328&amp;D3328&amp;E3328&amp;F3328</f>
        <v>GlobalFeedstockFP plant electricity demandMWh/ton fuel</v>
      </c>
      <c r="C3328" s="494" t="s">
        <v>109</v>
      </c>
      <c r="D3328" t="s">
        <v>777</v>
      </c>
      <c r="E3328" s="48" t="s">
        <v>1355</v>
      </c>
      <c r="F3328" s="128" t="s">
        <v>1298</v>
      </c>
      <c r="G3328" s="521">
        <f>INDEX('Fuel Model -  Input'!$B$3:$N$373,MATCH($B3328,'Fuel Model -  Input'!$B$3:$B$373,0),MATCH(G$2,'Fuel Model -  Input'!$B$3:$N$3,0))</f>
        <v>0.58356415446901266</v>
      </c>
      <c r="H3328" s="521">
        <f>INDEX('Fuel Model -  Input'!$B$3:$N$373,MATCH($B3328,'Fuel Model -  Input'!$B$3:$B$373,0),MATCH(H$2,'Fuel Model -  Input'!$B$3:$N$3,0))</f>
        <v>0.58356415446901266</v>
      </c>
      <c r="I3328" s="521">
        <f>INDEX('Fuel Model -  Input'!$B$3:$N$373,MATCH($B3328,'Fuel Model -  Input'!$B$3:$B$373,0),MATCH(I$2,'Fuel Model -  Input'!$B$3:$N$3,0))</f>
        <v>0.58356415446901266</v>
      </c>
      <c r="J3328" s="521">
        <f>INDEX('Fuel Model -  Input'!$B$3:$N$373,MATCH($B3328,'Fuel Model -  Input'!$B$3:$B$373,0),MATCH(J$2,'Fuel Model -  Input'!$B$3:$N$3,0))</f>
        <v>0.58356415446901266</v>
      </c>
      <c r="K3328" s="521">
        <f>INDEX('Fuel Model -  Input'!$B$3:$N$373,MATCH($B3328,'Fuel Model -  Input'!$B$3:$B$373,0),MATCH(K$2,'Fuel Model -  Input'!$B$3:$N$3,0))</f>
        <v>0.58356415446901266</v>
      </c>
      <c r="L3328" s="521">
        <f>INDEX('Fuel Model -  Input'!$B$3:$N$373,MATCH($B3328,'Fuel Model -  Input'!$B$3:$B$373,0),MATCH(L$2,'Fuel Model -  Input'!$B$3:$N$3,0))</f>
        <v>0.58356415446901266</v>
      </c>
      <c r="M3328" s="521">
        <f>INDEX('Fuel Model -  Input'!$B$3:$N$373,MATCH($B3328,'Fuel Model -  Input'!$B$3:$B$373,0),MATCH(M$2,'Fuel Model -  Input'!$B$3:$N$3,0))</f>
        <v>0.58356415446901266</v>
      </c>
    </row>
    <row r="3329" spans="2:13" hidden="1" outlineLevel="2" x14ac:dyDescent="0.2">
      <c r="B3329" t="str">
        <f>+C3329&amp;D3329&amp;E3329&amp;F3329</f>
        <v>AmericasFeedstockElectricityUSD/MWh</v>
      </c>
      <c r="C3329" s="494" t="str">
        <f>+$C$3314</f>
        <v>Americas</v>
      </c>
      <c r="D3329" t="s">
        <v>777</v>
      </c>
      <c r="E3329" s="48" t="s">
        <v>54</v>
      </c>
      <c r="F3329" s="128" t="s">
        <v>196</v>
      </c>
      <c r="G3329" s="521">
        <f>INDEX('Fuel Model -  Input'!$B$3:$N$373,MATCH($B3329,'Fuel Model -  Input'!$B$3:$B$373,0),MATCH(G$2,'Fuel Model -  Input'!$B$3:$N$3,0))</f>
        <v>38.96640570315094</v>
      </c>
      <c r="H3329" s="521">
        <f>INDEX('Fuel Model -  Input'!$B$3:$N$373,MATCH($B3329,'Fuel Model -  Input'!$B$3:$B$373,0),MATCH(H$2,'Fuel Model -  Input'!$B$3:$N$3,0))</f>
        <v>35.167703764177872</v>
      </c>
      <c r="I3329" s="521">
        <f>INDEX('Fuel Model -  Input'!$B$3:$N$373,MATCH($B3329,'Fuel Model -  Input'!$B$3:$B$373,0),MATCH(I$2,'Fuel Model -  Input'!$B$3:$N$3,0))</f>
        <v>28.746405825398561</v>
      </c>
      <c r="J3329" s="521">
        <f>INDEX('Fuel Model -  Input'!$B$3:$N$373,MATCH($B3329,'Fuel Model -  Input'!$B$3:$B$373,0),MATCH(J$2,'Fuel Model -  Input'!$B$3:$N$3,0))</f>
        <v>25.656323090259679</v>
      </c>
      <c r="K3329" s="521">
        <f>INDEX('Fuel Model -  Input'!$B$3:$N$373,MATCH($B3329,'Fuel Model -  Input'!$B$3:$B$373,0),MATCH(K$2,'Fuel Model -  Input'!$B$3:$N$3,0))</f>
        <v>23.151426016069131</v>
      </c>
      <c r="L3329" s="521">
        <f>INDEX('Fuel Model -  Input'!$B$3:$N$373,MATCH($B3329,'Fuel Model -  Input'!$B$3:$B$373,0),MATCH(L$2,'Fuel Model -  Input'!$B$3:$N$3,0))</f>
        <v>22.142282710121734</v>
      </c>
      <c r="M3329" s="521">
        <f>INDEX('Fuel Model -  Input'!$B$3:$N$373,MATCH($B3329,'Fuel Model -  Input'!$B$3:$B$373,0),MATCH(M$2,'Fuel Model -  Input'!$B$3:$N$3,0))</f>
        <v>21.380955513479382</v>
      </c>
    </row>
    <row r="3330" spans="2:13" hidden="1" outlineLevel="2" x14ac:dyDescent="0.2">
      <c r="C3330" s="494"/>
      <c r="E3330" s="48"/>
      <c r="F3330" s="128"/>
      <c r="G3330" s="520"/>
      <c r="H3330" s="520"/>
      <c r="I3330" s="520"/>
      <c r="J3330" s="520"/>
      <c r="K3330" s="520"/>
      <c r="L3330" s="520"/>
      <c r="M3330" s="520"/>
    </row>
    <row r="3331" spans="2:13" hidden="1" outlineLevel="2" x14ac:dyDescent="0.2">
      <c r="B3331" t="str">
        <f t="shared" ref="B3331:B3339" si="1923">+C3331&amp;D3331&amp;E3331&amp;F3331</f>
        <v>AmericasElectricityTotal hydrogenUSD/ ton HTL oil</v>
      </c>
      <c r="C3331" s="494" t="str">
        <f>+$C$3314</f>
        <v>Americas</v>
      </c>
      <c r="D3331" t="s">
        <v>54</v>
      </c>
      <c r="E3331" s="48" t="s">
        <v>1299</v>
      </c>
      <c r="F3331" s="128" t="s">
        <v>1296</v>
      </c>
      <c r="G3331" s="8">
        <f>G3333*G3332</f>
        <v>247.10997291816409</v>
      </c>
      <c r="H3331" s="8">
        <f t="shared" ref="H3331" si="1924">H3333*H3332</f>
        <v>206.18</v>
      </c>
      <c r="I3331" s="8">
        <f t="shared" ref="I3331" si="1925">I3333*I3332</f>
        <v>208.98531155629561</v>
      </c>
      <c r="J3331" s="8">
        <f t="shared" ref="J3331" si="1926">J3333*J3332</f>
        <v>256.1877722541783</v>
      </c>
      <c r="K3331" s="8">
        <f t="shared" ref="K3331" si="1927">K3333*K3332</f>
        <v>250.91929288945133</v>
      </c>
      <c r="L3331" s="8">
        <f t="shared" ref="L3331" si="1928">L3333*L3332</f>
        <v>237.23879015025349</v>
      </c>
      <c r="M3331" s="8">
        <f t="shared" ref="M3331" si="1929">M3333*M3332</f>
        <v>192.27718057159012</v>
      </c>
    </row>
    <row r="3332" spans="2:13" hidden="1" outlineLevel="2" x14ac:dyDescent="0.2">
      <c r="B3332" t="str">
        <f t="shared" si="1923"/>
        <v>GlobalFeedstockConversion Hydrogen : FP oilTon feedstock / ton fuel</v>
      </c>
      <c r="C3332" s="494" t="s">
        <v>109</v>
      </c>
      <c r="D3332" t="s">
        <v>777</v>
      </c>
      <c r="E3332" s="48" t="s">
        <v>1356</v>
      </c>
      <c r="F3332" s="128" t="s">
        <v>1241</v>
      </c>
      <c r="G3332" s="521">
        <f>INDEX('Fuel Model -  Input'!$B$3:$N$373,MATCH($B3332,'Fuel Model -  Input'!$B$3:$B$373,0),MATCH(G$2,'Fuel Model -  Input'!$B$3:$N$3,0))</f>
        <v>0.13</v>
      </c>
      <c r="H3332" s="521">
        <f>INDEX('Fuel Model -  Input'!$B$3:$N$373,MATCH($B3332,'Fuel Model -  Input'!$B$3:$B$373,0),MATCH(H$2,'Fuel Model -  Input'!$B$3:$N$3,0))</f>
        <v>0.13</v>
      </c>
      <c r="I3332" s="521">
        <f>INDEX('Fuel Model -  Input'!$B$3:$N$373,MATCH($B3332,'Fuel Model -  Input'!$B$3:$B$373,0),MATCH(I$2,'Fuel Model -  Input'!$B$3:$N$3,0))</f>
        <v>0.13</v>
      </c>
      <c r="J3332" s="521">
        <f>INDEX('Fuel Model -  Input'!$B$3:$N$373,MATCH($B3332,'Fuel Model -  Input'!$B$3:$B$373,0),MATCH(J$2,'Fuel Model -  Input'!$B$3:$N$3,0))</f>
        <v>0.13</v>
      </c>
      <c r="K3332" s="521">
        <f>INDEX('Fuel Model -  Input'!$B$3:$N$373,MATCH($B3332,'Fuel Model -  Input'!$B$3:$B$373,0),MATCH(K$2,'Fuel Model -  Input'!$B$3:$N$3,0))</f>
        <v>0.13</v>
      </c>
      <c r="L3332" s="521">
        <f>INDEX('Fuel Model -  Input'!$B$3:$N$373,MATCH($B3332,'Fuel Model -  Input'!$B$3:$B$373,0),MATCH(L$2,'Fuel Model -  Input'!$B$3:$N$3,0))</f>
        <v>0.13</v>
      </c>
      <c r="M3332" s="521">
        <f>INDEX('Fuel Model -  Input'!$B$3:$N$373,MATCH($B3332,'Fuel Model -  Input'!$B$3:$B$373,0),MATCH(M$2,'Fuel Model -  Input'!$B$3:$N$3,0))</f>
        <v>0.13</v>
      </c>
    </row>
    <row r="3333" spans="2:13" hidden="1" outlineLevel="2" x14ac:dyDescent="0.2">
      <c r="B3333" t="str">
        <f t="shared" si="1923"/>
        <v>AmericasFeedstockWeighted hydrogen costUSD/ton</v>
      </c>
      <c r="C3333" s="494" t="str">
        <f t="shared" ref="C3333:C3339" si="1930">+$C$3314</f>
        <v>Americas</v>
      </c>
      <c r="D3333" t="s">
        <v>777</v>
      </c>
      <c r="E3333" s="48" t="s">
        <v>1301</v>
      </c>
      <c r="F3333" s="128" t="s">
        <v>205</v>
      </c>
      <c r="G3333" s="337">
        <f>SUMPRODUCT(G3334:G3336,G3337:G3339)</f>
        <v>1900.8459455243392</v>
      </c>
      <c r="H3333" s="337">
        <f t="shared" ref="H3333" si="1931">SUMPRODUCT(H3334:H3336,H3337:H3339)</f>
        <v>1586</v>
      </c>
      <c r="I3333" s="337">
        <f t="shared" ref="I3333" si="1932">SUMPRODUCT(I3334:I3336,I3337:I3339)</f>
        <v>1607.5793196638124</v>
      </c>
      <c r="J3333" s="337">
        <f t="shared" ref="J3333" si="1933">SUMPRODUCT(J3334:J3336,J3337:J3339)</f>
        <v>1970.675171185987</v>
      </c>
      <c r="K3333" s="337">
        <f t="shared" ref="K3333" si="1934">SUMPRODUCT(K3334:K3336,K3337:K3339)</f>
        <v>1930.1484068419331</v>
      </c>
      <c r="L3333" s="337">
        <f t="shared" ref="L3333" si="1935">SUMPRODUCT(L3334:L3336,L3337:L3339)</f>
        <v>1824.9137703865654</v>
      </c>
      <c r="M3333" s="337">
        <f t="shared" ref="M3333" si="1936">SUMPRODUCT(M3334:M3336,M3337:M3339)</f>
        <v>1479.0552351660779</v>
      </c>
    </row>
    <row r="3334" spans="2:13" hidden="1" outlineLevel="2" x14ac:dyDescent="0.2">
      <c r="B3334" t="str">
        <f t="shared" si="1923"/>
        <v>GlobalFeedstockFP hydrogen fraction - Grey%</v>
      </c>
      <c r="C3334" s="494" t="s">
        <v>109</v>
      </c>
      <c r="D3334" t="s">
        <v>777</v>
      </c>
      <c r="E3334" s="48" t="s">
        <v>1357</v>
      </c>
      <c r="F3334" t="s">
        <v>178</v>
      </c>
      <c r="G3334" s="531">
        <f>INDEX('Fuel Model -  Input'!$B$3:$N$373,MATCH($B3334,'Fuel Model -  Input'!$B$3:$B$373,0),MATCH(G$2,'Fuel Model -  Input'!$B$3:$N$3,0))</f>
        <v>1</v>
      </c>
      <c r="H3334" s="531">
        <f>INDEX('Fuel Model -  Input'!$B$3:$N$373,MATCH($B3334,'Fuel Model -  Input'!$B$3:$B$373,0),MATCH(H$2,'Fuel Model -  Input'!$B$3:$N$3,0))</f>
        <v>0.7</v>
      </c>
      <c r="I3334" s="531">
        <f>INDEX('Fuel Model -  Input'!$B$3:$N$373,MATCH($B3334,'Fuel Model -  Input'!$B$3:$B$373,0),MATCH(I$2,'Fuel Model -  Input'!$B$3:$N$3,0))</f>
        <v>0.5</v>
      </c>
      <c r="J3334" s="531">
        <f>INDEX('Fuel Model -  Input'!$B$3:$N$373,MATCH($B3334,'Fuel Model -  Input'!$B$3:$B$373,0),MATCH(J$2,'Fuel Model -  Input'!$B$3:$N$3,0))</f>
        <v>0</v>
      </c>
      <c r="K3334" s="531">
        <f>INDEX('Fuel Model -  Input'!$B$3:$N$373,MATCH($B3334,'Fuel Model -  Input'!$B$3:$B$373,0),MATCH(K$2,'Fuel Model -  Input'!$B$3:$N$3,0))</f>
        <v>0</v>
      </c>
      <c r="L3334" s="531">
        <f>INDEX('Fuel Model -  Input'!$B$3:$N$373,MATCH($B3334,'Fuel Model -  Input'!$B$3:$B$373,0),MATCH(L$2,'Fuel Model -  Input'!$B$3:$N$3,0))</f>
        <v>0</v>
      </c>
      <c r="M3334" s="531">
        <f>INDEX('Fuel Model -  Input'!$B$3:$N$373,MATCH($B3334,'Fuel Model -  Input'!$B$3:$B$373,0),MATCH(M$2,'Fuel Model -  Input'!$B$3:$N$3,0))</f>
        <v>0</v>
      </c>
    </row>
    <row r="3335" spans="2:13" hidden="1" outlineLevel="2" x14ac:dyDescent="0.2">
      <c r="B3335" t="str">
        <f t="shared" si="1923"/>
        <v>GlobalFeedstockFP hydrogen fraction - Blue%</v>
      </c>
      <c r="C3335" s="494" t="s">
        <v>109</v>
      </c>
      <c r="D3335" t="s">
        <v>777</v>
      </c>
      <c r="E3335" s="48" t="s">
        <v>1358</v>
      </c>
      <c r="F3335" t="s">
        <v>178</v>
      </c>
      <c r="G3335" s="531">
        <f>INDEX('Fuel Model -  Input'!$B$3:$N$373,MATCH($B3335,'Fuel Model -  Input'!$B$3:$B$373,0),MATCH(G$2,'Fuel Model -  Input'!$B$3:$N$3,0))</f>
        <v>0</v>
      </c>
      <c r="H3335" s="531">
        <f>INDEX('Fuel Model -  Input'!$B$3:$N$373,MATCH($B3335,'Fuel Model -  Input'!$B$3:$B$373,0),MATCH(H$2,'Fuel Model -  Input'!$B$3:$N$3,0))</f>
        <v>0.3</v>
      </c>
      <c r="I3335" s="531">
        <f>INDEX('Fuel Model -  Input'!$B$3:$N$373,MATCH($B3335,'Fuel Model -  Input'!$B$3:$B$373,0),MATCH(I$2,'Fuel Model -  Input'!$B$3:$N$3,0))</f>
        <v>0.5</v>
      </c>
      <c r="J3335" s="531">
        <f>INDEX('Fuel Model -  Input'!$B$3:$N$373,MATCH($B3335,'Fuel Model -  Input'!$B$3:$B$373,0),MATCH(J$2,'Fuel Model -  Input'!$B$3:$N$3,0))</f>
        <v>1</v>
      </c>
      <c r="K3335" s="531">
        <f>INDEX('Fuel Model -  Input'!$B$3:$N$373,MATCH($B3335,'Fuel Model -  Input'!$B$3:$B$373,0),MATCH(K$2,'Fuel Model -  Input'!$B$3:$N$3,0))</f>
        <v>0.9</v>
      </c>
      <c r="L3335" s="531">
        <f>INDEX('Fuel Model -  Input'!$B$3:$N$373,MATCH($B3335,'Fuel Model -  Input'!$B$3:$B$373,0),MATCH(L$2,'Fuel Model -  Input'!$B$3:$N$3,0))</f>
        <v>0.7</v>
      </c>
      <c r="M3335" s="531">
        <f>INDEX('Fuel Model -  Input'!$B$3:$N$373,MATCH($B3335,'Fuel Model -  Input'!$B$3:$B$373,0),MATCH(M$2,'Fuel Model -  Input'!$B$3:$N$3,0))</f>
        <v>0.2</v>
      </c>
    </row>
    <row r="3336" spans="2:13" hidden="1" outlineLevel="2" x14ac:dyDescent="0.2">
      <c r="B3336" t="str">
        <f t="shared" si="1923"/>
        <v>GlobalFeedstockFP hydrogen fraction - Green%</v>
      </c>
      <c r="C3336" s="494" t="s">
        <v>109</v>
      </c>
      <c r="D3336" t="s">
        <v>777</v>
      </c>
      <c r="E3336" s="48" t="s">
        <v>1359</v>
      </c>
      <c r="F3336" t="s">
        <v>178</v>
      </c>
      <c r="G3336" s="531">
        <f>INDEX('Fuel Model -  Input'!$B$3:$N$373,MATCH($B3336,'Fuel Model -  Input'!$B$3:$B$373,0),MATCH(G$2,'Fuel Model -  Input'!$B$3:$N$3,0))</f>
        <v>0</v>
      </c>
      <c r="H3336" s="531">
        <f>INDEX('Fuel Model -  Input'!$B$3:$N$373,MATCH($B3336,'Fuel Model -  Input'!$B$3:$B$373,0),MATCH(H$2,'Fuel Model -  Input'!$B$3:$N$3,0))</f>
        <v>0</v>
      </c>
      <c r="I3336" s="531">
        <f>INDEX('Fuel Model -  Input'!$B$3:$N$373,MATCH($B3336,'Fuel Model -  Input'!$B$3:$B$373,0),MATCH(I$2,'Fuel Model -  Input'!$B$3:$N$3,0))</f>
        <v>0</v>
      </c>
      <c r="J3336" s="531">
        <f>INDEX('Fuel Model -  Input'!$B$3:$N$373,MATCH($B3336,'Fuel Model -  Input'!$B$3:$B$373,0),MATCH(J$2,'Fuel Model -  Input'!$B$3:$N$3,0))</f>
        <v>0</v>
      </c>
      <c r="K3336" s="531">
        <f>INDEX('Fuel Model -  Input'!$B$3:$N$373,MATCH($B3336,'Fuel Model -  Input'!$B$3:$B$373,0),MATCH(K$2,'Fuel Model -  Input'!$B$3:$N$3,0))</f>
        <v>0.1</v>
      </c>
      <c r="L3336" s="531">
        <f>INDEX('Fuel Model -  Input'!$B$3:$N$373,MATCH($B3336,'Fuel Model -  Input'!$B$3:$B$373,0),MATCH(L$2,'Fuel Model -  Input'!$B$3:$N$3,0))</f>
        <v>0.3</v>
      </c>
      <c r="M3336" s="531">
        <f>INDEX('Fuel Model -  Input'!$B$3:$N$373,MATCH($B3336,'Fuel Model -  Input'!$B$3:$B$373,0),MATCH(M$2,'Fuel Model -  Input'!$B$3:$N$3,0))</f>
        <v>0.8</v>
      </c>
    </row>
    <row r="3337" spans="2:13" hidden="1" outlineLevel="2" x14ac:dyDescent="0.2">
      <c r="B3337" t="str">
        <f t="shared" si="1923"/>
        <v>AmericasResultsCost of Grey HydrogenUSD/ton</v>
      </c>
      <c r="C3337" s="494" t="str">
        <f t="shared" si="1930"/>
        <v>Americas</v>
      </c>
      <c r="D3337" t="s">
        <v>838</v>
      </c>
      <c r="E3337" s="48" t="s">
        <v>1161</v>
      </c>
      <c r="F3337" s="128" t="s">
        <v>205</v>
      </c>
      <c r="G3337" s="532">
        <f t="shared" ref="G3337:M3339" si="1937">+INDEX(G$2:G$2521,MATCH($B3337,$B$2:$B$2521,0))</f>
        <v>1900.8459455243392</v>
      </c>
      <c r="H3337" s="532">
        <f t="shared" si="1937"/>
        <v>1383.5</v>
      </c>
      <c r="I3337" s="532">
        <f t="shared" si="1937"/>
        <v>1272.3599340263124</v>
      </c>
      <c r="J3337" s="532">
        <f t="shared" si="1937"/>
        <v>1304.7668067109871</v>
      </c>
      <c r="K3337" s="532">
        <f t="shared" si="1937"/>
        <v>1242.0068973465814</v>
      </c>
      <c r="L3337" s="532">
        <f t="shared" si="1937"/>
        <v>1185.4953042493964</v>
      </c>
      <c r="M3337" s="532">
        <f t="shared" si="1937"/>
        <v>1134.3333333333335</v>
      </c>
    </row>
    <row r="3338" spans="2:13" hidden="1" outlineLevel="2" x14ac:dyDescent="0.2">
      <c r="B3338" t="str">
        <f t="shared" si="1923"/>
        <v>AmericasResultsCost of Blue HydrogenUSD/ton</v>
      </c>
      <c r="C3338" s="494" t="str">
        <f t="shared" si="1930"/>
        <v>Americas</v>
      </c>
      <c r="D3338" t="s">
        <v>838</v>
      </c>
      <c r="E3338" s="48" t="s">
        <v>1200</v>
      </c>
      <c r="F3338" s="128" t="s">
        <v>205</v>
      </c>
      <c r="G3338" s="532">
        <f t="shared" si="1937"/>
        <v>2580.4382058743395</v>
      </c>
      <c r="H3338" s="532">
        <f t="shared" si="1937"/>
        <v>2058.5</v>
      </c>
      <c r="I3338" s="532">
        <f t="shared" si="1937"/>
        <v>1942.7987053013123</v>
      </c>
      <c r="J3338" s="532">
        <f t="shared" si="1937"/>
        <v>1970.675171185987</v>
      </c>
      <c r="K3338" s="532">
        <f t="shared" si="1937"/>
        <v>1903.4154686715815</v>
      </c>
      <c r="L3338" s="532">
        <f t="shared" si="1937"/>
        <v>1842.4344892993963</v>
      </c>
      <c r="M3338" s="532">
        <f t="shared" si="1937"/>
        <v>1786.8333333333335</v>
      </c>
    </row>
    <row r="3339" spans="2:13" hidden="1" outlineLevel="2" x14ac:dyDescent="0.2">
      <c r="B3339" t="str">
        <f t="shared" si="1923"/>
        <v>AmericasResultsCost of e-HydrogenUSD/ton</v>
      </c>
      <c r="C3339" s="494" t="str">
        <f t="shared" si="1930"/>
        <v>Americas</v>
      </c>
      <c r="D3339" t="s">
        <v>838</v>
      </c>
      <c r="E3339" s="48" t="s">
        <v>853</v>
      </c>
      <c r="F3339" s="128" t="s">
        <v>205</v>
      </c>
      <c r="G3339" s="532">
        <f t="shared" si="1937"/>
        <v>3876.636356716002</v>
      </c>
      <c r="H3339" s="532">
        <f t="shared" si="1937"/>
        <v>3366.8410169683852</v>
      </c>
      <c r="I3339" s="532">
        <f t="shared" si="1937"/>
        <v>2771.1287882193769</v>
      </c>
      <c r="J3339" s="532">
        <f t="shared" si="1937"/>
        <v>2535.0751190319434</v>
      </c>
      <c r="K3339" s="532">
        <f t="shared" si="1937"/>
        <v>2170.7448503750957</v>
      </c>
      <c r="L3339" s="532">
        <f t="shared" si="1937"/>
        <v>1784.032092923293</v>
      </c>
      <c r="M3339" s="532">
        <f t="shared" si="1937"/>
        <v>1402.1107106242639</v>
      </c>
    </row>
    <row r="3340" spans="2:13" hidden="1" outlineLevel="2" x14ac:dyDescent="0.2">
      <c r="C3340" s="494"/>
      <c r="E3340" s="48"/>
      <c r="F3340" s="128"/>
      <c r="G3340" s="532"/>
      <c r="H3340" s="532"/>
      <c r="I3340" s="532"/>
      <c r="J3340" s="532"/>
      <c r="K3340" s="532"/>
      <c r="L3340" s="532"/>
      <c r="M3340" s="532"/>
    </row>
    <row r="3341" spans="2:13" hidden="1" outlineLevel="2" x14ac:dyDescent="0.2">
      <c r="B3341" t="str">
        <f>+C3341&amp;D3341&amp;E3341&amp;F3341</f>
        <v>AmericasFeedstockWood biomass to pyrolysis oilUSD/ton oil</v>
      </c>
      <c r="C3341" s="494" t="str">
        <f>+$C$3314</f>
        <v>Americas</v>
      </c>
      <c r="D3341" t="s">
        <v>777</v>
      </c>
      <c r="E3341" s="48" t="s">
        <v>1360</v>
      </c>
      <c r="F3341" s="128" t="s">
        <v>1349</v>
      </c>
      <c r="G3341" s="8">
        <f t="shared" ref="G3341:M3341" si="1938">G3343*G3342</f>
        <v>334.88396525961895</v>
      </c>
      <c r="H3341" s="8">
        <f t="shared" si="1938"/>
        <v>350.64321068360101</v>
      </c>
      <c r="I3341" s="8">
        <f t="shared" si="1938"/>
        <v>370.34226746357859</v>
      </c>
      <c r="J3341" s="8">
        <f t="shared" si="1938"/>
        <v>386.10151288756066</v>
      </c>
      <c r="K3341" s="8">
        <f t="shared" si="1938"/>
        <v>401.86075831154272</v>
      </c>
      <c r="L3341" s="8">
        <f t="shared" si="1938"/>
        <v>421.55981509152031</v>
      </c>
      <c r="M3341" s="8">
        <f t="shared" si="1938"/>
        <v>437.31906051550237</v>
      </c>
    </row>
    <row r="3342" spans="2:13" hidden="1" outlineLevel="2" x14ac:dyDescent="0.2">
      <c r="B3342" t="str">
        <f>+C3342&amp;D3342&amp;E3342&amp;F3342</f>
        <v>GlobalFeedstockConversion Dry Wood biomass : FP oilTon feedstock / ton fuel</v>
      </c>
      <c r="C3342" s="494" t="s">
        <v>109</v>
      </c>
      <c r="D3342" t="s">
        <v>777</v>
      </c>
      <c r="E3342" s="48" t="s">
        <v>1361</v>
      </c>
      <c r="F3342" s="128" t="s">
        <v>1241</v>
      </c>
      <c r="G3342" s="521">
        <f>+INDEX('Fuel Model -  Input'!$B$3:$N$373,MATCH($B3342,'Fuel Model -  Input'!$B$3:$B$373,0),MATCH(G$2,'Fuel Model -  Input'!$B$3:$N$3,0))</f>
        <v>3.9398113559955168</v>
      </c>
      <c r="H3342" s="521">
        <f>+INDEX('Fuel Model -  Input'!$B$3:$N$373,MATCH($B3342,'Fuel Model -  Input'!$B$3:$B$373,0),MATCH(H$2,'Fuel Model -  Input'!$B$3:$N$3,0))</f>
        <v>3.9398113559955168</v>
      </c>
      <c r="I3342" s="521">
        <f>+INDEX('Fuel Model -  Input'!$B$3:$N$373,MATCH($B3342,'Fuel Model -  Input'!$B$3:$B$373,0),MATCH(I$2,'Fuel Model -  Input'!$B$3:$N$3,0))</f>
        <v>3.9398113559955168</v>
      </c>
      <c r="J3342" s="521">
        <f>+INDEX('Fuel Model -  Input'!$B$3:$N$373,MATCH($B3342,'Fuel Model -  Input'!$B$3:$B$373,0),MATCH(J$2,'Fuel Model -  Input'!$B$3:$N$3,0))</f>
        <v>3.9398113559955168</v>
      </c>
      <c r="K3342" s="521">
        <f>+INDEX('Fuel Model -  Input'!$B$3:$N$373,MATCH($B3342,'Fuel Model -  Input'!$B$3:$B$373,0),MATCH(K$2,'Fuel Model -  Input'!$B$3:$N$3,0))</f>
        <v>3.9398113559955168</v>
      </c>
      <c r="L3342" s="521">
        <f>+INDEX('Fuel Model -  Input'!$B$3:$N$373,MATCH($B3342,'Fuel Model -  Input'!$B$3:$B$373,0),MATCH(L$2,'Fuel Model -  Input'!$B$3:$N$3,0))</f>
        <v>3.9398113559955168</v>
      </c>
      <c r="M3342" s="521">
        <f>+INDEX('Fuel Model -  Input'!$B$3:$N$373,MATCH($B3342,'Fuel Model -  Input'!$B$3:$B$373,0),MATCH(M$2,'Fuel Model -  Input'!$B$3:$N$3,0))</f>
        <v>3.9398113559955168</v>
      </c>
    </row>
    <row r="3343" spans="2:13" hidden="1" outlineLevel="2" x14ac:dyDescent="0.2">
      <c r="B3343" t="str">
        <f>+C3343&amp;D3343&amp;E3343&amp;F3343</f>
        <v>AmericasFeedstockCost of Wood biomassUSD/ton Wood</v>
      </c>
      <c r="C3343" s="494" t="str">
        <f>C3314</f>
        <v>Americas</v>
      </c>
      <c r="D3343" t="s">
        <v>777</v>
      </c>
      <c r="E3343" s="48" t="s">
        <v>1244</v>
      </c>
      <c r="F3343" s="128" t="s">
        <v>1245</v>
      </c>
      <c r="G3343" s="524">
        <f>+INDEX('Fuel Model -  Input'!$B$3:$N$373,MATCH($B3343,'Fuel Model -  Input'!$B$3:$B$373,0),MATCH(G$2,'Fuel Model -  Input'!$B$3:$N$3,0))</f>
        <v>85</v>
      </c>
      <c r="H3343" s="524">
        <f>+INDEX('Fuel Model -  Input'!$B$3:$N$373,MATCH($B3343,'Fuel Model -  Input'!$B$3:$B$373,0),MATCH(H$2,'Fuel Model -  Input'!$B$3:$N$3,0))</f>
        <v>89</v>
      </c>
      <c r="I3343" s="524">
        <f>+INDEX('Fuel Model -  Input'!$B$3:$N$373,MATCH($B3343,'Fuel Model -  Input'!$B$3:$B$373,0),MATCH(I$2,'Fuel Model -  Input'!$B$3:$N$3,0))</f>
        <v>94</v>
      </c>
      <c r="J3343" s="524">
        <f>+INDEX('Fuel Model -  Input'!$B$3:$N$373,MATCH($B3343,'Fuel Model -  Input'!$B$3:$B$373,0),MATCH(J$2,'Fuel Model -  Input'!$B$3:$N$3,0))</f>
        <v>98</v>
      </c>
      <c r="K3343" s="524">
        <f>+INDEX('Fuel Model -  Input'!$B$3:$N$373,MATCH($B3343,'Fuel Model -  Input'!$B$3:$B$373,0),MATCH(K$2,'Fuel Model -  Input'!$B$3:$N$3,0))</f>
        <v>102</v>
      </c>
      <c r="L3343" s="524">
        <f>+INDEX('Fuel Model -  Input'!$B$3:$N$373,MATCH($B3343,'Fuel Model -  Input'!$B$3:$B$373,0),MATCH(L$2,'Fuel Model -  Input'!$B$3:$N$3,0))</f>
        <v>107</v>
      </c>
      <c r="M3343" s="524">
        <f>+INDEX('Fuel Model -  Input'!$B$3:$N$373,MATCH($B3343,'Fuel Model -  Input'!$B$3:$B$373,0),MATCH(M$2,'Fuel Model -  Input'!$B$3:$N$3,0))</f>
        <v>111</v>
      </c>
    </row>
    <row r="3344" spans="2:13" ht="12.75" hidden="1" outlineLevel="1" x14ac:dyDescent="0.2">
      <c r="F3344"/>
    </row>
    <row r="3345" spans="2:16" s="30" customFormat="1" ht="15" hidden="1" outlineLevel="1" collapsed="1" x14ac:dyDescent="0.25">
      <c r="B3345" s="30" t="s">
        <v>200</v>
      </c>
      <c r="C3345" s="30" t="str">
        <f>+B3345</f>
        <v>Africa</v>
      </c>
    </row>
    <row r="3346" spans="2:16" ht="15" hidden="1" outlineLevel="2" x14ac:dyDescent="0.25">
      <c r="B3346" t="str">
        <f>+C3346&amp;D3346&amp;E3346&amp;F3346</f>
        <v>AfricaResultsTotal cost of Biodiesel (Pyr)USD/ton</v>
      </c>
      <c r="C3346" s="494" t="str">
        <f>+$C$3345</f>
        <v>Africa</v>
      </c>
      <c r="D3346" s="30" t="s">
        <v>838</v>
      </c>
      <c r="E3346" s="405" t="s">
        <v>1344</v>
      </c>
      <c r="F3346" s="127" t="s">
        <v>205</v>
      </c>
      <c r="G3346" s="490">
        <f>+SUM(G3347:G3349)</f>
        <v>2887.6394781298486</v>
      </c>
      <c r="H3346" s="490">
        <f t="shared" ref="H3346:M3346" si="1939">+SUM(H3347:H3349)</f>
        <v>1813.688748827208</v>
      </c>
      <c r="I3346" s="490">
        <f t="shared" si="1939"/>
        <v>1136.0956297705002</v>
      </c>
      <c r="J3346" s="490">
        <f t="shared" si="1939"/>
        <v>1158.4094519047273</v>
      </c>
      <c r="K3346" s="490">
        <f t="shared" si="1939"/>
        <v>1152.1940702666525</v>
      </c>
      <c r="L3346" s="490">
        <f t="shared" si="1939"/>
        <v>1128.0729913771636</v>
      </c>
      <c r="M3346" s="490">
        <f t="shared" si="1939"/>
        <v>1049.8570092625719</v>
      </c>
    </row>
    <row r="3347" spans="2:16" ht="15" hidden="1" outlineLevel="2" x14ac:dyDescent="0.25">
      <c r="B3347" t="str">
        <f>+C3347&amp;D3347&amp;E3347&amp;F3347</f>
        <v>AfricaResultsTotal Capex Biodiesel (Pyr)USD/ton</v>
      </c>
      <c r="C3347" s="494" t="str">
        <f>+$C$3345</f>
        <v>Africa</v>
      </c>
      <c r="D3347" s="30" t="s">
        <v>838</v>
      </c>
      <c r="E3347" s="228" t="s">
        <v>1345</v>
      </c>
      <c r="F3347" s="127" t="s">
        <v>205</v>
      </c>
      <c r="G3347" s="490">
        <f>G3351</f>
        <v>1027.3166666666668</v>
      </c>
      <c r="H3347" s="490">
        <f t="shared" ref="H3347:M3347" si="1940">H3351</f>
        <v>616.3900000000001</v>
      </c>
      <c r="I3347" s="490">
        <f t="shared" si="1940"/>
        <v>205.46333333333337</v>
      </c>
      <c r="J3347" s="490">
        <f t="shared" si="1940"/>
        <v>184.91700000000006</v>
      </c>
      <c r="K3347" s="490">
        <f t="shared" si="1940"/>
        <v>178.06822222222226</v>
      </c>
      <c r="L3347" s="490">
        <f t="shared" si="1940"/>
        <v>171.21944444444452</v>
      </c>
      <c r="M3347" s="490">
        <f t="shared" si="1940"/>
        <v>164.37066666666675</v>
      </c>
    </row>
    <row r="3348" spans="2:16" ht="15" hidden="1" outlineLevel="2" x14ac:dyDescent="0.25">
      <c r="B3348" t="str">
        <f>+C3348&amp;D3348&amp;E3348&amp;F3348</f>
        <v>AfricaResultsTotal Opex Biodiesel (Pyr)USD/ton</v>
      </c>
      <c r="C3348" s="494" t="str">
        <f>+$C$3345</f>
        <v>Africa</v>
      </c>
      <c r="D3348" s="30" t="s">
        <v>838</v>
      </c>
      <c r="E3348" s="228" t="s">
        <v>1346</v>
      </c>
      <c r="F3348" s="127" t="s">
        <v>205</v>
      </c>
      <c r="G3348" s="490">
        <f>G3355+G3358</f>
        <v>503.54418016153772</v>
      </c>
      <c r="H3348" s="490">
        <f t="shared" ref="H3348:M3348" si="1941">H3355+H3358</f>
        <v>300.55157475175031</v>
      </c>
      <c r="I3348" s="490">
        <f t="shared" si="1941"/>
        <v>111.98803017728619</v>
      </c>
      <c r="J3348" s="490">
        <f t="shared" si="1941"/>
        <v>99.725610118390833</v>
      </c>
      <c r="K3348" s="490">
        <f t="shared" si="1941"/>
        <v>95.210552676882713</v>
      </c>
      <c r="L3348" s="490">
        <f t="shared" si="1941"/>
        <v>90.654070032199968</v>
      </c>
      <c r="M3348" s="490">
        <f t="shared" si="1941"/>
        <v>86.864762261930338</v>
      </c>
    </row>
    <row r="3349" spans="2:16" ht="15" hidden="1" outlineLevel="2" x14ac:dyDescent="0.25">
      <c r="B3349" t="str">
        <f>+C3349&amp;D3349&amp;E3349&amp;F3349</f>
        <v>AfricaResultsTotal Raw Material Biodiesel (Pyr)USD/ton</v>
      </c>
      <c r="C3349" s="494" t="str">
        <f>+$C$3345</f>
        <v>Africa</v>
      </c>
      <c r="D3349" s="30" t="s">
        <v>838</v>
      </c>
      <c r="E3349" s="228" t="s">
        <v>1347</v>
      </c>
      <c r="F3349" s="127" t="s">
        <v>205</v>
      </c>
      <c r="G3349" s="490">
        <f>+G3372+G3362</f>
        <v>1356.7786313016441</v>
      </c>
      <c r="H3349" s="490">
        <f t="shared" ref="H3349:M3349" si="1942">+H3372+H3362</f>
        <v>896.74717407545756</v>
      </c>
      <c r="I3349" s="490">
        <f t="shared" si="1942"/>
        <v>818.64426625988074</v>
      </c>
      <c r="J3349" s="490">
        <f t="shared" si="1942"/>
        <v>873.7668417863365</v>
      </c>
      <c r="K3349" s="490">
        <f t="shared" si="1942"/>
        <v>878.91529536754763</v>
      </c>
      <c r="L3349" s="490">
        <f t="shared" si="1942"/>
        <v>866.19947690051913</v>
      </c>
      <c r="M3349" s="490">
        <f t="shared" si="1942"/>
        <v>798.62158033397486</v>
      </c>
      <c r="P3349" t="s">
        <v>1362</v>
      </c>
    </row>
    <row r="3350" spans="2:16" hidden="1" outlineLevel="2" x14ac:dyDescent="0.2">
      <c r="C3350" s="494"/>
      <c r="E3350" s="48"/>
      <c r="F3350" s="128"/>
      <c r="G3350" s="8"/>
      <c r="H3350" s="8"/>
      <c r="I3350" s="8"/>
      <c r="J3350" s="8"/>
      <c r="K3350" s="8"/>
      <c r="L3350" s="8"/>
      <c r="M3350" s="8"/>
    </row>
    <row r="3351" spans="2:16" hidden="1" outlineLevel="2" x14ac:dyDescent="0.2">
      <c r="B3351" t="str">
        <f>+C3351&amp;D3351&amp;E3351&amp;F3351</f>
        <v>AfricaHTL PlantAnnual capex (Pyr)USD/ton oil</v>
      </c>
      <c r="C3351" s="494" t="str">
        <f>+$C$3345</f>
        <v>Africa</v>
      </c>
      <c r="D3351" t="s">
        <v>1288</v>
      </c>
      <c r="E3351" s="48" t="s">
        <v>1348</v>
      </c>
      <c r="F3351" s="128" t="s">
        <v>1349</v>
      </c>
      <c r="G3351" s="8">
        <f t="shared" ref="G3351:M3351" si="1943">G3353/G3352</f>
        <v>1027.3166666666668</v>
      </c>
      <c r="H3351" s="8">
        <f t="shared" si="1943"/>
        <v>616.3900000000001</v>
      </c>
      <c r="I3351" s="8">
        <f t="shared" si="1943"/>
        <v>205.46333333333337</v>
      </c>
      <c r="J3351" s="8">
        <f t="shared" si="1943"/>
        <v>184.91700000000006</v>
      </c>
      <c r="K3351" s="8">
        <f t="shared" si="1943"/>
        <v>178.06822222222226</v>
      </c>
      <c r="L3351" s="8">
        <f t="shared" si="1943"/>
        <v>171.21944444444452</v>
      </c>
      <c r="M3351" s="8">
        <f t="shared" si="1943"/>
        <v>164.37066666666675</v>
      </c>
    </row>
    <row r="3352" spans="2:16" hidden="1" outlineLevel="2" x14ac:dyDescent="0.2">
      <c r="B3352" t="str">
        <f>+C3352&amp;D3352&amp;E3352&amp;F3352</f>
        <v>GlobalPlant capexAnnualisation factor#</v>
      </c>
      <c r="C3352" s="494" t="s">
        <v>109</v>
      </c>
      <c r="D3352" t="s">
        <v>786</v>
      </c>
      <c r="E3352" t="s">
        <v>764</v>
      </c>
      <c r="F3352" s="450" t="s">
        <v>787</v>
      </c>
      <c r="G3352" s="532">
        <f>+INDEX('Fuel Model -  Input'!$B$3:$N$373,MATCH($B3352,'Fuel Model -  Input'!$B$3:$B$373,0),MATCH(G$2,'Fuel Model -  Input'!$B$3:$N$3,0))</f>
        <v>11.32075471698113</v>
      </c>
      <c r="H3352" s="532">
        <f>+INDEX('Fuel Model -  Input'!$B$3:$N$373,MATCH($B3352,'Fuel Model -  Input'!$B$3:$B$373,0),MATCH(H$2,'Fuel Model -  Input'!$B$3:$N$3,0))</f>
        <v>11.32075471698113</v>
      </c>
      <c r="I3352" s="532">
        <f>+INDEX('Fuel Model -  Input'!$B$3:$N$373,MATCH($B3352,'Fuel Model -  Input'!$B$3:$B$373,0),MATCH(I$2,'Fuel Model -  Input'!$B$3:$N$3,0))</f>
        <v>11.32075471698113</v>
      </c>
      <c r="J3352" s="532">
        <f>+INDEX('Fuel Model -  Input'!$B$3:$N$373,MATCH($B3352,'Fuel Model -  Input'!$B$3:$B$373,0),MATCH(J$2,'Fuel Model -  Input'!$B$3:$N$3,0))</f>
        <v>11.32075471698113</v>
      </c>
      <c r="K3352" s="532">
        <f>+INDEX('Fuel Model -  Input'!$B$3:$N$373,MATCH($B3352,'Fuel Model -  Input'!$B$3:$B$373,0),MATCH(K$2,'Fuel Model -  Input'!$B$3:$N$3,0))</f>
        <v>11.32075471698113</v>
      </c>
      <c r="L3352" s="532">
        <f>+INDEX('Fuel Model -  Input'!$B$3:$N$373,MATCH($B3352,'Fuel Model -  Input'!$B$3:$B$373,0),MATCH(L$2,'Fuel Model -  Input'!$B$3:$N$3,0))</f>
        <v>11.32075471698113</v>
      </c>
      <c r="M3352" s="532">
        <f>+INDEX('Fuel Model -  Input'!$B$3:$N$373,MATCH($B3352,'Fuel Model -  Input'!$B$3:$B$373,0),MATCH(M$2,'Fuel Model -  Input'!$B$3:$N$3,0))</f>
        <v>11.32075471698113</v>
      </c>
    </row>
    <row r="3353" spans="2:16" hidden="1" outlineLevel="2" x14ac:dyDescent="0.2">
      <c r="B3353" t="str">
        <f>+C3353&amp;D3353&amp;E3353&amp;F3353</f>
        <v>GlobalCAPEXFP plantUSD/ton FP oil capacity</v>
      </c>
      <c r="C3353" s="494" t="s">
        <v>109</v>
      </c>
      <c r="D3353" t="s">
        <v>50</v>
      </c>
      <c r="E3353" s="48" t="s">
        <v>1350</v>
      </c>
      <c r="F3353" s="128" t="s">
        <v>1351</v>
      </c>
      <c r="G3353" s="532">
        <f>+INDEX('Fuel Model -  Input'!$B$3:$N$373,MATCH($B3353,'Fuel Model -  Input'!$B$3:$B$373,0),MATCH(G$2,'Fuel Model -  Input'!$B$3:$N$3,0))</f>
        <v>11630</v>
      </c>
      <c r="H3353" s="532">
        <f>+INDEX('Fuel Model -  Input'!$B$3:$N$373,MATCH($B3353,'Fuel Model -  Input'!$B$3:$B$373,0),MATCH(H$2,'Fuel Model -  Input'!$B$3:$N$3,0))</f>
        <v>6978</v>
      </c>
      <c r="I3353" s="532">
        <f>+INDEX('Fuel Model -  Input'!$B$3:$N$373,MATCH($B3353,'Fuel Model -  Input'!$B$3:$B$373,0),MATCH(I$2,'Fuel Model -  Input'!$B$3:$N$3,0))</f>
        <v>2326</v>
      </c>
      <c r="J3353" s="532">
        <f>+INDEX('Fuel Model -  Input'!$B$3:$N$373,MATCH($B3353,'Fuel Model -  Input'!$B$3:$B$373,0),MATCH(J$2,'Fuel Model -  Input'!$B$3:$N$3,0))</f>
        <v>2093.4</v>
      </c>
      <c r="K3353" s="532">
        <f>+INDEX('Fuel Model -  Input'!$B$3:$N$373,MATCH($B3353,'Fuel Model -  Input'!$B$3:$B$373,0),MATCH(K$2,'Fuel Model -  Input'!$B$3:$N$3,0))</f>
        <v>2015.8666666666668</v>
      </c>
      <c r="L3353" s="532">
        <f>+INDEX('Fuel Model -  Input'!$B$3:$N$373,MATCH($B3353,'Fuel Model -  Input'!$B$3:$B$373,0),MATCH(L$2,'Fuel Model -  Input'!$B$3:$N$3,0))</f>
        <v>1938.3333333333337</v>
      </c>
      <c r="M3353" s="532">
        <f>+INDEX('Fuel Model -  Input'!$B$3:$N$373,MATCH($B3353,'Fuel Model -  Input'!$B$3:$B$373,0),MATCH(M$2,'Fuel Model -  Input'!$B$3:$N$3,0))</f>
        <v>1860.8000000000004</v>
      </c>
    </row>
    <row r="3354" spans="2:16" hidden="1" outlineLevel="2" x14ac:dyDescent="0.2">
      <c r="C3354" s="494"/>
      <c r="E3354" s="48"/>
      <c r="F3354" s="128"/>
      <c r="G3354" s="524"/>
      <c r="H3354" s="524"/>
      <c r="I3354" s="524"/>
      <c r="J3354" s="524"/>
      <c r="K3354" s="524"/>
      <c r="L3354" s="524"/>
      <c r="M3354" s="524"/>
    </row>
    <row r="3355" spans="2:16" hidden="1" outlineLevel="2" x14ac:dyDescent="0.2">
      <c r="B3355" t="str">
        <f>+C3355&amp;D3355&amp;E3355&amp;F3355</f>
        <v>AfricaOpexOpexUSD/ton oil</v>
      </c>
      <c r="C3355" s="494" t="str">
        <f>+$C$3345</f>
        <v>Africa</v>
      </c>
      <c r="D3355" t="s">
        <v>219</v>
      </c>
      <c r="E3355" s="48" t="s">
        <v>219</v>
      </c>
      <c r="F3355" s="128" t="s">
        <v>1349</v>
      </c>
      <c r="G3355" s="8">
        <f t="shared" ref="G3355:M3355" si="1944">G3353*G3356</f>
        <v>457.46634026927774</v>
      </c>
      <c r="H3355" s="8">
        <f t="shared" si="1944"/>
        <v>274.47980416156662</v>
      </c>
      <c r="I3355" s="8">
        <f t="shared" si="1944"/>
        <v>91.493268053855545</v>
      </c>
      <c r="J3355" s="8">
        <f t="shared" si="1944"/>
        <v>82.343941248469989</v>
      </c>
      <c r="K3355" s="8">
        <f t="shared" si="1944"/>
        <v>79.294165646674813</v>
      </c>
      <c r="L3355" s="8">
        <f t="shared" si="1944"/>
        <v>76.244390044879637</v>
      </c>
      <c r="M3355" s="8">
        <f t="shared" si="1944"/>
        <v>73.194614443084447</v>
      </c>
    </row>
    <row r="3356" spans="2:16" hidden="1" outlineLevel="2" x14ac:dyDescent="0.2">
      <c r="B3356" t="str">
        <f>+C3356&amp;D3356&amp;E3356&amp;F3356</f>
        <v>GlobalOPEXFP plant opexPercent of Capex</v>
      </c>
      <c r="C3356" s="494" t="s">
        <v>109</v>
      </c>
      <c r="D3356" t="s">
        <v>319</v>
      </c>
      <c r="E3356" s="48" t="s">
        <v>1352</v>
      </c>
      <c r="F3356" s="128" t="s">
        <v>883</v>
      </c>
      <c r="G3356" s="531">
        <f>INDEX('Fuel Model -  Input'!$B$3:$N$373,MATCH($B3356,'Fuel Model -  Input'!$B$3:$B$373,0),MATCH(G$2,'Fuel Model -  Input'!$B$3:$N$3,0))</f>
        <v>3.9335024958665324E-2</v>
      </c>
      <c r="H3356" s="531">
        <f>INDEX('Fuel Model -  Input'!$B$3:$N$373,MATCH($B3356,'Fuel Model -  Input'!$B$3:$B$373,0),MATCH(H$2,'Fuel Model -  Input'!$B$3:$N$3,0))</f>
        <v>3.9335024958665324E-2</v>
      </c>
      <c r="I3356" s="531">
        <f>INDEX('Fuel Model -  Input'!$B$3:$N$373,MATCH($B3356,'Fuel Model -  Input'!$B$3:$B$373,0),MATCH(I$2,'Fuel Model -  Input'!$B$3:$N$3,0))</f>
        <v>3.9335024958665324E-2</v>
      </c>
      <c r="J3356" s="531">
        <f>INDEX('Fuel Model -  Input'!$B$3:$N$373,MATCH($B3356,'Fuel Model -  Input'!$B$3:$B$373,0),MATCH(J$2,'Fuel Model -  Input'!$B$3:$N$3,0))</f>
        <v>3.9335024958665324E-2</v>
      </c>
      <c r="K3356" s="531">
        <f>INDEX('Fuel Model -  Input'!$B$3:$N$373,MATCH($B3356,'Fuel Model -  Input'!$B$3:$B$373,0),MATCH(K$2,'Fuel Model -  Input'!$B$3:$N$3,0))</f>
        <v>3.9335024958665324E-2</v>
      </c>
      <c r="L3356" s="531">
        <f>INDEX('Fuel Model -  Input'!$B$3:$N$373,MATCH($B3356,'Fuel Model -  Input'!$B$3:$B$373,0),MATCH(L$2,'Fuel Model -  Input'!$B$3:$N$3,0))</f>
        <v>3.9335024958665324E-2</v>
      </c>
      <c r="M3356" s="531">
        <f>INDEX('Fuel Model -  Input'!$B$3:$N$373,MATCH($B3356,'Fuel Model -  Input'!$B$3:$B$373,0),MATCH(M$2,'Fuel Model -  Input'!$B$3:$N$3,0))</f>
        <v>3.9335024958665324E-2</v>
      </c>
    </row>
    <row r="3357" spans="2:16" hidden="1" outlineLevel="2" x14ac:dyDescent="0.2">
      <c r="C3357" s="494"/>
      <c r="E3357" s="48"/>
      <c r="F3357" s="128"/>
      <c r="G3357" s="520"/>
      <c r="H3357" s="520"/>
      <c r="I3357" s="520"/>
      <c r="J3357" s="520"/>
      <c r="K3357" s="520"/>
      <c r="L3357" s="520"/>
      <c r="M3357" s="520"/>
    </row>
    <row r="3358" spans="2:16" hidden="1" outlineLevel="2" x14ac:dyDescent="0.2">
      <c r="B3358" t="str">
        <f>+C3358&amp;D3358&amp;E3358&amp;F3358</f>
        <v>AfricaElectricityTotal (Pyr)USD/ ton oil</v>
      </c>
      <c r="C3358" s="494" t="str">
        <f>+$C$3345</f>
        <v>Africa</v>
      </c>
      <c r="D3358" t="s">
        <v>54</v>
      </c>
      <c r="E3358" s="48" t="s">
        <v>1353</v>
      </c>
      <c r="F3358" s="128" t="s">
        <v>1354</v>
      </c>
      <c r="G3358" s="8">
        <f t="shared" ref="G3358:M3358" si="1945">G3360*G3359</f>
        <v>46.077839892260016</v>
      </c>
      <c r="H3358" s="8">
        <f t="shared" si="1945"/>
        <v>26.071770590183696</v>
      </c>
      <c r="I3358" s="8">
        <f t="shared" si="1945"/>
        <v>20.494762123430643</v>
      </c>
      <c r="J3358" s="8">
        <f t="shared" si="1945"/>
        <v>17.381668869920841</v>
      </c>
      <c r="K3358" s="8">
        <f t="shared" si="1945"/>
        <v>15.916387030207895</v>
      </c>
      <c r="L3358" s="8">
        <f t="shared" si="1945"/>
        <v>14.409679987320333</v>
      </c>
      <c r="M3358" s="8">
        <f t="shared" si="1945"/>
        <v>13.670147818845889</v>
      </c>
    </row>
    <row r="3359" spans="2:16" hidden="1" outlineLevel="2" x14ac:dyDescent="0.2">
      <c r="B3359" t="str">
        <f>+C3359&amp;D3359&amp;E3359&amp;F3359</f>
        <v>GlobalFeedstockFP plant electricity demandMWh/ton fuel</v>
      </c>
      <c r="C3359" s="494" t="s">
        <v>109</v>
      </c>
      <c r="D3359" t="s">
        <v>777</v>
      </c>
      <c r="E3359" s="48" t="s">
        <v>1355</v>
      </c>
      <c r="F3359" s="128" t="s">
        <v>1298</v>
      </c>
      <c r="G3359" s="521">
        <f>INDEX('Fuel Model -  Input'!$B$3:$N$373,MATCH($B3359,'Fuel Model -  Input'!$B$3:$B$373,0),MATCH(G$2,'Fuel Model -  Input'!$B$3:$N$3,0))</f>
        <v>0.58356415446901266</v>
      </c>
      <c r="H3359" s="521">
        <f>INDEX('Fuel Model -  Input'!$B$3:$N$373,MATCH($B3359,'Fuel Model -  Input'!$B$3:$B$373,0),MATCH(H$2,'Fuel Model -  Input'!$B$3:$N$3,0))</f>
        <v>0.58356415446901266</v>
      </c>
      <c r="I3359" s="521">
        <f>INDEX('Fuel Model -  Input'!$B$3:$N$373,MATCH($B3359,'Fuel Model -  Input'!$B$3:$B$373,0),MATCH(I$2,'Fuel Model -  Input'!$B$3:$N$3,0))</f>
        <v>0.58356415446901266</v>
      </c>
      <c r="J3359" s="521">
        <f>INDEX('Fuel Model -  Input'!$B$3:$N$373,MATCH($B3359,'Fuel Model -  Input'!$B$3:$B$373,0),MATCH(J$2,'Fuel Model -  Input'!$B$3:$N$3,0))</f>
        <v>0.58356415446901266</v>
      </c>
      <c r="K3359" s="521">
        <f>INDEX('Fuel Model -  Input'!$B$3:$N$373,MATCH($B3359,'Fuel Model -  Input'!$B$3:$B$373,0),MATCH(K$2,'Fuel Model -  Input'!$B$3:$N$3,0))</f>
        <v>0.58356415446901266</v>
      </c>
      <c r="L3359" s="521">
        <f>INDEX('Fuel Model -  Input'!$B$3:$N$373,MATCH($B3359,'Fuel Model -  Input'!$B$3:$B$373,0),MATCH(L$2,'Fuel Model -  Input'!$B$3:$N$3,0))</f>
        <v>0.58356415446901266</v>
      </c>
      <c r="M3359" s="521">
        <f>INDEX('Fuel Model -  Input'!$B$3:$N$373,MATCH($B3359,'Fuel Model -  Input'!$B$3:$B$373,0),MATCH(M$2,'Fuel Model -  Input'!$B$3:$N$3,0))</f>
        <v>0.58356415446901266</v>
      </c>
    </row>
    <row r="3360" spans="2:16" hidden="1" outlineLevel="2" x14ac:dyDescent="0.2">
      <c r="B3360" t="str">
        <f>+C3360&amp;D3360&amp;E3360&amp;F3360</f>
        <v>AfricaFeedstockElectricityUSD/MWh</v>
      </c>
      <c r="C3360" s="494" t="str">
        <f>+$C$3345</f>
        <v>Africa</v>
      </c>
      <c r="D3360" t="s">
        <v>777</v>
      </c>
      <c r="E3360" s="48" t="s">
        <v>54</v>
      </c>
      <c r="F3360" s="128" t="s">
        <v>196</v>
      </c>
      <c r="G3360" s="521">
        <f>INDEX('Fuel Model -  Input'!$B$3:$N$373,MATCH($B3360,'Fuel Model -  Input'!$B$3:$B$373,0),MATCH(G$2,'Fuel Model -  Input'!$B$3:$N$3,0))</f>
        <v>78.959338985079413</v>
      </c>
      <c r="H3360" s="521">
        <f>INDEX('Fuel Model -  Input'!$B$3:$N$373,MATCH($B3360,'Fuel Model -  Input'!$B$3:$B$373,0),MATCH(H$2,'Fuel Model -  Input'!$B$3:$N$3,0))</f>
        <v>44.676785560803516</v>
      </c>
      <c r="I3360" s="521">
        <f>INDEX('Fuel Model -  Input'!$B$3:$N$373,MATCH($B3360,'Fuel Model -  Input'!$B$3:$B$373,0),MATCH(I$2,'Fuel Model -  Input'!$B$3:$N$3,0))</f>
        <v>35.119981181981451</v>
      </c>
      <c r="J3360" s="521">
        <f>INDEX('Fuel Model -  Input'!$B$3:$N$373,MATCH($B3360,'Fuel Model -  Input'!$B$3:$B$373,0),MATCH(J$2,'Fuel Model -  Input'!$B$3:$N$3,0))</f>
        <v>29.785360764210218</v>
      </c>
      <c r="K3360" s="521">
        <f>INDEX('Fuel Model -  Input'!$B$3:$N$373,MATCH($B3360,'Fuel Model -  Input'!$B$3:$B$373,0),MATCH(K$2,'Fuel Model -  Input'!$B$3:$N$3,0))</f>
        <v>27.274442592674799</v>
      </c>
      <c r="L3360" s="521">
        <f>INDEX('Fuel Model -  Input'!$B$3:$N$373,MATCH($B3360,'Fuel Model -  Input'!$B$3:$B$373,0),MATCH(L$2,'Fuel Model -  Input'!$B$3:$N$3,0))</f>
        <v>24.692537876031398</v>
      </c>
      <c r="M3360" s="521">
        <f>INDEX('Fuel Model -  Input'!$B$3:$N$373,MATCH($B3360,'Fuel Model -  Input'!$B$3:$B$373,0),MATCH(M$2,'Fuel Model -  Input'!$B$3:$N$3,0))</f>
        <v>23.425269893906371</v>
      </c>
    </row>
    <row r="3361" spans="2:13" hidden="1" outlineLevel="2" x14ac:dyDescent="0.2">
      <c r="C3361" s="494"/>
      <c r="E3361" s="48"/>
      <c r="F3361" s="128"/>
      <c r="G3361" s="520"/>
      <c r="H3361" s="520"/>
      <c r="I3361" s="520"/>
      <c r="J3361" s="520"/>
      <c r="K3361" s="520"/>
      <c r="L3361" s="520"/>
      <c r="M3361" s="520"/>
    </row>
    <row r="3362" spans="2:13" hidden="1" outlineLevel="2" x14ac:dyDescent="0.2">
      <c r="B3362" t="str">
        <f t="shared" ref="B3362:B3370" si="1946">+C3362&amp;D3362&amp;E3362&amp;F3362</f>
        <v>AfricaElectricityTotal hydrogenUSD/ ton HTL oil</v>
      </c>
      <c r="C3362" s="494" t="str">
        <f>+$C$3345</f>
        <v>Africa</v>
      </c>
      <c r="D3362" t="s">
        <v>54</v>
      </c>
      <c r="E3362" s="48" t="s">
        <v>1299</v>
      </c>
      <c r="F3362" s="128" t="s">
        <v>1296</v>
      </c>
      <c r="G3362" s="8">
        <f>G3364*G3363</f>
        <v>899.76051400616416</v>
      </c>
      <c r="H3362" s="8">
        <f t="shared" ref="H3362" si="1947">H3364*H3363</f>
        <v>420.03000000000003</v>
      </c>
      <c r="I3362" s="8">
        <f t="shared" ref="I3362" si="1948">I3364*I3363</f>
        <v>322.22803540444562</v>
      </c>
      <c r="J3362" s="8">
        <f t="shared" ref="J3362" si="1949">J3364*J3363</f>
        <v>353.71174279492828</v>
      </c>
      <c r="K3362" s="8">
        <f t="shared" ref="K3362" si="1950">K3364*K3363</f>
        <v>339.16113959616177</v>
      </c>
      <c r="L3362" s="8">
        <f t="shared" ref="L3362" si="1951">L3364*L3363</f>
        <v>306.74626434915564</v>
      </c>
      <c r="M3362" s="8">
        <f t="shared" ref="M3362" si="1952">M3364*M3363</f>
        <v>219.46931100263387</v>
      </c>
    </row>
    <row r="3363" spans="2:13" hidden="1" outlineLevel="2" x14ac:dyDescent="0.2">
      <c r="B3363" t="str">
        <f t="shared" si="1946"/>
        <v>GlobalFeedstockConversion Hydrogen : FP oilTon feedstock / ton fuel</v>
      </c>
      <c r="C3363" s="494" t="s">
        <v>109</v>
      </c>
      <c r="D3363" t="s">
        <v>777</v>
      </c>
      <c r="E3363" s="48" t="s">
        <v>1356</v>
      </c>
      <c r="F3363" s="128" t="s">
        <v>1241</v>
      </c>
      <c r="G3363" s="521">
        <f>INDEX('Fuel Model -  Input'!$B$3:$N$373,MATCH($B3363,'Fuel Model -  Input'!$B$3:$B$373,0),MATCH(G$2,'Fuel Model -  Input'!$B$3:$N$3,0))</f>
        <v>0.13</v>
      </c>
      <c r="H3363" s="521">
        <f>INDEX('Fuel Model -  Input'!$B$3:$N$373,MATCH($B3363,'Fuel Model -  Input'!$B$3:$B$373,0),MATCH(H$2,'Fuel Model -  Input'!$B$3:$N$3,0))</f>
        <v>0.13</v>
      </c>
      <c r="I3363" s="521">
        <f>INDEX('Fuel Model -  Input'!$B$3:$N$373,MATCH($B3363,'Fuel Model -  Input'!$B$3:$B$373,0),MATCH(I$2,'Fuel Model -  Input'!$B$3:$N$3,0))</f>
        <v>0.13</v>
      </c>
      <c r="J3363" s="521">
        <f>INDEX('Fuel Model -  Input'!$B$3:$N$373,MATCH($B3363,'Fuel Model -  Input'!$B$3:$B$373,0),MATCH(J$2,'Fuel Model -  Input'!$B$3:$N$3,0))</f>
        <v>0.13</v>
      </c>
      <c r="K3363" s="521">
        <f>INDEX('Fuel Model -  Input'!$B$3:$N$373,MATCH($B3363,'Fuel Model -  Input'!$B$3:$B$373,0),MATCH(K$2,'Fuel Model -  Input'!$B$3:$N$3,0))</f>
        <v>0.13</v>
      </c>
      <c r="L3363" s="521">
        <f>INDEX('Fuel Model -  Input'!$B$3:$N$373,MATCH($B3363,'Fuel Model -  Input'!$B$3:$B$373,0),MATCH(L$2,'Fuel Model -  Input'!$B$3:$N$3,0))</f>
        <v>0.13</v>
      </c>
      <c r="M3363" s="521">
        <f>INDEX('Fuel Model -  Input'!$B$3:$N$373,MATCH($B3363,'Fuel Model -  Input'!$B$3:$B$373,0),MATCH(M$2,'Fuel Model -  Input'!$B$3:$N$3,0))</f>
        <v>0.13</v>
      </c>
    </row>
    <row r="3364" spans="2:13" hidden="1" outlineLevel="2" x14ac:dyDescent="0.2">
      <c r="B3364" t="str">
        <f t="shared" si="1946"/>
        <v>AfricaFeedstockWeighted hydrogen costUSD/ton</v>
      </c>
      <c r="C3364" s="494" t="str">
        <f t="shared" ref="C3364:C3370" si="1953">+$C$3345</f>
        <v>Africa</v>
      </c>
      <c r="D3364" t="s">
        <v>777</v>
      </c>
      <c r="E3364" s="48" t="s">
        <v>1301</v>
      </c>
      <c r="F3364" s="128" t="s">
        <v>205</v>
      </c>
      <c r="G3364" s="337">
        <f>SUMPRODUCT(G3365:G3367,G3368:G3370)</f>
        <v>6921.2347231243393</v>
      </c>
      <c r="H3364" s="337">
        <f t="shared" ref="H3364" si="1954">SUMPRODUCT(H3365:H3367,H3368:H3370)</f>
        <v>3231</v>
      </c>
      <c r="I3364" s="337">
        <f t="shared" ref="I3364" si="1955">SUMPRODUCT(I3365:I3367,I3368:I3370)</f>
        <v>2478.6771954188125</v>
      </c>
      <c r="J3364" s="337">
        <f t="shared" ref="J3364" si="1956">SUMPRODUCT(J3365:J3367,J3368:J3370)</f>
        <v>2720.8595599609866</v>
      </c>
      <c r="K3364" s="337">
        <f t="shared" ref="K3364" si="1957">SUMPRODUCT(K3365:K3367,K3368:K3370)</f>
        <v>2608.9318430473982</v>
      </c>
      <c r="L3364" s="337">
        <f t="shared" ref="L3364" si="1958">SUMPRODUCT(L3365:L3367,L3368:L3370)</f>
        <v>2359.5866488396587</v>
      </c>
      <c r="M3364" s="337">
        <f t="shared" ref="M3364" si="1959">SUMPRODUCT(M3365:M3367,M3368:M3370)</f>
        <v>1688.2254692510298</v>
      </c>
    </row>
    <row r="3365" spans="2:13" hidden="1" outlineLevel="2" x14ac:dyDescent="0.2">
      <c r="B3365" t="str">
        <f t="shared" si="1946"/>
        <v>GlobalFeedstockFP hydrogen fraction - Grey%</v>
      </c>
      <c r="C3365" s="494" t="s">
        <v>109</v>
      </c>
      <c r="D3365" t="s">
        <v>777</v>
      </c>
      <c r="E3365" s="48" t="s">
        <v>1357</v>
      </c>
      <c r="F3365" t="s">
        <v>178</v>
      </c>
      <c r="G3365" s="531">
        <f>INDEX('Fuel Model -  Input'!$B$3:$N$373,MATCH($B3365,'Fuel Model -  Input'!$B$3:$B$373,0),MATCH(G$2,'Fuel Model -  Input'!$B$3:$N$3,0))</f>
        <v>1</v>
      </c>
      <c r="H3365" s="531">
        <f>INDEX('Fuel Model -  Input'!$B$3:$N$373,MATCH($B3365,'Fuel Model -  Input'!$B$3:$B$373,0),MATCH(H$2,'Fuel Model -  Input'!$B$3:$N$3,0))</f>
        <v>0.7</v>
      </c>
      <c r="I3365" s="531">
        <f>INDEX('Fuel Model -  Input'!$B$3:$N$373,MATCH($B3365,'Fuel Model -  Input'!$B$3:$B$373,0),MATCH(I$2,'Fuel Model -  Input'!$B$3:$N$3,0))</f>
        <v>0.5</v>
      </c>
      <c r="J3365" s="531">
        <f>INDEX('Fuel Model -  Input'!$B$3:$N$373,MATCH($B3365,'Fuel Model -  Input'!$B$3:$B$373,0),MATCH(J$2,'Fuel Model -  Input'!$B$3:$N$3,0))</f>
        <v>0</v>
      </c>
      <c r="K3365" s="531">
        <f>INDEX('Fuel Model -  Input'!$B$3:$N$373,MATCH($B3365,'Fuel Model -  Input'!$B$3:$B$373,0),MATCH(K$2,'Fuel Model -  Input'!$B$3:$N$3,0))</f>
        <v>0</v>
      </c>
      <c r="L3365" s="531">
        <f>INDEX('Fuel Model -  Input'!$B$3:$N$373,MATCH($B3365,'Fuel Model -  Input'!$B$3:$B$373,0),MATCH(L$2,'Fuel Model -  Input'!$B$3:$N$3,0))</f>
        <v>0</v>
      </c>
      <c r="M3365" s="531">
        <f>INDEX('Fuel Model -  Input'!$B$3:$N$373,MATCH($B3365,'Fuel Model -  Input'!$B$3:$B$373,0),MATCH(M$2,'Fuel Model -  Input'!$B$3:$N$3,0))</f>
        <v>0</v>
      </c>
    </row>
    <row r="3366" spans="2:13" hidden="1" outlineLevel="2" x14ac:dyDescent="0.2">
      <c r="B3366" t="str">
        <f t="shared" si="1946"/>
        <v>GlobalFeedstockFP hydrogen fraction - Blue%</v>
      </c>
      <c r="C3366" s="494" t="s">
        <v>109</v>
      </c>
      <c r="D3366" t="s">
        <v>777</v>
      </c>
      <c r="E3366" s="48" t="s">
        <v>1358</v>
      </c>
      <c r="F3366" t="s">
        <v>178</v>
      </c>
      <c r="G3366" s="531">
        <f>INDEX('Fuel Model -  Input'!$B$3:$N$373,MATCH($B3366,'Fuel Model -  Input'!$B$3:$B$373,0),MATCH(G$2,'Fuel Model -  Input'!$B$3:$N$3,0))</f>
        <v>0</v>
      </c>
      <c r="H3366" s="531">
        <f>INDEX('Fuel Model -  Input'!$B$3:$N$373,MATCH($B3366,'Fuel Model -  Input'!$B$3:$B$373,0),MATCH(H$2,'Fuel Model -  Input'!$B$3:$N$3,0))</f>
        <v>0.3</v>
      </c>
      <c r="I3366" s="531">
        <f>INDEX('Fuel Model -  Input'!$B$3:$N$373,MATCH($B3366,'Fuel Model -  Input'!$B$3:$B$373,0),MATCH(I$2,'Fuel Model -  Input'!$B$3:$N$3,0))</f>
        <v>0.5</v>
      </c>
      <c r="J3366" s="531">
        <f>INDEX('Fuel Model -  Input'!$B$3:$N$373,MATCH($B3366,'Fuel Model -  Input'!$B$3:$B$373,0),MATCH(J$2,'Fuel Model -  Input'!$B$3:$N$3,0))</f>
        <v>1</v>
      </c>
      <c r="K3366" s="531">
        <f>INDEX('Fuel Model -  Input'!$B$3:$N$373,MATCH($B3366,'Fuel Model -  Input'!$B$3:$B$373,0),MATCH(K$2,'Fuel Model -  Input'!$B$3:$N$3,0))</f>
        <v>0.9</v>
      </c>
      <c r="L3366" s="531">
        <f>INDEX('Fuel Model -  Input'!$B$3:$N$373,MATCH($B3366,'Fuel Model -  Input'!$B$3:$B$373,0),MATCH(L$2,'Fuel Model -  Input'!$B$3:$N$3,0))</f>
        <v>0.7</v>
      </c>
      <c r="M3366" s="531">
        <f>INDEX('Fuel Model -  Input'!$B$3:$N$373,MATCH($B3366,'Fuel Model -  Input'!$B$3:$B$373,0),MATCH(M$2,'Fuel Model -  Input'!$B$3:$N$3,0))</f>
        <v>0.2</v>
      </c>
    </row>
    <row r="3367" spans="2:13" hidden="1" outlineLevel="2" x14ac:dyDescent="0.2">
      <c r="B3367" t="str">
        <f t="shared" si="1946"/>
        <v>GlobalFeedstockFP hydrogen fraction - Green%</v>
      </c>
      <c r="C3367" s="494" t="s">
        <v>109</v>
      </c>
      <c r="D3367" t="s">
        <v>777</v>
      </c>
      <c r="E3367" s="48" t="s">
        <v>1359</v>
      </c>
      <c r="F3367" t="s">
        <v>178</v>
      </c>
      <c r="G3367" s="531">
        <f>INDEX('Fuel Model -  Input'!$B$3:$N$373,MATCH($B3367,'Fuel Model -  Input'!$B$3:$B$373,0),MATCH(G$2,'Fuel Model -  Input'!$B$3:$N$3,0))</f>
        <v>0</v>
      </c>
      <c r="H3367" s="531">
        <f>INDEX('Fuel Model -  Input'!$B$3:$N$373,MATCH($B3367,'Fuel Model -  Input'!$B$3:$B$373,0),MATCH(H$2,'Fuel Model -  Input'!$B$3:$N$3,0))</f>
        <v>0</v>
      </c>
      <c r="I3367" s="531">
        <f>INDEX('Fuel Model -  Input'!$B$3:$N$373,MATCH($B3367,'Fuel Model -  Input'!$B$3:$B$373,0),MATCH(I$2,'Fuel Model -  Input'!$B$3:$N$3,0))</f>
        <v>0</v>
      </c>
      <c r="J3367" s="531">
        <f>INDEX('Fuel Model -  Input'!$B$3:$N$373,MATCH($B3367,'Fuel Model -  Input'!$B$3:$B$373,0),MATCH(J$2,'Fuel Model -  Input'!$B$3:$N$3,0))</f>
        <v>0</v>
      </c>
      <c r="K3367" s="531">
        <f>INDEX('Fuel Model -  Input'!$B$3:$N$373,MATCH($B3367,'Fuel Model -  Input'!$B$3:$B$373,0),MATCH(K$2,'Fuel Model -  Input'!$B$3:$N$3,0))</f>
        <v>0.1</v>
      </c>
      <c r="L3367" s="531">
        <f>INDEX('Fuel Model -  Input'!$B$3:$N$373,MATCH($B3367,'Fuel Model -  Input'!$B$3:$B$373,0),MATCH(L$2,'Fuel Model -  Input'!$B$3:$N$3,0))</f>
        <v>0.3</v>
      </c>
      <c r="M3367" s="531">
        <f>INDEX('Fuel Model -  Input'!$B$3:$N$373,MATCH($B3367,'Fuel Model -  Input'!$B$3:$B$373,0),MATCH(M$2,'Fuel Model -  Input'!$B$3:$N$3,0))</f>
        <v>0.8</v>
      </c>
    </row>
    <row r="3368" spans="2:13" hidden="1" outlineLevel="2" x14ac:dyDescent="0.2">
      <c r="B3368" t="str">
        <f t="shared" si="1946"/>
        <v>AfricaResultsCost of Grey HydrogenUSD/ton</v>
      </c>
      <c r="C3368" s="494" t="str">
        <f t="shared" si="1953"/>
        <v>Africa</v>
      </c>
      <c r="D3368" t="s">
        <v>838</v>
      </c>
      <c r="E3368" s="48" t="s">
        <v>1161</v>
      </c>
      <c r="F3368" s="128" t="s">
        <v>205</v>
      </c>
      <c r="G3368" s="532">
        <f t="shared" ref="G3368:M3370" si="1960">+INDEX(G$2:G$2521,MATCH($B3368,$B$2:$B$2521,0))</f>
        <v>6921.2347231243393</v>
      </c>
      <c r="H3368" s="532">
        <f t="shared" si="1960"/>
        <v>3028.5</v>
      </c>
      <c r="I3368" s="532">
        <f t="shared" si="1960"/>
        <v>2143.4578097813123</v>
      </c>
      <c r="J3368" s="532">
        <f t="shared" si="1960"/>
        <v>2054.9511954859868</v>
      </c>
      <c r="K3368" s="532">
        <f t="shared" si="1960"/>
        <v>1974.2018860965813</v>
      </c>
      <c r="L3368" s="532">
        <f t="shared" si="1960"/>
        <v>1900.1322782743964</v>
      </c>
      <c r="M3368" s="532">
        <f t="shared" si="1960"/>
        <v>1831.8333333333335</v>
      </c>
    </row>
    <row r="3369" spans="2:13" hidden="1" outlineLevel="2" x14ac:dyDescent="0.2">
      <c r="B3369" t="str">
        <f t="shared" si="1946"/>
        <v>AfricaResultsCost of Blue HydrogenUSD/ton</v>
      </c>
      <c r="C3369" s="494" t="str">
        <f t="shared" si="1953"/>
        <v>Africa</v>
      </c>
      <c r="D3369" t="s">
        <v>838</v>
      </c>
      <c r="E3369" s="48" t="s">
        <v>1200</v>
      </c>
      <c r="F3369" s="128" t="s">
        <v>205</v>
      </c>
      <c r="G3369" s="532">
        <f t="shared" si="1960"/>
        <v>7600.8269834743396</v>
      </c>
      <c r="H3369" s="532">
        <f t="shared" si="1960"/>
        <v>3703.5</v>
      </c>
      <c r="I3369" s="532">
        <f t="shared" si="1960"/>
        <v>2813.8965810563122</v>
      </c>
      <c r="J3369" s="532">
        <f t="shared" si="1960"/>
        <v>2720.8595599609866</v>
      </c>
      <c r="K3369" s="532">
        <f t="shared" si="1960"/>
        <v>2635.6104574215815</v>
      </c>
      <c r="L3369" s="532">
        <f t="shared" si="1960"/>
        <v>2557.0714633243965</v>
      </c>
      <c r="M3369" s="532">
        <f t="shared" si="1960"/>
        <v>2484.3333333333335</v>
      </c>
    </row>
    <row r="3370" spans="2:13" hidden="1" outlineLevel="2" x14ac:dyDescent="0.2">
      <c r="B3370" t="str">
        <f t="shared" si="1946"/>
        <v>AfricaResultsCost of e-HydrogenUSD/ton</v>
      </c>
      <c r="C3370" s="494" t="str">
        <f t="shared" si="1953"/>
        <v>Africa</v>
      </c>
      <c r="D3370" t="s">
        <v>838</v>
      </c>
      <c r="E3370" s="48" t="s">
        <v>853</v>
      </c>
      <c r="F3370" s="128" t="s">
        <v>205</v>
      </c>
      <c r="G3370" s="532">
        <f t="shared" si="1960"/>
        <v>6004.465507835358</v>
      </c>
      <c r="H3370" s="532">
        <f t="shared" si="1960"/>
        <v>3870.3468980997131</v>
      </c>
      <c r="I3370" s="532">
        <f t="shared" si="1960"/>
        <v>3104.040420762416</v>
      </c>
      <c r="J3370" s="532">
        <f t="shared" si="1960"/>
        <v>2742.8854798490856</v>
      </c>
      <c r="K3370" s="532">
        <f t="shared" si="1960"/>
        <v>2368.824313679746</v>
      </c>
      <c r="L3370" s="532">
        <f t="shared" si="1960"/>
        <v>1898.7887483752716</v>
      </c>
      <c r="M3370" s="532">
        <f t="shared" si="1960"/>
        <v>1489.1985032304538</v>
      </c>
    </row>
    <row r="3371" spans="2:13" hidden="1" outlineLevel="2" x14ac:dyDescent="0.2">
      <c r="C3371" s="494"/>
      <c r="E3371" s="48"/>
      <c r="F3371" s="128"/>
      <c r="G3371" s="532"/>
      <c r="H3371" s="532"/>
      <c r="I3371" s="532"/>
      <c r="J3371" s="532"/>
      <c r="K3371" s="532"/>
      <c r="L3371" s="532"/>
      <c r="M3371" s="532"/>
    </row>
    <row r="3372" spans="2:13" hidden="1" outlineLevel="2" x14ac:dyDescent="0.2">
      <c r="B3372" t="str">
        <f>+C3372&amp;D3372&amp;E3372&amp;F3372</f>
        <v>AfricaFeedstockWood biomass to pyrolysis oilUSD/ton oil</v>
      </c>
      <c r="C3372" s="494" t="str">
        <f>+$C$3345</f>
        <v>Africa</v>
      </c>
      <c r="D3372" t="s">
        <v>777</v>
      </c>
      <c r="E3372" s="48" t="s">
        <v>1360</v>
      </c>
      <c r="F3372" s="128" t="s">
        <v>1349</v>
      </c>
      <c r="G3372" s="8">
        <f t="shared" ref="G3372:M3372" si="1961">G3374*G3373</f>
        <v>457.01811729547995</v>
      </c>
      <c r="H3372" s="8">
        <f t="shared" si="1961"/>
        <v>476.71717407545754</v>
      </c>
      <c r="I3372" s="8">
        <f t="shared" si="1961"/>
        <v>496.41623085543512</v>
      </c>
      <c r="J3372" s="8">
        <f t="shared" si="1961"/>
        <v>520.05509899140827</v>
      </c>
      <c r="K3372" s="8">
        <f t="shared" si="1961"/>
        <v>539.75415577138585</v>
      </c>
      <c r="L3372" s="8">
        <f t="shared" si="1961"/>
        <v>559.45321255136344</v>
      </c>
      <c r="M3372" s="8">
        <f t="shared" si="1961"/>
        <v>579.15226933134102</v>
      </c>
    </row>
    <row r="3373" spans="2:13" hidden="1" outlineLevel="2" x14ac:dyDescent="0.2">
      <c r="B3373" t="str">
        <f>+C3373&amp;D3373&amp;E3373&amp;F3373</f>
        <v>GlobalFeedstockConversion Dry Wood biomass : FP oilTon feedstock / ton fuel</v>
      </c>
      <c r="C3373" s="494" t="s">
        <v>109</v>
      </c>
      <c r="D3373" t="s">
        <v>777</v>
      </c>
      <c r="E3373" s="48" t="s">
        <v>1361</v>
      </c>
      <c r="F3373" s="128" t="s">
        <v>1241</v>
      </c>
      <c r="G3373" s="521">
        <f>+INDEX('Fuel Model -  Input'!$B$3:$N$373,MATCH($B3373,'Fuel Model -  Input'!$B$3:$B$373,0),MATCH(G$2,'Fuel Model -  Input'!$B$3:$N$3,0))</f>
        <v>3.9398113559955168</v>
      </c>
      <c r="H3373" s="521">
        <f>+INDEX('Fuel Model -  Input'!$B$3:$N$373,MATCH($B3373,'Fuel Model -  Input'!$B$3:$B$373,0),MATCH(H$2,'Fuel Model -  Input'!$B$3:$N$3,0))</f>
        <v>3.9398113559955168</v>
      </c>
      <c r="I3373" s="521">
        <f>+INDEX('Fuel Model -  Input'!$B$3:$N$373,MATCH($B3373,'Fuel Model -  Input'!$B$3:$B$373,0),MATCH(I$2,'Fuel Model -  Input'!$B$3:$N$3,0))</f>
        <v>3.9398113559955168</v>
      </c>
      <c r="J3373" s="521">
        <f>+INDEX('Fuel Model -  Input'!$B$3:$N$373,MATCH($B3373,'Fuel Model -  Input'!$B$3:$B$373,0),MATCH(J$2,'Fuel Model -  Input'!$B$3:$N$3,0))</f>
        <v>3.9398113559955168</v>
      </c>
      <c r="K3373" s="521">
        <f>+INDEX('Fuel Model -  Input'!$B$3:$N$373,MATCH($B3373,'Fuel Model -  Input'!$B$3:$B$373,0),MATCH(K$2,'Fuel Model -  Input'!$B$3:$N$3,0))</f>
        <v>3.9398113559955168</v>
      </c>
      <c r="L3373" s="521">
        <f>+INDEX('Fuel Model -  Input'!$B$3:$N$373,MATCH($B3373,'Fuel Model -  Input'!$B$3:$B$373,0),MATCH(L$2,'Fuel Model -  Input'!$B$3:$N$3,0))</f>
        <v>3.9398113559955168</v>
      </c>
      <c r="M3373" s="521">
        <f>+INDEX('Fuel Model -  Input'!$B$3:$N$373,MATCH($B3373,'Fuel Model -  Input'!$B$3:$B$373,0),MATCH(M$2,'Fuel Model -  Input'!$B$3:$N$3,0))</f>
        <v>3.9398113559955168</v>
      </c>
    </row>
    <row r="3374" spans="2:13" hidden="1" outlineLevel="2" x14ac:dyDescent="0.2">
      <c r="B3374" t="str">
        <f>+C3374&amp;D3374&amp;E3374&amp;F3374</f>
        <v>AfricaFeedstockCost of Wood biomassUSD/ton Wood</v>
      </c>
      <c r="C3374" s="494" t="str">
        <f>C3345</f>
        <v>Africa</v>
      </c>
      <c r="D3374" t="s">
        <v>777</v>
      </c>
      <c r="E3374" s="48" t="s">
        <v>1244</v>
      </c>
      <c r="F3374" s="128" t="s">
        <v>1245</v>
      </c>
      <c r="G3374" s="524">
        <f>+INDEX('Fuel Model -  Input'!$B$3:$N$373,MATCH($B3374,'Fuel Model -  Input'!$B$3:$B$373,0),MATCH(G$2,'Fuel Model -  Input'!$B$3:$N$3,0))</f>
        <v>116</v>
      </c>
      <c r="H3374" s="524">
        <f>+INDEX('Fuel Model -  Input'!$B$3:$N$373,MATCH($B3374,'Fuel Model -  Input'!$B$3:$B$373,0),MATCH(H$2,'Fuel Model -  Input'!$B$3:$N$3,0))</f>
        <v>121</v>
      </c>
      <c r="I3374" s="524">
        <f>+INDEX('Fuel Model -  Input'!$B$3:$N$373,MATCH($B3374,'Fuel Model -  Input'!$B$3:$B$373,0),MATCH(I$2,'Fuel Model -  Input'!$B$3:$N$3,0))</f>
        <v>126</v>
      </c>
      <c r="J3374" s="524">
        <f>+INDEX('Fuel Model -  Input'!$B$3:$N$373,MATCH($B3374,'Fuel Model -  Input'!$B$3:$B$373,0),MATCH(J$2,'Fuel Model -  Input'!$B$3:$N$3,0))</f>
        <v>132</v>
      </c>
      <c r="K3374" s="524">
        <f>+INDEX('Fuel Model -  Input'!$B$3:$N$373,MATCH($B3374,'Fuel Model -  Input'!$B$3:$B$373,0),MATCH(K$2,'Fuel Model -  Input'!$B$3:$N$3,0))</f>
        <v>137</v>
      </c>
      <c r="L3374" s="524">
        <f>+INDEX('Fuel Model -  Input'!$B$3:$N$373,MATCH($B3374,'Fuel Model -  Input'!$B$3:$B$373,0),MATCH(L$2,'Fuel Model -  Input'!$B$3:$N$3,0))</f>
        <v>142</v>
      </c>
      <c r="M3374" s="524">
        <f>+INDEX('Fuel Model -  Input'!$B$3:$N$373,MATCH($B3374,'Fuel Model -  Input'!$B$3:$B$373,0),MATCH(M$2,'Fuel Model -  Input'!$B$3:$N$3,0))</f>
        <v>147</v>
      </c>
    </row>
    <row r="3375" spans="2:13" ht="12.75" hidden="1" outlineLevel="1" x14ac:dyDescent="0.2">
      <c r="F3375"/>
    </row>
    <row r="3376" spans="2:13" ht="15" hidden="1" outlineLevel="1" x14ac:dyDescent="0.25">
      <c r="B3376" s="30" t="s">
        <v>1363</v>
      </c>
      <c r="F3376"/>
      <c r="G3376" s="9"/>
    </row>
    <row r="3377" spans="2:13" ht="15" hidden="1" outlineLevel="1" x14ac:dyDescent="0.25">
      <c r="B3377" s="527" t="str">
        <f>+C3377&amp;D3377&amp;E3377&amp;F3377</f>
        <v xml:space="preserve">GlobalEmissionsWTT emission - Biodiesel (Pyr)tonCO2eq/ ton </v>
      </c>
      <c r="C3377" s="257" t="s">
        <v>109</v>
      </c>
      <c r="D3377" s="257" t="s">
        <v>728</v>
      </c>
      <c r="E3377" s="516" t="s">
        <v>1364</v>
      </c>
      <c r="F3377" s="539" t="s">
        <v>1016</v>
      </c>
      <c r="G3377" s="566">
        <f t="shared" ref="G3377:M3377" si="1962">-G3379+G3380*G3387+G3388*G3389+G3390*G3392+G3391</f>
        <v>-1.7225127511261726</v>
      </c>
      <c r="H3377" s="566">
        <f t="shared" si="1962"/>
        <v>-2.0617732206771975</v>
      </c>
      <c r="I3377" s="566">
        <f t="shared" si="1962"/>
        <v>-2.3119134835064319</v>
      </c>
      <c r="J3377" s="566">
        <f t="shared" si="1962"/>
        <v>-2.8473340827058715</v>
      </c>
      <c r="K3377" s="566">
        <f t="shared" si="1962"/>
        <v>-2.9318346831513074</v>
      </c>
      <c r="L3377" s="566">
        <f t="shared" si="1962"/>
        <v>-3.0287559914485835</v>
      </c>
      <c r="M3377" s="566">
        <f t="shared" si="1962"/>
        <v>-3.1615974711390979</v>
      </c>
    </row>
    <row r="3378" spans="2:13" ht="12.75" hidden="1" outlineLevel="2" x14ac:dyDescent="0.2">
      <c r="F3378"/>
    </row>
    <row r="3379" spans="2:13" hidden="1" outlineLevel="2" x14ac:dyDescent="0.2">
      <c r="B3379" s="496" t="str">
        <f t="shared" ref="B3379:B3392" si="1963">+C3379&amp;D3379&amp;E3379&amp;F3379</f>
        <v>GlobalTTW CO2_Biodiesel (Pyr)tonCO2eq/ton Pyr Oil</v>
      </c>
      <c r="C3379" s="157" t="s">
        <v>109</v>
      </c>
      <c r="D3379" s="157" t="s">
        <v>1248</v>
      </c>
      <c r="E3379" s="157" t="s">
        <v>123</v>
      </c>
      <c r="F3379" s="157" t="s">
        <v>1365</v>
      </c>
      <c r="G3379" s="567">
        <f>INDEX('Fuel Model -  Input'!$B$3:$N$373,MATCH($B3379,'Fuel Model -  Input'!$B$3:$B$373,0),MATCH(G$2,'Fuel Model -  Input'!$B$3:$N$3,0))</f>
        <v>3.2553300000000003</v>
      </c>
      <c r="H3379" s="567">
        <f>INDEX('Fuel Model -  Input'!$B$3:$N$373,MATCH($B3379,'Fuel Model -  Input'!$B$3:$B$373,0),MATCH(H$2,'Fuel Model -  Input'!$B$3:$N$3,0))</f>
        <v>3.2553300000000003</v>
      </c>
      <c r="I3379" s="567">
        <f>INDEX('Fuel Model -  Input'!$B$3:$N$373,MATCH($B3379,'Fuel Model -  Input'!$B$3:$B$373,0),MATCH(I$2,'Fuel Model -  Input'!$B$3:$N$3,0))</f>
        <v>3.2553300000000003</v>
      </c>
      <c r="J3379" s="567">
        <f>INDEX('Fuel Model -  Input'!$B$3:$N$373,MATCH($B3379,'Fuel Model -  Input'!$B$3:$B$373,0),MATCH(J$2,'Fuel Model -  Input'!$B$3:$N$3,0))</f>
        <v>3.2553300000000003</v>
      </c>
      <c r="K3379" s="567">
        <f>INDEX('Fuel Model -  Input'!$B$3:$N$373,MATCH($B3379,'Fuel Model -  Input'!$B$3:$B$373,0),MATCH(K$2,'Fuel Model -  Input'!$B$3:$N$3,0))</f>
        <v>3.2553300000000003</v>
      </c>
      <c r="L3379" s="567">
        <f>INDEX('Fuel Model -  Input'!$B$3:$N$373,MATCH($B3379,'Fuel Model -  Input'!$B$3:$B$373,0),MATCH(L$2,'Fuel Model -  Input'!$B$3:$N$3,0))</f>
        <v>3.2553300000000003</v>
      </c>
      <c r="M3379" s="567">
        <f>INDEX('Fuel Model -  Input'!$B$3:$N$373,MATCH($B3379,'Fuel Model -  Input'!$B$3:$B$373,0),MATCH(M$2,'Fuel Model -  Input'!$B$3:$N$3,0))</f>
        <v>3.2553300000000003</v>
      </c>
    </row>
    <row r="3380" spans="2:13" hidden="1" outlineLevel="2" x14ac:dyDescent="0.2">
      <c r="B3380" s="496" t="str">
        <f t="shared" si="1963"/>
        <v xml:space="preserve">GlobalEmissionsHydrogen usedtonCO2eq/ ton </v>
      </c>
      <c r="C3380" t="s">
        <v>109</v>
      </c>
      <c r="D3380" t="s">
        <v>728</v>
      </c>
      <c r="E3380" t="s">
        <v>1312</v>
      </c>
      <c r="F3380" t="s">
        <v>1016</v>
      </c>
      <c r="G3380" s="521">
        <f>+SUMPRODUCT(G3381:G3383,G3384:G3386)</f>
        <v>9.0612301380000009</v>
      </c>
      <c r="H3380" s="521">
        <f t="shared" ref="H3380:M3380" si="1964">+SUMPRODUCT(H3381:H3383,H3384:H3386)</f>
        <v>6.8606684745762712</v>
      </c>
      <c r="I3380" s="521">
        <f t="shared" si="1964"/>
        <v>5.3456468628586142</v>
      </c>
      <c r="J3380" s="521">
        <f t="shared" si="1964"/>
        <v>1.6361611252163055</v>
      </c>
      <c r="K3380" s="521">
        <f t="shared" si="1964"/>
        <v>1.3952907626047968</v>
      </c>
      <c r="L3380" s="521">
        <f t="shared" si="1964"/>
        <v>1.0588764934406685</v>
      </c>
      <c r="M3380" s="521">
        <f t="shared" si="1964"/>
        <v>0.44615321355932214</v>
      </c>
    </row>
    <row r="3381" spans="2:13" hidden="1" outlineLevel="2" x14ac:dyDescent="0.2">
      <c r="B3381" s="496" t="str">
        <f t="shared" si="1963"/>
        <v xml:space="preserve">GlobalEmissionsWTT Emission - Grey Hydrogen (compressed)tonCO2eq/ ton </v>
      </c>
      <c r="C3381" t="s">
        <v>109</v>
      </c>
      <c r="D3381" t="s">
        <v>728</v>
      </c>
      <c r="E3381" t="s">
        <v>1366</v>
      </c>
      <c r="F3381" t="s">
        <v>1016</v>
      </c>
      <c r="G3381" s="521">
        <f t="shared" ref="G3381:M3383" si="1965">INDEX(G$2:G$2521,MATCH($B3381,$B$2:$B$2521,0))</f>
        <v>9.0612301380000009</v>
      </c>
      <c r="H3381" s="521">
        <f t="shared" si="1965"/>
        <v>9</v>
      </c>
      <c r="I3381" s="521">
        <f t="shared" si="1965"/>
        <v>8.9391836169999994</v>
      </c>
      <c r="J3381" s="521">
        <f t="shared" si="1965"/>
        <v>8.8787781930000005</v>
      </c>
      <c r="K3381" s="521">
        <f t="shared" si="1965"/>
        <v>8.8187809510000008</v>
      </c>
      <c r="L3381" s="521">
        <f t="shared" si="1965"/>
        <v>8.7591891339999997</v>
      </c>
      <c r="M3381" s="521">
        <f t="shared" si="1965"/>
        <v>8.6999999999999993</v>
      </c>
    </row>
    <row r="3382" spans="2:13" hidden="1" outlineLevel="2" x14ac:dyDescent="0.2">
      <c r="B3382" t="str">
        <f t="shared" si="1963"/>
        <v xml:space="preserve">GlobalEmissionsWTT Emission - Blue Hydrogen (compressed)tonCO2eq/ ton </v>
      </c>
      <c r="C3382" s="494" t="s">
        <v>109</v>
      </c>
      <c r="D3382" t="s">
        <v>728</v>
      </c>
      <c r="E3382" s="48" t="s">
        <v>1211</v>
      </c>
      <c r="F3382" t="s">
        <v>1016</v>
      </c>
      <c r="G3382" s="521">
        <f t="shared" si="1965"/>
        <v>1.9865325617428082</v>
      </c>
      <c r="H3382" s="521">
        <f t="shared" si="1965"/>
        <v>1.8688949152542371</v>
      </c>
      <c r="I3382" s="521">
        <f t="shared" si="1965"/>
        <v>1.7521101087172288</v>
      </c>
      <c r="J3382" s="521">
        <f t="shared" si="1965"/>
        <v>1.6361611252163055</v>
      </c>
      <c r="K3382" s="521">
        <f t="shared" si="1965"/>
        <v>1.5210312923520297</v>
      </c>
      <c r="L3382" s="521">
        <f t="shared" si="1965"/>
        <v>1.4067042752465706</v>
      </c>
      <c r="M3382" s="521">
        <f t="shared" si="1965"/>
        <v>1.2931640677966105</v>
      </c>
    </row>
    <row r="3383" spans="2:13" hidden="1" outlineLevel="2" x14ac:dyDescent="0.2">
      <c r="B3383" t="str">
        <f t="shared" si="1963"/>
        <v>GlobalCO2intensityWTT Emission - e-Hydrogen (compressed)tonCO2eq/tonH2</v>
      </c>
      <c r="C3383" s="494" t="s">
        <v>109</v>
      </c>
      <c r="D3383" t="s">
        <v>927</v>
      </c>
      <c r="E3383" s="48" t="s">
        <v>1313</v>
      </c>
      <c r="F3383" t="s">
        <v>929</v>
      </c>
      <c r="G3383" s="521">
        <f t="shared" si="1965"/>
        <v>0.29135003961027883</v>
      </c>
      <c r="H3383" s="521">
        <f t="shared" si="1965"/>
        <v>0.28997999999999996</v>
      </c>
      <c r="I3383" s="521">
        <f t="shared" si="1965"/>
        <v>0.28613027529683921</v>
      </c>
      <c r="J3383" s="521">
        <f t="shared" si="1965"/>
        <v>0.27590526085528511</v>
      </c>
      <c r="K3383" s="521">
        <f t="shared" si="1965"/>
        <v>0.26362599487969951</v>
      </c>
      <c r="L3383" s="521">
        <f t="shared" si="1965"/>
        <v>0.24727833589356388</v>
      </c>
      <c r="M3383" s="521">
        <f t="shared" si="1965"/>
        <v>0.23440049999999998</v>
      </c>
    </row>
    <row r="3384" spans="2:13" hidden="1" outlineLevel="2" x14ac:dyDescent="0.2">
      <c r="B3384" t="str">
        <f t="shared" si="1963"/>
        <v>GlobalFeedstockFP hydrogen fraction - Grey%</v>
      </c>
      <c r="C3384" s="494" t="s">
        <v>109</v>
      </c>
      <c r="D3384" t="s">
        <v>777</v>
      </c>
      <c r="E3384" s="48" t="s">
        <v>1357</v>
      </c>
      <c r="F3384" t="s">
        <v>178</v>
      </c>
      <c r="G3384" s="531">
        <f>INDEX('Fuel Model -  Input'!$B$3:$N$373,MATCH($B3384,'Fuel Model -  Input'!$B$3:$B$373,0),MATCH(G$2,'Fuel Model -  Input'!$B$3:$N$3,0))</f>
        <v>1</v>
      </c>
      <c r="H3384" s="531">
        <f>INDEX('Fuel Model -  Input'!$B$3:$N$373,MATCH($B3384,'Fuel Model -  Input'!$B$3:$B$373,0),MATCH(H$2,'Fuel Model -  Input'!$B$3:$N$3,0))</f>
        <v>0.7</v>
      </c>
      <c r="I3384" s="531">
        <f>INDEX('Fuel Model -  Input'!$B$3:$N$373,MATCH($B3384,'Fuel Model -  Input'!$B$3:$B$373,0),MATCH(I$2,'Fuel Model -  Input'!$B$3:$N$3,0))</f>
        <v>0.5</v>
      </c>
      <c r="J3384" s="531">
        <f>INDEX('Fuel Model -  Input'!$B$3:$N$373,MATCH($B3384,'Fuel Model -  Input'!$B$3:$B$373,0),MATCH(J$2,'Fuel Model -  Input'!$B$3:$N$3,0))</f>
        <v>0</v>
      </c>
      <c r="K3384" s="531">
        <f>INDEX('Fuel Model -  Input'!$B$3:$N$373,MATCH($B3384,'Fuel Model -  Input'!$B$3:$B$373,0),MATCH(K$2,'Fuel Model -  Input'!$B$3:$N$3,0))</f>
        <v>0</v>
      </c>
      <c r="L3384" s="531">
        <f>INDEX('Fuel Model -  Input'!$B$3:$N$373,MATCH($B3384,'Fuel Model -  Input'!$B$3:$B$373,0),MATCH(L$2,'Fuel Model -  Input'!$B$3:$N$3,0))</f>
        <v>0</v>
      </c>
      <c r="M3384" s="531">
        <f>INDEX('Fuel Model -  Input'!$B$3:$N$373,MATCH($B3384,'Fuel Model -  Input'!$B$3:$B$373,0),MATCH(M$2,'Fuel Model -  Input'!$B$3:$N$3,0))</f>
        <v>0</v>
      </c>
    </row>
    <row r="3385" spans="2:13" hidden="1" outlineLevel="2" x14ac:dyDescent="0.2">
      <c r="B3385" t="str">
        <f t="shared" si="1963"/>
        <v>GlobalFeedstockFP hydrogen fraction - Blue%</v>
      </c>
      <c r="C3385" s="494" t="s">
        <v>109</v>
      </c>
      <c r="D3385" t="s">
        <v>777</v>
      </c>
      <c r="E3385" s="48" t="s">
        <v>1358</v>
      </c>
      <c r="F3385" t="s">
        <v>178</v>
      </c>
      <c r="G3385" s="531">
        <f>INDEX('Fuel Model -  Input'!$B$3:$N$373,MATCH($B3385,'Fuel Model -  Input'!$B$3:$B$373,0),MATCH(G$2,'Fuel Model -  Input'!$B$3:$N$3,0))</f>
        <v>0</v>
      </c>
      <c r="H3385" s="531">
        <f>INDEX('Fuel Model -  Input'!$B$3:$N$373,MATCH($B3385,'Fuel Model -  Input'!$B$3:$B$373,0),MATCH(H$2,'Fuel Model -  Input'!$B$3:$N$3,0))</f>
        <v>0.3</v>
      </c>
      <c r="I3385" s="531">
        <f>INDEX('Fuel Model -  Input'!$B$3:$N$373,MATCH($B3385,'Fuel Model -  Input'!$B$3:$B$373,0),MATCH(I$2,'Fuel Model -  Input'!$B$3:$N$3,0))</f>
        <v>0.5</v>
      </c>
      <c r="J3385" s="531">
        <f>INDEX('Fuel Model -  Input'!$B$3:$N$373,MATCH($B3385,'Fuel Model -  Input'!$B$3:$B$373,0),MATCH(J$2,'Fuel Model -  Input'!$B$3:$N$3,0))</f>
        <v>1</v>
      </c>
      <c r="K3385" s="531">
        <f>INDEX('Fuel Model -  Input'!$B$3:$N$373,MATCH($B3385,'Fuel Model -  Input'!$B$3:$B$373,0),MATCH(K$2,'Fuel Model -  Input'!$B$3:$N$3,0))</f>
        <v>0.9</v>
      </c>
      <c r="L3385" s="531">
        <f>INDEX('Fuel Model -  Input'!$B$3:$N$373,MATCH($B3385,'Fuel Model -  Input'!$B$3:$B$373,0),MATCH(L$2,'Fuel Model -  Input'!$B$3:$N$3,0))</f>
        <v>0.7</v>
      </c>
      <c r="M3385" s="531">
        <f>INDEX('Fuel Model -  Input'!$B$3:$N$373,MATCH($B3385,'Fuel Model -  Input'!$B$3:$B$373,0),MATCH(M$2,'Fuel Model -  Input'!$B$3:$N$3,0))</f>
        <v>0.2</v>
      </c>
    </row>
    <row r="3386" spans="2:13" hidden="1" outlineLevel="2" x14ac:dyDescent="0.2">
      <c r="B3386" t="str">
        <f t="shared" si="1963"/>
        <v>GlobalFeedstockFP hydrogen fraction - Green%</v>
      </c>
      <c r="C3386" s="494" t="s">
        <v>109</v>
      </c>
      <c r="D3386" t="s">
        <v>777</v>
      </c>
      <c r="E3386" s="48" t="s">
        <v>1359</v>
      </c>
      <c r="F3386" t="s">
        <v>178</v>
      </c>
      <c r="G3386" s="531">
        <f>INDEX('Fuel Model -  Input'!$B$3:$N$373,MATCH($B3386,'Fuel Model -  Input'!$B$3:$B$373,0),MATCH(G$2,'Fuel Model -  Input'!$B$3:$N$3,0))</f>
        <v>0</v>
      </c>
      <c r="H3386" s="531">
        <f>INDEX('Fuel Model -  Input'!$B$3:$N$373,MATCH($B3386,'Fuel Model -  Input'!$B$3:$B$373,0),MATCH(H$2,'Fuel Model -  Input'!$B$3:$N$3,0))</f>
        <v>0</v>
      </c>
      <c r="I3386" s="531">
        <f>INDEX('Fuel Model -  Input'!$B$3:$N$373,MATCH($B3386,'Fuel Model -  Input'!$B$3:$B$373,0),MATCH(I$2,'Fuel Model -  Input'!$B$3:$N$3,0))</f>
        <v>0</v>
      </c>
      <c r="J3386" s="531">
        <f>INDEX('Fuel Model -  Input'!$B$3:$N$373,MATCH($B3386,'Fuel Model -  Input'!$B$3:$B$373,0),MATCH(J$2,'Fuel Model -  Input'!$B$3:$N$3,0))</f>
        <v>0</v>
      </c>
      <c r="K3386" s="531">
        <f>INDEX('Fuel Model -  Input'!$B$3:$N$373,MATCH($B3386,'Fuel Model -  Input'!$B$3:$B$373,0),MATCH(K$2,'Fuel Model -  Input'!$B$3:$N$3,0))</f>
        <v>0.1</v>
      </c>
      <c r="L3386" s="531">
        <f>INDEX('Fuel Model -  Input'!$B$3:$N$373,MATCH($B3386,'Fuel Model -  Input'!$B$3:$B$373,0),MATCH(L$2,'Fuel Model -  Input'!$B$3:$N$3,0))</f>
        <v>0.3</v>
      </c>
      <c r="M3386" s="531">
        <f>INDEX('Fuel Model -  Input'!$B$3:$N$373,MATCH($B3386,'Fuel Model -  Input'!$B$3:$B$373,0),MATCH(M$2,'Fuel Model -  Input'!$B$3:$N$3,0))</f>
        <v>0.8</v>
      </c>
    </row>
    <row r="3387" spans="2:13" hidden="1" outlineLevel="2" x14ac:dyDescent="0.2">
      <c r="B3387" s="496" t="str">
        <f t="shared" si="1963"/>
        <v>GlobalFeedstockConversion Hydrogen : FP oilTon feedstock / ton fuel</v>
      </c>
      <c r="C3387" t="s">
        <v>109</v>
      </c>
      <c r="D3387" t="s">
        <v>777</v>
      </c>
      <c r="E3387" t="s">
        <v>1356</v>
      </c>
      <c r="F3387" t="s">
        <v>1241</v>
      </c>
      <c r="G3387" s="520">
        <f>INDEX('Fuel Model -  Input'!$B$3:$N$373,MATCH($B3387,'Fuel Model -  Input'!$B$3:$B$373,0),MATCH(G$2,'Fuel Model -  Input'!$B$3:$N$3,0))</f>
        <v>0.13</v>
      </c>
      <c r="H3387" s="520">
        <f>INDEX('Fuel Model -  Input'!$B$3:$N$373,MATCH($B3387,'Fuel Model -  Input'!$B$3:$B$373,0),MATCH(H$2,'Fuel Model -  Input'!$B$3:$N$3,0))</f>
        <v>0.13</v>
      </c>
      <c r="I3387" s="520">
        <f>INDEX('Fuel Model -  Input'!$B$3:$N$373,MATCH($B3387,'Fuel Model -  Input'!$B$3:$B$373,0),MATCH(I$2,'Fuel Model -  Input'!$B$3:$N$3,0))</f>
        <v>0.13</v>
      </c>
      <c r="J3387" s="520">
        <f>INDEX('Fuel Model -  Input'!$B$3:$N$373,MATCH($B3387,'Fuel Model -  Input'!$B$3:$B$373,0),MATCH(J$2,'Fuel Model -  Input'!$B$3:$N$3,0))</f>
        <v>0.13</v>
      </c>
      <c r="K3387" s="520">
        <f>INDEX('Fuel Model -  Input'!$B$3:$N$373,MATCH($B3387,'Fuel Model -  Input'!$B$3:$B$373,0),MATCH(K$2,'Fuel Model -  Input'!$B$3:$N$3,0))</f>
        <v>0.13</v>
      </c>
      <c r="L3387" s="520">
        <f>INDEX('Fuel Model -  Input'!$B$3:$N$373,MATCH($B3387,'Fuel Model -  Input'!$B$3:$B$373,0),MATCH(L$2,'Fuel Model -  Input'!$B$3:$N$3,0))</f>
        <v>0.13</v>
      </c>
      <c r="M3387" s="520">
        <f>INDEX('Fuel Model -  Input'!$B$3:$N$373,MATCH($B3387,'Fuel Model -  Input'!$B$3:$B$373,0),MATCH(M$2,'Fuel Model -  Input'!$B$3:$N$3,0))</f>
        <v>0.13</v>
      </c>
    </row>
    <row r="3388" spans="2:13" hidden="1" outlineLevel="2" x14ac:dyDescent="0.2">
      <c r="B3388" s="496" t="str">
        <f t="shared" si="1963"/>
        <v>GlobalCO2intensityElectricitytonCO2eq/MWH</v>
      </c>
      <c r="C3388" t="s">
        <v>109</v>
      </c>
      <c r="D3388" t="s">
        <v>927</v>
      </c>
      <c r="E3388" t="s">
        <v>54</v>
      </c>
      <c r="F3388" t="s">
        <v>937</v>
      </c>
      <c r="G3388" s="520">
        <f>INDEX('Fuel Model -  Input'!$B$3:$N$373,MATCH($B3388,'Fuel Model -  Input'!$B$3:$B$373,0),MATCH(G$2,'Fuel Model -  Input'!$B$3:$N$3,0))</f>
        <v>5.3699999999999998E-3</v>
      </c>
      <c r="H3388" s="520">
        <f>INDEX('Fuel Model -  Input'!$B$3:$N$373,MATCH($B3388,'Fuel Model -  Input'!$B$3:$B$373,0),MATCH(H$2,'Fuel Model -  Input'!$B$3:$N$3,0))</f>
        <v>5.3699999999999998E-3</v>
      </c>
      <c r="I3388" s="520">
        <f>INDEX('Fuel Model -  Input'!$B$3:$N$373,MATCH($B3388,'Fuel Model -  Input'!$B$3:$B$373,0),MATCH(I$2,'Fuel Model -  Input'!$B$3:$N$3,0))</f>
        <v>5.3699999999999998E-3</v>
      </c>
      <c r="J3388" s="520">
        <f>INDEX('Fuel Model -  Input'!$B$3:$N$373,MATCH($B3388,'Fuel Model -  Input'!$B$3:$B$373,0),MATCH(J$2,'Fuel Model -  Input'!$B$3:$N$3,0))</f>
        <v>5.3699999999999998E-3</v>
      </c>
      <c r="K3388" s="520">
        <f>INDEX('Fuel Model -  Input'!$B$3:$N$373,MATCH($B3388,'Fuel Model -  Input'!$B$3:$B$373,0),MATCH(K$2,'Fuel Model -  Input'!$B$3:$N$3,0))</f>
        <v>5.3699999999999998E-3</v>
      </c>
      <c r="L3388" s="520">
        <f>INDEX('Fuel Model -  Input'!$B$3:$N$373,MATCH($B3388,'Fuel Model -  Input'!$B$3:$B$373,0),MATCH(L$2,'Fuel Model -  Input'!$B$3:$N$3,0))</f>
        <v>5.3699999999999998E-3</v>
      </c>
      <c r="M3388" s="520">
        <f>INDEX('Fuel Model -  Input'!$B$3:$N$373,MATCH($B3388,'Fuel Model -  Input'!$B$3:$B$373,0),MATCH(M$2,'Fuel Model -  Input'!$B$3:$N$3,0))</f>
        <v>5.3699999999999998E-3</v>
      </c>
    </row>
    <row r="3389" spans="2:13" hidden="1" outlineLevel="2" x14ac:dyDescent="0.2">
      <c r="B3389" s="496" t="str">
        <f t="shared" si="1963"/>
        <v>GlobalFeedstockFP blend grade plant electricity demandMWh/ton fuel</v>
      </c>
      <c r="C3389" t="s">
        <v>109</v>
      </c>
      <c r="D3389" t="s">
        <v>777</v>
      </c>
      <c r="E3389" t="s">
        <v>1367</v>
      </c>
      <c r="F3389" t="s">
        <v>1298</v>
      </c>
      <c r="G3389" s="520">
        <f>INDEX('Fuel Model -  Input'!$B$3:$N$373,MATCH($B3389,'Fuel Model -  Input'!$B$3:$B$373,0),MATCH(G$2,'Fuel Model -  Input'!$B$3:$N$3,0))</f>
        <v>5.1081730769230768E-2</v>
      </c>
      <c r="H3389" s="520">
        <f>INDEX('Fuel Model -  Input'!$B$3:$N$373,MATCH($B3389,'Fuel Model -  Input'!$B$3:$B$373,0),MATCH(H$2,'Fuel Model -  Input'!$B$3:$N$3,0))</f>
        <v>5.1081730769230768E-2</v>
      </c>
      <c r="I3389" s="520">
        <f>INDEX('Fuel Model -  Input'!$B$3:$N$373,MATCH($B3389,'Fuel Model -  Input'!$B$3:$B$373,0),MATCH(I$2,'Fuel Model -  Input'!$B$3:$N$3,0))</f>
        <v>5.1081730769230768E-2</v>
      </c>
      <c r="J3389" s="520">
        <f>INDEX('Fuel Model -  Input'!$B$3:$N$373,MATCH($B3389,'Fuel Model -  Input'!$B$3:$B$373,0),MATCH(J$2,'Fuel Model -  Input'!$B$3:$N$3,0))</f>
        <v>5.1081730769230768E-2</v>
      </c>
      <c r="K3389" s="520">
        <f>INDEX('Fuel Model -  Input'!$B$3:$N$373,MATCH($B3389,'Fuel Model -  Input'!$B$3:$B$373,0),MATCH(K$2,'Fuel Model -  Input'!$B$3:$N$3,0))</f>
        <v>5.1081730769230768E-2</v>
      </c>
      <c r="L3389" s="520">
        <f>INDEX('Fuel Model -  Input'!$B$3:$N$373,MATCH($B3389,'Fuel Model -  Input'!$B$3:$B$373,0),MATCH(L$2,'Fuel Model -  Input'!$B$3:$N$3,0))</f>
        <v>5.1081730769230768E-2</v>
      </c>
      <c r="M3389" s="520">
        <f>INDEX('Fuel Model -  Input'!$B$3:$N$373,MATCH($B3389,'Fuel Model -  Input'!$B$3:$B$373,0),MATCH(M$2,'Fuel Model -  Input'!$B$3:$N$3,0))</f>
        <v>5.1081730769230768E-2</v>
      </c>
    </row>
    <row r="3390" spans="2:13" hidden="1" outlineLevel="2" x14ac:dyDescent="0.2">
      <c r="B3390" s="496" t="str">
        <f t="shared" si="1963"/>
        <v>GlobalFeedstockConversion Dry Wood biomass : FP oilTon feedstock / ton fuel</v>
      </c>
      <c r="C3390" t="s">
        <v>109</v>
      </c>
      <c r="D3390" t="s">
        <v>777</v>
      </c>
      <c r="E3390" t="s">
        <v>1361</v>
      </c>
      <c r="F3390" t="s">
        <v>1241</v>
      </c>
      <c r="G3390" s="520">
        <f>INDEX('Fuel Model -  Input'!$B$3:$N$373,MATCH($B3390,'Fuel Model -  Input'!$B$3:$B$373,0),MATCH(G$2,'Fuel Model -  Input'!$B$3:$N$3,0))</f>
        <v>3.9398113559955168</v>
      </c>
      <c r="H3390" s="520">
        <f>INDEX('Fuel Model -  Input'!$B$3:$N$373,MATCH($B3390,'Fuel Model -  Input'!$B$3:$B$373,0),MATCH(H$2,'Fuel Model -  Input'!$B$3:$N$3,0))</f>
        <v>3.9398113559955168</v>
      </c>
      <c r="I3390" s="520">
        <f>INDEX('Fuel Model -  Input'!$B$3:$N$373,MATCH($B3390,'Fuel Model -  Input'!$B$3:$B$373,0),MATCH(I$2,'Fuel Model -  Input'!$B$3:$N$3,0))</f>
        <v>3.9398113559955168</v>
      </c>
      <c r="J3390" s="520">
        <f>INDEX('Fuel Model -  Input'!$B$3:$N$373,MATCH($B3390,'Fuel Model -  Input'!$B$3:$B$373,0),MATCH(J$2,'Fuel Model -  Input'!$B$3:$N$3,0))</f>
        <v>3.9398113559955168</v>
      </c>
      <c r="K3390" s="520">
        <f>INDEX('Fuel Model -  Input'!$B$3:$N$373,MATCH($B3390,'Fuel Model -  Input'!$B$3:$B$373,0),MATCH(K$2,'Fuel Model -  Input'!$B$3:$N$3,0))</f>
        <v>3.9398113559955168</v>
      </c>
      <c r="L3390" s="520">
        <f>INDEX('Fuel Model -  Input'!$B$3:$N$373,MATCH($B3390,'Fuel Model -  Input'!$B$3:$B$373,0),MATCH(L$2,'Fuel Model -  Input'!$B$3:$N$3,0))</f>
        <v>3.9398113559955168</v>
      </c>
      <c r="M3390" s="520">
        <f>INDEX('Fuel Model -  Input'!$B$3:$N$373,MATCH($B3390,'Fuel Model -  Input'!$B$3:$B$373,0),MATCH(M$2,'Fuel Model -  Input'!$B$3:$N$3,0))</f>
        <v>3.9398113559955168</v>
      </c>
    </row>
    <row r="3391" spans="2:13" hidden="1" outlineLevel="2" x14ac:dyDescent="0.2">
      <c r="B3391" s="496" t="str">
        <f t="shared" si="1963"/>
        <v>GlobalCO2intensityFP processtonCO2eq/ton FP oil</v>
      </c>
      <c r="C3391" t="s">
        <v>109</v>
      </c>
      <c r="D3391" s="86" t="s">
        <v>927</v>
      </c>
      <c r="E3391" s="86" t="s">
        <v>1368</v>
      </c>
      <c r="F3391" t="s">
        <v>1369</v>
      </c>
      <c r="G3391" s="520">
        <f>INDEX('Fuel Model -  Input'!$B$3:$N$373,MATCH($B3391,'Fuel Model -  Input'!$B$3:$B$373,0),MATCH(G$2,'Fuel Model -  Input'!$B$3:$N$3,0))</f>
        <v>0</v>
      </c>
      <c r="H3391" s="520">
        <f>INDEX('Fuel Model -  Input'!$B$3:$N$373,MATCH($B3391,'Fuel Model -  Input'!$B$3:$B$373,0),MATCH(H$2,'Fuel Model -  Input'!$B$3:$N$3,0))</f>
        <v>0</v>
      </c>
      <c r="I3391" s="520">
        <f>INDEX('Fuel Model -  Input'!$B$3:$N$373,MATCH($B3391,'Fuel Model -  Input'!$B$3:$B$373,0),MATCH(I$2,'Fuel Model -  Input'!$B$3:$N$3,0))</f>
        <v>0</v>
      </c>
      <c r="J3391" s="520">
        <f>INDEX('Fuel Model -  Input'!$B$3:$N$373,MATCH($B3391,'Fuel Model -  Input'!$B$3:$B$373,0),MATCH(J$2,'Fuel Model -  Input'!$B$3:$N$3,0))</f>
        <v>0</v>
      </c>
      <c r="K3391" s="520">
        <f>INDEX('Fuel Model -  Input'!$B$3:$N$373,MATCH($B3391,'Fuel Model -  Input'!$B$3:$B$373,0),MATCH(K$2,'Fuel Model -  Input'!$B$3:$N$3,0))</f>
        <v>0</v>
      </c>
      <c r="L3391" s="520">
        <f>INDEX('Fuel Model -  Input'!$B$3:$N$373,MATCH($B3391,'Fuel Model -  Input'!$B$3:$B$373,0),MATCH(L$2,'Fuel Model -  Input'!$B$3:$N$3,0))</f>
        <v>0</v>
      </c>
      <c r="M3391" s="520">
        <f>INDEX('Fuel Model -  Input'!$B$3:$N$373,MATCH($B3391,'Fuel Model -  Input'!$B$3:$B$373,0),MATCH(M$2,'Fuel Model -  Input'!$B$3:$N$3,0))</f>
        <v>0</v>
      </c>
    </row>
    <row r="3392" spans="2:13" hidden="1" outlineLevel="2" x14ac:dyDescent="0.2">
      <c r="B3392" s="496" t="str">
        <f t="shared" si="1963"/>
        <v>GlobalCO2intensityWTT Wood biomasstonCO2eq/ton</v>
      </c>
      <c r="C3392" t="s">
        <v>109</v>
      </c>
      <c r="D3392" s="530" t="s">
        <v>927</v>
      </c>
      <c r="E3392" s="530" t="s">
        <v>1253</v>
      </c>
      <c r="F3392" s="157" t="s">
        <v>1252</v>
      </c>
      <c r="G3392" s="520">
        <f>INDEX('Fuel Model -  Input'!$B$3:$N$373,MATCH($B3392,'Fuel Model -  Input'!$B$3:$B$373,0),MATCH(G$2,'Fuel Model -  Input'!$B$3:$N$3,0))</f>
        <v>0.09</v>
      </c>
      <c r="H3392" s="520">
        <f>INDEX('Fuel Model -  Input'!$B$3:$N$373,MATCH($B3392,'Fuel Model -  Input'!$B$3:$B$373,0),MATCH(H$2,'Fuel Model -  Input'!$B$3:$N$3,0))</f>
        <v>7.6499999999999999E-2</v>
      </c>
      <c r="I3392" s="520">
        <f>INDEX('Fuel Model -  Input'!$B$3:$N$373,MATCH($B3392,'Fuel Model -  Input'!$B$3:$B$373,0),MATCH(I$2,'Fuel Model -  Input'!$B$3:$N$3,0))</f>
        <v>6.3E-2</v>
      </c>
      <c r="J3392" s="520">
        <f>INDEX('Fuel Model -  Input'!$B$3:$N$373,MATCH($B3392,'Fuel Model -  Input'!$B$3:$B$373,0),MATCH(J$2,'Fuel Model -  Input'!$B$3:$N$3,0))</f>
        <v>4.9499999999999995E-2</v>
      </c>
      <c r="K3392" s="520">
        <f>INDEX('Fuel Model -  Input'!$B$3:$N$373,MATCH($B3392,'Fuel Model -  Input'!$B$3:$B$373,0),MATCH(K$2,'Fuel Model -  Input'!$B$3:$N$3,0))</f>
        <v>3.599999999999999E-2</v>
      </c>
      <c r="L3392" s="520">
        <f>INDEX('Fuel Model -  Input'!$B$3:$N$373,MATCH($B3392,'Fuel Model -  Input'!$B$3:$B$373,0),MATCH(L$2,'Fuel Model -  Input'!$B$3:$N$3,0))</f>
        <v>2.2499999999999992E-2</v>
      </c>
      <c r="M3392" s="520">
        <f>INDEX('Fuel Model -  Input'!$B$3:$N$373,MATCH($B3392,'Fuel Model -  Input'!$B$3:$B$373,0),MATCH(M$2,'Fuel Model -  Input'!$B$3:$N$3,0))</f>
        <v>8.9999999999999993E-3</v>
      </c>
    </row>
    <row r="3393" spans="2:15" ht="12.75" hidden="1" outlineLevel="1" x14ac:dyDescent="0.2">
      <c r="F3393"/>
    </row>
    <row r="3394" spans="2:15" ht="15" hidden="1" outlineLevel="1" x14ac:dyDescent="0.25">
      <c r="B3394" s="30" t="s">
        <v>1370</v>
      </c>
      <c r="F3394"/>
    </row>
    <row r="3395" spans="2:15" ht="15" hidden="1" outlineLevel="1" x14ac:dyDescent="0.25">
      <c r="B3395" s="541" t="str">
        <f>+C3395&amp;D3395&amp;E3395&amp;F3395</f>
        <v>GlobalResultsAverage Primary EE of Biodiesel (Pyr)%</v>
      </c>
      <c r="C3395" s="516" t="s">
        <v>109</v>
      </c>
      <c r="D3395" s="516" t="s">
        <v>838</v>
      </c>
      <c r="E3395" s="516" t="s">
        <v>1371</v>
      </c>
      <c r="F3395" s="512" t="s">
        <v>178</v>
      </c>
      <c r="G3395" s="569">
        <v>0</v>
      </c>
      <c r="H3395" s="569">
        <v>0</v>
      </c>
      <c r="I3395" s="569">
        <v>0</v>
      </c>
      <c r="J3395" s="569">
        <v>0</v>
      </c>
      <c r="K3395" s="569">
        <v>0</v>
      </c>
      <c r="L3395" s="569">
        <v>0</v>
      </c>
      <c r="M3395" s="569">
        <v>0</v>
      </c>
    </row>
    <row r="3396" spans="2:15" hidden="1" outlineLevel="2" x14ac:dyDescent="0.2">
      <c r="B3396" s="496"/>
      <c r="C3396" s="157"/>
      <c r="D3396" s="157"/>
      <c r="E3396" s="157"/>
      <c r="G3396" s="530"/>
      <c r="H3396" s="530"/>
      <c r="I3396" s="530"/>
      <c r="J3396" s="530"/>
      <c r="K3396" s="530"/>
      <c r="L3396" s="530"/>
      <c r="M3396" s="530"/>
    </row>
    <row r="3397" spans="2:15" hidden="1" outlineLevel="2" x14ac:dyDescent="0.2">
      <c r="B3397" s="496" t="str">
        <f>+C3397&amp;D3397&amp;E3397&amp;F3397</f>
        <v>GlobalLHVLHV dry wood BiomassMJ/ ton</v>
      </c>
      <c r="C3397" s="157" t="s">
        <v>109</v>
      </c>
      <c r="D3397" s="157" t="s">
        <v>582</v>
      </c>
      <c r="E3397" s="157" t="s">
        <v>1256</v>
      </c>
      <c r="F3397" s="157" t="s">
        <v>583</v>
      </c>
      <c r="G3397" s="499">
        <f>+INDEX('Fuel Model -  Input'!$B$3:$N$373,MATCH($B3397,'Fuel Model -  Input'!$B$3:$B$373,0),MATCH(G$2,'Fuel Model -  Input'!$B$3:$N$3,0))</f>
        <v>21500</v>
      </c>
      <c r="H3397" s="499">
        <f>+INDEX('Fuel Model -  Input'!$B$3:$N$373,MATCH($B3397,'Fuel Model -  Input'!$B$3:$B$373,0),MATCH(H$2,'Fuel Model -  Input'!$B$3:$N$3,0))</f>
        <v>21500</v>
      </c>
      <c r="I3397" s="499">
        <f>+INDEX('Fuel Model -  Input'!$B$3:$N$373,MATCH($B3397,'Fuel Model -  Input'!$B$3:$B$373,0),MATCH(I$2,'Fuel Model -  Input'!$B$3:$N$3,0))</f>
        <v>21500</v>
      </c>
      <c r="J3397" s="499">
        <f>+INDEX('Fuel Model -  Input'!$B$3:$N$373,MATCH($B3397,'Fuel Model -  Input'!$B$3:$B$373,0),MATCH(J$2,'Fuel Model -  Input'!$B$3:$N$3,0))</f>
        <v>21500</v>
      </c>
      <c r="K3397" s="499">
        <f>+INDEX('Fuel Model -  Input'!$B$3:$N$373,MATCH($B3397,'Fuel Model -  Input'!$B$3:$B$373,0),MATCH(K$2,'Fuel Model -  Input'!$B$3:$N$3,0))</f>
        <v>21500</v>
      </c>
      <c r="L3397" s="499">
        <f>+INDEX('Fuel Model -  Input'!$B$3:$N$373,MATCH($B3397,'Fuel Model -  Input'!$B$3:$B$373,0),MATCH(L$2,'Fuel Model -  Input'!$B$3:$N$3,0))</f>
        <v>21500</v>
      </c>
      <c r="M3397" s="499">
        <f>+INDEX('Fuel Model -  Input'!$B$3:$N$373,MATCH($B3397,'Fuel Model -  Input'!$B$3:$B$373,0),MATCH(M$2,'Fuel Model -  Input'!$B$3:$N$3,0))</f>
        <v>21500</v>
      </c>
    </row>
    <row r="3398" spans="2:15" hidden="1" outlineLevel="2" x14ac:dyDescent="0.2">
      <c r="B3398" s="496" t="str">
        <f>+C3398&amp;D3398&amp;E3398&amp;F3398</f>
        <v>GlobalLHVBiodiesel (Pyr)MJ/ ton</v>
      </c>
      <c r="C3398" t="s">
        <v>109</v>
      </c>
      <c r="D3398" t="s">
        <v>582</v>
      </c>
      <c r="E3398" t="s">
        <v>123</v>
      </c>
      <c r="F3398" t="s">
        <v>583</v>
      </c>
      <c r="G3398" s="499">
        <f>+INDEX('Fuel Model -  Input'!$B$3:$N$373,MATCH($B3398,'Fuel Model -  Input'!$B$3:$B$373,0),MATCH(G$2,'Fuel Model -  Input'!$B$3:$N$3,0))</f>
        <v>42700</v>
      </c>
      <c r="H3398" s="499">
        <f>+INDEX('Fuel Model -  Input'!$B$3:$N$373,MATCH($B3398,'Fuel Model -  Input'!$B$3:$B$373,0),MATCH(H$2,'Fuel Model -  Input'!$B$3:$N$3,0))</f>
        <v>42700</v>
      </c>
      <c r="I3398" s="499">
        <f>+INDEX('Fuel Model -  Input'!$B$3:$N$373,MATCH($B3398,'Fuel Model -  Input'!$B$3:$B$373,0),MATCH(I$2,'Fuel Model -  Input'!$B$3:$N$3,0))</f>
        <v>42700</v>
      </c>
      <c r="J3398" s="499">
        <f>+INDEX('Fuel Model -  Input'!$B$3:$N$373,MATCH($B3398,'Fuel Model -  Input'!$B$3:$B$373,0),MATCH(J$2,'Fuel Model -  Input'!$B$3:$N$3,0))</f>
        <v>42700</v>
      </c>
      <c r="K3398" s="499">
        <f>+INDEX('Fuel Model -  Input'!$B$3:$N$373,MATCH($B3398,'Fuel Model -  Input'!$B$3:$B$373,0),MATCH(K$2,'Fuel Model -  Input'!$B$3:$N$3,0))</f>
        <v>42700</v>
      </c>
      <c r="L3398" s="499">
        <f>+INDEX('Fuel Model -  Input'!$B$3:$N$373,MATCH($B3398,'Fuel Model -  Input'!$B$3:$B$373,0),MATCH(L$2,'Fuel Model -  Input'!$B$3:$N$3,0))</f>
        <v>42700</v>
      </c>
      <c r="M3398" s="499">
        <f>+INDEX('Fuel Model -  Input'!$B$3:$N$373,MATCH($B3398,'Fuel Model -  Input'!$B$3:$B$373,0),MATCH(M$2,'Fuel Model -  Input'!$B$3:$N$3,0))</f>
        <v>42700</v>
      </c>
    </row>
    <row r="3399" spans="2:15" ht="12.75" hidden="1" outlineLevel="1" x14ac:dyDescent="0.2">
      <c r="F3399"/>
    </row>
    <row r="3400" spans="2:15" ht="15" thickBot="1" x14ac:dyDescent="0.25"/>
    <row r="3401" spans="2:15" ht="15.75" collapsed="1" thickBot="1" x14ac:dyDescent="0.3">
      <c r="B3401" s="561" t="s">
        <v>596</v>
      </c>
      <c r="C3401" s="562" t="str">
        <f>+B3401</f>
        <v>Biodiesel (Pyr blend)</v>
      </c>
      <c r="D3401" s="563"/>
      <c r="E3401" s="563"/>
      <c r="F3401" s="563"/>
      <c r="G3401" s="744">
        <v>2020</v>
      </c>
      <c r="H3401" s="744">
        <v>2025</v>
      </c>
      <c r="I3401" s="744">
        <v>2030</v>
      </c>
      <c r="J3401" s="744">
        <v>2035</v>
      </c>
      <c r="K3401" s="744">
        <v>2040</v>
      </c>
      <c r="L3401" s="744">
        <v>2045</v>
      </c>
      <c r="M3401" s="745">
        <v>2050</v>
      </c>
    </row>
    <row r="3402" spans="2:15" ht="15" hidden="1" outlineLevel="1" x14ac:dyDescent="0.25">
      <c r="B3402" t="str">
        <f>+C3402&amp;D3402&amp;E3402&amp;F3402</f>
        <v>EuropeResultsCost of Biodiesel (Pyr blend)USD/ton</v>
      </c>
      <c r="C3402" t="s">
        <v>195</v>
      </c>
      <c r="D3402" t="s">
        <v>838</v>
      </c>
      <c r="E3402" s="30" t="s">
        <v>1372</v>
      </c>
      <c r="F3402" s="522" t="s">
        <v>205</v>
      </c>
      <c r="G3402" s="8">
        <f t="shared" ref="G3402:M3402" si="1966">G3409</f>
        <v>839.12231315477857</v>
      </c>
      <c r="H3402" s="8">
        <f t="shared" si="1966"/>
        <v>600.77888417236034</v>
      </c>
      <c r="I3402" s="8">
        <f t="shared" si="1966"/>
        <v>480.94074854264682</v>
      </c>
      <c r="J3402" s="8">
        <f t="shared" si="1966"/>
        <v>480.42760497739374</v>
      </c>
      <c r="K3402" s="8">
        <f t="shared" si="1966"/>
        <v>481.5680881026363</v>
      </c>
      <c r="L3402" s="8">
        <f t="shared" si="1966"/>
        <v>483.274479602621</v>
      </c>
      <c r="M3402" s="8">
        <f t="shared" si="1966"/>
        <v>484.99012802943412</v>
      </c>
      <c r="N3402" s="93"/>
    </row>
    <row r="3403" spans="2:15" ht="15" hidden="1" outlineLevel="1" x14ac:dyDescent="0.25">
      <c r="B3403" t="str">
        <f>+C3403&amp;D3403&amp;E3403&amp;F3403</f>
        <v>Middle EastResultsCost of Biodiesel (Pyr blend)USD/ton</v>
      </c>
      <c r="C3403" t="s">
        <v>197</v>
      </c>
      <c r="D3403" t="s">
        <v>838</v>
      </c>
      <c r="E3403" s="30" t="s">
        <v>1372</v>
      </c>
      <c r="F3403" s="522" t="s">
        <v>205</v>
      </c>
      <c r="G3403" s="8">
        <f t="shared" ref="G3403:M3403" si="1967">G3437</f>
        <v>848.01835360820166</v>
      </c>
      <c r="H3403" s="8">
        <f t="shared" si="1967"/>
        <v>609.14126641027224</v>
      </c>
      <c r="I3403" s="8">
        <f t="shared" si="1967"/>
        <v>488.78111609939975</v>
      </c>
      <c r="J3403" s="8">
        <f t="shared" si="1967"/>
        <v>487.69499405365588</v>
      </c>
      <c r="K3403" s="8">
        <f t="shared" si="1967"/>
        <v>489.40632289472859</v>
      </c>
      <c r="L3403" s="8">
        <f t="shared" si="1967"/>
        <v>490.54038523247851</v>
      </c>
      <c r="M3403" s="8">
        <f t="shared" si="1967"/>
        <v>491.69488750764077</v>
      </c>
    </row>
    <row r="3404" spans="2:15" ht="15" hidden="1" outlineLevel="1" x14ac:dyDescent="0.25">
      <c r="B3404" t="str">
        <f>+C3404&amp;D3404&amp;E3404&amp;F3404</f>
        <v>AsiaResultsCost of Biodiesel (Pyr blend)USD/ton</v>
      </c>
      <c r="C3404" t="s">
        <v>198</v>
      </c>
      <c r="D3404" t="s">
        <v>838</v>
      </c>
      <c r="E3404" s="30" t="s">
        <v>1372</v>
      </c>
      <c r="F3404" s="522" t="s">
        <v>205</v>
      </c>
      <c r="G3404" s="8">
        <f t="shared" ref="G3404:M3404" si="1968">G3465</f>
        <v>824.20334896726308</v>
      </c>
      <c r="H3404" s="8">
        <f t="shared" si="1968"/>
        <v>585.58231451157519</v>
      </c>
      <c r="I3404" s="8">
        <f t="shared" si="1968"/>
        <v>465.14819719438447</v>
      </c>
      <c r="J3404" s="8">
        <f t="shared" si="1968"/>
        <v>464.58205053555361</v>
      </c>
      <c r="K3404" s="8">
        <f t="shared" si="1968"/>
        <v>466.26847882814525</v>
      </c>
      <c r="L3404" s="8">
        <f t="shared" si="1968"/>
        <v>467.38423169081449</v>
      </c>
      <c r="M3404" s="8">
        <f t="shared" si="1968"/>
        <v>469.09884314207932</v>
      </c>
    </row>
    <row r="3405" spans="2:15" ht="15" hidden="1" outlineLevel="1" x14ac:dyDescent="0.25">
      <c r="B3405" t="str">
        <f>+C3405&amp;D3405&amp;E3405&amp;F3405</f>
        <v>AmericasResultsCost of Biodiesel (Pyr blend)USD/ton</v>
      </c>
      <c r="C3405" t="s">
        <v>199</v>
      </c>
      <c r="D3405" t="s">
        <v>838</v>
      </c>
      <c r="E3405" s="30" t="s">
        <v>1372</v>
      </c>
      <c r="F3405" s="522" t="s">
        <v>205</v>
      </c>
      <c r="G3405" s="8">
        <f t="shared" ref="G3405:M3405" si="1969">G3493</f>
        <v>833.2013615347737</v>
      </c>
      <c r="H3405" s="8">
        <f t="shared" si="1969"/>
        <v>594.39123278430782</v>
      </c>
      <c r="I3405" s="8">
        <f t="shared" si="1969"/>
        <v>474.58369708893866</v>
      </c>
      <c r="J3405" s="8">
        <f t="shared" si="1969"/>
        <v>473.50865754415526</v>
      </c>
      <c r="K3405" s="8">
        <f t="shared" si="1969"/>
        <v>474.64275673919042</v>
      </c>
      <c r="L3405" s="8">
        <f t="shared" si="1969"/>
        <v>476.36792040757933</v>
      </c>
      <c r="M3405" s="8">
        <f t="shared" si="1969"/>
        <v>477.52873897273315</v>
      </c>
    </row>
    <row r="3406" spans="2:15" ht="15" hidden="1" outlineLevel="1" x14ac:dyDescent="0.25">
      <c r="B3406" t="str">
        <f>+C3406&amp;D3406&amp;E3406&amp;F3406</f>
        <v>AfricaResultsCost of Biodiesel (Pyr blend)USD/ton</v>
      </c>
      <c r="C3406" t="s">
        <v>200</v>
      </c>
      <c r="D3406" t="s">
        <v>838</v>
      </c>
      <c r="E3406" s="30" t="s">
        <v>1372</v>
      </c>
      <c r="F3406" s="522" t="s">
        <v>205</v>
      </c>
      <c r="G3406" s="8">
        <f t="shared" ref="G3406:M3406" si="1970">G3521</f>
        <v>851.42665975495208</v>
      </c>
      <c r="H3406" s="8">
        <f t="shared" si="1970"/>
        <v>612.7175234021397</v>
      </c>
      <c r="I3406" s="8">
        <f t="shared" si="1970"/>
        <v>492.86193757803193</v>
      </c>
      <c r="J3406" s="8">
        <f t="shared" si="1970"/>
        <v>492.88878710430265</v>
      </c>
      <c r="K3406" s="8">
        <f t="shared" si="1970"/>
        <v>494.59093679488359</v>
      </c>
      <c r="L3406" s="8">
        <f t="shared" si="1970"/>
        <v>496.29199865078891</v>
      </c>
      <c r="M3406" s="8">
        <f t="shared" si="1970"/>
        <v>498.01320668261388</v>
      </c>
    </row>
    <row r="3407" spans="2:15" ht="12.75" hidden="1" outlineLevel="1" x14ac:dyDescent="0.2">
      <c r="F3407"/>
    </row>
    <row r="3408" spans="2:15" s="30" customFormat="1" ht="15" hidden="1" outlineLevel="1" collapsed="1" x14ac:dyDescent="0.25">
      <c r="B3408" s="30" t="s">
        <v>195</v>
      </c>
      <c r="C3408" s="30" t="s">
        <v>195</v>
      </c>
      <c r="G3408" s="564"/>
      <c r="O3408" s="564"/>
    </row>
    <row r="3409" spans="2:13" ht="15" hidden="1" outlineLevel="2" x14ac:dyDescent="0.25">
      <c r="B3409" t="str">
        <f>+C3409&amp;D3409&amp;E3409&amp;F3409</f>
        <v>EuropeResultsTotal cost of Biodiesel (Pyr blend)USD/ton</v>
      </c>
      <c r="C3409" s="494" t="str">
        <f>+$C$3221</f>
        <v>Europe</v>
      </c>
      <c r="D3409" s="30" t="s">
        <v>838</v>
      </c>
      <c r="E3409" s="405" t="s">
        <v>1373</v>
      </c>
      <c r="F3409" s="127" t="s">
        <v>205</v>
      </c>
      <c r="G3409" s="490">
        <f>+SUM(G3410:G3412)</f>
        <v>839.12231315477857</v>
      </c>
      <c r="H3409" s="490">
        <f t="shared" ref="H3409:M3409" si="1971">+SUM(H3410:H3412)</f>
        <v>600.77888417236034</v>
      </c>
      <c r="I3409" s="490">
        <f t="shared" si="1971"/>
        <v>480.94074854264682</v>
      </c>
      <c r="J3409" s="490">
        <f t="shared" si="1971"/>
        <v>480.42760497739374</v>
      </c>
      <c r="K3409" s="490">
        <f t="shared" si="1971"/>
        <v>481.5680881026363</v>
      </c>
      <c r="L3409" s="490">
        <f t="shared" si="1971"/>
        <v>483.274479602621</v>
      </c>
      <c r="M3409" s="490">
        <f t="shared" si="1971"/>
        <v>484.99012802943412</v>
      </c>
    </row>
    <row r="3410" spans="2:13" ht="15" hidden="1" outlineLevel="2" x14ac:dyDescent="0.25">
      <c r="B3410" t="str">
        <f>+C3410&amp;D3410&amp;E3410&amp;F3410</f>
        <v>EuropeResultsTotal Capex Biodiesel (Pyr blend)USD/ton</v>
      </c>
      <c r="C3410" s="494" t="str">
        <f>+$C$3221</f>
        <v>Europe</v>
      </c>
      <c r="D3410" s="30" t="s">
        <v>838</v>
      </c>
      <c r="E3410" s="228" t="s">
        <v>1374</v>
      </c>
      <c r="F3410" s="127" t="s">
        <v>205</v>
      </c>
      <c r="G3410" s="490">
        <f>G3421*G3415</f>
        <v>121.28838712032712</v>
      </c>
      <c r="H3410" s="490">
        <f t="shared" ref="H3410:M3410" si="1972">H3421*H3415</f>
        <v>72.773032272196289</v>
      </c>
      <c r="I3410" s="490">
        <f t="shared" si="1972"/>
        <v>24.257677424065424</v>
      </c>
      <c r="J3410" s="490">
        <f t="shared" si="1972"/>
        <v>21.831909681658885</v>
      </c>
      <c r="K3410" s="490">
        <f t="shared" si="1972"/>
        <v>21.023320434190037</v>
      </c>
      <c r="L3410" s="490">
        <f t="shared" si="1972"/>
        <v>20.214731186721192</v>
      </c>
      <c r="M3410" s="490">
        <f t="shared" si="1972"/>
        <v>19.406141939252343</v>
      </c>
    </row>
    <row r="3411" spans="2:13" ht="15" hidden="1" outlineLevel="2" x14ac:dyDescent="0.25">
      <c r="B3411" t="str">
        <f>+C3411&amp;D3411&amp;E3411&amp;F3411</f>
        <v>EuropeResultsTotal Opex Biodiesel (Pyr blend)USD/ton</v>
      </c>
      <c r="C3411" s="494" t="str">
        <f>+$C$3221</f>
        <v>Europe</v>
      </c>
      <c r="D3411" s="30" t="s">
        <v>838</v>
      </c>
      <c r="E3411" s="228" t="s">
        <v>1375</v>
      </c>
      <c r="F3411" s="127" t="s">
        <v>205</v>
      </c>
      <c r="G3411" s="490">
        <f>(G3425+G3428)*G3415</f>
        <v>44.561107091334925</v>
      </c>
      <c r="H3411" s="490">
        <f t="shared" ref="H3411:M3411" si="1973">(H3425+H3428)*H3415</f>
        <v>26.911674133516023</v>
      </c>
      <c r="I3411" s="490">
        <f t="shared" si="1973"/>
        <v>9.2928942164396204</v>
      </c>
      <c r="J3411" s="490">
        <f t="shared" si="1973"/>
        <v>8.3648045637535553</v>
      </c>
      <c r="K3411" s="490">
        <f t="shared" si="1973"/>
        <v>8.0413058725933926</v>
      </c>
      <c r="L3411" s="490">
        <f t="shared" si="1973"/>
        <v>7.7155727902075224</v>
      </c>
      <c r="M3411" s="490">
        <f t="shared" si="1973"/>
        <v>7.3990966346499834</v>
      </c>
    </row>
    <row r="3412" spans="2:13" ht="15" hidden="1" outlineLevel="2" x14ac:dyDescent="0.25">
      <c r="B3412" t="str">
        <f>+C3412&amp;D3412&amp;E3412&amp;F3412</f>
        <v>EuropeResultsTotal Raw Material Biodiesel (Pyr blend)USD/ton</v>
      </c>
      <c r="C3412" s="494" t="str">
        <f>+$C$3221</f>
        <v>Europe</v>
      </c>
      <c r="D3412" s="30" t="s">
        <v>838</v>
      </c>
      <c r="E3412" s="228" t="s">
        <v>1376</v>
      </c>
      <c r="F3412" s="127" t="s">
        <v>205</v>
      </c>
      <c r="G3412" s="490">
        <f>+G3432*G3415+G3416*G3417</f>
        <v>673.27281894311648</v>
      </c>
      <c r="H3412" s="490">
        <f t="shared" ref="H3412:M3412" si="1974">+H3432*H3415+H3416*H3417</f>
        <v>501.09417776664799</v>
      </c>
      <c r="I3412" s="490">
        <f t="shared" si="1974"/>
        <v>447.39017690214177</v>
      </c>
      <c r="J3412" s="490">
        <f t="shared" si="1974"/>
        <v>450.23089073198128</v>
      </c>
      <c r="K3412" s="490">
        <f t="shared" si="1974"/>
        <v>452.50346179585284</v>
      </c>
      <c r="L3412" s="490">
        <f t="shared" si="1974"/>
        <v>455.34417562569229</v>
      </c>
      <c r="M3412" s="490">
        <f t="shared" si="1974"/>
        <v>458.18488945553179</v>
      </c>
    </row>
    <row r="3413" spans="2:13" hidden="1" outlineLevel="2" x14ac:dyDescent="0.2">
      <c r="C3413" s="494"/>
      <c r="E3413" s="48"/>
      <c r="F3413" s="128"/>
      <c r="G3413" s="8"/>
      <c r="H3413" s="8"/>
      <c r="I3413" s="8"/>
      <c r="J3413" s="8"/>
      <c r="K3413" s="8"/>
      <c r="L3413" s="8"/>
      <c r="M3413" s="8"/>
    </row>
    <row r="3414" spans="2:13" hidden="1" outlineLevel="2" x14ac:dyDescent="0.2">
      <c r="B3414" t="str">
        <f>+C3414&amp;D3414&amp;E3414&amp;F3414</f>
        <v>EuropeResultsTotal cost of Pyrolysis oil blend (70% LSFO)USD/ton</v>
      </c>
      <c r="C3414" s="494" t="str">
        <f>+$C$2817</f>
        <v>Europe</v>
      </c>
      <c r="D3414" t="s">
        <v>838</v>
      </c>
      <c r="E3414" s="48" t="s">
        <v>1377</v>
      </c>
      <c r="F3414" s="128" t="s">
        <v>205</v>
      </c>
      <c r="G3414" s="8">
        <f>+G3416*G3417+G3415*G3419</f>
        <v>839.12231315477857</v>
      </c>
      <c r="H3414" s="8">
        <f t="shared" ref="H3414" si="1975">+H3416*H3417+H3415*H3419</f>
        <v>600.77888417236034</v>
      </c>
      <c r="I3414" s="8">
        <f t="shared" ref="I3414" si="1976">+I3416*I3417+I3415*I3419</f>
        <v>480.94074854264687</v>
      </c>
      <c r="J3414" s="8">
        <f t="shared" ref="J3414" si="1977">+J3416*J3417+J3415*J3419</f>
        <v>480.42760497739368</v>
      </c>
      <c r="K3414" s="8">
        <f t="shared" ref="K3414" si="1978">+K3416*K3417+K3415*K3419</f>
        <v>481.56808810263624</v>
      </c>
      <c r="L3414" s="8">
        <f t="shared" ref="L3414" si="1979">+L3416*L3417+L3415*L3419</f>
        <v>483.274479602621</v>
      </c>
      <c r="M3414" s="8">
        <f t="shared" ref="M3414" si="1980">+M3416*M3417+M3415*M3419</f>
        <v>484.99012802943406</v>
      </c>
    </row>
    <row r="3415" spans="2:13" hidden="1" outlineLevel="2" x14ac:dyDescent="0.2">
      <c r="B3415" t="str">
        <f>+C3415&amp;D3415&amp;E3415&amp;F3415</f>
        <v>GlobalFeedstockConversion FP blend grade : FP VLSFO blendTon feedstock / ton fuel</v>
      </c>
      <c r="C3415" s="494" t="s">
        <v>109</v>
      </c>
      <c r="D3415" t="s">
        <v>777</v>
      </c>
      <c r="E3415" t="s">
        <v>1378</v>
      </c>
      <c r="F3415" s="450" t="s">
        <v>1241</v>
      </c>
      <c r="G3415" s="521">
        <f>+INDEX('Fuel Model -  Input'!$B$3:$N$373,MATCH($B3415,'Fuel Model -  Input'!$B$3:$B$373,0),MATCH(G$2,'Fuel Model -  Input'!$B$3:$N$3,0))</f>
        <v>0.3</v>
      </c>
      <c r="H3415" s="521">
        <f>+INDEX('Fuel Model -  Input'!$B$3:$N$373,MATCH($B3415,'Fuel Model -  Input'!$B$3:$B$373,0),MATCH(H$2,'Fuel Model -  Input'!$B$3:$N$3,0))</f>
        <v>0.3</v>
      </c>
      <c r="I3415" s="521">
        <f>+INDEX('Fuel Model -  Input'!$B$3:$N$373,MATCH($B3415,'Fuel Model -  Input'!$B$3:$B$373,0),MATCH(I$2,'Fuel Model -  Input'!$B$3:$N$3,0))</f>
        <v>0.3</v>
      </c>
      <c r="J3415" s="521">
        <f>+INDEX('Fuel Model -  Input'!$B$3:$N$373,MATCH($B3415,'Fuel Model -  Input'!$B$3:$B$373,0),MATCH(J$2,'Fuel Model -  Input'!$B$3:$N$3,0))</f>
        <v>0.3</v>
      </c>
      <c r="K3415" s="521">
        <f>+INDEX('Fuel Model -  Input'!$B$3:$N$373,MATCH($B3415,'Fuel Model -  Input'!$B$3:$B$373,0),MATCH(K$2,'Fuel Model -  Input'!$B$3:$N$3,0))</f>
        <v>0.3</v>
      </c>
      <c r="L3415" s="521">
        <f>+INDEX('Fuel Model -  Input'!$B$3:$N$373,MATCH($B3415,'Fuel Model -  Input'!$B$3:$B$373,0),MATCH(L$2,'Fuel Model -  Input'!$B$3:$N$3,0))</f>
        <v>0.3</v>
      </c>
      <c r="M3415" s="521">
        <f>+INDEX('Fuel Model -  Input'!$B$3:$N$373,MATCH($B3415,'Fuel Model -  Input'!$B$3:$B$373,0),MATCH(M$2,'Fuel Model -  Input'!$B$3:$N$3,0))</f>
        <v>0.3</v>
      </c>
    </row>
    <row r="3416" spans="2:13" hidden="1" outlineLevel="2" x14ac:dyDescent="0.2">
      <c r="B3416" t="str">
        <f>+C3416&amp;D3416&amp;E3416&amp;F3416</f>
        <v>GlobalFeedstockConversion VLSFO : FP VLSFO blendTon feedstock / ton fuel</v>
      </c>
      <c r="C3416" s="494" t="s">
        <v>109</v>
      </c>
      <c r="D3416" t="s">
        <v>777</v>
      </c>
      <c r="E3416" t="s">
        <v>1379</v>
      </c>
      <c r="F3416" s="450" t="s">
        <v>1241</v>
      </c>
      <c r="G3416" s="521">
        <f>+INDEX('Fuel Model -  Input'!$B$3:$N$373,MATCH($B3416,'Fuel Model -  Input'!$B$3:$B$373,0),MATCH(G$2,'Fuel Model -  Input'!$B$3:$N$3,0))</f>
        <v>0.7</v>
      </c>
      <c r="H3416" s="521">
        <f>+INDEX('Fuel Model -  Input'!$B$3:$N$373,MATCH($B3416,'Fuel Model -  Input'!$B$3:$B$373,0),MATCH(H$2,'Fuel Model -  Input'!$B$3:$N$3,0))</f>
        <v>0.7</v>
      </c>
      <c r="I3416" s="521">
        <f>+INDEX('Fuel Model -  Input'!$B$3:$N$373,MATCH($B3416,'Fuel Model -  Input'!$B$3:$B$373,0),MATCH(I$2,'Fuel Model -  Input'!$B$3:$N$3,0))</f>
        <v>0.7</v>
      </c>
      <c r="J3416" s="521">
        <f>+INDEX('Fuel Model -  Input'!$B$3:$N$373,MATCH($B3416,'Fuel Model -  Input'!$B$3:$B$373,0),MATCH(J$2,'Fuel Model -  Input'!$B$3:$N$3,0))</f>
        <v>0.7</v>
      </c>
      <c r="K3416" s="521">
        <f>+INDEX('Fuel Model -  Input'!$B$3:$N$373,MATCH($B3416,'Fuel Model -  Input'!$B$3:$B$373,0),MATCH(K$2,'Fuel Model -  Input'!$B$3:$N$3,0))</f>
        <v>0.7</v>
      </c>
      <c r="L3416" s="521">
        <f>+INDEX('Fuel Model -  Input'!$B$3:$N$373,MATCH($B3416,'Fuel Model -  Input'!$B$3:$B$373,0),MATCH(L$2,'Fuel Model -  Input'!$B$3:$N$3,0))</f>
        <v>0.7</v>
      </c>
      <c r="M3416" s="521">
        <f>+INDEX('Fuel Model -  Input'!$B$3:$N$373,MATCH($B3416,'Fuel Model -  Input'!$B$3:$B$373,0),MATCH(M$2,'Fuel Model -  Input'!$B$3:$N$3,0))</f>
        <v>0.7</v>
      </c>
    </row>
    <row r="3417" spans="2:13" hidden="1" outlineLevel="2" x14ac:dyDescent="0.2">
      <c r="B3417" t="str">
        <f>+C3417&amp;D3417&amp;E3417&amp;F3417</f>
        <v>EuropeResultsCost of LSFOUSD/ton</v>
      </c>
      <c r="C3417" s="494" t="s">
        <v>195</v>
      </c>
      <c r="D3417" t="s">
        <v>838</v>
      </c>
      <c r="E3417" t="s">
        <v>1135</v>
      </c>
      <c r="F3417" s="157" t="s">
        <v>205</v>
      </c>
      <c r="G3417" s="532">
        <f>+INDEX('Fuel Model -  Input'!$B$3:$N$373,MATCH($B3417,'Fuel Model -  Input'!$B$3:$B$373,0),MATCH(G$2,'Fuel Model -  Input'!$B$3:$N$3,0))</f>
        <v>884.71322310880964</v>
      </c>
      <c r="H3417" s="532">
        <f>+INDEX('Fuel Model -  Input'!$B$3:$N$373,MATCH($B3417,'Fuel Model -  Input'!$B$3:$B$373,0),MATCH(H$2,'Fuel Model -  Input'!$B$3:$N$3,0))</f>
        <v>634.68557309979826</v>
      </c>
      <c r="I3417" s="532">
        <f>+INDEX('Fuel Model -  Input'!$B$3:$N$373,MATCH($B3417,'Fuel Model -  Input'!$B$3:$B$373,0),MATCH(I$2,'Fuel Model -  Input'!$B$3:$N$3,0))</f>
        <v>553.90740925073305</v>
      </c>
      <c r="J3417" s="532">
        <f>+INDEX('Fuel Model -  Input'!$B$3:$N$373,MATCH($B3417,'Fuel Model -  Input'!$B$3:$B$373,0),MATCH(J$2,'Fuel Model -  Input'!$B$3:$N$3,0))</f>
        <v>553.90740925073305</v>
      </c>
      <c r="K3417" s="532">
        <f>+INDEX('Fuel Model -  Input'!$B$3:$N$373,MATCH($B3417,'Fuel Model -  Input'!$B$3:$B$373,0),MATCH(K$2,'Fuel Model -  Input'!$B$3:$N$3,0))</f>
        <v>553.90740925073305</v>
      </c>
      <c r="L3417" s="532">
        <f>+INDEX('Fuel Model -  Input'!$B$3:$N$373,MATCH($B3417,'Fuel Model -  Input'!$B$3:$B$373,0),MATCH(L$2,'Fuel Model -  Input'!$B$3:$N$3,0))</f>
        <v>553.90740925073305</v>
      </c>
      <c r="M3417" s="532">
        <f>+INDEX('Fuel Model -  Input'!$B$3:$N$373,MATCH($B3417,'Fuel Model -  Input'!$B$3:$B$373,0),MATCH(M$2,'Fuel Model -  Input'!$B$3:$N$3,0))</f>
        <v>553.90740925073305</v>
      </c>
    </row>
    <row r="3418" spans="2:13" hidden="1" outlineLevel="2" x14ac:dyDescent="0.2">
      <c r="C3418" s="494"/>
      <c r="E3418" s="48"/>
      <c r="F3418" s="128"/>
      <c r="G3418" s="524"/>
      <c r="H3418" s="524"/>
      <c r="I3418" s="524"/>
      <c r="J3418" s="524"/>
      <c r="K3418" s="524"/>
      <c r="L3418" s="524"/>
      <c r="M3418" s="524"/>
    </row>
    <row r="3419" spans="2:13" hidden="1" outlineLevel="2" x14ac:dyDescent="0.2">
      <c r="B3419" t="str">
        <f>+C3419&amp;D3419&amp;E3419&amp;F3419</f>
        <v>EuropeSubtotalSubtotal - cost of Pyrolisis oil blend feedstockUSD/ton FP blend oil feedstock</v>
      </c>
      <c r="C3419" s="494" t="str">
        <f>+$C$2817</f>
        <v>Europe</v>
      </c>
      <c r="D3419" t="s">
        <v>1327</v>
      </c>
      <c r="E3419" s="48" t="s">
        <v>1380</v>
      </c>
      <c r="F3419" s="128" t="s">
        <v>1381</v>
      </c>
      <c r="G3419" s="8">
        <f>+SUM(G3421,G3428,G3432,G3425)</f>
        <v>732.74352326203939</v>
      </c>
      <c r="H3419" s="8">
        <f t="shared" ref="H3419:M3419" si="1981">+SUM(H3421,H3428,H3432,H3425)</f>
        <v>521.66327667500514</v>
      </c>
      <c r="I3419" s="8">
        <f t="shared" si="1981"/>
        <v>310.68520689044584</v>
      </c>
      <c r="J3419" s="8">
        <f t="shared" si="1981"/>
        <v>308.974728339602</v>
      </c>
      <c r="K3419" s="8">
        <f t="shared" si="1981"/>
        <v>312.77633875707721</v>
      </c>
      <c r="L3419" s="8">
        <f t="shared" si="1981"/>
        <v>318.46431042369301</v>
      </c>
      <c r="M3419" s="8">
        <f t="shared" si="1981"/>
        <v>324.18313851306993</v>
      </c>
    </row>
    <row r="3420" spans="2:13" hidden="1" outlineLevel="2" x14ac:dyDescent="0.2">
      <c r="C3420" s="494"/>
      <c r="E3420" s="48"/>
      <c r="F3420" s="128"/>
      <c r="G3420" s="8"/>
      <c r="H3420" s="8"/>
      <c r="I3420" s="8"/>
      <c r="J3420" s="8"/>
      <c r="K3420" s="8"/>
      <c r="L3420" s="8"/>
      <c r="M3420" s="8"/>
    </row>
    <row r="3421" spans="2:13" hidden="1" outlineLevel="2" x14ac:dyDescent="0.2">
      <c r="B3421" t="str">
        <f>+C3421&amp;D3421&amp;E3421&amp;F3421</f>
        <v>EuropeResultsAnnual capex (Pyr blend)USD/ton oil</v>
      </c>
      <c r="C3421" s="494" t="str">
        <f>+$C$3221</f>
        <v>Europe</v>
      </c>
      <c r="D3421" t="s">
        <v>838</v>
      </c>
      <c r="E3421" s="48" t="s">
        <v>1382</v>
      </c>
      <c r="F3421" s="128" t="s">
        <v>1349</v>
      </c>
      <c r="G3421" s="8">
        <f t="shared" ref="G3421:M3421" si="1982">G3423/G3422</f>
        <v>404.29462373442374</v>
      </c>
      <c r="H3421" s="8">
        <f t="shared" si="1982"/>
        <v>242.57677424065429</v>
      </c>
      <c r="I3421" s="8">
        <f t="shared" si="1982"/>
        <v>80.858924746884753</v>
      </c>
      <c r="J3421" s="8">
        <f t="shared" si="1982"/>
        <v>72.773032272196289</v>
      </c>
      <c r="K3421" s="8">
        <f t="shared" si="1982"/>
        <v>70.077734780633463</v>
      </c>
      <c r="L3421" s="8">
        <f t="shared" si="1982"/>
        <v>67.382437289070637</v>
      </c>
      <c r="M3421" s="8">
        <f t="shared" si="1982"/>
        <v>64.687139797507811</v>
      </c>
    </row>
    <row r="3422" spans="2:13" hidden="1" outlineLevel="2" x14ac:dyDescent="0.2">
      <c r="B3422" t="str">
        <f>+C3422&amp;D3422&amp;E3422&amp;F3422</f>
        <v>GlobalPlant capexAnnualisation factor#</v>
      </c>
      <c r="C3422" s="494" t="s">
        <v>109</v>
      </c>
      <c r="D3422" t="s">
        <v>786</v>
      </c>
      <c r="E3422" t="s">
        <v>764</v>
      </c>
      <c r="F3422" s="450" t="s">
        <v>787</v>
      </c>
      <c r="G3422" s="532">
        <f>+INDEX('Fuel Model -  Input'!$B$3:$N$373,MATCH($B3422,'Fuel Model -  Input'!$B$3:$B$373,0),MATCH(G$2,'Fuel Model -  Input'!$B$3:$N$3,0))</f>
        <v>11.32075471698113</v>
      </c>
      <c r="H3422" s="532">
        <f>+INDEX('Fuel Model -  Input'!$B$3:$N$373,MATCH($B3422,'Fuel Model -  Input'!$B$3:$B$373,0),MATCH(H$2,'Fuel Model -  Input'!$B$3:$N$3,0))</f>
        <v>11.32075471698113</v>
      </c>
      <c r="I3422" s="532">
        <f>+INDEX('Fuel Model -  Input'!$B$3:$N$373,MATCH($B3422,'Fuel Model -  Input'!$B$3:$B$373,0),MATCH(I$2,'Fuel Model -  Input'!$B$3:$N$3,0))</f>
        <v>11.32075471698113</v>
      </c>
      <c r="J3422" s="532">
        <f>+INDEX('Fuel Model -  Input'!$B$3:$N$373,MATCH($B3422,'Fuel Model -  Input'!$B$3:$B$373,0),MATCH(J$2,'Fuel Model -  Input'!$B$3:$N$3,0))</f>
        <v>11.32075471698113</v>
      </c>
      <c r="K3422" s="532">
        <f>+INDEX('Fuel Model -  Input'!$B$3:$N$373,MATCH($B3422,'Fuel Model -  Input'!$B$3:$B$373,0),MATCH(K$2,'Fuel Model -  Input'!$B$3:$N$3,0))</f>
        <v>11.32075471698113</v>
      </c>
      <c r="L3422" s="532">
        <f>+INDEX('Fuel Model -  Input'!$B$3:$N$373,MATCH($B3422,'Fuel Model -  Input'!$B$3:$B$373,0),MATCH(L$2,'Fuel Model -  Input'!$B$3:$N$3,0))</f>
        <v>11.32075471698113</v>
      </c>
      <c r="M3422" s="532">
        <f>+INDEX('Fuel Model -  Input'!$B$3:$N$373,MATCH($B3422,'Fuel Model -  Input'!$B$3:$B$373,0),MATCH(M$2,'Fuel Model -  Input'!$B$3:$N$3,0))</f>
        <v>11.32075471698113</v>
      </c>
    </row>
    <row r="3423" spans="2:13" hidden="1" outlineLevel="2" x14ac:dyDescent="0.2">
      <c r="B3423" t="str">
        <f>+C3423&amp;D3423&amp;E3423&amp;F3423</f>
        <v>GlobalCAPEXFP blend grade plantUSD/ton FP VLSFO blend capacity</v>
      </c>
      <c r="C3423" s="494" t="s">
        <v>109</v>
      </c>
      <c r="D3423" t="s">
        <v>50</v>
      </c>
      <c r="E3423" s="48" t="s">
        <v>1383</v>
      </c>
      <c r="F3423" s="128" t="s">
        <v>1384</v>
      </c>
      <c r="G3423" s="532">
        <f>+INDEX('Fuel Model -  Input'!$B$3:$N$373,MATCH($B3423,'Fuel Model -  Input'!$B$3:$B$373,0),MATCH(G$2,'Fuel Model -  Input'!$B$3:$N$3,0))</f>
        <v>4576.9202686915887</v>
      </c>
      <c r="H3423" s="532">
        <f>+INDEX('Fuel Model -  Input'!$B$3:$N$373,MATCH($B3423,'Fuel Model -  Input'!$B$3:$B$373,0),MATCH(H$2,'Fuel Model -  Input'!$B$3:$N$3,0))</f>
        <v>2746.1521612149536</v>
      </c>
      <c r="I3423" s="532">
        <f>+INDEX('Fuel Model -  Input'!$B$3:$N$373,MATCH($B3423,'Fuel Model -  Input'!$B$3:$B$373,0),MATCH(I$2,'Fuel Model -  Input'!$B$3:$N$3,0))</f>
        <v>915.38405373831779</v>
      </c>
      <c r="J3423" s="532">
        <f>+INDEX('Fuel Model -  Input'!$B$3:$N$373,MATCH($B3423,'Fuel Model -  Input'!$B$3:$B$373,0),MATCH(J$2,'Fuel Model -  Input'!$B$3:$N$3,0))</f>
        <v>823.84564836448612</v>
      </c>
      <c r="K3423" s="532">
        <f>+INDEX('Fuel Model -  Input'!$B$3:$N$373,MATCH($B3423,'Fuel Model -  Input'!$B$3:$B$373,0),MATCH(K$2,'Fuel Model -  Input'!$B$3:$N$3,0))</f>
        <v>793.33284657320883</v>
      </c>
      <c r="L3423" s="532">
        <f>+INDEX('Fuel Model -  Input'!$B$3:$N$373,MATCH($B3423,'Fuel Model -  Input'!$B$3:$B$373,0),MATCH(L$2,'Fuel Model -  Input'!$B$3:$N$3,0))</f>
        <v>762.82004478193153</v>
      </c>
      <c r="M3423" s="532">
        <f>+INDEX('Fuel Model -  Input'!$B$3:$N$373,MATCH($B3423,'Fuel Model -  Input'!$B$3:$B$373,0),MATCH(M$2,'Fuel Model -  Input'!$B$3:$N$3,0))</f>
        <v>732.30724299065434</v>
      </c>
    </row>
    <row r="3424" spans="2:13" hidden="1" outlineLevel="2" x14ac:dyDescent="0.2">
      <c r="C3424" s="494"/>
      <c r="E3424" s="48"/>
      <c r="F3424" s="128"/>
      <c r="G3424" s="524"/>
      <c r="H3424" s="524"/>
      <c r="I3424" s="524"/>
      <c r="J3424" s="524"/>
      <c r="K3424" s="524"/>
      <c r="L3424" s="524"/>
      <c r="M3424" s="524"/>
    </row>
    <row r="3425" spans="2:13" hidden="1" outlineLevel="2" x14ac:dyDescent="0.2">
      <c r="B3425" t="str">
        <f>+C3425&amp;D3425&amp;E3425&amp;F3425</f>
        <v>EuropeOpexOpexUSD/ton oil</v>
      </c>
      <c r="C3425" s="494" t="str">
        <f>+$C$3221</f>
        <v>Europe</v>
      </c>
      <c r="D3425" t="s">
        <v>219</v>
      </c>
      <c r="E3425" s="48" t="s">
        <v>219</v>
      </c>
      <c r="F3425" s="128" t="s">
        <v>1349</v>
      </c>
      <c r="G3425" s="8">
        <f t="shared" ref="G3425:M3425" si="1983">G3423*G3426</f>
        <v>145.7481389915236</v>
      </c>
      <c r="H3425" s="8">
        <f t="shared" si="1983"/>
        <v>87.448883394914176</v>
      </c>
      <c r="I3425" s="8">
        <f t="shared" si="1983"/>
        <v>29.149627798304721</v>
      </c>
      <c r="J3425" s="8">
        <f t="shared" si="1983"/>
        <v>26.234665018474253</v>
      </c>
      <c r="K3425" s="8">
        <f t="shared" si="1983"/>
        <v>25.263010758530761</v>
      </c>
      <c r="L3425" s="8">
        <f t="shared" si="1983"/>
        <v>24.29135649858727</v>
      </c>
      <c r="M3425" s="8">
        <f t="shared" si="1983"/>
        <v>23.319702238643782</v>
      </c>
    </row>
    <row r="3426" spans="2:13" hidden="1" outlineLevel="2" x14ac:dyDescent="0.2">
      <c r="B3426" t="str">
        <f>+C3426&amp;D3426&amp;E3426&amp;F3426</f>
        <v>GlobalOPEXFP blend grade plant opexUSD/ton FP VLSFO blend</v>
      </c>
      <c r="C3426" s="494" t="s">
        <v>109</v>
      </c>
      <c r="D3426" t="s">
        <v>319</v>
      </c>
      <c r="E3426" s="48" t="s">
        <v>1385</v>
      </c>
      <c r="F3426" s="128" t="s">
        <v>1386</v>
      </c>
      <c r="G3426" s="531">
        <f>INDEX('Fuel Model -  Input'!$B$3:$N$373,MATCH($B3426,'Fuel Model -  Input'!$B$3:$B$373,0),MATCH(G$2,'Fuel Model -  Input'!$B$3:$N$3,0))</f>
        <v>3.1844150746630516E-2</v>
      </c>
      <c r="H3426" s="531">
        <f>INDEX('Fuel Model -  Input'!$B$3:$N$373,MATCH($B3426,'Fuel Model -  Input'!$B$3:$B$373,0),MATCH(H$2,'Fuel Model -  Input'!$B$3:$N$3,0))</f>
        <v>3.1844150746630516E-2</v>
      </c>
      <c r="I3426" s="531">
        <f>INDEX('Fuel Model -  Input'!$B$3:$N$373,MATCH($B3426,'Fuel Model -  Input'!$B$3:$B$373,0),MATCH(I$2,'Fuel Model -  Input'!$B$3:$N$3,0))</f>
        <v>3.1844150746630516E-2</v>
      </c>
      <c r="J3426" s="531">
        <f>INDEX('Fuel Model -  Input'!$B$3:$N$373,MATCH($B3426,'Fuel Model -  Input'!$B$3:$B$373,0),MATCH(J$2,'Fuel Model -  Input'!$B$3:$N$3,0))</f>
        <v>3.1844150746630516E-2</v>
      </c>
      <c r="K3426" s="531">
        <f>INDEX('Fuel Model -  Input'!$B$3:$N$373,MATCH($B3426,'Fuel Model -  Input'!$B$3:$B$373,0),MATCH(K$2,'Fuel Model -  Input'!$B$3:$N$3,0))</f>
        <v>3.1844150746630516E-2</v>
      </c>
      <c r="L3426" s="531">
        <f>INDEX('Fuel Model -  Input'!$B$3:$N$373,MATCH($B3426,'Fuel Model -  Input'!$B$3:$B$373,0),MATCH(L$2,'Fuel Model -  Input'!$B$3:$N$3,0))</f>
        <v>3.1844150746630516E-2</v>
      </c>
      <c r="M3426" s="531">
        <f>INDEX('Fuel Model -  Input'!$B$3:$N$373,MATCH($B3426,'Fuel Model -  Input'!$B$3:$B$373,0),MATCH(M$2,'Fuel Model -  Input'!$B$3:$N$3,0))</f>
        <v>3.1844150746630516E-2</v>
      </c>
    </row>
    <row r="3427" spans="2:13" hidden="1" outlineLevel="2" x14ac:dyDescent="0.2">
      <c r="C3427" s="494"/>
      <c r="E3427" s="48"/>
      <c r="F3427" s="128"/>
      <c r="G3427" s="520"/>
      <c r="H3427" s="520"/>
      <c r="I3427" s="520"/>
      <c r="J3427" s="520"/>
      <c r="K3427" s="520"/>
      <c r="L3427" s="520"/>
      <c r="M3427" s="520"/>
    </row>
    <row r="3428" spans="2:13" hidden="1" outlineLevel="2" x14ac:dyDescent="0.2">
      <c r="B3428" t="str">
        <f>+C3428&amp;D3428&amp;E3428&amp;F3428</f>
        <v>EuropeElectricityTotal (Pyr blend)USD/ ton oil</v>
      </c>
      <c r="C3428" s="494" t="str">
        <f>+$C$3221</f>
        <v>Europe</v>
      </c>
      <c r="D3428" t="s">
        <v>54</v>
      </c>
      <c r="E3428" s="48" t="s">
        <v>1387</v>
      </c>
      <c r="F3428" s="128" t="s">
        <v>1354</v>
      </c>
      <c r="G3428" s="8">
        <f t="shared" ref="G3428:M3428" si="1984">G3430*G3429</f>
        <v>2.7888846462594858</v>
      </c>
      <c r="H3428" s="8">
        <f t="shared" si="1984"/>
        <v>2.2566970501392314</v>
      </c>
      <c r="I3428" s="8">
        <f t="shared" si="1984"/>
        <v>1.8266862564940169</v>
      </c>
      <c r="J3428" s="8">
        <f t="shared" si="1984"/>
        <v>1.6480168607042656</v>
      </c>
      <c r="K3428" s="8">
        <f t="shared" si="1984"/>
        <v>1.5413421501138855</v>
      </c>
      <c r="L3428" s="8">
        <f t="shared" si="1984"/>
        <v>1.4272194687711388</v>
      </c>
      <c r="M3428" s="8">
        <f t="shared" si="1984"/>
        <v>1.3439532101894982</v>
      </c>
    </row>
    <row r="3429" spans="2:13" hidden="1" outlineLevel="2" x14ac:dyDescent="0.2">
      <c r="B3429" t="str">
        <f>+C3429&amp;D3429&amp;E3429&amp;F3429</f>
        <v>GlobalFeedstockFP blend grade plant electricity demandMWh/ton fuel</v>
      </c>
      <c r="C3429" s="494" t="s">
        <v>109</v>
      </c>
      <c r="D3429" t="s">
        <v>777</v>
      </c>
      <c r="E3429" s="48" t="s">
        <v>1367</v>
      </c>
      <c r="F3429" s="128" t="s">
        <v>1298</v>
      </c>
      <c r="G3429" s="521">
        <f>INDEX('Fuel Model -  Input'!$B$3:$N$373,MATCH($B3429,'Fuel Model -  Input'!$B$3:$B$373,0),MATCH(G$2,'Fuel Model -  Input'!$B$3:$N$3,0))</f>
        <v>5.1081730769230768E-2</v>
      </c>
      <c r="H3429" s="521">
        <f>INDEX('Fuel Model -  Input'!$B$3:$N$373,MATCH($B3429,'Fuel Model -  Input'!$B$3:$B$373,0),MATCH(H$2,'Fuel Model -  Input'!$B$3:$N$3,0))</f>
        <v>5.1081730769230768E-2</v>
      </c>
      <c r="I3429" s="521">
        <f>INDEX('Fuel Model -  Input'!$B$3:$N$373,MATCH($B3429,'Fuel Model -  Input'!$B$3:$B$373,0),MATCH(I$2,'Fuel Model -  Input'!$B$3:$N$3,0))</f>
        <v>5.1081730769230768E-2</v>
      </c>
      <c r="J3429" s="521">
        <f>INDEX('Fuel Model -  Input'!$B$3:$N$373,MATCH($B3429,'Fuel Model -  Input'!$B$3:$B$373,0),MATCH(J$2,'Fuel Model -  Input'!$B$3:$N$3,0))</f>
        <v>5.1081730769230768E-2</v>
      </c>
      <c r="K3429" s="521">
        <f>INDEX('Fuel Model -  Input'!$B$3:$N$373,MATCH($B3429,'Fuel Model -  Input'!$B$3:$B$373,0),MATCH(K$2,'Fuel Model -  Input'!$B$3:$N$3,0))</f>
        <v>5.1081730769230768E-2</v>
      </c>
      <c r="L3429" s="521">
        <f>INDEX('Fuel Model -  Input'!$B$3:$N$373,MATCH($B3429,'Fuel Model -  Input'!$B$3:$B$373,0),MATCH(L$2,'Fuel Model -  Input'!$B$3:$N$3,0))</f>
        <v>5.1081730769230768E-2</v>
      </c>
      <c r="M3429" s="521">
        <f>INDEX('Fuel Model -  Input'!$B$3:$N$373,MATCH($B3429,'Fuel Model -  Input'!$B$3:$B$373,0),MATCH(M$2,'Fuel Model -  Input'!$B$3:$N$3,0))</f>
        <v>5.1081730769230768E-2</v>
      </c>
    </row>
    <row r="3430" spans="2:13" hidden="1" outlineLevel="2" x14ac:dyDescent="0.2">
      <c r="B3430" t="str">
        <f>+C3430&amp;D3430&amp;E3430&amp;F3430</f>
        <v>EuropeFeedstockElectricityUSD/MWh</v>
      </c>
      <c r="C3430" s="494" t="str">
        <f>C3408</f>
        <v>Europe</v>
      </c>
      <c r="D3430" t="s">
        <v>777</v>
      </c>
      <c r="E3430" s="48" t="s">
        <v>54</v>
      </c>
      <c r="F3430" s="128" t="s">
        <v>196</v>
      </c>
      <c r="G3430" s="521">
        <f>INDEX('Fuel Model -  Input'!$B$3:$N$373,MATCH($B3430,'Fuel Model -  Input'!$B$3:$B$373,0),MATCH(G$2,'Fuel Model -  Input'!$B$3:$N$3,0))</f>
        <v>54.596518251479822</v>
      </c>
      <c r="H3430" s="521">
        <f>INDEX('Fuel Model -  Input'!$B$3:$N$373,MATCH($B3430,'Fuel Model -  Input'!$B$3:$B$373,0),MATCH(H$2,'Fuel Model -  Input'!$B$3:$N$3,0))</f>
        <v>44.178163428608016</v>
      </c>
      <c r="I3430" s="521">
        <f>INDEX('Fuel Model -  Input'!$B$3:$N$373,MATCH($B3430,'Fuel Model -  Input'!$B$3:$B$373,0),MATCH(I$2,'Fuel Model -  Input'!$B$3:$N$3,0))</f>
        <v>35.760069774188757</v>
      </c>
      <c r="J3430" s="521">
        <f>INDEX('Fuel Model -  Input'!$B$3:$N$373,MATCH($B3430,'Fuel Model -  Input'!$B$3:$B$373,0),MATCH(J$2,'Fuel Model -  Input'!$B$3:$N$3,0))</f>
        <v>32.262353602492915</v>
      </c>
      <c r="K3430" s="521">
        <f>INDEX('Fuel Model -  Input'!$B$3:$N$373,MATCH($B3430,'Fuel Model -  Input'!$B$3:$B$373,0),MATCH(K$2,'Fuel Model -  Input'!$B$3:$N$3,0))</f>
        <v>30.17403926811183</v>
      </c>
      <c r="L3430" s="521">
        <f>INDEX('Fuel Model -  Input'!$B$3:$N$373,MATCH($B3430,'Fuel Model -  Input'!$B$3:$B$373,0),MATCH(L$2,'Fuel Model -  Input'!$B$3:$N$3,0))</f>
        <v>27.939919953355002</v>
      </c>
      <c r="M3430" s="521">
        <f>INDEX('Fuel Model -  Input'!$B$3:$N$373,MATCH($B3430,'Fuel Model -  Input'!$B$3:$B$373,0),MATCH(M$2,'Fuel Model -  Input'!$B$3:$N$3,0))</f>
        <v>26.309860491239117</v>
      </c>
    </row>
    <row r="3431" spans="2:13" hidden="1" outlineLevel="2" x14ac:dyDescent="0.2">
      <c r="C3431" s="494"/>
      <c r="E3431" s="48"/>
      <c r="F3431" s="128"/>
      <c r="G3431" s="532"/>
      <c r="H3431" s="532"/>
      <c r="I3431" s="532"/>
      <c r="J3431" s="532"/>
      <c r="K3431" s="532"/>
      <c r="L3431" s="532"/>
      <c r="M3431" s="532"/>
    </row>
    <row r="3432" spans="2:13" hidden="1" outlineLevel="2" x14ac:dyDescent="0.2">
      <c r="B3432" t="str">
        <f>+C3432&amp;D3432&amp;E3432&amp;F3432</f>
        <v>EuropeFeedstockWood biomass to pyrolysis oilUSD/ton oil</v>
      </c>
      <c r="C3432" s="494" t="str">
        <f>+$C$3221</f>
        <v>Europe</v>
      </c>
      <c r="D3432" t="s">
        <v>777</v>
      </c>
      <c r="E3432" s="48" t="s">
        <v>1360</v>
      </c>
      <c r="F3432" s="128" t="s">
        <v>1349</v>
      </c>
      <c r="G3432" s="8">
        <f t="shared" ref="G3432:M3432" si="1985">G3434*G3433</f>
        <v>179.91187588983257</v>
      </c>
      <c r="H3432" s="8">
        <f t="shared" si="1985"/>
        <v>189.38092198929746</v>
      </c>
      <c r="I3432" s="8">
        <f t="shared" si="1985"/>
        <v>198.84996808876232</v>
      </c>
      <c r="J3432" s="8">
        <f t="shared" si="1985"/>
        <v>208.31901418822721</v>
      </c>
      <c r="K3432" s="8">
        <f t="shared" si="1985"/>
        <v>215.8942510677991</v>
      </c>
      <c r="L3432" s="8">
        <f t="shared" si="1985"/>
        <v>225.36329716726397</v>
      </c>
      <c r="M3432" s="8">
        <f t="shared" si="1985"/>
        <v>234.83234326672886</v>
      </c>
    </row>
    <row r="3433" spans="2:13" hidden="1" outlineLevel="2" x14ac:dyDescent="0.2">
      <c r="B3433" t="str">
        <f>+C3433&amp;D3433&amp;E3433&amp;F3433</f>
        <v>GlobalFeedstockConversion Dry Wood biomass : FP VLSFO blendTon feedstock / ton fuel</v>
      </c>
      <c r="C3433" s="494" t="s">
        <v>109</v>
      </c>
      <c r="D3433" t="s">
        <v>777</v>
      </c>
      <c r="E3433" s="48" t="s">
        <v>1388</v>
      </c>
      <c r="F3433" s="128" t="s">
        <v>1241</v>
      </c>
      <c r="G3433" s="521">
        <f>+INDEX('Fuel Model -  Input'!$B$3:$N$373,MATCH($B3433,'Fuel Model -  Input'!$B$3:$B$373,0),MATCH(G$2,'Fuel Model -  Input'!$B$3:$N$3,0))</f>
        <v>1.8938092198929746</v>
      </c>
      <c r="H3433" s="521">
        <f>+INDEX('Fuel Model -  Input'!$B$3:$N$373,MATCH($B3433,'Fuel Model -  Input'!$B$3:$B$373,0),MATCH(H$2,'Fuel Model -  Input'!$B$3:$N$3,0))</f>
        <v>1.8938092198929746</v>
      </c>
      <c r="I3433" s="521">
        <f>+INDEX('Fuel Model -  Input'!$B$3:$N$373,MATCH($B3433,'Fuel Model -  Input'!$B$3:$B$373,0),MATCH(I$2,'Fuel Model -  Input'!$B$3:$N$3,0))</f>
        <v>1.8938092198929746</v>
      </c>
      <c r="J3433" s="521">
        <f>+INDEX('Fuel Model -  Input'!$B$3:$N$373,MATCH($B3433,'Fuel Model -  Input'!$B$3:$B$373,0),MATCH(J$2,'Fuel Model -  Input'!$B$3:$N$3,0))</f>
        <v>1.8938092198929746</v>
      </c>
      <c r="K3433" s="521">
        <f>+INDEX('Fuel Model -  Input'!$B$3:$N$373,MATCH($B3433,'Fuel Model -  Input'!$B$3:$B$373,0),MATCH(K$2,'Fuel Model -  Input'!$B$3:$N$3,0))</f>
        <v>1.8938092198929746</v>
      </c>
      <c r="L3433" s="521">
        <f>+INDEX('Fuel Model -  Input'!$B$3:$N$373,MATCH($B3433,'Fuel Model -  Input'!$B$3:$B$373,0),MATCH(L$2,'Fuel Model -  Input'!$B$3:$N$3,0))</f>
        <v>1.8938092198929746</v>
      </c>
      <c r="M3433" s="521">
        <f>+INDEX('Fuel Model -  Input'!$B$3:$N$373,MATCH($B3433,'Fuel Model -  Input'!$B$3:$B$373,0),MATCH(M$2,'Fuel Model -  Input'!$B$3:$N$3,0))</f>
        <v>1.8938092198929746</v>
      </c>
    </row>
    <row r="3434" spans="2:13" hidden="1" outlineLevel="2" x14ac:dyDescent="0.2">
      <c r="B3434" t="str">
        <f>+C3434&amp;D3434&amp;E3434&amp;F3434</f>
        <v>EuropeFeedstockCost of Wood biomassUSD/ton Wood</v>
      </c>
      <c r="C3434" s="494" t="str">
        <f>C3408</f>
        <v>Europe</v>
      </c>
      <c r="D3434" t="s">
        <v>777</v>
      </c>
      <c r="E3434" s="48" t="s">
        <v>1244</v>
      </c>
      <c r="F3434" s="128" t="s">
        <v>1245</v>
      </c>
      <c r="G3434" s="532">
        <f>+INDEX('Fuel Model -  Input'!$B$3:$N$373,MATCH($B3434,'Fuel Model -  Input'!$B$3:$B$373,0),MATCH(G$2,'Fuel Model -  Input'!$B$3:$N$3,0))</f>
        <v>95</v>
      </c>
      <c r="H3434" s="532">
        <f>+INDEX('Fuel Model -  Input'!$B$3:$N$373,MATCH($B3434,'Fuel Model -  Input'!$B$3:$B$373,0),MATCH(H$2,'Fuel Model -  Input'!$B$3:$N$3,0))</f>
        <v>100</v>
      </c>
      <c r="I3434" s="532">
        <f>+INDEX('Fuel Model -  Input'!$B$3:$N$373,MATCH($B3434,'Fuel Model -  Input'!$B$3:$B$373,0),MATCH(I$2,'Fuel Model -  Input'!$B$3:$N$3,0))</f>
        <v>105</v>
      </c>
      <c r="J3434" s="532">
        <f>+INDEX('Fuel Model -  Input'!$B$3:$N$373,MATCH($B3434,'Fuel Model -  Input'!$B$3:$B$373,0),MATCH(J$2,'Fuel Model -  Input'!$B$3:$N$3,0))</f>
        <v>110</v>
      </c>
      <c r="K3434" s="532">
        <f>+INDEX('Fuel Model -  Input'!$B$3:$N$373,MATCH($B3434,'Fuel Model -  Input'!$B$3:$B$373,0),MATCH(K$2,'Fuel Model -  Input'!$B$3:$N$3,0))</f>
        <v>114</v>
      </c>
      <c r="L3434" s="532">
        <f>+INDEX('Fuel Model -  Input'!$B$3:$N$373,MATCH($B3434,'Fuel Model -  Input'!$B$3:$B$373,0),MATCH(L$2,'Fuel Model -  Input'!$B$3:$N$3,0))</f>
        <v>119</v>
      </c>
      <c r="M3434" s="532">
        <f>+INDEX('Fuel Model -  Input'!$B$3:$N$373,MATCH($B3434,'Fuel Model -  Input'!$B$3:$B$373,0),MATCH(M$2,'Fuel Model -  Input'!$B$3:$N$3,0))</f>
        <v>124</v>
      </c>
    </row>
    <row r="3435" spans="2:13" ht="12.75" hidden="1" outlineLevel="1" x14ac:dyDescent="0.2">
      <c r="F3435"/>
    </row>
    <row r="3436" spans="2:13" s="30" customFormat="1" ht="15" hidden="1" outlineLevel="1" collapsed="1" x14ac:dyDescent="0.25">
      <c r="B3436" s="30" t="s">
        <v>197</v>
      </c>
      <c r="C3436" s="30" t="str">
        <f>+B3436</f>
        <v>Middle East</v>
      </c>
    </row>
    <row r="3437" spans="2:13" ht="15" hidden="1" outlineLevel="2" x14ac:dyDescent="0.25">
      <c r="B3437" t="str">
        <f>+C3437&amp;D3437&amp;E3437&amp;F3437</f>
        <v>Middle EastResultsTotal cost of Biodiesel (Pyr blend)USD/ton</v>
      </c>
      <c r="C3437" s="494" t="str">
        <f>+$C$3252</f>
        <v>Middle East</v>
      </c>
      <c r="D3437" s="30" t="s">
        <v>838</v>
      </c>
      <c r="E3437" s="405" t="s">
        <v>1373</v>
      </c>
      <c r="F3437" s="127" t="s">
        <v>205</v>
      </c>
      <c r="G3437" s="490">
        <f>+SUM(G3438:G3440)</f>
        <v>848.01835360820166</v>
      </c>
      <c r="H3437" s="490">
        <f t="shared" ref="H3437:M3437" si="1986">+SUM(H3438:H3440)</f>
        <v>609.14126641027224</v>
      </c>
      <c r="I3437" s="490">
        <f t="shared" si="1986"/>
        <v>488.78111609939975</v>
      </c>
      <c r="J3437" s="490">
        <f t="shared" si="1986"/>
        <v>487.69499405365588</v>
      </c>
      <c r="K3437" s="490">
        <f t="shared" si="1986"/>
        <v>489.40632289472859</v>
      </c>
      <c r="L3437" s="490">
        <f t="shared" si="1986"/>
        <v>490.54038523247851</v>
      </c>
      <c r="M3437" s="490">
        <f t="shared" si="1986"/>
        <v>491.69488750764077</v>
      </c>
    </row>
    <row r="3438" spans="2:13" ht="15" hidden="1" outlineLevel="2" x14ac:dyDescent="0.25">
      <c r="B3438" t="str">
        <f>+C3438&amp;D3438&amp;E3438&amp;F3438</f>
        <v>Middle EastResultsTotal Capex Biodiesel (Pyr blend)USD/ton</v>
      </c>
      <c r="C3438" s="494" t="str">
        <f>+$C$3252</f>
        <v>Middle East</v>
      </c>
      <c r="D3438" s="30" t="s">
        <v>838</v>
      </c>
      <c r="E3438" s="228" t="s">
        <v>1374</v>
      </c>
      <c r="F3438" s="127" t="s">
        <v>205</v>
      </c>
      <c r="G3438" s="490">
        <f>G3449*G3443</f>
        <v>121.28838712032712</v>
      </c>
      <c r="H3438" s="490">
        <f t="shared" ref="H3438:M3438" si="1987">H3449*H3443</f>
        <v>72.773032272196289</v>
      </c>
      <c r="I3438" s="490">
        <f t="shared" si="1987"/>
        <v>24.257677424065424</v>
      </c>
      <c r="J3438" s="490">
        <f t="shared" si="1987"/>
        <v>21.831909681658885</v>
      </c>
      <c r="K3438" s="490">
        <f t="shared" si="1987"/>
        <v>21.023320434190037</v>
      </c>
      <c r="L3438" s="490">
        <f t="shared" si="1987"/>
        <v>20.214731186721192</v>
      </c>
      <c r="M3438" s="490">
        <f t="shared" si="1987"/>
        <v>19.406141939252343</v>
      </c>
    </row>
    <row r="3439" spans="2:13" ht="15" hidden="1" outlineLevel="2" x14ac:dyDescent="0.25">
      <c r="B3439" t="str">
        <f>+C3439&amp;D3439&amp;E3439&amp;F3439</f>
        <v>Middle EastResultsTotal Opex Biodiesel (Pyr blend)USD/ton</v>
      </c>
      <c r="C3439" s="494" t="str">
        <f>+$C$3252</f>
        <v>Middle East</v>
      </c>
      <c r="D3439" s="30" t="s">
        <v>838</v>
      </c>
      <c r="E3439" s="228" t="s">
        <v>1375</v>
      </c>
      <c r="F3439" s="127" t="s">
        <v>205</v>
      </c>
      <c r="G3439" s="490">
        <f>(G3453+G3456)*G3443</f>
        <v>44.366863289271699</v>
      </c>
      <c r="H3439" s="490">
        <f t="shared" ref="H3439:M3439" si="1988">(H3453+H3456)*H3443</f>
        <v>26.751914881909624</v>
      </c>
      <c r="I3439" s="490">
        <f t="shared" si="1988"/>
        <v>9.1792630496420262</v>
      </c>
      <c r="J3439" s="490">
        <f t="shared" si="1988"/>
        <v>8.2463376824331309</v>
      </c>
      <c r="K3439" s="490">
        <f t="shared" si="1988"/>
        <v>7.9255419411352541</v>
      </c>
      <c r="L3439" s="490">
        <f t="shared" si="1988"/>
        <v>7.5956224624823756</v>
      </c>
      <c r="M3439" s="490">
        <f t="shared" si="1988"/>
        <v>7.2861429212419893</v>
      </c>
    </row>
    <row r="3440" spans="2:13" ht="15" hidden="1" outlineLevel="2" x14ac:dyDescent="0.25">
      <c r="B3440" t="str">
        <f>+C3440&amp;D3440&amp;E3440&amp;F3440</f>
        <v>Middle EastResultsTotal Raw Material Biodiesel (Pyr blend)USD/ton</v>
      </c>
      <c r="C3440" s="494" t="str">
        <f>+$C$3252</f>
        <v>Middle East</v>
      </c>
      <c r="D3440" s="30" t="s">
        <v>838</v>
      </c>
      <c r="E3440" s="228" t="s">
        <v>1376</v>
      </c>
      <c r="F3440" s="127" t="s">
        <v>205</v>
      </c>
      <c r="G3440" s="490">
        <f>+G3460*G3443+G3444*G3445</f>
        <v>682.36310319860286</v>
      </c>
      <c r="H3440" s="490">
        <f t="shared" ref="H3440:M3440" si="1989">+H3460*H3443+H3444*H3445</f>
        <v>509.61631925616638</v>
      </c>
      <c r="I3440" s="490">
        <f t="shared" si="1989"/>
        <v>455.34417562569229</v>
      </c>
      <c r="J3440" s="490">
        <f t="shared" si="1989"/>
        <v>457.61674668956385</v>
      </c>
      <c r="K3440" s="490">
        <f t="shared" si="1989"/>
        <v>460.4574605194033</v>
      </c>
      <c r="L3440" s="490">
        <f t="shared" si="1989"/>
        <v>462.73003158327492</v>
      </c>
      <c r="M3440" s="490">
        <f t="shared" si="1989"/>
        <v>465.00260264714643</v>
      </c>
    </row>
    <row r="3441" spans="2:13" hidden="1" outlineLevel="2" x14ac:dyDescent="0.2">
      <c r="C3441" s="494"/>
      <c r="E3441" s="48"/>
      <c r="F3441" s="128"/>
      <c r="G3441" s="8"/>
      <c r="H3441" s="8"/>
      <c r="I3441" s="8"/>
      <c r="J3441" s="8"/>
      <c r="K3441" s="8"/>
      <c r="L3441" s="8"/>
      <c r="M3441" s="8"/>
    </row>
    <row r="3442" spans="2:13" hidden="1" outlineLevel="2" x14ac:dyDescent="0.2">
      <c r="B3442" t="str">
        <f>+C3442&amp;D3442&amp;E3442&amp;F3442</f>
        <v>Middle EastResultsTotal cost of Pyrolysis oil blend (70% LSFO)USD/ton</v>
      </c>
      <c r="C3442" s="494" t="str">
        <f>+$C$3252</f>
        <v>Middle East</v>
      </c>
      <c r="D3442" t="s">
        <v>838</v>
      </c>
      <c r="E3442" s="48" t="s">
        <v>1377</v>
      </c>
      <c r="F3442" s="128" t="s">
        <v>205</v>
      </c>
      <c r="G3442" s="8">
        <f>+G3444*G3445+G3443*G3447</f>
        <v>848.01835360820155</v>
      </c>
      <c r="H3442" s="8">
        <f t="shared" ref="H3442" si="1990">+H3444*H3445+H3443*H3447</f>
        <v>609.14126641027224</v>
      </c>
      <c r="I3442" s="8">
        <f t="shared" ref="I3442" si="1991">+I3444*I3445+I3443*I3447</f>
        <v>488.78111609939975</v>
      </c>
      <c r="J3442" s="8">
        <f t="shared" ref="J3442" si="1992">+J3444*J3445+J3443*J3447</f>
        <v>487.69499405365588</v>
      </c>
      <c r="K3442" s="8">
        <f t="shared" ref="K3442" si="1993">+K3444*K3445+K3443*K3447</f>
        <v>489.40632289472859</v>
      </c>
      <c r="L3442" s="8">
        <f t="shared" ref="L3442" si="1994">+L3444*L3445+L3443*L3447</f>
        <v>490.54038523247846</v>
      </c>
      <c r="M3442" s="8">
        <f t="shared" ref="M3442" si="1995">+M3444*M3445+M3443*M3447</f>
        <v>491.69488750764077</v>
      </c>
    </row>
    <row r="3443" spans="2:13" hidden="1" outlineLevel="2" x14ac:dyDescent="0.2">
      <c r="B3443" t="str">
        <f>+C3443&amp;D3443&amp;E3443&amp;F3443</f>
        <v>GlobalFeedstockConversion FP blend grade : FP VLSFO blendTon feedstock / ton fuel</v>
      </c>
      <c r="C3443" s="494" t="s">
        <v>109</v>
      </c>
      <c r="D3443" t="s">
        <v>777</v>
      </c>
      <c r="E3443" t="s">
        <v>1378</v>
      </c>
      <c r="F3443" s="450" t="s">
        <v>1241</v>
      </c>
      <c r="G3443" s="521">
        <f>+INDEX('Fuel Model -  Input'!$B$3:$N$373,MATCH($B3443,'Fuel Model -  Input'!$B$3:$B$373,0),MATCH(G$2,'Fuel Model -  Input'!$B$3:$N$3,0))</f>
        <v>0.3</v>
      </c>
      <c r="H3443" s="521">
        <f>+INDEX('Fuel Model -  Input'!$B$3:$N$373,MATCH($B3443,'Fuel Model -  Input'!$B$3:$B$373,0),MATCH(H$2,'Fuel Model -  Input'!$B$3:$N$3,0))</f>
        <v>0.3</v>
      </c>
      <c r="I3443" s="521">
        <f>+INDEX('Fuel Model -  Input'!$B$3:$N$373,MATCH($B3443,'Fuel Model -  Input'!$B$3:$B$373,0),MATCH(I$2,'Fuel Model -  Input'!$B$3:$N$3,0))</f>
        <v>0.3</v>
      </c>
      <c r="J3443" s="521">
        <f>+INDEX('Fuel Model -  Input'!$B$3:$N$373,MATCH($B3443,'Fuel Model -  Input'!$B$3:$B$373,0),MATCH(J$2,'Fuel Model -  Input'!$B$3:$N$3,0))</f>
        <v>0.3</v>
      </c>
      <c r="K3443" s="521">
        <f>+INDEX('Fuel Model -  Input'!$B$3:$N$373,MATCH($B3443,'Fuel Model -  Input'!$B$3:$B$373,0),MATCH(K$2,'Fuel Model -  Input'!$B$3:$N$3,0))</f>
        <v>0.3</v>
      </c>
      <c r="L3443" s="521">
        <f>+INDEX('Fuel Model -  Input'!$B$3:$N$373,MATCH($B3443,'Fuel Model -  Input'!$B$3:$B$373,0),MATCH(L$2,'Fuel Model -  Input'!$B$3:$N$3,0))</f>
        <v>0.3</v>
      </c>
      <c r="M3443" s="521">
        <f>+INDEX('Fuel Model -  Input'!$B$3:$N$373,MATCH($B3443,'Fuel Model -  Input'!$B$3:$B$373,0),MATCH(M$2,'Fuel Model -  Input'!$B$3:$N$3,0))</f>
        <v>0.3</v>
      </c>
    </row>
    <row r="3444" spans="2:13" hidden="1" outlineLevel="2" x14ac:dyDescent="0.2">
      <c r="B3444" t="str">
        <f>+C3444&amp;D3444&amp;E3444&amp;F3444</f>
        <v>GlobalFeedstockConversion VLSFO : FP VLSFO blendTon feedstock / ton fuel</v>
      </c>
      <c r="C3444" s="494" t="s">
        <v>109</v>
      </c>
      <c r="D3444" t="s">
        <v>777</v>
      </c>
      <c r="E3444" t="s">
        <v>1379</v>
      </c>
      <c r="F3444" s="450" t="s">
        <v>1241</v>
      </c>
      <c r="G3444" s="521">
        <f>+INDEX('Fuel Model -  Input'!$B$3:$N$373,MATCH($B3444,'Fuel Model -  Input'!$B$3:$B$373,0),MATCH(G$2,'Fuel Model -  Input'!$B$3:$N$3,0))</f>
        <v>0.7</v>
      </c>
      <c r="H3444" s="521">
        <f>+INDEX('Fuel Model -  Input'!$B$3:$N$373,MATCH($B3444,'Fuel Model -  Input'!$B$3:$B$373,0),MATCH(H$2,'Fuel Model -  Input'!$B$3:$N$3,0))</f>
        <v>0.7</v>
      </c>
      <c r="I3444" s="521">
        <f>+INDEX('Fuel Model -  Input'!$B$3:$N$373,MATCH($B3444,'Fuel Model -  Input'!$B$3:$B$373,0),MATCH(I$2,'Fuel Model -  Input'!$B$3:$N$3,0))</f>
        <v>0.7</v>
      </c>
      <c r="J3444" s="521">
        <f>+INDEX('Fuel Model -  Input'!$B$3:$N$373,MATCH($B3444,'Fuel Model -  Input'!$B$3:$B$373,0),MATCH(J$2,'Fuel Model -  Input'!$B$3:$N$3,0))</f>
        <v>0.7</v>
      </c>
      <c r="K3444" s="521">
        <f>+INDEX('Fuel Model -  Input'!$B$3:$N$373,MATCH($B3444,'Fuel Model -  Input'!$B$3:$B$373,0),MATCH(K$2,'Fuel Model -  Input'!$B$3:$N$3,0))</f>
        <v>0.7</v>
      </c>
      <c r="L3444" s="521">
        <f>+INDEX('Fuel Model -  Input'!$B$3:$N$373,MATCH($B3444,'Fuel Model -  Input'!$B$3:$B$373,0),MATCH(L$2,'Fuel Model -  Input'!$B$3:$N$3,0))</f>
        <v>0.7</v>
      </c>
      <c r="M3444" s="521">
        <f>+INDEX('Fuel Model -  Input'!$B$3:$N$373,MATCH($B3444,'Fuel Model -  Input'!$B$3:$B$373,0),MATCH(M$2,'Fuel Model -  Input'!$B$3:$N$3,0))</f>
        <v>0.7</v>
      </c>
    </row>
    <row r="3445" spans="2:13" hidden="1" outlineLevel="2" x14ac:dyDescent="0.2">
      <c r="B3445" t="str">
        <f>+C3445&amp;D3445&amp;E3445&amp;F3445</f>
        <v>Middle EastResultsCost of LSFOUSD/ton</v>
      </c>
      <c r="C3445" s="494" t="str">
        <f>+$C$3252</f>
        <v>Middle East</v>
      </c>
      <c r="D3445" t="s">
        <v>838</v>
      </c>
      <c r="E3445" t="s">
        <v>1135</v>
      </c>
      <c r="F3445" s="157" t="s">
        <v>205</v>
      </c>
      <c r="G3445" s="532">
        <f>+INDEX('Fuel Model -  Input'!$B$3:$N$373,MATCH($B3445,'Fuel Model -  Input'!$B$3:$B$373,0),MATCH(G$2,'Fuel Model -  Input'!$B$3:$N$3,0))</f>
        <v>884.71322310880964</v>
      </c>
      <c r="H3445" s="532">
        <f>+INDEX('Fuel Model -  Input'!$B$3:$N$373,MATCH($B3445,'Fuel Model -  Input'!$B$3:$B$373,0),MATCH(H$2,'Fuel Model -  Input'!$B$3:$N$3,0))</f>
        <v>634.68557309979826</v>
      </c>
      <c r="I3445" s="532">
        <f>+INDEX('Fuel Model -  Input'!$B$3:$N$373,MATCH($B3445,'Fuel Model -  Input'!$B$3:$B$373,0),MATCH(I$2,'Fuel Model -  Input'!$B$3:$N$3,0))</f>
        <v>553.90740925073305</v>
      </c>
      <c r="J3445" s="532">
        <f>+INDEX('Fuel Model -  Input'!$B$3:$N$373,MATCH($B3445,'Fuel Model -  Input'!$B$3:$B$373,0),MATCH(J$2,'Fuel Model -  Input'!$B$3:$N$3,0))</f>
        <v>553.90740925073305</v>
      </c>
      <c r="K3445" s="532">
        <f>+INDEX('Fuel Model -  Input'!$B$3:$N$373,MATCH($B3445,'Fuel Model -  Input'!$B$3:$B$373,0),MATCH(K$2,'Fuel Model -  Input'!$B$3:$N$3,0))</f>
        <v>553.90740925073305</v>
      </c>
      <c r="L3445" s="532">
        <f>+INDEX('Fuel Model -  Input'!$B$3:$N$373,MATCH($B3445,'Fuel Model -  Input'!$B$3:$B$373,0),MATCH(L$2,'Fuel Model -  Input'!$B$3:$N$3,0))</f>
        <v>553.90740925073305</v>
      </c>
      <c r="M3445" s="532">
        <f>+INDEX('Fuel Model -  Input'!$B$3:$N$373,MATCH($B3445,'Fuel Model -  Input'!$B$3:$B$373,0),MATCH(M$2,'Fuel Model -  Input'!$B$3:$N$3,0))</f>
        <v>553.90740925073305</v>
      </c>
    </row>
    <row r="3446" spans="2:13" hidden="1" outlineLevel="2" x14ac:dyDescent="0.2">
      <c r="C3446" s="494"/>
      <c r="E3446" s="48"/>
      <c r="F3446" s="128"/>
      <c r="G3446" s="524"/>
      <c r="H3446" s="524"/>
      <c r="I3446" s="524"/>
      <c r="J3446" s="524"/>
      <c r="K3446" s="524"/>
      <c r="L3446" s="524"/>
      <c r="M3446" s="524"/>
    </row>
    <row r="3447" spans="2:13" hidden="1" outlineLevel="2" x14ac:dyDescent="0.2">
      <c r="B3447" t="str">
        <f>+C3447&amp;D3447&amp;E3447&amp;F3447</f>
        <v>Middle EastSubtotalSubtotal - cost of Pyrolisis oil blend feedstockUSD/ton FP blend oil feedstock</v>
      </c>
      <c r="C3447" s="494" t="str">
        <f>+$C$3252</f>
        <v>Middle East</v>
      </c>
      <c r="D3447" t="s">
        <v>1327</v>
      </c>
      <c r="E3447" s="48" t="s">
        <v>1380</v>
      </c>
      <c r="F3447" s="128" t="s">
        <v>1381</v>
      </c>
      <c r="G3447" s="8">
        <f>+SUM(G3449,G3456,G3460,G3453)</f>
        <v>762.39699144011615</v>
      </c>
      <c r="H3447" s="8">
        <f t="shared" ref="H3447:M3447" si="1996">+SUM(H3449,H3456,H3460,H3453)</f>
        <v>549.53788413471182</v>
      </c>
      <c r="I3447" s="8">
        <f t="shared" si="1996"/>
        <v>336.81976541295546</v>
      </c>
      <c r="J3447" s="8">
        <f t="shared" si="1996"/>
        <v>333.19935859380922</v>
      </c>
      <c r="K3447" s="8">
        <f t="shared" si="1996"/>
        <v>338.9037880640517</v>
      </c>
      <c r="L3447" s="8">
        <f t="shared" si="1996"/>
        <v>342.68399585655118</v>
      </c>
      <c r="M3447" s="8">
        <f t="shared" si="1996"/>
        <v>346.53233677375897</v>
      </c>
    </row>
    <row r="3448" spans="2:13" hidden="1" outlineLevel="2" x14ac:dyDescent="0.2">
      <c r="C3448" s="494"/>
      <c r="E3448" s="48"/>
      <c r="F3448" s="128"/>
      <c r="G3448" s="8"/>
      <c r="H3448" s="8"/>
      <c r="I3448" s="8"/>
      <c r="J3448" s="8"/>
      <c r="K3448" s="8"/>
      <c r="L3448" s="8"/>
      <c r="M3448" s="8"/>
    </row>
    <row r="3449" spans="2:13" hidden="1" outlineLevel="2" x14ac:dyDescent="0.2">
      <c r="B3449" t="str">
        <f>+C3449&amp;D3449&amp;E3449&amp;F3449</f>
        <v>Middle EastHTL PlantAnnual capex (Pyr blend)USD/ton oil</v>
      </c>
      <c r="C3449" s="494" t="str">
        <f>+$C$3252</f>
        <v>Middle East</v>
      </c>
      <c r="D3449" t="s">
        <v>1288</v>
      </c>
      <c r="E3449" s="48" t="s">
        <v>1382</v>
      </c>
      <c r="F3449" s="128" t="s">
        <v>1349</v>
      </c>
      <c r="G3449" s="8">
        <f t="shared" ref="G3449:M3449" si="1997">G3451/G3450</f>
        <v>404.29462373442374</v>
      </c>
      <c r="H3449" s="8">
        <f t="shared" si="1997"/>
        <v>242.57677424065429</v>
      </c>
      <c r="I3449" s="8">
        <f t="shared" si="1997"/>
        <v>80.858924746884753</v>
      </c>
      <c r="J3449" s="8">
        <f t="shared" si="1997"/>
        <v>72.773032272196289</v>
      </c>
      <c r="K3449" s="8">
        <f t="shared" si="1997"/>
        <v>70.077734780633463</v>
      </c>
      <c r="L3449" s="8">
        <f t="shared" si="1997"/>
        <v>67.382437289070637</v>
      </c>
      <c r="M3449" s="8">
        <f t="shared" si="1997"/>
        <v>64.687139797507811</v>
      </c>
    </row>
    <row r="3450" spans="2:13" hidden="1" outlineLevel="2" x14ac:dyDescent="0.2">
      <c r="B3450" t="str">
        <f>+C3450&amp;D3450&amp;E3450&amp;F3450</f>
        <v>GlobalPlant capexAnnualisation factor#</v>
      </c>
      <c r="C3450" s="494" t="s">
        <v>109</v>
      </c>
      <c r="D3450" t="s">
        <v>786</v>
      </c>
      <c r="E3450" t="s">
        <v>764</v>
      </c>
      <c r="F3450" s="450" t="s">
        <v>787</v>
      </c>
      <c r="G3450" s="532">
        <f>+INDEX('Fuel Model -  Input'!$B$3:$N$373,MATCH($B3450,'Fuel Model -  Input'!$B$3:$B$373,0),MATCH(G$2,'Fuel Model -  Input'!$B$3:$N$3,0))</f>
        <v>11.32075471698113</v>
      </c>
      <c r="H3450" s="532">
        <f>+INDEX('Fuel Model -  Input'!$B$3:$N$373,MATCH($B3450,'Fuel Model -  Input'!$B$3:$B$373,0),MATCH(H$2,'Fuel Model -  Input'!$B$3:$N$3,0))</f>
        <v>11.32075471698113</v>
      </c>
      <c r="I3450" s="532">
        <f>+INDEX('Fuel Model -  Input'!$B$3:$N$373,MATCH($B3450,'Fuel Model -  Input'!$B$3:$B$373,0),MATCH(I$2,'Fuel Model -  Input'!$B$3:$N$3,0))</f>
        <v>11.32075471698113</v>
      </c>
      <c r="J3450" s="532">
        <f>+INDEX('Fuel Model -  Input'!$B$3:$N$373,MATCH($B3450,'Fuel Model -  Input'!$B$3:$B$373,0),MATCH(J$2,'Fuel Model -  Input'!$B$3:$N$3,0))</f>
        <v>11.32075471698113</v>
      </c>
      <c r="K3450" s="532">
        <f>+INDEX('Fuel Model -  Input'!$B$3:$N$373,MATCH($B3450,'Fuel Model -  Input'!$B$3:$B$373,0),MATCH(K$2,'Fuel Model -  Input'!$B$3:$N$3,0))</f>
        <v>11.32075471698113</v>
      </c>
      <c r="L3450" s="532">
        <f>+INDEX('Fuel Model -  Input'!$B$3:$N$373,MATCH($B3450,'Fuel Model -  Input'!$B$3:$B$373,0),MATCH(L$2,'Fuel Model -  Input'!$B$3:$N$3,0))</f>
        <v>11.32075471698113</v>
      </c>
      <c r="M3450" s="532">
        <f>+INDEX('Fuel Model -  Input'!$B$3:$N$373,MATCH($B3450,'Fuel Model -  Input'!$B$3:$B$373,0),MATCH(M$2,'Fuel Model -  Input'!$B$3:$N$3,0))</f>
        <v>11.32075471698113</v>
      </c>
    </row>
    <row r="3451" spans="2:13" hidden="1" outlineLevel="2" x14ac:dyDescent="0.2">
      <c r="B3451" t="str">
        <f>+C3451&amp;D3451&amp;E3451&amp;F3451</f>
        <v>GlobalCAPEXFP blend grade plantUSD/ton FP VLSFO blend capacity</v>
      </c>
      <c r="C3451" s="494" t="s">
        <v>109</v>
      </c>
      <c r="D3451" t="s">
        <v>50</v>
      </c>
      <c r="E3451" s="48" t="s">
        <v>1383</v>
      </c>
      <c r="F3451" s="128" t="s">
        <v>1384</v>
      </c>
      <c r="G3451" s="532">
        <f>+INDEX('Fuel Model -  Input'!$B$3:$N$373,MATCH($B3451,'Fuel Model -  Input'!$B$3:$B$373,0),MATCH(G$2,'Fuel Model -  Input'!$B$3:$N$3,0))</f>
        <v>4576.9202686915887</v>
      </c>
      <c r="H3451" s="532">
        <f>+INDEX('Fuel Model -  Input'!$B$3:$N$373,MATCH($B3451,'Fuel Model -  Input'!$B$3:$B$373,0),MATCH(H$2,'Fuel Model -  Input'!$B$3:$N$3,0))</f>
        <v>2746.1521612149536</v>
      </c>
      <c r="I3451" s="532">
        <f>+INDEX('Fuel Model -  Input'!$B$3:$N$373,MATCH($B3451,'Fuel Model -  Input'!$B$3:$B$373,0),MATCH(I$2,'Fuel Model -  Input'!$B$3:$N$3,0))</f>
        <v>915.38405373831779</v>
      </c>
      <c r="J3451" s="532">
        <f>+INDEX('Fuel Model -  Input'!$B$3:$N$373,MATCH($B3451,'Fuel Model -  Input'!$B$3:$B$373,0),MATCH(J$2,'Fuel Model -  Input'!$B$3:$N$3,0))</f>
        <v>823.84564836448612</v>
      </c>
      <c r="K3451" s="532">
        <f>+INDEX('Fuel Model -  Input'!$B$3:$N$373,MATCH($B3451,'Fuel Model -  Input'!$B$3:$B$373,0),MATCH(K$2,'Fuel Model -  Input'!$B$3:$N$3,0))</f>
        <v>793.33284657320883</v>
      </c>
      <c r="L3451" s="532">
        <f>+INDEX('Fuel Model -  Input'!$B$3:$N$373,MATCH($B3451,'Fuel Model -  Input'!$B$3:$B$373,0),MATCH(L$2,'Fuel Model -  Input'!$B$3:$N$3,0))</f>
        <v>762.82004478193153</v>
      </c>
      <c r="M3451" s="532">
        <f>+INDEX('Fuel Model -  Input'!$B$3:$N$373,MATCH($B3451,'Fuel Model -  Input'!$B$3:$B$373,0),MATCH(M$2,'Fuel Model -  Input'!$B$3:$N$3,0))</f>
        <v>732.30724299065434</v>
      </c>
    </row>
    <row r="3452" spans="2:13" hidden="1" outlineLevel="2" x14ac:dyDescent="0.2">
      <c r="C3452" s="494"/>
      <c r="E3452" s="48"/>
      <c r="F3452" s="128"/>
      <c r="G3452" s="524"/>
      <c r="H3452" s="524"/>
      <c r="I3452" s="524"/>
      <c r="J3452" s="524"/>
      <c r="K3452" s="524"/>
      <c r="L3452" s="524"/>
      <c r="M3452" s="524"/>
    </row>
    <row r="3453" spans="2:13" hidden="1" outlineLevel="2" x14ac:dyDescent="0.2">
      <c r="B3453" t="str">
        <f>+C3453&amp;D3453&amp;E3453&amp;F3453</f>
        <v>Middle EastOpexOpexUSD/ton oil</v>
      </c>
      <c r="C3453" s="494" t="str">
        <f>+$C$3252</f>
        <v>Middle East</v>
      </c>
      <c r="D3453" t="s">
        <v>219</v>
      </c>
      <c r="E3453" s="48" t="s">
        <v>219</v>
      </c>
      <c r="F3453" s="128" t="s">
        <v>1349</v>
      </c>
      <c r="G3453" s="8">
        <f t="shared" ref="G3453:M3453" si="1998">G3451*G3454</f>
        <v>145.7481389915236</v>
      </c>
      <c r="H3453" s="8">
        <f t="shared" si="1998"/>
        <v>87.448883394914176</v>
      </c>
      <c r="I3453" s="8">
        <f t="shared" si="1998"/>
        <v>29.149627798304721</v>
      </c>
      <c r="J3453" s="8">
        <f t="shared" si="1998"/>
        <v>26.234665018474253</v>
      </c>
      <c r="K3453" s="8">
        <f t="shared" si="1998"/>
        <v>25.263010758530761</v>
      </c>
      <c r="L3453" s="8">
        <f t="shared" si="1998"/>
        <v>24.29135649858727</v>
      </c>
      <c r="M3453" s="8">
        <f t="shared" si="1998"/>
        <v>23.319702238643782</v>
      </c>
    </row>
    <row r="3454" spans="2:13" hidden="1" outlineLevel="2" x14ac:dyDescent="0.2">
      <c r="B3454" t="str">
        <f>+C3454&amp;D3454&amp;E3454&amp;F3454</f>
        <v>GlobalOPEXFP blend grade plant opexUSD/ton FP VLSFO blend</v>
      </c>
      <c r="C3454" s="494" t="s">
        <v>109</v>
      </c>
      <c r="D3454" t="s">
        <v>319</v>
      </c>
      <c r="E3454" s="48" t="s">
        <v>1385</v>
      </c>
      <c r="F3454" s="128" t="s">
        <v>1386</v>
      </c>
      <c r="G3454" s="531">
        <f>INDEX('Fuel Model -  Input'!$B$3:$N$373,MATCH($B3454,'Fuel Model -  Input'!$B$3:$B$373,0),MATCH(G$2,'Fuel Model -  Input'!$B$3:$N$3,0))</f>
        <v>3.1844150746630516E-2</v>
      </c>
      <c r="H3454" s="531">
        <f>INDEX('Fuel Model -  Input'!$B$3:$N$373,MATCH($B3454,'Fuel Model -  Input'!$B$3:$B$373,0),MATCH(H$2,'Fuel Model -  Input'!$B$3:$N$3,0))</f>
        <v>3.1844150746630516E-2</v>
      </c>
      <c r="I3454" s="531">
        <f>INDEX('Fuel Model -  Input'!$B$3:$N$373,MATCH($B3454,'Fuel Model -  Input'!$B$3:$B$373,0),MATCH(I$2,'Fuel Model -  Input'!$B$3:$N$3,0))</f>
        <v>3.1844150746630516E-2</v>
      </c>
      <c r="J3454" s="531">
        <f>INDEX('Fuel Model -  Input'!$B$3:$N$373,MATCH($B3454,'Fuel Model -  Input'!$B$3:$B$373,0),MATCH(J$2,'Fuel Model -  Input'!$B$3:$N$3,0))</f>
        <v>3.1844150746630516E-2</v>
      </c>
      <c r="K3454" s="531">
        <f>INDEX('Fuel Model -  Input'!$B$3:$N$373,MATCH($B3454,'Fuel Model -  Input'!$B$3:$B$373,0),MATCH(K$2,'Fuel Model -  Input'!$B$3:$N$3,0))</f>
        <v>3.1844150746630516E-2</v>
      </c>
      <c r="L3454" s="531">
        <f>INDEX('Fuel Model -  Input'!$B$3:$N$373,MATCH($B3454,'Fuel Model -  Input'!$B$3:$B$373,0),MATCH(L$2,'Fuel Model -  Input'!$B$3:$N$3,0))</f>
        <v>3.1844150746630516E-2</v>
      </c>
      <c r="M3454" s="531">
        <f>INDEX('Fuel Model -  Input'!$B$3:$N$373,MATCH($B3454,'Fuel Model -  Input'!$B$3:$B$373,0),MATCH(M$2,'Fuel Model -  Input'!$B$3:$N$3,0))</f>
        <v>3.1844150746630516E-2</v>
      </c>
    </row>
    <row r="3455" spans="2:13" hidden="1" outlineLevel="2" x14ac:dyDescent="0.2">
      <c r="C3455" s="494"/>
      <c r="E3455" s="48"/>
      <c r="F3455" s="128"/>
      <c r="G3455" s="520"/>
      <c r="H3455" s="520"/>
      <c r="I3455" s="520"/>
      <c r="J3455" s="520"/>
      <c r="K3455" s="520"/>
      <c r="L3455" s="520"/>
      <c r="M3455" s="520"/>
    </row>
    <row r="3456" spans="2:13" hidden="1" outlineLevel="2" x14ac:dyDescent="0.2">
      <c r="B3456" t="str">
        <f>+C3456&amp;D3456&amp;E3456&amp;F3456</f>
        <v>Middle EastElectricityTotal (Pyr blend)USD/ ton oil</v>
      </c>
      <c r="C3456" s="494" t="str">
        <f>+$C$3252</f>
        <v>Middle East</v>
      </c>
      <c r="D3456" t="s">
        <v>54</v>
      </c>
      <c r="E3456" s="48" t="s">
        <v>1387</v>
      </c>
      <c r="F3456" s="128" t="s">
        <v>1354</v>
      </c>
      <c r="G3456" s="8">
        <f t="shared" ref="G3456:M3456" si="1999">G3458*G3457</f>
        <v>2.1414053060487488</v>
      </c>
      <c r="H3456" s="8">
        <f t="shared" si="1999"/>
        <v>1.7241662114512299</v>
      </c>
      <c r="I3456" s="8">
        <f t="shared" si="1999"/>
        <v>1.4479157005020318</v>
      </c>
      <c r="J3456" s="8">
        <f t="shared" si="1999"/>
        <v>1.2531272563028506</v>
      </c>
      <c r="K3456" s="8">
        <f t="shared" si="1999"/>
        <v>1.1554623785867548</v>
      </c>
      <c r="L3456" s="8">
        <f t="shared" si="1999"/>
        <v>1.0273850430206497</v>
      </c>
      <c r="M3456" s="8">
        <f t="shared" si="1999"/>
        <v>0.96744083216285048</v>
      </c>
    </row>
    <row r="3457" spans="2:13" hidden="1" outlineLevel="2" x14ac:dyDescent="0.2">
      <c r="B3457" t="str">
        <f>+C3457&amp;D3457&amp;E3457&amp;F3457</f>
        <v>GlobalFeedstockFP blend grade plant electricity demandMWh/ton fuel</v>
      </c>
      <c r="C3457" s="494" t="s">
        <v>109</v>
      </c>
      <c r="D3457" t="s">
        <v>777</v>
      </c>
      <c r="E3457" s="48" t="s">
        <v>1367</v>
      </c>
      <c r="F3457" s="128" t="s">
        <v>1298</v>
      </c>
      <c r="G3457" s="521">
        <f>INDEX('Fuel Model -  Input'!$B$3:$N$373,MATCH($B3457,'Fuel Model -  Input'!$B$3:$B$373,0),MATCH(G$2,'Fuel Model -  Input'!$B$3:$N$3,0))</f>
        <v>5.1081730769230768E-2</v>
      </c>
      <c r="H3457" s="521">
        <f>INDEX('Fuel Model -  Input'!$B$3:$N$373,MATCH($B3457,'Fuel Model -  Input'!$B$3:$B$373,0),MATCH(H$2,'Fuel Model -  Input'!$B$3:$N$3,0))</f>
        <v>5.1081730769230768E-2</v>
      </c>
      <c r="I3457" s="521">
        <f>INDEX('Fuel Model -  Input'!$B$3:$N$373,MATCH($B3457,'Fuel Model -  Input'!$B$3:$B$373,0),MATCH(I$2,'Fuel Model -  Input'!$B$3:$N$3,0))</f>
        <v>5.1081730769230768E-2</v>
      </c>
      <c r="J3457" s="521">
        <f>INDEX('Fuel Model -  Input'!$B$3:$N$373,MATCH($B3457,'Fuel Model -  Input'!$B$3:$B$373,0),MATCH(J$2,'Fuel Model -  Input'!$B$3:$N$3,0))</f>
        <v>5.1081730769230768E-2</v>
      </c>
      <c r="K3457" s="521">
        <f>INDEX('Fuel Model -  Input'!$B$3:$N$373,MATCH($B3457,'Fuel Model -  Input'!$B$3:$B$373,0),MATCH(K$2,'Fuel Model -  Input'!$B$3:$N$3,0))</f>
        <v>5.1081730769230768E-2</v>
      </c>
      <c r="L3457" s="521">
        <f>INDEX('Fuel Model -  Input'!$B$3:$N$373,MATCH($B3457,'Fuel Model -  Input'!$B$3:$B$373,0),MATCH(L$2,'Fuel Model -  Input'!$B$3:$N$3,0))</f>
        <v>5.1081730769230768E-2</v>
      </c>
      <c r="M3457" s="521">
        <f>INDEX('Fuel Model -  Input'!$B$3:$N$373,MATCH($B3457,'Fuel Model -  Input'!$B$3:$B$373,0),MATCH(M$2,'Fuel Model -  Input'!$B$3:$N$3,0))</f>
        <v>5.1081730769230768E-2</v>
      </c>
    </row>
    <row r="3458" spans="2:13" hidden="1" outlineLevel="2" x14ac:dyDescent="0.2">
      <c r="B3458" t="str">
        <f>+C3458&amp;D3458&amp;E3458&amp;F3458</f>
        <v>Middle EastFeedstockElectricityUSD/MWh</v>
      </c>
      <c r="C3458" s="494" t="str">
        <f>+$C$3252</f>
        <v>Middle East</v>
      </c>
      <c r="D3458" t="s">
        <v>777</v>
      </c>
      <c r="E3458" s="48" t="s">
        <v>54</v>
      </c>
      <c r="F3458" s="128" t="s">
        <v>196</v>
      </c>
      <c r="G3458" s="521">
        <f>INDEX('Fuel Model -  Input'!$B$3:$N$373,MATCH($B3458,'Fuel Model -  Input'!$B$3:$B$373,0),MATCH(G$2,'Fuel Model -  Input'!$B$3:$N$3,0))</f>
        <v>41.921157991354328</v>
      </c>
      <c r="H3458" s="521">
        <f>INDEX('Fuel Model -  Input'!$B$3:$N$373,MATCH($B3458,'Fuel Model -  Input'!$B$3:$B$373,0),MATCH(H$2,'Fuel Model -  Input'!$B$3:$N$3,0))</f>
        <v>33.753089127704079</v>
      </c>
      <c r="I3458" s="521">
        <f>INDEX('Fuel Model -  Input'!$B$3:$N$373,MATCH($B3458,'Fuel Model -  Input'!$B$3:$B$373,0),MATCH(I$2,'Fuel Model -  Input'!$B$3:$N$3,0))</f>
        <v>28.34507912512213</v>
      </c>
      <c r="J3458" s="521">
        <f>INDEX('Fuel Model -  Input'!$B$3:$N$373,MATCH($B3458,'Fuel Model -  Input'!$B$3:$B$373,0),MATCH(J$2,'Fuel Model -  Input'!$B$3:$N$3,0))</f>
        <v>24.531808876328746</v>
      </c>
      <c r="K3458" s="521">
        <f>INDEX('Fuel Model -  Input'!$B$3:$N$373,MATCH($B3458,'Fuel Model -  Input'!$B$3:$B$373,0),MATCH(K$2,'Fuel Model -  Input'!$B$3:$N$3,0))</f>
        <v>22.619875270215999</v>
      </c>
      <c r="L3458" s="521">
        <f>INDEX('Fuel Model -  Input'!$B$3:$N$373,MATCH($B3458,'Fuel Model -  Input'!$B$3:$B$373,0),MATCH(L$2,'Fuel Model -  Input'!$B$3:$N$3,0))</f>
        <v>20.112573077486601</v>
      </c>
      <c r="M3458" s="521">
        <f>INDEX('Fuel Model -  Input'!$B$3:$N$373,MATCH($B3458,'Fuel Model -  Input'!$B$3:$B$373,0),MATCH(M$2,'Fuel Model -  Input'!$B$3:$N$3,0))</f>
        <v>18.93907699669392</v>
      </c>
    </row>
    <row r="3459" spans="2:13" hidden="1" outlineLevel="2" x14ac:dyDescent="0.2">
      <c r="C3459" s="494"/>
      <c r="E3459" s="48"/>
      <c r="F3459" s="128"/>
      <c r="G3459" s="532"/>
      <c r="H3459" s="532"/>
      <c r="I3459" s="532"/>
      <c r="J3459" s="532"/>
      <c r="K3459" s="532"/>
      <c r="L3459" s="532"/>
      <c r="M3459" s="532"/>
    </row>
    <row r="3460" spans="2:13" hidden="1" outlineLevel="2" x14ac:dyDescent="0.2">
      <c r="B3460" t="str">
        <f>+C3460&amp;D3460&amp;E3460&amp;F3460</f>
        <v>Middle EastFeedstockWood biomass to pyrolysis oilUSD/ton oil</v>
      </c>
      <c r="C3460" s="494" t="str">
        <f>+$C$3252</f>
        <v>Middle East</v>
      </c>
      <c r="D3460" t="s">
        <v>777</v>
      </c>
      <c r="E3460" s="48" t="s">
        <v>1360</v>
      </c>
      <c r="F3460" s="128" t="s">
        <v>1349</v>
      </c>
      <c r="G3460" s="8">
        <f t="shared" ref="G3460:M3460" si="2000">G3462*G3461</f>
        <v>210.21282340812019</v>
      </c>
      <c r="H3460" s="8">
        <f t="shared" si="2000"/>
        <v>217.78806028769208</v>
      </c>
      <c r="I3460" s="8">
        <f t="shared" si="2000"/>
        <v>225.36329716726397</v>
      </c>
      <c r="J3460" s="8">
        <f t="shared" si="2000"/>
        <v>232.93853404683588</v>
      </c>
      <c r="K3460" s="8">
        <f t="shared" si="2000"/>
        <v>242.40758014630075</v>
      </c>
      <c r="L3460" s="8">
        <f t="shared" si="2000"/>
        <v>249.98281702587263</v>
      </c>
      <c r="M3460" s="8">
        <f t="shared" si="2000"/>
        <v>257.55805390544452</v>
      </c>
    </row>
    <row r="3461" spans="2:13" hidden="1" outlineLevel="2" x14ac:dyDescent="0.2">
      <c r="B3461" t="str">
        <f>+C3461&amp;D3461&amp;E3461&amp;F3461</f>
        <v>GlobalFeedstockConversion Dry Wood biomass : FP VLSFO blendTon feedstock / ton fuel</v>
      </c>
      <c r="C3461" s="494" t="s">
        <v>109</v>
      </c>
      <c r="D3461" t="s">
        <v>777</v>
      </c>
      <c r="E3461" s="48" t="s">
        <v>1388</v>
      </c>
      <c r="F3461" s="128" t="s">
        <v>1241</v>
      </c>
      <c r="G3461" s="521">
        <f>+INDEX('Fuel Model -  Input'!$B$3:$N$373,MATCH($B3461,'Fuel Model -  Input'!$B$3:$B$373,0),MATCH(G$2,'Fuel Model -  Input'!$B$3:$N$3,0))</f>
        <v>1.8938092198929746</v>
      </c>
      <c r="H3461" s="521">
        <f>+INDEX('Fuel Model -  Input'!$B$3:$N$373,MATCH($B3461,'Fuel Model -  Input'!$B$3:$B$373,0),MATCH(H$2,'Fuel Model -  Input'!$B$3:$N$3,0))</f>
        <v>1.8938092198929746</v>
      </c>
      <c r="I3461" s="521">
        <f>+INDEX('Fuel Model -  Input'!$B$3:$N$373,MATCH($B3461,'Fuel Model -  Input'!$B$3:$B$373,0),MATCH(I$2,'Fuel Model -  Input'!$B$3:$N$3,0))</f>
        <v>1.8938092198929746</v>
      </c>
      <c r="J3461" s="521">
        <f>+INDEX('Fuel Model -  Input'!$B$3:$N$373,MATCH($B3461,'Fuel Model -  Input'!$B$3:$B$373,0),MATCH(J$2,'Fuel Model -  Input'!$B$3:$N$3,0))</f>
        <v>1.8938092198929746</v>
      </c>
      <c r="K3461" s="521">
        <f>+INDEX('Fuel Model -  Input'!$B$3:$N$373,MATCH($B3461,'Fuel Model -  Input'!$B$3:$B$373,0),MATCH(K$2,'Fuel Model -  Input'!$B$3:$N$3,0))</f>
        <v>1.8938092198929746</v>
      </c>
      <c r="L3461" s="521">
        <f>+INDEX('Fuel Model -  Input'!$B$3:$N$373,MATCH($B3461,'Fuel Model -  Input'!$B$3:$B$373,0),MATCH(L$2,'Fuel Model -  Input'!$B$3:$N$3,0))</f>
        <v>1.8938092198929746</v>
      </c>
      <c r="M3461" s="521">
        <f>+INDEX('Fuel Model -  Input'!$B$3:$N$373,MATCH($B3461,'Fuel Model -  Input'!$B$3:$B$373,0),MATCH(M$2,'Fuel Model -  Input'!$B$3:$N$3,0))</f>
        <v>1.8938092198929746</v>
      </c>
    </row>
    <row r="3462" spans="2:13" hidden="1" outlineLevel="2" x14ac:dyDescent="0.2">
      <c r="B3462" t="str">
        <f>+C3462&amp;D3462&amp;E3462&amp;F3462</f>
        <v>Middle EastFeedstockCost of Wood biomassUSD/ton Wood</v>
      </c>
      <c r="C3462" s="494" t="str">
        <f>C3436</f>
        <v>Middle East</v>
      </c>
      <c r="D3462" t="s">
        <v>777</v>
      </c>
      <c r="E3462" s="48" t="s">
        <v>1244</v>
      </c>
      <c r="F3462" s="128" t="s">
        <v>1245</v>
      </c>
      <c r="G3462" s="532">
        <f>+INDEX('Fuel Model -  Input'!$B$3:$N$373,MATCH($B3462,'Fuel Model -  Input'!$B$3:$B$373,0),MATCH(G$2,'Fuel Model -  Input'!$B$3:$N$3,0))</f>
        <v>111</v>
      </c>
      <c r="H3462" s="532">
        <f>+INDEX('Fuel Model -  Input'!$B$3:$N$373,MATCH($B3462,'Fuel Model -  Input'!$B$3:$B$373,0),MATCH(H$2,'Fuel Model -  Input'!$B$3:$N$3,0))</f>
        <v>115</v>
      </c>
      <c r="I3462" s="532">
        <f>+INDEX('Fuel Model -  Input'!$B$3:$N$373,MATCH($B3462,'Fuel Model -  Input'!$B$3:$B$373,0),MATCH(I$2,'Fuel Model -  Input'!$B$3:$N$3,0))</f>
        <v>119</v>
      </c>
      <c r="J3462" s="532">
        <f>+INDEX('Fuel Model -  Input'!$B$3:$N$373,MATCH($B3462,'Fuel Model -  Input'!$B$3:$B$373,0),MATCH(J$2,'Fuel Model -  Input'!$B$3:$N$3,0))</f>
        <v>123</v>
      </c>
      <c r="K3462" s="532">
        <f>+INDEX('Fuel Model -  Input'!$B$3:$N$373,MATCH($B3462,'Fuel Model -  Input'!$B$3:$B$373,0),MATCH(K$2,'Fuel Model -  Input'!$B$3:$N$3,0))</f>
        <v>128</v>
      </c>
      <c r="L3462" s="532">
        <f>+INDEX('Fuel Model -  Input'!$B$3:$N$373,MATCH($B3462,'Fuel Model -  Input'!$B$3:$B$373,0),MATCH(L$2,'Fuel Model -  Input'!$B$3:$N$3,0))</f>
        <v>132</v>
      </c>
      <c r="M3462" s="532">
        <f>+INDEX('Fuel Model -  Input'!$B$3:$N$373,MATCH($B3462,'Fuel Model -  Input'!$B$3:$B$373,0),MATCH(M$2,'Fuel Model -  Input'!$B$3:$N$3,0))</f>
        <v>136</v>
      </c>
    </row>
    <row r="3463" spans="2:13" ht="12.75" hidden="1" outlineLevel="1" x14ac:dyDescent="0.2">
      <c r="F3463"/>
    </row>
    <row r="3464" spans="2:13" s="30" customFormat="1" ht="15" hidden="1" outlineLevel="1" collapsed="1" x14ac:dyDescent="0.25">
      <c r="B3464" s="30" t="s">
        <v>198</v>
      </c>
      <c r="C3464" s="30" t="str">
        <f>+B3464</f>
        <v>Asia</v>
      </c>
    </row>
    <row r="3465" spans="2:13" ht="15" hidden="1" outlineLevel="2" x14ac:dyDescent="0.25">
      <c r="B3465" t="str">
        <f>+C3465&amp;D3465&amp;E3465&amp;F3465</f>
        <v>AsiaResultsTotal cost of Biodiesel (Pyr blend)USD/ton</v>
      </c>
      <c r="C3465" s="494" t="str">
        <f>+$C$3283</f>
        <v>Asia</v>
      </c>
      <c r="D3465" s="30" t="s">
        <v>838</v>
      </c>
      <c r="E3465" s="405" t="s">
        <v>1373</v>
      </c>
      <c r="F3465" s="127" t="s">
        <v>205</v>
      </c>
      <c r="G3465" s="490">
        <f>+SUM(G3466:G3468)</f>
        <v>824.20334896726308</v>
      </c>
      <c r="H3465" s="490">
        <f t="shared" ref="H3465:M3465" si="2001">+SUM(H3466:H3468)</f>
        <v>585.58231451157519</v>
      </c>
      <c r="I3465" s="490">
        <f t="shared" si="2001"/>
        <v>465.14819719438447</v>
      </c>
      <c r="J3465" s="490">
        <f t="shared" si="2001"/>
        <v>464.58205053555361</v>
      </c>
      <c r="K3465" s="490">
        <f t="shared" si="2001"/>
        <v>466.26847882814525</v>
      </c>
      <c r="L3465" s="490">
        <f t="shared" si="2001"/>
        <v>467.38423169081449</v>
      </c>
      <c r="M3465" s="490">
        <f t="shared" si="2001"/>
        <v>469.09884314207932</v>
      </c>
    </row>
    <row r="3466" spans="2:13" ht="15" hidden="1" outlineLevel="2" x14ac:dyDescent="0.25">
      <c r="B3466" t="str">
        <f>+C3466&amp;D3466&amp;E3466&amp;F3466</f>
        <v>AsiaResultsTotal Capex Biodiesel (Pyr blend)USD/ton</v>
      </c>
      <c r="C3466" s="494" t="str">
        <f>+$C$3283</f>
        <v>Asia</v>
      </c>
      <c r="D3466" s="30" t="s">
        <v>838</v>
      </c>
      <c r="E3466" s="228" t="s">
        <v>1374</v>
      </c>
      <c r="F3466" s="127" t="s">
        <v>205</v>
      </c>
      <c r="G3466" s="490">
        <f>G3477*G3471</f>
        <v>121.28838712032712</v>
      </c>
      <c r="H3466" s="490">
        <f t="shared" ref="H3466:M3466" si="2002">H3477*H3471</f>
        <v>72.773032272196289</v>
      </c>
      <c r="I3466" s="490">
        <f t="shared" si="2002"/>
        <v>24.257677424065424</v>
      </c>
      <c r="J3466" s="490">
        <f t="shared" si="2002"/>
        <v>21.831909681658885</v>
      </c>
      <c r="K3466" s="490">
        <f t="shared" si="2002"/>
        <v>21.023320434190037</v>
      </c>
      <c r="L3466" s="490">
        <f t="shared" si="2002"/>
        <v>20.214731186721192</v>
      </c>
      <c r="M3466" s="490">
        <f t="shared" si="2002"/>
        <v>19.406141939252343</v>
      </c>
    </row>
    <row r="3467" spans="2:13" ht="15" hidden="1" outlineLevel="2" x14ac:dyDescent="0.25">
      <c r="B3467" t="str">
        <f>+C3467&amp;D3467&amp;E3467&amp;F3467</f>
        <v>AsiaResultsTotal Opex Biodiesel (Pyr blend)USD/ton</v>
      </c>
      <c r="C3467" s="494" t="str">
        <f>+$C$3283</f>
        <v>Asia</v>
      </c>
      <c r="D3467" s="30" t="s">
        <v>838</v>
      </c>
      <c r="E3467" s="228" t="s">
        <v>1375</v>
      </c>
      <c r="F3467" s="127" t="s">
        <v>205</v>
      </c>
      <c r="G3467" s="490">
        <f>(G3481+G3484)*G3471</f>
        <v>44.981997584952587</v>
      </c>
      <c r="H3467" s="490">
        <f t="shared" ref="H3467:M3467" si="2003">(H3481+H3484)*H3471</f>
        <v>27.054959153864008</v>
      </c>
      <c r="I3467" s="490">
        <f t="shared" si="2003"/>
        <v>9.4083403152782257</v>
      </c>
      <c r="J3467" s="490">
        <f t="shared" si="2003"/>
        <v>8.4272475690144546</v>
      </c>
      <c r="K3467" s="490">
        <f t="shared" si="2003"/>
        <v>8.0815512792354482</v>
      </c>
      <c r="L3467" s="490">
        <f t="shared" si="2003"/>
        <v>7.7333223255019696</v>
      </c>
      <c r="M3467" s="490">
        <f t="shared" si="2003"/>
        <v>7.4158091943961821</v>
      </c>
    </row>
    <row r="3468" spans="2:13" ht="15" hidden="1" outlineLevel="2" x14ac:dyDescent="0.25">
      <c r="B3468" t="str">
        <f>+C3468&amp;D3468&amp;E3468&amp;F3468</f>
        <v>AsiaResultsTotal Raw Material Biodiesel (Pyr blend)USD/ton</v>
      </c>
      <c r="C3468" s="494" t="str">
        <f>+$C$3283</f>
        <v>Asia</v>
      </c>
      <c r="D3468" s="30" t="s">
        <v>838</v>
      </c>
      <c r="E3468" s="228" t="s">
        <v>1376</v>
      </c>
      <c r="F3468" s="127" t="s">
        <v>205</v>
      </c>
      <c r="G3468" s="490">
        <f>+G3488*G3471+G3472*G3473</f>
        <v>657.93296426198344</v>
      </c>
      <c r="H3468" s="490">
        <f t="shared" ref="H3468:M3468" si="2004">+H3488*H3471+H3472*H3473</f>
        <v>485.7543230855149</v>
      </c>
      <c r="I3468" s="490">
        <f t="shared" si="2004"/>
        <v>431.48217945504081</v>
      </c>
      <c r="J3468" s="490">
        <f t="shared" si="2004"/>
        <v>434.32289328488025</v>
      </c>
      <c r="K3468" s="490">
        <f t="shared" si="2004"/>
        <v>437.16360711471975</v>
      </c>
      <c r="L3468" s="490">
        <f t="shared" si="2004"/>
        <v>439.43617817859132</v>
      </c>
      <c r="M3468" s="490">
        <f t="shared" si="2004"/>
        <v>442.27689200843076</v>
      </c>
    </row>
    <row r="3469" spans="2:13" hidden="1" outlineLevel="2" x14ac:dyDescent="0.2">
      <c r="C3469" s="494"/>
      <c r="E3469" s="48"/>
      <c r="F3469" s="128"/>
      <c r="G3469" s="8"/>
      <c r="H3469" s="8"/>
      <c r="I3469" s="8"/>
      <c r="J3469" s="8"/>
      <c r="K3469" s="8"/>
      <c r="L3469" s="8"/>
      <c r="M3469" s="8"/>
    </row>
    <row r="3470" spans="2:13" hidden="1" outlineLevel="2" x14ac:dyDescent="0.2">
      <c r="B3470" t="str">
        <f>+C3470&amp;D3470&amp;E3470&amp;F3470</f>
        <v>AsiaResultsTotal cost of Pyrolysis oil blend (70% LSFO)USD/ton</v>
      </c>
      <c r="C3470" s="494" t="str">
        <f>+$C$3283</f>
        <v>Asia</v>
      </c>
      <c r="D3470" t="s">
        <v>838</v>
      </c>
      <c r="E3470" s="48" t="s">
        <v>1377</v>
      </c>
      <c r="F3470" s="128" t="s">
        <v>205</v>
      </c>
      <c r="G3470" s="8">
        <f>+G3472*G3473+G3471*G3475</f>
        <v>824.20334896726308</v>
      </c>
      <c r="H3470" s="8">
        <f t="shared" ref="H3470" si="2005">+H3472*H3473+H3471*H3475</f>
        <v>585.58231451157519</v>
      </c>
      <c r="I3470" s="8">
        <f t="shared" ref="I3470" si="2006">+I3472*I3473+I3471*I3475</f>
        <v>465.14819719438447</v>
      </c>
      <c r="J3470" s="8">
        <f t="shared" ref="J3470" si="2007">+J3472*J3473+J3471*J3475</f>
        <v>464.58205053555361</v>
      </c>
      <c r="K3470" s="8">
        <f t="shared" ref="K3470" si="2008">+K3472*K3473+K3471*K3475</f>
        <v>466.26847882814525</v>
      </c>
      <c r="L3470" s="8">
        <f t="shared" ref="L3470" si="2009">+L3472*L3473+L3471*L3475</f>
        <v>467.38423169081443</v>
      </c>
      <c r="M3470" s="8">
        <f t="shared" ref="M3470" si="2010">+M3472*M3473+M3471*M3475</f>
        <v>469.09884314207932</v>
      </c>
    </row>
    <row r="3471" spans="2:13" hidden="1" outlineLevel="2" x14ac:dyDescent="0.2">
      <c r="B3471" t="str">
        <f>+C3471&amp;D3471&amp;E3471&amp;F3471</f>
        <v>GlobalFeedstockConversion FP blend grade : FP VLSFO blendTon feedstock / ton fuel</v>
      </c>
      <c r="C3471" s="494" t="s">
        <v>109</v>
      </c>
      <c r="D3471" t="s">
        <v>777</v>
      </c>
      <c r="E3471" t="s">
        <v>1378</v>
      </c>
      <c r="F3471" s="450" t="s">
        <v>1241</v>
      </c>
      <c r="G3471" s="521">
        <f>+INDEX('Fuel Model -  Input'!$B$3:$N$373,MATCH($B3471,'Fuel Model -  Input'!$B$3:$B$373,0),MATCH(G$2,'Fuel Model -  Input'!$B$3:$N$3,0))</f>
        <v>0.3</v>
      </c>
      <c r="H3471" s="521">
        <f>+INDEX('Fuel Model -  Input'!$B$3:$N$373,MATCH($B3471,'Fuel Model -  Input'!$B$3:$B$373,0),MATCH(H$2,'Fuel Model -  Input'!$B$3:$N$3,0))</f>
        <v>0.3</v>
      </c>
      <c r="I3471" s="521">
        <f>+INDEX('Fuel Model -  Input'!$B$3:$N$373,MATCH($B3471,'Fuel Model -  Input'!$B$3:$B$373,0),MATCH(I$2,'Fuel Model -  Input'!$B$3:$N$3,0))</f>
        <v>0.3</v>
      </c>
      <c r="J3471" s="521">
        <f>+INDEX('Fuel Model -  Input'!$B$3:$N$373,MATCH($B3471,'Fuel Model -  Input'!$B$3:$B$373,0),MATCH(J$2,'Fuel Model -  Input'!$B$3:$N$3,0))</f>
        <v>0.3</v>
      </c>
      <c r="K3471" s="521">
        <f>+INDEX('Fuel Model -  Input'!$B$3:$N$373,MATCH($B3471,'Fuel Model -  Input'!$B$3:$B$373,0),MATCH(K$2,'Fuel Model -  Input'!$B$3:$N$3,0))</f>
        <v>0.3</v>
      </c>
      <c r="L3471" s="521">
        <f>+INDEX('Fuel Model -  Input'!$B$3:$N$373,MATCH($B3471,'Fuel Model -  Input'!$B$3:$B$373,0),MATCH(L$2,'Fuel Model -  Input'!$B$3:$N$3,0))</f>
        <v>0.3</v>
      </c>
      <c r="M3471" s="521">
        <f>+INDEX('Fuel Model -  Input'!$B$3:$N$373,MATCH($B3471,'Fuel Model -  Input'!$B$3:$B$373,0),MATCH(M$2,'Fuel Model -  Input'!$B$3:$N$3,0))</f>
        <v>0.3</v>
      </c>
    </row>
    <row r="3472" spans="2:13" hidden="1" outlineLevel="2" x14ac:dyDescent="0.2">
      <c r="B3472" t="str">
        <f>+C3472&amp;D3472&amp;E3472&amp;F3472</f>
        <v>GlobalFeedstockConversion VLSFO : FP VLSFO blendTon feedstock / ton fuel</v>
      </c>
      <c r="C3472" s="494" t="s">
        <v>109</v>
      </c>
      <c r="D3472" t="s">
        <v>777</v>
      </c>
      <c r="E3472" t="s">
        <v>1379</v>
      </c>
      <c r="F3472" s="450" t="s">
        <v>1241</v>
      </c>
      <c r="G3472" s="521">
        <f>+INDEX('Fuel Model -  Input'!$B$3:$N$373,MATCH($B3472,'Fuel Model -  Input'!$B$3:$B$373,0),MATCH(G$2,'Fuel Model -  Input'!$B$3:$N$3,0))</f>
        <v>0.7</v>
      </c>
      <c r="H3472" s="521">
        <f>+INDEX('Fuel Model -  Input'!$B$3:$N$373,MATCH($B3472,'Fuel Model -  Input'!$B$3:$B$373,0),MATCH(H$2,'Fuel Model -  Input'!$B$3:$N$3,0))</f>
        <v>0.7</v>
      </c>
      <c r="I3472" s="521">
        <f>+INDEX('Fuel Model -  Input'!$B$3:$N$373,MATCH($B3472,'Fuel Model -  Input'!$B$3:$B$373,0),MATCH(I$2,'Fuel Model -  Input'!$B$3:$N$3,0))</f>
        <v>0.7</v>
      </c>
      <c r="J3472" s="521">
        <f>+INDEX('Fuel Model -  Input'!$B$3:$N$373,MATCH($B3472,'Fuel Model -  Input'!$B$3:$B$373,0),MATCH(J$2,'Fuel Model -  Input'!$B$3:$N$3,0))</f>
        <v>0.7</v>
      </c>
      <c r="K3472" s="521">
        <f>+INDEX('Fuel Model -  Input'!$B$3:$N$373,MATCH($B3472,'Fuel Model -  Input'!$B$3:$B$373,0),MATCH(K$2,'Fuel Model -  Input'!$B$3:$N$3,0))</f>
        <v>0.7</v>
      </c>
      <c r="L3472" s="521">
        <f>+INDEX('Fuel Model -  Input'!$B$3:$N$373,MATCH($B3472,'Fuel Model -  Input'!$B$3:$B$373,0),MATCH(L$2,'Fuel Model -  Input'!$B$3:$N$3,0))</f>
        <v>0.7</v>
      </c>
      <c r="M3472" s="521">
        <f>+INDEX('Fuel Model -  Input'!$B$3:$N$373,MATCH($B3472,'Fuel Model -  Input'!$B$3:$B$373,0),MATCH(M$2,'Fuel Model -  Input'!$B$3:$N$3,0))</f>
        <v>0.7</v>
      </c>
    </row>
    <row r="3473" spans="2:13" hidden="1" outlineLevel="2" x14ac:dyDescent="0.2">
      <c r="B3473" t="str">
        <f>+C3473&amp;D3473&amp;E3473&amp;F3473</f>
        <v>AsiaResultsCost of LSFOUSD/ton</v>
      </c>
      <c r="C3473" s="494" t="str">
        <f>+$C$3283</f>
        <v>Asia</v>
      </c>
      <c r="D3473" t="s">
        <v>838</v>
      </c>
      <c r="E3473" t="s">
        <v>1135</v>
      </c>
      <c r="F3473" s="157" t="s">
        <v>205</v>
      </c>
      <c r="G3473" s="532">
        <f>+INDEX('Fuel Model -  Input'!$B$3:$N$373,MATCH($B3473,'Fuel Model -  Input'!$B$3:$B$373,0),MATCH(G$2,'Fuel Model -  Input'!$B$3:$N$3,0))</f>
        <v>884.71322310880964</v>
      </c>
      <c r="H3473" s="532">
        <f>+INDEX('Fuel Model -  Input'!$B$3:$N$373,MATCH($B3473,'Fuel Model -  Input'!$B$3:$B$373,0),MATCH(H$2,'Fuel Model -  Input'!$B$3:$N$3,0))</f>
        <v>634.68557309979826</v>
      </c>
      <c r="I3473" s="532">
        <f>+INDEX('Fuel Model -  Input'!$B$3:$N$373,MATCH($B3473,'Fuel Model -  Input'!$B$3:$B$373,0),MATCH(I$2,'Fuel Model -  Input'!$B$3:$N$3,0))</f>
        <v>553.90740925073305</v>
      </c>
      <c r="J3473" s="532">
        <f>+INDEX('Fuel Model -  Input'!$B$3:$N$373,MATCH($B3473,'Fuel Model -  Input'!$B$3:$B$373,0),MATCH(J$2,'Fuel Model -  Input'!$B$3:$N$3,0))</f>
        <v>553.90740925073305</v>
      </c>
      <c r="K3473" s="532">
        <f>+INDEX('Fuel Model -  Input'!$B$3:$N$373,MATCH($B3473,'Fuel Model -  Input'!$B$3:$B$373,0),MATCH(K$2,'Fuel Model -  Input'!$B$3:$N$3,0))</f>
        <v>553.90740925073305</v>
      </c>
      <c r="L3473" s="532">
        <f>+INDEX('Fuel Model -  Input'!$B$3:$N$373,MATCH($B3473,'Fuel Model -  Input'!$B$3:$B$373,0),MATCH(L$2,'Fuel Model -  Input'!$B$3:$N$3,0))</f>
        <v>553.90740925073305</v>
      </c>
      <c r="M3473" s="532">
        <f>+INDEX('Fuel Model -  Input'!$B$3:$N$373,MATCH($B3473,'Fuel Model -  Input'!$B$3:$B$373,0),MATCH(M$2,'Fuel Model -  Input'!$B$3:$N$3,0))</f>
        <v>553.90740925073305</v>
      </c>
    </row>
    <row r="3474" spans="2:13" hidden="1" outlineLevel="2" x14ac:dyDescent="0.2">
      <c r="C3474" s="494"/>
      <c r="E3474" s="48"/>
      <c r="F3474" s="128"/>
      <c r="G3474" s="524"/>
      <c r="H3474" s="524"/>
      <c r="I3474" s="524"/>
      <c r="J3474" s="524"/>
      <c r="K3474" s="524"/>
      <c r="L3474" s="524"/>
      <c r="M3474" s="524"/>
    </row>
    <row r="3475" spans="2:13" hidden="1" outlineLevel="2" x14ac:dyDescent="0.2">
      <c r="B3475" t="str">
        <f>+C3475&amp;D3475&amp;E3475&amp;F3475</f>
        <v>AsiaSubtotalSubtotal - cost of Pyrolisis oil blend feedstockUSD/ton FP blend oil feedstock</v>
      </c>
      <c r="C3475" s="494" t="str">
        <f>+$C$3283</f>
        <v>Asia</v>
      </c>
      <c r="D3475" t="s">
        <v>1327</v>
      </c>
      <c r="E3475" s="48" t="s">
        <v>1380</v>
      </c>
      <c r="F3475" s="128" t="s">
        <v>1381</v>
      </c>
      <c r="G3475" s="8">
        <f>+SUM(G3477,G3484,G3488,G3481)</f>
        <v>683.01364263698792</v>
      </c>
      <c r="H3475" s="8">
        <f t="shared" ref="H3475:M3475" si="2011">+SUM(H3477,H3484,H3488,H3481)</f>
        <v>471.00804447238812</v>
      </c>
      <c r="I3475" s="8">
        <f t="shared" si="2011"/>
        <v>258.04336906290456</v>
      </c>
      <c r="J3475" s="8">
        <f t="shared" si="2011"/>
        <v>256.15621353346836</v>
      </c>
      <c r="K3475" s="8">
        <f t="shared" si="2011"/>
        <v>261.77764117544041</v>
      </c>
      <c r="L3475" s="8">
        <f t="shared" si="2011"/>
        <v>265.49681738433787</v>
      </c>
      <c r="M3475" s="8">
        <f t="shared" si="2011"/>
        <v>271.21218888855401</v>
      </c>
    </row>
    <row r="3476" spans="2:13" hidden="1" outlineLevel="2" x14ac:dyDescent="0.2">
      <c r="C3476" s="494"/>
      <c r="E3476" s="48"/>
      <c r="F3476" s="128"/>
      <c r="G3476" s="8"/>
      <c r="H3476" s="8"/>
      <c r="I3476" s="8"/>
      <c r="J3476" s="8"/>
      <c r="K3476" s="8"/>
      <c r="L3476" s="8"/>
      <c r="M3476" s="8"/>
    </row>
    <row r="3477" spans="2:13" hidden="1" outlineLevel="2" x14ac:dyDescent="0.2">
      <c r="B3477" t="str">
        <f>+C3477&amp;D3477&amp;E3477&amp;F3477</f>
        <v>AsiaHTL PlantAnnual capex (Pyr blend)USD/ton oil</v>
      </c>
      <c r="C3477" s="494" t="str">
        <f>+$C$3283</f>
        <v>Asia</v>
      </c>
      <c r="D3477" t="s">
        <v>1288</v>
      </c>
      <c r="E3477" s="48" t="s">
        <v>1382</v>
      </c>
      <c r="F3477" s="128" t="s">
        <v>1349</v>
      </c>
      <c r="G3477" s="8">
        <f t="shared" ref="G3477:M3477" si="2012">G3479/G3478</f>
        <v>404.29462373442374</v>
      </c>
      <c r="H3477" s="8">
        <f t="shared" si="2012"/>
        <v>242.57677424065429</v>
      </c>
      <c r="I3477" s="8">
        <f t="shared" si="2012"/>
        <v>80.858924746884753</v>
      </c>
      <c r="J3477" s="8">
        <f t="shared" si="2012"/>
        <v>72.773032272196289</v>
      </c>
      <c r="K3477" s="8">
        <f t="shared" si="2012"/>
        <v>70.077734780633463</v>
      </c>
      <c r="L3477" s="8">
        <f t="shared" si="2012"/>
        <v>67.382437289070637</v>
      </c>
      <c r="M3477" s="8">
        <f t="shared" si="2012"/>
        <v>64.687139797507811</v>
      </c>
    </row>
    <row r="3478" spans="2:13" hidden="1" outlineLevel="2" x14ac:dyDescent="0.2">
      <c r="B3478" t="str">
        <f>+C3478&amp;D3478&amp;E3478&amp;F3478</f>
        <v>GlobalPlant capexAnnualisation factor#</v>
      </c>
      <c r="C3478" s="494" t="s">
        <v>109</v>
      </c>
      <c r="D3478" t="s">
        <v>786</v>
      </c>
      <c r="E3478" t="s">
        <v>764</v>
      </c>
      <c r="F3478" s="450" t="s">
        <v>787</v>
      </c>
      <c r="G3478" s="532">
        <f>+INDEX('Fuel Model -  Input'!$B$3:$N$373,MATCH($B3478,'Fuel Model -  Input'!$B$3:$B$373,0),MATCH(G$2,'Fuel Model -  Input'!$B$3:$N$3,0))</f>
        <v>11.32075471698113</v>
      </c>
      <c r="H3478" s="532">
        <f>+INDEX('Fuel Model -  Input'!$B$3:$N$373,MATCH($B3478,'Fuel Model -  Input'!$B$3:$B$373,0),MATCH(H$2,'Fuel Model -  Input'!$B$3:$N$3,0))</f>
        <v>11.32075471698113</v>
      </c>
      <c r="I3478" s="532">
        <f>+INDEX('Fuel Model -  Input'!$B$3:$N$373,MATCH($B3478,'Fuel Model -  Input'!$B$3:$B$373,0),MATCH(I$2,'Fuel Model -  Input'!$B$3:$N$3,0))</f>
        <v>11.32075471698113</v>
      </c>
      <c r="J3478" s="532">
        <f>+INDEX('Fuel Model -  Input'!$B$3:$N$373,MATCH($B3478,'Fuel Model -  Input'!$B$3:$B$373,0),MATCH(J$2,'Fuel Model -  Input'!$B$3:$N$3,0))</f>
        <v>11.32075471698113</v>
      </c>
      <c r="K3478" s="532">
        <f>+INDEX('Fuel Model -  Input'!$B$3:$N$373,MATCH($B3478,'Fuel Model -  Input'!$B$3:$B$373,0),MATCH(K$2,'Fuel Model -  Input'!$B$3:$N$3,0))</f>
        <v>11.32075471698113</v>
      </c>
      <c r="L3478" s="532">
        <f>+INDEX('Fuel Model -  Input'!$B$3:$N$373,MATCH($B3478,'Fuel Model -  Input'!$B$3:$B$373,0),MATCH(L$2,'Fuel Model -  Input'!$B$3:$N$3,0))</f>
        <v>11.32075471698113</v>
      </c>
      <c r="M3478" s="532">
        <f>+INDEX('Fuel Model -  Input'!$B$3:$N$373,MATCH($B3478,'Fuel Model -  Input'!$B$3:$B$373,0),MATCH(M$2,'Fuel Model -  Input'!$B$3:$N$3,0))</f>
        <v>11.32075471698113</v>
      </c>
    </row>
    <row r="3479" spans="2:13" hidden="1" outlineLevel="2" x14ac:dyDescent="0.2">
      <c r="B3479" t="str">
        <f>+C3479&amp;D3479&amp;E3479&amp;F3479</f>
        <v>GlobalCAPEXFP blend grade plantUSD/ton FP VLSFO blend capacity</v>
      </c>
      <c r="C3479" s="494" t="s">
        <v>109</v>
      </c>
      <c r="D3479" t="s">
        <v>50</v>
      </c>
      <c r="E3479" s="48" t="s">
        <v>1383</v>
      </c>
      <c r="F3479" s="128" t="s">
        <v>1384</v>
      </c>
      <c r="G3479" s="532">
        <f>+INDEX('Fuel Model -  Input'!$B$3:$N$373,MATCH($B3479,'Fuel Model -  Input'!$B$3:$B$373,0),MATCH(G$2,'Fuel Model -  Input'!$B$3:$N$3,0))</f>
        <v>4576.9202686915887</v>
      </c>
      <c r="H3479" s="532">
        <f>+INDEX('Fuel Model -  Input'!$B$3:$N$373,MATCH($B3479,'Fuel Model -  Input'!$B$3:$B$373,0),MATCH(H$2,'Fuel Model -  Input'!$B$3:$N$3,0))</f>
        <v>2746.1521612149536</v>
      </c>
      <c r="I3479" s="532">
        <f>+INDEX('Fuel Model -  Input'!$B$3:$N$373,MATCH($B3479,'Fuel Model -  Input'!$B$3:$B$373,0),MATCH(I$2,'Fuel Model -  Input'!$B$3:$N$3,0))</f>
        <v>915.38405373831779</v>
      </c>
      <c r="J3479" s="532">
        <f>+INDEX('Fuel Model -  Input'!$B$3:$N$373,MATCH($B3479,'Fuel Model -  Input'!$B$3:$B$373,0),MATCH(J$2,'Fuel Model -  Input'!$B$3:$N$3,0))</f>
        <v>823.84564836448612</v>
      </c>
      <c r="K3479" s="532">
        <f>+INDEX('Fuel Model -  Input'!$B$3:$N$373,MATCH($B3479,'Fuel Model -  Input'!$B$3:$B$373,0),MATCH(K$2,'Fuel Model -  Input'!$B$3:$N$3,0))</f>
        <v>793.33284657320883</v>
      </c>
      <c r="L3479" s="532">
        <f>+INDEX('Fuel Model -  Input'!$B$3:$N$373,MATCH($B3479,'Fuel Model -  Input'!$B$3:$B$373,0),MATCH(L$2,'Fuel Model -  Input'!$B$3:$N$3,0))</f>
        <v>762.82004478193153</v>
      </c>
      <c r="M3479" s="532">
        <f>+INDEX('Fuel Model -  Input'!$B$3:$N$373,MATCH($B3479,'Fuel Model -  Input'!$B$3:$B$373,0),MATCH(M$2,'Fuel Model -  Input'!$B$3:$N$3,0))</f>
        <v>732.30724299065434</v>
      </c>
    </row>
    <row r="3480" spans="2:13" hidden="1" outlineLevel="2" x14ac:dyDescent="0.2">
      <c r="C3480" s="494"/>
      <c r="E3480" s="48"/>
      <c r="F3480" s="128"/>
      <c r="G3480" s="524"/>
      <c r="H3480" s="524"/>
      <c r="I3480" s="524"/>
      <c r="J3480" s="524"/>
      <c r="K3480" s="524"/>
      <c r="L3480" s="524"/>
      <c r="M3480" s="524"/>
    </row>
    <row r="3481" spans="2:13" hidden="1" outlineLevel="2" x14ac:dyDescent="0.2">
      <c r="B3481" t="str">
        <f>+C3481&amp;D3481&amp;E3481&amp;F3481</f>
        <v>AsiaOpexOpexUSD/ton oil</v>
      </c>
      <c r="C3481" s="494" t="str">
        <f>+$C$3283</f>
        <v>Asia</v>
      </c>
      <c r="D3481" t="s">
        <v>219</v>
      </c>
      <c r="E3481" s="48" t="s">
        <v>219</v>
      </c>
      <c r="F3481" s="128" t="s">
        <v>1349</v>
      </c>
      <c r="G3481" s="8">
        <f t="shared" ref="G3481:M3481" si="2013">G3479*G3482</f>
        <v>145.7481389915236</v>
      </c>
      <c r="H3481" s="8">
        <f t="shared" si="2013"/>
        <v>87.448883394914176</v>
      </c>
      <c r="I3481" s="8">
        <f t="shared" si="2013"/>
        <v>29.149627798304721</v>
      </c>
      <c r="J3481" s="8">
        <f t="shared" si="2013"/>
        <v>26.234665018474253</v>
      </c>
      <c r="K3481" s="8">
        <f t="shared" si="2013"/>
        <v>25.263010758530761</v>
      </c>
      <c r="L3481" s="8">
        <f t="shared" si="2013"/>
        <v>24.29135649858727</v>
      </c>
      <c r="M3481" s="8">
        <f t="shared" si="2013"/>
        <v>23.319702238643782</v>
      </c>
    </row>
    <row r="3482" spans="2:13" hidden="1" outlineLevel="2" x14ac:dyDescent="0.2">
      <c r="B3482" t="str">
        <f>+C3482&amp;D3482&amp;E3482&amp;F3482</f>
        <v>GlobalOPEXFP blend grade plant opexUSD/ton FP VLSFO blend</v>
      </c>
      <c r="C3482" s="494" t="s">
        <v>109</v>
      </c>
      <c r="D3482" t="s">
        <v>319</v>
      </c>
      <c r="E3482" s="48" t="s">
        <v>1385</v>
      </c>
      <c r="F3482" s="128" t="s">
        <v>1386</v>
      </c>
      <c r="G3482" s="531">
        <f>INDEX('Fuel Model -  Input'!$B$3:$N$373,MATCH($B3482,'Fuel Model -  Input'!$B$3:$B$373,0),MATCH(G$2,'Fuel Model -  Input'!$B$3:$N$3,0))</f>
        <v>3.1844150746630516E-2</v>
      </c>
      <c r="H3482" s="531">
        <f>INDEX('Fuel Model -  Input'!$B$3:$N$373,MATCH($B3482,'Fuel Model -  Input'!$B$3:$B$373,0),MATCH(H$2,'Fuel Model -  Input'!$B$3:$N$3,0))</f>
        <v>3.1844150746630516E-2</v>
      </c>
      <c r="I3482" s="531">
        <f>INDEX('Fuel Model -  Input'!$B$3:$N$373,MATCH($B3482,'Fuel Model -  Input'!$B$3:$B$373,0),MATCH(I$2,'Fuel Model -  Input'!$B$3:$N$3,0))</f>
        <v>3.1844150746630516E-2</v>
      </c>
      <c r="J3482" s="531">
        <f>INDEX('Fuel Model -  Input'!$B$3:$N$373,MATCH($B3482,'Fuel Model -  Input'!$B$3:$B$373,0),MATCH(J$2,'Fuel Model -  Input'!$B$3:$N$3,0))</f>
        <v>3.1844150746630516E-2</v>
      </c>
      <c r="K3482" s="531">
        <f>INDEX('Fuel Model -  Input'!$B$3:$N$373,MATCH($B3482,'Fuel Model -  Input'!$B$3:$B$373,0),MATCH(K$2,'Fuel Model -  Input'!$B$3:$N$3,0))</f>
        <v>3.1844150746630516E-2</v>
      </c>
      <c r="L3482" s="531">
        <f>INDEX('Fuel Model -  Input'!$B$3:$N$373,MATCH($B3482,'Fuel Model -  Input'!$B$3:$B$373,0),MATCH(L$2,'Fuel Model -  Input'!$B$3:$N$3,0))</f>
        <v>3.1844150746630516E-2</v>
      </c>
      <c r="M3482" s="531">
        <f>INDEX('Fuel Model -  Input'!$B$3:$N$373,MATCH($B3482,'Fuel Model -  Input'!$B$3:$B$373,0),MATCH(M$2,'Fuel Model -  Input'!$B$3:$N$3,0))</f>
        <v>3.1844150746630516E-2</v>
      </c>
    </row>
    <row r="3483" spans="2:13" hidden="1" outlineLevel="2" x14ac:dyDescent="0.2">
      <c r="C3483" s="494"/>
      <c r="E3483" s="48"/>
      <c r="F3483" s="128"/>
      <c r="G3483" s="520"/>
      <c r="H3483" s="520"/>
      <c r="I3483" s="520"/>
      <c r="J3483" s="520"/>
      <c r="K3483" s="520"/>
      <c r="L3483" s="520"/>
      <c r="M3483" s="520"/>
    </row>
    <row r="3484" spans="2:13" hidden="1" outlineLevel="2" x14ac:dyDescent="0.2">
      <c r="B3484" t="str">
        <f>+C3484&amp;D3484&amp;E3484&amp;F3484</f>
        <v>AsiaElectricityTotal (Pyr blend)USD/ ton oil</v>
      </c>
      <c r="C3484" s="494" t="str">
        <f>+$C$3283</f>
        <v>Asia</v>
      </c>
      <c r="D3484" t="s">
        <v>54</v>
      </c>
      <c r="E3484" s="48" t="s">
        <v>1387</v>
      </c>
      <c r="F3484" s="128" t="s">
        <v>1354</v>
      </c>
      <c r="G3484" s="8">
        <f t="shared" ref="G3484:M3484" si="2014">G3486*G3485</f>
        <v>4.1918529583183384</v>
      </c>
      <c r="H3484" s="8">
        <f t="shared" si="2014"/>
        <v>2.7343137846325183</v>
      </c>
      <c r="I3484" s="8">
        <f t="shared" si="2014"/>
        <v>2.211506585956033</v>
      </c>
      <c r="J3484" s="8">
        <f t="shared" si="2014"/>
        <v>1.8561602115739293</v>
      </c>
      <c r="K3484" s="8">
        <f t="shared" si="2014"/>
        <v>1.675493505587401</v>
      </c>
      <c r="L3484" s="8">
        <f t="shared" si="2014"/>
        <v>1.4863845864192995</v>
      </c>
      <c r="M3484" s="8">
        <f t="shared" si="2014"/>
        <v>1.3996617426768254</v>
      </c>
    </row>
    <row r="3485" spans="2:13" hidden="1" outlineLevel="2" x14ac:dyDescent="0.2">
      <c r="B3485" t="str">
        <f>+C3485&amp;D3485&amp;E3485&amp;F3485</f>
        <v>GlobalFeedstockFP blend grade plant electricity demandMWh/ton fuel</v>
      </c>
      <c r="C3485" s="494" t="s">
        <v>109</v>
      </c>
      <c r="D3485" t="s">
        <v>777</v>
      </c>
      <c r="E3485" s="48" t="s">
        <v>1367</v>
      </c>
      <c r="F3485" s="128" t="s">
        <v>1298</v>
      </c>
      <c r="G3485" s="521">
        <f>INDEX('Fuel Model -  Input'!$B$3:$N$373,MATCH($B3485,'Fuel Model -  Input'!$B$3:$B$373,0),MATCH(G$2,'Fuel Model -  Input'!$B$3:$N$3,0))</f>
        <v>5.1081730769230768E-2</v>
      </c>
      <c r="H3485" s="521">
        <f>INDEX('Fuel Model -  Input'!$B$3:$N$373,MATCH($B3485,'Fuel Model -  Input'!$B$3:$B$373,0),MATCH(H$2,'Fuel Model -  Input'!$B$3:$N$3,0))</f>
        <v>5.1081730769230768E-2</v>
      </c>
      <c r="I3485" s="521">
        <f>INDEX('Fuel Model -  Input'!$B$3:$N$373,MATCH($B3485,'Fuel Model -  Input'!$B$3:$B$373,0),MATCH(I$2,'Fuel Model -  Input'!$B$3:$N$3,0))</f>
        <v>5.1081730769230768E-2</v>
      </c>
      <c r="J3485" s="521">
        <f>INDEX('Fuel Model -  Input'!$B$3:$N$373,MATCH($B3485,'Fuel Model -  Input'!$B$3:$B$373,0),MATCH(J$2,'Fuel Model -  Input'!$B$3:$N$3,0))</f>
        <v>5.1081730769230768E-2</v>
      </c>
      <c r="K3485" s="521">
        <f>INDEX('Fuel Model -  Input'!$B$3:$N$373,MATCH($B3485,'Fuel Model -  Input'!$B$3:$B$373,0),MATCH(K$2,'Fuel Model -  Input'!$B$3:$N$3,0))</f>
        <v>5.1081730769230768E-2</v>
      </c>
      <c r="L3485" s="521">
        <f>INDEX('Fuel Model -  Input'!$B$3:$N$373,MATCH($B3485,'Fuel Model -  Input'!$B$3:$B$373,0),MATCH(L$2,'Fuel Model -  Input'!$B$3:$N$3,0))</f>
        <v>5.1081730769230768E-2</v>
      </c>
      <c r="M3485" s="521">
        <f>INDEX('Fuel Model -  Input'!$B$3:$N$373,MATCH($B3485,'Fuel Model -  Input'!$B$3:$B$373,0),MATCH(M$2,'Fuel Model -  Input'!$B$3:$N$3,0))</f>
        <v>5.1081730769230768E-2</v>
      </c>
    </row>
    <row r="3486" spans="2:13" hidden="1" outlineLevel="2" x14ac:dyDescent="0.2">
      <c r="B3486" t="str">
        <f>+C3486&amp;D3486&amp;E3486&amp;F3486</f>
        <v>AsiaFeedstockElectricityUSD/MWh</v>
      </c>
      <c r="C3486" s="494" t="str">
        <f>+$C$3283</f>
        <v>Asia</v>
      </c>
      <c r="D3486" t="s">
        <v>777</v>
      </c>
      <c r="E3486" s="48" t="s">
        <v>54</v>
      </c>
      <c r="F3486" s="128" t="s">
        <v>196</v>
      </c>
      <c r="G3486" s="521">
        <f>INDEX('Fuel Model -  Input'!$B$3:$N$373,MATCH($B3486,'Fuel Model -  Input'!$B$3:$B$373,0),MATCH(G$2,'Fuel Model -  Input'!$B$3:$N$3,0))</f>
        <v>82.061686148726054</v>
      </c>
      <c r="H3486" s="521">
        <f>INDEX('Fuel Model -  Input'!$B$3:$N$373,MATCH($B3486,'Fuel Model -  Input'!$B$3:$B$373,0),MATCH(H$2,'Fuel Model -  Input'!$B$3:$N$3,0))</f>
        <v>53.528213383864831</v>
      </c>
      <c r="I3486" s="521">
        <f>INDEX('Fuel Model -  Input'!$B$3:$N$373,MATCH($B3486,'Fuel Model -  Input'!$B$3:$B$373,0),MATCH(I$2,'Fuel Model -  Input'!$B$3:$N$3,0))</f>
        <v>43.29349363565693</v>
      </c>
      <c r="J3486" s="521">
        <f>INDEX('Fuel Model -  Input'!$B$3:$N$373,MATCH($B3486,'Fuel Model -  Input'!$B$3:$B$373,0),MATCH(J$2,'Fuel Model -  Input'!$B$3:$N$3,0))</f>
        <v>36.337065788929628</v>
      </c>
      <c r="K3486" s="521">
        <f>INDEX('Fuel Model -  Input'!$B$3:$N$373,MATCH($B3486,'Fuel Model -  Input'!$B$3:$B$373,0),MATCH(K$2,'Fuel Model -  Input'!$B$3:$N$3,0))</f>
        <v>32.800249332911001</v>
      </c>
      <c r="L3486" s="521">
        <f>INDEX('Fuel Model -  Input'!$B$3:$N$373,MATCH($B3486,'Fuel Model -  Input'!$B$3:$B$373,0),MATCH(L$2,'Fuel Model -  Input'!$B$3:$N$3,0))</f>
        <v>29.0981641388437</v>
      </c>
      <c r="M3486" s="521">
        <f>INDEX('Fuel Model -  Input'!$B$3:$N$373,MATCH($B3486,'Fuel Model -  Input'!$B$3:$B$373,0),MATCH(M$2,'Fuel Model -  Input'!$B$3:$N$3,0))</f>
        <v>27.400436938991028</v>
      </c>
    </row>
    <row r="3487" spans="2:13" hidden="1" outlineLevel="2" x14ac:dyDescent="0.2">
      <c r="C3487" s="494"/>
      <c r="E3487" s="48"/>
      <c r="F3487" s="128"/>
      <c r="G3487" s="532"/>
      <c r="H3487" s="532"/>
      <c r="I3487" s="532"/>
      <c r="J3487" s="532"/>
      <c r="K3487" s="532"/>
      <c r="L3487" s="532"/>
      <c r="M3487" s="532"/>
    </row>
    <row r="3488" spans="2:13" hidden="1" outlineLevel="2" x14ac:dyDescent="0.2">
      <c r="B3488" t="str">
        <f>+C3488&amp;D3488&amp;E3488&amp;F3488</f>
        <v>AsiaFeedstockWood biomass to pyrolysis oilUSD/ton oil</v>
      </c>
      <c r="C3488" s="494" t="str">
        <f>+$C$3283</f>
        <v>Asia</v>
      </c>
      <c r="D3488" t="s">
        <v>777</v>
      </c>
      <c r="E3488" s="48" t="s">
        <v>1360</v>
      </c>
      <c r="F3488" s="128" t="s">
        <v>1349</v>
      </c>
      <c r="G3488" s="8">
        <f t="shared" ref="G3488:M3488" si="2015">G3490*G3489</f>
        <v>128.77902695272226</v>
      </c>
      <c r="H3488" s="8">
        <f t="shared" si="2015"/>
        <v>138.24807305218715</v>
      </c>
      <c r="I3488" s="8">
        <f t="shared" si="2015"/>
        <v>145.82330993175904</v>
      </c>
      <c r="J3488" s="8">
        <f t="shared" si="2015"/>
        <v>155.2923560312239</v>
      </c>
      <c r="K3488" s="8">
        <f t="shared" si="2015"/>
        <v>164.76140213068879</v>
      </c>
      <c r="L3488" s="8">
        <f t="shared" si="2015"/>
        <v>172.33663901026068</v>
      </c>
      <c r="M3488" s="8">
        <f t="shared" si="2015"/>
        <v>181.80568510972557</v>
      </c>
    </row>
    <row r="3489" spans="2:14" hidden="1" outlineLevel="2" x14ac:dyDescent="0.2">
      <c r="B3489" t="str">
        <f>+C3489&amp;D3489&amp;E3489&amp;F3489</f>
        <v>GlobalFeedstockConversion Dry Wood biomass : FP VLSFO blendTon feedstock / ton fuel</v>
      </c>
      <c r="C3489" s="494" t="s">
        <v>109</v>
      </c>
      <c r="D3489" t="s">
        <v>777</v>
      </c>
      <c r="E3489" s="48" t="s">
        <v>1388</v>
      </c>
      <c r="F3489" s="128" t="s">
        <v>1241</v>
      </c>
      <c r="G3489" s="521">
        <f>+INDEX('Fuel Model -  Input'!$B$3:$N$373,MATCH($B3489,'Fuel Model -  Input'!$B$3:$B$373,0),MATCH(G$2,'Fuel Model -  Input'!$B$3:$N$3,0))</f>
        <v>1.8938092198929746</v>
      </c>
      <c r="H3489" s="521">
        <f>+INDEX('Fuel Model -  Input'!$B$3:$N$373,MATCH($B3489,'Fuel Model -  Input'!$B$3:$B$373,0),MATCH(H$2,'Fuel Model -  Input'!$B$3:$N$3,0))</f>
        <v>1.8938092198929746</v>
      </c>
      <c r="I3489" s="521">
        <f>+INDEX('Fuel Model -  Input'!$B$3:$N$373,MATCH($B3489,'Fuel Model -  Input'!$B$3:$B$373,0),MATCH(I$2,'Fuel Model -  Input'!$B$3:$N$3,0))</f>
        <v>1.8938092198929746</v>
      </c>
      <c r="J3489" s="521">
        <f>+INDEX('Fuel Model -  Input'!$B$3:$N$373,MATCH($B3489,'Fuel Model -  Input'!$B$3:$B$373,0),MATCH(J$2,'Fuel Model -  Input'!$B$3:$N$3,0))</f>
        <v>1.8938092198929746</v>
      </c>
      <c r="K3489" s="521">
        <f>+INDEX('Fuel Model -  Input'!$B$3:$N$373,MATCH($B3489,'Fuel Model -  Input'!$B$3:$B$373,0),MATCH(K$2,'Fuel Model -  Input'!$B$3:$N$3,0))</f>
        <v>1.8938092198929746</v>
      </c>
      <c r="L3489" s="521">
        <f>+INDEX('Fuel Model -  Input'!$B$3:$N$373,MATCH($B3489,'Fuel Model -  Input'!$B$3:$B$373,0),MATCH(L$2,'Fuel Model -  Input'!$B$3:$N$3,0))</f>
        <v>1.8938092198929746</v>
      </c>
      <c r="M3489" s="521">
        <f>+INDEX('Fuel Model -  Input'!$B$3:$N$373,MATCH($B3489,'Fuel Model -  Input'!$B$3:$B$373,0),MATCH(M$2,'Fuel Model -  Input'!$B$3:$N$3,0))</f>
        <v>1.8938092198929746</v>
      </c>
    </row>
    <row r="3490" spans="2:14" hidden="1" outlineLevel="2" x14ac:dyDescent="0.2">
      <c r="B3490" t="str">
        <f>+C3490&amp;D3490&amp;E3490&amp;F3490</f>
        <v>AsiaFeedstockCost of Wood biomassUSD/ton Wood</v>
      </c>
      <c r="C3490" s="494" t="str">
        <f>C3464</f>
        <v>Asia</v>
      </c>
      <c r="D3490" t="s">
        <v>777</v>
      </c>
      <c r="E3490" s="48" t="s">
        <v>1244</v>
      </c>
      <c r="F3490" s="128" t="s">
        <v>1245</v>
      </c>
      <c r="G3490" s="532">
        <f>+INDEX('Fuel Model -  Input'!$B$3:$N$373,MATCH($B3490,'Fuel Model -  Input'!$B$3:$B$373,0),MATCH(G$2,'Fuel Model -  Input'!$B$3:$N$3,0))</f>
        <v>68</v>
      </c>
      <c r="H3490" s="532">
        <f>+INDEX('Fuel Model -  Input'!$B$3:$N$373,MATCH($B3490,'Fuel Model -  Input'!$B$3:$B$373,0),MATCH(H$2,'Fuel Model -  Input'!$B$3:$N$3,0))</f>
        <v>73</v>
      </c>
      <c r="I3490" s="532">
        <f>+INDEX('Fuel Model -  Input'!$B$3:$N$373,MATCH($B3490,'Fuel Model -  Input'!$B$3:$B$373,0),MATCH(I$2,'Fuel Model -  Input'!$B$3:$N$3,0))</f>
        <v>77</v>
      </c>
      <c r="J3490" s="532">
        <f>+INDEX('Fuel Model -  Input'!$B$3:$N$373,MATCH($B3490,'Fuel Model -  Input'!$B$3:$B$373,0),MATCH(J$2,'Fuel Model -  Input'!$B$3:$N$3,0))</f>
        <v>82</v>
      </c>
      <c r="K3490" s="532">
        <f>+INDEX('Fuel Model -  Input'!$B$3:$N$373,MATCH($B3490,'Fuel Model -  Input'!$B$3:$B$373,0),MATCH(K$2,'Fuel Model -  Input'!$B$3:$N$3,0))</f>
        <v>87</v>
      </c>
      <c r="L3490" s="532">
        <f>+INDEX('Fuel Model -  Input'!$B$3:$N$373,MATCH($B3490,'Fuel Model -  Input'!$B$3:$B$373,0),MATCH(L$2,'Fuel Model -  Input'!$B$3:$N$3,0))</f>
        <v>91</v>
      </c>
      <c r="M3490" s="532">
        <f>+INDEX('Fuel Model -  Input'!$B$3:$N$373,MATCH($B3490,'Fuel Model -  Input'!$B$3:$B$373,0),MATCH(M$2,'Fuel Model -  Input'!$B$3:$N$3,0))</f>
        <v>96</v>
      </c>
    </row>
    <row r="3491" spans="2:14" ht="12.75" hidden="1" outlineLevel="1" x14ac:dyDescent="0.2">
      <c r="F3491"/>
    </row>
    <row r="3492" spans="2:14" s="30" customFormat="1" ht="15" hidden="1" outlineLevel="1" collapsed="1" x14ac:dyDescent="0.25">
      <c r="B3492" s="30" t="s">
        <v>199</v>
      </c>
      <c r="C3492" s="30" t="str">
        <f>+B3492</f>
        <v>Americas</v>
      </c>
    </row>
    <row r="3493" spans="2:14" ht="15" hidden="1" outlineLevel="2" x14ac:dyDescent="0.25">
      <c r="B3493" t="str">
        <f>+C3493&amp;D3493&amp;E3493&amp;F3493</f>
        <v>AmericasResultsTotal cost of Biodiesel (Pyr blend)USD/ton</v>
      </c>
      <c r="C3493" s="494" t="str">
        <f>+$C$3314</f>
        <v>Americas</v>
      </c>
      <c r="D3493" s="30" t="s">
        <v>838</v>
      </c>
      <c r="E3493" s="405" t="s">
        <v>1373</v>
      </c>
      <c r="F3493" s="127" t="s">
        <v>205</v>
      </c>
      <c r="G3493" s="490">
        <f>+SUM(G3494:G3496)</f>
        <v>833.2013615347737</v>
      </c>
      <c r="H3493" s="490">
        <f t="shared" ref="H3493:M3493" si="2016">+SUM(H3494:H3496)</f>
        <v>594.39123278430782</v>
      </c>
      <c r="I3493" s="490">
        <f t="shared" si="2016"/>
        <v>474.58369708893866</v>
      </c>
      <c r="J3493" s="490">
        <f t="shared" si="2016"/>
        <v>473.50865754415526</v>
      </c>
      <c r="K3493" s="490">
        <f t="shared" si="2016"/>
        <v>474.64275673919042</v>
      </c>
      <c r="L3493" s="490">
        <f t="shared" si="2016"/>
        <v>476.36792040757933</v>
      </c>
      <c r="M3493" s="490">
        <f t="shared" si="2016"/>
        <v>477.52873897273315</v>
      </c>
      <c r="N3493" s="490"/>
    </row>
    <row r="3494" spans="2:14" ht="15" hidden="1" outlineLevel="2" x14ac:dyDescent="0.25">
      <c r="B3494" t="str">
        <f>+C3494&amp;D3494&amp;E3494&amp;F3494</f>
        <v>AmericasResultsTotal Capex Biodiesel (Pyr blend)USD/ton</v>
      </c>
      <c r="C3494" s="494" t="str">
        <f>+$C$3314</f>
        <v>Americas</v>
      </c>
      <c r="D3494" s="30" t="s">
        <v>838</v>
      </c>
      <c r="E3494" s="228" t="s">
        <v>1374</v>
      </c>
      <c r="F3494" s="127" t="s">
        <v>205</v>
      </c>
      <c r="G3494" s="490">
        <f>G3505*G3499</f>
        <v>121.28838712032712</v>
      </c>
      <c r="H3494" s="490">
        <f t="shared" ref="H3494:M3494" si="2017">H3505*H3499</f>
        <v>72.773032272196289</v>
      </c>
      <c r="I3494" s="490">
        <f t="shared" si="2017"/>
        <v>24.257677424065424</v>
      </c>
      <c r="J3494" s="490">
        <f t="shared" si="2017"/>
        <v>21.831909681658885</v>
      </c>
      <c r="K3494" s="490">
        <f t="shared" si="2017"/>
        <v>21.023320434190037</v>
      </c>
      <c r="L3494" s="490">
        <f t="shared" si="2017"/>
        <v>20.214731186721192</v>
      </c>
      <c r="M3494" s="490">
        <f t="shared" si="2017"/>
        <v>19.406141939252343</v>
      </c>
      <c r="N3494" s="490"/>
    </row>
    <row r="3495" spans="2:14" ht="15" hidden="1" outlineLevel="2" x14ac:dyDescent="0.25">
      <c r="B3495" t="str">
        <f>+C3495&amp;D3495&amp;E3495&amp;F3495</f>
        <v>AmericasResultsTotal Opex Biodiesel (Pyr blend)USD/ton</v>
      </c>
      <c r="C3495" s="494" t="str">
        <f>+$C$3314</f>
        <v>Americas</v>
      </c>
      <c r="D3495" s="30" t="s">
        <v>838</v>
      </c>
      <c r="E3495" s="228" t="s">
        <v>1375</v>
      </c>
      <c r="F3495" s="127" t="s">
        <v>205</v>
      </c>
      <c r="G3495" s="490">
        <f>(G3509+G3512)*G3499</f>
        <v>44.321583131008971</v>
      </c>
      <c r="H3495" s="490">
        <f t="shared" ref="H3495:M3495" si="2018">(H3509+H3512)*H3499</f>
        <v>26.773593171110392</v>
      </c>
      <c r="I3495" s="490">
        <f t="shared" si="2018"/>
        <v>9.1854131883782326</v>
      </c>
      <c r="J3495" s="490">
        <f t="shared" si="2018"/>
        <v>8.2635703221297891</v>
      </c>
      <c r="K3495" s="490">
        <f t="shared" si="2018"/>
        <v>7.9336877007622109</v>
      </c>
      <c r="L3495" s="490">
        <f t="shared" si="2018"/>
        <v>7.6267267867805693</v>
      </c>
      <c r="M3495" s="490">
        <f t="shared" si="2018"/>
        <v>7.3235635355316706</v>
      </c>
      <c r="N3495" s="490"/>
    </row>
    <row r="3496" spans="2:14" ht="15" hidden="1" outlineLevel="2" x14ac:dyDescent="0.25">
      <c r="B3496" t="str">
        <f>+C3496&amp;D3496&amp;E3496&amp;F3496</f>
        <v>AmericasResultsTotal Raw Material Biodiesel (Pyr blend)USD/ton</v>
      </c>
      <c r="C3496" s="494" t="str">
        <f>+$C$3314</f>
        <v>Americas</v>
      </c>
      <c r="D3496" s="30" t="s">
        <v>838</v>
      </c>
      <c r="E3496" s="228" t="s">
        <v>1376</v>
      </c>
      <c r="F3496" s="127" t="s">
        <v>205</v>
      </c>
      <c r="G3496" s="490">
        <f>+G3516*G3499+G3500*G3501</f>
        <v>667.59139128343759</v>
      </c>
      <c r="H3496" s="490">
        <f t="shared" ref="H3496:M3496" si="2019">+H3516*H3499+H3500*H3501</f>
        <v>494.84460734100116</v>
      </c>
      <c r="I3496" s="490">
        <f t="shared" si="2019"/>
        <v>441.14060647649501</v>
      </c>
      <c r="J3496" s="490">
        <f t="shared" si="2019"/>
        <v>443.41317754036658</v>
      </c>
      <c r="K3496" s="490">
        <f t="shared" si="2019"/>
        <v>445.68574860423814</v>
      </c>
      <c r="L3496" s="490">
        <f t="shared" si="2019"/>
        <v>448.52646243407759</v>
      </c>
      <c r="M3496" s="490">
        <f t="shared" si="2019"/>
        <v>450.79903349794915</v>
      </c>
      <c r="N3496" s="490"/>
    </row>
    <row r="3497" spans="2:14" hidden="1" outlineLevel="2" x14ac:dyDescent="0.2">
      <c r="C3497" s="494"/>
      <c r="E3497" s="48"/>
      <c r="F3497" s="128"/>
      <c r="G3497" s="8"/>
      <c r="H3497" s="8"/>
      <c r="I3497" s="8"/>
      <c r="J3497" s="8"/>
      <c r="K3497" s="8"/>
      <c r="L3497" s="8"/>
      <c r="M3497" s="8"/>
    </row>
    <row r="3498" spans="2:14" hidden="1" outlineLevel="2" x14ac:dyDescent="0.2">
      <c r="B3498" t="str">
        <f>+C3498&amp;D3498&amp;E3498&amp;F3498</f>
        <v>AmericasResultsTotal cost of Pyrolysis oil blend (70% LSFO)USD/ton</v>
      </c>
      <c r="C3498" s="494" t="str">
        <f>+$C$3314</f>
        <v>Americas</v>
      </c>
      <c r="D3498" t="s">
        <v>838</v>
      </c>
      <c r="E3498" s="48" t="s">
        <v>1377</v>
      </c>
      <c r="F3498" s="128" t="s">
        <v>205</v>
      </c>
      <c r="G3498" s="8">
        <f>+G3500*G3501+G3499*G3503</f>
        <v>833.2013615347737</v>
      </c>
      <c r="H3498" s="8">
        <f t="shared" ref="H3498" si="2020">+H3500*H3501+H3499*H3503</f>
        <v>594.39123278430782</v>
      </c>
      <c r="I3498" s="8">
        <f t="shared" ref="I3498" si="2021">+I3500*I3501+I3499*I3503</f>
        <v>474.58369708893861</v>
      </c>
      <c r="J3498" s="8">
        <f t="shared" ref="J3498" si="2022">+J3500*J3501+J3499*J3503</f>
        <v>473.5086575441552</v>
      </c>
      <c r="K3498" s="8">
        <f t="shared" ref="K3498" si="2023">+K3500*K3501+K3499*K3503</f>
        <v>474.64275673919036</v>
      </c>
      <c r="L3498" s="8">
        <f t="shared" ref="L3498" si="2024">+L3500*L3501+L3499*L3503</f>
        <v>476.36792040757933</v>
      </c>
      <c r="M3498" s="8">
        <f t="shared" ref="M3498" si="2025">+M3500*M3501+M3499*M3503</f>
        <v>477.52873897273315</v>
      </c>
    </row>
    <row r="3499" spans="2:14" hidden="1" outlineLevel="2" x14ac:dyDescent="0.2">
      <c r="B3499" t="str">
        <f>+C3499&amp;D3499&amp;E3499&amp;F3499</f>
        <v>GlobalFeedstockConversion FP blend grade : FP VLSFO blendTon feedstock / ton fuel</v>
      </c>
      <c r="C3499" s="494" t="s">
        <v>109</v>
      </c>
      <c r="D3499" t="s">
        <v>777</v>
      </c>
      <c r="E3499" t="s">
        <v>1378</v>
      </c>
      <c r="F3499" s="450" t="s">
        <v>1241</v>
      </c>
      <c r="G3499" s="521">
        <f>+INDEX('Fuel Model -  Input'!$B$3:$N$373,MATCH($B3499,'Fuel Model -  Input'!$B$3:$B$373,0),MATCH(G$2,'Fuel Model -  Input'!$B$3:$N$3,0))</f>
        <v>0.3</v>
      </c>
      <c r="H3499" s="521">
        <f>+INDEX('Fuel Model -  Input'!$B$3:$N$373,MATCH($B3499,'Fuel Model -  Input'!$B$3:$B$373,0),MATCH(H$2,'Fuel Model -  Input'!$B$3:$N$3,0))</f>
        <v>0.3</v>
      </c>
      <c r="I3499" s="521">
        <f>+INDEX('Fuel Model -  Input'!$B$3:$N$373,MATCH($B3499,'Fuel Model -  Input'!$B$3:$B$373,0),MATCH(I$2,'Fuel Model -  Input'!$B$3:$N$3,0))</f>
        <v>0.3</v>
      </c>
      <c r="J3499" s="521">
        <f>+INDEX('Fuel Model -  Input'!$B$3:$N$373,MATCH($B3499,'Fuel Model -  Input'!$B$3:$B$373,0),MATCH(J$2,'Fuel Model -  Input'!$B$3:$N$3,0))</f>
        <v>0.3</v>
      </c>
      <c r="K3499" s="521">
        <f>+INDEX('Fuel Model -  Input'!$B$3:$N$373,MATCH($B3499,'Fuel Model -  Input'!$B$3:$B$373,0),MATCH(K$2,'Fuel Model -  Input'!$B$3:$N$3,0))</f>
        <v>0.3</v>
      </c>
      <c r="L3499" s="521">
        <f>+INDEX('Fuel Model -  Input'!$B$3:$N$373,MATCH($B3499,'Fuel Model -  Input'!$B$3:$B$373,0),MATCH(L$2,'Fuel Model -  Input'!$B$3:$N$3,0))</f>
        <v>0.3</v>
      </c>
      <c r="M3499" s="521">
        <f>+INDEX('Fuel Model -  Input'!$B$3:$N$373,MATCH($B3499,'Fuel Model -  Input'!$B$3:$B$373,0),MATCH(M$2,'Fuel Model -  Input'!$B$3:$N$3,0))</f>
        <v>0.3</v>
      </c>
    </row>
    <row r="3500" spans="2:14" hidden="1" outlineLevel="2" x14ac:dyDescent="0.2">
      <c r="B3500" t="str">
        <f>+C3500&amp;D3500&amp;E3500&amp;F3500</f>
        <v>GlobalFeedstockConversion VLSFO : FP VLSFO blendTon feedstock / ton fuel</v>
      </c>
      <c r="C3500" s="494" t="s">
        <v>109</v>
      </c>
      <c r="D3500" t="s">
        <v>777</v>
      </c>
      <c r="E3500" t="s">
        <v>1379</v>
      </c>
      <c r="F3500" s="450" t="s">
        <v>1241</v>
      </c>
      <c r="G3500" s="521">
        <f>+INDEX('Fuel Model -  Input'!$B$3:$N$373,MATCH($B3500,'Fuel Model -  Input'!$B$3:$B$373,0),MATCH(G$2,'Fuel Model -  Input'!$B$3:$N$3,0))</f>
        <v>0.7</v>
      </c>
      <c r="H3500" s="521">
        <f>+INDEX('Fuel Model -  Input'!$B$3:$N$373,MATCH($B3500,'Fuel Model -  Input'!$B$3:$B$373,0),MATCH(H$2,'Fuel Model -  Input'!$B$3:$N$3,0))</f>
        <v>0.7</v>
      </c>
      <c r="I3500" s="521">
        <f>+INDEX('Fuel Model -  Input'!$B$3:$N$373,MATCH($B3500,'Fuel Model -  Input'!$B$3:$B$373,0),MATCH(I$2,'Fuel Model -  Input'!$B$3:$N$3,0))</f>
        <v>0.7</v>
      </c>
      <c r="J3500" s="521">
        <f>+INDEX('Fuel Model -  Input'!$B$3:$N$373,MATCH($B3500,'Fuel Model -  Input'!$B$3:$B$373,0),MATCH(J$2,'Fuel Model -  Input'!$B$3:$N$3,0))</f>
        <v>0.7</v>
      </c>
      <c r="K3500" s="521">
        <f>+INDEX('Fuel Model -  Input'!$B$3:$N$373,MATCH($B3500,'Fuel Model -  Input'!$B$3:$B$373,0),MATCH(K$2,'Fuel Model -  Input'!$B$3:$N$3,0))</f>
        <v>0.7</v>
      </c>
      <c r="L3500" s="521">
        <f>+INDEX('Fuel Model -  Input'!$B$3:$N$373,MATCH($B3500,'Fuel Model -  Input'!$B$3:$B$373,0),MATCH(L$2,'Fuel Model -  Input'!$B$3:$N$3,0))</f>
        <v>0.7</v>
      </c>
      <c r="M3500" s="521">
        <f>+INDEX('Fuel Model -  Input'!$B$3:$N$373,MATCH($B3500,'Fuel Model -  Input'!$B$3:$B$373,0),MATCH(M$2,'Fuel Model -  Input'!$B$3:$N$3,0))</f>
        <v>0.7</v>
      </c>
    </row>
    <row r="3501" spans="2:14" hidden="1" outlineLevel="2" x14ac:dyDescent="0.2">
      <c r="B3501" t="str">
        <f>+C3501&amp;D3501&amp;E3501&amp;F3501</f>
        <v>AmericasResultsCost of LSFOUSD/ton</v>
      </c>
      <c r="C3501" s="494" t="str">
        <f>+$C$3314</f>
        <v>Americas</v>
      </c>
      <c r="D3501" t="s">
        <v>838</v>
      </c>
      <c r="E3501" t="s">
        <v>1135</v>
      </c>
      <c r="F3501" s="157" t="s">
        <v>205</v>
      </c>
      <c r="G3501" s="532">
        <f>+INDEX('Fuel Model -  Input'!$B$3:$N$373,MATCH($B3501,'Fuel Model -  Input'!$B$3:$B$373,0),MATCH(G$2,'Fuel Model -  Input'!$B$3:$N$3,0))</f>
        <v>884.71322310880964</v>
      </c>
      <c r="H3501" s="532">
        <f>+INDEX('Fuel Model -  Input'!$B$3:$N$373,MATCH($B3501,'Fuel Model -  Input'!$B$3:$B$373,0),MATCH(H$2,'Fuel Model -  Input'!$B$3:$N$3,0))</f>
        <v>634.68557309979826</v>
      </c>
      <c r="I3501" s="532">
        <f>+INDEX('Fuel Model -  Input'!$B$3:$N$373,MATCH($B3501,'Fuel Model -  Input'!$B$3:$B$373,0),MATCH(I$2,'Fuel Model -  Input'!$B$3:$N$3,0))</f>
        <v>553.90740925073305</v>
      </c>
      <c r="J3501" s="532">
        <f>+INDEX('Fuel Model -  Input'!$B$3:$N$373,MATCH($B3501,'Fuel Model -  Input'!$B$3:$B$373,0),MATCH(J$2,'Fuel Model -  Input'!$B$3:$N$3,0))</f>
        <v>553.90740925073305</v>
      </c>
      <c r="K3501" s="532">
        <f>+INDEX('Fuel Model -  Input'!$B$3:$N$373,MATCH($B3501,'Fuel Model -  Input'!$B$3:$B$373,0),MATCH(K$2,'Fuel Model -  Input'!$B$3:$N$3,0))</f>
        <v>553.90740925073305</v>
      </c>
      <c r="L3501" s="532">
        <f>+INDEX('Fuel Model -  Input'!$B$3:$N$373,MATCH($B3501,'Fuel Model -  Input'!$B$3:$B$373,0),MATCH(L$2,'Fuel Model -  Input'!$B$3:$N$3,0))</f>
        <v>553.90740925073305</v>
      </c>
      <c r="M3501" s="532">
        <f>+INDEX('Fuel Model -  Input'!$B$3:$N$373,MATCH($B3501,'Fuel Model -  Input'!$B$3:$B$373,0),MATCH(M$2,'Fuel Model -  Input'!$B$3:$N$3,0))</f>
        <v>553.90740925073305</v>
      </c>
    </row>
    <row r="3502" spans="2:14" hidden="1" outlineLevel="2" x14ac:dyDescent="0.2">
      <c r="C3502" s="494"/>
      <c r="E3502" s="48"/>
      <c r="F3502" s="128"/>
      <c r="G3502" s="524"/>
      <c r="H3502" s="524"/>
      <c r="I3502" s="524"/>
      <c r="J3502" s="524"/>
      <c r="K3502" s="524"/>
      <c r="L3502" s="524"/>
      <c r="M3502" s="524"/>
    </row>
    <row r="3503" spans="2:14" hidden="1" outlineLevel="2" x14ac:dyDescent="0.2">
      <c r="B3503" t="str">
        <f>+C3503&amp;D3503&amp;E3503&amp;F3503</f>
        <v>AmericasSubtotalSubtotal - cost of Pyrolisis oil blend feedstockUSD/ton FP blend oil feedstock</v>
      </c>
      <c r="C3503" s="494" t="str">
        <f>+$C$3314</f>
        <v>Americas</v>
      </c>
      <c r="D3503" t="s">
        <v>1327</v>
      </c>
      <c r="E3503" s="48" t="s">
        <v>1380</v>
      </c>
      <c r="F3503" s="128" t="s">
        <v>1381</v>
      </c>
      <c r="G3503" s="8">
        <f>+SUM(G3505,G3512,G3516,G3509)</f>
        <v>713.00701786202308</v>
      </c>
      <c r="H3503" s="8">
        <f t="shared" ref="H3503:M3503" si="2026">+SUM(H3505,H3512,H3516,H3509)</f>
        <v>500.37110538149699</v>
      </c>
      <c r="I3503" s="8">
        <f t="shared" si="2026"/>
        <v>289.49503537808511</v>
      </c>
      <c r="J3503" s="8">
        <f t="shared" si="2026"/>
        <v>285.91157022880708</v>
      </c>
      <c r="K3503" s="8">
        <f t="shared" si="2026"/>
        <v>289.69190087892423</v>
      </c>
      <c r="L3503" s="8">
        <f t="shared" si="2026"/>
        <v>295.44244644022081</v>
      </c>
      <c r="M3503" s="8">
        <f t="shared" si="2026"/>
        <v>299.31184165740024</v>
      </c>
    </row>
    <row r="3504" spans="2:14" hidden="1" outlineLevel="2" x14ac:dyDescent="0.2">
      <c r="C3504" s="494"/>
      <c r="E3504" s="48"/>
      <c r="F3504" s="128"/>
      <c r="G3504" s="8"/>
      <c r="H3504" s="8"/>
      <c r="I3504" s="8"/>
      <c r="J3504" s="8"/>
      <c r="K3504" s="8"/>
      <c r="L3504" s="8"/>
      <c r="M3504" s="8"/>
    </row>
    <row r="3505" spans="2:13" hidden="1" outlineLevel="2" x14ac:dyDescent="0.2">
      <c r="B3505" t="str">
        <f>+C3505&amp;D3505&amp;E3505&amp;F3505</f>
        <v>AmericasHTL PlantAnnual capex (Pyr blend)USD/ton oil</v>
      </c>
      <c r="C3505" s="494" t="str">
        <f>+$C$3314</f>
        <v>Americas</v>
      </c>
      <c r="D3505" t="s">
        <v>1288</v>
      </c>
      <c r="E3505" s="48" t="s">
        <v>1382</v>
      </c>
      <c r="F3505" s="128" t="s">
        <v>1349</v>
      </c>
      <c r="G3505" s="8">
        <f t="shared" ref="G3505:M3505" si="2027">G3507/G3506</f>
        <v>404.29462373442374</v>
      </c>
      <c r="H3505" s="8">
        <f t="shared" si="2027"/>
        <v>242.57677424065429</v>
      </c>
      <c r="I3505" s="8">
        <f t="shared" si="2027"/>
        <v>80.858924746884753</v>
      </c>
      <c r="J3505" s="8">
        <f t="shared" si="2027"/>
        <v>72.773032272196289</v>
      </c>
      <c r="K3505" s="8">
        <f t="shared" si="2027"/>
        <v>70.077734780633463</v>
      </c>
      <c r="L3505" s="8">
        <f t="shared" si="2027"/>
        <v>67.382437289070637</v>
      </c>
      <c r="M3505" s="8">
        <f t="shared" si="2027"/>
        <v>64.687139797507811</v>
      </c>
    </row>
    <row r="3506" spans="2:13" hidden="1" outlineLevel="2" x14ac:dyDescent="0.2">
      <c r="B3506" t="str">
        <f>+C3506&amp;D3506&amp;E3506&amp;F3506</f>
        <v>GlobalPlant capexAnnualisation factor#</v>
      </c>
      <c r="C3506" s="494" t="s">
        <v>109</v>
      </c>
      <c r="D3506" t="s">
        <v>786</v>
      </c>
      <c r="E3506" t="s">
        <v>764</v>
      </c>
      <c r="F3506" s="450" t="s">
        <v>787</v>
      </c>
      <c r="G3506" s="532">
        <f>+INDEX('Fuel Model -  Input'!$B$3:$N$373,MATCH($B3506,'Fuel Model -  Input'!$B$3:$B$373,0),MATCH(G$2,'Fuel Model -  Input'!$B$3:$N$3,0))</f>
        <v>11.32075471698113</v>
      </c>
      <c r="H3506" s="532">
        <f>+INDEX('Fuel Model -  Input'!$B$3:$N$373,MATCH($B3506,'Fuel Model -  Input'!$B$3:$B$373,0),MATCH(H$2,'Fuel Model -  Input'!$B$3:$N$3,0))</f>
        <v>11.32075471698113</v>
      </c>
      <c r="I3506" s="532">
        <f>+INDEX('Fuel Model -  Input'!$B$3:$N$373,MATCH($B3506,'Fuel Model -  Input'!$B$3:$B$373,0),MATCH(I$2,'Fuel Model -  Input'!$B$3:$N$3,0))</f>
        <v>11.32075471698113</v>
      </c>
      <c r="J3506" s="532">
        <f>+INDEX('Fuel Model -  Input'!$B$3:$N$373,MATCH($B3506,'Fuel Model -  Input'!$B$3:$B$373,0),MATCH(J$2,'Fuel Model -  Input'!$B$3:$N$3,0))</f>
        <v>11.32075471698113</v>
      </c>
      <c r="K3506" s="532">
        <f>+INDEX('Fuel Model -  Input'!$B$3:$N$373,MATCH($B3506,'Fuel Model -  Input'!$B$3:$B$373,0),MATCH(K$2,'Fuel Model -  Input'!$B$3:$N$3,0))</f>
        <v>11.32075471698113</v>
      </c>
      <c r="L3506" s="532">
        <f>+INDEX('Fuel Model -  Input'!$B$3:$N$373,MATCH($B3506,'Fuel Model -  Input'!$B$3:$B$373,0),MATCH(L$2,'Fuel Model -  Input'!$B$3:$N$3,0))</f>
        <v>11.32075471698113</v>
      </c>
      <c r="M3506" s="532">
        <f>+INDEX('Fuel Model -  Input'!$B$3:$N$373,MATCH($B3506,'Fuel Model -  Input'!$B$3:$B$373,0),MATCH(M$2,'Fuel Model -  Input'!$B$3:$N$3,0))</f>
        <v>11.32075471698113</v>
      </c>
    </row>
    <row r="3507" spans="2:13" hidden="1" outlineLevel="2" x14ac:dyDescent="0.2">
      <c r="B3507" t="str">
        <f>+C3507&amp;D3507&amp;E3507&amp;F3507</f>
        <v>GlobalCAPEXFP blend grade plantUSD/ton FP VLSFO blend capacity</v>
      </c>
      <c r="C3507" s="494" t="s">
        <v>109</v>
      </c>
      <c r="D3507" t="s">
        <v>50</v>
      </c>
      <c r="E3507" s="48" t="s">
        <v>1383</v>
      </c>
      <c r="F3507" s="128" t="s">
        <v>1384</v>
      </c>
      <c r="G3507" s="532">
        <f>+INDEX('Fuel Model -  Input'!$B$3:$N$373,MATCH($B3507,'Fuel Model -  Input'!$B$3:$B$373,0),MATCH(G$2,'Fuel Model -  Input'!$B$3:$N$3,0))</f>
        <v>4576.9202686915887</v>
      </c>
      <c r="H3507" s="532">
        <f>+INDEX('Fuel Model -  Input'!$B$3:$N$373,MATCH($B3507,'Fuel Model -  Input'!$B$3:$B$373,0),MATCH(H$2,'Fuel Model -  Input'!$B$3:$N$3,0))</f>
        <v>2746.1521612149536</v>
      </c>
      <c r="I3507" s="532">
        <f>+INDEX('Fuel Model -  Input'!$B$3:$N$373,MATCH($B3507,'Fuel Model -  Input'!$B$3:$B$373,0),MATCH(I$2,'Fuel Model -  Input'!$B$3:$N$3,0))</f>
        <v>915.38405373831779</v>
      </c>
      <c r="J3507" s="532">
        <f>+INDEX('Fuel Model -  Input'!$B$3:$N$373,MATCH($B3507,'Fuel Model -  Input'!$B$3:$B$373,0),MATCH(J$2,'Fuel Model -  Input'!$B$3:$N$3,0))</f>
        <v>823.84564836448612</v>
      </c>
      <c r="K3507" s="532">
        <f>+INDEX('Fuel Model -  Input'!$B$3:$N$373,MATCH($B3507,'Fuel Model -  Input'!$B$3:$B$373,0),MATCH(K$2,'Fuel Model -  Input'!$B$3:$N$3,0))</f>
        <v>793.33284657320883</v>
      </c>
      <c r="L3507" s="532">
        <f>+INDEX('Fuel Model -  Input'!$B$3:$N$373,MATCH($B3507,'Fuel Model -  Input'!$B$3:$B$373,0),MATCH(L$2,'Fuel Model -  Input'!$B$3:$N$3,0))</f>
        <v>762.82004478193153</v>
      </c>
      <c r="M3507" s="532">
        <f>+INDEX('Fuel Model -  Input'!$B$3:$N$373,MATCH($B3507,'Fuel Model -  Input'!$B$3:$B$373,0),MATCH(M$2,'Fuel Model -  Input'!$B$3:$N$3,0))</f>
        <v>732.30724299065434</v>
      </c>
    </row>
    <row r="3508" spans="2:13" hidden="1" outlineLevel="2" x14ac:dyDescent="0.2">
      <c r="C3508" s="494"/>
      <c r="E3508" s="48"/>
      <c r="F3508" s="128"/>
      <c r="G3508" s="524"/>
      <c r="H3508" s="524"/>
      <c r="I3508" s="524"/>
      <c r="J3508" s="524"/>
      <c r="K3508" s="524"/>
      <c r="L3508" s="524"/>
      <c r="M3508" s="524"/>
    </row>
    <row r="3509" spans="2:13" hidden="1" outlineLevel="2" x14ac:dyDescent="0.2">
      <c r="B3509" t="str">
        <f>+C3509&amp;D3509&amp;E3509&amp;F3509</f>
        <v>AmericasOpexOpexUSD/ton oil</v>
      </c>
      <c r="C3509" s="494" t="str">
        <f>+$C$3314</f>
        <v>Americas</v>
      </c>
      <c r="D3509" t="s">
        <v>219</v>
      </c>
      <c r="E3509" s="48" t="s">
        <v>219</v>
      </c>
      <c r="F3509" s="128" t="s">
        <v>1349</v>
      </c>
      <c r="G3509" s="8">
        <f t="shared" ref="G3509:M3509" si="2028">G3507*G3510</f>
        <v>145.7481389915236</v>
      </c>
      <c r="H3509" s="8">
        <f t="shared" si="2028"/>
        <v>87.448883394914176</v>
      </c>
      <c r="I3509" s="8">
        <f t="shared" si="2028"/>
        <v>29.149627798304721</v>
      </c>
      <c r="J3509" s="8">
        <f t="shared" si="2028"/>
        <v>26.234665018474253</v>
      </c>
      <c r="K3509" s="8">
        <f t="shared" si="2028"/>
        <v>25.263010758530761</v>
      </c>
      <c r="L3509" s="8">
        <f t="shared" si="2028"/>
        <v>24.29135649858727</v>
      </c>
      <c r="M3509" s="8">
        <f t="shared" si="2028"/>
        <v>23.319702238643782</v>
      </c>
    </row>
    <row r="3510" spans="2:13" hidden="1" outlineLevel="2" x14ac:dyDescent="0.2">
      <c r="B3510" t="str">
        <f>+C3510&amp;D3510&amp;E3510&amp;F3510</f>
        <v>GlobalOPEXFP blend grade plant opexUSD/ton FP VLSFO blend</v>
      </c>
      <c r="C3510" s="494" t="s">
        <v>109</v>
      </c>
      <c r="D3510" t="s">
        <v>319</v>
      </c>
      <c r="E3510" s="48" t="s">
        <v>1385</v>
      </c>
      <c r="F3510" s="128" t="s">
        <v>1386</v>
      </c>
      <c r="G3510" s="531">
        <f>INDEX('Fuel Model -  Input'!$B$3:$N$373,MATCH($B3510,'Fuel Model -  Input'!$B$3:$B$373,0),MATCH(G$2,'Fuel Model -  Input'!$B$3:$N$3,0))</f>
        <v>3.1844150746630516E-2</v>
      </c>
      <c r="H3510" s="531">
        <f>INDEX('Fuel Model -  Input'!$B$3:$N$373,MATCH($B3510,'Fuel Model -  Input'!$B$3:$B$373,0),MATCH(H$2,'Fuel Model -  Input'!$B$3:$N$3,0))</f>
        <v>3.1844150746630516E-2</v>
      </c>
      <c r="I3510" s="531">
        <f>INDEX('Fuel Model -  Input'!$B$3:$N$373,MATCH($B3510,'Fuel Model -  Input'!$B$3:$B$373,0),MATCH(I$2,'Fuel Model -  Input'!$B$3:$N$3,0))</f>
        <v>3.1844150746630516E-2</v>
      </c>
      <c r="J3510" s="531">
        <f>INDEX('Fuel Model -  Input'!$B$3:$N$373,MATCH($B3510,'Fuel Model -  Input'!$B$3:$B$373,0),MATCH(J$2,'Fuel Model -  Input'!$B$3:$N$3,0))</f>
        <v>3.1844150746630516E-2</v>
      </c>
      <c r="K3510" s="531">
        <f>INDEX('Fuel Model -  Input'!$B$3:$N$373,MATCH($B3510,'Fuel Model -  Input'!$B$3:$B$373,0),MATCH(K$2,'Fuel Model -  Input'!$B$3:$N$3,0))</f>
        <v>3.1844150746630516E-2</v>
      </c>
      <c r="L3510" s="531">
        <f>INDEX('Fuel Model -  Input'!$B$3:$N$373,MATCH($B3510,'Fuel Model -  Input'!$B$3:$B$373,0),MATCH(L$2,'Fuel Model -  Input'!$B$3:$N$3,0))</f>
        <v>3.1844150746630516E-2</v>
      </c>
      <c r="M3510" s="531">
        <f>INDEX('Fuel Model -  Input'!$B$3:$N$373,MATCH($B3510,'Fuel Model -  Input'!$B$3:$B$373,0),MATCH(M$2,'Fuel Model -  Input'!$B$3:$N$3,0))</f>
        <v>3.1844150746630516E-2</v>
      </c>
    </row>
    <row r="3511" spans="2:13" hidden="1" outlineLevel="2" x14ac:dyDescent="0.2">
      <c r="C3511" s="494"/>
      <c r="E3511" s="48"/>
      <c r="F3511" s="128"/>
      <c r="G3511" s="520"/>
      <c r="H3511" s="520"/>
      <c r="I3511" s="520"/>
      <c r="J3511" s="520"/>
      <c r="K3511" s="520"/>
      <c r="L3511" s="520"/>
      <c r="M3511" s="520"/>
    </row>
    <row r="3512" spans="2:13" hidden="1" outlineLevel="2" x14ac:dyDescent="0.2">
      <c r="B3512" t="str">
        <f>+C3512&amp;D3512&amp;E3512&amp;F3512</f>
        <v>AmericasElectricityTotal (Pyr blend)USD/ ton oil</v>
      </c>
      <c r="C3512" s="494" t="str">
        <f>+$C$3314</f>
        <v>Americas</v>
      </c>
      <c r="D3512" t="s">
        <v>54</v>
      </c>
      <c r="E3512" s="48" t="s">
        <v>1387</v>
      </c>
      <c r="F3512" s="128" t="s">
        <v>1354</v>
      </c>
      <c r="G3512" s="8">
        <f t="shared" ref="G3512:M3512" si="2029">G3514*G3513</f>
        <v>1.9904714451729746</v>
      </c>
      <c r="H3512" s="8">
        <f t="shared" si="2029"/>
        <v>1.7964271754537975</v>
      </c>
      <c r="I3512" s="8">
        <f t="shared" si="2029"/>
        <v>1.4684161629560564</v>
      </c>
      <c r="J3512" s="8">
        <f t="shared" si="2029"/>
        <v>1.3105693886250438</v>
      </c>
      <c r="K3512" s="8">
        <f t="shared" si="2029"/>
        <v>1.1826149106766082</v>
      </c>
      <c r="L3512" s="8">
        <f t="shared" si="2029"/>
        <v>1.1310661240146318</v>
      </c>
      <c r="M3512" s="8">
        <f t="shared" si="2029"/>
        <v>1.092176213128454</v>
      </c>
    </row>
    <row r="3513" spans="2:13" hidden="1" outlineLevel="2" x14ac:dyDescent="0.2">
      <c r="B3513" t="str">
        <f>+C3513&amp;D3513&amp;E3513&amp;F3513</f>
        <v>GlobalFeedstockFP blend grade plant electricity demandMWh/ton fuel</v>
      </c>
      <c r="C3513" s="494" t="s">
        <v>109</v>
      </c>
      <c r="D3513" t="s">
        <v>777</v>
      </c>
      <c r="E3513" s="48" t="s">
        <v>1367</v>
      </c>
      <c r="F3513" s="128" t="s">
        <v>1298</v>
      </c>
      <c r="G3513" s="521">
        <f>INDEX('Fuel Model -  Input'!$B$3:$N$373,MATCH($B3513,'Fuel Model -  Input'!$B$3:$B$373,0),MATCH(G$2,'Fuel Model -  Input'!$B$3:$N$3,0))</f>
        <v>5.1081730769230768E-2</v>
      </c>
      <c r="H3513" s="521">
        <f>INDEX('Fuel Model -  Input'!$B$3:$N$373,MATCH($B3513,'Fuel Model -  Input'!$B$3:$B$373,0),MATCH(H$2,'Fuel Model -  Input'!$B$3:$N$3,0))</f>
        <v>5.1081730769230768E-2</v>
      </c>
      <c r="I3513" s="521">
        <f>INDEX('Fuel Model -  Input'!$B$3:$N$373,MATCH($B3513,'Fuel Model -  Input'!$B$3:$B$373,0),MATCH(I$2,'Fuel Model -  Input'!$B$3:$N$3,0))</f>
        <v>5.1081730769230768E-2</v>
      </c>
      <c r="J3513" s="521">
        <f>INDEX('Fuel Model -  Input'!$B$3:$N$373,MATCH($B3513,'Fuel Model -  Input'!$B$3:$B$373,0),MATCH(J$2,'Fuel Model -  Input'!$B$3:$N$3,0))</f>
        <v>5.1081730769230768E-2</v>
      </c>
      <c r="K3513" s="521">
        <f>INDEX('Fuel Model -  Input'!$B$3:$N$373,MATCH($B3513,'Fuel Model -  Input'!$B$3:$B$373,0),MATCH(K$2,'Fuel Model -  Input'!$B$3:$N$3,0))</f>
        <v>5.1081730769230768E-2</v>
      </c>
      <c r="L3513" s="521">
        <f>INDEX('Fuel Model -  Input'!$B$3:$N$373,MATCH($B3513,'Fuel Model -  Input'!$B$3:$B$373,0),MATCH(L$2,'Fuel Model -  Input'!$B$3:$N$3,0))</f>
        <v>5.1081730769230768E-2</v>
      </c>
      <c r="M3513" s="521">
        <f>INDEX('Fuel Model -  Input'!$B$3:$N$373,MATCH($B3513,'Fuel Model -  Input'!$B$3:$B$373,0),MATCH(M$2,'Fuel Model -  Input'!$B$3:$N$3,0))</f>
        <v>5.1081730769230768E-2</v>
      </c>
    </row>
    <row r="3514" spans="2:13" hidden="1" outlineLevel="2" x14ac:dyDescent="0.2">
      <c r="B3514" t="str">
        <f>+C3514&amp;D3514&amp;E3514&amp;F3514</f>
        <v>AmericasFeedstockElectricityUSD/MWh</v>
      </c>
      <c r="C3514" s="494" t="str">
        <f>+$C$3314</f>
        <v>Americas</v>
      </c>
      <c r="D3514" t="s">
        <v>777</v>
      </c>
      <c r="E3514" s="48" t="s">
        <v>54</v>
      </c>
      <c r="F3514" s="128" t="s">
        <v>196</v>
      </c>
      <c r="G3514" s="521">
        <f>INDEX('Fuel Model -  Input'!$B$3:$N$373,MATCH($B3514,'Fuel Model -  Input'!$B$3:$B$373,0),MATCH(G$2,'Fuel Model -  Input'!$B$3:$N$3,0))</f>
        <v>38.96640570315094</v>
      </c>
      <c r="H3514" s="521">
        <f>INDEX('Fuel Model -  Input'!$B$3:$N$373,MATCH($B3514,'Fuel Model -  Input'!$B$3:$B$373,0),MATCH(H$2,'Fuel Model -  Input'!$B$3:$N$3,0))</f>
        <v>35.167703764177872</v>
      </c>
      <c r="I3514" s="521">
        <f>INDEX('Fuel Model -  Input'!$B$3:$N$373,MATCH($B3514,'Fuel Model -  Input'!$B$3:$B$373,0),MATCH(I$2,'Fuel Model -  Input'!$B$3:$N$3,0))</f>
        <v>28.746405825398561</v>
      </c>
      <c r="J3514" s="521">
        <f>INDEX('Fuel Model -  Input'!$B$3:$N$373,MATCH($B3514,'Fuel Model -  Input'!$B$3:$B$373,0),MATCH(J$2,'Fuel Model -  Input'!$B$3:$N$3,0))</f>
        <v>25.656323090259679</v>
      </c>
      <c r="K3514" s="521">
        <f>INDEX('Fuel Model -  Input'!$B$3:$N$373,MATCH($B3514,'Fuel Model -  Input'!$B$3:$B$373,0),MATCH(K$2,'Fuel Model -  Input'!$B$3:$N$3,0))</f>
        <v>23.151426016069131</v>
      </c>
      <c r="L3514" s="521">
        <f>INDEX('Fuel Model -  Input'!$B$3:$N$373,MATCH($B3514,'Fuel Model -  Input'!$B$3:$B$373,0),MATCH(L$2,'Fuel Model -  Input'!$B$3:$N$3,0))</f>
        <v>22.142282710121734</v>
      </c>
      <c r="M3514" s="521">
        <f>INDEX('Fuel Model -  Input'!$B$3:$N$373,MATCH($B3514,'Fuel Model -  Input'!$B$3:$B$373,0),MATCH(M$2,'Fuel Model -  Input'!$B$3:$N$3,0))</f>
        <v>21.380955513479382</v>
      </c>
    </row>
    <row r="3515" spans="2:13" hidden="1" outlineLevel="2" x14ac:dyDescent="0.2">
      <c r="C3515" s="494"/>
      <c r="E3515" s="48"/>
      <c r="F3515" s="128"/>
      <c r="G3515" s="532"/>
      <c r="H3515" s="532"/>
      <c r="I3515" s="532"/>
      <c r="J3515" s="532"/>
      <c r="K3515" s="532"/>
      <c r="L3515" s="532"/>
      <c r="M3515" s="532"/>
    </row>
    <row r="3516" spans="2:13" hidden="1" outlineLevel="2" x14ac:dyDescent="0.2">
      <c r="B3516" t="str">
        <f>+C3516&amp;D3516&amp;E3516&amp;F3516</f>
        <v>AmericasFeedstockWood biomass to pyrolysis oilUSD/ton oil</v>
      </c>
      <c r="C3516" s="494" t="str">
        <f>+$C$3314</f>
        <v>Americas</v>
      </c>
      <c r="D3516" t="s">
        <v>777</v>
      </c>
      <c r="E3516" s="48" t="s">
        <v>1360</v>
      </c>
      <c r="F3516" s="128" t="s">
        <v>1349</v>
      </c>
      <c r="G3516" s="8">
        <f t="shared" ref="G3516:M3516" si="2030">G3518*G3517</f>
        <v>160.97378369090285</v>
      </c>
      <c r="H3516" s="8">
        <f t="shared" si="2030"/>
        <v>168.54902057047474</v>
      </c>
      <c r="I3516" s="8">
        <f t="shared" si="2030"/>
        <v>178.0180666699396</v>
      </c>
      <c r="J3516" s="8">
        <f t="shared" si="2030"/>
        <v>185.59330354951152</v>
      </c>
      <c r="K3516" s="8">
        <f t="shared" si="2030"/>
        <v>193.16854042908341</v>
      </c>
      <c r="L3516" s="8">
        <f t="shared" si="2030"/>
        <v>202.63758652854827</v>
      </c>
      <c r="M3516" s="8">
        <f t="shared" si="2030"/>
        <v>210.21282340812019</v>
      </c>
    </row>
    <row r="3517" spans="2:13" hidden="1" outlineLevel="2" x14ac:dyDescent="0.2">
      <c r="B3517" t="str">
        <f>+C3517&amp;D3517&amp;E3517&amp;F3517</f>
        <v>GlobalFeedstockConversion Dry Wood biomass : FP VLSFO blendTon feedstock / ton fuel</v>
      </c>
      <c r="C3517" s="494" t="s">
        <v>109</v>
      </c>
      <c r="D3517" t="s">
        <v>777</v>
      </c>
      <c r="E3517" s="48" t="s">
        <v>1388</v>
      </c>
      <c r="F3517" s="128" t="s">
        <v>1241</v>
      </c>
      <c r="G3517" s="521">
        <f>+INDEX('Fuel Model -  Input'!$B$3:$N$373,MATCH($B3517,'Fuel Model -  Input'!$B$3:$B$373,0),MATCH(G$2,'Fuel Model -  Input'!$B$3:$N$3,0))</f>
        <v>1.8938092198929746</v>
      </c>
      <c r="H3517" s="521">
        <f>+INDEX('Fuel Model -  Input'!$B$3:$N$373,MATCH($B3517,'Fuel Model -  Input'!$B$3:$B$373,0),MATCH(H$2,'Fuel Model -  Input'!$B$3:$N$3,0))</f>
        <v>1.8938092198929746</v>
      </c>
      <c r="I3517" s="521">
        <f>+INDEX('Fuel Model -  Input'!$B$3:$N$373,MATCH($B3517,'Fuel Model -  Input'!$B$3:$B$373,0),MATCH(I$2,'Fuel Model -  Input'!$B$3:$N$3,0))</f>
        <v>1.8938092198929746</v>
      </c>
      <c r="J3517" s="521">
        <f>+INDEX('Fuel Model -  Input'!$B$3:$N$373,MATCH($B3517,'Fuel Model -  Input'!$B$3:$B$373,0),MATCH(J$2,'Fuel Model -  Input'!$B$3:$N$3,0))</f>
        <v>1.8938092198929746</v>
      </c>
      <c r="K3517" s="521">
        <f>+INDEX('Fuel Model -  Input'!$B$3:$N$373,MATCH($B3517,'Fuel Model -  Input'!$B$3:$B$373,0),MATCH(K$2,'Fuel Model -  Input'!$B$3:$N$3,0))</f>
        <v>1.8938092198929746</v>
      </c>
      <c r="L3517" s="521">
        <f>+INDEX('Fuel Model -  Input'!$B$3:$N$373,MATCH($B3517,'Fuel Model -  Input'!$B$3:$B$373,0),MATCH(L$2,'Fuel Model -  Input'!$B$3:$N$3,0))</f>
        <v>1.8938092198929746</v>
      </c>
      <c r="M3517" s="521">
        <f>+INDEX('Fuel Model -  Input'!$B$3:$N$373,MATCH($B3517,'Fuel Model -  Input'!$B$3:$B$373,0),MATCH(M$2,'Fuel Model -  Input'!$B$3:$N$3,0))</f>
        <v>1.8938092198929746</v>
      </c>
    </row>
    <row r="3518" spans="2:13" hidden="1" outlineLevel="2" x14ac:dyDescent="0.2">
      <c r="B3518" t="str">
        <f>+C3518&amp;D3518&amp;E3518&amp;F3518</f>
        <v>AmericasFeedstockCost of Wood biomassUSD/ton Wood</v>
      </c>
      <c r="C3518" s="494" t="str">
        <f>C3492</f>
        <v>Americas</v>
      </c>
      <c r="D3518" t="s">
        <v>777</v>
      </c>
      <c r="E3518" s="48" t="s">
        <v>1244</v>
      </c>
      <c r="F3518" s="128" t="s">
        <v>1245</v>
      </c>
      <c r="G3518" s="532">
        <f>+INDEX('Fuel Model -  Input'!$B$3:$N$373,MATCH($B3518,'Fuel Model -  Input'!$B$3:$B$373,0),MATCH(G$2,'Fuel Model -  Input'!$B$3:$N$3,0))</f>
        <v>85</v>
      </c>
      <c r="H3518" s="532">
        <f>+INDEX('Fuel Model -  Input'!$B$3:$N$373,MATCH($B3518,'Fuel Model -  Input'!$B$3:$B$373,0),MATCH(H$2,'Fuel Model -  Input'!$B$3:$N$3,0))</f>
        <v>89</v>
      </c>
      <c r="I3518" s="532">
        <f>+INDEX('Fuel Model -  Input'!$B$3:$N$373,MATCH($B3518,'Fuel Model -  Input'!$B$3:$B$373,0),MATCH(I$2,'Fuel Model -  Input'!$B$3:$N$3,0))</f>
        <v>94</v>
      </c>
      <c r="J3518" s="532">
        <f>+INDEX('Fuel Model -  Input'!$B$3:$N$373,MATCH($B3518,'Fuel Model -  Input'!$B$3:$B$373,0),MATCH(J$2,'Fuel Model -  Input'!$B$3:$N$3,0))</f>
        <v>98</v>
      </c>
      <c r="K3518" s="532">
        <f>+INDEX('Fuel Model -  Input'!$B$3:$N$373,MATCH($B3518,'Fuel Model -  Input'!$B$3:$B$373,0),MATCH(K$2,'Fuel Model -  Input'!$B$3:$N$3,0))</f>
        <v>102</v>
      </c>
      <c r="L3518" s="532">
        <f>+INDEX('Fuel Model -  Input'!$B$3:$N$373,MATCH($B3518,'Fuel Model -  Input'!$B$3:$B$373,0),MATCH(L$2,'Fuel Model -  Input'!$B$3:$N$3,0))</f>
        <v>107</v>
      </c>
      <c r="M3518" s="532">
        <f>+INDEX('Fuel Model -  Input'!$B$3:$N$373,MATCH($B3518,'Fuel Model -  Input'!$B$3:$B$373,0),MATCH(M$2,'Fuel Model -  Input'!$B$3:$N$3,0))</f>
        <v>111</v>
      </c>
    </row>
    <row r="3519" spans="2:13" ht="12.75" hidden="1" outlineLevel="1" x14ac:dyDescent="0.2">
      <c r="F3519"/>
    </row>
    <row r="3520" spans="2:13" s="30" customFormat="1" ht="15" hidden="1" outlineLevel="1" collapsed="1" x14ac:dyDescent="0.25">
      <c r="B3520" s="30" t="s">
        <v>200</v>
      </c>
      <c r="C3520" s="30" t="str">
        <f>+B3520</f>
        <v>Africa</v>
      </c>
    </row>
    <row r="3521" spans="2:13" ht="15" hidden="1" outlineLevel="2" x14ac:dyDescent="0.25">
      <c r="B3521" t="str">
        <f>+C3521&amp;D3521&amp;E3521&amp;F3521</f>
        <v>AfricaResultsTotal cost of Biodiesel (Pyr blend)USD/ton</v>
      </c>
      <c r="C3521" s="494" t="str">
        <f>+$C$3345</f>
        <v>Africa</v>
      </c>
      <c r="D3521" s="30" t="s">
        <v>838</v>
      </c>
      <c r="E3521" s="405" t="s">
        <v>1373</v>
      </c>
      <c r="F3521" s="127" t="s">
        <v>205</v>
      </c>
      <c r="G3521" s="490">
        <f>+SUM(G3522:G3524)</f>
        <v>851.42665975495208</v>
      </c>
      <c r="H3521" s="490">
        <f t="shared" ref="H3521:M3521" si="2031">+SUM(H3522:H3524)</f>
        <v>612.7175234021397</v>
      </c>
      <c r="I3521" s="490">
        <f t="shared" si="2031"/>
        <v>492.86193757803193</v>
      </c>
      <c r="J3521" s="490">
        <f t="shared" si="2031"/>
        <v>492.88878710430265</v>
      </c>
      <c r="K3521" s="490">
        <f t="shared" si="2031"/>
        <v>494.59093679488359</v>
      </c>
      <c r="L3521" s="490">
        <f t="shared" si="2031"/>
        <v>496.29199865078891</v>
      </c>
      <c r="M3521" s="490">
        <f t="shared" si="2031"/>
        <v>498.01320668261388</v>
      </c>
    </row>
    <row r="3522" spans="2:13" ht="15" hidden="1" outlineLevel="2" x14ac:dyDescent="0.25">
      <c r="B3522" t="str">
        <f>+C3522&amp;D3522&amp;E3522&amp;F3522</f>
        <v>AfricaResultsTotal Capex Biodiesel (Pyr blend)USD/ton</v>
      </c>
      <c r="C3522" s="494" t="str">
        <f>+$C$3345</f>
        <v>Africa</v>
      </c>
      <c r="D3522" s="30" t="s">
        <v>838</v>
      </c>
      <c r="E3522" s="228" t="s">
        <v>1374</v>
      </c>
      <c r="F3522" s="127" t="s">
        <v>205</v>
      </c>
      <c r="G3522" s="490">
        <f>G3533*G3527</f>
        <v>121.28838712032712</v>
      </c>
      <c r="H3522" s="490">
        <f t="shared" ref="H3522:M3522" si="2032">H3533*H3527</f>
        <v>72.773032272196289</v>
      </c>
      <c r="I3522" s="490">
        <f t="shared" si="2032"/>
        <v>24.257677424065424</v>
      </c>
      <c r="J3522" s="490">
        <f t="shared" si="2032"/>
        <v>21.831909681658885</v>
      </c>
      <c r="K3522" s="490">
        <f t="shared" si="2032"/>
        <v>21.023320434190037</v>
      </c>
      <c r="L3522" s="490">
        <f t="shared" si="2032"/>
        <v>20.214731186721192</v>
      </c>
      <c r="M3522" s="490">
        <f t="shared" si="2032"/>
        <v>19.406141939252343</v>
      </c>
    </row>
    <row r="3523" spans="2:13" ht="15" hidden="1" outlineLevel="2" x14ac:dyDescent="0.25">
      <c r="B3523" t="str">
        <f>+C3523&amp;D3523&amp;E3523&amp;F3523</f>
        <v>AfricaResultsTotal Opex Biodiesel (Pyr blend)USD/ton</v>
      </c>
      <c r="C3523" s="494" t="str">
        <f>+$C$3345</f>
        <v>Africa</v>
      </c>
      <c r="D3523" s="30" t="s">
        <v>838</v>
      </c>
      <c r="E3523" s="228" t="s">
        <v>1375</v>
      </c>
      <c r="F3523" s="127" t="s">
        <v>205</v>
      </c>
      <c r="G3523" s="490">
        <f>(G3537+G3540)*G3527</f>
        <v>44.934455606182752</v>
      </c>
      <c r="H3523" s="490">
        <f t="shared" ref="H3523:M3523" si="2033">(H3537+H3540)*H3527</f>
        <v>26.919315277969741</v>
      </c>
      <c r="I3523" s="490">
        <f t="shared" si="2033"/>
        <v>9.2830851664989442</v>
      </c>
      <c r="J3523" s="490">
        <f t="shared" si="2033"/>
        <v>8.3268458393688149</v>
      </c>
      <c r="K3523" s="490">
        <f t="shared" si="2033"/>
        <v>7.9968709475791844</v>
      </c>
      <c r="L3523" s="490">
        <f t="shared" si="2033"/>
        <v>7.665808221113922</v>
      </c>
      <c r="M3523" s="490">
        <f t="shared" si="2033"/>
        <v>7.3548916705682617</v>
      </c>
    </row>
    <row r="3524" spans="2:13" ht="15" hidden="1" outlineLevel="2" x14ac:dyDescent="0.25">
      <c r="B3524" t="str">
        <f>+C3524&amp;D3524&amp;E3524&amp;F3524</f>
        <v>AfricaResultsTotal Raw Material Biodiesel (Pyr blend)USD/ton</v>
      </c>
      <c r="C3524" s="494" t="str">
        <f>+$C$3345</f>
        <v>Africa</v>
      </c>
      <c r="D3524" s="30" t="s">
        <v>838</v>
      </c>
      <c r="E3524" s="228" t="s">
        <v>1376</v>
      </c>
      <c r="F3524" s="127" t="s">
        <v>205</v>
      </c>
      <c r="G3524" s="490">
        <f>+G3544*G3527+G3528*G3529</f>
        <v>685.20381702844224</v>
      </c>
      <c r="H3524" s="490">
        <f t="shared" ref="H3524:M3524" si="2034">+H3544*H3527+H3528*H3529</f>
        <v>513.0251758519737</v>
      </c>
      <c r="I3524" s="490">
        <f t="shared" si="2034"/>
        <v>459.32117498746754</v>
      </c>
      <c r="J3524" s="490">
        <f t="shared" si="2034"/>
        <v>462.73003158327492</v>
      </c>
      <c r="K3524" s="490">
        <f t="shared" si="2034"/>
        <v>465.57074541311437</v>
      </c>
      <c r="L3524" s="490">
        <f t="shared" si="2034"/>
        <v>468.41145924295381</v>
      </c>
      <c r="M3524" s="490">
        <f t="shared" si="2034"/>
        <v>471.25217307279325</v>
      </c>
    </row>
    <row r="3525" spans="2:13" hidden="1" outlineLevel="2" x14ac:dyDescent="0.2">
      <c r="C3525" s="494"/>
      <c r="E3525" s="48"/>
      <c r="F3525" s="128"/>
      <c r="G3525" s="8"/>
      <c r="H3525" s="8"/>
      <c r="I3525" s="8"/>
      <c r="J3525" s="8"/>
      <c r="K3525" s="8"/>
      <c r="L3525" s="8"/>
      <c r="M3525" s="8"/>
    </row>
    <row r="3526" spans="2:13" hidden="1" outlineLevel="2" x14ac:dyDescent="0.2">
      <c r="B3526" t="str">
        <f>+C3526&amp;D3526&amp;E3526&amp;F3526</f>
        <v>AfricaResultsTotal cost of Pyrolysis oil blend (70% LSFO)USD/ton</v>
      </c>
      <c r="C3526" s="494" t="str">
        <f>+$C$3345</f>
        <v>Africa</v>
      </c>
      <c r="D3526" t="s">
        <v>838</v>
      </c>
      <c r="E3526" s="48" t="s">
        <v>1377</v>
      </c>
      <c r="F3526" s="128" t="s">
        <v>205</v>
      </c>
      <c r="G3526" s="8">
        <f>+G3528*G3529+G3527*G3531</f>
        <v>851.4266597549522</v>
      </c>
      <c r="H3526" s="8">
        <f t="shared" ref="H3526" si="2035">+H3528*H3529+H3527*H3531</f>
        <v>612.7175234021397</v>
      </c>
      <c r="I3526" s="8">
        <f t="shared" ref="I3526" si="2036">+I3528*I3529+I3527*I3531</f>
        <v>492.86193757803193</v>
      </c>
      <c r="J3526" s="8">
        <f t="shared" ref="J3526" si="2037">+J3528*J3529+J3527*J3531</f>
        <v>492.88878710430259</v>
      </c>
      <c r="K3526" s="8">
        <f t="shared" ref="K3526" si="2038">+K3528*K3529+K3527*K3531</f>
        <v>494.59093679488359</v>
      </c>
      <c r="L3526" s="8">
        <f t="shared" ref="L3526" si="2039">+L3528*L3529+L3527*L3531</f>
        <v>496.29199865078897</v>
      </c>
      <c r="M3526" s="8">
        <f t="shared" ref="M3526" si="2040">+M3528*M3529+M3527*M3531</f>
        <v>498.01320668261388</v>
      </c>
    </row>
    <row r="3527" spans="2:13" hidden="1" outlineLevel="2" x14ac:dyDescent="0.2">
      <c r="B3527" t="str">
        <f>+C3527&amp;D3527&amp;E3527&amp;F3527</f>
        <v>GlobalFeedstockConversion FP blend grade : FP VLSFO blendTon feedstock / ton fuel</v>
      </c>
      <c r="C3527" s="494" t="s">
        <v>109</v>
      </c>
      <c r="D3527" t="s">
        <v>777</v>
      </c>
      <c r="E3527" t="s">
        <v>1378</v>
      </c>
      <c r="F3527" s="450" t="s">
        <v>1241</v>
      </c>
      <c r="G3527" s="521">
        <f>+INDEX('Fuel Model -  Input'!$B$3:$N$373,MATCH($B3527,'Fuel Model -  Input'!$B$3:$B$373,0),MATCH(G$2,'Fuel Model -  Input'!$B$3:$N$3,0))</f>
        <v>0.3</v>
      </c>
      <c r="H3527" s="521">
        <f>+INDEX('Fuel Model -  Input'!$B$3:$N$373,MATCH($B3527,'Fuel Model -  Input'!$B$3:$B$373,0),MATCH(H$2,'Fuel Model -  Input'!$B$3:$N$3,0))</f>
        <v>0.3</v>
      </c>
      <c r="I3527" s="521">
        <f>+INDEX('Fuel Model -  Input'!$B$3:$N$373,MATCH($B3527,'Fuel Model -  Input'!$B$3:$B$373,0),MATCH(I$2,'Fuel Model -  Input'!$B$3:$N$3,0))</f>
        <v>0.3</v>
      </c>
      <c r="J3527" s="521">
        <f>+INDEX('Fuel Model -  Input'!$B$3:$N$373,MATCH($B3527,'Fuel Model -  Input'!$B$3:$B$373,0),MATCH(J$2,'Fuel Model -  Input'!$B$3:$N$3,0))</f>
        <v>0.3</v>
      </c>
      <c r="K3527" s="521">
        <f>+INDEX('Fuel Model -  Input'!$B$3:$N$373,MATCH($B3527,'Fuel Model -  Input'!$B$3:$B$373,0),MATCH(K$2,'Fuel Model -  Input'!$B$3:$N$3,0))</f>
        <v>0.3</v>
      </c>
      <c r="L3527" s="521">
        <f>+INDEX('Fuel Model -  Input'!$B$3:$N$373,MATCH($B3527,'Fuel Model -  Input'!$B$3:$B$373,0),MATCH(L$2,'Fuel Model -  Input'!$B$3:$N$3,0))</f>
        <v>0.3</v>
      </c>
      <c r="M3527" s="521">
        <f>+INDEX('Fuel Model -  Input'!$B$3:$N$373,MATCH($B3527,'Fuel Model -  Input'!$B$3:$B$373,0),MATCH(M$2,'Fuel Model -  Input'!$B$3:$N$3,0))</f>
        <v>0.3</v>
      </c>
    </row>
    <row r="3528" spans="2:13" hidden="1" outlineLevel="2" x14ac:dyDescent="0.2">
      <c r="B3528" t="str">
        <f>+C3528&amp;D3528&amp;E3528&amp;F3528</f>
        <v>GlobalFeedstockConversion VLSFO : FP VLSFO blendTon feedstock / ton fuel</v>
      </c>
      <c r="C3528" s="494" t="s">
        <v>109</v>
      </c>
      <c r="D3528" t="s">
        <v>777</v>
      </c>
      <c r="E3528" t="s">
        <v>1379</v>
      </c>
      <c r="F3528" s="450" t="s">
        <v>1241</v>
      </c>
      <c r="G3528" s="521">
        <f>+INDEX('Fuel Model -  Input'!$B$3:$N$373,MATCH($B3528,'Fuel Model -  Input'!$B$3:$B$373,0),MATCH(G$2,'Fuel Model -  Input'!$B$3:$N$3,0))</f>
        <v>0.7</v>
      </c>
      <c r="H3528" s="521">
        <f>+INDEX('Fuel Model -  Input'!$B$3:$N$373,MATCH($B3528,'Fuel Model -  Input'!$B$3:$B$373,0),MATCH(H$2,'Fuel Model -  Input'!$B$3:$N$3,0))</f>
        <v>0.7</v>
      </c>
      <c r="I3528" s="521">
        <f>+INDEX('Fuel Model -  Input'!$B$3:$N$373,MATCH($B3528,'Fuel Model -  Input'!$B$3:$B$373,0),MATCH(I$2,'Fuel Model -  Input'!$B$3:$N$3,0))</f>
        <v>0.7</v>
      </c>
      <c r="J3528" s="521">
        <f>+INDEX('Fuel Model -  Input'!$B$3:$N$373,MATCH($B3528,'Fuel Model -  Input'!$B$3:$B$373,0),MATCH(J$2,'Fuel Model -  Input'!$B$3:$N$3,0))</f>
        <v>0.7</v>
      </c>
      <c r="K3528" s="521">
        <f>+INDEX('Fuel Model -  Input'!$B$3:$N$373,MATCH($B3528,'Fuel Model -  Input'!$B$3:$B$373,0),MATCH(K$2,'Fuel Model -  Input'!$B$3:$N$3,0))</f>
        <v>0.7</v>
      </c>
      <c r="L3528" s="521">
        <f>+INDEX('Fuel Model -  Input'!$B$3:$N$373,MATCH($B3528,'Fuel Model -  Input'!$B$3:$B$373,0),MATCH(L$2,'Fuel Model -  Input'!$B$3:$N$3,0))</f>
        <v>0.7</v>
      </c>
      <c r="M3528" s="521">
        <f>+INDEX('Fuel Model -  Input'!$B$3:$N$373,MATCH($B3528,'Fuel Model -  Input'!$B$3:$B$373,0),MATCH(M$2,'Fuel Model -  Input'!$B$3:$N$3,0))</f>
        <v>0.7</v>
      </c>
    </row>
    <row r="3529" spans="2:13" hidden="1" outlineLevel="2" x14ac:dyDescent="0.2">
      <c r="B3529" t="str">
        <f>+C3529&amp;D3529&amp;E3529&amp;F3529</f>
        <v>AfricaResultsCost of LSFOUSD/ton</v>
      </c>
      <c r="C3529" s="494" t="str">
        <f>+$C$3345</f>
        <v>Africa</v>
      </c>
      <c r="D3529" t="s">
        <v>838</v>
      </c>
      <c r="E3529" t="s">
        <v>1135</v>
      </c>
      <c r="F3529" s="157" t="s">
        <v>205</v>
      </c>
      <c r="G3529" s="532">
        <f>+INDEX('Fuel Model -  Input'!$B$3:$N$373,MATCH($B3529,'Fuel Model -  Input'!$B$3:$B$373,0),MATCH(G$2,'Fuel Model -  Input'!$B$3:$N$3,0))</f>
        <v>884.71322310880964</v>
      </c>
      <c r="H3529" s="532">
        <f>+INDEX('Fuel Model -  Input'!$B$3:$N$373,MATCH($B3529,'Fuel Model -  Input'!$B$3:$B$373,0),MATCH(H$2,'Fuel Model -  Input'!$B$3:$N$3,0))</f>
        <v>634.68557309979826</v>
      </c>
      <c r="I3529" s="532">
        <f>+INDEX('Fuel Model -  Input'!$B$3:$N$373,MATCH($B3529,'Fuel Model -  Input'!$B$3:$B$373,0),MATCH(I$2,'Fuel Model -  Input'!$B$3:$N$3,0))</f>
        <v>553.90740925073305</v>
      </c>
      <c r="J3529" s="532">
        <f>+INDEX('Fuel Model -  Input'!$B$3:$N$373,MATCH($B3529,'Fuel Model -  Input'!$B$3:$B$373,0),MATCH(J$2,'Fuel Model -  Input'!$B$3:$N$3,0))</f>
        <v>553.90740925073305</v>
      </c>
      <c r="K3529" s="532">
        <f>+INDEX('Fuel Model -  Input'!$B$3:$N$373,MATCH($B3529,'Fuel Model -  Input'!$B$3:$B$373,0),MATCH(K$2,'Fuel Model -  Input'!$B$3:$N$3,0))</f>
        <v>553.90740925073305</v>
      </c>
      <c r="L3529" s="532">
        <f>+INDEX('Fuel Model -  Input'!$B$3:$N$373,MATCH($B3529,'Fuel Model -  Input'!$B$3:$B$373,0),MATCH(L$2,'Fuel Model -  Input'!$B$3:$N$3,0))</f>
        <v>553.90740925073305</v>
      </c>
      <c r="M3529" s="532">
        <f>+INDEX('Fuel Model -  Input'!$B$3:$N$373,MATCH($B3529,'Fuel Model -  Input'!$B$3:$B$373,0),MATCH(M$2,'Fuel Model -  Input'!$B$3:$N$3,0))</f>
        <v>553.90740925073305</v>
      </c>
    </row>
    <row r="3530" spans="2:13" hidden="1" outlineLevel="2" x14ac:dyDescent="0.2">
      <c r="C3530" s="494"/>
      <c r="E3530" s="48"/>
      <c r="F3530" s="128"/>
      <c r="G3530" s="524"/>
      <c r="H3530" s="524"/>
      <c r="I3530" s="524"/>
      <c r="J3530" s="524"/>
      <c r="K3530" s="524"/>
      <c r="L3530" s="524"/>
      <c r="M3530" s="524"/>
    </row>
    <row r="3531" spans="2:13" hidden="1" outlineLevel="2" x14ac:dyDescent="0.2">
      <c r="B3531" t="str">
        <f>+C3531&amp;D3531&amp;E3531&amp;F3531</f>
        <v>AfricaSubtotalSubtotal - cost of Pyrolisis oil blend feedstockUSD/ton FP blend oil feedstock</v>
      </c>
      <c r="C3531" s="494" t="str">
        <f>+$C$3345</f>
        <v>Africa</v>
      </c>
      <c r="D3531" t="s">
        <v>1327</v>
      </c>
      <c r="E3531" s="48" t="s">
        <v>1380</v>
      </c>
      <c r="F3531" s="128" t="s">
        <v>1381</v>
      </c>
      <c r="G3531" s="8">
        <f>+SUM(G3533,G3540,G3544,G3537)</f>
        <v>773.75801192928475</v>
      </c>
      <c r="H3531" s="8">
        <f t="shared" ref="H3531:M3531" si="2041">+SUM(H3533,H3540,H3544,H3537)</f>
        <v>561.45874077427004</v>
      </c>
      <c r="I3531" s="8">
        <f t="shared" si="2041"/>
        <v>350.42250367506273</v>
      </c>
      <c r="J3531" s="8">
        <f t="shared" si="2041"/>
        <v>350.51200209596493</v>
      </c>
      <c r="K3531" s="8">
        <f t="shared" si="2041"/>
        <v>356.1858343979016</v>
      </c>
      <c r="L3531" s="8">
        <f t="shared" si="2041"/>
        <v>361.85604058425281</v>
      </c>
      <c r="M3531" s="8">
        <f t="shared" si="2041"/>
        <v>367.59340069033595</v>
      </c>
    </row>
    <row r="3532" spans="2:13" hidden="1" outlineLevel="2" x14ac:dyDescent="0.2">
      <c r="C3532" s="494"/>
      <c r="E3532" s="48"/>
      <c r="F3532" s="128"/>
      <c r="G3532" s="8"/>
      <c r="H3532" s="8"/>
      <c r="I3532" s="8"/>
      <c r="J3532" s="8"/>
      <c r="K3532" s="8"/>
      <c r="L3532" s="8"/>
      <c r="M3532" s="8"/>
    </row>
    <row r="3533" spans="2:13" hidden="1" outlineLevel="2" x14ac:dyDescent="0.2">
      <c r="B3533" t="str">
        <f>+C3533&amp;D3533&amp;E3533&amp;F3533</f>
        <v>AfricaHTL PlantAnnual capex (Pyr blend)USD/ton oil</v>
      </c>
      <c r="C3533" s="494" t="str">
        <f>+$C$3345</f>
        <v>Africa</v>
      </c>
      <c r="D3533" t="s">
        <v>1288</v>
      </c>
      <c r="E3533" s="48" t="s">
        <v>1382</v>
      </c>
      <c r="F3533" s="128" t="s">
        <v>1349</v>
      </c>
      <c r="G3533" s="8">
        <f t="shared" ref="G3533:M3533" si="2042">G3535/G3534</f>
        <v>404.29462373442374</v>
      </c>
      <c r="H3533" s="8">
        <f t="shared" si="2042"/>
        <v>242.57677424065429</v>
      </c>
      <c r="I3533" s="8">
        <f t="shared" si="2042"/>
        <v>80.858924746884753</v>
      </c>
      <c r="J3533" s="8">
        <f t="shared" si="2042"/>
        <v>72.773032272196289</v>
      </c>
      <c r="K3533" s="8">
        <f t="shared" si="2042"/>
        <v>70.077734780633463</v>
      </c>
      <c r="L3533" s="8">
        <f t="shared" si="2042"/>
        <v>67.382437289070637</v>
      </c>
      <c r="M3533" s="8">
        <f t="shared" si="2042"/>
        <v>64.687139797507811</v>
      </c>
    </row>
    <row r="3534" spans="2:13" hidden="1" outlineLevel="2" x14ac:dyDescent="0.2">
      <c r="B3534" t="str">
        <f>+C3534&amp;D3534&amp;E3534&amp;F3534</f>
        <v>GlobalPlant capexAnnualisation factor#</v>
      </c>
      <c r="C3534" s="494" t="s">
        <v>109</v>
      </c>
      <c r="D3534" t="s">
        <v>786</v>
      </c>
      <c r="E3534" t="s">
        <v>764</v>
      </c>
      <c r="F3534" s="450" t="s">
        <v>787</v>
      </c>
      <c r="G3534" s="532">
        <f>+INDEX('Fuel Model -  Input'!$B$3:$N$373,MATCH($B3534,'Fuel Model -  Input'!$B$3:$B$373,0),MATCH(G$2,'Fuel Model -  Input'!$B$3:$N$3,0))</f>
        <v>11.32075471698113</v>
      </c>
      <c r="H3534" s="532">
        <f>+INDEX('Fuel Model -  Input'!$B$3:$N$373,MATCH($B3534,'Fuel Model -  Input'!$B$3:$B$373,0),MATCH(H$2,'Fuel Model -  Input'!$B$3:$N$3,0))</f>
        <v>11.32075471698113</v>
      </c>
      <c r="I3534" s="532">
        <f>+INDEX('Fuel Model -  Input'!$B$3:$N$373,MATCH($B3534,'Fuel Model -  Input'!$B$3:$B$373,0),MATCH(I$2,'Fuel Model -  Input'!$B$3:$N$3,0))</f>
        <v>11.32075471698113</v>
      </c>
      <c r="J3534" s="532">
        <f>+INDEX('Fuel Model -  Input'!$B$3:$N$373,MATCH($B3534,'Fuel Model -  Input'!$B$3:$B$373,0),MATCH(J$2,'Fuel Model -  Input'!$B$3:$N$3,0))</f>
        <v>11.32075471698113</v>
      </c>
      <c r="K3534" s="532">
        <f>+INDEX('Fuel Model -  Input'!$B$3:$N$373,MATCH($B3534,'Fuel Model -  Input'!$B$3:$B$373,0),MATCH(K$2,'Fuel Model -  Input'!$B$3:$N$3,0))</f>
        <v>11.32075471698113</v>
      </c>
      <c r="L3534" s="532">
        <f>+INDEX('Fuel Model -  Input'!$B$3:$N$373,MATCH($B3534,'Fuel Model -  Input'!$B$3:$B$373,0),MATCH(L$2,'Fuel Model -  Input'!$B$3:$N$3,0))</f>
        <v>11.32075471698113</v>
      </c>
      <c r="M3534" s="532">
        <f>+INDEX('Fuel Model -  Input'!$B$3:$N$373,MATCH($B3534,'Fuel Model -  Input'!$B$3:$B$373,0),MATCH(M$2,'Fuel Model -  Input'!$B$3:$N$3,0))</f>
        <v>11.32075471698113</v>
      </c>
    </row>
    <row r="3535" spans="2:13" hidden="1" outlineLevel="2" x14ac:dyDescent="0.2">
      <c r="B3535" t="str">
        <f>+C3535&amp;D3535&amp;E3535&amp;F3535</f>
        <v>GlobalCAPEXFP blend grade plantUSD/ton FP VLSFO blend capacity</v>
      </c>
      <c r="C3535" s="494" t="s">
        <v>109</v>
      </c>
      <c r="D3535" t="s">
        <v>50</v>
      </c>
      <c r="E3535" s="48" t="s">
        <v>1383</v>
      </c>
      <c r="F3535" s="128" t="s">
        <v>1384</v>
      </c>
      <c r="G3535" s="532">
        <f>+INDEX('Fuel Model -  Input'!$B$3:$N$373,MATCH($B3535,'Fuel Model -  Input'!$B$3:$B$373,0),MATCH(G$2,'Fuel Model -  Input'!$B$3:$N$3,0))</f>
        <v>4576.9202686915887</v>
      </c>
      <c r="H3535" s="532">
        <f>+INDEX('Fuel Model -  Input'!$B$3:$N$373,MATCH($B3535,'Fuel Model -  Input'!$B$3:$B$373,0),MATCH(H$2,'Fuel Model -  Input'!$B$3:$N$3,0))</f>
        <v>2746.1521612149536</v>
      </c>
      <c r="I3535" s="532">
        <f>+INDEX('Fuel Model -  Input'!$B$3:$N$373,MATCH($B3535,'Fuel Model -  Input'!$B$3:$B$373,0),MATCH(I$2,'Fuel Model -  Input'!$B$3:$N$3,0))</f>
        <v>915.38405373831779</v>
      </c>
      <c r="J3535" s="532">
        <f>+INDEX('Fuel Model -  Input'!$B$3:$N$373,MATCH($B3535,'Fuel Model -  Input'!$B$3:$B$373,0),MATCH(J$2,'Fuel Model -  Input'!$B$3:$N$3,0))</f>
        <v>823.84564836448612</v>
      </c>
      <c r="K3535" s="532">
        <f>+INDEX('Fuel Model -  Input'!$B$3:$N$373,MATCH($B3535,'Fuel Model -  Input'!$B$3:$B$373,0),MATCH(K$2,'Fuel Model -  Input'!$B$3:$N$3,0))</f>
        <v>793.33284657320883</v>
      </c>
      <c r="L3535" s="532">
        <f>+INDEX('Fuel Model -  Input'!$B$3:$N$373,MATCH($B3535,'Fuel Model -  Input'!$B$3:$B$373,0),MATCH(L$2,'Fuel Model -  Input'!$B$3:$N$3,0))</f>
        <v>762.82004478193153</v>
      </c>
      <c r="M3535" s="532">
        <f>+INDEX('Fuel Model -  Input'!$B$3:$N$373,MATCH($B3535,'Fuel Model -  Input'!$B$3:$B$373,0),MATCH(M$2,'Fuel Model -  Input'!$B$3:$N$3,0))</f>
        <v>732.30724299065434</v>
      </c>
    </row>
    <row r="3536" spans="2:13" hidden="1" outlineLevel="2" x14ac:dyDescent="0.2">
      <c r="C3536" s="494"/>
      <c r="E3536" s="48"/>
      <c r="F3536" s="128"/>
      <c r="G3536" s="524"/>
      <c r="H3536" s="524"/>
      <c r="I3536" s="524"/>
      <c r="J3536" s="524"/>
      <c r="K3536" s="524"/>
      <c r="L3536" s="524"/>
      <c r="M3536" s="524"/>
    </row>
    <row r="3537" spans="2:13" hidden="1" outlineLevel="2" x14ac:dyDescent="0.2">
      <c r="B3537" t="str">
        <f>+C3537&amp;D3537&amp;E3537&amp;F3537</f>
        <v>AfricaOpexOpexUSD/ton oil</v>
      </c>
      <c r="C3537" s="494" t="str">
        <f>+$C$3345</f>
        <v>Africa</v>
      </c>
      <c r="D3537" t="s">
        <v>219</v>
      </c>
      <c r="E3537" s="48" t="s">
        <v>219</v>
      </c>
      <c r="F3537" s="128" t="s">
        <v>1349</v>
      </c>
      <c r="G3537" s="8">
        <f t="shared" ref="G3537:M3537" si="2043">G3535*G3538</f>
        <v>145.7481389915236</v>
      </c>
      <c r="H3537" s="8">
        <f t="shared" si="2043"/>
        <v>87.448883394914176</v>
      </c>
      <c r="I3537" s="8">
        <f t="shared" si="2043"/>
        <v>29.149627798304721</v>
      </c>
      <c r="J3537" s="8">
        <f t="shared" si="2043"/>
        <v>26.234665018474253</v>
      </c>
      <c r="K3537" s="8">
        <f t="shared" si="2043"/>
        <v>25.263010758530761</v>
      </c>
      <c r="L3537" s="8">
        <f t="shared" si="2043"/>
        <v>24.29135649858727</v>
      </c>
      <c r="M3537" s="8">
        <f t="shared" si="2043"/>
        <v>23.319702238643782</v>
      </c>
    </row>
    <row r="3538" spans="2:13" hidden="1" outlineLevel="2" x14ac:dyDescent="0.2">
      <c r="B3538" t="str">
        <f>+C3538&amp;D3538&amp;E3538&amp;F3538</f>
        <v>GlobalOPEXFP blend grade plant opexUSD/ton FP VLSFO blend</v>
      </c>
      <c r="C3538" s="494" t="s">
        <v>109</v>
      </c>
      <c r="D3538" t="s">
        <v>319</v>
      </c>
      <c r="E3538" s="48" t="s">
        <v>1385</v>
      </c>
      <c r="F3538" s="128" t="s">
        <v>1386</v>
      </c>
      <c r="G3538" s="531">
        <f>INDEX('Fuel Model -  Input'!$B$3:$N$373,MATCH($B3538,'Fuel Model -  Input'!$B$3:$B$373,0),MATCH(G$2,'Fuel Model -  Input'!$B$3:$N$3,0))</f>
        <v>3.1844150746630516E-2</v>
      </c>
      <c r="H3538" s="531">
        <f>INDEX('Fuel Model -  Input'!$B$3:$N$373,MATCH($B3538,'Fuel Model -  Input'!$B$3:$B$373,0),MATCH(H$2,'Fuel Model -  Input'!$B$3:$N$3,0))</f>
        <v>3.1844150746630516E-2</v>
      </c>
      <c r="I3538" s="531">
        <f>INDEX('Fuel Model -  Input'!$B$3:$N$373,MATCH($B3538,'Fuel Model -  Input'!$B$3:$B$373,0),MATCH(I$2,'Fuel Model -  Input'!$B$3:$N$3,0))</f>
        <v>3.1844150746630516E-2</v>
      </c>
      <c r="J3538" s="531">
        <f>INDEX('Fuel Model -  Input'!$B$3:$N$373,MATCH($B3538,'Fuel Model -  Input'!$B$3:$B$373,0),MATCH(J$2,'Fuel Model -  Input'!$B$3:$N$3,0))</f>
        <v>3.1844150746630516E-2</v>
      </c>
      <c r="K3538" s="531">
        <f>INDEX('Fuel Model -  Input'!$B$3:$N$373,MATCH($B3538,'Fuel Model -  Input'!$B$3:$B$373,0),MATCH(K$2,'Fuel Model -  Input'!$B$3:$N$3,0))</f>
        <v>3.1844150746630516E-2</v>
      </c>
      <c r="L3538" s="531">
        <f>INDEX('Fuel Model -  Input'!$B$3:$N$373,MATCH($B3538,'Fuel Model -  Input'!$B$3:$B$373,0),MATCH(L$2,'Fuel Model -  Input'!$B$3:$N$3,0))</f>
        <v>3.1844150746630516E-2</v>
      </c>
      <c r="M3538" s="531">
        <f>INDEX('Fuel Model -  Input'!$B$3:$N$373,MATCH($B3538,'Fuel Model -  Input'!$B$3:$B$373,0),MATCH(M$2,'Fuel Model -  Input'!$B$3:$N$3,0))</f>
        <v>3.1844150746630516E-2</v>
      </c>
    </row>
    <row r="3539" spans="2:13" hidden="1" outlineLevel="2" x14ac:dyDescent="0.2">
      <c r="C3539" s="494"/>
      <c r="E3539" s="48"/>
      <c r="F3539" s="128"/>
      <c r="G3539" s="520"/>
      <c r="H3539" s="520"/>
      <c r="I3539" s="520"/>
      <c r="J3539" s="520"/>
      <c r="K3539" s="520"/>
      <c r="L3539" s="520"/>
      <c r="M3539" s="520"/>
    </row>
    <row r="3540" spans="2:13" hidden="1" outlineLevel="2" x14ac:dyDescent="0.2">
      <c r="B3540" t="str">
        <f>+C3540&amp;D3540&amp;E3540&amp;F3540</f>
        <v>AfricaElectricityTotal (Pyr blend)USD/ ton oil</v>
      </c>
      <c r="C3540" s="494" t="str">
        <f>+$C$3345</f>
        <v>Africa</v>
      </c>
      <c r="D3540" t="s">
        <v>54</v>
      </c>
      <c r="E3540" s="48" t="s">
        <v>1387</v>
      </c>
      <c r="F3540" s="128" t="s">
        <v>1354</v>
      </c>
      <c r="G3540" s="8">
        <f t="shared" ref="G3540:M3540" si="2044">G3542*G3541</f>
        <v>4.0333796957522532</v>
      </c>
      <c r="H3540" s="8">
        <f t="shared" si="2044"/>
        <v>2.2821675316516217</v>
      </c>
      <c r="I3540" s="8">
        <f t="shared" si="2044"/>
        <v>1.7939894233584275</v>
      </c>
      <c r="J3540" s="8">
        <f t="shared" si="2044"/>
        <v>1.521487779421796</v>
      </c>
      <c r="K3540" s="8">
        <f t="shared" si="2044"/>
        <v>1.3932257333998546</v>
      </c>
      <c r="L3540" s="8">
        <f t="shared" si="2044"/>
        <v>1.2613375717924693</v>
      </c>
      <c r="M3540" s="8">
        <f t="shared" si="2044"/>
        <v>1.1966033299170922</v>
      </c>
    </row>
    <row r="3541" spans="2:13" hidden="1" outlineLevel="2" x14ac:dyDescent="0.2">
      <c r="B3541" t="str">
        <f>+C3541&amp;D3541&amp;E3541&amp;F3541</f>
        <v>GlobalFeedstockFP blend grade plant electricity demandMWh/ton fuel</v>
      </c>
      <c r="C3541" s="494" t="s">
        <v>109</v>
      </c>
      <c r="D3541" t="s">
        <v>777</v>
      </c>
      <c r="E3541" s="48" t="s">
        <v>1367</v>
      </c>
      <c r="F3541" s="128" t="s">
        <v>1298</v>
      </c>
      <c r="G3541" s="521">
        <f>INDEX('Fuel Model -  Input'!$B$3:$N$373,MATCH($B3541,'Fuel Model -  Input'!$B$3:$B$373,0),MATCH(G$2,'Fuel Model -  Input'!$B$3:$N$3,0))</f>
        <v>5.1081730769230768E-2</v>
      </c>
      <c r="H3541" s="521">
        <f>INDEX('Fuel Model -  Input'!$B$3:$N$373,MATCH($B3541,'Fuel Model -  Input'!$B$3:$B$373,0),MATCH(H$2,'Fuel Model -  Input'!$B$3:$N$3,0))</f>
        <v>5.1081730769230768E-2</v>
      </c>
      <c r="I3541" s="521">
        <f>INDEX('Fuel Model -  Input'!$B$3:$N$373,MATCH($B3541,'Fuel Model -  Input'!$B$3:$B$373,0),MATCH(I$2,'Fuel Model -  Input'!$B$3:$N$3,0))</f>
        <v>5.1081730769230768E-2</v>
      </c>
      <c r="J3541" s="521">
        <f>INDEX('Fuel Model -  Input'!$B$3:$N$373,MATCH($B3541,'Fuel Model -  Input'!$B$3:$B$373,0),MATCH(J$2,'Fuel Model -  Input'!$B$3:$N$3,0))</f>
        <v>5.1081730769230768E-2</v>
      </c>
      <c r="K3541" s="521">
        <f>INDEX('Fuel Model -  Input'!$B$3:$N$373,MATCH($B3541,'Fuel Model -  Input'!$B$3:$B$373,0),MATCH(K$2,'Fuel Model -  Input'!$B$3:$N$3,0))</f>
        <v>5.1081730769230768E-2</v>
      </c>
      <c r="L3541" s="521">
        <f>INDEX('Fuel Model -  Input'!$B$3:$N$373,MATCH($B3541,'Fuel Model -  Input'!$B$3:$B$373,0),MATCH(L$2,'Fuel Model -  Input'!$B$3:$N$3,0))</f>
        <v>5.1081730769230768E-2</v>
      </c>
      <c r="M3541" s="521">
        <f>INDEX('Fuel Model -  Input'!$B$3:$N$373,MATCH($B3541,'Fuel Model -  Input'!$B$3:$B$373,0),MATCH(M$2,'Fuel Model -  Input'!$B$3:$N$3,0))</f>
        <v>5.1081730769230768E-2</v>
      </c>
    </row>
    <row r="3542" spans="2:13" hidden="1" outlineLevel="2" x14ac:dyDescent="0.2">
      <c r="B3542" t="str">
        <f>+C3542&amp;D3542&amp;E3542&amp;F3542</f>
        <v>AfricaFeedstockElectricityUSD/MWh</v>
      </c>
      <c r="C3542" s="494" t="str">
        <f>+$C$3345</f>
        <v>Africa</v>
      </c>
      <c r="D3542" t="s">
        <v>777</v>
      </c>
      <c r="E3542" s="48" t="s">
        <v>54</v>
      </c>
      <c r="F3542" s="128" t="s">
        <v>196</v>
      </c>
      <c r="G3542" s="521">
        <f>INDEX('Fuel Model -  Input'!$B$3:$N$373,MATCH($B3542,'Fuel Model -  Input'!$B$3:$B$373,0),MATCH(G$2,'Fuel Model -  Input'!$B$3:$N$3,0))</f>
        <v>78.959338985079413</v>
      </c>
      <c r="H3542" s="521">
        <f>INDEX('Fuel Model -  Input'!$B$3:$N$373,MATCH($B3542,'Fuel Model -  Input'!$B$3:$B$373,0),MATCH(H$2,'Fuel Model -  Input'!$B$3:$N$3,0))</f>
        <v>44.676785560803516</v>
      </c>
      <c r="I3542" s="521">
        <f>INDEX('Fuel Model -  Input'!$B$3:$N$373,MATCH($B3542,'Fuel Model -  Input'!$B$3:$B$373,0),MATCH(I$2,'Fuel Model -  Input'!$B$3:$N$3,0))</f>
        <v>35.119981181981451</v>
      </c>
      <c r="J3542" s="521">
        <f>INDEX('Fuel Model -  Input'!$B$3:$N$373,MATCH($B3542,'Fuel Model -  Input'!$B$3:$B$373,0),MATCH(J$2,'Fuel Model -  Input'!$B$3:$N$3,0))</f>
        <v>29.785360764210218</v>
      </c>
      <c r="K3542" s="521">
        <f>INDEX('Fuel Model -  Input'!$B$3:$N$373,MATCH($B3542,'Fuel Model -  Input'!$B$3:$B$373,0),MATCH(K$2,'Fuel Model -  Input'!$B$3:$N$3,0))</f>
        <v>27.274442592674799</v>
      </c>
      <c r="L3542" s="521">
        <f>INDEX('Fuel Model -  Input'!$B$3:$N$373,MATCH($B3542,'Fuel Model -  Input'!$B$3:$B$373,0),MATCH(L$2,'Fuel Model -  Input'!$B$3:$N$3,0))</f>
        <v>24.692537876031398</v>
      </c>
      <c r="M3542" s="521">
        <f>INDEX('Fuel Model -  Input'!$B$3:$N$373,MATCH($B3542,'Fuel Model -  Input'!$B$3:$B$373,0),MATCH(M$2,'Fuel Model -  Input'!$B$3:$N$3,0))</f>
        <v>23.425269893906371</v>
      </c>
    </row>
    <row r="3543" spans="2:13" hidden="1" outlineLevel="2" x14ac:dyDescent="0.2">
      <c r="C3543" s="494"/>
      <c r="E3543" s="48"/>
      <c r="F3543" s="128"/>
      <c r="G3543" s="532"/>
      <c r="H3543" s="532"/>
      <c r="I3543" s="532"/>
      <c r="J3543" s="532"/>
      <c r="K3543" s="532"/>
      <c r="L3543" s="532"/>
      <c r="M3543" s="532"/>
    </row>
    <row r="3544" spans="2:13" hidden="1" outlineLevel="2" x14ac:dyDescent="0.2">
      <c r="B3544" t="str">
        <f>+C3544&amp;D3544&amp;E3544&amp;F3544</f>
        <v>AfricaFeedstockWood biomass to pyrolysis oilUSD/ton oil</v>
      </c>
      <c r="C3544" s="494" t="str">
        <f>+$C$3345</f>
        <v>Africa</v>
      </c>
      <c r="D3544" t="s">
        <v>777</v>
      </c>
      <c r="E3544" s="48" t="s">
        <v>1360</v>
      </c>
      <c r="F3544" s="128" t="s">
        <v>1349</v>
      </c>
      <c r="G3544" s="8">
        <f t="shared" ref="G3544:M3544" si="2045">G3546*G3545</f>
        <v>219.68186950758505</v>
      </c>
      <c r="H3544" s="8">
        <f t="shared" si="2045"/>
        <v>229.15091560704991</v>
      </c>
      <c r="I3544" s="8">
        <f t="shared" si="2045"/>
        <v>238.6199617065148</v>
      </c>
      <c r="J3544" s="8">
        <f t="shared" si="2045"/>
        <v>249.98281702587263</v>
      </c>
      <c r="K3544" s="8">
        <f t="shared" si="2045"/>
        <v>259.45186312533752</v>
      </c>
      <c r="L3544" s="8">
        <f t="shared" si="2045"/>
        <v>268.92090922480241</v>
      </c>
      <c r="M3544" s="8">
        <f t="shared" si="2045"/>
        <v>278.38995532426725</v>
      </c>
    </row>
    <row r="3545" spans="2:13" hidden="1" outlineLevel="2" x14ac:dyDescent="0.2">
      <c r="B3545" t="str">
        <f>+C3545&amp;D3545&amp;E3545&amp;F3545</f>
        <v>GlobalFeedstockConversion Dry Wood biomass : FP VLSFO blendTon feedstock / ton fuel</v>
      </c>
      <c r="C3545" s="494" t="s">
        <v>109</v>
      </c>
      <c r="D3545" t="s">
        <v>777</v>
      </c>
      <c r="E3545" s="48" t="s">
        <v>1388</v>
      </c>
      <c r="F3545" s="128" t="s">
        <v>1241</v>
      </c>
      <c r="G3545" s="521">
        <f>+INDEX('Fuel Model -  Input'!$B$3:$N$373,MATCH($B3545,'Fuel Model -  Input'!$B$3:$B$373,0),MATCH(G$2,'Fuel Model -  Input'!$B$3:$N$3,0))</f>
        <v>1.8938092198929746</v>
      </c>
      <c r="H3545" s="521">
        <f>+INDEX('Fuel Model -  Input'!$B$3:$N$373,MATCH($B3545,'Fuel Model -  Input'!$B$3:$B$373,0),MATCH(H$2,'Fuel Model -  Input'!$B$3:$N$3,0))</f>
        <v>1.8938092198929746</v>
      </c>
      <c r="I3545" s="521">
        <f>+INDEX('Fuel Model -  Input'!$B$3:$N$373,MATCH($B3545,'Fuel Model -  Input'!$B$3:$B$373,0),MATCH(I$2,'Fuel Model -  Input'!$B$3:$N$3,0))</f>
        <v>1.8938092198929746</v>
      </c>
      <c r="J3545" s="521">
        <f>+INDEX('Fuel Model -  Input'!$B$3:$N$373,MATCH($B3545,'Fuel Model -  Input'!$B$3:$B$373,0),MATCH(J$2,'Fuel Model -  Input'!$B$3:$N$3,0))</f>
        <v>1.8938092198929746</v>
      </c>
      <c r="K3545" s="521">
        <f>+INDEX('Fuel Model -  Input'!$B$3:$N$373,MATCH($B3545,'Fuel Model -  Input'!$B$3:$B$373,0),MATCH(K$2,'Fuel Model -  Input'!$B$3:$N$3,0))</f>
        <v>1.8938092198929746</v>
      </c>
      <c r="L3545" s="521">
        <f>+INDEX('Fuel Model -  Input'!$B$3:$N$373,MATCH($B3545,'Fuel Model -  Input'!$B$3:$B$373,0),MATCH(L$2,'Fuel Model -  Input'!$B$3:$N$3,0))</f>
        <v>1.8938092198929746</v>
      </c>
      <c r="M3545" s="521">
        <f>+INDEX('Fuel Model -  Input'!$B$3:$N$373,MATCH($B3545,'Fuel Model -  Input'!$B$3:$B$373,0),MATCH(M$2,'Fuel Model -  Input'!$B$3:$N$3,0))</f>
        <v>1.8938092198929746</v>
      </c>
    </row>
    <row r="3546" spans="2:13" hidden="1" outlineLevel="2" x14ac:dyDescent="0.2">
      <c r="B3546" t="str">
        <f>+C3546&amp;D3546&amp;E3546&amp;F3546</f>
        <v>AfricaFeedstockCost of Wood biomassUSD/ton Wood</v>
      </c>
      <c r="C3546" s="494" t="str">
        <f>C3520</f>
        <v>Africa</v>
      </c>
      <c r="D3546" t="s">
        <v>777</v>
      </c>
      <c r="E3546" s="48" t="s">
        <v>1244</v>
      </c>
      <c r="F3546" s="128" t="s">
        <v>1245</v>
      </c>
      <c r="G3546" s="532">
        <f>+INDEX('Fuel Model -  Input'!$B$3:$N$373,MATCH($B3546,'Fuel Model -  Input'!$B$3:$B$373,0),MATCH(G$2,'Fuel Model -  Input'!$B$3:$N$3,0))</f>
        <v>116</v>
      </c>
      <c r="H3546" s="532">
        <f>+INDEX('Fuel Model -  Input'!$B$3:$N$373,MATCH($B3546,'Fuel Model -  Input'!$B$3:$B$373,0),MATCH(H$2,'Fuel Model -  Input'!$B$3:$N$3,0))</f>
        <v>121</v>
      </c>
      <c r="I3546" s="532">
        <f>+INDEX('Fuel Model -  Input'!$B$3:$N$373,MATCH($B3546,'Fuel Model -  Input'!$B$3:$B$373,0),MATCH(I$2,'Fuel Model -  Input'!$B$3:$N$3,0))</f>
        <v>126</v>
      </c>
      <c r="J3546" s="532">
        <f>+INDEX('Fuel Model -  Input'!$B$3:$N$373,MATCH($B3546,'Fuel Model -  Input'!$B$3:$B$373,0),MATCH(J$2,'Fuel Model -  Input'!$B$3:$N$3,0))</f>
        <v>132</v>
      </c>
      <c r="K3546" s="532">
        <f>+INDEX('Fuel Model -  Input'!$B$3:$N$373,MATCH($B3546,'Fuel Model -  Input'!$B$3:$B$373,0),MATCH(K$2,'Fuel Model -  Input'!$B$3:$N$3,0))</f>
        <v>137</v>
      </c>
      <c r="L3546" s="532">
        <f>+INDEX('Fuel Model -  Input'!$B$3:$N$373,MATCH($B3546,'Fuel Model -  Input'!$B$3:$B$373,0),MATCH(L$2,'Fuel Model -  Input'!$B$3:$N$3,0))</f>
        <v>142</v>
      </c>
      <c r="M3546" s="532">
        <f>+INDEX('Fuel Model -  Input'!$B$3:$N$373,MATCH($B3546,'Fuel Model -  Input'!$B$3:$B$373,0),MATCH(M$2,'Fuel Model -  Input'!$B$3:$N$3,0))</f>
        <v>147</v>
      </c>
    </row>
    <row r="3547" spans="2:13" ht="12.75" hidden="1" outlineLevel="1" x14ac:dyDescent="0.2">
      <c r="F3547"/>
    </row>
    <row r="3548" spans="2:13" ht="15" hidden="1" outlineLevel="1" x14ac:dyDescent="0.25">
      <c r="B3548" s="30" t="s">
        <v>1363</v>
      </c>
      <c r="F3548"/>
      <c r="G3548" s="9"/>
    </row>
    <row r="3549" spans="2:13" ht="15" hidden="1" outlineLevel="1" collapsed="1" x14ac:dyDescent="0.25">
      <c r="B3549" s="527" t="str">
        <f>+C3549&amp;D3549&amp;E3549&amp;F3549</f>
        <v xml:space="preserve">GlobalEmissionsWTT emission - Biodiesel (Pyr blend)tonCO2eq/ ton </v>
      </c>
      <c r="C3549" s="257" t="s">
        <v>109</v>
      </c>
      <c r="D3549" s="257" t="s">
        <v>728</v>
      </c>
      <c r="E3549" s="516" t="s">
        <v>1389</v>
      </c>
      <c r="F3549" s="539" t="s">
        <v>1016</v>
      </c>
      <c r="G3549" s="570">
        <f>+G3551*G3553+G3552*G3554</f>
        <v>-4.5728858394620486E-2</v>
      </c>
      <c r="H3549" s="570">
        <f t="shared" ref="H3549:M3549" si="2046">+H3551*H3553+H3552*H3554</f>
        <v>-5.3398785735186971E-2</v>
      </c>
      <c r="I3549" s="570">
        <f t="shared" si="2046"/>
        <v>-6.1068713075753567E-2</v>
      </c>
      <c r="J3549" s="570">
        <f t="shared" si="2046"/>
        <v>-6.8738640416320052E-2</v>
      </c>
      <c r="K3549" s="570">
        <f t="shared" si="2046"/>
        <v>-7.6408567756886647E-2</v>
      </c>
      <c r="L3549" s="570">
        <f t="shared" si="2046"/>
        <v>-8.4078495097453243E-2</v>
      </c>
      <c r="M3549" s="570">
        <f t="shared" si="2046"/>
        <v>-9.1748422438019728E-2</v>
      </c>
    </row>
    <row r="3550" spans="2:13" ht="12.75" hidden="1" outlineLevel="2" x14ac:dyDescent="0.2">
      <c r="F3550"/>
    </row>
    <row r="3551" spans="2:13" hidden="1" outlineLevel="2" x14ac:dyDescent="0.2">
      <c r="B3551" s="496" t="str">
        <f t="shared" ref="B3551:B3560" si="2047">+C3551&amp;D3551&amp;E3551&amp;F3551</f>
        <v>GlobalEmissionsWTT Emission - LSFOtonCO2eq/ ton</v>
      </c>
      <c r="C3551" s="157" t="s">
        <v>109</v>
      </c>
      <c r="D3551" s="157" t="s">
        <v>728</v>
      </c>
      <c r="E3551" s="157" t="s">
        <v>1137</v>
      </c>
      <c r="F3551" s="157" t="s">
        <v>1138</v>
      </c>
      <c r="G3551" s="567">
        <f>INDEX('Fuel Model -  Input'!$B$3:$N$373,MATCH($B3551,'Fuel Model -  Input'!$B$3:$B$373,0),MATCH(G$2,'Fuel Model -  Input'!$B$3:$N$3,0))</f>
        <v>0.65508</v>
      </c>
      <c r="H3551" s="567">
        <f>INDEX('Fuel Model -  Input'!$B$3:$N$373,MATCH($B3551,'Fuel Model -  Input'!$B$3:$B$373,0),MATCH(H$2,'Fuel Model -  Input'!$B$3:$N$3,0))</f>
        <v>0.65508</v>
      </c>
      <c r="I3551" s="567">
        <f>INDEX('Fuel Model -  Input'!$B$3:$N$373,MATCH($B3551,'Fuel Model -  Input'!$B$3:$B$373,0),MATCH(I$2,'Fuel Model -  Input'!$B$3:$N$3,0))</f>
        <v>0.65508</v>
      </c>
      <c r="J3551" s="567">
        <f>INDEX('Fuel Model -  Input'!$B$3:$N$373,MATCH($B3551,'Fuel Model -  Input'!$B$3:$B$373,0),MATCH(J$2,'Fuel Model -  Input'!$B$3:$N$3,0))</f>
        <v>0.65508</v>
      </c>
      <c r="K3551" s="567">
        <f>INDEX('Fuel Model -  Input'!$B$3:$N$373,MATCH($B3551,'Fuel Model -  Input'!$B$3:$B$373,0),MATCH(K$2,'Fuel Model -  Input'!$B$3:$N$3,0))</f>
        <v>0.65508</v>
      </c>
      <c r="L3551" s="567">
        <f>INDEX('Fuel Model -  Input'!$B$3:$N$373,MATCH($B3551,'Fuel Model -  Input'!$B$3:$B$373,0),MATCH(L$2,'Fuel Model -  Input'!$B$3:$N$3,0))</f>
        <v>0.65508</v>
      </c>
      <c r="M3551" s="567">
        <f>INDEX('Fuel Model -  Input'!$B$3:$N$373,MATCH($B3551,'Fuel Model -  Input'!$B$3:$B$373,0),MATCH(M$2,'Fuel Model -  Input'!$B$3:$N$3,0))</f>
        <v>0.65508</v>
      </c>
    </row>
    <row r="3552" spans="2:13" hidden="1" outlineLevel="2" x14ac:dyDescent="0.2">
      <c r="B3552" s="496" t="str">
        <f t="shared" si="2047"/>
        <v>GlobalFeedstockConversion FP blend grade : FP VLSFO blendTon feedstock / ton fuel</v>
      </c>
      <c r="C3552" t="s">
        <v>109</v>
      </c>
      <c r="D3552" t="s">
        <v>777</v>
      </c>
      <c r="E3552" t="s">
        <v>1378</v>
      </c>
      <c r="F3552" t="s">
        <v>1241</v>
      </c>
      <c r="G3552" s="520">
        <f>INDEX('Fuel Model -  Input'!$B$3:$N$373,MATCH($B3552,'Fuel Model -  Input'!$B$3:$B$373,0),MATCH(G$2,'Fuel Model -  Input'!$B$3:$N$3,0))</f>
        <v>0.3</v>
      </c>
      <c r="H3552" s="520">
        <f>INDEX('Fuel Model -  Input'!$B$3:$N$373,MATCH($B3552,'Fuel Model -  Input'!$B$3:$B$373,0),MATCH(H$2,'Fuel Model -  Input'!$B$3:$N$3,0))</f>
        <v>0.3</v>
      </c>
      <c r="I3552" s="520">
        <f>INDEX('Fuel Model -  Input'!$B$3:$N$373,MATCH($B3552,'Fuel Model -  Input'!$B$3:$B$373,0),MATCH(I$2,'Fuel Model -  Input'!$B$3:$N$3,0))</f>
        <v>0.3</v>
      </c>
      <c r="J3552" s="520">
        <f>INDEX('Fuel Model -  Input'!$B$3:$N$373,MATCH($B3552,'Fuel Model -  Input'!$B$3:$B$373,0),MATCH(J$2,'Fuel Model -  Input'!$B$3:$N$3,0))</f>
        <v>0.3</v>
      </c>
      <c r="K3552" s="520">
        <f>INDEX('Fuel Model -  Input'!$B$3:$N$373,MATCH($B3552,'Fuel Model -  Input'!$B$3:$B$373,0),MATCH(K$2,'Fuel Model -  Input'!$B$3:$N$3,0))</f>
        <v>0.3</v>
      </c>
      <c r="L3552" s="520">
        <f>INDEX('Fuel Model -  Input'!$B$3:$N$373,MATCH($B3552,'Fuel Model -  Input'!$B$3:$B$373,0),MATCH(L$2,'Fuel Model -  Input'!$B$3:$N$3,0))</f>
        <v>0.3</v>
      </c>
      <c r="M3552" s="520">
        <f>INDEX('Fuel Model -  Input'!$B$3:$N$373,MATCH($B3552,'Fuel Model -  Input'!$B$3:$B$373,0),MATCH(M$2,'Fuel Model -  Input'!$B$3:$N$3,0))</f>
        <v>0.3</v>
      </c>
    </row>
    <row r="3553" spans="2:13" hidden="1" outlineLevel="2" x14ac:dyDescent="0.2">
      <c r="B3553" s="496" t="str">
        <f t="shared" si="2047"/>
        <v>GlobalFeedstockConversion VLSFO : FP VLSFO blendTon feedstock / ton fuel</v>
      </c>
      <c r="C3553" t="s">
        <v>109</v>
      </c>
      <c r="D3553" t="s">
        <v>777</v>
      </c>
      <c r="E3553" t="s">
        <v>1379</v>
      </c>
      <c r="F3553" t="s">
        <v>1241</v>
      </c>
      <c r="G3553" s="520">
        <f>INDEX('Fuel Model -  Input'!$B$3:$N$373,MATCH($B3553,'Fuel Model -  Input'!$B$3:$B$373,0),MATCH(G$2,'Fuel Model -  Input'!$B$3:$N$3,0))</f>
        <v>0.7</v>
      </c>
      <c r="H3553" s="520">
        <f>INDEX('Fuel Model -  Input'!$B$3:$N$373,MATCH($B3553,'Fuel Model -  Input'!$B$3:$B$373,0),MATCH(H$2,'Fuel Model -  Input'!$B$3:$N$3,0))</f>
        <v>0.7</v>
      </c>
      <c r="I3553" s="520">
        <f>INDEX('Fuel Model -  Input'!$B$3:$N$373,MATCH($B3553,'Fuel Model -  Input'!$B$3:$B$373,0),MATCH(I$2,'Fuel Model -  Input'!$B$3:$N$3,0))</f>
        <v>0.7</v>
      </c>
      <c r="J3553" s="520">
        <f>INDEX('Fuel Model -  Input'!$B$3:$N$373,MATCH($B3553,'Fuel Model -  Input'!$B$3:$B$373,0),MATCH(J$2,'Fuel Model -  Input'!$B$3:$N$3,0))</f>
        <v>0.7</v>
      </c>
      <c r="K3553" s="520">
        <f>INDEX('Fuel Model -  Input'!$B$3:$N$373,MATCH($B3553,'Fuel Model -  Input'!$B$3:$B$373,0),MATCH(K$2,'Fuel Model -  Input'!$B$3:$N$3,0))</f>
        <v>0.7</v>
      </c>
      <c r="L3553" s="520">
        <f>INDEX('Fuel Model -  Input'!$B$3:$N$373,MATCH($B3553,'Fuel Model -  Input'!$B$3:$B$373,0),MATCH(L$2,'Fuel Model -  Input'!$B$3:$N$3,0))</f>
        <v>0.7</v>
      </c>
      <c r="M3553" s="520">
        <f>INDEX('Fuel Model -  Input'!$B$3:$N$373,MATCH($B3553,'Fuel Model -  Input'!$B$3:$B$373,0),MATCH(M$2,'Fuel Model -  Input'!$B$3:$N$3,0))</f>
        <v>0.7</v>
      </c>
    </row>
    <row r="3554" spans="2:13" ht="15" hidden="1" outlineLevel="2" x14ac:dyDescent="0.25">
      <c r="B3554" s="496" t="str">
        <f t="shared" si="2047"/>
        <v xml:space="preserve">GlobalEmissionsWTT emission - Pyrolysis oil for blendtonCO2eq/ ton </v>
      </c>
      <c r="C3554" s="157" t="s">
        <v>109</v>
      </c>
      <c r="D3554" s="157" t="s">
        <v>728</v>
      </c>
      <c r="E3554" s="157" t="s">
        <v>1390</v>
      </c>
      <c r="F3554" s="157" t="s">
        <v>1016</v>
      </c>
      <c r="G3554" s="568">
        <f>-G3555+G3556*G3557+G3558*G3560+G3559</f>
        <v>-1.6809495279820681</v>
      </c>
      <c r="H3554" s="568">
        <f t="shared" ref="H3554:M3554" si="2048">-H3555+H3556*H3557+H3558*H3560+H3559</f>
        <v>-1.7065159524506233</v>
      </c>
      <c r="I3554" s="568">
        <f t="shared" si="2048"/>
        <v>-1.7320823769191784</v>
      </c>
      <c r="J3554" s="568">
        <f t="shared" si="2048"/>
        <v>-1.7576488013877336</v>
      </c>
      <c r="K3554" s="568">
        <f t="shared" si="2048"/>
        <v>-1.7832152258562888</v>
      </c>
      <c r="L3554" s="568">
        <f t="shared" si="2048"/>
        <v>-1.8087816503248439</v>
      </c>
      <c r="M3554" s="568">
        <f t="shared" si="2048"/>
        <v>-1.8343480747933991</v>
      </c>
    </row>
    <row r="3555" spans="2:13" hidden="1" outlineLevel="2" x14ac:dyDescent="0.2">
      <c r="B3555" s="496" t="str">
        <f t="shared" si="2047"/>
        <v>GlobalTTW CO2_Biodiesel (Pyr blend)tonCO2eq/ton Pyr Oil</v>
      </c>
      <c r="C3555" s="157" t="s">
        <v>109</v>
      </c>
      <c r="D3555" s="157" t="s">
        <v>1248</v>
      </c>
      <c r="E3555" s="157" t="s">
        <v>596</v>
      </c>
      <c r="F3555" s="157" t="s">
        <v>1365</v>
      </c>
      <c r="G3555" s="567">
        <f>INDEX('Fuel Model -  Input'!$B$3:$N$373,MATCH($B3555,'Fuel Model -  Input'!$B$3:$B$373,0),MATCH(G$2,'Fuel Model -  Input'!$B$3:$N$3,0))</f>
        <v>1.8516666666666666</v>
      </c>
      <c r="H3555" s="567">
        <f>INDEX('Fuel Model -  Input'!$B$3:$N$373,MATCH($B3555,'Fuel Model -  Input'!$B$3:$B$373,0),MATCH(H$2,'Fuel Model -  Input'!$B$3:$N$3,0))</f>
        <v>1.8516666666666666</v>
      </c>
      <c r="I3555" s="567">
        <f>INDEX('Fuel Model -  Input'!$B$3:$N$373,MATCH($B3555,'Fuel Model -  Input'!$B$3:$B$373,0),MATCH(I$2,'Fuel Model -  Input'!$B$3:$N$3,0))</f>
        <v>1.8516666666666666</v>
      </c>
      <c r="J3555" s="567">
        <f>INDEX('Fuel Model -  Input'!$B$3:$N$373,MATCH($B3555,'Fuel Model -  Input'!$B$3:$B$373,0),MATCH(J$2,'Fuel Model -  Input'!$B$3:$N$3,0))</f>
        <v>1.8516666666666666</v>
      </c>
      <c r="K3555" s="567">
        <f>INDEX('Fuel Model -  Input'!$B$3:$N$373,MATCH($B3555,'Fuel Model -  Input'!$B$3:$B$373,0),MATCH(K$2,'Fuel Model -  Input'!$B$3:$N$3,0))</f>
        <v>1.8516666666666666</v>
      </c>
      <c r="L3555" s="567">
        <f>INDEX('Fuel Model -  Input'!$B$3:$N$373,MATCH($B3555,'Fuel Model -  Input'!$B$3:$B$373,0),MATCH(L$2,'Fuel Model -  Input'!$B$3:$N$3,0))</f>
        <v>1.8516666666666666</v>
      </c>
      <c r="M3555" s="567">
        <f>INDEX('Fuel Model -  Input'!$B$3:$N$373,MATCH($B3555,'Fuel Model -  Input'!$B$3:$B$373,0),MATCH(M$2,'Fuel Model -  Input'!$B$3:$N$3,0))</f>
        <v>1.8516666666666666</v>
      </c>
    </row>
    <row r="3556" spans="2:13" hidden="1" outlineLevel="2" x14ac:dyDescent="0.2">
      <c r="B3556" s="496" t="str">
        <f t="shared" si="2047"/>
        <v>GlobalCO2intensityElectricitytonCO2eq/MWH</v>
      </c>
      <c r="C3556" t="s">
        <v>109</v>
      </c>
      <c r="D3556" t="s">
        <v>927</v>
      </c>
      <c r="E3556" t="s">
        <v>54</v>
      </c>
      <c r="F3556" t="s">
        <v>937</v>
      </c>
      <c r="G3556" s="520">
        <f>INDEX('Fuel Model -  Input'!$B$3:$N$373,MATCH($B3556,'Fuel Model -  Input'!$B$3:$B$373,0),MATCH(G$2,'Fuel Model -  Input'!$B$3:$N$3,0))</f>
        <v>5.3699999999999998E-3</v>
      </c>
      <c r="H3556" s="520">
        <f>INDEX('Fuel Model -  Input'!$B$3:$N$373,MATCH($B3556,'Fuel Model -  Input'!$B$3:$B$373,0),MATCH(H$2,'Fuel Model -  Input'!$B$3:$N$3,0))</f>
        <v>5.3699999999999998E-3</v>
      </c>
      <c r="I3556" s="520">
        <f>INDEX('Fuel Model -  Input'!$B$3:$N$373,MATCH($B3556,'Fuel Model -  Input'!$B$3:$B$373,0),MATCH(I$2,'Fuel Model -  Input'!$B$3:$N$3,0))</f>
        <v>5.3699999999999998E-3</v>
      </c>
      <c r="J3556" s="520">
        <f>INDEX('Fuel Model -  Input'!$B$3:$N$373,MATCH($B3556,'Fuel Model -  Input'!$B$3:$B$373,0),MATCH(J$2,'Fuel Model -  Input'!$B$3:$N$3,0))</f>
        <v>5.3699999999999998E-3</v>
      </c>
      <c r="K3556" s="520">
        <f>INDEX('Fuel Model -  Input'!$B$3:$N$373,MATCH($B3556,'Fuel Model -  Input'!$B$3:$B$373,0),MATCH(K$2,'Fuel Model -  Input'!$B$3:$N$3,0))</f>
        <v>5.3699999999999998E-3</v>
      </c>
      <c r="L3556" s="520">
        <f>INDEX('Fuel Model -  Input'!$B$3:$N$373,MATCH($B3556,'Fuel Model -  Input'!$B$3:$B$373,0),MATCH(L$2,'Fuel Model -  Input'!$B$3:$N$3,0))</f>
        <v>5.3699999999999998E-3</v>
      </c>
      <c r="M3556" s="520">
        <f>INDEX('Fuel Model -  Input'!$B$3:$N$373,MATCH($B3556,'Fuel Model -  Input'!$B$3:$B$373,0),MATCH(M$2,'Fuel Model -  Input'!$B$3:$N$3,0))</f>
        <v>5.3699999999999998E-3</v>
      </c>
    </row>
    <row r="3557" spans="2:13" hidden="1" outlineLevel="2" x14ac:dyDescent="0.2">
      <c r="B3557" s="496" t="str">
        <f t="shared" si="2047"/>
        <v>GlobalFeedstockFP blend grade plant electricity demandMWh/ton fuel</v>
      </c>
      <c r="C3557" t="s">
        <v>109</v>
      </c>
      <c r="D3557" t="s">
        <v>777</v>
      </c>
      <c r="E3557" t="s">
        <v>1367</v>
      </c>
      <c r="F3557" t="s">
        <v>1298</v>
      </c>
      <c r="G3557" s="520">
        <f>INDEX('Fuel Model -  Input'!$B$3:$N$373,MATCH($B3557,'Fuel Model -  Input'!$B$3:$B$373,0),MATCH(G$2,'Fuel Model -  Input'!$B$3:$N$3,0))</f>
        <v>5.1081730769230768E-2</v>
      </c>
      <c r="H3557" s="520">
        <f>INDEX('Fuel Model -  Input'!$B$3:$N$373,MATCH($B3557,'Fuel Model -  Input'!$B$3:$B$373,0),MATCH(H$2,'Fuel Model -  Input'!$B$3:$N$3,0))</f>
        <v>5.1081730769230768E-2</v>
      </c>
      <c r="I3557" s="520">
        <f>INDEX('Fuel Model -  Input'!$B$3:$N$373,MATCH($B3557,'Fuel Model -  Input'!$B$3:$B$373,0),MATCH(I$2,'Fuel Model -  Input'!$B$3:$N$3,0))</f>
        <v>5.1081730769230768E-2</v>
      </c>
      <c r="J3557" s="520">
        <f>INDEX('Fuel Model -  Input'!$B$3:$N$373,MATCH($B3557,'Fuel Model -  Input'!$B$3:$B$373,0),MATCH(J$2,'Fuel Model -  Input'!$B$3:$N$3,0))</f>
        <v>5.1081730769230768E-2</v>
      </c>
      <c r="K3557" s="520">
        <f>INDEX('Fuel Model -  Input'!$B$3:$N$373,MATCH($B3557,'Fuel Model -  Input'!$B$3:$B$373,0),MATCH(K$2,'Fuel Model -  Input'!$B$3:$N$3,0))</f>
        <v>5.1081730769230768E-2</v>
      </c>
      <c r="L3557" s="520">
        <f>INDEX('Fuel Model -  Input'!$B$3:$N$373,MATCH($B3557,'Fuel Model -  Input'!$B$3:$B$373,0),MATCH(L$2,'Fuel Model -  Input'!$B$3:$N$3,0))</f>
        <v>5.1081730769230768E-2</v>
      </c>
      <c r="M3557" s="520">
        <f>INDEX('Fuel Model -  Input'!$B$3:$N$373,MATCH($B3557,'Fuel Model -  Input'!$B$3:$B$373,0),MATCH(M$2,'Fuel Model -  Input'!$B$3:$N$3,0))</f>
        <v>5.1081730769230768E-2</v>
      </c>
    </row>
    <row r="3558" spans="2:13" hidden="1" outlineLevel="2" x14ac:dyDescent="0.2">
      <c r="B3558" s="496" t="str">
        <f t="shared" si="2047"/>
        <v>GlobalFeedstockConversion Dry Wood biomass : FP VLSFO blendTon feedstock / ton fuel</v>
      </c>
      <c r="C3558" t="s">
        <v>109</v>
      </c>
      <c r="D3558" t="s">
        <v>777</v>
      </c>
      <c r="E3558" t="s">
        <v>1388</v>
      </c>
      <c r="F3558" t="s">
        <v>1241</v>
      </c>
      <c r="G3558" s="520">
        <f>INDEX('Fuel Model -  Input'!$B$3:$N$373,MATCH($B3558,'Fuel Model -  Input'!$B$3:$B$373,0),MATCH(G$2,'Fuel Model -  Input'!$B$3:$N$3,0))</f>
        <v>1.8938092198929746</v>
      </c>
      <c r="H3558" s="520">
        <f>INDEX('Fuel Model -  Input'!$B$3:$N$373,MATCH($B3558,'Fuel Model -  Input'!$B$3:$B$373,0),MATCH(H$2,'Fuel Model -  Input'!$B$3:$N$3,0))</f>
        <v>1.8938092198929746</v>
      </c>
      <c r="I3558" s="520">
        <f>INDEX('Fuel Model -  Input'!$B$3:$N$373,MATCH($B3558,'Fuel Model -  Input'!$B$3:$B$373,0),MATCH(I$2,'Fuel Model -  Input'!$B$3:$N$3,0))</f>
        <v>1.8938092198929746</v>
      </c>
      <c r="J3558" s="520">
        <f>INDEX('Fuel Model -  Input'!$B$3:$N$373,MATCH($B3558,'Fuel Model -  Input'!$B$3:$B$373,0),MATCH(J$2,'Fuel Model -  Input'!$B$3:$N$3,0))</f>
        <v>1.8938092198929746</v>
      </c>
      <c r="K3558" s="520">
        <f>INDEX('Fuel Model -  Input'!$B$3:$N$373,MATCH($B3558,'Fuel Model -  Input'!$B$3:$B$373,0),MATCH(K$2,'Fuel Model -  Input'!$B$3:$N$3,0))</f>
        <v>1.8938092198929746</v>
      </c>
      <c r="L3558" s="520">
        <f>INDEX('Fuel Model -  Input'!$B$3:$N$373,MATCH($B3558,'Fuel Model -  Input'!$B$3:$B$373,0),MATCH(L$2,'Fuel Model -  Input'!$B$3:$N$3,0))</f>
        <v>1.8938092198929746</v>
      </c>
      <c r="M3558" s="520">
        <f>INDEX('Fuel Model -  Input'!$B$3:$N$373,MATCH($B3558,'Fuel Model -  Input'!$B$3:$B$373,0),MATCH(M$2,'Fuel Model -  Input'!$B$3:$N$3,0))</f>
        <v>1.8938092198929746</v>
      </c>
    </row>
    <row r="3559" spans="2:13" hidden="1" outlineLevel="2" x14ac:dyDescent="0.2">
      <c r="B3559" s="496" t="str">
        <f t="shared" si="2047"/>
        <v>GlobalCO2intensityFP processtonCO2eq/ton FP oil</v>
      </c>
      <c r="C3559" t="s">
        <v>109</v>
      </c>
      <c r="D3559" s="86" t="s">
        <v>927</v>
      </c>
      <c r="E3559" s="86" t="s">
        <v>1368</v>
      </c>
      <c r="F3559" t="s">
        <v>1369</v>
      </c>
      <c r="G3559" s="520">
        <f>INDEX('Fuel Model -  Input'!$B$3:$N$373,MATCH($B3559,'Fuel Model -  Input'!$B$3:$B$373,0),MATCH(G$2,'Fuel Model -  Input'!$B$3:$N$3,0))</f>
        <v>0</v>
      </c>
      <c r="H3559" s="520">
        <f>INDEX('Fuel Model -  Input'!$B$3:$N$373,MATCH($B3559,'Fuel Model -  Input'!$B$3:$B$373,0),MATCH(H$2,'Fuel Model -  Input'!$B$3:$N$3,0))</f>
        <v>0</v>
      </c>
      <c r="I3559" s="520">
        <f>INDEX('Fuel Model -  Input'!$B$3:$N$373,MATCH($B3559,'Fuel Model -  Input'!$B$3:$B$373,0),MATCH(I$2,'Fuel Model -  Input'!$B$3:$N$3,0))</f>
        <v>0</v>
      </c>
      <c r="J3559" s="520">
        <f>INDEX('Fuel Model -  Input'!$B$3:$N$373,MATCH($B3559,'Fuel Model -  Input'!$B$3:$B$373,0),MATCH(J$2,'Fuel Model -  Input'!$B$3:$N$3,0))</f>
        <v>0</v>
      </c>
      <c r="K3559" s="520">
        <f>INDEX('Fuel Model -  Input'!$B$3:$N$373,MATCH($B3559,'Fuel Model -  Input'!$B$3:$B$373,0),MATCH(K$2,'Fuel Model -  Input'!$B$3:$N$3,0))</f>
        <v>0</v>
      </c>
      <c r="L3559" s="520">
        <f>INDEX('Fuel Model -  Input'!$B$3:$N$373,MATCH($B3559,'Fuel Model -  Input'!$B$3:$B$373,0),MATCH(L$2,'Fuel Model -  Input'!$B$3:$N$3,0))</f>
        <v>0</v>
      </c>
      <c r="M3559" s="520">
        <f>INDEX('Fuel Model -  Input'!$B$3:$N$373,MATCH($B3559,'Fuel Model -  Input'!$B$3:$B$373,0),MATCH(M$2,'Fuel Model -  Input'!$B$3:$N$3,0))</f>
        <v>0</v>
      </c>
    </row>
    <row r="3560" spans="2:13" hidden="1" outlineLevel="2" x14ac:dyDescent="0.2">
      <c r="B3560" s="496" t="str">
        <f t="shared" si="2047"/>
        <v>GlobalCO2intensityWTT Wood biomasstonCO2eq/ton</v>
      </c>
      <c r="C3560" t="s">
        <v>109</v>
      </c>
      <c r="D3560" s="530" t="s">
        <v>927</v>
      </c>
      <c r="E3560" s="530" t="s">
        <v>1253</v>
      </c>
      <c r="F3560" s="157" t="s">
        <v>1252</v>
      </c>
      <c r="G3560" s="520">
        <f>INDEX('Fuel Model -  Input'!$B$3:$N$373,MATCH($B3560,'Fuel Model -  Input'!$B$3:$B$373,0),MATCH(G$2,'Fuel Model -  Input'!$B$3:$N$3,0))</f>
        <v>0.09</v>
      </c>
      <c r="H3560" s="520">
        <f>INDEX('Fuel Model -  Input'!$B$3:$N$373,MATCH($B3560,'Fuel Model -  Input'!$B$3:$B$373,0),MATCH(H$2,'Fuel Model -  Input'!$B$3:$N$3,0))</f>
        <v>7.6499999999999999E-2</v>
      </c>
      <c r="I3560" s="520">
        <f>INDEX('Fuel Model -  Input'!$B$3:$N$373,MATCH($B3560,'Fuel Model -  Input'!$B$3:$B$373,0),MATCH(I$2,'Fuel Model -  Input'!$B$3:$N$3,0))</f>
        <v>6.3E-2</v>
      </c>
      <c r="J3560" s="520">
        <f>INDEX('Fuel Model -  Input'!$B$3:$N$373,MATCH($B3560,'Fuel Model -  Input'!$B$3:$B$373,0),MATCH(J$2,'Fuel Model -  Input'!$B$3:$N$3,0))</f>
        <v>4.9499999999999995E-2</v>
      </c>
      <c r="K3560" s="520">
        <f>INDEX('Fuel Model -  Input'!$B$3:$N$373,MATCH($B3560,'Fuel Model -  Input'!$B$3:$B$373,0),MATCH(K$2,'Fuel Model -  Input'!$B$3:$N$3,0))</f>
        <v>3.599999999999999E-2</v>
      </c>
      <c r="L3560" s="520">
        <f>INDEX('Fuel Model -  Input'!$B$3:$N$373,MATCH($B3560,'Fuel Model -  Input'!$B$3:$B$373,0),MATCH(L$2,'Fuel Model -  Input'!$B$3:$N$3,0))</f>
        <v>2.2499999999999992E-2</v>
      </c>
      <c r="M3560" s="520">
        <f>INDEX('Fuel Model -  Input'!$B$3:$N$373,MATCH($B3560,'Fuel Model -  Input'!$B$3:$B$373,0),MATCH(M$2,'Fuel Model -  Input'!$B$3:$N$3,0))</f>
        <v>8.9999999999999993E-3</v>
      </c>
    </row>
    <row r="3561" spans="2:13" ht="12.75" hidden="1" outlineLevel="1" x14ac:dyDescent="0.2">
      <c r="F3561"/>
    </row>
    <row r="3562" spans="2:13" ht="15" hidden="1" outlineLevel="1" x14ac:dyDescent="0.25">
      <c r="B3562" s="30" t="s">
        <v>1370</v>
      </c>
      <c r="F3562"/>
    </row>
    <row r="3563" spans="2:13" ht="15" hidden="1" outlineLevel="1" collapsed="1" x14ac:dyDescent="0.25">
      <c r="B3563" s="541" t="str">
        <f>+C3563&amp;D3563&amp;E3563&amp;F3563</f>
        <v>GlobalResultsAverage Primary EE of Biodiesel (Pyr blend)%</v>
      </c>
      <c r="C3563" s="516" t="s">
        <v>109</v>
      </c>
      <c r="D3563" s="516" t="s">
        <v>838</v>
      </c>
      <c r="E3563" s="516" t="s">
        <v>1391</v>
      </c>
      <c r="F3563" s="512" t="s">
        <v>178</v>
      </c>
      <c r="G3563" s="569">
        <v>0</v>
      </c>
      <c r="H3563" s="569">
        <v>0</v>
      </c>
      <c r="I3563" s="569">
        <v>0</v>
      </c>
      <c r="J3563" s="569">
        <v>0</v>
      </c>
      <c r="K3563" s="569">
        <v>0</v>
      </c>
      <c r="L3563" s="569">
        <v>0</v>
      </c>
      <c r="M3563" s="569">
        <v>0</v>
      </c>
    </row>
    <row r="3564" spans="2:13" hidden="1" outlineLevel="2" x14ac:dyDescent="0.2">
      <c r="B3564" s="496"/>
      <c r="C3564" s="157"/>
      <c r="D3564" s="157"/>
      <c r="E3564" s="157"/>
      <c r="G3564" s="530"/>
      <c r="H3564" s="530"/>
      <c r="I3564" s="530"/>
      <c r="J3564" s="530"/>
      <c r="K3564" s="530"/>
      <c r="L3564" s="530"/>
      <c r="M3564" s="530"/>
    </row>
    <row r="3565" spans="2:13" hidden="1" outlineLevel="2" x14ac:dyDescent="0.2">
      <c r="B3565" s="496" t="str">
        <f>+C3565&amp;D3565&amp;E3565&amp;F3565</f>
        <v>GlobalLHVLHV dry wood BiomassMJ/ ton</v>
      </c>
      <c r="C3565" s="157" t="s">
        <v>109</v>
      </c>
      <c r="D3565" s="157" t="s">
        <v>582</v>
      </c>
      <c r="E3565" s="157" t="s">
        <v>1256</v>
      </c>
      <c r="F3565" s="157" t="s">
        <v>583</v>
      </c>
      <c r="G3565" s="499">
        <f>+INDEX('Fuel Model -  Input'!$B$3:$N$373,MATCH($B3565,'Fuel Model -  Input'!$B$3:$B$373,0),MATCH(G$2,'Fuel Model -  Input'!$B$3:$N$3,0))</f>
        <v>21500</v>
      </c>
      <c r="H3565" s="499">
        <f>+INDEX('Fuel Model -  Input'!$B$3:$N$373,MATCH($B3565,'Fuel Model -  Input'!$B$3:$B$373,0),MATCH(H$2,'Fuel Model -  Input'!$B$3:$N$3,0))</f>
        <v>21500</v>
      </c>
      <c r="I3565" s="499">
        <f>+INDEX('Fuel Model -  Input'!$B$3:$N$373,MATCH($B3565,'Fuel Model -  Input'!$B$3:$B$373,0),MATCH(I$2,'Fuel Model -  Input'!$B$3:$N$3,0))</f>
        <v>21500</v>
      </c>
      <c r="J3565" s="499">
        <f>+INDEX('Fuel Model -  Input'!$B$3:$N$373,MATCH($B3565,'Fuel Model -  Input'!$B$3:$B$373,0),MATCH(J$2,'Fuel Model -  Input'!$B$3:$N$3,0))</f>
        <v>21500</v>
      </c>
      <c r="K3565" s="499">
        <f>+INDEX('Fuel Model -  Input'!$B$3:$N$373,MATCH($B3565,'Fuel Model -  Input'!$B$3:$B$373,0),MATCH(K$2,'Fuel Model -  Input'!$B$3:$N$3,0))</f>
        <v>21500</v>
      </c>
      <c r="L3565" s="499">
        <f>+INDEX('Fuel Model -  Input'!$B$3:$N$373,MATCH($B3565,'Fuel Model -  Input'!$B$3:$B$373,0),MATCH(L$2,'Fuel Model -  Input'!$B$3:$N$3,0))</f>
        <v>21500</v>
      </c>
      <c r="M3565" s="499">
        <f>+INDEX('Fuel Model -  Input'!$B$3:$N$373,MATCH($B3565,'Fuel Model -  Input'!$B$3:$B$373,0),MATCH(M$2,'Fuel Model -  Input'!$B$3:$N$3,0))</f>
        <v>21500</v>
      </c>
    </row>
    <row r="3566" spans="2:13" hidden="1" outlineLevel="2" x14ac:dyDescent="0.2">
      <c r="B3566" s="496" t="str">
        <f>+C3566&amp;D3566&amp;E3566&amp;F3566</f>
        <v>GlobalLHVBiodiesel (Pyr blend)MJ/ ton</v>
      </c>
      <c r="C3566" t="s">
        <v>109</v>
      </c>
      <c r="D3566" t="s">
        <v>582</v>
      </c>
      <c r="E3566" t="s">
        <v>596</v>
      </c>
      <c r="F3566" t="s">
        <v>583</v>
      </c>
      <c r="G3566" s="499">
        <f>+INDEX('Fuel Model -  Input'!$B$3:$N$373,MATCH($B3566,'Fuel Model -  Input'!$B$3:$B$373,0),MATCH(G$2,'Fuel Model -  Input'!$B$3:$N$3,0))</f>
        <v>34280</v>
      </c>
      <c r="H3566" s="499">
        <f>+INDEX('Fuel Model -  Input'!$B$3:$N$373,MATCH($B3566,'Fuel Model -  Input'!$B$3:$B$373,0),MATCH(H$2,'Fuel Model -  Input'!$B$3:$N$3,0))</f>
        <v>34280</v>
      </c>
      <c r="I3566" s="499">
        <f>+INDEX('Fuel Model -  Input'!$B$3:$N$373,MATCH($B3566,'Fuel Model -  Input'!$B$3:$B$373,0),MATCH(I$2,'Fuel Model -  Input'!$B$3:$N$3,0))</f>
        <v>34280</v>
      </c>
      <c r="J3566" s="499">
        <f>+INDEX('Fuel Model -  Input'!$B$3:$N$373,MATCH($B3566,'Fuel Model -  Input'!$B$3:$B$373,0),MATCH(J$2,'Fuel Model -  Input'!$B$3:$N$3,0))</f>
        <v>34280</v>
      </c>
      <c r="K3566" s="499">
        <f>+INDEX('Fuel Model -  Input'!$B$3:$N$373,MATCH($B3566,'Fuel Model -  Input'!$B$3:$B$373,0),MATCH(K$2,'Fuel Model -  Input'!$B$3:$N$3,0))</f>
        <v>34280</v>
      </c>
      <c r="L3566" s="499">
        <f>+INDEX('Fuel Model -  Input'!$B$3:$N$373,MATCH($B3566,'Fuel Model -  Input'!$B$3:$B$373,0),MATCH(L$2,'Fuel Model -  Input'!$B$3:$N$3,0))</f>
        <v>34280</v>
      </c>
      <c r="M3566" s="499">
        <f>+INDEX('Fuel Model -  Input'!$B$3:$N$373,MATCH($B3566,'Fuel Model -  Input'!$B$3:$B$373,0),MATCH(M$2,'Fuel Model -  Input'!$B$3:$N$3,0))</f>
        <v>34280</v>
      </c>
    </row>
    <row r="3567" spans="2:13" ht="12.75" hidden="1" outlineLevel="1" x14ac:dyDescent="0.2">
      <c r="F3567"/>
    </row>
  </sheetData>
  <sheetProtection selectLockedCells="1" selectUnlockedCells="1"/>
  <sortState xmlns:xlrd2="http://schemas.microsoft.com/office/spreadsheetml/2017/richdata2" ref="A2029:Y2034">
    <sortCondition ref="B2029:B2034"/>
  </sortState>
  <pageMargins left="0.7" right="0.7" top="0.75" bottom="0.75" header="0.3" footer="0.3"/>
  <pageSetup paperSize="9" orientation="portrait" verticalDpi="4294967295" r:id="rId1"/>
  <headerFooter>
    <oddFooter>&amp;C_x000D_&amp;1#&amp;"Calibri"&amp;10&amp;K000000 Business External</oddFooter>
  </headerFooter>
  <ignoredErrors>
    <ignoredError sqref="G2315" formula="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97B9D-1E75-40AB-9E4B-5D929291447C}">
  <sheetPr codeName="Sheet37">
    <tabColor theme="2"/>
  </sheetPr>
  <dimension ref="A1:X373"/>
  <sheetViews>
    <sheetView showGridLines="0" topLeftCell="C1" zoomScale="115" zoomScaleNormal="115" workbookViewId="0"/>
  </sheetViews>
  <sheetFormatPr defaultColWidth="0" defaultRowHeight="12.75" outlineLevelRow="3" outlineLevelCol="1" x14ac:dyDescent="0.2"/>
  <cols>
    <col min="1" max="1" width="2.85546875" hidden="1" customWidth="1" outlineLevel="1"/>
    <col min="2" max="2" width="68.42578125" hidden="1" customWidth="1" outlineLevel="1"/>
    <col min="3" max="3" width="3" customWidth="1" collapsed="1"/>
    <col min="4" max="4" width="12.5703125" customWidth="1"/>
    <col min="5" max="5" width="16" customWidth="1"/>
    <col min="6" max="6" width="37.42578125" customWidth="1"/>
    <col min="7" max="7" width="18.85546875" style="15" customWidth="1"/>
    <col min="8" max="14" width="12.42578125" customWidth="1"/>
    <col min="15" max="15" width="3.5703125" customWidth="1"/>
    <col min="16" max="17" width="12.7109375" customWidth="1"/>
    <col min="18" max="18" width="11.5703125" hidden="1" customWidth="1"/>
    <col min="19" max="24" width="0" hidden="1" customWidth="1"/>
    <col min="25" max="16384" width="11.5703125" hidden="1"/>
  </cols>
  <sheetData>
    <row r="1" spans="2:14" ht="13.5" thickBot="1" x14ac:dyDescent="0.25">
      <c r="B1" s="383"/>
      <c r="C1" s="571"/>
    </row>
    <row r="2" spans="2:14" x14ac:dyDescent="0.2">
      <c r="B2" s="572"/>
      <c r="D2" s="573" t="s">
        <v>657</v>
      </c>
      <c r="E2" s="574"/>
      <c r="F2" s="574"/>
      <c r="G2" s="574"/>
      <c r="H2" s="574"/>
      <c r="I2" s="574"/>
      <c r="J2" s="574"/>
      <c r="K2" s="574"/>
      <c r="L2" s="574"/>
      <c r="M2" s="574"/>
      <c r="N2" s="575"/>
    </row>
    <row r="3" spans="2:14" ht="13.5" thickBot="1" x14ac:dyDescent="0.25">
      <c r="B3" s="576" t="s">
        <v>1392</v>
      </c>
      <c r="C3" s="577"/>
      <c r="D3" s="578" t="s">
        <v>722</v>
      </c>
      <c r="E3" s="579" t="s">
        <v>43</v>
      </c>
      <c r="F3" s="579" t="s">
        <v>208</v>
      </c>
      <c r="G3" s="579" t="s">
        <v>86</v>
      </c>
      <c r="H3" s="579">
        <v>2020</v>
      </c>
      <c r="I3" s="579">
        <v>2025</v>
      </c>
      <c r="J3" s="579">
        <v>2030</v>
      </c>
      <c r="K3" s="579">
        <v>2035</v>
      </c>
      <c r="L3" s="579">
        <v>2040</v>
      </c>
      <c r="M3" s="579">
        <v>2045</v>
      </c>
      <c r="N3" s="576">
        <v>2050</v>
      </c>
    </row>
    <row r="4" spans="2:14" ht="13.5" thickBot="1" x14ac:dyDescent="0.25">
      <c r="D4" s="24"/>
    </row>
    <row r="5" spans="2:14" ht="13.5" thickBot="1" x14ac:dyDescent="0.25">
      <c r="B5" s="580" t="s">
        <v>173</v>
      </c>
      <c r="C5" s="577"/>
      <c r="D5" s="581" t="str">
        <f>+B5</f>
        <v>General</v>
      </c>
      <c r="E5" s="582"/>
      <c r="F5" s="582"/>
      <c r="G5" s="582"/>
      <c r="H5" s="583">
        <f>+H$3</f>
        <v>2020</v>
      </c>
      <c r="I5" s="583">
        <f t="shared" ref="I5:N5" si="0">+I$3</f>
        <v>2025</v>
      </c>
      <c r="J5" s="583">
        <f t="shared" si="0"/>
        <v>2030</v>
      </c>
      <c r="K5" s="583">
        <f t="shared" si="0"/>
        <v>2035</v>
      </c>
      <c r="L5" s="583">
        <f t="shared" si="0"/>
        <v>2040</v>
      </c>
      <c r="M5" s="583">
        <f t="shared" si="0"/>
        <v>2045</v>
      </c>
      <c r="N5" s="584">
        <f t="shared" si="0"/>
        <v>2050</v>
      </c>
    </row>
    <row r="6" spans="2:14" hidden="1" outlineLevel="2" x14ac:dyDescent="0.2">
      <c r="B6" t="str">
        <f t="shared" ref="B6:B12" si="1">+D6&amp;E6&amp;F6&amp;G6</f>
        <v>GlobalGeneralLifetimeyears</v>
      </c>
      <c r="D6" t="s">
        <v>109</v>
      </c>
      <c r="E6" t="s">
        <v>173</v>
      </c>
      <c r="F6" t="s">
        <v>520</v>
      </c>
      <c r="G6" s="15" t="s">
        <v>176</v>
      </c>
      <c r="H6" s="351">
        <f>'Main Assumptions'!$D5</f>
        <v>30</v>
      </c>
      <c r="I6" s="21">
        <f>H6</f>
        <v>30</v>
      </c>
      <c r="J6" s="21">
        <f t="shared" ref="J6:N6" si="2">I6</f>
        <v>30</v>
      </c>
      <c r="K6" s="21">
        <f t="shared" si="2"/>
        <v>30</v>
      </c>
      <c r="L6" s="21">
        <f t="shared" si="2"/>
        <v>30</v>
      </c>
      <c r="M6" s="21">
        <f t="shared" si="2"/>
        <v>30</v>
      </c>
      <c r="N6" s="21">
        <f t="shared" si="2"/>
        <v>30</v>
      </c>
    </row>
    <row r="7" spans="2:14" hidden="1" outlineLevel="2" x14ac:dyDescent="0.2">
      <c r="B7" t="str">
        <f t="shared" si="1"/>
        <v>GlobalGeneralCost of equity%</v>
      </c>
      <c r="D7" t="s">
        <v>109</v>
      </c>
      <c r="E7" t="s">
        <v>173</v>
      </c>
      <c r="F7" t="s">
        <v>177</v>
      </c>
      <c r="G7" s="15" t="s">
        <v>178</v>
      </c>
      <c r="H7" s="352">
        <f>'Main Assumptions'!$D6</f>
        <v>0.1</v>
      </c>
      <c r="I7" s="65">
        <f t="shared" ref="I7:N7" si="3">H7</f>
        <v>0.1</v>
      </c>
      <c r="J7" s="65">
        <f t="shared" si="3"/>
        <v>0.1</v>
      </c>
      <c r="K7" s="65">
        <f t="shared" si="3"/>
        <v>0.1</v>
      </c>
      <c r="L7" s="65">
        <f t="shared" si="3"/>
        <v>0.1</v>
      </c>
      <c r="M7" s="65">
        <f t="shared" si="3"/>
        <v>0.1</v>
      </c>
      <c r="N7" s="65">
        <f t="shared" si="3"/>
        <v>0.1</v>
      </c>
    </row>
    <row r="8" spans="2:14" hidden="1" outlineLevel="2" x14ac:dyDescent="0.2">
      <c r="B8" t="str">
        <f t="shared" si="1"/>
        <v>GlobalGeneralCost of debt%</v>
      </c>
      <c r="D8" t="s">
        <v>109</v>
      </c>
      <c r="E8" t="s">
        <v>173</v>
      </c>
      <c r="F8" t="s">
        <v>179</v>
      </c>
      <c r="G8" s="15" t="s">
        <v>178</v>
      </c>
      <c r="H8" s="352">
        <f>'Main Assumptions'!$D7</f>
        <v>0.05</v>
      </c>
      <c r="I8" s="65">
        <f t="shared" ref="I8:N8" si="4">H8</f>
        <v>0.05</v>
      </c>
      <c r="J8" s="65">
        <f t="shared" si="4"/>
        <v>0.05</v>
      </c>
      <c r="K8" s="65">
        <f t="shared" si="4"/>
        <v>0.05</v>
      </c>
      <c r="L8" s="65">
        <f t="shared" si="4"/>
        <v>0.05</v>
      </c>
      <c r="M8" s="65">
        <f t="shared" si="4"/>
        <v>0.05</v>
      </c>
      <c r="N8" s="65">
        <f t="shared" si="4"/>
        <v>0.05</v>
      </c>
    </row>
    <row r="9" spans="2:14" hidden="1" outlineLevel="2" x14ac:dyDescent="0.2">
      <c r="B9" t="str">
        <f t="shared" si="1"/>
        <v>GlobalGeneralShare of debt%</v>
      </c>
      <c r="D9" t="s">
        <v>109</v>
      </c>
      <c r="E9" t="s">
        <v>173</v>
      </c>
      <c r="F9" t="s">
        <v>180</v>
      </c>
      <c r="G9" s="15" t="s">
        <v>178</v>
      </c>
      <c r="H9" s="352">
        <f>'Main Assumptions'!$D8</f>
        <v>0.6</v>
      </c>
      <c r="I9" s="65">
        <f t="shared" ref="I9:N9" si="5">H9</f>
        <v>0.6</v>
      </c>
      <c r="J9" s="65">
        <f t="shared" si="5"/>
        <v>0.6</v>
      </c>
      <c r="K9" s="65">
        <f t="shared" si="5"/>
        <v>0.6</v>
      </c>
      <c r="L9" s="65">
        <f t="shared" si="5"/>
        <v>0.6</v>
      </c>
      <c r="M9" s="65">
        <f t="shared" si="5"/>
        <v>0.6</v>
      </c>
      <c r="N9" s="65">
        <f t="shared" si="5"/>
        <v>0.6</v>
      </c>
    </row>
    <row r="10" spans="2:14" hidden="1" outlineLevel="2" x14ac:dyDescent="0.2">
      <c r="B10" t="str">
        <f t="shared" si="1"/>
        <v>GlobalGeneralCost of capital (non-adjusted)%</v>
      </c>
      <c r="D10" t="s">
        <v>109</v>
      </c>
      <c r="E10" t="s">
        <v>173</v>
      </c>
      <c r="F10" t="s">
        <v>1393</v>
      </c>
      <c r="G10" s="15" t="s">
        <v>178</v>
      </c>
      <c r="H10" s="352">
        <f>+H8*H9+H7*(1-H9)</f>
        <v>7.0000000000000007E-2</v>
      </c>
      <c r="I10" s="65">
        <f t="shared" ref="I10:N10" si="6">H10</f>
        <v>7.0000000000000007E-2</v>
      </c>
      <c r="J10" s="65">
        <f t="shared" si="6"/>
        <v>7.0000000000000007E-2</v>
      </c>
      <c r="K10" s="65">
        <f t="shared" si="6"/>
        <v>7.0000000000000007E-2</v>
      </c>
      <c r="L10" s="65">
        <f t="shared" si="6"/>
        <v>7.0000000000000007E-2</v>
      </c>
      <c r="M10" s="65">
        <f t="shared" si="6"/>
        <v>7.0000000000000007E-2</v>
      </c>
      <c r="N10" s="65">
        <f t="shared" si="6"/>
        <v>7.0000000000000007E-2</v>
      </c>
    </row>
    <row r="11" spans="2:14" hidden="1" outlineLevel="2" x14ac:dyDescent="0.2">
      <c r="B11" t="str">
        <f t="shared" si="1"/>
        <v>GlobalGeneralCost of capital%</v>
      </c>
      <c r="D11" t="s">
        <v>109</v>
      </c>
      <c r="E11" t="s">
        <v>173</v>
      </c>
      <c r="F11" t="s">
        <v>214</v>
      </c>
      <c r="G11" s="15" t="s">
        <v>178</v>
      </c>
      <c r="H11" s="359">
        <f>+H8*H9/2+H7*(1-H9)</f>
        <v>5.5000000000000007E-2</v>
      </c>
      <c r="I11" s="71">
        <f t="shared" ref="I11:N11" si="7">H11</f>
        <v>5.5000000000000007E-2</v>
      </c>
      <c r="J11" s="71">
        <f t="shared" si="7"/>
        <v>5.5000000000000007E-2</v>
      </c>
      <c r="K11" s="71">
        <f t="shared" si="7"/>
        <v>5.5000000000000007E-2</v>
      </c>
      <c r="L11" s="71">
        <f t="shared" si="7"/>
        <v>5.5000000000000007E-2</v>
      </c>
      <c r="M11" s="71">
        <f t="shared" si="7"/>
        <v>5.5000000000000007E-2</v>
      </c>
      <c r="N11" s="71">
        <f t="shared" si="7"/>
        <v>5.5000000000000007E-2</v>
      </c>
    </row>
    <row r="12" spans="2:14" hidden="1" outlineLevel="2" x14ac:dyDescent="0.2">
      <c r="B12" t="str">
        <f t="shared" si="1"/>
        <v>GlobalPlant capexAnnualisation factor#</v>
      </c>
      <c r="D12" t="s">
        <v>109</v>
      </c>
      <c r="E12" t="s">
        <v>786</v>
      </c>
      <c r="F12" t="s">
        <v>764</v>
      </c>
      <c r="G12" s="15" t="s">
        <v>787</v>
      </c>
      <c r="H12" s="25">
        <f>1/(1/H6+H11)</f>
        <v>11.32075471698113</v>
      </c>
      <c r="I12" s="25">
        <f t="shared" ref="I12:N12" si="8">H12</f>
        <v>11.32075471698113</v>
      </c>
      <c r="J12" s="25">
        <f t="shared" si="8"/>
        <v>11.32075471698113</v>
      </c>
      <c r="K12" s="25">
        <f t="shared" si="8"/>
        <v>11.32075471698113</v>
      </c>
      <c r="L12" s="25">
        <f t="shared" si="8"/>
        <v>11.32075471698113</v>
      </c>
      <c r="M12" s="25">
        <f t="shared" si="8"/>
        <v>11.32075471698113</v>
      </c>
      <c r="N12" s="25">
        <f t="shared" si="8"/>
        <v>11.32075471698113</v>
      </c>
    </row>
    <row r="13" spans="2:14" hidden="1" outlineLevel="1" collapsed="1" x14ac:dyDescent="0.2">
      <c r="H13" s="65"/>
      <c r="I13" s="6"/>
      <c r="J13" s="6"/>
      <c r="K13" s="6"/>
      <c r="L13" s="6"/>
      <c r="M13" s="6"/>
      <c r="N13" s="6"/>
    </row>
    <row r="14" spans="2:14" hidden="1" outlineLevel="1" x14ac:dyDescent="0.2">
      <c r="B14" s="266" t="s">
        <v>1394</v>
      </c>
      <c r="D14" s="266" t="str">
        <f>+B14</f>
        <v>Lower Heating Values</v>
      </c>
      <c r="H14" s="6"/>
      <c r="I14" s="6"/>
      <c r="J14" s="6"/>
      <c r="K14" s="6"/>
      <c r="L14" s="6"/>
      <c r="M14" s="6"/>
      <c r="N14" s="6"/>
    </row>
    <row r="15" spans="2:14" hidden="1" outlineLevel="2" x14ac:dyDescent="0.2">
      <c r="B15" t="str">
        <f t="shared" ref="B15:B44" si="9">+D15&amp;E15&amp;F15&amp;G15</f>
        <v>GlobalLHVe-Hydrogen (liquid)MJ/ ton</v>
      </c>
      <c r="D15" t="s">
        <v>109</v>
      </c>
      <c r="E15" t="s">
        <v>582</v>
      </c>
      <c r="F15" t="s">
        <v>585</v>
      </c>
      <c r="G15" s="15" t="s">
        <v>583</v>
      </c>
      <c r="H15" s="585">
        <v>120000</v>
      </c>
      <c r="I15" s="21">
        <f t="shared" ref="I15:N26" si="10">+H15</f>
        <v>120000</v>
      </c>
      <c r="J15" s="21">
        <f t="shared" si="10"/>
        <v>120000</v>
      </c>
      <c r="K15" s="21">
        <f t="shared" si="10"/>
        <v>120000</v>
      </c>
      <c r="L15" s="21">
        <f t="shared" si="10"/>
        <v>120000</v>
      </c>
      <c r="M15" s="21">
        <f t="shared" si="10"/>
        <v>120000</v>
      </c>
      <c r="N15" s="21">
        <f t="shared" si="10"/>
        <v>120000</v>
      </c>
    </row>
    <row r="16" spans="2:14" hidden="1" outlineLevel="2" x14ac:dyDescent="0.2">
      <c r="B16" t="str">
        <f t="shared" si="9"/>
        <v>GlobalLHVe-Hydrogen (compressed)MJ/ ton</v>
      </c>
      <c r="D16" t="s">
        <v>109</v>
      </c>
      <c r="E16" t="s">
        <v>582</v>
      </c>
      <c r="F16" t="s">
        <v>584</v>
      </c>
      <c r="G16" s="15" t="s">
        <v>583</v>
      </c>
      <c r="H16" s="21">
        <f>+H15</f>
        <v>120000</v>
      </c>
      <c r="I16" s="21">
        <f t="shared" si="10"/>
        <v>120000</v>
      </c>
      <c r="J16" s="21">
        <f t="shared" si="10"/>
        <v>120000</v>
      </c>
      <c r="K16" s="21">
        <f t="shared" si="10"/>
        <v>120000</v>
      </c>
      <c r="L16" s="21">
        <f t="shared" si="10"/>
        <v>120000</v>
      </c>
      <c r="M16" s="21">
        <f t="shared" si="10"/>
        <v>120000</v>
      </c>
      <c r="N16" s="21">
        <f t="shared" si="10"/>
        <v>120000</v>
      </c>
    </row>
    <row r="17" spans="2:14" hidden="1" outlineLevel="2" x14ac:dyDescent="0.2">
      <c r="B17" t="str">
        <f t="shared" si="9"/>
        <v>GlobalLHVe-AmmoniaMJ/ ton</v>
      </c>
      <c r="D17" t="s">
        <v>109</v>
      </c>
      <c r="E17" t="s">
        <v>582</v>
      </c>
      <c r="F17" t="s">
        <v>121</v>
      </c>
      <c r="G17" s="15" t="s">
        <v>583</v>
      </c>
      <c r="H17" s="585">
        <v>18800</v>
      </c>
      <c r="I17" s="21">
        <f t="shared" si="10"/>
        <v>18800</v>
      </c>
      <c r="J17" s="21">
        <f t="shared" si="10"/>
        <v>18800</v>
      </c>
      <c r="K17" s="21">
        <f t="shared" si="10"/>
        <v>18800</v>
      </c>
      <c r="L17" s="21">
        <f t="shared" si="10"/>
        <v>18800</v>
      </c>
      <c r="M17" s="21">
        <f t="shared" si="10"/>
        <v>18800</v>
      </c>
      <c r="N17" s="21">
        <f t="shared" si="10"/>
        <v>18800</v>
      </c>
    </row>
    <row r="18" spans="2:14" hidden="1" outlineLevel="2" x14ac:dyDescent="0.2">
      <c r="B18" t="str">
        <f t="shared" si="9"/>
        <v>GlobalLHVe-Methanol (DAC)MJ/ ton</v>
      </c>
      <c r="D18" t="s">
        <v>109</v>
      </c>
      <c r="E18" t="s">
        <v>582</v>
      </c>
      <c r="F18" t="s">
        <v>587</v>
      </c>
      <c r="G18" s="15" t="s">
        <v>583</v>
      </c>
      <c r="H18" s="585">
        <v>19900</v>
      </c>
      <c r="I18" s="21">
        <f t="shared" si="10"/>
        <v>19900</v>
      </c>
      <c r="J18" s="21">
        <f t="shared" si="10"/>
        <v>19900</v>
      </c>
      <c r="K18" s="21">
        <f t="shared" si="10"/>
        <v>19900</v>
      </c>
      <c r="L18" s="21">
        <f t="shared" si="10"/>
        <v>19900</v>
      </c>
      <c r="M18" s="21">
        <f t="shared" si="10"/>
        <v>19900</v>
      </c>
      <c r="N18" s="21">
        <f t="shared" si="10"/>
        <v>19900</v>
      </c>
    </row>
    <row r="19" spans="2:14" hidden="1" outlineLevel="2" x14ac:dyDescent="0.2">
      <c r="B19" t="str">
        <f t="shared" si="9"/>
        <v>GlobalLHVe-Methanol (PS)MJ/ ton</v>
      </c>
      <c r="D19" t="s">
        <v>109</v>
      </c>
      <c r="E19" t="s">
        <v>582</v>
      </c>
      <c r="F19" t="s">
        <v>119</v>
      </c>
      <c r="G19" s="15" t="s">
        <v>583</v>
      </c>
      <c r="H19" s="21">
        <f>+H18</f>
        <v>19900</v>
      </c>
      <c r="I19" s="21">
        <f t="shared" si="10"/>
        <v>19900</v>
      </c>
      <c r="J19" s="21">
        <f t="shared" si="10"/>
        <v>19900</v>
      </c>
      <c r="K19" s="21">
        <f t="shared" si="10"/>
        <v>19900</v>
      </c>
      <c r="L19" s="21">
        <f t="shared" si="10"/>
        <v>19900</v>
      </c>
      <c r="M19" s="21">
        <f t="shared" si="10"/>
        <v>19900</v>
      </c>
      <c r="N19" s="21">
        <f t="shared" si="10"/>
        <v>19900</v>
      </c>
    </row>
    <row r="20" spans="2:14" hidden="1" outlineLevel="2" x14ac:dyDescent="0.2">
      <c r="B20" t="str">
        <f t="shared" si="9"/>
        <v>GlobalLHVe-Diesel (DAC)MJ/ ton</v>
      </c>
      <c r="D20" t="s">
        <v>109</v>
      </c>
      <c r="E20" t="s">
        <v>582</v>
      </c>
      <c r="F20" t="s">
        <v>588</v>
      </c>
      <c r="G20" s="15" t="s">
        <v>583</v>
      </c>
      <c r="H20" s="585">
        <v>42700</v>
      </c>
      <c r="I20" s="21">
        <f t="shared" si="10"/>
        <v>42700</v>
      </c>
      <c r="J20" s="21">
        <f t="shared" si="10"/>
        <v>42700</v>
      </c>
      <c r="K20" s="21">
        <f t="shared" si="10"/>
        <v>42700</v>
      </c>
      <c r="L20" s="21">
        <f t="shared" si="10"/>
        <v>42700</v>
      </c>
      <c r="M20" s="21">
        <f t="shared" si="10"/>
        <v>42700</v>
      </c>
      <c r="N20" s="21">
        <f t="shared" si="10"/>
        <v>42700</v>
      </c>
    </row>
    <row r="21" spans="2:14" hidden="1" outlineLevel="2" x14ac:dyDescent="0.2">
      <c r="B21" t="str">
        <f t="shared" si="9"/>
        <v>GlobalLHVe-Diesel (PS)MJ/ ton</v>
      </c>
      <c r="D21" t="s">
        <v>109</v>
      </c>
      <c r="E21" t="s">
        <v>582</v>
      </c>
      <c r="F21" t="s">
        <v>589</v>
      </c>
      <c r="G21" s="15" t="s">
        <v>583</v>
      </c>
      <c r="H21" s="21">
        <f>+H20</f>
        <v>42700</v>
      </c>
      <c r="I21" s="21">
        <f t="shared" si="10"/>
        <v>42700</v>
      </c>
      <c r="J21" s="21">
        <f t="shared" si="10"/>
        <v>42700</v>
      </c>
      <c r="K21" s="21">
        <f t="shared" si="10"/>
        <v>42700</v>
      </c>
      <c r="L21" s="21">
        <f t="shared" si="10"/>
        <v>42700</v>
      </c>
      <c r="M21" s="21">
        <f t="shared" si="10"/>
        <v>42700</v>
      </c>
      <c r="N21" s="21">
        <f t="shared" si="10"/>
        <v>42700</v>
      </c>
    </row>
    <row r="22" spans="2:14" hidden="1" outlineLevel="2" x14ac:dyDescent="0.2">
      <c r="B22" t="str">
        <f t="shared" si="9"/>
        <v>GlobalLHVe-Methane (DAC)MJ/ ton</v>
      </c>
      <c r="D22" t="s">
        <v>109</v>
      </c>
      <c r="E22" t="s">
        <v>582</v>
      </c>
      <c r="F22" t="s">
        <v>590</v>
      </c>
      <c r="G22" s="15" t="s">
        <v>583</v>
      </c>
      <c r="H22" s="585">
        <v>50000</v>
      </c>
      <c r="I22" s="21">
        <f t="shared" si="10"/>
        <v>50000</v>
      </c>
      <c r="J22" s="21">
        <f t="shared" si="10"/>
        <v>50000</v>
      </c>
      <c r="K22" s="21">
        <f t="shared" si="10"/>
        <v>50000</v>
      </c>
      <c r="L22" s="21">
        <f t="shared" si="10"/>
        <v>50000</v>
      </c>
      <c r="M22" s="21">
        <f t="shared" si="10"/>
        <v>50000</v>
      </c>
      <c r="N22" s="21">
        <f t="shared" si="10"/>
        <v>50000</v>
      </c>
    </row>
    <row r="23" spans="2:14" hidden="1" outlineLevel="2" x14ac:dyDescent="0.2">
      <c r="B23" t="str">
        <f t="shared" si="9"/>
        <v>GlobalLHVe-Methane (PS)MJ/ ton</v>
      </c>
      <c r="D23" t="s">
        <v>109</v>
      </c>
      <c r="E23" t="s">
        <v>582</v>
      </c>
      <c r="F23" t="s">
        <v>591</v>
      </c>
      <c r="G23" s="15" t="s">
        <v>583</v>
      </c>
      <c r="H23" s="21">
        <f>+H22</f>
        <v>50000</v>
      </c>
      <c r="I23" s="21">
        <f t="shared" si="10"/>
        <v>50000</v>
      </c>
      <c r="J23" s="21">
        <f t="shared" si="10"/>
        <v>50000</v>
      </c>
      <c r="K23" s="21">
        <f t="shared" si="10"/>
        <v>50000</v>
      </c>
      <c r="L23" s="21">
        <f t="shared" si="10"/>
        <v>50000</v>
      </c>
      <c r="M23" s="21">
        <f t="shared" si="10"/>
        <v>50000</v>
      </c>
      <c r="N23" s="21">
        <f t="shared" si="10"/>
        <v>50000</v>
      </c>
    </row>
    <row r="24" spans="2:14" hidden="1" outlineLevel="2" x14ac:dyDescent="0.2">
      <c r="B24" t="str">
        <f t="shared" si="9"/>
        <v>GlobalLHVe-DME (DAC)MJ/ ton</v>
      </c>
      <c r="D24" t="s">
        <v>109</v>
      </c>
      <c r="E24" t="s">
        <v>582</v>
      </c>
      <c r="F24" t="s">
        <v>1124</v>
      </c>
      <c r="G24" s="15" t="s">
        <v>583</v>
      </c>
      <c r="H24" s="585">
        <v>25000</v>
      </c>
      <c r="I24" s="21">
        <f t="shared" si="10"/>
        <v>25000</v>
      </c>
      <c r="J24" s="21">
        <f t="shared" si="10"/>
        <v>25000</v>
      </c>
      <c r="K24" s="21">
        <f t="shared" si="10"/>
        <v>25000</v>
      </c>
      <c r="L24" s="21">
        <f t="shared" si="10"/>
        <v>25000</v>
      </c>
      <c r="M24" s="21">
        <f t="shared" si="10"/>
        <v>25000</v>
      </c>
      <c r="N24" s="21">
        <f t="shared" si="10"/>
        <v>25000</v>
      </c>
    </row>
    <row r="25" spans="2:14" hidden="1" outlineLevel="2" x14ac:dyDescent="0.2">
      <c r="B25" t="str">
        <f>+D25&amp;E25&amp;F25&amp;G25</f>
        <v>GlobalLHVe-DME (PS)MJ/ ton</v>
      </c>
      <c r="D25" t="s">
        <v>109</v>
      </c>
      <c r="E25" t="s">
        <v>582</v>
      </c>
      <c r="F25" t="s">
        <v>1395</v>
      </c>
      <c r="G25" s="15" t="s">
        <v>583</v>
      </c>
      <c r="H25" s="21">
        <f>+H24</f>
        <v>25000</v>
      </c>
      <c r="I25" s="21">
        <f t="shared" ref="I25:N25" si="11">+H25</f>
        <v>25000</v>
      </c>
      <c r="J25" s="21">
        <f t="shared" si="11"/>
        <v>25000</v>
      </c>
      <c r="K25" s="21">
        <f t="shared" si="11"/>
        <v>25000</v>
      </c>
      <c r="L25" s="21">
        <f t="shared" si="11"/>
        <v>25000</v>
      </c>
      <c r="M25" s="21">
        <f t="shared" si="11"/>
        <v>25000</v>
      </c>
      <c r="N25" s="21">
        <f t="shared" si="11"/>
        <v>25000</v>
      </c>
    </row>
    <row r="26" spans="2:14" hidden="1" outlineLevel="2" x14ac:dyDescent="0.2">
      <c r="B26" t="str">
        <f t="shared" si="9"/>
        <v>GlobalLHVBlue ammoniaMJ/ ton</v>
      </c>
      <c r="D26" t="s">
        <v>109</v>
      </c>
      <c r="E26" t="s">
        <v>582</v>
      </c>
      <c r="F26" t="s">
        <v>120</v>
      </c>
      <c r="G26" s="15" t="s">
        <v>583</v>
      </c>
      <c r="H26" s="21">
        <f>+H17</f>
        <v>18800</v>
      </c>
      <c r="I26" s="21">
        <f t="shared" si="10"/>
        <v>18800</v>
      </c>
      <c r="J26" s="21">
        <f t="shared" si="10"/>
        <v>18800</v>
      </c>
      <c r="K26" s="21">
        <f t="shared" si="10"/>
        <v>18800</v>
      </c>
      <c r="L26" s="21">
        <f t="shared" si="10"/>
        <v>18800</v>
      </c>
      <c r="M26" s="21">
        <f t="shared" si="10"/>
        <v>18800</v>
      </c>
      <c r="N26" s="21">
        <f t="shared" si="10"/>
        <v>18800</v>
      </c>
    </row>
    <row r="27" spans="2:14" hidden="1" outlineLevel="2" x14ac:dyDescent="0.2">
      <c r="B27" t="str">
        <f t="shared" si="9"/>
        <v>GlobalLHVGrey ammoniaMJ/ ton</v>
      </c>
      <c r="D27" t="s">
        <v>109</v>
      </c>
      <c r="E27" t="s">
        <v>582</v>
      </c>
      <c r="F27" t="s">
        <v>1396</v>
      </c>
      <c r="G27" s="15" t="s">
        <v>583</v>
      </c>
      <c r="H27" s="21">
        <f>+H26</f>
        <v>18800</v>
      </c>
      <c r="I27" s="21">
        <f t="shared" ref="I27:N36" si="12">+H27</f>
        <v>18800</v>
      </c>
      <c r="J27" s="21">
        <f t="shared" si="12"/>
        <v>18800</v>
      </c>
      <c r="K27" s="21">
        <f t="shared" si="12"/>
        <v>18800</v>
      </c>
      <c r="L27" s="21">
        <f t="shared" si="12"/>
        <v>18800</v>
      </c>
      <c r="M27" s="21">
        <f t="shared" si="12"/>
        <v>18800</v>
      </c>
      <c r="N27" s="21">
        <f t="shared" si="12"/>
        <v>18800</v>
      </c>
    </row>
    <row r="28" spans="2:14" hidden="1" outlineLevel="2" x14ac:dyDescent="0.2">
      <c r="B28" t="str">
        <f t="shared" si="9"/>
        <v>GlobalLHVGrey methanolMJ/ ton</v>
      </c>
      <c r="D28" t="s">
        <v>109</v>
      </c>
      <c r="E28" t="s">
        <v>582</v>
      </c>
      <c r="F28" t="s">
        <v>1397</v>
      </c>
      <c r="G28" s="15" t="s">
        <v>583</v>
      </c>
      <c r="H28" s="21">
        <f>+H18</f>
        <v>19900</v>
      </c>
      <c r="I28" s="21">
        <f t="shared" si="12"/>
        <v>19900</v>
      </c>
      <c r="J28" s="21">
        <f t="shared" si="12"/>
        <v>19900</v>
      </c>
      <c r="K28" s="21">
        <f t="shared" si="12"/>
        <v>19900</v>
      </c>
      <c r="L28" s="21">
        <f t="shared" si="12"/>
        <v>19900</v>
      </c>
      <c r="M28" s="21">
        <f t="shared" si="12"/>
        <v>19900</v>
      </c>
      <c r="N28" s="21">
        <f t="shared" si="12"/>
        <v>19900</v>
      </c>
    </row>
    <row r="29" spans="2:14" hidden="1" outlineLevel="2" x14ac:dyDescent="0.2">
      <c r="B29" t="str">
        <f t="shared" si="9"/>
        <v>GlobalLHVLSFOMJ/ ton</v>
      </c>
      <c r="D29" t="s">
        <v>109</v>
      </c>
      <c r="E29" t="s">
        <v>582</v>
      </c>
      <c r="F29" t="s">
        <v>117</v>
      </c>
      <c r="G29" s="15" t="s">
        <v>583</v>
      </c>
      <c r="H29" s="585">
        <v>41200</v>
      </c>
      <c r="I29" s="21">
        <f t="shared" si="12"/>
        <v>41200</v>
      </c>
      <c r="J29" s="21">
        <f t="shared" si="12"/>
        <v>41200</v>
      </c>
      <c r="K29" s="21">
        <f t="shared" si="12"/>
        <v>41200</v>
      </c>
      <c r="L29" s="21">
        <f t="shared" si="12"/>
        <v>41200</v>
      </c>
      <c r="M29" s="21">
        <f t="shared" si="12"/>
        <v>41200</v>
      </c>
      <c r="N29" s="21">
        <f t="shared" si="12"/>
        <v>41200</v>
      </c>
    </row>
    <row r="30" spans="2:14" hidden="1" outlineLevel="2" x14ac:dyDescent="0.2">
      <c r="B30" t="str">
        <f t="shared" si="9"/>
        <v>GlobalLHVLNGMJ/ ton</v>
      </c>
      <c r="D30" t="s">
        <v>109</v>
      </c>
      <c r="E30" t="s">
        <v>582</v>
      </c>
      <c r="F30" t="s">
        <v>528</v>
      </c>
      <c r="G30" s="15" t="s">
        <v>583</v>
      </c>
      <c r="H30" s="585">
        <v>48000</v>
      </c>
      <c r="I30" s="21">
        <f t="shared" si="12"/>
        <v>48000</v>
      </c>
      <c r="J30" s="21">
        <f t="shared" si="12"/>
        <v>48000</v>
      </c>
      <c r="K30" s="21">
        <f t="shared" si="12"/>
        <v>48000</v>
      </c>
      <c r="L30" s="21">
        <f t="shared" si="12"/>
        <v>48000</v>
      </c>
      <c r="M30" s="21">
        <f t="shared" si="12"/>
        <v>48000</v>
      </c>
      <c r="N30" s="21">
        <f t="shared" si="12"/>
        <v>48000</v>
      </c>
    </row>
    <row r="31" spans="2:14" hidden="1" outlineLevel="2" x14ac:dyDescent="0.2">
      <c r="B31" t="str">
        <f t="shared" si="9"/>
        <v>GlobalLHVGrey hydrogen (compressed)MJ/ ton</v>
      </c>
      <c r="D31" t="s">
        <v>109</v>
      </c>
      <c r="E31" t="s">
        <v>582</v>
      </c>
      <c r="F31" t="s">
        <v>1155</v>
      </c>
      <c r="G31" s="15" t="s">
        <v>583</v>
      </c>
      <c r="H31" s="21">
        <f>+H16</f>
        <v>120000</v>
      </c>
      <c r="I31" s="21">
        <f t="shared" si="12"/>
        <v>120000</v>
      </c>
      <c r="J31" s="21">
        <f t="shared" si="12"/>
        <v>120000</v>
      </c>
      <c r="K31" s="21">
        <f t="shared" si="12"/>
        <v>120000</v>
      </c>
      <c r="L31" s="21">
        <f t="shared" si="12"/>
        <v>120000</v>
      </c>
      <c r="M31" s="21">
        <f t="shared" si="12"/>
        <v>120000</v>
      </c>
      <c r="N31" s="21">
        <f t="shared" si="12"/>
        <v>120000</v>
      </c>
    </row>
    <row r="32" spans="2:14" hidden="1" outlineLevel="2" x14ac:dyDescent="0.2">
      <c r="B32" t="str">
        <f t="shared" si="9"/>
        <v>GlobalLHVBlue hydrogen (compressed)MJ/ ton</v>
      </c>
      <c r="D32" t="s">
        <v>109</v>
      </c>
      <c r="E32" t="s">
        <v>582</v>
      </c>
      <c r="F32" t="s">
        <v>592</v>
      </c>
      <c r="G32" s="15" t="s">
        <v>583</v>
      </c>
      <c r="H32" s="21">
        <f>+H16</f>
        <v>120000</v>
      </c>
      <c r="I32" s="21">
        <f t="shared" si="12"/>
        <v>120000</v>
      </c>
      <c r="J32" s="21">
        <f t="shared" si="12"/>
        <v>120000</v>
      </c>
      <c r="K32" s="21">
        <f t="shared" si="12"/>
        <v>120000</v>
      </c>
      <c r="L32" s="21">
        <f t="shared" si="12"/>
        <v>120000</v>
      </c>
      <c r="M32" s="21">
        <f t="shared" si="12"/>
        <v>120000</v>
      </c>
      <c r="N32" s="21">
        <f t="shared" si="12"/>
        <v>120000</v>
      </c>
    </row>
    <row r="33" spans="1:14" hidden="1" outlineLevel="2" x14ac:dyDescent="0.2">
      <c r="B33" t="str">
        <f t="shared" si="9"/>
        <v>GlobalLHVGrey hydrogen (liquid)MJ/ ton</v>
      </c>
      <c r="D33" t="s">
        <v>109</v>
      </c>
      <c r="E33" t="s">
        <v>582</v>
      </c>
      <c r="F33" t="s">
        <v>1153</v>
      </c>
      <c r="G33" s="15" t="s">
        <v>583</v>
      </c>
      <c r="H33" s="21">
        <f>+H15</f>
        <v>120000</v>
      </c>
      <c r="I33" s="21">
        <f t="shared" si="12"/>
        <v>120000</v>
      </c>
      <c r="J33" s="21">
        <f t="shared" si="12"/>
        <v>120000</v>
      </c>
      <c r="K33" s="21">
        <f t="shared" si="12"/>
        <v>120000</v>
      </c>
      <c r="L33" s="21">
        <f t="shared" si="12"/>
        <v>120000</v>
      </c>
      <c r="M33" s="21">
        <f t="shared" si="12"/>
        <v>120000</v>
      </c>
      <c r="N33" s="21">
        <f t="shared" si="12"/>
        <v>120000</v>
      </c>
    </row>
    <row r="34" spans="1:14" hidden="1" outlineLevel="2" x14ac:dyDescent="0.2">
      <c r="B34" t="str">
        <f t="shared" si="9"/>
        <v>GlobalLHVBlue hydrogen (liquid)MJ/ ton</v>
      </c>
      <c r="D34" t="s">
        <v>109</v>
      </c>
      <c r="E34" t="s">
        <v>582</v>
      </c>
      <c r="F34" t="s">
        <v>593</v>
      </c>
      <c r="G34" s="15" t="s">
        <v>583</v>
      </c>
      <c r="H34" s="21">
        <f>+H15</f>
        <v>120000</v>
      </c>
      <c r="I34" s="21">
        <f t="shared" si="12"/>
        <v>120000</v>
      </c>
      <c r="J34" s="21">
        <f t="shared" si="12"/>
        <v>120000</v>
      </c>
      <c r="K34" s="21">
        <f t="shared" si="12"/>
        <v>120000</v>
      </c>
      <c r="L34" s="21">
        <f t="shared" si="12"/>
        <v>120000</v>
      </c>
      <c r="M34" s="21">
        <f t="shared" si="12"/>
        <v>120000</v>
      </c>
      <c r="N34" s="21">
        <f t="shared" si="12"/>
        <v>120000</v>
      </c>
    </row>
    <row r="35" spans="1:14" hidden="1" outlineLevel="2" x14ac:dyDescent="0.2">
      <c r="B35" t="str">
        <f t="shared" si="9"/>
        <v>GlobalLHVLPGMJ/ ton</v>
      </c>
      <c r="D35" t="s">
        <v>109</v>
      </c>
      <c r="E35" t="s">
        <v>582</v>
      </c>
      <c r="F35" t="s">
        <v>534</v>
      </c>
      <c r="G35" s="15" t="s">
        <v>583</v>
      </c>
      <c r="H35" s="585">
        <v>46000</v>
      </c>
      <c r="I35" s="21">
        <f t="shared" si="12"/>
        <v>46000</v>
      </c>
      <c r="J35" s="21">
        <f t="shared" si="12"/>
        <v>46000</v>
      </c>
      <c r="K35" s="21">
        <f t="shared" si="12"/>
        <v>46000</v>
      </c>
      <c r="L35" s="21">
        <f t="shared" si="12"/>
        <v>46000</v>
      </c>
      <c r="M35" s="21">
        <f t="shared" si="12"/>
        <v>46000</v>
      </c>
      <c r="N35" s="21">
        <f t="shared" si="12"/>
        <v>46000</v>
      </c>
    </row>
    <row r="36" spans="1:14" hidden="1" outlineLevel="2" x14ac:dyDescent="0.2">
      <c r="B36" t="str">
        <f t="shared" si="9"/>
        <v>GlobalLHVBiomethaneMJ/ ton</v>
      </c>
      <c r="D36" t="s">
        <v>109</v>
      </c>
      <c r="E36" t="s">
        <v>582</v>
      </c>
      <c r="F36" t="s">
        <v>118</v>
      </c>
      <c r="G36" s="15" t="s">
        <v>583</v>
      </c>
      <c r="H36" s="21">
        <f>+H22</f>
        <v>50000</v>
      </c>
      <c r="I36" s="21">
        <f t="shared" si="12"/>
        <v>50000</v>
      </c>
      <c r="J36" s="21">
        <f t="shared" si="12"/>
        <v>50000</v>
      </c>
      <c r="K36" s="21">
        <f t="shared" si="12"/>
        <v>50000</v>
      </c>
      <c r="L36" s="21">
        <f t="shared" si="12"/>
        <v>50000</v>
      </c>
      <c r="M36" s="21">
        <f t="shared" si="12"/>
        <v>50000</v>
      </c>
      <c r="N36" s="21">
        <f t="shared" si="12"/>
        <v>50000</v>
      </c>
    </row>
    <row r="37" spans="1:14" hidden="1" outlineLevel="2" x14ac:dyDescent="0.2">
      <c r="B37" t="str">
        <f t="shared" si="9"/>
        <v>GlobalLHVBiodiesel (Pyr)MJ/ ton</v>
      </c>
      <c r="D37" t="s">
        <v>109</v>
      </c>
      <c r="E37" t="s">
        <v>582</v>
      </c>
      <c r="F37" t="s">
        <v>123</v>
      </c>
      <c r="G37" s="15" t="s">
        <v>583</v>
      </c>
      <c r="H37" s="21">
        <f>H20</f>
        <v>42700</v>
      </c>
      <c r="I37" s="21">
        <f t="shared" ref="I37:N44" si="13">+H37</f>
        <v>42700</v>
      </c>
      <c r="J37" s="21">
        <f t="shared" si="13"/>
        <v>42700</v>
      </c>
      <c r="K37" s="21">
        <f t="shared" si="13"/>
        <v>42700</v>
      </c>
      <c r="L37" s="21">
        <f t="shared" si="13"/>
        <v>42700</v>
      </c>
      <c r="M37" s="21">
        <f t="shared" si="13"/>
        <v>42700</v>
      </c>
      <c r="N37" s="21">
        <f t="shared" si="13"/>
        <v>42700</v>
      </c>
    </row>
    <row r="38" spans="1:14" hidden="1" outlineLevel="2" x14ac:dyDescent="0.2">
      <c r="B38" t="str">
        <f t="shared" si="9"/>
        <v>GlobalLHVBiodiesel (HtL)MJ/ ton</v>
      </c>
      <c r="D38" t="s">
        <v>109</v>
      </c>
      <c r="E38" t="s">
        <v>582</v>
      </c>
      <c r="F38" t="s">
        <v>594</v>
      </c>
      <c r="G38" s="15" t="s">
        <v>583</v>
      </c>
      <c r="H38" s="21">
        <f>H20</f>
        <v>42700</v>
      </c>
      <c r="I38" s="21">
        <f t="shared" si="13"/>
        <v>42700</v>
      </c>
      <c r="J38" s="21">
        <f t="shared" si="13"/>
        <v>42700</v>
      </c>
      <c r="K38" s="21">
        <f t="shared" si="13"/>
        <v>42700</v>
      </c>
      <c r="L38" s="21">
        <f t="shared" si="13"/>
        <v>42700</v>
      </c>
      <c r="M38" s="21">
        <f t="shared" si="13"/>
        <v>42700</v>
      </c>
      <c r="N38" s="21">
        <f t="shared" si="13"/>
        <v>42700</v>
      </c>
    </row>
    <row r="39" spans="1:14" hidden="1" outlineLevel="2" x14ac:dyDescent="0.2">
      <c r="B39" t="str">
        <f t="shared" si="9"/>
        <v>GlobalLHVBiomethanolMJ/ ton</v>
      </c>
      <c r="D39" t="s">
        <v>109</v>
      </c>
      <c r="E39" t="s">
        <v>582</v>
      </c>
      <c r="F39" t="s">
        <v>586</v>
      </c>
      <c r="G39" s="15" t="s">
        <v>583</v>
      </c>
      <c r="H39" s="585">
        <v>19900</v>
      </c>
      <c r="I39" s="21">
        <f t="shared" si="13"/>
        <v>19900</v>
      </c>
      <c r="J39" s="21">
        <f t="shared" si="13"/>
        <v>19900</v>
      </c>
      <c r="K39" s="21">
        <f t="shared" si="13"/>
        <v>19900</v>
      </c>
      <c r="L39" s="21">
        <f t="shared" si="13"/>
        <v>19900</v>
      </c>
      <c r="M39" s="21">
        <f t="shared" si="13"/>
        <v>19900</v>
      </c>
      <c r="N39" s="21">
        <f t="shared" si="13"/>
        <v>19900</v>
      </c>
    </row>
    <row r="40" spans="1:14" hidden="1" outlineLevel="2" x14ac:dyDescent="0.2">
      <c r="B40" t="str">
        <f t="shared" si="9"/>
        <v>GlobalLHVBiodiesel (FAME)MJ/ ton</v>
      </c>
      <c r="D40" t="s">
        <v>109</v>
      </c>
      <c r="E40" t="s">
        <v>582</v>
      </c>
      <c r="F40" t="s">
        <v>1398</v>
      </c>
      <c r="G40" s="15" t="s">
        <v>583</v>
      </c>
      <c r="H40" s="585"/>
      <c r="I40" s="21">
        <f t="shared" si="13"/>
        <v>0</v>
      </c>
      <c r="J40" s="21">
        <f t="shared" si="13"/>
        <v>0</v>
      </c>
      <c r="K40" s="21">
        <f t="shared" si="13"/>
        <v>0</v>
      </c>
      <c r="L40" s="21">
        <f t="shared" si="13"/>
        <v>0</v>
      </c>
      <c r="M40" s="21">
        <f t="shared" si="13"/>
        <v>0</v>
      </c>
      <c r="N40" s="21">
        <f t="shared" si="13"/>
        <v>0</v>
      </c>
    </row>
    <row r="41" spans="1:14" hidden="1" outlineLevel="2" x14ac:dyDescent="0.2">
      <c r="B41" t="str">
        <f>+D41&amp;E41&amp;F41&amp;G41</f>
        <v>GlobalLHVBiodiesel (HVO)MJ/ ton</v>
      </c>
      <c r="D41" t="s">
        <v>109</v>
      </c>
      <c r="E41" t="s">
        <v>582</v>
      </c>
      <c r="F41" t="s">
        <v>1399</v>
      </c>
      <c r="G41" s="15" t="s">
        <v>583</v>
      </c>
      <c r="H41" s="585"/>
      <c r="I41" s="21">
        <f t="shared" ref="I41:N43" si="14">+H41</f>
        <v>0</v>
      </c>
      <c r="J41" s="21">
        <f t="shared" si="14"/>
        <v>0</v>
      </c>
      <c r="K41" s="21">
        <f t="shared" si="14"/>
        <v>0</v>
      </c>
      <c r="L41" s="21">
        <f t="shared" si="14"/>
        <v>0</v>
      </c>
      <c r="M41" s="21">
        <f t="shared" si="14"/>
        <v>0</v>
      </c>
      <c r="N41" s="21">
        <f t="shared" si="14"/>
        <v>0</v>
      </c>
    </row>
    <row r="42" spans="1:14" hidden="1" outlineLevel="2" x14ac:dyDescent="0.2">
      <c r="B42" t="str">
        <f t="shared" ref="B42" si="15">+D42&amp;E42&amp;F42&amp;G42</f>
        <v>GlobalLHVBiodiesel (Pyr blend)MJ/ ton</v>
      </c>
      <c r="D42" t="s">
        <v>109</v>
      </c>
      <c r="E42" t="s">
        <v>582</v>
      </c>
      <c r="F42" t="s">
        <v>596</v>
      </c>
      <c r="G42" s="15" t="s">
        <v>583</v>
      </c>
      <c r="H42" s="585">
        <v>34280</v>
      </c>
      <c r="I42" s="21">
        <f t="shared" ref="I42" si="16">+H42</f>
        <v>34280</v>
      </c>
      <c r="J42" s="21">
        <f t="shared" ref="J42" si="17">+I42</f>
        <v>34280</v>
      </c>
      <c r="K42" s="21">
        <f t="shared" ref="K42" si="18">+J42</f>
        <v>34280</v>
      </c>
      <c r="L42" s="21">
        <f t="shared" ref="L42" si="19">+K42</f>
        <v>34280</v>
      </c>
      <c r="M42" s="21">
        <f t="shared" ref="M42" si="20">+L42</f>
        <v>34280</v>
      </c>
      <c r="N42" s="21">
        <f t="shared" ref="N42" si="21">+M42</f>
        <v>34280</v>
      </c>
    </row>
    <row r="43" spans="1:14" hidden="1" outlineLevel="2" x14ac:dyDescent="0.2">
      <c r="B43" t="str">
        <f t="shared" ref="B43" si="22">+D43&amp;E43&amp;F43&amp;G43</f>
        <v>GlobalLHVBiodiesel (HtL blend)MJ/ ton</v>
      </c>
      <c r="D43" t="s">
        <v>109</v>
      </c>
      <c r="E43" t="s">
        <v>582</v>
      </c>
      <c r="F43" t="s">
        <v>595</v>
      </c>
      <c r="G43" s="15" t="s">
        <v>583</v>
      </c>
      <c r="H43" s="585">
        <v>38600</v>
      </c>
      <c r="I43" s="21">
        <f t="shared" si="14"/>
        <v>38600</v>
      </c>
      <c r="J43" s="21">
        <f t="shared" si="14"/>
        <v>38600</v>
      </c>
      <c r="K43" s="21">
        <f t="shared" si="14"/>
        <v>38600</v>
      </c>
      <c r="L43" s="21">
        <f t="shared" si="14"/>
        <v>38600</v>
      </c>
      <c r="M43" s="21">
        <f t="shared" si="14"/>
        <v>38600</v>
      </c>
      <c r="N43" s="21">
        <f t="shared" si="14"/>
        <v>38600</v>
      </c>
    </row>
    <row r="44" spans="1:14" hidden="1" outlineLevel="2" x14ac:dyDescent="0.2">
      <c r="B44" t="str">
        <f t="shared" si="9"/>
        <v>GlobalLHVLEOMJ/ ton</v>
      </c>
      <c r="D44" t="s">
        <v>109</v>
      </c>
      <c r="E44" t="s">
        <v>582</v>
      </c>
      <c r="F44" t="s">
        <v>1400</v>
      </c>
      <c r="G44" s="15" t="s">
        <v>583</v>
      </c>
      <c r="H44" s="585">
        <v>21400</v>
      </c>
      <c r="I44" s="21">
        <f t="shared" si="13"/>
        <v>21400</v>
      </c>
      <c r="J44" s="21">
        <f t="shared" si="13"/>
        <v>21400</v>
      </c>
      <c r="K44" s="21">
        <f t="shared" si="13"/>
        <v>21400</v>
      </c>
      <c r="L44" s="21">
        <f t="shared" si="13"/>
        <v>21400</v>
      </c>
      <c r="M44" s="21">
        <f t="shared" si="13"/>
        <v>21400</v>
      </c>
      <c r="N44" s="21">
        <f t="shared" si="13"/>
        <v>21400</v>
      </c>
    </row>
    <row r="45" spans="1:14" hidden="1" outlineLevel="1" collapsed="1" x14ac:dyDescent="0.2">
      <c r="H45" s="21"/>
      <c r="I45" s="21"/>
      <c r="J45" s="21"/>
      <c r="K45" s="21"/>
      <c r="L45" s="21"/>
      <c r="M45" s="21"/>
      <c r="N45" s="21"/>
    </row>
    <row r="46" spans="1:14" hidden="1" outlineLevel="1" x14ac:dyDescent="0.2">
      <c r="B46" s="266" t="s">
        <v>1401</v>
      </c>
      <c r="D46" s="266" t="str">
        <f>+B46</f>
        <v>TTW CO2</v>
      </c>
      <c r="H46" s="6"/>
      <c r="I46" s="6"/>
      <c r="J46" s="21"/>
      <c r="K46" s="21"/>
      <c r="L46" s="21"/>
      <c r="M46" s="21"/>
      <c r="N46" s="21"/>
    </row>
    <row r="47" spans="1:14" s="15" customFormat="1" hidden="1" outlineLevel="2" x14ac:dyDescent="0.2">
      <c r="A47"/>
      <c r="B47" s="15" t="str">
        <f t="shared" ref="B47:B60" si="23">+D47&amp;E47&amp;F47&amp;G47</f>
        <v>GlobalTTW CO2_H2tonCO2eq/ton H2</v>
      </c>
      <c r="D47" s="15" t="s">
        <v>109</v>
      </c>
      <c r="E47" s="15" t="s">
        <v>1248</v>
      </c>
      <c r="F47" s="15" t="s">
        <v>1402</v>
      </c>
      <c r="G47" s="15" t="s">
        <v>1403</v>
      </c>
      <c r="H47" s="374">
        <v>0</v>
      </c>
      <c r="I47" s="6">
        <f>H47</f>
        <v>0</v>
      </c>
      <c r="J47" s="6">
        <f t="shared" ref="J47:N47" si="24">I47</f>
        <v>0</v>
      </c>
      <c r="K47" s="6">
        <f t="shared" si="24"/>
        <v>0</v>
      </c>
      <c r="L47" s="6">
        <f t="shared" si="24"/>
        <v>0</v>
      </c>
      <c r="M47" s="6">
        <f t="shared" si="24"/>
        <v>0</v>
      </c>
      <c r="N47" s="6">
        <f t="shared" si="24"/>
        <v>0</v>
      </c>
    </row>
    <row r="48" spans="1:14" s="15" customFormat="1" hidden="1" outlineLevel="2" x14ac:dyDescent="0.2">
      <c r="A48"/>
      <c r="B48" s="15" t="str">
        <f t="shared" ref="B48:B49" si="25">+D48&amp;E48&amp;F48&amp;G48</f>
        <v>GlobalTTW CO2_LSFOtonCO2eq/ton</v>
      </c>
      <c r="D48" s="15" t="s">
        <v>109</v>
      </c>
      <c r="E48" s="15" t="s">
        <v>1248</v>
      </c>
      <c r="F48" s="15" t="s">
        <v>117</v>
      </c>
      <c r="G48" s="15" t="s">
        <v>1252</v>
      </c>
      <c r="H48" s="374">
        <v>3.1633300000000002</v>
      </c>
      <c r="I48" s="6">
        <f t="shared" ref="I48:N48" si="26">H48</f>
        <v>3.1633300000000002</v>
      </c>
      <c r="J48" s="6">
        <f t="shared" si="26"/>
        <v>3.1633300000000002</v>
      </c>
      <c r="K48" s="6">
        <f t="shared" si="26"/>
        <v>3.1633300000000002</v>
      </c>
      <c r="L48" s="6">
        <f t="shared" si="26"/>
        <v>3.1633300000000002</v>
      </c>
      <c r="M48" s="6">
        <f t="shared" si="26"/>
        <v>3.1633300000000002</v>
      </c>
      <c r="N48" s="6">
        <f t="shared" si="26"/>
        <v>3.1633300000000002</v>
      </c>
    </row>
    <row r="49" spans="1:16" s="15" customFormat="1" hidden="1" outlineLevel="2" x14ac:dyDescent="0.2">
      <c r="A49"/>
      <c r="B49" s="15" t="str">
        <f t="shared" si="25"/>
        <v>GlobalTTW CO2_LNGtonCO2eq/ton</v>
      </c>
      <c r="D49" s="15" t="s">
        <v>109</v>
      </c>
      <c r="E49" s="15" t="s">
        <v>1248</v>
      </c>
      <c r="F49" s="15" t="s">
        <v>528</v>
      </c>
      <c r="G49" s="15" t="s">
        <v>1252</v>
      </c>
      <c r="H49" s="374">
        <v>3.6492599999999999</v>
      </c>
      <c r="I49" s="374">
        <v>3.3592599999999999</v>
      </c>
      <c r="J49" s="374">
        <v>3.0692599999999999</v>
      </c>
      <c r="K49" s="374">
        <v>3.0692599999999999</v>
      </c>
      <c r="L49" s="374">
        <v>3.0692599999999999</v>
      </c>
      <c r="M49" s="374">
        <v>3.0692599999999999</v>
      </c>
      <c r="N49" s="374">
        <v>3.0692599999999999</v>
      </c>
    </row>
    <row r="50" spans="1:16" s="15" customFormat="1" hidden="1" outlineLevel="2" x14ac:dyDescent="0.2">
      <c r="A50"/>
      <c r="B50" s="15" t="str">
        <f t="shared" si="23"/>
        <v>GlobalTTW CO2_NH3tonCO2eq/ton NH3</v>
      </c>
      <c r="D50" s="15" t="s">
        <v>109</v>
      </c>
      <c r="E50" s="15" t="s">
        <v>1248</v>
      </c>
      <c r="F50" s="15" t="s">
        <v>1404</v>
      </c>
      <c r="G50" s="15" t="s">
        <v>980</v>
      </c>
      <c r="H50" s="374">
        <v>0</v>
      </c>
      <c r="I50" s="6">
        <f t="shared" ref="I50:N50" si="27">H50</f>
        <v>0</v>
      </c>
      <c r="J50" s="6">
        <f t="shared" si="27"/>
        <v>0</v>
      </c>
      <c r="K50" s="6">
        <f t="shared" si="27"/>
        <v>0</v>
      </c>
      <c r="L50" s="6">
        <f t="shared" si="27"/>
        <v>0</v>
      </c>
      <c r="M50" s="6">
        <f t="shared" si="27"/>
        <v>0</v>
      </c>
      <c r="N50" s="6">
        <f t="shared" si="27"/>
        <v>0</v>
      </c>
    </row>
    <row r="51" spans="1:16" s="15" customFormat="1" hidden="1" outlineLevel="2" x14ac:dyDescent="0.2">
      <c r="A51"/>
      <c r="B51" s="15" t="str">
        <f t="shared" si="23"/>
        <v>GlobalTTW CO2_MethanoltonCO2eq/ton Methanol</v>
      </c>
      <c r="D51" s="15" t="s">
        <v>109</v>
      </c>
      <c r="E51" s="15" t="s">
        <v>1248</v>
      </c>
      <c r="F51" s="15" t="s">
        <v>530</v>
      </c>
      <c r="G51" s="15" t="s">
        <v>1018</v>
      </c>
      <c r="H51" s="374">
        <f>1/32*44</f>
        <v>1.375</v>
      </c>
      <c r="I51" s="6">
        <f t="shared" ref="I51:N51" si="28">H51</f>
        <v>1.375</v>
      </c>
      <c r="J51" s="6">
        <f t="shared" si="28"/>
        <v>1.375</v>
      </c>
      <c r="K51" s="6">
        <f t="shared" si="28"/>
        <v>1.375</v>
      </c>
      <c r="L51" s="6">
        <f t="shared" si="28"/>
        <v>1.375</v>
      </c>
      <c r="M51" s="6">
        <f t="shared" si="28"/>
        <v>1.375</v>
      </c>
      <c r="N51" s="6">
        <f t="shared" si="28"/>
        <v>1.375</v>
      </c>
    </row>
    <row r="52" spans="1:16" s="15" customFormat="1" hidden="1" outlineLevel="2" x14ac:dyDescent="0.2">
      <c r="A52"/>
      <c r="B52" s="15" t="str">
        <f t="shared" si="23"/>
        <v>GlobalTTW CO2_MethanetonCO2eq/ton Methane</v>
      </c>
      <c r="D52" s="15" t="s">
        <v>109</v>
      </c>
      <c r="E52" s="15" t="s">
        <v>1248</v>
      </c>
      <c r="F52" s="15" t="s">
        <v>599</v>
      </c>
      <c r="G52" s="15" t="s">
        <v>1115</v>
      </c>
      <c r="H52" s="374">
        <v>3.6492599999999999</v>
      </c>
      <c r="I52" s="374">
        <v>3.3592599999999999</v>
      </c>
      <c r="J52" s="374">
        <v>3.0692599999999999</v>
      </c>
      <c r="K52" s="374">
        <v>3.0692599999999999</v>
      </c>
      <c r="L52" s="374">
        <v>3.0692599999999999</v>
      </c>
      <c r="M52" s="374">
        <v>3.0692599999999999</v>
      </c>
      <c r="N52" s="374">
        <v>3.0692599999999999</v>
      </c>
    </row>
    <row r="53" spans="1:16" s="15" customFormat="1" hidden="1" outlineLevel="2" x14ac:dyDescent="0.2">
      <c r="A53"/>
      <c r="B53" s="15" t="str">
        <f t="shared" si="23"/>
        <v>GlobalTTW CO2_DieseltonCO2eq/ton Diesel</v>
      </c>
      <c r="D53" s="15" t="s">
        <v>109</v>
      </c>
      <c r="E53" s="15" t="s">
        <v>1248</v>
      </c>
      <c r="F53" s="15" t="s">
        <v>533</v>
      </c>
      <c r="G53" s="15" t="s">
        <v>1405</v>
      </c>
      <c r="H53" s="374">
        <v>3.2553300000000003</v>
      </c>
      <c r="I53" s="6">
        <f t="shared" ref="I53:N53" si="29">H53</f>
        <v>3.2553300000000003</v>
      </c>
      <c r="J53" s="6">
        <f t="shared" si="29"/>
        <v>3.2553300000000003</v>
      </c>
      <c r="K53" s="6">
        <f t="shared" si="29"/>
        <v>3.2553300000000003</v>
      </c>
      <c r="L53" s="6">
        <f t="shared" si="29"/>
        <v>3.2553300000000003</v>
      </c>
      <c r="M53" s="6">
        <f t="shared" si="29"/>
        <v>3.2553300000000003</v>
      </c>
      <c r="N53" s="6">
        <f t="shared" si="29"/>
        <v>3.2553300000000003</v>
      </c>
    </row>
    <row r="54" spans="1:16" s="15" customFormat="1" hidden="1" outlineLevel="2" x14ac:dyDescent="0.2">
      <c r="A54"/>
      <c r="B54" s="15" t="str">
        <f t="shared" si="23"/>
        <v>GlobalTTW CO2_Biodiesel (Pyr)tonCO2eq/ton Pyr Oil</v>
      </c>
      <c r="D54" s="15" t="s">
        <v>109</v>
      </c>
      <c r="E54" s="15" t="s">
        <v>1248</v>
      </c>
      <c r="F54" t="s">
        <v>123</v>
      </c>
      <c r="G54" s="15" t="s">
        <v>1365</v>
      </c>
      <c r="H54" s="374">
        <v>3.2553300000000003</v>
      </c>
      <c r="I54" s="6">
        <f t="shared" ref="I54:N54" si="30">H54</f>
        <v>3.2553300000000003</v>
      </c>
      <c r="J54" s="6">
        <f t="shared" si="30"/>
        <v>3.2553300000000003</v>
      </c>
      <c r="K54" s="6">
        <f t="shared" si="30"/>
        <v>3.2553300000000003</v>
      </c>
      <c r="L54" s="6">
        <f t="shared" si="30"/>
        <v>3.2553300000000003</v>
      </c>
      <c r="M54" s="6">
        <f t="shared" si="30"/>
        <v>3.2553300000000003</v>
      </c>
      <c r="N54" s="6">
        <f t="shared" si="30"/>
        <v>3.2553300000000003</v>
      </c>
    </row>
    <row r="55" spans="1:16" s="15" customFormat="1" hidden="1" outlineLevel="2" x14ac:dyDescent="0.2">
      <c r="A55"/>
      <c r="B55" s="15" t="str">
        <f t="shared" si="23"/>
        <v>GlobalTTW CO2_Biodiesel (HtL)tonCO2eq/ton HTL Oil</v>
      </c>
      <c r="D55" s="15" t="s">
        <v>109</v>
      </c>
      <c r="E55" s="15" t="s">
        <v>1248</v>
      </c>
      <c r="F55" t="s">
        <v>594</v>
      </c>
      <c r="G55" s="15" t="s">
        <v>1311</v>
      </c>
      <c r="H55" s="374">
        <v>3.2553300000000003</v>
      </c>
      <c r="I55" s="6">
        <f t="shared" ref="I55:N55" si="31">H55</f>
        <v>3.2553300000000003</v>
      </c>
      <c r="J55" s="6">
        <f t="shared" si="31"/>
        <v>3.2553300000000003</v>
      </c>
      <c r="K55" s="6">
        <f t="shared" si="31"/>
        <v>3.2553300000000003</v>
      </c>
      <c r="L55" s="6">
        <f t="shared" si="31"/>
        <v>3.2553300000000003</v>
      </c>
      <c r="M55" s="6">
        <f t="shared" si="31"/>
        <v>3.2553300000000003</v>
      </c>
      <c r="N55" s="6">
        <f t="shared" si="31"/>
        <v>3.2553300000000003</v>
      </c>
    </row>
    <row r="56" spans="1:16" s="15" customFormat="1" hidden="1" outlineLevel="2" x14ac:dyDescent="0.2">
      <c r="A56"/>
      <c r="B56" s="15" t="str">
        <f t="shared" ref="B56:B57" si="32">+D56&amp;E56&amp;F56&amp;G56</f>
        <v>GlobalTTW CO2_Biodiesel (Pyr blend)tonCO2eq/ton Pyr Oil</v>
      </c>
      <c r="D56" s="15" t="s">
        <v>109</v>
      </c>
      <c r="E56" s="15" t="s">
        <v>1248</v>
      </c>
      <c r="F56" t="s">
        <v>596</v>
      </c>
      <c r="G56" s="15" t="s">
        <v>1365</v>
      </c>
      <c r="H56" s="374">
        <f>44/12*H342</f>
        <v>1.8516666666666666</v>
      </c>
      <c r="I56" s="6">
        <f t="shared" ref="I56:N56" si="33">H56</f>
        <v>1.8516666666666666</v>
      </c>
      <c r="J56" s="6">
        <f t="shared" si="33"/>
        <v>1.8516666666666666</v>
      </c>
      <c r="K56" s="6">
        <f t="shared" si="33"/>
        <v>1.8516666666666666</v>
      </c>
      <c r="L56" s="6">
        <f t="shared" si="33"/>
        <v>1.8516666666666666</v>
      </c>
      <c r="M56" s="6">
        <f t="shared" si="33"/>
        <v>1.8516666666666666</v>
      </c>
      <c r="N56" s="6">
        <f t="shared" si="33"/>
        <v>1.8516666666666666</v>
      </c>
    </row>
    <row r="57" spans="1:16" s="15" customFormat="1" hidden="1" outlineLevel="2" x14ac:dyDescent="0.2">
      <c r="A57"/>
      <c r="B57" s="15" t="str">
        <f t="shared" si="32"/>
        <v>GlobalTTW CO2_Biodiesel (HtL blend)tonCO2eq/ton HTL Oil</v>
      </c>
      <c r="D57" s="15" t="s">
        <v>109</v>
      </c>
      <c r="E57" s="15" t="s">
        <v>1248</v>
      </c>
      <c r="F57" t="s">
        <v>595</v>
      </c>
      <c r="G57" s="15" t="s">
        <v>1311</v>
      </c>
      <c r="H57" s="374">
        <f>44/12*H315</f>
        <v>1.5766666666666667</v>
      </c>
      <c r="I57" s="6">
        <f t="shared" ref="I57:N57" si="34">H57</f>
        <v>1.5766666666666667</v>
      </c>
      <c r="J57" s="6">
        <f t="shared" si="34"/>
        <v>1.5766666666666667</v>
      </c>
      <c r="K57" s="6">
        <f t="shared" si="34"/>
        <v>1.5766666666666667</v>
      </c>
      <c r="L57" s="6">
        <f t="shared" si="34"/>
        <v>1.5766666666666667</v>
      </c>
      <c r="M57" s="6">
        <f t="shared" si="34"/>
        <v>1.5766666666666667</v>
      </c>
      <c r="N57" s="6">
        <f t="shared" si="34"/>
        <v>1.5766666666666667</v>
      </c>
    </row>
    <row r="58" spans="1:16" s="15" customFormat="1" hidden="1" outlineLevel="2" x14ac:dyDescent="0.2">
      <c r="A58"/>
      <c r="B58" s="15" t="str">
        <f t="shared" si="23"/>
        <v>GlobalTTW CO2_Biodiesel (FAME)</v>
      </c>
      <c r="D58" s="15" t="s">
        <v>109</v>
      </c>
      <c r="E58" s="15" t="s">
        <v>1248</v>
      </c>
      <c r="F58" s="15" t="s">
        <v>1398</v>
      </c>
      <c r="H58" s="374"/>
      <c r="I58" s="6">
        <f t="shared" ref="I58:N58" si="35">H58</f>
        <v>0</v>
      </c>
      <c r="J58" s="6">
        <f t="shared" si="35"/>
        <v>0</v>
      </c>
      <c r="K58" s="6">
        <f t="shared" si="35"/>
        <v>0</v>
      </c>
      <c r="L58" s="6">
        <f t="shared" si="35"/>
        <v>0</v>
      </c>
      <c r="M58" s="6">
        <f t="shared" si="35"/>
        <v>0</v>
      </c>
      <c r="N58" s="6">
        <f t="shared" si="35"/>
        <v>0</v>
      </c>
    </row>
    <row r="59" spans="1:16" s="15" customFormat="1" hidden="1" outlineLevel="2" x14ac:dyDescent="0.2">
      <c r="A59"/>
      <c r="B59" s="15" t="str">
        <f t="shared" ref="B59" si="36">+D59&amp;E59&amp;F59&amp;G59</f>
        <v>GlobalTTW CO2_Biodiesel (HVO)</v>
      </c>
      <c r="D59" s="15" t="s">
        <v>109</v>
      </c>
      <c r="E59" s="15" t="s">
        <v>1248</v>
      </c>
      <c r="F59" s="15" t="s">
        <v>1399</v>
      </c>
      <c r="H59" s="374"/>
      <c r="I59" s="6">
        <f t="shared" ref="I59:N59" si="37">H59</f>
        <v>0</v>
      </c>
      <c r="J59" s="6">
        <f t="shared" si="37"/>
        <v>0</v>
      </c>
      <c r="K59" s="6">
        <f t="shared" si="37"/>
        <v>0</v>
      </c>
      <c r="L59" s="6">
        <f t="shared" si="37"/>
        <v>0</v>
      </c>
      <c r="M59" s="6">
        <f t="shared" si="37"/>
        <v>0</v>
      </c>
      <c r="N59" s="6">
        <f t="shared" si="37"/>
        <v>0</v>
      </c>
    </row>
    <row r="60" spans="1:16" s="15" customFormat="1" hidden="1" outlineLevel="2" x14ac:dyDescent="0.2">
      <c r="A60"/>
      <c r="B60" s="15" t="str">
        <f t="shared" si="23"/>
        <v>GlobalTTW CO2_LEOtonCO2eq/ton LEO</v>
      </c>
      <c r="D60" s="15" t="s">
        <v>109</v>
      </c>
      <c r="E60" s="15" t="s">
        <v>1248</v>
      </c>
      <c r="F60" s="15" t="s">
        <v>1400</v>
      </c>
      <c r="G60" s="15" t="s">
        <v>1406</v>
      </c>
      <c r="H60" s="374">
        <f>H369*H51+(1-H369)*-H106</f>
        <v>0.96114999999999995</v>
      </c>
      <c r="I60" s="6">
        <f t="shared" ref="I60:N60" si="38">H60</f>
        <v>0.96114999999999995</v>
      </c>
      <c r="J60" s="6">
        <f t="shared" si="38"/>
        <v>0.96114999999999995</v>
      </c>
      <c r="K60" s="6">
        <f t="shared" si="38"/>
        <v>0.96114999999999995</v>
      </c>
      <c r="L60" s="6">
        <f t="shared" si="38"/>
        <v>0.96114999999999995</v>
      </c>
      <c r="M60" s="6">
        <f t="shared" si="38"/>
        <v>0.96114999999999995</v>
      </c>
      <c r="N60" s="6">
        <f t="shared" si="38"/>
        <v>0.96114999999999995</v>
      </c>
    </row>
    <row r="61" spans="1:16" s="15" customFormat="1" hidden="1" outlineLevel="1" collapsed="1" x14ac:dyDescent="0.2">
      <c r="A61"/>
      <c r="H61" s="21"/>
      <c r="I61" s="6"/>
      <c r="J61" s="6"/>
      <c r="K61" s="6"/>
      <c r="L61" s="6"/>
      <c r="M61" s="6"/>
      <c r="N61" s="6"/>
    </row>
    <row r="62" spans="1:16" ht="13.5" collapsed="1" thickBot="1" x14ac:dyDescent="0.25">
      <c r="H62" s="15"/>
      <c r="I62" s="15"/>
      <c r="J62" s="15"/>
      <c r="K62" s="15"/>
      <c r="L62" s="15"/>
      <c r="M62" s="15"/>
      <c r="N62" s="15"/>
      <c r="O62" s="15"/>
    </row>
    <row r="63" spans="1:16" ht="13.5" thickBot="1" x14ac:dyDescent="0.25">
      <c r="B63" s="580" t="s">
        <v>1407</v>
      </c>
      <c r="C63" s="577"/>
      <c r="D63" s="581" t="str">
        <f>+B63</f>
        <v>Renewable energy - Biomass and electricity</v>
      </c>
      <c r="E63" s="582"/>
      <c r="F63" s="582"/>
      <c r="G63" s="582"/>
      <c r="H63" s="583">
        <f>+H$3</f>
        <v>2020</v>
      </c>
      <c r="I63" s="583">
        <f t="shared" ref="I63:N63" si="39">+I$3</f>
        <v>2025</v>
      </c>
      <c r="J63" s="583">
        <f t="shared" si="39"/>
        <v>2030</v>
      </c>
      <c r="K63" s="583">
        <f t="shared" si="39"/>
        <v>2035</v>
      </c>
      <c r="L63" s="583">
        <f t="shared" si="39"/>
        <v>2040</v>
      </c>
      <c r="M63" s="583">
        <f t="shared" si="39"/>
        <v>2045</v>
      </c>
      <c r="N63" s="584">
        <f t="shared" si="39"/>
        <v>2050</v>
      </c>
    </row>
    <row r="64" spans="1:16" hidden="1" outlineLevel="1" x14ac:dyDescent="0.2">
      <c r="B64" t="str">
        <f t="shared" ref="B64:B69" si="40">+D64&amp;E64&amp;F64&amp;G64</f>
        <v>EuropeFeedstockElectricityUSD/MWh</v>
      </c>
      <c r="D64" t="s">
        <v>195</v>
      </c>
      <c r="E64" t="s">
        <v>777</v>
      </c>
      <c r="F64" t="s">
        <v>54</v>
      </c>
      <c r="G64" s="15" t="s">
        <v>196</v>
      </c>
      <c r="H64" s="25">
        <f>IF(index_swing_eletricity=1,H72,IF(index_swing_eletricity=2,H78,'Main Assumptions'!D26))</f>
        <v>54.596518251479822</v>
      </c>
      <c r="I64" s="25">
        <f>IF(index_swing_eletricity=1,I72,IF(index_swing_eletricity=2,I78,'Main Assumptions'!E26))</f>
        <v>44.178163428608016</v>
      </c>
      <c r="J64" s="25">
        <f>IF(index_swing_eletricity=1,J72,IF(index_swing_eletricity=2,J78,'Main Assumptions'!F26))</f>
        <v>35.760069774188757</v>
      </c>
      <c r="K64" s="25">
        <f>IF(index_swing_eletricity=1,K72,IF(index_swing_eletricity=2,K78,'Main Assumptions'!G26))</f>
        <v>32.262353602492915</v>
      </c>
      <c r="L64" s="25">
        <f>IF(index_swing_eletricity=1,L72,IF(index_swing_eletricity=2,L78,'Main Assumptions'!H26))</f>
        <v>30.17403926811183</v>
      </c>
      <c r="M64" s="25">
        <f>IF(index_swing_eletricity=1,M72,IF(index_swing_eletricity=2,M78,'Main Assumptions'!I26))</f>
        <v>27.939919953355002</v>
      </c>
      <c r="N64" s="25">
        <f>IF(index_swing_eletricity=1,N72,IF(index_swing_eletricity=2,N78,'Main Assumptions'!J26))</f>
        <v>26.309860491239117</v>
      </c>
      <c r="P64" s="86"/>
    </row>
    <row r="65" spans="1:18" hidden="1" outlineLevel="1" x14ac:dyDescent="0.2">
      <c r="B65" t="str">
        <f t="shared" si="40"/>
        <v>Middle EastFeedstockElectricityUSD/MWh</v>
      </c>
      <c r="D65" t="s">
        <v>197</v>
      </c>
      <c r="E65" t="s">
        <v>777</v>
      </c>
      <c r="F65" t="s">
        <v>54</v>
      </c>
      <c r="G65" s="15" t="s">
        <v>196</v>
      </c>
      <c r="H65" s="25">
        <f>IF(index_swing_eletricity=1,H73,IF(index_swing_eletricity=2,H79,'Main Assumptions'!D27))</f>
        <v>41.921157991354328</v>
      </c>
      <c r="I65" s="25">
        <f>IF(index_swing_eletricity=1,I73,IF(index_swing_eletricity=2,I79,'Main Assumptions'!E27))</f>
        <v>33.753089127704079</v>
      </c>
      <c r="J65" s="25">
        <f>IF(index_swing_eletricity=1,J73,IF(index_swing_eletricity=2,J79,'Main Assumptions'!F27))</f>
        <v>28.34507912512213</v>
      </c>
      <c r="K65" s="25">
        <f>IF(index_swing_eletricity=1,K73,IF(index_swing_eletricity=2,K79,'Main Assumptions'!G27))</f>
        <v>24.531808876328746</v>
      </c>
      <c r="L65" s="25">
        <f>IF(index_swing_eletricity=1,L73,IF(index_swing_eletricity=2,L79,'Main Assumptions'!H27))</f>
        <v>22.619875270215999</v>
      </c>
      <c r="M65" s="25">
        <f>IF(index_swing_eletricity=1,M73,IF(index_swing_eletricity=2,M79,'Main Assumptions'!I27))</f>
        <v>20.112573077486601</v>
      </c>
      <c r="N65" s="25">
        <f>IF(index_swing_eletricity=1,N73,IF(index_swing_eletricity=2,N79,'Main Assumptions'!J27))</f>
        <v>18.93907699669392</v>
      </c>
      <c r="P65" s="86"/>
    </row>
    <row r="66" spans="1:18" hidden="1" outlineLevel="1" x14ac:dyDescent="0.2">
      <c r="B66" t="str">
        <f t="shared" si="40"/>
        <v>AsiaFeedstockElectricityUSD/MWh</v>
      </c>
      <c r="D66" t="s">
        <v>198</v>
      </c>
      <c r="E66" t="s">
        <v>777</v>
      </c>
      <c r="F66" t="s">
        <v>54</v>
      </c>
      <c r="G66" s="15" t="s">
        <v>196</v>
      </c>
      <c r="H66" s="25">
        <f>IF(index_swing_eletricity=1,H74,IF(index_swing_eletricity=2,H80,'Main Assumptions'!D28))</f>
        <v>82.061686148726054</v>
      </c>
      <c r="I66" s="25">
        <f>IF(index_swing_eletricity=1,I74,IF(index_swing_eletricity=2,I80,'Main Assumptions'!E28))</f>
        <v>53.528213383864831</v>
      </c>
      <c r="J66" s="25">
        <f>IF(index_swing_eletricity=1,J74,IF(index_swing_eletricity=2,J80,'Main Assumptions'!F28))</f>
        <v>43.29349363565693</v>
      </c>
      <c r="K66" s="25">
        <f>IF(index_swing_eletricity=1,K74,IF(index_swing_eletricity=2,K80,'Main Assumptions'!G28))</f>
        <v>36.337065788929628</v>
      </c>
      <c r="L66" s="25">
        <f>IF(index_swing_eletricity=1,L74,IF(index_swing_eletricity=2,L80,'Main Assumptions'!H28))</f>
        <v>32.800249332911001</v>
      </c>
      <c r="M66" s="25">
        <f>IF(index_swing_eletricity=1,M74,IF(index_swing_eletricity=2,M80,'Main Assumptions'!I28))</f>
        <v>29.0981641388437</v>
      </c>
      <c r="N66" s="25">
        <f>IF(index_swing_eletricity=1,N74,IF(index_swing_eletricity=2,N80,'Main Assumptions'!J28))</f>
        <v>27.400436938991028</v>
      </c>
      <c r="P66" s="86"/>
    </row>
    <row r="67" spans="1:18" hidden="1" outlineLevel="1" x14ac:dyDescent="0.2">
      <c r="B67" t="str">
        <f t="shared" si="40"/>
        <v>AmericasFeedstockElectricityUSD/MWh</v>
      </c>
      <c r="D67" t="s">
        <v>199</v>
      </c>
      <c r="E67" t="s">
        <v>777</v>
      </c>
      <c r="F67" t="s">
        <v>54</v>
      </c>
      <c r="G67" s="15" t="s">
        <v>196</v>
      </c>
      <c r="H67" s="25">
        <f>IF(index_swing_eletricity=1,H75,IF(index_swing_eletricity=2,H81,'Main Assumptions'!D29))</f>
        <v>38.96640570315094</v>
      </c>
      <c r="I67" s="25">
        <f>IF(index_swing_eletricity=1,I75,IF(index_swing_eletricity=2,I81,'Main Assumptions'!E29))</f>
        <v>35.167703764177872</v>
      </c>
      <c r="J67" s="25">
        <f>IF(index_swing_eletricity=1,J75,IF(index_swing_eletricity=2,J81,'Main Assumptions'!F29))</f>
        <v>28.746405825398561</v>
      </c>
      <c r="K67" s="25">
        <f>IF(index_swing_eletricity=1,K75,IF(index_swing_eletricity=2,K81,'Main Assumptions'!G29))</f>
        <v>25.656323090259679</v>
      </c>
      <c r="L67" s="25">
        <f>IF(index_swing_eletricity=1,L75,IF(index_swing_eletricity=2,L81,'Main Assumptions'!H29))</f>
        <v>23.151426016069131</v>
      </c>
      <c r="M67" s="25">
        <f>IF(index_swing_eletricity=1,M75,IF(index_swing_eletricity=2,M81,'Main Assumptions'!I29))</f>
        <v>22.142282710121734</v>
      </c>
      <c r="N67" s="25">
        <f>IF(index_swing_eletricity=1,N75,IF(index_swing_eletricity=2,N81,'Main Assumptions'!J29))</f>
        <v>21.380955513479382</v>
      </c>
      <c r="P67" s="86"/>
    </row>
    <row r="68" spans="1:18" hidden="1" outlineLevel="1" x14ac:dyDescent="0.2">
      <c r="B68" t="str">
        <f t="shared" si="40"/>
        <v>AfricaFeedstockElectricityUSD/MWh</v>
      </c>
      <c r="D68" t="s">
        <v>200</v>
      </c>
      <c r="E68" t="s">
        <v>777</v>
      </c>
      <c r="F68" t="s">
        <v>54</v>
      </c>
      <c r="G68" s="15" t="s">
        <v>196</v>
      </c>
      <c r="H68" s="25">
        <f>IF(index_swing_eletricity=1,H76,IF(index_swing_eletricity=2,H82,'Main Assumptions'!D30))</f>
        <v>78.959338985079413</v>
      </c>
      <c r="I68" s="25">
        <f>IF(index_swing_eletricity=1,I76,IF(index_swing_eletricity=2,I82,'Main Assumptions'!E30))</f>
        <v>44.676785560803516</v>
      </c>
      <c r="J68" s="25">
        <f>IF(index_swing_eletricity=1,J76,IF(index_swing_eletricity=2,J82,'Main Assumptions'!F30))</f>
        <v>35.119981181981451</v>
      </c>
      <c r="K68" s="25">
        <f>IF(index_swing_eletricity=1,K76,IF(index_swing_eletricity=2,K82,'Main Assumptions'!G30))</f>
        <v>29.785360764210218</v>
      </c>
      <c r="L68" s="25">
        <f>IF(index_swing_eletricity=1,L76,IF(index_swing_eletricity=2,L82,'Main Assumptions'!H30))</f>
        <v>27.274442592674799</v>
      </c>
      <c r="M68" s="25">
        <f>IF(index_swing_eletricity=1,M76,IF(index_swing_eletricity=2,M82,'Main Assumptions'!I30))</f>
        <v>24.692537876031398</v>
      </c>
      <c r="N68" s="25">
        <f>IF(index_swing_eletricity=1,N76,IF(index_swing_eletricity=2,N82,'Main Assumptions'!J30))</f>
        <v>23.425269893906371</v>
      </c>
      <c r="P68" s="86"/>
    </row>
    <row r="69" spans="1:18" s="15" customFormat="1" hidden="1" outlineLevel="1" x14ac:dyDescent="0.2">
      <c r="A69"/>
      <c r="B69" s="15" t="str">
        <f t="shared" si="40"/>
        <v>GlobalCO2intensityElectricitytonCO2eq/MWH</v>
      </c>
      <c r="D69" s="15" t="s">
        <v>109</v>
      </c>
      <c r="E69" s="15" t="s">
        <v>927</v>
      </c>
      <c r="F69" s="15" t="s">
        <v>54</v>
      </c>
      <c r="G69" s="15" t="s">
        <v>937</v>
      </c>
      <c r="H69" s="374">
        <v>5.3699999999999998E-3</v>
      </c>
      <c r="I69" s="6">
        <f>H69</f>
        <v>5.3699999999999998E-3</v>
      </c>
      <c r="J69" s="6">
        <f t="shared" ref="J69:N69" si="41">I69</f>
        <v>5.3699999999999998E-3</v>
      </c>
      <c r="K69" s="6">
        <f t="shared" si="41"/>
        <v>5.3699999999999998E-3</v>
      </c>
      <c r="L69" s="6">
        <f t="shared" si="41"/>
        <v>5.3699999999999998E-3</v>
      </c>
      <c r="M69" s="6">
        <f t="shared" si="41"/>
        <v>5.3699999999999998E-3</v>
      </c>
      <c r="N69" s="6">
        <f t="shared" si="41"/>
        <v>5.3699999999999998E-3</v>
      </c>
    </row>
    <row r="70" spans="1:18" s="15" customFormat="1" hidden="1" outlineLevel="1" x14ac:dyDescent="0.2">
      <c r="A70"/>
      <c r="I70" s="21"/>
      <c r="J70" s="21"/>
      <c r="K70" s="21"/>
      <c r="L70" s="21"/>
      <c r="M70" s="21"/>
      <c r="N70" s="21"/>
    </row>
    <row r="71" spans="1:18" s="15" customFormat="1" hidden="1" outlineLevel="1" x14ac:dyDescent="0.2">
      <c r="A71"/>
      <c r="B71" s="31" t="s">
        <v>1408</v>
      </c>
      <c r="H71" s="586"/>
      <c r="I71" s="21"/>
      <c r="J71" s="21"/>
      <c r="K71" s="21"/>
      <c r="L71" s="21"/>
      <c r="M71" s="21"/>
      <c r="N71" s="21"/>
    </row>
    <row r="72" spans="1:18" hidden="1" outlineLevel="2" x14ac:dyDescent="0.2">
      <c r="B72" t="str">
        <f t="shared" ref="B72:B76" si="42">+D72&amp;E72&amp;F72&amp;G72</f>
        <v>EuropeFeedstockElectricity baselineUSD/MWh</v>
      </c>
      <c r="D72" t="s">
        <v>195</v>
      </c>
      <c r="E72" t="s">
        <v>777</v>
      </c>
      <c r="F72" t="s">
        <v>1409</v>
      </c>
      <c r="G72" s="15" t="s">
        <v>196</v>
      </c>
      <c r="H72" s="587">
        <v>65.068306271861914</v>
      </c>
      <c r="I72" s="587">
        <v>60</v>
      </c>
      <c r="J72" s="587">
        <v>55.326474688903666</v>
      </c>
      <c r="K72" s="587">
        <v>51.016980025031636</v>
      </c>
      <c r="L72" s="587">
        <v>47.043160900986948</v>
      </c>
      <c r="M72" s="587">
        <v>43.378870847907947</v>
      </c>
      <c r="N72" s="587">
        <v>40</v>
      </c>
    </row>
    <row r="73" spans="1:18" hidden="1" outlineLevel="2" x14ac:dyDescent="0.2">
      <c r="B73" t="str">
        <f t="shared" si="42"/>
        <v>Middle EastFeedstockElectricity baselineUSD/MWh</v>
      </c>
      <c r="D73" t="s">
        <v>197</v>
      </c>
      <c r="E73" t="s">
        <v>777</v>
      </c>
      <c r="F73" t="s">
        <v>1409</v>
      </c>
      <c r="G73" s="15" t="s">
        <v>196</v>
      </c>
      <c r="H73" s="587">
        <v>64.538342705631436</v>
      </c>
      <c r="I73" s="587">
        <v>58</v>
      </c>
      <c r="J73" s="587">
        <v>52.124053066309479</v>
      </c>
      <c r="K73" s="587">
        <v>46.843394966542178</v>
      </c>
      <c r="L73" s="587">
        <v>42.097717328312733</v>
      </c>
      <c r="M73" s="587">
        <v>37.832821586059808</v>
      </c>
      <c r="N73" s="587">
        <v>34</v>
      </c>
      <c r="P73" s="121"/>
      <c r="Q73" s="758"/>
      <c r="R73" s="121"/>
    </row>
    <row r="74" spans="1:18" hidden="1" outlineLevel="2" x14ac:dyDescent="0.2">
      <c r="B74" t="str">
        <f t="shared" si="42"/>
        <v>AsiaFeedstockElectricity baselineUSD/MWh</v>
      </c>
      <c r="D74" t="s">
        <v>198</v>
      </c>
      <c r="E74" t="s">
        <v>777</v>
      </c>
      <c r="F74" t="s">
        <v>1409</v>
      </c>
      <c r="G74" s="15" t="s">
        <v>196</v>
      </c>
      <c r="H74" s="587">
        <v>84.028138849019186</v>
      </c>
      <c r="I74" s="587">
        <v>76</v>
      </c>
      <c r="J74" s="587">
        <v>68.738878179585186</v>
      </c>
      <c r="K74" s="587">
        <v>62.171491755103325</v>
      </c>
      <c r="L74" s="587">
        <v>56.231560499962271</v>
      </c>
      <c r="M74" s="587">
        <v>50.859136671774749</v>
      </c>
      <c r="N74" s="587">
        <v>46</v>
      </c>
      <c r="P74" s="121"/>
      <c r="Q74" s="758"/>
      <c r="R74" s="121"/>
    </row>
    <row r="75" spans="1:18" hidden="1" outlineLevel="2" x14ac:dyDescent="0.2">
      <c r="B75" t="str">
        <f t="shared" si="42"/>
        <v>AmericasFeedstockElectricity baselineUSD/MWh</v>
      </c>
      <c r="D75" t="s">
        <v>199</v>
      </c>
      <c r="E75" t="s">
        <v>777</v>
      </c>
      <c r="F75" t="s">
        <v>1409</v>
      </c>
      <c r="G75" s="15" t="s">
        <v>196</v>
      </c>
      <c r="H75" s="587">
        <v>52.82108111495215</v>
      </c>
      <c r="I75" s="587">
        <v>50</v>
      </c>
      <c r="J75" s="587">
        <v>47.329587869649281</v>
      </c>
      <c r="K75" s="587">
        <v>44.801797758217049</v>
      </c>
      <c r="L75" s="587">
        <v>42.409012474315801</v>
      </c>
      <c r="M75" s="587">
        <v>40.144021647363644</v>
      </c>
      <c r="N75" s="587">
        <v>38</v>
      </c>
      <c r="P75" s="121"/>
      <c r="Q75" s="758"/>
      <c r="R75" s="121"/>
    </row>
    <row r="76" spans="1:18" hidden="1" outlineLevel="2" x14ac:dyDescent="0.2">
      <c r="B76" t="str">
        <f t="shared" si="42"/>
        <v>AfricaFeedstockElectricity baselineUSD/MWh</v>
      </c>
      <c r="D76" t="s">
        <v>200</v>
      </c>
      <c r="E76" t="s">
        <v>777</v>
      </c>
      <c r="F76" t="s">
        <v>1409</v>
      </c>
      <c r="G76" s="15" t="s">
        <v>196</v>
      </c>
      <c r="H76" s="587">
        <v>71.805129308556772</v>
      </c>
      <c r="I76" s="587">
        <v>64</v>
      </c>
      <c r="J76" s="587">
        <v>57.043278654912108</v>
      </c>
      <c r="K76" s="587">
        <v>50.842744370342992</v>
      </c>
      <c r="L76" s="587">
        <v>45.3162005421553</v>
      </c>
      <c r="M76" s="587">
        <v>40.390385236063189</v>
      </c>
      <c r="N76" s="587">
        <v>36</v>
      </c>
      <c r="P76" s="121"/>
      <c r="Q76" s="758"/>
      <c r="R76" s="121"/>
    </row>
    <row r="77" spans="1:18" s="15" customFormat="1" hidden="1" outlineLevel="2" x14ac:dyDescent="0.2">
      <c r="A77"/>
      <c r="F77"/>
      <c r="I77" s="21"/>
      <c r="J77" s="21"/>
      <c r="K77" s="21"/>
      <c r="L77" s="21"/>
      <c r="M77" s="21"/>
      <c r="N77" s="21"/>
      <c r="P77" s="121"/>
      <c r="Q77" s="758"/>
      <c r="R77" s="121"/>
    </row>
    <row r="78" spans="1:18" hidden="1" outlineLevel="2" x14ac:dyDescent="0.2">
      <c r="B78" t="str">
        <f t="shared" ref="B78:B82" si="43">+D78&amp;E78&amp;F78&amp;G78</f>
        <v>EuropeFeedstockElectricity swingUSD/MWh</v>
      </c>
      <c r="D78" t="s">
        <v>195</v>
      </c>
      <c r="E78" t="s">
        <v>777</v>
      </c>
      <c r="F78" t="s">
        <v>1410</v>
      </c>
      <c r="G78" s="15" t="s">
        <v>196</v>
      </c>
      <c r="H78" s="587">
        <v>54.596518251479822</v>
      </c>
      <c r="I78" s="587">
        <v>44.178163428608016</v>
      </c>
      <c r="J78" s="587">
        <v>35.760069774188757</v>
      </c>
      <c r="K78" s="587">
        <v>32.262353602492915</v>
      </c>
      <c r="L78" s="587">
        <v>30.17403926811183</v>
      </c>
      <c r="M78" s="587">
        <v>27.939919953355002</v>
      </c>
      <c r="N78" s="587">
        <v>26.309860491239117</v>
      </c>
      <c r="P78" s="121"/>
      <c r="Q78" s="758"/>
      <c r="R78" s="121"/>
    </row>
    <row r="79" spans="1:18" hidden="1" outlineLevel="2" x14ac:dyDescent="0.2">
      <c r="B79" t="str">
        <f t="shared" si="43"/>
        <v>Middle EastFeedstockElectricity swingUSD/MWh</v>
      </c>
      <c r="D79" t="s">
        <v>197</v>
      </c>
      <c r="E79" t="s">
        <v>777</v>
      </c>
      <c r="F79" t="s">
        <v>1410</v>
      </c>
      <c r="G79" s="15" t="s">
        <v>196</v>
      </c>
      <c r="H79" s="587">
        <v>41.921157991354328</v>
      </c>
      <c r="I79" s="587">
        <v>33.753089127704079</v>
      </c>
      <c r="J79" s="587">
        <v>28.34507912512213</v>
      </c>
      <c r="K79" s="587">
        <v>24.531808876328746</v>
      </c>
      <c r="L79" s="587">
        <v>22.619875270215999</v>
      </c>
      <c r="M79" s="587">
        <v>20.112573077486601</v>
      </c>
      <c r="N79" s="587">
        <v>18.93907699669392</v>
      </c>
      <c r="P79" s="121"/>
      <c r="Q79" s="758"/>
      <c r="R79" s="121"/>
    </row>
    <row r="80" spans="1:18" hidden="1" outlineLevel="2" x14ac:dyDescent="0.2">
      <c r="B80" t="str">
        <f t="shared" si="43"/>
        <v>AsiaFeedstockElectricity swingUSD/MWh</v>
      </c>
      <c r="D80" t="s">
        <v>198</v>
      </c>
      <c r="E80" t="s">
        <v>777</v>
      </c>
      <c r="F80" t="s">
        <v>1410</v>
      </c>
      <c r="G80" s="15" t="s">
        <v>196</v>
      </c>
      <c r="H80" s="587">
        <v>82.061686148726054</v>
      </c>
      <c r="I80" s="587">
        <v>53.528213383864831</v>
      </c>
      <c r="J80" s="587">
        <v>43.29349363565693</v>
      </c>
      <c r="K80" s="587">
        <v>36.337065788929628</v>
      </c>
      <c r="L80" s="587">
        <v>32.800249332911001</v>
      </c>
      <c r="M80" s="587">
        <v>29.0981641388437</v>
      </c>
      <c r="N80" s="587">
        <v>27.400436938991028</v>
      </c>
      <c r="P80" s="86"/>
    </row>
    <row r="81" spans="1:16" hidden="1" outlineLevel="2" x14ac:dyDescent="0.2">
      <c r="B81" t="str">
        <f t="shared" si="43"/>
        <v>AmericasFeedstockElectricity swingUSD/MWh</v>
      </c>
      <c r="D81" t="s">
        <v>199</v>
      </c>
      <c r="E81" t="s">
        <v>777</v>
      </c>
      <c r="F81" t="s">
        <v>1410</v>
      </c>
      <c r="G81" s="15" t="s">
        <v>196</v>
      </c>
      <c r="H81" s="587">
        <v>38.96640570315094</v>
      </c>
      <c r="I81" s="587">
        <v>35.167703764177872</v>
      </c>
      <c r="J81" s="587">
        <v>28.746405825398561</v>
      </c>
      <c r="K81" s="587">
        <v>25.656323090259679</v>
      </c>
      <c r="L81" s="587">
        <v>23.151426016069131</v>
      </c>
      <c r="M81" s="587">
        <v>22.142282710121734</v>
      </c>
      <c r="N81" s="587">
        <v>21.380955513479382</v>
      </c>
      <c r="P81" s="86"/>
    </row>
    <row r="82" spans="1:16" hidden="1" outlineLevel="2" x14ac:dyDescent="0.2">
      <c r="B82" t="str">
        <f t="shared" si="43"/>
        <v>AfricaFeedstockElectricity swingUSD/MWh</v>
      </c>
      <c r="D82" t="s">
        <v>200</v>
      </c>
      <c r="E82" t="s">
        <v>777</v>
      </c>
      <c r="F82" t="s">
        <v>1410</v>
      </c>
      <c r="G82" s="15" t="s">
        <v>196</v>
      </c>
      <c r="H82" s="587">
        <v>78.959338985079413</v>
      </c>
      <c r="I82" s="587">
        <v>44.676785560803516</v>
      </c>
      <c r="J82" s="587">
        <v>35.119981181981451</v>
      </c>
      <c r="K82" s="587">
        <v>29.785360764210218</v>
      </c>
      <c r="L82" s="587">
        <v>27.274442592674799</v>
      </c>
      <c r="M82" s="587">
        <v>24.692537876031398</v>
      </c>
      <c r="N82" s="587">
        <v>23.425269893906371</v>
      </c>
      <c r="P82" s="86"/>
    </row>
    <row r="83" spans="1:16" s="15" customFormat="1" hidden="1" outlineLevel="1" collapsed="1" x14ac:dyDescent="0.2">
      <c r="A83"/>
      <c r="H83" s="365"/>
      <c r="I83" s="21"/>
      <c r="J83" s="21"/>
      <c r="K83" s="21"/>
      <c r="L83" s="21"/>
      <c r="M83" s="21"/>
      <c r="N83" s="21"/>
    </row>
    <row r="84" spans="1:16" s="15" customFormat="1" hidden="1" outlineLevel="1" x14ac:dyDescent="0.2">
      <c r="A84"/>
      <c r="B84" s="31" t="s">
        <v>1411</v>
      </c>
      <c r="D84" s="266" t="str">
        <f>+B84</f>
        <v>Feedstock - Municipal waste</v>
      </c>
      <c r="H84" s="365"/>
      <c r="I84" s="21"/>
      <c r="J84" s="21"/>
      <c r="K84" s="21"/>
      <c r="L84" s="21"/>
      <c r="M84" s="21"/>
      <c r="N84" s="21"/>
    </row>
    <row r="85" spans="1:16" hidden="1" outlineLevel="2" x14ac:dyDescent="0.2">
      <c r="B85" s="15" t="str">
        <f t="shared" ref="B85:B90" si="44">+D85&amp;E85&amp;F85&amp;G85</f>
        <v>EuropeFeedstockCost of Organic wet wasteUSD/ton</v>
      </c>
      <c r="C85" s="15"/>
      <c r="D85" t="s">
        <v>195</v>
      </c>
      <c r="E85" t="s">
        <v>777</v>
      </c>
      <c r="F85" t="s">
        <v>1242</v>
      </c>
      <c r="G85" s="15" t="s">
        <v>205</v>
      </c>
      <c r="H85" s="357">
        <v>50</v>
      </c>
      <c r="I85" s="21">
        <f>H85</f>
        <v>50</v>
      </c>
      <c r="J85" s="21">
        <f t="shared" ref="J85:N85" si="45">I85</f>
        <v>50</v>
      </c>
      <c r="K85" s="21">
        <f t="shared" si="45"/>
        <v>50</v>
      </c>
      <c r="L85" s="21">
        <f t="shared" si="45"/>
        <v>50</v>
      </c>
      <c r="M85" s="21">
        <f t="shared" si="45"/>
        <v>50</v>
      </c>
      <c r="N85" s="21">
        <f t="shared" si="45"/>
        <v>50</v>
      </c>
    </row>
    <row r="86" spans="1:16" hidden="1" outlineLevel="2" x14ac:dyDescent="0.2">
      <c r="B86" s="15" t="str">
        <f t="shared" si="44"/>
        <v>Middle EastFeedstockCost of Organic wet wasteUSD/ton</v>
      </c>
      <c r="C86" s="15"/>
      <c r="D86" t="s">
        <v>197</v>
      </c>
      <c r="E86" t="s">
        <v>777</v>
      </c>
      <c r="F86" t="s">
        <v>1242</v>
      </c>
      <c r="G86" s="15" t="s">
        <v>205</v>
      </c>
      <c r="H86" s="357">
        <v>50</v>
      </c>
      <c r="I86" s="21">
        <f t="shared" ref="I86:N86" si="46">H86</f>
        <v>50</v>
      </c>
      <c r="J86" s="21">
        <f t="shared" si="46"/>
        <v>50</v>
      </c>
      <c r="K86" s="21">
        <f t="shared" si="46"/>
        <v>50</v>
      </c>
      <c r="L86" s="21">
        <f t="shared" si="46"/>
        <v>50</v>
      </c>
      <c r="M86" s="21">
        <f t="shared" si="46"/>
        <v>50</v>
      </c>
      <c r="N86" s="21">
        <f t="shared" si="46"/>
        <v>50</v>
      </c>
    </row>
    <row r="87" spans="1:16" hidden="1" outlineLevel="2" x14ac:dyDescent="0.2">
      <c r="B87" s="15" t="str">
        <f t="shared" si="44"/>
        <v>AsiaFeedstockCost of Organic wet wasteUSD/ton</v>
      </c>
      <c r="C87" s="15"/>
      <c r="D87" t="s">
        <v>198</v>
      </c>
      <c r="E87" t="s">
        <v>777</v>
      </c>
      <c r="F87" t="s">
        <v>1242</v>
      </c>
      <c r="G87" s="15" t="s">
        <v>205</v>
      </c>
      <c r="H87" s="357">
        <v>50</v>
      </c>
      <c r="I87" s="21">
        <f t="shared" ref="I87:N87" si="47">H87</f>
        <v>50</v>
      </c>
      <c r="J87" s="21">
        <f t="shared" si="47"/>
        <v>50</v>
      </c>
      <c r="K87" s="21">
        <f t="shared" si="47"/>
        <v>50</v>
      </c>
      <c r="L87" s="21">
        <f t="shared" si="47"/>
        <v>50</v>
      </c>
      <c r="M87" s="21">
        <f t="shared" si="47"/>
        <v>50</v>
      </c>
      <c r="N87" s="21">
        <f t="shared" si="47"/>
        <v>50</v>
      </c>
    </row>
    <row r="88" spans="1:16" hidden="1" outlineLevel="2" x14ac:dyDescent="0.2">
      <c r="B88" s="15" t="str">
        <f t="shared" si="44"/>
        <v>AmericasFeedstockCost of Organic wet wasteUSD/ton</v>
      </c>
      <c r="C88" s="15"/>
      <c r="D88" t="s">
        <v>199</v>
      </c>
      <c r="E88" t="s">
        <v>777</v>
      </c>
      <c r="F88" t="s">
        <v>1242</v>
      </c>
      <c r="G88" s="15" t="s">
        <v>205</v>
      </c>
      <c r="H88" s="357">
        <v>50</v>
      </c>
      <c r="I88" s="21">
        <f t="shared" ref="I88:N88" si="48">H88</f>
        <v>50</v>
      </c>
      <c r="J88" s="21">
        <f t="shared" si="48"/>
        <v>50</v>
      </c>
      <c r="K88" s="21">
        <f t="shared" si="48"/>
        <v>50</v>
      </c>
      <c r="L88" s="21">
        <f t="shared" si="48"/>
        <v>50</v>
      </c>
      <c r="M88" s="21">
        <f t="shared" si="48"/>
        <v>50</v>
      </c>
      <c r="N88" s="21">
        <f t="shared" si="48"/>
        <v>50</v>
      </c>
    </row>
    <row r="89" spans="1:16" hidden="1" outlineLevel="2" x14ac:dyDescent="0.2">
      <c r="B89" s="15" t="str">
        <f t="shared" si="44"/>
        <v>AfricaFeedstockCost of Organic wet wasteUSD/ton</v>
      </c>
      <c r="C89" s="15"/>
      <c r="D89" t="s">
        <v>200</v>
      </c>
      <c r="E89" t="s">
        <v>777</v>
      </c>
      <c r="F89" t="s">
        <v>1242</v>
      </c>
      <c r="G89" s="15" t="s">
        <v>205</v>
      </c>
      <c r="H89" s="357">
        <v>50</v>
      </c>
      <c r="I89" s="21">
        <f t="shared" ref="I89:N89" si="49">H89</f>
        <v>50</v>
      </c>
      <c r="J89" s="21">
        <f t="shared" si="49"/>
        <v>50</v>
      </c>
      <c r="K89" s="21">
        <f t="shared" si="49"/>
        <v>50</v>
      </c>
      <c r="L89" s="21">
        <f t="shared" si="49"/>
        <v>50</v>
      </c>
      <c r="M89" s="21">
        <f t="shared" si="49"/>
        <v>50</v>
      </c>
      <c r="N89" s="21">
        <f t="shared" si="49"/>
        <v>50</v>
      </c>
    </row>
    <row r="90" spans="1:16" hidden="1" outlineLevel="2" x14ac:dyDescent="0.2">
      <c r="B90" s="80" t="str">
        <f t="shared" si="44"/>
        <v>GlobalCO2intensityWTT Organic wet wastetonCO2eq/ton</v>
      </c>
      <c r="C90" s="81"/>
      <c r="D90" t="s">
        <v>109</v>
      </c>
      <c r="E90" t="s">
        <v>927</v>
      </c>
      <c r="F90" t="s">
        <v>1251</v>
      </c>
      <c r="G90" s="224" t="s">
        <v>1252</v>
      </c>
      <c r="H90" s="374">
        <v>0.09</v>
      </c>
      <c r="I90" s="374">
        <v>7.6499999999999999E-2</v>
      </c>
      <c r="J90" s="374">
        <v>6.3E-2</v>
      </c>
      <c r="K90" s="374">
        <v>4.9499999999999995E-2</v>
      </c>
      <c r="L90" s="374">
        <v>3.599999999999999E-2</v>
      </c>
      <c r="M90" s="374">
        <v>2.2499999999999992E-2</v>
      </c>
      <c r="N90" s="374">
        <v>8.9999999999999993E-3</v>
      </c>
    </row>
    <row r="91" spans="1:16" hidden="1" outlineLevel="1" x14ac:dyDescent="0.2">
      <c r="B91" s="15"/>
      <c r="C91" s="15"/>
      <c r="H91" s="365"/>
      <c r="I91" s="21"/>
      <c r="J91" s="21"/>
      <c r="K91" s="21"/>
      <c r="L91" s="21"/>
      <c r="M91" s="21"/>
      <c r="N91" s="21"/>
    </row>
    <row r="92" spans="1:16" hidden="1" outlineLevel="1" x14ac:dyDescent="0.2">
      <c r="B92" s="31" t="s">
        <v>1412</v>
      </c>
      <c r="C92" s="15"/>
      <c r="D92" s="266" t="str">
        <f>+B92</f>
        <v>Feedstock - Wood biomass</v>
      </c>
      <c r="H92" s="365"/>
      <c r="I92" s="21"/>
      <c r="J92" s="21"/>
      <c r="K92" s="21"/>
      <c r="L92" s="21"/>
      <c r="M92" s="21"/>
      <c r="N92" s="21"/>
    </row>
    <row r="93" spans="1:16" hidden="1" outlineLevel="2" x14ac:dyDescent="0.2">
      <c r="B93" s="15" t="str">
        <f t="shared" ref="B93:B98" si="50">+D93&amp;E93&amp;F93&amp;G93</f>
        <v>EuropeFeedstockCost of Wood biomassUSD/ton Wood</v>
      </c>
      <c r="C93" s="15"/>
      <c r="D93" t="s">
        <v>195</v>
      </c>
      <c r="E93" t="s">
        <v>777</v>
      </c>
      <c r="F93" t="s">
        <v>1244</v>
      </c>
      <c r="G93" s="15" t="s">
        <v>1245</v>
      </c>
      <c r="H93" s="374">
        <v>95</v>
      </c>
      <c r="I93" s="374">
        <v>100</v>
      </c>
      <c r="J93" s="374">
        <v>105</v>
      </c>
      <c r="K93" s="374">
        <v>110</v>
      </c>
      <c r="L93" s="374">
        <v>114</v>
      </c>
      <c r="M93" s="374">
        <v>119</v>
      </c>
      <c r="N93" s="374">
        <v>124</v>
      </c>
    </row>
    <row r="94" spans="1:16" hidden="1" outlineLevel="2" x14ac:dyDescent="0.2">
      <c r="B94" s="15" t="str">
        <f t="shared" si="50"/>
        <v>Middle EastFeedstockCost of Wood biomassUSD/ton Wood</v>
      </c>
      <c r="C94" s="15"/>
      <c r="D94" t="s">
        <v>197</v>
      </c>
      <c r="E94" t="s">
        <v>777</v>
      </c>
      <c r="F94" t="s">
        <v>1244</v>
      </c>
      <c r="G94" s="15" t="s">
        <v>1245</v>
      </c>
      <c r="H94" s="374">
        <v>111</v>
      </c>
      <c r="I94" s="374">
        <v>115</v>
      </c>
      <c r="J94" s="374">
        <v>119</v>
      </c>
      <c r="K94" s="374">
        <v>123</v>
      </c>
      <c r="L94" s="374">
        <v>128</v>
      </c>
      <c r="M94" s="374">
        <v>132</v>
      </c>
      <c r="N94" s="374">
        <v>136</v>
      </c>
    </row>
    <row r="95" spans="1:16" hidden="1" outlineLevel="2" x14ac:dyDescent="0.2">
      <c r="B95" s="15" t="str">
        <f t="shared" si="50"/>
        <v>AsiaFeedstockCost of Wood biomassUSD/ton Wood</v>
      </c>
      <c r="C95" s="15"/>
      <c r="D95" t="s">
        <v>198</v>
      </c>
      <c r="E95" t="s">
        <v>777</v>
      </c>
      <c r="F95" t="s">
        <v>1244</v>
      </c>
      <c r="G95" s="15" t="s">
        <v>1245</v>
      </c>
      <c r="H95" s="374">
        <v>68</v>
      </c>
      <c r="I95" s="374">
        <v>73</v>
      </c>
      <c r="J95" s="374">
        <v>77</v>
      </c>
      <c r="K95" s="374">
        <v>82</v>
      </c>
      <c r="L95" s="374">
        <v>87</v>
      </c>
      <c r="M95" s="374">
        <v>91</v>
      </c>
      <c r="N95" s="374">
        <v>96</v>
      </c>
    </row>
    <row r="96" spans="1:16" hidden="1" outlineLevel="2" x14ac:dyDescent="0.2">
      <c r="B96" s="15" t="str">
        <f t="shared" si="50"/>
        <v>AmericasFeedstockCost of Wood biomassUSD/ton Wood</v>
      </c>
      <c r="C96" s="15"/>
      <c r="D96" t="s">
        <v>199</v>
      </c>
      <c r="E96" t="s">
        <v>777</v>
      </c>
      <c r="F96" t="s">
        <v>1244</v>
      </c>
      <c r="G96" s="15" t="s">
        <v>1245</v>
      </c>
      <c r="H96" s="374">
        <v>85</v>
      </c>
      <c r="I96" s="374">
        <v>89</v>
      </c>
      <c r="J96" s="374">
        <v>94</v>
      </c>
      <c r="K96" s="374">
        <v>98</v>
      </c>
      <c r="L96" s="374">
        <v>102</v>
      </c>
      <c r="M96" s="374">
        <v>107</v>
      </c>
      <c r="N96" s="374">
        <v>111</v>
      </c>
    </row>
    <row r="97" spans="2:16" hidden="1" outlineLevel="2" x14ac:dyDescent="0.2">
      <c r="B97" s="15" t="str">
        <f t="shared" si="50"/>
        <v>AfricaFeedstockCost of Wood biomassUSD/ton Wood</v>
      </c>
      <c r="C97" s="15"/>
      <c r="D97" t="s">
        <v>200</v>
      </c>
      <c r="E97" t="s">
        <v>777</v>
      </c>
      <c r="F97" t="s">
        <v>1244</v>
      </c>
      <c r="G97" s="15" t="s">
        <v>1245</v>
      </c>
      <c r="H97" s="374">
        <v>116</v>
      </c>
      <c r="I97" s="374">
        <v>121</v>
      </c>
      <c r="J97" s="374">
        <v>126</v>
      </c>
      <c r="K97" s="374">
        <v>132</v>
      </c>
      <c r="L97" s="374">
        <v>137</v>
      </c>
      <c r="M97" s="374">
        <v>142</v>
      </c>
      <c r="N97" s="374">
        <v>147</v>
      </c>
    </row>
    <row r="98" spans="2:16" hidden="1" outlineLevel="2" x14ac:dyDescent="0.2">
      <c r="B98" s="15" t="str">
        <f t="shared" si="50"/>
        <v>GlobalCO2intensityWTT Wood biomasstonCO2eq/ton</v>
      </c>
      <c r="C98" s="15"/>
      <c r="D98" s="15" t="s">
        <v>109</v>
      </c>
      <c r="E98" s="365" t="s">
        <v>927</v>
      </c>
      <c r="F98" s="365" t="s">
        <v>1253</v>
      </c>
      <c r="G98" s="15" t="s">
        <v>1252</v>
      </c>
      <c r="H98" s="374">
        <v>0.09</v>
      </c>
      <c r="I98" s="374">
        <v>7.6499999999999999E-2</v>
      </c>
      <c r="J98" s="374">
        <v>6.3E-2</v>
      </c>
      <c r="K98" s="374">
        <v>4.9499999999999995E-2</v>
      </c>
      <c r="L98" s="374">
        <v>3.599999999999999E-2</v>
      </c>
      <c r="M98" s="374">
        <v>2.2499999999999992E-2</v>
      </c>
      <c r="N98" s="374">
        <v>8.9999999999999993E-3</v>
      </c>
    </row>
    <row r="99" spans="2:16" hidden="1" outlineLevel="1" collapsed="1" x14ac:dyDescent="0.2">
      <c r="B99" s="15"/>
      <c r="C99" s="15"/>
      <c r="H99" s="365"/>
      <c r="I99" s="365"/>
      <c r="J99" s="365"/>
      <c r="K99" s="365"/>
      <c r="L99" s="365"/>
      <c r="M99" s="365"/>
      <c r="N99" s="365"/>
      <c r="O99" s="365"/>
    </row>
    <row r="100" spans="2:16" hidden="1" outlineLevel="1" x14ac:dyDescent="0.2">
      <c r="B100" s="31" t="s">
        <v>1413</v>
      </c>
      <c r="C100" s="15"/>
      <c r="D100" s="266" t="str">
        <f>+B100</f>
        <v>Feedstock - Lignin</v>
      </c>
      <c r="H100" s="365"/>
      <c r="I100" s="365"/>
      <c r="J100" s="365"/>
      <c r="K100" s="365"/>
      <c r="L100" s="365"/>
      <c r="M100" s="365"/>
      <c r="N100" s="365"/>
      <c r="O100" s="365"/>
    </row>
    <row r="101" spans="2:16" hidden="1" outlineLevel="2" x14ac:dyDescent="0.2">
      <c r="B101" s="15" t="str">
        <f t="shared" ref="B101:B106" si="51">+D101&amp;E101&amp;F101&amp;G101</f>
        <v>EuropeFeedstockCost of LigninUSD/ton Lignin</v>
      </c>
      <c r="C101" s="15"/>
      <c r="D101" t="s">
        <v>195</v>
      </c>
      <c r="E101" t="s">
        <v>777</v>
      </c>
      <c r="F101" t="s">
        <v>1414</v>
      </c>
      <c r="G101" s="15" t="s">
        <v>1415</v>
      </c>
      <c r="H101" s="374">
        <v>75</v>
      </c>
      <c r="I101" s="6">
        <f>H101</f>
        <v>75</v>
      </c>
      <c r="J101" s="6">
        <f t="shared" ref="J101:N101" si="52">I101</f>
        <v>75</v>
      </c>
      <c r="K101" s="6">
        <f t="shared" si="52"/>
        <v>75</v>
      </c>
      <c r="L101" s="6">
        <f t="shared" si="52"/>
        <v>75</v>
      </c>
      <c r="M101" s="6">
        <f t="shared" si="52"/>
        <v>75</v>
      </c>
      <c r="N101" s="6">
        <f t="shared" si="52"/>
        <v>75</v>
      </c>
    </row>
    <row r="102" spans="2:16" hidden="1" outlineLevel="2" x14ac:dyDescent="0.2">
      <c r="B102" s="15" t="str">
        <f t="shared" si="51"/>
        <v>Middle EastFeedstockCost of LigninUSD/ton Lignin</v>
      </c>
      <c r="C102" s="15"/>
      <c r="D102" t="s">
        <v>197</v>
      </c>
      <c r="E102" t="s">
        <v>777</v>
      </c>
      <c r="F102" t="s">
        <v>1414</v>
      </c>
      <c r="G102" s="15" t="s">
        <v>1415</v>
      </c>
      <c r="H102" s="374">
        <v>75</v>
      </c>
      <c r="I102" s="6">
        <f t="shared" ref="I102:N102" si="53">H102</f>
        <v>75</v>
      </c>
      <c r="J102" s="6">
        <f t="shared" si="53"/>
        <v>75</v>
      </c>
      <c r="K102" s="6">
        <f t="shared" si="53"/>
        <v>75</v>
      </c>
      <c r="L102" s="6">
        <f t="shared" si="53"/>
        <v>75</v>
      </c>
      <c r="M102" s="6">
        <f t="shared" si="53"/>
        <v>75</v>
      </c>
      <c r="N102" s="6">
        <f t="shared" si="53"/>
        <v>75</v>
      </c>
    </row>
    <row r="103" spans="2:16" hidden="1" outlineLevel="2" x14ac:dyDescent="0.2">
      <c r="B103" s="15" t="str">
        <f t="shared" si="51"/>
        <v>AsiaFeedstockCost of LigninUSD/ton Lignin</v>
      </c>
      <c r="C103" s="15"/>
      <c r="D103" t="s">
        <v>198</v>
      </c>
      <c r="E103" t="s">
        <v>777</v>
      </c>
      <c r="F103" t="s">
        <v>1414</v>
      </c>
      <c r="G103" s="15" t="s">
        <v>1415</v>
      </c>
      <c r="H103" s="374">
        <v>75</v>
      </c>
      <c r="I103" s="6">
        <f t="shared" ref="I103:N103" si="54">H103</f>
        <v>75</v>
      </c>
      <c r="J103" s="6">
        <f t="shared" si="54"/>
        <v>75</v>
      </c>
      <c r="K103" s="6">
        <f t="shared" si="54"/>
        <v>75</v>
      </c>
      <c r="L103" s="6">
        <f t="shared" si="54"/>
        <v>75</v>
      </c>
      <c r="M103" s="6">
        <f t="shared" si="54"/>
        <v>75</v>
      </c>
      <c r="N103" s="6">
        <f t="shared" si="54"/>
        <v>75</v>
      </c>
    </row>
    <row r="104" spans="2:16" hidden="1" outlineLevel="2" x14ac:dyDescent="0.2">
      <c r="B104" s="15" t="str">
        <f t="shared" si="51"/>
        <v>AmericasFeedstockCost of LigninUSD/ton Lignin</v>
      </c>
      <c r="C104" s="15"/>
      <c r="D104" t="s">
        <v>199</v>
      </c>
      <c r="E104" t="s">
        <v>777</v>
      </c>
      <c r="F104" t="s">
        <v>1414</v>
      </c>
      <c r="G104" s="15" t="s">
        <v>1415</v>
      </c>
      <c r="H104" s="374">
        <v>75</v>
      </c>
      <c r="I104" s="6">
        <f t="shared" ref="I104:N104" si="55">H104</f>
        <v>75</v>
      </c>
      <c r="J104" s="6">
        <f t="shared" si="55"/>
        <v>75</v>
      </c>
      <c r="K104" s="6">
        <f t="shared" si="55"/>
        <v>75</v>
      </c>
      <c r="L104" s="6">
        <f t="shared" si="55"/>
        <v>75</v>
      </c>
      <c r="M104" s="6">
        <f t="shared" si="55"/>
        <v>75</v>
      </c>
      <c r="N104" s="6">
        <f t="shared" si="55"/>
        <v>75</v>
      </c>
    </row>
    <row r="105" spans="2:16" hidden="1" outlineLevel="2" x14ac:dyDescent="0.2">
      <c r="B105" s="15" t="str">
        <f t="shared" si="51"/>
        <v>AfricaFeedstockCost of LigninUSD/ton Lignin</v>
      </c>
      <c r="C105" s="15"/>
      <c r="D105" t="s">
        <v>200</v>
      </c>
      <c r="E105" t="s">
        <v>777</v>
      </c>
      <c r="F105" t="s">
        <v>1414</v>
      </c>
      <c r="G105" s="15" t="s">
        <v>1415</v>
      </c>
      <c r="H105" s="374">
        <v>75</v>
      </c>
      <c r="I105" s="6">
        <f t="shared" ref="I105:N105" si="56">H105</f>
        <v>75</v>
      </c>
      <c r="J105" s="6">
        <f t="shared" si="56"/>
        <v>75</v>
      </c>
      <c r="K105" s="6">
        <f t="shared" si="56"/>
        <v>75</v>
      </c>
      <c r="L105" s="6">
        <f t="shared" si="56"/>
        <v>75</v>
      </c>
      <c r="M105" s="6">
        <f t="shared" si="56"/>
        <v>75</v>
      </c>
      <c r="N105" s="6">
        <f t="shared" si="56"/>
        <v>75</v>
      </c>
    </row>
    <row r="106" spans="2:16" hidden="1" outlineLevel="2" x14ac:dyDescent="0.2">
      <c r="B106" s="15" t="str">
        <f t="shared" si="51"/>
        <v>GlobalCO2intensityWTT LignintonCO2eq/ton</v>
      </c>
      <c r="C106" s="15"/>
      <c r="D106" s="15" t="s">
        <v>109</v>
      </c>
      <c r="E106" t="s">
        <v>927</v>
      </c>
      <c r="F106" t="s">
        <v>1416</v>
      </c>
      <c r="G106" t="s">
        <v>1252</v>
      </c>
      <c r="H106" s="588">
        <v>4.4999999999999997E-3</v>
      </c>
      <c r="I106" s="588">
        <v>3.8249999999999994E-3</v>
      </c>
      <c r="J106" s="588">
        <v>3.1499999999999996E-3</v>
      </c>
      <c r="K106" s="588">
        <v>2.4749999999999998E-3</v>
      </c>
      <c r="L106" s="588">
        <v>1.7999999999999995E-3</v>
      </c>
      <c r="M106" s="588">
        <v>1.1249999999999997E-3</v>
      </c>
      <c r="N106" s="588">
        <v>4.4999999999999999E-4</v>
      </c>
    </row>
    <row r="107" spans="2:16" hidden="1" outlineLevel="1" collapsed="1" x14ac:dyDescent="0.2">
      <c r="B107" s="15"/>
      <c r="C107" s="15"/>
      <c r="H107" s="6"/>
      <c r="I107" s="6"/>
      <c r="J107" s="6"/>
      <c r="K107" s="6"/>
      <c r="L107" s="6"/>
      <c r="M107" s="6"/>
      <c r="N107" s="6"/>
      <c r="O107" s="6"/>
    </row>
    <row r="108" spans="2:16" ht="13.5" collapsed="1" thickBot="1" x14ac:dyDescent="0.25">
      <c r="H108" s="15"/>
      <c r="I108" s="15"/>
      <c r="J108" s="15"/>
      <c r="K108" s="15"/>
      <c r="L108" s="15"/>
      <c r="M108" s="15"/>
      <c r="N108" s="15"/>
      <c r="O108" s="15"/>
    </row>
    <row r="109" spans="2:16" ht="13.5" thickBot="1" x14ac:dyDescent="0.25">
      <c r="B109" s="589" t="s">
        <v>1417</v>
      </c>
      <c r="C109" s="577"/>
      <c r="D109" s="589" t="str">
        <f>+B109</f>
        <v>Blue and e-Hydrogen</v>
      </c>
      <c r="E109" s="590"/>
      <c r="F109" s="591"/>
      <c r="G109" s="590"/>
      <c r="H109" s="592">
        <v>2020</v>
      </c>
      <c r="I109" s="593">
        <v>2025</v>
      </c>
      <c r="J109" s="592">
        <v>2030</v>
      </c>
      <c r="K109" s="593">
        <v>2035</v>
      </c>
      <c r="L109" s="592">
        <v>2040</v>
      </c>
      <c r="M109" s="593">
        <v>2045</v>
      </c>
      <c r="N109" s="594">
        <v>2050</v>
      </c>
    </row>
    <row r="110" spans="2:16" hidden="1" outlineLevel="1" x14ac:dyDescent="0.2">
      <c r="B110" t="str">
        <f t="shared" ref="B110:B122" si="57">+D110&amp;E110&amp;F110&amp;G110</f>
        <v>GlobalResultsElectrolysis AlkalineMarketshare</v>
      </c>
      <c r="D110" t="s">
        <v>109</v>
      </c>
      <c r="E110" t="s">
        <v>838</v>
      </c>
      <c r="F110" t="s">
        <v>866</v>
      </c>
      <c r="G110" s="55" t="s">
        <v>867</v>
      </c>
      <c r="H110" s="352">
        <v>0.8</v>
      </c>
      <c r="I110" s="352">
        <v>0.7</v>
      </c>
      <c r="J110" s="352">
        <v>0.5</v>
      </c>
      <c r="K110" s="352">
        <v>0.25</v>
      </c>
      <c r="L110" s="352">
        <v>0.05</v>
      </c>
      <c r="M110" s="352">
        <v>0</v>
      </c>
      <c r="N110" s="352">
        <v>0</v>
      </c>
      <c r="P110" s="383"/>
    </row>
    <row r="111" spans="2:16" hidden="1" outlineLevel="1" x14ac:dyDescent="0.2">
      <c r="B111" t="str">
        <f t="shared" si="57"/>
        <v>GlobalResultsElectrolysis PEMMarketshare</v>
      </c>
      <c r="D111" t="s">
        <v>109</v>
      </c>
      <c r="E111" t="s">
        <v>838</v>
      </c>
      <c r="F111" t="s">
        <v>868</v>
      </c>
      <c r="G111" s="55" t="s">
        <v>867</v>
      </c>
      <c r="H111" s="352">
        <v>0.19999999999999996</v>
      </c>
      <c r="I111" s="352">
        <v>0.25</v>
      </c>
      <c r="J111" s="352">
        <v>0.32499999999999996</v>
      </c>
      <c r="K111" s="352">
        <v>0.375</v>
      </c>
      <c r="L111" s="352">
        <v>0.39999999999999997</v>
      </c>
      <c r="M111" s="352">
        <v>0.30000000000000004</v>
      </c>
      <c r="N111" s="352">
        <v>0.19999999999999996</v>
      </c>
      <c r="P111" s="383"/>
    </row>
    <row r="112" spans="2:16" hidden="1" outlineLevel="1" x14ac:dyDescent="0.2">
      <c r="B112" t="str">
        <f t="shared" si="57"/>
        <v>GlobalResultsElectrolysis Solid OxideMarketshare</v>
      </c>
      <c r="D112" t="s">
        <v>109</v>
      </c>
      <c r="E112" t="s">
        <v>838</v>
      </c>
      <c r="F112" t="s">
        <v>869</v>
      </c>
      <c r="G112" s="55" t="s">
        <v>867</v>
      </c>
      <c r="H112" s="352">
        <v>0</v>
      </c>
      <c r="I112" s="352">
        <v>0.05</v>
      </c>
      <c r="J112" s="352">
        <v>0.17499999999999999</v>
      </c>
      <c r="K112" s="352">
        <v>0.375</v>
      </c>
      <c r="L112" s="352">
        <v>0.55000000000000004</v>
      </c>
      <c r="M112" s="352">
        <v>0.7</v>
      </c>
      <c r="N112" s="352">
        <v>0.8</v>
      </c>
      <c r="P112" s="383"/>
    </row>
    <row r="113" spans="1:16" hidden="1" outlineLevel="1" x14ac:dyDescent="0.2">
      <c r="B113" t="str">
        <f t="shared" ref="B113" si="58">+D113&amp;E113&amp;F113&amp;G113</f>
        <v>GlobalFeedstockDemineralized water costUSD/ton demin H2O</v>
      </c>
      <c r="D113" t="s">
        <v>109</v>
      </c>
      <c r="E113" t="s">
        <v>777</v>
      </c>
      <c r="F113" t="s">
        <v>900</v>
      </c>
      <c r="G113" s="55" t="s">
        <v>901</v>
      </c>
      <c r="H113" s="374">
        <v>1.5</v>
      </c>
      <c r="I113" s="2">
        <f>H113</f>
        <v>1.5</v>
      </c>
      <c r="J113" s="2">
        <f t="shared" ref="J113:N113" si="59">I113</f>
        <v>1.5</v>
      </c>
      <c r="K113" s="2">
        <f t="shared" si="59"/>
        <v>1.5</v>
      </c>
      <c r="L113" s="2">
        <f t="shared" si="59"/>
        <v>1.5</v>
      </c>
      <c r="M113" s="2">
        <f t="shared" si="59"/>
        <v>1.5</v>
      </c>
      <c r="N113" s="2">
        <f t="shared" si="59"/>
        <v>1.5</v>
      </c>
    </row>
    <row r="114" spans="1:16" s="365" customFormat="1" hidden="1" outlineLevel="1" x14ac:dyDescent="0.2">
      <c r="A114"/>
      <c r="B114" s="15" t="str">
        <f>+D114&amp;E114&amp;F114&amp;G114</f>
        <v>GlobalCO2intensityDemineralized watertonCO2eq/tonH2O</v>
      </c>
      <c r="C114" s="15"/>
      <c r="D114" s="15" t="s">
        <v>109</v>
      </c>
      <c r="E114" s="365" t="s">
        <v>927</v>
      </c>
      <c r="F114" t="s">
        <v>934</v>
      </c>
      <c r="G114" s="15" t="s">
        <v>935</v>
      </c>
      <c r="H114" s="374">
        <v>0</v>
      </c>
      <c r="I114" s="2">
        <f t="shared" ref="I114:N114" si="60">H114</f>
        <v>0</v>
      </c>
      <c r="J114" s="2">
        <f t="shared" si="60"/>
        <v>0</v>
      </c>
      <c r="K114" s="2">
        <f t="shared" si="60"/>
        <v>0</v>
      </c>
      <c r="L114" s="2">
        <f t="shared" si="60"/>
        <v>0</v>
      </c>
      <c r="M114" s="2">
        <f t="shared" si="60"/>
        <v>0</v>
      </c>
      <c r="N114" s="2">
        <f t="shared" si="60"/>
        <v>0</v>
      </c>
    </row>
    <row r="115" spans="1:16" hidden="1" outlineLevel="1" x14ac:dyDescent="0.2">
      <c r="B115" t="str">
        <f t="shared" ref="B115" si="61">+D115&amp;E115&amp;F115&amp;G115</f>
        <v>GlobalFeedstockConversion H2O:H2 (actual)ton H2O/ton H2</v>
      </c>
      <c r="D115" t="s">
        <v>109</v>
      </c>
      <c r="E115" t="s">
        <v>777</v>
      </c>
      <c r="F115" t="s">
        <v>898</v>
      </c>
      <c r="G115" s="224" t="s">
        <v>899</v>
      </c>
      <c r="H115" s="374">
        <v>9</v>
      </c>
      <c r="I115" s="2">
        <f t="shared" ref="I115:N115" si="62">H115</f>
        <v>9</v>
      </c>
      <c r="J115" s="2">
        <f t="shared" si="62"/>
        <v>9</v>
      </c>
      <c r="K115" s="2">
        <f t="shared" si="62"/>
        <v>9</v>
      </c>
      <c r="L115" s="2">
        <f t="shared" si="62"/>
        <v>9</v>
      </c>
      <c r="M115" s="2">
        <f t="shared" si="62"/>
        <v>9</v>
      </c>
      <c r="N115" s="2">
        <f t="shared" si="62"/>
        <v>9</v>
      </c>
    </row>
    <row r="116" spans="1:16" hidden="1" outlineLevel="1" x14ac:dyDescent="0.2">
      <c r="B116" t="str">
        <f t="shared" si="57"/>
        <v>GlobalProcess - OpexH2 CompressionmWh/ ton H2</v>
      </c>
      <c r="D116" t="s">
        <v>109</v>
      </c>
      <c r="E116" t="s">
        <v>876</v>
      </c>
      <c r="F116" t="s">
        <v>886</v>
      </c>
      <c r="G116" s="55" t="s">
        <v>878</v>
      </c>
      <c r="H116" s="374">
        <v>1.05</v>
      </c>
      <c r="I116" s="2">
        <f t="shared" ref="I116:N116" si="63">H116</f>
        <v>1.05</v>
      </c>
      <c r="J116" s="2">
        <f t="shared" si="63"/>
        <v>1.05</v>
      </c>
      <c r="K116" s="2">
        <f t="shared" si="63"/>
        <v>1.05</v>
      </c>
      <c r="L116" s="2">
        <f t="shared" si="63"/>
        <v>1.05</v>
      </c>
      <c r="M116" s="2">
        <f t="shared" si="63"/>
        <v>1.05</v>
      </c>
      <c r="N116" s="2">
        <f t="shared" si="63"/>
        <v>1.05</v>
      </c>
    </row>
    <row r="117" spans="1:16" hidden="1" outlineLevel="2" x14ac:dyDescent="0.2">
      <c r="B117" t="str">
        <f t="shared" si="57"/>
        <v>GlobalProcess - OpexH2 LiquifactionmWh/ ton H2</v>
      </c>
      <c r="D117" t="s">
        <v>109</v>
      </c>
      <c r="E117" t="s">
        <v>876</v>
      </c>
      <c r="F117" t="s">
        <v>877</v>
      </c>
      <c r="G117" s="55" t="s">
        <v>878</v>
      </c>
      <c r="H117" s="595">
        <v>10</v>
      </c>
      <c r="I117" s="8">
        <f t="shared" ref="I117:N117" si="64">H117</f>
        <v>10</v>
      </c>
      <c r="J117" s="8">
        <f t="shared" si="64"/>
        <v>10</v>
      </c>
      <c r="K117" s="8">
        <f t="shared" si="64"/>
        <v>10</v>
      </c>
      <c r="L117" s="8">
        <f t="shared" si="64"/>
        <v>10</v>
      </c>
      <c r="M117" s="8">
        <f t="shared" si="64"/>
        <v>10</v>
      </c>
      <c r="N117" s="8">
        <f t="shared" si="64"/>
        <v>10</v>
      </c>
    </row>
    <row r="118" spans="1:16" hidden="1" outlineLevel="2" x14ac:dyDescent="0.2">
      <c r="B118" t="str">
        <f t="shared" si="57"/>
        <v>GlobalOpexPlant - Hydrogen liquifaction - opexPercent of Capex</v>
      </c>
      <c r="D118" t="s">
        <v>109</v>
      </c>
      <c r="E118" t="s">
        <v>219</v>
      </c>
      <c r="F118" s="48" t="s">
        <v>882</v>
      </c>
      <c r="G118" s="224" t="s">
        <v>883</v>
      </c>
      <c r="H118" s="352">
        <v>0.1</v>
      </c>
      <c r="I118" s="9">
        <f t="shared" ref="I118:N118" si="65">H118</f>
        <v>0.1</v>
      </c>
      <c r="J118" s="9">
        <f t="shared" si="65"/>
        <v>0.1</v>
      </c>
      <c r="K118" s="9">
        <f t="shared" si="65"/>
        <v>0.1</v>
      </c>
      <c r="L118" s="9">
        <f t="shared" si="65"/>
        <v>0.1</v>
      </c>
      <c r="M118" s="9">
        <f t="shared" si="65"/>
        <v>0.1</v>
      </c>
      <c r="N118" s="9">
        <f t="shared" si="65"/>
        <v>0.1</v>
      </c>
      <c r="P118" s="383"/>
    </row>
    <row r="119" spans="1:16" hidden="1" outlineLevel="2" x14ac:dyDescent="0.2">
      <c r="B119" s="47" t="str">
        <f t="shared" si="57"/>
        <v>GlobalOpexPlant - Electrolysis - opex (Alk)Percent of Capex</v>
      </c>
      <c r="C119" s="47"/>
      <c r="D119" t="s">
        <v>109</v>
      </c>
      <c r="E119" s="15" t="s">
        <v>219</v>
      </c>
      <c r="F119" s="47" t="s">
        <v>903</v>
      </c>
      <c r="G119" s="55" t="s">
        <v>883</v>
      </c>
      <c r="H119" s="352">
        <v>0.1</v>
      </c>
      <c r="I119" s="9">
        <f t="shared" ref="I119:N119" si="66">H119</f>
        <v>0.1</v>
      </c>
      <c r="J119" s="9">
        <f t="shared" si="66"/>
        <v>0.1</v>
      </c>
      <c r="K119" s="9">
        <f t="shared" si="66"/>
        <v>0.1</v>
      </c>
      <c r="L119" s="9">
        <f t="shared" si="66"/>
        <v>0.1</v>
      </c>
      <c r="M119" s="9">
        <f t="shared" si="66"/>
        <v>0.1</v>
      </c>
      <c r="N119" s="9">
        <f t="shared" si="66"/>
        <v>0.1</v>
      </c>
    </row>
    <row r="120" spans="1:16" hidden="1" outlineLevel="2" x14ac:dyDescent="0.2">
      <c r="B120" s="47" t="str">
        <f t="shared" ref="B120" si="67">+D120&amp;E120&amp;F120&amp;G120</f>
        <v>GlobalOpexPlant - Electrolysis - opex (PEM)Percent of Capex</v>
      </c>
      <c r="C120" s="47"/>
      <c r="D120" t="s">
        <v>109</v>
      </c>
      <c r="E120" s="15" t="s">
        <v>219</v>
      </c>
      <c r="F120" s="47" t="s">
        <v>911</v>
      </c>
      <c r="G120" s="55" t="s">
        <v>883</v>
      </c>
      <c r="H120" s="352">
        <v>0.10456395525912733</v>
      </c>
      <c r="I120" s="352">
        <v>0.1</v>
      </c>
      <c r="J120" s="352">
        <v>9.5635249979003703E-2</v>
      </c>
      <c r="K120" s="352">
        <v>9.146101038546528E-2</v>
      </c>
      <c r="L120" s="352">
        <v>8.7468965915462257E-2</v>
      </c>
      <c r="M120" s="352">
        <v>8.365116420730187E-2</v>
      </c>
      <c r="N120" s="352">
        <v>0.08</v>
      </c>
    </row>
    <row r="121" spans="1:16" hidden="1" outlineLevel="2" x14ac:dyDescent="0.2">
      <c r="B121" s="47" t="str">
        <f t="shared" si="57"/>
        <v>GlobalOpexPlant - Electrolysis - opex (SO)Percent of Capex</v>
      </c>
      <c r="C121" s="47"/>
      <c r="D121" t="s">
        <v>109</v>
      </c>
      <c r="E121" s="15" t="s">
        <v>219</v>
      </c>
      <c r="F121" s="47" t="s">
        <v>919</v>
      </c>
      <c r="G121" s="55" t="s">
        <v>883</v>
      </c>
      <c r="H121" s="352">
        <v>0.12011244339814313</v>
      </c>
      <c r="I121" s="352">
        <v>0.1</v>
      </c>
      <c r="J121" s="352">
        <v>8.3255320740187322E-2</v>
      </c>
      <c r="K121" s="352">
        <v>6.9314484315514638E-2</v>
      </c>
      <c r="L121" s="352">
        <v>5.7707996236288542E-2</v>
      </c>
      <c r="M121" s="352">
        <v>4.8044977359257245E-2</v>
      </c>
      <c r="N121" s="352">
        <v>0.04</v>
      </c>
    </row>
    <row r="122" spans="1:16" hidden="1" outlineLevel="2" x14ac:dyDescent="0.2">
      <c r="B122" t="str">
        <f t="shared" si="57"/>
        <v>GlobalProcess - CapexH2 LiquifactionUSD/ ton H2 output</v>
      </c>
      <c r="D122" t="s">
        <v>109</v>
      </c>
      <c r="E122" t="s">
        <v>879</v>
      </c>
      <c r="F122" t="s">
        <v>877</v>
      </c>
      <c r="G122" s="55" t="s">
        <v>880</v>
      </c>
      <c r="H122" s="595">
        <v>1000</v>
      </c>
      <c r="I122" s="8">
        <f>H122</f>
        <v>1000</v>
      </c>
      <c r="J122" s="8">
        <f t="shared" ref="J122:N122" si="68">I122</f>
        <v>1000</v>
      </c>
      <c r="K122" s="8">
        <f t="shared" si="68"/>
        <v>1000</v>
      </c>
      <c r="L122" s="8">
        <f t="shared" si="68"/>
        <v>1000</v>
      </c>
      <c r="M122" s="8">
        <f t="shared" si="68"/>
        <v>1000</v>
      </c>
      <c r="N122" s="8">
        <f t="shared" si="68"/>
        <v>1000</v>
      </c>
    </row>
    <row r="123" spans="1:16" hidden="1" outlineLevel="2" x14ac:dyDescent="0.2">
      <c r="G123" s="55"/>
      <c r="H123" s="9"/>
      <c r="I123" s="9"/>
      <c r="J123" s="9"/>
      <c r="K123" s="9"/>
      <c r="L123" s="9"/>
      <c r="M123" s="9"/>
      <c r="N123" s="9"/>
      <c r="P123" s="383"/>
    </row>
    <row r="124" spans="1:16" hidden="1" outlineLevel="2" x14ac:dyDescent="0.2">
      <c r="B124" s="266" t="s">
        <v>1418</v>
      </c>
      <c r="D124" s="266" t="str">
        <f>+B124</f>
        <v>Capacity factors - assumes balancing via e.g. batteries</v>
      </c>
      <c r="G124" s="55"/>
      <c r="H124" s="9"/>
      <c r="I124" s="9"/>
      <c r="J124" s="9"/>
      <c r="K124" s="9"/>
      <c r="L124" s="9"/>
      <c r="M124" s="9"/>
      <c r="N124" s="9"/>
      <c r="P124" s="383"/>
    </row>
    <row r="125" spans="1:16" hidden="1" outlineLevel="3" x14ac:dyDescent="0.2">
      <c r="B125" t="str">
        <f>+D125&amp;E125&amp;F125&amp;G125</f>
        <v>EuropeGeneralCapacity factor%</v>
      </c>
      <c r="D125" t="s">
        <v>195</v>
      </c>
      <c r="E125" t="s">
        <v>173</v>
      </c>
      <c r="F125" t="s">
        <v>893</v>
      </c>
      <c r="G125" s="15" t="s">
        <v>178</v>
      </c>
      <c r="H125" s="352">
        <v>0.9</v>
      </c>
      <c r="I125" s="9">
        <f>H125</f>
        <v>0.9</v>
      </c>
      <c r="J125" s="9">
        <f t="shared" ref="J125:N125" si="69">I125</f>
        <v>0.9</v>
      </c>
      <c r="K125" s="9">
        <f t="shared" si="69"/>
        <v>0.9</v>
      </c>
      <c r="L125" s="9">
        <f t="shared" si="69"/>
        <v>0.9</v>
      </c>
      <c r="M125" s="9">
        <f t="shared" si="69"/>
        <v>0.9</v>
      </c>
      <c r="N125" s="9">
        <f t="shared" si="69"/>
        <v>0.9</v>
      </c>
    </row>
    <row r="126" spans="1:16" hidden="1" outlineLevel="3" x14ac:dyDescent="0.2">
      <c r="B126" t="str">
        <f>+D126&amp;E126&amp;F126&amp;G126</f>
        <v>Middle EastGeneralCapacity factor%</v>
      </c>
      <c r="D126" t="s">
        <v>197</v>
      </c>
      <c r="E126" t="s">
        <v>173</v>
      </c>
      <c r="F126" t="s">
        <v>893</v>
      </c>
      <c r="G126" s="15" t="s">
        <v>178</v>
      </c>
      <c r="H126" s="352">
        <v>0.9</v>
      </c>
      <c r="I126" s="9">
        <f t="shared" ref="I126:N126" si="70">H126</f>
        <v>0.9</v>
      </c>
      <c r="J126" s="9">
        <f t="shared" si="70"/>
        <v>0.9</v>
      </c>
      <c r="K126" s="9">
        <f t="shared" si="70"/>
        <v>0.9</v>
      </c>
      <c r="L126" s="9">
        <f t="shared" si="70"/>
        <v>0.9</v>
      </c>
      <c r="M126" s="9">
        <f t="shared" si="70"/>
        <v>0.9</v>
      </c>
      <c r="N126" s="9">
        <f t="shared" si="70"/>
        <v>0.9</v>
      </c>
    </row>
    <row r="127" spans="1:16" hidden="1" outlineLevel="3" x14ac:dyDescent="0.2">
      <c r="B127" t="str">
        <f>+D127&amp;E127&amp;F127&amp;G127</f>
        <v>AsiaGeneralCapacity factor%</v>
      </c>
      <c r="D127" t="s">
        <v>198</v>
      </c>
      <c r="E127" t="s">
        <v>173</v>
      </c>
      <c r="F127" t="s">
        <v>893</v>
      </c>
      <c r="G127" s="15" t="s">
        <v>178</v>
      </c>
      <c r="H127" s="352">
        <v>0.9</v>
      </c>
      <c r="I127" s="9">
        <f t="shared" ref="I127:N127" si="71">H127</f>
        <v>0.9</v>
      </c>
      <c r="J127" s="9">
        <f t="shared" si="71"/>
        <v>0.9</v>
      </c>
      <c r="K127" s="9">
        <f t="shared" si="71"/>
        <v>0.9</v>
      </c>
      <c r="L127" s="9">
        <f t="shared" si="71"/>
        <v>0.9</v>
      </c>
      <c r="M127" s="9">
        <f t="shared" si="71"/>
        <v>0.9</v>
      </c>
      <c r="N127" s="9">
        <f t="shared" si="71"/>
        <v>0.9</v>
      </c>
    </row>
    <row r="128" spans="1:16" hidden="1" outlineLevel="3" x14ac:dyDescent="0.2">
      <c r="B128" t="str">
        <f>+D128&amp;E128&amp;F128&amp;G128</f>
        <v>AmericasGeneralCapacity factor%</v>
      </c>
      <c r="D128" t="s">
        <v>199</v>
      </c>
      <c r="E128" t="s">
        <v>173</v>
      </c>
      <c r="F128" t="s">
        <v>893</v>
      </c>
      <c r="G128" s="15" t="s">
        <v>178</v>
      </c>
      <c r="H128" s="352">
        <v>0.9</v>
      </c>
      <c r="I128" s="9">
        <f t="shared" ref="I128:N128" si="72">H128</f>
        <v>0.9</v>
      </c>
      <c r="J128" s="9">
        <f t="shared" si="72"/>
        <v>0.9</v>
      </c>
      <c r="K128" s="9">
        <f t="shared" si="72"/>
        <v>0.9</v>
      </c>
      <c r="L128" s="9">
        <f t="shared" si="72"/>
        <v>0.9</v>
      </c>
      <c r="M128" s="9">
        <f t="shared" si="72"/>
        <v>0.9</v>
      </c>
      <c r="N128" s="9">
        <f t="shared" si="72"/>
        <v>0.9</v>
      </c>
    </row>
    <row r="129" spans="1:16" hidden="1" outlineLevel="3" x14ac:dyDescent="0.2">
      <c r="B129" t="str">
        <f>+D129&amp;E129&amp;F129&amp;G129</f>
        <v>AfricaGeneralCapacity factor%</v>
      </c>
      <c r="D129" t="s">
        <v>200</v>
      </c>
      <c r="E129" t="s">
        <v>173</v>
      </c>
      <c r="F129" t="s">
        <v>893</v>
      </c>
      <c r="G129" s="15" t="s">
        <v>178</v>
      </c>
      <c r="H129" s="352">
        <v>0.9</v>
      </c>
      <c r="I129" s="9">
        <f t="shared" ref="I129:N129" si="73">H129</f>
        <v>0.9</v>
      </c>
      <c r="J129" s="9">
        <f t="shared" si="73"/>
        <v>0.9</v>
      </c>
      <c r="K129" s="9">
        <f t="shared" si="73"/>
        <v>0.9</v>
      </c>
      <c r="L129" s="9">
        <f t="shared" si="73"/>
        <v>0.9</v>
      </c>
      <c r="M129" s="9">
        <f t="shared" si="73"/>
        <v>0.9</v>
      </c>
      <c r="N129" s="9">
        <f t="shared" si="73"/>
        <v>0.9</v>
      </c>
    </row>
    <row r="130" spans="1:16" hidden="1" outlineLevel="2" collapsed="1" x14ac:dyDescent="0.2">
      <c r="H130" s="9"/>
      <c r="I130" s="9"/>
      <c r="J130" s="9"/>
      <c r="K130" s="9"/>
      <c r="L130" s="9"/>
      <c r="M130" s="9"/>
      <c r="N130" s="9"/>
    </row>
    <row r="131" spans="1:16" hidden="1" outlineLevel="2" x14ac:dyDescent="0.2">
      <c r="B131" s="266" t="s">
        <v>1419</v>
      </c>
      <c r="D131" s="266" t="str">
        <f>+B131</f>
        <v>Conversion heating values</v>
      </c>
      <c r="H131" s="9"/>
      <c r="I131" s="9"/>
      <c r="J131" s="9"/>
      <c r="K131" s="9"/>
      <c r="L131" s="9"/>
      <c r="M131" s="9"/>
      <c r="N131" s="9"/>
    </row>
    <row r="132" spans="1:16" hidden="1" outlineLevel="3" x14ac:dyDescent="0.2">
      <c r="B132" t="str">
        <f>+D132&amp;E132&amp;F132&amp;G132</f>
        <v>GlobalConversionsLHVkWh/kg H2</v>
      </c>
      <c r="D132" t="s">
        <v>109</v>
      </c>
      <c r="E132" t="s">
        <v>499</v>
      </c>
      <c r="F132" t="s">
        <v>582</v>
      </c>
      <c r="G132" s="55" t="s">
        <v>896</v>
      </c>
      <c r="H132" s="74">
        <f>+H15/(GJ_per_MWh*1000)</f>
        <v>33.333333333333336</v>
      </c>
      <c r="I132" s="74">
        <f>H132</f>
        <v>33.333333333333336</v>
      </c>
      <c r="J132" s="74">
        <f t="shared" ref="J132:N132" si="74">I132</f>
        <v>33.333333333333336</v>
      </c>
      <c r="K132" s="74">
        <f t="shared" si="74"/>
        <v>33.333333333333336</v>
      </c>
      <c r="L132" s="74">
        <f t="shared" si="74"/>
        <v>33.333333333333336</v>
      </c>
      <c r="M132" s="74">
        <f t="shared" si="74"/>
        <v>33.333333333333336</v>
      </c>
      <c r="N132" s="74">
        <f t="shared" si="74"/>
        <v>33.333333333333336</v>
      </c>
      <c r="P132" s="9"/>
    </row>
    <row r="133" spans="1:16" hidden="1" outlineLevel="3" x14ac:dyDescent="0.2">
      <c r="B133" t="str">
        <f>+D133&amp;E133&amp;F133&amp;G133</f>
        <v>GlobalConversionsHHVkWh/kg H2</v>
      </c>
      <c r="D133" t="s">
        <v>109</v>
      </c>
      <c r="E133" t="s">
        <v>499</v>
      </c>
      <c r="F133" t="s">
        <v>1420</v>
      </c>
      <c r="G133" s="55" t="s">
        <v>896</v>
      </c>
      <c r="H133" s="356">
        <v>39.4</v>
      </c>
      <c r="I133" s="74">
        <f t="shared" ref="I133:N133" si="75">H133</f>
        <v>39.4</v>
      </c>
      <c r="J133" s="74">
        <f t="shared" si="75"/>
        <v>39.4</v>
      </c>
      <c r="K133" s="74">
        <f t="shared" si="75"/>
        <v>39.4</v>
      </c>
      <c r="L133" s="74">
        <f t="shared" si="75"/>
        <v>39.4</v>
      </c>
      <c r="M133" s="74">
        <f t="shared" si="75"/>
        <v>39.4</v>
      </c>
      <c r="N133" s="74">
        <f t="shared" si="75"/>
        <v>39.4</v>
      </c>
      <c r="P133" s="9"/>
    </row>
    <row r="134" spans="1:16" ht="14.85" hidden="1" customHeight="1" outlineLevel="2" collapsed="1" x14ac:dyDescent="0.2">
      <c r="B134" s="47"/>
      <c r="C134" s="47"/>
      <c r="E134" s="15"/>
      <c r="F134" s="47"/>
      <c r="G134" s="55"/>
      <c r="H134" s="9"/>
      <c r="I134" s="9"/>
      <c r="J134" s="9"/>
      <c r="K134" s="9"/>
      <c r="L134" s="9"/>
      <c r="M134" s="9"/>
      <c r="N134" s="9"/>
      <c r="P134" s="9"/>
    </row>
    <row r="135" spans="1:16" ht="14.85" hidden="1" customHeight="1" outlineLevel="2" x14ac:dyDescent="0.2">
      <c r="B135" s="266" t="s">
        <v>1421</v>
      </c>
      <c r="D135" s="266" t="str">
        <f>+B135</f>
        <v>Alkaline electrolysis (Alk)</v>
      </c>
      <c r="E135" s="15"/>
      <c r="F135" s="47"/>
      <c r="G135" s="55"/>
      <c r="H135" s="9"/>
      <c r="I135" s="9"/>
      <c r="J135" s="9"/>
      <c r="K135" s="9"/>
      <c r="L135" s="9"/>
      <c r="M135" s="9"/>
      <c r="N135" s="9"/>
    </row>
    <row r="136" spans="1:16" hidden="1" outlineLevel="3" x14ac:dyDescent="0.2">
      <c r="B136" s="15" t="str">
        <f>+D136&amp;E136&amp;F136&amp;G136</f>
        <v>GlobalCapexElectrolyser unit cost (Alk)USD/MW</v>
      </c>
      <c r="C136" s="15"/>
      <c r="D136" s="15" t="s">
        <v>109</v>
      </c>
      <c r="E136" s="15" t="s">
        <v>218</v>
      </c>
      <c r="F136" s="15" t="s">
        <v>891</v>
      </c>
      <c r="G136" s="55" t="s">
        <v>279</v>
      </c>
      <c r="H136" s="8">
        <f>(I136-J136)+I136</f>
        <v>1400000</v>
      </c>
      <c r="I136" s="357">
        <v>1100000</v>
      </c>
      <c r="J136" s="357">
        <v>800000</v>
      </c>
      <c r="K136" s="8">
        <f>(N136-J136)*1/4+J136</f>
        <v>725000</v>
      </c>
      <c r="L136" s="8">
        <f>(N136-J136)*2/4+J136</f>
        <v>650000</v>
      </c>
      <c r="M136" s="8">
        <f>(N136-J136)*3/4+J136</f>
        <v>575000</v>
      </c>
      <c r="N136" s="357">
        <v>500000</v>
      </c>
    </row>
    <row r="137" spans="1:16" hidden="1" outlineLevel="3" x14ac:dyDescent="0.2">
      <c r="B137" s="15" t="str">
        <f>+D137&amp;E137&amp;F137&amp;G137</f>
        <v>GlobalFeedstockSystem efficiency (Alk)kWh/kg H2</v>
      </c>
      <c r="C137" s="15"/>
      <c r="D137" s="15" t="s">
        <v>109</v>
      </c>
      <c r="E137" t="s">
        <v>777</v>
      </c>
      <c r="F137" t="s">
        <v>895</v>
      </c>
      <c r="G137" s="55" t="s">
        <v>896</v>
      </c>
      <c r="H137" s="596">
        <v>50.202435772828721</v>
      </c>
      <c r="I137" s="596">
        <v>50</v>
      </c>
      <c r="J137" s="596">
        <v>49.798380527047762</v>
      </c>
      <c r="K137" s="596">
        <v>49.597574062332995</v>
      </c>
      <c r="L137" s="596">
        <v>49.397577327489856</v>
      </c>
      <c r="M137" s="596">
        <v>49.198387057372138</v>
      </c>
      <c r="N137" s="596">
        <v>49</v>
      </c>
    </row>
    <row r="138" spans="1:16" hidden="1" outlineLevel="3" x14ac:dyDescent="0.2">
      <c r="B138" s="15" t="str">
        <f>+D138&amp;E138&amp;F138&amp;G138</f>
        <v>GlobalEfficiencyLVH efficiency (Alk)%</v>
      </c>
      <c r="C138" s="15"/>
      <c r="D138" s="15" t="s">
        <v>109</v>
      </c>
      <c r="E138" s="365" t="s">
        <v>1422</v>
      </c>
      <c r="F138" s="365" t="s">
        <v>1423</v>
      </c>
      <c r="G138" s="597" t="s">
        <v>178</v>
      </c>
      <c r="H138" s="352">
        <v>0.59221658206429784</v>
      </c>
      <c r="I138" s="352">
        <v>0.60556764192668655</v>
      </c>
      <c r="J138" s="352">
        <v>0.61921969099614493</v>
      </c>
      <c r="K138" s="352">
        <v>0.63317951483904067</v>
      </c>
      <c r="L138" s="352">
        <v>0.64745405199702999</v>
      </c>
      <c r="M138" s="352">
        <v>0.66205039743576677</v>
      </c>
      <c r="N138" s="352">
        <v>0.67697580607135854</v>
      </c>
    </row>
    <row r="139" spans="1:16" s="86" customFormat="1" hidden="1" outlineLevel="3" x14ac:dyDescent="0.2">
      <c r="A139"/>
      <c r="B139" s="15" t="str">
        <f>+D139&amp;E139&amp;F139&amp;G139</f>
        <v>GlobalEfficiencyHHV efficiency (Alk)%</v>
      </c>
      <c r="C139" s="15"/>
      <c r="D139" s="15" t="s">
        <v>109</v>
      </c>
      <c r="E139" s="365" t="s">
        <v>1422</v>
      </c>
      <c r="F139" s="365" t="s">
        <v>1424</v>
      </c>
      <c r="G139" s="597" t="s">
        <v>178</v>
      </c>
      <c r="H139" s="352">
        <v>0.7</v>
      </c>
      <c r="I139" s="352">
        <v>0.71578095275734344</v>
      </c>
      <c r="J139" s="352">
        <v>0.73191767475744329</v>
      </c>
      <c r="K139" s="352">
        <v>0.74841818653974601</v>
      </c>
      <c r="L139" s="352">
        <v>0.76529068946048939</v>
      </c>
      <c r="M139" s="352">
        <v>0.78254356976907624</v>
      </c>
      <c r="N139" s="352">
        <v>0.80018540277634576</v>
      </c>
    </row>
    <row r="140" spans="1:16" s="365" customFormat="1" hidden="1" outlineLevel="3" x14ac:dyDescent="0.2">
      <c r="A140"/>
      <c r="B140" s="15" t="str">
        <f>+D140&amp;E140&amp;F140&amp;G140</f>
        <v>GlobalCO2intensityElectrolyser process (Alk)tonCO2eq/tonH2</v>
      </c>
      <c r="C140" s="15"/>
      <c r="D140" s="15" t="s">
        <v>109</v>
      </c>
      <c r="E140" s="365" t="s">
        <v>927</v>
      </c>
      <c r="F140" s="365" t="s">
        <v>939</v>
      </c>
      <c r="G140" s="15" t="s">
        <v>929</v>
      </c>
      <c r="H140" s="374">
        <v>0</v>
      </c>
      <c r="I140" s="2">
        <f>H140</f>
        <v>0</v>
      </c>
      <c r="J140" s="2">
        <f t="shared" ref="J140:N140" si="76">I140</f>
        <v>0</v>
      </c>
      <c r="K140" s="2">
        <f t="shared" si="76"/>
        <v>0</v>
      </c>
      <c r="L140" s="2">
        <f t="shared" si="76"/>
        <v>0</v>
      </c>
      <c r="M140" s="2">
        <f t="shared" si="76"/>
        <v>0</v>
      </c>
      <c r="N140" s="2">
        <f t="shared" si="76"/>
        <v>0</v>
      </c>
    </row>
    <row r="141" spans="1:16" s="365" customFormat="1" hidden="1" outlineLevel="2" collapsed="1" x14ac:dyDescent="0.2">
      <c r="A141"/>
      <c r="B141" s="15"/>
      <c r="C141" s="15"/>
      <c r="D141" s="15"/>
      <c r="G141" s="15"/>
      <c r="H141" s="9"/>
      <c r="I141" s="9"/>
      <c r="J141" s="9"/>
      <c r="K141" s="9"/>
      <c r="L141" s="9"/>
      <c r="M141" s="9"/>
      <c r="N141" s="9"/>
      <c r="O141"/>
    </row>
    <row r="142" spans="1:16" s="365" customFormat="1" hidden="1" outlineLevel="2" x14ac:dyDescent="0.2">
      <c r="A142"/>
      <c r="B142" s="266" t="s">
        <v>1425</v>
      </c>
      <c r="C142"/>
      <c r="D142" s="266" t="str">
        <f>+B142</f>
        <v>Polymer electrolyte membrane electrolysis (PEM)</v>
      </c>
      <c r="G142" s="15"/>
      <c r="H142" s="9"/>
      <c r="I142" s="9"/>
      <c r="J142" s="9"/>
      <c r="K142" s="9"/>
      <c r="L142" s="9"/>
      <c r="M142" s="9"/>
      <c r="N142" s="9"/>
      <c r="O142"/>
    </row>
    <row r="143" spans="1:16" hidden="1" outlineLevel="3" x14ac:dyDescent="0.2">
      <c r="B143" s="15" t="str">
        <f>+D143&amp;E143&amp;F143&amp;G143</f>
        <v>GlobalCapexElectrolyser unit cost (PEM)USD/MW</v>
      </c>
      <c r="C143" s="15"/>
      <c r="D143" s="15" t="s">
        <v>109</v>
      </c>
      <c r="E143" s="15" t="s">
        <v>218</v>
      </c>
      <c r="F143" s="15" t="s">
        <v>908</v>
      </c>
      <c r="G143" s="55" t="s">
        <v>279</v>
      </c>
      <c r="H143" s="8">
        <f>(I143-J143)+I143</f>
        <v>1400000</v>
      </c>
      <c r="I143" s="357">
        <v>1100000</v>
      </c>
      <c r="J143" s="357">
        <v>800000</v>
      </c>
      <c r="K143" s="8">
        <f>(N143-J143)*1/4+J143</f>
        <v>725000</v>
      </c>
      <c r="L143" s="8">
        <f>(N143-J143)*2/4+J143</f>
        <v>650000</v>
      </c>
      <c r="M143" s="8">
        <f>(N143-J143)*3/4+J143</f>
        <v>575000</v>
      </c>
      <c r="N143" s="357">
        <v>500000</v>
      </c>
    </row>
    <row r="144" spans="1:16" hidden="1" outlineLevel="3" x14ac:dyDescent="0.2">
      <c r="B144" s="15" t="str">
        <f>+D144&amp;E144&amp;F144&amp;G144</f>
        <v>GlobalFeedstockSystem efficiency (PEM)kWh/kg H2</v>
      </c>
      <c r="C144" s="15"/>
      <c r="D144" s="15" t="s">
        <v>109</v>
      </c>
      <c r="E144" t="s">
        <v>777</v>
      </c>
      <c r="F144" t="s">
        <v>910</v>
      </c>
      <c r="G144" s="55" t="s">
        <v>896</v>
      </c>
      <c r="H144" s="596">
        <v>65.215899003916874</v>
      </c>
      <c r="I144" s="596">
        <v>63</v>
      </c>
      <c r="J144" s="596">
        <v>60.859392580965903</v>
      </c>
      <c r="K144" s="596">
        <v>58.791518497208372</v>
      </c>
      <c r="L144" s="596">
        <v>56.793906423059092</v>
      </c>
      <c r="M144" s="596">
        <v>54.864169003295146</v>
      </c>
      <c r="N144" s="596">
        <v>53</v>
      </c>
    </row>
    <row r="145" spans="1:15" hidden="1" outlineLevel="3" x14ac:dyDescent="0.2">
      <c r="B145" s="15" t="str">
        <f>+D145&amp;E145&amp;F145&amp;G145</f>
        <v>GlobalEfficiencyLHV efficiency (PEM)%</v>
      </c>
      <c r="C145" s="15"/>
      <c r="D145" s="15" t="s">
        <v>109</v>
      </c>
      <c r="E145" s="365" t="s">
        <v>1422</v>
      </c>
      <c r="F145" s="365" t="s">
        <v>1426</v>
      </c>
      <c r="G145" s="597" t="s">
        <v>178</v>
      </c>
      <c r="H145" s="352">
        <v>0.50761421319796951</v>
      </c>
      <c r="I145" s="352">
        <v>0.52566274984717098</v>
      </c>
      <c r="J145" s="352">
        <v>0.54435301335647224</v>
      </c>
      <c r="K145" s="352">
        <v>0.56370782072045722</v>
      </c>
      <c r="L145" s="352">
        <v>0.5837508002060352</v>
      </c>
      <c r="M145" s="352">
        <v>0.60450642019772816</v>
      </c>
      <c r="N145" s="352">
        <v>0.62600001906857228</v>
      </c>
    </row>
    <row r="146" spans="1:15" s="86" customFormat="1" hidden="1" outlineLevel="3" x14ac:dyDescent="0.2">
      <c r="A146"/>
      <c r="B146" s="15" t="str">
        <f>+D146&amp;E146&amp;F146&amp;G146</f>
        <v>GlobalEfficiencyHHV efficiency (PEM)%</v>
      </c>
      <c r="C146" s="15"/>
      <c r="D146" s="15" t="s">
        <v>109</v>
      </c>
      <c r="E146" s="365" t="s">
        <v>1422</v>
      </c>
      <c r="F146" s="365" t="s">
        <v>1427</v>
      </c>
      <c r="G146" s="597" t="s">
        <v>178</v>
      </c>
      <c r="H146" s="352">
        <v>0.6</v>
      </c>
      <c r="I146" s="352">
        <v>0.62133337031935609</v>
      </c>
      <c r="J146" s="352">
        <v>0.64342526178735016</v>
      </c>
      <c r="K146" s="352">
        <v>0.66630264409158046</v>
      </c>
      <c r="L146" s="352">
        <v>0.6899934458435335</v>
      </c>
      <c r="M146" s="352">
        <v>0.71452658867371466</v>
      </c>
      <c r="N146" s="352">
        <v>0.73993202253905233</v>
      </c>
    </row>
    <row r="147" spans="1:15" s="365" customFormat="1" hidden="1" outlineLevel="3" x14ac:dyDescent="0.2">
      <c r="A147"/>
      <c r="B147" s="15" t="str">
        <f>+D147&amp;E147&amp;F147&amp;G147</f>
        <v>GlobalCO2intensityElectrolyser process (PEM)tonCO2eq/tonH2</v>
      </c>
      <c r="C147" s="15"/>
      <c r="D147" s="15" t="s">
        <v>109</v>
      </c>
      <c r="E147" s="365" t="s">
        <v>927</v>
      </c>
      <c r="F147" s="365" t="s">
        <v>941</v>
      </c>
      <c r="G147" s="15" t="s">
        <v>929</v>
      </c>
      <c r="H147" s="374">
        <v>0</v>
      </c>
      <c r="I147" s="2">
        <f>H147</f>
        <v>0</v>
      </c>
      <c r="J147" s="2">
        <f t="shared" ref="J147:N147" si="77">I147</f>
        <v>0</v>
      </c>
      <c r="K147" s="2">
        <f t="shared" si="77"/>
        <v>0</v>
      </c>
      <c r="L147" s="2">
        <f t="shared" si="77"/>
        <v>0</v>
      </c>
      <c r="M147" s="2">
        <f t="shared" si="77"/>
        <v>0</v>
      </c>
      <c r="N147" s="2">
        <f t="shared" si="77"/>
        <v>0</v>
      </c>
    </row>
    <row r="148" spans="1:15" s="365" customFormat="1" hidden="1" outlineLevel="2" collapsed="1" x14ac:dyDescent="0.2">
      <c r="A148"/>
      <c r="B148" s="15"/>
      <c r="C148" s="15"/>
      <c r="D148" s="15"/>
      <c r="G148" s="15"/>
      <c r="H148" s="9"/>
      <c r="I148" s="9"/>
      <c r="J148" s="9"/>
      <c r="K148" s="9"/>
      <c r="L148" s="9"/>
      <c r="M148" s="9"/>
      <c r="N148" s="9"/>
      <c r="O148"/>
    </row>
    <row r="149" spans="1:15" s="365" customFormat="1" hidden="1" outlineLevel="2" x14ac:dyDescent="0.2">
      <c r="A149"/>
      <c r="B149" s="266" t="s">
        <v>1428</v>
      </c>
      <c r="C149"/>
      <c r="D149" s="266" t="str">
        <f>+B149</f>
        <v>Solid oxide electrolysis (SO)</v>
      </c>
      <c r="G149" s="15"/>
      <c r="H149" s="9"/>
      <c r="I149" s="9"/>
      <c r="J149" s="9"/>
      <c r="K149" s="9"/>
      <c r="L149" s="9"/>
      <c r="M149" s="9"/>
      <c r="N149" s="9"/>
      <c r="O149"/>
    </row>
    <row r="150" spans="1:15" hidden="1" outlineLevel="3" x14ac:dyDescent="0.2">
      <c r="B150" s="15" t="str">
        <f>+D150&amp;E150&amp;F150&amp;G150</f>
        <v>GlobalCapexElectrolyser unit cost (SO)USD/MW</v>
      </c>
      <c r="C150" s="15"/>
      <c r="D150" s="15" t="s">
        <v>109</v>
      </c>
      <c r="E150" s="15" t="s">
        <v>218</v>
      </c>
      <c r="F150" s="15" t="s">
        <v>916</v>
      </c>
      <c r="G150" s="55" t="s">
        <v>279</v>
      </c>
      <c r="H150" s="8">
        <f>(I150-J150)+I150</f>
        <v>3500000</v>
      </c>
      <c r="I150" s="357">
        <v>3000000</v>
      </c>
      <c r="J150" s="357">
        <v>2500000</v>
      </c>
      <c r="K150" s="8">
        <f>(N150-J150)*1/4+J150</f>
        <v>2050000</v>
      </c>
      <c r="L150" s="8">
        <f>(N150-J150)*2/4+J150</f>
        <v>1600000</v>
      </c>
      <c r="M150" s="8">
        <f>(N150-J150)*3/4+J150</f>
        <v>1150000</v>
      </c>
      <c r="N150" s="357">
        <v>700000</v>
      </c>
    </row>
    <row r="151" spans="1:15" hidden="1" outlineLevel="3" x14ac:dyDescent="0.2">
      <c r="B151" s="15" t="str">
        <f>+D151&amp;E151&amp;F151&amp;G151</f>
        <v>GlobalFeedstockSystem efficiency (SO)kWh/kg H2</v>
      </c>
      <c r="C151" s="15"/>
      <c r="D151" s="15" t="s">
        <v>109</v>
      </c>
      <c r="E151" t="s">
        <v>777</v>
      </c>
      <c r="F151" t="s">
        <v>918</v>
      </c>
      <c r="G151" s="55" t="s">
        <v>896</v>
      </c>
      <c r="H151" s="596">
        <v>44.846774565624095</v>
      </c>
      <c r="I151" s="596">
        <v>44</v>
      </c>
      <c r="J151" s="596">
        <v>43.169213811955629</v>
      </c>
      <c r="K151" s="596">
        <v>42.354114116871379</v>
      </c>
      <c r="L151" s="596">
        <v>41.554404730163384</v>
      </c>
      <c r="M151" s="596">
        <v>40.769795059658264</v>
      </c>
      <c r="N151" s="596">
        <v>40</v>
      </c>
    </row>
    <row r="152" spans="1:15" s="86" customFormat="1" hidden="1" outlineLevel="3" x14ac:dyDescent="0.2">
      <c r="A152"/>
      <c r="B152" s="15" t="str">
        <f>+D152&amp;E152&amp;F152&amp;G152</f>
        <v>GlobalEfficiencyLHV efficiency (SO)%</v>
      </c>
      <c r="C152" s="15"/>
      <c r="D152" s="15" t="s">
        <v>109</v>
      </c>
      <c r="E152" s="365" t="s">
        <v>1422</v>
      </c>
      <c r="F152" s="365" t="s">
        <v>1429</v>
      </c>
      <c r="G152" s="597" t="s">
        <v>178</v>
      </c>
      <c r="H152" s="352">
        <v>0.75</v>
      </c>
      <c r="I152" s="352">
        <v>0.76329124932094916</v>
      </c>
      <c r="J152" s="352">
        <v>0.77681804171991387</v>
      </c>
      <c r="K152" s="352">
        <v>0.79058455141259498</v>
      </c>
      <c r="L152" s="352">
        <v>0.80459502658874904</v>
      </c>
      <c r="M152" s="352">
        <v>0.81885379072313147</v>
      </c>
      <c r="N152" s="352">
        <v>0.83336524390967204</v>
      </c>
    </row>
    <row r="153" spans="1:15" s="365" customFormat="1" hidden="1" outlineLevel="3" x14ac:dyDescent="0.2">
      <c r="A153"/>
      <c r="B153" s="15" t="str">
        <f>+D153&amp;E153&amp;F153&amp;G153</f>
        <v>GlobalCO2intensityElectrolyser process (SO)tonCO2eq/tonH2</v>
      </c>
      <c r="C153" s="15"/>
      <c r="D153" s="15" t="s">
        <v>109</v>
      </c>
      <c r="E153" s="365" t="s">
        <v>927</v>
      </c>
      <c r="F153" s="365" t="s">
        <v>943</v>
      </c>
      <c r="G153" s="15" t="s">
        <v>929</v>
      </c>
      <c r="H153" s="374">
        <v>0</v>
      </c>
      <c r="I153" s="2">
        <f t="shared" ref="I153:N153" si="78">H153</f>
        <v>0</v>
      </c>
      <c r="J153" s="2">
        <f t="shared" si="78"/>
        <v>0</v>
      </c>
      <c r="K153" s="2">
        <f t="shared" si="78"/>
        <v>0</v>
      </c>
      <c r="L153" s="2">
        <f t="shared" si="78"/>
        <v>0</v>
      </c>
      <c r="M153" s="2">
        <f t="shared" si="78"/>
        <v>0</v>
      </c>
      <c r="N153" s="2">
        <f t="shared" si="78"/>
        <v>0</v>
      </c>
    </row>
    <row r="154" spans="1:15" s="365" customFormat="1" hidden="1" outlineLevel="2" collapsed="1" x14ac:dyDescent="0.2">
      <c r="A154"/>
      <c r="B154" s="15"/>
      <c r="C154" s="15"/>
      <c r="D154" s="15"/>
      <c r="G154" s="15"/>
      <c r="H154" s="2"/>
      <c r="I154" s="2"/>
      <c r="J154" s="2"/>
      <c r="K154" s="2"/>
      <c r="L154" s="2"/>
      <c r="M154" s="2"/>
      <c r="N154" s="2"/>
      <c r="O154" s="2"/>
    </row>
    <row r="155" spans="1:15" ht="13.5" collapsed="1" thickBot="1" x14ac:dyDescent="0.25"/>
    <row r="156" spans="1:15" ht="13.5" thickBot="1" x14ac:dyDescent="0.25">
      <c r="B156" s="598" t="s">
        <v>121</v>
      </c>
      <c r="C156" s="577"/>
      <c r="D156" s="589" t="str">
        <f>+B156</f>
        <v>e-Ammonia</v>
      </c>
      <c r="E156" s="590"/>
      <c r="F156" s="591"/>
      <c r="G156" s="590"/>
      <c r="H156" s="592">
        <f>+H$3</f>
        <v>2020</v>
      </c>
      <c r="I156" s="593">
        <f t="shared" ref="I156:N156" si="79">+I$3</f>
        <v>2025</v>
      </c>
      <c r="J156" s="592">
        <f t="shared" si="79"/>
        <v>2030</v>
      </c>
      <c r="K156" s="593">
        <f t="shared" si="79"/>
        <v>2035</v>
      </c>
      <c r="L156" s="592">
        <f t="shared" si="79"/>
        <v>2040</v>
      </c>
      <c r="M156" s="593">
        <f t="shared" si="79"/>
        <v>2045</v>
      </c>
      <c r="N156" s="594">
        <f t="shared" si="79"/>
        <v>2050</v>
      </c>
    </row>
    <row r="157" spans="1:15" s="86" customFormat="1" hidden="1" outlineLevel="1" x14ac:dyDescent="0.2">
      <c r="A157"/>
      <c r="B157" t="str">
        <f t="shared" ref="B157:B164" si="80">+D157&amp;E157&amp;F157&amp;G157</f>
        <v>GlobalCapexAmmonia plant unit costUSD/ ton NH3</v>
      </c>
      <c r="C157"/>
      <c r="D157" s="15" t="s">
        <v>109</v>
      </c>
      <c r="E157" s="15" t="s">
        <v>218</v>
      </c>
      <c r="F157" s="15" t="s">
        <v>958</v>
      </c>
      <c r="G157" s="224" t="s">
        <v>959</v>
      </c>
      <c r="H157" s="8">
        <f>(I157-J157)+I157</f>
        <v>2850</v>
      </c>
      <c r="I157" s="357">
        <v>1750</v>
      </c>
      <c r="J157" s="357">
        <v>650</v>
      </c>
      <c r="K157" s="8">
        <f>(N157-J157)*1/4+J157</f>
        <v>612.5</v>
      </c>
      <c r="L157" s="8">
        <f>(N157-J157)*2/4+J157</f>
        <v>575</v>
      </c>
      <c r="M157" s="8">
        <f>(N157-J157)*3/4+J157</f>
        <v>537.5</v>
      </c>
      <c r="N157" s="357">
        <v>500</v>
      </c>
    </row>
    <row r="158" spans="1:15" s="365" customFormat="1" hidden="1" outlineLevel="1" x14ac:dyDescent="0.2">
      <c r="A158"/>
      <c r="B158" t="str">
        <f t="shared" si="80"/>
        <v>GlobalCO2intensityAmmonia synthesis process tonCO2eq/ton NH3</v>
      </c>
      <c r="C158"/>
      <c r="D158" s="15" t="s">
        <v>109</v>
      </c>
      <c r="E158" s="365" t="s">
        <v>927</v>
      </c>
      <c r="F158" s="365" t="s">
        <v>979</v>
      </c>
      <c r="G158" s="15" t="s">
        <v>980</v>
      </c>
      <c r="H158" s="374">
        <v>0</v>
      </c>
      <c r="I158" s="766">
        <f>H158</f>
        <v>0</v>
      </c>
      <c r="J158" s="766">
        <f t="shared" ref="J158:N158" si="81">I158</f>
        <v>0</v>
      </c>
      <c r="K158" s="766">
        <f t="shared" si="81"/>
        <v>0</v>
      </c>
      <c r="L158" s="766">
        <f t="shared" si="81"/>
        <v>0</v>
      </c>
      <c r="M158" s="766">
        <f t="shared" si="81"/>
        <v>0</v>
      </c>
      <c r="N158" s="766">
        <f t="shared" si="81"/>
        <v>0</v>
      </c>
    </row>
    <row r="159" spans="1:15" hidden="1" outlineLevel="1" x14ac:dyDescent="0.2">
      <c r="B159" t="str">
        <f t="shared" si="80"/>
        <v>GlobalFeedstockConversion H2 : Ammonia (actual)kg H2/kg NH3</v>
      </c>
      <c r="D159" t="s">
        <v>109</v>
      </c>
      <c r="E159" t="s">
        <v>777</v>
      </c>
      <c r="F159" t="s">
        <v>971</v>
      </c>
      <c r="G159" s="224" t="s">
        <v>972</v>
      </c>
      <c r="H159" s="374">
        <v>0.18</v>
      </c>
      <c r="I159" s="2">
        <f>H159</f>
        <v>0.18</v>
      </c>
      <c r="J159" s="2">
        <f t="shared" ref="J159:N159" si="82">I159</f>
        <v>0.18</v>
      </c>
      <c r="K159" s="2">
        <f t="shared" si="82"/>
        <v>0.18</v>
      </c>
      <c r="L159" s="2">
        <f t="shared" si="82"/>
        <v>0.18</v>
      </c>
      <c r="M159" s="2">
        <f t="shared" si="82"/>
        <v>0.18</v>
      </c>
      <c r="N159" s="2">
        <f t="shared" si="82"/>
        <v>0.18</v>
      </c>
    </row>
    <row r="160" spans="1:15" hidden="1" outlineLevel="1" x14ac:dyDescent="0.2">
      <c r="B160" t="str">
        <f t="shared" si="80"/>
        <v>GlobalFeedstockConversion N2 : Ammonia (actual)kg N2/kg NH3</v>
      </c>
      <c r="D160" t="s">
        <v>109</v>
      </c>
      <c r="E160" t="s">
        <v>777</v>
      </c>
      <c r="F160" t="s">
        <v>966</v>
      </c>
      <c r="G160" s="224" t="s">
        <v>967</v>
      </c>
      <c r="H160" s="374">
        <v>0.82199999999999995</v>
      </c>
      <c r="I160" s="2">
        <f t="shared" ref="I160:N160" si="83">H160</f>
        <v>0.82199999999999995</v>
      </c>
      <c r="J160" s="2">
        <f t="shared" si="83"/>
        <v>0.82199999999999995</v>
      </c>
      <c r="K160" s="2">
        <f t="shared" si="83"/>
        <v>0.82199999999999995</v>
      </c>
      <c r="L160" s="2">
        <f t="shared" si="83"/>
        <v>0.82199999999999995</v>
      </c>
      <c r="M160" s="2">
        <f t="shared" si="83"/>
        <v>0.82199999999999995</v>
      </c>
      <c r="N160" s="2">
        <f t="shared" si="83"/>
        <v>0.82199999999999995</v>
      </c>
    </row>
    <row r="161" spans="1:15" hidden="1" outlineLevel="1" x14ac:dyDescent="0.2">
      <c r="B161" t="str">
        <f t="shared" si="80"/>
        <v>GlobalFeedstockCost of N2USD/kg N2</v>
      </c>
      <c r="D161" t="s">
        <v>109</v>
      </c>
      <c r="E161" t="s">
        <v>777</v>
      </c>
      <c r="F161" t="s">
        <v>968</v>
      </c>
      <c r="G161" s="224" t="s">
        <v>969</v>
      </c>
      <c r="H161" s="374">
        <v>0.1</v>
      </c>
      <c r="I161" s="762">
        <v>0.06</v>
      </c>
      <c r="J161" s="762">
        <v>0.03</v>
      </c>
      <c r="K161" s="762">
        <v>2.75E-2</v>
      </c>
      <c r="L161" s="762">
        <v>2.5000000000000001E-2</v>
      </c>
      <c r="M161" s="762">
        <v>2.2499999999999999E-2</v>
      </c>
      <c r="N161" s="762">
        <v>0.02</v>
      </c>
    </row>
    <row r="162" spans="1:15" s="599" customFormat="1" hidden="1" outlineLevel="1" x14ac:dyDescent="0.2">
      <c r="A162"/>
      <c r="B162" t="str">
        <f t="shared" si="80"/>
        <v>GlobalSynthesisElectricity demandmWh/ton NH3</v>
      </c>
      <c r="C162"/>
      <c r="D162" t="s">
        <v>109</v>
      </c>
      <c r="E162" t="s">
        <v>962</v>
      </c>
      <c r="F162" s="48" t="s">
        <v>963</v>
      </c>
      <c r="G162" s="224" t="s">
        <v>964</v>
      </c>
      <c r="H162" s="374">
        <v>0.25</v>
      </c>
      <c r="I162" s="374">
        <v>0.25</v>
      </c>
      <c r="J162" s="374">
        <v>0.25</v>
      </c>
      <c r="K162" s="374">
        <v>0.25</v>
      </c>
      <c r="L162" s="374">
        <v>0.25</v>
      </c>
      <c r="M162" s="374">
        <v>0.25</v>
      </c>
      <c r="N162" s="374">
        <v>0.25</v>
      </c>
    </row>
    <row r="163" spans="1:15" s="599" customFormat="1" hidden="1" outlineLevel="1" x14ac:dyDescent="0.2">
      <c r="A163"/>
      <c r="B163" t="str">
        <f t="shared" si="80"/>
        <v>GlobalOpexPlant - Ammonia synthesis - opexPercent of Capex</v>
      </c>
      <c r="C163"/>
      <c r="D163" t="s">
        <v>109</v>
      </c>
      <c r="E163" t="s">
        <v>219</v>
      </c>
      <c r="F163" s="48" t="s">
        <v>961</v>
      </c>
      <c r="G163" s="224" t="s">
        <v>883</v>
      </c>
      <c r="H163" s="352">
        <v>0.04</v>
      </c>
      <c r="I163" s="9">
        <f t="shared" ref="I163:N163" si="84">H163</f>
        <v>0.04</v>
      </c>
      <c r="J163" s="9">
        <f t="shared" si="84"/>
        <v>0.04</v>
      </c>
      <c r="K163" s="9">
        <f t="shared" si="84"/>
        <v>0.04</v>
      </c>
      <c r="L163" s="9">
        <f t="shared" si="84"/>
        <v>0.04</v>
      </c>
      <c r="M163" s="9">
        <f t="shared" si="84"/>
        <v>0.04</v>
      </c>
      <c r="N163" s="9">
        <f t="shared" si="84"/>
        <v>0.04</v>
      </c>
    </row>
    <row r="164" spans="1:15" s="599" customFormat="1" hidden="1" outlineLevel="1" x14ac:dyDescent="0.2">
      <c r="A164"/>
      <c r="B164" t="str">
        <f t="shared" si="80"/>
        <v>GlobalCO2intensityN2tonCO2eq/ton N2</v>
      </c>
      <c r="C164"/>
      <c r="D164" s="15" t="s">
        <v>109</v>
      </c>
      <c r="E164" s="15" t="s">
        <v>927</v>
      </c>
      <c r="F164" s="15" t="s">
        <v>981</v>
      </c>
      <c r="G164" s="15" t="s">
        <v>982</v>
      </c>
      <c r="H164" s="374">
        <v>0</v>
      </c>
      <c r="I164" s="766">
        <f t="shared" ref="I164:N164" si="85">H164</f>
        <v>0</v>
      </c>
      <c r="J164" s="766">
        <f t="shared" si="85"/>
        <v>0</v>
      </c>
      <c r="K164" s="766">
        <f t="shared" si="85"/>
        <v>0</v>
      </c>
      <c r="L164" s="766">
        <f t="shared" si="85"/>
        <v>0</v>
      </c>
      <c r="M164" s="766">
        <f t="shared" si="85"/>
        <v>0</v>
      </c>
      <c r="N164" s="766">
        <f t="shared" si="85"/>
        <v>0</v>
      </c>
    </row>
    <row r="165" spans="1:15" s="599" customFormat="1" ht="13.5" collapsed="1" thickBot="1" x14ac:dyDescent="0.25">
      <c r="A165"/>
      <c r="B165" s="15"/>
      <c r="C165" s="15"/>
      <c r="D165" s="15"/>
      <c r="E165" s="15"/>
      <c r="F165" s="15"/>
      <c r="G165" s="15"/>
      <c r="H165" s="600"/>
      <c r="I165" s="601"/>
      <c r="J165" s="601"/>
      <c r="K165" s="601"/>
      <c r="L165" s="601"/>
      <c r="M165" s="601"/>
      <c r="N165" s="601"/>
    </row>
    <row r="166" spans="1:15" s="599" customFormat="1" ht="13.5" thickBot="1" x14ac:dyDescent="0.25">
      <c r="A166"/>
      <c r="B166" s="598" t="s">
        <v>983</v>
      </c>
      <c r="C166" s="577"/>
      <c r="D166" s="589" t="str">
        <f>+B166</f>
        <v>e-Methanol</v>
      </c>
      <c r="E166" s="590"/>
      <c r="F166" s="591"/>
      <c r="G166" s="590"/>
      <c r="H166" s="592">
        <f>+H$3</f>
        <v>2020</v>
      </c>
      <c r="I166" s="593">
        <f t="shared" ref="I166:N166" si="86">+I$3</f>
        <v>2025</v>
      </c>
      <c r="J166" s="592">
        <f t="shared" si="86"/>
        <v>2030</v>
      </c>
      <c r="K166" s="593">
        <f t="shared" si="86"/>
        <v>2035</v>
      </c>
      <c r="L166" s="592">
        <f t="shared" si="86"/>
        <v>2040</v>
      </c>
      <c r="M166" s="593">
        <f t="shared" si="86"/>
        <v>2045</v>
      </c>
      <c r="N166" s="594">
        <f t="shared" si="86"/>
        <v>2050</v>
      </c>
    </row>
    <row r="167" spans="1:15" hidden="1" outlineLevel="1" x14ac:dyDescent="0.2">
      <c r="B167" s="15" t="str">
        <f>+D167&amp;E167&amp;F167&amp;G167</f>
        <v>GlobalCO2intensityMethanol synthesis process tonCO2eq/ton Methanol</v>
      </c>
      <c r="C167" s="15"/>
      <c r="D167" s="15" t="s">
        <v>109</v>
      </c>
      <c r="E167" s="365" t="s">
        <v>927</v>
      </c>
      <c r="F167" s="365" t="s">
        <v>1017</v>
      </c>
      <c r="G167" s="15" t="s">
        <v>1018</v>
      </c>
      <c r="H167" s="374">
        <v>0</v>
      </c>
      <c r="I167" s="2">
        <f>H167</f>
        <v>0</v>
      </c>
      <c r="J167" s="2">
        <f t="shared" ref="J167:N167" si="87">I167</f>
        <v>0</v>
      </c>
      <c r="K167" s="2">
        <f t="shared" si="87"/>
        <v>0</v>
      </c>
      <c r="L167" s="2">
        <f t="shared" si="87"/>
        <v>0</v>
      </c>
      <c r="M167" s="2">
        <f t="shared" si="87"/>
        <v>0</v>
      </c>
      <c r="N167" s="2">
        <f t="shared" si="87"/>
        <v>0</v>
      </c>
      <c r="O167" s="599"/>
    </row>
    <row r="168" spans="1:15" hidden="1" outlineLevel="1" x14ac:dyDescent="0.2">
      <c r="B168" t="str">
        <f>+D168&amp;E168&amp;F168&amp;G168</f>
        <v>GlobalOpexPlant - Methanol synthesis - opexPercent of Capex</v>
      </c>
      <c r="D168" t="s">
        <v>109</v>
      </c>
      <c r="E168" t="s">
        <v>219</v>
      </c>
      <c r="F168" s="48" t="s">
        <v>1004</v>
      </c>
      <c r="G168" s="224" t="s">
        <v>883</v>
      </c>
      <c r="H168" s="352">
        <v>0.04</v>
      </c>
      <c r="I168" s="352">
        <v>0.04</v>
      </c>
      <c r="J168" s="352">
        <v>0.04</v>
      </c>
      <c r="K168" s="352">
        <v>0.04</v>
      </c>
      <c r="L168" s="352">
        <v>0.04</v>
      </c>
      <c r="M168" s="352">
        <v>0.04</v>
      </c>
      <c r="N168" s="352">
        <v>0.04</v>
      </c>
      <c r="O168" s="599"/>
    </row>
    <row r="169" spans="1:15" hidden="1" outlineLevel="1" x14ac:dyDescent="0.2">
      <c r="B169" s="15" t="str">
        <f>+D169&amp;E169&amp;F169&amp;G169</f>
        <v>GlobalCapexMethanol plant unit costUSD/ ton MeOH</v>
      </c>
      <c r="C169" s="15"/>
      <c r="D169" t="s">
        <v>109</v>
      </c>
      <c r="E169" s="15" t="s">
        <v>218</v>
      </c>
      <c r="F169" s="15" t="s">
        <v>1001</v>
      </c>
      <c r="G169" s="55" t="s">
        <v>1002</v>
      </c>
      <c r="H169" s="8">
        <f>(I169-J169)+I169</f>
        <v>3400</v>
      </c>
      <c r="I169" s="357">
        <v>2700</v>
      </c>
      <c r="J169" s="357">
        <v>2000</v>
      </c>
      <c r="K169" s="8">
        <f>AVERAGE(J169,L169)</f>
        <v>1775</v>
      </c>
      <c r="L169" s="357">
        <v>1550</v>
      </c>
      <c r="M169" s="8">
        <f>AVERAGE(L169,N169)</f>
        <v>1250</v>
      </c>
      <c r="N169" s="357">
        <v>950</v>
      </c>
      <c r="O169" s="599"/>
    </row>
    <row r="170" spans="1:15" hidden="1" outlineLevel="1" x14ac:dyDescent="0.2">
      <c r="B170" s="78" t="str">
        <f>+D170&amp;E170&amp;F170&amp;G170</f>
        <v>GlobalMethanol SynthesisElectricity demandmWh/ton MeOH</v>
      </c>
      <c r="C170" s="82"/>
      <c r="D170" t="s">
        <v>109</v>
      </c>
      <c r="E170" t="s">
        <v>1005</v>
      </c>
      <c r="F170" s="48" t="s">
        <v>963</v>
      </c>
      <c r="G170" s="224" t="s">
        <v>1006</v>
      </c>
      <c r="H170" s="762">
        <v>1.7</v>
      </c>
      <c r="I170" s="762">
        <v>1.7</v>
      </c>
      <c r="J170" s="762">
        <v>1.7</v>
      </c>
      <c r="K170" s="762">
        <v>1.7</v>
      </c>
      <c r="L170" s="762">
        <v>1.7</v>
      </c>
      <c r="M170" s="762">
        <v>1.7</v>
      </c>
      <c r="N170" s="762">
        <v>1.7</v>
      </c>
      <c r="O170" s="599"/>
    </row>
    <row r="171" spans="1:15" hidden="1" outlineLevel="1" x14ac:dyDescent="0.2">
      <c r="B171" s="78"/>
      <c r="C171" s="82"/>
      <c r="F171" s="48"/>
      <c r="G171" s="224"/>
      <c r="H171" s="2"/>
      <c r="I171" s="2"/>
      <c r="J171" s="2"/>
      <c r="K171" s="2"/>
      <c r="L171" s="2"/>
      <c r="M171" s="2"/>
      <c r="N171" s="2"/>
      <c r="O171" s="599"/>
    </row>
    <row r="172" spans="1:15" hidden="1" outlineLevel="1" x14ac:dyDescent="0.2">
      <c r="B172" s="602" t="s">
        <v>777</v>
      </c>
      <c r="C172" s="82"/>
      <c r="D172" s="266" t="str">
        <f>+B172</f>
        <v>Feedstock</v>
      </c>
      <c r="F172" s="48"/>
      <c r="G172" s="224"/>
      <c r="H172" s="2"/>
      <c r="I172" s="2"/>
      <c r="J172" s="2"/>
      <c r="K172" s="2"/>
      <c r="L172" s="2"/>
      <c r="M172" s="2"/>
      <c r="N172" s="2"/>
      <c r="O172" s="599"/>
    </row>
    <row r="173" spans="1:15" hidden="1" outlineLevel="2" x14ac:dyDescent="0.2">
      <c r="B173" t="str">
        <f>+D173&amp;E173&amp;F173&amp;G173</f>
        <v>GlobalFeedstockConversion H2 : MeOH (actual)tons H2/ton MeOH</v>
      </c>
      <c r="D173" t="s">
        <v>109</v>
      </c>
      <c r="E173" t="s">
        <v>777</v>
      </c>
      <c r="F173" t="s">
        <v>1012</v>
      </c>
      <c r="G173" s="224" t="s">
        <v>1013</v>
      </c>
      <c r="H173" s="374">
        <v>0.18875226265526496</v>
      </c>
      <c r="I173" s="2">
        <f>H173</f>
        <v>0.18875226265526496</v>
      </c>
      <c r="J173" s="2">
        <f t="shared" ref="J173:N173" si="88">I173</f>
        <v>0.18875226265526496</v>
      </c>
      <c r="K173" s="2">
        <f t="shared" si="88"/>
        <v>0.18875226265526496</v>
      </c>
      <c r="L173" s="2">
        <f t="shared" si="88"/>
        <v>0.18875226265526496</v>
      </c>
      <c r="M173" s="2">
        <f t="shared" si="88"/>
        <v>0.18875226265526496</v>
      </c>
      <c r="N173" s="2">
        <f t="shared" si="88"/>
        <v>0.18875226265526496</v>
      </c>
      <c r="O173" s="599"/>
    </row>
    <row r="174" spans="1:15" hidden="1" outlineLevel="2" x14ac:dyDescent="0.2">
      <c r="B174" s="78" t="str">
        <f>+D174&amp;E174&amp;F174&amp;G174</f>
        <v>GlobalFeedstockConversion CO2 : MeOH (actual)kg CO2/kg MeOH</v>
      </c>
      <c r="C174" s="82"/>
      <c r="D174" t="s">
        <v>109</v>
      </c>
      <c r="E174" t="s">
        <v>777</v>
      </c>
      <c r="F174" t="s">
        <v>1008</v>
      </c>
      <c r="G174" s="224" t="s">
        <v>1009</v>
      </c>
      <c r="H174" s="374">
        <f>H175</f>
        <v>1.3735097684289368</v>
      </c>
      <c r="I174" s="2">
        <f t="shared" ref="I174:N174" si="89">H174</f>
        <v>1.3735097684289368</v>
      </c>
      <c r="J174" s="2">
        <f t="shared" si="89"/>
        <v>1.3735097684289368</v>
      </c>
      <c r="K174" s="2">
        <f t="shared" si="89"/>
        <v>1.3735097684289368</v>
      </c>
      <c r="L174" s="2">
        <f t="shared" si="89"/>
        <v>1.3735097684289368</v>
      </c>
      <c r="M174" s="2">
        <f t="shared" si="89"/>
        <v>1.3735097684289368</v>
      </c>
      <c r="N174" s="2">
        <f t="shared" si="89"/>
        <v>1.3735097684289368</v>
      </c>
      <c r="O174" s="599"/>
    </row>
    <row r="175" spans="1:15" hidden="1" outlineLevel="2" x14ac:dyDescent="0.2">
      <c r="B175" t="str">
        <f>+D175&amp;E175&amp;F175&amp;G175</f>
        <v>GlobalFeedstockStoechiometric CO2ton CO2/ton MeOH</v>
      </c>
      <c r="D175" t="s">
        <v>109</v>
      </c>
      <c r="E175" t="s">
        <v>777</v>
      </c>
      <c r="F175" t="s">
        <v>1068</v>
      </c>
      <c r="G175" s="15" t="s">
        <v>1430</v>
      </c>
      <c r="H175" s="603">
        <v>1.3735097684289368</v>
      </c>
      <c r="I175" s="2">
        <f t="shared" ref="I175:N175" si="90">H175</f>
        <v>1.3735097684289368</v>
      </c>
      <c r="J175" s="2">
        <f t="shared" si="90"/>
        <v>1.3735097684289368</v>
      </c>
      <c r="K175" s="2">
        <f t="shared" si="90"/>
        <v>1.3735097684289368</v>
      </c>
      <c r="L175" s="2">
        <f t="shared" si="90"/>
        <v>1.3735097684289368</v>
      </c>
      <c r="M175" s="2">
        <f t="shared" si="90"/>
        <v>1.3735097684289368</v>
      </c>
      <c r="N175" s="2">
        <f t="shared" si="90"/>
        <v>1.3735097684289368</v>
      </c>
    </row>
    <row r="176" spans="1:15" hidden="1" outlineLevel="2" x14ac:dyDescent="0.2">
      <c r="B176" s="78" t="str">
        <f>+D176&amp;E176&amp;F176&amp;G176</f>
        <v>GlobalFeedstockConversion H2O : MeOH (actual)m3 H2O / ton MeOH</v>
      </c>
      <c r="C176" s="82"/>
      <c r="D176" t="s">
        <v>109</v>
      </c>
      <c r="E176" t="s">
        <v>777</v>
      </c>
      <c r="F176" t="s">
        <v>1431</v>
      </c>
      <c r="G176" s="224" t="s">
        <v>1432</v>
      </c>
      <c r="H176" s="374">
        <v>25</v>
      </c>
      <c r="I176" s="2">
        <f t="shared" ref="I176:N176" si="91">H176</f>
        <v>25</v>
      </c>
      <c r="J176" s="2">
        <f t="shared" si="91"/>
        <v>25</v>
      </c>
      <c r="K176" s="2">
        <f t="shared" si="91"/>
        <v>25</v>
      </c>
      <c r="L176" s="2">
        <f t="shared" si="91"/>
        <v>25</v>
      </c>
      <c r="M176" s="2">
        <f t="shared" si="91"/>
        <v>25</v>
      </c>
      <c r="N176" s="2">
        <f t="shared" si="91"/>
        <v>25</v>
      </c>
      <c r="O176" s="599"/>
    </row>
    <row r="177" spans="1:15" hidden="1" outlineLevel="1" collapsed="1" x14ac:dyDescent="0.2">
      <c r="B177" s="78"/>
      <c r="C177" s="82"/>
      <c r="F177" s="48"/>
      <c r="G177" s="224"/>
      <c r="H177" s="2"/>
      <c r="I177" s="2"/>
      <c r="J177" s="2"/>
      <c r="K177" s="2"/>
      <c r="L177" s="2"/>
      <c r="M177" s="2"/>
      <c r="N177" s="2"/>
      <c r="O177" s="599"/>
    </row>
    <row r="178" spans="1:15" ht="13.5" collapsed="1" thickBot="1" x14ac:dyDescent="0.25"/>
    <row r="179" spans="1:15" ht="13.5" thickBot="1" x14ac:dyDescent="0.25">
      <c r="B179" s="598" t="s">
        <v>1433</v>
      </c>
      <c r="C179" s="577"/>
      <c r="D179" s="589" t="str">
        <f>+B179</f>
        <v>CO2 Direct Air Capture (DAC)</v>
      </c>
      <c r="E179" s="590"/>
      <c r="F179" s="591"/>
      <c r="G179" s="590"/>
      <c r="H179" s="592">
        <f>+H$3</f>
        <v>2020</v>
      </c>
      <c r="I179" s="593">
        <f t="shared" ref="I179:N179" si="92">+I$3</f>
        <v>2025</v>
      </c>
      <c r="J179" s="592">
        <f t="shared" si="92"/>
        <v>2030</v>
      </c>
      <c r="K179" s="593">
        <f t="shared" si="92"/>
        <v>2035</v>
      </c>
      <c r="L179" s="592">
        <f t="shared" si="92"/>
        <v>2040</v>
      </c>
      <c r="M179" s="593">
        <f t="shared" si="92"/>
        <v>2045</v>
      </c>
      <c r="N179" s="594">
        <f t="shared" si="92"/>
        <v>2050</v>
      </c>
    </row>
    <row r="180" spans="1:15" hidden="1" outlineLevel="1" x14ac:dyDescent="0.2">
      <c r="B180" t="str">
        <f>+D180&amp;E180&amp;F180&amp;G180</f>
        <v>GlobalCapexDAC plant unit capexUSD/ ton CO2</v>
      </c>
      <c r="D180" t="s">
        <v>109</v>
      </c>
      <c r="E180" t="s">
        <v>218</v>
      </c>
      <c r="F180" t="s">
        <v>1129</v>
      </c>
      <c r="G180" s="224" t="s">
        <v>1130</v>
      </c>
      <c r="H180" s="357">
        <v>1000</v>
      </c>
      <c r="I180" s="357">
        <v>858.73402569999985</v>
      </c>
      <c r="J180" s="357">
        <v>737.42412689492801</v>
      </c>
      <c r="K180" s="357">
        <v>633.25118913678909</v>
      </c>
      <c r="L180" s="357">
        <v>543.79434292674694</v>
      </c>
      <c r="M180" s="357">
        <v>466.97470525437166</v>
      </c>
      <c r="N180" s="357">
        <v>400</v>
      </c>
    </row>
    <row r="181" spans="1:15" hidden="1" outlineLevel="1" x14ac:dyDescent="0.2">
      <c r="B181" t="str">
        <f>+D181&amp;E181&amp;F181&amp;G181</f>
        <v>GlobalOpexOpex - DAC facilityPercent of Capex</v>
      </c>
      <c r="D181" t="s">
        <v>109</v>
      </c>
      <c r="E181" t="s">
        <v>219</v>
      </c>
      <c r="F181" t="s">
        <v>1134</v>
      </c>
      <c r="G181" s="15" t="s">
        <v>883</v>
      </c>
      <c r="H181" s="352">
        <v>5.5378317162414502E-2</v>
      </c>
      <c r="I181" s="352">
        <v>0.05</v>
      </c>
      <c r="J181" s="352">
        <v>4.5144022572371711E-2</v>
      </c>
      <c r="K181" s="352">
        <v>4.0759655480296135E-2</v>
      </c>
      <c r="L181" s="352">
        <v>3.6801096140891658E-2</v>
      </c>
      <c r="M181" s="352">
        <v>3.3226990297448689E-2</v>
      </c>
      <c r="N181" s="352">
        <v>0.03</v>
      </c>
    </row>
    <row r="182" spans="1:15" hidden="1" outlineLevel="1" x14ac:dyDescent="0.2">
      <c r="B182" t="str">
        <f>+D182&amp;E182&amp;F182&amp;G182</f>
        <v>GlobalCO2 DACElectricity demandmWh/ton CO2</v>
      </c>
      <c r="D182" t="s">
        <v>109</v>
      </c>
      <c r="E182" t="s">
        <v>1034</v>
      </c>
      <c r="F182" t="s">
        <v>963</v>
      </c>
      <c r="G182" s="15" t="s">
        <v>1035</v>
      </c>
      <c r="H182" s="374">
        <v>2.9949090520301924</v>
      </c>
      <c r="I182" s="374">
        <v>2.8</v>
      </c>
      <c r="J182" s="374">
        <v>2.6177756532157161</v>
      </c>
      <c r="K182" s="374">
        <v>2.4474104894889179</v>
      </c>
      <c r="L182" s="374">
        <v>2.2881327117174459</v>
      </c>
      <c r="M182" s="374">
        <v>2.1392207514501376</v>
      </c>
      <c r="N182" s="374">
        <v>2</v>
      </c>
    </row>
    <row r="183" spans="1:15" s="15" customFormat="1" hidden="1" outlineLevel="1" x14ac:dyDescent="0.2">
      <c r="A183"/>
      <c r="B183" s="15" t="str">
        <f>+D183&amp;E183&amp;F183&amp;G183</f>
        <v>GlobalCO2 intensityWTT  DACtonCO2/tonCO2</v>
      </c>
      <c r="D183" s="15" t="s">
        <v>109</v>
      </c>
      <c r="E183" s="15" t="s">
        <v>1019</v>
      </c>
      <c r="F183" s="15" t="s">
        <v>1029</v>
      </c>
      <c r="G183" s="15" t="s">
        <v>1021</v>
      </c>
      <c r="H183" s="604">
        <v>-1</v>
      </c>
      <c r="I183" s="2">
        <v>-1</v>
      </c>
      <c r="J183" s="2">
        <v>-1</v>
      </c>
      <c r="K183" s="2">
        <v>-1</v>
      </c>
      <c r="L183" s="2">
        <v>-1</v>
      </c>
      <c r="M183" s="2">
        <v>-1</v>
      </c>
      <c r="N183" s="2">
        <v>-1</v>
      </c>
    </row>
    <row r="184" spans="1:15" ht="13.5" collapsed="1" thickBot="1" x14ac:dyDescent="0.25"/>
    <row r="185" spans="1:15" ht="13.5" thickBot="1" x14ac:dyDescent="0.25">
      <c r="B185" s="598" t="s">
        <v>1434</v>
      </c>
      <c r="C185" s="577"/>
      <c r="D185" s="589" t="str">
        <f>+B185</f>
        <v>CO2 Point Source (PS)</v>
      </c>
      <c r="E185" s="590"/>
      <c r="F185" s="591"/>
      <c r="G185" s="590"/>
      <c r="H185" s="592">
        <f>+H$3</f>
        <v>2020</v>
      </c>
      <c r="I185" s="593">
        <f>+I$3</f>
        <v>2025</v>
      </c>
      <c r="J185" s="592">
        <f t="shared" ref="J185:N185" si="93">+J$3</f>
        <v>2030</v>
      </c>
      <c r="K185" s="593">
        <f t="shared" si="93"/>
        <v>2035</v>
      </c>
      <c r="L185" s="592">
        <f t="shared" si="93"/>
        <v>2040</v>
      </c>
      <c r="M185" s="593">
        <f t="shared" si="93"/>
        <v>2045</v>
      </c>
      <c r="N185" s="594">
        <f t="shared" si="93"/>
        <v>2050</v>
      </c>
    </row>
    <row r="186" spans="1:15" hidden="1" outlineLevel="1" x14ac:dyDescent="0.2">
      <c r="B186" t="str">
        <f>+D186&amp;E186&amp;F186&amp;G186</f>
        <v>GlobalCapexPS plant unit capexUSD/ ton CO2</v>
      </c>
      <c r="D186" t="s">
        <v>109</v>
      </c>
      <c r="E186" t="s">
        <v>218</v>
      </c>
      <c r="F186" t="s">
        <v>1697</v>
      </c>
      <c r="G186" s="224" t="s">
        <v>1130</v>
      </c>
      <c r="H186" s="8">
        <f>(I186-J186)+I186</f>
        <v>1150</v>
      </c>
      <c r="I186" s="357">
        <v>950</v>
      </c>
      <c r="J186" s="357">
        <v>750</v>
      </c>
      <c r="K186" s="8">
        <f>(N186-J186)*1/4+J186</f>
        <v>672.5</v>
      </c>
      <c r="L186" s="8">
        <f>(N186-J186)*2/4+J186</f>
        <v>595</v>
      </c>
      <c r="M186" s="8">
        <f>(N186-J186)*3/4+J186</f>
        <v>517.5</v>
      </c>
      <c r="N186" s="357">
        <v>440</v>
      </c>
    </row>
    <row r="187" spans="1:15" hidden="1" outlineLevel="1" x14ac:dyDescent="0.2">
      <c r="B187" t="str">
        <f>+D187&amp;E187&amp;F187&amp;G187</f>
        <v>GlobalOpexOpex - PS facilityPercent of Capex</v>
      </c>
      <c r="D187" t="s">
        <v>109</v>
      </c>
      <c r="E187" t="s">
        <v>219</v>
      </c>
      <c r="F187" t="s">
        <v>1698</v>
      </c>
      <c r="G187" s="15" t="s">
        <v>883</v>
      </c>
      <c r="H187" s="352">
        <v>0.05</v>
      </c>
      <c r="I187" s="9">
        <f>H187</f>
        <v>0.05</v>
      </c>
      <c r="J187" s="9">
        <f t="shared" ref="J187:N187" si="94">I187</f>
        <v>0.05</v>
      </c>
      <c r="K187" s="9">
        <f t="shared" si="94"/>
        <v>0.05</v>
      </c>
      <c r="L187" s="9">
        <f t="shared" si="94"/>
        <v>0.05</v>
      </c>
      <c r="M187" s="9">
        <f t="shared" si="94"/>
        <v>0.05</v>
      </c>
      <c r="N187" s="9">
        <f t="shared" si="94"/>
        <v>0.05</v>
      </c>
    </row>
    <row r="188" spans="1:15" hidden="1" outlineLevel="1" x14ac:dyDescent="0.2">
      <c r="B188" t="str">
        <f>+D188&amp;E188&amp;F188&amp;G188</f>
        <v>GlobalCO2 PSElectricity demandmWh/ton CO2</v>
      </c>
      <c r="D188" t="s">
        <v>109</v>
      </c>
      <c r="E188" t="s">
        <v>1699</v>
      </c>
      <c r="F188" t="s">
        <v>963</v>
      </c>
      <c r="G188" s="15" t="s">
        <v>1035</v>
      </c>
      <c r="H188" s="374">
        <v>0.45</v>
      </c>
      <c r="I188" s="2">
        <f>H188</f>
        <v>0.45</v>
      </c>
      <c r="J188" s="2">
        <f t="shared" ref="J188:N188" si="95">I188</f>
        <v>0.45</v>
      </c>
      <c r="K188" s="2">
        <f t="shared" si="95"/>
        <v>0.45</v>
      </c>
      <c r="L188" s="2">
        <f t="shared" si="95"/>
        <v>0.45</v>
      </c>
      <c r="M188" s="2">
        <f t="shared" si="95"/>
        <v>0.45</v>
      </c>
      <c r="N188" s="2">
        <f t="shared" si="95"/>
        <v>0.45</v>
      </c>
    </row>
    <row r="189" spans="1:15" s="15" customFormat="1" hidden="1" outlineLevel="1" x14ac:dyDescent="0.2">
      <c r="A189"/>
      <c r="B189" s="15" t="str">
        <f t="shared" ref="B189" si="96">+D189&amp;E189&amp;F189&amp;G189</f>
        <v>GlobalCO2 intensityWTT  PStonCO2/tonCO2</v>
      </c>
      <c r="D189" s="15" t="s">
        <v>109</v>
      </c>
      <c r="E189" s="15" t="s">
        <v>1019</v>
      </c>
      <c r="F189" s="15" t="s">
        <v>1020</v>
      </c>
      <c r="G189" s="15" t="s">
        <v>1021</v>
      </c>
      <c r="H189" s="374">
        <v>-1</v>
      </c>
      <c r="I189" s="2">
        <f>H189</f>
        <v>-1</v>
      </c>
      <c r="J189" s="2">
        <v>-1</v>
      </c>
      <c r="K189" s="2">
        <v>-1</v>
      </c>
      <c r="L189" s="2">
        <v>-1</v>
      </c>
      <c r="M189" s="2">
        <v>-1</v>
      </c>
      <c r="N189" s="2">
        <v>-1</v>
      </c>
    </row>
    <row r="190" spans="1:15" hidden="1" outlineLevel="1" x14ac:dyDescent="0.2">
      <c r="G190" s="224"/>
      <c r="H190" s="224"/>
      <c r="I190" s="8"/>
      <c r="J190" s="8"/>
      <c r="K190" s="8"/>
      <c r="L190" s="8"/>
      <c r="M190" s="8"/>
      <c r="N190" s="8"/>
    </row>
    <row r="191" spans="1:15" hidden="1" outlineLevel="1" x14ac:dyDescent="0.2">
      <c r="B191" t="str">
        <f>+D191&amp;E191&amp;F191&amp;G191</f>
        <v>EuropeFeedstockCost of blue CO2 PSUSD/ton</v>
      </c>
      <c r="D191" t="s">
        <v>195</v>
      </c>
      <c r="E191" t="s">
        <v>777</v>
      </c>
      <c r="F191" t="s">
        <v>1209</v>
      </c>
      <c r="G191" s="224" t="s">
        <v>205</v>
      </c>
      <c r="H191" s="357">
        <v>25</v>
      </c>
      <c r="I191" s="8">
        <f>H191</f>
        <v>25</v>
      </c>
      <c r="J191" s="8">
        <f t="shared" ref="J191:N191" si="97">I191</f>
        <v>25</v>
      </c>
      <c r="K191" s="8">
        <f t="shared" si="97"/>
        <v>25</v>
      </c>
      <c r="L191" s="8">
        <f t="shared" si="97"/>
        <v>25</v>
      </c>
      <c r="M191" s="8">
        <f t="shared" si="97"/>
        <v>25</v>
      </c>
      <c r="N191" s="8">
        <f t="shared" si="97"/>
        <v>25</v>
      </c>
    </row>
    <row r="192" spans="1:15" hidden="1" outlineLevel="1" x14ac:dyDescent="0.2">
      <c r="B192" t="str">
        <f>+D192&amp;E192&amp;F192&amp;G192</f>
        <v>Middle EastFeedstockCost of blue CO2 PSUSD/ton</v>
      </c>
      <c r="D192" t="s">
        <v>197</v>
      </c>
      <c r="E192" t="s">
        <v>777</v>
      </c>
      <c r="F192" t="s">
        <v>1209</v>
      </c>
      <c r="G192" s="224" t="s">
        <v>205</v>
      </c>
      <c r="H192" s="357">
        <v>25</v>
      </c>
      <c r="I192" s="8">
        <f t="shared" ref="I192:N192" si="98">H192</f>
        <v>25</v>
      </c>
      <c r="J192" s="8">
        <f t="shared" si="98"/>
        <v>25</v>
      </c>
      <c r="K192" s="8">
        <f t="shared" si="98"/>
        <v>25</v>
      </c>
      <c r="L192" s="8">
        <f t="shared" si="98"/>
        <v>25</v>
      </c>
      <c r="M192" s="8">
        <f t="shared" si="98"/>
        <v>25</v>
      </c>
      <c r="N192" s="8">
        <f t="shared" si="98"/>
        <v>25</v>
      </c>
    </row>
    <row r="193" spans="1:14" hidden="1" outlineLevel="1" x14ac:dyDescent="0.2">
      <c r="B193" t="str">
        <f>+D193&amp;E193&amp;F193&amp;G193</f>
        <v>AsiaFeedstockCost of blue CO2 PSUSD/ton</v>
      </c>
      <c r="D193" t="s">
        <v>198</v>
      </c>
      <c r="E193" t="s">
        <v>777</v>
      </c>
      <c r="F193" t="s">
        <v>1209</v>
      </c>
      <c r="G193" s="224" t="s">
        <v>205</v>
      </c>
      <c r="H193" s="357">
        <v>25</v>
      </c>
      <c r="I193" s="8">
        <f t="shared" ref="I193:N193" si="99">H193</f>
        <v>25</v>
      </c>
      <c r="J193" s="8">
        <f t="shared" si="99"/>
        <v>25</v>
      </c>
      <c r="K193" s="8">
        <f t="shared" si="99"/>
        <v>25</v>
      </c>
      <c r="L193" s="8">
        <f t="shared" si="99"/>
        <v>25</v>
      </c>
      <c r="M193" s="8">
        <f t="shared" si="99"/>
        <v>25</v>
      </c>
      <c r="N193" s="8">
        <f t="shared" si="99"/>
        <v>25</v>
      </c>
    </row>
    <row r="194" spans="1:14" hidden="1" outlineLevel="1" x14ac:dyDescent="0.2">
      <c r="B194" t="str">
        <f>+D194&amp;E194&amp;F194&amp;G194</f>
        <v>AmericasFeedstockCost of blue CO2 PSUSD/ton</v>
      </c>
      <c r="D194" t="s">
        <v>199</v>
      </c>
      <c r="E194" t="s">
        <v>777</v>
      </c>
      <c r="F194" t="s">
        <v>1209</v>
      </c>
      <c r="G194" s="224" t="s">
        <v>205</v>
      </c>
      <c r="H194" s="357">
        <v>25</v>
      </c>
      <c r="I194" s="8">
        <f t="shared" ref="I194:N194" si="100">H194</f>
        <v>25</v>
      </c>
      <c r="J194" s="8">
        <f t="shared" si="100"/>
        <v>25</v>
      </c>
      <c r="K194" s="8">
        <f t="shared" si="100"/>
        <v>25</v>
      </c>
      <c r="L194" s="8">
        <f t="shared" si="100"/>
        <v>25</v>
      </c>
      <c r="M194" s="8">
        <f t="shared" si="100"/>
        <v>25</v>
      </c>
      <c r="N194" s="8">
        <f t="shared" si="100"/>
        <v>25</v>
      </c>
    </row>
    <row r="195" spans="1:14" hidden="1" outlineLevel="1" x14ac:dyDescent="0.2">
      <c r="B195" t="str">
        <f>+D195&amp;E195&amp;F195&amp;G195</f>
        <v>AfricaFeedstockCost of blue CO2 PSUSD/ton</v>
      </c>
      <c r="D195" t="s">
        <v>200</v>
      </c>
      <c r="E195" t="s">
        <v>777</v>
      </c>
      <c r="F195" t="s">
        <v>1209</v>
      </c>
      <c r="G195" s="224" t="s">
        <v>205</v>
      </c>
      <c r="H195" s="357">
        <v>25</v>
      </c>
      <c r="I195" s="8">
        <f t="shared" ref="I195:N195" si="101">H195</f>
        <v>25</v>
      </c>
      <c r="J195" s="8">
        <f t="shared" si="101"/>
        <v>25</v>
      </c>
      <c r="K195" s="8">
        <f t="shared" si="101"/>
        <v>25</v>
      </c>
      <c r="L195" s="8">
        <f t="shared" si="101"/>
        <v>25</v>
      </c>
      <c r="M195" s="8">
        <f t="shared" si="101"/>
        <v>25</v>
      </c>
      <c r="N195" s="8">
        <f t="shared" si="101"/>
        <v>25</v>
      </c>
    </row>
    <row r="196" spans="1:14" ht="13.5" collapsed="1" thickBot="1" x14ac:dyDescent="0.25"/>
    <row r="197" spans="1:14" ht="13.5" thickBot="1" x14ac:dyDescent="0.25">
      <c r="B197" s="598" t="s">
        <v>1709</v>
      </c>
      <c r="C197" s="577"/>
      <c r="D197" s="589" t="str">
        <f>+B197</f>
        <v>Nitrogen</v>
      </c>
      <c r="E197" s="590"/>
      <c r="F197" s="591"/>
      <c r="G197" s="590"/>
      <c r="H197" s="592">
        <f>+H$3</f>
        <v>2020</v>
      </c>
      <c r="I197" s="593">
        <f>+I$3</f>
        <v>2025</v>
      </c>
      <c r="J197" s="592">
        <f t="shared" ref="J197:N197" si="102">+J$3</f>
        <v>2030</v>
      </c>
      <c r="K197" s="593">
        <f t="shared" si="102"/>
        <v>2035</v>
      </c>
      <c r="L197" s="592">
        <f t="shared" si="102"/>
        <v>2040</v>
      </c>
      <c r="M197" s="593">
        <f t="shared" si="102"/>
        <v>2045</v>
      </c>
      <c r="N197" s="594">
        <f t="shared" si="102"/>
        <v>2050</v>
      </c>
    </row>
    <row r="198" spans="1:14" hidden="1" outlineLevel="1" x14ac:dyDescent="0.2">
      <c r="B198" t="str">
        <f>+D198&amp;E198&amp;F198&amp;G198</f>
        <v>GlobalCapexNitrogen ASU capexUSD/ ton N2</v>
      </c>
      <c r="D198" t="s">
        <v>109</v>
      </c>
      <c r="E198" t="s">
        <v>218</v>
      </c>
      <c r="F198" t="s">
        <v>1715</v>
      </c>
      <c r="G198" s="224" t="s">
        <v>1717</v>
      </c>
      <c r="H198" s="8">
        <f>(I198-J198)+I198</f>
        <v>510</v>
      </c>
      <c r="I198" s="357">
        <v>310</v>
      </c>
      <c r="J198" s="357">
        <v>110</v>
      </c>
      <c r="K198" s="8">
        <f>(N198-J198)*1/4+J198</f>
        <v>102.5</v>
      </c>
      <c r="L198" s="8">
        <f>(N198-J198)*2/4+J198</f>
        <v>95</v>
      </c>
      <c r="M198" s="8">
        <f>(N198-J198)*3/4+J198</f>
        <v>87.5</v>
      </c>
      <c r="N198" s="357">
        <v>80</v>
      </c>
    </row>
    <row r="199" spans="1:14" hidden="1" outlineLevel="1" x14ac:dyDescent="0.2">
      <c r="B199" t="str">
        <f>+D199&amp;E199&amp;F199&amp;G199</f>
        <v>GlobalOpexOpex - ASU facilityPercent of Capex</v>
      </c>
      <c r="D199" t="s">
        <v>109</v>
      </c>
      <c r="E199" t="s">
        <v>219</v>
      </c>
      <c r="F199" t="s">
        <v>1716</v>
      </c>
      <c r="G199" s="15" t="s">
        <v>883</v>
      </c>
      <c r="H199" s="352">
        <v>0.04</v>
      </c>
      <c r="I199" s="9">
        <f>H199</f>
        <v>0.04</v>
      </c>
      <c r="J199" s="9">
        <f t="shared" ref="J199:J201" si="103">I199</f>
        <v>0.04</v>
      </c>
      <c r="K199" s="9">
        <f t="shared" ref="K199:K201" si="104">J199</f>
        <v>0.04</v>
      </c>
      <c r="L199" s="9">
        <f t="shared" ref="L199:L201" si="105">K199</f>
        <v>0.04</v>
      </c>
      <c r="M199" s="9">
        <f t="shared" ref="M199:M201" si="106">L199</f>
        <v>0.04</v>
      </c>
      <c r="N199" s="9">
        <f t="shared" ref="N199:N201" si="107">M199</f>
        <v>0.04</v>
      </c>
    </row>
    <row r="200" spans="1:14" hidden="1" outlineLevel="1" x14ac:dyDescent="0.2">
      <c r="B200" t="str">
        <f>+D200&amp;E200&amp;F200&amp;G200</f>
        <v>GlobalN2 ASUElectricity demandmWh/ton N2</v>
      </c>
      <c r="D200" t="s">
        <v>109</v>
      </c>
      <c r="E200" t="s">
        <v>1721</v>
      </c>
      <c r="F200" t="s">
        <v>963</v>
      </c>
      <c r="G200" s="15" t="s">
        <v>1718</v>
      </c>
      <c r="H200" s="374">
        <v>0.2</v>
      </c>
      <c r="I200" s="2">
        <f>H200</f>
        <v>0.2</v>
      </c>
      <c r="J200" s="2">
        <f t="shared" si="103"/>
        <v>0.2</v>
      </c>
      <c r="K200" s="2">
        <f t="shared" si="104"/>
        <v>0.2</v>
      </c>
      <c r="L200" s="2">
        <f t="shared" si="105"/>
        <v>0.2</v>
      </c>
      <c r="M200" s="2">
        <f t="shared" si="106"/>
        <v>0.2</v>
      </c>
      <c r="N200" s="2">
        <f t="shared" si="107"/>
        <v>0.2</v>
      </c>
    </row>
    <row r="201" spans="1:14" s="15" customFormat="1" hidden="1" outlineLevel="1" x14ac:dyDescent="0.2">
      <c r="A201"/>
      <c r="B201" s="15" t="str">
        <f t="shared" ref="B201" si="108">+D201&amp;E201&amp;F201&amp;G201</f>
        <v>GlobalCO2intensityNitrogen ASUtonCO2eq/tonN2</v>
      </c>
      <c r="D201" s="15" t="s">
        <v>109</v>
      </c>
      <c r="E201" s="365" t="s">
        <v>927</v>
      </c>
      <c r="F201" s="365" t="s">
        <v>1719</v>
      </c>
      <c r="G201" s="15" t="s">
        <v>1720</v>
      </c>
      <c r="H201" s="374">
        <v>0</v>
      </c>
      <c r="I201" s="2">
        <f>H201</f>
        <v>0</v>
      </c>
      <c r="J201" s="2">
        <f t="shared" si="103"/>
        <v>0</v>
      </c>
      <c r="K201" s="2">
        <f t="shared" si="104"/>
        <v>0</v>
      </c>
      <c r="L201" s="2">
        <f t="shared" si="105"/>
        <v>0</v>
      </c>
      <c r="M201" s="2">
        <f t="shared" si="106"/>
        <v>0</v>
      </c>
      <c r="N201" s="2">
        <f t="shared" si="107"/>
        <v>0</v>
      </c>
    </row>
    <row r="202" spans="1:14" ht="13.5" collapsed="1" thickBot="1" x14ac:dyDescent="0.25"/>
    <row r="203" spans="1:14" ht="13.5" thickBot="1" x14ac:dyDescent="0.25">
      <c r="B203" s="598" t="s">
        <v>805</v>
      </c>
      <c r="C203" s="577"/>
      <c r="D203" s="589" t="str">
        <f>+B203</f>
        <v>e-Diesel</v>
      </c>
      <c r="E203" s="590"/>
      <c r="F203" s="591"/>
      <c r="G203" s="590"/>
      <c r="H203" s="592">
        <f>+H$3</f>
        <v>2020</v>
      </c>
      <c r="I203" s="593">
        <f t="shared" ref="I203:N203" si="109">+I$3</f>
        <v>2025</v>
      </c>
      <c r="J203" s="592">
        <f t="shared" si="109"/>
        <v>2030</v>
      </c>
      <c r="K203" s="593">
        <f t="shared" si="109"/>
        <v>2035</v>
      </c>
      <c r="L203" s="592">
        <f t="shared" si="109"/>
        <v>2040</v>
      </c>
      <c r="M203" s="593">
        <f t="shared" si="109"/>
        <v>2045</v>
      </c>
      <c r="N203" s="594">
        <f t="shared" si="109"/>
        <v>2050</v>
      </c>
    </row>
    <row r="204" spans="1:14" hidden="1" outlineLevel="1" x14ac:dyDescent="0.2">
      <c r="B204" s="15" t="str">
        <f>+D204&amp;E204&amp;F204&amp;G204</f>
        <v>GlobalCO2intensityeDiesel synthesis process tonCO2eq/ton e diesel</v>
      </c>
      <c r="C204" s="15"/>
      <c r="D204" s="15" t="s">
        <v>109</v>
      </c>
      <c r="E204" s="365" t="s">
        <v>927</v>
      </c>
      <c r="F204" s="365" t="s">
        <v>1066</v>
      </c>
      <c r="G204" s="15" t="s">
        <v>1067</v>
      </c>
      <c r="H204" s="357">
        <v>0</v>
      </c>
      <c r="I204" s="2">
        <f>H204</f>
        <v>0</v>
      </c>
      <c r="J204" s="2">
        <f t="shared" ref="J204:N204" si="110">I204</f>
        <v>0</v>
      </c>
      <c r="K204" s="2">
        <f t="shared" si="110"/>
        <v>0</v>
      </c>
      <c r="L204" s="2">
        <f t="shared" si="110"/>
        <v>0</v>
      </c>
      <c r="M204" s="2">
        <f t="shared" si="110"/>
        <v>0</v>
      </c>
      <c r="N204" s="2">
        <f t="shared" si="110"/>
        <v>0</v>
      </c>
    </row>
    <row r="205" spans="1:14" hidden="1" outlineLevel="1" x14ac:dyDescent="0.2">
      <c r="B205" t="str">
        <f>+D205&amp;E205&amp;F205&amp;G205</f>
        <v>GlobalCapexE Diesel plant capex unit costCapex/ ton e diesel</v>
      </c>
      <c r="D205" t="s">
        <v>109</v>
      </c>
      <c r="E205" t="s">
        <v>218</v>
      </c>
      <c r="F205" t="s">
        <v>1054</v>
      </c>
      <c r="G205" s="15" t="s">
        <v>1055</v>
      </c>
      <c r="H205" s="8">
        <f>(I205-J205)+I205</f>
        <v>6600</v>
      </c>
      <c r="I205" s="357">
        <v>5800</v>
      </c>
      <c r="J205" s="357">
        <v>5000</v>
      </c>
      <c r="K205" s="8">
        <f>AVERAGE(J205,L205)</f>
        <v>4675</v>
      </c>
      <c r="L205" s="357">
        <v>4350</v>
      </c>
      <c r="M205" s="8">
        <f>AVERAGE(L205,N205)</f>
        <v>3675</v>
      </c>
      <c r="N205" s="357">
        <v>3000</v>
      </c>
    </row>
    <row r="206" spans="1:14" hidden="1" outlineLevel="1" x14ac:dyDescent="0.2">
      <c r="B206" t="str">
        <f>+D206&amp;E206&amp;F206&amp;G206</f>
        <v>GlobalOpexOpex - e Diesel plantPercent of capex</v>
      </c>
      <c r="D206" t="s">
        <v>109</v>
      </c>
      <c r="E206" t="s">
        <v>219</v>
      </c>
      <c r="F206" t="s">
        <v>1057</v>
      </c>
      <c r="G206" s="15" t="s">
        <v>1058</v>
      </c>
      <c r="H206" s="9">
        <f>(I206-J206)+I206</f>
        <v>0.1</v>
      </c>
      <c r="I206" s="767">
        <v>0.08</v>
      </c>
      <c r="J206" s="767">
        <v>0.06</v>
      </c>
      <c r="K206" s="9">
        <f>AVERAGE(J206,L206)</f>
        <v>0.06</v>
      </c>
      <c r="L206" s="767">
        <v>0.06</v>
      </c>
      <c r="M206" s="9">
        <f>AVERAGE(L206,N206)</f>
        <v>0.05</v>
      </c>
      <c r="N206" s="767">
        <v>0.04</v>
      </c>
    </row>
    <row r="207" spans="1:14" hidden="1" outlineLevel="1" x14ac:dyDescent="0.2">
      <c r="B207" t="str">
        <f>+D207&amp;E207&amp;F207&amp;G207</f>
        <v>GlobalGeneralElectricity demandmWh/ton e Diesel</v>
      </c>
      <c r="D207" t="s">
        <v>109</v>
      </c>
      <c r="E207" t="s">
        <v>173</v>
      </c>
      <c r="F207" t="s">
        <v>963</v>
      </c>
      <c r="G207" s="15" t="s">
        <v>1059</v>
      </c>
      <c r="H207" s="374">
        <v>0.43599079481933817</v>
      </c>
      <c r="I207" s="374">
        <v>0.4</v>
      </c>
      <c r="J207" s="374">
        <v>0.36698022504419925</v>
      </c>
      <c r="K207" s="374">
        <v>0.33668621393372777</v>
      </c>
      <c r="L207" s="374">
        <v>0.30889295639669706</v>
      </c>
      <c r="M207" s="374">
        <v>0.28339401663256975</v>
      </c>
      <c r="N207" s="374">
        <v>0.26</v>
      </c>
    </row>
    <row r="208" spans="1:14" hidden="1" outlineLevel="1" x14ac:dyDescent="0.2">
      <c r="H208" s="18"/>
      <c r="I208" s="2"/>
      <c r="J208" s="2"/>
      <c r="K208" s="2"/>
      <c r="L208" s="2"/>
      <c r="M208" s="2"/>
      <c r="N208" s="2"/>
    </row>
    <row r="209" spans="2:15" hidden="1" outlineLevel="1" x14ac:dyDescent="0.2">
      <c r="B209" s="266" t="s">
        <v>777</v>
      </c>
      <c r="D209" s="266" t="str">
        <f>+B209</f>
        <v>Feedstock</v>
      </c>
      <c r="H209" s="18"/>
      <c r="I209" s="2"/>
      <c r="J209" s="2"/>
      <c r="K209" s="2"/>
      <c r="L209" s="2"/>
      <c r="M209" s="2"/>
      <c r="N209" s="2"/>
    </row>
    <row r="210" spans="2:15" hidden="1" outlineLevel="2" x14ac:dyDescent="0.2">
      <c r="B210" t="str">
        <f>+D210&amp;E210&amp;F210&amp;G210</f>
        <v>GlobalFeedstockConversion H2 : e Diesel (actual)tons H2/ton e Diesel</v>
      </c>
      <c r="D210" t="s">
        <v>109</v>
      </c>
      <c r="E210" t="s">
        <v>777</v>
      </c>
      <c r="F210" t="s">
        <v>1062</v>
      </c>
      <c r="G210" s="15" t="s">
        <v>1063</v>
      </c>
      <c r="H210" s="374">
        <v>0.47</v>
      </c>
      <c r="I210" s="2">
        <f>H210</f>
        <v>0.47</v>
      </c>
      <c r="J210" s="2">
        <f t="shared" ref="J210:N210" si="111">I210</f>
        <v>0.47</v>
      </c>
      <c r="K210" s="2">
        <f t="shared" si="111"/>
        <v>0.47</v>
      </c>
      <c r="L210" s="2">
        <f t="shared" si="111"/>
        <v>0.47</v>
      </c>
      <c r="M210" s="2">
        <f t="shared" si="111"/>
        <v>0.47</v>
      </c>
      <c r="N210" s="2">
        <f t="shared" si="111"/>
        <v>0.47</v>
      </c>
    </row>
    <row r="211" spans="2:15" hidden="1" outlineLevel="2" x14ac:dyDescent="0.2">
      <c r="B211" t="str">
        <f>+D211&amp;E211&amp;F211&amp;G211</f>
        <v>GlobalFeedstockConversion CO2 : e Diesel (actual)kg CO2/kg e Diesel</v>
      </c>
      <c r="D211" t="s">
        <v>109</v>
      </c>
      <c r="E211" t="s">
        <v>777</v>
      </c>
      <c r="F211" t="s">
        <v>1060</v>
      </c>
      <c r="G211" s="15" t="s">
        <v>1061</v>
      </c>
      <c r="H211" s="374">
        <v>3.48</v>
      </c>
      <c r="I211" s="2">
        <f t="shared" ref="I211:N211" si="112">H211</f>
        <v>3.48</v>
      </c>
      <c r="J211" s="2">
        <f t="shared" si="112"/>
        <v>3.48</v>
      </c>
      <c r="K211" s="2">
        <f t="shared" si="112"/>
        <v>3.48</v>
      </c>
      <c r="L211" s="2">
        <f t="shared" si="112"/>
        <v>3.48</v>
      </c>
      <c r="M211" s="2">
        <f t="shared" si="112"/>
        <v>3.48</v>
      </c>
      <c r="N211" s="2">
        <f t="shared" si="112"/>
        <v>3.48</v>
      </c>
    </row>
    <row r="212" spans="2:15" hidden="1" outlineLevel="2" x14ac:dyDescent="0.2">
      <c r="B212" t="str">
        <f>+D212&amp;E212&amp;F212&amp;G212</f>
        <v>GlobalFeedstockStoechiometric CO2ton CO2/ton e Diesel</v>
      </c>
      <c r="D212" t="s">
        <v>109</v>
      </c>
      <c r="E212" t="s">
        <v>777</v>
      </c>
      <c r="F212" t="s">
        <v>1068</v>
      </c>
      <c r="G212" s="15" t="s">
        <v>1069</v>
      </c>
      <c r="H212" s="374">
        <f>1/13.71*44</f>
        <v>3.2093362509117433</v>
      </c>
      <c r="I212" s="2">
        <f t="shared" ref="I212:N212" si="113">H212</f>
        <v>3.2093362509117433</v>
      </c>
      <c r="J212" s="2">
        <f t="shared" si="113"/>
        <v>3.2093362509117433</v>
      </c>
      <c r="K212" s="2">
        <f t="shared" si="113"/>
        <v>3.2093362509117433</v>
      </c>
      <c r="L212" s="2">
        <f t="shared" si="113"/>
        <v>3.2093362509117433</v>
      </c>
      <c r="M212" s="2">
        <f t="shared" si="113"/>
        <v>3.2093362509117433</v>
      </c>
      <c r="N212" s="2">
        <f t="shared" si="113"/>
        <v>3.2093362509117433</v>
      </c>
    </row>
    <row r="213" spans="2:15" ht="13.5" collapsed="1" thickBot="1" x14ac:dyDescent="0.25"/>
    <row r="214" spans="2:15" ht="13.5" thickBot="1" x14ac:dyDescent="0.25">
      <c r="B214" s="598" t="s">
        <v>1077</v>
      </c>
      <c r="C214" s="577"/>
      <c r="D214" s="589" t="str">
        <f>+B214</f>
        <v>e-Methane</v>
      </c>
      <c r="E214" s="590"/>
      <c r="F214" s="591"/>
      <c r="G214" s="590"/>
      <c r="H214" s="592">
        <f>+H$3</f>
        <v>2020</v>
      </c>
      <c r="I214" s="593">
        <f t="shared" ref="I214:N214" si="114">+I$3</f>
        <v>2025</v>
      </c>
      <c r="J214" s="592">
        <f t="shared" si="114"/>
        <v>2030</v>
      </c>
      <c r="K214" s="593">
        <f t="shared" si="114"/>
        <v>2035</v>
      </c>
      <c r="L214" s="592">
        <f t="shared" si="114"/>
        <v>2040</v>
      </c>
      <c r="M214" s="593">
        <f t="shared" si="114"/>
        <v>2045</v>
      </c>
      <c r="N214" s="594">
        <f t="shared" si="114"/>
        <v>2050</v>
      </c>
    </row>
    <row r="215" spans="2:15" hidden="1" outlineLevel="1" x14ac:dyDescent="0.2">
      <c r="B215" t="str">
        <f t="shared" ref="B215:B220" si="115">+D215&amp;E215&amp;F215&amp;G215</f>
        <v>GlobalCapexE Methane plant capex unit costCapex/ ton e methane</v>
      </c>
      <c r="D215" t="s">
        <v>109</v>
      </c>
      <c r="E215" t="s">
        <v>218</v>
      </c>
      <c r="F215" t="s">
        <v>1102</v>
      </c>
      <c r="G215" s="15" t="s">
        <v>1103</v>
      </c>
      <c r="H215" s="357">
        <v>1800</v>
      </c>
      <c r="I215" s="357">
        <v>1370</v>
      </c>
      <c r="J215" s="357">
        <v>1100</v>
      </c>
      <c r="K215" s="8">
        <f>AVERAGE(J215,L215)</f>
        <v>1000</v>
      </c>
      <c r="L215" s="357">
        <v>900</v>
      </c>
      <c r="M215" s="8">
        <f>AVERAGE(L215,N215)</f>
        <v>730</v>
      </c>
      <c r="N215" s="357">
        <v>560</v>
      </c>
    </row>
    <row r="216" spans="2:15" hidden="1" outlineLevel="1" x14ac:dyDescent="0.2">
      <c r="B216" t="str">
        <f t="shared" si="115"/>
        <v>GlobalOpexOther opex e Methane synthesisPercent of capex</v>
      </c>
      <c r="D216" t="s">
        <v>109</v>
      </c>
      <c r="E216" t="s">
        <v>219</v>
      </c>
      <c r="F216" t="s">
        <v>1106</v>
      </c>
      <c r="G216" s="15" t="s">
        <v>1058</v>
      </c>
      <c r="H216" s="352">
        <v>0.08</v>
      </c>
      <c r="I216" s="9">
        <f>H216</f>
        <v>0.08</v>
      </c>
      <c r="J216" s="9">
        <f t="shared" ref="J216:N216" si="116">I216</f>
        <v>0.08</v>
      </c>
      <c r="K216" s="9">
        <f t="shared" si="116"/>
        <v>0.08</v>
      </c>
      <c r="L216" s="9">
        <f t="shared" si="116"/>
        <v>0.08</v>
      </c>
      <c r="M216" s="9">
        <f t="shared" si="116"/>
        <v>0.08</v>
      </c>
      <c r="N216" s="9">
        <f t="shared" si="116"/>
        <v>0.08</v>
      </c>
    </row>
    <row r="217" spans="2:15" hidden="1" outlineLevel="1" x14ac:dyDescent="0.2">
      <c r="B217" s="15" t="str">
        <f t="shared" si="115"/>
        <v>GlobalCO2intensityMethane synthesis process tonCO2eq/ton Methane</v>
      </c>
      <c r="C217" s="15"/>
      <c r="D217" s="15" t="s">
        <v>109</v>
      </c>
      <c r="E217" s="365" t="s">
        <v>927</v>
      </c>
      <c r="F217" s="365" t="s">
        <v>1114</v>
      </c>
      <c r="G217" s="15" t="s">
        <v>1115</v>
      </c>
      <c r="H217" s="357">
        <v>0</v>
      </c>
      <c r="I217" s="2">
        <f t="shared" ref="I217:N217" si="117">H217</f>
        <v>0</v>
      </c>
      <c r="J217" s="2">
        <f t="shared" si="117"/>
        <v>0</v>
      </c>
      <c r="K217" s="2">
        <f t="shared" si="117"/>
        <v>0</v>
      </c>
      <c r="L217" s="2">
        <f t="shared" si="117"/>
        <v>0</v>
      </c>
      <c r="M217" s="2">
        <f t="shared" si="117"/>
        <v>0</v>
      </c>
      <c r="N217" s="2">
        <f t="shared" si="117"/>
        <v>0</v>
      </c>
    </row>
    <row r="218" spans="2:15" hidden="1" outlineLevel="1" x14ac:dyDescent="0.2">
      <c r="B218" t="str">
        <f t="shared" si="115"/>
        <v>GlobalGeneralElectricity demandmWh/ton e Methane</v>
      </c>
      <c r="D218" t="s">
        <v>109</v>
      </c>
      <c r="E218" t="s">
        <v>173</v>
      </c>
      <c r="F218" t="s">
        <v>963</v>
      </c>
      <c r="G218" s="15" t="s">
        <v>1107</v>
      </c>
      <c r="H218" s="587">
        <v>0.4</v>
      </c>
      <c r="I218" s="2">
        <f t="shared" ref="I218:N218" si="118">H218</f>
        <v>0.4</v>
      </c>
      <c r="J218" s="2">
        <f t="shared" si="118"/>
        <v>0.4</v>
      </c>
      <c r="K218" s="2">
        <f t="shared" si="118"/>
        <v>0.4</v>
      </c>
      <c r="L218" s="2">
        <f t="shared" si="118"/>
        <v>0.4</v>
      </c>
      <c r="M218" s="2">
        <f t="shared" si="118"/>
        <v>0.4</v>
      </c>
      <c r="N218" s="2">
        <f t="shared" si="118"/>
        <v>0.4</v>
      </c>
    </row>
    <row r="219" spans="2:15" hidden="1" outlineLevel="1" x14ac:dyDescent="0.2">
      <c r="B219" t="str">
        <f t="shared" si="115"/>
        <v>GlobalProcess - OpexCH4 LiquifactionmWh/ ton e CH4</v>
      </c>
      <c r="D219" t="s">
        <v>109</v>
      </c>
      <c r="E219" t="s">
        <v>876</v>
      </c>
      <c r="F219" t="s">
        <v>1097</v>
      </c>
      <c r="G219" s="15" t="s">
        <v>1098</v>
      </c>
      <c r="H219" s="587">
        <v>0.6</v>
      </c>
      <c r="I219" s="2">
        <f t="shared" ref="I219:N219" si="119">H219</f>
        <v>0.6</v>
      </c>
      <c r="J219" s="2">
        <f t="shared" si="119"/>
        <v>0.6</v>
      </c>
      <c r="K219" s="2">
        <f t="shared" si="119"/>
        <v>0.6</v>
      </c>
      <c r="L219" s="2">
        <f t="shared" si="119"/>
        <v>0.6</v>
      </c>
      <c r="M219" s="2">
        <f t="shared" si="119"/>
        <v>0.6</v>
      </c>
      <c r="N219" s="2">
        <f t="shared" si="119"/>
        <v>0.6</v>
      </c>
    </row>
    <row r="220" spans="2:15" hidden="1" outlineLevel="1" x14ac:dyDescent="0.2">
      <c r="B220" t="str">
        <f t="shared" si="115"/>
        <v>GlobalProcess - CapexCH4 LiquifactionUSD/ ton CH4 capacity</v>
      </c>
      <c r="D220" t="s">
        <v>109</v>
      </c>
      <c r="E220" t="s">
        <v>879</v>
      </c>
      <c r="F220" t="s">
        <v>1097</v>
      </c>
      <c r="G220" s="15" t="s">
        <v>1100</v>
      </c>
      <c r="H220" s="357">
        <v>2303.6315749641217</v>
      </c>
      <c r="I220" s="357">
        <v>2250</v>
      </c>
      <c r="J220" s="357">
        <v>2197.6170386876411</v>
      </c>
      <c r="K220" s="357">
        <v>2146.4536216578831</v>
      </c>
      <c r="L220" s="357">
        <v>2096.4813563147377</v>
      </c>
      <c r="M220" s="357">
        <v>2047.6725110792192</v>
      </c>
      <c r="N220" s="357">
        <v>2000</v>
      </c>
      <c r="O220" s="15"/>
    </row>
    <row r="221" spans="2:15" hidden="1" outlineLevel="1" x14ac:dyDescent="0.2">
      <c r="H221" s="8"/>
      <c r="I221" s="8"/>
      <c r="J221" s="8"/>
      <c r="K221" s="8"/>
      <c r="L221" s="8"/>
      <c r="M221" s="8"/>
      <c r="N221" s="8"/>
      <c r="O221" s="15"/>
    </row>
    <row r="222" spans="2:15" hidden="1" outlineLevel="1" x14ac:dyDescent="0.2">
      <c r="B222" s="266" t="s">
        <v>777</v>
      </c>
      <c r="D222" s="266" t="str">
        <f>+B222</f>
        <v>Feedstock</v>
      </c>
      <c r="H222" s="8"/>
      <c r="I222" s="8"/>
      <c r="J222" s="8"/>
      <c r="K222" s="8"/>
      <c r="L222" s="8"/>
      <c r="M222" s="8"/>
      <c r="N222" s="8"/>
      <c r="O222" s="15"/>
    </row>
    <row r="223" spans="2:15" hidden="1" outlineLevel="2" x14ac:dyDescent="0.2">
      <c r="B223" t="str">
        <f>+D223&amp;E223&amp;F223&amp;G223</f>
        <v>GlobalFeedstockConversion CO2 : e Methane (actual)kg CO2/kg e Methane</v>
      </c>
      <c r="D223" t="s">
        <v>109</v>
      </c>
      <c r="E223" t="s">
        <v>777</v>
      </c>
      <c r="F223" t="s">
        <v>1108</v>
      </c>
      <c r="G223" s="15" t="s">
        <v>1109</v>
      </c>
      <c r="H223" s="374">
        <f>H225</f>
        <v>2.7434235132776457</v>
      </c>
      <c r="I223" s="2">
        <f t="shared" ref="I223:N223" si="120">H223</f>
        <v>2.7434235132776457</v>
      </c>
      <c r="J223" s="2">
        <f t="shared" si="120"/>
        <v>2.7434235132776457</v>
      </c>
      <c r="K223" s="2">
        <f t="shared" si="120"/>
        <v>2.7434235132776457</v>
      </c>
      <c r="L223" s="2">
        <f t="shared" si="120"/>
        <v>2.7434235132776457</v>
      </c>
      <c r="M223" s="2">
        <f t="shared" si="120"/>
        <v>2.7434235132776457</v>
      </c>
      <c r="N223" s="2">
        <f t="shared" si="120"/>
        <v>2.7434235132776457</v>
      </c>
    </row>
    <row r="224" spans="2:15" hidden="1" outlineLevel="2" x14ac:dyDescent="0.2">
      <c r="B224" s="78" t="str">
        <f>+D224&amp;E224&amp;F224&amp;G224</f>
        <v>GlobalFeedstockConversion H2 : e  Methane (actual)tons H2/ton e Methane</v>
      </c>
      <c r="C224" s="82"/>
      <c r="D224" t="s">
        <v>109</v>
      </c>
      <c r="E224" t="s">
        <v>777</v>
      </c>
      <c r="F224" t="s">
        <v>1110</v>
      </c>
      <c r="G224" s="224" t="s">
        <v>1111</v>
      </c>
      <c r="H224" s="374">
        <v>0.5</v>
      </c>
      <c r="I224" s="2">
        <f t="shared" ref="I224:N224" si="121">H224</f>
        <v>0.5</v>
      </c>
      <c r="J224" s="2">
        <f t="shared" si="121"/>
        <v>0.5</v>
      </c>
      <c r="K224" s="2">
        <f t="shared" si="121"/>
        <v>0.5</v>
      </c>
      <c r="L224" s="2">
        <f t="shared" si="121"/>
        <v>0.5</v>
      </c>
      <c r="M224" s="2">
        <f t="shared" si="121"/>
        <v>0.5</v>
      </c>
      <c r="N224" s="2">
        <f t="shared" si="121"/>
        <v>0.5</v>
      </c>
    </row>
    <row r="225" spans="1:16" hidden="1" outlineLevel="2" x14ac:dyDescent="0.2">
      <c r="B225" t="str">
        <f>+D225&amp;E225&amp;F225&amp;G225</f>
        <v>GlobalFeedstockStoechiometric CO2ton CO2/ton Methane</v>
      </c>
      <c r="D225" t="s">
        <v>109</v>
      </c>
      <c r="E225" t="s">
        <v>777</v>
      </c>
      <c r="F225" t="s">
        <v>1068</v>
      </c>
      <c r="G225" s="15" t="s">
        <v>1116</v>
      </c>
      <c r="H225" s="374">
        <v>2.7434235132776457</v>
      </c>
      <c r="I225" s="2">
        <f t="shared" ref="I225:N225" si="122">H225</f>
        <v>2.7434235132776457</v>
      </c>
      <c r="J225" s="2">
        <f t="shared" si="122"/>
        <v>2.7434235132776457</v>
      </c>
      <c r="K225" s="2">
        <f t="shared" si="122"/>
        <v>2.7434235132776457</v>
      </c>
      <c r="L225" s="2">
        <f t="shared" si="122"/>
        <v>2.7434235132776457</v>
      </c>
      <c r="M225" s="2">
        <f t="shared" si="122"/>
        <v>2.7434235132776457</v>
      </c>
      <c r="N225" s="2">
        <f t="shared" si="122"/>
        <v>2.7434235132776457</v>
      </c>
    </row>
    <row r="226" spans="1:16" hidden="1" outlineLevel="1" collapsed="1" x14ac:dyDescent="0.2">
      <c r="H226" s="15"/>
      <c r="I226" s="2"/>
      <c r="J226" s="2"/>
      <c r="K226" s="2"/>
      <c r="L226" s="2"/>
      <c r="M226" s="2"/>
      <c r="N226" s="2"/>
    </row>
    <row r="227" spans="1:16" ht="13.5" collapsed="1" thickBot="1" x14ac:dyDescent="0.25"/>
    <row r="228" spans="1:16" ht="13.5" thickBot="1" x14ac:dyDescent="0.25">
      <c r="B228" s="605" t="s">
        <v>1700</v>
      </c>
      <c r="C228" s="577"/>
      <c r="D228" s="606" t="str">
        <f>+B228</f>
        <v>Blue/Grey - Hydrogen</v>
      </c>
      <c r="E228" s="607"/>
      <c r="F228" s="608"/>
      <c r="G228" s="607"/>
      <c r="H228" s="746">
        <v>2020</v>
      </c>
      <c r="I228" s="747">
        <v>2025</v>
      </c>
      <c r="J228" s="746">
        <v>2030</v>
      </c>
      <c r="K228" s="747">
        <v>2035</v>
      </c>
      <c r="L228" s="746">
        <v>2040</v>
      </c>
      <c r="M228" s="747">
        <v>2045</v>
      </c>
      <c r="N228" s="748">
        <v>2050</v>
      </c>
    </row>
    <row r="229" spans="1:16" hidden="1" outlineLevel="1" x14ac:dyDescent="0.2">
      <c r="B229" t="str">
        <f t="shared" ref="B229:B236" si="123">+D229&amp;E229&amp;F229&amp;G229</f>
        <v>GlobalOpexCO2 CaptureUSD/ton H2</v>
      </c>
      <c r="D229" t="s">
        <v>109</v>
      </c>
      <c r="E229" t="s">
        <v>219</v>
      </c>
      <c r="F229" s="48" t="s">
        <v>1178</v>
      </c>
      <c r="G229" s="224" t="s">
        <v>881</v>
      </c>
      <c r="H229" s="609">
        <v>300</v>
      </c>
      <c r="I229" s="8">
        <f>H229</f>
        <v>300</v>
      </c>
      <c r="J229" s="8">
        <f t="shared" ref="J229:N229" si="124">I229</f>
        <v>300</v>
      </c>
      <c r="K229" s="8">
        <f t="shared" si="124"/>
        <v>300</v>
      </c>
      <c r="L229" s="8">
        <f t="shared" si="124"/>
        <v>300</v>
      </c>
      <c r="M229" s="8">
        <f t="shared" si="124"/>
        <v>300</v>
      </c>
      <c r="N229" s="8">
        <f t="shared" si="124"/>
        <v>300</v>
      </c>
    </row>
    <row r="230" spans="1:16" hidden="1" outlineLevel="1" x14ac:dyDescent="0.2">
      <c r="B230" t="str">
        <f t="shared" si="123"/>
        <v>GlobalCapexSMR - PlantUSD/ton H2 Cap</v>
      </c>
      <c r="D230" t="s">
        <v>109</v>
      </c>
      <c r="E230" t="s">
        <v>218</v>
      </c>
      <c r="F230" s="48" t="s">
        <v>1169</v>
      </c>
      <c r="G230" s="224" t="s">
        <v>1170</v>
      </c>
      <c r="H230" s="357">
        <v>3111.4118680099441</v>
      </c>
      <c r="I230" s="357">
        <v>3000</v>
      </c>
      <c r="J230" s="357">
        <v>2892.5775120078815</v>
      </c>
      <c r="K230" s="357">
        <v>2789.001554324569</v>
      </c>
      <c r="L230" s="357">
        <v>2689.1343923314257</v>
      </c>
      <c r="M230" s="357">
        <v>2592.8432233416206</v>
      </c>
      <c r="N230" s="357">
        <v>2500</v>
      </c>
    </row>
    <row r="231" spans="1:16" hidden="1" outlineLevel="1" x14ac:dyDescent="0.2">
      <c r="B231" t="str">
        <f t="shared" si="123"/>
        <v>GlobalFeedstockConversion NG : H2 (actual)kg NG/kg H2</v>
      </c>
      <c r="D231" t="s">
        <v>109</v>
      </c>
      <c r="E231" t="s">
        <v>777</v>
      </c>
      <c r="F231" t="s">
        <v>1172</v>
      </c>
      <c r="G231" s="224" t="s">
        <v>1173</v>
      </c>
      <c r="H231" s="374">
        <v>3.5859919840000001</v>
      </c>
      <c r="I231" s="374">
        <v>3.5</v>
      </c>
      <c r="J231" s="374">
        <v>3.4160701009999999</v>
      </c>
      <c r="K231" s="374">
        <v>3.3341528390000001</v>
      </c>
      <c r="L231" s="374">
        <v>3.2541999499999998</v>
      </c>
      <c r="M231" s="374">
        <v>3.1761643290000001</v>
      </c>
      <c r="N231" s="374">
        <v>3.1</v>
      </c>
    </row>
    <row r="232" spans="1:16" hidden="1" outlineLevel="1" x14ac:dyDescent="0.2">
      <c r="B232" t="str">
        <f t="shared" si="123"/>
        <v>GlobalCO2 CaptureConversion CO2 : H2 (actual)kg CO2/kg H2</v>
      </c>
      <c r="D232" t="s">
        <v>109</v>
      </c>
      <c r="E232" t="s">
        <v>1178</v>
      </c>
      <c r="F232" t="s">
        <v>1179</v>
      </c>
      <c r="G232" s="224" t="s">
        <v>1180</v>
      </c>
      <c r="H232" s="374">
        <v>9.0612301380000009</v>
      </c>
      <c r="I232" s="374">
        <v>9</v>
      </c>
      <c r="J232" s="374">
        <v>8.9391836169999994</v>
      </c>
      <c r="K232" s="374">
        <v>8.8787781930000005</v>
      </c>
      <c r="L232" s="374">
        <v>8.8187809510000008</v>
      </c>
      <c r="M232" s="374">
        <v>8.7591891339999997</v>
      </c>
      <c r="N232" s="374">
        <v>8.6999999999999993</v>
      </c>
      <c r="P232">
        <f>N232/N231/N233</f>
        <v>2.9541595925297113</v>
      </c>
    </row>
    <row r="233" spans="1:16" s="15" customFormat="1" hidden="1" outlineLevel="1" x14ac:dyDescent="0.2">
      <c r="A233"/>
      <c r="B233" s="15" t="str">
        <f t="shared" si="123"/>
        <v>GlobalSMRCarboncaptureeff%</v>
      </c>
      <c r="D233" s="15" t="s">
        <v>109</v>
      </c>
      <c r="E233" s="15" t="s">
        <v>1174</v>
      </c>
      <c r="F233" s="15" t="s">
        <v>1212</v>
      </c>
      <c r="G233" s="15" t="s">
        <v>178</v>
      </c>
      <c r="H233" s="352">
        <v>0.89032032977911724</v>
      </c>
      <c r="I233" s="352">
        <v>0.9</v>
      </c>
      <c r="J233" s="352">
        <v>0.90978490876531581</v>
      </c>
      <c r="K233" s="352">
        <v>0.91967620024123775</v>
      </c>
      <c r="L233" s="352">
        <v>0.92967503103345195</v>
      </c>
      <c r="M233" s="352">
        <v>0.93978257032240131</v>
      </c>
      <c r="N233" s="352">
        <v>0.95</v>
      </c>
    </row>
    <row r="234" spans="1:16" hidden="1" outlineLevel="1" x14ac:dyDescent="0.2">
      <c r="B234" t="str">
        <f t="shared" si="123"/>
        <v>GlobalOpexPlant - SMR - opexPercent of Capex</v>
      </c>
      <c r="D234" s="15" t="s">
        <v>109</v>
      </c>
      <c r="E234" t="s">
        <v>219</v>
      </c>
      <c r="F234" s="48" t="s">
        <v>1175</v>
      </c>
      <c r="G234" s="224" t="s">
        <v>883</v>
      </c>
      <c r="H234" s="352">
        <v>0.1148698354997035</v>
      </c>
      <c r="I234" s="352">
        <v>0.1</v>
      </c>
      <c r="J234" s="352">
        <v>8.7055056329612412E-2</v>
      </c>
      <c r="K234" s="352">
        <v>7.5785828325519902E-2</v>
      </c>
      <c r="L234" s="352">
        <v>6.5975395538644704E-2</v>
      </c>
      <c r="M234" s="352">
        <v>5.7434917749851745E-2</v>
      </c>
      <c r="N234" s="352">
        <v>0.05</v>
      </c>
    </row>
    <row r="235" spans="1:16" s="15" customFormat="1" hidden="1" outlineLevel="1" x14ac:dyDescent="0.2">
      <c r="A235"/>
      <c r="B235" s="15" t="str">
        <f t="shared" ref="B235" si="125">+D235&amp;E235&amp;F235&amp;G235</f>
        <v>GlobalCO2intensityWTTemissionsShareBeforeSMR%</v>
      </c>
      <c r="D235" s="15" t="s">
        <v>109</v>
      </c>
      <c r="E235" s="365" t="s">
        <v>927</v>
      </c>
      <c r="F235" s="365" t="s">
        <v>1213</v>
      </c>
      <c r="G235" s="15" t="s">
        <v>178</v>
      </c>
      <c r="H235" s="352">
        <f>5.8/17.7</f>
        <v>0.32768361581920902</v>
      </c>
      <c r="I235" s="370">
        <f t="shared" ref="I235:N235" si="126">H235</f>
        <v>0.32768361581920902</v>
      </c>
      <c r="J235" s="370">
        <f t="shared" si="126"/>
        <v>0.32768361581920902</v>
      </c>
      <c r="K235" s="370">
        <f t="shared" si="126"/>
        <v>0.32768361581920902</v>
      </c>
      <c r="L235" s="370">
        <f t="shared" si="126"/>
        <v>0.32768361581920902</v>
      </c>
      <c r="M235" s="370">
        <f t="shared" si="126"/>
        <v>0.32768361581920902</v>
      </c>
      <c r="N235" s="370">
        <f t="shared" si="126"/>
        <v>0.32768361581920902</v>
      </c>
    </row>
    <row r="236" spans="1:16" s="15" customFormat="1" hidden="1" outlineLevel="1" x14ac:dyDescent="0.2">
      <c r="A236"/>
      <c r="B236" s="15" t="str">
        <f t="shared" si="123"/>
        <v>GlobalCO2intensitySteam reforming process tonCO2eq/tonH2</v>
      </c>
      <c r="D236" s="15" t="s">
        <v>109</v>
      </c>
      <c r="E236" s="365" t="s">
        <v>927</v>
      </c>
      <c r="F236" s="365" t="s">
        <v>1181</v>
      </c>
      <c r="G236" s="15" t="s">
        <v>929</v>
      </c>
      <c r="H236" s="374">
        <v>0</v>
      </c>
      <c r="I236" s="600">
        <f t="shared" ref="I236:N236" si="127">H236</f>
        <v>0</v>
      </c>
      <c r="J236" s="600">
        <f t="shared" si="127"/>
        <v>0</v>
      </c>
      <c r="K236" s="600">
        <f t="shared" si="127"/>
        <v>0</v>
      </c>
      <c r="L236" s="600">
        <f t="shared" si="127"/>
        <v>0</v>
      </c>
      <c r="M236" s="600">
        <f t="shared" si="127"/>
        <v>0</v>
      </c>
      <c r="N236" s="600">
        <f t="shared" si="127"/>
        <v>0</v>
      </c>
    </row>
    <row r="237" spans="1:16" s="15" customFormat="1" hidden="1" outlineLevel="1" x14ac:dyDescent="0.2">
      <c r="A237"/>
      <c r="E237" s="365"/>
      <c r="F237" s="365"/>
      <c r="H237" s="600"/>
      <c r="I237" s="600"/>
      <c r="J237" s="600"/>
      <c r="K237" s="600"/>
      <c r="L237" s="600"/>
      <c r="M237" s="600"/>
      <c r="N237" s="600"/>
    </row>
    <row r="238" spans="1:16" s="15" customFormat="1" hidden="1" outlineLevel="1" x14ac:dyDescent="0.2">
      <c r="A238"/>
      <c r="B238" s="31" t="s">
        <v>1435</v>
      </c>
      <c r="D238" s="31" t="str">
        <f>+B238</f>
        <v>Storage cost</v>
      </c>
      <c r="E238" s="365"/>
      <c r="F238" s="365"/>
      <c r="H238" s="600"/>
      <c r="I238" s="600"/>
      <c r="J238" s="600"/>
      <c r="K238" s="600"/>
      <c r="L238" s="600"/>
      <c r="M238" s="600"/>
      <c r="N238" s="600"/>
    </row>
    <row r="239" spans="1:16" hidden="1" outlineLevel="1" x14ac:dyDescent="0.2">
      <c r="B239" t="str">
        <f>+D239&amp;E239&amp;F239&amp;G239</f>
        <v>EuropeCO2 StorageCost of CO2 storageUSD/ton CO2</v>
      </c>
      <c r="D239" t="s">
        <v>195</v>
      </c>
      <c r="E239" t="s">
        <v>1206</v>
      </c>
      <c r="F239" t="s">
        <v>1208</v>
      </c>
      <c r="G239" s="224" t="s">
        <v>382</v>
      </c>
      <c r="H239" s="609">
        <v>50</v>
      </c>
      <c r="I239" s="8">
        <f t="shared" ref="I239:N239" si="128">H239</f>
        <v>50</v>
      </c>
      <c r="J239" s="8">
        <f t="shared" si="128"/>
        <v>50</v>
      </c>
      <c r="K239" s="8">
        <f t="shared" si="128"/>
        <v>50</v>
      </c>
      <c r="L239" s="8">
        <f t="shared" si="128"/>
        <v>50</v>
      </c>
      <c r="M239" s="8">
        <f t="shared" si="128"/>
        <v>50</v>
      </c>
      <c r="N239" s="8">
        <f t="shared" si="128"/>
        <v>50</v>
      </c>
    </row>
    <row r="240" spans="1:16" hidden="1" outlineLevel="1" x14ac:dyDescent="0.2">
      <c r="B240" t="str">
        <f>+D240&amp;E240&amp;F240&amp;G240</f>
        <v>Middle EastCO2 StorageCost of CO2 storageUSD/ton CO2</v>
      </c>
      <c r="D240" t="s">
        <v>197</v>
      </c>
      <c r="E240" t="s">
        <v>1206</v>
      </c>
      <c r="F240" t="s">
        <v>1208</v>
      </c>
      <c r="G240" s="224" t="s">
        <v>382</v>
      </c>
      <c r="H240" s="609">
        <v>50</v>
      </c>
      <c r="I240" s="8">
        <f t="shared" ref="I240:N240" si="129">H240</f>
        <v>50</v>
      </c>
      <c r="J240" s="8">
        <f t="shared" si="129"/>
        <v>50</v>
      </c>
      <c r="K240" s="8">
        <f t="shared" si="129"/>
        <v>50</v>
      </c>
      <c r="L240" s="8">
        <f t="shared" si="129"/>
        <v>50</v>
      </c>
      <c r="M240" s="8">
        <f t="shared" si="129"/>
        <v>50</v>
      </c>
      <c r="N240" s="8">
        <f t="shared" si="129"/>
        <v>50</v>
      </c>
    </row>
    <row r="241" spans="1:14" hidden="1" outlineLevel="1" x14ac:dyDescent="0.2">
      <c r="B241" t="str">
        <f>+D241&amp;E241&amp;F241&amp;G241</f>
        <v>AsiaCO2 StorageCost of CO2 storageUSD/ton CO2</v>
      </c>
      <c r="D241" t="s">
        <v>198</v>
      </c>
      <c r="E241" t="s">
        <v>1206</v>
      </c>
      <c r="F241" t="s">
        <v>1208</v>
      </c>
      <c r="G241" s="224" t="s">
        <v>382</v>
      </c>
      <c r="H241" s="609">
        <v>50</v>
      </c>
      <c r="I241" s="8">
        <f t="shared" ref="I241:N241" si="130">H241</f>
        <v>50</v>
      </c>
      <c r="J241" s="8">
        <f t="shared" si="130"/>
        <v>50</v>
      </c>
      <c r="K241" s="8">
        <f t="shared" si="130"/>
        <v>50</v>
      </c>
      <c r="L241" s="8">
        <f t="shared" si="130"/>
        <v>50</v>
      </c>
      <c r="M241" s="8">
        <f t="shared" si="130"/>
        <v>50</v>
      </c>
      <c r="N241" s="8">
        <f t="shared" si="130"/>
        <v>50</v>
      </c>
    </row>
    <row r="242" spans="1:14" hidden="1" outlineLevel="1" x14ac:dyDescent="0.2">
      <c r="B242" t="str">
        <f>+D242&amp;E242&amp;F242&amp;G242</f>
        <v>AmericasCO2 StorageCost of CO2 storageUSD/ton CO2</v>
      </c>
      <c r="D242" t="s">
        <v>199</v>
      </c>
      <c r="E242" t="s">
        <v>1206</v>
      </c>
      <c r="F242" t="s">
        <v>1208</v>
      </c>
      <c r="G242" s="224" t="s">
        <v>382</v>
      </c>
      <c r="H242" s="609">
        <v>50</v>
      </c>
      <c r="I242" s="8">
        <f t="shared" ref="I242:N242" si="131">H242</f>
        <v>50</v>
      </c>
      <c r="J242" s="8">
        <f t="shared" si="131"/>
        <v>50</v>
      </c>
      <c r="K242" s="8">
        <f t="shared" si="131"/>
        <v>50</v>
      </c>
      <c r="L242" s="8">
        <f t="shared" si="131"/>
        <v>50</v>
      </c>
      <c r="M242" s="8">
        <f t="shared" si="131"/>
        <v>50</v>
      </c>
      <c r="N242" s="8">
        <f t="shared" si="131"/>
        <v>50</v>
      </c>
    </row>
    <row r="243" spans="1:14" hidden="1" outlineLevel="1" x14ac:dyDescent="0.2">
      <c r="B243" t="str">
        <f>+D243&amp;E243&amp;F243&amp;G243</f>
        <v>AfricaCO2 StorageCost of CO2 storageUSD/ton CO2</v>
      </c>
      <c r="D243" t="s">
        <v>200</v>
      </c>
      <c r="E243" t="s">
        <v>1206</v>
      </c>
      <c r="F243" t="s">
        <v>1208</v>
      </c>
      <c r="G243" s="224" t="s">
        <v>382</v>
      </c>
      <c r="H243" s="609">
        <v>50</v>
      </c>
      <c r="I243" s="8">
        <f t="shared" ref="I243:N243" si="132">H243</f>
        <v>50</v>
      </c>
      <c r="J243" s="8">
        <f t="shared" si="132"/>
        <v>50</v>
      </c>
      <c r="K243" s="8">
        <f t="shared" si="132"/>
        <v>50</v>
      </c>
      <c r="L243" s="8">
        <f t="shared" si="132"/>
        <v>50</v>
      </c>
      <c r="M243" s="8">
        <f t="shared" si="132"/>
        <v>50</v>
      </c>
      <c r="N243" s="8">
        <f t="shared" si="132"/>
        <v>50</v>
      </c>
    </row>
    <row r="244" spans="1:14" ht="13.5" collapsed="1" thickBot="1" x14ac:dyDescent="0.25">
      <c r="G244" s="224"/>
      <c r="H244" s="600"/>
      <c r="I244" s="8"/>
      <c r="J244" s="8"/>
      <c r="K244" s="8"/>
      <c r="L244" s="8"/>
      <c r="M244" s="8"/>
      <c r="N244" s="8"/>
    </row>
    <row r="245" spans="1:14" ht="13.5" thickBot="1" x14ac:dyDescent="0.25">
      <c r="B245" s="605" t="s">
        <v>1617</v>
      </c>
      <c r="C245" s="577"/>
      <c r="D245" s="606" t="str">
        <f>+B245</f>
        <v>Blue Ammonia</v>
      </c>
      <c r="E245" s="607"/>
      <c r="F245" s="608"/>
      <c r="G245" s="607"/>
      <c r="H245" s="746">
        <v>2020</v>
      </c>
      <c r="I245" s="747">
        <v>2025</v>
      </c>
      <c r="J245" s="746">
        <v>2030</v>
      </c>
      <c r="K245" s="747">
        <v>2035</v>
      </c>
      <c r="L245" s="746">
        <v>2040</v>
      </c>
      <c r="M245" s="747">
        <v>2045</v>
      </c>
      <c r="N245" s="748">
        <v>2050</v>
      </c>
    </row>
    <row r="246" spans="1:14" hidden="1" outlineLevel="1" x14ac:dyDescent="0.2">
      <c r="B246" t="str">
        <f t="shared" ref="B246" si="133">+D246&amp;E246&amp;F246&amp;G246</f>
        <v>GlobalCapexBlue ammonia plant unit cost (ATR incl CCS)USD/ton NH3</v>
      </c>
      <c r="D246" s="15" t="s">
        <v>109</v>
      </c>
      <c r="E246" s="15" t="s">
        <v>218</v>
      </c>
      <c r="F246" s="15" t="s">
        <v>1704</v>
      </c>
      <c r="G246" s="224" t="s">
        <v>960</v>
      </c>
      <c r="H246" s="8">
        <f>(I246-J246)+I246</f>
        <v>1260</v>
      </c>
      <c r="I246" s="357">
        <v>1200</v>
      </c>
      <c r="J246" s="8">
        <f>(N246-I246)*1/5+I246</f>
        <v>1140</v>
      </c>
      <c r="K246" s="8">
        <f>(N246-I246)*2/5+I246</f>
        <v>1080</v>
      </c>
      <c r="L246" s="8">
        <f>(N246-I246)*3/5+I246</f>
        <v>1020</v>
      </c>
      <c r="M246" s="8">
        <f>(N246-I246)*4/5+I246</f>
        <v>960</v>
      </c>
      <c r="N246" s="357">
        <v>900</v>
      </c>
    </row>
    <row r="247" spans="1:14" hidden="1" outlineLevel="1" x14ac:dyDescent="0.2">
      <c r="B247" t="str">
        <f t="shared" ref="B247:B253" si="134">+D247&amp;E247&amp;F247&amp;G247</f>
        <v>GlobalFeedstockConversion NG : NH3kg NG/kg NH3</v>
      </c>
      <c r="D247" t="s">
        <v>109</v>
      </c>
      <c r="E247" t="s">
        <v>777</v>
      </c>
      <c r="F247" t="s">
        <v>1701</v>
      </c>
      <c r="G247" s="224" t="s">
        <v>1703</v>
      </c>
      <c r="H247" s="374">
        <v>0.64</v>
      </c>
      <c r="I247" s="2">
        <f>H247</f>
        <v>0.64</v>
      </c>
      <c r="J247" s="2">
        <f t="shared" ref="J247:N247" si="135">I247</f>
        <v>0.64</v>
      </c>
      <c r="K247" s="2">
        <f t="shared" si="135"/>
        <v>0.64</v>
      </c>
      <c r="L247" s="2">
        <f t="shared" si="135"/>
        <v>0.64</v>
      </c>
      <c r="M247" s="2">
        <f t="shared" si="135"/>
        <v>0.64</v>
      </c>
      <c r="N247" s="2">
        <f t="shared" si="135"/>
        <v>0.64</v>
      </c>
    </row>
    <row r="248" spans="1:14" hidden="1" outlineLevel="1" x14ac:dyDescent="0.2">
      <c r="B248" t="str">
        <f t="shared" si="134"/>
        <v>GlobalFeedstockConversion N2 : NH3kg N2/kg NH3</v>
      </c>
      <c r="D248" t="s">
        <v>109</v>
      </c>
      <c r="E248" t="s">
        <v>777</v>
      </c>
      <c r="F248" t="s">
        <v>1702</v>
      </c>
      <c r="G248" s="224" t="s">
        <v>967</v>
      </c>
      <c r="H248" s="374">
        <v>0.82199999999999995</v>
      </c>
      <c r="I248" s="2">
        <f t="shared" ref="I248:N248" si="136">H248</f>
        <v>0.82199999999999995</v>
      </c>
      <c r="J248" s="2">
        <f t="shared" si="136"/>
        <v>0.82199999999999995</v>
      </c>
      <c r="K248" s="2">
        <f t="shared" si="136"/>
        <v>0.82199999999999995</v>
      </c>
      <c r="L248" s="2">
        <f t="shared" si="136"/>
        <v>0.82199999999999995</v>
      </c>
      <c r="M248" s="2">
        <f t="shared" si="136"/>
        <v>0.82199999999999995</v>
      </c>
      <c r="N248" s="2">
        <f t="shared" si="136"/>
        <v>0.82199999999999995</v>
      </c>
    </row>
    <row r="249" spans="1:14" hidden="1" outlineLevel="1" x14ac:dyDescent="0.2">
      <c r="B249" t="str">
        <f t="shared" si="134"/>
        <v>GlobalCO2 CaptureConversion CO2 : NG (actual)kg CO2/kg NG</v>
      </c>
      <c r="D249" t="s">
        <v>109</v>
      </c>
      <c r="E249" t="s">
        <v>1178</v>
      </c>
      <c r="F249" t="s">
        <v>1707</v>
      </c>
      <c r="G249" s="224" t="s">
        <v>1708</v>
      </c>
      <c r="H249" s="374">
        <v>2.95</v>
      </c>
      <c r="I249" s="600">
        <f>H249</f>
        <v>2.95</v>
      </c>
      <c r="J249" s="600">
        <f t="shared" ref="J249:N249" si="137">I249</f>
        <v>2.95</v>
      </c>
      <c r="K249" s="600">
        <f t="shared" si="137"/>
        <v>2.95</v>
      </c>
      <c r="L249" s="600">
        <f t="shared" si="137"/>
        <v>2.95</v>
      </c>
      <c r="M249" s="600">
        <f t="shared" si="137"/>
        <v>2.95</v>
      </c>
      <c r="N249" s="600">
        <f t="shared" si="137"/>
        <v>2.95</v>
      </c>
    </row>
    <row r="250" spans="1:14" s="15" customFormat="1" hidden="1" outlineLevel="1" x14ac:dyDescent="0.2">
      <c r="A250"/>
      <c r="B250" s="15" t="str">
        <f t="shared" si="134"/>
        <v>GlobalCCSCarboncaptureeff%</v>
      </c>
      <c r="D250" s="15" t="s">
        <v>109</v>
      </c>
      <c r="E250" s="15" t="s">
        <v>1711</v>
      </c>
      <c r="F250" s="15" t="s">
        <v>1212</v>
      </c>
      <c r="G250" s="15" t="s">
        <v>178</v>
      </c>
      <c r="H250" s="9">
        <f>(I250-J250)+I250</f>
        <v>0.89</v>
      </c>
      <c r="I250" s="767">
        <v>0.9</v>
      </c>
      <c r="J250" s="9">
        <f>(N250-I250)*1/5+I250</f>
        <v>0.91</v>
      </c>
      <c r="K250" s="9">
        <f>(N250-I250)*2/5+I250</f>
        <v>0.92</v>
      </c>
      <c r="L250" s="9">
        <f>(N250-I250)*3/5+I250</f>
        <v>0.92999999999999994</v>
      </c>
      <c r="M250" s="9">
        <f>(N250-I250)*4/5+I250</f>
        <v>0.94</v>
      </c>
      <c r="N250" s="767">
        <v>0.95</v>
      </c>
    </row>
    <row r="251" spans="1:14" hidden="1" outlineLevel="1" x14ac:dyDescent="0.2">
      <c r="B251" t="str">
        <f t="shared" si="134"/>
        <v>GlobalOpexPlant - ATR - opexPercent of Capex</v>
      </c>
      <c r="D251" s="15" t="s">
        <v>109</v>
      </c>
      <c r="E251" t="s">
        <v>219</v>
      </c>
      <c r="F251" s="48" t="s">
        <v>1706</v>
      </c>
      <c r="G251" s="224" t="s">
        <v>883</v>
      </c>
      <c r="H251" s="352">
        <v>0.04</v>
      </c>
      <c r="I251" s="370">
        <f t="shared" ref="I251" si="138">H251</f>
        <v>0.04</v>
      </c>
      <c r="J251" s="370">
        <f>I251</f>
        <v>0.04</v>
      </c>
      <c r="K251" s="370">
        <f t="shared" ref="K251:N251" si="139">J251</f>
        <v>0.04</v>
      </c>
      <c r="L251" s="370">
        <f t="shared" si="139"/>
        <v>0.04</v>
      </c>
      <c r="M251" s="370">
        <f t="shared" si="139"/>
        <v>0.04</v>
      </c>
      <c r="N251" s="370">
        <f t="shared" si="139"/>
        <v>0.04</v>
      </c>
    </row>
    <row r="252" spans="1:14" s="599" customFormat="1" hidden="1" outlineLevel="1" x14ac:dyDescent="0.2">
      <c r="A252"/>
      <c r="B252" t="str">
        <f t="shared" si="134"/>
        <v>GlobalSynthesisElectricity demandmWh/ton blue NH3</v>
      </c>
      <c r="C252"/>
      <c r="D252" t="s">
        <v>109</v>
      </c>
      <c r="E252" t="s">
        <v>962</v>
      </c>
      <c r="F252" s="48" t="s">
        <v>963</v>
      </c>
      <c r="G252" s="224" t="s">
        <v>1705</v>
      </c>
      <c r="H252" s="2">
        <f>(I252-J252)+I252</f>
        <v>0.3</v>
      </c>
      <c r="I252" s="374">
        <v>0.31</v>
      </c>
      <c r="J252" s="2">
        <f>(N252-I252)*1/5+I252</f>
        <v>0.32</v>
      </c>
      <c r="K252" s="2">
        <f>(N252-I252)*2/5+I252</f>
        <v>0.33</v>
      </c>
      <c r="L252" s="2">
        <f>(N252-I252)*3/5+I252</f>
        <v>0.33999999999999997</v>
      </c>
      <c r="M252" s="2">
        <f>(N252-I252)*4/5+I252</f>
        <v>0.35</v>
      </c>
      <c r="N252" s="374">
        <v>0.36</v>
      </c>
    </row>
    <row r="253" spans="1:14" s="15" customFormat="1" hidden="1" outlineLevel="1" x14ac:dyDescent="0.2">
      <c r="A253"/>
      <c r="B253" s="15" t="str">
        <f t="shared" si="134"/>
        <v>GlobalCO2intensitySteam reforming process tonCO2eq/tonH2</v>
      </c>
      <c r="D253" s="15" t="s">
        <v>109</v>
      </c>
      <c r="E253" s="365" t="s">
        <v>927</v>
      </c>
      <c r="F253" s="365" t="s">
        <v>1181</v>
      </c>
      <c r="G253" s="15" t="s">
        <v>929</v>
      </c>
      <c r="H253" s="374">
        <v>0</v>
      </c>
      <c r="I253" s="600">
        <f t="shared" ref="I253:N253" si="140">H253</f>
        <v>0</v>
      </c>
      <c r="J253" s="600">
        <f t="shared" si="140"/>
        <v>0</v>
      </c>
      <c r="K253" s="600">
        <f t="shared" si="140"/>
        <v>0</v>
      </c>
      <c r="L253" s="600">
        <f t="shared" si="140"/>
        <v>0</v>
      </c>
      <c r="M253" s="600">
        <f t="shared" si="140"/>
        <v>0</v>
      </c>
      <c r="N253" s="600">
        <f t="shared" si="140"/>
        <v>0</v>
      </c>
    </row>
    <row r="254" spans="1:14" ht="13.5" collapsed="1" thickBot="1" x14ac:dyDescent="0.25">
      <c r="B254" s="9"/>
      <c r="C254" s="23"/>
      <c r="D254" s="9"/>
      <c r="E254" s="9"/>
      <c r="F254" s="9"/>
      <c r="G254" s="9"/>
      <c r="H254" s="9"/>
      <c r="I254" s="768"/>
      <c r="J254" s="9"/>
      <c r="K254" s="9"/>
      <c r="L254" s="9"/>
      <c r="M254" s="9"/>
      <c r="N254" s="768"/>
    </row>
    <row r="255" spans="1:14" ht="13.5" thickBot="1" x14ac:dyDescent="0.25">
      <c r="B255" s="610" t="s">
        <v>117</v>
      </c>
      <c r="C255" s="577"/>
      <c r="D255" s="611" t="str">
        <f>+B255</f>
        <v>LSFO</v>
      </c>
      <c r="E255" s="612"/>
      <c r="F255" s="612"/>
      <c r="G255" s="612"/>
      <c r="H255" s="613">
        <f t="shared" ref="H255:N255" si="141">+H$3</f>
        <v>2020</v>
      </c>
      <c r="I255" s="613">
        <f t="shared" si="141"/>
        <v>2025</v>
      </c>
      <c r="J255" s="613">
        <f t="shared" si="141"/>
        <v>2030</v>
      </c>
      <c r="K255" s="613">
        <f t="shared" si="141"/>
        <v>2035</v>
      </c>
      <c r="L255" s="613">
        <f t="shared" si="141"/>
        <v>2040</v>
      </c>
      <c r="M255" s="613">
        <f t="shared" si="141"/>
        <v>2045</v>
      </c>
      <c r="N255" s="614">
        <f t="shared" si="141"/>
        <v>2050</v>
      </c>
    </row>
    <row r="256" spans="1:14" hidden="1" outlineLevel="1" x14ac:dyDescent="0.2">
      <c r="B256" t="str">
        <f>+D256&amp;E256&amp;F256&amp;G256</f>
        <v>EuropeResultsCost of LSFOUSD/ton</v>
      </c>
      <c r="D256" t="s">
        <v>195</v>
      </c>
      <c r="E256" t="s">
        <v>838</v>
      </c>
      <c r="F256" s="266" t="s">
        <v>1135</v>
      </c>
      <c r="G256" s="615" t="s">
        <v>205</v>
      </c>
      <c r="H256" s="616">
        <f>+'Fuel Cost - External'!H20</f>
        <v>884.71322310880964</v>
      </c>
      <c r="I256" s="616">
        <f>+'Fuel Cost - External'!I20</f>
        <v>634.68557309979826</v>
      </c>
      <c r="J256" s="616">
        <f>+'Fuel Cost - External'!J20</f>
        <v>553.90740925073305</v>
      </c>
      <c r="K256" s="616">
        <f>+'Fuel Cost - External'!K20</f>
        <v>553.90740925073305</v>
      </c>
      <c r="L256" s="616">
        <f>+'Fuel Cost - External'!L20</f>
        <v>553.90740925073305</v>
      </c>
      <c r="M256" s="616">
        <f>+'Fuel Cost - External'!M20</f>
        <v>553.90740925073305</v>
      </c>
      <c r="N256" s="616">
        <f>+'Fuel Cost - External'!N20</f>
        <v>553.90740925073305</v>
      </c>
    </row>
    <row r="257" spans="1:14" hidden="1" outlineLevel="1" x14ac:dyDescent="0.2">
      <c r="B257" t="str">
        <f>+D257&amp;E257&amp;F257&amp;G257</f>
        <v>Middle EastResultsCost of LSFOUSD/ton</v>
      </c>
      <c r="D257" t="s">
        <v>197</v>
      </c>
      <c r="E257" t="s">
        <v>838</v>
      </c>
      <c r="F257" s="266" t="s">
        <v>1135</v>
      </c>
      <c r="G257" s="615" t="s">
        <v>205</v>
      </c>
      <c r="H257" s="616">
        <f>+'Fuel Cost - External'!H21</f>
        <v>884.71322310880964</v>
      </c>
      <c r="I257" s="616">
        <f>+'Fuel Cost - External'!I21</f>
        <v>634.68557309979826</v>
      </c>
      <c r="J257" s="616">
        <f>+'Fuel Cost - External'!J21</f>
        <v>553.90740925073305</v>
      </c>
      <c r="K257" s="616">
        <f>+'Fuel Cost - External'!K21</f>
        <v>553.90740925073305</v>
      </c>
      <c r="L257" s="616">
        <f>+'Fuel Cost - External'!L21</f>
        <v>553.90740925073305</v>
      </c>
      <c r="M257" s="616">
        <f>+'Fuel Cost - External'!M21</f>
        <v>553.90740925073305</v>
      </c>
      <c r="N257" s="616">
        <f>+'Fuel Cost - External'!N21</f>
        <v>553.90740925073305</v>
      </c>
    </row>
    <row r="258" spans="1:14" hidden="1" outlineLevel="1" x14ac:dyDescent="0.2">
      <c r="B258" t="str">
        <f>+D258&amp;E258&amp;F258&amp;G258</f>
        <v>AsiaResultsCost of LSFOUSD/ton</v>
      </c>
      <c r="D258" t="s">
        <v>198</v>
      </c>
      <c r="E258" t="s">
        <v>838</v>
      </c>
      <c r="F258" s="266" t="s">
        <v>1135</v>
      </c>
      <c r="G258" s="615" t="s">
        <v>205</v>
      </c>
      <c r="H258" s="616">
        <f>+'Fuel Cost - External'!H22</f>
        <v>884.71322310880964</v>
      </c>
      <c r="I258" s="616">
        <f>+'Fuel Cost - External'!I22</f>
        <v>634.68557309979826</v>
      </c>
      <c r="J258" s="616">
        <f>+'Fuel Cost - External'!J22</f>
        <v>553.90740925073305</v>
      </c>
      <c r="K258" s="616">
        <f>+'Fuel Cost - External'!K22</f>
        <v>553.90740925073305</v>
      </c>
      <c r="L258" s="616">
        <f>+'Fuel Cost - External'!L22</f>
        <v>553.90740925073305</v>
      </c>
      <c r="M258" s="616">
        <f>+'Fuel Cost - External'!M22</f>
        <v>553.90740925073305</v>
      </c>
      <c r="N258" s="616">
        <f>+'Fuel Cost - External'!N22</f>
        <v>553.90740925073305</v>
      </c>
    </row>
    <row r="259" spans="1:14" hidden="1" outlineLevel="1" x14ac:dyDescent="0.2">
      <c r="B259" t="str">
        <f>+D259&amp;E259&amp;F259&amp;G259</f>
        <v>AmericasResultsCost of LSFOUSD/ton</v>
      </c>
      <c r="D259" t="s">
        <v>199</v>
      </c>
      <c r="E259" t="s">
        <v>838</v>
      </c>
      <c r="F259" s="266" t="s">
        <v>1135</v>
      </c>
      <c r="G259" s="615" t="s">
        <v>205</v>
      </c>
      <c r="H259" s="616">
        <f>+'Fuel Cost - External'!H23</f>
        <v>884.71322310880964</v>
      </c>
      <c r="I259" s="616">
        <f>+'Fuel Cost - External'!I23</f>
        <v>634.68557309979826</v>
      </c>
      <c r="J259" s="616">
        <f>+'Fuel Cost - External'!J23</f>
        <v>553.90740925073305</v>
      </c>
      <c r="K259" s="616">
        <f>+'Fuel Cost - External'!K23</f>
        <v>553.90740925073305</v>
      </c>
      <c r="L259" s="616">
        <f>+'Fuel Cost - External'!L23</f>
        <v>553.90740925073305</v>
      </c>
      <c r="M259" s="616">
        <f>+'Fuel Cost - External'!M23</f>
        <v>553.90740925073305</v>
      </c>
      <c r="N259" s="616">
        <f>+'Fuel Cost - External'!N23</f>
        <v>553.90740925073305</v>
      </c>
    </row>
    <row r="260" spans="1:14" hidden="1" outlineLevel="1" x14ac:dyDescent="0.2">
      <c r="B260" t="str">
        <f>+D260&amp;E260&amp;F260&amp;G260</f>
        <v>AfricaResultsCost of LSFOUSD/ton</v>
      </c>
      <c r="D260" t="s">
        <v>200</v>
      </c>
      <c r="E260" t="s">
        <v>838</v>
      </c>
      <c r="F260" s="266" t="s">
        <v>1135</v>
      </c>
      <c r="G260" s="615" t="s">
        <v>205</v>
      </c>
      <c r="H260" s="616">
        <f>+'Fuel Cost - External'!H24</f>
        <v>884.71322310880964</v>
      </c>
      <c r="I260" s="616">
        <f>+'Fuel Cost - External'!I24</f>
        <v>634.68557309979826</v>
      </c>
      <c r="J260" s="616">
        <f>+'Fuel Cost - External'!J24</f>
        <v>553.90740925073305</v>
      </c>
      <c r="K260" s="616">
        <f>+'Fuel Cost - External'!K24</f>
        <v>553.90740925073305</v>
      </c>
      <c r="L260" s="616">
        <f>+'Fuel Cost - External'!L24</f>
        <v>553.90740925073305</v>
      </c>
      <c r="M260" s="616">
        <f>+'Fuel Cost - External'!M24</f>
        <v>553.90740925073305</v>
      </c>
      <c r="N260" s="616">
        <f>+'Fuel Cost - External'!N24</f>
        <v>553.90740925073305</v>
      </c>
    </row>
    <row r="261" spans="1:14" hidden="1" outlineLevel="1" x14ac:dyDescent="0.2">
      <c r="F261" s="266"/>
      <c r="G261" s="615"/>
      <c r="H261" s="8"/>
      <c r="I261" s="8"/>
      <c r="J261" s="8"/>
      <c r="K261" s="8"/>
      <c r="L261" s="8"/>
      <c r="M261" s="8"/>
      <c r="N261" s="8"/>
    </row>
    <row r="262" spans="1:14" hidden="1" outlineLevel="1" x14ac:dyDescent="0.2">
      <c r="B262" s="266" t="s">
        <v>728</v>
      </c>
      <c r="D262" s="266" t="str">
        <f>+B262</f>
        <v>Emissions</v>
      </c>
      <c r="F262" s="266"/>
      <c r="G262" s="615"/>
      <c r="H262" s="74"/>
      <c r="I262" s="74"/>
      <c r="J262" s="8"/>
      <c r="K262" s="8"/>
      <c r="L262" s="8"/>
      <c r="M262" s="8"/>
      <c r="N262" s="8"/>
    </row>
    <row r="263" spans="1:14" s="15" customFormat="1" hidden="1" outlineLevel="1" x14ac:dyDescent="0.2">
      <c r="A263"/>
      <c r="B263" s="15" t="str">
        <f>+D263&amp;E263&amp;F263&amp;G263</f>
        <v>GlobalEmissionsWTT Emission - LSFOtonCO2eq/ ton</v>
      </c>
      <c r="D263" s="15" t="s">
        <v>109</v>
      </c>
      <c r="E263" s="15" t="s">
        <v>728</v>
      </c>
      <c r="F263" s="15" t="s">
        <v>1137</v>
      </c>
      <c r="G263" s="15" t="s">
        <v>1138</v>
      </c>
      <c r="H263" s="374">
        <f>15.9*H29/1000000</f>
        <v>0.65508</v>
      </c>
      <c r="I263" s="2">
        <f>H263</f>
        <v>0.65508</v>
      </c>
      <c r="J263" s="2">
        <f t="shared" ref="J263:N263" si="142">I263</f>
        <v>0.65508</v>
      </c>
      <c r="K263" s="2">
        <f t="shared" si="142"/>
        <v>0.65508</v>
      </c>
      <c r="L263" s="2">
        <f t="shared" si="142"/>
        <v>0.65508</v>
      </c>
      <c r="M263" s="2">
        <f t="shared" si="142"/>
        <v>0.65508</v>
      </c>
      <c r="N263" s="2">
        <f t="shared" si="142"/>
        <v>0.65508</v>
      </c>
    </row>
    <row r="264" spans="1:14" s="15" customFormat="1" hidden="1" outlineLevel="1" x14ac:dyDescent="0.2">
      <c r="A264"/>
      <c r="B264" s="15" t="str">
        <f>+D264&amp;E264&amp;F264&amp;G264</f>
        <v>GlobalEmissionsTTW Emission - LSFOtonCO2eq/ ton</v>
      </c>
      <c r="D264" s="15" t="s">
        <v>109</v>
      </c>
      <c r="E264" s="15" t="s">
        <v>728</v>
      </c>
      <c r="F264" s="15" t="s">
        <v>1139</v>
      </c>
      <c r="G264" s="15" t="s">
        <v>1138</v>
      </c>
      <c r="H264" s="2">
        <f>H48</f>
        <v>3.1633300000000002</v>
      </c>
      <c r="I264" s="2">
        <f t="shared" ref="I264:N264" si="143">H264</f>
        <v>3.1633300000000002</v>
      </c>
      <c r="J264" s="2">
        <f t="shared" si="143"/>
        <v>3.1633300000000002</v>
      </c>
      <c r="K264" s="2">
        <f t="shared" si="143"/>
        <v>3.1633300000000002</v>
      </c>
      <c r="L264" s="2">
        <f t="shared" si="143"/>
        <v>3.1633300000000002</v>
      </c>
      <c r="M264" s="2">
        <f t="shared" si="143"/>
        <v>3.1633300000000002</v>
      </c>
      <c r="N264" s="2">
        <f t="shared" si="143"/>
        <v>3.1633300000000002</v>
      </c>
    </row>
    <row r="265" spans="1:14" s="15" customFormat="1" hidden="1" outlineLevel="1" x14ac:dyDescent="0.2">
      <c r="A265"/>
      <c r="B265" s="15" t="str">
        <f>+D265&amp;E265&amp;F265&amp;G265</f>
        <v>GlobalEmissionsWTW Emission - LSFOtonCO2eq/ ton</v>
      </c>
      <c r="D265" s="15" t="s">
        <v>109</v>
      </c>
      <c r="E265" s="15" t="s">
        <v>728</v>
      </c>
      <c r="F265" s="15" t="s">
        <v>1436</v>
      </c>
      <c r="G265" s="15" t="s">
        <v>1138</v>
      </c>
      <c r="H265" s="2">
        <f t="shared" ref="H265" si="144">H264+H263</f>
        <v>3.8184100000000001</v>
      </c>
      <c r="I265" s="2">
        <f t="shared" ref="I265:N265" si="145">H265</f>
        <v>3.8184100000000001</v>
      </c>
      <c r="J265" s="2">
        <f t="shared" si="145"/>
        <v>3.8184100000000001</v>
      </c>
      <c r="K265" s="2">
        <f t="shared" si="145"/>
        <v>3.8184100000000001</v>
      </c>
      <c r="L265" s="2">
        <f t="shared" si="145"/>
        <v>3.8184100000000001</v>
      </c>
      <c r="M265" s="2">
        <f t="shared" si="145"/>
        <v>3.8184100000000001</v>
      </c>
      <c r="N265" s="2">
        <f t="shared" si="145"/>
        <v>3.8184100000000001</v>
      </c>
    </row>
    <row r="266" spans="1:14" ht="13.5" collapsed="1" thickBot="1" x14ac:dyDescent="0.25"/>
    <row r="267" spans="1:14" ht="13.5" thickBot="1" x14ac:dyDescent="0.25">
      <c r="B267" s="610" t="s">
        <v>528</v>
      </c>
      <c r="C267" s="577"/>
      <c r="D267" s="611" t="str">
        <f>+B267</f>
        <v>LNG</v>
      </c>
      <c r="E267" s="612"/>
      <c r="F267" s="612"/>
      <c r="G267" s="612"/>
      <c r="H267" s="613">
        <f t="shared" ref="H267:N267" si="146">+H$3</f>
        <v>2020</v>
      </c>
      <c r="I267" s="613">
        <f t="shared" si="146"/>
        <v>2025</v>
      </c>
      <c r="J267" s="613">
        <f t="shared" si="146"/>
        <v>2030</v>
      </c>
      <c r="K267" s="613">
        <f t="shared" si="146"/>
        <v>2035</v>
      </c>
      <c r="L267" s="613">
        <f t="shared" si="146"/>
        <v>2040</v>
      </c>
      <c r="M267" s="613">
        <f t="shared" si="146"/>
        <v>2045</v>
      </c>
      <c r="N267" s="614">
        <f t="shared" si="146"/>
        <v>2050</v>
      </c>
    </row>
    <row r="268" spans="1:14" s="15" customFormat="1" hidden="1" outlineLevel="1" x14ac:dyDescent="0.2">
      <c r="A268"/>
      <c r="B268" s="47" t="str">
        <f>+D268&amp;E268&amp;F268&amp;G268</f>
        <v xml:space="preserve">GlobalEmissionsWTT Emission - LNGtonCO2eq/ ton </v>
      </c>
      <c r="C268" s="47"/>
      <c r="D268" s="15" t="s">
        <v>109</v>
      </c>
      <c r="E268" s="15" t="s">
        <v>728</v>
      </c>
      <c r="F268" s="15" t="s">
        <v>1146</v>
      </c>
      <c r="G268" s="55" t="s">
        <v>1016</v>
      </c>
      <c r="H268" s="374">
        <f>17.6*H30/1000000</f>
        <v>0.84480000000000011</v>
      </c>
      <c r="I268" s="2">
        <f>H268</f>
        <v>0.84480000000000011</v>
      </c>
      <c r="J268" s="2">
        <f t="shared" ref="J268:N268" si="147">I268</f>
        <v>0.84480000000000011</v>
      </c>
      <c r="K268" s="2">
        <f t="shared" si="147"/>
        <v>0.84480000000000011</v>
      </c>
      <c r="L268" s="2">
        <f t="shared" si="147"/>
        <v>0.84480000000000011</v>
      </c>
      <c r="M268" s="2">
        <f t="shared" si="147"/>
        <v>0.84480000000000011</v>
      </c>
      <c r="N268" s="2">
        <f t="shared" si="147"/>
        <v>0.84480000000000011</v>
      </c>
    </row>
    <row r="269" spans="1:14" s="15" customFormat="1" hidden="1" outlineLevel="1" x14ac:dyDescent="0.2">
      <c r="A269"/>
      <c r="B269" s="47" t="str">
        <f>+D269&amp;E269&amp;F269&amp;G269</f>
        <v xml:space="preserve">GlobalEmissionsTTW Emission - LNGtonCO2eq/ ton </v>
      </c>
      <c r="C269" s="47"/>
      <c r="D269" s="15" t="s">
        <v>109</v>
      </c>
      <c r="E269" s="15" t="s">
        <v>728</v>
      </c>
      <c r="F269" t="s">
        <v>1147</v>
      </c>
      <c r="G269" s="15" t="s">
        <v>1016</v>
      </c>
      <c r="H269" s="600">
        <f>H52</f>
        <v>3.6492599999999999</v>
      </c>
      <c r="I269" s="600">
        <f t="shared" ref="I269:N269" si="148">H269</f>
        <v>3.6492599999999999</v>
      </c>
      <c r="J269" s="600">
        <f t="shared" si="148"/>
        <v>3.6492599999999999</v>
      </c>
      <c r="K269" s="600">
        <f t="shared" si="148"/>
        <v>3.6492599999999999</v>
      </c>
      <c r="L269" s="600">
        <f t="shared" si="148"/>
        <v>3.6492599999999999</v>
      </c>
      <c r="M269" s="600">
        <f t="shared" si="148"/>
        <v>3.6492599999999999</v>
      </c>
      <c r="N269" s="600">
        <f t="shared" si="148"/>
        <v>3.6492599999999999</v>
      </c>
    </row>
    <row r="270" spans="1:14" s="15" customFormat="1" hidden="1" outlineLevel="1" x14ac:dyDescent="0.2">
      <c r="A270"/>
      <c r="B270" s="47" t="str">
        <f>+D270&amp;E270&amp;F270&amp;G270</f>
        <v xml:space="preserve">GlobalEmissionsWTW Emission - LNGtonCO2eq/ ton </v>
      </c>
      <c r="C270" s="47"/>
      <c r="D270" s="15" t="s">
        <v>109</v>
      </c>
      <c r="E270" s="15" t="s">
        <v>728</v>
      </c>
      <c r="F270" t="s">
        <v>1437</v>
      </c>
      <c r="G270" s="15" t="s">
        <v>1016</v>
      </c>
      <c r="H270" s="600">
        <f t="shared" ref="H270" si="149">H269+H268</f>
        <v>4.4940600000000002</v>
      </c>
      <c r="I270" s="600">
        <f t="shared" ref="I270:N271" si="150">H270</f>
        <v>4.4940600000000002</v>
      </c>
      <c r="J270" s="600">
        <f t="shared" si="150"/>
        <v>4.4940600000000002</v>
      </c>
      <c r="K270" s="600">
        <f t="shared" si="150"/>
        <v>4.4940600000000002</v>
      </c>
      <c r="L270" s="600">
        <f t="shared" si="150"/>
        <v>4.4940600000000002</v>
      </c>
      <c r="M270" s="600">
        <f t="shared" si="150"/>
        <v>4.4940600000000002</v>
      </c>
      <c r="N270" s="600">
        <f t="shared" si="150"/>
        <v>4.4940600000000002</v>
      </c>
    </row>
    <row r="271" spans="1:14" s="15" customFormat="1" hidden="1" outlineLevel="1" x14ac:dyDescent="0.2">
      <c r="A271"/>
      <c r="B271" s="47" t="str">
        <f>+D271&amp;E271&amp;F271&amp;G271</f>
        <v xml:space="preserve">GlobalEmissionsWTT Emission - NGtonCO2eq/ ton </v>
      </c>
      <c r="C271" s="47"/>
      <c r="D271" s="15" t="s">
        <v>109</v>
      </c>
      <c r="E271" s="15" t="s">
        <v>728</v>
      </c>
      <c r="F271" s="15" t="s">
        <v>1723</v>
      </c>
      <c r="G271" s="55" t="s">
        <v>1016</v>
      </c>
      <c r="H271" s="374">
        <f>0.11+0.0073*29</f>
        <v>0.32169999999999999</v>
      </c>
      <c r="I271" s="2">
        <f>H271</f>
        <v>0.32169999999999999</v>
      </c>
      <c r="J271" s="2">
        <f t="shared" si="150"/>
        <v>0.32169999999999999</v>
      </c>
      <c r="K271" s="2">
        <f t="shared" si="150"/>
        <v>0.32169999999999999</v>
      </c>
      <c r="L271" s="2">
        <f t="shared" si="150"/>
        <v>0.32169999999999999</v>
      </c>
      <c r="M271" s="2">
        <f t="shared" si="150"/>
        <v>0.32169999999999999</v>
      </c>
      <c r="N271" s="2">
        <f t="shared" si="150"/>
        <v>0.32169999999999999</v>
      </c>
    </row>
    <row r="272" spans="1:14" s="15" customFormat="1" hidden="1" outlineLevel="1" x14ac:dyDescent="0.2">
      <c r="A272"/>
      <c r="B272" s="47"/>
      <c r="C272" s="47"/>
      <c r="F272"/>
      <c r="H272" s="600"/>
      <c r="I272" s="600"/>
      <c r="J272" s="600"/>
      <c r="K272" s="600"/>
      <c r="L272" s="600"/>
      <c r="M272" s="600"/>
      <c r="N272" s="600"/>
    </row>
    <row r="273" spans="2:16" s="15" customFormat="1" hidden="1" outlineLevel="1" x14ac:dyDescent="0.2">
      <c r="B273" s="15" t="str">
        <f>+D273&amp;E273&amp;F273&amp;G273</f>
        <v>EuropeFeedstockCost of NGUSD/ton</v>
      </c>
      <c r="D273" s="15" t="s">
        <v>195</v>
      </c>
      <c r="E273" s="15" t="s">
        <v>777</v>
      </c>
      <c r="F273" s="15" t="s">
        <v>1144</v>
      </c>
      <c r="G273" s="15" t="s">
        <v>205</v>
      </c>
      <c r="H273" s="616">
        <f>'Main Assumptions'!D36</f>
        <v>1750</v>
      </c>
      <c r="I273" s="616">
        <f>'Main Assumptions'!E36</f>
        <v>700</v>
      </c>
      <c r="J273" s="616">
        <f>'Main Assumptions'!F36</f>
        <v>475</v>
      </c>
      <c r="K273" s="616">
        <f>'Main Assumptions'!G36</f>
        <v>475</v>
      </c>
      <c r="L273" s="616">
        <f>'Main Assumptions'!H36</f>
        <v>475</v>
      </c>
      <c r="M273" s="616">
        <f>'Main Assumptions'!I36</f>
        <v>475</v>
      </c>
      <c r="N273" s="616">
        <f>'Main Assumptions'!J36</f>
        <v>475</v>
      </c>
      <c r="O273" s="617"/>
      <c r="P273" s="586"/>
    </row>
    <row r="274" spans="2:16" s="15" customFormat="1" hidden="1" outlineLevel="1" x14ac:dyDescent="0.2">
      <c r="B274" s="15" t="str">
        <f>+D274&amp;E274&amp;F274&amp;G274</f>
        <v>Middle EastFeedstockCost of NGUSD/ton</v>
      </c>
      <c r="D274" s="15" t="s">
        <v>197</v>
      </c>
      <c r="E274" s="15" t="s">
        <v>777</v>
      </c>
      <c r="F274" s="15" t="s">
        <v>1144</v>
      </c>
      <c r="G274" s="15" t="s">
        <v>205</v>
      </c>
      <c r="H274" s="616">
        <f>'Main Assumptions'!D37</f>
        <v>1400</v>
      </c>
      <c r="I274" s="616">
        <f>'Main Assumptions'!E37</f>
        <v>525</v>
      </c>
      <c r="J274" s="616">
        <f>'Main Assumptions'!F37</f>
        <v>145</v>
      </c>
      <c r="K274" s="616">
        <f>'Main Assumptions'!G37</f>
        <v>145</v>
      </c>
      <c r="L274" s="616">
        <f>'Main Assumptions'!H37</f>
        <v>145</v>
      </c>
      <c r="M274" s="616">
        <f>'Main Assumptions'!I37</f>
        <v>145</v>
      </c>
      <c r="N274" s="616">
        <f>'Main Assumptions'!J37</f>
        <v>145</v>
      </c>
      <c r="O274" s="617"/>
      <c r="P274" s="586"/>
    </row>
    <row r="275" spans="2:16" s="15" customFormat="1" hidden="1" outlineLevel="1" x14ac:dyDescent="0.2">
      <c r="B275" s="15" t="str">
        <f>+D275&amp;E275&amp;F275&amp;G275</f>
        <v>AsiaFeedstockCost of NGUSD/ton</v>
      </c>
      <c r="D275" s="15" t="s">
        <v>198</v>
      </c>
      <c r="E275" s="15" t="s">
        <v>777</v>
      </c>
      <c r="F275" s="15" t="s">
        <v>1144</v>
      </c>
      <c r="G275" s="15" t="s">
        <v>205</v>
      </c>
      <c r="H275" s="616">
        <f>'Main Assumptions'!D38</f>
        <v>1600</v>
      </c>
      <c r="I275" s="616">
        <f>'Main Assumptions'!E38</f>
        <v>725</v>
      </c>
      <c r="J275" s="616">
        <f>'Main Assumptions'!F38</f>
        <v>350</v>
      </c>
      <c r="K275" s="616">
        <f>'Main Assumptions'!G38</f>
        <v>350</v>
      </c>
      <c r="L275" s="616">
        <f>'Main Assumptions'!H38</f>
        <v>350</v>
      </c>
      <c r="M275" s="616">
        <f>'Main Assumptions'!I38</f>
        <v>350</v>
      </c>
      <c r="N275" s="616">
        <f>'Main Assumptions'!J38</f>
        <v>350</v>
      </c>
      <c r="O275" s="617"/>
      <c r="P275" s="586"/>
    </row>
    <row r="276" spans="2:16" s="15" customFormat="1" hidden="1" outlineLevel="1" x14ac:dyDescent="0.2">
      <c r="B276" s="15" t="str">
        <f>+D276&amp;E276&amp;F276&amp;G276</f>
        <v>AmericasFeedstockCost of NGUSD/ton</v>
      </c>
      <c r="D276" s="15" t="s">
        <v>199</v>
      </c>
      <c r="E276" s="15" t="s">
        <v>777</v>
      </c>
      <c r="F276" s="15" t="s">
        <v>1144</v>
      </c>
      <c r="G276" s="15" t="s">
        <v>205</v>
      </c>
      <c r="H276" s="616">
        <f>'Main Assumptions'!D39</f>
        <v>350</v>
      </c>
      <c r="I276" s="616">
        <f>'Main Assumptions'!E39</f>
        <v>230</v>
      </c>
      <c r="J276" s="616">
        <f>'Main Assumptions'!F39</f>
        <v>220</v>
      </c>
      <c r="K276" s="616">
        <f>'Main Assumptions'!G39</f>
        <v>250</v>
      </c>
      <c r="L276" s="616">
        <f>'Main Assumptions'!H39</f>
        <v>250</v>
      </c>
      <c r="M276" s="616">
        <f>'Main Assumptions'!I39</f>
        <v>250</v>
      </c>
      <c r="N276" s="616">
        <f>'Main Assumptions'!J39</f>
        <v>250</v>
      </c>
      <c r="O276" s="617"/>
      <c r="P276" s="586"/>
    </row>
    <row r="277" spans="2:16" s="15" customFormat="1" hidden="1" outlineLevel="1" x14ac:dyDescent="0.2">
      <c r="B277" s="15" t="str">
        <f>+D277&amp;E277&amp;F277&amp;G277</f>
        <v>AfricaFeedstockCost of NGUSD/ton</v>
      </c>
      <c r="D277" s="15" t="s">
        <v>200</v>
      </c>
      <c r="E277" s="15" t="s">
        <v>777</v>
      </c>
      <c r="F277" s="15" t="s">
        <v>1144</v>
      </c>
      <c r="G277" s="15" t="s">
        <v>205</v>
      </c>
      <c r="H277" s="616">
        <f>'Main Assumptions'!D40</f>
        <v>1750</v>
      </c>
      <c r="I277" s="616">
        <f>'Main Assumptions'!E40</f>
        <v>700</v>
      </c>
      <c r="J277" s="616">
        <f>'Main Assumptions'!F40</f>
        <v>475</v>
      </c>
      <c r="K277" s="616">
        <f>'Main Assumptions'!G40</f>
        <v>475</v>
      </c>
      <c r="L277" s="616">
        <f>'Main Assumptions'!H40</f>
        <v>475</v>
      </c>
      <c r="M277" s="616">
        <f>'Main Assumptions'!I40</f>
        <v>475</v>
      </c>
      <c r="N277" s="616">
        <f>'Main Assumptions'!J40</f>
        <v>475</v>
      </c>
      <c r="O277" s="617"/>
      <c r="P277" s="586"/>
    </row>
    <row r="278" spans="2:16" ht="13.5" collapsed="1" thickBot="1" x14ac:dyDescent="0.25"/>
    <row r="279" spans="2:16" ht="13.5" thickBot="1" x14ac:dyDescent="0.25">
      <c r="B279" s="610" t="s">
        <v>534</v>
      </c>
      <c r="C279" s="577"/>
      <c r="D279" s="611" t="str">
        <f>+B279</f>
        <v>LPG</v>
      </c>
      <c r="E279" s="612"/>
      <c r="F279" s="612"/>
      <c r="G279" s="612"/>
      <c r="H279" s="613">
        <f t="shared" ref="H279:N279" si="151">+H$3</f>
        <v>2020</v>
      </c>
      <c r="I279" s="613">
        <f t="shared" si="151"/>
        <v>2025</v>
      </c>
      <c r="J279" s="613">
        <f t="shared" si="151"/>
        <v>2030</v>
      </c>
      <c r="K279" s="613">
        <f t="shared" si="151"/>
        <v>2035</v>
      </c>
      <c r="L279" s="613">
        <f t="shared" si="151"/>
        <v>2040</v>
      </c>
      <c r="M279" s="613">
        <f t="shared" si="151"/>
        <v>2045</v>
      </c>
      <c r="N279" s="614">
        <f t="shared" si="151"/>
        <v>2050</v>
      </c>
    </row>
    <row r="280" spans="2:16" hidden="1" outlineLevel="1" x14ac:dyDescent="0.2">
      <c r="B280" s="15" t="str">
        <f>+D280&amp;E280&amp;F280&amp;G280</f>
        <v xml:space="preserve">GlobalEmissionsWTT Emission - LPGtonCO2eq/ ton </v>
      </c>
      <c r="C280" s="15"/>
      <c r="D280" t="s">
        <v>109</v>
      </c>
      <c r="E280" t="s">
        <v>728</v>
      </c>
      <c r="F280" t="s">
        <v>1150</v>
      </c>
      <c r="G280" s="15" t="s">
        <v>1016</v>
      </c>
      <c r="H280" s="374">
        <f>17.7*H35/1000000</f>
        <v>0.81420000000000003</v>
      </c>
      <c r="I280" s="2">
        <f>H280</f>
        <v>0.81420000000000003</v>
      </c>
      <c r="J280" s="2">
        <f t="shared" ref="J280:N280" si="152">I280</f>
        <v>0.81420000000000003</v>
      </c>
      <c r="K280" s="2">
        <f t="shared" si="152"/>
        <v>0.81420000000000003</v>
      </c>
      <c r="L280" s="2">
        <f t="shared" si="152"/>
        <v>0.81420000000000003</v>
      </c>
      <c r="M280" s="2">
        <f t="shared" si="152"/>
        <v>0.81420000000000003</v>
      </c>
      <c r="N280" s="2">
        <f t="shared" si="152"/>
        <v>0.81420000000000003</v>
      </c>
    </row>
    <row r="281" spans="2:16" hidden="1" outlineLevel="1" x14ac:dyDescent="0.2">
      <c r="B281" s="15" t="str">
        <f>+D281&amp;E281&amp;F281&amp;G281</f>
        <v xml:space="preserve">GlobalEmissionsTTW Emission - LPGtonCO2eq/ ton </v>
      </c>
      <c r="C281" s="15"/>
      <c r="D281" t="s">
        <v>109</v>
      </c>
      <c r="E281" t="s">
        <v>728</v>
      </c>
      <c r="F281" t="s">
        <v>1151</v>
      </c>
      <c r="G281" s="15" t="s">
        <v>1016</v>
      </c>
      <c r="H281" s="374">
        <f>66*H35/1000000</f>
        <v>3.036</v>
      </c>
      <c r="I281" s="2">
        <f t="shared" ref="I281:N281" si="153">H281</f>
        <v>3.036</v>
      </c>
      <c r="J281" s="2">
        <f t="shared" si="153"/>
        <v>3.036</v>
      </c>
      <c r="K281" s="2">
        <f t="shared" si="153"/>
        <v>3.036</v>
      </c>
      <c r="L281" s="2">
        <f t="shared" si="153"/>
        <v>3.036</v>
      </c>
      <c r="M281" s="2">
        <f t="shared" si="153"/>
        <v>3.036</v>
      </c>
      <c r="N281" s="2">
        <f t="shared" si="153"/>
        <v>3.036</v>
      </c>
    </row>
    <row r="282" spans="2:16" hidden="1" outlineLevel="1" x14ac:dyDescent="0.2">
      <c r="B282" s="15" t="str">
        <f>+D282&amp;E282&amp;F282&amp;G282</f>
        <v xml:space="preserve">GlobalEmissionsWTW Emission - LPGtonCO2eq/ ton </v>
      </c>
      <c r="C282" s="15"/>
      <c r="D282" t="s">
        <v>109</v>
      </c>
      <c r="E282" t="s">
        <v>728</v>
      </c>
      <c r="F282" t="s">
        <v>1438</v>
      </c>
      <c r="G282" s="15" t="s">
        <v>1016</v>
      </c>
      <c r="H282" s="2">
        <f>SUM(H280:H281)</f>
        <v>3.8502000000000001</v>
      </c>
      <c r="I282" s="2">
        <f t="shared" ref="I282:N282" si="154">H282</f>
        <v>3.8502000000000001</v>
      </c>
      <c r="J282" s="2">
        <f t="shared" si="154"/>
        <v>3.8502000000000001</v>
      </c>
      <c r="K282" s="2">
        <f t="shared" si="154"/>
        <v>3.8502000000000001</v>
      </c>
      <c r="L282" s="2">
        <f t="shared" si="154"/>
        <v>3.8502000000000001</v>
      </c>
      <c r="M282" s="2">
        <f t="shared" si="154"/>
        <v>3.8502000000000001</v>
      </c>
      <c r="N282" s="2">
        <f t="shared" si="154"/>
        <v>3.8502000000000001</v>
      </c>
    </row>
    <row r="283" spans="2:16" hidden="1" outlineLevel="1" x14ac:dyDescent="0.2">
      <c r="B283" s="15"/>
      <c r="C283" s="15"/>
      <c r="H283" s="2"/>
      <c r="I283" s="2"/>
      <c r="J283" s="2"/>
      <c r="K283" s="2"/>
      <c r="L283" s="2"/>
      <c r="M283" s="2"/>
      <c r="N283" s="2"/>
    </row>
    <row r="284" spans="2:16" ht="13.5" collapsed="1" thickBot="1" x14ac:dyDescent="0.25"/>
    <row r="285" spans="2:16" ht="13.5" thickBot="1" x14ac:dyDescent="0.25">
      <c r="B285" s="618" t="s">
        <v>118</v>
      </c>
      <c r="C285" s="577"/>
      <c r="D285" s="619" t="str">
        <f>+B285</f>
        <v>Biomethane</v>
      </c>
      <c r="E285" s="620"/>
      <c r="F285" s="620"/>
      <c r="G285" s="620"/>
      <c r="H285" s="621">
        <f>+H$3</f>
        <v>2020</v>
      </c>
      <c r="I285" s="621">
        <f t="shared" ref="I285:N285" si="155">+I$3</f>
        <v>2025</v>
      </c>
      <c r="J285" s="621">
        <f t="shared" si="155"/>
        <v>2030</v>
      </c>
      <c r="K285" s="621">
        <f t="shared" si="155"/>
        <v>2035</v>
      </c>
      <c r="L285" s="621">
        <f t="shared" si="155"/>
        <v>2040</v>
      </c>
      <c r="M285" s="621">
        <f t="shared" si="155"/>
        <v>2045</v>
      </c>
      <c r="N285" s="622">
        <f t="shared" si="155"/>
        <v>2050</v>
      </c>
    </row>
    <row r="286" spans="2:16" hidden="1" outlineLevel="1" x14ac:dyDescent="0.2">
      <c r="B286" s="80" t="str">
        <f t="shared" ref="B286:B292" si="156">+D286&amp;E286&amp;F286&amp;G286</f>
        <v>GlobalCAPEXLBM plantUSD/ton LBM capacity</v>
      </c>
      <c r="C286" s="81"/>
      <c r="D286" s="80" t="s">
        <v>109</v>
      </c>
      <c r="E286" t="s">
        <v>50</v>
      </c>
      <c r="F286" t="s">
        <v>1270</v>
      </c>
      <c r="G286" s="224" t="s">
        <v>1271</v>
      </c>
      <c r="H286" s="357">
        <v>6485.9025549008165</v>
      </c>
      <c r="I286" s="357">
        <v>6058.9607311136297</v>
      </c>
      <c r="J286" s="357">
        <v>5632.0189073264428</v>
      </c>
      <c r="K286" s="357">
        <v>5205.0770835392559</v>
      </c>
      <c r="L286" s="357">
        <v>4778.135259752069</v>
      </c>
      <c r="M286" s="357">
        <v>4351.1934359648822</v>
      </c>
      <c r="N286" s="357">
        <v>3924.2516121776953</v>
      </c>
    </row>
    <row r="287" spans="2:16" hidden="1" outlineLevel="1" x14ac:dyDescent="0.2">
      <c r="B287" s="80" t="str">
        <f t="shared" si="156"/>
        <v>GlobalOPEXLBM plant opexUSD/ton LBM</v>
      </c>
      <c r="C287" s="81"/>
      <c r="D287" s="80" t="s">
        <v>109</v>
      </c>
      <c r="E287" t="s">
        <v>319</v>
      </c>
      <c r="F287" t="s">
        <v>1266</v>
      </c>
      <c r="G287" s="224" t="s">
        <v>1267</v>
      </c>
      <c r="H287" s="357">
        <v>341.05795339193406</v>
      </c>
      <c r="I287" s="357">
        <v>323.63432473136749</v>
      </c>
      <c r="J287" s="357">
        <v>306.21069607080085</v>
      </c>
      <c r="K287" s="357">
        <v>288.78706741023427</v>
      </c>
      <c r="L287" s="357">
        <v>271.36343874966769</v>
      </c>
      <c r="M287" s="357">
        <v>253.93981008910106</v>
      </c>
      <c r="N287" s="357">
        <v>236.51618142853448</v>
      </c>
    </row>
    <row r="288" spans="2:16" hidden="1" outlineLevel="1" x14ac:dyDescent="0.2">
      <c r="B288" s="80" t="str">
        <f t="shared" si="156"/>
        <v>GlobalLHVLHV dry organic MCWMJ/ ton</v>
      </c>
      <c r="C288" s="81"/>
      <c r="D288" t="s">
        <v>109</v>
      </c>
      <c r="E288" t="s">
        <v>582</v>
      </c>
      <c r="F288" t="s">
        <v>1281</v>
      </c>
      <c r="G288" s="224" t="s">
        <v>583</v>
      </c>
      <c r="H288" s="357">
        <v>19500</v>
      </c>
      <c r="I288" s="8">
        <f t="shared" ref="I288:N288" si="157">H288</f>
        <v>19500</v>
      </c>
      <c r="J288" s="8">
        <f t="shared" si="157"/>
        <v>19500</v>
      </c>
      <c r="K288" s="8">
        <f t="shared" si="157"/>
        <v>19500</v>
      </c>
      <c r="L288" s="8">
        <f t="shared" si="157"/>
        <v>19500</v>
      </c>
      <c r="M288" s="8">
        <f t="shared" si="157"/>
        <v>19500</v>
      </c>
      <c r="N288" s="8">
        <f t="shared" si="157"/>
        <v>19500</v>
      </c>
    </row>
    <row r="289" spans="1:15" hidden="1" outlineLevel="1" x14ac:dyDescent="0.2">
      <c r="B289" s="80" t="str">
        <f t="shared" si="156"/>
        <v>GlobalCO2intensityLBM processtonCO2eq/ton LBM</v>
      </c>
      <c r="C289" s="81"/>
      <c r="D289" t="s">
        <v>109</v>
      </c>
      <c r="E289" t="s">
        <v>927</v>
      </c>
      <c r="F289" t="s">
        <v>1277</v>
      </c>
      <c r="G289" s="224" t="s">
        <v>1278</v>
      </c>
      <c r="H289" s="374">
        <v>0.4</v>
      </c>
      <c r="I289" s="374">
        <v>0.33750000000000002</v>
      </c>
      <c r="J289" s="374">
        <v>0.27500000000000002</v>
      </c>
      <c r="K289" s="374">
        <v>0.21250000000000002</v>
      </c>
      <c r="L289" s="374">
        <v>0.15000000000000002</v>
      </c>
      <c r="M289" s="374">
        <v>8.7500000000000022E-2</v>
      </c>
      <c r="N289" s="374">
        <v>2.5000000000000005E-2</v>
      </c>
    </row>
    <row r="290" spans="1:15" hidden="1" outlineLevel="1" x14ac:dyDescent="0.2">
      <c r="B290" s="80" t="str">
        <f t="shared" si="156"/>
        <v>GlobalFeedstockLBM plant Electricity demandMwH/ton LBM</v>
      </c>
      <c r="C290" s="81"/>
      <c r="D290" s="80" t="s">
        <v>109</v>
      </c>
      <c r="E290" t="s">
        <v>777</v>
      </c>
      <c r="F290" t="s">
        <v>1264</v>
      </c>
      <c r="G290" s="224" t="s">
        <v>1265</v>
      </c>
      <c r="H290" s="374">
        <v>1.192378158163339</v>
      </c>
      <c r="I290" s="374">
        <v>1.2026215180379118</v>
      </c>
      <c r="J290" s="374">
        <v>1.2128648779124849</v>
      </c>
      <c r="K290" s="374">
        <v>1.2231082377870577</v>
      </c>
      <c r="L290" s="374">
        <v>1.2333515976616307</v>
      </c>
      <c r="M290" s="374">
        <v>1.2435949575362035</v>
      </c>
      <c r="N290" s="374">
        <v>1.2538383174107766</v>
      </c>
    </row>
    <row r="291" spans="1:15" hidden="1" outlineLevel="1" x14ac:dyDescent="0.2">
      <c r="B291" s="80" t="str">
        <f t="shared" si="156"/>
        <v>GlobalFeedstockNatural gasTon feedstock / ton fuel</v>
      </c>
      <c r="C291" s="81"/>
      <c r="D291" s="80" t="s">
        <v>109</v>
      </c>
      <c r="E291" t="s">
        <v>777</v>
      </c>
      <c r="F291" t="s">
        <v>204</v>
      </c>
      <c r="G291" s="224" t="s">
        <v>1241</v>
      </c>
      <c r="H291" s="374">
        <v>3.0000000000000006E-2</v>
      </c>
      <c r="I291" s="374">
        <v>2.5000000000000005E-2</v>
      </c>
      <c r="J291" s="374">
        <v>2.0000000000000004E-2</v>
      </c>
      <c r="K291" s="374">
        <v>1.5000000000000003E-2</v>
      </c>
      <c r="L291" s="374">
        <v>1.0000000000000002E-2</v>
      </c>
      <c r="M291" s="374">
        <v>5.000000000000001E-3</v>
      </c>
      <c r="N291" s="374">
        <v>0</v>
      </c>
    </row>
    <row r="292" spans="1:15" hidden="1" outlineLevel="1" x14ac:dyDescent="0.2">
      <c r="B292" t="str">
        <f t="shared" si="156"/>
        <v>GlobalFeedstockConversion Organic wet waste : LBMTon feedstock / ton fuel</v>
      </c>
      <c r="D292" t="s">
        <v>109</v>
      </c>
      <c r="E292" t="s">
        <v>777</v>
      </c>
      <c r="F292" s="48" t="s">
        <v>1274</v>
      </c>
      <c r="G292" s="224" t="s">
        <v>1241</v>
      </c>
      <c r="H292" s="374">
        <v>4.4587976488205667</v>
      </c>
      <c r="I292" s="374">
        <v>4.3308976352020734</v>
      </c>
      <c r="J292" s="374">
        <v>4.20299762158358</v>
      </c>
      <c r="K292" s="374">
        <v>4.0750976079650867</v>
      </c>
      <c r="L292" s="374">
        <v>3.9471975943465938</v>
      </c>
      <c r="M292" s="374">
        <v>3.8192975807281004</v>
      </c>
      <c r="N292" s="374">
        <v>3.6913975671096071</v>
      </c>
    </row>
    <row r="293" spans="1:15" ht="13.5" collapsed="1" thickBot="1" x14ac:dyDescent="0.25">
      <c r="B293" s="48"/>
      <c r="C293" s="48"/>
      <c r="D293" s="80"/>
      <c r="G293" s="224"/>
      <c r="H293" s="2"/>
      <c r="I293" s="2"/>
      <c r="J293" s="2"/>
      <c r="K293" s="2"/>
      <c r="L293" s="2"/>
      <c r="M293" s="2"/>
      <c r="N293" s="2"/>
    </row>
    <row r="294" spans="1:15" s="266" customFormat="1" ht="13.5" thickBot="1" x14ac:dyDescent="0.25">
      <c r="A294"/>
      <c r="B294" s="618" t="s">
        <v>594</v>
      </c>
      <c r="C294" s="577"/>
      <c r="D294" s="619" t="str">
        <f>+B294</f>
        <v>Biodiesel (HtL)</v>
      </c>
      <c r="E294" s="620"/>
      <c r="F294" s="620"/>
      <c r="G294" s="620"/>
      <c r="H294" s="621">
        <f>+H$3</f>
        <v>2020</v>
      </c>
      <c r="I294" s="621">
        <f t="shared" ref="I294:N294" si="158">+I$3</f>
        <v>2025</v>
      </c>
      <c r="J294" s="621">
        <f t="shared" si="158"/>
        <v>2030</v>
      </c>
      <c r="K294" s="621">
        <f t="shared" si="158"/>
        <v>2035</v>
      </c>
      <c r="L294" s="621">
        <f t="shared" si="158"/>
        <v>2040</v>
      </c>
      <c r="M294" s="621">
        <f t="shared" si="158"/>
        <v>2045</v>
      </c>
      <c r="N294" s="622">
        <f t="shared" si="158"/>
        <v>2050</v>
      </c>
    </row>
    <row r="295" spans="1:15" hidden="1" outlineLevel="1" x14ac:dyDescent="0.2">
      <c r="B295" s="80" t="str">
        <f>+D295&amp;E295&amp;F295&amp;G295</f>
        <v>GlobalOPEXPlant opexUSD/ton HTL oil</v>
      </c>
      <c r="C295" s="81"/>
      <c r="D295" s="80" t="s">
        <v>109</v>
      </c>
      <c r="E295" t="s">
        <v>319</v>
      </c>
      <c r="F295" t="s">
        <v>1293</v>
      </c>
      <c r="G295" s="224" t="s">
        <v>1294</v>
      </c>
      <c r="H295" s="357">
        <v>4821.1718011339271</v>
      </c>
      <c r="I295" s="357">
        <v>964.23436022678538</v>
      </c>
      <c r="J295" s="357">
        <v>321.41145340892848</v>
      </c>
      <c r="K295" s="357">
        <v>302.12676620439277</v>
      </c>
      <c r="L295" s="357">
        <v>292.48442260212494</v>
      </c>
      <c r="M295" s="357">
        <v>282.84207899985711</v>
      </c>
      <c r="N295" s="357">
        <v>273.19973539758922</v>
      </c>
    </row>
    <row r="296" spans="1:15" hidden="1" outlineLevel="1" x14ac:dyDescent="0.2">
      <c r="B296" s="15" t="str">
        <f>+D296&amp;E296&amp;F296&amp;G296</f>
        <v>GlobalFeedstockHTL plant electricity demandMWh/ton fuel</v>
      </c>
      <c r="C296" s="15"/>
      <c r="D296" s="15" t="s">
        <v>109</v>
      </c>
      <c r="E296" t="s">
        <v>777</v>
      </c>
      <c r="F296" t="s">
        <v>1297</v>
      </c>
      <c r="G296" t="s">
        <v>1298</v>
      </c>
      <c r="H296" s="374">
        <v>0.80044621912790992</v>
      </c>
      <c r="I296" s="374">
        <v>0.80044621912790992</v>
      </c>
      <c r="J296" s="374">
        <v>0.79751787885447367</v>
      </c>
      <c r="K296" s="374">
        <v>0.79458953858103754</v>
      </c>
      <c r="L296" s="374">
        <v>0.79166119830760129</v>
      </c>
      <c r="M296" s="374">
        <v>0.78873285803416515</v>
      </c>
      <c r="N296" s="374">
        <v>0.7858045177607289</v>
      </c>
    </row>
    <row r="297" spans="1:15" hidden="1" outlineLevel="1" x14ac:dyDescent="0.2">
      <c r="B297" s="15" t="str">
        <f>+D297&amp;E297&amp;F297&amp;G297</f>
        <v>GlobalCAPEXHTL plantUSD/ton HTL oil capacity</v>
      </c>
      <c r="C297" s="15"/>
      <c r="D297" t="s">
        <v>109</v>
      </c>
      <c r="E297" t="s">
        <v>50</v>
      </c>
      <c r="F297" t="s">
        <v>1291</v>
      </c>
      <c r="G297" s="15" t="s">
        <v>1292</v>
      </c>
      <c r="H297" s="357">
        <v>14883.337289869958</v>
      </c>
      <c r="I297" s="357">
        <v>8930.0023739219741</v>
      </c>
      <c r="J297" s="357">
        <v>2976.6674579739915</v>
      </c>
      <c r="K297" s="357">
        <v>2798.0674104955519</v>
      </c>
      <c r="L297" s="357">
        <v>2708.7673867563321</v>
      </c>
      <c r="M297" s="357">
        <v>2619.4673630171123</v>
      </c>
      <c r="N297" s="357">
        <v>2530.1673392778926</v>
      </c>
    </row>
    <row r="298" spans="1:15" hidden="1" outlineLevel="1" x14ac:dyDescent="0.2">
      <c r="B298" s="15" t="str">
        <f>+D298&amp;E298&amp;F298&amp;G298</f>
        <v>GlobalCO2intensityHTL oil carbon%%</v>
      </c>
      <c r="C298" s="15"/>
      <c r="D298" t="s">
        <v>109</v>
      </c>
      <c r="E298" t="s">
        <v>927</v>
      </c>
      <c r="F298" s="48" t="s">
        <v>1439</v>
      </c>
      <c r="G298" s="224" t="s">
        <v>178</v>
      </c>
      <c r="H298" s="352">
        <v>0.82</v>
      </c>
      <c r="I298" s="9">
        <f t="shared" ref="I298:N298" si="159">H298</f>
        <v>0.82</v>
      </c>
      <c r="J298" s="9">
        <f t="shared" si="159"/>
        <v>0.82</v>
      </c>
      <c r="K298" s="9">
        <f t="shared" si="159"/>
        <v>0.82</v>
      </c>
      <c r="L298" s="9">
        <f t="shared" si="159"/>
        <v>0.82</v>
      </c>
      <c r="M298" s="9">
        <f t="shared" si="159"/>
        <v>0.82</v>
      </c>
      <c r="N298" s="9">
        <f t="shared" si="159"/>
        <v>0.82</v>
      </c>
    </row>
    <row r="299" spans="1:15" hidden="1" outlineLevel="1" x14ac:dyDescent="0.2">
      <c r="B299" s="15" t="str">
        <f>+D299&amp;E299&amp;F299&amp;G299</f>
        <v>GlobalCO2intensityHTL processtonCO2eq/ton HTL oil</v>
      </c>
      <c r="C299" s="15"/>
      <c r="D299" t="s">
        <v>109</v>
      </c>
      <c r="E299" t="s">
        <v>927</v>
      </c>
      <c r="F299" s="48" t="s">
        <v>1314</v>
      </c>
      <c r="G299" s="224" t="s">
        <v>1315</v>
      </c>
      <c r="H299" s="374">
        <v>0</v>
      </c>
      <c r="I299" s="2">
        <f t="shared" ref="I299:N299" si="160">H299</f>
        <v>0</v>
      </c>
      <c r="J299" s="2">
        <f t="shared" si="160"/>
        <v>0</v>
      </c>
      <c r="K299" s="2">
        <f t="shared" si="160"/>
        <v>0</v>
      </c>
      <c r="L299" s="2">
        <f t="shared" si="160"/>
        <v>0</v>
      </c>
      <c r="M299" s="2">
        <f t="shared" si="160"/>
        <v>0</v>
      </c>
      <c r="N299" s="2">
        <f t="shared" si="160"/>
        <v>0</v>
      </c>
    </row>
    <row r="300" spans="1:15" hidden="1" outlineLevel="1" x14ac:dyDescent="0.2">
      <c r="B300" s="15"/>
      <c r="C300" s="15"/>
      <c r="F300" s="48"/>
      <c r="G300" s="224"/>
      <c r="H300" s="2"/>
      <c r="I300" s="2"/>
      <c r="J300" s="2"/>
      <c r="K300" s="2"/>
      <c r="L300" s="2"/>
      <c r="M300" s="2"/>
      <c r="N300" s="2"/>
    </row>
    <row r="301" spans="1:15" hidden="1" outlineLevel="1" x14ac:dyDescent="0.2">
      <c r="B301" s="31" t="s">
        <v>777</v>
      </c>
      <c r="C301" s="15"/>
      <c r="D301" s="266" t="str">
        <f>+B301</f>
        <v>Feedstock</v>
      </c>
      <c r="F301" s="48"/>
      <c r="G301" s="224"/>
      <c r="H301" s="2"/>
      <c r="I301" s="2"/>
      <c r="J301" s="2"/>
      <c r="K301" s="2"/>
      <c r="L301" s="2"/>
      <c r="M301" s="2"/>
      <c r="N301" s="2"/>
    </row>
    <row r="302" spans="1:15" hidden="1" outlineLevel="1" x14ac:dyDescent="0.2">
      <c r="B302" s="15" t="str">
        <f t="shared" ref="B302:B309" si="161">+D302&amp;E302&amp;F302&amp;G302</f>
        <v>GlobalFeedstockConversion Hydrogen : HTL oilTon feedstock / ton fuel</v>
      </c>
      <c r="D302" t="s">
        <v>109</v>
      </c>
      <c r="E302" t="s">
        <v>777</v>
      </c>
      <c r="F302" s="48" t="s">
        <v>1300</v>
      </c>
      <c r="G302" s="224" t="s">
        <v>1241</v>
      </c>
      <c r="H302" s="374">
        <v>6.25E-2</v>
      </c>
      <c r="I302" s="374">
        <v>6.25E-2</v>
      </c>
      <c r="J302" s="374">
        <v>6.25E-2</v>
      </c>
      <c r="K302" s="374">
        <v>6.25E-2</v>
      </c>
      <c r="L302" s="374">
        <v>6.25E-2</v>
      </c>
      <c r="M302" s="374">
        <v>6.25E-2</v>
      </c>
      <c r="N302" s="374">
        <v>6.25E-2</v>
      </c>
    </row>
    <row r="303" spans="1:15" hidden="1" outlineLevel="1" x14ac:dyDescent="0.2">
      <c r="B303" t="str">
        <f t="shared" si="161"/>
        <v>GlobalFeedstockDry wood biomass market share HTL%</v>
      </c>
      <c r="D303" t="s">
        <v>109</v>
      </c>
      <c r="E303" t="s">
        <v>777</v>
      </c>
      <c r="F303" t="s">
        <v>1305</v>
      </c>
      <c r="G303" t="s">
        <v>178</v>
      </c>
      <c r="H303" s="352">
        <v>0.3</v>
      </c>
      <c r="I303" s="352">
        <v>0.3</v>
      </c>
      <c r="J303" s="352">
        <v>0.3</v>
      </c>
      <c r="K303" s="352">
        <v>0.3</v>
      </c>
      <c r="L303" s="352">
        <v>0.3</v>
      </c>
      <c r="M303" s="352">
        <v>0.3</v>
      </c>
      <c r="N303" s="352">
        <v>0.3</v>
      </c>
      <c r="O303" s="15"/>
    </row>
    <row r="304" spans="1:15" hidden="1" outlineLevel="1" x14ac:dyDescent="0.2">
      <c r="B304" t="str">
        <f t="shared" si="161"/>
        <v>GlobalFeedstockOrganic wet waste market share HTL%</v>
      </c>
      <c r="D304" t="s">
        <v>109</v>
      </c>
      <c r="E304" t="s">
        <v>777</v>
      </c>
      <c r="F304" t="s">
        <v>1306</v>
      </c>
      <c r="G304" t="s">
        <v>178</v>
      </c>
      <c r="H304" s="352">
        <v>0.7</v>
      </c>
      <c r="I304" s="352">
        <v>0.7</v>
      </c>
      <c r="J304" s="352">
        <v>0.7</v>
      </c>
      <c r="K304" s="352">
        <v>0.7</v>
      </c>
      <c r="L304" s="352">
        <v>0.7</v>
      </c>
      <c r="M304" s="352">
        <v>0.7</v>
      </c>
      <c r="N304" s="352">
        <v>0.7</v>
      </c>
      <c r="O304" s="15"/>
    </row>
    <row r="305" spans="1:15" hidden="1" outlineLevel="1" x14ac:dyDescent="0.2">
      <c r="B305" t="str">
        <f t="shared" si="161"/>
        <v>GlobalFeedstockHTL hydrogen fraction - Grey%</v>
      </c>
      <c r="D305" t="s">
        <v>109</v>
      </c>
      <c r="E305" t="s">
        <v>777</v>
      </c>
      <c r="F305" s="48" t="s">
        <v>1302</v>
      </c>
      <c r="G305" t="s">
        <v>178</v>
      </c>
      <c r="H305" s="352">
        <v>1</v>
      </c>
      <c r="I305" s="352">
        <v>0.7</v>
      </c>
      <c r="J305" s="352">
        <v>0.5</v>
      </c>
      <c r="K305" s="352">
        <v>0</v>
      </c>
      <c r="L305" s="352">
        <v>0</v>
      </c>
      <c r="M305" s="352">
        <v>0</v>
      </c>
      <c r="N305" s="352">
        <v>0</v>
      </c>
    </row>
    <row r="306" spans="1:15" hidden="1" outlineLevel="1" x14ac:dyDescent="0.2">
      <c r="B306" t="str">
        <f t="shared" si="161"/>
        <v>GlobalFeedstockHTL hydrogen fraction - Blue%</v>
      </c>
      <c r="D306" t="s">
        <v>109</v>
      </c>
      <c r="E306" t="s">
        <v>777</v>
      </c>
      <c r="F306" s="48" t="s">
        <v>1303</v>
      </c>
      <c r="G306" t="s">
        <v>178</v>
      </c>
      <c r="H306" s="352">
        <v>0</v>
      </c>
      <c r="I306" s="352">
        <v>0.3</v>
      </c>
      <c r="J306" s="352">
        <v>0.5</v>
      </c>
      <c r="K306" s="352">
        <v>1</v>
      </c>
      <c r="L306" s="352">
        <v>0.9</v>
      </c>
      <c r="M306" s="352">
        <v>0.7</v>
      </c>
      <c r="N306" s="352">
        <v>0.2</v>
      </c>
      <c r="O306" s="15"/>
    </row>
    <row r="307" spans="1:15" hidden="1" outlineLevel="1" x14ac:dyDescent="0.2">
      <c r="B307" t="str">
        <f t="shared" si="161"/>
        <v>GlobalFeedstockHTL hydrogen fraction - Green%</v>
      </c>
      <c r="D307" t="s">
        <v>109</v>
      </c>
      <c r="E307" t="s">
        <v>777</v>
      </c>
      <c r="F307" s="48" t="s">
        <v>1304</v>
      </c>
      <c r="G307" t="s">
        <v>178</v>
      </c>
      <c r="H307" s="352">
        <v>0</v>
      </c>
      <c r="I307" s="352">
        <v>0</v>
      </c>
      <c r="J307" s="352">
        <v>0</v>
      </c>
      <c r="K307" s="352">
        <v>0</v>
      </c>
      <c r="L307" s="352">
        <v>0.1</v>
      </c>
      <c r="M307" s="352">
        <v>0.3</v>
      </c>
      <c r="N307" s="352">
        <v>0.8</v>
      </c>
      <c r="O307" s="15"/>
    </row>
    <row r="308" spans="1:15" hidden="1" outlineLevel="1" x14ac:dyDescent="0.2">
      <c r="B308" t="str">
        <f t="shared" si="161"/>
        <v>GlobalFeedstockConversion Dry Wood biomass : HTL oilTon feedstock / ton fuel</v>
      </c>
      <c r="D308" t="s">
        <v>109</v>
      </c>
      <c r="E308" t="s">
        <v>777</v>
      </c>
      <c r="F308" s="48" t="s">
        <v>1308</v>
      </c>
      <c r="G308" s="224" t="s">
        <v>1241</v>
      </c>
      <c r="H308" s="374">
        <v>3.6069120661509726</v>
      </c>
      <c r="I308" s="374">
        <v>3.6069120661509726</v>
      </c>
      <c r="J308" s="374">
        <v>3.6069120661509726</v>
      </c>
      <c r="K308" s="374">
        <v>3.6069120661509726</v>
      </c>
      <c r="L308" s="374">
        <v>3.6069120661509726</v>
      </c>
      <c r="M308" s="374">
        <v>3.6069120661509726</v>
      </c>
      <c r="N308" s="374">
        <v>3.6069120661509726</v>
      </c>
    </row>
    <row r="309" spans="1:15" hidden="1" outlineLevel="1" x14ac:dyDescent="0.2">
      <c r="B309" t="str">
        <f t="shared" si="161"/>
        <v>GlobalFeedstockConversion Organic wet waste : HTL oilTon feedstock / ton fuel</v>
      </c>
      <c r="D309" t="s">
        <v>109</v>
      </c>
      <c r="E309" t="s">
        <v>777</v>
      </c>
      <c r="F309" t="s">
        <v>1307</v>
      </c>
      <c r="G309" s="224" t="s">
        <v>1241</v>
      </c>
      <c r="H309" s="623">
        <v>4.4642857142857135</v>
      </c>
      <c r="I309" s="623">
        <v>4.4642857142857135</v>
      </c>
      <c r="J309" s="624">
        <v>4.4642857142857135</v>
      </c>
      <c r="K309" s="624">
        <v>4.4642857142857135</v>
      </c>
      <c r="L309" s="624">
        <v>4.4642857142857135</v>
      </c>
      <c r="M309" s="624">
        <v>4.4642857142857135</v>
      </c>
      <c r="N309" s="623">
        <v>4.4642857142857135</v>
      </c>
    </row>
    <row r="310" spans="1:15" ht="13.5" collapsed="1" thickBot="1" x14ac:dyDescent="0.25"/>
    <row r="311" spans="1:15" s="266" customFormat="1" ht="13.5" thickBot="1" x14ac:dyDescent="0.25">
      <c r="A311"/>
      <c r="B311" s="618" t="s">
        <v>595</v>
      </c>
      <c r="C311" s="577"/>
      <c r="D311" s="619" t="str">
        <f>+B311</f>
        <v>Biodiesel (HtL blend)</v>
      </c>
      <c r="E311" s="620"/>
      <c r="F311" s="620"/>
      <c r="G311" s="620"/>
      <c r="H311" s="621">
        <f>+H$3</f>
        <v>2020</v>
      </c>
      <c r="I311" s="621">
        <f t="shared" ref="I311:N311" si="162">+I$3</f>
        <v>2025</v>
      </c>
      <c r="J311" s="621">
        <f t="shared" si="162"/>
        <v>2030</v>
      </c>
      <c r="K311" s="621">
        <f t="shared" si="162"/>
        <v>2035</v>
      </c>
      <c r="L311" s="621">
        <f t="shared" si="162"/>
        <v>2040</v>
      </c>
      <c r="M311" s="621">
        <f t="shared" si="162"/>
        <v>2045</v>
      </c>
      <c r="N311" s="622">
        <f t="shared" si="162"/>
        <v>2050</v>
      </c>
    </row>
    <row r="312" spans="1:15" hidden="1" outlineLevel="1" x14ac:dyDescent="0.2">
      <c r="B312" s="80" t="str">
        <f>+D312&amp;E312&amp;F312&amp;G312</f>
        <v>GlobalOPEXPlant opexUSD/ton HTL blend oil</v>
      </c>
      <c r="C312" s="81"/>
      <c r="D312" s="80" t="s">
        <v>109</v>
      </c>
      <c r="E312" t="s">
        <v>319</v>
      </c>
      <c r="F312" t="s">
        <v>1293</v>
      </c>
      <c r="G312" s="224" t="s">
        <v>1331</v>
      </c>
      <c r="H312" s="357">
        <v>1236.1978977266481</v>
      </c>
      <c r="I312" s="357">
        <v>741.71873863598876</v>
      </c>
      <c r="J312" s="357">
        <v>247.2395795453296</v>
      </c>
      <c r="K312" s="357">
        <v>217.57082999989004</v>
      </c>
      <c r="L312" s="357">
        <v>202.73645522717027</v>
      </c>
      <c r="M312" s="357">
        <v>187.90208045445047</v>
      </c>
      <c r="N312" s="357">
        <v>173.0677056817307</v>
      </c>
    </row>
    <row r="313" spans="1:15" hidden="1" outlineLevel="1" x14ac:dyDescent="0.2">
      <c r="B313" s="15" t="str">
        <f>+D313&amp;E313&amp;F313&amp;G313</f>
        <v>GlobalFeedstockHTL blend grade plant electricity demandMWh/ton fuel</v>
      </c>
      <c r="C313" s="15"/>
      <c r="D313" s="15" t="s">
        <v>109</v>
      </c>
      <c r="E313" t="s">
        <v>777</v>
      </c>
      <c r="F313" t="s">
        <v>1334</v>
      </c>
      <c r="G313" t="s">
        <v>1298</v>
      </c>
      <c r="H313" s="374">
        <v>0.61572786086762299</v>
      </c>
      <c r="I313" s="374">
        <v>0.61572786086762299</v>
      </c>
      <c r="J313" s="374">
        <v>0.61347529142651824</v>
      </c>
      <c r="K313" s="374">
        <v>0.6112227219854135</v>
      </c>
      <c r="L313" s="374">
        <v>0.60897015254430864</v>
      </c>
      <c r="M313" s="374">
        <v>0.60671758310320389</v>
      </c>
      <c r="N313" s="374">
        <v>0.60446501366209915</v>
      </c>
    </row>
    <row r="314" spans="1:15" hidden="1" outlineLevel="1" x14ac:dyDescent="0.2">
      <c r="B314" s="15" t="str">
        <f>+D314&amp;E314&amp;F314&amp;G314</f>
        <v>GlobalCAPEXHTL blend grade plantUSD/ton HTL blend oil capacity</v>
      </c>
      <c r="C314" s="15"/>
      <c r="D314" t="s">
        <v>109</v>
      </c>
      <c r="E314" t="s">
        <v>50</v>
      </c>
      <c r="F314" t="s">
        <v>1332</v>
      </c>
      <c r="G314" s="15" t="s">
        <v>1333</v>
      </c>
      <c r="H314" s="357">
        <v>11448.720992207658</v>
      </c>
      <c r="I314" s="357">
        <v>6869.2325953245954</v>
      </c>
      <c r="J314" s="357">
        <v>2289.7441984415318</v>
      </c>
      <c r="K314" s="357">
        <v>2180.8533419608602</v>
      </c>
      <c r="L314" s="357">
        <v>2126.4079137205244</v>
      </c>
      <c r="M314" s="357">
        <v>2071.9624854801887</v>
      </c>
      <c r="N314" s="357">
        <v>2017.5170572398531</v>
      </c>
    </row>
    <row r="315" spans="1:15" hidden="1" outlineLevel="1" x14ac:dyDescent="0.2">
      <c r="B315" s="15" t="str">
        <f>+D315&amp;E315&amp;F315&amp;G315</f>
        <v>GlobalCO2intensityHTL blend oil carbon%%</v>
      </c>
      <c r="C315" s="15"/>
      <c r="D315" t="s">
        <v>109</v>
      </c>
      <c r="E315" t="s">
        <v>927</v>
      </c>
      <c r="F315" s="48" t="s">
        <v>1440</v>
      </c>
      <c r="G315" s="224" t="s">
        <v>178</v>
      </c>
      <c r="H315" s="352">
        <v>0.43</v>
      </c>
      <c r="I315" s="9">
        <f t="shared" ref="I315:N315" si="163">H315</f>
        <v>0.43</v>
      </c>
      <c r="J315" s="9">
        <f t="shared" si="163"/>
        <v>0.43</v>
      </c>
      <c r="K315" s="9">
        <f t="shared" si="163"/>
        <v>0.43</v>
      </c>
      <c r="L315" s="9">
        <f t="shared" si="163"/>
        <v>0.43</v>
      </c>
      <c r="M315" s="9">
        <f t="shared" si="163"/>
        <v>0.43</v>
      </c>
      <c r="N315" s="9">
        <f t="shared" si="163"/>
        <v>0.43</v>
      </c>
    </row>
    <row r="316" spans="1:15" hidden="1" outlineLevel="1" x14ac:dyDescent="0.2">
      <c r="B316" s="15" t="str">
        <f>+D316&amp;E316&amp;F316&amp;G316</f>
        <v>GlobalCO2intensityHTL blend grade processtonCO2eq/ton Blend oil</v>
      </c>
      <c r="C316" s="15"/>
      <c r="D316" t="s">
        <v>109</v>
      </c>
      <c r="E316" t="s">
        <v>927</v>
      </c>
      <c r="F316" s="48" t="s">
        <v>1441</v>
      </c>
      <c r="G316" s="224" t="s">
        <v>1442</v>
      </c>
      <c r="H316" s="374">
        <v>0</v>
      </c>
      <c r="I316" s="2">
        <f t="shared" ref="I316:N316" si="164">H316</f>
        <v>0</v>
      </c>
      <c r="J316" s="2">
        <f t="shared" si="164"/>
        <v>0</v>
      </c>
      <c r="K316" s="2">
        <f t="shared" si="164"/>
        <v>0</v>
      </c>
      <c r="L316" s="2">
        <f t="shared" si="164"/>
        <v>0</v>
      </c>
      <c r="M316" s="2">
        <f t="shared" si="164"/>
        <v>0</v>
      </c>
      <c r="N316" s="2">
        <f t="shared" si="164"/>
        <v>0</v>
      </c>
    </row>
    <row r="317" spans="1:15" hidden="1" outlineLevel="1" x14ac:dyDescent="0.2">
      <c r="B317" s="15"/>
      <c r="C317" s="15"/>
      <c r="F317" s="48"/>
      <c r="G317" s="224"/>
      <c r="H317" s="2"/>
      <c r="I317" s="2"/>
      <c r="J317" s="2"/>
      <c r="K317" s="2"/>
      <c r="L317" s="2"/>
      <c r="M317" s="2"/>
      <c r="N317" s="2"/>
    </row>
    <row r="318" spans="1:15" hidden="1" outlineLevel="1" x14ac:dyDescent="0.2">
      <c r="B318" s="31" t="s">
        <v>777</v>
      </c>
      <c r="C318" s="15"/>
      <c r="D318" s="266" t="str">
        <f>+B318</f>
        <v>Feedstock</v>
      </c>
      <c r="F318" s="48"/>
      <c r="G318" s="224"/>
      <c r="H318" s="2"/>
      <c r="I318" s="2"/>
      <c r="J318" s="2"/>
      <c r="K318" s="2"/>
      <c r="L318" s="2"/>
      <c r="M318" s="2"/>
      <c r="N318" s="2"/>
    </row>
    <row r="319" spans="1:15" hidden="1" outlineLevel="1" x14ac:dyDescent="0.2">
      <c r="B319" t="str">
        <f t="shared" ref="B319:B320" si="165">+D319&amp;E319&amp;F319&amp;G319</f>
        <v>GlobalFeedstockConversion HTL blend grade : HTL VLSFO blendTon feedstock / ton fuel</v>
      </c>
      <c r="D319" t="s">
        <v>109</v>
      </c>
      <c r="E319" t="s">
        <v>777</v>
      </c>
      <c r="F319" s="48" t="s">
        <v>1325</v>
      </c>
      <c r="G319" s="224" t="s">
        <v>1241</v>
      </c>
      <c r="H319" s="374">
        <v>0.4</v>
      </c>
      <c r="I319" s="374">
        <v>0.4</v>
      </c>
      <c r="J319" s="374">
        <v>0.4</v>
      </c>
      <c r="K319" s="374">
        <v>0.4</v>
      </c>
      <c r="L319" s="374">
        <v>0.4</v>
      </c>
      <c r="M319" s="374">
        <v>0.4</v>
      </c>
      <c r="N319" s="374">
        <v>0.4</v>
      </c>
    </row>
    <row r="320" spans="1:15" hidden="1" outlineLevel="1" x14ac:dyDescent="0.2">
      <c r="B320" t="str">
        <f t="shared" si="165"/>
        <v>GlobalFeedstockConversion VLSFO : HTL VLSFO blendTon feedstock / ton fuel</v>
      </c>
      <c r="D320" t="s">
        <v>109</v>
      </c>
      <c r="E320" t="s">
        <v>777</v>
      </c>
      <c r="F320" s="48" t="s">
        <v>1326</v>
      </c>
      <c r="G320" s="224" t="s">
        <v>1241</v>
      </c>
      <c r="H320" s="374">
        <v>0.6</v>
      </c>
      <c r="I320" s="374">
        <v>0.6</v>
      </c>
      <c r="J320" s="374">
        <v>0.6</v>
      </c>
      <c r="K320" s="374">
        <v>0.6</v>
      </c>
      <c r="L320" s="374">
        <v>0.6</v>
      </c>
      <c r="M320" s="374">
        <v>0.6</v>
      </c>
      <c r="N320" s="374">
        <v>0.6</v>
      </c>
    </row>
    <row r="321" spans="2:15" hidden="1" outlineLevel="1" x14ac:dyDescent="0.2">
      <c r="B321" t="str">
        <f>+D321&amp;E321&amp;F321&amp;G321</f>
        <v>GlobalFeedstockDry wood biomass market share HTL blend%</v>
      </c>
      <c r="D321" t="s">
        <v>109</v>
      </c>
      <c r="E321" t="s">
        <v>777</v>
      </c>
      <c r="F321" t="s">
        <v>1335</v>
      </c>
      <c r="G321" t="s">
        <v>178</v>
      </c>
      <c r="H321" s="352">
        <v>0.5</v>
      </c>
      <c r="I321" s="352">
        <v>0.5</v>
      </c>
      <c r="J321" s="352">
        <v>0.5</v>
      </c>
      <c r="K321" s="352">
        <v>0.5</v>
      </c>
      <c r="L321" s="352">
        <v>0.5</v>
      </c>
      <c r="M321" s="352">
        <v>0.5</v>
      </c>
      <c r="N321" s="352">
        <v>0.5</v>
      </c>
      <c r="O321" s="15"/>
    </row>
    <row r="322" spans="2:15" hidden="1" outlineLevel="1" x14ac:dyDescent="0.2">
      <c r="B322" t="str">
        <f>+D322&amp;E322&amp;F322&amp;G322</f>
        <v>GlobalFeedstockOrganic wet waste market share HTL blend%</v>
      </c>
      <c r="D322" t="s">
        <v>109</v>
      </c>
      <c r="E322" t="s">
        <v>777</v>
      </c>
      <c r="F322" t="s">
        <v>1336</v>
      </c>
      <c r="G322" t="s">
        <v>178</v>
      </c>
      <c r="H322" s="352">
        <v>0.5</v>
      </c>
      <c r="I322" s="352">
        <v>0.5</v>
      </c>
      <c r="J322" s="352">
        <v>0.5</v>
      </c>
      <c r="K322" s="352">
        <v>0.5</v>
      </c>
      <c r="L322" s="352">
        <v>0.5</v>
      </c>
      <c r="M322" s="352">
        <v>0.5</v>
      </c>
      <c r="N322" s="352">
        <v>0.5</v>
      </c>
      <c r="O322" s="15"/>
    </row>
    <row r="323" spans="2:15" hidden="1" outlineLevel="1" x14ac:dyDescent="0.2">
      <c r="B323" t="str">
        <f>+D323&amp;E323&amp;F323&amp;G323</f>
        <v>GlobalFeedstockConversion Dry Wood biomass : HTL blend gradeTon feedstock / ton fuel</v>
      </c>
      <c r="D323" t="s">
        <v>109</v>
      </c>
      <c r="E323" t="s">
        <v>777</v>
      </c>
      <c r="F323" s="48" t="s">
        <v>1338</v>
      </c>
      <c r="G323" s="224" t="s">
        <v>1241</v>
      </c>
      <c r="H323" s="374">
        <v>2.8855296529207779</v>
      </c>
      <c r="I323" s="374">
        <v>2.8855296529207779</v>
      </c>
      <c r="J323" s="374">
        <v>2.8855296529207779</v>
      </c>
      <c r="K323" s="374">
        <v>2.8855296529207779</v>
      </c>
      <c r="L323" s="374">
        <v>2.8855296529207779</v>
      </c>
      <c r="M323" s="374">
        <v>2.8855296529207779</v>
      </c>
      <c r="N323" s="374">
        <v>2.8855296529207779</v>
      </c>
    </row>
    <row r="324" spans="2:15" hidden="1" outlineLevel="1" x14ac:dyDescent="0.2">
      <c r="B324" t="str">
        <f>+D324&amp;E324&amp;F324&amp;G324</f>
        <v>GlobalFeedstockConversion Organic wet waste : HTL blend gradeTon feedstock / ton fuel</v>
      </c>
      <c r="D324" t="s">
        <v>109</v>
      </c>
      <c r="E324" t="s">
        <v>777</v>
      </c>
      <c r="F324" t="s">
        <v>1337</v>
      </c>
      <c r="G324" s="224" t="s">
        <v>1241</v>
      </c>
      <c r="H324" s="623">
        <v>3.0916389138436906</v>
      </c>
      <c r="I324" s="623">
        <v>3.0916389138436906</v>
      </c>
      <c r="J324" s="624">
        <v>3.0916389138436906</v>
      </c>
      <c r="K324" s="624">
        <v>3.0916389138436906</v>
      </c>
      <c r="L324" s="624">
        <v>3.0916389138436906</v>
      </c>
      <c r="M324" s="624">
        <v>3.0916389138436906</v>
      </c>
      <c r="N324" s="623">
        <v>3.0916389138436906</v>
      </c>
    </row>
    <row r="325" spans="2:15" ht="13.5" collapsed="1" thickBot="1" x14ac:dyDescent="0.25"/>
    <row r="326" spans="2:15" ht="13.5" thickBot="1" x14ac:dyDescent="0.25">
      <c r="B326" s="618" t="s">
        <v>123</v>
      </c>
      <c r="C326" s="577"/>
      <c r="D326" s="619" t="str">
        <f>+B326</f>
        <v>Biodiesel (Pyr)</v>
      </c>
      <c r="E326" s="620"/>
      <c r="F326" s="620"/>
      <c r="G326" s="620"/>
      <c r="H326" s="621">
        <f>+H$3</f>
        <v>2020</v>
      </c>
      <c r="I326" s="621">
        <f t="shared" ref="I326:N326" si="166">+I$3</f>
        <v>2025</v>
      </c>
      <c r="J326" s="621">
        <f t="shared" si="166"/>
        <v>2030</v>
      </c>
      <c r="K326" s="621">
        <f t="shared" si="166"/>
        <v>2035</v>
      </c>
      <c r="L326" s="621">
        <f t="shared" si="166"/>
        <v>2040</v>
      </c>
      <c r="M326" s="621">
        <f t="shared" si="166"/>
        <v>2045</v>
      </c>
      <c r="N326" s="622">
        <f t="shared" si="166"/>
        <v>2050</v>
      </c>
    </row>
    <row r="327" spans="2:15" hidden="1" outlineLevel="1" x14ac:dyDescent="0.2">
      <c r="B327" t="str">
        <f t="shared" ref="B327:B336" si="167">+D327&amp;E327&amp;F327&amp;G327</f>
        <v>GlobalOPEXFP plant opexPercent of Capex</v>
      </c>
      <c r="D327" t="s">
        <v>109</v>
      </c>
      <c r="E327" t="s">
        <v>319</v>
      </c>
      <c r="F327" s="48" t="s">
        <v>1352</v>
      </c>
      <c r="G327" s="224" t="s">
        <v>883</v>
      </c>
      <c r="H327" s="352">
        <v>3.9335024958665324E-2</v>
      </c>
      <c r="I327" s="9">
        <f>H327</f>
        <v>3.9335024958665324E-2</v>
      </c>
      <c r="J327" s="9">
        <f t="shared" ref="J327:N327" si="168">I327</f>
        <v>3.9335024958665324E-2</v>
      </c>
      <c r="K327" s="9">
        <f t="shared" si="168"/>
        <v>3.9335024958665324E-2</v>
      </c>
      <c r="L327" s="9">
        <f t="shared" si="168"/>
        <v>3.9335024958665324E-2</v>
      </c>
      <c r="M327" s="9">
        <f t="shared" si="168"/>
        <v>3.9335024958665324E-2</v>
      </c>
      <c r="N327" s="9">
        <f t="shared" si="168"/>
        <v>3.9335024958665324E-2</v>
      </c>
    </row>
    <row r="328" spans="2:15" hidden="1" outlineLevel="1" x14ac:dyDescent="0.2">
      <c r="B328" t="str">
        <f t="shared" si="167"/>
        <v>GlobalFeedstockFP plant electricity demandMWh/ton fuel</v>
      </c>
      <c r="D328" t="s">
        <v>109</v>
      </c>
      <c r="E328" t="s">
        <v>777</v>
      </c>
      <c r="F328" s="48" t="s">
        <v>1355</v>
      </c>
      <c r="G328" s="224" t="s">
        <v>1298</v>
      </c>
      <c r="H328" s="374">
        <v>0.58356415446901266</v>
      </c>
      <c r="I328" s="374">
        <v>0.58356415446901266</v>
      </c>
      <c r="J328" s="374">
        <v>0.58356415446901266</v>
      </c>
      <c r="K328" s="374">
        <v>0.58356415446901266</v>
      </c>
      <c r="L328" s="374">
        <v>0.58356415446901266</v>
      </c>
      <c r="M328" s="374">
        <v>0.58356415446901266</v>
      </c>
      <c r="N328" s="374">
        <v>0.58356415446901266</v>
      </c>
    </row>
    <row r="329" spans="2:15" hidden="1" outlineLevel="1" x14ac:dyDescent="0.2">
      <c r="B329" t="str">
        <f t="shared" si="167"/>
        <v>GlobalCAPEXFP plantUSD/ton FP oil capacity</v>
      </c>
      <c r="D329" t="s">
        <v>109</v>
      </c>
      <c r="E329" t="s">
        <v>50</v>
      </c>
      <c r="F329" s="48" t="s">
        <v>1350</v>
      </c>
      <c r="G329" s="224" t="s">
        <v>1351</v>
      </c>
      <c r="H329" s="357">
        <v>11630</v>
      </c>
      <c r="I329" s="357">
        <v>6978</v>
      </c>
      <c r="J329" s="357">
        <v>2326</v>
      </c>
      <c r="K329" s="357">
        <v>2093.4</v>
      </c>
      <c r="L329" s="357">
        <v>2015.8666666666668</v>
      </c>
      <c r="M329" s="357">
        <v>1938.3333333333337</v>
      </c>
      <c r="N329" s="357">
        <v>1860.8000000000004</v>
      </c>
    </row>
    <row r="330" spans="2:15" hidden="1" outlineLevel="1" x14ac:dyDescent="0.2">
      <c r="B330" s="15" t="str">
        <f t="shared" ref="B330" si="169">+D330&amp;E330&amp;F330&amp;G330</f>
        <v>GlobalCO2intensityFP oil carbon%%</v>
      </c>
      <c r="C330" s="15"/>
      <c r="D330" t="s">
        <v>109</v>
      </c>
      <c r="E330" t="s">
        <v>927</v>
      </c>
      <c r="F330" s="48" t="s">
        <v>1443</v>
      </c>
      <c r="G330" s="224" t="s">
        <v>178</v>
      </c>
      <c r="H330" s="352">
        <v>0.82800000000000007</v>
      </c>
      <c r="I330" s="9">
        <f t="shared" ref="I330:N330" si="170">H330</f>
        <v>0.82800000000000007</v>
      </c>
      <c r="J330" s="9">
        <f t="shared" si="170"/>
        <v>0.82800000000000007</v>
      </c>
      <c r="K330" s="9">
        <f t="shared" si="170"/>
        <v>0.82800000000000007</v>
      </c>
      <c r="L330" s="9">
        <f t="shared" si="170"/>
        <v>0.82800000000000007</v>
      </c>
      <c r="M330" s="9">
        <f t="shared" si="170"/>
        <v>0.82800000000000007</v>
      </c>
      <c r="N330" s="9">
        <f t="shared" si="170"/>
        <v>0.82800000000000007</v>
      </c>
    </row>
    <row r="331" spans="2:15" hidden="1" outlineLevel="1" x14ac:dyDescent="0.2">
      <c r="B331" s="15" t="str">
        <f t="shared" si="167"/>
        <v>GlobalCO2intensityFP processtonCO2eq/ton FP oil</v>
      </c>
      <c r="C331" s="15"/>
      <c r="D331" t="s">
        <v>109</v>
      </c>
      <c r="E331" t="s">
        <v>927</v>
      </c>
      <c r="F331" s="48" t="s">
        <v>1368</v>
      </c>
      <c r="G331" s="224" t="s">
        <v>1369</v>
      </c>
      <c r="H331" s="374">
        <v>0</v>
      </c>
      <c r="I331" s="2">
        <f t="shared" ref="I331:N331" si="171">H331</f>
        <v>0</v>
      </c>
      <c r="J331" s="2">
        <f t="shared" si="171"/>
        <v>0</v>
      </c>
      <c r="K331" s="2">
        <f t="shared" si="171"/>
        <v>0</v>
      </c>
      <c r="L331" s="2">
        <f t="shared" si="171"/>
        <v>0</v>
      </c>
      <c r="M331" s="2">
        <f t="shared" si="171"/>
        <v>0</v>
      </c>
      <c r="N331" s="2">
        <f t="shared" si="171"/>
        <v>0</v>
      </c>
    </row>
    <row r="332" spans="2:15" hidden="1" outlineLevel="1" x14ac:dyDescent="0.2">
      <c r="B332" t="str">
        <f>+D332&amp;E332&amp;F332&amp;G332</f>
        <v>GlobalFeedstockFP hydrogen fraction - Grey%</v>
      </c>
      <c r="D332" t="s">
        <v>109</v>
      </c>
      <c r="E332" t="s">
        <v>777</v>
      </c>
      <c r="F332" s="48" t="s">
        <v>1357</v>
      </c>
      <c r="G332" t="s">
        <v>178</v>
      </c>
      <c r="H332" s="352">
        <v>1</v>
      </c>
      <c r="I332" s="352">
        <v>0.7</v>
      </c>
      <c r="J332" s="352">
        <v>0.5</v>
      </c>
      <c r="K332" s="352">
        <v>0</v>
      </c>
      <c r="L332" s="352">
        <v>0</v>
      </c>
      <c r="M332" s="352">
        <v>0</v>
      </c>
      <c r="N332" s="352">
        <v>0</v>
      </c>
    </row>
    <row r="333" spans="2:15" hidden="1" outlineLevel="1" x14ac:dyDescent="0.2">
      <c r="B333" t="str">
        <f>+D333&amp;E333&amp;F333&amp;G333</f>
        <v>GlobalFeedstockFP hydrogen fraction - Blue%</v>
      </c>
      <c r="D333" t="s">
        <v>109</v>
      </c>
      <c r="E333" t="s">
        <v>777</v>
      </c>
      <c r="F333" s="48" t="s">
        <v>1358</v>
      </c>
      <c r="G333" t="s">
        <v>178</v>
      </c>
      <c r="H333" s="352">
        <v>0</v>
      </c>
      <c r="I333" s="352">
        <v>0.3</v>
      </c>
      <c r="J333" s="352">
        <v>0.5</v>
      </c>
      <c r="K333" s="352">
        <v>1</v>
      </c>
      <c r="L333" s="352">
        <v>0.9</v>
      </c>
      <c r="M333" s="352">
        <v>0.7</v>
      </c>
      <c r="N333" s="352">
        <v>0.2</v>
      </c>
      <c r="O333" s="15"/>
    </row>
    <row r="334" spans="2:15" hidden="1" outlineLevel="1" x14ac:dyDescent="0.2">
      <c r="B334" t="str">
        <f>+D334&amp;E334&amp;F334&amp;G334</f>
        <v>GlobalFeedstockFP hydrogen fraction - Green%</v>
      </c>
      <c r="D334" t="s">
        <v>109</v>
      </c>
      <c r="E334" t="s">
        <v>777</v>
      </c>
      <c r="F334" s="48" t="s">
        <v>1359</v>
      </c>
      <c r="G334" t="s">
        <v>178</v>
      </c>
      <c r="H334" s="352">
        <v>0</v>
      </c>
      <c r="I334" s="352">
        <v>0</v>
      </c>
      <c r="J334" s="352">
        <v>0</v>
      </c>
      <c r="K334" s="352">
        <v>0</v>
      </c>
      <c r="L334" s="352">
        <v>0.1</v>
      </c>
      <c r="M334" s="352">
        <v>0.3</v>
      </c>
      <c r="N334" s="352">
        <v>0.8</v>
      </c>
      <c r="O334" s="15"/>
    </row>
    <row r="335" spans="2:15" hidden="1" outlineLevel="1" x14ac:dyDescent="0.2">
      <c r="B335" t="str">
        <f t="shared" ref="B335" si="172">+D335&amp;E335&amp;F335&amp;G335</f>
        <v>GlobalFeedstockConversion Hydrogen : FP oilTon feedstock / ton fuel</v>
      </c>
      <c r="D335" t="s">
        <v>109</v>
      </c>
      <c r="E335" t="s">
        <v>777</v>
      </c>
      <c r="F335" s="48" t="s">
        <v>1356</v>
      </c>
      <c r="G335" s="224" t="s">
        <v>1241</v>
      </c>
      <c r="H335" s="374">
        <v>0.13</v>
      </c>
      <c r="I335" s="374">
        <v>0.13</v>
      </c>
      <c r="J335" s="374">
        <v>0.13</v>
      </c>
      <c r="K335" s="374">
        <v>0.13</v>
      </c>
      <c r="L335" s="374">
        <v>0.13</v>
      </c>
      <c r="M335" s="374">
        <v>0.13</v>
      </c>
      <c r="N335" s="374">
        <v>0.13</v>
      </c>
    </row>
    <row r="336" spans="2:15" hidden="1" outlineLevel="1" x14ac:dyDescent="0.2">
      <c r="B336" t="str">
        <f t="shared" si="167"/>
        <v>GlobalFeedstockConversion Dry Wood biomass : FP oilTon feedstock / ton fuel</v>
      </c>
      <c r="D336" t="s">
        <v>109</v>
      </c>
      <c r="E336" t="s">
        <v>777</v>
      </c>
      <c r="F336" s="48" t="s">
        <v>1361</v>
      </c>
      <c r="G336" s="224" t="s">
        <v>1241</v>
      </c>
      <c r="H336" s="374">
        <v>3.9398113559955168</v>
      </c>
      <c r="I336" s="374">
        <v>3.9398113559955168</v>
      </c>
      <c r="J336" s="374">
        <v>3.9398113559955168</v>
      </c>
      <c r="K336" s="374">
        <v>3.9398113559955168</v>
      </c>
      <c r="L336" s="374">
        <v>3.9398113559955168</v>
      </c>
      <c r="M336" s="374">
        <v>3.9398113559955168</v>
      </c>
      <c r="N336" s="374">
        <v>3.9398113559955168</v>
      </c>
    </row>
    <row r="337" spans="2:14" ht="13.5" collapsed="1" thickBot="1" x14ac:dyDescent="0.25"/>
    <row r="338" spans="2:14" ht="13.5" thickBot="1" x14ac:dyDescent="0.25">
      <c r="B338" s="618" t="s">
        <v>596</v>
      </c>
      <c r="C338" s="577"/>
      <c r="D338" s="619" t="str">
        <f>+B338</f>
        <v>Biodiesel (Pyr blend)</v>
      </c>
      <c r="E338" s="620"/>
      <c r="F338" s="620"/>
      <c r="G338" s="620"/>
      <c r="H338" s="621">
        <f>+H$3</f>
        <v>2020</v>
      </c>
      <c r="I338" s="621">
        <f t="shared" ref="I338:N338" si="173">+I$3</f>
        <v>2025</v>
      </c>
      <c r="J338" s="621">
        <f t="shared" si="173"/>
        <v>2030</v>
      </c>
      <c r="K338" s="621">
        <f t="shared" si="173"/>
        <v>2035</v>
      </c>
      <c r="L338" s="621">
        <f t="shared" si="173"/>
        <v>2040</v>
      </c>
      <c r="M338" s="621">
        <f t="shared" si="173"/>
        <v>2045</v>
      </c>
      <c r="N338" s="622">
        <f t="shared" si="173"/>
        <v>2050</v>
      </c>
    </row>
    <row r="339" spans="2:14" hidden="1" outlineLevel="1" x14ac:dyDescent="0.2">
      <c r="B339" t="str">
        <f t="shared" ref="B339:B346" si="174">+D339&amp;E339&amp;F339&amp;G339</f>
        <v>GlobalOPEXFP blend grade plant opexUSD/ton FP VLSFO blend</v>
      </c>
      <c r="D339" t="s">
        <v>109</v>
      </c>
      <c r="E339" t="s">
        <v>319</v>
      </c>
      <c r="F339" s="48" t="s">
        <v>1385</v>
      </c>
      <c r="G339" s="224" t="s">
        <v>1386</v>
      </c>
      <c r="H339" s="352">
        <v>3.1844150746630516E-2</v>
      </c>
      <c r="I339" s="9">
        <f>H339</f>
        <v>3.1844150746630516E-2</v>
      </c>
      <c r="J339" s="9">
        <f t="shared" ref="J339:N339" si="175">I339</f>
        <v>3.1844150746630516E-2</v>
      </c>
      <c r="K339" s="9">
        <f t="shared" si="175"/>
        <v>3.1844150746630516E-2</v>
      </c>
      <c r="L339" s="9">
        <f t="shared" si="175"/>
        <v>3.1844150746630516E-2</v>
      </c>
      <c r="M339" s="9">
        <f t="shared" si="175"/>
        <v>3.1844150746630516E-2</v>
      </c>
      <c r="N339" s="9">
        <f t="shared" si="175"/>
        <v>3.1844150746630516E-2</v>
      </c>
    </row>
    <row r="340" spans="2:14" hidden="1" outlineLevel="1" x14ac:dyDescent="0.2">
      <c r="B340" t="str">
        <f t="shared" si="174"/>
        <v>GlobalFeedstockFP blend grade plant electricity demandMWh/ton fuel</v>
      </c>
      <c r="D340" t="s">
        <v>109</v>
      </c>
      <c r="E340" t="s">
        <v>777</v>
      </c>
      <c r="F340" s="48" t="s">
        <v>1367</v>
      </c>
      <c r="G340" s="224" t="s">
        <v>1298</v>
      </c>
      <c r="H340" s="374">
        <v>5.1081730769230768E-2</v>
      </c>
      <c r="I340" s="374">
        <v>5.1081730769230768E-2</v>
      </c>
      <c r="J340" s="374">
        <v>5.1081730769230768E-2</v>
      </c>
      <c r="K340" s="374">
        <v>5.1081730769230768E-2</v>
      </c>
      <c r="L340" s="374">
        <v>5.1081730769230768E-2</v>
      </c>
      <c r="M340" s="374">
        <v>5.1081730769230768E-2</v>
      </c>
      <c r="N340" s="374">
        <v>5.1081730769230768E-2</v>
      </c>
    </row>
    <row r="341" spans="2:14" hidden="1" outlineLevel="1" x14ac:dyDescent="0.2">
      <c r="B341" t="str">
        <f t="shared" si="174"/>
        <v>GlobalCAPEXFP blend grade plantUSD/ton FP VLSFO blend capacity</v>
      </c>
      <c r="D341" t="s">
        <v>109</v>
      </c>
      <c r="E341" t="s">
        <v>50</v>
      </c>
      <c r="F341" s="48" t="s">
        <v>1383</v>
      </c>
      <c r="G341" s="224" t="s">
        <v>1384</v>
      </c>
      <c r="H341" s="357">
        <v>4576.9202686915887</v>
      </c>
      <c r="I341" s="357">
        <v>2746.1521612149536</v>
      </c>
      <c r="J341" s="357">
        <v>915.38405373831779</v>
      </c>
      <c r="K341" s="357">
        <v>823.84564836448612</v>
      </c>
      <c r="L341" s="357">
        <v>793.33284657320883</v>
      </c>
      <c r="M341" s="357">
        <v>762.82004478193153</v>
      </c>
      <c r="N341" s="357">
        <v>732.30724299065434</v>
      </c>
    </row>
    <row r="342" spans="2:14" hidden="1" outlineLevel="1" x14ac:dyDescent="0.2">
      <c r="B342" s="15" t="str">
        <f t="shared" si="174"/>
        <v>GlobalCO2intensityFP blend oil carbon%%</v>
      </c>
      <c r="C342" s="15"/>
      <c r="D342" t="s">
        <v>109</v>
      </c>
      <c r="E342" t="s">
        <v>927</v>
      </c>
      <c r="F342" s="48" t="s">
        <v>1444</v>
      </c>
      <c r="G342" s="224" t="s">
        <v>178</v>
      </c>
      <c r="H342" s="352">
        <v>0.505</v>
      </c>
      <c r="I342" s="9">
        <f t="shared" ref="I342:N342" si="176">H342</f>
        <v>0.505</v>
      </c>
      <c r="J342" s="9">
        <f t="shared" si="176"/>
        <v>0.505</v>
      </c>
      <c r="K342" s="9">
        <f t="shared" si="176"/>
        <v>0.505</v>
      </c>
      <c r="L342" s="9">
        <f t="shared" si="176"/>
        <v>0.505</v>
      </c>
      <c r="M342" s="9">
        <f t="shared" si="176"/>
        <v>0.505</v>
      </c>
      <c r="N342" s="9">
        <f t="shared" si="176"/>
        <v>0.505</v>
      </c>
    </row>
    <row r="343" spans="2:14" hidden="1" outlineLevel="1" x14ac:dyDescent="0.2">
      <c r="B343" s="15" t="str">
        <f t="shared" si="174"/>
        <v>GlobalCO2intensityFP processtonCO2eq/ton FP oil</v>
      </c>
      <c r="C343" s="15"/>
      <c r="D343" t="s">
        <v>109</v>
      </c>
      <c r="E343" t="s">
        <v>927</v>
      </c>
      <c r="F343" s="48" t="s">
        <v>1368</v>
      </c>
      <c r="G343" s="224" t="s">
        <v>1369</v>
      </c>
      <c r="H343" s="374">
        <v>0</v>
      </c>
      <c r="I343" s="2">
        <f t="shared" ref="I343:N343" si="177">H343</f>
        <v>0</v>
      </c>
      <c r="J343" s="2">
        <f t="shared" si="177"/>
        <v>0</v>
      </c>
      <c r="K343" s="2">
        <f t="shared" si="177"/>
        <v>0</v>
      </c>
      <c r="L343" s="2">
        <f t="shared" si="177"/>
        <v>0</v>
      </c>
      <c r="M343" s="2">
        <f t="shared" si="177"/>
        <v>0</v>
      </c>
      <c r="N343" s="2">
        <f t="shared" si="177"/>
        <v>0</v>
      </c>
    </row>
    <row r="344" spans="2:14" hidden="1" outlineLevel="1" x14ac:dyDescent="0.2">
      <c r="B344" t="str">
        <f t="shared" si="174"/>
        <v>GlobalFeedstockConversion FP blend grade : FP VLSFO blendTon feedstock / ton fuel</v>
      </c>
      <c r="D344" t="s">
        <v>109</v>
      </c>
      <c r="E344" t="s">
        <v>777</v>
      </c>
      <c r="F344" s="48" t="s">
        <v>1378</v>
      </c>
      <c r="G344" s="224" t="s">
        <v>1241</v>
      </c>
      <c r="H344" s="374">
        <v>0.3</v>
      </c>
      <c r="I344" s="374">
        <v>0.3</v>
      </c>
      <c r="J344" s="374">
        <v>0.3</v>
      </c>
      <c r="K344" s="374">
        <v>0.3</v>
      </c>
      <c r="L344" s="374">
        <v>0.3</v>
      </c>
      <c r="M344" s="374">
        <v>0.3</v>
      </c>
      <c r="N344" s="374">
        <v>0.3</v>
      </c>
    </row>
    <row r="345" spans="2:14" hidden="1" outlineLevel="1" x14ac:dyDescent="0.2">
      <c r="B345" t="str">
        <f t="shared" ref="B345" si="178">+D345&amp;E345&amp;F345&amp;G345</f>
        <v>GlobalFeedstockConversion VLSFO : FP VLSFO blendTon feedstock / ton fuel</v>
      </c>
      <c r="D345" t="s">
        <v>109</v>
      </c>
      <c r="E345" t="s">
        <v>777</v>
      </c>
      <c r="F345" s="48" t="s">
        <v>1379</v>
      </c>
      <c r="G345" s="224" t="s">
        <v>1241</v>
      </c>
      <c r="H345" s="374">
        <v>0.7</v>
      </c>
      <c r="I345" s="374">
        <v>0.7</v>
      </c>
      <c r="J345" s="374">
        <v>0.7</v>
      </c>
      <c r="K345" s="374">
        <v>0.7</v>
      </c>
      <c r="L345" s="374">
        <v>0.7</v>
      </c>
      <c r="M345" s="374">
        <v>0.7</v>
      </c>
      <c r="N345" s="374">
        <v>0.7</v>
      </c>
    </row>
    <row r="346" spans="2:14" hidden="1" outlineLevel="1" x14ac:dyDescent="0.2">
      <c r="B346" t="str">
        <f t="shared" si="174"/>
        <v>GlobalFeedstockConversion Dry Wood biomass : FP VLSFO blendTon feedstock / ton fuel</v>
      </c>
      <c r="D346" t="s">
        <v>109</v>
      </c>
      <c r="E346" t="s">
        <v>777</v>
      </c>
      <c r="F346" s="48" t="s">
        <v>1388</v>
      </c>
      <c r="G346" s="224" t="s">
        <v>1241</v>
      </c>
      <c r="H346" s="374">
        <v>1.8938092198929746</v>
      </c>
      <c r="I346" s="374">
        <v>1.8938092198929746</v>
      </c>
      <c r="J346" s="374">
        <v>1.8938092198929746</v>
      </c>
      <c r="K346" s="374">
        <v>1.8938092198929746</v>
      </c>
      <c r="L346" s="374">
        <v>1.8938092198929746</v>
      </c>
      <c r="M346" s="374">
        <v>1.8938092198929746</v>
      </c>
      <c r="N346" s="374">
        <v>1.8938092198929746</v>
      </c>
    </row>
    <row r="347" spans="2:14" ht="13.5" collapsed="1" thickBot="1" x14ac:dyDescent="0.25"/>
    <row r="348" spans="2:14" ht="13.5" thickBot="1" x14ac:dyDescent="0.25">
      <c r="B348" s="618" t="s">
        <v>586</v>
      </c>
      <c r="C348" s="577"/>
      <c r="D348" s="619" t="str">
        <f>+B348</f>
        <v>Biomethanol</v>
      </c>
      <c r="E348" s="620"/>
      <c r="F348" s="620"/>
      <c r="G348" s="620"/>
      <c r="H348" s="621">
        <f>+H$3</f>
        <v>2020</v>
      </c>
      <c r="I348" s="621">
        <f t="shared" ref="I348:N348" si="179">+I$3</f>
        <v>2025</v>
      </c>
      <c r="J348" s="621">
        <f t="shared" si="179"/>
        <v>2030</v>
      </c>
      <c r="K348" s="621">
        <f t="shared" si="179"/>
        <v>2035</v>
      </c>
      <c r="L348" s="621">
        <f t="shared" si="179"/>
        <v>2040</v>
      </c>
      <c r="M348" s="621">
        <f t="shared" si="179"/>
        <v>2045</v>
      </c>
      <c r="N348" s="622">
        <f t="shared" si="179"/>
        <v>2050</v>
      </c>
    </row>
    <row r="349" spans="2:14" hidden="1" outlineLevel="1" x14ac:dyDescent="0.2">
      <c r="B349" t="str">
        <f>+D349&amp;E349&amp;F349&amp;G349</f>
        <v>GlobalCAPEXBioMethanol plantUSD/ton BioMethanol capacity</v>
      </c>
      <c r="D349" t="s">
        <v>109</v>
      </c>
      <c r="E349" t="s">
        <v>50</v>
      </c>
      <c r="F349" t="s">
        <v>1230</v>
      </c>
      <c r="G349" t="s">
        <v>1231</v>
      </c>
      <c r="H349" s="357">
        <v>5400</v>
      </c>
      <c r="I349" s="357">
        <v>3400</v>
      </c>
      <c r="J349" s="357">
        <v>2650</v>
      </c>
      <c r="K349" s="8">
        <f>AVERAGE(J349,L349)</f>
        <v>2325</v>
      </c>
      <c r="L349" s="357">
        <v>2000</v>
      </c>
      <c r="M349" s="8">
        <f>AVERAGE(L349,N349)</f>
        <v>1800</v>
      </c>
      <c r="N349" s="357">
        <v>1600</v>
      </c>
    </row>
    <row r="350" spans="2:14" hidden="1" outlineLevel="1" x14ac:dyDescent="0.2">
      <c r="B350" t="str">
        <f>+D350&amp;E350&amp;F350&amp;G350</f>
        <v>GlobalOPEXBioMethanol plant OPEXUSD/ton BioMethanol</v>
      </c>
      <c r="D350" t="s">
        <v>109</v>
      </c>
      <c r="E350" t="s">
        <v>319</v>
      </c>
      <c r="F350" t="s">
        <v>1232</v>
      </c>
      <c r="G350" t="s">
        <v>1233</v>
      </c>
      <c r="H350" s="351">
        <f>6%*H349</f>
        <v>324</v>
      </c>
      <c r="I350" s="351">
        <f t="shared" ref="I350:N350" si="180">6%*I349</f>
        <v>204</v>
      </c>
      <c r="J350" s="351">
        <f t="shared" si="180"/>
        <v>159</v>
      </c>
      <c r="K350" s="351">
        <f t="shared" si="180"/>
        <v>139.5</v>
      </c>
      <c r="L350" s="351">
        <f t="shared" si="180"/>
        <v>120</v>
      </c>
      <c r="M350" s="351">
        <f t="shared" si="180"/>
        <v>108</v>
      </c>
      <c r="N350" s="351">
        <f t="shared" si="180"/>
        <v>96</v>
      </c>
    </row>
    <row r="351" spans="2:14" hidden="1" outlineLevel="1" x14ac:dyDescent="0.2">
      <c r="B351" t="str">
        <f>+D351&amp;E351&amp;F351&amp;G351</f>
        <v>GlobalCO2intensityBiomethanol processtonCO2eq/ ton Biomethanol</v>
      </c>
      <c r="D351" t="s">
        <v>109</v>
      </c>
      <c r="E351" t="s">
        <v>927</v>
      </c>
      <c r="F351" s="48" t="s">
        <v>1249</v>
      </c>
      <c r="G351" s="224" t="s">
        <v>1250</v>
      </c>
      <c r="H351" s="374">
        <v>0</v>
      </c>
      <c r="I351" s="2">
        <f t="shared" ref="I351:N351" si="181">H351</f>
        <v>0</v>
      </c>
      <c r="J351" s="2">
        <f t="shared" si="181"/>
        <v>0</v>
      </c>
      <c r="K351" s="2">
        <f t="shared" si="181"/>
        <v>0</v>
      </c>
      <c r="L351" s="2">
        <f t="shared" si="181"/>
        <v>0</v>
      </c>
      <c r="M351" s="2">
        <f t="shared" si="181"/>
        <v>0</v>
      </c>
      <c r="N351" s="2">
        <f t="shared" si="181"/>
        <v>0</v>
      </c>
    </row>
    <row r="352" spans="2:14" hidden="1" outlineLevel="1" x14ac:dyDescent="0.2">
      <c r="B352" s="15" t="str">
        <f>+D352&amp;E352&amp;F352&amp;G352</f>
        <v>GlobalLHVLHV dry wood BiomassMJ/ ton</v>
      </c>
      <c r="C352" s="15"/>
      <c r="D352" s="15" t="s">
        <v>109</v>
      </c>
      <c r="E352" s="15" t="s">
        <v>582</v>
      </c>
      <c r="F352" s="15" t="s">
        <v>1256</v>
      </c>
      <c r="G352" s="15" t="s">
        <v>583</v>
      </c>
      <c r="H352" s="357">
        <v>21500</v>
      </c>
      <c r="I352" s="8">
        <f>H352</f>
        <v>21500</v>
      </c>
      <c r="J352" s="8">
        <f t="shared" ref="J352:N352" si="182">I352</f>
        <v>21500</v>
      </c>
      <c r="K352" s="8">
        <f t="shared" si="182"/>
        <v>21500</v>
      </c>
      <c r="L352" s="8">
        <f t="shared" si="182"/>
        <v>21500</v>
      </c>
      <c r="M352" s="8">
        <f t="shared" si="182"/>
        <v>21500</v>
      </c>
      <c r="N352" s="8">
        <f t="shared" si="182"/>
        <v>21500</v>
      </c>
    </row>
    <row r="353" spans="2:15" hidden="1" outlineLevel="1" x14ac:dyDescent="0.2">
      <c r="B353" s="15"/>
      <c r="C353" s="15"/>
      <c r="D353" s="15"/>
      <c r="E353" s="15"/>
      <c r="F353" s="15"/>
      <c r="H353" s="8"/>
      <c r="I353" s="8"/>
      <c r="J353" s="8"/>
      <c r="K353" s="8"/>
      <c r="L353" s="8"/>
      <c r="M353" s="8"/>
      <c r="N353" s="8"/>
    </row>
    <row r="354" spans="2:15" hidden="1" outlineLevel="1" x14ac:dyDescent="0.2">
      <c r="B354" s="31" t="s">
        <v>777</v>
      </c>
      <c r="C354" s="15"/>
      <c r="D354" s="31" t="str">
        <f>+B354</f>
        <v>Feedstock</v>
      </c>
      <c r="E354" s="15"/>
      <c r="F354" s="15"/>
      <c r="H354" s="8"/>
      <c r="I354" s="8"/>
      <c r="J354" s="8"/>
      <c r="K354" s="8"/>
      <c r="L354" s="8"/>
      <c r="M354" s="8"/>
      <c r="N354" s="8"/>
    </row>
    <row r="355" spans="2:15" hidden="1" outlineLevel="1" x14ac:dyDescent="0.2">
      <c r="B355" t="str">
        <f>+D355&amp;E355&amp;F355&amp;G355</f>
        <v>GlobalFeedstockBioMethanol plant Electricity demandMwH/ton fuel</v>
      </c>
      <c r="D355" t="s">
        <v>109</v>
      </c>
      <c r="E355" t="s">
        <v>777</v>
      </c>
      <c r="F355" t="s">
        <v>1235</v>
      </c>
      <c r="G355" t="s">
        <v>1236</v>
      </c>
      <c r="H355" s="624">
        <v>0.52617825903163917</v>
      </c>
      <c r="I355" s="624">
        <v>0.52617825903163917</v>
      </c>
      <c r="J355" s="624">
        <v>0.5245442721035346</v>
      </c>
      <c r="K355" s="624">
        <v>0.52291028517543003</v>
      </c>
      <c r="L355" s="624">
        <v>0.52127629824732535</v>
      </c>
      <c r="M355" s="624">
        <v>0.51964231131922078</v>
      </c>
      <c r="N355" s="624">
        <v>0.51800832439111621</v>
      </c>
      <c r="O355" s="15"/>
    </row>
    <row r="356" spans="2:15" hidden="1" outlineLevel="1" x14ac:dyDescent="0.2">
      <c r="B356" t="str">
        <f>+D356&amp;E356&amp;F356&amp;G356</f>
        <v>GlobalFeedstockDry wood biomass market share Biomethanol%</v>
      </c>
      <c r="D356" t="s">
        <v>109</v>
      </c>
      <c r="E356" t="s">
        <v>777</v>
      </c>
      <c r="F356" t="s">
        <v>1238</v>
      </c>
      <c r="G356" t="s">
        <v>178</v>
      </c>
      <c r="H356" s="352">
        <v>0.5</v>
      </c>
      <c r="I356" s="352">
        <v>0.5</v>
      </c>
      <c r="J356" s="352">
        <v>0.5</v>
      </c>
      <c r="K356" s="352">
        <v>0.5</v>
      </c>
      <c r="L356" s="352">
        <v>0.5</v>
      </c>
      <c r="M356" s="352">
        <v>0.5</v>
      </c>
      <c r="N356" s="352">
        <v>0.5</v>
      </c>
      <c r="O356" s="15"/>
    </row>
    <row r="357" spans="2:15" hidden="1" outlineLevel="1" x14ac:dyDescent="0.2">
      <c r="B357" t="str">
        <f>+D357&amp;E357&amp;F357&amp;G357</f>
        <v>GlobalFeedstockOrganic wet wate market share Biomethanol%</v>
      </c>
      <c r="D357" t="s">
        <v>109</v>
      </c>
      <c r="E357" t="s">
        <v>777</v>
      </c>
      <c r="F357" t="s">
        <v>1239</v>
      </c>
      <c r="G357" t="s">
        <v>178</v>
      </c>
      <c r="H357" s="352">
        <v>0.5</v>
      </c>
      <c r="I357" s="352">
        <v>0.5</v>
      </c>
      <c r="J357" s="352">
        <v>0.5</v>
      </c>
      <c r="K357" s="352">
        <v>0.5</v>
      </c>
      <c r="L357" s="352">
        <v>0.5</v>
      </c>
      <c r="M357" s="352">
        <v>0.5</v>
      </c>
      <c r="N357" s="352">
        <v>0.5</v>
      </c>
      <c r="O357" s="15"/>
    </row>
    <row r="358" spans="2:15" hidden="1" outlineLevel="1" x14ac:dyDescent="0.2">
      <c r="B358" t="str">
        <f>+D358&amp;E358&amp;F358&amp;G358</f>
        <v>GlobalFeedstockConversion Dry Wood biomass : BioMethanolTon feedstock / ton fuel</v>
      </c>
      <c r="D358" t="s">
        <v>109</v>
      </c>
      <c r="E358" t="s">
        <v>777</v>
      </c>
      <c r="F358" s="48" t="s">
        <v>1243</v>
      </c>
      <c r="G358" s="224" t="s">
        <v>1241</v>
      </c>
      <c r="H358" s="374">
        <v>2.4198678060787078</v>
      </c>
      <c r="I358" s="374">
        <v>2.4198678060787078</v>
      </c>
      <c r="J358" s="374">
        <v>2.4198678060787078</v>
      </c>
      <c r="K358" s="374">
        <v>2.4198678060787078</v>
      </c>
      <c r="L358" s="374">
        <v>2.4198678060787078</v>
      </c>
      <c r="M358" s="374">
        <v>2.4198678060787078</v>
      </c>
      <c r="N358" s="374">
        <v>2.4198678060787078</v>
      </c>
    </row>
    <row r="359" spans="2:15" hidden="1" outlineLevel="1" x14ac:dyDescent="0.2">
      <c r="B359" t="str">
        <f>+D359&amp;E359&amp;F359&amp;G359</f>
        <v>GlobalFeedstockConversion Organic wet waste : BioMethanolTon feedstock / ton fuel</v>
      </c>
      <c r="D359" t="s">
        <v>109</v>
      </c>
      <c r="E359" t="s">
        <v>777</v>
      </c>
      <c r="F359" s="48" t="s">
        <v>1240</v>
      </c>
      <c r="G359" s="224" t="s">
        <v>1241</v>
      </c>
      <c r="H359" s="374">
        <v>2.4198678060787078</v>
      </c>
      <c r="I359" s="374">
        <v>2.4198678060787078</v>
      </c>
      <c r="J359" s="374">
        <v>2.4198678060787078</v>
      </c>
      <c r="K359" s="374">
        <v>2.4198678060787078</v>
      </c>
      <c r="L359" s="374">
        <v>2.4198678060787078</v>
      </c>
      <c r="M359" s="374">
        <v>2.4198678060787078</v>
      </c>
      <c r="N359" s="374">
        <v>2.4198678060787078</v>
      </c>
    </row>
    <row r="360" spans="2:15" collapsed="1" x14ac:dyDescent="0.2"/>
    <row r="361" spans="2:15" hidden="1" outlineLevel="1" x14ac:dyDescent="0.2">
      <c r="B361" s="15" t="str">
        <f t="shared" ref="B361:B366" si="183">+D361&amp;E361&amp;F361&amp;G361</f>
        <v>GlobalElectricityElectricity demandmWh/ton LEO</v>
      </c>
      <c r="C361" s="15"/>
      <c r="D361" s="15" t="s">
        <v>109</v>
      </c>
      <c r="E361" t="s">
        <v>54</v>
      </c>
      <c r="F361" t="s">
        <v>963</v>
      </c>
      <c r="G361" t="s">
        <v>1445</v>
      </c>
      <c r="H361" s="374">
        <v>0.5</v>
      </c>
      <c r="I361" s="2">
        <f>+H361</f>
        <v>0.5</v>
      </c>
      <c r="J361" s="2">
        <f t="shared" ref="J361:N361" si="184">+I361</f>
        <v>0.5</v>
      </c>
      <c r="K361" s="2">
        <f t="shared" si="184"/>
        <v>0.5</v>
      </c>
      <c r="L361" s="2">
        <f t="shared" si="184"/>
        <v>0.5</v>
      </c>
      <c r="M361" s="2">
        <f t="shared" si="184"/>
        <v>0.5</v>
      </c>
      <c r="N361" s="2">
        <f t="shared" si="184"/>
        <v>0.5</v>
      </c>
    </row>
    <row r="362" spans="2:15" hidden="1" outlineLevel="1" x14ac:dyDescent="0.2">
      <c r="B362" s="15" t="str">
        <f t="shared" si="183"/>
        <v>GlobalLHVLHV LigninMJ/ ton</v>
      </c>
      <c r="C362" s="15"/>
      <c r="D362" s="15" t="s">
        <v>109</v>
      </c>
      <c r="E362" t="s">
        <v>582</v>
      </c>
      <c r="F362" t="s">
        <v>1446</v>
      </c>
      <c r="G362" t="s">
        <v>583</v>
      </c>
      <c r="H362" s="357">
        <v>25000</v>
      </c>
      <c r="I362" s="8">
        <f t="shared" ref="I362:N362" si="185">+H362</f>
        <v>25000</v>
      </c>
      <c r="J362" s="8">
        <f t="shared" si="185"/>
        <v>25000</v>
      </c>
      <c r="K362" s="8">
        <f t="shared" si="185"/>
        <v>25000</v>
      </c>
      <c r="L362" s="8">
        <f t="shared" si="185"/>
        <v>25000</v>
      </c>
      <c r="M362" s="8">
        <f t="shared" si="185"/>
        <v>25000</v>
      </c>
      <c r="N362" s="8">
        <f t="shared" si="185"/>
        <v>25000</v>
      </c>
    </row>
    <row r="363" spans="2:15" hidden="1" outlineLevel="1" x14ac:dyDescent="0.2">
      <c r="B363" s="15" t="str">
        <f t="shared" si="183"/>
        <v>GlobalLHVLHV LEOMJ/ ton</v>
      </c>
      <c r="C363" s="15"/>
      <c r="D363" s="15" t="s">
        <v>109</v>
      </c>
      <c r="E363" t="s">
        <v>582</v>
      </c>
      <c r="F363" t="s">
        <v>1447</v>
      </c>
      <c r="G363" t="s">
        <v>583</v>
      </c>
      <c r="H363" s="357">
        <f>H369*H18+H371*H370*H362</f>
        <v>21430</v>
      </c>
      <c r="I363" s="8">
        <f t="shared" ref="I363:N363" si="186">+H363</f>
        <v>21430</v>
      </c>
      <c r="J363" s="8">
        <f t="shared" si="186"/>
        <v>21430</v>
      </c>
      <c r="K363" s="8">
        <f t="shared" si="186"/>
        <v>21430</v>
      </c>
      <c r="L363" s="8">
        <f t="shared" si="186"/>
        <v>21430</v>
      </c>
      <c r="M363" s="8">
        <f t="shared" si="186"/>
        <v>21430</v>
      </c>
      <c r="N363" s="8">
        <f t="shared" si="186"/>
        <v>21430</v>
      </c>
    </row>
    <row r="364" spans="2:15" hidden="1" outlineLevel="1" x14ac:dyDescent="0.2">
      <c r="B364" s="15" t="str">
        <f t="shared" si="183"/>
        <v>GlobalCO2intensityLignin processtonCO2eq/ ton LEO</v>
      </c>
      <c r="C364" s="15"/>
      <c r="D364" s="15" t="s">
        <v>109</v>
      </c>
      <c r="E364" t="s">
        <v>927</v>
      </c>
      <c r="F364" t="s">
        <v>1448</v>
      </c>
      <c r="G364" t="s">
        <v>1449</v>
      </c>
      <c r="H364" s="374">
        <v>0</v>
      </c>
      <c r="I364" s="2">
        <f t="shared" ref="I364:N364" si="187">+H364</f>
        <v>0</v>
      </c>
      <c r="J364" s="2">
        <f t="shared" si="187"/>
        <v>0</v>
      </c>
      <c r="K364" s="2">
        <f t="shared" si="187"/>
        <v>0</v>
      </c>
      <c r="L364" s="2">
        <f t="shared" si="187"/>
        <v>0</v>
      </c>
      <c r="M364" s="2">
        <f t="shared" si="187"/>
        <v>0</v>
      </c>
      <c r="N364" s="2">
        <f t="shared" si="187"/>
        <v>0</v>
      </c>
    </row>
    <row r="365" spans="2:15" hidden="1" outlineLevel="1" x14ac:dyDescent="0.2">
      <c r="B365" t="str">
        <f t="shared" si="183"/>
        <v>GlobalOpexPlant - LEO - opexPercent of Capex</v>
      </c>
      <c r="D365" t="s">
        <v>109</v>
      </c>
      <c r="E365" t="s">
        <v>219</v>
      </c>
      <c r="F365" s="48" t="s">
        <v>1450</v>
      </c>
      <c r="G365" s="224" t="s">
        <v>883</v>
      </c>
      <c r="H365" s="352">
        <v>0.2</v>
      </c>
      <c r="I365" s="9">
        <f t="shared" ref="I365:N365" si="188">+H365</f>
        <v>0.2</v>
      </c>
      <c r="J365" s="9">
        <f t="shared" si="188"/>
        <v>0.2</v>
      </c>
      <c r="K365" s="9">
        <f t="shared" si="188"/>
        <v>0.2</v>
      </c>
      <c r="L365" s="9">
        <f t="shared" si="188"/>
        <v>0.2</v>
      </c>
      <c r="M365" s="9">
        <f t="shared" si="188"/>
        <v>0.2</v>
      </c>
      <c r="N365" s="9">
        <f t="shared" si="188"/>
        <v>0.2</v>
      </c>
    </row>
    <row r="366" spans="2:15" hidden="1" outlineLevel="1" x14ac:dyDescent="0.2">
      <c r="B366" t="str">
        <f t="shared" si="183"/>
        <v>GlobalCapexPlant - LEO - unit costUSD/ ton LEO cap</v>
      </c>
      <c r="D366" t="s">
        <v>109</v>
      </c>
      <c r="E366" t="s">
        <v>218</v>
      </c>
      <c r="F366" s="48" t="s">
        <v>1451</v>
      </c>
      <c r="G366" s="224" t="s">
        <v>1452</v>
      </c>
      <c r="H366" s="357">
        <v>968</v>
      </c>
      <c r="I366" s="8">
        <f t="shared" ref="I366:N366" si="189">+H366</f>
        <v>968</v>
      </c>
      <c r="J366" s="8">
        <f t="shared" si="189"/>
        <v>968</v>
      </c>
      <c r="K366" s="8">
        <f t="shared" si="189"/>
        <v>968</v>
      </c>
      <c r="L366" s="8">
        <f t="shared" si="189"/>
        <v>968</v>
      </c>
      <c r="M366" s="8">
        <f t="shared" si="189"/>
        <v>968</v>
      </c>
      <c r="N366" s="8">
        <f t="shared" si="189"/>
        <v>968</v>
      </c>
    </row>
    <row r="367" spans="2:15" hidden="1" outlineLevel="1" x14ac:dyDescent="0.2">
      <c r="B367" s="15"/>
      <c r="C367" s="15"/>
      <c r="D367" s="15"/>
      <c r="G367"/>
      <c r="H367" s="8"/>
      <c r="I367" s="8"/>
      <c r="J367" s="8"/>
      <c r="K367" s="8"/>
      <c r="L367" s="8"/>
      <c r="M367" s="8"/>
      <c r="N367" s="8"/>
    </row>
    <row r="368" spans="2:15" hidden="1" outlineLevel="1" x14ac:dyDescent="0.2">
      <c r="B368" s="31" t="s">
        <v>777</v>
      </c>
      <c r="C368" s="15"/>
      <c r="D368" s="31" t="str">
        <f>+B368</f>
        <v>Feedstock</v>
      </c>
      <c r="G368"/>
      <c r="H368" s="8"/>
      <c r="I368" s="8"/>
      <c r="J368" s="8"/>
      <c r="K368" s="8"/>
      <c r="L368" s="8"/>
      <c r="M368" s="8"/>
      <c r="N368" s="8"/>
    </row>
    <row r="369" spans="2:14" hidden="1" outlineLevel="1" x14ac:dyDescent="0.2">
      <c r="B369" t="str">
        <f>+D369&amp;E369&amp;F369&amp;G369</f>
        <v>GlobalFeedstockConversion bioMethanol : LEOTon biomethanol/ ton LEO</v>
      </c>
      <c r="D369" t="s">
        <v>109</v>
      </c>
      <c r="E369" t="s">
        <v>777</v>
      </c>
      <c r="F369" s="48" t="s">
        <v>1453</v>
      </c>
      <c r="G369" s="224" t="s">
        <v>1454</v>
      </c>
      <c r="H369" s="374">
        <v>0.7</v>
      </c>
      <c r="I369" s="2">
        <f t="shared" ref="I369:N369" si="190">+H369</f>
        <v>0.7</v>
      </c>
      <c r="J369" s="2">
        <f t="shared" si="190"/>
        <v>0.7</v>
      </c>
      <c r="K369" s="2">
        <f t="shared" si="190"/>
        <v>0.7</v>
      </c>
      <c r="L369" s="2">
        <f t="shared" si="190"/>
        <v>0.7</v>
      </c>
      <c r="M369" s="2">
        <f t="shared" si="190"/>
        <v>0.7</v>
      </c>
      <c r="N369" s="2">
        <f t="shared" si="190"/>
        <v>0.7</v>
      </c>
    </row>
    <row r="370" spans="2:14" hidden="1" outlineLevel="1" x14ac:dyDescent="0.2">
      <c r="B370" t="str">
        <f>+D370&amp;E370&amp;F370&amp;G370</f>
        <v>GlobalFeedstockProcess Lignin Yield%</v>
      </c>
      <c r="D370" t="s">
        <v>109</v>
      </c>
      <c r="E370" t="s">
        <v>777</v>
      </c>
      <c r="F370" s="48" t="s">
        <v>1455</v>
      </c>
      <c r="G370" s="224" t="s">
        <v>178</v>
      </c>
      <c r="H370" s="352">
        <v>0.7</v>
      </c>
      <c r="I370" s="9">
        <f t="shared" ref="I370:N370" si="191">+H370</f>
        <v>0.7</v>
      </c>
      <c r="J370" s="9">
        <f t="shared" si="191"/>
        <v>0.7</v>
      </c>
      <c r="K370" s="9">
        <f t="shared" si="191"/>
        <v>0.7</v>
      </c>
      <c r="L370" s="9">
        <f t="shared" si="191"/>
        <v>0.7</v>
      </c>
      <c r="M370" s="9">
        <f t="shared" si="191"/>
        <v>0.7</v>
      </c>
      <c r="N370" s="9">
        <f t="shared" si="191"/>
        <v>0.7</v>
      </c>
    </row>
    <row r="371" spans="2:14" hidden="1" outlineLevel="1" x14ac:dyDescent="0.2">
      <c r="B371" t="str">
        <f>+D371&amp;E371&amp;F371&amp;G371</f>
        <v>GlobalFeedstockConversion Lignin : LEOTon lignin/ ton LEO</v>
      </c>
      <c r="D371" t="s">
        <v>109</v>
      </c>
      <c r="E371" t="s">
        <v>777</v>
      </c>
      <c r="F371" s="48" t="s">
        <v>1456</v>
      </c>
      <c r="G371" s="224" t="s">
        <v>1457</v>
      </c>
      <c r="H371" s="2">
        <f>(1-H369)/H370</f>
        <v>0.42857142857142866</v>
      </c>
      <c r="I371" s="2">
        <f t="shared" ref="I371:N371" si="192">+H371</f>
        <v>0.42857142857142866</v>
      </c>
      <c r="J371" s="2">
        <f t="shared" si="192"/>
        <v>0.42857142857142866</v>
      </c>
      <c r="K371" s="2">
        <f t="shared" si="192"/>
        <v>0.42857142857142866</v>
      </c>
      <c r="L371" s="2">
        <f t="shared" si="192"/>
        <v>0.42857142857142866</v>
      </c>
      <c r="M371" s="2">
        <f t="shared" si="192"/>
        <v>0.42857142857142866</v>
      </c>
      <c r="N371" s="2">
        <f t="shared" si="192"/>
        <v>0.42857142857142866</v>
      </c>
    </row>
    <row r="372" spans="2:14" hidden="1" outlineLevel="1" x14ac:dyDescent="0.2">
      <c r="B372" t="str">
        <f>+D372&amp;E372&amp;F372&amp;G372</f>
        <v>GlobalFeedstockLignin Carbon contentwt %</v>
      </c>
      <c r="D372" t="s">
        <v>109</v>
      </c>
      <c r="E372" t="s">
        <v>777</v>
      </c>
      <c r="F372" s="48" t="s">
        <v>1458</v>
      </c>
      <c r="G372" s="224" t="s">
        <v>1459</v>
      </c>
      <c r="H372" s="352">
        <v>0.6</v>
      </c>
      <c r="I372" s="9">
        <f t="shared" ref="I372:N372" si="193">+H372</f>
        <v>0.6</v>
      </c>
      <c r="J372" s="9">
        <f t="shared" si="193"/>
        <v>0.6</v>
      </c>
      <c r="K372" s="9">
        <f t="shared" si="193"/>
        <v>0.6</v>
      </c>
      <c r="L372" s="9">
        <f t="shared" si="193"/>
        <v>0.6</v>
      </c>
      <c r="M372" s="9">
        <f t="shared" si="193"/>
        <v>0.6</v>
      </c>
      <c r="N372" s="9">
        <f t="shared" si="193"/>
        <v>0.6</v>
      </c>
    </row>
    <row r="373" spans="2:14" collapsed="1" x14ac:dyDescent="0.2">
      <c r="F373" s="48"/>
      <c r="G373" s="224"/>
      <c r="H373" s="9"/>
      <c r="I373" s="9"/>
      <c r="J373" s="9"/>
      <c r="K373" s="9"/>
      <c r="L373" s="9"/>
      <c r="M373" s="9"/>
      <c r="N373" s="9"/>
    </row>
  </sheetData>
  <pageMargins left="0.7" right="0.7" top="0.75" bottom="0.75" header="0.3" footer="0.3"/>
  <pageSetup paperSize="9" orientation="portrait" verticalDpi="4294967295" r:id="rId1"/>
  <headerFooter>
    <oddFooter>&amp;C_x000D_&amp;1#&amp;"Calibri"&amp;10&amp;K000000 Business External</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9FB80-ABE6-4EEE-A277-DC28A6977314}">
  <sheetPr codeName="Sheet38">
    <tabColor theme="2"/>
  </sheetPr>
  <dimension ref="A1:W41"/>
  <sheetViews>
    <sheetView showGridLines="0" zoomScale="115" zoomScaleNormal="115" workbookViewId="0"/>
  </sheetViews>
  <sheetFormatPr defaultColWidth="8.85546875" defaultRowHeight="12.75" x14ac:dyDescent="0.2"/>
  <cols>
    <col min="1" max="2" width="2.5703125" style="655" customWidth="1"/>
    <col min="3" max="3" width="20.5703125" customWidth="1"/>
    <col min="4" max="4" width="19.85546875" customWidth="1"/>
    <col min="5" max="5" width="8.140625" customWidth="1"/>
    <col min="6" max="6" width="56.85546875" customWidth="1"/>
    <col min="7" max="7" width="18.42578125" customWidth="1"/>
    <col min="8" max="19" width="10.5703125" customWidth="1"/>
    <col min="27" max="28" width="12.5703125" customWidth="1"/>
  </cols>
  <sheetData>
    <row r="1" spans="1:23" s="28" customFormat="1" ht="38.1" customHeight="1" x14ac:dyDescent="0.2">
      <c r="C1" s="28" t="str" cm="1">
        <f t="array" aca="1" ref="C1" ca="1">MID(CELL("filename",A1),FIND("]",CELL("filename",A1))+1,255)</f>
        <v>Fuel Cost - Oil Deep-dive</v>
      </c>
    </row>
    <row r="2" spans="1:23" s="30" customFormat="1" ht="15" x14ac:dyDescent="0.25">
      <c r="A2" s="654"/>
      <c r="B2" s="654"/>
    </row>
    <row r="3" spans="1:23" ht="15" x14ac:dyDescent="0.25">
      <c r="C3" s="67" t="s">
        <v>49</v>
      </c>
      <c r="D3" s="67" t="s">
        <v>49</v>
      </c>
      <c r="E3" s="67" t="s">
        <v>722</v>
      </c>
      <c r="F3" s="656" t="s">
        <v>1460</v>
      </c>
      <c r="G3" s="67" t="s">
        <v>86</v>
      </c>
      <c r="H3" s="67" t="s">
        <v>464</v>
      </c>
      <c r="I3" s="67"/>
      <c r="J3" s="67"/>
      <c r="K3" s="67"/>
      <c r="L3" s="67"/>
      <c r="M3" s="67"/>
      <c r="N3" s="67"/>
      <c r="O3" s="67"/>
      <c r="P3" s="67"/>
      <c r="Q3" s="67"/>
      <c r="R3" s="67"/>
      <c r="S3" s="67"/>
      <c r="T3" s="67"/>
      <c r="U3" s="67"/>
      <c r="V3" s="67"/>
      <c r="W3" s="67"/>
    </row>
    <row r="4" spans="1:23" ht="15" x14ac:dyDescent="0.25">
      <c r="H4" s="477">
        <v>2020</v>
      </c>
      <c r="I4" s="477">
        <v>2025</v>
      </c>
      <c r="J4" s="477">
        <v>2030</v>
      </c>
      <c r="K4" s="477">
        <v>2035</v>
      </c>
      <c r="L4" s="477">
        <v>2040</v>
      </c>
      <c r="M4" s="477">
        <v>2045</v>
      </c>
      <c r="N4" s="477">
        <v>2050</v>
      </c>
      <c r="O4" s="477">
        <v>2055</v>
      </c>
      <c r="P4" s="477">
        <v>2060</v>
      </c>
      <c r="Q4" s="477">
        <v>2065</v>
      </c>
      <c r="R4" s="477">
        <v>2070</v>
      </c>
      <c r="S4" s="477">
        <v>2075</v>
      </c>
    </row>
    <row r="6" spans="1:23" s="658" customFormat="1" ht="14.25" x14ac:dyDescent="0.2">
      <c r="A6" s="657"/>
      <c r="B6" s="657"/>
      <c r="C6" s="658" t="s">
        <v>1461</v>
      </c>
      <c r="H6" s="659"/>
      <c r="I6" s="659"/>
      <c r="J6" s="659"/>
      <c r="K6" s="659"/>
      <c r="L6" s="659"/>
      <c r="M6" s="659"/>
      <c r="N6" s="659"/>
      <c r="O6" s="659"/>
      <c r="P6" s="659"/>
      <c r="Q6" s="659"/>
      <c r="R6" s="659"/>
      <c r="S6" s="659"/>
      <c r="T6" s="659"/>
      <c r="U6" s="659"/>
      <c r="V6" s="659"/>
      <c r="W6" s="659"/>
    </row>
    <row r="7" spans="1:23" x14ac:dyDescent="0.2">
      <c r="C7" t="s">
        <v>1462</v>
      </c>
    </row>
    <row r="8" spans="1:23" ht="15" x14ac:dyDescent="0.25">
      <c r="C8" s="660" t="s">
        <v>1463</v>
      </c>
    </row>
    <row r="9" spans="1:23" ht="15" x14ac:dyDescent="0.25">
      <c r="C9" s="30" t="s">
        <v>202</v>
      </c>
      <c r="D9" s="95" t="s">
        <v>202</v>
      </c>
      <c r="E9" s="95" t="s">
        <v>109</v>
      </c>
      <c r="F9" s="713" t="s">
        <v>1464</v>
      </c>
      <c r="G9" s="95" t="s">
        <v>203</v>
      </c>
      <c r="H9">
        <v>115</v>
      </c>
      <c r="I9">
        <v>82.5</v>
      </c>
      <c r="J9">
        <v>72</v>
      </c>
      <c r="K9" s="4">
        <f>J9</f>
        <v>72</v>
      </c>
      <c r="L9" s="4">
        <f t="shared" ref="L9:S9" si="0">K9</f>
        <v>72</v>
      </c>
      <c r="M9" s="4">
        <f t="shared" si="0"/>
        <v>72</v>
      </c>
      <c r="N9" s="4">
        <f t="shared" si="0"/>
        <v>72</v>
      </c>
      <c r="O9" s="4">
        <f t="shared" si="0"/>
        <v>72</v>
      </c>
      <c r="P9" s="4">
        <f t="shared" si="0"/>
        <v>72</v>
      </c>
      <c r="Q9" s="4">
        <f t="shared" si="0"/>
        <v>72</v>
      </c>
      <c r="R9" s="4">
        <f t="shared" si="0"/>
        <v>72</v>
      </c>
      <c r="S9" s="4">
        <f t="shared" si="0"/>
        <v>72</v>
      </c>
    </row>
    <row r="10" spans="1:23" ht="14.25" x14ac:dyDescent="0.2">
      <c r="D10" t="s">
        <v>1465</v>
      </c>
      <c r="E10" s="95" t="s">
        <v>109</v>
      </c>
      <c r="F10" t="s">
        <v>1466</v>
      </c>
      <c r="G10" t="s">
        <v>1467</v>
      </c>
      <c r="H10" s="662">
        <f>+$H$39</f>
        <v>7.6931584618157363</v>
      </c>
      <c r="I10" s="662">
        <f>+H10</f>
        <v>7.6931584618157363</v>
      </c>
      <c r="J10" s="662">
        <f t="shared" ref="J10:S10" si="1">+I10</f>
        <v>7.6931584618157363</v>
      </c>
      <c r="K10" s="663">
        <f t="shared" si="1"/>
        <v>7.6931584618157363</v>
      </c>
      <c r="L10" s="663">
        <f t="shared" si="1"/>
        <v>7.6931584618157363</v>
      </c>
      <c r="M10" s="663">
        <f t="shared" si="1"/>
        <v>7.6931584618157363</v>
      </c>
      <c r="N10" s="663">
        <f t="shared" si="1"/>
        <v>7.6931584618157363</v>
      </c>
      <c r="O10" s="663">
        <f t="shared" si="1"/>
        <v>7.6931584618157363</v>
      </c>
      <c r="P10" s="663">
        <f t="shared" si="1"/>
        <v>7.6931584618157363</v>
      </c>
      <c r="Q10" s="663">
        <f t="shared" si="1"/>
        <v>7.6931584618157363</v>
      </c>
      <c r="R10" s="663">
        <f t="shared" si="1"/>
        <v>7.6931584618157363</v>
      </c>
      <c r="S10" s="663">
        <f t="shared" si="1"/>
        <v>7.6931584618157363</v>
      </c>
    </row>
    <row r="11" spans="1:23" ht="15" x14ac:dyDescent="0.25">
      <c r="C11" s="30" t="s">
        <v>117</v>
      </c>
      <c r="D11" t="s">
        <v>117</v>
      </c>
      <c r="E11" s="95" t="s">
        <v>109</v>
      </c>
      <c r="G11" t="s">
        <v>205</v>
      </c>
      <c r="H11" s="95">
        <f t="shared" ref="H11:N11" si="2">+H10*H9</f>
        <v>884.71322310880964</v>
      </c>
      <c r="I11" s="95">
        <f t="shared" si="2"/>
        <v>634.68557309979826</v>
      </c>
      <c r="J11" s="95">
        <f t="shared" si="2"/>
        <v>553.90740925073305</v>
      </c>
      <c r="K11" s="664">
        <f t="shared" si="2"/>
        <v>553.90740925073305</v>
      </c>
      <c r="L11" s="664">
        <f t="shared" si="2"/>
        <v>553.90740925073305</v>
      </c>
      <c r="M11" s="664">
        <f t="shared" si="2"/>
        <v>553.90740925073305</v>
      </c>
      <c r="N11" s="664">
        <f t="shared" si="2"/>
        <v>553.90740925073305</v>
      </c>
      <c r="O11" s="664">
        <f>+N11</f>
        <v>553.90740925073305</v>
      </c>
      <c r="P11" s="664">
        <f>+O11</f>
        <v>553.90740925073305</v>
      </c>
      <c r="Q11" s="664">
        <f>+P11</f>
        <v>553.90740925073305</v>
      </c>
      <c r="R11" s="664">
        <f>+Q11</f>
        <v>553.90740925073305</v>
      </c>
      <c r="S11" s="664">
        <f>+R11</f>
        <v>553.90740925073305</v>
      </c>
      <c r="T11" s="95"/>
      <c r="U11" s="95"/>
      <c r="V11" s="95"/>
      <c r="W11" s="95"/>
    </row>
    <row r="12" spans="1:23" ht="14.25" x14ac:dyDescent="0.2">
      <c r="D12" t="s">
        <v>1468</v>
      </c>
      <c r="E12" s="95" t="s">
        <v>109</v>
      </c>
      <c r="F12" t="s">
        <v>1469</v>
      </c>
      <c r="G12" t="s">
        <v>1467</v>
      </c>
      <c r="H12" s="665">
        <f>+J39</f>
        <v>6.6100276293757991</v>
      </c>
      <c r="I12" s="665">
        <f>+H12</f>
        <v>6.6100276293757991</v>
      </c>
      <c r="J12" s="665">
        <f>+I12</f>
        <v>6.6100276293757991</v>
      </c>
      <c r="K12" s="631">
        <f>+J12</f>
        <v>6.6100276293757991</v>
      </c>
      <c r="L12" s="631">
        <f t="shared" ref="L12:S12" si="3">+K12</f>
        <v>6.6100276293757991</v>
      </c>
      <c r="M12" s="631">
        <f t="shared" si="3"/>
        <v>6.6100276293757991</v>
      </c>
      <c r="N12" s="631">
        <f t="shared" si="3"/>
        <v>6.6100276293757991</v>
      </c>
      <c r="O12" s="631">
        <f t="shared" si="3"/>
        <v>6.6100276293757991</v>
      </c>
      <c r="P12" s="631">
        <f t="shared" si="3"/>
        <v>6.6100276293757991</v>
      </c>
      <c r="Q12" s="631">
        <f t="shared" si="3"/>
        <v>6.6100276293757991</v>
      </c>
      <c r="R12" s="631">
        <f t="shared" si="3"/>
        <v>6.6100276293757991</v>
      </c>
      <c r="S12" s="631">
        <f t="shared" si="3"/>
        <v>6.6100276293757991</v>
      </c>
      <c r="T12" s="95"/>
      <c r="U12" s="95"/>
      <c r="V12" s="95"/>
      <c r="W12" s="95"/>
    </row>
    <row r="13" spans="1:23" ht="15" x14ac:dyDescent="0.25">
      <c r="C13" s="30" t="s">
        <v>534</v>
      </c>
      <c r="D13" t="s">
        <v>534</v>
      </c>
      <c r="E13" s="95" t="s">
        <v>109</v>
      </c>
      <c r="G13" t="s">
        <v>205</v>
      </c>
      <c r="H13" s="95">
        <f t="shared" ref="H13:S13" si="4">+H12*H9</f>
        <v>760.15317737821692</v>
      </c>
      <c r="I13" s="95">
        <f t="shared" si="4"/>
        <v>545.32727942350346</v>
      </c>
      <c r="J13" s="95">
        <f t="shared" si="4"/>
        <v>475.92198931505754</v>
      </c>
      <c r="K13" s="664">
        <f t="shared" si="4"/>
        <v>475.92198931505754</v>
      </c>
      <c r="L13" s="664">
        <f t="shared" si="4"/>
        <v>475.92198931505754</v>
      </c>
      <c r="M13" s="664">
        <f t="shared" si="4"/>
        <v>475.92198931505754</v>
      </c>
      <c r="N13" s="664">
        <f t="shared" si="4"/>
        <v>475.92198931505754</v>
      </c>
      <c r="O13" s="664">
        <f t="shared" si="4"/>
        <v>475.92198931505754</v>
      </c>
      <c r="P13" s="664">
        <f t="shared" si="4"/>
        <v>475.92198931505754</v>
      </c>
      <c r="Q13" s="664">
        <f t="shared" si="4"/>
        <v>475.92198931505754</v>
      </c>
      <c r="R13" s="664">
        <f t="shared" si="4"/>
        <v>475.92198931505754</v>
      </c>
      <c r="S13" s="664">
        <f t="shared" si="4"/>
        <v>475.92198931505754</v>
      </c>
      <c r="T13" s="95"/>
      <c r="U13" s="95"/>
      <c r="V13" s="95"/>
      <c r="W13" s="95"/>
    </row>
    <row r="14" spans="1:23" ht="15" x14ac:dyDescent="0.25">
      <c r="C14" s="30"/>
      <c r="E14" s="95"/>
      <c r="H14" s="95"/>
      <c r="I14" s="95"/>
      <c r="J14" s="95"/>
      <c r="K14" s="664"/>
      <c r="L14" s="664"/>
      <c r="M14" s="664"/>
      <c r="N14" s="664"/>
      <c r="O14" s="664"/>
      <c r="P14" s="664"/>
      <c r="Q14" s="664"/>
      <c r="R14" s="664"/>
      <c r="S14" s="664"/>
      <c r="T14" s="95"/>
      <c r="U14" s="95"/>
      <c r="V14" s="95"/>
      <c r="W14" s="95"/>
    </row>
    <row r="15" spans="1:23" s="95" customFormat="1" ht="15" x14ac:dyDescent="0.25">
      <c r="A15" s="655"/>
      <c r="B15" s="655"/>
      <c r="C15" s="660" t="s">
        <v>1470</v>
      </c>
      <c r="D15"/>
      <c r="F15"/>
      <c r="G15"/>
    </row>
    <row r="16" spans="1:23" s="95" customFormat="1" ht="15" x14ac:dyDescent="0.25">
      <c r="A16" s="655"/>
      <c r="B16" s="655"/>
      <c r="C16" s="30" t="s">
        <v>202</v>
      </c>
      <c r="D16" s="95" t="s">
        <v>1471</v>
      </c>
      <c r="E16" s="95" t="s">
        <v>109</v>
      </c>
      <c r="F16" s="661"/>
      <c r="G16" s="95" t="s">
        <v>203</v>
      </c>
      <c r="H16">
        <f>'Main Assumptions'!D33</f>
        <v>115</v>
      </c>
      <c r="I16">
        <f>'Main Assumptions'!E33</f>
        <v>82.5</v>
      </c>
      <c r="J16">
        <f>'Main Assumptions'!F33</f>
        <v>72</v>
      </c>
      <c r="K16">
        <f>'Main Assumptions'!G33</f>
        <v>72</v>
      </c>
      <c r="L16">
        <f>'Main Assumptions'!H33</f>
        <v>72</v>
      </c>
      <c r="M16">
        <f>'Main Assumptions'!I33</f>
        <v>72</v>
      </c>
      <c r="N16">
        <f>'Main Assumptions'!J33</f>
        <v>72</v>
      </c>
      <c r="O16" s="4">
        <f>+N16</f>
        <v>72</v>
      </c>
      <c r="P16" s="4">
        <f>+O16</f>
        <v>72</v>
      </c>
      <c r="Q16" s="4">
        <f>+P16</f>
        <v>72</v>
      </c>
      <c r="R16" s="4">
        <f>+Q16</f>
        <v>72</v>
      </c>
      <c r="S16" s="4">
        <f>+R16</f>
        <v>72</v>
      </c>
    </row>
    <row r="17" spans="1:23" s="95" customFormat="1" ht="14.25" x14ac:dyDescent="0.2">
      <c r="A17" s="655"/>
      <c r="B17" s="655"/>
      <c r="C17"/>
      <c r="D17" t="s">
        <v>1465</v>
      </c>
      <c r="E17" s="95" t="s">
        <v>109</v>
      </c>
      <c r="F17" t="s">
        <v>1466</v>
      </c>
      <c r="G17" t="s">
        <v>1467</v>
      </c>
      <c r="H17" s="662">
        <f>+$H$39</f>
        <v>7.6931584618157363</v>
      </c>
      <c r="I17" s="662">
        <f>+H17</f>
        <v>7.6931584618157363</v>
      </c>
      <c r="J17" s="662">
        <f t="shared" ref="J17" si="5">+I17</f>
        <v>7.6931584618157363</v>
      </c>
      <c r="K17" s="662">
        <f t="shared" ref="K17" si="6">+J17</f>
        <v>7.6931584618157363</v>
      </c>
      <c r="L17" s="662">
        <f t="shared" ref="L17" si="7">+K17</f>
        <v>7.6931584618157363</v>
      </c>
      <c r="M17" s="662">
        <f t="shared" ref="M17" si="8">+L17</f>
        <v>7.6931584618157363</v>
      </c>
      <c r="N17" s="662">
        <f t="shared" ref="N17" si="9">+M17</f>
        <v>7.6931584618157363</v>
      </c>
      <c r="O17" s="663">
        <f t="shared" ref="O17" si="10">+N17</f>
        <v>7.6931584618157363</v>
      </c>
      <c r="P17" s="663">
        <f t="shared" ref="P17" si="11">+O17</f>
        <v>7.6931584618157363</v>
      </c>
      <c r="Q17" s="663">
        <f t="shared" ref="Q17" si="12">+P17</f>
        <v>7.6931584618157363</v>
      </c>
      <c r="R17" s="663">
        <f t="shared" ref="R17" si="13">+Q17</f>
        <v>7.6931584618157363</v>
      </c>
      <c r="S17" s="663">
        <f t="shared" ref="S17" si="14">+R17</f>
        <v>7.6931584618157363</v>
      </c>
    </row>
    <row r="18" spans="1:23" s="95" customFormat="1" ht="15" x14ac:dyDescent="0.25">
      <c r="A18" s="655"/>
      <c r="B18" s="655"/>
      <c r="C18" s="30" t="s">
        <v>117</v>
      </c>
      <c r="D18" t="s">
        <v>117</v>
      </c>
      <c r="E18" s="95" t="s">
        <v>109</v>
      </c>
      <c r="F18"/>
      <c r="G18" t="s">
        <v>205</v>
      </c>
      <c r="H18" s="95">
        <f>+H17*H16</f>
        <v>884.71322310880964</v>
      </c>
      <c r="I18" s="95">
        <f t="shared" ref="I18:N18" si="15">+I17*I16</f>
        <v>634.68557309979826</v>
      </c>
      <c r="J18" s="95">
        <f t="shared" si="15"/>
        <v>553.90740925073305</v>
      </c>
      <c r="K18" s="95">
        <f t="shared" si="15"/>
        <v>553.90740925073305</v>
      </c>
      <c r="L18" s="95">
        <f t="shared" si="15"/>
        <v>553.90740925073305</v>
      </c>
      <c r="M18" s="95">
        <f t="shared" si="15"/>
        <v>553.90740925073305</v>
      </c>
      <c r="N18" s="95">
        <f t="shared" si="15"/>
        <v>553.90740925073305</v>
      </c>
      <c r="O18" s="664">
        <f>+N18</f>
        <v>553.90740925073305</v>
      </c>
      <c r="P18" s="664">
        <f>+O18</f>
        <v>553.90740925073305</v>
      </c>
      <c r="Q18" s="664">
        <f>+P18</f>
        <v>553.90740925073305</v>
      </c>
      <c r="R18" s="664">
        <f>+Q18</f>
        <v>553.90740925073305</v>
      </c>
      <c r="S18" s="664">
        <f>+R18</f>
        <v>553.90740925073305</v>
      </c>
    </row>
    <row r="19" spans="1:23" ht="14.25" x14ac:dyDescent="0.2">
      <c r="D19" t="s">
        <v>1468</v>
      </c>
      <c r="E19" s="95" t="s">
        <v>109</v>
      </c>
      <c r="F19" t="s">
        <v>1469</v>
      </c>
      <c r="G19" t="s">
        <v>1467</v>
      </c>
      <c r="H19" s="665">
        <f>+J39</f>
        <v>6.6100276293757991</v>
      </c>
      <c r="I19" s="665">
        <f>+H19</f>
        <v>6.6100276293757991</v>
      </c>
      <c r="J19" s="665">
        <f t="shared" ref="J19" si="16">+I19</f>
        <v>6.6100276293757991</v>
      </c>
      <c r="K19" s="631">
        <f t="shared" ref="K19" si="17">+J19</f>
        <v>6.6100276293757991</v>
      </c>
      <c r="L19" s="631">
        <f t="shared" ref="L19" si="18">+K19</f>
        <v>6.6100276293757991</v>
      </c>
      <c r="M19" s="631">
        <f t="shared" ref="M19" si="19">+L19</f>
        <v>6.6100276293757991</v>
      </c>
      <c r="N19" s="631">
        <f t="shared" ref="N19" si="20">+M19</f>
        <v>6.6100276293757991</v>
      </c>
      <c r="O19" s="631">
        <f t="shared" ref="O19" si="21">+N19</f>
        <v>6.6100276293757991</v>
      </c>
      <c r="P19" s="631">
        <f t="shared" ref="P19" si="22">+O19</f>
        <v>6.6100276293757991</v>
      </c>
      <c r="Q19" s="631">
        <f t="shared" ref="Q19" si="23">+P19</f>
        <v>6.6100276293757991</v>
      </c>
      <c r="R19" s="631">
        <f t="shared" ref="R19" si="24">+Q19</f>
        <v>6.6100276293757991</v>
      </c>
      <c r="S19" s="631">
        <f t="shared" ref="S19" si="25">+R19</f>
        <v>6.6100276293757991</v>
      </c>
      <c r="T19" s="95"/>
      <c r="U19" s="95"/>
      <c r="V19" s="95"/>
      <c r="W19" s="95"/>
    </row>
    <row r="20" spans="1:23" ht="15" x14ac:dyDescent="0.25">
      <c r="C20" s="30" t="s">
        <v>534</v>
      </c>
      <c r="D20" t="s">
        <v>534</v>
      </c>
      <c r="E20" s="95" t="s">
        <v>109</v>
      </c>
      <c r="G20" t="s">
        <v>205</v>
      </c>
      <c r="H20" s="95">
        <f t="shared" ref="H20:S20" si="26">+H19*H16</f>
        <v>760.15317737821692</v>
      </c>
      <c r="I20" s="95">
        <f t="shared" si="26"/>
        <v>545.32727942350346</v>
      </c>
      <c r="J20" s="95">
        <f t="shared" si="26"/>
        <v>475.92198931505754</v>
      </c>
      <c r="K20" s="664">
        <f t="shared" si="26"/>
        <v>475.92198931505754</v>
      </c>
      <c r="L20" s="664">
        <f t="shared" si="26"/>
        <v>475.92198931505754</v>
      </c>
      <c r="M20" s="664">
        <f t="shared" si="26"/>
        <v>475.92198931505754</v>
      </c>
      <c r="N20" s="664">
        <f t="shared" si="26"/>
        <v>475.92198931505754</v>
      </c>
      <c r="O20" s="664">
        <f t="shared" si="26"/>
        <v>475.92198931505754</v>
      </c>
      <c r="P20" s="664">
        <f t="shared" si="26"/>
        <v>475.92198931505754</v>
      </c>
      <c r="Q20" s="664">
        <f t="shared" si="26"/>
        <v>475.92198931505754</v>
      </c>
      <c r="R20" s="664">
        <f t="shared" si="26"/>
        <v>475.92198931505754</v>
      </c>
      <c r="S20" s="664">
        <f t="shared" si="26"/>
        <v>475.92198931505754</v>
      </c>
      <c r="T20" s="95"/>
      <c r="U20" s="95"/>
      <c r="V20" s="95"/>
      <c r="W20" s="95"/>
    </row>
    <row r="21" spans="1:23" ht="15" x14ac:dyDescent="0.25">
      <c r="C21" s="30"/>
      <c r="E21" s="95"/>
      <c r="H21" s="95"/>
      <c r="I21" s="95"/>
      <c r="J21" s="95"/>
      <c r="K21" s="664"/>
      <c r="L21" s="664"/>
      <c r="M21" s="664"/>
      <c r="N21" s="664"/>
      <c r="O21" s="664"/>
      <c r="P21" s="664"/>
      <c r="Q21" s="664"/>
      <c r="R21" s="664"/>
      <c r="S21" s="664"/>
      <c r="T21" s="95"/>
      <c r="U21" s="95"/>
      <c r="V21" s="95"/>
      <c r="W21" s="95"/>
    </row>
    <row r="22" spans="1:23" s="95" customFormat="1" ht="15" x14ac:dyDescent="0.25">
      <c r="A22" s="655"/>
      <c r="B22" s="655"/>
      <c r="C22" s="660" t="s">
        <v>1471</v>
      </c>
      <c r="D22"/>
      <c r="F22"/>
      <c r="G22"/>
    </row>
    <row r="23" spans="1:23" s="95" customFormat="1" ht="15" x14ac:dyDescent="0.25">
      <c r="A23" s="655"/>
      <c r="B23" s="655"/>
      <c r="C23" s="30" t="s">
        <v>202</v>
      </c>
      <c r="D23" s="95" t="s">
        <v>1471</v>
      </c>
      <c r="E23" s="95" t="s">
        <v>109</v>
      </c>
      <c r="F23" s="661"/>
      <c r="G23" s="95" t="s">
        <v>203</v>
      </c>
      <c r="H23">
        <v>55.35904</v>
      </c>
      <c r="I23">
        <v>50</v>
      </c>
      <c r="J23">
        <v>44</v>
      </c>
      <c r="K23">
        <v>38</v>
      </c>
      <c r="L23">
        <v>32</v>
      </c>
      <c r="M23">
        <v>26</v>
      </c>
      <c r="N23">
        <v>20</v>
      </c>
      <c r="O23" s="4">
        <f>+N23</f>
        <v>20</v>
      </c>
      <c r="P23" s="4">
        <f>+O23</f>
        <v>20</v>
      </c>
      <c r="Q23" s="4">
        <f>+P23</f>
        <v>20</v>
      </c>
      <c r="R23" s="4">
        <f>+Q23</f>
        <v>20</v>
      </c>
      <c r="S23" s="4">
        <f>+R23</f>
        <v>20</v>
      </c>
    </row>
    <row r="24" spans="1:23" s="95" customFormat="1" ht="14.25" x14ac:dyDescent="0.2">
      <c r="A24" s="655"/>
      <c r="B24" s="655"/>
      <c r="C24"/>
      <c r="D24" t="s">
        <v>1465</v>
      </c>
      <c r="E24" s="95" t="s">
        <v>109</v>
      </c>
      <c r="F24" t="s">
        <v>1466</v>
      </c>
      <c r="G24" t="s">
        <v>1467</v>
      </c>
      <c r="H24" s="662">
        <f>+$H$39</f>
        <v>7.6931584618157363</v>
      </c>
      <c r="I24" s="662">
        <f>+H24</f>
        <v>7.6931584618157363</v>
      </c>
      <c r="J24" s="662">
        <f t="shared" ref="J24:S24" si="27">+I24</f>
        <v>7.6931584618157363</v>
      </c>
      <c r="K24" s="662">
        <f t="shared" si="27"/>
        <v>7.6931584618157363</v>
      </c>
      <c r="L24" s="662">
        <f t="shared" si="27"/>
        <v>7.6931584618157363</v>
      </c>
      <c r="M24" s="662">
        <f t="shared" si="27"/>
        <v>7.6931584618157363</v>
      </c>
      <c r="N24" s="662">
        <f t="shared" si="27"/>
        <v>7.6931584618157363</v>
      </c>
      <c r="O24" s="663">
        <f t="shared" si="27"/>
        <v>7.6931584618157363</v>
      </c>
      <c r="P24" s="663">
        <f t="shared" si="27"/>
        <v>7.6931584618157363</v>
      </c>
      <c r="Q24" s="663">
        <f t="shared" si="27"/>
        <v>7.6931584618157363</v>
      </c>
      <c r="R24" s="663">
        <f t="shared" si="27"/>
        <v>7.6931584618157363</v>
      </c>
      <c r="S24" s="663">
        <f t="shared" si="27"/>
        <v>7.6931584618157363</v>
      </c>
    </row>
    <row r="25" spans="1:23" s="95" customFormat="1" ht="15" x14ac:dyDescent="0.25">
      <c r="A25" s="655"/>
      <c r="B25" s="655"/>
      <c r="C25" s="30" t="s">
        <v>117</v>
      </c>
      <c r="D25" t="s">
        <v>117</v>
      </c>
      <c r="E25" s="95" t="s">
        <v>109</v>
      </c>
      <c r="F25"/>
      <c r="G25" t="s">
        <v>205</v>
      </c>
      <c r="H25" s="95">
        <f>+H24*H23</f>
        <v>425.88586701399583</v>
      </c>
      <c r="I25" s="95">
        <f t="shared" ref="I25:N25" si="28">+I24*I23</f>
        <v>384.65792309078682</v>
      </c>
      <c r="J25" s="95">
        <f t="shared" si="28"/>
        <v>338.4989723198924</v>
      </c>
      <c r="K25" s="95">
        <f t="shared" si="28"/>
        <v>292.34002154899798</v>
      </c>
      <c r="L25" s="95">
        <f t="shared" si="28"/>
        <v>246.18107077810356</v>
      </c>
      <c r="M25" s="95">
        <f t="shared" si="28"/>
        <v>200.02212000720914</v>
      </c>
      <c r="N25" s="95">
        <f t="shared" si="28"/>
        <v>153.86316923631472</v>
      </c>
      <c r="O25" s="664">
        <f>+N25</f>
        <v>153.86316923631472</v>
      </c>
      <c r="P25" s="664">
        <f>+O25</f>
        <v>153.86316923631472</v>
      </c>
      <c r="Q25" s="664">
        <f>+P25</f>
        <v>153.86316923631472</v>
      </c>
      <c r="R25" s="664">
        <f>+Q25</f>
        <v>153.86316923631472</v>
      </c>
      <c r="S25" s="664">
        <f>+R25</f>
        <v>153.86316923631472</v>
      </c>
    </row>
    <row r="26" spans="1:23" ht="14.25" x14ac:dyDescent="0.2">
      <c r="D26" t="s">
        <v>1468</v>
      </c>
      <c r="E26" s="95" t="s">
        <v>109</v>
      </c>
      <c r="F26" t="s">
        <v>1469</v>
      </c>
      <c r="G26" t="s">
        <v>1467</v>
      </c>
      <c r="H26" s="665">
        <f>+H12</f>
        <v>6.6100276293757991</v>
      </c>
      <c r="I26" s="665">
        <f>+H26</f>
        <v>6.6100276293757991</v>
      </c>
      <c r="J26" s="665">
        <f t="shared" ref="J26:S26" si="29">+I26</f>
        <v>6.6100276293757991</v>
      </c>
      <c r="K26" s="631">
        <f t="shared" si="29"/>
        <v>6.6100276293757991</v>
      </c>
      <c r="L26" s="631">
        <f t="shared" si="29"/>
        <v>6.6100276293757991</v>
      </c>
      <c r="M26" s="631">
        <f t="shared" si="29"/>
        <v>6.6100276293757991</v>
      </c>
      <c r="N26" s="631">
        <f t="shared" si="29"/>
        <v>6.6100276293757991</v>
      </c>
      <c r="O26" s="631">
        <f t="shared" si="29"/>
        <v>6.6100276293757991</v>
      </c>
      <c r="P26" s="631">
        <f t="shared" si="29"/>
        <v>6.6100276293757991</v>
      </c>
      <c r="Q26" s="631">
        <f t="shared" si="29"/>
        <v>6.6100276293757991</v>
      </c>
      <c r="R26" s="631">
        <f t="shared" si="29"/>
        <v>6.6100276293757991</v>
      </c>
      <c r="S26" s="631">
        <f t="shared" si="29"/>
        <v>6.6100276293757991</v>
      </c>
      <c r="T26" s="95"/>
      <c r="U26" s="95"/>
      <c r="V26" s="95"/>
      <c r="W26" s="95"/>
    </row>
    <row r="27" spans="1:23" ht="15" x14ac:dyDescent="0.25">
      <c r="C27" s="30" t="s">
        <v>534</v>
      </c>
      <c r="D27" t="s">
        <v>534</v>
      </c>
      <c r="E27" s="95" t="s">
        <v>109</v>
      </c>
      <c r="G27" t="s">
        <v>205</v>
      </c>
      <c r="H27" s="95">
        <f t="shared" ref="H27:S27" si="30">+H26*H23</f>
        <v>365.92478393572003</v>
      </c>
      <c r="I27" s="95">
        <f t="shared" si="30"/>
        <v>330.50138146878993</v>
      </c>
      <c r="J27" s="95">
        <f t="shared" si="30"/>
        <v>290.84121569253517</v>
      </c>
      <c r="K27" s="664">
        <f t="shared" si="30"/>
        <v>251.18104991628036</v>
      </c>
      <c r="L27" s="664">
        <f t="shared" si="30"/>
        <v>211.52088414002557</v>
      </c>
      <c r="M27" s="664">
        <f t="shared" si="30"/>
        <v>171.86071836377079</v>
      </c>
      <c r="N27" s="664">
        <f t="shared" si="30"/>
        <v>132.20055258751597</v>
      </c>
      <c r="O27" s="664">
        <f t="shared" si="30"/>
        <v>132.20055258751597</v>
      </c>
      <c r="P27" s="664">
        <f t="shared" si="30"/>
        <v>132.20055258751597</v>
      </c>
      <c r="Q27" s="664">
        <f t="shared" si="30"/>
        <v>132.20055258751597</v>
      </c>
      <c r="R27" s="664">
        <f t="shared" si="30"/>
        <v>132.20055258751597</v>
      </c>
      <c r="S27" s="664">
        <f t="shared" si="30"/>
        <v>132.20055258751597</v>
      </c>
      <c r="T27" s="95"/>
      <c r="U27" s="95"/>
      <c r="V27" s="95"/>
      <c r="W27" s="95"/>
    </row>
    <row r="28" spans="1:23" ht="15" x14ac:dyDescent="0.25">
      <c r="C28" s="30"/>
      <c r="E28" s="95"/>
      <c r="H28" s="95"/>
      <c r="I28" s="95"/>
      <c r="J28" s="95"/>
      <c r="K28" s="664"/>
      <c r="L28" s="664"/>
      <c r="M28" s="664"/>
      <c r="N28" s="664"/>
      <c r="O28" s="664"/>
      <c r="P28" s="664"/>
      <c r="Q28" s="664"/>
      <c r="R28" s="664"/>
      <c r="S28" s="664"/>
      <c r="T28" s="95"/>
      <c r="U28" s="95"/>
      <c r="V28" s="95"/>
      <c r="W28" s="95"/>
    </row>
    <row r="29" spans="1:23" s="95" customFormat="1" ht="15" x14ac:dyDescent="0.25">
      <c r="A29" s="655"/>
      <c r="B29" s="655"/>
      <c r="C29" s="660" t="s">
        <v>1472</v>
      </c>
      <c r="D29"/>
      <c r="F29"/>
      <c r="G29"/>
    </row>
    <row r="30" spans="1:23" s="95" customFormat="1" ht="15" x14ac:dyDescent="0.25">
      <c r="A30" s="655"/>
      <c r="B30" s="655"/>
      <c r="C30" s="30" t="s">
        <v>202</v>
      </c>
      <c r="D30" s="95" t="s">
        <v>1472</v>
      </c>
      <c r="E30" s="95" t="s">
        <v>109</v>
      </c>
      <c r="F30" s="661"/>
      <c r="G30" s="95" t="s">
        <v>203</v>
      </c>
      <c r="H30">
        <f>+H9</f>
        <v>115</v>
      </c>
      <c r="I30">
        <f>+I9</f>
        <v>82.5</v>
      </c>
      <c r="J30" s="666">
        <f>+J36</f>
        <v>73</v>
      </c>
      <c r="K30" s="666">
        <f>+K36</f>
        <v>79</v>
      </c>
      <c r="L30" s="666">
        <f>+L36</f>
        <v>85</v>
      </c>
      <c r="M30" s="666">
        <f>+M36</f>
        <v>90</v>
      </c>
      <c r="N30" s="666">
        <f>+N36</f>
        <v>95</v>
      </c>
      <c r="O30" s="4">
        <f>+N30</f>
        <v>95</v>
      </c>
      <c r="P30" s="4">
        <f>+O30</f>
        <v>95</v>
      </c>
      <c r="Q30" s="4">
        <f>+P30</f>
        <v>95</v>
      </c>
      <c r="R30" s="4">
        <f>+Q30</f>
        <v>95</v>
      </c>
      <c r="S30" s="4">
        <f>+R30</f>
        <v>95</v>
      </c>
    </row>
    <row r="31" spans="1:23" s="95" customFormat="1" ht="14.25" x14ac:dyDescent="0.2">
      <c r="A31" s="655"/>
      <c r="B31" s="655"/>
      <c r="C31"/>
      <c r="D31" t="s">
        <v>1465</v>
      </c>
      <c r="E31" s="95" t="s">
        <v>109</v>
      </c>
      <c r="F31" t="s">
        <v>1466</v>
      </c>
      <c r="G31" t="s">
        <v>1467</v>
      </c>
      <c r="H31" s="662">
        <f>+$H$39</f>
        <v>7.6931584618157363</v>
      </c>
      <c r="I31" s="662">
        <f>+H31</f>
        <v>7.6931584618157363</v>
      </c>
      <c r="J31" s="662">
        <f t="shared" ref="J31:S31" si="31">+I31</f>
        <v>7.6931584618157363</v>
      </c>
      <c r="K31" s="662">
        <f t="shared" si="31"/>
        <v>7.6931584618157363</v>
      </c>
      <c r="L31" s="662">
        <f t="shared" si="31"/>
        <v>7.6931584618157363</v>
      </c>
      <c r="M31" s="662">
        <f t="shared" si="31"/>
        <v>7.6931584618157363</v>
      </c>
      <c r="N31" s="662">
        <f t="shared" si="31"/>
        <v>7.6931584618157363</v>
      </c>
      <c r="O31" s="663">
        <f t="shared" si="31"/>
        <v>7.6931584618157363</v>
      </c>
      <c r="P31" s="663">
        <f t="shared" si="31"/>
        <v>7.6931584618157363</v>
      </c>
      <c r="Q31" s="663">
        <f t="shared" si="31"/>
        <v>7.6931584618157363</v>
      </c>
      <c r="R31" s="663">
        <f t="shared" si="31"/>
        <v>7.6931584618157363</v>
      </c>
      <c r="S31" s="663">
        <f t="shared" si="31"/>
        <v>7.6931584618157363</v>
      </c>
    </row>
    <row r="32" spans="1:23" s="95" customFormat="1" ht="15" x14ac:dyDescent="0.25">
      <c r="A32" s="655"/>
      <c r="B32" s="655"/>
      <c r="C32" s="30" t="s">
        <v>117</v>
      </c>
      <c r="D32" t="s">
        <v>117</v>
      </c>
      <c r="E32" s="95" t="s">
        <v>109</v>
      </c>
      <c r="F32"/>
      <c r="G32" t="s">
        <v>205</v>
      </c>
      <c r="H32" s="95">
        <f>+H31*H30</f>
        <v>884.71322310880964</v>
      </c>
      <c r="I32" s="95">
        <f t="shared" ref="I32:N32" si="32">+I31*I30</f>
        <v>634.68557309979826</v>
      </c>
      <c r="J32" s="95">
        <f t="shared" si="32"/>
        <v>561.6005677125487</v>
      </c>
      <c r="K32" s="95">
        <f t="shared" si="32"/>
        <v>607.75951848344312</v>
      </c>
      <c r="L32" s="95">
        <f t="shared" si="32"/>
        <v>653.91846925433754</v>
      </c>
      <c r="M32" s="95">
        <f t="shared" si="32"/>
        <v>692.38426156341632</v>
      </c>
      <c r="N32" s="95">
        <f t="shared" si="32"/>
        <v>730.85005387249498</v>
      </c>
      <c r="O32" s="664">
        <f>+N32</f>
        <v>730.85005387249498</v>
      </c>
      <c r="P32" s="664">
        <f>+O32</f>
        <v>730.85005387249498</v>
      </c>
      <c r="Q32" s="664">
        <f>+P32</f>
        <v>730.85005387249498</v>
      </c>
      <c r="R32" s="664">
        <f>+Q32</f>
        <v>730.85005387249498</v>
      </c>
      <c r="S32" s="664">
        <f>+R32</f>
        <v>730.85005387249498</v>
      </c>
    </row>
    <row r="33" spans="1:23" ht="14.25" x14ac:dyDescent="0.2">
      <c r="D33" t="s">
        <v>1468</v>
      </c>
      <c r="E33" s="95" t="s">
        <v>109</v>
      </c>
      <c r="F33" t="s">
        <v>1469</v>
      </c>
      <c r="G33" t="s">
        <v>1467</v>
      </c>
      <c r="H33" s="665">
        <f>+H12</f>
        <v>6.6100276293757991</v>
      </c>
      <c r="I33" s="665">
        <f>+H33</f>
        <v>6.6100276293757991</v>
      </c>
      <c r="J33" s="665">
        <f t="shared" ref="J33:S33" si="33">+I33</f>
        <v>6.6100276293757991</v>
      </c>
      <c r="K33" s="631">
        <f t="shared" si="33"/>
        <v>6.6100276293757991</v>
      </c>
      <c r="L33" s="631">
        <f t="shared" si="33"/>
        <v>6.6100276293757991</v>
      </c>
      <c r="M33" s="631">
        <f t="shared" si="33"/>
        <v>6.6100276293757991</v>
      </c>
      <c r="N33" s="631">
        <f t="shared" si="33"/>
        <v>6.6100276293757991</v>
      </c>
      <c r="O33" s="631">
        <f t="shared" si="33"/>
        <v>6.6100276293757991</v>
      </c>
      <c r="P33" s="631">
        <f t="shared" si="33"/>
        <v>6.6100276293757991</v>
      </c>
      <c r="Q33" s="631">
        <f t="shared" si="33"/>
        <v>6.6100276293757991</v>
      </c>
      <c r="R33" s="631">
        <f t="shared" si="33"/>
        <v>6.6100276293757991</v>
      </c>
      <c r="S33" s="631">
        <f t="shared" si="33"/>
        <v>6.6100276293757991</v>
      </c>
      <c r="T33" s="95"/>
      <c r="U33" s="95"/>
      <c r="V33" s="95"/>
      <c r="W33" s="95"/>
    </row>
    <row r="34" spans="1:23" ht="15" x14ac:dyDescent="0.25">
      <c r="C34" s="30" t="s">
        <v>534</v>
      </c>
      <c r="D34" t="s">
        <v>534</v>
      </c>
      <c r="E34" s="95" t="s">
        <v>109</v>
      </c>
      <c r="G34" t="s">
        <v>205</v>
      </c>
      <c r="H34" s="95">
        <f t="shared" ref="H34:S34" si="34">+H33*H30</f>
        <v>760.15317737821692</v>
      </c>
      <c r="I34" s="95">
        <f t="shared" si="34"/>
        <v>545.32727942350346</v>
      </c>
      <c r="J34" s="95">
        <f t="shared" si="34"/>
        <v>482.53201694443334</v>
      </c>
      <c r="K34" s="664">
        <f t="shared" si="34"/>
        <v>522.19218272068815</v>
      </c>
      <c r="L34" s="664">
        <f t="shared" si="34"/>
        <v>561.85234849694291</v>
      </c>
      <c r="M34" s="664">
        <f t="shared" si="34"/>
        <v>594.90248664382193</v>
      </c>
      <c r="N34" s="664">
        <f t="shared" si="34"/>
        <v>627.95262479070095</v>
      </c>
      <c r="O34" s="664">
        <f t="shared" si="34"/>
        <v>627.95262479070095</v>
      </c>
      <c r="P34" s="664">
        <f t="shared" si="34"/>
        <v>627.95262479070095</v>
      </c>
      <c r="Q34" s="664">
        <f t="shared" si="34"/>
        <v>627.95262479070095</v>
      </c>
      <c r="R34" s="664">
        <f t="shared" si="34"/>
        <v>627.95262479070095</v>
      </c>
      <c r="S34" s="664">
        <f t="shared" si="34"/>
        <v>627.95262479070095</v>
      </c>
      <c r="T34" s="95"/>
      <c r="U34" s="95"/>
      <c r="V34" s="95"/>
      <c r="W34" s="95"/>
    </row>
    <row r="35" spans="1:23" s="157" customFormat="1" ht="14.25" x14ac:dyDescent="0.2">
      <c r="A35" s="667"/>
      <c r="B35" s="667"/>
    </row>
    <row r="36" spans="1:23" s="157" customFormat="1" ht="21" x14ac:dyDescent="0.5">
      <c r="A36" s="667"/>
      <c r="B36" s="667"/>
      <c r="C36" s="157" t="s">
        <v>1473</v>
      </c>
      <c r="F36" s="764" t="s">
        <v>1474</v>
      </c>
      <c r="H36" s="157">
        <v>45</v>
      </c>
      <c r="I36" s="157">
        <f>AVERAGE(H36,J36)</f>
        <v>59</v>
      </c>
      <c r="J36" s="157">
        <v>73</v>
      </c>
      <c r="K36" s="157">
        <f>AVERAGE(J36,L36)</f>
        <v>79</v>
      </c>
      <c r="L36" s="157">
        <v>85</v>
      </c>
      <c r="M36" s="157">
        <f>AVERAGE(L36,N36)</f>
        <v>90</v>
      </c>
      <c r="N36" s="157">
        <v>95</v>
      </c>
    </row>
    <row r="37" spans="1:23" s="157" customFormat="1" ht="15" thickBot="1" x14ac:dyDescent="0.25">
      <c r="A37" s="667"/>
      <c r="B37" s="667"/>
    </row>
    <row r="38" spans="1:23" s="157" customFormat="1" ht="14.25" x14ac:dyDescent="0.2">
      <c r="A38" s="667"/>
      <c r="B38" s="667"/>
      <c r="H38" s="711" t="s">
        <v>1475</v>
      </c>
      <c r="I38" s="15"/>
      <c r="J38" s="711" t="s">
        <v>1476</v>
      </c>
    </row>
    <row r="39" spans="1:23" s="157" customFormat="1" ht="15" thickBot="1" x14ac:dyDescent="0.25">
      <c r="A39" s="667"/>
      <c r="B39" s="667"/>
      <c r="H39" s="712">
        <v>7.6931584618157363</v>
      </c>
      <c r="I39" s="15"/>
      <c r="J39" s="712">
        <v>6.6100276293757991</v>
      </c>
    </row>
    <row r="40" spans="1:23" s="157" customFormat="1" ht="14.25" x14ac:dyDescent="0.2">
      <c r="A40" s="667"/>
      <c r="B40" s="667"/>
    </row>
    <row r="41" spans="1:23" s="157" customFormat="1" ht="14.25" x14ac:dyDescent="0.2">
      <c r="A41" s="667"/>
      <c r="B41" s="667"/>
    </row>
  </sheetData>
  <conditionalFormatting sqref="S1:W1">
    <cfRule type="colorScale" priority="608">
      <colorScale>
        <cfvo type="min"/>
        <cfvo type="percentile" val="50"/>
        <cfvo type="max"/>
        <color rgb="FFF8696B"/>
        <color rgb="FFFFEB84"/>
        <color rgb="FF63BE7B"/>
      </colorScale>
    </cfRule>
  </conditionalFormatting>
  <hyperlinks>
    <hyperlink ref="F36" r:id="rId1" xr:uid="{332CE48B-08AB-4BB4-8263-89CE4869513C}"/>
  </hyperlinks>
  <pageMargins left="0.7" right="0.7" top="0.75" bottom="0.75" header="0.3" footer="0.3"/>
  <pageSetup paperSize="9" orientation="portrait" r:id="rId2"/>
  <headerFooter>
    <oddFooter>&amp;C_x000D_&amp;1#&amp;"Calibri"&amp;10&amp;K000000 Business External</oddFooter>
  </headerFooter>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8F692-F1ED-428C-9BD3-6ED25FC87305}">
  <sheetPr codeName="Sheet21">
    <tabColor theme="8" tint="0.749992370372631"/>
  </sheetPr>
  <dimension ref="A1:DT102"/>
  <sheetViews>
    <sheetView showGridLines="0" workbookViewId="0"/>
  </sheetViews>
  <sheetFormatPr defaultColWidth="0" defaultRowHeight="14.25" x14ac:dyDescent="0.2"/>
  <cols>
    <col min="1" max="1" width="9.140625" style="29" customWidth="1"/>
    <col min="2" max="2" width="27" style="29" customWidth="1"/>
    <col min="3" max="3" width="23.5703125" style="29" customWidth="1"/>
    <col min="4" max="4" width="56.42578125" style="29" customWidth="1"/>
    <col min="5" max="5" width="26.5703125" style="29" customWidth="1"/>
    <col min="6" max="6" width="15" style="29" customWidth="1"/>
    <col min="7" max="7" width="17.140625" style="29" customWidth="1"/>
    <col min="8" max="8" width="26.5703125" style="29" customWidth="1"/>
    <col min="9" max="9" width="10.42578125" style="29" customWidth="1"/>
    <col min="10" max="10" width="19.140625" style="29" customWidth="1"/>
    <col min="11" max="11" width="11.42578125" style="29" customWidth="1"/>
    <col min="12" max="12" width="12.42578125" style="29" customWidth="1"/>
    <col min="13" max="14" width="14.42578125" style="29" customWidth="1"/>
    <col min="15" max="15" width="18.140625" style="29" customWidth="1"/>
    <col min="16" max="17" width="16.42578125" style="29" customWidth="1"/>
    <col min="18" max="18" width="9.42578125" style="29" customWidth="1"/>
    <col min="19" max="19" width="11.42578125" style="29" customWidth="1"/>
    <col min="20" max="22" width="9.42578125" style="29" customWidth="1"/>
    <col min="23" max="27" width="9" style="29" customWidth="1"/>
    <col min="28" max="28" width="5.5703125" style="29" customWidth="1"/>
    <col min="29" max="29" width="6.42578125" style="29" customWidth="1"/>
    <col min="30" max="30" width="25.85546875" style="29" customWidth="1"/>
    <col min="31" max="31" width="24.140625" style="29" customWidth="1"/>
    <col min="32" max="32" width="30.140625" style="29" customWidth="1"/>
    <col min="33" max="34" width="24.140625" style="29" customWidth="1"/>
    <col min="35" max="35" width="20.85546875" style="29" customWidth="1"/>
    <col min="36" max="36" width="10" style="29" customWidth="1"/>
    <col min="37" max="37" width="10.5703125" style="29" customWidth="1"/>
    <col min="38" max="38" width="9" style="29" customWidth="1"/>
    <col min="39" max="39" width="24.140625" style="29" customWidth="1"/>
    <col min="40" max="44" width="9" style="29" customWidth="1"/>
    <col min="45" max="46" width="18.140625" style="29" customWidth="1"/>
    <col min="47" max="47" width="17" style="29" customWidth="1"/>
    <col min="48" max="48" width="20.85546875" style="29" customWidth="1"/>
    <col min="49" max="50" width="9" style="29" customWidth="1"/>
    <col min="51" max="51" width="17" style="29" customWidth="1"/>
    <col min="52" max="52" width="20.85546875" style="29" customWidth="1"/>
    <col min="53" max="54" width="9" style="29" customWidth="1"/>
    <col min="55" max="56" width="19.5703125" style="29" customWidth="1"/>
    <col min="57" max="57" width="22.140625" style="29" customWidth="1"/>
    <col min="58" max="58" width="15.5703125" style="29" customWidth="1"/>
    <col min="59" max="59" width="2.42578125" style="29" customWidth="1"/>
    <col min="60" max="60" width="17.42578125" style="29" customWidth="1"/>
    <col min="61" max="67" width="9" style="29" customWidth="1"/>
    <col min="68" max="68" width="2.42578125" style="29" customWidth="1"/>
    <col min="69" max="69" width="9" style="29" customWidth="1"/>
    <col min="70" max="70" width="9.140625" customWidth="1"/>
    <col min="71" max="71" width="7.140625" customWidth="1"/>
    <col min="72" max="72" width="12.140625" customWidth="1"/>
    <col min="73" max="73" width="5" customWidth="1"/>
    <col min="74" max="74" width="30.42578125" customWidth="1"/>
    <col min="75" max="75" width="9.5703125" customWidth="1"/>
    <col min="76" max="76" width="5" customWidth="1"/>
    <col min="77" max="77" width="8.42578125" customWidth="1"/>
    <col min="78" max="78" width="25.42578125" customWidth="1"/>
    <col min="79" max="79" width="123" customWidth="1"/>
    <col min="80" max="82" width="9" style="29" customWidth="1"/>
    <col min="83" max="83" width="24.42578125" style="29" bestFit="1" customWidth="1"/>
    <col min="84" max="84" width="21.42578125" style="29" bestFit="1" customWidth="1"/>
    <col min="85" max="85" width="15.85546875" style="29" bestFit="1" customWidth="1"/>
    <col min="86" max="86" width="15.85546875" style="29" customWidth="1"/>
    <col min="87" max="87" width="39.85546875" customWidth="1"/>
    <col min="88" max="88" width="43.42578125" style="128" customWidth="1"/>
    <col min="89" max="89" width="16.42578125" customWidth="1"/>
    <col min="90" max="90" width="27" customWidth="1"/>
    <col min="91" max="91" width="25.140625" customWidth="1"/>
    <col min="92" max="92" width="25.5703125" customWidth="1"/>
    <col min="93" max="93" width="17" customWidth="1"/>
    <col min="94" max="94" width="12.42578125" customWidth="1"/>
    <col min="95" max="95" width="11" customWidth="1"/>
    <col min="96" max="96" width="10" customWidth="1"/>
    <col min="97" max="97" width="22.42578125" customWidth="1"/>
    <col min="98" max="98" width="17" customWidth="1"/>
    <col min="99" max="99" width="12" customWidth="1"/>
    <col min="100" max="100" width="4.42578125" customWidth="1"/>
    <col min="101" max="101" width="9" customWidth="1"/>
    <col min="102" max="105" width="8.140625" customWidth="1"/>
    <col min="106" max="106" width="4" customWidth="1"/>
    <col min="107" max="107" width="14.42578125" customWidth="1"/>
    <col min="108" max="108" width="12" customWidth="1"/>
    <col min="109" max="113" width="9.140625" customWidth="1"/>
    <col min="114" max="114" width="15.42578125" customWidth="1"/>
    <col min="115" max="115" width="9" style="29" customWidth="1"/>
    <col min="116" max="124" width="0" style="29" hidden="1" customWidth="1"/>
    <col min="125" max="16384" width="9" style="29" hidden="1"/>
  </cols>
  <sheetData>
    <row r="1" spans="1:116" s="28" customFormat="1" ht="38.1" customHeight="1" x14ac:dyDescent="0.25">
      <c r="E1" s="28" t="str" cm="1">
        <f t="array" aca="1" ref="E1" ca="1">MID(CELL("filename",A1),FIND("]",CELL("filename",A1))+1,255)</f>
        <v>Configurator Specs.</v>
      </c>
      <c r="BR1" s="390" t="str" cm="1">
        <f t="array" aca="1" ref="BR1" ca="1">MID(CELL("filename",BQ1),FIND("]",CELL("filename",BQ1))+1,255)</f>
        <v>Configurator Specs.</v>
      </c>
      <c r="BS1" s="390"/>
      <c r="BT1" s="390"/>
      <c r="BU1" s="391"/>
      <c r="BV1" s="391"/>
      <c r="BW1" s="391"/>
      <c r="BX1" s="391"/>
      <c r="BY1" s="391"/>
      <c r="BZ1" s="391"/>
      <c r="CA1" s="391"/>
      <c r="CH1" s="756"/>
      <c r="CI1"/>
      <c r="CJ1"/>
      <c r="CK1"/>
      <c r="CL1"/>
      <c r="CM1"/>
      <c r="CN1"/>
      <c r="CO1"/>
      <c r="CP1"/>
      <c r="CQ1">
        <v>2</v>
      </c>
      <c r="CR1"/>
      <c r="CS1"/>
      <c r="CT1"/>
      <c r="CU1"/>
      <c r="CV1"/>
      <c r="CW1">
        <v>5</v>
      </c>
      <c r="CX1"/>
      <c r="CY1"/>
      <c r="CZ1"/>
      <c r="DA1"/>
      <c r="DB1"/>
      <c r="DC1">
        <v>10</v>
      </c>
      <c r="DD1"/>
      <c r="DE1"/>
      <c r="DF1"/>
      <c r="DG1"/>
      <c r="DH1"/>
      <c r="DI1"/>
      <c r="DJ1"/>
      <c r="DL1" s="29"/>
    </row>
    <row r="2" spans="1:116" ht="15" x14ac:dyDescent="0.25">
      <c r="AB2" s="30" t="s">
        <v>1477</v>
      </c>
      <c r="AU2" s="668" t="s">
        <v>1478</v>
      </c>
      <c r="AW2" s="669"/>
      <c r="AX2" s="670"/>
      <c r="AY2" s="30" t="s">
        <v>1479</v>
      </c>
      <c r="BH2" s="30" t="s">
        <v>1480</v>
      </c>
      <c r="BI2" s="30"/>
      <c r="BS2" s="30"/>
      <c r="BT2" s="30"/>
      <c r="CI2" s="228"/>
      <c r="CJ2" s="229"/>
      <c r="CK2" s="30" t="s">
        <v>465</v>
      </c>
      <c r="CQ2" s="30" t="str">
        <f>"&lt; "&amp;CQ1&amp;" year payback"</f>
        <v>&lt; 2 year payback</v>
      </c>
      <c r="CW2" s="30" t="str">
        <f>"&lt; "&amp;CW1&amp;" year payback"</f>
        <v>&lt; 5 year payback</v>
      </c>
      <c r="DC2" s="30" t="str">
        <f>"&lt; "&amp;DC1&amp;" year payback"</f>
        <v>&lt; 10 year payback</v>
      </c>
    </row>
    <row r="3" spans="1:116" ht="15" x14ac:dyDescent="0.25">
      <c r="B3" s="67" t="s">
        <v>1481</v>
      </c>
      <c r="C3" s="67" t="s">
        <v>111</v>
      </c>
      <c r="D3" s="67" t="s">
        <v>125</v>
      </c>
      <c r="E3" s="67" t="s">
        <v>1482</v>
      </c>
      <c r="F3" s="67" t="s">
        <v>1483</v>
      </c>
      <c r="G3" s="67" t="s">
        <v>1484</v>
      </c>
      <c r="H3" s="67" t="s">
        <v>1485</v>
      </c>
      <c r="I3" s="67" t="s">
        <v>1486</v>
      </c>
      <c r="J3" s="67" t="s">
        <v>108</v>
      </c>
      <c r="K3" s="67" t="s">
        <v>1487</v>
      </c>
      <c r="L3" s="67" t="s">
        <v>1488</v>
      </c>
      <c r="M3" s="67" t="s">
        <v>1489</v>
      </c>
      <c r="N3" s="67" t="s">
        <v>260</v>
      </c>
      <c r="O3" s="67" t="s">
        <v>1490</v>
      </c>
      <c r="P3" s="67" t="s">
        <v>1491</v>
      </c>
      <c r="Q3" s="67" t="s">
        <v>1492</v>
      </c>
      <c r="S3" s="67" t="s">
        <v>1481</v>
      </c>
      <c r="T3" s="67" t="s">
        <v>106</v>
      </c>
      <c r="U3" s="67" t="s">
        <v>1493</v>
      </c>
      <c r="V3" s="67" t="s">
        <v>1494</v>
      </c>
      <c r="X3" s="67" t="s">
        <v>1495</v>
      </c>
      <c r="Z3" s="67" t="s">
        <v>470</v>
      </c>
      <c r="AB3" s="56" t="s">
        <v>618</v>
      </c>
      <c r="AC3" s="67" t="s">
        <v>1496</v>
      </c>
      <c r="AD3" s="67" t="s">
        <v>1497</v>
      </c>
      <c r="AE3" s="67" t="s">
        <v>1498</v>
      </c>
      <c r="AF3" s="67" t="s">
        <v>1499</v>
      </c>
      <c r="AG3" s="67" t="s">
        <v>470</v>
      </c>
      <c r="AH3" s="67" t="s">
        <v>1500</v>
      </c>
      <c r="AI3" s="67" t="s">
        <v>1501</v>
      </c>
      <c r="AJ3" s="67" t="s">
        <v>1502</v>
      </c>
      <c r="AK3" s="67" t="s">
        <v>1503</v>
      </c>
      <c r="AL3" s="68"/>
      <c r="AM3" s="67" t="s">
        <v>470</v>
      </c>
      <c r="AO3" s="67" t="s">
        <v>1501</v>
      </c>
      <c r="AS3" s="67" t="s">
        <v>1504</v>
      </c>
      <c r="AT3" s="67" t="s">
        <v>86</v>
      </c>
      <c r="AU3" s="67" t="s">
        <v>1505</v>
      </c>
      <c r="AV3" s="67" t="s">
        <v>1506</v>
      </c>
      <c r="AW3" s="67" t="s">
        <v>1507</v>
      </c>
      <c r="AX3" s="67" t="s">
        <v>1508</v>
      </c>
      <c r="AY3" s="67" t="s">
        <v>1505</v>
      </c>
      <c r="AZ3" s="67" t="s">
        <v>1506</v>
      </c>
      <c r="BA3" s="67" t="s">
        <v>1507</v>
      </c>
      <c r="BC3" s="67" t="s">
        <v>1509</v>
      </c>
      <c r="BD3" s="67"/>
      <c r="BE3" s="67" t="s">
        <v>1510</v>
      </c>
      <c r="BF3" s="67" t="s">
        <v>1511</v>
      </c>
      <c r="BH3" s="67" t="s">
        <v>1512</v>
      </c>
      <c r="BI3" s="67">
        <v>2020</v>
      </c>
      <c r="BJ3" s="67">
        <f t="shared" ref="BJ3:BO3" si="0">BI3+5</f>
        <v>2025</v>
      </c>
      <c r="BK3" s="67">
        <f t="shared" si="0"/>
        <v>2030</v>
      </c>
      <c r="BL3" s="67">
        <f t="shared" si="0"/>
        <v>2035</v>
      </c>
      <c r="BM3" s="67">
        <f t="shared" si="0"/>
        <v>2040</v>
      </c>
      <c r="BN3" s="67">
        <f t="shared" si="0"/>
        <v>2045</v>
      </c>
      <c r="BO3" s="67">
        <f t="shared" si="0"/>
        <v>2050</v>
      </c>
      <c r="BR3" s="671" t="s">
        <v>1513</v>
      </c>
      <c r="BS3" s="672" t="s">
        <v>1514</v>
      </c>
      <c r="BT3" s="671" t="s">
        <v>1515</v>
      </c>
      <c r="BU3" s="671" t="s">
        <v>1516</v>
      </c>
      <c r="BV3" s="673" t="s">
        <v>1517</v>
      </c>
      <c r="BW3" s="673" t="s">
        <v>1518</v>
      </c>
      <c r="BX3" s="671" t="s">
        <v>1519</v>
      </c>
      <c r="BY3" s="671" t="s">
        <v>1520</v>
      </c>
      <c r="BZ3" s="671" t="s">
        <v>619</v>
      </c>
      <c r="CA3" s="671" t="s">
        <v>2</v>
      </c>
      <c r="CE3" s="30" t="s">
        <v>1521</v>
      </c>
      <c r="CI3" s="230" t="s">
        <v>1522</v>
      </c>
      <c r="CJ3" s="67" t="s">
        <v>430</v>
      </c>
      <c r="CK3" s="67" t="s">
        <v>99</v>
      </c>
      <c r="CL3" s="67" t="s">
        <v>100</v>
      </c>
      <c r="CM3" s="67" t="s">
        <v>101</v>
      </c>
      <c r="CN3" s="67" t="s">
        <v>102</v>
      </c>
      <c r="CO3" s="67" t="s">
        <v>103</v>
      </c>
      <c r="CQ3" s="67" t="str">
        <f>+CK3</f>
        <v>Vessel 1</v>
      </c>
      <c r="CR3" s="67" t="str">
        <f>+CL3</f>
        <v>Vessel 2</v>
      </c>
      <c r="CS3" s="67" t="str">
        <f>+CM3</f>
        <v>Vessel 3</v>
      </c>
      <c r="CT3" s="67" t="str">
        <f>+CN3</f>
        <v>Vessel 4</v>
      </c>
      <c r="CU3" s="67" t="str">
        <f>+CO3</f>
        <v>Vessel 5</v>
      </c>
      <c r="CW3" s="67" t="str">
        <f>+CQ3</f>
        <v>Vessel 1</v>
      </c>
      <c r="CX3" s="67" t="str">
        <f>+CR3</f>
        <v>Vessel 2</v>
      </c>
      <c r="CY3" s="67" t="str">
        <f>+CS3</f>
        <v>Vessel 3</v>
      </c>
      <c r="CZ3" s="67" t="str">
        <f>+CT3</f>
        <v>Vessel 4</v>
      </c>
      <c r="DA3" s="67" t="str">
        <f>+CU3</f>
        <v>Vessel 5</v>
      </c>
      <c r="DC3" s="67" t="str">
        <f>+CW3</f>
        <v>Vessel 1</v>
      </c>
      <c r="DD3" s="67" t="str">
        <f>+CX3</f>
        <v>Vessel 2</v>
      </c>
      <c r="DE3" s="67" t="str">
        <f>+CY3</f>
        <v>Vessel 3</v>
      </c>
      <c r="DF3" s="67" t="str">
        <f>+CZ3</f>
        <v>Vessel 4</v>
      </c>
      <c r="DG3" s="67" t="str">
        <f>+DA3</f>
        <v>Vessel 5</v>
      </c>
      <c r="DI3" s="231" t="s">
        <v>458</v>
      </c>
      <c r="DJ3" s="231" t="s">
        <v>452</v>
      </c>
    </row>
    <row r="4" spans="1:116" ht="15" x14ac:dyDescent="0.25">
      <c r="A4" s="29">
        <v>1</v>
      </c>
      <c r="B4" s="29" t="s">
        <v>541</v>
      </c>
      <c r="C4" s="29" t="s">
        <v>112</v>
      </c>
      <c r="D4" s="29" t="s">
        <v>112</v>
      </c>
      <c r="E4" s="29" t="str">
        <f>'Configurator Specs.'!CF5</f>
        <v>LSFO</v>
      </c>
      <c r="F4" s="70">
        <v>0</v>
      </c>
      <c r="G4" s="70">
        <v>0</v>
      </c>
      <c r="H4" s="29" t="str">
        <f>E4</f>
        <v>LSFO</v>
      </c>
      <c r="I4" s="674"/>
      <c r="J4" s="29" t="s">
        <v>195</v>
      </c>
      <c r="K4" s="29" t="s">
        <v>195</v>
      </c>
      <c r="L4" s="29" t="s">
        <v>195</v>
      </c>
      <c r="N4" s="29" t="s">
        <v>129</v>
      </c>
      <c r="P4" s="29" t="s">
        <v>1503</v>
      </c>
      <c r="Q4" s="262"/>
      <c r="S4" s="29" t="s">
        <v>541</v>
      </c>
      <c r="T4" s="29" t="s">
        <v>107</v>
      </c>
      <c r="U4" s="29" t="s">
        <v>135</v>
      </c>
      <c r="V4" s="29">
        <v>2020</v>
      </c>
      <c r="X4" s="29" t="str">
        <f>" - "</f>
        <v xml:space="preserve"> - </v>
      </c>
      <c r="Z4" s="29" t="s">
        <v>527</v>
      </c>
      <c r="AB4" s="29">
        <f>IF(AC4=1,AC4+MAX($AB$3:AB3),"")</f>
        <v>1</v>
      </c>
      <c r="AC4" s="29">
        <v>1</v>
      </c>
      <c r="AD4" s="15" t="s">
        <v>117</v>
      </c>
      <c r="AE4" s="15" t="s">
        <v>117</v>
      </c>
      <c r="AF4" s="15" t="s">
        <v>117</v>
      </c>
      <c r="AG4" s="15" t="s">
        <v>527</v>
      </c>
      <c r="AH4" s="15" t="s">
        <v>527</v>
      </c>
      <c r="AI4" s="15" t="s">
        <v>1523</v>
      </c>
      <c r="AJ4" s="29">
        <f t="shared" ref="AJ4:AJ10" si="1">IF(AD4="",0,1)</f>
        <v>1</v>
      </c>
      <c r="AK4" s="29">
        <v>1</v>
      </c>
      <c r="AL4" s="68"/>
      <c r="AM4" s="29" t="s">
        <v>529</v>
      </c>
      <c r="AO4" s="29" t="s">
        <v>1524</v>
      </c>
      <c r="AS4" s="30" t="s">
        <v>1525</v>
      </c>
      <c r="AT4" s="30"/>
      <c r="AU4" s="675">
        <v>10000</v>
      </c>
      <c r="AV4" s="258">
        <v>50000</v>
      </c>
      <c r="AW4" s="669"/>
      <c r="AX4" s="670">
        <v>1</v>
      </c>
      <c r="AY4" s="523">
        <f t="shared" ref="AY4:AY9" si="2">AU4*$AX4</f>
        <v>10000</v>
      </c>
      <c r="AZ4" s="523">
        <f t="shared" ref="AZ4:AZ9" si="3">AV4*$AX4</f>
        <v>50000</v>
      </c>
      <c r="BC4" s="29" t="s">
        <v>614</v>
      </c>
      <c r="BD4" s="29" t="s">
        <v>1526</v>
      </c>
      <c r="BE4" s="29" t="s">
        <v>541</v>
      </c>
      <c r="BF4" s="29" t="s">
        <v>541</v>
      </c>
      <c r="BH4" s="676" t="s">
        <v>1527</v>
      </c>
      <c r="BI4" s="29">
        <f t="shared" ref="BI4:BO4" si="4">carbon_cost_level*BI11</f>
        <v>0</v>
      </c>
      <c r="BJ4" s="29">
        <f t="shared" si="4"/>
        <v>0</v>
      </c>
      <c r="BK4" s="29">
        <f t="shared" si="4"/>
        <v>0</v>
      </c>
      <c r="BL4" s="29">
        <f t="shared" si="4"/>
        <v>0</v>
      </c>
      <c r="BM4" s="29">
        <f t="shared" si="4"/>
        <v>0</v>
      </c>
      <c r="BN4" s="29">
        <f t="shared" si="4"/>
        <v>0</v>
      </c>
      <c r="BO4" s="29">
        <f t="shared" si="4"/>
        <v>0</v>
      </c>
      <c r="BR4" s="392" t="s">
        <v>1528</v>
      </c>
      <c r="BS4" s="677">
        <f>MATCH(EE_overview_tab3[[#This Row],[Main lever]],$BR$42:$BR$44,0)</f>
        <v>1</v>
      </c>
      <c r="BT4" s="392" t="s">
        <v>1529</v>
      </c>
      <c r="BU4" s="392">
        <f>INDEX($BU$42:$BU$51,MATCH(EE_overview_tab3[[#This Row],[Sub lever]],$BT$42:$BT$51,0))</f>
        <v>1</v>
      </c>
      <c r="BV4" s="678" t="s">
        <v>134</v>
      </c>
      <c r="BW4" s="678" t="s">
        <v>1530</v>
      </c>
      <c r="BX4" s="392">
        <f>COUNTIFS($C$4:BS4,BS4,$E$4:BU4,BU4)</f>
        <v>1</v>
      </c>
      <c r="BY4" s="392" t="str">
        <f>EE_overview_tab3[[#This Row],['#1]]&amp;"."&amp;EE_overview_tab3[[#This Row],['#2]]&amp;"."&amp;EE_overview_tab3[[#This Row],['#3]]</f>
        <v>1.1.1</v>
      </c>
      <c r="BZ4" s="392" t="str">
        <f>INDEX($BS$42:$BS$44,MATCH(EE_overview_tab3[[#This Row],[Main lever]],$BR$42:$BR$44,0))&amp;"_"&amp;EE_overview_tab3[[#This Row],[Sub lever]]&amp;"_"&amp;EE_overview_tab3[[#This Row],[Short]]</f>
        <v>Prop_Voy_Plan_Speed</v>
      </c>
      <c r="CA4" t="s">
        <v>1531</v>
      </c>
      <c r="CE4" s="143" t="s">
        <v>787</v>
      </c>
      <c r="CF4" s="209" t="s">
        <v>49</v>
      </c>
      <c r="CG4" s="209" t="s">
        <v>478</v>
      </c>
      <c r="CI4" s="232">
        <f ca="1">IFERROR(INDEX('EE - Input'!$B:$X,MATCH(CJ4&amp;"-"&amp;CI$3&amp;" Newbuild",'EE - Input'!$B:$B,0),MATCH(Ves1_type&amp;Ves1_size,'EE - Input'!$B$3:$X$3,0)),"EE for ship type NA")</f>
        <v>1</v>
      </c>
      <c r="CJ4" s="233" t="str">
        <f>+'Vessel Configurator'!B30</f>
        <v>Speed management</v>
      </c>
      <c r="CK4" s="234">
        <f ca="1">INDEX('Calculation - Detailed'!$A:$EF,MATCH($CJ4&amp;"-"&amp;$CK$2,'Calculation - Detailed'!$C:$C,0),MATCH("2020"&amp;CK$3,'Calculation - Detailed'!$8:$8,0))</f>
        <v>999</v>
      </c>
      <c r="CL4" s="234">
        <f ca="1">INDEX('Calculation - Detailed'!$A:$EF,MATCH($CJ4&amp;"-"&amp;$CK$2,'Calculation - Detailed'!$C:$C,0),MATCH("2020"&amp;CL$3,'Calculation - Detailed'!$8:$8,0))</f>
        <v>999</v>
      </c>
      <c r="CM4" s="234">
        <f ca="1">INDEX('Calculation - Detailed'!$A:$EF,MATCH($CJ4&amp;"-"&amp;$CK$2,'Calculation - Detailed'!$C:$C,0),MATCH("2020"&amp;CM$3,'Calculation - Detailed'!$8:$8,0))</f>
        <v>999</v>
      </c>
      <c r="CN4" s="234">
        <f ca="1">INDEX('Calculation - Detailed'!$A:$EF,MATCH($CJ4&amp;"-"&amp;$CK$2,'Calculation - Detailed'!$C:$C,0),MATCH("2020"&amp;CN$3,'Calculation - Detailed'!$8:$8,0))</f>
        <v>999</v>
      </c>
      <c r="CO4" s="235">
        <f ca="1">INDEX('Calculation - Detailed'!$A:$EF,MATCH($CJ4&amp;"-"&amp;$CK$2,'Calculation - Detailed'!$C:$C,0),MATCH("2020"&amp;CO$3,'Calculation - Detailed'!$8:$8,0))</f>
        <v>999</v>
      </c>
      <c r="CQ4" s="236" t="str">
        <f ca="1">+IF(CK4&lt;$CQ$1,"Yes","No")</f>
        <v>No</v>
      </c>
      <c r="CR4" s="237" t="str">
        <f t="shared" ref="CR4:CR36" ca="1" si="5">+IF(CL4&lt;$CQ$1,"Yes","No")</f>
        <v>No</v>
      </c>
      <c r="CS4" s="237" t="str">
        <f t="shared" ref="CS4:CS36" ca="1" si="6">+IF(CM4&lt;$CQ$1,"Yes","No")</f>
        <v>No</v>
      </c>
      <c r="CT4" s="237" t="str">
        <f t="shared" ref="CT4:CT36" ca="1" si="7">+IF(CN4&lt;$CQ$1,"Yes","No")</f>
        <v>No</v>
      </c>
      <c r="CU4" s="238" t="str">
        <f t="shared" ref="CU4:CU36" ca="1" si="8">+IF(CO4&lt;$CQ$1,"Yes","No")</f>
        <v>No</v>
      </c>
      <c r="CV4" s="239"/>
      <c r="CW4" s="236" t="str">
        <f ca="1">+IF(CK4&lt;$CW$1,"Yes","No")</f>
        <v>No</v>
      </c>
      <c r="CX4" s="237" t="str">
        <f t="shared" ref="CX4:CX36" ca="1" si="9">+IF(CL4&lt;$CW$1,"Yes","No")</f>
        <v>No</v>
      </c>
      <c r="CY4" s="237" t="str">
        <f t="shared" ref="CY4:CY36" ca="1" si="10">+IF(CM4&lt;$CW$1,"Yes","No")</f>
        <v>No</v>
      </c>
      <c r="CZ4" s="237" t="str">
        <f t="shared" ref="CZ4:CZ36" ca="1" si="11">+IF(CN4&lt;$CW$1,"Yes","No")</f>
        <v>No</v>
      </c>
      <c r="DA4" s="238" t="str">
        <f t="shared" ref="DA4:DA36" ca="1" si="12">+IF(CO4&lt;$CW$1,"Yes","No")</f>
        <v>No</v>
      </c>
      <c r="DB4" s="239"/>
      <c r="DC4" s="236" t="str">
        <f ca="1">+IF(CK4&lt;$DC$1,"Yes","No")</f>
        <v>No</v>
      </c>
      <c r="DD4" s="237" t="str">
        <f t="shared" ref="DD4:DD36" ca="1" si="13">+IF(CL4&lt;$DC$1,"Yes","No")</f>
        <v>No</v>
      </c>
      <c r="DE4" s="237" t="str">
        <f t="shared" ref="DE4:DE36" ca="1" si="14">+IF(CM4&lt;$DC$1,"Yes","No")</f>
        <v>No</v>
      </c>
      <c r="DF4" s="237" t="str">
        <f t="shared" ref="DF4:DF36" ca="1" si="15">+IF(CN4&lt;$DC$1,"Yes","No")</f>
        <v>No</v>
      </c>
      <c r="DG4" s="238" t="str">
        <f t="shared" ref="DG4:DG36" ca="1" si="16">+IF(CO4&lt;$DC$1,"Yes","No")</f>
        <v>No</v>
      </c>
      <c r="DI4" s="104" t="str">
        <f>IF($D4=1,IFERROR(INDEX('EE - Input'!$B:$X,MATCH($E4&amp;"-Saving",'EE - Input'!$B:$B,0),MATCH(Ves1_type&amp;Ves1_size,'EE - Input'!$B$3:$X$3,0)),"EE for ship type NA"),"NA")</f>
        <v>NA</v>
      </c>
      <c r="DJ4" s="240" t="str">
        <f ca="1">IF(CI4=1,IFERROR(INDEX('EE - Input'!$B:$X,MATCH($E4&amp;"-"&amp;$AE$3,'EE - Input'!$B:$B,0),MATCH(Ves1_type&amp;Ves1_size,'EE - Input'!$B$3:$X$3,0)),"EE for ship type NA"),"NA")</f>
        <v>EE for ship type NA</v>
      </c>
    </row>
    <row r="5" spans="1:116" x14ac:dyDescent="0.2">
      <c r="A5" s="29">
        <f>A4+1</f>
        <v>2</v>
      </c>
      <c r="B5" s="29" t="s">
        <v>547</v>
      </c>
      <c r="C5" s="29" t="s">
        <v>115</v>
      </c>
      <c r="D5" s="29" t="s">
        <v>115</v>
      </c>
      <c r="E5" s="29" t="str">
        <f>'Configurator Specs.'!CF6</f>
        <v>LNG</v>
      </c>
      <c r="F5" s="70">
        <v>0.2</v>
      </c>
      <c r="G5" s="70">
        <v>0.1</v>
      </c>
      <c r="H5" s="29" t="str">
        <f t="shared" ref="H5:H23" si="17">E5</f>
        <v>LNG</v>
      </c>
      <c r="I5" s="674"/>
      <c r="J5" s="29" t="s">
        <v>198</v>
      </c>
      <c r="K5" s="29" t="s">
        <v>198</v>
      </c>
      <c r="L5" s="29" t="s">
        <v>198</v>
      </c>
      <c r="N5" s="29" t="s">
        <v>1532</v>
      </c>
      <c r="P5" s="29" t="s">
        <v>1502</v>
      </c>
      <c r="Q5" s="70"/>
      <c r="S5" s="29" t="s">
        <v>547</v>
      </c>
      <c r="U5" s="29" t="s">
        <v>138</v>
      </c>
      <c r="V5" s="29">
        <v>2025</v>
      </c>
      <c r="Z5" s="29" t="s">
        <v>528</v>
      </c>
      <c r="AB5" s="29">
        <f>IF(AC5=1,AC5+MAX($AB$3:AB4),"")</f>
        <v>2</v>
      </c>
      <c r="AC5" s="29">
        <v>1</v>
      </c>
      <c r="AD5" s="15" t="s">
        <v>528</v>
      </c>
      <c r="AE5" s="15" t="s">
        <v>528</v>
      </c>
      <c r="AF5" s="15" t="s">
        <v>528</v>
      </c>
      <c r="AG5" s="15" t="s">
        <v>528</v>
      </c>
      <c r="AH5" s="15" t="s">
        <v>743</v>
      </c>
      <c r="AI5" s="15" t="s">
        <v>1523</v>
      </c>
      <c r="AJ5" s="29">
        <f t="shared" si="1"/>
        <v>1</v>
      </c>
      <c r="AK5" s="29">
        <v>1</v>
      </c>
      <c r="AL5" s="68"/>
      <c r="AM5" s="29" t="s">
        <v>54</v>
      </c>
      <c r="AO5" s="29" t="s">
        <v>1533</v>
      </c>
      <c r="AS5" s="29" t="s">
        <v>1534</v>
      </c>
      <c r="AT5" s="29" t="s">
        <v>1535</v>
      </c>
      <c r="AU5" s="675">
        <v>150000</v>
      </c>
      <c r="AV5" s="258">
        <v>250000</v>
      </c>
      <c r="AW5" s="669"/>
      <c r="AX5" s="670">
        <v>1</v>
      </c>
      <c r="AY5" s="523">
        <f t="shared" si="2"/>
        <v>150000</v>
      </c>
      <c r="AZ5" s="523">
        <f t="shared" si="3"/>
        <v>250000</v>
      </c>
      <c r="BC5" s="29" t="s">
        <v>105</v>
      </c>
      <c r="BD5" s="29" t="s">
        <v>1536</v>
      </c>
      <c r="BE5" s="29" t="s">
        <v>105</v>
      </c>
      <c r="BF5" s="29" t="s">
        <v>105</v>
      </c>
      <c r="BH5" s="29" t="s">
        <v>1537</v>
      </c>
      <c r="BI5" s="29">
        <f t="shared" ref="BI5:BO5" si="18">carbon_cost_level*BI12</f>
        <v>0</v>
      </c>
      <c r="BJ5" s="29">
        <f t="shared" si="18"/>
        <v>0</v>
      </c>
      <c r="BK5" s="29">
        <f t="shared" si="18"/>
        <v>0</v>
      </c>
      <c r="BL5" s="29">
        <f t="shared" si="18"/>
        <v>0</v>
      </c>
      <c r="BM5" s="29">
        <f t="shared" si="18"/>
        <v>0</v>
      </c>
      <c r="BN5" s="29">
        <f t="shared" si="18"/>
        <v>0</v>
      </c>
      <c r="BO5" s="29">
        <f t="shared" si="18"/>
        <v>0</v>
      </c>
      <c r="BR5" s="392" t="s">
        <v>1528</v>
      </c>
      <c r="BS5" s="677">
        <f>MATCH(EE_overview_tab3[[#This Row],[Main lever]],$BR$42:$BR$44,0)</f>
        <v>1</v>
      </c>
      <c r="BT5" s="392" t="s">
        <v>1529</v>
      </c>
      <c r="BU5" s="392">
        <f>INDEX($BU$42:$BU$51,MATCH(EE_overview_tab3[[#This Row],[Sub lever]],$BT$42:$BT$51,0))</f>
        <v>1</v>
      </c>
      <c r="BV5" s="678" t="s">
        <v>136</v>
      </c>
      <c r="BW5" s="678" t="s">
        <v>1538</v>
      </c>
      <c r="BX5" s="392">
        <f>COUNTIFS($C$4:BS5,BS5,$E$4:BU5,BU5)</f>
        <v>2</v>
      </c>
      <c r="BY5" s="392" t="str">
        <f>EE_overview_tab3[[#This Row],['#1]]&amp;"."&amp;EE_overview_tab3[[#This Row],['#2]]&amp;"."&amp;EE_overview_tab3[[#This Row],['#3]]</f>
        <v>1.1.2</v>
      </c>
      <c r="BZ5" s="392" t="str">
        <f>INDEX($BS$42:$BS$44,MATCH(EE_overview_tab3[[#This Row],[Main lever]],$BR$42:$BR$44,0))&amp;"_"&amp;EE_overview_tab3[[#This Row],[Sub lever]]&amp;"_"&amp;EE_overview_tab3[[#This Row],[Short]]</f>
        <v>Prop_Voy_Plan_WRouting</v>
      </c>
      <c r="CA5" t="s">
        <v>1539</v>
      </c>
      <c r="CE5" s="145">
        <v>1</v>
      </c>
      <c r="CF5" s="146" t="s">
        <v>117</v>
      </c>
      <c r="CG5" s="146" t="s">
        <v>1503</v>
      </c>
      <c r="CI5" s="241">
        <f ca="1">IFERROR(INDEX('EE - Input'!$B:$X,MATCH(CJ5&amp;"-"&amp;CI$3&amp;" Newbuild",'EE - Input'!$B:$B,0),MATCH(Ves1_type&amp;Ves1_size,'EE - Input'!$B$3:$X$3,0)),"EE for ship type NA")</f>
        <v>1</v>
      </c>
      <c r="CJ5" s="19" t="str">
        <f>+'Vessel Configurator'!B31</f>
        <v>Weather routing</v>
      </c>
      <c r="CK5" s="242">
        <f ca="1">INDEX('Calculation - Detailed'!$A:$EF,MATCH($CJ5&amp;"-"&amp;$CK$2,'Calculation - Detailed'!$C:$C,0),MATCH("2020"&amp;CK$3,'Calculation - Detailed'!$8:$8,0))</f>
        <v>999</v>
      </c>
      <c r="CL5" s="242">
        <f ca="1">INDEX('Calculation - Detailed'!$A:$EF,MATCH($CJ5&amp;"-"&amp;$CK$2,'Calculation - Detailed'!$C:$C,0),MATCH("2020"&amp;CL$3,'Calculation - Detailed'!$8:$8,0))</f>
        <v>999</v>
      </c>
      <c r="CM5" s="242">
        <f ca="1">INDEX('Calculation - Detailed'!$A:$EF,MATCH($CJ5&amp;"-"&amp;$CK$2,'Calculation - Detailed'!$C:$C,0),MATCH("2020"&amp;CM$3,'Calculation - Detailed'!$8:$8,0))</f>
        <v>999</v>
      </c>
      <c r="CN5" s="242">
        <f ca="1">INDEX('Calculation - Detailed'!$A:$EF,MATCH($CJ5&amp;"-"&amp;$CK$2,'Calculation - Detailed'!$C:$C,0),MATCH("2020"&amp;CN$3,'Calculation - Detailed'!$8:$8,0))</f>
        <v>999</v>
      </c>
      <c r="CO5" s="243">
        <f ca="1">INDEX('Calculation - Detailed'!$A:$EF,MATCH($CJ5&amp;"-"&amp;$CK$2,'Calculation - Detailed'!$C:$C,0),MATCH("2020"&amp;CO$3,'Calculation - Detailed'!$8:$8,0))</f>
        <v>999</v>
      </c>
      <c r="CQ5" s="244" t="str">
        <f t="shared" ref="CQ5:CQ36" ca="1" si="19">+IF(CK5&lt;$CQ$1,"Yes","No")</f>
        <v>No</v>
      </c>
      <c r="CR5" s="239" t="str">
        <f t="shared" ca="1" si="5"/>
        <v>No</v>
      </c>
      <c r="CS5" s="239" t="str">
        <f t="shared" ca="1" si="6"/>
        <v>No</v>
      </c>
      <c r="CT5" s="239" t="str">
        <f t="shared" ca="1" si="7"/>
        <v>No</v>
      </c>
      <c r="CU5" s="245" t="str">
        <f t="shared" ca="1" si="8"/>
        <v>No</v>
      </c>
      <c r="CV5" s="239"/>
      <c r="CW5" s="244" t="str">
        <f t="shared" ref="CW5:CW36" ca="1" si="20">+IF(CK5&lt;$CW$1,"Yes","No")</f>
        <v>No</v>
      </c>
      <c r="CX5" s="239" t="str">
        <f t="shared" ca="1" si="9"/>
        <v>No</v>
      </c>
      <c r="CY5" s="239" t="str">
        <f t="shared" ca="1" si="10"/>
        <v>No</v>
      </c>
      <c r="CZ5" s="239" t="str">
        <f t="shared" ca="1" si="11"/>
        <v>No</v>
      </c>
      <c r="DA5" s="245" t="str">
        <f t="shared" ca="1" si="12"/>
        <v>No</v>
      </c>
      <c r="DB5" s="239"/>
      <c r="DC5" s="244" t="str">
        <f t="shared" ref="DC5:DC36" ca="1" si="21">+IF(CK5&lt;$DC$1,"Yes","No")</f>
        <v>No</v>
      </c>
      <c r="DD5" s="239" t="str">
        <f t="shared" ca="1" si="13"/>
        <v>No</v>
      </c>
      <c r="DE5" s="239" t="str">
        <f t="shared" ca="1" si="14"/>
        <v>No</v>
      </c>
      <c r="DF5" s="239" t="str">
        <f t="shared" ca="1" si="15"/>
        <v>No</v>
      </c>
      <c r="DG5" s="245" t="str">
        <f t="shared" ca="1" si="16"/>
        <v>No</v>
      </c>
      <c r="DI5" s="105" t="str">
        <f>IF($D5=1,IFERROR(INDEX('EE - Input'!$B:$X,MATCH($E5&amp;"-Saving",'EE - Input'!$B:$B,0),MATCH(Ves1_type&amp;Ves1_size,'EE - Input'!$B$3:$X$3,0)),"EE for ship type NA"),"NA")</f>
        <v>NA</v>
      </c>
      <c r="DJ5" s="246" t="str">
        <f ca="1">IF(CI5=1,IFERROR(INDEX('EE - Input'!$B:$X,MATCH($E5&amp;"-"&amp;$AE$3,'EE - Input'!$B:$B,0),MATCH(Ves1_type&amp;Ves1_size,'EE - Input'!$B$3:$X$3,0)),"EE for ship type NA"),"NA")</f>
        <v>EE for ship type NA</v>
      </c>
    </row>
    <row r="6" spans="1:116" x14ac:dyDescent="0.2">
      <c r="A6" s="29">
        <f t="shared" ref="A6:A22" si="22">A5+1</f>
        <v>3</v>
      </c>
      <c r="B6" s="29" t="s">
        <v>105</v>
      </c>
      <c r="C6" s="29" t="s">
        <v>114</v>
      </c>
      <c r="D6" s="29" t="s">
        <v>114</v>
      </c>
      <c r="E6" s="29" t="str">
        <f>'Configurator Specs.'!CF7</f>
        <v>LPG</v>
      </c>
      <c r="F6" s="70">
        <v>0.5</v>
      </c>
      <c r="G6" s="70">
        <v>0.2</v>
      </c>
      <c r="H6" s="29" t="str">
        <f t="shared" si="17"/>
        <v>LPG</v>
      </c>
      <c r="I6" s="674"/>
      <c r="J6" s="29" t="s">
        <v>197</v>
      </c>
      <c r="K6" s="29" t="s">
        <v>197</v>
      </c>
      <c r="L6" s="29" t="s">
        <v>197</v>
      </c>
      <c r="Q6" s="70"/>
      <c r="S6" s="29" t="s">
        <v>105</v>
      </c>
      <c r="V6" s="29">
        <v>2030</v>
      </c>
      <c r="Z6" s="29" t="s">
        <v>534</v>
      </c>
      <c r="AB6" s="29">
        <f>IF(AC6=1,AC6+MAX($AB$3:AB5),"")</f>
        <v>3</v>
      </c>
      <c r="AC6" s="29">
        <v>1</v>
      </c>
      <c r="AD6" s="15" t="s">
        <v>534</v>
      </c>
      <c r="AE6" s="15" t="s">
        <v>534</v>
      </c>
      <c r="AF6" s="15" t="s">
        <v>534</v>
      </c>
      <c r="AG6" s="15" t="s">
        <v>534</v>
      </c>
      <c r="AH6" s="15" t="s">
        <v>534</v>
      </c>
      <c r="AI6" s="15" t="s">
        <v>1523</v>
      </c>
      <c r="AJ6" s="29">
        <f t="shared" si="1"/>
        <v>1</v>
      </c>
      <c r="AK6" s="29">
        <v>1</v>
      </c>
      <c r="AL6" s="68"/>
      <c r="AM6" s="29" t="s">
        <v>527</v>
      </c>
      <c r="AO6" s="29" t="s">
        <v>1523</v>
      </c>
      <c r="AS6" s="29" t="s">
        <v>202</v>
      </c>
      <c r="AT6" s="29" t="s">
        <v>1535</v>
      </c>
      <c r="AU6" s="675">
        <v>150000</v>
      </c>
      <c r="AV6" s="258">
        <v>250000</v>
      </c>
      <c r="AW6" s="669"/>
      <c r="AX6" s="670">
        <v>1</v>
      </c>
      <c r="AY6" s="523">
        <f t="shared" si="2"/>
        <v>150000</v>
      </c>
      <c r="AZ6" s="523">
        <f t="shared" si="3"/>
        <v>250000</v>
      </c>
      <c r="BC6" s="29" t="s">
        <v>555</v>
      </c>
      <c r="BD6" s="29" t="s">
        <v>555</v>
      </c>
      <c r="BE6" s="29" t="s">
        <v>555</v>
      </c>
      <c r="BF6" s="29" t="s">
        <v>555</v>
      </c>
      <c r="BR6" s="392" t="s">
        <v>1528</v>
      </c>
      <c r="BS6" s="677">
        <f>MATCH(EE_overview_tab3[[#This Row],[Main lever]],$BR$42:$BR$44,0)</f>
        <v>1</v>
      </c>
      <c r="BT6" s="395" t="s">
        <v>1540</v>
      </c>
      <c r="BU6" s="392">
        <f>INDEX($BU$42:$BU$51,MATCH(EE_overview_tab3[[#This Row],[Sub lever]],$BT$42:$BT$51,0))</f>
        <v>2</v>
      </c>
      <c r="BV6" s="679" t="s">
        <v>137</v>
      </c>
      <c r="BW6" s="680" t="s">
        <v>1541</v>
      </c>
      <c r="BX6" s="392">
        <f>COUNTIFS($C$4:BS6,BS6,$E$4:BU6,BU6)</f>
        <v>1</v>
      </c>
      <c r="BY6" s="681" t="str">
        <f>EE_overview_tab3[[#This Row],['#1]]&amp;"."&amp;EE_overview_tab3[[#This Row],['#2]]&amp;"."&amp;EE_overview_tab3[[#This Row],['#3]]</f>
        <v>1.2.1</v>
      </c>
      <c r="BZ6" s="392" t="str">
        <f>INDEX($BS$42:$BS$44,MATCH(EE_overview_tab3[[#This Row],[Main lever]],$BR$42:$BR$44,0))&amp;"_"&amp;EE_overview_tab3[[#This Row],[Sub lever]]&amp;"_"&amp;EE_overview_tab3[[#This Row],[Short]]</f>
        <v>Prop_ME_Opt_Hybrid</v>
      </c>
      <c r="CA6" t="s">
        <v>1542</v>
      </c>
      <c r="CE6" s="147">
        <f t="shared" ref="CE6:CE24" si="23">CE5+1</f>
        <v>2</v>
      </c>
      <c r="CF6" s="146" t="s">
        <v>528</v>
      </c>
      <c r="CG6" s="146" t="s">
        <v>1502</v>
      </c>
      <c r="CI6" s="241">
        <f ca="1">IFERROR(INDEX('EE - Input'!$B:$X,MATCH(CJ6&amp;"-"&amp;CI$3&amp;" Newbuild",'EE - Input'!$B:$B,0),MATCH(Ves1_type&amp;Ves1_size,'EE - Input'!$B$3:$X$3,0)),"EE for ship type NA")</f>
        <v>0</v>
      </c>
      <c r="CJ6" s="19" t="str">
        <f>+'Vessel Configurator'!B32</f>
        <v xml:space="preserve">ME Hybridization </v>
      </c>
      <c r="CK6" s="242">
        <f ca="1">INDEX('Calculation - Detailed'!$A:$EF,MATCH($CJ6&amp;"-"&amp;$CK$2,'Calculation - Detailed'!$C:$C,0),MATCH("2020"&amp;CK$3,'Calculation - Detailed'!$8:$8,0))</f>
        <v>999</v>
      </c>
      <c r="CL6" s="242">
        <f ca="1">INDEX('Calculation - Detailed'!$A:$EF,MATCH($CJ6&amp;"-"&amp;$CK$2,'Calculation - Detailed'!$C:$C,0),MATCH("2020"&amp;CL$3,'Calculation - Detailed'!$8:$8,0))</f>
        <v>999</v>
      </c>
      <c r="CM6" s="242">
        <f ca="1">INDEX('Calculation - Detailed'!$A:$EF,MATCH($CJ6&amp;"-"&amp;$CK$2,'Calculation - Detailed'!$C:$C,0),MATCH("2020"&amp;CM$3,'Calculation - Detailed'!$8:$8,0))</f>
        <v>999</v>
      </c>
      <c r="CN6" s="242">
        <f ca="1">INDEX('Calculation - Detailed'!$A:$EF,MATCH($CJ6&amp;"-"&amp;$CK$2,'Calculation - Detailed'!$C:$C,0),MATCH("2020"&amp;CN$3,'Calculation - Detailed'!$8:$8,0))</f>
        <v>999</v>
      </c>
      <c r="CO6" s="243">
        <f ca="1">INDEX('Calculation - Detailed'!$A:$EF,MATCH($CJ6&amp;"-"&amp;$CK$2,'Calculation - Detailed'!$C:$C,0),MATCH("2020"&amp;CO$3,'Calculation - Detailed'!$8:$8,0))</f>
        <v>999</v>
      </c>
      <c r="CQ6" s="244" t="str">
        <f t="shared" ca="1" si="19"/>
        <v>No</v>
      </c>
      <c r="CR6" s="239" t="str">
        <f t="shared" ca="1" si="5"/>
        <v>No</v>
      </c>
      <c r="CS6" s="239" t="str">
        <f t="shared" ca="1" si="6"/>
        <v>No</v>
      </c>
      <c r="CT6" s="239" t="str">
        <f t="shared" ca="1" si="7"/>
        <v>No</v>
      </c>
      <c r="CU6" s="245" t="str">
        <f t="shared" ca="1" si="8"/>
        <v>No</v>
      </c>
      <c r="CV6" s="239"/>
      <c r="CW6" s="244" t="str">
        <f t="shared" ca="1" si="20"/>
        <v>No</v>
      </c>
      <c r="CX6" s="239" t="str">
        <f t="shared" ca="1" si="9"/>
        <v>No</v>
      </c>
      <c r="CY6" s="239" t="str">
        <f t="shared" ca="1" si="10"/>
        <v>No</v>
      </c>
      <c r="CZ6" s="239" t="str">
        <f t="shared" ca="1" si="11"/>
        <v>No</v>
      </c>
      <c r="DA6" s="245" t="str">
        <f t="shared" ca="1" si="12"/>
        <v>No</v>
      </c>
      <c r="DB6" s="239"/>
      <c r="DC6" s="244" t="str">
        <f t="shared" ca="1" si="21"/>
        <v>No</v>
      </c>
      <c r="DD6" s="239" t="str">
        <f t="shared" ca="1" si="13"/>
        <v>No</v>
      </c>
      <c r="DE6" s="239" t="str">
        <f t="shared" ca="1" si="14"/>
        <v>No</v>
      </c>
      <c r="DF6" s="239" t="str">
        <f t="shared" ca="1" si="15"/>
        <v>No</v>
      </c>
      <c r="DG6" s="245" t="str">
        <f t="shared" ca="1" si="16"/>
        <v>No</v>
      </c>
      <c r="DI6" s="105" t="str">
        <f>IF($D6=1,IFERROR(INDEX('EE - Input'!$B:$X,MATCH($E6&amp;"-Saving",'EE - Input'!$B:$B,0),MATCH(Ves1_type&amp;Ves1_size,'EE - Input'!$B$3:$X$3,0)),"EE for ship type NA"),"NA")</f>
        <v>NA</v>
      </c>
      <c r="DJ6" s="246" t="str">
        <f ca="1">IF(CI6=1,IFERROR(INDEX('EE - Input'!$B:$X,MATCH($E6&amp;"-"&amp;$AE$3,'EE - Input'!$B:$B,0),MATCH(Ves1_type&amp;Ves1_size,'EE - Input'!$B$3:$X$3,0)),"EE for ship type NA"),"NA")</f>
        <v>NA</v>
      </c>
    </row>
    <row r="7" spans="1:116" x14ac:dyDescent="0.2">
      <c r="A7" s="29">
        <f t="shared" si="22"/>
        <v>4</v>
      </c>
      <c r="B7" s="29" t="s">
        <v>548</v>
      </c>
      <c r="C7" s="29" t="s">
        <v>113</v>
      </c>
      <c r="D7" s="29" t="s">
        <v>113</v>
      </c>
      <c r="E7" s="29" t="str">
        <f>'Configurator Specs.'!CF8</f>
        <v>Electricity</v>
      </c>
      <c r="F7" s="70">
        <v>0.7</v>
      </c>
      <c r="G7" s="70">
        <v>0.3</v>
      </c>
      <c r="H7" s="29" t="str">
        <f t="shared" si="17"/>
        <v>Electricity</v>
      </c>
      <c r="I7" s="674"/>
      <c r="J7" s="29" t="s">
        <v>199</v>
      </c>
      <c r="K7" s="29" t="s">
        <v>199</v>
      </c>
      <c r="L7" s="29" t="s">
        <v>199</v>
      </c>
      <c r="Q7" s="70"/>
      <c r="S7" s="29" t="s">
        <v>548</v>
      </c>
      <c r="V7" s="29">
        <v>2035</v>
      </c>
      <c r="Z7" s="29" t="s">
        <v>529</v>
      </c>
      <c r="AB7" s="29">
        <f>IF(AC7=1,AC7+MAX($AB$3:AB6),"")</f>
        <v>4</v>
      </c>
      <c r="AC7" s="29">
        <v>1</v>
      </c>
      <c r="AD7" s="15" t="s">
        <v>1543</v>
      </c>
      <c r="AE7" s="15" t="s">
        <v>121</v>
      </c>
      <c r="AF7" s="15" t="s">
        <v>1544</v>
      </c>
      <c r="AG7" s="15" t="s">
        <v>529</v>
      </c>
      <c r="AH7" s="15" t="s">
        <v>529</v>
      </c>
      <c r="AI7" s="15" t="s">
        <v>1533</v>
      </c>
      <c r="AJ7" s="29">
        <f t="shared" si="1"/>
        <v>1</v>
      </c>
      <c r="AK7" s="32"/>
      <c r="AL7" s="68"/>
      <c r="AM7" s="29" t="s">
        <v>1545</v>
      </c>
      <c r="AO7" s="29" t="s">
        <v>1546</v>
      </c>
      <c r="AS7" s="29" t="s">
        <v>1547</v>
      </c>
      <c r="AT7" s="29" t="s">
        <v>1535</v>
      </c>
      <c r="AU7" s="675">
        <v>8000</v>
      </c>
      <c r="AV7" s="258">
        <v>20000</v>
      </c>
      <c r="AW7" s="669"/>
      <c r="AX7" s="670">
        <v>1</v>
      </c>
      <c r="AY7" s="523">
        <f t="shared" si="2"/>
        <v>8000</v>
      </c>
      <c r="AZ7" s="523">
        <f t="shared" si="3"/>
        <v>20000</v>
      </c>
      <c r="BC7" s="29" t="s">
        <v>551</v>
      </c>
      <c r="BD7" s="29" t="s">
        <v>1548</v>
      </c>
      <c r="BE7" s="29" t="s">
        <v>1549</v>
      </c>
      <c r="BF7" s="29" t="s">
        <v>551</v>
      </c>
      <c r="BR7" s="392" t="s">
        <v>1528</v>
      </c>
      <c r="BS7" s="677">
        <f>MATCH(EE_overview_tab3[[#This Row],[Main lever]],$BR$42:$BR$44,0)</f>
        <v>1</v>
      </c>
      <c r="BT7" s="392" t="s">
        <v>1540</v>
      </c>
      <c r="BU7" s="392">
        <f>INDEX($BU$42:$BU$51,MATCH(EE_overview_tab3[[#This Row],[Sub lever]],$BT$42:$BT$51,0))</f>
        <v>2</v>
      </c>
      <c r="BV7" s="678" t="s">
        <v>139</v>
      </c>
      <c r="BW7" s="678" t="s">
        <v>1550</v>
      </c>
      <c r="BX7" s="392">
        <f>COUNTIFS($C$4:BS7,BS7,$E$4:BU7,BU7)</f>
        <v>2</v>
      </c>
      <c r="BY7" s="392" t="str">
        <f>EE_overview_tab3[[#This Row],['#1]]&amp;"."&amp;EE_overview_tab3[[#This Row],['#2]]&amp;"."&amp;EE_overview_tab3[[#This Row],['#3]]</f>
        <v>1.2.2</v>
      </c>
      <c r="BZ7" s="392" t="str">
        <f>INDEX($BS$42:$BS$44,MATCH(EE_overview_tab3[[#This Row],[Main lever]],$BR$42:$BR$44,0))&amp;"_"&amp;EE_overview_tab3[[#This Row],[Sub lever]]&amp;"_"&amp;EE_overview_tab3[[#This Row],[Short]]</f>
        <v>Prop_ME_Opt_DeRate</v>
      </c>
      <c r="CA7" t="s">
        <v>1551</v>
      </c>
      <c r="CE7" s="147">
        <f t="shared" si="23"/>
        <v>3</v>
      </c>
      <c r="CF7" s="146" t="s">
        <v>534</v>
      </c>
      <c r="CG7" s="146" t="s">
        <v>1503</v>
      </c>
      <c r="CI7" s="241">
        <f ca="1">IFERROR(INDEX('EE - Input'!$B:$X,MATCH(CJ7&amp;"-"&amp;CI$3&amp;" Newbuild",'EE - Input'!$B:$B,0),MATCH(Ves1_type&amp;Ves1_size,'EE - Input'!$B$3:$X$3,0)),"EE for ship type NA")</f>
        <v>0</v>
      </c>
      <c r="CJ7" s="19" t="str">
        <f>+'Vessel Configurator'!B33</f>
        <v>Engine de-rating</v>
      </c>
      <c r="CK7" s="242">
        <f ca="1">INDEX('Calculation - Detailed'!$A:$EF,MATCH($CJ7&amp;"-"&amp;$CK$2,'Calculation - Detailed'!$C:$C,0),MATCH("2020"&amp;CK$3,'Calculation - Detailed'!$8:$8,0))</f>
        <v>999</v>
      </c>
      <c r="CL7" s="242">
        <f ca="1">INDEX('Calculation - Detailed'!$A:$EF,MATCH($CJ7&amp;"-"&amp;$CK$2,'Calculation - Detailed'!$C:$C,0),MATCH("2020"&amp;CL$3,'Calculation - Detailed'!$8:$8,0))</f>
        <v>999</v>
      </c>
      <c r="CM7" s="242">
        <f ca="1">INDEX('Calculation - Detailed'!$A:$EF,MATCH($CJ7&amp;"-"&amp;$CK$2,'Calculation - Detailed'!$C:$C,0),MATCH("2020"&amp;CM$3,'Calculation - Detailed'!$8:$8,0))</f>
        <v>999</v>
      </c>
      <c r="CN7" s="242">
        <f ca="1">INDEX('Calculation - Detailed'!$A:$EF,MATCH($CJ7&amp;"-"&amp;$CK$2,'Calculation - Detailed'!$C:$C,0),MATCH("2020"&amp;CN$3,'Calculation - Detailed'!$8:$8,0))</f>
        <v>999</v>
      </c>
      <c r="CO7" s="243">
        <f ca="1">INDEX('Calculation - Detailed'!$A:$EF,MATCH($CJ7&amp;"-"&amp;$CK$2,'Calculation - Detailed'!$C:$C,0),MATCH("2020"&amp;CO$3,'Calculation - Detailed'!$8:$8,0))</f>
        <v>999</v>
      </c>
      <c r="CQ7" s="244" t="str">
        <f t="shared" ca="1" si="19"/>
        <v>No</v>
      </c>
      <c r="CR7" s="239" t="str">
        <f t="shared" ca="1" si="5"/>
        <v>No</v>
      </c>
      <c r="CS7" s="239" t="str">
        <f t="shared" ca="1" si="6"/>
        <v>No</v>
      </c>
      <c r="CT7" s="239" t="str">
        <f t="shared" ca="1" si="7"/>
        <v>No</v>
      </c>
      <c r="CU7" s="245" t="str">
        <f t="shared" ca="1" si="8"/>
        <v>No</v>
      </c>
      <c r="CV7" s="239"/>
      <c r="CW7" s="244" t="str">
        <f t="shared" ca="1" si="20"/>
        <v>No</v>
      </c>
      <c r="CX7" s="239" t="str">
        <f t="shared" ca="1" si="9"/>
        <v>No</v>
      </c>
      <c r="CY7" s="239" t="str">
        <f t="shared" ca="1" si="10"/>
        <v>No</v>
      </c>
      <c r="CZ7" s="239" t="str">
        <f t="shared" ca="1" si="11"/>
        <v>No</v>
      </c>
      <c r="DA7" s="245" t="str">
        <f t="shared" ca="1" si="12"/>
        <v>No</v>
      </c>
      <c r="DB7" s="239"/>
      <c r="DC7" s="244" t="str">
        <f t="shared" ca="1" si="21"/>
        <v>No</v>
      </c>
      <c r="DD7" s="239" t="str">
        <f t="shared" ca="1" si="13"/>
        <v>No</v>
      </c>
      <c r="DE7" s="239" t="str">
        <f t="shared" ca="1" si="14"/>
        <v>No</v>
      </c>
      <c r="DF7" s="239" t="str">
        <f t="shared" ca="1" si="15"/>
        <v>No</v>
      </c>
      <c r="DG7" s="245" t="str">
        <f t="shared" ca="1" si="16"/>
        <v>No</v>
      </c>
      <c r="DI7" s="105" t="str">
        <f>IF($D7=1,IFERROR(INDEX('EE - Input'!$B:$X,MATCH($E7&amp;"-Saving",'EE - Input'!$B:$B,0),MATCH(Ves1_type&amp;Ves1_size,'EE - Input'!$B$3:$X$3,0)),"EE for ship type NA"),"NA")</f>
        <v>NA</v>
      </c>
      <c r="DJ7" s="246" t="str">
        <f ca="1">IF(CI7=1,IFERROR(INDEX('EE - Input'!$B:$X,MATCH($E7&amp;"-"&amp;$AE$3,'EE - Input'!$B:$B,0),MATCH(Ves1_type&amp;Ves1_size,'EE - Input'!$B$3:$X$3,0)),"EE for ship type NA"),"NA")</f>
        <v>NA</v>
      </c>
    </row>
    <row r="8" spans="1:116" x14ac:dyDescent="0.2">
      <c r="A8" s="29">
        <f t="shared" si="22"/>
        <v>5</v>
      </c>
      <c r="B8" s="29" t="s">
        <v>615</v>
      </c>
      <c r="C8" s="29" t="s">
        <v>62</v>
      </c>
      <c r="D8" s="29" t="s">
        <v>62</v>
      </c>
      <c r="E8" s="29" t="str">
        <f>'Configurator Specs.'!CF9</f>
        <v>e-Ammonia</v>
      </c>
      <c r="F8" s="70">
        <v>0.8</v>
      </c>
      <c r="G8" s="70">
        <v>0.4</v>
      </c>
      <c r="H8" s="29" t="str">
        <f t="shared" si="17"/>
        <v>e-Ammonia</v>
      </c>
      <c r="I8" s="674"/>
      <c r="J8" s="29" t="s">
        <v>498</v>
      </c>
      <c r="K8" s="29" t="s">
        <v>498</v>
      </c>
      <c r="L8" s="29" t="s">
        <v>498</v>
      </c>
      <c r="Q8" s="70"/>
      <c r="S8" s="29" t="s">
        <v>549</v>
      </c>
      <c r="V8" s="29">
        <v>2040</v>
      </c>
      <c r="Z8" s="29" t="s">
        <v>532</v>
      </c>
      <c r="AB8" s="29">
        <f>IF(AC8=1,AC8+MAX($AB$3:AB7),"")</f>
        <v>5</v>
      </c>
      <c r="AC8" s="29">
        <v>1</v>
      </c>
      <c r="AD8" s="15" t="s">
        <v>1552</v>
      </c>
      <c r="AE8" s="15" t="s">
        <v>584</v>
      </c>
      <c r="AF8" s="15" t="s">
        <v>1553</v>
      </c>
      <c r="AG8" s="15" t="s">
        <v>532</v>
      </c>
      <c r="AH8" s="15" t="s">
        <v>1545</v>
      </c>
      <c r="AI8" s="15" t="s">
        <v>1533</v>
      </c>
      <c r="AJ8" s="29">
        <f t="shared" si="1"/>
        <v>1</v>
      </c>
      <c r="AK8" s="32"/>
      <c r="AL8" s="68"/>
      <c r="AM8" s="29" t="s">
        <v>1554</v>
      </c>
      <c r="AO8" s="29" t="s">
        <v>1555</v>
      </c>
      <c r="AS8" s="29" t="s">
        <v>528</v>
      </c>
      <c r="AT8" s="29" t="s">
        <v>1535</v>
      </c>
      <c r="AU8" s="675">
        <v>90000</v>
      </c>
      <c r="AV8" s="258">
        <v>95000</v>
      </c>
      <c r="AW8" s="669"/>
      <c r="AX8" s="670">
        <v>1</v>
      </c>
      <c r="AY8" s="523">
        <f t="shared" si="2"/>
        <v>90000</v>
      </c>
      <c r="AZ8" s="523">
        <f t="shared" si="3"/>
        <v>95000</v>
      </c>
      <c r="BC8" s="29" t="s">
        <v>551</v>
      </c>
      <c r="BD8" s="29" t="s">
        <v>1556</v>
      </c>
      <c r="BE8" s="29" t="s">
        <v>1557</v>
      </c>
      <c r="BF8" s="29" t="s">
        <v>554</v>
      </c>
      <c r="BR8" s="392" t="s">
        <v>1528</v>
      </c>
      <c r="BS8" s="677">
        <f>MATCH(EE_overview_tab3[[#This Row],[Main lever]],$BR$42:$BR$44,0)</f>
        <v>1</v>
      </c>
      <c r="BT8" s="395" t="s">
        <v>1540</v>
      </c>
      <c r="BU8" s="392">
        <f>INDEX($BU$42:$BU$51,MATCH(EE_overview_tab3[[#This Row],[Sub lever]],$BT$42:$BT$51,0))</f>
        <v>2</v>
      </c>
      <c r="BV8" s="677" t="s">
        <v>140</v>
      </c>
      <c r="BW8" s="677" t="s">
        <v>1558</v>
      </c>
      <c r="BX8" s="392">
        <f>COUNTIFS($C$4:BS8,BS8,$E$4:BU8,BU8)</f>
        <v>3</v>
      </c>
      <c r="BY8" s="677" t="str">
        <f>EE_overview_tab3[[#This Row],['#1]]&amp;"."&amp;EE_overview_tab3[[#This Row],['#2]]&amp;"."&amp;EE_overview_tab3[[#This Row],['#3]]</f>
        <v>1.2.3</v>
      </c>
      <c r="BZ8" s="677" t="str">
        <f>INDEX($BS$42:$BS$44,MATCH(EE_overview_tab3[[#This Row],[Main lever]],$BR$42:$BR$44,0))&amp;"_"&amp;EE_overview_tab3[[#This Row],[Sub lever]]&amp;"_"&amp;EE_overview_tab3[[#This Row],[Short]]</f>
        <v>Prop_ME_Opt_Tuning</v>
      </c>
      <c r="CA8" s="677" t="s">
        <v>1559</v>
      </c>
      <c r="CE8" s="147">
        <f t="shared" si="23"/>
        <v>4</v>
      </c>
      <c r="CF8" s="146" t="s">
        <v>54</v>
      </c>
      <c r="CG8" s="146" t="s">
        <v>1503</v>
      </c>
      <c r="CI8" s="241">
        <f ca="1">IFERROR(INDEX('EE - Input'!$B:$X,MATCH(CJ8&amp;"-"&amp;CI$3&amp;" Newbuild",'EE - Input'!$B:$B,0),MATCH(Ves1_type&amp;Ves1_size,'EE - Input'!$B$3:$X$3,0)),"EE for ship type NA")</f>
        <v>0</v>
      </c>
      <c r="CJ8" s="19" t="str">
        <f>+'Vessel Configurator'!B34</f>
        <v>Engine tuning</v>
      </c>
      <c r="CK8" s="242">
        <f ca="1">INDEX('Calculation - Detailed'!$A:$EF,MATCH($CJ8&amp;"-"&amp;$CK$2,'Calculation - Detailed'!$C:$C,0),MATCH("2020"&amp;CK$3,'Calculation - Detailed'!$8:$8,0))</f>
        <v>999</v>
      </c>
      <c r="CL8" s="242">
        <f ca="1">INDEX('Calculation - Detailed'!$A:$EF,MATCH($CJ8&amp;"-"&amp;$CK$2,'Calculation - Detailed'!$C:$C,0),MATCH("2020"&amp;CL$3,'Calculation - Detailed'!$8:$8,0))</f>
        <v>999</v>
      </c>
      <c r="CM8" s="242">
        <f ca="1">INDEX('Calculation - Detailed'!$A:$EF,MATCH($CJ8&amp;"-"&amp;$CK$2,'Calculation - Detailed'!$C:$C,0),MATCH("2020"&amp;CM$3,'Calculation - Detailed'!$8:$8,0))</f>
        <v>999</v>
      </c>
      <c r="CN8" s="242">
        <f ca="1">INDEX('Calculation - Detailed'!$A:$EF,MATCH($CJ8&amp;"-"&amp;$CK$2,'Calculation - Detailed'!$C:$C,0),MATCH("2020"&amp;CN$3,'Calculation - Detailed'!$8:$8,0))</f>
        <v>999</v>
      </c>
      <c r="CO8" s="243">
        <f ca="1">INDEX('Calculation - Detailed'!$A:$EF,MATCH($CJ8&amp;"-"&amp;$CK$2,'Calculation - Detailed'!$C:$C,0),MATCH("2020"&amp;CO$3,'Calculation - Detailed'!$8:$8,0))</f>
        <v>999</v>
      </c>
      <c r="CQ8" s="244" t="str">
        <f t="shared" ca="1" si="19"/>
        <v>No</v>
      </c>
      <c r="CR8" s="239" t="str">
        <f t="shared" ca="1" si="5"/>
        <v>No</v>
      </c>
      <c r="CS8" s="239" t="str">
        <f t="shared" ca="1" si="6"/>
        <v>No</v>
      </c>
      <c r="CT8" s="239" t="str">
        <f t="shared" ca="1" si="7"/>
        <v>No</v>
      </c>
      <c r="CU8" s="245" t="str">
        <f t="shared" ca="1" si="8"/>
        <v>No</v>
      </c>
      <c r="CV8" s="239"/>
      <c r="CW8" s="244" t="str">
        <f t="shared" ca="1" si="20"/>
        <v>No</v>
      </c>
      <c r="CX8" s="239" t="str">
        <f t="shared" ca="1" si="9"/>
        <v>No</v>
      </c>
      <c r="CY8" s="239" t="str">
        <f t="shared" ca="1" si="10"/>
        <v>No</v>
      </c>
      <c r="CZ8" s="239" t="str">
        <f t="shared" ca="1" si="11"/>
        <v>No</v>
      </c>
      <c r="DA8" s="245" t="str">
        <f t="shared" ca="1" si="12"/>
        <v>No</v>
      </c>
      <c r="DB8" s="239"/>
      <c r="DC8" s="244" t="str">
        <f t="shared" ca="1" si="21"/>
        <v>No</v>
      </c>
      <c r="DD8" s="239" t="str">
        <f t="shared" ca="1" si="13"/>
        <v>No</v>
      </c>
      <c r="DE8" s="239" t="str">
        <f t="shared" ca="1" si="14"/>
        <v>No</v>
      </c>
      <c r="DF8" s="239" t="str">
        <f t="shared" ca="1" si="15"/>
        <v>No</v>
      </c>
      <c r="DG8" s="245" t="str">
        <f t="shared" ca="1" si="16"/>
        <v>No</v>
      </c>
      <c r="DI8" s="105" t="str">
        <f>IF($D8=1,IFERROR(INDEX('EE - Input'!$B:$X,MATCH($E8&amp;"-Saving",'EE - Input'!$B:$B,0),MATCH(Ves1_type&amp;Ves1_size,'EE - Input'!$B$3:$X$3,0)),"EE for ship type NA"),"NA")</f>
        <v>NA</v>
      </c>
      <c r="DJ8" s="246" t="str">
        <f ca="1">IF(CI8=1,IFERROR(INDEX('EE - Input'!$B:$X,MATCH($E8&amp;"-"&amp;$AE$3,'EE - Input'!$B:$B,0),MATCH(Ves1_type&amp;Ves1_size,'EE - Input'!$B$3:$X$3,0)),"EE for ship type NA"),"NA")</f>
        <v>NA</v>
      </c>
    </row>
    <row r="9" spans="1:116" ht="15" x14ac:dyDescent="0.25">
      <c r="A9" s="29">
        <f t="shared" si="22"/>
        <v>6</v>
      </c>
      <c r="B9" s="29" t="s">
        <v>555</v>
      </c>
      <c r="C9" s="29" t="s">
        <v>189</v>
      </c>
      <c r="D9" s="29" t="s">
        <v>189</v>
      </c>
      <c r="E9" s="29" t="str">
        <f>'Configurator Specs.'!CF10</f>
        <v>Blue ammonia</v>
      </c>
      <c r="F9" s="70">
        <v>0.9</v>
      </c>
      <c r="G9" s="70">
        <v>0.5</v>
      </c>
      <c r="H9" s="29" t="str">
        <f t="shared" si="17"/>
        <v>Blue ammonia</v>
      </c>
      <c r="I9" s="674"/>
      <c r="J9" s="29" t="s">
        <v>109</v>
      </c>
      <c r="K9" s="29" t="s">
        <v>109</v>
      </c>
      <c r="L9" s="29" t="s">
        <v>109</v>
      </c>
      <c r="Q9" s="70"/>
      <c r="S9" s="29" t="s">
        <v>550</v>
      </c>
      <c r="V9" s="29">
        <v>2045</v>
      </c>
      <c r="Z9" s="29" t="s">
        <v>531</v>
      </c>
      <c r="AB9" s="29">
        <f>IF(AC9=1,AC9+MAX($AB$3:AB8),"")</f>
        <v>6</v>
      </c>
      <c r="AC9" s="29">
        <v>1</v>
      </c>
      <c r="AD9" s="15" t="s">
        <v>1560</v>
      </c>
      <c r="AE9" s="15" t="s">
        <v>585</v>
      </c>
      <c r="AF9" s="15" t="s">
        <v>1561</v>
      </c>
      <c r="AG9" s="15" t="s">
        <v>531</v>
      </c>
      <c r="AH9" s="15" t="s">
        <v>585</v>
      </c>
      <c r="AI9" s="15" t="s">
        <v>1533</v>
      </c>
      <c r="AJ9" s="29">
        <f t="shared" si="1"/>
        <v>1</v>
      </c>
      <c r="AK9" s="32"/>
      <c r="AL9" s="68"/>
      <c r="AM9" s="29" t="s">
        <v>528</v>
      </c>
      <c r="AO9" s="29" t="s">
        <v>1562</v>
      </c>
      <c r="AS9" s="29" t="s">
        <v>534</v>
      </c>
      <c r="AT9" s="29" t="s">
        <v>1535</v>
      </c>
      <c r="AU9" s="675">
        <v>8000</v>
      </c>
      <c r="AV9" s="258">
        <v>30000</v>
      </c>
      <c r="AW9" s="669"/>
      <c r="AX9" s="670">
        <v>1</v>
      </c>
      <c r="AY9" s="523">
        <f t="shared" si="2"/>
        <v>8000</v>
      </c>
      <c r="AZ9" s="523">
        <f t="shared" si="3"/>
        <v>30000</v>
      </c>
      <c r="BC9" s="29" t="s">
        <v>548</v>
      </c>
      <c r="BD9" s="29" t="s">
        <v>1563</v>
      </c>
      <c r="BE9" s="29" t="s">
        <v>548</v>
      </c>
      <c r="BF9" s="29" t="s">
        <v>548</v>
      </c>
      <c r="BH9" s="30" t="s">
        <v>1564</v>
      </c>
      <c r="BR9" s="392" t="s">
        <v>1528</v>
      </c>
      <c r="BS9" s="677">
        <f>MATCH(EE_overview_tab3[[#This Row],[Main lever]],$BR$42:$BR$44,0)</f>
        <v>1</v>
      </c>
      <c r="BT9" s="392" t="s">
        <v>1540</v>
      </c>
      <c r="BU9" s="392">
        <f>INDEX($BU$42:$BU$51,MATCH(EE_overview_tab3[[#This Row],[Sub lever]],$BT$42:$BT$51,0))</f>
        <v>2</v>
      </c>
      <c r="BV9" s="679" t="s">
        <v>141</v>
      </c>
      <c r="BW9" s="678" t="s">
        <v>1565</v>
      </c>
      <c r="BX9" s="392">
        <f>COUNTIFS($C$4:BS9,BS9,$E$4:BU9,BU9)</f>
        <v>4</v>
      </c>
      <c r="BY9" s="392" t="str">
        <f>EE_overview_tab3[[#This Row],['#1]]&amp;"."&amp;EE_overview_tab3[[#This Row],['#2]]&amp;"."&amp;EE_overview_tab3[[#This Row],['#3]]</f>
        <v>1.2.4</v>
      </c>
      <c r="BZ9" s="392" t="str">
        <f>INDEX($BS$42:$BS$44,MATCH(EE_overview_tab3[[#This Row],[Main lever]],$BR$42:$BR$44,0))&amp;"_"&amp;EE_overview_tab3[[#This Row],[Sub lever]]&amp;"_"&amp;EE_overview_tab3[[#This Row],[Short]]</f>
        <v>Prop_ME_Opt_ShaftWHR</v>
      </c>
      <c r="CA9" t="s">
        <v>1566</v>
      </c>
      <c r="CE9" s="147">
        <f t="shared" si="23"/>
        <v>5</v>
      </c>
      <c r="CF9" s="146" t="s">
        <v>121</v>
      </c>
      <c r="CG9" s="146" t="s">
        <v>1502</v>
      </c>
      <c r="CI9" s="241">
        <f ca="1">IFERROR(INDEX('EE - Input'!$B:$X,MATCH(CJ9&amp;"-"&amp;CI$3&amp;" Newbuild",'EE - Input'!$B:$B,0),MATCH(Ves1_type&amp;Ves1_size,'EE - Input'!$B$3:$X$3,0)),"EE for ship type NA")</f>
        <v>1</v>
      </c>
      <c r="CJ9" s="19" t="str">
        <f>+'Vessel Configurator'!B35</f>
        <v>Shaft motor (Driven by WHR)</v>
      </c>
      <c r="CK9" s="242">
        <f ca="1">INDEX('Calculation - Detailed'!$A:$EF,MATCH($CJ9&amp;"-"&amp;$CK$2,'Calculation - Detailed'!$C:$C,0),MATCH("2020"&amp;CK$3,'Calculation - Detailed'!$8:$8,0))</f>
        <v>999</v>
      </c>
      <c r="CL9" s="242">
        <f ca="1">INDEX('Calculation - Detailed'!$A:$EF,MATCH($CJ9&amp;"-"&amp;$CK$2,'Calculation - Detailed'!$C:$C,0),MATCH("2020"&amp;CL$3,'Calculation - Detailed'!$8:$8,0))</f>
        <v>999</v>
      </c>
      <c r="CM9" s="242">
        <f ca="1">INDEX('Calculation - Detailed'!$A:$EF,MATCH($CJ9&amp;"-"&amp;$CK$2,'Calculation - Detailed'!$C:$C,0),MATCH("2020"&amp;CM$3,'Calculation - Detailed'!$8:$8,0))</f>
        <v>999</v>
      </c>
      <c r="CN9" s="242">
        <f ca="1">INDEX('Calculation - Detailed'!$A:$EF,MATCH($CJ9&amp;"-"&amp;$CK$2,'Calculation - Detailed'!$C:$C,0),MATCH("2020"&amp;CN$3,'Calculation - Detailed'!$8:$8,0))</f>
        <v>999</v>
      </c>
      <c r="CO9" s="243">
        <f ca="1">INDEX('Calculation - Detailed'!$A:$EF,MATCH($CJ9&amp;"-"&amp;$CK$2,'Calculation - Detailed'!$C:$C,0),MATCH("2020"&amp;CO$3,'Calculation - Detailed'!$8:$8,0))</f>
        <v>999</v>
      </c>
      <c r="CQ9" s="244" t="str">
        <f t="shared" ca="1" si="19"/>
        <v>No</v>
      </c>
      <c r="CR9" s="239" t="str">
        <f t="shared" ca="1" si="5"/>
        <v>No</v>
      </c>
      <c r="CS9" s="239" t="str">
        <f t="shared" ca="1" si="6"/>
        <v>No</v>
      </c>
      <c r="CT9" s="239" t="str">
        <f t="shared" ca="1" si="7"/>
        <v>No</v>
      </c>
      <c r="CU9" s="245" t="str">
        <f t="shared" ca="1" si="8"/>
        <v>No</v>
      </c>
      <c r="CV9" s="239"/>
      <c r="CW9" s="244" t="str">
        <f t="shared" ca="1" si="20"/>
        <v>No</v>
      </c>
      <c r="CX9" s="239" t="str">
        <f t="shared" ca="1" si="9"/>
        <v>No</v>
      </c>
      <c r="CY9" s="239" t="str">
        <f t="shared" ca="1" si="10"/>
        <v>No</v>
      </c>
      <c r="CZ9" s="239" t="str">
        <f t="shared" ca="1" si="11"/>
        <v>No</v>
      </c>
      <c r="DA9" s="245" t="str">
        <f t="shared" ca="1" si="12"/>
        <v>No</v>
      </c>
      <c r="DB9" s="239"/>
      <c r="DC9" s="244" t="str">
        <f t="shared" ca="1" si="21"/>
        <v>No</v>
      </c>
      <c r="DD9" s="239" t="str">
        <f t="shared" ca="1" si="13"/>
        <v>No</v>
      </c>
      <c r="DE9" s="239" t="str">
        <f t="shared" ca="1" si="14"/>
        <v>No</v>
      </c>
      <c r="DF9" s="239" t="str">
        <f t="shared" ca="1" si="15"/>
        <v>No</v>
      </c>
      <c r="DG9" s="245" t="str">
        <f t="shared" ca="1" si="16"/>
        <v>No</v>
      </c>
      <c r="DI9" s="105" t="str">
        <f>IF($D9=1,IFERROR(INDEX('EE - Input'!$B:$X,MATCH($E9&amp;"-Saving",'EE - Input'!$B:$B,0),MATCH(Ves1_type&amp;Ves1_size,'EE - Input'!$B$3:$X$3,0)),"EE for ship type NA"),"NA")</f>
        <v>NA</v>
      </c>
      <c r="DJ9" s="246" t="str">
        <f ca="1">IF(CI9=1,IFERROR(INDEX('EE - Input'!$B:$X,MATCH($E9&amp;"-"&amp;$AE$3,'EE - Input'!$B:$B,0),MATCH(Ves1_type&amp;Ves1_size,'EE - Input'!$B$3:$X$3,0)),"EE for ship type NA"),"NA")</f>
        <v>EE for ship type NA</v>
      </c>
    </row>
    <row r="10" spans="1:116" ht="15" x14ac:dyDescent="0.25">
      <c r="A10" s="29">
        <f t="shared" si="22"/>
        <v>7</v>
      </c>
      <c r="C10" s="29" t="s">
        <v>513</v>
      </c>
      <c r="D10" s="29" t="s">
        <v>513</v>
      </c>
      <c r="E10" s="29" t="str">
        <f>'Configurator Specs.'!CF11</f>
        <v>Biomethane</v>
      </c>
      <c r="F10" s="86">
        <v>0.92500000000000004</v>
      </c>
      <c r="G10" s="70">
        <v>0.6</v>
      </c>
      <c r="H10" s="29" t="str">
        <f t="shared" si="17"/>
        <v>Biomethane</v>
      </c>
      <c r="I10" s="674"/>
      <c r="Q10" s="70"/>
      <c r="S10" s="29" t="s">
        <v>551</v>
      </c>
      <c r="V10" s="29">
        <v>2050</v>
      </c>
      <c r="Z10" s="29" t="s">
        <v>530</v>
      </c>
      <c r="AB10" s="29">
        <f>IF(AC10=1,AC10+MAX($AB$3:AB9),"")</f>
        <v>7</v>
      </c>
      <c r="AC10" s="29">
        <v>1</v>
      </c>
      <c r="AD10" s="15" t="s">
        <v>586</v>
      </c>
      <c r="AE10" s="15" t="s">
        <v>586</v>
      </c>
      <c r="AF10" s="15" t="s">
        <v>1567</v>
      </c>
      <c r="AG10" s="15" t="s">
        <v>530</v>
      </c>
      <c r="AH10" s="15" t="s">
        <v>586</v>
      </c>
      <c r="AI10" s="15" t="s">
        <v>1568</v>
      </c>
      <c r="AJ10" s="29">
        <f t="shared" si="1"/>
        <v>1</v>
      </c>
      <c r="AK10" s="32"/>
      <c r="AL10" s="68"/>
      <c r="AM10" s="29" t="s">
        <v>534</v>
      </c>
      <c r="AO10" s="29" t="s">
        <v>1569</v>
      </c>
      <c r="AR10" s="29" t="s">
        <v>1570</v>
      </c>
      <c r="AS10" s="263" t="s">
        <v>1571</v>
      </c>
      <c r="AT10" s="263" t="s">
        <v>1535</v>
      </c>
      <c r="AU10" s="682"/>
      <c r="AV10" s="683"/>
      <c r="AW10" s="684"/>
      <c r="AX10" s="685"/>
      <c r="AY10" s="686">
        <v>30000</v>
      </c>
      <c r="AZ10" s="686">
        <v>90000</v>
      </c>
      <c r="BC10" s="29" t="s">
        <v>550</v>
      </c>
      <c r="BD10" s="29" t="s">
        <v>550</v>
      </c>
      <c r="BE10" s="29" t="s">
        <v>550</v>
      </c>
      <c r="BF10" s="29" t="s">
        <v>550</v>
      </c>
      <c r="BH10" s="67" t="s">
        <v>1512</v>
      </c>
      <c r="BI10" s="67">
        <v>2020</v>
      </c>
      <c r="BJ10" s="67">
        <f t="shared" ref="BJ10:BO10" si="24">BI10+5</f>
        <v>2025</v>
      </c>
      <c r="BK10" s="67">
        <f t="shared" si="24"/>
        <v>2030</v>
      </c>
      <c r="BL10" s="67">
        <f t="shared" si="24"/>
        <v>2035</v>
      </c>
      <c r="BM10" s="67">
        <f t="shared" si="24"/>
        <v>2040</v>
      </c>
      <c r="BN10" s="67">
        <f t="shared" si="24"/>
        <v>2045</v>
      </c>
      <c r="BO10" s="67">
        <f t="shared" si="24"/>
        <v>2050</v>
      </c>
      <c r="BR10" s="392" t="s">
        <v>1528</v>
      </c>
      <c r="BS10" s="677">
        <f>MATCH(EE_overview_tab3[[#This Row],[Main lever]],$BR$42:$BR$44,0)</f>
        <v>1</v>
      </c>
      <c r="BT10" s="392" t="s">
        <v>1572</v>
      </c>
      <c r="BU10" s="392">
        <f>INDEX($BU$42:$BU$51,MATCH(EE_overview_tab3[[#This Row],[Sub lever]],$BT$42:$BT$51,0))</f>
        <v>3</v>
      </c>
      <c r="BV10" s="679" t="s">
        <v>142</v>
      </c>
      <c r="BW10" s="678" t="s">
        <v>1573</v>
      </c>
      <c r="BX10" s="392">
        <f>COUNTIFS($C$4:BS10,BS10,$E$4:BU10,BU10)</f>
        <v>1</v>
      </c>
      <c r="BY10" s="392" t="str">
        <f>EE_overview_tab3[[#This Row],['#1]]&amp;"."&amp;EE_overview_tab3[[#This Row],['#2]]&amp;"."&amp;EE_overview_tab3[[#This Row],['#3]]</f>
        <v>1.3.1</v>
      </c>
      <c r="BZ10" s="392" t="str">
        <f>INDEX($BS$42:$BS$44,MATCH(EE_overview_tab3[[#This Row],[Main lever]],$BR$42:$BR$44,0))&amp;"_"&amp;EE_overview_tab3[[#This Row],[Sub lever]]&amp;"_"&amp;EE_overview_tab3[[#This Row],[Short]]</f>
        <v>Prop_Hull_ShapeOpt</v>
      </c>
      <c r="CA10" t="s">
        <v>1574</v>
      </c>
      <c r="CE10" s="147">
        <f t="shared" si="23"/>
        <v>6</v>
      </c>
      <c r="CF10" s="146" t="s">
        <v>120</v>
      </c>
      <c r="CG10" s="146" t="s">
        <v>1502</v>
      </c>
      <c r="CI10" s="241">
        <f ca="1">IFERROR(INDEX('EE - Input'!$B:$X,MATCH(CJ10&amp;"-"&amp;CI$3&amp;" Newbuild",'EE - Input'!$B:$B,0),MATCH(Ves1_type&amp;Ves1_size,'EE - Input'!$B$3:$X$3,0)),"EE for ship type NA")</f>
        <v>1</v>
      </c>
      <c r="CJ10" s="19" t="str">
        <f>+'Vessel Configurator'!B36</f>
        <v>Hull shape optimisation</v>
      </c>
      <c r="CK10" s="242">
        <f ca="1">INDEX('Calculation - Detailed'!$A:$EF,MATCH($CJ10&amp;"-"&amp;$CK$2,'Calculation - Detailed'!$C:$C,0),MATCH("2020"&amp;CK$3,'Calculation - Detailed'!$8:$8,0))</f>
        <v>999</v>
      </c>
      <c r="CL10" s="242">
        <f ca="1">INDEX('Calculation - Detailed'!$A:$EF,MATCH($CJ10&amp;"-"&amp;$CK$2,'Calculation - Detailed'!$C:$C,0),MATCH("2020"&amp;CL$3,'Calculation - Detailed'!$8:$8,0))</f>
        <v>999</v>
      </c>
      <c r="CM10" s="242">
        <f ca="1">INDEX('Calculation - Detailed'!$A:$EF,MATCH($CJ10&amp;"-"&amp;$CK$2,'Calculation - Detailed'!$C:$C,0),MATCH("2020"&amp;CM$3,'Calculation - Detailed'!$8:$8,0))</f>
        <v>999</v>
      </c>
      <c r="CN10" s="242">
        <f ca="1">INDEX('Calculation - Detailed'!$A:$EF,MATCH($CJ10&amp;"-"&amp;$CK$2,'Calculation - Detailed'!$C:$C,0),MATCH("2020"&amp;CN$3,'Calculation - Detailed'!$8:$8,0))</f>
        <v>999</v>
      </c>
      <c r="CO10" s="243">
        <f ca="1">INDEX('Calculation - Detailed'!$A:$EF,MATCH($CJ10&amp;"-"&amp;$CK$2,'Calculation - Detailed'!$C:$C,0),MATCH("2020"&amp;CO$3,'Calculation - Detailed'!$8:$8,0))</f>
        <v>999</v>
      </c>
      <c r="CQ10" s="244" t="str">
        <f t="shared" ca="1" si="19"/>
        <v>No</v>
      </c>
      <c r="CR10" s="239" t="str">
        <f t="shared" ca="1" si="5"/>
        <v>No</v>
      </c>
      <c r="CS10" s="239" t="str">
        <f t="shared" ca="1" si="6"/>
        <v>No</v>
      </c>
      <c r="CT10" s="239" t="str">
        <f t="shared" ca="1" si="7"/>
        <v>No</v>
      </c>
      <c r="CU10" s="245" t="str">
        <f t="shared" ca="1" si="8"/>
        <v>No</v>
      </c>
      <c r="CV10" s="239"/>
      <c r="CW10" s="244" t="str">
        <f t="shared" ca="1" si="20"/>
        <v>No</v>
      </c>
      <c r="CX10" s="239" t="str">
        <f t="shared" ca="1" si="9"/>
        <v>No</v>
      </c>
      <c r="CY10" s="239" t="str">
        <f t="shared" ca="1" si="10"/>
        <v>No</v>
      </c>
      <c r="CZ10" s="239" t="str">
        <f t="shared" ca="1" si="11"/>
        <v>No</v>
      </c>
      <c r="DA10" s="245" t="str">
        <f t="shared" ca="1" si="12"/>
        <v>No</v>
      </c>
      <c r="DB10" s="239"/>
      <c r="DC10" s="244" t="str">
        <f t="shared" ca="1" si="21"/>
        <v>No</v>
      </c>
      <c r="DD10" s="239" t="str">
        <f t="shared" ca="1" si="13"/>
        <v>No</v>
      </c>
      <c r="DE10" s="239" t="str">
        <f t="shared" ca="1" si="14"/>
        <v>No</v>
      </c>
      <c r="DF10" s="239" t="str">
        <f t="shared" ca="1" si="15"/>
        <v>No</v>
      </c>
      <c r="DG10" s="245" t="str">
        <f t="shared" ca="1" si="16"/>
        <v>No</v>
      </c>
      <c r="DI10" s="105" t="str">
        <f>IF($D10=1,IFERROR(INDEX('EE - Input'!$B:$X,MATCH($E10&amp;"-Saving",'EE - Input'!$B:$B,0),MATCH(Ves1_type&amp;Ves1_size,'EE - Input'!$B$3:$X$3,0)),"EE for ship type NA"),"NA")</f>
        <v>NA</v>
      </c>
      <c r="DJ10" s="246" t="str">
        <f ca="1">IF(CI10=1,IFERROR(INDEX('EE - Input'!$B:$X,MATCH($E10&amp;"-"&amp;$AE$3,'EE - Input'!$B:$B,0),MATCH(Ves1_type&amp;Ves1_size,'EE - Input'!$B$3:$X$3,0)),"EE for ship type NA"),"NA")</f>
        <v>EE for ship type NA</v>
      </c>
    </row>
    <row r="11" spans="1:116" x14ac:dyDescent="0.2">
      <c r="A11" s="29">
        <f t="shared" si="22"/>
        <v>8</v>
      </c>
      <c r="E11" s="29" t="str">
        <f>'Configurator Specs.'!CF12</f>
        <v>e-Methane (DAC)</v>
      </c>
      <c r="F11" s="70">
        <v>0.95</v>
      </c>
      <c r="G11" s="70">
        <v>0.7</v>
      </c>
      <c r="H11" s="29" t="str">
        <f t="shared" si="17"/>
        <v>e-Methane (DAC)</v>
      </c>
      <c r="I11" s="674"/>
      <c r="Q11" s="687"/>
      <c r="S11" s="29" t="s">
        <v>555</v>
      </c>
      <c r="Z11" s="29" t="s">
        <v>533</v>
      </c>
      <c r="AB11" s="29">
        <f>IF(AC11=1,AC11+MAX($AB$3:AB10),"")</f>
        <v>8</v>
      </c>
      <c r="AC11" s="29">
        <v>1</v>
      </c>
      <c r="AD11" s="640"/>
      <c r="AE11" s="640"/>
      <c r="AF11" s="640"/>
      <c r="AG11" s="640"/>
      <c r="AH11" s="640"/>
      <c r="AI11" s="640"/>
      <c r="AJ11" s="32"/>
      <c r="AK11" s="32"/>
      <c r="AL11" s="68"/>
      <c r="AM11" s="29" t="s">
        <v>530</v>
      </c>
      <c r="AO11" s="29" t="s">
        <v>1575</v>
      </c>
      <c r="AU11" s="675"/>
      <c r="AV11" s="258"/>
      <c r="AW11" s="669"/>
      <c r="AX11" s="670"/>
      <c r="AY11" s="523"/>
      <c r="AZ11" s="523"/>
      <c r="BC11" s="29" t="s">
        <v>535</v>
      </c>
      <c r="BD11" s="29" t="s">
        <v>1576</v>
      </c>
      <c r="BE11" s="688" t="s">
        <v>1576</v>
      </c>
      <c r="BF11" s="688" t="s">
        <v>1576</v>
      </c>
      <c r="BH11" s="676" t="s">
        <v>1527</v>
      </c>
      <c r="BI11" s="29">
        <v>0</v>
      </c>
      <c r="BJ11" s="29">
        <v>0</v>
      </c>
      <c r="BK11" s="29">
        <v>0</v>
      </c>
      <c r="BL11" s="29">
        <v>0</v>
      </c>
      <c r="BM11" s="29">
        <v>0</v>
      </c>
      <c r="BN11" s="29">
        <v>0</v>
      </c>
      <c r="BO11" s="29">
        <v>0</v>
      </c>
      <c r="BR11" s="392" t="s">
        <v>1528</v>
      </c>
      <c r="BS11" s="689">
        <f>MATCH(EE_overview_tab3[[#This Row],[Main lever]],$BR$42:$BR$44,0)</f>
        <v>1</v>
      </c>
      <c r="BT11" s="392" t="s">
        <v>1572</v>
      </c>
      <c r="BU11" s="690">
        <f>INDEX($BU$42:$BU$51,MATCH(EE_overview_tab3[[#This Row],[Sub lever]],$BT$42:$BT$51,0))</f>
        <v>3</v>
      </c>
      <c r="BV11" s="691" t="s">
        <v>143</v>
      </c>
      <c r="BW11" s="692" t="s">
        <v>1577</v>
      </c>
      <c r="BX11" s="690">
        <f>COUNTIFS($C$4:BS11,BS11,$E$4:BU11,BU11)</f>
        <v>2</v>
      </c>
      <c r="BY11" s="392" t="str">
        <f>EE_overview_tab3[[#This Row],['#1]]&amp;"."&amp;EE_overview_tab3[[#This Row],['#2]]&amp;"."&amp;EE_overview_tab3[[#This Row],['#3]]</f>
        <v>1.3.2</v>
      </c>
      <c r="BZ11" s="392" t="str">
        <f>INDEX($BS$42:$BS$44,MATCH(EE_overview_tab3[[#This Row],[Main lever]],$BR$42:$BR$44,0))&amp;"_"&amp;EE_overview_tab3[[#This Row],[Sub lever]]&amp;"_"&amp;EE_overview_tab3[[#This Row],[Short]]</f>
        <v>Prop_Hull_Lightweight</v>
      </c>
      <c r="CA11" t="s">
        <v>1578</v>
      </c>
      <c r="CE11" s="147">
        <f t="shared" si="23"/>
        <v>7</v>
      </c>
      <c r="CF11" s="146" t="s">
        <v>118</v>
      </c>
      <c r="CG11" s="146" t="s">
        <v>1502</v>
      </c>
      <c r="CI11" s="241">
        <f ca="1">IFERROR(INDEX('EE - Input'!$B:$X,MATCH(CJ11&amp;"-"&amp;CI$3&amp;" Newbuild",'EE - Input'!$B:$B,0),MATCH(Ves1_type&amp;Ves1_size,'EE - Input'!$B$3:$X$3,0)),"EE for ship type NA")</f>
        <v>1</v>
      </c>
      <c r="CJ11" s="19" t="str">
        <f>+'Vessel Configurator'!B37</f>
        <v>Lightweight hull</v>
      </c>
      <c r="CK11" s="242">
        <f ca="1">INDEX('Calculation - Detailed'!$A:$EF,MATCH($CJ11&amp;"-"&amp;$CK$2,'Calculation - Detailed'!$C:$C,0),MATCH("2020"&amp;CK$3,'Calculation - Detailed'!$8:$8,0))</f>
        <v>999</v>
      </c>
      <c r="CL11" s="242">
        <f ca="1">INDEX('Calculation - Detailed'!$A:$EF,MATCH($CJ11&amp;"-"&amp;$CK$2,'Calculation - Detailed'!$C:$C,0),MATCH("2020"&amp;CL$3,'Calculation - Detailed'!$8:$8,0))</f>
        <v>999</v>
      </c>
      <c r="CM11" s="242">
        <f ca="1">INDEX('Calculation - Detailed'!$A:$EF,MATCH($CJ11&amp;"-"&amp;$CK$2,'Calculation - Detailed'!$C:$C,0),MATCH("2020"&amp;CM$3,'Calculation - Detailed'!$8:$8,0))</f>
        <v>999</v>
      </c>
      <c r="CN11" s="242">
        <f ca="1">INDEX('Calculation - Detailed'!$A:$EF,MATCH($CJ11&amp;"-"&amp;$CK$2,'Calculation - Detailed'!$C:$C,0),MATCH("2020"&amp;CN$3,'Calculation - Detailed'!$8:$8,0))</f>
        <v>999</v>
      </c>
      <c r="CO11" s="243">
        <f ca="1">INDEX('Calculation - Detailed'!$A:$EF,MATCH($CJ11&amp;"-"&amp;$CK$2,'Calculation - Detailed'!$C:$C,0),MATCH("2020"&amp;CO$3,'Calculation - Detailed'!$8:$8,0))</f>
        <v>999</v>
      </c>
      <c r="CQ11" s="244" t="str">
        <f t="shared" ca="1" si="19"/>
        <v>No</v>
      </c>
      <c r="CR11" s="239" t="str">
        <f t="shared" ca="1" si="5"/>
        <v>No</v>
      </c>
      <c r="CS11" s="239" t="str">
        <f t="shared" ca="1" si="6"/>
        <v>No</v>
      </c>
      <c r="CT11" s="239" t="str">
        <f t="shared" ca="1" si="7"/>
        <v>No</v>
      </c>
      <c r="CU11" s="245" t="str">
        <f t="shared" ca="1" si="8"/>
        <v>No</v>
      </c>
      <c r="CV11" s="239"/>
      <c r="CW11" s="244" t="str">
        <f t="shared" ca="1" si="20"/>
        <v>No</v>
      </c>
      <c r="CX11" s="239" t="str">
        <f t="shared" ca="1" si="9"/>
        <v>No</v>
      </c>
      <c r="CY11" s="239" t="str">
        <f t="shared" ca="1" si="10"/>
        <v>No</v>
      </c>
      <c r="CZ11" s="239" t="str">
        <f t="shared" ca="1" si="11"/>
        <v>No</v>
      </c>
      <c r="DA11" s="245" t="str">
        <f t="shared" ca="1" si="12"/>
        <v>No</v>
      </c>
      <c r="DB11" s="239"/>
      <c r="DC11" s="244" t="str">
        <f t="shared" ca="1" si="21"/>
        <v>No</v>
      </c>
      <c r="DD11" s="239" t="str">
        <f t="shared" ca="1" si="13"/>
        <v>No</v>
      </c>
      <c r="DE11" s="239" t="str">
        <f t="shared" ca="1" si="14"/>
        <v>No</v>
      </c>
      <c r="DF11" s="239" t="str">
        <f t="shared" ca="1" si="15"/>
        <v>No</v>
      </c>
      <c r="DG11" s="245" t="str">
        <f t="shared" ca="1" si="16"/>
        <v>No</v>
      </c>
      <c r="DI11" s="105" t="str">
        <f>IF($D11=1,IFERROR(INDEX('EE - Input'!$B:$X,MATCH($E11&amp;"-Saving",'EE - Input'!$B:$B,0),MATCH(Ves1_type&amp;Ves1_size,'EE - Input'!$B$3:$X$3,0)),"EE for ship type NA"),"NA")</f>
        <v>NA</v>
      </c>
      <c r="DJ11" s="246" t="str">
        <f ca="1">IF(CI11=1,IFERROR(INDEX('EE - Input'!$B:$X,MATCH($E11&amp;"-"&amp;$AE$3,'EE - Input'!$B:$B,0),MATCH(Ves1_type&amp;Ves1_size,'EE - Input'!$B$3:$X$3,0)),"EE for ship type NA"),"NA")</f>
        <v>EE for ship type NA</v>
      </c>
    </row>
    <row r="12" spans="1:116" ht="15" x14ac:dyDescent="0.25">
      <c r="A12" s="29">
        <f t="shared" si="22"/>
        <v>9</v>
      </c>
      <c r="E12" s="29" t="str">
        <f>'Configurator Specs.'!CF13</f>
        <v>e-Methane (PS)</v>
      </c>
      <c r="F12" s="70">
        <v>0.97</v>
      </c>
      <c r="G12" s="70">
        <v>0.8</v>
      </c>
      <c r="H12" s="29" t="str">
        <f t="shared" si="17"/>
        <v>e-Methane (PS)</v>
      </c>
      <c r="I12" s="674"/>
      <c r="Q12" s="687"/>
      <c r="S12" s="29" t="s">
        <v>552</v>
      </c>
      <c r="Z12" s="29" t="s">
        <v>54</v>
      </c>
      <c r="AB12" s="29">
        <f>IF(AC12=1,AC12+MAX($AB$3:AB11),"")</f>
        <v>9</v>
      </c>
      <c r="AC12" s="29">
        <v>1</v>
      </c>
      <c r="AD12" s="640"/>
      <c r="AE12" s="640"/>
      <c r="AF12" s="640"/>
      <c r="AG12" s="640"/>
      <c r="AH12" s="640"/>
      <c r="AI12" s="640"/>
      <c r="AJ12" s="32"/>
      <c r="AK12" s="32"/>
      <c r="AL12" s="68"/>
      <c r="AS12" s="30" t="s">
        <v>1579</v>
      </c>
      <c r="AT12" s="30"/>
      <c r="AU12" s="675"/>
      <c r="AV12" s="258"/>
      <c r="AW12" s="669"/>
      <c r="AX12" s="670"/>
      <c r="AY12" s="523"/>
      <c r="AZ12" s="523"/>
      <c r="BC12" s="29" t="s">
        <v>535</v>
      </c>
      <c r="BD12" s="29" t="s">
        <v>1580</v>
      </c>
      <c r="BE12" s="688" t="s">
        <v>535</v>
      </c>
      <c r="BF12" s="688" t="s">
        <v>535</v>
      </c>
      <c r="BH12" s="29" t="s">
        <v>1537</v>
      </c>
      <c r="BI12" s="29">
        <v>0</v>
      </c>
      <c r="BJ12" s="29">
        <v>1</v>
      </c>
      <c r="BK12" s="693">
        <v>1</v>
      </c>
      <c r="BL12" s="693">
        <v>1</v>
      </c>
      <c r="BM12" s="29">
        <v>1</v>
      </c>
      <c r="BN12" s="29">
        <v>1</v>
      </c>
      <c r="BO12" s="29">
        <v>1</v>
      </c>
      <c r="BR12" s="392" t="s">
        <v>1528</v>
      </c>
      <c r="BS12" s="677">
        <f>MATCH(EE_overview_tab3[[#This Row],[Main lever]],$BR$42:$BR$44,0)</f>
        <v>1</v>
      </c>
      <c r="BT12" s="392" t="s">
        <v>1572</v>
      </c>
      <c r="BU12" s="392">
        <f>INDEX($BU$42:$BU$51,MATCH(EE_overview_tab3[[#This Row],[Sub lever]],$BT$42:$BT$51,0))</f>
        <v>3</v>
      </c>
      <c r="BV12" s="678" t="s">
        <v>144</v>
      </c>
      <c r="BW12" s="678" t="s">
        <v>1581</v>
      </c>
      <c r="BX12" s="392">
        <f>COUNTIFS($C$4:BS12,BS12,$E$4:BU12,BU12)</f>
        <v>3</v>
      </c>
      <c r="BY12" s="392" t="str">
        <f>EE_overview_tab3[[#This Row],['#1]]&amp;"."&amp;EE_overview_tab3[[#This Row],['#2]]&amp;"."&amp;EE_overview_tab3[[#This Row],['#3]]</f>
        <v>1.3.3</v>
      </c>
      <c r="BZ12" s="392" t="str">
        <f>INDEX($BS$42:$BS$44,MATCH(EE_overview_tab3[[#This Row],[Main lever]],$BR$42:$BR$44,0))&amp;"_"&amp;EE_overview_tab3[[#This Row],[Sub lever]]&amp;"_"&amp;EE_overview_tab3[[#This Row],[Short]]</f>
        <v>Prop_Hull_Paint</v>
      </c>
      <c r="CA12" t="s">
        <v>1582</v>
      </c>
      <c r="CE12" s="147">
        <f t="shared" si="23"/>
        <v>8</v>
      </c>
      <c r="CF12" s="146" t="s">
        <v>590</v>
      </c>
      <c r="CG12" s="146" t="s">
        <v>1502</v>
      </c>
      <c r="CI12" s="241">
        <f ca="1">IFERROR(INDEX('EE - Input'!$B:$X,MATCH(CJ12&amp;"-"&amp;CI$3&amp;" Newbuild",'EE - Input'!$B:$B,0),MATCH(Ves1_type&amp;Ves1_size,'EE - Input'!$B$3:$X$3,0)),"EE for ship type NA")</f>
        <v>1</v>
      </c>
      <c r="CJ12" s="19" t="str">
        <f>+'Vessel Configurator'!B38</f>
        <v>Hull paint/coating</v>
      </c>
      <c r="CK12" s="242">
        <f ca="1">INDEX('Calculation - Detailed'!$A:$EF,MATCH($CJ12&amp;"-"&amp;$CK$2,'Calculation - Detailed'!$C:$C,0),MATCH("2020"&amp;CK$3,'Calculation - Detailed'!$8:$8,0))</f>
        <v>999</v>
      </c>
      <c r="CL12" s="242">
        <f ca="1">INDEX('Calculation - Detailed'!$A:$EF,MATCH($CJ12&amp;"-"&amp;$CK$2,'Calculation - Detailed'!$C:$C,0),MATCH("2020"&amp;CL$3,'Calculation - Detailed'!$8:$8,0))</f>
        <v>999</v>
      </c>
      <c r="CM12" s="242">
        <f ca="1">INDEX('Calculation - Detailed'!$A:$EF,MATCH($CJ12&amp;"-"&amp;$CK$2,'Calculation - Detailed'!$C:$C,0),MATCH("2020"&amp;CM$3,'Calculation - Detailed'!$8:$8,0))</f>
        <v>999</v>
      </c>
      <c r="CN12" s="242">
        <f ca="1">INDEX('Calculation - Detailed'!$A:$EF,MATCH($CJ12&amp;"-"&amp;$CK$2,'Calculation - Detailed'!$C:$C,0),MATCH("2020"&amp;CN$3,'Calculation - Detailed'!$8:$8,0))</f>
        <v>999</v>
      </c>
      <c r="CO12" s="243">
        <f ca="1">INDEX('Calculation - Detailed'!$A:$EF,MATCH($CJ12&amp;"-"&amp;$CK$2,'Calculation - Detailed'!$C:$C,0),MATCH("2020"&amp;CO$3,'Calculation - Detailed'!$8:$8,0))</f>
        <v>999</v>
      </c>
      <c r="CQ12" s="244" t="str">
        <f t="shared" ca="1" si="19"/>
        <v>No</v>
      </c>
      <c r="CR12" s="239" t="str">
        <f t="shared" ca="1" si="5"/>
        <v>No</v>
      </c>
      <c r="CS12" s="239" t="str">
        <f t="shared" ca="1" si="6"/>
        <v>No</v>
      </c>
      <c r="CT12" s="239" t="str">
        <f t="shared" ca="1" si="7"/>
        <v>No</v>
      </c>
      <c r="CU12" s="245" t="str">
        <f t="shared" ca="1" si="8"/>
        <v>No</v>
      </c>
      <c r="CV12" s="239"/>
      <c r="CW12" s="244" t="str">
        <f t="shared" ca="1" si="20"/>
        <v>No</v>
      </c>
      <c r="CX12" s="239" t="str">
        <f t="shared" ca="1" si="9"/>
        <v>No</v>
      </c>
      <c r="CY12" s="239" t="str">
        <f t="shared" ca="1" si="10"/>
        <v>No</v>
      </c>
      <c r="CZ12" s="239" t="str">
        <f t="shared" ca="1" si="11"/>
        <v>No</v>
      </c>
      <c r="DA12" s="245" t="str">
        <f t="shared" ca="1" si="12"/>
        <v>No</v>
      </c>
      <c r="DB12" s="239"/>
      <c r="DC12" s="244" t="str">
        <f t="shared" ca="1" si="21"/>
        <v>No</v>
      </c>
      <c r="DD12" s="239" t="str">
        <f t="shared" ca="1" si="13"/>
        <v>No</v>
      </c>
      <c r="DE12" s="239" t="str">
        <f t="shared" ca="1" si="14"/>
        <v>No</v>
      </c>
      <c r="DF12" s="239" t="str">
        <f t="shared" ca="1" si="15"/>
        <v>No</v>
      </c>
      <c r="DG12" s="245" t="str">
        <f t="shared" ca="1" si="16"/>
        <v>No</v>
      </c>
      <c r="DI12" s="105" t="str">
        <f>IF($D12=1,IFERROR(INDEX('EE - Input'!$B:$X,MATCH($E12&amp;"-Saving",'EE - Input'!$B:$B,0),MATCH(Ves1_type&amp;Ves1_size,'EE - Input'!$B$3:$X$3,0)),"EE for ship type NA"),"NA")</f>
        <v>NA</v>
      </c>
      <c r="DJ12" s="246" t="str">
        <f ca="1">IF(CI12=1,IFERROR(INDEX('EE - Input'!$B:$X,MATCH($E12&amp;"-"&amp;$AE$3,'EE - Input'!$B:$B,0),MATCH(Ves1_type&amp;Ves1_size,'EE - Input'!$B$3:$X$3,0)),"EE for ship type NA"),"NA")</f>
        <v>EE for ship type NA</v>
      </c>
    </row>
    <row r="13" spans="1:116" x14ac:dyDescent="0.2">
      <c r="A13" s="29">
        <f t="shared" si="22"/>
        <v>10</v>
      </c>
      <c r="E13" s="29" t="str">
        <f>'Configurator Specs.'!CF14</f>
        <v>Biomethanol</v>
      </c>
      <c r="F13" s="70">
        <v>0.99</v>
      </c>
      <c r="G13" s="70">
        <v>0.9</v>
      </c>
      <c r="H13" s="29" t="str">
        <f t="shared" si="17"/>
        <v>Biomethanol</v>
      </c>
      <c r="I13" s="674"/>
      <c r="Q13" s="687"/>
      <c r="S13" s="29" t="s">
        <v>553</v>
      </c>
      <c r="AB13" s="29">
        <f>IF(AC13=1,AC13+MAX($AB$3:AB12),"")</f>
        <v>10</v>
      </c>
      <c r="AC13" s="29">
        <v>1</v>
      </c>
      <c r="AD13" s="640"/>
      <c r="AE13" s="15" t="s">
        <v>54</v>
      </c>
      <c r="AF13" s="15" t="s">
        <v>54</v>
      </c>
      <c r="AG13" s="15" t="s">
        <v>54</v>
      </c>
      <c r="AH13" s="15" t="s">
        <v>54</v>
      </c>
      <c r="AI13" s="15" t="s">
        <v>1533</v>
      </c>
      <c r="AJ13" s="29">
        <f t="shared" ref="AJ13:AJ19" si="25">IF(AD13="",0,1)</f>
        <v>0</v>
      </c>
      <c r="AK13" s="29">
        <f t="shared" ref="AK13" si="26">IF(AE13="N/A",0,1)</f>
        <v>1</v>
      </c>
      <c r="AL13" s="68"/>
      <c r="AS13" s="29" t="s">
        <v>541</v>
      </c>
      <c r="AT13" s="29" t="s">
        <v>1535</v>
      </c>
      <c r="AU13" s="675">
        <v>50000</v>
      </c>
      <c r="AV13" s="258">
        <v>80000</v>
      </c>
      <c r="AW13" s="669"/>
      <c r="AX13" s="670">
        <v>1</v>
      </c>
      <c r="AY13" s="523">
        <f>AU13*$AX13</f>
        <v>50000</v>
      </c>
      <c r="AZ13" s="523">
        <f>AV13*$AX13</f>
        <v>80000</v>
      </c>
      <c r="BC13" s="29" t="s">
        <v>535</v>
      </c>
      <c r="BD13" s="29" t="s">
        <v>535</v>
      </c>
      <c r="BE13" s="688" t="s">
        <v>535</v>
      </c>
      <c r="BF13" s="688" t="s">
        <v>535</v>
      </c>
      <c r="BR13" s="392" t="s">
        <v>1528</v>
      </c>
      <c r="BS13" s="677">
        <f>MATCH(EE_overview_tab3[[#This Row],[Main lever]],$BR$42:$BR$44,0)</f>
        <v>1</v>
      </c>
      <c r="BT13" s="392" t="s">
        <v>1572</v>
      </c>
      <c r="BU13" s="392">
        <f>INDEX($BU$42:$BU$51,MATCH(EE_overview_tab3[[#This Row],[Sub lever]],$BT$42:$BT$51,0))</f>
        <v>3</v>
      </c>
      <c r="BV13" s="678" t="s">
        <v>145</v>
      </c>
      <c r="BW13" s="678" t="s">
        <v>1583</v>
      </c>
      <c r="BX13" s="392">
        <f>COUNTIFS($C$4:BS13,BS13,$E$4:BU13,BU13)</f>
        <v>4</v>
      </c>
      <c r="BY13" s="392" t="str">
        <f>EE_overview_tab3[[#This Row],['#1]]&amp;"."&amp;EE_overview_tab3[[#This Row],['#2]]&amp;"."&amp;EE_overview_tab3[[#This Row],['#3]]</f>
        <v>1.3.4</v>
      </c>
      <c r="BZ13" s="392" t="str">
        <f>INDEX($BS$42:$BS$44,MATCH(EE_overview_tab3[[#This Row],[Main lever]],$BR$42:$BR$44,0))&amp;"_"&amp;EE_overview_tab3[[#This Row],[Sub lever]]&amp;"_"&amp;EE_overview_tab3[[#This Row],[Short]]</f>
        <v>Prop_Hull_Clean</v>
      </c>
      <c r="CA13" t="s">
        <v>1582</v>
      </c>
      <c r="CE13" s="147">
        <f t="shared" si="23"/>
        <v>9</v>
      </c>
      <c r="CF13" s="146" t="s">
        <v>591</v>
      </c>
      <c r="CG13" s="146" t="s">
        <v>1502</v>
      </c>
      <c r="CI13" s="241">
        <f ca="1">IFERROR(INDEX('EE - Input'!$B:$X,MATCH(CJ13&amp;"-"&amp;CI$3&amp;" Newbuild",'EE - Input'!$B:$B,0),MATCH(Ves1_type&amp;Ves1_size,'EE - Input'!$B$3:$X$3,0)),"EE for ship type NA")</f>
        <v>0</v>
      </c>
      <c r="CJ13" s="19" t="str">
        <f>+'Vessel Configurator'!B39</f>
        <v>Hull cleaning</v>
      </c>
      <c r="CK13" s="242">
        <f ca="1">INDEX('Calculation - Detailed'!$A:$EF,MATCH($CJ13&amp;"-"&amp;$CK$2,'Calculation - Detailed'!$C:$C,0),MATCH("2020"&amp;CK$3,'Calculation - Detailed'!$8:$8,0))</f>
        <v>999</v>
      </c>
      <c r="CL13" s="242">
        <f ca="1">INDEX('Calculation - Detailed'!$A:$EF,MATCH($CJ13&amp;"-"&amp;$CK$2,'Calculation - Detailed'!$C:$C,0),MATCH("2020"&amp;CL$3,'Calculation - Detailed'!$8:$8,0))</f>
        <v>999</v>
      </c>
      <c r="CM13" s="242">
        <f ca="1">INDEX('Calculation - Detailed'!$A:$EF,MATCH($CJ13&amp;"-"&amp;$CK$2,'Calculation - Detailed'!$C:$C,0),MATCH("2020"&amp;CM$3,'Calculation - Detailed'!$8:$8,0))</f>
        <v>999</v>
      </c>
      <c r="CN13" s="242">
        <f ca="1">INDEX('Calculation - Detailed'!$A:$EF,MATCH($CJ13&amp;"-"&amp;$CK$2,'Calculation - Detailed'!$C:$C,0),MATCH("2020"&amp;CN$3,'Calculation - Detailed'!$8:$8,0))</f>
        <v>999</v>
      </c>
      <c r="CO13" s="243">
        <f ca="1">INDEX('Calculation - Detailed'!$A:$EF,MATCH($CJ13&amp;"-"&amp;$CK$2,'Calculation - Detailed'!$C:$C,0),MATCH("2020"&amp;CO$3,'Calculation - Detailed'!$8:$8,0))</f>
        <v>999</v>
      </c>
      <c r="CQ13" s="244" t="str">
        <f t="shared" ca="1" si="19"/>
        <v>No</v>
      </c>
      <c r="CR13" s="239" t="str">
        <f t="shared" ca="1" si="5"/>
        <v>No</v>
      </c>
      <c r="CS13" s="239" t="str">
        <f t="shared" ca="1" si="6"/>
        <v>No</v>
      </c>
      <c r="CT13" s="239" t="str">
        <f t="shared" ca="1" si="7"/>
        <v>No</v>
      </c>
      <c r="CU13" s="245" t="str">
        <f t="shared" ca="1" si="8"/>
        <v>No</v>
      </c>
      <c r="CV13" s="239"/>
      <c r="CW13" s="244" t="str">
        <f t="shared" ca="1" si="20"/>
        <v>No</v>
      </c>
      <c r="CX13" s="239" t="str">
        <f t="shared" ca="1" si="9"/>
        <v>No</v>
      </c>
      <c r="CY13" s="239" t="str">
        <f t="shared" ca="1" si="10"/>
        <v>No</v>
      </c>
      <c r="CZ13" s="239" t="str">
        <f t="shared" ca="1" si="11"/>
        <v>No</v>
      </c>
      <c r="DA13" s="245" t="str">
        <f t="shared" ca="1" si="12"/>
        <v>No</v>
      </c>
      <c r="DB13" s="239"/>
      <c r="DC13" s="244" t="str">
        <f t="shared" ca="1" si="21"/>
        <v>No</v>
      </c>
      <c r="DD13" s="239" t="str">
        <f t="shared" ca="1" si="13"/>
        <v>No</v>
      </c>
      <c r="DE13" s="239" t="str">
        <f t="shared" ca="1" si="14"/>
        <v>No</v>
      </c>
      <c r="DF13" s="239" t="str">
        <f t="shared" ca="1" si="15"/>
        <v>No</v>
      </c>
      <c r="DG13" s="245" t="str">
        <f t="shared" ca="1" si="16"/>
        <v>No</v>
      </c>
      <c r="DI13" s="105" t="str">
        <f>IF($D13=1,IFERROR(INDEX('EE - Input'!$B:$X,MATCH($E13&amp;"-Saving",'EE - Input'!$B:$B,0),MATCH(Ves1_type&amp;Ves1_size,'EE - Input'!$B$3:$X$3,0)),"EE for ship type NA"),"NA")</f>
        <v>NA</v>
      </c>
      <c r="DJ13" s="246" t="str">
        <f ca="1">IF(CI13=1,IFERROR(INDEX('EE - Input'!$B:$X,MATCH($E13&amp;"-"&amp;$AE$3,'EE - Input'!$B:$B,0),MATCH(Ves1_type&amp;Ves1_size,'EE - Input'!$B$3:$X$3,0)),"EE for ship type NA"),"NA")</f>
        <v>NA</v>
      </c>
    </row>
    <row r="14" spans="1:116" x14ac:dyDescent="0.2">
      <c r="A14" s="29">
        <f t="shared" si="22"/>
        <v>11</v>
      </c>
      <c r="E14" s="29" t="str">
        <f>'Configurator Specs.'!CF15</f>
        <v>e-Methanol (DAC)</v>
      </c>
      <c r="F14" s="70">
        <v>1</v>
      </c>
      <c r="G14" s="70">
        <v>1</v>
      </c>
      <c r="H14" s="29" t="str">
        <f t="shared" si="17"/>
        <v>e-Methanol (DAC)</v>
      </c>
      <c r="I14" s="674"/>
      <c r="Q14" s="687"/>
      <c r="S14" s="29" t="s">
        <v>554</v>
      </c>
      <c r="AB14" s="29">
        <f>IF(AC14=1,AC14+MAX($AB$3:AB13),"")</f>
        <v>11</v>
      </c>
      <c r="AC14" s="29">
        <v>1</v>
      </c>
      <c r="AD14" s="15" t="s">
        <v>984</v>
      </c>
      <c r="AE14" s="15" t="s">
        <v>587</v>
      </c>
      <c r="AF14" s="15" t="s">
        <v>587</v>
      </c>
      <c r="AG14" s="15" t="s">
        <v>530</v>
      </c>
      <c r="AH14" s="15" t="s">
        <v>780</v>
      </c>
      <c r="AI14" s="15" t="s">
        <v>1584</v>
      </c>
      <c r="AJ14" s="29">
        <f t="shared" si="25"/>
        <v>1</v>
      </c>
      <c r="AK14" s="32"/>
      <c r="AL14" s="68"/>
      <c r="AS14" s="29" t="s">
        <v>1585</v>
      </c>
      <c r="AT14" s="29" t="s">
        <v>1535</v>
      </c>
      <c r="AU14" s="675">
        <v>5000</v>
      </c>
      <c r="AV14" s="258">
        <v>8000</v>
      </c>
      <c r="AW14" s="669"/>
      <c r="AX14" s="670">
        <v>1</v>
      </c>
      <c r="AY14" s="523">
        <f>AU14*$AX14</f>
        <v>5000</v>
      </c>
      <c r="AZ14" s="523">
        <f>AV14*$AX14</f>
        <v>8000</v>
      </c>
      <c r="BC14" s="29" t="s">
        <v>1586</v>
      </c>
      <c r="BD14" s="29" t="s">
        <v>1587</v>
      </c>
      <c r="BE14" s="29" t="s">
        <v>1587</v>
      </c>
      <c r="BF14" s="29" t="s">
        <v>549</v>
      </c>
      <c r="BK14" s="693"/>
      <c r="BL14" s="693"/>
      <c r="BR14" s="392" t="s">
        <v>1528</v>
      </c>
      <c r="BS14" s="677">
        <f>MATCH(EE_overview_tab3[[#This Row],[Main lever]],$BR$42:$BR$44,0)</f>
        <v>1</v>
      </c>
      <c r="BT14" s="392" t="s">
        <v>1572</v>
      </c>
      <c r="BU14" s="392">
        <f>INDEX($BU$42:$BU$51,MATCH(EE_overview_tab3[[#This Row],[Sub lever]],$BT$42:$BT$51,0))</f>
        <v>3</v>
      </c>
      <c r="BV14" s="678" t="s">
        <v>146</v>
      </c>
      <c r="BW14" s="678" t="s">
        <v>1588</v>
      </c>
      <c r="BX14" s="392">
        <f>COUNTIFS($C$4:BS14,BS14,$E$4:BU14,BU14)</f>
        <v>5</v>
      </c>
      <c r="BY14" s="392" t="str">
        <f>EE_overview_tab3[[#This Row],['#1]]&amp;"."&amp;EE_overview_tab3[[#This Row],['#2]]&amp;"."&amp;EE_overview_tab3[[#This Row],['#3]]</f>
        <v>1.3.5</v>
      </c>
      <c r="BZ14" s="392" t="str">
        <f>INDEX($BS$42:$BS$44,MATCH(EE_overview_tab3[[#This Row],[Main lever]],$BR$42:$BR$44,0))&amp;"_"&amp;EE_overview_tab3[[#This Row],[Sub lever]]&amp;"_"&amp;EE_overview_tab3[[#This Row],[Short]]</f>
        <v>Prop_Hull_AirLub</v>
      </c>
      <c r="CA14" t="s">
        <v>1582</v>
      </c>
      <c r="CE14" s="147">
        <f t="shared" si="23"/>
        <v>10</v>
      </c>
      <c r="CF14" s="146" t="s">
        <v>586</v>
      </c>
      <c r="CG14" s="146" t="s">
        <v>1502</v>
      </c>
      <c r="CI14" s="241">
        <f ca="1">IFERROR(INDEX('EE - Input'!$B:$X,MATCH(CJ14&amp;"-"&amp;CI$3&amp;" Newbuild",'EE - Input'!$B:$B,0),MATCH(Ves1_type&amp;Ves1_size,'EE - Input'!$B$3:$X$3,0)),"EE for ship type NA")</f>
        <v>1</v>
      </c>
      <c r="CJ14" s="19" t="str">
        <f>+'Vessel Configurator'!B40</f>
        <v>Air cavity lubrication</v>
      </c>
      <c r="CK14" s="242">
        <f ca="1">INDEX('Calculation - Detailed'!$A:$EF,MATCH($CJ14&amp;"-"&amp;$CK$2,'Calculation - Detailed'!$C:$C,0),MATCH("2020"&amp;CK$3,'Calculation - Detailed'!$8:$8,0))</f>
        <v>999</v>
      </c>
      <c r="CL14" s="242">
        <f ca="1">INDEX('Calculation - Detailed'!$A:$EF,MATCH($CJ14&amp;"-"&amp;$CK$2,'Calculation - Detailed'!$C:$C,0),MATCH("2020"&amp;CL$3,'Calculation - Detailed'!$8:$8,0))</f>
        <v>999</v>
      </c>
      <c r="CM14" s="242">
        <f ca="1">INDEX('Calculation - Detailed'!$A:$EF,MATCH($CJ14&amp;"-"&amp;$CK$2,'Calculation - Detailed'!$C:$C,0),MATCH("2020"&amp;CM$3,'Calculation - Detailed'!$8:$8,0))</f>
        <v>999</v>
      </c>
      <c r="CN14" s="242">
        <f ca="1">INDEX('Calculation - Detailed'!$A:$EF,MATCH($CJ14&amp;"-"&amp;$CK$2,'Calculation - Detailed'!$C:$C,0),MATCH("2020"&amp;CN$3,'Calculation - Detailed'!$8:$8,0))</f>
        <v>999</v>
      </c>
      <c r="CO14" s="243">
        <f ca="1">INDEX('Calculation - Detailed'!$A:$EF,MATCH($CJ14&amp;"-"&amp;$CK$2,'Calculation - Detailed'!$C:$C,0),MATCH("2020"&amp;CO$3,'Calculation - Detailed'!$8:$8,0))</f>
        <v>999</v>
      </c>
      <c r="CQ14" s="244" t="str">
        <f t="shared" ca="1" si="19"/>
        <v>No</v>
      </c>
      <c r="CR14" s="239" t="str">
        <f t="shared" ca="1" si="5"/>
        <v>No</v>
      </c>
      <c r="CS14" s="239" t="str">
        <f t="shared" ca="1" si="6"/>
        <v>No</v>
      </c>
      <c r="CT14" s="239" t="str">
        <f t="shared" ca="1" si="7"/>
        <v>No</v>
      </c>
      <c r="CU14" s="245" t="str">
        <f t="shared" ca="1" si="8"/>
        <v>No</v>
      </c>
      <c r="CV14" s="239"/>
      <c r="CW14" s="244" t="str">
        <f t="shared" ca="1" si="20"/>
        <v>No</v>
      </c>
      <c r="CX14" s="239" t="str">
        <f t="shared" ca="1" si="9"/>
        <v>No</v>
      </c>
      <c r="CY14" s="239" t="str">
        <f t="shared" ca="1" si="10"/>
        <v>No</v>
      </c>
      <c r="CZ14" s="239" t="str">
        <f t="shared" ca="1" si="11"/>
        <v>No</v>
      </c>
      <c r="DA14" s="245" t="str">
        <f t="shared" ca="1" si="12"/>
        <v>No</v>
      </c>
      <c r="DB14" s="239"/>
      <c r="DC14" s="244" t="str">
        <f t="shared" ca="1" si="21"/>
        <v>No</v>
      </c>
      <c r="DD14" s="239" t="str">
        <f t="shared" ca="1" si="13"/>
        <v>No</v>
      </c>
      <c r="DE14" s="239" t="str">
        <f t="shared" ca="1" si="14"/>
        <v>No</v>
      </c>
      <c r="DF14" s="239" t="str">
        <f t="shared" ca="1" si="15"/>
        <v>No</v>
      </c>
      <c r="DG14" s="245" t="str">
        <f t="shared" ca="1" si="16"/>
        <v>No</v>
      </c>
      <c r="DI14" s="105" t="str">
        <f>IF($D14=1,IFERROR(INDEX('EE - Input'!$B:$X,MATCH($E14&amp;"-Saving",'EE - Input'!$B:$B,0),MATCH(Ves1_type&amp;Ves1_size,'EE - Input'!$B$3:$X$3,0)),"EE for ship type NA"),"NA")</f>
        <v>NA</v>
      </c>
      <c r="DJ14" s="246" t="str">
        <f ca="1">IF(CI14=1,IFERROR(INDEX('EE - Input'!$B:$X,MATCH($E14&amp;"-"&amp;$AE$3,'EE - Input'!$B:$B,0),MATCH(Ves1_type&amp;Ves1_size,'EE - Input'!$B$3:$X$3,0)),"EE for ship type NA"),"NA")</f>
        <v>EE for ship type NA</v>
      </c>
    </row>
    <row r="15" spans="1:116" ht="15" x14ac:dyDescent="0.25">
      <c r="A15" s="29">
        <f t="shared" si="22"/>
        <v>12</v>
      </c>
      <c r="E15" s="29" t="str">
        <f>'Configurator Specs.'!CF16</f>
        <v>e-Methanol (PS)</v>
      </c>
      <c r="H15" s="29" t="str">
        <f t="shared" si="17"/>
        <v>e-Methanol (PS)</v>
      </c>
      <c r="I15" s="674"/>
      <c r="Q15" s="687"/>
      <c r="AB15" s="29">
        <f>IF(AC15=1,AC15+MAX($AB$3:AB14),"")</f>
        <v>12</v>
      </c>
      <c r="AC15" s="29">
        <v>1</v>
      </c>
      <c r="AD15" s="15" t="s">
        <v>987</v>
      </c>
      <c r="AE15" s="15" t="s">
        <v>119</v>
      </c>
      <c r="AF15" s="15" t="s">
        <v>119</v>
      </c>
      <c r="AG15" s="15" t="s">
        <v>530</v>
      </c>
      <c r="AH15" s="15" t="s">
        <v>780</v>
      </c>
      <c r="AI15" s="15" t="s">
        <v>1584</v>
      </c>
      <c r="AJ15" s="29">
        <f t="shared" si="25"/>
        <v>1</v>
      </c>
      <c r="AK15" s="32"/>
      <c r="AL15" s="68"/>
      <c r="AS15" s="30"/>
      <c r="AT15" s="30"/>
      <c r="AU15" s="675"/>
      <c r="AV15" s="258"/>
      <c r="AW15" s="669"/>
      <c r="AX15" s="670"/>
      <c r="AY15" s="523"/>
      <c r="AZ15" s="523"/>
      <c r="BC15" s="29" t="s">
        <v>1586</v>
      </c>
      <c r="BD15" s="29" t="s">
        <v>1589</v>
      </c>
      <c r="BE15" s="29" t="s">
        <v>1585</v>
      </c>
      <c r="BF15" s="29" t="s">
        <v>535</v>
      </c>
      <c r="BR15" s="392" t="s">
        <v>1528</v>
      </c>
      <c r="BS15" s="677">
        <f>MATCH(EE_overview_tab3[[#This Row],[Main lever]],$BR$42:$BR$44,0)</f>
        <v>1</v>
      </c>
      <c r="BT15" s="392" t="s">
        <v>1572</v>
      </c>
      <c r="BU15" s="392">
        <f>INDEX($BU$42:$BU$51,MATCH(EE_overview_tab3[[#This Row],[Sub lever]],$BT$42:$BT$51,0))</f>
        <v>3</v>
      </c>
      <c r="BV15" s="678" t="s">
        <v>147</v>
      </c>
      <c r="BW15" s="678" t="s">
        <v>1590</v>
      </c>
      <c r="BX15" s="392">
        <f>COUNTIFS($C$4:BS15,BS15,$E$4:BU15,BU15)</f>
        <v>6</v>
      </c>
      <c r="BY15" s="392" t="str">
        <f>EE_overview_tab3[[#This Row],['#1]]&amp;"."&amp;EE_overview_tab3[[#This Row],['#2]]&amp;"."&amp;EE_overview_tab3[[#This Row],['#3]]</f>
        <v>1.3.6</v>
      </c>
      <c r="BZ15" s="392" t="str">
        <f>INDEX($BS$42:$BS$44,MATCH(EE_overview_tab3[[#This Row],[Main lever]],$BR$42:$BR$44,0))&amp;"_"&amp;EE_overview_tab3[[#This Row],[Sub lever]]&amp;"_"&amp;EE_overview_tab3[[#This Row],[Short]]</f>
        <v>Prop_Hull_TrimDraft</v>
      </c>
      <c r="CA15" t="s">
        <v>1591</v>
      </c>
      <c r="CE15" s="147">
        <f t="shared" si="23"/>
        <v>11</v>
      </c>
      <c r="CF15" s="146" t="s">
        <v>587</v>
      </c>
      <c r="CG15" s="146" t="s">
        <v>1502</v>
      </c>
      <c r="CI15" s="241">
        <f ca="1">IFERROR(INDEX('EE - Input'!$B:$X,MATCH(CJ15&amp;"-"&amp;CI$3&amp;" Newbuild",'EE - Input'!$B:$B,0),MATCH(Ves1_type&amp;Ves1_size,'EE - Input'!$B$3:$X$3,0)),"EE for ship type NA")</f>
        <v>1</v>
      </c>
      <c r="CJ15" s="19" t="str">
        <f>+'Vessel Configurator'!B41</f>
        <v>Trim and draft optimization</v>
      </c>
      <c r="CK15" s="242">
        <f ca="1">INDEX('Calculation - Detailed'!$A:$EF,MATCH($CJ15&amp;"-"&amp;$CK$2,'Calculation - Detailed'!$C:$C,0),MATCH("2020"&amp;CK$3,'Calculation - Detailed'!$8:$8,0))</f>
        <v>999</v>
      </c>
      <c r="CL15" s="242">
        <f ca="1">INDEX('Calculation - Detailed'!$A:$EF,MATCH($CJ15&amp;"-"&amp;$CK$2,'Calculation - Detailed'!$C:$C,0),MATCH("2020"&amp;CL$3,'Calculation - Detailed'!$8:$8,0))</f>
        <v>999</v>
      </c>
      <c r="CM15" s="242">
        <f ca="1">INDEX('Calculation - Detailed'!$A:$EF,MATCH($CJ15&amp;"-"&amp;$CK$2,'Calculation - Detailed'!$C:$C,0),MATCH("2020"&amp;CM$3,'Calculation - Detailed'!$8:$8,0))</f>
        <v>999</v>
      </c>
      <c r="CN15" s="242">
        <f ca="1">INDEX('Calculation - Detailed'!$A:$EF,MATCH($CJ15&amp;"-"&amp;$CK$2,'Calculation - Detailed'!$C:$C,0),MATCH("2020"&amp;CN$3,'Calculation - Detailed'!$8:$8,0))</f>
        <v>999</v>
      </c>
      <c r="CO15" s="243">
        <f ca="1">INDEX('Calculation - Detailed'!$A:$EF,MATCH($CJ15&amp;"-"&amp;$CK$2,'Calculation - Detailed'!$C:$C,0),MATCH("2020"&amp;CO$3,'Calculation - Detailed'!$8:$8,0))</f>
        <v>999</v>
      </c>
      <c r="CQ15" s="244" t="str">
        <f t="shared" ca="1" si="19"/>
        <v>No</v>
      </c>
      <c r="CR15" s="239" t="str">
        <f t="shared" ca="1" si="5"/>
        <v>No</v>
      </c>
      <c r="CS15" s="239" t="str">
        <f t="shared" ca="1" si="6"/>
        <v>No</v>
      </c>
      <c r="CT15" s="239" t="str">
        <f t="shared" ca="1" si="7"/>
        <v>No</v>
      </c>
      <c r="CU15" s="245" t="str">
        <f t="shared" ca="1" si="8"/>
        <v>No</v>
      </c>
      <c r="CV15" s="239"/>
      <c r="CW15" s="244" t="str">
        <f t="shared" ca="1" si="20"/>
        <v>No</v>
      </c>
      <c r="CX15" s="239" t="str">
        <f t="shared" ca="1" si="9"/>
        <v>No</v>
      </c>
      <c r="CY15" s="239" t="str">
        <f t="shared" ca="1" si="10"/>
        <v>No</v>
      </c>
      <c r="CZ15" s="239" t="str">
        <f t="shared" ca="1" si="11"/>
        <v>No</v>
      </c>
      <c r="DA15" s="245" t="str">
        <f t="shared" ca="1" si="12"/>
        <v>No</v>
      </c>
      <c r="DB15" s="239"/>
      <c r="DC15" s="244" t="str">
        <f t="shared" ca="1" si="21"/>
        <v>No</v>
      </c>
      <c r="DD15" s="239" t="str">
        <f t="shared" ca="1" si="13"/>
        <v>No</v>
      </c>
      <c r="DE15" s="239" t="str">
        <f t="shared" ca="1" si="14"/>
        <v>No</v>
      </c>
      <c r="DF15" s="239" t="str">
        <f t="shared" ca="1" si="15"/>
        <v>No</v>
      </c>
      <c r="DG15" s="245" t="str">
        <f t="shared" ca="1" si="16"/>
        <v>No</v>
      </c>
      <c r="DI15" s="105" t="str">
        <f>IF($D15=1,IFERROR(INDEX('EE - Input'!$B:$X,MATCH($E15&amp;"-Saving",'EE - Input'!$B:$B,0),MATCH(Ves1_type&amp;Ves1_size,'EE - Input'!$B$3:$X$3,0)),"EE for ship type NA"),"NA")</f>
        <v>NA</v>
      </c>
      <c r="DJ15" s="246" t="str">
        <f ca="1">IF(CI15=1,IFERROR(INDEX('EE - Input'!$B:$X,MATCH($E15&amp;"-"&amp;$AE$3,'EE - Input'!$B:$B,0),MATCH(Ves1_type&amp;Ves1_size,'EE - Input'!$B$3:$X$3,0)),"EE for ship type NA"),"NA")</f>
        <v>EE for ship type NA</v>
      </c>
    </row>
    <row r="16" spans="1:116" ht="15" x14ac:dyDescent="0.25">
      <c r="A16" s="29">
        <f t="shared" si="22"/>
        <v>13</v>
      </c>
      <c r="E16" s="29" t="str">
        <f>'Configurator Specs.'!CF17</f>
        <v>Biodiesel (HtL)</v>
      </c>
      <c r="H16" s="29" t="str">
        <f t="shared" si="17"/>
        <v>Biodiesel (HtL)</v>
      </c>
      <c r="I16" s="674"/>
      <c r="Q16" s="687"/>
      <c r="AB16" s="29">
        <f>IF(AC16=1,AC16+MAX($AB$3:AB15),"")</f>
        <v>13</v>
      </c>
      <c r="AC16" s="29">
        <v>1</v>
      </c>
      <c r="AD16" s="15" t="s">
        <v>1036</v>
      </c>
      <c r="AE16" s="15" t="s">
        <v>588</v>
      </c>
      <c r="AF16" s="15" t="s">
        <v>588</v>
      </c>
      <c r="AG16" s="15" t="s">
        <v>533</v>
      </c>
      <c r="AH16" s="15" t="s">
        <v>806</v>
      </c>
      <c r="AI16" s="15" t="s">
        <v>1584</v>
      </c>
      <c r="AJ16" s="29">
        <f t="shared" si="25"/>
        <v>1</v>
      </c>
      <c r="AK16" s="32"/>
      <c r="AL16" s="68"/>
      <c r="AS16" s="30" t="s">
        <v>105</v>
      </c>
      <c r="AT16" s="29" t="s">
        <v>1592</v>
      </c>
      <c r="AU16" s="675">
        <v>2000</v>
      </c>
      <c r="AV16" s="258">
        <v>8000</v>
      </c>
      <c r="AW16" s="669"/>
      <c r="AX16" s="670">
        <v>1</v>
      </c>
      <c r="AY16" s="523">
        <f>AU16*$AX16</f>
        <v>2000</v>
      </c>
      <c r="AZ16" s="523">
        <f>AV16*$AX16</f>
        <v>8000</v>
      </c>
      <c r="BC16" s="29" t="s">
        <v>1586</v>
      </c>
      <c r="BD16" s="29" t="s">
        <v>1593</v>
      </c>
      <c r="BE16" s="688" t="s">
        <v>535</v>
      </c>
      <c r="BF16" s="688" t="s">
        <v>535</v>
      </c>
      <c r="BR16" s="392" t="s">
        <v>1528</v>
      </c>
      <c r="BS16" s="677">
        <f>MATCH(EE_overview_tab3[[#This Row],[Main lever]],$BR$42:$BR$44,0)</f>
        <v>1</v>
      </c>
      <c r="BT16" s="392" t="s">
        <v>1572</v>
      </c>
      <c r="BU16" s="392">
        <f>INDEX($BU$42:$BU$51,MATCH(EE_overview_tab3[[#This Row],[Sub lever]],$BT$42:$BT$51,0))</f>
        <v>3</v>
      </c>
      <c r="BV16" s="678" t="s">
        <v>148</v>
      </c>
      <c r="BW16" s="678" t="s">
        <v>1594</v>
      </c>
      <c r="BX16" s="392">
        <f>COUNTIFS($C$4:BS16,BS16,$E$4:BU16,BU16)</f>
        <v>7</v>
      </c>
      <c r="BY16" s="392" t="str">
        <f>EE_overview_tab3[[#This Row],['#1]]&amp;"."&amp;EE_overview_tab3[[#This Row],['#2]]&amp;"."&amp;EE_overview_tab3[[#This Row],['#3]]</f>
        <v>1.3.7</v>
      </c>
      <c r="BZ16" s="392" t="str">
        <f>INDEX($BS$42:$BS$44,MATCH(EE_overview_tab3[[#This Row],[Main lever]],$BR$42:$BR$44,0))&amp;"_"&amp;EE_overview_tab3[[#This Row],[Sub lever]]&amp;"_"&amp;EE_overview_tab3[[#This Row],[Short]]</f>
        <v>Prop_Hull_ShapeRetro</v>
      </c>
      <c r="CA16" t="s">
        <v>1595</v>
      </c>
      <c r="CE16" s="147">
        <f t="shared" si="23"/>
        <v>12</v>
      </c>
      <c r="CF16" s="146" t="s">
        <v>119</v>
      </c>
      <c r="CG16" s="146" t="s">
        <v>1502</v>
      </c>
      <c r="CI16" s="241">
        <f ca="1">IFERROR(INDEX('EE - Input'!$B:$X,MATCH(CJ16&amp;"-"&amp;CI$3&amp;" Newbuild",'EE - Input'!$B:$B,0),MATCH(Ves1_type&amp;Ves1_size,'EE - Input'!$B$3:$X$3,0)),"EE for ship type NA")</f>
        <v>0</v>
      </c>
      <c r="CJ16" s="19" t="str">
        <f>+'Vessel Configurator'!B42</f>
        <v>Hull retrofit</v>
      </c>
      <c r="CK16" s="242">
        <f ca="1">INDEX('Calculation - Detailed'!$A:$EF,MATCH($CJ16&amp;"-"&amp;$CK$2,'Calculation - Detailed'!$C:$C,0),MATCH("2020"&amp;CK$3,'Calculation - Detailed'!$8:$8,0))</f>
        <v>999</v>
      </c>
      <c r="CL16" s="242">
        <f ca="1">INDEX('Calculation - Detailed'!$A:$EF,MATCH($CJ16&amp;"-"&amp;$CK$2,'Calculation - Detailed'!$C:$C,0),MATCH("2020"&amp;CL$3,'Calculation - Detailed'!$8:$8,0))</f>
        <v>999</v>
      </c>
      <c r="CM16" s="242">
        <f ca="1">INDEX('Calculation - Detailed'!$A:$EF,MATCH($CJ16&amp;"-"&amp;$CK$2,'Calculation - Detailed'!$C:$C,0),MATCH("2020"&amp;CM$3,'Calculation - Detailed'!$8:$8,0))</f>
        <v>999</v>
      </c>
      <c r="CN16" s="242">
        <f ca="1">INDEX('Calculation - Detailed'!$A:$EF,MATCH($CJ16&amp;"-"&amp;$CK$2,'Calculation - Detailed'!$C:$C,0),MATCH("2020"&amp;CN$3,'Calculation - Detailed'!$8:$8,0))</f>
        <v>999</v>
      </c>
      <c r="CO16" s="243">
        <f ca="1">INDEX('Calculation - Detailed'!$A:$EF,MATCH($CJ16&amp;"-"&amp;$CK$2,'Calculation - Detailed'!$C:$C,0),MATCH("2020"&amp;CO$3,'Calculation - Detailed'!$8:$8,0))</f>
        <v>999</v>
      </c>
      <c r="CQ16" s="244" t="str">
        <f t="shared" ca="1" si="19"/>
        <v>No</v>
      </c>
      <c r="CR16" s="239" t="str">
        <f t="shared" ca="1" si="5"/>
        <v>No</v>
      </c>
      <c r="CS16" s="239" t="str">
        <f t="shared" ca="1" si="6"/>
        <v>No</v>
      </c>
      <c r="CT16" s="239" t="str">
        <f t="shared" ca="1" si="7"/>
        <v>No</v>
      </c>
      <c r="CU16" s="245" t="str">
        <f t="shared" ca="1" si="8"/>
        <v>No</v>
      </c>
      <c r="CV16" s="239"/>
      <c r="CW16" s="244" t="str">
        <f t="shared" ca="1" si="20"/>
        <v>No</v>
      </c>
      <c r="CX16" s="239" t="str">
        <f t="shared" ca="1" si="9"/>
        <v>No</v>
      </c>
      <c r="CY16" s="239" t="str">
        <f t="shared" ca="1" si="10"/>
        <v>No</v>
      </c>
      <c r="CZ16" s="239" t="str">
        <f t="shared" ca="1" si="11"/>
        <v>No</v>
      </c>
      <c r="DA16" s="245" t="str">
        <f t="shared" ca="1" si="12"/>
        <v>No</v>
      </c>
      <c r="DB16" s="239"/>
      <c r="DC16" s="244" t="str">
        <f t="shared" ca="1" si="21"/>
        <v>No</v>
      </c>
      <c r="DD16" s="239" t="str">
        <f t="shared" ca="1" si="13"/>
        <v>No</v>
      </c>
      <c r="DE16" s="239" t="str">
        <f t="shared" ca="1" si="14"/>
        <v>No</v>
      </c>
      <c r="DF16" s="239" t="str">
        <f t="shared" ca="1" si="15"/>
        <v>No</v>
      </c>
      <c r="DG16" s="245" t="str">
        <f t="shared" ca="1" si="16"/>
        <v>No</v>
      </c>
      <c r="DI16" s="105" t="str">
        <f>IF($D16=1,IFERROR(INDEX('EE - Input'!$B:$X,MATCH($E16&amp;"-Saving",'EE - Input'!$B:$B,0),MATCH(Ves1_type&amp;Ves1_size,'EE - Input'!$B$3:$X$3,0)),"EE for ship type NA"),"NA")</f>
        <v>NA</v>
      </c>
      <c r="DJ16" s="246" t="str">
        <f ca="1">IF(CI16=1,IFERROR(INDEX('EE - Input'!$B:$X,MATCH($E16&amp;"-"&amp;$AE$3,'EE - Input'!$B:$B,0),MATCH(Ves1_type&amp;Ves1_size,'EE - Input'!$B$3:$X$3,0)),"EE for ship type NA"),"NA")</f>
        <v>NA</v>
      </c>
    </row>
    <row r="17" spans="1:114" x14ac:dyDescent="0.2">
      <c r="A17" s="29">
        <f t="shared" si="22"/>
        <v>14</v>
      </c>
      <c r="E17" s="29" t="str">
        <f>'Configurator Specs.'!CF18</f>
        <v>Biodiesel (Pyr)</v>
      </c>
      <c r="H17" s="29" t="str">
        <f t="shared" si="17"/>
        <v>Biodiesel (Pyr)</v>
      </c>
      <c r="I17" s="694"/>
      <c r="Q17" s="687"/>
      <c r="AB17" s="29">
        <f>IF(AC17=1,AC17+MAX($AB$3:AB16),"")</f>
        <v>14</v>
      </c>
      <c r="AC17" s="29">
        <v>1</v>
      </c>
      <c r="AD17" s="15" t="s">
        <v>1039</v>
      </c>
      <c r="AE17" s="15" t="s">
        <v>589</v>
      </c>
      <c r="AF17" s="15" t="s">
        <v>589</v>
      </c>
      <c r="AG17" s="15" t="s">
        <v>533</v>
      </c>
      <c r="AH17" s="15" t="s">
        <v>806</v>
      </c>
      <c r="AI17" s="15" t="s">
        <v>1584</v>
      </c>
      <c r="AJ17" s="29">
        <f t="shared" si="25"/>
        <v>1</v>
      </c>
      <c r="AK17" s="32"/>
      <c r="AL17" s="68"/>
      <c r="AU17" s="675"/>
      <c r="AV17" s="258"/>
      <c r="AW17" s="669"/>
      <c r="AX17" s="670"/>
      <c r="AY17" s="523"/>
      <c r="AZ17" s="523"/>
      <c r="BC17" s="29" t="s">
        <v>615</v>
      </c>
      <c r="BD17" s="29" t="s">
        <v>1596</v>
      </c>
      <c r="BE17" s="29" t="s">
        <v>553</v>
      </c>
      <c r="BF17" s="29" t="s">
        <v>553</v>
      </c>
      <c r="BR17" s="392" t="s">
        <v>1528</v>
      </c>
      <c r="BS17" s="677">
        <f>MATCH(EE_overview_tab3[[#This Row],[Main lever]],$BR$42:$BR$44,0)</f>
        <v>1</v>
      </c>
      <c r="BT17" s="392" t="s">
        <v>1597</v>
      </c>
      <c r="BU17" s="392">
        <f>INDEX($BU$42:$BU$51,MATCH(EE_overview_tab3[[#This Row],[Sub lever]],$BT$42:$BT$51,0))</f>
        <v>4</v>
      </c>
      <c r="BV17" s="678" t="s">
        <v>149</v>
      </c>
      <c r="BW17" s="678" t="s">
        <v>1583</v>
      </c>
      <c r="BX17" s="392">
        <f>COUNTIFS($C$4:BS17,BS17,$E$4:BU17,BU17)</f>
        <v>1</v>
      </c>
      <c r="BY17" s="392" t="str">
        <f>EE_overview_tab3[[#This Row],['#1]]&amp;"."&amp;EE_overview_tab3[[#This Row],['#2]]&amp;"."&amp;EE_overview_tab3[[#This Row],['#3]]</f>
        <v>1.4.1</v>
      </c>
      <c r="BZ17" s="392" t="str">
        <f>INDEX($BS$42:$BS$44,MATCH(EE_overview_tab3[[#This Row],[Main lever]],$BR$42:$BR$44,0))&amp;"_"&amp;EE_overview_tab3[[#This Row],[Sub lever]]&amp;"_"&amp;EE_overview_tab3[[#This Row],[Short]]</f>
        <v>Prop_Propell_Rudder_Clean</v>
      </c>
      <c r="CA17" t="s">
        <v>1598</v>
      </c>
      <c r="CE17" s="147">
        <f t="shared" si="23"/>
        <v>13</v>
      </c>
      <c r="CF17" s="146" t="s">
        <v>594</v>
      </c>
      <c r="CG17" s="146" t="s">
        <v>1502</v>
      </c>
      <c r="CI17" s="241">
        <f ca="1">IFERROR(INDEX('EE - Input'!$B:$X,MATCH(CJ17&amp;"-"&amp;CI$3&amp;" Newbuild",'EE - Input'!$B:$B,0),MATCH(Ves1_type&amp;Ves1_size,'EE - Input'!$B$3:$X$3,0)),"EE for ship type NA")</f>
        <v>1</v>
      </c>
      <c r="CJ17" s="19" t="str">
        <f>+'Vessel Configurator'!B43</f>
        <v>Propeller cleaning</v>
      </c>
      <c r="CK17" s="242">
        <f ca="1">INDEX('Calculation - Detailed'!$A:$EF,MATCH($CJ17&amp;"-"&amp;$CK$2,'Calculation - Detailed'!$C:$C,0),MATCH("2020"&amp;CK$3,'Calculation - Detailed'!$8:$8,0))</f>
        <v>999</v>
      </c>
      <c r="CL17" s="242">
        <f ca="1">INDEX('Calculation - Detailed'!$A:$EF,MATCH($CJ17&amp;"-"&amp;$CK$2,'Calculation - Detailed'!$C:$C,0),MATCH("2020"&amp;CL$3,'Calculation - Detailed'!$8:$8,0))</f>
        <v>999</v>
      </c>
      <c r="CM17" s="242">
        <f ca="1">INDEX('Calculation - Detailed'!$A:$EF,MATCH($CJ17&amp;"-"&amp;$CK$2,'Calculation - Detailed'!$C:$C,0),MATCH("2020"&amp;CM$3,'Calculation - Detailed'!$8:$8,0))</f>
        <v>999</v>
      </c>
      <c r="CN17" s="242">
        <f ca="1">INDEX('Calculation - Detailed'!$A:$EF,MATCH($CJ17&amp;"-"&amp;$CK$2,'Calculation - Detailed'!$C:$C,0),MATCH("2020"&amp;CN$3,'Calculation - Detailed'!$8:$8,0))</f>
        <v>999</v>
      </c>
      <c r="CO17" s="243">
        <f ca="1">INDEX('Calculation - Detailed'!$A:$EF,MATCH($CJ17&amp;"-"&amp;$CK$2,'Calculation - Detailed'!$C:$C,0),MATCH("2020"&amp;CO$3,'Calculation - Detailed'!$8:$8,0))</f>
        <v>999</v>
      </c>
      <c r="CQ17" s="244" t="str">
        <f t="shared" ca="1" si="19"/>
        <v>No</v>
      </c>
      <c r="CR17" s="239" t="str">
        <f t="shared" ca="1" si="5"/>
        <v>No</v>
      </c>
      <c r="CS17" s="239" t="str">
        <f t="shared" ca="1" si="6"/>
        <v>No</v>
      </c>
      <c r="CT17" s="239" t="str">
        <f t="shared" ca="1" si="7"/>
        <v>No</v>
      </c>
      <c r="CU17" s="245" t="str">
        <f t="shared" ca="1" si="8"/>
        <v>No</v>
      </c>
      <c r="CV17" s="239"/>
      <c r="CW17" s="244" t="str">
        <f t="shared" ca="1" si="20"/>
        <v>No</v>
      </c>
      <c r="CX17" s="239" t="str">
        <f t="shared" ca="1" si="9"/>
        <v>No</v>
      </c>
      <c r="CY17" s="239" t="str">
        <f t="shared" ca="1" si="10"/>
        <v>No</v>
      </c>
      <c r="CZ17" s="239" t="str">
        <f t="shared" ca="1" si="11"/>
        <v>No</v>
      </c>
      <c r="DA17" s="245" t="str">
        <f t="shared" ca="1" si="12"/>
        <v>No</v>
      </c>
      <c r="DB17" s="239"/>
      <c r="DC17" s="244" t="str">
        <f t="shared" ca="1" si="21"/>
        <v>No</v>
      </c>
      <c r="DD17" s="239" t="str">
        <f t="shared" ca="1" si="13"/>
        <v>No</v>
      </c>
      <c r="DE17" s="239" t="str">
        <f t="shared" ca="1" si="14"/>
        <v>No</v>
      </c>
      <c r="DF17" s="239" t="str">
        <f t="shared" ca="1" si="15"/>
        <v>No</v>
      </c>
      <c r="DG17" s="245" t="str">
        <f t="shared" ca="1" si="16"/>
        <v>No</v>
      </c>
      <c r="DI17" s="105" t="str">
        <f>IF($D17=1,IFERROR(INDEX('EE - Input'!$B:$X,MATCH($E17&amp;"-Saving",'EE - Input'!$B:$B,0),MATCH(Ves1_type&amp;Ves1_size,'EE - Input'!$B$3:$X$3,0)),"EE for ship type NA"),"NA")</f>
        <v>NA</v>
      </c>
      <c r="DJ17" s="246" t="str">
        <f ca="1">IF(CI17=1,IFERROR(INDEX('EE - Input'!$B:$X,MATCH($E17&amp;"-"&amp;$AE$3,'EE - Input'!$B:$B,0),MATCH(Ves1_type&amp;Ves1_size,'EE - Input'!$B$3:$X$3,0)),"EE for ship type NA"),"NA")</f>
        <v>EE for ship type NA</v>
      </c>
    </row>
    <row r="18" spans="1:114" ht="15" x14ac:dyDescent="0.25">
      <c r="A18" s="29">
        <f t="shared" si="22"/>
        <v>15</v>
      </c>
      <c r="E18" s="29" t="str">
        <f>'Configurator Specs.'!CF19</f>
        <v>e-Diesel (DAC)</v>
      </c>
      <c r="H18" s="29" t="str">
        <f t="shared" si="17"/>
        <v>e-Diesel (DAC)</v>
      </c>
      <c r="I18" s="694"/>
      <c r="AB18" s="29">
        <f>IF(AC18=1,AC18+MAX($AB$3:AB17),"")</f>
        <v>15</v>
      </c>
      <c r="AC18" s="29">
        <v>1</v>
      </c>
      <c r="AD18" s="15" t="s">
        <v>1078</v>
      </c>
      <c r="AE18" s="15" t="s">
        <v>590</v>
      </c>
      <c r="AF18" s="15" t="s">
        <v>1599</v>
      </c>
      <c r="AG18" s="15" t="s">
        <v>528</v>
      </c>
      <c r="AH18" s="15" t="s">
        <v>743</v>
      </c>
      <c r="AI18" s="15" t="s">
        <v>1584</v>
      </c>
      <c r="AJ18" s="29">
        <f t="shared" si="25"/>
        <v>1</v>
      </c>
      <c r="AK18" s="32"/>
      <c r="AS18" s="30" t="s">
        <v>1600</v>
      </c>
      <c r="AT18" s="30"/>
      <c r="AU18" s="675"/>
      <c r="AV18" s="258"/>
      <c r="AW18" s="669"/>
      <c r="AX18" s="670"/>
      <c r="AY18" s="523"/>
      <c r="AZ18" s="523"/>
      <c r="BC18" s="29" t="s">
        <v>615</v>
      </c>
      <c r="BD18" s="29" t="s">
        <v>1601</v>
      </c>
      <c r="BE18" s="29" t="s">
        <v>553</v>
      </c>
      <c r="BF18" s="29" t="s">
        <v>553</v>
      </c>
      <c r="BR18" s="392" t="s">
        <v>1528</v>
      </c>
      <c r="BS18" s="677">
        <f>MATCH(EE_overview_tab3[[#This Row],[Main lever]],$BR$42:$BR$44,0)</f>
        <v>1</v>
      </c>
      <c r="BT18" s="392" t="s">
        <v>1597</v>
      </c>
      <c r="BU18" s="392">
        <f>INDEX($BU$42:$BU$51,MATCH(EE_overview_tab3[[#This Row],[Sub lever]],$BT$42:$BT$51,0))</f>
        <v>4</v>
      </c>
      <c r="BV18" s="678" t="s">
        <v>150</v>
      </c>
      <c r="BW18" s="678" t="s">
        <v>1602</v>
      </c>
      <c r="BX18" s="392">
        <f>COUNTIFS($C$4:BS18,BS18,$E$4:BU18,BU18)</f>
        <v>2</v>
      </c>
      <c r="BY18" s="392" t="str">
        <f>EE_overview_tab3[[#This Row],['#1]]&amp;"."&amp;EE_overview_tab3[[#This Row],['#2]]&amp;"."&amp;EE_overview_tab3[[#This Row],['#3]]</f>
        <v>1.4.2</v>
      </c>
      <c r="BZ18" s="392" t="str">
        <f>INDEX($BS$42:$BS$44,MATCH(EE_overview_tab3[[#This Row],[Main lever]],$BR$42:$BR$44,0))&amp;"_"&amp;EE_overview_tab3[[#This Row],[Sub lever]]&amp;"_"&amp;EE_overview_tab3[[#This Row],[Short]]</f>
        <v>Prop_Propell_Rudder_reFit</v>
      </c>
      <c r="CA18" t="s">
        <v>1603</v>
      </c>
      <c r="CE18" s="147">
        <f t="shared" si="23"/>
        <v>14</v>
      </c>
      <c r="CF18" s="146" t="s">
        <v>123</v>
      </c>
      <c r="CG18" s="146" t="s">
        <v>1502</v>
      </c>
      <c r="CI18" s="241">
        <f ca="1">IFERROR(INDEX('EE - Input'!$B:$X,MATCH(CJ18&amp;"-"&amp;CI$3&amp;" Newbuild",'EE - Input'!$B:$B,0),MATCH(Ves1_type&amp;Ves1_size,'EE - Input'!$B$3:$X$3,0)),"EE for ship type NA")</f>
        <v>0</v>
      </c>
      <c r="CJ18" s="19" t="str">
        <f>+'Vessel Configurator'!B44</f>
        <v>Propeller re-fitting</v>
      </c>
      <c r="CK18" s="242">
        <f ca="1">INDEX('Calculation - Detailed'!$A:$EF,MATCH($CJ18&amp;"-"&amp;$CK$2,'Calculation - Detailed'!$C:$C,0),MATCH("2020"&amp;CK$3,'Calculation - Detailed'!$8:$8,0))</f>
        <v>999</v>
      </c>
      <c r="CL18" s="242">
        <f ca="1">INDEX('Calculation - Detailed'!$A:$EF,MATCH($CJ18&amp;"-"&amp;$CK$2,'Calculation - Detailed'!$C:$C,0),MATCH("2020"&amp;CL$3,'Calculation - Detailed'!$8:$8,0))</f>
        <v>999</v>
      </c>
      <c r="CM18" s="242">
        <f ca="1">INDEX('Calculation - Detailed'!$A:$EF,MATCH($CJ18&amp;"-"&amp;$CK$2,'Calculation - Detailed'!$C:$C,0),MATCH("2020"&amp;CM$3,'Calculation - Detailed'!$8:$8,0))</f>
        <v>999</v>
      </c>
      <c r="CN18" s="242">
        <f ca="1">INDEX('Calculation - Detailed'!$A:$EF,MATCH($CJ18&amp;"-"&amp;$CK$2,'Calculation - Detailed'!$C:$C,0),MATCH("2020"&amp;CN$3,'Calculation - Detailed'!$8:$8,0))</f>
        <v>999</v>
      </c>
      <c r="CO18" s="243">
        <f ca="1">INDEX('Calculation - Detailed'!$A:$EF,MATCH($CJ18&amp;"-"&amp;$CK$2,'Calculation - Detailed'!$C:$C,0),MATCH("2020"&amp;CO$3,'Calculation - Detailed'!$8:$8,0))</f>
        <v>999</v>
      </c>
      <c r="CQ18" s="244" t="str">
        <f t="shared" ca="1" si="19"/>
        <v>No</v>
      </c>
      <c r="CR18" s="239" t="str">
        <f t="shared" ca="1" si="5"/>
        <v>No</v>
      </c>
      <c r="CS18" s="239" t="str">
        <f t="shared" ca="1" si="6"/>
        <v>No</v>
      </c>
      <c r="CT18" s="239" t="str">
        <f t="shared" ca="1" si="7"/>
        <v>No</v>
      </c>
      <c r="CU18" s="245" t="str">
        <f t="shared" ca="1" si="8"/>
        <v>No</v>
      </c>
      <c r="CV18" s="239"/>
      <c r="CW18" s="244" t="str">
        <f t="shared" ca="1" si="20"/>
        <v>No</v>
      </c>
      <c r="CX18" s="239" t="str">
        <f t="shared" ca="1" si="9"/>
        <v>No</v>
      </c>
      <c r="CY18" s="239" t="str">
        <f t="shared" ca="1" si="10"/>
        <v>No</v>
      </c>
      <c r="CZ18" s="239" t="str">
        <f t="shared" ca="1" si="11"/>
        <v>No</v>
      </c>
      <c r="DA18" s="245" t="str">
        <f t="shared" ca="1" si="12"/>
        <v>No</v>
      </c>
      <c r="DB18" s="239"/>
      <c r="DC18" s="244" t="str">
        <f t="shared" ca="1" si="21"/>
        <v>No</v>
      </c>
      <c r="DD18" s="239" t="str">
        <f t="shared" ca="1" si="13"/>
        <v>No</v>
      </c>
      <c r="DE18" s="239" t="str">
        <f t="shared" ca="1" si="14"/>
        <v>No</v>
      </c>
      <c r="DF18" s="239" t="str">
        <f t="shared" ca="1" si="15"/>
        <v>No</v>
      </c>
      <c r="DG18" s="245" t="str">
        <f t="shared" ca="1" si="16"/>
        <v>No</v>
      </c>
      <c r="DI18" s="105" t="str">
        <f>IF($D18=1,IFERROR(INDEX('EE - Input'!$B:$X,MATCH($E18&amp;"-Saving",'EE - Input'!$B:$B,0),MATCH(Ves1_type&amp;Ves1_size,'EE - Input'!$B$3:$X$3,0)),"EE for ship type NA"),"NA")</f>
        <v>NA</v>
      </c>
      <c r="DJ18" s="246" t="str">
        <f ca="1">IF(CI18=1,IFERROR(INDEX('EE - Input'!$B:$X,MATCH($E18&amp;"-"&amp;$AE$3,'EE - Input'!$B:$B,0),MATCH(Ves1_type&amp;Ves1_size,'EE - Input'!$B$3:$X$3,0)),"EE for ship type NA"),"NA")</f>
        <v>NA</v>
      </c>
    </row>
    <row r="19" spans="1:114" x14ac:dyDescent="0.2">
      <c r="A19" s="29">
        <f t="shared" si="22"/>
        <v>16</v>
      </c>
      <c r="E19" s="29" t="str">
        <f>'Configurator Specs.'!CF20</f>
        <v>e-Diesel (PS)</v>
      </c>
      <c r="H19" s="29" t="str">
        <f t="shared" si="17"/>
        <v>e-Diesel (PS)</v>
      </c>
      <c r="AB19" s="29">
        <f>IF(AC19=1,AC19+MAX($AB$3:AB18),"")</f>
        <v>16</v>
      </c>
      <c r="AC19" s="29">
        <v>1</v>
      </c>
      <c r="AD19" s="15" t="s">
        <v>1081</v>
      </c>
      <c r="AE19" s="15" t="s">
        <v>591</v>
      </c>
      <c r="AF19" s="15" t="s">
        <v>1604</v>
      </c>
      <c r="AG19" s="15" t="s">
        <v>528</v>
      </c>
      <c r="AH19" s="15" t="s">
        <v>743</v>
      </c>
      <c r="AI19" s="15" t="s">
        <v>1584</v>
      </c>
      <c r="AJ19" s="29">
        <f t="shared" si="25"/>
        <v>1</v>
      </c>
      <c r="AK19" s="32"/>
      <c r="AL19" s="68"/>
      <c r="AS19" s="29" t="s">
        <v>1600</v>
      </c>
      <c r="AT19" s="29" t="s">
        <v>1605</v>
      </c>
      <c r="AU19" s="675">
        <v>10000</v>
      </c>
      <c r="AV19" s="258">
        <v>25000</v>
      </c>
      <c r="AW19" s="669"/>
      <c r="AX19" s="670">
        <v>1</v>
      </c>
      <c r="AY19" s="523">
        <f>AU19*$AX19</f>
        <v>10000</v>
      </c>
      <c r="AZ19" s="523">
        <f>AV19*$AX19</f>
        <v>25000</v>
      </c>
      <c r="BC19" s="29" t="s">
        <v>547</v>
      </c>
      <c r="BD19" s="29" t="s">
        <v>1606</v>
      </c>
      <c r="BE19" s="29" t="s">
        <v>1547</v>
      </c>
      <c r="BF19" s="29" t="s">
        <v>547</v>
      </c>
      <c r="BR19" s="392" t="s">
        <v>1528</v>
      </c>
      <c r="BS19" s="677">
        <f>MATCH(EE_overview_tab3[[#This Row],[Main lever]],$BR$42:$BR$44,0)</f>
        <v>1</v>
      </c>
      <c r="BT19" s="392" t="s">
        <v>1597</v>
      </c>
      <c r="BU19" s="392">
        <f>INDEX($BU$42:$BU$51,MATCH(EE_overview_tab3[[#This Row],[Sub lever]],$BT$42:$BT$51,0))</f>
        <v>4</v>
      </c>
      <c r="BV19" s="678" t="s">
        <v>151</v>
      </c>
      <c r="BW19" s="678" t="s">
        <v>1607</v>
      </c>
      <c r="BX19" s="392">
        <f>COUNTIFS($C$4:BS19,BS19,$E$4:BU19,BU19)</f>
        <v>3</v>
      </c>
      <c r="BY19" s="392" t="str">
        <f>EE_overview_tab3[[#This Row],['#1]]&amp;"."&amp;EE_overview_tab3[[#This Row],['#2]]&amp;"."&amp;EE_overview_tab3[[#This Row],['#3]]</f>
        <v>1.4.3</v>
      </c>
      <c r="BZ19" s="392" t="str">
        <f>INDEX($BS$42:$BS$44,MATCH(EE_overview_tab3[[#This Row],[Main lever]],$BR$42:$BR$44,0))&amp;"_"&amp;EE_overview_tab3[[#This Row],[Sub lever]]&amp;"_"&amp;EE_overview_tab3[[#This Row],[Short]]</f>
        <v>Prop_Propell_Rudder_PID</v>
      </c>
      <c r="CA19" t="s">
        <v>1608</v>
      </c>
      <c r="CE19" s="147">
        <f t="shared" si="23"/>
        <v>15</v>
      </c>
      <c r="CF19" s="146" t="s">
        <v>588</v>
      </c>
      <c r="CG19" s="146" t="s">
        <v>1502</v>
      </c>
      <c r="CI19" s="241">
        <f ca="1">IFERROR(INDEX('EE - Input'!$B:$X,MATCH(CJ19&amp;"-"&amp;CI$3&amp;" Newbuild",'EE - Input'!$B:$B,0),MATCH(Ves1_type&amp;Ves1_size,'EE - Input'!$B$3:$X$3,0)),"EE for ship type NA")</f>
        <v>1</v>
      </c>
      <c r="CJ19" s="19" t="str">
        <f>+'Vessel Configurator'!B45</f>
        <v>Propeller improvement devices</v>
      </c>
      <c r="CK19" s="242">
        <f ca="1">INDEX('Calculation - Detailed'!$A:$EF,MATCH($CJ19&amp;"-"&amp;$CK$2,'Calculation - Detailed'!$C:$C,0),MATCH("2020"&amp;CK$3,'Calculation - Detailed'!$8:$8,0))</f>
        <v>999</v>
      </c>
      <c r="CL19" s="242">
        <f ca="1">INDEX('Calculation - Detailed'!$A:$EF,MATCH($CJ19&amp;"-"&amp;$CK$2,'Calculation - Detailed'!$C:$C,0),MATCH("2020"&amp;CL$3,'Calculation - Detailed'!$8:$8,0))</f>
        <v>999</v>
      </c>
      <c r="CM19" s="242">
        <f ca="1">INDEX('Calculation - Detailed'!$A:$EF,MATCH($CJ19&amp;"-"&amp;$CK$2,'Calculation - Detailed'!$C:$C,0),MATCH("2020"&amp;CM$3,'Calculation - Detailed'!$8:$8,0))</f>
        <v>999</v>
      </c>
      <c r="CN19" s="242">
        <f ca="1">INDEX('Calculation - Detailed'!$A:$EF,MATCH($CJ19&amp;"-"&amp;$CK$2,'Calculation - Detailed'!$C:$C,0),MATCH("2020"&amp;CN$3,'Calculation - Detailed'!$8:$8,0))</f>
        <v>999</v>
      </c>
      <c r="CO19" s="243">
        <f ca="1">INDEX('Calculation - Detailed'!$A:$EF,MATCH($CJ19&amp;"-"&amp;$CK$2,'Calculation - Detailed'!$C:$C,0),MATCH("2020"&amp;CO$3,'Calculation - Detailed'!$8:$8,0))</f>
        <v>999</v>
      </c>
      <c r="CQ19" s="244" t="str">
        <f t="shared" ca="1" si="19"/>
        <v>No</v>
      </c>
      <c r="CR19" s="239" t="str">
        <f t="shared" ca="1" si="5"/>
        <v>No</v>
      </c>
      <c r="CS19" s="239" t="str">
        <f t="shared" ca="1" si="6"/>
        <v>No</v>
      </c>
      <c r="CT19" s="239" t="str">
        <f t="shared" ca="1" si="7"/>
        <v>No</v>
      </c>
      <c r="CU19" s="245" t="str">
        <f t="shared" ca="1" si="8"/>
        <v>No</v>
      </c>
      <c r="CV19" s="239"/>
      <c r="CW19" s="244" t="str">
        <f t="shared" ca="1" si="20"/>
        <v>No</v>
      </c>
      <c r="CX19" s="239" t="str">
        <f t="shared" ca="1" si="9"/>
        <v>No</v>
      </c>
      <c r="CY19" s="239" t="str">
        <f t="shared" ca="1" si="10"/>
        <v>No</v>
      </c>
      <c r="CZ19" s="239" t="str">
        <f t="shared" ca="1" si="11"/>
        <v>No</v>
      </c>
      <c r="DA19" s="245" t="str">
        <f t="shared" ca="1" si="12"/>
        <v>No</v>
      </c>
      <c r="DB19" s="239"/>
      <c r="DC19" s="244" t="str">
        <f t="shared" ca="1" si="21"/>
        <v>No</v>
      </c>
      <c r="DD19" s="239" t="str">
        <f t="shared" ca="1" si="13"/>
        <v>No</v>
      </c>
      <c r="DE19" s="239" t="str">
        <f t="shared" ca="1" si="14"/>
        <v>No</v>
      </c>
      <c r="DF19" s="239" t="str">
        <f t="shared" ca="1" si="15"/>
        <v>No</v>
      </c>
      <c r="DG19" s="245" t="str">
        <f t="shared" ca="1" si="16"/>
        <v>No</v>
      </c>
      <c r="DI19" s="105" t="str">
        <f>IF($D19=1,IFERROR(INDEX('EE - Input'!$B:$X,MATCH($E19&amp;"-Saving",'EE - Input'!$B:$B,0),MATCH(Ves1_type&amp;Ves1_size,'EE - Input'!$B$3:$X$3,0)),"EE for ship type NA"),"NA")</f>
        <v>NA</v>
      </c>
      <c r="DJ19" s="246" t="str">
        <f ca="1">IF(CI19=1,IFERROR(INDEX('EE - Input'!$B:$X,MATCH($E19&amp;"-"&amp;$AE$3,'EE - Input'!$B:$B,0),MATCH(Ves1_type&amp;Ves1_size,'EE - Input'!$B$3:$X$3,0)),"EE for ship type NA"),"NA")</f>
        <v>EE for ship type NA</v>
      </c>
    </row>
    <row r="20" spans="1:114" x14ac:dyDescent="0.2">
      <c r="A20" s="29">
        <f t="shared" si="22"/>
        <v>17</v>
      </c>
      <c r="E20" s="29" t="str">
        <f>'Configurator Specs.'!CF21</f>
        <v>Biodiesel (HtL blend)</v>
      </c>
      <c r="H20" s="29" t="str">
        <f t="shared" si="17"/>
        <v>Biodiesel (HtL blend)</v>
      </c>
      <c r="AB20" s="29">
        <f>IF(AC20=1,AC20+MAX($AB$3:AB19),"")</f>
        <v>17</v>
      </c>
      <c r="AC20">
        <v>1</v>
      </c>
      <c r="AD20" s="640"/>
      <c r="AE20" s="640"/>
      <c r="AF20" s="640"/>
      <c r="AG20" s="640"/>
      <c r="AH20" s="640"/>
      <c r="AI20" s="640"/>
      <c r="AJ20" s="32"/>
      <c r="AK20" s="32"/>
      <c r="AL20" s="68"/>
      <c r="AS20" s="29" t="s">
        <v>1609</v>
      </c>
      <c r="AT20" s="29" t="s">
        <v>1605</v>
      </c>
      <c r="AU20" s="675">
        <v>60000</v>
      </c>
      <c r="AV20" s="258">
        <v>72000</v>
      </c>
      <c r="AW20" s="669"/>
      <c r="AX20" s="670">
        <v>1</v>
      </c>
      <c r="AY20" s="523">
        <f>AU20*$AX20</f>
        <v>60000</v>
      </c>
      <c r="AZ20" s="523">
        <f>AV20*$AX20</f>
        <v>72000</v>
      </c>
      <c r="BC20" s="29" t="s">
        <v>547</v>
      </c>
      <c r="BD20" s="29" t="s">
        <v>1610</v>
      </c>
      <c r="BE20" s="29" t="s">
        <v>1534</v>
      </c>
      <c r="BF20" s="29" t="s">
        <v>547</v>
      </c>
      <c r="BR20" s="392" t="s">
        <v>1528</v>
      </c>
      <c r="BS20" s="677">
        <f>MATCH(EE_overview_tab3[[#This Row],[Main lever]],$BR$42:$BR$44,0)</f>
        <v>1</v>
      </c>
      <c r="BT20" s="392" t="s">
        <v>1597</v>
      </c>
      <c r="BU20" s="392">
        <f>INDEX($BU$42:$BU$51,MATCH(EE_overview_tab3[[#This Row],[Sub lever]],$BT$42:$BT$51,0))</f>
        <v>4</v>
      </c>
      <c r="BV20" s="678" t="s">
        <v>152</v>
      </c>
      <c r="BW20" s="678" t="s">
        <v>1611</v>
      </c>
      <c r="BX20" s="392">
        <f>COUNTIFS($C$4:BS20,BS20,$E$4:BU20,BU20)</f>
        <v>4</v>
      </c>
      <c r="BY20" s="392" t="str">
        <f>EE_overview_tab3[[#This Row],['#1]]&amp;"."&amp;EE_overview_tab3[[#This Row],['#2]]&amp;"."&amp;EE_overview_tab3[[#This Row],['#3]]</f>
        <v>1.4.4</v>
      </c>
      <c r="BZ20" s="392" t="str">
        <f>INDEX($BS$42:$BS$44,MATCH(EE_overview_tab3[[#This Row],[Main lever]],$BR$42:$BR$44,0))&amp;"_"&amp;EE_overview_tab3[[#This Row],[Sub lever]]&amp;"_"&amp;EE_overview_tab3[[#This Row],[Short]]</f>
        <v>Prop_Propell_Rudder_RudderPilot</v>
      </c>
      <c r="CA20" t="s">
        <v>1612</v>
      </c>
      <c r="CE20" s="147">
        <f t="shared" si="23"/>
        <v>16</v>
      </c>
      <c r="CF20" s="146" t="s">
        <v>589</v>
      </c>
      <c r="CG20" s="146" t="s">
        <v>1502</v>
      </c>
      <c r="CI20" s="241">
        <f ca="1">IFERROR(INDEX('EE - Input'!$B:$X,MATCH(CJ20&amp;"-"&amp;CI$3&amp;" Newbuild",'EE - Input'!$B:$B,0),MATCH(Ves1_type&amp;Ves1_size,'EE - Input'!$B$3:$X$3,0)),"EE for ship type NA")</f>
        <v>1</v>
      </c>
      <c r="CJ20" s="19" t="str">
        <f>+'Vessel Configurator'!B46</f>
        <v>Rudder autopilot</v>
      </c>
      <c r="CK20" s="242">
        <f ca="1">INDEX('Calculation - Detailed'!$A:$EF,MATCH($CJ20&amp;"-"&amp;$CK$2,'Calculation - Detailed'!$C:$C,0),MATCH("2020"&amp;CK$3,'Calculation - Detailed'!$8:$8,0))</f>
        <v>999</v>
      </c>
      <c r="CL20" s="242">
        <f ca="1">INDEX('Calculation - Detailed'!$A:$EF,MATCH($CJ20&amp;"-"&amp;$CK$2,'Calculation - Detailed'!$C:$C,0),MATCH("2020"&amp;CL$3,'Calculation - Detailed'!$8:$8,0))</f>
        <v>999</v>
      </c>
      <c r="CM20" s="242">
        <f ca="1">INDEX('Calculation - Detailed'!$A:$EF,MATCH($CJ20&amp;"-"&amp;$CK$2,'Calculation - Detailed'!$C:$C,0),MATCH("2020"&amp;CM$3,'Calculation - Detailed'!$8:$8,0))</f>
        <v>999</v>
      </c>
      <c r="CN20" s="242">
        <f ca="1">INDEX('Calculation - Detailed'!$A:$EF,MATCH($CJ20&amp;"-"&amp;$CK$2,'Calculation - Detailed'!$C:$C,0),MATCH("2020"&amp;CN$3,'Calculation - Detailed'!$8:$8,0))</f>
        <v>999</v>
      </c>
      <c r="CO20" s="243">
        <f ca="1">INDEX('Calculation - Detailed'!$A:$EF,MATCH($CJ20&amp;"-"&amp;$CK$2,'Calculation - Detailed'!$C:$C,0),MATCH("2020"&amp;CO$3,'Calculation - Detailed'!$8:$8,0))</f>
        <v>999</v>
      </c>
      <c r="CQ20" s="244" t="str">
        <f t="shared" ca="1" si="19"/>
        <v>No</v>
      </c>
      <c r="CR20" s="239" t="str">
        <f t="shared" ca="1" si="5"/>
        <v>No</v>
      </c>
      <c r="CS20" s="239" t="str">
        <f t="shared" ca="1" si="6"/>
        <v>No</v>
      </c>
      <c r="CT20" s="247" t="str">
        <f t="shared" ca="1" si="7"/>
        <v>No</v>
      </c>
      <c r="CU20" s="245" t="str">
        <f t="shared" ca="1" si="8"/>
        <v>No</v>
      </c>
      <c r="CV20" s="239"/>
      <c r="CW20" s="244" t="str">
        <f t="shared" ca="1" si="20"/>
        <v>No</v>
      </c>
      <c r="CX20" s="239" t="str">
        <f t="shared" ca="1" si="9"/>
        <v>No</v>
      </c>
      <c r="CY20" s="239" t="str">
        <f t="shared" ca="1" si="10"/>
        <v>No</v>
      </c>
      <c r="CZ20" s="239" t="str">
        <f t="shared" ca="1" si="11"/>
        <v>No</v>
      </c>
      <c r="DA20" s="245" t="str">
        <f t="shared" ca="1" si="12"/>
        <v>No</v>
      </c>
      <c r="DB20" s="239"/>
      <c r="DC20" s="244" t="str">
        <f t="shared" ca="1" si="21"/>
        <v>No</v>
      </c>
      <c r="DD20" s="239" t="str">
        <f t="shared" ca="1" si="13"/>
        <v>No</v>
      </c>
      <c r="DE20" s="239" t="str">
        <f t="shared" ca="1" si="14"/>
        <v>No</v>
      </c>
      <c r="DF20" s="239" t="str">
        <f t="shared" ca="1" si="15"/>
        <v>No</v>
      </c>
      <c r="DG20" s="245" t="str">
        <f t="shared" ca="1" si="16"/>
        <v>No</v>
      </c>
      <c r="DI20" s="105" t="str">
        <f>IF($D20=1,IFERROR(INDEX('EE - Input'!$B:$X,MATCH($E20&amp;"-Saving",'EE - Input'!$B:$B,0),MATCH(Ves1_type&amp;Ves1_size,'EE - Input'!$B$3:$X$3,0)),"EE for ship type NA"),"NA")</f>
        <v>NA</v>
      </c>
      <c r="DJ20" s="246" t="str">
        <f ca="1">IF(CI20=1,IFERROR(INDEX('EE - Input'!$B:$X,MATCH($E20&amp;"-"&amp;$AE$3,'EE - Input'!$B:$B,0),MATCH(Ves1_type&amp;Ves1_size,'EE - Input'!$B$3:$X$3,0)),"EE for ship type NA"),"NA")</f>
        <v>EE for ship type NA</v>
      </c>
    </row>
    <row r="21" spans="1:114" x14ac:dyDescent="0.2">
      <c r="A21" s="29">
        <f t="shared" si="22"/>
        <v>18</v>
      </c>
      <c r="E21" s="29" t="str">
        <f>'Configurator Specs.'!CF22</f>
        <v>Biodiesel (Pyr blend)</v>
      </c>
      <c r="H21" s="29" t="str">
        <f t="shared" si="17"/>
        <v>Biodiesel (Pyr blend)</v>
      </c>
      <c r="AB21" s="29">
        <f>IF(AC21=1,AC21+MAX($AB$3:AB20),"")</f>
        <v>18</v>
      </c>
      <c r="AC21" s="29">
        <v>1</v>
      </c>
      <c r="AD21" s="640"/>
      <c r="AE21" s="640"/>
      <c r="AF21" s="640"/>
      <c r="AG21" s="640"/>
      <c r="AH21" s="640"/>
      <c r="AI21" s="640"/>
      <c r="AJ21" s="32"/>
      <c r="AK21" s="32"/>
      <c r="AL21" s="68"/>
      <c r="AR21" s="29" t="s">
        <v>1570</v>
      </c>
      <c r="AS21" s="263" t="s">
        <v>553</v>
      </c>
      <c r="AT21" s="263"/>
      <c r="AU21" s="682"/>
      <c r="AV21" s="683"/>
      <c r="AW21" s="684"/>
      <c r="AX21" s="685"/>
      <c r="AY21" s="523">
        <v>10000</v>
      </c>
      <c r="AZ21" s="523">
        <v>20000</v>
      </c>
      <c r="BC21" s="29" t="s">
        <v>547</v>
      </c>
      <c r="BD21" s="29" t="s">
        <v>1613</v>
      </c>
      <c r="BE21" s="29" t="s">
        <v>1547</v>
      </c>
      <c r="BF21" s="29" t="s">
        <v>547</v>
      </c>
      <c r="BR21" s="392" t="s">
        <v>1528</v>
      </c>
      <c r="BS21" s="677">
        <f>MATCH(EE_overview_tab3[[#This Row],[Main lever]],$BR$42:$BR$44,0)</f>
        <v>1</v>
      </c>
      <c r="BT21" s="392" t="s">
        <v>1614</v>
      </c>
      <c r="BU21" s="392">
        <f>INDEX($BU$42:$BU$51,MATCH(EE_overview_tab3[[#This Row],[Sub lever]],$BT$42:$BT$51,0))</f>
        <v>5</v>
      </c>
      <c r="BV21" s="678" t="s">
        <v>153</v>
      </c>
      <c r="BW21" s="678" t="s">
        <v>1615</v>
      </c>
      <c r="BX21" s="392">
        <f>COUNTIFS($C$4:BS21,BS21,$E$4:BU21,BU21)</f>
        <v>1</v>
      </c>
      <c r="BY21" s="392" t="str">
        <f>EE_overview_tab3[[#This Row],['#1]]&amp;"."&amp;EE_overview_tab3[[#This Row],['#2]]&amp;"."&amp;EE_overview_tab3[[#This Row],['#3]]</f>
        <v>1.5.1</v>
      </c>
      <c r="BZ21" s="392" t="str">
        <f>INDEX($BS$42:$BS$44,MATCH(EE_overview_tab3[[#This Row],[Main lever]],$BR$42:$BR$44,0))&amp;"_"&amp;EE_overview_tab3[[#This Row],[Sub lever]]&amp;"_"&amp;EE_overview_tab3[[#This Row],[Short]]</f>
        <v>Prop_Wind_Propul_Rotor</v>
      </c>
      <c r="CA21" t="s">
        <v>1616</v>
      </c>
      <c r="CE21" s="147">
        <f t="shared" si="23"/>
        <v>17</v>
      </c>
      <c r="CF21" s="146" t="s">
        <v>595</v>
      </c>
      <c r="CG21" s="146" t="s">
        <v>1502</v>
      </c>
      <c r="CI21" s="241">
        <f ca="1">IFERROR(INDEX('EE - Input'!$B:$X,MATCH(CJ21&amp;"-"&amp;CI$3&amp;" Newbuild",'EE - Input'!$B:$B,0),MATCH(Ves1_type&amp;Ves1_size,'EE - Input'!$B$3:$X$3,0)),"EE for ship type NA")</f>
        <v>0</v>
      </c>
      <c r="CJ21" s="19" t="str">
        <f>+'Vessel Configurator'!B47</f>
        <v>Flettner rotors</v>
      </c>
      <c r="CK21" s="242">
        <f ca="1">INDEX('Calculation - Detailed'!$A:$EF,MATCH($CJ21&amp;"-"&amp;$CK$2,'Calculation - Detailed'!$C:$C,0),MATCH("2020"&amp;CK$3,'Calculation - Detailed'!$8:$8,0))</f>
        <v>999</v>
      </c>
      <c r="CL21" s="242">
        <f ca="1">INDEX('Calculation - Detailed'!$A:$EF,MATCH($CJ21&amp;"-"&amp;$CK$2,'Calculation - Detailed'!$C:$C,0),MATCH("2020"&amp;CL$3,'Calculation - Detailed'!$8:$8,0))</f>
        <v>999</v>
      </c>
      <c r="CM21" s="242">
        <f ca="1">INDEX('Calculation - Detailed'!$A:$EF,MATCH($CJ21&amp;"-"&amp;$CK$2,'Calculation - Detailed'!$C:$C,0),MATCH("2020"&amp;CM$3,'Calculation - Detailed'!$8:$8,0))</f>
        <v>999</v>
      </c>
      <c r="CN21" s="242">
        <f ca="1">INDEX('Calculation - Detailed'!$A:$EF,MATCH($CJ21&amp;"-"&amp;$CK$2,'Calculation - Detailed'!$C:$C,0),MATCH("2020"&amp;CN$3,'Calculation - Detailed'!$8:$8,0))</f>
        <v>999</v>
      </c>
      <c r="CO21" s="243">
        <f ca="1">INDEX('Calculation - Detailed'!$A:$EF,MATCH($CJ21&amp;"-"&amp;$CK$2,'Calculation - Detailed'!$C:$C,0),MATCH("2020"&amp;CO$3,'Calculation - Detailed'!$8:$8,0))</f>
        <v>999</v>
      </c>
      <c r="CQ21" s="244" t="str">
        <f t="shared" ca="1" si="19"/>
        <v>No</v>
      </c>
      <c r="CR21" s="239" t="str">
        <f t="shared" ca="1" si="5"/>
        <v>No</v>
      </c>
      <c r="CS21" s="239" t="str">
        <f t="shared" ca="1" si="6"/>
        <v>No</v>
      </c>
      <c r="CT21" s="239" t="str">
        <f t="shared" ca="1" si="7"/>
        <v>No</v>
      </c>
      <c r="CU21" s="245" t="str">
        <f t="shared" ca="1" si="8"/>
        <v>No</v>
      </c>
      <c r="CV21" s="239"/>
      <c r="CW21" s="244" t="str">
        <f t="shared" ca="1" si="20"/>
        <v>No</v>
      </c>
      <c r="CX21" s="239" t="str">
        <f t="shared" ca="1" si="9"/>
        <v>No</v>
      </c>
      <c r="CY21" s="239" t="str">
        <f t="shared" ca="1" si="10"/>
        <v>No</v>
      </c>
      <c r="CZ21" s="239" t="str">
        <f t="shared" ca="1" si="11"/>
        <v>No</v>
      </c>
      <c r="DA21" s="245" t="str">
        <f t="shared" ca="1" si="12"/>
        <v>No</v>
      </c>
      <c r="DB21" s="239"/>
      <c r="DC21" s="244" t="str">
        <f t="shared" ca="1" si="21"/>
        <v>No</v>
      </c>
      <c r="DD21" s="239" t="str">
        <f t="shared" ca="1" si="13"/>
        <v>No</v>
      </c>
      <c r="DE21" s="239" t="str">
        <f t="shared" ca="1" si="14"/>
        <v>No</v>
      </c>
      <c r="DF21" s="239" t="str">
        <f t="shared" ca="1" si="15"/>
        <v>No</v>
      </c>
      <c r="DG21" s="245" t="str">
        <f t="shared" ca="1" si="16"/>
        <v>No</v>
      </c>
      <c r="DI21" s="105" t="str">
        <f>IF($D21=1,IFERROR(INDEX('EE - Input'!$B:$X,MATCH($E21&amp;"-Saving",'EE - Input'!$B:$B,0),MATCH(Ves1_type&amp;Ves1_size,'EE - Input'!$B$3:$X$3,0)),"EE for ship type NA"),"NA")</f>
        <v>NA</v>
      </c>
      <c r="DJ21" s="246" t="str">
        <f ca="1">IF(CI21=1,IFERROR(INDEX('EE - Input'!$B:$X,MATCH($E21&amp;"-"&amp;$AE$3,'EE - Input'!$B:$B,0),MATCH(Ves1_type&amp;Ves1_size,'EE - Input'!$B$3:$X$3,0)),"EE for ship type NA"),"NA")</f>
        <v>NA</v>
      </c>
    </row>
    <row r="22" spans="1:114" x14ac:dyDescent="0.2">
      <c r="A22" s="29">
        <f t="shared" si="22"/>
        <v>19</v>
      </c>
      <c r="E22" s="29" t="str">
        <f>'Configurator Specs.'!CF23</f>
        <v>Blue hydrogen (liquid)</v>
      </c>
      <c r="H22" s="29" t="str">
        <f t="shared" si="17"/>
        <v>Blue hydrogen (liquid)</v>
      </c>
      <c r="AB22" s="29">
        <f>IF(AC22=1,AC22+MAX($AB$3:AB21),"")</f>
        <v>19</v>
      </c>
      <c r="AC22" s="29">
        <v>1</v>
      </c>
      <c r="AD22" s="15" t="s">
        <v>1617</v>
      </c>
      <c r="AE22" s="15" t="s">
        <v>120</v>
      </c>
      <c r="AF22" s="15" t="s">
        <v>1618</v>
      </c>
      <c r="AG22" s="15" t="s">
        <v>529</v>
      </c>
      <c r="AH22" s="15" t="s">
        <v>529</v>
      </c>
      <c r="AI22" s="15" t="s">
        <v>1524</v>
      </c>
      <c r="AJ22" s="29">
        <f>IF(AD22="",0,1)</f>
        <v>1</v>
      </c>
      <c r="AK22" s="32"/>
      <c r="AL22" s="68"/>
      <c r="AU22" s="675"/>
      <c r="AV22" s="258"/>
      <c r="AW22" s="669"/>
      <c r="AX22" s="670"/>
      <c r="AY22" s="523"/>
      <c r="AZ22" s="523"/>
      <c r="BC22" s="29" t="s">
        <v>552</v>
      </c>
      <c r="BD22" s="29" t="s">
        <v>552</v>
      </c>
      <c r="BE22" s="29" t="s">
        <v>552</v>
      </c>
      <c r="BF22" s="29" t="s">
        <v>552</v>
      </c>
      <c r="BR22" s="392" t="s">
        <v>1528</v>
      </c>
      <c r="BS22" s="677">
        <f>MATCH(EE_overview_tab3[[#This Row],[Main lever]],$BR$42:$BR$44,0)</f>
        <v>1</v>
      </c>
      <c r="BT22" s="392" t="s">
        <v>1614</v>
      </c>
      <c r="BU22" s="392">
        <f>INDEX($BU$42:$BU$51,MATCH(EE_overview_tab3[[#This Row],[Sub lever]],$BT$42:$BT$51,0))</f>
        <v>5</v>
      </c>
      <c r="BV22" s="678" t="s">
        <v>154</v>
      </c>
      <c r="BW22" s="678" t="s">
        <v>1619</v>
      </c>
      <c r="BX22" s="392">
        <f>COUNTIFS($C$4:BS22,BS22,$E$4:BU22,BU22)</f>
        <v>2</v>
      </c>
      <c r="BY22" s="392" t="str">
        <f>EE_overview_tab3[[#This Row],['#1]]&amp;"."&amp;EE_overview_tab3[[#This Row],['#2]]&amp;"."&amp;EE_overview_tab3[[#This Row],['#3]]</f>
        <v>1.5.2</v>
      </c>
      <c r="BZ22" s="392" t="str">
        <f>INDEX($BS$42:$BS$44,MATCH(EE_overview_tab3[[#This Row],[Main lever]],$BR$42:$BR$44,0))&amp;"_"&amp;EE_overview_tab3[[#This Row],[Sub lever]]&amp;"_"&amp;EE_overview_tab3[[#This Row],[Short]]</f>
        <v>Prop_Wind_Propul_Sail</v>
      </c>
      <c r="CA22" t="s">
        <v>1616</v>
      </c>
      <c r="CE22" s="147">
        <f t="shared" si="23"/>
        <v>18</v>
      </c>
      <c r="CF22" s="146" t="s">
        <v>596</v>
      </c>
      <c r="CG22" s="146" t="s">
        <v>1502</v>
      </c>
      <c r="CI22" s="241">
        <f ca="1">IFERROR(INDEX('EE - Input'!$B:$X,MATCH(CJ22&amp;"-"&amp;CI$3&amp;" Newbuild",'EE - Input'!$B:$B,0),MATCH(Ves1_type&amp;Ves1_size,'EE - Input'!$B$3:$X$3,0)),"EE for ship type NA")</f>
        <v>0</v>
      </c>
      <c r="CJ22" s="19" t="str">
        <f>+'Vessel Configurator'!B48</f>
        <v>Sails</v>
      </c>
      <c r="CK22" s="242">
        <f ca="1">INDEX('Calculation - Detailed'!$A:$EF,MATCH($CJ22&amp;"-"&amp;$CK$2,'Calculation - Detailed'!$C:$C,0),MATCH("2020"&amp;CK$3,'Calculation - Detailed'!$8:$8,0))</f>
        <v>999</v>
      </c>
      <c r="CL22" s="242">
        <f ca="1">INDEX('Calculation - Detailed'!$A:$EF,MATCH($CJ22&amp;"-"&amp;$CK$2,'Calculation - Detailed'!$C:$C,0),MATCH("2020"&amp;CL$3,'Calculation - Detailed'!$8:$8,0))</f>
        <v>999</v>
      </c>
      <c r="CM22" s="242">
        <f ca="1">INDEX('Calculation - Detailed'!$A:$EF,MATCH($CJ22&amp;"-"&amp;$CK$2,'Calculation - Detailed'!$C:$C,0),MATCH("2020"&amp;CM$3,'Calculation - Detailed'!$8:$8,0))</f>
        <v>999</v>
      </c>
      <c r="CN22" s="242">
        <f ca="1">INDEX('Calculation - Detailed'!$A:$EF,MATCH($CJ22&amp;"-"&amp;$CK$2,'Calculation - Detailed'!$C:$C,0),MATCH("2020"&amp;CN$3,'Calculation - Detailed'!$8:$8,0))</f>
        <v>999</v>
      </c>
      <c r="CO22" s="243">
        <f ca="1">INDEX('Calculation - Detailed'!$A:$EF,MATCH($CJ22&amp;"-"&amp;$CK$2,'Calculation - Detailed'!$C:$C,0),MATCH("2020"&amp;CO$3,'Calculation - Detailed'!$8:$8,0))</f>
        <v>999</v>
      </c>
      <c r="CQ22" s="244" t="str">
        <f t="shared" ca="1" si="19"/>
        <v>No</v>
      </c>
      <c r="CR22" s="239" t="str">
        <f t="shared" ca="1" si="5"/>
        <v>No</v>
      </c>
      <c r="CS22" s="239" t="str">
        <f t="shared" ca="1" si="6"/>
        <v>No</v>
      </c>
      <c r="CT22" s="239" t="str">
        <f t="shared" ca="1" si="7"/>
        <v>No</v>
      </c>
      <c r="CU22" s="245" t="str">
        <f t="shared" ca="1" si="8"/>
        <v>No</v>
      </c>
      <c r="CV22" s="239"/>
      <c r="CW22" s="244" t="str">
        <f t="shared" ca="1" si="20"/>
        <v>No</v>
      </c>
      <c r="CX22" s="239" t="str">
        <f t="shared" ca="1" si="9"/>
        <v>No</v>
      </c>
      <c r="CY22" s="239" t="str">
        <f t="shared" ca="1" si="10"/>
        <v>No</v>
      </c>
      <c r="CZ22" s="239" t="str">
        <f t="shared" ca="1" si="11"/>
        <v>No</v>
      </c>
      <c r="DA22" s="245" t="str">
        <f t="shared" ca="1" si="12"/>
        <v>No</v>
      </c>
      <c r="DB22" s="239"/>
      <c r="DC22" s="244" t="str">
        <f t="shared" ca="1" si="21"/>
        <v>No</v>
      </c>
      <c r="DD22" s="239" t="str">
        <f t="shared" ca="1" si="13"/>
        <v>No</v>
      </c>
      <c r="DE22" s="239" t="str">
        <f t="shared" ca="1" si="14"/>
        <v>No</v>
      </c>
      <c r="DF22" s="239" t="str">
        <f t="shared" ca="1" si="15"/>
        <v>No</v>
      </c>
      <c r="DG22" s="245" t="str">
        <f t="shared" ca="1" si="16"/>
        <v>No</v>
      </c>
      <c r="DI22" s="105" t="str">
        <f>IF($D22=1,IFERROR(INDEX('EE - Input'!$B:$X,MATCH($E22&amp;"-Saving",'EE - Input'!$B:$B,0),MATCH(Ves1_type&amp;Ves1_size,'EE - Input'!$B$3:$X$3,0)),"EE for ship type NA"),"NA")</f>
        <v>NA</v>
      </c>
      <c r="DJ22" s="246" t="str">
        <f ca="1">IF(CI22=1,IFERROR(INDEX('EE - Input'!$B:$X,MATCH($E22&amp;"-"&amp;$AE$3,'EE - Input'!$B:$B,0),MATCH(Ves1_type&amp;Ves1_size,'EE - Input'!$B$3:$X$3,0)),"EE for ship type NA"),"NA")</f>
        <v>NA</v>
      </c>
    </row>
    <row r="23" spans="1:114" ht="15" x14ac:dyDescent="0.25">
      <c r="A23" s="29">
        <v>20</v>
      </c>
      <c r="E23" s="29" t="str">
        <f>'Configurator Specs.'!CF24</f>
        <v>e-Hydrogen (liquid)</v>
      </c>
      <c r="H23" s="29" t="str">
        <f t="shared" si="17"/>
        <v>e-Hydrogen (liquid)</v>
      </c>
      <c r="AB23" s="29">
        <f>IF(AC23=1,AC23+MAX($AB$3:AB22),"")</f>
        <v>20</v>
      </c>
      <c r="AC23" s="29">
        <v>1</v>
      </c>
      <c r="AD23" s="15" t="s">
        <v>1190</v>
      </c>
      <c r="AE23" s="15" t="s">
        <v>592</v>
      </c>
      <c r="AF23" s="15" t="s">
        <v>1620</v>
      </c>
      <c r="AG23" s="15" t="s">
        <v>532</v>
      </c>
      <c r="AH23" s="15" t="s">
        <v>1545</v>
      </c>
      <c r="AI23" s="15" t="s">
        <v>1524</v>
      </c>
      <c r="AJ23" s="29">
        <f>IF(AD23="",0,1)</f>
        <v>1</v>
      </c>
      <c r="AK23" s="32"/>
      <c r="AL23" s="68"/>
      <c r="AS23" s="30" t="s">
        <v>1587</v>
      </c>
      <c r="AT23" s="29" t="s">
        <v>1605</v>
      </c>
      <c r="AU23" s="675">
        <v>5000</v>
      </c>
      <c r="AV23" s="258">
        <v>10000</v>
      </c>
      <c r="AW23" s="669"/>
      <c r="AX23" s="670">
        <v>1</v>
      </c>
      <c r="AY23" s="523">
        <f>AU23*$AX23</f>
        <v>5000</v>
      </c>
      <c r="AZ23" s="523">
        <f>AV23*$AX23</f>
        <v>10000</v>
      </c>
      <c r="BR23" s="392" t="s">
        <v>1528</v>
      </c>
      <c r="BS23" s="677">
        <f>MATCH(EE_overview_tab3[[#This Row],[Main lever]],$BR$42:$BR$44,0)</f>
        <v>1</v>
      </c>
      <c r="BT23" s="392" t="s">
        <v>1614</v>
      </c>
      <c r="BU23" s="392">
        <f>INDEX($BU$42:$BU$51,MATCH(EE_overview_tab3[[#This Row],[Sub lever]],$BT$42:$BT$51,0))</f>
        <v>5</v>
      </c>
      <c r="BV23" s="678" t="s">
        <v>155</v>
      </c>
      <c r="BW23" s="678" t="s">
        <v>1621</v>
      </c>
      <c r="BX23" s="392">
        <f>COUNTIFS($C$4:BS23,BS23,$E$4:BU23,BU23)</f>
        <v>3</v>
      </c>
      <c r="BY23" s="392" t="str">
        <f>EE_overview_tab3[[#This Row],['#1]]&amp;"."&amp;EE_overview_tab3[[#This Row],['#2]]&amp;"."&amp;EE_overview_tab3[[#This Row],['#3]]</f>
        <v>1.5.3</v>
      </c>
      <c r="BZ23" s="392" t="str">
        <f>INDEX($BS$42:$BS$44,MATCH(EE_overview_tab3[[#This Row],[Main lever]],$BR$42:$BR$44,0))&amp;"_"&amp;EE_overview_tab3[[#This Row],[Sub lever]]&amp;"_"&amp;EE_overview_tab3[[#This Row],[Short]]</f>
        <v>Prop_Wind_Propul_Kite</v>
      </c>
      <c r="CA23" t="s">
        <v>1616</v>
      </c>
      <c r="CE23" s="147">
        <f t="shared" si="23"/>
        <v>19</v>
      </c>
      <c r="CF23" s="146" t="s">
        <v>593</v>
      </c>
      <c r="CG23" s="146" t="s">
        <v>1502</v>
      </c>
      <c r="CI23" s="241">
        <f ca="1">IFERROR(INDEX('EE - Input'!$B:$X,MATCH(CJ23&amp;"-"&amp;CI$3&amp;" Newbuild",'EE - Input'!$B:$B,0),MATCH(Ves1_type&amp;Ves1_size,'EE - Input'!$B$3:$X$3,0)),"EE for ship type NA")</f>
        <v>1</v>
      </c>
      <c r="CJ23" s="19" t="str">
        <f>+'Vessel Configurator'!B49</f>
        <v>Kites</v>
      </c>
      <c r="CK23" s="242">
        <f ca="1">INDEX('Calculation - Detailed'!$A:$EF,MATCH($CJ23&amp;"-"&amp;$CK$2,'Calculation - Detailed'!$C:$C,0),MATCH("2020"&amp;CK$3,'Calculation - Detailed'!$8:$8,0))</f>
        <v>999</v>
      </c>
      <c r="CL23" s="242">
        <f ca="1">INDEX('Calculation - Detailed'!$A:$EF,MATCH($CJ23&amp;"-"&amp;$CK$2,'Calculation - Detailed'!$C:$C,0),MATCH("2020"&amp;CL$3,'Calculation - Detailed'!$8:$8,0))</f>
        <v>999</v>
      </c>
      <c r="CM23" s="242">
        <f ca="1">INDEX('Calculation - Detailed'!$A:$EF,MATCH($CJ23&amp;"-"&amp;$CK$2,'Calculation - Detailed'!$C:$C,0),MATCH("2020"&amp;CM$3,'Calculation - Detailed'!$8:$8,0))</f>
        <v>999</v>
      </c>
      <c r="CN23" s="242">
        <f ca="1">INDEX('Calculation - Detailed'!$A:$EF,MATCH($CJ23&amp;"-"&amp;$CK$2,'Calculation - Detailed'!$C:$C,0),MATCH("2020"&amp;CN$3,'Calculation - Detailed'!$8:$8,0))</f>
        <v>999</v>
      </c>
      <c r="CO23" s="243">
        <f ca="1">INDEX('Calculation - Detailed'!$A:$EF,MATCH($CJ23&amp;"-"&amp;$CK$2,'Calculation - Detailed'!$C:$C,0),MATCH("2020"&amp;CO$3,'Calculation - Detailed'!$8:$8,0))</f>
        <v>999</v>
      </c>
      <c r="CQ23" s="244" t="str">
        <f t="shared" ca="1" si="19"/>
        <v>No</v>
      </c>
      <c r="CR23" s="239" t="str">
        <f t="shared" ca="1" si="5"/>
        <v>No</v>
      </c>
      <c r="CS23" s="239" t="str">
        <f t="shared" ca="1" si="6"/>
        <v>No</v>
      </c>
      <c r="CT23" s="239" t="str">
        <f t="shared" ca="1" si="7"/>
        <v>No</v>
      </c>
      <c r="CU23" s="245" t="str">
        <f t="shared" ca="1" si="8"/>
        <v>No</v>
      </c>
      <c r="CV23" s="239"/>
      <c r="CW23" s="244" t="str">
        <f t="shared" ca="1" si="20"/>
        <v>No</v>
      </c>
      <c r="CX23" s="239" t="str">
        <f t="shared" ca="1" si="9"/>
        <v>No</v>
      </c>
      <c r="CY23" s="239" t="str">
        <f t="shared" ca="1" si="10"/>
        <v>No</v>
      </c>
      <c r="CZ23" s="239" t="str">
        <f t="shared" ca="1" si="11"/>
        <v>No</v>
      </c>
      <c r="DA23" s="245" t="str">
        <f t="shared" ca="1" si="12"/>
        <v>No</v>
      </c>
      <c r="DB23" s="239"/>
      <c r="DC23" s="244" t="str">
        <f t="shared" ca="1" si="21"/>
        <v>No</v>
      </c>
      <c r="DD23" s="239" t="str">
        <f t="shared" ca="1" si="13"/>
        <v>No</v>
      </c>
      <c r="DE23" s="239" t="str">
        <f t="shared" ca="1" si="14"/>
        <v>No</v>
      </c>
      <c r="DF23" s="239" t="str">
        <f t="shared" ca="1" si="15"/>
        <v>No</v>
      </c>
      <c r="DG23" s="245" t="str">
        <f t="shared" ca="1" si="16"/>
        <v>No</v>
      </c>
      <c r="DI23" s="105" t="str">
        <f>IF($D23=1,IFERROR(INDEX('EE - Input'!$B:$X,MATCH($E23&amp;"-Saving",'EE - Input'!$B:$B,0),MATCH(Ves1_type&amp;Ves1_size,'EE - Input'!$B$3:$X$3,0)),"EE for ship type NA"),"NA")</f>
        <v>NA</v>
      </c>
      <c r="DJ23" s="246" t="str">
        <f ca="1">IF(CI23=1,IFERROR(INDEX('EE - Input'!$B:$X,MATCH($E23&amp;"-"&amp;$AE$3,'EE - Input'!$B:$B,0),MATCH(Ves1_type&amp;Ves1_size,'EE - Input'!$B$3:$X$3,0)),"EE for ship type NA"),"NA")</f>
        <v>EE for ship type NA</v>
      </c>
    </row>
    <row r="24" spans="1:114" ht="15" x14ac:dyDescent="0.25">
      <c r="AB24" s="29">
        <f>IF(AC24=1,AC24+MAX($AB$3:AB23),"")</f>
        <v>21</v>
      </c>
      <c r="AC24">
        <v>1</v>
      </c>
      <c r="AD24" s="15" t="s">
        <v>1184</v>
      </c>
      <c r="AE24" s="15" t="s">
        <v>593</v>
      </c>
      <c r="AF24" s="15" t="s">
        <v>1622</v>
      </c>
      <c r="AG24" s="15" t="s">
        <v>531</v>
      </c>
      <c r="AH24" s="15" t="s">
        <v>593</v>
      </c>
      <c r="AI24" s="15" t="s">
        <v>1524</v>
      </c>
      <c r="AJ24" s="29">
        <f>IF(AD24="",0,1)</f>
        <v>1</v>
      </c>
      <c r="AK24" s="32"/>
      <c r="AL24" s="68"/>
      <c r="AS24" s="30"/>
      <c r="AU24" s="675"/>
      <c r="AV24" s="258"/>
      <c r="AW24" s="669"/>
      <c r="AX24" s="670"/>
      <c r="AY24" s="523"/>
      <c r="AZ24" s="523"/>
      <c r="BR24" s="392" t="s">
        <v>1623</v>
      </c>
      <c r="BS24" s="677">
        <f>MATCH(EE_overview_tab3[[#This Row],[Main lever]],$BR$42:$BR$44,0)</f>
        <v>2</v>
      </c>
      <c r="BT24" s="392" t="s">
        <v>1624</v>
      </c>
      <c r="BU24" s="392">
        <f>INDEX($BU$42:$BU$51,MATCH(EE_overview_tab3[[#This Row],[Sub lever]],$BT$42:$BT$51,0))</f>
        <v>1</v>
      </c>
      <c r="BV24" s="678" t="s">
        <v>156</v>
      </c>
      <c r="BW24" s="678" t="s">
        <v>1625</v>
      </c>
      <c r="BX24" s="392">
        <f>COUNTIFS($C$4:BS24,BS24,$E$4:BU24,BU24)</f>
        <v>1</v>
      </c>
      <c r="BY24" s="392" t="str">
        <f>EE_overview_tab3[[#This Row],['#1]]&amp;"."&amp;EE_overview_tab3[[#This Row],['#2]]&amp;"."&amp;EE_overview_tab3[[#This Row],['#3]]</f>
        <v>2.1.1</v>
      </c>
      <c r="BZ24" s="392" t="str">
        <f>INDEX($BS$42:$BS$44,MATCH(EE_overview_tab3[[#This Row],[Main lever]],$BR$42:$BR$44,0))&amp;"_"&amp;EE_overview_tab3[[#This Row],[Sub lever]]&amp;"_"&amp;EE_overview_tab3[[#This Row],[Short]]</f>
        <v>Aux_Add_Pow_WHRS</v>
      </c>
      <c r="CA24" t="s">
        <v>1626</v>
      </c>
      <c r="CE24" s="148">
        <f t="shared" si="23"/>
        <v>20</v>
      </c>
      <c r="CF24" s="146" t="s">
        <v>585</v>
      </c>
      <c r="CG24" s="146" t="s">
        <v>1502</v>
      </c>
      <c r="CI24" s="241">
        <f ca="1">IFERROR(INDEX('EE - Input'!$B:$X,MATCH(CJ24&amp;"-"&amp;CI$3&amp;" Newbuild",'EE - Input'!$B:$B,0),MATCH(Ves1_type&amp;Ves1_size,'EE - Input'!$B$3:$X$3,0)),"EE for ship type NA")</f>
        <v>1</v>
      </c>
      <c r="CJ24" s="19" t="str">
        <f>+'Vessel Configurator'!B50</f>
        <v>Waste heat recovery system</v>
      </c>
      <c r="CK24" s="242">
        <f ca="1">INDEX('Calculation - Detailed'!$A:$EF,MATCH($CJ24&amp;"-"&amp;$CK$2,'Calculation - Detailed'!$C:$C,0),MATCH("2020"&amp;CK$3,'Calculation - Detailed'!$8:$8,0))</f>
        <v>999</v>
      </c>
      <c r="CL24" s="242">
        <f ca="1">INDEX('Calculation - Detailed'!$A:$EF,MATCH($CJ24&amp;"-"&amp;$CK$2,'Calculation - Detailed'!$C:$C,0),MATCH("2020"&amp;CL$3,'Calculation - Detailed'!$8:$8,0))</f>
        <v>999</v>
      </c>
      <c r="CM24" s="242">
        <f ca="1">INDEX('Calculation - Detailed'!$A:$EF,MATCH($CJ24&amp;"-"&amp;$CK$2,'Calculation - Detailed'!$C:$C,0),MATCH("2020"&amp;CM$3,'Calculation - Detailed'!$8:$8,0))</f>
        <v>999</v>
      </c>
      <c r="CN24" s="242">
        <f ca="1">INDEX('Calculation - Detailed'!$A:$EF,MATCH($CJ24&amp;"-"&amp;$CK$2,'Calculation - Detailed'!$C:$C,0),MATCH("2020"&amp;CN$3,'Calculation - Detailed'!$8:$8,0))</f>
        <v>999</v>
      </c>
      <c r="CO24" s="243">
        <f ca="1">INDEX('Calculation - Detailed'!$A:$EF,MATCH($CJ24&amp;"-"&amp;$CK$2,'Calculation - Detailed'!$C:$C,0),MATCH("2020"&amp;CO$3,'Calculation - Detailed'!$8:$8,0))</f>
        <v>999</v>
      </c>
      <c r="CQ24" s="244" t="str">
        <f t="shared" ca="1" si="19"/>
        <v>No</v>
      </c>
      <c r="CR24" s="239" t="str">
        <f t="shared" ca="1" si="5"/>
        <v>No</v>
      </c>
      <c r="CS24" s="239" t="str">
        <f t="shared" ca="1" si="6"/>
        <v>No</v>
      </c>
      <c r="CT24" s="239" t="str">
        <f t="shared" ca="1" si="7"/>
        <v>No</v>
      </c>
      <c r="CU24" s="245" t="str">
        <f t="shared" ca="1" si="8"/>
        <v>No</v>
      </c>
      <c r="CV24" s="239"/>
      <c r="CW24" s="244" t="str">
        <f t="shared" ca="1" si="20"/>
        <v>No</v>
      </c>
      <c r="CX24" s="239" t="str">
        <f t="shared" ca="1" si="9"/>
        <v>No</v>
      </c>
      <c r="CY24" s="239" t="str">
        <f t="shared" ca="1" si="10"/>
        <v>No</v>
      </c>
      <c r="CZ24" s="239" t="str">
        <f t="shared" ca="1" si="11"/>
        <v>No</v>
      </c>
      <c r="DA24" s="245" t="str">
        <f t="shared" ca="1" si="12"/>
        <v>No</v>
      </c>
      <c r="DB24" s="239"/>
      <c r="DC24" s="244" t="str">
        <f t="shared" ca="1" si="21"/>
        <v>No</v>
      </c>
      <c r="DD24" s="239" t="str">
        <f t="shared" ca="1" si="13"/>
        <v>No</v>
      </c>
      <c r="DE24" s="239" t="str">
        <f t="shared" ca="1" si="14"/>
        <v>No</v>
      </c>
      <c r="DF24" s="239" t="str">
        <f t="shared" ca="1" si="15"/>
        <v>No</v>
      </c>
      <c r="DG24" s="245" t="str">
        <f t="shared" ca="1" si="16"/>
        <v>No</v>
      </c>
      <c r="DI24" s="105" t="str">
        <f>IF($D24=1,IFERROR(INDEX('EE - Input'!$B:$X,MATCH($E24&amp;"-Saving",'EE - Input'!$B:$B,0),MATCH(Ves1_type&amp;Ves1_size,'EE - Input'!$B$3:$X$3,0)),"EE for ship type NA"),"NA")</f>
        <v>NA</v>
      </c>
      <c r="DJ24" s="246" t="str">
        <f ca="1">IF(CI24=1,IFERROR(INDEX('EE - Input'!$B:$X,MATCH($E24&amp;"-"&amp;$AE$3,'EE - Input'!$B:$B,0),MATCH(Ves1_type&amp;Ves1_size,'EE - Input'!$B$3:$X$3,0)),"EE for ship type NA"),"NA")</f>
        <v>EE for ship type NA</v>
      </c>
    </row>
    <row r="25" spans="1:114" ht="15" x14ac:dyDescent="0.25">
      <c r="AB25" s="29">
        <f>IF(AC25=1,AC25+MAX($AB$3:AB24),"")</f>
        <v>22</v>
      </c>
      <c r="AC25" s="29">
        <v>1</v>
      </c>
      <c r="AD25" s="640"/>
      <c r="AE25" s="640"/>
      <c r="AF25" s="640"/>
      <c r="AG25" s="640"/>
      <c r="AH25" s="640"/>
      <c r="AI25" s="640"/>
      <c r="AJ25" s="32"/>
      <c r="AK25" s="32"/>
      <c r="AL25" s="68"/>
      <c r="AS25" s="30" t="s">
        <v>551</v>
      </c>
      <c r="AU25" s="695"/>
      <c r="AW25" s="669"/>
      <c r="AX25" s="670"/>
      <c r="BR25" s="392" t="s">
        <v>1623</v>
      </c>
      <c r="BS25" s="677">
        <f>MATCH(EE_overview_tab3[[#This Row],[Main lever]],$BR$42:$BR$44,0)</f>
        <v>2</v>
      </c>
      <c r="BT25" s="392" t="s">
        <v>1624</v>
      </c>
      <c r="BU25" s="392">
        <f>INDEX($BU$42:$BU$51,MATCH(EE_overview_tab3[[#This Row],[Sub lever]],$BT$42:$BT$51,0))</f>
        <v>1</v>
      </c>
      <c r="BV25" s="678" t="s">
        <v>157</v>
      </c>
      <c r="BW25" s="678" t="s">
        <v>1627</v>
      </c>
      <c r="BX25" s="392">
        <f>COUNTIFS($C$4:BS25,BS25,$E$4:BU25,BU25)</f>
        <v>2</v>
      </c>
      <c r="BY25" s="392" t="str">
        <f>EE_overview_tab3[[#This Row],['#1]]&amp;"."&amp;EE_overview_tab3[[#This Row],['#2]]&amp;"."&amp;EE_overview_tab3[[#This Row],['#3]]</f>
        <v>2.1.2</v>
      </c>
      <c r="BZ25" s="392" t="str">
        <f>INDEX($BS$42:$BS$44,MATCH(EE_overview_tab3[[#This Row],[Main lever]],$BR$42:$BR$44,0))&amp;"_"&amp;EE_overview_tab3[[#This Row],[Sub lever]]&amp;"_"&amp;EE_overview_tab3[[#This Row],[Short]]</f>
        <v>Aux_Add_Pow_ShaftGen</v>
      </c>
      <c r="CA25" t="s">
        <v>1628</v>
      </c>
      <c r="CI25" s="241">
        <f ca="1">IFERROR(INDEX('EE - Input'!$B:$X,MATCH(CJ25&amp;"-"&amp;CI$3&amp;" Newbuild",'EE - Input'!$B:$B,0),MATCH(Ves1_type&amp;Ves1_size,'EE - Input'!$B$3:$X$3,0)),"EE for ship type NA")</f>
        <v>0</v>
      </c>
      <c r="CJ25" s="19" t="str">
        <f>+'Vessel Configurator'!B51</f>
        <v>Shaft generator</v>
      </c>
      <c r="CK25" s="242">
        <f ca="1">INDEX('Calculation - Detailed'!$A:$EF,MATCH($CJ25&amp;"-"&amp;$CK$2,'Calculation - Detailed'!$C:$C,0),MATCH("2020"&amp;CK$3,'Calculation - Detailed'!$8:$8,0))</f>
        <v>999</v>
      </c>
      <c r="CL25" s="242">
        <f ca="1">INDEX('Calculation - Detailed'!$A:$EF,MATCH($CJ25&amp;"-"&amp;$CK$2,'Calculation - Detailed'!$C:$C,0),MATCH("2020"&amp;CL$3,'Calculation - Detailed'!$8:$8,0))</f>
        <v>999</v>
      </c>
      <c r="CM25" s="242">
        <f ca="1">INDEX('Calculation - Detailed'!$A:$EF,MATCH($CJ25&amp;"-"&amp;$CK$2,'Calculation - Detailed'!$C:$C,0),MATCH("2020"&amp;CM$3,'Calculation - Detailed'!$8:$8,0))</f>
        <v>999</v>
      </c>
      <c r="CN25" s="242">
        <f ca="1">INDEX('Calculation - Detailed'!$A:$EF,MATCH($CJ25&amp;"-"&amp;$CK$2,'Calculation - Detailed'!$C:$C,0),MATCH("2020"&amp;CN$3,'Calculation - Detailed'!$8:$8,0))</f>
        <v>999</v>
      </c>
      <c r="CO25" s="243">
        <f ca="1">INDEX('Calculation - Detailed'!$A:$EF,MATCH($CJ25&amp;"-"&amp;$CK$2,'Calculation - Detailed'!$C:$C,0),MATCH("2020"&amp;CO$3,'Calculation - Detailed'!$8:$8,0))</f>
        <v>999</v>
      </c>
      <c r="CQ25" s="244" t="str">
        <f t="shared" ca="1" si="19"/>
        <v>No</v>
      </c>
      <c r="CR25" s="239" t="str">
        <f t="shared" ca="1" si="5"/>
        <v>No</v>
      </c>
      <c r="CS25" s="239" t="str">
        <f t="shared" ca="1" si="6"/>
        <v>No</v>
      </c>
      <c r="CT25" s="239" t="str">
        <f t="shared" ca="1" si="7"/>
        <v>No</v>
      </c>
      <c r="CU25" s="245" t="str">
        <f t="shared" ca="1" si="8"/>
        <v>No</v>
      </c>
      <c r="CV25" s="239"/>
      <c r="CW25" s="244" t="str">
        <f t="shared" ca="1" si="20"/>
        <v>No</v>
      </c>
      <c r="CX25" s="239" t="str">
        <f t="shared" ca="1" si="9"/>
        <v>No</v>
      </c>
      <c r="CY25" s="239" t="str">
        <f t="shared" ca="1" si="10"/>
        <v>No</v>
      </c>
      <c r="CZ25" s="239" t="str">
        <f t="shared" ca="1" si="11"/>
        <v>No</v>
      </c>
      <c r="DA25" s="245" t="str">
        <f t="shared" ca="1" si="12"/>
        <v>No</v>
      </c>
      <c r="DB25" s="239"/>
      <c r="DC25" s="244" t="str">
        <f t="shared" ca="1" si="21"/>
        <v>No</v>
      </c>
      <c r="DD25" s="239" t="str">
        <f t="shared" ca="1" si="13"/>
        <v>No</v>
      </c>
      <c r="DE25" s="239" t="str">
        <f t="shared" ca="1" si="14"/>
        <v>No</v>
      </c>
      <c r="DF25" s="239" t="str">
        <f t="shared" ca="1" si="15"/>
        <v>No</v>
      </c>
      <c r="DG25" s="245" t="str">
        <f t="shared" ca="1" si="16"/>
        <v>No</v>
      </c>
      <c r="DI25" s="105" t="str">
        <f>IF($D25=1,IFERROR(INDEX('EE - Input'!$B:$X,MATCH($E25&amp;"-Saving",'EE - Input'!$B:$B,0),MATCH(Ves1_type&amp;Ves1_size,'EE - Input'!$B$3:$X$3,0)),"EE for ship type NA"),"NA")</f>
        <v>NA</v>
      </c>
      <c r="DJ25" s="246" t="str">
        <f ca="1">IF(CI25=1,IFERROR(INDEX('EE - Input'!$B:$X,MATCH($E25&amp;"-"&amp;$AE$3,'EE - Input'!$B:$B,0),MATCH(Ves1_type&amp;Ves1_size,'EE - Input'!$B$3:$X$3,0)),"EE for ship type NA"),"NA")</f>
        <v>NA</v>
      </c>
    </row>
    <row r="26" spans="1:114" x14ac:dyDescent="0.2">
      <c r="AB26" s="29">
        <f>IF(AC26=1,AC26+MAX($AB$3:AB25),"")</f>
        <v>23</v>
      </c>
      <c r="AC26" s="29">
        <v>1</v>
      </c>
      <c r="AD26" s="640"/>
      <c r="AE26" s="640"/>
      <c r="AF26" s="640"/>
      <c r="AG26" s="640"/>
      <c r="AH26" s="640"/>
      <c r="AI26" s="640"/>
      <c r="AJ26" s="32"/>
      <c r="AK26" s="32"/>
      <c r="AL26" s="68"/>
      <c r="AS26" s="29" t="s">
        <v>1557</v>
      </c>
      <c r="AT26" s="29" t="s">
        <v>1605</v>
      </c>
      <c r="AU26" s="675">
        <v>1000</v>
      </c>
      <c r="AV26" s="258">
        <v>2500</v>
      </c>
      <c r="AW26" s="669"/>
      <c r="AX26" s="670">
        <v>1</v>
      </c>
      <c r="AY26" s="696">
        <v>700</v>
      </c>
      <c r="AZ26" s="696">
        <v>1500</v>
      </c>
      <c r="BR26" s="392" t="s">
        <v>1623</v>
      </c>
      <c r="BS26" s="677">
        <f>MATCH(EE_overview_tab3[[#This Row],[Main lever]],$BR$42:$BR$44,0)</f>
        <v>2</v>
      </c>
      <c r="BT26" s="392" t="s">
        <v>1624</v>
      </c>
      <c r="BU26" s="392">
        <f>INDEX($BU$42:$BU$51,MATCH(EE_overview_tab3[[#This Row],[Sub lever]],$BT$42:$BT$51,0))</f>
        <v>1</v>
      </c>
      <c r="BV26" s="678" t="s">
        <v>158</v>
      </c>
      <c r="BW26" s="678" t="s">
        <v>1629</v>
      </c>
      <c r="BX26" s="392">
        <f>COUNTIFS($C$4:BS26,BS26,$E$4:BU26,BU26)</f>
        <v>3</v>
      </c>
      <c r="BY26" s="392" t="str">
        <f>EE_overview_tab3[[#This Row],['#1]]&amp;"."&amp;EE_overview_tab3[[#This Row],['#2]]&amp;"."&amp;EE_overview_tab3[[#This Row],['#3]]</f>
        <v>2.1.3</v>
      </c>
      <c r="BZ26" s="392" t="str">
        <f>INDEX($BS$42:$BS$44,MATCH(EE_overview_tab3[[#This Row],[Main lever]],$BR$42:$BR$44,0))&amp;"_"&amp;EE_overview_tab3[[#This Row],[Sub lever]]&amp;"_"&amp;EE_overview_tab3[[#This Row],[Short]]</f>
        <v>Aux_Add_Pow_SolarPow</v>
      </c>
      <c r="CA26" t="s">
        <v>1630</v>
      </c>
      <c r="CI26" s="241">
        <f ca="1">IFERROR(INDEX('EE - Input'!$B:$X,MATCH(CJ26&amp;"-"&amp;CI$3&amp;" Newbuild",'EE - Input'!$B:$B,0),MATCH(Ves1_type&amp;Ves1_size,'EE - Input'!$B$3:$X$3,0)),"EE for ship type NA")</f>
        <v>0</v>
      </c>
      <c r="CJ26" s="19" t="str">
        <f>+'Vessel Configurator'!B52</f>
        <v>Solar power</v>
      </c>
      <c r="CK26" s="242">
        <f ca="1">INDEX('Calculation - Detailed'!$A:$EF,MATCH($CJ26&amp;"-"&amp;$CK$2,'Calculation - Detailed'!$C:$C,0),MATCH("2020"&amp;CK$3,'Calculation - Detailed'!$8:$8,0))</f>
        <v>999</v>
      </c>
      <c r="CL26" s="242">
        <f ca="1">INDEX('Calculation - Detailed'!$A:$EF,MATCH($CJ26&amp;"-"&amp;$CK$2,'Calculation - Detailed'!$C:$C,0),MATCH("2020"&amp;CL$3,'Calculation - Detailed'!$8:$8,0))</f>
        <v>999</v>
      </c>
      <c r="CM26" s="242">
        <f ca="1">INDEX('Calculation - Detailed'!$A:$EF,MATCH($CJ26&amp;"-"&amp;$CK$2,'Calculation - Detailed'!$C:$C,0),MATCH("2020"&amp;CM$3,'Calculation - Detailed'!$8:$8,0))</f>
        <v>999</v>
      </c>
      <c r="CN26" s="242">
        <f ca="1">INDEX('Calculation - Detailed'!$A:$EF,MATCH($CJ26&amp;"-"&amp;$CK$2,'Calculation - Detailed'!$C:$C,0),MATCH("2020"&amp;CN$3,'Calculation - Detailed'!$8:$8,0))</f>
        <v>999</v>
      </c>
      <c r="CO26" s="243">
        <f ca="1">INDEX('Calculation - Detailed'!$A:$EF,MATCH($CJ26&amp;"-"&amp;$CK$2,'Calculation - Detailed'!$C:$C,0),MATCH("2020"&amp;CO$3,'Calculation - Detailed'!$8:$8,0))</f>
        <v>999</v>
      </c>
      <c r="CQ26" s="244" t="str">
        <f t="shared" ca="1" si="19"/>
        <v>No</v>
      </c>
      <c r="CR26" s="239" t="str">
        <f t="shared" ca="1" si="5"/>
        <v>No</v>
      </c>
      <c r="CS26" s="239" t="str">
        <f t="shared" ca="1" si="6"/>
        <v>No</v>
      </c>
      <c r="CT26" s="239" t="str">
        <f t="shared" ca="1" si="7"/>
        <v>No</v>
      </c>
      <c r="CU26" s="245" t="str">
        <f t="shared" ca="1" si="8"/>
        <v>No</v>
      </c>
      <c r="CV26" s="239"/>
      <c r="CW26" s="244" t="str">
        <f t="shared" ca="1" si="20"/>
        <v>No</v>
      </c>
      <c r="CX26" s="239" t="str">
        <f t="shared" ca="1" si="9"/>
        <v>No</v>
      </c>
      <c r="CY26" s="239" t="str">
        <f t="shared" ca="1" si="10"/>
        <v>No</v>
      </c>
      <c r="CZ26" s="239" t="str">
        <f t="shared" ca="1" si="11"/>
        <v>No</v>
      </c>
      <c r="DA26" s="245" t="str">
        <f t="shared" ca="1" si="12"/>
        <v>No</v>
      </c>
      <c r="DB26" s="239"/>
      <c r="DC26" s="244" t="str">
        <f t="shared" ca="1" si="21"/>
        <v>No</v>
      </c>
      <c r="DD26" s="239" t="str">
        <f t="shared" ca="1" si="13"/>
        <v>No</v>
      </c>
      <c r="DE26" s="239" t="str">
        <f t="shared" ca="1" si="14"/>
        <v>No</v>
      </c>
      <c r="DF26" s="239" t="str">
        <f t="shared" ca="1" si="15"/>
        <v>No</v>
      </c>
      <c r="DG26" s="245" t="str">
        <f t="shared" ca="1" si="16"/>
        <v>No</v>
      </c>
      <c r="DI26" s="105" t="str">
        <f>IF($D26=1,IFERROR(INDEX('EE - Input'!$B:$X,MATCH($E26&amp;"-Saving",'EE - Input'!$B:$B,0),MATCH(Ves1_type&amp;Ves1_size,'EE - Input'!$B$3:$X$3,0)),"EE for ship type NA"),"NA")</f>
        <v>NA</v>
      </c>
      <c r="DJ26" s="246" t="str">
        <f ca="1">IF(CI26=1,IFERROR(INDEX('EE - Input'!$B:$X,MATCH($E26&amp;"-"&amp;$AE$3,'EE - Input'!$B:$B,0),MATCH(Ves1_type&amp;Ves1_size,'EE - Input'!$B$3:$X$3,0)),"EE for ship type NA"),"NA")</f>
        <v>NA</v>
      </c>
    </row>
    <row r="27" spans="1:114" ht="15" x14ac:dyDescent="0.25">
      <c r="B27" s="30" t="s">
        <v>1631</v>
      </c>
      <c r="AB27" s="29">
        <f>IF(AC27=1,AC27+MAX($AB$3:AB26),"")</f>
        <v>24</v>
      </c>
      <c r="AC27" s="29">
        <v>1</v>
      </c>
      <c r="AD27" s="640"/>
      <c r="AE27" s="640"/>
      <c r="AF27" s="640"/>
      <c r="AG27" s="640"/>
      <c r="AH27" s="640"/>
      <c r="AI27" s="640"/>
      <c r="AJ27" s="32"/>
      <c r="AK27" s="32"/>
      <c r="AS27" s="29" t="s">
        <v>1549</v>
      </c>
      <c r="AT27" s="29" t="s">
        <v>1605</v>
      </c>
      <c r="AU27" s="675">
        <v>400</v>
      </c>
      <c r="AV27" s="258">
        <v>800</v>
      </c>
      <c r="AW27" s="669"/>
      <c r="AX27" s="670">
        <v>1</v>
      </c>
      <c r="AY27" s="523">
        <f>AU27*$AX27</f>
        <v>400</v>
      </c>
      <c r="AZ27" s="523">
        <f>AV27*$AX27</f>
        <v>800</v>
      </c>
      <c r="BR27" s="392" t="s">
        <v>1623</v>
      </c>
      <c r="BS27" s="677">
        <f>MATCH(EE_overview_tab3[[#This Row],[Main lever]],$BR$42:$BR$44,0)</f>
        <v>2</v>
      </c>
      <c r="BT27" s="392" t="s">
        <v>1624</v>
      </c>
      <c r="BU27" s="392">
        <f>INDEX($BU$42:$BU$51,MATCH(EE_overview_tab3[[#This Row],[Sub lever]],$BT$42:$BT$51,0))</f>
        <v>1</v>
      </c>
      <c r="BV27" s="678" t="s">
        <v>159</v>
      </c>
      <c r="BW27" s="678" t="s">
        <v>1632</v>
      </c>
      <c r="BX27" s="392">
        <f>COUNTIFS($C$4:BS27,BS27,$E$4:BU27,BU27)</f>
        <v>4</v>
      </c>
      <c r="BY27" s="392" t="str">
        <f>EE_overview_tab3[[#This Row],['#1]]&amp;"."&amp;EE_overview_tab3[[#This Row],['#2]]&amp;"."&amp;EE_overview_tab3[[#This Row],['#3]]</f>
        <v>2.1.4</v>
      </c>
      <c r="BZ27" s="392" t="str">
        <f>INDEX($BS$42:$BS$44,MATCH(EE_overview_tab3[[#This Row],[Main lever]],$BR$42:$BR$44,0))&amp;"_"&amp;EE_overview_tab3[[#This Row],[Sub lever]]&amp;"_"&amp;EE_overview_tab3[[#This Row],[Short]]</f>
        <v>Aux_Add_Pow_ShorePow</v>
      </c>
      <c r="CA27" t="s">
        <v>1633</v>
      </c>
      <c r="CE27" s="149" t="s">
        <v>1634</v>
      </c>
      <c r="CF27" s="150" t="s">
        <v>1635</v>
      </c>
      <c r="CG27" s="32">
        <f>IF(Fuel_cost_transparency="Forward looking",1,2)</f>
        <v>1</v>
      </c>
      <c r="CI27" s="241">
        <f ca="1">IFERROR(INDEX('EE - Input'!$B:$X,MATCH(CJ27&amp;"-"&amp;CI$3&amp;" Newbuild",'EE - Input'!$B:$B,0),MATCH(Ves1_type&amp;Ves1_size,'EE - Input'!$B$3:$X$3,0)),"EE for ship type NA")</f>
        <v>0</v>
      </c>
      <c r="CJ27" s="19" t="str">
        <f>+'Vessel Configurator'!B53</f>
        <v>Shore power</v>
      </c>
      <c r="CK27" s="242">
        <f ca="1">INDEX('Calculation - Detailed'!$A:$EF,MATCH($CJ27&amp;"-"&amp;$CK$2,'Calculation - Detailed'!$C:$C,0),MATCH("2020"&amp;CK$3,'Calculation - Detailed'!$8:$8,0))</f>
        <v>999</v>
      </c>
      <c r="CL27" s="242">
        <f ca="1">INDEX('Calculation - Detailed'!$A:$EF,MATCH($CJ27&amp;"-"&amp;$CK$2,'Calculation - Detailed'!$C:$C,0),MATCH("2020"&amp;CL$3,'Calculation - Detailed'!$8:$8,0))</f>
        <v>999</v>
      </c>
      <c r="CM27" s="242">
        <f ca="1">INDEX('Calculation - Detailed'!$A:$EF,MATCH($CJ27&amp;"-"&amp;$CK$2,'Calculation - Detailed'!$C:$C,0),MATCH("2020"&amp;CM$3,'Calculation - Detailed'!$8:$8,0))</f>
        <v>999</v>
      </c>
      <c r="CN27" s="242">
        <f ca="1">INDEX('Calculation - Detailed'!$A:$EF,MATCH($CJ27&amp;"-"&amp;$CK$2,'Calculation - Detailed'!$C:$C,0),MATCH("2020"&amp;CN$3,'Calculation - Detailed'!$8:$8,0))</f>
        <v>999</v>
      </c>
      <c r="CO27" s="243">
        <f ca="1">INDEX('Calculation - Detailed'!$A:$EF,MATCH($CJ27&amp;"-"&amp;$CK$2,'Calculation - Detailed'!$C:$C,0),MATCH("2020"&amp;CO$3,'Calculation - Detailed'!$8:$8,0))</f>
        <v>999</v>
      </c>
      <c r="CQ27" s="244" t="str">
        <f t="shared" ca="1" si="19"/>
        <v>No</v>
      </c>
      <c r="CR27" s="239" t="str">
        <f t="shared" ca="1" si="5"/>
        <v>No</v>
      </c>
      <c r="CS27" s="239" t="str">
        <f t="shared" ca="1" si="6"/>
        <v>No</v>
      </c>
      <c r="CT27" s="239" t="str">
        <f t="shared" ca="1" si="7"/>
        <v>No</v>
      </c>
      <c r="CU27" s="245" t="str">
        <f t="shared" ca="1" si="8"/>
        <v>No</v>
      </c>
      <c r="CV27" s="239"/>
      <c r="CW27" s="244" t="str">
        <f t="shared" ca="1" si="20"/>
        <v>No</v>
      </c>
      <c r="CX27" s="239" t="str">
        <f t="shared" ca="1" si="9"/>
        <v>No</v>
      </c>
      <c r="CY27" s="239" t="str">
        <f t="shared" ca="1" si="10"/>
        <v>No</v>
      </c>
      <c r="CZ27" s="239" t="str">
        <f t="shared" ca="1" si="11"/>
        <v>No</v>
      </c>
      <c r="DA27" s="245" t="str">
        <f t="shared" ca="1" si="12"/>
        <v>No</v>
      </c>
      <c r="DB27" s="239"/>
      <c r="DC27" s="244" t="str">
        <f t="shared" ca="1" si="21"/>
        <v>No</v>
      </c>
      <c r="DD27" s="239" t="str">
        <f t="shared" ca="1" si="13"/>
        <v>No</v>
      </c>
      <c r="DE27" s="239" t="str">
        <f t="shared" ca="1" si="14"/>
        <v>No</v>
      </c>
      <c r="DF27" s="239" t="str">
        <f t="shared" ca="1" si="15"/>
        <v>No</v>
      </c>
      <c r="DG27" s="245" t="str">
        <f t="shared" ca="1" si="16"/>
        <v>No</v>
      </c>
      <c r="DI27" s="105" t="str">
        <f>IF($D27=1,IFERROR(INDEX('EE - Input'!$B:$X,MATCH($E27&amp;"-Saving",'EE - Input'!$B:$B,0),MATCH(Ves1_type&amp;Ves1_size,'EE - Input'!$B$3:$X$3,0)),"EE for ship type NA"),"NA")</f>
        <v>NA</v>
      </c>
      <c r="DJ27" s="246" t="str">
        <f ca="1">IF(CI27=1,IFERROR(INDEX('EE - Input'!$B:$X,MATCH($E27&amp;"-"&amp;$AE$3,'EE - Input'!$B:$B,0),MATCH(Ves1_type&amp;Ves1_size,'EE - Input'!$B$3:$X$3,0)),"EE for ship type NA"),"NA")</f>
        <v>NA</v>
      </c>
    </row>
    <row r="28" spans="1:114" ht="15" x14ac:dyDescent="0.25">
      <c r="B28" s="67" t="s">
        <v>787</v>
      </c>
      <c r="C28" s="67" t="s">
        <v>1636</v>
      </c>
      <c r="D28" s="67" t="s">
        <v>2</v>
      </c>
      <c r="E28" s="67"/>
      <c r="F28" s="67"/>
      <c r="G28" s="67">
        <v>2020</v>
      </c>
      <c r="H28" s="67">
        <f>+G28+5</f>
        <v>2025</v>
      </c>
      <c r="I28" s="67">
        <f t="shared" ref="I28:R28" si="27">+H28+5</f>
        <v>2030</v>
      </c>
      <c r="J28" s="67">
        <f t="shared" si="27"/>
        <v>2035</v>
      </c>
      <c r="K28" s="67">
        <f t="shared" si="27"/>
        <v>2040</v>
      </c>
      <c r="L28" s="67">
        <f t="shared" si="27"/>
        <v>2045</v>
      </c>
      <c r="M28" s="67">
        <f t="shared" si="27"/>
        <v>2050</v>
      </c>
      <c r="N28" s="67">
        <f t="shared" si="27"/>
        <v>2055</v>
      </c>
      <c r="O28" s="67">
        <f t="shared" si="27"/>
        <v>2060</v>
      </c>
      <c r="P28" s="67">
        <f t="shared" si="27"/>
        <v>2065</v>
      </c>
      <c r="Q28" s="67">
        <f t="shared" si="27"/>
        <v>2070</v>
      </c>
      <c r="R28" s="67">
        <f t="shared" si="27"/>
        <v>2075</v>
      </c>
      <c r="AB28" s="29">
        <f>IF(AC28=1,AC28+MAX($AB$3:AB27),"")</f>
        <v>25</v>
      </c>
      <c r="AC28" s="29">
        <v>1</v>
      </c>
      <c r="AD28" s="640"/>
      <c r="AE28" s="640"/>
      <c r="AF28" s="640"/>
      <c r="AG28" s="640"/>
      <c r="AH28" s="640"/>
      <c r="AI28" s="640"/>
      <c r="AJ28" s="32"/>
      <c r="AK28" s="32"/>
      <c r="AU28" s="675"/>
      <c r="AV28" s="258"/>
      <c r="AW28" s="669"/>
      <c r="AX28" s="670"/>
      <c r="AY28" s="523"/>
      <c r="AZ28" s="523"/>
      <c r="BR28" s="392" t="s">
        <v>1623</v>
      </c>
      <c r="BS28" s="677">
        <f>MATCH(EE_overview_tab3[[#This Row],[Main lever]],$BR$42:$BR$44,0)</f>
        <v>2</v>
      </c>
      <c r="BT28" s="392" t="s">
        <v>1637</v>
      </c>
      <c r="BU28" s="392">
        <f>INDEX($BU$42:$BU$51,MATCH(EE_overview_tab3[[#This Row],[Sub lever]],$BT$42:$BT$51,0))</f>
        <v>2</v>
      </c>
      <c r="BV28" s="678" t="s">
        <v>160</v>
      </c>
      <c r="BW28" s="678" t="s">
        <v>1638</v>
      </c>
      <c r="BX28" s="392">
        <f>COUNTIFS($C$4:BS28,BS28,$E$4:BU28,BU28)</f>
        <v>1</v>
      </c>
      <c r="BY28" s="392" t="str">
        <f>EE_overview_tab3[[#This Row],['#1]]&amp;"."&amp;EE_overview_tab3[[#This Row],['#2]]&amp;"."&amp;EE_overview_tab3[[#This Row],['#3]]</f>
        <v>2.2.1</v>
      </c>
      <c r="BZ28" s="392" t="str">
        <f>INDEX($BS$42:$BS$44,MATCH(EE_overview_tab3[[#This Row],[Main lever]],$BR$42:$BR$44,0))&amp;"_"&amp;EE_overview_tab3[[#This Row],[Sub lever]]&amp;"_"&amp;EE_overview_tab3[[#This Row],[Short]]</f>
        <v>Aux_Pow_Dem_VFD</v>
      </c>
      <c r="CA28" t="s">
        <v>1639</v>
      </c>
      <c r="CI28" s="241">
        <f ca="1">IFERROR(INDEX('EE - Input'!$B:$X,MATCH(CJ28&amp;"-"&amp;CI$3&amp;" Newbuild",'EE - Input'!$B:$B,0),MATCH(Ves1_type&amp;Ves1_size,'EE - Input'!$B$3:$X$3,0)),"EE for ship type NA")</f>
        <v>1</v>
      </c>
      <c r="CJ28" s="19" t="str">
        <f>+'Vessel Configurator'!B54</f>
        <v>Variable frequency drive</v>
      </c>
      <c r="CK28" s="242">
        <f ca="1">INDEX('Calculation - Detailed'!$A:$EF,MATCH($CJ28&amp;"-"&amp;$CK$2,'Calculation - Detailed'!$C:$C,0),MATCH("2020"&amp;CK$3,'Calculation - Detailed'!$8:$8,0))</f>
        <v>999</v>
      </c>
      <c r="CL28" s="242">
        <f ca="1">INDEX('Calculation - Detailed'!$A:$EF,MATCH($CJ28&amp;"-"&amp;$CK$2,'Calculation - Detailed'!$C:$C,0),MATCH("2020"&amp;CL$3,'Calculation - Detailed'!$8:$8,0))</f>
        <v>999</v>
      </c>
      <c r="CM28" s="242">
        <f ca="1">INDEX('Calculation - Detailed'!$A:$EF,MATCH($CJ28&amp;"-"&amp;$CK$2,'Calculation - Detailed'!$C:$C,0),MATCH("2020"&amp;CM$3,'Calculation - Detailed'!$8:$8,0))</f>
        <v>999</v>
      </c>
      <c r="CN28" s="242">
        <f ca="1">INDEX('Calculation - Detailed'!$A:$EF,MATCH($CJ28&amp;"-"&amp;$CK$2,'Calculation - Detailed'!$C:$C,0),MATCH("2020"&amp;CN$3,'Calculation - Detailed'!$8:$8,0))</f>
        <v>999</v>
      </c>
      <c r="CO28" s="243">
        <f ca="1">INDEX('Calculation - Detailed'!$A:$EF,MATCH($CJ28&amp;"-"&amp;$CK$2,'Calculation - Detailed'!$C:$C,0),MATCH("2020"&amp;CO$3,'Calculation - Detailed'!$8:$8,0))</f>
        <v>999</v>
      </c>
      <c r="CQ28" s="244" t="str">
        <f t="shared" ca="1" si="19"/>
        <v>No</v>
      </c>
      <c r="CR28" s="239" t="str">
        <f t="shared" ca="1" si="5"/>
        <v>No</v>
      </c>
      <c r="CS28" s="239" t="str">
        <f t="shared" ca="1" si="6"/>
        <v>No</v>
      </c>
      <c r="CT28" s="239" t="str">
        <f t="shared" ca="1" si="7"/>
        <v>No</v>
      </c>
      <c r="CU28" s="245" t="str">
        <f t="shared" ca="1" si="8"/>
        <v>No</v>
      </c>
      <c r="CV28" s="239"/>
      <c r="CW28" s="244" t="str">
        <f t="shared" ca="1" si="20"/>
        <v>No</v>
      </c>
      <c r="CX28" s="239" t="str">
        <f t="shared" ca="1" si="9"/>
        <v>No</v>
      </c>
      <c r="CY28" s="239" t="str">
        <f t="shared" ca="1" si="10"/>
        <v>No</v>
      </c>
      <c r="CZ28" s="239" t="str">
        <f t="shared" ca="1" si="11"/>
        <v>No</v>
      </c>
      <c r="DA28" s="245" t="str">
        <f t="shared" ca="1" si="12"/>
        <v>No</v>
      </c>
      <c r="DB28" s="239"/>
      <c r="DC28" s="244" t="str">
        <f t="shared" ca="1" si="21"/>
        <v>No</v>
      </c>
      <c r="DD28" s="239" t="str">
        <f t="shared" ca="1" si="13"/>
        <v>No</v>
      </c>
      <c r="DE28" s="239" t="str">
        <f t="shared" ca="1" si="14"/>
        <v>No</v>
      </c>
      <c r="DF28" s="239" t="str">
        <f t="shared" ca="1" si="15"/>
        <v>No</v>
      </c>
      <c r="DG28" s="245" t="str">
        <f t="shared" ca="1" si="16"/>
        <v>No</v>
      </c>
      <c r="DI28" s="105" t="str">
        <f>IF($D28=1,IFERROR(INDEX('EE - Input'!$B:$X,MATCH($E28&amp;"-Saving",'EE - Input'!$B:$B,0),MATCH(Ves1_type&amp;Ves1_size,'EE - Input'!$B$3:$X$3,0)),"EE for ship type NA"),"NA")</f>
        <v>NA</v>
      </c>
      <c r="DJ28" s="246" t="str">
        <f ca="1">IF(CI28=1,IFERROR(INDEX('EE - Input'!$B:$X,MATCH($E28&amp;"-"&amp;$AE$3,'EE - Input'!$B:$B,0),MATCH(Ves1_type&amp;Ves1_size,'EE - Input'!$B$3:$X$3,0)),"EE for ship type NA"),"NA")</f>
        <v>EE for ship type NA</v>
      </c>
    </row>
    <row r="29" spans="1:114" ht="15" x14ac:dyDescent="0.25">
      <c r="B29" s="29">
        <v>1</v>
      </c>
      <c r="C29" s="676" t="s">
        <v>89</v>
      </c>
      <c r="D29" s="676" t="s">
        <v>1640</v>
      </c>
      <c r="E29" s="48" t="s">
        <v>236</v>
      </c>
      <c r="F29" t="s">
        <v>497</v>
      </c>
      <c r="G29" s="749">
        <v>0</v>
      </c>
      <c r="H29" s="749">
        <v>0</v>
      </c>
      <c r="I29" s="749">
        <v>0</v>
      </c>
      <c r="J29" s="749">
        <v>0</v>
      </c>
      <c r="K29" s="749">
        <v>0</v>
      </c>
      <c r="L29" s="749">
        <v>0</v>
      </c>
      <c r="M29" s="749">
        <v>0</v>
      </c>
      <c r="N29" s="749">
        <v>0</v>
      </c>
      <c r="O29" s="749">
        <v>0</v>
      </c>
      <c r="P29" s="749">
        <v>0</v>
      </c>
      <c r="Q29" s="749">
        <v>0</v>
      </c>
      <c r="R29" s="749">
        <v>0</v>
      </c>
      <c r="AB29" s="29">
        <f>IF(AC29=1,AC29+MAX($AB$3:AB28),"")</f>
        <v>26</v>
      </c>
      <c r="AC29" s="29">
        <v>1</v>
      </c>
      <c r="AD29" s="640"/>
      <c r="AE29" s="640"/>
      <c r="AF29" s="640"/>
      <c r="AG29" s="640"/>
      <c r="AH29" s="640"/>
      <c r="AI29" s="640"/>
      <c r="AJ29" s="32"/>
      <c r="AK29" s="32"/>
      <c r="AS29" s="30" t="s">
        <v>550</v>
      </c>
      <c r="AT29" s="29" t="s">
        <v>1605</v>
      </c>
      <c r="AU29" s="675">
        <v>2000</v>
      </c>
      <c r="AV29" s="258">
        <v>5000</v>
      </c>
      <c r="AW29" s="669"/>
      <c r="AX29" s="670">
        <v>0</v>
      </c>
      <c r="AY29" s="523">
        <f>AU29*$AX29</f>
        <v>0</v>
      </c>
      <c r="AZ29" s="696">
        <v>100000</v>
      </c>
      <c r="BR29" s="392" t="s">
        <v>1623</v>
      </c>
      <c r="BS29" s="677">
        <f>MATCH(EE_overview_tab3[[#This Row],[Main lever]],$BR$42:$BR$44,0)</f>
        <v>2</v>
      </c>
      <c r="BT29" s="392" t="s">
        <v>1637</v>
      </c>
      <c r="BU29" s="392">
        <f>INDEX($BU$42:$BU$51,MATCH(EE_overview_tab3[[#This Row],[Sub lever]],$BT$42:$BT$51,0))</f>
        <v>2</v>
      </c>
      <c r="BV29" s="678" t="s">
        <v>161</v>
      </c>
      <c r="BW29" s="678" t="s">
        <v>1641</v>
      </c>
      <c r="BX29" s="392">
        <f>COUNTIFS($C$4:BS29,BS29,$E$4:BU29,BU29)</f>
        <v>2</v>
      </c>
      <c r="BY29" s="392" t="str">
        <f>EE_overview_tab3[[#This Row],['#1]]&amp;"."&amp;EE_overview_tab3[[#This Row],['#2]]&amp;"."&amp;EE_overview_tab3[[#This Row],['#3]]</f>
        <v>2.2.2</v>
      </c>
      <c r="BZ29" s="392" t="str">
        <f>INDEX($BS$42:$BS$44,MATCH(EE_overview_tab3[[#This Row],[Main lever]],$BR$42:$BR$44,0))&amp;"_"&amp;EE_overview_tab3[[#This Row],[Sub lever]]&amp;"_"&amp;EE_overview_tab3[[#This Row],[Short]]</f>
        <v>Aux_Pow_Dem_Light</v>
      </c>
      <c r="CA29" t="s">
        <v>1642</v>
      </c>
      <c r="CI29" s="241">
        <f ca="1">IFERROR(INDEX('EE - Input'!$B:$X,MATCH(CJ29&amp;"-"&amp;CI$3&amp;" Newbuild",'EE - Input'!$B:$B,0),MATCH(Ves1_type&amp;Ves1_size,'EE - Input'!$B$3:$X$3,0)),"EE for ship type NA")</f>
        <v>1</v>
      </c>
      <c r="CJ29" s="19" t="str">
        <f>+'Vessel Configurator'!B55</f>
        <v>Lighting systems</v>
      </c>
      <c r="CK29" s="242">
        <f ca="1">INDEX('Calculation - Detailed'!$A:$EF,MATCH($CJ29&amp;"-"&amp;$CK$2,'Calculation - Detailed'!$C:$C,0),MATCH("2020"&amp;CK$3,'Calculation - Detailed'!$8:$8,0))</f>
        <v>999</v>
      </c>
      <c r="CL29" s="242">
        <f ca="1">INDEX('Calculation - Detailed'!$A:$EF,MATCH($CJ29&amp;"-"&amp;$CK$2,'Calculation - Detailed'!$C:$C,0),MATCH("2020"&amp;CL$3,'Calculation - Detailed'!$8:$8,0))</f>
        <v>999</v>
      </c>
      <c r="CM29" s="242">
        <f ca="1">INDEX('Calculation - Detailed'!$A:$EF,MATCH($CJ29&amp;"-"&amp;$CK$2,'Calculation - Detailed'!$C:$C,0),MATCH("2020"&amp;CM$3,'Calculation - Detailed'!$8:$8,0))</f>
        <v>999</v>
      </c>
      <c r="CN29" s="242">
        <f ca="1">INDEX('Calculation - Detailed'!$A:$EF,MATCH($CJ29&amp;"-"&amp;$CK$2,'Calculation - Detailed'!$C:$C,0),MATCH("2020"&amp;CN$3,'Calculation - Detailed'!$8:$8,0))</f>
        <v>999</v>
      </c>
      <c r="CO29" s="243">
        <f ca="1">INDEX('Calculation - Detailed'!$A:$EF,MATCH($CJ29&amp;"-"&amp;$CK$2,'Calculation - Detailed'!$C:$C,0),MATCH("2020"&amp;CO$3,'Calculation - Detailed'!$8:$8,0))</f>
        <v>999</v>
      </c>
      <c r="CQ29" s="244" t="str">
        <f t="shared" ca="1" si="19"/>
        <v>No</v>
      </c>
      <c r="CR29" s="239" t="str">
        <f t="shared" ca="1" si="5"/>
        <v>No</v>
      </c>
      <c r="CS29" s="239" t="str">
        <f t="shared" ca="1" si="6"/>
        <v>No</v>
      </c>
      <c r="CT29" s="239" t="str">
        <f t="shared" ca="1" si="7"/>
        <v>No</v>
      </c>
      <c r="CU29" s="245" t="str">
        <f t="shared" ca="1" si="8"/>
        <v>No</v>
      </c>
      <c r="CV29" s="239"/>
      <c r="CW29" s="244" t="str">
        <f t="shared" ca="1" si="20"/>
        <v>No</v>
      </c>
      <c r="CX29" s="239" t="str">
        <f t="shared" ca="1" si="9"/>
        <v>No</v>
      </c>
      <c r="CY29" s="239" t="str">
        <f t="shared" ca="1" si="10"/>
        <v>No</v>
      </c>
      <c r="CZ29" s="239" t="str">
        <f t="shared" ca="1" si="11"/>
        <v>No</v>
      </c>
      <c r="DA29" s="245" t="str">
        <f t="shared" ca="1" si="12"/>
        <v>No</v>
      </c>
      <c r="DB29" s="239"/>
      <c r="DC29" s="244" t="str">
        <f t="shared" ca="1" si="21"/>
        <v>No</v>
      </c>
      <c r="DD29" s="239" t="str">
        <f t="shared" ca="1" si="13"/>
        <v>No</v>
      </c>
      <c r="DE29" s="239" t="str">
        <f t="shared" ca="1" si="14"/>
        <v>No</v>
      </c>
      <c r="DF29" s="239" t="str">
        <f t="shared" ca="1" si="15"/>
        <v>No</v>
      </c>
      <c r="DG29" s="245" t="str">
        <f t="shared" ca="1" si="16"/>
        <v>No</v>
      </c>
      <c r="DI29" s="105" t="str">
        <f>IF($D29=1,IFERROR(INDEX('EE - Input'!$B:$X,MATCH($E29&amp;"-Saving",'EE - Input'!$B:$B,0),MATCH(Ves1_type&amp;Ves1_size,'EE - Input'!$B$3:$X$3,0)),"EE for ship type NA"),"NA")</f>
        <v>NA</v>
      </c>
      <c r="DJ29" s="246" t="str">
        <f ca="1">IF(CI29=1,IFERROR(INDEX('EE - Input'!$B:$X,MATCH($E29&amp;"-"&amp;$AE$3,'EE - Input'!$B:$B,0),MATCH(Ves1_type&amp;Ves1_size,'EE - Input'!$B$3:$X$3,0)),"EE for ship type NA"),"NA")</f>
        <v>EE for ship type NA</v>
      </c>
    </row>
    <row r="30" spans="1:114" ht="15" x14ac:dyDescent="0.25">
      <c r="B30" s="29">
        <v>2</v>
      </c>
      <c r="C30" s="29" t="s">
        <v>1537</v>
      </c>
      <c r="D30" s="29" t="str">
        <f>carbon_cost_level&amp;" USD from 2025 onwards"</f>
        <v>0 USD from 2025 onwards</v>
      </c>
      <c r="E30" s="48" t="s">
        <v>236</v>
      </c>
      <c r="F30" t="s">
        <v>497</v>
      </c>
      <c r="G30" s="749">
        <v>0</v>
      </c>
      <c r="H30" s="749">
        <v>1</v>
      </c>
      <c r="I30" s="749">
        <v>1</v>
      </c>
      <c r="J30" s="749">
        <v>1</v>
      </c>
      <c r="K30" s="749">
        <v>1</v>
      </c>
      <c r="L30" s="749">
        <v>1</v>
      </c>
      <c r="M30" s="749">
        <v>1</v>
      </c>
      <c r="N30" s="749">
        <v>1</v>
      </c>
      <c r="O30" s="749">
        <v>1</v>
      </c>
      <c r="P30" s="749">
        <v>1</v>
      </c>
      <c r="Q30" s="749">
        <v>1</v>
      </c>
      <c r="R30" s="749">
        <v>1</v>
      </c>
      <c r="AB30" s="29">
        <f>IF(AC30=1,AC30+MAX($AB$3:AB29),"")</f>
        <v>27</v>
      </c>
      <c r="AC30" s="29">
        <v>1</v>
      </c>
      <c r="AD30" s="640"/>
      <c r="AE30" s="640"/>
      <c r="AF30" s="640"/>
      <c r="AG30" s="640"/>
      <c r="AH30" s="640"/>
      <c r="AI30" s="640"/>
      <c r="AJ30" s="32"/>
      <c r="AK30" s="32"/>
      <c r="AS30" s="30" t="s">
        <v>552</v>
      </c>
      <c r="AT30" s="29" t="s">
        <v>1605</v>
      </c>
      <c r="AU30" s="698">
        <v>200</v>
      </c>
      <c r="AV30" s="699">
        <v>400</v>
      </c>
      <c r="AW30" s="669"/>
      <c r="AX30" s="670">
        <v>0</v>
      </c>
      <c r="AY30" s="523">
        <f>AU30*$AX30</f>
        <v>0</v>
      </c>
      <c r="AZ30" s="696">
        <v>100000</v>
      </c>
      <c r="BR30" s="392" t="s">
        <v>1623</v>
      </c>
      <c r="BS30" s="677">
        <f>MATCH(EE_overview_tab3[[#This Row],[Main lever]],$BR$42:$BR$44,0)</f>
        <v>2</v>
      </c>
      <c r="BT30" s="392" t="s">
        <v>1637</v>
      </c>
      <c r="BU30" s="392">
        <f>INDEX($BU$42:$BU$51,MATCH(EE_overview_tab3[[#This Row],[Sub lever]],$BT$42:$BT$51,0))</f>
        <v>2</v>
      </c>
      <c r="BV30" s="678" t="s">
        <v>162</v>
      </c>
      <c r="BW30" s="678" t="s">
        <v>1643</v>
      </c>
      <c r="BX30" s="392">
        <f>COUNTIFS($C$4:BS30,BS30,$E$4:BU30,BU30)</f>
        <v>3</v>
      </c>
      <c r="BY30" s="392" t="str">
        <f>EE_overview_tab3[[#This Row],['#1]]&amp;"."&amp;EE_overview_tab3[[#This Row],['#2]]&amp;"."&amp;EE_overview_tab3[[#This Row],['#3]]</f>
        <v>2.2.3</v>
      </c>
      <c r="BZ30" s="392" t="str">
        <f>INDEX($BS$42:$BS$44,MATCH(EE_overview_tab3[[#This Row],[Main lever]],$BR$42:$BR$44,0))&amp;"_"&amp;EE_overview_tab3[[#This Row],[Sub lever]]&amp;"_"&amp;EE_overview_tab3[[#This Row],[Short]]</f>
        <v>Aux_Pow_Dem_HVAC</v>
      </c>
      <c r="CA30" t="s">
        <v>1644</v>
      </c>
      <c r="CI30" s="241">
        <f ca="1">IFERROR(INDEX('EE - Input'!$B:$X,MATCH(CJ30&amp;"-"&amp;CI$3&amp;" Newbuild",'EE - Input'!$B:$B,0),MATCH(Ves1_type&amp;Ves1_size,'EE - Input'!$B$3:$X$3,0)),"EE for ship type NA")</f>
        <v>0</v>
      </c>
      <c r="CJ30" s="19" t="str">
        <f>+'Vessel Configurator'!B56</f>
        <v>A/C and heating systems</v>
      </c>
      <c r="CK30" s="242">
        <f ca="1">INDEX('Calculation - Detailed'!$A:$EF,MATCH($CJ30&amp;"-"&amp;$CK$2,'Calculation - Detailed'!$C:$C,0),MATCH("2020"&amp;CK$3,'Calculation - Detailed'!$8:$8,0))</f>
        <v>999</v>
      </c>
      <c r="CL30" s="242">
        <f ca="1">INDEX('Calculation - Detailed'!$A:$EF,MATCH($CJ30&amp;"-"&amp;$CK$2,'Calculation - Detailed'!$C:$C,0),MATCH("2020"&amp;CL$3,'Calculation - Detailed'!$8:$8,0))</f>
        <v>999</v>
      </c>
      <c r="CM30" s="242">
        <f ca="1">INDEX('Calculation - Detailed'!$A:$EF,MATCH($CJ30&amp;"-"&amp;$CK$2,'Calculation - Detailed'!$C:$C,0),MATCH("2020"&amp;CM$3,'Calculation - Detailed'!$8:$8,0))</f>
        <v>999</v>
      </c>
      <c r="CN30" s="242">
        <f ca="1">INDEX('Calculation - Detailed'!$A:$EF,MATCH($CJ30&amp;"-"&amp;$CK$2,'Calculation - Detailed'!$C:$C,0),MATCH("2020"&amp;CN$3,'Calculation - Detailed'!$8:$8,0))</f>
        <v>999</v>
      </c>
      <c r="CO30" s="243">
        <f ca="1">INDEX('Calculation - Detailed'!$A:$EF,MATCH($CJ30&amp;"-"&amp;$CK$2,'Calculation - Detailed'!$C:$C,0),MATCH("2020"&amp;CO$3,'Calculation - Detailed'!$8:$8,0))</f>
        <v>999</v>
      </c>
      <c r="CQ30" s="244" t="str">
        <f t="shared" ca="1" si="19"/>
        <v>No</v>
      </c>
      <c r="CR30" s="239" t="str">
        <f t="shared" ca="1" si="5"/>
        <v>No</v>
      </c>
      <c r="CS30" s="239" t="str">
        <f t="shared" ca="1" si="6"/>
        <v>No</v>
      </c>
      <c r="CT30" s="239" t="str">
        <f t="shared" ca="1" si="7"/>
        <v>No</v>
      </c>
      <c r="CU30" s="245" t="str">
        <f t="shared" ca="1" si="8"/>
        <v>No</v>
      </c>
      <c r="CV30" s="239"/>
      <c r="CW30" s="244" t="str">
        <f t="shared" ca="1" si="20"/>
        <v>No</v>
      </c>
      <c r="CX30" s="239" t="str">
        <f t="shared" ca="1" si="9"/>
        <v>No</v>
      </c>
      <c r="CY30" s="239" t="str">
        <f t="shared" ca="1" si="10"/>
        <v>No</v>
      </c>
      <c r="CZ30" s="239" t="str">
        <f t="shared" ca="1" si="11"/>
        <v>No</v>
      </c>
      <c r="DA30" s="245" t="str">
        <f t="shared" ca="1" si="12"/>
        <v>No</v>
      </c>
      <c r="DB30" s="239"/>
      <c r="DC30" s="244" t="str">
        <f t="shared" ca="1" si="21"/>
        <v>No</v>
      </c>
      <c r="DD30" s="239" t="str">
        <f t="shared" ca="1" si="13"/>
        <v>No</v>
      </c>
      <c r="DE30" s="239" t="str">
        <f t="shared" ca="1" si="14"/>
        <v>No</v>
      </c>
      <c r="DF30" s="239" t="str">
        <f t="shared" ca="1" si="15"/>
        <v>No</v>
      </c>
      <c r="DG30" s="245" t="str">
        <f t="shared" ca="1" si="16"/>
        <v>No</v>
      </c>
      <c r="DI30" s="105" t="str">
        <f>IF($D30=1,IFERROR(INDEX('EE - Input'!$B:$X,MATCH($E30&amp;"-Saving",'EE - Input'!$B:$B,0),MATCH(Ves1_type&amp;Ves1_size,'EE - Input'!$B$3:$X$3,0)),"EE for ship type NA"),"NA")</f>
        <v>NA</v>
      </c>
      <c r="DJ30" s="246" t="str">
        <f ca="1">IF(CI30=1,IFERROR(INDEX('EE - Input'!$B:$X,MATCH($E30&amp;"-"&amp;$AE$3,'EE - Input'!$B:$B,0),MATCH(Ves1_type&amp;Ves1_size,'EE - Input'!$B$3:$X$3,0)),"EE for ship type NA"),"NA")</f>
        <v>NA</v>
      </c>
    </row>
    <row r="31" spans="1:114" ht="15" x14ac:dyDescent="0.25">
      <c r="E31" s="48"/>
      <c r="F31"/>
      <c r="G31" s="697"/>
      <c r="H31" s="697"/>
      <c r="I31" s="697"/>
      <c r="J31" s="697"/>
      <c r="K31" s="697"/>
      <c r="L31" s="697"/>
      <c r="M31" s="697"/>
      <c r="N31" s="697"/>
      <c r="O31" s="697"/>
      <c r="P31" s="697"/>
      <c r="Q31" s="697"/>
      <c r="R31" s="697"/>
      <c r="AB31" s="29">
        <f>IF(AC31=1,AC31+MAX($AB$3:AB30),"")</f>
        <v>28</v>
      </c>
      <c r="AC31" s="29">
        <v>1</v>
      </c>
      <c r="AD31" s="15" t="s">
        <v>1645</v>
      </c>
      <c r="AE31" s="15" t="s">
        <v>118</v>
      </c>
      <c r="AF31" s="15" t="s">
        <v>1646</v>
      </c>
      <c r="AG31" s="15" t="s">
        <v>528</v>
      </c>
      <c r="AH31" s="15" t="s">
        <v>118</v>
      </c>
      <c r="AI31" s="15" t="s">
        <v>1568</v>
      </c>
      <c r="AJ31" s="29">
        <f t="shared" ref="AJ31" si="28">IF(AD31="",0,1)</f>
        <v>1</v>
      </c>
      <c r="AK31" s="32"/>
      <c r="AS31" s="30" t="s">
        <v>555</v>
      </c>
      <c r="AT31" s="29" t="s">
        <v>1605</v>
      </c>
      <c r="AU31" s="698">
        <v>10000</v>
      </c>
      <c r="AV31" s="699">
        <v>100000</v>
      </c>
      <c r="AW31" s="669"/>
      <c r="AX31" s="670">
        <v>0.1</v>
      </c>
      <c r="AY31" s="523">
        <f>AU31*$AX31</f>
        <v>1000</v>
      </c>
      <c r="AZ31" s="523">
        <f>AV31*$AX31</f>
        <v>10000</v>
      </c>
      <c r="BR31" s="392" t="s">
        <v>1623</v>
      </c>
      <c r="BS31" s="677">
        <f>MATCH(EE_overview_tab3[[#This Row],[Main lever]],$BR$42:$BR$44,0)</f>
        <v>2</v>
      </c>
      <c r="BT31" s="392" t="s">
        <v>1637</v>
      </c>
      <c r="BU31" s="392">
        <f>INDEX($BU$42:$BU$51,MATCH(EE_overview_tab3[[#This Row],[Sub lever]],$BT$42:$BT$51,0))</f>
        <v>2</v>
      </c>
      <c r="BV31" s="678" t="s">
        <v>1647</v>
      </c>
      <c r="BW31" s="679" t="s">
        <v>1648</v>
      </c>
      <c r="BX31" s="392">
        <f>COUNTIFS($C$4:BS31,BS31,$E$4:BU31,BU31)</f>
        <v>4</v>
      </c>
      <c r="BY31" s="392" t="str">
        <f>EE_overview_tab3[[#This Row],['#1]]&amp;"."&amp;EE_overview_tab3[[#This Row],['#2]]&amp;"."&amp;EE_overview_tab3[[#This Row],['#3]]</f>
        <v>2.2.4</v>
      </c>
      <c r="BZ31" s="392" t="str">
        <f>INDEX($BS$42:$BS$44,MATCH(EE_overview_tab3[[#This Row],[Main lever]],$BR$42:$BR$44,0))&amp;"_"&amp;EE_overview_tab3[[#This Row],[Sub lever]]&amp;"_"&amp;EE_overview_tab3[[#This Row],[Short]]</f>
        <v>Aux_Pow_Dem_Man</v>
      </c>
      <c r="CA31" t="s">
        <v>1649</v>
      </c>
      <c r="CI31" s="241">
        <f ca="1">IFERROR(INDEX('EE - Input'!$B:$X,MATCH(CJ31&amp;"-"&amp;CI$3&amp;" Newbuild",'EE - Input'!$B:$B,0),MATCH(Ves1_type&amp;Ves1_size,'EE - Input'!$B$3:$X$3,0)),"EE for ship type NA")</f>
        <v>0</v>
      </c>
      <c r="CJ31" s="19" t="str">
        <f>+'Vessel Configurator'!B57</f>
        <v>Maneuvering equipment (e.g. Thrusters)</v>
      </c>
      <c r="CK31" s="242">
        <f ca="1">INDEX('Calculation - Detailed'!$A:$EF,MATCH($CJ31&amp;"-"&amp;$CK$2,'Calculation - Detailed'!$C:$C,0),MATCH("2020"&amp;CK$3,'Calculation - Detailed'!$8:$8,0))</f>
        <v>999</v>
      </c>
      <c r="CL31" s="242">
        <f ca="1">INDEX('Calculation - Detailed'!$A:$EF,MATCH($CJ31&amp;"-"&amp;$CK$2,'Calculation - Detailed'!$C:$C,0),MATCH("2020"&amp;CL$3,'Calculation - Detailed'!$8:$8,0))</f>
        <v>999</v>
      </c>
      <c r="CM31" s="242">
        <f ca="1">INDEX('Calculation - Detailed'!$A:$EF,MATCH($CJ31&amp;"-"&amp;$CK$2,'Calculation - Detailed'!$C:$C,0),MATCH("2020"&amp;CM$3,'Calculation - Detailed'!$8:$8,0))</f>
        <v>999</v>
      </c>
      <c r="CN31" s="242">
        <f ca="1">INDEX('Calculation - Detailed'!$A:$EF,MATCH($CJ31&amp;"-"&amp;$CK$2,'Calculation - Detailed'!$C:$C,0),MATCH("2020"&amp;CN$3,'Calculation - Detailed'!$8:$8,0))</f>
        <v>999</v>
      </c>
      <c r="CO31" s="243">
        <f ca="1">INDEX('Calculation - Detailed'!$A:$EF,MATCH($CJ31&amp;"-"&amp;$CK$2,'Calculation - Detailed'!$C:$C,0),MATCH("2020"&amp;CO$3,'Calculation - Detailed'!$8:$8,0))</f>
        <v>999</v>
      </c>
      <c r="CQ31" s="244" t="str">
        <f t="shared" ca="1" si="19"/>
        <v>No</v>
      </c>
      <c r="CR31" s="239" t="str">
        <f t="shared" ca="1" si="5"/>
        <v>No</v>
      </c>
      <c r="CS31" s="239" t="str">
        <f t="shared" ca="1" si="6"/>
        <v>No</v>
      </c>
      <c r="CT31" s="239" t="str">
        <f t="shared" ca="1" si="7"/>
        <v>No</v>
      </c>
      <c r="CU31" s="245" t="str">
        <f t="shared" ca="1" si="8"/>
        <v>No</v>
      </c>
      <c r="CV31" s="239"/>
      <c r="CW31" s="244" t="str">
        <f t="shared" ca="1" si="20"/>
        <v>No</v>
      </c>
      <c r="CX31" s="239" t="str">
        <f t="shared" ca="1" si="9"/>
        <v>No</v>
      </c>
      <c r="CY31" s="239" t="str">
        <f t="shared" ca="1" si="10"/>
        <v>No</v>
      </c>
      <c r="CZ31" s="239" t="str">
        <f t="shared" ca="1" si="11"/>
        <v>No</v>
      </c>
      <c r="DA31" s="245" t="str">
        <f t="shared" ca="1" si="12"/>
        <v>No</v>
      </c>
      <c r="DB31" s="239"/>
      <c r="DC31" s="244" t="str">
        <f t="shared" ca="1" si="21"/>
        <v>No</v>
      </c>
      <c r="DD31" s="239" t="str">
        <f t="shared" ca="1" si="13"/>
        <v>No</v>
      </c>
      <c r="DE31" s="239" t="str">
        <f t="shared" ca="1" si="14"/>
        <v>No</v>
      </c>
      <c r="DF31" s="239" t="str">
        <f t="shared" ca="1" si="15"/>
        <v>No</v>
      </c>
      <c r="DG31" s="245" t="str">
        <f t="shared" ca="1" si="16"/>
        <v>No</v>
      </c>
      <c r="DI31" s="105" t="str">
        <f>IF($D31=1,IFERROR(INDEX('EE - Input'!$B:$X,MATCH($E31&amp;"-Saving",'EE - Input'!$B:$B,0),MATCH(Ves1_type&amp;Ves1_size,'EE - Input'!$B$3:$X$3,0)),"EE for ship type NA"),"NA")</f>
        <v>NA</v>
      </c>
      <c r="DJ31" s="246" t="str">
        <f ca="1">IF(CI31=1,IFERROR(INDEX('EE - Input'!$B:$X,MATCH($E31&amp;"-"&amp;$AE$3,'EE - Input'!$B:$B,0),MATCH(Ves1_type&amp;Ves1_size,'EE - Input'!$B$3:$X$3,0)),"EE for ship type NA"),"NA")</f>
        <v>NA</v>
      </c>
    </row>
    <row r="32" spans="1:114" ht="15" x14ac:dyDescent="0.25">
      <c r="E32" s="48"/>
      <c r="F32"/>
      <c r="G32" s="697"/>
      <c r="H32" s="697"/>
      <c r="I32" s="697"/>
      <c r="J32" s="697"/>
      <c r="K32" s="697"/>
      <c r="L32" s="697"/>
      <c r="M32" s="697"/>
      <c r="N32" s="697"/>
      <c r="O32" s="697"/>
      <c r="P32" s="697"/>
      <c r="Q32" s="697"/>
      <c r="R32" s="697"/>
      <c r="AB32" s="29">
        <f>IF(AC32=1,AC32+MAX($AB$3:AB31),"")</f>
        <v>29</v>
      </c>
      <c r="AC32" s="29">
        <v>1</v>
      </c>
      <c r="AD32" s="15" t="s">
        <v>1650</v>
      </c>
      <c r="AE32" s="15" t="s">
        <v>594</v>
      </c>
      <c r="AF32" s="15" t="s">
        <v>594</v>
      </c>
      <c r="AG32" s="15" t="s">
        <v>533</v>
      </c>
      <c r="AH32" s="15" t="s">
        <v>806</v>
      </c>
      <c r="AI32" s="15" t="s">
        <v>1568</v>
      </c>
      <c r="AJ32" s="29">
        <f t="shared" ref="AJ32" si="29">IF(AD32="",0,1)</f>
        <v>1</v>
      </c>
      <c r="AK32" s="32"/>
      <c r="AS32" s="30"/>
      <c r="AU32" s="698"/>
      <c r="AV32" s="699"/>
      <c r="AW32" s="669"/>
      <c r="AX32" s="670"/>
      <c r="AY32" s="523"/>
      <c r="AZ32" s="523"/>
      <c r="BR32" s="392" t="s">
        <v>1623</v>
      </c>
      <c r="BS32" s="677">
        <f>MATCH(EE_overview_tab3[[#This Row],[Main lever]],$BR$42:$BR$44,0)</f>
        <v>2</v>
      </c>
      <c r="BT32" s="392" t="s">
        <v>1651</v>
      </c>
      <c r="BU32" s="392">
        <f>INDEX($BU$42:$BU$51,MATCH(EE_overview_tab3[[#This Row],[Sub lever]],$BT$42:$BT$51,0))</f>
        <v>3</v>
      </c>
      <c r="BV32" s="678" t="s">
        <v>164</v>
      </c>
      <c r="BW32" s="678" t="s">
        <v>1541</v>
      </c>
      <c r="BX32" s="392">
        <f>COUNTIFS($C$4:BS32,BS32,$E$4:BU32,BU32)</f>
        <v>1</v>
      </c>
      <c r="BY32" s="392" t="str">
        <f>EE_overview_tab3[[#This Row],['#1]]&amp;"."&amp;EE_overview_tab3[[#This Row],['#2]]&amp;"."&amp;EE_overview_tab3[[#This Row],['#3]]</f>
        <v>2.3.1</v>
      </c>
      <c r="BZ32" s="392" t="str">
        <f>INDEX($BS$42:$BS$44,MATCH(EE_overview_tab3[[#This Row],[Main lever]],$BR$42:$BR$44,0))&amp;"_"&amp;EE_overview_tab3[[#This Row],[Sub lever]]&amp;"_"&amp;EE_overview_tab3[[#This Row],[Short]]</f>
        <v>Aux_AE_Opt_Hybrid</v>
      </c>
      <c r="CA32" t="s">
        <v>1542</v>
      </c>
      <c r="CI32" s="241">
        <f ca="1">IFERROR(INDEX('EE - Input'!$B:$X,MATCH(CJ32&amp;"-"&amp;CI$3&amp;" Newbuild",'EE - Input'!$B:$B,0),MATCH(Ves1_type&amp;Ves1_size,'EE - Input'!$B$3:$X$3,0)),"EE for ship type NA")</f>
        <v>0</v>
      </c>
      <c r="CJ32" s="19" t="str">
        <f>+'Vessel Configurator'!B58</f>
        <v>AE Hybridization</v>
      </c>
      <c r="CK32" s="242">
        <f ca="1">INDEX('Calculation - Detailed'!$A:$EF,MATCH($CJ32&amp;"-"&amp;$CK$2,'Calculation - Detailed'!$C:$C,0),MATCH("2020"&amp;CK$3,'Calculation - Detailed'!$8:$8,0))</f>
        <v>999</v>
      </c>
      <c r="CL32" s="242">
        <f ca="1">INDEX('Calculation - Detailed'!$A:$EF,MATCH($CJ32&amp;"-"&amp;$CK$2,'Calculation - Detailed'!$C:$C,0),MATCH("2020"&amp;CL$3,'Calculation - Detailed'!$8:$8,0))</f>
        <v>999</v>
      </c>
      <c r="CM32" s="242">
        <f ca="1">INDEX('Calculation - Detailed'!$A:$EF,MATCH($CJ32&amp;"-"&amp;$CK$2,'Calculation - Detailed'!$C:$C,0),MATCH("2020"&amp;CM$3,'Calculation - Detailed'!$8:$8,0))</f>
        <v>999</v>
      </c>
      <c r="CN32" s="242">
        <f ca="1">INDEX('Calculation - Detailed'!$A:$EF,MATCH($CJ32&amp;"-"&amp;$CK$2,'Calculation - Detailed'!$C:$C,0),MATCH("2020"&amp;CN$3,'Calculation - Detailed'!$8:$8,0))</f>
        <v>999</v>
      </c>
      <c r="CO32" s="243">
        <f ca="1">INDEX('Calculation - Detailed'!$A:$EF,MATCH($CJ32&amp;"-"&amp;$CK$2,'Calculation - Detailed'!$C:$C,0),MATCH("2020"&amp;CO$3,'Calculation - Detailed'!$8:$8,0))</f>
        <v>999</v>
      </c>
      <c r="CQ32" s="244" t="str">
        <f t="shared" ca="1" si="19"/>
        <v>No</v>
      </c>
      <c r="CR32" s="239" t="str">
        <f t="shared" ca="1" si="5"/>
        <v>No</v>
      </c>
      <c r="CS32" s="239" t="str">
        <f t="shared" ca="1" si="6"/>
        <v>No</v>
      </c>
      <c r="CT32" s="239" t="str">
        <f t="shared" ca="1" si="7"/>
        <v>No</v>
      </c>
      <c r="CU32" s="245" t="str">
        <f t="shared" ca="1" si="8"/>
        <v>No</v>
      </c>
      <c r="CV32" s="239"/>
      <c r="CW32" s="244" t="str">
        <f t="shared" ca="1" si="20"/>
        <v>No</v>
      </c>
      <c r="CX32" s="239" t="str">
        <f t="shared" ca="1" si="9"/>
        <v>No</v>
      </c>
      <c r="CY32" s="239" t="str">
        <f t="shared" ca="1" si="10"/>
        <v>No</v>
      </c>
      <c r="CZ32" s="239" t="str">
        <f t="shared" ca="1" si="11"/>
        <v>No</v>
      </c>
      <c r="DA32" s="245" t="str">
        <f t="shared" ca="1" si="12"/>
        <v>No</v>
      </c>
      <c r="DB32" s="239"/>
      <c r="DC32" s="244" t="str">
        <f t="shared" ca="1" si="21"/>
        <v>No</v>
      </c>
      <c r="DD32" s="239" t="str">
        <f t="shared" ca="1" si="13"/>
        <v>No</v>
      </c>
      <c r="DE32" s="239" t="str">
        <f t="shared" ca="1" si="14"/>
        <v>No</v>
      </c>
      <c r="DF32" s="239" t="str">
        <f t="shared" ca="1" si="15"/>
        <v>No</v>
      </c>
      <c r="DG32" s="245" t="str">
        <f t="shared" ca="1" si="16"/>
        <v>No</v>
      </c>
      <c r="DI32" s="105" t="str">
        <f>IF($D32=1,IFERROR(INDEX('EE - Input'!$B:$X,MATCH($E32&amp;"-Saving",'EE - Input'!$B:$B,0),MATCH(Ves1_type&amp;Ves1_size,'EE - Input'!$B$3:$X$3,0)),"EE for ship type NA"),"NA")</f>
        <v>NA</v>
      </c>
      <c r="DJ32" s="246" t="str">
        <f ca="1">IF(CI32=1,IFERROR(INDEX('EE - Input'!$B:$X,MATCH($E32&amp;"-"&amp;$AE$3,'EE - Input'!$B:$B,0),MATCH(Ves1_type&amp;Ves1_size,'EE - Input'!$B$3:$X$3,0)),"EE for ship type NA"),"NA")</f>
        <v>NA</v>
      </c>
    </row>
    <row r="33" spans="2:114" ht="15" x14ac:dyDescent="0.25">
      <c r="B33" s="67" t="s">
        <v>787</v>
      </c>
      <c r="C33" s="67" t="s">
        <v>1652</v>
      </c>
      <c r="D33" s="67" t="s">
        <v>2</v>
      </c>
      <c r="E33" s="48"/>
      <c r="F33"/>
      <c r="G33" s="697"/>
      <c r="H33" s="697"/>
      <c r="I33" s="697"/>
      <c r="J33" s="697"/>
      <c r="K33" s="697"/>
      <c r="L33" s="697"/>
      <c r="M33" s="697"/>
      <c r="N33" s="697"/>
      <c r="O33" s="697"/>
      <c r="P33" s="697"/>
      <c r="Q33" s="697"/>
      <c r="R33" s="697"/>
      <c r="AB33" s="29">
        <f>IF(AC33=1,AC33+MAX($AB$3:AB32),"")</f>
        <v>30</v>
      </c>
      <c r="AC33" s="29">
        <v>1</v>
      </c>
      <c r="AD33" s="15" t="s">
        <v>1653</v>
      </c>
      <c r="AE33" s="15" t="s">
        <v>123</v>
      </c>
      <c r="AF33" s="15" t="s">
        <v>123</v>
      </c>
      <c r="AG33" s="15" t="s">
        <v>533</v>
      </c>
      <c r="AH33" s="15" t="s">
        <v>1568</v>
      </c>
      <c r="AI33" s="15" t="s">
        <v>1654</v>
      </c>
      <c r="AJ33" s="29">
        <f t="shared" ref="AJ33:AJ35" si="30">IF(AD33="",0,1)</f>
        <v>1</v>
      </c>
      <c r="AK33" s="32"/>
      <c r="AS33" s="30"/>
      <c r="AU33" s="699"/>
      <c r="AV33" s="699"/>
      <c r="AY33" s="523"/>
      <c r="BR33" s="392" t="s">
        <v>1623</v>
      </c>
      <c r="BS33" s="677">
        <f>MATCH(EE_overview_tab3[[#This Row],[Main lever]],$BR$42:$BR$44,0)</f>
        <v>2</v>
      </c>
      <c r="BT33" s="392" t="s">
        <v>1651</v>
      </c>
      <c r="BU33" s="392">
        <f>INDEX($BU$42:$BU$51,MATCH(EE_overview_tab3[[#This Row],[Sub lever]],$BT$42:$BT$51,0))</f>
        <v>3</v>
      </c>
      <c r="BV33" s="678" t="s">
        <v>165</v>
      </c>
      <c r="BW33" s="677" t="s">
        <v>1655</v>
      </c>
      <c r="BX33" s="392">
        <f>COUNTIFS($C$4:BS33,BS33,$E$4:BU33,BU33)</f>
        <v>2</v>
      </c>
      <c r="BY33" s="392" t="str">
        <f>EE_overview_tab3[[#This Row],['#1]]&amp;"."&amp;EE_overview_tab3[[#This Row],['#2]]&amp;"."&amp;EE_overview_tab3[[#This Row],['#3]]</f>
        <v>2.3.2</v>
      </c>
      <c r="BZ33" s="392" t="str">
        <f>INDEX($BS$42:$BS$44,MATCH(EE_overview_tab3[[#This Row],[Main lever]],$BR$42:$BR$44,0))&amp;"_"&amp;EE_overview_tab3[[#This Row],[Sub lever]]&amp;"_"&amp;EE_overview_tab3[[#This Row],[Short]]</f>
        <v>Aux_AE_Opt_LoadOpt</v>
      </c>
      <c r="CA33" s="392" t="s">
        <v>1656</v>
      </c>
      <c r="CI33" s="241">
        <f ca="1">IFERROR(INDEX('EE - Input'!$B:$X,MATCH(CJ33&amp;"-"&amp;CI$3&amp;" Newbuild",'EE - Input'!$B:$B,0),MATCH(Ves1_type&amp;Ves1_size,'EE - Input'!$B$3:$X$3,0)),"EE for ship type NA")</f>
        <v>1</v>
      </c>
      <c r="CJ33" s="19" t="str">
        <f>+'Vessel Configurator'!B59</f>
        <v>Load optimization</v>
      </c>
      <c r="CK33" s="242">
        <f ca="1">INDEX('Calculation - Detailed'!$A:$EF,MATCH($CJ33&amp;"-"&amp;$CK$2,'Calculation - Detailed'!$C:$C,0),MATCH("2020"&amp;CK$3,'Calculation - Detailed'!$8:$8,0))</f>
        <v>999</v>
      </c>
      <c r="CL33" s="242">
        <f ca="1">INDEX('Calculation - Detailed'!$A:$EF,MATCH($CJ33&amp;"-"&amp;$CK$2,'Calculation - Detailed'!$C:$C,0),MATCH("2020"&amp;CL$3,'Calculation - Detailed'!$8:$8,0))</f>
        <v>999</v>
      </c>
      <c r="CM33" s="242">
        <f ca="1">INDEX('Calculation - Detailed'!$A:$EF,MATCH($CJ33&amp;"-"&amp;$CK$2,'Calculation - Detailed'!$C:$C,0),MATCH("2020"&amp;CM$3,'Calculation - Detailed'!$8:$8,0))</f>
        <v>999</v>
      </c>
      <c r="CN33" s="242">
        <f ca="1">INDEX('Calculation - Detailed'!$A:$EF,MATCH($CJ33&amp;"-"&amp;$CK$2,'Calculation - Detailed'!$C:$C,0),MATCH("2020"&amp;CN$3,'Calculation - Detailed'!$8:$8,0))</f>
        <v>999</v>
      </c>
      <c r="CO33" s="243">
        <f ca="1">INDEX('Calculation - Detailed'!$A:$EF,MATCH($CJ33&amp;"-"&amp;$CK$2,'Calculation - Detailed'!$C:$C,0),MATCH("2020"&amp;CO$3,'Calculation - Detailed'!$8:$8,0))</f>
        <v>999</v>
      </c>
      <c r="CQ33" s="244" t="str">
        <f t="shared" ca="1" si="19"/>
        <v>No</v>
      </c>
      <c r="CR33" s="239" t="str">
        <f t="shared" ca="1" si="5"/>
        <v>No</v>
      </c>
      <c r="CS33" s="239" t="str">
        <f t="shared" ca="1" si="6"/>
        <v>No</v>
      </c>
      <c r="CT33" s="239" t="str">
        <f t="shared" ca="1" si="7"/>
        <v>No</v>
      </c>
      <c r="CU33" s="245" t="str">
        <f t="shared" ca="1" si="8"/>
        <v>No</v>
      </c>
      <c r="CV33" s="239"/>
      <c r="CW33" s="244" t="str">
        <f t="shared" ca="1" si="20"/>
        <v>No</v>
      </c>
      <c r="CX33" s="239" t="str">
        <f t="shared" ca="1" si="9"/>
        <v>No</v>
      </c>
      <c r="CY33" s="239" t="str">
        <f t="shared" ca="1" si="10"/>
        <v>No</v>
      </c>
      <c r="CZ33" s="239" t="str">
        <f t="shared" ca="1" si="11"/>
        <v>No</v>
      </c>
      <c r="DA33" s="245" t="str">
        <f t="shared" ca="1" si="12"/>
        <v>No</v>
      </c>
      <c r="DB33" s="239"/>
      <c r="DC33" s="244" t="str">
        <f t="shared" ca="1" si="21"/>
        <v>No</v>
      </c>
      <c r="DD33" s="239" t="str">
        <f t="shared" ca="1" si="13"/>
        <v>No</v>
      </c>
      <c r="DE33" s="239" t="str">
        <f t="shared" ca="1" si="14"/>
        <v>No</v>
      </c>
      <c r="DF33" s="239" t="str">
        <f t="shared" ca="1" si="15"/>
        <v>No</v>
      </c>
      <c r="DG33" s="245" t="str">
        <f t="shared" ca="1" si="16"/>
        <v>No</v>
      </c>
      <c r="DI33" s="105" t="str">
        <f>IF($D33=1,IFERROR(INDEX('EE - Input'!$B:$X,MATCH($E33&amp;"-Saving",'EE - Input'!$B:$B,0),MATCH(Ves1_type&amp;Ves1_size,'EE - Input'!$B$3:$X$3,0)),"EE for ship type NA"),"NA")</f>
        <v>NA</v>
      </c>
      <c r="DJ33" s="246" t="str">
        <f ca="1">IF(CI33=1,IFERROR(INDEX('EE - Input'!$B:$X,MATCH($E33&amp;"-"&amp;$AE$3,'EE - Input'!$B:$B,0),MATCH(Ves1_type&amp;Ves1_size,'EE - Input'!$B$3:$X$3,0)),"EE for ship type NA"),"NA")</f>
        <v>EE for ship type NA</v>
      </c>
    </row>
    <row r="34" spans="2:114" ht="15" x14ac:dyDescent="0.25">
      <c r="B34" s="29">
        <v>1</v>
      </c>
      <c r="C34" s="29" t="s">
        <v>95</v>
      </c>
      <c r="D34" s="29" t="s">
        <v>1657</v>
      </c>
      <c r="E34" s="48"/>
      <c r="F34"/>
      <c r="G34" s="697"/>
      <c r="H34" s="697"/>
      <c r="I34" s="697"/>
      <c r="J34" s="697"/>
      <c r="K34" s="697"/>
      <c r="L34" s="697"/>
      <c r="M34" s="697"/>
      <c r="N34" s="697"/>
      <c r="O34" s="697"/>
      <c r="P34" s="697"/>
      <c r="Q34" s="697"/>
      <c r="R34" s="697"/>
      <c r="AB34" s="29">
        <f>IF(AC34=1,AC34+MAX($AB$3:AB33),"")</f>
        <v>31</v>
      </c>
      <c r="AC34" s="29">
        <v>1</v>
      </c>
      <c r="AD34" s="15" t="s">
        <v>1658</v>
      </c>
      <c r="AE34" s="15" t="s">
        <v>595</v>
      </c>
      <c r="AF34" s="15" t="s">
        <v>595</v>
      </c>
      <c r="AG34" s="15" t="s">
        <v>533</v>
      </c>
      <c r="AH34" s="15" t="s">
        <v>1568</v>
      </c>
      <c r="AI34" s="15" t="s">
        <v>1659</v>
      </c>
      <c r="AJ34" s="29">
        <f t="shared" si="30"/>
        <v>1</v>
      </c>
      <c r="AK34" s="32"/>
      <c r="AS34" s="30"/>
      <c r="AU34" s="699"/>
      <c r="AV34" s="699"/>
      <c r="AY34" s="523"/>
      <c r="BR34" s="392" t="s">
        <v>1660</v>
      </c>
      <c r="BS34" s="677">
        <f>MATCH(EE_overview_tab3[[#This Row],[Main lever]],$BR$42:$BR$44,0)</f>
        <v>3</v>
      </c>
      <c r="BT34" s="392" t="s">
        <v>1661</v>
      </c>
      <c r="BU34" s="392">
        <f>INDEX($BU$42:$BU$51,MATCH(EE_overview_tab3[[#This Row],[Sub lever]],$BT$42:$BT$51,0))</f>
        <v>1</v>
      </c>
      <c r="BV34" s="678" t="s">
        <v>166</v>
      </c>
      <c r="BW34" s="678" t="s">
        <v>1662</v>
      </c>
      <c r="BX34" s="392">
        <f>COUNTIFS($C$4:BS34,BS34,$E$4:BU34,BU34)</f>
        <v>1</v>
      </c>
      <c r="BY34" s="392" t="str">
        <f>EE_overview_tab3[[#This Row],['#1]]&amp;"."&amp;EE_overview_tab3[[#This Row],['#2]]&amp;"."&amp;EE_overview_tab3[[#This Row],['#3]]</f>
        <v>3.1.1</v>
      </c>
      <c r="BZ34" s="392" t="str">
        <f>INDEX($BS$42:$BS$44,MATCH(EE_overview_tab3[[#This Row],[Main lever]],$BR$42:$BR$44,0))&amp;"_"&amp;EE_overview_tab3[[#This Row],[Sub lever]]&amp;"_"&amp;EE_overview_tab3[[#This Row],[Short]]</f>
        <v>Boil_Steam_Opt_SystEff</v>
      </c>
      <c r="CA34" t="s">
        <v>1663</v>
      </c>
      <c r="CI34" s="241">
        <f ca="1">IFERROR(INDEX('EE - Input'!$B:$X,MATCH(CJ34&amp;"-"&amp;CI$3&amp;" Newbuild",'EE - Input'!$B:$B,0),MATCH(Ves1_type&amp;Ves1_size,'EE - Input'!$B$3:$X$3,0)),"EE for ship type NA")</f>
        <v>0</v>
      </c>
      <c r="CJ34" s="19" t="str">
        <f>+'Vessel Configurator'!B60</f>
        <v>Steam system efficiency</v>
      </c>
      <c r="CK34" s="242">
        <f ca="1">INDEX('Calculation - Detailed'!$A:$EF,MATCH($CJ34&amp;"-"&amp;$CK$2,'Calculation - Detailed'!$C:$C,0),MATCH("2020"&amp;CK$3,'Calculation - Detailed'!$8:$8,0))</f>
        <v>999</v>
      </c>
      <c r="CL34" s="242">
        <f ca="1">INDEX('Calculation - Detailed'!$A:$EF,MATCH($CJ34&amp;"-"&amp;$CK$2,'Calculation - Detailed'!$C:$C,0),MATCH("2020"&amp;CL$3,'Calculation - Detailed'!$8:$8,0))</f>
        <v>999</v>
      </c>
      <c r="CM34" s="242">
        <f ca="1">INDEX('Calculation - Detailed'!$A:$EF,MATCH($CJ34&amp;"-"&amp;$CK$2,'Calculation - Detailed'!$C:$C,0),MATCH("2020"&amp;CM$3,'Calculation - Detailed'!$8:$8,0))</f>
        <v>999</v>
      </c>
      <c r="CN34" s="242">
        <f ca="1">INDEX('Calculation - Detailed'!$A:$EF,MATCH($CJ34&amp;"-"&amp;$CK$2,'Calculation - Detailed'!$C:$C,0),MATCH("2020"&amp;CN$3,'Calculation - Detailed'!$8:$8,0))</f>
        <v>999</v>
      </c>
      <c r="CO34" s="243">
        <f ca="1">INDEX('Calculation - Detailed'!$A:$EF,MATCH($CJ34&amp;"-"&amp;$CK$2,'Calculation - Detailed'!$C:$C,0),MATCH("2020"&amp;CO$3,'Calculation - Detailed'!$8:$8,0))</f>
        <v>999</v>
      </c>
      <c r="CQ34" s="244" t="str">
        <f t="shared" ca="1" si="19"/>
        <v>No</v>
      </c>
      <c r="CR34" s="239" t="str">
        <f t="shared" ca="1" si="5"/>
        <v>No</v>
      </c>
      <c r="CS34" s="239" t="str">
        <f t="shared" ca="1" si="6"/>
        <v>No</v>
      </c>
      <c r="CT34" s="239" t="str">
        <f t="shared" ca="1" si="7"/>
        <v>No</v>
      </c>
      <c r="CU34" s="245" t="str">
        <f t="shared" ca="1" si="8"/>
        <v>No</v>
      </c>
      <c r="CV34" s="239"/>
      <c r="CW34" s="244" t="str">
        <f t="shared" ca="1" si="20"/>
        <v>No</v>
      </c>
      <c r="CX34" s="239" t="str">
        <f t="shared" ca="1" si="9"/>
        <v>No</v>
      </c>
      <c r="CY34" s="239" t="str">
        <f t="shared" ca="1" si="10"/>
        <v>No</v>
      </c>
      <c r="CZ34" s="239" t="str">
        <f t="shared" ca="1" si="11"/>
        <v>No</v>
      </c>
      <c r="DA34" s="245" t="str">
        <f t="shared" ca="1" si="12"/>
        <v>No</v>
      </c>
      <c r="DB34" s="239"/>
      <c r="DC34" s="244" t="str">
        <f t="shared" ca="1" si="21"/>
        <v>No</v>
      </c>
      <c r="DD34" s="239" t="str">
        <f t="shared" ca="1" si="13"/>
        <v>No</v>
      </c>
      <c r="DE34" s="239" t="str">
        <f t="shared" ca="1" si="14"/>
        <v>No</v>
      </c>
      <c r="DF34" s="239" t="str">
        <f t="shared" ca="1" si="15"/>
        <v>No</v>
      </c>
      <c r="DG34" s="245" t="str">
        <f t="shared" ca="1" si="16"/>
        <v>No</v>
      </c>
      <c r="DI34" s="105" t="str">
        <f>IF($D34=1,IFERROR(INDEX('EE - Input'!$B:$X,MATCH($E34&amp;"-Saving",'EE - Input'!$B:$B,0),MATCH(Ves1_type&amp;Ves1_size,'EE - Input'!$B$3:$X$3,0)),"EE for ship type NA"),"NA")</f>
        <v>NA</v>
      </c>
      <c r="DJ34" s="246" t="str">
        <f ca="1">IF(CI34=1,IFERROR(INDEX('EE - Input'!$B:$X,MATCH($E34&amp;"-"&amp;$AE$3,'EE - Input'!$B:$B,0),MATCH(Ves1_type&amp;Ves1_size,'EE - Input'!$B$3:$X$3,0)),"EE for ship type NA"),"NA")</f>
        <v>NA</v>
      </c>
    </row>
    <row r="35" spans="2:114" ht="15" x14ac:dyDescent="0.25">
      <c r="B35" s="29">
        <v>2</v>
      </c>
      <c r="C35" s="29" t="s">
        <v>1664</v>
      </c>
      <c r="D35" s="29" t="s">
        <v>1665</v>
      </c>
      <c r="E35" s="48"/>
      <c r="F35"/>
      <c r="G35" s="697"/>
      <c r="H35" s="697"/>
      <c r="I35" s="697"/>
      <c r="J35" s="697"/>
      <c r="K35" s="697"/>
      <c r="L35" s="697"/>
      <c r="M35" s="697"/>
      <c r="N35" s="697"/>
      <c r="O35" s="697"/>
      <c r="P35" s="697"/>
      <c r="Q35" s="697"/>
      <c r="R35" s="697"/>
      <c r="AB35" s="29">
        <f>IF(AC35=1,AC35+MAX($AB$3:AB34),"")</f>
        <v>32</v>
      </c>
      <c r="AC35" s="29">
        <v>1</v>
      </c>
      <c r="AD35" s="15" t="s">
        <v>1666</v>
      </c>
      <c r="AE35" s="15" t="s">
        <v>596</v>
      </c>
      <c r="AF35" s="15" t="s">
        <v>596</v>
      </c>
      <c r="AG35" s="15" t="s">
        <v>533</v>
      </c>
      <c r="AH35" s="15" t="s">
        <v>1568</v>
      </c>
      <c r="AI35" s="15" t="s">
        <v>1654</v>
      </c>
      <c r="AJ35" s="29">
        <f t="shared" si="30"/>
        <v>1</v>
      </c>
      <c r="AK35" s="32"/>
      <c r="AS35" s="30"/>
      <c r="AU35" s="699"/>
      <c r="AV35" s="699"/>
      <c r="AY35" s="523"/>
      <c r="BR35" s="392" t="s">
        <v>1660</v>
      </c>
      <c r="BS35" s="677">
        <f>MATCH(EE_overview_tab3[[#This Row],[Main lever]],$BR$42:$BR$44,0)</f>
        <v>3</v>
      </c>
      <c r="BT35" s="392" t="s">
        <v>1661</v>
      </c>
      <c r="BU35" s="392">
        <f>INDEX($BU$42:$BU$51,MATCH(EE_overview_tab3[[#This Row],[Sub lever]],$BT$42:$BT$51,0))</f>
        <v>1</v>
      </c>
      <c r="BV35" s="692" t="s">
        <v>167</v>
      </c>
      <c r="BW35" s="692" t="s">
        <v>1667</v>
      </c>
      <c r="BX35" s="392">
        <f>COUNTIFS($C$4:BS35,BS35,$E$4:BU35,BU35)</f>
        <v>2</v>
      </c>
      <c r="BY35" s="690" t="str">
        <f>EE_overview_tab3[[#This Row],['#1]]&amp;"."&amp;EE_overview_tab3[[#This Row],['#2]]&amp;"."&amp;EE_overview_tab3[[#This Row],['#3]]</f>
        <v>3.1.2</v>
      </c>
      <c r="BZ35" s="690" t="str">
        <f>INDEX($BS$42:$BS$44,MATCH(EE_overview_tab3[[#This Row],[Main lever]],$BR$42:$BR$44,0))&amp;"_"&amp;EE_overview_tab3[[#This Row],[Sub lever]]&amp;"_"&amp;EE_overview_tab3[[#This Row],[Short]]</f>
        <v>Boil_Steam_Opt_CargoSys</v>
      </c>
      <c r="CA35" t="s">
        <v>1668</v>
      </c>
      <c r="CI35" s="241">
        <f ca="1">IFERROR(INDEX('EE - Input'!$B:$X,MATCH(CJ35&amp;"-"&amp;CI$3&amp;" Newbuild",'EE - Input'!$B:$B,0),MATCH(Ves1_type&amp;Ves1_size,'EE - Input'!$B$3:$X$3,0)),"EE for ship type NA")</f>
        <v>0</v>
      </c>
      <c r="CJ35" s="19" t="str">
        <f>+'Vessel Configurator'!B61</f>
        <v>Cargo systems (e.g. Cargo pumps)</v>
      </c>
      <c r="CK35" s="242">
        <f ca="1">INDEX('Calculation - Detailed'!$A:$EF,MATCH($CJ35&amp;"-"&amp;$CK$2,'Calculation - Detailed'!$C:$C,0),MATCH("2020"&amp;CK$3,'Calculation - Detailed'!$8:$8,0))</f>
        <v>999</v>
      </c>
      <c r="CL35" s="242">
        <f ca="1">INDEX('Calculation - Detailed'!$A:$EF,MATCH($CJ35&amp;"-"&amp;$CK$2,'Calculation - Detailed'!$C:$C,0),MATCH("2020"&amp;CL$3,'Calculation - Detailed'!$8:$8,0))</f>
        <v>999</v>
      </c>
      <c r="CM35" s="242">
        <f ca="1">INDEX('Calculation - Detailed'!$A:$EF,MATCH($CJ35&amp;"-"&amp;$CK$2,'Calculation - Detailed'!$C:$C,0),MATCH("2020"&amp;CM$3,'Calculation - Detailed'!$8:$8,0))</f>
        <v>999</v>
      </c>
      <c r="CN35" s="242">
        <f ca="1">INDEX('Calculation - Detailed'!$A:$EF,MATCH($CJ35&amp;"-"&amp;$CK$2,'Calculation - Detailed'!$C:$C,0),MATCH("2020"&amp;CN$3,'Calculation - Detailed'!$8:$8,0))</f>
        <v>999</v>
      </c>
      <c r="CO35" s="243">
        <f ca="1">INDEX('Calculation - Detailed'!$A:$EF,MATCH($CJ35&amp;"-"&amp;$CK$2,'Calculation - Detailed'!$C:$C,0),MATCH("2020"&amp;CO$3,'Calculation - Detailed'!$8:$8,0))</f>
        <v>999</v>
      </c>
      <c r="CQ35" s="244" t="str">
        <f t="shared" ca="1" si="19"/>
        <v>No</v>
      </c>
      <c r="CR35" s="239" t="str">
        <f t="shared" ca="1" si="5"/>
        <v>No</v>
      </c>
      <c r="CS35" s="239" t="str">
        <f t="shared" ca="1" si="6"/>
        <v>No</v>
      </c>
      <c r="CT35" s="239" t="str">
        <f t="shared" ca="1" si="7"/>
        <v>No</v>
      </c>
      <c r="CU35" s="245" t="str">
        <f t="shared" ca="1" si="8"/>
        <v>No</v>
      </c>
      <c r="CV35" s="239"/>
      <c r="CW35" s="244" t="str">
        <f t="shared" ca="1" si="20"/>
        <v>No</v>
      </c>
      <c r="CX35" s="239" t="str">
        <f t="shared" ca="1" si="9"/>
        <v>No</v>
      </c>
      <c r="CY35" s="239" t="str">
        <f t="shared" ca="1" si="10"/>
        <v>No</v>
      </c>
      <c r="CZ35" s="239" t="str">
        <f t="shared" ca="1" si="11"/>
        <v>No</v>
      </c>
      <c r="DA35" s="245" t="str">
        <f t="shared" ca="1" si="12"/>
        <v>No</v>
      </c>
      <c r="DB35" s="239"/>
      <c r="DC35" s="244" t="str">
        <f t="shared" ca="1" si="21"/>
        <v>No</v>
      </c>
      <c r="DD35" s="239" t="str">
        <f t="shared" ca="1" si="13"/>
        <v>No</v>
      </c>
      <c r="DE35" s="239" t="str">
        <f t="shared" ca="1" si="14"/>
        <v>No</v>
      </c>
      <c r="DF35" s="239" t="str">
        <f t="shared" ca="1" si="15"/>
        <v>No</v>
      </c>
      <c r="DG35" s="245" t="str">
        <f t="shared" ca="1" si="16"/>
        <v>No</v>
      </c>
      <c r="DI35" s="105" t="str">
        <f>IF($D35=1,IFERROR(INDEX('EE - Input'!$B:$X,MATCH($E35&amp;"-Saving",'EE - Input'!$B:$B,0),MATCH(Ves1_type&amp;Ves1_size,'EE - Input'!$B$3:$X$3,0)),"EE for ship type NA"),"NA")</f>
        <v>NA</v>
      </c>
      <c r="DJ35" s="246" t="str">
        <f ca="1">IF(CI35=1,IFERROR(INDEX('EE - Input'!$B:$X,MATCH($E35&amp;"-"&amp;$AE$3,'EE - Input'!$B:$B,0),MATCH(Ves1_type&amp;Ves1_size,'EE - Input'!$B$3:$X$3,0)),"EE for ship type NA"),"NA")</f>
        <v>NA</v>
      </c>
    </row>
    <row r="36" spans="2:114" ht="15" x14ac:dyDescent="0.25">
      <c r="B36" s="29">
        <v>3</v>
      </c>
      <c r="C36" t="s">
        <v>133</v>
      </c>
      <c r="D36" t="s">
        <v>1669</v>
      </c>
      <c r="E36" s="48"/>
      <c r="F36"/>
      <c r="G36" s="697"/>
      <c r="H36" s="697"/>
      <c r="I36" s="697"/>
      <c r="J36" s="697"/>
      <c r="K36" s="697"/>
      <c r="L36" s="697"/>
      <c r="M36" s="697"/>
      <c r="N36" s="697"/>
      <c r="O36" s="697"/>
      <c r="P36" s="697"/>
      <c r="Q36" s="697"/>
      <c r="R36" s="697"/>
      <c r="AB36" s="29">
        <f>IF(AC36=1,AC36+MAX($AB$3:AB35),"")</f>
        <v>33</v>
      </c>
      <c r="AC36" s="29">
        <v>1</v>
      </c>
      <c r="AD36" s="32"/>
      <c r="AE36" s="32"/>
      <c r="AF36" s="32"/>
      <c r="AG36" s="32"/>
      <c r="AH36" s="32"/>
      <c r="AI36" s="4"/>
      <c r="AJ36" s="32"/>
      <c r="AK36" s="32"/>
      <c r="AS36" s="30"/>
      <c r="AU36" s="699"/>
      <c r="AV36" s="699"/>
      <c r="AY36" s="523"/>
      <c r="BR36" s="392"/>
      <c r="BS36" s="677" t="e">
        <f>MATCH(EE_overview_tab3[[#This Row],[Main lever]],$BR$42:$BR$44,0)</f>
        <v>#N/A</v>
      </c>
      <c r="BT36" s="392"/>
      <c r="BU36" s="392" t="e">
        <f>INDEX($BU$42:$BU$51,MATCH(EE_overview_tab3[[#This Row],[Sub lever]],$BT$42:$BT$51,0))</f>
        <v>#N/A</v>
      </c>
      <c r="BV36" s="692"/>
      <c r="BW36" s="692"/>
      <c r="BX36" s="392">
        <f>COUNTIFS($C$4:BS36,BS36,$E$4:BU36,BU36)</f>
        <v>1</v>
      </c>
      <c r="BY36" s="690" t="e">
        <f>EE_overview_tab3[[#This Row],['#1]]&amp;"."&amp;EE_overview_tab3[[#This Row],['#2]]&amp;"."&amp;EE_overview_tab3[[#This Row],['#3]]</f>
        <v>#N/A</v>
      </c>
      <c r="BZ36" s="690" t="e">
        <f>INDEX($BS$42:$BS$44,MATCH(EE_overview_tab3[[#This Row],[Main lever]],$BR$42:$BR$44,0))&amp;"_"&amp;EE_overview_tab3[[#This Row],[Sub lever]]&amp;"_"&amp;EE_overview_tab3[[#This Row],[Short]]</f>
        <v>#N/A</v>
      </c>
      <c r="CI36" s="248">
        <f ca="1">IFERROR(INDEX('EE - Input'!$B:$X,MATCH(CJ36&amp;"-"&amp;CI$3&amp;" Newbuild",'EE - Input'!$B:$B,0),MATCH(Ves1_type&amp;Ves1_size,'EE - Input'!$B$3:$X$3,0)),"EE for ship type NA")</f>
        <v>1</v>
      </c>
      <c r="CJ36" s="249" t="str">
        <f>+'Vessel Configurator'!B62</f>
        <v>Exhaust gas boiler on AE</v>
      </c>
      <c r="CK36" s="250">
        <f ca="1">INDEX('Calculation - Detailed'!$A:$EF,MATCH($CJ36&amp;"-"&amp;$CK$2,'Calculation - Detailed'!$C:$C,0),MATCH("2020"&amp;CK$3,'Calculation - Detailed'!$8:$8,0))</f>
        <v>999</v>
      </c>
      <c r="CL36" s="250">
        <f ca="1">INDEX('Calculation - Detailed'!$A:$EF,MATCH($CJ36&amp;"-"&amp;$CK$2,'Calculation - Detailed'!$C:$C,0),MATCH("2020"&amp;CL$3,'Calculation - Detailed'!$8:$8,0))</f>
        <v>999</v>
      </c>
      <c r="CM36" s="250">
        <f ca="1">INDEX('Calculation - Detailed'!$A:$EF,MATCH($CJ36&amp;"-"&amp;$CK$2,'Calculation - Detailed'!$C:$C,0),MATCH("2020"&amp;CM$3,'Calculation - Detailed'!$8:$8,0))</f>
        <v>999</v>
      </c>
      <c r="CN36" s="250">
        <f ca="1">INDEX('Calculation - Detailed'!$A:$EF,MATCH($CJ36&amp;"-"&amp;$CK$2,'Calculation - Detailed'!$C:$C,0),MATCH("2020"&amp;CN$3,'Calculation - Detailed'!$8:$8,0))</f>
        <v>999</v>
      </c>
      <c r="CO36" s="251">
        <f ca="1">INDEX('Calculation - Detailed'!$A:$EF,MATCH($CJ36&amp;"-"&amp;$CK$2,'Calculation - Detailed'!$C:$C,0),MATCH("2020"&amp;CO$3,'Calculation - Detailed'!$8:$8,0))</f>
        <v>999</v>
      </c>
      <c r="CQ36" s="252" t="str">
        <f t="shared" ca="1" si="19"/>
        <v>No</v>
      </c>
      <c r="CR36" s="253" t="str">
        <f t="shared" ca="1" si="5"/>
        <v>No</v>
      </c>
      <c r="CS36" s="253" t="str">
        <f t="shared" ca="1" si="6"/>
        <v>No</v>
      </c>
      <c r="CT36" s="253" t="str">
        <f t="shared" ca="1" si="7"/>
        <v>No</v>
      </c>
      <c r="CU36" s="254" t="str">
        <f t="shared" ca="1" si="8"/>
        <v>No</v>
      </c>
      <c r="CV36" s="239"/>
      <c r="CW36" s="252" t="str">
        <f t="shared" ca="1" si="20"/>
        <v>No</v>
      </c>
      <c r="CX36" s="253" t="str">
        <f t="shared" ca="1" si="9"/>
        <v>No</v>
      </c>
      <c r="CY36" s="253" t="str">
        <f t="shared" ca="1" si="10"/>
        <v>No</v>
      </c>
      <c r="CZ36" s="253" t="str">
        <f t="shared" ca="1" si="11"/>
        <v>No</v>
      </c>
      <c r="DA36" s="254" t="str">
        <f t="shared" ca="1" si="12"/>
        <v>No</v>
      </c>
      <c r="DB36" s="239"/>
      <c r="DC36" s="252" t="str">
        <f t="shared" ca="1" si="21"/>
        <v>No</v>
      </c>
      <c r="DD36" s="253" t="str">
        <f t="shared" ca="1" si="13"/>
        <v>No</v>
      </c>
      <c r="DE36" s="253" t="str">
        <f t="shared" ca="1" si="14"/>
        <v>No</v>
      </c>
      <c r="DF36" s="253" t="str">
        <f t="shared" ca="1" si="15"/>
        <v>No</v>
      </c>
      <c r="DG36" s="254" t="str">
        <f t="shared" ca="1" si="16"/>
        <v>No</v>
      </c>
      <c r="DI36" s="106" t="str">
        <f>IF($D36=1,IFERROR(INDEX('EE - Input'!$B:$X,MATCH($E36&amp;"-Saving",'EE - Input'!$B:$B,0),MATCH(Ves1_type&amp;Ves1_size,'EE - Input'!$B$3:$X$3,0)),"EE for ship type NA"),"NA")</f>
        <v>NA</v>
      </c>
      <c r="DJ36" s="255" t="str">
        <f ca="1">IF(CI36=1,IFERROR(INDEX('EE - Input'!$B:$X,MATCH($E36&amp;"-"&amp;$AE$3,'EE - Input'!$B:$B,0),MATCH(Ves1_type&amp;Ves1_size,'EE - Input'!$B$3:$X$3,0)),"EE for ship type NA"),"NA")</f>
        <v>EE for ship type NA</v>
      </c>
    </row>
    <row r="37" spans="2:114" x14ac:dyDescent="0.2">
      <c r="C37" s="676"/>
      <c r="D37" s="676"/>
      <c r="E37" s="676"/>
      <c r="J37" s="676"/>
      <c r="BR37" s="392" t="s">
        <v>1660</v>
      </c>
      <c r="BS37" s="677">
        <f>MATCH(EE_overview_tab3[[#This Row],[Main lever]],$BR$42:$BR$44,0)</f>
        <v>3</v>
      </c>
      <c r="BT37" s="392" t="s">
        <v>1661</v>
      </c>
      <c r="BU37" s="392">
        <f>INDEX($BU$42:$BU$51,MATCH(EE_overview_tab3[[#This Row],[Sub lever]],$BT$42:$BT$51,0))</f>
        <v>1</v>
      </c>
      <c r="BV37" s="692" t="s">
        <v>168</v>
      </c>
      <c r="BW37" s="692" t="s">
        <v>1670</v>
      </c>
      <c r="BX37" s="392">
        <f>COUNTIFS($C$4:BS37,BS37,$E$4:BU37,BU37)</f>
        <v>3</v>
      </c>
      <c r="BY37" s="690" t="str">
        <f>EE_overview_tab3[[#This Row],['#1]]&amp;"."&amp;EE_overview_tab3[[#This Row],['#2]]&amp;"."&amp;EE_overview_tab3[[#This Row],['#3]]</f>
        <v>3.1.3</v>
      </c>
      <c r="BZ37" s="690" t="str">
        <f>INDEX($BS$42:$BS$44,MATCH(EE_overview_tab3[[#This Row],[Main lever]],$BR$42:$BR$44,0))&amp;"_"&amp;EE_overview_tab3[[#This Row],[Sub lever]]&amp;"_"&amp;EE_overview_tab3[[#This Row],[Short]]</f>
        <v>Boil_Steam_Opt_ExhGas</v>
      </c>
      <c r="CA37" t="s">
        <v>1671</v>
      </c>
      <c r="CJ37"/>
    </row>
    <row r="38" spans="2:114" ht="15" x14ac:dyDescent="0.25">
      <c r="B38" s="30" t="s">
        <v>1672</v>
      </c>
      <c r="BX38" s="120"/>
      <c r="BY38" s="120"/>
      <c r="CJ38"/>
    </row>
    <row r="39" spans="2:114" ht="15" x14ac:dyDescent="0.25">
      <c r="B39" s="67" t="s">
        <v>787</v>
      </c>
      <c r="C39" s="67" t="s">
        <v>96</v>
      </c>
      <c r="D39" s="67" t="s">
        <v>2</v>
      </c>
      <c r="E39" s="700"/>
      <c r="F39" s="67" t="s">
        <v>86</v>
      </c>
      <c r="G39" s="67">
        <v>2020</v>
      </c>
      <c r="H39" s="67">
        <v>2025</v>
      </c>
      <c r="I39" s="67">
        <v>2030</v>
      </c>
      <c r="J39" s="67">
        <v>2035</v>
      </c>
      <c r="K39" s="67">
        <v>2040</v>
      </c>
      <c r="L39" s="67">
        <v>2045</v>
      </c>
      <c r="M39" s="67">
        <v>2050</v>
      </c>
      <c r="CJ39"/>
    </row>
    <row r="40" spans="2:114" ht="15" x14ac:dyDescent="0.25">
      <c r="B40" s="29">
        <v>1</v>
      </c>
      <c r="C40" s="676" t="s">
        <v>95</v>
      </c>
      <c r="D40" s="676" t="s">
        <v>1673</v>
      </c>
      <c r="F40" t="s">
        <v>178</v>
      </c>
      <c r="G40" s="701">
        <v>0.5</v>
      </c>
      <c r="H40" s="701">
        <v>0.5</v>
      </c>
      <c r="I40" s="701">
        <v>0.52</v>
      </c>
      <c r="J40" s="701">
        <v>0.54</v>
      </c>
      <c r="K40" s="701">
        <v>0.56000000000000005</v>
      </c>
      <c r="L40" s="701">
        <v>0.57999999999999996</v>
      </c>
      <c r="M40" s="701">
        <f>+'TCO - Input'!Y168</f>
        <v>0.6</v>
      </c>
      <c r="BR40" s="67" t="s">
        <v>1674</v>
      </c>
      <c r="BS40" s="391"/>
      <c r="BT40" s="391"/>
      <c r="BU40" s="391"/>
      <c r="BV40" s="391"/>
      <c r="BW40" s="391"/>
      <c r="BX40" s="391"/>
      <c r="BY40" s="391"/>
      <c r="BZ40" s="391"/>
      <c r="CA40" s="391"/>
      <c r="CJ40"/>
    </row>
    <row r="41" spans="2:114" ht="15" x14ac:dyDescent="0.25">
      <c r="B41" s="29">
        <v>2</v>
      </c>
      <c r="C41" s="29" t="s">
        <v>1664</v>
      </c>
      <c r="D41" s="676" t="s">
        <v>1675</v>
      </c>
      <c r="F41" t="s">
        <v>178</v>
      </c>
      <c r="G41" s="701">
        <v>0.5</v>
      </c>
      <c r="H41" s="701">
        <v>0.5</v>
      </c>
      <c r="I41" s="701">
        <v>0.53</v>
      </c>
      <c r="J41" s="701">
        <v>0.56000000000000005</v>
      </c>
      <c r="K41" s="701">
        <v>0.59</v>
      </c>
      <c r="L41" s="701">
        <v>0.62</v>
      </c>
      <c r="M41" s="701">
        <v>0.65</v>
      </c>
      <c r="BR41" s="67"/>
      <c r="BS41" s="391"/>
      <c r="BT41" s="391"/>
      <c r="BU41" s="391"/>
      <c r="BV41" s="391"/>
      <c r="BW41" s="391"/>
      <c r="BX41" s="391"/>
      <c r="BY41" s="391"/>
      <c r="BZ41" s="391"/>
      <c r="CA41" s="391"/>
      <c r="CJ41"/>
    </row>
    <row r="42" spans="2:114" x14ac:dyDescent="0.2">
      <c r="B42" s="29">
        <v>3</v>
      </c>
      <c r="C42" s="29" t="s">
        <v>133</v>
      </c>
      <c r="D42" t="s">
        <v>1669</v>
      </c>
      <c r="F42" t="s">
        <v>178</v>
      </c>
      <c r="G42" s="701">
        <f>'Main Assumptions'!D18</f>
        <v>0.5</v>
      </c>
      <c r="H42" s="701">
        <f>'Main Assumptions'!E18</f>
        <v>0.5</v>
      </c>
      <c r="I42" s="701">
        <f>'Main Assumptions'!F18</f>
        <v>0.52</v>
      </c>
      <c r="J42" s="701">
        <f>'Main Assumptions'!G18</f>
        <v>0.54</v>
      </c>
      <c r="K42" s="701">
        <f>'Main Assumptions'!H18</f>
        <v>0.56000000000000005</v>
      </c>
      <c r="L42" s="701">
        <f>'Main Assumptions'!I18</f>
        <v>0.57999999999999996</v>
      </c>
      <c r="M42" s="701">
        <f>'Main Assumptions'!J18</f>
        <v>0.6</v>
      </c>
      <c r="BR42" t="s">
        <v>1528</v>
      </c>
      <c r="BS42" t="s">
        <v>1676</v>
      </c>
      <c r="BT42" t="s">
        <v>1529</v>
      </c>
      <c r="BU42">
        <v>1</v>
      </c>
      <c r="CJ42"/>
    </row>
    <row r="43" spans="2:114" x14ac:dyDescent="0.2">
      <c r="BR43" t="s">
        <v>1623</v>
      </c>
      <c r="BS43" t="s">
        <v>1677</v>
      </c>
      <c r="BT43" t="s">
        <v>1540</v>
      </c>
      <c r="BU43">
        <v>2</v>
      </c>
      <c r="CJ43"/>
    </row>
    <row r="44" spans="2:114" ht="15" x14ac:dyDescent="0.25">
      <c r="B44" s="30" t="s">
        <v>190</v>
      </c>
      <c r="BR44" t="s">
        <v>1660</v>
      </c>
      <c r="BS44" t="s">
        <v>1678</v>
      </c>
      <c r="BT44" t="s">
        <v>1572</v>
      </c>
      <c r="BU44">
        <v>3</v>
      </c>
      <c r="CJ44"/>
    </row>
    <row r="45" spans="2:114" ht="15" x14ac:dyDescent="0.25">
      <c r="B45" s="67" t="s">
        <v>787</v>
      </c>
      <c r="C45" s="67" t="s">
        <v>96</v>
      </c>
      <c r="D45" s="67" t="s">
        <v>2</v>
      </c>
      <c r="E45" s="700"/>
      <c r="F45" s="67" t="s">
        <v>86</v>
      </c>
      <c r="G45" s="67">
        <v>2020</v>
      </c>
      <c r="H45" s="67">
        <v>2025</v>
      </c>
      <c r="I45" s="67">
        <v>2030</v>
      </c>
      <c r="J45" s="67">
        <v>2035</v>
      </c>
      <c r="K45" s="67">
        <v>2040</v>
      </c>
      <c r="L45" s="67">
        <v>2045</v>
      </c>
      <c r="M45" s="67">
        <v>2050</v>
      </c>
      <c r="O45" s="67" t="s">
        <v>1679</v>
      </c>
      <c r="BT45" t="s">
        <v>1597</v>
      </c>
      <c r="BU45">
        <v>4</v>
      </c>
      <c r="CJ45"/>
    </row>
    <row r="46" spans="2:114" x14ac:dyDescent="0.2">
      <c r="C46" s="676" t="s">
        <v>95</v>
      </c>
      <c r="D46" s="676" t="str">
        <f>D40</f>
        <v>Eff. grows from 50-60% in 2050, CAPEX reduces -1% p.a.</v>
      </c>
      <c r="F46" t="s">
        <v>191</v>
      </c>
      <c r="G46" s="134">
        <v>1500000</v>
      </c>
      <c r="H46" s="101">
        <f t="shared" ref="H46:M47" si="31">G46*(1+$O46)^5</f>
        <v>1426485.07485</v>
      </c>
      <c r="I46" s="101">
        <f t="shared" si="31"/>
        <v>1356573.1125132067</v>
      </c>
      <c r="J46" s="101">
        <f t="shared" si="31"/>
        <v>1290087.5319619325</v>
      </c>
      <c r="K46" s="101">
        <f t="shared" si="31"/>
        <v>1226860.406395846</v>
      </c>
      <c r="L46" s="101">
        <f t="shared" si="31"/>
        <v>1166732.0390987198</v>
      </c>
      <c r="M46" s="101">
        <f t="shared" si="31"/>
        <v>1109550.5600824202</v>
      </c>
      <c r="O46" s="102">
        <v>-0.01</v>
      </c>
      <c r="BT46" t="s">
        <v>1614</v>
      </c>
      <c r="BU46">
        <v>5</v>
      </c>
      <c r="CJ46"/>
    </row>
    <row r="47" spans="2:114" x14ac:dyDescent="0.2">
      <c r="C47" s="29" t="s">
        <v>1664</v>
      </c>
      <c r="D47" s="676" t="str">
        <f t="shared" ref="D47:D48" si="32">D41</f>
        <v>Eff. grows from 50-65% in 2050, CAPEX reduces -1.5% p.a.</v>
      </c>
      <c r="F47" t="s">
        <v>191</v>
      </c>
      <c r="G47" s="134">
        <v>1500000</v>
      </c>
      <c r="H47" s="101">
        <f t="shared" si="31"/>
        <v>1390824.7535484375</v>
      </c>
      <c r="I47" s="101">
        <f t="shared" si="31"/>
        <v>1289595.6633887147</v>
      </c>
      <c r="J47" s="101">
        <f t="shared" si="31"/>
        <v>1195734.3804731618</v>
      </c>
      <c r="K47" s="101">
        <f t="shared" si="31"/>
        <v>1108704.6500206527</v>
      </c>
      <c r="L47" s="101">
        <f t="shared" si="31"/>
        <v>1028009.247748654</v>
      </c>
      <c r="M47" s="101">
        <f t="shared" si="31"/>
        <v>953187.13909702422</v>
      </c>
      <c r="O47" s="103">
        <v>-1.4999999999999999E-2</v>
      </c>
      <c r="BT47" t="s">
        <v>1624</v>
      </c>
      <c r="BU47">
        <v>1</v>
      </c>
      <c r="CJ47"/>
    </row>
    <row r="48" spans="2:114" x14ac:dyDescent="0.2">
      <c r="C48" s="29" t="s">
        <v>133</v>
      </c>
      <c r="D48" s="676" t="str">
        <f t="shared" si="32"/>
        <v>Manual input selected in "Main assumptions" sheet</v>
      </c>
      <c r="F48" t="s">
        <v>191</v>
      </c>
      <c r="G48" s="134">
        <f>'Main Assumptions'!D21</f>
        <v>1500000</v>
      </c>
      <c r="H48" s="101">
        <f t="shared" ref="H48" si="33">G48*(1+$O48)^5</f>
        <v>1426485.07485</v>
      </c>
      <c r="I48" s="101">
        <f t="shared" ref="I48" si="34">H48*(1+$O48)^5</f>
        <v>1356573.1125132067</v>
      </c>
      <c r="J48" s="101">
        <f t="shared" ref="J48" si="35">I48*(1+$O48)^5</f>
        <v>1290087.5319619325</v>
      </c>
      <c r="K48" s="101">
        <f t="shared" ref="K48" si="36">J48*(1+$O48)^5</f>
        <v>1226860.406395846</v>
      </c>
      <c r="L48" s="101">
        <f t="shared" ref="L48" si="37">K48*(1+$O48)^5</f>
        <v>1166732.0390987198</v>
      </c>
      <c r="M48" s="101">
        <f t="shared" ref="M48" si="38">L48*(1+$O48)^5</f>
        <v>1109550.5600824202</v>
      </c>
      <c r="O48" s="102">
        <f>'Main Assumptions'!D22</f>
        <v>-0.01</v>
      </c>
      <c r="CJ48"/>
    </row>
    <row r="49" spans="2:88" x14ac:dyDescent="0.2">
      <c r="B49" s="702"/>
      <c r="C49" s="84" t="s">
        <v>1680</v>
      </c>
      <c r="D49" s="702"/>
      <c r="E49" s="702"/>
      <c r="F49" s="84" t="s">
        <v>1681</v>
      </c>
      <c r="G49" s="703">
        <f ca="1">+INDEX('TCO - Input'!$A:$AD,MATCH($C$49,rows_TCO_ID,0),MATCH(G$45,'TCO - Input'!6:6,0))</f>
        <v>1500000</v>
      </c>
      <c r="H49" s="703">
        <f>H$46</f>
        <v>1426485.07485</v>
      </c>
      <c r="I49" s="703">
        <f t="shared" ref="I49:M49" si="39">I$46</f>
        <v>1356573.1125132067</v>
      </c>
      <c r="J49" s="703">
        <f t="shared" si="39"/>
        <v>1290087.5319619325</v>
      </c>
      <c r="K49" s="703">
        <f t="shared" si="39"/>
        <v>1226860.406395846</v>
      </c>
      <c r="L49" s="703">
        <f t="shared" si="39"/>
        <v>1166732.0390987198</v>
      </c>
      <c r="M49" s="703">
        <f t="shared" si="39"/>
        <v>1109550.5600824202</v>
      </c>
      <c r="O49" s="85">
        <f ca="1">(H49/G49)^(1/5)-1</f>
        <v>-1.0000000000000009E-2</v>
      </c>
      <c r="BT49" t="s">
        <v>1637</v>
      </c>
      <c r="BU49">
        <v>2</v>
      </c>
      <c r="CJ49"/>
    </row>
    <row r="50" spans="2:88" x14ac:dyDescent="0.2">
      <c r="Y50"/>
      <c r="BT50" t="s">
        <v>1682</v>
      </c>
      <c r="BU50">
        <v>3</v>
      </c>
      <c r="CJ50"/>
    </row>
    <row r="51" spans="2:88" ht="15" x14ac:dyDescent="0.25">
      <c r="B51" s="30" t="s">
        <v>1683</v>
      </c>
      <c r="Y51"/>
      <c r="BT51" t="s">
        <v>1684</v>
      </c>
      <c r="BU51">
        <v>1</v>
      </c>
      <c r="CJ51"/>
    </row>
    <row r="52" spans="2:88" ht="15" x14ac:dyDescent="0.25">
      <c r="B52" s="67" t="s">
        <v>787</v>
      </c>
      <c r="C52" s="67" t="s">
        <v>96</v>
      </c>
      <c r="Y52"/>
      <c r="CJ52"/>
    </row>
    <row r="53" spans="2:88" x14ac:dyDescent="0.2">
      <c r="B53" s="29">
        <f>MATCH(C53,$B$4:$B$23,0)</f>
        <v>1</v>
      </c>
      <c r="C53" s="29" t="s">
        <v>614</v>
      </c>
      <c r="Y53"/>
      <c r="CJ53"/>
    </row>
    <row r="54" spans="2:88" x14ac:dyDescent="0.2">
      <c r="B54" s="29">
        <f>MATCH(C54,$B$4:$B$23,0)</f>
        <v>2</v>
      </c>
      <c r="C54" s="29" t="s">
        <v>547</v>
      </c>
      <c r="P54"/>
      <c r="CJ54"/>
    </row>
    <row r="55" spans="2:88" x14ac:dyDescent="0.2">
      <c r="B55" s="29">
        <f>MATCH(C55,$B$4:$B$23,0)</f>
        <v>3</v>
      </c>
      <c r="C55" s="29" t="s">
        <v>105</v>
      </c>
      <c r="P55" s="704"/>
      <c r="CJ55"/>
    </row>
    <row r="56" spans="2:88" x14ac:dyDescent="0.2">
      <c r="B56" s="29">
        <f>MATCH(C56,$B$4:$B$23,0)</f>
        <v>4</v>
      </c>
      <c r="C56" s="29" t="s">
        <v>548</v>
      </c>
      <c r="P56" s="704"/>
      <c r="CJ56"/>
    </row>
    <row r="57" spans="2:88" x14ac:dyDescent="0.2">
      <c r="B57" s="29">
        <f>MATCH(C57,$B$4:$B$23,0)</f>
        <v>5</v>
      </c>
      <c r="C57" s="29" t="s">
        <v>615</v>
      </c>
      <c r="P57"/>
      <c r="CJ57"/>
    </row>
    <row r="58" spans="2:88" x14ac:dyDescent="0.2">
      <c r="CJ58"/>
    </row>
    <row r="59" spans="2:88" x14ac:dyDescent="0.2">
      <c r="CJ59"/>
    </row>
    <row r="60" spans="2:88" ht="15" x14ac:dyDescent="0.25">
      <c r="B60" s="67" t="s">
        <v>787</v>
      </c>
      <c r="C60" s="67" t="s">
        <v>1685</v>
      </c>
      <c r="D60" s="67" t="s">
        <v>2</v>
      </c>
      <c r="CJ60"/>
    </row>
    <row r="61" spans="2:88" x14ac:dyDescent="0.2">
      <c r="B61" s="29">
        <v>1</v>
      </c>
      <c r="C61" s="726" t="s">
        <v>95</v>
      </c>
      <c r="D61" s="29" t="s">
        <v>1686</v>
      </c>
      <c r="CJ61"/>
    </row>
    <row r="62" spans="2:88" x14ac:dyDescent="0.2">
      <c r="B62" s="29">
        <v>2</v>
      </c>
      <c r="C62" s="726" t="s">
        <v>810</v>
      </c>
      <c r="D62" s="29" t="s">
        <v>1687</v>
      </c>
      <c r="CJ62"/>
    </row>
    <row r="63" spans="2:88" x14ac:dyDescent="0.2">
      <c r="B63" s="29">
        <v>3</v>
      </c>
      <c r="C63" s="726" t="s">
        <v>811</v>
      </c>
      <c r="D63" s="29" t="s">
        <v>1688</v>
      </c>
      <c r="CJ63"/>
    </row>
    <row r="64" spans="2:88" x14ac:dyDescent="0.2">
      <c r="B64" s="29">
        <v>4</v>
      </c>
      <c r="C64" s="726" t="s">
        <v>133</v>
      </c>
      <c r="D64" t="s">
        <v>1669</v>
      </c>
      <c r="CJ64"/>
    </row>
    <row r="65" spans="2:88" x14ac:dyDescent="0.2">
      <c r="CJ65"/>
    </row>
    <row r="66" spans="2:88" ht="15" x14ac:dyDescent="0.25">
      <c r="B66" s="67" t="s">
        <v>787</v>
      </c>
      <c r="C66" s="67" t="s">
        <v>1689</v>
      </c>
      <c r="D66" s="67"/>
      <c r="CJ66"/>
    </row>
    <row r="67" spans="2:88" x14ac:dyDescent="0.2">
      <c r="B67" s="707" t="s">
        <v>1636</v>
      </c>
      <c r="C67" s="727" t="s">
        <v>89</v>
      </c>
      <c r="CJ67"/>
    </row>
    <row r="68" spans="2:88" x14ac:dyDescent="0.2">
      <c r="B68" s="708" t="s">
        <v>92</v>
      </c>
      <c r="C68" s="726">
        <v>0</v>
      </c>
      <c r="CJ68"/>
    </row>
    <row r="69" spans="2:88" x14ac:dyDescent="0.2">
      <c r="B69" s="707" t="s">
        <v>1652</v>
      </c>
      <c r="C69" s="726" t="s">
        <v>95</v>
      </c>
      <c r="CJ69"/>
    </row>
    <row r="70" spans="2:88" x14ac:dyDescent="0.2">
      <c r="B70" s="708" t="s">
        <v>96</v>
      </c>
      <c r="C70" s="726" t="s">
        <v>95</v>
      </c>
      <c r="CJ70"/>
    </row>
    <row r="71" spans="2:88" x14ac:dyDescent="0.2">
      <c r="B71" s="709" t="s">
        <v>97</v>
      </c>
      <c r="C71" s="726" t="s">
        <v>95</v>
      </c>
      <c r="CJ71"/>
    </row>
    <row r="72" spans="2:88" x14ac:dyDescent="0.2">
      <c r="CJ72"/>
    </row>
    <row r="73" spans="2:88" x14ac:dyDescent="0.2">
      <c r="CJ73"/>
    </row>
    <row r="74" spans="2:88" x14ac:dyDescent="0.2">
      <c r="C74" s="705"/>
      <c r="CJ74"/>
    </row>
    <row r="75" spans="2:88" ht="15" x14ac:dyDescent="0.25">
      <c r="C75" s="706"/>
      <c r="CJ75"/>
    </row>
    <row r="76" spans="2:88" x14ac:dyDescent="0.2">
      <c r="CJ76"/>
    </row>
    <row r="77" spans="2:88" x14ac:dyDescent="0.2">
      <c r="C77"/>
      <c r="CJ77"/>
    </row>
    <row r="78" spans="2:88" ht="15" x14ac:dyDescent="0.25">
      <c r="C78" s="706"/>
      <c r="CJ78"/>
    </row>
    <row r="79" spans="2:88" x14ac:dyDescent="0.2">
      <c r="C79"/>
      <c r="CJ79"/>
    </row>
    <row r="80" spans="2:88" x14ac:dyDescent="0.2">
      <c r="C80"/>
      <c r="CJ80"/>
    </row>
    <row r="81" spans="3:88" x14ac:dyDescent="0.2">
      <c r="C81"/>
      <c r="CJ81"/>
    </row>
    <row r="82" spans="3:88" x14ac:dyDescent="0.2">
      <c r="CJ82"/>
    </row>
    <row r="83" spans="3:88" x14ac:dyDescent="0.2">
      <c r="C83"/>
      <c r="CJ83"/>
    </row>
    <row r="84" spans="3:88" ht="15" x14ac:dyDescent="0.25">
      <c r="C84" s="706"/>
      <c r="CJ84"/>
    </row>
    <row r="85" spans="3:88" x14ac:dyDescent="0.2">
      <c r="CJ85"/>
    </row>
    <row r="86" spans="3:88" x14ac:dyDescent="0.2">
      <c r="CJ86"/>
    </row>
    <row r="87" spans="3:88" x14ac:dyDescent="0.2">
      <c r="CJ87"/>
    </row>
    <row r="88" spans="3:88" x14ac:dyDescent="0.2">
      <c r="CJ88"/>
    </row>
    <row r="89" spans="3:88" x14ac:dyDescent="0.2">
      <c r="CJ89"/>
    </row>
    <row r="90" spans="3:88" x14ac:dyDescent="0.2">
      <c r="CJ90"/>
    </row>
    <row r="91" spans="3:88" x14ac:dyDescent="0.2">
      <c r="CJ91"/>
    </row>
    <row r="92" spans="3:88" x14ac:dyDescent="0.2">
      <c r="CJ92"/>
    </row>
    <row r="93" spans="3:88" x14ac:dyDescent="0.2">
      <c r="CJ93"/>
    </row>
    <row r="94" spans="3:88" x14ac:dyDescent="0.2">
      <c r="CJ94"/>
    </row>
    <row r="95" spans="3:88" x14ac:dyDescent="0.2">
      <c r="CJ95"/>
    </row>
    <row r="96" spans="3:88" x14ac:dyDescent="0.2">
      <c r="CJ96"/>
    </row>
    <row r="97" spans="88:88" x14ac:dyDescent="0.2">
      <c r="CJ97"/>
    </row>
    <row r="98" spans="88:88" x14ac:dyDescent="0.2">
      <c r="CJ98"/>
    </row>
    <row r="99" spans="88:88" x14ac:dyDescent="0.2">
      <c r="CJ99"/>
    </row>
    <row r="100" spans="88:88" x14ac:dyDescent="0.2">
      <c r="CJ100"/>
    </row>
    <row r="101" spans="88:88" x14ac:dyDescent="0.2">
      <c r="CJ101"/>
    </row>
    <row r="102" spans="88:88" x14ac:dyDescent="0.2">
      <c r="CJ102"/>
    </row>
  </sheetData>
  <sortState xmlns:xlrd2="http://schemas.microsoft.com/office/spreadsheetml/2017/richdata2" ref="BC38:BD38">
    <sortCondition ref="BC38"/>
  </sortState>
  <conditionalFormatting sqref="AC4:AC27 AK19:AK21 AJ4:AK19 AJ4:AJ36 AC29:AC30 AJ22:AK36 AC33:AC36 AK37">
    <cfRule type="colorScale" priority="7">
      <colorScale>
        <cfvo type="num" val="0"/>
        <cfvo type="num" val="1"/>
        <color rgb="FFFF0000"/>
        <color rgb="FF00B050"/>
      </colorScale>
    </cfRule>
  </conditionalFormatting>
  <conditionalFormatting sqref="AC28">
    <cfRule type="colorScale" priority="5">
      <colorScale>
        <cfvo type="num" val="0"/>
        <cfvo type="num" val="1"/>
        <color rgb="FFFF0000"/>
        <color rgb="FF00B050"/>
      </colorScale>
    </cfRule>
  </conditionalFormatting>
  <conditionalFormatting sqref="AC32">
    <cfRule type="colorScale" priority="3">
      <colorScale>
        <cfvo type="num" val="0"/>
        <cfvo type="num" val="1"/>
        <color rgb="FFFF0000"/>
        <color rgb="FF00B050"/>
      </colorScale>
    </cfRule>
  </conditionalFormatting>
  <conditionalFormatting sqref="AC31">
    <cfRule type="colorScale" priority="2">
      <colorScale>
        <cfvo type="num" val="0"/>
        <cfvo type="num" val="1"/>
        <color rgb="FFFF0000"/>
        <color rgb="FF00B050"/>
      </colorScale>
    </cfRule>
  </conditionalFormatting>
  <conditionalFormatting sqref="V1:AA1">
    <cfRule type="colorScale" priority="658">
      <colorScale>
        <cfvo type="min"/>
        <cfvo type="percentile" val="50"/>
        <cfvo type="max"/>
        <color rgb="FFF8696B"/>
        <color rgb="FFFFEB84"/>
        <color rgb="FF63BE7B"/>
      </colorScale>
    </cfRule>
  </conditionalFormatting>
  <conditionalFormatting sqref="CK4:CO36">
    <cfRule type="expression" dxfId="0" priority="1" stopIfTrue="1">
      <formula>#REF!="Regression"</formula>
    </cfRule>
  </conditionalFormatting>
  <dataValidations count="6">
    <dataValidation type="list" allowBlank="1" showInputMessage="1" showErrorMessage="1" sqref="BE17:BE18 BF14 BF17:BG22 AS21 BF4:BF10 BH8 BI10:BI12 BI14" xr:uid="{451954FF-6301-4456-82C3-E24BD44B4C13}">
      <formula1>list_segment</formula1>
    </dataValidation>
    <dataValidation type="list" allowBlank="1" showInputMessage="1" showErrorMessage="1" sqref="E4:E26" xr:uid="{63DD5620-84DE-4DBB-8C21-C643FFCB0741}">
      <formula1>$AF$4:$AF$43</formula1>
    </dataValidation>
    <dataValidation type="list" allowBlank="1" showInputMessage="1" showErrorMessage="1" sqref="CI5:DJ24 CG5:CG24" xr:uid="{0DB39F1D-EA52-462D-89AF-152F3FD96B8C}">
      <formula1>list_fuel_sources</formula1>
    </dataValidation>
    <dataValidation type="list" allowBlank="1" showInputMessage="1" showErrorMessage="1" sqref="CF27" xr:uid="{672C1780-FFBF-4FC3-9E69-B5B259FB8994}">
      <formula1>"Forward looking, Todays prices"</formula1>
    </dataValidation>
    <dataValidation type="list" allowBlank="1" showInputMessage="1" showErrorMessage="1" sqref="CF27" xr:uid="{0990C478-5CA3-4698-B247-5E5BB7552DE9}">
      <formula1>"Forward looking,Todays prices"</formula1>
    </dataValidation>
    <dataValidation type="list" allowBlank="1" showInputMessage="1" showErrorMessage="1" sqref="CF5:CF24" xr:uid="{8A4A49FE-D3F0-4DCB-A0B4-8C266B74AF03}">
      <formula1>list_fuels_long</formula1>
    </dataValidation>
  </dataValidations>
  <pageMargins left="0.7" right="0.7" top="0.75" bottom="0.75" header="0.3" footer="0.3"/>
  <pageSetup paperSize="9" orientation="portrait" r:id="rId1"/>
  <headerFooter>
    <oddFooter>&amp;C_x000D_&amp;1#&amp;"Calibri"&amp;10&amp;K000000 Business External</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91FF2-64A9-4EE6-B07A-E88CB082653C}">
  <sheetPr>
    <tabColor theme="9"/>
  </sheetPr>
  <dimension ref="A1:D44"/>
  <sheetViews>
    <sheetView showGridLines="0" zoomScale="130" zoomScaleNormal="130" workbookViewId="0"/>
  </sheetViews>
  <sheetFormatPr defaultColWidth="0" defaultRowHeight="13.5" zeroHeight="1" x14ac:dyDescent="0.25"/>
  <cols>
    <col min="1" max="1" width="3.5703125" style="774" customWidth="1"/>
    <col min="2" max="2" width="25.5703125" style="773" customWidth="1"/>
    <col min="3" max="3" width="102.5703125" style="773" customWidth="1"/>
    <col min="4" max="4" width="3.5703125" style="774" customWidth="1"/>
    <col min="5" max="5" width="9.140625" style="774" hidden="1" customWidth="1"/>
    <col min="6" max="16384" width="9.140625" style="774" hidden="1"/>
  </cols>
  <sheetData>
    <row r="1" spans="2:3" s="774" customFormat="1" x14ac:dyDescent="0.25">
      <c r="B1" s="773"/>
      <c r="C1" s="773"/>
    </row>
    <row r="2" spans="2:3" s="774" customFormat="1" ht="15.75" x14ac:dyDescent="0.25">
      <c r="B2" s="775" t="s">
        <v>1729</v>
      </c>
      <c r="C2" s="773"/>
    </row>
    <row r="3" spans="2:3" s="774" customFormat="1" x14ac:dyDescent="0.25">
      <c r="B3" s="776" t="s">
        <v>0</v>
      </c>
      <c r="C3" s="773"/>
    </row>
    <row r="4" spans="2:3" s="778" customFormat="1" ht="18.75" customHeight="1" thickBot="1" x14ac:dyDescent="0.25">
      <c r="B4" s="777"/>
      <c r="C4" s="777"/>
    </row>
    <row r="5" spans="2:3" s="774" customFormat="1" ht="21.95" customHeight="1" thickBot="1" x14ac:dyDescent="0.3">
      <c r="B5" s="779" t="s">
        <v>1</v>
      </c>
      <c r="C5" s="780" t="s">
        <v>2</v>
      </c>
    </row>
    <row r="6" spans="2:3" s="778" customFormat="1" ht="6" customHeight="1" thickBot="1" x14ac:dyDescent="0.25">
      <c r="B6" s="777"/>
      <c r="C6" s="781"/>
    </row>
    <row r="7" spans="2:3" s="778" customFormat="1" ht="21.95" customHeight="1" x14ac:dyDescent="0.2">
      <c r="B7" s="782" t="s">
        <v>3</v>
      </c>
      <c r="C7" s="783" t="s">
        <v>4</v>
      </c>
    </row>
    <row r="8" spans="2:3" s="778" customFormat="1" ht="21.95" customHeight="1" x14ac:dyDescent="0.2">
      <c r="B8" s="784" t="s">
        <v>5</v>
      </c>
      <c r="C8" s="785" t="s">
        <v>6</v>
      </c>
    </row>
    <row r="9" spans="2:3" s="778" customFormat="1" ht="21.95" customHeight="1" x14ac:dyDescent="0.2">
      <c r="B9" s="784" t="s">
        <v>7</v>
      </c>
      <c r="C9" s="785" t="s">
        <v>8</v>
      </c>
    </row>
    <row r="10" spans="2:3" s="778" customFormat="1" ht="21.95" customHeight="1" x14ac:dyDescent="0.2">
      <c r="B10" s="784" t="s">
        <v>9</v>
      </c>
      <c r="C10" s="785" t="s">
        <v>10</v>
      </c>
    </row>
    <row r="11" spans="2:3" s="778" customFormat="1" ht="21.95" customHeight="1" thickBot="1" x14ac:dyDescent="0.25">
      <c r="B11" s="786" t="s">
        <v>11</v>
      </c>
      <c r="C11" s="787" t="s">
        <v>12</v>
      </c>
    </row>
    <row r="12" spans="2:3" s="778" customFormat="1" ht="45" customHeight="1" x14ac:dyDescent="0.2">
      <c r="B12" s="777"/>
      <c r="C12" s="777"/>
    </row>
    <row r="13" spans="2:3" s="778" customFormat="1" ht="21.95" customHeight="1" thickBot="1" x14ac:dyDescent="0.25">
      <c r="B13" s="777" t="s">
        <v>13</v>
      </c>
      <c r="C13" s="777"/>
    </row>
    <row r="14" spans="2:3" s="778" customFormat="1" ht="21.95" customHeight="1" thickBot="1" x14ac:dyDescent="0.25">
      <c r="B14" s="779" t="s">
        <v>14</v>
      </c>
      <c r="C14" s="780" t="s">
        <v>2</v>
      </c>
    </row>
    <row r="15" spans="2:3" s="778" customFormat="1" ht="6" customHeight="1" thickBot="1" x14ac:dyDescent="0.25">
      <c r="B15" s="777"/>
      <c r="C15" s="781"/>
    </row>
    <row r="16" spans="2:3" s="778" customFormat="1" ht="21.95" customHeight="1" x14ac:dyDescent="0.2">
      <c r="B16" s="788" t="s">
        <v>15</v>
      </c>
      <c r="C16" s="789" t="s">
        <v>16</v>
      </c>
    </row>
    <row r="17" spans="2:3" s="778" customFormat="1" ht="21.95" customHeight="1" thickBot="1" x14ac:dyDescent="0.25">
      <c r="B17" s="790" t="s">
        <v>17</v>
      </c>
      <c r="C17" s="791" t="s">
        <v>18</v>
      </c>
    </row>
    <row r="18" spans="2:3" s="778" customFormat="1" ht="6" customHeight="1" thickBot="1" x14ac:dyDescent="0.25">
      <c r="B18" s="777"/>
      <c r="C18" s="781"/>
    </row>
    <row r="19" spans="2:3" s="778" customFormat="1" ht="21.95" customHeight="1" x14ac:dyDescent="0.2">
      <c r="B19" s="792" t="s">
        <v>19</v>
      </c>
      <c r="C19" s="793" t="s">
        <v>20</v>
      </c>
    </row>
    <row r="20" spans="2:3" s="778" customFormat="1" ht="21.95" customHeight="1" thickBot="1" x14ac:dyDescent="0.25">
      <c r="B20" s="794" t="s">
        <v>21</v>
      </c>
      <c r="C20" s="795" t="s">
        <v>22</v>
      </c>
    </row>
    <row r="21" spans="2:3" s="778" customFormat="1" ht="6" customHeight="1" thickBot="1" x14ac:dyDescent="0.25">
      <c r="B21" s="777"/>
      <c r="C21" s="781"/>
    </row>
    <row r="22" spans="2:3" s="778" customFormat="1" ht="21.95" customHeight="1" x14ac:dyDescent="0.2">
      <c r="B22" s="796" t="s">
        <v>23</v>
      </c>
      <c r="C22" s="797" t="s">
        <v>24</v>
      </c>
    </row>
    <row r="23" spans="2:3" s="778" customFormat="1" ht="21.95" customHeight="1" x14ac:dyDescent="0.2">
      <c r="B23" s="798" t="s">
        <v>25</v>
      </c>
      <c r="C23" s="799" t="s">
        <v>26</v>
      </c>
    </row>
    <row r="24" spans="2:3" s="778" customFormat="1" ht="21.95" customHeight="1" x14ac:dyDescent="0.2">
      <c r="B24" s="798" t="s">
        <v>27</v>
      </c>
      <c r="C24" s="799" t="s">
        <v>28</v>
      </c>
    </row>
    <row r="25" spans="2:3" s="778" customFormat="1" ht="21.95" customHeight="1" x14ac:dyDescent="0.2">
      <c r="B25" s="798" t="s">
        <v>29</v>
      </c>
      <c r="C25" s="799" t="s">
        <v>30</v>
      </c>
    </row>
    <row r="26" spans="2:3" s="778" customFormat="1" ht="21.95" customHeight="1" x14ac:dyDescent="0.2">
      <c r="B26" s="798" t="s">
        <v>31</v>
      </c>
      <c r="C26" s="799" t="s">
        <v>32</v>
      </c>
    </row>
    <row r="27" spans="2:3" s="778" customFormat="1" ht="21.95" customHeight="1" x14ac:dyDescent="0.2">
      <c r="B27" s="798" t="s">
        <v>33</v>
      </c>
      <c r="C27" s="799" t="s">
        <v>34</v>
      </c>
    </row>
    <row r="28" spans="2:3" s="778" customFormat="1" ht="21.95" customHeight="1" thickBot="1" x14ac:dyDescent="0.25">
      <c r="B28" s="800" t="s">
        <v>35</v>
      </c>
      <c r="C28" s="801" t="s">
        <v>36</v>
      </c>
    </row>
    <row r="29" spans="2:3" s="778" customFormat="1" ht="6" customHeight="1" thickBot="1" x14ac:dyDescent="0.25">
      <c r="B29" s="777"/>
      <c r="C29" s="781"/>
    </row>
    <row r="30" spans="2:3" s="778" customFormat="1" ht="21.95" customHeight="1" thickBot="1" x14ac:dyDescent="0.25">
      <c r="B30" s="802" t="s">
        <v>37</v>
      </c>
      <c r="C30" s="803" t="s">
        <v>38</v>
      </c>
    </row>
    <row r="31" spans="2:3" s="774" customFormat="1" x14ac:dyDescent="0.25">
      <c r="B31" s="773"/>
      <c r="C31" s="773"/>
    </row>
    <row r="32" spans="2:3" s="774" customFormat="1" x14ac:dyDescent="0.25">
      <c r="B32" s="773"/>
      <c r="C32" s="773"/>
    </row>
    <row r="33" spans="2:3" s="774" customFormat="1" x14ac:dyDescent="0.25">
      <c r="B33" s="773"/>
      <c r="C33" s="773"/>
    </row>
    <row r="34" spans="2:3" s="774" customFormat="1" x14ac:dyDescent="0.25">
      <c r="B34" s="773"/>
      <c r="C34" s="773"/>
    </row>
    <row r="35" spans="2:3" s="774" customFormat="1" x14ac:dyDescent="0.25">
      <c r="B35" s="773"/>
      <c r="C35" s="773"/>
    </row>
    <row r="36" spans="2:3" s="774" customFormat="1" x14ac:dyDescent="0.25">
      <c r="B36" s="773"/>
      <c r="C36" s="773"/>
    </row>
    <row r="37" spans="2:3" s="774" customFormat="1" x14ac:dyDescent="0.25">
      <c r="B37" s="773"/>
      <c r="C37" s="773"/>
    </row>
    <row r="38" spans="2:3" s="774" customFormat="1" x14ac:dyDescent="0.25">
      <c r="B38" s="773"/>
      <c r="C38" s="773"/>
    </row>
    <row r="39" spans="2:3" s="774" customFormat="1" x14ac:dyDescent="0.25">
      <c r="B39" s="773"/>
      <c r="C39" s="773"/>
    </row>
    <row r="40" spans="2:3" s="774" customFormat="1" x14ac:dyDescent="0.25">
      <c r="B40" s="773"/>
      <c r="C40" s="773"/>
    </row>
    <row r="41" spans="2:3" s="774" customFormat="1" x14ac:dyDescent="0.25">
      <c r="B41" s="773"/>
      <c r="C41" s="773"/>
    </row>
    <row r="42" spans="2:3" s="774" customFormat="1" x14ac:dyDescent="0.25">
      <c r="B42" s="773"/>
      <c r="C42" s="773"/>
    </row>
    <row r="43" spans="2:3" s="774" customFormat="1" x14ac:dyDescent="0.25">
      <c r="B43" s="773"/>
      <c r="C43" s="773"/>
    </row>
    <row r="44" spans="2:3" s="774" customFormat="1" x14ac:dyDescent="0.25">
      <c r="B44" s="773"/>
      <c r="C44" s="773"/>
    </row>
  </sheetData>
  <pageMargins left="0.7" right="0.7" top="0.75" bottom="0.75" header="0.3" footer="0.3"/>
  <headerFooter>
    <oddFooter>&amp;C_x000D_&amp;1#&amp;"Calibri"&amp;10&amp;K000000 Business External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583D3-5AD9-4F5D-AB0C-3B366DA09DD4}">
  <sheetPr codeName="Sheet2">
    <tabColor theme="3"/>
  </sheetPr>
  <dimension ref="A1:XFC74"/>
  <sheetViews>
    <sheetView showGridLines="0" zoomScale="55" zoomScaleNormal="55" workbookViewId="0"/>
  </sheetViews>
  <sheetFormatPr defaultColWidth="0" defaultRowHeight="12.75" zeroHeight="1" x14ac:dyDescent="0.2"/>
  <cols>
    <col min="1" max="1" width="2.42578125" customWidth="1"/>
    <col min="2" max="53" width="9.140625" customWidth="1"/>
    <col min="54" max="56" width="12.5703125" hidden="1"/>
    <col min="57" max="16383" width="11.42578125" hidden="1"/>
    <col min="16384" max="16384" width="12.5703125" hidden="1"/>
  </cols>
  <sheetData>
    <row r="1" x14ac:dyDescent="0.2"/>
    <row r="2" x14ac:dyDescent="0.2"/>
    <row r="3" x14ac:dyDescent="0.2"/>
    <row r="4" x14ac:dyDescent="0.2"/>
    <row r="5" x14ac:dyDescent="0.2"/>
    <row r="6" x14ac:dyDescent="0.2"/>
    <row r="7" x14ac:dyDescent="0.2"/>
    <row r="8" x14ac:dyDescent="0.2"/>
    <row r="9" x14ac:dyDescent="0.2"/>
    <row r="10" x14ac:dyDescent="0.2"/>
    <row r="11" x14ac:dyDescent="0.2"/>
    <row r="12" x14ac:dyDescent="0.2"/>
    <row r="13" x14ac:dyDescent="0.2"/>
    <row r="14" x14ac:dyDescent="0.2"/>
    <row r="15" x14ac:dyDescent="0.2"/>
    <row r="16" x14ac:dyDescent="0.2"/>
    <row r="17" x14ac:dyDescent="0.2"/>
    <row r="18" x14ac:dyDescent="0.2"/>
    <row r="19" x14ac:dyDescent="0.2"/>
    <row r="20" x14ac:dyDescent="0.2"/>
    <row r="21" x14ac:dyDescent="0.2"/>
    <row r="22" x14ac:dyDescent="0.2"/>
    <row r="23" x14ac:dyDescent="0.2"/>
    <row r="24" x14ac:dyDescent="0.2"/>
    <row r="25" x14ac:dyDescent="0.2"/>
    <row r="26" x14ac:dyDescent="0.2"/>
    <row r="27" x14ac:dyDescent="0.2"/>
    <row r="28" x14ac:dyDescent="0.2"/>
    <row r="29" x14ac:dyDescent="0.2"/>
    <row r="30" x14ac:dyDescent="0.2"/>
    <row r="31" x14ac:dyDescent="0.2"/>
    <row r="32"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sheetData>
  <pageMargins left="0.7" right="0.7" top="0.75" bottom="0.75" header="0.3" footer="0.3"/>
  <headerFooter>
    <oddFooter>&amp;C_x000D_&amp;1#&amp;"Calibri"&amp;10&amp;K000000 Business External</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50B06-C837-414A-BC6C-78601779297F}">
  <sheetPr codeName="Sheet5">
    <tabColor theme="3"/>
  </sheetPr>
  <dimension ref="A1:AX80"/>
  <sheetViews>
    <sheetView showGridLines="0" zoomScaleNormal="100" workbookViewId="0"/>
  </sheetViews>
  <sheetFormatPr defaultColWidth="0" defaultRowHeight="0" customHeight="1" zeroHeight="1" outlineLevelCol="4" x14ac:dyDescent="0.2"/>
  <cols>
    <col min="1" max="1" width="2.42578125" customWidth="1"/>
    <col min="2" max="2" width="9.140625" customWidth="1"/>
    <col min="3" max="3" width="39.42578125" customWidth="1"/>
    <col min="4" max="4" width="11.85546875" bestFit="1" customWidth="1"/>
    <col min="5" max="10" width="7.5703125" customWidth="1"/>
    <col min="11" max="11" width="9.140625" customWidth="1"/>
    <col min="12" max="12" width="24.85546875" customWidth="1"/>
    <col min="13" max="17" width="20.5703125" customWidth="1"/>
    <col min="18" max="18" width="9.140625" customWidth="1"/>
    <col min="19" max="19" width="9.140625" hidden="1" customWidth="1" outlineLevel="4"/>
    <col min="20" max="20" width="9.140625" customWidth="1" collapsed="1"/>
    <col min="21" max="50" width="9.140625" customWidth="1"/>
    <col min="51" max="16384" width="11.42578125" hidden="1"/>
  </cols>
  <sheetData>
    <row r="1" spans="2:17" ht="12.75" customHeight="1" x14ac:dyDescent="0.2"/>
    <row r="2" spans="2:17" ht="15.75" x14ac:dyDescent="0.25">
      <c r="B2" s="730" t="s">
        <v>39</v>
      </c>
      <c r="C2" s="731"/>
      <c r="D2" s="731"/>
      <c r="E2" s="731"/>
      <c r="F2" s="731"/>
      <c r="G2" s="731"/>
      <c r="H2" s="731"/>
      <c r="I2" s="731"/>
      <c r="J2" s="731"/>
      <c r="L2" s="732" t="s">
        <v>40</v>
      </c>
      <c r="M2" s="733"/>
      <c r="N2" s="733"/>
      <c r="O2" s="733"/>
      <c r="P2" s="733"/>
      <c r="Q2" s="733"/>
    </row>
    <row r="3" spans="2:17" ht="12.75" customHeight="1" x14ac:dyDescent="0.2"/>
    <row r="4" spans="2:17" ht="12.75" x14ac:dyDescent="0.2"/>
    <row r="5" spans="2:17" ht="12.75" x14ac:dyDescent="0.2">
      <c r="B5" s="266" t="str">
        <f>"New vessel TCO over time - "&amp;Ves1_type&amp;" - USDm/year"</f>
        <v>New vessel TCO over time - Container - USDm/year</v>
      </c>
      <c r="L5" s="31" t="str">
        <f>"TCO comparison per fuel option in USDm/year, "&amp;Ves1_type&amp;" ("&amp;plot_year&amp;")"</f>
        <v>TCO comparison per fuel option in USDm/year, Container (2035)</v>
      </c>
    </row>
    <row r="6" spans="2:17" ht="24.95" customHeight="1" x14ac:dyDescent="0.2">
      <c r="B6" s="729" t="s">
        <v>41</v>
      </c>
      <c r="C6" s="729" t="s">
        <v>42</v>
      </c>
      <c r="D6" s="729">
        <v>2020</v>
      </c>
      <c r="E6" s="729">
        <f>+D6+5</f>
        <v>2025</v>
      </c>
      <c r="F6" s="729">
        <f t="shared" ref="F6:J6" si="0">+E6+5</f>
        <v>2030</v>
      </c>
      <c r="G6" s="729">
        <f t="shared" si="0"/>
        <v>2035</v>
      </c>
      <c r="H6" s="729">
        <f t="shared" si="0"/>
        <v>2040</v>
      </c>
      <c r="I6" s="729">
        <f t="shared" si="0"/>
        <v>2045</v>
      </c>
      <c r="J6" s="729">
        <f t="shared" si="0"/>
        <v>2050</v>
      </c>
      <c r="L6" s="750" t="s">
        <v>43</v>
      </c>
      <c r="M6" s="750" t="str">
        <f>'Vessel Configurator'!C67</f>
        <v>Vessel 1 - ICE - LSFO</v>
      </c>
      <c r="N6" s="750" t="str">
        <f>'Vessel Configurator'!D67</f>
        <v>Vessel 2 - ICE - LNG</v>
      </c>
      <c r="O6" s="750" t="str">
        <f>'Vessel Configurator'!E67</f>
        <v>Vessel 3 - ICE - e-Ammonia</v>
      </c>
      <c r="P6" s="750" t="str">
        <f>'Vessel Configurator'!F67</f>
        <v>Vessel 4 - ICE - Blue ammonia</v>
      </c>
      <c r="Q6" s="750" t="str">
        <f>'Vessel Configurator'!G67</f>
        <v>Vessel 5 - ICE - Biomethanol</v>
      </c>
    </row>
    <row r="7" spans="2:17" ht="12.75" x14ac:dyDescent="0.2">
      <c r="B7" s="48">
        <v>1</v>
      </c>
      <c r="C7" t="str" cm="1">
        <f t="array" ref="C7">INDEX(configured_names_ME_short,B7)</f>
        <v>Vessel 1 - ICE - LSFO</v>
      </c>
      <c r="D7" s="77">
        <f ca="1">INDEX('Calculation - Summarized'!$F$48:$AR$48,MATCH($C7&amp;" - "&amp;D$6,'Calculation - Summarized'!$F$3:$AR$3,0))/1000000</f>
        <v>33.275406035527354</v>
      </c>
      <c r="E7" s="77">
        <f ca="1">INDEX('Calculation - Summarized'!$F$48:$AR$48,MATCH($C7&amp;" - "&amp;E$6,'Calculation - Summarized'!$F$3:$AR$3,0))/1000000</f>
        <v>31.682473888508298</v>
      </c>
      <c r="F7" s="77">
        <f ca="1">INDEX('Calculation - Summarized'!$F$48:$AR$48,MATCH($C7&amp;" - "&amp;F$6,'Calculation - Summarized'!$F$3:$AR$3,0))/1000000</f>
        <v>31.293502085166431</v>
      </c>
      <c r="G7" s="77">
        <f ca="1">INDEX('Calculation - Summarized'!$F$48:$AR$48,MATCH($C7&amp;" - "&amp;G$6,'Calculation - Summarized'!$F$3:$AR$3,0))/1000000</f>
        <v>31.293502085166431</v>
      </c>
      <c r="H7" s="77">
        <f ca="1">INDEX('Calculation - Summarized'!$F$48:$AR$48,MATCH($C7&amp;" - "&amp;H$6,'Calculation - Summarized'!$F$3:$AR$3,0))/1000000</f>
        <v>31.293502085166431</v>
      </c>
      <c r="I7" s="77">
        <f ca="1">INDEX('Calculation - Summarized'!$F$48:$AR$48,MATCH($C7&amp;" - "&amp;I$6,'Calculation - Summarized'!$F$3:$AR$3,0))/1000000</f>
        <v>31.293502085166431</v>
      </c>
      <c r="J7" s="77">
        <f ca="1">INDEX('Calculation - Summarized'!$F$48:$AR$48,MATCH($C7&amp;" - "&amp;J$6,'Calculation - Summarized'!$F$3:$AR$3,0))/1000000</f>
        <v>31.293502085166431</v>
      </c>
      <c r="L7" t="s">
        <v>44</v>
      </c>
      <c r="M7" s="77">
        <f ca="1">INDEX('Calculation - Summarized'!$C$7:$AR$50,MATCH($L7,'Calculation - Summarized'!$C$7:$C$50,0),MATCH(M$6&amp;" - "&amp;plot_year,'Calculation - Summarized'!$C$3:$AR$3,0))/10^6</f>
        <v>10.105957500000001</v>
      </c>
      <c r="N7" s="77">
        <f ca="1">INDEX('Calculation - Summarized'!$C$7:$AR$50,MATCH($L7,'Calculation - Summarized'!$C$7:$C$50,0),MATCH(N$6&amp;" - "&amp;plot_year,'Calculation - Summarized'!$C$3:$AR$3,0))/10^6</f>
        <v>12.772353375</v>
      </c>
      <c r="O7" s="77">
        <f ca="1">INDEX('Calculation - Summarized'!$C$7:$AR$50,MATCH($L7,'Calculation - Summarized'!$C$7:$C$50,0),MATCH(O$6&amp;" - "&amp;plot_year,'Calculation - Summarized'!$C$3:$AR$3,0))/10^6</f>
        <v>12.027268375</v>
      </c>
      <c r="P7" s="77">
        <f ca="1">INDEX('Calculation - Summarized'!$C$7:$AR$50,MATCH($L7,'Calculation - Summarized'!$C$7:$C$50,0),MATCH(P$6&amp;" - "&amp;plot_year,'Calculation - Summarized'!$C$3:$AR$3,0))/10^6</f>
        <v>12.027268375</v>
      </c>
      <c r="Q7" s="77">
        <f ca="1">INDEX('Calculation - Summarized'!$C$7:$AR$50,MATCH($L7,'Calculation - Summarized'!$C$7:$C$50,0),MATCH(Q$6&amp;" - "&amp;plot_year,'Calculation - Summarized'!$C$3:$AR$3,0))/10^6</f>
        <v>11.589413374999999</v>
      </c>
    </row>
    <row r="8" spans="2:17" ht="12.75" x14ac:dyDescent="0.2">
      <c r="B8" s="48">
        <f>+B7+1</f>
        <v>2</v>
      </c>
      <c r="C8" t="str" cm="1">
        <f t="array" ref="C8">INDEX(configured_names_ME_short,B8)</f>
        <v>Vessel 2 - ICE - LNG</v>
      </c>
      <c r="D8" s="77">
        <f ca="1">INDEX('Calculation - Summarized'!$F$48:$AR$48,MATCH($C8&amp;" - "&amp;D$6,'Calculation - Summarized'!$F$3:$AR$3,0))/1000000</f>
        <v>35.901578218349698</v>
      </c>
      <c r="E8" s="77">
        <f ca="1">INDEX('Calculation - Summarized'!$F$48:$AR$48,MATCH($C8&amp;" - "&amp;E$6,'Calculation - Summarized'!$F$3:$AR$3,0))/1000000</f>
        <v>32.420950152666776</v>
      </c>
      <c r="F8" s="77">
        <f ca="1">INDEX('Calculation - Summarized'!$F$48:$AR$48,MATCH($C8&amp;" - "&amp;F$6,'Calculation - Summarized'!$F$3:$AR$3,0))/1000000</f>
        <v>31.469770488737598</v>
      </c>
      <c r="G8" s="77">
        <f ca="1">INDEX('Calculation - Summarized'!$F$48:$AR$48,MATCH($C8&amp;" - "&amp;G$6,'Calculation - Summarized'!$F$3:$AR$3,0))/1000000</f>
        <v>31.41092325924706</v>
      </c>
      <c r="H8" s="77">
        <f ca="1">INDEX('Calculation - Summarized'!$F$48:$AR$48,MATCH($C8&amp;" - "&amp;H$6,'Calculation - Summarized'!$F$3:$AR$3,0))/1000000</f>
        <v>31.343791183974783</v>
      </c>
      <c r="I8" s="77">
        <f ca="1">INDEX('Calculation - Summarized'!$F$48:$AR$48,MATCH($C8&amp;" - "&amp;I$6,'Calculation - Summarized'!$F$3:$AR$3,0))/1000000</f>
        <v>31.300575188412381</v>
      </c>
      <c r="J8" s="77">
        <f ca="1">INDEX('Calculation - Summarized'!$F$48:$AR$48,MATCH($C8&amp;" - "&amp;J$6,'Calculation - Summarized'!$F$3:$AR$3,0))/1000000</f>
        <v>31.280423138326622</v>
      </c>
      <c r="L8" t="s">
        <v>45</v>
      </c>
      <c r="M8" s="77">
        <f ca="1">INDEX('Calculation - Summarized'!$C$7:$AR$50,MATCH($L8,'Calculation - Summarized'!$C$7:$C$50,0),MATCH(M$6&amp;" - "&amp;plot_year,'Calculation - Summarized'!$C$3:$AR$3,0))/10^6</f>
        <v>7.8513684705882349</v>
      </c>
      <c r="N8" s="77">
        <f ca="1">INDEX('Calculation - Summarized'!$C$7:$AR$50,MATCH($L8,'Calculation - Summarized'!$C$7:$C$50,0),MATCH(N$6&amp;" - "&amp;plot_year,'Calculation - Summarized'!$C$3:$AR$3,0))/10^6</f>
        <v>8.2816684705882349</v>
      </c>
      <c r="O8" s="77">
        <f ca="1">INDEX('Calculation - Summarized'!$C$7:$AR$50,MATCH($L8,'Calculation - Summarized'!$C$7:$C$50,0),MATCH(O$6&amp;" - "&amp;plot_year,'Calculation - Summarized'!$C$3:$AR$3,0))/10^6</f>
        <v>8.2621452705882348</v>
      </c>
      <c r="P8" s="77">
        <f ca="1">INDEX('Calculation - Summarized'!$C$7:$AR$50,MATCH($L8,'Calculation - Summarized'!$C$7:$C$50,0),MATCH(P$6&amp;" - "&amp;plot_year,'Calculation - Summarized'!$C$3:$AR$3,0))/10^6</f>
        <v>8.2621452705882348</v>
      </c>
      <c r="Q8" s="77">
        <f ca="1">INDEX('Calculation - Summarized'!$C$7:$AR$50,MATCH($L8,'Calculation - Summarized'!$C$7:$C$50,0),MATCH(Q$6&amp;" - "&amp;plot_year,'Calculation - Summarized'!$C$3:$AR$3,0))/10^6</f>
        <v>7.8788684705882348</v>
      </c>
    </row>
    <row r="9" spans="2:17" ht="12.75" x14ac:dyDescent="0.2">
      <c r="B9" s="48">
        <f t="shared" ref="B9:B11" si="1">+B8+1</f>
        <v>3</v>
      </c>
      <c r="C9" t="str" cm="1">
        <f t="array" ref="C9">INDEX(configured_names_ME_short,B9)</f>
        <v>Vessel 3 - ICE - e-Ammonia</v>
      </c>
      <c r="D9" s="77">
        <f ca="1">INDEX('Calculation - Summarized'!$F$48:$AR$48,MATCH($C9&amp;" - "&amp;D$6,'Calculation - Summarized'!$F$3:$AR$3,0))/1000000</f>
        <v>62.014638441486703</v>
      </c>
      <c r="E9" s="77">
        <f ca="1">INDEX('Calculation - Summarized'!$F$48:$AR$48,MATCH($C9&amp;" - "&amp;E$6,'Calculation - Summarized'!$F$3:$AR$3,0))/1000000</f>
        <v>53.309642607958097</v>
      </c>
      <c r="F9" s="77">
        <f ca="1">INDEX('Calculation - Summarized'!$F$48:$AR$48,MATCH($C9&amp;" - "&amp;F$6,'Calculation - Summarized'!$F$3:$AR$3,0))/1000000</f>
        <v>47.350836763906045</v>
      </c>
      <c r="G9" s="77">
        <f ca="1">INDEX('Calculation - Summarized'!$F$48:$AR$48,MATCH($C9&amp;" - "&amp;G$6,'Calculation - Summarized'!$F$3:$AR$3,0))/1000000</f>
        <v>44.340268028900169</v>
      </c>
      <c r="H9" s="77">
        <f ca="1">INDEX('Calculation - Summarized'!$F$48:$AR$48,MATCH($C9&amp;" - "&amp;H$6,'Calculation - Summarized'!$F$3:$AR$3,0))/1000000</f>
        <v>41.932070576176471</v>
      </c>
      <c r="I9" s="77">
        <f ca="1">INDEX('Calculation - Summarized'!$F$48:$AR$48,MATCH($C9&amp;" - "&amp;I$6,'Calculation - Summarized'!$F$3:$AR$3,0))/1000000</f>
        <v>40.249798605063049</v>
      </c>
      <c r="J9" s="77">
        <f ca="1">INDEX('Calculation - Summarized'!$F$48:$AR$48,MATCH($C9&amp;" - "&amp;J$6,'Calculation - Summarized'!$F$3:$AR$3,0))/1000000</f>
        <v>39.448011537327645</v>
      </c>
      <c r="L9" t="s">
        <v>46</v>
      </c>
      <c r="M9" s="77">
        <f ca="1">INDEX('Calculation - Summarized'!$C$7:$AR$50,MATCH($L9,'Calculation - Summarized'!$C$7:$C$50,0),MATCH(M$6&amp;" - "&amp;plot_year,'Calculation - Summarized'!$C$3:$AR$3,0))/10^6</f>
        <v>13.336176114578192</v>
      </c>
      <c r="N9" s="77">
        <f ca="1">INDEX('Calculation - Summarized'!$C$7:$AR$50,MATCH($L9,'Calculation - Summarized'!$C$7:$C$50,0),MATCH(N$6&amp;" - "&amp;plot_year,'Calculation - Summarized'!$C$3:$AR$3,0))/10^6</f>
        <v>10.356901413658825</v>
      </c>
      <c r="O9" s="77">
        <f ca="1">INDEX('Calculation - Summarized'!$C$7:$AR$50,MATCH($L9,'Calculation - Summarized'!$C$7:$C$50,0),MATCH(O$6&amp;" - "&amp;plot_year,'Calculation - Summarized'!$C$3:$AR$3,0))/10^6</f>
        <v>24.050854383311936</v>
      </c>
      <c r="P9" s="77">
        <f ca="1">INDEX('Calculation - Summarized'!$C$7:$AR$50,MATCH($L9,'Calculation - Summarized'!$C$7:$C$50,0),MATCH(P$6&amp;" - "&amp;plot_year,'Calculation - Summarized'!$C$3:$AR$3,0))/10^6</f>
        <v>24.324601371417913</v>
      </c>
      <c r="Q9" s="77">
        <f ca="1">INDEX('Calculation - Summarized'!$C$7:$AR$50,MATCH($L9,'Calculation - Summarized'!$C$7:$C$50,0),MATCH(Q$6&amp;" - "&amp;plot_year,'Calculation - Summarized'!$C$3:$AR$3,0))/10^6</f>
        <v>24.730331692154323</v>
      </c>
    </row>
    <row r="10" spans="2:17" ht="12.75" x14ac:dyDescent="0.2">
      <c r="B10" s="48">
        <f t="shared" si="1"/>
        <v>4</v>
      </c>
      <c r="C10" t="str" cm="1">
        <f t="array" ref="C10">INDEX(configured_names_ME_short,B10)</f>
        <v>Vessel 4 - ICE - Blue ammonia</v>
      </c>
      <c r="D10" s="77">
        <f ca="1">INDEX('Calculation - Summarized'!$F$48:$AR$48,MATCH($C10&amp;" - "&amp;D$6,'Calculation - Summarized'!$F$3:$AR$3,0))/1000000</f>
        <v>53.285100702383552</v>
      </c>
      <c r="E10" s="77">
        <f ca="1">INDEX('Calculation - Summarized'!$F$48:$AR$48,MATCH($C10&amp;" - "&amp;E$6,'Calculation - Summarized'!$F$3:$AR$3,0))/1000000</f>
        <v>46.927335862383636</v>
      </c>
      <c r="F10" s="77">
        <f ca="1">INDEX('Calculation - Summarized'!$F$48:$AR$48,MATCH($C10&amp;" - "&amp;F$6,'Calculation - Summarized'!$F$3:$AR$3,0))/1000000</f>
        <v>44.885575236793372</v>
      </c>
      <c r="G10" s="77">
        <f ca="1">INDEX('Calculation - Summarized'!$F$48:$AR$48,MATCH($C10&amp;" - "&amp;G$6,'Calculation - Summarized'!$F$3:$AR$3,0))/1000000</f>
        <v>44.614015017006146</v>
      </c>
      <c r="H10" s="77">
        <f ca="1">INDEX('Calculation - Summarized'!$F$48:$AR$48,MATCH($C10&amp;" - "&amp;H$6,'Calculation - Summarized'!$F$3:$AR$3,0))/1000000</f>
        <v>44.363497049593569</v>
      </c>
      <c r="I10" s="77">
        <f ca="1">INDEX('Calculation - Summarized'!$F$48:$AR$48,MATCH($C10&amp;" - "&amp;I$6,'Calculation - Summarized'!$F$3:$AR$3,0))/1000000</f>
        <v>44.193510760158752</v>
      </c>
      <c r="J10" s="77">
        <f ca="1">INDEX('Calculation - Summarized'!$F$48:$AR$48,MATCH($C10&amp;" - "&amp;J$6,'Calculation - Summarized'!$F$3:$AR$3,0))/1000000</f>
        <v>44.106018426478776</v>
      </c>
      <c r="L10" s="633" t="s">
        <v>47</v>
      </c>
      <c r="M10" s="751">
        <f ca="1">SUM(M7:M9)</f>
        <v>31.293502085166431</v>
      </c>
      <c r="N10" s="751">
        <f t="shared" ref="N10:Q10" ca="1" si="2">SUM(N7:N9)</f>
        <v>31.41092325924706</v>
      </c>
      <c r="O10" s="751">
        <f t="shared" ca="1" si="2"/>
        <v>44.340268028900169</v>
      </c>
      <c r="P10" s="751">
        <f t="shared" ca="1" si="2"/>
        <v>44.614015017006146</v>
      </c>
      <c r="Q10" s="751">
        <f t="shared" ca="1" si="2"/>
        <v>44.19861353774256</v>
      </c>
    </row>
    <row r="11" spans="2:17" ht="12.75" x14ac:dyDescent="0.2">
      <c r="B11" s="48">
        <f t="shared" si="1"/>
        <v>5</v>
      </c>
      <c r="C11" t="str" cm="1">
        <f t="array" ref="C11">INDEX(configured_names_ME_short,B11)</f>
        <v>Vessel 5 - ICE - Biomethanol</v>
      </c>
      <c r="D11" s="77">
        <f ca="1">INDEX('Calculation - Summarized'!$F$48:$AR$48,MATCH($C11&amp;" - "&amp;D$6,'Calculation - Summarized'!$F$3:$AR$3,0))/1000000</f>
        <v>53.376918056772212</v>
      </c>
      <c r="E11" s="77">
        <f ca="1">INDEX('Calculation - Summarized'!$F$48:$AR$48,MATCH($C11&amp;" - "&amp;E$6,'Calculation - Summarized'!$F$3:$AR$3,0))/1000000</f>
        <v>48.06395051215231</v>
      </c>
      <c r="F11" s="77">
        <f ca="1">INDEX('Calculation - Summarized'!$F$48:$AR$48,MATCH($C11&amp;" - "&amp;F$6,'Calculation - Summarized'!$F$3:$AR$3,0))/1000000</f>
        <v>45.539866522004019</v>
      </c>
      <c r="G11" s="77">
        <f ca="1">INDEX('Calculation - Summarized'!$F$48:$AR$48,MATCH($C11&amp;" - "&amp;G$6,'Calculation - Summarized'!$F$3:$AR$3,0))/1000000</f>
        <v>44.198613537742553</v>
      </c>
      <c r="H11" s="77">
        <f ca="1">INDEX('Calculation - Summarized'!$F$48:$AR$48,MATCH($C11&amp;" - "&amp;H$6,'Calculation - Summarized'!$F$3:$AR$3,0))/1000000</f>
        <v>43.284358897862241</v>
      </c>
      <c r="I11" s="77">
        <f ca="1">INDEX('Calculation - Summarized'!$F$48:$AR$48,MATCH($C11&amp;" - "&amp;I$6,'Calculation - Summarized'!$F$3:$AR$3,0))/1000000</f>
        <v>42.791782575886721</v>
      </c>
      <c r="J11" s="77">
        <f ca="1">INDEX('Calculation - Summarized'!$F$48:$AR$48,MATCH($C11&amp;" - "&amp;J$6,'Calculation - Summarized'!$F$3:$AR$3,0))/1000000</f>
        <v>42.545655733642235</v>
      </c>
      <c r="M11" s="77"/>
      <c r="N11" s="77"/>
      <c r="O11" s="77"/>
      <c r="P11" s="77"/>
      <c r="Q11" s="77"/>
    </row>
    <row r="12" spans="2:17" ht="12.75" x14ac:dyDescent="0.2">
      <c r="B12" s="48"/>
      <c r="D12" s="77"/>
      <c r="E12" s="77"/>
      <c r="F12" s="77"/>
      <c r="G12" s="77"/>
      <c r="H12" s="77"/>
      <c r="I12" s="77"/>
      <c r="J12" s="77"/>
      <c r="M12" s="77"/>
      <c r="N12" s="77"/>
      <c r="O12" s="77"/>
      <c r="P12" s="77"/>
      <c r="Q12" s="77"/>
    </row>
    <row r="13" spans="2:17" ht="12.75" x14ac:dyDescent="0.2">
      <c r="M13" s="77"/>
      <c r="N13" s="77"/>
      <c r="O13" s="77"/>
      <c r="P13" s="77"/>
      <c r="Q13" s="77"/>
    </row>
    <row r="14" spans="2:17" ht="12.75" x14ac:dyDescent="0.2">
      <c r="D14" s="345"/>
      <c r="M14" s="77"/>
      <c r="N14" s="77"/>
      <c r="O14" s="77"/>
      <c r="P14" s="77"/>
      <c r="Q14" s="77"/>
    </row>
    <row r="15" spans="2:17" ht="12.75" x14ac:dyDescent="0.2">
      <c r="B15" s="266" t="s">
        <v>48</v>
      </c>
      <c r="C15" s="266"/>
      <c r="L15" s="266" t="str">
        <f>"Fuel cost breakdown graph for "&amp;plot_year&amp;" - "&amp;SelectedRegion&amp;" - USD/GJ"</f>
        <v>Fuel cost breakdown graph for 2035 - Global - USD/GJ</v>
      </c>
    </row>
    <row r="16" spans="2:17" ht="12.75" x14ac:dyDescent="0.2">
      <c r="B16" s="729" t="s">
        <v>41</v>
      </c>
      <c r="C16" s="729" t="s">
        <v>49</v>
      </c>
      <c r="D16" s="729">
        <v>2020</v>
      </c>
      <c r="E16" s="729">
        <f>+D16+5</f>
        <v>2025</v>
      </c>
      <c r="F16" s="729">
        <f t="shared" ref="F16:J16" si="3">+E16+5</f>
        <v>2030</v>
      </c>
      <c r="G16" s="729">
        <f t="shared" si="3"/>
        <v>2035</v>
      </c>
      <c r="H16" s="729">
        <f t="shared" si="3"/>
        <v>2040</v>
      </c>
      <c r="I16" s="729">
        <f t="shared" si="3"/>
        <v>2045</v>
      </c>
      <c r="J16" s="729">
        <f t="shared" si="3"/>
        <v>2050</v>
      </c>
      <c r="L16" s="750" t="s">
        <v>43</v>
      </c>
      <c r="M16" s="750" t="str">
        <f>MEfuel1</f>
        <v>LSFO</v>
      </c>
      <c r="N16" s="750" t="str">
        <f>MEfuel2</f>
        <v>LNG</v>
      </c>
      <c r="O16" s="750" t="str">
        <f>MEfuel3</f>
        <v>e-Ammonia</v>
      </c>
      <c r="P16" s="750" t="str">
        <f>MEfuel4</f>
        <v>Blue ammonia</v>
      </c>
      <c r="Q16" s="750" t="str">
        <f>MEfuel5</f>
        <v>Biomethanol</v>
      </c>
    </row>
    <row r="17" spans="2:17" ht="12.75" x14ac:dyDescent="0.2">
      <c r="B17" s="48">
        <v>1</v>
      </c>
      <c r="C17" t="str">
        <f>MEfuel1</f>
        <v>LSFO</v>
      </c>
      <c r="D17" s="121">
        <f>INDEX('TCO - Input'!S$475:S$599,MATCH(_xlfn.TEXTJOIN(keydelim,TRUE,$C17,SelectedRegion,"Fuel cost total - USD/GJ"),'TCO - Input'!$D$475:$D$599,0))</f>
        <v>21.473621920116738</v>
      </c>
      <c r="E17" s="121">
        <f>INDEX('TCO - Input'!T$475:T$599,MATCH(_xlfn.TEXTJOIN(keydelim,TRUE,$C17,SelectedRegion,"Fuel cost total - USD/GJ"),'TCO - Input'!$D$475:$D$599,0))</f>
        <v>15.404989638344619</v>
      </c>
      <c r="F17" s="121">
        <f>INDEX('TCO - Input'!U$475:U$599,MATCH(_xlfn.TEXTJOIN(keydelim,TRUE,$C17,SelectedRegion,"Fuel cost total - USD/GJ"),'TCO - Input'!$D$475:$D$599,0))</f>
        <v>13.444354593464393</v>
      </c>
      <c r="G17" s="121">
        <f>INDEX('TCO - Input'!V$475:V$599,MATCH(_xlfn.TEXTJOIN(keydelim,TRUE,$C17,SelectedRegion,"Fuel cost total - USD/GJ"),'TCO - Input'!$D$475:$D$599,0))</f>
        <v>13.444354593464393</v>
      </c>
      <c r="H17" s="121">
        <f>INDEX('TCO - Input'!W$475:W$599,MATCH(_xlfn.TEXTJOIN(keydelim,TRUE,$C17,SelectedRegion,"Fuel cost total - USD/GJ"),'TCO - Input'!$D$475:$D$599,0))</f>
        <v>13.444354593464393</v>
      </c>
      <c r="I17" s="121">
        <f>INDEX('TCO - Input'!X$475:X$599,MATCH(_xlfn.TEXTJOIN(keydelim,TRUE,$C17,SelectedRegion,"Fuel cost total - USD/GJ"),'TCO - Input'!$D$475:$D$599,0))</f>
        <v>13.444354593464393</v>
      </c>
      <c r="J17" s="121">
        <f>INDEX('TCO - Input'!Y$475:Y$599,MATCH(_xlfn.TEXTJOIN(keydelim,TRUE,$C17,SelectedRegion,"Fuel cost total - USD/GJ"),'TCO - Input'!$D$475:$D$599,0))</f>
        <v>13.444354593464393</v>
      </c>
      <c r="L17" t="s">
        <v>50</v>
      </c>
      <c r="M17" s="256">
        <f>INDEX('Fuel Model - Summary'!$AV$6:$BB$136,MATCH(M$16&amp;" - "&amp;SelectedRegion,'Fuel Model - Summary'!$C$6:$C$136,0),MATCH(plot_year,'Fuel Model - Summary'!$AV$5:$BB$5,0))</f>
        <v>0</v>
      </c>
      <c r="N17" s="256">
        <f>INDEX('Fuel Model - Summary'!$AV$6:$BB$136,MATCH(N$16&amp;" - "&amp;SelectedRegion,'Fuel Model - Summary'!$C$6:$C$136,0),MATCH(plot_year,'Fuel Model - Summary'!$AV$5:$BB$5,0))</f>
        <v>3.9500709009676336</v>
      </c>
      <c r="O17" s="256">
        <f>INDEX('Fuel Model - Summary'!$AV$6:$BB$136,MATCH(O$16&amp;" - "&amp;SelectedRegion,'Fuel Model - Summary'!$C$6:$C$136,0),MATCH(plot_year,'Fuel Model - Summary'!$AV$5:$BB$5,0))</f>
        <v>9.0496750820364902</v>
      </c>
      <c r="P17" s="256">
        <f>INDEX('Fuel Model - Summary'!$AV$6:$BB$136,MATCH(P$16&amp;" - "&amp;SelectedRegion,'Fuel Model - Summary'!$C$6:$C$136,0),MATCH(plot_year,'Fuel Model - Summary'!$AV$5:$BB$5,0))</f>
        <v>5.0744680851063846</v>
      </c>
      <c r="Q17" s="256">
        <f>INDEX('Fuel Model - Summary'!$AV$6:$BB$136,MATCH(Q$16&amp;" - "&amp;SelectedRegion,'Fuel Model - Summary'!$C$6:$C$136,0),MATCH(plot_year,'Fuel Model - Summary'!$AV$5:$BB$5,0))</f>
        <v>10.320351758793972</v>
      </c>
    </row>
    <row r="18" spans="2:17" ht="12.75" x14ac:dyDescent="0.2">
      <c r="B18" s="48">
        <f>+B17+1</f>
        <v>2</v>
      </c>
      <c r="C18" t="str">
        <f>MEfuel2</f>
        <v>LNG</v>
      </c>
      <c r="D18" s="121">
        <f>INDEX('TCO - Input'!S$475:S$599,MATCH(_xlfn.TEXTJOIN(keydelim,TRUE,$C18,SelectedRegion,"Fuel cost total - USD/GJ"),'TCO - Input'!$D$475:$D$599,0))</f>
        <v>28.010164967271816</v>
      </c>
      <c r="E18" s="121">
        <f>INDEX('TCO - Input'!T$475:T$599,MATCH(_xlfn.TEXTJOIN(keydelim,TRUE,$C18,SelectedRegion,"Fuel cost total - USD/GJ"),'TCO - Input'!$D$475:$D$599,0))</f>
        <v>15.101278898435231</v>
      </c>
      <c r="F18" s="121">
        <f>INDEX('TCO - Input'!U$475:U$599,MATCH(_xlfn.TEXTJOIN(keydelim,TRUE,$C18,SelectedRegion,"Fuel cost total - USD/GJ"),'TCO - Input'!$D$475:$D$599,0))</f>
        <v>10.581925187075147</v>
      </c>
      <c r="G18" s="121">
        <f>INDEX('TCO - Input'!V$475:V$599,MATCH(_xlfn.TEXTJOIN(keydelim,TRUE,$C18,SelectedRegion,"Fuel cost total - USD/GJ"),'TCO - Input'!$D$475:$D$599,0))</f>
        <v>10.624039306140117</v>
      </c>
      <c r="H18" s="121">
        <f>INDEX('TCO - Input'!W$475:W$599,MATCH(_xlfn.TEXTJOIN(keydelim,TRUE,$C18,SelectedRegion,"Fuel cost total - USD/GJ"),'TCO - Input'!$D$475:$D$599,0))</f>
        <v>10.502467383740608</v>
      </c>
      <c r="I18" s="121">
        <f>INDEX('TCO - Input'!X$475:X$599,MATCH(_xlfn.TEXTJOIN(keydelim,TRUE,$C18,SelectedRegion,"Fuel cost total - USD/GJ"),'TCO - Input'!$D$475:$D$599,0))</f>
        <v>10.385227090861148</v>
      </c>
      <c r="J18" s="121">
        <f>INDEX('TCO - Input'!Y$475:Y$599,MATCH(_xlfn.TEXTJOIN(keydelim,TRUE,$C18,SelectedRegion,"Fuel cost total - USD/GJ"),'TCO - Input'!$D$475:$D$599,0))</f>
        <v>10.282788752348448</v>
      </c>
      <c r="L18" t="s">
        <v>51</v>
      </c>
      <c r="M18" s="256">
        <f>INDEX('Fuel Model - Summary'!$BD$6:$BJ$136,MATCH(M$16&amp;" - "&amp;SelectedRegion,'Fuel Model - Summary'!$C$6:$C$136,0),MATCH(plot_year,'Fuel Model - Summary'!$AV$5:$BB$5,0))</f>
        <v>0</v>
      </c>
      <c r="N18" s="256">
        <f>INDEX('Fuel Model - Summary'!$BD$6:$BJ$136,MATCH(N$16&amp;" - "&amp;SelectedRegion,'Fuel Model - Summary'!$C$6:$C$136,0),MATCH(plot_year,'Fuel Model - Summary'!$AV$5:$BB$5,0))</f>
        <v>0.34185123116465843</v>
      </c>
      <c r="O18" s="256">
        <f>INDEX('Fuel Model - Summary'!$BD$6:$BJ$136,MATCH(O$16&amp;" - "&amp;SelectedRegion,'Fuel Model - Summary'!$C$6:$C$136,0),MATCH(plot_year,'Fuel Model - Summary'!$AV$5:$BB$5,0))</f>
        <v>7.8545876139082926</v>
      </c>
      <c r="P18" s="256">
        <f>INDEX('Fuel Model - Summary'!$BD$6:$BJ$136,MATCH(P$16&amp;" - "&amp;SelectedRegion,'Fuel Model - Summary'!$C$6:$C$136,0),MATCH(plot_year,'Fuel Model - Summary'!$AV$5:$BB$5,0))</f>
        <v>2.2978723404255321</v>
      </c>
      <c r="Q18" s="256">
        <f>INDEX('Fuel Model - Summary'!$BD$6:$BJ$136,MATCH(Q$16&amp;" - "&amp;SelectedRegion,'Fuel Model - Summary'!$C$6:$C$136,0),MATCH(plot_year,'Fuel Model - Summary'!$AV$5:$BB$5,0))</f>
        <v>7.728673466435712</v>
      </c>
    </row>
    <row r="19" spans="2:17" ht="12.75" x14ac:dyDescent="0.2">
      <c r="B19" s="48">
        <f t="shared" ref="B19:B21" si="4">+B18+1</f>
        <v>3</v>
      </c>
      <c r="C19" t="str">
        <f>MEfuel3</f>
        <v>e-Ammonia</v>
      </c>
      <c r="D19" s="121">
        <f>INDEX('TCO - Input'!S$475:S$599,MATCH(_xlfn.TEXTJOIN(keydelim,TRUE,$C19,SelectedRegion,"Fuel cost total - USD/GJ"),'TCO - Input'!$D$475:$D$599,0))</f>
        <v>67.654563699368978</v>
      </c>
      <c r="E19" s="121">
        <f>INDEX('TCO - Input'!T$475:T$599,MATCH(_xlfn.TEXTJOIN(keydelim,TRUE,$C19,SelectedRegion,"Fuel cost total - USD/GJ"),'TCO - Input'!$D$475:$D$599,0))</f>
        <v>49.86622112839148</v>
      </c>
      <c r="F19" s="121">
        <f>INDEX('TCO - Input'!U$475:U$599,MATCH(_xlfn.TEXTJOIN(keydelim,TRUE,$C19,SelectedRegion,"Fuel cost total - USD/GJ"),'TCO - Input'!$D$475:$D$599,0))</f>
        <v>35.036527617873539</v>
      </c>
      <c r="G19" s="121">
        <f>INDEX('TCO - Input'!V$475:V$599,MATCH(_xlfn.TEXTJOIN(keydelim,TRUE,$C19,SelectedRegion,"Fuel cost total - USD/GJ"),'TCO - Input'!$D$475:$D$599,0))</f>
        <v>31.843366273798324</v>
      </c>
      <c r="H19" s="121">
        <f>INDEX('TCO - Input'!W$475:W$599,MATCH(_xlfn.TEXTJOIN(keydelim,TRUE,$C19,SelectedRegion,"Fuel cost total - USD/GJ"),'TCO - Input'!$D$475:$D$599,0))</f>
        <v>28.023353054868181</v>
      </c>
      <c r="I19" s="121">
        <f>INDEX('TCO - Input'!X$475:X$599,MATCH(_xlfn.TEXTJOIN(keydelim,TRUE,$C19,SelectedRegion,"Fuel cost total - USD/GJ"),'TCO - Input'!$D$475:$D$599,0))</f>
        <v>23.402115576701302</v>
      </c>
      <c r="J19" s="121">
        <f>INDEX('TCO - Input'!Y$475:Y$599,MATCH(_xlfn.TEXTJOIN(keydelim,TRUE,$C19,SelectedRegion,"Fuel cost total - USD/GJ"),'TCO - Input'!$D$475:$D$599,0))</f>
        <v>19.231023079153672</v>
      </c>
      <c r="L19" t="s">
        <v>52</v>
      </c>
      <c r="M19" s="256">
        <f>INDEX('Fuel Model - Summary'!$BT$6:$BZ$136,MATCH(M$16&amp;" - "&amp;SelectedRegion,'Fuel Model - Summary'!$C$6:$C$136,0),MATCH(plot_year,'Fuel Model - Summary'!$AV$5:$BB$5,0))</f>
        <v>0</v>
      </c>
      <c r="N19" s="256">
        <f>INDEX('Fuel Model - Summary'!$BT$6:$BZ$136,MATCH(N$16&amp;" - "&amp;SelectedRegion,'Fuel Model - Summary'!$C$6:$C$136,0),MATCH(plot_year,'Fuel Model - Summary'!$AV$5:$BB$5,0))</f>
        <v>5.4791666666666679</v>
      </c>
      <c r="O19" s="256">
        <f>INDEX('Fuel Model - Summary'!$BT$6:$BZ$136,MATCH(O$16&amp;" - "&amp;SelectedRegion,'Fuel Model - Summary'!$C$6:$C$136,0),MATCH(plot_year,'Fuel Model - Summary'!$AV$5:$BB$5,0))</f>
        <v>0</v>
      </c>
      <c r="P19" s="256">
        <f>INDEX('Fuel Model - Summary'!$BT$6:$BZ$136,MATCH(P$16&amp;" - "&amp;SelectedRegion,'Fuel Model - Summary'!$C$6:$C$136,0),MATCH(plot_year,'Fuel Model - Summary'!$AV$5:$BB$5,0))</f>
        <v>9.7674868293764678</v>
      </c>
      <c r="Q19" s="256">
        <f>INDEX('Fuel Model - Summary'!$BT$6:$BZ$136,MATCH(Q$16&amp;" - "&amp;SelectedRegion,'Fuel Model - Summary'!$C$6:$C$136,0),MATCH(plot_year,'Fuel Model - Summary'!$AV$5:$BB$5,0))</f>
        <v>9.0410638885402985</v>
      </c>
    </row>
    <row r="20" spans="2:17" ht="12.75" x14ac:dyDescent="0.2">
      <c r="B20" s="48">
        <f t="shared" si="4"/>
        <v>4</v>
      </c>
      <c r="C20" t="str">
        <f>MEfuel4</f>
        <v>Blue ammonia</v>
      </c>
      <c r="D20" s="121">
        <f>INDEX('TCO - Input'!S$475:S$599,MATCH(_xlfn.TEXTJOIN(keydelim,TRUE,$C20,SelectedRegion,"Fuel cost total - USD/GJ"),'TCO - Input'!$D$475:$D$599,0))</f>
        <v>56.44771878224406</v>
      </c>
      <c r="E20" s="121">
        <f>INDEX('TCO - Input'!T$475:T$599,MATCH(_xlfn.TEXTJOIN(keydelim,TRUE,$C20,SelectedRegion,"Fuel cost total - USD/GJ"),'TCO - Input'!$D$475:$D$599,0))</f>
        <v>34.15796081641848</v>
      </c>
      <c r="F20" s="121">
        <f>INDEX('TCO - Input'!U$475:U$599,MATCH(_xlfn.TEXTJOIN(keydelim,TRUE,$C20,SelectedRegion,"Fuel cost total - USD/GJ"),'TCO - Input'!$D$475:$D$599,0))</f>
        <v>25.526644558807334</v>
      </c>
      <c r="G20" s="121">
        <f>INDEX('TCO - Input'!V$475:V$599,MATCH(_xlfn.TEXTJOIN(keydelim,TRUE,$C20,SelectedRegion,"Fuel cost total - USD/GJ"),'TCO - Input'!$D$475:$D$599,0))</f>
        <v>25.392213579850207</v>
      </c>
      <c r="H20" s="121">
        <f>INDEX('TCO - Input'!W$475:W$599,MATCH(_xlfn.TEXTJOIN(keydelim,TRUE,$C20,SelectedRegion,"Fuel cost total - USD/GJ"),'TCO - Input'!$D$475:$D$599,0))</f>
        <v>24.968014990964868</v>
      </c>
      <c r="I20" s="121">
        <f>INDEX('TCO - Input'!X$475:X$599,MATCH(_xlfn.TEXTJOIN(keydelim,TRUE,$C20,SelectedRegion,"Fuel cost total - USD/GJ"),'TCO - Input'!$D$475:$D$599,0))</f>
        <v>24.545499780241947</v>
      </c>
      <c r="J20" s="121">
        <f>INDEX('TCO - Input'!Y$475:Y$599,MATCH(_xlfn.TEXTJOIN(keydelim,TRUE,$C20,SelectedRegion,"Fuel cost total - USD/GJ"),'TCO - Input'!$D$475:$D$599,0))</f>
        <v>24.132752179123678</v>
      </c>
      <c r="L20" t="s">
        <v>53</v>
      </c>
      <c r="M20" s="256">
        <f>INDEX('Fuel Model - Summary'!$BL$6:$BR$136,MATCH(M$16&amp;" - "&amp;SelectedRegion,'Fuel Model - Summary'!$C$6:$C$136,0),MATCH(plot_year,'Fuel Model - Summary'!$AV$5:$BB$5,0))</f>
        <v>0</v>
      </c>
      <c r="N20" s="256">
        <f>INDEX('Fuel Model - Summary'!$BL$6:$BR$136,MATCH(N$16&amp;" - "&amp;SelectedRegion,'Fuel Model - Summary'!$C$6:$C$136,0),MATCH(plot_year,'Fuel Model - Summary'!$AV$5:$BB$5,0))</f>
        <v>0</v>
      </c>
      <c r="O20" s="256">
        <f>INDEX('Fuel Model - Summary'!$BL$6:$BR$136,MATCH(O$16&amp;" - "&amp;SelectedRegion,'Fuel Model - Summary'!$C$6:$C$136,0),MATCH(plot_year,'Fuel Model - Summary'!$AV$5:$BB$5,0))</f>
        <v>0</v>
      </c>
      <c r="P20" s="256">
        <f>INDEX('Fuel Model - Summary'!$BL$6:$BR$136,MATCH(P$16&amp;" - "&amp;SelectedRegion,'Fuel Model - Summary'!$C$6:$C$136,0),MATCH(plot_year,'Fuel Model - Summary'!$AV$5:$BB$5,0))</f>
        <v>7.1302127659574479</v>
      </c>
      <c r="Q20" s="256">
        <f>INDEX('Fuel Model - Summary'!$BL$6:$BR$136,MATCH(Q$16&amp;" - "&amp;SelectedRegion,'Fuel Model - Summary'!$C$6:$C$136,0),MATCH(plot_year,'Fuel Model - Summary'!$AV$5:$BB$5,0))</f>
        <v>0</v>
      </c>
    </row>
    <row r="21" spans="2:17" ht="12.75" x14ac:dyDescent="0.2">
      <c r="B21" s="48">
        <f t="shared" si="4"/>
        <v>5</v>
      </c>
      <c r="C21" t="str">
        <f>MEfuel5</f>
        <v>Biomethanol</v>
      </c>
      <c r="D21" s="121">
        <f>INDEX('TCO - Input'!S$475:S$599,MATCH(_xlfn.TEXTJOIN(keydelim,TRUE,$C21,SelectedRegion,"Fuel cost total - USD/GJ"),'TCO - Input'!$D$475:$D$599,0))</f>
        <v>51.007160238790995</v>
      </c>
      <c r="E21" s="121">
        <f>INDEX('TCO - Input'!T$475:T$599,MATCH(_xlfn.TEXTJOIN(keydelim,TRUE,$C21,SelectedRegion,"Fuel cost total - USD/GJ"),'TCO - Input'!$D$475:$D$599,0))</f>
        <v>35.917851468003114</v>
      </c>
      <c r="F21" s="121">
        <f>INDEX('TCO - Input'!U$475:U$599,MATCH(_xlfn.TEXTJOIN(keydelim,TRUE,$C21,SelectedRegion,"Fuel cost total - USD/GJ"),'TCO - Input'!$D$475:$D$599,0))</f>
        <v>30.377047685488289</v>
      </c>
      <c r="G21" s="121">
        <f>INDEX('TCO - Input'!V$475:V$599,MATCH(_xlfn.TEXTJOIN(keydelim,TRUE,$C21,SelectedRegion,"Fuel cost total - USD/GJ"),'TCO - Input'!$D$475:$D$599,0))</f>
        <v>28.106631469870184</v>
      </c>
      <c r="H21" s="121">
        <f>INDEX('TCO - Input'!W$475:W$599,MATCH(_xlfn.TEXTJOIN(keydelim,TRUE,$C21,SelectedRegion,"Fuel cost total - USD/GJ"),'TCO - Input'!$D$475:$D$599,0))</f>
        <v>25.887450121103139</v>
      </c>
      <c r="I21" s="121">
        <f>INDEX('TCO - Input'!X$475:X$599,MATCH(_xlfn.TEXTJOIN(keydelim,TRUE,$C21,SelectedRegion,"Fuel cost total - USD/GJ"),'TCO - Input'!$D$475:$D$599,0))</f>
        <v>24.602263834424107</v>
      </c>
      <c r="J21" s="121">
        <f>INDEX('TCO - Input'!Y$475:Y$599,MATCH(_xlfn.TEXTJOIN(keydelim,TRUE,$C21,SelectedRegion,"Fuel cost total - USD/GJ"),'TCO - Input'!$D$475:$D$599,0))</f>
        <v>23.3548422993738</v>
      </c>
      <c r="L21" t="s">
        <v>54</v>
      </c>
      <c r="M21" s="256">
        <f>INDEX('Fuel Model - Summary'!$P$6:$V$136,MATCH(M$16&amp;" - "&amp;SelectedRegion,'Fuel Model - Summary'!$C$6:$C$136,0),MATCH(plot_year,'Fuel Model - Summary'!$AV$5:$BB$5,0))</f>
        <v>0</v>
      </c>
      <c r="N21" s="256">
        <f>INDEX('Fuel Model - Summary'!$P$6:$V$136,MATCH(N$16&amp;" - "&amp;SelectedRegion,'Fuel Model - Summary'!$C$6:$C$136,0),MATCH(plot_year,'Fuel Model - Summary'!$AV$5:$BB$5,0))</f>
        <v>0</v>
      </c>
      <c r="O21" s="256">
        <f>INDEX('Fuel Model - Summary'!$P$6:$V$136,MATCH(O$16&amp;" - "&amp;SelectedRegion,'Fuel Model - Summary'!$C$6:$C$136,0),MATCH(plot_year,'Fuel Model - Summary'!$AV$5:$BB$5,0))</f>
        <v>13.816930018869165</v>
      </c>
      <c r="P21" s="256">
        <f>INDEX('Fuel Model - Summary'!$P$6:$V$136,MATCH(P$16&amp;" - "&amp;SelectedRegion,'Fuel Model - Summary'!$C$6:$C$136,0),MATCH(plot_year,'Fuel Model - Summary'!$AV$5:$BB$5,0))</f>
        <v>0</v>
      </c>
      <c r="Q21" s="256">
        <f>INDEX('Fuel Model - Summary'!$P$6:$V$136,MATCH(Q$16&amp;" - "&amp;SelectedRegion,'Fuel Model - Summary'!$C$6:$C$136,0),MATCH(plot_year,'Fuel Model - Summary'!$AV$5:$BB$5,0))</f>
        <v>0</v>
      </c>
    </row>
    <row r="22" spans="2:17" ht="12.75" x14ac:dyDescent="0.2">
      <c r="D22" s="77"/>
      <c r="E22" s="77"/>
      <c r="F22" s="77"/>
      <c r="G22" s="77"/>
      <c r="H22" s="77"/>
      <c r="L22" t="s">
        <v>55</v>
      </c>
      <c r="M22" s="256">
        <f>IF(OR(M$16="LSFO",M$16="LPG"),INDEX($D$17:$J$21,MATCH(M$16,$C$17:$C$21,0),MATCH(plot_year,$D$16:$J$16,0)),0)</f>
        <v>13.444354593464393</v>
      </c>
      <c r="N22" s="256">
        <f>IF(OR(N$16="LSFO",N$16="LPG"),INDEX($D$17:$J$21,MATCH(N$16,$C$17:$C$21,0),MATCH(plot_year,$D$16:$J$16,0)),0)</f>
        <v>0</v>
      </c>
      <c r="O22" s="256">
        <f>IF(OR(O$16="LSFO",O$16="LPG"),INDEX($D$17:$J$21,MATCH(O$16,$C$17:$C$21,0),MATCH(plot_year,$D$16:$J$16,0)),0)</f>
        <v>0</v>
      </c>
      <c r="P22" s="256">
        <f>IF(OR(P$16="LSFO",P$16="LPG"),INDEX($D$17:$J$21,MATCH(P$16,$C$17:$C$21,0),MATCH(plot_year,$D$16:$J$16,0)),0)</f>
        <v>0</v>
      </c>
      <c r="Q22" s="256">
        <f>IF(OR(Q$16="LSFO",Q$16="LPG"),INDEX($D$17:$J$21,MATCH(Q$16,$C$17:$C$21,0),MATCH(plot_year,$D$16:$J$16,0)),0)</f>
        <v>0</v>
      </c>
    </row>
    <row r="23" spans="2:17" ht="12.75" x14ac:dyDescent="0.2">
      <c r="D23" s="77"/>
      <c r="E23" s="77"/>
      <c r="F23" s="77"/>
      <c r="G23" s="77"/>
      <c r="H23" s="77"/>
      <c r="L23" s="633" t="s">
        <v>47</v>
      </c>
      <c r="M23" s="752">
        <f>SUM(M17:M22)</f>
        <v>13.444354593464393</v>
      </c>
      <c r="N23" s="752">
        <f t="shared" ref="N23:Q23" si="5">SUM(N17:N22)</f>
        <v>9.7710887987989601</v>
      </c>
      <c r="O23" s="752">
        <f t="shared" si="5"/>
        <v>30.721192714813949</v>
      </c>
      <c r="P23" s="752">
        <f t="shared" si="5"/>
        <v>24.270040020865832</v>
      </c>
      <c r="Q23" s="752">
        <f t="shared" si="5"/>
        <v>27.090089113769984</v>
      </c>
    </row>
    <row r="24" spans="2:17" ht="12.75" x14ac:dyDescent="0.2">
      <c r="D24" s="77"/>
      <c r="E24" s="77"/>
      <c r="F24" s="77"/>
      <c r="G24" s="77"/>
      <c r="H24" s="77"/>
      <c r="L24" s="266"/>
      <c r="M24" s="753"/>
      <c r="N24" s="753"/>
      <c r="O24" s="753"/>
      <c r="P24" s="753"/>
      <c r="Q24" s="753"/>
    </row>
    <row r="25" spans="2:17" ht="12.75" x14ac:dyDescent="0.2">
      <c r="B25" s="266" t="s">
        <v>56</v>
      </c>
      <c r="D25" s="98"/>
      <c r="E25" s="98"/>
      <c r="F25" s="98"/>
      <c r="G25" s="98"/>
      <c r="H25" s="98"/>
      <c r="L25" s="266" t="str">
        <f>"Carbon price impact on fuel cost (USD/GJ) - at "&amp;carbon_cost_level&amp;" USD/ton CO2, ("&amp;plot_year&amp;")"</f>
        <v>Carbon price impact on fuel cost (USD/GJ) - at 0 USD/ton CO2, (2035)</v>
      </c>
    </row>
    <row r="26" spans="2:17" ht="12.75" x14ac:dyDescent="0.2">
      <c r="B26" s="729" t="s">
        <v>41</v>
      </c>
      <c r="C26" s="729" t="s">
        <v>49</v>
      </c>
      <c r="D26" s="729">
        <v>2020</v>
      </c>
      <c r="E26" s="729">
        <f>+D26+5</f>
        <v>2025</v>
      </c>
      <c r="F26" s="729">
        <f t="shared" ref="F26" si="6">+E26+5</f>
        <v>2030</v>
      </c>
      <c r="G26" s="729">
        <f t="shared" ref="G26" si="7">+F26+5</f>
        <v>2035</v>
      </c>
      <c r="H26" s="729">
        <f t="shared" ref="H26" si="8">+G26+5</f>
        <v>2040</v>
      </c>
      <c r="I26" s="729">
        <f t="shared" ref="I26" si="9">+H26+5</f>
        <v>2045</v>
      </c>
      <c r="J26" s="729">
        <f t="shared" ref="J26" si="10">+I26+5</f>
        <v>2050</v>
      </c>
      <c r="L26" s="750" t="s">
        <v>43</v>
      </c>
      <c r="M26" s="750" t="str">
        <f>MEfuel1</f>
        <v>LSFO</v>
      </c>
      <c r="N26" s="750" t="str">
        <f>MEfuel2</f>
        <v>LNG</v>
      </c>
      <c r="O26" s="750" t="str">
        <f>MEfuel3</f>
        <v>e-Ammonia</v>
      </c>
      <c r="P26" s="750" t="str">
        <f>MEfuel4</f>
        <v>Blue ammonia</v>
      </c>
      <c r="Q26" s="750" t="str">
        <f>MEfuel5</f>
        <v>Biomethanol</v>
      </c>
    </row>
    <row r="27" spans="2:17" ht="12.75" x14ac:dyDescent="0.2">
      <c r="B27" s="48">
        <v>1</v>
      </c>
      <c r="C27" t="str">
        <f>MEfuel1</f>
        <v>LSFO</v>
      </c>
      <c r="D27" s="121">
        <f>INDEX('TCO - Input'!S$450:S$471,MATCH($C27,'TCO - Input'!$F$450:$F$471,0))</f>
        <v>92.679854368932027</v>
      </c>
      <c r="E27" s="121">
        <f>INDEX('TCO - Input'!T$450:T$471,MATCH($C27,'TCO - Input'!$F$450:$F$471,0))</f>
        <v>92.679854368932027</v>
      </c>
      <c r="F27" s="121">
        <f>INDEX('TCO - Input'!U$450:U$471,MATCH($C27,'TCO - Input'!$F$450:$F$471,0))</f>
        <v>92.679854368932027</v>
      </c>
      <c r="G27" s="121">
        <f>INDEX('TCO - Input'!V$450:V$471,MATCH($C27,'TCO - Input'!$F$450:$F$471,0))</f>
        <v>92.679854368932027</v>
      </c>
      <c r="H27" s="121">
        <f>INDEX('TCO - Input'!W$450:W$471,MATCH($C27,'TCO - Input'!$F$450:$F$471,0))</f>
        <v>92.679854368932027</v>
      </c>
      <c r="I27" s="121">
        <f>INDEX('TCO - Input'!X$450:X$471,MATCH($C27,'TCO - Input'!$F$450:$F$471,0))</f>
        <v>92.679854368932027</v>
      </c>
      <c r="J27" s="121">
        <f>INDEX('TCO - Input'!Y$450:Y$471,MATCH($C27,'TCO - Input'!$F$450:$F$471,0))</f>
        <v>92.679854368932027</v>
      </c>
      <c r="L27" t="s">
        <v>57</v>
      </c>
      <c r="M27" s="256">
        <f>INDEX($D$17:$J$21,MATCH(M$26,$C$17:$C$21,0),MATCH(plot_year,$D$16:$J$16,0))</f>
        <v>13.444354593464393</v>
      </c>
      <c r="N27" s="256">
        <f>INDEX($D$17:$J$21,MATCH(N$26,$C$17:$C$21,0),MATCH(plot_year,$D$16:$J$16,0))</f>
        <v>10.624039306140117</v>
      </c>
      <c r="O27" s="256">
        <f>INDEX($D$17:$J$21,MATCH(O$26,$C$17:$C$21,0),MATCH(plot_year,$D$16:$J$16,0))</f>
        <v>31.843366273798324</v>
      </c>
      <c r="P27" s="256">
        <f>INDEX($D$17:$J$21,MATCH(P$26,$C$17:$C$21,0),MATCH(plot_year,$D$16:$J$16,0))</f>
        <v>25.392213579850207</v>
      </c>
      <c r="Q27" s="256">
        <f>INDEX($D$17:$J$21,MATCH(Q$26,$C$17:$C$21,0),MATCH(plot_year,$D$16:$J$16,0))</f>
        <v>28.106631469870184</v>
      </c>
    </row>
    <row r="28" spans="2:17" ht="12.75" x14ac:dyDescent="0.2">
      <c r="B28" s="48">
        <f>+B27+1</f>
        <v>2</v>
      </c>
      <c r="C28" t="str">
        <f>MEfuel2</f>
        <v>LNG</v>
      </c>
      <c r="D28" s="121">
        <f>INDEX('TCO - Input'!S$450:S$471,MATCH($C28,'TCO - Input'!$F$450:$F$471,0))</f>
        <v>96.507077555104573</v>
      </c>
      <c r="E28" s="121">
        <f>INDEX('TCO - Input'!T$450:T$471,MATCH($C28,'TCO - Input'!$F$450:$F$471,0))</f>
        <v>96.23903148544521</v>
      </c>
      <c r="F28" s="121">
        <f>INDEX('TCO - Input'!U$450:U$471,MATCH($C28,'TCO - Input'!$F$450:$F$471,0))</f>
        <v>96.052554952346611</v>
      </c>
      <c r="G28" s="121">
        <f>INDEX('TCO - Input'!V$450:V$471,MATCH($C28,'TCO - Input'!$F$450:$F$471,0))</f>
        <v>95.922825397122523</v>
      </c>
      <c r="H28" s="121">
        <f>INDEX('TCO - Input'!W$450:W$471,MATCH($C28,'TCO - Input'!$F$450:$F$471,0))</f>
        <v>95.832574054398677</v>
      </c>
      <c r="I28" s="121">
        <f>INDEX('TCO - Input'!X$450:X$471,MATCH($C28,'TCO - Input'!$F$450:$F$471,0))</f>
        <v>95.769787244951985</v>
      </c>
      <c r="J28" s="121">
        <f>INDEX('TCO - Input'!Y$450:Y$471,MATCH($C28,'TCO - Input'!$F$450:$F$471,0))</f>
        <v>95.726107191874462</v>
      </c>
      <c r="L28" t="s">
        <v>58</v>
      </c>
      <c r="M28" s="256">
        <f>carbon_cost_level*INDEX($D$27:$J$31,MATCH(M$26,$C$27:$C$31,0),MATCH(plot_year,$D$26:$J$26,0))/1000</f>
        <v>0</v>
      </c>
      <c r="N28" s="256">
        <f>carbon_cost_level*INDEX($D$27:$J$31,MATCH(N$26,$C$27:$C$31,0),MATCH(plot_year,$D$26:$J$26,0))/1000</f>
        <v>0</v>
      </c>
      <c r="O28" s="256">
        <f>carbon_cost_level*INDEX($D$27:$J$31,MATCH(O$26,$C$27:$C$31,0),MATCH(plot_year,$D$26:$J$26,0))/1000</f>
        <v>0</v>
      </c>
      <c r="P28" s="256">
        <f>carbon_cost_level*INDEX($D$27:$J$31,MATCH(P$26,$C$27:$C$31,0),MATCH(plot_year,$D$26:$J$26,0))/1000</f>
        <v>0</v>
      </c>
      <c r="Q28" s="256">
        <f>carbon_cost_level*INDEX($D$27:$J$31,MATCH(Q$26,$C$27:$C$31,0),MATCH(plot_year,$D$26:$J$26,0))/1000</f>
        <v>0</v>
      </c>
    </row>
    <row r="29" spans="2:17" ht="12.75" x14ac:dyDescent="0.2">
      <c r="B29" s="48">
        <f t="shared" ref="B29:B31" si="11">+B28+1</f>
        <v>3</v>
      </c>
      <c r="C29" t="str">
        <f>MEfuel3</f>
        <v>e-Ammonia</v>
      </c>
      <c r="D29" s="121">
        <f>INDEX('TCO - Input'!S$450:S$471,MATCH($C29,'TCO - Input'!$F$450:$F$471,0))</f>
        <v>4.2782878391777741</v>
      </c>
      <c r="E29" s="121">
        <f>INDEX('TCO - Input'!T$450:T$471,MATCH($C29,'TCO - Input'!$F$450:$F$471,0))</f>
        <v>3.8338523377262113</v>
      </c>
      <c r="F29" s="121">
        <f>INDEX('TCO - Input'!U$450:U$471,MATCH($C29,'TCO - Input'!$F$450:$F$471,0))</f>
        <v>3.4969302851354476</v>
      </c>
      <c r="G29" s="121">
        <f>INDEX('TCO - Input'!V$450:V$471,MATCH($C29,'TCO - Input'!$F$450:$F$471,0))</f>
        <v>3.1902808810798975</v>
      </c>
      <c r="H29" s="121">
        <f>INDEX('TCO - Input'!W$450:W$471,MATCH($C29,'TCO - Input'!$F$450:$F$471,0))</f>
        <v>2.9274882644873275</v>
      </c>
      <c r="I29" s="121">
        <f>INDEX('TCO - Input'!X$450:X$471,MATCH($C29,'TCO - Input'!$F$450:$F$471,0))</f>
        <v>2.669936659106797</v>
      </c>
      <c r="J29" s="121">
        <f>INDEX('TCO - Input'!Y$450:Y$471,MATCH($C29,'TCO - Input'!$F$450:$F$471,0))</f>
        <v>2.4763518144036567</v>
      </c>
      <c r="L29" s="633" t="s">
        <v>47</v>
      </c>
      <c r="M29" s="752">
        <f>SUM(M27:M28)</f>
        <v>13.444354593464393</v>
      </c>
      <c r="N29" s="752">
        <f t="shared" ref="N29:Q29" si="12">SUM(N27:N28)</f>
        <v>10.624039306140117</v>
      </c>
      <c r="O29" s="752">
        <f t="shared" si="12"/>
        <v>31.843366273798324</v>
      </c>
      <c r="P29" s="752">
        <f t="shared" si="12"/>
        <v>25.392213579850207</v>
      </c>
      <c r="Q29" s="752">
        <f t="shared" si="12"/>
        <v>28.106631469870184</v>
      </c>
    </row>
    <row r="30" spans="2:17" ht="12.75" x14ac:dyDescent="0.2">
      <c r="B30" s="48">
        <f t="shared" si="11"/>
        <v>4</v>
      </c>
      <c r="C30" t="str">
        <f>MEfuel4</f>
        <v>Blue ammonia</v>
      </c>
      <c r="D30" s="121">
        <f>INDEX('TCO - Input'!S$450:S$471,MATCH($C30,'TCO - Input'!$F$450:$F$471,0))</f>
        <v>23.501345970568721</v>
      </c>
      <c r="E30" s="121">
        <f>INDEX('TCO - Input'!T$450:T$471,MATCH($C30,'TCO - Input'!$F$450:$F$471,0))</f>
        <v>22.068628933470897</v>
      </c>
      <c r="F30" s="121">
        <f>INDEX('TCO - Input'!U$450:U$471,MATCH($C30,'TCO - Input'!$F$450:$F$471,0))</f>
        <v>20.767167011016767</v>
      </c>
      <c r="G30" s="121">
        <f>INDEX('TCO - Input'!V$450:V$471,MATCH($C30,'TCO - Input'!$F$450:$F$471,0))</f>
        <v>19.557017745231413</v>
      </c>
      <c r="H30" s="121">
        <f>INDEX('TCO - Input'!W$450:W$471,MATCH($C30,'TCO - Input'!$F$450:$F$471,0))</f>
        <v>18.410393632660419</v>
      </c>
      <c r="I30" s="121">
        <f>INDEX('TCO - Input'!X$450:X$471,MATCH($C30,'TCO - Input'!$F$450:$F$471,0))</f>
        <v>17.307963230338629</v>
      </c>
      <c r="J30" s="121">
        <f>INDEX('TCO - Input'!Y$450:Y$471,MATCH($C30,'TCO - Input'!$F$450:$F$471,0))</f>
        <v>16.236277878233448</v>
      </c>
    </row>
    <row r="31" spans="2:17" ht="12.75" x14ac:dyDescent="0.2">
      <c r="B31" s="48">
        <f t="shared" si="11"/>
        <v>5</v>
      </c>
      <c r="C31" t="str">
        <f>MEfuel5</f>
        <v>Biomethanol</v>
      </c>
      <c r="D31" s="121">
        <f>INDEX('TCO - Input'!S$450:S$471,MATCH($C31,'TCO - Input'!$F$450:$F$471,0))</f>
        <v>12.707638016433009</v>
      </c>
      <c r="E31" s="121">
        <f>INDEX('TCO - Input'!T$450:T$471,MATCH($C31,'TCO - Input'!$F$450:$F$471,0))</f>
        <v>10.572570706594405</v>
      </c>
      <c r="F31" s="121">
        <f>INDEX('TCO - Input'!U$450:U$471,MATCH($C31,'TCO - Input'!$F$450:$F$471,0))</f>
        <v>8.5872245680108463</v>
      </c>
      <c r="G31" s="121">
        <f>INDEX('TCO - Input'!V$450:V$471,MATCH($C31,'TCO - Input'!$F$450:$F$471,0))</f>
        <v>6.7063444568781136</v>
      </c>
      <c r="H31" s="121">
        <f>INDEX('TCO - Input'!W$450:W$471,MATCH($C31,'TCO - Input'!$F$450:$F$471,0))</f>
        <v>4.8981401460298883</v>
      </c>
      <c r="I31" s="121">
        <f>INDEX('TCO - Input'!X$450:X$471,MATCH($C31,'TCO - Input'!$F$450:$F$471,0))</f>
        <v>3.1404955441691698</v>
      </c>
      <c r="J31" s="121">
        <f>INDEX('TCO - Input'!Y$450:Y$471,MATCH($C31,'TCO - Input'!$F$450:$F$471,0))</f>
        <v>1.4180247438062281</v>
      </c>
    </row>
    <row r="32" spans="2:17" ht="12.75" x14ac:dyDescent="0.2">
      <c r="L32" s="266" t="str">
        <f>"CAPEX per fuel option in USDm, "&amp;Ves1_type&amp;" ("&amp;plot_year&amp;")"</f>
        <v>CAPEX per fuel option in USDm, Container (2035)</v>
      </c>
    </row>
    <row r="33" spans="12:19" ht="25.5" x14ac:dyDescent="0.2">
      <c r="L33" s="750" t="s">
        <v>43</v>
      </c>
      <c r="M33" s="750" t="str">
        <f>'Vessel Configurator'!C67</f>
        <v>Vessel 1 - ICE - LSFO</v>
      </c>
      <c r="N33" s="750" t="str">
        <f>'Vessel Configurator'!D67</f>
        <v>Vessel 2 - ICE - LNG</v>
      </c>
      <c r="O33" s="750" t="str">
        <f>'Vessel Configurator'!E67</f>
        <v>Vessel 3 - ICE - e-Ammonia</v>
      </c>
      <c r="P33" s="750" t="str">
        <f>'Vessel Configurator'!F67</f>
        <v>Vessel 4 - ICE - Blue ammonia</v>
      </c>
      <c r="Q33" s="750" t="str">
        <f>'Vessel Configurator'!G67</f>
        <v>Vessel 5 - ICE - Biomethanol</v>
      </c>
    </row>
    <row r="34" spans="12:19" ht="14.25" x14ac:dyDescent="0.2">
      <c r="L34" t="s">
        <v>59</v>
      </c>
      <c r="M34" s="77">
        <f ca="1">INDEX('Calculation - Summarized'!$C$7:$AR$50,MATCH($S34,'Calculation - Summarized'!$C$7:$C$50,0),MATCH(M$33&amp;" - "&amp;plot_year,'Calculation - Summarized'!$C$3:$AR$3,0))/10^6*constant_vessel_lifetime</f>
        <v>85</v>
      </c>
      <c r="N34" s="77">
        <f ca="1">INDEX('Calculation - Summarized'!$C$7:$AR$50,MATCH($S34,'Calculation - Summarized'!$C$7:$C$50,0),MATCH(N$33&amp;" - "&amp;plot_year,'Calculation - Summarized'!$C$3:$AR$3,0))/10^6*constant_vessel_lifetime</f>
        <v>85</v>
      </c>
      <c r="O34" s="77">
        <f ca="1">INDEX('Calculation - Summarized'!$C$7:$AR$50,MATCH($S34,'Calculation - Summarized'!$C$7:$C$50,0),MATCH(O$33&amp;" - "&amp;plot_year,'Calculation - Summarized'!$C$3:$AR$3,0))/10^6*constant_vessel_lifetime</f>
        <v>85</v>
      </c>
      <c r="P34" s="77">
        <f ca="1">INDEX('Calculation - Summarized'!$C$7:$AR$50,MATCH($S34,'Calculation - Summarized'!$C$7:$C$50,0),MATCH(P$33&amp;" - "&amp;plot_year,'Calculation - Summarized'!$C$3:$AR$3,0))/10^6*constant_vessel_lifetime</f>
        <v>85</v>
      </c>
      <c r="Q34" s="77">
        <f ca="1">INDEX('Calculation - Summarized'!$C$7:$AR$50,MATCH($S34,'Calculation - Summarized'!$C$7:$C$50,0),MATCH(Q$33&amp;" - "&amp;plot_year,'Calculation - Summarized'!$C$3:$AR$3,0))/10^6*constant_vessel_lifetime</f>
        <v>85</v>
      </c>
      <c r="S34" s="755" t="s">
        <v>59</v>
      </c>
    </row>
    <row r="35" spans="12:19" ht="14.25" x14ac:dyDescent="0.2">
      <c r="L35" t="s">
        <v>60</v>
      </c>
      <c r="M35" s="77">
        <f ca="1">INDEX('Calculation - Summarized'!$C$7:$AR$50,MATCH($S35,'Calculation - Summarized'!$C$7:$C$50,0),MATCH(M$33&amp;" - "&amp;plot_year,'Calculation - Summarized'!$C$3:$AR$3,0))/10^6*constant_vessel_lifetime+INDEX('Calculation - Summarized'!$C$7:$AR$50,MATCH($S36,'Calculation - Summarized'!$C$7:$C$50,0),MATCH(M$33&amp;" - "&amp;plot_year,'Calculation - Summarized'!$C$3:$AR$3,0))/10^6*constant_vessel_lifetime</f>
        <v>17.46</v>
      </c>
      <c r="N35" s="77">
        <f ca="1">INDEX('Calculation - Summarized'!$C$7:$AR$50,MATCH($S35,'Calculation - Summarized'!$C$7:$C$50,0),MATCH(N$33&amp;" - "&amp;plot_year,'Calculation - Summarized'!$C$3:$AR$3,0))/10^6*constant_vessel_lifetime+INDEX('Calculation - Summarized'!$C$7:$AR$50,MATCH($S36,'Calculation - Summarized'!$C$7:$C$50,0),MATCH(N$33&amp;" - "&amp;plot_year,'Calculation - Summarized'!$C$3:$AR$3,0))/10^6*constant_vessel_lifetime</f>
        <v>20.951999999999998</v>
      </c>
      <c r="O35" s="77">
        <f ca="1">INDEX('Calculation - Summarized'!$C$7:$AR$50,MATCH($S35,'Calculation - Summarized'!$C$7:$C$50,0),MATCH(O$33&amp;" - "&amp;plot_year,'Calculation - Summarized'!$C$3:$AR$3,0))/10^6*constant_vessel_lifetime+INDEX('Calculation - Summarized'!$C$7:$AR$50,MATCH($S36,'Calculation - Summarized'!$C$7:$C$50,0),MATCH(O$33&amp;" - "&amp;plot_year,'Calculation - Summarized'!$C$3:$AR$3,0))/10^6*constant_vessel_lifetime</f>
        <v>20.951999999999998</v>
      </c>
      <c r="P35" s="77">
        <f ca="1">INDEX('Calculation - Summarized'!$C$7:$AR$50,MATCH($S35,'Calculation - Summarized'!$C$7:$C$50,0),MATCH(P$33&amp;" - "&amp;plot_year,'Calculation - Summarized'!$C$3:$AR$3,0))/10^6*constant_vessel_lifetime+INDEX('Calculation - Summarized'!$C$7:$AR$50,MATCH($S36,'Calculation - Summarized'!$C$7:$C$50,0),MATCH(P$33&amp;" - "&amp;plot_year,'Calculation - Summarized'!$C$3:$AR$3,0))/10^6*constant_vessel_lifetime</f>
        <v>20.951999999999998</v>
      </c>
      <c r="Q35" s="77">
        <f ca="1">INDEX('Calculation - Summarized'!$C$7:$AR$50,MATCH($S35,'Calculation - Summarized'!$C$7:$C$50,0),MATCH(Q$33&amp;" - "&amp;plot_year,'Calculation - Summarized'!$C$3:$AR$3,0))/10^6*constant_vessel_lifetime+INDEX('Calculation - Summarized'!$C$7:$AR$50,MATCH($S36,'Calculation - Summarized'!$C$7:$C$50,0),MATCH(Q$33&amp;" - "&amp;plot_year,'Calculation - Summarized'!$C$3:$AR$3,0))/10^6*constant_vessel_lifetime</f>
        <v>20.951999999999998</v>
      </c>
      <c r="S35" s="755" t="s">
        <v>61</v>
      </c>
    </row>
    <row r="36" spans="12:19" ht="14.25" x14ac:dyDescent="0.2">
      <c r="L36" t="s">
        <v>62</v>
      </c>
      <c r="M36" s="77">
        <f ca="1">INDEX('Calculation - Summarized'!$C$7:$AR$50,MATCH($S37,'Calculation - Summarized'!$C$7:$C$50,0),MATCH(M$33&amp;" - "&amp;plot_year,'Calculation - Summarized'!$C$3:$AR$3,0))/10^6*constant_vessel_lifetime</f>
        <v>0</v>
      </c>
      <c r="N36" s="77">
        <f ca="1">INDEX('Calculation - Summarized'!$C$7:$AR$50,MATCH($S37,'Calculation - Summarized'!$C$7:$C$50,0),MATCH(N$33&amp;" - "&amp;plot_year,'Calculation - Summarized'!$C$3:$AR$3,0))/10^6*constant_vessel_lifetime</f>
        <v>0</v>
      </c>
      <c r="O36" s="77">
        <f ca="1">INDEX('Calculation - Summarized'!$C$7:$AR$50,MATCH($S37,'Calculation - Summarized'!$C$7:$C$50,0),MATCH(O$33&amp;" - "&amp;plot_year,'Calculation - Summarized'!$C$3:$AR$3,0))/10^6*constant_vessel_lifetime</f>
        <v>0</v>
      </c>
      <c r="P36" s="77">
        <f ca="1">INDEX('Calculation - Summarized'!$C$7:$AR$50,MATCH($S37,'Calculation - Summarized'!$C$7:$C$50,0),MATCH(P$33&amp;" - "&amp;plot_year,'Calculation - Summarized'!$C$3:$AR$3,0))/10^6*constant_vessel_lifetime</f>
        <v>0</v>
      </c>
      <c r="Q36" s="77">
        <f ca="1">INDEX('Calculation - Summarized'!$C$7:$AR$50,MATCH($S37,'Calculation - Summarized'!$C$7:$C$50,0),MATCH(Q$33&amp;" - "&amp;plot_year,'Calculation - Summarized'!$C$3:$AR$3,0))/10^6*constant_vessel_lifetime</f>
        <v>0</v>
      </c>
      <c r="S36" s="755" t="s">
        <v>63</v>
      </c>
    </row>
    <row r="37" spans="12:19" ht="14.25" x14ac:dyDescent="0.2">
      <c r="L37" t="s">
        <v>64</v>
      </c>
      <c r="M37" s="77">
        <f ca="1">INDEX('Calculation - Summarized'!$C$7:$AR$50,MATCH($S38,'Calculation - Summarized'!$C$7:$C$50,0),MATCH(M$33&amp;" - "&amp;plot_year,'Calculation - Summarized'!$C$3:$AR$3,0))/10^6*constant_vessel_lifetime+INDEX('Calculation - Summarized'!$C$7:$AR$50,MATCH($S39,'Calculation - Summarized'!$C$7:$C$50,0),MATCH(M$33&amp;" - "&amp;plot_year,'Calculation - Summarized'!$C$3:$AR$3,0))/10^6*constant_vessel_lifetime</f>
        <v>1.9750000000000001</v>
      </c>
      <c r="N37" s="77">
        <f ca="1">INDEX('Calculation - Summarized'!$C$7:$AR$50,MATCH($S38,'Calculation - Summarized'!$C$7:$C$50,0),MATCH(N$33&amp;" - "&amp;plot_year,'Calculation - Summarized'!$C$3:$AR$3,0))/10^6*constant_vessel_lifetime+INDEX('Calculation - Summarized'!$C$7:$AR$50,MATCH($S39,'Calculation - Summarized'!$C$7:$C$50,0),MATCH(N$33&amp;" - "&amp;plot_year,'Calculation - Summarized'!$C$3:$AR$3,0))/10^6*constant_vessel_lifetime</f>
        <v>23.998750000000001</v>
      </c>
      <c r="O37" s="77">
        <f ca="1">INDEX('Calculation - Summarized'!$C$7:$AR$50,MATCH($S38,'Calculation - Summarized'!$C$7:$C$50,0),MATCH(O$33&amp;" - "&amp;plot_year,'Calculation - Summarized'!$C$3:$AR$3,0))/10^6*constant_vessel_lifetime+INDEX('Calculation - Summarized'!$C$7:$AR$50,MATCH($S39,'Calculation - Summarized'!$C$7:$C$50,0),MATCH(O$33&amp;" - "&amp;plot_year,'Calculation - Summarized'!$C$3:$AR$3,0))/10^6*constant_vessel_lifetime</f>
        <v>16.868749999999999</v>
      </c>
      <c r="P37" s="77">
        <f ca="1">INDEX('Calculation - Summarized'!$C$7:$AR$50,MATCH($S38,'Calculation - Summarized'!$C$7:$C$50,0),MATCH(P$33&amp;" - "&amp;plot_year,'Calculation - Summarized'!$C$3:$AR$3,0))/10^6*constant_vessel_lifetime+INDEX('Calculation - Summarized'!$C$7:$AR$50,MATCH($S39,'Calculation - Summarized'!$C$7:$C$50,0),MATCH(P$33&amp;" - "&amp;plot_year,'Calculation - Summarized'!$C$3:$AR$3,0))/10^6*constant_vessel_lifetime</f>
        <v>16.868749999999999</v>
      </c>
      <c r="Q37" s="77">
        <f ca="1">INDEX('Calculation - Summarized'!$C$7:$AR$50,MATCH($S38,'Calculation - Summarized'!$C$7:$C$50,0),MATCH(Q$33&amp;" - "&amp;plot_year,'Calculation - Summarized'!$C$3:$AR$3,0))/10^6*constant_vessel_lifetime+INDEX('Calculation - Summarized'!$C$7:$AR$50,MATCH($S39,'Calculation - Summarized'!$C$7:$C$50,0),MATCH(Q$33&amp;" - "&amp;plot_year,'Calculation - Summarized'!$C$3:$AR$3,0))/10^6*constant_vessel_lifetime</f>
        <v>12.678749999999999</v>
      </c>
      <c r="S37" s="755" t="s">
        <v>62</v>
      </c>
    </row>
    <row r="38" spans="12:19" ht="14.25" x14ac:dyDescent="0.2">
      <c r="L38" t="s">
        <v>65</v>
      </c>
      <c r="M38" s="77">
        <f ca="1">INDEX('Calculation - Summarized'!$C$7:$AR$50,MATCH($S41,'Calculation - Summarized'!$C$7:$C$50,0),MATCH(M$33&amp;" - "&amp;plot_year,'Calculation - Summarized'!$C$3:$AR$3,0))/10^6*constant_vessel_lifetime</f>
        <v>0</v>
      </c>
      <c r="N38" s="77">
        <f ca="1">INDEX('Calculation - Summarized'!$C$7:$AR$50,MATCH($S41,'Calculation - Summarized'!$C$7:$C$50,0),MATCH(N$33&amp;" - "&amp;plot_year,'Calculation - Summarized'!$C$3:$AR$3,0))/10^6*constant_vessel_lifetime</f>
        <v>0</v>
      </c>
      <c r="O38" s="77">
        <f ca="1">INDEX('Calculation - Summarized'!$C$7:$AR$50,MATCH($S41,'Calculation - Summarized'!$C$7:$C$50,0),MATCH(O$33&amp;" - "&amp;plot_year,'Calculation - Summarized'!$C$3:$AR$3,0))/10^6*constant_vessel_lifetime</f>
        <v>0</v>
      </c>
      <c r="P38" s="77">
        <f ca="1">INDEX('Calculation - Summarized'!$C$7:$AR$50,MATCH($S41,'Calculation - Summarized'!$C$7:$C$50,0),MATCH(P$33&amp;" - "&amp;plot_year,'Calculation - Summarized'!$C$3:$AR$3,0))/10^6*constant_vessel_lifetime</f>
        <v>0</v>
      </c>
      <c r="Q38" s="77">
        <f ca="1">INDEX('Calculation - Summarized'!$C$7:$AR$50,MATCH($S41,'Calculation - Summarized'!$C$7:$C$50,0),MATCH(Q$33&amp;" - "&amp;plot_year,'Calculation - Summarized'!$C$3:$AR$3,0))/10^6*constant_vessel_lifetime</f>
        <v>0</v>
      </c>
      <c r="S38" s="755" t="s">
        <v>66</v>
      </c>
    </row>
    <row r="39" spans="12:19" ht="14.25" x14ac:dyDescent="0.2">
      <c r="L39" t="s">
        <v>67</v>
      </c>
      <c r="M39" s="77">
        <f ca="1">INDEX('Calculation - Summarized'!$C$7:$AR$50,MATCH($S40,'Calculation - Summarized'!$C$7:$C$50,0),MATCH(M$33&amp;" - "&amp;plot_year,'Calculation - Summarized'!$C$3:$AR$3,0))/10^6*constant_vessel_lifetime</f>
        <v>1.9435</v>
      </c>
      <c r="N39" s="77">
        <f ca="1">INDEX('Calculation - Summarized'!$C$7:$AR$50,MATCH($S40,'Calculation - Summarized'!$C$7:$C$50,0),MATCH(N$33&amp;" - "&amp;plot_year,'Calculation - Summarized'!$C$3:$AR$3,0))/10^6*constant_vessel_lifetime</f>
        <v>4.4950749999999999</v>
      </c>
      <c r="O39" s="77">
        <f ca="1">INDEX('Calculation - Summarized'!$C$7:$AR$50,MATCH($S40,'Calculation - Summarized'!$C$7:$C$50,0),MATCH(O$33&amp;" - "&amp;plot_year,'Calculation - Summarized'!$C$3:$AR$3,0))/10^6*constant_vessel_lifetime</f>
        <v>3.7820749999999999</v>
      </c>
      <c r="P39" s="77">
        <f ca="1">INDEX('Calculation - Summarized'!$C$7:$AR$50,MATCH($S40,'Calculation - Summarized'!$C$7:$C$50,0),MATCH(P$33&amp;" - "&amp;plot_year,'Calculation - Summarized'!$C$3:$AR$3,0))/10^6*constant_vessel_lifetime</f>
        <v>3.7820749999999999</v>
      </c>
      <c r="Q39" s="77">
        <f ca="1">INDEX('Calculation - Summarized'!$C$7:$AR$50,MATCH($S40,'Calculation - Summarized'!$C$7:$C$50,0),MATCH(Q$33&amp;" - "&amp;plot_year,'Calculation - Summarized'!$C$3:$AR$3,0))/10^6*constant_vessel_lifetime</f>
        <v>3.3630750000000003</v>
      </c>
      <c r="S39" s="755" t="s">
        <v>68</v>
      </c>
    </row>
    <row r="40" spans="12:19" ht="14.25" x14ac:dyDescent="0.2">
      <c r="L40" s="754" t="s">
        <v>47</v>
      </c>
      <c r="M40" s="751">
        <f ca="1">SUM(M34:M39)</f>
        <v>106.3785</v>
      </c>
      <c r="N40" s="751">
        <f ca="1">SUM(N34:N39)</f>
        <v>134.44582500000001</v>
      </c>
      <c r="O40" s="751">
        <f ca="1">SUM(O34:O39)</f>
        <v>126.60282500000001</v>
      </c>
      <c r="P40" s="751">
        <f ca="1">SUM(P34:P39)</f>
        <v>126.60282500000001</v>
      </c>
      <c r="Q40" s="751">
        <f ca="1">SUM(Q34:Q39)</f>
        <v>121.99382499999999</v>
      </c>
      <c r="S40" s="755" t="s">
        <v>69</v>
      </c>
    </row>
    <row r="41" spans="12:19" ht="14.25" x14ac:dyDescent="0.2">
      <c r="S41" s="755" t="s">
        <v>70</v>
      </c>
    </row>
    <row r="42" spans="12:19" ht="12.75" x14ac:dyDescent="0.2"/>
    <row r="43" spans="12:19" ht="12.75" x14ac:dyDescent="0.2">
      <c r="L43" s="266" t="str">
        <f>"OPEX per fuel option in USDm, "&amp;Ves1_type&amp;" ("&amp;plot_year&amp;")"</f>
        <v>OPEX per fuel option in USDm, Container (2035)</v>
      </c>
    </row>
    <row r="44" spans="12:19" ht="25.5" x14ac:dyDescent="0.2">
      <c r="L44" s="750" t="s">
        <v>71</v>
      </c>
      <c r="M44" s="750" t="str">
        <f>'Vessel Configurator'!C67</f>
        <v>Vessel 1 - ICE - LSFO</v>
      </c>
      <c r="N44" s="750" t="str">
        <f>'Vessel Configurator'!D67</f>
        <v>Vessel 2 - ICE - LNG</v>
      </c>
      <c r="O44" s="750" t="str">
        <f>'Vessel Configurator'!E67</f>
        <v>Vessel 3 - ICE - e-Ammonia</v>
      </c>
      <c r="P44" s="750" t="str">
        <f>'Vessel Configurator'!F67</f>
        <v>Vessel 4 - ICE - Blue ammonia</v>
      </c>
      <c r="Q44" s="750" t="str">
        <f>'Vessel Configurator'!G67</f>
        <v>Vessel 5 - ICE - Biomethanol</v>
      </c>
    </row>
    <row r="45" spans="12:19" ht="12.75" x14ac:dyDescent="0.2">
      <c r="L45" t="s">
        <v>49</v>
      </c>
      <c r="M45" s="77">
        <f ca="1">INDEX('Calculation - Summarized'!$C$7:$AR$50,MATCH($S47,'Calculation - Summarized'!$C$7:$C$50,0),MATCH(M$44&amp;" - "&amp;plot_year,'Calculation - Summarized'!$C$3:$AR$3,0))/10^6</f>
        <v>13.336176114578192</v>
      </c>
      <c r="N45" s="77">
        <f ca="1">INDEX('Calculation - Summarized'!$C$7:$AR$50,MATCH($S47,'Calculation - Summarized'!$C$7:$C$50,0),MATCH(N$44&amp;" - "&amp;plot_year,'Calculation - Summarized'!$C$3:$AR$3,0))/10^6</f>
        <v>10.356901413658825</v>
      </c>
      <c r="O45" s="77">
        <f ca="1">INDEX('Calculation - Summarized'!$C$7:$AR$50,MATCH($S47,'Calculation - Summarized'!$C$7:$C$50,0),MATCH(O$44&amp;" - "&amp;plot_year,'Calculation - Summarized'!$C$3:$AR$3,0))/10^6</f>
        <v>24.050854383311936</v>
      </c>
      <c r="P45" s="77">
        <f ca="1">INDEX('Calculation - Summarized'!$C$7:$AR$50,MATCH($S47,'Calculation - Summarized'!$C$7:$C$50,0),MATCH(P$44&amp;" - "&amp;plot_year,'Calculation - Summarized'!$C$3:$AR$3,0))/10^6</f>
        <v>24.324601371417913</v>
      </c>
      <c r="Q45" s="77">
        <f ca="1">INDEX('Calculation - Summarized'!$C$7:$AR$50,MATCH($S47,'Calculation - Summarized'!$C$7:$C$50,0),MATCH(Q$44&amp;" - "&amp;plot_year,'Calculation - Summarized'!$C$3:$AR$3,0))/10^6</f>
        <v>24.730331692154323</v>
      </c>
    </row>
    <row r="46" spans="12:19" ht="12.75" x14ac:dyDescent="0.2">
      <c r="L46" t="s">
        <v>72</v>
      </c>
      <c r="M46" s="77">
        <f>INDEX('Calculation - Summarized'!$C$7:$AR$50,MATCH($S48,'Calculation - Summarized'!$C$7:$C$50,0),MATCH(M$44&amp;" - "&amp;plot_year,'Calculation - Summarized'!$C$3:$AR$3,0))/10^6</f>
        <v>3.5</v>
      </c>
      <c r="N46" s="77">
        <f>INDEX('Calculation - Summarized'!$C$7:$AR$50,MATCH($S48,'Calculation - Summarized'!$C$7:$C$50,0),MATCH(N$44&amp;" - "&amp;plot_year,'Calculation - Summarized'!$C$3:$AR$3,0))/10^6</f>
        <v>3.5</v>
      </c>
      <c r="O46" s="77">
        <f>INDEX('Calculation - Summarized'!$C$7:$AR$50,MATCH($S48,'Calculation - Summarized'!$C$7:$C$50,0),MATCH(O$44&amp;" - "&amp;plot_year,'Calculation - Summarized'!$C$3:$AR$3,0))/10^6</f>
        <v>3.5</v>
      </c>
      <c r="P46" s="77">
        <f>INDEX('Calculation - Summarized'!$C$7:$AR$50,MATCH($S48,'Calculation - Summarized'!$C$7:$C$50,0),MATCH(P$44&amp;" - "&amp;plot_year,'Calculation - Summarized'!$C$3:$AR$3,0))/10^6</f>
        <v>3.5</v>
      </c>
      <c r="Q46" s="77">
        <f>INDEX('Calculation - Summarized'!$C$7:$AR$50,MATCH($S48,'Calculation - Summarized'!$C$7:$C$50,0),MATCH(Q$44&amp;" - "&amp;plot_year,'Calculation - Summarized'!$C$3:$AR$3,0))/10^6</f>
        <v>3.5</v>
      </c>
    </row>
    <row r="47" spans="12:19" ht="14.25" x14ac:dyDescent="0.2">
      <c r="L47" t="s">
        <v>73</v>
      </c>
      <c r="M47" s="77">
        <f ca="1">INDEX('Calculation - Summarized'!$C$7:$AR$50,MATCH($S49,'Calculation - Summarized'!$C$7:$C$50,0),MATCH(M$44&amp;" - "&amp;plot_year,'Calculation - Summarized'!$C$3:$AR$3,0))/10^6</f>
        <v>4.3513684705882349</v>
      </c>
      <c r="N47" s="77">
        <f ca="1">INDEX('Calculation - Summarized'!$C$7:$AR$50,MATCH($S49,'Calculation - Summarized'!$C$7:$C$50,0),MATCH(N$44&amp;" - "&amp;plot_year,'Calculation - Summarized'!$C$3:$AR$3,0))/10^6</f>
        <v>4.5116684705882353</v>
      </c>
      <c r="O47" s="77">
        <f ca="1">INDEX('Calculation - Summarized'!$C$7:$AR$50,MATCH($S49,'Calculation - Summarized'!$C$7:$C$50,0),MATCH(O$44&amp;" - "&amp;plot_year,'Calculation - Summarized'!$C$3:$AR$3,0))/10^6</f>
        <v>4.7621452705882348</v>
      </c>
      <c r="P47" s="77">
        <f ca="1">INDEX('Calculation - Summarized'!$C$7:$AR$50,MATCH($S49,'Calculation - Summarized'!$C$7:$C$50,0),MATCH(P$44&amp;" - "&amp;plot_year,'Calculation - Summarized'!$C$3:$AR$3,0))/10^6</f>
        <v>4.7621452705882348</v>
      </c>
      <c r="Q47" s="77">
        <f ca="1">INDEX('Calculation - Summarized'!$C$7:$AR$50,MATCH($S49,'Calculation - Summarized'!$C$7:$C$50,0),MATCH(Q$44&amp;" - "&amp;plot_year,'Calculation - Summarized'!$C$3:$AR$3,0))/10^6</f>
        <v>4.3788684705882348</v>
      </c>
      <c r="S47" s="755" t="s">
        <v>74</v>
      </c>
    </row>
    <row r="48" spans="12:19" ht="14.25" x14ac:dyDescent="0.2">
      <c r="L48" t="s">
        <v>75</v>
      </c>
      <c r="M48" s="77">
        <f ca="1">INDEX('Calculation - Summarized'!$C$7:$AR$50,MATCH($S50,'Calculation - Summarized'!$C$7:$C$50,0),MATCH(M$44&amp;" - "&amp;plot_year,'Calculation - Summarized'!$C$3:$AR$3,0))/10^6</f>
        <v>0</v>
      </c>
      <c r="N48" s="77">
        <f ca="1">INDEX('Calculation - Summarized'!$C$7:$AR$50,MATCH($S50,'Calculation - Summarized'!$C$7:$C$50,0),MATCH(N$44&amp;" - "&amp;plot_year,'Calculation - Summarized'!$C$3:$AR$3,0))/10^6</f>
        <v>0</v>
      </c>
      <c r="O48" s="77">
        <f ca="1">INDEX('Calculation - Summarized'!$C$7:$AR$50,MATCH($S50,'Calculation - Summarized'!$C$7:$C$50,0),MATCH(O$44&amp;" - "&amp;plot_year,'Calculation - Summarized'!$C$3:$AR$3,0))/10^6</f>
        <v>0</v>
      </c>
      <c r="P48" s="77">
        <f ca="1">INDEX('Calculation - Summarized'!$C$7:$AR$50,MATCH($S50,'Calculation - Summarized'!$C$7:$C$50,0),MATCH(P$44&amp;" - "&amp;plot_year,'Calculation - Summarized'!$C$3:$AR$3,0))/10^6</f>
        <v>0</v>
      </c>
      <c r="Q48" s="77">
        <f ca="1">INDEX('Calculation - Summarized'!$C$7:$AR$50,MATCH($S50,'Calculation - Summarized'!$C$7:$C$50,0),MATCH(Q$44&amp;" - "&amp;plot_year,'Calculation - Summarized'!$C$3:$AR$3,0))/10^6</f>
        <v>0</v>
      </c>
      <c r="S48" s="755" t="s">
        <v>76</v>
      </c>
    </row>
    <row r="49" spans="12:19" ht="14.25" x14ac:dyDescent="0.2">
      <c r="L49" t="s">
        <v>77</v>
      </c>
      <c r="M49" s="77">
        <f ca="1">INDEX('Calculation - Summarized'!$C$7:$AR$50,MATCH($S51,'Calculation - Summarized'!$C$7:$C$50,0),MATCH(M$44&amp;" - "&amp;plot_year,'Calculation - Summarized'!$C$3:$AR$3,0))/10^6</f>
        <v>0</v>
      </c>
      <c r="N49" s="77">
        <f ca="1">INDEX('Calculation - Summarized'!$C$7:$AR$50,MATCH($S51,'Calculation - Summarized'!$C$7:$C$50,0),MATCH(N$44&amp;" - "&amp;plot_year,'Calculation - Summarized'!$C$3:$AR$3,0))/10^6</f>
        <v>0.27000000000000013</v>
      </c>
      <c r="O49" s="77">
        <f ca="1">INDEX('Calculation - Summarized'!$C$7:$AR$50,MATCH($S51,'Calculation - Summarized'!$C$7:$C$50,0),MATCH(O$44&amp;" - "&amp;plot_year,'Calculation - Summarized'!$C$3:$AR$3,0))/10^6</f>
        <v>0</v>
      </c>
      <c r="P49" s="77">
        <f ca="1">INDEX('Calculation - Summarized'!$C$7:$AR$50,MATCH($S51,'Calculation - Summarized'!$C$7:$C$50,0),MATCH(P$44&amp;" - "&amp;plot_year,'Calculation - Summarized'!$C$3:$AR$3,0))/10^6</f>
        <v>0</v>
      </c>
      <c r="Q49" s="77">
        <f ca="1">INDEX('Calculation - Summarized'!$C$7:$AR$50,MATCH($S51,'Calculation - Summarized'!$C$7:$C$50,0),MATCH(Q$44&amp;" - "&amp;plot_year,'Calculation - Summarized'!$C$3:$AR$3,0))/10^6</f>
        <v>0</v>
      </c>
      <c r="S49" s="755" t="s">
        <v>78</v>
      </c>
    </row>
    <row r="50" spans="12:19" ht="14.25" x14ac:dyDescent="0.2">
      <c r="L50" t="s">
        <v>79</v>
      </c>
      <c r="M50" s="77">
        <f ca="1">INDEX('Calculation - Summarized'!$C$7:$AR$50,MATCH($S52,'Calculation - Summarized'!$C$7:$C$50,0),MATCH(M$44&amp;" - "&amp;plot_year,'Calculation - Summarized'!$C$3:$AR$3,0))/10^6</f>
        <v>0</v>
      </c>
      <c r="N50" s="77">
        <f ca="1">INDEX('Calculation - Summarized'!$C$7:$AR$50,MATCH($S52,'Calculation - Summarized'!$C$7:$C$50,0),MATCH(N$44&amp;" - "&amp;plot_year,'Calculation - Summarized'!$C$3:$AR$3,0))/10^6</f>
        <v>0</v>
      </c>
      <c r="O50" s="77">
        <f ca="1">INDEX('Calculation - Summarized'!$C$7:$AR$50,MATCH($S52,'Calculation - Summarized'!$C$7:$C$50,0),MATCH(O$44&amp;" - "&amp;plot_year,'Calculation - Summarized'!$C$3:$AR$3,0))/10^6</f>
        <v>0</v>
      </c>
      <c r="P50" s="77">
        <f ca="1">INDEX('Calculation - Summarized'!$C$7:$AR$50,MATCH($S52,'Calculation - Summarized'!$C$7:$C$50,0),MATCH(P$44&amp;" - "&amp;plot_year,'Calculation - Summarized'!$C$3:$AR$3,0))/10^6</f>
        <v>0</v>
      </c>
      <c r="Q50" s="77">
        <f ca="1">INDEX('Calculation - Summarized'!$C$7:$AR$50,MATCH($S52,'Calculation - Summarized'!$C$7:$C$50,0),MATCH(Q$44&amp;" - "&amp;plot_year,'Calculation - Summarized'!$C$3:$AR$3,0))/10^6</f>
        <v>0</v>
      </c>
      <c r="S50" s="755" t="s">
        <v>75</v>
      </c>
    </row>
    <row r="51" spans="12:19" ht="14.25" x14ac:dyDescent="0.2">
      <c r="L51" s="633" t="s">
        <v>47</v>
      </c>
      <c r="M51" s="751">
        <f ca="1">SUM(M45:M50)</f>
        <v>21.187544585166428</v>
      </c>
      <c r="N51" s="751">
        <f t="shared" ref="N51:Q51" ca="1" si="13">SUM(N45:N50)</f>
        <v>18.638569884247058</v>
      </c>
      <c r="O51" s="751">
        <f t="shared" ca="1" si="13"/>
        <v>32.312999653900171</v>
      </c>
      <c r="P51" s="751">
        <f t="shared" ca="1" si="13"/>
        <v>32.586746642006148</v>
      </c>
      <c r="Q51" s="751">
        <f t="shared" ca="1" si="13"/>
        <v>32.60920016274256</v>
      </c>
      <c r="S51" s="755" t="s">
        <v>80</v>
      </c>
    </row>
    <row r="52" spans="12:19" ht="14.25" x14ac:dyDescent="0.2">
      <c r="S52" s="755" t="s">
        <v>81</v>
      </c>
    </row>
    <row r="53" spans="12:19" ht="12.75" x14ac:dyDescent="0.2"/>
    <row r="54" spans="12:19" ht="12.75" x14ac:dyDescent="0.2"/>
    <row r="55" spans="12:19" ht="12.75" x14ac:dyDescent="0.2"/>
    <row r="56" spans="12:19" ht="12.75" x14ac:dyDescent="0.2"/>
    <row r="57" spans="12:19" ht="12.75" x14ac:dyDescent="0.2"/>
    <row r="58" spans="12:19" ht="12.75" x14ac:dyDescent="0.2"/>
    <row r="59" spans="12:19" ht="12.75" x14ac:dyDescent="0.2"/>
    <row r="60" spans="12:19" ht="12.75" x14ac:dyDescent="0.2"/>
    <row r="61" spans="12:19" ht="12.75" x14ac:dyDescent="0.2"/>
    <row r="62" spans="12:19" ht="12.75" x14ac:dyDescent="0.2"/>
    <row r="63" spans="12:19" ht="12.75" x14ac:dyDescent="0.2"/>
    <row r="64" spans="12:19"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row r="78" ht="12.75" x14ac:dyDescent="0.2"/>
    <row r="79" ht="12.75" customHeight="1" x14ac:dyDescent="0.2"/>
    <row r="80" ht="12.75" customHeight="1" x14ac:dyDescent="0.2"/>
  </sheetData>
  <pageMargins left="0.7" right="0.7" top="0.75" bottom="0.75" header="0.3" footer="0.3"/>
  <headerFooter>
    <oddFooter>&amp;C_x000D_&amp;1#&amp;"Calibri"&amp;10&amp;K000000 Business External</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C44A5-A60B-4B4D-8DD6-E755C7351D96}">
  <sheetPr codeName="Sheet3">
    <tabColor theme="3"/>
  </sheetPr>
  <dimension ref="A1:AE205"/>
  <sheetViews>
    <sheetView showGridLines="0" zoomScaleNormal="100" workbookViewId="0"/>
  </sheetViews>
  <sheetFormatPr defaultColWidth="0" defaultRowHeight="14.25" zeroHeight="1" outlineLevelRow="1" x14ac:dyDescent="0.2"/>
  <cols>
    <col min="1" max="1" width="3.42578125" style="29" customWidth="1"/>
    <col min="2" max="2" width="39.140625" style="29" customWidth="1"/>
    <col min="3" max="7" width="27.7109375" style="29" customWidth="1"/>
    <col min="8" max="8" width="3" style="29" customWidth="1"/>
    <col min="9" max="9" width="16.42578125" style="29" customWidth="1"/>
    <col min="10" max="12" width="30.5703125" style="29" customWidth="1"/>
    <col min="13" max="13" width="9.140625" style="29" customWidth="1"/>
    <col min="14" max="14" width="25.140625" style="29" customWidth="1"/>
    <col min="15" max="15" width="5.5703125" style="29" customWidth="1"/>
    <col min="16" max="16" width="51.85546875" style="29" hidden="1" customWidth="1"/>
    <col min="17" max="18" width="9.5703125" style="29" hidden="1" customWidth="1"/>
    <col min="19" max="19" width="9.140625" style="29" hidden="1" customWidth="1"/>
    <col min="20" max="20" width="3" style="29" hidden="1" customWidth="1"/>
    <col min="21" max="26" width="9.140625" style="29" hidden="1" customWidth="1"/>
    <col min="27" max="27" width="25.140625" style="29" hidden="1" customWidth="1"/>
    <col min="28" max="28" width="9.140625" style="29" hidden="1" customWidth="1"/>
    <col min="29" max="29" width="3.42578125" style="29" hidden="1" customWidth="1"/>
    <col min="30" max="30" width="17.85546875" style="29" hidden="1" customWidth="1"/>
    <col min="31" max="31" width="8" style="29" hidden="1" customWidth="1"/>
    <col min="32" max="16384" width="11.42578125" style="29" hidden="1"/>
  </cols>
  <sheetData>
    <row r="1" spans="1:26" s="157" customFormat="1" ht="15" thickBot="1" x14ac:dyDescent="0.25">
      <c r="A1" s="127"/>
      <c r="B1" s="128"/>
      <c r="C1" s="128"/>
      <c r="D1" s="128"/>
      <c r="E1" s="128"/>
      <c r="F1" s="128"/>
      <c r="G1" s="128"/>
      <c r="I1" s="128"/>
      <c r="J1" s="128"/>
      <c r="K1" s="128"/>
      <c r="L1" s="128"/>
    </row>
    <row r="2" spans="1:26" s="157" customFormat="1" ht="28.35" customHeight="1" thickBot="1" x14ac:dyDescent="0.3">
      <c r="A2" s="127"/>
      <c r="B2" s="714" t="s">
        <v>82</v>
      </c>
      <c r="C2" s="714"/>
      <c r="D2" s="714"/>
      <c r="E2" s="714"/>
      <c r="F2" s="714"/>
      <c r="G2" s="715"/>
      <c r="I2" s="158" t="s">
        <v>83</v>
      </c>
      <c r="L2" s="128"/>
    </row>
    <row r="3" spans="1:26" s="157" customFormat="1" ht="28.35" customHeight="1" x14ac:dyDescent="0.2">
      <c r="A3" s="127"/>
      <c r="B3" s="159" t="s">
        <v>82</v>
      </c>
      <c r="C3" s="160" t="s">
        <v>84</v>
      </c>
      <c r="D3" s="161" t="s">
        <v>85</v>
      </c>
      <c r="E3" s="161" t="s">
        <v>86</v>
      </c>
      <c r="F3" s="717" t="s">
        <v>87</v>
      </c>
      <c r="G3" s="718"/>
      <c r="I3" s="716">
        <v>2035</v>
      </c>
      <c r="L3" s="128"/>
    </row>
    <row r="4" spans="1:26" s="157" customFormat="1" ht="28.35" customHeight="1" x14ac:dyDescent="0.2">
      <c r="A4" s="127"/>
      <c r="B4" s="162" t="s">
        <v>88</v>
      </c>
      <c r="C4" s="163" t="s">
        <v>89</v>
      </c>
      <c r="D4" s="164">
        <v>0</v>
      </c>
      <c r="E4" s="165" t="s">
        <v>90</v>
      </c>
      <c r="F4" s="166" t="s">
        <v>91</v>
      </c>
      <c r="G4" s="167"/>
      <c r="I4" s="168">
        <f>MATCH(C4,'Configurator Specs.'!$C$29:$C$30,0)</f>
        <v>1</v>
      </c>
      <c r="J4" s="128"/>
      <c r="K4" s="128"/>
      <c r="L4" s="128"/>
    </row>
    <row r="5" spans="1:26" s="157" customFormat="1" ht="28.35" customHeight="1" x14ac:dyDescent="0.2">
      <c r="A5" s="127"/>
      <c r="B5" s="169" t="s">
        <v>92</v>
      </c>
      <c r="C5" s="170">
        <v>0</v>
      </c>
      <c r="D5" s="171"/>
      <c r="E5" s="171"/>
      <c r="F5" s="172" t="s">
        <v>93</v>
      </c>
      <c r="G5" s="173"/>
      <c r="I5" s="168"/>
      <c r="J5" s="128"/>
      <c r="K5" s="128"/>
      <c r="L5" s="128"/>
    </row>
    <row r="6" spans="1:26" s="157" customFormat="1" ht="28.35" customHeight="1" x14ac:dyDescent="0.2">
      <c r="A6" s="127"/>
      <c r="B6" s="162" t="s">
        <v>94</v>
      </c>
      <c r="C6" s="163" t="s">
        <v>1664</v>
      </c>
      <c r="D6" s="174"/>
      <c r="E6" s="165"/>
      <c r="F6" s="166" t="str" cm="1">
        <f t="array" ref="F6">INDEX('Configurator Specs.'!$D$34:$D$36,index_swing_eletricity)</f>
        <v>Critical lever on - reducing electricity cost further</v>
      </c>
      <c r="G6" s="167"/>
      <c r="I6" s="168">
        <f>MATCH(C6,'Configurator Specs.'!$C$34:$C$37,0)</f>
        <v>2</v>
      </c>
      <c r="J6" s="128"/>
      <c r="K6" s="128"/>
      <c r="L6" s="128"/>
    </row>
    <row r="7" spans="1:26" s="157" customFormat="1" ht="28.35" customHeight="1" x14ac:dyDescent="0.2">
      <c r="A7" s="127"/>
      <c r="B7" s="169" t="s">
        <v>96</v>
      </c>
      <c r="C7" s="175" t="s">
        <v>95</v>
      </c>
      <c r="D7" s="171"/>
      <c r="E7" s="171"/>
      <c r="F7" s="172" t="str" cm="1">
        <f t="array" ref="F7">INDEX('Configurator Specs.'!$D$40:$D$42,index_fuelCell_swing)</f>
        <v>Eff. grows from 50-60% in 2050, CAPEX reduces -1% p.a.</v>
      </c>
      <c r="G7" s="173"/>
      <c r="I7" s="168">
        <f>MATCH(C7,'Configurator Specs.'!$C$40:$C$42,0)</f>
        <v>1</v>
      </c>
      <c r="J7" s="128"/>
      <c r="K7" s="128"/>
      <c r="L7" s="128"/>
    </row>
    <row r="8" spans="1:26" s="157" customFormat="1" ht="28.35" customHeight="1" x14ac:dyDescent="0.2">
      <c r="A8" s="127"/>
      <c r="B8" s="176" t="s">
        <v>97</v>
      </c>
      <c r="C8" s="177" t="s">
        <v>95</v>
      </c>
      <c r="D8" s="178"/>
      <c r="E8" s="178"/>
      <c r="F8" s="179" t="str" cm="1">
        <f t="array" ref="F8">INDEX('Configurator Specs.'!$D$61:$D$64,index_swing_oilprice)</f>
        <v>Forward curve on oil price from June 2021</v>
      </c>
      <c r="G8" s="180"/>
      <c r="I8" s="168">
        <f>MATCH(C8,'Configurator Specs.'!$C$61:$C$64,0)</f>
        <v>1</v>
      </c>
      <c r="J8" s="128"/>
      <c r="K8" s="128"/>
      <c r="L8" s="128"/>
    </row>
    <row r="9" spans="1:26" s="157" customFormat="1" ht="28.35" customHeight="1" thickBot="1" x14ac:dyDescent="0.25">
      <c r="A9" s="127"/>
      <c r="B9" s="129"/>
      <c r="C9" s="129"/>
      <c r="D9" s="129"/>
      <c r="E9" s="129"/>
      <c r="F9" s="130"/>
      <c r="G9" s="129"/>
      <c r="I9" s="29"/>
      <c r="J9" s="128"/>
      <c r="K9" s="128"/>
      <c r="L9" s="128"/>
    </row>
    <row r="10" spans="1:26" s="157" customFormat="1" ht="28.35" customHeight="1" thickBot="1" x14ac:dyDescent="0.25">
      <c r="A10" s="127"/>
      <c r="B10" s="128"/>
      <c r="C10" s="128"/>
      <c r="D10" s="128"/>
      <c r="E10" s="128"/>
      <c r="F10" s="128"/>
      <c r="G10" s="128"/>
      <c r="I10" s="128"/>
      <c r="J10" s="128"/>
      <c r="K10" s="128"/>
      <c r="L10" s="128"/>
    </row>
    <row r="11" spans="1:26" ht="28.35" customHeight="1" thickBot="1" x14ac:dyDescent="0.25">
      <c r="B11" s="714" t="s">
        <v>98</v>
      </c>
      <c r="C11" s="714"/>
      <c r="D11" s="714"/>
      <c r="E11" s="714"/>
      <c r="F11" s="714"/>
      <c r="G11" s="715"/>
      <c r="H11" s="157"/>
      <c r="S11" s="157"/>
      <c r="T11" s="157"/>
      <c r="U11" s="157"/>
      <c r="V11" s="157"/>
      <c r="W11" s="157"/>
      <c r="X11" s="157"/>
      <c r="Y11" s="157"/>
      <c r="Z11" s="157"/>
    </row>
    <row r="12" spans="1:26" ht="28.35" customHeight="1" x14ac:dyDescent="0.2">
      <c r="B12" s="181"/>
      <c r="C12" s="182" t="s">
        <v>99</v>
      </c>
      <c r="D12" s="183" t="s">
        <v>100</v>
      </c>
      <c r="E12" s="183" t="s">
        <v>101</v>
      </c>
      <c r="F12" s="183" t="s">
        <v>102</v>
      </c>
      <c r="G12" s="184" t="s">
        <v>103</v>
      </c>
      <c r="H12" s="157"/>
      <c r="S12" s="157"/>
      <c r="T12" s="157"/>
      <c r="U12" s="157"/>
      <c r="V12" s="157"/>
      <c r="W12" s="157"/>
      <c r="X12" s="157"/>
      <c r="Y12" s="157"/>
      <c r="Z12" s="157"/>
    </row>
    <row r="13" spans="1:26" ht="28.35" customHeight="1" x14ac:dyDescent="0.2">
      <c r="B13" s="185" t="s">
        <v>104</v>
      </c>
      <c r="C13" s="163" t="s">
        <v>105</v>
      </c>
      <c r="D13" s="186" t="str">
        <f t="shared" ref="D13:G15" si="0">C13</f>
        <v>Container</v>
      </c>
      <c r="E13" s="186" t="str">
        <f t="shared" si="0"/>
        <v>Container</v>
      </c>
      <c r="F13" s="186" t="str">
        <f t="shared" si="0"/>
        <v>Container</v>
      </c>
      <c r="G13" s="187" t="str">
        <f t="shared" si="0"/>
        <v>Container</v>
      </c>
      <c r="H13" s="157"/>
      <c r="S13" s="157"/>
      <c r="T13" s="157"/>
      <c r="U13" s="157"/>
      <c r="V13" s="157"/>
      <c r="W13" s="157"/>
      <c r="X13" s="157"/>
      <c r="Y13" s="157"/>
      <c r="Z13" s="157"/>
    </row>
    <row r="14" spans="1:26" ht="28.35" customHeight="1" x14ac:dyDescent="0.2">
      <c r="B14" s="188" t="s">
        <v>106</v>
      </c>
      <c r="C14" s="189" t="s">
        <v>107</v>
      </c>
      <c r="D14" s="190" t="str">
        <f t="shared" si="0"/>
        <v>Medium</v>
      </c>
      <c r="E14" s="190" t="str">
        <f t="shared" si="0"/>
        <v>Medium</v>
      </c>
      <c r="F14" s="190" t="str">
        <f t="shared" si="0"/>
        <v>Medium</v>
      </c>
      <c r="G14" s="191" t="str">
        <f t="shared" si="0"/>
        <v>Medium</v>
      </c>
      <c r="H14" s="157"/>
      <c r="S14" s="157"/>
      <c r="T14" s="157"/>
      <c r="U14" s="157"/>
      <c r="V14" s="157"/>
      <c r="W14" s="157"/>
      <c r="X14" s="157"/>
      <c r="Y14" s="157"/>
      <c r="Z14" s="157"/>
    </row>
    <row r="15" spans="1:26" ht="28.35" customHeight="1" x14ac:dyDescent="0.2">
      <c r="A15" s="131"/>
      <c r="B15" s="188" t="s">
        <v>108</v>
      </c>
      <c r="C15" s="189" t="s">
        <v>109</v>
      </c>
      <c r="D15" s="190" t="str">
        <f t="shared" si="0"/>
        <v>Global</v>
      </c>
      <c r="E15" s="190" t="str">
        <f t="shared" si="0"/>
        <v>Global</v>
      </c>
      <c r="F15" s="190" t="str">
        <f t="shared" si="0"/>
        <v>Global</v>
      </c>
      <c r="G15" s="191" t="str">
        <f t="shared" si="0"/>
        <v>Global</v>
      </c>
      <c r="H15" s="157"/>
      <c r="S15" s="157"/>
      <c r="T15" s="157"/>
      <c r="U15" s="157"/>
      <c r="V15" s="157"/>
      <c r="W15" s="157"/>
      <c r="X15" s="157"/>
      <c r="Y15" s="157"/>
      <c r="Z15" s="157"/>
    </row>
    <row r="16" spans="1:26" ht="28.35" customHeight="1" x14ac:dyDescent="0.2">
      <c r="A16" s="131"/>
      <c r="B16" s="192" t="s">
        <v>110</v>
      </c>
      <c r="C16" s="175">
        <v>0</v>
      </c>
      <c r="D16" s="193">
        <f>$C$16</f>
        <v>0</v>
      </c>
      <c r="E16" s="193">
        <f>$C$16</f>
        <v>0</v>
      </c>
      <c r="F16" s="193">
        <f>$C$16</f>
        <v>0</v>
      </c>
      <c r="G16" s="194">
        <f>$C$16</f>
        <v>0</v>
      </c>
      <c r="H16" s="157"/>
      <c r="S16" s="157"/>
      <c r="T16" s="157"/>
      <c r="U16" s="157"/>
      <c r="V16" s="157"/>
      <c r="W16" s="157"/>
      <c r="X16" s="157"/>
      <c r="Y16" s="157"/>
      <c r="Z16" s="157"/>
    </row>
    <row r="17" spans="1:26" ht="28.35" customHeight="1" x14ac:dyDescent="0.2">
      <c r="B17" s="185" t="s">
        <v>111</v>
      </c>
      <c r="C17" s="163" t="s">
        <v>112</v>
      </c>
      <c r="D17" s="163" t="s">
        <v>113</v>
      </c>
      <c r="E17" s="163" t="s">
        <v>115</v>
      </c>
      <c r="F17" s="163" t="s">
        <v>115</v>
      </c>
      <c r="G17" s="195" t="s">
        <v>114</v>
      </c>
      <c r="H17" s="157"/>
      <c r="S17" s="157"/>
      <c r="T17" s="157"/>
      <c r="U17" s="157"/>
      <c r="V17" s="157"/>
      <c r="W17" s="157"/>
      <c r="X17" s="157"/>
      <c r="Y17" s="157"/>
      <c r="Z17" s="157"/>
    </row>
    <row r="18" spans="1:26" ht="28.35" customHeight="1" x14ac:dyDescent="0.2">
      <c r="B18" s="196" t="s">
        <v>116</v>
      </c>
      <c r="C18" s="189" t="s">
        <v>117</v>
      </c>
      <c r="D18" s="189" t="s">
        <v>528</v>
      </c>
      <c r="E18" s="189" t="s">
        <v>121</v>
      </c>
      <c r="F18" s="189" t="s">
        <v>120</v>
      </c>
      <c r="G18" s="197" t="s">
        <v>586</v>
      </c>
      <c r="H18" s="157"/>
      <c r="S18" s="157"/>
      <c r="T18" s="157"/>
      <c r="U18" s="157"/>
      <c r="V18" s="157"/>
      <c r="W18" s="157"/>
      <c r="X18" s="157"/>
      <c r="Y18" s="157"/>
      <c r="Z18" s="157"/>
    </row>
    <row r="19" spans="1:26" ht="28.35" customHeight="1" x14ac:dyDescent="0.2">
      <c r="B19" s="196" t="s">
        <v>122</v>
      </c>
      <c r="C19" s="189" t="s">
        <v>117</v>
      </c>
      <c r="D19" s="189" t="s">
        <v>117</v>
      </c>
      <c r="E19" s="189" t="s">
        <v>123</v>
      </c>
      <c r="F19" s="189" t="s">
        <v>123</v>
      </c>
      <c r="G19" s="197" t="s">
        <v>123</v>
      </c>
      <c r="H19" s="157"/>
      <c r="S19" s="157"/>
      <c r="T19" s="157"/>
      <c r="U19" s="157"/>
      <c r="V19" s="157"/>
      <c r="W19" s="157"/>
      <c r="X19" s="157"/>
      <c r="Y19" s="157"/>
      <c r="Z19" s="157"/>
    </row>
    <row r="20" spans="1:26" ht="28.35" customHeight="1" x14ac:dyDescent="0.2">
      <c r="B20" s="198" t="s">
        <v>124</v>
      </c>
      <c r="C20" s="170">
        <v>1</v>
      </c>
      <c r="D20" s="170">
        <v>0.99</v>
      </c>
      <c r="E20" s="170">
        <v>0.95</v>
      </c>
      <c r="F20" s="170">
        <v>0.95</v>
      </c>
      <c r="G20" s="199">
        <v>0.95</v>
      </c>
      <c r="H20" s="157"/>
      <c r="S20" s="157"/>
      <c r="T20" s="157"/>
      <c r="U20" s="157"/>
      <c r="V20" s="157"/>
      <c r="W20" s="157"/>
      <c r="X20" s="157"/>
      <c r="Y20" s="157"/>
      <c r="Z20" s="157"/>
    </row>
    <row r="21" spans="1:26" ht="28.35" customHeight="1" x14ac:dyDescent="0.2">
      <c r="B21" s="185" t="s">
        <v>125</v>
      </c>
      <c r="C21" s="163" t="str">
        <f>C17</f>
        <v>ICE HFO</v>
      </c>
      <c r="D21" s="163" t="str">
        <f>D17</f>
        <v>ICE LNG</v>
      </c>
      <c r="E21" s="163" t="str">
        <f t="shared" ref="E21:G21" si="1">E17</f>
        <v>ICE Ammonia</v>
      </c>
      <c r="F21" s="163" t="str">
        <f t="shared" si="1"/>
        <v>ICE Ammonia</v>
      </c>
      <c r="G21" s="163" t="str">
        <f t="shared" si="1"/>
        <v>ICE Methanol</v>
      </c>
      <c r="H21" s="157"/>
      <c r="S21" s="157"/>
      <c r="T21" s="157"/>
      <c r="U21" s="157"/>
      <c r="V21" s="157"/>
      <c r="W21" s="157"/>
      <c r="X21" s="157"/>
      <c r="Y21" s="157"/>
      <c r="Z21" s="157"/>
    </row>
    <row r="22" spans="1:26" ht="28.35" customHeight="1" x14ac:dyDescent="0.2">
      <c r="B22" s="198" t="s">
        <v>126</v>
      </c>
      <c r="C22" s="175" t="str">
        <f t="shared" ref="C22:F22" si="2">C18</f>
        <v>LSFO</v>
      </c>
      <c r="D22" s="175" t="str">
        <f t="shared" si="2"/>
        <v>LNG</v>
      </c>
      <c r="E22" s="175" t="str">
        <f t="shared" si="2"/>
        <v>e-Ammonia</v>
      </c>
      <c r="F22" s="175" t="str">
        <f t="shared" si="2"/>
        <v>Blue ammonia</v>
      </c>
      <c r="G22" s="200" t="str">
        <f>G18</f>
        <v>Biomethanol</v>
      </c>
      <c r="H22" s="157"/>
      <c r="S22" s="157"/>
      <c r="T22" s="157"/>
      <c r="U22" s="157"/>
      <c r="V22" s="157"/>
      <c r="W22" s="157"/>
      <c r="X22" s="157"/>
      <c r="Y22" s="157"/>
      <c r="Z22" s="157"/>
    </row>
    <row r="23" spans="1:26" ht="28.35" customHeight="1" x14ac:dyDescent="0.2">
      <c r="B23" s="185" t="s">
        <v>127</v>
      </c>
      <c r="C23" s="163" t="str">
        <f t="shared" ref="C23:F23" si="3">C18</f>
        <v>LSFO</v>
      </c>
      <c r="D23" s="163" t="str">
        <f t="shared" si="3"/>
        <v>LNG</v>
      </c>
      <c r="E23" s="163" t="str">
        <f t="shared" si="3"/>
        <v>e-Ammonia</v>
      </c>
      <c r="F23" s="163" t="str">
        <f t="shared" si="3"/>
        <v>Blue ammonia</v>
      </c>
      <c r="G23" s="195" t="str">
        <f>G18</f>
        <v>Biomethanol</v>
      </c>
      <c r="H23" s="157"/>
      <c r="S23" s="157"/>
      <c r="T23" s="157"/>
      <c r="U23" s="157"/>
      <c r="V23" s="157"/>
      <c r="W23" s="157"/>
      <c r="X23" s="157"/>
      <c r="Y23" s="157"/>
      <c r="Z23" s="157"/>
    </row>
    <row r="24" spans="1:26" ht="28.35" customHeight="1" x14ac:dyDescent="0.2">
      <c r="B24" s="201" t="s">
        <v>128</v>
      </c>
      <c r="C24" s="177" t="s">
        <v>129</v>
      </c>
      <c r="D24" s="202" t="str">
        <f>$C$24</f>
        <v>WTW</v>
      </c>
      <c r="E24" s="202" t="str">
        <f>$C$24</f>
        <v>WTW</v>
      </c>
      <c r="F24" s="202" t="str">
        <f>$C$24</f>
        <v>WTW</v>
      </c>
      <c r="G24" s="203" t="str">
        <f>$C$24</f>
        <v>WTW</v>
      </c>
      <c r="H24" s="157"/>
      <c r="I24" s="83"/>
      <c r="S24" s="157"/>
      <c r="T24" s="157"/>
      <c r="U24" s="157"/>
      <c r="V24" s="157"/>
      <c r="W24" s="157"/>
      <c r="X24" s="157"/>
      <c r="Y24" s="157"/>
      <c r="Z24" s="157"/>
    </row>
    <row r="25" spans="1:26" ht="28.35" customHeight="1" thickBot="1" x14ac:dyDescent="0.25">
      <c r="B25" s="129"/>
      <c r="C25" s="129"/>
      <c r="D25" s="129"/>
      <c r="E25" s="129"/>
      <c r="F25" s="129"/>
      <c r="G25" s="129"/>
      <c r="H25" s="157"/>
      <c r="I25" s="83"/>
      <c r="S25" s="157"/>
      <c r="T25" s="157"/>
      <c r="U25" s="157"/>
      <c r="V25" s="157"/>
      <c r="W25" s="157"/>
      <c r="X25" s="157"/>
      <c r="Y25" s="157"/>
      <c r="Z25" s="157"/>
    </row>
    <row r="26" spans="1:26" ht="28.35" customHeight="1" thickBot="1" x14ac:dyDescent="0.25">
      <c r="B26" s="132"/>
      <c r="C26" s="133"/>
      <c r="I26" s="83"/>
    </row>
    <row r="27" spans="1:26" ht="28.35" customHeight="1" thickBot="1" x14ac:dyDescent="0.3">
      <c r="A27" s="30"/>
      <c r="B27" s="714" t="s">
        <v>130</v>
      </c>
      <c r="C27" s="714"/>
      <c r="D27" s="714"/>
      <c r="E27" s="714"/>
      <c r="F27" s="714"/>
      <c r="G27" s="715"/>
      <c r="H27" s="134"/>
      <c r="I27" s="83"/>
      <c r="M27" s="131"/>
      <c r="P27" s="134"/>
      <c r="Q27" s="134"/>
      <c r="R27" s="134"/>
      <c r="S27" s="134"/>
      <c r="T27" s="134"/>
      <c r="U27" s="134"/>
      <c r="V27" s="134"/>
      <c r="W27" s="134"/>
      <c r="X27" s="134"/>
      <c r="Y27" s="134"/>
      <c r="Z27" s="134"/>
    </row>
    <row r="28" spans="1:26" ht="28.35" customHeight="1" x14ac:dyDescent="0.2">
      <c r="B28" s="181" t="s">
        <v>131</v>
      </c>
      <c r="C28" s="722" t="s">
        <v>99</v>
      </c>
      <c r="D28" s="722" t="s">
        <v>100</v>
      </c>
      <c r="E28" s="722" t="s">
        <v>101</v>
      </c>
      <c r="F28" s="722" t="s">
        <v>102</v>
      </c>
      <c r="G28" s="724" t="s">
        <v>103</v>
      </c>
      <c r="H28" s="134"/>
      <c r="M28" s="134"/>
      <c r="N28" s="134"/>
      <c r="O28" s="134"/>
      <c r="P28" s="134"/>
      <c r="Q28" s="134"/>
      <c r="R28" s="134"/>
      <c r="S28" s="134"/>
      <c r="T28" s="134"/>
      <c r="U28" s="134"/>
      <c r="V28" s="134"/>
      <c r="W28" s="134"/>
      <c r="X28" s="134"/>
      <c r="Y28" s="134"/>
      <c r="Z28" s="134"/>
    </row>
    <row r="29" spans="1:26" ht="28.35" customHeight="1" x14ac:dyDescent="0.2">
      <c r="B29" s="204" t="s">
        <v>132</v>
      </c>
      <c r="C29" s="723" t="s">
        <v>133</v>
      </c>
      <c r="D29" s="723" t="s">
        <v>133</v>
      </c>
      <c r="E29" s="723" t="s">
        <v>133</v>
      </c>
      <c r="F29" s="723" t="s">
        <v>133</v>
      </c>
      <c r="G29" s="725" t="s">
        <v>133</v>
      </c>
      <c r="H29" s="134"/>
      <c r="M29" s="134"/>
      <c r="N29" s="134"/>
      <c r="O29" s="134"/>
      <c r="P29" s="134"/>
      <c r="Q29" s="134"/>
      <c r="R29" s="134"/>
      <c r="S29" s="134"/>
      <c r="T29" s="134"/>
      <c r="U29" s="134"/>
      <c r="V29" s="134"/>
      <c r="W29" s="134"/>
      <c r="X29" s="134"/>
      <c r="Y29" s="134"/>
      <c r="Z29" s="134"/>
    </row>
    <row r="30" spans="1:26" ht="28.35" customHeight="1" x14ac:dyDescent="0.25">
      <c r="A30" s="30"/>
      <c r="B30" s="205" t="s">
        <v>134</v>
      </c>
      <c r="C30" s="135" t="s">
        <v>138</v>
      </c>
      <c r="D30" s="135" t="s">
        <v>138</v>
      </c>
      <c r="E30" s="135" t="s">
        <v>138</v>
      </c>
      <c r="F30" s="135" t="s">
        <v>138</v>
      </c>
      <c r="G30" s="135" t="s">
        <v>138</v>
      </c>
      <c r="H30" s="134"/>
      <c r="J30" s="134"/>
      <c r="K30" s="134"/>
      <c r="L30" s="134"/>
      <c r="M30" s="134"/>
      <c r="N30" s="134"/>
      <c r="O30" s="134"/>
      <c r="P30" s="134"/>
      <c r="Q30" s="134"/>
      <c r="R30" s="134"/>
      <c r="S30" s="134"/>
      <c r="T30" s="134"/>
      <c r="U30" s="134"/>
      <c r="V30" s="134"/>
      <c r="W30" s="134"/>
    </row>
    <row r="31" spans="1:26" ht="28.35" customHeight="1" x14ac:dyDescent="0.25">
      <c r="A31" s="30"/>
      <c r="B31" s="206" t="s">
        <v>136</v>
      </c>
      <c r="C31" s="719" t="s">
        <v>138</v>
      </c>
      <c r="D31" s="719" t="s">
        <v>138</v>
      </c>
      <c r="E31" s="719" t="s">
        <v>138</v>
      </c>
      <c r="F31" s="719" t="s">
        <v>138</v>
      </c>
      <c r="G31" s="719" t="s">
        <v>138</v>
      </c>
      <c r="H31" s="134"/>
      <c r="J31" s="134"/>
      <c r="K31" s="134"/>
      <c r="L31" s="134"/>
      <c r="M31" s="134"/>
      <c r="N31" s="134"/>
      <c r="O31" s="134"/>
      <c r="P31" s="134"/>
      <c r="Q31" s="134"/>
      <c r="R31" s="134"/>
      <c r="S31" s="134"/>
      <c r="T31" s="134"/>
      <c r="U31" s="134"/>
      <c r="V31" s="134"/>
      <c r="W31" s="134"/>
    </row>
    <row r="32" spans="1:26" ht="28.35" customHeight="1" x14ac:dyDescent="0.25">
      <c r="A32" s="30"/>
      <c r="B32" s="206" t="s">
        <v>137</v>
      </c>
      <c r="C32" s="719" t="s">
        <v>138</v>
      </c>
      <c r="D32" s="719" t="s">
        <v>138</v>
      </c>
      <c r="E32" s="719" t="s">
        <v>138</v>
      </c>
      <c r="F32" s="719" t="s">
        <v>138</v>
      </c>
      <c r="G32" s="719" t="s">
        <v>138</v>
      </c>
      <c r="H32" s="134"/>
      <c r="J32" s="134"/>
      <c r="K32" s="134"/>
      <c r="L32" s="134"/>
      <c r="M32" s="134"/>
      <c r="N32" s="134"/>
      <c r="O32" s="134"/>
      <c r="P32" s="134"/>
      <c r="Q32" s="134"/>
      <c r="R32" s="134"/>
      <c r="S32" s="134"/>
      <c r="T32" s="134"/>
      <c r="U32" s="134"/>
      <c r="V32" s="134"/>
      <c r="W32" s="134"/>
    </row>
    <row r="33" spans="1:23" ht="28.35" customHeight="1" x14ac:dyDescent="0.25">
      <c r="A33" s="30"/>
      <c r="B33" s="206" t="s">
        <v>139</v>
      </c>
      <c r="C33" s="719" t="s">
        <v>138</v>
      </c>
      <c r="D33" s="719" t="s">
        <v>138</v>
      </c>
      <c r="E33" s="719" t="s">
        <v>138</v>
      </c>
      <c r="F33" s="719" t="s">
        <v>138</v>
      </c>
      <c r="G33" s="719" t="s">
        <v>138</v>
      </c>
      <c r="H33" s="134"/>
      <c r="J33" s="134"/>
      <c r="K33" s="134"/>
      <c r="L33" s="134"/>
      <c r="M33" s="134"/>
      <c r="N33" s="134"/>
      <c r="O33" s="134"/>
      <c r="P33" s="134"/>
      <c r="Q33" s="134"/>
      <c r="R33" s="134"/>
      <c r="S33" s="134"/>
      <c r="T33" s="134"/>
      <c r="U33" s="134"/>
      <c r="V33" s="134"/>
      <c r="W33" s="134"/>
    </row>
    <row r="34" spans="1:23" ht="28.35" customHeight="1" x14ac:dyDescent="0.25">
      <c r="A34" s="30"/>
      <c r="B34" s="206" t="s">
        <v>140</v>
      </c>
      <c r="C34" s="719" t="s">
        <v>138</v>
      </c>
      <c r="D34" s="719" t="s">
        <v>138</v>
      </c>
      <c r="E34" s="719" t="s">
        <v>138</v>
      </c>
      <c r="F34" s="719" t="s">
        <v>138</v>
      </c>
      <c r="G34" s="719" t="s">
        <v>138</v>
      </c>
      <c r="H34" s="134"/>
      <c r="J34" s="134"/>
      <c r="K34" s="134"/>
      <c r="L34" s="134"/>
      <c r="M34" s="134"/>
      <c r="N34" s="134"/>
      <c r="O34" s="134"/>
      <c r="P34" s="134"/>
      <c r="Q34" s="134"/>
      <c r="R34" s="134"/>
      <c r="S34" s="134"/>
      <c r="T34" s="134"/>
      <c r="U34" s="134"/>
      <c r="V34" s="134"/>
      <c r="W34" s="134"/>
    </row>
    <row r="35" spans="1:23" ht="28.35" customHeight="1" x14ac:dyDescent="0.25">
      <c r="A35" s="30"/>
      <c r="B35" s="206" t="s">
        <v>141</v>
      </c>
      <c r="C35" s="719" t="s">
        <v>138</v>
      </c>
      <c r="D35" s="719" t="s">
        <v>138</v>
      </c>
      <c r="E35" s="719" t="s">
        <v>138</v>
      </c>
      <c r="F35" s="719" t="s">
        <v>138</v>
      </c>
      <c r="G35" s="719" t="s">
        <v>138</v>
      </c>
      <c r="H35" s="134"/>
      <c r="J35" s="134"/>
      <c r="K35" s="134"/>
      <c r="L35" s="134"/>
      <c r="M35" s="134"/>
      <c r="N35" s="134"/>
      <c r="O35" s="134"/>
      <c r="P35" s="134"/>
      <c r="Q35" s="134"/>
      <c r="R35" s="134"/>
      <c r="S35" s="134"/>
      <c r="T35" s="134"/>
      <c r="U35" s="134"/>
      <c r="V35" s="134"/>
      <c r="W35" s="134"/>
    </row>
    <row r="36" spans="1:23" ht="28.35" customHeight="1" x14ac:dyDescent="0.25">
      <c r="A36" s="30"/>
      <c r="B36" s="206" t="s">
        <v>142</v>
      </c>
      <c r="C36" s="719" t="s">
        <v>138</v>
      </c>
      <c r="D36" s="719" t="s">
        <v>138</v>
      </c>
      <c r="E36" s="719" t="s">
        <v>138</v>
      </c>
      <c r="F36" s="719" t="s">
        <v>138</v>
      </c>
      <c r="G36" s="719" t="s">
        <v>138</v>
      </c>
      <c r="H36" s="134"/>
      <c r="J36" s="134"/>
      <c r="K36" s="134"/>
      <c r="L36" s="134"/>
      <c r="M36" s="134"/>
      <c r="N36" s="134"/>
      <c r="O36" s="134"/>
      <c r="P36" s="134"/>
      <c r="Q36" s="134"/>
      <c r="R36" s="134"/>
      <c r="S36" s="134"/>
      <c r="T36" s="134"/>
      <c r="U36" s="134"/>
      <c r="V36" s="134"/>
      <c r="W36" s="134"/>
    </row>
    <row r="37" spans="1:23" ht="28.35" customHeight="1" x14ac:dyDescent="0.25">
      <c r="A37" s="30"/>
      <c r="B37" s="206" t="s">
        <v>143</v>
      </c>
      <c r="C37" s="719" t="s">
        <v>138</v>
      </c>
      <c r="D37" s="719" t="s">
        <v>138</v>
      </c>
      <c r="E37" s="719" t="s">
        <v>138</v>
      </c>
      <c r="F37" s="719" t="s">
        <v>138</v>
      </c>
      <c r="G37" s="719" t="s">
        <v>138</v>
      </c>
      <c r="H37" s="134"/>
      <c r="J37" s="134"/>
      <c r="K37" s="134"/>
      <c r="L37" s="134"/>
      <c r="M37" s="134"/>
      <c r="N37" s="134"/>
      <c r="O37" s="134"/>
      <c r="P37" s="134"/>
      <c r="Q37" s="134"/>
      <c r="R37" s="134"/>
      <c r="S37" s="134"/>
      <c r="T37" s="134"/>
      <c r="U37" s="134"/>
      <c r="V37" s="134"/>
      <c r="W37" s="134"/>
    </row>
    <row r="38" spans="1:23" ht="28.35" customHeight="1" x14ac:dyDescent="0.25">
      <c r="A38" s="30"/>
      <c r="B38" s="206" t="s">
        <v>144</v>
      </c>
      <c r="C38" s="719" t="s">
        <v>138</v>
      </c>
      <c r="D38" s="719" t="s">
        <v>138</v>
      </c>
      <c r="E38" s="719" t="s">
        <v>138</v>
      </c>
      <c r="F38" s="719" t="s">
        <v>138</v>
      </c>
      <c r="G38" s="719" t="s">
        <v>138</v>
      </c>
      <c r="H38" s="134"/>
      <c r="J38" s="134"/>
      <c r="K38" s="134"/>
      <c r="L38" s="134"/>
      <c r="M38" s="134"/>
      <c r="N38" s="134"/>
      <c r="O38" s="134"/>
      <c r="P38" s="134"/>
      <c r="Q38" s="134"/>
      <c r="R38" s="134"/>
      <c r="S38" s="134"/>
      <c r="T38" s="134"/>
      <c r="U38" s="134"/>
      <c r="V38" s="134"/>
      <c r="W38" s="134"/>
    </row>
    <row r="39" spans="1:23" ht="28.35" customHeight="1" x14ac:dyDescent="0.25">
      <c r="A39" s="30"/>
      <c r="B39" s="206" t="s">
        <v>145</v>
      </c>
      <c r="C39" s="719" t="s">
        <v>138</v>
      </c>
      <c r="D39" s="719" t="s">
        <v>138</v>
      </c>
      <c r="E39" s="719" t="s">
        <v>138</v>
      </c>
      <c r="F39" s="719" t="s">
        <v>138</v>
      </c>
      <c r="G39" s="719" t="s">
        <v>138</v>
      </c>
      <c r="H39" s="134"/>
      <c r="J39" s="134"/>
      <c r="K39" s="134"/>
      <c r="L39" s="134"/>
      <c r="M39" s="134"/>
      <c r="N39" s="134"/>
      <c r="O39" s="134"/>
      <c r="P39" s="134"/>
      <c r="Q39" s="134"/>
      <c r="R39" s="134"/>
      <c r="S39" s="134"/>
      <c r="T39" s="134"/>
      <c r="U39" s="134"/>
      <c r="V39" s="134"/>
      <c r="W39" s="134"/>
    </row>
    <row r="40" spans="1:23" ht="28.35" customHeight="1" x14ac:dyDescent="0.25">
      <c r="A40" s="30"/>
      <c r="B40" s="206" t="s">
        <v>146</v>
      </c>
      <c r="C40" s="719" t="s">
        <v>138</v>
      </c>
      <c r="D40" s="719" t="s">
        <v>138</v>
      </c>
      <c r="E40" s="719" t="s">
        <v>138</v>
      </c>
      <c r="F40" s="719" t="s">
        <v>138</v>
      </c>
      <c r="G40" s="719" t="s">
        <v>138</v>
      </c>
      <c r="H40" s="134"/>
      <c r="J40" s="134"/>
      <c r="K40" s="134"/>
      <c r="L40" s="134"/>
      <c r="M40" s="134"/>
      <c r="N40" s="134"/>
      <c r="O40" s="134"/>
      <c r="P40" s="134"/>
      <c r="Q40" s="134"/>
      <c r="R40" s="134"/>
      <c r="S40" s="134"/>
      <c r="T40" s="134"/>
      <c r="U40" s="134"/>
      <c r="V40" s="134"/>
      <c r="W40" s="134"/>
    </row>
    <row r="41" spans="1:23" ht="28.35" customHeight="1" x14ac:dyDescent="0.25">
      <c r="A41" s="30"/>
      <c r="B41" s="206" t="s">
        <v>147</v>
      </c>
      <c r="C41" s="719" t="s">
        <v>138</v>
      </c>
      <c r="D41" s="719" t="s">
        <v>138</v>
      </c>
      <c r="E41" s="719" t="s">
        <v>138</v>
      </c>
      <c r="F41" s="719" t="s">
        <v>138</v>
      </c>
      <c r="G41" s="719" t="s">
        <v>138</v>
      </c>
      <c r="H41" s="134"/>
      <c r="J41" s="134"/>
      <c r="K41" s="134"/>
      <c r="L41" s="134"/>
      <c r="M41" s="134"/>
      <c r="N41" s="134"/>
      <c r="O41" s="134"/>
      <c r="P41" s="134"/>
      <c r="Q41" s="134"/>
      <c r="R41" s="134"/>
      <c r="S41" s="134"/>
      <c r="T41" s="134"/>
      <c r="U41" s="134"/>
      <c r="V41" s="134"/>
      <c r="W41" s="134"/>
    </row>
    <row r="42" spans="1:23" ht="28.35" customHeight="1" x14ac:dyDescent="0.25">
      <c r="A42" s="30"/>
      <c r="B42" s="206" t="s">
        <v>148</v>
      </c>
      <c r="C42" s="719" t="s">
        <v>138</v>
      </c>
      <c r="D42" s="719" t="s">
        <v>138</v>
      </c>
      <c r="E42" s="719" t="s">
        <v>138</v>
      </c>
      <c r="F42" s="719" t="s">
        <v>138</v>
      </c>
      <c r="G42" s="719" t="s">
        <v>138</v>
      </c>
      <c r="H42" s="134"/>
      <c r="J42" s="134"/>
      <c r="K42" s="134"/>
      <c r="L42" s="134"/>
      <c r="M42" s="134"/>
      <c r="N42" s="134"/>
      <c r="O42" s="134"/>
      <c r="P42" s="134"/>
      <c r="Q42" s="134"/>
      <c r="R42" s="134"/>
      <c r="S42" s="134"/>
      <c r="T42" s="134"/>
      <c r="U42" s="134"/>
      <c r="V42" s="134"/>
      <c r="W42" s="134"/>
    </row>
    <row r="43" spans="1:23" ht="28.35" customHeight="1" x14ac:dyDescent="0.25">
      <c r="A43" s="30"/>
      <c r="B43" s="206" t="s">
        <v>149</v>
      </c>
      <c r="C43" s="719" t="s">
        <v>138</v>
      </c>
      <c r="D43" s="719" t="s">
        <v>138</v>
      </c>
      <c r="E43" s="719" t="s">
        <v>138</v>
      </c>
      <c r="F43" s="719" t="s">
        <v>138</v>
      </c>
      <c r="G43" s="719" t="s">
        <v>138</v>
      </c>
      <c r="H43" s="134"/>
      <c r="J43" s="134"/>
      <c r="K43" s="134"/>
      <c r="L43" s="134"/>
      <c r="M43" s="134"/>
      <c r="N43" s="134"/>
      <c r="O43" s="134"/>
      <c r="P43" s="134"/>
      <c r="Q43" s="134"/>
      <c r="R43" s="134"/>
      <c r="S43" s="134"/>
      <c r="T43" s="134"/>
      <c r="U43" s="134"/>
      <c r="V43" s="134"/>
      <c r="W43" s="134"/>
    </row>
    <row r="44" spans="1:23" ht="28.35" customHeight="1" x14ac:dyDescent="0.25">
      <c r="A44" s="30"/>
      <c r="B44" s="206" t="s">
        <v>150</v>
      </c>
      <c r="C44" s="719" t="s">
        <v>138</v>
      </c>
      <c r="D44" s="719" t="s">
        <v>138</v>
      </c>
      <c r="E44" s="719" t="s">
        <v>138</v>
      </c>
      <c r="F44" s="719" t="s">
        <v>138</v>
      </c>
      <c r="G44" s="719" t="s">
        <v>138</v>
      </c>
      <c r="H44" s="134"/>
      <c r="J44" s="134"/>
      <c r="K44" s="134"/>
      <c r="L44" s="134"/>
      <c r="M44" s="134"/>
      <c r="N44" s="134"/>
      <c r="O44" s="134"/>
      <c r="P44" s="134"/>
      <c r="Q44" s="134"/>
      <c r="R44" s="134"/>
      <c r="S44" s="134"/>
      <c r="T44" s="134"/>
      <c r="U44" s="134"/>
      <c r="V44" s="134"/>
      <c r="W44" s="134"/>
    </row>
    <row r="45" spans="1:23" ht="28.35" customHeight="1" x14ac:dyDescent="0.25">
      <c r="A45" s="30"/>
      <c r="B45" s="206" t="s">
        <v>151</v>
      </c>
      <c r="C45" s="719" t="s">
        <v>138</v>
      </c>
      <c r="D45" s="719" t="s">
        <v>138</v>
      </c>
      <c r="E45" s="719" t="s">
        <v>138</v>
      </c>
      <c r="F45" s="719" t="s">
        <v>138</v>
      </c>
      <c r="G45" s="719" t="s">
        <v>138</v>
      </c>
      <c r="H45" s="134"/>
      <c r="J45" s="134"/>
      <c r="K45" s="134"/>
      <c r="L45" s="134"/>
      <c r="M45" s="134"/>
      <c r="N45" s="134"/>
      <c r="O45" s="134"/>
      <c r="P45" s="134"/>
      <c r="Q45" s="134"/>
      <c r="R45" s="134"/>
      <c r="S45" s="134"/>
      <c r="T45" s="134"/>
      <c r="U45" s="134"/>
      <c r="V45" s="134"/>
      <c r="W45" s="134"/>
    </row>
    <row r="46" spans="1:23" ht="28.35" customHeight="1" x14ac:dyDescent="0.25">
      <c r="A46" s="30"/>
      <c r="B46" s="206" t="s">
        <v>152</v>
      </c>
      <c r="C46" s="719" t="s">
        <v>138</v>
      </c>
      <c r="D46" s="719" t="s">
        <v>138</v>
      </c>
      <c r="E46" s="719" t="s">
        <v>138</v>
      </c>
      <c r="F46" s="719" t="s">
        <v>138</v>
      </c>
      <c r="G46" s="719" t="s">
        <v>138</v>
      </c>
      <c r="H46" s="134"/>
      <c r="J46" s="134"/>
      <c r="K46" s="134"/>
      <c r="L46" s="134"/>
      <c r="M46" s="134"/>
      <c r="N46" s="134"/>
      <c r="O46" s="134"/>
      <c r="P46" s="134"/>
      <c r="Q46" s="134"/>
      <c r="R46" s="134"/>
      <c r="S46" s="134"/>
      <c r="T46" s="134"/>
      <c r="U46" s="134"/>
      <c r="V46" s="134"/>
      <c r="W46" s="134"/>
    </row>
    <row r="47" spans="1:23" ht="28.35" customHeight="1" x14ac:dyDescent="0.25">
      <c r="A47" s="30"/>
      <c r="B47" s="206" t="s">
        <v>153</v>
      </c>
      <c r="C47" s="719" t="s">
        <v>138</v>
      </c>
      <c r="D47" s="719" t="s">
        <v>138</v>
      </c>
      <c r="E47" s="719" t="s">
        <v>138</v>
      </c>
      <c r="F47" s="719" t="s">
        <v>138</v>
      </c>
      <c r="G47" s="719" t="s">
        <v>138</v>
      </c>
      <c r="H47" s="134"/>
      <c r="J47" s="134"/>
      <c r="K47" s="134"/>
      <c r="L47" s="134"/>
      <c r="M47" s="134"/>
      <c r="N47" s="134"/>
      <c r="O47" s="134"/>
      <c r="P47" s="134"/>
      <c r="Q47" s="134"/>
      <c r="R47" s="134"/>
      <c r="S47" s="134"/>
      <c r="T47" s="134"/>
      <c r="U47" s="134"/>
      <c r="V47" s="134"/>
      <c r="W47" s="134"/>
    </row>
    <row r="48" spans="1:23" ht="28.35" customHeight="1" x14ac:dyDescent="0.25">
      <c r="A48" s="30"/>
      <c r="B48" s="206" t="s">
        <v>154</v>
      </c>
      <c r="C48" s="719" t="s">
        <v>138</v>
      </c>
      <c r="D48" s="719" t="s">
        <v>138</v>
      </c>
      <c r="E48" s="719" t="s">
        <v>138</v>
      </c>
      <c r="F48" s="719" t="s">
        <v>138</v>
      </c>
      <c r="G48" s="719" t="s">
        <v>138</v>
      </c>
      <c r="H48" s="134"/>
      <c r="J48" s="134"/>
      <c r="K48" s="134"/>
      <c r="L48" s="134"/>
      <c r="M48" s="134"/>
      <c r="N48" s="134"/>
      <c r="O48" s="134"/>
      <c r="P48" s="134"/>
      <c r="Q48" s="134"/>
      <c r="R48" s="134"/>
      <c r="S48" s="134"/>
      <c r="T48" s="134"/>
      <c r="U48" s="134"/>
      <c r="V48" s="134"/>
      <c r="W48" s="134"/>
    </row>
    <row r="49" spans="1:23" ht="28.35" customHeight="1" x14ac:dyDescent="0.25">
      <c r="A49" s="30"/>
      <c r="B49" s="207" t="s">
        <v>155</v>
      </c>
      <c r="C49" s="719" t="s">
        <v>138</v>
      </c>
      <c r="D49" s="719" t="s">
        <v>138</v>
      </c>
      <c r="E49" s="719" t="s">
        <v>138</v>
      </c>
      <c r="F49" s="719" t="s">
        <v>138</v>
      </c>
      <c r="G49" s="719" t="s">
        <v>138</v>
      </c>
      <c r="H49" s="134"/>
      <c r="J49" s="134"/>
      <c r="K49" s="134"/>
      <c r="L49" s="134"/>
      <c r="M49" s="134"/>
      <c r="N49" s="134"/>
      <c r="O49" s="134"/>
      <c r="P49" s="134"/>
      <c r="Q49" s="134"/>
      <c r="R49" s="134"/>
      <c r="S49" s="134"/>
      <c r="T49" s="134"/>
      <c r="U49" s="134"/>
      <c r="V49" s="134"/>
      <c r="W49" s="134"/>
    </row>
    <row r="50" spans="1:23" ht="28.35" customHeight="1" x14ac:dyDescent="0.2">
      <c r="B50" s="205" t="s">
        <v>156</v>
      </c>
      <c r="C50" s="721" t="s">
        <v>138</v>
      </c>
      <c r="D50" s="721" t="s">
        <v>138</v>
      </c>
      <c r="E50" s="721" t="s">
        <v>138</v>
      </c>
      <c r="F50" s="721" t="s">
        <v>138</v>
      </c>
      <c r="G50" s="721" t="s">
        <v>138</v>
      </c>
    </row>
    <row r="51" spans="1:23" ht="28.35" customHeight="1" x14ac:dyDescent="0.2">
      <c r="B51" s="206" t="s">
        <v>157</v>
      </c>
      <c r="C51" s="719" t="s">
        <v>138</v>
      </c>
      <c r="D51" s="719" t="s">
        <v>138</v>
      </c>
      <c r="E51" s="719" t="s">
        <v>138</v>
      </c>
      <c r="F51" s="719" t="s">
        <v>138</v>
      </c>
      <c r="G51" s="719" t="s">
        <v>138</v>
      </c>
    </row>
    <row r="52" spans="1:23" ht="28.35" customHeight="1" x14ac:dyDescent="0.2">
      <c r="B52" s="206" t="s">
        <v>158</v>
      </c>
      <c r="C52" s="719" t="s">
        <v>138</v>
      </c>
      <c r="D52" s="719" t="s">
        <v>138</v>
      </c>
      <c r="E52" s="719" t="s">
        <v>138</v>
      </c>
      <c r="F52" s="719" t="s">
        <v>138</v>
      </c>
      <c r="G52" s="719" t="s">
        <v>138</v>
      </c>
    </row>
    <row r="53" spans="1:23" ht="28.35" customHeight="1" x14ac:dyDescent="0.2">
      <c r="B53" s="206" t="s">
        <v>159</v>
      </c>
      <c r="C53" s="719" t="s">
        <v>138</v>
      </c>
      <c r="D53" s="719" t="s">
        <v>138</v>
      </c>
      <c r="E53" s="719" t="s">
        <v>138</v>
      </c>
      <c r="F53" s="719" t="s">
        <v>138</v>
      </c>
      <c r="G53" s="719" t="s">
        <v>138</v>
      </c>
    </row>
    <row r="54" spans="1:23" ht="28.35" customHeight="1" x14ac:dyDescent="0.2">
      <c r="B54" s="206" t="s">
        <v>160</v>
      </c>
      <c r="C54" s="719" t="s">
        <v>138</v>
      </c>
      <c r="D54" s="719" t="s">
        <v>138</v>
      </c>
      <c r="E54" s="719" t="s">
        <v>138</v>
      </c>
      <c r="F54" s="719" t="s">
        <v>138</v>
      </c>
      <c r="G54" s="719" t="s">
        <v>138</v>
      </c>
    </row>
    <row r="55" spans="1:23" ht="28.35" customHeight="1" x14ac:dyDescent="0.2">
      <c r="B55" s="206" t="s">
        <v>161</v>
      </c>
      <c r="C55" s="719" t="s">
        <v>138</v>
      </c>
      <c r="D55" s="719" t="s">
        <v>138</v>
      </c>
      <c r="E55" s="719" t="s">
        <v>138</v>
      </c>
      <c r="F55" s="719" t="s">
        <v>138</v>
      </c>
      <c r="G55" s="719" t="s">
        <v>138</v>
      </c>
    </row>
    <row r="56" spans="1:23" ht="28.35" customHeight="1" x14ac:dyDescent="0.2">
      <c r="B56" s="206" t="s">
        <v>162</v>
      </c>
      <c r="C56" s="719" t="s">
        <v>138</v>
      </c>
      <c r="D56" s="719" t="s">
        <v>138</v>
      </c>
      <c r="E56" s="719" t="s">
        <v>138</v>
      </c>
      <c r="F56" s="719" t="s">
        <v>138</v>
      </c>
      <c r="G56" s="719" t="s">
        <v>138</v>
      </c>
    </row>
    <row r="57" spans="1:23" ht="28.35" customHeight="1" x14ac:dyDescent="0.2">
      <c r="B57" s="206" t="s">
        <v>163</v>
      </c>
      <c r="C57" s="719" t="s">
        <v>138</v>
      </c>
      <c r="D57" s="719" t="s">
        <v>138</v>
      </c>
      <c r="E57" s="719" t="s">
        <v>138</v>
      </c>
      <c r="F57" s="719" t="s">
        <v>138</v>
      </c>
      <c r="G57" s="719" t="s">
        <v>138</v>
      </c>
    </row>
    <row r="58" spans="1:23" ht="28.35" customHeight="1" x14ac:dyDescent="0.2">
      <c r="B58" s="206" t="s">
        <v>164</v>
      </c>
      <c r="C58" s="719" t="s">
        <v>138</v>
      </c>
      <c r="D58" s="719" t="s">
        <v>138</v>
      </c>
      <c r="E58" s="719" t="s">
        <v>138</v>
      </c>
      <c r="F58" s="719" t="s">
        <v>138</v>
      </c>
      <c r="G58" s="719" t="s">
        <v>138</v>
      </c>
    </row>
    <row r="59" spans="1:23" ht="28.35" customHeight="1" x14ac:dyDescent="0.2">
      <c r="B59" s="207" t="s">
        <v>165</v>
      </c>
      <c r="C59" s="719" t="s">
        <v>138</v>
      </c>
      <c r="D59" s="719" t="s">
        <v>138</v>
      </c>
      <c r="E59" s="719" t="s">
        <v>138</v>
      </c>
      <c r="F59" s="719" t="s">
        <v>138</v>
      </c>
      <c r="G59" s="719" t="s">
        <v>138</v>
      </c>
    </row>
    <row r="60" spans="1:23" ht="28.35" customHeight="1" x14ac:dyDescent="0.2">
      <c r="B60" s="208" t="s">
        <v>166</v>
      </c>
      <c r="C60" s="721" t="s">
        <v>138</v>
      </c>
      <c r="D60" s="721" t="s">
        <v>138</v>
      </c>
      <c r="E60" s="721" t="s">
        <v>138</v>
      </c>
      <c r="F60" s="721" t="s">
        <v>138</v>
      </c>
      <c r="G60" s="721" t="s">
        <v>138</v>
      </c>
    </row>
    <row r="61" spans="1:23" ht="28.35" customHeight="1" x14ac:dyDescent="0.2">
      <c r="B61" s="206" t="s">
        <v>167</v>
      </c>
      <c r="C61" s="719" t="s">
        <v>138</v>
      </c>
      <c r="D61" s="719" t="s">
        <v>138</v>
      </c>
      <c r="E61" s="719" t="s">
        <v>138</v>
      </c>
      <c r="F61" s="719" t="s">
        <v>138</v>
      </c>
      <c r="G61" s="719" t="s">
        <v>138</v>
      </c>
    </row>
    <row r="62" spans="1:23" ht="28.35" customHeight="1" x14ac:dyDescent="0.25">
      <c r="A62" s="30"/>
      <c r="B62" s="207" t="s">
        <v>168</v>
      </c>
      <c r="C62" s="720" t="s">
        <v>138</v>
      </c>
      <c r="D62" s="720" t="s">
        <v>138</v>
      </c>
      <c r="E62" s="720" t="s">
        <v>138</v>
      </c>
      <c r="F62" s="720" t="s">
        <v>138</v>
      </c>
      <c r="G62" s="720" t="s">
        <v>138</v>
      </c>
      <c r="H62" s="134"/>
      <c r="J62" s="134"/>
      <c r="K62" s="134"/>
      <c r="L62" s="134"/>
      <c r="M62" s="134"/>
      <c r="N62" s="134"/>
      <c r="O62" s="134"/>
      <c r="P62" s="134"/>
      <c r="Q62" s="134"/>
      <c r="R62" s="134"/>
      <c r="S62" s="134"/>
      <c r="T62" s="134"/>
      <c r="U62" s="134"/>
      <c r="V62" s="134"/>
      <c r="W62" s="134"/>
    </row>
    <row r="63" spans="1:23" x14ac:dyDescent="0.2"/>
    <row r="64" spans="1:23" x14ac:dyDescent="0.2"/>
    <row r="65" spans="2:7" ht="15" x14ac:dyDescent="0.25">
      <c r="B65" s="136" t="s">
        <v>169</v>
      </c>
      <c r="C65" s="137"/>
      <c r="D65" s="137"/>
      <c r="E65" s="137"/>
      <c r="F65" s="137"/>
      <c r="G65" s="137"/>
    </row>
    <row r="66" spans="2:7" ht="15" x14ac:dyDescent="0.25">
      <c r="B66" s="138" t="s">
        <v>170</v>
      </c>
      <c r="C66" s="139"/>
      <c r="D66" s="139"/>
      <c r="E66" s="139"/>
      <c r="F66" s="139"/>
      <c r="G66" s="140"/>
    </row>
    <row r="67" spans="2:7" ht="28.5" hidden="1" outlineLevel="1" x14ac:dyDescent="0.2">
      <c r="B67" s="141" t="s">
        <v>171</v>
      </c>
      <c r="C67" s="142" t="str">
        <f>IF(LEFT(C17,3)="ICE",_xlfn.TEXTJOIN(keydelim,TRUE,C12,"ICE",MEfuel1),_xlfn.TEXTJOIN(keydelim,TRUE,C12,C17,MEfuel1))</f>
        <v>Vessel 1 - ICE - LSFO</v>
      </c>
      <c r="D67" s="142" t="str">
        <f>IF(LEFT(D17,3)="ICE",_xlfn.TEXTJOIN(keydelim,TRUE,D12,"ICE",MEfuel2),_xlfn.TEXTJOIN(keydelim,TRUE,D12,D17,MEfuel2))</f>
        <v>Vessel 2 - ICE - LNG</v>
      </c>
      <c r="E67" s="142" t="str">
        <f>IF(LEFT(E17,3)="ICE",_xlfn.TEXTJOIN(keydelim,TRUE,E12,"ICE",MEfuel3),_xlfn.TEXTJOIN(keydelim,TRUE,E12,E17,MEfuel3))</f>
        <v>Vessel 3 - ICE - e-Ammonia</v>
      </c>
      <c r="F67" s="142" t="str">
        <f>IF(LEFT(F17,3)="ICE",_xlfn.TEXTJOIN(keydelim,TRUE,F12,"ICE",MEfuel4),_xlfn.TEXTJOIN(keydelim,TRUE,F12,F17,MEfuel4))</f>
        <v>Vessel 4 - ICE - Blue ammonia</v>
      </c>
      <c r="G67" s="142" t="str">
        <f>IF(LEFT(G17,3)="ICE",_xlfn.TEXTJOIN(keydelim,TRUE,G12,"ICE",MEfuel5),_xlfn.TEXTJOIN(keydelim,TRUE,G12,G17,MEfuel5))</f>
        <v>Vessel 5 - ICE - Biomethanol</v>
      </c>
    </row>
    <row r="68" spans="2:7" ht="42.75" hidden="1" outlineLevel="1" x14ac:dyDescent="0.2">
      <c r="B68" s="141" t="s">
        <v>172</v>
      </c>
      <c r="C68" s="142" t="str">
        <f>IF(OR(C$20=100%,C$18=C$19),_xlfn.TEXTJOIN(keydelim,TRUE,C$17,C$18),_xlfn.TEXTJOIN(keydelim,TRUE,C$17,"DF",C$20&amp;C$18,(1-C$20)&amp;C$19))</f>
        <v>ICE HFO - LSFO</v>
      </c>
      <c r="D68" s="142" t="str">
        <f>IF(OR(D$20=100%,D$18=D$19),_xlfn.TEXTJOIN(keydelim,TRUE,D$17,D$18),_xlfn.TEXTJOIN(keydelim,TRUE,D$17,"DF",D$20&amp;D$18,(1-D$20)&amp;D$19))</f>
        <v>ICE LNG - DF - 0.99LNG - 0.01LSFO</v>
      </c>
      <c r="E68" s="142" t="str">
        <f>IF(OR(E$20=100%,E$18=E$19),_xlfn.TEXTJOIN(keydelim,TRUE,E$17,E$18),_xlfn.TEXTJOIN(keydelim,TRUE,E$17,"DF",E$20&amp;E$18,(1-E$20)&amp;E$19))</f>
        <v>ICE Ammonia - DF - 0.95e-Ammonia - 0.05Biodiesel (Pyr)</v>
      </c>
      <c r="F68" s="142" t="str">
        <f>IF(OR(F$20=100%,F$18=F$19),_xlfn.TEXTJOIN(keydelim,TRUE,F$17,F$18),_xlfn.TEXTJOIN(keydelim,TRUE,F$17,"DF",F$20&amp;F$18,(1-F$20)&amp;F$19))</f>
        <v>ICE Ammonia - DF - 0.95Blue ammonia - 0.05Biodiesel (Pyr)</v>
      </c>
      <c r="G68" s="142" t="str">
        <f>IF(OR(G$20=100%,G$18=G$19),_xlfn.TEXTJOIN(keydelim,TRUE,G$17,G$18),_xlfn.TEXTJOIN(keydelim,TRUE,G$17,"DF",G$20&amp;G$18,(1-G$20)&amp;G$19))</f>
        <v>ICE Methanol - DF - 0.95Biomethanol - 0.05Biodiesel (Pyr)</v>
      </c>
    </row>
    <row r="69" spans="2:7" ht="15.75" customHeight="1" collapsed="1" x14ac:dyDescent="0.2"/>
    <row r="70" spans="2:7" x14ac:dyDescent="0.2"/>
    <row r="71" spans="2:7" x14ac:dyDescent="0.2"/>
    <row r="72" spans="2:7" x14ac:dyDescent="0.2"/>
    <row r="73" spans="2:7" x14ac:dyDescent="0.2"/>
    <row r="74" spans="2:7" x14ac:dyDescent="0.2"/>
    <row r="173" spans="16:18" hidden="1" x14ac:dyDescent="0.2">
      <c r="P173" s="151"/>
      <c r="Q173" s="152"/>
      <c r="R173" s="153"/>
    </row>
    <row r="174" spans="16:18" hidden="1" x14ac:dyDescent="0.2">
      <c r="P174" s="151"/>
      <c r="Q174" s="152"/>
      <c r="R174" s="153"/>
    </row>
    <row r="175" spans="16:18" hidden="1" x14ac:dyDescent="0.2">
      <c r="P175" s="151"/>
      <c r="Q175" s="152"/>
      <c r="R175" s="153"/>
    </row>
    <row r="176" spans="16:18" hidden="1" x14ac:dyDescent="0.2">
      <c r="P176" s="151"/>
      <c r="Q176" s="152"/>
      <c r="R176" s="153"/>
    </row>
    <row r="177" spans="16:18" hidden="1" x14ac:dyDescent="0.2">
      <c r="P177" s="151"/>
      <c r="Q177" s="152"/>
      <c r="R177" s="153"/>
    </row>
    <row r="178" spans="16:18" hidden="1" x14ac:dyDescent="0.2">
      <c r="P178" s="151"/>
      <c r="Q178" s="152"/>
      <c r="R178" s="153"/>
    </row>
    <row r="179" spans="16:18" hidden="1" x14ac:dyDescent="0.2">
      <c r="P179" s="151"/>
      <c r="Q179" s="152"/>
      <c r="R179" s="153"/>
    </row>
    <row r="180" spans="16:18" hidden="1" x14ac:dyDescent="0.2">
      <c r="P180" s="151"/>
      <c r="Q180" s="152"/>
      <c r="R180" s="153"/>
    </row>
    <row r="181" spans="16:18" hidden="1" x14ac:dyDescent="0.2">
      <c r="P181" s="151"/>
      <c r="Q181" s="152"/>
      <c r="R181" s="153"/>
    </row>
    <row r="182" spans="16:18" hidden="1" x14ac:dyDescent="0.2">
      <c r="P182" s="151"/>
      <c r="Q182" s="152"/>
      <c r="R182" s="153"/>
    </row>
    <row r="183" spans="16:18" hidden="1" x14ac:dyDescent="0.2">
      <c r="P183" s="151"/>
      <c r="Q183" s="152"/>
      <c r="R183" s="153"/>
    </row>
    <row r="184" spans="16:18" hidden="1" x14ac:dyDescent="0.2">
      <c r="P184" s="151"/>
      <c r="Q184" s="152"/>
      <c r="R184" s="153"/>
    </row>
    <row r="185" spans="16:18" hidden="1" x14ac:dyDescent="0.2">
      <c r="P185" s="151"/>
      <c r="Q185" s="152"/>
      <c r="R185" s="153"/>
    </row>
    <row r="186" spans="16:18" hidden="1" x14ac:dyDescent="0.2">
      <c r="P186" s="151"/>
      <c r="Q186" s="152"/>
      <c r="R186" s="153"/>
    </row>
    <row r="187" spans="16:18" hidden="1" x14ac:dyDescent="0.2">
      <c r="P187" s="151"/>
      <c r="Q187" s="152"/>
      <c r="R187" s="153"/>
    </row>
    <row r="188" spans="16:18" hidden="1" x14ac:dyDescent="0.2">
      <c r="P188" s="151"/>
      <c r="Q188" s="152"/>
      <c r="R188" s="153"/>
    </row>
    <row r="189" spans="16:18" hidden="1" x14ac:dyDescent="0.2">
      <c r="P189" s="151"/>
      <c r="Q189" s="152"/>
      <c r="R189" s="153"/>
    </row>
    <row r="190" spans="16:18" hidden="1" x14ac:dyDescent="0.2">
      <c r="P190" s="151"/>
      <c r="Q190" s="152"/>
      <c r="R190" s="153"/>
    </row>
    <row r="191" spans="16:18" hidden="1" x14ac:dyDescent="0.2">
      <c r="P191" s="151"/>
      <c r="Q191" s="152"/>
      <c r="R191" s="153"/>
    </row>
    <row r="192" spans="16:18" hidden="1" x14ac:dyDescent="0.2">
      <c r="P192" s="151"/>
      <c r="Q192" s="152"/>
      <c r="R192" s="153"/>
    </row>
    <row r="193" spans="16:18" hidden="1" x14ac:dyDescent="0.2">
      <c r="P193" s="151"/>
      <c r="Q193" s="152"/>
      <c r="R193" s="153"/>
    </row>
    <row r="194" spans="16:18" hidden="1" x14ac:dyDescent="0.2">
      <c r="P194" s="151"/>
      <c r="Q194" s="152"/>
      <c r="R194" s="153"/>
    </row>
    <row r="195" spans="16:18" hidden="1" x14ac:dyDescent="0.2">
      <c r="P195" s="151"/>
      <c r="Q195" s="152"/>
      <c r="R195" s="153"/>
    </row>
    <row r="196" spans="16:18" hidden="1" x14ac:dyDescent="0.2">
      <c r="P196" s="151"/>
      <c r="Q196" s="152"/>
      <c r="R196" s="153"/>
    </row>
    <row r="197" spans="16:18" hidden="1" x14ac:dyDescent="0.2">
      <c r="P197" s="151"/>
      <c r="Q197" s="152"/>
      <c r="R197" s="153"/>
    </row>
    <row r="198" spans="16:18" hidden="1" x14ac:dyDescent="0.2">
      <c r="P198" s="151"/>
      <c r="Q198" s="152"/>
      <c r="R198" s="153"/>
    </row>
    <row r="199" spans="16:18" hidden="1" x14ac:dyDescent="0.2">
      <c r="P199" s="151"/>
      <c r="Q199" s="152"/>
      <c r="R199" s="153"/>
    </row>
    <row r="200" spans="16:18" hidden="1" x14ac:dyDescent="0.2">
      <c r="P200" s="151"/>
      <c r="Q200" s="152"/>
      <c r="R200" s="153"/>
    </row>
    <row r="201" spans="16:18" hidden="1" x14ac:dyDescent="0.2">
      <c r="P201" s="151"/>
      <c r="Q201" s="152"/>
      <c r="R201" s="153"/>
    </row>
    <row r="202" spans="16:18" hidden="1" x14ac:dyDescent="0.2">
      <c r="P202" s="151"/>
      <c r="Q202" s="152"/>
      <c r="R202" s="153"/>
    </row>
    <row r="203" spans="16:18" hidden="1" x14ac:dyDescent="0.2">
      <c r="P203" s="151"/>
      <c r="Q203" s="152"/>
      <c r="R203" s="153"/>
    </row>
    <row r="204" spans="16:18" hidden="1" x14ac:dyDescent="0.2">
      <c r="P204" s="151"/>
      <c r="Q204" s="152"/>
      <c r="R204" s="153"/>
    </row>
    <row r="205" spans="16:18" hidden="1" x14ac:dyDescent="0.2">
      <c r="P205" s="154"/>
      <c r="Q205" s="155"/>
      <c r="R205" s="156"/>
    </row>
  </sheetData>
  <dataConsolidate/>
  <conditionalFormatting sqref="C30:G62">
    <cfRule type="expression" dxfId="124" priority="8">
      <formula>C30&lt;&gt;""</formula>
    </cfRule>
  </conditionalFormatting>
  <dataValidations count="12">
    <dataValidation type="list" allowBlank="1" showInputMessage="1" showErrorMessage="1" sqref="C21:G21" xr:uid="{2EA901BA-D96E-4CA4-BABF-CC49642CDD89}">
      <formula1>list_AE_pwt</formula1>
    </dataValidation>
    <dataValidation type="list" allowBlank="1" showInputMessage="1" showErrorMessage="1" sqref="C17:G17" xr:uid="{A21452F8-DD67-4884-8E3C-B04EFEE24325}">
      <formula1>list_ME_pwt</formula1>
    </dataValidation>
    <dataValidation type="list" allowBlank="1" showInputMessage="1" showErrorMessage="1" sqref="C18:G19" xr:uid="{EA479530-AE2B-4846-A66D-6670F36F187A}">
      <formula1>list_ME_fuel</formula1>
    </dataValidation>
    <dataValidation type="list" allowBlank="1" showInputMessage="1" showErrorMessage="1" sqref="C20:G20" xr:uid="{ACBF18DB-7365-4EF5-B221-A379E7CC6D87}">
      <formula1>list_DF_blends</formula1>
    </dataValidation>
    <dataValidation type="list" allowBlank="1" showInputMessage="1" showErrorMessage="1" sqref="C22:G23" xr:uid="{8A4A49FE-D3F0-4DCB-A0B4-8C266B74AF03}">
      <formula1>list_AE_fuel</formula1>
    </dataValidation>
    <dataValidation type="list" allowBlank="1" showInputMessage="1" showErrorMessage="1" sqref="C30:G62" xr:uid="{43BD96CB-0BAC-4B64-9695-7C03AD27629A}">
      <formula1>"Yes, No, -"</formula1>
    </dataValidation>
    <dataValidation type="list" allowBlank="1" showInputMessage="1" showErrorMessage="1" sqref="C29:G29" xr:uid="{1F5714B9-ACB1-4980-8FD6-A1F28E8E1711}">
      <formula1>"Manual"</formula1>
    </dataValidation>
    <dataValidation type="whole" allowBlank="1" showInputMessage="1" showErrorMessage="1" sqref="D4" xr:uid="{400AB54D-12D3-423E-B9B5-B9FB497E43E1}">
      <formula1>0</formula1>
      <formula2>1000</formula2>
    </dataValidation>
    <dataValidation type="list" allowBlank="1" showInputMessage="1" showErrorMessage="1" sqref="C5" xr:uid="{3C400A3B-9807-4F8D-A38E-F609F243D130}">
      <formula1>"0%,1%,2%,3%"</formula1>
    </dataValidation>
    <dataValidation type="list" allowBlank="1" showInputMessage="1" showErrorMessage="1" sqref="C5" xr:uid="{CAC9BB11-4E4C-4BD5-B3EF-F853B58E10D5}">
      <formula1>"0%,1%,2%"</formula1>
    </dataValidation>
    <dataValidation type="list" allowBlank="1" showInputMessage="1" showErrorMessage="1" sqref="D5" xr:uid="{DBFE617B-8B8C-4EA9-8346-DE8D6C5C94FA}">
      <formula1>"-"</formula1>
    </dataValidation>
    <dataValidation type="list" allowBlank="1" showInputMessage="1" showErrorMessage="1" sqref="C13" xr:uid="{53598731-A963-4398-8439-7F6E8FB8AC7B}">
      <formula1>list_segment</formula1>
    </dataValidation>
  </dataValidations>
  <pageMargins left="0.7" right="0.7" top="0.75" bottom="0.75" header="0.3" footer="0.3"/>
  <pageSetup orientation="portrait" r:id="rId1"/>
  <headerFooter>
    <oddFooter>&amp;C_x000D_&amp;1#&amp;"Calibri"&amp;10&amp;K000000 Business External</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618E26E5-589E-4DA8-991E-C7117AD7206B}">
            <xm:f>'Configurator Specs.'!$CI4=0</xm:f>
            <x14:dxf>
              <font>
                <color theme="6" tint="0.79998168889431442"/>
              </font>
              <fill>
                <patternFill>
                  <bgColor theme="6" tint="0.79998168889431442"/>
                </patternFill>
              </fill>
            </x14:dxf>
          </x14:cfRule>
          <x14:cfRule type="expression" priority="3" stopIfTrue="1" id="{36B0E311-2DB8-4A7F-9024-A86C579F5D5D}">
            <xm:f>'Configurator Specs.'!$CK4&lt;2</xm:f>
            <x14:dxf>
              <fill>
                <patternFill>
                  <bgColor theme="8" tint="0.89996032593768116"/>
                </patternFill>
              </fill>
            </x14:dxf>
          </x14:cfRule>
          <x14:cfRule type="expression" priority="4" stopIfTrue="1" id="{72D385FE-50ED-46FC-A87D-E5208E554221}">
            <xm:f>'Configurator Specs.'!CK4&lt;5</xm:f>
            <x14:dxf>
              <fill>
                <patternFill>
                  <bgColor rgb="FFC4EBEE"/>
                </patternFill>
              </fill>
            </x14:dxf>
          </x14:cfRule>
          <x14:cfRule type="expression" priority="7" stopIfTrue="1" id="{E6EAF376-7CF6-4E60-A2F2-5DF57725A11B}">
            <xm:f>'Configurator Specs.'!CK4&lt;10</xm:f>
            <x14:dxf>
              <font>
                <color auto="1"/>
              </font>
              <fill>
                <patternFill>
                  <bgColor theme="8" tint="0.749961851863155"/>
                </patternFill>
              </fill>
            </x14:dxf>
          </x14:cfRule>
          <xm:sqref>C30:G62</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D4E6B29B-0F93-44BE-B8DD-33D74927B828}">
          <x14:formula1>
            <xm:f>'Configurator Specs.'!$O$4:$O$6</xm:f>
          </x14:formula1>
          <xm:sqref>C29:G29</xm:sqref>
        </x14:dataValidation>
        <x14:dataValidation type="list" allowBlank="1" showInputMessage="1" showErrorMessage="1" xr:uid="{F36CFFBC-172C-4C49-B0B9-677BA69676CF}">
          <x14:formula1>
            <xm:f>'Configurator Specs.'!$T$4:$T$6</xm:f>
          </x14:formula1>
          <xm:sqref>D14:G14</xm:sqref>
        </x14:dataValidation>
        <x14:dataValidation type="list" allowBlank="1" showInputMessage="1" showErrorMessage="1" xr:uid="{BF68F579-E39D-47E5-A5D7-C84956F01D5B}">
          <x14:formula1>
            <xm:f>'Configurator Specs.'!$N$4:$N$5</xm:f>
          </x14:formula1>
          <xm:sqref>D24:G24</xm:sqref>
        </x14:dataValidation>
        <x14:dataValidation type="list" allowBlank="1" showInputMessage="1" showErrorMessage="1" xr:uid="{C78213ED-7076-4876-925B-1B1AF27B54F4}">
          <x14:formula1>
            <xm:f>'Configurator Specs.'!$J$4:$J$10</xm:f>
          </x14:formula1>
          <xm:sqref>D15:G15</xm:sqref>
        </x14:dataValidation>
        <x14:dataValidation type="list" allowBlank="1" showInputMessage="1" showErrorMessage="1" xr:uid="{269B72F8-C677-41E0-853A-7BC2A89C5BC4}">
          <x14:formula1>
            <xm:f>'Configurator Specs.'!$B$4:$B$16</xm:f>
          </x14:formula1>
          <xm:sqref>D13:G13</xm:sqref>
        </x14:dataValidation>
        <x14:dataValidation type="list" allowBlank="1" showInputMessage="1" showErrorMessage="1" xr:uid="{C123EF58-1EB4-41F3-87E9-E5A9AA8E5922}">
          <x14:formula1>
            <xm:f>'Configurator Specs.'!$J$4:$J$9</xm:f>
          </x14:formula1>
          <xm:sqref>C15</xm:sqref>
        </x14:dataValidation>
        <x14:dataValidation type="list" allowBlank="1" showInputMessage="1" showErrorMessage="1" xr:uid="{27E3C709-F1F9-4355-9355-980816D6F9F4}">
          <x14:formula1>
            <xm:f>'Configurator Specs.'!$T$5</xm:f>
          </x14:formula1>
          <xm:sqref>C14</xm:sqref>
        </x14:dataValidation>
        <x14:dataValidation type="list" allowBlank="1" showInputMessage="1" showErrorMessage="1" xr:uid="{7E1C9901-1B86-4201-B25F-76F86503C9AA}">
          <x14:formula1>
            <xm:f>'Configurator Specs.'!$C$29:$C$30</xm:f>
          </x14:formula1>
          <xm:sqref>C4</xm:sqref>
        </x14:dataValidation>
        <x14:dataValidation type="list" allowBlank="1" showInputMessage="1" showErrorMessage="1" xr:uid="{AF435408-53F0-432F-B60B-79A4F460A80B}">
          <x14:formula1>
            <xm:f>'Configurator Specs.'!$C$34:$C$36</xm:f>
          </x14:formula1>
          <xm:sqref>C6</xm:sqref>
        </x14:dataValidation>
        <x14:dataValidation type="list" allowBlank="1" showInputMessage="1" showErrorMessage="1" xr:uid="{C58892F6-F159-46D5-BE2C-BB8C0307A5BC}">
          <x14:formula1>
            <xm:f>'Configurator Specs.'!$C$40:$C$42</xm:f>
          </x14:formula1>
          <xm:sqref>C7</xm:sqref>
        </x14:dataValidation>
        <x14:dataValidation type="list" allowBlank="1" showInputMessage="1" showErrorMessage="1" xr:uid="{DB9B2D88-0A1B-4F0A-8173-DCF9BCEC3590}">
          <x14:formula1>
            <xm:f>'Configurator Specs.'!$C$61:$C$64</xm:f>
          </x14:formula1>
          <xm:sqref>C8</xm:sqref>
        </x14:dataValidation>
        <x14:dataValidation type="list" allowBlank="1" showInputMessage="1" showErrorMessage="1" xr:uid="{829041C0-AD1A-46D3-92C9-39BEB1DF6E35}">
          <x14:formula1>
            <xm:f>'Configurator Specs.'!$V$4:$V$10</xm:f>
          </x14:formula1>
          <xm:sqref>C71 I3</xm:sqref>
        </x14:dataValidation>
        <x14:dataValidation type="list" allowBlank="1" showInputMessage="1" showErrorMessage="1" xr:uid="{259D3E9E-C600-49EF-BE7B-8BCC7CB19726}">
          <x14:formula1>
            <xm:f>'Configurator Specs.'!$N$4</xm:f>
          </x14:formula1>
          <xm:sqref>C24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4159C-D4C3-4B1A-9466-41E5CEDF66DA}">
  <sheetPr codeName="Sheet6">
    <tabColor theme="3"/>
  </sheetPr>
  <dimension ref="A1:AO44"/>
  <sheetViews>
    <sheetView showGridLines="0" workbookViewId="0">
      <selection activeCell="H4" sqref="H4"/>
    </sheetView>
  </sheetViews>
  <sheetFormatPr defaultColWidth="0" defaultRowHeight="12.75" zeroHeight="1" outlineLevelCol="1" x14ac:dyDescent="0.2"/>
  <cols>
    <col min="1" max="1" width="4.5703125" customWidth="1"/>
    <col min="2" max="2" width="37.5703125" customWidth="1"/>
    <col min="3" max="3" width="21.140625" customWidth="1"/>
    <col min="4" max="4" width="10.140625" bestFit="1" customWidth="1"/>
    <col min="5" max="10" width="9.5703125" customWidth="1"/>
    <col min="11" max="11" width="9.140625" customWidth="1"/>
    <col min="12" max="12" width="16.42578125" hidden="1" customWidth="1" outlineLevel="1"/>
    <col min="13" max="18" width="9.140625" hidden="1" customWidth="1" outlineLevel="1"/>
    <col min="19" max="19" width="9.140625" customWidth="1" collapsed="1"/>
    <col min="20" max="41" width="0" hidden="1" customWidth="1"/>
    <col min="42" max="16384" width="11.42578125" hidden="1"/>
  </cols>
  <sheetData>
    <row r="1" spans="2:40" s="28" customFormat="1" ht="38.1" customHeight="1" x14ac:dyDescent="0.2">
      <c r="C1" s="28" t="str" cm="1">
        <f t="array" aca="1" ref="C1" ca="1">MID(CELL("filename",A1),FIND("]",CELL("filename",A1))+1,255)</f>
        <v>Main Assumptions</v>
      </c>
      <c r="L1" s="126"/>
      <c r="M1" s="126"/>
      <c r="N1" s="126"/>
      <c r="O1" s="126"/>
      <c r="P1" s="126"/>
      <c r="Q1" s="126"/>
      <c r="R1" s="126"/>
      <c r="AN1" s="72"/>
    </row>
    <row r="2" spans="2:40" x14ac:dyDescent="0.2"/>
    <row r="3" spans="2:40" ht="15" x14ac:dyDescent="0.25">
      <c r="B3" s="30" t="s">
        <v>173</v>
      </c>
    </row>
    <row r="4" spans="2:40" ht="15" x14ac:dyDescent="0.25">
      <c r="B4" s="210" t="s">
        <v>2</v>
      </c>
      <c r="C4" s="210" t="s">
        <v>86</v>
      </c>
      <c r="D4" s="210" t="s">
        <v>173</v>
      </c>
      <c r="L4" t="s">
        <v>174</v>
      </c>
    </row>
    <row r="5" spans="2:40" ht="14.25" x14ac:dyDescent="0.2">
      <c r="B5" t="s">
        <v>175</v>
      </c>
      <c r="C5" s="157" t="s">
        <v>176</v>
      </c>
      <c r="D5" s="211">
        <v>30</v>
      </c>
      <c r="L5" s="212">
        <v>30</v>
      </c>
    </row>
    <row r="6" spans="2:40" ht="14.25" x14ac:dyDescent="0.2">
      <c r="B6" t="s">
        <v>177</v>
      </c>
      <c r="C6" s="157" t="s">
        <v>178</v>
      </c>
      <c r="D6" s="213">
        <v>0.1</v>
      </c>
      <c r="L6" s="214">
        <v>0.1</v>
      </c>
    </row>
    <row r="7" spans="2:40" ht="14.25" x14ac:dyDescent="0.2">
      <c r="B7" t="s">
        <v>179</v>
      </c>
      <c r="C7" s="157" t="s">
        <v>178</v>
      </c>
      <c r="D7" s="213">
        <v>0.05</v>
      </c>
      <c r="L7" s="214">
        <v>0.05</v>
      </c>
    </row>
    <row r="8" spans="2:40" ht="14.25" x14ac:dyDescent="0.2">
      <c r="B8" t="s">
        <v>180</v>
      </c>
      <c r="C8" s="157" t="s">
        <v>178</v>
      </c>
      <c r="D8" s="213">
        <v>0.6</v>
      </c>
      <c r="L8" s="214">
        <v>0.6</v>
      </c>
    </row>
    <row r="9" spans="2:40" x14ac:dyDescent="0.2"/>
    <row r="10" spans="2:40" ht="15" x14ac:dyDescent="0.25">
      <c r="B10" s="30" t="s">
        <v>181</v>
      </c>
    </row>
    <row r="11" spans="2:40" ht="15" x14ac:dyDescent="0.25">
      <c r="B11" s="210" t="s">
        <v>182</v>
      </c>
      <c r="C11" s="210" t="s">
        <v>86</v>
      </c>
      <c r="D11" s="210">
        <v>2020</v>
      </c>
      <c r="E11" s="210">
        <v>2025</v>
      </c>
      <c r="F11" s="210">
        <v>2030</v>
      </c>
      <c r="G11" s="210">
        <v>2035</v>
      </c>
      <c r="H11" s="210">
        <v>2040</v>
      </c>
      <c r="I11" s="210">
        <v>2045</v>
      </c>
      <c r="J11" s="210">
        <v>2050</v>
      </c>
      <c r="L11" t="s">
        <v>174</v>
      </c>
    </row>
    <row r="12" spans="2:40" ht="14.25" x14ac:dyDescent="0.2">
      <c r="B12" t="s">
        <v>183</v>
      </c>
      <c r="C12" t="s">
        <v>184</v>
      </c>
      <c r="D12" s="213">
        <v>0.51</v>
      </c>
      <c r="E12" s="213">
        <v>0.51</v>
      </c>
      <c r="F12" s="213">
        <v>0.51</v>
      </c>
      <c r="G12" s="213">
        <v>0.51</v>
      </c>
      <c r="H12" s="213">
        <v>0.51</v>
      </c>
      <c r="I12" s="213">
        <v>0.51</v>
      </c>
      <c r="J12" s="213">
        <v>0.51</v>
      </c>
      <c r="L12" s="214">
        <v>0.51</v>
      </c>
      <c r="M12" s="214">
        <v>0.51</v>
      </c>
      <c r="N12" s="214">
        <v>0.51</v>
      </c>
      <c r="O12" s="214">
        <v>0.51</v>
      </c>
      <c r="P12" s="214">
        <v>0.51</v>
      </c>
      <c r="Q12" s="214">
        <v>0.51</v>
      </c>
      <c r="R12" s="214">
        <v>0.51</v>
      </c>
    </row>
    <row r="13" spans="2:40" ht="14.25" x14ac:dyDescent="0.2">
      <c r="B13" t="s">
        <v>185</v>
      </c>
      <c r="C13" t="s">
        <v>184</v>
      </c>
      <c r="D13" s="213">
        <v>0.51</v>
      </c>
      <c r="E13" s="213">
        <v>0.51</v>
      </c>
      <c r="F13" s="213">
        <v>0.51</v>
      </c>
      <c r="G13" s="213">
        <v>0.51</v>
      </c>
      <c r="H13" s="213">
        <v>0.51</v>
      </c>
      <c r="I13" s="213">
        <v>0.51</v>
      </c>
      <c r="J13" s="213">
        <v>0.51</v>
      </c>
      <c r="L13" s="214">
        <v>0.51</v>
      </c>
      <c r="M13" s="214">
        <v>0.51</v>
      </c>
      <c r="N13" s="214">
        <v>0.51</v>
      </c>
      <c r="O13" s="214">
        <v>0.51</v>
      </c>
      <c r="P13" s="214">
        <v>0.51</v>
      </c>
      <c r="Q13" s="214">
        <v>0.51</v>
      </c>
      <c r="R13" s="214">
        <v>0.51</v>
      </c>
    </row>
    <row r="14" spans="2:40" ht="14.25" x14ac:dyDescent="0.2">
      <c r="B14" t="s">
        <v>186</v>
      </c>
      <c r="C14" t="s">
        <v>184</v>
      </c>
      <c r="D14" s="213">
        <v>0.51</v>
      </c>
      <c r="E14" s="213">
        <v>0.51</v>
      </c>
      <c r="F14" s="213">
        <v>0.51</v>
      </c>
      <c r="G14" s="213">
        <v>0.51</v>
      </c>
      <c r="H14" s="213">
        <v>0.51</v>
      </c>
      <c r="I14" s="213">
        <v>0.51</v>
      </c>
      <c r="J14" s="213">
        <v>0.51</v>
      </c>
      <c r="L14" s="214">
        <v>0.51</v>
      </c>
      <c r="M14" s="214">
        <v>0.51</v>
      </c>
      <c r="N14" s="214">
        <v>0.51</v>
      </c>
      <c r="O14" s="214">
        <v>0.51</v>
      </c>
      <c r="P14" s="214">
        <v>0.51</v>
      </c>
      <c r="Q14" s="214">
        <v>0.51</v>
      </c>
      <c r="R14" s="214">
        <v>0.51</v>
      </c>
    </row>
    <row r="15" spans="2:40" ht="14.25" x14ac:dyDescent="0.2">
      <c r="B15" t="s">
        <v>187</v>
      </c>
      <c r="C15" t="s">
        <v>184</v>
      </c>
      <c r="D15" s="213">
        <v>0.51</v>
      </c>
      <c r="E15" s="213">
        <v>0.51</v>
      </c>
      <c r="F15" s="213">
        <v>0.51</v>
      </c>
      <c r="G15" s="213">
        <v>0.51</v>
      </c>
      <c r="H15" s="213">
        <v>0.51</v>
      </c>
      <c r="I15" s="213">
        <v>0.51</v>
      </c>
      <c r="J15" s="213">
        <v>0.51</v>
      </c>
      <c r="L15" s="214">
        <v>0.51</v>
      </c>
      <c r="M15" s="214">
        <v>0.51</v>
      </c>
      <c r="N15" s="214">
        <v>0.51</v>
      </c>
      <c r="O15" s="214">
        <v>0.51</v>
      </c>
      <c r="P15" s="214">
        <v>0.51</v>
      </c>
      <c r="Q15" s="214">
        <v>0.51</v>
      </c>
      <c r="R15" s="214">
        <v>0.51</v>
      </c>
    </row>
    <row r="16" spans="2:40" ht="14.25" x14ac:dyDescent="0.2">
      <c r="B16" t="s">
        <v>188</v>
      </c>
      <c r="C16" t="s">
        <v>184</v>
      </c>
      <c r="D16" s="213">
        <v>0.51</v>
      </c>
      <c r="E16" s="213">
        <v>0.51</v>
      </c>
      <c r="F16" s="213">
        <v>0.51</v>
      </c>
      <c r="G16" s="213">
        <v>0.51</v>
      </c>
      <c r="H16" s="213">
        <v>0.51</v>
      </c>
      <c r="I16" s="213">
        <v>0.51</v>
      </c>
      <c r="J16" s="213">
        <v>0.51</v>
      </c>
      <c r="L16" s="214">
        <v>0.51</v>
      </c>
      <c r="M16" s="214">
        <v>0.51</v>
      </c>
      <c r="N16" s="214">
        <v>0.51</v>
      </c>
      <c r="O16" s="214">
        <v>0.51</v>
      </c>
      <c r="P16" s="214">
        <v>0.51</v>
      </c>
      <c r="Q16" s="214">
        <v>0.51</v>
      </c>
      <c r="R16" s="214">
        <v>0.51</v>
      </c>
    </row>
    <row r="17" spans="2:18" ht="14.25" x14ac:dyDescent="0.2">
      <c r="B17" t="s">
        <v>189</v>
      </c>
      <c r="C17" t="s">
        <v>184</v>
      </c>
      <c r="D17" s="213">
        <v>0.9</v>
      </c>
      <c r="E17" s="213">
        <v>0.9</v>
      </c>
      <c r="F17" s="213">
        <v>0.9</v>
      </c>
      <c r="G17" s="213">
        <v>0.9</v>
      </c>
      <c r="H17" s="213">
        <v>0.9</v>
      </c>
      <c r="I17" s="213">
        <v>0.9</v>
      </c>
      <c r="J17" s="213">
        <v>0.9</v>
      </c>
      <c r="L17" s="214">
        <v>0.9</v>
      </c>
      <c r="M17" s="214">
        <v>0.9</v>
      </c>
      <c r="N17" s="214">
        <v>0.9</v>
      </c>
      <c r="O17" s="214">
        <v>0.9</v>
      </c>
      <c r="P17" s="214">
        <v>0.9</v>
      </c>
      <c r="Q17" s="214">
        <v>0.9</v>
      </c>
      <c r="R17" s="214">
        <v>0.9</v>
      </c>
    </row>
    <row r="18" spans="2:18" ht="14.25" x14ac:dyDescent="0.2">
      <c r="B18" t="s">
        <v>62</v>
      </c>
      <c r="C18" t="s">
        <v>184</v>
      </c>
      <c r="D18" s="213">
        <v>0.5</v>
      </c>
      <c r="E18" s="213">
        <v>0.5</v>
      </c>
      <c r="F18" s="213">
        <v>0.52</v>
      </c>
      <c r="G18" s="213">
        <v>0.54</v>
      </c>
      <c r="H18" s="213">
        <v>0.56000000000000005</v>
      </c>
      <c r="I18" s="213">
        <v>0.57999999999999996</v>
      </c>
      <c r="J18" s="213">
        <v>0.6</v>
      </c>
      <c r="L18" s="214">
        <v>0.5</v>
      </c>
      <c r="M18" s="214">
        <v>0.5</v>
      </c>
      <c r="N18" s="214">
        <v>0.52</v>
      </c>
      <c r="O18" s="214">
        <v>0.54</v>
      </c>
      <c r="P18" s="214">
        <v>0.56000000000000005</v>
      </c>
      <c r="Q18" s="214">
        <v>0.57999999999999996</v>
      </c>
      <c r="R18" s="214">
        <v>0.6</v>
      </c>
    </row>
    <row r="19" spans="2:18" x14ac:dyDescent="0.2">
      <c r="E19" s="5"/>
      <c r="F19" s="5"/>
      <c r="G19" s="5"/>
      <c r="H19" s="5"/>
      <c r="I19" s="5"/>
      <c r="J19" s="5"/>
      <c r="M19" s="5"/>
      <c r="N19" s="5"/>
      <c r="O19" s="5"/>
      <c r="P19" s="5"/>
      <c r="Q19" s="5"/>
      <c r="R19" s="5"/>
    </row>
    <row r="20" spans="2:18" ht="15" x14ac:dyDescent="0.25">
      <c r="B20" s="728" t="s">
        <v>190</v>
      </c>
      <c r="C20" s="728" t="s">
        <v>86</v>
      </c>
      <c r="D20" s="728">
        <v>2020</v>
      </c>
      <c r="E20" s="728">
        <v>2025</v>
      </c>
      <c r="F20" s="728">
        <v>2030</v>
      </c>
      <c r="G20" s="728">
        <v>2035</v>
      </c>
      <c r="H20" s="728">
        <v>2040</v>
      </c>
      <c r="I20" s="728">
        <v>2045</v>
      </c>
      <c r="J20" s="728">
        <v>2050</v>
      </c>
      <c r="M20" s="5"/>
      <c r="N20" s="5"/>
      <c r="O20" s="5"/>
      <c r="P20" s="5"/>
      <c r="Q20" s="5"/>
      <c r="R20" s="5"/>
    </row>
    <row r="21" spans="2:18" ht="14.25" x14ac:dyDescent="0.2">
      <c r="B21" t="s">
        <v>190</v>
      </c>
      <c r="C21" t="s">
        <v>191</v>
      </c>
      <c r="D21" s="215">
        <v>1500000</v>
      </c>
      <c r="E21" s="118">
        <f>D21*((1+$D$22)^5)</f>
        <v>1426485.07485</v>
      </c>
      <c r="F21" s="118">
        <f t="shared" ref="F21:J21" si="0">E21*((1+$D$22)^5)</f>
        <v>1356573.1125132067</v>
      </c>
      <c r="G21" s="118">
        <f t="shared" si="0"/>
        <v>1290087.5319619325</v>
      </c>
      <c r="H21" s="118">
        <f t="shared" si="0"/>
        <v>1226860.406395846</v>
      </c>
      <c r="I21" s="118">
        <f t="shared" si="0"/>
        <v>1166732.0390987198</v>
      </c>
      <c r="J21" s="118">
        <f t="shared" si="0"/>
        <v>1109550.5600824202</v>
      </c>
      <c r="L21" s="216">
        <v>1500000</v>
      </c>
      <c r="M21" s="118">
        <f>L21*(1+$D22)^5</f>
        <v>1426485.07485</v>
      </c>
      <c r="N21" s="118">
        <f t="shared" ref="N21" si="1">M21*(1+$D22)^5</f>
        <v>1356573.1125132067</v>
      </c>
      <c r="O21" s="118">
        <f t="shared" ref="O21" si="2">N21*(1+$D22)^5</f>
        <v>1290087.5319619325</v>
      </c>
      <c r="P21" s="118">
        <f t="shared" ref="P21" si="3">O21*(1+$D22)^5</f>
        <v>1226860.406395846</v>
      </c>
      <c r="Q21" s="118">
        <f t="shared" ref="Q21" si="4">P21*(1+$D22)^5</f>
        <v>1166732.0390987198</v>
      </c>
      <c r="R21" s="118">
        <f t="shared" ref="R21" si="5">Q21*(1+$D22)^5</f>
        <v>1109550.5600824202</v>
      </c>
    </row>
    <row r="22" spans="2:18" ht="14.25" x14ac:dyDescent="0.2">
      <c r="B22" t="s">
        <v>192</v>
      </c>
      <c r="C22" t="s">
        <v>178</v>
      </c>
      <c r="D22" s="217">
        <v>-0.01</v>
      </c>
      <c r="L22" s="218">
        <v>-0.01</v>
      </c>
    </row>
    <row r="23" spans="2:18" ht="14.25" x14ac:dyDescent="0.2">
      <c r="L23" s="219"/>
    </row>
    <row r="24" spans="2:18" ht="15" x14ac:dyDescent="0.25">
      <c r="B24" s="30" t="s">
        <v>193</v>
      </c>
    </row>
    <row r="25" spans="2:18" ht="15" x14ac:dyDescent="0.25">
      <c r="B25" s="728" t="s">
        <v>194</v>
      </c>
      <c r="C25" s="728" t="s">
        <v>86</v>
      </c>
      <c r="D25" s="728">
        <v>2020</v>
      </c>
      <c r="E25" s="728">
        <v>2025</v>
      </c>
      <c r="F25" s="728">
        <v>2030</v>
      </c>
      <c r="G25" s="728">
        <v>2035</v>
      </c>
      <c r="H25" s="728">
        <v>2040</v>
      </c>
      <c r="I25" s="728">
        <v>2045</v>
      </c>
      <c r="J25" s="728">
        <v>2050</v>
      </c>
    </row>
    <row r="26" spans="2:18" ht="14.25" x14ac:dyDescent="0.2">
      <c r="B26" t="s">
        <v>195</v>
      </c>
      <c r="C26" s="157" t="s">
        <v>196</v>
      </c>
      <c r="D26" s="220">
        <v>65.068306271861914</v>
      </c>
      <c r="E26" s="220">
        <v>60</v>
      </c>
      <c r="F26" s="220">
        <v>55.326474688903666</v>
      </c>
      <c r="G26" s="220">
        <v>51.016980025031636</v>
      </c>
      <c r="H26" s="220">
        <v>47.043160900986948</v>
      </c>
      <c r="I26" s="220">
        <v>43.378870847907947</v>
      </c>
      <c r="J26" s="220">
        <v>40</v>
      </c>
      <c r="L26" s="221">
        <v>65.068306271861914</v>
      </c>
      <c r="M26" s="221">
        <v>60</v>
      </c>
      <c r="N26" s="221">
        <v>55.326474688903666</v>
      </c>
      <c r="O26" s="221">
        <v>51.016980025031636</v>
      </c>
      <c r="P26" s="221">
        <v>47.043160900986948</v>
      </c>
      <c r="Q26" s="221">
        <v>43.378870847907947</v>
      </c>
      <c r="R26" s="221">
        <v>40</v>
      </c>
    </row>
    <row r="27" spans="2:18" ht="14.25" x14ac:dyDescent="0.2">
      <c r="B27" t="s">
        <v>197</v>
      </c>
      <c r="C27" s="157" t="s">
        <v>196</v>
      </c>
      <c r="D27" s="220">
        <v>64.538342705631436</v>
      </c>
      <c r="E27" s="220">
        <v>58</v>
      </c>
      <c r="F27" s="220">
        <v>52.124053066309479</v>
      </c>
      <c r="G27" s="220">
        <v>46.843394966542178</v>
      </c>
      <c r="H27" s="220">
        <v>42.097717328312733</v>
      </c>
      <c r="I27" s="220">
        <v>37.832821586059808</v>
      </c>
      <c r="J27" s="220">
        <v>34</v>
      </c>
      <c r="L27" s="221">
        <v>64.538342705631436</v>
      </c>
      <c r="M27" s="221">
        <v>58</v>
      </c>
      <c r="N27" s="221">
        <v>52.124053066309479</v>
      </c>
      <c r="O27" s="221">
        <v>46.843394966542178</v>
      </c>
      <c r="P27" s="221">
        <v>42.097717328312733</v>
      </c>
      <c r="Q27" s="221">
        <v>37.832821586059808</v>
      </c>
      <c r="R27" s="221">
        <v>34</v>
      </c>
    </row>
    <row r="28" spans="2:18" ht="14.25" x14ac:dyDescent="0.2">
      <c r="B28" t="s">
        <v>198</v>
      </c>
      <c r="C28" s="157" t="s">
        <v>196</v>
      </c>
      <c r="D28" s="220">
        <v>84.028138849019186</v>
      </c>
      <c r="E28" s="220">
        <v>76</v>
      </c>
      <c r="F28" s="220">
        <v>68.738878179585186</v>
      </c>
      <c r="G28" s="220">
        <v>62.171491755103325</v>
      </c>
      <c r="H28" s="220">
        <v>56.231560499962271</v>
      </c>
      <c r="I28" s="220">
        <v>50.859136671774749</v>
      </c>
      <c r="J28" s="220">
        <v>46</v>
      </c>
      <c r="L28" s="221">
        <v>84.028138849019186</v>
      </c>
      <c r="M28" s="221">
        <v>76</v>
      </c>
      <c r="N28" s="221">
        <v>68.738878179585186</v>
      </c>
      <c r="O28" s="221">
        <v>62.171491755103325</v>
      </c>
      <c r="P28" s="221">
        <v>56.231560499962271</v>
      </c>
      <c r="Q28" s="221">
        <v>50.859136671774749</v>
      </c>
      <c r="R28" s="221">
        <v>46</v>
      </c>
    </row>
    <row r="29" spans="2:18" ht="14.25" x14ac:dyDescent="0.2">
      <c r="B29" t="s">
        <v>199</v>
      </c>
      <c r="C29" s="157" t="s">
        <v>196</v>
      </c>
      <c r="D29" s="220">
        <v>52.82108111495215</v>
      </c>
      <c r="E29" s="220">
        <v>50</v>
      </c>
      <c r="F29" s="220">
        <v>47.329587869649281</v>
      </c>
      <c r="G29" s="220">
        <v>44.801797758217049</v>
      </c>
      <c r="H29" s="220">
        <v>42.409012474315801</v>
      </c>
      <c r="I29" s="220">
        <v>40.144021647363644</v>
      </c>
      <c r="J29" s="220">
        <v>38</v>
      </c>
      <c r="L29" s="221">
        <v>52.82108111495215</v>
      </c>
      <c r="M29" s="221">
        <v>50</v>
      </c>
      <c r="N29" s="221">
        <v>47.329587869649281</v>
      </c>
      <c r="O29" s="221">
        <v>44.801797758217049</v>
      </c>
      <c r="P29" s="221">
        <v>42.409012474315801</v>
      </c>
      <c r="Q29" s="221">
        <v>40.144021647363644</v>
      </c>
      <c r="R29" s="221">
        <v>38</v>
      </c>
    </row>
    <row r="30" spans="2:18" ht="14.25" x14ac:dyDescent="0.2">
      <c r="B30" t="s">
        <v>200</v>
      </c>
      <c r="C30" s="157" t="s">
        <v>196</v>
      </c>
      <c r="D30" s="220">
        <v>71.805129308556772</v>
      </c>
      <c r="E30" s="220">
        <v>64</v>
      </c>
      <c r="F30" s="220">
        <v>57.043278654912108</v>
      </c>
      <c r="G30" s="220">
        <v>50.842744370342992</v>
      </c>
      <c r="H30" s="220">
        <v>45.3162005421553</v>
      </c>
      <c r="I30" s="220">
        <v>40.390385236063189</v>
      </c>
      <c r="J30" s="220">
        <v>36</v>
      </c>
      <c r="L30" s="221">
        <v>71.805129308556772</v>
      </c>
      <c r="M30" s="221">
        <v>64</v>
      </c>
      <c r="N30" s="221">
        <v>57.043278654912108</v>
      </c>
      <c r="O30" s="221">
        <v>50.842744370342992</v>
      </c>
      <c r="P30" s="221">
        <v>45.3162005421553</v>
      </c>
      <c r="Q30" s="221">
        <v>40.390385236063189</v>
      </c>
      <c r="R30" s="221">
        <v>36</v>
      </c>
    </row>
    <row r="31" spans="2:18" x14ac:dyDescent="0.2"/>
    <row r="32" spans="2:18" ht="15" x14ac:dyDescent="0.25">
      <c r="B32" s="728" t="s">
        <v>201</v>
      </c>
      <c r="C32" s="728" t="s">
        <v>86</v>
      </c>
      <c r="D32" s="728"/>
      <c r="E32" s="728"/>
      <c r="F32" s="728"/>
      <c r="G32" s="728"/>
      <c r="H32" s="728"/>
      <c r="I32" s="728"/>
      <c r="J32" s="728"/>
    </row>
    <row r="33" spans="2:18" ht="14.25" x14ac:dyDescent="0.2">
      <c r="B33" s="95" t="s">
        <v>202</v>
      </c>
      <c r="C33" s="95" t="s">
        <v>203</v>
      </c>
      <c r="D33" s="220">
        <v>115</v>
      </c>
      <c r="E33" s="220">
        <v>82.5</v>
      </c>
      <c r="F33" s="220">
        <v>72</v>
      </c>
      <c r="G33" s="220">
        <v>72</v>
      </c>
      <c r="H33" s="220">
        <v>72</v>
      </c>
      <c r="I33" s="220">
        <v>72</v>
      </c>
      <c r="J33" s="220">
        <v>72</v>
      </c>
      <c r="L33" s="221">
        <v>115</v>
      </c>
      <c r="M33" s="221">
        <v>82.5</v>
      </c>
      <c r="N33" s="221">
        <v>72</v>
      </c>
      <c r="O33" s="221">
        <v>72</v>
      </c>
      <c r="P33" s="221">
        <v>72</v>
      </c>
      <c r="Q33" s="221">
        <v>72</v>
      </c>
      <c r="R33" s="221">
        <v>72</v>
      </c>
    </row>
    <row r="34" spans="2:18" x14ac:dyDescent="0.2"/>
    <row r="35" spans="2:18" ht="15" x14ac:dyDescent="0.25">
      <c r="B35" s="210" t="s">
        <v>204</v>
      </c>
      <c r="C35" s="210" t="s">
        <v>86</v>
      </c>
      <c r="D35" s="210">
        <v>2020</v>
      </c>
      <c r="E35" s="210">
        <v>2025</v>
      </c>
      <c r="F35" s="210">
        <v>2030</v>
      </c>
      <c r="G35" s="210">
        <v>2035</v>
      </c>
      <c r="H35" s="210">
        <v>2040</v>
      </c>
      <c r="I35" s="210">
        <v>2045</v>
      </c>
      <c r="J35" s="210">
        <v>2050</v>
      </c>
      <c r="L35">
        <v>2020</v>
      </c>
      <c r="M35">
        <v>2025</v>
      </c>
      <c r="N35">
        <v>2030</v>
      </c>
      <c r="O35">
        <v>2035</v>
      </c>
      <c r="P35">
        <v>2040</v>
      </c>
      <c r="Q35">
        <v>2045</v>
      </c>
      <c r="R35">
        <v>2050</v>
      </c>
    </row>
    <row r="36" spans="2:18" ht="14.25" x14ac:dyDescent="0.2">
      <c r="B36" s="157" t="s">
        <v>195</v>
      </c>
      <c r="C36" s="157" t="s">
        <v>205</v>
      </c>
      <c r="D36" s="220">
        <v>1750</v>
      </c>
      <c r="E36" s="220">
        <v>700</v>
      </c>
      <c r="F36" s="220">
        <v>475</v>
      </c>
      <c r="G36" s="220">
        <f>F36</f>
        <v>475</v>
      </c>
      <c r="H36" s="220">
        <f t="shared" ref="H36:J40" si="6">G36</f>
        <v>475</v>
      </c>
      <c r="I36" s="220">
        <f t="shared" si="6"/>
        <v>475</v>
      </c>
      <c r="J36" s="220">
        <f t="shared" si="6"/>
        <v>475</v>
      </c>
      <c r="L36" s="221">
        <v>1750</v>
      </c>
      <c r="M36" s="221">
        <v>700</v>
      </c>
      <c r="N36" s="221">
        <v>475</v>
      </c>
      <c r="O36" s="221">
        <v>475</v>
      </c>
      <c r="P36" s="221">
        <v>475</v>
      </c>
      <c r="Q36" s="221">
        <v>475</v>
      </c>
      <c r="R36" s="221">
        <v>475</v>
      </c>
    </row>
    <row r="37" spans="2:18" ht="14.25" x14ac:dyDescent="0.2">
      <c r="B37" s="157" t="s">
        <v>197</v>
      </c>
      <c r="C37" s="157" t="s">
        <v>205</v>
      </c>
      <c r="D37" s="220">
        <v>1400</v>
      </c>
      <c r="E37" s="220">
        <v>525</v>
      </c>
      <c r="F37" s="220">
        <v>145</v>
      </c>
      <c r="G37" s="220">
        <f>F37</f>
        <v>145</v>
      </c>
      <c r="H37" s="220">
        <f t="shared" si="6"/>
        <v>145</v>
      </c>
      <c r="I37" s="220">
        <f t="shared" si="6"/>
        <v>145</v>
      </c>
      <c r="J37" s="220">
        <f t="shared" si="6"/>
        <v>145</v>
      </c>
      <c r="L37" s="221">
        <v>1400</v>
      </c>
      <c r="M37" s="221">
        <v>525</v>
      </c>
      <c r="N37" s="221">
        <v>145</v>
      </c>
      <c r="O37" s="221">
        <v>145</v>
      </c>
      <c r="P37" s="221">
        <v>145</v>
      </c>
      <c r="Q37" s="221">
        <v>145</v>
      </c>
      <c r="R37" s="221">
        <v>145</v>
      </c>
    </row>
    <row r="38" spans="2:18" ht="14.25" x14ac:dyDescent="0.2">
      <c r="B38" s="157" t="s">
        <v>198</v>
      </c>
      <c r="C38" s="157" t="s">
        <v>205</v>
      </c>
      <c r="D38" s="220">
        <v>1600</v>
      </c>
      <c r="E38" s="220">
        <v>725</v>
      </c>
      <c r="F38" s="220">
        <v>350</v>
      </c>
      <c r="G38" s="220">
        <f>F38</f>
        <v>350</v>
      </c>
      <c r="H38" s="220">
        <f t="shared" si="6"/>
        <v>350</v>
      </c>
      <c r="I38" s="220">
        <f t="shared" si="6"/>
        <v>350</v>
      </c>
      <c r="J38" s="220">
        <f t="shared" si="6"/>
        <v>350</v>
      </c>
      <c r="L38" s="221">
        <v>1600</v>
      </c>
      <c r="M38" s="221">
        <v>725</v>
      </c>
      <c r="N38" s="221">
        <v>350</v>
      </c>
      <c r="O38" s="221">
        <v>350</v>
      </c>
      <c r="P38" s="221">
        <v>350</v>
      </c>
      <c r="Q38" s="221">
        <v>350</v>
      </c>
      <c r="R38" s="221">
        <v>350</v>
      </c>
    </row>
    <row r="39" spans="2:18" ht="14.25" x14ac:dyDescent="0.2">
      <c r="B39" s="157" t="s">
        <v>199</v>
      </c>
      <c r="C39" s="157" t="s">
        <v>205</v>
      </c>
      <c r="D39" s="220">
        <v>350</v>
      </c>
      <c r="E39" s="220">
        <v>230</v>
      </c>
      <c r="F39" s="220">
        <v>220</v>
      </c>
      <c r="G39" s="220">
        <v>250</v>
      </c>
      <c r="H39" s="220">
        <f>G39</f>
        <v>250</v>
      </c>
      <c r="I39" s="220">
        <f t="shared" si="6"/>
        <v>250</v>
      </c>
      <c r="J39" s="220">
        <f t="shared" si="6"/>
        <v>250</v>
      </c>
      <c r="L39" s="221">
        <v>350</v>
      </c>
      <c r="M39" s="221">
        <v>230</v>
      </c>
      <c r="N39" s="221">
        <v>220</v>
      </c>
      <c r="O39" s="221">
        <v>250</v>
      </c>
      <c r="P39" s="221">
        <v>250</v>
      </c>
      <c r="Q39" s="221">
        <v>250</v>
      </c>
      <c r="R39" s="221">
        <v>250</v>
      </c>
    </row>
    <row r="40" spans="2:18" ht="14.25" x14ac:dyDescent="0.2">
      <c r="B40" s="157" t="s">
        <v>200</v>
      </c>
      <c r="C40" s="157" t="s">
        <v>205</v>
      </c>
      <c r="D40" s="220">
        <v>1750</v>
      </c>
      <c r="E40" s="220">
        <v>700</v>
      </c>
      <c r="F40" s="220">
        <v>475</v>
      </c>
      <c r="G40" s="220">
        <f>F40</f>
        <v>475</v>
      </c>
      <c r="H40" s="220">
        <f t="shared" si="6"/>
        <v>475</v>
      </c>
      <c r="I40" s="220">
        <f t="shared" si="6"/>
        <v>475</v>
      </c>
      <c r="J40" s="220">
        <f t="shared" si="6"/>
        <v>475</v>
      </c>
      <c r="L40" s="221">
        <v>1750</v>
      </c>
      <c r="M40" s="221">
        <v>700</v>
      </c>
      <c r="N40" s="221">
        <v>475</v>
      </c>
      <c r="O40" s="221">
        <v>475</v>
      </c>
      <c r="P40" s="221">
        <v>475</v>
      </c>
      <c r="Q40" s="221">
        <v>475</v>
      </c>
      <c r="R40" s="221">
        <v>475</v>
      </c>
    </row>
    <row r="41" spans="2:18" x14ac:dyDescent="0.2"/>
    <row r="42" spans="2:18" x14ac:dyDescent="0.2"/>
    <row r="43" spans="2:18" x14ac:dyDescent="0.2"/>
    <row r="44" spans="2:18" x14ac:dyDescent="0.2"/>
  </sheetData>
  <pageMargins left="0.7" right="0.7" top="0.75" bottom="0.75" header="0.3" footer="0.3"/>
  <pageSetup orientation="portrait" r:id="rId1"/>
  <headerFooter>
    <oddFooter>&amp;C_x000D_&amp;1#&amp;"Calibri"&amp;10&amp;K000000 Business External</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A841D-1490-49BA-A87B-5B49D0D7F0DB}">
  <sheetPr codeName="Sheet4">
    <tabColor theme="3"/>
  </sheetPr>
  <dimension ref="B1:AR64"/>
  <sheetViews>
    <sheetView showGridLines="0" zoomScale="80" zoomScaleNormal="80" workbookViewId="0">
      <selection activeCell="D22" sqref="D22"/>
    </sheetView>
  </sheetViews>
  <sheetFormatPr defaultRowHeight="12.75" zeroHeight="1" outlineLevelRow="1" outlineLevelCol="1" x14ac:dyDescent="0.2"/>
  <cols>
    <col min="1" max="1" width="4.5703125" customWidth="1"/>
    <col min="2" max="2" width="30.85546875" customWidth="1"/>
    <col min="3" max="3" width="27.85546875" customWidth="1"/>
    <col min="4" max="4" width="31.42578125" customWidth="1"/>
    <col min="5" max="5" width="5.85546875" customWidth="1" outlineLevel="1"/>
    <col min="6" max="6" width="22.5703125" customWidth="1" outlineLevel="1"/>
    <col min="7" max="11" width="17.42578125" customWidth="1" outlineLevel="1"/>
    <col min="12" max="12" width="17.85546875" customWidth="1" outlineLevel="1"/>
    <col min="13" max="13" width="8.5703125" customWidth="1" outlineLevel="1"/>
    <col min="14" max="14" width="22.5703125" customWidth="1" outlineLevel="1"/>
    <col min="15" max="19" width="17.42578125" customWidth="1" outlineLevel="1"/>
    <col min="20" max="20" width="17.85546875" customWidth="1" outlineLevel="1"/>
    <col min="21" max="21" width="8.5703125" customWidth="1"/>
    <col min="22" max="22" width="22.5703125" customWidth="1"/>
    <col min="23" max="27" width="17.42578125" customWidth="1"/>
    <col min="28" max="28" width="17.85546875" customWidth="1"/>
    <col min="29" max="29" width="4.42578125" customWidth="1"/>
    <col min="30" max="30" width="22.5703125" customWidth="1"/>
    <col min="31" max="35" width="17.42578125" customWidth="1"/>
    <col min="36" max="36" width="17.85546875" customWidth="1"/>
    <col min="37" max="37" width="15.85546875" customWidth="1"/>
    <col min="38" max="38" width="22.5703125" customWidth="1"/>
    <col min="39" max="43" width="17.42578125" customWidth="1"/>
    <col min="44" max="44" width="17.85546875" customWidth="1"/>
  </cols>
  <sheetData>
    <row r="1" spans="2:44" s="28" customFormat="1" ht="38.1" customHeight="1" x14ac:dyDescent="0.2">
      <c r="D1" s="28" t="str" cm="1">
        <f t="array" aca="1" ref="D1" ca="1">MID(CELL("filename",A1),FIND("]",CELL("filename",A1))+1,255)</f>
        <v>Calculation - Summarized</v>
      </c>
    </row>
    <row r="2" spans="2:44" s="92" customFormat="1" ht="38.1" customHeight="1" x14ac:dyDescent="0.2"/>
    <row r="3" spans="2:44" s="92" customFormat="1" ht="15.75" outlineLevel="1" x14ac:dyDescent="0.2">
      <c r="F3" s="92" t="str">
        <f>$G$4&amp;" - "&amp;F7</f>
        <v>Vessel 1 - ICE - LSFO - 2020</v>
      </c>
      <c r="G3" s="92" t="str">
        <f t="shared" ref="G3:L3" si="0">$G$4&amp;" - "&amp;G7</f>
        <v>Vessel 1 - ICE - LSFO - 2025</v>
      </c>
      <c r="H3" s="92" t="str">
        <f t="shared" si="0"/>
        <v>Vessel 1 - ICE - LSFO - 2030</v>
      </c>
      <c r="I3" s="92" t="str">
        <f t="shared" si="0"/>
        <v>Vessel 1 - ICE - LSFO - 2035</v>
      </c>
      <c r="J3" s="92" t="str">
        <f t="shared" si="0"/>
        <v>Vessel 1 - ICE - LSFO - 2040</v>
      </c>
      <c r="K3" s="92" t="str">
        <f t="shared" si="0"/>
        <v>Vessel 1 - ICE - LSFO - 2045</v>
      </c>
      <c r="L3" s="92" t="str">
        <f t="shared" si="0"/>
        <v>Vessel 1 - ICE - LSFO - 2050</v>
      </c>
      <c r="N3" s="92" t="str">
        <f>$O$4&amp;" - "&amp;N7</f>
        <v>Vessel 2 - ICE - LNG - 2020</v>
      </c>
      <c r="O3" s="92" t="str">
        <f t="shared" ref="O3:T3" si="1">$O$4&amp;" - "&amp;O7</f>
        <v>Vessel 2 - ICE - LNG - 2025</v>
      </c>
      <c r="P3" s="92" t="str">
        <f t="shared" si="1"/>
        <v>Vessel 2 - ICE - LNG - 2030</v>
      </c>
      <c r="Q3" s="92" t="str">
        <f t="shared" si="1"/>
        <v>Vessel 2 - ICE - LNG - 2035</v>
      </c>
      <c r="R3" s="92" t="str">
        <f t="shared" si="1"/>
        <v>Vessel 2 - ICE - LNG - 2040</v>
      </c>
      <c r="S3" s="92" t="str">
        <f t="shared" si="1"/>
        <v>Vessel 2 - ICE - LNG - 2045</v>
      </c>
      <c r="T3" s="92" t="str">
        <f t="shared" si="1"/>
        <v>Vessel 2 - ICE - LNG - 2050</v>
      </c>
      <c r="V3" s="92" t="str">
        <f>$W$4&amp;" - "&amp;V7</f>
        <v>Vessel 3 - ICE - e-Ammonia - 2020</v>
      </c>
      <c r="W3" s="92" t="str">
        <f t="shared" ref="W3:AB3" si="2">$W$4&amp;" - "&amp;W7</f>
        <v>Vessel 3 - ICE - e-Ammonia - 2025</v>
      </c>
      <c r="X3" s="92" t="str">
        <f t="shared" si="2"/>
        <v>Vessel 3 - ICE - e-Ammonia - 2030</v>
      </c>
      <c r="Y3" s="92" t="str">
        <f t="shared" si="2"/>
        <v>Vessel 3 - ICE - e-Ammonia - 2035</v>
      </c>
      <c r="Z3" s="92" t="str">
        <f t="shared" si="2"/>
        <v>Vessel 3 - ICE - e-Ammonia - 2040</v>
      </c>
      <c r="AA3" s="92" t="str">
        <f t="shared" si="2"/>
        <v>Vessel 3 - ICE - e-Ammonia - 2045</v>
      </c>
      <c r="AB3" s="92" t="str">
        <f t="shared" si="2"/>
        <v>Vessel 3 - ICE - e-Ammonia - 2050</v>
      </c>
      <c r="AD3" s="92" t="str">
        <f>$AE$4&amp;" - "&amp;AD7</f>
        <v>Vessel 4 - ICE - Blue ammonia - 2020</v>
      </c>
      <c r="AE3" s="92" t="str">
        <f t="shared" ref="AE3:AJ3" si="3">$AE$4&amp;" - "&amp;AE7</f>
        <v>Vessel 4 - ICE - Blue ammonia - 2025</v>
      </c>
      <c r="AF3" s="92" t="str">
        <f t="shared" si="3"/>
        <v>Vessel 4 - ICE - Blue ammonia - 2030</v>
      </c>
      <c r="AG3" s="92" t="str">
        <f t="shared" si="3"/>
        <v>Vessel 4 - ICE - Blue ammonia - 2035</v>
      </c>
      <c r="AH3" s="92" t="str">
        <f t="shared" si="3"/>
        <v>Vessel 4 - ICE - Blue ammonia - 2040</v>
      </c>
      <c r="AI3" s="92" t="str">
        <f t="shared" si="3"/>
        <v>Vessel 4 - ICE - Blue ammonia - 2045</v>
      </c>
      <c r="AJ3" s="92" t="str">
        <f t="shared" si="3"/>
        <v>Vessel 4 - ICE - Blue ammonia - 2050</v>
      </c>
      <c r="AL3" s="92" t="str">
        <f>$AM$4&amp;" - "&amp;AL7</f>
        <v>Vessel 5 - ICE - Biomethanol - 2020</v>
      </c>
      <c r="AM3" s="92" t="str">
        <f t="shared" ref="AM3:AR3" si="4">$AM$4&amp;" - "&amp;AM7</f>
        <v>Vessel 5 - ICE - Biomethanol - 2025</v>
      </c>
      <c r="AN3" s="92" t="str">
        <f t="shared" si="4"/>
        <v>Vessel 5 - ICE - Biomethanol - 2030</v>
      </c>
      <c r="AO3" s="92" t="str">
        <f t="shared" si="4"/>
        <v>Vessel 5 - ICE - Biomethanol - 2035</v>
      </c>
      <c r="AP3" s="92" t="str">
        <f t="shared" si="4"/>
        <v>Vessel 5 - ICE - Biomethanol - 2040</v>
      </c>
      <c r="AQ3" s="92" t="str">
        <f t="shared" si="4"/>
        <v>Vessel 5 - ICE - Biomethanol - 2045</v>
      </c>
      <c r="AR3" s="92" t="str">
        <f t="shared" si="4"/>
        <v>Vessel 5 - ICE - Biomethanol - 2050</v>
      </c>
    </row>
    <row r="4" spans="2:44" ht="21" x14ac:dyDescent="0.5">
      <c r="F4">
        <v>1</v>
      </c>
      <c r="G4" s="7" t="str" cm="1">
        <f t="array" ref="G4">INDEX(configured_names_ME_short,F4)</f>
        <v>Vessel 1 - ICE - LSFO</v>
      </c>
      <c r="N4">
        <f>MAX(C4:J4)+1</f>
        <v>2</v>
      </c>
      <c r="O4" s="7" t="str" cm="1">
        <f t="array" ref="O4">INDEX(configured_names_ME_short,N4)</f>
        <v>Vessel 2 - ICE - LNG</v>
      </c>
      <c r="V4">
        <f>MAX(N4:R4)+1</f>
        <v>3</v>
      </c>
      <c r="W4" s="7" t="str" cm="1">
        <f t="array" ref="W4">INDEX(configured_names_ME_short,V4)</f>
        <v>Vessel 3 - ICE - e-Ammonia</v>
      </c>
      <c r="AD4">
        <f>MAX(V4:Z4)+1</f>
        <v>4</v>
      </c>
      <c r="AE4" s="7" t="str" cm="1">
        <f t="array" ref="AE4">INDEX(configured_names_ME_short,AD4)</f>
        <v>Vessel 4 - ICE - Blue ammonia</v>
      </c>
      <c r="AL4">
        <f>MAX(AD4:AH4)+1</f>
        <v>5</v>
      </c>
      <c r="AM4" s="7" t="str" cm="1">
        <f t="array" ref="AM4">INDEX(configured_names_ME_short,AL4)</f>
        <v>Vessel 5 - ICE - Biomethanol</v>
      </c>
    </row>
    <row r="5" spans="2:44" s="1" customFormat="1" ht="21" hidden="1" outlineLevel="1" x14ac:dyDescent="0.5">
      <c r="F5" s="1" t="str">
        <f t="shared" ref="F5:L5" si="5">F7&amp;F6</f>
        <v>2020Vessel 1</v>
      </c>
      <c r="G5" s="1" t="str">
        <f t="shared" si="5"/>
        <v>2025Vessel 1</v>
      </c>
      <c r="H5" s="1" t="str">
        <f t="shared" si="5"/>
        <v>2030Vessel 1</v>
      </c>
      <c r="I5" s="1" t="str">
        <f t="shared" si="5"/>
        <v>2035Vessel 1</v>
      </c>
      <c r="J5" s="1" t="str">
        <f t="shared" si="5"/>
        <v>2040Vessel 1</v>
      </c>
      <c r="K5" s="1" t="str">
        <f t="shared" si="5"/>
        <v>2045Vessel 1</v>
      </c>
      <c r="L5" s="1" t="str">
        <f t="shared" si="5"/>
        <v>2050Vessel 1</v>
      </c>
      <c r="N5" s="1" t="str">
        <f t="shared" ref="N5:T5" si="6">N7&amp;N6</f>
        <v>2020Vessel 2</v>
      </c>
      <c r="O5" s="1" t="str">
        <f t="shared" si="6"/>
        <v>2025Vessel 2</v>
      </c>
      <c r="P5" s="1" t="str">
        <f t="shared" si="6"/>
        <v>2030Vessel 2</v>
      </c>
      <c r="Q5" s="1" t="str">
        <f t="shared" si="6"/>
        <v>2035Vessel 2</v>
      </c>
      <c r="R5" s="1" t="str">
        <f t="shared" si="6"/>
        <v>2040Vessel 2</v>
      </c>
      <c r="S5" s="1" t="str">
        <f t="shared" si="6"/>
        <v>2045Vessel 2</v>
      </c>
      <c r="T5" s="1" t="str">
        <f t="shared" si="6"/>
        <v>2050Vessel 2</v>
      </c>
      <c r="V5" s="1" t="str">
        <f t="shared" ref="V5:AB5" si="7">V7&amp;V6</f>
        <v>2020Vessel 3</v>
      </c>
      <c r="W5" s="1" t="str">
        <f t="shared" si="7"/>
        <v>2025Vessel 3</v>
      </c>
      <c r="X5" s="1" t="str">
        <f t="shared" si="7"/>
        <v>2030Vessel 3</v>
      </c>
      <c r="Y5" s="1" t="str">
        <f t="shared" si="7"/>
        <v>2035Vessel 3</v>
      </c>
      <c r="Z5" s="1" t="str">
        <f t="shared" si="7"/>
        <v>2040Vessel 3</v>
      </c>
      <c r="AA5" s="1" t="str">
        <f t="shared" si="7"/>
        <v>2045Vessel 3</v>
      </c>
      <c r="AB5" s="1" t="str">
        <f t="shared" si="7"/>
        <v>2050Vessel 3</v>
      </c>
      <c r="AD5" s="1" t="str">
        <f t="shared" ref="AD5:AJ5" si="8">AD7&amp;AD6</f>
        <v>2020Vessel 4</v>
      </c>
      <c r="AE5" s="1" t="str">
        <f t="shared" si="8"/>
        <v>2025Vessel 4</v>
      </c>
      <c r="AF5" s="1" t="str">
        <f t="shared" si="8"/>
        <v>2030Vessel 4</v>
      </c>
      <c r="AG5" s="1" t="str">
        <f t="shared" si="8"/>
        <v>2035Vessel 4</v>
      </c>
      <c r="AH5" s="1" t="str">
        <f t="shared" si="8"/>
        <v>2040Vessel 4</v>
      </c>
      <c r="AI5" s="1" t="str">
        <f t="shared" si="8"/>
        <v>2045Vessel 4</v>
      </c>
      <c r="AJ5" s="1" t="str">
        <f t="shared" si="8"/>
        <v>2050Vessel 4</v>
      </c>
      <c r="AL5" s="1" t="str">
        <f t="shared" ref="AL5:AR5" si="9">AL7&amp;AL6</f>
        <v>2020Vessel 5</v>
      </c>
      <c r="AM5" s="1" t="str">
        <f t="shared" si="9"/>
        <v>2025Vessel 5</v>
      </c>
      <c r="AN5" s="1" t="str">
        <f t="shared" si="9"/>
        <v>2030Vessel 5</v>
      </c>
      <c r="AO5" s="1" t="str">
        <f t="shared" si="9"/>
        <v>2035Vessel 5</v>
      </c>
      <c r="AP5" s="1" t="str">
        <f t="shared" si="9"/>
        <v>2040Vessel 5</v>
      </c>
      <c r="AQ5" s="1" t="str">
        <f t="shared" si="9"/>
        <v>2045Vessel 5</v>
      </c>
      <c r="AR5" s="1" t="str">
        <f t="shared" si="9"/>
        <v>2050Vessel 5</v>
      </c>
    </row>
    <row r="6" spans="2:44" s="1" customFormat="1" ht="21" collapsed="1" x14ac:dyDescent="0.5">
      <c r="B6" s="69" t="s">
        <v>206</v>
      </c>
      <c r="C6" s="69"/>
      <c r="D6" s="69"/>
      <c r="F6" s="1" t="s">
        <v>99</v>
      </c>
      <c r="G6" s="1" t="s">
        <v>99</v>
      </c>
      <c r="H6" s="1" t="s">
        <v>99</v>
      </c>
      <c r="I6" s="1" t="s">
        <v>99</v>
      </c>
      <c r="J6" s="1" t="s">
        <v>99</v>
      </c>
      <c r="K6" s="1" t="s">
        <v>99</v>
      </c>
      <c r="L6" s="1" t="s">
        <v>99</v>
      </c>
      <c r="N6" s="1" t="s">
        <v>100</v>
      </c>
      <c r="O6" s="1" t="str">
        <f t="shared" ref="O6:T6" si="10">N6</f>
        <v>Vessel 2</v>
      </c>
      <c r="P6" s="1" t="str">
        <f t="shared" si="10"/>
        <v>Vessel 2</v>
      </c>
      <c r="Q6" s="1" t="str">
        <f t="shared" si="10"/>
        <v>Vessel 2</v>
      </c>
      <c r="R6" s="1" t="str">
        <f t="shared" si="10"/>
        <v>Vessel 2</v>
      </c>
      <c r="S6" s="1" t="str">
        <f t="shared" si="10"/>
        <v>Vessel 2</v>
      </c>
      <c r="T6" s="1" t="str">
        <f t="shared" si="10"/>
        <v>Vessel 2</v>
      </c>
      <c r="V6" s="1" t="s">
        <v>101</v>
      </c>
      <c r="W6" s="1" t="str">
        <f t="shared" ref="W6:AB6" si="11">V6</f>
        <v>Vessel 3</v>
      </c>
      <c r="X6" s="1" t="str">
        <f t="shared" si="11"/>
        <v>Vessel 3</v>
      </c>
      <c r="Y6" s="1" t="str">
        <f t="shared" si="11"/>
        <v>Vessel 3</v>
      </c>
      <c r="Z6" s="1" t="str">
        <f t="shared" si="11"/>
        <v>Vessel 3</v>
      </c>
      <c r="AA6" s="1" t="str">
        <f t="shared" si="11"/>
        <v>Vessel 3</v>
      </c>
      <c r="AB6" s="1" t="str">
        <f t="shared" si="11"/>
        <v>Vessel 3</v>
      </c>
      <c r="AD6" s="1" t="s">
        <v>102</v>
      </c>
      <c r="AE6" s="1" t="str">
        <f t="shared" ref="AE6:AJ6" si="12">AD6</f>
        <v>Vessel 4</v>
      </c>
      <c r="AF6" s="1" t="str">
        <f t="shared" si="12"/>
        <v>Vessel 4</v>
      </c>
      <c r="AG6" s="1" t="str">
        <f t="shared" si="12"/>
        <v>Vessel 4</v>
      </c>
      <c r="AH6" s="1" t="str">
        <f t="shared" si="12"/>
        <v>Vessel 4</v>
      </c>
      <c r="AI6" s="1" t="str">
        <f t="shared" si="12"/>
        <v>Vessel 4</v>
      </c>
      <c r="AJ6" s="1" t="str">
        <f t="shared" si="12"/>
        <v>Vessel 4</v>
      </c>
      <c r="AL6" s="1" t="str">
        <f>"Vessel "&amp;AL4</f>
        <v>Vessel 5</v>
      </c>
      <c r="AM6" s="1" t="str">
        <f t="shared" ref="AM6:AR6" si="13">AL6</f>
        <v>Vessel 5</v>
      </c>
      <c r="AN6" s="1" t="str">
        <f t="shared" si="13"/>
        <v>Vessel 5</v>
      </c>
      <c r="AO6" s="1" t="str">
        <f t="shared" si="13"/>
        <v>Vessel 5</v>
      </c>
      <c r="AP6" s="1" t="str">
        <f t="shared" si="13"/>
        <v>Vessel 5</v>
      </c>
      <c r="AQ6" s="1" t="str">
        <f t="shared" si="13"/>
        <v>Vessel 5</v>
      </c>
      <c r="AR6" s="1" t="str">
        <f t="shared" si="13"/>
        <v>Vessel 5</v>
      </c>
    </row>
    <row r="7" spans="2:44" ht="21" x14ac:dyDescent="0.5">
      <c r="B7" s="36" t="s">
        <v>207</v>
      </c>
      <c r="C7" s="36" t="s">
        <v>208</v>
      </c>
      <c r="D7" s="36" t="s">
        <v>86</v>
      </c>
      <c r="E7" s="7"/>
      <c r="F7" s="36">
        <v>2020</v>
      </c>
      <c r="G7" s="36">
        <v>2025</v>
      </c>
      <c r="H7" s="36">
        <v>2030</v>
      </c>
      <c r="I7" s="36">
        <v>2035</v>
      </c>
      <c r="J7" s="36">
        <v>2040</v>
      </c>
      <c r="K7" s="36">
        <v>2045</v>
      </c>
      <c r="L7" s="36">
        <v>2050</v>
      </c>
      <c r="N7" s="36">
        <v>2020</v>
      </c>
      <c r="O7" s="36">
        <v>2025</v>
      </c>
      <c r="P7" s="36">
        <v>2030</v>
      </c>
      <c r="Q7" s="36">
        <v>2035</v>
      </c>
      <c r="R7" s="36">
        <v>2040</v>
      </c>
      <c r="S7" s="36">
        <v>2045</v>
      </c>
      <c r="T7" s="36">
        <v>2050</v>
      </c>
      <c r="V7" s="36">
        <v>2020</v>
      </c>
      <c r="W7" s="36">
        <v>2025</v>
      </c>
      <c r="X7" s="36">
        <v>2030</v>
      </c>
      <c r="Y7" s="36">
        <v>2035</v>
      </c>
      <c r="Z7" s="36">
        <v>2040</v>
      </c>
      <c r="AA7" s="36">
        <v>2045</v>
      </c>
      <c r="AB7" s="36">
        <v>2050</v>
      </c>
      <c r="AD7" s="36">
        <v>2020</v>
      </c>
      <c r="AE7" s="36">
        <v>2025</v>
      </c>
      <c r="AF7" s="36">
        <v>2030</v>
      </c>
      <c r="AG7" s="36">
        <v>2035</v>
      </c>
      <c r="AH7" s="36">
        <v>2040</v>
      </c>
      <c r="AI7" s="36">
        <v>2045</v>
      </c>
      <c r="AJ7" s="36">
        <v>2050</v>
      </c>
      <c r="AL7" s="36">
        <v>2020</v>
      </c>
      <c r="AM7" s="36">
        <v>2025</v>
      </c>
      <c r="AN7" s="36">
        <v>2030</v>
      </c>
      <c r="AO7" s="36">
        <v>2035</v>
      </c>
      <c r="AP7" s="36">
        <v>2040</v>
      </c>
      <c r="AQ7" s="36">
        <v>2045</v>
      </c>
      <c r="AR7" s="36">
        <v>2050</v>
      </c>
    </row>
    <row r="8" spans="2:44" ht="21" x14ac:dyDescent="0.5">
      <c r="B8" s="34" t="s">
        <v>209</v>
      </c>
      <c r="C8" s="34" t="s">
        <v>210</v>
      </c>
      <c r="D8" s="34" t="s">
        <v>211</v>
      </c>
      <c r="E8" s="10"/>
      <c r="F8" s="37">
        <f ca="1">F9+F14</f>
        <v>10105957.5</v>
      </c>
      <c r="G8" s="37">
        <f t="shared" ref="G8:L8" ca="1" si="14">G9+G14</f>
        <v>10105957.5</v>
      </c>
      <c r="H8" s="37">
        <f t="shared" ca="1" si="14"/>
        <v>10105957.5</v>
      </c>
      <c r="I8" s="37">
        <f t="shared" ca="1" si="14"/>
        <v>10105957.5</v>
      </c>
      <c r="J8" s="37">
        <f t="shared" ca="1" si="14"/>
        <v>10105957.5</v>
      </c>
      <c r="K8" s="37">
        <f t="shared" ca="1" si="14"/>
        <v>10105957.5</v>
      </c>
      <c r="L8" s="37">
        <f t="shared" ca="1" si="14"/>
        <v>10105957.5</v>
      </c>
      <c r="N8" s="37">
        <f ca="1">N9+N14</f>
        <v>12772353.375</v>
      </c>
      <c r="O8" s="37">
        <f t="shared" ref="O8" ca="1" si="15">O9+O14</f>
        <v>12772353.375</v>
      </c>
      <c r="P8" s="37">
        <f t="shared" ref="P8" ca="1" si="16">P9+P14</f>
        <v>12772353.375</v>
      </c>
      <c r="Q8" s="37">
        <f t="shared" ref="Q8" ca="1" si="17">Q9+Q14</f>
        <v>12772353.375</v>
      </c>
      <c r="R8" s="37">
        <f t="shared" ref="R8" ca="1" si="18">R9+R14</f>
        <v>12772353.375</v>
      </c>
      <c r="S8" s="37">
        <f t="shared" ref="S8" ca="1" si="19">S9+S14</f>
        <v>12772353.375</v>
      </c>
      <c r="T8" s="37">
        <f t="shared" ref="T8" ca="1" si="20">T9+T14</f>
        <v>12772353.375</v>
      </c>
      <c r="V8" s="37">
        <f ca="1">V9+V14</f>
        <v>12027268.375</v>
      </c>
      <c r="W8" s="37">
        <f t="shared" ref="W8" ca="1" si="21">W9+W14</f>
        <v>12027268.375</v>
      </c>
      <c r="X8" s="37">
        <f t="shared" ref="X8" ca="1" si="22">X9+X14</f>
        <v>12027268.375</v>
      </c>
      <c r="Y8" s="37">
        <f t="shared" ref="Y8" ca="1" si="23">Y9+Y14</f>
        <v>12027268.375</v>
      </c>
      <c r="Z8" s="37">
        <f t="shared" ref="Z8" ca="1" si="24">Z9+Z14</f>
        <v>12027268.375</v>
      </c>
      <c r="AA8" s="37">
        <f t="shared" ref="AA8" ca="1" si="25">AA9+AA14</f>
        <v>12027268.375</v>
      </c>
      <c r="AB8" s="37">
        <f t="shared" ref="AB8" ca="1" si="26">AB9+AB14</f>
        <v>12027268.375</v>
      </c>
      <c r="AD8" s="37">
        <f ca="1">AD9+AD14</f>
        <v>12027268.375</v>
      </c>
      <c r="AE8" s="37">
        <f t="shared" ref="AE8" ca="1" si="27">AE9+AE14</f>
        <v>12027268.375</v>
      </c>
      <c r="AF8" s="37">
        <f t="shared" ref="AF8" ca="1" si="28">AF9+AF14</f>
        <v>12027268.375</v>
      </c>
      <c r="AG8" s="37">
        <f t="shared" ref="AG8" ca="1" si="29">AG9+AG14</f>
        <v>12027268.375</v>
      </c>
      <c r="AH8" s="37">
        <f t="shared" ref="AH8" ca="1" si="30">AH9+AH14</f>
        <v>12027268.375</v>
      </c>
      <c r="AI8" s="37">
        <f t="shared" ref="AI8" ca="1" si="31">AI9+AI14</f>
        <v>12027268.375</v>
      </c>
      <c r="AJ8" s="37">
        <f t="shared" ref="AJ8" ca="1" si="32">AJ9+AJ14</f>
        <v>12027268.375</v>
      </c>
      <c r="AL8" s="37">
        <f ca="1">AL9+AL14</f>
        <v>11589413.375</v>
      </c>
      <c r="AM8" s="37">
        <f t="shared" ref="AM8" ca="1" si="33">AM9+AM14</f>
        <v>11589413.375</v>
      </c>
      <c r="AN8" s="37">
        <f t="shared" ref="AN8" ca="1" si="34">AN9+AN14</f>
        <v>11589413.375</v>
      </c>
      <c r="AO8" s="37">
        <f t="shared" ref="AO8" ca="1" si="35">AO9+AO14</f>
        <v>11589413.375</v>
      </c>
      <c r="AP8" s="37">
        <f t="shared" ref="AP8" ca="1" si="36">AP9+AP14</f>
        <v>11589413.375</v>
      </c>
      <c r="AQ8" s="37">
        <f t="shared" ref="AQ8" ca="1" si="37">AQ9+AQ14</f>
        <v>11589413.375</v>
      </c>
      <c r="AR8" s="37">
        <f t="shared" ref="AR8" ca="1" si="38">AR9+AR14</f>
        <v>11589413.375</v>
      </c>
    </row>
    <row r="9" spans="2:44" ht="21" x14ac:dyDescent="0.5">
      <c r="B9" s="34" t="s">
        <v>212</v>
      </c>
      <c r="C9" s="34" t="s">
        <v>213</v>
      </c>
      <c r="D9" s="34" t="s">
        <v>211</v>
      </c>
      <c r="E9" s="10"/>
      <c r="F9" s="37">
        <f ca="1">SUM(F10:F13)</f>
        <v>5850817.5</v>
      </c>
      <c r="G9" s="37">
        <f t="shared" ref="G9:L9" ca="1" si="39">SUM(G10:G13)</f>
        <v>5850817.5</v>
      </c>
      <c r="H9" s="37">
        <f t="shared" ca="1" si="39"/>
        <v>5850817.5</v>
      </c>
      <c r="I9" s="37">
        <f t="shared" ca="1" si="39"/>
        <v>5850817.5</v>
      </c>
      <c r="J9" s="37">
        <f t="shared" ca="1" si="39"/>
        <v>5850817.5</v>
      </c>
      <c r="K9" s="37">
        <f t="shared" ca="1" si="39"/>
        <v>5850817.5</v>
      </c>
      <c r="L9" s="37">
        <f t="shared" ca="1" si="39"/>
        <v>5850817.5</v>
      </c>
      <c r="N9" s="37">
        <f t="shared" ref="N9:T9" ca="1" si="40">SUM(N10:N13)</f>
        <v>7394520.375</v>
      </c>
      <c r="O9" s="37">
        <f t="shared" ca="1" si="40"/>
        <v>7394520.375</v>
      </c>
      <c r="P9" s="37">
        <f t="shared" ca="1" si="40"/>
        <v>7394520.375</v>
      </c>
      <c r="Q9" s="37">
        <f t="shared" ca="1" si="40"/>
        <v>7394520.375</v>
      </c>
      <c r="R9" s="37">
        <f t="shared" ca="1" si="40"/>
        <v>7394520.375</v>
      </c>
      <c r="S9" s="37">
        <f t="shared" ca="1" si="40"/>
        <v>7394520.375</v>
      </c>
      <c r="T9" s="37">
        <f t="shared" ca="1" si="40"/>
        <v>7394520.375</v>
      </c>
      <c r="V9" s="37">
        <f t="shared" ref="V9:AB9" ca="1" si="41">SUM(V10:V13)</f>
        <v>6963155.375</v>
      </c>
      <c r="W9" s="37">
        <f t="shared" ca="1" si="41"/>
        <v>6963155.375</v>
      </c>
      <c r="X9" s="37">
        <f t="shared" ca="1" si="41"/>
        <v>6963155.375</v>
      </c>
      <c r="Y9" s="37">
        <f t="shared" ca="1" si="41"/>
        <v>6963155.375</v>
      </c>
      <c r="Z9" s="37">
        <f t="shared" ca="1" si="41"/>
        <v>6963155.375</v>
      </c>
      <c r="AA9" s="37">
        <f t="shared" ca="1" si="41"/>
        <v>6963155.375</v>
      </c>
      <c r="AB9" s="37">
        <f t="shared" ca="1" si="41"/>
        <v>6963155.375</v>
      </c>
      <c r="AD9" s="37">
        <f t="shared" ref="AD9:AJ9" ca="1" si="42">SUM(AD10:AD13)</f>
        <v>6963155.375</v>
      </c>
      <c r="AE9" s="37">
        <f t="shared" ca="1" si="42"/>
        <v>6963155.375</v>
      </c>
      <c r="AF9" s="37">
        <f t="shared" ca="1" si="42"/>
        <v>6963155.375</v>
      </c>
      <c r="AG9" s="37">
        <f t="shared" ca="1" si="42"/>
        <v>6963155.375</v>
      </c>
      <c r="AH9" s="37">
        <f t="shared" ca="1" si="42"/>
        <v>6963155.375</v>
      </c>
      <c r="AI9" s="37">
        <f t="shared" ca="1" si="42"/>
        <v>6963155.375</v>
      </c>
      <c r="AJ9" s="37">
        <f t="shared" ca="1" si="42"/>
        <v>6963155.375</v>
      </c>
      <c r="AL9" s="37">
        <f t="shared" ref="AL9:AR9" ca="1" si="43">SUM(AL10:AL13)</f>
        <v>6709660.375</v>
      </c>
      <c r="AM9" s="37">
        <f t="shared" ca="1" si="43"/>
        <v>6709660.375</v>
      </c>
      <c r="AN9" s="37">
        <f t="shared" ca="1" si="43"/>
        <v>6709660.375</v>
      </c>
      <c r="AO9" s="37">
        <f t="shared" ca="1" si="43"/>
        <v>6709660.375</v>
      </c>
      <c r="AP9" s="37">
        <f t="shared" ca="1" si="43"/>
        <v>6709660.375</v>
      </c>
      <c r="AQ9" s="37">
        <f t="shared" ca="1" si="43"/>
        <v>6709660.375</v>
      </c>
      <c r="AR9" s="37">
        <f t="shared" ca="1" si="43"/>
        <v>6709660.375</v>
      </c>
    </row>
    <row r="10" spans="2:44" ht="21" x14ac:dyDescent="0.5">
      <c r="B10" s="40" t="s">
        <v>214</v>
      </c>
      <c r="C10" s="40" t="s">
        <v>179</v>
      </c>
      <c r="D10" s="4" t="s">
        <v>211</v>
      </c>
      <c r="E10" s="10"/>
      <c r="F10" s="38">
        <f ca="1">'Calculation - Detailed'!G31</f>
        <v>1595677.5</v>
      </c>
      <c r="G10" s="38">
        <f ca="1">'Calculation - Detailed'!H31</f>
        <v>1595677.5</v>
      </c>
      <c r="H10" s="38">
        <f ca="1">'Calculation - Detailed'!I31</f>
        <v>1595677.5</v>
      </c>
      <c r="I10" s="38">
        <f ca="1">'Calculation - Detailed'!J31</f>
        <v>1595677.5</v>
      </c>
      <c r="J10" s="38">
        <f ca="1">'Calculation - Detailed'!K31</f>
        <v>1595677.5</v>
      </c>
      <c r="K10" s="38">
        <f ca="1">'Calculation - Detailed'!L31</f>
        <v>1595677.5</v>
      </c>
      <c r="L10" s="38">
        <f ca="1">'Calculation - Detailed'!M31</f>
        <v>1595677.5</v>
      </c>
      <c r="N10" s="38">
        <f ca="1">'Calculation - Detailed'!AA31</f>
        <v>2016687.375</v>
      </c>
      <c r="O10" s="38">
        <f ca="1">'Calculation - Detailed'!AB31</f>
        <v>2016687.375</v>
      </c>
      <c r="P10" s="38">
        <f ca="1">'Calculation - Detailed'!AC31</f>
        <v>2016687.375</v>
      </c>
      <c r="Q10" s="38">
        <f ca="1">'Calculation - Detailed'!AD31</f>
        <v>2016687.375</v>
      </c>
      <c r="R10" s="38">
        <f ca="1">'Calculation - Detailed'!AE31</f>
        <v>2016687.375</v>
      </c>
      <c r="S10" s="38">
        <f ca="1">'Calculation - Detailed'!AF31</f>
        <v>2016687.375</v>
      </c>
      <c r="T10" s="38">
        <f ca="1">'Calculation - Detailed'!AG31</f>
        <v>2016687.375</v>
      </c>
      <c r="V10" s="38">
        <f ca="1">'Calculation - Detailed'!AU31</f>
        <v>1899042.375</v>
      </c>
      <c r="W10" s="38">
        <f ca="1">'Calculation - Detailed'!AV31</f>
        <v>1899042.375</v>
      </c>
      <c r="X10" s="38">
        <f ca="1">'Calculation - Detailed'!AW31</f>
        <v>1899042.375</v>
      </c>
      <c r="Y10" s="38">
        <f ca="1">'Calculation - Detailed'!AX31</f>
        <v>1899042.375</v>
      </c>
      <c r="Z10" s="38">
        <f ca="1">'Calculation - Detailed'!AY31</f>
        <v>1899042.375</v>
      </c>
      <c r="AA10" s="38">
        <f ca="1">'Calculation - Detailed'!AZ31</f>
        <v>1899042.375</v>
      </c>
      <c r="AB10" s="38">
        <f ca="1">'Calculation - Detailed'!BA31</f>
        <v>1899042.375</v>
      </c>
      <c r="AD10" s="38">
        <f ca="1">'Calculation - Detailed'!BO31</f>
        <v>1899042.375</v>
      </c>
      <c r="AE10" s="38">
        <f ca="1">'Calculation - Detailed'!BP31</f>
        <v>1899042.375</v>
      </c>
      <c r="AF10" s="38">
        <f ca="1">'Calculation - Detailed'!BQ31</f>
        <v>1899042.375</v>
      </c>
      <c r="AG10" s="38">
        <f ca="1">'Calculation - Detailed'!BR31</f>
        <v>1899042.375</v>
      </c>
      <c r="AH10" s="38">
        <f ca="1">'Calculation - Detailed'!BS31</f>
        <v>1899042.375</v>
      </c>
      <c r="AI10" s="38">
        <f ca="1">'Calculation - Detailed'!BT31</f>
        <v>1899042.375</v>
      </c>
      <c r="AJ10" s="38">
        <f ca="1">'Calculation - Detailed'!BU31</f>
        <v>1899042.375</v>
      </c>
      <c r="AL10" s="38">
        <f ca="1">'Calculation - Detailed'!CI31</f>
        <v>1829907.375</v>
      </c>
      <c r="AM10" s="38">
        <f ca="1">'Calculation - Detailed'!CJ31</f>
        <v>1829907.375</v>
      </c>
      <c r="AN10" s="38">
        <f ca="1">'Calculation - Detailed'!CK31</f>
        <v>1829907.375</v>
      </c>
      <c r="AO10" s="38">
        <f ca="1">'Calculation - Detailed'!CL31</f>
        <v>1829907.375</v>
      </c>
      <c r="AP10" s="38">
        <f ca="1">'Calculation - Detailed'!CM31</f>
        <v>1829907.375</v>
      </c>
      <c r="AQ10" s="38">
        <f ca="1">'Calculation - Detailed'!CN31</f>
        <v>1829907.375</v>
      </c>
      <c r="AR10" s="38">
        <f ca="1">'Calculation - Detailed'!CO31</f>
        <v>1829907.375</v>
      </c>
    </row>
    <row r="11" spans="2:44" ht="21" x14ac:dyDescent="0.5">
      <c r="B11" s="40" t="s">
        <v>214</v>
      </c>
      <c r="C11" s="40" t="s">
        <v>215</v>
      </c>
      <c r="D11" s="4" t="s">
        <v>211</v>
      </c>
      <c r="E11" s="10"/>
      <c r="F11" s="38">
        <f ca="1">'Calculation - Detailed'!G32</f>
        <v>0</v>
      </c>
      <c r="G11" s="38">
        <f ca="1">'Calculation - Detailed'!H32</f>
        <v>0</v>
      </c>
      <c r="H11" s="38">
        <f ca="1">'Calculation - Detailed'!I32</f>
        <v>0</v>
      </c>
      <c r="I11" s="38">
        <f ca="1">'Calculation - Detailed'!J32</f>
        <v>0</v>
      </c>
      <c r="J11" s="38">
        <f ca="1">'Calculation - Detailed'!K32</f>
        <v>0</v>
      </c>
      <c r="K11" s="38">
        <f ca="1">'Calculation - Detailed'!L32</f>
        <v>0</v>
      </c>
      <c r="L11" s="38">
        <f ca="1">'Calculation - Detailed'!M32</f>
        <v>0</v>
      </c>
      <c r="N11" s="38">
        <f ca="1">'Calculation - Detailed'!AA32</f>
        <v>0</v>
      </c>
      <c r="O11" s="38">
        <f ca="1">'Calculation - Detailed'!AB32</f>
        <v>0</v>
      </c>
      <c r="P11" s="38">
        <f ca="1">'Calculation - Detailed'!AC32</f>
        <v>0</v>
      </c>
      <c r="Q11" s="38">
        <f ca="1">'Calculation - Detailed'!AD32</f>
        <v>0</v>
      </c>
      <c r="R11" s="38">
        <f ca="1">'Calculation - Detailed'!AE32</f>
        <v>0</v>
      </c>
      <c r="S11" s="38">
        <f ca="1">'Calculation - Detailed'!AF32</f>
        <v>0</v>
      </c>
      <c r="T11" s="38">
        <f ca="1">'Calculation - Detailed'!AG32</f>
        <v>0</v>
      </c>
      <c r="V11" s="38">
        <f ca="1">'Calculation - Detailed'!AU32</f>
        <v>0</v>
      </c>
      <c r="W11" s="38">
        <f ca="1">'Calculation - Detailed'!AV32</f>
        <v>0</v>
      </c>
      <c r="X11" s="38">
        <f ca="1">'Calculation - Detailed'!AW32</f>
        <v>0</v>
      </c>
      <c r="Y11" s="38">
        <f ca="1">'Calculation - Detailed'!AX32</f>
        <v>0</v>
      </c>
      <c r="Z11" s="38">
        <f ca="1">'Calculation - Detailed'!AY32</f>
        <v>0</v>
      </c>
      <c r="AA11" s="38">
        <f ca="1">'Calculation - Detailed'!AZ32</f>
        <v>0</v>
      </c>
      <c r="AB11" s="38">
        <f ca="1">'Calculation - Detailed'!BA32</f>
        <v>0</v>
      </c>
      <c r="AD11" s="38">
        <f ca="1">'Calculation - Detailed'!BO32</f>
        <v>0</v>
      </c>
      <c r="AE11" s="38">
        <f ca="1">'Calculation - Detailed'!BP32</f>
        <v>0</v>
      </c>
      <c r="AF11" s="38">
        <f ca="1">'Calculation - Detailed'!BQ32</f>
        <v>0</v>
      </c>
      <c r="AG11" s="38">
        <f ca="1">'Calculation - Detailed'!BR32</f>
        <v>0</v>
      </c>
      <c r="AH11" s="38">
        <f ca="1">'Calculation - Detailed'!BS32</f>
        <v>0</v>
      </c>
      <c r="AI11" s="38">
        <f ca="1">'Calculation - Detailed'!BT32</f>
        <v>0</v>
      </c>
      <c r="AJ11" s="38">
        <f ca="1">'Calculation - Detailed'!BU32</f>
        <v>0</v>
      </c>
      <c r="AL11" s="38">
        <f ca="1">'Calculation - Detailed'!CI32</f>
        <v>0</v>
      </c>
      <c r="AM11" s="38">
        <f ca="1">'Calculation - Detailed'!CJ32</f>
        <v>0</v>
      </c>
      <c r="AN11" s="38">
        <f ca="1">'Calculation - Detailed'!CK32</f>
        <v>0</v>
      </c>
      <c r="AO11" s="38">
        <f ca="1">'Calculation - Detailed'!CL32</f>
        <v>0</v>
      </c>
      <c r="AP11" s="38">
        <f ca="1">'Calculation - Detailed'!CM32</f>
        <v>0</v>
      </c>
      <c r="AQ11" s="38">
        <f ca="1">'Calculation - Detailed'!CN32</f>
        <v>0</v>
      </c>
      <c r="AR11" s="38">
        <f ca="1">'Calculation - Detailed'!CO32</f>
        <v>0</v>
      </c>
    </row>
    <row r="12" spans="2:44" ht="21" x14ac:dyDescent="0.5">
      <c r="B12" s="40" t="s">
        <v>214</v>
      </c>
      <c r="C12" s="40" t="s">
        <v>177</v>
      </c>
      <c r="D12" s="4" t="s">
        <v>211</v>
      </c>
      <c r="E12" s="10"/>
      <c r="F12" s="38">
        <f ca="1">'Calculation - Detailed'!G35</f>
        <v>4255140</v>
      </c>
      <c r="G12" s="38">
        <f ca="1">'Calculation - Detailed'!H35</f>
        <v>4255140</v>
      </c>
      <c r="H12" s="38">
        <f ca="1">'Calculation - Detailed'!I35</f>
        <v>4255140</v>
      </c>
      <c r="I12" s="38">
        <f ca="1">'Calculation - Detailed'!J35</f>
        <v>4255140</v>
      </c>
      <c r="J12" s="38">
        <f ca="1">'Calculation - Detailed'!K35</f>
        <v>4255140</v>
      </c>
      <c r="K12" s="38">
        <f ca="1">'Calculation - Detailed'!L35</f>
        <v>4255140</v>
      </c>
      <c r="L12" s="38">
        <f ca="1">'Calculation - Detailed'!M35</f>
        <v>4255140</v>
      </c>
      <c r="N12" s="38">
        <f ca="1">'Calculation - Detailed'!AA35</f>
        <v>5377833</v>
      </c>
      <c r="O12" s="38">
        <f ca="1">'Calculation - Detailed'!AB35</f>
        <v>5377833</v>
      </c>
      <c r="P12" s="38">
        <f ca="1">'Calculation - Detailed'!AC35</f>
        <v>5377833</v>
      </c>
      <c r="Q12" s="38">
        <f ca="1">'Calculation - Detailed'!AD35</f>
        <v>5377833</v>
      </c>
      <c r="R12" s="38">
        <f ca="1">'Calculation - Detailed'!AE35</f>
        <v>5377833</v>
      </c>
      <c r="S12" s="38">
        <f ca="1">'Calculation - Detailed'!AF35</f>
        <v>5377833</v>
      </c>
      <c r="T12" s="38">
        <f ca="1">'Calculation - Detailed'!AG35</f>
        <v>5377833</v>
      </c>
      <c r="V12" s="38">
        <f ca="1">'Calculation - Detailed'!AU35</f>
        <v>5064113</v>
      </c>
      <c r="W12" s="38">
        <f ca="1">'Calculation - Detailed'!AV35</f>
        <v>5064113</v>
      </c>
      <c r="X12" s="38">
        <f ca="1">'Calculation - Detailed'!AW35</f>
        <v>5064113</v>
      </c>
      <c r="Y12" s="38">
        <f ca="1">'Calculation - Detailed'!AX35</f>
        <v>5064113</v>
      </c>
      <c r="Z12" s="38">
        <f ca="1">'Calculation - Detailed'!AY35</f>
        <v>5064113</v>
      </c>
      <c r="AA12" s="38">
        <f ca="1">'Calculation - Detailed'!AZ35</f>
        <v>5064113</v>
      </c>
      <c r="AB12" s="38">
        <f ca="1">'Calculation - Detailed'!BA35</f>
        <v>5064113</v>
      </c>
      <c r="AD12" s="38">
        <f ca="1">'Calculation - Detailed'!BO35</f>
        <v>5064113</v>
      </c>
      <c r="AE12" s="38">
        <f ca="1">'Calculation - Detailed'!BP35</f>
        <v>5064113</v>
      </c>
      <c r="AF12" s="38">
        <f ca="1">'Calculation - Detailed'!BQ35</f>
        <v>5064113</v>
      </c>
      <c r="AG12" s="38">
        <f ca="1">'Calculation - Detailed'!BR35</f>
        <v>5064113</v>
      </c>
      <c r="AH12" s="38">
        <f ca="1">'Calculation - Detailed'!BS35</f>
        <v>5064113</v>
      </c>
      <c r="AI12" s="38">
        <f ca="1">'Calculation - Detailed'!BT35</f>
        <v>5064113</v>
      </c>
      <c r="AJ12" s="38">
        <f ca="1">'Calculation - Detailed'!BU35</f>
        <v>5064113</v>
      </c>
      <c r="AL12" s="38">
        <f ca="1">'Calculation - Detailed'!CI35</f>
        <v>4879753</v>
      </c>
      <c r="AM12" s="38">
        <f ca="1">'Calculation - Detailed'!CJ35</f>
        <v>4879753</v>
      </c>
      <c r="AN12" s="38">
        <f ca="1">'Calculation - Detailed'!CK35</f>
        <v>4879753</v>
      </c>
      <c r="AO12" s="38">
        <f ca="1">'Calculation - Detailed'!CL35</f>
        <v>4879753</v>
      </c>
      <c r="AP12" s="38">
        <f ca="1">'Calculation - Detailed'!CM35</f>
        <v>4879753</v>
      </c>
      <c r="AQ12" s="38">
        <f ca="1">'Calculation - Detailed'!CN35</f>
        <v>4879753</v>
      </c>
      <c r="AR12" s="38">
        <f ca="1">'Calculation - Detailed'!CO35</f>
        <v>4879753</v>
      </c>
    </row>
    <row r="13" spans="2:44" ht="21" x14ac:dyDescent="0.5">
      <c r="B13" s="40" t="s">
        <v>214</v>
      </c>
      <c r="C13" s="40" t="s">
        <v>216</v>
      </c>
      <c r="D13" s="4" t="s">
        <v>211</v>
      </c>
      <c r="E13" s="10"/>
      <c r="F13" s="38">
        <f ca="1">'Calculation - Detailed'!G37</f>
        <v>0</v>
      </c>
      <c r="G13" s="38">
        <f ca="1">'Calculation - Detailed'!H37</f>
        <v>0</v>
      </c>
      <c r="H13" s="38">
        <f ca="1">'Calculation - Detailed'!I37</f>
        <v>0</v>
      </c>
      <c r="I13" s="38">
        <f ca="1">'Calculation - Detailed'!J37</f>
        <v>0</v>
      </c>
      <c r="J13" s="38">
        <f ca="1">'Calculation - Detailed'!K37</f>
        <v>0</v>
      </c>
      <c r="K13" s="38">
        <f ca="1">'Calculation - Detailed'!L37</f>
        <v>0</v>
      </c>
      <c r="L13" s="38">
        <f ca="1">'Calculation - Detailed'!M37</f>
        <v>0</v>
      </c>
      <c r="N13" s="38">
        <f ca="1">'Calculation - Detailed'!AA37</f>
        <v>0</v>
      </c>
      <c r="O13" s="38">
        <f ca="1">'Calculation - Detailed'!AB37</f>
        <v>0</v>
      </c>
      <c r="P13" s="38">
        <f ca="1">'Calculation - Detailed'!AC37</f>
        <v>0</v>
      </c>
      <c r="Q13" s="38">
        <f ca="1">'Calculation - Detailed'!AD37</f>
        <v>0</v>
      </c>
      <c r="R13" s="38">
        <f ca="1">'Calculation - Detailed'!AE37</f>
        <v>0</v>
      </c>
      <c r="S13" s="38">
        <f ca="1">'Calculation - Detailed'!AF37</f>
        <v>0</v>
      </c>
      <c r="T13" s="38">
        <f ca="1">'Calculation - Detailed'!AG37</f>
        <v>0</v>
      </c>
      <c r="V13" s="38">
        <f ca="1">'Calculation - Detailed'!AU37</f>
        <v>0</v>
      </c>
      <c r="W13" s="38">
        <f ca="1">'Calculation - Detailed'!AV37</f>
        <v>0</v>
      </c>
      <c r="X13" s="38">
        <f ca="1">'Calculation - Detailed'!AW37</f>
        <v>0</v>
      </c>
      <c r="Y13" s="38">
        <f ca="1">'Calculation - Detailed'!AX37</f>
        <v>0</v>
      </c>
      <c r="Z13" s="38">
        <f ca="1">'Calculation - Detailed'!AY37</f>
        <v>0</v>
      </c>
      <c r="AA13" s="38">
        <f ca="1">'Calculation - Detailed'!AZ37</f>
        <v>0</v>
      </c>
      <c r="AB13" s="38">
        <f ca="1">'Calculation - Detailed'!BA37</f>
        <v>0</v>
      </c>
      <c r="AD13" s="38">
        <f ca="1">'Calculation - Detailed'!BO37</f>
        <v>0</v>
      </c>
      <c r="AE13" s="38">
        <f ca="1">'Calculation - Detailed'!BP37</f>
        <v>0</v>
      </c>
      <c r="AF13" s="38">
        <f ca="1">'Calculation - Detailed'!BQ37</f>
        <v>0</v>
      </c>
      <c r="AG13" s="38">
        <f ca="1">'Calculation - Detailed'!BR37</f>
        <v>0</v>
      </c>
      <c r="AH13" s="38">
        <f ca="1">'Calculation - Detailed'!BS37</f>
        <v>0</v>
      </c>
      <c r="AI13" s="38">
        <f ca="1">'Calculation - Detailed'!BT37</f>
        <v>0</v>
      </c>
      <c r="AJ13" s="38">
        <f ca="1">'Calculation - Detailed'!BU37</f>
        <v>0</v>
      </c>
      <c r="AL13" s="38">
        <f ca="1">'Calculation - Detailed'!CI37</f>
        <v>0</v>
      </c>
      <c r="AM13" s="38">
        <f ca="1">'Calculation - Detailed'!CJ37</f>
        <v>0</v>
      </c>
      <c r="AN13" s="38">
        <f ca="1">'Calculation - Detailed'!CK37</f>
        <v>0</v>
      </c>
      <c r="AO13" s="38">
        <f ca="1">'Calculation - Detailed'!CL37</f>
        <v>0</v>
      </c>
      <c r="AP13" s="38">
        <f ca="1">'Calculation - Detailed'!CM37</f>
        <v>0</v>
      </c>
      <c r="AQ13" s="38">
        <f ca="1">'Calculation - Detailed'!CN37</f>
        <v>0</v>
      </c>
      <c r="AR13" s="38">
        <f ca="1">'Calculation - Detailed'!CO37</f>
        <v>0</v>
      </c>
    </row>
    <row r="14" spans="2:44" ht="21" x14ac:dyDescent="0.5">
      <c r="B14" s="34" t="s">
        <v>50</v>
      </c>
      <c r="C14" s="34" t="s">
        <v>217</v>
      </c>
      <c r="D14" s="34" t="s">
        <v>211</v>
      </c>
      <c r="E14" s="10"/>
      <c r="F14" s="37">
        <f ca="1">SUM(F15:F22)</f>
        <v>4255140</v>
      </c>
      <c r="G14" s="37">
        <f t="shared" ref="G14:L14" ca="1" si="44">SUM(G15:G22)</f>
        <v>4255140</v>
      </c>
      <c r="H14" s="37">
        <f t="shared" ca="1" si="44"/>
        <v>4255140</v>
      </c>
      <c r="I14" s="37">
        <f t="shared" ca="1" si="44"/>
        <v>4255140</v>
      </c>
      <c r="J14" s="37">
        <f t="shared" ca="1" si="44"/>
        <v>4255140</v>
      </c>
      <c r="K14" s="37">
        <f t="shared" ca="1" si="44"/>
        <v>4255140</v>
      </c>
      <c r="L14" s="37">
        <f t="shared" ca="1" si="44"/>
        <v>4255140</v>
      </c>
      <c r="N14" s="37">
        <f t="shared" ref="N14:T14" ca="1" si="45">SUM(N15:N22)</f>
        <v>5377833</v>
      </c>
      <c r="O14" s="37">
        <f t="shared" ca="1" si="45"/>
        <v>5377833</v>
      </c>
      <c r="P14" s="37">
        <f t="shared" ca="1" si="45"/>
        <v>5377833</v>
      </c>
      <c r="Q14" s="37">
        <f t="shared" ca="1" si="45"/>
        <v>5377833</v>
      </c>
      <c r="R14" s="37">
        <f t="shared" ca="1" si="45"/>
        <v>5377833</v>
      </c>
      <c r="S14" s="37">
        <f t="shared" ca="1" si="45"/>
        <v>5377833</v>
      </c>
      <c r="T14" s="37">
        <f t="shared" ca="1" si="45"/>
        <v>5377833</v>
      </c>
      <c r="V14" s="37">
        <f t="shared" ref="V14:AB14" ca="1" si="46">SUM(V15:V22)</f>
        <v>5064113</v>
      </c>
      <c r="W14" s="37">
        <f t="shared" ca="1" si="46"/>
        <v>5064113</v>
      </c>
      <c r="X14" s="37">
        <f t="shared" ca="1" si="46"/>
        <v>5064113</v>
      </c>
      <c r="Y14" s="37">
        <f t="shared" ca="1" si="46"/>
        <v>5064113</v>
      </c>
      <c r="Z14" s="37">
        <f t="shared" ca="1" si="46"/>
        <v>5064113</v>
      </c>
      <c r="AA14" s="37">
        <f t="shared" ca="1" si="46"/>
        <v>5064113</v>
      </c>
      <c r="AB14" s="37">
        <f t="shared" ca="1" si="46"/>
        <v>5064113</v>
      </c>
      <c r="AD14" s="37">
        <f t="shared" ref="AD14:AJ14" ca="1" si="47">SUM(AD15:AD22)</f>
        <v>5064113</v>
      </c>
      <c r="AE14" s="37">
        <f t="shared" ca="1" si="47"/>
        <v>5064113</v>
      </c>
      <c r="AF14" s="37">
        <f t="shared" ca="1" si="47"/>
        <v>5064113</v>
      </c>
      <c r="AG14" s="37">
        <f t="shared" ca="1" si="47"/>
        <v>5064113</v>
      </c>
      <c r="AH14" s="37">
        <f t="shared" ca="1" si="47"/>
        <v>5064113</v>
      </c>
      <c r="AI14" s="37">
        <f t="shared" ca="1" si="47"/>
        <v>5064113</v>
      </c>
      <c r="AJ14" s="37">
        <f t="shared" ca="1" si="47"/>
        <v>5064113</v>
      </c>
      <c r="AL14" s="37">
        <f t="shared" ref="AL14:AR14" ca="1" si="48">SUM(AL15:AL22)</f>
        <v>4879753</v>
      </c>
      <c r="AM14" s="37">
        <f t="shared" ca="1" si="48"/>
        <v>4879753</v>
      </c>
      <c r="AN14" s="37">
        <f t="shared" ca="1" si="48"/>
        <v>4879753</v>
      </c>
      <c r="AO14" s="37">
        <f t="shared" ca="1" si="48"/>
        <v>4879753</v>
      </c>
      <c r="AP14" s="37">
        <f t="shared" ca="1" si="48"/>
        <v>4879753</v>
      </c>
      <c r="AQ14" s="37">
        <f t="shared" ca="1" si="48"/>
        <v>4879753</v>
      </c>
      <c r="AR14" s="37">
        <f t="shared" ca="1" si="48"/>
        <v>4879753</v>
      </c>
    </row>
    <row r="15" spans="2:44" ht="21" x14ac:dyDescent="0.5">
      <c r="B15" s="40" t="s">
        <v>218</v>
      </c>
      <c r="C15" s="40" t="s">
        <v>59</v>
      </c>
      <c r="D15" s="4" t="s">
        <v>211</v>
      </c>
      <c r="E15" s="10"/>
      <c r="F15" s="39">
        <f ca="1">'Calculation - Detailed'!G49</f>
        <v>3400000</v>
      </c>
      <c r="G15" s="39">
        <f ca="1">'Calculation - Detailed'!H49</f>
        <v>3400000</v>
      </c>
      <c r="H15" s="39">
        <f ca="1">'Calculation - Detailed'!I49</f>
        <v>3400000</v>
      </c>
      <c r="I15" s="39">
        <f ca="1">'Calculation - Detailed'!J49</f>
        <v>3400000</v>
      </c>
      <c r="J15" s="39">
        <f ca="1">'Calculation - Detailed'!K49</f>
        <v>3400000</v>
      </c>
      <c r="K15" s="39">
        <f ca="1">'Calculation - Detailed'!L49</f>
        <v>3400000</v>
      </c>
      <c r="L15" s="39">
        <f ca="1">'Calculation - Detailed'!M49</f>
        <v>3400000</v>
      </c>
      <c r="N15" s="39">
        <f ca="1">'Calculation - Detailed'!AA49</f>
        <v>3400000</v>
      </c>
      <c r="O15" s="39">
        <f ca="1">'Calculation - Detailed'!AB49</f>
        <v>3400000</v>
      </c>
      <c r="P15" s="39">
        <f ca="1">'Calculation - Detailed'!AC49</f>
        <v>3400000</v>
      </c>
      <c r="Q15" s="39">
        <f ca="1">'Calculation - Detailed'!AD49</f>
        <v>3400000</v>
      </c>
      <c r="R15" s="39">
        <f ca="1">'Calculation - Detailed'!AE49</f>
        <v>3400000</v>
      </c>
      <c r="S15" s="39">
        <f ca="1">'Calculation - Detailed'!AF49</f>
        <v>3400000</v>
      </c>
      <c r="T15" s="39">
        <f ca="1">'Calculation - Detailed'!AG49</f>
        <v>3400000</v>
      </c>
      <c r="V15" s="39">
        <f ca="1">'Calculation - Detailed'!AU49</f>
        <v>3400000</v>
      </c>
      <c r="W15" s="39">
        <f ca="1">'Calculation - Detailed'!AV49</f>
        <v>3400000</v>
      </c>
      <c r="X15" s="39">
        <f ca="1">'Calculation - Detailed'!AW49</f>
        <v>3400000</v>
      </c>
      <c r="Y15" s="39">
        <f ca="1">'Calculation - Detailed'!AX49</f>
        <v>3400000</v>
      </c>
      <c r="Z15" s="39">
        <f ca="1">'Calculation - Detailed'!AY49</f>
        <v>3400000</v>
      </c>
      <c r="AA15" s="39">
        <f ca="1">'Calculation - Detailed'!AZ49</f>
        <v>3400000</v>
      </c>
      <c r="AB15" s="39">
        <f ca="1">'Calculation - Detailed'!BA49</f>
        <v>3400000</v>
      </c>
      <c r="AD15" s="39">
        <f ca="1">'Calculation - Detailed'!BO49</f>
        <v>3400000</v>
      </c>
      <c r="AE15" s="39">
        <f ca="1">'Calculation - Detailed'!BP49</f>
        <v>3400000</v>
      </c>
      <c r="AF15" s="39">
        <f ca="1">'Calculation - Detailed'!BQ49</f>
        <v>3400000</v>
      </c>
      <c r="AG15" s="39">
        <f ca="1">'Calculation - Detailed'!BR49</f>
        <v>3400000</v>
      </c>
      <c r="AH15" s="39">
        <f ca="1">'Calculation - Detailed'!BS49</f>
        <v>3400000</v>
      </c>
      <c r="AI15" s="39">
        <f ca="1">'Calculation - Detailed'!BT49</f>
        <v>3400000</v>
      </c>
      <c r="AJ15" s="39">
        <f ca="1">'Calculation - Detailed'!BU49</f>
        <v>3400000</v>
      </c>
      <c r="AL15" s="39">
        <f ca="1">'Calculation - Detailed'!CI49</f>
        <v>3400000</v>
      </c>
      <c r="AM15" s="39">
        <f ca="1">'Calculation - Detailed'!CJ49</f>
        <v>3400000</v>
      </c>
      <c r="AN15" s="39">
        <f ca="1">'Calculation - Detailed'!CK49</f>
        <v>3400000</v>
      </c>
      <c r="AO15" s="39">
        <f ca="1">'Calculation - Detailed'!CL49</f>
        <v>3400000</v>
      </c>
      <c r="AP15" s="39">
        <f ca="1">'Calculation - Detailed'!CM49</f>
        <v>3400000</v>
      </c>
      <c r="AQ15" s="39">
        <f ca="1">'Calculation - Detailed'!CN49</f>
        <v>3400000</v>
      </c>
      <c r="AR15" s="39">
        <f ca="1">'Calculation - Detailed'!CO49</f>
        <v>3400000</v>
      </c>
    </row>
    <row r="16" spans="2:44" ht="21" x14ac:dyDescent="0.5">
      <c r="B16" s="40" t="s">
        <v>218</v>
      </c>
      <c r="C16" s="40" t="s">
        <v>61</v>
      </c>
      <c r="D16" s="4" t="s">
        <v>211</v>
      </c>
      <c r="E16" s="10"/>
      <c r="F16" s="39">
        <f ca="1">'Calculation - Detailed'!G50-F18</f>
        <v>500000</v>
      </c>
      <c r="G16" s="39">
        <f ca="1">'Calculation - Detailed'!H50-G18</f>
        <v>500000</v>
      </c>
      <c r="H16" s="39">
        <f ca="1">'Calculation - Detailed'!I50-H18</f>
        <v>500000</v>
      </c>
      <c r="I16" s="39">
        <f ca="1">'Calculation - Detailed'!J50-I18</f>
        <v>500000</v>
      </c>
      <c r="J16" s="39">
        <f ca="1">'Calculation - Detailed'!K50-J18</f>
        <v>500000</v>
      </c>
      <c r="K16" s="39">
        <f ca="1">'Calculation - Detailed'!L50-K18</f>
        <v>500000</v>
      </c>
      <c r="L16" s="39">
        <f ca="1">'Calculation - Detailed'!M50-L18</f>
        <v>500000</v>
      </c>
      <c r="N16" s="39">
        <f ca="1">'Calculation - Detailed'!AA50-N18</f>
        <v>600000</v>
      </c>
      <c r="O16" s="39">
        <f ca="1">'Calculation - Detailed'!AB50-O18</f>
        <v>600000</v>
      </c>
      <c r="P16" s="39">
        <f ca="1">'Calculation - Detailed'!AC50-P18</f>
        <v>600000</v>
      </c>
      <c r="Q16" s="39">
        <f ca="1">'Calculation - Detailed'!AD50-Q18</f>
        <v>600000</v>
      </c>
      <c r="R16" s="39">
        <f ca="1">'Calculation - Detailed'!AE50-R18</f>
        <v>600000</v>
      </c>
      <c r="S16" s="39">
        <f ca="1">'Calculation - Detailed'!AF50-S18</f>
        <v>600000</v>
      </c>
      <c r="T16" s="39">
        <f ca="1">'Calculation - Detailed'!AG50-T18</f>
        <v>600000</v>
      </c>
      <c r="V16" s="39">
        <f ca="1">'Calculation - Detailed'!AU50-V18</f>
        <v>600000</v>
      </c>
      <c r="W16" s="39">
        <f ca="1">'Calculation - Detailed'!AV50-W18</f>
        <v>600000</v>
      </c>
      <c r="X16" s="39">
        <f ca="1">'Calculation - Detailed'!AW50-X18</f>
        <v>600000</v>
      </c>
      <c r="Y16" s="39">
        <f ca="1">'Calculation - Detailed'!AX50-Y18</f>
        <v>600000</v>
      </c>
      <c r="Z16" s="39">
        <f ca="1">'Calculation - Detailed'!AY50-Z18</f>
        <v>600000</v>
      </c>
      <c r="AA16" s="39">
        <f ca="1">'Calculation - Detailed'!AZ50-AA18</f>
        <v>600000</v>
      </c>
      <c r="AB16" s="39">
        <f ca="1">'Calculation - Detailed'!BA50-AB18</f>
        <v>600000</v>
      </c>
      <c r="AD16" s="39">
        <f ca="1">'Calculation - Detailed'!BO50-AD18</f>
        <v>600000</v>
      </c>
      <c r="AE16" s="39">
        <f ca="1">'Calculation - Detailed'!BP50-AE18</f>
        <v>600000</v>
      </c>
      <c r="AF16" s="39">
        <f ca="1">'Calculation - Detailed'!BQ50-AF18</f>
        <v>600000</v>
      </c>
      <c r="AG16" s="39">
        <f ca="1">'Calculation - Detailed'!BR50-AG18</f>
        <v>600000</v>
      </c>
      <c r="AH16" s="39">
        <f ca="1">'Calculation - Detailed'!BS50-AH18</f>
        <v>600000</v>
      </c>
      <c r="AI16" s="39">
        <f ca="1">'Calculation - Detailed'!BT50-AI18</f>
        <v>600000</v>
      </c>
      <c r="AJ16" s="39">
        <f ca="1">'Calculation - Detailed'!BU50-AJ18</f>
        <v>600000</v>
      </c>
      <c r="AL16" s="39">
        <f ca="1">'Calculation - Detailed'!CI50-AL18</f>
        <v>600000</v>
      </c>
      <c r="AM16" s="39">
        <f ca="1">'Calculation - Detailed'!CJ50-AM18</f>
        <v>600000</v>
      </c>
      <c r="AN16" s="39">
        <f ca="1">'Calculation - Detailed'!CK50-AN18</f>
        <v>600000</v>
      </c>
      <c r="AO16" s="39">
        <f ca="1">'Calculation - Detailed'!CL50-AO18</f>
        <v>600000</v>
      </c>
      <c r="AP16" s="39">
        <f ca="1">'Calculation - Detailed'!CM50-AP18</f>
        <v>600000</v>
      </c>
      <c r="AQ16" s="39">
        <f ca="1">'Calculation - Detailed'!CN50-AQ18</f>
        <v>600000</v>
      </c>
      <c r="AR16" s="39">
        <f ca="1">'Calculation - Detailed'!CO50-AR18</f>
        <v>600000</v>
      </c>
    </row>
    <row r="17" spans="2:44" ht="21" x14ac:dyDescent="0.5">
      <c r="B17" s="40" t="s">
        <v>218</v>
      </c>
      <c r="C17" s="40" t="s">
        <v>63</v>
      </c>
      <c r="D17" s="4" t="s">
        <v>211</v>
      </c>
      <c r="E17" s="10"/>
      <c r="F17" s="39">
        <f ca="1">'Calculation - Detailed'!G56</f>
        <v>198400</v>
      </c>
      <c r="G17" s="39">
        <f ca="1">'Calculation - Detailed'!H56</f>
        <v>198400</v>
      </c>
      <c r="H17" s="39">
        <f ca="1">'Calculation - Detailed'!I56</f>
        <v>198400</v>
      </c>
      <c r="I17" s="39">
        <f ca="1">'Calculation - Detailed'!J56</f>
        <v>198400</v>
      </c>
      <c r="J17" s="39">
        <f ca="1">'Calculation - Detailed'!K56</f>
        <v>198400</v>
      </c>
      <c r="K17" s="39">
        <f ca="1">'Calculation - Detailed'!L56</f>
        <v>198400</v>
      </c>
      <c r="L17" s="39">
        <f ca="1">'Calculation - Detailed'!M56</f>
        <v>198400</v>
      </c>
      <c r="N17" s="39">
        <f ca="1">'Calculation - Detailed'!AA56</f>
        <v>238080</v>
      </c>
      <c r="O17" s="39">
        <f ca="1">'Calculation - Detailed'!AB56</f>
        <v>238080</v>
      </c>
      <c r="P17" s="39">
        <f ca="1">'Calculation - Detailed'!AC56</f>
        <v>238080</v>
      </c>
      <c r="Q17" s="39">
        <f ca="1">'Calculation - Detailed'!AD56</f>
        <v>238080</v>
      </c>
      <c r="R17" s="39">
        <f ca="1">'Calculation - Detailed'!AE56</f>
        <v>238080</v>
      </c>
      <c r="S17" s="39">
        <f ca="1">'Calculation - Detailed'!AF56</f>
        <v>238080</v>
      </c>
      <c r="T17" s="39">
        <f ca="1">'Calculation - Detailed'!AG56</f>
        <v>238080</v>
      </c>
      <c r="V17" s="39">
        <f ca="1">'Calculation - Detailed'!AU56</f>
        <v>238080</v>
      </c>
      <c r="W17" s="39">
        <f ca="1">'Calculation - Detailed'!AV56</f>
        <v>238080</v>
      </c>
      <c r="X17" s="39">
        <f ca="1">'Calculation - Detailed'!AW56</f>
        <v>238080</v>
      </c>
      <c r="Y17" s="39">
        <f ca="1">'Calculation - Detailed'!AX56</f>
        <v>238080</v>
      </c>
      <c r="Z17" s="39">
        <f ca="1">'Calculation - Detailed'!AY56</f>
        <v>238080</v>
      </c>
      <c r="AA17" s="39">
        <f ca="1">'Calculation - Detailed'!AZ56</f>
        <v>238080</v>
      </c>
      <c r="AB17" s="39">
        <f ca="1">'Calculation - Detailed'!BA56</f>
        <v>238080</v>
      </c>
      <c r="AD17" s="39">
        <f ca="1">'Calculation - Detailed'!BO56</f>
        <v>238080</v>
      </c>
      <c r="AE17" s="39">
        <f ca="1">'Calculation - Detailed'!BP56</f>
        <v>238080</v>
      </c>
      <c r="AF17" s="39">
        <f ca="1">'Calculation - Detailed'!BQ56</f>
        <v>238080</v>
      </c>
      <c r="AG17" s="39">
        <f ca="1">'Calculation - Detailed'!BR56</f>
        <v>238080</v>
      </c>
      <c r="AH17" s="39">
        <f ca="1">'Calculation - Detailed'!BS56</f>
        <v>238080</v>
      </c>
      <c r="AI17" s="39">
        <f ca="1">'Calculation - Detailed'!BT56</f>
        <v>238080</v>
      </c>
      <c r="AJ17" s="39">
        <f ca="1">'Calculation - Detailed'!BU56</f>
        <v>238080</v>
      </c>
      <c r="AL17" s="39">
        <f ca="1">'Calculation - Detailed'!CI56</f>
        <v>238080</v>
      </c>
      <c r="AM17" s="39">
        <f ca="1">'Calculation - Detailed'!CJ56</f>
        <v>238080</v>
      </c>
      <c r="AN17" s="39">
        <f ca="1">'Calculation - Detailed'!CK56</f>
        <v>238080</v>
      </c>
      <c r="AO17" s="39">
        <f ca="1">'Calculation - Detailed'!CL56</f>
        <v>238080</v>
      </c>
      <c r="AP17" s="39">
        <f ca="1">'Calculation - Detailed'!CM56</f>
        <v>238080</v>
      </c>
      <c r="AQ17" s="39">
        <f ca="1">'Calculation - Detailed'!CN56</f>
        <v>238080</v>
      </c>
      <c r="AR17" s="39">
        <f ca="1">'Calculation - Detailed'!CO56</f>
        <v>238080</v>
      </c>
    </row>
    <row r="18" spans="2:44" ht="21" x14ac:dyDescent="0.5">
      <c r="B18" s="40" t="s">
        <v>218</v>
      </c>
      <c r="C18" s="40" t="s">
        <v>62</v>
      </c>
      <c r="D18" s="4" t="s">
        <v>211</v>
      </c>
      <c r="E18" s="10"/>
      <c r="F18" s="39">
        <f ca="1">'Calculation - Detailed'!G54*'Calculation - Detailed'!G52/constant_vessel_lifetime</f>
        <v>0</v>
      </c>
      <c r="G18" s="39">
        <f ca="1">'Calculation - Detailed'!H54*'Calculation - Detailed'!H52/constant_vessel_lifetime</f>
        <v>0</v>
      </c>
      <c r="H18" s="39">
        <f ca="1">'Calculation - Detailed'!I54*'Calculation - Detailed'!I52/constant_vessel_lifetime</f>
        <v>0</v>
      </c>
      <c r="I18" s="39">
        <f ca="1">'Calculation - Detailed'!J54*'Calculation - Detailed'!J52/constant_vessel_lifetime</f>
        <v>0</v>
      </c>
      <c r="J18" s="39">
        <f ca="1">'Calculation - Detailed'!K54*'Calculation - Detailed'!K52/constant_vessel_lifetime</f>
        <v>0</v>
      </c>
      <c r="K18" s="39">
        <f ca="1">'Calculation - Detailed'!L54*'Calculation - Detailed'!L52/constant_vessel_lifetime</f>
        <v>0</v>
      </c>
      <c r="L18" s="39">
        <f ca="1">'Calculation - Detailed'!M54*'Calculation - Detailed'!M52/constant_vessel_lifetime</f>
        <v>0</v>
      </c>
      <c r="N18" s="39">
        <f ca="1">'Calculation - Detailed'!AA54*'Calculation - Detailed'!AA52/constant_vessel_lifetime</f>
        <v>0</v>
      </c>
      <c r="O18" s="39">
        <f ca="1">'Calculation - Detailed'!AB54*'Calculation - Detailed'!AB52/constant_vessel_lifetime</f>
        <v>0</v>
      </c>
      <c r="P18" s="39">
        <f ca="1">'Calculation - Detailed'!AC54*'Calculation - Detailed'!AC52/constant_vessel_lifetime</f>
        <v>0</v>
      </c>
      <c r="Q18" s="39">
        <f ca="1">'Calculation - Detailed'!AD54*'Calculation - Detailed'!AD52/constant_vessel_lifetime</f>
        <v>0</v>
      </c>
      <c r="R18" s="39">
        <f ca="1">'Calculation - Detailed'!AE54*'Calculation - Detailed'!AE52/constant_vessel_lifetime</f>
        <v>0</v>
      </c>
      <c r="S18" s="39">
        <f ca="1">'Calculation - Detailed'!AF54*'Calculation - Detailed'!AF52/constant_vessel_lifetime</f>
        <v>0</v>
      </c>
      <c r="T18" s="39">
        <f ca="1">'Calculation - Detailed'!AG54*'Calculation - Detailed'!AG52/constant_vessel_lifetime</f>
        <v>0</v>
      </c>
      <c r="V18" s="39">
        <f ca="1">'Calculation - Detailed'!AU54*'Calculation - Detailed'!AU52/constant_vessel_lifetime</f>
        <v>0</v>
      </c>
      <c r="W18" s="39">
        <f ca="1">'Calculation - Detailed'!AV54*'Calculation - Detailed'!AV52/constant_vessel_lifetime</f>
        <v>0</v>
      </c>
      <c r="X18" s="39">
        <f ca="1">'Calculation - Detailed'!AW54*'Calculation - Detailed'!AW52/constant_vessel_lifetime</f>
        <v>0</v>
      </c>
      <c r="Y18" s="39">
        <f ca="1">'Calculation - Detailed'!AX54*'Calculation - Detailed'!AX52/constant_vessel_lifetime</f>
        <v>0</v>
      </c>
      <c r="Z18" s="39">
        <f ca="1">'Calculation - Detailed'!AY54*'Calculation - Detailed'!AY52/constant_vessel_lifetime</f>
        <v>0</v>
      </c>
      <c r="AA18" s="39">
        <f ca="1">'Calculation - Detailed'!AZ54*'Calculation - Detailed'!AZ52/constant_vessel_lifetime</f>
        <v>0</v>
      </c>
      <c r="AB18" s="39">
        <f ca="1">'Calculation - Detailed'!BA54*'Calculation - Detailed'!BA52/constant_vessel_lifetime</f>
        <v>0</v>
      </c>
      <c r="AD18" s="39">
        <f ca="1">'Calculation - Detailed'!BO54*'Calculation - Detailed'!BO52/constant_vessel_lifetime</f>
        <v>0</v>
      </c>
      <c r="AE18" s="39">
        <f ca="1">'Calculation - Detailed'!BP54*'Calculation - Detailed'!BP52/constant_vessel_lifetime</f>
        <v>0</v>
      </c>
      <c r="AF18" s="39">
        <f ca="1">'Calculation - Detailed'!BQ54*'Calculation - Detailed'!BQ52/constant_vessel_lifetime</f>
        <v>0</v>
      </c>
      <c r="AG18" s="39">
        <f ca="1">'Calculation - Detailed'!BR54*'Calculation - Detailed'!BR52/constant_vessel_lifetime</f>
        <v>0</v>
      </c>
      <c r="AH18" s="39">
        <f ca="1">'Calculation - Detailed'!BS54*'Calculation - Detailed'!BS52/constant_vessel_lifetime</f>
        <v>0</v>
      </c>
      <c r="AI18" s="39">
        <f ca="1">'Calculation - Detailed'!BT54*'Calculation - Detailed'!BT52/constant_vessel_lifetime</f>
        <v>0</v>
      </c>
      <c r="AJ18" s="39">
        <f ca="1">'Calculation - Detailed'!BU54*'Calculation - Detailed'!BU52/constant_vessel_lifetime</f>
        <v>0</v>
      </c>
      <c r="AL18" s="39">
        <f ca="1">'Calculation - Detailed'!CI54*'Calculation - Detailed'!CI52/constant_vessel_lifetime</f>
        <v>0</v>
      </c>
      <c r="AM18" s="39">
        <f ca="1">'Calculation - Detailed'!CJ54*'Calculation - Detailed'!CJ52/constant_vessel_lifetime</f>
        <v>0</v>
      </c>
      <c r="AN18" s="39">
        <f ca="1">'Calculation - Detailed'!CK54*'Calculation - Detailed'!CK52/constant_vessel_lifetime</f>
        <v>0</v>
      </c>
      <c r="AO18" s="39">
        <f ca="1">'Calculation - Detailed'!CL54*'Calculation - Detailed'!CL52/constant_vessel_lifetime</f>
        <v>0</v>
      </c>
      <c r="AP18" s="39">
        <f ca="1">'Calculation - Detailed'!CM54*'Calculation - Detailed'!CM52/constant_vessel_lifetime</f>
        <v>0</v>
      </c>
      <c r="AQ18" s="39">
        <f ca="1">'Calculation - Detailed'!CN54*'Calculation - Detailed'!CN52/constant_vessel_lifetime</f>
        <v>0</v>
      </c>
      <c r="AR18" s="39">
        <f ca="1">'Calculation - Detailed'!CO54*'Calculation - Detailed'!CO52/constant_vessel_lifetime</f>
        <v>0</v>
      </c>
    </row>
    <row r="19" spans="2:44" ht="21" x14ac:dyDescent="0.5">
      <c r="B19" s="40" t="s">
        <v>218</v>
      </c>
      <c r="C19" s="40" t="s">
        <v>66</v>
      </c>
      <c r="D19" s="4" t="s">
        <v>211</v>
      </c>
      <c r="E19" s="10"/>
      <c r="F19" s="39">
        <f ca="1">'Calculation - Detailed'!G60</f>
        <v>45000</v>
      </c>
      <c r="G19" s="39">
        <f ca="1">'Calculation - Detailed'!H60</f>
        <v>45000</v>
      </c>
      <c r="H19" s="39">
        <f ca="1">'Calculation - Detailed'!I60</f>
        <v>45000</v>
      </c>
      <c r="I19" s="39">
        <f ca="1">'Calculation - Detailed'!J60</f>
        <v>45000</v>
      </c>
      <c r="J19" s="39">
        <f ca="1">'Calculation - Detailed'!K60</f>
        <v>45000</v>
      </c>
      <c r="K19" s="39">
        <f ca="1">'Calculation - Detailed'!L60</f>
        <v>45000</v>
      </c>
      <c r="L19" s="39">
        <f ca="1">'Calculation - Detailed'!M60</f>
        <v>45000</v>
      </c>
      <c r="N19" s="39">
        <f ca="1">'Calculation - Detailed'!AA60</f>
        <v>356850</v>
      </c>
      <c r="O19" s="39">
        <f ca="1">'Calculation - Detailed'!AB60</f>
        <v>356850</v>
      </c>
      <c r="P19" s="39">
        <f ca="1">'Calculation - Detailed'!AC60</f>
        <v>356850</v>
      </c>
      <c r="Q19" s="39">
        <f ca="1">'Calculation - Detailed'!AD60</f>
        <v>356850</v>
      </c>
      <c r="R19" s="39">
        <f ca="1">'Calculation - Detailed'!AE60</f>
        <v>356850</v>
      </c>
      <c r="S19" s="39">
        <f ca="1">'Calculation - Detailed'!AF60</f>
        <v>356850</v>
      </c>
      <c r="T19" s="39">
        <f ca="1">'Calculation - Detailed'!AG60</f>
        <v>356850</v>
      </c>
      <c r="V19" s="39">
        <f ca="1">'Calculation - Detailed'!AU60</f>
        <v>173250</v>
      </c>
      <c r="W19" s="39">
        <f ca="1">'Calculation - Detailed'!AV60</f>
        <v>173250</v>
      </c>
      <c r="X19" s="39">
        <f ca="1">'Calculation - Detailed'!AW60</f>
        <v>173250</v>
      </c>
      <c r="Y19" s="39">
        <f ca="1">'Calculation - Detailed'!AX60</f>
        <v>173250</v>
      </c>
      <c r="Z19" s="39">
        <f ca="1">'Calculation - Detailed'!AY60</f>
        <v>173250</v>
      </c>
      <c r="AA19" s="39">
        <f ca="1">'Calculation - Detailed'!AZ60</f>
        <v>173250</v>
      </c>
      <c r="AB19" s="39">
        <f ca="1">'Calculation - Detailed'!BA60</f>
        <v>173250</v>
      </c>
      <c r="AD19" s="39">
        <f ca="1">'Calculation - Detailed'!BO60</f>
        <v>173250</v>
      </c>
      <c r="AE19" s="39">
        <f ca="1">'Calculation - Detailed'!BP60</f>
        <v>173250</v>
      </c>
      <c r="AF19" s="39">
        <f ca="1">'Calculation - Detailed'!BQ60</f>
        <v>173250</v>
      </c>
      <c r="AG19" s="39">
        <f ca="1">'Calculation - Detailed'!BR60</f>
        <v>173250</v>
      </c>
      <c r="AH19" s="39">
        <f ca="1">'Calculation - Detailed'!BS60</f>
        <v>173250</v>
      </c>
      <c r="AI19" s="39">
        <f ca="1">'Calculation - Detailed'!BT60</f>
        <v>173250</v>
      </c>
      <c r="AJ19" s="39">
        <f ca="1">'Calculation - Detailed'!BU60</f>
        <v>173250</v>
      </c>
      <c r="AL19" s="39">
        <f ca="1">'Calculation - Detailed'!CI60</f>
        <v>70650</v>
      </c>
      <c r="AM19" s="39">
        <f ca="1">'Calculation - Detailed'!CJ60</f>
        <v>70650</v>
      </c>
      <c r="AN19" s="39">
        <f ca="1">'Calculation - Detailed'!CK60</f>
        <v>70650</v>
      </c>
      <c r="AO19" s="39">
        <f ca="1">'Calculation - Detailed'!CL60</f>
        <v>70650</v>
      </c>
      <c r="AP19" s="39">
        <f ca="1">'Calculation - Detailed'!CM60</f>
        <v>70650</v>
      </c>
      <c r="AQ19" s="39">
        <f ca="1">'Calculation - Detailed'!CN60</f>
        <v>70650</v>
      </c>
      <c r="AR19" s="39">
        <f ca="1">'Calculation - Detailed'!CO60</f>
        <v>70650</v>
      </c>
    </row>
    <row r="20" spans="2:44" ht="21" x14ac:dyDescent="0.5">
      <c r="B20" s="40" t="s">
        <v>218</v>
      </c>
      <c r="C20" s="40" t="s">
        <v>68</v>
      </c>
      <c r="D20" s="4" t="s">
        <v>211</v>
      </c>
      <c r="E20" s="10"/>
      <c r="F20" s="39">
        <f ca="1">'Calculation - Detailed'!G95</f>
        <v>34000</v>
      </c>
      <c r="G20" s="39">
        <f ca="1">'Calculation - Detailed'!H95</f>
        <v>34000</v>
      </c>
      <c r="H20" s="39">
        <f ca="1">'Calculation - Detailed'!I95</f>
        <v>34000</v>
      </c>
      <c r="I20" s="39">
        <f ca="1">'Calculation - Detailed'!J95</f>
        <v>34000</v>
      </c>
      <c r="J20" s="39">
        <f ca="1">'Calculation - Detailed'!K95</f>
        <v>34000</v>
      </c>
      <c r="K20" s="39">
        <f ca="1">'Calculation - Detailed'!L95</f>
        <v>34000</v>
      </c>
      <c r="L20" s="39">
        <f ca="1">'Calculation - Detailed'!M95</f>
        <v>34000</v>
      </c>
      <c r="N20" s="39">
        <f ca="1">'Calculation - Detailed'!AA95</f>
        <v>603100</v>
      </c>
      <c r="O20" s="39">
        <f ca="1">'Calculation - Detailed'!AB95</f>
        <v>603100</v>
      </c>
      <c r="P20" s="39">
        <f ca="1">'Calculation - Detailed'!AC95</f>
        <v>603100</v>
      </c>
      <c r="Q20" s="39">
        <f ca="1">'Calculation - Detailed'!AD95</f>
        <v>603100</v>
      </c>
      <c r="R20" s="39">
        <f ca="1">'Calculation - Detailed'!AE95</f>
        <v>603100</v>
      </c>
      <c r="S20" s="39">
        <f ca="1">'Calculation - Detailed'!AF95</f>
        <v>603100</v>
      </c>
      <c r="T20" s="39">
        <f ca="1">'Calculation - Detailed'!AG95</f>
        <v>603100</v>
      </c>
      <c r="V20" s="39">
        <f ca="1">'Calculation - Detailed'!AU95</f>
        <v>501500</v>
      </c>
      <c r="W20" s="39">
        <f ca="1">'Calculation - Detailed'!AV95</f>
        <v>501500</v>
      </c>
      <c r="X20" s="39">
        <f ca="1">'Calculation - Detailed'!AW95</f>
        <v>501500</v>
      </c>
      <c r="Y20" s="39">
        <f ca="1">'Calculation - Detailed'!AX95</f>
        <v>501500</v>
      </c>
      <c r="Z20" s="39">
        <f ca="1">'Calculation - Detailed'!AY95</f>
        <v>501500</v>
      </c>
      <c r="AA20" s="39">
        <f ca="1">'Calculation - Detailed'!AZ95</f>
        <v>501500</v>
      </c>
      <c r="AB20" s="39">
        <f ca="1">'Calculation - Detailed'!BA95</f>
        <v>501500</v>
      </c>
      <c r="AD20" s="39">
        <f ca="1">'Calculation - Detailed'!BO95</f>
        <v>501500</v>
      </c>
      <c r="AE20" s="39">
        <f ca="1">'Calculation - Detailed'!BP95</f>
        <v>501500</v>
      </c>
      <c r="AF20" s="39">
        <f ca="1">'Calculation - Detailed'!BQ95</f>
        <v>501500</v>
      </c>
      <c r="AG20" s="39">
        <f ca="1">'Calculation - Detailed'!BR95</f>
        <v>501500</v>
      </c>
      <c r="AH20" s="39">
        <f ca="1">'Calculation - Detailed'!BS95</f>
        <v>501500</v>
      </c>
      <c r="AI20" s="39">
        <f ca="1">'Calculation - Detailed'!BT95</f>
        <v>501500</v>
      </c>
      <c r="AJ20" s="39">
        <f ca="1">'Calculation - Detailed'!BU95</f>
        <v>501500</v>
      </c>
      <c r="AL20" s="39">
        <f ca="1">'Calculation - Detailed'!CI95</f>
        <v>436500</v>
      </c>
      <c r="AM20" s="39">
        <f ca="1">'Calculation - Detailed'!CJ95</f>
        <v>436500</v>
      </c>
      <c r="AN20" s="39">
        <f ca="1">'Calculation - Detailed'!CK95</f>
        <v>436500</v>
      </c>
      <c r="AO20" s="39">
        <f ca="1">'Calculation - Detailed'!CL95</f>
        <v>436500</v>
      </c>
      <c r="AP20" s="39">
        <f ca="1">'Calculation - Detailed'!CM95</f>
        <v>436500</v>
      </c>
      <c r="AQ20" s="39">
        <f ca="1">'Calculation - Detailed'!CN95</f>
        <v>436500</v>
      </c>
      <c r="AR20" s="39">
        <f ca="1">'Calculation - Detailed'!CO95</f>
        <v>436500</v>
      </c>
    </row>
    <row r="21" spans="2:44" ht="21" x14ac:dyDescent="0.5">
      <c r="B21" s="40" t="s">
        <v>218</v>
      </c>
      <c r="C21" s="40" t="s">
        <v>69</v>
      </c>
      <c r="D21" s="4" t="s">
        <v>211</v>
      </c>
      <c r="E21" s="10"/>
      <c r="F21" s="39">
        <f ca="1">'Calculation - Detailed'!G48</f>
        <v>77740</v>
      </c>
      <c r="G21" s="39">
        <f ca="1">'Calculation - Detailed'!H48</f>
        <v>77740</v>
      </c>
      <c r="H21" s="39">
        <f ca="1">'Calculation - Detailed'!I48</f>
        <v>77740</v>
      </c>
      <c r="I21" s="39">
        <f ca="1">'Calculation - Detailed'!J48</f>
        <v>77740</v>
      </c>
      <c r="J21" s="39">
        <f ca="1">'Calculation - Detailed'!K48</f>
        <v>77740</v>
      </c>
      <c r="K21" s="39">
        <f ca="1">'Calculation - Detailed'!L48</f>
        <v>77740</v>
      </c>
      <c r="L21" s="39">
        <f ca="1">'Calculation - Detailed'!M48</f>
        <v>77740</v>
      </c>
      <c r="N21" s="39">
        <f ca="1">'Calculation - Detailed'!AA48</f>
        <v>179803</v>
      </c>
      <c r="O21" s="39">
        <f ca="1">'Calculation - Detailed'!AB48</f>
        <v>179803</v>
      </c>
      <c r="P21" s="39">
        <f ca="1">'Calculation - Detailed'!AC48</f>
        <v>179803</v>
      </c>
      <c r="Q21" s="39">
        <f ca="1">'Calculation - Detailed'!AD48</f>
        <v>179803</v>
      </c>
      <c r="R21" s="39">
        <f ca="1">'Calculation - Detailed'!AE48</f>
        <v>179803</v>
      </c>
      <c r="S21" s="39">
        <f ca="1">'Calculation - Detailed'!AF48</f>
        <v>179803</v>
      </c>
      <c r="T21" s="39">
        <f ca="1">'Calculation - Detailed'!AG48</f>
        <v>179803</v>
      </c>
      <c r="V21" s="39">
        <f ca="1">'Calculation - Detailed'!AU48</f>
        <v>151283</v>
      </c>
      <c r="W21" s="39">
        <f ca="1">'Calculation - Detailed'!AV48</f>
        <v>151283</v>
      </c>
      <c r="X21" s="39">
        <f ca="1">'Calculation - Detailed'!AW48</f>
        <v>151283</v>
      </c>
      <c r="Y21" s="39">
        <f ca="1">'Calculation - Detailed'!AX48</f>
        <v>151283</v>
      </c>
      <c r="Z21" s="39">
        <f ca="1">'Calculation - Detailed'!AY48</f>
        <v>151283</v>
      </c>
      <c r="AA21" s="39">
        <f ca="1">'Calculation - Detailed'!AZ48</f>
        <v>151283</v>
      </c>
      <c r="AB21" s="39">
        <f ca="1">'Calculation - Detailed'!BA48</f>
        <v>151283</v>
      </c>
      <c r="AD21" s="39">
        <f ca="1">'Calculation - Detailed'!BO48</f>
        <v>151283</v>
      </c>
      <c r="AE21" s="39">
        <f ca="1">'Calculation - Detailed'!BP48</f>
        <v>151283</v>
      </c>
      <c r="AF21" s="39">
        <f ca="1">'Calculation - Detailed'!BQ48</f>
        <v>151283</v>
      </c>
      <c r="AG21" s="39">
        <f ca="1">'Calculation - Detailed'!BR48</f>
        <v>151283</v>
      </c>
      <c r="AH21" s="39">
        <f ca="1">'Calculation - Detailed'!BS48</f>
        <v>151283</v>
      </c>
      <c r="AI21" s="39">
        <f ca="1">'Calculation - Detailed'!BT48</f>
        <v>151283</v>
      </c>
      <c r="AJ21" s="39">
        <f ca="1">'Calculation - Detailed'!BU48</f>
        <v>151283</v>
      </c>
      <c r="AL21" s="39">
        <f ca="1">'Calculation - Detailed'!CI48</f>
        <v>134523</v>
      </c>
      <c r="AM21" s="39">
        <f ca="1">'Calculation - Detailed'!CJ48</f>
        <v>134523</v>
      </c>
      <c r="AN21" s="39">
        <f ca="1">'Calculation - Detailed'!CK48</f>
        <v>134523</v>
      </c>
      <c r="AO21" s="39">
        <f ca="1">'Calculation - Detailed'!CL48</f>
        <v>134523</v>
      </c>
      <c r="AP21" s="39">
        <f ca="1">'Calculation - Detailed'!CM48</f>
        <v>134523</v>
      </c>
      <c r="AQ21" s="39">
        <f ca="1">'Calculation - Detailed'!CN48</f>
        <v>134523</v>
      </c>
      <c r="AR21" s="39">
        <f ca="1">'Calculation - Detailed'!CO48</f>
        <v>134523</v>
      </c>
    </row>
    <row r="22" spans="2:44" ht="21" x14ac:dyDescent="0.5">
      <c r="B22" s="40" t="s">
        <v>218</v>
      </c>
      <c r="C22" s="40" t="s">
        <v>70</v>
      </c>
      <c r="D22" s="4" t="s">
        <v>211</v>
      </c>
      <c r="E22" s="10"/>
      <c r="F22" s="39">
        <f ca="1">'Calculation - Detailed'!G100</f>
        <v>0</v>
      </c>
      <c r="G22" s="39">
        <f ca="1">'Calculation - Detailed'!H100</f>
        <v>0</v>
      </c>
      <c r="H22" s="39">
        <f ca="1">'Calculation - Detailed'!I100</f>
        <v>0</v>
      </c>
      <c r="I22" s="39">
        <f ca="1">'Calculation - Detailed'!J100</f>
        <v>0</v>
      </c>
      <c r="J22" s="39">
        <f ca="1">'Calculation - Detailed'!K100</f>
        <v>0</v>
      </c>
      <c r="K22" s="39">
        <f ca="1">'Calculation - Detailed'!L100</f>
        <v>0</v>
      </c>
      <c r="L22" s="39">
        <f ca="1">'Calculation - Detailed'!M100</f>
        <v>0</v>
      </c>
      <c r="N22" s="39">
        <f ca="1">'Calculation - Detailed'!AA100</f>
        <v>0</v>
      </c>
      <c r="O22" s="39">
        <f ca="1">'Calculation - Detailed'!AB100</f>
        <v>0</v>
      </c>
      <c r="P22" s="39">
        <f ca="1">'Calculation - Detailed'!AC100</f>
        <v>0</v>
      </c>
      <c r="Q22" s="39">
        <f ca="1">'Calculation - Detailed'!AD100</f>
        <v>0</v>
      </c>
      <c r="R22" s="39">
        <f ca="1">'Calculation - Detailed'!AE100</f>
        <v>0</v>
      </c>
      <c r="S22" s="39">
        <f ca="1">'Calculation - Detailed'!AF100</f>
        <v>0</v>
      </c>
      <c r="T22" s="39">
        <f ca="1">'Calculation - Detailed'!AG100</f>
        <v>0</v>
      </c>
      <c r="V22" s="39">
        <f ca="1">'Calculation - Detailed'!AU100</f>
        <v>0</v>
      </c>
      <c r="W22" s="39">
        <f ca="1">'Calculation - Detailed'!AV100</f>
        <v>0</v>
      </c>
      <c r="X22" s="39">
        <f ca="1">'Calculation - Detailed'!AW100</f>
        <v>0</v>
      </c>
      <c r="Y22" s="39">
        <f ca="1">'Calculation - Detailed'!AX100</f>
        <v>0</v>
      </c>
      <c r="Z22" s="39">
        <f ca="1">'Calculation - Detailed'!AY100</f>
        <v>0</v>
      </c>
      <c r="AA22" s="39">
        <f ca="1">'Calculation - Detailed'!AZ100</f>
        <v>0</v>
      </c>
      <c r="AB22" s="39">
        <f ca="1">'Calculation - Detailed'!BA100</f>
        <v>0</v>
      </c>
      <c r="AD22" s="39">
        <f ca="1">'Calculation - Detailed'!BO100</f>
        <v>0</v>
      </c>
      <c r="AE22" s="39">
        <f ca="1">'Calculation - Detailed'!BP100</f>
        <v>0</v>
      </c>
      <c r="AF22" s="39">
        <f ca="1">'Calculation - Detailed'!BQ100</f>
        <v>0</v>
      </c>
      <c r="AG22" s="39">
        <f ca="1">'Calculation - Detailed'!BR100</f>
        <v>0</v>
      </c>
      <c r="AH22" s="39">
        <f ca="1">'Calculation - Detailed'!BS100</f>
        <v>0</v>
      </c>
      <c r="AI22" s="39">
        <f ca="1">'Calculation - Detailed'!BT100</f>
        <v>0</v>
      </c>
      <c r="AJ22" s="39">
        <f ca="1">'Calculation - Detailed'!BU100</f>
        <v>0</v>
      </c>
      <c r="AL22" s="39">
        <f ca="1">'Calculation - Detailed'!CI100</f>
        <v>0</v>
      </c>
      <c r="AM22" s="39">
        <f ca="1">'Calculation - Detailed'!CJ100</f>
        <v>0</v>
      </c>
      <c r="AN22" s="39">
        <f ca="1">'Calculation - Detailed'!CK100</f>
        <v>0</v>
      </c>
      <c r="AO22" s="39">
        <f ca="1">'Calculation - Detailed'!CL100</f>
        <v>0</v>
      </c>
      <c r="AP22" s="39">
        <f ca="1">'Calculation - Detailed'!CM100</f>
        <v>0</v>
      </c>
      <c r="AQ22" s="39">
        <f ca="1">'Calculation - Detailed'!CN100</f>
        <v>0</v>
      </c>
      <c r="AR22" s="39">
        <f ca="1">'Calculation - Detailed'!CO100</f>
        <v>0</v>
      </c>
    </row>
    <row r="23" spans="2:44" ht="21" x14ac:dyDescent="0.5">
      <c r="B23" s="34" t="s">
        <v>219</v>
      </c>
      <c r="C23" s="41" t="s">
        <v>220</v>
      </c>
      <c r="D23" s="34" t="s">
        <v>211</v>
      </c>
      <c r="E23" s="10"/>
      <c r="F23" s="37">
        <f t="shared" ref="F23:L23" ca="1" si="49">SUM(F30,F25,F33,F39,F43+F44)</f>
        <v>23169448.535527356</v>
      </c>
      <c r="G23" s="37">
        <f t="shared" ca="1" si="49"/>
        <v>21576516.388508298</v>
      </c>
      <c r="H23" s="37">
        <f t="shared" ca="1" si="49"/>
        <v>21187544.585166432</v>
      </c>
      <c r="I23" s="37">
        <f t="shared" ca="1" si="49"/>
        <v>21187544.585166432</v>
      </c>
      <c r="J23" s="37">
        <f t="shared" ca="1" si="49"/>
        <v>21187544.585166432</v>
      </c>
      <c r="K23" s="37">
        <f t="shared" ca="1" si="49"/>
        <v>21187544.585166432</v>
      </c>
      <c r="L23" s="37">
        <f t="shared" ca="1" si="49"/>
        <v>21187544.585166432</v>
      </c>
      <c r="N23" s="37">
        <f t="shared" ref="N23:T23" ca="1" si="50">SUM(N30,N25,N33,N39,N43+N44)</f>
        <v>23129224.843349695</v>
      </c>
      <c r="O23" s="37">
        <f t="shared" ca="1" si="50"/>
        <v>19648596.777666777</v>
      </c>
      <c r="P23" s="37">
        <f t="shared" ca="1" si="50"/>
        <v>18697417.113737598</v>
      </c>
      <c r="Q23" s="37">
        <f t="shared" ca="1" si="50"/>
        <v>18638569.884247061</v>
      </c>
      <c r="R23" s="37">
        <f t="shared" ca="1" si="50"/>
        <v>18571437.808974784</v>
      </c>
      <c r="S23" s="37">
        <f t="shared" ca="1" si="50"/>
        <v>18528221.813412379</v>
      </c>
      <c r="T23" s="37">
        <f t="shared" ca="1" si="50"/>
        <v>18508069.763326623</v>
      </c>
      <c r="V23" s="37">
        <f t="shared" ref="V23:AB23" ca="1" si="51">SUM(V30,V25,V33,V39,V43+V44)</f>
        <v>49987370.066486701</v>
      </c>
      <c r="W23" s="37">
        <f t="shared" ca="1" si="51"/>
        <v>41282374.232958093</v>
      </c>
      <c r="X23" s="37">
        <f t="shared" ca="1" si="51"/>
        <v>35323568.388906047</v>
      </c>
      <c r="Y23" s="37">
        <f t="shared" ca="1" si="51"/>
        <v>32312999.653900169</v>
      </c>
      <c r="Z23" s="37">
        <f t="shared" ca="1" si="51"/>
        <v>29904802.201176472</v>
      </c>
      <c r="AA23" s="37">
        <f t="shared" ca="1" si="51"/>
        <v>28222530.230063047</v>
      </c>
      <c r="AB23" s="37">
        <f t="shared" ca="1" si="51"/>
        <v>27420743.162327647</v>
      </c>
      <c r="AD23" s="37">
        <f t="shared" ref="AD23:AJ23" ca="1" si="52">SUM(AD30,AD25,AD33,AD39,AD43+AD44)</f>
        <v>41257832.327383555</v>
      </c>
      <c r="AE23" s="37">
        <f t="shared" ca="1" si="52"/>
        <v>34900067.487383634</v>
      </c>
      <c r="AF23" s="37">
        <f t="shared" ca="1" si="52"/>
        <v>32858306.861793365</v>
      </c>
      <c r="AG23" s="37">
        <f t="shared" ca="1" si="52"/>
        <v>32586746.642006148</v>
      </c>
      <c r="AH23" s="37">
        <f t="shared" ca="1" si="52"/>
        <v>32336228.674593572</v>
      </c>
      <c r="AI23" s="37">
        <f t="shared" ca="1" si="52"/>
        <v>32166242.385158755</v>
      </c>
      <c r="AJ23" s="37">
        <f t="shared" ca="1" si="52"/>
        <v>32078750.051478777</v>
      </c>
      <c r="AL23" s="37">
        <f t="shared" ref="AL23:AR23" ca="1" si="53">SUM(AL30,AL25,AL33,AL39,AL43+AL44)</f>
        <v>41787504.68177221</v>
      </c>
      <c r="AM23" s="37">
        <f t="shared" ca="1" si="53"/>
        <v>36474537.137152307</v>
      </c>
      <c r="AN23" s="37">
        <f t="shared" ca="1" si="53"/>
        <v>33950453.147004016</v>
      </c>
      <c r="AO23" s="37">
        <f t="shared" ca="1" si="53"/>
        <v>32609200.162742555</v>
      </c>
      <c r="AP23" s="37">
        <f t="shared" ca="1" si="53"/>
        <v>31694945.522862241</v>
      </c>
      <c r="AQ23" s="37">
        <f t="shared" ca="1" si="53"/>
        <v>31202369.200886719</v>
      </c>
      <c r="AR23" s="37">
        <f t="shared" ca="1" si="53"/>
        <v>30956242.358642235</v>
      </c>
    </row>
    <row r="24" spans="2:44" s="7" customFormat="1" ht="21" x14ac:dyDescent="0.5">
      <c r="B24" s="35" t="s">
        <v>221</v>
      </c>
      <c r="C24" s="35" t="s">
        <v>221</v>
      </c>
      <c r="D24" s="34" t="s">
        <v>211</v>
      </c>
      <c r="E24" s="10"/>
      <c r="F24" s="37">
        <f ca="1">F30+F33+F39+F43+F44</f>
        <v>7851368.4705882352</v>
      </c>
      <c r="G24" s="37">
        <f t="shared" ref="G24:L24" ca="1" si="54">G30+G33+G39+G43+G44</f>
        <v>7851368.4705882352</v>
      </c>
      <c r="H24" s="37">
        <f t="shared" ca="1" si="54"/>
        <v>7851368.4705882352</v>
      </c>
      <c r="I24" s="37">
        <f t="shared" ca="1" si="54"/>
        <v>7851368.4705882352</v>
      </c>
      <c r="J24" s="37">
        <f t="shared" ca="1" si="54"/>
        <v>7851368.4705882352</v>
      </c>
      <c r="K24" s="37">
        <f t="shared" ca="1" si="54"/>
        <v>7851368.4705882352</v>
      </c>
      <c r="L24" s="37">
        <f t="shared" ca="1" si="54"/>
        <v>7851368.4705882352</v>
      </c>
      <c r="N24" s="37">
        <f ca="1">N30+N33+N39+N43+N44</f>
        <v>8281668.4705882352</v>
      </c>
      <c r="O24" s="37">
        <f t="shared" ref="O24:T24" ca="1" si="55">O30+O33+O39+O43+O44</f>
        <v>8281668.4705882352</v>
      </c>
      <c r="P24" s="37">
        <f t="shared" ca="1" si="55"/>
        <v>8281668.4705882352</v>
      </c>
      <c r="Q24" s="37">
        <f t="shared" ca="1" si="55"/>
        <v>8281668.4705882352</v>
      </c>
      <c r="R24" s="37">
        <f t="shared" ca="1" si="55"/>
        <v>8281668.4705882352</v>
      </c>
      <c r="S24" s="37">
        <f t="shared" ca="1" si="55"/>
        <v>8281668.4705882352</v>
      </c>
      <c r="T24" s="37">
        <f t="shared" ca="1" si="55"/>
        <v>8281668.4705882352</v>
      </c>
      <c r="V24" s="37">
        <f ca="1">V30+V33+V39+V43+V44</f>
        <v>8262145.270588235</v>
      </c>
      <c r="W24" s="37">
        <f t="shared" ref="W24:AB24" ca="1" si="56">W30+W33+W39+W43+W44</f>
        <v>8262145.270588235</v>
      </c>
      <c r="X24" s="37">
        <f t="shared" ca="1" si="56"/>
        <v>8262145.270588235</v>
      </c>
      <c r="Y24" s="37">
        <f t="shared" ca="1" si="56"/>
        <v>8262145.270588235</v>
      </c>
      <c r="Z24" s="37">
        <f t="shared" ca="1" si="56"/>
        <v>8262145.270588235</v>
      </c>
      <c r="AA24" s="37">
        <f t="shared" ca="1" si="56"/>
        <v>8262145.270588235</v>
      </c>
      <c r="AB24" s="37">
        <f t="shared" ca="1" si="56"/>
        <v>8262145.270588235</v>
      </c>
      <c r="AD24" s="37">
        <f ca="1">AD30+AD33+AD39+AD43+AD44</f>
        <v>8262145.270588235</v>
      </c>
      <c r="AE24" s="37">
        <f t="shared" ref="AE24:AJ24" ca="1" si="57">AE30+AE33+AE39+AE43+AE44</f>
        <v>8262145.270588235</v>
      </c>
      <c r="AF24" s="37">
        <f t="shared" ca="1" si="57"/>
        <v>8262145.270588235</v>
      </c>
      <c r="AG24" s="37">
        <f t="shared" ca="1" si="57"/>
        <v>8262145.270588235</v>
      </c>
      <c r="AH24" s="37">
        <f t="shared" ca="1" si="57"/>
        <v>8262145.270588235</v>
      </c>
      <c r="AI24" s="37">
        <f t="shared" ca="1" si="57"/>
        <v>8262145.270588235</v>
      </c>
      <c r="AJ24" s="37">
        <f t="shared" ca="1" si="57"/>
        <v>8262145.270588235</v>
      </c>
      <c r="AL24" s="37">
        <f ca="1">AL30+AL33+AL39+AL43+AL44</f>
        <v>7878868.4705882352</v>
      </c>
      <c r="AM24" s="37">
        <f t="shared" ref="AM24:AR24" ca="1" si="58">AM30+AM33+AM39+AM43+AM44</f>
        <v>7878868.4705882352</v>
      </c>
      <c r="AN24" s="37">
        <f t="shared" ca="1" si="58"/>
        <v>7878868.4705882352</v>
      </c>
      <c r="AO24" s="37">
        <f t="shared" ca="1" si="58"/>
        <v>7878868.4705882352</v>
      </c>
      <c r="AP24" s="37">
        <f t="shared" ca="1" si="58"/>
        <v>7878868.4705882352</v>
      </c>
      <c r="AQ24" s="37">
        <f t="shared" ca="1" si="58"/>
        <v>7878868.4705882352</v>
      </c>
      <c r="AR24" s="37">
        <f t="shared" ca="1" si="58"/>
        <v>7878868.4705882352</v>
      </c>
    </row>
    <row r="25" spans="2:44" s="7" customFormat="1" ht="21" x14ac:dyDescent="0.5">
      <c r="B25" s="35" t="s">
        <v>49</v>
      </c>
      <c r="C25" s="35" t="s">
        <v>74</v>
      </c>
      <c r="D25" s="34" t="s">
        <v>211</v>
      </c>
      <c r="E25" s="10"/>
      <c r="F25" s="37">
        <f ca="1">SUM(F26:F29)</f>
        <v>15318080.064939123</v>
      </c>
      <c r="G25" s="37">
        <f t="shared" ref="G25:L25" ca="1" si="59">SUM(G26:G29)</f>
        <v>13725147.917920062</v>
      </c>
      <c r="H25" s="37">
        <f t="shared" ca="1" si="59"/>
        <v>13336176.114578193</v>
      </c>
      <c r="I25" s="37">
        <f t="shared" ca="1" si="59"/>
        <v>13336176.114578193</v>
      </c>
      <c r="J25" s="37">
        <f t="shared" ca="1" si="59"/>
        <v>13336176.114578193</v>
      </c>
      <c r="K25" s="37">
        <f t="shared" ca="1" si="59"/>
        <v>13336176.114578193</v>
      </c>
      <c r="L25" s="37">
        <f t="shared" ca="1" si="59"/>
        <v>13336176.114578193</v>
      </c>
      <c r="N25" s="37">
        <f ca="1">SUM(N26:N29)</f>
        <v>14847556.372761456</v>
      </c>
      <c r="O25" s="37">
        <f t="shared" ref="O25:T25" ca="1" si="60">SUM(O26:O29)</f>
        <v>11366928.30707854</v>
      </c>
      <c r="P25" s="37">
        <f t="shared" ca="1" si="60"/>
        <v>10415748.643149363</v>
      </c>
      <c r="Q25" s="37">
        <f t="shared" ca="1" si="60"/>
        <v>10356901.413658826</v>
      </c>
      <c r="R25" s="37">
        <f t="shared" ca="1" si="60"/>
        <v>10289769.338386549</v>
      </c>
      <c r="S25" s="37">
        <f t="shared" ca="1" si="60"/>
        <v>10246553.342824144</v>
      </c>
      <c r="T25" s="37">
        <f t="shared" ca="1" si="60"/>
        <v>10226401.292738389</v>
      </c>
      <c r="V25" s="37">
        <f ca="1">SUM(V26:V29)</f>
        <v>41725224.795898467</v>
      </c>
      <c r="W25" s="37">
        <f t="shared" ref="W25:AB25" ca="1" si="61">SUM(W26:W29)</f>
        <v>33020228.962369859</v>
      </c>
      <c r="X25" s="37">
        <f t="shared" ca="1" si="61"/>
        <v>27061423.118317813</v>
      </c>
      <c r="Y25" s="37">
        <f t="shared" ca="1" si="61"/>
        <v>24050854.383311935</v>
      </c>
      <c r="Z25" s="37">
        <f t="shared" ca="1" si="61"/>
        <v>21642656.930588238</v>
      </c>
      <c r="AA25" s="37">
        <f t="shared" ca="1" si="61"/>
        <v>19960384.959474813</v>
      </c>
      <c r="AB25" s="37">
        <f t="shared" ca="1" si="61"/>
        <v>19158597.891739413</v>
      </c>
      <c r="AD25" s="37">
        <f ca="1">SUM(AD26:AD29)</f>
        <v>32995687.056795321</v>
      </c>
      <c r="AE25" s="37">
        <f t="shared" ref="AE25:AJ25" ca="1" si="62">SUM(AE26:AE29)</f>
        <v>26637922.2167954</v>
      </c>
      <c r="AF25" s="37">
        <f t="shared" ca="1" si="62"/>
        <v>24596161.591205131</v>
      </c>
      <c r="AG25" s="37">
        <f t="shared" ca="1" si="62"/>
        <v>24324601.371417914</v>
      </c>
      <c r="AH25" s="37">
        <f t="shared" ca="1" si="62"/>
        <v>24074083.404005338</v>
      </c>
      <c r="AI25" s="37">
        <f t="shared" ca="1" si="62"/>
        <v>23904097.114570521</v>
      </c>
      <c r="AJ25" s="37">
        <f t="shared" ca="1" si="62"/>
        <v>23816604.780890543</v>
      </c>
      <c r="AL25" s="37">
        <f ca="1">SUM(AL26:AL29)</f>
        <v>33908636.211183973</v>
      </c>
      <c r="AM25" s="37">
        <f t="shared" ref="AM25:AR25" ca="1" si="63">SUM(AM26:AM29)</f>
        <v>28595668.66656407</v>
      </c>
      <c r="AN25" s="37">
        <f t="shared" ca="1" si="63"/>
        <v>26071584.676415782</v>
      </c>
      <c r="AO25" s="37">
        <f t="shared" ca="1" si="63"/>
        <v>24730331.692154322</v>
      </c>
      <c r="AP25" s="37">
        <f t="shared" ca="1" si="63"/>
        <v>23816077.052274007</v>
      </c>
      <c r="AQ25" s="37">
        <f t="shared" ca="1" si="63"/>
        <v>23323500.730298486</v>
      </c>
      <c r="AR25" s="37">
        <f t="shared" ca="1" si="63"/>
        <v>23077373.888054002</v>
      </c>
    </row>
    <row r="26" spans="2:44" ht="21" x14ac:dyDescent="0.5">
      <c r="B26" s="42" t="s">
        <v>49</v>
      </c>
      <c r="C26" s="43" t="s">
        <v>222</v>
      </c>
      <c r="D26" s="4" t="s">
        <v>211</v>
      </c>
      <c r="E26" s="64"/>
      <c r="F26" s="39">
        <f ca="1">'Calculation - Detailed'!G$110*5/constant_vessel_lifetime*
IF(Fuel_cost_transparency_Index=1,
SUMPRODUCT('Calculation - Detailed'!G$106:K$106,'TCO - Input'!$S$13:$W$13),
'Calculation - Detailed'!G$106*SUM('TCO - Input'!$S$13:$W$13))</f>
        <v>12871277.116252156</v>
      </c>
      <c r="G26" s="39">
        <f ca="1">'Calculation - Detailed'!H$110*5/constant_vessel_lifetime*
IF(Fuel_cost_transparency_Index=1,
SUMPRODUCT('Calculation - Detailed'!H$106:L$106,'TCO - Input'!$S$13:$W$13),
'Calculation - Detailed'!H$106*SUM('TCO - Input'!$S$13:$W$13))</f>
        <v>11532788.806702357</v>
      </c>
      <c r="H26" s="39">
        <f ca="1">'Calculation - Detailed'!I$110*5/constant_vessel_lifetime*
IF(Fuel_cost_transparency_Index=1,
SUMPRODUCT('Calculation - Detailed'!I$106:M$106,'TCO - Input'!$S$13:$W$13),
'Calculation - Detailed'!I$106*SUM('TCO - Input'!$S$13:$W$13))</f>
        <v>11205948.638091356</v>
      </c>
      <c r="I26" s="39">
        <f ca="1">'Calculation - Detailed'!J$110*5/constant_vessel_lifetime*
IF(Fuel_cost_transparency_Index=1,
SUMPRODUCT('Calculation - Detailed'!J$106:N$106,'TCO - Input'!$S$13:$W$13),
'Calculation - Detailed'!J$106*SUM('TCO - Input'!$S$13:$W$13))</f>
        <v>11205948.638091356</v>
      </c>
      <c r="J26" s="39">
        <f ca="1">'Calculation - Detailed'!K$110*5/constant_vessel_lifetime*
IF(Fuel_cost_transparency_Index=1,
SUMPRODUCT('Calculation - Detailed'!K$106:O$106,'TCO - Input'!$S$13:$W$13),
'Calculation - Detailed'!K$106*SUM('TCO - Input'!$S$13:$W$13))</f>
        <v>11205948.638091356</v>
      </c>
      <c r="K26" s="39">
        <f ca="1">'Calculation - Detailed'!L$110*5/constant_vessel_lifetime*
IF(Fuel_cost_transparency_Index=1,
SUMPRODUCT('Calculation - Detailed'!L$106:P$106,'TCO - Input'!$S$13:$W$13),
'Calculation - Detailed'!L$106*SUM('TCO - Input'!$S$13:$W$13))</f>
        <v>11205948.638091356</v>
      </c>
      <c r="L26" s="39">
        <f ca="1">'Calculation - Detailed'!M$110*5/constant_vessel_lifetime*
IF(Fuel_cost_transparency_Index=1,
SUMPRODUCT('Calculation - Detailed'!M$106:Q$106,'TCO - Input'!$S$13:$W$13),
'Calculation - Detailed'!M$106*SUM('TCO - Input'!$S$13:$W$13))</f>
        <v>11205948.638091356</v>
      </c>
      <c r="N26" s="39">
        <f ca="1">'Calculation - Detailed'!AA$110*5/constant_vessel_lifetime*
IF(Fuel_cost_transparency_Index=1,
SUMPRODUCT('Calculation - Detailed'!AA$106:AE$106,'TCO - Input'!$S$13:$W$13),
'Calculation - Detailed'!AA$106*SUM('TCO - Input'!$S$13:$W$13))</f>
        <v>12347835.696588283</v>
      </c>
      <c r="O26" s="39">
        <f ca="1">'Calculation - Detailed'!AB$110*5/constant_vessel_lifetime*
IF(Fuel_cost_transparency_Index=1,
SUMPRODUCT('Calculation - Detailed'!AB$106:AF$106,'TCO - Input'!$S$13:$W$13),
'Calculation - Detailed'!AB$106*SUM('TCO - Input'!$S$13:$W$13))</f>
        <v>9439118.796161782</v>
      </c>
      <c r="P26" s="39">
        <f ca="1">'Calculation - Detailed'!AC$110*5/constant_vessel_lifetime*
IF(Fuel_cost_transparency_Index=1,
SUMPRODUCT('Calculation - Detailed'!AC$106:AG$106,'TCO - Input'!$S$13:$W$13),
'Calculation - Detailed'!AC$106*SUM('TCO - Input'!$S$13:$W$13))</f>
        <v>8643903.2997588236</v>
      </c>
      <c r="Q26" s="39">
        <f ca="1">'Calculation - Detailed'!AD$110*5/constant_vessel_lifetime*
IF(Fuel_cost_transparency_Index=1,
SUMPRODUCT('Calculation - Detailed'!AD$106:AH$106,'TCO - Input'!$S$13:$W$13),
'Calculation - Detailed'!AD$106*SUM('TCO - Input'!$S$13:$W$13))</f>
        <v>8594535.56812061</v>
      </c>
      <c r="R26" s="39">
        <f ca="1">'Calculation - Detailed'!AE$110*5/constant_vessel_lifetime*
IF(Fuel_cost_transparency_Index=1,
SUMPRODUCT('Calculation - Detailed'!AE$106:AI$106,'TCO - Input'!$S$13:$W$13),
'Calculation - Detailed'!AE$106*SUM('TCO - Input'!$S$13:$W$13))</f>
        <v>8538217.5680201799</v>
      </c>
      <c r="S26" s="39">
        <f ca="1">'Calculation - Detailed'!AF$110*5/constant_vessel_lifetime*
IF(Fuel_cost_transparency_Index=1,
SUMPRODUCT('Calculation - Detailed'!AF$106:AJ$106,'TCO - Input'!$S$13:$W$13),
'Calculation - Detailed'!AF$106*SUM('TCO - Input'!$S$13:$W$13))</f>
        <v>8501963.0885846429</v>
      </c>
      <c r="T26" s="39">
        <f ca="1">'Calculation - Detailed'!AG$110*5/constant_vessel_lifetime*
IF(Fuel_cost_transparency_Index=1,
SUMPRODUCT('Calculation - Detailed'!AG$106:AK$106,'TCO - Input'!$S$13:$W$13),
'Calculation - Detailed'!AG$106*SUM('TCO - Input'!$S$13:$W$13))</f>
        <v>8485057.2629543412</v>
      </c>
      <c r="V26" s="39">
        <f ca="1">'Calculation - Detailed'!AU$110*5/constant_vessel_lifetime*
IF(Fuel_cost_transparency_Index=1,
SUMPRODUCT('Calculation - Detailed'!AU$106:AY$106,'TCO - Input'!$S$13:$W$13),
'Calculation - Detailed'!AU$106*SUM('TCO - Input'!$S$13:$W$13))</f>
        <v>33640769.207031429</v>
      </c>
      <c r="W26" s="39">
        <f ca="1">'Calculation - Detailed'!AV$110*5/constant_vessel_lifetime*
IF(Fuel_cost_transparency_Index=1,
SUMPRODUCT('Calculation - Detailed'!AV$106:AZ$106,'TCO - Input'!$S$13:$W$13),
'Calculation - Detailed'!AV$106*SUM('TCO - Input'!$S$13:$W$13))</f>
        <v>26632680.801466674</v>
      </c>
      <c r="X26" s="39">
        <f ca="1">'Calculation - Detailed'!AW$110*5/constant_vessel_lifetime*
IF(Fuel_cost_transparency_Index=1,
SUMPRODUCT('Calculation - Detailed'!AW$106:BA$106,'TCO - Input'!$S$13:$W$13),
'Calculation - Detailed'!AW$106*SUM('TCO - Input'!$S$13:$W$13))</f>
        <v>21781103.42306013</v>
      </c>
      <c r="Y26" s="39">
        <f ca="1">'Calculation - Detailed'!AX$110*5/constant_vessel_lifetime*
IF(Fuel_cost_transparency_Index=1,
SUMPRODUCT('Calculation - Detailed'!AX$106:BB$106,'TCO - Input'!$S$13:$W$13),
'Calculation - Detailed'!AX$106*SUM('TCO - Input'!$S$13:$W$13))</f>
        <v>19278047.031810101</v>
      </c>
      <c r="Z26" s="39">
        <f ca="1">'Calculation - Detailed'!AY$110*5/constant_vessel_lifetime*
IF(Fuel_cost_transparency_Index=1,
SUMPRODUCT('Calculation - Detailed'!AY$106:BC$106,'TCO - Input'!$S$13:$W$13),
'Calculation - Detailed'!AY$106*SUM('TCO - Input'!$S$13:$W$13))</f>
        <v>17280679.205641925</v>
      </c>
      <c r="AA26" s="39">
        <f ca="1">'Calculation - Detailed'!AZ$110*5/constant_vessel_lifetime*
IF(Fuel_cost_transparency_Index=1,
SUMPRODUCT('Calculation - Detailed'!AZ$106:BD$106,'TCO - Input'!$S$13:$W$13),
'Calculation - Detailed'!AZ$106*SUM('TCO - Input'!$S$13:$W$13))</f>
        <v>15888272.042316159</v>
      </c>
      <c r="AB26" s="39">
        <f ca="1">'Calculation - Detailed'!BA$110*5/constant_vessel_lifetime*
IF(Fuel_cost_transparency_Index=1,
SUMPRODUCT('Calculation - Detailed'!BA$106:BE$106,'TCO - Input'!$S$13:$W$13),
'Calculation - Detailed'!BA$106*SUM('TCO - Input'!$S$13:$W$13))</f>
        <v>15227712.317132767</v>
      </c>
      <c r="AD26" s="39">
        <f ca="1">'Calculation - Detailed'!BO$110*5/constant_vessel_lifetime*
IF(Fuel_cost_transparency_Index=1,
SUMPRODUCT('Calculation - Detailed'!BO$106:BS$106,'TCO - Input'!$S$13:$W$13),
'Calculation - Detailed'!BO$106*SUM('TCO - Input'!$S$13:$W$13))</f>
        <v>26366779.192726713</v>
      </c>
      <c r="AE26" s="39">
        <f ca="1">'Calculation - Detailed'!BP$110*5/constant_vessel_lifetime*
IF(Fuel_cost_transparency_Index=1,
SUMPRODUCT('Calculation - Detailed'!BP$106:BT$106,'TCO - Input'!$S$13:$W$13),
'Calculation - Detailed'!BP$106*SUM('TCO - Input'!$S$13:$W$13))</f>
        <v>21314548.625053413</v>
      </c>
      <c r="AF26" s="39">
        <f ca="1">'Calculation - Detailed'!BQ$110*5/constant_vessel_lifetime*
IF(Fuel_cost_transparency_Index=1,
SUMPRODUCT('Calculation - Detailed'!BQ$106:BU$106,'TCO - Input'!$S$13:$W$13),
'Calculation - Detailed'!BQ$106*SUM('TCO - Input'!$S$13:$W$13))</f>
        <v>19726895.254563276</v>
      </c>
      <c r="AG26" s="39">
        <f ca="1">'Calculation - Detailed'!BR$110*5/constant_vessel_lifetime*
IF(Fuel_cost_transparency_Index=1,
SUMPRODUCT('Calculation - Detailed'!BR$106:BV$106,'TCO - Input'!$S$13:$W$13),
'Calculation - Detailed'!BR$106*SUM('TCO - Input'!$S$13:$W$13))</f>
        <v>19506149.929974955</v>
      </c>
      <c r="AH26" s="39">
        <f ca="1">'Calculation - Detailed'!BS$110*5/constant_vessel_lifetime*
IF(Fuel_cost_transparency_Index=1,
SUMPRODUCT('Calculation - Detailed'!BS$106:BW$106,'TCO - Input'!$S$13:$W$13),
'Calculation - Detailed'!BS$106*SUM('TCO - Input'!$S$13:$W$13))</f>
        <v>19306693.91761557</v>
      </c>
      <c r="AI26" s="39">
        <f ca="1">'Calculation - Detailed'!BT$110*5/constant_vessel_lifetime*
IF(Fuel_cost_transparency_Index=1,
SUMPRODUCT('Calculation - Detailed'!BT$106:BX$106,'TCO - Input'!$S$13:$W$13),
'Calculation - Detailed'!BT$106*SUM('TCO - Input'!$S$13:$W$13))</f>
        <v>19174416.588889312</v>
      </c>
      <c r="AJ26" s="39">
        <f ca="1">'Calculation - Detailed'!BU$110*5/constant_vessel_lifetime*
IF(Fuel_cost_transparency_Index=1,
SUMPRODUCT('Calculation - Detailed'!BU$106:BY$106,'TCO - Input'!$S$13:$W$13),
'Calculation - Detailed'!BU$106*SUM('TCO - Input'!$S$13:$W$13))</f>
        <v>19109051.353732076</v>
      </c>
      <c r="AL26" s="39">
        <f ca="1">'Calculation - Detailed'!CI$110*5/constant_vessel_lifetime*
IF(Fuel_cost_transparency_Index=1,
SUMPRODUCT('Calculation - Detailed'!CI$106:CM$106,'TCO - Input'!$S$13:$W$13),
'Calculation - Detailed'!CI$106*SUM('TCO - Input'!$S$13:$W$13))</f>
        <v>27127504.815441445</v>
      </c>
      <c r="AM26" s="39">
        <f ca="1">'Calculation - Detailed'!CJ$110*5/constant_vessel_lifetime*
IF(Fuel_cost_transparency_Index=1,
SUMPRODUCT('Calculation - Detailed'!CJ$106:CN$106,'TCO - Input'!$S$13:$W$13),
'Calculation - Detailed'!CJ$106*SUM('TCO - Input'!$S$13:$W$13))</f>
        <v>22945863.88500908</v>
      </c>
      <c r="AN26" s="39">
        <f ca="1">'Calculation - Detailed'!CK$110*5/constant_vessel_lifetime*
IF(Fuel_cost_transparency_Index=1,
SUMPRODUCT('Calculation - Detailed'!CK$106:CO$106,'TCO - Input'!$S$13:$W$13),
'Calculation - Detailed'!CK$106*SUM('TCO - Input'!$S$13:$W$13))</f>
        <v>20956308.897008855</v>
      </c>
      <c r="AO26" s="39">
        <f ca="1">'Calculation - Detailed'!CL$110*5/constant_vessel_lifetime*
IF(Fuel_cost_transparency_Index=1,
SUMPRODUCT('Calculation - Detailed'!CL$106:CP$106,'TCO - Input'!$S$13:$W$13),
'Calculation - Detailed'!CL$106*SUM('TCO - Input'!$S$13:$W$13))</f>
        <v>19844229.492689632</v>
      </c>
      <c r="AP26" s="39">
        <f ca="1">'Calculation - Detailed'!CM$110*5/constant_vessel_lifetime*
IF(Fuel_cost_transparency_Index=1,
SUMPRODUCT('Calculation - Detailed'!CM$106:CQ$106,'TCO - Input'!$S$13:$W$13),
'Calculation - Detailed'!CM$106*SUM('TCO - Input'!$S$13:$W$13))</f>
        <v>19091707.089880783</v>
      </c>
      <c r="AQ26" s="39">
        <f ca="1">'Calculation - Detailed'!CN$110*5/constant_vessel_lifetime*
IF(Fuel_cost_transparency_Index=1,
SUMPRODUCT('Calculation - Detailed'!CN$106:CR$106,'TCO - Input'!$S$13:$W$13),
'Calculation - Detailed'!CN$106*SUM('TCO - Input'!$S$13:$W$13))</f>
        <v>18690627.821630932</v>
      </c>
      <c r="AR26" s="39">
        <f ca="1">'Calculation - Detailed'!CO$110*5/constant_vessel_lifetime*
IF(Fuel_cost_transparency_Index=1,
SUMPRODUCT('Calculation - Detailed'!CO$106:CS$106,'TCO - Input'!$S$13:$W$13),
'Calculation - Detailed'!CO$106*SUM('TCO - Input'!$S$13:$W$13))</f>
        <v>18493078.516055681</v>
      </c>
    </row>
    <row r="27" spans="2:44" ht="21" x14ac:dyDescent="0.5">
      <c r="B27" s="42" t="s">
        <v>49</v>
      </c>
      <c r="C27" s="43" t="s">
        <v>223</v>
      </c>
      <c r="D27" s="4" t="s">
        <v>211</v>
      </c>
      <c r="E27" s="64"/>
      <c r="F27" s="39">
        <f ca="1">'Calculation - Detailed'!G$114*5/constant_vessel_lifetime*
IF(Fuel_cost_transparency_Index=1,
SUMPRODUCT('Calculation - Detailed'!G$107:K$107,'TCO - Input'!$S$13:$W$13),
'Calculation - Detailed'!G$107*SUM('TCO - Input'!$S$13:$W$13))</f>
        <v>0</v>
      </c>
      <c r="G27" s="39">
        <f ca="1">'Calculation - Detailed'!H$114*5/constant_vessel_lifetime*
IF(Fuel_cost_transparency_Index=1,
SUMPRODUCT('Calculation - Detailed'!H$107:L$107,'TCO - Input'!$S$13:$W$13),
'Calculation - Detailed'!H$107*SUM('TCO - Input'!$S$13:$W$13))</f>
        <v>0</v>
      </c>
      <c r="H27" s="39">
        <f ca="1">'Calculation - Detailed'!I$114*5/constant_vessel_lifetime*
IF(Fuel_cost_transparency_Index=1,
SUMPRODUCT('Calculation - Detailed'!I$107:M$107,'TCO - Input'!$S$13:$W$13),
'Calculation - Detailed'!I$107*SUM('TCO - Input'!$S$13:$W$13))</f>
        <v>0</v>
      </c>
      <c r="I27" s="39">
        <f ca="1">'Calculation - Detailed'!J$114*5/constant_vessel_lifetime*
IF(Fuel_cost_transparency_Index=1,
SUMPRODUCT('Calculation - Detailed'!J$107:N$107,'TCO - Input'!$S$13:$W$13),
'Calculation - Detailed'!J$107*SUM('TCO - Input'!$S$13:$W$13))</f>
        <v>0</v>
      </c>
      <c r="J27" s="39">
        <f ca="1">'Calculation - Detailed'!K$114*5/constant_vessel_lifetime*
IF(Fuel_cost_transparency_Index=1,
SUMPRODUCT('Calculation - Detailed'!K$107:O$107,'TCO - Input'!$S$13:$W$13),
'Calculation - Detailed'!K$107*SUM('TCO - Input'!$S$13:$W$13))</f>
        <v>0</v>
      </c>
      <c r="K27" s="39">
        <f ca="1">'Calculation - Detailed'!L$114*5/constant_vessel_lifetime*
IF(Fuel_cost_transparency_Index=1,
SUMPRODUCT('Calculation - Detailed'!L$107:P$107,'TCO - Input'!$S$13:$W$13),
'Calculation - Detailed'!L$107*SUM('TCO - Input'!$S$13:$W$13))</f>
        <v>0</v>
      </c>
      <c r="L27" s="39">
        <f ca="1">'Calculation - Detailed'!M$114*5/constant_vessel_lifetime*
IF(Fuel_cost_transparency_Index=1,
SUMPRODUCT('Calculation - Detailed'!M$107:Q$107,'TCO - Input'!$S$13:$W$13),
'Calculation - Detailed'!M$107*SUM('TCO - Input'!$S$13:$W$13))</f>
        <v>0</v>
      </c>
      <c r="N27" s="39">
        <f ca="1">'Calculation - Detailed'!AA$114*5/constant_vessel_lifetime*
IF(Fuel_cost_transparency_Index=1,
SUMPRODUCT('Calculation - Detailed'!AA$107:AE$107,'TCO - Input'!$S$13:$W$13),
'Calculation - Detailed'!AA$107*SUM('TCO - Input'!$S$13:$W$13))</f>
        <v>128712.77116252168</v>
      </c>
      <c r="O27" s="39">
        <f ca="1">'Calculation - Detailed'!AB$114*5/constant_vessel_lifetime*
IF(Fuel_cost_transparency_Index=1,
SUMPRODUCT('Calculation - Detailed'!AB$107:AF$107,'TCO - Input'!$S$13:$W$13),
'Calculation - Detailed'!AB$107*SUM('TCO - Input'!$S$13:$W$13))</f>
        <v>115327.88806702367</v>
      </c>
      <c r="P27" s="39">
        <f ca="1">'Calculation - Detailed'!AC$114*5/constant_vessel_lifetime*
IF(Fuel_cost_transparency_Index=1,
SUMPRODUCT('Calculation - Detailed'!AC$107:AG$107,'TCO - Input'!$S$13:$W$13),
'Calculation - Detailed'!AC$107*SUM('TCO - Input'!$S$13:$W$13))</f>
        <v>112059.48638091366</v>
      </c>
      <c r="Q27" s="39">
        <f ca="1">'Calculation - Detailed'!AD$114*5/constant_vessel_lifetime*
IF(Fuel_cost_transparency_Index=1,
SUMPRODUCT('Calculation - Detailed'!AD$107:AH$107,'TCO - Input'!$S$13:$W$13),
'Calculation - Detailed'!AD$107*SUM('TCO - Input'!$S$13:$W$13))</f>
        <v>112059.48638091366</v>
      </c>
      <c r="R27" s="39">
        <f ca="1">'Calculation - Detailed'!AE$114*5/constant_vessel_lifetime*
IF(Fuel_cost_transparency_Index=1,
SUMPRODUCT('Calculation - Detailed'!AE$107:AI$107,'TCO - Input'!$S$13:$W$13),
'Calculation - Detailed'!AE$107*SUM('TCO - Input'!$S$13:$W$13))</f>
        <v>112059.48638091366</v>
      </c>
      <c r="S27" s="39">
        <f ca="1">'Calculation - Detailed'!AF$114*5/constant_vessel_lifetime*
IF(Fuel_cost_transparency_Index=1,
SUMPRODUCT('Calculation - Detailed'!AF$107:AJ$107,'TCO - Input'!$S$13:$W$13),
'Calculation - Detailed'!AF$107*SUM('TCO - Input'!$S$13:$W$13))</f>
        <v>112059.48638091366</v>
      </c>
      <c r="T27" s="39">
        <f ca="1">'Calculation - Detailed'!AG$114*5/constant_vessel_lifetime*
IF(Fuel_cost_transparency_Index=1,
SUMPRODUCT('Calculation - Detailed'!AG$107:AK$107,'TCO - Input'!$S$13:$W$13),
'Calculation - Detailed'!AG$107*SUM('TCO - Input'!$S$13:$W$13))</f>
        <v>112059.48638091366</v>
      </c>
      <c r="V27" s="39">
        <f ca="1">'Calculation - Detailed'!AU$114*5/constant_vessel_lifetime*
IF(Fuel_cost_transparency_Index=1,
SUMPRODUCT('Calculation - Detailed'!AU$107:AY$107,'TCO - Input'!$S$13:$W$13),
'Calculation - Detailed'!AU$107*SUM('TCO - Input'!$S$13:$W$13))</f>
        <v>1352834.4313634355</v>
      </c>
      <c r="W27" s="39">
        <f ca="1">'Calculation - Detailed'!AV$114*5/constant_vessel_lifetime*
IF(Fuel_cost_transparency_Index=1,
SUMPRODUCT('Calculation - Detailed'!AV$107:AZ$107,'TCO - Input'!$S$13:$W$13),
'Calculation - Detailed'!AV$107*SUM('TCO - Input'!$S$13:$W$13))</f>
        <v>1058267.0002714489</v>
      </c>
      <c r="X27" s="39">
        <f ca="1">'Calculation - Detailed'!AW$114*5/constant_vessel_lifetime*
IF(Fuel_cost_transparency_Index=1,
SUMPRODUCT('Calculation - Detailed'!AW$107:BA$107,'TCO - Input'!$S$13:$W$13),
'Calculation - Detailed'!AW$107*SUM('TCO - Input'!$S$13:$W$13))</f>
        <v>921854.05690957396</v>
      </c>
      <c r="Y27" s="39">
        <f ca="1">'Calculation - Detailed'!AX$114*5/constant_vessel_lifetime*
IF(Fuel_cost_transparency_Index=1,
SUMPRODUCT('Calculation - Detailed'!AX$107:BB$107,'TCO - Input'!$S$13:$W$13),
'Calculation - Detailed'!AX$107*SUM('TCO - Input'!$S$13:$W$13))</f>
        <v>915210.9785996991</v>
      </c>
      <c r="Z27" s="39">
        <f ca="1">'Calculation - Detailed'!AY$114*5/constant_vessel_lifetime*
IF(Fuel_cost_transparency_Index=1,
SUMPRODUCT('Calculation - Detailed'!AY$107:BC$107,'TCO - Input'!$S$13:$W$13),
'Calculation - Detailed'!AY$107*SUM('TCO - Input'!$S$13:$W$13))</f>
        <v>904060.78372436401</v>
      </c>
      <c r="AA27" s="39">
        <f ca="1">'Calculation - Detailed'!AZ$114*5/constant_vessel_lifetime*
IF(Fuel_cost_transparency_Index=1,
SUMPRODUCT('Calculation - Detailed'!AZ$107:BD$107,'TCO - Input'!$S$13:$W$13),
'Calculation - Detailed'!AZ$107*SUM('TCO - Input'!$S$13:$W$13))</f>
        <v>892820.92243596935</v>
      </c>
      <c r="AB27" s="39">
        <f ca="1">'Calculation - Detailed'!BA$114*5/constant_vessel_lifetime*
IF(Fuel_cost_transparency_Index=1,
SUMPRODUCT('Calculation - Detailed'!BA$107:BE$107,'TCO - Input'!$S$13:$W$13),
'Calculation - Detailed'!BA$107*SUM('TCO - Input'!$S$13:$W$13))</f>
        <v>883773.6080656565</v>
      </c>
      <c r="AD27" s="39">
        <f ca="1">'Calculation - Detailed'!BO$114*5/constant_vessel_lifetime*
IF(Fuel_cost_transparency_Index=1,
SUMPRODUCT('Calculation - Detailed'!BO$107:BS$107,'TCO - Input'!$S$13:$W$13),
'Calculation - Detailed'!BO$107*SUM('TCO - Input'!$S$13:$W$13))</f>
        <v>1352834.4313634355</v>
      </c>
      <c r="AE27" s="39">
        <f ca="1">'Calculation - Detailed'!BP$114*5/constant_vessel_lifetime*
IF(Fuel_cost_transparency_Index=1,
SUMPRODUCT('Calculation - Detailed'!BP$107:BT$107,'TCO - Input'!$S$13:$W$13),
'Calculation - Detailed'!BP$107*SUM('TCO - Input'!$S$13:$W$13))</f>
        <v>1058267.0002714489</v>
      </c>
      <c r="AF27" s="39">
        <f ca="1">'Calculation - Detailed'!BQ$114*5/constant_vessel_lifetime*
IF(Fuel_cost_transparency_Index=1,
SUMPRODUCT('Calculation - Detailed'!BQ$107:BU$107,'TCO - Input'!$S$13:$W$13),
'Calculation - Detailed'!BQ$107*SUM('TCO - Input'!$S$13:$W$13))</f>
        <v>921854.05690957396</v>
      </c>
      <c r="AG27" s="39">
        <f ca="1">'Calculation - Detailed'!BR$114*5/constant_vessel_lifetime*
IF(Fuel_cost_transparency_Index=1,
SUMPRODUCT('Calculation - Detailed'!BR$107:BV$107,'TCO - Input'!$S$13:$W$13),
'Calculation - Detailed'!BR$107*SUM('TCO - Input'!$S$13:$W$13))</f>
        <v>915210.9785996991</v>
      </c>
      <c r="AH27" s="39">
        <f ca="1">'Calculation - Detailed'!BS$114*5/constant_vessel_lifetime*
IF(Fuel_cost_transparency_Index=1,
SUMPRODUCT('Calculation - Detailed'!BS$107:BW$107,'TCO - Input'!$S$13:$W$13),
'Calculation - Detailed'!BS$107*SUM('TCO - Input'!$S$13:$W$13))</f>
        <v>904060.78372436401</v>
      </c>
      <c r="AI27" s="39">
        <f ca="1">'Calculation - Detailed'!BT$114*5/constant_vessel_lifetime*
IF(Fuel_cost_transparency_Index=1,
SUMPRODUCT('Calculation - Detailed'!BT$107:BX$107,'TCO - Input'!$S$13:$W$13),
'Calculation - Detailed'!BT$107*SUM('TCO - Input'!$S$13:$W$13))</f>
        <v>892820.92243596935</v>
      </c>
      <c r="AJ27" s="39">
        <f ca="1">'Calculation - Detailed'!BU$114*5/constant_vessel_lifetime*
IF(Fuel_cost_transparency_Index=1,
SUMPRODUCT('Calculation - Detailed'!BU$107:BY$107,'TCO - Input'!$S$13:$W$13),
'Calculation - Detailed'!BU$107*SUM('TCO - Input'!$S$13:$W$13))</f>
        <v>883773.6080656565</v>
      </c>
      <c r="AL27" s="39">
        <f ca="1">'Calculation - Detailed'!CI$114*5/constant_vessel_lifetime*
IF(Fuel_cost_transparency_Index=1,
SUMPRODUCT('Calculation - Detailed'!CI$107:CM$107,'TCO - Input'!$S$13:$W$13),
'Calculation - Detailed'!CI$107*SUM('TCO - Input'!$S$13:$W$13))</f>
        <v>1352834.4313634355</v>
      </c>
      <c r="AM27" s="39">
        <f ca="1">'Calculation - Detailed'!CJ$114*5/constant_vessel_lifetime*
IF(Fuel_cost_transparency_Index=1,
SUMPRODUCT('Calculation - Detailed'!CJ$107:CN$107,'TCO - Input'!$S$13:$W$13),
'Calculation - Detailed'!CJ$107*SUM('TCO - Input'!$S$13:$W$13))</f>
        <v>1058267.0002714489</v>
      </c>
      <c r="AN27" s="39">
        <f ca="1">'Calculation - Detailed'!CK$114*5/constant_vessel_lifetime*
IF(Fuel_cost_transparency_Index=1,
SUMPRODUCT('Calculation - Detailed'!CK$107:CO$107,'TCO - Input'!$S$13:$W$13),
'Calculation - Detailed'!CK$107*SUM('TCO - Input'!$S$13:$W$13))</f>
        <v>921854.05690957396</v>
      </c>
      <c r="AO27" s="39">
        <f ca="1">'Calculation - Detailed'!CL$114*5/constant_vessel_lifetime*
IF(Fuel_cost_transparency_Index=1,
SUMPRODUCT('Calculation - Detailed'!CL$107:CP$107,'TCO - Input'!$S$13:$W$13),
'Calculation - Detailed'!CL$107*SUM('TCO - Input'!$S$13:$W$13))</f>
        <v>915210.9785996991</v>
      </c>
      <c r="AP27" s="39">
        <f ca="1">'Calculation - Detailed'!CM$114*5/constant_vessel_lifetime*
IF(Fuel_cost_transparency_Index=1,
SUMPRODUCT('Calculation - Detailed'!CM$107:CQ$107,'TCO - Input'!$S$13:$W$13),
'Calculation - Detailed'!CM$107*SUM('TCO - Input'!$S$13:$W$13))</f>
        <v>904060.78372436401</v>
      </c>
      <c r="AQ27" s="39">
        <f ca="1">'Calculation - Detailed'!CN$114*5/constant_vessel_lifetime*
IF(Fuel_cost_transparency_Index=1,
SUMPRODUCT('Calculation - Detailed'!CN$107:CR$107,'TCO - Input'!$S$13:$W$13),
'Calculation - Detailed'!CN$107*SUM('TCO - Input'!$S$13:$W$13))</f>
        <v>892820.92243596935</v>
      </c>
      <c r="AR27" s="39">
        <f ca="1">'Calculation - Detailed'!CO$114*5/constant_vessel_lifetime*
IF(Fuel_cost_transparency_Index=1,
SUMPRODUCT('Calculation - Detailed'!CO$107:CS$107,'TCO - Input'!$S$13:$W$13),
'Calculation - Detailed'!CO$107*SUM('TCO - Input'!$S$13:$W$13))</f>
        <v>883773.6080656565</v>
      </c>
    </row>
    <row r="28" spans="2:44" ht="21" x14ac:dyDescent="0.5">
      <c r="B28" s="42" t="s">
        <v>49</v>
      </c>
      <c r="C28" s="43" t="s">
        <v>224</v>
      </c>
      <c r="D28" s="4" t="s">
        <v>211</v>
      </c>
      <c r="E28" s="64"/>
      <c r="F28" s="39">
        <f ca="1">'Calculation - Detailed'!G$124*5/constant_vessel_lifetime*
IF(Fuel_cost_transparency_Index=1,
SUMPRODUCT('Calculation - Detailed'!G$123:K$123,'TCO - Input'!$S$13:$W$13),
'Calculation - Detailed'!G$123*SUM('TCO - Input'!$S$13:$W$13))</f>
        <v>2260365.0009175367</v>
      </c>
      <c r="G28" s="39">
        <f ca="1">'Calculation - Detailed'!H$124*5/constant_vessel_lifetime*
IF(Fuel_cost_transparency_Index=1,
SUMPRODUCT('Calculation - Detailed'!H$123:L$123,'TCO - Input'!$S$13:$W$13),
'Calculation - Detailed'!H$123*SUM('TCO - Input'!$S$13:$W$13))</f>
        <v>2025308.9065053139</v>
      </c>
      <c r="H28" s="39">
        <f ca="1">'Calculation - Detailed'!I$124*5/constant_vessel_lifetime*
IF(Fuel_cost_transparency_Index=1,
SUMPRODUCT('Calculation - Detailed'!I$123:M$123,'TCO - Input'!$S$13:$W$13),
'Calculation - Detailed'!I$123*SUM('TCO - Input'!$S$13:$W$13))</f>
        <v>1967911.488102329</v>
      </c>
      <c r="I28" s="39">
        <f ca="1">'Calculation - Detailed'!J$124*5/constant_vessel_lifetime*
IF(Fuel_cost_transparency_Index=1,
SUMPRODUCT('Calculation - Detailed'!J$123:N$123,'TCO - Input'!$S$13:$W$13),
'Calculation - Detailed'!J$123*SUM('TCO - Input'!$S$13:$W$13))</f>
        <v>1967911.488102329</v>
      </c>
      <c r="J28" s="39">
        <f ca="1">'Calculation - Detailed'!K$124*5/constant_vessel_lifetime*
IF(Fuel_cost_transparency_Index=1,
SUMPRODUCT('Calculation - Detailed'!K$123:O$123,'TCO - Input'!$S$13:$W$13),
'Calculation - Detailed'!K$123*SUM('TCO - Input'!$S$13:$W$13))</f>
        <v>1967911.488102329</v>
      </c>
      <c r="K28" s="39">
        <f ca="1">'Calculation - Detailed'!L$124*5/constant_vessel_lifetime*
IF(Fuel_cost_transparency_Index=1,
SUMPRODUCT('Calculation - Detailed'!L$123:P$123,'TCO - Input'!$S$13:$W$13),
'Calculation - Detailed'!L$123*SUM('TCO - Input'!$S$13:$W$13))</f>
        <v>1967911.488102329</v>
      </c>
      <c r="L28" s="39">
        <f ca="1">'Calculation - Detailed'!M$124*5/constant_vessel_lifetime*
IF(Fuel_cost_transparency_Index=1,
SUMPRODUCT('Calculation - Detailed'!M$123:Q$123,'TCO - Input'!$S$13:$W$13),
'Calculation - Detailed'!M$123*SUM('TCO - Input'!$S$13:$W$13))</f>
        <v>1967911.488102329</v>
      </c>
      <c r="N28" s="39">
        <f ca="1">'Calculation - Detailed'!AA$124*5/constant_vessel_lifetime*
IF(Fuel_cost_transparency_Index=1,
SUMPRODUCT('Calculation - Detailed'!AA$123:AE$123,'TCO - Input'!$S$13:$W$13),
'Calculation - Detailed'!AA$123*SUM('TCO - Input'!$S$13:$W$13))</f>
        <v>2190345.2782173911</v>
      </c>
      <c r="O28" s="39">
        <f ca="1">'Calculation - Detailed'!AB$124*5/constant_vessel_lifetime*
IF(Fuel_cost_transparency_Index=1,
SUMPRODUCT('Calculation - Detailed'!AB$123:AF$123,'TCO - Input'!$S$13:$W$13),
'Calculation - Detailed'!AB$123*SUM('TCO - Input'!$S$13:$W$13))</f>
        <v>1674376.7728800022</v>
      </c>
      <c r="P28" s="39">
        <f ca="1">'Calculation - Detailed'!AC$124*5/constant_vessel_lifetime*
IF(Fuel_cost_transparency_Index=1,
SUMPRODUCT('Calculation - Detailed'!AC$123:AG$123,'TCO - Input'!$S$13:$W$13),
'Calculation - Detailed'!AC$123*SUM('TCO - Input'!$S$13:$W$13))</f>
        <v>1533315.8978804445</v>
      </c>
      <c r="Q28" s="39">
        <f ca="1">'Calculation - Detailed'!AD$124*5/constant_vessel_lifetime*
IF(Fuel_cost_transparency_Index=1,
SUMPRODUCT('Calculation - Detailed'!AD$123:AH$123,'TCO - Input'!$S$13:$W$13),
'Calculation - Detailed'!AD$123*SUM('TCO - Input'!$S$13:$W$13))</f>
        <v>1524558.7050778267</v>
      </c>
      <c r="R28" s="39">
        <f ca="1">'Calculation - Detailed'!AE$124*5/constant_vessel_lifetime*
IF(Fuel_cost_transparency_Index=1,
SUMPRODUCT('Calculation - Detailed'!AE$123:AI$123,'TCO - Input'!$S$13:$W$13),
'Calculation - Detailed'!AE$123*SUM('TCO - Input'!$S$13:$W$13))</f>
        <v>1514568.6251456242</v>
      </c>
      <c r="S28" s="39">
        <f ca="1">'Calculation - Detailed'!AF$124*5/constant_vessel_lifetime*
IF(Fuel_cost_transparency_Index=1,
SUMPRODUCT('Calculation - Detailed'!AF$123:AJ$123,'TCO - Input'!$S$13:$W$13),
'Calculation - Detailed'!AF$123*SUM('TCO - Input'!$S$13:$W$13))</f>
        <v>1508137.5525433384</v>
      </c>
      <c r="T28" s="39">
        <f ca="1">'Calculation - Detailed'!AG$124*5/constant_vessel_lifetime*
IF(Fuel_cost_transparency_Index=1,
SUMPRODUCT('Calculation - Detailed'!AG$123:AK$123,'TCO - Input'!$S$13:$W$13),
'Calculation - Detailed'!AG$123*SUM('TCO - Input'!$S$13:$W$13))</f>
        <v>1505138.6791979528</v>
      </c>
      <c r="V28" s="39">
        <f ca="1">'Calculation - Detailed'!AU$124*5/constant_vessel_lifetime*
IF(Fuel_cost_transparency_Index=1,
SUMPRODUCT('Calculation - Detailed'!AU$123:AY$123,'TCO - Input'!$S$13:$W$13),
'Calculation - Detailed'!AU$123*SUM('TCO - Input'!$S$13:$W$13))</f>
        <v>6218694.836877849</v>
      </c>
      <c r="W28" s="39">
        <f ca="1">'Calculation - Detailed'!AV$124*5/constant_vessel_lifetime*
IF(Fuel_cost_transparency_Index=1,
SUMPRODUCT('Calculation - Detailed'!AV$123:AZ$123,'TCO - Input'!$S$13:$W$13),
'Calculation - Detailed'!AV$123*SUM('TCO - Input'!$S$13:$W$13))</f>
        <v>4923208.3123021889</v>
      </c>
      <c r="X28" s="39">
        <f ca="1">'Calculation - Detailed'!AW$124*5/constant_vessel_lifetime*
IF(Fuel_cost_transparency_Index=1,
SUMPRODUCT('Calculation - Detailed'!AW$123:BA$123,'TCO - Input'!$S$13:$W$13),
'Calculation - Detailed'!AW$123*SUM('TCO - Input'!$S$13:$W$13))</f>
        <v>4026365.5853081797</v>
      </c>
      <c r="Y28" s="39">
        <f ca="1">'Calculation - Detailed'!AX$124*5/constant_vessel_lifetime*
IF(Fuel_cost_transparency_Index=1,
SUMPRODUCT('Calculation - Detailed'!AX$123:BB$123,'TCO - Input'!$S$13:$W$13),
'Calculation - Detailed'!AX$123*SUM('TCO - Input'!$S$13:$W$13))</f>
        <v>3563660.8308215556</v>
      </c>
      <c r="Z28" s="39">
        <f ca="1">'Calculation - Detailed'!AY$124*5/constant_vessel_lifetime*
IF(Fuel_cost_transparency_Index=1,
SUMPRODUCT('Calculation - Detailed'!AY$123:BC$123,'TCO - Input'!$S$13:$W$13),
'Calculation - Detailed'!AY$123*SUM('TCO - Input'!$S$13:$W$13))</f>
        <v>3194435.5936845345</v>
      </c>
      <c r="AA28" s="39">
        <f ca="1">'Calculation - Detailed'!AZ$124*5/constant_vessel_lifetime*
IF(Fuel_cost_transparency_Index=1,
SUMPRODUCT('Calculation - Detailed'!AZ$123:BD$123,'TCO - Input'!$S$13:$W$13),
'Calculation - Detailed'!AZ$123*SUM('TCO - Input'!$S$13:$W$13))</f>
        <v>2937040.9073705305</v>
      </c>
      <c r="AB28" s="39">
        <f ca="1">'Calculation - Detailed'!BA$124*5/constant_vessel_lifetime*
IF(Fuel_cost_transparency_Index=1,
SUMPRODUCT('Calculation - Detailed'!BA$123:BE$123,'TCO - Input'!$S$13:$W$13),
'Calculation - Detailed'!BA$123*SUM('TCO - Input'!$S$13:$W$13))</f>
        <v>2814932.5415609633</v>
      </c>
      <c r="AD28" s="39">
        <f ca="1">'Calculation - Detailed'!BO$124*5/constant_vessel_lifetime*
IF(Fuel_cost_transparency_Index=1,
SUMPRODUCT('Calculation - Detailed'!BO$123:BS$123,'TCO - Input'!$S$13:$W$13),
'Calculation - Detailed'!BO$123*SUM('TCO - Input'!$S$13:$W$13))</f>
        <v>4874054.8297759006</v>
      </c>
      <c r="AE28" s="39">
        <f ca="1">'Calculation - Detailed'!BP$124*5/constant_vessel_lifetime*
IF(Fuel_cost_transparency_Index=1,
SUMPRODUCT('Calculation - Detailed'!BP$123:BT$123,'TCO - Input'!$S$13:$W$13),
'Calculation - Detailed'!BP$123*SUM('TCO - Input'!$S$13:$W$13))</f>
        <v>3940120.1758875609</v>
      </c>
      <c r="AF28" s="39">
        <f ca="1">'Calculation - Detailed'!BQ$124*5/constant_vessel_lifetime*
IF(Fuel_cost_transparency_Index=1,
SUMPRODUCT('Calculation - Detailed'!BQ$123:BU$123,'TCO - Input'!$S$13:$W$13),
'Calculation - Detailed'!BQ$123*SUM('TCO - Input'!$S$13:$W$13))</f>
        <v>3646633.0752491164</v>
      </c>
      <c r="AG28" s="39">
        <f ca="1">'Calculation - Detailed'!BR$124*5/constant_vessel_lifetime*
IF(Fuel_cost_transparency_Index=1,
SUMPRODUCT('Calculation - Detailed'!BR$123:BV$123,'TCO - Input'!$S$13:$W$13),
'Calculation - Detailed'!BR$123*SUM('TCO - Input'!$S$13:$W$13))</f>
        <v>3605826.9984964062</v>
      </c>
      <c r="AH28" s="39">
        <f ca="1">'Calculation - Detailed'!BS$124*5/constant_vessel_lifetime*
IF(Fuel_cost_transparency_Index=1,
SUMPRODUCT('Calculation - Detailed'!BS$123:BW$123,'TCO - Input'!$S$13:$W$13),
'Calculation - Detailed'!BS$123*SUM('TCO - Input'!$S$13:$W$13))</f>
        <v>3568956.3768227412</v>
      </c>
      <c r="AI28" s="39">
        <f ca="1">'Calculation - Detailed'!BT$124*5/constant_vessel_lifetime*
IF(Fuel_cost_transparency_Index=1,
SUMPRODUCT('Calculation - Detailed'!BT$123:BX$123,'TCO - Input'!$S$13:$W$13),
'Calculation - Detailed'!BT$123*SUM('TCO - Input'!$S$13:$W$13))</f>
        <v>3544504.1315092174</v>
      </c>
      <c r="AJ28" s="39">
        <f ca="1">'Calculation - Detailed'!BU$124*5/constant_vessel_lifetime*
IF(Fuel_cost_transparency_Index=1,
SUMPRODUCT('Calculation - Detailed'!BU$123:BY$123,'TCO - Input'!$S$13:$W$13),
'Calculation - Detailed'!BU$123*SUM('TCO - Input'!$S$13:$W$13))</f>
        <v>3532420.9818082689</v>
      </c>
      <c r="AL28" s="39">
        <f ca="1">'Calculation - Detailed'!CI$124*5/constant_vessel_lifetime*
IF(Fuel_cost_transparency_Index=1,
SUMPRODUCT('Calculation - Detailed'!CI$123:CM$123,'TCO - Input'!$S$13:$W$13),
'Calculation - Detailed'!CI$123*SUM('TCO - Input'!$S$13:$W$13))</f>
        <v>5014679.4532244038</v>
      </c>
      <c r="AM28" s="39">
        <f ca="1">'Calculation - Detailed'!CJ$124*5/constant_vessel_lifetime*
IF(Fuel_cost_transparency_Index=1,
SUMPRODUCT('Calculation - Detailed'!CJ$123:CN$123,'TCO - Input'!$S$13:$W$13),
'Calculation - Detailed'!CJ$123*SUM('TCO - Input'!$S$13:$W$13))</f>
        <v>4241678.4346174467</v>
      </c>
      <c r="AN28" s="39">
        <f ca="1">'Calculation - Detailed'!CK$124*5/constant_vessel_lifetime*
IF(Fuel_cost_transparency_Index=1,
SUMPRODUCT('Calculation - Detailed'!CK$123:CO$123,'TCO - Input'!$S$13:$W$13),
'Calculation - Detailed'!CK$123*SUM('TCO - Input'!$S$13:$W$13))</f>
        <v>3873897.4467506311</v>
      </c>
      <c r="AO28" s="39">
        <f ca="1">'Calculation - Detailed'!CL$124*5/constant_vessel_lifetime*
IF(Fuel_cost_transparency_Index=1,
SUMPRODUCT('Calculation - Detailed'!CL$123:CP$123,'TCO - Input'!$S$13:$W$13),
'Calculation - Detailed'!CL$123*SUM('TCO - Input'!$S$13:$W$13))</f>
        <v>3668323.0020262026</v>
      </c>
      <c r="AP28" s="39">
        <f ca="1">'Calculation - Detailed'!CM$124*5/constant_vessel_lifetime*
IF(Fuel_cost_transparency_Index=1,
SUMPRODUCT('Calculation - Detailed'!CM$123:CQ$123,'TCO - Input'!$S$13:$W$13),
'Calculation - Detailed'!CM$123*SUM('TCO - Input'!$S$13:$W$13))</f>
        <v>3529214.7922173683</v>
      </c>
      <c r="AQ28" s="39">
        <f ca="1">'Calculation - Detailed'!CN$124*5/constant_vessel_lifetime*
IF(Fuel_cost_transparency_Index=1,
SUMPRODUCT('Calculation - Detailed'!CN$123:CR$123,'TCO - Input'!$S$13:$W$13),
'Calculation - Detailed'!CN$123*SUM('TCO - Input'!$S$13:$W$13))</f>
        <v>3455072.9211057299</v>
      </c>
      <c r="AR28" s="39">
        <f ca="1">'Calculation - Detailed'!CO$124*5/constant_vessel_lifetime*
IF(Fuel_cost_transparency_Index=1,
SUMPRODUCT('Calculation - Detailed'!CO$123:CS$123,'TCO - Input'!$S$13:$W$13),
'Calculation - Detailed'!CO$123*SUM('TCO - Input'!$S$13:$W$13))</f>
        <v>3418554.7654402275</v>
      </c>
    </row>
    <row r="29" spans="2:44" ht="21" x14ac:dyDescent="0.5">
      <c r="B29" s="42" t="s">
        <v>49</v>
      </c>
      <c r="C29" s="43" t="s">
        <v>225</v>
      </c>
      <c r="D29" s="4" t="s">
        <v>211</v>
      </c>
      <c r="E29" s="64"/>
      <c r="F29" s="39">
        <f ca="1">'Calculation - Detailed'!G$137*5/constant_vessel_lifetime*
IF(Fuel_cost_transparency_Index=1,
SUMPRODUCT('Calculation - Detailed'!G$136:K$136,'TCO - Input'!$S$13:$W$13),
'Calculation - Detailed'!G$136*SUM('TCO - Input'!$S$13:$W$13))</f>
        <v>186437.94776942927</v>
      </c>
      <c r="G29" s="39">
        <f ca="1">'Calculation - Detailed'!H$137*5/constant_vessel_lifetime*
IF(Fuel_cost_transparency_Index=1,
SUMPRODUCT('Calculation - Detailed'!H$136:L$136,'TCO - Input'!$S$13:$W$13),
'Calculation - Detailed'!H$136*SUM('TCO - Input'!$S$13:$W$13))</f>
        <v>167050.20471239067</v>
      </c>
      <c r="H29" s="39">
        <f ca="1">'Calculation - Detailed'!I$137*5/constant_vessel_lifetime*
IF(Fuel_cost_transparency_Index=1,
SUMPRODUCT('Calculation - Detailed'!I$136:M$136,'TCO - Input'!$S$13:$W$13),
'Calculation - Detailed'!I$136*SUM('TCO - Input'!$S$13:$W$13))</f>
        <v>162315.98838450914</v>
      </c>
      <c r="I29" s="39">
        <f ca="1">'Calculation - Detailed'!J$137*5/constant_vessel_lifetime*
IF(Fuel_cost_transparency_Index=1,
SUMPRODUCT('Calculation - Detailed'!J$136:N$136,'TCO - Input'!$S$13:$W$13),
'Calculation - Detailed'!J$136*SUM('TCO - Input'!$S$13:$W$13))</f>
        <v>162315.98838450914</v>
      </c>
      <c r="J29" s="39">
        <f ca="1">'Calculation - Detailed'!K$137*5/constant_vessel_lifetime*
IF(Fuel_cost_transparency_Index=1,
SUMPRODUCT('Calculation - Detailed'!K$136:O$136,'TCO - Input'!$S$13:$W$13),
'Calculation - Detailed'!K$136*SUM('TCO - Input'!$S$13:$W$13))</f>
        <v>162315.98838450914</v>
      </c>
      <c r="K29" s="39">
        <f ca="1">'Calculation - Detailed'!L$137*5/constant_vessel_lifetime*
IF(Fuel_cost_transparency_Index=1,
SUMPRODUCT('Calculation - Detailed'!L$136:P$136,'TCO - Input'!$S$13:$W$13),
'Calculation - Detailed'!L$136*SUM('TCO - Input'!$S$13:$W$13))</f>
        <v>162315.98838450914</v>
      </c>
      <c r="L29" s="39">
        <f ca="1">'Calculation - Detailed'!M$137*5/constant_vessel_lifetime*
IF(Fuel_cost_transparency_Index=1,
SUMPRODUCT('Calculation - Detailed'!M$136:Q$136,'TCO - Input'!$S$13:$W$13),
'Calculation - Detailed'!M$136*SUM('TCO - Input'!$S$13:$W$13))</f>
        <v>162315.98838450914</v>
      </c>
      <c r="N29" s="39">
        <f ca="1">'Calculation - Detailed'!AA$137*5/constant_vessel_lifetime*
IF(Fuel_cost_transparency_Index=1,
SUMPRODUCT('Calculation - Detailed'!AA$136:AE$136,'TCO - Input'!$S$13:$W$13),
'Calculation - Detailed'!AA$136*SUM('TCO - Input'!$S$13:$W$13))</f>
        <v>180662.62679325923</v>
      </c>
      <c r="O29" s="39">
        <f ca="1">'Calculation - Detailed'!AB$137*5/constant_vessel_lifetime*
IF(Fuel_cost_transparency_Index=1,
SUMPRODUCT('Calculation - Detailed'!AB$136:AF$136,'TCO - Input'!$S$13:$W$13),
'Calculation - Detailed'!AB$136*SUM('TCO - Input'!$S$13:$W$13))</f>
        <v>138104.84996973103</v>
      </c>
      <c r="P29" s="39">
        <f ca="1">'Calculation - Detailed'!AC$137*5/constant_vessel_lifetime*
IF(Fuel_cost_transparency_Index=1,
SUMPRODUCT('Calculation - Detailed'!AC$136:AG$136,'TCO - Input'!$S$13:$W$13),
'Calculation - Detailed'!AC$136*SUM('TCO - Input'!$S$13:$W$13))</f>
        <v>126469.95912918003</v>
      </c>
      <c r="Q29" s="39">
        <f ca="1">'Calculation - Detailed'!AD$137*5/constant_vessel_lifetime*
IF(Fuel_cost_transparency_Index=1,
SUMPRODUCT('Calculation - Detailed'!AD$136:AH$136,'TCO - Input'!$S$13:$W$13),
'Calculation - Detailed'!AD$136*SUM('TCO - Input'!$S$13:$W$13))</f>
        <v>125747.65407947413</v>
      </c>
      <c r="R29" s="39">
        <f ca="1">'Calculation - Detailed'!AE$137*5/constant_vessel_lifetime*
IF(Fuel_cost_transparency_Index=1,
SUMPRODUCT('Calculation - Detailed'!AE$136:AI$136,'TCO - Input'!$S$13:$W$13),
'Calculation - Detailed'!AE$136*SUM('TCO - Input'!$S$13:$W$13))</f>
        <v>124923.65883983079</v>
      </c>
      <c r="S29" s="39">
        <f ca="1">'Calculation - Detailed'!AF$137*5/constant_vessel_lifetime*
IF(Fuel_cost_transparency_Index=1,
SUMPRODUCT('Calculation - Detailed'!AF$136:AJ$136,'TCO - Input'!$S$13:$W$13),
'Calculation - Detailed'!AF$136*SUM('TCO - Input'!$S$13:$W$13))</f>
        <v>124393.21531524973</v>
      </c>
      <c r="T29" s="39">
        <f ca="1">'Calculation - Detailed'!AG$137*5/constant_vessel_lifetime*
IF(Fuel_cost_transparency_Index=1,
SUMPRODUCT('Calculation - Detailed'!AG$136:AK$136,'TCO - Input'!$S$13:$W$13),
'Calculation - Detailed'!AG$136*SUM('TCO - Input'!$S$13:$W$13))</f>
        <v>124145.86420518249</v>
      </c>
      <c r="V29" s="39">
        <f ca="1">'Calculation - Detailed'!AU$137*5/constant_vessel_lifetime*
IF(Fuel_cost_transparency_Index=1,
SUMPRODUCT('Calculation - Detailed'!AU$136:AY$136,'TCO - Input'!$S$13:$W$13),
'Calculation - Detailed'!AU$136*SUM('TCO - Input'!$S$13:$W$13))</f>
        <v>512926.32062574994</v>
      </c>
      <c r="W29" s="39">
        <f ca="1">'Calculation - Detailed'!AV$137*5/constant_vessel_lifetime*
IF(Fuel_cost_transparency_Index=1,
SUMPRODUCT('Calculation - Detailed'!AV$136:AZ$136,'TCO - Input'!$S$13:$W$13),
'Calculation - Detailed'!AV$136*SUM('TCO - Input'!$S$13:$W$13))</f>
        <v>406072.84832955245</v>
      </c>
      <c r="X29" s="39">
        <f ca="1">'Calculation - Detailed'!AW$137*5/constant_vessel_lifetime*
IF(Fuel_cost_transparency_Index=1,
SUMPRODUCT('Calculation - Detailed'!AW$136:BA$136,'TCO - Input'!$S$13:$W$13),
'Calculation - Detailed'!AW$136*SUM('TCO - Input'!$S$13:$W$13))</f>
        <v>332100.05303992936</v>
      </c>
      <c r="Y29" s="39">
        <f ca="1">'Calculation - Detailed'!AX$137*5/constant_vessel_lifetime*
IF(Fuel_cost_transparency_Index=1,
SUMPRODUCT('Calculation - Detailed'!AX$136:BB$136,'TCO - Input'!$S$13:$W$13),
'Calculation - Detailed'!AX$136*SUM('TCO - Input'!$S$13:$W$13))</f>
        <v>293935.54208058148</v>
      </c>
      <c r="Z29" s="39">
        <f ca="1">'Calculation - Detailed'!AY$137*5/constant_vessel_lifetime*
IF(Fuel_cost_transparency_Index=1,
SUMPRODUCT('Calculation - Detailed'!AY$136:BC$136,'TCO - Input'!$S$13:$W$13),
'Calculation - Detailed'!AY$136*SUM('TCO - Input'!$S$13:$W$13))</f>
        <v>263481.3475374151</v>
      </c>
      <c r="AA29" s="39">
        <f ca="1">'Calculation - Detailed'!AZ$137*5/constant_vessel_lifetime*
IF(Fuel_cost_transparency_Index=1,
SUMPRODUCT('Calculation - Detailed'!AZ$136:BD$136,'TCO - Input'!$S$13:$W$13),
'Calculation - Detailed'!AZ$136*SUM('TCO - Input'!$S$13:$W$13))</f>
        <v>242251.08735215323</v>
      </c>
      <c r="AB29" s="39">
        <f ca="1">'Calculation - Detailed'!BA$137*5/constant_vessel_lifetime*
IF(Fuel_cost_transparency_Index=1,
SUMPRODUCT('Calculation - Detailed'!BA$136:BE$136,'TCO - Input'!$S$13:$W$13),
'Calculation - Detailed'!BA$136*SUM('TCO - Input'!$S$13:$W$13))</f>
        <v>232179.42498002603</v>
      </c>
      <c r="AD29" s="39">
        <f ca="1">'Calculation - Detailed'!BO$137*5/constant_vessel_lifetime*
IF(Fuel_cost_transparency_Index=1,
SUMPRODUCT('Calculation - Detailed'!BO$136:BS$136,'TCO - Input'!$S$13:$W$13),
'Calculation - Detailed'!BO$136*SUM('TCO - Input'!$S$13:$W$13))</f>
        <v>402018.60292927339</v>
      </c>
      <c r="AE29" s="39">
        <f ca="1">'Calculation - Detailed'!BP$137*5/constant_vessel_lifetime*
IF(Fuel_cost_transparency_Index=1,
SUMPRODUCT('Calculation - Detailed'!BP$136:BT$136,'TCO - Input'!$S$13:$W$13),
'Calculation - Detailed'!BP$136*SUM('TCO - Input'!$S$13:$W$13))</f>
        <v>324986.41558297561</v>
      </c>
      <c r="AF29" s="39">
        <f ca="1">'Calculation - Detailed'!BQ$137*5/constant_vessel_lifetime*
IF(Fuel_cost_transparency_Index=1,
SUMPRODUCT('Calculation - Detailed'!BQ$136:BU$136,'TCO - Input'!$S$13:$W$13),
'Calculation - Detailed'!BQ$136*SUM('TCO - Input'!$S$13:$W$13))</f>
        <v>300779.20448316628</v>
      </c>
      <c r="AG29" s="39">
        <f ca="1">'Calculation - Detailed'!BR$137*5/constant_vessel_lifetime*
IF(Fuel_cost_transparency_Index=1,
SUMPRODUCT('Calculation - Detailed'!BR$136:BV$136,'TCO - Input'!$S$13:$W$13),
'Calculation - Detailed'!BR$136*SUM('TCO - Input'!$S$13:$W$13))</f>
        <v>297413.46434685687</v>
      </c>
      <c r="AH29" s="39">
        <f ca="1">'Calculation - Detailed'!BS$137*5/constant_vessel_lifetime*
IF(Fuel_cost_transparency_Index=1,
SUMPRODUCT('Calculation - Detailed'!BS$136:BW$136,'TCO - Input'!$S$13:$W$13),
'Calculation - Detailed'!BS$136*SUM('TCO - Input'!$S$13:$W$13))</f>
        <v>294372.32584266365</v>
      </c>
      <c r="AI29" s="39">
        <f ca="1">'Calculation - Detailed'!BT$137*5/constant_vessel_lifetime*
IF(Fuel_cost_transparency_Index=1,
SUMPRODUCT('Calculation - Detailed'!BT$136:BX$136,'TCO - Input'!$S$13:$W$13),
'Calculation - Detailed'!BT$136*SUM('TCO - Input'!$S$13:$W$13))</f>
        <v>292355.47173602268</v>
      </c>
      <c r="AJ29" s="39">
        <f ca="1">'Calculation - Detailed'!BU$137*5/constant_vessel_lifetime*
IF(Fuel_cost_transparency_Index=1,
SUMPRODUCT('Calculation - Detailed'!BU$136:BY$136,'TCO - Input'!$S$13:$W$13),
'Calculation - Detailed'!BU$136*SUM('TCO - Input'!$S$13:$W$13))</f>
        <v>291358.83728454198</v>
      </c>
      <c r="AL29" s="39">
        <f ca="1">'Calculation - Detailed'!CI$137*5/constant_vessel_lifetime*
IF(Fuel_cost_transparency_Index=1,
SUMPRODUCT('Calculation - Detailed'!CI$136:CM$136,'TCO - Input'!$S$13:$W$13),
'Calculation - Detailed'!CI$136*SUM('TCO - Input'!$S$13:$W$13))</f>
        <v>413617.51115469064</v>
      </c>
      <c r="AM29" s="39">
        <f ca="1">'Calculation - Detailed'!CJ$137*5/constant_vessel_lifetime*
IF(Fuel_cost_transparency_Index=1,
SUMPRODUCT('Calculation - Detailed'!CJ$136:CN$136,'TCO - Input'!$S$13:$W$13),
'Calculation - Detailed'!CJ$136*SUM('TCO - Input'!$S$13:$W$13))</f>
        <v>349859.34666609741</v>
      </c>
      <c r="AN29" s="39">
        <f ca="1">'Calculation - Detailed'!CK$137*5/constant_vessel_lifetime*
IF(Fuel_cost_transparency_Index=1,
SUMPRODUCT('Calculation - Detailed'!CK$136:CO$136,'TCO - Input'!$S$13:$W$13),
'Calculation - Detailed'!CK$136*SUM('TCO - Input'!$S$13:$W$13))</f>
        <v>319524.27574672422</v>
      </c>
      <c r="AO29" s="39">
        <f ca="1">'Calculation - Detailed'!CL$137*5/constant_vessel_lifetime*
IF(Fuel_cost_transparency_Index=1,
SUMPRODUCT('Calculation - Detailed'!CL$136:CP$136,'TCO - Input'!$S$13:$W$13),
'Calculation - Detailed'!CL$136*SUM('TCO - Input'!$S$13:$W$13))</f>
        <v>302568.21883878921</v>
      </c>
      <c r="AP29" s="39">
        <f ca="1">'Calculation - Detailed'!CM$137*5/constant_vessel_lifetime*
IF(Fuel_cost_transparency_Index=1,
SUMPRODUCT('Calculation - Detailed'!CM$136:CQ$136,'TCO - Input'!$S$13:$W$13),
'Calculation - Detailed'!CM$136*SUM('TCO - Input'!$S$13:$W$13))</f>
        <v>291094.38645149308</v>
      </c>
      <c r="AQ29" s="39">
        <f ca="1">'Calculation - Detailed'!CN$137*5/constant_vessel_lifetime*
IF(Fuel_cost_transparency_Index=1,
SUMPRODUCT('Calculation - Detailed'!CN$136:CR$136,'TCO - Input'!$S$13:$W$13),
'Calculation - Detailed'!CN$136*SUM('TCO - Input'!$S$13:$W$13))</f>
        <v>284979.06512585393</v>
      </c>
      <c r="AR29" s="39">
        <f ca="1">'Calculation - Detailed'!CO$137*5/constant_vessel_lifetime*
IF(Fuel_cost_transparency_Index=1,
SUMPRODUCT('Calculation - Detailed'!CO$136:CS$136,'TCO - Input'!$S$13:$W$13),
'Calculation - Detailed'!CO$136*SUM('TCO - Input'!$S$13:$W$13))</f>
        <v>281966.99849243974</v>
      </c>
    </row>
    <row r="30" spans="2:44" ht="21" x14ac:dyDescent="0.5">
      <c r="B30" s="35" t="s">
        <v>76</v>
      </c>
      <c r="C30" s="35" t="s">
        <v>76</v>
      </c>
      <c r="D30" s="34" t="s">
        <v>211</v>
      </c>
      <c r="E30" s="10"/>
      <c r="F30" s="37">
        <f>SUM(F31:F32)</f>
        <v>3500000</v>
      </c>
      <c r="G30" s="37">
        <f t="shared" ref="G30:L30" si="64">SUM(G31:G32)</f>
        <v>3500000</v>
      </c>
      <c r="H30" s="37">
        <f t="shared" si="64"/>
        <v>3500000</v>
      </c>
      <c r="I30" s="37">
        <f t="shared" si="64"/>
        <v>3500000</v>
      </c>
      <c r="J30" s="37">
        <f t="shared" si="64"/>
        <v>3500000</v>
      </c>
      <c r="K30" s="37">
        <f t="shared" si="64"/>
        <v>3500000</v>
      </c>
      <c r="L30" s="37">
        <f t="shared" si="64"/>
        <v>3500000</v>
      </c>
      <c r="N30" s="37">
        <f>SUM(N31:N32)</f>
        <v>3500000</v>
      </c>
      <c r="O30" s="37">
        <f t="shared" ref="O30:T30" si="65">SUM(O31:O32)</f>
        <v>3500000</v>
      </c>
      <c r="P30" s="37">
        <f t="shared" si="65"/>
        <v>3500000</v>
      </c>
      <c r="Q30" s="37">
        <f t="shared" si="65"/>
        <v>3500000</v>
      </c>
      <c r="R30" s="37">
        <f t="shared" si="65"/>
        <v>3500000</v>
      </c>
      <c r="S30" s="37">
        <f t="shared" si="65"/>
        <v>3500000</v>
      </c>
      <c r="T30" s="37">
        <f t="shared" si="65"/>
        <v>3500000</v>
      </c>
      <c r="V30" s="37">
        <f>SUM(V31:V32)</f>
        <v>3500000</v>
      </c>
      <c r="W30" s="37">
        <f t="shared" ref="W30:AB30" si="66">SUM(W31:W32)</f>
        <v>3500000</v>
      </c>
      <c r="X30" s="37">
        <f t="shared" si="66"/>
        <v>3500000</v>
      </c>
      <c r="Y30" s="37">
        <f t="shared" si="66"/>
        <v>3500000</v>
      </c>
      <c r="Z30" s="37">
        <f t="shared" si="66"/>
        <v>3500000</v>
      </c>
      <c r="AA30" s="37">
        <f t="shared" si="66"/>
        <v>3500000</v>
      </c>
      <c r="AB30" s="37">
        <f t="shared" si="66"/>
        <v>3500000</v>
      </c>
      <c r="AD30" s="37">
        <f>SUM(AD31:AD32)</f>
        <v>3500000</v>
      </c>
      <c r="AE30" s="37">
        <f t="shared" ref="AE30:AJ30" si="67">SUM(AE31:AE32)</f>
        <v>3500000</v>
      </c>
      <c r="AF30" s="37">
        <f t="shared" si="67"/>
        <v>3500000</v>
      </c>
      <c r="AG30" s="37">
        <f t="shared" si="67"/>
        <v>3500000</v>
      </c>
      <c r="AH30" s="37">
        <f t="shared" si="67"/>
        <v>3500000</v>
      </c>
      <c r="AI30" s="37">
        <f t="shared" si="67"/>
        <v>3500000</v>
      </c>
      <c r="AJ30" s="37">
        <f t="shared" si="67"/>
        <v>3500000</v>
      </c>
      <c r="AL30" s="37">
        <f>SUM(AL31:AL32)</f>
        <v>3500000</v>
      </c>
      <c r="AM30" s="37">
        <f t="shared" ref="AM30:AR30" si="68">SUM(AM31:AM32)</f>
        <v>3500000</v>
      </c>
      <c r="AN30" s="37">
        <f t="shared" si="68"/>
        <v>3500000</v>
      </c>
      <c r="AO30" s="37">
        <f t="shared" si="68"/>
        <v>3500000</v>
      </c>
      <c r="AP30" s="37">
        <f t="shared" si="68"/>
        <v>3500000</v>
      </c>
      <c r="AQ30" s="37">
        <f t="shared" si="68"/>
        <v>3500000</v>
      </c>
      <c r="AR30" s="37">
        <f t="shared" si="68"/>
        <v>3500000</v>
      </c>
    </row>
    <row r="31" spans="2:44" ht="21" x14ac:dyDescent="0.5">
      <c r="B31" s="42" t="s">
        <v>226</v>
      </c>
      <c r="C31" s="43" t="s">
        <v>227</v>
      </c>
      <c r="D31" s="4" t="s">
        <v>211</v>
      </c>
      <c r="E31" s="10"/>
      <c r="F31" s="39">
        <f>'Calculation - Detailed'!G162*'TCO - Input'!$R$14</f>
        <v>3500000</v>
      </c>
      <c r="G31" s="39">
        <f>'Calculation - Detailed'!H162*'TCO - Input'!$R$14</f>
        <v>3500000</v>
      </c>
      <c r="H31" s="39">
        <f>'Calculation - Detailed'!I162*'TCO - Input'!$R$14</f>
        <v>3500000</v>
      </c>
      <c r="I31" s="39">
        <f>'Calculation - Detailed'!J162*'TCO - Input'!$R$14</f>
        <v>3500000</v>
      </c>
      <c r="J31" s="39">
        <f>'Calculation - Detailed'!K162*'TCO - Input'!$R$14</f>
        <v>3500000</v>
      </c>
      <c r="K31" s="39">
        <f>'Calculation - Detailed'!L162*'TCO - Input'!$R$14</f>
        <v>3500000</v>
      </c>
      <c r="L31" s="39">
        <f>'Calculation - Detailed'!M162*'TCO - Input'!$R$14</f>
        <v>3500000</v>
      </c>
      <c r="N31" s="39">
        <f>'Calculation - Detailed'!AA162*'TCO - Input'!$R$14</f>
        <v>3500000</v>
      </c>
      <c r="O31" s="39">
        <f>'Calculation - Detailed'!AB162*'TCO - Input'!$R$14</f>
        <v>3500000</v>
      </c>
      <c r="P31" s="39">
        <f>'Calculation - Detailed'!AC162*'TCO - Input'!$R$14</f>
        <v>3500000</v>
      </c>
      <c r="Q31" s="39">
        <f>'Calculation - Detailed'!AD162*'TCO - Input'!$R$14</f>
        <v>3500000</v>
      </c>
      <c r="R31" s="39">
        <f>'Calculation - Detailed'!AE162*'TCO - Input'!$R$14</f>
        <v>3500000</v>
      </c>
      <c r="S31" s="39">
        <f>'Calculation - Detailed'!AF162*'TCO - Input'!$R$14</f>
        <v>3500000</v>
      </c>
      <c r="T31" s="39">
        <f>'Calculation - Detailed'!AG162*'TCO - Input'!$R$14</f>
        <v>3500000</v>
      </c>
      <c r="V31" s="39">
        <f>'Calculation - Detailed'!AU162*'TCO - Input'!$R$14</f>
        <v>3500000</v>
      </c>
      <c r="W31" s="39">
        <f>'Calculation - Detailed'!AV162*'TCO - Input'!$R$14</f>
        <v>3500000</v>
      </c>
      <c r="X31" s="39">
        <f>'Calculation - Detailed'!AW162*'TCO - Input'!$R$14</f>
        <v>3500000</v>
      </c>
      <c r="Y31" s="39">
        <f>'Calculation - Detailed'!AX162*'TCO - Input'!$R$14</f>
        <v>3500000</v>
      </c>
      <c r="Z31" s="39">
        <f>'Calculation - Detailed'!AY162*'TCO - Input'!$R$14</f>
        <v>3500000</v>
      </c>
      <c r="AA31" s="39">
        <f>'Calculation - Detailed'!AZ162*'TCO - Input'!$R$14</f>
        <v>3500000</v>
      </c>
      <c r="AB31" s="39">
        <f>'Calculation - Detailed'!BA162*'TCO - Input'!$R$14</f>
        <v>3500000</v>
      </c>
      <c r="AD31" s="39">
        <f>'Calculation - Detailed'!BO162*'TCO - Input'!$R$14</f>
        <v>3500000</v>
      </c>
      <c r="AE31" s="39">
        <f>'Calculation - Detailed'!BP162*'TCO - Input'!$R$14</f>
        <v>3500000</v>
      </c>
      <c r="AF31" s="39">
        <f>'Calculation - Detailed'!BQ162*'TCO - Input'!$R$14</f>
        <v>3500000</v>
      </c>
      <c r="AG31" s="39">
        <f>'Calculation - Detailed'!BR162*'TCO - Input'!$R$14</f>
        <v>3500000</v>
      </c>
      <c r="AH31" s="39">
        <f>'Calculation - Detailed'!BS162*'TCO - Input'!$R$14</f>
        <v>3500000</v>
      </c>
      <c r="AI31" s="39">
        <f>'Calculation - Detailed'!BT162*'TCO - Input'!$R$14</f>
        <v>3500000</v>
      </c>
      <c r="AJ31" s="39">
        <f>'Calculation - Detailed'!BU162*'TCO - Input'!$R$14</f>
        <v>3500000</v>
      </c>
      <c r="AL31" s="39">
        <f>'Calculation - Detailed'!CI162*'TCO - Input'!$R$14</f>
        <v>3500000</v>
      </c>
      <c r="AM31" s="39">
        <f>'Calculation - Detailed'!CJ162*'TCO - Input'!$R$14</f>
        <v>3500000</v>
      </c>
      <c r="AN31" s="39">
        <f>'Calculation - Detailed'!CK162*'TCO - Input'!$R$14</f>
        <v>3500000</v>
      </c>
      <c r="AO31" s="39">
        <f>'Calculation - Detailed'!CL162*'TCO - Input'!$R$14</f>
        <v>3500000</v>
      </c>
      <c r="AP31" s="39">
        <f>'Calculation - Detailed'!CM162*'TCO - Input'!$R$14</f>
        <v>3500000</v>
      </c>
      <c r="AQ31" s="39">
        <f>'Calculation - Detailed'!CN162*'TCO - Input'!$R$14</f>
        <v>3500000</v>
      </c>
      <c r="AR31" s="39">
        <f>'Calculation - Detailed'!CO162*'TCO - Input'!$R$14</f>
        <v>3500000</v>
      </c>
    </row>
    <row r="32" spans="2:44" ht="21" x14ac:dyDescent="0.5">
      <c r="B32" s="42" t="s">
        <v>228</v>
      </c>
      <c r="C32" s="43" t="s">
        <v>229</v>
      </c>
      <c r="D32" s="4" t="s">
        <v>211</v>
      </c>
      <c r="E32" s="10"/>
      <c r="F32" s="39">
        <f>'Calculation - Detailed'!G165*'TCO - Input'!$R$14</f>
        <v>0</v>
      </c>
      <c r="G32" s="39">
        <f>'Calculation - Detailed'!H165*'TCO - Input'!$R$14</f>
        <v>0</v>
      </c>
      <c r="H32" s="39">
        <f>'Calculation - Detailed'!I165*'TCO - Input'!$R$14</f>
        <v>0</v>
      </c>
      <c r="I32" s="39">
        <f>'Calculation - Detailed'!J165*'TCO - Input'!$R$14</f>
        <v>0</v>
      </c>
      <c r="J32" s="39">
        <f>'Calculation - Detailed'!K165*'TCO - Input'!$R$14</f>
        <v>0</v>
      </c>
      <c r="K32" s="39">
        <f>'Calculation - Detailed'!L165*'TCO - Input'!$R$14</f>
        <v>0</v>
      </c>
      <c r="L32" s="39">
        <f>'Calculation - Detailed'!M165*'TCO - Input'!$R$14</f>
        <v>0</v>
      </c>
      <c r="N32" s="39">
        <f>'Calculation - Detailed'!AA165*'TCO - Input'!$R$14</f>
        <v>0</v>
      </c>
      <c r="O32" s="39">
        <f>'Calculation - Detailed'!AB165*'TCO - Input'!$R$14</f>
        <v>0</v>
      </c>
      <c r="P32" s="39">
        <f>'Calculation - Detailed'!AC165*'TCO - Input'!$R$14</f>
        <v>0</v>
      </c>
      <c r="Q32" s="39">
        <f>'Calculation - Detailed'!AD165*'TCO - Input'!$R$14</f>
        <v>0</v>
      </c>
      <c r="R32" s="39">
        <f>'Calculation - Detailed'!AE165*'TCO - Input'!$R$14</f>
        <v>0</v>
      </c>
      <c r="S32" s="39">
        <f>'Calculation - Detailed'!AF165*'TCO - Input'!$R$14</f>
        <v>0</v>
      </c>
      <c r="T32" s="39">
        <f>'Calculation - Detailed'!AG165*'TCO - Input'!$R$14</f>
        <v>0</v>
      </c>
      <c r="V32" s="39">
        <f>'Calculation - Detailed'!AU165*'TCO - Input'!$R$14</f>
        <v>0</v>
      </c>
      <c r="W32" s="39">
        <f>'Calculation - Detailed'!AV165*'TCO - Input'!$R$14</f>
        <v>0</v>
      </c>
      <c r="X32" s="39">
        <f>'Calculation - Detailed'!AW165*'TCO - Input'!$R$14</f>
        <v>0</v>
      </c>
      <c r="Y32" s="39">
        <f>'Calculation - Detailed'!AX165*'TCO - Input'!$R$14</f>
        <v>0</v>
      </c>
      <c r="Z32" s="39">
        <f>'Calculation - Detailed'!AY165*'TCO - Input'!$R$14</f>
        <v>0</v>
      </c>
      <c r="AA32" s="39">
        <f>'Calculation - Detailed'!AZ165*'TCO - Input'!$R$14</f>
        <v>0</v>
      </c>
      <c r="AB32" s="39">
        <f>'Calculation - Detailed'!BA165*'TCO - Input'!$R$14</f>
        <v>0</v>
      </c>
      <c r="AD32" s="39">
        <f>'Calculation - Detailed'!BO165*'TCO - Input'!$R$14</f>
        <v>0</v>
      </c>
      <c r="AE32" s="39">
        <f>'Calculation - Detailed'!BP165*'TCO - Input'!$R$14</f>
        <v>0</v>
      </c>
      <c r="AF32" s="39">
        <f>'Calculation - Detailed'!BQ165*'TCO - Input'!$R$14</f>
        <v>0</v>
      </c>
      <c r="AG32" s="39">
        <f>'Calculation - Detailed'!BR165*'TCO - Input'!$R$14</f>
        <v>0</v>
      </c>
      <c r="AH32" s="39">
        <f>'Calculation - Detailed'!BS165*'TCO - Input'!$R$14</f>
        <v>0</v>
      </c>
      <c r="AI32" s="39">
        <f>'Calculation - Detailed'!BT165*'TCO - Input'!$R$14</f>
        <v>0</v>
      </c>
      <c r="AJ32" s="39">
        <f>'Calculation - Detailed'!BU165*'TCO - Input'!$R$14</f>
        <v>0</v>
      </c>
      <c r="AL32" s="39">
        <f>'Calculation - Detailed'!CI165*'TCO - Input'!$R$14</f>
        <v>0</v>
      </c>
      <c r="AM32" s="39">
        <f>'Calculation - Detailed'!CJ165*'TCO - Input'!$R$14</f>
        <v>0</v>
      </c>
      <c r="AN32" s="39">
        <f>'Calculation - Detailed'!CK165*'TCO - Input'!$R$14</f>
        <v>0</v>
      </c>
      <c r="AO32" s="39">
        <f>'Calculation - Detailed'!CL165*'TCO - Input'!$R$14</f>
        <v>0</v>
      </c>
      <c r="AP32" s="39">
        <f>'Calculation - Detailed'!CM165*'TCO - Input'!$R$14</f>
        <v>0</v>
      </c>
      <c r="AQ32" s="39">
        <f>'Calculation - Detailed'!CN165*'TCO - Input'!$R$14</f>
        <v>0</v>
      </c>
      <c r="AR32" s="39">
        <f>'Calculation - Detailed'!CO165*'TCO - Input'!$R$14</f>
        <v>0</v>
      </c>
    </row>
    <row r="33" spans="2:44" s="7" customFormat="1" ht="21" x14ac:dyDescent="0.5">
      <c r="B33" s="35" t="s">
        <v>78</v>
      </c>
      <c r="C33" s="35" t="s">
        <v>78</v>
      </c>
      <c r="D33" s="34" t="s">
        <v>211</v>
      </c>
      <c r="E33" s="10"/>
      <c r="F33" s="37">
        <f ca="1">SUM(F34:F38)</f>
        <v>4351368.4705882352</v>
      </c>
      <c r="G33" s="37">
        <f t="shared" ref="G33:L33" ca="1" si="69">SUM(G34:G38)</f>
        <v>4351368.4705882352</v>
      </c>
      <c r="H33" s="37">
        <f t="shared" ca="1" si="69"/>
        <v>4351368.4705882352</v>
      </c>
      <c r="I33" s="37">
        <f t="shared" ca="1" si="69"/>
        <v>4351368.4705882352</v>
      </c>
      <c r="J33" s="37">
        <f t="shared" ca="1" si="69"/>
        <v>4351368.4705882352</v>
      </c>
      <c r="K33" s="37">
        <f t="shared" ca="1" si="69"/>
        <v>4351368.4705882352</v>
      </c>
      <c r="L33" s="37">
        <f t="shared" ca="1" si="69"/>
        <v>4351368.4705882352</v>
      </c>
      <c r="N33" s="37">
        <f ca="1">SUM(N34:N38)</f>
        <v>4511668.4705882352</v>
      </c>
      <c r="O33" s="37">
        <f t="shared" ref="O33:T33" ca="1" si="70">SUM(O34:O38)</f>
        <v>4511668.4705882352</v>
      </c>
      <c r="P33" s="37">
        <f t="shared" ca="1" si="70"/>
        <v>4511668.4705882352</v>
      </c>
      <c r="Q33" s="37">
        <f t="shared" ca="1" si="70"/>
        <v>4511668.4705882352</v>
      </c>
      <c r="R33" s="37">
        <f t="shared" ca="1" si="70"/>
        <v>4511668.4705882352</v>
      </c>
      <c r="S33" s="37">
        <f t="shared" ca="1" si="70"/>
        <v>4511668.4705882352</v>
      </c>
      <c r="T33" s="37">
        <f t="shared" ca="1" si="70"/>
        <v>4511668.4705882352</v>
      </c>
      <c r="V33" s="37">
        <f ca="1">SUM(V34:V38)</f>
        <v>4762145.270588235</v>
      </c>
      <c r="W33" s="37">
        <f t="shared" ref="W33:AB33" ca="1" si="71">SUM(W34:W38)</f>
        <v>4762145.270588235</v>
      </c>
      <c r="X33" s="37">
        <f t="shared" ca="1" si="71"/>
        <v>4762145.270588235</v>
      </c>
      <c r="Y33" s="37">
        <f t="shared" ca="1" si="71"/>
        <v>4762145.270588235</v>
      </c>
      <c r="Z33" s="37">
        <f t="shared" ca="1" si="71"/>
        <v>4762145.270588235</v>
      </c>
      <c r="AA33" s="37">
        <f t="shared" ca="1" si="71"/>
        <v>4762145.270588235</v>
      </c>
      <c r="AB33" s="37">
        <f t="shared" ca="1" si="71"/>
        <v>4762145.270588235</v>
      </c>
      <c r="AD33" s="37">
        <f ca="1">SUM(AD34:AD38)</f>
        <v>4762145.270588235</v>
      </c>
      <c r="AE33" s="37">
        <f t="shared" ref="AE33:AJ33" ca="1" si="72">SUM(AE34:AE38)</f>
        <v>4762145.270588235</v>
      </c>
      <c r="AF33" s="37">
        <f t="shared" ca="1" si="72"/>
        <v>4762145.270588235</v>
      </c>
      <c r="AG33" s="37">
        <f t="shared" ca="1" si="72"/>
        <v>4762145.270588235</v>
      </c>
      <c r="AH33" s="37">
        <f t="shared" ca="1" si="72"/>
        <v>4762145.270588235</v>
      </c>
      <c r="AI33" s="37">
        <f t="shared" ca="1" si="72"/>
        <v>4762145.270588235</v>
      </c>
      <c r="AJ33" s="37">
        <f t="shared" ca="1" si="72"/>
        <v>4762145.270588235</v>
      </c>
      <c r="AL33" s="37">
        <f ca="1">SUM(AL34:AL38)</f>
        <v>4378868.4705882352</v>
      </c>
      <c r="AM33" s="37">
        <f t="shared" ref="AM33:AR33" ca="1" si="73">SUM(AM34:AM38)</f>
        <v>4378868.4705882352</v>
      </c>
      <c r="AN33" s="37">
        <f t="shared" ca="1" si="73"/>
        <v>4378868.4705882352</v>
      </c>
      <c r="AO33" s="37">
        <f t="shared" ca="1" si="73"/>
        <v>4378868.4705882352</v>
      </c>
      <c r="AP33" s="37">
        <f t="shared" ca="1" si="73"/>
        <v>4378868.4705882352</v>
      </c>
      <c r="AQ33" s="37">
        <f t="shared" ca="1" si="73"/>
        <v>4378868.4705882352</v>
      </c>
      <c r="AR33" s="37">
        <f t="shared" ca="1" si="73"/>
        <v>4378868.4705882352</v>
      </c>
    </row>
    <row r="34" spans="2:44" ht="21" x14ac:dyDescent="0.5">
      <c r="B34" s="42" t="s">
        <v>230</v>
      </c>
      <c r="C34" s="43" t="s">
        <v>230</v>
      </c>
      <c r="D34" s="34" t="s">
        <v>211</v>
      </c>
      <c r="E34" s="10"/>
      <c r="F34" s="39">
        <f ca="1">'Calculation - Detailed'!G159*'TCO - Input'!$R$14</f>
        <v>2100000</v>
      </c>
      <c r="G34" s="39">
        <f ca="1">'Calculation - Detailed'!H159*'TCO - Input'!$R$14</f>
        <v>2100000</v>
      </c>
      <c r="H34" s="39">
        <f ca="1">'Calculation - Detailed'!I159*'TCO - Input'!$R$14</f>
        <v>2100000</v>
      </c>
      <c r="I34" s="39">
        <f ca="1">'Calculation - Detailed'!J159*'TCO - Input'!$R$14</f>
        <v>2100000</v>
      </c>
      <c r="J34" s="39">
        <f ca="1">'Calculation - Detailed'!K159*'TCO - Input'!$R$14</f>
        <v>2100000</v>
      </c>
      <c r="K34" s="39">
        <f ca="1">'Calculation - Detailed'!L159*'TCO - Input'!$R$14</f>
        <v>2100000</v>
      </c>
      <c r="L34" s="39">
        <f ca="1">'Calculation - Detailed'!M159*'TCO - Input'!$R$14</f>
        <v>2100000</v>
      </c>
      <c r="N34" s="39">
        <f ca="1">'Calculation - Detailed'!AA159*'TCO - Input'!$R$14</f>
        <v>2100000</v>
      </c>
      <c r="O34" s="39">
        <f ca="1">'Calculation - Detailed'!AB159*'TCO - Input'!$R$14</f>
        <v>2100000</v>
      </c>
      <c r="P34" s="39">
        <f ca="1">'Calculation - Detailed'!AC159*'TCO - Input'!$R$14</f>
        <v>2100000</v>
      </c>
      <c r="Q34" s="39">
        <f ca="1">'Calculation - Detailed'!AD159*'TCO - Input'!$R$14</f>
        <v>2100000</v>
      </c>
      <c r="R34" s="39">
        <f ca="1">'Calculation - Detailed'!AE159*'TCO - Input'!$R$14</f>
        <v>2100000</v>
      </c>
      <c r="S34" s="39">
        <f ca="1">'Calculation - Detailed'!AF159*'TCO - Input'!$R$14</f>
        <v>2100000</v>
      </c>
      <c r="T34" s="39">
        <f ca="1">'Calculation - Detailed'!AG159*'TCO - Input'!$R$14</f>
        <v>2100000</v>
      </c>
      <c r="V34" s="39">
        <f ca="1">'Calculation - Detailed'!AU159*'TCO - Input'!$R$14</f>
        <v>2100000</v>
      </c>
      <c r="W34" s="39">
        <f ca="1">'Calculation - Detailed'!AV159*'TCO - Input'!$R$14</f>
        <v>2100000</v>
      </c>
      <c r="X34" s="39">
        <f ca="1">'Calculation - Detailed'!AW159*'TCO - Input'!$R$14</f>
        <v>2100000</v>
      </c>
      <c r="Y34" s="39">
        <f ca="1">'Calculation - Detailed'!AX159*'TCO - Input'!$R$14</f>
        <v>2100000</v>
      </c>
      <c r="Z34" s="39">
        <f ca="1">'Calculation - Detailed'!AY159*'TCO - Input'!$R$14</f>
        <v>2100000</v>
      </c>
      <c r="AA34" s="39">
        <f ca="1">'Calculation - Detailed'!AZ159*'TCO - Input'!$R$14</f>
        <v>2100000</v>
      </c>
      <c r="AB34" s="39">
        <f ca="1">'Calculation - Detailed'!BA159*'TCO - Input'!$R$14</f>
        <v>2100000</v>
      </c>
      <c r="AD34" s="39">
        <f ca="1">'Calculation - Detailed'!BO159*'TCO - Input'!$R$14</f>
        <v>2100000</v>
      </c>
      <c r="AE34" s="39">
        <f ca="1">'Calculation - Detailed'!BP159*'TCO - Input'!$R$14</f>
        <v>2100000</v>
      </c>
      <c r="AF34" s="39">
        <f ca="1">'Calculation - Detailed'!BQ159*'TCO - Input'!$R$14</f>
        <v>2100000</v>
      </c>
      <c r="AG34" s="39">
        <f ca="1">'Calculation - Detailed'!BR159*'TCO - Input'!$R$14</f>
        <v>2100000</v>
      </c>
      <c r="AH34" s="39">
        <f ca="1">'Calculation - Detailed'!BS159*'TCO - Input'!$R$14</f>
        <v>2100000</v>
      </c>
      <c r="AI34" s="39">
        <f ca="1">'Calculation - Detailed'!BT159*'TCO - Input'!$R$14</f>
        <v>2100000</v>
      </c>
      <c r="AJ34" s="39">
        <f ca="1">'Calculation - Detailed'!BU159*'TCO - Input'!$R$14</f>
        <v>2100000</v>
      </c>
      <c r="AL34" s="39">
        <f ca="1">'Calculation - Detailed'!CI159*'TCO - Input'!$R$14</f>
        <v>2100000</v>
      </c>
      <c r="AM34" s="39">
        <f ca="1">'Calculation - Detailed'!CJ159*'TCO - Input'!$R$14</f>
        <v>2100000</v>
      </c>
      <c r="AN34" s="39">
        <f ca="1">'Calculation - Detailed'!CK159*'TCO - Input'!$R$14</f>
        <v>2100000</v>
      </c>
      <c r="AO34" s="39">
        <f ca="1">'Calculation - Detailed'!CL159*'TCO - Input'!$R$14</f>
        <v>2100000</v>
      </c>
      <c r="AP34" s="39">
        <f ca="1">'Calculation - Detailed'!CM159*'TCO - Input'!$R$14</f>
        <v>2100000</v>
      </c>
      <c r="AQ34" s="39">
        <f ca="1">'Calculation - Detailed'!CN159*'TCO - Input'!$R$14</f>
        <v>2100000</v>
      </c>
      <c r="AR34" s="39">
        <f ca="1">'Calculation - Detailed'!CO159*'TCO - Input'!$R$14</f>
        <v>2100000</v>
      </c>
    </row>
    <row r="35" spans="2:44" ht="21" x14ac:dyDescent="0.5">
      <c r="B35" s="42" t="s">
        <v>231</v>
      </c>
      <c r="C35" s="43" t="s">
        <v>232</v>
      </c>
      <c r="D35" s="4" t="s">
        <v>211</v>
      </c>
      <c r="E35" s="10"/>
      <c r="F35" s="39">
        <f ca="1">'Calculation - Detailed'!G144*'TCO - Input'!$R$14</f>
        <v>1820272.4705882352</v>
      </c>
      <c r="G35" s="39">
        <f ca="1">'Calculation - Detailed'!H144*'TCO - Input'!$R$14</f>
        <v>1820272.4705882352</v>
      </c>
      <c r="H35" s="39">
        <f ca="1">'Calculation - Detailed'!I144*'TCO - Input'!$R$14</f>
        <v>1820272.4705882352</v>
      </c>
      <c r="I35" s="39">
        <f ca="1">'Calculation - Detailed'!J144*'TCO - Input'!$R$14</f>
        <v>1820272.4705882352</v>
      </c>
      <c r="J35" s="39">
        <f ca="1">'Calculation - Detailed'!K144*'TCO - Input'!$R$14</f>
        <v>1820272.4705882352</v>
      </c>
      <c r="K35" s="39">
        <f ca="1">'Calculation - Detailed'!L144*'TCO - Input'!$R$14</f>
        <v>1820272.4705882352</v>
      </c>
      <c r="L35" s="39">
        <f ca="1">'Calculation - Detailed'!M144*'TCO - Input'!$R$14</f>
        <v>1820272.4705882352</v>
      </c>
      <c r="N35" s="39">
        <f ca="1">'Calculation - Detailed'!AA144*'TCO - Input'!$R$14</f>
        <v>1900422.4705882352</v>
      </c>
      <c r="O35" s="39">
        <f ca="1">'Calculation - Detailed'!AB144*'TCO - Input'!$R$14</f>
        <v>1900422.4705882352</v>
      </c>
      <c r="P35" s="39">
        <f ca="1">'Calculation - Detailed'!AC144*'TCO - Input'!$R$14</f>
        <v>1900422.4705882352</v>
      </c>
      <c r="Q35" s="39">
        <f ca="1">'Calculation - Detailed'!AD144*'TCO - Input'!$R$14</f>
        <v>1900422.4705882352</v>
      </c>
      <c r="R35" s="39">
        <f ca="1">'Calculation - Detailed'!AE144*'TCO - Input'!$R$14</f>
        <v>1900422.4705882352</v>
      </c>
      <c r="S35" s="39">
        <f ca="1">'Calculation - Detailed'!AF144*'TCO - Input'!$R$14</f>
        <v>1900422.4705882352</v>
      </c>
      <c r="T35" s="39">
        <f ca="1">'Calculation - Detailed'!AG144*'TCO - Input'!$R$14</f>
        <v>1900422.4705882352</v>
      </c>
      <c r="V35" s="39">
        <f ca="1">'Calculation - Detailed'!AU144*'TCO - Input'!$R$14</f>
        <v>2025660.8705882351</v>
      </c>
      <c r="W35" s="39">
        <f ca="1">'Calculation - Detailed'!AV144*'TCO - Input'!$R$14</f>
        <v>2025660.8705882351</v>
      </c>
      <c r="X35" s="39">
        <f ca="1">'Calculation - Detailed'!AW144*'TCO - Input'!$R$14</f>
        <v>2025660.8705882351</v>
      </c>
      <c r="Y35" s="39">
        <f ca="1">'Calculation - Detailed'!AX144*'TCO - Input'!$R$14</f>
        <v>2025660.8705882351</v>
      </c>
      <c r="Z35" s="39">
        <f ca="1">'Calculation - Detailed'!AY144*'TCO - Input'!$R$14</f>
        <v>2025660.8705882351</v>
      </c>
      <c r="AA35" s="39">
        <f ca="1">'Calculation - Detailed'!AZ144*'TCO - Input'!$R$14</f>
        <v>2025660.8705882351</v>
      </c>
      <c r="AB35" s="39">
        <f ca="1">'Calculation - Detailed'!BA144*'TCO - Input'!$R$14</f>
        <v>2025660.8705882351</v>
      </c>
      <c r="AD35" s="39">
        <f ca="1">'Calculation - Detailed'!BO144*'TCO - Input'!$R$14</f>
        <v>2025660.8705882351</v>
      </c>
      <c r="AE35" s="39">
        <f ca="1">'Calculation - Detailed'!BP144*'TCO - Input'!$R$14</f>
        <v>2025660.8705882351</v>
      </c>
      <c r="AF35" s="39">
        <f ca="1">'Calculation - Detailed'!BQ144*'TCO - Input'!$R$14</f>
        <v>2025660.8705882351</v>
      </c>
      <c r="AG35" s="39">
        <f ca="1">'Calculation - Detailed'!BR144*'TCO - Input'!$R$14</f>
        <v>2025660.8705882351</v>
      </c>
      <c r="AH35" s="39">
        <f ca="1">'Calculation - Detailed'!BS144*'TCO - Input'!$R$14</f>
        <v>2025660.8705882351</v>
      </c>
      <c r="AI35" s="39">
        <f ca="1">'Calculation - Detailed'!BT144*'TCO - Input'!$R$14</f>
        <v>2025660.8705882351</v>
      </c>
      <c r="AJ35" s="39">
        <f ca="1">'Calculation - Detailed'!BU144*'TCO - Input'!$R$14</f>
        <v>2025660.8705882351</v>
      </c>
      <c r="AL35" s="39">
        <f ca="1">'Calculation - Detailed'!CI144*'TCO - Input'!$R$14</f>
        <v>1834022.4705882352</v>
      </c>
      <c r="AM35" s="39">
        <f ca="1">'Calculation - Detailed'!CJ144*'TCO - Input'!$R$14</f>
        <v>1834022.4705882352</v>
      </c>
      <c r="AN35" s="39">
        <f ca="1">'Calculation - Detailed'!CK144*'TCO - Input'!$R$14</f>
        <v>1834022.4705882352</v>
      </c>
      <c r="AO35" s="39">
        <f ca="1">'Calculation - Detailed'!CL144*'TCO - Input'!$R$14</f>
        <v>1834022.4705882352</v>
      </c>
      <c r="AP35" s="39">
        <f ca="1">'Calculation - Detailed'!CM144*'TCO - Input'!$R$14</f>
        <v>1834022.4705882352</v>
      </c>
      <c r="AQ35" s="39">
        <f ca="1">'Calculation - Detailed'!CN144*'TCO - Input'!$R$14</f>
        <v>1834022.4705882352</v>
      </c>
      <c r="AR35" s="39">
        <f ca="1">'Calculation - Detailed'!CO144*'TCO - Input'!$R$14</f>
        <v>1834022.4705882352</v>
      </c>
    </row>
    <row r="36" spans="2:44" ht="21" x14ac:dyDescent="0.5">
      <c r="B36" s="42" t="s">
        <v>231</v>
      </c>
      <c r="C36" s="43" t="s">
        <v>233</v>
      </c>
      <c r="D36" s="4" t="s">
        <v>211</v>
      </c>
      <c r="E36" s="10"/>
      <c r="F36" s="39">
        <f ca="1">'Calculation - Detailed'!G149*'TCO - Input'!$R$14</f>
        <v>406596</v>
      </c>
      <c r="G36" s="39">
        <f ca="1">'Calculation - Detailed'!H149*'TCO - Input'!$R$14</f>
        <v>406596</v>
      </c>
      <c r="H36" s="39">
        <f ca="1">'Calculation - Detailed'!I149*'TCO - Input'!$R$14</f>
        <v>406596</v>
      </c>
      <c r="I36" s="39">
        <f ca="1">'Calculation - Detailed'!J149*'TCO - Input'!$R$14</f>
        <v>406596</v>
      </c>
      <c r="J36" s="39">
        <f ca="1">'Calculation - Detailed'!K149*'TCO - Input'!$R$14</f>
        <v>406596</v>
      </c>
      <c r="K36" s="39">
        <f ca="1">'Calculation - Detailed'!L149*'TCO - Input'!$R$14</f>
        <v>406596</v>
      </c>
      <c r="L36" s="39">
        <f ca="1">'Calculation - Detailed'!M149*'TCO - Input'!$R$14</f>
        <v>406596</v>
      </c>
      <c r="N36" s="39">
        <f ca="1">'Calculation - Detailed'!AA149*'TCO - Input'!$R$14</f>
        <v>406596</v>
      </c>
      <c r="O36" s="39">
        <f ca="1">'Calculation - Detailed'!AB149*'TCO - Input'!$R$14</f>
        <v>406596</v>
      </c>
      <c r="P36" s="39">
        <f ca="1">'Calculation - Detailed'!AC149*'TCO - Input'!$R$14</f>
        <v>406596</v>
      </c>
      <c r="Q36" s="39">
        <f ca="1">'Calculation - Detailed'!AD149*'TCO - Input'!$R$14</f>
        <v>406596</v>
      </c>
      <c r="R36" s="39">
        <f ca="1">'Calculation - Detailed'!AE149*'TCO - Input'!$R$14</f>
        <v>406596</v>
      </c>
      <c r="S36" s="39">
        <f ca="1">'Calculation - Detailed'!AF149*'TCO - Input'!$R$14</f>
        <v>406596</v>
      </c>
      <c r="T36" s="39">
        <f ca="1">'Calculation - Detailed'!AG149*'TCO - Input'!$R$14</f>
        <v>406596</v>
      </c>
      <c r="V36" s="39">
        <f ca="1">'Calculation - Detailed'!AU149*'TCO - Input'!$R$14</f>
        <v>569234.4</v>
      </c>
      <c r="W36" s="39">
        <f ca="1">'Calculation - Detailed'!AV149*'TCO - Input'!$R$14</f>
        <v>569234.4</v>
      </c>
      <c r="X36" s="39">
        <f ca="1">'Calculation - Detailed'!AW149*'TCO - Input'!$R$14</f>
        <v>569234.4</v>
      </c>
      <c r="Y36" s="39">
        <f ca="1">'Calculation - Detailed'!AX149*'TCO - Input'!$R$14</f>
        <v>569234.4</v>
      </c>
      <c r="Z36" s="39">
        <f ca="1">'Calculation - Detailed'!AY149*'TCO - Input'!$R$14</f>
        <v>569234.4</v>
      </c>
      <c r="AA36" s="39">
        <f ca="1">'Calculation - Detailed'!AZ149*'TCO - Input'!$R$14</f>
        <v>569234.4</v>
      </c>
      <c r="AB36" s="39">
        <f ca="1">'Calculation - Detailed'!BA149*'TCO - Input'!$R$14</f>
        <v>569234.4</v>
      </c>
      <c r="AD36" s="39">
        <f ca="1">'Calculation - Detailed'!BO149*'TCO - Input'!$R$14</f>
        <v>569234.4</v>
      </c>
      <c r="AE36" s="39">
        <f ca="1">'Calculation - Detailed'!BP149*'TCO - Input'!$R$14</f>
        <v>569234.4</v>
      </c>
      <c r="AF36" s="39">
        <f ca="1">'Calculation - Detailed'!BQ149*'TCO - Input'!$R$14</f>
        <v>569234.4</v>
      </c>
      <c r="AG36" s="39">
        <f ca="1">'Calculation - Detailed'!BR149*'TCO - Input'!$R$14</f>
        <v>569234.4</v>
      </c>
      <c r="AH36" s="39">
        <f ca="1">'Calculation - Detailed'!BS149*'TCO - Input'!$R$14</f>
        <v>569234.4</v>
      </c>
      <c r="AI36" s="39">
        <f ca="1">'Calculation - Detailed'!BT149*'TCO - Input'!$R$14</f>
        <v>569234.4</v>
      </c>
      <c r="AJ36" s="39">
        <f ca="1">'Calculation - Detailed'!BU149*'TCO - Input'!$R$14</f>
        <v>569234.4</v>
      </c>
      <c r="AL36" s="39">
        <f ca="1">'Calculation - Detailed'!CI149*'TCO - Input'!$R$14</f>
        <v>406596</v>
      </c>
      <c r="AM36" s="39">
        <f ca="1">'Calculation - Detailed'!CJ149*'TCO - Input'!$R$14</f>
        <v>406596</v>
      </c>
      <c r="AN36" s="39">
        <f ca="1">'Calculation - Detailed'!CK149*'TCO - Input'!$R$14</f>
        <v>406596</v>
      </c>
      <c r="AO36" s="39">
        <f ca="1">'Calculation - Detailed'!CL149*'TCO - Input'!$R$14</f>
        <v>406596</v>
      </c>
      <c r="AP36" s="39">
        <f ca="1">'Calculation - Detailed'!CM149*'TCO - Input'!$R$14</f>
        <v>406596</v>
      </c>
      <c r="AQ36" s="39">
        <f ca="1">'Calculation - Detailed'!CN149*'TCO - Input'!$R$14</f>
        <v>406596</v>
      </c>
      <c r="AR36" s="39">
        <f ca="1">'Calculation - Detailed'!CO149*'TCO - Input'!$R$14</f>
        <v>406596</v>
      </c>
    </row>
    <row r="37" spans="2:44" ht="21" x14ac:dyDescent="0.5">
      <c r="B37" s="42" t="s">
        <v>231</v>
      </c>
      <c r="C37" s="43" t="s">
        <v>234</v>
      </c>
      <c r="D37" s="4" t="s">
        <v>211</v>
      </c>
      <c r="E37" s="10"/>
      <c r="F37" s="39">
        <f ca="1">'Calculation - Detailed'!G152*'TCO - Input'!$R$14</f>
        <v>22500</v>
      </c>
      <c r="G37" s="39">
        <f ca="1">'Calculation - Detailed'!H152*'TCO - Input'!$R$14</f>
        <v>22500</v>
      </c>
      <c r="H37" s="39">
        <f ca="1">'Calculation - Detailed'!I152*'TCO - Input'!$R$14</f>
        <v>22500</v>
      </c>
      <c r="I37" s="39">
        <f ca="1">'Calculation - Detailed'!J152*'TCO - Input'!$R$14</f>
        <v>22500</v>
      </c>
      <c r="J37" s="39">
        <f ca="1">'Calculation - Detailed'!K152*'TCO - Input'!$R$14</f>
        <v>22500</v>
      </c>
      <c r="K37" s="39">
        <f ca="1">'Calculation - Detailed'!L152*'TCO - Input'!$R$14</f>
        <v>22500</v>
      </c>
      <c r="L37" s="39">
        <f ca="1">'Calculation - Detailed'!M152*'TCO - Input'!$R$14</f>
        <v>22500</v>
      </c>
      <c r="N37" s="39">
        <f ca="1">'Calculation - Detailed'!AA152*'TCO - Input'!$R$14</f>
        <v>101250</v>
      </c>
      <c r="O37" s="39">
        <f ca="1">'Calculation - Detailed'!AB152*'TCO - Input'!$R$14</f>
        <v>101250</v>
      </c>
      <c r="P37" s="39">
        <f ca="1">'Calculation - Detailed'!AC152*'TCO - Input'!$R$14</f>
        <v>101250</v>
      </c>
      <c r="Q37" s="39">
        <f ca="1">'Calculation - Detailed'!AD152*'TCO - Input'!$R$14</f>
        <v>101250</v>
      </c>
      <c r="R37" s="39">
        <f ca="1">'Calculation - Detailed'!AE152*'TCO - Input'!$R$14</f>
        <v>101250</v>
      </c>
      <c r="S37" s="39">
        <f ca="1">'Calculation - Detailed'!AF152*'TCO - Input'!$R$14</f>
        <v>101250</v>
      </c>
      <c r="T37" s="39">
        <f ca="1">'Calculation - Detailed'!AG152*'TCO - Input'!$R$14</f>
        <v>101250</v>
      </c>
      <c r="V37" s="39">
        <f ca="1">'Calculation - Detailed'!AU152*'TCO - Input'!$R$14</f>
        <v>56250</v>
      </c>
      <c r="W37" s="39">
        <f ca="1">'Calculation - Detailed'!AV152*'TCO - Input'!$R$14</f>
        <v>56250</v>
      </c>
      <c r="X37" s="39">
        <f ca="1">'Calculation - Detailed'!AW152*'TCO - Input'!$R$14</f>
        <v>56250</v>
      </c>
      <c r="Y37" s="39">
        <f ca="1">'Calculation - Detailed'!AX152*'TCO - Input'!$R$14</f>
        <v>56250</v>
      </c>
      <c r="Z37" s="39">
        <f ca="1">'Calculation - Detailed'!AY152*'TCO - Input'!$R$14</f>
        <v>56250</v>
      </c>
      <c r="AA37" s="39">
        <f ca="1">'Calculation - Detailed'!AZ152*'TCO - Input'!$R$14</f>
        <v>56250</v>
      </c>
      <c r="AB37" s="39">
        <f ca="1">'Calculation - Detailed'!BA152*'TCO - Input'!$R$14</f>
        <v>56250</v>
      </c>
      <c r="AD37" s="39">
        <f ca="1">'Calculation - Detailed'!BO152*'TCO - Input'!$R$14</f>
        <v>56250</v>
      </c>
      <c r="AE37" s="39">
        <f ca="1">'Calculation - Detailed'!BP152*'TCO - Input'!$R$14</f>
        <v>56250</v>
      </c>
      <c r="AF37" s="39">
        <f ca="1">'Calculation - Detailed'!BQ152*'TCO - Input'!$R$14</f>
        <v>56250</v>
      </c>
      <c r="AG37" s="39">
        <f ca="1">'Calculation - Detailed'!BR152*'TCO - Input'!$R$14</f>
        <v>56250</v>
      </c>
      <c r="AH37" s="39">
        <f ca="1">'Calculation - Detailed'!BS152*'TCO - Input'!$R$14</f>
        <v>56250</v>
      </c>
      <c r="AI37" s="39">
        <f ca="1">'Calculation - Detailed'!BT152*'TCO - Input'!$R$14</f>
        <v>56250</v>
      </c>
      <c r="AJ37" s="39">
        <f ca="1">'Calculation - Detailed'!BU152*'TCO - Input'!$R$14</f>
        <v>56250</v>
      </c>
      <c r="AL37" s="39">
        <f ca="1">'Calculation - Detailed'!CI152*'TCO - Input'!$R$14</f>
        <v>29250</v>
      </c>
      <c r="AM37" s="39">
        <f ca="1">'Calculation - Detailed'!CJ152*'TCO - Input'!$R$14</f>
        <v>29250</v>
      </c>
      <c r="AN37" s="39">
        <f ca="1">'Calculation - Detailed'!CK152*'TCO - Input'!$R$14</f>
        <v>29250</v>
      </c>
      <c r="AO37" s="39">
        <f ca="1">'Calculation - Detailed'!CL152*'TCO - Input'!$R$14</f>
        <v>29250</v>
      </c>
      <c r="AP37" s="39">
        <f ca="1">'Calculation - Detailed'!CM152*'TCO - Input'!$R$14</f>
        <v>29250</v>
      </c>
      <c r="AQ37" s="39">
        <f ca="1">'Calculation - Detailed'!CN152*'TCO - Input'!$R$14</f>
        <v>29250</v>
      </c>
      <c r="AR37" s="39">
        <f ca="1">'Calculation - Detailed'!CO152*'TCO - Input'!$R$14</f>
        <v>29250</v>
      </c>
    </row>
    <row r="38" spans="2:44" ht="21" x14ac:dyDescent="0.5">
      <c r="B38" s="42" t="s">
        <v>231</v>
      </c>
      <c r="C38" s="43" t="s">
        <v>235</v>
      </c>
      <c r="D38" s="4" t="s">
        <v>211</v>
      </c>
      <c r="E38" s="10"/>
      <c r="F38" s="39">
        <f ca="1">'Calculation - Detailed'!G155*'TCO - Input'!$R$14</f>
        <v>2000</v>
      </c>
      <c r="G38" s="39">
        <f ca="1">'Calculation - Detailed'!H155*'TCO - Input'!$R$14</f>
        <v>2000</v>
      </c>
      <c r="H38" s="39">
        <f ca="1">'Calculation - Detailed'!I155*'TCO - Input'!$R$14</f>
        <v>2000</v>
      </c>
      <c r="I38" s="39">
        <f ca="1">'Calculation - Detailed'!J155*'TCO - Input'!$R$14</f>
        <v>2000</v>
      </c>
      <c r="J38" s="39">
        <f ca="1">'Calculation - Detailed'!K155*'TCO - Input'!$R$14</f>
        <v>2000</v>
      </c>
      <c r="K38" s="39">
        <f ca="1">'Calculation - Detailed'!L155*'TCO - Input'!$R$14</f>
        <v>2000</v>
      </c>
      <c r="L38" s="39">
        <f ca="1">'Calculation - Detailed'!M155*'TCO - Input'!$R$14</f>
        <v>2000</v>
      </c>
      <c r="N38" s="39">
        <f ca="1">'Calculation - Detailed'!AA155*'TCO - Input'!$R$14</f>
        <v>3400</v>
      </c>
      <c r="O38" s="39">
        <f ca="1">'Calculation - Detailed'!AB155*'TCO - Input'!$R$14</f>
        <v>3400</v>
      </c>
      <c r="P38" s="39">
        <f ca="1">'Calculation - Detailed'!AC155*'TCO - Input'!$R$14</f>
        <v>3400</v>
      </c>
      <c r="Q38" s="39">
        <f ca="1">'Calculation - Detailed'!AD155*'TCO - Input'!$R$14</f>
        <v>3400</v>
      </c>
      <c r="R38" s="39">
        <f ca="1">'Calculation - Detailed'!AE155*'TCO - Input'!$R$14</f>
        <v>3400</v>
      </c>
      <c r="S38" s="39">
        <f ca="1">'Calculation - Detailed'!AF155*'TCO - Input'!$R$14</f>
        <v>3400</v>
      </c>
      <c r="T38" s="39">
        <f ca="1">'Calculation - Detailed'!AG155*'TCO - Input'!$R$14</f>
        <v>3400</v>
      </c>
      <c r="V38" s="39">
        <f ca="1">'Calculation - Detailed'!AU155*'TCO - Input'!$R$14</f>
        <v>11000</v>
      </c>
      <c r="W38" s="39">
        <f ca="1">'Calculation - Detailed'!AV155*'TCO - Input'!$R$14</f>
        <v>11000</v>
      </c>
      <c r="X38" s="39">
        <f ca="1">'Calculation - Detailed'!AW155*'TCO - Input'!$R$14</f>
        <v>11000</v>
      </c>
      <c r="Y38" s="39">
        <f ca="1">'Calculation - Detailed'!AX155*'TCO - Input'!$R$14</f>
        <v>11000</v>
      </c>
      <c r="Z38" s="39">
        <f ca="1">'Calculation - Detailed'!AY155*'TCO - Input'!$R$14</f>
        <v>11000</v>
      </c>
      <c r="AA38" s="39">
        <f ca="1">'Calculation - Detailed'!AZ155*'TCO - Input'!$R$14</f>
        <v>11000</v>
      </c>
      <c r="AB38" s="39">
        <f ca="1">'Calculation - Detailed'!BA155*'TCO - Input'!$R$14</f>
        <v>11000</v>
      </c>
      <c r="AD38" s="39">
        <f ca="1">'Calculation - Detailed'!BO155*'TCO - Input'!$R$14</f>
        <v>11000</v>
      </c>
      <c r="AE38" s="39">
        <f ca="1">'Calculation - Detailed'!BP155*'TCO - Input'!$R$14</f>
        <v>11000</v>
      </c>
      <c r="AF38" s="39">
        <f ca="1">'Calculation - Detailed'!BQ155*'TCO - Input'!$R$14</f>
        <v>11000</v>
      </c>
      <c r="AG38" s="39">
        <f ca="1">'Calculation - Detailed'!BR155*'TCO - Input'!$R$14</f>
        <v>11000</v>
      </c>
      <c r="AH38" s="39">
        <f ca="1">'Calculation - Detailed'!BS155*'TCO - Input'!$R$14</f>
        <v>11000</v>
      </c>
      <c r="AI38" s="39">
        <f ca="1">'Calculation - Detailed'!BT155*'TCO - Input'!$R$14</f>
        <v>11000</v>
      </c>
      <c r="AJ38" s="39">
        <f ca="1">'Calculation - Detailed'!BU155*'TCO - Input'!$R$14</f>
        <v>11000</v>
      </c>
      <c r="AL38" s="39">
        <f ca="1">'Calculation - Detailed'!CI155*'TCO - Input'!$R$14</f>
        <v>9000</v>
      </c>
      <c r="AM38" s="39">
        <f ca="1">'Calculation - Detailed'!CJ155*'TCO - Input'!$R$14</f>
        <v>9000</v>
      </c>
      <c r="AN38" s="39">
        <f ca="1">'Calculation - Detailed'!CK155*'TCO - Input'!$R$14</f>
        <v>9000</v>
      </c>
      <c r="AO38" s="39">
        <f ca="1">'Calculation - Detailed'!CL155*'TCO - Input'!$R$14</f>
        <v>9000</v>
      </c>
      <c r="AP38" s="39">
        <f ca="1">'Calculation - Detailed'!CM155*'TCO - Input'!$R$14</f>
        <v>9000</v>
      </c>
      <c r="AQ38" s="39">
        <f ca="1">'Calculation - Detailed'!CN155*'TCO - Input'!$R$14</f>
        <v>9000</v>
      </c>
      <c r="AR38" s="39">
        <f ca="1">'Calculation - Detailed'!CO155*'TCO - Input'!$R$14</f>
        <v>9000</v>
      </c>
    </row>
    <row r="39" spans="2:44" ht="21" x14ac:dyDescent="0.5">
      <c r="B39" s="44" t="s">
        <v>236</v>
      </c>
      <c r="C39" s="35" t="s">
        <v>75</v>
      </c>
      <c r="D39" s="34" t="s">
        <v>211</v>
      </c>
      <c r="E39" s="10"/>
      <c r="F39" s="37">
        <f ca="1">SUM(F40:F42)</f>
        <v>0</v>
      </c>
      <c r="G39" s="37">
        <f t="shared" ref="G39:L39" ca="1" si="74">SUM(G40:G42)</f>
        <v>0</v>
      </c>
      <c r="H39" s="37">
        <f t="shared" ca="1" si="74"/>
        <v>0</v>
      </c>
      <c r="I39" s="37">
        <f t="shared" ca="1" si="74"/>
        <v>0</v>
      </c>
      <c r="J39" s="37">
        <f t="shared" ca="1" si="74"/>
        <v>0</v>
      </c>
      <c r="K39" s="37">
        <f t="shared" ca="1" si="74"/>
        <v>0</v>
      </c>
      <c r="L39" s="37">
        <f t="shared" ca="1" si="74"/>
        <v>0</v>
      </c>
      <c r="N39" s="37">
        <f ca="1">SUM(N40:N42)</f>
        <v>0</v>
      </c>
      <c r="O39" s="37">
        <f t="shared" ref="O39:T39" ca="1" si="75">SUM(O40:O42)</f>
        <v>0</v>
      </c>
      <c r="P39" s="37">
        <f t="shared" ca="1" si="75"/>
        <v>0</v>
      </c>
      <c r="Q39" s="37">
        <f t="shared" ca="1" si="75"/>
        <v>0</v>
      </c>
      <c r="R39" s="37">
        <f t="shared" ca="1" si="75"/>
        <v>0</v>
      </c>
      <c r="S39" s="37">
        <f t="shared" ca="1" si="75"/>
        <v>0</v>
      </c>
      <c r="T39" s="37">
        <f t="shared" ca="1" si="75"/>
        <v>0</v>
      </c>
      <c r="V39" s="37">
        <f ca="1">SUM(V40:V42)</f>
        <v>0</v>
      </c>
      <c r="W39" s="37">
        <f t="shared" ref="W39:AB39" ca="1" si="76">SUM(W40:W42)</f>
        <v>0</v>
      </c>
      <c r="X39" s="37">
        <f t="shared" ca="1" si="76"/>
        <v>0</v>
      </c>
      <c r="Y39" s="37">
        <f t="shared" ca="1" si="76"/>
        <v>0</v>
      </c>
      <c r="Z39" s="37">
        <f t="shared" ca="1" si="76"/>
        <v>0</v>
      </c>
      <c r="AA39" s="37">
        <f t="shared" ca="1" si="76"/>
        <v>0</v>
      </c>
      <c r="AB39" s="37">
        <f t="shared" ca="1" si="76"/>
        <v>0</v>
      </c>
      <c r="AD39" s="37">
        <f ca="1">SUM(AD40:AD42)</f>
        <v>0</v>
      </c>
      <c r="AE39" s="37">
        <f t="shared" ref="AE39:AJ39" ca="1" si="77">SUM(AE40:AE42)</f>
        <v>0</v>
      </c>
      <c r="AF39" s="37">
        <f t="shared" ca="1" si="77"/>
        <v>0</v>
      </c>
      <c r="AG39" s="37">
        <f t="shared" ca="1" si="77"/>
        <v>0</v>
      </c>
      <c r="AH39" s="37">
        <f t="shared" ca="1" si="77"/>
        <v>0</v>
      </c>
      <c r="AI39" s="37">
        <f t="shared" ca="1" si="77"/>
        <v>0</v>
      </c>
      <c r="AJ39" s="37">
        <f t="shared" ca="1" si="77"/>
        <v>0</v>
      </c>
      <c r="AL39" s="37">
        <f ca="1">SUM(AL40:AL42)</f>
        <v>0</v>
      </c>
      <c r="AM39" s="37">
        <f t="shared" ref="AM39:AR39" ca="1" si="78">SUM(AM40:AM42)</f>
        <v>0</v>
      </c>
      <c r="AN39" s="37">
        <f t="shared" ca="1" si="78"/>
        <v>0</v>
      </c>
      <c r="AO39" s="37">
        <f t="shared" ca="1" si="78"/>
        <v>0</v>
      </c>
      <c r="AP39" s="37">
        <f t="shared" ca="1" si="78"/>
        <v>0</v>
      </c>
      <c r="AQ39" s="37">
        <f t="shared" ca="1" si="78"/>
        <v>0</v>
      </c>
      <c r="AR39" s="37">
        <f t="shared" ca="1" si="78"/>
        <v>0</v>
      </c>
    </row>
    <row r="40" spans="2:44" ht="21" x14ac:dyDescent="0.5">
      <c r="B40" s="42" t="s">
        <v>236</v>
      </c>
      <c r="C40" s="43" t="s">
        <v>237</v>
      </c>
      <c r="D40" s="4" t="s">
        <v>211</v>
      </c>
      <c r="E40" s="64"/>
      <c r="F40" s="39">
        <f ca="1">(5*(('Calculation - Detailed'!G178+'Calculation - Detailed'!G179)))/'Calculation - Detailed'!$F$4*
IF(Fuel_cost_transparency_Index=1,
SUMPRODUCT('Calculation - Detailed'!G$172:K$172,'TCO - Input'!$S$13:$W$13),
'Calculation - Detailed'!G$172*SUM('TCO - Input'!$S$13:$W$13))</f>
        <v>0</v>
      </c>
      <c r="G40" s="39">
        <f ca="1">(5*(('Calculation - Detailed'!H178+'Calculation - Detailed'!H179)))/'Calculation - Detailed'!$F$4*
IF(Fuel_cost_transparency_Index=1,
SUMPRODUCT('Calculation - Detailed'!H$172:L$172,'TCO - Input'!$S$13:$W$13),
'Calculation - Detailed'!H$172*SUM('TCO - Input'!$S$13:$W$13))</f>
        <v>0</v>
      </c>
      <c r="H40" s="39">
        <f ca="1">(5*(('Calculation - Detailed'!I178+'Calculation - Detailed'!I179)))/'Calculation - Detailed'!$F$4*
IF(Fuel_cost_transparency_Index=1,
SUMPRODUCT('Calculation - Detailed'!I$172:M$172,'TCO - Input'!$S$13:$W$13),
'Calculation - Detailed'!I$172*SUM('TCO - Input'!$S$13:$W$13))</f>
        <v>0</v>
      </c>
      <c r="I40" s="39">
        <f ca="1">(5*(('Calculation - Detailed'!J178+'Calculation - Detailed'!J179)))/'Calculation - Detailed'!$F$4*
IF(Fuel_cost_transparency_Index=1,
SUMPRODUCT('Calculation - Detailed'!J$172:N$172,'TCO - Input'!$S$13:$W$13),
'Calculation - Detailed'!J$172*SUM('TCO - Input'!$S$13:$W$13))</f>
        <v>0</v>
      </c>
      <c r="J40" s="39">
        <f ca="1">(5*(('Calculation - Detailed'!K178+'Calculation - Detailed'!K179)))/'Calculation - Detailed'!$F$4*
IF(Fuel_cost_transparency_Index=1,
SUMPRODUCT('Calculation - Detailed'!K$172:O$172,'TCO - Input'!$S$13:$W$13),
'Calculation - Detailed'!K$172*SUM('TCO - Input'!$S$13:$W$13))</f>
        <v>0</v>
      </c>
      <c r="K40" s="39">
        <f ca="1">(5*(('Calculation - Detailed'!L178+'Calculation - Detailed'!L179)))/'Calculation - Detailed'!$F$4*
IF(Fuel_cost_transparency_Index=1,
SUMPRODUCT('Calculation - Detailed'!L$172:P$172,'TCO - Input'!$S$13:$W$13),
'Calculation - Detailed'!L$172*SUM('TCO - Input'!$S$13:$W$13))</f>
        <v>0</v>
      </c>
      <c r="L40" s="39">
        <f ca="1">(5*(('Calculation - Detailed'!M178+'Calculation - Detailed'!M179)))/'Calculation - Detailed'!$F$4*
IF(Fuel_cost_transparency_Index=1,
SUMPRODUCT('Calculation - Detailed'!M$172:Q$172,'TCO - Input'!$S$13:$W$13),
'Calculation - Detailed'!M$172*SUM('TCO - Input'!$S$13:$W$13))</f>
        <v>0</v>
      </c>
      <c r="N40" s="39">
        <f ca="1">(5*(('Calculation - Detailed'!AA178+'Calculation - Detailed'!AA179)))/'Calculation - Detailed'!$F$4*
IF(Fuel_cost_transparency_Index=1,
SUMPRODUCT('Calculation - Detailed'!AA$172:AE$172,'TCO - Input'!$S$13:$W$13),
'Calculation - Detailed'!AA$172*SUM('TCO - Input'!$S$13:$W$13))</f>
        <v>0</v>
      </c>
      <c r="O40" s="39">
        <f ca="1">(5*(('Calculation - Detailed'!AB178+'Calculation - Detailed'!AB179)))/'Calculation - Detailed'!$F$4*
IF(Fuel_cost_transparency_Index=1,
SUMPRODUCT('Calculation - Detailed'!AB$172:AF$172,'TCO - Input'!$S$13:$W$13),
'Calculation - Detailed'!AB$172*SUM('TCO - Input'!$S$13:$W$13))</f>
        <v>0</v>
      </c>
      <c r="P40" s="39">
        <f ca="1">(5*(('Calculation - Detailed'!AC178+'Calculation - Detailed'!AC179)))/'Calculation - Detailed'!$F$4*
IF(Fuel_cost_transparency_Index=1,
SUMPRODUCT('Calculation - Detailed'!AC$172:AG$172,'TCO - Input'!$S$13:$W$13),
'Calculation - Detailed'!AC$172*SUM('TCO - Input'!$S$13:$W$13))</f>
        <v>0</v>
      </c>
      <c r="Q40" s="39">
        <f ca="1">(5*(('Calculation - Detailed'!AD178+'Calculation - Detailed'!AD179)))/'Calculation - Detailed'!$F$4*
IF(Fuel_cost_transparency_Index=1,
SUMPRODUCT('Calculation - Detailed'!AD$172:AH$172,'TCO - Input'!$S$13:$W$13),
'Calculation - Detailed'!AD$172*SUM('TCO - Input'!$S$13:$W$13))</f>
        <v>0</v>
      </c>
      <c r="R40" s="39">
        <f ca="1">(5*(('Calculation - Detailed'!AE178+'Calculation - Detailed'!AE179)))/'Calculation - Detailed'!$F$4*
IF(Fuel_cost_transparency_Index=1,
SUMPRODUCT('Calculation - Detailed'!AE$172:AI$172,'TCO - Input'!$S$13:$W$13),
'Calculation - Detailed'!AE$172*SUM('TCO - Input'!$S$13:$W$13))</f>
        <v>0</v>
      </c>
      <c r="S40" s="39">
        <f ca="1">(5*(('Calculation - Detailed'!AF178+'Calculation - Detailed'!AF179)))/'Calculation - Detailed'!$F$4*
IF(Fuel_cost_transparency_Index=1,
SUMPRODUCT('Calculation - Detailed'!AF$172:AJ$172,'TCO - Input'!$S$13:$W$13),
'Calculation - Detailed'!AF$172*SUM('TCO - Input'!$S$13:$W$13))</f>
        <v>0</v>
      </c>
      <c r="T40" s="39">
        <f ca="1">(5*(('Calculation - Detailed'!AG178+'Calculation - Detailed'!AG179)))/'Calculation - Detailed'!$F$4*
IF(Fuel_cost_transparency_Index=1,
SUMPRODUCT('Calculation - Detailed'!AG$172:AK$172,'TCO - Input'!$S$13:$W$13),
'Calculation - Detailed'!AG$172*SUM('TCO - Input'!$S$13:$W$13))</f>
        <v>0</v>
      </c>
      <c r="V40" s="39">
        <f ca="1">(5*(('Calculation - Detailed'!AU178+'Calculation - Detailed'!AU179)))/'Calculation - Detailed'!$F$4*
IF(Fuel_cost_transparency_Index=1,
SUMPRODUCT('Calculation - Detailed'!AU$172:AY$172,'TCO - Input'!$S$13:$W$13),
'Calculation - Detailed'!AU$172*SUM('TCO - Input'!$S$13:$W$13))</f>
        <v>0</v>
      </c>
      <c r="W40" s="39">
        <f ca="1">(5*(('Calculation - Detailed'!AV178+'Calculation - Detailed'!AV179)))/'Calculation - Detailed'!$F$4*
IF(Fuel_cost_transparency_Index=1,
SUMPRODUCT('Calculation - Detailed'!AV$172:AZ$172,'TCO - Input'!$S$13:$W$13),
'Calculation - Detailed'!AV$172*SUM('TCO - Input'!$S$13:$W$13))</f>
        <v>0</v>
      </c>
      <c r="X40" s="39">
        <f ca="1">(5*(('Calculation - Detailed'!AW178+'Calculation - Detailed'!AW179)))/'Calculation - Detailed'!$F$4*
IF(Fuel_cost_transparency_Index=1,
SUMPRODUCT('Calculation - Detailed'!AW$172:BA$172,'TCO - Input'!$S$13:$W$13),
'Calculation - Detailed'!AW$172*SUM('TCO - Input'!$S$13:$W$13))</f>
        <v>0</v>
      </c>
      <c r="Y40" s="39">
        <f ca="1">(5*(('Calculation - Detailed'!AX178+'Calculation - Detailed'!AX179)))/'Calculation - Detailed'!$F$4*
IF(Fuel_cost_transparency_Index=1,
SUMPRODUCT('Calculation - Detailed'!AX$172:BB$172,'TCO - Input'!$S$13:$W$13),
'Calculation - Detailed'!AX$172*SUM('TCO - Input'!$S$13:$W$13))</f>
        <v>0</v>
      </c>
      <c r="Z40" s="39">
        <f ca="1">(5*(('Calculation - Detailed'!AY178+'Calculation - Detailed'!AY179)))/'Calculation - Detailed'!$F$4*
IF(Fuel_cost_transparency_Index=1,
SUMPRODUCT('Calculation - Detailed'!AY$172:BC$172,'TCO - Input'!$S$13:$W$13),
'Calculation - Detailed'!AY$172*SUM('TCO - Input'!$S$13:$W$13))</f>
        <v>0</v>
      </c>
      <c r="AA40" s="39">
        <f ca="1">(5*(('Calculation - Detailed'!AZ178+'Calculation - Detailed'!AZ179)))/'Calculation - Detailed'!$F$4*
IF(Fuel_cost_transparency_Index=1,
SUMPRODUCT('Calculation - Detailed'!AZ$172:BD$172,'TCO - Input'!$S$13:$W$13),
'Calculation - Detailed'!AZ$172*SUM('TCO - Input'!$S$13:$W$13))</f>
        <v>0</v>
      </c>
      <c r="AB40" s="39">
        <f ca="1">(5*(('Calculation - Detailed'!BA178+'Calculation - Detailed'!BA179)))/'Calculation - Detailed'!$F$4*
IF(Fuel_cost_transparency_Index=1,
SUMPRODUCT('Calculation - Detailed'!BA$172:BE$172,'TCO - Input'!$S$13:$W$13),
'Calculation - Detailed'!BA$172*SUM('TCO - Input'!$S$13:$W$13))</f>
        <v>0</v>
      </c>
      <c r="AD40" s="39">
        <f ca="1">(5*(('Calculation - Detailed'!BO178+'Calculation - Detailed'!BO179)))/'Calculation - Detailed'!$F$4*
IF(Fuel_cost_transparency_Index=1,
SUMPRODUCT('Calculation - Detailed'!BO$172:BS$172,'TCO - Input'!$S$13:$W$13),
'Calculation - Detailed'!BO$172*SUM('TCO - Input'!$S$13:$W$13))</f>
        <v>0</v>
      </c>
      <c r="AE40" s="39">
        <f ca="1">(5*(('Calculation - Detailed'!BP178+'Calculation - Detailed'!BP179)))/'Calculation - Detailed'!$F$4*
IF(Fuel_cost_transparency_Index=1,
SUMPRODUCT('Calculation - Detailed'!BP$172:BT$172,'TCO - Input'!$S$13:$W$13),
'Calculation - Detailed'!BP$172*SUM('TCO - Input'!$S$13:$W$13))</f>
        <v>0</v>
      </c>
      <c r="AF40" s="39">
        <f ca="1">(5*(('Calculation - Detailed'!BQ178+'Calculation - Detailed'!BQ179)))/'Calculation - Detailed'!$F$4*
IF(Fuel_cost_transparency_Index=1,
SUMPRODUCT('Calculation - Detailed'!BQ$172:BU$172,'TCO - Input'!$S$13:$W$13),
'Calculation - Detailed'!BQ$172*SUM('TCO - Input'!$S$13:$W$13))</f>
        <v>0</v>
      </c>
      <c r="AG40" s="39">
        <f ca="1">(5*(('Calculation - Detailed'!BR178+'Calculation - Detailed'!BR179)))/'Calculation - Detailed'!$F$4*
IF(Fuel_cost_transparency_Index=1,
SUMPRODUCT('Calculation - Detailed'!BR$172:BV$172,'TCO - Input'!$S$13:$W$13),
'Calculation - Detailed'!BR$172*SUM('TCO - Input'!$S$13:$W$13))</f>
        <v>0</v>
      </c>
      <c r="AH40" s="39">
        <f ca="1">(5*(('Calculation - Detailed'!BS178+'Calculation - Detailed'!BS179)))/'Calculation - Detailed'!$F$4*
IF(Fuel_cost_transparency_Index=1,
SUMPRODUCT('Calculation - Detailed'!BS$172:BW$172,'TCO - Input'!$S$13:$W$13),
'Calculation - Detailed'!BS$172*SUM('TCO - Input'!$S$13:$W$13))</f>
        <v>0</v>
      </c>
      <c r="AI40" s="39">
        <f ca="1">(5*(('Calculation - Detailed'!BT178+'Calculation - Detailed'!BT179)))/'Calculation - Detailed'!$F$4*
IF(Fuel_cost_transparency_Index=1,
SUMPRODUCT('Calculation - Detailed'!BT$172:BX$172,'TCO - Input'!$S$13:$W$13),
'Calculation - Detailed'!BT$172*SUM('TCO - Input'!$S$13:$W$13))</f>
        <v>0</v>
      </c>
      <c r="AJ40" s="39">
        <f ca="1">(5*(('Calculation - Detailed'!BU178+'Calculation - Detailed'!BU179)))/'Calculation - Detailed'!$F$4*
IF(Fuel_cost_transparency_Index=1,
SUMPRODUCT('Calculation - Detailed'!BU$172:BY$172,'TCO - Input'!$S$13:$W$13),
'Calculation - Detailed'!BU$172*SUM('TCO - Input'!$S$13:$W$13))</f>
        <v>0</v>
      </c>
      <c r="AL40" s="39">
        <f ca="1">(5*(('Calculation - Detailed'!CI178+'Calculation - Detailed'!CI179)))/'Calculation - Detailed'!$F$4*
IF(Fuel_cost_transparency_Index=1,
SUMPRODUCT('Calculation - Detailed'!CI$172:CM$172,'TCO - Input'!$S$13:$W$13),
'Calculation - Detailed'!CI$172*SUM('TCO - Input'!$S$13:$W$13))</f>
        <v>0</v>
      </c>
      <c r="AM40" s="39">
        <f ca="1">(5*(('Calculation - Detailed'!CJ178+'Calculation - Detailed'!CJ179)))/'Calculation - Detailed'!$F$4*
IF(Fuel_cost_transparency_Index=1,
SUMPRODUCT('Calculation - Detailed'!CJ$172:CN$172,'TCO - Input'!$S$13:$W$13),
'Calculation - Detailed'!CJ$172*SUM('TCO - Input'!$S$13:$W$13))</f>
        <v>0</v>
      </c>
      <c r="AN40" s="39">
        <f ca="1">(5*(('Calculation - Detailed'!CK178+'Calculation - Detailed'!CK179)))/'Calculation - Detailed'!$F$4*
IF(Fuel_cost_transparency_Index=1,
SUMPRODUCT('Calculation - Detailed'!CK$172:CO$172,'TCO - Input'!$S$13:$W$13),
'Calculation - Detailed'!CK$172*SUM('TCO - Input'!$S$13:$W$13))</f>
        <v>0</v>
      </c>
      <c r="AO40" s="39">
        <f ca="1">(5*(('Calculation - Detailed'!CL178+'Calculation - Detailed'!CL179)))/'Calculation - Detailed'!$F$4*
IF(Fuel_cost_transparency_Index=1,
SUMPRODUCT('Calculation - Detailed'!CL$172:CP$172,'TCO - Input'!$S$13:$W$13),
'Calculation - Detailed'!CL$172*SUM('TCO - Input'!$S$13:$W$13))</f>
        <v>0</v>
      </c>
      <c r="AP40" s="39">
        <f ca="1">(5*(('Calculation - Detailed'!CM178+'Calculation - Detailed'!CM179)))/'Calculation - Detailed'!$F$4*
IF(Fuel_cost_transparency_Index=1,
SUMPRODUCT('Calculation - Detailed'!CM$172:CQ$172,'TCO - Input'!$S$13:$W$13),
'Calculation - Detailed'!CM$172*SUM('TCO - Input'!$S$13:$W$13))</f>
        <v>0</v>
      </c>
      <c r="AQ40" s="39">
        <f ca="1">(5*(('Calculation - Detailed'!CN178+'Calculation - Detailed'!CN179)))/'Calculation - Detailed'!$F$4*
IF(Fuel_cost_transparency_Index=1,
SUMPRODUCT('Calculation - Detailed'!CN$172:CR$172,'TCO - Input'!$S$13:$W$13),
'Calculation - Detailed'!CN$172*SUM('TCO - Input'!$S$13:$W$13))</f>
        <v>0</v>
      </c>
      <c r="AR40" s="39">
        <f ca="1">(5*(('Calculation - Detailed'!CO178+'Calculation - Detailed'!CO179)))/'Calculation - Detailed'!$F$4*
IF(Fuel_cost_transparency_Index=1,
SUMPRODUCT('Calculation - Detailed'!CO$172:CS$172,'TCO - Input'!$S$13:$W$13),
'Calculation - Detailed'!CO$172*SUM('TCO - Input'!$S$13:$W$13))</f>
        <v>0</v>
      </c>
    </row>
    <row r="41" spans="2:44" ht="21" x14ac:dyDescent="0.5">
      <c r="B41" s="42" t="s">
        <v>236</v>
      </c>
      <c r="C41" s="43" t="s">
        <v>238</v>
      </c>
      <c r="D41" s="4" t="s">
        <v>211</v>
      </c>
      <c r="E41" s="64"/>
      <c r="F41" s="39">
        <f ca="1">(5*(('Calculation - Detailed'!G180)))/'Calculation - Detailed'!$F$4*
IF(Fuel_cost_transparency_Index=1,
SUMPRODUCT('Calculation - Detailed'!G$172:K$172,'TCO - Input'!$S$13:$W$13),
'Calculation - Detailed'!G$172*SUM('TCO - Input'!$S$13:$W$13))</f>
        <v>0</v>
      </c>
      <c r="G41" s="39">
        <f ca="1">(5*(('Calculation - Detailed'!H180)))/'Calculation - Detailed'!$F$4*
IF(Fuel_cost_transparency_Index=1,
SUMPRODUCT('Calculation - Detailed'!H$172:L$172,'TCO - Input'!$S$13:$W$13),
'Calculation - Detailed'!H$172*SUM('TCO - Input'!$S$13:$W$13))</f>
        <v>0</v>
      </c>
      <c r="H41" s="39">
        <f ca="1">(5*(('Calculation - Detailed'!I180)))/'Calculation - Detailed'!$F$4*
IF(Fuel_cost_transparency_Index=1,
SUMPRODUCT('Calculation - Detailed'!I$172:M$172,'TCO - Input'!$S$13:$W$13),
'Calculation - Detailed'!I$172*SUM('TCO - Input'!$S$13:$W$13))</f>
        <v>0</v>
      </c>
      <c r="I41" s="39">
        <f ca="1">(5*(('Calculation - Detailed'!J180)))/'Calculation - Detailed'!$F$4*
IF(Fuel_cost_transparency_Index=1,
SUMPRODUCT('Calculation - Detailed'!J$172:N$172,'TCO - Input'!$S$13:$W$13),
'Calculation - Detailed'!J$172*SUM('TCO - Input'!$S$13:$W$13))</f>
        <v>0</v>
      </c>
      <c r="J41" s="39">
        <f ca="1">(5*(('Calculation - Detailed'!K180)))/'Calculation - Detailed'!$F$4*
IF(Fuel_cost_transparency_Index=1,
SUMPRODUCT('Calculation - Detailed'!K$172:O$172,'TCO - Input'!$S$13:$W$13),
'Calculation - Detailed'!K$172*SUM('TCO - Input'!$S$13:$W$13))</f>
        <v>0</v>
      </c>
      <c r="K41" s="39">
        <f ca="1">(5*(('Calculation - Detailed'!L180)))/'Calculation - Detailed'!$F$4*
IF(Fuel_cost_transparency_Index=1,
SUMPRODUCT('Calculation - Detailed'!L$172:P$172,'TCO - Input'!$S$13:$W$13),
'Calculation - Detailed'!L$172*SUM('TCO - Input'!$S$13:$W$13))</f>
        <v>0</v>
      </c>
      <c r="L41" s="39">
        <f ca="1">(5*(('Calculation - Detailed'!M180)))/'Calculation - Detailed'!$F$4*
IF(Fuel_cost_transparency_Index=1,
SUMPRODUCT('Calculation - Detailed'!M$172:Q$172,'TCO - Input'!$S$13:$W$13),
'Calculation - Detailed'!M$172*SUM('TCO - Input'!$S$13:$W$13))</f>
        <v>0</v>
      </c>
      <c r="N41" s="39">
        <f ca="1">(5*(('Calculation - Detailed'!AA180)))/'Calculation - Detailed'!$F$4*
IF(Fuel_cost_transparency_Index=1,
SUMPRODUCT('Calculation - Detailed'!AA$172:AE$172,'TCO - Input'!$S$13:$W$13),
'Calculation - Detailed'!AA$172*SUM('TCO - Input'!$S$13:$W$13))</f>
        <v>0</v>
      </c>
      <c r="O41" s="39">
        <f ca="1">(5*(('Calculation - Detailed'!AB180)))/'Calculation - Detailed'!$F$4*
IF(Fuel_cost_transparency_Index=1,
SUMPRODUCT('Calculation - Detailed'!AB$172:AF$172,'TCO - Input'!$S$13:$W$13),
'Calculation - Detailed'!AB$172*SUM('TCO - Input'!$S$13:$W$13))</f>
        <v>0</v>
      </c>
      <c r="P41" s="39">
        <f ca="1">(5*(('Calculation - Detailed'!AC180)))/'Calculation - Detailed'!$F$4*
IF(Fuel_cost_transparency_Index=1,
SUMPRODUCT('Calculation - Detailed'!AC$172:AG$172,'TCO - Input'!$S$13:$W$13),
'Calculation - Detailed'!AC$172*SUM('TCO - Input'!$S$13:$W$13))</f>
        <v>0</v>
      </c>
      <c r="Q41" s="39">
        <f ca="1">(5*(('Calculation - Detailed'!AD180)))/'Calculation - Detailed'!$F$4*
IF(Fuel_cost_transparency_Index=1,
SUMPRODUCT('Calculation - Detailed'!AD$172:AH$172,'TCO - Input'!$S$13:$W$13),
'Calculation - Detailed'!AD$172*SUM('TCO - Input'!$S$13:$W$13))</f>
        <v>0</v>
      </c>
      <c r="R41" s="39">
        <f ca="1">(5*(('Calculation - Detailed'!AE180)))/'Calculation - Detailed'!$F$4*
IF(Fuel_cost_transparency_Index=1,
SUMPRODUCT('Calculation - Detailed'!AE$172:AI$172,'TCO - Input'!$S$13:$W$13),
'Calculation - Detailed'!AE$172*SUM('TCO - Input'!$S$13:$W$13))</f>
        <v>0</v>
      </c>
      <c r="S41" s="39">
        <f ca="1">(5*(('Calculation - Detailed'!AF180)))/'Calculation - Detailed'!$F$4*
IF(Fuel_cost_transparency_Index=1,
SUMPRODUCT('Calculation - Detailed'!AF$172:AJ$172,'TCO - Input'!$S$13:$W$13),
'Calculation - Detailed'!AF$172*SUM('TCO - Input'!$S$13:$W$13))</f>
        <v>0</v>
      </c>
      <c r="T41" s="39">
        <f ca="1">(5*(('Calculation - Detailed'!AG180)))/'Calculation - Detailed'!$F$4*
IF(Fuel_cost_transparency_Index=1,
SUMPRODUCT('Calculation - Detailed'!AG$172:AK$172,'TCO - Input'!$S$13:$W$13),
'Calculation - Detailed'!AG$172*SUM('TCO - Input'!$S$13:$W$13))</f>
        <v>0</v>
      </c>
      <c r="V41" s="39">
        <f ca="1">(5*(('Calculation - Detailed'!AU180)))/'Calculation - Detailed'!$F$4*
IF(Fuel_cost_transparency_Index=1,
SUMPRODUCT('Calculation - Detailed'!AU$172:AY$172,'TCO - Input'!$S$13:$W$13),
'Calculation - Detailed'!AU$172*SUM('TCO - Input'!$S$13:$W$13))</f>
        <v>0</v>
      </c>
      <c r="W41" s="39">
        <f ca="1">(5*(('Calculation - Detailed'!AV180)))/'Calculation - Detailed'!$F$4*
IF(Fuel_cost_transparency_Index=1,
SUMPRODUCT('Calculation - Detailed'!AV$172:AZ$172,'TCO - Input'!$S$13:$W$13),
'Calculation - Detailed'!AV$172*SUM('TCO - Input'!$S$13:$W$13))</f>
        <v>0</v>
      </c>
      <c r="X41" s="39">
        <f ca="1">(5*(('Calculation - Detailed'!AW180)))/'Calculation - Detailed'!$F$4*
IF(Fuel_cost_transparency_Index=1,
SUMPRODUCT('Calculation - Detailed'!AW$172:BA$172,'TCO - Input'!$S$13:$W$13),
'Calculation - Detailed'!AW$172*SUM('TCO - Input'!$S$13:$W$13))</f>
        <v>0</v>
      </c>
      <c r="Y41" s="39">
        <f ca="1">(5*(('Calculation - Detailed'!AX180)))/'Calculation - Detailed'!$F$4*
IF(Fuel_cost_transparency_Index=1,
SUMPRODUCT('Calculation - Detailed'!AX$172:BB$172,'TCO - Input'!$S$13:$W$13),
'Calculation - Detailed'!AX$172*SUM('TCO - Input'!$S$13:$W$13))</f>
        <v>0</v>
      </c>
      <c r="Z41" s="39">
        <f ca="1">(5*(('Calculation - Detailed'!AY180)))/'Calculation - Detailed'!$F$4*
IF(Fuel_cost_transparency_Index=1,
SUMPRODUCT('Calculation - Detailed'!AY$172:BC$172,'TCO - Input'!$S$13:$W$13),
'Calculation - Detailed'!AY$172*SUM('TCO - Input'!$S$13:$W$13))</f>
        <v>0</v>
      </c>
      <c r="AA41" s="39">
        <f ca="1">(5*(('Calculation - Detailed'!AZ180)))/'Calculation - Detailed'!$F$4*
IF(Fuel_cost_transparency_Index=1,
SUMPRODUCT('Calculation - Detailed'!AZ$172:BD$172,'TCO - Input'!$S$13:$W$13),
'Calculation - Detailed'!AZ$172*SUM('TCO - Input'!$S$13:$W$13))</f>
        <v>0</v>
      </c>
      <c r="AB41" s="39">
        <f ca="1">(5*(('Calculation - Detailed'!BA180)))/'Calculation - Detailed'!$F$4*
IF(Fuel_cost_transparency_Index=1,
SUMPRODUCT('Calculation - Detailed'!BA$172:BE$172,'TCO - Input'!$S$13:$W$13),
'Calculation - Detailed'!BA$172*SUM('TCO - Input'!$S$13:$W$13))</f>
        <v>0</v>
      </c>
      <c r="AD41" s="39">
        <f ca="1">(5*(('Calculation - Detailed'!BO180)))/'Calculation - Detailed'!$F$4*
IF(Fuel_cost_transparency_Index=1,
SUMPRODUCT('Calculation - Detailed'!BO$172:BS$172,'TCO - Input'!$S$13:$W$13),
'Calculation - Detailed'!BO$172*SUM('TCO - Input'!$S$13:$W$13))</f>
        <v>0</v>
      </c>
      <c r="AE41" s="39">
        <f ca="1">(5*(('Calculation - Detailed'!BP180)))/'Calculation - Detailed'!$F$4*
IF(Fuel_cost_transparency_Index=1,
SUMPRODUCT('Calculation - Detailed'!BP$172:BT$172,'TCO - Input'!$S$13:$W$13),
'Calculation - Detailed'!BP$172*SUM('TCO - Input'!$S$13:$W$13))</f>
        <v>0</v>
      </c>
      <c r="AF41" s="39">
        <f ca="1">(5*(('Calculation - Detailed'!BQ180)))/'Calculation - Detailed'!$F$4*
IF(Fuel_cost_transparency_Index=1,
SUMPRODUCT('Calculation - Detailed'!BQ$172:BU$172,'TCO - Input'!$S$13:$W$13),
'Calculation - Detailed'!BQ$172*SUM('TCO - Input'!$S$13:$W$13))</f>
        <v>0</v>
      </c>
      <c r="AG41" s="39">
        <f ca="1">(5*(('Calculation - Detailed'!BR180)))/'Calculation - Detailed'!$F$4*
IF(Fuel_cost_transparency_Index=1,
SUMPRODUCT('Calculation - Detailed'!BR$172:BV$172,'TCO - Input'!$S$13:$W$13),
'Calculation - Detailed'!BR$172*SUM('TCO - Input'!$S$13:$W$13))</f>
        <v>0</v>
      </c>
      <c r="AH41" s="39">
        <f ca="1">(5*(('Calculation - Detailed'!BS180)))/'Calculation - Detailed'!$F$4*
IF(Fuel_cost_transparency_Index=1,
SUMPRODUCT('Calculation - Detailed'!BS$172:BW$172,'TCO - Input'!$S$13:$W$13),
'Calculation - Detailed'!BS$172*SUM('TCO - Input'!$S$13:$W$13))</f>
        <v>0</v>
      </c>
      <c r="AI41" s="39">
        <f ca="1">(5*(('Calculation - Detailed'!BT180)))/'Calculation - Detailed'!$F$4*
IF(Fuel_cost_transparency_Index=1,
SUMPRODUCT('Calculation - Detailed'!BT$172:BX$172,'TCO - Input'!$S$13:$W$13),
'Calculation - Detailed'!BT$172*SUM('TCO - Input'!$S$13:$W$13))</f>
        <v>0</v>
      </c>
      <c r="AJ41" s="39">
        <f ca="1">(5*(('Calculation - Detailed'!BU180)))/'Calculation - Detailed'!$F$4*
IF(Fuel_cost_transparency_Index=1,
SUMPRODUCT('Calculation - Detailed'!BU$172:BY$172,'TCO - Input'!$S$13:$W$13),
'Calculation - Detailed'!BU$172*SUM('TCO - Input'!$S$13:$W$13))</f>
        <v>0</v>
      </c>
      <c r="AL41" s="39">
        <f ca="1">(5*(('Calculation - Detailed'!CI180)))/'Calculation - Detailed'!$F$4*
IF(Fuel_cost_transparency_Index=1,
SUMPRODUCT('Calculation - Detailed'!CI$172:CM$172,'TCO - Input'!$S$13:$W$13),
'Calculation - Detailed'!CI$172*SUM('TCO - Input'!$S$13:$W$13))</f>
        <v>0</v>
      </c>
      <c r="AM41" s="39">
        <f ca="1">(5*(('Calculation - Detailed'!CJ180)))/'Calculation - Detailed'!$F$4*
IF(Fuel_cost_transparency_Index=1,
SUMPRODUCT('Calculation - Detailed'!CJ$172:CN$172,'TCO - Input'!$S$13:$W$13),
'Calculation - Detailed'!CJ$172*SUM('TCO - Input'!$S$13:$W$13))</f>
        <v>0</v>
      </c>
      <c r="AN41" s="39">
        <f ca="1">(5*(('Calculation - Detailed'!CK180)))/'Calculation - Detailed'!$F$4*
IF(Fuel_cost_transparency_Index=1,
SUMPRODUCT('Calculation - Detailed'!CK$172:CO$172,'TCO - Input'!$S$13:$W$13),
'Calculation - Detailed'!CK$172*SUM('TCO - Input'!$S$13:$W$13))</f>
        <v>0</v>
      </c>
      <c r="AO41" s="39">
        <f ca="1">(5*(('Calculation - Detailed'!CL180)))/'Calculation - Detailed'!$F$4*
IF(Fuel_cost_transparency_Index=1,
SUMPRODUCT('Calculation - Detailed'!CL$172:CP$172,'TCO - Input'!$S$13:$W$13),
'Calculation - Detailed'!CL$172*SUM('TCO - Input'!$S$13:$W$13))</f>
        <v>0</v>
      </c>
      <c r="AP41" s="39">
        <f ca="1">(5*(('Calculation - Detailed'!CM180)))/'Calculation - Detailed'!$F$4*
IF(Fuel_cost_transparency_Index=1,
SUMPRODUCT('Calculation - Detailed'!CM$172:CQ$172,'TCO - Input'!$S$13:$W$13),
'Calculation - Detailed'!CM$172*SUM('TCO - Input'!$S$13:$W$13))</f>
        <v>0</v>
      </c>
      <c r="AQ41" s="39">
        <f ca="1">(5*(('Calculation - Detailed'!CN180)))/'Calculation - Detailed'!$F$4*
IF(Fuel_cost_transparency_Index=1,
SUMPRODUCT('Calculation - Detailed'!CN$172:CR$172,'TCO - Input'!$S$13:$W$13),
'Calculation - Detailed'!CN$172*SUM('TCO - Input'!$S$13:$W$13))</f>
        <v>0</v>
      </c>
      <c r="AR41" s="39">
        <f ca="1">(5*(('Calculation - Detailed'!CO180)))/'Calculation - Detailed'!$F$4*
IF(Fuel_cost_transparency_Index=1,
SUMPRODUCT('Calculation - Detailed'!CO$172:CS$172,'TCO - Input'!$S$13:$W$13),
'Calculation - Detailed'!CO$172*SUM('TCO - Input'!$S$13:$W$13))</f>
        <v>0</v>
      </c>
    </row>
    <row r="42" spans="2:44" ht="21" x14ac:dyDescent="0.5">
      <c r="B42" s="42" t="s">
        <v>236</v>
      </c>
      <c r="C42" s="43" t="s">
        <v>239</v>
      </c>
      <c r="D42" s="4" t="s">
        <v>211</v>
      </c>
      <c r="E42" s="64"/>
      <c r="F42" s="39">
        <f ca="1">(5*(('Calculation - Detailed'!G181)))/'Calculation - Detailed'!$F$4*
IF(Fuel_cost_transparency_Index=1,
SUMPRODUCT('Calculation - Detailed'!G$172:K$172,'TCO - Input'!$S$13:$W$13),
'Calculation - Detailed'!G$172*SUM('TCO - Input'!$S$13:$W$13))</f>
        <v>0</v>
      </c>
      <c r="G42" s="39">
        <f ca="1">(5*(('Calculation - Detailed'!H181)))/'Calculation - Detailed'!$F$4*
IF(Fuel_cost_transparency_Index=1,
SUMPRODUCT('Calculation - Detailed'!H$172:L$172,'TCO - Input'!$S$13:$W$13),
'Calculation - Detailed'!H$172*SUM('TCO - Input'!$S$13:$W$13))</f>
        <v>0</v>
      </c>
      <c r="H42" s="39">
        <f ca="1">(5*(('Calculation - Detailed'!I181)))/'Calculation - Detailed'!$F$4*
IF(Fuel_cost_transparency_Index=1,
SUMPRODUCT('Calculation - Detailed'!I$172:M$172,'TCO - Input'!$S$13:$W$13),
'Calculation - Detailed'!I$172*SUM('TCO - Input'!$S$13:$W$13))</f>
        <v>0</v>
      </c>
      <c r="I42" s="39">
        <f ca="1">(5*(('Calculation - Detailed'!J181)))/'Calculation - Detailed'!$F$4*
IF(Fuel_cost_transparency_Index=1,
SUMPRODUCT('Calculation - Detailed'!J$172:N$172,'TCO - Input'!$S$13:$W$13),
'Calculation - Detailed'!J$172*SUM('TCO - Input'!$S$13:$W$13))</f>
        <v>0</v>
      </c>
      <c r="J42" s="39">
        <f ca="1">(5*(('Calculation - Detailed'!K181)))/'Calculation - Detailed'!$F$4*
IF(Fuel_cost_transparency_Index=1,
SUMPRODUCT('Calculation - Detailed'!K$172:O$172,'TCO - Input'!$S$13:$W$13),
'Calculation - Detailed'!K$172*SUM('TCO - Input'!$S$13:$W$13))</f>
        <v>0</v>
      </c>
      <c r="K42" s="39">
        <f ca="1">(5*(('Calculation - Detailed'!L181)))/'Calculation - Detailed'!$F$4*
IF(Fuel_cost_transparency_Index=1,
SUMPRODUCT('Calculation - Detailed'!L$172:P$172,'TCO - Input'!$S$13:$W$13),
'Calculation - Detailed'!L$172*SUM('TCO - Input'!$S$13:$W$13))</f>
        <v>0</v>
      </c>
      <c r="L42" s="39">
        <f ca="1">(5*(('Calculation - Detailed'!M181)))/'Calculation - Detailed'!$F$4*
IF(Fuel_cost_transparency_Index=1,
SUMPRODUCT('Calculation - Detailed'!M$172:Q$172,'TCO - Input'!$S$13:$W$13),
'Calculation - Detailed'!M$172*SUM('TCO - Input'!$S$13:$W$13))</f>
        <v>0</v>
      </c>
      <c r="N42" s="39">
        <f ca="1">(5*(('Calculation - Detailed'!AA181)))/'Calculation - Detailed'!$F$4*
IF(Fuel_cost_transparency_Index=1,
SUMPRODUCT('Calculation - Detailed'!AA$172:AE$172,'TCO - Input'!$S$13:$W$13),
'Calculation - Detailed'!AA$172*SUM('TCO - Input'!$S$13:$W$13))</f>
        <v>0</v>
      </c>
      <c r="O42" s="39">
        <f ca="1">(5*(('Calculation - Detailed'!AB181)))/'Calculation - Detailed'!$F$4*
IF(Fuel_cost_transparency_Index=1,
SUMPRODUCT('Calculation - Detailed'!AB$172:AF$172,'TCO - Input'!$S$13:$W$13),
'Calculation - Detailed'!AB$172*SUM('TCO - Input'!$S$13:$W$13))</f>
        <v>0</v>
      </c>
      <c r="P42" s="39">
        <f ca="1">(5*(('Calculation - Detailed'!AC181)))/'Calculation - Detailed'!$F$4*
IF(Fuel_cost_transparency_Index=1,
SUMPRODUCT('Calculation - Detailed'!AC$172:AG$172,'TCO - Input'!$S$13:$W$13),
'Calculation - Detailed'!AC$172*SUM('TCO - Input'!$S$13:$W$13))</f>
        <v>0</v>
      </c>
      <c r="Q42" s="39">
        <f ca="1">(5*(('Calculation - Detailed'!AD181)))/'Calculation - Detailed'!$F$4*
IF(Fuel_cost_transparency_Index=1,
SUMPRODUCT('Calculation - Detailed'!AD$172:AH$172,'TCO - Input'!$S$13:$W$13),
'Calculation - Detailed'!AD$172*SUM('TCO - Input'!$S$13:$W$13))</f>
        <v>0</v>
      </c>
      <c r="R42" s="39">
        <f ca="1">(5*(('Calculation - Detailed'!AE181)))/'Calculation - Detailed'!$F$4*
IF(Fuel_cost_transparency_Index=1,
SUMPRODUCT('Calculation - Detailed'!AE$172:AI$172,'TCO - Input'!$S$13:$W$13),
'Calculation - Detailed'!AE$172*SUM('TCO - Input'!$S$13:$W$13))</f>
        <v>0</v>
      </c>
      <c r="S42" s="39">
        <f ca="1">(5*(('Calculation - Detailed'!AF181)))/'Calculation - Detailed'!$F$4*
IF(Fuel_cost_transparency_Index=1,
SUMPRODUCT('Calculation - Detailed'!AF$172:AJ$172,'TCO - Input'!$S$13:$W$13),
'Calculation - Detailed'!AF$172*SUM('TCO - Input'!$S$13:$W$13))</f>
        <v>0</v>
      </c>
      <c r="T42" s="39">
        <f ca="1">(5*(('Calculation - Detailed'!AG181)))/'Calculation - Detailed'!$F$4*
IF(Fuel_cost_transparency_Index=1,
SUMPRODUCT('Calculation - Detailed'!AG$172:AK$172,'TCO - Input'!$S$13:$W$13),
'Calculation - Detailed'!AG$172*SUM('TCO - Input'!$S$13:$W$13))</f>
        <v>0</v>
      </c>
      <c r="V42" s="39">
        <f ca="1">(5*(('Calculation - Detailed'!AU181)))/'Calculation - Detailed'!$F$4*
IF(Fuel_cost_transparency_Index=1,
SUMPRODUCT('Calculation - Detailed'!AU$172:AY$172,'TCO - Input'!$S$13:$W$13),
'Calculation - Detailed'!AU$172*SUM('TCO - Input'!$S$13:$W$13))</f>
        <v>0</v>
      </c>
      <c r="W42" s="39">
        <f ca="1">(5*(('Calculation - Detailed'!AV181)))/'Calculation - Detailed'!$F$4*
IF(Fuel_cost_transparency_Index=1,
SUMPRODUCT('Calculation - Detailed'!AV$172:AZ$172,'TCO - Input'!$S$13:$W$13),
'Calculation - Detailed'!AV$172*SUM('TCO - Input'!$S$13:$W$13))</f>
        <v>0</v>
      </c>
      <c r="X42" s="39">
        <f ca="1">(5*(('Calculation - Detailed'!AW181)))/'Calculation - Detailed'!$F$4*
IF(Fuel_cost_transparency_Index=1,
SUMPRODUCT('Calculation - Detailed'!AW$172:BA$172,'TCO - Input'!$S$13:$W$13),
'Calculation - Detailed'!AW$172*SUM('TCO - Input'!$S$13:$W$13))</f>
        <v>0</v>
      </c>
      <c r="Y42" s="39">
        <f ca="1">(5*(('Calculation - Detailed'!AX181)))/'Calculation - Detailed'!$F$4*
IF(Fuel_cost_transparency_Index=1,
SUMPRODUCT('Calculation - Detailed'!AX$172:BB$172,'TCO - Input'!$S$13:$W$13),
'Calculation - Detailed'!AX$172*SUM('TCO - Input'!$S$13:$W$13))</f>
        <v>0</v>
      </c>
      <c r="Z42" s="39">
        <f ca="1">(5*(('Calculation - Detailed'!AY181)))/'Calculation - Detailed'!$F$4*
IF(Fuel_cost_transparency_Index=1,
SUMPRODUCT('Calculation - Detailed'!AY$172:BC$172,'TCO - Input'!$S$13:$W$13),
'Calculation - Detailed'!AY$172*SUM('TCO - Input'!$S$13:$W$13))</f>
        <v>0</v>
      </c>
      <c r="AA42" s="39">
        <f ca="1">(5*(('Calculation - Detailed'!AZ181)))/'Calculation - Detailed'!$F$4*
IF(Fuel_cost_transparency_Index=1,
SUMPRODUCT('Calculation - Detailed'!AZ$172:BD$172,'TCO - Input'!$S$13:$W$13),
'Calculation - Detailed'!AZ$172*SUM('TCO - Input'!$S$13:$W$13))</f>
        <v>0</v>
      </c>
      <c r="AB42" s="39">
        <f ca="1">(5*(('Calculation - Detailed'!BA181)))/'Calculation - Detailed'!$F$4*
IF(Fuel_cost_transparency_Index=1,
SUMPRODUCT('Calculation - Detailed'!BA$172:BE$172,'TCO - Input'!$S$13:$W$13),
'Calculation - Detailed'!BA$172*SUM('TCO - Input'!$S$13:$W$13))</f>
        <v>0</v>
      </c>
      <c r="AD42" s="39">
        <f ca="1">(5*(('Calculation - Detailed'!BO181)))/'Calculation - Detailed'!$F$4*
IF(Fuel_cost_transparency_Index=1,
SUMPRODUCT('Calculation - Detailed'!BO$172:BS$172,'TCO - Input'!$S$13:$W$13),
'Calculation - Detailed'!BO$172*SUM('TCO - Input'!$S$13:$W$13))</f>
        <v>0</v>
      </c>
      <c r="AE42" s="39">
        <f ca="1">(5*(('Calculation - Detailed'!BP181)))/'Calculation - Detailed'!$F$4*
IF(Fuel_cost_transparency_Index=1,
SUMPRODUCT('Calculation - Detailed'!BP$172:BT$172,'TCO - Input'!$S$13:$W$13),
'Calculation - Detailed'!BP$172*SUM('TCO - Input'!$S$13:$W$13))</f>
        <v>0</v>
      </c>
      <c r="AF42" s="39">
        <f ca="1">(5*(('Calculation - Detailed'!BQ181)))/'Calculation - Detailed'!$F$4*
IF(Fuel_cost_transparency_Index=1,
SUMPRODUCT('Calculation - Detailed'!BQ$172:BU$172,'TCO - Input'!$S$13:$W$13),
'Calculation - Detailed'!BQ$172*SUM('TCO - Input'!$S$13:$W$13))</f>
        <v>0</v>
      </c>
      <c r="AG42" s="39">
        <f ca="1">(5*(('Calculation - Detailed'!BR181)))/'Calculation - Detailed'!$F$4*
IF(Fuel_cost_transparency_Index=1,
SUMPRODUCT('Calculation - Detailed'!BR$172:BV$172,'TCO - Input'!$S$13:$W$13),
'Calculation - Detailed'!BR$172*SUM('TCO - Input'!$S$13:$W$13))</f>
        <v>0</v>
      </c>
      <c r="AH42" s="39">
        <f ca="1">(5*(('Calculation - Detailed'!BS181)))/'Calculation - Detailed'!$F$4*
IF(Fuel_cost_transparency_Index=1,
SUMPRODUCT('Calculation - Detailed'!BS$172:BW$172,'TCO - Input'!$S$13:$W$13),
'Calculation - Detailed'!BS$172*SUM('TCO - Input'!$S$13:$W$13))</f>
        <v>0</v>
      </c>
      <c r="AI42" s="39">
        <f ca="1">(5*(('Calculation - Detailed'!BT181)))/'Calculation - Detailed'!$F$4*
IF(Fuel_cost_transparency_Index=1,
SUMPRODUCT('Calculation - Detailed'!BT$172:BX$172,'TCO - Input'!$S$13:$W$13),
'Calculation - Detailed'!BT$172*SUM('TCO - Input'!$S$13:$W$13))</f>
        <v>0</v>
      </c>
      <c r="AJ42" s="39">
        <f ca="1">(5*(('Calculation - Detailed'!BU181)))/'Calculation - Detailed'!$F$4*
IF(Fuel_cost_transparency_Index=1,
SUMPRODUCT('Calculation - Detailed'!BU$172:BY$172,'TCO - Input'!$S$13:$W$13),
'Calculation - Detailed'!BU$172*SUM('TCO - Input'!$S$13:$W$13))</f>
        <v>0</v>
      </c>
      <c r="AL42" s="39">
        <f ca="1">(5*(('Calculation - Detailed'!CI181)))/'Calculation - Detailed'!$F$4*
IF(Fuel_cost_transparency_Index=1,
SUMPRODUCT('Calculation - Detailed'!CI$172:CM$172,'TCO - Input'!$S$13:$W$13),
'Calculation - Detailed'!CI$172*SUM('TCO - Input'!$S$13:$W$13))</f>
        <v>0</v>
      </c>
      <c r="AM42" s="39">
        <f ca="1">(5*(('Calculation - Detailed'!CJ181)))/'Calculation - Detailed'!$F$4*
IF(Fuel_cost_transparency_Index=1,
SUMPRODUCT('Calculation - Detailed'!CJ$172:CN$172,'TCO - Input'!$S$13:$W$13),
'Calculation - Detailed'!CJ$172*SUM('TCO - Input'!$S$13:$W$13))</f>
        <v>0</v>
      </c>
      <c r="AN42" s="39">
        <f ca="1">(5*(('Calculation - Detailed'!CK181)))/'Calculation - Detailed'!$F$4*
IF(Fuel_cost_transparency_Index=1,
SUMPRODUCT('Calculation - Detailed'!CK$172:CO$172,'TCO - Input'!$S$13:$W$13),
'Calculation - Detailed'!CK$172*SUM('TCO - Input'!$S$13:$W$13))</f>
        <v>0</v>
      </c>
      <c r="AO42" s="39">
        <f ca="1">(5*(('Calculation - Detailed'!CL181)))/'Calculation - Detailed'!$F$4*
IF(Fuel_cost_transparency_Index=1,
SUMPRODUCT('Calculation - Detailed'!CL$172:CP$172,'TCO - Input'!$S$13:$W$13),
'Calculation - Detailed'!CL$172*SUM('TCO - Input'!$S$13:$W$13))</f>
        <v>0</v>
      </c>
      <c r="AP42" s="39">
        <f ca="1">(5*(('Calculation - Detailed'!CM181)))/'Calculation - Detailed'!$F$4*
IF(Fuel_cost_transparency_Index=1,
SUMPRODUCT('Calculation - Detailed'!CM$172:CQ$172,'TCO - Input'!$S$13:$W$13),
'Calculation - Detailed'!CM$172*SUM('TCO - Input'!$S$13:$W$13))</f>
        <v>0</v>
      </c>
      <c r="AQ42" s="39">
        <f ca="1">(5*(('Calculation - Detailed'!CN181)))/'Calculation - Detailed'!$F$4*
IF(Fuel_cost_transparency_Index=1,
SUMPRODUCT('Calculation - Detailed'!CN$172:CR$172,'TCO - Input'!$S$13:$W$13),
'Calculation - Detailed'!CN$172*SUM('TCO - Input'!$S$13:$W$13))</f>
        <v>0</v>
      </c>
      <c r="AR42" s="39">
        <f ca="1">(5*(('Calculation - Detailed'!CO181)))/'Calculation - Detailed'!$F$4*
IF(Fuel_cost_transparency_Index=1,
SUMPRODUCT('Calculation - Detailed'!CO$172:CS$172,'TCO - Input'!$S$13:$W$13),
'Calculation - Detailed'!CO$172*SUM('TCO - Input'!$S$13:$W$13))</f>
        <v>0</v>
      </c>
    </row>
    <row r="43" spans="2:44" s="7" customFormat="1" ht="21" x14ac:dyDescent="0.5">
      <c r="B43" s="44" t="s">
        <v>240</v>
      </c>
      <c r="C43" s="44" t="s">
        <v>80</v>
      </c>
      <c r="D43" s="34" t="s">
        <v>211</v>
      </c>
      <c r="E43" s="10"/>
      <c r="F43" s="37">
        <f ca="1">'Calculation - Detailed'!G194*'TCO - Input'!$R$14</f>
        <v>0</v>
      </c>
      <c r="G43" s="37">
        <f ca="1">'Calculation - Detailed'!H194*'TCO - Input'!$R$14</f>
        <v>0</v>
      </c>
      <c r="H43" s="37">
        <f ca="1">'Calculation - Detailed'!I194*'TCO - Input'!$R$14</f>
        <v>0</v>
      </c>
      <c r="I43" s="37">
        <f ca="1">'Calculation - Detailed'!J194*'TCO - Input'!$R$14</f>
        <v>0</v>
      </c>
      <c r="J43" s="37">
        <f ca="1">'Calculation - Detailed'!K194*'TCO - Input'!$R$14</f>
        <v>0</v>
      </c>
      <c r="K43" s="37">
        <f ca="1">'Calculation - Detailed'!L194*'TCO - Input'!$R$14</f>
        <v>0</v>
      </c>
      <c r="L43" s="37">
        <f ca="1">'Calculation - Detailed'!M194*'TCO - Input'!$R$14</f>
        <v>0</v>
      </c>
      <c r="N43" s="37">
        <f ca="1">'Calculation - Detailed'!AA194*'TCO - Input'!$R$14</f>
        <v>270000.00000000012</v>
      </c>
      <c r="O43" s="37">
        <f ca="1">'Calculation - Detailed'!AB194*'TCO - Input'!$R$14</f>
        <v>270000.00000000012</v>
      </c>
      <c r="P43" s="37">
        <f ca="1">'Calculation - Detailed'!AC194*'TCO - Input'!$R$14</f>
        <v>270000.00000000012</v>
      </c>
      <c r="Q43" s="37">
        <f ca="1">'Calculation - Detailed'!AD194*'TCO - Input'!$R$14</f>
        <v>270000.00000000012</v>
      </c>
      <c r="R43" s="37">
        <f ca="1">'Calculation - Detailed'!AE194*'TCO - Input'!$R$14</f>
        <v>270000.00000000012</v>
      </c>
      <c r="S43" s="37">
        <f ca="1">'Calculation - Detailed'!AF194*'TCO - Input'!$R$14</f>
        <v>270000.00000000012</v>
      </c>
      <c r="T43" s="37">
        <f ca="1">'Calculation - Detailed'!AG194*'TCO - Input'!$R$14</f>
        <v>270000.00000000012</v>
      </c>
      <c r="V43" s="37">
        <f ca="1">'Calculation - Detailed'!AU194*'TCO - Input'!$R$14</f>
        <v>0</v>
      </c>
      <c r="W43" s="37">
        <f ca="1">'Calculation - Detailed'!AV194*'TCO - Input'!$R$14</f>
        <v>0</v>
      </c>
      <c r="X43" s="37">
        <f ca="1">'Calculation - Detailed'!AW194*'TCO - Input'!$R$14</f>
        <v>0</v>
      </c>
      <c r="Y43" s="37">
        <f ca="1">'Calculation - Detailed'!AX194*'TCO - Input'!$R$14</f>
        <v>0</v>
      </c>
      <c r="Z43" s="37">
        <f ca="1">'Calculation - Detailed'!AY194*'TCO - Input'!$R$14</f>
        <v>0</v>
      </c>
      <c r="AA43" s="37">
        <f ca="1">'Calculation - Detailed'!AZ194*'TCO - Input'!$R$14</f>
        <v>0</v>
      </c>
      <c r="AB43" s="37">
        <f ca="1">'Calculation - Detailed'!BA194*'TCO - Input'!$R$14</f>
        <v>0</v>
      </c>
      <c r="AD43" s="37">
        <f ca="1">'Calculation - Detailed'!BO194*'TCO - Input'!$R$14</f>
        <v>0</v>
      </c>
      <c r="AE43" s="37">
        <f ca="1">'Calculation - Detailed'!BP194*'TCO - Input'!$R$14</f>
        <v>0</v>
      </c>
      <c r="AF43" s="37">
        <f ca="1">'Calculation - Detailed'!BQ194*'TCO - Input'!$R$14</f>
        <v>0</v>
      </c>
      <c r="AG43" s="37">
        <f ca="1">'Calculation - Detailed'!BR194*'TCO - Input'!$R$14</f>
        <v>0</v>
      </c>
      <c r="AH43" s="37">
        <f ca="1">'Calculation - Detailed'!BS194*'TCO - Input'!$R$14</f>
        <v>0</v>
      </c>
      <c r="AI43" s="37">
        <f ca="1">'Calculation - Detailed'!BT194*'TCO - Input'!$R$14</f>
        <v>0</v>
      </c>
      <c r="AJ43" s="37">
        <f ca="1">'Calculation - Detailed'!BU194*'TCO - Input'!$R$14</f>
        <v>0</v>
      </c>
      <c r="AL43" s="37">
        <f ca="1">'Calculation - Detailed'!CI194*'TCO - Input'!$R$14</f>
        <v>0</v>
      </c>
      <c r="AM43" s="37">
        <f ca="1">'Calculation - Detailed'!CJ194*'TCO - Input'!$R$14</f>
        <v>0</v>
      </c>
      <c r="AN43" s="37">
        <f ca="1">'Calculation - Detailed'!CK194*'TCO - Input'!$R$14</f>
        <v>0</v>
      </c>
      <c r="AO43" s="37">
        <f ca="1">'Calculation - Detailed'!CL194*'TCO - Input'!$R$14</f>
        <v>0</v>
      </c>
      <c r="AP43" s="37">
        <f ca="1">'Calculation - Detailed'!CM194*'TCO - Input'!$R$14</f>
        <v>0</v>
      </c>
      <c r="AQ43" s="37">
        <f ca="1">'Calculation - Detailed'!CN194*'TCO - Input'!$R$14</f>
        <v>0</v>
      </c>
      <c r="AR43" s="37">
        <f ca="1">'Calculation - Detailed'!CO194*'TCO - Input'!$R$14</f>
        <v>0</v>
      </c>
    </row>
    <row r="44" spans="2:44" s="7" customFormat="1" ht="21" x14ac:dyDescent="0.5">
      <c r="B44" s="44" t="s">
        <v>241</v>
      </c>
      <c r="C44" s="44" t="s">
        <v>81</v>
      </c>
      <c r="D44" s="34" t="s">
        <v>211</v>
      </c>
      <c r="E44" s="10"/>
      <c r="F44" s="37">
        <f ca="1">'Calculation - Detailed'!G169*'TCO - Input'!$R$14</f>
        <v>0</v>
      </c>
      <c r="G44" s="37">
        <f ca="1">'Calculation - Detailed'!H169*'TCO - Input'!$R$14</f>
        <v>0</v>
      </c>
      <c r="H44" s="37">
        <f ca="1">'Calculation - Detailed'!I169*'TCO - Input'!$R$14</f>
        <v>0</v>
      </c>
      <c r="I44" s="37">
        <f ca="1">'Calculation - Detailed'!J169*'TCO - Input'!$R$14</f>
        <v>0</v>
      </c>
      <c r="J44" s="37">
        <f ca="1">'Calculation - Detailed'!K169*'TCO - Input'!$R$14</f>
        <v>0</v>
      </c>
      <c r="K44" s="37">
        <f ca="1">'Calculation - Detailed'!L169*'TCO - Input'!$R$14</f>
        <v>0</v>
      </c>
      <c r="L44" s="37">
        <f ca="1">'Calculation - Detailed'!M169*'TCO - Input'!$R$14</f>
        <v>0</v>
      </c>
      <c r="N44" s="37">
        <f ca="1">'Calculation - Detailed'!AA169*'TCO - Input'!$R$14</f>
        <v>0</v>
      </c>
      <c r="O44" s="37">
        <f ca="1">'Calculation - Detailed'!AB169*'TCO - Input'!$R$14</f>
        <v>0</v>
      </c>
      <c r="P44" s="37">
        <f ca="1">'Calculation - Detailed'!AC169*'TCO - Input'!$R$14</f>
        <v>0</v>
      </c>
      <c r="Q44" s="37">
        <f ca="1">'Calculation - Detailed'!AD169*'TCO - Input'!$R$14</f>
        <v>0</v>
      </c>
      <c r="R44" s="37">
        <f ca="1">'Calculation - Detailed'!AE169*'TCO - Input'!$R$14</f>
        <v>0</v>
      </c>
      <c r="S44" s="37">
        <f ca="1">'Calculation - Detailed'!AF169*'TCO - Input'!$R$14</f>
        <v>0</v>
      </c>
      <c r="T44" s="37">
        <f ca="1">'Calculation - Detailed'!AG169*'TCO - Input'!$R$14</f>
        <v>0</v>
      </c>
      <c r="V44" s="37">
        <f ca="1">'Calculation - Detailed'!AU169*'TCO - Input'!$R$14</f>
        <v>0</v>
      </c>
      <c r="W44" s="37">
        <f ca="1">'Calculation - Detailed'!AV169*'TCO - Input'!$R$14</f>
        <v>0</v>
      </c>
      <c r="X44" s="37">
        <f ca="1">'Calculation - Detailed'!AW169*'TCO - Input'!$R$14</f>
        <v>0</v>
      </c>
      <c r="Y44" s="37">
        <f ca="1">'Calculation - Detailed'!AX169*'TCO - Input'!$R$14</f>
        <v>0</v>
      </c>
      <c r="Z44" s="37">
        <f ca="1">'Calculation - Detailed'!AY169*'TCO - Input'!$R$14</f>
        <v>0</v>
      </c>
      <c r="AA44" s="37">
        <f ca="1">'Calculation - Detailed'!AZ169*'TCO - Input'!$R$14</f>
        <v>0</v>
      </c>
      <c r="AB44" s="37">
        <f ca="1">'Calculation - Detailed'!BA169*'TCO - Input'!$R$14</f>
        <v>0</v>
      </c>
      <c r="AD44" s="37">
        <f ca="1">'Calculation - Detailed'!BO169*'TCO - Input'!$R$14</f>
        <v>0</v>
      </c>
      <c r="AE44" s="37">
        <f ca="1">'Calculation - Detailed'!BP169*'TCO - Input'!$R$14</f>
        <v>0</v>
      </c>
      <c r="AF44" s="37">
        <f ca="1">'Calculation - Detailed'!BQ169*'TCO - Input'!$R$14</f>
        <v>0</v>
      </c>
      <c r="AG44" s="37">
        <f ca="1">'Calculation - Detailed'!BR169*'TCO - Input'!$R$14</f>
        <v>0</v>
      </c>
      <c r="AH44" s="37">
        <f ca="1">'Calculation - Detailed'!BS169*'TCO - Input'!$R$14</f>
        <v>0</v>
      </c>
      <c r="AI44" s="37">
        <f ca="1">'Calculation - Detailed'!BT169*'TCO - Input'!$R$14</f>
        <v>0</v>
      </c>
      <c r="AJ44" s="37">
        <f ca="1">'Calculation - Detailed'!BU169*'TCO - Input'!$R$14</f>
        <v>0</v>
      </c>
      <c r="AL44" s="37">
        <f ca="1">'Calculation - Detailed'!CI169*'TCO - Input'!$R$14</f>
        <v>0</v>
      </c>
      <c r="AM44" s="37">
        <f ca="1">'Calculation - Detailed'!CJ169*'TCO - Input'!$R$14</f>
        <v>0</v>
      </c>
      <c r="AN44" s="37">
        <f ca="1">'Calculation - Detailed'!CK169*'TCO - Input'!$R$14</f>
        <v>0</v>
      </c>
      <c r="AO44" s="37">
        <f ca="1">'Calculation - Detailed'!CL169*'TCO - Input'!$R$14</f>
        <v>0</v>
      </c>
      <c r="AP44" s="37">
        <f ca="1">'Calculation - Detailed'!CM169*'TCO - Input'!$R$14</f>
        <v>0</v>
      </c>
      <c r="AQ44" s="37">
        <f ca="1">'Calculation - Detailed'!CN169*'TCO - Input'!$R$14</f>
        <v>0</v>
      </c>
      <c r="AR44" s="37">
        <f ca="1">'Calculation - Detailed'!CO169*'TCO - Input'!$R$14</f>
        <v>0</v>
      </c>
    </row>
    <row r="45" spans="2:44" s="7" customFormat="1" ht="21" x14ac:dyDescent="0.5">
      <c r="B45" s="63"/>
      <c r="C45" s="63"/>
      <c r="E45" s="10"/>
      <c r="F45" s="20"/>
      <c r="G45" s="20"/>
      <c r="H45" s="20"/>
      <c r="I45" s="20"/>
      <c r="J45" s="20"/>
      <c r="K45" s="20"/>
      <c r="L45" s="20"/>
      <c r="N45" s="20"/>
      <c r="O45" s="20"/>
      <c r="P45" s="20"/>
      <c r="Q45" s="20"/>
      <c r="R45" s="20"/>
      <c r="S45" s="20"/>
      <c r="T45" s="20"/>
      <c r="V45" s="20"/>
      <c r="W45" s="20"/>
      <c r="X45" s="20"/>
      <c r="Y45" s="20"/>
      <c r="Z45" s="20"/>
      <c r="AA45" s="20"/>
      <c r="AB45" s="20"/>
      <c r="AD45" s="20"/>
      <c r="AE45" s="20"/>
      <c r="AF45" s="20"/>
      <c r="AG45" s="20"/>
      <c r="AH45" s="20"/>
      <c r="AI45" s="20"/>
      <c r="AJ45" s="20"/>
      <c r="AL45" s="20"/>
      <c r="AM45" s="20"/>
      <c r="AN45" s="20"/>
      <c r="AO45" s="20"/>
      <c r="AP45" s="20"/>
      <c r="AQ45" s="20"/>
      <c r="AR45" s="20"/>
    </row>
    <row r="46" spans="2:44" s="7" customFormat="1" ht="21" x14ac:dyDescent="0.5">
      <c r="B46" s="34" t="s">
        <v>242</v>
      </c>
      <c r="C46" s="41" t="s">
        <v>243</v>
      </c>
      <c r="D46" s="34" t="s">
        <v>244</v>
      </c>
      <c r="E46" s="10"/>
      <c r="F46" s="111">
        <f ca="1">'Calculation - Detailed'!G239</f>
        <v>0</v>
      </c>
      <c r="G46" s="111">
        <f ca="1">'Calculation - Detailed'!H239</f>
        <v>0</v>
      </c>
      <c r="H46" s="111">
        <f ca="1">'Calculation - Detailed'!I239</f>
        <v>0</v>
      </c>
      <c r="I46" s="111">
        <f ca="1">'Calculation - Detailed'!J239</f>
        <v>0</v>
      </c>
      <c r="J46" s="111">
        <f ca="1">'Calculation - Detailed'!K239</f>
        <v>0</v>
      </c>
      <c r="K46" s="111">
        <f ca="1">'Calculation - Detailed'!L239</f>
        <v>0</v>
      </c>
      <c r="L46" s="111">
        <f ca="1">'Calculation - Detailed'!M239</f>
        <v>0</v>
      </c>
      <c r="N46" s="111">
        <f ca="1">'Calculation - Detailed'!AA239</f>
        <v>0</v>
      </c>
      <c r="O46" s="111">
        <f ca="1">'Calculation - Detailed'!AB239</f>
        <v>0</v>
      </c>
      <c r="P46" s="111">
        <f ca="1">'Calculation - Detailed'!AC239</f>
        <v>0</v>
      </c>
      <c r="Q46" s="111">
        <f ca="1">'Calculation - Detailed'!AD239</f>
        <v>0</v>
      </c>
      <c r="R46" s="111">
        <f ca="1">'Calculation - Detailed'!AE239</f>
        <v>0</v>
      </c>
      <c r="S46" s="111">
        <f ca="1">'Calculation - Detailed'!AF239</f>
        <v>0</v>
      </c>
      <c r="T46" s="111">
        <f ca="1">'Calculation - Detailed'!AG239</f>
        <v>0</v>
      </c>
      <c r="V46" s="111">
        <f ca="1">'Calculation - Detailed'!AU239</f>
        <v>0</v>
      </c>
      <c r="W46" s="111">
        <f ca="1">'Calculation - Detailed'!AV239</f>
        <v>0</v>
      </c>
      <c r="X46" s="111">
        <f ca="1">'Calculation - Detailed'!AW239</f>
        <v>0</v>
      </c>
      <c r="Y46" s="111">
        <f ca="1">'Calculation - Detailed'!AX239</f>
        <v>0</v>
      </c>
      <c r="Z46" s="111">
        <f ca="1">'Calculation - Detailed'!AY239</f>
        <v>0</v>
      </c>
      <c r="AA46" s="111">
        <f ca="1">'Calculation - Detailed'!AZ239</f>
        <v>0</v>
      </c>
      <c r="AB46" s="111">
        <f ca="1">'Calculation - Detailed'!BA239</f>
        <v>0</v>
      </c>
      <c r="AD46" s="111">
        <f ca="1">'Calculation - Detailed'!BO239</f>
        <v>0</v>
      </c>
      <c r="AE46" s="111">
        <f ca="1">'Calculation - Detailed'!BP239</f>
        <v>0</v>
      </c>
      <c r="AF46" s="111">
        <f ca="1">'Calculation - Detailed'!BQ239</f>
        <v>0</v>
      </c>
      <c r="AG46" s="111">
        <f ca="1">'Calculation - Detailed'!BR239</f>
        <v>0</v>
      </c>
      <c r="AH46" s="111">
        <f ca="1">'Calculation - Detailed'!BS239</f>
        <v>0</v>
      </c>
      <c r="AI46" s="111">
        <f ca="1">'Calculation - Detailed'!BT239</f>
        <v>0</v>
      </c>
      <c r="AJ46" s="111">
        <f ca="1">'Calculation - Detailed'!BU239</f>
        <v>0</v>
      </c>
      <c r="AL46" s="111">
        <f ca="1">'Calculation - Detailed'!CI239</f>
        <v>0</v>
      </c>
      <c r="AM46" s="111">
        <f ca="1">'Calculation - Detailed'!CJ239</f>
        <v>0</v>
      </c>
      <c r="AN46" s="111">
        <f ca="1">'Calculation - Detailed'!CK239</f>
        <v>0</v>
      </c>
      <c r="AO46" s="111">
        <f ca="1">'Calculation - Detailed'!CL239</f>
        <v>0</v>
      </c>
      <c r="AP46" s="111">
        <f ca="1">'Calculation - Detailed'!CM239</f>
        <v>0</v>
      </c>
      <c r="AQ46" s="111">
        <f ca="1">'Calculation - Detailed'!CN239</f>
        <v>0</v>
      </c>
      <c r="AR46" s="111">
        <f ca="1">'Calculation - Detailed'!CO239</f>
        <v>0</v>
      </c>
    </row>
    <row r="47" spans="2:44" x14ac:dyDescent="0.2"/>
    <row r="48" spans="2:44" ht="21" x14ac:dyDescent="0.5">
      <c r="B48" s="41" t="s">
        <v>245</v>
      </c>
      <c r="C48" s="41" t="s">
        <v>47</v>
      </c>
      <c r="D48" s="34" t="s">
        <v>211</v>
      </c>
      <c r="E48" s="45"/>
      <c r="F48" s="110">
        <f t="shared" ref="F48:L48" ca="1" si="79">SUM(F9,F14,F23)</f>
        <v>33275406.035527356</v>
      </c>
      <c r="G48" s="110">
        <f t="shared" ca="1" si="79"/>
        <v>31682473.888508298</v>
      </c>
      <c r="H48" s="110">
        <f t="shared" ca="1" si="79"/>
        <v>31293502.085166432</v>
      </c>
      <c r="I48" s="110">
        <f t="shared" ca="1" si="79"/>
        <v>31293502.085166432</v>
      </c>
      <c r="J48" s="110">
        <f t="shared" ca="1" si="79"/>
        <v>31293502.085166432</v>
      </c>
      <c r="K48" s="110">
        <f t="shared" ca="1" si="79"/>
        <v>31293502.085166432</v>
      </c>
      <c r="L48" s="110">
        <f t="shared" ca="1" si="79"/>
        <v>31293502.085166432</v>
      </c>
      <c r="N48" s="110">
        <f t="shared" ref="N48:T48" ca="1" si="80">SUM(N9,N14,N23)</f>
        <v>35901578.218349695</v>
      </c>
      <c r="O48" s="110">
        <f t="shared" ca="1" si="80"/>
        <v>32420950.152666777</v>
      </c>
      <c r="P48" s="110">
        <f t="shared" ca="1" si="80"/>
        <v>31469770.488737598</v>
      </c>
      <c r="Q48" s="110">
        <f t="shared" ca="1" si="80"/>
        <v>31410923.259247061</v>
      </c>
      <c r="R48" s="110">
        <f t="shared" ca="1" si="80"/>
        <v>31343791.183974784</v>
      </c>
      <c r="S48" s="110">
        <f t="shared" ca="1" si="80"/>
        <v>31300575.188412379</v>
      </c>
      <c r="T48" s="110">
        <f t="shared" ca="1" si="80"/>
        <v>31280423.138326623</v>
      </c>
      <c r="V48" s="110">
        <f t="shared" ref="V48:AB48" ca="1" si="81">SUM(V9,V14,V23)</f>
        <v>62014638.441486701</v>
      </c>
      <c r="W48" s="110">
        <f t="shared" ca="1" si="81"/>
        <v>53309642.607958093</v>
      </c>
      <c r="X48" s="110">
        <f t="shared" ca="1" si="81"/>
        <v>47350836.763906047</v>
      </c>
      <c r="Y48" s="110">
        <f t="shared" ca="1" si="81"/>
        <v>44340268.028900169</v>
      </c>
      <c r="Z48" s="110">
        <f t="shared" ca="1" si="81"/>
        <v>41932070.576176472</v>
      </c>
      <c r="AA48" s="110">
        <f t="shared" ca="1" si="81"/>
        <v>40249798.605063051</v>
      </c>
      <c r="AB48" s="110">
        <f t="shared" ca="1" si="81"/>
        <v>39448011.537327647</v>
      </c>
      <c r="AD48" s="110">
        <f t="shared" ref="AD48:AJ48" ca="1" si="82">SUM(AD9,AD14,AD23)</f>
        <v>53285100.702383555</v>
      </c>
      <c r="AE48" s="110">
        <f t="shared" ca="1" si="82"/>
        <v>46927335.862383634</v>
      </c>
      <c r="AF48" s="110">
        <f t="shared" ca="1" si="82"/>
        <v>44885575.236793369</v>
      </c>
      <c r="AG48" s="110">
        <f t="shared" ca="1" si="82"/>
        <v>44614015.017006144</v>
      </c>
      <c r="AH48" s="110">
        <f t="shared" ca="1" si="82"/>
        <v>44363497.049593568</v>
      </c>
      <c r="AI48" s="110">
        <f t="shared" ca="1" si="82"/>
        <v>44193510.760158755</v>
      </c>
      <c r="AJ48" s="110">
        <f t="shared" ca="1" si="82"/>
        <v>44106018.426478773</v>
      </c>
      <c r="AL48" s="110">
        <f t="shared" ref="AL48:AR48" ca="1" si="83">SUM(AL9,AL14,AL23)</f>
        <v>53376918.05677221</v>
      </c>
      <c r="AM48" s="110">
        <f t="shared" ca="1" si="83"/>
        <v>48063950.512152307</v>
      </c>
      <c r="AN48" s="110">
        <f t="shared" ca="1" si="83"/>
        <v>45539866.522004016</v>
      </c>
      <c r="AO48" s="110">
        <f t="shared" ca="1" si="83"/>
        <v>44198613.537742555</v>
      </c>
      <c r="AP48" s="110">
        <f t="shared" ca="1" si="83"/>
        <v>43284358.897862241</v>
      </c>
      <c r="AQ48" s="110">
        <f t="shared" ca="1" si="83"/>
        <v>42791782.575886719</v>
      </c>
      <c r="AR48" s="110">
        <f t="shared" ca="1" si="83"/>
        <v>42545655.733642235</v>
      </c>
    </row>
    <row r="49" spans="2:44" ht="21" x14ac:dyDescent="0.5">
      <c r="B49" s="61"/>
      <c r="C49" s="61"/>
      <c r="D49" s="7"/>
      <c r="E49" s="45"/>
      <c r="F49" s="11"/>
      <c r="G49" s="11"/>
      <c r="H49" s="11"/>
      <c r="I49" s="11"/>
      <c r="J49" s="11"/>
      <c r="K49" s="11"/>
      <c r="L49" s="11"/>
      <c r="N49" s="11"/>
      <c r="O49" s="11"/>
      <c r="P49" s="11"/>
      <c r="Q49" s="11"/>
      <c r="R49" s="11"/>
      <c r="S49" s="11"/>
      <c r="T49" s="11"/>
      <c r="V49" s="11"/>
      <c r="W49" s="11"/>
      <c r="X49" s="11"/>
      <c r="Y49" s="11"/>
      <c r="Z49" s="11"/>
      <c r="AA49" s="11"/>
      <c r="AB49" s="11"/>
      <c r="AD49" s="11"/>
      <c r="AE49" s="11"/>
      <c r="AF49" s="11"/>
      <c r="AG49" s="11"/>
      <c r="AH49" s="11"/>
      <c r="AI49" s="11"/>
      <c r="AJ49" s="11"/>
      <c r="AL49" s="11"/>
      <c r="AM49" s="11"/>
      <c r="AN49" s="11"/>
      <c r="AO49" s="11"/>
      <c r="AP49" s="11"/>
      <c r="AQ49" s="11"/>
      <c r="AR49" s="11"/>
    </row>
    <row r="50" spans="2:44" ht="21" x14ac:dyDescent="0.5">
      <c r="B50" s="34" t="s">
        <v>246</v>
      </c>
      <c r="C50" s="41" t="s">
        <v>47</v>
      </c>
      <c r="D50" s="34" t="s">
        <v>247</v>
      </c>
      <c r="E50" s="45"/>
      <c r="F50" s="110">
        <f ca="1">'Calculation - Detailed'!G177</f>
        <v>91934.116401421154</v>
      </c>
      <c r="G50" s="110">
        <f ca="1">'Calculation - Detailed'!H177</f>
        <v>91934.116401421154</v>
      </c>
      <c r="H50" s="110">
        <f ca="1">'Calculation - Detailed'!I177</f>
        <v>91934.116401421154</v>
      </c>
      <c r="I50" s="110">
        <f ca="1">'Calculation - Detailed'!J177</f>
        <v>91934.116401421154</v>
      </c>
      <c r="J50" s="110">
        <f ca="1">'Calculation - Detailed'!K177</f>
        <v>91934.116401421154</v>
      </c>
      <c r="K50" s="110">
        <f ca="1">'Calculation - Detailed'!L177</f>
        <v>91934.116401421154</v>
      </c>
      <c r="L50" s="110">
        <f ca="1">'Calculation - Detailed'!M177</f>
        <v>91934.116401421154</v>
      </c>
      <c r="N50" s="110">
        <f ca="1">'Calculation - Detailed'!AA177</f>
        <v>95698.644138638832</v>
      </c>
      <c r="O50" s="110">
        <f ca="1">'Calculation - Detailed'!AB177</f>
        <v>95434.989051125114</v>
      </c>
      <c r="P50" s="110">
        <f ca="1">'Calculation - Detailed'!AC177</f>
        <v>95251.56727323505</v>
      </c>
      <c r="Q50" s="110">
        <f ca="1">'Calculation - Detailed'!AD177</f>
        <v>95123.962875680591</v>
      </c>
      <c r="R50" s="110">
        <f ca="1">'Calculation - Detailed'!AE177</f>
        <v>95035.189980430441</v>
      </c>
      <c r="S50" s="110">
        <f ca="1">'Calculation - Detailed'!AF177</f>
        <v>94973.431709695811</v>
      </c>
      <c r="T50" s="110">
        <f ca="1">'Calculation - Detailed'!AG177</f>
        <v>94930.467199037637</v>
      </c>
      <c r="V50" s="110">
        <f ca="1">'Calculation - Detailed'!AU177</f>
        <v>5561.5971893466849</v>
      </c>
      <c r="W50" s="110">
        <f ca="1">'Calculation - Detailed'!AV177</f>
        <v>4808.1408020717618</v>
      </c>
      <c r="X50" s="110">
        <f ca="1">'Calculation - Detailed'!AW177</f>
        <v>4243.8336324423144</v>
      </c>
      <c r="Y50" s="110">
        <f ca="1">'Calculation - Detailed'!AX177</f>
        <v>3429.8596672726644</v>
      </c>
      <c r="Z50" s="110">
        <f ca="1">'Calculation - Detailed'!AY177</f>
        <v>3097.6607690525184</v>
      </c>
      <c r="AA50" s="110">
        <f ca="1">'Calculation - Detailed'!AZ177</f>
        <v>2758.3196519160078</v>
      </c>
      <c r="AB50" s="110">
        <f ca="1">'Calculation - Detailed'!BA177</f>
        <v>2444.7065941321553</v>
      </c>
      <c r="AD50" s="110">
        <f ca="1">'Calculation - Detailed'!BO177</f>
        <v>23828.852555849815</v>
      </c>
      <c r="AE50" s="110">
        <f ca="1">'Calculation - Detailed'!BP177</f>
        <v>22136.25365221484</v>
      </c>
      <c r="AF50" s="110">
        <f ca="1">'Calculation - Detailed'!BQ177</f>
        <v>20655.365156474985</v>
      </c>
      <c r="AG50" s="110">
        <f ca="1">'Calculation - Detailed'!BR177</f>
        <v>18982.81486151382</v>
      </c>
      <c r="AH50" s="110">
        <f ca="1">'Calculation - Detailed'!BS177</f>
        <v>17810.730055045206</v>
      </c>
      <c r="AI50" s="110">
        <f ca="1">'Calculation - Detailed'!BT177</f>
        <v>16668.518935020493</v>
      </c>
      <c r="AJ50" s="110">
        <f ca="1">'Calculation - Detailed'!BU177</f>
        <v>15520.466003178555</v>
      </c>
      <c r="AL50" s="110">
        <f ca="1">'Calculation - Detailed'!CI177</f>
        <v>13571.825905772985</v>
      </c>
      <c r="AM50" s="110">
        <f ca="1">'Calculation - Detailed'!CJ177</f>
        <v>11211.798765631878</v>
      </c>
      <c r="AN50" s="110">
        <f ca="1">'Calculation - Detailed'!CK177</f>
        <v>9081.0299266204856</v>
      </c>
      <c r="AO50" s="110">
        <f ca="1">'Calculation - Detailed'!CL177</f>
        <v>6771.0986514632968</v>
      </c>
      <c r="AP50" s="110">
        <f ca="1">'Calculation - Detailed'!CM177</f>
        <v>4970.3285263139414</v>
      </c>
      <c r="AQ50" s="110">
        <f ca="1">'Calculation - Detailed'!CN177</f>
        <v>3205.4815581880662</v>
      </c>
      <c r="AR50" s="110">
        <f ca="1">'Calculation - Detailed'!CO177</f>
        <v>1439.0013245675602</v>
      </c>
    </row>
    <row r="51" spans="2:44" ht="21" x14ac:dyDescent="0.5">
      <c r="C51" s="3" t="s">
        <v>248</v>
      </c>
      <c r="D51" s="7"/>
      <c r="E51" s="45"/>
      <c r="F51" s="13">
        <f ca="1">SUM('Calculation - Detailed'!G178:G179)</f>
        <v>77249.203792118773</v>
      </c>
      <c r="G51" s="13">
        <f ca="1">SUM('Calculation - Detailed'!H178:H179)</f>
        <v>77249.203792118773</v>
      </c>
      <c r="H51" s="13">
        <f ca="1">SUM('Calculation - Detailed'!I178:I179)</f>
        <v>77249.203792118773</v>
      </c>
      <c r="I51" s="13">
        <f ca="1">SUM('Calculation - Detailed'!J178:J179)</f>
        <v>77249.203792118773</v>
      </c>
      <c r="J51" s="13">
        <f ca="1">SUM('Calculation - Detailed'!K178:K179)</f>
        <v>77249.203792118773</v>
      </c>
      <c r="K51" s="13">
        <f ca="1">SUM('Calculation - Detailed'!L178:L179)</f>
        <v>77249.203792118773</v>
      </c>
      <c r="L51" s="13">
        <f ca="1">SUM('Calculation - Detailed'!M178:M179)</f>
        <v>77249.203792118773</v>
      </c>
      <c r="N51" s="13">
        <f ca="1">SUM('Calculation - Detailed'!AA178:AA179)</f>
        <v>80407.316700483629</v>
      </c>
      <c r="O51" s="13">
        <f ca="1">SUM('Calculation - Detailed'!AB178:AB179)</f>
        <v>80186.132904439</v>
      </c>
      <c r="P51" s="13">
        <f ca="1">SUM('Calculation - Detailed'!AC178:AC179)</f>
        <v>80032.257910053115</v>
      </c>
      <c r="Q51" s="13">
        <f ca="1">SUM('Calculation - Detailed'!AD178:AD179)</f>
        <v>79925.208866132743</v>
      </c>
      <c r="R51" s="13">
        <f ca="1">SUM('Calculation - Detailed'!AE178:AE179)</f>
        <v>79850.73609133267</v>
      </c>
      <c r="S51" s="13">
        <f ca="1">SUM('Calculation - Detailed'!AF178:AF179)</f>
        <v>79798.926248074757</v>
      </c>
      <c r="T51" s="13">
        <f ca="1">SUM('Calculation - Detailed'!AG178:AG179)</f>
        <v>79762.882742704969</v>
      </c>
      <c r="V51" s="13">
        <f ca="1">SUM('Calculation - Detailed'!AU178:AU179)</f>
        <v>4883.7121898119067</v>
      </c>
      <c r="W51" s="13">
        <f ca="1">SUM('Calculation - Detailed'!AV178:AV179)</f>
        <v>4200.675599198592</v>
      </c>
      <c r="X51" s="13">
        <f ca="1">SUM('Calculation - Detailed'!AW178:AW179)</f>
        <v>3689.7529642356212</v>
      </c>
      <c r="Y51" s="13">
        <f ca="1">SUM('Calculation - Detailed'!AX178:AX179)</f>
        <v>2924.3669012688028</v>
      </c>
      <c r="Z51" s="13">
        <f ca="1">SUM('Calculation - Detailed'!AY178:AY179)</f>
        <v>2633.8068968007974</v>
      </c>
      <c r="AA51" s="13">
        <f ca="1">SUM('Calculation - Detailed'!AZ178:AZ179)</f>
        <v>2335.2742470831399</v>
      </c>
      <c r="AB51" s="13">
        <f ca="1">SUM('Calculation - Detailed'!BA178:BA179)</f>
        <v>2052.3342686465503</v>
      </c>
      <c r="AD51" s="13">
        <f ca="1">SUM('Calculation - Detailed'!BO178:BO179)</f>
        <v>20105.117617672451</v>
      </c>
      <c r="AE51" s="13">
        <f ca="1">SUM('Calculation - Detailed'!BP178:BP179)</f>
        <v>18639.529477346277</v>
      </c>
      <c r="AF51" s="13">
        <f ca="1">SUM('Calculation - Detailed'!BQ178:BQ179)</f>
        <v>17364.854669853004</v>
      </c>
      <c r="AG51" s="13">
        <f ca="1">SUM('Calculation - Detailed'!BR178:BR179)</f>
        <v>15884.049779902169</v>
      </c>
      <c r="AH51" s="13">
        <f ca="1">SUM('Calculation - Detailed'!BS178:BS179)</f>
        <v>14893.644962072687</v>
      </c>
      <c r="AI51" s="13">
        <f ca="1">SUM('Calculation - Detailed'!BT178:BT179)</f>
        <v>13926.111437585507</v>
      </c>
      <c r="AJ51" s="13">
        <f ca="1">SUM('Calculation - Detailed'!BU178:BU179)</f>
        <v>12947.864617843046</v>
      </c>
      <c r="AL51" s="13">
        <f ca="1">SUM('Calculation - Detailed'!CI178:CI179)</f>
        <v>11558.329499109201</v>
      </c>
      <c r="AM51" s="13">
        <f ca="1">SUM('Calculation - Detailed'!CJ178:CJ179)</f>
        <v>9536.5989291714723</v>
      </c>
      <c r="AN51" s="13">
        <f ca="1">SUM('Calculation - Detailed'!CK178:CK179)</f>
        <v>7720.4036805356018</v>
      </c>
      <c r="AO51" s="13">
        <f ca="1">SUM('Calculation - Detailed'!CL178:CL179)</f>
        <v>5708.4935907657955</v>
      </c>
      <c r="AP51" s="13">
        <f ca="1">SUM('Calculation - Detailed'!CM178:CM179)</f>
        <v>4194.2293353696323</v>
      </c>
      <c r="AQ51" s="13">
        <f ca="1">SUM('Calculation - Detailed'!CN178:CN179)</f>
        <v>2707.877165841423</v>
      </c>
      <c r="AR51" s="13">
        <f ca="1">SUM('Calculation - Detailed'!CO178:CO179)</f>
        <v>1214.3185217900527</v>
      </c>
    </row>
    <row r="52" spans="2:44" ht="21" x14ac:dyDescent="0.5">
      <c r="C52" s="3" t="s">
        <v>249</v>
      </c>
      <c r="D52" s="7"/>
      <c r="E52" s="45"/>
      <c r="F52" s="13">
        <f ca="1">'Calculation - Detailed'!G180</f>
        <v>13565.972904116501</v>
      </c>
      <c r="G52" s="13">
        <f ca="1">'Calculation - Detailed'!H180</f>
        <v>13565.972904116501</v>
      </c>
      <c r="H52" s="13">
        <f ca="1">'Calculation - Detailed'!I180</f>
        <v>13565.972904116501</v>
      </c>
      <c r="I52" s="13">
        <f ca="1">'Calculation - Detailed'!J180</f>
        <v>13565.972904116501</v>
      </c>
      <c r="J52" s="13">
        <f ca="1">'Calculation - Detailed'!K180</f>
        <v>13565.972904116501</v>
      </c>
      <c r="K52" s="13">
        <f ca="1">'Calculation - Detailed'!L180</f>
        <v>13565.972904116501</v>
      </c>
      <c r="L52" s="13">
        <f ca="1">'Calculation - Detailed'!M180</f>
        <v>13565.972904116501</v>
      </c>
      <c r="N52" s="13">
        <f ca="1">'Calculation - Detailed'!AA180</f>
        <v>14126.181014014304</v>
      </c>
      <c r="O52" s="13">
        <f ca="1">'Calculation - Detailed'!AB180</f>
        <v>14086.945888508186</v>
      </c>
      <c r="P52" s="13">
        <f ca="1">'Calculation - Detailed'!AC180</f>
        <v>14059.650468025555</v>
      </c>
      <c r="Q52" s="13">
        <f ca="1">'Calculation - Detailed'!AD180</f>
        <v>14040.661361460632</v>
      </c>
      <c r="R52" s="13">
        <f ca="1">'Calculation - Detailed'!AE180</f>
        <v>14027.450860880019</v>
      </c>
      <c r="S52" s="13">
        <f ca="1">'Calculation - Detailed'!AF180</f>
        <v>14018.260469273455</v>
      </c>
      <c r="T52" s="13">
        <f ca="1">'Calculation - Detailed'!AG180</f>
        <v>14011.866820723457</v>
      </c>
      <c r="V52" s="13">
        <f ca="1">'Calculation - Detailed'!AU180</f>
        <v>626.23250001299732</v>
      </c>
      <c r="W52" s="13">
        <f ca="1">'Calculation - Detailed'!AV180</f>
        <v>561.17844903964544</v>
      </c>
      <c r="X52" s="13">
        <f ca="1">'Calculation - Detailed'!AW180</f>
        <v>511.86163183737557</v>
      </c>
      <c r="Y52" s="13">
        <f ca="1">'Calculation - Detailed'!AX180</f>
        <v>466.97596024448222</v>
      </c>
      <c r="Z52" s="13">
        <f ca="1">'Calculation - Detailed'!AY180</f>
        <v>428.50980661949609</v>
      </c>
      <c r="AA52" s="13">
        <f ca="1">'Calculation - Detailed'!AZ180</f>
        <v>390.81080370462735</v>
      </c>
      <c r="AB52" s="13">
        <f ca="1">'Calculation - Detailed'!BA180</f>
        <v>362.47490723853684</v>
      </c>
      <c r="AD52" s="13">
        <f ca="1">'Calculation - Detailed'!BO180</f>
        <v>3439.999175849769</v>
      </c>
      <c r="AE52" s="13">
        <f ca="1">'Calculation - Detailed'!BP180</f>
        <v>3230.2858499400713</v>
      </c>
      <c r="AF52" s="13">
        <f ca="1">'Calculation - Detailed'!BQ180</f>
        <v>3039.7849336840941</v>
      </c>
      <c r="AG52" s="13">
        <f ca="1">'Calculation - Detailed'!BR180</f>
        <v>2862.6498673704396</v>
      </c>
      <c r="AH52" s="13">
        <f ca="1">'Calculation - Detailed'!BS180</f>
        <v>2694.81326740747</v>
      </c>
      <c r="AI52" s="13">
        <f ca="1">'Calculation - Detailed'!BT180</f>
        <v>2533.4455023369947</v>
      </c>
      <c r="AJ52" s="13">
        <f ca="1">'Calculation - Detailed'!BU180</f>
        <v>2376.5780304641544</v>
      </c>
      <c r="AL52" s="13">
        <f ca="1">'Calculation - Detailed'!CI180</f>
        <v>1860.0749232946541</v>
      </c>
      <c r="AM52" s="13">
        <f ca="1">'Calculation - Detailed'!CJ180</f>
        <v>1547.5553852466446</v>
      </c>
      <c r="AN52" s="13">
        <f ca="1">'Calculation - Detailed'!CK180</f>
        <v>1256.9512177637773</v>
      </c>
      <c r="AO52" s="13">
        <f ca="1">'Calculation - Detailed'!CL180</f>
        <v>981.63821908397267</v>
      </c>
      <c r="AP52" s="13">
        <f ca="1">'Calculation - Detailed'!CM180</f>
        <v>716.96310869346041</v>
      </c>
      <c r="AQ52" s="13">
        <f ca="1">'Calculation - Detailed'!CN180</f>
        <v>459.68865345972267</v>
      </c>
      <c r="AR52" s="13">
        <f ca="1">'Calculation - Detailed'!CO180</f>
        <v>207.56274794374934</v>
      </c>
    </row>
    <row r="53" spans="2:44" ht="21" x14ac:dyDescent="0.5">
      <c r="C53" s="3" t="s">
        <v>250</v>
      </c>
      <c r="D53" s="7"/>
      <c r="E53" s="45"/>
      <c r="F53" s="13">
        <f ca="1">'Calculation - Detailed'!G181</f>
        <v>1118.9397051858864</v>
      </c>
      <c r="G53" s="13">
        <f ca="1">'Calculation - Detailed'!H181</f>
        <v>1118.9397051858864</v>
      </c>
      <c r="H53" s="13">
        <f ca="1">'Calculation - Detailed'!I181</f>
        <v>1118.9397051858864</v>
      </c>
      <c r="I53" s="13">
        <f ca="1">'Calculation - Detailed'!J181</f>
        <v>1118.9397051858864</v>
      </c>
      <c r="J53" s="13">
        <f ca="1">'Calculation - Detailed'!K181</f>
        <v>1118.9397051858864</v>
      </c>
      <c r="K53" s="13">
        <f ca="1">'Calculation - Detailed'!L181</f>
        <v>1118.9397051858864</v>
      </c>
      <c r="L53" s="13">
        <f ca="1">'Calculation - Detailed'!M181</f>
        <v>1118.9397051858864</v>
      </c>
      <c r="N53" s="13">
        <f ca="1">'Calculation - Detailed'!AA181</f>
        <v>1165.1464241408967</v>
      </c>
      <c r="O53" s="13">
        <f ca="1">'Calculation - Detailed'!AB181</f>
        <v>1161.9102581779362</v>
      </c>
      <c r="P53" s="13">
        <f ca="1">'Calculation - Detailed'!AC181</f>
        <v>1159.6588951563797</v>
      </c>
      <c r="Q53" s="13">
        <f ca="1">'Calculation - Detailed'!AD181</f>
        <v>1158.092648087211</v>
      </c>
      <c r="R53" s="13">
        <f ca="1">'Calculation - Detailed'!AE181</f>
        <v>1157.0030282177402</v>
      </c>
      <c r="S53" s="13">
        <f ca="1">'Calculation - Detailed'!AF181</f>
        <v>1156.2449923475908</v>
      </c>
      <c r="T53" s="13">
        <f ca="1">'Calculation - Detailed'!AG181</f>
        <v>1155.7176356092161</v>
      </c>
      <c r="V53" s="13">
        <f ca="1">'Calculation - Detailed'!AU181</f>
        <v>51.652499521780442</v>
      </c>
      <c r="W53" s="13">
        <f ca="1">'Calculation - Detailed'!AV181</f>
        <v>46.286753833523768</v>
      </c>
      <c r="X53" s="13">
        <f ca="1">'Calculation - Detailed'!AW181</f>
        <v>42.219036369318211</v>
      </c>
      <c r="Y53" s="13">
        <f ca="1">'Calculation - Detailed'!AX181</f>
        <v>38.516805759379245</v>
      </c>
      <c r="Z53" s="13">
        <f ca="1">'Calculation - Detailed'!AY181</f>
        <v>35.344065632225053</v>
      </c>
      <c r="AA53" s="13">
        <f ca="1">'Calculation - Detailed'!AZ181</f>
        <v>32.234601128240598</v>
      </c>
      <c r="AB53" s="13">
        <f ca="1">'Calculation - Detailed'!BA181</f>
        <v>29.897418247068536</v>
      </c>
      <c r="AD53" s="13">
        <f ca="1">'Calculation - Detailed'!BO181</f>
        <v>283.73576232759797</v>
      </c>
      <c r="AE53" s="13">
        <f ca="1">'Calculation - Detailed'!BP181</f>
        <v>266.43832492849009</v>
      </c>
      <c r="AF53" s="13">
        <f ca="1">'Calculation - Detailed'!BQ181</f>
        <v>250.72555293788534</v>
      </c>
      <c r="AG53" s="13">
        <f ca="1">'Calculation - Detailed'!BR181</f>
        <v>236.11521424120852</v>
      </c>
      <c r="AH53" s="13">
        <f ca="1">'Calculation - Detailed'!BS181</f>
        <v>222.27182556504653</v>
      </c>
      <c r="AI53" s="13">
        <f ca="1">'Calculation - Detailed'!BT181</f>
        <v>208.96199509799075</v>
      </c>
      <c r="AJ53" s="13">
        <f ca="1">'Calculation - Detailed'!BU181</f>
        <v>196.02335487135502</v>
      </c>
      <c r="AL53" s="13">
        <f ca="1">'Calculation - Detailed'!CI181</f>
        <v>153.42148336913021</v>
      </c>
      <c r="AM53" s="13">
        <f ca="1">'Calculation - Detailed'!CJ181</f>
        <v>127.64445121376171</v>
      </c>
      <c r="AN53" s="13">
        <f ca="1">'Calculation - Detailed'!CK181</f>
        <v>103.67502832110655</v>
      </c>
      <c r="AO53" s="13">
        <f ca="1">'Calculation - Detailed'!CL181</f>
        <v>80.96684161352843</v>
      </c>
      <c r="AP53" s="13">
        <f ca="1">'Calculation - Detailed'!CM181</f>
        <v>59.136082250848645</v>
      </c>
      <c r="AQ53" s="13">
        <f ca="1">'Calculation - Detailed'!CN181</f>
        <v>37.915738886920458</v>
      </c>
      <c r="AR53" s="13">
        <f ca="1">'Calculation - Detailed'!CO181</f>
        <v>17.120054833758118</v>
      </c>
    </row>
    <row r="54" spans="2:44" ht="21" x14ac:dyDescent="0.5">
      <c r="B54" s="34" t="s">
        <v>251</v>
      </c>
      <c r="C54" s="41" t="s">
        <v>47</v>
      </c>
      <c r="D54" s="34" t="s">
        <v>247</v>
      </c>
      <c r="E54" s="45"/>
      <c r="F54" s="110">
        <f ca="1">SUM(F55:F56)</f>
        <v>91934.116401421154</v>
      </c>
      <c r="G54" s="110">
        <f t="shared" ref="G54:L54" ca="1" si="84">SUM(G55:G56)</f>
        <v>91934.116401421154</v>
      </c>
      <c r="H54" s="110">
        <f t="shared" ca="1" si="84"/>
        <v>91934.116401421154</v>
      </c>
      <c r="I54" s="110">
        <f t="shared" ca="1" si="84"/>
        <v>91934.116401421154</v>
      </c>
      <c r="J54" s="110">
        <f t="shared" ca="1" si="84"/>
        <v>91934.116401421154</v>
      </c>
      <c r="K54" s="110">
        <f t="shared" ca="1" si="84"/>
        <v>91934.116401421154</v>
      </c>
      <c r="L54" s="110">
        <f t="shared" ca="1" si="84"/>
        <v>91934.116401421154</v>
      </c>
      <c r="N54" s="110">
        <f ca="1">SUM(N55:N56)</f>
        <v>95698.644138638832</v>
      </c>
      <c r="O54" s="110">
        <f t="shared" ref="O54:T54" ca="1" si="85">SUM(O55:O56)</f>
        <v>95434.989051125114</v>
      </c>
      <c r="P54" s="110">
        <f t="shared" ca="1" si="85"/>
        <v>95251.567273235036</v>
      </c>
      <c r="Q54" s="110">
        <f t="shared" ca="1" si="85"/>
        <v>95123.962875680591</v>
      </c>
      <c r="R54" s="110">
        <f t="shared" ca="1" si="85"/>
        <v>95035.189980430427</v>
      </c>
      <c r="S54" s="110">
        <f t="shared" ca="1" si="85"/>
        <v>94973.431709695811</v>
      </c>
      <c r="T54" s="110">
        <f t="shared" ca="1" si="85"/>
        <v>94930.467199037637</v>
      </c>
      <c r="V54" s="110">
        <f ca="1">SUM(V55:V56)</f>
        <v>5561.5971893466849</v>
      </c>
      <c r="W54" s="110">
        <f t="shared" ref="W54:AB54" ca="1" si="86">SUM(W55:W56)</f>
        <v>4808.1408020717608</v>
      </c>
      <c r="X54" s="110">
        <f t="shared" ca="1" si="86"/>
        <v>4243.8336324423153</v>
      </c>
      <c r="Y54" s="110">
        <f t="shared" ca="1" si="86"/>
        <v>3429.8596672726644</v>
      </c>
      <c r="Z54" s="110">
        <f t="shared" ca="1" si="86"/>
        <v>3097.6607690525184</v>
      </c>
      <c r="AA54" s="110">
        <f t="shared" ca="1" si="86"/>
        <v>2758.3196519160078</v>
      </c>
      <c r="AB54" s="110">
        <f t="shared" ca="1" si="86"/>
        <v>2444.7065941321553</v>
      </c>
      <c r="AD54" s="110">
        <f ca="1">SUM(AD55:AD56)</f>
        <v>23828.852555849819</v>
      </c>
      <c r="AE54" s="110">
        <f t="shared" ref="AE54:AJ54" ca="1" si="87">SUM(AE55:AE56)</f>
        <v>22136.25365221484</v>
      </c>
      <c r="AF54" s="110">
        <f t="shared" ca="1" si="87"/>
        <v>20655.365156474982</v>
      </c>
      <c r="AG54" s="110">
        <f t="shared" ca="1" si="87"/>
        <v>18982.814861513816</v>
      </c>
      <c r="AH54" s="110">
        <f t="shared" ca="1" si="87"/>
        <v>17810.730055045202</v>
      </c>
      <c r="AI54" s="110">
        <f t="shared" ca="1" si="87"/>
        <v>16668.518935020493</v>
      </c>
      <c r="AJ54" s="110">
        <f t="shared" ca="1" si="87"/>
        <v>15520.466003178553</v>
      </c>
      <c r="AL54" s="110">
        <f ca="1">SUM(AL55:AL56)</f>
        <v>13571.825905772981</v>
      </c>
      <c r="AM54" s="110">
        <f t="shared" ref="AM54:AR54" ca="1" si="88">SUM(AM55:AM56)</f>
        <v>11211.798765631887</v>
      </c>
      <c r="AN54" s="110">
        <f t="shared" ca="1" si="88"/>
        <v>9081.0299266204893</v>
      </c>
      <c r="AO54" s="110">
        <f t="shared" ca="1" si="88"/>
        <v>6771.0986514632896</v>
      </c>
      <c r="AP54" s="110">
        <f t="shared" ca="1" si="88"/>
        <v>4970.3285263139405</v>
      </c>
      <c r="AQ54" s="110">
        <f t="shared" ca="1" si="88"/>
        <v>3205.4815581880684</v>
      </c>
      <c r="AR54" s="110">
        <f t="shared" ca="1" si="88"/>
        <v>1439.0013245675509</v>
      </c>
    </row>
    <row r="55" spans="2:44" x14ac:dyDescent="0.2">
      <c r="C55" s="3" t="s">
        <v>252</v>
      </c>
      <c r="F55" s="18">
        <f ca="1">'Calculation - Detailed'!G182</f>
        <v>15772.062448045906</v>
      </c>
      <c r="G55" s="18">
        <f ca="1">'Calculation - Detailed'!H182</f>
        <v>15772.062448045906</v>
      </c>
      <c r="H55" s="18">
        <f ca="1">'Calculation - Detailed'!I182</f>
        <v>15772.062448045906</v>
      </c>
      <c r="I55" s="18">
        <f ca="1">'Calculation - Detailed'!J182</f>
        <v>15772.062448045906</v>
      </c>
      <c r="J55" s="18">
        <f ca="1">'Calculation - Detailed'!K182</f>
        <v>15772.062448045906</v>
      </c>
      <c r="K55" s="18">
        <f ca="1">'Calculation - Detailed'!L182</f>
        <v>15772.062448045906</v>
      </c>
      <c r="L55" s="18">
        <f ca="1">'Calculation - Detailed'!M182</f>
        <v>15772.062448045906</v>
      </c>
      <c r="N55" s="18">
        <f ca="1">'Calculation - Detailed'!AA182</f>
        <v>20277.849425117365</v>
      </c>
      <c r="O55" s="18">
        <f ca="1">'Calculation - Detailed'!AB182</f>
        <v>20014.194337603647</v>
      </c>
      <c r="P55" s="18">
        <f ca="1">'Calculation - Detailed'!AC182</f>
        <v>19830.772559713576</v>
      </c>
      <c r="Q55" s="18">
        <f ca="1">'Calculation - Detailed'!AD182</f>
        <v>19703.168162159127</v>
      </c>
      <c r="R55" s="18">
        <f ca="1">'Calculation - Detailed'!AE182</f>
        <v>19614.395266908963</v>
      </c>
      <c r="S55" s="18">
        <f ca="1">'Calculation - Detailed'!AF182</f>
        <v>19552.63699617434</v>
      </c>
      <c r="T55" s="18">
        <f ca="1">'Calculation - Detailed'!AG182</f>
        <v>19509.67248551617</v>
      </c>
      <c r="V55" s="18">
        <f ca="1">'Calculation - Detailed'!AU182</f>
        <v>2384.3879340773606</v>
      </c>
      <c r="W55" s="18">
        <f ca="1">'Calculation - Detailed'!AV182</f>
        <v>1630.931546802437</v>
      </c>
      <c r="X55" s="18">
        <f ca="1">'Calculation - Detailed'!AW182</f>
        <v>1066.6243771729914</v>
      </c>
      <c r="Y55" s="18">
        <f ca="1">'Calculation - Detailed'!AX182</f>
        <v>252.65041200334056</v>
      </c>
      <c r="Z55" s="18">
        <f ca="1">'Calculation - Detailed'!AY182</f>
        <v>-79.548486216805387</v>
      </c>
      <c r="AA55" s="18">
        <f ca="1">'Calculation - Detailed'!AZ182</f>
        <v>-418.88960335331598</v>
      </c>
      <c r="AB55" s="18">
        <f ca="1">'Calculation - Detailed'!BA182</f>
        <v>-732.50266113716839</v>
      </c>
      <c r="AD55" s="18">
        <f ca="1">'Calculation - Detailed'!BO182</f>
        <v>20651.643300580494</v>
      </c>
      <c r="AE55" s="18">
        <f ca="1">'Calculation - Detailed'!BP182</f>
        <v>18959.044396945515</v>
      </c>
      <c r="AF55" s="18">
        <f ca="1">'Calculation - Detailed'!BQ182</f>
        <v>17478.155901205657</v>
      </c>
      <c r="AG55" s="18">
        <f ca="1">'Calculation - Detailed'!BR182</f>
        <v>15805.605606244493</v>
      </c>
      <c r="AH55" s="18">
        <f ca="1">'Calculation - Detailed'!BS182</f>
        <v>14633.520799775877</v>
      </c>
      <c r="AI55" s="18">
        <f ca="1">'Calculation - Detailed'!BT182</f>
        <v>13491.30967975117</v>
      </c>
      <c r="AJ55" s="18">
        <f ca="1">'Calculation - Detailed'!BU182</f>
        <v>12343.25674790923</v>
      </c>
      <c r="AL55" s="18">
        <f ca="1">'Calculation - Detailed'!CI182</f>
        <v>-55265.317448975075</v>
      </c>
      <c r="AM55" s="18">
        <f ca="1">'Calculation - Detailed'!CJ182</f>
        <v>-57625.344589116168</v>
      </c>
      <c r="AN55" s="18">
        <f ca="1">'Calculation - Detailed'!CK182</f>
        <v>-59756.113428127566</v>
      </c>
      <c r="AO55" s="18">
        <f ca="1">'Calculation - Detailed'!CL182</f>
        <v>-62066.044703284766</v>
      </c>
      <c r="AP55" s="18">
        <f ca="1">'Calculation - Detailed'!CM182</f>
        <v>-63866.814828434115</v>
      </c>
      <c r="AQ55" s="18">
        <f ca="1">'Calculation - Detailed'!CN182</f>
        <v>-65631.661796559987</v>
      </c>
      <c r="AR55" s="18">
        <f ca="1">'Calculation - Detailed'!CO182</f>
        <v>-67398.142030180505</v>
      </c>
    </row>
    <row r="56" spans="2:44" x14ac:dyDescent="0.2">
      <c r="C56" s="3" t="s">
        <v>253</v>
      </c>
      <c r="F56" s="18">
        <f ca="1">'Calculation - Detailed'!G187</f>
        <v>76162.053953375245</v>
      </c>
      <c r="G56" s="18">
        <f ca="1">'Calculation - Detailed'!H187</f>
        <v>76162.053953375245</v>
      </c>
      <c r="H56" s="18">
        <f ca="1">'Calculation - Detailed'!I187</f>
        <v>76162.053953375245</v>
      </c>
      <c r="I56" s="18">
        <f ca="1">'Calculation - Detailed'!J187</f>
        <v>76162.053953375245</v>
      </c>
      <c r="J56" s="18">
        <f ca="1">'Calculation - Detailed'!K187</f>
        <v>76162.053953375245</v>
      </c>
      <c r="K56" s="18">
        <f ca="1">'Calculation - Detailed'!L187</f>
        <v>76162.053953375245</v>
      </c>
      <c r="L56" s="18">
        <f ca="1">'Calculation - Detailed'!M187</f>
        <v>76162.053953375245</v>
      </c>
      <c r="N56" s="18">
        <f ca="1">'Calculation - Detailed'!AA187</f>
        <v>75420.794713521464</v>
      </c>
      <c r="O56" s="18">
        <f ca="1">'Calculation - Detailed'!AB187</f>
        <v>75420.794713521464</v>
      </c>
      <c r="P56" s="18">
        <f ca="1">'Calculation - Detailed'!AC187</f>
        <v>75420.794713521464</v>
      </c>
      <c r="Q56" s="18">
        <f ca="1">'Calculation - Detailed'!AD187</f>
        <v>75420.794713521464</v>
      </c>
      <c r="R56" s="18">
        <f ca="1">'Calculation - Detailed'!AE187</f>
        <v>75420.794713521464</v>
      </c>
      <c r="S56" s="18">
        <f ca="1">'Calculation - Detailed'!AF187</f>
        <v>75420.794713521464</v>
      </c>
      <c r="T56" s="18">
        <f ca="1">'Calculation - Detailed'!AG187</f>
        <v>75420.794713521464</v>
      </c>
      <c r="V56" s="18">
        <f ca="1">'Calculation - Detailed'!AU187</f>
        <v>3177.2092552693239</v>
      </c>
      <c r="W56" s="18">
        <f ca="1">'Calculation - Detailed'!AV187</f>
        <v>3177.2092552693239</v>
      </c>
      <c r="X56" s="18">
        <f ca="1">'Calculation - Detailed'!AW187</f>
        <v>3177.2092552693239</v>
      </c>
      <c r="Y56" s="18">
        <f ca="1">'Calculation - Detailed'!AX187</f>
        <v>3177.2092552693239</v>
      </c>
      <c r="Z56" s="18">
        <f ca="1">'Calculation - Detailed'!AY187</f>
        <v>3177.2092552693239</v>
      </c>
      <c r="AA56" s="18">
        <f ca="1">'Calculation - Detailed'!AZ187</f>
        <v>3177.2092552693239</v>
      </c>
      <c r="AB56" s="18">
        <f ca="1">'Calculation - Detailed'!BA187</f>
        <v>3177.2092552693239</v>
      </c>
      <c r="AD56" s="18">
        <f ca="1">'Calculation - Detailed'!BO187</f>
        <v>3177.2092552693239</v>
      </c>
      <c r="AE56" s="18">
        <f ca="1">'Calculation - Detailed'!BP187</f>
        <v>3177.2092552693239</v>
      </c>
      <c r="AF56" s="18">
        <f ca="1">'Calculation - Detailed'!BQ187</f>
        <v>3177.2092552693239</v>
      </c>
      <c r="AG56" s="18">
        <f ca="1">'Calculation - Detailed'!BR187</f>
        <v>3177.2092552693239</v>
      </c>
      <c r="AH56" s="18">
        <f ca="1">'Calculation - Detailed'!BS187</f>
        <v>3177.2092552693239</v>
      </c>
      <c r="AI56" s="18">
        <f ca="1">'Calculation - Detailed'!BT187</f>
        <v>3177.2092552693239</v>
      </c>
      <c r="AJ56" s="18">
        <f ca="1">'Calculation - Detailed'!BU187</f>
        <v>3177.2092552693239</v>
      </c>
      <c r="AL56" s="18">
        <f ca="1">'Calculation - Detailed'!CI187</f>
        <v>68837.143354748056</v>
      </c>
      <c r="AM56" s="18">
        <f ca="1">'Calculation - Detailed'!CJ187</f>
        <v>68837.143354748056</v>
      </c>
      <c r="AN56" s="18">
        <f ca="1">'Calculation - Detailed'!CK187</f>
        <v>68837.143354748056</v>
      </c>
      <c r="AO56" s="18">
        <f ca="1">'Calculation - Detailed'!CL187</f>
        <v>68837.143354748056</v>
      </c>
      <c r="AP56" s="18">
        <f ca="1">'Calculation - Detailed'!CM187</f>
        <v>68837.143354748056</v>
      </c>
      <c r="AQ56" s="18">
        <f ca="1">'Calculation - Detailed'!CN187</f>
        <v>68837.143354748056</v>
      </c>
      <c r="AR56" s="18">
        <f ca="1">'Calculation - Detailed'!CO187</f>
        <v>68837.143354748056</v>
      </c>
    </row>
    <row r="57" spans="2:44" x14ac:dyDescent="0.2"/>
    <row r="58" spans="2:44" ht="21" x14ac:dyDescent="0.5">
      <c r="B58" s="34" t="s">
        <v>254</v>
      </c>
      <c r="C58" s="41" t="s">
        <v>255</v>
      </c>
      <c r="D58" s="34" t="s">
        <v>256</v>
      </c>
      <c r="F58" s="109">
        <f ca="1">'Calculation - Detailed'!G243</f>
        <v>23.468662783453922</v>
      </c>
      <c r="G58" s="109">
        <f ca="1">'Calculation - Detailed'!H243</f>
        <v>23.468662783453922</v>
      </c>
      <c r="H58" s="109">
        <f ca="1">'Calculation - Detailed'!I243</f>
        <v>23.468662783453922</v>
      </c>
      <c r="I58" s="109">
        <f ca="1">'Calculation - Detailed'!J243</f>
        <v>23.468662783453922</v>
      </c>
      <c r="J58" s="109">
        <f ca="1">'Calculation - Detailed'!K243</f>
        <v>23.468662783453922</v>
      </c>
      <c r="K58" s="109">
        <f ca="1">'Calculation - Detailed'!L243</f>
        <v>23.468662783453922</v>
      </c>
      <c r="L58" s="109">
        <f ca="1">'Calculation - Detailed'!M243</f>
        <v>23.468662783453922</v>
      </c>
      <c r="N58" s="109">
        <f ca="1">'Calculation - Detailed'!AA243</f>
        <v>24.429660022149903</v>
      </c>
      <c r="O58" s="109">
        <f ca="1">'Calculation - Detailed'!AB243</f>
        <v>24.362354949972087</v>
      </c>
      <c r="P58" s="109">
        <f ca="1">'Calculation - Detailed'!AC243</f>
        <v>24.315531594063081</v>
      </c>
      <c r="Q58" s="109">
        <f ca="1">'Calculation - Detailed'!AD243</f>
        <v>24.282957129945586</v>
      </c>
      <c r="R58" s="109">
        <f ca="1">'Calculation - Detailed'!AE243</f>
        <v>24.260295454122872</v>
      </c>
      <c r="S58" s="109">
        <f ca="1">'Calculation - Detailed'!AF243</f>
        <v>24.244529989824166</v>
      </c>
      <c r="T58" s="109">
        <f ca="1">'Calculation - Detailed'!AG243</f>
        <v>24.23356213967493</v>
      </c>
      <c r="V58" s="109">
        <f ca="1">'Calculation - Detailed'!AU243</f>
        <v>1.4197476854431896</v>
      </c>
      <c r="W58" s="109">
        <f ca="1">'Calculation - Detailed'!AV243</f>
        <v>1.2274076209802296</v>
      </c>
      <c r="X58" s="109">
        <f ca="1">'Calculation - Detailed'!AW243</f>
        <v>1.0833529958996746</v>
      </c>
      <c r="Y58" s="109">
        <f ca="1">'Calculation - Detailed'!AX243</f>
        <v>0.8755641874483423</v>
      </c>
      <c r="Z58" s="109">
        <f ca="1">'Calculation - Detailed'!AY243</f>
        <v>0.79076145887996263</v>
      </c>
      <c r="AA58" s="109">
        <f ca="1">'Calculation - Detailed'!AZ243</f>
        <v>0.70413548629907863</v>
      </c>
      <c r="AB58" s="109">
        <f ca="1">'Calculation - Detailed'!BA243</f>
        <v>0.62407729478418961</v>
      </c>
      <c r="AD58" s="109">
        <f ca="1">'Calculation - Detailed'!BO243</f>
        <v>6.0829573072531167</v>
      </c>
      <c r="AE58" s="109">
        <f ca="1">'Calculation - Detailed'!BP243</f>
        <v>5.6508757857034189</v>
      </c>
      <c r="AF58" s="109">
        <f ca="1">'Calculation - Detailed'!BQ243</f>
        <v>5.2728390558493672</v>
      </c>
      <c r="AG58" s="109">
        <f ca="1">'Calculation - Detailed'!BR243</f>
        <v>4.8458754823983785</v>
      </c>
      <c r="AH58" s="109">
        <f ca="1">'Calculation - Detailed'!BS243</f>
        <v>4.5466692230320067</v>
      </c>
      <c r="AI58" s="109">
        <f ca="1">'Calculation - Detailed'!BT243</f>
        <v>4.2550890278591424</v>
      </c>
      <c r="AJ58" s="109">
        <f ca="1">'Calculation - Detailed'!BU243</f>
        <v>3.9620175526593493</v>
      </c>
      <c r="AL58" s="109">
        <f ca="1">'Calculation - Detailed'!CI243</f>
        <v>3.464574610665498</v>
      </c>
      <c r="AM58" s="109">
        <f ca="1">'Calculation - Detailed'!CJ243</f>
        <v>2.8621140304176782</v>
      </c>
      <c r="AN58" s="109">
        <f ca="1">'Calculation - Detailed'!CK243</f>
        <v>2.3181778149010954</v>
      </c>
      <c r="AO58" s="109">
        <f ca="1">'Calculation - Detailed'!CL243</f>
        <v>1.7285055553352253</v>
      </c>
      <c r="AP58" s="109">
        <f ca="1">'Calculation - Detailed'!CM243</f>
        <v>1.2688104119880375</v>
      </c>
      <c r="AQ58" s="109">
        <f ca="1">'Calculation - Detailed'!CN243</f>
        <v>0.8182856233611796</v>
      </c>
      <c r="AR58" s="109">
        <f ca="1">'Calculation - Detailed'!CO243</f>
        <v>0.36734389966571263</v>
      </c>
    </row>
    <row r="59" spans="2:44" x14ac:dyDescent="0.2"/>
    <row r="60" spans="2:44" x14ac:dyDescent="0.2"/>
    <row r="61" spans="2:44" x14ac:dyDescent="0.2"/>
    <row r="62" spans="2:44" x14ac:dyDescent="0.2">
      <c r="Q62" s="9"/>
      <c r="T62" s="9"/>
      <c r="Y62" s="9"/>
      <c r="AB62" s="9"/>
      <c r="AG62" s="9"/>
      <c r="AJ62" s="9"/>
      <c r="AO62" s="9"/>
      <c r="AR62" s="9"/>
    </row>
    <row r="63" spans="2:44" x14ac:dyDescent="0.2"/>
    <row r="64" spans="2:44" x14ac:dyDescent="0.2"/>
  </sheetData>
  <pageMargins left="0.7" right="0.7" top="0.75" bottom="0.75" header="0.3" footer="0.3"/>
  <pageSetup paperSize="9" orientation="portrait" r:id="rId1"/>
  <headerFooter>
    <oddFooter>&amp;C_x000D_&amp;1#&amp;"Calibri"&amp;10&amp;K000000 Business External</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E23BB-CA0A-4DBA-BFFC-08B88C2245FE}">
  <sheetPr codeName="Sheet11">
    <tabColor theme="9"/>
  </sheetPr>
  <dimension ref="A1:XEJ441"/>
  <sheetViews>
    <sheetView showGridLines="0" zoomScale="85" zoomScaleNormal="85" workbookViewId="0"/>
  </sheetViews>
  <sheetFormatPr defaultColWidth="8.85546875" defaultRowHeight="12.75" outlineLevelRow="1" x14ac:dyDescent="0.2"/>
  <cols>
    <col min="1" max="1" width="6.42578125" customWidth="1"/>
    <col min="2" max="2" width="30" customWidth="1"/>
    <col min="3" max="3" width="35.5703125" customWidth="1"/>
    <col min="4" max="4" width="44.42578125" customWidth="1"/>
    <col min="5" max="5" width="32.85546875" customWidth="1"/>
    <col min="6" max="6" width="36" style="224" customWidth="1"/>
    <col min="7" max="7" width="25.42578125" customWidth="1"/>
    <col min="8" max="12" width="19.85546875" customWidth="1"/>
    <col min="13" max="14" width="18.85546875" customWidth="1"/>
    <col min="15" max="16" width="19.85546875" customWidth="1"/>
    <col min="17" max="18" width="18.85546875" customWidth="1"/>
    <col min="19" max="19" width="27.42578125" customWidth="1"/>
    <col min="24" max="24" width="44.42578125" customWidth="1"/>
    <col min="25" max="25" width="32.85546875" customWidth="1"/>
    <col min="26" max="26" width="36" style="224" customWidth="1"/>
    <col min="27" max="27" width="25.42578125" customWidth="1"/>
    <col min="28" max="32" width="19.85546875" customWidth="1"/>
    <col min="33" max="33" width="18.85546875" customWidth="1"/>
    <col min="34" max="34" width="18.85546875" hidden="1" customWidth="1"/>
    <col min="35" max="36" width="19.85546875" hidden="1" customWidth="1"/>
    <col min="37" max="37" width="18.85546875" hidden="1" customWidth="1"/>
    <col min="38" max="38" width="18.85546875" customWidth="1" collapsed="1"/>
    <col min="39" max="39" width="27.42578125" customWidth="1"/>
    <col min="44" max="44" width="44.42578125" customWidth="1"/>
    <col min="45" max="45" width="32.85546875" customWidth="1"/>
    <col min="46" max="46" width="36" style="224" customWidth="1"/>
    <col min="47" max="47" width="25.42578125" customWidth="1"/>
    <col min="48" max="52" width="19.85546875" customWidth="1"/>
    <col min="53" max="53" width="18.85546875" customWidth="1"/>
    <col min="54" max="54" width="18.85546875" hidden="1" customWidth="1"/>
    <col min="55" max="56" width="19.85546875" hidden="1" customWidth="1"/>
    <col min="57" max="57" width="18.85546875" hidden="1" customWidth="1"/>
    <col min="58" max="58" width="18.85546875" customWidth="1" collapsed="1"/>
    <col min="59" max="60" width="16.42578125" customWidth="1"/>
    <col min="61" max="61" width="27.42578125" customWidth="1"/>
    <col min="63" max="63" width="23.42578125" customWidth="1"/>
    <col min="64" max="64" width="44.42578125" customWidth="1"/>
    <col min="65" max="65" width="32.85546875" customWidth="1"/>
    <col min="66" max="66" width="36" style="224" customWidth="1"/>
    <col min="67" max="67" width="25.42578125" customWidth="1"/>
    <col min="68" max="72" width="19.85546875" customWidth="1"/>
    <col min="73" max="73" width="18.85546875" customWidth="1"/>
    <col min="74" max="74" width="18.85546875" hidden="1" customWidth="1"/>
    <col min="75" max="76" width="19.85546875" hidden="1" customWidth="1"/>
    <col min="77" max="77" width="18.85546875" hidden="1" customWidth="1"/>
    <col min="78" max="78" width="18.85546875" customWidth="1" collapsed="1"/>
    <col min="79" max="80" width="16.42578125" customWidth="1"/>
    <col min="81" max="81" width="10.85546875" customWidth="1"/>
    <col min="82" max="83" width="8.5703125" customWidth="1"/>
    <col min="84" max="84" width="44.42578125" customWidth="1"/>
    <col min="85" max="85" width="32.85546875" customWidth="1"/>
    <col min="86" max="86" width="36" style="224" customWidth="1"/>
    <col min="87" max="87" width="25.42578125" customWidth="1"/>
    <col min="88" max="92" width="19.85546875" customWidth="1"/>
    <col min="93" max="93" width="18.85546875" customWidth="1"/>
    <col min="94" max="94" width="18.85546875" hidden="1" customWidth="1"/>
    <col min="95" max="96" width="19.85546875" hidden="1" customWidth="1"/>
    <col min="97" max="97" width="18.85546875" hidden="1" customWidth="1"/>
    <col min="98" max="98" width="18.85546875" customWidth="1" collapsed="1"/>
    <col min="99" max="99" width="16.42578125" hidden="1" customWidth="1"/>
    <col min="100" max="100" width="16.42578125" customWidth="1" collapsed="1"/>
  </cols>
  <sheetData>
    <row r="1" spans="1:100" s="265" customFormat="1" ht="38.1" customHeight="1" x14ac:dyDescent="0.2">
      <c r="E1" s="265" t="str" cm="1">
        <f t="array" aca="1" ref="E1" ca="1">MID(CELL("filename",A1),FIND("]",CELL("filename",A1))+1,255)</f>
        <v>Calculation - Detailed</v>
      </c>
    </row>
    <row r="2" spans="1:100" s="15" customFormat="1" x14ac:dyDescent="0.2">
      <c r="A2" s="31"/>
      <c r="F2" s="55"/>
      <c r="Z2" s="55"/>
      <c r="AT2" s="55"/>
      <c r="BN2" s="55"/>
      <c r="CH2" s="55"/>
    </row>
    <row r="3" spans="1:100" s="15" customFormat="1" x14ac:dyDescent="0.2">
      <c r="A3" s="31"/>
      <c r="F3" s="55"/>
      <c r="Z3" s="55"/>
      <c r="AT3" s="55"/>
      <c r="BN3" s="55"/>
      <c r="CH3" s="55"/>
    </row>
    <row r="4" spans="1:100" x14ac:dyDescent="0.2">
      <c r="C4" s="266"/>
      <c r="D4" s="267"/>
      <c r="E4" s="266"/>
      <c r="F4" s="268">
        <f>'TCO - Input'!$R$33</f>
        <v>25</v>
      </c>
      <c r="X4" s="267"/>
      <c r="Y4" s="266"/>
      <c r="Z4" s="268">
        <f>'TCO - Input'!$R$33</f>
        <v>25</v>
      </c>
      <c r="AR4" s="267"/>
      <c r="AS4" s="266"/>
      <c r="AT4" s="268">
        <f>'TCO - Input'!$R$33</f>
        <v>25</v>
      </c>
      <c r="BL4" s="267"/>
      <c r="BM4" s="266"/>
      <c r="BN4" s="268">
        <f>'TCO - Input'!$R$33</f>
        <v>25</v>
      </c>
      <c r="CF4" s="267"/>
      <c r="CG4" s="266"/>
      <c r="CH4" s="268">
        <f>'TCO - Input'!$R$33</f>
        <v>25</v>
      </c>
    </row>
    <row r="5" spans="1:100" x14ac:dyDescent="0.2">
      <c r="C5" s="266"/>
      <c r="F5" s="268" t="str" cm="1">
        <f t="array" ref="F5">INDEX(configured_names_ME,F8)</f>
        <v>ICE HFO - LSFO</v>
      </c>
      <c r="H5" s="6"/>
      <c r="I5" s="6"/>
      <c r="J5" s="6"/>
      <c r="K5" s="6"/>
      <c r="L5" s="6"/>
      <c r="M5" s="6"/>
      <c r="N5" s="6"/>
      <c r="O5" s="6"/>
      <c r="P5" s="6"/>
      <c r="Q5" s="6"/>
      <c r="R5" s="6"/>
      <c r="Z5" s="268" t="str" cm="1">
        <f t="array" ref="Z5">INDEX(configured_names_ME,Z8)</f>
        <v>ICE LNG - DF - 0.99LNG - 0.01LSFO</v>
      </c>
      <c r="AB5" s="6"/>
      <c r="AC5" s="6"/>
      <c r="AD5" s="6"/>
      <c r="AE5" s="6"/>
      <c r="AF5" s="6"/>
      <c r="AG5" s="6"/>
      <c r="AH5" s="6"/>
      <c r="AI5" s="6"/>
      <c r="AJ5" s="6"/>
      <c r="AK5" s="6"/>
      <c r="AL5" s="6"/>
      <c r="AT5" s="268" t="str" cm="1">
        <f t="array" ref="AT5">INDEX(configured_names_ME,AT8)</f>
        <v>ICE Ammonia - DF - 0.95e-Ammonia - 0.05Biodiesel (Pyr)</v>
      </c>
      <c r="AV5" s="6"/>
      <c r="AW5" s="6"/>
      <c r="AX5" s="6"/>
      <c r="AY5" s="6"/>
      <c r="AZ5" s="6"/>
      <c r="BA5" s="6"/>
      <c r="BB5" s="6"/>
      <c r="BC5" s="6"/>
      <c r="BD5" s="6"/>
      <c r="BE5" s="6"/>
      <c r="BF5" s="6"/>
      <c r="BG5" s="6"/>
      <c r="BH5" s="6"/>
      <c r="BN5" s="268" t="str" cm="1">
        <f t="array" ref="BN5">INDEX(configured_names_ME,BN8)</f>
        <v>ICE Ammonia - DF - 0.95Blue ammonia - 0.05Biodiesel (Pyr)</v>
      </c>
      <c r="BP5" s="6"/>
      <c r="BQ5" s="6"/>
      <c r="BR5" s="6"/>
      <c r="BS5" s="6"/>
      <c r="BT5" s="6"/>
      <c r="BU5" s="6"/>
      <c r="BV5" s="6"/>
      <c r="BW5" s="6"/>
      <c r="BX5" s="6"/>
      <c r="BY5" s="6"/>
      <c r="BZ5" s="6"/>
      <c r="CA5" s="6"/>
      <c r="CB5" s="6"/>
      <c r="CH5" s="268" t="str" cm="1">
        <f t="array" ref="CH5">INDEX(configured_names_ME,CH8)</f>
        <v>ICE Methanol - DF - 0.95Biomethanol - 0.05Biodiesel (Pyr)</v>
      </c>
      <c r="CJ5" s="6"/>
      <c r="CK5" s="6"/>
      <c r="CL5" s="6"/>
      <c r="CM5" s="6"/>
      <c r="CN5" s="6"/>
      <c r="CO5" s="6"/>
      <c r="CP5" s="6"/>
      <c r="CQ5" s="6"/>
      <c r="CR5" s="6"/>
      <c r="CS5" s="6"/>
      <c r="CT5" s="6"/>
      <c r="CU5" s="6"/>
      <c r="CV5" s="6"/>
    </row>
    <row r="6" spans="1:100" s="269" customFormat="1" x14ac:dyDescent="0.2">
      <c r="B6" s="50" t="s">
        <v>257</v>
      </c>
      <c r="F6" s="270"/>
      <c r="G6" s="271">
        <v>2020</v>
      </c>
      <c r="H6" s="271">
        <f>G6+5</f>
        <v>2025</v>
      </c>
      <c r="I6" s="271">
        <f t="shared" ref="I6:R6" si="0">H6+5</f>
        <v>2030</v>
      </c>
      <c r="J6" s="271">
        <f t="shared" si="0"/>
        <v>2035</v>
      </c>
      <c r="K6" s="271">
        <f t="shared" si="0"/>
        <v>2040</v>
      </c>
      <c r="L6" s="271">
        <f t="shared" si="0"/>
        <v>2045</v>
      </c>
      <c r="M6" s="271">
        <f t="shared" si="0"/>
        <v>2050</v>
      </c>
      <c r="N6" s="271">
        <f t="shared" si="0"/>
        <v>2055</v>
      </c>
      <c r="O6" s="271">
        <f t="shared" si="0"/>
        <v>2060</v>
      </c>
      <c r="P6" s="271">
        <f t="shared" si="0"/>
        <v>2065</v>
      </c>
      <c r="Q6" s="271">
        <f t="shared" si="0"/>
        <v>2070</v>
      </c>
      <c r="R6" s="271">
        <f t="shared" si="0"/>
        <v>2075</v>
      </c>
      <c r="Z6" s="270"/>
      <c r="AA6" s="271">
        <v>2020</v>
      </c>
      <c r="AB6" s="271">
        <f t="shared" ref="AB6:AL6" si="1">AA6+5</f>
        <v>2025</v>
      </c>
      <c r="AC6" s="271">
        <f t="shared" si="1"/>
        <v>2030</v>
      </c>
      <c r="AD6" s="271">
        <f t="shared" si="1"/>
        <v>2035</v>
      </c>
      <c r="AE6" s="271">
        <f t="shared" si="1"/>
        <v>2040</v>
      </c>
      <c r="AF6" s="271">
        <f t="shared" si="1"/>
        <v>2045</v>
      </c>
      <c r="AG6" s="271">
        <f t="shared" si="1"/>
        <v>2050</v>
      </c>
      <c r="AH6" s="271">
        <f t="shared" si="1"/>
        <v>2055</v>
      </c>
      <c r="AI6" s="271">
        <f t="shared" si="1"/>
        <v>2060</v>
      </c>
      <c r="AJ6" s="271">
        <f t="shared" si="1"/>
        <v>2065</v>
      </c>
      <c r="AK6" s="271">
        <f t="shared" si="1"/>
        <v>2070</v>
      </c>
      <c r="AL6" s="271">
        <f t="shared" si="1"/>
        <v>2075</v>
      </c>
      <c r="AT6" s="270"/>
      <c r="AU6" s="271">
        <v>2020</v>
      </c>
      <c r="AV6" s="271">
        <f t="shared" ref="AV6:BF6" si="2">AU6+5</f>
        <v>2025</v>
      </c>
      <c r="AW6" s="271">
        <f t="shared" si="2"/>
        <v>2030</v>
      </c>
      <c r="AX6" s="271">
        <f t="shared" si="2"/>
        <v>2035</v>
      </c>
      <c r="AY6" s="271">
        <f t="shared" si="2"/>
        <v>2040</v>
      </c>
      <c r="AZ6" s="271">
        <f t="shared" si="2"/>
        <v>2045</v>
      </c>
      <c r="BA6" s="271">
        <f t="shared" si="2"/>
        <v>2050</v>
      </c>
      <c r="BB6" s="271">
        <f t="shared" si="2"/>
        <v>2055</v>
      </c>
      <c r="BC6" s="271">
        <f t="shared" si="2"/>
        <v>2060</v>
      </c>
      <c r="BD6" s="271">
        <f t="shared" si="2"/>
        <v>2065</v>
      </c>
      <c r="BE6" s="271">
        <f t="shared" si="2"/>
        <v>2070</v>
      </c>
      <c r="BF6" s="271">
        <f t="shared" si="2"/>
        <v>2075</v>
      </c>
      <c r="BG6" s="272"/>
      <c r="BH6" s="272"/>
      <c r="BN6" s="270"/>
      <c r="BO6" s="271">
        <v>2020</v>
      </c>
      <c r="BP6" s="271">
        <f t="shared" ref="BP6:BZ6" si="3">BO6+5</f>
        <v>2025</v>
      </c>
      <c r="BQ6" s="271">
        <f t="shared" si="3"/>
        <v>2030</v>
      </c>
      <c r="BR6" s="271">
        <f t="shared" si="3"/>
        <v>2035</v>
      </c>
      <c r="BS6" s="271">
        <f t="shared" si="3"/>
        <v>2040</v>
      </c>
      <c r="BT6" s="271">
        <f t="shared" si="3"/>
        <v>2045</v>
      </c>
      <c r="BU6" s="271">
        <f t="shared" si="3"/>
        <v>2050</v>
      </c>
      <c r="BV6" s="271">
        <f t="shared" si="3"/>
        <v>2055</v>
      </c>
      <c r="BW6" s="271">
        <f t="shared" si="3"/>
        <v>2060</v>
      </c>
      <c r="BX6" s="271">
        <f t="shared" si="3"/>
        <v>2065</v>
      </c>
      <c r="BY6" s="271">
        <f t="shared" si="3"/>
        <v>2070</v>
      </c>
      <c r="BZ6" s="271">
        <f t="shared" si="3"/>
        <v>2075</v>
      </c>
      <c r="CA6" s="272"/>
      <c r="CB6" s="272"/>
      <c r="CH6" s="270"/>
      <c r="CI6" s="271">
        <v>2020</v>
      </c>
      <c r="CJ6" s="271">
        <f t="shared" ref="CJ6:CT6" si="4">CI6+5</f>
        <v>2025</v>
      </c>
      <c r="CK6" s="271">
        <f t="shared" si="4"/>
        <v>2030</v>
      </c>
      <c r="CL6" s="271">
        <f t="shared" si="4"/>
        <v>2035</v>
      </c>
      <c r="CM6" s="271">
        <f t="shared" si="4"/>
        <v>2040</v>
      </c>
      <c r="CN6" s="271">
        <f t="shared" si="4"/>
        <v>2045</v>
      </c>
      <c r="CO6" s="271">
        <f t="shared" si="4"/>
        <v>2050</v>
      </c>
      <c r="CP6" s="271">
        <f t="shared" si="4"/>
        <v>2055</v>
      </c>
      <c r="CQ6" s="271">
        <f t="shared" si="4"/>
        <v>2060</v>
      </c>
      <c r="CR6" s="271">
        <f t="shared" si="4"/>
        <v>2065</v>
      </c>
      <c r="CS6" s="271">
        <f t="shared" si="4"/>
        <v>2070</v>
      </c>
      <c r="CT6" s="271">
        <f t="shared" si="4"/>
        <v>2075</v>
      </c>
      <c r="CU6" s="272"/>
      <c r="CV6" s="272"/>
    </row>
    <row r="7" spans="1:100" x14ac:dyDescent="0.2">
      <c r="G7" s="224" t="s">
        <v>99</v>
      </c>
      <c r="H7" s="224" t="s">
        <v>99</v>
      </c>
      <c r="I7" s="224" t="s">
        <v>99</v>
      </c>
      <c r="J7" s="224" t="s">
        <v>99</v>
      </c>
      <c r="K7" s="224" t="s">
        <v>99</v>
      </c>
      <c r="L7" s="224" t="s">
        <v>99</v>
      </c>
      <c r="M7" s="224" t="s">
        <v>99</v>
      </c>
      <c r="N7" s="224" t="s">
        <v>99</v>
      </c>
      <c r="O7" s="224" t="s">
        <v>99</v>
      </c>
      <c r="P7" s="224" t="s">
        <v>99</v>
      </c>
      <c r="Q7" s="224" t="s">
        <v>99</v>
      </c>
      <c r="R7" s="224" t="s">
        <v>99</v>
      </c>
      <c r="AA7" s="224" t="s">
        <v>99</v>
      </c>
      <c r="AB7" s="224" t="s">
        <v>99</v>
      </c>
      <c r="AC7" s="224" t="s">
        <v>99</v>
      </c>
      <c r="AD7" s="224" t="s">
        <v>99</v>
      </c>
      <c r="AE7" s="224" t="s">
        <v>99</v>
      </c>
      <c r="AF7" s="224" t="s">
        <v>99</v>
      </c>
      <c r="AG7" s="224" t="s">
        <v>99</v>
      </c>
      <c r="AH7" s="224" t="s">
        <v>99</v>
      </c>
      <c r="AI7" s="224" t="s">
        <v>99</v>
      </c>
      <c r="AJ7" s="224" t="s">
        <v>99</v>
      </c>
      <c r="AK7" s="224" t="s">
        <v>99</v>
      </c>
      <c r="AL7" s="224" t="s">
        <v>99</v>
      </c>
      <c r="AU7" s="224" t="s">
        <v>99</v>
      </c>
      <c r="AV7" s="224" t="s">
        <v>99</v>
      </c>
      <c r="AW7" s="224" t="s">
        <v>99</v>
      </c>
      <c r="AX7" s="224" t="s">
        <v>99</v>
      </c>
      <c r="AY7" s="224" t="s">
        <v>99</v>
      </c>
      <c r="AZ7" s="224" t="s">
        <v>99</v>
      </c>
      <c r="BA7" s="224" t="s">
        <v>99</v>
      </c>
      <c r="BB7" s="224" t="s">
        <v>99</v>
      </c>
      <c r="BC7" s="224" t="s">
        <v>99</v>
      </c>
      <c r="BD7" s="224" t="s">
        <v>99</v>
      </c>
      <c r="BE7" s="224" t="s">
        <v>99</v>
      </c>
      <c r="BF7" s="224" t="s">
        <v>99</v>
      </c>
      <c r="BO7" s="224" t="s">
        <v>99</v>
      </c>
      <c r="BP7" s="224" t="s">
        <v>99</v>
      </c>
      <c r="BQ7" s="224" t="s">
        <v>99</v>
      </c>
      <c r="BR7" s="224" t="s">
        <v>99</v>
      </c>
      <c r="BS7" s="224" t="s">
        <v>99</v>
      </c>
      <c r="BT7" s="224" t="s">
        <v>99</v>
      </c>
      <c r="BU7" s="224" t="s">
        <v>99</v>
      </c>
      <c r="BV7" s="224" t="s">
        <v>99</v>
      </c>
      <c r="BW7" s="224" t="s">
        <v>99</v>
      </c>
      <c r="BX7" s="224" t="s">
        <v>99</v>
      </c>
      <c r="BY7" s="224" t="s">
        <v>99</v>
      </c>
      <c r="BZ7" s="224" t="s">
        <v>99</v>
      </c>
      <c r="CI7" s="224" t="s">
        <v>99</v>
      </c>
      <c r="CJ7" s="224" t="s">
        <v>99</v>
      </c>
      <c r="CK7" s="224" t="s">
        <v>99</v>
      </c>
      <c r="CL7" s="224" t="s">
        <v>99</v>
      </c>
      <c r="CM7" s="224" t="s">
        <v>99</v>
      </c>
      <c r="CN7" s="224" t="s">
        <v>99</v>
      </c>
      <c r="CO7" s="224" t="s">
        <v>99</v>
      </c>
      <c r="CP7" s="224" t="s">
        <v>99</v>
      </c>
      <c r="CQ7" s="224" t="s">
        <v>99</v>
      </c>
      <c r="CR7" s="224" t="s">
        <v>99</v>
      </c>
      <c r="CS7" s="224" t="s">
        <v>99</v>
      </c>
      <c r="CT7" s="224" t="s">
        <v>99</v>
      </c>
    </row>
    <row r="8" spans="1:100" x14ac:dyDescent="0.2">
      <c r="F8" s="269">
        <f>MAX($E8:E8)+1</f>
        <v>1</v>
      </c>
      <c r="G8" s="224" t="str">
        <f>G6&amp;"Vessel "&amp;F$8</f>
        <v>2020Vessel 1</v>
      </c>
      <c r="H8" s="224" t="str">
        <f>G8</f>
        <v>2020Vessel 1</v>
      </c>
      <c r="I8" s="224" t="str">
        <f t="shared" ref="I8:R8" si="5">H8</f>
        <v>2020Vessel 1</v>
      </c>
      <c r="J8" s="224" t="str">
        <f t="shared" si="5"/>
        <v>2020Vessel 1</v>
      </c>
      <c r="K8" s="224" t="str">
        <f t="shared" si="5"/>
        <v>2020Vessel 1</v>
      </c>
      <c r="L8" s="224" t="str">
        <f t="shared" si="5"/>
        <v>2020Vessel 1</v>
      </c>
      <c r="M8" s="224" t="str">
        <f t="shared" si="5"/>
        <v>2020Vessel 1</v>
      </c>
      <c r="N8" s="224" t="str">
        <f t="shared" si="5"/>
        <v>2020Vessel 1</v>
      </c>
      <c r="O8" s="224" t="str">
        <f t="shared" si="5"/>
        <v>2020Vessel 1</v>
      </c>
      <c r="P8" s="224" t="str">
        <f t="shared" si="5"/>
        <v>2020Vessel 1</v>
      </c>
      <c r="Q8" s="224" t="str">
        <f t="shared" si="5"/>
        <v>2020Vessel 1</v>
      </c>
      <c r="R8" s="224" t="str">
        <f t="shared" si="5"/>
        <v>2020Vessel 1</v>
      </c>
      <c r="S8" s="273"/>
      <c r="T8" s="273"/>
      <c r="U8" s="273"/>
      <c r="V8" s="273"/>
      <c r="W8" s="273"/>
      <c r="Z8" s="269">
        <f>MAX($E8:Y8)+1</f>
        <v>2</v>
      </c>
      <c r="AA8" s="224" t="str">
        <f>AA6&amp;"Vessel "&amp;Z$8</f>
        <v>2020Vessel 2</v>
      </c>
      <c r="AB8" s="224" t="str">
        <f>AA8</f>
        <v>2020Vessel 2</v>
      </c>
      <c r="AC8" s="224" t="str">
        <f t="shared" ref="AC8:AL22" si="6">AB8</f>
        <v>2020Vessel 2</v>
      </c>
      <c r="AD8" s="224" t="str">
        <f t="shared" si="6"/>
        <v>2020Vessel 2</v>
      </c>
      <c r="AE8" s="224" t="str">
        <f t="shared" si="6"/>
        <v>2020Vessel 2</v>
      </c>
      <c r="AF8" s="224" t="str">
        <f t="shared" si="6"/>
        <v>2020Vessel 2</v>
      </c>
      <c r="AG8" s="224" t="str">
        <f t="shared" si="6"/>
        <v>2020Vessel 2</v>
      </c>
      <c r="AH8" s="224" t="str">
        <f t="shared" si="6"/>
        <v>2020Vessel 2</v>
      </c>
      <c r="AI8" s="224" t="str">
        <f t="shared" si="6"/>
        <v>2020Vessel 2</v>
      </c>
      <c r="AJ8" s="224" t="str">
        <f t="shared" si="6"/>
        <v>2020Vessel 2</v>
      </c>
      <c r="AK8" s="224" t="str">
        <f t="shared" si="6"/>
        <v>2020Vessel 2</v>
      </c>
      <c r="AL8" s="224" t="str">
        <f t="shared" si="6"/>
        <v>2020Vessel 2</v>
      </c>
      <c r="AM8" s="273"/>
      <c r="AN8" s="273"/>
      <c r="AO8" s="273"/>
      <c r="AP8" s="273"/>
      <c r="AQ8" s="273"/>
      <c r="AT8" s="269">
        <f>MAX($E8:AS8)+1</f>
        <v>3</v>
      </c>
      <c r="AU8" s="224" t="str">
        <f>AU6&amp;"Vessel "&amp;AT$8</f>
        <v>2020Vessel 3</v>
      </c>
      <c r="AV8" s="224" t="str">
        <f>AU8</f>
        <v>2020Vessel 3</v>
      </c>
      <c r="AW8" s="224" t="str">
        <f t="shared" ref="AW8:BF22" si="7">AV8</f>
        <v>2020Vessel 3</v>
      </c>
      <c r="AX8" s="224" t="str">
        <f t="shared" si="7"/>
        <v>2020Vessel 3</v>
      </c>
      <c r="AY8" s="224" t="str">
        <f t="shared" si="7"/>
        <v>2020Vessel 3</v>
      </c>
      <c r="AZ8" s="224" t="str">
        <f t="shared" si="7"/>
        <v>2020Vessel 3</v>
      </c>
      <c r="BA8" s="224" t="str">
        <f t="shared" si="7"/>
        <v>2020Vessel 3</v>
      </c>
      <c r="BB8" s="224" t="str">
        <f t="shared" si="7"/>
        <v>2020Vessel 3</v>
      </c>
      <c r="BC8" s="224" t="str">
        <f t="shared" si="7"/>
        <v>2020Vessel 3</v>
      </c>
      <c r="BD8" s="224" t="str">
        <f t="shared" si="7"/>
        <v>2020Vessel 3</v>
      </c>
      <c r="BE8" s="224" t="str">
        <f t="shared" si="7"/>
        <v>2020Vessel 3</v>
      </c>
      <c r="BF8" s="224" t="str">
        <f t="shared" si="7"/>
        <v>2020Vessel 3</v>
      </c>
      <c r="BG8" s="273"/>
      <c r="BH8" s="273"/>
      <c r="BI8" s="273"/>
      <c r="BJ8" s="273"/>
      <c r="BN8" s="269">
        <f>MAX($E8:BM8)+1</f>
        <v>4</v>
      </c>
      <c r="BO8" s="224" t="str">
        <f>BO6&amp;"Vessel "&amp;BN$8</f>
        <v>2020Vessel 4</v>
      </c>
      <c r="BP8" s="224" t="str">
        <f>BO8</f>
        <v>2020Vessel 4</v>
      </c>
      <c r="BQ8" s="224" t="str">
        <f t="shared" ref="BQ8:BZ22" si="8">BP8</f>
        <v>2020Vessel 4</v>
      </c>
      <c r="BR8" s="224" t="str">
        <f t="shared" si="8"/>
        <v>2020Vessel 4</v>
      </c>
      <c r="BS8" s="224" t="str">
        <f t="shared" si="8"/>
        <v>2020Vessel 4</v>
      </c>
      <c r="BT8" s="224" t="str">
        <f t="shared" si="8"/>
        <v>2020Vessel 4</v>
      </c>
      <c r="BU8" s="224" t="str">
        <f t="shared" si="8"/>
        <v>2020Vessel 4</v>
      </c>
      <c r="BV8" s="224" t="str">
        <f t="shared" si="8"/>
        <v>2020Vessel 4</v>
      </c>
      <c r="BW8" s="224" t="str">
        <f t="shared" si="8"/>
        <v>2020Vessel 4</v>
      </c>
      <c r="BX8" s="224" t="str">
        <f t="shared" si="8"/>
        <v>2020Vessel 4</v>
      </c>
      <c r="BY8" s="224" t="str">
        <f t="shared" si="8"/>
        <v>2020Vessel 4</v>
      </c>
      <c r="BZ8" s="224" t="str">
        <f t="shared" si="8"/>
        <v>2020Vessel 4</v>
      </c>
      <c r="CA8" s="273"/>
      <c r="CB8" s="273"/>
      <c r="CC8" s="273"/>
      <c r="CD8" s="273"/>
      <c r="CH8" s="269">
        <f>MAX($E8:CG8)+1</f>
        <v>5</v>
      </c>
      <c r="CI8" s="224" t="str">
        <f>CI6&amp;"Vessel "&amp;CH$8</f>
        <v>2020Vessel 5</v>
      </c>
      <c r="CJ8" s="224" t="str">
        <f>CI8</f>
        <v>2020Vessel 5</v>
      </c>
      <c r="CK8" s="224" t="str">
        <f t="shared" ref="CK8:CT22" si="9">CJ8</f>
        <v>2020Vessel 5</v>
      </c>
      <c r="CL8" s="224" t="str">
        <f t="shared" si="9"/>
        <v>2020Vessel 5</v>
      </c>
      <c r="CM8" s="224" t="str">
        <f t="shared" si="9"/>
        <v>2020Vessel 5</v>
      </c>
      <c r="CN8" s="224" t="str">
        <f t="shared" si="9"/>
        <v>2020Vessel 5</v>
      </c>
      <c r="CO8" s="224" t="str">
        <f t="shared" si="9"/>
        <v>2020Vessel 5</v>
      </c>
      <c r="CP8" s="224" t="str">
        <f t="shared" si="9"/>
        <v>2020Vessel 5</v>
      </c>
      <c r="CQ8" s="224" t="str">
        <f t="shared" si="9"/>
        <v>2020Vessel 5</v>
      </c>
      <c r="CR8" s="224" t="str">
        <f t="shared" si="9"/>
        <v>2020Vessel 5</v>
      </c>
      <c r="CS8" s="224" t="str">
        <f t="shared" si="9"/>
        <v>2020Vessel 5</v>
      </c>
      <c r="CT8" s="224" t="str">
        <f t="shared" si="9"/>
        <v>2020Vessel 5</v>
      </c>
      <c r="CU8" s="273"/>
      <c r="CV8" s="273"/>
    </row>
    <row r="9" spans="1:100" x14ac:dyDescent="0.2">
      <c r="D9" s="274" t="s">
        <v>104</v>
      </c>
      <c r="F9" s="107" t="str">
        <f>CHOOSE(F$8,'Vessel Configurator'!$C13,'Vessel Configurator'!$D13,'Vessel Configurator'!$E13,'Vessel Configurator'!$F13,'Vessel Configurator'!$G13)</f>
        <v>Container</v>
      </c>
      <c r="G9" s="6" t="str">
        <f>F9</f>
        <v>Container</v>
      </c>
      <c r="H9" s="6" t="str">
        <f>G9</f>
        <v>Container</v>
      </c>
      <c r="I9" s="6" t="str">
        <f t="shared" ref="I9:I21" si="10">H9</f>
        <v>Container</v>
      </c>
      <c r="J9" s="6" t="str">
        <f t="shared" ref="J9:J21" si="11">I9</f>
        <v>Container</v>
      </c>
      <c r="K9" s="6" t="str">
        <f t="shared" ref="K9:K21" si="12">J9</f>
        <v>Container</v>
      </c>
      <c r="L9" s="6" t="str">
        <f t="shared" ref="L9:L21" si="13">K9</f>
        <v>Container</v>
      </c>
      <c r="M9" s="6" t="str">
        <f t="shared" ref="M9:M21" si="14">L9</f>
        <v>Container</v>
      </c>
      <c r="N9" s="6" t="str">
        <f t="shared" ref="N9:N21" si="15">M9</f>
        <v>Container</v>
      </c>
      <c r="O9" s="6" t="str">
        <f t="shared" ref="O9:O21" si="16">N9</f>
        <v>Container</v>
      </c>
      <c r="P9" s="6" t="str">
        <f t="shared" ref="P9:P21" si="17">O9</f>
        <v>Container</v>
      </c>
      <c r="Q9" s="6" t="str">
        <f t="shared" ref="Q9:Q21" si="18">P9</f>
        <v>Container</v>
      </c>
      <c r="R9" s="6" t="str">
        <f t="shared" ref="R9:R21" si="19">Q9</f>
        <v>Container</v>
      </c>
      <c r="X9" s="274" t="s">
        <v>104</v>
      </c>
      <c r="Z9" s="107" t="str">
        <f>CHOOSE(Z$8,'Vessel Configurator'!$C13,'Vessel Configurator'!$D13,'Vessel Configurator'!$E13,'Vessel Configurator'!$F13,'Vessel Configurator'!$G13)</f>
        <v>Container</v>
      </c>
      <c r="AA9" s="6" t="str">
        <f>Z9</f>
        <v>Container</v>
      </c>
      <c r="AB9" s="6" t="str">
        <f>AA9</f>
        <v>Container</v>
      </c>
      <c r="AC9" s="6" t="str">
        <f t="shared" si="6"/>
        <v>Container</v>
      </c>
      <c r="AD9" s="6" t="str">
        <f t="shared" si="6"/>
        <v>Container</v>
      </c>
      <c r="AE9" s="6" t="str">
        <f t="shared" si="6"/>
        <v>Container</v>
      </c>
      <c r="AF9" s="6" t="str">
        <f t="shared" si="6"/>
        <v>Container</v>
      </c>
      <c r="AG9" s="6" t="str">
        <f t="shared" si="6"/>
        <v>Container</v>
      </c>
      <c r="AH9" s="6" t="str">
        <f t="shared" si="6"/>
        <v>Container</v>
      </c>
      <c r="AI9" s="6" t="str">
        <f t="shared" si="6"/>
        <v>Container</v>
      </c>
      <c r="AJ9" s="6" t="str">
        <f t="shared" si="6"/>
        <v>Container</v>
      </c>
      <c r="AK9" s="6" t="str">
        <f t="shared" si="6"/>
        <v>Container</v>
      </c>
      <c r="AL9" s="6" t="str">
        <f t="shared" si="6"/>
        <v>Container</v>
      </c>
      <c r="AR9" s="274" t="s">
        <v>104</v>
      </c>
      <c r="AT9" s="107" t="str">
        <f>CHOOSE(AT$8,'Vessel Configurator'!$C13,'Vessel Configurator'!$D13,'Vessel Configurator'!$E13,'Vessel Configurator'!$F13,'Vessel Configurator'!$G13)</f>
        <v>Container</v>
      </c>
      <c r="AU9" s="6" t="str">
        <f>AT9</f>
        <v>Container</v>
      </c>
      <c r="AV9" s="6" t="str">
        <f>AU9</f>
        <v>Container</v>
      </c>
      <c r="AW9" s="6" t="str">
        <f t="shared" si="7"/>
        <v>Container</v>
      </c>
      <c r="AX9" s="6" t="str">
        <f t="shared" si="7"/>
        <v>Container</v>
      </c>
      <c r="AY9" s="6" t="str">
        <f t="shared" si="7"/>
        <v>Container</v>
      </c>
      <c r="AZ9" s="6" t="str">
        <f t="shared" si="7"/>
        <v>Container</v>
      </c>
      <c r="BA9" s="6" t="str">
        <f t="shared" si="7"/>
        <v>Container</v>
      </c>
      <c r="BB9" s="6" t="str">
        <f t="shared" si="7"/>
        <v>Container</v>
      </c>
      <c r="BC9" s="6" t="str">
        <f t="shared" si="7"/>
        <v>Container</v>
      </c>
      <c r="BD9" s="6" t="str">
        <f t="shared" si="7"/>
        <v>Container</v>
      </c>
      <c r="BE9" s="6" t="str">
        <f t="shared" si="7"/>
        <v>Container</v>
      </c>
      <c r="BF9" s="6" t="str">
        <f t="shared" si="7"/>
        <v>Container</v>
      </c>
      <c r="BG9" s="6"/>
      <c r="BH9" s="6"/>
      <c r="BL9" s="274" t="s">
        <v>104</v>
      </c>
      <c r="BN9" s="107" t="str">
        <f>CHOOSE(BN$8,'Vessel Configurator'!$C13,'Vessel Configurator'!$D13,'Vessel Configurator'!$E13,'Vessel Configurator'!$F13,'Vessel Configurator'!$G13)</f>
        <v>Container</v>
      </c>
      <c r="BO9" s="6" t="str">
        <f>BN9</f>
        <v>Container</v>
      </c>
      <c r="BP9" s="6" t="str">
        <f>BO9</f>
        <v>Container</v>
      </c>
      <c r="BQ9" s="6" t="str">
        <f t="shared" si="8"/>
        <v>Container</v>
      </c>
      <c r="BR9" s="6" t="str">
        <f t="shared" si="8"/>
        <v>Container</v>
      </c>
      <c r="BS9" s="6" t="str">
        <f t="shared" si="8"/>
        <v>Container</v>
      </c>
      <c r="BT9" s="6" t="str">
        <f t="shared" si="8"/>
        <v>Container</v>
      </c>
      <c r="BU9" s="6" t="str">
        <f t="shared" si="8"/>
        <v>Container</v>
      </c>
      <c r="BV9" s="6" t="str">
        <f t="shared" si="8"/>
        <v>Container</v>
      </c>
      <c r="BW9" s="6" t="str">
        <f t="shared" si="8"/>
        <v>Container</v>
      </c>
      <c r="BX9" s="6" t="str">
        <f t="shared" si="8"/>
        <v>Container</v>
      </c>
      <c r="BY9" s="6" t="str">
        <f t="shared" si="8"/>
        <v>Container</v>
      </c>
      <c r="BZ9" s="6" t="str">
        <f t="shared" si="8"/>
        <v>Container</v>
      </c>
      <c r="CA9" s="6"/>
      <c r="CB9" s="6"/>
      <c r="CF9" s="274" t="s">
        <v>104</v>
      </c>
      <c r="CH9" s="107" t="str">
        <f>CHOOSE(CH$8,'Vessel Configurator'!$C13,'Vessel Configurator'!$D13,'Vessel Configurator'!$E13,'Vessel Configurator'!$F13,'Vessel Configurator'!$G13)</f>
        <v>Container</v>
      </c>
      <c r="CI9" s="6" t="str">
        <f>CH9</f>
        <v>Container</v>
      </c>
      <c r="CJ9" s="6" t="str">
        <f>CI9</f>
        <v>Container</v>
      </c>
      <c r="CK9" s="6" t="str">
        <f t="shared" si="9"/>
        <v>Container</v>
      </c>
      <c r="CL9" s="6" t="str">
        <f t="shared" si="9"/>
        <v>Container</v>
      </c>
      <c r="CM9" s="6" t="str">
        <f t="shared" si="9"/>
        <v>Container</v>
      </c>
      <c r="CN9" s="6" t="str">
        <f t="shared" si="9"/>
        <v>Container</v>
      </c>
      <c r="CO9" s="6" t="str">
        <f t="shared" si="9"/>
        <v>Container</v>
      </c>
      <c r="CP9" s="6" t="str">
        <f t="shared" si="9"/>
        <v>Container</v>
      </c>
      <c r="CQ9" s="6" t="str">
        <f t="shared" si="9"/>
        <v>Container</v>
      </c>
      <c r="CR9" s="6" t="str">
        <f t="shared" si="9"/>
        <v>Container</v>
      </c>
      <c r="CS9" s="6" t="str">
        <f t="shared" si="9"/>
        <v>Container</v>
      </c>
      <c r="CT9" s="6" t="str">
        <f t="shared" si="9"/>
        <v>Container</v>
      </c>
      <c r="CU9" s="6"/>
      <c r="CV9" s="6"/>
    </row>
    <row r="10" spans="1:100" x14ac:dyDescent="0.2">
      <c r="D10" s="275" t="s">
        <v>106</v>
      </c>
      <c r="F10" s="107" t="str">
        <f>CHOOSE(F$8,'Vessel Configurator'!$C14,'Vessel Configurator'!$D14,'Vessel Configurator'!$E14,'Vessel Configurator'!$F14,'Vessel Configurator'!$G14)</f>
        <v>Medium</v>
      </c>
      <c r="G10" s="6" t="str">
        <f t="shared" ref="G10:G21" si="20">F10</f>
        <v>Medium</v>
      </c>
      <c r="H10" s="6" t="str">
        <f t="shared" ref="H10:H21" si="21">G10</f>
        <v>Medium</v>
      </c>
      <c r="I10" s="6" t="str">
        <f t="shared" si="10"/>
        <v>Medium</v>
      </c>
      <c r="J10" s="6" t="str">
        <f t="shared" si="11"/>
        <v>Medium</v>
      </c>
      <c r="K10" s="6" t="str">
        <f t="shared" si="12"/>
        <v>Medium</v>
      </c>
      <c r="L10" s="6" t="str">
        <f t="shared" si="13"/>
        <v>Medium</v>
      </c>
      <c r="M10" s="6" t="str">
        <f t="shared" si="14"/>
        <v>Medium</v>
      </c>
      <c r="N10" s="6" t="str">
        <f t="shared" si="15"/>
        <v>Medium</v>
      </c>
      <c r="O10" s="6" t="str">
        <f t="shared" si="16"/>
        <v>Medium</v>
      </c>
      <c r="P10" s="6" t="str">
        <f t="shared" si="17"/>
        <v>Medium</v>
      </c>
      <c r="Q10" s="6" t="str">
        <f t="shared" si="18"/>
        <v>Medium</v>
      </c>
      <c r="R10" s="6" t="str">
        <f t="shared" si="19"/>
        <v>Medium</v>
      </c>
      <c r="X10" s="275" t="s">
        <v>106</v>
      </c>
      <c r="Z10" s="107" t="str">
        <f>CHOOSE(Z$8,'Vessel Configurator'!$C14,'Vessel Configurator'!$D14,'Vessel Configurator'!$E14,'Vessel Configurator'!$F14,'Vessel Configurator'!$G14)</f>
        <v>Medium</v>
      </c>
      <c r="AA10" s="6" t="str">
        <f t="shared" ref="AA10:AA22" si="22">Z10</f>
        <v>Medium</v>
      </c>
      <c r="AB10" s="6" t="str">
        <f t="shared" ref="AB10:AB22" si="23">AA10</f>
        <v>Medium</v>
      </c>
      <c r="AC10" s="6" t="str">
        <f t="shared" si="6"/>
        <v>Medium</v>
      </c>
      <c r="AD10" s="6" t="str">
        <f t="shared" si="6"/>
        <v>Medium</v>
      </c>
      <c r="AE10" s="6" t="str">
        <f t="shared" si="6"/>
        <v>Medium</v>
      </c>
      <c r="AF10" s="6" t="str">
        <f t="shared" si="6"/>
        <v>Medium</v>
      </c>
      <c r="AG10" s="6" t="str">
        <f t="shared" si="6"/>
        <v>Medium</v>
      </c>
      <c r="AH10" s="6" t="str">
        <f t="shared" si="6"/>
        <v>Medium</v>
      </c>
      <c r="AI10" s="6" t="str">
        <f t="shared" si="6"/>
        <v>Medium</v>
      </c>
      <c r="AJ10" s="6" t="str">
        <f t="shared" si="6"/>
        <v>Medium</v>
      </c>
      <c r="AK10" s="6" t="str">
        <f t="shared" si="6"/>
        <v>Medium</v>
      </c>
      <c r="AL10" s="6" t="str">
        <f t="shared" si="6"/>
        <v>Medium</v>
      </c>
      <c r="AR10" s="275" t="s">
        <v>106</v>
      </c>
      <c r="AT10" s="107" t="str">
        <f>CHOOSE(AT$8,'Vessel Configurator'!$C14,'Vessel Configurator'!$D14,'Vessel Configurator'!$E14,'Vessel Configurator'!$F14,'Vessel Configurator'!$G14)</f>
        <v>Medium</v>
      </c>
      <c r="AU10" s="6" t="str">
        <f t="shared" ref="AU10:AU22" si="24">AT10</f>
        <v>Medium</v>
      </c>
      <c r="AV10" s="6" t="str">
        <f t="shared" ref="AV10:AV22" si="25">AU10</f>
        <v>Medium</v>
      </c>
      <c r="AW10" s="6" t="str">
        <f t="shared" si="7"/>
        <v>Medium</v>
      </c>
      <c r="AX10" s="6" t="str">
        <f t="shared" si="7"/>
        <v>Medium</v>
      </c>
      <c r="AY10" s="6" t="str">
        <f t="shared" si="7"/>
        <v>Medium</v>
      </c>
      <c r="AZ10" s="6" t="str">
        <f t="shared" si="7"/>
        <v>Medium</v>
      </c>
      <c r="BA10" s="6" t="str">
        <f t="shared" si="7"/>
        <v>Medium</v>
      </c>
      <c r="BB10" s="6" t="str">
        <f t="shared" si="7"/>
        <v>Medium</v>
      </c>
      <c r="BC10" s="6" t="str">
        <f t="shared" si="7"/>
        <v>Medium</v>
      </c>
      <c r="BD10" s="6" t="str">
        <f t="shared" si="7"/>
        <v>Medium</v>
      </c>
      <c r="BE10" s="6" t="str">
        <f t="shared" si="7"/>
        <v>Medium</v>
      </c>
      <c r="BF10" s="6" t="str">
        <f t="shared" si="7"/>
        <v>Medium</v>
      </c>
      <c r="BG10" s="6"/>
      <c r="BH10" s="6"/>
      <c r="BL10" s="275" t="s">
        <v>106</v>
      </c>
      <c r="BN10" s="107" t="str">
        <f>CHOOSE(BN$8,'Vessel Configurator'!$C14,'Vessel Configurator'!$D14,'Vessel Configurator'!$E14,'Vessel Configurator'!$F14,'Vessel Configurator'!$G14)</f>
        <v>Medium</v>
      </c>
      <c r="BO10" s="6" t="str">
        <f t="shared" ref="BO10:BO22" si="26">BN10</f>
        <v>Medium</v>
      </c>
      <c r="BP10" s="6" t="str">
        <f t="shared" ref="BP10:BP22" si="27">BO10</f>
        <v>Medium</v>
      </c>
      <c r="BQ10" s="6" t="str">
        <f t="shared" si="8"/>
        <v>Medium</v>
      </c>
      <c r="BR10" s="6" t="str">
        <f t="shared" si="8"/>
        <v>Medium</v>
      </c>
      <c r="BS10" s="6" t="str">
        <f t="shared" si="8"/>
        <v>Medium</v>
      </c>
      <c r="BT10" s="6" t="str">
        <f t="shared" si="8"/>
        <v>Medium</v>
      </c>
      <c r="BU10" s="6" t="str">
        <f t="shared" si="8"/>
        <v>Medium</v>
      </c>
      <c r="BV10" s="6" t="str">
        <f t="shared" si="8"/>
        <v>Medium</v>
      </c>
      <c r="BW10" s="6" t="str">
        <f t="shared" si="8"/>
        <v>Medium</v>
      </c>
      <c r="BX10" s="6" t="str">
        <f t="shared" si="8"/>
        <v>Medium</v>
      </c>
      <c r="BY10" s="6" t="str">
        <f t="shared" si="8"/>
        <v>Medium</v>
      </c>
      <c r="BZ10" s="6" t="str">
        <f t="shared" si="8"/>
        <v>Medium</v>
      </c>
      <c r="CA10" s="6"/>
      <c r="CB10" s="6"/>
      <c r="CF10" s="275" t="s">
        <v>106</v>
      </c>
      <c r="CH10" s="107" t="str">
        <f>CHOOSE(CH$8,'Vessel Configurator'!$C14,'Vessel Configurator'!$D14,'Vessel Configurator'!$E14,'Vessel Configurator'!$F14,'Vessel Configurator'!$G14)</f>
        <v>Medium</v>
      </c>
      <c r="CI10" s="6" t="str">
        <f t="shared" ref="CI10:CI22" si="28">CH10</f>
        <v>Medium</v>
      </c>
      <c r="CJ10" s="6" t="str">
        <f t="shared" ref="CJ10:CJ22" si="29">CI10</f>
        <v>Medium</v>
      </c>
      <c r="CK10" s="6" t="str">
        <f t="shared" si="9"/>
        <v>Medium</v>
      </c>
      <c r="CL10" s="6" t="str">
        <f t="shared" si="9"/>
        <v>Medium</v>
      </c>
      <c r="CM10" s="6" t="str">
        <f t="shared" si="9"/>
        <v>Medium</v>
      </c>
      <c r="CN10" s="6" t="str">
        <f t="shared" si="9"/>
        <v>Medium</v>
      </c>
      <c r="CO10" s="6" t="str">
        <f t="shared" si="9"/>
        <v>Medium</v>
      </c>
      <c r="CP10" s="6" t="str">
        <f t="shared" si="9"/>
        <v>Medium</v>
      </c>
      <c r="CQ10" s="6" t="str">
        <f t="shared" si="9"/>
        <v>Medium</v>
      </c>
      <c r="CR10" s="6" t="str">
        <f t="shared" si="9"/>
        <v>Medium</v>
      </c>
      <c r="CS10" s="6" t="str">
        <f t="shared" si="9"/>
        <v>Medium</v>
      </c>
      <c r="CT10" s="6" t="str">
        <f t="shared" si="9"/>
        <v>Medium</v>
      </c>
      <c r="CU10" s="6"/>
      <c r="CV10" s="6"/>
    </row>
    <row r="11" spans="1:100" x14ac:dyDescent="0.2">
      <c r="D11" s="275" t="s">
        <v>108</v>
      </c>
      <c r="F11" s="107" t="str">
        <f>CHOOSE(F$8,'Vessel Configurator'!$C15,'Vessel Configurator'!$D15,'Vessel Configurator'!$E15,'Vessel Configurator'!$F15,'Vessel Configurator'!$G15)</f>
        <v>Global</v>
      </c>
      <c r="G11" s="6" t="str">
        <f t="shared" si="20"/>
        <v>Global</v>
      </c>
      <c r="H11" s="6" t="str">
        <f t="shared" si="21"/>
        <v>Global</v>
      </c>
      <c r="I11" s="6" t="str">
        <f t="shared" si="10"/>
        <v>Global</v>
      </c>
      <c r="J11" s="6" t="str">
        <f t="shared" si="11"/>
        <v>Global</v>
      </c>
      <c r="K11" s="6" t="str">
        <f t="shared" si="12"/>
        <v>Global</v>
      </c>
      <c r="L11" s="6" t="str">
        <f t="shared" si="13"/>
        <v>Global</v>
      </c>
      <c r="M11" s="6" t="str">
        <f t="shared" si="14"/>
        <v>Global</v>
      </c>
      <c r="N11" s="6" t="str">
        <f t="shared" si="15"/>
        <v>Global</v>
      </c>
      <c r="O11" s="6" t="str">
        <f t="shared" si="16"/>
        <v>Global</v>
      </c>
      <c r="P11" s="6" t="str">
        <f t="shared" si="17"/>
        <v>Global</v>
      </c>
      <c r="Q11" s="6" t="str">
        <f t="shared" si="18"/>
        <v>Global</v>
      </c>
      <c r="R11" s="6" t="str">
        <f t="shared" si="19"/>
        <v>Global</v>
      </c>
      <c r="X11" s="275" t="s">
        <v>108</v>
      </c>
      <c r="Z11" s="107" t="str">
        <f>CHOOSE(Z$8,'Vessel Configurator'!$C15,'Vessel Configurator'!$D15,'Vessel Configurator'!$E15,'Vessel Configurator'!$F15,'Vessel Configurator'!$G15)</f>
        <v>Global</v>
      </c>
      <c r="AA11" s="6" t="str">
        <f t="shared" si="22"/>
        <v>Global</v>
      </c>
      <c r="AB11" s="6" t="str">
        <f t="shared" si="23"/>
        <v>Global</v>
      </c>
      <c r="AC11" s="6" t="str">
        <f t="shared" si="6"/>
        <v>Global</v>
      </c>
      <c r="AD11" s="6" t="str">
        <f t="shared" si="6"/>
        <v>Global</v>
      </c>
      <c r="AE11" s="6" t="str">
        <f t="shared" si="6"/>
        <v>Global</v>
      </c>
      <c r="AF11" s="6" t="str">
        <f t="shared" si="6"/>
        <v>Global</v>
      </c>
      <c r="AG11" s="6" t="str">
        <f t="shared" si="6"/>
        <v>Global</v>
      </c>
      <c r="AH11" s="6" t="str">
        <f t="shared" si="6"/>
        <v>Global</v>
      </c>
      <c r="AI11" s="6" t="str">
        <f t="shared" si="6"/>
        <v>Global</v>
      </c>
      <c r="AJ11" s="6" t="str">
        <f t="shared" si="6"/>
        <v>Global</v>
      </c>
      <c r="AK11" s="6" t="str">
        <f t="shared" si="6"/>
        <v>Global</v>
      </c>
      <c r="AL11" s="6" t="str">
        <f t="shared" si="6"/>
        <v>Global</v>
      </c>
      <c r="AR11" s="275" t="s">
        <v>108</v>
      </c>
      <c r="AT11" s="107" t="str">
        <f>CHOOSE(AT$8,'Vessel Configurator'!$C15,'Vessel Configurator'!$D15,'Vessel Configurator'!$E15,'Vessel Configurator'!$F15,'Vessel Configurator'!$G15)</f>
        <v>Global</v>
      </c>
      <c r="AU11" s="6" t="str">
        <f t="shared" si="24"/>
        <v>Global</v>
      </c>
      <c r="AV11" s="6" t="str">
        <f t="shared" si="25"/>
        <v>Global</v>
      </c>
      <c r="AW11" s="6" t="str">
        <f t="shared" si="7"/>
        <v>Global</v>
      </c>
      <c r="AX11" s="6" t="str">
        <f t="shared" si="7"/>
        <v>Global</v>
      </c>
      <c r="AY11" s="6" t="str">
        <f t="shared" si="7"/>
        <v>Global</v>
      </c>
      <c r="AZ11" s="6" t="str">
        <f t="shared" si="7"/>
        <v>Global</v>
      </c>
      <c r="BA11" s="6" t="str">
        <f t="shared" si="7"/>
        <v>Global</v>
      </c>
      <c r="BB11" s="6" t="str">
        <f t="shared" si="7"/>
        <v>Global</v>
      </c>
      <c r="BC11" s="6" t="str">
        <f t="shared" si="7"/>
        <v>Global</v>
      </c>
      <c r="BD11" s="6" t="str">
        <f t="shared" si="7"/>
        <v>Global</v>
      </c>
      <c r="BE11" s="6" t="str">
        <f t="shared" si="7"/>
        <v>Global</v>
      </c>
      <c r="BF11" s="6" t="str">
        <f t="shared" si="7"/>
        <v>Global</v>
      </c>
      <c r="BG11" s="6"/>
      <c r="BH11" s="6"/>
      <c r="BL11" s="275" t="s">
        <v>108</v>
      </c>
      <c r="BN11" s="107" t="str">
        <f>CHOOSE(BN$8,'Vessel Configurator'!$C15,'Vessel Configurator'!$D15,'Vessel Configurator'!$E15,'Vessel Configurator'!$F15,'Vessel Configurator'!$G15)</f>
        <v>Global</v>
      </c>
      <c r="BO11" s="6" t="str">
        <f t="shared" si="26"/>
        <v>Global</v>
      </c>
      <c r="BP11" s="6" t="str">
        <f t="shared" si="27"/>
        <v>Global</v>
      </c>
      <c r="BQ11" s="6" t="str">
        <f t="shared" si="8"/>
        <v>Global</v>
      </c>
      <c r="BR11" s="6" t="str">
        <f t="shared" si="8"/>
        <v>Global</v>
      </c>
      <c r="BS11" s="6" t="str">
        <f t="shared" si="8"/>
        <v>Global</v>
      </c>
      <c r="BT11" s="6" t="str">
        <f t="shared" si="8"/>
        <v>Global</v>
      </c>
      <c r="BU11" s="6" t="str">
        <f t="shared" si="8"/>
        <v>Global</v>
      </c>
      <c r="BV11" s="6" t="str">
        <f t="shared" si="8"/>
        <v>Global</v>
      </c>
      <c r="BW11" s="6" t="str">
        <f t="shared" si="8"/>
        <v>Global</v>
      </c>
      <c r="BX11" s="6" t="str">
        <f t="shared" si="8"/>
        <v>Global</v>
      </c>
      <c r="BY11" s="6" t="str">
        <f t="shared" si="8"/>
        <v>Global</v>
      </c>
      <c r="BZ11" s="6" t="str">
        <f t="shared" si="8"/>
        <v>Global</v>
      </c>
      <c r="CA11" s="6"/>
      <c r="CB11" s="6"/>
      <c r="CF11" s="275" t="s">
        <v>108</v>
      </c>
      <c r="CH11" s="107" t="str">
        <f>CHOOSE(CH$8,'Vessel Configurator'!$C15,'Vessel Configurator'!$D15,'Vessel Configurator'!$E15,'Vessel Configurator'!$F15,'Vessel Configurator'!$G15)</f>
        <v>Global</v>
      </c>
      <c r="CI11" s="6" t="str">
        <f t="shared" si="28"/>
        <v>Global</v>
      </c>
      <c r="CJ11" s="6" t="str">
        <f t="shared" si="29"/>
        <v>Global</v>
      </c>
      <c r="CK11" s="6" t="str">
        <f t="shared" si="9"/>
        <v>Global</v>
      </c>
      <c r="CL11" s="6" t="str">
        <f t="shared" si="9"/>
        <v>Global</v>
      </c>
      <c r="CM11" s="6" t="str">
        <f t="shared" si="9"/>
        <v>Global</v>
      </c>
      <c r="CN11" s="6" t="str">
        <f t="shared" si="9"/>
        <v>Global</v>
      </c>
      <c r="CO11" s="6" t="str">
        <f t="shared" si="9"/>
        <v>Global</v>
      </c>
      <c r="CP11" s="6" t="str">
        <f t="shared" si="9"/>
        <v>Global</v>
      </c>
      <c r="CQ11" s="6" t="str">
        <f t="shared" si="9"/>
        <v>Global</v>
      </c>
      <c r="CR11" s="6" t="str">
        <f t="shared" si="9"/>
        <v>Global</v>
      </c>
      <c r="CS11" s="6" t="str">
        <f t="shared" si="9"/>
        <v>Global</v>
      </c>
      <c r="CT11" s="6" t="str">
        <f t="shared" si="9"/>
        <v>Global</v>
      </c>
      <c r="CU11" s="6"/>
      <c r="CV11" s="6"/>
    </row>
    <row r="12" spans="1:100" x14ac:dyDescent="0.2">
      <c r="D12" s="275" t="s">
        <v>258</v>
      </c>
      <c r="F12" s="107">
        <f>INDEX('Vessel Profiles - Input'!$G$17:$L$17,1,MATCH(F$9,'Vessel Profiles - Input'!$G$3:$L$3,0))</f>
        <v>18</v>
      </c>
      <c r="G12" s="6">
        <f t="shared" si="20"/>
        <v>18</v>
      </c>
      <c r="H12" s="6">
        <f t="shared" si="21"/>
        <v>18</v>
      </c>
      <c r="I12" s="6">
        <f t="shared" si="10"/>
        <v>18</v>
      </c>
      <c r="J12" s="6">
        <f t="shared" si="11"/>
        <v>18</v>
      </c>
      <c r="K12" s="6">
        <f t="shared" si="12"/>
        <v>18</v>
      </c>
      <c r="L12" s="6">
        <f t="shared" si="13"/>
        <v>18</v>
      </c>
      <c r="M12" s="6">
        <f t="shared" si="14"/>
        <v>18</v>
      </c>
      <c r="N12" s="6">
        <f t="shared" si="15"/>
        <v>18</v>
      </c>
      <c r="O12" s="6">
        <f t="shared" si="16"/>
        <v>18</v>
      </c>
      <c r="P12" s="6">
        <f t="shared" si="17"/>
        <v>18</v>
      </c>
      <c r="Q12" s="6">
        <f t="shared" si="18"/>
        <v>18</v>
      </c>
      <c r="R12" s="6">
        <f t="shared" si="19"/>
        <v>18</v>
      </c>
      <c r="X12" s="275" t="s">
        <v>258</v>
      </c>
      <c r="Z12" s="107">
        <f>INDEX('Vessel Profiles - Input'!$G$17:$L$17,1,MATCH(Z$9,'Vessel Profiles - Input'!$G$3:$L$3,0))</f>
        <v>18</v>
      </c>
      <c r="AA12" s="6">
        <f t="shared" si="22"/>
        <v>18</v>
      </c>
      <c r="AB12" s="6">
        <f t="shared" si="23"/>
        <v>18</v>
      </c>
      <c r="AC12" s="6">
        <f t="shared" si="6"/>
        <v>18</v>
      </c>
      <c r="AD12" s="6">
        <f t="shared" si="6"/>
        <v>18</v>
      </c>
      <c r="AE12" s="6">
        <f t="shared" si="6"/>
        <v>18</v>
      </c>
      <c r="AF12" s="6">
        <f t="shared" si="6"/>
        <v>18</v>
      </c>
      <c r="AG12" s="6">
        <f t="shared" si="6"/>
        <v>18</v>
      </c>
      <c r="AH12" s="6">
        <f t="shared" si="6"/>
        <v>18</v>
      </c>
      <c r="AI12" s="6">
        <f t="shared" si="6"/>
        <v>18</v>
      </c>
      <c r="AJ12" s="6">
        <f t="shared" si="6"/>
        <v>18</v>
      </c>
      <c r="AK12" s="6">
        <f t="shared" si="6"/>
        <v>18</v>
      </c>
      <c r="AL12" s="6">
        <f t="shared" si="6"/>
        <v>18</v>
      </c>
      <c r="AR12" s="275" t="s">
        <v>258</v>
      </c>
      <c r="AT12" s="107">
        <f>INDEX('Vessel Profiles - Input'!$G$17:$L$17,1,MATCH(AT$9,'Vessel Profiles - Input'!$G$3:$L$3,0))</f>
        <v>18</v>
      </c>
      <c r="AU12" s="6">
        <f t="shared" si="24"/>
        <v>18</v>
      </c>
      <c r="AV12" s="6">
        <f t="shared" si="25"/>
        <v>18</v>
      </c>
      <c r="AW12" s="6">
        <f t="shared" si="7"/>
        <v>18</v>
      </c>
      <c r="AX12" s="6">
        <f t="shared" si="7"/>
        <v>18</v>
      </c>
      <c r="AY12" s="6">
        <f t="shared" si="7"/>
        <v>18</v>
      </c>
      <c r="AZ12" s="6">
        <f t="shared" si="7"/>
        <v>18</v>
      </c>
      <c r="BA12" s="6">
        <f t="shared" si="7"/>
        <v>18</v>
      </c>
      <c r="BB12" s="6">
        <f t="shared" si="7"/>
        <v>18</v>
      </c>
      <c r="BC12" s="6">
        <f t="shared" si="7"/>
        <v>18</v>
      </c>
      <c r="BD12" s="6">
        <f t="shared" si="7"/>
        <v>18</v>
      </c>
      <c r="BE12" s="6">
        <f t="shared" si="7"/>
        <v>18</v>
      </c>
      <c r="BF12" s="6">
        <f t="shared" si="7"/>
        <v>18</v>
      </c>
      <c r="BG12" s="6"/>
      <c r="BH12" s="6"/>
      <c r="BL12" s="275" t="s">
        <v>258</v>
      </c>
      <c r="BN12" s="107">
        <f>INDEX('Vessel Profiles - Input'!$G$17:$L$17,1,MATCH(BN$9,'Vessel Profiles - Input'!$G$3:$L$3,0))</f>
        <v>18</v>
      </c>
      <c r="BO12" s="6">
        <f t="shared" si="26"/>
        <v>18</v>
      </c>
      <c r="BP12" s="6">
        <f t="shared" si="27"/>
        <v>18</v>
      </c>
      <c r="BQ12" s="6">
        <f t="shared" si="8"/>
        <v>18</v>
      </c>
      <c r="BR12" s="6">
        <f t="shared" si="8"/>
        <v>18</v>
      </c>
      <c r="BS12" s="6">
        <f t="shared" si="8"/>
        <v>18</v>
      </c>
      <c r="BT12" s="6">
        <f t="shared" si="8"/>
        <v>18</v>
      </c>
      <c r="BU12" s="6">
        <f t="shared" si="8"/>
        <v>18</v>
      </c>
      <c r="BV12" s="6">
        <f t="shared" si="8"/>
        <v>18</v>
      </c>
      <c r="BW12" s="6">
        <f t="shared" si="8"/>
        <v>18</v>
      </c>
      <c r="BX12" s="6">
        <f t="shared" si="8"/>
        <v>18</v>
      </c>
      <c r="BY12" s="6">
        <f t="shared" si="8"/>
        <v>18</v>
      </c>
      <c r="BZ12" s="6">
        <f t="shared" si="8"/>
        <v>18</v>
      </c>
      <c r="CA12" s="6"/>
      <c r="CB12" s="6"/>
      <c r="CF12" s="275" t="s">
        <v>258</v>
      </c>
      <c r="CH12" s="107">
        <f>INDEX('Vessel Profiles - Input'!$G$17:$L$17,1,MATCH(CH$9,'Vessel Profiles - Input'!$G$3:$L$3,0))</f>
        <v>18</v>
      </c>
      <c r="CI12" s="6">
        <f t="shared" si="28"/>
        <v>18</v>
      </c>
      <c r="CJ12" s="6">
        <f t="shared" si="29"/>
        <v>18</v>
      </c>
      <c r="CK12" s="6">
        <f t="shared" si="9"/>
        <v>18</v>
      </c>
      <c r="CL12" s="6">
        <f t="shared" si="9"/>
        <v>18</v>
      </c>
      <c r="CM12" s="6">
        <f t="shared" si="9"/>
        <v>18</v>
      </c>
      <c r="CN12" s="6">
        <f t="shared" si="9"/>
        <v>18</v>
      </c>
      <c r="CO12" s="6">
        <f t="shared" si="9"/>
        <v>18</v>
      </c>
      <c r="CP12" s="6">
        <f t="shared" si="9"/>
        <v>18</v>
      </c>
      <c r="CQ12" s="6">
        <f t="shared" si="9"/>
        <v>18</v>
      </c>
      <c r="CR12" s="6">
        <f t="shared" si="9"/>
        <v>18</v>
      </c>
      <c r="CS12" s="6">
        <f t="shared" si="9"/>
        <v>18</v>
      </c>
      <c r="CT12" s="6">
        <f t="shared" si="9"/>
        <v>18</v>
      </c>
      <c r="CU12" s="6"/>
      <c r="CV12" s="6"/>
    </row>
    <row r="13" spans="1:100" x14ac:dyDescent="0.2">
      <c r="D13" s="276" t="s">
        <v>110</v>
      </c>
      <c r="F13" s="107">
        <f>CHOOSE(F$8,'Vessel Configurator'!$C16,'Vessel Configurator'!$D16,'Vessel Configurator'!$E16,'Vessel Configurator'!$F16,'Vessel Configurator'!$G16)</f>
        <v>0</v>
      </c>
      <c r="G13" s="6">
        <f t="shared" si="20"/>
        <v>0</v>
      </c>
      <c r="H13" s="6">
        <f t="shared" si="21"/>
        <v>0</v>
      </c>
      <c r="I13" s="6">
        <f t="shared" si="10"/>
        <v>0</v>
      </c>
      <c r="J13" s="6">
        <f t="shared" si="11"/>
        <v>0</v>
      </c>
      <c r="K13" s="6">
        <f t="shared" si="12"/>
        <v>0</v>
      </c>
      <c r="L13" s="6">
        <f t="shared" si="13"/>
        <v>0</v>
      </c>
      <c r="M13" s="6">
        <f t="shared" si="14"/>
        <v>0</v>
      </c>
      <c r="N13" s="6">
        <f t="shared" si="15"/>
        <v>0</v>
      </c>
      <c r="O13" s="6">
        <f t="shared" si="16"/>
        <v>0</v>
      </c>
      <c r="P13" s="6">
        <f t="shared" si="17"/>
        <v>0</v>
      </c>
      <c r="Q13" s="6">
        <f t="shared" si="18"/>
        <v>0</v>
      </c>
      <c r="R13" s="6">
        <f t="shared" si="19"/>
        <v>0</v>
      </c>
      <c r="X13" s="276" t="s">
        <v>110</v>
      </c>
      <c r="Z13" s="107">
        <f>CHOOSE(Z$8,'Vessel Configurator'!$C16,'Vessel Configurator'!$D16,'Vessel Configurator'!$E16,'Vessel Configurator'!$F16,'Vessel Configurator'!$G16)</f>
        <v>0</v>
      </c>
      <c r="AA13" s="6">
        <f t="shared" si="22"/>
        <v>0</v>
      </c>
      <c r="AB13" s="6">
        <f t="shared" si="23"/>
        <v>0</v>
      </c>
      <c r="AC13" s="6">
        <f t="shared" si="6"/>
        <v>0</v>
      </c>
      <c r="AD13" s="6">
        <f t="shared" si="6"/>
        <v>0</v>
      </c>
      <c r="AE13" s="6">
        <f t="shared" si="6"/>
        <v>0</v>
      </c>
      <c r="AF13" s="6">
        <f t="shared" si="6"/>
        <v>0</v>
      </c>
      <c r="AG13" s="6">
        <f t="shared" si="6"/>
        <v>0</v>
      </c>
      <c r="AH13" s="6">
        <f t="shared" si="6"/>
        <v>0</v>
      </c>
      <c r="AI13" s="6">
        <f t="shared" si="6"/>
        <v>0</v>
      </c>
      <c r="AJ13" s="6">
        <f t="shared" si="6"/>
        <v>0</v>
      </c>
      <c r="AK13" s="6">
        <f t="shared" si="6"/>
        <v>0</v>
      </c>
      <c r="AL13" s="6">
        <f t="shared" si="6"/>
        <v>0</v>
      </c>
      <c r="AR13" s="276" t="s">
        <v>110</v>
      </c>
      <c r="AT13" s="107">
        <f>CHOOSE(AT$8,'Vessel Configurator'!$C16,'Vessel Configurator'!$D16,'Vessel Configurator'!$E16,'Vessel Configurator'!$F16,'Vessel Configurator'!$G16)</f>
        <v>0</v>
      </c>
      <c r="AU13" s="6">
        <f t="shared" si="24"/>
        <v>0</v>
      </c>
      <c r="AV13" s="6">
        <f t="shared" si="25"/>
        <v>0</v>
      </c>
      <c r="AW13" s="6">
        <f t="shared" si="7"/>
        <v>0</v>
      </c>
      <c r="AX13" s="6">
        <f t="shared" si="7"/>
        <v>0</v>
      </c>
      <c r="AY13" s="6">
        <f t="shared" si="7"/>
        <v>0</v>
      </c>
      <c r="AZ13" s="6">
        <f t="shared" si="7"/>
        <v>0</v>
      </c>
      <c r="BA13" s="6">
        <f t="shared" si="7"/>
        <v>0</v>
      </c>
      <c r="BB13" s="6">
        <f t="shared" si="7"/>
        <v>0</v>
      </c>
      <c r="BC13" s="6">
        <f t="shared" si="7"/>
        <v>0</v>
      </c>
      <c r="BD13" s="6">
        <f t="shared" si="7"/>
        <v>0</v>
      </c>
      <c r="BE13" s="6">
        <f t="shared" si="7"/>
        <v>0</v>
      </c>
      <c r="BF13" s="6">
        <f t="shared" si="7"/>
        <v>0</v>
      </c>
      <c r="BG13" s="6"/>
      <c r="BH13" s="6"/>
      <c r="BL13" s="276" t="s">
        <v>110</v>
      </c>
      <c r="BN13" s="107">
        <f>CHOOSE(BN$8,'Vessel Configurator'!$C16,'Vessel Configurator'!$D16,'Vessel Configurator'!$E16,'Vessel Configurator'!$F16,'Vessel Configurator'!$G16)</f>
        <v>0</v>
      </c>
      <c r="BO13" s="6">
        <f t="shared" si="26"/>
        <v>0</v>
      </c>
      <c r="BP13" s="6">
        <f t="shared" si="27"/>
        <v>0</v>
      </c>
      <c r="BQ13" s="6">
        <f t="shared" si="8"/>
        <v>0</v>
      </c>
      <c r="BR13" s="6">
        <f t="shared" si="8"/>
        <v>0</v>
      </c>
      <c r="BS13" s="6">
        <f t="shared" si="8"/>
        <v>0</v>
      </c>
      <c r="BT13" s="6">
        <f t="shared" si="8"/>
        <v>0</v>
      </c>
      <c r="BU13" s="6">
        <f t="shared" si="8"/>
        <v>0</v>
      </c>
      <c r="BV13" s="6">
        <f t="shared" si="8"/>
        <v>0</v>
      </c>
      <c r="BW13" s="6">
        <f t="shared" si="8"/>
        <v>0</v>
      </c>
      <c r="BX13" s="6">
        <f t="shared" si="8"/>
        <v>0</v>
      </c>
      <c r="BY13" s="6">
        <f t="shared" si="8"/>
        <v>0</v>
      </c>
      <c r="BZ13" s="6">
        <f t="shared" si="8"/>
        <v>0</v>
      </c>
      <c r="CA13" s="6"/>
      <c r="CB13" s="6"/>
      <c r="CF13" s="276" t="s">
        <v>110</v>
      </c>
      <c r="CH13" s="107">
        <f>CHOOSE(CH$8,'Vessel Configurator'!$C16,'Vessel Configurator'!$D16,'Vessel Configurator'!$E16,'Vessel Configurator'!$F16,'Vessel Configurator'!$G16)</f>
        <v>0</v>
      </c>
      <c r="CI13" s="6">
        <f t="shared" si="28"/>
        <v>0</v>
      </c>
      <c r="CJ13" s="6">
        <f t="shared" si="29"/>
        <v>0</v>
      </c>
      <c r="CK13" s="6">
        <f t="shared" si="9"/>
        <v>0</v>
      </c>
      <c r="CL13" s="6">
        <f t="shared" si="9"/>
        <v>0</v>
      </c>
      <c r="CM13" s="6">
        <f t="shared" si="9"/>
        <v>0</v>
      </c>
      <c r="CN13" s="6">
        <f t="shared" si="9"/>
        <v>0</v>
      </c>
      <c r="CO13" s="6">
        <f t="shared" si="9"/>
        <v>0</v>
      </c>
      <c r="CP13" s="6">
        <f t="shared" si="9"/>
        <v>0</v>
      </c>
      <c r="CQ13" s="6">
        <f t="shared" si="9"/>
        <v>0</v>
      </c>
      <c r="CR13" s="6">
        <f t="shared" si="9"/>
        <v>0</v>
      </c>
      <c r="CS13" s="6">
        <f t="shared" si="9"/>
        <v>0</v>
      </c>
      <c r="CT13" s="6">
        <f t="shared" si="9"/>
        <v>0</v>
      </c>
      <c r="CU13" s="6"/>
      <c r="CV13" s="6"/>
    </row>
    <row r="14" spans="1:100" x14ac:dyDescent="0.2">
      <c r="D14" s="275" t="s">
        <v>111</v>
      </c>
      <c r="F14" s="107" t="str">
        <f>CHOOSE(F$8,'Vessel Configurator'!$C17,'Vessel Configurator'!$D17,'Vessel Configurator'!$E17,'Vessel Configurator'!$F17,'Vessel Configurator'!$G17)</f>
        <v>ICE HFO</v>
      </c>
      <c r="G14" s="6" t="str">
        <f t="shared" si="20"/>
        <v>ICE HFO</v>
      </c>
      <c r="H14" s="6" t="str">
        <f t="shared" si="21"/>
        <v>ICE HFO</v>
      </c>
      <c r="I14" s="6" t="str">
        <f t="shared" si="10"/>
        <v>ICE HFO</v>
      </c>
      <c r="J14" s="6" t="str">
        <f t="shared" si="11"/>
        <v>ICE HFO</v>
      </c>
      <c r="K14" s="6" t="str">
        <f t="shared" si="12"/>
        <v>ICE HFO</v>
      </c>
      <c r="L14" s="6" t="str">
        <f t="shared" si="13"/>
        <v>ICE HFO</v>
      </c>
      <c r="M14" s="6" t="str">
        <f t="shared" si="14"/>
        <v>ICE HFO</v>
      </c>
      <c r="N14" s="6" t="str">
        <f t="shared" si="15"/>
        <v>ICE HFO</v>
      </c>
      <c r="O14" s="6" t="str">
        <f t="shared" si="16"/>
        <v>ICE HFO</v>
      </c>
      <c r="P14" s="6" t="str">
        <f t="shared" si="17"/>
        <v>ICE HFO</v>
      </c>
      <c r="Q14" s="6" t="str">
        <f t="shared" si="18"/>
        <v>ICE HFO</v>
      </c>
      <c r="R14" s="6" t="str">
        <f t="shared" si="19"/>
        <v>ICE HFO</v>
      </c>
      <c r="X14" s="275" t="s">
        <v>111</v>
      </c>
      <c r="Z14" s="107" t="str">
        <f>CHOOSE(Z$8,'Vessel Configurator'!$C17,'Vessel Configurator'!$D17,'Vessel Configurator'!$E17,'Vessel Configurator'!$F17,'Vessel Configurator'!$G17)</f>
        <v>ICE LNG</v>
      </c>
      <c r="AA14" s="6" t="str">
        <f t="shared" si="22"/>
        <v>ICE LNG</v>
      </c>
      <c r="AB14" s="6" t="str">
        <f t="shared" si="23"/>
        <v>ICE LNG</v>
      </c>
      <c r="AC14" s="6" t="str">
        <f t="shared" si="6"/>
        <v>ICE LNG</v>
      </c>
      <c r="AD14" s="6" t="str">
        <f t="shared" si="6"/>
        <v>ICE LNG</v>
      </c>
      <c r="AE14" s="6" t="str">
        <f t="shared" si="6"/>
        <v>ICE LNG</v>
      </c>
      <c r="AF14" s="6" t="str">
        <f t="shared" si="6"/>
        <v>ICE LNG</v>
      </c>
      <c r="AG14" s="6" t="str">
        <f t="shared" si="6"/>
        <v>ICE LNG</v>
      </c>
      <c r="AH14" s="6" t="str">
        <f t="shared" si="6"/>
        <v>ICE LNG</v>
      </c>
      <c r="AI14" s="6" t="str">
        <f t="shared" si="6"/>
        <v>ICE LNG</v>
      </c>
      <c r="AJ14" s="6" t="str">
        <f t="shared" si="6"/>
        <v>ICE LNG</v>
      </c>
      <c r="AK14" s="6" t="str">
        <f t="shared" si="6"/>
        <v>ICE LNG</v>
      </c>
      <c r="AL14" s="6" t="str">
        <f t="shared" si="6"/>
        <v>ICE LNG</v>
      </c>
      <c r="AR14" s="275" t="s">
        <v>111</v>
      </c>
      <c r="AT14" s="107" t="str">
        <f>CHOOSE(AT$8,'Vessel Configurator'!$C17,'Vessel Configurator'!$D17,'Vessel Configurator'!$E17,'Vessel Configurator'!$F17,'Vessel Configurator'!$G17)</f>
        <v>ICE Ammonia</v>
      </c>
      <c r="AU14" s="6" t="str">
        <f t="shared" si="24"/>
        <v>ICE Ammonia</v>
      </c>
      <c r="AV14" s="6" t="str">
        <f t="shared" si="25"/>
        <v>ICE Ammonia</v>
      </c>
      <c r="AW14" s="6" t="str">
        <f t="shared" si="7"/>
        <v>ICE Ammonia</v>
      </c>
      <c r="AX14" s="6" t="str">
        <f t="shared" si="7"/>
        <v>ICE Ammonia</v>
      </c>
      <c r="AY14" s="6" t="str">
        <f t="shared" si="7"/>
        <v>ICE Ammonia</v>
      </c>
      <c r="AZ14" s="6" t="str">
        <f t="shared" si="7"/>
        <v>ICE Ammonia</v>
      </c>
      <c r="BA14" s="6" t="str">
        <f t="shared" si="7"/>
        <v>ICE Ammonia</v>
      </c>
      <c r="BB14" s="6" t="str">
        <f t="shared" si="7"/>
        <v>ICE Ammonia</v>
      </c>
      <c r="BC14" s="6" t="str">
        <f t="shared" si="7"/>
        <v>ICE Ammonia</v>
      </c>
      <c r="BD14" s="6" t="str">
        <f t="shared" si="7"/>
        <v>ICE Ammonia</v>
      </c>
      <c r="BE14" s="6" t="str">
        <f t="shared" si="7"/>
        <v>ICE Ammonia</v>
      </c>
      <c r="BF14" s="6" t="str">
        <f t="shared" si="7"/>
        <v>ICE Ammonia</v>
      </c>
      <c r="BG14" s="6"/>
      <c r="BH14" s="6"/>
      <c r="BL14" s="275" t="s">
        <v>111</v>
      </c>
      <c r="BN14" s="107" t="str">
        <f>CHOOSE(BN$8,'Vessel Configurator'!$C17,'Vessel Configurator'!$D17,'Vessel Configurator'!$E17,'Vessel Configurator'!$F17,'Vessel Configurator'!$G17)</f>
        <v>ICE Ammonia</v>
      </c>
      <c r="BO14" s="6" t="str">
        <f t="shared" si="26"/>
        <v>ICE Ammonia</v>
      </c>
      <c r="BP14" s="6" t="str">
        <f t="shared" si="27"/>
        <v>ICE Ammonia</v>
      </c>
      <c r="BQ14" s="6" t="str">
        <f t="shared" si="8"/>
        <v>ICE Ammonia</v>
      </c>
      <c r="BR14" s="6" t="str">
        <f t="shared" si="8"/>
        <v>ICE Ammonia</v>
      </c>
      <c r="BS14" s="6" t="str">
        <f t="shared" si="8"/>
        <v>ICE Ammonia</v>
      </c>
      <c r="BT14" s="6" t="str">
        <f t="shared" si="8"/>
        <v>ICE Ammonia</v>
      </c>
      <c r="BU14" s="6" t="str">
        <f t="shared" si="8"/>
        <v>ICE Ammonia</v>
      </c>
      <c r="BV14" s="6" t="str">
        <f t="shared" si="8"/>
        <v>ICE Ammonia</v>
      </c>
      <c r="BW14" s="6" t="str">
        <f t="shared" si="8"/>
        <v>ICE Ammonia</v>
      </c>
      <c r="BX14" s="6" t="str">
        <f t="shared" si="8"/>
        <v>ICE Ammonia</v>
      </c>
      <c r="BY14" s="6" t="str">
        <f t="shared" si="8"/>
        <v>ICE Ammonia</v>
      </c>
      <c r="BZ14" s="6" t="str">
        <f t="shared" si="8"/>
        <v>ICE Ammonia</v>
      </c>
      <c r="CA14" s="6"/>
      <c r="CB14" s="6"/>
      <c r="CF14" s="275" t="s">
        <v>111</v>
      </c>
      <c r="CH14" s="107" t="str">
        <f>CHOOSE(CH$8,'Vessel Configurator'!$C17,'Vessel Configurator'!$D17,'Vessel Configurator'!$E17,'Vessel Configurator'!$F17,'Vessel Configurator'!$G17)</f>
        <v>ICE Methanol</v>
      </c>
      <c r="CI14" s="6" t="str">
        <f t="shared" si="28"/>
        <v>ICE Methanol</v>
      </c>
      <c r="CJ14" s="6" t="str">
        <f t="shared" si="29"/>
        <v>ICE Methanol</v>
      </c>
      <c r="CK14" s="6" t="str">
        <f t="shared" si="9"/>
        <v>ICE Methanol</v>
      </c>
      <c r="CL14" s="6" t="str">
        <f t="shared" si="9"/>
        <v>ICE Methanol</v>
      </c>
      <c r="CM14" s="6" t="str">
        <f t="shared" si="9"/>
        <v>ICE Methanol</v>
      </c>
      <c r="CN14" s="6" t="str">
        <f t="shared" si="9"/>
        <v>ICE Methanol</v>
      </c>
      <c r="CO14" s="6" t="str">
        <f t="shared" si="9"/>
        <v>ICE Methanol</v>
      </c>
      <c r="CP14" s="6" t="str">
        <f t="shared" si="9"/>
        <v>ICE Methanol</v>
      </c>
      <c r="CQ14" s="6" t="str">
        <f t="shared" si="9"/>
        <v>ICE Methanol</v>
      </c>
      <c r="CR14" s="6" t="str">
        <f t="shared" si="9"/>
        <v>ICE Methanol</v>
      </c>
      <c r="CS14" s="6" t="str">
        <f t="shared" si="9"/>
        <v>ICE Methanol</v>
      </c>
      <c r="CT14" s="6" t="str">
        <f t="shared" si="9"/>
        <v>ICE Methanol</v>
      </c>
      <c r="CU14" s="6"/>
      <c r="CV14" s="6"/>
    </row>
    <row r="15" spans="1:100" x14ac:dyDescent="0.2">
      <c r="D15" s="277" t="s">
        <v>116</v>
      </c>
      <c r="F15" s="107" t="str">
        <f>CHOOSE(F$8,'Vessel Configurator'!$C18,'Vessel Configurator'!$D18,'Vessel Configurator'!$E18,'Vessel Configurator'!$F18,'Vessel Configurator'!$G18)</f>
        <v>LSFO</v>
      </c>
      <c r="G15" s="6" t="str">
        <f t="shared" si="20"/>
        <v>LSFO</v>
      </c>
      <c r="H15" s="6" t="str">
        <f t="shared" si="21"/>
        <v>LSFO</v>
      </c>
      <c r="I15" s="6" t="str">
        <f t="shared" si="10"/>
        <v>LSFO</v>
      </c>
      <c r="J15" s="6" t="str">
        <f t="shared" si="11"/>
        <v>LSFO</v>
      </c>
      <c r="K15" s="6" t="str">
        <f t="shared" si="12"/>
        <v>LSFO</v>
      </c>
      <c r="L15" s="6" t="str">
        <f t="shared" si="13"/>
        <v>LSFO</v>
      </c>
      <c r="M15" s="6" t="str">
        <f t="shared" si="14"/>
        <v>LSFO</v>
      </c>
      <c r="N15" s="6" t="str">
        <f t="shared" si="15"/>
        <v>LSFO</v>
      </c>
      <c r="O15" s="6" t="str">
        <f t="shared" si="16"/>
        <v>LSFO</v>
      </c>
      <c r="P15" s="6" t="str">
        <f t="shared" si="17"/>
        <v>LSFO</v>
      </c>
      <c r="Q15" s="6" t="str">
        <f t="shared" si="18"/>
        <v>LSFO</v>
      </c>
      <c r="R15" s="6" t="str">
        <f t="shared" si="19"/>
        <v>LSFO</v>
      </c>
      <c r="X15" s="277" t="s">
        <v>116</v>
      </c>
      <c r="Z15" s="107" t="str">
        <f>CHOOSE(Z$8,'Vessel Configurator'!$C18,'Vessel Configurator'!$D18,'Vessel Configurator'!$E18,'Vessel Configurator'!$F18,'Vessel Configurator'!$G18)</f>
        <v>LNG</v>
      </c>
      <c r="AA15" s="6" t="str">
        <f t="shared" si="22"/>
        <v>LNG</v>
      </c>
      <c r="AB15" s="6" t="str">
        <f t="shared" si="23"/>
        <v>LNG</v>
      </c>
      <c r="AC15" s="6" t="str">
        <f t="shared" si="6"/>
        <v>LNG</v>
      </c>
      <c r="AD15" s="6" t="str">
        <f t="shared" si="6"/>
        <v>LNG</v>
      </c>
      <c r="AE15" s="6" t="str">
        <f t="shared" si="6"/>
        <v>LNG</v>
      </c>
      <c r="AF15" s="6" t="str">
        <f t="shared" si="6"/>
        <v>LNG</v>
      </c>
      <c r="AG15" s="6" t="str">
        <f t="shared" si="6"/>
        <v>LNG</v>
      </c>
      <c r="AH15" s="6" t="str">
        <f t="shared" si="6"/>
        <v>LNG</v>
      </c>
      <c r="AI15" s="6" t="str">
        <f t="shared" si="6"/>
        <v>LNG</v>
      </c>
      <c r="AJ15" s="6" t="str">
        <f t="shared" si="6"/>
        <v>LNG</v>
      </c>
      <c r="AK15" s="6" t="str">
        <f t="shared" si="6"/>
        <v>LNG</v>
      </c>
      <c r="AL15" s="6" t="str">
        <f t="shared" si="6"/>
        <v>LNG</v>
      </c>
      <c r="AR15" s="277" t="s">
        <v>116</v>
      </c>
      <c r="AT15" s="107" t="str">
        <f>CHOOSE(AT$8,'Vessel Configurator'!$C18,'Vessel Configurator'!$D18,'Vessel Configurator'!$E18,'Vessel Configurator'!$F18,'Vessel Configurator'!$G18)</f>
        <v>e-Ammonia</v>
      </c>
      <c r="AU15" s="6" t="str">
        <f t="shared" si="24"/>
        <v>e-Ammonia</v>
      </c>
      <c r="AV15" s="6" t="str">
        <f t="shared" si="25"/>
        <v>e-Ammonia</v>
      </c>
      <c r="AW15" s="6" t="str">
        <f t="shared" si="7"/>
        <v>e-Ammonia</v>
      </c>
      <c r="AX15" s="6" t="str">
        <f t="shared" si="7"/>
        <v>e-Ammonia</v>
      </c>
      <c r="AY15" s="6" t="str">
        <f t="shared" si="7"/>
        <v>e-Ammonia</v>
      </c>
      <c r="AZ15" s="6" t="str">
        <f t="shared" si="7"/>
        <v>e-Ammonia</v>
      </c>
      <c r="BA15" s="6" t="str">
        <f t="shared" si="7"/>
        <v>e-Ammonia</v>
      </c>
      <c r="BB15" s="6" t="str">
        <f t="shared" si="7"/>
        <v>e-Ammonia</v>
      </c>
      <c r="BC15" s="6" t="str">
        <f t="shared" si="7"/>
        <v>e-Ammonia</v>
      </c>
      <c r="BD15" s="6" t="str">
        <f t="shared" si="7"/>
        <v>e-Ammonia</v>
      </c>
      <c r="BE15" s="6" t="str">
        <f t="shared" si="7"/>
        <v>e-Ammonia</v>
      </c>
      <c r="BF15" s="6" t="str">
        <f t="shared" si="7"/>
        <v>e-Ammonia</v>
      </c>
      <c r="BG15" s="6"/>
      <c r="BH15" s="6"/>
      <c r="BL15" s="277" t="s">
        <v>116</v>
      </c>
      <c r="BN15" s="107" t="str">
        <f>CHOOSE(BN$8,'Vessel Configurator'!$C18,'Vessel Configurator'!$D18,'Vessel Configurator'!$E18,'Vessel Configurator'!$F18,'Vessel Configurator'!$G18)</f>
        <v>Blue ammonia</v>
      </c>
      <c r="BO15" s="6" t="str">
        <f t="shared" si="26"/>
        <v>Blue ammonia</v>
      </c>
      <c r="BP15" s="6" t="str">
        <f t="shared" si="27"/>
        <v>Blue ammonia</v>
      </c>
      <c r="BQ15" s="6" t="str">
        <f t="shared" si="8"/>
        <v>Blue ammonia</v>
      </c>
      <c r="BR15" s="6" t="str">
        <f t="shared" si="8"/>
        <v>Blue ammonia</v>
      </c>
      <c r="BS15" s="6" t="str">
        <f t="shared" si="8"/>
        <v>Blue ammonia</v>
      </c>
      <c r="BT15" s="6" t="str">
        <f t="shared" si="8"/>
        <v>Blue ammonia</v>
      </c>
      <c r="BU15" s="6" t="str">
        <f t="shared" si="8"/>
        <v>Blue ammonia</v>
      </c>
      <c r="BV15" s="6" t="str">
        <f t="shared" si="8"/>
        <v>Blue ammonia</v>
      </c>
      <c r="BW15" s="6" t="str">
        <f t="shared" si="8"/>
        <v>Blue ammonia</v>
      </c>
      <c r="BX15" s="6" t="str">
        <f t="shared" si="8"/>
        <v>Blue ammonia</v>
      </c>
      <c r="BY15" s="6" t="str">
        <f t="shared" si="8"/>
        <v>Blue ammonia</v>
      </c>
      <c r="BZ15" s="6" t="str">
        <f t="shared" si="8"/>
        <v>Blue ammonia</v>
      </c>
      <c r="CA15" s="6"/>
      <c r="CB15" s="6"/>
      <c r="CF15" s="277" t="s">
        <v>116</v>
      </c>
      <c r="CH15" s="107" t="str">
        <f>CHOOSE(CH$8,'Vessel Configurator'!$C18,'Vessel Configurator'!$D18,'Vessel Configurator'!$E18,'Vessel Configurator'!$F18,'Vessel Configurator'!$G18)</f>
        <v>Biomethanol</v>
      </c>
      <c r="CI15" s="6" t="str">
        <f t="shared" si="28"/>
        <v>Biomethanol</v>
      </c>
      <c r="CJ15" s="6" t="str">
        <f t="shared" si="29"/>
        <v>Biomethanol</v>
      </c>
      <c r="CK15" s="6" t="str">
        <f t="shared" si="9"/>
        <v>Biomethanol</v>
      </c>
      <c r="CL15" s="6" t="str">
        <f t="shared" si="9"/>
        <v>Biomethanol</v>
      </c>
      <c r="CM15" s="6" t="str">
        <f t="shared" si="9"/>
        <v>Biomethanol</v>
      </c>
      <c r="CN15" s="6" t="str">
        <f t="shared" si="9"/>
        <v>Biomethanol</v>
      </c>
      <c r="CO15" s="6" t="str">
        <f t="shared" si="9"/>
        <v>Biomethanol</v>
      </c>
      <c r="CP15" s="6" t="str">
        <f t="shared" si="9"/>
        <v>Biomethanol</v>
      </c>
      <c r="CQ15" s="6" t="str">
        <f t="shared" si="9"/>
        <v>Biomethanol</v>
      </c>
      <c r="CR15" s="6" t="str">
        <f t="shared" si="9"/>
        <v>Biomethanol</v>
      </c>
      <c r="CS15" s="6" t="str">
        <f t="shared" si="9"/>
        <v>Biomethanol</v>
      </c>
      <c r="CT15" s="6" t="str">
        <f t="shared" si="9"/>
        <v>Biomethanol</v>
      </c>
      <c r="CU15" s="6"/>
      <c r="CV15" s="6"/>
    </row>
    <row r="16" spans="1:100" x14ac:dyDescent="0.2">
      <c r="D16" s="277" t="s">
        <v>122</v>
      </c>
      <c r="F16" s="107" t="str">
        <f>CHOOSE(F$8,'Vessel Configurator'!$C19,'Vessel Configurator'!$D19,'Vessel Configurator'!$E19,'Vessel Configurator'!$F19,'Vessel Configurator'!$G19)</f>
        <v>LSFO</v>
      </c>
      <c r="G16" s="6" t="str">
        <f t="shared" si="20"/>
        <v>LSFO</v>
      </c>
      <c r="H16" s="6" t="str">
        <f t="shared" si="21"/>
        <v>LSFO</v>
      </c>
      <c r="I16" s="6" t="str">
        <f t="shared" si="10"/>
        <v>LSFO</v>
      </c>
      <c r="J16" s="6" t="str">
        <f t="shared" si="11"/>
        <v>LSFO</v>
      </c>
      <c r="K16" s="6" t="str">
        <f t="shared" si="12"/>
        <v>LSFO</v>
      </c>
      <c r="L16" s="6" t="str">
        <f t="shared" si="13"/>
        <v>LSFO</v>
      </c>
      <c r="M16" s="6" t="str">
        <f t="shared" si="14"/>
        <v>LSFO</v>
      </c>
      <c r="N16" s="6" t="str">
        <f t="shared" si="15"/>
        <v>LSFO</v>
      </c>
      <c r="O16" s="6" t="str">
        <f t="shared" si="16"/>
        <v>LSFO</v>
      </c>
      <c r="P16" s="6" t="str">
        <f t="shared" si="17"/>
        <v>LSFO</v>
      </c>
      <c r="Q16" s="6" t="str">
        <f t="shared" si="18"/>
        <v>LSFO</v>
      </c>
      <c r="R16" s="6" t="str">
        <f t="shared" si="19"/>
        <v>LSFO</v>
      </c>
      <c r="X16" s="277" t="s">
        <v>122</v>
      </c>
      <c r="Z16" s="107" t="str">
        <f>CHOOSE(Z$8,'Vessel Configurator'!$C19,'Vessel Configurator'!$D19,'Vessel Configurator'!$E19,'Vessel Configurator'!$F19,'Vessel Configurator'!$G19)</f>
        <v>LSFO</v>
      </c>
      <c r="AA16" s="6" t="str">
        <f t="shared" si="22"/>
        <v>LSFO</v>
      </c>
      <c r="AB16" s="6" t="str">
        <f t="shared" si="23"/>
        <v>LSFO</v>
      </c>
      <c r="AC16" s="6" t="str">
        <f t="shared" si="6"/>
        <v>LSFO</v>
      </c>
      <c r="AD16" s="6" t="str">
        <f t="shared" si="6"/>
        <v>LSFO</v>
      </c>
      <c r="AE16" s="6" t="str">
        <f t="shared" si="6"/>
        <v>LSFO</v>
      </c>
      <c r="AF16" s="6" t="str">
        <f t="shared" si="6"/>
        <v>LSFO</v>
      </c>
      <c r="AG16" s="6" t="str">
        <f t="shared" si="6"/>
        <v>LSFO</v>
      </c>
      <c r="AH16" s="6" t="str">
        <f t="shared" si="6"/>
        <v>LSFO</v>
      </c>
      <c r="AI16" s="6" t="str">
        <f t="shared" si="6"/>
        <v>LSFO</v>
      </c>
      <c r="AJ16" s="6" t="str">
        <f t="shared" si="6"/>
        <v>LSFO</v>
      </c>
      <c r="AK16" s="6" t="str">
        <f t="shared" si="6"/>
        <v>LSFO</v>
      </c>
      <c r="AL16" s="6" t="str">
        <f t="shared" si="6"/>
        <v>LSFO</v>
      </c>
      <c r="AR16" s="277" t="s">
        <v>122</v>
      </c>
      <c r="AT16" s="107" t="str">
        <f>CHOOSE(AT$8,'Vessel Configurator'!$C19,'Vessel Configurator'!$D19,'Vessel Configurator'!$E19,'Vessel Configurator'!$F19,'Vessel Configurator'!$G19)</f>
        <v>Biodiesel (Pyr)</v>
      </c>
      <c r="AU16" s="6" t="str">
        <f t="shared" si="24"/>
        <v>Biodiesel (Pyr)</v>
      </c>
      <c r="AV16" s="6" t="str">
        <f t="shared" si="25"/>
        <v>Biodiesel (Pyr)</v>
      </c>
      <c r="AW16" s="6" t="str">
        <f t="shared" si="7"/>
        <v>Biodiesel (Pyr)</v>
      </c>
      <c r="AX16" s="6" t="str">
        <f t="shared" si="7"/>
        <v>Biodiesel (Pyr)</v>
      </c>
      <c r="AY16" s="6" t="str">
        <f t="shared" si="7"/>
        <v>Biodiesel (Pyr)</v>
      </c>
      <c r="AZ16" s="6" t="str">
        <f t="shared" si="7"/>
        <v>Biodiesel (Pyr)</v>
      </c>
      <c r="BA16" s="6" t="str">
        <f t="shared" si="7"/>
        <v>Biodiesel (Pyr)</v>
      </c>
      <c r="BB16" s="6" t="str">
        <f t="shared" si="7"/>
        <v>Biodiesel (Pyr)</v>
      </c>
      <c r="BC16" s="6" t="str">
        <f t="shared" si="7"/>
        <v>Biodiesel (Pyr)</v>
      </c>
      <c r="BD16" s="6" t="str">
        <f t="shared" si="7"/>
        <v>Biodiesel (Pyr)</v>
      </c>
      <c r="BE16" s="6" t="str">
        <f t="shared" si="7"/>
        <v>Biodiesel (Pyr)</v>
      </c>
      <c r="BF16" s="6" t="str">
        <f t="shared" si="7"/>
        <v>Biodiesel (Pyr)</v>
      </c>
      <c r="BG16" s="6"/>
      <c r="BH16" s="6"/>
      <c r="BL16" s="277" t="s">
        <v>122</v>
      </c>
      <c r="BN16" s="107" t="str">
        <f>CHOOSE(BN$8,'Vessel Configurator'!$C19,'Vessel Configurator'!$D19,'Vessel Configurator'!$E19,'Vessel Configurator'!$F19,'Vessel Configurator'!$G19)</f>
        <v>Biodiesel (Pyr)</v>
      </c>
      <c r="BO16" s="6" t="str">
        <f t="shared" si="26"/>
        <v>Biodiesel (Pyr)</v>
      </c>
      <c r="BP16" s="6" t="str">
        <f t="shared" si="27"/>
        <v>Biodiesel (Pyr)</v>
      </c>
      <c r="BQ16" s="6" t="str">
        <f t="shared" si="8"/>
        <v>Biodiesel (Pyr)</v>
      </c>
      <c r="BR16" s="6" t="str">
        <f t="shared" si="8"/>
        <v>Biodiesel (Pyr)</v>
      </c>
      <c r="BS16" s="6" t="str">
        <f t="shared" si="8"/>
        <v>Biodiesel (Pyr)</v>
      </c>
      <c r="BT16" s="6" t="str">
        <f t="shared" si="8"/>
        <v>Biodiesel (Pyr)</v>
      </c>
      <c r="BU16" s="6" t="str">
        <f t="shared" si="8"/>
        <v>Biodiesel (Pyr)</v>
      </c>
      <c r="BV16" s="6" t="str">
        <f t="shared" si="8"/>
        <v>Biodiesel (Pyr)</v>
      </c>
      <c r="BW16" s="6" t="str">
        <f t="shared" si="8"/>
        <v>Biodiesel (Pyr)</v>
      </c>
      <c r="BX16" s="6" t="str">
        <f t="shared" si="8"/>
        <v>Biodiesel (Pyr)</v>
      </c>
      <c r="BY16" s="6" t="str">
        <f t="shared" si="8"/>
        <v>Biodiesel (Pyr)</v>
      </c>
      <c r="BZ16" s="6" t="str">
        <f t="shared" si="8"/>
        <v>Biodiesel (Pyr)</v>
      </c>
      <c r="CA16" s="6"/>
      <c r="CB16" s="6"/>
      <c r="CF16" s="277" t="s">
        <v>122</v>
      </c>
      <c r="CH16" s="107" t="str">
        <f>CHOOSE(CH$8,'Vessel Configurator'!$C19,'Vessel Configurator'!$D19,'Vessel Configurator'!$E19,'Vessel Configurator'!$F19,'Vessel Configurator'!$G19)</f>
        <v>Biodiesel (Pyr)</v>
      </c>
      <c r="CI16" s="6" t="str">
        <f t="shared" si="28"/>
        <v>Biodiesel (Pyr)</v>
      </c>
      <c r="CJ16" s="6" t="str">
        <f t="shared" si="29"/>
        <v>Biodiesel (Pyr)</v>
      </c>
      <c r="CK16" s="6" t="str">
        <f t="shared" si="9"/>
        <v>Biodiesel (Pyr)</v>
      </c>
      <c r="CL16" s="6" t="str">
        <f t="shared" si="9"/>
        <v>Biodiesel (Pyr)</v>
      </c>
      <c r="CM16" s="6" t="str">
        <f t="shared" si="9"/>
        <v>Biodiesel (Pyr)</v>
      </c>
      <c r="CN16" s="6" t="str">
        <f t="shared" si="9"/>
        <v>Biodiesel (Pyr)</v>
      </c>
      <c r="CO16" s="6" t="str">
        <f t="shared" si="9"/>
        <v>Biodiesel (Pyr)</v>
      </c>
      <c r="CP16" s="6" t="str">
        <f t="shared" si="9"/>
        <v>Biodiesel (Pyr)</v>
      </c>
      <c r="CQ16" s="6" t="str">
        <f t="shared" si="9"/>
        <v>Biodiesel (Pyr)</v>
      </c>
      <c r="CR16" s="6" t="str">
        <f t="shared" si="9"/>
        <v>Biodiesel (Pyr)</v>
      </c>
      <c r="CS16" s="6" t="str">
        <f t="shared" si="9"/>
        <v>Biodiesel (Pyr)</v>
      </c>
      <c r="CT16" s="6" t="str">
        <f t="shared" si="9"/>
        <v>Biodiesel (Pyr)</v>
      </c>
      <c r="CU16" s="6"/>
      <c r="CV16" s="6"/>
    </row>
    <row r="17" spans="2:100" x14ac:dyDescent="0.2">
      <c r="D17" s="278" t="s">
        <v>124</v>
      </c>
      <c r="F17" s="108">
        <f>CHOOSE(F$8,'Vessel Configurator'!$C20,'Vessel Configurator'!$D20,'Vessel Configurator'!$E20,'Vessel Configurator'!$F20,'Vessel Configurator'!$G20)</f>
        <v>1</v>
      </c>
      <c r="G17" s="6">
        <f t="shared" si="20"/>
        <v>1</v>
      </c>
      <c r="H17" s="6">
        <f t="shared" si="21"/>
        <v>1</v>
      </c>
      <c r="I17" s="6">
        <f t="shared" si="10"/>
        <v>1</v>
      </c>
      <c r="J17" s="6">
        <f t="shared" si="11"/>
        <v>1</v>
      </c>
      <c r="K17" s="6">
        <f t="shared" si="12"/>
        <v>1</v>
      </c>
      <c r="L17" s="6">
        <f t="shared" si="13"/>
        <v>1</v>
      </c>
      <c r="M17" s="6">
        <f t="shared" si="14"/>
        <v>1</v>
      </c>
      <c r="N17" s="6">
        <f t="shared" si="15"/>
        <v>1</v>
      </c>
      <c r="O17" s="6">
        <f t="shared" si="16"/>
        <v>1</v>
      </c>
      <c r="P17" s="6">
        <f t="shared" si="17"/>
        <v>1</v>
      </c>
      <c r="Q17" s="6">
        <f t="shared" si="18"/>
        <v>1</v>
      </c>
      <c r="R17" s="6">
        <f t="shared" si="19"/>
        <v>1</v>
      </c>
      <c r="X17" s="278" t="s">
        <v>124</v>
      </c>
      <c r="Z17" s="108">
        <f>CHOOSE(Z$8,'Vessel Configurator'!$C20,'Vessel Configurator'!$D20,'Vessel Configurator'!$E20,'Vessel Configurator'!$F20,'Vessel Configurator'!$G20)</f>
        <v>0.99</v>
      </c>
      <c r="AA17" s="6">
        <f t="shared" si="22"/>
        <v>0.99</v>
      </c>
      <c r="AB17" s="6">
        <f t="shared" si="23"/>
        <v>0.99</v>
      </c>
      <c r="AC17" s="6">
        <f t="shared" si="6"/>
        <v>0.99</v>
      </c>
      <c r="AD17" s="6">
        <f t="shared" si="6"/>
        <v>0.99</v>
      </c>
      <c r="AE17" s="6">
        <f t="shared" si="6"/>
        <v>0.99</v>
      </c>
      <c r="AF17" s="6">
        <f t="shared" si="6"/>
        <v>0.99</v>
      </c>
      <c r="AG17" s="6">
        <f t="shared" si="6"/>
        <v>0.99</v>
      </c>
      <c r="AH17" s="6">
        <f t="shared" si="6"/>
        <v>0.99</v>
      </c>
      <c r="AI17" s="6">
        <f t="shared" si="6"/>
        <v>0.99</v>
      </c>
      <c r="AJ17" s="6">
        <f t="shared" si="6"/>
        <v>0.99</v>
      </c>
      <c r="AK17" s="6">
        <f t="shared" si="6"/>
        <v>0.99</v>
      </c>
      <c r="AL17" s="6">
        <f t="shared" si="6"/>
        <v>0.99</v>
      </c>
      <c r="AR17" s="278" t="s">
        <v>124</v>
      </c>
      <c r="AT17" s="108">
        <f>CHOOSE(AT$8,'Vessel Configurator'!$C20,'Vessel Configurator'!$D20,'Vessel Configurator'!$E20,'Vessel Configurator'!$F20,'Vessel Configurator'!$G20)</f>
        <v>0.95</v>
      </c>
      <c r="AU17" s="6">
        <f t="shared" si="24"/>
        <v>0.95</v>
      </c>
      <c r="AV17" s="6">
        <f t="shared" si="25"/>
        <v>0.95</v>
      </c>
      <c r="AW17" s="6">
        <f t="shared" si="7"/>
        <v>0.95</v>
      </c>
      <c r="AX17" s="6">
        <f t="shared" si="7"/>
        <v>0.95</v>
      </c>
      <c r="AY17" s="6">
        <f t="shared" si="7"/>
        <v>0.95</v>
      </c>
      <c r="AZ17" s="6">
        <f t="shared" si="7"/>
        <v>0.95</v>
      </c>
      <c r="BA17" s="6">
        <f t="shared" si="7"/>
        <v>0.95</v>
      </c>
      <c r="BB17" s="6">
        <f t="shared" si="7"/>
        <v>0.95</v>
      </c>
      <c r="BC17" s="6">
        <f t="shared" si="7"/>
        <v>0.95</v>
      </c>
      <c r="BD17" s="6">
        <f t="shared" si="7"/>
        <v>0.95</v>
      </c>
      <c r="BE17" s="6">
        <f t="shared" si="7"/>
        <v>0.95</v>
      </c>
      <c r="BF17" s="6">
        <f t="shared" si="7"/>
        <v>0.95</v>
      </c>
      <c r="BG17" s="6"/>
      <c r="BH17" s="6"/>
      <c r="BL17" s="278" t="s">
        <v>124</v>
      </c>
      <c r="BN17" s="108">
        <f>CHOOSE(BN$8,'Vessel Configurator'!$C20,'Vessel Configurator'!$D20,'Vessel Configurator'!$E20,'Vessel Configurator'!$F20,'Vessel Configurator'!$G20)</f>
        <v>0.95</v>
      </c>
      <c r="BO17" s="6">
        <f t="shared" si="26"/>
        <v>0.95</v>
      </c>
      <c r="BP17" s="6">
        <f t="shared" si="27"/>
        <v>0.95</v>
      </c>
      <c r="BQ17" s="6">
        <f t="shared" si="8"/>
        <v>0.95</v>
      </c>
      <c r="BR17" s="6">
        <f t="shared" si="8"/>
        <v>0.95</v>
      </c>
      <c r="BS17" s="6">
        <f t="shared" si="8"/>
        <v>0.95</v>
      </c>
      <c r="BT17" s="6">
        <f t="shared" si="8"/>
        <v>0.95</v>
      </c>
      <c r="BU17" s="6">
        <f t="shared" si="8"/>
        <v>0.95</v>
      </c>
      <c r="BV17" s="6">
        <f t="shared" si="8"/>
        <v>0.95</v>
      </c>
      <c r="BW17" s="6">
        <f t="shared" si="8"/>
        <v>0.95</v>
      </c>
      <c r="BX17" s="6">
        <f t="shared" si="8"/>
        <v>0.95</v>
      </c>
      <c r="BY17" s="6">
        <f t="shared" si="8"/>
        <v>0.95</v>
      </c>
      <c r="BZ17" s="6">
        <f t="shared" si="8"/>
        <v>0.95</v>
      </c>
      <c r="CA17" s="6"/>
      <c r="CB17" s="6"/>
      <c r="CF17" s="278" t="s">
        <v>124</v>
      </c>
      <c r="CH17" s="108">
        <f>CHOOSE(CH$8,'Vessel Configurator'!$C20,'Vessel Configurator'!$D20,'Vessel Configurator'!$E20,'Vessel Configurator'!$F20,'Vessel Configurator'!$G20)</f>
        <v>0.95</v>
      </c>
      <c r="CI17" s="6">
        <f t="shared" si="28"/>
        <v>0.95</v>
      </c>
      <c r="CJ17" s="6">
        <f t="shared" si="29"/>
        <v>0.95</v>
      </c>
      <c r="CK17" s="6">
        <f t="shared" si="9"/>
        <v>0.95</v>
      </c>
      <c r="CL17" s="6">
        <f t="shared" si="9"/>
        <v>0.95</v>
      </c>
      <c r="CM17" s="6">
        <f t="shared" si="9"/>
        <v>0.95</v>
      </c>
      <c r="CN17" s="6">
        <f t="shared" si="9"/>
        <v>0.95</v>
      </c>
      <c r="CO17" s="6">
        <f t="shared" si="9"/>
        <v>0.95</v>
      </c>
      <c r="CP17" s="6">
        <f t="shared" si="9"/>
        <v>0.95</v>
      </c>
      <c r="CQ17" s="6">
        <f t="shared" si="9"/>
        <v>0.95</v>
      </c>
      <c r="CR17" s="6">
        <f t="shared" si="9"/>
        <v>0.95</v>
      </c>
      <c r="CS17" s="6">
        <f t="shared" si="9"/>
        <v>0.95</v>
      </c>
      <c r="CT17" s="6">
        <f t="shared" si="9"/>
        <v>0.95</v>
      </c>
      <c r="CU17" s="6"/>
      <c r="CV17" s="6"/>
    </row>
    <row r="18" spans="2:100" x14ac:dyDescent="0.2">
      <c r="D18" s="275" t="s">
        <v>125</v>
      </c>
      <c r="F18" s="107" t="str">
        <f>CHOOSE(F$8,'Vessel Configurator'!$C21,'Vessel Configurator'!$D21,'Vessel Configurator'!$E21,'Vessel Configurator'!$F21,'Vessel Configurator'!$G21)</f>
        <v>ICE HFO</v>
      </c>
      <c r="G18" s="6" t="str">
        <f t="shared" si="20"/>
        <v>ICE HFO</v>
      </c>
      <c r="H18" s="6" t="str">
        <f t="shared" si="21"/>
        <v>ICE HFO</v>
      </c>
      <c r="I18" s="6" t="str">
        <f t="shared" si="10"/>
        <v>ICE HFO</v>
      </c>
      <c r="J18" s="6" t="str">
        <f t="shared" si="11"/>
        <v>ICE HFO</v>
      </c>
      <c r="K18" s="6" t="str">
        <f t="shared" si="12"/>
        <v>ICE HFO</v>
      </c>
      <c r="L18" s="6" t="str">
        <f t="shared" si="13"/>
        <v>ICE HFO</v>
      </c>
      <c r="M18" s="6" t="str">
        <f t="shared" si="14"/>
        <v>ICE HFO</v>
      </c>
      <c r="N18" s="6" t="str">
        <f t="shared" si="15"/>
        <v>ICE HFO</v>
      </c>
      <c r="O18" s="6" t="str">
        <f t="shared" si="16"/>
        <v>ICE HFO</v>
      </c>
      <c r="P18" s="6" t="str">
        <f t="shared" si="17"/>
        <v>ICE HFO</v>
      </c>
      <c r="Q18" s="6" t="str">
        <f t="shared" si="18"/>
        <v>ICE HFO</v>
      </c>
      <c r="R18" s="6" t="str">
        <f t="shared" si="19"/>
        <v>ICE HFO</v>
      </c>
      <c r="X18" s="275" t="s">
        <v>125</v>
      </c>
      <c r="Z18" s="107" t="str">
        <f>CHOOSE(Z$8,'Vessel Configurator'!$C21,'Vessel Configurator'!$D21,'Vessel Configurator'!$E21,'Vessel Configurator'!$F21,'Vessel Configurator'!$G21)</f>
        <v>ICE LNG</v>
      </c>
      <c r="AA18" s="6" t="str">
        <f t="shared" si="22"/>
        <v>ICE LNG</v>
      </c>
      <c r="AB18" s="6" t="str">
        <f t="shared" si="23"/>
        <v>ICE LNG</v>
      </c>
      <c r="AC18" s="6" t="str">
        <f t="shared" si="6"/>
        <v>ICE LNG</v>
      </c>
      <c r="AD18" s="6" t="str">
        <f t="shared" si="6"/>
        <v>ICE LNG</v>
      </c>
      <c r="AE18" s="6" t="str">
        <f t="shared" si="6"/>
        <v>ICE LNG</v>
      </c>
      <c r="AF18" s="6" t="str">
        <f t="shared" si="6"/>
        <v>ICE LNG</v>
      </c>
      <c r="AG18" s="6" t="str">
        <f t="shared" si="6"/>
        <v>ICE LNG</v>
      </c>
      <c r="AH18" s="6" t="str">
        <f t="shared" si="6"/>
        <v>ICE LNG</v>
      </c>
      <c r="AI18" s="6" t="str">
        <f t="shared" si="6"/>
        <v>ICE LNG</v>
      </c>
      <c r="AJ18" s="6" t="str">
        <f t="shared" si="6"/>
        <v>ICE LNG</v>
      </c>
      <c r="AK18" s="6" t="str">
        <f t="shared" si="6"/>
        <v>ICE LNG</v>
      </c>
      <c r="AL18" s="6" t="str">
        <f t="shared" si="6"/>
        <v>ICE LNG</v>
      </c>
      <c r="AR18" s="275" t="s">
        <v>125</v>
      </c>
      <c r="AT18" s="107" t="str">
        <f>CHOOSE(AT$8,'Vessel Configurator'!$C21,'Vessel Configurator'!$D21,'Vessel Configurator'!$E21,'Vessel Configurator'!$F21,'Vessel Configurator'!$G21)</f>
        <v>ICE Ammonia</v>
      </c>
      <c r="AU18" s="6" t="str">
        <f t="shared" si="24"/>
        <v>ICE Ammonia</v>
      </c>
      <c r="AV18" s="6" t="str">
        <f t="shared" si="25"/>
        <v>ICE Ammonia</v>
      </c>
      <c r="AW18" s="6" t="str">
        <f t="shared" si="7"/>
        <v>ICE Ammonia</v>
      </c>
      <c r="AX18" s="6" t="str">
        <f t="shared" si="7"/>
        <v>ICE Ammonia</v>
      </c>
      <c r="AY18" s="6" t="str">
        <f t="shared" si="7"/>
        <v>ICE Ammonia</v>
      </c>
      <c r="AZ18" s="6" t="str">
        <f t="shared" si="7"/>
        <v>ICE Ammonia</v>
      </c>
      <c r="BA18" s="6" t="str">
        <f t="shared" si="7"/>
        <v>ICE Ammonia</v>
      </c>
      <c r="BB18" s="6" t="str">
        <f t="shared" si="7"/>
        <v>ICE Ammonia</v>
      </c>
      <c r="BC18" s="6" t="str">
        <f t="shared" si="7"/>
        <v>ICE Ammonia</v>
      </c>
      <c r="BD18" s="6" t="str">
        <f t="shared" si="7"/>
        <v>ICE Ammonia</v>
      </c>
      <c r="BE18" s="6" t="str">
        <f t="shared" si="7"/>
        <v>ICE Ammonia</v>
      </c>
      <c r="BF18" s="6" t="str">
        <f t="shared" si="7"/>
        <v>ICE Ammonia</v>
      </c>
      <c r="BG18" s="6"/>
      <c r="BH18" s="6"/>
      <c r="BL18" s="275" t="s">
        <v>125</v>
      </c>
      <c r="BN18" s="107" t="str">
        <f>CHOOSE(BN$8,'Vessel Configurator'!$C21,'Vessel Configurator'!$D21,'Vessel Configurator'!$E21,'Vessel Configurator'!$F21,'Vessel Configurator'!$G21)</f>
        <v>ICE Ammonia</v>
      </c>
      <c r="BO18" s="6" t="str">
        <f t="shared" si="26"/>
        <v>ICE Ammonia</v>
      </c>
      <c r="BP18" s="6" t="str">
        <f t="shared" si="27"/>
        <v>ICE Ammonia</v>
      </c>
      <c r="BQ18" s="6" t="str">
        <f t="shared" si="8"/>
        <v>ICE Ammonia</v>
      </c>
      <c r="BR18" s="6" t="str">
        <f t="shared" si="8"/>
        <v>ICE Ammonia</v>
      </c>
      <c r="BS18" s="6" t="str">
        <f t="shared" si="8"/>
        <v>ICE Ammonia</v>
      </c>
      <c r="BT18" s="6" t="str">
        <f t="shared" si="8"/>
        <v>ICE Ammonia</v>
      </c>
      <c r="BU18" s="6" t="str">
        <f t="shared" si="8"/>
        <v>ICE Ammonia</v>
      </c>
      <c r="BV18" s="6" t="str">
        <f t="shared" si="8"/>
        <v>ICE Ammonia</v>
      </c>
      <c r="BW18" s="6" t="str">
        <f t="shared" si="8"/>
        <v>ICE Ammonia</v>
      </c>
      <c r="BX18" s="6" t="str">
        <f t="shared" si="8"/>
        <v>ICE Ammonia</v>
      </c>
      <c r="BY18" s="6" t="str">
        <f t="shared" si="8"/>
        <v>ICE Ammonia</v>
      </c>
      <c r="BZ18" s="6" t="str">
        <f t="shared" si="8"/>
        <v>ICE Ammonia</v>
      </c>
      <c r="CA18" s="6"/>
      <c r="CB18" s="6"/>
      <c r="CF18" s="275" t="s">
        <v>125</v>
      </c>
      <c r="CH18" s="107" t="str">
        <f>CHOOSE(CH$8,'Vessel Configurator'!$C21,'Vessel Configurator'!$D21,'Vessel Configurator'!$E21,'Vessel Configurator'!$F21,'Vessel Configurator'!$G21)</f>
        <v>ICE Methanol</v>
      </c>
      <c r="CI18" s="6" t="str">
        <f t="shared" si="28"/>
        <v>ICE Methanol</v>
      </c>
      <c r="CJ18" s="6" t="str">
        <f t="shared" si="29"/>
        <v>ICE Methanol</v>
      </c>
      <c r="CK18" s="6" t="str">
        <f t="shared" si="9"/>
        <v>ICE Methanol</v>
      </c>
      <c r="CL18" s="6" t="str">
        <f t="shared" si="9"/>
        <v>ICE Methanol</v>
      </c>
      <c r="CM18" s="6" t="str">
        <f t="shared" si="9"/>
        <v>ICE Methanol</v>
      </c>
      <c r="CN18" s="6" t="str">
        <f t="shared" si="9"/>
        <v>ICE Methanol</v>
      </c>
      <c r="CO18" s="6" t="str">
        <f t="shared" si="9"/>
        <v>ICE Methanol</v>
      </c>
      <c r="CP18" s="6" t="str">
        <f t="shared" si="9"/>
        <v>ICE Methanol</v>
      </c>
      <c r="CQ18" s="6" t="str">
        <f t="shared" si="9"/>
        <v>ICE Methanol</v>
      </c>
      <c r="CR18" s="6" t="str">
        <f t="shared" si="9"/>
        <v>ICE Methanol</v>
      </c>
      <c r="CS18" s="6" t="str">
        <f t="shared" si="9"/>
        <v>ICE Methanol</v>
      </c>
      <c r="CT18" s="6" t="str">
        <f t="shared" si="9"/>
        <v>ICE Methanol</v>
      </c>
      <c r="CU18" s="6"/>
      <c r="CV18" s="6"/>
    </row>
    <row r="19" spans="2:100" x14ac:dyDescent="0.2">
      <c r="D19" s="278" t="s">
        <v>126</v>
      </c>
      <c r="F19" s="107" t="str">
        <f>CHOOSE(F$8,'Vessel Configurator'!$C22,'Vessel Configurator'!$D22,'Vessel Configurator'!$E22,'Vessel Configurator'!$F22,'Vessel Configurator'!$G22)</f>
        <v>LSFO</v>
      </c>
      <c r="G19" s="6" t="str">
        <f t="shared" si="20"/>
        <v>LSFO</v>
      </c>
      <c r="H19" s="6" t="str">
        <f t="shared" si="21"/>
        <v>LSFO</v>
      </c>
      <c r="I19" s="6" t="str">
        <f t="shared" si="10"/>
        <v>LSFO</v>
      </c>
      <c r="J19" s="6" t="str">
        <f t="shared" si="11"/>
        <v>LSFO</v>
      </c>
      <c r="K19" s="6" t="str">
        <f t="shared" si="12"/>
        <v>LSFO</v>
      </c>
      <c r="L19" s="6" t="str">
        <f t="shared" si="13"/>
        <v>LSFO</v>
      </c>
      <c r="M19" s="6" t="str">
        <f t="shared" si="14"/>
        <v>LSFO</v>
      </c>
      <c r="N19" s="6" t="str">
        <f t="shared" si="15"/>
        <v>LSFO</v>
      </c>
      <c r="O19" s="6" t="str">
        <f t="shared" si="16"/>
        <v>LSFO</v>
      </c>
      <c r="P19" s="6" t="str">
        <f t="shared" si="17"/>
        <v>LSFO</v>
      </c>
      <c r="Q19" s="6" t="str">
        <f t="shared" si="18"/>
        <v>LSFO</v>
      </c>
      <c r="R19" s="6" t="str">
        <f t="shared" si="19"/>
        <v>LSFO</v>
      </c>
      <c r="X19" s="278" t="s">
        <v>126</v>
      </c>
      <c r="Z19" s="107" t="str">
        <f>CHOOSE(Z$8,'Vessel Configurator'!$C22,'Vessel Configurator'!$D22,'Vessel Configurator'!$E22,'Vessel Configurator'!$F22,'Vessel Configurator'!$G22)</f>
        <v>LNG</v>
      </c>
      <c r="AA19" s="6" t="str">
        <f t="shared" si="22"/>
        <v>LNG</v>
      </c>
      <c r="AB19" s="6" t="str">
        <f t="shared" si="23"/>
        <v>LNG</v>
      </c>
      <c r="AC19" s="6" t="str">
        <f t="shared" si="6"/>
        <v>LNG</v>
      </c>
      <c r="AD19" s="6" t="str">
        <f t="shared" si="6"/>
        <v>LNG</v>
      </c>
      <c r="AE19" s="6" t="str">
        <f t="shared" si="6"/>
        <v>LNG</v>
      </c>
      <c r="AF19" s="6" t="str">
        <f t="shared" si="6"/>
        <v>LNG</v>
      </c>
      <c r="AG19" s="6" t="str">
        <f t="shared" si="6"/>
        <v>LNG</v>
      </c>
      <c r="AH19" s="6" t="str">
        <f t="shared" si="6"/>
        <v>LNG</v>
      </c>
      <c r="AI19" s="6" t="str">
        <f t="shared" si="6"/>
        <v>LNG</v>
      </c>
      <c r="AJ19" s="6" t="str">
        <f t="shared" si="6"/>
        <v>LNG</v>
      </c>
      <c r="AK19" s="6" t="str">
        <f t="shared" si="6"/>
        <v>LNG</v>
      </c>
      <c r="AL19" s="6" t="str">
        <f t="shared" si="6"/>
        <v>LNG</v>
      </c>
      <c r="AR19" s="278" t="s">
        <v>126</v>
      </c>
      <c r="AT19" s="107" t="str">
        <f>CHOOSE(AT$8,'Vessel Configurator'!$C22,'Vessel Configurator'!$D22,'Vessel Configurator'!$E22,'Vessel Configurator'!$F22,'Vessel Configurator'!$G22)</f>
        <v>e-Ammonia</v>
      </c>
      <c r="AU19" s="6" t="str">
        <f t="shared" si="24"/>
        <v>e-Ammonia</v>
      </c>
      <c r="AV19" s="6" t="str">
        <f t="shared" si="25"/>
        <v>e-Ammonia</v>
      </c>
      <c r="AW19" s="6" t="str">
        <f t="shared" si="7"/>
        <v>e-Ammonia</v>
      </c>
      <c r="AX19" s="6" t="str">
        <f t="shared" si="7"/>
        <v>e-Ammonia</v>
      </c>
      <c r="AY19" s="6" t="str">
        <f t="shared" si="7"/>
        <v>e-Ammonia</v>
      </c>
      <c r="AZ19" s="6" t="str">
        <f t="shared" si="7"/>
        <v>e-Ammonia</v>
      </c>
      <c r="BA19" s="6" t="str">
        <f t="shared" si="7"/>
        <v>e-Ammonia</v>
      </c>
      <c r="BB19" s="6" t="str">
        <f t="shared" si="7"/>
        <v>e-Ammonia</v>
      </c>
      <c r="BC19" s="6" t="str">
        <f t="shared" si="7"/>
        <v>e-Ammonia</v>
      </c>
      <c r="BD19" s="6" t="str">
        <f t="shared" si="7"/>
        <v>e-Ammonia</v>
      </c>
      <c r="BE19" s="6" t="str">
        <f t="shared" si="7"/>
        <v>e-Ammonia</v>
      </c>
      <c r="BF19" s="6" t="str">
        <f t="shared" si="7"/>
        <v>e-Ammonia</v>
      </c>
      <c r="BG19" s="6"/>
      <c r="BH19" s="6"/>
      <c r="BL19" s="278" t="s">
        <v>126</v>
      </c>
      <c r="BN19" s="107" t="str">
        <f>CHOOSE(BN$8,'Vessel Configurator'!$C22,'Vessel Configurator'!$D22,'Vessel Configurator'!$E22,'Vessel Configurator'!$F22,'Vessel Configurator'!$G22)</f>
        <v>Blue ammonia</v>
      </c>
      <c r="BO19" s="6" t="str">
        <f t="shared" si="26"/>
        <v>Blue ammonia</v>
      </c>
      <c r="BP19" s="6" t="str">
        <f t="shared" si="27"/>
        <v>Blue ammonia</v>
      </c>
      <c r="BQ19" s="6" t="str">
        <f t="shared" si="8"/>
        <v>Blue ammonia</v>
      </c>
      <c r="BR19" s="6" t="str">
        <f t="shared" si="8"/>
        <v>Blue ammonia</v>
      </c>
      <c r="BS19" s="6" t="str">
        <f t="shared" si="8"/>
        <v>Blue ammonia</v>
      </c>
      <c r="BT19" s="6" t="str">
        <f t="shared" si="8"/>
        <v>Blue ammonia</v>
      </c>
      <c r="BU19" s="6" t="str">
        <f t="shared" si="8"/>
        <v>Blue ammonia</v>
      </c>
      <c r="BV19" s="6" t="str">
        <f t="shared" si="8"/>
        <v>Blue ammonia</v>
      </c>
      <c r="BW19" s="6" t="str">
        <f t="shared" si="8"/>
        <v>Blue ammonia</v>
      </c>
      <c r="BX19" s="6" t="str">
        <f t="shared" si="8"/>
        <v>Blue ammonia</v>
      </c>
      <c r="BY19" s="6" t="str">
        <f t="shared" si="8"/>
        <v>Blue ammonia</v>
      </c>
      <c r="BZ19" s="6" t="str">
        <f t="shared" si="8"/>
        <v>Blue ammonia</v>
      </c>
      <c r="CA19" s="6"/>
      <c r="CB19" s="6"/>
      <c r="CF19" s="278" t="s">
        <v>126</v>
      </c>
      <c r="CH19" s="107" t="str">
        <f>CHOOSE(CH$8,'Vessel Configurator'!$C22,'Vessel Configurator'!$D22,'Vessel Configurator'!$E22,'Vessel Configurator'!$F22,'Vessel Configurator'!$G22)</f>
        <v>Biomethanol</v>
      </c>
      <c r="CI19" s="6" t="str">
        <f t="shared" si="28"/>
        <v>Biomethanol</v>
      </c>
      <c r="CJ19" s="6" t="str">
        <f t="shared" si="29"/>
        <v>Biomethanol</v>
      </c>
      <c r="CK19" s="6" t="str">
        <f t="shared" si="9"/>
        <v>Biomethanol</v>
      </c>
      <c r="CL19" s="6" t="str">
        <f t="shared" si="9"/>
        <v>Biomethanol</v>
      </c>
      <c r="CM19" s="6" t="str">
        <f t="shared" si="9"/>
        <v>Biomethanol</v>
      </c>
      <c r="CN19" s="6" t="str">
        <f t="shared" si="9"/>
        <v>Biomethanol</v>
      </c>
      <c r="CO19" s="6" t="str">
        <f t="shared" si="9"/>
        <v>Biomethanol</v>
      </c>
      <c r="CP19" s="6" t="str">
        <f t="shared" si="9"/>
        <v>Biomethanol</v>
      </c>
      <c r="CQ19" s="6" t="str">
        <f t="shared" si="9"/>
        <v>Biomethanol</v>
      </c>
      <c r="CR19" s="6" t="str">
        <f t="shared" si="9"/>
        <v>Biomethanol</v>
      </c>
      <c r="CS19" s="6" t="str">
        <f t="shared" si="9"/>
        <v>Biomethanol</v>
      </c>
      <c r="CT19" s="6" t="str">
        <f t="shared" si="9"/>
        <v>Biomethanol</v>
      </c>
      <c r="CU19" s="6"/>
      <c r="CV19" s="6"/>
    </row>
    <row r="20" spans="2:100" x14ac:dyDescent="0.2">
      <c r="D20" s="275" t="s">
        <v>127</v>
      </c>
      <c r="F20" s="107" t="str">
        <f>CHOOSE(F$8,'Vessel Configurator'!$C23,'Vessel Configurator'!$D23,'Vessel Configurator'!$E23,'Vessel Configurator'!$F23,'Vessel Configurator'!$G23)</f>
        <v>LSFO</v>
      </c>
      <c r="G20" s="6" t="str">
        <f t="shared" si="20"/>
        <v>LSFO</v>
      </c>
      <c r="H20" s="6" t="str">
        <f t="shared" si="21"/>
        <v>LSFO</v>
      </c>
      <c r="I20" s="6" t="str">
        <f t="shared" si="10"/>
        <v>LSFO</v>
      </c>
      <c r="J20" s="6" t="str">
        <f t="shared" si="11"/>
        <v>LSFO</v>
      </c>
      <c r="K20" s="6" t="str">
        <f t="shared" si="12"/>
        <v>LSFO</v>
      </c>
      <c r="L20" s="6" t="str">
        <f t="shared" si="13"/>
        <v>LSFO</v>
      </c>
      <c r="M20" s="6" t="str">
        <f t="shared" si="14"/>
        <v>LSFO</v>
      </c>
      <c r="N20" s="6" t="str">
        <f t="shared" si="15"/>
        <v>LSFO</v>
      </c>
      <c r="O20" s="6" t="str">
        <f t="shared" si="16"/>
        <v>LSFO</v>
      </c>
      <c r="P20" s="6" t="str">
        <f t="shared" si="17"/>
        <v>LSFO</v>
      </c>
      <c r="Q20" s="6" t="str">
        <f t="shared" si="18"/>
        <v>LSFO</v>
      </c>
      <c r="R20" s="6" t="str">
        <f t="shared" si="19"/>
        <v>LSFO</v>
      </c>
      <c r="X20" s="275" t="s">
        <v>127</v>
      </c>
      <c r="Z20" s="107" t="str">
        <f>CHOOSE(Z$8,'Vessel Configurator'!$C23,'Vessel Configurator'!$D23,'Vessel Configurator'!$E23,'Vessel Configurator'!$F23,'Vessel Configurator'!$G23)</f>
        <v>LNG</v>
      </c>
      <c r="AA20" s="6" t="str">
        <f t="shared" si="22"/>
        <v>LNG</v>
      </c>
      <c r="AB20" s="6" t="str">
        <f t="shared" si="23"/>
        <v>LNG</v>
      </c>
      <c r="AC20" s="6" t="str">
        <f t="shared" si="6"/>
        <v>LNG</v>
      </c>
      <c r="AD20" s="6" t="str">
        <f t="shared" si="6"/>
        <v>LNG</v>
      </c>
      <c r="AE20" s="6" t="str">
        <f t="shared" si="6"/>
        <v>LNG</v>
      </c>
      <c r="AF20" s="6" t="str">
        <f t="shared" si="6"/>
        <v>LNG</v>
      </c>
      <c r="AG20" s="6" t="str">
        <f t="shared" si="6"/>
        <v>LNG</v>
      </c>
      <c r="AH20" s="6" t="str">
        <f t="shared" si="6"/>
        <v>LNG</v>
      </c>
      <c r="AI20" s="6" t="str">
        <f t="shared" si="6"/>
        <v>LNG</v>
      </c>
      <c r="AJ20" s="6" t="str">
        <f t="shared" si="6"/>
        <v>LNG</v>
      </c>
      <c r="AK20" s="6" t="str">
        <f t="shared" si="6"/>
        <v>LNG</v>
      </c>
      <c r="AL20" s="6" t="str">
        <f t="shared" si="6"/>
        <v>LNG</v>
      </c>
      <c r="AR20" s="275" t="s">
        <v>127</v>
      </c>
      <c r="AT20" s="107" t="str">
        <f>CHOOSE(AT$8,'Vessel Configurator'!$C23,'Vessel Configurator'!$D23,'Vessel Configurator'!$E23,'Vessel Configurator'!$F23,'Vessel Configurator'!$G23)</f>
        <v>e-Ammonia</v>
      </c>
      <c r="AU20" s="6" t="str">
        <f t="shared" si="24"/>
        <v>e-Ammonia</v>
      </c>
      <c r="AV20" s="6" t="str">
        <f t="shared" si="25"/>
        <v>e-Ammonia</v>
      </c>
      <c r="AW20" s="6" t="str">
        <f t="shared" si="7"/>
        <v>e-Ammonia</v>
      </c>
      <c r="AX20" s="6" t="str">
        <f t="shared" si="7"/>
        <v>e-Ammonia</v>
      </c>
      <c r="AY20" s="6" t="str">
        <f t="shared" si="7"/>
        <v>e-Ammonia</v>
      </c>
      <c r="AZ20" s="6" t="str">
        <f t="shared" si="7"/>
        <v>e-Ammonia</v>
      </c>
      <c r="BA20" s="6" t="str">
        <f t="shared" si="7"/>
        <v>e-Ammonia</v>
      </c>
      <c r="BB20" s="6" t="str">
        <f t="shared" si="7"/>
        <v>e-Ammonia</v>
      </c>
      <c r="BC20" s="6" t="str">
        <f t="shared" si="7"/>
        <v>e-Ammonia</v>
      </c>
      <c r="BD20" s="6" t="str">
        <f t="shared" si="7"/>
        <v>e-Ammonia</v>
      </c>
      <c r="BE20" s="6" t="str">
        <f t="shared" si="7"/>
        <v>e-Ammonia</v>
      </c>
      <c r="BF20" s="6" t="str">
        <f t="shared" si="7"/>
        <v>e-Ammonia</v>
      </c>
      <c r="BG20" s="6"/>
      <c r="BH20" s="6"/>
      <c r="BL20" s="275" t="s">
        <v>127</v>
      </c>
      <c r="BN20" s="107" t="str">
        <f>CHOOSE(BN$8,'Vessel Configurator'!$C23,'Vessel Configurator'!$D23,'Vessel Configurator'!$E23,'Vessel Configurator'!$F23,'Vessel Configurator'!$G23)</f>
        <v>Blue ammonia</v>
      </c>
      <c r="BO20" s="6" t="str">
        <f t="shared" si="26"/>
        <v>Blue ammonia</v>
      </c>
      <c r="BP20" s="6" t="str">
        <f t="shared" si="27"/>
        <v>Blue ammonia</v>
      </c>
      <c r="BQ20" s="6" t="str">
        <f t="shared" si="8"/>
        <v>Blue ammonia</v>
      </c>
      <c r="BR20" s="6" t="str">
        <f t="shared" si="8"/>
        <v>Blue ammonia</v>
      </c>
      <c r="BS20" s="6" t="str">
        <f t="shared" si="8"/>
        <v>Blue ammonia</v>
      </c>
      <c r="BT20" s="6" t="str">
        <f t="shared" si="8"/>
        <v>Blue ammonia</v>
      </c>
      <c r="BU20" s="6" t="str">
        <f t="shared" si="8"/>
        <v>Blue ammonia</v>
      </c>
      <c r="BV20" s="6" t="str">
        <f t="shared" si="8"/>
        <v>Blue ammonia</v>
      </c>
      <c r="BW20" s="6" t="str">
        <f t="shared" si="8"/>
        <v>Blue ammonia</v>
      </c>
      <c r="BX20" s="6" t="str">
        <f t="shared" si="8"/>
        <v>Blue ammonia</v>
      </c>
      <c r="BY20" s="6" t="str">
        <f t="shared" si="8"/>
        <v>Blue ammonia</v>
      </c>
      <c r="BZ20" s="6" t="str">
        <f t="shared" si="8"/>
        <v>Blue ammonia</v>
      </c>
      <c r="CA20" s="6"/>
      <c r="CB20" s="6"/>
      <c r="CF20" s="275" t="s">
        <v>127</v>
      </c>
      <c r="CH20" s="107" t="str">
        <f>CHOOSE(CH$8,'Vessel Configurator'!$C23,'Vessel Configurator'!$D23,'Vessel Configurator'!$E23,'Vessel Configurator'!$F23,'Vessel Configurator'!$G23)</f>
        <v>Biomethanol</v>
      </c>
      <c r="CI20" s="6" t="str">
        <f t="shared" si="28"/>
        <v>Biomethanol</v>
      </c>
      <c r="CJ20" s="6" t="str">
        <f t="shared" si="29"/>
        <v>Biomethanol</v>
      </c>
      <c r="CK20" s="6" t="str">
        <f t="shared" si="9"/>
        <v>Biomethanol</v>
      </c>
      <c r="CL20" s="6" t="str">
        <f t="shared" si="9"/>
        <v>Biomethanol</v>
      </c>
      <c r="CM20" s="6" t="str">
        <f t="shared" si="9"/>
        <v>Biomethanol</v>
      </c>
      <c r="CN20" s="6" t="str">
        <f t="shared" si="9"/>
        <v>Biomethanol</v>
      </c>
      <c r="CO20" s="6" t="str">
        <f t="shared" si="9"/>
        <v>Biomethanol</v>
      </c>
      <c r="CP20" s="6" t="str">
        <f t="shared" si="9"/>
        <v>Biomethanol</v>
      </c>
      <c r="CQ20" s="6" t="str">
        <f t="shared" si="9"/>
        <v>Biomethanol</v>
      </c>
      <c r="CR20" s="6" t="str">
        <f t="shared" si="9"/>
        <v>Biomethanol</v>
      </c>
      <c r="CS20" s="6" t="str">
        <f t="shared" si="9"/>
        <v>Biomethanol</v>
      </c>
      <c r="CT20" s="6" t="str">
        <f t="shared" si="9"/>
        <v>Biomethanol</v>
      </c>
      <c r="CU20" s="6"/>
      <c r="CV20" s="6"/>
    </row>
    <row r="21" spans="2:100" x14ac:dyDescent="0.2">
      <c r="D21" s="279" t="s">
        <v>259</v>
      </c>
      <c r="F21" s="107">
        <v>0</v>
      </c>
      <c r="G21" s="6">
        <f t="shared" si="20"/>
        <v>0</v>
      </c>
      <c r="H21" s="6">
        <f t="shared" si="21"/>
        <v>0</v>
      </c>
      <c r="I21" s="6">
        <f t="shared" si="10"/>
        <v>0</v>
      </c>
      <c r="J21" s="6">
        <f t="shared" si="11"/>
        <v>0</v>
      </c>
      <c r="K21" s="6">
        <f t="shared" si="12"/>
        <v>0</v>
      </c>
      <c r="L21" s="6">
        <f t="shared" si="13"/>
        <v>0</v>
      </c>
      <c r="M21" s="6">
        <f t="shared" si="14"/>
        <v>0</v>
      </c>
      <c r="N21" s="6">
        <f t="shared" si="15"/>
        <v>0</v>
      </c>
      <c r="O21" s="6">
        <f t="shared" si="16"/>
        <v>0</v>
      </c>
      <c r="P21" s="6">
        <f t="shared" si="17"/>
        <v>0</v>
      </c>
      <c r="Q21" s="6">
        <f t="shared" si="18"/>
        <v>0</v>
      </c>
      <c r="R21" s="6">
        <f t="shared" si="19"/>
        <v>0</v>
      </c>
      <c r="X21" s="279" t="s">
        <v>259</v>
      </c>
      <c r="Z21" s="107">
        <v>0</v>
      </c>
      <c r="AA21" s="6">
        <f t="shared" si="22"/>
        <v>0</v>
      </c>
      <c r="AB21" s="6">
        <f t="shared" si="23"/>
        <v>0</v>
      </c>
      <c r="AC21" s="6">
        <f t="shared" si="6"/>
        <v>0</v>
      </c>
      <c r="AD21" s="6">
        <f t="shared" si="6"/>
        <v>0</v>
      </c>
      <c r="AE21" s="6">
        <f t="shared" si="6"/>
        <v>0</v>
      </c>
      <c r="AF21" s="6">
        <f t="shared" si="6"/>
        <v>0</v>
      </c>
      <c r="AG21" s="6">
        <f t="shared" si="6"/>
        <v>0</v>
      </c>
      <c r="AH21" s="6">
        <f t="shared" si="6"/>
        <v>0</v>
      </c>
      <c r="AI21" s="6">
        <f t="shared" si="6"/>
        <v>0</v>
      </c>
      <c r="AJ21" s="6">
        <f t="shared" si="6"/>
        <v>0</v>
      </c>
      <c r="AK21" s="6">
        <f t="shared" si="6"/>
        <v>0</v>
      </c>
      <c r="AL21" s="6">
        <f t="shared" si="6"/>
        <v>0</v>
      </c>
      <c r="AR21" s="279" t="s">
        <v>259</v>
      </c>
      <c r="AT21" s="107">
        <v>0</v>
      </c>
      <c r="AU21" s="6">
        <f t="shared" si="24"/>
        <v>0</v>
      </c>
      <c r="AV21" s="6">
        <f t="shared" si="25"/>
        <v>0</v>
      </c>
      <c r="AW21" s="6">
        <f t="shared" si="7"/>
        <v>0</v>
      </c>
      <c r="AX21" s="6">
        <f t="shared" si="7"/>
        <v>0</v>
      </c>
      <c r="AY21" s="6">
        <f t="shared" si="7"/>
        <v>0</v>
      </c>
      <c r="AZ21" s="6">
        <f t="shared" si="7"/>
        <v>0</v>
      </c>
      <c r="BA21" s="6">
        <f t="shared" si="7"/>
        <v>0</v>
      </c>
      <c r="BB21" s="6">
        <f t="shared" si="7"/>
        <v>0</v>
      </c>
      <c r="BC21" s="6">
        <f t="shared" si="7"/>
        <v>0</v>
      </c>
      <c r="BD21" s="6">
        <f t="shared" si="7"/>
        <v>0</v>
      </c>
      <c r="BE21" s="6">
        <f t="shared" si="7"/>
        <v>0</v>
      </c>
      <c r="BF21" s="6">
        <f t="shared" si="7"/>
        <v>0</v>
      </c>
      <c r="BG21" s="6"/>
      <c r="BH21" s="6"/>
      <c r="BL21" s="279" t="s">
        <v>259</v>
      </c>
      <c r="BN21" s="107">
        <v>0</v>
      </c>
      <c r="BO21" s="6">
        <f t="shared" si="26"/>
        <v>0</v>
      </c>
      <c r="BP21" s="6">
        <f t="shared" si="27"/>
        <v>0</v>
      </c>
      <c r="BQ21" s="6">
        <f t="shared" si="8"/>
        <v>0</v>
      </c>
      <c r="BR21" s="6">
        <f t="shared" si="8"/>
        <v>0</v>
      </c>
      <c r="BS21" s="6">
        <f t="shared" si="8"/>
        <v>0</v>
      </c>
      <c r="BT21" s="6">
        <f t="shared" si="8"/>
        <v>0</v>
      </c>
      <c r="BU21" s="6">
        <f t="shared" si="8"/>
        <v>0</v>
      </c>
      <c r="BV21" s="6">
        <f t="shared" si="8"/>
        <v>0</v>
      </c>
      <c r="BW21" s="6">
        <f t="shared" si="8"/>
        <v>0</v>
      </c>
      <c r="BX21" s="6">
        <f t="shared" si="8"/>
        <v>0</v>
      </c>
      <c r="BY21" s="6">
        <f t="shared" si="8"/>
        <v>0</v>
      </c>
      <c r="BZ21" s="6">
        <f t="shared" si="8"/>
        <v>0</v>
      </c>
      <c r="CA21" s="6"/>
      <c r="CB21" s="6"/>
      <c r="CF21" s="279" t="s">
        <v>259</v>
      </c>
      <c r="CH21" s="107">
        <v>0</v>
      </c>
      <c r="CI21" s="6">
        <f t="shared" si="28"/>
        <v>0</v>
      </c>
      <c r="CJ21" s="6">
        <f t="shared" si="29"/>
        <v>0</v>
      </c>
      <c r="CK21" s="6">
        <f t="shared" si="9"/>
        <v>0</v>
      </c>
      <c r="CL21" s="6">
        <f t="shared" si="9"/>
        <v>0</v>
      </c>
      <c r="CM21" s="6">
        <f t="shared" si="9"/>
        <v>0</v>
      </c>
      <c r="CN21" s="6">
        <f t="shared" si="9"/>
        <v>0</v>
      </c>
      <c r="CO21" s="6">
        <f t="shared" si="9"/>
        <v>0</v>
      </c>
      <c r="CP21" s="6">
        <f t="shared" si="9"/>
        <v>0</v>
      </c>
      <c r="CQ21" s="6">
        <f t="shared" si="9"/>
        <v>0</v>
      </c>
      <c r="CR21" s="6">
        <f t="shared" si="9"/>
        <v>0</v>
      </c>
      <c r="CS21" s="6">
        <f t="shared" si="9"/>
        <v>0</v>
      </c>
      <c r="CT21" s="6">
        <f t="shared" si="9"/>
        <v>0</v>
      </c>
      <c r="CU21" s="6"/>
      <c r="CV21" s="6"/>
    </row>
    <row r="22" spans="2:100" x14ac:dyDescent="0.2">
      <c r="D22" s="275" t="s">
        <v>260</v>
      </c>
      <c r="F22" s="107" t="str">
        <f>CHOOSE(F$8,'Vessel Configurator'!$C24,'Vessel Configurator'!$D24,'Vessel Configurator'!$E24,'Vessel Configurator'!$F24,'Vessel Configurator'!$G24)</f>
        <v>WTW</v>
      </c>
      <c r="G22" s="6" t="str">
        <f t="shared" ref="G22:R22" si="30">F22</f>
        <v>WTW</v>
      </c>
      <c r="H22" s="6" t="str">
        <f t="shared" si="30"/>
        <v>WTW</v>
      </c>
      <c r="I22" s="6" t="str">
        <f t="shared" si="30"/>
        <v>WTW</v>
      </c>
      <c r="J22" s="6" t="str">
        <f t="shared" si="30"/>
        <v>WTW</v>
      </c>
      <c r="K22" s="6" t="str">
        <f t="shared" si="30"/>
        <v>WTW</v>
      </c>
      <c r="L22" s="6" t="str">
        <f t="shared" si="30"/>
        <v>WTW</v>
      </c>
      <c r="M22" s="6" t="str">
        <f t="shared" si="30"/>
        <v>WTW</v>
      </c>
      <c r="N22" s="6" t="str">
        <f t="shared" si="30"/>
        <v>WTW</v>
      </c>
      <c r="O22" s="6" t="str">
        <f t="shared" si="30"/>
        <v>WTW</v>
      </c>
      <c r="P22" s="6" t="str">
        <f t="shared" si="30"/>
        <v>WTW</v>
      </c>
      <c r="Q22" s="6" t="str">
        <f t="shared" si="30"/>
        <v>WTW</v>
      </c>
      <c r="R22" s="6" t="str">
        <f t="shared" si="30"/>
        <v>WTW</v>
      </c>
      <c r="X22" s="275" t="s">
        <v>260</v>
      </c>
      <c r="Z22" s="107" t="str">
        <f>CHOOSE(Z$8,'Vessel Configurator'!$C24,'Vessel Configurator'!$D24,'Vessel Configurator'!$E24,'Vessel Configurator'!$F24,'Vessel Configurator'!$G24)</f>
        <v>WTW</v>
      </c>
      <c r="AA22" s="6" t="str">
        <f t="shared" si="22"/>
        <v>WTW</v>
      </c>
      <c r="AB22" s="6" t="str">
        <f t="shared" si="23"/>
        <v>WTW</v>
      </c>
      <c r="AC22" s="6" t="str">
        <f t="shared" si="6"/>
        <v>WTW</v>
      </c>
      <c r="AD22" s="6" t="str">
        <f t="shared" si="6"/>
        <v>WTW</v>
      </c>
      <c r="AE22" s="6" t="str">
        <f t="shared" si="6"/>
        <v>WTW</v>
      </c>
      <c r="AF22" s="6" t="str">
        <f t="shared" si="6"/>
        <v>WTW</v>
      </c>
      <c r="AG22" s="6" t="str">
        <f t="shared" si="6"/>
        <v>WTW</v>
      </c>
      <c r="AH22" s="6" t="str">
        <f t="shared" si="6"/>
        <v>WTW</v>
      </c>
      <c r="AI22" s="6" t="str">
        <f t="shared" si="6"/>
        <v>WTW</v>
      </c>
      <c r="AJ22" s="6" t="str">
        <f t="shared" si="6"/>
        <v>WTW</v>
      </c>
      <c r="AK22" s="6" t="str">
        <f t="shared" si="6"/>
        <v>WTW</v>
      </c>
      <c r="AL22" s="6" t="str">
        <f t="shared" si="6"/>
        <v>WTW</v>
      </c>
      <c r="AR22" s="275" t="s">
        <v>260</v>
      </c>
      <c r="AT22" s="107" t="str">
        <f>CHOOSE(AT$8,'Vessel Configurator'!$C24,'Vessel Configurator'!$D24,'Vessel Configurator'!$E24,'Vessel Configurator'!$F24,'Vessel Configurator'!$G24)</f>
        <v>WTW</v>
      </c>
      <c r="AU22" s="6" t="str">
        <f t="shared" si="24"/>
        <v>WTW</v>
      </c>
      <c r="AV22" s="6" t="str">
        <f t="shared" si="25"/>
        <v>WTW</v>
      </c>
      <c r="AW22" s="6" t="str">
        <f t="shared" si="7"/>
        <v>WTW</v>
      </c>
      <c r="AX22" s="6" t="str">
        <f t="shared" si="7"/>
        <v>WTW</v>
      </c>
      <c r="AY22" s="6" t="str">
        <f t="shared" si="7"/>
        <v>WTW</v>
      </c>
      <c r="AZ22" s="6" t="str">
        <f t="shared" si="7"/>
        <v>WTW</v>
      </c>
      <c r="BA22" s="6" t="str">
        <f t="shared" si="7"/>
        <v>WTW</v>
      </c>
      <c r="BB22" s="6" t="str">
        <f t="shared" si="7"/>
        <v>WTW</v>
      </c>
      <c r="BC22" s="6" t="str">
        <f t="shared" si="7"/>
        <v>WTW</v>
      </c>
      <c r="BD22" s="6" t="str">
        <f t="shared" si="7"/>
        <v>WTW</v>
      </c>
      <c r="BE22" s="6" t="str">
        <f t="shared" si="7"/>
        <v>WTW</v>
      </c>
      <c r="BF22" s="6" t="str">
        <f t="shared" si="7"/>
        <v>WTW</v>
      </c>
      <c r="BG22" s="6"/>
      <c r="BH22" s="6"/>
      <c r="BL22" s="275" t="s">
        <v>260</v>
      </c>
      <c r="BN22" s="107" t="str">
        <f>CHOOSE(BN$8,'Vessel Configurator'!$C24,'Vessel Configurator'!$D24,'Vessel Configurator'!$E24,'Vessel Configurator'!$F24,'Vessel Configurator'!$G24)</f>
        <v>WTW</v>
      </c>
      <c r="BO22" s="6" t="str">
        <f t="shared" si="26"/>
        <v>WTW</v>
      </c>
      <c r="BP22" s="6" t="str">
        <f t="shared" si="27"/>
        <v>WTW</v>
      </c>
      <c r="BQ22" s="6" t="str">
        <f t="shared" si="8"/>
        <v>WTW</v>
      </c>
      <c r="BR22" s="6" t="str">
        <f t="shared" si="8"/>
        <v>WTW</v>
      </c>
      <c r="BS22" s="6" t="str">
        <f t="shared" si="8"/>
        <v>WTW</v>
      </c>
      <c r="BT22" s="6" t="str">
        <f t="shared" si="8"/>
        <v>WTW</v>
      </c>
      <c r="BU22" s="6" t="str">
        <f t="shared" si="8"/>
        <v>WTW</v>
      </c>
      <c r="BV22" s="6" t="str">
        <f t="shared" si="8"/>
        <v>WTW</v>
      </c>
      <c r="BW22" s="6" t="str">
        <f t="shared" si="8"/>
        <v>WTW</v>
      </c>
      <c r="BX22" s="6" t="str">
        <f t="shared" si="8"/>
        <v>WTW</v>
      </c>
      <c r="BY22" s="6" t="str">
        <f t="shared" si="8"/>
        <v>WTW</v>
      </c>
      <c r="BZ22" s="6" t="str">
        <f t="shared" si="8"/>
        <v>WTW</v>
      </c>
      <c r="CA22" s="6"/>
      <c r="CB22" s="6"/>
      <c r="CF22" s="275" t="s">
        <v>260</v>
      </c>
      <c r="CH22" s="107" t="str">
        <f>CHOOSE(CH$8,'Vessel Configurator'!$C24,'Vessel Configurator'!$D24,'Vessel Configurator'!$E24,'Vessel Configurator'!$F24,'Vessel Configurator'!$G24)</f>
        <v>WTW</v>
      </c>
      <c r="CI22" s="6" t="str">
        <f t="shared" si="28"/>
        <v>WTW</v>
      </c>
      <c r="CJ22" s="6" t="str">
        <f t="shared" si="29"/>
        <v>WTW</v>
      </c>
      <c r="CK22" s="6" t="str">
        <f t="shared" si="9"/>
        <v>WTW</v>
      </c>
      <c r="CL22" s="6" t="str">
        <f t="shared" si="9"/>
        <v>WTW</v>
      </c>
      <c r="CM22" s="6" t="str">
        <f t="shared" si="9"/>
        <v>WTW</v>
      </c>
      <c r="CN22" s="6" t="str">
        <f t="shared" si="9"/>
        <v>WTW</v>
      </c>
      <c r="CO22" s="6" t="str">
        <f t="shared" si="9"/>
        <v>WTW</v>
      </c>
      <c r="CP22" s="6" t="str">
        <f t="shared" si="9"/>
        <v>WTW</v>
      </c>
      <c r="CQ22" s="6" t="str">
        <f t="shared" si="9"/>
        <v>WTW</v>
      </c>
      <c r="CR22" s="6" t="str">
        <f t="shared" si="9"/>
        <v>WTW</v>
      </c>
      <c r="CS22" s="6" t="str">
        <f t="shared" si="9"/>
        <v>WTW</v>
      </c>
      <c r="CT22" s="6" t="str">
        <f t="shared" si="9"/>
        <v>WTW</v>
      </c>
      <c r="CU22" s="6"/>
      <c r="CV22" s="6"/>
    </row>
    <row r="23" spans="2:100" x14ac:dyDescent="0.2">
      <c r="D23" s="275" t="s">
        <v>261</v>
      </c>
      <c r="F23" s="107"/>
      <c r="G23" s="6" t="str">
        <f t="shared" ref="G23:R23" si="31">INDEX(mapping_fuel_to_fueltype,MATCH(G15,list_fuels_long,0))</f>
        <v>HFO</v>
      </c>
      <c r="H23" s="6" t="str">
        <f t="shared" si="31"/>
        <v>HFO</v>
      </c>
      <c r="I23" s="6" t="str">
        <f t="shared" si="31"/>
        <v>HFO</v>
      </c>
      <c r="J23" s="6" t="str">
        <f t="shared" si="31"/>
        <v>HFO</v>
      </c>
      <c r="K23" s="6" t="str">
        <f t="shared" si="31"/>
        <v>HFO</v>
      </c>
      <c r="L23" s="6" t="str">
        <f t="shared" si="31"/>
        <v>HFO</v>
      </c>
      <c r="M23" s="6" t="str">
        <f t="shared" si="31"/>
        <v>HFO</v>
      </c>
      <c r="N23" s="6" t="str">
        <f t="shared" si="31"/>
        <v>HFO</v>
      </c>
      <c r="O23" s="6" t="str">
        <f t="shared" si="31"/>
        <v>HFO</v>
      </c>
      <c r="P23" s="6" t="str">
        <f t="shared" si="31"/>
        <v>HFO</v>
      </c>
      <c r="Q23" s="6" t="str">
        <f t="shared" si="31"/>
        <v>HFO</v>
      </c>
      <c r="R23" s="6" t="str">
        <f t="shared" si="31"/>
        <v>HFO</v>
      </c>
      <c r="X23" s="275" t="s">
        <v>261</v>
      </c>
      <c r="Z23" s="107"/>
      <c r="AA23" s="6" t="str">
        <f t="shared" ref="AA23:AL23" si="32">INDEX(mapping_fuel_to_fueltype,MATCH(AA15,list_fuels_long,0))</f>
        <v>LNG</v>
      </c>
      <c r="AB23" s="6" t="str">
        <f t="shared" si="32"/>
        <v>LNG</v>
      </c>
      <c r="AC23" s="6" t="str">
        <f t="shared" si="32"/>
        <v>LNG</v>
      </c>
      <c r="AD23" s="6" t="str">
        <f t="shared" si="32"/>
        <v>LNG</v>
      </c>
      <c r="AE23" s="6" t="str">
        <f t="shared" si="32"/>
        <v>LNG</v>
      </c>
      <c r="AF23" s="6" t="str">
        <f t="shared" si="32"/>
        <v>LNG</v>
      </c>
      <c r="AG23" s="6" t="str">
        <f t="shared" si="32"/>
        <v>LNG</v>
      </c>
      <c r="AH23" s="6" t="str">
        <f t="shared" si="32"/>
        <v>LNG</v>
      </c>
      <c r="AI23" s="6" t="str">
        <f t="shared" si="32"/>
        <v>LNG</v>
      </c>
      <c r="AJ23" s="6" t="str">
        <f t="shared" si="32"/>
        <v>LNG</v>
      </c>
      <c r="AK23" s="6" t="str">
        <f t="shared" si="32"/>
        <v>LNG</v>
      </c>
      <c r="AL23" s="6" t="str">
        <f t="shared" si="32"/>
        <v>LNG</v>
      </c>
      <c r="AR23" s="275" t="s">
        <v>261</v>
      </c>
      <c r="AT23" s="107"/>
      <c r="AU23" s="6" t="str">
        <f t="shared" ref="AU23:BF23" si="33">INDEX(mapping_fuel_to_fueltype,MATCH(AU15,list_fuels_long,0))</f>
        <v>Ammonia</v>
      </c>
      <c r="AV23" s="6" t="str">
        <f t="shared" si="33"/>
        <v>Ammonia</v>
      </c>
      <c r="AW23" s="6" t="str">
        <f t="shared" si="33"/>
        <v>Ammonia</v>
      </c>
      <c r="AX23" s="6" t="str">
        <f t="shared" si="33"/>
        <v>Ammonia</v>
      </c>
      <c r="AY23" s="6" t="str">
        <f t="shared" si="33"/>
        <v>Ammonia</v>
      </c>
      <c r="AZ23" s="6" t="str">
        <f t="shared" si="33"/>
        <v>Ammonia</v>
      </c>
      <c r="BA23" s="6" t="str">
        <f t="shared" si="33"/>
        <v>Ammonia</v>
      </c>
      <c r="BB23" s="6" t="str">
        <f t="shared" si="33"/>
        <v>Ammonia</v>
      </c>
      <c r="BC23" s="6" t="str">
        <f t="shared" si="33"/>
        <v>Ammonia</v>
      </c>
      <c r="BD23" s="6" t="str">
        <f t="shared" si="33"/>
        <v>Ammonia</v>
      </c>
      <c r="BE23" s="6" t="str">
        <f t="shared" si="33"/>
        <v>Ammonia</v>
      </c>
      <c r="BF23" s="6" t="str">
        <f t="shared" si="33"/>
        <v>Ammonia</v>
      </c>
      <c r="BG23" s="6"/>
      <c r="BH23" s="6"/>
      <c r="BL23" s="275" t="s">
        <v>261</v>
      </c>
      <c r="BN23" s="107"/>
      <c r="BO23" s="6" t="str">
        <f t="shared" ref="BO23:BZ23" si="34">INDEX(mapping_fuel_to_fueltype,MATCH(BO15,list_fuels_long,0))</f>
        <v>Ammonia</v>
      </c>
      <c r="BP23" s="6" t="str">
        <f t="shared" si="34"/>
        <v>Ammonia</v>
      </c>
      <c r="BQ23" s="6" t="str">
        <f t="shared" si="34"/>
        <v>Ammonia</v>
      </c>
      <c r="BR23" s="6" t="str">
        <f t="shared" si="34"/>
        <v>Ammonia</v>
      </c>
      <c r="BS23" s="6" t="str">
        <f t="shared" si="34"/>
        <v>Ammonia</v>
      </c>
      <c r="BT23" s="6" t="str">
        <f t="shared" si="34"/>
        <v>Ammonia</v>
      </c>
      <c r="BU23" s="6" t="str">
        <f t="shared" si="34"/>
        <v>Ammonia</v>
      </c>
      <c r="BV23" s="6" t="str">
        <f t="shared" si="34"/>
        <v>Ammonia</v>
      </c>
      <c r="BW23" s="6" t="str">
        <f t="shared" si="34"/>
        <v>Ammonia</v>
      </c>
      <c r="BX23" s="6" t="str">
        <f t="shared" si="34"/>
        <v>Ammonia</v>
      </c>
      <c r="BY23" s="6" t="str">
        <f t="shared" si="34"/>
        <v>Ammonia</v>
      </c>
      <c r="BZ23" s="6" t="str">
        <f t="shared" si="34"/>
        <v>Ammonia</v>
      </c>
      <c r="CA23" s="6"/>
      <c r="CB23" s="6"/>
      <c r="CF23" s="275" t="s">
        <v>261</v>
      </c>
      <c r="CH23" s="107">
        <f>CHOOSE(CH$8,'Vessel Configurator'!$G25,'Vessel Configurator'!$I25,'Vessel Configurator'!$J25,'Vessel Configurator'!$K25,'Vessel Configurator'!$L25)</f>
        <v>0</v>
      </c>
      <c r="CI23" s="6" t="str">
        <f t="shared" ref="CI23:CT23" si="35">INDEX(mapping_fuel_to_fueltype,MATCH(CI15,list_fuels_long,0))</f>
        <v>Methanol</v>
      </c>
      <c r="CJ23" s="6" t="str">
        <f t="shared" si="35"/>
        <v>Methanol</v>
      </c>
      <c r="CK23" s="6" t="str">
        <f t="shared" si="35"/>
        <v>Methanol</v>
      </c>
      <c r="CL23" s="6" t="str">
        <f t="shared" si="35"/>
        <v>Methanol</v>
      </c>
      <c r="CM23" s="6" t="str">
        <f t="shared" si="35"/>
        <v>Methanol</v>
      </c>
      <c r="CN23" s="6" t="str">
        <f t="shared" si="35"/>
        <v>Methanol</v>
      </c>
      <c r="CO23" s="6" t="str">
        <f t="shared" si="35"/>
        <v>Methanol</v>
      </c>
      <c r="CP23" s="6" t="str">
        <f t="shared" si="35"/>
        <v>Methanol</v>
      </c>
      <c r="CQ23" s="6" t="str">
        <f t="shared" si="35"/>
        <v>Methanol</v>
      </c>
      <c r="CR23" s="6" t="str">
        <f t="shared" si="35"/>
        <v>Methanol</v>
      </c>
      <c r="CS23" s="6" t="str">
        <f t="shared" si="35"/>
        <v>Methanol</v>
      </c>
      <c r="CT23" s="6" t="str">
        <f t="shared" si="35"/>
        <v>Methanol</v>
      </c>
      <c r="CU23" s="6"/>
      <c r="CV23" s="6"/>
    </row>
    <row r="24" spans="2:100" x14ac:dyDescent="0.2">
      <c r="D24" s="279" t="s">
        <v>262</v>
      </c>
      <c r="F24" s="107"/>
      <c r="G24" s="6" t="str">
        <f t="shared" ref="G24:R24" si="36">INDEX(mapping_fuel_to_fueltype,MATCH(G16,list_fuels_long,0))</f>
        <v>HFO</v>
      </c>
      <c r="H24" s="6" t="str">
        <f t="shared" si="36"/>
        <v>HFO</v>
      </c>
      <c r="I24" s="6" t="str">
        <f t="shared" si="36"/>
        <v>HFO</v>
      </c>
      <c r="J24" s="6" t="str">
        <f t="shared" si="36"/>
        <v>HFO</v>
      </c>
      <c r="K24" s="6" t="str">
        <f t="shared" si="36"/>
        <v>HFO</v>
      </c>
      <c r="L24" s="6" t="str">
        <f t="shared" si="36"/>
        <v>HFO</v>
      </c>
      <c r="M24" s="6" t="str">
        <f t="shared" si="36"/>
        <v>HFO</v>
      </c>
      <c r="N24" s="6" t="str">
        <f t="shared" si="36"/>
        <v>HFO</v>
      </c>
      <c r="O24" s="6" t="str">
        <f t="shared" si="36"/>
        <v>HFO</v>
      </c>
      <c r="P24" s="6" t="str">
        <f t="shared" si="36"/>
        <v>HFO</v>
      </c>
      <c r="Q24" s="6" t="str">
        <f t="shared" si="36"/>
        <v>HFO</v>
      </c>
      <c r="R24" s="6" t="str">
        <f t="shared" si="36"/>
        <v>HFO</v>
      </c>
      <c r="X24" s="279" t="s">
        <v>262</v>
      </c>
      <c r="Z24" s="107"/>
      <c r="AA24" s="6" t="str">
        <f t="shared" ref="AA24:AL24" si="37">INDEX(mapping_fuel_to_fueltype,MATCH(AA16,list_fuels_long,0))</f>
        <v>HFO</v>
      </c>
      <c r="AB24" s="6" t="str">
        <f t="shared" si="37"/>
        <v>HFO</v>
      </c>
      <c r="AC24" s="6" t="str">
        <f t="shared" si="37"/>
        <v>HFO</v>
      </c>
      <c r="AD24" s="6" t="str">
        <f t="shared" si="37"/>
        <v>HFO</v>
      </c>
      <c r="AE24" s="6" t="str">
        <f t="shared" si="37"/>
        <v>HFO</v>
      </c>
      <c r="AF24" s="6" t="str">
        <f t="shared" si="37"/>
        <v>HFO</v>
      </c>
      <c r="AG24" s="6" t="str">
        <f t="shared" si="37"/>
        <v>HFO</v>
      </c>
      <c r="AH24" s="6" t="str">
        <f t="shared" si="37"/>
        <v>HFO</v>
      </c>
      <c r="AI24" s="6" t="str">
        <f t="shared" si="37"/>
        <v>HFO</v>
      </c>
      <c r="AJ24" s="6" t="str">
        <f t="shared" si="37"/>
        <v>HFO</v>
      </c>
      <c r="AK24" s="6" t="str">
        <f t="shared" si="37"/>
        <v>HFO</v>
      </c>
      <c r="AL24" s="6" t="str">
        <f t="shared" si="37"/>
        <v>HFO</v>
      </c>
      <c r="AR24" s="279" t="s">
        <v>262</v>
      </c>
      <c r="AT24" s="107"/>
      <c r="AU24" s="6" t="str">
        <f t="shared" ref="AU24:BF24" si="38">INDEX(mapping_fuel_to_fueltype,MATCH(AU16,list_fuels_long,0))</f>
        <v>Diesel</v>
      </c>
      <c r="AV24" s="6" t="str">
        <f t="shared" si="38"/>
        <v>Diesel</v>
      </c>
      <c r="AW24" s="6" t="str">
        <f t="shared" si="38"/>
        <v>Diesel</v>
      </c>
      <c r="AX24" s="6" t="str">
        <f t="shared" si="38"/>
        <v>Diesel</v>
      </c>
      <c r="AY24" s="6" t="str">
        <f t="shared" si="38"/>
        <v>Diesel</v>
      </c>
      <c r="AZ24" s="6" t="str">
        <f t="shared" si="38"/>
        <v>Diesel</v>
      </c>
      <c r="BA24" s="6" t="str">
        <f t="shared" si="38"/>
        <v>Diesel</v>
      </c>
      <c r="BB24" s="6" t="str">
        <f t="shared" si="38"/>
        <v>Diesel</v>
      </c>
      <c r="BC24" s="6" t="str">
        <f t="shared" si="38"/>
        <v>Diesel</v>
      </c>
      <c r="BD24" s="6" t="str">
        <f t="shared" si="38"/>
        <v>Diesel</v>
      </c>
      <c r="BE24" s="6" t="str">
        <f t="shared" si="38"/>
        <v>Diesel</v>
      </c>
      <c r="BF24" s="6" t="str">
        <f t="shared" si="38"/>
        <v>Diesel</v>
      </c>
      <c r="BG24" s="6"/>
      <c r="BH24" s="6"/>
      <c r="BL24" s="279" t="s">
        <v>262</v>
      </c>
      <c r="BN24" s="107"/>
      <c r="BO24" s="6" t="str">
        <f t="shared" ref="BO24:BZ24" si="39">INDEX(mapping_fuel_to_fueltype,MATCH(BO16,list_fuels_long,0))</f>
        <v>Diesel</v>
      </c>
      <c r="BP24" s="6" t="str">
        <f t="shared" si="39"/>
        <v>Diesel</v>
      </c>
      <c r="BQ24" s="6" t="str">
        <f t="shared" si="39"/>
        <v>Diesel</v>
      </c>
      <c r="BR24" s="6" t="str">
        <f t="shared" si="39"/>
        <v>Diesel</v>
      </c>
      <c r="BS24" s="6" t="str">
        <f t="shared" si="39"/>
        <v>Diesel</v>
      </c>
      <c r="BT24" s="6" t="str">
        <f t="shared" si="39"/>
        <v>Diesel</v>
      </c>
      <c r="BU24" s="6" t="str">
        <f t="shared" si="39"/>
        <v>Diesel</v>
      </c>
      <c r="BV24" s="6" t="str">
        <f t="shared" si="39"/>
        <v>Diesel</v>
      </c>
      <c r="BW24" s="6" t="str">
        <f t="shared" si="39"/>
        <v>Diesel</v>
      </c>
      <c r="BX24" s="6" t="str">
        <f t="shared" si="39"/>
        <v>Diesel</v>
      </c>
      <c r="BY24" s="6" t="str">
        <f t="shared" si="39"/>
        <v>Diesel</v>
      </c>
      <c r="BZ24" s="6" t="str">
        <f t="shared" si="39"/>
        <v>Diesel</v>
      </c>
      <c r="CA24" s="6"/>
      <c r="CB24" s="6"/>
      <c r="CF24" s="279" t="s">
        <v>262</v>
      </c>
      <c r="CH24" s="107"/>
      <c r="CI24" s="6" t="str">
        <f t="shared" ref="CI24:CT24" si="40">INDEX(mapping_fuel_to_fueltype,MATCH(CI16,list_fuels_long,0))</f>
        <v>Diesel</v>
      </c>
      <c r="CJ24" s="6" t="str">
        <f t="shared" si="40"/>
        <v>Diesel</v>
      </c>
      <c r="CK24" s="6" t="str">
        <f t="shared" si="40"/>
        <v>Diesel</v>
      </c>
      <c r="CL24" s="6" t="str">
        <f t="shared" si="40"/>
        <v>Diesel</v>
      </c>
      <c r="CM24" s="6" t="str">
        <f t="shared" si="40"/>
        <v>Diesel</v>
      </c>
      <c r="CN24" s="6" t="str">
        <f t="shared" si="40"/>
        <v>Diesel</v>
      </c>
      <c r="CO24" s="6" t="str">
        <f t="shared" si="40"/>
        <v>Diesel</v>
      </c>
      <c r="CP24" s="6" t="str">
        <f t="shared" si="40"/>
        <v>Diesel</v>
      </c>
      <c r="CQ24" s="6" t="str">
        <f t="shared" si="40"/>
        <v>Diesel</v>
      </c>
      <c r="CR24" s="6" t="str">
        <f t="shared" si="40"/>
        <v>Diesel</v>
      </c>
      <c r="CS24" s="6" t="str">
        <f t="shared" si="40"/>
        <v>Diesel</v>
      </c>
      <c r="CT24" s="6" t="str">
        <f t="shared" si="40"/>
        <v>Diesel</v>
      </c>
      <c r="CU24" s="6"/>
      <c r="CV24" s="6"/>
    </row>
    <row r="25" spans="2:100" x14ac:dyDescent="0.2">
      <c r="F25" s="107" t="str">
        <f>CHOOSE(F$8,'Vessel Configurator'!$C29,'Vessel Configurator'!$D29,'Vessel Configurator'!$E29,'Vessel Configurator'!$F29,'Vessel Configurator'!$G29)</f>
        <v>Manual</v>
      </c>
      <c r="G25" s="24" t="str">
        <f>F25</f>
        <v>Manual</v>
      </c>
      <c r="H25" s="24" t="str">
        <f t="shared" ref="H25:R25" si="41">G25</f>
        <v>Manual</v>
      </c>
      <c r="I25" s="24" t="str">
        <f t="shared" si="41"/>
        <v>Manual</v>
      </c>
      <c r="J25" s="24" t="str">
        <f t="shared" si="41"/>
        <v>Manual</v>
      </c>
      <c r="K25" s="24" t="str">
        <f t="shared" si="41"/>
        <v>Manual</v>
      </c>
      <c r="L25" s="24" t="str">
        <f t="shared" si="41"/>
        <v>Manual</v>
      </c>
      <c r="M25" s="24" t="str">
        <f t="shared" si="41"/>
        <v>Manual</v>
      </c>
      <c r="N25" s="24" t="str">
        <f t="shared" si="41"/>
        <v>Manual</v>
      </c>
      <c r="O25" s="24" t="str">
        <f t="shared" si="41"/>
        <v>Manual</v>
      </c>
      <c r="P25" s="24" t="str">
        <f t="shared" si="41"/>
        <v>Manual</v>
      </c>
      <c r="Q25" s="24" t="str">
        <f t="shared" si="41"/>
        <v>Manual</v>
      </c>
      <c r="R25" s="24" t="str">
        <f t="shared" si="41"/>
        <v>Manual</v>
      </c>
      <c r="S25" s="273"/>
      <c r="T25" s="273"/>
      <c r="U25" s="273"/>
      <c r="V25" s="273"/>
      <c r="W25" s="273"/>
      <c r="Z25" s="107" t="str">
        <f>CHOOSE(Z$8,'Vessel Configurator'!$C29,'Vessel Configurator'!$D29,'Vessel Configurator'!$E29,'Vessel Configurator'!$F29,'Vessel Configurator'!$G29)</f>
        <v>Manual</v>
      </c>
      <c r="AA25" s="24" t="str">
        <f>Z25</f>
        <v>Manual</v>
      </c>
      <c r="AB25" s="24" t="str">
        <f t="shared" ref="AB25:AL25" si="42">AA25</f>
        <v>Manual</v>
      </c>
      <c r="AC25" s="24" t="str">
        <f t="shared" si="42"/>
        <v>Manual</v>
      </c>
      <c r="AD25" s="24" t="str">
        <f t="shared" si="42"/>
        <v>Manual</v>
      </c>
      <c r="AE25" s="24" t="str">
        <f t="shared" si="42"/>
        <v>Manual</v>
      </c>
      <c r="AF25" s="24" t="str">
        <f t="shared" si="42"/>
        <v>Manual</v>
      </c>
      <c r="AG25" s="24" t="str">
        <f t="shared" si="42"/>
        <v>Manual</v>
      </c>
      <c r="AH25" s="24" t="str">
        <f t="shared" si="42"/>
        <v>Manual</v>
      </c>
      <c r="AI25" s="24" t="str">
        <f t="shared" si="42"/>
        <v>Manual</v>
      </c>
      <c r="AJ25" s="24" t="str">
        <f t="shared" si="42"/>
        <v>Manual</v>
      </c>
      <c r="AK25" s="24" t="str">
        <f t="shared" si="42"/>
        <v>Manual</v>
      </c>
      <c r="AL25" s="24" t="str">
        <f t="shared" si="42"/>
        <v>Manual</v>
      </c>
      <c r="AM25" s="273"/>
      <c r="AN25" s="273"/>
      <c r="AO25" s="273"/>
      <c r="AP25" s="273"/>
      <c r="AQ25" s="273"/>
      <c r="AT25" s="107" t="str">
        <f>CHOOSE(AT$8,'Vessel Configurator'!$C29,'Vessel Configurator'!$D29,'Vessel Configurator'!$E29,'Vessel Configurator'!$F29,'Vessel Configurator'!$G29)</f>
        <v>Manual</v>
      </c>
      <c r="AU25" s="24" t="str">
        <f>AT25</f>
        <v>Manual</v>
      </c>
      <c r="AV25" s="24" t="str">
        <f t="shared" ref="AV25:BF25" si="43">AU25</f>
        <v>Manual</v>
      </c>
      <c r="AW25" s="24" t="str">
        <f t="shared" si="43"/>
        <v>Manual</v>
      </c>
      <c r="AX25" s="24" t="str">
        <f t="shared" si="43"/>
        <v>Manual</v>
      </c>
      <c r="AY25" s="24" t="str">
        <f t="shared" si="43"/>
        <v>Manual</v>
      </c>
      <c r="AZ25" s="24" t="str">
        <f t="shared" si="43"/>
        <v>Manual</v>
      </c>
      <c r="BA25" s="24" t="str">
        <f t="shared" si="43"/>
        <v>Manual</v>
      </c>
      <c r="BB25" s="24" t="str">
        <f t="shared" si="43"/>
        <v>Manual</v>
      </c>
      <c r="BC25" s="24" t="str">
        <f t="shared" si="43"/>
        <v>Manual</v>
      </c>
      <c r="BD25" s="24" t="str">
        <f t="shared" si="43"/>
        <v>Manual</v>
      </c>
      <c r="BE25" s="24" t="str">
        <f t="shared" si="43"/>
        <v>Manual</v>
      </c>
      <c r="BF25" s="24" t="str">
        <f t="shared" si="43"/>
        <v>Manual</v>
      </c>
      <c r="BG25" s="273"/>
      <c r="BH25" s="273"/>
      <c r="BI25" s="273"/>
      <c r="BJ25" s="273"/>
      <c r="BN25" s="107" t="str">
        <f>CHOOSE(BN$8,'Vessel Configurator'!$C29,'Vessel Configurator'!$D29,'Vessel Configurator'!$E29,'Vessel Configurator'!$F29,'Vessel Configurator'!$G29)</f>
        <v>Manual</v>
      </c>
      <c r="BO25" s="24" t="str">
        <f>BN25</f>
        <v>Manual</v>
      </c>
      <c r="BP25" s="24" t="str">
        <f t="shared" ref="BP25:BZ25" si="44">BO25</f>
        <v>Manual</v>
      </c>
      <c r="BQ25" s="24" t="str">
        <f t="shared" si="44"/>
        <v>Manual</v>
      </c>
      <c r="BR25" s="24" t="str">
        <f t="shared" si="44"/>
        <v>Manual</v>
      </c>
      <c r="BS25" s="24" t="str">
        <f t="shared" si="44"/>
        <v>Manual</v>
      </c>
      <c r="BT25" s="24" t="str">
        <f t="shared" si="44"/>
        <v>Manual</v>
      </c>
      <c r="BU25" s="24" t="str">
        <f t="shared" si="44"/>
        <v>Manual</v>
      </c>
      <c r="BV25" s="24" t="str">
        <f t="shared" si="44"/>
        <v>Manual</v>
      </c>
      <c r="BW25" s="24" t="str">
        <f t="shared" si="44"/>
        <v>Manual</v>
      </c>
      <c r="BX25" s="24" t="str">
        <f t="shared" si="44"/>
        <v>Manual</v>
      </c>
      <c r="BY25" s="24" t="str">
        <f t="shared" si="44"/>
        <v>Manual</v>
      </c>
      <c r="BZ25" s="24" t="str">
        <f t="shared" si="44"/>
        <v>Manual</v>
      </c>
      <c r="CA25" s="273"/>
      <c r="CB25" s="273"/>
      <c r="CC25" s="273"/>
      <c r="CD25" s="273"/>
      <c r="CH25" s="107" t="str">
        <f>CHOOSE(CH$8,'Vessel Configurator'!$C29,'Vessel Configurator'!$D29,'Vessel Configurator'!$E29,'Vessel Configurator'!$F29,'Vessel Configurator'!$G29)</f>
        <v>Manual</v>
      </c>
      <c r="CI25" s="24" t="str">
        <f>CH25</f>
        <v>Manual</v>
      </c>
      <c r="CJ25" s="24" t="str">
        <f t="shared" ref="CJ25:CT25" si="45">CI25</f>
        <v>Manual</v>
      </c>
      <c r="CK25" s="24" t="str">
        <f t="shared" si="45"/>
        <v>Manual</v>
      </c>
      <c r="CL25" s="24" t="str">
        <f t="shared" si="45"/>
        <v>Manual</v>
      </c>
      <c r="CM25" s="24" t="str">
        <f t="shared" si="45"/>
        <v>Manual</v>
      </c>
      <c r="CN25" s="24" t="str">
        <f t="shared" si="45"/>
        <v>Manual</v>
      </c>
      <c r="CO25" s="24" t="str">
        <f t="shared" si="45"/>
        <v>Manual</v>
      </c>
      <c r="CP25" s="24" t="str">
        <f t="shared" si="45"/>
        <v>Manual</v>
      </c>
      <c r="CQ25" s="24" t="str">
        <f t="shared" si="45"/>
        <v>Manual</v>
      </c>
      <c r="CR25" s="24" t="str">
        <f t="shared" si="45"/>
        <v>Manual</v>
      </c>
      <c r="CS25" s="24" t="str">
        <f t="shared" si="45"/>
        <v>Manual</v>
      </c>
      <c r="CT25" s="24" t="str">
        <f t="shared" si="45"/>
        <v>Manual</v>
      </c>
      <c r="CU25" s="273"/>
      <c r="CV25" s="273"/>
    </row>
    <row r="26" spans="2:100" x14ac:dyDescent="0.2">
      <c r="G26" s="18"/>
      <c r="H26" s="18"/>
      <c r="I26" s="18"/>
      <c r="J26" s="18"/>
      <c r="K26" s="18"/>
      <c r="L26" s="18"/>
      <c r="M26" s="18"/>
      <c r="N26" s="18"/>
      <c r="O26" s="18"/>
      <c r="P26" s="18"/>
      <c r="Q26" s="18"/>
      <c r="R26" s="18"/>
      <c r="S26" s="273"/>
      <c r="T26" s="273"/>
      <c r="U26" s="273"/>
      <c r="V26" s="273"/>
      <c r="W26" s="273"/>
      <c r="AA26" s="18"/>
      <c r="AB26" s="18"/>
      <c r="AC26" s="18"/>
      <c r="AD26" s="18"/>
      <c r="AE26" s="18"/>
      <c r="AF26" s="18"/>
      <c r="AG26" s="18"/>
      <c r="AH26" s="18"/>
      <c r="AI26" s="18"/>
      <c r="AJ26" s="18"/>
      <c r="AK26" s="18"/>
      <c r="AL26" s="18"/>
      <c r="AM26" s="273"/>
      <c r="AN26" s="273"/>
      <c r="AO26" s="273"/>
      <c r="AP26" s="273"/>
      <c r="AQ26" s="273"/>
      <c r="AU26" s="18"/>
      <c r="AV26" s="18"/>
      <c r="AW26" s="18"/>
      <c r="AX26" s="18"/>
      <c r="AY26" s="18"/>
      <c r="AZ26" s="18"/>
      <c r="BA26" s="18"/>
      <c r="BB26" s="18"/>
      <c r="BC26" s="18"/>
      <c r="BD26" s="18"/>
      <c r="BE26" s="18"/>
      <c r="BF26" s="18"/>
      <c r="BG26" s="273"/>
      <c r="BH26" s="273"/>
      <c r="BI26" s="273"/>
      <c r="BJ26" s="273"/>
      <c r="BO26" s="18"/>
      <c r="BP26" s="18"/>
      <c r="BQ26" s="18"/>
      <c r="BR26" s="18"/>
      <c r="BS26" s="18"/>
      <c r="BT26" s="18"/>
      <c r="BU26" s="18"/>
      <c r="BV26" s="18"/>
      <c r="BW26" s="18"/>
      <c r="BX26" s="18"/>
      <c r="BY26" s="18"/>
      <c r="BZ26" s="18"/>
      <c r="CA26" s="273"/>
      <c r="CB26" s="273"/>
      <c r="CC26" s="273"/>
      <c r="CD26" s="273"/>
      <c r="CI26" s="18"/>
      <c r="CJ26" s="18"/>
      <c r="CK26" s="18"/>
      <c r="CL26" s="18"/>
      <c r="CM26" s="18"/>
      <c r="CN26" s="18"/>
      <c r="CO26" s="18"/>
      <c r="CP26" s="18"/>
      <c r="CQ26" s="18"/>
      <c r="CR26" s="18"/>
      <c r="CS26" s="18"/>
      <c r="CT26" s="18"/>
      <c r="CU26" s="273"/>
      <c r="CV26" s="273"/>
    </row>
    <row r="27" spans="2:100" s="4" customFormat="1" x14ac:dyDescent="0.2">
      <c r="B27" s="280" t="s">
        <v>214</v>
      </c>
      <c r="D27" s="40"/>
      <c r="F27" s="281"/>
      <c r="G27" s="33"/>
      <c r="H27" s="96"/>
      <c r="I27" s="62"/>
      <c r="J27" s="62"/>
      <c r="K27" s="62"/>
      <c r="L27" s="62"/>
      <c r="M27" s="62"/>
      <c r="N27" s="62"/>
      <c r="O27" s="62"/>
      <c r="P27" s="62"/>
      <c r="Q27" s="62"/>
      <c r="R27" s="62"/>
      <c r="X27" s="40"/>
      <c r="Z27" s="281"/>
      <c r="AA27" s="62"/>
      <c r="AB27" s="62"/>
      <c r="AC27" s="62"/>
      <c r="AD27" s="62"/>
      <c r="AE27" s="62"/>
      <c r="AF27" s="62"/>
      <c r="AG27" s="62"/>
      <c r="AH27" s="62"/>
      <c r="AI27" s="62"/>
      <c r="AJ27" s="62"/>
      <c r="AK27" s="62"/>
      <c r="AL27" s="62"/>
      <c r="AR27" s="40"/>
      <c r="AT27" s="281"/>
      <c r="AU27" s="62"/>
      <c r="AV27" s="62"/>
      <c r="AW27" s="62"/>
      <c r="AX27" s="62"/>
      <c r="AY27" s="62"/>
      <c r="AZ27" s="62"/>
      <c r="BA27" s="62"/>
      <c r="BB27" s="62"/>
      <c r="BC27" s="62"/>
      <c r="BD27" s="62"/>
      <c r="BE27" s="62"/>
      <c r="BF27" s="62"/>
      <c r="BL27" s="40"/>
      <c r="BN27" s="281"/>
      <c r="BO27" s="62"/>
      <c r="BP27" s="62"/>
      <c r="BQ27" s="62"/>
      <c r="BR27" s="62"/>
      <c r="BS27" s="62"/>
      <c r="BT27" s="62"/>
      <c r="BU27" s="62"/>
      <c r="BV27" s="62"/>
      <c r="BW27" s="62"/>
      <c r="BX27" s="62"/>
      <c r="BY27" s="62"/>
      <c r="BZ27" s="62"/>
      <c r="CF27" s="40"/>
      <c r="CH27" s="281"/>
      <c r="CI27" s="62"/>
      <c r="CJ27" s="62"/>
      <c r="CK27" s="62"/>
      <c r="CL27" s="62"/>
      <c r="CM27" s="62"/>
      <c r="CN27" s="62"/>
      <c r="CO27" s="62"/>
      <c r="CP27" s="62"/>
      <c r="CQ27" s="62"/>
      <c r="CR27" s="62"/>
      <c r="CS27" s="62"/>
      <c r="CT27" s="62"/>
    </row>
    <row r="28" spans="2:100" x14ac:dyDescent="0.2">
      <c r="C28" s="266" t="s">
        <v>263</v>
      </c>
      <c r="D28" s="266" t="s">
        <v>213</v>
      </c>
      <c r="E28" s="266" t="s">
        <v>211</v>
      </c>
      <c r="F28" s="282"/>
      <c r="G28" s="283">
        <f ca="1">G30+G35</f>
        <v>5850817.5</v>
      </c>
      <c r="H28" s="283">
        <f t="shared" ref="H28:R28" ca="1" si="46">H30+H35</f>
        <v>5850817.5</v>
      </c>
      <c r="I28" s="283">
        <f t="shared" ca="1" si="46"/>
        <v>5850817.5</v>
      </c>
      <c r="J28" s="283">
        <f t="shared" ca="1" si="46"/>
        <v>5850817.5</v>
      </c>
      <c r="K28" s="283">
        <f t="shared" ca="1" si="46"/>
        <v>5850817.5</v>
      </c>
      <c r="L28" s="283">
        <f t="shared" ca="1" si="46"/>
        <v>5850817.5</v>
      </c>
      <c r="M28" s="283">
        <f t="shared" ca="1" si="46"/>
        <v>5850817.5</v>
      </c>
      <c r="N28" s="283">
        <f t="shared" ca="1" si="46"/>
        <v>5850817.5</v>
      </c>
      <c r="O28" s="283">
        <f t="shared" ca="1" si="46"/>
        <v>5850817.5</v>
      </c>
      <c r="P28" s="283">
        <f t="shared" ca="1" si="46"/>
        <v>5850817.5</v>
      </c>
      <c r="Q28" s="283">
        <f t="shared" ca="1" si="46"/>
        <v>5850817.5</v>
      </c>
      <c r="R28" s="283">
        <f t="shared" ca="1" si="46"/>
        <v>5850817.5</v>
      </c>
      <c r="X28" s="266" t="s">
        <v>213</v>
      </c>
      <c r="Y28" s="266" t="s">
        <v>211</v>
      </c>
      <c r="Z28" s="282"/>
      <c r="AA28" s="283">
        <f ca="1">AA30+AA35</f>
        <v>7394520.375</v>
      </c>
      <c r="AB28" s="283">
        <f t="shared" ref="AB28:AL28" ca="1" si="47">AB30+AB35</f>
        <v>7394520.375</v>
      </c>
      <c r="AC28" s="283">
        <f t="shared" ca="1" si="47"/>
        <v>7394520.375</v>
      </c>
      <c r="AD28" s="283">
        <f t="shared" ca="1" si="47"/>
        <v>7394520.375</v>
      </c>
      <c r="AE28" s="283">
        <f t="shared" ca="1" si="47"/>
        <v>7394520.375</v>
      </c>
      <c r="AF28" s="283">
        <f t="shared" ca="1" si="47"/>
        <v>7394520.375</v>
      </c>
      <c r="AG28" s="283">
        <f t="shared" ca="1" si="47"/>
        <v>7394520.375</v>
      </c>
      <c r="AH28" s="283">
        <f t="shared" ca="1" si="47"/>
        <v>7394520.375</v>
      </c>
      <c r="AI28" s="283">
        <f t="shared" ca="1" si="47"/>
        <v>7394520.375</v>
      </c>
      <c r="AJ28" s="283">
        <f t="shared" ca="1" si="47"/>
        <v>7394520.375</v>
      </c>
      <c r="AK28" s="283">
        <f t="shared" ca="1" si="47"/>
        <v>7394520.375</v>
      </c>
      <c r="AL28" s="283">
        <f t="shared" ca="1" si="47"/>
        <v>7394520.375</v>
      </c>
      <c r="AR28" s="266" t="s">
        <v>213</v>
      </c>
      <c r="AS28" s="266" t="s">
        <v>211</v>
      </c>
      <c r="AT28" s="282"/>
      <c r="AU28" s="283">
        <f ca="1">AU30+AU35</f>
        <v>6963155.375</v>
      </c>
      <c r="AV28" s="283">
        <f t="shared" ref="AV28:BF28" ca="1" si="48">AV30+AV35</f>
        <v>6963155.375</v>
      </c>
      <c r="AW28" s="283">
        <f t="shared" ca="1" si="48"/>
        <v>6963155.375</v>
      </c>
      <c r="AX28" s="283">
        <f t="shared" ca="1" si="48"/>
        <v>6963155.375</v>
      </c>
      <c r="AY28" s="283">
        <f t="shared" ca="1" si="48"/>
        <v>6963155.375</v>
      </c>
      <c r="AZ28" s="283">
        <f t="shared" ca="1" si="48"/>
        <v>6963155.375</v>
      </c>
      <c r="BA28" s="283">
        <f t="shared" ca="1" si="48"/>
        <v>6963155.375</v>
      </c>
      <c r="BB28" s="283">
        <f t="shared" ca="1" si="48"/>
        <v>6963155.375</v>
      </c>
      <c r="BC28" s="283">
        <f t="shared" ca="1" si="48"/>
        <v>6963155.375</v>
      </c>
      <c r="BD28" s="283">
        <f t="shared" ca="1" si="48"/>
        <v>6963155.375</v>
      </c>
      <c r="BE28" s="283">
        <f t="shared" ca="1" si="48"/>
        <v>6963155.375</v>
      </c>
      <c r="BF28" s="283">
        <f t="shared" ca="1" si="48"/>
        <v>6963155.375</v>
      </c>
      <c r="BG28" s="283"/>
      <c r="BH28" s="283"/>
      <c r="BL28" s="266" t="s">
        <v>213</v>
      </c>
      <c r="BM28" s="266" t="s">
        <v>211</v>
      </c>
      <c r="BN28" s="282"/>
      <c r="BO28" s="283">
        <f ca="1">BO30+BO35</f>
        <v>6963155.375</v>
      </c>
      <c r="BP28" s="283">
        <f t="shared" ref="BP28:BZ28" ca="1" si="49">BP30+BP35</f>
        <v>6963155.375</v>
      </c>
      <c r="BQ28" s="283">
        <f t="shared" ca="1" si="49"/>
        <v>6963155.375</v>
      </c>
      <c r="BR28" s="283">
        <f t="shared" ca="1" si="49"/>
        <v>6963155.375</v>
      </c>
      <c r="BS28" s="283">
        <f t="shared" ca="1" si="49"/>
        <v>6963155.375</v>
      </c>
      <c r="BT28" s="283">
        <f t="shared" ca="1" si="49"/>
        <v>6963155.375</v>
      </c>
      <c r="BU28" s="283">
        <f t="shared" ca="1" si="49"/>
        <v>6963155.375</v>
      </c>
      <c r="BV28" s="283">
        <f t="shared" ca="1" si="49"/>
        <v>6963155.375</v>
      </c>
      <c r="BW28" s="283">
        <f t="shared" ca="1" si="49"/>
        <v>6963155.375</v>
      </c>
      <c r="BX28" s="283">
        <f t="shared" ca="1" si="49"/>
        <v>6963155.375</v>
      </c>
      <c r="BY28" s="283">
        <f t="shared" ca="1" si="49"/>
        <v>6963155.375</v>
      </c>
      <c r="BZ28" s="283">
        <f t="shared" ca="1" si="49"/>
        <v>6963155.375</v>
      </c>
      <c r="CA28" s="283"/>
      <c r="CB28" s="283"/>
      <c r="CF28" s="266" t="s">
        <v>213</v>
      </c>
      <c r="CG28" s="266" t="s">
        <v>211</v>
      </c>
      <c r="CH28" s="282"/>
      <c r="CI28" s="283">
        <f ca="1">CI30+CI35</f>
        <v>6709660.375</v>
      </c>
      <c r="CJ28" s="283">
        <f t="shared" ref="CJ28:CT28" ca="1" si="50">CJ30+CJ35</f>
        <v>6709660.375</v>
      </c>
      <c r="CK28" s="283">
        <f t="shared" ca="1" si="50"/>
        <v>6709660.375</v>
      </c>
      <c r="CL28" s="283">
        <f t="shared" ca="1" si="50"/>
        <v>6709660.375</v>
      </c>
      <c r="CM28" s="283">
        <f t="shared" ca="1" si="50"/>
        <v>6709660.375</v>
      </c>
      <c r="CN28" s="283">
        <f t="shared" ca="1" si="50"/>
        <v>6709660.375</v>
      </c>
      <c r="CO28" s="283">
        <f t="shared" ca="1" si="50"/>
        <v>6709660.375</v>
      </c>
      <c r="CP28" s="283">
        <f t="shared" ca="1" si="50"/>
        <v>6709660.375</v>
      </c>
      <c r="CQ28" s="283">
        <f t="shared" ca="1" si="50"/>
        <v>6709660.375</v>
      </c>
      <c r="CR28" s="283">
        <f t="shared" ca="1" si="50"/>
        <v>6709660.375</v>
      </c>
      <c r="CS28" s="283">
        <f t="shared" ca="1" si="50"/>
        <v>6709660.375</v>
      </c>
      <c r="CT28" s="283">
        <f t="shared" ca="1" si="50"/>
        <v>6709660.375</v>
      </c>
      <c r="CU28" s="283"/>
      <c r="CV28" s="283"/>
    </row>
    <row r="29" spans="2:100" outlineLevel="1" x14ac:dyDescent="0.2">
      <c r="D29" s="3" t="s">
        <v>214</v>
      </c>
      <c r="E29" t="s">
        <v>178</v>
      </c>
      <c r="G29" s="71">
        <f ca="1">'TCO - Input'!$R$18*('TCO - Input'!$R$16+G33*G34)+(1-'TCO - Input'!$R$18)*('TCO - Input'!$R$17+G38*G39)</f>
        <v>7.0000000000000007E-2</v>
      </c>
      <c r="H29" s="71">
        <f ca="1">'TCO - Input'!$R$18*('TCO - Input'!$R$16+H33*H34)+(1-'TCO - Input'!$R$18)*('TCO - Input'!$R$17+H38*H39)</f>
        <v>7.0000000000000007E-2</v>
      </c>
      <c r="I29" s="71">
        <f ca="1">'TCO - Input'!$R$18*('TCO - Input'!$R$16+I33*I34)+(1-'TCO - Input'!$R$18)*('TCO - Input'!$R$17+I38*I39)</f>
        <v>7.0000000000000007E-2</v>
      </c>
      <c r="J29" s="71">
        <f ca="1">'TCO - Input'!$R$18*('TCO - Input'!$R$16+J33*J34)+(1-'TCO - Input'!$R$18)*('TCO - Input'!$R$17+J38*J39)</f>
        <v>7.0000000000000007E-2</v>
      </c>
      <c r="K29" s="71">
        <f ca="1">'TCO - Input'!$R$18*('TCO - Input'!$R$16+K33*K34)+(1-'TCO - Input'!$R$18)*('TCO - Input'!$R$17+K38*K39)</f>
        <v>7.0000000000000007E-2</v>
      </c>
      <c r="L29" s="71">
        <f ca="1">'TCO - Input'!$R$18*('TCO - Input'!$R$16+L33*L34)+(1-'TCO - Input'!$R$18)*('TCO - Input'!$R$17+L38*L39)</f>
        <v>7.0000000000000007E-2</v>
      </c>
      <c r="M29" s="71">
        <f ca="1">'TCO - Input'!$R$18*('TCO - Input'!$R$16+M33*M34)+(1-'TCO - Input'!$R$18)*('TCO - Input'!$R$17+M38*M39)</f>
        <v>7.0000000000000007E-2</v>
      </c>
      <c r="N29" s="71">
        <f ca="1">'TCO - Input'!$R$18*('TCO - Input'!$R$16+N33*N34)+(1-'TCO - Input'!$R$18)*('TCO - Input'!$R$17+N38*N39)</f>
        <v>7.0000000000000007E-2</v>
      </c>
      <c r="O29" s="71">
        <f ca="1">'TCO - Input'!$R$18*('TCO - Input'!$R$16+O33*O34)+(1-'TCO - Input'!$R$18)*('TCO - Input'!$R$17+O38*O39)</f>
        <v>7.0000000000000007E-2</v>
      </c>
      <c r="P29" s="71">
        <f ca="1">'TCO - Input'!$R$18*('TCO - Input'!$R$16+P33*P34)+(1-'TCO - Input'!$R$18)*('TCO - Input'!$R$17+P38*P39)</f>
        <v>7.0000000000000007E-2</v>
      </c>
      <c r="Q29" s="71">
        <f ca="1">'TCO - Input'!$R$18*('TCO - Input'!$R$16+Q33*Q34)+(1-'TCO - Input'!$R$18)*('TCO - Input'!$R$17+Q38*Q39)</f>
        <v>7.0000000000000007E-2</v>
      </c>
      <c r="R29" s="71">
        <f ca="1">'TCO - Input'!$R$18*('TCO - Input'!$R$16+R33*R34)+(1-'TCO - Input'!$R$18)*('TCO - Input'!$R$17+R38*R39)</f>
        <v>7.0000000000000007E-2</v>
      </c>
      <c r="X29" s="3" t="s">
        <v>214</v>
      </c>
      <c r="Y29" t="s">
        <v>178</v>
      </c>
      <c r="AA29" s="71">
        <f ca="1">'TCO - Input'!$R$18*('TCO - Input'!$R$16+AA33*AA34)+(1-'TCO - Input'!$R$18)*('TCO - Input'!$R$17+AA38*AA39)</f>
        <v>7.0000000000000007E-2</v>
      </c>
      <c r="AB29" s="71">
        <f ca="1">'TCO - Input'!$R$18*('TCO - Input'!$R$16+AB33*AB34)+(1-'TCO - Input'!$R$18)*('TCO - Input'!$R$17+AB38*AB39)</f>
        <v>7.0000000000000007E-2</v>
      </c>
      <c r="AC29" s="71">
        <f ca="1">'TCO - Input'!$R$18*('TCO - Input'!$R$16+AC33*AC34)+(1-'TCO - Input'!$R$18)*('TCO - Input'!$R$17+AC38*AC39)</f>
        <v>7.0000000000000007E-2</v>
      </c>
      <c r="AD29" s="71">
        <f ca="1">'TCO - Input'!$R$18*('TCO - Input'!$R$16+AD33*AD34)+(1-'TCO - Input'!$R$18)*('TCO - Input'!$R$17+AD38*AD39)</f>
        <v>7.0000000000000007E-2</v>
      </c>
      <c r="AE29" s="71">
        <f ca="1">'TCO - Input'!$R$18*('TCO - Input'!$R$16+AE33*AE34)+(1-'TCO - Input'!$R$18)*('TCO - Input'!$R$17+AE38*AE39)</f>
        <v>7.0000000000000007E-2</v>
      </c>
      <c r="AF29" s="71">
        <f ca="1">'TCO - Input'!$R$18*('TCO - Input'!$R$16+AF33*AF34)+(1-'TCO - Input'!$R$18)*('TCO - Input'!$R$17+AF38*AF39)</f>
        <v>7.0000000000000007E-2</v>
      </c>
      <c r="AG29" s="71">
        <f ca="1">'TCO - Input'!$R$18*('TCO - Input'!$R$16+AG33*AG34)+(1-'TCO - Input'!$R$18)*('TCO - Input'!$R$17+AG38*AG39)</f>
        <v>7.0000000000000007E-2</v>
      </c>
      <c r="AH29" s="71">
        <f ca="1">'TCO - Input'!$R$18*('TCO - Input'!$R$16+AH33*AH34)+(1-'TCO - Input'!$R$18)*('TCO - Input'!$R$17+AH38*AH39)</f>
        <v>7.0000000000000007E-2</v>
      </c>
      <c r="AI29" s="71">
        <f ca="1">'TCO - Input'!$R$18*('TCO - Input'!$R$16+AI33*AI34)+(1-'TCO - Input'!$R$18)*('TCO - Input'!$R$17+AI38*AI39)</f>
        <v>7.0000000000000007E-2</v>
      </c>
      <c r="AJ29" s="71">
        <f ca="1">'TCO - Input'!$R$18*('TCO - Input'!$R$16+AJ33*AJ34)+(1-'TCO - Input'!$R$18)*('TCO - Input'!$R$17+AJ38*AJ39)</f>
        <v>7.0000000000000007E-2</v>
      </c>
      <c r="AK29" s="71">
        <f ca="1">'TCO - Input'!$R$18*('TCO - Input'!$R$16+AK33*AK34)+(1-'TCO - Input'!$R$18)*('TCO - Input'!$R$17+AK38*AK39)</f>
        <v>7.0000000000000007E-2</v>
      </c>
      <c r="AL29" s="71">
        <f ca="1">'TCO - Input'!$R$18*('TCO - Input'!$R$16+AL33*AL34)+(1-'TCO - Input'!$R$18)*('TCO - Input'!$R$17+AL38*AL39)</f>
        <v>7.0000000000000007E-2</v>
      </c>
      <c r="AR29" s="3" t="s">
        <v>214</v>
      </c>
      <c r="AS29" t="s">
        <v>178</v>
      </c>
      <c r="AU29" s="71">
        <f ca="1">'TCO - Input'!$R$18*('TCO - Input'!$R$16+AU33*AU34)+(1-'TCO - Input'!$R$18)*('TCO - Input'!$R$17+AU38*AU39)</f>
        <v>7.0000000000000007E-2</v>
      </c>
      <c r="AV29" s="71">
        <f ca="1">'TCO - Input'!$R$18*('TCO - Input'!$R$16+AV33*AV34)+(1-'TCO - Input'!$R$18)*('TCO - Input'!$R$17+AV38*AV39)</f>
        <v>7.0000000000000007E-2</v>
      </c>
      <c r="AW29" s="71">
        <f ca="1">'TCO - Input'!$R$18*('TCO - Input'!$R$16+AW33*AW34)+(1-'TCO - Input'!$R$18)*('TCO - Input'!$R$17+AW38*AW39)</f>
        <v>7.0000000000000007E-2</v>
      </c>
      <c r="AX29" s="71">
        <f ca="1">'TCO - Input'!$R$18*('TCO - Input'!$R$16+AX33*AX34)+(1-'TCO - Input'!$R$18)*('TCO - Input'!$R$17+AX38*AX39)</f>
        <v>7.0000000000000007E-2</v>
      </c>
      <c r="AY29" s="71">
        <f ca="1">'TCO - Input'!$R$18*('TCO - Input'!$R$16+AY33*AY34)+(1-'TCO - Input'!$R$18)*('TCO - Input'!$R$17+AY38*AY39)</f>
        <v>7.0000000000000007E-2</v>
      </c>
      <c r="AZ29" s="71">
        <f ca="1">'TCO - Input'!$R$18*('TCO - Input'!$R$16+AZ33*AZ34)+(1-'TCO - Input'!$R$18)*('TCO - Input'!$R$17+AZ38*AZ39)</f>
        <v>7.0000000000000007E-2</v>
      </c>
      <c r="BA29" s="71">
        <f ca="1">'TCO - Input'!$R$18*('TCO - Input'!$R$16+BA33*BA34)+(1-'TCO - Input'!$R$18)*('TCO - Input'!$R$17+BA38*BA39)</f>
        <v>7.0000000000000007E-2</v>
      </c>
      <c r="BB29" s="71">
        <f ca="1">'TCO - Input'!$R$18*('TCO - Input'!$R$16+BB33*BB34)+(1-'TCO - Input'!$R$18)*('TCO - Input'!$R$17+BB38*BB39)</f>
        <v>7.0000000000000007E-2</v>
      </c>
      <c r="BC29" s="71">
        <f ca="1">'TCO - Input'!$R$18*('TCO - Input'!$R$16+BC33*BC34)+(1-'TCO - Input'!$R$18)*('TCO - Input'!$R$17+BC38*BC39)</f>
        <v>7.0000000000000007E-2</v>
      </c>
      <c r="BD29" s="71">
        <f ca="1">'TCO - Input'!$R$18*('TCO - Input'!$R$16+BD33*BD34)+(1-'TCO - Input'!$R$18)*('TCO - Input'!$R$17+BD38*BD39)</f>
        <v>7.0000000000000007E-2</v>
      </c>
      <c r="BE29" s="71">
        <f ca="1">'TCO - Input'!$R$18*('TCO - Input'!$R$16+BE33*BE34)+(1-'TCO - Input'!$R$18)*('TCO - Input'!$R$17+BE38*BE39)</f>
        <v>7.0000000000000007E-2</v>
      </c>
      <c r="BF29" s="71">
        <f ca="1">'TCO - Input'!$R$18*('TCO - Input'!$R$16+BF33*BF34)+(1-'TCO - Input'!$R$18)*('TCO - Input'!$R$17+BF38*BF39)</f>
        <v>7.0000000000000007E-2</v>
      </c>
      <c r="BG29" s="18"/>
      <c r="BH29" s="18"/>
      <c r="BL29" s="3" t="s">
        <v>214</v>
      </c>
      <c r="BM29" t="s">
        <v>178</v>
      </c>
      <c r="BO29" s="71">
        <f ca="1">'TCO - Input'!$R$18*('TCO - Input'!$R$16+BO33*BO34)+(1-'TCO - Input'!$R$18)*('TCO - Input'!$R$17+BO38*BO39)</f>
        <v>7.0000000000000007E-2</v>
      </c>
      <c r="BP29" s="71">
        <f ca="1">'TCO - Input'!$R$18*('TCO - Input'!$R$16+BP33*BP34)+(1-'TCO - Input'!$R$18)*('TCO - Input'!$R$17+BP38*BP39)</f>
        <v>7.0000000000000007E-2</v>
      </c>
      <c r="BQ29" s="71">
        <f ca="1">'TCO - Input'!$R$18*('TCO - Input'!$R$16+BQ33*BQ34)+(1-'TCO - Input'!$R$18)*('TCO - Input'!$R$17+BQ38*BQ39)</f>
        <v>7.0000000000000007E-2</v>
      </c>
      <c r="BR29" s="71">
        <f ca="1">'TCO - Input'!$R$18*('TCO - Input'!$R$16+BR33*BR34)+(1-'TCO - Input'!$R$18)*('TCO - Input'!$R$17+BR38*BR39)</f>
        <v>7.0000000000000007E-2</v>
      </c>
      <c r="BS29" s="71">
        <f ca="1">'TCO - Input'!$R$18*('TCO - Input'!$R$16+BS33*BS34)+(1-'TCO - Input'!$R$18)*('TCO - Input'!$R$17+BS38*BS39)</f>
        <v>7.0000000000000007E-2</v>
      </c>
      <c r="BT29" s="71">
        <f ca="1">'TCO - Input'!$R$18*('TCO - Input'!$R$16+BT33*BT34)+(1-'TCO - Input'!$R$18)*('TCO - Input'!$R$17+BT38*BT39)</f>
        <v>7.0000000000000007E-2</v>
      </c>
      <c r="BU29" s="71">
        <f ca="1">'TCO - Input'!$R$18*('TCO - Input'!$R$16+BU33*BU34)+(1-'TCO - Input'!$R$18)*('TCO - Input'!$R$17+BU38*BU39)</f>
        <v>7.0000000000000007E-2</v>
      </c>
      <c r="BV29" s="71">
        <f ca="1">'TCO - Input'!$R$18*('TCO - Input'!$R$16+BV33*BV34)+(1-'TCO - Input'!$R$18)*('TCO - Input'!$R$17+BV38*BV39)</f>
        <v>7.0000000000000007E-2</v>
      </c>
      <c r="BW29" s="71">
        <f ca="1">'TCO - Input'!$R$18*('TCO - Input'!$R$16+BW33*BW34)+(1-'TCO - Input'!$R$18)*('TCO - Input'!$R$17+BW38*BW39)</f>
        <v>7.0000000000000007E-2</v>
      </c>
      <c r="BX29" s="71">
        <f ca="1">'TCO - Input'!$R$18*('TCO - Input'!$R$16+BX33*BX34)+(1-'TCO - Input'!$R$18)*('TCO - Input'!$R$17+BX38*BX39)</f>
        <v>7.0000000000000007E-2</v>
      </c>
      <c r="BY29" s="71">
        <f ca="1">'TCO - Input'!$R$18*('TCO - Input'!$R$16+BY33*BY34)+(1-'TCO - Input'!$R$18)*('TCO - Input'!$R$17+BY38*BY39)</f>
        <v>7.0000000000000007E-2</v>
      </c>
      <c r="BZ29" s="71">
        <f ca="1">'TCO - Input'!$R$18*('TCO - Input'!$R$16+BZ33*BZ34)+(1-'TCO - Input'!$R$18)*('TCO - Input'!$R$17+BZ38*BZ39)</f>
        <v>7.0000000000000007E-2</v>
      </c>
      <c r="CA29" s="18"/>
      <c r="CB29" s="18"/>
      <c r="CF29" s="3" t="s">
        <v>214</v>
      </c>
      <c r="CG29" t="s">
        <v>178</v>
      </c>
      <c r="CI29" s="71">
        <f ca="1">'TCO - Input'!$R$18*('TCO - Input'!$R$16+CI33*CI34)+(1-'TCO - Input'!$R$18)*('TCO - Input'!$R$17+CI38*CI39)</f>
        <v>7.0000000000000007E-2</v>
      </c>
      <c r="CJ29" s="71">
        <f ca="1">'TCO - Input'!$R$18*('TCO - Input'!$R$16+CJ33*CJ34)+(1-'TCO - Input'!$R$18)*('TCO - Input'!$R$17+CJ38*CJ39)</f>
        <v>7.0000000000000007E-2</v>
      </c>
      <c r="CK29" s="71">
        <f ca="1">'TCO - Input'!$R$18*('TCO - Input'!$R$16+CK33*CK34)+(1-'TCO - Input'!$R$18)*('TCO - Input'!$R$17+CK38*CK39)</f>
        <v>7.0000000000000007E-2</v>
      </c>
      <c r="CL29" s="71">
        <f ca="1">'TCO - Input'!$R$18*('TCO - Input'!$R$16+CL33*CL34)+(1-'TCO - Input'!$R$18)*('TCO - Input'!$R$17+CL38*CL39)</f>
        <v>7.0000000000000007E-2</v>
      </c>
      <c r="CM29" s="71">
        <f ca="1">'TCO - Input'!$R$18*('TCO - Input'!$R$16+CM33*CM34)+(1-'TCO - Input'!$R$18)*('TCO - Input'!$R$17+CM38*CM39)</f>
        <v>7.0000000000000007E-2</v>
      </c>
      <c r="CN29" s="71">
        <f ca="1">'TCO - Input'!$R$18*('TCO - Input'!$R$16+CN33*CN34)+(1-'TCO - Input'!$R$18)*('TCO - Input'!$R$17+CN38*CN39)</f>
        <v>7.0000000000000007E-2</v>
      </c>
      <c r="CO29" s="71">
        <f ca="1">'TCO - Input'!$R$18*('TCO - Input'!$R$16+CO33*CO34)+(1-'TCO - Input'!$R$18)*('TCO - Input'!$R$17+CO38*CO39)</f>
        <v>7.0000000000000007E-2</v>
      </c>
      <c r="CP29" s="71">
        <f ca="1">'TCO - Input'!$R$18*('TCO - Input'!$R$16+CP33*CP34)+(1-'TCO - Input'!$R$18)*('TCO - Input'!$R$17+CP38*CP39)</f>
        <v>7.0000000000000007E-2</v>
      </c>
      <c r="CQ29" s="71">
        <f ca="1">'TCO - Input'!$R$18*('TCO - Input'!$R$16+CQ33*CQ34)+(1-'TCO - Input'!$R$18)*('TCO - Input'!$R$17+CQ38*CQ39)</f>
        <v>7.0000000000000007E-2</v>
      </c>
      <c r="CR29" s="71">
        <f ca="1">'TCO - Input'!$R$18*('TCO - Input'!$R$16+CR33*CR34)+(1-'TCO - Input'!$R$18)*('TCO - Input'!$R$17+CR38*CR39)</f>
        <v>7.0000000000000007E-2</v>
      </c>
      <c r="CS29" s="71">
        <f ca="1">'TCO - Input'!$R$18*('TCO - Input'!$R$16+CS33*CS34)+(1-'TCO - Input'!$R$18)*('TCO - Input'!$R$17+CS38*CS39)</f>
        <v>7.0000000000000007E-2</v>
      </c>
      <c r="CT29" s="71">
        <f ca="1">'TCO - Input'!$R$18*('TCO - Input'!$R$16+CT33*CT34)+(1-'TCO - Input'!$R$18)*('TCO - Input'!$R$17+CT38*CT39)</f>
        <v>7.0000000000000007E-2</v>
      </c>
      <c r="CU29" s="18"/>
      <c r="CV29" s="18"/>
    </row>
    <row r="30" spans="2:100" outlineLevel="1" x14ac:dyDescent="0.2">
      <c r="D30" s="3" t="s">
        <v>264</v>
      </c>
      <c r="E30" t="s">
        <v>211</v>
      </c>
      <c r="G30" s="18">
        <f ca="1">SUM(G31:G32)</f>
        <v>1595677.5</v>
      </c>
      <c r="H30" s="18">
        <f t="shared" ref="H30:R30" ca="1" si="51">SUM(H31:H32)</f>
        <v>1595677.5</v>
      </c>
      <c r="I30" s="18">
        <f t="shared" ca="1" si="51"/>
        <v>1595677.5</v>
      </c>
      <c r="J30" s="18">
        <f t="shared" ca="1" si="51"/>
        <v>1595677.5</v>
      </c>
      <c r="K30" s="18">
        <f t="shared" ca="1" si="51"/>
        <v>1595677.5</v>
      </c>
      <c r="L30" s="18">
        <f t="shared" ca="1" si="51"/>
        <v>1595677.5</v>
      </c>
      <c r="M30" s="18">
        <f t="shared" ca="1" si="51"/>
        <v>1595677.5</v>
      </c>
      <c r="N30" s="18">
        <f t="shared" ca="1" si="51"/>
        <v>1595677.5</v>
      </c>
      <c r="O30" s="18">
        <f t="shared" ca="1" si="51"/>
        <v>1595677.5</v>
      </c>
      <c r="P30" s="18">
        <f t="shared" ca="1" si="51"/>
        <v>1595677.5</v>
      </c>
      <c r="Q30" s="18">
        <f t="shared" ca="1" si="51"/>
        <v>1595677.5</v>
      </c>
      <c r="R30" s="18">
        <f t="shared" ca="1" si="51"/>
        <v>1595677.5</v>
      </c>
      <c r="X30" s="3" t="s">
        <v>264</v>
      </c>
      <c r="Y30" t="s">
        <v>211</v>
      </c>
      <c r="AA30" s="18">
        <f ca="1">SUM(AA31:AA32)</f>
        <v>2016687.375</v>
      </c>
      <c r="AB30" s="18">
        <f t="shared" ref="AB30:AL30" ca="1" si="52">SUM(AB31:AB32)</f>
        <v>2016687.375</v>
      </c>
      <c r="AC30" s="18">
        <f t="shared" ca="1" si="52"/>
        <v>2016687.375</v>
      </c>
      <c r="AD30" s="18">
        <f t="shared" ca="1" si="52"/>
        <v>2016687.375</v>
      </c>
      <c r="AE30" s="18">
        <f t="shared" ca="1" si="52"/>
        <v>2016687.375</v>
      </c>
      <c r="AF30" s="18">
        <f t="shared" ca="1" si="52"/>
        <v>2016687.375</v>
      </c>
      <c r="AG30" s="18">
        <f t="shared" ca="1" si="52"/>
        <v>2016687.375</v>
      </c>
      <c r="AH30" s="18">
        <f t="shared" ca="1" si="52"/>
        <v>2016687.375</v>
      </c>
      <c r="AI30" s="18">
        <f t="shared" ca="1" si="52"/>
        <v>2016687.375</v>
      </c>
      <c r="AJ30" s="18">
        <f t="shared" ca="1" si="52"/>
        <v>2016687.375</v>
      </c>
      <c r="AK30" s="18">
        <f t="shared" ca="1" si="52"/>
        <v>2016687.375</v>
      </c>
      <c r="AL30" s="18">
        <f t="shared" ca="1" si="52"/>
        <v>2016687.375</v>
      </c>
      <c r="AR30" s="3" t="s">
        <v>264</v>
      </c>
      <c r="AS30" t="s">
        <v>211</v>
      </c>
      <c r="AU30" s="18">
        <f ca="1">SUM(AU31:AU32)</f>
        <v>1899042.375</v>
      </c>
      <c r="AV30" s="18">
        <f t="shared" ref="AV30:BF30" ca="1" si="53">SUM(AV31:AV32)</f>
        <v>1899042.375</v>
      </c>
      <c r="AW30" s="18">
        <f t="shared" ca="1" si="53"/>
        <v>1899042.375</v>
      </c>
      <c r="AX30" s="18">
        <f t="shared" ca="1" si="53"/>
        <v>1899042.375</v>
      </c>
      <c r="AY30" s="18">
        <f t="shared" ca="1" si="53"/>
        <v>1899042.375</v>
      </c>
      <c r="AZ30" s="18">
        <f t="shared" ca="1" si="53"/>
        <v>1899042.375</v>
      </c>
      <c r="BA30" s="18">
        <f t="shared" ca="1" si="53"/>
        <v>1899042.375</v>
      </c>
      <c r="BB30" s="18">
        <f t="shared" ca="1" si="53"/>
        <v>1899042.375</v>
      </c>
      <c r="BC30" s="18">
        <f t="shared" ca="1" si="53"/>
        <v>1899042.375</v>
      </c>
      <c r="BD30" s="18">
        <f t="shared" ca="1" si="53"/>
        <v>1899042.375</v>
      </c>
      <c r="BE30" s="18">
        <f t="shared" ca="1" si="53"/>
        <v>1899042.375</v>
      </c>
      <c r="BF30" s="18">
        <f t="shared" ca="1" si="53"/>
        <v>1899042.375</v>
      </c>
      <c r="BG30" s="18"/>
      <c r="BH30" s="18"/>
      <c r="BL30" s="3" t="s">
        <v>264</v>
      </c>
      <c r="BM30" t="s">
        <v>211</v>
      </c>
      <c r="BO30" s="18">
        <f ca="1">SUM(BO31:BO32)</f>
        <v>1899042.375</v>
      </c>
      <c r="BP30" s="18">
        <f t="shared" ref="BP30:BZ30" ca="1" si="54">SUM(BP31:BP32)</f>
        <v>1899042.375</v>
      </c>
      <c r="BQ30" s="18">
        <f t="shared" ca="1" si="54"/>
        <v>1899042.375</v>
      </c>
      <c r="BR30" s="18">
        <f t="shared" ca="1" si="54"/>
        <v>1899042.375</v>
      </c>
      <c r="BS30" s="18">
        <f t="shared" ca="1" si="54"/>
        <v>1899042.375</v>
      </c>
      <c r="BT30" s="18">
        <f t="shared" ca="1" si="54"/>
        <v>1899042.375</v>
      </c>
      <c r="BU30" s="18">
        <f t="shared" ca="1" si="54"/>
        <v>1899042.375</v>
      </c>
      <c r="BV30" s="18">
        <f t="shared" ca="1" si="54"/>
        <v>1899042.375</v>
      </c>
      <c r="BW30" s="18">
        <f t="shared" ca="1" si="54"/>
        <v>1899042.375</v>
      </c>
      <c r="BX30" s="18">
        <f t="shared" ca="1" si="54"/>
        <v>1899042.375</v>
      </c>
      <c r="BY30" s="18">
        <f t="shared" ca="1" si="54"/>
        <v>1899042.375</v>
      </c>
      <c r="BZ30" s="18">
        <f t="shared" ca="1" si="54"/>
        <v>1899042.375</v>
      </c>
      <c r="CA30" s="18"/>
      <c r="CB30" s="18"/>
      <c r="CF30" s="3" t="s">
        <v>264</v>
      </c>
      <c r="CG30" t="s">
        <v>211</v>
      </c>
      <c r="CI30" s="18">
        <f ca="1">SUM(CI31:CI32)</f>
        <v>1829907.375</v>
      </c>
      <c r="CJ30" s="18">
        <f t="shared" ref="CJ30:CT30" ca="1" si="55">SUM(CJ31:CJ32)</f>
        <v>1829907.375</v>
      </c>
      <c r="CK30" s="18">
        <f t="shared" ca="1" si="55"/>
        <v>1829907.375</v>
      </c>
      <c r="CL30" s="18">
        <f t="shared" ca="1" si="55"/>
        <v>1829907.375</v>
      </c>
      <c r="CM30" s="18">
        <f t="shared" ca="1" si="55"/>
        <v>1829907.375</v>
      </c>
      <c r="CN30" s="18">
        <f t="shared" ca="1" si="55"/>
        <v>1829907.375</v>
      </c>
      <c r="CO30" s="18">
        <f t="shared" ca="1" si="55"/>
        <v>1829907.375</v>
      </c>
      <c r="CP30" s="18">
        <f t="shared" ca="1" si="55"/>
        <v>1829907.375</v>
      </c>
      <c r="CQ30" s="18">
        <f t="shared" ca="1" si="55"/>
        <v>1829907.375</v>
      </c>
      <c r="CR30" s="18">
        <f t="shared" ca="1" si="55"/>
        <v>1829907.375</v>
      </c>
      <c r="CS30" s="18">
        <f t="shared" ca="1" si="55"/>
        <v>1829907.375</v>
      </c>
      <c r="CT30" s="18">
        <f t="shared" ca="1" si="55"/>
        <v>1829907.375</v>
      </c>
      <c r="CU30" s="18"/>
      <c r="CV30" s="18"/>
    </row>
    <row r="31" spans="2:100" outlineLevel="1" x14ac:dyDescent="0.2">
      <c r="D31" s="12" t="s">
        <v>265</v>
      </c>
      <c r="E31" t="s">
        <v>211</v>
      </c>
      <c r="G31" s="18">
        <f ca="1">G47*constant_vessel_lifetime*'TCO - Input'!$R$16*'TCO - Input'!$R$18/2</f>
        <v>1595677.5</v>
      </c>
      <c r="H31" s="18">
        <f ca="1">H47*constant_vessel_lifetime*'TCO - Input'!$R$16*'TCO - Input'!$R$18/2</f>
        <v>1595677.5</v>
      </c>
      <c r="I31" s="18">
        <f ca="1">I47*constant_vessel_lifetime*'TCO - Input'!$R$16*'TCO - Input'!$R$18/2</f>
        <v>1595677.5</v>
      </c>
      <c r="J31" s="18">
        <f ca="1">J47*constant_vessel_lifetime*'TCO - Input'!$R$16*'TCO - Input'!$R$18/2</f>
        <v>1595677.5</v>
      </c>
      <c r="K31" s="18">
        <f ca="1">K47*constant_vessel_lifetime*'TCO - Input'!$R$16*'TCO - Input'!$R$18/2</f>
        <v>1595677.5</v>
      </c>
      <c r="L31" s="18">
        <f ca="1">L47*constant_vessel_lifetime*'TCO - Input'!$R$16*'TCO - Input'!$R$18/2</f>
        <v>1595677.5</v>
      </c>
      <c r="M31" s="18">
        <f ca="1">M47*constant_vessel_lifetime*'TCO - Input'!$R$16*'TCO - Input'!$R$18/2</f>
        <v>1595677.5</v>
      </c>
      <c r="N31" s="18">
        <f ca="1">N47*constant_vessel_lifetime*'TCO - Input'!$R$16*'TCO - Input'!$R$18/2</f>
        <v>1595677.5</v>
      </c>
      <c r="O31" s="18">
        <f ca="1">O47*constant_vessel_lifetime*'TCO - Input'!$R$16*'TCO - Input'!$R$18/2</f>
        <v>1595677.5</v>
      </c>
      <c r="P31" s="18">
        <f ca="1">P47*constant_vessel_lifetime*'TCO - Input'!$R$16*'TCO - Input'!$R$18/2</f>
        <v>1595677.5</v>
      </c>
      <c r="Q31" s="18">
        <f ca="1">Q47*constant_vessel_lifetime*'TCO - Input'!$R$16*'TCO - Input'!$R$18/2</f>
        <v>1595677.5</v>
      </c>
      <c r="R31" s="18">
        <f ca="1">R47*constant_vessel_lifetime*'TCO - Input'!$R$16*'TCO - Input'!$R$18/2</f>
        <v>1595677.5</v>
      </c>
      <c r="X31" s="12" t="s">
        <v>265</v>
      </c>
      <c r="Y31" t="s">
        <v>211</v>
      </c>
      <c r="AA31" s="18">
        <f ca="1">AA47*constant_vessel_lifetime*'TCO - Input'!$R$16*'TCO - Input'!$R$18/2</f>
        <v>2016687.375</v>
      </c>
      <c r="AB31" s="18">
        <f ca="1">AB47*constant_vessel_lifetime*'TCO - Input'!$R$16*'TCO - Input'!$R$18/2</f>
        <v>2016687.375</v>
      </c>
      <c r="AC31" s="18">
        <f ca="1">AC47*constant_vessel_lifetime*'TCO - Input'!$R$16*'TCO - Input'!$R$18/2</f>
        <v>2016687.375</v>
      </c>
      <c r="AD31" s="18">
        <f ca="1">AD47*constant_vessel_lifetime*'TCO - Input'!$R$16*'TCO - Input'!$R$18/2</f>
        <v>2016687.375</v>
      </c>
      <c r="AE31" s="18">
        <f ca="1">AE47*constant_vessel_lifetime*'TCO - Input'!$R$16*'TCO - Input'!$R$18/2</f>
        <v>2016687.375</v>
      </c>
      <c r="AF31" s="18">
        <f ca="1">AF47*constant_vessel_lifetime*'TCO - Input'!$R$16*'TCO - Input'!$R$18/2</f>
        <v>2016687.375</v>
      </c>
      <c r="AG31" s="18">
        <f ca="1">AG47*constant_vessel_lifetime*'TCO - Input'!$R$16*'TCO - Input'!$R$18/2</f>
        <v>2016687.375</v>
      </c>
      <c r="AH31" s="18">
        <f ca="1">AH47*constant_vessel_lifetime*'TCO - Input'!$R$16*'TCO - Input'!$R$18/2</f>
        <v>2016687.375</v>
      </c>
      <c r="AI31" s="18">
        <f ca="1">AI47*constant_vessel_lifetime*'TCO - Input'!$R$16*'TCO - Input'!$R$18/2</f>
        <v>2016687.375</v>
      </c>
      <c r="AJ31" s="18">
        <f ca="1">AJ47*constant_vessel_lifetime*'TCO - Input'!$R$16*'TCO - Input'!$R$18/2</f>
        <v>2016687.375</v>
      </c>
      <c r="AK31" s="18">
        <f ca="1">AK47*constant_vessel_lifetime*'TCO - Input'!$R$16*'TCO - Input'!$R$18/2</f>
        <v>2016687.375</v>
      </c>
      <c r="AL31" s="18">
        <f ca="1">AL47*constant_vessel_lifetime*'TCO - Input'!$R$16*'TCO - Input'!$R$18/2</f>
        <v>2016687.375</v>
      </c>
      <c r="AR31" s="12" t="s">
        <v>265</v>
      </c>
      <c r="AS31" t="s">
        <v>211</v>
      </c>
      <c r="AU31" s="18">
        <f ca="1">AU47*constant_vessel_lifetime*'TCO - Input'!$R$16*'TCO - Input'!$R$18/2</f>
        <v>1899042.375</v>
      </c>
      <c r="AV31" s="18">
        <f ca="1">AV47*constant_vessel_lifetime*'TCO - Input'!$R$16*'TCO - Input'!$R$18/2</f>
        <v>1899042.375</v>
      </c>
      <c r="AW31" s="18">
        <f ca="1">AW47*constant_vessel_lifetime*'TCO - Input'!$R$16*'TCO - Input'!$R$18/2</f>
        <v>1899042.375</v>
      </c>
      <c r="AX31" s="18">
        <f ca="1">AX47*constant_vessel_lifetime*'TCO - Input'!$R$16*'TCO - Input'!$R$18/2</f>
        <v>1899042.375</v>
      </c>
      <c r="AY31" s="18">
        <f ca="1">AY47*constant_vessel_lifetime*'TCO - Input'!$R$16*'TCO - Input'!$R$18/2</f>
        <v>1899042.375</v>
      </c>
      <c r="AZ31" s="18">
        <f ca="1">AZ47*constant_vessel_lifetime*'TCO - Input'!$R$16*'TCO - Input'!$R$18/2</f>
        <v>1899042.375</v>
      </c>
      <c r="BA31" s="18">
        <f ca="1">BA47*constant_vessel_lifetime*'TCO - Input'!$R$16*'TCO - Input'!$R$18/2</f>
        <v>1899042.375</v>
      </c>
      <c r="BB31" s="18">
        <f ca="1">BB47*constant_vessel_lifetime*'TCO - Input'!$R$16*'TCO - Input'!$R$18/2</f>
        <v>1899042.375</v>
      </c>
      <c r="BC31" s="18">
        <f ca="1">BC47*constant_vessel_lifetime*'TCO - Input'!$R$16*'TCO - Input'!$R$18/2</f>
        <v>1899042.375</v>
      </c>
      <c r="BD31" s="18">
        <f ca="1">BD47*constant_vessel_lifetime*'TCO - Input'!$R$16*'TCO - Input'!$R$18/2</f>
        <v>1899042.375</v>
      </c>
      <c r="BE31" s="18">
        <f ca="1">BE47*constant_vessel_lifetime*'TCO - Input'!$R$16*'TCO - Input'!$R$18/2</f>
        <v>1899042.375</v>
      </c>
      <c r="BF31" s="18">
        <f ca="1">BF47*constant_vessel_lifetime*'TCO - Input'!$R$16*'TCO - Input'!$R$18/2</f>
        <v>1899042.375</v>
      </c>
      <c r="BG31" s="18"/>
      <c r="BH31" s="18"/>
      <c r="BL31" s="12" t="s">
        <v>265</v>
      </c>
      <c r="BM31" t="s">
        <v>211</v>
      </c>
      <c r="BO31" s="18">
        <f ca="1">BO47*constant_vessel_lifetime*'TCO - Input'!$R$16*'TCO - Input'!$R$18/2</f>
        <v>1899042.375</v>
      </c>
      <c r="BP31" s="18">
        <f ca="1">BP47*constant_vessel_lifetime*'TCO - Input'!$R$16*'TCO - Input'!$R$18/2</f>
        <v>1899042.375</v>
      </c>
      <c r="BQ31" s="18">
        <f ca="1">BQ47*constant_vessel_lifetime*'TCO - Input'!$R$16*'TCO - Input'!$R$18/2</f>
        <v>1899042.375</v>
      </c>
      <c r="BR31" s="18">
        <f ca="1">BR47*constant_vessel_lifetime*'TCO - Input'!$R$16*'TCO - Input'!$R$18/2</f>
        <v>1899042.375</v>
      </c>
      <c r="BS31" s="18">
        <f ca="1">BS47*constant_vessel_lifetime*'TCO - Input'!$R$16*'TCO - Input'!$R$18/2</f>
        <v>1899042.375</v>
      </c>
      <c r="BT31" s="18">
        <f ca="1">BT47*constant_vessel_lifetime*'TCO - Input'!$R$16*'TCO - Input'!$R$18/2</f>
        <v>1899042.375</v>
      </c>
      <c r="BU31" s="18">
        <f ca="1">BU47*constant_vessel_lifetime*'TCO - Input'!$R$16*'TCO - Input'!$R$18/2</f>
        <v>1899042.375</v>
      </c>
      <c r="BV31" s="18">
        <f ca="1">BV47*constant_vessel_lifetime*'TCO - Input'!$R$16*'TCO - Input'!$R$18/2</f>
        <v>1899042.375</v>
      </c>
      <c r="BW31" s="18">
        <f ca="1">BW47*constant_vessel_lifetime*'TCO - Input'!$R$16*'TCO - Input'!$R$18/2</f>
        <v>1899042.375</v>
      </c>
      <c r="BX31" s="18">
        <f ca="1">BX47*constant_vessel_lifetime*'TCO - Input'!$R$16*'TCO - Input'!$R$18/2</f>
        <v>1899042.375</v>
      </c>
      <c r="BY31" s="18">
        <f ca="1">BY47*constant_vessel_lifetime*'TCO - Input'!$R$16*'TCO - Input'!$R$18/2</f>
        <v>1899042.375</v>
      </c>
      <c r="BZ31" s="18">
        <f ca="1">BZ47*constant_vessel_lifetime*'TCO - Input'!$R$16*'TCO - Input'!$R$18/2</f>
        <v>1899042.375</v>
      </c>
      <c r="CA31" s="18"/>
      <c r="CB31" s="18"/>
      <c r="CF31" s="12" t="s">
        <v>265</v>
      </c>
      <c r="CG31" t="s">
        <v>211</v>
      </c>
      <c r="CI31" s="18">
        <f ca="1">CI47*constant_vessel_lifetime*'TCO - Input'!$R$16*'TCO - Input'!$R$18/2</f>
        <v>1829907.375</v>
      </c>
      <c r="CJ31" s="18">
        <f ca="1">CJ47*constant_vessel_lifetime*'TCO - Input'!$R$16*'TCO - Input'!$R$18/2</f>
        <v>1829907.375</v>
      </c>
      <c r="CK31" s="18">
        <f ca="1">CK47*constant_vessel_lifetime*'TCO - Input'!$R$16*'TCO - Input'!$R$18/2</f>
        <v>1829907.375</v>
      </c>
      <c r="CL31" s="18">
        <f ca="1">CL47*constant_vessel_lifetime*'TCO - Input'!$R$16*'TCO - Input'!$R$18/2</f>
        <v>1829907.375</v>
      </c>
      <c r="CM31" s="18">
        <f ca="1">CM47*constant_vessel_lifetime*'TCO - Input'!$R$16*'TCO - Input'!$R$18/2</f>
        <v>1829907.375</v>
      </c>
      <c r="CN31" s="18">
        <f ca="1">CN47*constant_vessel_lifetime*'TCO - Input'!$R$16*'TCO - Input'!$R$18/2</f>
        <v>1829907.375</v>
      </c>
      <c r="CO31" s="18">
        <f ca="1">CO47*constant_vessel_lifetime*'TCO - Input'!$R$16*'TCO - Input'!$R$18/2</f>
        <v>1829907.375</v>
      </c>
      <c r="CP31" s="18">
        <f ca="1">CP47*constant_vessel_lifetime*'TCO - Input'!$R$16*'TCO - Input'!$R$18/2</f>
        <v>1829907.375</v>
      </c>
      <c r="CQ31" s="18">
        <f ca="1">CQ47*constant_vessel_lifetime*'TCO - Input'!$R$16*'TCO - Input'!$R$18/2</f>
        <v>1829907.375</v>
      </c>
      <c r="CR31" s="18">
        <f ca="1">CR47*constant_vessel_lifetime*'TCO - Input'!$R$16*'TCO - Input'!$R$18/2</f>
        <v>1829907.375</v>
      </c>
      <c r="CS31" s="18">
        <f ca="1">CS47*constant_vessel_lifetime*'TCO - Input'!$R$16*'TCO - Input'!$R$18/2</f>
        <v>1829907.375</v>
      </c>
      <c r="CT31" s="18">
        <f ca="1">CT47*constant_vessel_lifetime*'TCO - Input'!$R$16*'TCO - Input'!$R$18/2</f>
        <v>1829907.375</v>
      </c>
      <c r="CU31" s="18"/>
      <c r="CV31" s="18"/>
    </row>
    <row r="32" spans="2:100" outlineLevel="1" x14ac:dyDescent="0.2">
      <c r="D32" s="12" t="s">
        <v>266</v>
      </c>
      <c r="E32" t="s">
        <v>211</v>
      </c>
      <c r="G32" s="18">
        <f ca="1">G47*constant_vessel_lifetime*G$33*'TCO - Input'!$R$18*(MAX(0,MIN(1,G$34)))/2</f>
        <v>0</v>
      </c>
      <c r="H32" s="18">
        <f ca="1">H47*constant_vessel_lifetime*H$33*'TCO - Input'!$R$18*(MAX(0,MIN(1,H$34)))/2</f>
        <v>0</v>
      </c>
      <c r="I32" s="18">
        <f ca="1">I47*constant_vessel_lifetime*I$33*'TCO - Input'!$R$18*(MAX(0,MIN(1,I$34)))/2</f>
        <v>0</v>
      </c>
      <c r="J32" s="18">
        <f ca="1">J47*constant_vessel_lifetime*J$33*'TCO - Input'!$R$18*(MAX(0,MIN(1,J$34)))/2</f>
        <v>0</v>
      </c>
      <c r="K32" s="18">
        <f ca="1">K47*constant_vessel_lifetime*K$33*'TCO - Input'!$R$18*(MAX(0,MIN(1,K$34)))/2</f>
        <v>0</v>
      </c>
      <c r="L32" s="18">
        <f ca="1">L47*constant_vessel_lifetime*L$33*'TCO - Input'!$R$18*(MAX(0,MIN(1,L$34)))/2</f>
        <v>0</v>
      </c>
      <c r="M32" s="18">
        <f ca="1">M47*constant_vessel_lifetime*M$33*'TCO - Input'!$R$18*(MAX(0,MIN(1,M$34)))/2</f>
        <v>0</v>
      </c>
      <c r="N32" s="18">
        <f ca="1">N47*constant_vessel_lifetime*N$33*'TCO - Input'!$R$18*(MAX(0,MIN(1,N$34)))/2</f>
        <v>0</v>
      </c>
      <c r="O32" s="18">
        <f ca="1">O47*constant_vessel_lifetime*O$33*'TCO - Input'!$R$18*(MAX(0,MIN(1,O$34)))/2</f>
        <v>0</v>
      </c>
      <c r="P32" s="18">
        <f ca="1">P47*constant_vessel_lifetime*P$33*'TCO - Input'!$R$18*(MAX(0,MIN(1,P$34)))/2</f>
        <v>0</v>
      </c>
      <c r="Q32" s="18">
        <f ca="1">Q47*constant_vessel_lifetime*Q$33*'TCO - Input'!$R$18*(MAX(0,MIN(1,Q$34)))/2</f>
        <v>0</v>
      </c>
      <c r="R32" s="18">
        <f ca="1">R47*constant_vessel_lifetime*R$33*'TCO - Input'!$R$18*(MAX(0,MIN(1,R$34)))/2</f>
        <v>0</v>
      </c>
      <c r="X32" s="12" t="s">
        <v>266</v>
      </c>
      <c r="Y32" t="s">
        <v>211</v>
      </c>
      <c r="AA32" s="18">
        <f ca="1">AA47*constant_vessel_lifetime*AA$33*'TCO - Input'!$R$18*(MAX(0,MIN(1,AA$34)))/2</f>
        <v>0</v>
      </c>
      <c r="AB32" s="18">
        <f ca="1">AB47*constant_vessel_lifetime*AB$33*'TCO - Input'!$R$18*(MAX(0,MIN(1,AB$34)))/2</f>
        <v>0</v>
      </c>
      <c r="AC32" s="18">
        <f ca="1">AC47*constant_vessel_lifetime*AC$33*'TCO - Input'!$R$18*(MAX(0,MIN(1,AC$34)))/2</f>
        <v>0</v>
      </c>
      <c r="AD32" s="18">
        <f ca="1">AD47*constant_vessel_lifetime*AD$33*'TCO - Input'!$R$18*(MAX(0,MIN(1,AD$34)))/2</f>
        <v>0</v>
      </c>
      <c r="AE32" s="18">
        <f ca="1">AE47*constant_vessel_lifetime*AE$33*'TCO - Input'!$R$18*(MAX(0,MIN(1,AE$34)))/2</f>
        <v>0</v>
      </c>
      <c r="AF32" s="18">
        <f ca="1">AF47*constant_vessel_lifetime*AF$33*'TCO - Input'!$R$18*(MAX(0,MIN(1,AF$34)))/2</f>
        <v>0</v>
      </c>
      <c r="AG32" s="18">
        <f ca="1">AG47*constant_vessel_lifetime*AG$33*'TCO - Input'!$R$18*(MAX(0,MIN(1,AG$34)))/2</f>
        <v>0</v>
      </c>
      <c r="AH32" s="18">
        <f ca="1">AH47*constant_vessel_lifetime*AH$33*'TCO - Input'!$R$18*(MAX(0,MIN(1,AH$34)))/2</f>
        <v>0</v>
      </c>
      <c r="AI32" s="18">
        <f ca="1">AI47*constant_vessel_lifetime*AI$33*'TCO - Input'!$R$18*(MAX(0,MIN(1,AI$34)))/2</f>
        <v>0</v>
      </c>
      <c r="AJ32" s="18">
        <f ca="1">AJ47*constant_vessel_lifetime*AJ$33*'TCO - Input'!$R$18*(MAX(0,MIN(1,AJ$34)))/2</f>
        <v>0</v>
      </c>
      <c r="AK32" s="18">
        <f ca="1">AK47*constant_vessel_lifetime*AK$33*'TCO - Input'!$R$18*(MAX(0,MIN(1,AK$34)))/2</f>
        <v>0</v>
      </c>
      <c r="AL32" s="18">
        <f ca="1">AL47*constant_vessel_lifetime*AL$33*'TCO - Input'!$R$18*(MAX(0,MIN(1,AL$34)))/2</f>
        <v>0</v>
      </c>
      <c r="AR32" s="12" t="s">
        <v>266</v>
      </c>
      <c r="AS32" t="s">
        <v>211</v>
      </c>
      <c r="AU32" s="18">
        <f ca="1">AU47*constant_vessel_lifetime*AU$33*'TCO - Input'!$R$18*(MAX(0,MIN(1,AU$34)))/2</f>
        <v>0</v>
      </c>
      <c r="AV32" s="18">
        <f ca="1">AV47*constant_vessel_lifetime*AV$33*'TCO - Input'!$R$18*(MAX(0,MIN(1,AV$34)))/2</f>
        <v>0</v>
      </c>
      <c r="AW32" s="18">
        <f ca="1">AW47*constant_vessel_lifetime*AW$33*'TCO - Input'!$R$18*(MAX(0,MIN(1,AW$34)))/2</f>
        <v>0</v>
      </c>
      <c r="AX32" s="18">
        <f ca="1">AX47*constant_vessel_lifetime*AX$33*'TCO - Input'!$R$18*(MAX(0,MIN(1,AX$34)))/2</f>
        <v>0</v>
      </c>
      <c r="AY32" s="18">
        <f ca="1">AY47*constant_vessel_lifetime*AY$33*'TCO - Input'!$R$18*(MAX(0,MIN(1,AY$34)))/2</f>
        <v>0</v>
      </c>
      <c r="AZ32" s="18">
        <f ca="1">AZ47*constant_vessel_lifetime*AZ$33*'TCO - Input'!$R$18*(MAX(0,MIN(1,AZ$34)))/2</f>
        <v>0</v>
      </c>
      <c r="BA32" s="18">
        <f ca="1">BA47*constant_vessel_lifetime*BA$33*'TCO - Input'!$R$18*(MAX(0,MIN(1,BA$34)))/2</f>
        <v>0</v>
      </c>
      <c r="BB32" s="18">
        <f ca="1">BB47*constant_vessel_lifetime*BB$33*'TCO - Input'!$R$18*(MAX(0,MIN(1,BB$34)))/2</f>
        <v>0</v>
      </c>
      <c r="BC32" s="18">
        <f ca="1">BC47*constant_vessel_lifetime*BC$33*'TCO - Input'!$R$18*(MAX(0,MIN(1,BC$34)))/2</f>
        <v>0</v>
      </c>
      <c r="BD32" s="18">
        <f ca="1">BD47*constant_vessel_lifetime*BD$33*'TCO - Input'!$R$18*(MAX(0,MIN(1,BD$34)))/2</f>
        <v>0</v>
      </c>
      <c r="BE32" s="18">
        <f ca="1">BE47*constant_vessel_lifetime*BE$33*'TCO - Input'!$R$18*(MAX(0,MIN(1,BE$34)))/2</f>
        <v>0</v>
      </c>
      <c r="BF32" s="18">
        <f ca="1">BF47*constant_vessel_lifetime*BF$33*'TCO - Input'!$R$18*(MAX(0,MIN(1,BF$34)))/2</f>
        <v>0</v>
      </c>
      <c r="BG32" s="18"/>
      <c r="BH32" s="18"/>
      <c r="BL32" s="12" t="s">
        <v>266</v>
      </c>
      <c r="BM32" t="s">
        <v>211</v>
      </c>
      <c r="BO32" s="18">
        <f ca="1">BO47*constant_vessel_lifetime*BO$33*'TCO - Input'!$R$18*(MAX(0,MIN(1,BO$34)))/2</f>
        <v>0</v>
      </c>
      <c r="BP32" s="18">
        <f ca="1">BP47*constant_vessel_lifetime*BP$33*'TCO - Input'!$R$18*(MAX(0,MIN(1,BP$34)))/2</f>
        <v>0</v>
      </c>
      <c r="BQ32" s="18">
        <f ca="1">BQ47*constant_vessel_lifetime*BQ$33*'TCO - Input'!$R$18*(MAX(0,MIN(1,BQ$34)))/2</f>
        <v>0</v>
      </c>
      <c r="BR32" s="18">
        <f ca="1">BR47*constant_vessel_lifetime*BR$33*'TCO - Input'!$R$18*(MAX(0,MIN(1,BR$34)))/2</f>
        <v>0</v>
      </c>
      <c r="BS32" s="18">
        <f ca="1">BS47*constant_vessel_lifetime*BS$33*'TCO - Input'!$R$18*(MAX(0,MIN(1,BS$34)))/2</f>
        <v>0</v>
      </c>
      <c r="BT32" s="18">
        <f ca="1">BT47*constant_vessel_lifetime*BT$33*'TCO - Input'!$R$18*(MAX(0,MIN(1,BT$34)))/2</f>
        <v>0</v>
      </c>
      <c r="BU32" s="18">
        <f ca="1">BU47*constant_vessel_lifetime*BU$33*'TCO - Input'!$R$18*(MAX(0,MIN(1,BU$34)))/2</f>
        <v>0</v>
      </c>
      <c r="BV32" s="18">
        <f ca="1">BV47*constant_vessel_lifetime*BV$33*'TCO - Input'!$R$18*(MAX(0,MIN(1,BV$34)))/2</f>
        <v>0</v>
      </c>
      <c r="BW32" s="18">
        <f ca="1">BW47*constant_vessel_lifetime*BW$33*'TCO - Input'!$R$18*(MAX(0,MIN(1,BW$34)))/2</f>
        <v>0</v>
      </c>
      <c r="BX32" s="18">
        <f ca="1">BX47*constant_vessel_lifetime*BX$33*'TCO - Input'!$R$18*(MAX(0,MIN(1,BX$34)))/2</f>
        <v>0</v>
      </c>
      <c r="BY32" s="18">
        <f ca="1">BY47*constant_vessel_lifetime*BY$33*'TCO - Input'!$R$18*(MAX(0,MIN(1,BY$34)))/2</f>
        <v>0</v>
      </c>
      <c r="BZ32" s="18">
        <f ca="1">BZ47*constant_vessel_lifetime*BZ$33*'TCO - Input'!$R$18*(MAX(0,MIN(1,BZ$34)))/2</f>
        <v>0</v>
      </c>
      <c r="CA32" s="18"/>
      <c r="CB32" s="18"/>
      <c r="CF32" s="12" t="s">
        <v>266</v>
      </c>
      <c r="CG32" t="s">
        <v>211</v>
      </c>
      <c r="CI32" s="18">
        <f ca="1">CI47*constant_vessel_lifetime*CI$33*'TCO - Input'!$R$18*(MAX(0,MIN(1,CI$34)))/2</f>
        <v>0</v>
      </c>
      <c r="CJ32" s="18">
        <f ca="1">CJ47*constant_vessel_lifetime*CJ$33*'TCO - Input'!$R$18*(MAX(0,MIN(1,CJ$34)))/2</f>
        <v>0</v>
      </c>
      <c r="CK32" s="18">
        <f ca="1">CK47*constant_vessel_lifetime*CK$33*'TCO - Input'!$R$18*(MAX(0,MIN(1,CK$34)))/2</f>
        <v>0</v>
      </c>
      <c r="CL32" s="18">
        <f ca="1">CL47*constant_vessel_lifetime*CL$33*'TCO - Input'!$R$18*(MAX(0,MIN(1,CL$34)))/2</f>
        <v>0</v>
      </c>
      <c r="CM32" s="18">
        <f ca="1">CM47*constant_vessel_lifetime*CM$33*'TCO - Input'!$R$18*(MAX(0,MIN(1,CM$34)))/2</f>
        <v>0</v>
      </c>
      <c r="CN32" s="18">
        <f ca="1">CN47*constant_vessel_lifetime*CN$33*'TCO - Input'!$R$18*(MAX(0,MIN(1,CN$34)))/2</f>
        <v>0</v>
      </c>
      <c r="CO32" s="18">
        <f ca="1">CO47*constant_vessel_lifetime*CO$33*'TCO - Input'!$R$18*(MAX(0,MIN(1,CO$34)))/2</f>
        <v>0</v>
      </c>
      <c r="CP32" s="18">
        <f ca="1">CP47*constant_vessel_lifetime*CP$33*'TCO - Input'!$R$18*(MAX(0,MIN(1,CP$34)))/2</f>
        <v>0</v>
      </c>
      <c r="CQ32" s="18">
        <f ca="1">CQ47*constant_vessel_lifetime*CQ$33*'TCO - Input'!$R$18*(MAX(0,MIN(1,CQ$34)))/2</f>
        <v>0</v>
      </c>
      <c r="CR32" s="18">
        <f ca="1">CR47*constant_vessel_lifetime*CR$33*'TCO - Input'!$R$18*(MAX(0,MIN(1,CR$34)))/2</f>
        <v>0</v>
      </c>
      <c r="CS32" s="18">
        <f ca="1">CS47*constant_vessel_lifetime*CS$33*'TCO - Input'!$R$18*(MAX(0,MIN(1,CS$34)))/2</f>
        <v>0</v>
      </c>
      <c r="CT32" s="18">
        <f ca="1">CT47*constant_vessel_lifetime*CT$33*'TCO - Input'!$R$18*(MAX(0,MIN(1,CT$34)))/2</f>
        <v>0</v>
      </c>
      <c r="CU32" s="18"/>
      <c r="CV32" s="18"/>
    </row>
    <row r="33" spans="2:100" outlineLevel="1" x14ac:dyDescent="0.2">
      <c r="D33" s="16" t="s">
        <v>266</v>
      </c>
      <c r="E33" t="s">
        <v>267</v>
      </c>
      <c r="G33" s="71">
        <f t="shared" ref="G33:R33" si="56">swing_greenFinance_selected</f>
        <v>0</v>
      </c>
      <c r="H33" s="71">
        <f t="shared" si="56"/>
        <v>0</v>
      </c>
      <c r="I33" s="71">
        <f t="shared" si="56"/>
        <v>0</v>
      </c>
      <c r="J33" s="71">
        <f t="shared" si="56"/>
        <v>0</v>
      </c>
      <c r="K33" s="71">
        <f t="shared" si="56"/>
        <v>0</v>
      </c>
      <c r="L33" s="71">
        <f t="shared" si="56"/>
        <v>0</v>
      </c>
      <c r="M33" s="71">
        <f t="shared" si="56"/>
        <v>0</v>
      </c>
      <c r="N33" s="71">
        <f t="shared" si="56"/>
        <v>0</v>
      </c>
      <c r="O33" s="71">
        <f t="shared" si="56"/>
        <v>0</v>
      </c>
      <c r="P33" s="71">
        <f t="shared" si="56"/>
        <v>0</v>
      </c>
      <c r="Q33" s="71">
        <f t="shared" si="56"/>
        <v>0</v>
      </c>
      <c r="R33" s="71">
        <f t="shared" si="56"/>
        <v>0</v>
      </c>
      <c r="X33" s="16" t="s">
        <v>266</v>
      </c>
      <c r="Y33" t="s">
        <v>267</v>
      </c>
      <c r="AA33" s="71">
        <f t="shared" ref="AA33:AL33" si="57">swing_greenFinance_selected</f>
        <v>0</v>
      </c>
      <c r="AB33" s="71">
        <f t="shared" si="57"/>
        <v>0</v>
      </c>
      <c r="AC33" s="71">
        <f t="shared" si="57"/>
        <v>0</v>
      </c>
      <c r="AD33" s="71">
        <f t="shared" si="57"/>
        <v>0</v>
      </c>
      <c r="AE33" s="71">
        <f t="shared" si="57"/>
        <v>0</v>
      </c>
      <c r="AF33" s="71">
        <f t="shared" si="57"/>
        <v>0</v>
      </c>
      <c r="AG33" s="71">
        <f t="shared" si="57"/>
        <v>0</v>
      </c>
      <c r="AH33" s="71">
        <f t="shared" si="57"/>
        <v>0</v>
      </c>
      <c r="AI33" s="71">
        <f t="shared" si="57"/>
        <v>0</v>
      </c>
      <c r="AJ33" s="71">
        <f t="shared" si="57"/>
        <v>0</v>
      </c>
      <c r="AK33" s="71">
        <f t="shared" si="57"/>
        <v>0</v>
      </c>
      <c r="AL33" s="71">
        <f t="shared" si="57"/>
        <v>0</v>
      </c>
      <c r="AR33" s="16" t="s">
        <v>266</v>
      </c>
      <c r="AS33" t="s">
        <v>267</v>
      </c>
      <c r="AU33" s="71">
        <f t="shared" ref="AU33:BF33" si="58">swing_greenFinance_selected</f>
        <v>0</v>
      </c>
      <c r="AV33" s="71">
        <f t="shared" si="58"/>
        <v>0</v>
      </c>
      <c r="AW33" s="71">
        <f t="shared" si="58"/>
        <v>0</v>
      </c>
      <c r="AX33" s="71">
        <f t="shared" si="58"/>
        <v>0</v>
      </c>
      <c r="AY33" s="71">
        <f t="shared" si="58"/>
        <v>0</v>
      </c>
      <c r="AZ33" s="71">
        <f t="shared" si="58"/>
        <v>0</v>
      </c>
      <c r="BA33" s="71">
        <f t="shared" si="58"/>
        <v>0</v>
      </c>
      <c r="BB33" s="71">
        <f t="shared" si="58"/>
        <v>0</v>
      </c>
      <c r="BC33" s="71">
        <f t="shared" si="58"/>
        <v>0</v>
      </c>
      <c r="BD33" s="71">
        <f t="shared" si="58"/>
        <v>0</v>
      </c>
      <c r="BE33" s="71">
        <f t="shared" si="58"/>
        <v>0</v>
      </c>
      <c r="BF33" s="71">
        <f t="shared" si="58"/>
        <v>0</v>
      </c>
      <c r="BG33" s="18"/>
      <c r="BH33" s="18"/>
      <c r="BL33" s="16" t="s">
        <v>266</v>
      </c>
      <c r="BM33" t="s">
        <v>267</v>
      </c>
      <c r="BO33" s="71">
        <f t="shared" ref="BO33:BZ33" si="59">swing_greenFinance_selected</f>
        <v>0</v>
      </c>
      <c r="BP33" s="71">
        <f t="shared" si="59"/>
        <v>0</v>
      </c>
      <c r="BQ33" s="71">
        <f t="shared" si="59"/>
        <v>0</v>
      </c>
      <c r="BR33" s="71">
        <f t="shared" si="59"/>
        <v>0</v>
      </c>
      <c r="BS33" s="71">
        <f t="shared" si="59"/>
        <v>0</v>
      </c>
      <c r="BT33" s="71">
        <f t="shared" si="59"/>
        <v>0</v>
      </c>
      <c r="BU33" s="71">
        <f t="shared" si="59"/>
        <v>0</v>
      </c>
      <c r="BV33" s="71">
        <f t="shared" si="59"/>
        <v>0</v>
      </c>
      <c r="BW33" s="71">
        <f t="shared" si="59"/>
        <v>0</v>
      </c>
      <c r="BX33" s="71">
        <f t="shared" si="59"/>
        <v>0</v>
      </c>
      <c r="BY33" s="71">
        <f t="shared" si="59"/>
        <v>0</v>
      </c>
      <c r="BZ33" s="71">
        <f t="shared" si="59"/>
        <v>0</v>
      </c>
      <c r="CA33" s="18"/>
      <c r="CB33" s="18"/>
      <c r="CF33" s="16" t="s">
        <v>266</v>
      </c>
      <c r="CG33" t="s">
        <v>267</v>
      </c>
      <c r="CI33" s="71">
        <f t="shared" ref="CI33:CT33" si="60">swing_greenFinance_selected</f>
        <v>0</v>
      </c>
      <c r="CJ33" s="71">
        <f t="shared" si="60"/>
        <v>0</v>
      </c>
      <c r="CK33" s="71">
        <f t="shared" si="60"/>
        <v>0</v>
      </c>
      <c r="CL33" s="71">
        <f t="shared" si="60"/>
        <v>0</v>
      </c>
      <c r="CM33" s="71">
        <f t="shared" si="60"/>
        <v>0</v>
      </c>
      <c r="CN33" s="71">
        <f t="shared" si="60"/>
        <v>0</v>
      </c>
      <c r="CO33" s="71">
        <f t="shared" si="60"/>
        <v>0</v>
      </c>
      <c r="CP33" s="71">
        <f t="shared" si="60"/>
        <v>0</v>
      </c>
      <c r="CQ33" s="71">
        <f t="shared" si="60"/>
        <v>0</v>
      </c>
      <c r="CR33" s="71">
        <f t="shared" si="60"/>
        <v>0</v>
      </c>
      <c r="CS33" s="71">
        <f t="shared" si="60"/>
        <v>0</v>
      </c>
      <c r="CT33" s="71">
        <f t="shared" si="60"/>
        <v>0</v>
      </c>
      <c r="CU33" s="18"/>
      <c r="CV33" s="18"/>
    </row>
    <row r="34" spans="2:100" outlineLevel="1" x14ac:dyDescent="0.2">
      <c r="D34" s="16" t="s">
        <v>268</v>
      </c>
      <c r="G34" s="24">
        <f ca="1">G253/'TCO - Input'!$S$450</f>
        <v>0.99999999999999989</v>
      </c>
      <c r="H34" s="24">
        <f ca="1">H253/'TCO - Input'!$S$450</f>
        <v>0.99999999999999989</v>
      </c>
      <c r="I34" s="24">
        <f ca="1">I253/'TCO - Input'!$S$450</f>
        <v>0.99999999999999989</v>
      </c>
      <c r="J34" s="24">
        <f ca="1">J253/'TCO - Input'!$S$450</f>
        <v>0.99999999999999989</v>
      </c>
      <c r="K34" s="24">
        <f ca="1">K253/'TCO - Input'!$S$450</f>
        <v>0.99999999999999989</v>
      </c>
      <c r="L34" s="24">
        <f ca="1">L253/'TCO - Input'!$S$450</f>
        <v>0.99999999999999989</v>
      </c>
      <c r="M34" s="24">
        <f ca="1">M253/'TCO - Input'!$S$450</f>
        <v>0.99999999999999989</v>
      </c>
      <c r="N34" s="24">
        <f ca="1">N253/'TCO - Input'!$S$450</f>
        <v>0.99999999999999989</v>
      </c>
      <c r="O34" s="24">
        <f ca="1">O253/'TCO - Input'!$S$450</f>
        <v>0.99999999999999989</v>
      </c>
      <c r="P34" s="24">
        <f ca="1">P253/'TCO - Input'!$S$450</f>
        <v>0.99999999999999989</v>
      </c>
      <c r="Q34" s="24">
        <f ca="1">Q253/'TCO - Input'!$S$450</f>
        <v>0.99999999999999989</v>
      </c>
      <c r="R34" s="24">
        <f ca="1">R253/'TCO - Input'!$S$450</f>
        <v>0.99999999999999989</v>
      </c>
      <c r="X34" s="16" t="s">
        <v>268</v>
      </c>
      <c r="AA34" s="24">
        <f ca="1">AA253/'TCO - Input'!$S$450</f>
        <v>1.0409481037570454</v>
      </c>
      <c r="AB34" s="24">
        <f ca="1">AB253/'TCO - Input'!$S$450</f>
        <v>1.0380802338319948</v>
      </c>
      <c r="AC34" s="24">
        <f ca="1">AC253/'TCO - Input'!$S$450</f>
        <v>1.0360850900804721</v>
      </c>
      <c r="AD34" s="24">
        <f ca="1">AD253/'TCO - Input'!$S$450</f>
        <v>1.0346970917774561</v>
      </c>
      <c r="AE34" s="24">
        <f ca="1">AE253/'TCO - Input'!$S$450</f>
        <v>1.0337314775014397</v>
      </c>
      <c r="AF34" s="24">
        <f ca="1">AF253/'TCO - Input'!$S$450</f>
        <v>1.0330597108803852</v>
      </c>
      <c r="AG34" s="24">
        <f ca="1">AG253/'TCO - Input'!$S$450</f>
        <v>1.0325923706552333</v>
      </c>
      <c r="AH34" s="24">
        <f ca="1">AH253/'TCO - Input'!$S$450</f>
        <v>1.0325923706552333</v>
      </c>
      <c r="AI34" s="24">
        <f ca="1">AI253/'TCO - Input'!$S$450</f>
        <v>1.0325923706552333</v>
      </c>
      <c r="AJ34" s="24">
        <f ca="1">AJ253/'TCO - Input'!$S$450</f>
        <v>1.0325923706552333</v>
      </c>
      <c r="AK34" s="24">
        <f ca="1">AK253/'TCO - Input'!$S$450</f>
        <v>1.0325923706552333</v>
      </c>
      <c r="AL34" s="24">
        <f ca="1">AL253/'TCO - Input'!$S$450</f>
        <v>1.0325923706552333</v>
      </c>
      <c r="AR34" s="16" t="s">
        <v>268</v>
      </c>
      <c r="AU34" s="24">
        <f ca="1">AU253/'TCO - Input'!$S$450</f>
        <v>6.0495465742690394E-2</v>
      </c>
      <c r="AV34" s="24">
        <f ca="1">AV253/'TCO - Input'!$S$450</f>
        <v>5.2299853311011266E-2</v>
      </c>
      <c r="AW34" s="24">
        <f ca="1">AW253/'TCO - Input'!$S$450</f>
        <v>4.6161684025025469E-2</v>
      </c>
      <c r="AX34" s="24">
        <f ca="1">AX253/'TCO - Input'!$S$450</f>
        <v>3.7307800428477762E-2</v>
      </c>
      <c r="AY34" s="24">
        <f ca="1">AY253/'TCO - Input'!$S$450</f>
        <v>3.3694355156761301E-2</v>
      </c>
      <c r="AZ34" s="24">
        <f ca="1">AZ253/'TCO - Input'!$S$450</f>
        <v>3.0003221436012716E-2</v>
      </c>
      <c r="BA34" s="24">
        <f ca="1">BA253/'TCO - Input'!$S$450</f>
        <v>2.6591940944508428E-2</v>
      </c>
      <c r="BB34" s="24">
        <f ca="1">BB253/'TCO - Input'!$S$450</f>
        <v>2.6591940944508428E-2</v>
      </c>
      <c r="BC34" s="24">
        <f ca="1">BC253/'TCO - Input'!$S$450</f>
        <v>2.6591940944508428E-2</v>
      </c>
      <c r="BD34" s="24">
        <f ca="1">BD253/'TCO - Input'!$S$450</f>
        <v>2.6591940944508428E-2</v>
      </c>
      <c r="BE34" s="24">
        <f ca="1">BE253/'TCO - Input'!$S$450</f>
        <v>2.6591940944508428E-2</v>
      </c>
      <c r="BF34" s="24">
        <f ca="1">BF253/'TCO - Input'!$S$450</f>
        <v>2.6591940944508428E-2</v>
      </c>
      <c r="BL34" s="16" t="s">
        <v>268</v>
      </c>
      <c r="BO34" s="24">
        <f ca="1">BO253/'TCO - Input'!$S$450</f>
        <v>0.25919488312481853</v>
      </c>
      <c r="BP34" s="24">
        <f ca="1">BP253/'TCO - Input'!$S$450</f>
        <v>0.24078388435865414</v>
      </c>
      <c r="BQ34" s="24">
        <f ca="1">BQ253/'TCO - Input'!$S$450</f>
        <v>0.22467573480866876</v>
      </c>
      <c r="BR34" s="24">
        <f ca="1">BR253/'TCO - Input'!$S$450</f>
        <v>0.20648281187178921</v>
      </c>
      <c r="BS34" s="24">
        <f ca="1">BS253/'TCO - Input'!$S$450</f>
        <v>0.19373362960575399</v>
      </c>
      <c r="BT34" s="24">
        <f ca="1">BT253/'TCO - Input'!$S$450</f>
        <v>0.18130939402559834</v>
      </c>
      <c r="BU34" s="24">
        <f ca="1">BU253/'TCO - Input'!$S$450</f>
        <v>0.16882161498577944</v>
      </c>
      <c r="BV34" s="24">
        <f ca="1">BV253/'TCO - Input'!$S$450</f>
        <v>0.16882161498577944</v>
      </c>
      <c r="BW34" s="24">
        <f ca="1">BW253/'TCO - Input'!$S$450</f>
        <v>0.16882161498577944</v>
      </c>
      <c r="BX34" s="24">
        <f ca="1">BX253/'TCO - Input'!$S$450</f>
        <v>0.16882161498577944</v>
      </c>
      <c r="BY34" s="24">
        <f ca="1">BY253/'TCO - Input'!$S$450</f>
        <v>0.16882161498577944</v>
      </c>
      <c r="BZ34" s="24">
        <f ca="1">BZ253/'TCO - Input'!$S$450</f>
        <v>0.16882161498577944</v>
      </c>
      <c r="CF34" s="16" t="s">
        <v>268</v>
      </c>
      <c r="CI34" s="24">
        <f ca="1">CI253/'TCO - Input'!$S$450</f>
        <v>0.14762556531802573</v>
      </c>
      <c r="CJ34" s="24">
        <f ca="1">CJ253/'TCO - Input'!$S$450</f>
        <v>0.12195471283670892</v>
      </c>
      <c r="CK34" s="24">
        <f ca="1">CK253/'TCO - Input'!$S$450</f>
        <v>9.877758423183268E-2</v>
      </c>
      <c r="CL34" s="24">
        <f ca="1">CL253/'TCO - Input'!$S$450</f>
        <v>7.3651642246692864E-2</v>
      </c>
      <c r="CM34" s="24">
        <f ca="1">CM253/'TCO - Input'!$S$450</f>
        <v>5.4064026727700262E-2</v>
      </c>
      <c r="CN34" s="24">
        <f ca="1">CN253/'TCO - Input'!$S$450</f>
        <v>3.4867160132280514E-2</v>
      </c>
      <c r="CO34" s="24">
        <f ca="1">CO253/'TCO - Input'!$S$450</f>
        <v>1.5652527928634186E-2</v>
      </c>
      <c r="CP34" s="24">
        <f ca="1">CP253/'TCO - Input'!$S$450</f>
        <v>1.5652527928634186E-2</v>
      </c>
      <c r="CQ34" s="24">
        <f ca="1">CQ253/'TCO - Input'!$S$450</f>
        <v>1.5652527928634186E-2</v>
      </c>
      <c r="CR34" s="24">
        <f ca="1">CR253/'TCO - Input'!$S$450</f>
        <v>1.5652527928634186E-2</v>
      </c>
      <c r="CS34" s="24">
        <f ca="1">CS253/'TCO - Input'!$S$450</f>
        <v>1.5652527928634186E-2</v>
      </c>
      <c r="CT34" s="24">
        <f ca="1">CT253/'TCO - Input'!$S$450</f>
        <v>1.5652527928634186E-2</v>
      </c>
    </row>
    <row r="35" spans="2:100" outlineLevel="1" x14ac:dyDescent="0.2">
      <c r="D35" s="3" t="s">
        <v>269</v>
      </c>
      <c r="E35" t="s">
        <v>211</v>
      </c>
      <c r="G35" s="18">
        <f t="shared" ref="G35:R35" ca="1" si="61">SUM(G36:G37)</f>
        <v>4255140</v>
      </c>
      <c r="H35" s="18">
        <f t="shared" ca="1" si="61"/>
        <v>4255140</v>
      </c>
      <c r="I35" s="18">
        <f t="shared" ca="1" si="61"/>
        <v>4255140</v>
      </c>
      <c r="J35" s="18">
        <f t="shared" ca="1" si="61"/>
        <v>4255140</v>
      </c>
      <c r="K35" s="18">
        <f t="shared" ca="1" si="61"/>
        <v>4255140</v>
      </c>
      <c r="L35" s="18">
        <f t="shared" ca="1" si="61"/>
        <v>4255140</v>
      </c>
      <c r="M35" s="18">
        <f t="shared" ca="1" si="61"/>
        <v>4255140</v>
      </c>
      <c r="N35" s="18">
        <f t="shared" ca="1" si="61"/>
        <v>4255140</v>
      </c>
      <c r="O35" s="18">
        <f t="shared" ca="1" si="61"/>
        <v>4255140</v>
      </c>
      <c r="P35" s="18">
        <f t="shared" ca="1" si="61"/>
        <v>4255140</v>
      </c>
      <c r="Q35" s="18">
        <f t="shared" ca="1" si="61"/>
        <v>4255140</v>
      </c>
      <c r="R35" s="18">
        <f t="shared" ca="1" si="61"/>
        <v>4255140</v>
      </c>
      <c r="X35" s="3" t="s">
        <v>269</v>
      </c>
      <c r="Y35" t="s">
        <v>211</v>
      </c>
      <c r="AA35" s="18">
        <f t="shared" ref="AA35:AL35" ca="1" si="62">SUM(AA36:AA37)</f>
        <v>5377833</v>
      </c>
      <c r="AB35" s="18">
        <f t="shared" ca="1" si="62"/>
        <v>5377833</v>
      </c>
      <c r="AC35" s="18">
        <f t="shared" ca="1" si="62"/>
        <v>5377833</v>
      </c>
      <c r="AD35" s="18">
        <f t="shared" ca="1" si="62"/>
        <v>5377833</v>
      </c>
      <c r="AE35" s="18">
        <f t="shared" ca="1" si="62"/>
        <v>5377833</v>
      </c>
      <c r="AF35" s="18">
        <f t="shared" ca="1" si="62"/>
        <v>5377833</v>
      </c>
      <c r="AG35" s="18">
        <f t="shared" ca="1" si="62"/>
        <v>5377833</v>
      </c>
      <c r="AH35" s="18">
        <f t="shared" ca="1" si="62"/>
        <v>5377833</v>
      </c>
      <c r="AI35" s="18">
        <f t="shared" ca="1" si="62"/>
        <v>5377833</v>
      </c>
      <c r="AJ35" s="18">
        <f t="shared" ca="1" si="62"/>
        <v>5377833</v>
      </c>
      <c r="AK35" s="18">
        <f t="shared" ca="1" si="62"/>
        <v>5377833</v>
      </c>
      <c r="AL35" s="18">
        <f t="shared" ca="1" si="62"/>
        <v>5377833</v>
      </c>
      <c r="AR35" s="3" t="s">
        <v>269</v>
      </c>
      <c r="AS35" t="s">
        <v>211</v>
      </c>
      <c r="AU35" s="18">
        <f t="shared" ref="AU35:BF35" ca="1" si="63">SUM(AU36:AU37)</f>
        <v>5064113</v>
      </c>
      <c r="AV35" s="18">
        <f t="shared" ca="1" si="63"/>
        <v>5064113</v>
      </c>
      <c r="AW35" s="18">
        <f t="shared" ca="1" si="63"/>
        <v>5064113</v>
      </c>
      <c r="AX35" s="18">
        <f t="shared" ca="1" si="63"/>
        <v>5064113</v>
      </c>
      <c r="AY35" s="18">
        <f t="shared" ca="1" si="63"/>
        <v>5064113</v>
      </c>
      <c r="AZ35" s="18">
        <f t="shared" ca="1" si="63"/>
        <v>5064113</v>
      </c>
      <c r="BA35" s="18">
        <f t="shared" ca="1" si="63"/>
        <v>5064113</v>
      </c>
      <c r="BB35" s="18">
        <f t="shared" ca="1" si="63"/>
        <v>5064113</v>
      </c>
      <c r="BC35" s="18">
        <f t="shared" ca="1" si="63"/>
        <v>5064113</v>
      </c>
      <c r="BD35" s="18">
        <f t="shared" ca="1" si="63"/>
        <v>5064113</v>
      </c>
      <c r="BE35" s="18">
        <f t="shared" ca="1" si="63"/>
        <v>5064113</v>
      </c>
      <c r="BF35" s="18">
        <f t="shared" ca="1" si="63"/>
        <v>5064113</v>
      </c>
      <c r="BG35" s="18"/>
      <c r="BH35" s="18"/>
      <c r="BL35" s="3" t="s">
        <v>269</v>
      </c>
      <c r="BM35" t="s">
        <v>211</v>
      </c>
      <c r="BO35" s="18">
        <f t="shared" ref="BO35:BZ35" ca="1" si="64">SUM(BO36:BO37)</f>
        <v>5064113</v>
      </c>
      <c r="BP35" s="18">
        <f t="shared" ca="1" si="64"/>
        <v>5064113</v>
      </c>
      <c r="BQ35" s="18">
        <f t="shared" ca="1" si="64"/>
        <v>5064113</v>
      </c>
      <c r="BR35" s="18">
        <f t="shared" ca="1" si="64"/>
        <v>5064113</v>
      </c>
      <c r="BS35" s="18">
        <f t="shared" ca="1" si="64"/>
        <v>5064113</v>
      </c>
      <c r="BT35" s="18">
        <f t="shared" ca="1" si="64"/>
        <v>5064113</v>
      </c>
      <c r="BU35" s="18">
        <f t="shared" ca="1" si="64"/>
        <v>5064113</v>
      </c>
      <c r="BV35" s="18">
        <f t="shared" ca="1" si="64"/>
        <v>5064113</v>
      </c>
      <c r="BW35" s="18">
        <f t="shared" ca="1" si="64"/>
        <v>5064113</v>
      </c>
      <c r="BX35" s="18">
        <f t="shared" ca="1" si="64"/>
        <v>5064113</v>
      </c>
      <c r="BY35" s="18">
        <f t="shared" ca="1" si="64"/>
        <v>5064113</v>
      </c>
      <c r="BZ35" s="18">
        <f t="shared" ca="1" si="64"/>
        <v>5064113</v>
      </c>
      <c r="CA35" s="18"/>
      <c r="CB35" s="18"/>
      <c r="CF35" s="3" t="s">
        <v>269</v>
      </c>
      <c r="CG35" t="s">
        <v>211</v>
      </c>
      <c r="CI35" s="18">
        <f t="shared" ref="CI35:CT35" ca="1" si="65">SUM(CI36:CI37)</f>
        <v>4879753</v>
      </c>
      <c r="CJ35" s="18">
        <f t="shared" ca="1" si="65"/>
        <v>4879753</v>
      </c>
      <c r="CK35" s="18">
        <f t="shared" ca="1" si="65"/>
        <v>4879753</v>
      </c>
      <c r="CL35" s="18">
        <f t="shared" ca="1" si="65"/>
        <v>4879753</v>
      </c>
      <c r="CM35" s="18">
        <f t="shared" ca="1" si="65"/>
        <v>4879753</v>
      </c>
      <c r="CN35" s="18">
        <f t="shared" ca="1" si="65"/>
        <v>4879753</v>
      </c>
      <c r="CO35" s="18">
        <f t="shared" ca="1" si="65"/>
        <v>4879753</v>
      </c>
      <c r="CP35" s="18">
        <f t="shared" ca="1" si="65"/>
        <v>4879753</v>
      </c>
      <c r="CQ35" s="18">
        <f t="shared" ca="1" si="65"/>
        <v>4879753</v>
      </c>
      <c r="CR35" s="18">
        <f t="shared" ca="1" si="65"/>
        <v>4879753</v>
      </c>
      <c r="CS35" s="18">
        <f t="shared" ca="1" si="65"/>
        <v>4879753</v>
      </c>
      <c r="CT35" s="18">
        <f t="shared" ca="1" si="65"/>
        <v>4879753</v>
      </c>
      <c r="CU35" s="18"/>
      <c r="CV35" s="18"/>
    </row>
    <row r="36" spans="2:100" outlineLevel="1" x14ac:dyDescent="0.2">
      <c r="D36" s="12" t="s">
        <v>270</v>
      </c>
      <c r="E36" t="s">
        <v>211</v>
      </c>
      <c r="G36" s="18">
        <f ca="1">G$47*constant_vessel_lifetime*'TCO - Input'!$R$17*(1-'TCO - Input'!$R$18)</f>
        <v>4255140</v>
      </c>
      <c r="H36" s="18">
        <f ca="1">H$47*constant_vessel_lifetime*'TCO - Input'!$R$17*(1-'TCO - Input'!$R$18)</f>
        <v>4255140</v>
      </c>
      <c r="I36" s="18">
        <f ca="1">I$47*constant_vessel_lifetime*'TCO - Input'!$R$17*(1-'TCO - Input'!$R$18)</f>
        <v>4255140</v>
      </c>
      <c r="J36" s="18">
        <f ca="1">J$47*constant_vessel_lifetime*'TCO - Input'!$R$17*(1-'TCO - Input'!$R$18)</f>
        <v>4255140</v>
      </c>
      <c r="K36" s="18">
        <f ca="1">K$47*constant_vessel_lifetime*'TCO - Input'!$R$17*(1-'TCO - Input'!$R$18)</f>
        <v>4255140</v>
      </c>
      <c r="L36" s="18">
        <f ca="1">L$47*constant_vessel_lifetime*'TCO - Input'!$R$17*(1-'TCO - Input'!$R$18)</f>
        <v>4255140</v>
      </c>
      <c r="M36" s="18">
        <f ca="1">M$47*constant_vessel_lifetime*'TCO - Input'!$R$17*(1-'TCO - Input'!$R$18)</f>
        <v>4255140</v>
      </c>
      <c r="N36" s="18">
        <f ca="1">N$47*constant_vessel_lifetime*'TCO - Input'!$R$17*(1-'TCO - Input'!$R$18)</f>
        <v>4255140</v>
      </c>
      <c r="O36" s="18">
        <f ca="1">O$47*constant_vessel_lifetime*'TCO - Input'!$R$17*(1-'TCO - Input'!$R$18)</f>
        <v>4255140</v>
      </c>
      <c r="P36" s="18">
        <f ca="1">P$47*constant_vessel_lifetime*'TCO - Input'!$R$17*(1-'TCO - Input'!$R$18)</f>
        <v>4255140</v>
      </c>
      <c r="Q36" s="18">
        <f ca="1">Q$47*constant_vessel_lifetime*'TCO - Input'!$R$17*(1-'TCO - Input'!$R$18)</f>
        <v>4255140</v>
      </c>
      <c r="R36" s="18">
        <f ca="1">R$47*constant_vessel_lifetime*'TCO - Input'!$R$17*(1-'TCO - Input'!$R$18)</f>
        <v>4255140</v>
      </c>
      <c r="X36" s="12" t="s">
        <v>270</v>
      </c>
      <c r="Y36" t="s">
        <v>211</v>
      </c>
      <c r="AA36" s="18">
        <f ca="1">AA$47*constant_vessel_lifetime*'TCO - Input'!$R$17*(1-'TCO - Input'!$R$18)</f>
        <v>5377833</v>
      </c>
      <c r="AB36" s="18">
        <f ca="1">AB$47*constant_vessel_lifetime*'TCO - Input'!$R$17*(1-'TCO - Input'!$R$18)</f>
        <v>5377833</v>
      </c>
      <c r="AC36" s="18">
        <f ca="1">AC$47*constant_vessel_lifetime*'TCO - Input'!$R$17*(1-'TCO - Input'!$R$18)</f>
        <v>5377833</v>
      </c>
      <c r="AD36" s="18">
        <f ca="1">AD$47*constant_vessel_lifetime*'TCO - Input'!$R$17*(1-'TCO - Input'!$R$18)</f>
        <v>5377833</v>
      </c>
      <c r="AE36" s="18">
        <f ca="1">AE$47*constant_vessel_lifetime*'TCO - Input'!$R$17*(1-'TCO - Input'!$R$18)</f>
        <v>5377833</v>
      </c>
      <c r="AF36" s="18">
        <f ca="1">AF$47*constant_vessel_lifetime*'TCO - Input'!$R$17*(1-'TCO - Input'!$R$18)</f>
        <v>5377833</v>
      </c>
      <c r="AG36" s="18">
        <f ca="1">AG$47*constant_vessel_lifetime*'TCO - Input'!$R$17*(1-'TCO - Input'!$R$18)</f>
        <v>5377833</v>
      </c>
      <c r="AH36" s="18">
        <f ca="1">AH$47*constant_vessel_lifetime*'TCO - Input'!$R$17*(1-'TCO - Input'!$R$18)</f>
        <v>5377833</v>
      </c>
      <c r="AI36" s="18">
        <f ca="1">AI$47*constant_vessel_lifetime*'TCO - Input'!$R$17*(1-'TCO - Input'!$R$18)</f>
        <v>5377833</v>
      </c>
      <c r="AJ36" s="18">
        <f ca="1">AJ$47*constant_vessel_lifetime*'TCO - Input'!$R$17*(1-'TCO - Input'!$R$18)</f>
        <v>5377833</v>
      </c>
      <c r="AK36" s="18">
        <f ca="1">AK$47*constant_vessel_lifetime*'TCO - Input'!$R$17*(1-'TCO - Input'!$R$18)</f>
        <v>5377833</v>
      </c>
      <c r="AL36" s="18">
        <f ca="1">AL$47*constant_vessel_lifetime*'TCO - Input'!$R$17*(1-'TCO - Input'!$R$18)</f>
        <v>5377833</v>
      </c>
      <c r="AR36" s="12" t="s">
        <v>270</v>
      </c>
      <c r="AS36" t="s">
        <v>211</v>
      </c>
      <c r="AU36" s="18">
        <f ca="1">AU$47*constant_vessel_lifetime*'TCO - Input'!$R$17*(1-'TCO - Input'!$R$18)</f>
        <v>5064113</v>
      </c>
      <c r="AV36" s="18">
        <f ca="1">AV$47*constant_vessel_lifetime*'TCO - Input'!$R$17*(1-'TCO - Input'!$R$18)</f>
        <v>5064113</v>
      </c>
      <c r="AW36" s="18">
        <f ca="1">AW$47*constant_vessel_lifetime*'TCO - Input'!$R$17*(1-'TCO - Input'!$R$18)</f>
        <v>5064113</v>
      </c>
      <c r="AX36" s="18">
        <f ca="1">AX$47*constant_vessel_lifetime*'TCO - Input'!$R$17*(1-'TCO - Input'!$R$18)</f>
        <v>5064113</v>
      </c>
      <c r="AY36" s="18">
        <f ca="1">AY$47*constant_vessel_lifetime*'TCO - Input'!$R$17*(1-'TCO - Input'!$R$18)</f>
        <v>5064113</v>
      </c>
      <c r="AZ36" s="18">
        <f ca="1">AZ$47*constant_vessel_lifetime*'TCO - Input'!$R$17*(1-'TCO - Input'!$R$18)</f>
        <v>5064113</v>
      </c>
      <c r="BA36" s="18">
        <f ca="1">BA$47*constant_vessel_lifetime*'TCO - Input'!$R$17*(1-'TCO - Input'!$R$18)</f>
        <v>5064113</v>
      </c>
      <c r="BB36" s="18">
        <f ca="1">BB$47*constant_vessel_lifetime*'TCO - Input'!$R$17*(1-'TCO - Input'!$R$18)</f>
        <v>5064113</v>
      </c>
      <c r="BC36" s="18">
        <f ca="1">BC$47*constant_vessel_lifetime*'TCO - Input'!$R$17*(1-'TCO - Input'!$R$18)</f>
        <v>5064113</v>
      </c>
      <c r="BD36" s="18">
        <f ca="1">BD$47*constant_vessel_lifetime*'TCO - Input'!$R$17*(1-'TCO - Input'!$R$18)</f>
        <v>5064113</v>
      </c>
      <c r="BE36" s="18">
        <f ca="1">BE$47*constant_vessel_lifetime*'TCO - Input'!$R$17*(1-'TCO - Input'!$R$18)</f>
        <v>5064113</v>
      </c>
      <c r="BF36" s="18">
        <f ca="1">BF$47*constant_vessel_lifetime*'TCO - Input'!$R$17*(1-'TCO - Input'!$R$18)</f>
        <v>5064113</v>
      </c>
      <c r="BG36" s="18"/>
      <c r="BH36" s="18"/>
      <c r="BL36" s="12" t="s">
        <v>270</v>
      </c>
      <c r="BM36" t="s">
        <v>211</v>
      </c>
      <c r="BO36" s="18">
        <f ca="1">BO$47*constant_vessel_lifetime*'TCO - Input'!$R$17*(1-'TCO - Input'!$R$18)</f>
        <v>5064113</v>
      </c>
      <c r="BP36" s="18">
        <f ca="1">BP$47*constant_vessel_lifetime*'TCO - Input'!$R$17*(1-'TCO - Input'!$R$18)</f>
        <v>5064113</v>
      </c>
      <c r="BQ36" s="18">
        <f ca="1">BQ$47*constant_vessel_lifetime*'TCO - Input'!$R$17*(1-'TCO - Input'!$R$18)</f>
        <v>5064113</v>
      </c>
      <c r="BR36" s="18">
        <f ca="1">BR$47*constant_vessel_lifetime*'TCO - Input'!$R$17*(1-'TCO - Input'!$R$18)</f>
        <v>5064113</v>
      </c>
      <c r="BS36" s="18">
        <f ca="1">BS$47*constant_vessel_lifetime*'TCO - Input'!$R$17*(1-'TCO - Input'!$R$18)</f>
        <v>5064113</v>
      </c>
      <c r="BT36" s="18">
        <f ca="1">BT$47*constant_vessel_lifetime*'TCO - Input'!$R$17*(1-'TCO - Input'!$R$18)</f>
        <v>5064113</v>
      </c>
      <c r="BU36" s="18">
        <f ca="1">BU$47*constant_vessel_lifetime*'TCO - Input'!$R$17*(1-'TCO - Input'!$R$18)</f>
        <v>5064113</v>
      </c>
      <c r="BV36" s="18">
        <f ca="1">BV$47*constant_vessel_lifetime*'TCO - Input'!$R$17*(1-'TCO - Input'!$R$18)</f>
        <v>5064113</v>
      </c>
      <c r="BW36" s="18">
        <f ca="1">BW$47*constant_vessel_lifetime*'TCO - Input'!$R$17*(1-'TCO - Input'!$R$18)</f>
        <v>5064113</v>
      </c>
      <c r="BX36" s="18">
        <f ca="1">BX$47*constant_vessel_lifetime*'TCO - Input'!$R$17*(1-'TCO - Input'!$R$18)</f>
        <v>5064113</v>
      </c>
      <c r="BY36" s="18">
        <f ca="1">BY$47*constant_vessel_lifetime*'TCO - Input'!$R$17*(1-'TCO - Input'!$R$18)</f>
        <v>5064113</v>
      </c>
      <c r="BZ36" s="18">
        <f ca="1">BZ$47*constant_vessel_lifetime*'TCO - Input'!$R$17*(1-'TCO - Input'!$R$18)</f>
        <v>5064113</v>
      </c>
      <c r="CA36" s="18"/>
      <c r="CB36" s="18"/>
      <c r="CF36" s="12" t="s">
        <v>270</v>
      </c>
      <c r="CG36" t="s">
        <v>211</v>
      </c>
      <c r="CI36" s="18">
        <f ca="1">CI$47*constant_vessel_lifetime*'TCO - Input'!$R$17*(1-'TCO - Input'!$R$18)</f>
        <v>4879753</v>
      </c>
      <c r="CJ36" s="18">
        <f ca="1">CJ$47*constant_vessel_lifetime*'TCO - Input'!$R$17*(1-'TCO - Input'!$R$18)</f>
        <v>4879753</v>
      </c>
      <c r="CK36" s="18">
        <f ca="1">CK$47*constant_vessel_lifetime*'TCO - Input'!$R$17*(1-'TCO - Input'!$R$18)</f>
        <v>4879753</v>
      </c>
      <c r="CL36" s="18">
        <f ca="1">CL$47*constant_vessel_lifetime*'TCO - Input'!$R$17*(1-'TCO - Input'!$R$18)</f>
        <v>4879753</v>
      </c>
      <c r="CM36" s="18">
        <f ca="1">CM$47*constant_vessel_lifetime*'TCO - Input'!$R$17*(1-'TCO - Input'!$R$18)</f>
        <v>4879753</v>
      </c>
      <c r="CN36" s="18">
        <f ca="1">CN$47*constant_vessel_lifetime*'TCO - Input'!$R$17*(1-'TCO - Input'!$R$18)</f>
        <v>4879753</v>
      </c>
      <c r="CO36" s="18">
        <f ca="1">CO$47*constant_vessel_lifetime*'TCO - Input'!$R$17*(1-'TCO - Input'!$R$18)</f>
        <v>4879753</v>
      </c>
      <c r="CP36" s="18">
        <f ca="1">CP$47*constant_vessel_lifetime*'TCO - Input'!$R$17*(1-'TCO - Input'!$R$18)</f>
        <v>4879753</v>
      </c>
      <c r="CQ36" s="18">
        <f ca="1">CQ$47*constant_vessel_lifetime*'TCO - Input'!$R$17*(1-'TCO - Input'!$R$18)</f>
        <v>4879753</v>
      </c>
      <c r="CR36" s="18">
        <f ca="1">CR$47*constant_vessel_lifetime*'TCO - Input'!$R$17*(1-'TCO - Input'!$R$18)</f>
        <v>4879753</v>
      </c>
      <c r="CS36" s="18">
        <f ca="1">CS$47*constant_vessel_lifetime*'TCO - Input'!$R$17*(1-'TCO - Input'!$R$18)</f>
        <v>4879753</v>
      </c>
      <c r="CT36" s="18">
        <f ca="1">CT$47*constant_vessel_lifetime*'TCO - Input'!$R$17*(1-'TCO - Input'!$R$18)</f>
        <v>4879753</v>
      </c>
      <c r="CU36" s="18"/>
      <c r="CV36" s="18"/>
    </row>
    <row r="37" spans="2:100" outlineLevel="1" x14ac:dyDescent="0.2">
      <c r="D37" s="12" t="s">
        <v>266</v>
      </c>
      <c r="E37" t="s">
        <v>211</v>
      </c>
      <c r="G37" s="18">
        <f ca="1">G$47*(constant_vessel_lifetime*G$38)*(1-'TCO - Input'!$R$18)*(MIN(1,MAX(0,G39)))</f>
        <v>0</v>
      </c>
      <c r="H37" s="18">
        <f ca="1">H$47*(constant_vessel_lifetime*H$38)*(1-'TCO - Input'!$R$18)*(MIN(1,MAX(0,H39)))</f>
        <v>0</v>
      </c>
      <c r="I37" s="18">
        <f ca="1">I$47*(constant_vessel_lifetime*I$38)*(1-'TCO - Input'!$R$18)*(MIN(1,MAX(0,I39)))</f>
        <v>0</v>
      </c>
      <c r="J37" s="18">
        <f ca="1">J$47*(constant_vessel_lifetime*J$38)*(1-'TCO - Input'!$R$18)*(MIN(1,MAX(0,J39)))</f>
        <v>0</v>
      </c>
      <c r="K37" s="18">
        <f ca="1">K$47*(constant_vessel_lifetime*K$38)*(1-'TCO - Input'!$R$18)*(MIN(1,MAX(0,K39)))</f>
        <v>0</v>
      </c>
      <c r="L37" s="18">
        <f ca="1">L$47*(constant_vessel_lifetime*L$38)*(1-'TCO - Input'!$R$18)*(MIN(1,MAX(0,L39)))</f>
        <v>0</v>
      </c>
      <c r="M37" s="18">
        <f ca="1">M$47*(constant_vessel_lifetime*M$38)*(1-'TCO - Input'!$R$18)*(MIN(1,MAX(0,M39)))</f>
        <v>0</v>
      </c>
      <c r="N37" s="18">
        <f ca="1">N$47*(constant_vessel_lifetime*N$38)*(1-'TCO - Input'!$R$18)*(MIN(1,MAX(0,N39)))</f>
        <v>0</v>
      </c>
      <c r="O37" s="18">
        <f ca="1">O$47*(constant_vessel_lifetime*O$38)*(1-'TCO - Input'!$R$18)*(MIN(1,MAX(0,O39)))</f>
        <v>0</v>
      </c>
      <c r="P37" s="18">
        <f ca="1">P$47*(constant_vessel_lifetime*P$38)*(1-'TCO - Input'!$R$18)*(MIN(1,MAX(0,P39)))</f>
        <v>0</v>
      </c>
      <c r="Q37" s="18">
        <f ca="1">Q$47*(constant_vessel_lifetime*Q$38)*(1-'TCO - Input'!$R$18)*(MIN(1,MAX(0,Q39)))</f>
        <v>0</v>
      </c>
      <c r="R37" s="18">
        <f ca="1">R$47*(constant_vessel_lifetime*R$38)*(1-'TCO - Input'!$R$18)*(MIN(1,MAX(0,R39)))</f>
        <v>0</v>
      </c>
      <c r="X37" s="12" t="s">
        <v>266</v>
      </c>
      <c r="Y37" t="s">
        <v>211</v>
      </c>
      <c r="AA37" s="18">
        <f ca="1">AA$47*(constant_vessel_lifetime*AA$38)*(1-'TCO - Input'!$R$18)*(MIN(1,MAX(0,AA39)))</f>
        <v>0</v>
      </c>
      <c r="AB37" s="18">
        <f ca="1">AB$47*(constant_vessel_lifetime*AB$38)*(1-'TCO - Input'!$R$18)*(MIN(1,MAX(0,AB39)))</f>
        <v>0</v>
      </c>
      <c r="AC37" s="18">
        <f ca="1">AC$47*(constant_vessel_lifetime*AC$38)*(1-'TCO - Input'!$R$18)*(MIN(1,MAX(0,AC39)))</f>
        <v>0</v>
      </c>
      <c r="AD37" s="18">
        <f ca="1">AD$47*(constant_vessel_lifetime*AD$38)*(1-'TCO - Input'!$R$18)*(MIN(1,MAX(0,AD39)))</f>
        <v>0</v>
      </c>
      <c r="AE37" s="18">
        <f ca="1">AE$47*(constant_vessel_lifetime*AE$38)*(1-'TCO - Input'!$R$18)*(MIN(1,MAX(0,AE39)))</f>
        <v>0</v>
      </c>
      <c r="AF37" s="18">
        <f ca="1">AF$47*(constant_vessel_lifetime*AF$38)*(1-'TCO - Input'!$R$18)*(MIN(1,MAX(0,AF39)))</f>
        <v>0</v>
      </c>
      <c r="AG37" s="18">
        <f ca="1">AG$47*(constant_vessel_lifetime*AG$38)*(1-'TCO - Input'!$R$18)*(MIN(1,MAX(0,AG39)))</f>
        <v>0</v>
      </c>
      <c r="AH37" s="18">
        <f ca="1">AH$47*(constant_vessel_lifetime*AH$38)*(1-'TCO - Input'!$R$18)*(MIN(1,MAX(0,AH39)))</f>
        <v>0</v>
      </c>
      <c r="AI37" s="18">
        <f ca="1">AI$47*(constant_vessel_lifetime*AI$38)*(1-'TCO - Input'!$R$18)*(MIN(1,MAX(0,AI39)))</f>
        <v>0</v>
      </c>
      <c r="AJ37" s="18">
        <f ca="1">AJ$47*(constant_vessel_lifetime*AJ$38)*(1-'TCO - Input'!$R$18)*(MIN(1,MAX(0,AJ39)))</f>
        <v>0</v>
      </c>
      <c r="AK37" s="18">
        <f ca="1">AK$47*(constant_vessel_lifetime*AK$38)*(1-'TCO - Input'!$R$18)*(MIN(1,MAX(0,AK39)))</f>
        <v>0</v>
      </c>
      <c r="AL37" s="18">
        <f ca="1">AL$47*(constant_vessel_lifetime*AL$38)*(1-'TCO - Input'!$R$18)*(MIN(1,MAX(0,AL39)))</f>
        <v>0</v>
      </c>
      <c r="AR37" s="12" t="s">
        <v>266</v>
      </c>
      <c r="AS37" t="s">
        <v>211</v>
      </c>
      <c r="AU37" s="18">
        <f ca="1">AU$47*(constant_vessel_lifetime*AU$38)*(1-'TCO - Input'!$R$18)*(MIN(1,MAX(0,AU39)))</f>
        <v>0</v>
      </c>
      <c r="AV37" s="18">
        <f ca="1">AV$47*(constant_vessel_lifetime*AV$38)*(1-'TCO - Input'!$R$18)*(MIN(1,MAX(0,AV39)))</f>
        <v>0</v>
      </c>
      <c r="AW37" s="18">
        <f ca="1">AW$47*(constant_vessel_lifetime*AW$38)*(1-'TCO - Input'!$R$18)*(MIN(1,MAX(0,AW39)))</f>
        <v>0</v>
      </c>
      <c r="AX37" s="18">
        <f ca="1">AX$47*(constant_vessel_lifetime*AX$38)*(1-'TCO - Input'!$R$18)*(MIN(1,MAX(0,AX39)))</f>
        <v>0</v>
      </c>
      <c r="AY37" s="18">
        <f ca="1">AY$47*(constant_vessel_lifetime*AY$38)*(1-'TCO - Input'!$R$18)*(MIN(1,MAX(0,AY39)))</f>
        <v>0</v>
      </c>
      <c r="AZ37" s="18">
        <f ca="1">AZ$47*(constant_vessel_lifetime*AZ$38)*(1-'TCO - Input'!$R$18)*(MIN(1,MAX(0,AZ39)))</f>
        <v>0</v>
      </c>
      <c r="BA37" s="18">
        <f ca="1">BA$47*(constant_vessel_lifetime*BA$38)*(1-'TCO - Input'!$R$18)*(MIN(1,MAX(0,BA39)))</f>
        <v>0</v>
      </c>
      <c r="BB37" s="18">
        <f ca="1">BB$47*(constant_vessel_lifetime*BB$38)*(1-'TCO - Input'!$R$18)*(MIN(1,MAX(0,BB39)))</f>
        <v>0</v>
      </c>
      <c r="BC37" s="18">
        <f ca="1">BC$47*(constant_vessel_lifetime*BC$38)*(1-'TCO - Input'!$R$18)*(MIN(1,MAX(0,BC39)))</f>
        <v>0</v>
      </c>
      <c r="BD37" s="18">
        <f ca="1">BD$47*(constant_vessel_lifetime*BD$38)*(1-'TCO - Input'!$R$18)*(MIN(1,MAX(0,BD39)))</f>
        <v>0</v>
      </c>
      <c r="BE37" s="18">
        <f ca="1">BE$47*(constant_vessel_lifetime*BE$38)*(1-'TCO - Input'!$R$18)*(MIN(1,MAX(0,BE39)))</f>
        <v>0</v>
      </c>
      <c r="BF37" s="18">
        <f ca="1">BF$47*(constant_vessel_lifetime*BF$38)*(1-'TCO - Input'!$R$18)*(MIN(1,MAX(0,BF39)))</f>
        <v>0</v>
      </c>
      <c r="BG37" s="18"/>
      <c r="BH37" s="18"/>
      <c r="BL37" s="12" t="s">
        <v>266</v>
      </c>
      <c r="BM37" t="s">
        <v>211</v>
      </c>
      <c r="BO37" s="18">
        <f ca="1">BO$47*(constant_vessel_lifetime*BO$38)*(1-'TCO - Input'!$R$18)*(MIN(1,MAX(0,BO39)))</f>
        <v>0</v>
      </c>
      <c r="BP37" s="18">
        <f ca="1">BP$47*(constant_vessel_lifetime*BP$38)*(1-'TCO - Input'!$R$18)*(MIN(1,MAX(0,BP39)))</f>
        <v>0</v>
      </c>
      <c r="BQ37" s="18">
        <f ca="1">BQ$47*(constant_vessel_lifetime*BQ$38)*(1-'TCO - Input'!$R$18)*(MIN(1,MAX(0,BQ39)))</f>
        <v>0</v>
      </c>
      <c r="BR37" s="18">
        <f ca="1">BR$47*(constant_vessel_lifetime*BR$38)*(1-'TCO - Input'!$R$18)*(MIN(1,MAX(0,BR39)))</f>
        <v>0</v>
      </c>
      <c r="BS37" s="18">
        <f ca="1">BS$47*(constant_vessel_lifetime*BS$38)*(1-'TCO - Input'!$R$18)*(MIN(1,MAX(0,BS39)))</f>
        <v>0</v>
      </c>
      <c r="BT37" s="18">
        <f ca="1">BT$47*(constant_vessel_lifetime*BT$38)*(1-'TCO - Input'!$R$18)*(MIN(1,MAX(0,BT39)))</f>
        <v>0</v>
      </c>
      <c r="BU37" s="18">
        <f ca="1">BU$47*(constant_vessel_lifetime*BU$38)*(1-'TCO - Input'!$R$18)*(MIN(1,MAX(0,BU39)))</f>
        <v>0</v>
      </c>
      <c r="BV37" s="18">
        <f ca="1">BV$47*(constant_vessel_lifetime*BV$38)*(1-'TCO - Input'!$R$18)*(MIN(1,MAX(0,BV39)))</f>
        <v>0</v>
      </c>
      <c r="BW37" s="18">
        <f ca="1">BW$47*(constant_vessel_lifetime*BW$38)*(1-'TCO - Input'!$R$18)*(MIN(1,MAX(0,BW39)))</f>
        <v>0</v>
      </c>
      <c r="BX37" s="18">
        <f ca="1">BX$47*(constant_vessel_lifetime*BX$38)*(1-'TCO - Input'!$R$18)*(MIN(1,MAX(0,BX39)))</f>
        <v>0</v>
      </c>
      <c r="BY37" s="18">
        <f ca="1">BY$47*(constant_vessel_lifetime*BY$38)*(1-'TCO - Input'!$R$18)*(MIN(1,MAX(0,BY39)))</f>
        <v>0</v>
      </c>
      <c r="BZ37" s="18">
        <f ca="1">BZ$47*(constant_vessel_lifetime*BZ$38)*(1-'TCO - Input'!$R$18)*(MIN(1,MAX(0,BZ39)))</f>
        <v>0</v>
      </c>
      <c r="CA37" s="18"/>
      <c r="CB37" s="18"/>
      <c r="CF37" s="12" t="s">
        <v>266</v>
      </c>
      <c r="CG37" t="s">
        <v>211</v>
      </c>
      <c r="CI37" s="18">
        <f ca="1">CI$47*(constant_vessel_lifetime*CI$38)*(1-'TCO - Input'!$R$18)*(MIN(1,MAX(0,CI39)))</f>
        <v>0</v>
      </c>
      <c r="CJ37" s="18">
        <f ca="1">CJ$47*(constant_vessel_lifetime*CJ$38)*(1-'TCO - Input'!$R$18)*(MIN(1,MAX(0,CJ39)))</f>
        <v>0</v>
      </c>
      <c r="CK37" s="18">
        <f ca="1">CK$47*(constant_vessel_lifetime*CK$38)*(1-'TCO - Input'!$R$18)*(MIN(1,MAX(0,CK39)))</f>
        <v>0</v>
      </c>
      <c r="CL37" s="18">
        <f ca="1">CL$47*(constant_vessel_lifetime*CL$38)*(1-'TCO - Input'!$R$18)*(MIN(1,MAX(0,CL39)))</f>
        <v>0</v>
      </c>
      <c r="CM37" s="18">
        <f ca="1">CM$47*(constant_vessel_lifetime*CM$38)*(1-'TCO - Input'!$R$18)*(MIN(1,MAX(0,CM39)))</f>
        <v>0</v>
      </c>
      <c r="CN37" s="18">
        <f ca="1">CN$47*(constant_vessel_lifetime*CN$38)*(1-'TCO - Input'!$R$18)*(MIN(1,MAX(0,CN39)))</f>
        <v>0</v>
      </c>
      <c r="CO37" s="18">
        <f ca="1">CO$47*(constant_vessel_lifetime*CO$38)*(1-'TCO - Input'!$R$18)*(MIN(1,MAX(0,CO39)))</f>
        <v>0</v>
      </c>
      <c r="CP37" s="18">
        <f ca="1">CP$47*(constant_vessel_lifetime*CP$38)*(1-'TCO - Input'!$R$18)*(MIN(1,MAX(0,CP39)))</f>
        <v>0</v>
      </c>
      <c r="CQ37" s="18">
        <f ca="1">CQ$47*(constant_vessel_lifetime*CQ$38)*(1-'TCO - Input'!$R$18)*(MIN(1,MAX(0,CQ39)))</f>
        <v>0</v>
      </c>
      <c r="CR37" s="18">
        <f ca="1">CR$47*(constant_vessel_lifetime*CR$38)*(1-'TCO - Input'!$R$18)*(MIN(1,MAX(0,CR39)))</f>
        <v>0</v>
      </c>
      <c r="CS37" s="18">
        <f ca="1">CS$47*(constant_vessel_lifetime*CS$38)*(1-'TCO - Input'!$R$18)*(MIN(1,MAX(0,CS39)))</f>
        <v>0</v>
      </c>
      <c r="CT37" s="18">
        <f ca="1">CT$47*(constant_vessel_lifetime*CT$38)*(1-'TCO - Input'!$R$18)*(MIN(1,MAX(0,CT39)))</f>
        <v>0</v>
      </c>
      <c r="CU37" s="18"/>
      <c r="CV37" s="18"/>
    </row>
    <row r="38" spans="2:100" outlineLevel="1" x14ac:dyDescent="0.2">
      <c r="D38" s="16" t="s">
        <v>266</v>
      </c>
      <c r="E38" t="s">
        <v>267</v>
      </c>
      <c r="F38" s="284"/>
      <c r="G38" s="65">
        <f t="shared" ref="G38:R38" si="66">swing_greenFinance_selected</f>
        <v>0</v>
      </c>
      <c r="H38" s="65">
        <f t="shared" si="66"/>
        <v>0</v>
      </c>
      <c r="I38" s="65">
        <f t="shared" si="66"/>
        <v>0</v>
      </c>
      <c r="J38" s="65">
        <f t="shared" si="66"/>
        <v>0</v>
      </c>
      <c r="K38" s="65">
        <f t="shared" si="66"/>
        <v>0</v>
      </c>
      <c r="L38" s="65">
        <f t="shared" si="66"/>
        <v>0</v>
      </c>
      <c r="M38" s="65">
        <f t="shared" si="66"/>
        <v>0</v>
      </c>
      <c r="N38" s="65">
        <f t="shared" si="66"/>
        <v>0</v>
      </c>
      <c r="O38" s="65">
        <f t="shared" si="66"/>
        <v>0</v>
      </c>
      <c r="P38" s="65">
        <f t="shared" si="66"/>
        <v>0</v>
      </c>
      <c r="Q38" s="65">
        <f t="shared" si="66"/>
        <v>0</v>
      </c>
      <c r="R38" s="65">
        <f t="shared" si="66"/>
        <v>0</v>
      </c>
      <c r="X38" s="16" t="s">
        <v>266</v>
      </c>
      <c r="Y38" t="s">
        <v>267</v>
      </c>
      <c r="Z38" s="284"/>
      <c r="AA38" s="65">
        <f>+AA33</f>
        <v>0</v>
      </c>
      <c r="AB38" s="65">
        <f t="shared" ref="AB38:AL38" si="67">+AB33</f>
        <v>0</v>
      </c>
      <c r="AC38" s="65">
        <f t="shared" si="67"/>
        <v>0</v>
      </c>
      <c r="AD38" s="65">
        <f t="shared" si="67"/>
        <v>0</v>
      </c>
      <c r="AE38" s="65">
        <f t="shared" si="67"/>
        <v>0</v>
      </c>
      <c r="AF38" s="65">
        <f t="shared" si="67"/>
        <v>0</v>
      </c>
      <c r="AG38" s="65">
        <f t="shared" si="67"/>
        <v>0</v>
      </c>
      <c r="AH38" s="65">
        <f t="shared" si="67"/>
        <v>0</v>
      </c>
      <c r="AI38" s="65">
        <f t="shared" si="67"/>
        <v>0</v>
      </c>
      <c r="AJ38" s="65">
        <f t="shared" si="67"/>
        <v>0</v>
      </c>
      <c r="AK38" s="65">
        <f t="shared" si="67"/>
        <v>0</v>
      </c>
      <c r="AL38" s="65">
        <f t="shared" si="67"/>
        <v>0</v>
      </c>
      <c r="AR38" s="16" t="s">
        <v>266</v>
      </c>
      <c r="AS38" t="s">
        <v>267</v>
      </c>
      <c r="AT38" s="284"/>
      <c r="AU38" s="65">
        <f>+AU33</f>
        <v>0</v>
      </c>
      <c r="AV38" s="65">
        <f t="shared" ref="AV38:BF38" si="68">+AV33</f>
        <v>0</v>
      </c>
      <c r="AW38" s="65">
        <f t="shared" si="68"/>
        <v>0</v>
      </c>
      <c r="AX38" s="65">
        <f t="shared" si="68"/>
        <v>0</v>
      </c>
      <c r="AY38" s="65">
        <f t="shared" si="68"/>
        <v>0</v>
      </c>
      <c r="AZ38" s="65">
        <f t="shared" si="68"/>
        <v>0</v>
      </c>
      <c r="BA38" s="65">
        <f t="shared" si="68"/>
        <v>0</v>
      </c>
      <c r="BB38" s="65">
        <f t="shared" si="68"/>
        <v>0</v>
      </c>
      <c r="BC38" s="65">
        <f t="shared" si="68"/>
        <v>0</v>
      </c>
      <c r="BD38" s="65">
        <f t="shared" si="68"/>
        <v>0</v>
      </c>
      <c r="BE38" s="65">
        <f t="shared" si="68"/>
        <v>0</v>
      </c>
      <c r="BF38" s="65">
        <f t="shared" si="68"/>
        <v>0</v>
      </c>
      <c r="BG38" s="18"/>
      <c r="BH38" s="18"/>
      <c r="BL38" s="16" t="s">
        <v>266</v>
      </c>
      <c r="BM38" t="s">
        <v>267</v>
      </c>
      <c r="BN38" s="284"/>
      <c r="BO38" s="65">
        <f>+BO33</f>
        <v>0</v>
      </c>
      <c r="BP38" s="65">
        <f t="shared" ref="BP38:BZ38" si="69">+BP33</f>
        <v>0</v>
      </c>
      <c r="BQ38" s="65">
        <f t="shared" si="69"/>
        <v>0</v>
      </c>
      <c r="BR38" s="65">
        <f t="shared" si="69"/>
        <v>0</v>
      </c>
      <c r="BS38" s="65">
        <f t="shared" si="69"/>
        <v>0</v>
      </c>
      <c r="BT38" s="65">
        <f t="shared" si="69"/>
        <v>0</v>
      </c>
      <c r="BU38" s="65">
        <f t="shared" si="69"/>
        <v>0</v>
      </c>
      <c r="BV38" s="65">
        <f t="shared" si="69"/>
        <v>0</v>
      </c>
      <c r="BW38" s="65">
        <f t="shared" si="69"/>
        <v>0</v>
      </c>
      <c r="BX38" s="65">
        <f t="shared" si="69"/>
        <v>0</v>
      </c>
      <c r="BY38" s="65">
        <f t="shared" si="69"/>
        <v>0</v>
      </c>
      <c r="BZ38" s="65">
        <f t="shared" si="69"/>
        <v>0</v>
      </c>
      <c r="CA38" s="18"/>
      <c r="CB38" s="18"/>
      <c r="CF38" s="16" t="s">
        <v>266</v>
      </c>
      <c r="CG38" t="s">
        <v>267</v>
      </c>
      <c r="CH38" s="284"/>
      <c r="CI38" s="65">
        <f>+CI33</f>
        <v>0</v>
      </c>
      <c r="CJ38" s="65">
        <f t="shared" ref="CJ38:CT38" si="70">+CJ33</f>
        <v>0</v>
      </c>
      <c r="CK38" s="65">
        <f t="shared" si="70"/>
        <v>0</v>
      </c>
      <c r="CL38" s="65">
        <f t="shared" si="70"/>
        <v>0</v>
      </c>
      <c r="CM38" s="65">
        <f t="shared" si="70"/>
        <v>0</v>
      </c>
      <c r="CN38" s="65">
        <f t="shared" si="70"/>
        <v>0</v>
      </c>
      <c r="CO38" s="65">
        <f t="shared" si="70"/>
        <v>0</v>
      </c>
      <c r="CP38" s="65">
        <f t="shared" si="70"/>
        <v>0</v>
      </c>
      <c r="CQ38" s="65">
        <f t="shared" si="70"/>
        <v>0</v>
      </c>
      <c r="CR38" s="65">
        <f t="shared" si="70"/>
        <v>0</v>
      </c>
      <c r="CS38" s="65">
        <f t="shared" si="70"/>
        <v>0</v>
      </c>
      <c r="CT38" s="65">
        <f t="shared" si="70"/>
        <v>0</v>
      </c>
      <c r="CU38" s="18"/>
      <c r="CV38" s="18"/>
    </row>
    <row r="39" spans="2:100" outlineLevel="1" x14ac:dyDescent="0.2">
      <c r="D39" s="16" t="s">
        <v>268</v>
      </c>
      <c r="G39" s="24">
        <f ca="1">G253/'TCO - Input'!$S$450</f>
        <v>0.99999999999999989</v>
      </c>
      <c r="H39" s="24">
        <f ca="1">H253/'TCO - Input'!$S$450</f>
        <v>0.99999999999999989</v>
      </c>
      <c r="I39" s="24">
        <f ca="1">I253/'TCO - Input'!$S$450</f>
        <v>0.99999999999999989</v>
      </c>
      <c r="J39" s="24">
        <f ca="1">J253/'TCO - Input'!$S$450</f>
        <v>0.99999999999999989</v>
      </c>
      <c r="K39" s="24">
        <f ca="1">K253/'TCO - Input'!$S$450</f>
        <v>0.99999999999999989</v>
      </c>
      <c r="L39" s="24">
        <f ca="1">L253/'TCO - Input'!$S$450</f>
        <v>0.99999999999999989</v>
      </c>
      <c r="M39" s="24">
        <f ca="1">M253/'TCO - Input'!$S$450</f>
        <v>0.99999999999999989</v>
      </c>
      <c r="N39" s="24">
        <f ca="1">N253/'TCO - Input'!$S$450</f>
        <v>0.99999999999999989</v>
      </c>
      <c r="O39" s="24">
        <f ca="1">O253/'TCO - Input'!$S$450</f>
        <v>0.99999999999999989</v>
      </c>
      <c r="P39" s="24">
        <f ca="1">P253/'TCO - Input'!$S$450</f>
        <v>0.99999999999999989</v>
      </c>
      <c r="Q39" s="24">
        <f ca="1">Q253/'TCO - Input'!$S$450</f>
        <v>0.99999999999999989</v>
      </c>
      <c r="R39" s="24">
        <f ca="1">R253/'TCO - Input'!$S$450</f>
        <v>0.99999999999999989</v>
      </c>
      <c r="X39" s="16" t="s">
        <v>268</v>
      </c>
      <c r="AA39" s="24">
        <f ca="1">AA253/'TCO - Input'!$S$450</f>
        <v>1.0409481037570454</v>
      </c>
      <c r="AB39" s="24">
        <f ca="1">AB253/'TCO - Input'!$S$450</f>
        <v>1.0380802338319948</v>
      </c>
      <c r="AC39" s="24">
        <f ca="1">AC253/'TCO - Input'!$S$450</f>
        <v>1.0360850900804721</v>
      </c>
      <c r="AD39" s="24">
        <f ca="1">AD253/'TCO - Input'!$S$450</f>
        <v>1.0346970917774561</v>
      </c>
      <c r="AE39" s="24">
        <f ca="1">AE253/'TCO - Input'!$S$450</f>
        <v>1.0337314775014397</v>
      </c>
      <c r="AF39" s="24">
        <f ca="1">AF253/'TCO - Input'!$S$450</f>
        <v>1.0330597108803852</v>
      </c>
      <c r="AG39" s="24">
        <f ca="1">AG253/'TCO - Input'!$S$450</f>
        <v>1.0325923706552333</v>
      </c>
      <c r="AH39" s="24">
        <f ca="1">AH253/'TCO - Input'!$S$450</f>
        <v>1.0325923706552333</v>
      </c>
      <c r="AI39" s="24">
        <f ca="1">AI253/'TCO - Input'!$S$450</f>
        <v>1.0325923706552333</v>
      </c>
      <c r="AJ39" s="24">
        <f ca="1">AJ253/'TCO - Input'!$S$450</f>
        <v>1.0325923706552333</v>
      </c>
      <c r="AK39" s="24">
        <f ca="1">AK253/'TCO - Input'!$S$450</f>
        <v>1.0325923706552333</v>
      </c>
      <c r="AL39" s="24">
        <f ca="1">AL253/'TCO - Input'!$S$450</f>
        <v>1.0325923706552333</v>
      </c>
      <c r="AR39" s="16" t="s">
        <v>268</v>
      </c>
      <c r="AU39" s="24">
        <f ca="1">AU253/'TCO - Input'!$S$450</f>
        <v>6.0495465742690394E-2</v>
      </c>
      <c r="AV39" s="24">
        <f ca="1">AV253/'TCO - Input'!$S$450</f>
        <v>5.2299853311011266E-2</v>
      </c>
      <c r="AW39" s="24">
        <f ca="1">AW253/'TCO - Input'!$S$450</f>
        <v>4.6161684025025469E-2</v>
      </c>
      <c r="AX39" s="24">
        <f ca="1">AX253/'TCO - Input'!$S$450</f>
        <v>3.7307800428477762E-2</v>
      </c>
      <c r="AY39" s="24">
        <f ca="1">AY253/'TCO - Input'!$S$450</f>
        <v>3.3694355156761301E-2</v>
      </c>
      <c r="AZ39" s="24">
        <f ca="1">AZ253/'TCO - Input'!$S$450</f>
        <v>3.0003221436012716E-2</v>
      </c>
      <c r="BA39" s="24">
        <f ca="1">BA253/'TCO - Input'!$S$450</f>
        <v>2.6591940944508428E-2</v>
      </c>
      <c r="BB39" s="24">
        <f ca="1">BB253/'TCO - Input'!$S$450</f>
        <v>2.6591940944508428E-2</v>
      </c>
      <c r="BC39" s="24">
        <f ca="1">BC253/'TCO - Input'!$S$450</f>
        <v>2.6591940944508428E-2</v>
      </c>
      <c r="BD39" s="24">
        <f ca="1">BD253/'TCO - Input'!$S$450</f>
        <v>2.6591940944508428E-2</v>
      </c>
      <c r="BE39" s="24">
        <f ca="1">BE253/'TCO - Input'!$S$450</f>
        <v>2.6591940944508428E-2</v>
      </c>
      <c r="BF39" s="24">
        <f ca="1">BF253/'TCO - Input'!$S$450</f>
        <v>2.6591940944508428E-2</v>
      </c>
      <c r="BL39" s="16" t="s">
        <v>268</v>
      </c>
      <c r="BO39" s="24">
        <f ca="1">BO253/'TCO - Input'!$S$450</f>
        <v>0.25919488312481853</v>
      </c>
      <c r="BP39" s="24">
        <f ca="1">BP253/'TCO - Input'!$S$450</f>
        <v>0.24078388435865414</v>
      </c>
      <c r="BQ39" s="24">
        <f ca="1">BQ253/'TCO - Input'!$S$450</f>
        <v>0.22467573480866876</v>
      </c>
      <c r="BR39" s="24">
        <f ca="1">BR253/'TCO - Input'!$S$450</f>
        <v>0.20648281187178921</v>
      </c>
      <c r="BS39" s="24">
        <f ca="1">BS253/'TCO - Input'!$S$450</f>
        <v>0.19373362960575399</v>
      </c>
      <c r="BT39" s="24">
        <f ca="1">BT253/'TCO - Input'!$S$450</f>
        <v>0.18130939402559834</v>
      </c>
      <c r="BU39" s="24">
        <f ca="1">BU253/'TCO - Input'!$S$450</f>
        <v>0.16882161498577944</v>
      </c>
      <c r="BV39" s="24">
        <f ca="1">BV253/'TCO - Input'!$S$450</f>
        <v>0.16882161498577944</v>
      </c>
      <c r="BW39" s="24">
        <f ca="1">BW253/'TCO - Input'!$S$450</f>
        <v>0.16882161498577944</v>
      </c>
      <c r="BX39" s="24">
        <f ca="1">BX253/'TCO - Input'!$S$450</f>
        <v>0.16882161498577944</v>
      </c>
      <c r="BY39" s="24">
        <f ca="1">BY253/'TCO - Input'!$S$450</f>
        <v>0.16882161498577944</v>
      </c>
      <c r="BZ39" s="24">
        <f ca="1">BZ253/'TCO - Input'!$S$450</f>
        <v>0.16882161498577944</v>
      </c>
      <c r="CF39" s="16" t="s">
        <v>268</v>
      </c>
      <c r="CI39" s="24">
        <f ca="1">CI253/'TCO - Input'!$S$450</f>
        <v>0.14762556531802573</v>
      </c>
      <c r="CJ39" s="24">
        <f ca="1">CJ253/'TCO - Input'!$S$450</f>
        <v>0.12195471283670892</v>
      </c>
      <c r="CK39" s="24">
        <f ca="1">CK253/'TCO - Input'!$S$450</f>
        <v>9.877758423183268E-2</v>
      </c>
      <c r="CL39" s="24">
        <f ca="1">CL253/'TCO - Input'!$S$450</f>
        <v>7.3651642246692864E-2</v>
      </c>
      <c r="CM39" s="24">
        <f ca="1">CM253/'TCO - Input'!$S$450</f>
        <v>5.4064026727700262E-2</v>
      </c>
      <c r="CN39" s="24">
        <f ca="1">CN253/'TCO - Input'!$S$450</f>
        <v>3.4867160132280514E-2</v>
      </c>
      <c r="CO39" s="24">
        <f ca="1">CO253/'TCO - Input'!$S$450</f>
        <v>1.5652527928634186E-2</v>
      </c>
      <c r="CP39" s="24">
        <f ca="1">CP253/'TCO - Input'!$S$450</f>
        <v>1.5652527928634186E-2</v>
      </c>
      <c r="CQ39" s="24">
        <f ca="1">CQ253/'TCO - Input'!$S$450</f>
        <v>1.5652527928634186E-2</v>
      </c>
      <c r="CR39" s="24">
        <f ca="1">CR253/'TCO - Input'!$S$450</f>
        <v>1.5652527928634186E-2</v>
      </c>
      <c r="CS39" s="24">
        <f ca="1">CS253/'TCO - Input'!$S$450</f>
        <v>1.5652527928634186E-2</v>
      </c>
      <c r="CT39" s="24">
        <f ca="1">CT253/'TCO - Input'!$S$450</f>
        <v>1.5652527928634186E-2</v>
      </c>
    </row>
    <row r="40" spans="2:100" outlineLevel="1" collapsed="1" x14ac:dyDescent="0.2">
      <c r="D40" s="3"/>
      <c r="G40" s="18"/>
      <c r="H40" s="18"/>
      <c r="I40" s="18"/>
      <c r="J40" s="18"/>
      <c r="K40" s="18"/>
      <c r="L40" s="18"/>
      <c r="M40" s="18"/>
      <c r="N40" s="18"/>
      <c r="O40" s="18"/>
      <c r="P40" s="18"/>
      <c r="Q40" s="18"/>
      <c r="R40" s="18"/>
      <c r="X40" s="3"/>
      <c r="AA40" s="18"/>
      <c r="AB40" s="18"/>
      <c r="AC40" s="18"/>
      <c r="AD40" s="18"/>
      <c r="AE40" s="18"/>
      <c r="AF40" s="18"/>
      <c r="AG40" s="18"/>
      <c r="AH40" s="18"/>
      <c r="AI40" s="18"/>
      <c r="AJ40" s="18"/>
      <c r="AK40" s="18"/>
      <c r="AL40" s="18"/>
      <c r="AR40" s="3"/>
      <c r="AU40" s="18"/>
      <c r="AV40" s="18"/>
      <c r="AW40" s="18"/>
      <c r="AX40" s="18"/>
      <c r="AY40" s="18"/>
      <c r="AZ40" s="18"/>
      <c r="BA40" s="18"/>
      <c r="BB40" s="18"/>
      <c r="BC40" s="18"/>
      <c r="BD40" s="18"/>
      <c r="BE40" s="18"/>
      <c r="BF40" s="18"/>
      <c r="BL40" s="3"/>
      <c r="BO40" s="18"/>
      <c r="BP40" s="18"/>
      <c r="BQ40" s="18"/>
      <c r="BR40" s="18"/>
      <c r="BS40" s="18"/>
      <c r="BT40" s="18"/>
      <c r="BU40" s="18"/>
      <c r="BV40" s="18"/>
      <c r="BW40" s="18"/>
      <c r="BX40" s="18"/>
      <c r="BY40" s="18"/>
      <c r="BZ40" s="18"/>
      <c r="CF40" s="3"/>
      <c r="CI40" s="18"/>
      <c r="CJ40" s="18"/>
      <c r="CK40" s="18"/>
      <c r="CL40" s="18"/>
      <c r="CM40" s="18"/>
      <c r="CN40" s="18"/>
      <c r="CO40" s="18"/>
      <c r="CP40" s="18"/>
      <c r="CQ40" s="18"/>
      <c r="CR40" s="18"/>
      <c r="CS40" s="18"/>
      <c r="CT40" s="18"/>
    </row>
    <row r="41" spans="2:100" s="4" customFormat="1" outlineLevel="1" x14ac:dyDescent="0.2">
      <c r="B41" s="280" t="s">
        <v>271</v>
      </c>
      <c r="D41" s="40"/>
      <c r="F41" s="281"/>
      <c r="G41" s="62"/>
      <c r="H41" s="62"/>
      <c r="I41" s="62"/>
      <c r="J41" s="62"/>
      <c r="K41" s="62"/>
      <c r="L41" s="62"/>
      <c r="M41" s="62"/>
      <c r="N41" s="62"/>
      <c r="O41" s="62"/>
      <c r="P41" s="62"/>
      <c r="Q41" s="62"/>
      <c r="R41" s="62"/>
      <c r="X41" s="40"/>
      <c r="Z41" s="281"/>
      <c r="AA41" s="62"/>
      <c r="AB41" s="62"/>
      <c r="AC41" s="62"/>
      <c r="AD41" s="62"/>
      <c r="AE41" s="62"/>
      <c r="AF41" s="62"/>
      <c r="AG41" s="62"/>
      <c r="AH41" s="62"/>
      <c r="AI41" s="62"/>
      <c r="AJ41" s="62"/>
      <c r="AK41" s="62"/>
      <c r="AL41" s="62"/>
      <c r="AR41" s="40"/>
      <c r="AT41" s="281"/>
      <c r="AU41" s="62"/>
      <c r="AV41" s="62"/>
      <c r="AW41" s="62"/>
      <c r="AX41" s="62"/>
      <c r="AY41" s="62"/>
      <c r="AZ41" s="62"/>
      <c r="BA41" s="62"/>
      <c r="BB41" s="62"/>
      <c r="BC41" s="62"/>
      <c r="BD41" s="62"/>
      <c r="BE41" s="62"/>
      <c r="BF41" s="62"/>
      <c r="BL41" s="40"/>
      <c r="BN41" s="281"/>
      <c r="BO41" s="62"/>
      <c r="BP41" s="62"/>
      <c r="BQ41" s="62"/>
      <c r="BR41" s="62"/>
      <c r="BS41" s="62"/>
      <c r="BT41" s="62"/>
      <c r="BU41" s="62"/>
      <c r="BV41" s="62"/>
      <c r="BW41" s="62"/>
      <c r="BX41" s="62"/>
      <c r="BY41" s="62"/>
      <c r="BZ41" s="62"/>
      <c r="CF41" s="40"/>
      <c r="CH41" s="281"/>
      <c r="CI41" s="62"/>
      <c r="CJ41" s="62"/>
      <c r="CK41" s="62"/>
      <c r="CL41" s="62"/>
      <c r="CM41" s="62"/>
      <c r="CN41" s="62"/>
      <c r="CO41" s="62"/>
      <c r="CP41" s="62"/>
      <c r="CQ41" s="62"/>
      <c r="CR41" s="62"/>
      <c r="CS41" s="62"/>
      <c r="CT41" s="62"/>
    </row>
    <row r="42" spans="2:100" outlineLevel="1" x14ac:dyDescent="0.2">
      <c r="D42" s="285" t="s">
        <v>217</v>
      </c>
      <c r="E42" t="s">
        <v>211</v>
      </c>
      <c r="G42" s="18">
        <f ca="1">G47</f>
        <v>4255140</v>
      </c>
      <c r="H42" s="18">
        <f t="shared" ref="H42:R42" ca="1" si="71">H47</f>
        <v>4255140</v>
      </c>
      <c r="I42" s="18">
        <f t="shared" ca="1" si="71"/>
        <v>4255140</v>
      </c>
      <c r="J42" s="18">
        <f t="shared" ca="1" si="71"/>
        <v>4255140</v>
      </c>
      <c r="K42" s="18">
        <f t="shared" ca="1" si="71"/>
        <v>4255140</v>
      </c>
      <c r="L42" s="18">
        <f t="shared" ca="1" si="71"/>
        <v>4255140</v>
      </c>
      <c r="M42" s="18">
        <f t="shared" ca="1" si="71"/>
        <v>4255140</v>
      </c>
      <c r="N42" s="18">
        <f t="shared" ca="1" si="71"/>
        <v>4255140</v>
      </c>
      <c r="O42" s="18">
        <f t="shared" ca="1" si="71"/>
        <v>4255140</v>
      </c>
      <c r="P42" s="18">
        <f t="shared" ca="1" si="71"/>
        <v>4255140</v>
      </c>
      <c r="Q42" s="18">
        <f t="shared" ca="1" si="71"/>
        <v>4255140</v>
      </c>
      <c r="R42" s="18">
        <f t="shared" ca="1" si="71"/>
        <v>4255140</v>
      </c>
      <c r="X42" s="285" t="s">
        <v>217</v>
      </c>
      <c r="Y42" t="s">
        <v>211</v>
      </c>
      <c r="AA42" s="18">
        <f ca="1">AA47</f>
        <v>5377833</v>
      </c>
      <c r="AB42" s="18">
        <f t="shared" ref="AB42:AL42" ca="1" si="72">AB47</f>
        <v>5377833</v>
      </c>
      <c r="AC42" s="18">
        <f t="shared" ca="1" si="72"/>
        <v>5377833</v>
      </c>
      <c r="AD42" s="18">
        <f t="shared" ca="1" si="72"/>
        <v>5377833</v>
      </c>
      <c r="AE42" s="18">
        <f t="shared" ca="1" si="72"/>
        <v>5377833</v>
      </c>
      <c r="AF42" s="18">
        <f t="shared" ca="1" si="72"/>
        <v>5377833</v>
      </c>
      <c r="AG42" s="18">
        <f t="shared" ca="1" si="72"/>
        <v>5377833</v>
      </c>
      <c r="AH42" s="18">
        <f t="shared" ca="1" si="72"/>
        <v>5377833</v>
      </c>
      <c r="AI42" s="18">
        <f t="shared" ca="1" si="72"/>
        <v>5377833</v>
      </c>
      <c r="AJ42" s="18">
        <f t="shared" ca="1" si="72"/>
        <v>5377833</v>
      </c>
      <c r="AK42" s="18">
        <f t="shared" ca="1" si="72"/>
        <v>5377833</v>
      </c>
      <c r="AL42" s="18">
        <f t="shared" ca="1" si="72"/>
        <v>5377833</v>
      </c>
      <c r="AR42" s="285" t="s">
        <v>217</v>
      </c>
      <c r="AS42" t="s">
        <v>211</v>
      </c>
      <c r="AU42" s="18">
        <f ca="1">AU47</f>
        <v>5064113</v>
      </c>
      <c r="AV42" s="18">
        <f t="shared" ref="AV42:BF42" ca="1" si="73">AV47</f>
        <v>5064113</v>
      </c>
      <c r="AW42" s="18">
        <f t="shared" ca="1" si="73"/>
        <v>5064113</v>
      </c>
      <c r="AX42" s="18">
        <f t="shared" ca="1" si="73"/>
        <v>5064113</v>
      </c>
      <c r="AY42" s="18">
        <f t="shared" ca="1" si="73"/>
        <v>5064113</v>
      </c>
      <c r="AZ42" s="18">
        <f t="shared" ca="1" si="73"/>
        <v>5064113</v>
      </c>
      <c r="BA42" s="18">
        <f t="shared" ca="1" si="73"/>
        <v>5064113</v>
      </c>
      <c r="BB42" s="18">
        <f t="shared" ca="1" si="73"/>
        <v>5064113</v>
      </c>
      <c r="BC42" s="18">
        <f t="shared" ca="1" si="73"/>
        <v>5064113</v>
      </c>
      <c r="BD42" s="18">
        <f t="shared" ca="1" si="73"/>
        <v>5064113</v>
      </c>
      <c r="BE42" s="18">
        <f t="shared" ca="1" si="73"/>
        <v>5064113</v>
      </c>
      <c r="BF42" s="18">
        <f t="shared" ca="1" si="73"/>
        <v>5064113</v>
      </c>
      <c r="BL42" s="285" t="s">
        <v>217</v>
      </c>
      <c r="BM42" t="s">
        <v>211</v>
      </c>
      <c r="BO42" s="18">
        <f ca="1">BO47</f>
        <v>5064113</v>
      </c>
      <c r="BP42" s="18">
        <f t="shared" ref="BP42:BZ42" ca="1" si="74">BP47</f>
        <v>5064113</v>
      </c>
      <c r="BQ42" s="18">
        <f t="shared" ca="1" si="74"/>
        <v>5064113</v>
      </c>
      <c r="BR42" s="18">
        <f t="shared" ca="1" si="74"/>
        <v>5064113</v>
      </c>
      <c r="BS42" s="18">
        <f t="shared" ca="1" si="74"/>
        <v>5064113</v>
      </c>
      <c r="BT42" s="18">
        <f t="shared" ca="1" si="74"/>
        <v>5064113</v>
      </c>
      <c r="BU42" s="18">
        <f t="shared" ca="1" si="74"/>
        <v>5064113</v>
      </c>
      <c r="BV42" s="18">
        <f t="shared" ca="1" si="74"/>
        <v>5064113</v>
      </c>
      <c r="BW42" s="18">
        <f t="shared" ca="1" si="74"/>
        <v>5064113</v>
      </c>
      <c r="BX42" s="18">
        <f t="shared" ca="1" si="74"/>
        <v>5064113</v>
      </c>
      <c r="BY42" s="18">
        <f t="shared" ca="1" si="74"/>
        <v>5064113</v>
      </c>
      <c r="BZ42" s="18">
        <f t="shared" ca="1" si="74"/>
        <v>5064113</v>
      </c>
      <c r="CF42" s="285" t="s">
        <v>217</v>
      </c>
      <c r="CG42" t="s">
        <v>211</v>
      </c>
      <c r="CI42" s="18">
        <f ca="1">CI47</f>
        <v>4879753</v>
      </c>
      <c r="CJ42" s="18">
        <f t="shared" ref="CJ42:CT42" ca="1" si="75">CJ47</f>
        <v>4879753</v>
      </c>
      <c r="CK42" s="18">
        <f t="shared" ca="1" si="75"/>
        <v>4879753</v>
      </c>
      <c r="CL42" s="18">
        <f t="shared" ca="1" si="75"/>
        <v>4879753</v>
      </c>
      <c r="CM42" s="18">
        <f t="shared" ca="1" si="75"/>
        <v>4879753</v>
      </c>
      <c r="CN42" s="18">
        <f t="shared" ca="1" si="75"/>
        <v>4879753</v>
      </c>
      <c r="CO42" s="18">
        <f t="shared" ca="1" si="75"/>
        <v>4879753</v>
      </c>
      <c r="CP42" s="18">
        <f t="shared" ca="1" si="75"/>
        <v>4879753</v>
      </c>
      <c r="CQ42" s="18">
        <f t="shared" ca="1" si="75"/>
        <v>4879753</v>
      </c>
      <c r="CR42" s="18">
        <f t="shared" ca="1" si="75"/>
        <v>4879753</v>
      </c>
      <c r="CS42" s="18">
        <f t="shared" ca="1" si="75"/>
        <v>4879753</v>
      </c>
      <c r="CT42" s="18">
        <f t="shared" ca="1" si="75"/>
        <v>4879753</v>
      </c>
    </row>
    <row r="43" spans="2:100" outlineLevel="1" x14ac:dyDescent="0.2">
      <c r="D43" s="285" t="s">
        <v>220</v>
      </c>
      <c r="E43" t="s">
        <v>211</v>
      </c>
      <c r="G43" s="18">
        <f ca="1">G103</f>
        <v>28721109.320261732</v>
      </c>
      <c r="H43" s="18">
        <f t="shared" ref="H43:R43" ca="1" si="76">H103</f>
        <v>22701307.601875752</v>
      </c>
      <c r="I43" s="18">
        <f t="shared" ca="1" si="76"/>
        <v>20756448.585166432</v>
      </c>
      <c r="J43" s="18">
        <f t="shared" ca="1" si="76"/>
        <v>20756448.585166432</v>
      </c>
      <c r="K43" s="18">
        <f t="shared" ca="1" si="76"/>
        <v>20756448.585166432</v>
      </c>
      <c r="L43" s="18">
        <f t="shared" ca="1" si="76"/>
        <v>20756448.585166432</v>
      </c>
      <c r="M43" s="18">
        <f t="shared" ca="1" si="76"/>
        <v>20756448.585166432</v>
      </c>
      <c r="N43" s="18">
        <f t="shared" ca="1" si="76"/>
        <v>20756448.585166432</v>
      </c>
      <c r="O43" s="18">
        <f t="shared" ca="1" si="76"/>
        <v>20756448.585166432</v>
      </c>
      <c r="P43" s="18">
        <f t="shared" ca="1" si="76"/>
        <v>20756448.585166432</v>
      </c>
      <c r="Q43" s="18">
        <f t="shared" ca="1" si="76"/>
        <v>20756448.585166432</v>
      </c>
      <c r="R43" s="18">
        <f t="shared" ca="1" si="76"/>
        <v>20756448.585166432</v>
      </c>
      <c r="X43" s="285" t="s">
        <v>220</v>
      </c>
      <c r="Y43" t="s">
        <v>211</v>
      </c>
      <c r="AA43" s="18">
        <f ca="1">AA103</f>
        <v>35230724.342169985</v>
      </c>
      <c r="AB43" s="18">
        <f t="shared" ref="AB43:AL43" ca="1" si="77">AB103</f>
        <v>22482722.082972504</v>
      </c>
      <c r="AC43" s="18">
        <f t="shared" ca="1" si="77"/>
        <v>18021059.910779327</v>
      </c>
      <c r="AD43" s="18">
        <f t="shared" ca="1" si="77"/>
        <v>18062484.139687993</v>
      </c>
      <c r="AE43" s="18">
        <f t="shared" ca="1" si="77"/>
        <v>17942903.741138645</v>
      </c>
      <c r="AF43" s="18">
        <f t="shared" ca="1" si="77"/>
        <v>17827584.013755396</v>
      </c>
      <c r="AG43" s="18">
        <f t="shared" ca="1" si="77"/>
        <v>17726823.763326623</v>
      </c>
      <c r="AH43" s="18">
        <f t="shared" ca="1" si="77"/>
        <v>17726823.763326623</v>
      </c>
      <c r="AI43" s="18">
        <f t="shared" ca="1" si="77"/>
        <v>17726823.763326623</v>
      </c>
      <c r="AJ43" s="18">
        <f t="shared" ca="1" si="77"/>
        <v>17726823.763326623</v>
      </c>
      <c r="AK43" s="18">
        <f t="shared" ca="1" si="77"/>
        <v>17726823.763326623</v>
      </c>
      <c r="AL43" s="18">
        <f t="shared" ca="1" si="77"/>
        <v>17726823.763326623</v>
      </c>
      <c r="AR43" s="285" t="s">
        <v>220</v>
      </c>
      <c r="AS43" t="s">
        <v>211</v>
      </c>
      <c r="AU43" s="18">
        <f ca="1">AU103</f>
        <v>74318173.268647641</v>
      </c>
      <c r="AV43" s="18">
        <f t="shared" ref="AV43:BF43" ca="1" si="78">AV103</f>
        <v>56578287.982587874</v>
      </c>
      <c r="AW43" s="18">
        <f t="shared" ca="1" si="78"/>
        <v>41837102.437357046</v>
      </c>
      <c r="AX43" s="18">
        <f t="shared" ca="1" si="78"/>
        <v>38825246.025946148</v>
      </c>
      <c r="AY43" s="18">
        <f t="shared" ca="1" si="78"/>
        <v>35195618.617894784</v>
      </c>
      <c r="AZ43" s="18">
        <f t="shared" ca="1" si="78"/>
        <v>30793194.101004645</v>
      </c>
      <c r="BA43" s="18">
        <f t="shared" ca="1" si="78"/>
        <v>26784258.762327649</v>
      </c>
      <c r="BB43" s="18">
        <f t="shared" ca="1" si="78"/>
        <v>26784258.762327649</v>
      </c>
      <c r="BC43" s="18">
        <f t="shared" ca="1" si="78"/>
        <v>26784258.762327649</v>
      </c>
      <c r="BD43" s="18">
        <f t="shared" ca="1" si="78"/>
        <v>26784258.762327649</v>
      </c>
      <c r="BE43" s="18">
        <f t="shared" ca="1" si="78"/>
        <v>26784258.762327649</v>
      </c>
      <c r="BF43" s="18">
        <f t="shared" ca="1" si="78"/>
        <v>26784258.762327649</v>
      </c>
      <c r="BL43" s="285" t="s">
        <v>220</v>
      </c>
      <c r="BM43" t="s">
        <v>211</v>
      </c>
      <c r="BO43" s="18">
        <f ca="1">BO103</f>
        <v>63668551.519878291</v>
      </c>
      <c r="BP43" s="18">
        <f t="shared" ref="BP43:BZ43" ca="1" si="79">BP103</f>
        <v>41651068.779430121</v>
      </c>
      <c r="BQ43" s="18">
        <f t="shared" ca="1" si="79"/>
        <v>32800066.750414848</v>
      </c>
      <c r="BR43" s="18">
        <f t="shared" ca="1" si="79"/>
        <v>32694855.488541681</v>
      </c>
      <c r="BS43" s="18">
        <f t="shared" ca="1" si="79"/>
        <v>32292197.098652851</v>
      </c>
      <c r="BT43" s="18">
        <f t="shared" ca="1" si="79"/>
        <v>31879727.319878671</v>
      </c>
      <c r="BU43" s="18">
        <f t="shared" ca="1" si="79"/>
        <v>31442265.651478779</v>
      </c>
      <c r="BV43" s="18">
        <f t="shared" ca="1" si="79"/>
        <v>31442265.651478779</v>
      </c>
      <c r="BW43" s="18">
        <f t="shared" ca="1" si="79"/>
        <v>31442265.651478779</v>
      </c>
      <c r="BX43" s="18">
        <f t="shared" ca="1" si="79"/>
        <v>31442265.651478779</v>
      </c>
      <c r="BY43" s="18">
        <f t="shared" ca="1" si="79"/>
        <v>31442265.651478779</v>
      </c>
      <c r="BZ43" s="18">
        <f t="shared" ca="1" si="79"/>
        <v>31442265.651478779</v>
      </c>
      <c r="CF43" s="285" t="s">
        <v>220</v>
      </c>
      <c r="CG43" t="s">
        <v>211</v>
      </c>
      <c r="CI43" s="18">
        <f ca="1">CI103</f>
        <v>58306868.29296416</v>
      </c>
      <c r="CJ43" s="18">
        <f t="shared" ref="CJ43:CT43" ca="1" si="80">CJ103</f>
        <v>43131816.309383705</v>
      </c>
      <c r="CK43" s="18">
        <f t="shared" ca="1" si="80"/>
        <v>37217661.279949516</v>
      </c>
      <c r="CL43" s="18">
        <f t="shared" ca="1" si="80"/>
        <v>35082669.558043823</v>
      </c>
      <c r="CM43" s="18">
        <f t="shared" ca="1" si="80"/>
        <v>32974277.968519852</v>
      </c>
      <c r="CN43" s="18">
        <f t="shared" ca="1" si="80"/>
        <v>31742030.569864646</v>
      </c>
      <c r="CO43" s="18">
        <f t="shared" ca="1" si="80"/>
        <v>30511396.358642235</v>
      </c>
      <c r="CP43" s="18">
        <f t="shared" ca="1" si="80"/>
        <v>30511396.358642235</v>
      </c>
      <c r="CQ43" s="18">
        <f t="shared" ca="1" si="80"/>
        <v>30511396.358642235</v>
      </c>
      <c r="CR43" s="18">
        <f t="shared" ca="1" si="80"/>
        <v>30511396.358642235</v>
      </c>
      <c r="CS43" s="18">
        <f t="shared" ca="1" si="80"/>
        <v>30511396.358642235</v>
      </c>
      <c r="CT43" s="18">
        <f t="shared" ca="1" si="80"/>
        <v>30511396.358642235</v>
      </c>
    </row>
    <row r="44" spans="2:100" outlineLevel="1" x14ac:dyDescent="0.2">
      <c r="D44" s="285" t="s">
        <v>240</v>
      </c>
      <c r="E44" t="s">
        <v>211</v>
      </c>
      <c r="G44" s="18">
        <f ca="1">G194</f>
        <v>0</v>
      </c>
      <c r="H44" s="18">
        <f t="shared" ref="H44:R44" ca="1" si="81">H194</f>
        <v>0</v>
      </c>
      <c r="I44" s="18">
        <f t="shared" ca="1" si="81"/>
        <v>0</v>
      </c>
      <c r="J44" s="18">
        <f t="shared" ca="1" si="81"/>
        <v>0</v>
      </c>
      <c r="K44" s="18">
        <f t="shared" ca="1" si="81"/>
        <v>0</v>
      </c>
      <c r="L44" s="18">
        <f t="shared" ca="1" si="81"/>
        <v>0</v>
      </c>
      <c r="M44" s="18">
        <f t="shared" ca="1" si="81"/>
        <v>0</v>
      </c>
      <c r="N44" s="18">
        <f t="shared" ca="1" si="81"/>
        <v>0</v>
      </c>
      <c r="O44" s="18">
        <f t="shared" ca="1" si="81"/>
        <v>0</v>
      </c>
      <c r="P44" s="18">
        <f t="shared" ca="1" si="81"/>
        <v>0</v>
      </c>
      <c r="Q44" s="18">
        <f t="shared" ca="1" si="81"/>
        <v>0</v>
      </c>
      <c r="R44" s="18">
        <f t="shared" ca="1" si="81"/>
        <v>0</v>
      </c>
      <c r="X44" s="285" t="s">
        <v>240</v>
      </c>
      <c r="Y44" t="s">
        <v>211</v>
      </c>
      <c r="AA44" s="18">
        <f ca="1">AA194</f>
        <v>270000.00000000012</v>
      </c>
      <c r="AB44" s="18">
        <f t="shared" ref="AB44:AL44" ca="1" si="82">AB194</f>
        <v>270000.00000000012</v>
      </c>
      <c r="AC44" s="18">
        <f t="shared" ca="1" si="82"/>
        <v>270000.00000000012</v>
      </c>
      <c r="AD44" s="18">
        <f t="shared" ca="1" si="82"/>
        <v>270000.00000000012</v>
      </c>
      <c r="AE44" s="18">
        <f t="shared" ca="1" si="82"/>
        <v>270000.00000000012</v>
      </c>
      <c r="AF44" s="18">
        <f t="shared" ca="1" si="82"/>
        <v>270000.00000000012</v>
      </c>
      <c r="AG44" s="18">
        <f t="shared" ca="1" si="82"/>
        <v>270000.00000000012</v>
      </c>
      <c r="AH44" s="18">
        <f t="shared" ca="1" si="82"/>
        <v>270000.00000000012</v>
      </c>
      <c r="AI44" s="18">
        <f t="shared" ca="1" si="82"/>
        <v>270000.00000000012</v>
      </c>
      <c r="AJ44" s="18">
        <f t="shared" ca="1" si="82"/>
        <v>270000.00000000012</v>
      </c>
      <c r="AK44" s="18">
        <f t="shared" ca="1" si="82"/>
        <v>270000.00000000012</v>
      </c>
      <c r="AL44" s="18">
        <f t="shared" ca="1" si="82"/>
        <v>270000.00000000012</v>
      </c>
      <c r="AR44" s="285" t="s">
        <v>240</v>
      </c>
      <c r="AS44" t="s">
        <v>211</v>
      </c>
      <c r="AU44" s="18">
        <f ca="1">AU194</f>
        <v>0</v>
      </c>
      <c r="AV44" s="18">
        <f t="shared" ref="AV44:BF44" ca="1" si="83">AV194</f>
        <v>0</v>
      </c>
      <c r="AW44" s="18">
        <f t="shared" ca="1" si="83"/>
        <v>0</v>
      </c>
      <c r="AX44" s="18">
        <f t="shared" ca="1" si="83"/>
        <v>0</v>
      </c>
      <c r="AY44" s="18">
        <f t="shared" ca="1" si="83"/>
        <v>0</v>
      </c>
      <c r="AZ44" s="18">
        <f t="shared" ca="1" si="83"/>
        <v>0</v>
      </c>
      <c r="BA44" s="18">
        <f t="shared" ca="1" si="83"/>
        <v>0</v>
      </c>
      <c r="BB44" s="18">
        <f t="shared" ca="1" si="83"/>
        <v>0</v>
      </c>
      <c r="BC44" s="18">
        <f t="shared" ca="1" si="83"/>
        <v>0</v>
      </c>
      <c r="BD44" s="18">
        <f t="shared" ca="1" si="83"/>
        <v>0</v>
      </c>
      <c r="BE44" s="18">
        <f t="shared" ca="1" si="83"/>
        <v>0</v>
      </c>
      <c r="BF44" s="18">
        <f t="shared" ca="1" si="83"/>
        <v>0</v>
      </c>
      <c r="BL44" s="285" t="s">
        <v>240</v>
      </c>
      <c r="BM44" t="s">
        <v>211</v>
      </c>
      <c r="BO44" s="18">
        <f ca="1">BO194</f>
        <v>0</v>
      </c>
      <c r="BP44" s="18">
        <f t="shared" ref="BP44:BZ44" ca="1" si="84">BP194</f>
        <v>0</v>
      </c>
      <c r="BQ44" s="18">
        <f t="shared" ca="1" si="84"/>
        <v>0</v>
      </c>
      <c r="BR44" s="18">
        <f t="shared" ca="1" si="84"/>
        <v>0</v>
      </c>
      <c r="BS44" s="18">
        <f t="shared" ca="1" si="84"/>
        <v>0</v>
      </c>
      <c r="BT44" s="18">
        <f t="shared" ca="1" si="84"/>
        <v>0</v>
      </c>
      <c r="BU44" s="18">
        <f t="shared" ca="1" si="84"/>
        <v>0</v>
      </c>
      <c r="BV44" s="18">
        <f t="shared" ca="1" si="84"/>
        <v>0</v>
      </c>
      <c r="BW44" s="18">
        <f t="shared" ca="1" si="84"/>
        <v>0</v>
      </c>
      <c r="BX44" s="18">
        <f t="shared" ca="1" si="84"/>
        <v>0</v>
      </c>
      <c r="BY44" s="18">
        <f t="shared" ca="1" si="84"/>
        <v>0</v>
      </c>
      <c r="BZ44" s="18">
        <f t="shared" ca="1" si="84"/>
        <v>0</v>
      </c>
      <c r="CF44" s="285" t="s">
        <v>240</v>
      </c>
      <c r="CG44" t="s">
        <v>211</v>
      </c>
      <c r="CI44" s="18">
        <f ca="1">CI194</f>
        <v>0</v>
      </c>
      <c r="CJ44" s="18">
        <f t="shared" ref="CJ44:CT44" ca="1" si="85">CJ194</f>
        <v>0</v>
      </c>
      <c r="CK44" s="18">
        <f t="shared" ca="1" si="85"/>
        <v>0</v>
      </c>
      <c r="CL44" s="18">
        <f t="shared" ca="1" si="85"/>
        <v>0</v>
      </c>
      <c r="CM44" s="18">
        <f t="shared" ca="1" si="85"/>
        <v>0</v>
      </c>
      <c r="CN44" s="18">
        <f t="shared" ca="1" si="85"/>
        <v>0</v>
      </c>
      <c r="CO44" s="18">
        <f t="shared" ca="1" si="85"/>
        <v>0</v>
      </c>
      <c r="CP44" s="18">
        <f t="shared" ca="1" si="85"/>
        <v>0</v>
      </c>
      <c r="CQ44" s="18">
        <f t="shared" ca="1" si="85"/>
        <v>0</v>
      </c>
      <c r="CR44" s="18">
        <f t="shared" ca="1" si="85"/>
        <v>0</v>
      </c>
      <c r="CS44" s="18">
        <f t="shared" ca="1" si="85"/>
        <v>0</v>
      </c>
      <c r="CT44" s="18">
        <f t="shared" ca="1" si="85"/>
        <v>0</v>
      </c>
    </row>
    <row r="45" spans="2:100" x14ac:dyDescent="0.2">
      <c r="D45" s="3"/>
      <c r="G45" s="18"/>
      <c r="H45" s="18"/>
      <c r="I45" s="18"/>
      <c r="J45" s="18"/>
      <c r="K45" s="18"/>
      <c r="L45" s="18"/>
      <c r="M45" s="18"/>
      <c r="N45" s="18"/>
      <c r="O45" s="18"/>
      <c r="P45" s="18"/>
      <c r="Q45" s="18"/>
      <c r="R45" s="18"/>
      <c r="X45" s="3"/>
      <c r="AA45" s="18"/>
      <c r="AB45" s="18"/>
      <c r="AC45" s="18"/>
      <c r="AD45" s="18"/>
      <c r="AE45" s="18"/>
      <c r="AF45" s="18"/>
      <c r="AG45" s="18"/>
      <c r="AH45" s="18"/>
      <c r="AI45" s="18"/>
      <c r="AJ45" s="18"/>
      <c r="AK45" s="18"/>
      <c r="AL45" s="18"/>
      <c r="AR45" s="3"/>
      <c r="AU45" s="18"/>
      <c r="AV45" s="18"/>
      <c r="AW45" s="18"/>
      <c r="AX45" s="18"/>
      <c r="AY45" s="18"/>
      <c r="AZ45" s="18"/>
      <c r="BA45" s="18"/>
      <c r="BB45" s="18"/>
      <c r="BC45" s="18"/>
      <c r="BD45" s="18"/>
      <c r="BE45" s="18"/>
      <c r="BF45" s="18"/>
      <c r="BL45" s="3"/>
      <c r="BO45" s="18"/>
      <c r="BP45" s="18"/>
      <c r="BQ45" s="18"/>
      <c r="BR45" s="18"/>
      <c r="BS45" s="18"/>
      <c r="BT45" s="18"/>
      <c r="BU45" s="18"/>
      <c r="BV45" s="18"/>
      <c r="BW45" s="18"/>
      <c r="BX45" s="18"/>
      <c r="BY45" s="18"/>
      <c r="BZ45" s="18"/>
      <c r="CF45" s="3"/>
      <c r="CI45" s="18"/>
      <c r="CJ45" s="18"/>
      <c r="CK45" s="18"/>
      <c r="CL45" s="18"/>
      <c r="CM45" s="18"/>
      <c r="CN45" s="18"/>
      <c r="CO45" s="18"/>
      <c r="CP45" s="18"/>
      <c r="CQ45" s="18"/>
      <c r="CR45" s="18"/>
      <c r="CS45" s="18"/>
      <c r="CT45" s="18"/>
    </row>
    <row r="46" spans="2:100" s="4" customFormat="1" x14ac:dyDescent="0.2">
      <c r="B46" s="280" t="s">
        <v>50</v>
      </c>
      <c r="D46" s="40"/>
      <c r="F46" s="281"/>
      <c r="G46" s="62"/>
      <c r="H46" s="62"/>
      <c r="I46" s="62"/>
      <c r="J46" s="62"/>
      <c r="K46" s="62"/>
      <c r="L46" s="62"/>
      <c r="M46" s="62"/>
      <c r="N46" s="62"/>
      <c r="O46" s="62"/>
      <c r="P46" s="62"/>
      <c r="Q46" s="62"/>
      <c r="R46" s="62"/>
      <c r="X46" s="40"/>
      <c r="Z46" s="281"/>
      <c r="AA46" s="62"/>
      <c r="AB46" s="62"/>
      <c r="AC46" s="62"/>
      <c r="AD46" s="62"/>
      <c r="AE46" s="62"/>
      <c r="AF46" s="62"/>
      <c r="AG46" s="62"/>
      <c r="AH46" s="62"/>
      <c r="AI46" s="62"/>
      <c r="AJ46" s="62"/>
      <c r="AK46" s="62"/>
      <c r="AL46" s="62"/>
      <c r="AR46" s="40"/>
      <c r="AT46" s="281"/>
      <c r="AU46" s="62"/>
      <c r="AV46" s="62"/>
      <c r="AW46" s="62"/>
      <c r="AX46" s="62"/>
      <c r="AY46" s="62"/>
      <c r="AZ46" s="62"/>
      <c r="BA46" s="62"/>
      <c r="BB46" s="62"/>
      <c r="BC46" s="62"/>
      <c r="BD46" s="62"/>
      <c r="BE46" s="62"/>
      <c r="BF46" s="62"/>
      <c r="BL46" s="40"/>
      <c r="BN46" s="281"/>
      <c r="BO46" s="62"/>
      <c r="BP46" s="62"/>
      <c r="BQ46" s="62"/>
      <c r="BR46" s="62"/>
      <c r="BS46" s="62"/>
      <c r="BT46" s="62"/>
      <c r="BU46" s="62"/>
      <c r="BV46" s="62"/>
      <c r="BW46" s="62"/>
      <c r="BX46" s="62"/>
      <c r="BY46" s="62"/>
      <c r="BZ46" s="62"/>
      <c r="CF46" s="40"/>
      <c r="CH46" s="281"/>
      <c r="CI46" s="62"/>
      <c r="CJ46" s="62"/>
      <c r="CK46" s="62"/>
      <c r="CL46" s="62"/>
      <c r="CM46" s="62"/>
      <c r="CN46" s="62"/>
      <c r="CO46" s="62"/>
      <c r="CP46" s="62"/>
      <c r="CQ46" s="62"/>
      <c r="CR46" s="62"/>
      <c r="CS46" s="62"/>
      <c r="CT46" s="62"/>
    </row>
    <row r="47" spans="2:100" s="266" customFormat="1" x14ac:dyDescent="0.2">
      <c r="D47" s="266" t="s">
        <v>217</v>
      </c>
      <c r="E47" s="282" t="s">
        <v>211</v>
      </c>
      <c r="F47" s="282"/>
      <c r="G47" s="283">
        <f ca="1">SUM(G48,G49,G50,G56,G60,G95,G100)</f>
        <v>4255140</v>
      </c>
      <c r="H47" s="283">
        <f t="shared" ref="H47:R47" ca="1" si="86">SUM(H48,H49,H50,H56,H60,H95,H100)</f>
        <v>4255140</v>
      </c>
      <c r="I47" s="283">
        <f t="shared" ca="1" si="86"/>
        <v>4255140</v>
      </c>
      <c r="J47" s="283">
        <f t="shared" ca="1" si="86"/>
        <v>4255140</v>
      </c>
      <c r="K47" s="283">
        <f t="shared" ca="1" si="86"/>
        <v>4255140</v>
      </c>
      <c r="L47" s="283">
        <f t="shared" ca="1" si="86"/>
        <v>4255140</v>
      </c>
      <c r="M47" s="283">
        <f t="shared" ca="1" si="86"/>
        <v>4255140</v>
      </c>
      <c r="N47" s="283">
        <f t="shared" ca="1" si="86"/>
        <v>4255140</v>
      </c>
      <c r="O47" s="283">
        <f t="shared" ca="1" si="86"/>
        <v>4255140</v>
      </c>
      <c r="P47" s="283">
        <f t="shared" ca="1" si="86"/>
        <v>4255140</v>
      </c>
      <c r="Q47" s="283">
        <f t="shared" ca="1" si="86"/>
        <v>4255140</v>
      </c>
      <c r="R47" s="283">
        <f t="shared" ca="1" si="86"/>
        <v>4255140</v>
      </c>
      <c r="X47" s="266" t="s">
        <v>217</v>
      </c>
      <c r="Y47" s="282" t="s">
        <v>211</v>
      </c>
      <c r="Z47" s="282"/>
      <c r="AA47" s="283">
        <f ca="1">SUM(AA48,AA49,AA50,AA56,AA60,AA95,AA100)</f>
        <v>5377833</v>
      </c>
      <c r="AB47" s="283">
        <f t="shared" ref="AB47:AL47" ca="1" si="87">SUM(AB48,AB49,AB50,AB56,AB60,AB95,AB100)</f>
        <v>5377833</v>
      </c>
      <c r="AC47" s="283">
        <f t="shared" ca="1" si="87"/>
        <v>5377833</v>
      </c>
      <c r="AD47" s="283">
        <f t="shared" ca="1" si="87"/>
        <v>5377833</v>
      </c>
      <c r="AE47" s="283">
        <f t="shared" ca="1" si="87"/>
        <v>5377833</v>
      </c>
      <c r="AF47" s="283">
        <f t="shared" ca="1" si="87"/>
        <v>5377833</v>
      </c>
      <c r="AG47" s="283">
        <f t="shared" ca="1" si="87"/>
        <v>5377833</v>
      </c>
      <c r="AH47" s="283">
        <f t="shared" ca="1" si="87"/>
        <v>5377833</v>
      </c>
      <c r="AI47" s="283">
        <f t="shared" ca="1" si="87"/>
        <v>5377833</v>
      </c>
      <c r="AJ47" s="283">
        <f t="shared" ca="1" si="87"/>
        <v>5377833</v>
      </c>
      <c r="AK47" s="283">
        <f t="shared" ca="1" si="87"/>
        <v>5377833</v>
      </c>
      <c r="AL47" s="283">
        <f t="shared" ca="1" si="87"/>
        <v>5377833</v>
      </c>
      <c r="AR47" s="266" t="s">
        <v>217</v>
      </c>
      <c r="AS47" s="282" t="s">
        <v>211</v>
      </c>
      <c r="AT47" s="282"/>
      <c r="AU47" s="283">
        <f ca="1">SUM(AU48,AU49,AU50,AU56,AU60,AU95,AU100)</f>
        <v>5064113</v>
      </c>
      <c r="AV47" s="283">
        <f t="shared" ref="AV47:BF47" ca="1" si="88">SUM(AV48,AV49,AV50,AV56,AV60,AV95,AV100)</f>
        <v>5064113</v>
      </c>
      <c r="AW47" s="283">
        <f t="shared" ca="1" si="88"/>
        <v>5064113</v>
      </c>
      <c r="AX47" s="283">
        <f t="shared" ca="1" si="88"/>
        <v>5064113</v>
      </c>
      <c r="AY47" s="283">
        <f t="shared" ca="1" si="88"/>
        <v>5064113</v>
      </c>
      <c r="AZ47" s="283">
        <f t="shared" ca="1" si="88"/>
        <v>5064113</v>
      </c>
      <c r="BA47" s="283">
        <f t="shared" ca="1" si="88"/>
        <v>5064113</v>
      </c>
      <c r="BB47" s="283">
        <f t="shared" ca="1" si="88"/>
        <v>5064113</v>
      </c>
      <c r="BC47" s="283">
        <f t="shared" ca="1" si="88"/>
        <v>5064113</v>
      </c>
      <c r="BD47" s="283">
        <f t="shared" ca="1" si="88"/>
        <v>5064113</v>
      </c>
      <c r="BE47" s="283">
        <f t="shared" ca="1" si="88"/>
        <v>5064113</v>
      </c>
      <c r="BF47" s="283">
        <f t="shared" ca="1" si="88"/>
        <v>5064113</v>
      </c>
      <c r="BG47"/>
      <c r="BH47"/>
      <c r="BL47" s="266" t="s">
        <v>217</v>
      </c>
      <c r="BM47" s="282" t="s">
        <v>211</v>
      </c>
      <c r="BN47" s="282"/>
      <c r="BO47" s="283">
        <f ca="1">SUM(BO48,BO49,BO50,BO56,BO60,BO95,BO100)</f>
        <v>5064113</v>
      </c>
      <c r="BP47" s="283">
        <f t="shared" ref="BP47:BZ47" ca="1" si="89">SUM(BP48,BP49,BP50,BP56,BP60,BP95,BP100)</f>
        <v>5064113</v>
      </c>
      <c r="BQ47" s="283">
        <f t="shared" ca="1" si="89"/>
        <v>5064113</v>
      </c>
      <c r="BR47" s="283">
        <f t="shared" ca="1" si="89"/>
        <v>5064113</v>
      </c>
      <c r="BS47" s="283">
        <f t="shared" ca="1" si="89"/>
        <v>5064113</v>
      </c>
      <c r="BT47" s="283">
        <f t="shared" ca="1" si="89"/>
        <v>5064113</v>
      </c>
      <c r="BU47" s="283">
        <f t="shared" ca="1" si="89"/>
        <v>5064113</v>
      </c>
      <c r="BV47" s="283">
        <f t="shared" ca="1" si="89"/>
        <v>5064113</v>
      </c>
      <c r="BW47" s="283">
        <f t="shared" ca="1" si="89"/>
        <v>5064113</v>
      </c>
      <c r="BX47" s="283">
        <f t="shared" ca="1" si="89"/>
        <v>5064113</v>
      </c>
      <c r="BY47" s="283">
        <f t="shared" ca="1" si="89"/>
        <v>5064113</v>
      </c>
      <c r="BZ47" s="283">
        <f t="shared" ca="1" si="89"/>
        <v>5064113</v>
      </c>
      <c r="CA47"/>
      <c r="CB47"/>
      <c r="CF47" s="266" t="s">
        <v>217</v>
      </c>
      <c r="CG47" s="282" t="s">
        <v>211</v>
      </c>
      <c r="CH47" s="282"/>
      <c r="CI47" s="283">
        <f ca="1">SUM(CI48,CI49,CI50,CI56,CI60,CI95,CI100)</f>
        <v>4879753</v>
      </c>
      <c r="CJ47" s="283">
        <f t="shared" ref="CJ47:CT47" ca="1" si="90">SUM(CJ48,CJ49,CJ50,CJ56,CJ60,CJ95,CJ100)</f>
        <v>4879753</v>
      </c>
      <c r="CK47" s="283">
        <f t="shared" ca="1" si="90"/>
        <v>4879753</v>
      </c>
      <c r="CL47" s="283">
        <f t="shared" ca="1" si="90"/>
        <v>4879753</v>
      </c>
      <c r="CM47" s="283">
        <f t="shared" ca="1" si="90"/>
        <v>4879753</v>
      </c>
      <c r="CN47" s="283">
        <f t="shared" ca="1" si="90"/>
        <v>4879753</v>
      </c>
      <c r="CO47" s="283">
        <f t="shared" ca="1" si="90"/>
        <v>4879753</v>
      </c>
      <c r="CP47" s="283">
        <f t="shared" ca="1" si="90"/>
        <v>4879753</v>
      </c>
      <c r="CQ47" s="283">
        <f t="shared" ca="1" si="90"/>
        <v>4879753</v>
      </c>
      <c r="CR47" s="283">
        <f t="shared" ca="1" si="90"/>
        <v>4879753</v>
      </c>
      <c r="CS47" s="283">
        <f t="shared" ca="1" si="90"/>
        <v>4879753</v>
      </c>
      <c r="CT47" s="283">
        <f t="shared" ca="1" si="90"/>
        <v>4879753</v>
      </c>
      <c r="CU47"/>
      <c r="CV47"/>
    </row>
    <row r="48" spans="2:100" s="266" customFormat="1" outlineLevel="1" x14ac:dyDescent="0.2">
      <c r="D48" s="285" t="s">
        <v>272</v>
      </c>
      <c r="E48" s="282" t="s">
        <v>211</v>
      </c>
      <c r="F48" s="224"/>
      <c r="G48" s="283">
        <f t="shared" ref="G48:R48" ca="1" si="91">(G50+G56+G60+G95)*CAPEX_yard_pct</f>
        <v>77740</v>
      </c>
      <c r="H48" s="283">
        <f t="shared" ca="1" si="91"/>
        <v>77740</v>
      </c>
      <c r="I48" s="283">
        <f t="shared" ca="1" si="91"/>
        <v>77740</v>
      </c>
      <c r="J48" s="283">
        <f t="shared" ca="1" si="91"/>
        <v>77740</v>
      </c>
      <c r="K48" s="283">
        <f t="shared" ca="1" si="91"/>
        <v>77740</v>
      </c>
      <c r="L48" s="283">
        <f t="shared" ca="1" si="91"/>
        <v>77740</v>
      </c>
      <c r="M48" s="283">
        <f t="shared" ca="1" si="91"/>
        <v>77740</v>
      </c>
      <c r="N48" s="283">
        <f t="shared" ca="1" si="91"/>
        <v>77740</v>
      </c>
      <c r="O48" s="283">
        <f t="shared" ca="1" si="91"/>
        <v>77740</v>
      </c>
      <c r="P48" s="283">
        <f t="shared" ca="1" si="91"/>
        <v>77740</v>
      </c>
      <c r="Q48" s="283">
        <f t="shared" ca="1" si="91"/>
        <v>77740</v>
      </c>
      <c r="R48" s="283">
        <f t="shared" ca="1" si="91"/>
        <v>77740</v>
      </c>
      <c r="X48" s="285" t="s">
        <v>272</v>
      </c>
      <c r="Y48" s="282" t="s">
        <v>211</v>
      </c>
      <c r="Z48" s="224"/>
      <c r="AA48" s="283">
        <f t="shared" ref="AA48:AL48" ca="1" si="92">(AA50+AA56+AA60+AA95)*CAPEX_yard_pct</f>
        <v>179803</v>
      </c>
      <c r="AB48" s="283">
        <f t="shared" ca="1" si="92"/>
        <v>179803</v>
      </c>
      <c r="AC48" s="283">
        <f t="shared" ca="1" si="92"/>
        <v>179803</v>
      </c>
      <c r="AD48" s="283">
        <f t="shared" ca="1" si="92"/>
        <v>179803</v>
      </c>
      <c r="AE48" s="283">
        <f t="shared" ca="1" si="92"/>
        <v>179803</v>
      </c>
      <c r="AF48" s="283">
        <f t="shared" ca="1" si="92"/>
        <v>179803</v>
      </c>
      <c r="AG48" s="283">
        <f t="shared" ca="1" si="92"/>
        <v>179803</v>
      </c>
      <c r="AH48" s="283">
        <f t="shared" ca="1" si="92"/>
        <v>179803</v>
      </c>
      <c r="AI48" s="283">
        <f t="shared" ca="1" si="92"/>
        <v>179803</v>
      </c>
      <c r="AJ48" s="283">
        <f t="shared" ca="1" si="92"/>
        <v>179803</v>
      </c>
      <c r="AK48" s="283">
        <f t="shared" ca="1" si="92"/>
        <v>179803</v>
      </c>
      <c r="AL48" s="283">
        <f t="shared" ca="1" si="92"/>
        <v>179803</v>
      </c>
      <c r="AR48" s="285" t="s">
        <v>272</v>
      </c>
      <c r="AS48" s="282" t="s">
        <v>211</v>
      </c>
      <c r="AT48" s="224"/>
      <c r="AU48" s="283">
        <f t="shared" ref="AU48:BF48" ca="1" si="93">(AU50+AU56+AU60+AU95)*CAPEX_yard_pct</f>
        <v>151283</v>
      </c>
      <c r="AV48" s="283">
        <f t="shared" ca="1" si="93"/>
        <v>151283</v>
      </c>
      <c r="AW48" s="283">
        <f t="shared" ca="1" si="93"/>
        <v>151283</v>
      </c>
      <c r="AX48" s="283">
        <f t="shared" ca="1" si="93"/>
        <v>151283</v>
      </c>
      <c r="AY48" s="283">
        <f t="shared" ca="1" si="93"/>
        <v>151283</v>
      </c>
      <c r="AZ48" s="283">
        <f t="shared" ca="1" si="93"/>
        <v>151283</v>
      </c>
      <c r="BA48" s="283">
        <f t="shared" ca="1" si="93"/>
        <v>151283</v>
      </c>
      <c r="BB48" s="283">
        <f t="shared" ca="1" si="93"/>
        <v>151283</v>
      </c>
      <c r="BC48" s="283">
        <f t="shared" ca="1" si="93"/>
        <v>151283</v>
      </c>
      <c r="BD48" s="283">
        <f t="shared" ca="1" si="93"/>
        <v>151283</v>
      </c>
      <c r="BE48" s="283">
        <f t="shared" ca="1" si="93"/>
        <v>151283</v>
      </c>
      <c r="BF48" s="283">
        <f t="shared" ca="1" si="93"/>
        <v>151283</v>
      </c>
      <c r="BG48"/>
      <c r="BH48"/>
      <c r="BL48" s="285" t="s">
        <v>272</v>
      </c>
      <c r="BM48" s="282" t="s">
        <v>211</v>
      </c>
      <c r="BN48" s="224"/>
      <c r="BO48" s="283">
        <f t="shared" ref="BO48:BZ48" ca="1" si="94">(BO50+BO56+BO60+BO95)*CAPEX_yard_pct</f>
        <v>151283</v>
      </c>
      <c r="BP48" s="283">
        <f t="shared" ca="1" si="94"/>
        <v>151283</v>
      </c>
      <c r="BQ48" s="283">
        <f t="shared" ca="1" si="94"/>
        <v>151283</v>
      </c>
      <c r="BR48" s="283">
        <f t="shared" ca="1" si="94"/>
        <v>151283</v>
      </c>
      <c r="BS48" s="283">
        <f t="shared" ca="1" si="94"/>
        <v>151283</v>
      </c>
      <c r="BT48" s="283">
        <f t="shared" ca="1" si="94"/>
        <v>151283</v>
      </c>
      <c r="BU48" s="283">
        <f t="shared" ca="1" si="94"/>
        <v>151283</v>
      </c>
      <c r="BV48" s="283">
        <f t="shared" ca="1" si="94"/>
        <v>151283</v>
      </c>
      <c r="BW48" s="283">
        <f t="shared" ca="1" si="94"/>
        <v>151283</v>
      </c>
      <c r="BX48" s="283">
        <f t="shared" ca="1" si="94"/>
        <v>151283</v>
      </c>
      <c r="BY48" s="283">
        <f t="shared" ca="1" si="94"/>
        <v>151283</v>
      </c>
      <c r="BZ48" s="283">
        <f t="shared" ca="1" si="94"/>
        <v>151283</v>
      </c>
      <c r="CA48"/>
      <c r="CB48"/>
      <c r="CF48" s="285" t="s">
        <v>272</v>
      </c>
      <c r="CG48" s="282" t="s">
        <v>211</v>
      </c>
      <c r="CH48" s="224"/>
      <c r="CI48" s="283">
        <f t="shared" ref="CI48:CT48" ca="1" si="95">(CI50+CI56+CI60+CI95)*CAPEX_yard_pct</f>
        <v>134523</v>
      </c>
      <c r="CJ48" s="283">
        <f t="shared" ca="1" si="95"/>
        <v>134523</v>
      </c>
      <c r="CK48" s="283">
        <f t="shared" ca="1" si="95"/>
        <v>134523</v>
      </c>
      <c r="CL48" s="283">
        <f t="shared" ca="1" si="95"/>
        <v>134523</v>
      </c>
      <c r="CM48" s="283">
        <f t="shared" ca="1" si="95"/>
        <v>134523</v>
      </c>
      <c r="CN48" s="283">
        <f t="shared" ca="1" si="95"/>
        <v>134523</v>
      </c>
      <c r="CO48" s="283">
        <f t="shared" ca="1" si="95"/>
        <v>134523</v>
      </c>
      <c r="CP48" s="283">
        <f t="shared" ca="1" si="95"/>
        <v>134523</v>
      </c>
      <c r="CQ48" s="283">
        <f t="shared" ca="1" si="95"/>
        <v>134523</v>
      </c>
      <c r="CR48" s="283">
        <f t="shared" ca="1" si="95"/>
        <v>134523</v>
      </c>
      <c r="CS48" s="283">
        <f t="shared" ca="1" si="95"/>
        <v>134523</v>
      </c>
      <c r="CT48" s="283">
        <f t="shared" ca="1" si="95"/>
        <v>134523</v>
      </c>
      <c r="CU48"/>
      <c r="CV48"/>
    </row>
    <row r="49" spans="2:100" s="266" customFormat="1" outlineLevel="1" x14ac:dyDescent="0.2">
      <c r="D49" s="285" t="s">
        <v>273</v>
      </c>
      <c r="E49" s="282" t="s">
        <v>211</v>
      </c>
      <c r="F49" s="224"/>
      <c r="G49" s="283">
        <f t="shared" ref="G49:R49" ca="1" si="96">INDEX(tbl_TCO_input,MATCH(
_xlfn.TEXTJOIN(keydelim,TRUE,G$9,G$10,$D49),rows_TCO_ID,0),MATCH(G$6,cols_TCO_input,0))*10^6/$F$4</f>
        <v>3400000</v>
      </c>
      <c r="H49" s="283">
        <f t="shared" ca="1" si="96"/>
        <v>3400000</v>
      </c>
      <c r="I49" s="283">
        <f t="shared" ca="1" si="96"/>
        <v>3400000</v>
      </c>
      <c r="J49" s="283">
        <f t="shared" ca="1" si="96"/>
        <v>3400000</v>
      </c>
      <c r="K49" s="283">
        <f t="shared" ca="1" si="96"/>
        <v>3400000</v>
      </c>
      <c r="L49" s="283">
        <f t="shared" ca="1" si="96"/>
        <v>3400000</v>
      </c>
      <c r="M49" s="283">
        <f t="shared" ca="1" si="96"/>
        <v>3400000</v>
      </c>
      <c r="N49" s="283">
        <f t="shared" ca="1" si="96"/>
        <v>3400000</v>
      </c>
      <c r="O49" s="283">
        <f t="shared" ca="1" si="96"/>
        <v>3400000</v>
      </c>
      <c r="P49" s="283">
        <f t="shared" ca="1" si="96"/>
        <v>3400000</v>
      </c>
      <c r="Q49" s="283">
        <f t="shared" ca="1" si="96"/>
        <v>3400000</v>
      </c>
      <c r="R49" s="283">
        <f t="shared" ca="1" si="96"/>
        <v>3400000</v>
      </c>
      <c r="X49" s="285" t="s">
        <v>273</v>
      </c>
      <c r="Y49" s="282" t="s">
        <v>211</v>
      </c>
      <c r="Z49" s="224"/>
      <c r="AA49" s="283">
        <f t="shared" ref="AA49:AL49" ca="1" si="97">INDEX(tbl_TCO_input,MATCH(
_xlfn.TEXTJOIN(keydelim,TRUE,AA$9,AA$10,$D49),rows_TCO_ID,0),MATCH(AA$6,cols_TCO_input,0))*10^6/$F$4</f>
        <v>3400000</v>
      </c>
      <c r="AB49" s="283">
        <f t="shared" ca="1" si="97"/>
        <v>3400000</v>
      </c>
      <c r="AC49" s="283">
        <f t="shared" ca="1" si="97"/>
        <v>3400000</v>
      </c>
      <c r="AD49" s="283">
        <f t="shared" ca="1" si="97"/>
        <v>3400000</v>
      </c>
      <c r="AE49" s="283">
        <f t="shared" ca="1" si="97"/>
        <v>3400000</v>
      </c>
      <c r="AF49" s="283">
        <f t="shared" ca="1" si="97"/>
        <v>3400000</v>
      </c>
      <c r="AG49" s="283">
        <f t="shared" ca="1" si="97"/>
        <v>3400000</v>
      </c>
      <c r="AH49" s="283">
        <f t="shared" ca="1" si="97"/>
        <v>3400000</v>
      </c>
      <c r="AI49" s="283">
        <f t="shared" ca="1" si="97"/>
        <v>3400000</v>
      </c>
      <c r="AJ49" s="283">
        <f t="shared" ca="1" si="97"/>
        <v>3400000</v>
      </c>
      <c r="AK49" s="283">
        <f t="shared" ca="1" si="97"/>
        <v>3400000</v>
      </c>
      <c r="AL49" s="283">
        <f t="shared" ca="1" si="97"/>
        <v>3400000</v>
      </c>
      <c r="AR49" s="285" t="s">
        <v>273</v>
      </c>
      <c r="AS49" s="282" t="s">
        <v>211</v>
      </c>
      <c r="AT49" s="224"/>
      <c r="AU49" s="283">
        <f t="shared" ref="AU49:BF49" ca="1" si="98">INDEX(tbl_TCO_input,MATCH(
_xlfn.TEXTJOIN(keydelim,TRUE,AU$9,AU$10,$D49),rows_TCO_ID,0),MATCH(AU$6,cols_TCO_input,0))*10^6/$F$4</f>
        <v>3400000</v>
      </c>
      <c r="AV49" s="283">
        <f t="shared" ca="1" si="98"/>
        <v>3400000</v>
      </c>
      <c r="AW49" s="283">
        <f t="shared" ca="1" si="98"/>
        <v>3400000</v>
      </c>
      <c r="AX49" s="283">
        <f t="shared" ca="1" si="98"/>
        <v>3400000</v>
      </c>
      <c r="AY49" s="283">
        <f t="shared" ca="1" si="98"/>
        <v>3400000</v>
      </c>
      <c r="AZ49" s="283">
        <f t="shared" ca="1" si="98"/>
        <v>3400000</v>
      </c>
      <c r="BA49" s="283">
        <f t="shared" ca="1" si="98"/>
        <v>3400000</v>
      </c>
      <c r="BB49" s="283">
        <f t="shared" ca="1" si="98"/>
        <v>3400000</v>
      </c>
      <c r="BC49" s="283">
        <f t="shared" ca="1" si="98"/>
        <v>3400000</v>
      </c>
      <c r="BD49" s="283">
        <f t="shared" ca="1" si="98"/>
        <v>3400000</v>
      </c>
      <c r="BE49" s="283">
        <f t="shared" ca="1" si="98"/>
        <v>3400000</v>
      </c>
      <c r="BF49" s="283">
        <f t="shared" ca="1" si="98"/>
        <v>3400000</v>
      </c>
      <c r="BG49"/>
      <c r="BH49"/>
      <c r="BL49" s="285" t="s">
        <v>273</v>
      </c>
      <c r="BM49" s="282" t="s">
        <v>211</v>
      </c>
      <c r="BN49" s="224"/>
      <c r="BO49" s="283">
        <f t="shared" ref="BO49:BZ49" ca="1" si="99">INDEX(tbl_TCO_input,MATCH(
_xlfn.TEXTJOIN(keydelim,TRUE,BO$9,BO$10,$D49),rows_TCO_ID,0),MATCH(BO$6,cols_TCO_input,0))*10^6/$F$4</f>
        <v>3400000</v>
      </c>
      <c r="BP49" s="283">
        <f t="shared" ca="1" si="99"/>
        <v>3400000</v>
      </c>
      <c r="BQ49" s="283">
        <f t="shared" ca="1" si="99"/>
        <v>3400000</v>
      </c>
      <c r="BR49" s="283">
        <f t="shared" ca="1" si="99"/>
        <v>3400000</v>
      </c>
      <c r="BS49" s="283">
        <f t="shared" ca="1" si="99"/>
        <v>3400000</v>
      </c>
      <c r="BT49" s="283">
        <f t="shared" ca="1" si="99"/>
        <v>3400000</v>
      </c>
      <c r="BU49" s="283">
        <f t="shared" ca="1" si="99"/>
        <v>3400000</v>
      </c>
      <c r="BV49" s="283">
        <f t="shared" ca="1" si="99"/>
        <v>3400000</v>
      </c>
      <c r="BW49" s="283">
        <f t="shared" ca="1" si="99"/>
        <v>3400000</v>
      </c>
      <c r="BX49" s="283">
        <f t="shared" ca="1" si="99"/>
        <v>3400000</v>
      </c>
      <c r="BY49" s="283">
        <f t="shared" ca="1" si="99"/>
        <v>3400000</v>
      </c>
      <c r="BZ49" s="283">
        <f t="shared" ca="1" si="99"/>
        <v>3400000</v>
      </c>
      <c r="CA49"/>
      <c r="CB49"/>
      <c r="CF49" s="285" t="s">
        <v>273</v>
      </c>
      <c r="CG49" s="282" t="s">
        <v>211</v>
      </c>
      <c r="CH49" s="224"/>
      <c r="CI49" s="283">
        <f t="shared" ref="CI49:CT49" ca="1" si="100">INDEX(tbl_TCO_input,MATCH(
_xlfn.TEXTJOIN(keydelim,TRUE,CI$9,CI$10,$D49),rows_TCO_ID,0),MATCH(CI$6,cols_TCO_input,0))*10^6/$F$4</f>
        <v>3400000</v>
      </c>
      <c r="CJ49" s="283">
        <f t="shared" ca="1" si="100"/>
        <v>3400000</v>
      </c>
      <c r="CK49" s="283">
        <f t="shared" ca="1" si="100"/>
        <v>3400000</v>
      </c>
      <c r="CL49" s="283">
        <f t="shared" ca="1" si="100"/>
        <v>3400000</v>
      </c>
      <c r="CM49" s="283">
        <f t="shared" ca="1" si="100"/>
        <v>3400000</v>
      </c>
      <c r="CN49" s="283">
        <f t="shared" ca="1" si="100"/>
        <v>3400000</v>
      </c>
      <c r="CO49" s="283">
        <f t="shared" ca="1" si="100"/>
        <v>3400000</v>
      </c>
      <c r="CP49" s="283">
        <f t="shared" ca="1" si="100"/>
        <v>3400000</v>
      </c>
      <c r="CQ49" s="283">
        <f t="shared" ca="1" si="100"/>
        <v>3400000</v>
      </c>
      <c r="CR49" s="283">
        <f t="shared" ca="1" si="100"/>
        <v>3400000</v>
      </c>
      <c r="CS49" s="283">
        <f t="shared" ca="1" si="100"/>
        <v>3400000</v>
      </c>
      <c r="CT49" s="283">
        <f t="shared" ca="1" si="100"/>
        <v>3400000</v>
      </c>
      <c r="CU49"/>
      <c r="CV49"/>
    </row>
    <row r="50" spans="2:100" s="266" customFormat="1" outlineLevel="1" x14ac:dyDescent="0.2">
      <c r="C50" s="285"/>
      <c r="D50" s="285" t="s">
        <v>274</v>
      </c>
      <c r="E50" s="282" t="s">
        <v>211</v>
      </c>
      <c r="F50" s="282"/>
      <c r="G50" s="286">
        <f t="shared" ref="G50:R50" ca="1" si="101">G51/$F$4</f>
        <v>500000</v>
      </c>
      <c r="H50" s="286">
        <f t="shared" ca="1" si="101"/>
        <v>500000</v>
      </c>
      <c r="I50" s="286">
        <f t="shared" ca="1" si="101"/>
        <v>500000</v>
      </c>
      <c r="J50" s="286">
        <f t="shared" ca="1" si="101"/>
        <v>500000</v>
      </c>
      <c r="K50" s="286">
        <f t="shared" ca="1" si="101"/>
        <v>500000</v>
      </c>
      <c r="L50" s="286">
        <f t="shared" ca="1" si="101"/>
        <v>500000</v>
      </c>
      <c r="M50" s="286">
        <f t="shared" ca="1" si="101"/>
        <v>500000</v>
      </c>
      <c r="N50" s="286">
        <f t="shared" ca="1" si="101"/>
        <v>500000</v>
      </c>
      <c r="O50" s="286">
        <f t="shared" ca="1" si="101"/>
        <v>500000</v>
      </c>
      <c r="P50" s="286">
        <f t="shared" ca="1" si="101"/>
        <v>500000</v>
      </c>
      <c r="Q50" s="286">
        <f t="shared" ca="1" si="101"/>
        <v>500000</v>
      </c>
      <c r="R50" s="286">
        <f t="shared" ca="1" si="101"/>
        <v>500000</v>
      </c>
      <c r="X50" s="285" t="s">
        <v>274</v>
      </c>
      <c r="Y50" s="282" t="s">
        <v>211</v>
      </c>
      <c r="Z50" s="282"/>
      <c r="AA50" s="286">
        <f t="shared" ref="AA50:AL50" ca="1" si="102">AA51/$F$4</f>
        <v>600000</v>
      </c>
      <c r="AB50" s="286">
        <f t="shared" ca="1" si="102"/>
        <v>600000</v>
      </c>
      <c r="AC50" s="286">
        <f t="shared" ca="1" si="102"/>
        <v>600000</v>
      </c>
      <c r="AD50" s="286">
        <f t="shared" ca="1" si="102"/>
        <v>600000</v>
      </c>
      <c r="AE50" s="286">
        <f t="shared" ca="1" si="102"/>
        <v>600000</v>
      </c>
      <c r="AF50" s="286">
        <f t="shared" ca="1" si="102"/>
        <v>600000</v>
      </c>
      <c r="AG50" s="286">
        <f t="shared" ca="1" si="102"/>
        <v>600000</v>
      </c>
      <c r="AH50" s="286">
        <f t="shared" ca="1" si="102"/>
        <v>600000</v>
      </c>
      <c r="AI50" s="286">
        <f t="shared" ca="1" si="102"/>
        <v>600000</v>
      </c>
      <c r="AJ50" s="286">
        <f t="shared" ca="1" si="102"/>
        <v>600000</v>
      </c>
      <c r="AK50" s="286">
        <f t="shared" ca="1" si="102"/>
        <v>600000</v>
      </c>
      <c r="AL50" s="286">
        <f t="shared" ca="1" si="102"/>
        <v>600000</v>
      </c>
      <c r="AR50" s="285" t="s">
        <v>274</v>
      </c>
      <c r="AS50" s="282" t="s">
        <v>211</v>
      </c>
      <c r="AT50" s="282"/>
      <c r="AU50" s="286">
        <f t="shared" ref="AU50:BF50" ca="1" si="103">AU51/$F$4</f>
        <v>600000</v>
      </c>
      <c r="AV50" s="286">
        <f t="shared" ca="1" si="103"/>
        <v>600000</v>
      </c>
      <c r="AW50" s="286">
        <f t="shared" ca="1" si="103"/>
        <v>600000</v>
      </c>
      <c r="AX50" s="286">
        <f t="shared" ca="1" si="103"/>
        <v>600000</v>
      </c>
      <c r="AY50" s="286">
        <f t="shared" ca="1" si="103"/>
        <v>600000</v>
      </c>
      <c r="AZ50" s="286">
        <f t="shared" ca="1" si="103"/>
        <v>600000</v>
      </c>
      <c r="BA50" s="286">
        <f t="shared" ca="1" si="103"/>
        <v>600000</v>
      </c>
      <c r="BB50" s="286">
        <f t="shared" ca="1" si="103"/>
        <v>600000</v>
      </c>
      <c r="BC50" s="286">
        <f t="shared" ca="1" si="103"/>
        <v>600000</v>
      </c>
      <c r="BD50" s="286">
        <f t="shared" ca="1" si="103"/>
        <v>600000</v>
      </c>
      <c r="BE50" s="286">
        <f t="shared" ca="1" si="103"/>
        <v>600000</v>
      </c>
      <c r="BF50" s="286">
        <f t="shared" ca="1" si="103"/>
        <v>600000</v>
      </c>
      <c r="BG50"/>
      <c r="BH50"/>
      <c r="BL50" s="285" t="s">
        <v>274</v>
      </c>
      <c r="BM50" s="282" t="s">
        <v>211</v>
      </c>
      <c r="BN50" s="282"/>
      <c r="BO50" s="286">
        <f t="shared" ref="BO50:BZ50" ca="1" si="104">BO51/$F$4</f>
        <v>600000</v>
      </c>
      <c r="BP50" s="286">
        <f t="shared" ca="1" si="104"/>
        <v>600000</v>
      </c>
      <c r="BQ50" s="286">
        <f t="shared" ca="1" si="104"/>
        <v>600000</v>
      </c>
      <c r="BR50" s="286">
        <f t="shared" ca="1" si="104"/>
        <v>600000</v>
      </c>
      <c r="BS50" s="286">
        <f t="shared" ca="1" si="104"/>
        <v>600000</v>
      </c>
      <c r="BT50" s="286">
        <f t="shared" ca="1" si="104"/>
        <v>600000</v>
      </c>
      <c r="BU50" s="286">
        <f t="shared" ca="1" si="104"/>
        <v>600000</v>
      </c>
      <c r="BV50" s="286">
        <f t="shared" ca="1" si="104"/>
        <v>600000</v>
      </c>
      <c r="BW50" s="286">
        <f t="shared" ca="1" si="104"/>
        <v>600000</v>
      </c>
      <c r="BX50" s="286">
        <f t="shared" ca="1" si="104"/>
        <v>600000</v>
      </c>
      <c r="BY50" s="286">
        <f t="shared" ca="1" si="104"/>
        <v>600000</v>
      </c>
      <c r="BZ50" s="286">
        <f t="shared" ca="1" si="104"/>
        <v>600000</v>
      </c>
      <c r="CA50"/>
      <c r="CB50"/>
      <c r="CF50" s="285" t="s">
        <v>274</v>
      </c>
      <c r="CG50" s="282" t="s">
        <v>211</v>
      </c>
      <c r="CH50" s="282"/>
      <c r="CI50" s="286">
        <f t="shared" ref="CI50:CT50" ca="1" si="105">CI51/$F$4</f>
        <v>600000</v>
      </c>
      <c r="CJ50" s="286">
        <f t="shared" ca="1" si="105"/>
        <v>600000</v>
      </c>
      <c r="CK50" s="286">
        <f t="shared" ca="1" si="105"/>
        <v>600000</v>
      </c>
      <c r="CL50" s="286">
        <f t="shared" ca="1" si="105"/>
        <v>600000</v>
      </c>
      <c r="CM50" s="286">
        <f t="shared" ca="1" si="105"/>
        <v>600000</v>
      </c>
      <c r="CN50" s="286">
        <f t="shared" ca="1" si="105"/>
        <v>600000</v>
      </c>
      <c r="CO50" s="286">
        <f t="shared" ca="1" si="105"/>
        <v>600000</v>
      </c>
      <c r="CP50" s="286">
        <f t="shared" ca="1" si="105"/>
        <v>600000</v>
      </c>
      <c r="CQ50" s="286">
        <f t="shared" ca="1" si="105"/>
        <v>600000</v>
      </c>
      <c r="CR50" s="286">
        <f t="shared" ca="1" si="105"/>
        <v>600000</v>
      </c>
      <c r="CS50" s="286">
        <f t="shared" ca="1" si="105"/>
        <v>600000</v>
      </c>
      <c r="CT50" s="286">
        <f t="shared" ca="1" si="105"/>
        <v>600000</v>
      </c>
      <c r="CU50"/>
      <c r="CV50"/>
    </row>
    <row r="51" spans="2:100" outlineLevel="1" x14ac:dyDescent="0.2">
      <c r="C51" s="3"/>
      <c r="D51" s="3" t="s">
        <v>274</v>
      </c>
      <c r="E51" s="224" t="s">
        <v>275</v>
      </c>
      <c r="G51" s="21">
        <f ca="1">G52*SUM(G53:G55)</f>
        <v>12500000</v>
      </c>
      <c r="H51" s="21">
        <f t="shared" ref="H51:R51" ca="1" si="106">H52*SUM(H53:H55)</f>
        <v>12500000</v>
      </c>
      <c r="I51" s="21">
        <f t="shared" ca="1" si="106"/>
        <v>12500000</v>
      </c>
      <c r="J51" s="21">
        <f t="shared" ca="1" si="106"/>
        <v>12500000</v>
      </c>
      <c r="K51" s="21">
        <f t="shared" ca="1" si="106"/>
        <v>12500000</v>
      </c>
      <c r="L51" s="21">
        <f t="shared" ca="1" si="106"/>
        <v>12500000</v>
      </c>
      <c r="M51" s="21">
        <f t="shared" ca="1" si="106"/>
        <v>12500000</v>
      </c>
      <c r="N51" s="21">
        <f t="shared" ca="1" si="106"/>
        <v>12500000</v>
      </c>
      <c r="O51" s="21">
        <f t="shared" ca="1" si="106"/>
        <v>12500000</v>
      </c>
      <c r="P51" s="21">
        <f t="shared" ca="1" si="106"/>
        <v>12500000</v>
      </c>
      <c r="Q51" s="21">
        <f t="shared" ca="1" si="106"/>
        <v>12500000</v>
      </c>
      <c r="R51" s="21">
        <f t="shared" ca="1" si="106"/>
        <v>12500000</v>
      </c>
      <c r="X51" s="3" t="s">
        <v>274</v>
      </c>
      <c r="Y51" s="224" t="s">
        <v>275</v>
      </c>
      <c r="AA51" s="21">
        <f ca="1">AA52*SUM(AA53:AA55)</f>
        <v>15000000</v>
      </c>
      <c r="AB51" s="21">
        <f t="shared" ref="AB51:AL51" ca="1" si="107">AB52*SUM(AB53:AB55)</f>
        <v>15000000</v>
      </c>
      <c r="AC51" s="21">
        <f t="shared" ca="1" si="107"/>
        <v>15000000</v>
      </c>
      <c r="AD51" s="21">
        <f t="shared" ca="1" si="107"/>
        <v>15000000</v>
      </c>
      <c r="AE51" s="21">
        <f t="shared" ca="1" si="107"/>
        <v>15000000</v>
      </c>
      <c r="AF51" s="21">
        <f t="shared" ca="1" si="107"/>
        <v>15000000</v>
      </c>
      <c r="AG51" s="21">
        <f t="shared" ca="1" si="107"/>
        <v>15000000</v>
      </c>
      <c r="AH51" s="21">
        <f t="shared" ca="1" si="107"/>
        <v>15000000</v>
      </c>
      <c r="AI51" s="21">
        <f t="shared" ca="1" si="107"/>
        <v>15000000</v>
      </c>
      <c r="AJ51" s="21">
        <f t="shared" ca="1" si="107"/>
        <v>15000000</v>
      </c>
      <c r="AK51" s="21">
        <f t="shared" ca="1" si="107"/>
        <v>15000000</v>
      </c>
      <c r="AL51" s="21">
        <f t="shared" ca="1" si="107"/>
        <v>15000000</v>
      </c>
      <c r="AR51" s="3" t="s">
        <v>274</v>
      </c>
      <c r="AS51" s="224" t="s">
        <v>275</v>
      </c>
      <c r="AU51" s="21">
        <f ca="1">AU52*SUM(AU53:AU55)</f>
        <v>15000000</v>
      </c>
      <c r="AV51" s="21">
        <f t="shared" ref="AV51:BF51" ca="1" si="108">AV52*SUM(AV53:AV55)</f>
        <v>15000000</v>
      </c>
      <c r="AW51" s="21">
        <f t="shared" ca="1" si="108"/>
        <v>15000000</v>
      </c>
      <c r="AX51" s="21">
        <f t="shared" ca="1" si="108"/>
        <v>15000000</v>
      </c>
      <c r="AY51" s="21">
        <f t="shared" ca="1" si="108"/>
        <v>15000000</v>
      </c>
      <c r="AZ51" s="21">
        <f t="shared" ca="1" si="108"/>
        <v>15000000</v>
      </c>
      <c r="BA51" s="21">
        <f t="shared" ca="1" si="108"/>
        <v>15000000</v>
      </c>
      <c r="BB51" s="21">
        <f t="shared" ca="1" si="108"/>
        <v>15000000</v>
      </c>
      <c r="BC51" s="21">
        <f t="shared" ca="1" si="108"/>
        <v>15000000</v>
      </c>
      <c r="BD51" s="21">
        <f t="shared" ca="1" si="108"/>
        <v>15000000</v>
      </c>
      <c r="BE51" s="21">
        <f t="shared" ca="1" si="108"/>
        <v>15000000</v>
      </c>
      <c r="BF51" s="21">
        <f t="shared" ca="1" si="108"/>
        <v>15000000</v>
      </c>
      <c r="BL51" s="3" t="s">
        <v>274</v>
      </c>
      <c r="BM51" s="224" t="s">
        <v>275</v>
      </c>
      <c r="BO51" s="21">
        <f ca="1">BO52*SUM(BO53:BO55)</f>
        <v>15000000</v>
      </c>
      <c r="BP51" s="21">
        <f t="shared" ref="BP51:BZ51" ca="1" si="109">BP52*SUM(BP53:BP55)</f>
        <v>15000000</v>
      </c>
      <c r="BQ51" s="21">
        <f t="shared" ca="1" si="109"/>
        <v>15000000</v>
      </c>
      <c r="BR51" s="21">
        <f t="shared" ca="1" si="109"/>
        <v>15000000</v>
      </c>
      <c r="BS51" s="21">
        <f t="shared" ca="1" si="109"/>
        <v>15000000</v>
      </c>
      <c r="BT51" s="21">
        <f t="shared" ca="1" si="109"/>
        <v>15000000</v>
      </c>
      <c r="BU51" s="21">
        <f t="shared" ca="1" si="109"/>
        <v>15000000</v>
      </c>
      <c r="BV51" s="21">
        <f t="shared" ca="1" si="109"/>
        <v>15000000</v>
      </c>
      <c r="BW51" s="21">
        <f t="shared" ca="1" si="109"/>
        <v>15000000</v>
      </c>
      <c r="BX51" s="21">
        <f t="shared" ca="1" si="109"/>
        <v>15000000</v>
      </c>
      <c r="BY51" s="21">
        <f t="shared" ca="1" si="109"/>
        <v>15000000</v>
      </c>
      <c r="BZ51" s="21">
        <f t="shared" ca="1" si="109"/>
        <v>15000000</v>
      </c>
      <c r="CF51" s="3" t="s">
        <v>274</v>
      </c>
      <c r="CG51" s="224" t="s">
        <v>275</v>
      </c>
      <c r="CI51" s="21">
        <f ca="1">CI52*SUM(CI53:CI55)</f>
        <v>15000000</v>
      </c>
      <c r="CJ51" s="21">
        <f t="shared" ref="CJ51:CT51" ca="1" si="110">CJ52*SUM(CJ53:CJ55)</f>
        <v>15000000</v>
      </c>
      <c r="CK51" s="21">
        <f t="shared" ca="1" si="110"/>
        <v>15000000</v>
      </c>
      <c r="CL51" s="21">
        <f t="shared" ca="1" si="110"/>
        <v>15000000</v>
      </c>
      <c r="CM51" s="21">
        <f t="shared" ca="1" si="110"/>
        <v>15000000</v>
      </c>
      <c r="CN51" s="21">
        <f t="shared" ca="1" si="110"/>
        <v>15000000</v>
      </c>
      <c r="CO51" s="21">
        <f t="shared" ca="1" si="110"/>
        <v>15000000</v>
      </c>
      <c r="CP51" s="21">
        <f t="shared" ca="1" si="110"/>
        <v>15000000</v>
      </c>
      <c r="CQ51" s="21">
        <f t="shared" ca="1" si="110"/>
        <v>15000000</v>
      </c>
      <c r="CR51" s="21">
        <f t="shared" ca="1" si="110"/>
        <v>15000000</v>
      </c>
      <c r="CS51" s="21">
        <f t="shared" ca="1" si="110"/>
        <v>15000000</v>
      </c>
      <c r="CT51" s="21">
        <f t="shared" ca="1" si="110"/>
        <v>15000000</v>
      </c>
    </row>
    <row r="52" spans="2:100" outlineLevel="1" x14ac:dyDescent="0.2">
      <c r="C52" s="3"/>
      <c r="D52" s="12" t="s">
        <v>276</v>
      </c>
      <c r="E52" s="224" t="s">
        <v>277</v>
      </c>
      <c r="G52" s="98">
        <f>INDEX('Vessel Profiles - Input'!$C3:$L105,MATCH(
_xlfn.TEXTJOIN(keydelim,TRUE,$D52,G$10),'Vessel Profiles - Input'!$C3:$C105,0),MATCH(G$9,'Vessel Profiles - Input'!$C$3:$L$3,0))</f>
        <v>50</v>
      </c>
      <c r="H52" s="98">
        <f>INDEX('Vessel Profiles - Input'!$C3:$L105,MATCH(
_xlfn.TEXTJOIN(keydelim,TRUE,$D52,H$10),'Vessel Profiles - Input'!$C3:$C105,0),MATCH(H$9,'Vessel Profiles - Input'!$C$3:$L$3,0))</f>
        <v>50</v>
      </c>
      <c r="I52" s="98">
        <f>INDEX('Vessel Profiles - Input'!$C3:$L105,MATCH(
_xlfn.TEXTJOIN(keydelim,TRUE,$D52,I$10),'Vessel Profiles - Input'!$C3:$C105,0),MATCH(I$9,'Vessel Profiles - Input'!$C$3:$L$3,0))</f>
        <v>50</v>
      </c>
      <c r="J52" s="98">
        <f>INDEX('Vessel Profiles - Input'!$C3:$L105,MATCH(
_xlfn.TEXTJOIN(keydelim,TRUE,$D52,J$10),'Vessel Profiles - Input'!$C3:$C105,0),MATCH(J$9,'Vessel Profiles - Input'!$C$3:$L$3,0))</f>
        <v>50</v>
      </c>
      <c r="K52" s="98">
        <f>INDEX('Vessel Profiles - Input'!$C3:$L105,MATCH(
_xlfn.TEXTJOIN(keydelim,TRUE,$D52,K$10),'Vessel Profiles - Input'!$C3:$C105,0),MATCH(K$9,'Vessel Profiles - Input'!$C$3:$L$3,0))</f>
        <v>50</v>
      </c>
      <c r="L52" s="98">
        <f>INDEX('Vessel Profiles - Input'!$C3:$L105,MATCH(
_xlfn.TEXTJOIN(keydelim,TRUE,$D52,L$10),'Vessel Profiles - Input'!$C3:$C105,0),MATCH(L$9,'Vessel Profiles - Input'!$C$3:$L$3,0))</f>
        <v>50</v>
      </c>
      <c r="M52" s="98">
        <f>INDEX('Vessel Profiles - Input'!$C3:$L105,MATCH(
_xlfn.TEXTJOIN(keydelim,TRUE,$D52,M$10),'Vessel Profiles - Input'!$C3:$C105,0),MATCH(M$9,'Vessel Profiles - Input'!$C$3:$L$3,0))</f>
        <v>50</v>
      </c>
      <c r="N52" s="98">
        <f>INDEX('Vessel Profiles - Input'!$C3:$L105,MATCH(
_xlfn.TEXTJOIN(keydelim,TRUE,$D52,N$10),'Vessel Profiles - Input'!$C3:$C105,0),MATCH(N$9,'Vessel Profiles - Input'!$C$3:$L$3,0))</f>
        <v>50</v>
      </c>
      <c r="O52" s="98">
        <f>INDEX('Vessel Profiles - Input'!$C3:$L105,MATCH(
_xlfn.TEXTJOIN(keydelim,TRUE,$D52,O$10),'Vessel Profiles - Input'!$C3:$C105,0),MATCH(O$9,'Vessel Profiles - Input'!$C$3:$L$3,0))</f>
        <v>50</v>
      </c>
      <c r="P52" s="98">
        <f>INDEX('Vessel Profiles - Input'!$C3:$L105,MATCH(
_xlfn.TEXTJOIN(keydelim,TRUE,$D52,P$10),'Vessel Profiles - Input'!$C3:$C105,0),MATCH(P$9,'Vessel Profiles - Input'!$C$3:$L$3,0))</f>
        <v>50</v>
      </c>
      <c r="Q52" s="98">
        <f>INDEX('Vessel Profiles - Input'!$C3:$L105,MATCH(
_xlfn.TEXTJOIN(keydelim,TRUE,$D52,Q$10),'Vessel Profiles - Input'!$C3:$C105,0),MATCH(Q$9,'Vessel Profiles - Input'!$C$3:$L$3,0))</f>
        <v>50</v>
      </c>
      <c r="R52" s="98">
        <f>INDEX('Vessel Profiles - Input'!$C3:$L105,MATCH(
_xlfn.TEXTJOIN(keydelim,TRUE,$D52,R$10),'Vessel Profiles - Input'!$C3:$C105,0),MATCH(R$9,'Vessel Profiles - Input'!$C$3:$L$3,0))</f>
        <v>50</v>
      </c>
      <c r="X52" s="12" t="s">
        <v>276</v>
      </c>
      <c r="Y52" s="224" t="s">
        <v>277</v>
      </c>
      <c r="AA52" s="98">
        <f>INDEX('Vessel Profiles - Input'!$C3:$L105,MATCH(
_xlfn.TEXTJOIN(keydelim,TRUE,$D52,AA$10),'Vessel Profiles - Input'!$C3:$C105,0),MATCH(AA$9,'Vessel Profiles - Input'!$C$3:$L$3,0))</f>
        <v>50</v>
      </c>
      <c r="AB52" s="98">
        <f>INDEX('Vessel Profiles - Input'!$C3:$L105,MATCH(
_xlfn.TEXTJOIN(keydelim,TRUE,$D52,AB$10),'Vessel Profiles - Input'!$C3:$C105,0),MATCH(AB$9,'Vessel Profiles - Input'!$C$3:$L$3,0))</f>
        <v>50</v>
      </c>
      <c r="AC52" s="98">
        <f>INDEX('Vessel Profiles - Input'!$C3:$L105,MATCH(
_xlfn.TEXTJOIN(keydelim,TRUE,$D52,AC$10),'Vessel Profiles - Input'!$C3:$C105,0),MATCH(AC$9,'Vessel Profiles - Input'!$C$3:$L$3,0))</f>
        <v>50</v>
      </c>
      <c r="AD52" s="98">
        <f>INDEX('Vessel Profiles - Input'!$C3:$L105,MATCH(
_xlfn.TEXTJOIN(keydelim,TRUE,$D52,AD$10),'Vessel Profiles - Input'!$C3:$C105,0),MATCH(AD$9,'Vessel Profiles - Input'!$C$3:$L$3,0))</f>
        <v>50</v>
      </c>
      <c r="AE52" s="98">
        <f>INDEX('Vessel Profiles - Input'!$C3:$L105,MATCH(
_xlfn.TEXTJOIN(keydelim,TRUE,$D52,AE$10),'Vessel Profiles - Input'!$C3:$C105,0),MATCH(AE$9,'Vessel Profiles - Input'!$C$3:$L$3,0))</f>
        <v>50</v>
      </c>
      <c r="AF52" s="98">
        <f>INDEX('Vessel Profiles - Input'!$C3:$L105,MATCH(
_xlfn.TEXTJOIN(keydelim,TRUE,$D52,AF$10),'Vessel Profiles - Input'!$C3:$C105,0),MATCH(AF$9,'Vessel Profiles - Input'!$C$3:$L$3,0))</f>
        <v>50</v>
      </c>
      <c r="AG52" s="98">
        <f>INDEX('Vessel Profiles - Input'!$C3:$L105,MATCH(
_xlfn.TEXTJOIN(keydelim,TRUE,$D52,AG$10),'Vessel Profiles - Input'!$C3:$C105,0),MATCH(AG$9,'Vessel Profiles - Input'!$C$3:$L$3,0))</f>
        <v>50</v>
      </c>
      <c r="AH52" s="98">
        <f>INDEX('Vessel Profiles - Input'!$C3:$L105,MATCH(
_xlfn.TEXTJOIN(keydelim,TRUE,$D52,AH$10),'Vessel Profiles - Input'!$C3:$C105,0),MATCH(AH$9,'Vessel Profiles - Input'!$C$3:$L$3,0))</f>
        <v>50</v>
      </c>
      <c r="AI52" s="98">
        <f>INDEX('Vessel Profiles - Input'!$C3:$L105,MATCH(
_xlfn.TEXTJOIN(keydelim,TRUE,$D52,AI$10),'Vessel Profiles - Input'!$C3:$C105,0),MATCH(AI$9,'Vessel Profiles - Input'!$C$3:$L$3,0))</f>
        <v>50</v>
      </c>
      <c r="AJ52" s="98">
        <f>INDEX('Vessel Profiles - Input'!$C3:$L105,MATCH(
_xlfn.TEXTJOIN(keydelim,TRUE,$D52,AJ$10),'Vessel Profiles - Input'!$C3:$C105,0),MATCH(AJ$9,'Vessel Profiles - Input'!$C$3:$L$3,0))</f>
        <v>50</v>
      </c>
      <c r="AK52" s="98">
        <f>INDEX('Vessel Profiles - Input'!$C3:$L105,MATCH(
_xlfn.TEXTJOIN(keydelim,TRUE,$D52,AK$10),'Vessel Profiles - Input'!$C3:$C105,0),MATCH(AK$9,'Vessel Profiles - Input'!$C$3:$L$3,0))</f>
        <v>50</v>
      </c>
      <c r="AL52" s="98">
        <f>INDEX('Vessel Profiles - Input'!$C3:$L105,MATCH(
_xlfn.TEXTJOIN(keydelim,TRUE,$D52,AL$10),'Vessel Profiles - Input'!$C3:$C105,0),MATCH(AL$9,'Vessel Profiles - Input'!$C$3:$L$3,0))</f>
        <v>50</v>
      </c>
      <c r="AR52" s="12" t="s">
        <v>276</v>
      </c>
      <c r="AS52" s="224" t="s">
        <v>277</v>
      </c>
      <c r="AU52" s="98">
        <f>INDEX('Vessel Profiles - Input'!$C3:$L105,MATCH(
_xlfn.TEXTJOIN(keydelim,TRUE,$D52,AU$10),'Vessel Profiles - Input'!$C3:$C105,0),MATCH(AU$9,'Vessel Profiles - Input'!$C$3:$L$3,0))</f>
        <v>50</v>
      </c>
      <c r="AV52" s="98">
        <f>INDEX('Vessel Profiles - Input'!$C3:$L105,MATCH(
_xlfn.TEXTJOIN(keydelim,TRUE,$D52,AV$10),'Vessel Profiles - Input'!$C3:$C105,0),MATCH(AV$9,'Vessel Profiles - Input'!$C$3:$L$3,0))</f>
        <v>50</v>
      </c>
      <c r="AW52" s="98">
        <f>INDEX('Vessel Profiles - Input'!$C3:$L105,MATCH(
_xlfn.TEXTJOIN(keydelim,TRUE,$D52,AW$10),'Vessel Profiles - Input'!$C3:$C105,0),MATCH(AW$9,'Vessel Profiles - Input'!$C$3:$L$3,0))</f>
        <v>50</v>
      </c>
      <c r="AX52" s="98">
        <f>INDEX('Vessel Profiles - Input'!$C3:$L105,MATCH(
_xlfn.TEXTJOIN(keydelim,TRUE,$D52,AX$10),'Vessel Profiles - Input'!$C3:$C105,0),MATCH(AX$9,'Vessel Profiles - Input'!$C$3:$L$3,0))</f>
        <v>50</v>
      </c>
      <c r="AY52" s="98">
        <f>INDEX('Vessel Profiles - Input'!$C3:$L105,MATCH(
_xlfn.TEXTJOIN(keydelim,TRUE,$D52,AY$10),'Vessel Profiles - Input'!$C3:$C105,0),MATCH(AY$9,'Vessel Profiles - Input'!$C$3:$L$3,0))</f>
        <v>50</v>
      </c>
      <c r="AZ52" s="98">
        <f>INDEX('Vessel Profiles - Input'!$C3:$L105,MATCH(
_xlfn.TEXTJOIN(keydelim,TRUE,$D52,AZ$10),'Vessel Profiles - Input'!$C3:$C105,0),MATCH(AZ$9,'Vessel Profiles - Input'!$C$3:$L$3,0))</f>
        <v>50</v>
      </c>
      <c r="BA52" s="98">
        <f>INDEX('Vessel Profiles - Input'!$C3:$L105,MATCH(
_xlfn.TEXTJOIN(keydelim,TRUE,$D52,BA$10),'Vessel Profiles - Input'!$C3:$C105,0),MATCH(BA$9,'Vessel Profiles - Input'!$C$3:$L$3,0))</f>
        <v>50</v>
      </c>
      <c r="BB52" s="98">
        <f>INDEX('Vessel Profiles - Input'!$C3:$L105,MATCH(
_xlfn.TEXTJOIN(keydelim,TRUE,$D52,BB$10),'Vessel Profiles - Input'!$C3:$C105,0),MATCH(BB$9,'Vessel Profiles - Input'!$C$3:$L$3,0))</f>
        <v>50</v>
      </c>
      <c r="BC52" s="98">
        <f>INDEX('Vessel Profiles - Input'!$C3:$L105,MATCH(
_xlfn.TEXTJOIN(keydelim,TRUE,$D52,BC$10),'Vessel Profiles - Input'!$C3:$C105,0),MATCH(BC$9,'Vessel Profiles - Input'!$C$3:$L$3,0))</f>
        <v>50</v>
      </c>
      <c r="BD52" s="98">
        <f>INDEX('Vessel Profiles - Input'!$C3:$L105,MATCH(
_xlfn.TEXTJOIN(keydelim,TRUE,$D52,BD$10),'Vessel Profiles - Input'!$C3:$C105,0),MATCH(BD$9,'Vessel Profiles - Input'!$C$3:$L$3,0))</f>
        <v>50</v>
      </c>
      <c r="BE52" s="98">
        <f>INDEX('Vessel Profiles - Input'!$C3:$L105,MATCH(
_xlfn.TEXTJOIN(keydelim,TRUE,$D52,BE$10),'Vessel Profiles - Input'!$C3:$C105,0),MATCH(BE$9,'Vessel Profiles - Input'!$C$3:$L$3,0))</f>
        <v>50</v>
      </c>
      <c r="BF52" s="98">
        <f>INDEX('Vessel Profiles - Input'!$C3:$L105,MATCH(
_xlfn.TEXTJOIN(keydelim,TRUE,$D52,BF$10),'Vessel Profiles - Input'!$C3:$C105,0),MATCH(BF$9,'Vessel Profiles - Input'!$C$3:$L$3,0))</f>
        <v>50</v>
      </c>
      <c r="BL52" s="12" t="s">
        <v>276</v>
      </c>
      <c r="BM52" s="224" t="s">
        <v>277</v>
      </c>
      <c r="BO52" s="98">
        <f>INDEX('Vessel Profiles - Input'!$C3:$L105,MATCH(
_xlfn.TEXTJOIN(keydelim,TRUE,$D52,BO$10),'Vessel Profiles - Input'!$C3:$C105,0),MATCH(BO$9,'Vessel Profiles - Input'!$C$3:$L$3,0))</f>
        <v>50</v>
      </c>
      <c r="BP52" s="98">
        <f>INDEX('Vessel Profiles - Input'!$C3:$L105,MATCH(
_xlfn.TEXTJOIN(keydelim,TRUE,$D52,BP$10),'Vessel Profiles - Input'!$C3:$C105,0),MATCH(BP$9,'Vessel Profiles - Input'!$C$3:$L$3,0))</f>
        <v>50</v>
      </c>
      <c r="BQ52" s="98">
        <f>INDEX('Vessel Profiles - Input'!$C3:$L105,MATCH(
_xlfn.TEXTJOIN(keydelim,TRUE,$D52,BQ$10),'Vessel Profiles - Input'!$C3:$C105,0),MATCH(BQ$9,'Vessel Profiles - Input'!$C$3:$L$3,0))</f>
        <v>50</v>
      </c>
      <c r="BR52" s="98">
        <f>INDEX('Vessel Profiles - Input'!$C3:$L105,MATCH(
_xlfn.TEXTJOIN(keydelim,TRUE,$D52,BR$10),'Vessel Profiles - Input'!$C3:$C105,0),MATCH(BR$9,'Vessel Profiles - Input'!$C$3:$L$3,0))</f>
        <v>50</v>
      </c>
      <c r="BS52" s="98">
        <f>INDEX('Vessel Profiles - Input'!$C3:$L105,MATCH(
_xlfn.TEXTJOIN(keydelim,TRUE,$D52,BS$10),'Vessel Profiles - Input'!$C3:$C105,0),MATCH(BS$9,'Vessel Profiles - Input'!$C$3:$L$3,0))</f>
        <v>50</v>
      </c>
      <c r="BT52" s="98">
        <f>INDEX('Vessel Profiles - Input'!$C3:$L105,MATCH(
_xlfn.TEXTJOIN(keydelim,TRUE,$D52,BT$10),'Vessel Profiles - Input'!$C3:$C105,0),MATCH(BT$9,'Vessel Profiles - Input'!$C$3:$L$3,0))</f>
        <v>50</v>
      </c>
      <c r="BU52" s="98">
        <f>INDEX('Vessel Profiles - Input'!$C3:$L105,MATCH(
_xlfn.TEXTJOIN(keydelim,TRUE,$D52,BU$10),'Vessel Profiles - Input'!$C3:$C105,0),MATCH(BU$9,'Vessel Profiles - Input'!$C$3:$L$3,0))</f>
        <v>50</v>
      </c>
      <c r="BV52" s="98">
        <f>INDEX('Vessel Profiles - Input'!$C3:$L105,MATCH(
_xlfn.TEXTJOIN(keydelim,TRUE,$D52,BV$10),'Vessel Profiles - Input'!$C3:$C105,0),MATCH(BV$9,'Vessel Profiles - Input'!$C$3:$L$3,0))</f>
        <v>50</v>
      </c>
      <c r="BW52" s="98">
        <f>INDEX('Vessel Profiles - Input'!$C3:$L105,MATCH(
_xlfn.TEXTJOIN(keydelim,TRUE,$D52,BW$10),'Vessel Profiles - Input'!$C3:$C105,0),MATCH(BW$9,'Vessel Profiles - Input'!$C$3:$L$3,0))</f>
        <v>50</v>
      </c>
      <c r="BX52" s="98">
        <f>INDEX('Vessel Profiles - Input'!$C3:$L105,MATCH(
_xlfn.TEXTJOIN(keydelim,TRUE,$D52,BX$10),'Vessel Profiles - Input'!$C3:$C105,0),MATCH(BX$9,'Vessel Profiles - Input'!$C$3:$L$3,0))</f>
        <v>50</v>
      </c>
      <c r="BY52" s="98">
        <f>INDEX('Vessel Profiles - Input'!$C3:$L105,MATCH(
_xlfn.TEXTJOIN(keydelim,TRUE,$D52,BY$10),'Vessel Profiles - Input'!$C3:$C105,0),MATCH(BY$9,'Vessel Profiles - Input'!$C$3:$L$3,0))</f>
        <v>50</v>
      </c>
      <c r="BZ52" s="98">
        <f>INDEX('Vessel Profiles - Input'!$C3:$L105,MATCH(
_xlfn.TEXTJOIN(keydelim,TRUE,$D52,BZ$10),'Vessel Profiles - Input'!$C3:$C105,0),MATCH(BZ$9,'Vessel Profiles - Input'!$C$3:$L$3,0))</f>
        <v>50</v>
      </c>
      <c r="CF52" s="12" t="s">
        <v>276</v>
      </c>
      <c r="CG52" s="224" t="s">
        <v>277</v>
      </c>
      <c r="CI52" s="98">
        <f>INDEX('Vessel Profiles - Input'!$C3:$L105,MATCH(
_xlfn.TEXTJOIN(keydelim,TRUE,$D52,CI$10),'Vessel Profiles - Input'!$C3:$C105,0),MATCH(CI$9,'Vessel Profiles - Input'!$C$3:$L$3,0))</f>
        <v>50</v>
      </c>
      <c r="CJ52" s="98">
        <f>INDEX('Vessel Profiles - Input'!$C3:$L105,MATCH(
_xlfn.TEXTJOIN(keydelim,TRUE,$D52,CJ$10),'Vessel Profiles - Input'!$C3:$C105,0),MATCH(CJ$9,'Vessel Profiles - Input'!$C$3:$L$3,0))</f>
        <v>50</v>
      </c>
      <c r="CK52" s="98">
        <f>INDEX('Vessel Profiles - Input'!$C3:$L105,MATCH(
_xlfn.TEXTJOIN(keydelim,TRUE,$D52,CK$10),'Vessel Profiles - Input'!$C3:$C105,0),MATCH(CK$9,'Vessel Profiles - Input'!$C$3:$L$3,0))</f>
        <v>50</v>
      </c>
      <c r="CL52" s="98">
        <f>INDEX('Vessel Profiles - Input'!$C3:$L105,MATCH(
_xlfn.TEXTJOIN(keydelim,TRUE,$D52,CL$10),'Vessel Profiles - Input'!$C3:$C105,0),MATCH(CL$9,'Vessel Profiles - Input'!$C$3:$L$3,0))</f>
        <v>50</v>
      </c>
      <c r="CM52" s="98">
        <f>INDEX('Vessel Profiles - Input'!$C3:$L105,MATCH(
_xlfn.TEXTJOIN(keydelim,TRUE,$D52,CM$10),'Vessel Profiles - Input'!$C3:$C105,0),MATCH(CM$9,'Vessel Profiles - Input'!$C$3:$L$3,0))</f>
        <v>50</v>
      </c>
      <c r="CN52" s="98">
        <f>INDEX('Vessel Profiles - Input'!$C3:$L105,MATCH(
_xlfn.TEXTJOIN(keydelim,TRUE,$D52,CN$10),'Vessel Profiles - Input'!$C3:$C105,0),MATCH(CN$9,'Vessel Profiles - Input'!$C$3:$L$3,0))</f>
        <v>50</v>
      </c>
      <c r="CO52" s="98">
        <f>INDEX('Vessel Profiles - Input'!$C3:$L105,MATCH(
_xlfn.TEXTJOIN(keydelim,TRUE,$D52,CO$10),'Vessel Profiles - Input'!$C3:$C105,0),MATCH(CO$9,'Vessel Profiles - Input'!$C$3:$L$3,0))</f>
        <v>50</v>
      </c>
      <c r="CP52" s="98">
        <f>INDEX('Vessel Profiles - Input'!$C3:$L105,MATCH(
_xlfn.TEXTJOIN(keydelim,TRUE,$D52,CP$10),'Vessel Profiles - Input'!$C3:$C105,0),MATCH(CP$9,'Vessel Profiles - Input'!$C$3:$L$3,0))</f>
        <v>50</v>
      </c>
      <c r="CQ52" s="98">
        <f>INDEX('Vessel Profiles - Input'!$C3:$L105,MATCH(
_xlfn.TEXTJOIN(keydelim,TRUE,$D52,CQ$10),'Vessel Profiles - Input'!$C3:$C105,0),MATCH(CQ$9,'Vessel Profiles - Input'!$C$3:$L$3,0))</f>
        <v>50</v>
      </c>
      <c r="CR52" s="98">
        <f>INDEX('Vessel Profiles - Input'!$C3:$L105,MATCH(
_xlfn.TEXTJOIN(keydelim,TRUE,$D52,CR$10),'Vessel Profiles - Input'!$C3:$C105,0),MATCH(CR$9,'Vessel Profiles - Input'!$C$3:$L$3,0))</f>
        <v>50</v>
      </c>
      <c r="CS52" s="98">
        <f>INDEX('Vessel Profiles - Input'!$C3:$L105,MATCH(
_xlfn.TEXTJOIN(keydelim,TRUE,$D52,CS$10),'Vessel Profiles - Input'!$C3:$C105,0),MATCH(CS$9,'Vessel Profiles - Input'!$C$3:$L$3,0))</f>
        <v>50</v>
      </c>
      <c r="CT52" s="98">
        <f>INDEX('Vessel Profiles - Input'!$C3:$L105,MATCH(
_xlfn.TEXTJOIN(keydelim,TRUE,$D52,CT$10),'Vessel Profiles - Input'!$C3:$C105,0),MATCH(CT$9,'Vessel Profiles - Input'!$C$3:$L$3,0))</f>
        <v>50</v>
      </c>
    </row>
    <row r="53" spans="2:100" outlineLevel="1" x14ac:dyDescent="0.2">
      <c r="C53" s="3"/>
      <c r="D53" s="12" t="s">
        <v>278</v>
      </c>
      <c r="E53" s="224" t="s">
        <v>279</v>
      </c>
      <c r="G53" s="22">
        <f ca="1">IFERROR(IF(G14="Fuel cell",1,INDEX(tbl_TCO_input,MATCH(
_xlfn.TEXTJOIN(keydelim,TRUE,G$14,$D53),rows_TCO_ID,0),MATCH(G$6,cols_TCO_input,0))),0)</f>
        <v>250000</v>
      </c>
      <c r="H53" s="22">
        <f t="shared" ref="H53:R55" ca="1" si="111">IFERROR(INDEX(tbl_TCO_input,MATCH(
_xlfn.TEXTJOIN(keydelim,TRUE,H$14,$D53),rows_TCO_ID,0),MATCH(H$6,cols_TCO_input,0)),0)</f>
        <v>250000</v>
      </c>
      <c r="I53" s="22">
        <f t="shared" ca="1" si="111"/>
        <v>250000</v>
      </c>
      <c r="J53" s="22">
        <f t="shared" ca="1" si="111"/>
        <v>250000</v>
      </c>
      <c r="K53" s="22">
        <f t="shared" ca="1" si="111"/>
        <v>250000</v>
      </c>
      <c r="L53" s="22">
        <f t="shared" ca="1" si="111"/>
        <v>250000</v>
      </c>
      <c r="M53" s="22">
        <f t="shared" ca="1" si="111"/>
        <v>250000</v>
      </c>
      <c r="N53" s="22">
        <f t="shared" ca="1" si="111"/>
        <v>250000</v>
      </c>
      <c r="O53" s="22">
        <f t="shared" ca="1" si="111"/>
        <v>250000</v>
      </c>
      <c r="P53" s="22">
        <f t="shared" ca="1" si="111"/>
        <v>250000</v>
      </c>
      <c r="Q53" s="22">
        <f t="shared" ca="1" si="111"/>
        <v>250000</v>
      </c>
      <c r="R53" s="22">
        <f t="shared" ca="1" si="111"/>
        <v>250000</v>
      </c>
      <c r="X53" s="12" t="s">
        <v>278</v>
      </c>
      <c r="Y53" s="224" t="s">
        <v>279</v>
      </c>
      <c r="AA53" s="22">
        <f t="shared" ref="AA53:AL55" ca="1" si="112">IFERROR(INDEX(tbl_TCO_input,MATCH(
_xlfn.TEXTJOIN(keydelim,TRUE,AA$14,$D53),rows_TCO_ID,0),MATCH(AA$6,cols_TCO_input,0)),0)</f>
        <v>300000</v>
      </c>
      <c r="AB53" s="22">
        <f t="shared" ca="1" si="112"/>
        <v>300000</v>
      </c>
      <c r="AC53" s="22">
        <f t="shared" ca="1" si="112"/>
        <v>300000</v>
      </c>
      <c r="AD53" s="22">
        <f t="shared" ca="1" si="112"/>
        <v>300000</v>
      </c>
      <c r="AE53" s="22">
        <f t="shared" ca="1" si="112"/>
        <v>300000</v>
      </c>
      <c r="AF53" s="22">
        <f t="shared" ca="1" si="112"/>
        <v>300000</v>
      </c>
      <c r="AG53" s="22">
        <f t="shared" ca="1" si="112"/>
        <v>300000</v>
      </c>
      <c r="AH53" s="22">
        <f t="shared" ca="1" si="112"/>
        <v>300000</v>
      </c>
      <c r="AI53" s="22">
        <f t="shared" ca="1" si="112"/>
        <v>300000</v>
      </c>
      <c r="AJ53" s="22">
        <f t="shared" ca="1" si="112"/>
        <v>300000</v>
      </c>
      <c r="AK53" s="22">
        <f t="shared" ca="1" si="112"/>
        <v>300000</v>
      </c>
      <c r="AL53" s="22">
        <f t="shared" ca="1" si="112"/>
        <v>300000</v>
      </c>
      <c r="AR53" s="12" t="s">
        <v>278</v>
      </c>
      <c r="AS53" s="224" t="s">
        <v>279</v>
      </c>
      <c r="AU53" s="22">
        <f t="shared" ref="AU53:BF55" ca="1" si="113">IFERROR(INDEX(tbl_TCO_input,MATCH(
_xlfn.TEXTJOIN(keydelim,TRUE,AU$14,$D53),rows_TCO_ID,0),MATCH(AU$6,cols_TCO_input,0)),0)</f>
        <v>300000</v>
      </c>
      <c r="AV53" s="22">
        <f t="shared" ca="1" si="113"/>
        <v>300000</v>
      </c>
      <c r="AW53" s="22">
        <f t="shared" ca="1" si="113"/>
        <v>300000</v>
      </c>
      <c r="AX53" s="22">
        <f t="shared" ca="1" si="113"/>
        <v>300000</v>
      </c>
      <c r="AY53" s="22">
        <f t="shared" ca="1" si="113"/>
        <v>300000</v>
      </c>
      <c r="AZ53" s="22">
        <f t="shared" ca="1" si="113"/>
        <v>300000</v>
      </c>
      <c r="BA53" s="22">
        <f t="shared" ca="1" si="113"/>
        <v>300000</v>
      </c>
      <c r="BB53" s="22">
        <f t="shared" ca="1" si="113"/>
        <v>300000</v>
      </c>
      <c r="BC53" s="22">
        <f t="shared" ca="1" si="113"/>
        <v>300000</v>
      </c>
      <c r="BD53" s="22">
        <f t="shared" ca="1" si="113"/>
        <v>300000</v>
      </c>
      <c r="BE53" s="22">
        <f t="shared" ca="1" si="113"/>
        <v>300000</v>
      </c>
      <c r="BF53" s="22">
        <f t="shared" ca="1" si="113"/>
        <v>300000</v>
      </c>
      <c r="BL53" s="12" t="s">
        <v>278</v>
      </c>
      <c r="BM53" s="224" t="s">
        <v>279</v>
      </c>
      <c r="BO53" s="22">
        <f t="shared" ref="BO53:BZ55" ca="1" si="114">IFERROR(INDEX(tbl_TCO_input,MATCH(
_xlfn.TEXTJOIN(keydelim,TRUE,BO$14,$D53),rows_TCO_ID,0),MATCH(BO$6,cols_TCO_input,0)),0)</f>
        <v>300000</v>
      </c>
      <c r="BP53" s="22">
        <f t="shared" ca="1" si="114"/>
        <v>300000</v>
      </c>
      <c r="BQ53" s="22">
        <f t="shared" ca="1" si="114"/>
        <v>300000</v>
      </c>
      <c r="BR53" s="22">
        <f t="shared" ca="1" si="114"/>
        <v>300000</v>
      </c>
      <c r="BS53" s="22">
        <f t="shared" ca="1" si="114"/>
        <v>300000</v>
      </c>
      <c r="BT53" s="22">
        <f t="shared" ca="1" si="114"/>
        <v>300000</v>
      </c>
      <c r="BU53" s="22">
        <f t="shared" ca="1" si="114"/>
        <v>300000</v>
      </c>
      <c r="BV53" s="22">
        <f t="shared" ca="1" si="114"/>
        <v>300000</v>
      </c>
      <c r="BW53" s="22">
        <f t="shared" ca="1" si="114"/>
        <v>300000</v>
      </c>
      <c r="BX53" s="22">
        <f t="shared" ca="1" si="114"/>
        <v>300000</v>
      </c>
      <c r="BY53" s="22">
        <f t="shared" ca="1" si="114"/>
        <v>300000</v>
      </c>
      <c r="BZ53" s="22">
        <f t="shared" ca="1" si="114"/>
        <v>300000</v>
      </c>
      <c r="CF53" s="12" t="s">
        <v>278</v>
      </c>
      <c r="CG53" s="224" t="s">
        <v>279</v>
      </c>
      <c r="CI53" s="22">
        <f t="shared" ref="CI53:CT55" ca="1" si="115">IFERROR(INDEX(tbl_TCO_input,MATCH(
_xlfn.TEXTJOIN(keydelim,TRUE,CI$14,$D53),rows_TCO_ID,0),MATCH(CI$6,cols_TCO_input,0)),0)</f>
        <v>300000</v>
      </c>
      <c r="CJ53" s="22">
        <f t="shared" ca="1" si="115"/>
        <v>300000</v>
      </c>
      <c r="CK53" s="22">
        <f t="shared" ca="1" si="115"/>
        <v>300000</v>
      </c>
      <c r="CL53" s="22">
        <f t="shared" ca="1" si="115"/>
        <v>300000</v>
      </c>
      <c r="CM53" s="22">
        <f t="shared" ca="1" si="115"/>
        <v>300000</v>
      </c>
      <c r="CN53" s="22">
        <f t="shared" ca="1" si="115"/>
        <v>300000</v>
      </c>
      <c r="CO53" s="22">
        <f t="shared" ca="1" si="115"/>
        <v>300000</v>
      </c>
      <c r="CP53" s="22">
        <f t="shared" ca="1" si="115"/>
        <v>300000</v>
      </c>
      <c r="CQ53" s="22">
        <f t="shared" ca="1" si="115"/>
        <v>300000</v>
      </c>
      <c r="CR53" s="22">
        <f t="shared" ca="1" si="115"/>
        <v>300000</v>
      </c>
      <c r="CS53" s="22">
        <f t="shared" ca="1" si="115"/>
        <v>300000</v>
      </c>
      <c r="CT53" s="22">
        <f t="shared" ca="1" si="115"/>
        <v>300000</v>
      </c>
    </row>
    <row r="54" spans="2:100" outlineLevel="1" x14ac:dyDescent="0.2">
      <c r="C54" s="3"/>
      <c r="D54" s="12" t="s">
        <v>280</v>
      </c>
      <c r="E54" s="224" t="s">
        <v>279</v>
      </c>
      <c r="G54" s="22">
        <f ca="1">IFERROR(INDEX(tbl_TCO_input,MATCH(
_xlfn.TEXTJOIN(keydelim,TRUE,G$14,$D54),rows_TCO_ID,0),MATCH(G$6,cols_TCO_input,0)),0)</f>
        <v>0</v>
      </c>
      <c r="H54" s="22">
        <f t="shared" ca="1" si="111"/>
        <v>0</v>
      </c>
      <c r="I54" s="22">
        <f t="shared" ca="1" si="111"/>
        <v>0</v>
      </c>
      <c r="J54" s="22">
        <f t="shared" ca="1" si="111"/>
        <v>0</v>
      </c>
      <c r="K54" s="22">
        <f t="shared" ca="1" si="111"/>
        <v>0</v>
      </c>
      <c r="L54" s="22">
        <f t="shared" ca="1" si="111"/>
        <v>0</v>
      </c>
      <c r="M54" s="22">
        <f t="shared" ca="1" si="111"/>
        <v>0</v>
      </c>
      <c r="N54" s="22">
        <f t="shared" ca="1" si="111"/>
        <v>0</v>
      </c>
      <c r="O54" s="22">
        <f t="shared" ca="1" si="111"/>
        <v>0</v>
      </c>
      <c r="P54" s="22">
        <f t="shared" ca="1" si="111"/>
        <v>0</v>
      </c>
      <c r="Q54" s="22">
        <f t="shared" ca="1" si="111"/>
        <v>0</v>
      </c>
      <c r="R54" s="22">
        <f t="shared" ca="1" si="111"/>
        <v>0</v>
      </c>
      <c r="X54" s="12" t="s">
        <v>280</v>
      </c>
      <c r="Y54" s="224" t="s">
        <v>279</v>
      </c>
      <c r="AA54" s="22">
        <f ca="1">IFERROR(INDEX(tbl_TCO_input,MATCH(
_xlfn.TEXTJOIN(keydelim,TRUE,AA$14,$D54),rows_TCO_ID,0),MATCH(AA$6,cols_TCO_input,0)),0)</f>
        <v>0</v>
      </c>
      <c r="AB54" s="22">
        <f t="shared" ca="1" si="112"/>
        <v>0</v>
      </c>
      <c r="AC54" s="22">
        <f t="shared" ca="1" si="112"/>
        <v>0</v>
      </c>
      <c r="AD54" s="22">
        <f t="shared" ca="1" si="112"/>
        <v>0</v>
      </c>
      <c r="AE54" s="22">
        <f t="shared" ca="1" si="112"/>
        <v>0</v>
      </c>
      <c r="AF54" s="22">
        <f t="shared" ca="1" si="112"/>
        <v>0</v>
      </c>
      <c r="AG54" s="22">
        <f t="shared" ca="1" si="112"/>
        <v>0</v>
      </c>
      <c r="AH54" s="22">
        <f t="shared" ca="1" si="112"/>
        <v>0</v>
      </c>
      <c r="AI54" s="22">
        <f t="shared" ca="1" si="112"/>
        <v>0</v>
      </c>
      <c r="AJ54" s="22">
        <f t="shared" ca="1" si="112"/>
        <v>0</v>
      </c>
      <c r="AK54" s="22">
        <f t="shared" ca="1" si="112"/>
        <v>0</v>
      </c>
      <c r="AL54" s="22">
        <f t="shared" ca="1" si="112"/>
        <v>0</v>
      </c>
      <c r="AR54" s="12" t="s">
        <v>280</v>
      </c>
      <c r="AS54" s="224" t="s">
        <v>279</v>
      </c>
      <c r="AU54" s="22">
        <f ca="1">IFERROR(INDEX(tbl_TCO_input,MATCH(
_xlfn.TEXTJOIN(keydelim,TRUE,AU$14,$D54),rows_TCO_ID,0),MATCH(AU$6,cols_TCO_input,0)),0)</f>
        <v>0</v>
      </c>
      <c r="AV54" s="22">
        <f t="shared" ca="1" si="113"/>
        <v>0</v>
      </c>
      <c r="AW54" s="22">
        <f t="shared" ca="1" si="113"/>
        <v>0</v>
      </c>
      <c r="AX54" s="22">
        <f t="shared" ca="1" si="113"/>
        <v>0</v>
      </c>
      <c r="AY54" s="22">
        <f t="shared" ca="1" si="113"/>
        <v>0</v>
      </c>
      <c r="AZ54" s="22">
        <f t="shared" ca="1" si="113"/>
        <v>0</v>
      </c>
      <c r="BA54" s="22">
        <f t="shared" ca="1" si="113"/>
        <v>0</v>
      </c>
      <c r="BB54" s="22">
        <f t="shared" ca="1" si="113"/>
        <v>0</v>
      </c>
      <c r="BC54" s="22">
        <f t="shared" ca="1" si="113"/>
        <v>0</v>
      </c>
      <c r="BD54" s="22">
        <f t="shared" ca="1" si="113"/>
        <v>0</v>
      </c>
      <c r="BE54" s="22">
        <f t="shared" ca="1" si="113"/>
        <v>0</v>
      </c>
      <c r="BF54" s="22">
        <f t="shared" ca="1" si="113"/>
        <v>0</v>
      </c>
      <c r="BL54" s="12" t="s">
        <v>280</v>
      </c>
      <c r="BM54" s="224" t="s">
        <v>279</v>
      </c>
      <c r="BO54" s="22">
        <f ca="1">IFERROR(INDEX(tbl_TCO_input,MATCH(
_xlfn.TEXTJOIN(keydelim,TRUE,BO$14,$D54),rows_TCO_ID,0),MATCH(BO$6,cols_TCO_input,0)),0)</f>
        <v>0</v>
      </c>
      <c r="BP54" s="22">
        <f t="shared" ca="1" si="114"/>
        <v>0</v>
      </c>
      <c r="BQ54" s="22">
        <f t="shared" ca="1" si="114"/>
        <v>0</v>
      </c>
      <c r="BR54" s="22">
        <f t="shared" ca="1" si="114"/>
        <v>0</v>
      </c>
      <c r="BS54" s="22">
        <f t="shared" ca="1" si="114"/>
        <v>0</v>
      </c>
      <c r="BT54" s="22">
        <f t="shared" ca="1" si="114"/>
        <v>0</v>
      </c>
      <c r="BU54" s="22">
        <f t="shared" ca="1" si="114"/>
        <v>0</v>
      </c>
      <c r="BV54" s="22">
        <f t="shared" ca="1" si="114"/>
        <v>0</v>
      </c>
      <c r="BW54" s="22">
        <f t="shared" ca="1" si="114"/>
        <v>0</v>
      </c>
      <c r="BX54" s="22">
        <f t="shared" ca="1" si="114"/>
        <v>0</v>
      </c>
      <c r="BY54" s="22">
        <f t="shared" ca="1" si="114"/>
        <v>0</v>
      </c>
      <c r="BZ54" s="22">
        <f t="shared" ca="1" si="114"/>
        <v>0</v>
      </c>
      <c r="CF54" s="12" t="s">
        <v>280</v>
      </c>
      <c r="CG54" s="224" t="s">
        <v>279</v>
      </c>
      <c r="CI54" s="22">
        <f ca="1">IFERROR(INDEX(tbl_TCO_input,MATCH(
_xlfn.TEXTJOIN(keydelim,TRUE,CI$14,$D54),rows_TCO_ID,0),MATCH(CI$6,cols_TCO_input,0)),0)</f>
        <v>0</v>
      </c>
      <c r="CJ54" s="22">
        <f t="shared" ca="1" si="115"/>
        <v>0</v>
      </c>
      <c r="CK54" s="22">
        <f t="shared" ca="1" si="115"/>
        <v>0</v>
      </c>
      <c r="CL54" s="22">
        <f t="shared" ca="1" si="115"/>
        <v>0</v>
      </c>
      <c r="CM54" s="22">
        <f t="shared" ca="1" si="115"/>
        <v>0</v>
      </c>
      <c r="CN54" s="22">
        <f t="shared" ca="1" si="115"/>
        <v>0</v>
      </c>
      <c r="CO54" s="22">
        <f t="shared" ca="1" si="115"/>
        <v>0</v>
      </c>
      <c r="CP54" s="22">
        <f t="shared" ca="1" si="115"/>
        <v>0</v>
      </c>
      <c r="CQ54" s="22">
        <f t="shared" ca="1" si="115"/>
        <v>0</v>
      </c>
      <c r="CR54" s="22">
        <f t="shared" ca="1" si="115"/>
        <v>0</v>
      </c>
      <c r="CS54" s="22">
        <f t="shared" ca="1" si="115"/>
        <v>0</v>
      </c>
      <c r="CT54" s="22">
        <f t="shared" ca="1" si="115"/>
        <v>0</v>
      </c>
    </row>
    <row r="55" spans="2:100" outlineLevel="1" x14ac:dyDescent="0.2">
      <c r="C55" s="3"/>
      <c r="D55" s="12" t="s">
        <v>281</v>
      </c>
      <c r="E55" s="224" t="s">
        <v>279</v>
      </c>
      <c r="G55" s="22">
        <f ca="1">IFERROR(INDEX(tbl_TCO_input,MATCH(
_xlfn.TEXTJOIN(keydelim,TRUE,G$14,$D55),rows_TCO_ID,0),MATCH(G$6,cols_TCO_input,0)),0)</f>
        <v>0</v>
      </c>
      <c r="H55" s="22">
        <f t="shared" ca="1" si="111"/>
        <v>0</v>
      </c>
      <c r="I55" s="22">
        <f t="shared" ca="1" si="111"/>
        <v>0</v>
      </c>
      <c r="J55" s="22">
        <f t="shared" ca="1" si="111"/>
        <v>0</v>
      </c>
      <c r="K55" s="22">
        <f t="shared" ca="1" si="111"/>
        <v>0</v>
      </c>
      <c r="L55" s="22">
        <f t="shared" ca="1" si="111"/>
        <v>0</v>
      </c>
      <c r="M55" s="22">
        <f t="shared" ca="1" si="111"/>
        <v>0</v>
      </c>
      <c r="N55" s="22">
        <f t="shared" ca="1" si="111"/>
        <v>0</v>
      </c>
      <c r="O55" s="22">
        <f t="shared" ca="1" si="111"/>
        <v>0</v>
      </c>
      <c r="P55" s="22">
        <f t="shared" ca="1" si="111"/>
        <v>0</v>
      </c>
      <c r="Q55" s="22">
        <f t="shared" ca="1" si="111"/>
        <v>0</v>
      </c>
      <c r="R55" s="22">
        <f t="shared" ca="1" si="111"/>
        <v>0</v>
      </c>
      <c r="X55" s="12" t="s">
        <v>281</v>
      </c>
      <c r="Y55" s="224" t="s">
        <v>279</v>
      </c>
      <c r="AA55" s="22">
        <f ca="1">IFERROR(INDEX(tbl_TCO_input,MATCH(
_xlfn.TEXTJOIN(keydelim,TRUE,AA$14,$D55),rows_TCO_ID,0),MATCH(AA$6,cols_TCO_input,0)),0)</f>
        <v>0</v>
      </c>
      <c r="AB55" s="22">
        <f t="shared" ca="1" si="112"/>
        <v>0</v>
      </c>
      <c r="AC55" s="22">
        <f t="shared" ca="1" si="112"/>
        <v>0</v>
      </c>
      <c r="AD55" s="22">
        <f t="shared" ca="1" si="112"/>
        <v>0</v>
      </c>
      <c r="AE55" s="22">
        <f t="shared" ca="1" si="112"/>
        <v>0</v>
      </c>
      <c r="AF55" s="22">
        <f t="shared" ca="1" si="112"/>
        <v>0</v>
      </c>
      <c r="AG55" s="22">
        <f t="shared" ca="1" si="112"/>
        <v>0</v>
      </c>
      <c r="AH55" s="22">
        <f t="shared" ca="1" si="112"/>
        <v>0</v>
      </c>
      <c r="AI55" s="22">
        <f t="shared" ca="1" si="112"/>
        <v>0</v>
      </c>
      <c r="AJ55" s="22">
        <f t="shared" ca="1" si="112"/>
        <v>0</v>
      </c>
      <c r="AK55" s="22">
        <f t="shared" ca="1" si="112"/>
        <v>0</v>
      </c>
      <c r="AL55" s="22">
        <f t="shared" ca="1" si="112"/>
        <v>0</v>
      </c>
      <c r="AR55" s="12" t="s">
        <v>281</v>
      </c>
      <c r="AS55" s="224" t="s">
        <v>279</v>
      </c>
      <c r="AU55" s="22">
        <f ca="1">IFERROR(INDEX(tbl_TCO_input,MATCH(
_xlfn.TEXTJOIN(keydelim,TRUE,AU$14,$D55),rows_TCO_ID,0),MATCH(AU$6,cols_TCO_input,0)),0)</f>
        <v>0</v>
      </c>
      <c r="AV55" s="22">
        <f t="shared" ca="1" si="113"/>
        <v>0</v>
      </c>
      <c r="AW55" s="22">
        <f t="shared" ca="1" si="113"/>
        <v>0</v>
      </c>
      <c r="AX55" s="22">
        <f t="shared" ca="1" si="113"/>
        <v>0</v>
      </c>
      <c r="AY55" s="22">
        <f t="shared" ca="1" si="113"/>
        <v>0</v>
      </c>
      <c r="AZ55" s="22">
        <f t="shared" ca="1" si="113"/>
        <v>0</v>
      </c>
      <c r="BA55" s="22">
        <f t="shared" ca="1" si="113"/>
        <v>0</v>
      </c>
      <c r="BB55" s="22">
        <f t="shared" ca="1" si="113"/>
        <v>0</v>
      </c>
      <c r="BC55" s="22">
        <f t="shared" ca="1" si="113"/>
        <v>0</v>
      </c>
      <c r="BD55" s="22">
        <f t="shared" ca="1" si="113"/>
        <v>0</v>
      </c>
      <c r="BE55" s="22">
        <f t="shared" ca="1" si="113"/>
        <v>0</v>
      </c>
      <c r="BF55" s="22">
        <f t="shared" ca="1" si="113"/>
        <v>0</v>
      </c>
      <c r="BL55" s="12" t="s">
        <v>281</v>
      </c>
      <c r="BM55" s="224" t="s">
        <v>279</v>
      </c>
      <c r="BO55" s="22">
        <f ca="1">IFERROR(INDEX(tbl_TCO_input,MATCH(
_xlfn.TEXTJOIN(keydelim,TRUE,BO$14,$D55),rows_TCO_ID,0),MATCH(BO$6,cols_TCO_input,0)),0)</f>
        <v>0</v>
      </c>
      <c r="BP55" s="22">
        <f t="shared" ca="1" si="114"/>
        <v>0</v>
      </c>
      <c r="BQ55" s="22">
        <f t="shared" ca="1" si="114"/>
        <v>0</v>
      </c>
      <c r="BR55" s="22">
        <f t="shared" ca="1" si="114"/>
        <v>0</v>
      </c>
      <c r="BS55" s="22">
        <f t="shared" ca="1" si="114"/>
        <v>0</v>
      </c>
      <c r="BT55" s="22">
        <f t="shared" ca="1" si="114"/>
        <v>0</v>
      </c>
      <c r="BU55" s="22">
        <f t="shared" ca="1" si="114"/>
        <v>0</v>
      </c>
      <c r="BV55" s="22">
        <f t="shared" ca="1" si="114"/>
        <v>0</v>
      </c>
      <c r="BW55" s="22">
        <f t="shared" ca="1" si="114"/>
        <v>0</v>
      </c>
      <c r="BX55" s="22">
        <f t="shared" ca="1" si="114"/>
        <v>0</v>
      </c>
      <c r="BY55" s="22">
        <f t="shared" ca="1" si="114"/>
        <v>0</v>
      </c>
      <c r="BZ55" s="22">
        <f t="shared" ca="1" si="114"/>
        <v>0</v>
      </c>
      <c r="CF55" s="12" t="s">
        <v>281</v>
      </c>
      <c r="CG55" s="224" t="s">
        <v>279</v>
      </c>
      <c r="CI55" s="22">
        <f ca="1">IFERROR(INDEX(tbl_TCO_input,MATCH(
_xlfn.TEXTJOIN(keydelim,TRUE,CI$14,$D55),rows_TCO_ID,0),MATCH(CI$6,cols_TCO_input,0)),0)</f>
        <v>0</v>
      </c>
      <c r="CJ55" s="22">
        <f t="shared" ca="1" si="115"/>
        <v>0</v>
      </c>
      <c r="CK55" s="22">
        <f t="shared" ca="1" si="115"/>
        <v>0</v>
      </c>
      <c r="CL55" s="22">
        <f t="shared" ca="1" si="115"/>
        <v>0</v>
      </c>
      <c r="CM55" s="22">
        <f t="shared" ca="1" si="115"/>
        <v>0</v>
      </c>
      <c r="CN55" s="22">
        <f t="shared" ca="1" si="115"/>
        <v>0</v>
      </c>
      <c r="CO55" s="22">
        <f t="shared" ca="1" si="115"/>
        <v>0</v>
      </c>
      <c r="CP55" s="22">
        <f t="shared" ca="1" si="115"/>
        <v>0</v>
      </c>
      <c r="CQ55" s="22">
        <f t="shared" ca="1" si="115"/>
        <v>0</v>
      </c>
      <c r="CR55" s="22">
        <f t="shared" ca="1" si="115"/>
        <v>0</v>
      </c>
      <c r="CS55" s="22">
        <f t="shared" ca="1" si="115"/>
        <v>0</v>
      </c>
      <c r="CT55" s="22">
        <f t="shared" ca="1" si="115"/>
        <v>0</v>
      </c>
    </row>
    <row r="56" spans="2:100" s="266" customFormat="1" outlineLevel="1" x14ac:dyDescent="0.2">
      <c r="C56" s="285"/>
      <c r="D56" s="285" t="s">
        <v>282</v>
      </c>
      <c r="E56" s="282" t="s">
        <v>211</v>
      </c>
      <c r="F56" s="282"/>
      <c r="G56" s="286">
        <f t="shared" ref="G56:R56" ca="1" si="116">G57/$F$4</f>
        <v>198400</v>
      </c>
      <c r="H56" s="286">
        <f t="shared" ca="1" si="116"/>
        <v>198400</v>
      </c>
      <c r="I56" s="286">
        <f t="shared" ca="1" si="116"/>
        <v>198400</v>
      </c>
      <c r="J56" s="286">
        <f t="shared" ca="1" si="116"/>
        <v>198400</v>
      </c>
      <c r="K56" s="286">
        <f t="shared" ca="1" si="116"/>
        <v>198400</v>
      </c>
      <c r="L56" s="286">
        <f t="shared" ca="1" si="116"/>
        <v>198400</v>
      </c>
      <c r="M56" s="286">
        <f t="shared" ca="1" si="116"/>
        <v>198400</v>
      </c>
      <c r="N56" s="286">
        <f t="shared" ca="1" si="116"/>
        <v>198400</v>
      </c>
      <c r="O56" s="286">
        <f t="shared" ca="1" si="116"/>
        <v>198400</v>
      </c>
      <c r="P56" s="286">
        <f t="shared" ca="1" si="116"/>
        <v>198400</v>
      </c>
      <c r="Q56" s="286">
        <f t="shared" ca="1" si="116"/>
        <v>198400</v>
      </c>
      <c r="R56" s="286">
        <f t="shared" ca="1" si="116"/>
        <v>198400</v>
      </c>
      <c r="X56" s="285" t="s">
        <v>282</v>
      </c>
      <c r="Y56" s="282" t="s">
        <v>211</v>
      </c>
      <c r="Z56" s="282"/>
      <c r="AA56" s="286">
        <f t="shared" ref="AA56:AL56" ca="1" si="117">AA57/$F$4</f>
        <v>238080</v>
      </c>
      <c r="AB56" s="286">
        <f t="shared" ca="1" si="117"/>
        <v>238080</v>
      </c>
      <c r="AC56" s="286">
        <f t="shared" ca="1" si="117"/>
        <v>238080</v>
      </c>
      <c r="AD56" s="286">
        <f t="shared" ca="1" si="117"/>
        <v>238080</v>
      </c>
      <c r="AE56" s="286">
        <f t="shared" ca="1" si="117"/>
        <v>238080</v>
      </c>
      <c r="AF56" s="286">
        <f t="shared" ca="1" si="117"/>
        <v>238080</v>
      </c>
      <c r="AG56" s="286">
        <f t="shared" ca="1" si="117"/>
        <v>238080</v>
      </c>
      <c r="AH56" s="286">
        <f t="shared" ca="1" si="117"/>
        <v>238080</v>
      </c>
      <c r="AI56" s="286">
        <f t="shared" ca="1" si="117"/>
        <v>238080</v>
      </c>
      <c r="AJ56" s="286">
        <f t="shared" ca="1" si="117"/>
        <v>238080</v>
      </c>
      <c r="AK56" s="286">
        <f t="shared" ca="1" si="117"/>
        <v>238080</v>
      </c>
      <c r="AL56" s="286">
        <f t="shared" ca="1" si="117"/>
        <v>238080</v>
      </c>
      <c r="AR56" s="285" t="s">
        <v>282</v>
      </c>
      <c r="AS56" s="282" t="s">
        <v>211</v>
      </c>
      <c r="AT56" s="282"/>
      <c r="AU56" s="286">
        <f t="shared" ref="AU56:BF56" ca="1" si="118">AU57/$F$4</f>
        <v>238080</v>
      </c>
      <c r="AV56" s="286">
        <f t="shared" ca="1" si="118"/>
        <v>238080</v>
      </c>
      <c r="AW56" s="286">
        <f t="shared" ca="1" si="118"/>
        <v>238080</v>
      </c>
      <c r="AX56" s="286">
        <f t="shared" ca="1" si="118"/>
        <v>238080</v>
      </c>
      <c r="AY56" s="286">
        <f t="shared" ca="1" si="118"/>
        <v>238080</v>
      </c>
      <c r="AZ56" s="286">
        <f t="shared" ca="1" si="118"/>
        <v>238080</v>
      </c>
      <c r="BA56" s="286">
        <f t="shared" ca="1" si="118"/>
        <v>238080</v>
      </c>
      <c r="BB56" s="286">
        <f t="shared" ca="1" si="118"/>
        <v>238080</v>
      </c>
      <c r="BC56" s="286">
        <f t="shared" ca="1" si="118"/>
        <v>238080</v>
      </c>
      <c r="BD56" s="286">
        <f t="shared" ca="1" si="118"/>
        <v>238080</v>
      </c>
      <c r="BE56" s="286">
        <f t="shared" ca="1" si="118"/>
        <v>238080</v>
      </c>
      <c r="BF56" s="286">
        <f t="shared" ca="1" si="118"/>
        <v>238080</v>
      </c>
      <c r="BG56"/>
      <c r="BH56"/>
      <c r="BL56" s="285" t="s">
        <v>282</v>
      </c>
      <c r="BM56" s="282" t="s">
        <v>211</v>
      </c>
      <c r="BN56" s="282"/>
      <c r="BO56" s="286">
        <f t="shared" ref="BO56:BZ56" ca="1" si="119">BO57/$F$4</f>
        <v>238080</v>
      </c>
      <c r="BP56" s="286">
        <f t="shared" ca="1" si="119"/>
        <v>238080</v>
      </c>
      <c r="BQ56" s="286">
        <f t="shared" ca="1" si="119"/>
        <v>238080</v>
      </c>
      <c r="BR56" s="286">
        <f t="shared" ca="1" si="119"/>
        <v>238080</v>
      </c>
      <c r="BS56" s="286">
        <f t="shared" ca="1" si="119"/>
        <v>238080</v>
      </c>
      <c r="BT56" s="286">
        <f t="shared" ca="1" si="119"/>
        <v>238080</v>
      </c>
      <c r="BU56" s="286">
        <f t="shared" ca="1" si="119"/>
        <v>238080</v>
      </c>
      <c r="BV56" s="286">
        <f t="shared" ca="1" si="119"/>
        <v>238080</v>
      </c>
      <c r="BW56" s="286">
        <f t="shared" ca="1" si="119"/>
        <v>238080</v>
      </c>
      <c r="BX56" s="286">
        <f t="shared" ca="1" si="119"/>
        <v>238080</v>
      </c>
      <c r="BY56" s="286">
        <f t="shared" ca="1" si="119"/>
        <v>238080</v>
      </c>
      <c r="BZ56" s="286">
        <f t="shared" ca="1" si="119"/>
        <v>238080</v>
      </c>
      <c r="CA56"/>
      <c r="CB56"/>
      <c r="CF56" s="285" t="s">
        <v>282</v>
      </c>
      <c r="CG56" s="282" t="s">
        <v>211</v>
      </c>
      <c r="CH56" s="282"/>
      <c r="CI56" s="286">
        <f t="shared" ref="CI56:CT56" ca="1" si="120">CI57/$F$4</f>
        <v>238080</v>
      </c>
      <c r="CJ56" s="286">
        <f t="shared" ca="1" si="120"/>
        <v>238080</v>
      </c>
      <c r="CK56" s="286">
        <f t="shared" ca="1" si="120"/>
        <v>238080</v>
      </c>
      <c r="CL56" s="286">
        <f t="shared" ca="1" si="120"/>
        <v>238080</v>
      </c>
      <c r="CM56" s="286">
        <f t="shared" ca="1" si="120"/>
        <v>238080</v>
      </c>
      <c r="CN56" s="286">
        <f t="shared" ca="1" si="120"/>
        <v>238080</v>
      </c>
      <c r="CO56" s="286">
        <f t="shared" ca="1" si="120"/>
        <v>238080</v>
      </c>
      <c r="CP56" s="286">
        <f t="shared" ca="1" si="120"/>
        <v>238080</v>
      </c>
      <c r="CQ56" s="286">
        <f t="shared" ca="1" si="120"/>
        <v>238080</v>
      </c>
      <c r="CR56" s="286">
        <f t="shared" ca="1" si="120"/>
        <v>238080</v>
      </c>
      <c r="CS56" s="286">
        <f t="shared" ca="1" si="120"/>
        <v>238080</v>
      </c>
      <c r="CT56" s="286">
        <f t="shared" ca="1" si="120"/>
        <v>238080</v>
      </c>
      <c r="CU56"/>
      <c r="CV56"/>
    </row>
    <row r="57" spans="2:100" outlineLevel="1" x14ac:dyDescent="0.2">
      <c r="C57" s="3"/>
      <c r="D57" s="12" t="s">
        <v>282</v>
      </c>
      <c r="E57" s="224" t="s">
        <v>275</v>
      </c>
      <c r="G57" s="21">
        <f t="shared" ref="G57:R57" ca="1" si="121">G58*G59</f>
        <v>4960000</v>
      </c>
      <c r="H57" s="21">
        <f t="shared" ca="1" si="121"/>
        <v>4960000</v>
      </c>
      <c r="I57" s="21">
        <f t="shared" ca="1" si="121"/>
        <v>4960000</v>
      </c>
      <c r="J57" s="21">
        <f t="shared" ca="1" si="121"/>
        <v>4960000</v>
      </c>
      <c r="K57" s="21">
        <f t="shared" ca="1" si="121"/>
        <v>4960000</v>
      </c>
      <c r="L57" s="21">
        <f t="shared" ca="1" si="121"/>
        <v>4960000</v>
      </c>
      <c r="M57" s="21">
        <f t="shared" ca="1" si="121"/>
        <v>4960000</v>
      </c>
      <c r="N57" s="21">
        <f t="shared" ca="1" si="121"/>
        <v>4960000</v>
      </c>
      <c r="O57" s="21">
        <f t="shared" ca="1" si="121"/>
        <v>4960000</v>
      </c>
      <c r="P57" s="21">
        <f t="shared" ca="1" si="121"/>
        <v>4960000</v>
      </c>
      <c r="Q57" s="21">
        <f t="shared" ca="1" si="121"/>
        <v>4960000</v>
      </c>
      <c r="R57" s="21">
        <f t="shared" ca="1" si="121"/>
        <v>4960000</v>
      </c>
      <c r="X57" s="12" t="s">
        <v>282</v>
      </c>
      <c r="Y57" s="224" t="s">
        <v>275</v>
      </c>
      <c r="AA57" s="21">
        <f t="shared" ref="AA57:AL57" ca="1" si="122">AA58*AA59</f>
        <v>5952000</v>
      </c>
      <c r="AB57" s="21">
        <f t="shared" ca="1" si="122"/>
        <v>5952000</v>
      </c>
      <c r="AC57" s="21">
        <f t="shared" ca="1" si="122"/>
        <v>5952000</v>
      </c>
      <c r="AD57" s="21">
        <f t="shared" ca="1" si="122"/>
        <v>5952000</v>
      </c>
      <c r="AE57" s="21">
        <f t="shared" ca="1" si="122"/>
        <v>5952000</v>
      </c>
      <c r="AF57" s="21">
        <f t="shared" ca="1" si="122"/>
        <v>5952000</v>
      </c>
      <c r="AG57" s="21">
        <f t="shared" ca="1" si="122"/>
        <v>5952000</v>
      </c>
      <c r="AH57" s="21">
        <f t="shared" ca="1" si="122"/>
        <v>5952000</v>
      </c>
      <c r="AI57" s="21">
        <f t="shared" ca="1" si="122"/>
        <v>5952000</v>
      </c>
      <c r="AJ57" s="21">
        <f t="shared" ca="1" si="122"/>
        <v>5952000</v>
      </c>
      <c r="AK57" s="21">
        <f t="shared" ca="1" si="122"/>
        <v>5952000</v>
      </c>
      <c r="AL57" s="21">
        <f t="shared" ca="1" si="122"/>
        <v>5952000</v>
      </c>
      <c r="AR57" s="12" t="s">
        <v>282</v>
      </c>
      <c r="AS57" s="224" t="s">
        <v>275</v>
      </c>
      <c r="AU57" s="21">
        <f t="shared" ref="AU57:BF57" ca="1" si="123">AU58*AU59</f>
        <v>5952000</v>
      </c>
      <c r="AV57" s="21">
        <f t="shared" ca="1" si="123"/>
        <v>5952000</v>
      </c>
      <c r="AW57" s="21">
        <f t="shared" ca="1" si="123"/>
        <v>5952000</v>
      </c>
      <c r="AX57" s="21">
        <f t="shared" ca="1" si="123"/>
        <v>5952000</v>
      </c>
      <c r="AY57" s="21">
        <f t="shared" ca="1" si="123"/>
        <v>5952000</v>
      </c>
      <c r="AZ57" s="21">
        <f t="shared" ca="1" si="123"/>
        <v>5952000</v>
      </c>
      <c r="BA57" s="21">
        <f t="shared" ca="1" si="123"/>
        <v>5952000</v>
      </c>
      <c r="BB57" s="21">
        <f t="shared" ca="1" si="123"/>
        <v>5952000</v>
      </c>
      <c r="BC57" s="21">
        <f t="shared" ca="1" si="123"/>
        <v>5952000</v>
      </c>
      <c r="BD57" s="21">
        <f t="shared" ca="1" si="123"/>
        <v>5952000</v>
      </c>
      <c r="BE57" s="21">
        <f t="shared" ca="1" si="123"/>
        <v>5952000</v>
      </c>
      <c r="BF57" s="21">
        <f t="shared" ca="1" si="123"/>
        <v>5952000</v>
      </c>
      <c r="BL57" s="12" t="s">
        <v>282</v>
      </c>
      <c r="BM57" s="224" t="s">
        <v>275</v>
      </c>
      <c r="BO57" s="21">
        <f t="shared" ref="BO57:BZ57" ca="1" si="124">BO58*BO59</f>
        <v>5952000</v>
      </c>
      <c r="BP57" s="21">
        <f t="shared" ca="1" si="124"/>
        <v>5952000</v>
      </c>
      <c r="BQ57" s="21">
        <f t="shared" ca="1" si="124"/>
        <v>5952000</v>
      </c>
      <c r="BR57" s="21">
        <f t="shared" ca="1" si="124"/>
        <v>5952000</v>
      </c>
      <c r="BS57" s="21">
        <f t="shared" ca="1" si="124"/>
        <v>5952000</v>
      </c>
      <c r="BT57" s="21">
        <f t="shared" ca="1" si="124"/>
        <v>5952000</v>
      </c>
      <c r="BU57" s="21">
        <f t="shared" ca="1" si="124"/>
        <v>5952000</v>
      </c>
      <c r="BV57" s="21">
        <f t="shared" ca="1" si="124"/>
        <v>5952000</v>
      </c>
      <c r="BW57" s="21">
        <f t="shared" ca="1" si="124"/>
        <v>5952000</v>
      </c>
      <c r="BX57" s="21">
        <f t="shared" ca="1" si="124"/>
        <v>5952000</v>
      </c>
      <c r="BY57" s="21">
        <f t="shared" ca="1" si="124"/>
        <v>5952000</v>
      </c>
      <c r="BZ57" s="21">
        <f t="shared" ca="1" si="124"/>
        <v>5952000</v>
      </c>
      <c r="CF57" s="12" t="s">
        <v>282</v>
      </c>
      <c r="CG57" s="224" t="s">
        <v>275</v>
      </c>
      <c r="CI57" s="21">
        <f t="shared" ref="CI57:CT57" ca="1" si="125">CI58*CI59</f>
        <v>5952000</v>
      </c>
      <c r="CJ57" s="21">
        <f t="shared" ca="1" si="125"/>
        <v>5952000</v>
      </c>
      <c r="CK57" s="21">
        <f t="shared" ca="1" si="125"/>
        <v>5952000</v>
      </c>
      <c r="CL57" s="21">
        <f t="shared" ca="1" si="125"/>
        <v>5952000</v>
      </c>
      <c r="CM57" s="21">
        <f t="shared" ca="1" si="125"/>
        <v>5952000</v>
      </c>
      <c r="CN57" s="21">
        <f t="shared" ca="1" si="125"/>
        <v>5952000</v>
      </c>
      <c r="CO57" s="21">
        <f t="shared" ca="1" si="125"/>
        <v>5952000</v>
      </c>
      <c r="CP57" s="21">
        <f t="shared" ca="1" si="125"/>
        <v>5952000</v>
      </c>
      <c r="CQ57" s="21">
        <f t="shared" ca="1" si="125"/>
        <v>5952000</v>
      </c>
      <c r="CR57" s="21">
        <f t="shared" ca="1" si="125"/>
        <v>5952000</v>
      </c>
      <c r="CS57" s="21">
        <f t="shared" ca="1" si="125"/>
        <v>5952000</v>
      </c>
      <c r="CT57" s="21">
        <f t="shared" ca="1" si="125"/>
        <v>5952000</v>
      </c>
    </row>
    <row r="58" spans="2:100" outlineLevel="1" x14ac:dyDescent="0.2">
      <c r="C58" s="3"/>
      <c r="D58" s="16" t="s">
        <v>283</v>
      </c>
      <c r="E58" s="224" t="s">
        <v>279</v>
      </c>
      <c r="G58" s="22">
        <f t="shared" ref="G58:R58" ca="1" si="126">IFERROR(INDEX(tbl_TCO_input,MATCH(
_xlfn.TEXTJOIN(keydelim,TRUE,G$18,$D58),rows_TCO_ID,0),MATCH(G$6,cols_TCO_input,0)),0)</f>
        <v>400000</v>
      </c>
      <c r="H58" s="22">
        <f t="shared" ca="1" si="126"/>
        <v>400000</v>
      </c>
      <c r="I58" s="22">
        <f t="shared" ca="1" si="126"/>
        <v>400000</v>
      </c>
      <c r="J58" s="22">
        <f t="shared" ca="1" si="126"/>
        <v>400000</v>
      </c>
      <c r="K58" s="22">
        <f t="shared" ca="1" si="126"/>
        <v>400000</v>
      </c>
      <c r="L58" s="22">
        <f t="shared" ca="1" si="126"/>
        <v>400000</v>
      </c>
      <c r="M58" s="22">
        <f t="shared" ca="1" si="126"/>
        <v>400000</v>
      </c>
      <c r="N58" s="22">
        <f t="shared" ca="1" si="126"/>
        <v>400000</v>
      </c>
      <c r="O58" s="22">
        <f t="shared" ca="1" si="126"/>
        <v>400000</v>
      </c>
      <c r="P58" s="22">
        <f t="shared" ca="1" si="126"/>
        <v>400000</v>
      </c>
      <c r="Q58" s="22">
        <f t="shared" ca="1" si="126"/>
        <v>400000</v>
      </c>
      <c r="R58" s="22">
        <f t="shared" ca="1" si="126"/>
        <v>400000</v>
      </c>
      <c r="X58" s="16" t="s">
        <v>283</v>
      </c>
      <c r="Y58" s="224" t="s">
        <v>279</v>
      </c>
      <c r="AA58" s="22">
        <f t="shared" ref="AA58:AL58" ca="1" si="127">IFERROR(INDEX(tbl_TCO_input,MATCH(
_xlfn.TEXTJOIN(keydelim,TRUE,AA$18,$D58),rows_TCO_ID,0),MATCH(AA$6,cols_TCO_input,0)),0)</f>
        <v>480000</v>
      </c>
      <c r="AB58" s="22">
        <f t="shared" ca="1" si="127"/>
        <v>480000</v>
      </c>
      <c r="AC58" s="22">
        <f t="shared" ca="1" si="127"/>
        <v>480000</v>
      </c>
      <c r="AD58" s="22">
        <f t="shared" ca="1" si="127"/>
        <v>480000</v>
      </c>
      <c r="AE58" s="22">
        <f t="shared" ca="1" si="127"/>
        <v>480000</v>
      </c>
      <c r="AF58" s="22">
        <f t="shared" ca="1" si="127"/>
        <v>480000</v>
      </c>
      <c r="AG58" s="22">
        <f t="shared" ca="1" si="127"/>
        <v>480000</v>
      </c>
      <c r="AH58" s="22">
        <f t="shared" ca="1" si="127"/>
        <v>480000</v>
      </c>
      <c r="AI58" s="22">
        <f t="shared" ca="1" si="127"/>
        <v>480000</v>
      </c>
      <c r="AJ58" s="22">
        <f t="shared" ca="1" si="127"/>
        <v>480000</v>
      </c>
      <c r="AK58" s="22">
        <f t="shared" ca="1" si="127"/>
        <v>480000</v>
      </c>
      <c r="AL58" s="22">
        <f t="shared" ca="1" si="127"/>
        <v>480000</v>
      </c>
      <c r="AR58" s="16" t="s">
        <v>283</v>
      </c>
      <c r="AS58" s="224" t="s">
        <v>279</v>
      </c>
      <c r="AU58" s="22">
        <f t="shared" ref="AU58:BF58" ca="1" si="128">IFERROR(INDEX(tbl_TCO_input,MATCH(
_xlfn.TEXTJOIN(keydelim,TRUE,AU$18,$D58),rows_TCO_ID,0),MATCH(AU$6,cols_TCO_input,0)),0)</f>
        <v>480000</v>
      </c>
      <c r="AV58" s="22">
        <f t="shared" ca="1" si="128"/>
        <v>480000</v>
      </c>
      <c r="AW58" s="22">
        <f t="shared" ca="1" si="128"/>
        <v>480000</v>
      </c>
      <c r="AX58" s="22">
        <f t="shared" ca="1" si="128"/>
        <v>480000</v>
      </c>
      <c r="AY58" s="22">
        <f t="shared" ca="1" si="128"/>
        <v>480000</v>
      </c>
      <c r="AZ58" s="22">
        <f t="shared" ca="1" si="128"/>
        <v>480000</v>
      </c>
      <c r="BA58" s="22">
        <f t="shared" ca="1" si="128"/>
        <v>480000</v>
      </c>
      <c r="BB58" s="22">
        <f t="shared" ca="1" si="128"/>
        <v>480000</v>
      </c>
      <c r="BC58" s="22">
        <f t="shared" ca="1" si="128"/>
        <v>480000</v>
      </c>
      <c r="BD58" s="22">
        <f t="shared" ca="1" si="128"/>
        <v>480000</v>
      </c>
      <c r="BE58" s="22">
        <f t="shared" ca="1" si="128"/>
        <v>480000</v>
      </c>
      <c r="BF58" s="22">
        <f t="shared" ca="1" si="128"/>
        <v>480000</v>
      </c>
      <c r="BL58" s="16" t="s">
        <v>283</v>
      </c>
      <c r="BM58" s="224" t="s">
        <v>279</v>
      </c>
      <c r="BO58" s="22">
        <f t="shared" ref="BO58:BZ58" ca="1" si="129">IFERROR(INDEX(tbl_TCO_input,MATCH(
_xlfn.TEXTJOIN(keydelim,TRUE,BO$18,$D58),rows_TCO_ID,0),MATCH(BO$6,cols_TCO_input,0)),0)</f>
        <v>480000</v>
      </c>
      <c r="BP58" s="22">
        <f t="shared" ca="1" si="129"/>
        <v>480000</v>
      </c>
      <c r="BQ58" s="22">
        <f t="shared" ca="1" si="129"/>
        <v>480000</v>
      </c>
      <c r="BR58" s="22">
        <f t="shared" ca="1" si="129"/>
        <v>480000</v>
      </c>
      <c r="BS58" s="22">
        <f t="shared" ca="1" si="129"/>
        <v>480000</v>
      </c>
      <c r="BT58" s="22">
        <f t="shared" ca="1" si="129"/>
        <v>480000</v>
      </c>
      <c r="BU58" s="22">
        <f t="shared" ca="1" si="129"/>
        <v>480000</v>
      </c>
      <c r="BV58" s="22">
        <f t="shared" ca="1" si="129"/>
        <v>480000</v>
      </c>
      <c r="BW58" s="22">
        <f t="shared" ca="1" si="129"/>
        <v>480000</v>
      </c>
      <c r="BX58" s="22">
        <f t="shared" ca="1" si="129"/>
        <v>480000</v>
      </c>
      <c r="BY58" s="22">
        <f t="shared" ca="1" si="129"/>
        <v>480000</v>
      </c>
      <c r="BZ58" s="22">
        <f t="shared" ca="1" si="129"/>
        <v>480000</v>
      </c>
      <c r="CF58" s="16" t="s">
        <v>283</v>
      </c>
      <c r="CG58" s="224" t="s">
        <v>279</v>
      </c>
      <c r="CI58" s="22">
        <f t="shared" ref="CI58:CT58" ca="1" si="130">IFERROR(INDEX(tbl_TCO_input,MATCH(
_xlfn.TEXTJOIN(keydelim,TRUE,CI$18,$D58),rows_TCO_ID,0),MATCH(CI$6,cols_TCO_input,0)),0)</f>
        <v>480000</v>
      </c>
      <c r="CJ58" s="22">
        <f t="shared" ca="1" si="130"/>
        <v>480000</v>
      </c>
      <c r="CK58" s="22">
        <f t="shared" ca="1" si="130"/>
        <v>480000</v>
      </c>
      <c r="CL58" s="22">
        <f t="shared" ca="1" si="130"/>
        <v>480000</v>
      </c>
      <c r="CM58" s="22">
        <f t="shared" ca="1" si="130"/>
        <v>480000</v>
      </c>
      <c r="CN58" s="22">
        <f t="shared" ca="1" si="130"/>
        <v>480000</v>
      </c>
      <c r="CO58" s="22">
        <f t="shared" ca="1" si="130"/>
        <v>480000</v>
      </c>
      <c r="CP58" s="22">
        <f t="shared" ca="1" si="130"/>
        <v>480000</v>
      </c>
      <c r="CQ58" s="22">
        <f t="shared" ca="1" si="130"/>
        <v>480000</v>
      </c>
      <c r="CR58" s="22">
        <f t="shared" ca="1" si="130"/>
        <v>480000</v>
      </c>
      <c r="CS58" s="22">
        <f t="shared" ca="1" si="130"/>
        <v>480000</v>
      </c>
      <c r="CT58" s="22">
        <f t="shared" ca="1" si="130"/>
        <v>480000</v>
      </c>
    </row>
    <row r="59" spans="2:100" outlineLevel="1" x14ac:dyDescent="0.2">
      <c r="B59" s="266"/>
      <c r="C59" s="3"/>
      <c r="D59" s="16" t="s">
        <v>284</v>
      </c>
      <c r="E59" s="224" t="s">
        <v>277</v>
      </c>
      <c r="G59" s="98">
        <f>INDEX('Vessel Profiles - Input'!$C11:$L105,MATCH(
_xlfn.TEXTJOIN(keydelim,TRUE,$D59,G$10),'Vessel Profiles - Input'!$C11:$C105,0),MATCH(G$9,'Vessel Profiles - Input'!$C$3:$L$3,0))</f>
        <v>12.4</v>
      </c>
      <c r="H59" s="98">
        <f>INDEX('Vessel Profiles - Input'!$C11:$L105,MATCH(
_xlfn.TEXTJOIN(keydelim,TRUE,$D59,H$10),'Vessel Profiles - Input'!$C11:$C105,0),MATCH(H$9,'Vessel Profiles - Input'!$C$3:$L$3,0))</f>
        <v>12.4</v>
      </c>
      <c r="I59" s="98">
        <f>INDEX('Vessel Profiles - Input'!$C11:$L105,MATCH(
_xlfn.TEXTJOIN(keydelim,TRUE,$D59,I$10),'Vessel Profiles - Input'!$C11:$C105,0),MATCH(I$9,'Vessel Profiles - Input'!$C$3:$L$3,0))</f>
        <v>12.4</v>
      </c>
      <c r="J59" s="98">
        <f>INDEX('Vessel Profiles - Input'!$C11:$L105,MATCH(
_xlfn.TEXTJOIN(keydelim,TRUE,$D59,J$10),'Vessel Profiles - Input'!$C11:$C105,0),MATCH(J$9,'Vessel Profiles - Input'!$C$3:$L$3,0))</f>
        <v>12.4</v>
      </c>
      <c r="K59" s="98">
        <f>INDEX('Vessel Profiles - Input'!$C11:$L105,MATCH(
_xlfn.TEXTJOIN(keydelim,TRUE,$D59,K$10),'Vessel Profiles - Input'!$C11:$C105,0),MATCH(K$9,'Vessel Profiles - Input'!$C$3:$L$3,0))</f>
        <v>12.4</v>
      </c>
      <c r="L59" s="98">
        <f>INDEX('Vessel Profiles - Input'!$C11:$L105,MATCH(
_xlfn.TEXTJOIN(keydelim,TRUE,$D59,L$10),'Vessel Profiles - Input'!$C11:$C105,0),MATCH(L$9,'Vessel Profiles - Input'!$C$3:$L$3,0))</f>
        <v>12.4</v>
      </c>
      <c r="M59" s="98">
        <f>INDEX('Vessel Profiles - Input'!$C11:$L105,MATCH(
_xlfn.TEXTJOIN(keydelim,TRUE,$D59,M$10),'Vessel Profiles - Input'!$C11:$C105,0),MATCH(M$9,'Vessel Profiles - Input'!$C$3:$L$3,0))</f>
        <v>12.4</v>
      </c>
      <c r="N59" s="98">
        <f>INDEX('Vessel Profiles - Input'!$C11:$L105,MATCH(
_xlfn.TEXTJOIN(keydelim,TRUE,$D59,N$10),'Vessel Profiles - Input'!$C11:$C105,0),MATCH(N$9,'Vessel Profiles - Input'!$C$3:$L$3,0))</f>
        <v>12.4</v>
      </c>
      <c r="O59" s="98">
        <f>INDEX('Vessel Profiles - Input'!$C11:$L105,MATCH(
_xlfn.TEXTJOIN(keydelim,TRUE,$D59,O$10),'Vessel Profiles - Input'!$C11:$C105,0),MATCH(O$9,'Vessel Profiles - Input'!$C$3:$L$3,0))</f>
        <v>12.4</v>
      </c>
      <c r="P59" s="98">
        <f>INDEX('Vessel Profiles - Input'!$C11:$L105,MATCH(
_xlfn.TEXTJOIN(keydelim,TRUE,$D59,P$10),'Vessel Profiles - Input'!$C11:$C105,0),MATCH(P$9,'Vessel Profiles - Input'!$C$3:$L$3,0))</f>
        <v>12.4</v>
      </c>
      <c r="Q59" s="98">
        <f>INDEX('Vessel Profiles - Input'!$C11:$L105,MATCH(
_xlfn.TEXTJOIN(keydelim,TRUE,$D59,Q$10),'Vessel Profiles - Input'!$C11:$C105,0),MATCH(Q$9,'Vessel Profiles - Input'!$C$3:$L$3,0))</f>
        <v>12.4</v>
      </c>
      <c r="R59" s="98">
        <f>INDEX('Vessel Profiles - Input'!$C11:$L105,MATCH(
_xlfn.TEXTJOIN(keydelim,TRUE,$D59,R$10),'Vessel Profiles - Input'!$C11:$C105,0),MATCH(R$9,'Vessel Profiles - Input'!$C$3:$L$3,0))</f>
        <v>12.4</v>
      </c>
      <c r="X59" s="16" t="s">
        <v>284</v>
      </c>
      <c r="Y59" s="224" t="s">
        <v>277</v>
      </c>
      <c r="AA59" s="98">
        <f>INDEX('Vessel Profiles - Input'!$C11:$L105,MATCH(
_xlfn.TEXTJOIN(keydelim,TRUE,$D59,AA$10),'Vessel Profiles - Input'!$C11:$C105,0),MATCH(AA$9,'Vessel Profiles - Input'!$C$3:$L$3,0))</f>
        <v>12.4</v>
      </c>
      <c r="AB59" s="98">
        <f>INDEX('Vessel Profiles - Input'!$C11:$L105,MATCH(
_xlfn.TEXTJOIN(keydelim,TRUE,$D59,AB$10),'Vessel Profiles - Input'!$C11:$C105,0),MATCH(AB$9,'Vessel Profiles - Input'!$C$3:$L$3,0))</f>
        <v>12.4</v>
      </c>
      <c r="AC59" s="98">
        <f>INDEX('Vessel Profiles - Input'!$C11:$L105,MATCH(
_xlfn.TEXTJOIN(keydelim,TRUE,$D59,AC$10),'Vessel Profiles - Input'!$C11:$C105,0),MATCH(AC$9,'Vessel Profiles - Input'!$C$3:$L$3,0))</f>
        <v>12.4</v>
      </c>
      <c r="AD59" s="98">
        <f>INDEX('Vessel Profiles - Input'!$C11:$L105,MATCH(
_xlfn.TEXTJOIN(keydelim,TRUE,$D59,AD$10),'Vessel Profiles - Input'!$C11:$C105,0),MATCH(AD$9,'Vessel Profiles - Input'!$C$3:$L$3,0))</f>
        <v>12.4</v>
      </c>
      <c r="AE59" s="98">
        <f>INDEX('Vessel Profiles - Input'!$C11:$L105,MATCH(
_xlfn.TEXTJOIN(keydelim,TRUE,$D59,AE$10),'Vessel Profiles - Input'!$C11:$C105,0),MATCH(AE$9,'Vessel Profiles - Input'!$C$3:$L$3,0))</f>
        <v>12.4</v>
      </c>
      <c r="AF59" s="98">
        <f>INDEX('Vessel Profiles - Input'!$C11:$L105,MATCH(
_xlfn.TEXTJOIN(keydelim,TRUE,$D59,AF$10),'Vessel Profiles - Input'!$C11:$C105,0),MATCH(AF$9,'Vessel Profiles - Input'!$C$3:$L$3,0))</f>
        <v>12.4</v>
      </c>
      <c r="AG59" s="98">
        <f>INDEX('Vessel Profiles - Input'!$C11:$L105,MATCH(
_xlfn.TEXTJOIN(keydelim,TRUE,$D59,AG$10),'Vessel Profiles - Input'!$C11:$C105,0),MATCH(AG$9,'Vessel Profiles - Input'!$C$3:$L$3,0))</f>
        <v>12.4</v>
      </c>
      <c r="AH59" s="98">
        <f>INDEX('Vessel Profiles - Input'!$C11:$L105,MATCH(
_xlfn.TEXTJOIN(keydelim,TRUE,$D59,AH$10),'Vessel Profiles - Input'!$C11:$C105,0),MATCH(AH$9,'Vessel Profiles - Input'!$C$3:$L$3,0))</f>
        <v>12.4</v>
      </c>
      <c r="AI59" s="98">
        <f>INDEX('Vessel Profiles - Input'!$C11:$L105,MATCH(
_xlfn.TEXTJOIN(keydelim,TRUE,$D59,AI$10),'Vessel Profiles - Input'!$C11:$C105,0),MATCH(AI$9,'Vessel Profiles - Input'!$C$3:$L$3,0))</f>
        <v>12.4</v>
      </c>
      <c r="AJ59" s="98">
        <f>INDEX('Vessel Profiles - Input'!$C11:$L105,MATCH(
_xlfn.TEXTJOIN(keydelim,TRUE,$D59,AJ$10),'Vessel Profiles - Input'!$C11:$C105,0),MATCH(AJ$9,'Vessel Profiles - Input'!$C$3:$L$3,0))</f>
        <v>12.4</v>
      </c>
      <c r="AK59" s="98">
        <f>INDEX('Vessel Profiles - Input'!$C11:$L105,MATCH(
_xlfn.TEXTJOIN(keydelim,TRUE,$D59,AK$10),'Vessel Profiles - Input'!$C11:$C105,0),MATCH(AK$9,'Vessel Profiles - Input'!$C$3:$L$3,0))</f>
        <v>12.4</v>
      </c>
      <c r="AL59" s="98">
        <f>INDEX('Vessel Profiles - Input'!$C11:$L105,MATCH(
_xlfn.TEXTJOIN(keydelim,TRUE,$D59,AL$10),'Vessel Profiles - Input'!$C11:$C105,0),MATCH(AL$9,'Vessel Profiles - Input'!$C$3:$L$3,0))</f>
        <v>12.4</v>
      </c>
      <c r="AR59" s="16" t="s">
        <v>284</v>
      </c>
      <c r="AS59" s="224" t="s">
        <v>277</v>
      </c>
      <c r="AU59" s="98">
        <f>INDEX('Vessel Profiles - Input'!$C11:$L105,MATCH(
_xlfn.TEXTJOIN(keydelim,TRUE,$D59,AU$10),'Vessel Profiles - Input'!$C11:$C105,0),MATCH(AU$9,'Vessel Profiles - Input'!$C$3:$L$3,0))</f>
        <v>12.4</v>
      </c>
      <c r="AV59" s="98">
        <f>INDEX('Vessel Profiles - Input'!$C11:$L105,MATCH(
_xlfn.TEXTJOIN(keydelim,TRUE,$D59,AV$10),'Vessel Profiles - Input'!$C11:$C105,0),MATCH(AV$9,'Vessel Profiles - Input'!$C$3:$L$3,0))</f>
        <v>12.4</v>
      </c>
      <c r="AW59" s="98">
        <f>INDEX('Vessel Profiles - Input'!$C11:$L105,MATCH(
_xlfn.TEXTJOIN(keydelim,TRUE,$D59,AW$10),'Vessel Profiles - Input'!$C11:$C105,0),MATCH(AW$9,'Vessel Profiles - Input'!$C$3:$L$3,0))</f>
        <v>12.4</v>
      </c>
      <c r="AX59" s="98">
        <f>INDEX('Vessel Profiles - Input'!$C11:$L105,MATCH(
_xlfn.TEXTJOIN(keydelim,TRUE,$D59,AX$10),'Vessel Profiles - Input'!$C11:$C105,0),MATCH(AX$9,'Vessel Profiles - Input'!$C$3:$L$3,0))</f>
        <v>12.4</v>
      </c>
      <c r="AY59" s="98">
        <f>INDEX('Vessel Profiles - Input'!$C11:$L105,MATCH(
_xlfn.TEXTJOIN(keydelim,TRUE,$D59,AY$10),'Vessel Profiles - Input'!$C11:$C105,0),MATCH(AY$9,'Vessel Profiles - Input'!$C$3:$L$3,0))</f>
        <v>12.4</v>
      </c>
      <c r="AZ59" s="98">
        <f>INDEX('Vessel Profiles - Input'!$C11:$L105,MATCH(
_xlfn.TEXTJOIN(keydelim,TRUE,$D59,AZ$10),'Vessel Profiles - Input'!$C11:$C105,0),MATCH(AZ$9,'Vessel Profiles - Input'!$C$3:$L$3,0))</f>
        <v>12.4</v>
      </c>
      <c r="BA59" s="98">
        <f>INDEX('Vessel Profiles - Input'!$C11:$L105,MATCH(
_xlfn.TEXTJOIN(keydelim,TRUE,$D59,BA$10),'Vessel Profiles - Input'!$C11:$C105,0),MATCH(BA$9,'Vessel Profiles - Input'!$C$3:$L$3,0))</f>
        <v>12.4</v>
      </c>
      <c r="BB59" s="98">
        <f>INDEX('Vessel Profiles - Input'!$C11:$L105,MATCH(
_xlfn.TEXTJOIN(keydelim,TRUE,$D59,BB$10),'Vessel Profiles - Input'!$C11:$C105,0),MATCH(BB$9,'Vessel Profiles - Input'!$C$3:$L$3,0))</f>
        <v>12.4</v>
      </c>
      <c r="BC59" s="98">
        <f>INDEX('Vessel Profiles - Input'!$C11:$L105,MATCH(
_xlfn.TEXTJOIN(keydelim,TRUE,$D59,BC$10),'Vessel Profiles - Input'!$C11:$C105,0),MATCH(BC$9,'Vessel Profiles - Input'!$C$3:$L$3,0))</f>
        <v>12.4</v>
      </c>
      <c r="BD59" s="98">
        <f>INDEX('Vessel Profiles - Input'!$C11:$L105,MATCH(
_xlfn.TEXTJOIN(keydelim,TRUE,$D59,BD$10),'Vessel Profiles - Input'!$C11:$C105,0),MATCH(BD$9,'Vessel Profiles - Input'!$C$3:$L$3,0))</f>
        <v>12.4</v>
      </c>
      <c r="BE59" s="98">
        <f>INDEX('Vessel Profiles - Input'!$C11:$L105,MATCH(
_xlfn.TEXTJOIN(keydelim,TRUE,$D59,BE$10),'Vessel Profiles - Input'!$C11:$C105,0),MATCH(BE$9,'Vessel Profiles - Input'!$C$3:$L$3,0))</f>
        <v>12.4</v>
      </c>
      <c r="BF59" s="98">
        <f>INDEX('Vessel Profiles - Input'!$C11:$L105,MATCH(
_xlfn.TEXTJOIN(keydelim,TRUE,$D59,BF$10),'Vessel Profiles - Input'!$C11:$C105,0),MATCH(BF$9,'Vessel Profiles - Input'!$C$3:$L$3,0))</f>
        <v>12.4</v>
      </c>
      <c r="BL59" s="16" t="s">
        <v>284</v>
      </c>
      <c r="BM59" s="224" t="s">
        <v>277</v>
      </c>
      <c r="BO59" s="98">
        <f>INDEX('Vessel Profiles - Input'!$C11:$L105,MATCH(
_xlfn.TEXTJOIN(keydelim,TRUE,$D59,BO$10),'Vessel Profiles - Input'!$C11:$C105,0),MATCH(BO$9,'Vessel Profiles - Input'!$C$3:$L$3,0))</f>
        <v>12.4</v>
      </c>
      <c r="BP59" s="98">
        <f>INDEX('Vessel Profiles - Input'!$C11:$L105,MATCH(
_xlfn.TEXTJOIN(keydelim,TRUE,$D59,BP$10),'Vessel Profiles - Input'!$C11:$C105,0),MATCH(BP$9,'Vessel Profiles - Input'!$C$3:$L$3,0))</f>
        <v>12.4</v>
      </c>
      <c r="BQ59" s="98">
        <f>INDEX('Vessel Profiles - Input'!$C11:$L105,MATCH(
_xlfn.TEXTJOIN(keydelim,TRUE,$D59,BQ$10),'Vessel Profiles - Input'!$C11:$C105,0),MATCH(BQ$9,'Vessel Profiles - Input'!$C$3:$L$3,0))</f>
        <v>12.4</v>
      </c>
      <c r="BR59" s="98">
        <f>INDEX('Vessel Profiles - Input'!$C11:$L105,MATCH(
_xlfn.TEXTJOIN(keydelim,TRUE,$D59,BR$10),'Vessel Profiles - Input'!$C11:$C105,0),MATCH(BR$9,'Vessel Profiles - Input'!$C$3:$L$3,0))</f>
        <v>12.4</v>
      </c>
      <c r="BS59" s="98">
        <f>INDEX('Vessel Profiles - Input'!$C11:$L105,MATCH(
_xlfn.TEXTJOIN(keydelim,TRUE,$D59,BS$10),'Vessel Profiles - Input'!$C11:$C105,0),MATCH(BS$9,'Vessel Profiles - Input'!$C$3:$L$3,0))</f>
        <v>12.4</v>
      </c>
      <c r="BT59" s="98">
        <f>INDEX('Vessel Profiles - Input'!$C11:$L105,MATCH(
_xlfn.TEXTJOIN(keydelim,TRUE,$D59,BT$10),'Vessel Profiles - Input'!$C11:$C105,0),MATCH(BT$9,'Vessel Profiles - Input'!$C$3:$L$3,0))</f>
        <v>12.4</v>
      </c>
      <c r="BU59" s="98">
        <f>INDEX('Vessel Profiles - Input'!$C11:$L105,MATCH(
_xlfn.TEXTJOIN(keydelim,TRUE,$D59,BU$10),'Vessel Profiles - Input'!$C11:$C105,0),MATCH(BU$9,'Vessel Profiles - Input'!$C$3:$L$3,0))</f>
        <v>12.4</v>
      </c>
      <c r="BV59" s="98">
        <f>INDEX('Vessel Profiles - Input'!$C11:$L105,MATCH(
_xlfn.TEXTJOIN(keydelim,TRUE,$D59,BV$10),'Vessel Profiles - Input'!$C11:$C105,0),MATCH(BV$9,'Vessel Profiles - Input'!$C$3:$L$3,0))</f>
        <v>12.4</v>
      </c>
      <c r="BW59" s="98">
        <f>INDEX('Vessel Profiles - Input'!$C11:$L105,MATCH(
_xlfn.TEXTJOIN(keydelim,TRUE,$D59,BW$10),'Vessel Profiles - Input'!$C11:$C105,0),MATCH(BW$9,'Vessel Profiles - Input'!$C$3:$L$3,0))</f>
        <v>12.4</v>
      </c>
      <c r="BX59" s="98">
        <f>INDEX('Vessel Profiles - Input'!$C11:$L105,MATCH(
_xlfn.TEXTJOIN(keydelim,TRUE,$D59,BX$10),'Vessel Profiles - Input'!$C11:$C105,0),MATCH(BX$9,'Vessel Profiles - Input'!$C$3:$L$3,0))</f>
        <v>12.4</v>
      </c>
      <c r="BY59" s="98">
        <f>INDEX('Vessel Profiles - Input'!$C11:$L105,MATCH(
_xlfn.TEXTJOIN(keydelim,TRUE,$D59,BY$10),'Vessel Profiles - Input'!$C11:$C105,0),MATCH(BY$9,'Vessel Profiles - Input'!$C$3:$L$3,0))</f>
        <v>12.4</v>
      </c>
      <c r="BZ59" s="98">
        <f>INDEX('Vessel Profiles - Input'!$C11:$L105,MATCH(
_xlfn.TEXTJOIN(keydelim,TRUE,$D59,BZ$10),'Vessel Profiles - Input'!$C11:$C105,0),MATCH(BZ$9,'Vessel Profiles - Input'!$C$3:$L$3,0))</f>
        <v>12.4</v>
      </c>
      <c r="CF59" s="16" t="s">
        <v>284</v>
      </c>
      <c r="CG59" s="224" t="s">
        <v>277</v>
      </c>
      <c r="CI59" s="98">
        <f>INDEX('Vessel Profiles - Input'!$C11:$L105,MATCH(
_xlfn.TEXTJOIN(keydelim,TRUE,$D59,CI$10),'Vessel Profiles - Input'!$C11:$C105,0),MATCH(CI$9,'Vessel Profiles - Input'!$C$3:$L$3,0))</f>
        <v>12.4</v>
      </c>
      <c r="CJ59" s="98">
        <f>INDEX('Vessel Profiles - Input'!$C11:$L105,MATCH(
_xlfn.TEXTJOIN(keydelim,TRUE,$D59,CJ$10),'Vessel Profiles - Input'!$C11:$C105,0),MATCH(CJ$9,'Vessel Profiles - Input'!$C$3:$L$3,0))</f>
        <v>12.4</v>
      </c>
      <c r="CK59" s="98">
        <f>INDEX('Vessel Profiles - Input'!$C11:$L105,MATCH(
_xlfn.TEXTJOIN(keydelim,TRUE,$D59,CK$10),'Vessel Profiles - Input'!$C11:$C105,0),MATCH(CK$9,'Vessel Profiles - Input'!$C$3:$L$3,0))</f>
        <v>12.4</v>
      </c>
      <c r="CL59" s="98">
        <f>INDEX('Vessel Profiles - Input'!$C11:$L105,MATCH(
_xlfn.TEXTJOIN(keydelim,TRUE,$D59,CL$10),'Vessel Profiles - Input'!$C11:$C105,0),MATCH(CL$9,'Vessel Profiles - Input'!$C$3:$L$3,0))</f>
        <v>12.4</v>
      </c>
      <c r="CM59" s="98">
        <f>INDEX('Vessel Profiles - Input'!$C11:$L105,MATCH(
_xlfn.TEXTJOIN(keydelim,TRUE,$D59,CM$10),'Vessel Profiles - Input'!$C11:$C105,0),MATCH(CM$9,'Vessel Profiles - Input'!$C$3:$L$3,0))</f>
        <v>12.4</v>
      </c>
      <c r="CN59" s="98">
        <f>INDEX('Vessel Profiles - Input'!$C11:$L105,MATCH(
_xlfn.TEXTJOIN(keydelim,TRUE,$D59,CN$10),'Vessel Profiles - Input'!$C11:$C105,0),MATCH(CN$9,'Vessel Profiles - Input'!$C$3:$L$3,0))</f>
        <v>12.4</v>
      </c>
      <c r="CO59" s="98">
        <f>INDEX('Vessel Profiles - Input'!$C11:$L105,MATCH(
_xlfn.TEXTJOIN(keydelim,TRUE,$D59,CO$10),'Vessel Profiles - Input'!$C11:$C105,0),MATCH(CO$9,'Vessel Profiles - Input'!$C$3:$L$3,0))</f>
        <v>12.4</v>
      </c>
      <c r="CP59" s="98">
        <f>INDEX('Vessel Profiles - Input'!$C11:$L105,MATCH(
_xlfn.TEXTJOIN(keydelim,TRUE,$D59,CP$10),'Vessel Profiles - Input'!$C11:$C105,0),MATCH(CP$9,'Vessel Profiles - Input'!$C$3:$L$3,0))</f>
        <v>12.4</v>
      </c>
      <c r="CQ59" s="98">
        <f>INDEX('Vessel Profiles - Input'!$C11:$L105,MATCH(
_xlfn.TEXTJOIN(keydelim,TRUE,$D59,CQ$10),'Vessel Profiles - Input'!$C11:$C105,0),MATCH(CQ$9,'Vessel Profiles - Input'!$C$3:$L$3,0))</f>
        <v>12.4</v>
      </c>
      <c r="CR59" s="98">
        <f>INDEX('Vessel Profiles - Input'!$C11:$L105,MATCH(
_xlfn.TEXTJOIN(keydelim,TRUE,$D59,CR$10),'Vessel Profiles - Input'!$C11:$C105,0),MATCH(CR$9,'Vessel Profiles - Input'!$C$3:$L$3,0))</f>
        <v>12.4</v>
      </c>
      <c r="CS59" s="98">
        <f>INDEX('Vessel Profiles - Input'!$C11:$L105,MATCH(
_xlfn.TEXTJOIN(keydelim,TRUE,$D59,CS$10),'Vessel Profiles - Input'!$C11:$C105,0),MATCH(CS$9,'Vessel Profiles - Input'!$C$3:$L$3,0))</f>
        <v>12.4</v>
      </c>
      <c r="CT59" s="98">
        <f>INDEX('Vessel Profiles - Input'!$C11:$L105,MATCH(
_xlfn.TEXTJOIN(keydelim,TRUE,$D59,CT$10),'Vessel Profiles - Input'!$C11:$C105,0),MATCH(CT$9,'Vessel Profiles - Input'!$C$3:$L$3,0))</f>
        <v>12.4</v>
      </c>
    </row>
    <row r="60" spans="2:100" s="266" customFormat="1" outlineLevel="1" x14ac:dyDescent="0.2">
      <c r="C60" s="285"/>
      <c r="D60" s="285" t="s">
        <v>285</v>
      </c>
      <c r="E60" s="282" t="s">
        <v>211</v>
      </c>
      <c r="F60" s="282"/>
      <c r="G60" s="289">
        <f t="shared" ref="G60:R60" ca="1" si="131">(G64+G75+G86+G61)/$F$4</f>
        <v>45000</v>
      </c>
      <c r="H60" s="289">
        <f t="shared" ca="1" si="131"/>
        <v>45000</v>
      </c>
      <c r="I60" s="289">
        <f t="shared" ca="1" si="131"/>
        <v>45000</v>
      </c>
      <c r="J60" s="289">
        <f t="shared" ca="1" si="131"/>
        <v>45000</v>
      </c>
      <c r="K60" s="289">
        <f t="shared" ca="1" si="131"/>
        <v>45000</v>
      </c>
      <c r="L60" s="289">
        <f t="shared" ca="1" si="131"/>
        <v>45000</v>
      </c>
      <c r="M60" s="289">
        <f t="shared" ca="1" si="131"/>
        <v>45000</v>
      </c>
      <c r="N60" s="289">
        <f t="shared" ca="1" si="131"/>
        <v>45000</v>
      </c>
      <c r="O60" s="289">
        <f t="shared" ca="1" si="131"/>
        <v>45000</v>
      </c>
      <c r="P60" s="289">
        <f t="shared" ca="1" si="131"/>
        <v>45000</v>
      </c>
      <c r="Q60" s="289">
        <f t="shared" ca="1" si="131"/>
        <v>45000</v>
      </c>
      <c r="R60" s="289">
        <f t="shared" ca="1" si="131"/>
        <v>45000</v>
      </c>
      <c r="X60" s="285" t="s">
        <v>285</v>
      </c>
      <c r="Y60" s="282" t="s">
        <v>211</v>
      </c>
      <c r="Z60" s="282"/>
      <c r="AA60" s="287">
        <f t="shared" ref="AA60:AL60" ca="1" si="132">(AA64+AA75+AA86+AA61)/$F$4</f>
        <v>356850</v>
      </c>
      <c r="AB60" s="287">
        <f t="shared" ca="1" si="132"/>
        <v>356850</v>
      </c>
      <c r="AC60" s="287">
        <f t="shared" ca="1" si="132"/>
        <v>356850</v>
      </c>
      <c r="AD60" s="287">
        <f t="shared" ca="1" si="132"/>
        <v>356850</v>
      </c>
      <c r="AE60" s="287">
        <f t="shared" ca="1" si="132"/>
        <v>356850</v>
      </c>
      <c r="AF60" s="287">
        <f t="shared" ca="1" si="132"/>
        <v>356850</v>
      </c>
      <c r="AG60" s="287">
        <f t="shared" ca="1" si="132"/>
        <v>356850</v>
      </c>
      <c r="AH60" s="287">
        <f t="shared" ca="1" si="132"/>
        <v>356850</v>
      </c>
      <c r="AI60" s="287">
        <f t="shared" ca="1" si="132"/>
        <v>356850</v>
      </c>
      <c r="AJ60" s="287">
        <f t="shared" ca="1" si="132"/>
        <v>356850</v>
      </c>
      <c r="AK60" s="287">
        <f t="shared" ca="1" si="132"/>
        <v>356850</v>
      </c>
      <c r="AL60" s="287">
        <f t="shared" ca="1" si="132"/>
        <v>356850</v>
      </c>
      <c r="AR60" s="285" t="s">
        <v>285</v>
      </c>
      <c r="AS60" s="282" t="s">
        <v>211</v>
      </c>
      <c r="AT60" s="282"/>
      <c r="AU60" s="287">
        <f t="shared" ref="AU60:BF60" ca="1" si="133">(AU64+AU75+AU86+AU61)/$F$4</f>
        <v>173250</v>
      </c>
      <c r="AV60" s="287">
        <f t="shared" ca="1" si="133"/>
        <v>173250</v>
      </c>
      <c r="AW60" s="287">
        <f t="shared" ca="1" si="133"/>
        <v>173250</v>
      </c>
      <c r="AX60" s="287">
        <f t="shared" ca="1" si="133"/>
        <v>173250</v>
      </c>
      <c r="AY60" s="287">
        <f t="shared" ca="1" si="133"/>
        <v>173250</v>
      </c>
      <c r="AZ60" s="287">
        <f t="shared" ca="1" si="133"/>
        <v>173250</v>
      </c>
      <c r="BA60" s="287">
        <f t="shared" ca="1" si="133"/>
        <v>173250</v>
      </c>
      <c r="BB60" s="287">
        <f t="shared" ca="1" si="133"/>
        <v>173250</v>
      </c>
      <c r="BC60" s="287">
        <f t="shared" ca="1" si="133"/>
        <v>173250</v>
      </c>
      <c r="BD60" s="287">
        <f t="shared" ca="1" si="133"/>
        <v>173250</v>
      </c>
      <c r="BE60" s="287">
        <f t="shared" ca="1" si="133"/>
        <v>173250</v>
      </c>
      <c r="BF60" s="287">
        <f t="shared" ca="1" si="133"/>
        <v>173250</v>
      </c>
      <c r="BG60"/>
      <c r="BH60"/>
      <c r="BL60" s="285" t="s">
        <v>285</v>
      </c>
      <c r="BM60" s="282" t="s">
        <v>211</v>
      </c>
      <c r="BN60" s="282"/>
      <c r="BO60" s="289">
        <f t="shared" ref="BO60:BZ60" ca="1" si="134">(BO64+BO75+BO86+BO61)/$F$4</f>
        <v>173250</v>
      </c>
      <c r="BP60" s="289">
        <f t="shared" ca="1" si="134"/>
        <v>173250</v>
      </c>
      <c r="BQ60" s="289">
        <f t="shared" ca="1" si="134"/>
        <v>173250</v>
      </c>
      <c r="BR60" s="289">
        <f t="shared" ca="1" si="134"/>
        <v>173250</v>
      </c>
      <c r="BS60" s="289">
        <f t="shared" ca="1" si="134"/>
        <v>173250</v>
      </c>
      <c r="BT60" s="289">
        <f t="shared" ca="1" si="134"/>
        <v>173250</v>
      </c>
      <c r="BU60" s="289">
        <f t="shared" ca="1" si="134"/>
        <v>173250</v>
      </c>
      <c r="BV60" s="289">
        <f t="shared" ca="1" si="134"/>
        <v>173250</v>
      </c>
      <c r="BW60" s="289">
        <f t="shared" ca="1" si="134"/>
        <v>173250</v>
      </c>
      <c r="BX60" s="289">
        <f t="shared" ca="1" si="134"/>
        <v>173250</v>
      </c>
      <c r="BY60" s="289">
        <f t="shared" ca="1" si="134"/>
        <v>173250</v>
      </c>
      <c r="BZ60" s="289">
        <f t="shared" ca="1" si="134"/>
        <v>173250</v>
      </c>
      <c r="CA60"/>
      <c r="CB60"/>
      <c r="CF60" s="285" t="s">
        <v>285</v>
      </c>
      <c r="CG60" s="282" t="s">
        <v>211</v>
      </c>
      <c r="CH60" s="282"/>
      <c r="CI60" s="287">
        <f t="shared" ref="CI60:CT60" ca="1" si="135">(CI64+CI75+CI86+CI61)/$F$4</f>
        <v>70650</v>
      </c>
      <c r="CJ60" s="287">
        <f t="shared" ca="1" si="135"/>
        <v>70650</v>
      </c>
      <c r="CK60" s="287">
        <f t="shared" ca="1" si="135"/>
        <v>70650</v>
      </c>
      <c r="CL60" s="287">
        <f t="shared" ca="1" si="135"/>
        <v>70650</v>
      </c>
      <c r="CM60" s="287">
        <f t="shared" ca="1" si="135"/>
        <v>70650</v>
      </c>
      <c r="CN60" s="287">
        <f t="shared" ca="1" si="135"/>
        <v>70650</v>
      </c>
      <c r="CO60" s="287">
        <f t="shared" ca="1" si="135"/>
        <v>70650</v>
      </c>
      <c r="CP60" s="287">
        <f t="shared" ca="1" si="135"/>
        <v>70650</v>
      </c>
      <c r="CQ60" s="287">
        <f t="shared" ca="1" si="135"/>
        <v>70650</v>
      </c>
      <c r="CR60" s="287">
        <f t="shared" ca="1" si="135"/>
        <v>70650</v>
      </c>
      <c r="CS60" s="287">
        <f t="shared" ca="1" si="135"/>
        <v>70650</v>
      </c>
      <c r="CT60" s="287">
        <f t="shared" ca="1" si="135"/>
        <v>70650</v>
      </c>
      <c r="CU60"/>
      <c r="CV60"/>
    </row>
    <row r="61" spans="2:100" s="266" customFormat="1" outlineLevel="1" x14ac:dyDescent="0.2">
      <c r="B61" s="285"/>
      <c r="C61" s="285"/>
      <c r="D61" s="288" t="s">
        <v>286</v>
      </c>
      <c r="E61" s="282" t="s">
        <v>287</v>
      </c>
      <c r="F61" s="282"/>
      <c r="G61" s="289">
        <f ca="1">G63*G62</f>
        <v>0</v>
      </c>
      <c r="H61" s="289">
        <f t="shared" ref="H61:R61" ca="1" si="136">H63*H62</f>
        <v>0</v>
      </c>
      <c r="I61" s="289">
        <f t="shared" ca="1" si="136"/>
        <v>0</v>
      </c>
      <c r="J61" s="289">
        <f t="shared" ca="1" si="136"/>
        <v>0</v>
      </c>
      <c r="K61" s="289">
        <f t="shared" ca="1" si="136"/>
        <v>0</v>
      </c>
      <c r="L61" s="289">
        <f t="shared" ca="1" si="136"/>
        <v>0</v>
      </c>
      <c r="M61" s="289">
        <f t="shared" ca="1" si="136"/>
        <v>0</v>
      </c>
      <c r="N61" s="289">
        <f t="shared" ca="1" si="136"/>
        <v>0</v>
      </c>
      <c r="O61" s="289">
        <f t="shared" ca="1" si="136"/>
        <v>0</v>
      </c>
      <c r="P61" s="289">
        <f t="shared" ca="1" si="136"/>
        <v>0</v>
      </c>
      <c r="Q61" s="289">
        <f t="shared" ca="1" si="136"/>
        <v>0</v>
      </c>
      <c r="R61" s="289">
        <f t="shared" ca="1" si="136"/>
        <v>0</v>
      </c>
      <c r="X61" s="288" t="s">
        <v>286</v>
      </c>
      <c r="Y61" s="282" t="s">
        <v>287</v>
      </c>
      <c r="Z61" s="282"/>
      <c r="AA61" s="289">
        <f ca="1">AA63*AA62</f>
        <v>0</v>
      </c>
      <c r="AB61" s="289">
        <f t="shared" ref="AB61:AL61" ca="1" si="137">AB63*AB62</f>
        <v>0</v>
      </c>
      <c r="AC61" s="289">
        <f t="shared" ca="1" si="137"/>
        <v>0</v>
      </c>
      <c r="AD61" s="289">
        <f t="shared" ca="1" si="137"/>
        <v>0</v>
      </c>
      <c r="AE61" s="289">
        <f t="shared" ca="1" si="137"/>
        <v>0</v>
      </c>
      <c r="AF61" s="289">
        <f t="shared" ca="1" si="137"/>
        <v>0</v>
      </c>
      <c r="AG61" s="289">
        <f t="shared" ca="1" si="137"/>
        <v>0</v>
      </c>
      <c r="AH61" s="289">
        <f t="shared" ca="1" si="137"/>
        <v>0</v>
      </c>
      <c r="AI61" s="289">
        <f t="shared" ca="1" si="137"/>
        <v>0</v>
      </c>
      <c r="AJ61" s="289">
        <f t="shared" ca="1" si="137"/>
        <v>0</v>
      </c>
      <c r="AK61" s="289">
        <f t="shared" ca="1" si="137"/>
        <v>0</v>
      </c>
      <c r="AL61" s="289">
        <f t="shared" ca="1" si="137"/>
        <v>0</v>
      </c>
      <c r="AR61" s="288" t="s">
        <v>286</v>
      </c>
      <c r="AS61" s="282" t="s">
        <v>287</v>
      </c>
      <c r="AT61" s="282"/>
      <c r="AU61" s="289">
        <f ca="1">AU63*AU62</f>
        <v>0</v>
      </c>
      <c r="AV61" s="289">
        <f t="shared" ref="AV61:BF61" ca="1" si="138">AV63*AV62</f>
        <v>0</v>
      </c>
      <c r="AW61" s="289">
        <f t="shared" ca="1" si="138"/>
        <v>0</v>
      </c>
      <c r="AX61" s="289">
        <f t="shared" ca="1" si="138"/>
        <v>0</v>
      </c>
      <c r="AY61" s="289">
        <f t="shared" ca="1" si="138"/>
        <v>0</v>
      </c>
      <c r="AZ61" s="289">
        <f t="shared" ca="1" si="138"/>
        <v>0</v>
      </c>
      <c r="BA61" s="289">
        <f t="shared" ca="1" si="138"/>
        <v>0</v>
      </c>
      <c r="BB61" s="289">
        <f t="shared" ca="1" si="138"/>
        <v>0</v>
      </c>
      <c r="BC61" s="289">
        <f t="shared" ca="1" si="138"/>
        <v>0</v>
      </c>
      <c r="BD61" s="289">
        <f t="shared" ca="1" si="138"/>
        <v>0</v>
      </c>
      <c r="BE61" s="289">
        <f t="shared" ca="1" si="138"/>
        <v>0</v>
      </c>
      <c r="BF61" s="289">
        <f t="shared" ca="1" si="138"/>
        <v>0</v>
      </c>
      <c r="BG61"/>
      <c r="BH61"/>
      <c r="BL61" s="288" t="s">
        <v>286</v>
      </c>
      <c r="BM61" s="282" t="s">
        <v>287</v>
      </c>
      <c r="BN61" s="282"/>
      <c r="BO61" s="289">
        <f ca="1">BO63*BO62</f>
        <v>0</v>
      </c>
      <c r="BP61" s="289">
        <f t="shared" ref="BP61:BZ61" ca="1" si="139">BP63*BP62</f>
        <v>0</v>
      </c>
      <c r="BQ61" s="289">
        <f t="shared" ca="1" si="139"/>
        <v>0</v>
      </c>
      <c r="BR61" s="289">
        <f t="shared" ca="1" si="139"/>
        <v>0</v>
      </c>
      <c r="BS61" s="289">
        <f t="shared" ca="1" si="139"/>
        <v>0</v>
      </c>
      <c r="BT61" s="289">
        <f t="shared" ca="1" si="139"/>
        <v>0</v>
      </c>
      <c r="BU61" s="289">
        <f t="shared" ca="1" si="139"/>
        <v>0</v>
      </c>
      <c r="BV61" s="289">
        <f t="shared" ca="1" si="139"/>
        <v>0</v>
      </c>
      <c r="BW61" s="289">
        <f t="shared" ca="1" si="139"/>
        <v>0</v>
      </c>
      <c r="BX61" s="289">
        <f t="shared" ca="1" si="139"/>
        <v>0</v>
      </c>
      <c r="BY61" s="289">
        <f t="shared" ca="1" si="139"/>
        <v>0</v>
      </c>
      <c r="BZ61" s="289">
        <f t="shared" ca="1" si="139"/>
        <v>0</v>
      </c>
      <c r="CA61"/>
      <c r="CB61"/>
      <c r="CF61" s="288" t="s">
        <v>286</v>
      </c>
      <c r="CG61" s="282" t="s">
        <v>287</v>
      </c>
      <c r="CH61" s="282"/>
      <c r="CI61" s="289">
        <f ca="1">CI63*CI62</f>
        <v>0</v>
      </c>
      <c r="CJ61" s="289">
        <f t="shared" ref="CJ61:CT61" ca="1" si="140">CJ63*CJ62</f>
        <v>0</v>
      </c>
      <c r="CK61" s="289">
        <f t="shared" ca="1" si="140"/>
        <v>0</v>
      </c>
      <c r="CL61" s="289">
        <f t="shared" ca="1" si="140"/>
        <v>0</v>
      </c>
      <c r="CM61" s="289">
        <f t="shared" ca="1" si="140"/>
        <v>0</v>
      </c>
      <c r="CN61" s="289">
        <f t="shared" ca="1" si="140"/>
        <v>0</v>
      </c>
      <c r="CO61" s="289">
        <f t="shared" ca="1" si="140"/>
        <v>0</v>
      </c>
      <c r="CP61" s="289">
        <f t="shared" ca="1" si="140"/>
        <v>0</v>
      </c>
      <c r="CQ61" s="289">
        <f t="shared" ca="1" si="140"/>
        <v>0</v>
      </c>
      <c r="CR61" s="289">
        <f t="shared" ca="1" si="140"/>
        <v>0</v>
      </c>
      <c r="CS61" s="289">
        <f t="shared" ca="1" si="140"/>
        <v>0</v>
      </c>
      <c r="CT61" s="289">
        <f t="shared" ca="1" si="140"/>
        <v>0</v>
      </c>
      <c r="CU61"/>
      <c r="CV61"/>
    </row>
    <row r="62" spans="2:100" outlineLevel="1" x14ac:dyDescent="0.2">
      <c r="B62" s="3"/>
      <c r="C62" s="3"/>
      <c r="D62" s="16" t="s">
        <v>288</v>
      </c>
      <c r="E62" s="224" t="s">
        <v>289</v>
      </c>
      <c r="G62" s="22">
        <f t="shared" ref="G62:R62" ca="1" si="141">IFERROR(INDEX(tbl_TCO_input,MATCH($D62,rows_TCO_ID,0),MATCH(G$6,cols_TCO_input,0)),0)</f>
        <v>412717.06780880434</v>
      </c>
      <c r="H62" s="22">
        <f t="shared" ca="1" si="141"/>
        <v>373063.5407866941</v>
      </c>
      <c r="I62" s="22">
        <f t="shared" ca="1" si="141"/>
        <v>337219.89304493763</v>
      </c>
      <c r="J62" s="22">
        <f t="shared" ca="1" si="141"/>
        <v>304820.07441799075</v>
      </c>
      <c r="K62" s="22">
        <f t="shared" ca="1" si="141"/>
        <v>275533.20454854541</v>
      </c>
      <c r="L62" s="22">
        <f t="shared" ca="1" si="141"/>
        <v>249060.1938003785</v>
      </c>
      <c r="M62" s="22">
        <f t="shared" ca="1" si="141"/>
        <v>225130.68883120053</v>
      </c>
      <c r="N62" s="22">
        <f t="shared" ca="1" si="141"/>
        <v>203500.31163243164</v>
      </c>
      <c r="O62" s="22">
        <f t="shared" ca="1" si="141"/>
        <v>192741.06196327982</v>
      </c>
      <c r="P62" s="22">
        <f t="shared" ca="1" si="141"/>
        <v>182704.68195921468</v>
      </c>
      <c r="Q62" s="22">
        <f t="shared" ca="1" si="141"/>
        <v>173337.55687046584</v>
      </c>
      <c r="R62" s="22">
        <f t="shared" ca="1" si="141"/>
        <v>164590.2736973736</v>
      </c>
      <c r="X62" s="16" t="s">
        <v>288</v>
      </c>
      <c r="Y62" s="224" t="s">
        <v>289</v>
      </c>
      <c r="AA62" s="22">
        <f t="shared" ref="AA62:AL62" ca="1" si="142">IFERROR(INDEX(tbl_TCO_input,MATCH($D62,rows_TCO_ID,0),MATCH(AA$6,cols_TCO_input,0)),0)</f>
        <v>412717.06780880434</v>
      </c>
      <c r="AB62" s="22">
        <f t="shared" ca="1" si="142"/>
        <v>373063.5407866941</v>
      </c>
      <c r="AC62" s="22">
        <f t="shared" ca="1" si="142"/>
        <v>337219.89304493763</v>
      </c>
      <c r="AD62" s="22">
        <f t="shared" ca="1" si="142"/>
        <v>304820.07441799075</v>
      </c>
      <c r="AE62" s="22">
        <f t="shared" ca="1" si="142"/>
        <v>275533.20454854541</v>
      </c>
      <c r="AF62" s="22">
        <f t="shared" ca="1" si="142"/>
        <v>249060.1938003785</v>
      </c>
      <c r="AG62" s="22">
        <f t="shared" ca="1" si="142"/>
        <v>225130.68883120053</v>
      </c>
      <c r="AH62" s="22">
        <f t="shared" ca="1" si="142"/>
        <v>203500.31163243164</v>
      </c>
      <c r="AI62" s="22">
        <f t="shared" ca="1" si="142"/>
        <v>192741.06196327982</v>
      </c>
      <c r="AJ62" s="22">
        <f t="shared" ca="1" si="142"/>
        <v>182704.68195921468</v>
      </c>
      <c r="AK62" s="22">
        <f t="shared" ca="1" si="142"/>
        <v>173337.55687046584</v>
      </c>
      <c r="AL62" s="22">
        <f t="shared" ca="1" si="142"/>
        <v>164590.2736973736</v>
      </c>
      <c r="AR62" s="16" t="s">
        <v>288</v>
      </c>
      <c r="AS62" s="224" t="s">
        <v>289</v>
      </c>
      <c r="AU62" s="22">
        <f t="shared" ref="AU62:BF62" ca="1" si="143">IFERROR(INDEX(tbl_TCO_input,MATCH($D62,rows_TCO_ID,0),MATCH(AU$6,cols_TCO_input,0)),0)</f>
        <v>412717.06780880434</v>
      </c>
      <c r="AV62" s="22">
        <f t="shared" ca="1" si="143"/>
        <v>373063.5407866941</v>
      </c>
      <c r="AW62" s="22">
        <f t="shared" ca="1" si="143"/>
        <v>337219.89304493763</v>
      </c>
      <c r="AX62" s="22">
        <f t="shared" ca="1" si="143"/>
        <v>304820.07441799075</v>
      </c>
      <c r="AY62" s="22">
        <f t="shared" ca="1" si="143"/>
        <v>275533.20454854541</v>
      </c>
      <c r="AZ62" s="22">
        <f t="shared" ca="1" si="143"/>
        <v>249060.1938003785</v>
      </c>
      <c r="BA62" s="22">
        <f t="shared" ca="1" si="143"/>
        <v>225130.68883120053</v>
      </c>
      <c r="BB62" s="22">
        <f t="shared" ca="1" si="143"/>
        <v>203500.31163243164</v>
      </c>
      <c r="BC62" s="22">
        <f t="shared" ca="1" si="143"/>
        <v>192741.06196327982</v>
      </c>
      <c r="BD62" s="22">
        <f t="shared" ca="1" si="143"/>
        <v>182704.68195921468</v>
      </c>
      <c r="BE62" s="22">
        <f t="shared" ca="1" si="143"/>
        <v>173337.55687046584</v>
      </c>
      <c r="BF62" s="22">
        <f t="shared" ca="1" si="143"/>
        <v>164590.2736973736</v>
      </c>
      <c r="BL62" s="16" t="s">
        <v>288</v>
      </c>
      <c r="BM62" s="224" t="s">
        <v>289</v>
      </c>
      <c r="BO62" s="22">
        <f t="shared" ref="BO62:BZ62" ca="1" si="144">IFERROR(INDEX(tbl_TCO_input,MATCH($D62,rows_TCO_ID,0),MATCH(BO$6,cols_TCO_input,0)),0)</f>
        <v>412717.06780880434</v>
      </c>
      <c r="BP62" s="22">
        <f t="shared" ca="1" si="144"/>
        <v>373063.5407866941</v>
      </c>
      <c r="BQ62" s="22">
        <f t="shared" ca="1" si="144"/>
        <v>337219.89304493763</v>
      </c>
      <c r="BR62" s="22">
        <f t="shared" ca="1" si="144"/>
        <v>304820.07441799075</v>
      </c>
      <c r="BS62" s="22">
        <f t="shared" ca="1" si="144"/>
        <v>275533.20454854541</v>
      </c>
      <c r="BT62" s="22">
        <f t="shared" ca="1" si="144"/>
        <v>249060.1938003785</v>
      </c>
      <c r="BU62" s="22">
        <f t="shared" ca="1" si="144"/>
        <v>225130.68883120053</v>
      </c>
      <c r="BV62" s="22">
        <f t="shared" ca="1" si="144"/>
        <v>203500.31163243164</v>
      </c>
      <c r="BW62" s="22">
        <f t="shared" ca="1" si="144"/>
        <v>192741.06196327982</v>
      </c>
      <c r="BX62" s="22">
        <f t="shared" ca="1" si="144"/>
        <v>182704.68195921468</v>
      </c>
      <c r="BY62" s="22">
        <f t="shared" ca="1" si="144"/>
        <v>173337.55687046584</v>
      </c>
      <c r="BZ62" s="22">
        <f t="shared" ca="1" si="144"/>
        <v>164590.2736973736</v>
      </c>
      <c r="CF62" s="16" t="s">
        <v>288</v>
      </c>
      <c r="CG62" s="224" t="s">
        <v>289</v>
      </c>
      <c r="CI62" s="22">
        <f t="shared" ref="CI62:CT62" ca="1" si="145">IFERROR(INDEX(tbl_TCO_input,MATCH($D62,rows_TCO_ID,0),MATCH(CI$6,cols_TCO_input,0)),0)</f>
        <v>412717.06780880434</v>
      </c>
      <c r="CJ62" s="22">
        <f t="shared" ca="1" si="145"/>
        <v>373063.5407866941</v>
      </c>
      <c r="CK62" s="22">
        <f t="shared" ca="1" si="145"/>
        <v>337219.89304493763</v>
      </c>
      <c r="CL62" s="22">
        <f t="shared" ca="1" si="145"/>
        <v>304820.07441799075</v>
      </c>
      <c r="CM62" s="22">
        <f t="shared" ca="1" si="145"/>
        <v>275533.20454854541</v>
      </c>
      <c r="CN62" s="22">
        <f t="shared" ca="1" si="145"/>
        <v>249060.1938003785</v>
      </c>
      <c r="CO62" s="22">
        <f t="shared" ca="1" si="145"/>
        <v>225130.68883120053</v>
      </c>
      <c r="CP62" s="22">
        <f t="shared" ca="1" si="145"/>
        <v>203500.31163243164</v>
      </c>
      <c r="CQ62" s="22">
        <f t="shared" ca="1" si="145"/>
        <v>192741.06196327982</v>
      </c>
      <c r="CR62" s="22">
        <f t="shared" ca="1" si="145"/>
        <v>182704.68195921468</v>
      </c>
      <c r="CS62" s="22">
        <f t="shared" ca="1" si="145"/>
        <v>173337.55687046584</v>
      </c>
      <c r="CT62" s="22">
        <f t="shared" ca="1" si="145"/>
        <v>164590.2736973736</v>
      </c>
    </row>
    <row r="63" spans="2:100" outlineLevel="1" x14ac:dyDescent="0.2">
      <c r="B63" s="3"/>
      <c r="C63" s="3"/>
      <c r="D63" s="16" t="s">
        <v>290</v>
      </c>
      <c r="E63" s="224" t="s">
        <v>291</v>
      </c>
      <c r="G63" s="22">
        <f>IF(G$14="Battery",G52*24*G83,0)</f>
        <v>0</v>
      </c>
      <c r="H63" s="22">
        <f t="shared" ref="H63:R63" si="146">IF(H$14="Battery",H52*24*H83,0)</f>
        <v>0</v>
      </c>
      <c r="I63" s="22">
        <f t="shared" si="146"/>
        <v>0</v>
      </c>
      <c r="J63" s="22">
        <f t="shared" si="146"/>
        <v>0</v>
      </c>
      <c r="K63" s="22">
        <f t="shared" si="146"/>
        <v>0</v>
      </c>
      <c r="L63" s="22">
        <f t="shared" si="146"/>
        <v>0</v>
      </c>
      <c r="M63" s="22">
        <f t="shared" si="146"/>
        <v>0</v>
      </c>
      <c r="N63" s="22">
        <f t="shared" si="146"/>
        <v>0</v>
      </c>
      <c r="O63" s="22">
        <f t="shared" si="146"/>
        <v>0</v>
      </c>
      <c r="P63" s="22">
        <f t="shared" si="146"/>
        <v>0</v>
      </c>
      <c r="Q63" s="22">
        <f t="shared" si="146"/>
        <v>0</v>
      </c>
      <c r="R63" s="22">
        <f t="shared" si="146"/>
        <v>0</v>
      </c>
      <c r="X63" s="16" t="s">
        <v>290</v>
      </c>
      <c r="Y63" s="224" t="s">
        <v>291</v>
      </c>
      <c r="AA63" s="22">
        <f>IF(AA$14="Battery",AA52*24*AA83,0)</f>
        <v>0</v>
      </c>
      <c r="AB63" s="22">
        <f t="shared" ref="AB63:AL63" si="147">IF(AB$14="Battery",AB52*24*AB83,0)</f>
        <v>0</v>
      </c>
      <c r="AC63" s="22">
        <f t="shared" si="147"/>
        <v>0</v>
      </c>
      <c r="AD63" s="22">
        <f t="shared" si="147"/>
        <v>0</v>
      </c>
      <c r="AE63" s="22">
        <f t="shared" si="147"/>
        <v>0</v>
      </c>
      <c r="AF63" s="22">
        <f t="shared" si="147"/>
        <v>0</v>
      </c>
      <c r="AG63" s="22">
        <f t="shared" si="147"/>
        <v>0</v>
      </c>
      <c r="AH63" s="22">
        <f t="shared" si="147"/>
        <v>0</v>
      </c>
      <c r="AI63" s="22">
        <f t="shared" si="147"/>
        <v>0</v>
      </c>
      <c r="AJ63" s="22">
        <f t="shared" si="147"/>
        <v>0</v>
      </c>
      <c r="AK63" s="22">
        <f t="shared" si="147"/>
        <v>0</v>
      </c>
      <c r="AL63" s="22">
        <f t="shared" si="147"/>
        <v>0</v>
      </c>
      <c r="AR63" s="16" t="s">
        <v>290</v>
      </c>
      <c r="AS63" s="224" t="s">
        <v>291</v>
      </c>
      <c r="AU63" s="22">
        <f>IF(AU$14="Battery",AU52*24*AU83,0)</f>
        <v>0</v>
      </c>
      <c r="AV63" s="22">
        <f t="shared" ref="AV63:BF63" si="148">IF(AV$14="Battery",AV52*24*AV83,0)</f>
        <v>0</v>
      </c>
      <c r="AW63" s="22">
        <f t="shared" si="148"/>
        <v>0</v>
      </c>
      <c r="AX63" s="22">
        <f t="shared" si="148"/>
        <v>0</v>
      </c>
      <c r="AY63" s="22">
        <f t="shared" si="148"/>
        <v>0</v>
      </c>
      <c r="AZ63" s="22">
        <f t="shared" si="148"/>
        <v>0</v>
      </c>
      <c r="BA63" s="22">
        <f t="shared" si="148"/>
        <v>0</v>
      </c>
      <c r="BB63" s="22">
        <f t="shared" si="148"/>
        <v>0</v>
      </c>
      <c r="BC63" s="22">
        <f t="shared" si="148"/>
        <v>0</v>
      </c>
      <c r="BD63" s="22">
        <f t="shared" si="148"/>
        <v>0</v>
      </c>
      <c r="BE63" s="22">
        <f t="shared" si="148"/>
        <v>0</v>
      </c>
      <c r="BF63" s="22">
        <f t="shared" si="148"/>
        <v>0</v>
      </c>
      <c r="BL63" s="16" t="s">
        <v>290</v>
      </c>
      <c r="BM63" s="224" t="s">
        <v>291</v>
      </c>
      <c r="BO63" s="22">
        <f>IF(BO$14="Battery",BO52*24*BO83,0)</f>
        <v>0</v>
      </c>
      <c r="BP63" s="22">
        <f t="shared" ref="BP63:BZ63" si="149">IF(BP$14="Battery",BP52*24*BP83,0)</f>
        <v>0</v>
      </c>
      <c r="BQ63" s="22">
        <f t="shared" si="149"/>
        <v>0</v>
      </c>
      <c r="BR63" s="22">
        <f t="shared" si="149"/>
        <v>0</v>
      </c>
      <c r="BS63" s="22">
        <f t="shared" si="149"/>
        <v>0</v>
      </c>
      <c r="BT63" s="22">
        <f t="shared" si="149"/>
        <v>0</v>
      </c>
      <c r="BU63" s="22">
        <f t="shared" si="149"/>
        <v>0</v>
      </c>
      <c r="BV63" s="22">
        <f t="shared" si="149"/>
        <v>0</v>
      </c>
      <c r="BW63" s="22">
        <f t="shared" si="149"/>
        <v>0</v>
      </c>
      <c r="BX63" s="22">
        <f t="shared" si="149"/>
        <v>0</v>
      </c>
      <c r="BY63" s="22">
        <f t="shared" si="149"/>
        <v>0</v>
      </c>
      <c r="BZ63" s="22">
        <f t="shared" si="149"/>
        <v>0</v>
      </c>
      <c r="CF63" s="16" t="s">
        <v>290</v>
      </c>
      <c r="CG63" s="224" t="s">
        <v>291</v>
      </c>
      <c r="CI63" s="22">
        <f>IF(CI$14="Battery",CI52*24*CI83,0)</f>
        <v>0</v>
      </c>
      <c r="CJ63" s="22">
        <f t="shared" ref="CJ63:CT63" si="150">IF(CJ$14="Battery",CJ52*24*CJ83,0)</f>
        <v>0</v>
      </c>
      <c r="CK63" s="22">
        <f t="shared" si="150"/>
        <v>0</v>
      </c>
      <c r="CL63" s="22">
        <f t="shared" si="150"/>
        <v>0</v>
      </c>
      <c r="CM63" s="22">
        <f t="shared" si="150"/>
        <v>0</v>
      </c>
      <c r="CN63" s="22">
        <f t="shared" si="150"/>
        <v>0</v>
      </c>
      <c r="CO63" s="22">
        <f t="shared" si="150"/>
        <v>0</v>
      </c>
      <c r="CP63" s="22">
        <f t="shared" si="150"/>
        <v>0</v>
      </c>
      <c r="CQ63" s="22">
        <f t="shared" si="150"/>
        <v>0</v>
      </c>
      <c r="CR63" s="22">
        <f t="shared" si="150"/>
        <v>0</v>
      </c>
      <c r="CS63" s="22">
        <f t="shared" si="150"/>
        <v>0</v>
      </c>
      <c r="CT63" s="22">
        <f t="shared" si="150"/>
        <v>0</v>
      </c>
    </row>
    <row r="64" spans="2:100" s="266" customFormat="1" outlineLevel="1" x14ac:dyDescent="0.2">
      <c r="C64" s="285"/>
      <c r="D64" s="288" t="s">
        <v>292</v>
      </c>
      <c r="E64" s="282" t="s">
        <v>275</v>
      </c>
      <c r="F64" s="282"/>
      <c r="G64" s="289">
        <f ca="1">G65*G66</f>
        <v>1125000</v>
      </c>
      <c r="H64" s="289">
        <f t="shared" ref="H64" ca="1" si="151">H65*H66</f>
        <v>1125000</v>
      </c>
      <c r="I64" s="289">
        <f t="shared" ref="I64" ca="1" si="152">I65*I66</f>
        <v>1125000</v>
      </c>
      <c r="J64" s="289">
        <f t="shared" ref="J64" ca="1" si="153">J65*J66</f>
        <v>1125000</v>
      </c>
      <c r="K64" s="289">
        <f t="shared" ref="K64" ca="1" si="154">K65*K66</f>
        <v>1125000</v>
      </c>
      <c r="L64" s="289">
        <f t="shared" ref="L64" ca="1" si="155">L65*L66</f>
        <v>1125000</v>
      </c>
      <c r="M64" s="289">
        <f t="shared" ref="M64" ca="1" si="156">M65*M66</f>
        <v>1125000</v>
      </c>
      <c r="N64" s="289">
        <f t="shared" ref="N64" ca="1" si="157">N65*N66</f>
        <v>1125000</v>
      </c>
      <c r="O64" s="289">
        <f t="shared" ref="O64" ca="1" si="158">O65*O66</f>
        <v>1125000</v>
      </c>
      <c r="P64" s="289">
        <f t="shared" ref="P64" ca="1" si="159">P65*P66</f>
        <v>1125000</v>
      </c>
      <c r="Q64" s="289">
        <f t="shared" ref="Q64" ca="1" si="160">Q65*Q66</f>
        <v>1125000</v>
      </c>
      <c r="R64" s="289">
        <f t="shared" ref="R64" ca="1" si="161">R65*R66</f>
        <v>1125000</v>
      </c>
      <c r="X64" s="288" t="s">
        <v>292</v>
      </c>
      <c r="Y64" s="282" t="s">
        <v>275</v>
      </c>
      <c r="Z64" s="282"/>
      <c r="AA64" s="289">
        <f ca="1">AA65*AA66</f>
        <v>8910000</v>
      </c>
      <c r="AB64" s="289">
        <f t="shared" ref="AB64" ca="1" si="162">AB65*AB66</f>
        <v>8910000</v>
      </c>
      <c r="AC64" s="289">
        <f t="shared" ref="AC64" ca="1" si="163">AC65*AC66</f>
        <v>8910000</v>
      </c>
      <c r="AD64" s="289">
        <f t="shared" ref="AD64" ca="1" si="164">AD65*AD66</f>
        <v>8910000</v>
      </c>
      <c r="AE64" s="289">
        <f t="shared" ref="AE64" ca="1" si="165">AE65*AE66</f>
        <v>8910000</v>
      </c>
      <c r="AF64" s="289">
        <f t="shared" ref="AF64" ca="1" si="166">AF65*AF66</f>
        <v>8910000</v>
      </c>
      <c r="AG64" s="289">
        <f t="shared" ref="AG64" ca="1" si="167">AG65*AG66</f>
        <v>8910000</v>
      </c>
      <c r="AH64" s="289">
        <f t="shared" ref="AH64" ca="1" si="168">AH65*AH66</f>
        <v>8910000</v>
      </c>
      <c r="AI64" s="289">
        <f t="shared" ref="AI64" ca="1" si="169">AI65*AI66</f>
        <v>8910000</v>
      </c>
      <c r="AJ64" s="289">
        <f t="shared" ref="AJ64" ca="1" si="170">AJ65*AJ66</f>
        <v>8910000</v>
      </c>
      <c r="AK64" s="289">
        <f t="shared" ref="AK64" ca="1" si="171">AK65*AK66</f>
        <v>8910000</v>
      </c>
      <c r="AL64" s="289">
        <f t="shared" ref="AL64" ca="1" si="172">AL65*AL66</f>
        <v>8910000</v>
      </c>
      <c r="AR64" s="288" t="s">
        <v>292</v>
      </c>
      <c r="AS64" s="282" t="s">
        <v>275</v>
      </c>
      <c r="AT64" s="282"/>
      <c r="AU64" s="289">
        <f ca="1">AU65*AU66</f>
        <v>4275000</v>
      </c>
      <c r="AV64" s="289">
        <f t="shared" ref="AV64" ca="1" si="173">AV65*AV66</f>
        <v>4275000</v>
      </c>
      <c r="AW64" s="289">
        <f t="shared" ref="AW64" ca="1" si="174">AW65*AW66</f>
        <v>4275000</v>
      </c>
      <c r="AX64" s="289">
        <f t="shared" ref="AX64" ca="1" si="175">AX65*AX66</f>
        <v>4275000</v>
      </c>
      <c r="AY64" s="289">
        <f t="shared" ref="AY64" ca="1" si="176">AY65*AY66</f>
        <v>4275000</v>
      </c>
      <c r="AZ64" s="289">
        <f t="shared" ref="AZ64" ca="1" si="177">AZ65*AZ66</f>
        <v>4275000</v>
      </c>
      <c r="BA64" s="289">
        <f t="shared" ref="BA64" ca="1" si="178">BA65*BA66</f>
        <v>4275000</v>
      </c>
      <c r="BB64" s="289">
        <f t="shared" ref="BB64" ca="1" si="179">BB65*BB66</f>
        <v>4275000</v>
      </c>
      <c r="BC64" s="289">
        <f t="shared" ref="BC64" ca="1" si="180">BC65*BC66</f>
        <v>4275000</v>
      </c>
      <c r="BD64" s="289">
        <f t="shared" ref="BD64" ca="1" si="181">BD65*BD66</f>
        <v>4275000</v>
      </c>
      <c r="BE64" s="289">
        <f t="shared" ref="BE64" ca="1" si="182">BE65*BE66</f>
        <v>4275000</v>
      </c>
      <c r="BF64" s="289">
        <f t="shared" ref="BF64" ca="1" si="183">BF65*BF66</f>
        <v>4275000</v>
      </c>
      <c r="BG64"/>
      <c r="BH64"/>
      <c r="BL64" s="288" t="s">
        <v>292</v>
      </c>
      <c r="BM64" s="282" t="s">
        <v>275</v>
      </c>
      <c r="BN64" s="282"/>
      <c r="BO64" s="289">
        <f ca="1">BO65*BO66</f>
        <v>4275000</v>
      </c>
      <c r="BP64" s="289">
        <f t="shared" ref="BP64:BZ64" ca="1" si="184">BP65*BP66</f>
        <v>4275000</v>
      </c>
      <c r="BQ64" s="289">
        <f t="shared" ca="1" si="184"/>
        <v>4275000</v>
      </c>
      <c r="BR64" s="289">
        <f t="shared" ca="1" si="184"/>
        <v>4275000</v>
      </c>
      <c r="BS64" s="289">
        <f t="shared" ca="1" si="184"/>
        <v>4275000</v>
      </c>
      <c r="BT64" s="289">
        <f t="shared" ca="1" si="184"/>
        <v>4275000</v>
      </c>
      <c r="BU64" s="289">
        <f t="shared" ca="1" si="184"/>
        <v>4275000</v>
      </c>
      <c r="BV64" s="289">
        <f t="shared" ca="1" si="184"/>
        <v>4275000</v>
      </c>
      <c r="BW64" s="289">
        <f t="shared" ca="1" si="184"/>
        <v>4275000</v>
      </c>
      <c r="BX64" s="289">
        <f t="shared" ca="1" si="184"/>
        <v>4275000</v>
      </c>
      <c r="BY64" s="289">
        <f t="shared" ca="1" si="184"/>
        <v>4275000</v>
      </c>
      <c r="BZ64" s="289">
        <f t="shared" ca="1" si="184"/>
        <v>4275000</v>
      </c>
      <c r="CA64"/>
      <c r="CB64"/>
      <c r="CF64" s="288" t="s">
        <v>292</v>
      </c>
      <c r="CG64" s="282" t="s">
        <v>275</v>
      </c>
      <c r="CH64" s="282"/>
      <c r="CI64" s="289">
        <f ca="1">CI65*CI66</f>
        <v>1710000</v>
      </c>
      <c r="CJ64" s="289">
        <f t="shared" ref="CJ64" ca="1" si="185">CJ65*CJ66</f>
        <v>1710000</v>
      </c>
      <c r="CK64" s="289">
        <f t="shared" ref="CK64" ca="1" si="186">CK65*CK66</f>
        <v>1710000</v>
      </c>
      <c r="CL64" s="289">
        <f t="shared" ref="CL64" ca="1" si="187">CL65*CL66</f>
        <v>1710000</v>
      </c>
      <c r="CM64" s="289">
        <f t="shared" ref="CM64" ca="1" si="188">CM65*CM66</f>
        <v>1710000</v>
      </c>
      <c r="CN64" s="289">
        <f t="shared" ref="CN64" ca="1" si="189">CN65*CN66</f>
        <v>1710000</v>
      </c>
      <c r="CO64" s="289">
        <f t="shared" ref="CO64" ca="1" si="190">CO65*CO66</f>
        <v>1710000</v>
      </c>
      <c r="CP64" s="289">
        <f t="shared" ref="CP64" ca="1" si="191">CP65*CP66</f>
        <v>1710000</v>
      </c>
      <c r="CQ64" s="289">
        <f t="shared" ref="CQ64" ca="1" si="192">CQ65*CQ66</f>
        <v>1710000</v>
      </c>
      <c r="CR64" s="289">
        <f t="shared" ref="CR64" ca="1" si="193">CR65*CR66</f>
        <v>1710000</v>
      </c>
      <c r="CS64" s="289">
        <f t="shared" ref="CS64" ca="1" si="194">CS65*CS66</f>
        <v>1710000</v>
      </c>
      <c r="CT64" s="289">
        <f t="shared" ref="CT64" ca="1" si="195">CT65*CT66</f>
        <v>1710000</v>
      </c>
      <c r="CU64"/>
      <c r="CV64"/>
    </row>
    <row r="65" spans="3:100" outlineLevel="1" x14ac:dyDescent="0.2">
      <c r="C65" s="3"/>
      <c r="D65" s="16" t="s">
        <v>293</v>
      </c>
      <c r="E65" s="224" t="s">
        <v>294</v>
      </c>
      <c r="G65" s="22">
        <f t="shared" ref="G65:R65" ca="1" si="196">INDEX(tbl_TCO_input,MATCH(
_xlfn.TEXTJOIN(keydelim,TRUE,G$23,$D65),rows_TCO_ID,0),MATCH(G$6,cols_TCO_input,0))</f>
        <v>125</v>
      </c>
      <c r="H65" s="52">
        <f t="shared" ca="1" si="196"/>
        <v>125</v>
      </c>
      <c r="I65" s="52">
        <f t="shared" ca="1" si="196"/>
        <v>125</v>
      </c>
      <c r="J65" s="52">
        <f t="shared" ca="1" si="196"/>
        <v>125</v>
      </c>
      <c r="K65" s="52">
        <f t="shared" ca="1" si="196"/>
        <v>125</v>
      </c>
      <c r="L65" s="52">
        <f t="shared" ca="1" si="196"/>
        <v>125</v>
      </c>
      <c r="M65" s="52">
        <f t="shared" ca="1" si="196"/>
        <v>125</v>
      </c>
      <c r="N65" s="52">
        <f t="shared" ca="1" si="196"/>
        <v>125</v>
      </c>
      <c r="O65" s="52">
        <f t="shared" ca="1" si="196"/>
        <v>125</v>
      </c>
      <c r="P65" s="52">
        <f t="shared" ca="1" si="196"/>
        <v>125</v>
      </c>
      <c r="Q65" s="52">
        <f t="shared" ca="1" si="196"/>
        <v>125</v>
      </c>
      <c r="R65" s="52">
        <f t="shared" ca="1" si="196"/>
        <v>125</v>
      </c>
      <c r="X65" s="16" t="s">
        <v>293</v>
      </c>
      <c r="Y65" s="224" t="s">
        <v>294</v>
      </c>
      <c r="AA65" s="22">
        <f t="shared" ref="AA65:AL65" ca="1" si="197">INDEX(tbl_TCO_input,MATCH(
_xlfn.TEXTJOIN(keydelim,TRUE,AA$23,$D65),rows_TCO_ID,0),MATCH(AA$6,cols_TCO_input,0))</f>
        <v>1000</v>
      </c>
      <c r="AB65" s="52">
        <f t="shared" ca="1" si="197"/>
        <v>1000</v>
      </c>
      <c r="AC65" s="52">
        <f t="shared" ca="1" si="197"/>
        <v>1000</v>
      </c>
      <c r="AD65" s="52">
        <f t="shared" ca="1" si="197"/>
        <v>1000</v>
      </c>
      <c r="AE65" s="52">
        <f t="shared" ca="1" si="197"/>
        <v>1000</v>
      </c>
      <c r="AF65" s="52">
        <f t="shared" ca="1" si="197"/>
        <v>1000</v>
      </c>
      <c r="AG65" s="52">
        <f t="shared" ca="1" si="197"/>
        <v>1000</v>
      </c>
      <c r="AH65" s="52">
        <f t="shared" ca="1" si="197"/>
        <v>1000</v>
      </c>
      <c r="AI65" s="52">
        <f t="shared" ca="1" si="197"/>
        <v>1000</v>
      </c>
      <c r="AJ65" s="52">
        <f t="shared" ca="1" si="197"/>
        <v>1000</v>
      </c>
      <c r="AK65" s="52">
        <f t="shared" ca="1" si="197"/>
        <v>1000</v>
      </c>
      <c r="AL65" s="52">
        <f t="shared" ca="1" si="197"/>
        <v>1000</v>
      </c>
      <c r="AR65" s="16" t="s">
        <v>293</v>
      </c>
      <c r="AS65" s="224" t="s">
        <v>294</v>
      </c>
      <c r="AU65" s="22">
        <f t="shared" ref="AU65:BF65" ca="1" si="198">INDEX(tbl_TCO_input,MATCH(
_xlfn.TEXTJOIN(keydelim,TRUE,AU$23,$D65),rows_TCO_ID,0),MATCH(AU$6,cols_TCO_input,0))</f>
        <v>500</v>
      </c>
      <c r="AV65" s="52">
        <f t="shared" ca="1" si="198"/>
        <v>500</v>
      </c>
      <c r="AW65" s="52">
        <f t="shared" ca="1" si="198"/>
        <v>500</v>
      </c>
      <c r="AX65" s="52">
        <f t="shared" ca="1" si="198"/>
        <v>500</v>
      </c>
      <c r="AY65" s="52">
        <f t="shared" ca="1" si="198"/>
        <v>500</v>
      </c>
      <c r="AZ65" s="52">
        <f t="shared" ca="1" si="198"/>
        <v>500</v>
      </c>
      <c r="BA65" s="52">
        <f t="shared" ca="1" si="198"/>
        <v>500</v>
      </c>
      <c r="BB65" s="52">
        <f t="shared" ca="1" si="198"/>
        <v>500</v>
      </c>
      <c r="BC65" s="52">
        <f t="shared" ca="1" si="198"/>
        <v>500</v>
      </c>
      <c r="BD65" s="52">
        <f t="shared" ca="1" si="198"/>
        <v>500</v>
      </c>
      <c r="BE65" s="52">
        <f t="shared" ca="1" si="198"/>
        <v>500</v>
      </c>
      <c r="BF65" s="52">
        <f t="shared" ca="1" si="198"/>
        <v>500</v>
      </c>
      <c r="BL65" s="16" t="s">
        <v>293</v>
      </c>
      <c r="BM65" s="224" t="s">
        <v>294</v>
      </c>
      <c r="BO65" s="22">
        <f t="shared" ref="BO65:BZ65" ca="1" si="199">INDEX(tbl_TCO_input,MATCH(
_xlfn.TEXTJOIN(keydelim,TRUE,BO$23,$D65),rows_TCO_ID,0),MATCH(BO$6,cols_TCO_input,0))</f>
        <v>500</v>
      </c>
      <c r="BP65" s="52">
        <f t="shared" ca="1" si="199"/>
        <v>500</v>
      </c>
      <c r="BQ65" s="52">
        <f t="shared" ca="1" si="199"/>
        <v>500</v>
      </c>
      <c r="BR65" s="52">
        <f t="shared" ca="1" si="199"/>
        <v>500</v>
      </c>
      <c r="BS65" s="52">
        <f t="shared" ca="1" si="199"/>
        <v>500</v>
      </c>
      <c r="BT65" s="52">
        <f t="shared" ca="1" si="199"/>
        <v>500</v>
      </c>
      <c r="BU65" s="52">
        <f t="shared" ca="1" si="199"/>
        <v>500</v>
      </c>
      <c r="BV65" s="52">
        <f t="shared" ca="1" si="199"/>
        <v>500</v>
      </c>
      <c r="BW65" s="52">
        <f t="shared" ca="1" si="199"/>
        <v>500</v>
      </c>
      <c r="BX65" s="52">
        <f t="shared" ca="1" si="199"/>
        <v>500</v>
      </c>
      <c r="BY65" s="52">
        <f t="shared" ca="1" si="199"/>
        <v>500</v>
      </c>
      <c r="BZ65" s="52">
        <f t="shared" ca="1" si="199"/>
        <v>500</v>
      </c>
      <c r="CF65" s="16" t="s">
        <v>293</v>
      </c>
      <c r="CG65" s="224" t="s">
        <v>294</v>
      </c>
      <c r="CI65" s="22">
        <f t="shared" ref="CI65:CT65" ca="1" si="200">INDEX(tbl_TCO_input,MATCH(
_xlfn.TEXTJOIN(keydelim,TRUE,CI$23,$D65),rows_TCO_ID,0),MATCH(CI$6,cols_TCO_input,0))</f>
        <v>200</v>
      </c>
      <c r="CJ65" s="52">
        <f t="shared" ca="1" si="200"/>
        <v>200</v>
      </c>
      <c r="CK65" s="52">
        <f t="shared" ca="1" si="200"/>
        <v>200</v>
      </c>
      <c r="CL65" s="52">
        <f t="shared" ca="1" si="200"/>
        <v>200</v>
      </c>
      <c r="CM65" s="52">
        <f t="shared" ca="1" si="200"/>
        <v>200</v>
      </c>
      <c r="CN65" s="52">
        <f t="shared" ca="1" si="200"/>
        <v>200</v>
      </c>
      <c r="CO65" s="52">
        <f t="shared" ca="1" si="200"/>
        <v>200</v>
      </c>
      <c r="CP65" s="52">
        <f t="shared" ca="1" si="200"/>
        <v>200</v>
      </c>
      <c r="CQ65" s="52">
        <f t="shared" ca="1" si="200"/>
        <v>200</v>
      </c>
      <c r="CR65" s="52">
        <f t="shared" ca="1" si="200"/>
        <v>200</v>
      </c>
      <c r="CS65" s="52">
        <f t="shared" ca="1" si="200"/>
        <v>200</v>
      </c>
      <c r="CT65" s="52">
        <f t="shared" ca="1" si="200"/>
        <v>200</v>
      </c>
    </row>
    <row r="66" spans="3:100" outlineLevel="1" x14ac:dyDescent="0.2">
      <c r="C66" s="3"/>
      <c r="D66" s="16" t="s">
        <v>295</v>
      </c>
      <c r="E66" s="224" t="s">
        <v>296</v>
      </c>
      <c r="G66" s="22">
        <f ca="1">G67*G68*(1+G71)</f>
        <v>9000</v>
      </c>
      <c r="H66" s="22">
        <f t="shared" ref="H66:R66" ca="1" si="201">H67*H68*(1+H71)</f>
        <v>9000</v>
      </c>
      <c r="I66" s="22">
        <f t="shared" ca="1" si="201"/>
        <v>9000</v>
      </c>
      <c r="J66" s="22">
        <f t="shared" ca="1" si="201"/>
        <v>9000</v>
      </c>
      <c r="K66" s="22">
        <f t="shared" ca="1" si="201"/>
        <v>9000</v>
      </c>
      <c r="L66" s="22">
        <f t="shared" ca="1" si="201"/>
        <v>9000</v>
      </c>
      <c r="M66" s="22">
        <f t="shared" ca="1" si="201"/>
        <v>9000</v>
      </c>
      <c r="N66" s="22">
        <f t="shared" ca="1" si="201"/>
        <v>9000</v>
      </c>
      <c r="O66" s="22">
        <f t="shared" ca="1" si="201"/>
        <v>9000</v>
      </c>
      <c r="P66" s="22">
        <f t="shared" ca="1" si="201"/>
        <v>9000</v>
      </c>
      <c r="Q66" s="22">
        <f t="shared" ca="1" si="201"/>
        <v>9000</v>
      </c>
      <c r="R66" s="22">
        <f t="shared" ca="1" si="201"/>
        <v>9000</v>
      </c>
      <c r="X66" s="16" t="s">
        <v>295</v>
      </c>
      <c r="Y66" s="224" t="s">
        <v>296</v>
      </c>
      <c r="AA66" s="22">
        <f ca="1">AA67*AA68*(1+AA71)</f>
        <v>8910</v>
      </c>
      <c r="AB66" s="22">
        <f t="shared" ref="AB66" ca="1" si="202">AB67*AB68*(1+AB71)</f>
        <v>8910</v>
      </c>
      <c r="AC66" s="22">
        <f t="shared" ref="AC66" ca="1" si="203">AC67*AC68*(1+AC71)</f>
        <v>8910</v>
      </c>
      <c r="AD66" s="22">
        <f t="shared" ref="AD66" ca="1" si="204">AD67*AD68*(1+AD71)</f>
        <v>8910</v>
      </c>
      <c r="AE66" s="22">
        <f t="shared" ref="AE66" ca="1" si="205">AE67*AE68*(1+AE71)</f>
        <v>8910</v>
      </c>
      <c r="AF66" s="22">
        <f t="shared" ref="AF66" ca="1" si="206">AF67*AF68*(1+AF71)</f>
        <v>8910</v>
      </c>
      <c r="AG66" s="22">
        <f t="shared" ref="AG66" ca="1" si="207">AG67*AG68*(1+AG71)</f>
        <v>8910</v>
      </c>
      <c r="AH66" s="22">
        <f t="shared" ref="AH66" ca="1" si="208">AH67*AH68*(1+AH71)</f>
        <v>8910</v>
      </c>
      <c r="AI66" s="22">
        <f t="shared" ref="AI66" ca="1" si="209">AI67*AI68*(1+AI71)</f>
        <v>8910</v>
      </c>
      <c r="AJ66" s="22">
        <f t="shared" ref="AJ66" ca="1" si="210">AJ67*AJ68*(1+AJ71)</f>
        <v>8910</v>
      </c>
      <c r="AK66" s="22">
        <f t="shared" ref="AK66" ca="1" si="211">AK67*AK68*(1+AK71)</f>
        <v>8910</v>
      </c>
      <c r="AL66" s="22">
        <f t="shared" ref="AL66" ca="1" si="212">AL67*AL68*(1+AL71)</f>
        <v>8910</v>
      </c>
      <c r="AR66" s="16" t="s">
        <v>295</v>
      </c>
      <c r="AS66" s="224" t="s">
        <v>296</v>
      </c>
      <c r="AU66" s="22">
        <f ca="1">AU67*AU68*(1+AU71)</f>
        <v>8550</v>
      </c>
      <c r="AV66" s="22">
        <f t="shared" ref="AV66" ca="1" si="213">AV67*AV68*(1+AV71)</f>
        <v>8550</v>
      </c>
      <c r="AW66" s="22">
        <f t="shared" ref="AW66" ca="1" si="214">AW67*AW68*(1+AW71)</f>
        <v>8550</v>
      </c>
      <c r="AX66" s="22">
        <f t="shared" ref="AX66" ca="1" si="215">AX67*AX68*(1+AX71)</f>
        <v>8550</v>
      </c>
      <c r="AY66" s="22">
        <f t="shared" ref="AY66" ca="1" si="216">AY67*AY68*(1+AY71)</f>
        <v>8550</v>
      </c>
      <c r="AZ66" s="22">
        <f t="shared" ref="AZ66" ca="1" si="217">AZ67*AZ68*(1+AZ71)</f>
        <v>8550</v>
      </c>
      <c r="BA66" s="22">
        <f t="shared" ref="BA66" ca="1" si="218">BA67*BA68*(1+BA71)</f>
        <v>8550</v>
      </c>
      <c r="BB66" s="22">
        <f t="shared" ref="BB66" ca="1" si="219">BB67*BB68*(1+BB71)</f>
        <v>8550</v>
      </c>
      <c r="BC66" s="22">
        <f t="shared" ref="BC66" ca="1" si="220">BC67*BC68*(1+BC71)</f>
        <v>8550</v>
      </c>
      <c r="BD66" s="22">
        <f t="shared" ref="BD66" ca="1" si="221">BD67*BD68*(1+BD71)</f>
        <v>8550</v>
      </c>
      <c r="BE66" s="22">
        <f t="shared" ref="BE66" ca="1" si="222">BE67*BE68*(1+BE71)</f>
        <v>8550</v>
      </c>
      <c r="BF66" s="22">
        <f t="shared" ref="BF66" ca="1" si="223">BF67*BF68*(1+BF71)</f>
        <v>8550</v>
      </c>
      <c r="BL66" s="16" t="s">
        <v>295</v>
      </c>
      <c r="BM66" s="224" t="s">
        <v>296</v>
      </c>
      <c r="BO66" s="22">
        <f ca="1">BO67*BO68*(1+BO71)</f>
        <v>8550</v>
      </c>
      <c r="BP66" s="22">
        <f t="shared" ref="BP66" ca="1" si="224">BP67*BP68*(1+BP71)</f>
        <v>8550</v>
      </c>
      <c r="BQ66" s="22">
        <f t="shared" ref="BQ66" ca="1" si="225">BQ67*BQ68*(1+BQ71)</f>
        <v>8550</v>
      </c>
      <c r="BR66" s="22">
        <f t="shared" ref="BR66" ca="1" si="226">BR67*BR68*(1+BR71)</f>
        <v>8550</v>
      </c>
      <c r="BS66" s="22">
        <f t="shared" ref="BS66" ca="1" si="227">BS67*BS68*(1+BS71)</f>
        <v>8550</v>
      </c>
      <c r="BT66" s="22">
        <f t="shared" ref="BT66" ca="1" si="228">BT67*BT68*(1+BT71)</f>
        <v>8550</v>
      </c>
      <c r="BU66" s="22">
        <f t="shared" ref="BU66" ca="1" si="229">BU67*BU68*(1+BU71)</f>
        <v>8550</v>
      </c>
      <c r="BV66" s="22">
        <f t="shared" ref="BV66" ca="1" si="230">BV67*BV68*(1+BV71)</f>
        <v>8550</v>
      </c>
      <c r="BW66" s="22">
        <f t="shared" ref="BW66" ca="1" si="231">BW67*BW68*(1+BW71)</f>
        <v>8550</v>
      </c>
      <c r="BX66" s="22">
        <f t="shared" ref="BX66" ca="1" si="232">BX67*BX68*(1+BX71)</f>
        <v>8550</v>
      </c>
      <c r="BY66" s="22">
        <f t="shared" ref="BY66" ca="1" si="233">BY67*BY68*(1+BY71)</f>
        <v>8550</v>
      </c>
      <c r="BZ66" s="22">
        <f t="shared" ref="BZ66" ca="1" si="234">BZ67*BZ68*(1+BZ71)</f>
        <v>8550</v>
      </c>
      <c r="CF66" s="16" t="s">
        <v>295</v>
      </c>
      <c r="CG66" s="224" t="s">
        <v>296</v>
      </c>
      <c r="CI66" s="22">
        <f ca="1">CI67*CI68*(1+CI71)</f>
        <v>8550</v>
      </c>
      <c r="CJ66" s="22">
        <f t="shared" ref="CJ66" ca="1" si="235">CJ67*CJ68*(1+CJ71)</f>
        <v>8550</v>
      </c>
      <c r="CK66" s="22">
        <f t="shared" ref="CK66" ca="1" si="236">CK67*CK68*(1+CK71)</f>
        <v>8550</v>
      </c>
      <c r="CL66" s="22">
        <f t="shared" ref="CL66" ca="1" si="237">CL67*CL68*(1+CL71)</f>
        <v>8550</v>
      </c>
      <c r="CM66" s="22">
        <f t="shared" ref="CM66" ca="1" si="238">CM67*CM68*(1+CM71)</f>
        <v>8550</v>
      </c>
      <c r="CN66" s="22">
        <f t="shared" ref="CN66" ca="1" si="239">CN67*CN68*(1+CN71)</f>
        <v>8550</v>
      </c>
      <c r="CO66" s="22">
        <f t="shared" ref="CO66" ca="1" si="240">CO67*CO68*(1+CO71)</f>
        <v>8550</v>
      </c>
      <c r="CP66" s="22">
        <f t="shared" ref="CP66" ca="1" si="241">CP67*CP68*(1+CP71)</f>
        <v>8550</v>
      </c>
      <c r="CQ66" s="22">
        <f t="shared" ref="CQ66" ca="1" si="242">CQ67*CQ68*(1+CQ71)</f>
        <v>8550</v>
      </c>
      <c r="CR66" s="22">
        <f t="shared" ref="CR66" ca="1" si="243">CR67*CR68*(1+CR71)</f>
        <v>8550</v>
      </c>
      <c r="CS66" s="22">
        <f t="shared" ref="CS66" ca="1" si="244">CS67*CS68*(1+CS71)</f>
        <v>8550</v>
      </c>
      <c r="CT66" s="22">
        <f t="shared" ref="CT66" ca="1" si="245">CT67*CT68*(1+CT71)</f>
        <v>8550</v>
      </c>
    </row>
    <row r="67" spans="3:100" outlineLevel="1" x14ac:dyDescent="0.2">
      <c r="C67" s="97"/>
      <c r="D67" s="16" t="s">
        <v>297</v>
      </c>
      <c r="E67" s="224" t="s">
        <v>178</v>
      </c>
      <c r="F67" s="290">
        <f>F$17</f>
        <v>1</v>
      </c>
      <c r="G67" s="23">
        <f>G$17</f>
        <v>1</v>
      </c>
      <c r="H67" s="23">
        <f t="shared" ref="H67:R67" si="246">H$17</f>
        <v>1</v>
      </c>
      <c r="I67" s="23">
        <f t="shared" si="246"/>
        <v>1</v>
      </c>
      <c r="J67" s="23">
        <f t="shared" si="246"/>
        <v>1</v>
      </c>
      <c r="K67" s="23">
        <f t="shared" si="246"/>
        <v>1</v>
      </c>
      <c r="L67" s="23">
        <f t="shared" si="246"/>
        <v>1</v>
      </c>
      <c r="M67" s="23">
        <f t="shared" si="246"/>
        <v>1</v>
      </c>
      <c r="N67" s="23">
        <f t="shared" si="246"/>
        <v>1</v>
      </c>
      <c r="O67" s="23">
        <f t="shared" si="246"/>
        <v>1</v>
      </c>
      <c r="P67" s="23">
        <f t="shared" si="246"/>
        <v>1</v>
      </c>
      <c r="Q67" s="23">
        <f t="shared" si="246"/>
        <v>1</v>
      </c>
      <c r="R67" s="23">
        <f t="shared" si="246"/>
        <v>1</v>
      </c>
      <c r="X67" s="16" t="s">
        <v>297</v>
      </c>
      <c r="Y67" s="224" t="s">
        <v>178</v>
      </c>
      <c r="Z67" s="290">
        <f>Z$17</f>
        <v>0.99</v>
      </c>
      <c r="AA67" s="23">
        <f>AA$17</f>
        <v>0.99</v>
      </c>
      <c r="AB67" s="23">
        <f t="shared" ref="AB67:AL67" si="247">AB$17</f>
        <v>0.99</v>
      </c>
      <c r="AC67" s="23">
        <f t="shared" si="247"/>
        <v>0.99</v>
      </c>
      <c r="AD67" s="23">
        <f t="shared" si="247"/>
        <v>0.99</v>
      </c>
      <c r="AE67" s="23">
        <f t="shared" si="247"/>
        <v>0.99</v>
      </c>
      <c r="AF67" s="23">
        <f t="shared" si="247"/>
        <v>0.99</v>
      </c>
      <c r="AG67" s="23">
        <f t="shared" si="247"/>
        <v>0.99</v>
      </c>
      <c r="AH67" s="23">
        <f t="shared" si="247"/>
        <v>0.99</v>
      </c>
      <c r="AI67" s="23">
        <f t="shared" si="247"/>
        <v>0.99</v>
      </c>
      <c r="AJ67" s="23">
        <f t="shared" si="247"/>
        <v>0.99</v>
      </c>
      <c r="AK67" s="23">
        <f t="shared" si="247"/>
        <v>0.99</v>
      </c>
      <c r="AL67" s="23">
        <f t="shared" si="247"/>
        <v>0.99</v>
      </c>
      <c r="AR67" s="16" t="s">
        <v>297</v>
      </c>
      <c r="AS67" s="224" t="s">
        <v>178</v>
      </c>
      <c r="AT67" s="290">
        <f>AT$17</f>
        <v>0.95</v>
      </c>
      <c r="AU67" s="23">
        <f>AU$17</f>
        <v>0.95</v>
      </c>
      <c r="AV67" s="23">
        <f t="shared" ref="AV67:BF67" si="248">AV$17</f>
        <v>0.95</v>
      </c>
      <c r="AW67" s="23">
        <f t="shared" si="248"/>
        <v>0.95</v>
      </c>
      <c r="AX67" s="23">
        <f t="shared" si="248"/>
        <v>0.95</v>
      </c>
      <c r="AY67" s="23">
        <f t="shared" si="248"/>
        <v>0.95</v>
      </c>
      <c r="AZ67" s="23">
        <f t="shared" si="248"/>
        <v>0.95</v>
      </c>
      <c r="BA67" s="23">
        <f t="shared" si="248"/>
        <v>0.95</v>
      </c>
      <c r="BB67" s="23">
        <f t="shared" si="248"/>
        <v>0.95</v>
      </c>
      <c r="BC67" s="23">
        <f t="shared" si="248"/>
        <v>0.95</v>
      </c>
      <c r="BD67" s="23">
        <f t="shared" si="248"/>
        <v>0.95</v>
      </c>
      <c r="BE67" s="23">
        <f t="shared" si="248"/>
        <v>0.95</v>
      </c>
      <c r="BF67" s="23">
        <f t="shared" si="248"/>
        <v>0.95</v>
      </c>
      <c r="BL67" s="16" t="s">
        <v>297</v>
      </c>
      <c r="BM67" s="224" t="s">
        <v>178</v>
      </c>
      <c r="BN67" s="290">
        <f>BN$17</f>
        <v>0.95</v>
      </c>
      <c r="BO67" s="23">
        <f>BO$17</f>
        <v>0.95</v>
      </c>
      <c r="BP67" s="23">
        <f t="shared" ref="BP67:BZ67" si="249">BP$17</f>
        <v>0.95</v>
      </c>
      <c r="BQ67" s="23">
        <f t="shared" si="249"/>
        <v>0.95</v>
      </c>
      <c r="BR67" s="23">
        <f t="shared" si="249"/>
        <v>0.95</v>
      </c>
      <c r="BS67" s="23">
        <f t="shared" si="249"/>
        <v>0.95</v>
      </c>
      <c r="BT67" s="23">
        <f t="shared" si="249"/>
        <v>0.95</v>
      </c>
      <c r="BU67" s="23">
        <f t="shared" si="249"/>
        <v>0.95</v>
      </c>
      <c r="BV67" s="23">
        <f t="shared" si="249"/>
        <v>0.95</v>
      </c>
      <c r="BW67" s="23">
        <f t="shared" si="249"/>
        <v>0.95</v>
      </c>
      <c r="BX67" s="23">
        <f t="shared" si="249"/>
        <v>0.95</v>
      </c>
      <c r="BY67" s="23">
        <f t="shared" si="249"/>
        <v>0.95</v>
      </c>
      <c r="BZ67" s="23">
        <f t="shared" si="249"/>
        <v>0.95</v>
      </c>
      <c r="CF67" s="16" t="s">
        <v>297</v>
      </c>
      <c r="CG67" s="224" t="s">
        <v>178</v>
      </c>
      <c r="CH67" s="290">
        <f>CH$17</f>
        <v>0.95</v>
      </c>
      <c r="CI67" s="23">
        <f>CI$17</f>
        <v>0.95</v>
      </c>
      <c r="CJ67" s="23">
        <f t="shared" ref="CJ67:CT67" si="250">CJ$17</f>
        <v>0.95</v>
      </c>
      <c r="CK67" s="23">
        <f t="shared" si="250"/>
        <v>0.95</v>
      </c>
      <c r="CL67" s="23">
        <f t="shared" si="250"/>
        <v>0.95</v>
      </c>
      <c r="CM67" s="23">
        <f t="shared" si="250"/>
        <v>0.95</v>
      </c>
      <c r="CN67" s="23">
        <f t="shared" si="250"/>
        <v>0.95</v>
      </c>
      <c r="CO67" s="23">
        <f t="shared" si="250"/>
        <v>0.95</v>
      </c>
      <c r="CP67" s="23">
        <f t="shared" si="250"/>
        <v>0.95</v>
      </c>
      <c r="CQ67" s="23">
        <f t="shared" si="250"/>
        <v>0.95</v>
      </c>
      <c r="CR67" s="23">
        <f t="shared" si="250"/>
        <v>0.95</v>
      </c>
      <c r="CS67" s="23">
        <f t="shared" si="250"/>
        <v>0.95</v>
      </c>
      <c r="CT67" s="23">
        <f t="shared" si="250"/>
        <v>0.95</v>
      </c>
    </row>
    <row r="68" spans="3:100" outlineLevel="1" x14ac:dyDescent="0.2">
      <c r="C68" s="3"/>
      <c r="D68" s="16" t="s">
        <v>298</v>
      </c>
      <c r="E68" s="224" t="s">
        <v>296</v>
      </c>
      <c r="F68" s="224" t="str">
        <f>_xlfn.TEXTJOIN(keydelim,TRUE,$D68,F$10)</f>
        <v>Fuel tank size - Medium</v>
      </c>
      <c r="G68" s="22">
        <f ca="1">INDEX('Vessel Profiles - Input'!$G$1:$L$105,MATCH($F68,'Vessel Profiles - Input'!$E$1:$E$105,0),MATCH(G$9,'Vessel Profiles - Input'!$G$3:$L$3,0))</f>
        <v>9000</v>
      </c>
      <c r="H68" s="22">
        <f ca="1">INDEX('Vessel Profiles - Input'!$G$1:$L$105,MATCH($F68,'Vessel Profiles - Input'!$E$1:$E$105,0),MATCH(H$9,'Vessel Profiles - Input'!$G$3:$L$3,0))</f>
        <v>9000</v>
      </c>
      <c r="I68" s="22">
        <f ca="1">INDEX('Vessel Profiles - Input'!$G$1:$L$105,MATCH($F68,'Vessel Profiles - Input'!$E$1:$E$105,0),MATCH(I$9,'Vessel Profiles - Input'!$G$3:$L$3,0))</f>
        <v>9000</v>
      </c>
      <c r="J68" s="22">
        <f ca="1">INDEX('Vessel Profiles - Input'!$G$1:$L$105,MATCH($F68,'Vessel Profiles - Input'!$E$1:$E$105,0),MATCH(J$9,'Vessel Profiles - Input'!$G$3:$L$3,0))</f>
        <v>9000</v>
      </c>
      <c r="K68" s="22">
        <f ca="1">INDEX('Vessel Profiles - Input'!$G$1:$L$105,MATCH($F68,'Vessel Profiles - Input'!$E$1:$E$105,0),MATCH(K$9,'Vessel Profiles - Input'!$G$3:$L$3,0))</f>
        <v>9000</v>
      </c>
      <c r="L68" s="22">
        <f ca="1">INDEX('Vessel Profiles - Input'!$G$1:$L$105,MATCH($F68,'Vessel Profiles - Input'!$E$1:$E$105,0),MATCH(L$9,'Vessel Profiles - Input'!$G$3:$L$3,0))</f>
        <v>9000</v>
      </c>
      <c r="M68" s="22">
        <f ca="1">INDEX('Vessel Profiles - Input'!$G$1:$L$105,MATCH($F68,'Vessel Profiles - Input'!$E$1:$E$105,0),MATCH(M$9,'Vessel Profiles - Input'!$G$3:$L$3,0))</f>
        <v>9000</v>
      </c>
      <c r="N68" s="22">
        <f ca="1">INDEX('Vessel Profiles - Input'!$G$1:$L$105,MATCH($F68,'Vessel Profiles - Input'!$E$1:$E$105,0),MATCH(N$9,'Vessel Profiles - Input'!$G$3:$L$3,0))</f>
        <v>9000</v>
      </c>
      <c r="O68" s="22">
        <f ca="1">INDEX('Vessel Profiles - Input'!$G$1:$L$105,MATCH($F68,'Vessel Profiles - Input'!$E$1:$E$105,0),MATCH(O$9,'Vessel Profiles - Input'!$G$3:$L$3,0))</f>
        <v>9000</v>
      </c>
      <c r="P68" s="22">
        <f ca="1">INDEX('Vessel Profiles - Input'!$G$1:$L$105,MATCH($F68,'Vessel Profiles - Input'!$E$1:$E$105,0),MATCH(P$9,'Vessel Profiles - Input'!$G$3:$L$3,0))</f>
        <v>9000</v>
      </c>
      <c r="Q68" s="22">
        <f ca="1">INDEX('Vessel Profiles - Input'!$G$1:$L$105,MATCH($F68,'Vessel Profiles - Input'!$E$1:$E$105,0),MATCH(Q$9,'Vessel Profiles - Input'!$G$3:$L$3,0))</f>
        <v>9000</v>
      </c>
      <c r="R68" s="22">
        <f ca="1">INDEX('Vessel Profiles - Input'!$G$1:$L$105,MATCH($F68,'Vessel Profiles - Input'!$E$1:$E$105,0),MATCH(R$9,'Vessel Profiles - Input'!$G$3:$L$3,0))</f>
        <v>9000</v>
      </c>
      <c r="X68" s="16" t="s">
        <v>298</v>
      </c>
      <c r="Y68" s="224" t="s">
        <v>296</v>
      </c>
      <c r="Z68" s="224" t="str">
        <f>_xlfn.TEXTJOIN(keydelim,TRUE,$D68,Z$10)</f>
        <v>Fuel tank size - Medium</v>
      </c>
      <c r="AA68" s="22">
        <f ca="1">INDEX('Vessel Profiles - Input'!$G$1:$L$105,MATCH($F68,'Vessel Profiles - Input'!$E$1:$E$105,0),MATCH(AA$9,'Vessel Profiles - Input'!$G$3:$L$3,0))</f>
        <v>9000</v>
      </c>
      <c r="AB68" s="22">
        <f ca="1">INDEX('Vessel Profiles - Input'!$G$1:$L$105,MATCH($F68,'Vessel Profiles - Input'!$E$1:$E$105,0),MATCH(AB$9,'Vessel Profiles - Input'!$G$3:$L$3,0))</f>
        <v>9000</v>
      </c>
      <c r="AC68" s="22">
        <f ca="1">INDEX('Vessel Profiles - Input'!$G$1:$L$105,MATCH($F68,'Vessel Profiles - Input'!$E$1:$E$105,0),MATCH(AC$9,'Vessel Profiles - Input'!$G$3:$L$3,0))</f>
        <v>9000</v>
      </c>
      <c r="AD68" s="22">
        <f ca="1">INDEX('Vessel Profiles - Input'!$G$1:$L$105,MATCH($F68,'Vessel Profiles - Input'!$E$1:$E$105,0),MATCH(AD$9,'Vessel Profiles - Input'!$G$3:$L$3,0))</f>
        <v>9000</v>
      </c>
      <c r="AE68" s="22">
        <f ca="1">INDEX('Vessel Profiles - Input'!$G$1:$L$105,MATCH($F68,'Vessel Profiles - Input'!$E$1:$E$105,0),MATCH(AE$9,'Vessel Profiles - Input'!$G$3:$L$3,0))</f>
        <v>9000</v>
      </c>
      <c r="AF68" s="22">
        <f ca="1">INDEX('Vessel Profiles - Input'!$G$1:$L$105,MATCH($F68,'Vessel Profiles - Input'!$E$1:$E$105,0),MATCH(AF$9,'Vessel Profiles - Input'!$G$3:$L$3,0))</f>
        <v>9000</v>
      </c>
      <c r="AG68" s="22">
        <f ca="1">INDEX('Vessel Profiles - Input'!$G$1:$L$105,MATCH($F68,'Vessel Profiles - Input'!$E$1:$E$105,0),MATCH(AG$9,'Vessel Profiles - Input'!$G$3:$L$3,0))</f>
        <v>9000</v>
      </c>
      <c r="AH68" s="22">
        <f ca="1">INDEX('Vessel Profiles - Input'!$G$1:$L$105,MATCH($F68,'Vessel Profiles - Input'!$E$1:$E$105,0),MATCH(AH$9,'Vessel Profiles - Input'!$G$3:$L$3,0))</f>
        <v>9000</v>
      </c>
      <c r="AI68" s="22">
        <f ca="1">INDEX('Vessel Profiles - Input'!$G$1:$L$105,MATCH($F68,'Vessel Profiles - Input'!$E$1:$E$105,0),MATCH(AI$9,'Vessel Profiles - Input'!$G$3:$L$3,0))</f>
        <v>9000</v>
      </c>
      <c r="AJ68" s="22">
        <f ca="1">INDEX('Vessel Profiles - Input'!$G$1:$L$105,MATCH($F68,'Vessel Profiles - Input'!$E$1:$E$105,0),MATCH(AJ$9,'Vessel Profiles - Input'!$G$3:$L$3,0))</f>
        <v>9000</v>
      </c>
      <c r="AK68" s="22">
        <f ca="1">INDEX('Vessel Profiles - Input'!$G$1:$L$105,MATCH($F68,'Vessel Profiles - Input'!$E$1:$E$105,0),MATCH(AK$9,'Vessel Profiles - Input'!$G$3:$L$3,0))</f>
        <v>9000</v>
      </c>
      <c r="AL68" s="22">
        <f ca="1">INDEX('Vessel Profiles - Input'!$G$1:$L$105,MATCH($F68,'Vessel Profiles - Input'!$E$1:$E$105,0),MATCH(AL$9,'Vessel Profiles - Input'!$G$3:$L$3,0))</f>
        <v>9000</v>
      </c>
      <c r="AR68" s="16" t="s">
        <v>298</v>
      </c>
      <c r="AS68" s="224" t="s">
        <v>296</v>
      </c>
      <c r="AT68" s="224" t="str">
        <f>_xlfn.TEXTJOIN(keydelim,TRUE,$D68,AT$10)</f>
        <v>Fuel tank size - Medium</v>
      </c>
      <c r="AU68" s="22">
        <f ca="1">INDEX('Vessel Profiles - Input'!$G$1:$L$105,MATCH($F68,'Vessel Profiles - Input'!$E$1:$E$105,0),MATCH(AU$9,'Vessel Profiles - Input'!$G$3:$L$3,0))</f>
        <v>9000</v>
      </c>
      <c r="AV68" s="22">
        <f ca="1">INDEX('Vessel Profiles - Input'!$G$1:$L$105,MATCH($F68,'Vessel Profiles - Input'!$E$1:$E$105,0),MATCH(AV$9,'Vessel Profiles - Input'!$G$3:$L$3,0))</f>
        <v>9000</v>
      </c>
      <c r="AW68" s="22">
        <f ca="1">INDEX('Vessel Profiles - Input'!$G$1:$L$105,MATCH($F68,'Vessel Profiles - Input'!$E$1:$E$105,0),MATCH(AW$9,'Vessel Profiles - Input'!$G$3:$L$3,0))</f>
        <v>9000</v>
      </c>
      <c r="AX68" s="22">
        <f ca="1">INDEX('Vessel Profiles - Input'!$G$1:$L$105,MATCH($F68,'Vessel Profiles - Input'!$E$1:$E$105,0),MATCH(AX$9,'Vessel Profiles - Input'!$G$3:$L$3,0))</f>
        <v>9000</v>
      </c>
      <c r="AY68" s="22">
        <f ca="1">INDEX('Vessel Profiles - Input'!$G$1:$L$105,MATCH($F68,'Vessel Profiles - Input'!$E$1:$E$105,0),MATCH(AY$9,'Vessel Profiles - Input'!$G$3:$L$3,0))</f>
        <v>9000</v>
      </c>
      <c r="AZ68" s="22">
        <f ca="1">INDEX('Vessel Profiles - Input'!$G$1:$L$105,MATCH($F68,'Vessel Profiles - Input'!$E$1:$E$105,0),MATCH(AZ$9,'Vessel Profiles - Input'!$G$3:$L$3,0))</f>
        <v>9000</v>
      </c>
      <c r="BA68" s="22">
        <f ca="1">INDEX('Vessel Profiles - Input'!$G$1:$L$105,MATCH($F68,'Vessel Profiles - Input'!$E$1:$E$105,0),MATCH(BA$9,'Vessel Profiles - Input'!$G$3:$L$3,0))</f>
        <v>9000</v>
      </c>
      <c r="BB68" s="22">
        <f ca="1">INDEX('Vessel Profiles - Input'!$G$1:$L$105,MATCH($F68,'Vessel Profiles - Input'!$E$1:$E$105,0),MATCH(BB$9,'Vessel Profiles - Input'!$G$3:$L$3,0))</f>
        <v>9000</v>
      </c>
      <c r="BC68" s="22">
        <f ca="1">INDEX('Vessel Profiles - Input'!$G$1:$L$105,MATCH($F68,'Vessel Profiles - Input'!$E$1:$E$105,0),MATCH(BC$9,'Vessel Profiles - Input'!$G$3:$L$3,0))</f>
        <v>9000</v>
      </c>
      <c r="BD68" s="22">
        <f ca="1">INDEX('Vessel Profiles - Input'!$G$1:$L$105,MATCH($F68,'Vessel Profiles - Input'!$E$1:$E$105,0),MATCH(BD$9,'Vessel Profiles - Input'!$G$3:$L$3,0))</f>
        <v>9000</v>
      </c>
      <c r="BE68" s="22">
        <f ca="1">INDEX('Vessel Profiles - Input'!$G$1:$L$105,MATCH($F68,'Vessel Profiles - Input'!$E$1:$E$105,0),MATCH(BE$9,'Vessel Profiles - Input'!$G$3:$L$3,0))</f>
        <v>9000</v>
      </c>
      <c r="BF68" s="22">
        <f ca="1">INDEX('Vessel Profiles - Input'!$G$1:$L$105,MATCH($F68,'Vessel Profiles - Input'!$E$1:$E$105,0),MATCH(BF$9,'Vessel Profiles - Input'!$G$3:$L$3,0))</f>
        <v>9000</v>
      </c>
      <c r="BL68" s="16" t="s">
        <v>298</v>
      </c>
      <c r="BM68" s="224" t="s">
        <v>296</v>
      </c>
      <c r="BN68" s="224" t="str">
        <f>_xlfn.TEXTJOIN(keydelim,TRUE,$D68,BN$10)</f>
        <v>Fuel tank size - Medium</v>
      </c>
      <c r="BO68" s="22">
        <f ca="1">INDEX('Vessel Profiles - Input'!$G$1:$L$105,MATCH($F68,'Vessel Profiles - Input'!$E$1:$E$105,0),MATCH(BO$9,'Vessel Profiles - Input'!$G$3:$L$3,0))</f>
        <v>9000</v>
      </c>
      <c r="BP68" s="22">
        <f ca="1">INDEX('Vessel Profiles - Input'!$G$1:$L$105,MATCH($F68,'Vessel Profiles - Input'!$E$1:$E$105,0),MATCH(BP$9,'Vessel Profiles - Input'!$G$3:$L$3,0))</f>
        <v>9000</v>
      </c>
      <c r="BQ68" s="22">
        <f ca="1">INDEX('Vessel Profiles - Input'!$G$1:$L$105,MATCH($F68,'Vessel Profiles - Input'!$E$1:$E$105,0),MATCH(BQ$9,'Vessel Profiles - Input'!$G$3:$L$3,0))</f>
        <v>9000</v>
      </c>
      <c r="BR68" s="22">
        <f ca="1">INDEX('Vessel Profiles - Input'!$G$1:$L$105,MATCH($F68,'Vessel Profiles - Input'!$E$1:$E$105,0),MATCH(BR$9,'Vessel Profiles - Input'!$G$3:$L$3,0))</f>
        <v>9000</v>
      </c>
      <c r="BS68" s="22">
        <f ca="1">INDEX('Vessel Profiles - Input'!$G$1:$L$105,MATCH($F68,'Vessel Profiles - Input'!$E$1:$E$105,0),MATCH(BS$9,'Vessel Profiles - Input'!$G$3:$L$3,0))</f>
        <v>9000</v>
      </c>
      <c r="BT68" s="22">
        <f ca="1">INDEX('Vessel Profiles - Input'!$G$1:$L$105,MATCH($F68,'Vessel Profiles - Input'!$E$1:$E$105,0),MATCH(BT$9,'Vessel Profiles - Input'!$G$3:$L$3,0))</f>
        <v>9000</v>
      </c>
      <c r="BU68" s="22">
        <f ca="1">INDEX('Vessel Profiles - Input'!$G$1:$L$105,MATCH($F68,'Vessel Profiles - Input'!$E$1:$E$105,0),MATCH(BU$9,'Vessel Profiles - Input'!$G$3:$L$3,0))</f>
        <v>9000</v>
      </c>
      <c r="BV68" s="22">
        <f ca="1">INDEX('Vessel Profiles - Input'!$G$1:$L$105,MATCH($F68,'Vessel Profiles - Input'!$E$1:$E$105,0),MATCH(BV$9,'Vessel Profiles - Input'!$G$3:$L$3,0))</f>
        <v>9000</v>
      </c>
      <c r="BW68" s="22">
        <f ca="1">INDEX('Vessel Profiles - Input'!$G$1:$L$105,MATCH($F68,'Vessel Profiles - Input'!$E$1:$E$105,0),MATCH(BW$9,'Vessel Profiles - Input'!$G$3:$L$3,0))</f>
        <v>9000</v>
      </c>
      <c r="BX68" s="22">
        <f ca="1">INDEX('Vessel Profiles - Input'!$G$1:$L$105,MATCH($F68,'Vessel Profiles - Input'!$E$1:$E$105,0),MATCH(BX$9,'Vessel Profiles - Input'!$G$3:$L$3,0))</f>
        <v>9000</v>
      </c>
      <c r="BY68" s="22">
        <f ca="1">INDEX('Vessel Profiles - Input'!$G$1:$L$105,MATCH($F68,'Vessel Profiles - Input'!$E$1:$E$105,0),MATCH(BY$9,'Vessel Profiles - Input'!$G$3:$L$3,0))</f>
        <v>9000</v>
      </c>
      <c r="BZ68" s="22">
        <f ca="1">INDEX('Vessel Profiles - Input'!$G$1:$L$105,MATCH($F68,'Vessel Profiles - Input'!$E$1:$E$105,0),MATCH(BZ$9,'Vessel Profiles - Input'!$G$3:$L$3,0))</f>
        <v>9000</v>
      </c>
      <c r="CF68" s="16" t="s">
        <v>298</v>
      </c>
      <c r="CG68" s="224" t="s">
        <v>296</v>
      </c>
      <c r="CH68" s="224" t="str">
        <f>_xlfn.TEXTJOIN(keydelim,TRUE,$D68,CH$10)</f>
        <v>Fuel tank size - Medium</v>
      </c>
      <c r="CI68" s="22">
        <f ca="1">INDEX('Vessel Profiles - Input'!$G$1:$L$105,MATCH($F68,'Vessel Profiles - Input'!$E$1:$E$105,0),MATCH(CI$9,'Vessel Profiles - Input'!$G$3:$L$3,0))</f>
        <v>9000</v>
      </c>
      <c r="CJ68" s="22">
        <f ca="1">INDEX('Vessel Profiles - Input'!$G$1:$L$105,MATCH($F68,'Vessel Profiles - Input'!$E$1:$E$105,0),MATCH(CJ$9,'Vessel Profiles - Input'!$G$3:$L$3,0))</f>
        <v>9000</v>
      </c>
      <c r="CK68" s="22">
        <f ca="1">INDEX('Vessel Profiles - Input'!$G$1:$L$105,MATCH($F68,'Vessel Profiles - Input'!$E$1:$E$105,0),MATCH(CK$9,'Vessel Profiles - Input'!$G$3:$L$3,0))</f>
        <v>9000</v>
      </c>
      <c r="CL68" s="22">
        <f ca="1">INDEX('Vessel Profiles - Input'!$G$1:$L$105,MATCH($F68,'Vessel Profiles - Input'!$E$1:$E$105,0),MATCH(CL$9,'Vessel Profiles - Input'!$G$3:$L$3,0))</f>
        <v>9000</v>
      </c>
      <c r="CM68" s="22">
        <f ca="1">INDEX('Vessel Profiles - Input'!$G$1:$L$105,MATCH($F68,'Vessel Profiles - Input'!$E$1:$E$105,0),MATCH(CM$9,'Vessel Profiles - Input'!$G$3:$L$3,0))</f>
        <v>9000</v>
      </c>
      <c r="CN68" s="22">
        <f ca="1">INDEX('Vessel Profiles - Input'!$G$1:$L$105,MATCH($F68,'Vessel Profiles - Input'!$E$1:$E$105,0),MATCH(CN$9,'Vessel Profiles - Input'!$G$3:$L$3,0))</f>
        <v>9000</v>
      </c>
      <c r="CO68" s="22">
        <f ca="1">INDEX('Vessel Profiles - Input'!$G$1:$L$105,MATCH($F68,'Vessel Profiles - Input'!$E$1:$E$105,0),MATCH(CO$9,'Vessel Profiles - Input'!$G$3:$L$3,0))</f>
        <v>9000</v>
      </c>
      <c r="CP68" s="22">
        <f ca="1">INDEX('Vessel Profiles - Input'!$G$1:$L$105,MATCH($F68,'Vessel Profiles - Input'!$E$1:$E$105,0),MATCH(CP$9,'Vessel Profiles - Input'!$G$3:$L$3,0))</f>
        <v>9000</v>
      </c>
      <c r="CQ68" s="22">
        <f ca="1">INDEX('Vessel Profiles - Input'!$G$1:$L$105,MATCH($F68,'Vessel Profiles - Input'!$E$1:$E$105,0),MATCH(CQ$9,'Vessel Profiles - Input'!$G$3:$L$3,0))</f>
        <v>9000</v>
      </c>
      <c r="CR68" s="22">
        <f ca="1">INDEX('Vessel Profiles - Input'!$G$1:$L$105,MATCH($F68,'Vessel Profiles - Input'!$E$1:$E$105,0),MATCH(CR$9,'Vessel Profiles - Input'!$G$3:$L$3,0))</f>
        <v>9000</v>
      </c>
      <c r="CS68" s="22">
        <f ca="1">INDEX('Vessel Profiles - Input'!$G$1:$L$105,MATCH($F68,'Vessel Profiles - Input'!$E$1:$E$105,0),MATCH(CS$9,'Vessel Profiles - Input'!$G$3:$L$3,0))</f>
        <v>9000</v>
      </c>
      <c r="CT68" s="22">
        <f ca="1">INDEX('Vessel Profiles - Input'!$G$1:$L$105,MATCH($F68,'Vessel Profiles - Input'!$E$1:$E$105,0),MATCH(CT$9,'Vessel Profiles - Input'!$G$3:$L$3,0))</f>
        <v>9000</v>
      </c>
    </row>
    <row r="69" spans="3:100" outlineLevel="1" x14ac:dyDescent="0.2">
      <c r="C69" s="3"/>
      <c r="D69" s="59" t="s">
        <v>299</v>
      </c>
      <c r="E69" s="224" t="s">
        <v>300</v>
      </c>
      <c r="G69" s="52">
        <f t="shared" ref="G69:R69" ca="1" si="251">IFERROR(INDEX(tbl_TCO_input,MATCH(
_xlfn.TEXTJOIN(keydelim,TRUE,G$15,$D69),rows_TCO_ID,0),MATCH(G$6,cols_TCO_input,0)),0)</f>
        <v>0.9</v>
      </c>
      <c r="H69" s="52">
        <f t="shared" ca="1" si="251"/>
        <v>0.9</v>
      </c>
      <c r="I69" s="52">
        <f t="shared" ca="1" si="251"/>
        <v>0.9</v>
      </c>
      <c r="J69" s="52">
        <f t="shared" ca="1" si="251"/>
        <v>0.9</v>
      </c>
      <c r="K69" s="52">
        <f t="shared" ca="1" si="251"/>
        <v>0.9</v>
      </c>
      <c r="L69" s="52">
        <f t="shared" ca="1" si="251"/>
        <v>0.9</v>
      </c>
      <c r="M69" s="52">
        <f t="shared" ca="1" si="251"/>
        <v>0.9</v>
      </c>
      <c r="N69" s="52">
        <f t="shared" ca="1" si="251"/>
        <v>0.9</v>
      </c>
      <c r="O69" s="52">
        <f t="shared" ca="1" si="251"/>
        <v>0.9</v>
      </c>
      <c r="P69" s="52">
        <f t="shared" ca="1" si="251"/>
        <v>0.9</v>
      </c>
      <c r="Q69" s="52">
        <f t="shared" ca="1" si="251"/>
        <v>0.9</v>
      </c>
      <c r="R69" s="52">
        <f t="shared" ca="1" si="251"/>
        <v>0.9</v>
      </c>
      <c r="X69" s="59" t="s">
        <v>299</v>
      </c>
      <c r="Y69" s="224" t="s">
        <v>300</v>
      </c>
      <c r="AA69" s="52">
        <f t="shared" ref="AA69:AL69" ca="1" si="252">IFERROR(INDEX(tbl_TCO_input,MATCH(
_xlfn.TEXTJOIN(keydelim,TRUE,AA$15,$D69),rows_TCO_ID,0),MATCH(AA$6,cols_TCO_input,0)),0)</f>
        <v>0.43</v>
      </c>
      <c r="AB69" s="52">
        <f t="shared" ca="1" si="252"/>
        <v>0.43</v>
      </c>
      <c r="AC69" s="52">
        <f t="shared" ca="1" si="252"/>
        <v>0.43</v>
      </c>
      <c r="AD69" s="52">
        <f t="shared" ca="1" si="252"/>
        <v>0.43</v>
      </c>
      <c r="AE69" s="52">
        <f t="shared" ca="1" si="252"/>
        <v>0.43</v>
      </c>
      <c r="AF69" s="52">
        <f t="shared" ca="1" si="252"/>
        <v>0.43</v>
      </c>
      <c r="AG69" s="52">
        <f t="shared" ca="1" si="252"/>
        <v>0.43</v>
      </c>
      <c r="AH69" s="52">
        <f t="shared" ca="1" si="252"/>
        <v>0.43</v>
      </c>
      <c r="AI69" s="52">
        <f t="shared" ca="1" si="252"/>
        <v>0.43</v>
      </c>
      <c r="AJ69" s="52">
        <f t="shared" ca="1" si="252"/>
        <v>0.43</v>
      </c>
      <c r="AK69" s="52">
        <f t="shared" ca="1" si="252"/>
        <v>0.43</v>
      </c>
      <c r="AL69" s="52">
        <f t="shared" ca="1" si="252"/>
        <v>0.43</v>
      </c>
      <c r="AR69" s="59" t="s">
        <v>299</v>
      </c>
      <c r="AS69" s="224" t="s">
        <v>300</v>
      </c>
      <c r="AU69" s="52">
        <f t="shared" ref="AU69:BF69" ca="1" si="253">IFERROR(INDEX(tbl_TCO_input,MATCH(
_xlfn.TEXTJOIN(keydelim,TRUE,AU$15,$D69),rows_TCO_ID,0),MATCH(AU$6,cols_TCO_input,0)),0)</f>
        <v>0.62250000000000005</v>
      </c>
      <c r="AV69" s="52">
        <f t="shared" ca="1" si="253"/>
        <v>0.62250000000000005</v>
      </c>
      <c r="AW69" s="52">
        <f t="shared" ca="1" si="253"/>
        <v>0.62250000000000005</v>
      </c>
      <c r="AX69" s="52">
        <f t="shared" ca="1" si="253"/>
        <v>0.62250000000000005</v>
      </c>
      <c r="AY69" s="52">
        <f t="shared" ca="1" si="253"/>
        <v>0.62250000000000005</v>
      </c>
      <c r="AZ69" s="52">
        <f t="shared" ca="1" si="253"/>
        <v>0.62250000000000005</v>
      </c>
      <c r="BA69" s="52">
        <f t="shared" ca="1" si="253"/>
        <v>0.62250000000000005</v>
      </c>
      <c r="BB69" s="52">
        <f t="shared" ca="1" si="253"/>
        <v>0.62250000000000005</v>
      </c>
      <c r="BC69" s="52">
        <f t="shared" ca="1" si="253"/>
        <v>0.62250000000000005</v>
      </c>
      <c r="BD69" s="52">
        <f t="shared" ca="1" si="253"/>
        <v>0.62250000000000005</v>
      </c>
      <c r="BE69" s="52">
        <f t="shared" ca="1" si="253"/>
        <v>0.62250000000000005</v>
      </c>
      <c r="BF69" s="52">
        <f t="shared" ca="1" si="253"/>
        <v>0.62250000000000005</v>
      </c>
      <c r="BL69" s="59" t="s">
        <v>299</v>
      </c>
      <c r="BM69" s="224" t="s">
        <v>300</v>
      </c>
      <c r="BO69" s="52">
        <f t="shared" ref="BO69:BZ69" ca="1" si="254">IFERROR(INDEX(tbl_TCO_input,MATCH(
_xlfn.TEXTJOIN(keydelim,TRUE,BO$15,$D69),rows_TCO_ID,0),MATCH(BO$6,cols_TCO_input,0)),0)</f>
        <v>0.62250000000000005</v>
      </c>
      <c r="BP69" s="52">
        <f t="shared" ca="1" si="254"/>
        <v>0.62250000000000005</v>
      </c>
      <c r="BQ69" s="52">
        <f t="shared" ca="1" si="254"/>
        <v>0.62250000000000005</v>
      </c>
      <c r="BR69" s="52">
        <f t="shared" ca="1" si="254"/>
        <v>0.62250000000000005</v>
      </c>
      <c r="BS69" s="52">
        <f t="shared" ca="1" si="254"/>
        <v>0.62250000000000005</v>
      </c>
      <c r="BT69" s="52">
        <f t="shared" ca="1" si="254"/>
        <v>0.62250000000000005</v>
      </c>
      <c r="BU69" s="52">
        <f t="shared" ca="1" si="254"/>
        <v>0.62250000000000005</v>
      </c>
      <c r="BV69" s="52">
        <f t="shared" ca="1" si="254"/>
        <v>0.62250000000000005</v>
      </c>
      <c r="BW69" s="52">
        <f t="shared" ca="1" si="254"/>
        <v>0.62250000000000005</v>
      </c>
      <c r="BX69" s="52">
        <f t="shared" ca="1" si="254"/>
        <v>0.62250000000000005</v>
      </c>
      <c r="BY69" s="52">
        <f t="shared" ca="1" si="254"/>
        <v>0.62250000000000005</v>
      </c>
      <c r="BZ69" s="52">
        <f t="shared" ca="1" si="254"/>
        <v>0.62250000000000005</v>
      </c>
      <c r="CF69" s="59" t="s">
        <v>299</v>
      </c>
      <c r="CG69" s="224" t="s">
        <v>300</v>
      </c>
      <c r="CI69" s="52">
        <f t="shared" ref="CI69:CT69" ca="1" si="255">IFERROR(INDEX(tbl_TCO_input,MATCH(
_xlfn.TEXTJOIN(keydelim,TRUE,CI$15,$D69),rows_TCO_ID,0),MATCH(CI$6,cols_TCO_input,0)),0)</f>
        <v>0.79</v>
      </c>
      <c r="CJ69" s="52">
        <f t="shared" ca="1" si="255"/>
        <v>0.79</v>
      </c>
      <c r="CK69" s="52">
        <f t="shared" ca="1" si="255"/>
        <v>0.79</v>
      </c>
      <c r="CL69" s="52">
        <f t="shared" ca="1" si="255"/>
        <v>0.79</v>
      </c>
      <c r="CM69" s="52">
        <f t="shared" ca="1" si="255"/>
        <v>0.79</v>
      </c>
      <c r="CN69" s="52">
        <f t="shared" ca="1" si="255"/>
        <v>0.79</v>
      </c>
      <c r="CO69" s="52">
        <f t="shared" ca="1" si="255"/>
        <v>0.79</v>
      </c>
      <c r="CP69" s="52">
        <f t="shared" ca="1" si="255"/>
        <v>0.79</v>
      </c>
      <c r="CQ69" s="52">
        <f t="shared" ca="1" si="255"/>
        <v>0.79</v>
      </c>
      <c r="CR69" s="52">
        <f t="shared" ca="1" si="255"/>
        <v>0.79</v>
      </c>
      <c r="CS69" s="52">
        <f t="shared" ca="1" si="255"/>
        <v>0.79</v>
      </c>
      <c r="CT69" s="52">
        <f t="shared" ca="1" si="255"/>
        <v>0.79</v>
      </c>
    </row>
    <row r="70" spans="3:100" outlineLevel="1" x14ac:dyDescent="0.2">
      <c r="C70" s="3"/>
      <c r="D70" s="16" t="s">
        <v>301</v>
      </c>
      <c r="E70" s="224" t="s">
        <v>302</v>
      </c>
      <c r="G70" s="22">
        <f ca="1">G74/G73*G72*(1+G71)</f>
        <v>0</v>
      </c>
      <c r="H70" s="22">
        <f t="shared" ref="H70:R70" ca="1" si="256">H74/H73*H72*(1+H71)</f>
        <v>0</v>
      </c>
      <c r="I70" s="22">
        <f t="shared" ca="1" si="256"/>
        <v>0</v>
      </c>
      <c r="J70" s="22">
        <f t="shared" ca="1" si="256"/>
        <v>0</v>
      </c>
      <c r="K70" s="22">
        <f t="shared" ca="1" si="256"/>
        <v>0</v>
      </c>
      <c r="L70" s="22">
        <f t="shared" ca="1" si="256"/>
        <v>0</v>
      </c>
      <c r="M70" s="22">
        <f t="shared" ca="1" si="256"/>
        <v>0</v>
      </c>
      <c r="N70" s="22">
        <f t="shared" ca="1" si="256"/>
        <v>0</v>
      </c>
      <c r="O70" s="22">
        <f t="shared" ca="1" si="256"/>
        <v>0</v>
      </c>
      <c r="P70" s="22">
        <f t="shared" ca="1" si="256"/>
        <v>0</v>
      </c>
      <c r="Q70" s="22">
        <f t="shared" ca="1" si="256"/>
        <v>0</v>
      </c>
      <c r="R70" s="22">
        <f t="shared" ca="1" si="256"/>
        <v>0</v>
      </c>
      <c r="X70" s="16" t="s">
        <v>301</v>
      </c>
      <c r="Y70" s="224" t="s">
        <v>302</v>
      </c>
      <c r="AA70" s="22">
        <f ca="1">AA74/AA73*AA72*(1+AA71)</f>
        <v>0</v>
      </c>
      <c r="AB70" s="22">
        <f t="shared" ref="AB70:AL70" ca="1" si="257">AB74/AB73*AB72*(1+AB71)</f>
        <v>0</v>
      </c>
      <c r="AC70" s="22">
        <f t="shared" ca="1" si="257"/>
        <v>0</v>
      </c>
      <c r="AD70" s="22">
        <f t="shared" ca="1" si="257"/>
        <v>0</v>
      </c>
      <c r="AE70" s="22">
        <f t="shared" ca="1" si="257"/>
        <v>0</v>
      </c>
      <c r="AF70" s="22">
        <f t="shared" ca="1" si="257"/>
        <v>0</v>
      </c>
      <c r="AG70" s="22">
        <f t="shared" ca="1" si="257"/>
        <v>0</v>
      </c>
      <c r="AH70" s="22">
        <f t="shared" ca="1" si="257"/>
        <v>0</v>
      </c>
      <c r="AI70" s="22">
        <f t="shared" ca="1" si="257"/>
        <v>0</v>
      </c>
      <c r="AJ70" s="22">
        <f t="shared" ca="1" si="257"/>
        <v>0</v>
      </c>
      <c r="AK70" s="22">
        <f t="shared" ca="1" si="257"/>
        <v>0</v>
      </c>
      <c r="AL70" s="22">
        <f t="shared" ca="1" si="257"/>
        <v>0</v>
      </c>
      <c r="AR70" s="16" t="s">
        <v>301</v>
      </c>
      <c r="AS70" s="224" t="s">
        <v>302</v>
      </c>
      <c r="AU70" s="22">
        <f ca="1">AU74/AU73*AU72*(1+AU71)</f>
        <v>0</v>
      </c>
      <c r="AV70" s="22">
        <f t="shared" ref="AV70:BF70" ca="1" si="258">AV74/AV73*AV72*(1+AV71)</f>
        <v>0</v>
      </c>
      <c r="AW70" s="22">
        <f t="shared" ca="1" si="258"/>
        <v>0</v>
      </c>
      <c r="AX70" s="22">
        <f t="shared" ca="1" si="258"/>
        <v>0</v>
      </c>
      <c r="AY70" s="22">
        <f t="shared" ca="1" si="258"/>
        <v>0</v>
      </c>
      <c r="AZ70" s="22">
        <f t="shared" ca="1" si="258"/>
        <v>0</v>
      </c>
      <c r="BA70" s="22">
        <f t="shared" ca="1" si="258"/>
        <v>0</v>
      </c>
      <c r="BB70" s="22">
        <f t="shared" ca="1" si="258"/>
        <v>0</v>
      </c>
      <c r="BC70" s="22">
        <f t="shared" ca="1" si="258"/>
        <v>0</v>
      </c>
      <c r="BD70" s="22">
        <f t="shared" ca="1" si="258"/>
        <v>0</v>
      </c>
      <c r="BE70" s="22">
        <f t="shared" ca="1" si="258"/>
        <v>0</v>
      </c>
      <c r="BF70" s="22">
        <f t="shared" ca="1" si="258"/>
        <v>0</v>
      </c>
      <c r="BL70" s="16" t="s">
        <v>301</v>
      </c>
      <c r="BM70" s="224" t="s">
        <v>302</v>
      </c>
      <c r="BO70" s="22">
        <f ca="1">BO74/BO73*BO72*(1+BO71)</f>
        <v>0</v>
      </c>
      <c r="BP70" s="22">
        <f t="shared" ref="BP70:BZ70" ca="1" si="259">BP74/BP73*BP72*(1+BP71)</f>
        <v>0</v>
      </c>
      <c r="BQ70" s="22">
        <f t="shared" ca="1" si="259"/>
        <v>0</v>
      </c>
      <c r="BR70" s="22">
        <f t="shared" ca="1" si="259"/>
        <v>0</v>
      </c>
      <c r="BS70" s="22">
        <f t="shared" ca="1" si="259"/>
        <v>0</v>
      </c>
      <c r="BT70" s="22">
        <f t="shared" ca="1" si="259"/>
        <v>0</v>
      </c>
      <c r="BU70" s="22">
        <f t="shared" ca="1" si="259"/>
        <v>0</v>
      </c>
      <c r="BV70" s="22">
        <f t="shared" ca="1" si="259"/>
        <v>0</v>
      </c>
      <c r="BW70" s="22">
        <f t="shared" ca="1" si="259"/>
        <v>0</v>
      </c>
      <c r="BX70" s="22">
        <f t="shared" ca="1" si="259"/>
        <v>0</v>
      </c>
      <c r="BY70" s="22">
        <f t="shared" ca="1" si="259"/>
        <v>0</v>
      </c>
      <c r="BZ70" s="22">
        <f t="shared" ca="1" si="259"/>
        <v>0</v>
      </c>
      <c r="CF70" s="16" t="s">
        <v>301</v>
      </c>
      <c r="CG70" s="224" t="s">
        <v>302</v>
      </c>
      <c r="CI70" s="22">
        <f ca="1">CI74/CI73*CI72*(1+CI71)</f>
        <v>0</v>
      </c>
      <c r="CJ70" s="22">
        <f t="shared" ref="CJ70:CT70" ca="1" si="260">CJ74/CJ73*CJ72*(1+CJ71)</f>
        <v>0</v>
      </c>
      <c r="CK70" s="22">
        <f t="shared" ca="1" si="260"/>
        <v>0</v>
      </c>
      <c r="CL70" s="22">
        <f t="shared" ca="1" si="260"/>
        <v>0</v>
      </c>
      <c r="CM70" s="22">
        <f t="shared" ca="1" si="260"/>
        <v>0</v>
      </c>
      <c r="CN70" s="22">
        <f t="shared" ca="1" si="260"/>
        <v>0</v>
      </c>
      <c r="CO70" s="22">
        <f t="shared" ca="1" si="260"/>
        <v>0</v>
      </c>
      <c r="CP70" s="22">
        <f t="shared" ca="1" si="260"/>
        <v>0</v>
      </c>
      <c r="CQ70" s="22">
        <f t="shared" ca="1" si="260"/>
        <v>0</v>
      </c>
      <c r="CR70" s="22">
        <f t="shared" ca="1" si="260"/>
        <v>0</v>
      </c>
      <c r="CS70" s="22">
        <f t="shared" ca="1" si="260"/>
        <v>0</v>
      </c>
      <c r="CT70" s="22">
        <f t="shared" ca="1" si="260"/>
        <v>0</v>
      </c>
    </row>
    <row r="71" spans="3:100" outlineLevel="1" x14ac:dyDescent="0.2">
      <c r="C71" s="3"/>
      <c r="D71" s="16" t="s">
        <v>303</v>
      </c>
      <c r="E71" s="224" t="s">
        <v>178</v>
      </c>
      <c r="F71" s="290"/>
      <c r="G71" s="23">
        <f>G$21</f>
        <v>0</v>
      </c>
      <c r="H71" s="23">
        <f t="shared" ref="H71:R71" si="261">H$21</f>
        <v>0</v>
      </c>
      <c r="I71" s="23">
        <f t="shared" si="261"/>
        <v>0</v>
      </c>
      <c r="J71" s="23">
        <f t="shared" si="261"/>
        <v>0</v>
      </c>
      <c r="K71" s="23">
        <f t="shared" si="261"/>
        <v>0</v>
      </c>
      <c r="L71" s="23">
        <f t="shared" si="261"/>
        <v>0</v>
      </c>
      <c r="M71" s="23">
        <f t="shared" si="261"/>
        <v>0</v>
      </c>
      <c r="N71" s="23">
        <f t="shared" si="261"/>
        <v>0</v>
      </c>
      <c r="O71" s="23">
        <f t="shared" si="261"/>
        <v>0</v>
      </c>
      <c r="P71" s="23">
        <f t="shared" si="261"/>
        <v>0</v>
      </c>
      <c r="Q71" s="23">
        <f t="shared" si="261"/>
        <v>0</v>
      </c>
      <c r="R71" s="23">
        <f t="shared" si="261"/>
        <v>0</v>
      </c>
      <c r="X71" s="16" t="s">
        <v>303</v>
      </c>
      <c r="Y71" s="224" t="s">
        <v>178</v>
      </c>
      <c r="Z71" s="290"/>
      <c r="AA71" s="23">
        <f>AA$21</f>
        <v>0</v>
      </c>
      <c r="AB71" s="23">
        <f t="shared" ref="AB71:AL71" si="262">AB$21</f>
        <v>0</v>
      </c>
      <c r="AC71" s="23">
        <f t="shared" si="262"/>
        <v>0</v>
      </c>
      <c r="AD71" s="23">
        <f t="shared" si="262"/>
        <v>0</v>
      </c>
      <c r="AE71" s="23">
        <f t="shared" si="262"/>
        <v>0</v>
      </c>
      <c r="AF71" s="23">
        <f t="shared" si="262"/>
        <v>0</v>
      </c>
      <c r="AG71" s="23">
        <f t="shared" si="262"/>
        <v>0</v>
      </c>
      <c r="AH71" s="23">
        <f t="shared" si="262"/>
        <v>0</v>
      </c>
      <c r="AI71" s="23">
        <f t="shared" si="262"/>
        <v>0</v>
      </c>
      <c r="AJ71" s="23">
        <f t="shared" si="262"/>
        <v>0</v>
      </c>
      <c r="AK71" s="23">
        <f t="shared" si="262"/>
        <v>0</v>
      </c>
      <c r="AL71" s="23">
        <f t="shared" si="262"/>
        <v>0</v>
      </c>
      <c r="AR71" s="16" t="s">
        <v>303</v>
      </c>
      <c r="AS71" s="224" t="s">
        <v>178</v>
      </c>
      <c r="AT71" s="290"/>
      <c r="AU71" s="23">
        <f>AU$21</f>
        <v>0</v>
      </c>
      <c r="AV71" s="23">
        <f t="shared" ref="AV71:BF71" si="263">AV$21</f>
        <v>0</v>
      </c>
      <c r="AW71" s="23">
        <f t="shared" si="263"/>
        <v>0</v>
      </c>
      <c r="AX71" s="23">
        <f t="shared" si="263"/>
        <v>0</v>
      </c>
      <c r="AY71" s="23">
        <f t="shared" si="263"/>
        <v>0</v>
      </c>
      <c r="AZ71" s="23">
        <f t="shared" si="263"/>
        <v>0</v>
      </c>
      <c r="BA71" s="23">
        <f t="shared" si="263"/>
        <v>0</v>
      </c>
      <c r="BB71" s="23">
        <f t="shared" si="263"/>
        <v>0</v>
      </c>
      <c r="BC71" s="23">
        <f t="shared" si="263"/>
        <v>0</v>
      </c>
      <c r="BD71" s="23">
        <f t="shared" si="263"/>
        <v>0</v>
      </c>
      <c r="BE71" s="23">
        <f t="shared" si="263"/>
        <v>0</v>
      </c>
      <c r="BF71" s="23">
        <f t="shared" si="263"/>
        <v>0</v>
      </c>
      <c r="BL71" s="16" t="s">
        <v>303</v>
      </c>
      <c r="BM71" s="224" t="s">
        <v>178</v>
      </c>
      <c r="BN71" s="290"/>
      <c r="BO71" s="23">
        <f>BO$21</f>
        <v>0</v>
      </c>
      <c r="BP71" s="23">
        <f t="shared" ref="BP71:BZ71" si="264">BP$21</f>
        <v>0</v>
      </c>
      <c r="BQ71" s="23">
        <f t="shared" si="264"/>
        <v>0</v>
      </c>
      <c r="BR71" s="23">
        <f t="shared" si="264"/>
        <v>0</v>
      </c>
      <c r="BS71" s="23">
        <f t="shared" si="264"/>
        <v>0</v>
      </c>
      <c r="BT71" s="23">
        <f t="shared" si="264"/>
        <v>0</v>
      </c>
      <c r="BU71" s="23">
        <f t="shared" si="264"/>
        <v>0</v>
      </c>
      <c r="BV71" s="23">
        <f t="shared" si="264"/>
        <v>0</v>
      </c>
      <c r="BW71" s="23">
        <f t="shared" si="264"/>
        <v>0</v>
      </c>
      <c r="BX71" s="23">
        <f t="shared" si="264"/>
        <v>0</v>
      </c>
      <c r="BY71" s="23">
        <f t="shared" si="264"/>
        <v>0</v>
      </c>
      <c r="BZ71" s="23">
        <f t="shared" si="264"/>
        <v>0</v>
      </c>
      <c r="CF71" s="16" t="s">
        <v>303</v>
      </c>
      <c r="CG71" s="224" t="s">
        <v>178</v>
      </c>
      <c r="CH71" s="290"/>
      <c r="CI71" s="23">
        <f>CI$21</f>
        <v>0</v>
      </c>
      <c r="CJ71" s="23">
        <f t="shared" ref="CJ71:CT71" si="265">CJ$21</f>
        <v>0</v>
      </c>
      <c r="CK71" s="23">
        <f t="shared" si="265"/>
        <v>0</v>
      </c>
      <c r="CL71" s="23">
        <f t="shared" si="265"/>
        <v>0</v>
      </c>
      <c r="CM71" s="23">
        <f t="shared" si="265"/>
        <v>0</v>
      </c>
      <c r="CN71" s="23">
        <f t="shared" si="265"/>
        <v>0</v>
      </c>
      <c r="CO71" s="23">
        <f t="shared" si="265"/>
        <v>0</v>
      </c>
      <c r="CP71" s="23">
        <f t="shared" si="265"/>
        <v>0</v>
      </c>
      <c r="CQ71" s="23">
        <f t="shared" si="265"/>
        <v>0</v>
      </c>
      <c r="CR71" s="23">
        <f t="shared" si="265"/>
        <v>0</v>
      </c>
      <c r="CS71" s="23">
        <f t="shared" si="265"/>
        <v>0</v>
      </c>
      <c r="CT71" s="23">
        <f t="shared" si="265"/>
        <v>0</v>
      </c>
    </row>
    <row r="72" spans="3:100" outlineLevel="1" x14ac:dyDescent="0.2">
      <c r="C72" s="3"/>
      <c r="D72" s="16" t="s">
        <v>304</v>
      </c>
      <c r="E72" s="224" t="s">
        <v>305</v>
      </c>
      <c r="F72" s="224" t="s">
        <v>306</v>
      </c>
      <c r="G72" s="22">
        <f>INDEX('Vessel Profiles - Input'!$C:$L,MATCH($F72,'Vessel Profiles - Input'!$C:$C,0),MATCH(G$9,'Vessel Profiles - Input'!$C$3:$L$3,0))</f>
        <v>0</v>
      </c>
      <c r="H72" s="22">
        <f>INDEX('Vessel Profiles - Input'!$C:$L,MATCH($F72,'Vessel Profiles - Input'!$C:$C,0),MATCH(H$9,'Vessel Profiles - Input'!$C$3:$L$3,0))</f>
        <v>0</v>
      </c>
      <c r="I72" s="22">
        <f>INDEX('Vessel Profiles - Input'!$C:$L,MATCH($F72,'Vessel Profiles - Input'!$C:$C,0),MATCH(I$9,'Vessel Profiles - Input'!$C$3:$L$3,0))</f>
        <v>0</v>
      </c>
      <c r="J72" s="22">
        <f>INDEX('Vessel Profiles - Input'!$C:$L,MATCH($F72,'Vessel Profiles - Input'!$C:$C,0),MATCH(J$9,'Vessel Profiles - Input'!$C$3:$L$3,0))</f>
        <v>0</v>
      </c>
      <c r="K72" s="22">
        <f>INDEX('Vessel Profiles - Input'!$C:$L,MATCH($F72,'Vessel Profiles - Input'!$C:$C,0),MATCH(K$9,'Vessel Profiles - Input'!$C$3:$L$3,0))</f>
        <v>0</v>
      </c>
      <c r="L72" s="22">
        <f>INDEX('Vessel Profiles - Input'!$C:$L,MATCH($F72,'Vessel Profiles - Input'!$C:$C,0),MATCH(L$9,'Vessel Profiles - Input'!$C$3:$L$3,0))</f>
        <v>0</v>
      </c>
      <c r="M72" s="22">
        <f>INDEX('Vessel Profiles - Input'!$C:$L,MATCH($F72,'Vessel Profiles - Input'!$C:$C,0),MATCH(M$9,'Vessel Profiles - Input'!$C$3:$L$3,0))</f>
        <v>0</v>
      </c>
      <c r="N72" s="22">
        <f>INDEX('Vessel Profiles - Input'!$C:$L,MATCH($F72,'Vessel Profiles - Input'!$C:$C,0),MATCH(N$9,'Vessel Profiles - Input'!$C$3:$L$3,0))</f>
        <v>0</v>
      </c>
      <c r="O72" s="22">
        <f>INDEX('Vessel Profiles - Input'!$C:$L,MATCH($F72,'Vessel Profiles - Input'!$C:$C,0),MATCH(O$9,'Vessel Profiles - Input'!$C$3:$L$3,0))</f>
        <v>0</v>
      </c>
      <c r="P72" s="22">
        <f>INDEX('Vessel Profiles - Input'!$C:$L,MATCH($F72,'Vessel Profiles - Input'!$C:$C,0),MATCH(P$9,'Vessel Profiles - Input'!$C$3:$L$3,0))</f>
        <v>0</v>
      </c>
      <c r="Q72" s="22">
        <f>INDEX('Vessel Profiles - Input'!$C:$L,MATCH($F72,'Vessel Profiles - Input'!$C:$C,0),MATCH(Q$9,'Vessel Profiles - Input'!$C$3:$L$3,0))</f>
        <v>0</v>
      </c>
      <c r="R72" s="22">
        <f>INDEX('Vessel Profiles - Input'!$C:$L,MATCH($F72,'Vessel Profiles - Input'!$C:$C,0),MATCH(R$9,'Vessel Profiles - Input'!$C$3:$L$3,0))</f>
        <v>0</v>
      </c>
      <c r="X72" s="16" t="s">
        <v>304</v>
      </c>
      <c r="Y72" s="224" t="s">
        <v>305</v>
      </c>
      <c r="Z72" s="224" t="s">
        <v>306</v>
      </c>
      <c r="AA72" s="22">
        <f>INDEX('Vessel Profiles - Input'!$C:$L,MATCH($F72,'Vessel Profiles - Input'!$C:$C,0),MATCH(AA$9,'Vessel Profiles - Input'!$C$3:$L$3,0))</f>
        <v>0</v>
      </c>
      <c r="AB72" s="22">
        <f>INDEX('Vessel Profiles - Input'!$C:$L,MATCH($F72,'Vessel Profiles - Input'!$C:$C,0),MATCH(AB$9,'Vessel Profiles - Input'!$C$3:$L$3,0))</f>
        <v>0</v>
      </c>
      <c r="AC72" s="22">
        <f>INDEX('Vessel Profiles - Input'!$C:$L,MATCH($F72,'Vessel Profiles - Input'!$C:$C,0),MATCH(AC$9,'Vessel Profiles - Input'!$C$3:$L$3,0))</f>
        <v>0</v>
      </c>
      <c r="AD72" s="22">
        <f>INDEX('Vessel Profiles - Input'!$C:$L,MATCH($F72,'Vessel Profiles - Input'!$C:$C,0),MATCH(AD$9,'Vessel Profiles - Input'!$C$3:$L$3,0))</f>
        <v>0</v>
      </c>
      <c r="AE72" s="22">
        <f>INDEX('Vessel Profiles - Input'!$C:$L,MATCH($F72,'Vessel Profiles - Input'!$C:$C,0),MATCH(AE$9,'Vessel Profiles - Input'!$C$3:$L$3,0))</f>
        <v>0</v>
      </c>
      <c r="AF72" s="22">
        <f>INDEX('Vessel Profiles - Input'!$C:$L,MATCH($F72,'Vessel Profiles - Input'!$C:$C,0),MATCH(AF$9,'Vessel Profiles - Input'!$C$3:$L$3,0))</f>
        <v>0</v>
      </c>
      <c r="AG72" s="22">
        <f>INDEX('Vessel Profiles - Input'!$C:$L,MATCH($F72,'Vessel Profiles - Input'!$C:$C,0),MATCH(AG$9,'Vessel Profiles - Input'!$C$3:$L$3,0))</f>
        <v>0</v>
      </c>
      <c r="AH72" s="22">
        <f>INDEX('Vessel Profiles - Input'!$C:$L,MATCH($F72,'Vessel Profiles - Input'!$C:$C,0),MATCH(AH$9,'Vessel Profiles - Input'!$C$3:$L$3,0))</f>
        <v>0</v>
      </c>
      <c r="AI72" s="22">
        <f>INDEX('Vessel Profiles - Input'!$C:$L,MATCH($F72,'Vessel Profiles - Input'!$C:$C,0),MATCH(AI$9,'Vessel Profiles - Input'!$C$3:$L$3,0))</f>
        <v>0</v>
      </c>
      <c r="AJ72" s="22">
        <f>INDEX('Vessel Profiles - Input'!$C:$L,MATCH($F72,'Vessel Profiles - Input'!$C:$C,0),MATCH(AJ$9,'Vessel Profiles - Input'!$C$3:$L$3,0))</f>
        <v>0</v>
      </c>
      <c r="AK72" s="22">
        <f>INDEX('Vessel Profiles - Input'!$C:$L,MATCH($F72,'Vessel Profiles - Input'!$C:$C,0),MATCH(AK$9,'Vessel Profiles - Input'!$C$3:$L$3,0))</f>
        <v>0</v>
      </c>
      <c r="AL72" s="22">
        <f>INDEX('Vessel Profiles - Input'!$C:$L,MATCH($F72,'Vessel Profiles - Input'!$C:$C,0),MATCH(AL$9,'Vessel Profiles - Input'!$C$3:$L$3,0))</f>
        <v>0</v>
      </c>
      <c r="AR72" s="16" t="s">
        <v>304</v>
      </c>
      <c r="AS72" s="224" t="s">
        <v>305</v>
      </c>
      <c r="AT72" s="224" t="s">
        <v>306</v>
      </c>
      <c r="AU72" s="22">
        <f>INDEX('Vessel Profiles - Input'!$C:$L,MATCH($F72,'Vessel Profiles - Input'!$C:$C,0),MATCH(AU$9,'Vessel Profiles - Input'!$C$3:$L$3,0))</f>
        <v>0</v>
      </c>
      <c r="AV72" s="22">
        <f>INDEX('Vessel Profiles - Input'!$C:$L,MATCH($F72,'Vessel Profiles - Input'!$C:$C,0),MATCH(AV$9,'Vessel Profiles - Input'!$C$3:$L$3,0))</f>
        <v>0</v>
      </c>
      <c r="AW72" s="22">
        <f>INDEX('Vessel Profiles - Input'!$C:$L,MATCH($F72,'Vessel Profiles - Input'!$C:$C,0),MATCH(AW$9,'Vessel Profiles - Input'!$C$3:$L$3,0))</f>
        <v>0</v>
      </c>
      <c r="AX72" s="22">
        <f>INDEX('Vessel Profiles - Input'!$C:$L,MATCH($F72,'Vessel Profiles - Input'!$C:$C,0),MATCH(AX$9,'Vessel Profiles - Input'!$C$3:$L$3,0))</f>
        <v>0</v>
      </c>
      <c r="AY72" s="22">
        <f>INDEX('Vessel Profiles - Input'!$C:$L,MATCH($F72,'Vessel Profiles - Input'!$C:$C,0),MATCH(AY$9,'Vessel Profiles - Input'!$C$3:$L$3,0))</f>
        <v>0</v>
      </c>
      <c r="AZ72" s="22">
        <f>INDEX('Vessel Profiles - Input'!$C:$L,MATCH($F72,'Vessel Profiles - Input'!$C:$C,0),MATCH(AZ$9,'Vessel Profiles - Input'!$C$3:$L$3,0))</f>
        <v>0</v>
      </c>
      <c r="BA72" s="22">
        <f>INDEX('Vessel Profiles - Input'!$C:$L,MATCH($F72,'Vessel Profiles - Input'!$C:$C,0),MATCH(BA$9,'Vessel Profiles - Input'!$C$3:$L$3,0))</f>
        <v>0</v>
      </c>
      <c r="BB72" s="22">
        <f>INDEX('Vessel Profiles - Input'!$C:$L,MATCH($F72,'Vessel Profiles - Input'!$C:$C,0),MATCH(BB$9,'Vessel Profiles - Input'!$C$3:$L$3,0))</f>
        <v>0</v>
      </c>
      <c r="BC72" s="22">
        <f>INDEX('Vessel Profiles - Input'!$C:$L,MATCH($F72,'Vessel Profiles - Input'!$C:$C,0),MATCH(BC$9,'Vessel Profiles - Input'!$C$3:$L$3,0))</f>
        <v>0</v>
      </c>
      <c r="BD72" s="22">
        <f>INDEX('Vessel Profiles - Input'!$C:$L,MATCH($F72,'Vessel Profiles - Input'!$C:$C,0),MATCH(BD$9,'Vessel Profiles - Input'!$C$3:$L$3,0))</f>
        <v>0</v>
      </c>
      <c r="BE72" s="22">
        <f>INDEX('Vessel Profiles - Input'!$C:$L,MATCH($F72,'Vessel Profiles - Input'!$C:$C,0),MATCH(BE$9,'Vessel Profiles - Input'!$C$3:$L$3,0))</f>
        <v>0</v>
      </c>
      <c r="BF72" s="22">
        <f>INDEX('Vessel Profiles - Input'!$C:$L,MATCH($F72,'Vessel Profiles - Input'!$C:$C,0),MATCH(BF$9,'Vessel Profiles - Input'!$C$3:$L$3,0))</f>
        <v>0</v>
      </c>
      <c r="BL72" s="16" t="s">
        <v>304</v>
      </c>
      <c r="BM72" s="224" t="s">
        <v>305</v>
      </c>
      <c r="BN72" s="224" t="s">
        <v>306</v>
      </c>
      <c r="BO72" s="22">
        <f>INDEX('Vessel Profiles - Input'!$C:$L,MATCH($F72,'Vessel Profiles - Input'!$C:$C,0),MATCH(BO$9,'Vessel Profiles - Input'!$C$3:$L$3,0))</f>
        <v>0</v>
      </c>
      <c r="BP72" s="22">
        <f>INDEX('Vessel Profiles - Input'!$C:$L,MATCH($F72,'Vessel Profiles - Input'!$C:$C,0),MATCH(BP$9,'Vessel Profiles - Input'!$C$3:$L$3,0))</f>
        <v>0</v>
      </c>
      <c r="BQ72" s="22">
        <f>INDEX('Vessel Profiles - Input'!$C:$L,MATCH($F72,'Vessel Profiles - Input'!$C:$C,0),MATCH(BQ$9,'Vessel Profiles - Input'!$C$3:$L$3,0))</f>
        <v>0</v>
      </c>
      <c r="BR72" s="22">
        <f>INDEX('Vessel Profiles - Input'!$C:$L,MATCH($F72,'Vessel Profiles - Input'!$C:$C,0),MATCH(BR$9,'Vessel Profiles - Input'!$C$3:$L$3,0))</f>
        <v>0</v>
      </c>
      <c r="BS72" s="22">
        <f>INDEX('Vessel Profiles - Input'!$C:$L,MATCH($F72,'Vessel Profiles - Input'!$C:$C,0),MATCH(BS$9,'Vessel Profiles - Input'!$C$3:$L$3,0))</f>
        <v>0</v>
      </c>
      <c r="BT72" s="22">
        <f>INDEX('Vessel Profiles - Input'!$C:$L,MATCH($F72,'Vessel Profiles - Input'!$C:$C,0),MATCH(BT$9,'Vessel Profiles - Input'!$C$3:$L$3,0))</f>
        <v>0</v>
      </c>
      <c r="BU72" s="22">
        <f>INDEX('Vessel Profiles - Input'!$C:$L,MATCH($F72,'Vessel Profiles - Input'!$C:$C,0),MATCH(BU$9,'Vessel Profiles - Input'!$C$3:$L$3,0))</f>
        <v>0</v>
      </c>
      <c r="BV72" s="22">
        <f>INDEX('Vessel Profiles - Input'!$C:$L,MATCH($F72,'Vessel Profiles - Input'!$C:$C,0),MATCH(BV$9,'Vessel Profiles - Input'!$C$3:$L$3,0))</f>
        <v>0</v>
      </c>
      <c r="BW72" s="22">
        <f>INDEX('Vessel Profiles - Input'!$C:$L,MATCH($F72,'Vessel Profiles - Input'!$C:$C,0),MATCH(BW$9,'Vessel Profiles - Input'!$C$3:$L$3,0))</f>
        <v>0</v>
      </c>
      <c r="BX72" s="22">
        <f>INDEX('Vessel Profiles - Input'!$C:$L,MATCH($F72,'Vessel Profiles - Input'!$C:$C,0),MATCH(BX$9,'Vessel Profiles - Input'!$C$3:$L$3,0))</f>
        <v>0</v>
      </c>
      <c r="BY72" s="22">
        <f>INDEX('Vessel Profiles - Input'!$C:$L,MATCH($F72,'Vessel Profiles - Input'!$C:$C,0),MATCH(BY$9,'Vessel Profiles - Input'!$C$3:$L$3,0))</f>
        <v>0</v>
      </c>
      <c r="BZ72" s="22">
        <f>INDEX('Vessel Profiles - Input'!$C:$L,MATCH($F72,'Vessel Profiles - Input'!$C:$C,0),MATCH(BZ$9,'Vessel Profiles - Input'!$C$3:$L$3,0))</f>
        <v>0</v>
      </c>
      <c r="CF72" s="16" t="s">
        <v>304</v>
      </c>
      <c r="CG72" s="224" t="s">
        <v>305</v>
      </c>
      <c r="CH72" s="224" t="s">
        <v>306</v>
      </c>
      <c r="CI72" s="22">
        <f>INDEX('Vessel Profiles - Input'!$C:$L,MATCH($F72,'Vessel Profiles - Input'!$C:$C,0),MATCH(CI$9,'Vessel Profiles - Input'!$C$3:$L$3,0))</f>
        <v>0</v>
      </c>
      <c r="CJ72" s="22">
        <f>INDEX('Vessel Profiles - Input'!$C:$L,MATCH($F72,'Vessel Profiles - Input'!$C:$C,0),MATCH(CJ$9,'Vessel Profiles - Input'!$C$3:$L$3,0))</f>
        <v>0</v>
      </c>
      <c r="CK72" s="22">
        <f>INDEX('Vessel Profiles - Input'!$C:$L,MATCH($F72,'Vessel Profiles - Input'!$C:$C,0),MATCH(CK$9,'Vessel Profiles - Input'!$C$3:$L$3,0))</f>
        <v>0</v>
      </c>
      <c r="CL72" s="22">
        <f>INDEX('Vessel Profiles - Input'!$C:$L,MATCH($F72,'Vessel Profiles - Input'!$C:$C,0),MATCH(CL$9,'Vessel Profiles - Input'!$C$3:$L$3,0))</f>
        <v>0</v>
      </c>
      <c r="CM72" s="22">
        <f>INDEX('Vessel Profiles - Input'!$C:$L,MATCH($F72,'Vessel Profiles - Input'!$C:$C,0),MATCH(CM$9,'Vessel Profiles - Input'!$C$3:$L$3,0))</f>
        <v>0</v>
      </c>
      <c r="CN72" s="22">
        <f>INDEX('Vessel Profiles - Input'!$C:$L,MATCH($F72,'Vessel Profiles - Input'!$C:$C,0),MATCH(CN$9,'Vessel Profiles - Input'!$C$3:$L$3,0))</f>
        <v>0</v>
      </c>
      <c r="CO72" s="22">
        <f>INDEX('Vessel Profiles - Input'!$C:$L,MATCH($F72,'Vessel Profiles - Input'!$C:$C,0),MATCH(CO$9,'Vessel Profiles - Input'!$C$3:$L$3,0))</f>
        <v>0</v>
      </c>
      <c r="CP72" s="22">
        <f>INDEX('Vessel Profiles - Input'!$C:$L,MATCH($F72,'Vessel Profiles - Input'!$C:$C,0),MATCH(CP$9,'Vessel Profiles - Input'!$C$3:$L$3,0))</f>
        <v>0</v>
      </c>
      <c r="CQ72" s="22">
        <f>INDEX('Vessel Profiles - Input'!$C:$L,MATCH($F72,'Vessel Profiles - Input'!$C:$C,0),MATCH(CQ$9,'Vessel Profiles - Input'!$C$3:$L$3,0))</f>
        <v>0</v>
      </c>
      <c r="CR72" s="22">
        <f>INDEX('Vessel Profiles - Input'!$C:$L,MATCH($F72,'Vessel Profiles - Input'!$C:$C,0),MATCH(CR$9,'Vessel Profiles - Input'!$C$3:$L$3,0))</f>
        <v>0</v>
      </c>
      <c r="CS72" s="22">
        <f>INDEX('Vessel Profiles - Input'!$C:$L,MATCH($F72,'Vessel Profiles - Input'!$C:$C,0),MATCH(CS$9,'Vessel Profiles - Input'!$C$3:$L$3,0))</f>
        <v>0</v>
      </c>
      <c r="CT72" s="22">
        <f>INDEX('Vessel Profiles - Input'!$C:$L,MATCH($F72,'Vessel Profiles - Input'!$C:$C,0),MATCH(CT$9,'Vessel Profiles - Input'!$C$3:$L$3,0))</f>
        <v>0</v>
      </c>
    </row>
    <row r="73" spans="3:100" outlineLevel="1" x14ac:dyDescent="0.2">
      <c r="C73" s="3"/>
      <c r="D73" s="16" t="s">
        <v>307</v>
      </c>
      <c r="E73" s="224" t="s">
        <v>305</v>
      </c>
      <c r="F73" s="224" t="s">
        <v>308</v>
      </c>
      <c r="G73" s="22">
        <f>INDEX('Vessel Profiles - Input'!$C:$L,MATCH($F73,'Vessel Profiles - Input'!$C:$C,0),MATCH(G$9,'Vessel Profiles - Input'!$C$3:$L$3,0))</f>
        <v>240</v>
      </c>
      <c r="H73" s="22">
        <f>INDEX('Vessel Profiles - Input'!$C:$L,MATCH($F73,'Vessel Profiles - Input'!$C:$C,0),MATCH(H$9,'Vessel Profiles - Input'!$C$3:$L$3,0))</f>
        <v>240</v>
      </c>
      <c r="I73" s="22">
        <f>INDEX('Vessel Profiles - Input'!$C:$L,MATCH($F73,'Vessel Profiles - Input'!$C:$C,0),MATCH(I$9,'Vessel Profiles - Input'!$C$3:$L$3,0))</f>
        <v>240</v>
      </c>
      <c r="J73" s="22">
        <f>INDEX('Vessel Profiles - Input'!$C:$L,MATCH($F73,'Vessel Profiles - Input'!$C:$C,0),MATCH(J$9,'Vessel Profiles - Input'!$C$3:$L$3,0))</f>
        <v>240</v>
      </c>
      <c r="K73" s="22">
        <f>INDEX('Vessel Profiles - Input'!$C:$L,MATCH($F73,'Vessel Profiles - Input'!$C:$C,0),MATCH(K$9,'Vessel Profiles - Input'!$C$3:$L$3,0))</f>
        <v>240</v>
      </c>
      <c r="L73" s="22">
        <f>INDEX('Vessel Profiles - Input'!$C:$L,MATCH($F73,'Vessel Profiles - Input'!$C:$C,0),MATCH(L$9,'Vessel Profiles - Input'!$C$3:$L$3,0))</f>
        <v>240</v>
      </c>
      <c r="M73" s="22">
        <f>INDEX('Vessel Profiles - Input'!$C:$L,MATCH($F73,'Vessel Profiles - Input'!$C:$C,0),MATCH(M$9,'Vessel Profiles - Input'!$C$3:$L$3,0))</f>
        <v>240</v>
      </c>
      <c r="N73" s="22">
        <f>INDEX('Vessel Profiles - Input'!$C:$L,MATCH($F73,'Vessel Profiles - Input'!$C:$C,0),MATCH(N$9,'Vessel Profiles - Input'!$C$3:$L$3,0))</f>
        <v>240</v>
      </c>
      <c r="O73" s="22">
        <f>INDEX('Vessel Profiles - Input'!$C:$L,MATCH($F73,'Vessel Profiles - Input'!$C:$C,0),MATCH(O$9,'Vessel Profiles - Input'!$C$3:$L$3,0))</f>
        <v>240</v>
      </c>
      <c r="P73" s="22">
        <f>INDEX('Vessel Profiles - Input'!$C:$L,MATCH($F73,'Vessel Profiles - Input'!$C:$C,0),MATCH(P$9,'Vessel Profiles - Input'!$C$3:$L$3,0))</f>
        <v>240</v>
      </c>
      <c r="Q73" s="22">
        <f>INDEX('Vessel Profiles - Input'!$C:$L,MATCH($F73,'Vessel Profiles - Input'!$C:$C,0),MATCH(Q$9,'Vessel Profiles - Input'!$C$3:$L$3,0))</f>
        <v>240</v>
      </c>
      <c r="R73" s="22">
        <f>INDEX('Vessel Profiles - Input'!$C:$L,MATCH($F73,'Vessel Profiles - Input'!$C:$C,0),MATCH(R$9,'Vessel Profiles - Input'!$C$3:$L$3,0))</f>
        <v>240</v>
      </c>
      <c r="X73" s="16" t="s">
        <v>307</v>
      </c>
      <c r="Y73" s="224" t="s">
        <v>305</v>
      </c>
      <c r="Z73" s="224" t="s">
        <v>308</v>
      </c>
      <c r="AA73" s="22">
        <f>INDEX('Vessel Profiles - Input'!$C:$L,MATCH($F73,'Vessel Profiles - Input'!$C:$C,0),MATCH(AA$9,'Vessel Profiles - Input'!$C$3:$L$3,0))</f>
        <v>240</v>
      </c>
      <c r="AB73" s="22">
        <f>INDEX('Vessel Profiles - Input'!$C:$L,MATCH($F73,'Vessel Profiles - Input'!$C:$C,0),MATCH(AB$9,'Vessel Profiles - Input'!$C$3:$L$3,0))</f>
        <v>240</v>
      </c>
      <c r="AC73" s="22">
        <f>INDEX('Vessel Profiles - Input'!$C:$L,MATCH($F73,'Vessel Profiles - Input'!$C:$C,0),MATCH(AC$9,'Vessel Profiles - Input'!$C$3:$L$3,0))</f>
        <v>240</v>
      </c>
      <c r="AD73" s="22">
        <f>INDEX('Vessel Profiles - Input'!$C:$L,MATCH($F73,'Vessel Profiles - Input'!$C:$C,0),MATCH(AD$9,'Vessel Profiles - Input'!$C$3:$L$3,0))</f>
        <v>240</v>
      </c>
      <c r="AE73" s="22">
        <f>INDEX('Vessel Profiles - Input'!$C:$L,MATCH($F73,'Vessel Profiles - Input'!$C:$C,0),MATCH(AE$9,'Vessel Profiles - Input'!$C$3:$L$3,0))</f>
        <v>240</v>
      </c>
      <c r="AF73" s="22">
        <f>INDEX('Vessel Profiles - Input'!$C:$L,MATCH($F73,'Vessel Profiles - Input'!$C:$C,0),MATCH(AF$9,'Vessel Profiles - Input'!$C$3:$L$3,0))</f>
        <v>240</v>
      </c>
      <c r="AG73" s="22">
        <f>INDEX('Vessel Profiles - Input'!$C:$L,MATCH($F73,'Vessel Profiles - Input'!$C:$C,0),MATCH(AG$9,'Vessel Profiles - Input'!$C$3:$L$3,0))</f>
        <v>240</v>
      </c>
      <c r="AH73" s="22">
        <f>INDEX('Vessel Profiles - Input'!$C:$L,MATCH($F73,'Vessel Profiles - Input'!$C:$C,0),MATCH(AH$9,'Vessel Profiles - Input'!$C$3:$L$3,0))</f>
        <v>240</v>
      </c>
      <c r="AI73" s="22">
        <f>INDEX('Vessel Profiles - Input'!$C:$L,MATCH($F73,'Vessel Profiles - Input'!$C:$C,0),MATCH(AI$9,'Vessel Profiles - Input'!$C$3:$L$3,0))</f>
        <v>240</v>
      </c>
      <c r="AJ73" s="22">
        <f>INDEX('Vessel Profiles - Input'!$C:$L,MATCH($F73,'Vessel Profiles - Input'!$C:$C,0),MATCH(AJ$9,'Vessel Profiles - Input'!$C$3:$L$3,0))</f>
        <v>240</v>
      </c>
      <c r="AK73" s="22">
        <f>INDEX('Vessel Profiles - Input'!$C:$L,MATCH($F73,'Vessel Profiles - Input'!$C:$C,0),MATCH(AK$9,'Vessel Profiles - Input'!$C$3:$L$3,0))</f>
        <v>240</v>
      </c>
      <c r="AL73" s="22">
        <f>INDEX('Vessel Profiles - Input'!$C:$L,MATCH($F73,'Vessel Profiles - Input'!$C:$C,0),MATCH(AL$9,'Vessel Profiles - Input'!$C$3:$L$3,0))</f>
        <v>240</v>
      </c>
      <c r="AR73" s="16" t="s">
        <v>307</v>
      </c>
      <c r="AS73" s="224" t="s">
        <v>305</v>
      </c>
      <c r="AT73" s="224" t="s">
        <v>308</v>
      </c>
      <c r="AU73" s="22">
        <f>INDEX('Vessel Profiles - Input'!$C:$L,MATCH($F73,'Vessel Profiles - Input'!$C:$C,0),MATCH(AU$9,'Vessel Profiles - Input'!$C$3:$L$3,0))</f>
        <v>240</v>
      </c>
      <c r="AV73" s="22">
        <f>INDEX('Vessel Profiles - Input'!$C:$L,MATCH($F73,'Vessel Profiles - Input'!$C:$C,0),MATCH(AV$9,'Vessel Profiles - Input'!$C$3:$L$3,0))</f>
        <v>240</v>
      </c>
      <c r="AW73" s="22">
        <f>INDEX('Vessel Profiles - Input'!$C:$L,MATCH($F73,'Vessel Profiles - Input'!$C:$C,0),MATCH(AW$9,'Vessel Profiles - Input'!$C$3:$L$3,0))</f>
        <v>240</v>
      </c>
      <c r="AX73" s="22">
        <f>INDEX('Vessel Profiles - Input'!$C:$L,MATCH($F73,'Vessel Profiles - Input'!$C:$C,0),MATCH(AX$9,'Vessel Profiles - Input'!$C$3:$L$3,0))</f>
        <v>240</v>
      </c>
      <c r="AY73" s="22">
        <f>INDEX('Vessel Profiles - Input'!$C:$L,MATCH($F73,'Vessel Profiles - Input'!$C:$C,0),MATCH(AY$9,'Vessel Profiles - Input'!$C$3:$L$3,0))</f>
        <v>240</v>
      </c>
      <c r="AZ73" s="22">
        <f>INDEX('Vessel Profiles - Input'!$C:$L,MATCH($F73,'Vessel Profiles - Input'!$C:$C,0),MATCH(AZ$9,'Vessel Profiles - Input'!$C$3:$L$3,0))</f>
        <v>240</v>
      </c>
      <c r="BA73" s="22">
        <f>INDEX('Vessel Profiles - Input'!$C:$L,MATCH($F73,'Vessel Profiles - Input'!$C:$C,0),MATCH(BA$9,'Vessel Profiles - Input'!$C$3:$L$3,0))</f>
        <v>240</v>
      </c>
      <c r="BB73" s="22">
        <f>INDEX('Vessel Profiles - Input'!$C:$L,MATCH($F73,'Vessel Profiles - Input'!$C:$C,0),MATCH(BB$9,'Vessel Profiles - Input'!$C$3:$L$3,0))</f>
        <v>240</v>
      </c>
      <c r="BC73" s="22">
        <f>INDEX('Vessel Profiles - Input'!$C:$L,MATCH($F73,'Vessel Profiles - Input'!$C:$C,0),MATCH(BC$9,'Vessel Profiles - Input'!$C$3:$L$3,0))</f>
        <v>240</v>
      </c>
      <c r="BD73" s="22">
        <f>INDEX('Vessel Profiles - Input'!$C:$L,MATCH($F73,'Vessel Profiles - Input'!$C:$C,0),MATCH(BD$9,'Vessel Profiles - Input'!$C$3:$L$3,0))</f>
        <v>240</v>
      </c>
      <c r="BE73" s="22">
        <f>INDEX('Vessel Profiles - Input'!$C:$L,MATCH($F73,'Vessel Profiles - Input'!$C:$C,0),MATCH(BE$9,'Vessel Profiles - Input'!$C$3:$L$3,0))</f>
        <v>240</v>
      </c>
      <c r="BF73" s="22">
        <f>INDEX('Vessel Profiles - Input'!$C:$L,MATCH($F73,'Vessel Profiles - Input'!$C:$C,0),MATCH(BF$9,'Vessel Profiles - Input'!$C$3:$L$3,0))</f>
        <v>240</v>
      </c>
      <c r="BL73" s="16" t="s">
        <v>307</v>
      </c>
      <c r="BM73" s="224" t="s">
        <v>305</v>
      </c>
      <c r="BN73" s="224" t="s">
        <v>308</v>
      </c>
      <c r="BO73" s="22">
        <f>INDEX('Vessel Profiles - Input'!$C:$L,MATCH($F73,'Vessel Profiles - Input'!$C:$C,0),MATCH(BO$9,'Vessel Profiles - Input'!$C$3:$L$3,0))</f>
        <v>240</v>
      </c>
      <c r="BP73" s="22">
        <f>INDEX('Vessel Profiles - Input'!$C:$L,MATCH($F73,'Vessel Profiles - Input'!$C:$C,0),MATCH(BP$9,'Vessel Profiles - Input'!$C$3:$L$3,0))</f>
        <v>240</v>
      </c>
      <c r="BQ73" s="22">
        <f>INDEX('Vessel Profiles - Input'!$C:$L,MATCH($F73,'Vessel Profiles - Input'!$C:$C,0),MATCH(BQ$9,'Vessel Profiles - Input'!$C$3:$L$3,0))</f>
        <v>240</v>
      </c>
      <c r="BR73" s="22">
        <f>INDEX('Vessel Profiles - Input'!$C:$L,MATCH($F73,'Vessel Profiles - Input'!$C:$C,0),MATCH(BR$9,'Vessel Profiles - Input'!$C$3:$L$3,0))</f>
        <v>240</v>
      </c>
      <c r="BS73" s="22">
        <f>INDEX('Vessel Profiles - Input'!$C:$L,MATCH($F73,'Vessel Profiles - Input'!$C:$C,0),MATCH(BS$9,'Vessel Profiles - Input'!$C$3:$L$3,0))</f>
        <v>240</v>
      </c>
      <c r="BT73" s="22">
        <f>INDEX('Vessel Profiles - Input'!$C:$L,MATCH($F73,'Vessel Profiles - Input'!$C:$C,0),MATCH(BT$9,'Vessel Profiles - Input'!$C$3:$L$3,0))</f>
        <v>240</v>
      </c>
      <c r="BU73" s="22">
        <f>INDEX('Vessel Profiles - Input'!$C:$L,MATCH($F73,'Vessel Profiles - Input'!$C:$C,0),MATCH(BU$9,'Vessel Profiles - Input'!$C$3:$L$3,0))</f>
        <v>240</v>
      </c>
      <c r="BV73" s="22">
        <f>INDEX('Vessel Profiles - Input'!$C:$L,MATCH($F73,'Vessel Profiles - Input'!$C:$C,0),MATCH(BV$9,'Vessel Profiles - Input'!$C$3:$L$3,0))</f>
        <v>240</v>
      </c>
      <c r="BW73" s="22">
        <f>INDEX('Vessel Profiles - Input'!$C:$L,MATCH($F73,'Vessel Profiles - Input'!$C:$C,0),MATCH(BW$9,'Vessel Profiles - Input'!$C$3:$L$3,0))</f>
        <v>240</v>
      </c>
      <c r="BX73" s="22">
        <f>INDEX('Vessel Profiles - Input'!$C:$L,MATCH($F73,'Vessel Profiles - Input'!$C:$C,0),MATCH(BX$9,'Vessel Profiles - Input'!$C$3:$L$3,0))</f>
        <v>240</v>
      </c>
      <c r="BY73" s="22">
        <f>INDEX('Vessel Profiles - Input'!$C:$L,MATCH($F73,'Vessel Profiles - Input'!$C:$C,0),MATCH(BY$9,'Vessel Profiles - Input'!$C$3:$L$3,0))</f>
        <v>240</v>
      </c>
      <c r="BZ73" s="22">
        <f>INDEX('Vessel Profiles - Input'!$C:$L,MATCH($F73,'Vessel Profiles - Input'!$C:$C,0),MATCH(BZ$9,'Vessel Profiles - Input'!$C$3:$L$3,0))</f>
        <v>240</v>
      </c>
      <c r="CF73" s="16" t="s">
        <v>307</v>
      </c>
      <c r="CG73" s="224" t="s">
        <v>305</v>
      </c>
      <c r="CH73" s="224" t="s">
        <v>308</v>
      </c>
      <c r="CI73" s="22">
        <f>INDEX('Vessel Profiles - Input'!$C:$L,MATCH($F73,'Vessel Profiles - Input'!$C:$C,0),MATCH(CI$9,'Vessel Profiles - Input'!$C$3:$L$3,0))</f>
        <v>240</v>
      </c>
      <c r="CJ73" s="22">
        <f>INDEX('Vessel Profiles - Input'!$C:$L,MATCH($F73,'Vessel Profiles - Input'!$C:$C,0),MATCH(CJ$9,'Vessel Profiles - Input'!$C$3:$L$3,0))</f>
        <v>240</v>
      </c>
      <c r="CK73" s="22">
        <f>INDEX('Vessel Profiles - Input'!$C:$L,MATCH($F73,'Vessel Profiles - Input'!$C:$C,0),MATCH(CK$9,'Vessel Profiles - Input'!$C$3:$L$3,0))</f>
        <v>240</v>
      </c>
      <c r="CL73" s="22">
        <f>INDEX('Vessel Profiles - Input'!$C:$L,MATCH($F73,'Vessel Profiles - Input'!$C:$C,0),MATCH(CL$9,'Vessel Profiles - Input'!$C$3:$L$3,0))</f>
        <v>240</v>
      </c>
      <c r="CM73" s="22">
        <f>INDEX('Vessel Profiles - Input'!$C:$L,MATCH($F73,'Vessel Profiles - Input'!$C:$C,0),MATCH(CM$9,'Vessel Profiles - Input'!$C$3:$L$3,0))</f>
        <v>240</v>
      </c>
      <c r="CN73" s="22">
        <f>INDEX('Vessel Profiles - Input'!$C:$L,MATCH($F73,'Vessel Profiles - Input'!$C:$C,0),MATCH(CN$9,'Vessel Profiles - Input'!$C$3:$L$3,0))</f>
        <v>240</v>
      </c>
      <c r="CO73" s="22">
        <f>INDEX('Vessel Profiles - Input'!$C:$L,MATCH($F73,'Vessel Profiles - Input'!$C:$C,0),MATCH(CO$9,'Vessel Profiles - Input'!$C$3:$L$3,0))</f>
        <v>240</v>
      </c>
      <c r="CP73" s="22">
        <f>INDEX('Vessel Profiles - Input'!$C:$L,MATCH($F73,'Vessel Profiles - Input'!$C:$C,0),MATCH(CP$9,'Vessel Profiles - Input'!$C$3:$L$3,0))</f>
        <v>240</v>
      </c>
      <c r="CQ73" s="22">
        <f>INDEX('Vessel Profiles - Input'!$C:$L,MATCH($F73,'Vessel Profiles - Input'!$C:$C,0),MATCH(CQ$9,'Vessel Profiles - Input'!$C$3:$L$3,0))</f>
        <v>240</v>
      </c>
      <c r="CR73" s="22">
        <f>INDEX('Vessel Profiles - Input'!$C:$L,MATCH($F73,'Vessel Profiles - Input'!$C:$C,0),MATCH(CR$9,'Vessel Profiles - Input'!$C$3:$L$3,0))</f>
        <v>240</v>
      </c>
      <c r="CS73" s="22">
        <f>INDEX('Vessel Profiles - Input'!$C:$L,MATCH($F73,'Vessel Profiles - Input'!$C:$C,0),MATCH(CS$9,'Vessel Profiles - Input'!$C$3:$L$3,0))</f>
        <v>240</v>
      </c>
      <c r="CT73" s="22">
        <f>INDEX('Vessel Profiles - Input'!$C:$L,MATCH($F73,'Vessel Profiles - Input'!$C:$C,0),MATCH(CT$9,'Vessel Profiles - Input'!$C$3:$L$3,0))</f>
        <v>240</v>
      </c>
    </row>
    <row r="74" spans="3:100" outlineLevel="1" x14ac:dyDescent="0.2">
      <c r="C74" s="3"/>
      <c r="D74" s="16" t="s">
        <v>309</v>
      </c>
      <c r="E74" s="224" t="s">
        <v>310</v>
      </c>
      <c r="F74" s="224" t="s">
        <v>311</v>
      </c>
      <c r="G74" s="22">
        <f ca="1">G230+G233</f>
        <v>20523.763424384673</v>
      </c>
      <c r="H74" s="22">
        <f t="shared" ref="H74:R74" ca="1" si="266">H230+H233</f>
        <v>20523.763424384673</v>
      </c>
      <c r="I74" s="22">
        <f t="shared" ca="1" si="266"/>
        <v>20523.763424384673</v>
      </c>
      <c r="J74" s="22">
        <f t="shared" ca="1" si="266"/>
        <v>20523.763424384673</v>
      </c>
      <c r="K74" s="22">
        <f t="shared" ca="1" si="266"/>
        <v>20523.763424384673</v>
      </c>
      <c r="L74" s="22">
        <f t="shared" ca="1" si="266"/>
        <v>20523.763424384673</v>
      </c>
      <c r="M74" s="22">
        <f t="shared" ca="1" si="266"/>
        <v>20523.763424384673</v>
      </c>
      <c r="N74" s="22">
        <f t="shared" ca="1" si="266"/>
        <v>20523.763424384673</v>
      </c>
      <c r="O74" s="22">
        <f t="shared" ca="1" si="266"/>
        <v>20523.763424384673</v>
      </c>
      <c r="P74" s="22">
        <f t="shared" ca="1" si="266"/>
        <v>20523.763424384673</v>
      </c>
      <c r="Q74" s="22">
        <f t="shared" ca="1" si="266"/>
        <v>20523.763424384673</v>
      </c>
      <c r="R74" s="22">
        <f t="shared" ca="1" si="266"/>
        <v>20523.763424384673</v>
      </c>
      <c r="X74" s="16" t="s">
        <v>309</v>
      </c>
      <c r="Y74" s="224" t="s">
        <v>310</v>
      </c>
      <c r="Z74" s="224" t="s">
        <v>311</v>
      </c>
      <c r="AA74" s="22">
        <f ca="1">AA230+AA233</f>
        <v>17442.583213773316</v>
      </c>
      <c r="AB74" s="22">
        <f t="shared" ref="AB74:AL74" ca="1" si="267">AB230+AB233</f>
        <v>17442.583213773316</v>
      </c>
      <c r="AC74" s="22">
        <f t="shared" ca="1" si="267"/>
        <v>17442.583213773316</v>
      </c>
      <c r="AD74" s="22">
        <f t="shared" ca="1" si="267"/>
        <v>17442.583213773316</v>
      </c>
      <c r="AE74" s="22">
        <f t="shared" ca="1" si="267"/>
        <v>17442.583213773316</v>
      </c>
      <c r="AF74" s="22">
        <f t="shared" ca="1" si="267"/>
        <v>17442.583213773316</v>
      </c>
      <c r="AG74" s="22">
        <f t="shared" ca="1" si="267"/>
        <v>17442.583213773316</v>
      </c>
      <c r="AH74" s="22">
        <f t="shared" ca="1" si="267"/>
        <v>17442.583213773316</v>
      </c>
      <c r="AI74" s="22">
        <f t="shared" ca="1" si="267"/>
        <v>17442.583213773316</v>
      </c>
      <c r="AJ74" s="22">
        <f t="shared" ca="1" si="267"/>
        <v>17442.583213773316</v>
      </c>
      <c r="AK74" s="22">
        <f t="shared" ca="1" si="267"/>
        <v>17442.583213773316</v>
      </c>
      <c r="AL74" s="22">
        <f t="shared" ca="1" si="267"/>
        <v>17442.583213773316</v>
      </c>
      <c r="AR74" s="16" t="s">
        <v>309</v>
      </c>
      <c r="AS74" s="224" t="s">
        <v>310</v>
      </c>
      <c r="AT74" s="224" t="s">
        <v>311</v>
      </c>
      <c r="AU74" s="22">
        <f ca="1">AU230+AU233</f>
        <v>42760.838242925602</v>
      </c>
      <c r="AV74" s="22">
        <f t="shared" ref="AV74:BF74" ca="1" si="268">AV230+AV233</f>
        <v>42760.838242925602</v>
      </c>
      <c r="AW74" s="22">
        <f t="shared" ca="1" si="268"/>
        <v>42760.838242925602</v>
      </c>
      <c r="AX74" s="22">
        <f t="shared" ca="1" si="268"/>
        <v>42760.838242925602</v>
      </c>
      <c r="AY74" s="22">
        <f t="shared" ca="1" si="268"/>
        <v>42760.838242925602</v>
      </c>
      <c r="AZ74" s="22">
        <f t="shared" ca="1" si="268"/>
        <v>42760.838242925602</v>
      </c>
      <c r="BA74" s="22">
        <f t="shared" ca="1" si="268"/>
        <v>42760.838242925602</v>
      </c>
      <c r="BB74" s="22">
        <f t="shared" ca="1" si="268"/>
        <v>42760.838242925602</v>
      </c>
      <c r="BC74" s="22">
        <f t="shared" ca="1" si="268"/>
        <v>42760.838242925602</v>
      </c>
      <c r="BD74" s="22">
        <f t="shared" ca="1" si="268"/>
        <v>42760.838242925602</v>
      </c>
      <c r="BE74" s="22">
        <f t="shared" ca="1" si="268"/>
        <v>42760.838242925602</v>
      </c>
      <c r="BF74" s="22">
        <f t="shared" ca="1" si="268"/>
        <v>42760.838242925602</v>
      </c>
      <c r="BL74" s="16" t="s">
        <v>309</v>
      </c>
      <c r="BM74" s="224" t="s">
        <v>310</v>
      </c>
      <c r="BN74" s="224" t="s">
        <v>311</v>
      </c>
      <c r="BO74" s="22">
        <f ca="1">BO230+BO233</f>
        <v>42760.838242925602</v>
      </c>
      <c r="BP74" s="22">
        <f t="shared" ref="BP74:BZ74" ca="1" si="269">BP230+BP233</f>
        <v>42760.838242925602</v>
      </c>
      <c r="BQ74" s="22">
        <f t="shared" ca="1" si="269"/>
        <v>42760.838242925602</v>
      </c>
      <c r="BR74" s="22">
        <f t="shared" ca="1" si="269"/>
        <v>42760.838242925602</v>
      </c>
      <c r="BS74" s="22">
        <f t="shared" ca="1" si="269"/>
        <v>42760.838242925602</v>
      </c>
      <c r="BT74" s="22">
        <f t="shared" ca="1" si="269"/>
        <v>42760.838242925602</v>
      </c>
      <c r="BU74" s="22">
        <f t="shared" ca="1" si="269"/>
        <v>42760.838242925602</v>
      </c>
      <c r="BV74" s="22">
        <f t="shared" ca="1" si="269"/>
        <v>42760.838242925602</v>
      </c>
      <c r="BW74" s="22">
        <f t="shared" ca="1" si="269"/>
        <v>42760.838242925602</v>
      </c>
      <c r="BX74" s="22">
        <f t="shared" ca="1" si="269"/>
        <v>42760.838242925602</v>
      </c>
      <c r="BY74" s="22">
        <f t="shared" ca="1" si="269"/>
        <v>42760.838242925602</v>
      </c>
      <c r="BZ74" s="22">
        <f t="shared" ca="1" si="269"/>
        <v>42760.838242925602</v>
      </c>
      <c r="CF74" s="16" t="s">
        <v>309</v>
      </c>
      <c r="CG74" s="224" t="s">
        <v>310</v>
      </c>
      <c r="CH74" s="224" t="s">
        <v>311</v>
      </c>
      <c r="CI74" s="22">
        <f ca="1">CI230+CI233</f>
        <v>40397.173817437251</v>
      </c>
      <c r="CJ74" s="22">
        <f t="shared" ref="CJ74:CT74" ca="1" si="270">CJ230+CJ233</f>
        <v>40397.173817437251</v>
      </c>
      <c r="CK74" s="22">
        <f t="shared" ca="1" si="270"/>
        <v>40397.173817437251</v>
      </c>
      <c r="CL74" s="22">
        <f t="shared" ca="1" si="270"/>
        <v>40397.173817437251</v>
      </c>
      <c r="CM74" s="22">
        <f t="shared" ca="1" si="270"/>
        <v>40397.173817437251</v>
      </c>
      <c r="CN74" s="22">
        <f t="shared" ca="1" si="270"/>
        <v>40397.173817437251</v>
      </c>
      <c r="CO74" s="22">
        <f t="shared" ca="1" si="270"/>
        <v>40397.173817437251</v>
      </c>
      <c r="CP74" s="22">
        <f t="shared" ca="1" si="270"/>
        <v>40397.173817437251</v>
      </c>
      <c r="CQ74" s="22">
        <f t="shared" ca="1" si="270"/>
        <v>40397.173817437251</v>
      </c>
      <c r="CR74" s="22">
        <f t="shared" ca="1" si="270"/>
        <v>40397.173817437251</v>
      </c>
      <c r="CS74" s="22">
        <f t="shared" ca="1" si="270"/>
        <v>40397.173817437251</v>
      </c>
      <c r="CT74" s="22">
        <f t="shared" ca="1" si="270"/>
        <v>40397.173817437251</v>
      </c>
    </row>
    <row r="75" spans="3:100" s="266" customFormat="1" outlineLevel="1" x14ac:dyDescent="0.2">
      <c r="C75" s="285"/>
      <c r="D75" s="288" t="s">
        <v>312</v>
      </c>
      <c r="E75" s="282" t="s">
        <v>275</v>
      </c>
      <c r="F75" s="282"/>
      <c r="G75" s="289">
        <f ca="1">G77*G76</f>
        <v>0</v>
      </c>
      <c r="H75" s="289">
        <f t="shared" ref="H75:R75" ca="1" si="271">H77*H76</f>
        <v>0</v>
      </c>
      <c r="I75" s="289">
        <f t="shared" ca="1" si="271"/>
        <v>0</v>
      </c>
      <c r="J75" s="289">
        <f t="shared" ca="1" si="271"/>
        <v>0</v>
      </c>
      <c r="K75" s="289">
        <f t="shared" ca="1" si="271"/>
        <v>0</v>
      </c>
      <c r="L75" s="289">
        <f t="shared" ca="1" si="271"/>
        <v>0</v>
      </c>
      <c r="M75" s="289">
        <f t="shared" ca="1" si="271"/>
        <v>0</v>
      </c>
      <c r="N75" s="289">
        <f t="shared" ca="1" si="271"/>
        <v>0</v>
      </c>
      <c r="O75" s="289">
        <f t="shared" ca="1" si="271"/>
        <v>0</v>
      </c>
      <c r="P75" s="289">
        <f t="shared" ca="1" si="271"/>
        <v>0</v>
      </c>
      <c r="Q75" s="289">
        <f t="shared" ca="1" si="271"/>
        <v>0</v>
      </c>
      <c r="R75" s="289">
        <f t="shared" ca="1" si="271"/>
        <v>0</v>
      </c>
      <c r="X75" s="288" t="s">
        <v>312</v>
      </c>
      <c r="Y75" s="282" t="s">
        <v>275</v>
      </c>
      <c r="Z75" s="282"/>
      <c r="AA75" s="289">
        <f ca="1">AA77*AA76</f>
        <v>11250.000000000011</v>
      </c>
      <c r="AB75" s="289">
        <f t="shared" ref="AB75" ca="1" si="272">AB77*AB76</f>
        <v>11250.000000000011</v>
      </c>
      <c r="AC75" s="289">
        <f t="shared" ref="AC75" ca="1" si="273">AC77*AC76</f>
        <v>11250.000000000011</v>
      </c>
      <c r="AD75" s="289">
        <f t="shared" ref="AD75" ca="1" si="274">AD77*AD76</f>
        <v>11250.000000000011</v>
      </c>
      <c r="AE75" s="289">
        <f t="shared" ref="AE75" ca="1" si="275">AE77*AE76</f>
        <v>11250.000000000011</v>
      </c>
      <c r="AF75" s="289">
        <f t="shared" ref="AF75" ca="1" si="276">AF77*AF76</f>
        <v>11250.000000000011</v>
      </c>
      <c r="AG75" s="289">
        <f t="shared" ref="AG75" ca="1" si="277">AG77*AG76</f>
        <v>11250.000000000011</v>
      </c>
      <c r="AH75" s="289">
        <f t="shared" ref="AH75" ca="1" si="278">AH77*AH76</f>
        <v>11250.000000000011</v>
      </c>
      <c r="AI75" s="289">
        <f t="shared" ref="AI75" ca="1" si="279">AI77*AI76</f>
        <v>11250.000000000011</v>
      </c>
      <c r="AJ75" s="289">
        <f t="shared" ref="AJ75" ca="1" si="280">AJ77*AJ76</f>
        <v>11250.000000000011</v>
      </c>
      <c r="AK75" s="289">
        <f t="shared" ref="AK75" ca="1" si="281">AK77*AK76</f>
        <v>11250.000000000011</v>
      </c>
      <c r="AL75" s="289">
        <f t="shared" ref="AL75" ca="1" si="282">AL77*AL76</f>
        <v>11250.000000000011</v>
      </c>
      <c r="AR75" s="288" t="s">
        <v>312</v>
      </c>
      <c r="AS75" s="282" t="s">
        <v>275</v>
      </c>
      <c r="AT75" s="282"/>
      <c r="AU75" s="289">
        <f ca="1">AU77*AU76</f>
        <v>56250.000000000051</v>
      </c>
      <c r="AV75" s="289">
        <f t="shared" ref="AV75" ca="1" si="283">AV77*AV76</f>
        <v>56250.000000000051</v>
      </c>
      <c r="AW75" s="289">
        <f t="shared" ref="AW75" ca="1" si="284">AW77*AW76</f>
        <v>56250.000000000051</v>
      </c>
      <c r="AX75" s="289">
        <f t="shared" ref="AX75" ca="1" si="285">AX77*AX76</f>
        <v>56250.000000000051</v>
      </c>
      <c r="AY75" s="289">
        <f t="shared" ref="AY75" ca="1" si="286">AY77*AY76</f>
        <v>56250.000000000051</v>
      </c>
      <c r="AZ75" s="289">
        <f t="shared" ref="AZ75" ca="1" si="287">AZ77*AZ76</f>
        <v>56250.000000000051</v>
      </c>
      <c r="BA75" s="289">
        <f t="shared" ref="BA75" ca="1" si="288">BA77*BA76</f>
        <v>56250.000000000051</v>
      </c>
      <c r="BB75" s="289">
        <f t="shared" ref="BB75" ca="1" si="289">BB77*BB76</f>
        <v>56250.000000000051</v>
      </c>
      <c r="BC75" s="289">
        <f t="shared" ref="BC75" ca="1" si="290">BC77*BC76</f>
        <v>56250.000000000051</v>
      </c>
      <c r="BD75" s="289">
        <f t="shared" ref="BD75" ca="1" si="291">BD77*BD76</f>
        <v>56250.000000000051</v>
      </c>
      <c r="BE75" s="289">
        <f t="shared" ref="BE75" ca="1" si="292">BE77*BE76</f>
        <v>56250.000000000051</v>
      </c>
      <c r="BF75" s="289">
        <f t="shared" ref="BF75" ca="1" si="293">BF77*BF76</f>
        <v>56250.000000000051</v>
      </c>
      <c r="BG75"/>
      <c r="BH75"/>
      <c r="BL75" s="288" t="s">
        <v>312</v>
      </c>
      <c r="BM75" s="282" t="s">
        <v>275</v>
      </c>
      <c r="BN75" s="282"/>
      <c r="BO75" s="289">
        <f ca="1">BO77*BO76</f>
        <v>56250.000000000051</v>
      </c>
      <c r="BP75" s="289">
        <f t="shared" ref="BP75" ca="1" si="294">BP77*BP76</f>
        <v>56250.000000000051</v>
      </c>
      <c r="BQ75" s="289">
        <f t="shared" ref="BQ75" ca="1" si="295">BQ77*BQ76</f>
        <v>56250.000000000051</v>
      </c>
      <c r="BR75" s="289">
        <f t="shared" ref="BR75" ca="1" si="296">BR77*BR76</f>
        <v>56250.000000000051</v>
      </c>
      <c r="BS75" s="289">
        <f t="shared" ref="BS75" ca="1" si="297">BS77*BS76</f>
        <v>56250.000000000051</v>
      </c>
      <c r="BT75" s="289">
        <f t="shared" ref="BT75" ca="1" si="298">BT77*BT76</f>
        <v>56250.000000000051</v>
      </c>
      <c r="BU75" s="289">
        <f t="shared" ref="BU75" ca="1" si="299">BU77*BU76</f>
        <v>56250.000000000051</v>
      </c>
      <c r="BV75" s="289">
        <f t="shared" ref="BV75" ca="1" si="300">BV77*BV76</f>
        <v>56250.000000000051</v>
      </c>
      <c r="BW75" s="289">
        <f t="shared" ref="BW75" ca="1" si="301">BW77*BW76</f>
        <v>56250.000000000051</v>
      </c>
      <c r="BX75" s="289">
        <f t="shared" ref="BX75" ca="1" si="302">BX77*BX76</f>
        <v>56250.000000000051</v>
      </c>
      <c r="BY75" s="289">
        <f t="shared" ref="BY75" ca="1" si="303">BY77*BY76</f>
        <v>56250.000000000051</v>
      </c>
      <c r="BZ75" s="289">
        <f t="shared" ref="BZ75" ca="1" si="304">BZ77*BZ76</f>
        <v>56250.000000000051</v>
      </c>
      <c r="CA75"/>
      <c r="CB75"/>
      <c r="CF75" s="288" t="s">
        <v>312</v>
      </c>
      <c r="CG75" s="282" t="s">
        <v>275</v>
      </c>
      <c r="CH75" s="282"/>
      <c r="CI75" s="289">
        <f ca="1">CI77*CI76</f>
        <v>56250.000000000051</v>
      </c>
      <c r="CJ75" s="289">
        <f t="shared" ref="CJ75" ca="1" si="305">CJ77*CJ76</f>
        <v>56250.000000000051</v>
      </c>
      <c r="CK75" s="289">
        <f t="shared" ref="CK75" ca="1" si="306">CK77*CK76</f>
        <v>56250.000000000051</v>
      </c>
      <c r="CL75" s="289">
        <f t="shared" ref="CL75" ca="1" si="307">CL77*CL76</f>
        <v>56250.000000000051</v>
      </c>
      <c r="CM75" s="289">
        <f t="shared" ref="CM75" ca="1" si="308">CM77*CM76</f>
        <v>56250.000000000051</v>
      </c>
      <c r="CN75" s="289">
        <f t="shared" ref="CN75" ca="1" si="309">CN77*CN76</f>
        <v>56250.000000000051</v>
      </c>
      <c r="CO75" s="289">
        <f t="shared" ref="CO75" ca="1" si="310">CO77*CO76</f>
        <v>56250.000000000051</v>
      </c>
      <c r="CP75" s="289">
        <f t="shared" ref="CP75" ca="1" si="311">CP77*CP76</f>
        <v>56250.000000000051</v>
      </c>
      <c r="CQ75" s="289">
        <f t="shared" ref="CQ75" ca="1" si="312">CQ77*CQ76</f>
        <v>56250.000000000051</v>
      </c>
      <c r="CR75" s="289">
        <f t="shared" ref="CR75" ca="1" si="313">CR77*CR76</f>
        <v>56250.000000000051</v>
      </c>
      <c r="CS75" s="289">
        <f t="shared" ref="CS75" ca="1" si="314">CS77*CS76</f>
        <v>56250.000000000051</v>
      </c>
      <c r="CT75" s="289">
        <f t="shared" ref="CT75" ca="1" si="315">CT77*CT76</f>
        <v>56250.000000000051</v>
      </c>
      <c r="CU75"/>
      <c r="CV75"/>
    </row>
    <row r="76" spans="3:100" outlineLevel="1" x14ac:dyDescent="0.2">
      <c r="C76" s="3"/>
      <c r="D76" s="16" t="s">
        <v>293</v>
      </c>
      <c r="E76" s="224" t="s">
        <v>294</v>
      </c>
      <c r="G76" s="52">
        <f t="shared" ref="G76:R76" ca="1" si="316">INDEX(tbl_TCO_input,MATCH(
_xlfn.TEXTJOIN(keydelim,TRUE,G$24,$D76),rows_TCO_ID,0),MATCH(G$6,cols_TCO_input,0))</f>
        <v>125</v>
      </c>
      <c r="H76" s="52">
        <f t="shared" ca="1" si="316"/>
        <v>125</v>
      </c>
      <c r="I76" s="52">
        <f t="shared" ca="1" si="316"/>
        <v>125</v>
      </c>
      <c r="J76" s="52">
        <f t="shared" ca="1" si="316"/>
        <v>125</v>
      </c>
      <c r="K76" s="52">
        <f t="shared" ca="1" si="316"/>
        <v>125</v>
      </c>
      <c r="L76" s="52">
        <f t="shared" ca="1" si="316"/>
        <v>125</v>
      </c>
      <c r="M76" s="52">
        <f t="shared" ca="1" si="316"/>
        <v>125</v>
      </c>
      <c r="N76" s="52">
        <f t="shared" ca="1" si="316"/>
        <v>125</v>
      </c>
      <c r="O76" s="52">
        <f t="shared" ca="1" si="316"/>
        <v>125</v>
      </c>
      <c r="P76" s="52">
        <f t="shared" ca="1" si="316"/>
        <v>125</v>
      </c>
      <c r="Q76" s="52">
        <f t="shared" ca="1" si="316"/>
        <v>125</v>
      </c>
      <c r="R76" s="52">
        <f t="shared" ca="1" si="316"/>
        <v>125</v>
      </c>
      <c r="X76" s="16" t="s">
        <v>293</v>
      </c>
      <c r="Y76" s="224" t="s">
        <v>294</v>
      </c>
      <c r="AA76" s="52">
        <f t="shared" ref="AA76:AL76" ca="1" si="317">INDEX(tbl_TCO_input,MATCH(
_xlfn.TEXTJOIN(keydelim,TRUE,AA$24,$D76),rows_TCO_ID,0),MATCH(AA$6,cols_TCO_input,0))</f>
        <v>125</v>
      </c>
      <c r="AB76" s="52">
        <f t="shared" ca="1" si="317"/>
        <v>125</v>
      </c>
      <c r="AC76" s="52">
        <f t="shared" ca="1" si="317"/>
        <v>125</v>
      </c>
      <c r="AD76" s="52">
        <f t="shared" ca="1" si="317"/>
        <v>125</v>
      </c>
      <c r="AE76" s="52">
        <f t="shared" ca="1" si="317"/>
        <v>125</v>
      </c>
      <c r="AF76" s="52">
        <f t="shared" ca="1" si="317"/>
        <v>125</v>
      </c>
      <c r="AG76" s="52">
        <f t="shared" ca="1" si="317"/>
        <v>125</v>
      </c>
      <c r="AH76" s="52">
        <f t="shared" ca="1" si="317"/>
        <v>125</v>
      </c>
      <c r="AI76" s="52">
        <f t="shared" ca="1" si="317"/>
        <v>125</v>
      </c>
      <c r="AJ76" s="52">
        <f t="shared" ca="1" si="317"/>
        <v>125</v>
      </c>
      <c r="AK76" s="52">
        <f t="shared" ca="1" si="317"/>
        <v>125</v>
      </c>
      <c r="AL76" s="52">
        <f t="shared" ca="1" si="317"/>
        <v>125</v>
      </c>
      <c r="AR76" s="16" t="s">
        <v>293</v>
      </c>
      <c r="AS76" s="224" t="s">
        <v>294</v>
      </c>
      <c r="AU76" s="52">
        <f t="shared" ref="AU76:BF76" ca="1" si="318">INDEX(tbl_TCO_input,MATCH(
_xlfn.TEXTJOIN(keydelim,TRUE,AU$24,$D76),rows_TCO_ID,0),MATCH(AU$6,cols_TCO_input,0))</f>
        <v>125</v>
      </c>
      <c r="AV76" s="52">
        <f t="shared" ca="1" si="318"/>
        <v>125</v>
      </c>
      <c r="AW76" s="52">
        <f t="shared" ca="1" si="318"/>
        <v>125</v>
      </c>
      <c r="AX76" s="52">
        <f t="shared" ca="1" si="318"/>
        <v>125</v>
      </c>
      <c r="AY76" s="52">
        <f t="shared" ca="1" si="318"/>
        <v>125</v>
      </c>
      <c r="AZ76" s="52">
        <f t="shared" ca="1" si="318"/>
        <v>125</v>
      </c>
      <c r="BA76" s="52">
        <f t="shared" ca="1" si="318"/>
        <v>125</v>
      </c>
      <c r="BB76" s="52">
        <f t="shared" ca="1" si="318"/>
        <v>125</v>
      </c>
      <c r="BC76" s="52">
        <f t="shared" ca="1" si="318"/>
        <v>125</v>
      </c>
      <c r="BD76" s="52">
        <f t="shared" ca="1" si="318"/>
        <v>125</v>
      </c>
      <c r="BE76" s="52">
        <f t="shared" ca="1" si="318"/>
        <v>125</v>
      </c>
      <c r="BF76" s="52">
        <f t="shared" ca="1" si="318"/>
        <v>125</v>
      </c>
      <c r="BL76" s="16" t="s">
        <v>293</v>
      </c>
      <c r="BM76" s="224" t="s">
        <v>294</v>
      </c>
      <c r="BO76" s="52">
        <f t="shared" ref="BO76:BZ76" ca="1" si="319">INDEX(tbl_TCO_input,MATCH(
_xlfn.TEXTJOIN(keydelim,TRUE,BO$24,$D76),rows_TCO_ID,0),MATCH(BO$6,cols_TCO_input,0))</f>
        <v>125</v>
      </c>
      <c r="BP76" s="52">
        <f t="shared" ca="1" si="319"/>
        <v>125</v>
      </c>
      <c r="BQ76" s="52">
        <f t="shared" ca="1" si="319"/>
        <v>125</v>
      </c>
      <c r="BR76" s="52">
        <f t="shared" ca="1" si="319"/>
        <v>125</v>
      </c>
      <c r="BS76" s="52">
        <f t="shared" ca="1" si="319"/>
        <v>125</v>
      </c>
      <c r="BT76" s="52">
        <f t="shared" ca="1" si="319"/>
        <v>125</v>
      </c>
      <c r="BU76" s="52">
        <f t="shared" ca="1" si="319"/>
        <v>125</v>
      </c>
      <c r="BV76" s="52">
        <f t="shared" ca="1" si="319"/>
        <v>125</v>
      </c>
      <c r="BW76" s="52">
        <f t="shared" ca="1" si="319"/>
        <v>125</v>
      </c>
      <c r="BX76" s="52">
        <f t="shared" ca="1" si="319"/>
        <v>125</v>
      </c>
      <c r="BY76" s="52">
        <f t="shared" ca="1" si="319"/>
        <v>125</v>
      </c>
      <c r="BZ76" s="52">
        <f t="shared" ca="1" si="319"/>
        <v>125</v>
      </c>
      <c r="CF76" s="16" t="s">
        <v>293</v>
      </c>
      <c r="CG76" s="224" t="s">
        <v>294</v>
      </c>
      <c r="CI76" s="52">
        <f t="shared" ref="CI76:CT76" ca="1" si="320">INDEX(tbl_TCO_input,MATCH(
_xlfn.TEXTJOIN(keydelim,TRUE,CI$24,$D76),rows_TCO_ID,0),MATCH(CI$6,cols_TCO_input,0))</f>
        <v>125</v>
      </c>
      <c r="CJ76" s="52">
        <f t="shared" ca="1" si="320"/>
        <v>125</v>
      </c>
      <c r="CK76" s="52">
        <f t="shared" ca="1" si="320"/>
        <v>125</v>
      </c>
      <c r="CL76" s="52">
        <f t="shared" ca="1" si="320"/>
        <v>125</v>
      </c>
      <c r="CM76" s="52">
        <f t="shared" ca="1" si="320"/>
        <v>125</v>
      </c>
      <c r="CN76" s="52">
        <f t="shared" ca="1" si="320"/>
        <v>125</v>
      </c>
      <c r="CO76" s="52">
        <f t="shared" ca="1" si="320"/>
        <v>125</v>
      </c>
      <c r="CP76" s="52">
        <f t="shared" ca="1" si="320"/>
        <v>125</v>
      </c>
      <c r="CQ76" s="52">
        <f t="shared" ca="1" si="320"/>
        <v>125</v>
      </c>
      <c r="CR76" s="52">
        <f t="shared" ca="1" si="320"/>
        <v>125</v>
      </c>
      <c r="CS76" s="52">
        <f t="shared" ca="1" si="320"/>
        <v>125</v>
      </c>
      <c r="CT76" s="52">
        <f t="shared" ca="1" si="320"/>
        <v>125</v>
      </c>
    </row>
    <row r="77" spans="3:100" outlineLevel="1" x14ac:dyDescent="0.2">
      <c r="C77" s="3"/>
      <c r="D77" s="16" t="s">
        <v>295</v>
      </c>
      <c r="E77" s="224" t="s">
        <v>296</v>
      </c>
      <c r="G77" s="22">
        <f ca="1">G78*G79</f>
        <v>0</v>
      </c>
      <c r="H77" s="22">
        <f t="shared" ref="H77:R77" ca="1" si="321">H78*H79</f>
        <v>0</v>
      </c>
      <c r="I77" s="22">
        <f t="shared" ca="1" si="321"/>
        <v>0</v>
      </c>
      <c r="J77" s="22">
        <f t="shared" ca="1" si="321"/>
        <v>0</v>
      </c>
      <c r="K77" s="22">
        <f t="shared" ca="1" si="321"/>
        <v>0</v>
      </c>
      <c r="L77" s="22">
        <f t="shared" ca="1" si="321"/>
        <v>0</v>
      </c>
      <c r="M77" s="22">
        <f t="shared" ca="1" si="321"/>
        <v>0</v>
      </c>
      <c r="N77" s="22">
        <f t="shared" ca="1" si="321"/>
        <v>0</v>
      </c>
      <c r="O77" s="22">
        <f t="shared" ca="1" si="321"/>
        <v>0</v>
      </c>
      <c r="P77" s="22">
        <f t="shared" ca="1" si="321"/>
        <v>0</v>
      </c>
      <c r="Q77" s="22">
        <f t="shared" ca="1" si="321"/>
        <v>0</v>
      </c>
      <c r="R77" s="22">
        <f t="shared" ca="1" si="321"/>
        <v>0</v>
      </c>
      <c r="X77" s="16" t="s">
        <v>295</v>
      </c>
      <c r="Y77" s="224" t="s">
        <v>296</v>
      </c>
      <c r="AA77" s="22">
        <f ca="1">AA78*AA79</f>
        <v>90.000000000000085</v>
      </c>
      <c r="AB77" s="22">
        <f t="shared" ref="AB77" ca="1" si="322">AB78*AB79</f>
        <v>90.000000000000085</v>
      </c>
      <c r="AC77" s="22">
        <f t="shared" ref="AC77" ca="1" si="323">AC78*AC79</f>
        <v>90.000000000000085</v>
      </c>
      <c r="AD77" s="22">
        <f t="shared" ref="AD77" ca="1" si="324">AD78*AD79</f>
        <v>90.000000000000085</v>
      </c>
      <c r="AE77" s="22">
        <f t="shared" ref="AE77" ca="1" si="325">AE78*AE79</f>
        <v>90.000000000000085</v>
      </c>
      <c r="AF77" s="22">
        <f t="shared" ref="AF77" ca="1" si="326">AF78*AF79</f>
        <v>90.000000000000085</v>
      </c>
      <c r="AG77" s="22">
        <f t="shared" ref="AG77" ca="1" si="327">AG78*AG79</f>
        <v>90.000000000000085</v>
      </c>
      <c r="AH77" s="22">
        <f t="shared" ref="AH77" ca="1" si="328">AH78*AH79</f>
        <v>90.000000000000085</v>
      </c>
      <c r="AI77" s="22">
        <f t="shared" ref="AI77" ca="1" si="329">AI78*AI79</f>
        <v>90.000000000000085</v>
      </c>
      <c r="AJ77" s="22">
        <f t="shared" ref="AJ77" ca="1" si="330">AJ78*AJ79</f>
        <v>90.000000000000085</v>
      </c>
      <c r="AK77" s="22">
        <f t="shared" ref="AK77" ca="1" si="331">AK78*AK79</f>
        <v>90.000000000000085</v>
      </c>
      <c r="AL77" s="22">
        <f t="shared" ref="AL77" ca="1" si="332">AL78*AL79</f>
        <v>90.000000000000085</v>
      </c>
      <c r="AR77" s="16" t="s">
        <v>295</v>
      </c>
      <c r="AS77" s="224" t="s">
        <v>296</v>
      </c>
      <c r="AU77" s="22">
        <f ca="1">AU78*AU79</f>
        <v>450.0000000000004</v>
      </c>
      <c r="AV77" s="22">
        <f t="shared" ref="AV77" ca="1" si="333">AV78*AV79</f>
        <v>450.0000000000004</v>
      </c>
      <c r="AW77" s="22">
        <f t="shared" ref="AW77" ca="1" si="334">AW78*AW79</f>
        <v>450.0000000000004</v>
      </c>
      <c r="AX77" s="22">
        <f t="shared" ref="AX77" ca="1" si="335">AX78*AX79</f>
        <v>450.0000000000004</v>
      </c>
      <c r="AY77" s="22">
        <f t="shared" ref="AY77" ca="1" si="336">AY78*AY79</f>
        <v>450.0000000000004</v>
      </c>
      <c r="AZ77" s="22">
        <f t="shared" ref="AZ77" ca="1" si="337">AZ78*AZ79</f>
        <v>450.0000000000004</v>
      </c>
      <c r="BA77" s="22">
        <f t="shared" ref="BA77" ca="1" si="338">BA78*BA79</f>
        <v>450.0000000000004</v>
      </c>
      <c r="BB77" s="22">
        <f t="shared" ref="BB77" ca="1" si="339">BB78*BB79</f>
        <v>450.0000000000004</v>
      </c>
      <c r="BC77" s="22">
        <f t="shared" ref="BC77" ca="1" si="340">BC78*BC79</f>
        <v>450.0000000000004</v>
      </c>
      <c r="BD77" s="22">
        <f t="shared" ref="BD77" ca="1" si="341">BD78*BD79</f>
        <v>450.0000000000004</v>
      </c>
      <c r="BE77" s="22">
        <f t="shared" ref="BE77" ca="1" si="342">BE78*BE79</f>
        <v>450.0000000000004</v>
      </c>
      <c r="BF77" s="22">
        <f t="shared" ref="BF77" ca="1" si="343">BF78*BF79</f>
        <v>450.0000000000004</v>
      </c>
      <c r="BL77" s="16" t="s">
        <v>295</v>
      </c>
      <c r="BM77" s="224" t="s">
        <v>296</v>
      </c>
      <c r="BO77" s="22">
        <f ca="1">BO78*BO79</f>
        <v>450.0000000000004</v>
      </c>
      <c r="BP77" s="22">
        <f t="shared" ref="BP77" ca="1" si="344">BP78*BP79</f>
        <v>450.0000000000004</v>
      </c>
      <c r="BQ77" s="22">
        <f t="shared" ref="BQ77" ca="1" si="345">BQ78*BQ79</f>
        <v>450.0000000000004</v>
      </c>
      <c r="BR77" s="22">
        <f t="shared" ref="BR77" ca="1" si="346">BR78*BR79</f>
        <v>450.0000000000004</v>
      </c>
      <c r="BS77" s="22">
        <f t="shared" ref="BS77" ca="1" si="347">BS78*BS79</f>
        <v>450.0000000000004</v>
      </c>
      <c r="BT77" s="22">
        <f t="shared" ref="BT77" ca="1" si="348">BT78*BT79</f>
        <v>450.0000000000004</v>
      </c>
      <c r="BU77" s="22">
        <f t="shared" ref="BU77" ca="1" si="349">BU78*BU79</f>
        <v>450.0000000000004</v>
      </c>
      <c r="BV77" s="22">
        <f t="shared" ref="BV77" ca="1" si="350">BV78*BV79</f>
        <v>450.0000000000004</v>
      </c>
      <c r="BW77" s="22">
        <f t="shared" ref="BW77" ca="1" si="351">BW78*BW79</f>
        <v>450.0000000000004</v>
      </c>
      <c r="BX77" s="22">
        <f t="shared" ref="BX77" ca="1" si="352">BX78*BX79</f>
        <v>450.0000000000004</v>
      </c>
      <c r="BY77" s="22">
        <f t="shared" ref="BY77" ca="1" si="353">BY78*BY79</f>
        <v>450.0000000000004</v>
      </c>
      <c r="BZ77" s="22">
        <f t="shared" ref="BZ77" ca="1" si="354">BZ78*BZ79</f>
        <v>450.0000000000004</v>
      </c>
      <c r="CF77" s="16" t="s">
        <v>295</v>
      </c>
      <c r="CG77" s="224" t="s">
        <v>296</v>
      </c>
      <c r="CI77" s="22">
        <f ca="1">CI78*CI79</f>
        <v>450.0000000000004</v>
      </c>
      <c r="CJ77" s="22">
        <f t="shared" ref="CJ77" ca="1" si="355">CJ78*CJ79</f>
        <v>450.0000000000004</v>
      </c>
      <c r="CK77" s="22">
        <f t="shared" ref="CK77" ca="1" si="356">CK78*CK79</f>
        <v>450.0000000000004</v>
      </c>
      <c r="CL77" s="22">
        <f t="shared" ref="CL77" ca="1" si="357">CL78*CL79</f>
        <v>450.0000000000004</v>
      </c>
      <c r="CM77" s="22">
        <f t="shared" ref="CM77" ca="1" si="358">CM78*CM79</f>
        <v>450.0000000000004</v>
      </c>
      <c r="CN77" s="22">
        <f t="shared" ref="CN77" ca="1" si="359">CN78*CN79</f>
        <v>450.0000000000004</v>
      </c>
      <c r="CO77" s="22">
        <f t="shared" ref="CO77" ca="1" si="360">CO78*CO79</f>
        <v>450.0000000000004</v>
      </c>
      <c r="CP77" s="22">
        <f t="shared" ref="CP77" ca="1" si="361">CP78*CP79</f>
        <v>450.0000000000004</v>
      </c>
      <c r="CQ77" s="22">
        <f t="shared" ref="CQ77" ca="1" si="362">CQ78*CQ79</f>
        <v>450.0000000000004</v>
      </c>
      <c r="CR77" s="22">
        <f t="shared" ref="CR77" ca="1" si="363">CR78*CR79</f>
        <v>450.0000000000004</v>
      </c>
      <c r="CS77" s="22">
        <f t="shared" ref="CS77" ca="1" si="364">CS78*CS79</f>
        <v>450.0000000000004</v>
      </c>
      <c r="CT77" s="22">
        <f t="shared" ref="CT77" ca="1" si="365">CT78*CT79</f>
        <v>450.0000000000004</v>
      </c>
    </row>
    <row r="78" spans="3:100" outlineLevel="1" x14ac:dyDescent="0.2">
      <c r="C78" s="3"/>
      <c r="D78" s="16" t="s">
        <v>313</v>
      </c>
      <c r="E78" s="224" t="s">
        <v>178</v>
      </c>
      <c r="F78" s="291">
        <f>1-F67</f>
        <v>0</v>
      </c>
      <c r="G78" s="292">
        <f t="shared" ref="G78:R78" si="366">1-G67</f>
        <v>0</v>
      </c>
      <c r="H78" s="292">
        <f t="shared" si="366"/>
        <v>0</v>
      </c>
      <c r="I78" s="292">
        <f t="shared" si="366"/>
        <v>0</v>
      </c>
      <c r="J78" s="292">
        <f t="shared" si="366"/>
        <v>0</v>
      </c>
      <c r="K78" s="292">
        <f t="shared" si="366"/>
        <v>0</v>
      </c>
      <c r="L78" s="292">
        <f t="shared" si="366"/>
        <v>0</v>
      </c>
      <c r="M78" s="292">
        <f t="shared" si="366"/>
        <v>0</v>
      </c>
      <c r="N78" s="292">
        <f t="shared" si="366"/>
        <v>0</v>
      </c>
      <c r="O78" s="292">
        <f t="shared" si="366"/>
        <v>0</v>
      </c>
      <c r="P78" s="292">
        <f t="shared" si="366"/>
        <v>0</v>
      </c>
      <c r="Q78" s="292">
        <f t="shared" si="366"/>
        <v>0</v>
      </c>
      <c r="R78" s="292">
        <f t="shared" si="366"/>
        <v>0</v>
      </c>
      <c r="X78" s="16" t="s">
        <v>313</v>
      </c>
      <c r="Y78" s="224" t="s">
        <v>178</v>
      </c>
      <c r="Z78" s="291">
        <f>1-Z67</f>
        <v>1.0000000000000009E-2</v>
      </c>
      <c r="AA78" s="292">
        <f t="shared" ref="AA78:AL78" si="367">1-AA67</f>
        <v>1.0000000000000009E-2</v>
      </c>
      <c r="AB78" s="292">
        <f t="shared" si="367"/>
        <v>1.0000000000000009E-2</v>
      </c>
      <c r="AC78" s="292">
        <f t="shared" si="367"/>
        <v>1.0000000000000009E-2</v>
      </c>
      <c r="AD78" s="292">
        <f t="shared" si="367"/>
        <v>1.0000000000000009E-2</v>
      </c>
      <c r="AE78" s="292">
        <f t="shared" si="367"/>
        <v>1.0000000000000009E-2</v>
      </c>
      <c r="AF78" s="292">
        <f t="shared" si="367"/>
        <v>1.0000000000000009E-2</v>
      </c>
      <c r="AG78" s="292">
        <f t="shared" si="367"/>
        <v>1.0000000000000009E-2</v>
      </c>
      <c r="AH78" s="292">
        <f t="shared" si="367"/>
        <v>1.0000000000000009E-2</v>
      </c>
      <c r="AI78" s="292">
        <f t="shared" si="367"/>
        <v>1.0000000000000009E-2</v>
      </c>
      <c r="AJ78" s="292">
        <f t="shared" si="367"/>
        <v>1.0000000000000009E-2</v>
      </c>
      <c r="AK78" s="292">
        <f t="shared" si="367"/>
        <v>1.0000000000000009E-2</v>
      </c>
      <c r="AL78" s="292">
        <f t="shared" si="367"/>
        <v>1.0000000000000009E-2</v>
      </c>
      <c r="AR78" s="16" t="s">
        <v>313</v>
      </c>
      <c r="AS78" s="224" t="s">
        <v>178</v>
      </c>
      <c r="AT78" s="291">
        <f>1-AT67</f>
        <v>5.0000000000000044E-2</v>
      </c>
      <c r="AU78" s="292">
        <f t="shared" ref="AU78:BF78" si="368">1-AU67</f>
        <v>5.0000000000000044E-2</v>
      </c>
      <c r="AV78" s="292">
        <f t="shared" si="368"/>
        <v>5.0000000000000044E-2</v>
      </c>
      <c r="AW78" s="292">
        <f t="shared" si="368"/>
        <v>5.0000000000000044E-2</v>
      </c>
      <c r="AX78" s="292">
        <f t="shared" si="368"/>
        <v>5.0000000000000044E-2</v>
      </c>
      <c r="AY78" s="292">
        <f t="shared" si="368"/>
        <v>5.0000000000000044E-2</v>
      </c>
      <c r="AZ78" s="292">
        <f t="shared" si="368"/>
        <v>5.0000000000000044E-2</v>
      </c>
      <c r="BA78" s="292">
        <f t="shared" si="368"/>
        <v>5.0000000000000044E-2</v>
      </c>
      <c r="BB78" s="292">
        <f t="shared" si="368"/>
        <v>5.0000000000000044E-2</v>
      </c>
      <c r="BC78" s="292">
        <f t="shared" si="368"/>
        <v>5.0000000000000044E-2</v>
      </c>
      <c r="BD78" s="292">
        <f t="shared" si="368"/>
        <v>5.0000000000000044E-2</v>
      </c>
      <c r="BE78" s="292">
        <f t="shared" si="368"/>
        <v>5.0000000000000044E-2</v>
      </c>
      <c r="BF78" s="292">
        <f t="shared" si="368"/>
        <v>5.0000000000000044E-2</v>
      </c>
      <c r="BL78" s="16" t="s">
        <v>313</v>
      </c>
      <c r="BM78" s="224" t="s">
        <v>178</v>
      </c>
      <c r="BN78" s="291">
        <f>1-BN67</f>
        <v>5.0000000000000044E-2</v>
      </c>
      <c r="BO78" s="292">
        <f t="shared" ref="BO78:BZ78" si="369">1-BO67</f>
        <v>5.0000000000000044E-2</v>
      </c>
      <c r="BP78" s="292">
        <f t="shared" si="369"/>
        <v>5.0000000000000044E-2</v>
      </c>
      <c r="BQ78" s="292">
        <f t="shared" si="369"/>
        <v>5.0000000000000044E-2</v>
      </c>
      <c r="BR78" s="292">
        <f t="shared" si="369"/>
        <v>5.0000000000000044E-2</v>
      </c>
      <c r="BS78" s="292">
        <f t="shared" si="369"/>
        <v>5.0000000000000044E-2</v>
      </c>
      <c r="BT78" s="292">
        <f t="shared" si="369"/>
        <v>5.0000000000000044E-2</v>
      </c>
      <c r="BU78" s="292">
        <f t="shared" si="369"/>
        <v>5.0000000000000044E-2</v>
      </c>
      <c r="BV78" s="292">
        <f t="shared" si="369"/>
        <v>5.0000000000000044E-2</v>
      </c>
      <c r="BW78" s="292">
        <f t="shared" si="369"/>
        <v>5.0000000000000044E-2</v>
      </c>
      <c r="BX78" s="292">
        <f t="shared" si="369"/>
        <v>5.0000000000000044E-2</v>
      </c>
      <c r="BY78" s="292">
        <f t="shared" si="369"/>
        <v>5.0000000000000044E-2</v>
      </c>
      <c r="BZ78" s="292">
        <f t="shared" si="369"/>
        <v>5.0000000000000044E-2</v>
      </c>
      <c r="CF78" s="16" t="s">
        <v>313</v>
      </c>
      <c r="CG78" s="224" t="s">
        <v>178</v>
      </c>
      <c r="CH78" s="291">
        <f>1-CH67</f>
        <v>5.0000000000000044E-2</v>
      </c>
      <c r="CI78" s="292">
        <f t="shared" ref="CI78:CT78" si="370">1-CI67</f>
        <v>5.0000000000000044E-2</v>
      </c>
      <c r="CJ78" s="292">
        <f t="shared" si="370"/>
        <v>5.0000000000000044E-2</v>
      </c>
      <c r="CK78" s="292">
        <f t="shared" si="370"/>
        <v>5.0000000000000044E-2</v>
      </c>
      <c r="CL78" s="292">
        <f t="shared" si="370"/>
        <v>5.0000000000000044E-2</v>
      </c>
      <c r="CM78" s="292">
        <f t="shared" si="370"/>
        <v>5.0000000000000044E-2</v>
      </c>
      <c r="CN78" s="292">
        <f t="shared" si="370"/>
        <v>5.0000000000000044E-2</v>
      </c>
      <c r="CO78" s="292">
        <f t="shared" si="370"/>
        <v>5.0000000000000044E-2</v>
      </c>
      <c r="CP78" s="292">
        <f t="shared" si="370"/>
        <v>5.0000000000000044E-2</v>
      </c>
      <c r="CQ78" s="292">
        <f t="shared" si="370"/>
        <v>5.0000000000000044E-2</v>
      </c>
      <c r="CR78" s="292">
        <f t="shared" si="370"/>
        <v>5.0000000000000044E-2</v>
      </c>
      <c r="CS78" s="292">
        <f t="shared" si="370"/>
        <v>5.0000000000000044E-2</v>
      </c>
      <c r="CT78" s="292">
        <f t="shared" si="370"/>
        <v>5.0000000000000044E-2</v>
      </c>
    </row>
    <row r="79" spans="3:100" outlineLevel="1" x14ac:dyDescent="0.2">
      <c r="C79" s="3"/>
      <c r="D79" s="16" t="s">
        <v>298</v>
      </c>
      <c r="E79" s="224" t="s">
        <v>296</v>
      </c>
      <c r="F79" s="224" t="str">
        <f>_xlfn.TEXTJOIN(keydelim,TRUE,$D79,F$10)</f>
        <v>Fuel tank size - Medium</v>
      </c>
      <c r="G79" s="22">
        <f ca="1">INDEX('Vessel Profiles - Input'!$G$1:$L$105,MATCH($F79,'Vessel Profiles - Input'!$E$1:$E$105,0),MATCH(G$9,'Vessel Profiles - Input'!$G$3:$L$3,0))</f>
        <v>9000</v>
      </c>
      <c r="H79" s="22">
        <f ca="1">INDEX('Vessel Profiles - Input'!$G$1:$L$105,MATCH($F79,'Vessel Profiles - Input'!$E$1:$E$105,0),MATCH(H$9,'Vessel Profiles - Input'!$G$3:$L$3,0))</f>
        <v>9000</v>
      </c>
      <c r="I79" s="22">
        <f ca="1">INDEX('Vessel Profiles - Input'!$G$1:$L$105,MATCH($F79,'Vessel Profiles - Input'!$E$1:$E$105,0),MATCH(I$9,'Vessel Profiles - Input'!$G$3:$L$3,0))</f>
        <v>9000</v>
      </c>
      <c r="J79" s="22">
        <f ca="1">INDEX('Vessel Profiles - Input'!$G$1:$L$105,MATCH($F79,'Vessel Profiles - Input'!$E$1:$E$105,0),MATCH(J$9,'Vessel Profiles - Input'!$G$3:$L$3,0))</f>
        <v>9000</v>
      </c>
      <c r="K79" s="22">
        <f ca="1">INDEX('Vessel Profiles - Input'!$G$1:$L$105,MATCH($F79,'Vessel Profiles - Input'!$E$1:$E$105,0),MATCH(K$9,'Vessel Profiles - Input'!$G$3:$L$3,0))</f>
        <v>9000</v>
      </c>
      <c r="L79" s="22">
        <f ca="1">INDEX('Vessel Profiles - Input'!$G$1:$L$105,MATCH($F79,'Vessel Profiles - Input'!$E$1:$E$105,0),MATCH(L$9,'Vessel Profiles - Input'!$G$3:$L$3,0))</f>
        <v>9000</v>
      </c>
      <c r="M79" s="22">
        <f ca="1">INDEX('Vessel Profiles - Input'!$G$1:$L$105,MATCH($F79,'Vessel Profiles - Input'!$E$1:$E$105,0),MATCH(M$9,'Vessel Profiles - Input'!$G$3:$L$3,0))</f>
        <v>9000</v>
      </c>
      <c r="N79" s="22">
        <f ca="1">INDEX('Vessel Profiles - Input'!$G$1:$L$105,MATCH($F79,'Vessel Profiles - Input'!$E$1:$E$105,0),MATCH(N$9,'Vessel Profiles - Input'!$G$3:$L$3,0))</f>
        <v>9000</v>
      </c>
      <c r="O79" s="22">
        <f ca="1">INDEX('Vessel Profiles - Input'!$G$1:$L$105,MATCH($F79,'Vessel Profiles - Input'!$E$1:$E$105,0),MATCH(O$9,'Vessel Profiles - Input'!$G$3:$L$3,0))</f>
        <v>9000</v>
      </c>
      <c r="P79" s="22">
        <f ca="1">INDEX('Vessel Profiles - Input'!$G$1:$L$105,MATCH($F79,'Vessel Profiles - Input'!$E$1:$E$105,0),MATCH(P$9,'Vessel Profiles - Input'!$G$3:$L$3,0))</f>
        <v>9000</v>
      </c>
      <c r="Q79" s="22">
        <f ca="1">INDEX('Vessel Profiles - Input'!$G$1:$L$105,MATCH($F79,'Vessel Profiles - Input'!$E$1:$E$105,0),MATCH(Q$9,'Vessel Profiles - Input'!$G$3:$L$3,0))</f>
        <v>9000</v>
      </c>
      <c r="R79" s="22">
        <f ca="1">INDEX('Vessel Profiles - Input'!$G$1:$L$105,MATCH($F79,'Vessel Profiles - Input'!$E$1:$E$105,0),MATCH(R$9,'Vessel Profiles - Input'!$G$3:$L$3,0))</f>
        <v>9000</v>
      </c>
      <c r="X79" s="16" t="s">
        <v>298</v>
      </c>
      <c r="Y79" s="224" t="s">
        <v>296</v>
      </c>
      <c r="Z79" s="224" t="str">
        <f>_xlfn.TEXTJOIN(keydelim,TRUE,$D79,Z$10)</f>
        <v>Fuel tank size - Medium</v>
      </c>
      <c r="AA79" s="22">
        <f ca="1">INDEX('Vessel Profiles - Input'!$G$1:$L$105,MATCH($F79,'Vessel Profiles - Input'!$E$1:$E$105,0),MATCH(AA$9,'Vessel Profiles - Input'!$G$3:$L$3,0))</f>
        <v>9000</v>
      </c>
      <c r="AB79" s="22">
        <f ca="1">INDEX('Vessel Profiles - Input'!$G$1:$L$105,MATCH($F79,'Vessel Profiles - Input'!$E$1:$E$105,0),MATCH(AB$9,'Vessel Profiles - Input'!$G$3:$L$3,0))</f>
        <v>9000</v>
      </c>
      <c r="AC79" s="22">
        <f ca="1">INDEX('Vessel Profiles - Input'!$G$1:$L$105,MATCH($F79,'Vessel Profiles - Input'!$E$1:$E$105,0),MATCH(AC$9,'Vessel Profiles - Input'!$G$3:$L$3,0))</f>
        <v>9000</v>
      </c>
      <c r="AD79" s="22">
        <f ca="1">INDEX('Vessel Profiles - Input'!$G$1:$L$105,MATCH($F79,'Vessel Profiles - Input'!$E$1:$E$105,0),MATCH(AD$9,'Vessel Profiles - Input'!$G$3:$L$3,0))</f>
        <v>9000</v>
      </c>
      <c r="AE79" s="22">
        <f ca="1">INDEX('Vessel Profiles - Input'!$G$1:$L$105,MATCH($F79,'Vessel Profiles - Input'!$E$1:$E$105,0),MATCH(AE$9,'Vessel Profiles - Input'!$G$3:$L$3,0))</f>
        <v>9000</v>
      </c>
      <c r="AF79" s="22">
        <f ca="1">INDEX('Vessel Profiles - Input'!$G$1:$L$105,MATCH($F79,'Vessel Profiles - Input'!$E$1:$E$105,0),MATCH(AF$9,'Vessel Profiles - Input'!$G$3:$L$3,0))</f>
        <v>9000</v>
      </c>
      <c r="AG79" s="22">
        <f ca="1">INDEX('Vessel Profiles - Input'!$G$1:$L$105,MATCH($F79,'Vessel Profiles - Input'!$E$1:$E$105,0),MATCH(AG$9,'Vessel Profiles - Input'!$G$3:$L$3,0))</f>
        <v>9000</v>
      </c>
      <c r="AH79" s="22">
        <f ca="1">INDEX('Vessel Profiles - Input'!$G$1:$L$105,MATCH($F79,'Vessel Profiles - Input'!$E$1:$E$105,0),MATCH(AH$9,'Vessel Profiles - Input'!$G$3:$L$3,0))</f>
        <v>9000</v>
      </c>
      <c r="AI79" s="22">
        <f ca="1">INDEX('Vessel Profiles - Input'!$G$1:$L$105,MATCH($F79,'Vessel Profiles - Input'!$E$1:$E$105,0),MATCH(AI$9,'Vessel Profiles - Input'!$G$3:$L$3,0))</f>
        <v>9000</v>
      </c>
      <c r="AJ79" s="22">
        <f ca="1">INDEX('Vessel Profiles - Input'!$G$1:$L$105,MATCH($F79,'Vessel Profiles - Input'!$E$1:$E$105,0),MATCH(AJ$9,'Vessel Profiles - Input'!$G$3:$L$3,0))</f>
        <v>9000</v>
      </c>
      <c r="AK79" s="22">
        <f ca="1">INDEX('Vessel Profiles - Input'!$G$1:$L$105,MATCH($F79,'Vessel Profiles - Input'!$E$1:$E$105,0),MATCH(AK$9,'Vessel Profiles - Input'!$G$3:$L$3,0))</f>
        <v>9000</v>
      </c>
      <c r="AL79" s="22">
        <f ca="1">INDEX('Vessel Profiles - Input'!$G$1:$L$105,MATCH($F79,'Vessel Profiles - Input'!$E$1:$E$105,0),MATCH(AL$9,'Vessel Profiles - Input'!$G$3:$L$3,0))</f>
        <v>9000</v>
      </c>
      <c r="AR79" s="16" t="s">
        <v>298</v>
      </c>
      <c r="AS79" s="224" t="s">
        <v>296</v>
      </c>
      <c r="AT79" s="224" t="str">
        <f>_xlfn.TEXTJOIN(keydelim,TRUE,$D79,AT$10)</f>
        <v>Fuel tank size - Medium</v>
      </c>
      <c r="AU79" s="22">
        <f ca="1">INDEX('Vessel Profiles - Input'!$G$1:$L$105,MATCH($F79,'Vessel Profiles - Input'!$E$1:$E$105,0),MATCH(AU$9,'Vessel Profiles - Input'!$G$3:$L$3,0))</f>
        <v>9000</v>
      </c>
      <c r="AV79" s="22">
        <f ca="1">INDEX('Vessel Profiles - Input'!$G$1:$L$105,MATCH($F79,'Vessel Profiles - Input'!$E$1:$E$105,0),MATCH(AV$9,'Vessel Profiles - Input'!$G$3:$L$3,0))</f>
        <v>9000</v>
      </c>
      <c r="AW79" s="22">
        <f ca="1">INDEX('Vessel Profiles - Input'!$G$1:$L$105,MATCH($F79,'Vessel Profiles - Input'!$E$1:$E$105,0),MATCH(AW$9,'Vessel Profiles - Input'!$G$3:$L$3,0))</f>
        <v>9000</v>
      </c>
      <c r="AX79" s="22">
        <f ca="1">INDEX('Vessel Profiles - Input'!$G$1:$L$105,MATCH($F79,'Vessel Profiles - Input'!$E$1:$E$105,0),MATCH(AX$9,'Vessel Profiles - Input'!$G$3:$L$3,0))</f>
        <v>9000</v>
      </c>
      <c r="AY79" s="22">
        <f ca="1">INDEX('Vessel Profiles - Input'!$G$1:$L$105,MATCH($F79,'Vessel Profiles - Input'!$E$1:$E$105,0),MATCH(AY$9,'Vessel Profiles - Input'!$G$3:$L$3,0))</f>
        <v>9000</v>
      </c>
      <c r="AZ79" s="22">
        <f ca="1">INDEX('Vessel Profiles - Input'!$G$1:$L$105,MATCH($F79,'Vessel Profiles - Input'!$E$1:$E$105,0),MATCH(AZ$9,'Vessel Profiles - Input'!$G$3:$L$3,0))</f>
        <v>9000</v>
      </c>
      <c r="BA79" s="22">
        <f ca="1">INDEX('Vessel Profiles - Input'!$G$1:$L$105,MATCH($F79,'Vessel Profiles - Input'!$E$1:$E$105,0),MATCH(BA$9,'Vessel Profiles - Input'!$G$3:$L$3,0))</f>
        <v>9000</v>
      </c>
      <c r="BB79" s="22">
        <f ca="1">INDEX('Vessel Profiles - Input'!$G$1:$L$105,MATCH($F79,'Vessel Profiles - Input'!$E$1:$E$105,0),MATCH(BB$9,'Vessel Profiles - Input'!$G$3:$L$3,0))</f>
        <v>9000</v>
      </c>
      <c r="BC79" s="22">
        <f ca="1">INDEX('Vessel Profiles - Input'!$G$1:$L$105,MATCH($F79,'Vessel Profiles - Input'!$E$1:$E$105,0),MATCH(BC$9,'Vessel Profiles - Input'!$G$3:$L$3,0))</f>
        <v>9000</v>
      </c>
      <c r="BD79" s="22">
        <f ca="1">INDEX('Vessel Profiles - Input'!$G$1:$L$105,MATCH($F79,'Vessel Profiles - Input'!$E$1:$E$105,0),MATCH(BD$9,'Vessel Profiles - Input'!$G$3:$L$3,0))</f>
        <v>9000</v>
      </c>
      <c r="BE79" s="22">
        <f ca="1">INDEX('Vessel Profiles - Input'!$G$1:$L$105,MATCH($F79,'Vessel Profiles - Input'!$E$1:$E$105,0),MATCH(BE$9,'Vessel Profiles - Input'!$G$3:$L$3,0))</f>
        <v>9000</v>
      </c>
      <c r="BF79" s="22">
        <f ca="1">INDEX('Vessel Profiles - Input'!$G$1:$L$105,MATCH($F79,'Vessel Profiles - Input'!$E$1:$E$105,0),MATCH(BF$9,'Vessel Profiles - Input'!$G$3:$L$3,0))</f>
        <v>9000</v>
      </c>
      <c r="BL79" s="16" t="s">
        <v>298</v>
      </c>
      <c r="BM79" s="224" t="s">
        <v>296</v>
      </c>
      <c r="BN79" s="224" t="str">
        <f>_xlfn.TEXTJOIN(keydelim,TRUE,$D79,BN$10)</f>
        <v>Fuel tank size - Medium</v>
      </c>
      <c r="BO79" s="22">
        <f ca="1">INDEX('Vessel Profiles - Input'!$G$1:$L$105,MATCH($F79,'Vessel Profiles - Input'!$E$1:$E$105,0),MATCH(BO$9,'Vessel Profiles - Input'!$G$3:$L$3,0))</f>
        <v>9000</v>
      </c>
      <c r="BP79" s="22">
        <f ca="1">INDEX('Vessel Profiles - Input'!$G$1:$L$105,MATCH($F79,'Vessel Profiles - Input'!$E$1:$E$105,0),MATCH(BP$9,'Vessel Profiles - Input'!$G$3:$L$3,0))</f>
        <v>9000</v>
      </c>
      <c r="BQ79" s="22">
        <f ca="1">INDEX('Vessel Profiles - Input'!$G$1:$L$105,MATCH($F79,'Vessel Profiles - Input'!$E$1:$E$105,0),MATCH(BQ$9,'Vessel Profiles - Input'!$G$3:$L$3,0))</f>
        <v>9000</v>
      </c>
      <c r="BR79" s="22">
        <f ca="1">INDEX('Vessel Profiles - Input'!$G$1:$L$105,MATCH($F79,'Vessel Profiles - Input'!$E$1:$E$105,0),MATCH(BR$9,'Vessel Profiles - Input'!$G$3:$L$3,0))</f>
        <v>9000</v>
      </c>
      <c r="BS79" s="22">
        <f ca="1">INDEX('Vessel Profiles - Input'!$G$1:$L$105,MATCH($F79,'Vessel Profiles - Input'!$E$1:$E$105,0),MATCH(BS$9,'Vessel Profiles - Input'!$G$3:$L$3,0))</f>
        <v>9000</v>
      </c>
      <c r="BT79" s="22">
        <f ca="1">INDEX('Vessel Profiles - Input'!$G$1:$L$105,MATCH($F79,'Vessel Profiles - Input'!$E$1:$E$105,0),MATCH(BT$9,'Vessel Profiles - Input'!$G$3:$L$3,0))</f>
        <v>9000</v>
      </c>
      <c r="BU79" s="22">
        <f ca="1">INDEX('Vessel Profiles - Input'!$G$1:$L$105,MATCH($F79,'Vessel Profiles - Input'!$E$1:$E$105,0),MATCH(BU$9,'Vessel Profiles - Input'!$G$3:$L$3,0))</f>
        <v>9000</v>
      </c>
      <c r="BV79" s="22">
        <f ca="1">INDEX('Vessel Profiles - Input'!$G$1:$L$105,MATCH($F79,'Vessel Profiles - Input'!$E$1:$E$105,0),MATCH(BV$9,'Vessel Profiles - Input'!$G$3:$L$3,0))</f>
        <v>9000</v>
      </c>
      <c r="BW79" s="22">
        <f ca="1">INDEX('Vessel Profiles - Input'!$G$1:$L$105,MATCH($F79,'Vessel Profiles - Input'!$E$1:$E$105,0),MATCH(BW$9,'Vessel Profiles - Input'!$G$3:$L$3,0))</f>
        <v>9000</v>
      </c>
      <c r="BX79" s="22">
        <f ca="1">INDEX('Vessel Profiles - Input'!$G$1:$L$105,MATCH($F79,'Vessel Profiles - Input'!$E$1:$E$105,0),MATCH(BX$9,'Vessel Profiles - Input'!$G$3:$L$3,0))</f>
        <v>9000</v>
      </c>
      <c r="BY79" s="22">
        <f ca="1">INDEX('Vessel Profiles - Input'!$G$1:$L$105,MATCH($F79,'Vessel Profiles - Input'!$E$1:$E$105,0),MATCH(BY$9,'Vessel Profiles - Input'!$G$3:$L$3,0))</f>
        <v>9000</v>
      </c>
      <c r="BZ79" s="22">
        <f ca="1">INDEX('Vessel Profiles - Input'!$G$1:$L$105,MATCH($F79,'Vessel Profiles - Input'!$E$1:$E$105,0),MATCH(BZ$9,'Vessel Profiles - Input'!$G$3:$L$3,0))</f>
        <v>9000</v>
      </c>
      <c r="CF79" s="16" t="s">
        <v>298</v>
      </c>
      <c r="CG79" s="224" t="s">
        <v>296</v>
      </c>
      <c r="CH79" s="224" t="str">
        <f>_xlfn.TEXTJOIN(keydelim,TRUE,$D79,CH$10)</f>
        <v>Fuel tank size - Medium</v>
      </c>
      <c r="CI79" s="22">
        <f ca="1">INDEX('Vessel Profiles - Input'!$G$1:$L$105,MATCH($F79,'Vessel Profiles - Input'!$E$1:$E$105,0),MATCH(CI$9,'Vessel Profiles - Input'!$G$3:$L$3,0))</f>
        <v>9000</v>
      </c>
      <c r="CJ79" s="22">
        <f ca="1">INDEX('Vessel Profiles - Input'!$G$1:$L$105,MATCH($F79,'Vessel Profiles - Input'!$E$1:$E$105,0),MATCH(CJ$9,'Vessel Profiles - Input'!$G$3:$L$3,0))</f>
        <v>9000</v>
      </c>
      <c r="CK79" s="22">
        <f ca="1">INDEX('Vessel Profiles - Input'!$G$1:$L$105,MATCH($F79,'Vessel Profiles - Input'!$E$1:$E$105,0),MATCH(CK$9,'Vessel Profiles - Input'!$G$3:$L$3,0))</f>
        <v>9000</v>
      </c>
      <c r="CL79" s="22">
        <f ca="1">INDEX('Vessel Profiles - Input'!$G$1:$L$105,MATCH($F79,'Vessel Profiles - Input'!$E$1:$E$105,0),MATCH(CL$9,'Vessel Profiles - Input'!$G$3:$L$3,0))</f>
        <v>9000</v>
      </c>
      <c r="CM79" s="22">
        <f ca="1">INDEX('Vessel Profiles - Input'!$G$1:$L$105,MATCH($F79,'Vessel Profiles - Input'!$E$1:$E$105,0),MATCH(CM$9,'Vessel Profiles - Input'!$G$3:$L$3,0))</f>
        <v>9000</v>
      </c>
      <c r="CN79" s="22">
        <f ca="1">INDEX('Vessel Profiles - Input'!$G$1:$L$105,MATCH($F79,'Vessel Profiles - Input'!$E$1:$E$105,0),MATCH(CN$9,'Vessel Profiles - Input'!$G$3:$L$3,0))</f>
        <v>9000</v>
      </c>
      <c r="CO79" s="22">
        <f ca="1">INDEX('Vessel Profiles - Input'!$G$1:$L$105,MATCH($F79,'Vessel Profiles - Input'!$E$1:$E$105,0),MATCH(CO$9,'Vessel Profiles - Input'!$G$3:$L$3,0))</f>
        <v>9000</v>
      </c>
      <c r="CP79" s="22">
        <f ca="1">INDEX('Vessel Profiles - Input'!$G$1:$L$105,MATCH($F79,'Vessel Profiles - Input'!$E$1:$E$105,0),MATCH(CP$9,'Vessel Profiles - Input'!$G$3:$L$3,0))</f>
        <v>9000</v>
      </c>
      <c r="CQ79" s="22">
        <f ca="1">INDEX('Vessel Profiles - Input'!$G$1:$L$105,MATCH($F79,'Vessel Profiles - Input'!$E$1:$E$105,0),MATCH(CQ$9,'Vessel Profiles - Input'!$G$3:$L$3,0))</f>
        <v>9000</v>
      </c>
      <c r="CR79" s="22">
        <f ca="1">INDEX('Vessel Profiles - Input'!$G$1:$L$105,MATCH($F79,'Vessel Profiles - Input'!$E$1:$E$105,0),MATCH(CR$9,'Vessel Profiles - Input'!$G$3:$L$3,0))</f>
        <v>9000</v>
      </c>
      <c r="CS79" s="22">
        <f ca="1">INDEX('Vessel Profiles - Input'!$G$1:$L$105,MATCH($F79,'Vessel Profiles - Input'!$E$1:$E$105,0),MATCH(CS$9,'Vessel Profiles - Input'!$G$3:$L$3,0))</f>
        <v>9000</v>
      </c>
      <c r="CT79" s="22">
        <f ca="1">INDEX('Vessel Profiles - Input'!$G$1:$L$105,MATCH($F79,'Vessel Profiles - Input'!$E$1:$E$105,0),MATCH(CT$9,'Vessel Profiles - Input'!$G$3:$L$3,0))</f>
        <v>9000</v>
      </c>
    </row>
    <row r="80" spans="3:100" outlineLevel="1" x14ac:dyDescent="0.2">
      <c r="C80" s="3"/>
      <c r="D80" s="59" t="s">
        <v>299</v>
      </c>
      <c r="E80" s="224" t="s">
        <v>300</v>
      </c>
      <c r="G80" s="52">
        <f t="shared" ref="G80:R80" ca="1" si="371">IFERROR(INDEX(tbl_TCO_input,MATCH(
_xlfn.TEXTJOIN(keydelim,TRUE,G$16,$D80),rows_TCO_ID,0),MATCH(G$6,cols_TCO_input,0)),0)</f>
        <v>0.9</v>
      </c>
      <c r="H80" s="52">
        <f t="shared" ca="1" si="371"/>
        <v>0.9</v>
      </c>
      <c r="I80" s="52">
        <f t="shared" ca="1" si="371"/>
        <v>0.9</v>
      </c>
      <c r="J80" s="52">
        <f t="shared" ca="1" si="371"/>
        <v>0.9</v>
      </c>
      <c r="K80" s="52">
        <f t="shared" ca="1" si="371"/>
        <v>0.9</v>
      </c>
      <c r="L80" s="52">
        <f t="shared" ca="1" si="371"/>
        <v>0.9</v>
      </c>
      <c r="M80" s="52">
        <f t="shared" ca="1" si="371"/>
        <v>0.9</v>
      </c>
      <c r="N80" s="52">
        <f t="shared" ca="1" si="371"/>
        <v>0.9</v>
      </c>
      <c r="O80" s="52">
        <f t="shared" ca="1" si="371"/>
        <v>0.9</v>
      </c>
      <c r="P80" s="52">
        <f t="shared" ca="1" si="371"/>
        <v>0.9</v>
      </c>
      <c r="Q80" s="52">
        <f t="shared" ca="1" si="371"/>
        <v>0.9</v>
      </c>
      <c r="R80" s="52">
        <f t="shared" ca="1" si="371"/>
        <v>0.9</v>
      </c>
      <c r="X80" s="59" t="s">
        <v>299</v>
      </c>
      <c r="Y80" s="224" t="s">
        <v>300</v>
      </c>
      <c r="AA80" s="52">
        <f t="shared" ref="AA80:AL80" ca="1" si="372">IFERROR(INDEX(tbl_TCO_input,MATCH(
_xlfn.TEXTJOIN(keydelim,TRUE,AA$16,$D80),rows_TCO_ID,0),MATCH(AA$6,cols_TCO_input,0)),0)</f>
        <v>0.9</v>
      </c>
      <c r="AB80" s="52">
        <f t="shared" ca="1" si="372"/>
        <v>0.9</v>
      </c>
      <c r="AC80" s="52">
        <f t="shared" ca="1" si="372"/>
        <v>0.9</v>
      </c>
      <c r="AD80" s="52">
        <f t="shared" ca="1" si="372"/>
        <v>0.9</v>
      </c>
      <c r="AE80" s="52">
        <f t="shared" ca="1" si="372"/>
        <v>0.9</v>
      </c>
      <c r="AF80" s="52">
        <f t="shared" ca="1" si="372"/>
        <v>0.9</v>
      </c>
      <c r="AG80" s="52">
        <f t="shared" ca="1" si="372"/>
        <v>0.9</v>
      </c>
      <c r="AH80" s="52">
        <f t="shared" ca="1" si="372"/>
        <v>0.9</v>
      </c>
      <c r="AI80" s="52">
        <f t="shared" ca="1" si="372"/>
        <v>0.9</v>
      </c>
      <c r="AJ80" s="52">
        <f t="shared" ca="1" si="372"/>
        <v>0.9</v>
      </c>
      <c r="AK80" s="52">
        <f t="shared" ca="1" si="372"/>
        <v>0.9</v>
      </c>
      <c r="AL80" s="52">
        <f t="shared" ca="1" si="372"/>
        <v>0.9</v>
      </c>
      <c r="AR80" s="59" t="s">
        <v>299</v>
      </c>
      <c r="AS80" s="224" t="s">
        <v>300</v>
      </c>
      <c r="AU80" s="52">
        <f t="shared" ref="AU80:BF80" ca="1" si="373">IFERROR(INDEX(tbl_TCO_input,MATCH(
_xlfn.TEXTJOIN(keydelim,TRUE,AU$16,$D80),rows_TCO_ID,0),MATCH(AU$6,cols_TCO_input,0)),0)</f>
        <v>0.9</v>
      </c>
      <c r="AV80" s="52">
        <f t="shared" ca="1" si="373"/>
        <v>0.9</v>
      </c>
      <c r="AW80" s="52">
        <f t="shared" ca="1" si="373"/>
        <v>0.9</v>
      </c>
      <c r="AX80" s="52">
        <f t="shared" ca="1" si="373"/>
        <v>0.9</v>
      </c>
      <c r="AY80" s="52">
        <f t="shared" ca="1" si="373"/>
        <v>0.9</v>
      </c>
      <c r="AZ80" s="52">
        <f t="shared" ca="1" si="373"/>
        <v>0.9</v>
      </c>
      <c r="BA80" s="52">
        <f t="shared" ca="1" si="373"/>
        <v>0.9</v>
      </c>
      <c r="BB80" s="52">
        <f t="shared" ca="1" si="373"/>
        <v>0.9</v>
      </c>
      <c r="BC80" s="52">
        <f t="shared" ca="1" si="373"/>
        <v>0.9</v>
      </c>
      <c r="BD80" s="52">
        <f t="shared" ca="1" si="373"/>
        <v>0.9</v>
      </c>
      <c r="BE80" s="52">
        <f t="shared" ca="1" si="373"/>
        <v>0.9</v>
      </c>
      <c r="BF80" s="52">
        <f t="shared" ca="1" si="373"/>
        <v>0.9</v>
      </c>
      <c r="BL80" s="59" t="s">
        <v>299</v>
      </c>
      <c r="BM80" s="224" t="s">
        <v>300</v>
      </c>
      <c r="BO80" s="52">
        <f t="shared" ref="BO80:BZ80" ca="1" si="374">IFERROR(INDEX(tbl_TCO_input,MATCH(
_xlfn.TEXTJOIN(keydelim,TRUE,BO$16,$D80),rows_TCO_ID,0),MATCH(BO$6,cols_TCO_input,0)),0)</f>
        <v>0.9</v>
      </c>
      <c r="BP80" s="52">
        <f t="shared" ca="1" si="374"/>
        <v>0.9</v>
      </c>
      <c r="BQ80" s="52">
        <f t="shared" ca="1" si="374"/>
        <v>0.9</v>
      </c>
      <c r="BR80" s="52">
        <f t="shared" ca="1" si="374"/>
        <v>0.9</v>
      </c>
      <c r="BS80" s="52">
        <f t="shared" ca="1" si="374"/>
        <v>0.9</v>
      </c>
      <c r="BT80" s="52">
        <f t="shared" ca="1" si="374"/>
        <v>0.9</v>
      </c>
      <c r="BU80" s="52">
        <f t="shared" ca="1" si="374"/>
        <v>0.9</v>
      </c>
      <c r="BV80" s="52">
        <f t="shared" ca="1" si="374"/>
        <v>0.9</v>
      </c>
      <c r="BW80" s="52">
        <f t="shared" ca="1" si="374"/>
        <v>0.9</v>
      </c>
      <c r="BX80" s="52">
        <f t="shared" ca="1" si="374"/>
        <v>0.9</v>
      </c>
      <c r="BY80" s="52">
        <f t="shared" ca="1" si="374"/>
        <v>0.9</v>
      </c>
      <c r="BZ80" s="52">
        <f t="shared" ca="1" si="374"/>
        <v>0.9</v>
      </c>
      <c r="CF80" s="59" t="s">
        <v>299</v>
      </c>
      <c r="CG80" s="224" t="s">
        <v>300</v>
      </c>
      <c r="CI80" s="52">
        <f t="shared" ref="CI80:CT80" ca="1" si="375">IFERROR(INDEX(tbl_TCO_input,MATCH(
_xlfn.TEXTJOIN(keydelim,TRUE,CI$16,$D80),rows_TCO_ID,0),MATCH(CI$6,cols_TCO_input,0)),0)</f>
        <v>0.9</v>
      </c>
      <c r="CJ80" s="52">
        <f t="shared" ca="1" si="375"/>
        <v>0.9</v>
      </c>
      <c r="CK80" s="52">
        <f t="shared" ca="1" si="375"/>
        <v>0.9</v>
      </c>
      <c r="CL80" s="52">
        <f t="shared" ca="1" si="375"/>
        <v>0.9</v>
      </c>
      <c r="CM80" s="52">
        <f t="shared" ca="1" si="375"/>
        <v>0.9</v>
      </c>
      <c r="CN80" s="52">
        <f t="shared" ca="1" si="375"/>
        <v>0.9</v>
      </c>
      <c r="CO80" s="52">
        <f t="shared" ca="1" si="375"/>
        <v>0.9</v>
      </c>
      <c r="CP80" s="52">
        <f t="shared" ca="1" si="375"/>
        <v>0.9</v>
      </c>
      <c r="CQ80" s="52">
        <f t="shared" ca="1" si="375"/>
        <v>0.9</v>
      </c>
      <c r="CR80" s="52">
        <f t="shared" ca="1" si="375"/>
        <v>0.9</v>
      </c>
      <c r="CS80" s="52">
        <f t="shared" ca="1" si="375"/>
        <v>0.9</v>
      </c>
      <c r="CT80" s="52">
        <f t="shared" ca="1" si="375"/>
        <v>0.9</v>
      </c>
    </row>
    <row r="81" spans="3:100" outlineLevel="1" x14ac:dyDescent="0.2">
      <c r="C81" s="3"/>
      <c r="D81" s="16" t="s">
        <v>301</v>
      </c>
      <c r="E81" s="224" t="s">
        <v>302</v>
      </c>
      <c r="G81" s="22">
        <f ca="1">G85/G84*G83*(1+G82)</f>
        <v>0</v>
      </c>
      <c r="H81" s="22">
        <f t="shared" ref="H81:R81" ca="1" si="376">H85/H84*H83*(1+H82)</f>
        <v>0</v>
      </c>
      <c r="I81" s="22">
        <f t="shared" ca="1" si="376"/>
        <v>0</v>
      </c>
      <c r="J81" s="22">
        <f t="shared" ca="1" si="376"/>
        <v>0</v>
      </c>
      <c r="K81" s="22">
        <f t="shared" ca="1" si="376"/>
        <v>0</v>
      </c>
      <c r="L81" s="22">
        <f t="shared" ca="1" si="376"/>
        <v>0</v>
      </c>
      <c r="M81" s="22">
        <f t="shared" ca="1" si="376"/>
        <v>0</v>
      </c>
      <c r="N81" s="22">
        <f t="shared" ca="1" si="376"/>
        <v>0</v>
      </c>
      <c r="O81" s="22">
        <f t="shared" ca="1" si="376"/>
        <v>0</v>
      </c>
      <c r="P81" s="22">
        <f t="shared" ca="1" si="376"/>
        <v>0</v>
      </c>
      <c r="Q81" s="22">
        <f t="shared" ca="1" si="376"/>
        <v>0</v>
      </c>
      <c r="R81" s="22">
        <f t="shared" ca="1" si="376"/>
        <v>0</v>
      </c>
      <c r="X81" s="16" t="s">
        <v>301</v>
      </c>
      <c r="Y81" s="224" t="s">
        <v>302</v>
      </c>
      <c r="AA81" s="22">
        <f ca="1">AA85/AA84*AA83*(1+AA82)</f>
        <v>0</v>
      </c>
      <c r="AB81" s="22">
        <f t="shared" ref="AB81:AL81" ca="1" si="377">AB85/AB84*AB83*(1+AB82)</f>
        <v>0</v>
      </c>
      <c r="AC81" s="22">
        <f t="shared" ca="1" si="377"/>
        <v>0</v>
      </c>
      <c r="AD81" s="22">
        <f t="shared" ca="1" si="377"/>
        <v>0</v>
      </c>
      <c r="AE81" s="22">
        <f t="shared" ca="1" si="377"/>
        <v>0</v>
      </c>
      <c r="AF81" s="22">
        <f t="shared" ca="1" si="377"/>
        <v>0</v>
      </c>
      <c r="AG81" s="22">
        <f t="shared" ca="1" si="377"/>
        <v>0</v>
      </c>
      <c r="AH81" s="22">
        <f t="shared" ca="1" si="377"/>
        <v>0</v>
      </c>
      <c r="AI81" s="22">
        <f t="shared" ca="1" si="377"/>
        <v>0</v>
      </c>
      <c r="AJ81" s="22">
        <f t="shared" ca="1" si="377"/>
        <v>0</v>
      </c>
      <c r="AK81" s="22">
        <f t="shared" ca="1" si="377"/>
        <v>0</v>
      </c>
      <c r="AL81" s="22">
        <f t="shared" ca="1" si="377"/>
        <v>0</v>
      </c>
      <c r="AR81" s="16" t="s">
        <v>301</v>
      </c>
      <c r="AS81" s="224" t="s">
        <v>302</v>
      </c>
      <c r="AU81" s="22">
        <f ca="1">AU85/AU84*AU83*(1+AU82)</f>
        <v>0</v>
      </c>
      <c r="AV81" s="22">
        <f t="shared" ref="AV81:BF81" ca="1" si="378">AV85/AV84*AV83*(1+AV82)</f>
        <v>0</v>
      </c>
      <c r="AW81" s="22">
        <f t="shared" ca="1" si="378"/>
        <v>0</v>
      </c>
      <c r="AX81" s="22">
        <f t="shared" ca="1" si="378"/>
        <v>0</v>
      </c>
      <c r="AY81" s="22">
        <f t="shared" ca="1" si="378"/>
        <v>0</v>
      </c>
      <c r="AZ81" s="22">
        <f t="shared" ca="1" si="378"/>
        <v>0</v>
      </c>
      <c r="BA81" s="22">
        <f t="shared" ca="1" si="378"/>
        <v>0</v>
      </c>
      <c r="BB81" s="22">
        <f t="shared" ca="1" si="378"/>
        <v>0</v>
      </c>
      <c r="BC81" s="22">
        <f t="shared" ca="1" si="378"/>
        <v>0</v>
      </c>
      <c r="BD81" s="22">
        <f t="shared" ca="1" si="378"/>
        <v>0</v>
      </c>
      <c r="BE81" s="22">
        <f t="shared" ca="1" si="378"/>
        <v>0</v>
      </c>
      <c r="BF81" s="22">
        <f t="shared" ca="1" si="378"/>
        <v>0</v>
      </c>
      <c r="BL81" s="16" t="s">
        <v>301</v>
      </c>
      <c r="BM81" s="224" t="s">
        <v>302</v>
      </c>
      <c r="BO81" s="22">
        <f ca="1">BO85/BO84*BO83*(1+BO82)</f>
        <v>0</v>
      </c>
      <c r="BP81" s="22">
        <f t="shared" ref="BP81:BZ81" ca="1" si="379">BP85/BP84*BP83*(1+BP82)</f>
        <v>0</v>
      </c>
      <c r="BQ81" s="22">
        <f t="shared" ca="1" si="379"/>
        <v>0</v>
      </c>
      <c r="BR81" s="22">
        <f t="shared" ca="1" si="379"/>
        <v>0</v>
      </c>
      <c r="BS81" s="22">
        <f t="shared" ca="1" si="379"/>
        <v>0</v>
      </c>
      <c r="BT81" s="22">
        <f t="shared" ca="1" si="379"/>
        <v>0</v>
      </c>
      <c r="BU81" s="22">
        <f t="shared" ca="1" si="379"/>
        <v>0</v>
      </c>
      <c r="BV81" s="22">
        <f t="shared" ca="1" si="379"/>
        <v>0</v>
      </c>
      <c r="BW81" s="22">
        <f t="shared" ca="1" si="379"/>
        <v>0</v>
      </c>
      <c r="BX81" s="22">
        <f t="shared" ca="1" si="379"/>
        <v>0</v>
      </c>
      <c r="BY81" s="22">
        <f t="shared" ca="1" si="379"/>
        <v>0</v>
      </c>
      <c r="BZ81" s="22">
        <f t="shared" ca="1" si="379"/>
        <v>0</v>
      </c>
      <c r="CF81" s="16" t="s">
        <v>301</v>
      </c>
      <c r="CG81" s="224" t="s">
        <v>302</v>
      </c>
      <c r="CI81" s="22">
        <f ca="1">CI85/CI84*CI83*(1+CI82)</f>
        <v>0</v>
      </c>
      <c r="CJ81" s="22">
        <f t="shared" ref="CJ81:CT81" ca="1" si="380">CJ85/CJ84*CJ83*(1+CJ82)</f>
        <v>0</v>
      </c>
      <c r="CK81" s="22">
        <f t="shared" ca="1" si="380"/>
        <v>0</v>
      </c>
      <c r="CL81" s="22">
        <f t="shared" ca="1" si="380"/>
        <v>0</v>
      </c>
      <c r="CM81" s="22">
        <f t="shared" ca="1" si="380"/>
        <v>0</v>
      </c>
      <c r="CN81" s="22">
        <f t="shared" ca="1" si="380"/>
        <v>0</v>
      </c>
      <c r="CO81" s="22">
        <f t="shared" ca="1" si="380"/>
        <v>0</v>
      </c>
      <c r="CP81" s="22">
        <f t="shared" ca="1" si="380"/>
        <v>0</v>
      </c>
      <c r="CQ81" s="22">
        <f t="shared" ca="1" si="380"/>
        <v>0</v>
      </c>
      <c r="CR81" s="22">
        <f t="shared" ca="1" si="380"/>
        <v>0</v>
      </c>
      <c r="CS81" s="22">
        <f t="shared" ca="1" si="380"/>
        <v>0</v>
      </c>
      <c r="CT81" s="22">
        <f t="shared" ca="1" si="380"/>
        <v>0</v>
      </c>
    </row>
    <row r="82" spans="3:100" outlineLevel="1" x14ac:dyDescent="0.2">
      <c r="C82" s="3"/>
      <c r="D82" s="16" t="s">
        <v>303</v>
      </c>
      <c r="E82" s="224" t="s">
        <v>178</v>
      </c>
      <c r="F82" s="290">
        <f>F$21</f>
        <v>0</v>
      </c>
      <c r="G82" s="23">
        <f>$F82</f>
        <v>0</v>
      </c>
      <c r="H82" s="23">
        <f t="shared" ref="H82:R82" si="381">$F82</f>
        <v>0</v>
      </c>
      <c r="I82" s="23">
        <f t="shared" si="381"/>
        <v>0</v>
      </c>
      <c r="J82" s="23">
        <f t="shared" si="381"/>
        <v>0</v>
      </c>
      <c r="K82" s="23">
        <f t="shared" si="381"/>
        <v>0</v>
      </c>
      <c r="L82" s="23">
        <f t="shared" si="381"/>
        <v>0</v>
      </c>
      <c r="M82" s="23">
        <f t="shared" si="381"/>
        <v>0</v>
      </c>
      <c r="N82" s="23">
        <f t="shared" si="381"/>
        <v>0</v>
      </c>
      <c r="O82" s="23">
        <f t="shared" si="381"/>
        <v>0</v>
      </c>
      <c r="P82" s="23">
        <f t="shared" si="381"/>
        <v>0</v>
      </c>
      <c r="Q82" s="23">
        <f t="shared" si="381"/>
        <v>0</v>
      </c>
      <c r="R82" s="23">
        <f t="shared" si="381"/>
        <v>0</v>
      </c>
      <c r="X82" s="16" t="s">
        <v>303</v>
      </c>
      <c r="Y82" s="224" t="s">
        <v>178</v>
      </c>
      <c r="Z82" s="290">
        <f>Z$21</f>
        <v>0</v>
      </c>
      <c r="AA82" s="23">
        <f>$F82</f>
        <v>0</v>
      </c>
      <c r="AB82" s="23">
        <f t="shared" ref="AB82:AL82" si="382">$F82</f>
        <v>0</v>
      </c>
      <c r="AC82" s="23">
        <f t="shared" si="382"/>
        <v>0</v>
      </c>
      <c r="AD82" s="23">
        <f t="shared" si="382"/>
        <v>0</v>
      </c>
      <c r="AE82" s="23">
        <f t="shared" si="382"/>
        <v>0</v>
      </c>
      <c r="AF82" s="23">
        <f t="shared" si="382"/>
        <v>0</v>
      </c>
      <c r="AG82" s="23">
        <f t="shared" si="382"/>
        <v>0</v>
      </c>
      <c r="AH82" s="23">
        <f t="shared" si="382"/>
        <v>0</v>
      </c>
      <c r="AI82" s="23">
        <f t="shared" si="382"/>
        <v>0</v>
      </c>
      <c r="AJ82" s="23">
        <f t="shared" si="382"/>
        <v>0</v>
      </c>
      <c r="AK82" s="23">
        <f t="shared" si="382"/>
        <v>0</v>
      </c>
      <c r="AL82" s="23">
        <f t="shared" si="382"/>
        <v>0</v>
      </c>
      <c r="AR82" s="16" t="s">
        <v>303</v>
      </c>
      <c r="AS82" s="224" t="s">
        <v>178</v>
      </c>
      <c r="AT82" s="290">
        <f>AT$21</f>
        <v>0</v>
      </c>
      <c r="AU82" s="23">
        <f>$F82</f>
        <v>0</v>
      </c>
      <c r="AV82" s="23">
        <f t="shared" ref="AV82:BF82" si="383">$F82</f>
        <v>0</v>
      </c>
      <c r="AW82" s="23">
        <f t="shared" si="383"/>
        <v>0</v>
      </c>
      <c r="AX82" s="23">
        <f t="shared" si="383"/>
        <v>0</v>
      </c>
      <c r="AY82" s="23">
        <f t="shared" si="383"/>
        <v>0</v>
      </c>
      <c r="AZ82" s="23">
        <f t="shared" si="383"/>
        <v>0</v>
      </c>
      <c r="BA82" s="23">
        <f t="shared" si="383"/>
        <v>0</v>
      </c>
      <c r="BB82" s="23">
        <f t="shared" si="383"/>
        <v>0</v>
      </c>
      <c r="BC82" s="23">
        <f t="shared" si="383"/>
        <v>0</v>
      </c>
      <c r="BD82" s="23">
        <f t="shared" si="383"/>
        <v>0</v>
      </c>
      <c r="BE82" s="23">
        <f t="shared" si="383"/>
        <v>0</v>
      </c>
      <c r="BF82" s="23">
        <f t="shared" si="383"/>
        <v>0</v>
      </c>
      <c r="BL82" s="16" t="s">
        <v>303</v>
      </c>
      <c r="BM82" s="224" t="s">
        <v>178</v>
      </c>
      <c r="BN82" s="290">
        <f>BN$21</f>
        <v>0</v>
      </c>
      <c r="BO82" s="23">
        <f>$F82</f>
        <v>0</v>
      </c>
      <c r="BP82" s="23">
        <f t="shared" ref="BP82:BZ82" si="384">$F82</f>
        <v>0</v>
      </c>
      <c r="BQ82" s="23">
        <f t="shared" si="384"/>
        <v>0</v>
      </c>
      <c r="BR82" s="23">
        <f t="shared" si="384"/>
        <v>0</v>
      </c>
      <c r="BS82" s="23">
        <f t="shared" si="384"/>
        <v>0</v>
      </c>
      <c r="BT82" s="23">
        <f t="shared" si="384"/>
        <v>0</v>
      </c>
      <c r="BU82" s="23">
        <f t="shared" si="384"/>
        <v>0</v>
      </c>
      <c r="BV82" s="23">
        <f t="shared" si="384"/>
        <v>0</v>
      </c>
      <c r="BW82" s="23">
        <f t="shared" si="384"/>
        <v>0</v>
      </c>
      <c r="BX82" s="23">
        <f t="shared" si="384"/>
        <v>0</v>
      </c>
      <c r="BY82" s="23">
        <f t="shared" si="384"/>
        <v>0</v>
      </c>
      <c r="BZ82" s="23">
        <f t="shared" si="384"/>
        <v>0</v>
      </c>
      <c r="CF82" s="16" t="s">
        <v>303</v>
      </c>
      <c r="CG82" s="224" t="s">
        <v>178</v>
      </c>
      <c r="CH82" s="290">
        <f>CH$21</f>
        <v>0</v>
      </c>
      <c r="CI82" s="23">
        <f>$F82</f>
        <v>0</v>
      </c>
      <c r="CJ82" s="23">
        <f t="shared" ref="CJ82:CT82" si="385">$F82</f>
        <v>0</v>
      </c>
      <c r="CK82" s="23">
        <f t="shared" si="385"/>
        <v>0</v>
      </c>
      <c r="CL82" s="23">
        <f t="shared" si="385"/>
        <v>0</v>
      </c>
      <c r="CM82" s="23">
        <f t="shared" si="385"/>
        <v>0</v>
      </c>
      <c r="CN82" s="23">
        <f t="shared" si="385"/>
        <v>0</v>
      </c>
      <c r="CO82" s="23">
        <f t="shared" si="385"/>
        <v>0</v>
      </c>
      <c r="CP82" s="23">
        <f t="shared" si="385"/>
        <v>0</v>
      </c>
      <c r="CQ82" s="23">
        <f t="shared" si="385"/>
        <v>0</v>
      </c>
      <c r="CR82" s="23">
        <f t="shared" si="385"/>
        <v>0</v>
      </c>
      <c r="CS82" s="23">
        <f t="shared" si="385"/>
        <v>0</v>
      </c>
      <c r="CT82" s="23">
        <f t="shared" si="385"/>
        <v>0</v>
      </c>
    </row>
    <row r="83" spans="3:100" outlineLevel="1" x14ac:dyDescent="0.2">
      <c r="C83" s="3"/>
      <c r="D83" s="16" t="s">
        <v>304</v>
      </c>
      <c r="E83" s="224" t="s">
        <v>305</v>
      </c>
      <c r="F83" s="224" t="s">
        <v>306</v>
      </c>
      <c r="G83" s="22">
        <f>INDEX('Vessel Profiles - Input'!$C:$L,MATCH($F83,'Vessel Profiles - Input'!$C:$C,0),MATCH(G$9,'Vessel Profiles - Input'!$C$3:$L$3,0))</f>
        <v>0</v>
      </c>
      <c r="H83" s="22">
        <f>INDEX('Vessel Profiles - Input'!$C:$L,MATCH($F83,'Vessel Profiles - Input'!$C:$C,0),MATCH(H$9,'Vessel Profiles - Input'!$C$3:$L$3,0))</f>
        <v>0</v>
      </c>
      <c r="I83" s="22">
        <f>INDEX('Vessel Profiles - Input'!$C:$L,MATCH($F83,'Vessel Profiles - Input'!$C:$C,0),MATCH(I$9,'Vessel Profiles - Input'!$C$3:$L$3,0))</f>
        <v>0</v>
      </c>
      <c r="J83" s="22">
        <f>INDEX('Vessel Profiles - Input'!$C:$L,MATCH($F83,'Vessel Profiles - Input'!$C:$C,0),MATCH(J$9,'Vessel Profiles - Input'!$C$3:$L$3,0))</f>
        <v>0</v>
      </c>
      <c r="K83" s="22">
        <f>INDEX('Vessel Profiles - Input'!$C:$L,MATCH($F83,'Vessel Profiles - Input'!$C:$C,0),MATCH(K$9,'Vessel Profiles - Input'!$C$3:$L$3,0))</f>
        <v>0</v>
      </c>
      <c r="L83" s="22">
        <f>INDEX('Vessel Profiles - Input'!$C:$L,MATCH($F83,'Vessel Profiles - Input'!$C:$C,0),MATCH(L$9,'Vessel Profiles - Input'!$C$3:$L$3,0))</f>
        <v>0</v>
      </c>
      <c r="M83" s="22">
        <f>INDEX('Vessel Profiles - Input'!$C:$L,MATCH($F83,'Vessel Profiles - Input'!$C:$C,0),MATCH(M$9,'Vessel Profiles - Input'!$C$3:$L$3,0))</f>
        <v>0</v>
      </c>
      <c r="N83" s="22">
        <f>INDEX('Vessel Profiles - Input'!$C:$L,MATCH($F83,'Vessel Profiles - Input'!$C:$C,0),MATCH(N$9,'Vessel Profiles - Input'!$C$3:$L$3,0))</f>
        <v>0</v>
      </c>
      <c r="O83" s="22">
        <f>INDEX('Vessel Profiles - Input'!$C:$L,MATCH($F83,'Vessel Profiles - Input'!$C:$C,0),MATCH(O$9,'Vessel Profiles - Input'!$C$3:$L$3,0))</f>
        <v>0</v>
      </c>
      <c r="P83" s="22">
        <f>INDEX('Vessel Profiles - Input'!$C:$L,MATCH($F83,'Vessel Profiles - Input'!$C:$C,0),MATCH(P$9,'Vessel Profiles - Input'!$C$3:$L$3,0))</f>
        <v>0</v>
      </c>
      <c r="Q83" s="22">
        <f>INDEX('Vessel Profiles - Input'!$C:$L,MATCH($F83,'Vessel Profiles - Input'!$C:$C,0),MATCH(Q$9,'Vessel Profiles - Input'!$C$3:$L$3,0))</f>
        <v>0</v>
      </c>
      <c r="R83" s="22">
        <f>INDEX('Vessel Profiles - Input'!$C:$L,MATCH($F83,'Vessel Profiles - Input'!$C:$C,0),MATCH(R$9,'Vessel Profiles - Input'!$C$3:$L$3,0))</f>
        <v>0</v>
      </c>
      <c r="X83" s="16" t="s">
        <v>304</v>
      </c>
      <c r="Y83" s="224" t="s">
        <v>305</v>
      </c>
      <c r="Z83" s="224" t="s">
        <v>306</v>
      </c>
      <c r="AA83" s="22">
        <f>INDEX('Vessel Profiles - Input'!$C:$L,MATCH($F83,'Vessel Profiles - Input'!$C:$C,0),MATCH(AA$9,'Vessel Profiles - Input'!$C$3:$L$3,0))</f>
        <v>0</v>
      </c>
      <c r="AB83" s="22">
        <f>INDEX('Vessel Profiles - Input'!$C:$L,MATCH($F83,'Vessel Profiles - Input'!$C:$C,0),MATCH(AB$9,'Vessel Profiles - Input'!$C$3:$L$3,0))</f>
        <v>0</v>
      </c>
      <c r="AC83" s="22">
        <f>INDEX('Vessel Profiles - Input'!$C:$L,MATCH($F83,'Vessel Profiles - Input'!$C:$C,0),MATCH(AC$9,'Vessel Profiles - Input'!$C$3:$L$3,0))</f>
        <v>0</v>
      </c>
      <c r="AD83" s="22">
        <f>INDEX('Vessel Profiles - Input'!$C:$L,MATCH($F83,'Vessel Profiles - Input'!$C:$C,0),MATCH(AD$9,'Vessel Profiles - Input'!$C$3:$L$3,0))</f>
        <v>0</v>
      </c>
      <c r="AE83" s="22">
        <f>INDEX('Vessel Profiles - Input'!$C:$L,MATCH($F83,'Vessel Profiles - Input'!$C:$C,0),MATCH(AE$9,'Vessel Profiles - Input'!$C$3:$L$3,0))</f>
        <v>0</v>
      </c>
      <c r="AF83" s="22">
        <f>INDEX('Vessel Profiles - Input'!$C:$L,MATCH($F83,'Vessel Profiles - Input'!$C:$C,0),MATCH(AF$9,'Vessel Profiles - Input'!$C$3:$L$3,0))</f>
        <v>0</v>
      </c>
      <c r="AG83" s="22">
        <f>INDEX('Vessel Profiles - Input'!$C:$L,MATCH($F83,'Vessel Profiles - Input'!$C:$C,0),MATCH(AG$9,'Vessel Profiles - Input'!$C$3:$L$3,0))</f>
        <v>0</v>
      </c>
      <c r="AH83" s="22">
        <f>INDEX('Vessel Profiles - Input'!$C:$L,MATCH($F83,'Vessel Profiles - Input'!$C:$C,0),MATCH(AH$9,'Vessel Profiles - Input'!$C$3:$L$3,0))</f>
        <v>0</v>
      </c>
      <c r="AI83" s="22">
        <f>INDEX('Vessel Profiles - Input'!$C:$L,MATCH($F83,'Vessel Profiles - Input'!$C:$C,0),MATCH(AI$9,'Vessel Profiles - Input'!$C$3:$L$3,0))</f>
        <v>0</v>
      </c>
      <c r="AJ83" s="22">
        <f>INDEX('Vessel Profiles - Input'!$C:$L,MATCH($F83,'Vessel Profiles - Input'!$C:$C,0),MATCH(AJ$9,'Vessel Profiles - Input'!$C$3:$L$3,0))</f>
        <v>0</v>
      </c>
      <c r="AK83" s="22">
        <f>INDEX('Vessel Profiles - Input'!$C:$L,MATCH($F83,'Vessel Profiles - Input'!$C:$C,0),MATCH(AK$9,'Vessel Profiles - Input'!$C$3:$L$3,0))</f>
        <v>0</v>
      </c>
      <c r="AL83" s="22">
        <f>INDEX('Vessel Profiles - Input'!$C:$L,MATCH($F83,'Vessel Profiles - Input'!$C:$C,0),MATCH(AL$9,'Vessel Profiles - Input'!$C$3:$L$3,0))</f>
        <v>0</v>
      </c>
      <c r="AR83" s="16" t="s">
        <v>304</v>
      </c>
      <c r="AS83" s="224" t="s">
        <v>305</v>
      </c>
      <c r="AT83" s="224" t="s">
        <v>306</v>
      </c>
      <c r="AU83" s="22">
        <f>INDEX('Vessel Profiles - Input'!$C:$L,MATCH($F83,'Vessel Profiles - Input'!$C:$C,0),MATCH(AU$9,'Vessel Profiles - Input'!$C$3:$L$3,0))</f>
        <v>0</v>
      </c>
      <c r="AV83" s="22">
        <f>INDEX('Vessel Profiles - Input'!$C:$L,MATCH($F83,'Vessel Profiles - Input'!$C:$C,0),MATCH(AV$9,'Vessel Profiles - Input'!$C$3:$L$3,0))</f>
        <v>0</v>
      </c>
      <c r="AW83" s="22">
        <f>INDEX('Vessel Profiles - Input'!$C:$L,MATCH($F83,'Vessel Profiles - Input'!$C:$C,0),MATCH(AW$9,'Vessel Profiles - Input'!$C$3:$L$3,0))</f>
        <v>0</v>
      </c>
      <c r="AX83" s="22">
        <f>INDEX('Vessel Profiles - Input'!$C:$L,MATCH($F83,'Vessel Profiles - Input'!$C:$C,0),MATCH(AX$9,'Vessel Profiles - Input'!$C$3:$L$3,0))</f>
        <v>0</v>
      </c>
      <c r="AY83" s="22">
        <f>INDEX('Vessel Profiles - Input'!$C:$L,MATCH($F83,'Vessel Profiles - Input'!$C:$C,0),MATCH(AY$9,'Vessel Profiles - Input'!$C$3:$L$3,0))</f>
        <v>0</v>
      </c>
      <c r="AZ83" s="22">
        <f>INDEX('Vessel Profiles - Input'!$C:$L,MATCH($F83,'Vessel Profiles - Input'!$C:$C,0),MATCH(AZ$9,'Vessel Profiles - Input'!$C$3:$L$3,0))</f>
        <v>0</v>
      </c>
      <c r="BA83" s="22">
        <f>INDEX('Vessel Profiles - Input'!$C:$L,MATCH($F83,'Vessel Profiles - Input'!$C:$C,0),MATCH(BA$9,'Vessel Profiles - Input'!$C$3:$L$3,0))</f>
        <v>0</v>
      </c>
      <c r="BB83" s="22">
        <f>INDEX('Vessel Profiles - Input'!$C:$L,MATCH($F83,'Vessel Profiles - Input'!$C:$C,0),MATCH(BB$9,'Vessel Profiles - Input'!$C$3:$L$3,0))</f>
        <v>0</v>
      </c>
      <c r="BC83" s="22">
        <f>INDEX('Vessel Profiles - Input'!$C:$L,MATCH($F83,'Vessel Profiles - Input'!$C:$C,0),MATCH(BC$9,'Vessel Profiles - Input'!$C$3:$L$3,0))</f>
        <v>0</v>
      </c>
      <c r="BD83" s="22">
        <f>INDEX('Vessel Profiles - Input'!$C:$L,MATCH($F83,'Vessel Profiles - Input'!$C:$C,0),MATCH(BD$9,'Vessel Profiles - Input'!$C$3:$L$3,0))</f>
        <v>0</v>
      </c>
      <c r="BE83" s="22">
        <f>INDEX('Vessel Profiles - Input'!$C:$L,MATCH($F83,'Vessel Profiles - Input'!$C:$C,0),MATCH(BE$9,'Vessel Profiles - Input'!$C$3:$L$3,0))</f>
        <v>0</v>
      </c>
      <c r="BF83" s="22">
        <f>INDEX('Vessel Profiles - Input'!$C:$L,MATCH($F83,'Vessel Profiles - Input'!$C:$C,0),MATCH(BF$9,'Vessel Profiles - Input'!$C$3:$L$3,0))</f>
        <v>0</v>
      </c>
      <c r="BL83" s="16" t="s">
        <v>304</v>
      </c>
      <c r="BM83" s="224" t="s">
        <v>305</v>
      </c>
      <c r="BN83" s="224" t="s">
        <v>306</v>
      </c>
      <c r="BO83" s="22">
        <f>INDEX('Vessel Profiles - Input'!$C:$L,MATCH($F83,'Vessel Profiles - Input'!$C:$C,0),MATCH(BO$9,'Vessel Profiles - Input'!$C$3:$L$3,0))</f>
        <v>0</v>
      </c>
      <c r="BP83" s="22">
        <f>INDEX('Vessel Profiles - Input'!$C:$L,MATCH($F83,'Vessel Profiles - Input'!$C:$C,0),MATCH(BP$9,'Vessel Profiles - Input'!$C$3:$L$3,0))</f>
        <v>0</v>
      </c>
      <c r="BQ83" s="22">
        <f>INDEX('Vessel Profiles - Input'!$C:$L,MATCH($F83,'Vessel Profiles - Input'!$C:$C,0),MATCH(BQ$9,'Vessel Profiles - Input'!$C$3:$L$3,0))</f>
        <v>0</v>
      </c>
      <c r="BR83" s="22">
        <f>INDEX('Vessel Profiles - Input'!$C:$L,MATCH($F83,'Vessel Profiles - Input'!$C:$C,0),MATCH(BR$9,'Vessel Profiles - Input'!$C$3:$L$3,0))</f>
        <v>0</v>
      </c>
      <c r="BS83" s="22">
        <f>INDEX('Vessel Profiles - Input'!$C:$L,MATCH($F83,'Vessel Profiles - Input'!$C:$C,0),MATCH(BS$9,'Vessel Profiles - Input'!$C$3:$L$3,0))</f>
        <v>0</v>
      </c>
      <c r="BT83" s="22">
        <f>INDEX('Vessel Profiles - Input'!$C:$L,MATCH($F83,'Vessel Profiles - Input'!$C:$C,0),MATCH(BT$9,'Vessel Profiles - Input'!$C$3:$L$3,0))</f>
        <v>0</v>
      </c>
      <c r="BU83" s="22">
        <f>INDEX('Vessel Profiles - Input'!$C:$L,MATCH($F83,'Vessel Profiles - Input'!$C:$C,0),MATCH(BU$9,'Vessel Profiles - Input'!$C$3:$L$3,0))</f>
        <v>0</v>
      </c>
      <c r="BV83" s="22">
        <f>INDEX('Vessel Profiles - Input'!$C:$L,MATCH($F83,'Vessel Profiles - Input'!$C:$C,0),MATCH(BV$9,'Vessel Profiles - Input'!$C$3:$L$3,0))</f>
        <v>0</v>
      </c>
      <c r="BW83" s="22">
        <f>INDEX('Vessel Profiles - Input'!$C:$L,MATCH($F83,'Vessel Profiles - Input'!$C:$C,0),MATCH(BW$9,'Vessel Profiles - Input'!$C$3:$L$3,0))</f>
        <v>0</v>
      </c>
      <c r="BX83" s="22">
        <f>INDEX('Vessel Profiles - Input'!$C:$L,MATCH($F83,'Vessel Profiles - Input'!$C:$C,0),MATCH(BX$9,'Vessel Profiles - Input'!$C$3:$L$3,0))</f>
        <v>0</v>
      </c>
      <c r="BY83" s="22">
        <f>INDEX('Vessel Profiles - Input'!$C:$L,MATCH($F83,'Vessel Profiles - Input'!$C:$C,0),MATCH(BY$9,'Vessel Profiles - Input'!$C$3:$L$3,0))</f>
        <v>0</v>
      </c>
      <c r="BZ83" s="22">
        <f>INDEX('Vessel Profiles - Input'!$C:$L,MATCH($F83,'Vessel Profiles - Input'!$C:$C,0),MATCH(BZ$9,'Vessel Profiles - Input'!$C$3:$L$3,0))</f>
        <v>0</v>
      </c>
      <c r="CF83" s="16" t="s">
        <v>304</v>
      </c>
      <c r="CG83" s="224" t="s">
        <v>305</v>
      </c>
      <c r="CH83" s="224" t="s">
        <v>306</v>
      </c>
      <c r="CI83" s="22">
        <f>INDEX('Vessel Profiles - Input'!$C:$L,MATCH($F83,'Vessel Profiles - Input'!$C:$C,0),MATCH(CI$9,'Vessel Profiles - Input'!$C$3:$L$3,0))</f>
        <v>0</v>
      </c>
      <c r="CJ83" s="22">
        <f>INDEX('Vessel Profiles - Input'!$C:$L,MATCH($F83,'Vessel Profiles - Input'!$C:$C,0),MATCH(CJ$9,'Vessel Profiles - Input'!$C$3:$L$3,0))</f>
        <v>0</v>
      </c>
      <c r="CK83" s="22">
        <f>INDEX('Vessel Profiles - Input'!$C:$L,MATCH($F83,'Vessel Profiles - Input'!$C:$C,0),MATCH(CK$9,'Vessel Profiles - Input'!$C$3:$L$3,0))</f>
        <v>0</v>
      </c>
      <c r="CL83" s="22">
        <f>INDEX('Vessel Profiles - Input'!$C:$L,MATCH($F83,'Vessel Profiles - Input'!$C:$C,0),MATCH(CL$9,'Vessel Profiles - Input'!$C$3:$L$3,0))</f>
        <v>0</v>
      </c>
      <c r="CM83" s="22">
        <f>INDEX('Vessel Profiles - Input'!$C:$L,MATCH($F83,'Vessel Profiles - Input'!$C:$C,0),MATCH(CM$9,'Vessel Profiles - Input'!$C$3:$L$3,0))</f>
        <v>0</v>
      </c>
      <c r="CN83" s="22">
        <f>INDEX('Vessel Profiles - Input'!$C:$L,MATCH($F83,'Vessel Profiles - Input'!$C:$C,0),MATCH(CN$9,'Vessel Profiles - Input'!$C$3:$L$3,0))</f>
        <v>0</v>
      </c>
      <c r="CO83" s="22">
        <f>INDEX('Vessel Profiles - Input'!$C:$L,MATCH($F83,'Vessel Profiles - Input'!$C:$C,0),MATCH(CO$9,'Vessel Profiles - Input'!$C$3:$L$3,0))</f>
        <v>0</v>
      </c>
      <c r="CP83" s="22">
        <f>INDEX('Vessel Profiles - Input'!$C:$L,MATCH($F83,'Vessel Profiles - Input'!$C:$C,0),MATCH(CP$9,'Vessel Profiles - Input'!$C$3:$L$3,0))</f>
        <v>0</v>
      </c>
      <c r="CQ83" s="22">
        <f>INDEX('Vessel Profiles - Input'!$C:$L,MATCH($F83,'Vessel Profiles - Input'!$C:$C,0),MATCH(CQ$9,'Vessel Profiles - Input'!$C$3:$L$3,0))</f>
        <v>0</v>
      </c>
      <c r="CR83" s="22">
        <f>INDEX('Vessel Profiles - Input'!$C:$L,MATCH($F83,'Vessel Profiles - Input'!$C:$C,0),MATCH(CR$9,'Vessel Profiles - Input'!$C$3:$L$3,0))</f>
        <v>0</v>
      </c>
      <c r="CS83" s="22">
        <f>INDEX('Vessel Profiles - Input'!$C:$L,MATCH($F83,'Vessel Profiles - Input'!$C:$C,0),MATCH(CS$9,'Vessel Profiles - Input'!$C$3:$L$3,0))</f>
        <v>0</v>
      </c>
      <c r="CT83" s="22">
        <f>INDEX('Vessel Profiles - Input'!$C:$L,MATCH($F83,'Vessel Profiles - Input'!$C:$C,0),MATCH(CT$9,'Vessel Profiles - Input'!$C$3:$L$3,0))</f>
        <v>0</v>
      </c>
    </row>
    <row r="84" spans="3:100" outlineLevel="1" x14ac:dyDescent="0.2">
      <c r="C84" s="3"/>
      <c r="D84" s="16" t="s">
        <v>307</v>
      </c>
      <c r="E84" s="224" t="s">
        <v>305</v>
      </c>
      <c r="F84" s="224" t="s">
        <v>308</v>
      </c>
      <c r="G84" s="22">
        <f>INDEX('Vessel Profiles - Input'!$C:$L,MATCH($F84,'Vessel Profiles - Input'!$C:$C,0),MATCH(G$9,'Vessel Profiles - Input'!$C$3:$L$3,0))</f>
        <v>240</v>
      </c>
      <c r="H84" s="22">
        <f>INDEX('Vessel Profiles - Input'!$C:$L,MATCH($F84,'Vessel Profiles - Input'!$C:$C,0),MATCH(H$9,'Vessel Profiles - Input'!$C$3:$L$3,0))</f>
        <v>240</v>
      </c>
      <c r="I84" s="22">
        <f>INDEX('Vessel Profiles - Input'!$C:$L,MATCH($F84,'Vessel Profiles - Input'!$C:$C,0),MATCH(I$9,'Vessel Profiles - Input'!$C$3:$L$3,0))</f>
        <v>240</v>
      </c>
      <c r="J84" s="22">
        <f>INDEX('Vessel Profiles - Input'!$C:$L,MATCH($F84,'Vessel Profiles - Input'!$C:$C,0),MATCH(J$9,'Vessel Profiles - Input'!$C$3:$L$3,0))</f>
        <v>240</v>
      </c>
      <c r="K84" s="22">
        <f>INDEX('Vessel Profiles - Input'!$C:$L,MATCH($F84,'Vessel Profiles - Input'!$C:$C,0),MATCH(K$9,'Vessel Profiles - Input'!$C$3:$L$3,0))</f>
        <v>240</v>
      </c>
      <c r="L84" s="22">
        <f>INDEX('Vessel Profiles - Input'!$C:$L,MATCH($F84,'Vessel Profiles - Input'!$C:$C,0),MATCH(L$9,'Vessel Profiles - Input'!$C$3:$L$3,0))</f>
        <v>240</v>
      </c>
      <c r="M84" s="22">
        <f>INDEX('Vessel Profiles - Input'!$C:$L,MATCH($F84,'Vessel Profiles - Input'!$C:$C,0),MATCH(M$9,'Vessel Profiles - Input'!$C$3:$L$3,0))</f>
        <v>240</v>
      </c>
      <c r="N84" s="22">
        <f>INDEX('Vessel Profiles - Input'!$C:$L,MATCH($F84,'Vessel Profiles - Input'!$C:$C,0),MATCH(N$9,'Vessel Profiles - Input'!$C$3:$L$3,0))</f>
        <v>240</v>
      </c>
      <c r="O84" s="22">
        <f>INDEX('Vessel Profiles - Input'!$C:$L,MATCH($F84,'Vessel Profiles - Input'!$C:$C,0),MATCH(O$9,'Vessel Profiles - Input'!$C$3:$L$3,0))</f>
        <v>240</v>
      </c>
      <c r="P84" s="22">
        <f>INDEX('Vessel Profiles - Input'!$C:$L,MATCH($F84,'Vessel Profiles - Input'!$C:$C,0),MATCH(P$9,'Vessel Profiles - Input'!$C$3:$L$3,0))</f>
        <v>240</v>
      </c>
      <c r="Q84" s="22">
        <f>INDEX('Vessel Profiles - Input'!$C:$L,MATCH($F84,'Vessel Profiles - Input'!$C:$C,0),MATCH(Q$9,'Vessel Profiles - Input'!$C$3:$L$3,0))</f>
        <v>240</v>
      </c>
      <c r="R84" s="22">
        <f>INDEX('Vessel Profiles - Input'!$C:$L,MATCH($F84,'Vessel Profiles - Input'!$C:$C,0),MATCH(R$9,'Vessel Profiles - Input'!$C$3:$L$3,0))</f>
        <v>240</v>
      </c>
      <c r="X84" s="16" t="s">
        <v>307</v>
      </c>
      <c r="Y84" s="224" t="s">
        <v>305</v>
      </c>
      <c r="Z84" s="224" t="s">
        <v>308</v>
      </c>
      <c r="AA84" s="22">
        <f>INDEX('Vessel Profiles - Input'!$C:$L,MATCH($F84,'Vessel Profiles - Input'!$C:$C,0),MATCH(AA$9,'Vessel Profiles - Input'!$C$3:$L$3,0))</f>
        <v>240</v>
      </c>
      <c r="AB84" s="22">
        <f>INDEX('Vessel Profiles - Input'!$C:$L,MATCH($F84,'Vessel Profiles - Input'!$C:$C,0),MATCH(AB$9,'Vessel Profiles - Input'!$C$3:$L$3,0))</f>
        <v>240</v>
      </c>
      <c r="AC84" s="22">
        <f>INDEX('Vessel Profiles - Input'!$C:$L,MATCH($F84,'Vessel Profiles - Input'!$C:$C,0),MATCH(AC$9,'Vessel Profiles - Input'!$C$3:$L$3,0))</f>
        <v>240</v>
      </c>
      <c r="AD84" s="22">
        <f>INDEX('Vessel Profiles - Input'!$C:$L,MATCH($F84,'Vessel Profiles - Input'!$C:$C,0),MATCH(AD$9,'Vessel Profiles - Input'!$C$3:$L$3,0))</f>
        <v>240</v>
      </c>
      <c r="AE84" s="22">
        <f>INDEX('Vessel Profiles - Input'!$C:$L,MATCH($F84,'Vessel Profiles - Input'!$C:$C,0),MATCH(AE$9,'Vessel Profiles - Input'!$C$3:$L$3,0))</f>
        <v>240</v>
      </c>
      <c r="AF84" s="22">
        <f>INDEX('Vessel Profiles - Input'!$C:$L,MATCH($F84,'Vessel Profiles - Input'!$C:$C,0),MATCH(AF$9,'Vessel Profiles - Input'!$C$3:$L$3,0))</f>
        <v>240</v>
      </c>
      <c r="AG84" s="22">
        <f>INDEX('Vessel Profiles - Input'!$C:$L,MATCH($F84,'Vessel Profiles - Input'!$C:$C,0),MATCH(AG$9,'Vessel Profiles - Input'!$C$3:$L$3,0))</f>
        <v>240</v>
      </c>
      <c r="AH84" s="22">
        <f>INDEX('Vessel Profiles - Input'!$C:$L,MATCH($F84,'Vessel Profiles - Input'!$C:$C,0),MATCH(AH$9,'Vessel Profiles - Input'!$C$3:$L$3,0))</f>
        <v>240</v>
      </c>
      <c r="AI84" s="22">
        <f>INDEX('Vessel Profiles - Input'!$C:$L,MATCH($F84,'Vessel Profiles - Input'!$C:$C,0),MATCH(AI$9,'Vessel Profiles - Input'!$C$3:$L$3,0))</f>
        <v>240</v>
      </c>
      <c r="AJ84" s="22">
        <f>INDEX('Vessel Profiles - Input'!$C:$L,MATCH($F84,'Vessel Profiles - Input'!$C:$C,0),MATCH(AJ$9,'Vessel Profiles - Input'!$C$3:$L$3,0))</f>
        <v>240</v>
      </c>
      <c r="AK84" s="22">
        <f>INDEX('Vessel Profiles - Input'!$C:$L,MATCH($F84,'Vessel Profiles - Input'!$C:$C,0),MATCH(AK$9,'Vessel Profiles - Input'!$C$3:$L$3,0))</f>
        <v>240</v>
      </c>
      <c r="AL84" s="22">
        <f>INDEX('Vessel Profiles - Input'!$C:$L,MATCH($F84,'Vessel Profiles - Input'!$C:$C,0),MATCH(AL$9,'Vessel Profiles - Input'!$C$3:$L$3,0))</f>
        <v>240</v>
      </c>
      <c r="AR84" s="16" t="s">
        <v>307</v>
      </c>
      <c r="AS84" s="224" t="s">
        <v>305</v>
      </c>
      <c r="AT84" s="224" t="s">
        <v>308</v>
      </c>
      <c r="AU84" s="22">
        <f>INDEX('Vessel Profiles - Input'!$C:$L,MATCH($F84,'Vessel Profiles - Input'!$C:$C,0),MATCH(AU$9,'Vessel Profiles - Input'!$C$3:$L$3,0))</f>
        <v>240</v>
      </c>
      <c r="AV84" s="22">
        <f>INDEX('Vessel Profiles - Input'!$C:$L,MATCH($F84,'Vessel Profiles - Input'!$C:$C,0),MATCH(AV$9,'Vessel Profiles - Input'!$C$3:$L$3,0))</f>
        <v>240</v>
      </c>
      <c r="AW84" s="22">
        <f>INDEX('Vessel Profiles - Input'!$C:$L,MATCH($F84,'Vessel Profiles - Input'!$C:$C,0),MATCH(AW$9,'Vessel Profiles - Input'!$C$3:$L$3,0))</f>
        <v>240</v>
      </c>
      <c r="AX84" s="22">
        <f>INDEX('Vessel Profiles - Input'!$C:$L,MATCH($F84,'Vessel Profiles - Input'!$C:$C,0),MATCH(AX$9,'Vessel Profiles - Input'!$C$3:$L$3,0))</f>
        <v>240</v>
      </c>
      <c r="AY84" s="22">
        <f>INDEX('Vessel Profiles - Input'!$C:$L,MATCH($F84,'Vessel Profiles - Input'!$C:$C,0),MATCH(AY$9,'Vessel Profiles - Input'!$C$3:$L$3,0))</f>
        <v>240</v>
      </c>
      <c r="AZ84" s="22">
        <f>INDEX('Vessel Profiles - Input'!$C:$L,MATCH($F84,'Vessel Profiles - Input'!$C:$C,0),MATCH(AZ$9,'Vessel Profiles - Input'!$C$3:$L$3,0))</f>
        <v>240</v>
      </c>
      <c r="BA84" s="22">
        <f>INDEX('Vessel Profiles - Input'!$C:$L,MATCH($F84,'Vessel Profiles - Input'!$C:$C,0),MATCH(BA$9,'Vessel Profiles - Input'!$C$3:$L$3,0))</f>
        <v>240</v>
      </c>
      <c r="BB84" s="22">
        <f>INDEX('Vessel Profiles - Input'!$C:$L,MATCH($F84,'Vessel Profiles - Input'!$C:$C,0),MATCH(BB$9,'Vessel Profiles - Input'!$C$3:$L$3,0))</f>
        <v>240</v>
      </c>
      <c r="BC84" s="22">
        <f>INDEX('Vessel Profiles - Input'!$C:$L,MATCH($F84,'Vessel Profiles - Input'!$C:$C,0),MATCH(BC$9,'Vessel Profiles - Input'!$C$3:$L$3,0))</f>
        <v>240</v>
      </c>
      <c r="BD84" s="22">
        <f>INDEX('Vessel Profiles - Input'!$C:$L,MATCH($F84,'Vessel Profiles - Input'!$C:$C,0),MATCH(BD$9,'Vessel Profiles - Input'!$C$3:$L$3,0))</f>
        <v>240</v>
      </c>
      <c r="BE84" s="22">
        <f>INDEX('Vessel Profiles - Input'!$C:$L,MATCH($F84,'Vessel Profiles - Input'!$C:$C,0),MATCH(BE$9,'Vessel Profiles - Input'!$C$3:$L$3,0))</f>
        <v>240</v>
      </c>
      <c r="BF84" s="22">
        <f>INDEX('Vessel Profiles - Input'!$C:$L,MATCH($F84,'Vessel Profiles - Input'!$C:$C,0),MATCH(BF$9,'Vessel Profiles - Input'!$C$3:$L$3,0))</f>
        <v>240</v>
      </c>
      <c r="BL84" s="16" t="s">
        <v>307</v>
      </c>
      <c r="BM84" s="224" t="s">
        <v>305</v>
      </c>
      <c r="BN84" s="224" t="s">
        <v>308</v>
      </c>
      <c r="BO84" s="22">
        <f>INDEX('Vessel Profiles - Input'!$C:$L,MATCH($F84,'Vessel Profiles - Input'!$C:$C,0),MATCH(BO$9,'Vessel Profiles - Input'!$C$3:$L$3,0))</f>
        <v>240</v>
      </c>
      <c r="BP84" s="22">
        <f>INDEX('Vessel Profiles - Input'!$C:$L,MATCH($F84,'Vessel Profiles - Input'!$C:$C,0),MATCH(BP$9,'Vessel Profiles - Input'!$C$3:$L$3,0))</f>
        <v>240</v>
      </c>
      <c r="BQ84" s="22">
        <f>INDEX('Vessel Profiles - Input'!$C:$L,MATCH($F84,'Vessel Profiles - Input'!$C:$C,0),MATCH(BQ$9,'Vessel Profiles - Input'!$C$3:$L$3,0))</f>
        <v>240</v>
      </c>
      <c r="BR84" s="22">
        <f>INDEX('Vessel Profiles - Input'!$C:$L,MATCH($F84,'Vessel Profiles - Input'!$C:$C,0),MATCH(BR$9,'Vessel Profiles - Input'!$C$3:$L$3,0))</f>
        <v>240</v>
      </c>
      <c r="BS84" s="22">
        <f>INDEX('Vessel Profiles - Input'!$C:$L,MATCH($F84,'Vessel Profiles - Input'!$C:$C,0),MATCH(BS$9,'Vessel Profiles - Input'!$C$3:$L$3,0))</f>
        <v>240</v>
      </c>
      <c r="BT84" s="22">
        <f>INDEX('Vessel Profiles - Input'!$C:$L,MATCH($F84,'Vessel Profiles - Input'!$C:$C,0),MATCH(BT$9,'Vessel Profiles - Input'!$C$3:$L$3,0))</f>
        <v>240</v>
      </c>
      <c r="BU84" s="22">
        <f>INDEX('Vessel Profiles - Input'!$C:$L,MATCH($F84,'Vessel Profiles - Input'!$C:$C,0),MATCH(BU$9,'Vessel Profiles - Input'!$C$3:$L$3,0))</f>
        <v>240</v>
      </c>
      <c r="BV84" s="22">
        <f>INDEX('Vessel Profiles - Input'!$C:$L,MATCH($F84,'Vessel Profiles - Input'!$C:$C,0),MATCH(BV$9,'Vessel Profiles - Input'!$C$3:$L$3,0))</f>
        <v>240</v>
      </c>
      <c r="BW84" s="22">
        <f>INDEX('Vessel Profiles - Input'!$C:$L,MATCH($F84,'Vessel Profiles - Input'!$C:$C,0),MATCH(BW$9,'Vessel Profiles - Input'!$C$3:$L$3,0))</f>
        <v>240</v>
      </c>
      <c r="BX84" s="22">
        <f>INDEX('Vessel Profiles - Input'!$C:$L,MATCH($F84,'Vessel Profiles - Input'!$C:$C,0),MATCH(BX$9,'Vessel Profiles - Input'!$C$3:$L$3,0))</f>
        <v>240</v>
      </c>
      <c r="BY84" s="22">
        <f>INDEX('Vessel Profiles - Input'!$C:$L,MATCH($F84,'Vessel Profiles - Input'!$C:$C,0),MATCH(BY$9,'Vessel Profiles - Input'!$C$3:$L$3,0))</f>
        <v>240</v>
      </c>
      <c r="BZ84" s="22">
        <f>INDEX('Vessel Profiles - Input'!$C:$L,MATCH($F84,'Vessel Profiles - Input'!$C:$C,0),MATCH(BZ$9,'Vessel Profiles - Input'!$C$3:$L$3,0))</f>
        <v>240</v>
      </c>
      <c r="CF84" s="16" t="s">
        <v>307</v>
      </c>
      <c r="CG84" s="224" t="s">
        <v>305</v>
      </c>
      <c r="CH84" s="224" t="s">
        <v>308</v>
      </c>
      <c r="CI84" s="22">
        <f>INDEX('Vessel Profiles - Input'!$C:$L,MATCH($F84,'Vessel Profiles - Input'!$C:$C,0),MATCH(CI$9,'Vessel Profiles - Input'!$C$3:$L$3,0))</f>
        <v>240</v>
      </c>
      <c r="CJ84" s="22">
        <f>INDEX('Vessel Profiles - Input'!$C:$L,MATCH($F84,'Vessel Profiles - Input'!$C:$C,0),MATCH(CJ$9,'Vessel Profiles - Input'!$C$3:$L$3,0))</f>
        <v>240</v>
      </c>
      <c r="CK84" s="22">
        <f>INDEX('Vessel Profiles - Input'!$C:$L,MATCH($F84,'Vessel Profiles - Input'!$C:$C,0),MATCH(CK$9,'Vessel Profiles - Input'!$C$3:$L$3,0))</f>
        <v>240</v>
      </c>
      <c r="CL84" s="22">
        <f>INDEX('Vessel Profiles - Input'!$C:$L,MATCH($F84,'Vessel Profiles - Input'!$C:$C,0),MATCH(CL$9,'Vessel Profiles - Input'!$C$3:$L$3,0))</f>
        <v>240</v>
      </c>
      <c r="CM84" s="22">
        <f>INDEX('Vessel Profiles - Input'!$C:$L,MATCH($F84,'Vessel Profiles - Input'!$C:$C,0),MATCH(CM$9,'Vessel Profiles - Input'!$C$3:$L$3,0))</f>
        <v>240</v>
      </c>
      <c r="CN84" s="22">
        <f>INDEX('Vessel Profiles - Input'!$C:$L,MATCH($F84,'Vessel Profiles - Input'!$C:$C,0),MATCH(CN$9,'Vessel Profiles - Input'!$C$3:$L$3,0))</f>
        <v>240</v>
      </c>
      <c r="CO84" s="22">
        <f>INDEX('Vessel Profiles - Input'!$C:$L,MATCH($F84,'Vessel Profiles - Input'!$C:$C,0),MATCH(CO$9,'Vessel Profiles - Input'!$C$3:$L$3,0))</f>
        <v>240</v>
      </c>
      <c r="CP84" s="22">
        <f>INDEX('Vessel Profiles - Input'!$C:$L,MATCH($F84,'Vessel Profiles - Input'!$C:$C,0),MATCH(CP$9,'Vessel Profiles - Input'!$C$3:$L$3,0))</f>
        <v>240</v>
      </c>
      <c r="CQ84" s="22">
        <f>INDEX('Vessel Profiles - Input'!$C:$L,MATCH($F84,'Vessel Profiles - Input'!$C:$C,0),MATCH(CQ$9,'Vessel Profiles - Input'!$C$3:$L$3,0))</f>
        <v>240</v>
      </c>
      <c r="CR84" s="22">
        <f>INDEX('Vessel Profiles - Input'!$C:$L,MATCH($F84,'Vessel Profiles - Input'!$C:$C,0),MATCH(CR$9,'Vessel Profiles - Input'!$C$3:$L$3,0))</f>
        <v>240</v>
      </c>
      <c r="CS84" s="22">
        <f>INDEX('Vessel Profiles - Input'!$C:$L,MATCH($F84,'Vessel Profiles - Input'!$C:$C,0),MATCH(CS$9,'Vessel Profiles - Input'!$C$3:$L$3,0))</f>
        <v>240</v>
      </c>
      <c r="CT84" s="22">
        <f>INDEX('Vessel Profiles - Input'!$C:$L,MATCH($F84,'Vessel Profiles - Input'!$C:$C,0),MATCH(CT$9,'Vessel Profiles - Input'!$C$3:$L$3,0))</f>
        <v>240</v>
      </c>
    </row>
    <row r="85" spans="3:100" outlineLevel="1" x14ac:dyDescent="0.2">
      <c r="C85" s="3"/>
      <c r="D85" s="16" t="s">
        <v>309</v>
      </c>
      <c r="E85" s="224" t="s">
        <v>310</v>
      </c>
      <c r="G85" s="22">
        <f ca="1">G231</f>
        <v>0</v>
      </c>
      <c r="H85" s="22">
        <f t="shared" ref="H85:R85" ca="1" si="386">H231</f>
        <v>0</v>
      </c>
      <c r="I85" s="22">
        <f t="shared" ca="1" si="386"/>
        <v>0</v>
      </c>
      <c r="J85" s="22">
        <f t="shared" ca="1" si="386"/>
        <v>0</v>
      </c>
      <c r="K85" s="22">
        <f t="shared" ca="1" si="386"/>
        <v>0</v>
      </c>
      <c r="L85" s="22">
        <f t="shared" ca="1" si="386"/>
        <v>0</v>
      </c>
      <c r="M85" s="22">
        <f t="shared" ca="1" si="386"/>
        <v>0</v>
      </c>
      <c r="N85" s="22">
        <f t="shared" ca="1" si="386"/>
        <v>0</v>
      </c>
      <c r="O85" s="22">
        <f t="shared" ca="1" si="386"/>
        <v>0</v>
      </c>
      <c r="P85" s="22">
        <f t="shared" ca="1" si="386"/>
        <v>0</v>
      </c>
      <c r="Q85" s="22">
        <f t="shared" ca="1" si="386"/>
        <v>0</v>
      </c>
      <c r="R85" s="22">
        <f t="shared" ca="1" si="386"/>
        <v>0</v>
      </c>
      <c r="X85" s="16" t="s">
        <v>309</v>
      </c>
      <c r="Y85" s="224" t="s">
        <v>310</v>
      </c>
      <c r="AA85" s="22">
        <f t="shared" ref="AA85:AL85" ca="1" si="387">AA231</f>
        <v>202.30725299828683</v>
      </c>
      <c r="AB85" s="22">
        <f t="shared" ca="1" si="387"/>
        <v>202.30725299828683</v>
      </c>
      <c r="AC85" s="22">
        <f t="shared" ca="1" si="387"/>
        <v>202.30725299828683</v>
      </c>
      <c r="AD85" s="22">
        <f t="shared" ca="1" si="387"/>
        <v>202.30725299828683</v>
      </c>
      <c r="AE85" s="22">
        <f t="shared" ca="1" si="387"/>
        <v>202.30725299828683</v>
      </c>
      <c r="AF85" s="22">
        <f t="shared" ca="1" si="387"/>
        <v>202.30725299828683</v>
      </c>
      <c r="AG85" s="22">
        <f t="shared" ca="1" si="387"/>
        <v>202.30725299828683</v>
      </c>
      <c r="AH85" s="22">
        <f t="shared" ca="1" si="387"/>
        <v>202.30725299828683</v>
      </c>
      <c r="AI85" s="22">
        <f t="shared" ca="1" si="387"/>
        <v>202.30725299828683</v>
      </c>
      <c r="AJ85" s="22">
        <f t="shared" ca="1" si="387"/>
        <v>202.30725299828683</v>
      </c>
      <c r="AK85" s="22">
        <f t="shared" ca="1" si="387"/>
        <v>202.30725299828683</v>
      </c>
      <c r="AL85" s="22">
        <f t="shared" ca="1" si="387"/>
        <v>202.30725299828683</v>
      </c>
      <c r="AR85" s="16" t="s">
        <v>309</v>
      </c>
      <c r="AS85" s="224" t="s">
        <v>310</v>
      </c>
      <c r="AU85" s="22">
        <f t="shared" ref="AU85:BF85" ca="1" si="388">AU231</f>
        <v>976.00220416035359</v>
      </c>
      <c r="AV85" s="22">
        <f t="shared" ca="1" si="388"/>
        <v>976.00220416035359</v>
      </c>
      <c r="AW85" s="22">
        <f t="shared" ca="1" si="388"/>
        <v>976.00220416035359</v>
      </c>
      <c r="AX85" s="22">
        <f t="shared" ca="1" si="388"/>
        <v>976.00220416035359</v>
      </c>
      <c r="AY85" s="22">
        <f t="shared" ca="1" si="388"/>
        <v>976.00220416035359</v>
      </c>
      <c r="AZ85" s="22">
        <f t="shared" ca="1" si="388"/>
        <v>976.00220416035359</v>
      </c>
      <c r="BA85" s="22">
        <f t="shared" ca="1" si="388"/>
        <v>976.00220416035359</v>
      </c>
      <c r="BB85" s="22">
        <f t="shared" ca="1" si="388"/>
        <v>976.00220416035359</v>
      </c>
      <c r="BC85" s="22">
        <f t="shared" ca="1" si="388"/>
        <v>976.00220416035359</v>
      </c>
      <c r="BD85" s="22">
        <f t="shared" ca="1" si="388"/>
        <v>976.00220416035359</v>
      </c>
      <c r="BE85" s="22">
        <f t="shared" ca="1" si="388"/>
        <v>976.00220416035359</v>
      </c>
      <c r="BF85" s="22">
        <f t="shared" ca="1" si="388"/>
        <v>976.00220416035359</v>
      </c>
      <c r="BL85" s="16" t="s">
        <v>309</v>
      </c>
      <c r="BM85" s="224" t="s">
        <v>310</v>
      </c>
      <c r="BO85" s="22">
        <f t="shared" ref="BO85:BZ85" ca="1" si="389">BO231</f>
        <v>976.00220416035359</v>
      </c>
      <c r="BP85" s="22">
        <f t="shared" ca="1" si="389"/>
        <v>976.00220416035359</v>
      </c>
      <c r="BQ85" s="22">
        <f t="shared" ca="1" si="389"/>
        <v>976.00220416035359</v>
      </c>
      <c r="BR85" s="22">
        <f t="shared" ca="1" si="389"/>
        <v>976.00220416035359</v>
      </c>
      <c r="BS85" s="22">
        <f t="shared" ca="1" si="389"/>
        <v>976.00220416035359</v>
      </c>
      <c r="BT85" s="22">
        <f t="shared" ca="1" si="389"/>
        <v>976.00220416035359</v>
      </c>
      <c r="BU85" s="22">
        <f t="shared" ca="1" si="389"/>
        <v>976.00220416035359</v>
      </c>
      <c r="BV85" s="22">
        <f t="shared" ca="1" si="389"/>
        <v>976.00220416035359</v>
      </c>
      <c r="BW85" s="22">
        <f t="shared" ca="1" si="389"/>
        <v>976.00220416035359</v>
      </c>
      <c r="BX85" s="22">
        <f t="shared" ca="1" si="389"/>
        <v>976.00220416035359</v>
      </c>
      <c r="BY85" s="22">
        <f t="shared" ca="1" si="389"/>
        <v>976.00220416035359</v>
      </c>
      <c r="BZ85" s="22">
        <f t="shared" ca="1" si="389"/>
        <v>976.00220416035359</v>
      </c>
      <c r="CF85" s="16" t="s">
        <v>309</v>
      </c>
      <c r="CG85" s="224" t="s">
        <v>310</v>
      </c>
      <c r="CI85" s="22">
        <f t="shared" ref="CI85:CT85" ca="1" si="390">CI231</f>
        <v>976.00220416035359</v>
      </c>
      <c r="CJ85" s="22">
        <f t="shared" ca="1" si="390"/>
        <v>976.00220416035359</v>
      </c>
      <c r="CK85" s="22">
        <f t="shared" ca="1" si="390"/>
        <v>976.00220416035359</v>
      </c>
      <c r="CL85" s="22">
        <f t="shared" ca="1" si="390"/>
        <v>976.00220416035359</v>
      </c>
      <c r="CM85" s="22">
        <f t="shared" ca="1" si="390"/>
        <v>976.00220416035359</v>
      </c>
      <c r="CN85" s="22">
        <f t="shared" ca="1" si="390"/>
        <v>976.00220416035359</v>
      </c>
      <c r="CO85" s="22">
        <f t="shared" ca="1" si="390"/>
        <v>976.00220416035359</v>
      </c>
      <c r="CP85" s="22">
        <f t="shared" ca="1" si="390"/>
        <v>976.00220416035359</v>
      </c>
      <c r="CQ85" s="22">
        <f t="shared" ca="1" si="390"/>
        <v>976.00220416035359</v>
      </c>
      <c r="CR85" s="22">
        <f t="shared" ca="1" si="390"/>
        <v>976.00220416035359</v>
      </c>
      <c r="CS85" s="22">
        <f t="shared" ca="1" si="390"/>
        <v>976.00220416035359</v>
      </c>
      <c r="CT85" s="22">
        <f t="shared" ca="1" si="390"/>
        <v>976.00220416035359</v>
      </c>
    </row>
    <row r="86" spans="3:100" s="266" customFormat="1" outlineLevel="1" x14ac:dyDescent="0.2">
      <c r="C86" s="285"/>
      <c r="D86" s="288" t="s">
        <v>314</v>
      </c>
      <c r="E86" s="282" t="s">
        <v>275</v>
      </c>
      <c r="F86" s="282"/>
      <c r="G86" s="289">
        <f ca="1">(G87*G88)</f>
        <v>0</v>
      </c>
      <c r="H86" s="289">
        <f t="shared" ref="H86:R86" ca="1" si="391">(H87*H88)</f>
        <v>0</v>
      </c>
      <c r="I86" s="289">
        <f t="shared" ca="1" si="391"/>
        <v>0</v>
      </c>
      <c r="J86" s="289">
        <f t="shared" ca="1" si="391"/>
        <v>0</v>
      </c>
      <c r="K86" s="289">
        <f t="shared" ca="1" si="391"/>
        <v>0</v>
      </c>
      <c r="L86" s="289">
        <f t="shared" ca="1" si="391"/>
        <v>0</v>
      </c>
      <c r="M86" s="289">
        <f t="shared" ca="1" si="391"/>
        <v>0</v>
      </c>
      <c r="N86" s="289">
        <f t="shared" ca="1" si="391"/>
        <v>0</v>
      </c>
      <c r="O86" s="289">
        <f t="shared" ca="1" si="391"/>
        <v>0</v>
      </c>
      <c r="P86" s="289">
        <f t="shared" ca="1" si="391"/>
        <v>0</v>
      </c>
      <c r="Q86" s="289">
        <f t="shared" ca="1" si="391"/>
        <v>0</v>
      </c>
      <c r="R86" s="289">
        <f t="shared" ca="1" si="391"/>
        <v>0</v>
      </c>
      <c r="X86" s="288" t="s">
        <v>314</v>
      </c>
      <c r="Y86" s="282" t="s">
        <v>275</v>
      </c>
      <c r="Z86" s="282"/>
      <c r="AA86" s="289">
        <f ca="1">(AA87*AA88)</f>
        <v>0</v>
      </c>
      <c r="AB86" s="289">
        <f t="shared" ref="AB86:AL86" ca="1" si="392">(AB87*AB88)</f>
        <v>0</v>
      </c>
      <c r="AC86" s="289">
        <f t="shared" ca="1" si="392"/>
        <v>0</v>
      </c>
      <c r="AD86" s="289">
        <f t="shared" ca="1" si="392"/>
        <v>0</v>
      </c>
      <c r="AE86" s="289">
        <f t="shared" ca="1" si="392"/>
        <v>0</v>
      </c>
      <c r="AF86" s="289">
        <f t="shared" ca="1" si="392"/>
        <v>0</v>
      </c>
      <c r="AG86" s="289">
        <f t="shared" ca="1" si="392"/>
        <v>0</v>
      </c>
      <c r="AH86" s="289">
        <f t="shared" ca="1" si="392"/>
        <v>0</v>
      </c>
      <c r="AI86" s="289">
        <f t="shared" ca="1" si="392"/>
        <v>0</v>
      </c>
      <c r="AJ86" s="289">
        <f t="shared" ca="1" si="392"/>
        <v>0</v>
      </c>
      <c r="AK86" s="289">
        <f t="shared" ca="1" si="392"/>
        <v>0</v>
      </c>
      <c r="AL86" s="289">
        <f t="shared" ca="1" si="392"/>
        <v>0</v>
      </c>
      <c r="AR86" s="288" t="s">
        <v>314</v>
      </c>
      <c r="AS86" s="282" t="s">
        <v>275</v>
      </c>
      <c r="AT86" s="282"/>
      <c r="AU86" s="289">
        <f ca="1">(AU87*AU88)</f>
        <v>0</v>
      </c>
      <c r="AV86" s="289">
        <f t="shared" ref="AV86:BF86" ca="1" si="393">(AV87*AV88)</f>
        <v>0</v>
      </c>
      <c r="AW86" s="289">
        <f t="shared" ca="1" si="393"/>
        <v>0</v>
      </c>
      <c r="AX86" s="289">
        <f t="shared" ca="1" si="393"/>
        <v>0</v>
      </c>
      <c r="AY86" s="289">
        <f t="shared" ca="1" si="393"/>
        <v>0</v>
      </c>
      <c r="AZ86" s="289">
        <f t="shared" ca="1" si="393"/>
        <v>0</v>
      </c>
      <c r="BA86" s="289">
        <f t="shared" ca="1" si="393"/>
        <v>0</v>
      </c>
      <c r="BB86" s="289">
        <f t="shared" ca="1" si="393"/>
        <v>0</v>
      </c>
      <c r="BC86" s="289">
        <f t="shared" ca="1" si="393"/>
        <v>0</v>
      </c>
      <c r="BD86" s="289">
        <f t="shared" ca="1" si="393"/>
        <v>0</v>
      </c>
      <c r="BE86" s="289">
        <f t="shared" ca="1" si="393"/>
        <v>0</v>
      </c>
      <c r="BF86" s="289">
        <f t="shared" ca="1" si="393"/>
        <v>0</v>
      </c>
      <c r="BG86"/>
      <c r="BH86"/>
      <c r="BL86" s="288" t="s">
        <v>314</v>
      </c>
      <c r="BM86" s="282" t="s">
        <v>275</v>
      </c>
      <c r="BN86" s="282"/>
      <c r="BO86" s="289">
        <f ca="1">(BO87*BO88)</f>
        <v>0</v>
      </c>
      <c r="BP86" s="289">
        <f t="shared" ref="BP86:BZ86" ca="1" si="394">(BP87*BP88)</f>
        <v>0</v>
      </c>
      <c r="BQ86" s="289">
        <f t="shared" ca="1" si="394"/>
        <v>0</v>
      </c>
      <c r="BR86" s="289">
        <f t="shared" ca="1" si="394"/>
        <v>0</v>
      </c>
      <c r="BS86" s="289">
        <f t="shared" ca="1" si="394"/>
        <v>0</v>
      </c>
      <c r="BT86" s="289">
        <f t="shared" ca="1" si="394"/>
        <v>0</v>
      </c>
      <c r="BU86" s="289">
        <f t="shared" ca="1" si="394"/>
        <v>0</v>
      </c>
      <c r="BV86" s="289">
        <f t="shared" ca="1" si="394"/>
        <v>0</v>
      </c>
      <c r="BW86" s="289">
        <f t="shared" ca="1" si="394"/>
        <v>0</v>
      </c>
      <c r="BX86" s="289">
        <f t="shared" ca="1" si="394"/>
        <v>0</v>
      </c>
      <c r="BY86" s="289">
        <f t="shared" ca="1" si="394"/>
        <v>0</v>
      </c>
      <c r="BZ86" s="289">
        <f t="shared" ca="1" si="394"/>
        <v>0</v>
      </c>
      <c r="CA86"/>
      <c r="CB86"/>
      <c r="CF86" s="288" t="s">
        <v>314</v>
      </c>
      <c r="CG86" s="282" t="s">
        <v>275</v>
      </c>
      <c r="CH86" s="282"/>
      <c r="CI86" s="289">
        <f ca="1">(CI87*CI88)</f>
        <v>0</v>
      </c>
      <c r="CJ86" s="289">
        <f t="shared" ref="CJ86:CT86" ca="1" si="395">(CJ87*CJ88)</f>
        <v>0</v>
      </c>
      <c r="CK86" s="289">
        <f t="shared" ca="1" si="395"/>
        <v>0</v>
      </c>
      <c r="CL86" s="289">
        <f t="shared" ca="1" si="395"/>
        <v>0</v>
      </c>
      <c r="CM86" s="289">
        <f t="shared" ca="1" si="395"/>
        <v>0</v>
      </c>
      <c r="CN86" s="289">
        <f t="shared" ca="1" si="395"/>
        <v>0</v>
      </c>
      <c r="CO86" s="289">
        <f t="shared" ca="1" si="395"/>
        <v>0</v>
      </c>
      <c r="CP86" s="289">
        <f t="shared" ca="1" si="395"/>
        <v>0</v>
      </c>
      <c r="CQ86" s="289">
        <f t="shared" ca="1" si="395"/>
        <v>0</v>
      </c>
      <c r="CR86" s="289">
        <f t="shared" ca="1" si="395"/>
        <v>0</v>
      </c>
      <c r="CS86" s="289">
        <f t="shared" ca="1" si="395"/>
        <v>0</v>
      </c>
      <c r="CT86" s="289">
        <f t="shared" ca="1" si="395"/>
        <v>0</v>
      </c>
      <c r="CU86"/>
      <c r="CV86"/>
    </row>
    <row r="87" spans="3:100" outlineLevel="1" x14ac:dyDescent="0.2">
      <c r="C87" s="3"/>
      <c r="D87" s="16" t="s">
        <v>293</v>
      </c>
      <c r="E87" s="224" t="s">
        <v>294</v>
      </c>
      <c r="G87" s="22">
        <f t="shared" ref="G87:R87" ca="1" si="396">INDEX(tbl_TCO_input,MATCH(
_xlfn.TEXTJOIN(keydelim,TRUE,G$23,$D87),rows_TCO_ID,0),MATCH(G$6,cols_TCO_input,0))</f>
        <v>125</v>
      </c>
      <c r="H87" s="22">
        <f t="shared" ca="1" si="396"/>
        <v>125</v>
      </c>
      <c r="I87" s="22">
        <f t="shared" ca="1" si="396"/>
        <v>125</v>
      </c>
      <c r="J87" s="22">
        <f t="shared" ca="1" si="396"/>
        <v>125</v>
      </c>
      <c r="K87" s="22">
        <f t="shared" ca="1" si="396"/>
        <v>125</v>
      </c>
      <c r="L87" s="22">
        <f t="shared" ca="1" si="396"/>
        <v>125</v>
      </c>
      <c r="M87" s="22">
        <f t="shared" ca="1" si="396"/>
        <v>125</v>
      </c>
      <c r="N87" s="22">
        <f t="shared" ca="1" si="396"/>
        <v>125</v>
      </c>
      <c r="O87" s="22">
        <f t="shared" ca="1" si="396"/>
        <v>125</v>
      </c>
      <c r="P87" s="22">
        <f t="shared" ca="1" si="396"/>
        <v>125</v>
      </c>
      <c r="Q87" s="22">
        <f t="shared" ca="1" si="396"/>
        <v>125</v>
      </c>
      <c r="R87" s="22">
        <f t="shared" ca="1" si="396"/>
        <v>125</v>
      </c>
      <c r="X87" s="16" t="s">
        <v>293</v>
      </c>
      <c r="Y87" s="224" t="s">
        <v>294</v>
      </c>
      <c r="AA87" s="22">
        <f t="shared" ref="AA87:AL87" ca="1" si="397">INDEX(tbl_TCO_input,MATCH(
_xlfn.TEXTJOIN(keydelim,TRUE,AA$23,$D87),rows_TCO_ID,0),MATCH(AA$6,cols_TCO_input,0))</f>
        <v>1000</v>
      </c>
      <c r="AB87" s="22">
        <f t="shared" ca="1" si="397"/>
        <v>1000</v>
      </c>
      <c r="AC87" s="22">
        <f t="shared" ca="1" si="397"/>
        <v>1000</v>
      </c>
      <c r="AD87" s="22">
        <f t="shared" ca="1" si="397"/>
        <v>1000</v>
      </c>
      <c r="AE87" s="22">
        <f t="shared" ca="1" si="397"/>
        <v>1000</v>
      </c>
      <c r="AF87" s="22">
        <f t="shared" ca="1" si="397"/>
        <v>1000</v>
      </c>
      <c r="AG87" s="22">
        <f t="shared" ca="1" si="397"/>
        <v>1000</v>
      </c>
      <c r="AH87" s="22">
        <f t="shared" ca="1" si="397"/>
        <v>1000</v>
      </c>
      <c r="AI87" s="22">
        <f t="shared" ca="1" si="397"/>
        <v>1000</v>
      </c>
      <c r="AJ87" s="22">
        <f t="shared" ca="1" si="397"/>
        <v>1000</v>
      </c>
      <c r="AK87" s="22">
        <f t="shared" ca="1" si="397"/>
        <v>1000</v>
      </c>
      <c r="AL87" s="22">
        <f t="shared" ca="1" si="397"/>
        <v>1000</v>
      </c>
      <c r="AR87" s="16" t="s">
        <v>293</v>
      </c>
      <c r="AS87" s="224" t="s">
        <v>294</v>
      </c>
      <c r="AU87" s="22">
        <f t="shared" ref="AU87:BF87" ca="1" si="398">INDEX(tbl_TCO_input,MATCH(
_xlfn.TEXTJOIN(keydelim,TRUE,AU$23,$D87),rows_TCO_ID,0),MATCH(AU$6,cols_TCO_input,0))</f>
        <v>500</v>
      </c>
      <c r="AV87" s="22">
        <f t="shared" ca="1" si="398"/>
        <v>500</v>
      </c>
      <c r="AW87" s="22">
        <f t="shared" ca="1" si="398"/>
        <v>500</v>
      </c>
      <c r="AX87" s="22">
        <f t="shared" ca="1" si="398"/>
        <v>500</v>
      </c>
      <c r="AY87" s="22">
        <f t="shared" ca="1" si="398"/>
        <v>500</v>
      </c>
      <c r="AZ87" s="22">
        <f t="shared" ca="1" si="398"/>
        <v>500</v>
      </c>
      <c r="BA87" s="22">
        <f t="shared" ca="1" si="398"/>
        <v>500</v>
      </c>
      <c r="BB87" s="22">
        <f t="shared" ca="1" si="398"/>
        <v>500</v>
      </c>
      <c r="BC87" s="22">
        <f t="shared" ca="1" si="398"/>
        <v>500</v>
      </c>
      <c r="BD87" s="22">
        <f t="shared" ca="1" si="398"/>
        <v>500</v>
      </c>
      <c r="BE87" s="22">
        <f t="shared" ca="1" si="398"/>
        <v>500</v>
      </c>
      <c r="BF87" s="22">
        <f t="shared" ca="1" si="398"/>
        <v>500</v>
      </c>
      <c r="BL87" s="16" t="s">
        <v>293</v>
      </c>
      <c r="BM87" s="224" t="s">
        <v>294</v>
      </c>
      <c r="BO87" s="22">
        <f t="shared" ref="BO87:BZ87" ca="1" si="399">INDEX(tbl_TCO_input,MATCH(
_xlfn.TEXTJOIN(keydelim,TRUE,BO$23,$D87),rows_TCO_ID,0),MATCH(BO$6,cols_TCO_input,0))</f>
        <v>500</v>
      </c>
      <c r="BP87" s="22">
        <f t="shared" ca="1" si="399"/>
        <v>500</v>
      </c>
      <c r="BQ87" s="22">
        <f t="shared" ca="1" si="399"/>
        <v>500</v>
      </c>
      <c r="BR87" s="22">
        <f t="shared" ca="1" si="399"/>
        <v>500</v>
      </c>
      <c r="BS87" s="22">
        <f t="shared" ca="1" si="399"/>
        <v>500</v>
      </c>
      <c r="BT87" s="22">
        <f t="shared" ca="1" si="399"/>
        <v>500</v>
      </c>
      <c r="BU87" s="22">
        <f t="shared" ca="1" si="399"/>
        <v>500</v>
      </c>
      <c r="BV87" s="22">
        <f t="shared" ca="1" si="399"/>
        <v>500</v>
      </c>
      <c r="BW87" s="22">
        <f t="shared" ca="1" si="399"/>
        <v>500</v>
      </c>
      <c r="BX87" s="22">
        <f t="shared" ca="1" si="399"/>
        <v>500</v>
      </c>
      <c r="BY87" s="22">
        <f t="shared" ca="1" si="399"/>
        <v>500</v>
      </c>
      <c r="BZ87" s="22">
        <f t="shared" ca="1" si="399"/>
        <v>500</v>
      </c>
      <c r="CF87" s="16" t="s">
        <v>293</v>
      </c>
      <c r="CG87" s="224" t="s">
        <v>294</v>
      </c>
      <c r="CI87" s="22">
        <f t="shared" ref="CI87:CT87" ca="1" si="400">INDEX(tbl_TCO_input,MATCH(
_xlfn.TEXTJOIN(keydelim,TRUE,CI$23,$D87),rows_TCO_ID,0),MATCH(CI$6,cols_TCO_input,0))</f>
        <v>200</v>
      </c>
      <c r="CJ87" s="22">
        <f t="shared" ca="1" si="400"/>
        <v>200</v>
      </c>
      <c r="CK87" s="22">
        <f t="shared" ca="1" si="400"/>
        <v>200</v>
      </c>
      <c r="CL87" s="22">
        <f t="shared" ca="1" si="400"/>
        <v>200</v>
      </c>
      <c r="CM87" s="22">
        <f t="shared" ca="1" si="400"/>
        <v>200</v>
      </c>
      <c r="CN87" s="22">
        <f t="shared" ca="1" si="400"/>
        <v>200</v>
      </c>
      <c r="CO87" s="22">
        <f t="shared" ca="1" si="400"/>
        <v>200</v>
      </c>
      <c r="CP87" s="22">
        <f t="shared" ca="1" si="400"/>
        <v>200</v>
      </c>
      <c r="CQ87" s="22">
        <f t="shared" ca="1" si="400"/>
        <v>200</v>
      </c>
      <c r="CR87" s="22">
        <f t="shared" ca="1" si="400"/>
        <v>200</v>
      </c>
      <c r="CS87" s="22">
        <f t="shared" ca="1" si="400"/>
        <v>200</v>
      </c>
      <c r="CT87" s="22">
        <f t="shared" ca="1" si="400"/>
        <v>200</v>
      </c>
    </row>
    <row r="88" spans="3:100" outlineLevel="1" x14ac:dyDescent="0.2">
      <c r="C88" s="3"/>
      <c r="D88" s="16" t="s">
        <v>298</v>
      </c>
      <c r="E88" s="224" t="s">
        <v>296</v>
      </c>
      <c r="F88" s="224" t="str">
        <f>_xlfn.TEXTJOIN(keydelim,TRUE,$D88,F$10)</f>
        <v>Fuel tank size - Medium</v>
      </c>
      <c r="G88" s="22">
        <v>0</v>
      </c>
      <c r="H88" s="22">
        <v>0</v>
      </c>
      <c r="I88" s="22">
        <v>0</v>
      </c>
      <c r="J88" s="22">
        <v>0</v>
      </c>
      <c r="K88" s="22">
        <v>0</v>
      </c>
      <c r="L88" s="22">
        <v>0</v>
      </c>
      <c r="M88" s="22">
        <v>0</v>
      </c>
      <c r="N88" s="22">
        <v>0</v>
      </c>
      <c r="O88" s="22">
        <v>0</v>
      </c>
      <c r="P88" s="22">
        <v>0</v>
      </c>
      <c r="Q88" s="22">
        <v>0</v>
      </c>
      <c r="R88" s="22">
        <v>0</v>
      </c>
      <c r="X88" s="16" t="s">
        <v>298</v>
      </c>
      <c r="Y88" s="224" t="s">
        <v>296</v>
      </c>
      <c r="Z88" s="224" t="str">
        <f>_xlfn.TEXTJOIN(keydelim,TRUE,$D88,Z$10)</f>
        <v>Fuel tank size - Medium</v>
      </c>
      <c r="AA88" s="22">
        <v>0</v>
      </c>
      <c r="AB88" s="22">
        <v>0</v>
      </c>
      <c r="AC88" s="22">
        <v>0</v>
      </c>
      <c r="AD88" s="22">
        <v>0</v>
      </c>
      <c r="AE88" s="22">
        <v>0</v>
      </c>
      <c r="AF88" s="22">
        <v>0</v>
      </c>
      <c r="AG88" s="22">
        <v>0</v>
      </c>
      <c r="AH88" s="22">
        <v>0</v>
      </c>
      <c r="AI88" s="22">
        <v>0</v>
      </c>
      <c r="AJ88" s="22">
        <v>0</v>
      </c>
      <c r="AK88" s="22">
        <v>0</v>
      </c>
      <c r="AL88" s="22">
        <v>0</v>
      </c>
      <c r="AR88" s="16" t="s">
        <v>298</v>
      </c>
      <c r="AS88" s="224" t="s">
        <v>296</v>
      </c>
      <c r="AT88" s="224" t="str">
        <f>_xlfn.TEXTJOIN(keydelim,TRUE,$D88,AT$10)</f>
        <v>Fuel tank size - Medium</v>
      </c>
      <c r="AU88" s="22">
        <v>0</v>
      </c>
      <c r="AV88" s="22">
        <v>0</v>
      </c>
      <c r="AW88" s="22">
        <v>0</v>
      </c>
      <c r="AX88" s="22">
        <v>0</v>
      </c>
      <c r="AY88" s="22">
        <v>0</v>
      </c>
      <c r="AZ88" s="22">
        <v>0</v>
      </c>
      <c r="BA88" s="22">
        <v>0</v>
      </c>
      <c r="BB88" s="22">
        <v>0</v>
      </c>
      <c r="BC88" s="22">
        <v>0</v>
      </c>
      <c r="BD88" s="22">
        <v>0</v>
      </c>
      <c r="BE88" s="22">
        <v>0</v>
      </c>
      <c r="BF88" s="22">
        <v>0</v>
      </c>
      <c r="BL88" s="16" t="s">
        <v>298</v>
      </c>
      <c r="BM88" s="224" t="s">
        <v>296</v>
      </c>
      <c r="BN88" s="224" t="str">
        <f>_xlfn.TEXTJOIN(keydelim,TRUE,$D88,BN$10)</f>
        <v>Fuel tank size - Medium</v>
      </c>
      <c r="BO88" s="22">
        <v>0</v>
      </c>
      <c r="BP88" s="22">
        <v>0</v>
      </c>
      <c r="BQ88" s="22">
        <v>0</v>
      </c>
      <c r="BR88" s="22">
        <v>0</v>
      </c>
      <c r="BS88" s="22">
        <v>0</v>
      </c>
      <c r="BT88" s="22">
        <v>0</v>
      </c>
      <c r="BU88" s="22">
        <v>0</v>
      </c>
      <c r="BV88" s="22">
        <v>0</v>
      </c>
      <c r="BW88" s="22">
        <v>0</v>
      </c>
      <c r="BX88" s="22">
        <v>0</v>
      </c>
      <c r="BY88" s="22">
        <v>0</v>
      </c>
      <c r="BZ88" s="22">
        <v>0</v>
      </c>
      <c r="CF88" s="16" t="s">
        <v>298</v>
      </c>
      <c r="CG88" s="224" t="s">
        <v>296</v>
      </c>
      <c r="CH88" s="224" t="str">
        <f>_xlfn.TEXTJOIN(keydelim,TRUE,$D88,CH$10)</f>
        <v>Fuel tank size - Medium</v>
      </c>
      <c r="CI88" s="22">
        <v>0</v>
      </c>
      <c r="CJ88" s="22">
        <v>0</v>
      </c>
      <c r="CK88" s="22">
        <v>0</v>
      </c>
      <c r="CL88" s="22">
        <v>0</v>
      </c>
      <c r="CM88" s="22">
        <v>0</v>
      </c>
      <c r="CN88" s="22">
        <v>0</v>
      </c>
      <c r="CO88" s="22">
        <v>0</v>
      </c>
      <c r="CP88" s="22">
        <v>0</v>
      </c>
      <c r="CQ88" s="22">
        <v>0</v>
      </c>
      <c r="CR88" s="22">
        <v>0</v>
      </c>
      <c r="CS88" s="22">
        <v>0</v>
      </c>
      <c r="CT88" s="22">
        <v>0</v>
      </c>
    </row>
    <row r="89" spans="3:100" outlineLevel="1" x14ac:dyDescent="0.2">
      <c r="C89" s="3"/>
      <c r="D89" s="59" t="s">
        <v>299</v>
      </c>
      <c r="E89" s="224" t="s">
        <v>300</v>
      </c>
      <c r="G89" s="52">
        <f t="shared" ref="G89:R89" ca="1" si="401">IFERROR(INDEX(tbl_TCO_input,MATCH(
_xlfn.TEXTJOIN(keydelim,TRUE,G$19,$D89),rows_TCO_ID,0),MATCH(G$6,cols_TCO_input,0)),0)</f>
        <v>0.9</v>
      </c>
      <c r="H89" s="52">
        <f t="shared" ca="1" si="401"/>
        <v>0.9</v>
      </c>
      <c r="I89" s="52">
        <f t="shared" ca="1" si="401"/>
        <v>0.9</v>
      </c>
      <c r="J89" s="52">
        <f t="shared" ca="1" si="401"/>
        <v>0.9</v>
      </c>
      <c r="K89" s="52">
        <f t="shared" ca="1" si="401"/>
        <v>0.9</v>
      </c>
      <c r="L89" s="52">
        <f t="shared" ca="1" si="401"/>
        <v>0.9</v>
      </c>
      <c r="M89" s="52">
        <f t="shared" ca="1" si="401"/>
        <v>0.9</v>
      </c>
      <c r="N89" s="52">
        <f t="shared" ca="1" si="401"/>
        <v>0.9</v>
      </c>
      <c r="O89" s="52">
        <f t="shared" ca="1" si="401"/>
        <v>0.9</v>
      </c>
      <c r="P89" s="52">
        <f t="shared" ca="1" si="401"/>
        <v>0.9</v>
      </c>
      <c r="Q89" s="52">
        <f t="shared" ca="1" si="401"/>
        <v>0.9</v>
      </c>
      <c r="R89" s="52">
        <f t="shared" ca="1" si="401"/>
        <v>0.9</v>
      </c>
      <c r="X89" s="59" t="s">
        <v>299</v>
      </c>
      <c r="Y89" s="224" t="s">
        <v>300</v>
      </c>
      <c r="AA89" s="52">
        <f t="shared" ref="AA89:AL89" ca="1" si="402">IFERROR(INDEX(tbl_TCO_input,MATCH(
_xlfn.TEXTJOIN(keydelim,TRUE,AA$19,$D89),rows_TCO_ID,0),MATCH(AA$6,cols_TCO_input,0)),0)</f>
        <v>0.43</v>
      </c>
      <c r="AB89" s="52">
        <f t="shared" ca="1" si="402"/>
        <v>0.43</v>
      </c>
      <c r="AC89" s="52">
        <f t="shared" ca="1" si="402"/>
        <v>0.43</v>
      </c>
      <c r="AD89" s="52">
        <f t="shared" ca="1" si="402"/>
        <v>0.43</v>
      </c>
      <c r="AE89" s="52">
        <f t="shared" ca="1" si="402"/>
        <v>0.43</v>
      </c>
      <c r="AF89" s="52">
        <f t="shared" ca="1" si="402"/>
        <v>0.43</v>
      </c>
      <c r="AG89" s="52">
        <f t="shared" ca="1" si="402"/>
        <v>0.43</v>
      </c>
      <c r="AH89" s="52">
        <f t="shared" ca="1" si="402"/>
        <v>0.43</v>
      </c>
      <c r="AI89" s="52">
        <f t="shared" ca="1" si="402"/>
        <v>0.43</v>
      </c>
      <c r="AJ89" s="52">
        <f t="shared" ca="1" si="402"/>
        <v>0.43</v>
      </c>
      <c r="AK89" s="52">
        <f t="shared" ca="1" si="402"/>
        <v>0.43</v>
      </c>
      <c r="AL89" s="52">
        <f t="shared" ca="1" si="402"/>
        <v>0.43</v>
      </c>
      <c r="AR89" s="59" t="s">
        <v>299</v>
      </c>
      <c r="AS89" s="224" t="s">
        <v>300</v>
      </c>
      <c r="AU89" s="52">
        <f t="shared" ref="AU89:BF89" ca="1" si="403">IFERROR(INDEX(tbl_TCO_input,MATCH(
_xlfn.TEXTJOIN(keydelim,TRUE,AU$19,$D89),rows_TCO_ID,0),MATCH(AU$6,cols_TCO_input,0)),0)</f>
        <v>0.62250000000000005</v>
      </c>
      <c r="AV89" s="52">
        <f t="shared" ca="1" si="403"/>
        <v>0.62250000000000005</v>
      </c>
      <c r="AW89" s="52">
        <f t="shared" ca="1" si="403"/>
        <v>0.62250000000000005</v>
      </c>
      <c r="AX89" s="52">
        <f t="shared" ca="1" si="403"/>
        <v>0.62250000000000005</v>
      </c>
      <c r="AY89" s="52">
        <f t="shared" ca="1" si="403"/>
        <v>0.62250000000000005</v>
      </c>
      <c r="AZ89" s="52">
        <f t="shared" ca="1" si="403"/>
        <v>0.62250000000000005</v>
      </c>
      <c r="BA89" s="52">
        <f t="shared" ca="1" si="403"/>
        <v>0.62250000000000005</v>
      </c>
      <c r="BB89" s="52">
        <f t="shared" ca="1" si="403"/>
        <v>0.62250000000000005</v>
      </c>
      <c r="BC89" s="52">
        <f t="shared" ca="1" si="403"/>
        <v>0.62250000000000005</v>
      </c>
      <c r="BD89" s="52">
        <f t="shared" ca="1" si="403"/>
        <v>0.62250000000000005</v>
      </c>
      <c r="BE89" s="52">
        <f t="shared" ca="1" si="403"/>
        <v>0.62250000000000005</v>
      </c>
      <c r="BF89" s="52">
        <f t="shared" ca="1" si="403"/>
        <v>0.62250000000000005</v>
      </c>
      <c r="BL89" s="59" t="s">
        <v>299</v>
      </c>
      <c r="BM89" s="224" t="s">
        <v>300</v>
      </c>
      <c r="BO89" s="52">
        <f t="shared" ref="BO89:BZ89" ca="1" si="404">IFERROR(INDEX(tbl_TCO_input,MATCH(
_xlfn.TEXTJOIN(keydelim,TRUE,BO$19,$D89),rows_TCO_ID,0),MATCH(BO$6,cols_TCO_input,0)),0)</f>
        <v>0.62250000000000005</v>
      </c>
      <c r="BP89" s="52">
        <f t="shared" ca="1" si="404"/>
        <v>0.62250000000000005</v>
      </c>
      <c r="BQ89" s="52">
        <f t="shared" ca="1" si="404"/>
        <v>0.62250000000000005</v>
      </c>
      <c r="BR89" s="52">
        <f t="shared" ca="1" si="404"/>
        <v>0.62250000000000005</v>
      </c>
      <c r="BS89" s="52">
        <f t="shared" ca="1" si="404"/>
        <v>0.62250000000000005</v>
      </c>
      <c r="BT89" s="52">
        <f t="shared" ca="1" si="404"/>
        <v>0.62250000000000005</v>
      </c>
      <c r="BU89" s="52">
        <f t="shared" ca="1" si="404"/>
        <v>0.62250000000000005</v>
      </c>
      <c r="BV89" s="52">
        <f t="shared" ca="1" si="404"/>
        <v>0.62250000000000005</v>
      </c>
      <c r="BW89" s="52">
        <f t="shared" ca="1" si="404"/>
        <v>0.62250000000000005</v>
      </c>
      <c r="BX89" s="52">
        <f t="shared" ca="1" si="404"/>
        <v>0.62250000000000005</v>
      </c>
      <c r="BY89" s="52">
        <f t="shared" ca="1" si="404"/>
        <v>0.62250000000000005</v>
      </c>
      <c r="BZ89" s="52">
        <f t="shared" ca="1" si="404"/>
        <v>0.62250000000000005</v>
      </c>
      <c r="CF89" s="59" t="s">
        <v>299</v>
      </c>
      <c r="CG89" s="224" t="s">
        <v>300</v>
      </c>
      <c r="CI89" s="52">
        <f t="shared" ref="CI89:CT89" ca="1" si="405">IFERROR(INDEX(tbl_TCO_input,MATCH(
_xlfn.TEXTJOIN(keydelim,TRUE,CI$19,$D89),rows_TCO_ID,0),MATCH(CI$6,cols_TCO_input,0)),0)</f>
        <v>0.79</v>
      </c>
      <c r="CJ89" s="52">
        <f t="shared" ca="1" si="405"/>
        <v>0.79</v>
      </c>
      <c r="CK89" s="52">
        <f t="shared" ca="1" si="405"/>
        <v>0.79</v>
      </c>
      <c r="CL89" s="52">
        <f t="shared" ca="1" si="405"/>
        <v>0.79</v>
      </c>
      <c r="CM89" s="52">
        <f t="shared" ca="1" si="405"/>
        <v>0.79</v>
      </c>
      <c r="CN89" s="52">
        <f t="shared" ca="1" si="405"/>
        <v>0.79</v>
      </c>
      <c r="CO89" s="52">
        <f t="shared" ca="1" si="405"/>
        <v>0.79</v>
      </c>
      <c r="CP89" s="52">
        <f t="shared" ca="1" si="405"/>
        <v>0.79</v>
      </c>
      <c r="CQ89" s="52">
        <f t="shared" ca="1" si="405"/>
        <v>0.79</v>
      </c>
      <c r="CR89" s="52">
        <f t="shared" ca="1" si="405"/>
        <v>0.79</v>
      </c>
      <c r="CS89" s="52">
        <f t="shared" ca="1" si="405"/>
        <v>0.79</v>
      </c>
      <c r="CT89" s="52">
        <f t="shared" ca="1" si="405"/>
        <v>0.79</v>
      </c>
    </row>
    <row r="90" spans="3:100" outlineLevel="1" x14ac:dyDescent="0.2">
      <c r="C90" s="3"/>
      <c r="D90" s="16" t="s">
        <v>301</v>
      </c>
      <c r="E90" s="224" t="s">
        <v>302</v>
      </c>
      <c r="G90" s="22">
        <f ca="1">G94*G92/G93*(1+G91)</f>
        <v>0</v>
      </c>
      <c r="H90" s="22">
        <f ca="1">H94*H92/H93*(1+H91)</f>
        <v>0</v>
      </c>
      <c r="I90" s="22">
        <f t="shared" ref="I90:R90" ca="1" si="406">I94*I92/I93*(1+I91)</f>
        <v>0</v>
      </c>
      <c r="J90" s="22">
        <f t="shared" ca="1" si="406"/>
        <v>0</v>
      </c>
      <c r="K90" s="22">
        <f t="shared" ca="1" si="406"/>
        <v>0</v>
      </c>
      <c r="L90" s="22">
        <f t="shared" ca="1" si="406"/>
        <v>0</v>
      </c>
      <c r="M90" s="22">
        <f t="shared" ca="1" si="406"/>
        <v>0</v>
      </c>
      <c r="N90" s="22">
        <f t="shared" ca="1" si="406"/>
        <v>0</v>
      </c>
      <c r="O90" s="22">
        <f t="shared" ca="1" si="406"/>
        <v>0</v>
      </c>
      <c r="P90" s="22">
        <f t="shared" ca="1" si="406"/>
        <v>0</v>
      </c>
      <c r="Q90" s="22">
        <f t="shared" ca="1" si="406"/>
        <v>0</v>
      </c>
      <c r="R90" s="22">
        <f t="shared" ca="1" si="406"/>
        <v>0</v>
      </c>
      <c r="X90" s="16" t="s">
        <v>301</v>
      </c>
      <c r="Y90" s="224" t="s">
        <v>302</v>
      </c>
      <c r="AA90" s="22">
        <f ca="1">AA94*AA92/AA93*(1+AA91)</f>
        <v>0</v>
      </c>
      <c r="AB90" s="22">
        <f ca="1">AB94*AB92/AB93*(1+AB91)</f>
        <v>0</v>
      </c>
      <c r="AC90" s="22">
        <f t="shared" ref="AC90:AL90" ca="1" si="407">AC94*AC92/AC93*(1+AC91)</f>
        <v>0</v>
      </c>
      <c r="AD90" s="22">
        <f t="shared" ca="1" si="407"/>
        <v>0</v>
      </c>
      <c r="AE90" s="22">
        <f t="shared" ca="1" si="407"/>
        <v>0</v>
      </c>
      <c r="AF90" s="22">
        <f t="shared" ca="1" si="407"/>
        <v>0</v>
      </c>
      <c r="AG90" s="22">
        <f t="shared" ca="1" si="407"/>
        <v>0</v>
      </c>
      <c r="AH90" s="22">
        <f t="shared" ca="1" si="407"/>
        <v>0</v>
      </c>
      <c r="AI90" s="22">
        <f t="shared" ca="1" si="407"/>
        <v>0</v>
      </c>
      <c r="AJ90" s="22">
        <f t="shared" ca="1" si="407"/>
        <v>0</v>
      </c>
      <c r="AK90" s="22">
        <f t="shared" ca="1" si="407"/>
        <v>0</v>
      </c>
      <c r="AL90" s="22">
        <f t="shared" ca="1" si="407"/>
        <v>0</v>
      </c>
      <c r="AR90" s="16" t="s">
        <v>301</v>
      </c>
      <c r="AS90" s="224" t="s">
        <v>302</v>
      </c>
      <c r="AU90" s="22">
        <f ca="1">AU94*AU92/AU93*(1+AU91)</f>
        <v>0</v>
      </c>
      <c r="AV90" s="22">
        <f ca="1">AV94*AV92/AV93*(1+AV91)</f>
        <v>0</v>
      </c>
      <c r="AW90" s="22">
        <f t="shared" ref="AW90:BF90" ca="1" si="408">AW94*AW92/AW93*(1+AW91)</f>
        <v>0</v>
      </c>
      <c r="AX90" s="22">
        <f t="shared" ca="1" si="408"/>
        <v>0</v>
      </c>
      <c r="AY90" s="22">
        <f t="shared" ca="1" si="408"/>
        <v>0</v>
      </c>
      <c r="AZ90" s="22">
        <f t="shared" ca="1" si="408"/>
        <v>0</v>
      </c>
      <c r="BA90" s="22">
        <f t="shared" ca="1" si="408"/>
        <v>0</v>
      </c>
      <c r="BB90" s="22">
        <f t="shared" ca="1" si="408"/>
        <v>0</v>
      </c>
      <c r="BC90" s="22">
        <f t="shared" ca="1" si="408"/>
        <v>0</v>
      </c>
      <c r="BD90" s="22">
        <f t="shared" ca="1" si="408"/>
        <v>0</v>
      </c>
      <c r="BE90" s="22">
        <f t="shared" ca="1" si="408"/>
        <v>0</v>
      </c>
      <c r="BF90" s="22">
        <f t="shared" ca="1" si="408"/>
        <v>0</v>
      </c>
      <c r="BL90" s="16" t="s">
        <v>301</v>
      </c>
      <c r="BM90" s="224" t="s">
        <v>302</v>
      </c>
      <c r="BO90" s="22">
        <f ca="1">BO94*BO92/BO93*(1+BO91)</f>
        <v>0</v>
      </c>
      <c r="BP90" s="22">
        <f ca="1">BP94*BP92/BP93*(1+BP91)</f>
        <v>0</v>
      </c>
      <c r="BQ90" s="22">
        <f t="shared" ref="BQ90:BZ90" ca="1" si="409">BQ94*BQ92/BQ93*(1+BQ91)</f>
        <v>0</v>
      </c>
      <c r="BR90" s="22">
        <f t="shared" ca="1" si="409"/>
        <v>0</v>
      </c>
      <c r="BS90" s="22">
        <f t="shared" ca="1" si="409"/>
        <v>0</v>
      </c>
      <c r="BT90" s="22">
        <f t="shared" ca="1" si="409"/>
        <v>0</v>
      </c>
      <c r="BU90" s="22">
        <f t="shared" ca="1" si="409"/>
        <v>0</v>
      </c>
      <c r="BV90" s="22">
        <f t="shared" ca="1" si="409"/>
        <v>0</v>
      </c>
      <c r="BW90" s="22">
        <f t="shared" ca="1" si="409"/>
        <v>0</v>
      </c>
      <c r="BX90" s="22">
        <f t="shared" ca="1" si="409"/>
        <v>0</v>
      </c>
      <c r="BY90" s="22">
        <f t="shared" ca="1" si="409"/>
        <v>0</v>
      </c>
      <c r="BZ90" s="22">
        <f t="shared" ca="1" si="409"/>
        <v>0</v>
      </c>
      <c r="CF90" s="16" t="s">
        <v>301</v>
      </c>
      <c r="CG90" s="224" t="s">
        <v>302</v>
      </c>
      <c r="CI90" s="22">
        <f ca="1">CI94*CI92/CI93*(1+CI91)</f>
        <v>0</v>
      </c>
      <c r="CJ90" s="22">
        <f ca="1">CJ94*CJ92/CJ93*(1+CJ91)</f>
        <v>0</v>
      </c>
      <c r="CK90" s="22">
        <f t="shared" ref="CK90:CT90" ca="1" si="410">CK94*CK92/CK93*(1+CK91)</f>
        <v>0</v>
      </c>
      <c r="CL90" s="22">
        <f t="shared" ca="1" si="410"/>
        <v>0</v>
      </c>
      <c r="CM90" s="22">
        <f t="shared" ca="1" si="410"/>
        <v>0</v>
      </c>
      <c r="CN90" s="22">
        <f t="shared" ca="1" si="410"/>
        <v>0</v>
      </c>
      <c r="CO90" s="22">
        <f t="shared" ca="1" si="410"/>
        <v>0</v>
      </c>
      <c r="CP90" s="22">
        <f t="shared" ca="1" si="410"/>
        <v>0</v>
      </c>
      <c r="CQ90" s="22">
        <f t="shared" ca="1" si="410"/>
        <v>0</v>
      </c>
      <c r="CR90" s="22">
        <f t="shared" ca="1" si="410"/>
        <v>0</v>
      </c>
      <c r="CS90" s="22">
        <f t="shared" ca="1" si="410"/>
        <v>0</v>
      </c>
      <c r="CT90" s="22">
        <f t="shared" ca="1" si="410"/>
        <v>0</v>
      </c>
    </row>
    <row r="91" spans="3:100" outlineLevel="1" x14ac:dyDescent="0.2">
      <c r="C91" s="3"/>
      <c r="D91" s="16" t="s">
        <v>303</v>
      </c>
      <c r="E91" s="224" t="s">
        <v>178</v>
      </c>
      <c r="F91" s="290">
        <f>F$21</f>
        <v>0</v>
      </c>
      <c r="G91" s="23">
        <f>$F91</f>
        <v>0</v>
      </c>
      <c r="H91" s="23">
        <f t="shared" ref="H91:R91" si="411">$F91</f>
        <v>0</v>
      </c>
      <c r="I91" s="23">
        <f t="shared" si="411"/>
        <v>0</v>
      </c>
      <c r="J91" s="23">
        <f t="shared" si="411"/>
        <v>0</v>
      </c>
      <c r="K91" s="23">
        <f t="shared" si="411"/>
        <v>0</v>
      </c>
      <c r="L91" s="23">
        <f t="shared" si="411"/>
        <v>0</v>
      </c>
      <c r="M91" s="23">
        <f t="shared" si="411"/>
        <v>0</v>
      </c>
      <c r="N91" s="23">
        <f t="shared" si="411"/>
        <v>0</v>
      </c>
      <c r="O91" s="23">
        <f t="shared" si="411"/>
        <v>0</v>
      </c>
      <c r="P91" s="23">
        <f t="shared" si="411"/>
        <v>0</v>
      </c>
      <c r="Q91" s="23">
        <f t="shared" si="411"/>
        <v>0</v>
      </c>
      <c r="R91" s="23">
        <f t="shared" si="411"/>
        <v>0</v>
      </c>
      <c r="X91" s="16" t="s">
        <v>303</v>
      </c>
      <c r="Y91" s="224" t="s">
        <v>178</v>
      </c>
      <c r="Z91" s="290">
        <f>Z$21</f>
        <v>0</v>
      </c>
      <c r="AA91" s="23">
        <f>$F91</f>
        <v>0</v>
      </c>
      <c r="AB91" s="23">
        <f t="shared" ref="AB91:AL91" si="412">$F91</f>
        <v>0</v>
      </c>
      <c r="AC91" s="23">
        <f t="shared" si="412"/>
        <v>0</v>
      </c>
      <c r="AD91" s="23">
        <f t="shared" si="412"/>
        <v>0</v>
      </c>
      <c r="AE91" s="23">
        <f t="shared" si="412"/>
        <v>0</v>
      </c>
      <c r="AF91" s="23">
        <f t="shared" si="412"/>
        <v>0</v>
      </c>
      <c r="AG91" s="23">
        <f t="shared" si="412"/>
        <v>0</v>
      </c>
      <c r="AH91" s="23">
        <f t="shared" si="412"/>
        <v>0</v>
      </c>
      <c r="AI91" s="23">
        <f t="shared" si="412"/>
        <v>0</v>
      </c>
      <c r="AJ91" s="23">
        <f t="shared" si="412"/>
        <v>0</v>
      </c>
      <c r="AK91" s="23">
        <f t="shared" si="412"/>
        <v>0</v>
      </c>
      <c r="AL91" s="23">
        <f t="shared" si="412"/>
        <v>0</v>
      </c>
      <c r="AR91" s="16" t="s">
        <v>303</v>
      </c>
      <c r="AS91" s="224" t="s">
        <v>178</v>
      </c>
      <c r="AT91" s="290">
        <f>AT$21</f>
        <v>0</v>
      </c>
      <c r="AU91" s="23">
        <f>$F91</f>
        <v>0</v>
      </c>
      <c r="AV91" s="23">
        <f t="shared" ref="AV91:BF91" si="413">$F91</f>
        <v>0</v>
      </c>
      <c r="AW91" s="23">
        <f t="shared" si="413"/>
        <v>0</v>
      </c>
      <c r="AX91" s="23">
        <f t="shared" si="413"/>
        <v>0</v>
      </c>
      <c r="AY91" s="23">
        <f t="shared" si="413"/>
        <v>0</v>
      </c>
      <c r="AZ91" s="23">
        <f t="shared" si="413"/>
        <v>0</v>
      </c>
      <c r="BA91" s="23">
        <f t="shared" si="413"/>
        <v>0</v>
      </c>
      <c r="BB91" s="23">
        <f t="shared" si="413"/>
        <v>0</v>
      </c>
      <c r="BC91" s="23">
        <f t="shared" si="413"/>
        <v>0</v>
      </c>
      <c r="BD91" s="23">
        <f t="shared" si="413"/>
        <v>0</v>
      </c>
      <c r="BE91" s="23">
        <f t="shared" si="413"/>
        <v>0</v>
      </c>
      <c r="BF91" s="23">
        <f t="shared" si="413"/>
        <v>0</v>
      </c>
      <c r="BL91" s="16" t="s">
        <v>303</v>
      </c>
      <c r="BM91" s="224" t="s">
        <v>178</v>
      </c>
      <c r="BN91" s="290">
        <f>BN$21</f>
        <v>0</v>
      </c>
      <c r="BO91" s="23">
        <f>$F91</f>
        <v>0</v>
      </c>
      <c r="BP91" s="23">
        <f t="shared" ref="BP91:BZ91" si="414">$F91</f>
        <v>0</v>
      </c>
      <c r="BQ91" s="23">
        <f t="shared" si="414"/>
        <v>0</v>
      </c>
      <c r="BR91" s="23">
        <f t="shared" si="414"/>
        <v>0</v>
      </c>
      <c r="BS91" s="23">
        <f t="shared" si="414"/>
        <v>0</v>
      </c>
      <c r="BT91" s="23">
        <f t="shared" si="414"/>
        <v>0</v>
      </c>
      <c r="BU91" s="23">
        <f t="shared" si="414"/>
        <v>0</v>
      </c>
      <c r="BV91" s="23">
        <f t="shared" si="414"/>
        <v>0</v>
      </c>
      <c r="BW91" s="23">
        <f t="shared" si="414"/>
        <v>0</v>
      </c>
      <c r="BX91" s="23">
        <f t="shared" si="414"/>
        <v>0</v>
      </c>
      <c r="BY91" s="23">
        <f t="shared" si="414"/>
        <v>0</v>
      </c>
      <c r="BZ91" s="23">
        <f t="shared" si="414"/>
        <v>0</v>
      </c>
      <c r="CF91" s="16" t="s">
        <v>303</v>
      </c>
      <c r="CG91" s="224" t="s">
        <v>178</v>
      </c>
      <c r="CH91" s="290">
        <f>CH$21</f>
        <v>0</v>
      </c>
      <c r="CI91" s="23">
        <f>$F91</f>
        <v>0</v>
      </c>
      <c r="CJ91" s="23">
        <f t="shared" ref="CJ91:CT91" si="415">$F91</f>
        <v>0</v>
      </c>
      <c r="CK91" s="23">
        <f t="shared" si="415"/>
        <v>0</v>
      </c>
      <c r="CL91" s="23">
        <f t="shared" si="415"/>
        <v>0</v>
      </c>
      <c r="CM91" s="23">
        <f t="shared" si="415"/>
        <v>0</v>
      </c>
      <c r="CN91" s="23">
        <f t="shared" si="415"/>
        <v>0</v>
      </c>
      <c r="CO91" s="23">
        <f t="shared" si="415"/>
        <v>0</v>
      </c>
      <c r="CP91" s="23">
        <f t="shared" si="415"/>
        <v>0</v>
      </c>
      <c r="CQ91" s="23">
        <f t="shared" si="415"/>
        <v>0</v>
      </c>
      <c r="CR91" s="23">
        <f t="shared" si="415"/>
        <v>0</v>
      </c>
      <c r="CS91" s="23">
        <f t="shared" si="415"/>
        <v>0</v>
      </c>
      <c r="CT91" s="23">
        <f t="shared" si="415"/>
        <v>0</v>
      </c>
    </row>
    <row r="92" spans="3:100" outlineLevel="1" x14ac:dyDescent="0.2">
      <c r="C92" s="3"/>
      <c r="D92" s="16" t="s">
        <v>304</v>
      </c>
      <c r="E92" s="224" t="s">
        <v>305</v>
      </c>
      <c r="F92" s="224" t="s">
        <v>306</v>
      </c>
      <c r="G92" s="22">
        <f>INDEX('Vessel Profiles - Input'!$C:$L,MATCH($F92,'Vessel Profiles - Input'!$C:$C,0),MATCH(G$9,'Vessel Profiles - Input'!$C$3:$L$3,0))</f>
        <v>0</v>
      </c>
      <c r="H92" s="22">
        <f>INDEX('Vessel Profiles - Input'!$C:$L,MATCH($F92,'Vessel Profiles - Input'!$C:$C,0),MATCH(H$9,'Vessel Profiles - Input'!$C$3:$L$3,0))</f>
        <v>0</v>
      </c>
      <c r="I92" s="22">
        <f>INDEX('Vessel Profiles - Input'!$C:$L,MATCH($F92,'Vessel Profiles - Input'!$C:$C,0),MATCH(I$9,'Vessel Profiles - Input'!$C$3:$L$3,0))</f>
        <v>0</v>
      </c>
      <c r="J92" s="22">
        <f>INDEX('Vessel Profiles - Input'!$C:$L,MATCH($F92,'Vessel Profiles - Input'!$C:$C,0),MATCH(J$9,'Vessel Profiles - Input'!$C$3:$L$3,0))</f>
        <v>0</v>
      </c>
      <c r="K92" s="22">
        <f>INDEX('Vessel Profiles - Input'!$C:$L,MATCH($F92,'Vessel Profiles - Input'!$C:$C,0),MATCH(K$9,'Vessel Profiles - Input'!$C$3:$L$3,0))</f>
        <v>0</v>
      </c>
      <c r="L92" s="22">
        <f>INDEX('Vessel Profiles - Input'!$C:$L,MATCH($F92,'Vessel Profiles - Input'!$C:$C,0),MATCH(L$9,'Vessel Profiles - Input'!$C$3:$L$3,0))</f>
        <v>0</v>
      </c>
      <c r="M92" s="22">
        <f>INDEX('Vessel Profiles - Input'!$C:$L,MATCH($F92,'Vessel Profiles - Input'!$C:$C,0),MATCH(M$9,'Vessel Profiles - Input'!$C$3:$L$3,0))</f>
        <v>0</v>
      </c>
      <c r="N92" s="22">
        <f>INDEX('Vessel Profiles - Input'!$C:$L,MATCH($F92,'Vessel Profiles - Input'!$C:$C,0),MATCH(N$9,'Vessel Profiles - Input'!$C$3:$L$3,0))</f>
        <v>0</v>
      </c>
      <c r="O92" s="22">
        <f>INDEX('Vessel Profiles - Input'!$C:$L,MATCH($F92,'Vessel Profiles - Input'!$C:$C,0),MATCH(O$9,'Vessel Profiles - Input'!$C$3:$L$3,0))</f>
        <v>0</v>
      </c>
      <c r="P92" s="22">
        <f>INDEX('Vessel Profiles - Input'!$C:$L,MATCH($F92,'Vessel Profiles - Input'!$C:$C,0),MATCH(P$9,'Vessel Profiles - Input'!$C$3:$L$3,0))</f>
        <v>0</v>
      </c>
      <c r="Q92" s="22">
        <f>INDEX('Vessel Profiles - Input'!$C:$L,MATCH($F92,'Vessel Profiles - Input'!$C:$C,0),MATCH(Q$9,'Vessel Profiles - Input'!$C$3:$L$3,0))</f>
        <v>0</v>
      </c>
      <c r="R92" s="22">
        <f>INDEX('Vessel Profiles - Input'!$C:$L,MATCH($F92,'Vessel Profiles - Input'!$C:$C,0),MATCH(R$9,'Vessel Profiles - Input'!$C$3:$L$3,0))</f>
        <v>0</v>
      </c>
      <c r="X92" s="16" t="s">
        <v>304</v>
      </c>
      <c r="Y92" s="224" t="s">
        <v>305</v>
      </c>
      <c r="Z92" s="224" t="s">
        <v>306</v>
      </c>
      <c r="AA92" s="22">
        <f>INDEX('Vessel Profiles - Input'!$C:$L,MATCH($F92,'Vessel Profiles - Input'!$C:$C,0),MATCH(AA$9,'Vessel Profiles - Input'!$C$3:$L$3,0))</f>
        <v>0</v>
      </c>
      <c r="AB92" s="22">
        <f>INDEX('Vessel Profiles - Input'!$C:$L,MATCH($F92,'Vessel Profiles - Input'!$C:$C,0),MATCH(AB$9,'Vessel Profiles - Input'!$C$3:$L$3,0))</f>
        <v>0</v>
      </c>
      <c r="AC92" s="22">
        <f>INDEX('Vessel Profiles - Input'!$C:$L,MATCH($F92,'Vessel Profiles - Input'!$C:$C,0),MATCH(AC$9,'Vessel Profiles - Input'!$C$3:$L$3,0))</f>
        <v>0</v>
      </c>
      <c r="AD92" s="22">
        <f>INDEX('Vessel Profiles - Input'!$C:$L,MATCH($F92,'Vessel Profiles - Input'!$C:$C,0),MATCH(AD$9,'Vessel Profiles - Input'!$C$3:$L$3,0))</f>
        <v>0</v>
      </c>
      <c r="AE92" s="22">
        <f>INDEX('Vessel Profiles - Input'!$C:$L,MATCH($F92,'Vessel Profiles - Input'!$C:$C,0),MATCH(AE$9,'Vessel Profiles - Input'!$C$3:$L$3,0))</f>
        <v>0</v>
      </c>
      <c r="AF92" s="22">
        <f>INDEX('Vessel Profiles - Input'!$C:$L,MATCH($F92,'Vessel Profiles - Input'!$C:$C,0),MATCH(AF$9,'Vessel Profiles - Input'!$C$3:$L$3,0))</f>
        <v>0</v>
      </c>
      <c r="AG92" s="22">
        <f>INDEX('Vessel Profiles - Input'!$C:$L,MATCH($F92,'Vessel Profiles - Input'!$C:$C,0),MATCH(AG$9,'Vessel Profiles - Input'!$C$3:$L$3,0))</f>
        <v>0</v>
      </c>
      <c r="AH92" s="22">
        <f>INDEX('Vessel Profiles - Input'!$C:$L,MATCH($F92,'Vessel Profiles - Input'!$C:$C,0),MATCH(AH$9,'Vessel Profiles - Input'!$C$3:$L$3,0))</f>
        <v>0</v>
      </c>
      <c r="AI92" s="22">
        <f>INDEX('Vessel Profiles - Input'!$C:$L,MATCH($F92,'Vessel Profiles - Input'!$C:$C,0),MATCH(AI$9,'Vessel Profiles - Input'!$C$3:$L$3,0))</f>
        <v>0</v>
      </c>
      <c r="AJ92" s="22">
        <f>INDEX('Vessel Profiles - Input'!$C:$L,MATCH($F92,'Vessel Profiles - Input'!$C:$C,0),MATCH(AJ$9,'Vessel Profiles - Input'!$C$3:$L$3,0))</f>
        <v>0</v>
      </c>
      <c r="AK92" s="22">
        <f>INDEX('Vessel Profiles - Input'!$C:$L,MATCH($F92,'Vessel Profiles - Input'!$C:$C,0),MATCH(AK$9,'Vessel Profiles - Input'!$C$3:$L$3,0))</f>
        <v>0</v>
      </c>
      <c r="AL92" s="22">
        <f>INDEX('Vessel Profiles - Input'!$C:$L,MATCH($F92,'Vessel Profiles - Input'!$C:$C,0),MATCH(AL$9,'Vessel Profiles - Input'!$C$3:$L$3,0))</f>
        <v>0</v>
      </c>
      <c r="AR92" s="16" t="s">
        <v>304</v>
      </c>
      <c r="AS92" s="224" t="s">
        <v>305</v>
      </c>
      <c r="AT92" s="224" t="s">
        <v>306</v>
      </c>
      <c r="AU92" s="22">
        <f>INDEX('Vessel Profiles - Input'!$C:$L,MATCH($F92,'Vessel Profiles - Input'!$C:$C,0),MATCH(AU$9,'Vessel Profiles - Input'!$C$3:$L$3,0))</f>
        <v>0</v>
      </c>
      <c r="AV92" s="22">
        <f>INDEX('Vessel Profiles - Input'!$C:$L,MATCH($F92,'Vessel Profiles - Input'!$C:$C,0),MATCH(AV$9,'Vessel Profiles - Input'!$C$3:$L$3,0))</f>
        <v>0</v>
      </c>
      <c r="AW92" s="22">
        <f>INDEX('Vessel Profiles - Input'!$C:$L,MATCH($F92,'Vessel Profiles - Input'!$C:$C,0),MATCH(AW$9,'Vessel Profiles - Input'!$C$3:$L$3,0))</f>
        <v>0</v>
      </c>
      <c r="AX92" s="22">
        <f>INDEX('Vessel Profiles - Input'!$C:$L,MATCH($F92,'Vessel Profiles - Input'!$C:$C,0),MATCH(AX$9,'Vessel Profiles - Input'!$C$3:$L$3,0))</f>
        <v>0</v>
      </c>
      <c r="AY92" s="22">
        <f>INDEX('Vessel Profiles - Input'!$C:$L,MATCH($F92,'Vessel Profiles - Input'!$C:$C,0),MATCH(AY$9,'Vessel Profiles - Input'!$C$3:$L$3,0))</f>
        <v>0</v>
      </c>
      <c r="AZ92" s="22">
        <f>INDEX('Vessel Profiles - Input'!$C:$L,MATCH($F92,'Vessel Profiles - Input'!$C:$C,0),MATCH(AZ$9,'Vessel Profiles - Input'!$C$3:$L$3,0))</f>
        <v>0</v>
      </c>
      <c r="BA92" s="22">
        <f>INDEX('Vessel Profiles - Input'!$C:$L,MATCH($F92,'Vessel Profiles - Input'!$C:$C,0),MATCH(BA$9,'Vessel Profiles - Input'!$C$3:$L$3,0))</f>
        <v>0</v>
      </c>
      <c r="BB92" s="22">
        <f>INDEX('Vessel Profiles - Input'!$C:$L,MATCH($F92,'Vessel Profiles - Input'!$C:$C,0),MATCH(BB$9,'Vessel Profiles - Input'!$C$3:$L$3,0))</f>
        <v>0</v>
      </c>
      <c r="BC92" s="22">
        <f>INDEX('Vessel Profiles - Input'!$C:$L,MATCH($F92,'Vessel Profiles - Input'!$C:$C,0),MATCH(BC$9,'Vessel Profiles - Input'!$C$3:$L$3,0))</f>
        <v>0</v>
      </c>
      <c r="BD92" s="22">
        <f>INDEX('Vessel Profiles - Input'!$C:$L,MATCH($F92,'Vessel Profiles - Input'!$C:$C,0),MATCH(BD$9,'Vessel Profiles - Input'!$C$3:$L$3,0))</f>
        <v>0</v>
      </c>
      <c r="BE92" s="22">
        <f>INDEX('Vessel Profiles - Input'!$C:$L,MATCH($F92,'Vessel Profiles - Input'!$C:$C,0),MATCH(BE$9,'Vessel Profiles - Input'!$C$3:$L$3,0))</f>
        <v>0</v>
      </c>
      <c r="BF92" s="22">
        <f>INDEX('Vessel Profiles - Input'!$C:$L,MATCH($F92,'Vessel Profiles - Input'!$C:$C,0),MATCH(BF$9,'Vessel Profiles - Input'!$C$3:$L$3,0))</f>
        <v>0</v>
      </c>
      <c r="BL92" s="16" t="s">
        <v>304</v>
      </c>
      <c r="BM92" s="224" t="s">
        <v>305</v>
      </c>
      <c r="BN92" s="224" t="s">
        <v>306</v>
      </c>
      <c r="BO92" s="22">
        <f>INDEX('Vessel Profiles - Input'!$C:$L,MATCH($F92,'Vessel Profiles - Input'!$C:$C,0),MATCH(BO$9,'Vessel Profiles - Input'!$C$3:$L$3,0))</f>
        <v>0</v>
      </c>
      <c r="BP92" s="22">
        <f>INDEX('Vessel Profiles - Input'!$C:$L,MATCH($F92,'Vessel Profiles - Input'!$C:$C,0),MATCH(BP$9,'Vessel Profiles - Input'!$C$3:$L$3,0))</f>
        <v>0</v>
      </c>
      <c r="BQ92" s="22">
        <f>INDEX('Vessel Profiles - Input'!$C:$L,MATCH($F92,'Vessel Profiles - Input'!$C:$C,0),MATCH(BQ$9,'Vessel Profiles - Input'!$C$3:$L$3,0))</f>
        <v>0</v>
      </c>
      <c r="BR92" s="22">
        <f>INDEX('Vessel Profiles - Input'!$C:$L,MATCH($F92,'Vessel Profiles - Input'!$C:$C,0),MATCH(BR$9,'Vessel Profiles - Input'!$C$3:$L$3,0))</f>
        <v>0</v>
      </c>
      <c r="BS92" s="22">
        <f>INDEX('Vessel Profiles - Input'!$C:$L,MATCH($F92,'Vessel Profiles - Input'!$C:$C,0),MATCH(BS$9,'Vessel Profiles - Input'!$C$3:$L$3,0))</f>
        <v>0</v>
      </c>
      <c r="BT92" s="22">
        <f>INDEX('Vessel Profiles - Input'!$C:$L,MATCH($F92,'Vessel Profiles - Input'!$C:$C,0),MATCH(BT$9,'Vessel Profiles - Input'!$C$3:$L$3,0))</f>
        <v>0</v>
      </c>
      <c r="BU92" s="22">
        <f>INDEX('Vessel Profiles - Input'!$C:$L,MATCH($F92,'Vessel Profiles - Input'!$C:$C,0),MATCH(BU$9,'Vessel Profiles - Input'!$C$3:$L$3,0))</f>
        <v>0</v>
      </c>
      <c r="BV92" s="22">
        <f>INDEX('Vessel Profiles - Input'!$C:$L,MATCH($F92,'Vessel Profiles - Input'!$C:$C,0),MATCH(BV$9,'Vessel Profiles - Input'!$C$3:$L$3,0))</f>
        <v>0</v>
      </c>
      <c r="BW92" s="22">
        <f>INDEX('Vessel Profiles - Input'!$C:$L,MATCH($F92,'Vessel Profiles - Input'!$C:$C,0),MATCH(BW$9,'Vessel Profiles - Input'!$C$3:$L$3,0))</f>
        <v>0</v>
      </c>
      <c r="BX92" s="22">
        <f>INDEX('Vessel Profiles - Input'!$C:$L,MATCH($F92,'Vessel Profiles - Input'!$C:$C,0),MATCH(BX$9,'Vessel Profiles - Input'!$C$3:$L$3,0))</f>
        <v>0</v>
      </c>
      <c r="BY92" s="22">
        <f>INDEX('Vessel Profiles - Input'!$C:$L,MATCH($F92,'Vessel Profiles - Input'!$C:$C,0),MATCH(BY$9,'Vessel Profiles - Input'!$C$3:$L$3,0))</f>
        <v>0</v>
      </c>
      <c r="BZ92" s="22">
        <f>INDEX('Vessel Profiles - Input'!$C:$L,MATCH($F92,'Vessel Profiles - Input'!$C:$C,0),MATCH(BZ$9,'Vessel Profiles - Input'!$C$3:$L$3,0))</f>
        <v>0</v>
      </c>
      <c r="CF92" s="16" t="s">
        <v>304</v>
      </c>
      <c r="CG92" s="224" t="s">
        <v>305</v>
      </c>
      <c r="CH92" s="224" t="s">
        <v>306</v>
      </c>
      <c r="CI92" s="22">
        <f>INDEX('Vessel Profiles - Input'!$C:$L,MATCH($F92,'Vessel Profiles - Input'!$C:$C,0),MATCH(CI$9,'Vessel Profiles - Input'!$C$3:$L$3,0))</f>
        <v>0</v>
      </c>
      <c r="CJ92" s="22">
        <f>INDEX('Vessel Profiles - Input'!$C:$L,MATCH($F92,'Vessel Profiles - Input'!$C:$C,0),MATCH(CJ$9,'Vessel Profiles - Input'!$C$3:$L$3,0))</f>
        <v>0</v>
      </c>
      <c r="CK92" s="22">
        <f>INDEX('Vessel Profiles - Input'!$C:$L,MATCH($F92,'Vessel Profiles - Input'!$C:$C,0),MATCH(CK$9,'Vessel Profiles - Input'!$C$3:$L$3,0))</f>
        <v>0</v>
      </c>
      <c r="CL92" s="22">
        <f>INDEX('Vessel Profiles - Input'!$C:$L,MATCH($F92,'Vessel Profiles - Input'!$C:$C,0),MATCH(CL$9,'Vessel Profiles - Input'!$C$3:$L$3,0))</f>
        <v>0</v>
      </c>
      <c r="CM92" s="22">
        <f>INDEX('Vessel Profiles - Input'!$C:$L,MATCH($F92,'Vessel Profiles - Input'!$C:$C,0),MATCH(CM$9,'Vessel Profiles - Input'!$C$3:$L$3,0))</f>
        <v>0</v>
      </c>
      <c r="CN92" s="22">
        <f>INDEX('Vessel Profiles - Input'!$C:$L,MATCH($F92,'Vessel Profiles - Input'!$C:$C,0),MATCH(CN$9,'Vessel Profiles - Input'!$C$3:$L$3,0))</f>
        <v>0</v>
      </c>
      <c r="CO92" s="22">
        <f>INDEX('Vessel Profiles - Input'!$C:$L,MATCH($F92,'Vessel Profiles - Input'!$C:$C,0),MATCH(CO$9,'Vessel Profiles - Input'!$C$3:$L$3,0))</f>
        <v>0</v>
      </c>
      <c r="CP92" s="22">
        <f>INDEX('Vessel Profiles - Input'!$C:$L,MATCH($F92,'Vessel Profiles - Input'!$C:$C,0),MATCH(CP$9,'Vessel Profiles - Input'!$C$3:$L$3,0))</f>
        <v>0</v>
      </c>
      <c r="CQ92" s="22">
        <f>INDEX('Vessel Profiles - Input'!$C:$L,MATCH($F92,'Vessel Profiles - Input'!$C:$C,0),MATCH(CQ$9,'Vessel Profiles - Input'!$C$3:$L$3,0))</f>
        <v>0</v>
      </c>
      <c r="CR92" s="22">
        <f>INDEX('Vessel Profiles - Input'!$C:$L,MATCH($F92,'Vessel Profiles - Input'!$C:$C,0),MATCH(CR$9,'Vessel Profiles - Input'!$C$3:$L$3,0))</f>
        <v>0</v>
      </c>
      <c r="CS92" s="22">
        <f>INDEX('Vessel Profiles - Input'!$C:$L,MATCH($F92,'Vessel Profiles - Input'!$C:$C,0),MATCH(CS$9,'Vessel Profiles - Input'!$C$3:$L$3,0))</f>
        <v>0</v>
      </c>
      <c r="CT92" s="22">
        <f>INDEX('Vessel Profiles - Input'!$C:$L,MATCH($F92,'Vessel Profiles - Input'!$C:$C,0),MATCH(CT$9,'Vessel Profiles - Input'!$C$3:$L$3,0))</f>
        <v>0</v>
      </c>
    </row>
    <row r="93" spans="3:100" outlineLevel="1" x14ac:dyDescent="0.2">
      <c r="C93" s="3"/>
      <c r="D93" s="16" t="s">
        <v>307</v>
      </c>
      <c r="E93" s="224" t="s">
        <v>305</v>
      </c>
      <c r="F93" s="224" t="s">
        <v>308</v>
      </c>
      <c r="G93" s="22">
        <f>INDEX('Vessel Profiles - Input'!$C:$L,MATCH($F93,'Vessel Profiles - Input'!$C:$C,0),MATCH(G$9,'Vessel Profiles - Input'!$C$3:$L$3,0))</f>
        <v>240</v>
      </c>
      <c r="H93" s="22">
        <f>INDEX('Vessel Profiles - Input'!$C:$L,MATCH($F93,'Vessel Profiles - Input'!$C:$C,0),MATCH(H$9,'Vessel Profiles - Input'!$C$3:$L$3,0))</f>
        <v>240</v>
      </c>
      <c r="I93" s="22">
        <f>INDEX('Vessel Profiles - Input'!$C:$L,MATCH($F93,'Vessel Profiles - Input'!$C:$C,0),MATCH(I$9,'Vessel Profiles - Input'!$C$3:$L$3,0))</f>
        <v>240</v>
      </c>
      <c r="J93" s="22">
        <f>INDEX('Vessel Profiles - Input'!$C:$L,MATCH($F93,'Vessel Profiles - Input'!$C:$C,0),MATCH(J$9,'Vessel Profiles - Input'!$C$3:$L$3,0))</f>
        <v>240</v>
      </c>
      <c r="K93" s="22">
        <f>INDEX('Vessel Profiles - Input'!$C:$L,MATCH($F93,'Vessel Profiles - Input'!$C:$C,0),MATCH(K$9,'Vessel Profiles - Input'!$C$3:$L$3,0))</f>
        <v>240</v>
      </c>
      <c r="L93" s="22">
        <f>INDEX('Vessel Profiles - Input'!$C:$L,MATCH($F93,'Vessel Profiles - Input'!$C:$C,0),MATCH(L$9,'Vessel Profiles - Input'!$C$3:$L$3,0))</f>
        <v>240</v>
      </c>
      <c r="M93" s="22">
        <f>INDEX('Vessel Profiles - Input'!$C:$L,MATCH($F93,'Vessel Profiles - Input'!$C:$C,0),MATCH(M$9,'Vessel Profiles - Input'!$C$3:$L$3,0))</f>
        <v>240</v>
      </c>
      <c r="N93" s="22">
        <f>INDEX('Vessel Profiles - Input'!$C:$L,MATCH($F93,'Vessel Profiles - Input'!$C:$C,0),MATCH(N$9,'Vessel Profiles - Input'!$C$3:$L$3,0))</f>
        <v>240</v>
      </c>
      <c r="O93" s="22">
        <f>INDEX('Vessel Profiles - Input'!$C:$L,MATCH($F93,'Vessel Profiles - Input'!$C:$C,0),MATCH(O$9,'Vessel Profiles - Input'!$C$3:$L$3,0))</f>
        <v>240</v>
      </c>
      <c r="P93" s="22">
        <f>INDEX('Vessel Profiles - Input'!$C:$L,MATCH($F93,'Vessel Profiles - Input'!$C:$C,0),MATCH(P$9,'Vessel Profiles - Input'!$C$3:$L$3,0))</f>
        <v>240</v>
      </c>
      <c r="Q93" s="22">
        <f>INDEX('Vessel Profiles - Input'!$C:$L,MATCH($F93,'Vessel Profiles - Input'!$C:$C,0),MATCH(Q$9,'Vessel Profiles - Input'!$C$3:$L$3,0))</f>
        <v>240</v>
      </c>
      <c r="R93" s="22">
        <f>INDEX('Vessel Profiles - Input'!$C:$L,MATCH($F93,'Vessel Profiles - Input'!$C:$C,0),MATCH(R$9,'Vessel Profiles - Input'!$C$3:$L$3,0))</f>
        <v>240</v>
      </c>
      <c r="X93" s="16" t="s">
        <v>307</v>
      </c>
      <c r="Y93" s="224" t="s">
        <v>305</v>
      </c>
      <c r="Z93" s="224" t="s">
        <v>308</v>
      </c>
      <c r="AA93" s="22">
        <f>INDEX('Vessel Profiles - Input'!$C:$L,MATCH($F93,'Vessel Profiles - Input'!$C:$C,0),MATCH(AA$9,'Vessel Profiles - Input'!$C$3:$L$3,0))</f>
        <v>240</v>
      </c>
      <c r="AB93" s="22">
        <f>INDEX('Vessel Profiles - Input'!$C:$L,MATCH($F93,'Vessel Profiles - Input'!$C:$C,0),MATCH(AB$9,'Vessel Profiles - Input'!$C$3:$L$3,0))</f>
        <v>240</v>
      </c>
      <c r="AC93" s="22">
        <f>INDEX('Vessel Profiles - Input'!$C:$L,MATCH($F93,'Vessel Profiles - Input'!$C:$C,0),MATCH(AC$9,'Vessel Profiles - Input'!$C$3:$L$3,0))</f>
        <v>240</v>
      </c>
      <c r="AD93" s="22">
        <f>INDEX('Vessel Profiles - Input'!$C:$L,MATCH($F93,'Vessel Profiles - Input'!$C:$C,0),MATCH(AD$9,'Vessel Profiles - Input'!$C$3:$L$3,0))</f>
        <v>240</v>
      </c>
      <c r="AE93" s="22">
        <f>INDEX('Vessel Profiles - Input'!$C:$L,MATCH($F93,'Vessel Profiles - Input'!$C:$C,0),MATCH(AE$9,'Vessel Profiles - Input'!$C$3:$L$3,0))</f>
        <v>240</v>
      </c>
      <c r="AF93" s="22">
        <f>INDEX('Vessel Profiles - Input'!$C:$L,MATCH($F93,'Vessel Profiles - Input'!$C:$C,0),MATCH(AF$9,'Vessel Profiles - Input'!$C$3:$L$3,0))</f>
        <v>240</v>
      </c>
      <c r="AG93" s="22">
        <f>INDEX('Vessel Profiles - Input'!$C:$L,MATCH($F93,'Vessel Profiles - Input'!$C:$C,0),MATCH(AG$9,'Vessel Profiles - Input'!$C$3:$L$3,0))</f>
        <v>240</v>
      </c>
      <c r="AH93" s="22">
        <f>INDEX('Vessel Profiles - Input'!$C:$L,MATCH($F93,'Vessel Profiles - Input'!$C:$C,0),MATCH(AH$9,'Vessel Profiles - Input'!$C$3:$L$3,0))</f>
        <v>240</v>
      </c>
      <c r="AI93" s="22">
        <f>INDEX('Vessel Profiles - Input'!$C:$L,MATCH($F93,'Vessel Profiles - Input'!$C:$C,0),MATCH(AI$9,'Vessel Profiles - Input'!$C$3:$L$3,0))</f>
        <v>240</v>
      </c>
      <c r="AJ93" s="22">
        <f>INDEX('Vessel Profiles - Input'!$C:$L,MATCH($F93,'Vessel Profiles - Input'!$C:$C,0),MATCH(AJ$9,'Vessel Profiles - Input'!$C$3:$L$3,0))</f>
        <v>240</v>
      </c>
      <c r="AK93" s="22">
        <f>INDEX('Vessel Profiles - Input'!$C:$L,MATCH($F93,'Vessel Profiles - Input'!$C:$C,0),MATCH(AK$9,'Vessel Profiles - Input'!$C$3:$L$3,0))</f>
        <v>240</v>
      </c>
      <c r="AL93" s="22">
        <f>INDEX('Vessel Profiles - Input'!$C:$L,MATCH($F93,'Vessel Profiles - Input'!$C:$C,0),MATCH(AL$9,'Vessel Profiles - Input'!$C$3:$L$3,0))</f>
        <v>240</v>
      </c>
      <c r="AR93" s="16" t="s">
        <v>307</v>
      </c>
      <c r="AS93" s="224" t="s">
        <v>305</v>
      </c>
      <c r="AT93" s="224" t="s">
        <v>308</v>
      </c>
      <c r="AU93" s="22">
        <f>INDEX('Vessel Profiles - Input'!$C:$L,MATCH($F93,'Vessel Profiles - Input'!$C:$C,0),MATCH(AU$9,'Vessel Profiles - Input'!$C$3:$L$3,0))</f>
        <v>240</v>
      </c>
      <c r="AV93" s="22">
        <f>INDEX('Vessel Profiles - Input'!$C:$L,MATCH($F93,'Vessel Profiles - Input'!$C:$C,0),MATCH(AV$9,'Vessel Profiles - Input'!$C$3:$L$3,0))</f>
        <v>240</v>
      </c>
      <c r="AW93" s="22">
        <f>INDEX('Vessel Profiles - Input'!$C:$L,MATCH($F93,'Vessel Profiles - Input'!$C:$C,0),MATCH(AW$9,'Vessel Profiles - Input'!$C$3:$L$3,0))</f>
        <v>240</v>
      </c>
      <c r="AX93" s="22">
        <f>INDEX('Vessel Profiles - Input'!$C:$L,MATCH($F93,'Vessel Profiles - Input'!$C:$C,0),MATCH(AX$9,'Vessel Profiles - Input'!$C$3:$L$3,0))</f>
        <v>240</v>
      </c>
      <c r="AY93" s="22">
        <f>INDEX('Vessel Profiles - Input'!$C:$L,MATCH($F93,'Vessel Profiles - Input'!$C:$C,0),MATCH(AY$9,'Vessel Profiles - Input'!$C$3:$L$3,0))</f>
        <v>240</v>
      </c>
      <c r="AZ93" s="22">
        <f>INDEX('Vessel Profiles - Input'!$C:$L,MATCH($F93,'Vessel Profiles - Input'!$C:$C,0),MATCH(AZ$9,'Vessel Profiles - Input'!$C$3:$L$3,0))</f>
        <v>240</v>
      </c>
      <c r="BA93" s="22">
        <f>INDEX('Vessel Profiles - Input'!$C:$L,MATCH($F93,'Vessel Profiles - Input'!$C:$C,0),MATCH(BA$9,'Vessel Profiles - Input'!$C$3:$L$3,0))</f>
        <v>240</v>
      </c>
      <c r="BB93" s="22">
        <f>INDEX('Vessel Profiles - Input'!$C:$L,MATCH($F93,'Vessel Profiles - Input'!$C:$C,0),MATCH(BB$9,'Vessel Profiles - Input'!$C$3:$L$3,0))</f>
        <v>240</v>
      </c>
      <c r="BC93" s="22">
        <f>INDEX('Vessel Profiles - Input'!$C:$L,MATCH($F93,'Vessel Profiles - Input'!$C:$C,0),MATCH(BC$9,'Vessel Profiles - Input'!$C$3:$L$3,0))</f>
        <v>240</v>
      </c>
      <c r="BD93" s="22">
        <f>INDEX('Vessel Profiles - Input'!$C:$L,MATCH($F93,'Vessel Profiles - Input'!$C:$C,0),MATCH(BD$9,'Vessel Profiles - Input'!$C$3:$L$3,0))</f>
        <v>240</v>
      </c>
      <c r="BE93" s="22">
        <f>INDEX('Vessel Profiles - Input'!$C:$L,MATCH($F93,'Vessel Profiles - Input'!$C:$C,0),MATCH(BE$9,'Vessel Profiles - Input'!$C$3:$L$3,0))</f>
        <v>240</v>
      </c>
      <c r="BF93" s="22">
        <f>INDEX('Vessel Profiles - Input'!$C:$L,MATCH($F93,'Vessel Profiles - Input'!$C:$C,0),MATCH(BF$9,'Vessel Profiles - Input'!$C$3:$L$3,0))</f>
        <v>240</v>
      </c>
      <c r="BL93" s="16" t="s">
        <v>307</v>
      </c>
      <c r="BM93" s="224" t="s">
        <v>305</v>
      </c>
      <c r="BN93" s="224" t="s">
        <v>308</v>
      </c>
      <c r="BO93" s="22">
        <f>INDEX('Vessel Profiles - Input'!$C:$L,MATCH($F93,'Vessel Profiles - Input'!$C:$C,0),MATCH(BO$9,'Vessel Profiles - Input'!$C$3:$L$3,0))</f>
        <v>240</v>
      </c>
      <c r="BP93" s="22">
        <f>INDEX('Vessel Profiles - Input'!$C:$L,MATCH($F93,'Vessel Profiles - Input'!$C:$C,0),MATCH(BP$9,'Vessel Profiles - Input'!$C$3:$L$3,0))</f>
        <v>240</v>
      </c>
      <c r="BQ93" s="22">
        <f>INDEX('Vessel Profiles - Input'!$C:$L,MATCH($F93,'Vessel Profiles - Input'!$C:$C,0),MATCH(BQ$9,'Vessel Profiles - Input'!$C$3:$L$3,0))</f>
        <v>240</v>
      </c>
      <c r="BR93" s="22">
        <f>INDEX('Vessel Profiles - Input'!$C:$L,MATCH($F93,'Vessel Profiles - Input'!$C:$C,0),MATCH(BR$9,'Vessel Profiles - Input'!$C$3:$L$3,0))</f>
        <v>240</v>
      </c>
      <c r="BS93" s="22">
        <f>INDEX('Vessel Profiles - Input'!$C:$L,MATCH($F93,'Vessel Profiles - Input'!$C:$C,0),MATCH(BS$9,'Vessel Profiles - Input'!$C$3:$L$3,0))</f>
        <v>240</v>
      </c>
      <c r="BT93" s="22">
        <f>INDEX('Vessel Profiles - Input'!$C:$L,MATCH($F93,'Vessel Profiles - Input'!$C:$C,0),MATCH(BT$9,'Vessel Profiles - Input'!$C$3:$L$3,0))</f>
        <v>240</v>
      </c>
      <c r="BU93" s="22">
        <f>INDEX('Vessel Profiles - Input'!$C:$L,MATCH($F93,'Vessel Profiles - Input'!$C:$C,0),MATCH(BU$9,'Vessel Profiles - Input'!$C$3:$L$3,0))</f>
        <v>240</v>
      </c>
      <c r="BV93" s="22">
        <f>INDEX('Vessel Profiles - Input'!$C:$L,MATCH($F93,'Vessel Profiles - Input'!$C:$C,0),MATCH(BV$9,'Vessel Profiles - Input'!$C$3:$L$3,0))</f>
        <v>240</v>
      </c>
      <c r="BW93" s="22">
        <f>INDEX('Vessel Profiles - Input'!$C:$L,MATCH($F93,'Vessel Profiles - Input'!$C:$C,0),MATCH(BW$9,'Vessel Profiles - Input'!$C$3:$L$3,0))</f>
        <v>240</v>
      </c>
      <c r="BX93" s="22">
        <f>INDEX('Vessel Profiles - Input'!$C:$L,MATCH($F93,'Vessel Profiles - Input'!$C:$C,0),MATCH(BX$9,'Vessel Profiles - Input'!$C$3:$L$3,0))</f>
        <v>240</v>
      </c>
      <c r="BY93" s="22">
        <f>INDEX('Vessel Profiles - Input'!$C:$L,MATCH($F93,'Vessel Profiles - Input'!$C:$C,0),MATCH(BY$9,'Vessel Profiles - Input'!$C$3:$L$3,0))</f>
        <v>240</v>
      </c>
      <c r="BZ93" s="22">
        <f>INDEX('Vessel Profiles - Input'!$C:$L,MATCH($F93,'Vessel Profiles - Input'!$C:$C,0),MATCH(BZ$9,'Vessel Profiles - Input'!$C$3:$L$3,0))</f>
        <v>240</v>
      </c>
      <c r="CF93" s="16" t="s">
        <v>307</v>
      </c>
      <c r="CG93" s="224" t="s">
        <v>305</v>
      </c>
      <c r="CH93" s="224" t="s">
        <v>308</v>
      </c>
      <c r="CI93" s="22">
        <f>INDEX('Vessel Profiles - Input'!$C:$L,MATCH($F93,'Vessel Profiles - Input'!$C:$C,0),MATCH(CI$9,'Vessel Profiles - Input'!$C$3:$L$3,0))</f>
        <v>240</v>
      </c>
      <c r="CJ93" s="22">
        <f>INDEX('Vessel Profiles - Input'!$C:$L,MATCH($F93,'Vessel Profiles - Input'!$C:$C,0),MATCH(CJ$9,'Vessel Profiles - Input'!$C$3:$L$3,0))</f>
        <v>240</v>
      </c>
      <c r="CK93" s="22">
        <f>INDEX('Vessel Profiles - Input'!$C:$L,MATCH($F93,'Vessel Profiles - Input'!$C:$C,0),MATCH(CK$9,'Vessel Profiles - Input'!$C$3:$L$3,0))</f>
        <v>240</v>
      </c>
      <c r="CL93" s="22">
        <f>INDEX('Vessel Profiles - Input'!$C:$L,MATCH($F93,'Vessel Profiles - Input'!$C:$C,0),MATCH(CL$9,'Vessel Profiles - Input'!$C$3:$L$3,0))</f>
        <v>240</v>
      </c>
      <c r="CM93" s="22">
        <f>INDEX('Vessel Profiles - Input'!$C:$L,MATCH($F93,'Vessel Profiles - Input'!$C:$C,0),MATCH(CM$9,'Vessel Profiles - Input'!$C$3:$L$3,0))</f>
        <v>240</v>
      </c>
      <c r="CN93" s="22">
        <f>INDEX('Vessel Profiles - Input'!$C:$L,MATCH($F93,'Vessel Profiles - Input'!$C:$C,0),MATCH(CN$9,'Vessel Profiles - Input'!$C$3:$L$3,0))</f>
        <v>240</v>
      </c>
      <c r="CO93" s="22">
        <f>INDEX('Vessel Profiles - Input'!$C:$L,MATCH($F93,'Vessel Profiles - Input'!$C:$C,0),MATCH(CO$9,'Vessel Profiles - Input'!$C$3:$L$3,0))</f>
        <v>240</v>
      </c>
      <c r="CP93" s="22">
        <f>INDEX('Vessel Profiles - Input'!$C:$L,MATCH($F93,'Vessel Profiles - Input'!$C:$C,0),MATCH(CP$9,'Vessel Profiles - Input'!$C$3:$L$3,0))</f>
        <v>240</v>
      </c>
      <c r="CQ93" s="22">
        <f>INDEX('Vessel Profiles - Input'!$C:$L,MATCH($F93,'Vessel Profiles - Input'!$C:$C,0),MATCH(CQ$9,'Vessel Profiles - Input'!$C$3:$L$3,0))</f>
        <v>240</v>
      </c>
      <c r="CR93" s="22">
        <f>INDEX('Vessel Profiles - Input'!$C:$L,MATCH($F93,'Vessel Profiles - Input'!$C:$C,0),MATCH(CR$9,'Vessel Profiles - Input'!$C$3:$L$3,0))</f>
        <v>240</v>
      </c>
      <c r="CS93" s="22">
        <f>INDEX('Vessel Profiles - Input'!$C:$L,MATCH($F93,'Vessel Profiles - Input'!$C:$C,0),MATCH(CS$9,'Vessel Profiles - Input'!$C$3:$L$3,0))</f>
        <v>240</v>
      </c>
      <c r="CT93" s="22">
        <f>INDEX('Vessel Profiles - Input'!$C:$L,MATCH($F93,'Vessel Profiles - Input'!$C:$C,0),MATCH(CT$9,'Vessel Profiles - Input'!$C$3:$L$3,0))</f>
        <v>240</v>
      </c>
    </row>
    <row r="94" spans="3:100" outlineLevel="1" x14ac:dyDescent="0.2">
      <c r="C94" s="3"/>
      <c r="D94" s="16" t="s">
        <v>309</v>
      </c>
      <c r="E94" s="224" t="s">
        <v>310</v>
      </c>
      <c r="G94" s="22">
        <f t="shared" ref="G94:R94" ca="1" si="416">G232*G126*G129/(SUMPRODUCT(G126:G127,G129:G130))</f>
        <v>2496.3728155339804</v>
      </c>
      <c r="H94" s="22">
        <f t="shared" ca="1" si="416"/>
        <v>2496.3728155339804</v>
      </c>
      <c r="I94" s="22">
        <f t="shared" ca="1" si="416"/>
        <v>2496.3728155339804</v>
      </c>
      <c r="J94" s="22">
        <f t="shared" ca="1" si="416"/>
        <v>2496.3728155339804</v>
      </c>
      <c r="K94" s="22">
        <f t="shared" ca="1" si="416"/>
        <v>2496.3728155339804</v>
      </c>
      <c r="L94" s="22">
        <f t="shared" ca="1" si="416"/>
        <v>2496.3728155339804</v>
      </c>
      <c r="M94" s="22">
        <f t="shared" ca="1" si="416"/>
        <v>2496.3728155339804</v>
      </c>
      <c r="N94" s="22">
        <f t="shared" ca="1" si="416"/>
        <v>2496.3728155339804</v>
      </c>
      <c r="O94" s="22">
        <f t="shared" ca="1" si="416"/>
        <v>2496.3728155339804</v>
      </c>
      <c r="P94" s="22">
        <f t="shared" ca="1" si="416"/>
        <v>2496.3728155339804</v>
      </c>
      <c r="Q94" s="22">
        <f t="shared" ca="1" si="416"/>
        <v>2496.3728155339804</v>
      </c>
      <c r="R94" s="22">
        <f t="shared" ca="1" si="416"/>
        <v>2496.3728155339804</v>
      </c>
      <c r="X94" s="16" t="s">
        <v>309</v>
      </c>
      <c r="Y94" s="224" t="s">
        <v>310</v>
      </c>
      <c r="AA94" s="22">
        <f t="shared" ref="AA94:AL94" ca="1" si="417">AA232*AA126*AA129/(SUMPRODUCT(AA126:AA127,AA129:AA130))</f>
        <v>2142.7199999999993</v>
      </c>
      <c r="AB94" s="22">
        <f t="shared" ca="1" si="417"/>
        <v>2142.7199999999993</v>
      </c>
      <c r="AC94" s="22">
        <f t="shared" ca="1" si="417"/>
        <v>2142.7199999999993</v>
      </c>
      <c r="AD94" s="22">
        <f t="shared" ca="1" si="417"/>
        <v>2142.7199999999993</v>
      </c>
      <c r="AE94" s="22">
        <f t="shared" ca="1" si="417"/>
        <v>2142.7199999999993</v>
      </c>
      <c r="AF94" s="22">
        <f t="shared" ca="1" si="417"/>
        <v>2142.7199999999993</v>
      </c>
      <c r="AG94" s="22">
        <f t="shared" ca="1" si="417"/>
        <v>2142.7199999999993</v>
      </c>
      <c r="AH94" s="22">
        <f t="shared" ca="1" si="417"/>
        <v>2142.7199999999993</v>
      </c>
      <c r="AI94" s="22">
        <f t="shared" ca="1" si="417"/>
        <v>2142.7199999999993</v>
      </c>
      <c r="AJ94" s="22">
        <f t="shared" ca="1" si="417"/>
        <v>2142.7199999999993</v>
      </c>
      <c r="AK94" s="22">
        <f t="shared" ca="1" si="417"/>
        <v>2142.7199999999993</v>
      </c>
      <c r="AL94" s="22">
        <f t="shared" ca="1" si="417"/>
        <v>2142.7199999999993</v>
      </c>
      <c r="AR94" s="16" t="s">
        <v>309</v>
      </c>
      <c r="AS94" s="224" t="s">
        <v>310</v>
      </c>
      <c r="AU94" s="22">
        <f t="shared" ref="AU94:BF94" ca="1" si="418">AU232*AU126*AU129/(SUMPRODUCT(AU126:AU127,AU129:AU130))</f>
        <v>5470.7744680851074</v>
      </c>
      <c r="AV94" s="22">
        <f t="shared" ca="1" si="418"/>
        <v>5470.7744680851074</v>
      </c>
      <c r="AW94" s="22">
        <f t="shared" ca="1" si="418"/>
        <v>5470.7744680851074</v>
      </c>
      <c r="AX94" s="22">
        <f t="shared" ca="1" si="418"/>
        <v>5470.7744680851074</v>
      </c>
      <c r="AY94" s="22">
        <f t="shared" ca="1" si="418"/>
        <v>5470.7744680851074</v>
      </c>
      <c r="AZ94" s="22">
        <f t="shared" ca="1" si="418"/>
        <v>5470.7744680851074</v>
      </c>
      <c r="BA94" s="22">
        <f t="shared" ca="1" si="418"/>
        <v>5470.7744680851074</v>
      </c>
      <c r="BB94" s="22">
        <f t="shared" ca="1" si="418"/>
        <v>5470.7744680851074</v>
      </c>
      <c r="BC94" s="22">
        <f t="shared" ca="1" si="418"/>
        <v>5470.7744680851074</v>
      </c>
      <c r="BD94" s="22">
        <f t="shared" ca="1" si="418"/>
        <v>5470.7744680851074</v>
      </c>
      <c r="BE94" s="22">
        <f t="shared" ca="1" si="418"/>
        <v>5470.7744680851074</v>
      </c>
      <c r="BF94" s="22">
        <f t="shared" ca="1" si="418"/>
        <v>5470.7744680851074</v>
      </c>
      <c r="BL94" s="16" t="s">
        <v>309</v>
      </c>
      <c r="BM94" s="224" t="s">
        <v>310</v>
      </c>
      <c r="BO94" s="22">
        <f t="shared" ref="BO94:BZ94" ca="1" si="419">BO232*BO126*BO129/(SUMPRODUCT(BO126:BO127,BO129:BO130))</f>
        <v>5470.7744680851074</v>
      </c>
      <c r="BP94" s="22">
        <f t="shared" ca="1" si="419"/>
        <v>5470.7744680851074</v>
      </c>
      <c r="BQ94" s="22">
        <f t="shared" ca="1" si="419"/>
        <v>5470.7744680851074</v>
      </c>
      <c r="BR94" s="22">
        <f t="shared" ca="1" si="419"/>
        <v>5470.7744680851074</v>
      </c>
      <c r="BS94" s="22">
        <f t="shared" ca="1" si="419"/>
        <v>5470.7744680851074</v>
      </c>
      <c r="BT94" s="22">
        <f t="shared" ca="1" si="419"/>
        <v>5470.7744680851074</v>
      </c>
      <c r="BU94" s="22">
        <f t="shared" ca="1" si="419"/>
        <v>5470.7744680851074</v>
      </c>
      <c r="BV94" s="22">
        <f t="shared" ca="1" si="419"/>
        <v>5470.7744680851074</v>
      </c>
      <c r="BW94" s="22">
        <f t="shared" ca="1" si="419"/>
        <v>5470.7744680851074</v>
      </c>
      <c r="BX94" s="22">
        <f t="shared" ca="1" si="419"/>
        <v>5470.7744680851074</v>
      </c>
      <c r="BY94" s="22">
        <f t="shared" ca="1" si="419"/>
        <v>5470.7744680851074</v>
      </c>
      <c r="BZ94" s="22">
        <f t="shared" ca="1" si="419"/>
        <v>5470.7744680851074</v>
      </c>
      <c r="CF94" s="16" t="s">
        <v>309</v>
      </c>
      <c r="CG94" s="224" t="s">
        <v>310</v>
      </c>
      <c r="CI94" s="22">
        <f t="shared" ref="CI94:CT94" ca="1" si="420">CI232*CI126*CI129/(SUMPRODUCT(CI126:CI127,CI129:CI130))</f>
        <v>5168.3698492462299</v>
      </c>
      <c r="CJ94" s="22">
        <f t="shared" ca="1" si="420"/>
        <v>5168.3698492462299</v>
      </c>
      <c r="CK94" s="22">
        <f t="shared" ca="1" si="420"/>
        <v>5168.3698492462299</v>
      </c>
      <c r="CL94" s="22">
        <f t="shared" ca="1" si="420"/>
        <v>5168.3698492462299</v>
      </c>
      <c r="CM94" s="22">
        <f t="shared" ca="1" si="420"/>
        <v>5168.3698492462299</v>
      </c>
      <c r="CN94" s="22">
        <f t="shared" ca="1" si="420"/>
        <v>5168.3698492462299</v>
      </c>
      <c r="CO94" s="22">
        <f t="shared" ca="1" si="420"/>
        <v>5168.3698492462299</v>
      </c>
      <c r="CP94" s="22">
        <f t="shared" ca="1" si="420"/>
        <v>5168.3698492462299</v>
      </c>
      <c r="CQ94" s="22">
        <f t="shared" ca="1" si="420"/>
        <v>5168.3698492462299</v>
      </c>
      <c r="CR94" s="22">
        <f t="shared" ca="1" si="420"/>
        <v>5168.3698492462299</v>
      </c>
      <c r="CS94" s="22">
        <f t="shared" ca="1" si="420"/>
        <v>5168.3698492462299</v>
      </c>
      <c r="CT94" s="22">
        <f t="shared" ca="1" si="420"/>
        <v>5168.3698492462299</v>
      </c>
    </row>
    <row r="95" spans="3:100" s="266" customFormat="1" outlineLevel="1" x14ac:dyDescent="0.2">
      <c r="C95" s="285"/>
      <c r="D95" s="285" t="s">
        <v>315</v>
      </c>
      <c r="E95" s="282" t="s">
        <v>211</v>
      </c>
      <c r="F95" s="282"/>
      <c r="G95" s="293">
        <f t="shared" ref="G95:R95" ca="1" si="421">(G96+G97+G98+G99)/$F$4</f>
        <v>34000</v>
      </c>
      <c r="H95" s="293">
        <f t="shared" ca="1" si="421"/>
        <v>34000</v>
      </c>
      <c r="I95" s="293">
        <f t="shared" ca="1" si="421"/>
        <v>34000</v>
      </c>
      <c r="J95" s="293">
        <f t="shared" ca="1" si="421"/>
        <v>34000</v>
      </c>
      <c r="K95" s="293">
        <f t="shared" ca="1" si="421"/>
        <v>34000</v>
      </c>
      <c r="L95" s="293">
        <f t="shared" ca="1" si="421"/>
        <v>34000</v>
      </c>
      <c r="M95" s="293">
        <f t="shared" ca="1" si="421"/>
        <v>34000</v>
      </c>
      <c r="N95" s="293">
        <f t="shared" ca="1" si="421"/>
        <v>34000</v>
      </c>
      <c r="O95" s="293">
        <f t="shared" ca="1" si="421"/>
        <v>34000</v>
      </c>
      <c r="P95" s="293">
        <f t="shared" ca="1" si="421"/>
        <v>34000</v>
      </c>
      <c r="Q95" s="293">
        <f t="shared" ca="1" si="421"/>
        <v>34000</v>
      </c>
      <c r="R95" s="293">
        <f t="shared" ca="1" si="421"/>
        <v>34000</v>
      </c>
      <c r="X95" s="285" t="s">
        <v>315</v>
      </c>
      <c r="Y95" s="282" t="s">
        <v>211</v>
      </c>
      <c r="Z95" s="282"/>
      <c r="AA95" s="293">
        <f t="shared" ref="AA95:AL95" ca="1" si="422">(AA96+AA97+AA98+AA99)/$F$4</f>
        <v>603100</v>
      </c>
      <c r="AB95" s="293">
        <f t="shared" ca="1" si="422"/>
        <v>603100</v>
      </c>
      <c r="AC95" s="293">
        <f t="shared" ca="1" si="422"/>
        <v>603100</v>
      </c>
      <c r="AD95" s="293">
        <f t="shared" ca="1" si="422"/>
        <v>603100</v>
      </c>
      <c r="AE95" s="293">
        <f t="shared" ca="1" si="422"/>
        <v>603100</v>
      </c>
      <c r="AF95" s="293">
        <f t="shared" ca="1" si="422"/>
        <v>603100</v>
      </c>
      <c r="AG95" s="293">
        <f t="shared" ca="1" si="422"/>
        <v>603100</v>
      </c>
      <c r="AH95" s="293">
        <f t="shared" ca="1" si="422"/>
        <v>603100</v>
      </c>
      <c r="AI95" s="293">
        <f t="shared" ca="1" si="422"/>
        <v>603100</v>
      </c>
      <c r="AJ95" s="293">
        <f t="shared" ca="1" si="422"/>
        <v>603100</v>
      </c>
      <c r="AK95" s="293">
        <f t="shared" ca="1" si="422"/>
        <v>603100</v>
      </c>
      <c r="AL95" s="293">
        <f t="shared" ca="1" si="422"/>
        <v>603100</v>
      </c>
      <c r="AR95" s="285" t="s">
        <v>315</v>
      </c>
      <c r="AS95" s="282" t="s">
        <v>211</v>
      </c>
      <c r="AT95" s="282"/>
      <c r="AU95" s="293">
        <f t="shared" ref="AU95:BF95" ca="1" si="423">(AU96+AU97+AU98+AU99)/$F$4</f>
        <v>501500</v>
      </c>
      <c r="AV95" s="293">
        <f t="shared" ca="1" si="423"/>
        <v>501500</v>
      </c>
      <c r="AW95" s="293">
        <f t="shared" ca="1" si="423"/>
        <v>501500</v>
      </c>
      <c r="AX95" s="293">
        <f t="shared" ca="1" si="423"/>
        <v>501500</v>
      </c>
      <c r="AY95" s="293">
        <f t="shared" ca="1" si="423"/>
        <v>501500</v>
      </c>
      <c r="AZ95" s="293">
        <f t="shared" ca="1" si="423"/>
        <v>501500</v>
      </c>
      <c r="BA95" s="293">
        <f t="shared" ca="1" si="423"/>
        <v>501500</v>
      </c>
      <c r="BB95" s="293">
        <f t="shared" ca="1" si="423"/>
        <v>501500</v>
      </c>
      <c r="BC95" s="293">
        <f t="shared" ca="1" si="423"/>
        <v>501500</v>
      </c>
      <c r="BD95" s="293">
        <f t="shared" ca="1" si="423"/>
        <v>501500</v>
      </c>
      <c r="BE95" s="293">
        <f t="shared" ca="1" si="423"/>
        <v>501500</v>
      </c>
      <c r="BF95" s="293">
        <f t="shared" ca="1" si="423"/>
        <v>501500</v>
      </c>
      <c r="BG95"/>
      <c r="BH95"/>
      <c r="BL95" s="285" t="s">
        <v>315</v>
      </c>
      <c r="BM95" s="282" t="s">
        <v>211</v>
      </c>
      <c r="BN95" s="282"/>
      <c r="BO95" s="293">
        <f t="shared" ref="BO95:BZ95" ca="1" si="424">(BO96+BO97+BO98+BO99)/$F$4</f>
        <v>501500</v>
      </c>
      <c r="BP95" s="293">
        <f t="shared" ca="1" si="424"/>
        <v>501500</v>
      </c>
      <c r="BQ95" s="293">
        <f t="shared" ca="1" si="424"/>
        <v>501500</v>
      </c>
      <c r="BR95" s="293">
        <f t="shared" ca="1" si="424"/>
        <v>501500</v>
      </c>
      <c r="BS95" s="293">
        <f t="shared" ca="1" si="424"/>
        <v>501500</v>
      </c>
      <c r="BT95" s="293">
        <f t="shared" ca="1" si="424"/>
        <v>501500</v>
      </c>
      <c r="BU95" s="293">
        <f t="shared" ca="1" si="424"/>
        <v>501500</v>
      </c>
      <c r="BV95" s="293">
        <f t="shared" ca="1" si="424"/>
        <v>501500</v>
      </c>
      <c r="BW95" s="293">
        <f t="shared" ca="1" si="424"/>
        <v>501500</v>
      </c>
      <c r="BX95" s="293">
        <f t="shared" ca="1" si="424"/>
        <v>501500</v>
      </c>
      <c r="BY95" s="293">
        <f t="shared" ca="1" si="424"/>
        <v>501500</v>
      </c>
      <c r="BZ95" s="293">
        <f t="shared" ca="1" si="424"/>
        <v>501500</v>
      </c>
      <c r="CA95"/>
      <c r="CB95"/>
      <c r="CF95" s="285" t="s">
        <v>315</v>
      </c>
      <c r="CG95" s="282" t="s">
        <v>211</v>
      </c>
      <c r="CH95" s="282"/>
      <c r="CI95" s="293">
        <f t="shared" ref="CI95:CT95" ca="1" si="425">(CI96+CI97+CI98+CI99)/$F$4</f>
        <v>436500</v>
      </c>
      <c r="CJ95" s="293">
        <f t="shared" ca="1" si="425"/>
        <v>436500</v>
      </c>
      <c r="CK95" s="293">
        <f t="shared" ca="1" si="425"/>
        <v>436500</v>
      </c>
      <c r="CL95" s="293">
        <f t="shared" ca="1" si="425"/>
        <v>436500</v>
      </c>
      <c r="CM95" s="293">
        <f t="shared" ca="1" si="425"/>
        <v>436500</v>
      </c>
      <c r="CN95" s="293">
        <f t="shared" ca="1" si="425"/>
        <v>436500</v>
      </c>
      <c r="CO95" s="293">
        <f t="shared" ca="1" si="425"/>
        <v>436500</v>
      </c>
      <c r="CP95" s="293">
        <f t="shared" ca="1" si="425"/>
        <v>436500</v>
      </c>
      <c r="CQ95" s="293">
        <f t="shared" ca="1" si="425"/>
        <v>436500</v>
      </c>
      <c r="CR95" s="293">
        <f t="shared" ca="1" si="425"/>
        <v>436500</v>
      </c>
      <c r="CS95" s="293">
        <f t="shared" ca="1" si="425"/>
        <v>436500</v>
      </c>
      <c r="CT95" s="293">
        <f t="shared" ca="1" si="425"/>
        <v>436500</v>
      </c>
      <c r="CU95"/>
      <c r="CV95"/>
    </row>
    <row r="96" spans="3:100" outlineLevel="1" x14ac:dyDescent="0.2">
      <c r="C96" s="3"/>
      <c r="D96" s="12" t="s">
        <v>316</v>
      </c>
      <c r="E96" s="224" t="s">
        <v>275</v>
      </c>
      <c r="F96" s="224" t="str">
        <f>_xlfn.TEXTJOIN(keydelim,TRUE,"Primary fuel",$D96)</f>
        <v>Primary fuel - Supply system cost fixed</v>
      </c>
      <c r="G96" s="22">
        <f t="shared" ref="G96:R96" ca="1" si="426">INDEX(tbl_TCO_input,MATCH(
_xlfn.TEXTJOIN(keydelim,TRUE,G$23,$D96),rows_TCO_ID,0),MATCH(G$6,cols_TCO_input,0))</f>
        <v>100000</v>
      </c>
      <c r="H96" s="22">
        <f t="shared" ca="1" si="426"/>
        <v>100000</v>
      </c>
      <c r="I96" s="22">
        <f t="shared" ca="1" si="426"/>
        <v>100000</v>
      </c>
      <c r="J96" s="22">
        <f t="shared" ca="1" si="426"/>
        <v>100000</v>
      </c>
      <c r="K96" s="22">
        <f t="shared" ca="1" si="426"/>
        <v>100000</v>
      </c>
      <c r="L96" s="22">
        <f t="shared" ca="1" si="426"/>
        <v>100000</v>
      </c>
      <c r="M96" s="22">
        <f t="shared" ca="1" si="426"/>
        <v>100000</v>
      </c>
      <c r="N96" s="22">
        <f t="shared" ca="1" si="426"/>
        <v>100000</v>
      </c>
      <c r="O96" s="22">
        <f t="shared" ca="1" si="426"/>
        <v>100000</v>
      </c>
      <c r="P96" s="22">
        <f t="shared" ca="1" si="426"/>
        <v>100000</v>
      </c>
      <c r="Q96" s="22">
        <f t="shared" ca="1" si="426"/>
        <v>100000</v>
      </c>
      <c r="R96" s="22">
        <f t="shared" ca="1" si="426"/>
        <v>100000</v>
      </c>
      <c r="X96" s="12" t="s">
        <v>316</v>
      </c>
      <c r="Y96" s="224" t="s">
        <v>275</v>
      </c>
      <c r="Z96" s="224" t="str">
        <f>_xlfn.TEXTJOIN(keydelim,TRUE,"Primary fuel",$D96)</f>
        <v>Primary fuel - Supply system cost fixed</v>
      </c>
      <c r="AA96" s="22">
        <f t="shared" ref="AA96:AL96" ca="1" si="427">INDEX(tbl_TCO_input,MATCH(
_xlfn.TEXTJOIN(keydelim,TRUE,AA$23,$D96),rows_TCO_ID,0),MATCH(AA$6,cols_TCO_input,0))</f>
        <v>120000</v>
      </c>
      <c r="AB96" s="22">
        <f t="shared" ca="1" si="427"/>
        <v>120000</v>
      </c>
      <c r="AC96" s="22">
        <f t="shared" ca="1" si="427"/>
        <v>120000</v>
      </c>
      <c r="AD96" s="22">
        <f t="shared" ca="1" si="427"/>
        <v>120000</v>
      </c>
      <c r="AE96" s="22">
        <f t="shared" ca="1" si="427"/>
        <v>120000</v>
      </c>
      <c r="AF96" s="22">
        <f t="shared" ca="1" si="427"/>
        <v>120000</v>
      </c>
      <c r="AG96" s="22">
        <f t="shared" ca="1" si="427"/>
        <v>120000</v>
      </c>
      <c r="AH96" s="22">
        <f t="shared" ca="1" si="427"/>
        <v>120000</v>
      </c>
      <c r="AI96" s="22">
        <f t="shared" ca="1" si="427"/>
        <v>120000</v>
      </c>
      <c r="AJ96" s="22">
        <f t="shared" ca="1" si="427"/>
        <v>120000</v>
      </c>
      <c r="AK96" s="22">
        <f t="shared" ca="1" si="427"/>
        <v>120000</v>
      </c>
      <c r="AL96" s="22">
        <f t="shared" ca="1" si="427"/>
        <v>120000</v>
      </c>
      <c r="AR96" s="12" t="s">
        <v>316</v>
      </c>
      <c r="AS96" s="224" t="s">
        <v>275</v>
      </c>
      <c r="AT96" s="224" t="str">
        <f>_xlfn.TEXTJOIN(keydelim,TRUE,"Primary fuel",$D96)</f>
        <v>Primary fuel - Supply system cost fixed</v>
      </c>
      <c r="AU96" s="22">
        <f t="shared" ref="AU96:BF96" ca="1" si="428">INDEX(tbl_TCO_input,MATCH(
_xlfn.TEXTJOIN(keydelim,TRUE,AU$23,$D96),rows_TCO_ID,0),MATCH(AU$6,cols_TCO_input,0))</f>
        <v>1000000</v>
      </c>
      <c r="AV96" s="22">
        <f t="shared" ca="1" si="428"/>
        <v>1000000</v>
      </c>
      <c r="AW96" s="22">
        <f t="shared" ca="1" si="428"/>
        <v>1000000</v>
      </c>
      <c r="AX96" s="22">
        <f t="shared" ca="1" si="428"/>
        <v>1000000</v>
      </c>
      <c r="AY96" s="22">
        <f t="shared" ca="1" si="428"/>
        <v>1000000</v>
      </c>
      <c r="AZ96" s="22">
        <f t="shared" ca="1" si="428"/>
        <v>1000000</v>
      </c>
      <c r="BA96" s="22">
        <f t="shared" ca="1" si="428"/>
        <v>1000000</v>
      </c>
      <c r="BB96" s="22">
        <f t="shared" ca="1" si="428"/>
        <v>1000000</v>
      </c>
      <c r="BC96" s="22">
        <f t="shared" ca="1" si="428"/>
        <v>1000000</v>
      </c>
      <c r="BD96" s="22">
        <f t="shared" ca="1" si="428"/>
        <v>1000000</v>
      </c>
      <c r="BE96" s="22">
        <f t="shared" ca="1" si="428"/>
        <v>1000000</v>
      </c>
      <c r="BF96" s="22">
        <f t="shared" ca="1" si="428"/>
        <v>1000000</v>
      </c>
      <c r="BL96" s="12" t="s">
        <v>316</v>
      </c>
      <c r="BM96" s="224" t="s">
        <v>275</v>
      </c>
      <c r="BN96" s="224" t="str">
        <f>_xlfn.TEXTJOIN(keydelim,TRUE,"Primary fuel",$D96)</f>
        <v>Primary fuel - Supply system cost fixed</v>
      </c>
      <c r="BO96" s="22">
        <f t="shared" ref="BO96:BZ96" ca="1" si="429">INDEX(tbl_TCO_input,MATCH(
_xlfn.TEXTJOIN(keydelim,TRUE,BO$23,$D96),rows_TCO_ID,0),MATCH(BO$6,cols_TCO_input,0))</f>
        <v>1000000</v>
      </c>
      <c r="BP96" s="22">
        <f t="shared" ca="1" si="429"/>
        <v>1000000</v>
      </c>
      <c r="BQ96" s="22">
        <f t="shared" ca="1" si="429"/>
        <v>1000000</v>
      </c>
      <c r="BR96" s="22">
        <f t="shared" ca="1" si="429"/>
        <v>1000000</v>
      </c>
      <c r="BS96" s="22">
        <f t="shared" ca="1" si="429"/>
        <v>1000000</v>
      </c>
      <c r="BT96" s="22">
        <f t="shared" ca="1" si="429"/>
        <v>1000000</v>
      </c>
      <c r="BU96" s="22">
        <f t="shared" ca="1" si="429"/>
        <v>1000000</v>
      </c>
      <c r="BV96" s="22">
        <f t="shared" ca="1" si="429"/>
        <v>1000000</v>
      </c>
      <c r="BW96" s="22">
        <f t="shared" ca="1" si="429"/>
        <v>1000000</v>
      </c>
      <c r="BX96" s="22">
        <f t="shared" ca="1" si="429"/>
        <v>1000000</v>
      </c>
      <c r="BY96" s="22">
        <f t="shared" ca="1" si="429"/>
        <v>1000000</v>
      </c>
      <c r="BZ96" s="22">
        <f t="shared" ca="1" si="429"/>
        <v>1000000</v>
      </c>
      <c r="CF96" s="12" t="s">
        <v>316</v>
      </c>
      <c r="CG96" s="224" t="s">
        <v>275</v>
      </c>
      <c r="CH96" s="224" t="str">
        <f>_xlfn.TEXTJOIN(keydelim,TRUE,"Primary fuel",$D96)</f>
        <v>Primary fuel - Supply system cost fixed</v>
      </c>
      <c r="CI96" s="22">
        <f t="shared" ref="CI96:CT96" ca="1" si="430">INDEX(tbl_TCO_input,MATCH(
_xlfn.TEXTJOIN(keydelim,TRUE,CI$23,$D96),rows_TCO_ID,0),MATCH(CI$6,cols_TCO_input,0))</f>
        <v>800000</v>
      </c>
      <c r="CJ96" s="22">
        <f t="shared" ca="1" si="430"/>
        <v>800000</v>
      </c>
      <c r="CK96" s="22">
        <f t="shared" ca="1" si="430"/>
        <v>800000</v>
      </c>
      <c r="CL96" s="22">
        <f t="shared" ca="1" si="430"/>
        <v>800000</v>
      </c>
      <c r="CM96" s="22">
        <f t="shared" ca="1" si="430"/>
        <v>800000</v>
      </c>
      <c r="CN96" s="22">
        <f t="shared" ca="1" si="430"/>
        <v>800000</v>
      </c>
      <c r="CO96" s="22">
        <f t="shared" ca="1" si="430"/>
        <v>800000</v>
      </c>
      <c r="CP96" s="22">
        <f t="shared" ca="1" si="430"/>
        <v>800000</v>
      </c>
      <c r="CQ96" s="22">
        <f t="shared" ca="1" si="430"/>
        <v>800000</v>
      </c>
      <c r="CR96" s="22">
        <f t="shared" ca="1" si="430"/>
        <v>800000</v>
      </c>
      <c r="CS96" s="22">
        <f t="shared" ca="1" si="430"/>
        <v>800000</v>
      </c>
      <c r="CT96" s="22">
        <f t="shared" ca="1" si="430"/>
        <v>800000</v>
      </c>
    </row>
    <row r="97" spans="2:100" outlineLevel="1" x14ac:dyDescent="0.2">
      <c r="C97" s="3"/>
      <c r="D97" s="12" t="s">
        <v>316</v>
      </c>
      <c r="E97" s="224" t="s">
        <v>275</v>
      </c>
      <c r="F97" s="224" t="str">
        <f>_xlfn.TEXTJOIN(keydelim,TRUE,"Secondary Fuel",$D97)</f>
        <v>Secondary Fuel - Supply system cost fixed</v>
      </c>
      <c r="G97" s="22">
        <f t="shared" ref="G97:R97" si="431">IF(AND(G$24&lt;&gt;G$23,G$17&lt;1),
INDEX(tbl_TCO_input,MATCH(_xlfn.TEXTJOIN(keydelim,TRUE,G$24,$D97),rows_TCO_ID,0),MATCH(G$6,cols_TCO_input,0)),0)</f>
        <v>0</v>
      </c>
      <c r="H97" s="22">
        <f t="shared" si="431"/>
        <v>0</v>
      </c>
      <c r="I97" s="22">
        <f t="shared" si="431"/>
        <v>0</v>
      </c>
      <c r="J97" s="22">
        <f t="shared" si="431"/>
        <v>0</v>
      </c>
      <c r="K97" s="22">
        <f t="shared" si="431"/>
        <v>0</v>
      </c>
      <c r="L97" s="22">
        <f t="shared" si="431"/>
        <v>0</v>
      </c>
      <c r="M97" s="22">
        <f t="shared" si="431"/>
        <v>0</v>
      </c>
      <c r="N97" s="22">
        <f t="shared" si="431"/>
        <v>0</v>
      </c>
      <c r="O97" s="22">
        <f t="shared" si="431"/>
        <v>0</v>
      </c>
      <c r="P97" s="22">
        <f t="shared" si="431"/>
        <v>0</v>
      </c>
      <c r="Q97" s="22">
        <f t="shared" si="431"/>
        <v>0</v>
      </c>
      <c r="R97" s="22">
        <f t="shared" si="431"/>
        <v>0</v>
      </c>
      <c r="X97" s="12" t="s">
        <v>316</v>
      </c>
      <c r="Y97" s="224" t="s">
        <v>275</v>
      </c>
      <c r="Z97" s="224" t="str">
        <f>_xlfn.TEXTJOIN(keydelim,TRUE,"Secondary Fuel",$D97)</f>
        <v>Secondary Fuel - Supply system cost fixed</v>
      </c>
      <c r="AA97" s="22">
        <f t="shared" ref="AA97:AL97" ca="1" si="432">IF(AND(AA$24&lt;&gt;AA$23,AA$17&lt;1),
INDEX(tbl_TCO_input,MATCH(_xlfn.TEXTJOIN(keydelim,TRUE,AA$24,$D97),rows_TCO_ID,0),MATCH(AA$6,cols_TCO_input,0)),0)</f>
        <v>100000</v>
      </c>
      <c r="AB97" s="22">
        <f t="shared" ca="1" si="432"/>
        <v>100000</v>
      </c>
      <c r="AC97" s="22">
        <f t="shared" ca="1" si="432"/>
        <v>100000</v>
      </c>
      <c r="AD97" s="22">
        <f t="shared" ca="1" si="432"/>
        <v>100000</v>
      </c>
      <c r="AE97" s="22">
        <f t="shared" ca="1" si="432"/>
        <v>100000</v>
      </c>
      <c r="AF97" s="22">
        <f t="shared" ca="1" si="432"/>
        <v>100000</v>
      </c>
      <c r="AG97" s="22">
        <f t="shared" ca="1" si="432"/>
        <v>100000</v>
      </c>
      <c r="AH97" s="22">
        <f t="shared" ca="1" si="432"/>
        <v>100000</v>
      </c>
      <c r="AI97" s="22">
        <f t="shared" ca="1" si="432"/>
        <v>100000</v>
      </c>
      <c r="AJ97" s="22">
        <f t="shared" ca="1" si="432"/>
        <v>100000</v>
      </c>
      <c r="AK97" s="22">
        <f t="shared" ca="1" si="432"/>
        <v>100000</v>
      </c>
      <c r="AL97" s="22">
        <f t="shared" ca="1" si="432"/>
        <v>100000</v>
      </c>
      <c r="AR97" s="12" t="s">
        <v>316</v>
      </c>
      <c r="AS97" s="224" t="s">
        <v>275</v>
      </c>
      <c r="AT97" s="224" t="str">
        <f>_xlfn.TEXTJOIN(keydelim,TRUE,"Secondary Fuel",$D97)</f>
        <v>Secondary Fuel - Supply system cost fixed</v>
      </c>
      <c r="AU97" s="22">
        <f t="shared" ref="AU97:BF97" ca="1" si="433">IF(AND(AU$24&lt;&gt;AU$23,AU$17&lt;1),
INDEX(tbl_TCO_input,MATCH(_xlfn.TEXTJOIN(keydelim,TRUE,AU$24,$D97),rows_TCO_ID,0),MATCH(AU$6,cols_TCO_input,0)),0)</f>
        <v>100000</v>
      </c>
      <c r="AV97" s="22">
        <f t="shared" ca="1" si="433"/>
        <v>100000</v>
      </c>
      <c r="AW97" s="22">
        <f t="shared" ca="1" si="433"/>
        <v>100000</v>
      </c>
      <c r="AX97" s="22">
        <f t="shared" ca="1" si="433"/>
        <v>100000</v>
      </c>
      <c r="AY97" s="22">
        <f t="shared" ca="1" si="433"/>
        <v>100000</v>
      </c>
      <c r="AZ97" s="22">
        <f t="shared" ca="1" si="433"/>
        <v>100000</v>
      </c>
      <c r="BA97" s="22">
        <f t="shared" ca="1" si="433"/>
        <v>100000</v>
      </c>
      <c r="BB97" s="22">
        <f t="shared" ca="1" si="433"/>
        <v>100000</v>
      </c>
      <c r="BC97" s="22">
        <f t="shared" ca="1" si="433"/>
        <v>100000</v>
      </c>
      <c r="BD97" s="22">
        <f t="shared" ca="1" si="433"/>
        <v>100000</v>
      </c>
      <c r="BE97" s="22">
        <f t="shared" ca="1" si="433"/>
        <v>100000</v>
      </c>
      <c r="BF97" s="22">
        <f t="shared" ca="1" si="433"/>
        <v>100000</v>
      </c>
      <c r="BL97" s="12" t="s">
        <v>316</v>
      </c>
      <c r="BM97" s="224" t="s">
        <v>275</v>
      </c>
      <c r="BN97" s="224" t="str">
        <f>_xlfn.TEXTJOIN(keydelim,TRUE,"Secondary Fuel",$D97)</f>
        <v>Secondary Fuel - Supply system cost fixed</v>
      </c>
      <c r="BO97" s="22">
        <f t="shared" ref="BO97:BZ97" ca="1" si="434">IF(AND(BO$24&lt;&gt;BO$23,BO$17&lt;1),
INDEX(tbl_TCO_input,MATCH(_xlfn.TEXTJOIN(keydelim,TRUE,BO$24,$D97),rows_TCO_ID,0),MATCH(BO$6,cols_TCO_input,0)),0)</f>
        <v>100000</v>
      </c>
      <c r="BP97" s="22">
        <f t="shared" ca="1" si="434"/>
        <v>100000</v>
      </c>
      <c r="BQ97" s="22">
        <f t="shared" ca="1" si="434"/>
        <v>100000</v>
      </c>
      <c r="BR97" s="22">
        <f t="shared" ca="1" si="434"/>
        <v>100000</v>
      </c>
      <c r="BS97" s="22">
        <f t="shared" ca="1" si="434"/>
        <v>100000</v>
      </c>
      <c r="BT97" s="22">
        <f t="shared" ca="1" si="434"/>
        <v>100000</v>
      </c>
      <c r="BU97" s="22">
        <f t="shared" ca="1" si="434"/>
        <v>100000</v>
      </c>
      <c r="BV97" s="22">
        <f t="shared" ca="1" si="434"/>
        <v>100000</v>
      </c>
      <c r="BW97" s="22">
        <f t="shared" ca="1" si="434"/>
        <v>100000</v>
      </c>
      <c r="BX97" s="22">
        <f t="shared" ca="1" si="434"/>
        <v>100000</v>
      </c>
      <c r="BY97" s="22">
        <f t="shared" ca="1" si="434"/>
        <v>100000</v>
      </c>
      <c r="BZ97" s="22">
        <f t="shared" ca="1" si="434"/>
        <v>100000</v>
      </c>
      <c r="CF97" s="12" t="s">
        <v>316</v>
      </c>
      <c r="CG97" s="224" t="s">
        <v>275</v>
      </c>
      <c r="CH97" s="224" t="str">
        <f>_xlfn.TEXTJOIN(keydelim,TRUE,"Secondary Fuel",$D97)</f>
        <v>Secondary Fuel - Supply system cost fixed</v>
      </c>
      <c r="CI97" s="22">
        <f t="shared" ref="CI97:CT97" ca="1" si="435">IF(AND(CI$24&lt;&gt;CI$23,CI$17&lt;1),
INDEX(tbl_TCO_input,MATCH(_xlfn.TEXTJOIN(keydelim,TRUE,CI$24,$D97),rows_TCO_ID,0),MATCH(CI$6,cols_TCO_input,0)),0)</f>
        <v>100000</v>
      </c>
      <c r="CJ97" s="22">
        <f t="shared" ca="1" si="435"/>
        <v>100000</v>
      </c>
      <c r="CK97" s="22">
        <f t="shared" ca="1" si="435"/>
        <v>100000</v>
      </c>
      <c r="CL97" s="22">
        <f t="shared" ca="1" si="435"/>
        <v>100000</v>
      </c>
      <c r="CM97" s="22">
        <f t="shared" ca="1" si="435"/>
        <v>100000</v>
      </c>
      <c r="CN97" s="22">
        <f t="shared" ca="1" si="435"/>
        <v>100000</v>
      </c>
      <c r="CO97" s="22">
        <f t="shared" ca="1" si="435"/>
        <v>100000</v>
      </c>
      <c r="CP97" s="22">
        <f t="shared" ca="1" si="435"/>
        <v>100000</v>
      </c>
      <c r="CQ97" s="22">
        <f t="shared" ca="1" si="435"/>
        <v>100000</v>
      </c>
      <c r="CR97" s="22">
        <f t="shared" ca="1" si="435"/>
        <v>100000</v>
      </c>
      <c r="CS97" s="22">
        <f t="shared" ca="1" si="435"/>
        <v>100000</v>
      </c>
      <c r="CT97" s="22">
        <f t="shared" ca="1" si="435"/>
        <v>100000</v>
      </c>
    </row>
    <row r="98" spans="2:100" outlineLevel="1" x14ac:dyDescent="0.2">
      <c r="C98" s="3"/>
      <c r="D98" s="12" t="s">
        <v>317</v>
      </c>
      <c r="E98" s="224" t="s">
        <v>275</v>
      </c>
      <c r="F98" s="224" t="str">
        <f>_xlfn.TEXTJOIN(keydelim,TRUE,"Primary fuel",$D98)</f>
        <v>Primary fuel - Supply system cost variable</v>
      </c>
      <c r="G98" s="22">
        <f t="shared" ref="G98:R98" ca="1" si="436">INDEX(tbl_TCO_input,MATCH(
_xlfn.TEXTJOIN(keydelim,TRUE,G$23,$D98),rows_TCO_ID,0),MATCH(G$6,cols_TCO_input,0))*G$52*G$17</f>
        <v>750000</v>
      </c>
      <c r="H98" s="22">
        <f t="shared" ca="1" si="436"/>
        <v>750000</v>
      </c>
      <c r="I98" s="22">
        <f t="shared" ca="1" si="436"/>
        <v>750000</v>
      </c>
      <c r="J98" s="22">
        <f t="shared" ca="1" si="436"/>
        <v>750000</v>
      </c>
      <c r="K98" s="22">
        <f t="shared" ca="1" si="436"/>
        <v>750000</v>
      </c>
      <c r="L98" s="22">
        <f t="shared" ca="1" si="436"/>
        <v>750000</v>
      </c>
      <c r="M98" s="22">
        <f t="shared" ca="1" si="436"/>
        <v>750000</v>
      </c>
      <c r="N98" s="22">
        <f t="shared" ca="1" si="436"/>
        <v>750000</v>
      </c>
      <c r="O98" s="22">
        <f t="shared" ca="1" si="436"/>
        <v>750000</v>
      </c>
      <c r="P98" s="22">
        <f t="shared" ca="1" si="436"/>
        <v>750000</v>
      </c>
      <c r="Q98" s="22">
        <f t="shared" ca="1" si="436"/>
        <v>750000</v>
      </c>
      <c r="R98" s="22">
        <f t="shared" ca="1" si="436"/>
        <v>750000</v>
      </c>
      <c r="X98" s="12" t="s">
        <v>317</v>
      </c>
      <c r="Y98" s="224" t="s">
        <v>275</v>
      </c>
      <c r="Z98" s="224" t="str">
        <f>_xlfn.TEXTJOIN(keydelim,TRUE,"Primary fuel",$D98)</f>
        <v>Primary fuel - Supply system cost variable</v>
      </c>
      <c r="AA98" s="22">
        <f t="shared" ref="AA98:AL98" ca="1" si="437">INDEX(tbl_TCO_input,MATCH(
_xlfn.TEXTJOIN(keydelim,TRUE,AA$23,$D98),rows_TCO_ID,0),MATCH(AA$6,cols_TCO_input,0))*AA$52*AA$17</f>
        <v>14850000</v>
      </c>
      <c r="AB98" s="22">
        <f t="shared" ca="1" si="437"/>
        <v>14850000</v>
      </c>
      <c r="AC98" s="22">
        <f t="shared" ca="1" si="437"/>
        <v>14850000</v>
      </c>
      <c r="AD98" s="22">
        <f t="shared" ca="1" si="437"/>
        <v>14850000</v>
      </c>
      <c r="AE98" s="22">
        <f t="shared" ca="1" si="437"/>
        <v>14850000</v>
      </c>
      <c r="AF98" s="22">
        <f t="shared" ca="1" si="437"/>
        <v>14850000</v>
      </c>
      <c r="AG98" s="22">
        <f t="shared" ca="1" si="437"/>
        <v>14850000</v>
      </c>
      <c r="AH98" s="22">
        <f t="shared" ca="1" si="437"/>
        <v>14850000</v>
      </c>
      <c r="AI98" s="22">
        <f t="shared" ca="1" si="437"/>
        <v>14850000</v>
      </c>
      <c r="AJ98" s="22">
        <f t="shared" ca="1" si="437"/>
        <v>14850000</v>
      </c>
      <c r="AK98" s="22">
        <f t="shared" ca="1" si="437"/>
        <v>14850000</v>
      </c>
      <c r="AL98" s="22">
        <f t="shared" ca="1" si="437"/>
        <v>14850000</v>
      </c>
      <c r="AR98" s="12" t="s">
        <v>317</v>
      </c>
      <c r="AS98" s="224" t="s">
        <v>275</v>
      </c>
      <c r="AT98" s="224" t="str">
        <f>_xlfn.TEXTJOIN(keydelim,TRUE,"Primary fuel",$D98)</f>
        <v>Primary fuel - Supply system cost variable</v>
      </c>
      <c r="AU98" s="22">
        <f t="shared" ref="AU98:BF98" ca="1" si="438">INDEX(tbl_TCO_input,MATCH(
_xlfn.TEXTJOIN(keydelim,TRUE,AU$23,$D98),rows_TCO_ID,0),MATCH(AU$6,cols_TCO_input,0))*AU$52*AU$17</f>
        <v>11400000</v>
      </c>
      <c r="AV98" s="22">
        <f t="shared" ca="1" si="438"/>
        <v>11400000</v>
      </c>
      <c r="AW98" s="22">
        <f t="shared" ca="1" si="438"/>
        <v>11400000</v>
      </c>
      <c r="AX98" s="22">
        <f t="shared" ca="1" si="438"/>
        <v>11400000</v>
      </c>
      <c r="AY98" s="22">
        <f t="shared" ca="1" si="438"/>
        <v>11400000</v>
      </c>
      <c r="AZ98" s="22">
        <f t="shared" ca="1" si="438"/>
        <v>11400000</v>
      </c>
      <c r="BA98" s="22">
        <f t="shared" ca="1" si="438"/>
        <v>11400000</v>
      </c>
      <c r="BB98" s="22">
        <f t="shared" ca="1" si="438"/>
        <v>11400000</v>
      </c>
      <c r="BC98" s="22">
        <f t="shared" ca="1" si="438"/>
        <v>11400000</v>
      </c>
      <c r="BD98" s="22">
        <f t="shared" ca="1" si="438"/>
        <v>11400000</v>
      </c>
      <c r="BE98" s="22">
        <f t="shared" ca="1" si="438"/>
        <v>11400000</v>
      </c>
      <c r="BF98" s="22">
        <f t="shared" ca="1" si="438"/>
        <v>11400000</v>
      </c>
      <c r="BL98" s="12" t="s">
        <v>317</v>
      </c>
      <c r="BM98" s="224" t="s">
        <v>275</v>
      </c>
      <c r="BN98" s="224" t="str">
        <f>_xlfn.TEXTJOIN(keydelim,TRUE,"Primary fuel",$D98)</f>
        <v>Primary fuel - Supply system cost variable</v>
      </c>
      <c r="BO98" s="22">
        <f t="shared" ref="BO98:BZ98" ca="1" si="439">INDEX(tbl_TCO_input,MATCH(
_xlfn.TEXTJOIN(keydelim,TRUE,BO$23,$D98),rows_TCO_ID,0),MATCH(BO$6,cols_TCO_input,0))*BO$52*BO$17</f>
        <v>11400000</v>
      </c>
      <c r="BP98" s="22">
        <f t="shared" ca="1" si="439"/>
        <v>11400000</v>
      </c>
      <c r="BQ98" s="22">
        <f t="shared" ca="1" si="439"/>
        <v>11400000</v>
      </c>
      <c r="BR98" s="22">
        <f t="shared" ca="1" si="439"/>
        <v>11400000</v>
      </c>
      <c r="BS98" s="22">
        <f t="shared" ca="1" si="439"/>
        <v>11400000</v>
      </c>
      <c r="BT98" s="22">
        <f t="shared" ca="1" si="439"/>
        <v>11400000</v>
      </c>
      <c r="BU98" s="22">
        <f t="shared" ca="1" si="439"/>
        <v>11400000</v>
      </c>
      <c r="BV98" s="22">
        <f t="shared" ca="1" si="439"/>
        <v>11400000</v>
      </c>
      <c r="BW98" s="22">
        <f t="shared" ca="1" si="439"/>
        <v>11400000</v>
      </c>
      <c r="BX98" s="22">
        <f t="shared" ca="1" si="439"/>
        <v>11400000</v>
      </c>
      <c r="BY98" s="22">
        <f t="shared" ca="1" si="439"/>
        <v>11400000</v>
      </c>
      <c r="BZ98" s="22">
        <f t="shared" ca="1" si="439"/>
        <v>11400000</v>
      </c>
      <c r="CF98" s="12" t="s">
        <v>317</v>
      </c>
      <c r="CG98" s="224" t="s">
        <v>275</v>
      </c>
      <c r="CH98" s="224" t="str">
        <f>_xlfn.TEXTJOIN(keydelim,TRUE,"Primary fuel",$D98)</f>
        <v>Primary fuel - Supply system cost variable</v>
      </c>
      <c r="CI98" s="22">
        <f t="shared" ref="CI98:CT98" ca="1" si="440">INDEX(tbl_TCO_input,MATCH(
_xlfn.TEXTJOIN(keydelim,TRUE,CI$23,$D98),rows_TCO_ID,0),MATCH(CI$6,cols_TCO_input,0))*CI$52*CI$17</f>
        <v>9975000</v>
      </c>
      <c r="CJ98" s="22">
        <f t="shared" ca="1" si="440"/>
        <v>9975000</v>
      </c>
      <c r="CK98" s="22">
        <f t="shared" ca="1" si="440"/>
        <v>9975000</v>
      </c>
      <c r="CL98" s="22">
        <f t="shared" ca="1" si="440"/>
        <v>9975000</v>
      </c>
      <c r="CM98" s="22">
        <f t="shared" ca="1" si="440"/>
        <v>9975000</v>
      </c>
      <c r="CN98" s="22">
        <f t="shared" ca="1" si="440"/>
        <v>9975000</v>
      </c>
      <c r="CO98" s="22">
        <f t="shared" ca="1" si="440"/>
        <v>9975000</v>
      </c>
      <c r="CP98" s="22">
        <f t="shared" ca="1" si="440"/>
        <v>9975000</v>
      </c>
      <c r="CQ98" s="22">
        <f t="shared" ca="1" si="440"/>
        <v>9975000</v>
      </c>
      <c r="CR98" s="22">
        <f t="shared" ca="1" si="440"/>
        <v>9975000</v>
      </c>
      <c r="CS98" s="22">
        <f t="shared" ca="1" si="440"/>
        <v>9975000</v>
      </c>
      <c r="CT98" s="22">
        <f t="shared" ca="1" si="440"/>
        <v>9975000</v>
      </c>
    </row>
    <row r="99" spans="2:100" outlineLevel="1" x14ac:dyDescent="0.2">
      <c r="C99" s="3"/>
      <c r="D99" s="12" t="s">
        <v>317</v>
      </c>
      <c r="E99" s="224" t="s">
        <v>275</v>
      </c>
      <c r="F99" s="224" t="str">
        <f>_xlfn.TEXTJOIN(keydelim,TRUE,"Secondary Fuel",$D99)</f>
        <v>Secondary Fuel - Supply system cost variable</v>
      </c>
      <c r="G99" s="22">
        <f t="shared" ref="G99:R99" si="441">IF(AND(G$24&lt;&gt;G$23,G$17&lt;1),
INDEX(tbl_TCO_input,MATCH(_xlfn.TEXTJOIN(keydelim,TRUE,G$24,$D99),rows_TCO_ID,0),MATCH(G$6,cols_TCO_input,0))*G$52*(1-G$17),
0)</f>
        <v>0</v>
      </c>
      <c r="H99" s="22">
        <f t="shared" si="441"/>
        <v>0</v>
      </c>
      <c r="I99" s="22">
        <f t="shared" si="441"/>
        <v>0</v>
      </c>
      <c r="J99" s="22">
        <f t="shared" si="441"/>
        <v>0</v>
      </c>
      <c r="K99" s="22">
        <f t="shared" si="441"/>
        <v>0</v>
      </c>
      <c r="L99" s="22">
        <f t="shared" si="441"/>
        <v>0</v>
      </c>
      <c r="M99" s="22">
        <f t="shared" si="441"/>
        <v>0</v>
      </c>
      <c r="N99" s="22">
        <f t="shared" si="441"/>
        <v>0</v>
      </c>
      <c r="O99" s="22">
        <f t="shared" si="441"/>
        <v>0</v>
      </c>
      <c r="P99" s="22">
        <f t="shared" si="441"/>
        <v>0</v>
      </c>
      <c r="Q99" s="22">
        <f t="shared" si="441"/>
        <v>0</v>
      </c>
      <c r="R99" s="22">
        <f t="shared" si="441"/>
        <v>0</v>
      </c>
      <c r="X99" s="12" t="s">
        <v>317</v>
      </c>
      <c r="Y99" s="224" t="s">
        <v>275</v>
      </c>
      <c r="Z99" s="224" t="str">
        <f>_xlfn.TEXTJOIN(keydelim,TRUE,"Secondary Fuel",$D99)</f>
        <v>Secondary Fuel - Supply system cost variable</v>
      </c>
      <c r="AA99" s="22">
        <f t="shared" ref="AA99:AL99" ca="1" si="442">IF(AND(AA$24&lt;&gt;AA$23,AA$17&lt;1),
INDEX(tbl_TCO_input,MATCH(_xlfn.TEXTJOIN(keydelim,TRUE,AA$24,$D99),rows_TCO_ID,0),MATCH(AA$6,cols_TCO_input,0))*AA$52*(1-AA$17),
0)</f>
        <v>7500.0000000000064</v>
      </c>
      <c r="AB99" s="22">
        <f t="shared" ca="1" si="442"/>
        <v>7500.0000000000064</v>
      </c>
      <c r="AC99" s="22">
        <f t="shared" ca="1" si="442"/>
        <v>7500.0000000000064</v>
      </c>
      <c r="AD99" s="22">
        <f t="shared" ca="1" si="442"/>
        <v>7500.0000000000064</v>
      </c>
      <c r="AE99" s="22">
        <f t="shared" ca="1" si="442"/>
        <v>7500.0000000000064</v>
      </c>
      <c r="AF99" s="22">
        <f t="shared" ca="1" si="442"/>
        <v>7500.0000000000064</v>
      </c>
      <c r="AG99" s="22">
        <f t="shared" ca="1" si="442"/>
        <v>7500.0000000000064</v>
      </c>
      <c r="AH99" s="22">
        <f t="shared" ca="1" si="442"/>
        <v>7500.0000000000064</v>
      </c>
      <c r="AI99" s="22">
        <f t="shared" ca="1" si="442"/>
        <v>7500.0000000000064</v>
      </c>
      <c r="AJ99" s="22">
        <f t="shared" ca="1" si="442"/>
        <v>7500.0000000000064</v>
      </c>
      <c r="AK99" s="22">
        <f t="shared" ca="1" si="442"/>
        <v>7500.0000000000064</v>
      </c>
      <c r="AL99" s="22">
        <f t="shared" ca="1" si="442"/>
        <v>7500.0000000000064</v>
      </c>
      <c r="AR99" s="12" t="s">
        <v>317</v>
      </c>
      <c r="AS99" s="224" t="s">
        <v>275</v>
      </c>
      <c r="AT99" s="224" t="str">
        <f>_xlfn.TEXTJOIN(keydelim,TRUE,"Secondary Fuel",$D99)</f>
        <v>Secondary Fuel - Supply system cost variable</v>
      </c>
      <c r="AU99" s="22">
        <f t="shared" ref="AU99:BF99" ca="1" si="443">IF(AND(AU$24&lt;&gt;AU$23,AU$17&lt;1),
INDEX(tbl_TCO_input,MATCH(_xlfn.TEXTJOIN(keydelim,TRUE,AU$24,$D99),rows_TCO_ID,0),MATCH(AU$6,cols_TCO_input,0))*AU$52*(1-AU$17),
0)</f>
        <v>37500.000000000036</v>
      </c>
      <c r="AV99" s="22">
        <f t="shared" ca="1" si="443"/>
        <v>37500.000000000036</v>
      </c>
      <c r="AW99" s="22">
        <f t="shared" ca="1" si="443"/>
        <v>37500.000000000036</v>
      </c>
      <c r="AX99" s="22">
        <f t="shared" ca="1" si="443"/>
        <v>37500.000000000036</v>
      </c>
      <c r="AY99" s="22">
        <f t="shared" ca="1" si="443"/>
        <v>37500.000000000036</v>
      </c>
      <c r="AZ99" s="22">
        <f t="shared" ca="1" si="443"/>
        <v>37500.000000000036</v>
      </c>
      <c r="BA99" s="22">
        <f t="shared" ca="1" si="443"/>
        <v>37500.000000000036</v>
      </c>
      <c r="BB99" s="22">
        <f t="shared" ca="1" si="443"/>
        <v>37500.000000000036</v>
      </c>
      <c r="BC99" s="22">
        <f t="shared" ca="1" si="443"/>
        <v>37500.000000000036</v>
      </c>
      <c r="BD99" s="22">
        <f t="shared" ca="1" si="443"/>
        <v>37500.000000000036</v>
      </c>
      <c r="BE99" s="22">
        <f t="shared" ca="1" si="443"/>
        <v>37500.000000000036</v>
      </c>
      <c r="BF99" s="22">
        <f t="shared" ca="1" si="443"/>
        <v>37500.000000000036</v>
      </c>
      <c r="BL99" s="12" t="s">
        <v>317</v>
      </c>
      <c r="BM99" s="224" t="s">
        <v>275</v>
      </c>
      <c r="BN99" s="224" t="str">
        <f>_xlfn.TEXTJOIN(keydelim,TRUE,"Secondary Fuel",$D99)</f>
        <v>Secondary Fuel - Supply system cost variable</v>
      </c>
      <c r="BO99" s="22">
        <f t="shared" ref="BO99:BZ99" ca="1" si="444">IF(AND(BO$24&lt;&gt;BO$23,BO$17&lt;1),
INDEX(tbl_TCO_input,MATCH(_xlfn.TEXTJOIN(keydelim,TRUE,BO$24,$D99),rows_TCO_ID,0),MATCH(BO$6,cols_TCO_input,0))*BO$52*(1-BO$17),
0)</f>
        <v>37500.000000000036</v>
      </c>
      <c r="BP99" s="22">
        <f t="shared" ca="1" si="444"/>
        <v>37500.000000000036</v>
      </c>
      <c r="BQ99" s="22">
        <f t="shared" ca="1" si="444"/>
        <v>37500.000000000036</v>
      </c>
      <c r="BR99" s="22">
        <f t="shared" ca="1" si="444"/>
        <v>37500.000000000036</v>
      </c>
      <c r="BS99" s="22">
        <f t="shared" ca="1" si="444"/>
        <v>37500.000000000036</v>
      </c>
      <c r="BT99" s="22">
        <f t="shared" ca="1" si="444"/>
        <v>37500.000000000036</v>
      </c>
      <c r="BU99" s="22">
        <f t="shared" ca="1" si="444"/>
        <v>37500.000000000036</v>
      </c>
      <c r="BV99" s="22">
        <f t="shared" ca="1" si="444"/>
        <v>37500.000000000036</v>
      </c>
      <c r="BW99" s="22">
        <f t="shared" ca="1" si="444"/>
        <v>37500.000000000036</v>
      </c>
      <c r="BX99" s="22">
        <f t="shared" ca="1" si="444"/>
        <v>37500.000000000036</v>
      </c>
      <c r="BY99" s="22">
        <f t="shared" ca="1" si="444"/>
        <v>37500.000000000036</v>
      </c>
      <c r="BZ99" s="22">
        <f t="shared" ca="1" si="444"/>
        <v>37500.000000000036</v>
      </c>
      <c r="CF99" s="12" t="s">
        <v>317</v>
      </c>
      <c r="CG99" s="224" t="s">
        <v>275</v>
      </c>
      <c r="CH99" s="224" t="str">
        <f>_xlfn.TEXTJOIN(keydelim,TRUE,"Secondary Fuel",$D99)</f>
        <v>Secondary Fuel - Supply system cost variable</v>
      </c>
      <c r="CI99" s="22">
        <f t="shared" ref="CI99:CT99" ca="1" si="445">IF(AND(CI$24&lt;&gt;CI$23,CI$17&lt;1),
INDEX(tbl_TCO_input,MATCH(_xlfn.TEXTJOIN(keydelim,TRUE,CI$24,$D99),rows_TCO_ID,0),MATCH(CI$6,cols_TCO_input,0))*CI$52*(1-CI$17),
0)</f>
        <v>37500.000000000036</v>
      </c>
      <c r="CJ99" s="22">
        <f t="shared" ca="1" si="445"/>
        <v>37500.000000000036</v>
      </c>
      <c r="CK99" s="22">
        <f t="shared" ca="1" si="445"/>
        <v>37500.000000000036</v>
      </c>
      <c r="CL99" s="22">
        <f t="shared" ca="1" si="445"/>
        <v>37500.000000000036</v>
      </c>
      <c r="CM99" s="22">
        <f t="shared" ca="1" si="445"/>
        <v>37500.000000000036</v>
      </c>
      <c r="CN99" s="22">
        <f t="shared" ca="1" si="445"/>
        <v>37500.000000000036</v>
      </c>
      <c r="CO99" s="22">
        <f t="shared" ca="1" si="445"/>
        <v>37500.000000000036</v>
      </c>
      <c r="CP99" s="22">
        <f t="shared" ca="1" si="445"/>
        <v>37500.000000000036</v>
      </c>
      <c r="CQ99" s="22">
        <f t="shared" ca="1" si="445"/>
        <v>37500.000000000036</v>
      </c>
      <c r="CR99" s="22">
        <f t="shared" ca="1" si="445"/>
        <v>37500.000000000036</v>
      </c>
      <c r="CS99" s="22">
        <f t="shared" ca="1" si="445"/>
        <v>37500.000000000036</v>
      </c>
      <c r="CT99" s="22">
        <f t="shared" ca="1" si="445"/>
        <v>37500.000000000036</v>
      </c>
    </row>
    <row r="100" spans="2:100" s="266" customFormat="1" outlineLevel="1" x14ac:dyDescent="0.2">
      <c r="D100" s="285" t="s">
        <v>318</v>
      </c>
      <c r="E100" s="282" t="s">
        <v>211</v>
      </c>
      <c r="F100" s="224"/>
      <c r="G100" s="283">
        <f t="shared" ref="G100:R100" ca="1" si="446">(G212+G217+G222)/constant_vessel_lifetime</f>
        <v>0</v>
      </c>
      <c r="H100" s="283">
        <f t="shared" ca="1" si="446"/>
        <v>0</v>
      </c>
      <c r="I100" s="283">
        <f t="shared" ca="1" si="446"/>
        <v>0</v>
      </c>
      <c r="J100" s="283">
        <f t="shared" ca="1" si="446"/>
        <v>0</v>
      </c>
      <c r="K100" s="283">
        <f t="shared" ca="1" si="446"/>
        <v>0</v>
      </c>
      <c r="L100" s="283">
        <f t="shared" ca="1" si="446"/>
        <v>0</v>
      </c>
      <c r="M100" s="283">
        <f t="shared" ca="1" si="446"/>
        <v>0</v>
      </c>
      <c r="N100" s="283">
        <f t="shared" ca="1" si="446"/>
        <v>0</v>
      </c>
      <c r="O100" s="283">
        <f t="shared" ca="1" si="446"/>
        <v>0</v>
      </c>
      <c r="P100" s="283">
        <f t="shared" ca="1" si="446"/>
        <v>0</v>
      </c>
      <c r="Q100" s="283">
        <f t="shared" ca="1" si="446"/>
        <v>0</v>
      </c>
      <c r="R100" s="283">
        <f t="shared" ca="1" si="446"/>
        <v>0</v>
      </c>
      <c r="X100" s="285" t="s">
        <v>318</v>
      </c>
      <c r="Y100" s="282" t="s">
        <v>211</v>
      </c>
      <c r="Z100" s="224"/>
      <c r="AA100" s="283">
        <f t="shared" ref="AA100:AL100" ca="1" si="447">(AA212+AA217+AA222)/constant_vessel_lifetime</f>
        <v>0</v>
      </c>
      <c r="AB100" s="283">
        <f t="shared" ca="1" si="447"/>
        <v>0</v>
      </c>
      <c r="AC100" s="283">
        <f t="shared" ca="1" si="447"/>
        <v>0</v>
      </c>
      <c r="AD100" s="283">
        <f t="shared" ca="1" si="447"/>
        <v>0</v>
      </c>
      <c r="AE100" s="283">
        <f t="shared" ca="1" si="447"/>
        <v>0</v>
      </c>
      <c r="AF100" s="283">
        <f t="shared" ca="1" si="447"/>
        <v>0</v>
      </c>
      <c r="AG100" s="283">
        <f t="shared" ca="1" si="447"/>
        <v>0</v>
      </c>
      <c r="AH100" s="283">
        <f t="shared" ca="1" si="447"/>
        <v>0</v>
      </c>
      <c r="AI100" s="283">
        <f t="shared" ca="1" si="447"/>
        <v>0</v>
      </c>
      <c r="AJ100" s="283">
        <f t="shared" ca="1" si="447"/>
        <v>0</v>
      </c>
      <c r="AK100" s="283">
        <f t="shared" ca="1" si="447"/>
        <v>0</v>
      </c>
      <c r="AL100" s="283">
        <f t="shared" ca="1" si="447"/>
        <v>0</v>
      </c>
      <c r="AR100" s="285" t="s">
        <v>318</v>
      </c>
      <c r="AS100" s="282" t="s">
        <v>211</v>
      </c>
      <c r="AT100" s="224"/>
      <c r="AU100" s="283">
        <f t="shared" ref="AU100:BF100" ca="1" si="448">(AU212+AU217+AU222)/constant_vessel_lifetime</f>
        <v>0</v>
      </c>
      <c r="AV100" s="283">
        <f t="shared" ca="1" si="448"/>
        <v>0</v>
      </c>
      <c r="AW100" s="283">
        <f t="shared" ca="1" si="448"/>
        <v>0</v>
      </c>
      <c r="AX100" s="283">
        <f t="shared" ca="1" si="448"/>
        <v>0</v>
      </c>
      <c r="AY100" s="283">
        <f t="shared" ca="1" si="448"/>
        <v>0</v>
      </c>
      <c r="AZ100" s="283">
        <f t="shared" ca="1" si="448"/>
        <v>0</v>
      </c>
      <c r="BA100" s="283">
        <f t="shared" ca="1" si="448"/>
        <v>0</v>
      </c>
      <c r="BB100" s="283">
        <f t="shared" ca="1" si="448"/>
        <v>0</v>
      </c>
      <c r="BC100" s="283">
        <f t="shared" ca="1" si="448"/>
        <v>0</v>
      </c>
      <c r="BD100" s="283">
        <f t="shared" ca="1" si="448"/>
        <v>0</v>
      </c>
      <c r="BE100" s="283">
        <f t="shared" ca="1" si="448"/>
        <v>0</v>
      </c>
      <c r="BF100" s="283">
        <f t="shared" ca="1" si="448"/>
        <v>0</v>
      </c>
      <c r="BG100"/>
      <c r="BH100"/>
      <c r="BL100" s="285" t="s">
        <v>318</v>
      </c>
      <c r="BM100" s="282" t="s">
        <v>211</v>
      </c>
      <c r="BN100" s="224"/>
      <c r="BO100" s="283">
        <f t="shared" ref="BO100:BZ100" ca="1" si="449">(BO212+BO217+BO222)/constant_vessel_lifetime</f>
        <v>0</v>
      </c>
      <c r="BP100" s="283">
        <f t="shared" ca="1" si="449"/>
        <v>0</v>
      </c>
      <c r="BQ100" s="283">
        <f t="shared" ca="1" si="449"/>
        <v>0</v>
      </c>
      <c r="BR100" s="283">
        <f t="shared" ca="1" si="449"/>
        <v>0</v>
      </c>
      <c r="BS100" s="283">
        <f t="shared" ca="1" si="449"/>
        <v>0</v>
      </c>
      <c r="BT100" s="283">
        <f t="shared" ca="1" si="449"/>
        <v>0</v>
      </c>
      <c r="BU100" s="283">
        <f t="shared" ca="1" si="449"/>
        <v>0</v>
      </c>
      <c r="BV100" s="283">
        <f t="shared" ca="1" si="449"/>
        <v>0</v>
      </c>
      <c r="BW100" s="283">
        <f t="shared" ca="1" si="449"/>
        <v>0</v>
      </c>
      <c r="BX100" s="283">
        <f t="shared" ca="1" si="449"/>
        <v>0</v>
      </c>
      <c r="BY100" s="283">
        <f t="shared" ca="1" si="449"/>
        <v>0</v>
      </c>
      <c r="BZ100" s="283">
        <f t="shared" ca="1" si="449"/>
        <v>0</v>
      </c>
      <c r="CA100"/>
      <c r="CB100"/>
      <c r="CF100" s="285" t="s">
        <v>318</v>
      </c>
      <c r="CG100" s="282" t="s">
        <v>211</v>
      </c>
      <c r="CH100" s="224"/>
      <c r="CI100" s="283">
        <f t="shared" ref="CI100:CT100" ca="1" si="450">(CI212+CI217+CI222)/constant_vessel_lifetime</f>
        <v>0</v>
      </c>
      <c r="CJ100" s="283">
        <f t="shared" ca="1" si="450"/>
        <v>0</v>
      </c>
      <c r="CK100" s="283">
        <f t="shared" ca="1" si="450"/>
        <v>0</v>
      </c>
      <c r="CL100" s="283">
        <f t="shared" ca="1" si="450"/>
        <v>0</v>
      </c>
      <c r="CM100" s="283">
        <f t="shared" ca="1" si="450"/>
        <v>0</v>
      </c>
      <c r="CN100" s="283">
        <f t="shared" ca="1" si="450"/>
        <v>0</v>
      </c>
      <c r="CO100" s="283">
        <f t="shared" ca="1" si="450"/>
        <v>0</v>
      </c>
      <c r="CP100" s="283">
        <f t="shared" ca="1" si="450"/>
        <v>0</v>
      </c>
      <c r="CQ100" s="283">
        <f t="shared" ca="1" si="450"/>
        <v>0</v>
      </c>
      <c r="CR100" s="283">
        <f t="shared" ca="1" si="450"/>
        <v>0</v>
      </c>
      <c r="CS100" s="283">
        <f t="shared" ca="1" si="450"/>
        <v>0</v>
      </c>
      <c r="CT100" s="283">
        <f t="shared" ca="1" si="450"/>
        <v>0</v>
      </c>
      <c r="CU100"/>
      <c r="CV100"/>
    </row>
    <row r="101" spans="2:100" s="266" customFormat="1" x14ac:dyDescent="0.2">
      <c r="D101" s="285"/>
      <c r="E101" s="282"/>
      <c r="F101" s="224"/>
      <c r="G101" s="283"/>
      <c r="H101" s="283"/>
      <c r="I101" s="283"/>
      <c r="J101" s="283"/>
      <c r="K101" s="283"/>
      <c r="L101" s="283"/>
      <c r="M101" s="283"/>
      <c r="N101" s="283"/>
      <c r="O101" s="283"/>
      <c r="P101" s="283"/>
      <c r="Q101" s="283"/>
      <c r="R101" s="283"/>
      <c r="X101" s="285"/>
      <c r="Y101" s="282"/>
      <c r="Z101" s="224"/>
      <c r="AA101" s="283"/>
      <c r="AB101" s="283"/>
      <c r="AC101" s="283"/>
      <c r="AD101" s="283"/>
      <c r="AE101" s="283"/>
      <c r="AF101" s="283"/>
      <c r="AG101" s="283"/>
      <c r="AH101" s="283"/>
      <c r="AI101" s="283"/>
      <c r="AJ101" s="283"/>
      <c r="AK101" s="283"/>
      <c r="AL101" s="283"/>
      <c r="AR101" s="285"/>
      <c r="AS101" s="282"/>
      <c r="AT101" s="224"/>
      <c r="AU101" s="283"/>
      <c r="AV101" s="283"/>
      <c r="AW101" s="283"/>
      <c r="AX101" s="283"/>
      <c r="AY101" s="283"/>
      <c r="AZ101" s="283"/>
      <c r="BA101" s="283"/>
      <c r="BB101" s="283"/>
      <c r="BC101" s="283"/>
      <c r="BD101" s="283"/>
      <c r="BE101" s="283"/>
      <c r="BF101" s="283"/>
      <c r="BG101"/>
      <c r="BH101"/>
      <c r="BL101" s="285"/>
      <c r="BM101" s="282"/>
      <c r="BN101" s="224"/>
      <c r="BO101" s="283"/>
      <c r="BP101" s="283"/>
      <c r="BQ101" s="283"/>
      <c r="BR101" s="283"/>
      <c r="BS101" s="283"/>
      <c r="BT101" s="283"/>
      <c r="BU101" s="283"/>
      <c r="BV101" s="283"/>
      <c r="BW101" s="283"/>
      <c r="BX101" s="283"/>
      <c r="BY101" s="283"/>
      <c r="BZ101" s="283"/>
      <c r="CA101"/>
      <c r="CB101"/>
      <c r="CF101" s="285"/>
      <c r="CG101" s="282"/>
      <c r="CH101" s="224"/>
      <c r="CI101" s="283"/>
      <c r="CJ101" s="283"/>
      <c r="CK101" s="283"/>
      <c r="CL101" s="283"/>
      <c r="CM101" s="283"/>
      <c r="CN101" s="283"/>
      <c r="CO101" s="283"/>
      <c r="CP101" s="283"/>
      <c r="CQ101" s="283"/>
      <c r="CR101" s="283"/>
      <c r="CS101" s="283"/>
      <c r="CT101" s="283"/>
      <c r="CU101"/>
      <c r="CV101"/>
    </row>
    <row r="102" spans="2:100" s="4" customFormat="1" x14ac:dyDescent="0.2">
      <c r="B102" s="280" t="s">
        <v>319</v>
      </c>
      <c r="C102" s="40"/>
      <c r="D102" s="43"/>
      <c r="E102" s="281"/>
      <c r="F102" s="281"/>
      <c r="G102" s="100"/>
      <c r="H102" s="100"/>
      <c r="I102" s="100"/>
      <c r="J102" s="100"/>
      <c r="K102" s="100"/>
      <c r="L102" s="100"/>
      <c r="M102" s="100"/>
      <c r="N102" s="100"/>
      <c r="O102" s="100"/>
      <c r="P102" s="100"/>
      <c r="Q102" s="100"/>
      <c r="R102" s="100"/>
      <c r="X102" s="43"/>
      <c r="Y102" s="281"/>
      <c r="Z102" s="281"/>
      <c r="AA102" s="100"/>
      <c r="AB102" s="100"/>
      <c r="AC102" s="100"/>
      <c r="AD102" s="100"/>
      <c r="AE102" s="100"/>
      <c r="AF102" s="100"/>
      <c r="AG102" s="100"/>
      <c r="AH102" s="100"/>
      <c r="AI102" s="100"/>
      <c r="AJ102" s="100"/>
      <c r="AK102" s="100"/>
      <c r="AL102" s="100"/>
      <c r="AR102" s="43"/>
      <c r="AS102" s="281"/>
      <c r="AT102" s="281"/>
      <c r="AU102" s="100"/>
      <c r="AV102" s="100"/>
      <c r="AW102" s="100"/>
      <c r="AX102" s="100"/>
      <c r="AY102" s="100"/>
      <c r="AZ102" s="100"/>
      <c r="BA102" s="100"/>
      <c r="BB102" s="100"/>
      <c r="BC102" s="100"/>
      <c r="BD102" s="100"/>
      <c r="BE102" s="100"/>
      <c r="BF102" s="100"/>
      <c r="BL102" s="43"/>
      <c r="BM102" s="281"/>
      <c r="BN102" s="281"/>
      <c r="BO102" s="100"/>
      <c r="BP102" s="100"/>
      <c r="BQ102" s="100"/>
      <c r="BR102" s="100"/>
      <c r="BS102" s="100"/>
      <c r="BT102" s="100"/>
      <c r="BU102" s="100"/>
      <c r="BV102" s="100"/>
      <c r="BW102" s="100"/>
      <c r="BX102" s="100"/>
      <c r="BY102" s="100"/>
      <c r="BZ102" s="100"/>
      <c r="CF102" s="43"/>
      <c r="CG102" s="281"/>
      <c r="CH102" s="281"/>
      <c r="CI102" s="100"/>
      <c r="CJ102" s="100"/>
      <c r="CK102" s="100"/>
      <c r="CL102" s="100"/>
      <c r="CM102" s="100"/>
      <c r="CN102" s="100"/>
      <c r="CO102" s="100"/>
      <c r="CP102" s="100"/>
      <c r="CQ102" s="100"/>
      <c r="CR102" s="100"/>
      <c r="CS102" s="100"/>
      <c r="CT102" s="100"/>
    </row>
    <row r="103" spans="2:100" s="280" customFormat="1" x14ac:dyDescent="0.2">
      <c r="C103" s="280" t="s">
        <v>220</v>
      </c>
      <c r="D103" s="294" t="s">
        <v>220</v>
      </c>
      <c r="E103" s="295" t="s">
        <v>211</v>
      </c>
      <c r="F103" s="295"/>
      <c r="G103" s="296">
        <f t="shared" ref="G103:R103" ca="1" si="451">G104+G159+G161+G144+G171+G169</f>
        <v>28721109.320261732</v>
      </c>
      <c r="H103" s="296">
        <f t="shared" ca="1" si="451"/>
        <v>22701307.601875752</v>
      </c>
      <c r="I103" s="296">
        <f t="shared" ca="1" si="451"/>
        <v>20756448.585166432</v>
      </c>
      <c r="J103" s="296">
        <f t="shared" ca="1" si="451"/>
        <v>20756448.585166432</v>
      </c>
      <c r="K103" s="296">
        <f t="shared" ca="1" si="451"/>
        <v>20756448.585166432</v>
      </c>
      <c r="L103" s="296">
        <f t="shared" ca="1" si="451"/>
        <v>20756448.585166432</v>
      </c>
      <c r="M103" s="296">
        <f t="shared" ca="1" si="451"/>
        <v>20756448.585166432</v>
      </c>
      <c r="N103" s="296">
        <f t="shared" ca="1" si="451"/>
        <v>20756448.585166432</v>
      </c>
      <c r="O103" s="296">
        <f t="shared" ca="1" si="451"/>
        <v>20756448.585166432</v>
      </c>
      <c r="P103" s="296">
        <f t="shared" ca="1" si="451"/>
        <v>20756448.585166432</v>
      </c>
      <c r="Q103" s="296">
        <f t="shared" ca="1" si="451"/>
        <v>20756448.585166432</v>
      </c>
      <c r="R103" s="296">
        <f t="shared" ca="1" si="451"/>
        <v>20756448.585166432</v>
      </c>
      <c r="X103" s="294" t="s">
        <v>220</v>
      </c>
      <c r="Y103" s="295" t="s">
        <v>211</v>
      </c>
      <c r="Z103" s="295"/>
      <c r="AA103" s="296">
        <f t="shared" ref="AA103:AL103" ca="1" si="452">AA104+AA159+AA161+AA144+AA171+AA169</f>
        <v>35230724.342169985</v>
      </c>
      <c r="AB103" s="296">
        <f t="shared" ca="1" si="452"/>
        <v>22482722.082972504</v>
      </c>
      <c r="AC103" s="296">
        <f t="shared" ca="1" si="452"/>
        <v>18021059.910779327</v>
      </c>
      <c r="AD103" s="296">
        <f t="shared" ca="1" si="452"/>
        <v>18062484.139687993</v>
      </c>
      <c r="AE103" s="296">
        <f t="shared" ca="1" si="452"/>
        <v>17942903.741138645</v>
      </c>
      <c r="AF103" s="296">
        <f t="shared" ca="1" si="452"/>
        <v>17827584.013755396</v>
      </c>
      <c r="AG103" s="296">
        <f t="shared" ca="1" si="452"/>
        <v>17726823.763326623</v>
      </c>
      <c r="AH103" s="296">
        <f t="shared" ca="1" si="452"/>
        <v>17726823.763326623</v>
      </c>
      <c r="AI103" s="296">
        <f t="shared" ca="1" si="452"/>
        <v>17726823.763326623</v>
      </c>
      <c r="AJ103" s="296">
        <f t="shared" ca="1" si="452"/>
        <v>17726823.763326623</v>
      </c>
      <c r="AK103" s="296">
        <f t="shared" ca="1" si="452"/>
        <v>17726823.763326623</v>
      </c>
      <c r="AL103" s="296">
        <f t="shared" ca="1" si="452"/>
        <v>17726823.763326623</v>
      </c>
      <c r="AR103" s="294" t="s">
        <v>220</v>
      </c>
      <c r="AS103" s="295" t="s">
        <v>211</v>
      </c>
      <c r="AT103" s="295"/>
      <c r="AU103" s="296">
        <f t="shared" ref="AU103:BF103" ca="1" si="453">AU104+AU159+AU161+AU144+AU171+AU169</f>
        <v>74318173.268647641</v>
      </c>
      <c r="AV103" s="296">
        <f t="shared" ca="1" si="453"/>
        <v>56578287.982587874</v>
      </c>
      <c r="AW103" s="296">
        <f t="shared" ca="1" si="453"/>
        <v>41837102.437357046</v>
      </c>
      <c r="AX103" s="296">
        <f t="shared" ca="1" si="453"/>
        <v>38825246.025946148</v>
      </c>
      <c r="AY103" s="296">
        <f t="shared" ca="1" si="453"/>
        <v>35195618.617894784</v>
      </c>
      <c r="AZ103" s="296">
        <f t="shared" ca="1" si="453"/>
        <v>30793194.101004645</v>
      </c>
      <c r="BA103" s="296">
        <f t="shared" ca="1" si="453"/>
        <v>26784258.762327649</v>
      </c>
      <c r="BB103" s="296">
        <f t="shared" ca="1" si="453"/>
        <v>26784258.762327649</v>
      </c>
      <c r="BC103" s="296">
        <f t="shared" ca="1" si="453"/>
        <v>26784258.762327649</v>
      </c>
      <c r="BD103" s="296">
        <f t="shared" ca="1" si="453"/>
        <v>26784258.762327649</v>
      </c>
      <c r="BE103" s="296">
        <f t="shared" ca="1" si="453"/>
        <v>26784258.762327649</v>
      </c>
      <c r="BF103" s="296">
        <f t="shared" ca="1" si="453"/>
        <v>26784258.762327649</v>
      </c>
      <c r="BL103" s="294" t="s">
        <v>220</v>
      </c>
      <c r="BM103" s="295" t="s">
        <v>211</v>
      </c>
      <c r="BN103" s="295"/>
      <c r="BO103" s="296">
        <f t="shared" ref="BO103:BZ103" ca="1" si="454">BO104+BO159+BO161+BO144+BO171+BO169</f>
        <v>63668551.519878291</v>
      </c>
      <c r="BP103" s="296">
        <f t="shared" ca="1" si="454"/>
        <v>41651068.779430121</v>
      </c>
      <c r="BQ103" s="296">
        <f t="shared" ca="1" si="454"/>
        <v>32800066.750414848</v>
      </c>
      <c r="BR103" s="296">
        <f t="shared" ca="1" si="454"/>
        <v>32694855.488541681</v>
      </c>
      <c r="BS103" s="296">
        <f t="shared" ca="1" si="454"/>
        <v>32292197.098652851</v>
      </c>
      <c r="BT103" s="296">
        <f t="shared" ca="1" si="454"/>
        <v>31879727.319878671</v>
      </c>
      <c r="BU103" s="296">
        <f t="shared" ca="1" si="454"/>
        <v>31442265.651478779</v>
      </c>
      <c r="BV103" s="296">
        <f t="shared" ca="1" si="454"/>
        <v>31442265.651478779</v>
      </c>
      <c r="BW103" s="296">
        <f t="shared" ca="1" si="454"/>
        <v>31442265.651478779</v>
      </c>
      <c r="BX103" s="296">
        <f t="shared" ca="1" si="454"/>
        <v>31442265.651478779</v>
      </c>
      <c r="BY103" s="296">
        <f t="shared" ca="1" si="454"/>
        <v>31442265.651478779</v>
      </c>
      <c r="BZ103" s="296">
        <f t="shared" ca="1" si="454"/>
        <v>31442265.651478779</v>
      </c>
      <c r="CF103" s="294" t="s">
        <v>220</v>
      </c>
      <c r="CG103" s="295" t="s">
        <v>211</v>
      </c>
      <c r="CH103" s="295"/>
      <c r="CI103" s="296">
        <f t="shared" ref="CI103:CT103" ca="1" si="455">CI104+CI159+CI161+CI144+CI171+CI169</f>
        <v>58306868.29296416</v>
      </c>
      <c r="CJ103" s="296">
        <f t="shared" ca="1" si="455"/>
        <v>43131816.309383705</v>
      </c>
      <c r="CK103" s="296">
        <f t="shared" ca="1" si="455"/>
        <v>37217661.279949516</v>
      </c>
      <c r="CL103" s="296">
        <f t="shared" ca="1" si="455"/>
        <v>35082669.558043823</v>
      </c>
      <c r="CM103" s="296">
        <f t="shared" ca="1" si="455"/>
        <v>32974277.968519852</v>
      </c>
      <c r="CN103" s="296">
        <f t="shared" ca="1" si="455"/>
        <v>31742030.569864646</v>
      </c>
      <c r="CO103" s="296">
        <f t="shared" ca="1" si="455"/>
        <v>30511396.358642235</v>
      </c>
      <c r="CP103" s="296">
        <f t="shared" ca="1" si="455"/>
        <v>30511396.358642235</v>
      </c>
      <c r="CQ103" s="296">
        <f t="shared" ca="1" si="455"/>
        <v>30511396.358642235</v>
      </c>
      <c r="CR103" s="296">
        <f t="shared" ca="1" si="455"/>
        <v>30511396.358642235</v>
      </c>
      <c r="CS103" s="296">
        <f t="shared" ca="1" si="455"/>
        <v>30511396.358642235</v>
      </c>
      <c r="CT103" s="296">
        <f t="shared" ca="1" si="455"/>
        <v>30511396.358642235</v>
      </c>
    </row>
    <row r="104" spans="2:100" s="280" customFormat="1" x14ac:dyDescent="0.2">
      <c r="C104" s="294" t="s">
        <v>49</v>
      </c>
      <c r="D104" s="294" t="s">
        <v>320</v>
      </c>
      <c r="E104" s="295" t="s">
        <v>211</v>
      </c>
      <c r="F104" s="295"/>
      <c r="G104" s="296">
        <f t="shared" ref="G104:R104" ca="1" si="456">G105+G122+G135</f>
        <v>21300836.849673498</v>
      </c>
      <c r="H104" s="296">
        <f t="shared" ca="1" si="456"/>
        <v>15281035.131287515</v>
      </c>
      <c r="I104" s="296">
        <f t="shared" ca="1" si="456"/>
        <v>13336176.114578193</v>
      </c>
      <c r="J104" s="296">
        <f t="shared" ca="1" si="456"/>
        <v>13336176.114578193</v>
      </c>
      <c r="K104" s="296">
        <f t="shared" ca="1" si="456"/>
        <v>13336176.114578193</v>
      </c>
      <c r="L104" s="296">
        <f t="shared" ca="1" si="456"/>
        <v>13336176.114578193</v>
      </c>
      <c r="M104" s="296">
        <f t="shared" ca="1" si="456"/>
        <v>13336176.114578193</v>
      </c>
      <c r="N104" s="296">
        <f t="shared" ca="1" si="456"/>
        <v>13336176.114578193</v>
      </c>
      <c r="O104" s="296">
        <f t="shared" ca="1" si="456"/>
        <v>13336176.114578193</v>
      </c>
      <c r="P104" s="296">
        <f t="shared" ca="1" si="456"/>
        <v>13336176.114578193</v>
      </c>
      <c r="Q104" s="296">
        <f t="shared" ca="1" si="456"/>
        <v>13336176.114578193</v>
      </c>
      <c r="R104" s="296">
        <f t="shared" ca="1" si="456"/>
        <v>13336176.114578193</v>
      </c>
      <c r="X104" s="294" t="s">
        <v>320</v>
      </c>
      <c r="Y104" s="295" t="s">
        <v>211</v>
      </c>
      <c r="Z104" s="295"/>
      <c r="AA104" s="296">
        <f t="shared" ref="AA104:AL104" ca="1" si="457">AA105+AA122+AA135</f>
        <v>27730301.871581752</v>
      </c>
      <c r="AB104" s="296">
        <f t="shared" ca="1" si="457"/>
        <v>14982299.612384269</v>
      </c>
      <c r="AC104" s="296">
        <f t="shared" ca="1" si="457"/>
        <v>10520637.440191092</v>
      </c>
      <c r="AD104" s="296">
        <f t="shared" ca="1" si="457"/>
        <v>10562061.669099757</v>
      </c>
      <c r="AE104" s="296">
        <f t="shared" ca="1" si="457"/>
        <v>10442481.270550409</v>
      </c>
      <c r="AF104" s="296">
        <f t="shared" ca="1" si="457"/>
        <v>10327161.543167163</v>
      </c>
      <c r="AG104" s="296">
        <f t="shared" ca="1" si="457"/>
        <v>10226401.292738389</v>
      </c>
      <c r="AH104" s="296">
        <f t="shared" ca="1" si="457"/>
        <v>10226401.292738389</v>
      </c>
      <c r="AI104" s="296">
        <f t="shared" ca="1" si="457"/>
        <v>10226401.292738389</v>
      </c>
      <c r="AJ104" s="296">
        <f t="shared" ca="1" si="457"/>
        <v>10226401.292738389</v>
      </c>
      <c r="AK104" s="296">
        <f t="shared" ca="1" si="457"/>
        <v>10226401.292738389</v>
      </c>
      <c r="AL104" s="296">
        <f t="shared" ca="1" si="457"/>
        <v>10226401.292738389</v>
      </c>
      <c r="AR104" s="294" t="s">
        <v>320</v>
      </c>
      <c r="AS104" s="295" t="s">
        <v>211</v>
      </c>
      <c r="AT104" s="295"/>
      <c r="AU104" s="296">
        <f t="shared" ref="AU104:BF104" ca="1" si="458">AU105+AU122+AU135</f>
        <v>66692512.398059413</v>
      </c>
      <c r="AV104" s="296">
        <f t="shared" ca="1" si="458"/>
        <v>48952627.111999638</v>
      </c>
      <c r="AW104" s="296">
        <f t="shared" ca="1" si="458"/>
        <v>34211441.56676881</v>
      </c>
      <c r="AX104" s="296">
        <f t="shared" ca="1" si="458"/>
        <v>31199585.155357908</v>
      </c>
      <c r="AY104" s="296">
        <f t="shared" ca="1" si="458"/>
        <v>27569957.747306548</v>
      </c>
      <c r="AZ104" s="296">
        <f t="shared" ca="1" si="458"/>
        <v>23167533.23041641</v>
      </c>
      <c r="BA104" s="296">
        <f t="shared" ca="1" si="458"/>
        <v>19158597.891739413</v>
      </c>
      <c r="BB104" s="296">
        <f t="shared" ca="1" si="458"/>
        <v>19158597.891739413</v>
      </c>
      <c r="BC104" s="296">
        <f t="shared" ca="1" si="458"/>
        <v>19158597.891739413</v>
      </c>
      <c r="BD104" s="296">
        <f t="shared" ca="1" si="458"/>
        <v>19158597.891739413</v>
      </c>
      <c r="BE104" s="296">
        <f t="shared" ca="1" si="458"/>
        <v>19158597.891739413</v>
      </c>
      <c r="BF104" s="296">
        <f t="shared" ca="1" si="458"/>
        <v>19158597.891739413</v>
      </c>
      <c r="BL104" s="294" t="s">
        <v>320</v>
      </c>
      <c r="BM104" s="295" t="s">
        <v>211</v>
      </c>
      <c r="BN104" s="295"/>
      <c r="BO104" s="296">
        <f t="shared" ref="BO104:BZ104" ca="1" si="459">BO105+BO122+BO135</f>
        <v>56042890.649290055</v>
      </c>
      <c r="BP104" s="296">
        <f t="shared" ca="1" si="459"/>
        <v>34025407.908841886</v>
      </c>
      <c r="BQ104" s="296">
        <f t="shared" ca="1" si="459"/>
        <v>25174405.879826613</v>
      </c>
      <c r="BR104" s="296">
        <f t="shared" ca="1" si="459"/>
        <v>25069194.617953446</v>
      </c>
      <c r="BS104" s="296">
        <f t="shared" ca="1" si="459"/>
        <v>24666536.228064615</v>
      </c>
      <c r="BT104" s="296">
        <f t="shared" ca="1" si="459"/>
        <v>24254066.449290436</v>
      </c>
      <c r="BU104" s="296">
        <f t="shared" ca="1" si="459"/>
        <v>23816604.780890543</v>
      </c>
      <c r="BV104" s="296">
        <f t="shared" ca="1" si="459"/>
        <v>23816604.780890543</v>
      </c>
      <c r="BW104" s="296">
        <f t="shared" ca="1" si="459"/>
        <v>23816604.780890543</v>
      </c>
      <c r="BX104" s="296">
        <f t="shared" ca="1" si="459"/>
        <v>23816604.780890543</v>
      </c>
      <c r="BY104" s="296">
        <f t="shared" ca="1" si="459"/>
        <v>23816604.780890543</v>
      </c>
      <c r="BZ104" s="296">
        <f t="shared" ca="1" si="459"/>
        <v>23816604.780890543</v>
      </c>
      <c r="CF104" s="294" t="s">
        <v>320</v>
      </c>
      <c r="CG104" s="295" t="s">
        <v>211</v>
      </c>
      <c r="CH104" s="295"/>
      <c r="CI104" s="296">
        <f t="shared" ref="CI104:CT104" ca="1" si="460">CI105+CI122+CI135</f>
        <v>50872845.822375923</v>
      </c>
      <c r="CJ104" s="296">
        <f t="shared" ca="1" si="460"/>
        <v>35697793.838795468</v>
      </c>
      <c r="CK104" s="296">
        <f t="shared" ca="1" si="460"/>
        <v>29783638.809361279</v>
      </c>
      <c r="CL104" s="296">
        <f t="shared" ca="1" si="460"/>
        <v>27648647.087455586</v>
      </c>
      <c r="CM104" s="296">
        <f t="shared" ca="1" si="460"/>
        <v>25540255.497931615</v>
      </c>
      <c r="CN104" s="296">
        <f t="shared" ca="1" si="460"/>
        <v>24308008.099276409</v>
      </c>
      <c r="CO104" s="296">
        <f t="shared" ca="1" si="460"/>
        <v>23077373.888054002</v>
      </c>
      <c r="CP104" s="296">
        <f t="shared" ca="1" si="460"/>
        <v>23077373.888054002</v>
      </c>
      <c r="CQ104" s="296">
        <f t="shared" ca="1" si="460"/>
        <v>23077373.888054002</v>
      </c>
      <c r="CR104" s="296">
        <f t="shared" ca="1" si="460"/>
        <v>23077373.888054002</v>
      </c>
      <c r="CS104" s="296">
        <f t="shared" ca="1" si="460"/>
        <v>23077373.888054002</v>
      </c>
      <c r="CT104" s="296">
        <f t="shared" ca="1" si="460"/>
        <v>23077373.888054002</v>
      </c>
    </row>
    <row r="105" spans="2:100" s="266" customFormat="1" outlineLevel="1" x14ac:dyDescent="0.2">
      <c r="D105" s="285" t="s">
        <v>321</v>
      </c>
      <c r="E105" s="282" t="s">
        <v>211</v>
      </c>
      <c r="F105" s="282" t="s">
        <v>322</v>
      </c>
      <c r="G105" s="289">
        <f ca="1">((G106*G110)+(G107*G114))</f>
        <v>17898390.185840357</v>
      </c>
      <c r="H105" s="289">
        <f t="shared" ref="H105:R105" ca="1" si="461">((H106*H110)+(H107*H114))</f>
        <v>12840149.481146347</v>
      </c>
      <c r="I105" s="289">
        <f t="shared" ca="1" si="461"/>
        <v>11205948.638091356</v>
      </c>
      <c r="J105" s="289">
        <f t="shared" ca="1" si="461"/>
        <v>11205948.638091356</v>
      </c>
      <c r="K105" s="289">
        <f t="shared" ca="1" si="461"/>
        <v>11205948.638091356</v>
      </c>
      <c r="L105" s="289">
        <f t="shared" ca="1" si="461"/>
        <v>11205948.638091356</v>
      </c>
      <c r="M105" s="289">
        <f t="shared" ca="1" si="461"/>
        <v>11205948.638091356</v>
      </c>
      <c r="N105" s="289">
        <f t="shared" ca="1" si="461"/>
        <v>11205948.638091356</v>
      </c>
      <c r="O105" s="289">
        <f t="shared" ca="1" si="461"/>
        <v>11205948.638091356</v>
      </c>
      <c r="P105" s="289">
        <f t="shared" ca="1" si="461"/>
        <v>11205948.638091356</v>
      </c>
      <c r="Q105" s="289">
        <f t="shared" ca="1" si="461"/>
        <v>11205948.638091356</v>
      </c>
      <c r="R105" s="289">
        <f t="shared" ca="1" si="461"/>
        <v>11205948.638091356</v>
      </c>
      <c r="X105" s="285" t="s">
        <v>321</v>
      </c>
      <c r="Y105" s="282" t="s">
        <v>211</v>
      </c>
      <c r="Z105" s="282" t="s">
        <v>322</v>
      </c>
      <c r="AA105" s="289">
        <f ca="1">((AA106*AA110)+(AA107*AA114))</f>
        <v>23292154.795096766</v>
      </c>
      <c r="AB105" s="289">
        <f t="shared" ref="AB105:AL105" ca="1" si="462">((AB106*AB110)+(AB107*AB114))</f>
        <v>12589536.23978059</v>
      </c>
      <c r="AC105" s="289">
        <f t="shared" ca="1" si="462"/>
        <v>8843955.4075263366</v>
      </c>
      <c r="AD105" s="289">
        <f t="shared" ca="1" si="462"/>
        <v>8878706.7498373948</v>
      </c>
      <c r="AE105" s="289">
        <f t="shared" ca="1" si="462"/>
        <v>8778389.1465129387</v>
      </c>
      <c r="AF105" s="289">
        <f t="shared" ca="1" si="462"/>
        <v>8681645.8774867635</v>
      </c>
      <c r="AG105" s="289">
        <f t="shared" ca="1" si="462"/>
        <v>8597116.7493352555</v>
      </c>
      <c r="AH105" s="289">
        <f t="shared" ca="1" si="462"/>
        <v>8597116.7493352555</v>
      </c>
      <c r="AI105" s="289">
        <f t="shared" ca="1" si="462"/>
        <v>8597116.7493352555</v>
      </c>
      <c r="AJ105" s="289">
        <f t="shared" ca="1" si="462"/>
        <v>8597116.7493352555</v>
      </c>
      <c r="AK105" s="289">
        <f t="shared" ca="1" si="462"/>
        <v>8597116.7493352555</v>
      </c>
      <c r="AL105" s="289">
        <f t="shared" ca="1" si="462"/>
        <v>8597116.7493352555</v>
      </c>
      <c r="AR105" s="285" t="s">
        <v>321</v>
      </c>
      <c r="AS105" s="282" t="s">
        <v>211</v>
      </c>
      <c r="AT105" s="282" t="s">
        <v>322</v>
      </c>
      <c r="AU105" s="289">
        <f ca="1">((AU106*AU110)+(AU107*AU114))</f>
        <v>55972800.306250662</v>
      </c>
      <c r="AV105" s="289">
        <f t="shared" ref="AV105:BF105" ca="1" si="463">((AV106*AV110)+(AV107*AV114))</f>
        <v>41051437.534040496</v>
      </c>
      <c r="AW105" s="289">
        <f t="shared" ca="1" si="463"/>
        <v>28659983.27299796</v>
      </c>
      <c r="AX105" s="289">
        <f t="shared" ca="1" si="463"/>
        <v>26154076.030415982</v>
      </c>
      <c r="AY105" s="289">
        <f t="shared" ca="1" si="463"/>
        <v>23129721.048269227</v>
      </c>
      <c r="AZ105" s="289">
        <f t="shared" ca="1" si="463"/>
        <v>19459521.122966949</v>
      </c>
      <c r="BA105" s="289">
        <f t="shared" ca="1" si="463"/>
        <v>16111485.925198425</v>
      </c>
      <c r="BB105" s="289">
        <f t="shared" ca="1" si="463"/>
        <v>16111485.925198425</v>
      </c>
      <c r="BC105" s="289">
        <f t="shared" ca="1" si="463"/>
        <v>16111485.925198425</v>
      </c>
      <c r="BD105" s="289">
        <f t="shared" ca="1" si="463"/>
        <v>16111485.925198425</v>
      </c>
      <c r="BE105" s="289">
        <f t="shared" ca="1" si="463"/>
        <v>16111485.925198425</v>
      </c>
      <c r="BF105" s="289">
        <f t="shared" ca="1" si="463"/>
        <v>16111485.925198425</v>
      </c>
      <c r="BG105"/>
      <c r="BH105"/>
      <c r="BL105" s="285" t="s">
        <v>321</v>
      </c>
      <c r="BM105" s="282" t="s">
        <v>211</v>
      </c>
      <c r="BN105" s="282" t="s">
        <v>322</v>
      </c>
      <c r="BO105" s="289">
        <f ca="1">((BO106*BO110)+(BO107*BO114))</f>
        <v>47098877.703261919</v>
      </c>
      <c r="BP105" s="289">
        <f t="shared" ref="BP105:BZ105" ca="1" si="464">((BP106*BP110)+(BP107*BP114))</f>
        <v>28613156.531057797</v>
      </c>
      <c r="BQ105" s="289">
        <f t="shared" ca="1" si="464"/>
        <v>21129766.97628871</v>
      </c>
      <c r="BR105" s="289">
        <f t="shared" ca="1" si="464"/>
        <v>21045855.997971341</v>
      </c>
      <c r="BS105" s="289">
        <f t="shared" ca="1" si="464"/>
        <v>20710410.911870982</v>
      </c>
      <c r="BT105" s="289">
        <f t="shared" ca="1" si="464"/>
        <v>20364887.709435482</v>
      </c>
      <c r="BU105" s="289">
        <f t="shared" ca="1" si="464"/>
        <v>19992824.961797733</v>
      </c>
      <c r="BV105" s="289">
        <f t="shared" ca="1" si="464"/>
        <v>19992824.961797733</v>
      </c>
      <c r="BW105" s="289">
        <f t="shared" ca="1" si="464"/>
        <v>19992824.961797733</v>
      </c>
      <c r="BX105" s="289">
        <f t="shared" ca="1" si="464"/>
        <v>19992824.961797733</v>
      </c>
      <c r="BY105" s="289">
        <f t="shared" ca="1" si="464"/>
        <v>19992824.961797733</v>
      </c>
      <c r="BZ105" s="289">
        <f t="shared" ca="1" si="464"/>
        <v>19992824.961797733</v>
      </c>
      <c r="CA105"/>
      <c r="CB105"/>
      <c r="CF105" s="285" t="s">
        <v>321</v>
      </c>
      <c r="CG105" s="282" t="s">
        <v>211</v>
      </c>
      <c r="CH105" s="282" t="s">
        <v>322</v>
      </c>
      <c r="CI105" s="289">
        <f ca="1">((CI106*CI110)+(CI107*CI114))</f>
        <v>42790877.031470925</v>
      </c>
      <c r="CJ105" s="289">
        <f t="shared" ref="CJ105:CT105" ca="1" si="465">((CJ106*CJ110)+(CJ107*CJ114))</f>
        <v>30006691.780931853</v>
      </c>
      <c r="CK105" s="289">
        <f t="shared" ca="1" si="465"/>
        <v>24970464.537266798</v>
      </c>
      <c r="CL105" s="289">
        <f t="shared" ca="1" si="465"/>
        <v>23195215.112542264</v>
      </c>
      <c r="CM105" s="289">
        <f t="shared" ca="1" si="465"/>
        <v>21438447.771812562</v>
      </c>
      <c r="CN105" s="289">
        <f t="shared" ca="1" si="465"/>
        <v>20409835.223849159</v>
      </c>
      <c r="CO105" s="289">
        <f t="shared" ca="1" si="465"/>
        <v>19376852.124121338</v>
      </c>
      <c r="CP105" s="289">
        <f t="shared" ca="1" si="465"/>
        <v>19376852.124121338</v>
      </c>
      <c r="CQ105" s="289">
        <f t="shared" ca="1" si="465"/>
        <v>19376852.124121338</v>
      </c>
      <c r="CR105" s="289">
        <f t="shared" ca="1" si="465"/>
        <v>19376852.124121338</v>
      </c>
      <c r="CS105" s="289">
        <f t="shared" ca="1" si="465"/>
        <v>19376852.124121338</v>
      </c>
      <c r="CT105" s="289">
        <f t="shared" ca="1" si="465"/>
        <v>19376852.124121338</v>
      </c>
      <c r="CU105"/>
      <c r="CV105"/>
    </row>
    <row r="106" spans="2:100" s="24" customFormat="1" outlineLevel="1" x14ac:dyDescent="0.2">
      <c r="B106"/>
      <c r="C106" s="60"/>
      <c r="D106" s="60" t="s">
        <v>323</v>
      </c>
      <c r="E106" s="298" t="s">
        <v>324</v>
      </c>
      <c r="F106" s="298" t="str">
        <f>F15</f>
        <v>LSFO</v>
      </c>
      <c r="G106" s="52">
        <f ca="1">IFERROR(INDEX(tbl_TCO_input,MATCH(
_xlfn.TEXTJOIN(keydelim,TRUE,G$15,G$11,$D106,$E106),rows_TCO_ID,0),MATCH(G$6,cols_TCO_input,0)),0)</f>
        <v>21.473621920116738</v>
      </c>
      <c r="H106" s="52">
        <f t="shared" ref="H106:R106" ca="1" si="466">IFERROR(INDEX(tbl_TCO_input,MATCH(
_xlfn.TEXTJOIN(keydelim,TRUE,H$15,H$11,$D106,$E106),rows_TCO_ID,0),MATCH(H$6,cols_TCO_input,0)),0)</f>
        <v>15.404989638344619</v>
      </c>
      <c r="I106" s="52">
        <f t="shared" ca="1" si="466"/>
        <v>13.444354593464393</v>
      </c>
      <c r="J106" s="52">
        <f t="shared" ca="1" si="466"/>
        <v>13.444354593464393</v>
      </c>
      <c r="K106" s="52">
        <f t="shared" ca="1" si="466"/>
        <v>13.444354593464393</v>
      </c>
      <c r="L106" s="52">
        <f t="shared" ca="1" si="466"/>
        <v>13.444354593464393</v>
      </c>
      <c r="M106" s="52">
        <f t="shared" ca="1" si="466"/>
        <v>13.444354593464393</v>
      </c>
      <c r="N106" s="52">
        <f t="shared" ca="1" si="466"/>
        <v>13.444354593464393</v>
      </c>
      <c r="O106" s="52">
        <f t="shared" ca="1" si="466"/>
        <v>13.444354593464393</v>
      </c>
      <c r="P106" s="52">
        <f t="shared" ca="1" si="466"/>
        <v>13.444354593464393</v>
      </c>
      <c r="Q106" s="52">
        <f t="shared" ca="1" si="466"/>
        <v>13.444354593464393</v>
      </c>
      <c r="R106" s="52">
        <f t="shared" ca="1" si="466"/>
        <v>13.444354593464393</v>
      </c>
      <c r="X106" s="60" t="s">
        <v>323</v>
      </c>
      <c r="Y106" s="298" t="s">
        <v>324</v>
      </c>
      <c r="Z106" s="298" t="str">
        <f>Z15</f>
        <v>LNG</v>
      </c>
      <c r="AA106" s="52">
        <f ca="1">IFERROR(INDEX(tbl_TCO_input,MATCH(
_xlfn.TEXTJOIN(keydelim,TRUE,AA$15,AA$11,$D106,$E106),rows_TCO_ID,0),MATCH(AA$6,cols_TCO_input,0)),0)</f>
        <v>28.010164967271816</v>
      </c>
      <c r="AB106" s="52">
        <f t="shared" ref="AB106:AL106" ca="1" si="467">IFERROR(INDEX(tbl_TCO_input,MATCH(
_xlfn.TEXTJOIN(keydelim,TRUE,AB$15,AB$11,$D106,$E106),rows_TCO_ID,0),MATCH(AB$6,cols_TCO_input,0)),0)</f>
        <v>15.101278898435231</v>
      </c>
      <c r="AC106" s="52">
        <f t="shared" ca="1" si="467"/>
        <v>10.581925187075147</v>
      </c>
      <c r="AD106" s="52">
        <f t="shared" ca="1" si="467"/>
        <v>10.624039306140117</v>
      </c>
      <c r="AE106" s="52">
        <f t="shared" ca="1" si="467"/>
        <v>10.502467383740608</v>
      </c>
      <c r="AF106" s="52">
        <f t="shared" ca="1" si="467"/>
        <v>10.385227090861148</v>
      </c>
      <c r="AG106" s="52">
        <f t="shared" ca="1" si="467"/>
        <v>10.282788752348448</v>
      </c>
      <c r="AH106" s="52">
        <f t="shared" ca="1" si="467"/>
        <v>10.282788752348448</v>
      </c>
      <c r="AI106" s="52">
        <f t="shared" ca="1" si="467"/>
        <v>10.282788752348448</v>
      </c>
      <c r="AJ106" s="52">
        <f t="shared" ca="1" si="467"/>
        <v>10.282788752348448</v>
      </c>
      <c r="AK106" s="52">
        <f t="shared" ca="1" si="467"/>
        <v>10.282788752348448</v>
      </c>
      <c r="AL106" s="52">
        <f t="shared" ca="1" si="467"/>
        <v>10.282788752348448</v>
      </c>
      <c r="AR106" s="60" t="s">
        <v>323</v>
      </c>
      <c r="AS106" s="298" t="s">
        <v>324</v>
      </c>
      <c r="AT106" s="298" t="str">
        <f>AT15</f>
        <v>e-Ammonia</v>
      </c>
      <c r="AU106" s="52">
        <f ca="1">IFERROR(INDEX(tbl_TCO_input,MATCH(
_xlfn.TEXTJOIN(keydelim,TRUE,AU$15,AU$11,$D106,$E106),rows_TCO_ID,0),MATCH(AU$6,cols_TCO_input,0)),0)</f>
        <v>67.654563699368978</v>
      </c>
      <c r="AV106" s="52">
        <f t="shared" ref="AV106:BF106" ca="1" si="468">IFERROR(INDEX(tbl_TCO_input,MATCH(
_xlfn.TEXTJOIN(keydelim,TRUE,AV$15,AV$11,$D106,$E106),rows_TCO_ID,0),MATCH(AV$6,cols_TCO_input,0)),0)</f>
        <v>49.86622112839148</v>
      </c>
      <c r="AW106" s="52">
        <f t="shared" ca="1" si="468"/>
        <v>35.036527617873539</v>
      </c>
      <c r="AX106" s="52">
        <f t="shared" ca="1" si="468"/>
        <v>31.843366273798324</v>
      </c>
      <c r="AY106" s="52">
        <f t="shared" ca="1" si="468"/>
        <v>28.023353054868181</v>
      </c>
      <c r="AZ106" s="52">
        <f t="shared" ca="1" si="468"/>
        <v>23.402115576701302</v>
      </c>
      <c r="BA106" s="52">
        <f t="shared" ca="1" si="468"/>
        <v>19.231023079153672</v>
      </c>
      <c r="BB106" s="52">
        <f t="shared" ca="1" si="468"/>
        <v>19.231023079153672</v>
      </c>
      <c r="BC106" s="52">
        <f t="shared" ca="1" si="468"/>
        <v>19.231023079153672</v>
      </c>
      <c r="BD106" s="52">
        <f t="shared" ca="1" si="468"/>
        <v>19.231023079153672</v>
      </c>
      <c r="BE106" s="52">
        <f t="shared" ca="1" si="468"/>
        <v>19.231023079153672</v>
      </c>
      <c r="BF106" s="52">
        <f t="shared" ca="1" si="468"/>
        <v>19.231023079153672</v>
      </c>
      <c r="BG106"/>
      <c r="BH106"/>
      <c r="BL106" s="60" t="s">
        <v>323</v>
      </c>
      <c r="BM106" s="298" t="s">
        <v>324</v>
      </c>
      <c r="BN106" s="298" t="str">
        <f>BN15</f>
        <v>Blue ammonia</v>
      </c>
      <c r="BO106" s="52">
        <f ca="1">IFERROR(INDEX(tbl_TCO_input,MATCH(
_xlfn.TEXTJOIN(keydelim,TRUE,BO$15,BO$11,$D106,$E106),rows_TCO_ID,0),MATCH(BO$6,cols_TCO_input,0)),0)</f>
        <v>56.44771878224406</v>
      </c>
      <c r="BP106" s="52">
        <f t="shared" ref="BP106:BZ106" ca="1" si="469">IFERROR(INDEX(tbl_TCO_input,MATCH(
_xlfn.TEXTJOIN(keydelim,TRUE,BP$15,BP$11,$D106,$E106),rows_TCO_ID,0),MATCH(BP$6,cols_TCO_input,0)),0)</f>
        <v>34.15796081641848</v>
      </c>
      <c r="BQ106" s="52">
        <f t="shared" ca="1" si="469"/>
        <v>25.526644558807334</v>
      </c>
      <c r="BR106" s="52">
        <f t="shared" ca="1" si="469"/>
        <v>25.392213579850207</v>
      </c>
      <c r="BS106" s="52">
        <f t="shared" ca="1" si="469"/>
        <v>24.968014990964868</v>
      </c>
      <c r="BT106" s="52">
        <f t="shared" ca="1" si="469"/>
        <v>24.545499780241947</v>
      </c>
      <c r="BU106" s="52">
        <f t="shared" ca="1" si="469"/>
        <v>24.132752179123678</v>
      </c>
      <c r="BV106" s="52">
        <f t="shared" ca="1" si="469"/>
        <v>24.132752179123678</v>
      </c>
      <c r="BW106" s="52">
        <f t="shared" ca="1" si="469"/>
        <v>24.132752179123678</v>
      </c>
      <c r="BX106" s="52">
        <f t="shared" ca="1" si="469"/>
        <v>24.132752179123678</v>
      </c>
      <c r="BY106" s="52">
        <f t="shared" ca="1" si="469"/>
        <v>24.132752179123678</v>
      </c>
      <c r="BZ106" s="52">
        <f t="shared" ca="1" si="469"/>
        <v>24.132752179123678</v>
      </c>
      <c r="CA106"/>
      <c r="CB106"/>
      <c r="CF106" s="60" t="s">
        <v>323</v>
      </c>
      <c r="CG106" s="298" t="s">
        <v>324</v>
      </c>
      <c r="CH106" s="298" t="str">
        <f>CH15</f>
        <v>Biomethanol</v>
      </c>
      <c r="CI106" s="52">
        <f ca="1">IFERROR(INDEX(tbl_TCO_input,MATCH(
_xlfn.TEXTJOIN(keydelim,TRUE,CI$15,CI$11,$D106,$E106),rows_TCO_ID,0),MATCH(CI$6,cols_TCO_input,0)),0)</f>
        <v>51.007160238790995</v>
      </c>
      <c r="CJ106" s="52">
        <f t="shared" ref="CJ106:CT106" ca="1" si="470">IFERROR(INDEX(tbl_TCO_input,MATCH(
_xlfn.TEXTJOIN(keydelim,TRUE,CJ$15,CJ$11,$D106,$E106),rows_TCO_ID,0),MATCH(CJ$6,cols_TCO_input,0)),0)</f>
        <v>35.917851468003114</v>
      </c>
      <c r="CK106" s="52">
        <f t="shared" ca="1" si="470"/>
        <v>30.377047685488289</v>
      </c>
      <c r="CL106" s="52">
        <f t="shared" ca="1" si="470"/>
        <v>28.106631469870184</v>
      </c>
      <c r="CM106" s="52">
        <f t="shared" ca="1" si="470"/>
        <v>25.887450121103139</v>
      </c>
      <c r="CN106" s="52">
        <f t="shared" ca="1" si="470"/>
        <v>24.602263834424107</v>
      </c>
      <c r="CO106" s="52">
        <f t="shared" ca="1" si="470"/>
        <v>23.3548422993738</v>
      </c>
      <c r="CP106" s="52">
        <f t="shared" ca="1" si="470"/>
        <v>23.3548422993738</v>
      </c>
      <c r="CQ106" s="52">
        <f t="shared" ca="1" si="470"/>
        <v>23.3548422993738</v>
      </c>
      <c r="CR106" s="52">
        <f t="shared" ca="1" si="470"/>
        <v>23.3548422993738</v>
      </c>
      <c r="CS106" s="52">
        <f t="shared" ca="1" si="470"/>
        <v>23.3548422993738</v>
      </c>
      <c r="CT106" s="52">
        <f t="shared" ca="1" si="470"/>
        <v>23.3548422993738</v>
      </c>
      <c r="CU106"/>
      <c r="CV106"/>
    </row>
    <row r="107" spans="2:100" s="24" customFormat="1" outlineLevel="1" x14ac:dyDescent="0.2">
      <c r="B107"/>
      <c r="C107" s="60"/>
      <c r="D107" s="60" t="s">
        <v>323</v>
      </c>
      <c r="E107" s="298" t="s">
        <v>324</v>
      </c>
      <c r="F107" s="298" t="str">
        <f>F16</f>
        <v>LSFO</v>
      </c>
      <c r="G107" s="52">
        <f t="shared" ref="G107:R107" ca="1" si="471">IFERROR(INDEX(tbl_TCO_input,MATCH(
_xlfn.TEXTJOIN(keydelim,TRUE,G$16,G$11,$D107,$E107),rows_TCO_ID,0),MATCH(G$6,cols_TCO_input,0)),0)</f>
        <v>21.473621920116738</v>
      </c>
      <c r="H107" s="52">
        <f t="shared" ca="1" si="471"/>
        <v>15.404989638344619</v>
      </c>
      <c r="I107" s="52">
        <f t="shared" ca="1" si="471"/>
        <v>13.444354593464393</v>
      </c>
      <c r="J107" s="52">
        <f t="shared" ca="1" si="471"/>
        <v>13.444354593464393</v>
      </c>
      <c r="K107" s="52">
        <f t="shared" ca="1" si="471"/>
        <v>13.444354593464393</v>
      </c>
      <c r="L107" s="52">
        <f t="shared" ca="1" si="471"/>
        <v>13.444354593464393</v>
      </c>
      <c r="M107" s="52">
        <f t="shared" ca="1" si="471"/>
        <v>13.444354593464393</v>
      </c>
      <c r="N107" s="52">
        <f t="shared" ca="1" si="471"/>
        <v>13.444354593464393</v>
      </c>
      <c r="O107" s="52">
        <f t="shared" ca="1" si="471"/>
        <v>13.444354593464393</v>
      </c>
      <c r="P107" s="52">
        <f t="shared" ca="1" si="471"/>
        <v>13.444354593464393</v>
      </c>
      <c r="Q107" s="52">
        <f t="shared" ca="1" si="471"/>
        <v>13.444354593464393</v>
      </c>
      <c r="R107" s="52">
        <f t="shared" ca="1" si="471"/>
        <v>13.444354593464393</v>
      </c>
      <c r="X107" s="60" t="s">
        <v>323</v>
      </c>
      <c r="Y107" s="298" t="s">
        <v>324</v>
      </c>
      <c r="Z107" s="298" t="str">
        <f>Z16</f>
        <v>LSFO</v>
      </c>
      <c r="AA107" s="52">
        <f t="shared" ref="AA107:AL107" ca="1" si="472">IFERROR(INDEX(tbl_TCO_input,MATCH(
_xlfn.TEXTJOIN(keydelim,TRUE,AA$16,AA$11,$D107,$E107),rows_TCO_ID,0),MATCH(AA$6,cols_TCO_input,0)),0)</f>
        <v>21.473621920116738</v>
      </c>
      <c r="AB107" s="52">
        <f t="shared" ca="1" si="472"/>
        <v>15.404989638344619</v>
      </c>
      <c r="AC107" s="52">
        <f t="shared" ca="1" si="472"/>
        <v>13.444354593464393</v>
      </c>
      <c r="AD107" s="52">
        <f t="shared" ca="1" si="472"/>
        <v>13.444354593464393</v>
      </c>
      <c r="AE107" s="52">
        <f t="shared" ca="1" si="472"/>
        <v>13.444354593464393</v>
      </c>
      <c r="AF107" s="52">
        <f t="shared" ca="1" si="472"/>
        <v>13.444354593464393</v>
      </c>
      <c r="AG107" s="52">
        <f t="shared" ca="1" si="472"/>
        <v>13.444354593464393</v>
      </c>
      <c r="AH107" s="52">
        <f t="shared" ca="1" si="472"/>
        <v>13.444354593464393</v>
      </c>
      <c r="AI107" s="52">
        <f t="shared" ca="1" si="472"/>
        <v>13.444354593464393</v>
      </c>
      <c r="AJ107" s="52">
        <f t="shared" ca="1" si="472"/>
        <v>13.444354593464393</v>
      </c>
      <c r="AK107" s="52">
        <f t="shared" ca="1" si="472"/>
        <v>13.444354593464393</v>
      </c>
      <c r="AL107" s="52">
        <f t="shared" ca="1" si="472"/>
        <v>13.444354593464393</v>
      </c>
      <c r="AR107" s="60" t="s">
        <v>323</v>
      </c>
      <c r="AS107" s="298" t="s">
        <v>324</v>
      </c>
      <c r="AT107" s="298" t="str">
        <f>AT16</f>
        <v>Biodiesel (Pyr)</v>
      </c>
      <c r="AU107" s="52">
        <f t="shared" ref="AU107:BF107" ca="1" si="473">IFERROR(INDEX(tbl_TCO_input,MATCH(
_xlfn.TEXTJOIN(keydelim,TRUE,AU$16,AU$11,$D107,$E107),rows_TCO_ID,0),MATCH(AU$6,cols_TCO_input,0)),0)</f>
        <v>57.632402751540752</v>
      </c>
      <c r="AV107" s="52">
        <f t="shared" ca="1" si="473"/>
        <v>37.572340112459749</v>
      </c>
      <c r="AW107" s="52">
        <f t="shared" ca="1" si="473"/>
        <v>22.003180038188102</v>
      </c>
      <c r="AX107" s="52">
        <f t="shared" ca="1" si="473"/>
        <v>22.543922060636341</v>
      </c>
      <c r="AY107" s="52">
        <f t="shared" ca="1" si="473"/>
        <v>22.554679802718063</v>
      </c>
      <c r="AZ107" s="52">
        <f t="shared" ca="1" si="473"/>
        <v>22.291628639612604</v>
      </c>
      <c r="BA107" s="52">
        <f t="shared" ca="1" si="473"/>
        <v>21.206175667790404</v>
      </c>
      <c r="BB107" s="52">
        <f t="shared" ca="1" si="473"/>
        <v>21.206175667790404</v>
      </c>
      <c r="BC107" s="52">
        <f t="shared" ca="1" si="473"/>
        <v>21.206175667790404</v>
      </c>
      <c r="BD107" s="52">
        <f t="shared" ca="1" si="473"/>
        <v>21.206175667790404</v>
      </c>
      <c r="BE107" s="52">
        <f t="shared" ca="1" si="473"/>
        <v>21.206175667790404</v>
      </c>
      <c r="BF107" s="52">
        <f t="shared" ca="1" si="473"/>
        <v>21.206175667790404</v>
      </c>
      <c r="BG107"/>
      <c r="BH107"/>
      <c r="BL107" s="60" t="s">
        <v>323</v>
      </c>
      <c r="BM107" s="298" t="s">
        <v>324</v>
      </c>
      <c r="BN107" s="298" t="str">
        <f>BN16</f>
        <v>Biodiesel (Pyr)</v>
      </c>
      <c r="BO107" s="52">
        <f t="shared" ref="BO107:BZ107" ca="1" si="474">IFERROR(INDEX(tbl_TCO_input,MATCH(
_xlfn.TEXTJOIN(keydelim,TRUE,BO$16,BO$11,$D107,$E107),rows_TCO_ID,0),MATCH(BO$6,cols_TCO_input,0)),0)</f>
        <v>57.632402751540752</v>
      </c>
      <c r="BP107" s="52">
        <f t="shared" ca="1" si="474"/>
        <v>37.572340112459749</v>
      </c>
      <c r="BQ107" s="52">
        <f t="shared" ca="1" si="474"/>
        <v>22.003180038188102</v>
      </c>
      <c r="BR107" s="52">
        <f t="shared" ca="1" si="474"/>
        <v>22.543922060636341</v>
      </c>
      <c r="BS107" s="52">
        <f t="shared" ca="1" si="474"/>
        <v>22.554679802718063</v>
      </c>
      <c r="BT107" s="52">
        <f t="shared" ca="1" si="474"/>
        <v>22.291628639612604</v>
      </c>
      <c r="BU107" s="52">
        <f t="shared" ca="1" si="474"/>
        <v>21.206175667790404</v>
      </c>
      <c r="BV107" s="52">
        <f t="shared" ca="1" si="474"/>
        <v>21.206175667790404</v>
      </c>
      <c r="BW107" s="52">
        <f t="shared" ca="1" si="474"/>
        <v>21.206175667790404</v>
      </c>
      <c r="BX107" s="52">
        <f t="shared" ca="1" si="474"/>
        <v>21.206175667790404</v>
      </c>
      <c r="BY107" s="52">
        <f t="shared" ca="1" si="474"/>
        <v>21.206175667790404</v>
      </c>
      <c r="BZ107" s="52">
        <f t="shared" ca="1" si="474"/>
        <v>21.206175667790404</v>
      </c>
      <c r="CA107"/>
      <c r="CB107"/>
      <c r="CF107" s="60" t="s">
        <v>323</v>
      </c>
      <c r="CG107" s="298" t="s">
        <v>324</v>
      </c>
      <c r="CH107" s="298" t="str">
        <f>CH16</f>
        <v>Biodiesel (Pyr)</v>
      </c>
      <c r="CI107" s="52">
        <f t="shared" ref="CI107:CT107" ca="1" si="475">IFERROR(INDEX(tbl_TCO_input,MATCH(
_xlfn.TEXTJOIN(keydelim,TRUE,CI$16,CI$11,$D107,$E107),rows_TCO_ID,0),MATCH(CI$6,cols_TCO_input,0)),0)</f>
        <v>57.632402751540752</v>
      </c>
      <c r="CJ107" s="52">
        <f t="shared" ca="1" si="475"/>
        <v>37.572340112459749</v>
      </c>
      <c r="CK107" s="52">
        <f t="shared" ca="1" si="475"/>
        <v>22.003180038188102</v>
      </c>
      <c r="CL107" s="52">
        <f t="shared" ca="1" si="475"/>
        <v>22.543922060636341</v>
      </c>
      <c r="CM107" s="52">
        <f t="shared" ca="1" si="475"/>
        <v>22.554679802718063</v>
      </c>
      <c r="CN107" s="52">
        <f t="shared" ca="1" si="475"/>
        <v>22.291628639612604</v>
      </c>
      <c r="CO107" s="52">
        <f t="shared" ca="1" si="475"/>
        <v>21.206175667790404</v>
      </c>
      <c r="CP107" s="52">
        <f t="shared" ca="1" si="475"/>
        <v>21.206175667790404</v>
      </c>
      <c r="CQ107" s="52">
        <f t="shared" ca="1" si="475"/>
        <v>21.206175667790404</v>
      </c>
      <c r="CR107" s="52">
        <f t="shared" ca="1" si="475"/>
        <v>21.206175667790404</v>
      </c>
      <c r="CS107" s="52">
        <f t="shared" ca="1" si="475"/>
        <v>21.206175667790404</v>
      </c>
      <c r="CT107" s="52">
        <f t="shared" ca="1" si="475"/>
        <v>21.206175667790404</v>
      </c>
      <c r="CU107"/>
      <c r="CV107"/>
    </row>
    <row r="108" spans="2:100" outlineLevel="1" x14ac:dyDescent="0.2">
      <c r="C108" s="3"/>
      <c r="D108" s="12" t="s">
        <v>325</v>
      </c>
      <c r="E108" s="224" t="s">
        <v>326</v>
      </c>
      <c r="G108" s="22">
        <f t="shared" ref="G108:R108" ca="1" si="476">G110+G114</f>
        <v>833505.88235294109</v>
      </c>
      <c r="H108" s="22">
        <f t="shared" ca="1" si="476"/>
        <v>833505.88235294109</v>
      </c>
      <c r="I108" s="22">
        <f t="shared" ca="1" si="476"/>
        <v>833505.88235294109</v>
      </c>
      <c r="J108" s="22">
        <f t="shared" ca="1" si="476"/>
        <v>833505.88235294109</v>
      </c>
      <c r="K108" s="22">
        <f t="shared" ca="1" si="476"/>
        <v>833505.88235294109</v>
      </c>
      <c r="L108" s="22">
        <f t="shared" ca="1" si="476"/>
        <v>833505.88235294109</v>
      </c>
      <c r="M108" s="22">
        <f t="shared" ca="1" si="476"/>
        <v>833505.88235294109</v>
      </c>
      <c r="N108" s="22">
        <f t="shared" ca="1" si="476"/>
        <v>833505.88235294109</v>
      </c>
      <c r="O108" s="22">
        <f t="shared" ca="1" si="476"/>
        <v>833505.88235294109</v>
      </c>
      <c r="P108" s="22">
        <f t="shared" ca="1" si="476"/>
        <v>833505.88235294109</v>
      </c>
      <c r="Q108" s="22">
        <f t="shared" ca="1" si="476"/>
        <v>833505.88235294109</v>
      </c>
      <c r="R108" s="22">
        <f t="shared" ca="1" si="476"/>
        <v>833505.88235294109</v>
      </c>
      <c r="X108" s="12" t="s">
        <v>325</v>
      </c>
      <c r="Y108" s="224" t="s">
        <v>326</v>
      </c>
      <c r="AA108" s="22">
        <f t="shared" ref="AA108:AL108" ca="1" si="477">AA110+AA114</f>
        <v>833505.88235294109</v>
      </c>
      <c r="AB108" s="22">
        <f t="shared" ca="1" si="477"/>
        <v>833505.88235294109</v>
      </c>
      <c r="AC108" s="22">
        <f t="shared" ca="1" si="477"/>
        <v>833505.88235294109</v>
      </c>
      <c r="AD108" s="22">
        <f t="shared" ca="1" si="477"/>
        <v>833505.88235294109</v>
      </c>
      <c r="AE108" s="22">
        <f t="shared" ca="1" si="477"/>
        <v>833505.88235294109</v>
      </c>
      <c r="AF108" s="22">
        <f t="shared" ca="1" si="477"/>
        <v>833505.88235294109</v>
      </c>
      <c r="AG108" s="22">
        <f t="shared" ca="1" si="477"/>
        <v>833505.88235294109</v>
      </c>
      <c r="AH108" s="22">
        <f t="shared" ca="1" si="477"/>
        <v>833505.88235294109</v>
      </c>
      <c r="AI108" s="22">
        <f t="shared" ca="1" si="477"/>
        <v>833505.88235294109</v>
      </c>
      <c r="AJ108" s="22">
        <f t="shared" ca="1" si="477"/>
        <v>833505.88235294109</v>
      </c>
      <c r="AK108" s="22">
        <f t="shared" ca="1" si="477"/>
        <v>833505.88235294109</v>
      </c>
      <c r="AL108" s="22">
        <f t="shared" ca="1" si="477"/>
        <v>833505.88235294109</v>
      </c>
      <c r="AR108" s="12" t="s">
        <v>325</v>
      </c>
      <c r="AS108" s="224" t="s">
        <v>326</v>
      </c>
      <c r="AU108" s="22">
        <f t="shared" ref="AU108:BF108" ca="1" si="478">AU110+AU114</f>
        <v>833505.88235294109</v>
      </c>
      <c r="AV108" s="22">
        <f t="shared" ca="1" si="478"/>
        <v>833505.88235294109</v>
      </c>
      <c r="AW108" s="22">
        <f t="shared" ca="1" si="478"/>
        <v>833505.88235294109</v>
      </c>
      <c r="AX108" s="22">
        <f t="shared" ca="1" si="478"/>
        <v>833505.88235294109</v>
      </c>
      <c r="AY108" s="22">
        <f t="shared" ca="1" si="478"/>
        <v>833505.88235294109</v>
      </c>
      <c r="AZ108" s="22">
        <f t="shared" ca="1" si="478"/>
        <v>833505.88235294109</v>
      </c>
      <c r="BA108" s="22">
        <f t="shared" ca="1" si="478"/>
        <v>833505.88235294109</v>
      </c>
      <c r="BB108" s="22">
        <f t="shared" ca="1" si="478"/>
        <v>833505.88235294109</v>
      </c>
      <c r="BC108" s="22">
        <f t="shared" ca="1" si="478"/>
        <v>833505.88235294109</v>
      </c>
      <c r="BD108" s="22">
        <f t="shared" ca="1" si="478"/>
        <v>833505.88235294109</v>
      </c>
      <c r="BE108" s="22">
        <f t="shared" ca="1" si="478"/>
        <v>833505.88235294109</v>
      </c>
      <c r="BF108" s="22">
        <f t="shared" ca="1" si="478"/>
        <v>833505.88235294109</v>
      </c>
      <c r="BL108" s="12" t="s">
        <v>325</v>
      </c>
      <c r="BM108" s="224" t="s">
        <v>326</v>
      </c>
      <c r="BO108" s="22">
        <f t="shared" ref="BO108:BZ108" ca="1" si="479">BO110+BO114</f>
        <v>833505.88235294109</v>
      </c>
      <c r="BP108" s="22">
        <f t="shared" ca="1" si="479"/>
        <v>833505.88235294109</v>
      </c>
      <c r="BQ108" s="22">
        <f t="shared" ca="1" si="479"/>
        <v>833505.88235294109</v>
      </c>
      <c r="BR108" s="22">
        <f t="shared" ca="1" si="479"/>
        <v>833505.88235294109</v>
      </c>
      <c r="BS108" s="22">
        <f t="shared" ca="1" si="479"/>
        <v>833505.88235294109</v>
      </c>
      <c r="BT108" s="22">
        <f t="shared" ca="1" si="479"/>
        <v>833505.88235294109</v>
      </c>
      <c r="BU108" s="22">
        <f t="shared" ca="1" si="479"/>
        <v>833505.88235294109</v>
      </c>
      <c r="BV108" s="22">
        <f t="shared" ca="1" si="479"/>
        <v>833505.88235294109</v>
      </c>
      <c r="BW108" s="22">
        <f t="shared" ca="1" si="479"/>
        <v>833505.88235294109</v>
      </c>
      <c r="BX108" s="22">
        <f t="shared" ca="1" si="479"/>
        <v>833505.88235294109</v>
      </c>
      <c r="BY108" s="22">
        <f t="shared" ca="1" si="479"/>
        <v>833505.88235294109</v>
      </c>
      <c r="BZ108" s="22">
        <f t="shared" ca="1" si="479"/>
        <v>833505.88235294109</v>
      </c>
      <c r="CF108" s="12" t="s">
        <v>325</v>
      </c>
      <c r="CG108" s="224" t="s">
        <v>326</v>
      </c>
      <c r="CI108" s="22">
        <f t="shared" ref="CI108:CT108" ca="1" si="480">CI110+CI114</f>
        <v>833505.88235294109</v>
      </c>
      <c r="CJ108" s="22">
        <f t="shared" ca="1" si="480"/>
        <v>833505.88235294109</v>
      </c>
      <c r="CK108" s="22">
        <f t="shared" ca="1" si="480"/>
        <v>833505.88235294109</v>
      </c>
      <c r="CL108" s="22">
        <f t="shared" ca="1" si="480"/>
        <v>833505.88235294109</v>
      </c>
      <c r="CM108" s="22">
        <f t="shared" ca="1" si="480"/>
        <v>833505.88235294109</v>
      </c>
      <c r="CN108" s="22">
        <f t="shared" ca="1" si="480"/>
        <v>833505.88235294109</v>
      </c>
      <c r="CO108" s="22">
        <f t="shared" ca="1" si="480"/>
        <v>833505.88235294109</v>
      </c>
      <c r="CP108" s="22">
        <f t="shared" ca="1" si="480"/>
        <v>833505.88235294109</v>
      </c>
      <c r="CQ108" s="22">
        <f t="shared" ca="1" si="480"/>
        <v>833505.88235294109</v>
      </c>
      <c r="CR108" s="22">
        <f t="shared" ca="1" si="480"/>
        <v>833505.88235294109</v>
      </c>
      <c r="CS108" s="22">
        <f t="shared" ca="1" si="480"/>
        <v>833505.88235294109</v>
      </c>
      <c r="CT108" s="22">
        <f t="shared" ca="1" si="480"/>
        <v>833505.88235294109</v>
      </c>
    </row>
    <row r="109" spans="2:100" outlineLevel="1" x14ac:dyDescent="0.2">
      <c r="C109" s="3"/>
      <c r="D109" s="12" t="s">
        <v>327</v>
      </c>
      <c r="E109" s="224" t="s">
        <v>178</v>
      </c>
      <c r="F109" s="299"/>
      <c r="G109" s="23">
        <f ca="1">IFERROR(INDEX(tbl_TCO_input,MATCH(
_xlfn.TEXTJOIN(keydelim,TRUE,G$14,$D109),rows_TCO_ID,0),MATCH(G$6,cols_TCO_input,0)),0)</f>
        <v>1</v>
      </c>
      <c r="H109" s="23">
        <f t="shared" ref="H109:R109" ca="1" si="481">IFERROR(INDEX(tbl_TCO_input,MATCH(
_xlfn.TEXTJOIN(keydelim,TRUE,H$14,$D109),rows_TCO_ID,0),MATCH(H$6,cols_TCO_input,0)),0)</f>
        <v>1</v>
      </c>
      <c r="I109" s="23">
        <f t="shared" ca="1" si="481"/>
        <v>1</v>
      </c>
      <c r="J109" s="23">
        <f t="shared" ca="1" si="481"/>
        <v>1</v>
      </c>
      <c r="K109" s="23">
        <f t="shared" ca="1" si="481"/>
        <v>1</v>
      </c>
      <c r="L109" s="23">
        <f t="shared" ca="1" si="481"/>
        <v>1</v>
      </c>
      <c r="M109" s="23">
        <f t="shared" ca="1" si="481"/>
        <v>1</v>
      </c>
      <c r="N109" s="23">
        <f t="shared" ca="1" si="481"/>
        <v>1</v>
      </c>
      <c r="O109" s="23">
        <f t="shared" ca="1" si="481"/>
        <v>1</v>
      </c>
      <c r="P109" s="23">
        <f t="shared" ca="1" si="481"/>
        <v>1</v>
      </c>
      <c r="Q109" s="23">
        <f t="shared" ca="1" si="481"/>
        <v>1</v>
      </c>
      <c r="R109" s="23">
        <f t="shared" ca="1" si="481"/>
        <v>1</v>
      </c>
      <c r="X109" s="12" t="s">
        <v>327</v>
      </c>
      <c r="Y109" s="224" t="s">
        <v>178</v>
      </c>
      <c r="AA109" s="23">
        <f ca="1">IFERROR(INDEX(tbl_TCO_input,MATCH(
_xlfn.TEXTJOIN(keydelim,TRUE,AA$14,$D109),rows_TCO_ID,0),MATCH(AA$6,cols_TCO_input,0)),0)</f>
        <v>1</v>
      </c>
      <c r="AB109" s="23">
        <f t="shared" ref="AB109:AL109" ca="1" si="482">IFERROR(INDEX(tbl_TCO_input,MATCH(
_xlfn.TEXTJOIN(keydelim,TRUE,AB$14,$D109),rows_TCO_ID,0),MATCH(AB$6,cols_TCO_input,0)),0)</f>
        <v>1</v>
      </c>
      <c r="AC109" s="23">
        <f t="shared" ca="1" si="482"/>
        <v>1</v>
      </c>
      <c r="AD109" s="23">
        <f t="shared" ca="1" si="482"/>
        <v>1</v>
      </c>
      <c r="AE109" s="23">
        <f t="shared" ca="1" si="482"/>
        <v>1</v>
      </c>
      <c r="AF109" s="23">
        <f t="shared" ca="1" si="482"/>
        <v>1</v>
      </c>
      <c r="AG109" s="23">
        <f t="shared" ca="1" si="482"/>
        <v>1</v>
      </c>
      <c r="AH109" s="23">
        <f t="shared" ca="1" si="482"/>
        <v>1</v>
      </c>
      <c r="AI109" s="23">
        <f t="shared" ca="1" si="482"/>
        <v>1</v>
      </c>
      <c r="AJ109" s="23">
        <f t="shared" ca="1" si="482"/>
        <v>1</v>
      </c>
      <c r="AK109" s="23">
        <f t="shared" ca="1" si="482"/>
        <v>1</v>
      </c>
      <c r="AL109" s="23">
        <f t="shared" ca="1" si="482"/>
        <v>1</v>
      </c>
      <c r="AR109" s="12" t="s">
        <v>327</v>
      </c>
      <c r="AS109" s="224" t="s">
        <v>178</v>
      </c>
      <c r="AU109" s="23">
        <f ca="1">IFERROR(INDEX(tbl_TCO_input,MATCH(
_xlfn.TEXTJOIN(keydelim,TRUE,AU$14,$D109),rows_TCO_ID,0),MATCH(AU$6,cols_TCO_input,0)),0)</f>
        <v>1</v>
      </c>
      <c r="AV109" s="23">
        <f t="shared" ref="AV109:BF109" ca="1" si="483">IFERROR(INDEX(tbl_TCO_input,MATCH(
_xlfn.TEXTJOIN(keydelim,TRUE,AV$14,$D109),rows_TCO_ID,0),MATCH(AV$6,cols_TCO_input,0)),0)</f>
        <v>1</v>
      </c>
      <c r="AW109" s="23">
        <f t="shared" ca="1" si="483"/>
        <v>1</v>
      </c>
      <c r="AX109" s="23">
        <f t="shared" ca="1" si="483"/>
        <v>1</v>
      </c>
      <c r="AY109" s="23">
        <f t="shared" ca="1" si="483"/>
        <v>1</v>
      </c>
      <c r="AZ109" s="23">
        <f t="shared" ca="1" si="483"/>
        <v>1</v>
      </c>
      <c r="BA109" s="23">
        <f t="shared" ca="1" si="483"/>
        <v>1</v>
      </c>
      <c r="BB109" s="23">
        <f t="shared" ca="1" si="483"/>
        <v>1</v>
      </c>
      <c r="BC109" s="23">
        <f t="shared" ca="1" si="483"/>
        <v>1</v>
      </c>
      <c r="BD109" s="23">
        <f t="shared" ca="1" si="483"/>
        <v>1</v>
      </c>
      <c r="BE109" s="23">
        <f t="shared" ca="1" si="483"/>
        <v>1</v>
      </c>
      <c r="BF109" s="23">
        <f t="shared" ca="1" si="483"/>
        <v>1</v>
      </c>
      <c r="BL109" s="12" t="s">
        <v>327</v>
      </c>
      <c r="BM109" s="224" t="s">
        <v>178</v>
      </c>
      <c r="BO109" s="23">
        <f ca="1">IFERROR(INDEX(tbl_TCO_input,MATCH(
_xlfn.TEXTJOIN(keydelim,TRUE,BO$14,$D109),rows_TCO_ID,0),MATCH(BO$6,cols_TCO_input,0)),0)</f>
        <v>1</v>
      </c>
      <c r="BP109" s="23">
        <f t="shared" ref="BP109:BZ109" ca="1" si="484">IFERROR(INDEX(tbl_TCO_input,MATCH(
_xlfn.TEXTJOIN(keydelim,TRUE,BP$14,$D109),rows_TCO_ID,0),MATCH(BP$6,cols_TCO_input,0)),0)</f>
        <v>1</v>
      </c>
      <c r="BQ109" s="23">
        <f t="shared" ca="1" si="484"/>
        <v>1</v>
      </c>
      <c r="BR109" s="23">
        <f t="shared" ca="1" si="484"/>
        <v>1</v>
      </c>
      <c r="BS109" s="23">
        <f t="shared" ca="1" si="484"/>
        <v>1</v>
      </c>
      <c r="BT109" s="23">
        <f t="shared" ca="1" si="484"/>
        <v>1</v>
      </c>
      <c r="BU109" s="23">
        <f t="shared" ca="1" si="484"/>
        <v>1</v>
      </c>
      <c r="BV109" s="23">
        <f t="shared" ca="1" si="484"/>
        <v>1</v>
      </c>
      <c r="BW109" s="23">
        <f t="shared" ca="1" si="484"/>
        <v>1</v>
      </c>
      <c r="BX109" s="23">
        <f t="shared" ca="1" si="484"/>
        <v>1</v>
      </c>
      <c r="BY109" s="23">
        <f t="shared" ca="1" si="484"/>
        <v>1</v>
      </c>
      <c r="BZ109" s="23">
        <f t="shared" ca="1" si="484"/>
        <v>1</v>
      </c>
      <c r="CF109" s="12" t="s">
        <v>327</v>
      </c>
      <c r="CG109" s="224" t="s">
        <v>178</v>
      </c>
      <c r="CI109" s="23">
        <f ca="1">IFERROR(INDEX(tbl_TCO_input,MATCH(
_xlfn.TEXTJOIN(keydelim,TRUE,CI$14,$D109),rows_TCO_ID,0),MATCH(CI$6,cols_TCO_input,0)),0)</f>
        <v>1</v>
      </c>
      <c r="CJ109" s="23">
        <f t="shared" ref="CJ109:CT109" ca="1" si="485">IFERROR(INDEX(tbl_TCO_input,MATCH(
_xlfn.TEXTJOIN(keydelim,TRUE,CJ$14,$D109),rows_TCO_ID,0),MATCH(CJ$6,cols_TCO_input,0)),0)</f>
        <v>1</v>
      </c>
      <c r="CK109" s="23">
        <f t="shared" ca="1" si="485"/>
        <v>1</v>
      </c>
      <c r="CL109" s="23">
        <f t="shared" ca="1" si="485"/>
        <v>1</v>
      </c>
      <c r="CM109" s="23">
        <f t="shared" ca="1" si="485"/>
        <v>1</v>
      </c>
      <c r="CN109" s="23">
        <f t="shared" ca="1" si="485"/>
        <v>1</v>
      </c>
      <c r="CO109" s="23">
        <f t="shared" ca="1" si="485"/>
        <v>1</v>
      </c>
      <c r="CP109" s="23">
        <f t="shared" ca="1" si="485"/>
        <v>1</v>
      </c>
      <c r="CQ109" s="23">
        <f t="shared" ca="1" si="485"/>
        <v>1</v>
      </c>
      <c r="CR109" s="23">
        <f t="shared" ca="1" si="485"/>
        <v>1</v>
      </c>
      <c r="CS109" s="23">
        <f t="shared" ca="1" si="485"/>
        <v>1</v>
      </c>
      <c r="CT109" s="23">
        <f t="shared" ca="1" si="485"/>
        <v>1</v>
      </c>
    </row>
    <row r="110" spans="2:100" s="266" customFormat="1" outlineLevel="1" x14ac:dyDescent="0.2">
      <c r="C110" s="300"/>
      <c r="D110" s="288" t="s">
        <v>328</v>
      </c>
      <c r="E110" s="282" t="s">
        <v>326</v>
      </c>
      <c r="F110" t="s">
        <v>329</v>
      </c>
      <c r="G110" s="227">
        <f t="shared" ref="G110:R110" ca="1" si="486">G$118*G111/G112*(1-G$120)*GJ_per_MWh</f>
        <v>833505.88235294109</v>
      </c>
      <c r="H110" s="227">
        <f t="shared" ca="1" si="486"/>
        <v>833505.88235294109</v>
      </c>
      <c r="I110" s="227">
        <f t="shared" ca="1" si="486"/>
        <v>833505.88235294109</v>
      </c>
      <c r="J110" s="227">
        <f t="shared" ca="1" si="486"/>
        <v>833505.88235294109</v>
      </c>
      <c r="K110" s="227">
        <f t="shared" ca="1" si="486"/>
        <v>833505.88235294109</v>
      </c>
      <c r="L110" s="227">
        <f t="shared" ca="1" si="486"/>
        <v>833505.88235294109</v>
      </c>
      <c r="M110" s="227">
        <f t="shared" ca="1" si="486"/>
        <v>833505.88235294109</v>
      </c>
      <c r="N110" s="227">
        <f t="shared" ca="1" si="486"/>
        <v>833505.88235294109</v>
      </c>
      <c r="O110" s="227">
        <f t="shared" ca="1" si="486"/>
        <v>833505.88235294109</v>
      </c>
      <c r="P110" s="227">
        <f t="shared" ca="1" si="486"/>
        <v>833505.88235294109</v>
      </c>
      <c r="Q110" s="227">
        <f t="shared" ca="1" si="486"/>
        <v>833505.88235294109</v>
      </c>
      <c r="R110" s="227">
        <f t="shared" ca="1" si="486"/>
        <v>833505.88235294109</v>
      </c>
      <c r="X110" s="288" t="s">
        <v>328</v>
      </c>
      <c r="Y110" s="282" t="s">
        <v>326</v>
      </c>
      <c r="Z110" t="s">
        <v>329</v>
      </c>
      <c r="AA110" s="227">
        <f t="shared" ref="AA110:AL110" ca="1" si="487">AA$118*AA111/AA112*(1-AA$120)*GJ_per_MWh</f>
        <v>825170.82352941169</v>
      </c>
      <c r="AB110" s="227">
        <f t="shared" ca="1" si="487"/>
        <v>825170.82352941169</v>
      </c>
      <c r="AC110" s="227">
        <f t="shared" ca="1" si="487"/>
        <v>825170.82352941169</v>
      </c>
      <c r="AD110" s="227">
        <f t="shared" ca="1" si="487"/>
        <v>825170.82352941169</v>
      </c>
      <c r="AE110" s="227">
        <f t="shared" ca="1" si="487"/>
        <v>825170.82352941169</v>
      </c>
      <c r="AF110" s="227">
        <f t="shared" ca="1" si="487"/>
        <v>825170.82352941169</v>
      </c>
      <c r="AG110" s="227">
        <f t="shared" ca="1" si="487"/>
        <v>825170.82352941169</v>
      </c>
      <c r="AH110" s="227">
        <f t="shared" ca="1" si="487"/>
        <v>825170.82352941169</v>
      </c>
      <c r="AI110" s="227">
        <f t="shared" ca="1" si="487"/>
        <v>825170.82352941169</v>
      </c>
      <c r="AJ110" s="227">
        <f t="shared" ca="1" si="487"/>
        <v>825170.82352941169</v>
      </c>
      <c r="AK110" s="227">
        <f t="shared" ca="1" si="487"/>
        <v>825170.82352941169</v>
      </c>
      <c r="AL110" s="227">
        <f t="shared" ca="1" si="487"/>
        <v>825170.82352941169</v>
      </c>
      <c r="AR110" s="288" t="s">
        <v>328</v>
      </c>
      <c r="AS110" s="282" t="s">
        <v>326</v>
      </c>
      <c r="AT110" t="s">
        <v>329</v>
      </c>
      <c r="AU110" s="227">
        <f t="shared" ref="AU110:BF110" ca="1" si="488">AU$118*AU111/AU112*(1-AU$120)*GJ_per_MWh</f>
        <v>791830.58823529398</v>
      </c>
      <c r="AV110" s="227">
        <f t="shared" ca="1" si="488"/>
        <v>791830.58823529398</v>
      </c>
      <c r="AW110" s="227">
        <f t="shared" ca="1" si="488"/>
        <v>791830.58823529398</v>
      </c>
      <c r="AX110" s="227">
        <f t="shared" ca="1" si="488"/>
        <v>791830.58823529398</v>
      </c>
      <c r="AY110" s="227">
        <f t="shared" ca="1" si="488"/>
        <v>791830.58823529398</v>
      </c>
      <c r="AZ110" s="227">
        <f t="shared" ca="1" si="488"/>
        <v>791830.58823529398</v>
      </c>
      <c r="BA110" s="227">
        <f t="shared" ca="1" si="488"/>
        <v>791830.58823529398</v>
      </c>
      <c r="BB110" s="227">
        <f t="shared" ca="1" si="488"/>
        <v>791830.58823529398</v>
      </c>
      <c r="BC110" s="227">
        <f t="shared" ca="1" si="488"/>
        <v>791830.58823529398</v>
      </c>
      <c r="BD110" s="227">
        <f t="shared" ca="1" si="488"/>
        <v>791830.58823529398</v>
      </c>
      <c r="BE110" s="227">
        <f t="shared" ca="1" si="488"/>
        <v>791830.58823529398</v>
      </c>
      <c r="BF110" s="227">
        <f t="shared" ca="1" si="488"/>
        <v>791830.58823529398</v>
      </c>
      <c r="BG110"/>
      <c r="BH110"/>
      <c r="BL110" s="288" t="s">
        <v>328</v>
      </c>
      <c r="BM110" s="282" t="s">
        <v>326</v>
      </c>
      <c r="BN110" t="s">
        <v>329</v>
      </c>
      <c r="BO110" s="227">
        <f t="shared" ref="BO110:BZ110" ca="1" si="489">BO$118*BO111/BO112*(1-BO$120)*GJ_per_MWh</f>
        <v>791830.58823529398</v>
      </c>
      <c r="BP110" s="227">
        <f t="shared" ca="1" si="489"/>
        <v>791830.58823529398</v>
      </c>
      <c r="BQ110" s="227">
        <f t="shared" ca="1" si="489"/>
        <v>791830.58823529398</v>
      </c>
      <c r="BR110" s="227">
        <f t="shared" ca="1" si="489"/>
        <v>791830.58823529398</v>
      </c>
      <c r="BS110" s="227">
        <f t="shared" ca="1" si="489"/>
        <v>791830.58823529398</v>
      </c>
      <c r="BT110" s="227">
        <f t="shared" ca="1" si="489"/>
        <v>791830.58823529398</v>
      </c>
      <c r="BU110" s="227">
        <f t="shared" ca="1" si="489"/>
        <v>791830.58823529398</v>
      </c>
      <c r="BV110" s="227">
        <f t="shared" ca="1" si="489"/>
        <v>791830.58823529398</v>
      </c>
      <c r="BW110" s="227">
        <f t="shared" ca="1" si="489"/>
        <v>791830.58823529398</v>
      </c>
      <c r="BX110" s="227">
        <f t="shared" ca="1" si="489"/>
        <v>791830.58823529398</v>
      </c>
      <c r="BY110" s="227">
        <f t="shared" ca="1" si="489"/>
        <v>791830.58823529398</v>
      </c>
      <c r="BZ110" s="227">
        <f t="shared" ca="1" si="489"/>
        <v>791830.58823529398</v>
      </c>
      <c r="CA110"/>
      <c r="CB110"/>
      <c r="CF110" s="288" t="s">
        <v>328</v>
      </c>
      <c r="CG110" s="282" t="s">
        <v>326</v>
      </c>
      <c r="CH110" t="s">
        <v>329</v>
      </c>
      <c r="CI110" s="227">
        <f t="shared" ref="CI110:CT110" ca="1" si="490">CI$118*CI111/CI112*(1-CI$120)*GJ_per_MWh</f>
        <v>791830.58823529398</v>
      </c>
      <c r="CJ110" s="227">
        <f t="shared" ca="1" si="490"/>
        <v>791830.58823529398</v>
      </c>
      <c r="CK110" s="227">
        <f t="shared" ca="1" si="490"/>
        <v>791830.58823529398</v>
      </c>
      <c r="CL110" s="227">
        <f t="shared" ca="1" si="490"/>
        <v>791830.58823529398</v>
      </c>
      <c r="CM110" s="227">
        <f t="shared" ca="1" si="490"/>
        <v>791830.58823529398</v>
      </c>
      <c r="CN110" s="227">
        <f t="shared" ca="1" si="490"/>
        <v>791830.58823529398</v>
      </c>
      <c r="CO110" s="227">
        <f t="shared" ca="1" si="490"/>
        <v>791830.58823529398</v>
      </c>
      <c r="CP110" s="227">
        <f t="shared" ca="1" si="490"/>
        <v>791830.58823529398</v>
      </c>
      <c r="CQ110" s="227">
        <f t="shared" ca="1" si="490"/>
        <v>791830.58823529398</v>
      </c>
      <c r="CR110" s="227">
        <f t="shared" ca="1" si="490"/>
        <v>791830.58823529398</v>
      </c>
      <c r="CS110" s="227">
        <f t="shared" ca="1" si="490"/>
        <v>791830.58823529398</v>
      </c>
      <c r="CT110" s="227">
        <f t="shared" ca="1" si="490"/>
        <v>791830.58823529398</v>
      </c>
      <c r="CU110"/>
      <c r="CV110"/>
    </row>
    <row r="111" spans="2:100" outlineLevel="1" x14ac:dyDescent="0.2">
      <c r="C111" s="97"/>
      <c r="D111" s="16" t="s">
        <v>297</v>
      </c>
      <c r="E111" s="224" t="s">
        <v>178</v>
      </c>
      <c r="F111" s="290">
        <f>F$17</f>
        <v>1</v>
      </c>
      <c r="G111" s="23">
        <f>G$17</f>
        <v>1</v>
      </c>
      <c r="H111" s="23">
        <f t="shared" ref="H111:R111" si="491">H$17</f>
        <v>1</v>
      </c>
      <c r="I111" s="23">
        <f t="shared" si="491"/>
        <v>1</v>
      </c>
      <c r="J111" s="23">
        <f t="shared" si="491"/>
        <v>1</v>
      </c>
      <c r="K111" s="23">
        <f t="shared" si="491"/>
        <v>1</v>
      </c>
      <c r="L111" s="23">
        <f t="shared" si="491"/>
        <v>1</v>
      </c>
      <c r="M111" s="23">
        <f t="shared" si="491"/>
        <v>1</v>
      </c>
      <c r="N111" s="23">
        <f t="shared" si="491"/>
        <v>1</v>
      </c>
      <c r="O111" s="23">
        <f t="shared" si="491"/>
        <v>1</v>
      </c>
      <c r="P111" s="23">
        <f t="shared" si="491"/>
        <v>1</v>
      </c>
      <c r="Q111" s="23">
        <f t="shared" si="491"/>
        <v>1</v>
      </c>
      <c r="R111" s="23">
        <f t="shared" si="491"/>
        <v>1</v>
      </c>
      <c r="X111" s="16" t="s">
        <v>297</v>
      </c>
      <c r="Y111" s="224" t="s">
        <v>178</v>
      </c>
      <c r="Z111" s="290">
        <f>Z$17</f>
        <v>0.99</v>
      </c>
      <c r="AA111" s="23">
        <f>AA$17</f>
        <v>0.99</v>
      </c>
      <c r="AB111" s="23">
        <f t="shared" ref="AB111:AL111" si="492">AB$17</f>
        <v>0.99</v>
      </c>
      <c r="AC111" s="23">
        <f t="shared" si="492"/>
        <v>0.99</v>
      </c>
      <c r="AD111" s="23">
        <f t="shared" si="492"/>
        <v>0.99</v>
      </c>
      <c r="AE111" s="23">
        <f t="shared" si="492"/>
        <v>0.99</v>
      </c>
      <c r="AF111" s="23">
        <f t="shared" si="492"/>
        <v>0.99</v>
      </c>
      <c r="AG111" s="23">
        <f t="shared" si="492"/>
        <v>0.99</v>
      </c>
      <c r="AH111" s="23">
        <f t="shared" si="492"/>
        <v>0.99</v>
      </c>
      <c r="AI111" s="23">
        <f t="shared" si="492"/>
        <v>0.99</v>
      </c>
      <c r="AJ111" s="23">
        <f t="shared" si="492"/>
        <v>0.99</v>
      </c>
      <c r="AK111" s="23">
        <f t="shared" si="492"/>
        <v>0.99</v>
      </c>
      <c r="AL111" s="23">
        <f t="shared" si="492"/>
        <v>0.99</v>
      </c>
      <c r="AR111" s="16" t="s">
        <v>297</v>
      </c>
      <c r="AS111" s="224" t="s">
        <v>178</v>
      </c>
      <c r="AT111" s="290">
        <f>AT$17</f>
        <v>0.95</v>
      </c>
      <c r="AU111" s="23">
        <f>AU$17</f>
        <v>0.95</v>
      </c>
      <c r="AV111" s="23">
        <f t="shared" ref="AV111:BF111" si="493">AV$17</f>
        <v>0.95</v>
      </c>
      <c r="AW111" s="23">
        <f t="shared" si="493"/>
        <v>0.95</v>
      </c>
      <c r="AX111" s="23">
        <f t="shared" si="493"/>
        <v>0.95</v>
      </c>
      <c r="AY111" s="23">
        <f t="shared" si="493"/>
        <v>0.95</v>
      </c>
      <c r="AZ111" s="23">
        <f t="shared" si="493"/>
        <v>0.95</v>
      </c>
      <c r="BA111" s="23">
        <f t="shared" si="493"/>
        <v>0.95</v>
      </c>
      <c r="BB111" s="23">
        <f t="shared" si="493"/>
        <v>0.95</v>
      </c>
      <c r="BC111" s="23">
        <f t="shared" si="493"/>
        <v>0.95</v>
      </c>
      <c r="BD111" s="23">
        <f t="shared" si="493"/>
        <v>0.95</v>
      </c>
      <c r="BE111" s="23">
        <f t="shared" si="493"/>
        <v>0.95</v>
      </c>
      <c r="BF111" s="23">
        <f t="shared" si="493"/>
        <v>0.95</v>
      </c>
      <c r="BL111" s="16" t="s">
        <v>297</v>
      </c>
      <c r="BM111" s="224" t="s">
        <v>178</v>
      </c>
      <c r="BN111" s="290">
        <f>BN$17</f>
        <v>0.95</v>
      </c>
      <c r="BO111" s="23">
        <f>BO$17</f>
        <v>0.95</v>
      </c>
      <c r="BP111" s="23">
        <f t="shared" ref="BP111:BZ111" si="494">BP$17</f>
        <v>0.95</v>
      </c>
      <c r="BQ111" s="23">
        <f t="shared" si="494"/>
        <v>0.95</v>
      </c>
      <c r="BR111" s="23">
        <f t="shared" si="494"/>
        <v>0.95</v>
      </c>
      <c r="BS111" s="23">
        <f t="shared" si="494"/>
        <v>0.95</v>
      </c>
      <c r="BT111" s="23">
        <f t="shared" si="494"/>
        <v>0.95</v>
      </c>
      <c r="BU111" s="23">
        <f t="shared" si="494"/>
        <v>0.95</v>
      </c>
      <c r="BV111" s="23">
        <f t="shared" si="494"/>
        <v>0.95</v>
      </c>
      <c r="BW111" s="23">
        <f t="shared" si="494"/>
        <v>0.95</v>
      </c>
      <c r="BX111" s="23">
        <f t="shared" si="494"/>
        <v>0.95</v>
      </c>
      <c r="BY111" s="23">
        <f t="shared" si="494"/>
        <v>0.95</v>
      </c>
      <c r="BZ111" s="23">
        <f t="shared" si="494"/>
        <v>0.95</v>
      </c>
      <c r="CF111" s="16" t="s">
        <v>297</v>
      </c>
      <c r="CG111" s="224" t="s">
        <v>178</v>
      </c>
      <c r="CH111" s="290">
        <f>CH$17</f>
        <v>0.95</v>
      </c>
      <c r="CI111" s="23">
        <f>CI$17</f>
        <v>0.95</v>
      </c>
      <c r="CJ111" s="23">
        <f t="shared" ref="CJ111:CT111" si="495">CJ$17</f>
        <v>0.95</v>
      </c>
      <c r="CK111" s="23">
        <f t="shared" si="495"/>
        <v>0.95</v>
      </c>
      <c r="CL111" s="23">
        <f t="shared" si="495"/>
        <v>0.95</v>
      </c>
      <c r="CM111" s="23">
        <f t="shared" si="495"/>
        <v>0.95</v>
      </c>
      <c r="CN111" s="23">
        <f t="shared" si="495"/>
        <v>0.95</v>
      </c>
      <c r="CO111" s="23">
        <f t="shared" si="495"/>
        <v>0.95</v>
      </c>
      <c r="CP111" s="23">
        <f t="shared" si="495"/>
        <v>0.95</v>
      </c>
      <c r="CQ111" s="23">
        <f t="shared" si="495"/>
        <v>0.95</v>
      </c>
      <c r="CR111" s="23">
        <f t="shared" si="495"/>
        <v>0.95</v>
      </c>
      <c r="CS111" s="23">
        <f t="shared" si="495"/>
        <v>0.95</v>
      </c>
      <c r="CT111" s="23">
        <f t="shared" si="495"/>
        <v>0.95</v>
      </c>
    </row>
    <row r="112" spans="2:100" outlineLevel="1" x14ac:dyDescent="0.2">
      <c r="C112" s="3"/>
      <c r="D112" s="16" t="s">
        <v>330</v>
      </c>
      <c r="E112" s="224" t="s">
        <v>331</v>
      </c>
      <c r="G112" s="23">
        <f t="shared" ref="G112:R112" ca="1" si="496">IFERROR(INDEX(tbl_TCO_input,MATCH(
_xlfn.TEXTJOIN(keydelim,TRUE,G$14,$D112),rows_TCO_ID,0),MATCH(G$6,cols_TCO_input,0)),0)</f>
        <v>0.51</v>
      </c>
      <c r="H112" s="23">
        <f t="shared" ca="1" si="496"/>
        <v>0.51</v>
      </c>
      <c r="I112" s="23">
        <f t="shared" ca="1" si="496"/>
        <v>0.51</v>
      </c>
      <c r="J112" s="23">
        <f t="shared" ca="1" si="496"/>
        <v>0.51</v>
      </c>
      <c r="K112" s="23">
        <f t="shared" ca="1" si="496"/>
        <v>0.51</v>
      </c>
      <c r="L112" s="23">
        <f t="shared" ca="1" si="496"/>
        <v>0.51</v>
      </c>
      <c r="M112" s="23">
        <f t="shared" ca="1" si="496"/>
        <v>0.51</v>
      </c>
      <c r="N112" s="23">
        <f t="shared" ca="1" si="496"/>
        <v>0.51</v>
      </c>
      <c r="O112" s="23">
        <f t="shared" ca="1" si="496"/>
        <v>0.51</v>
      </c>
      <c r="P112" s="23">
        <f t="shared" ca="1" si="496"/>
        <v>0.51</v>
      </c>
      <c r="Q112" s="23">
        <f t="shared" ca="1" si="496"/>
        <v>0.51</v>
      </c>
      <c r="R112" s="23">
        <f t="shared" ca="1" si="496"/>
        <v>0.51</v>
      </c>
      <c r="X112" s="16" t="s">
        <v>330</v>
      </c>
      <c r="Y112" s="224" t="s">
        <v>331</v>
      </c>
      <c r="AA112" s="23">
        <f t="shared" ref="AA112:AL112" ca="1" si="497">IFERROR(INDEX(tbl_TCO_input,MATCH(
_xlfn.TEXTJOIN(keydelim,TRUE,AA$14,$D112),rows_TCO_ID,0),MATCH(AA$6,cols_TCO_input,0)),0)</f>
        <v>0.51</v>
      </c>
      <c r="AB112" s="23">
        <f t="shared" ca="1" si="497"/>
        <v>0.51</v>
      </c>
      <c r="AC112" s="23">
        <f t="shared" ca="1" si="497"/>
        <v>0.51</v>
      </c>
      <c r="AD112" s="23">
        <f t="shared" ca="1" si="497"/>
        <v>0.51</v>
      </c>
      <c r="AE112" s="23">
        <f t="shared" ca="1" si="497"/>
        <v>0.51</v>
      </c>
      <c r="AF112" s="23">
        <f t="shared" ca="1" si="497"/>
        <v>0.51</v>
      </c>
      <c r="AG112" s="23">
        <f t="shared" ca="1" si="497"/>
        <v>0.51</v>
      </c>
      <c r="AH112" s="23">
        <f t="shared" ca="1" si="497"/>
        <v>0.51</v>
      </c>
      <c r="AI112" s="23">
        <f t="shared" ca="1" si="497"/>
        <v>0.51</v>
      </c>
      <c r="AJ112" s="23">
        <f t="shared" ca="1" si="497"/>
        <v>0.51</v>
      </c>
      <c r="AK112" s="23">
        <f t="shared" ca="1" si="497"/>
        <v>0.51</v>
      </c>
      <c r="AL112" s="23">
        <f t="shared" ca="1" si="497"/>
        <v>0.51</v>
      </c>
      <c r="AR112" s="16" t="s">
        <v>330</v>
      </c>
      <c r="AS112" s="224" t="s">
        <v>331</v>
      </c>
      <c r="AU112" s="23">
        <f t="shared" ref="AU112:BF112" ca="1" si="498">IFERROR(INDEX(tbl_TCO_input,MATCH(
_xlfn.TEXTJOIN(keydelim,TRUE,AU$14,$D112),rows_TCO_ID,0),MATCH(AU$6,cols_TCO_input,0)),0)</f>
        <v>0.51</v>
      </c>
      <c r="AV112" s="23">
        <f t="shared" ca="1" si="498"/>
        <v>0.51</v>
      </c>
      <c r="AW112" s="23">
        <f t="shared" ca="1" si="498"/>
        <v>0.51</v>
      </c>
      <c r="AX112" s="23">
        <f t="shared" ca="1" si="498"/>
        <v>0.51</v>
      </c>
      <c r="AY112" s="23">
        <f t="shared" ca="1" si="498"/>
        <v>0.51</v>
      </c>
      <c r="AZ112" s="23">
        <f t="shared" ca="1" si="498"/>
        <v>0.51</v>
      </c>
      <c r="BA112" s="23">
        <f t="shared" ca="1" si="498"/>
        <v>0.51</v>
      </c>
      <c r="BB112" s="23">
        <f t="shared" ca="1" si="498"/>
        <v>0.51</v>
      </c>
      <c r="BC112" s="23">
        <f t="shared" ca="1" si="498"/>
        <v>0.51</v>
      </c>
      <c r="BD112" s="23">
        <f t="shared" ca="1" si="498"/>
        <v>0.51</v>
      </c>
      <c r="BE112" s="23">
        <f t="shared" ca="1" si="498"/>
        <v>0.51</v>
      </c>
      <c r="BF112" s="23">
        <f t="shared" ca="1" si="498"/>
        <v>0.51</v>
      </c>
      <c r="BL112" s="16" t="s">
        <v>330</v>
      </c>
      <c r="BM112" s="224" t="s">
        <v>331</v>
      </c>
      <c r="BO112" s="23">
        <f t="shared" ref="BO112:BZ112" ca="1" si="499">IFERROR(INDEX(tbl_TCO_input,MATCH(
_xlfn.TEXTJOIN(keydelim,TRUE,BO$14,$D112),rows_TCO_ID,0),MATCH(BO$6,cols_TCO_input,0)),0)</f>
        <v>0.51</v>
      </c>
      <c r="BP112" s="23">
        <f t="shared" ca="1" si="499"/>
        <v>0.51</v>
      </c>
      <c r="BQ112" s="23">
        <f t="shared" ca="1" si="499"/>
        <v>0.51</v>
      </c>
      <c r="BR112" s="23">
        <f t="shared" ca="1" si="499"/>
        <v>0.51</v>
      </c>
      <c r="BS112" s="23">
        <f t="shared" ca="1" si="499"/>
        <v>0.51</v>
      </c>
      <c r="BT112" s="23">
        <f t="shared" ca="1" si="499"/>
        <v>0.51</v>
      </c>
      <c r="BU112" s="23">
        <f t="shared" ca="1" si="499"/>
        <v>0.51</v>
      </c>
      <c r="BV112" s="23">
        <f t="shared" ca="1" si="499"/>
        <v>0.51</v>
      </c>
      <c r="BW112" s="23">
        <f t="shared" ca="1" si="499"/>
        <v>0.51</v>
      </c>
      <c r="BX112" s="23">
        <f t="shared" ca="1" si="499"/>
        <v>0.51</v>
      </c>
      <c r="BY112" s="23">
        <f t="shared" ca="1" si="499"/>
        <v>0.51</v>
      </c>
      <c r="BZ112" s="23">
        <f t="shared" ca="1" si="499"/>
        <v>0.51</v>
      </c>
      <c r="CF112" s="16" t="s">
        <v>330</v>
      </c>
      <c r="CG112" s="224" t="s">
        <v>331</v>
      </c>
      <c r="CI112" s="23">
        <f t="shared" ref="CI112:CT112" ca="1" si="500">IFERROR(INDEX(tbl_TCO_input,MATCH(
_xlfn.TEXTJOIN(keydelim,TRUE,CI$14,$D112),rows_TCO_ID,0),MATCH(CI$6,cols_TCO_input,0)),0)</f>
        <v>0.51</v>
      </c>
      <c r="CJ112" s="23">
        <f t="shared" ca="1" si="500"/>
        <v>0.51</v>
      </c>
      <c r="CK112" s="23">
        <f t="shared" ca="1" si="500"/>
        <v>0.51</v>
      </c>
      <c r="CL112" s="23">
        <f t="shared" ca="1" si="500"/>
        <v>0.51</v>
      </c>
      <c r="CM112" s="23">
        <f t="shared" ca="1" si="500"/>
        <v>0.51</v>
      </c>
      <c r="CN112" s="23">
        <f t="shared" ca="1" si="500"/>
        <v>0.51</v>
      </c>
      <c r="CO112" s="23">
        <f t="shared" ca="1" si="500"/>
        <v>0.51</v>
      </c>
      <c r="CP112" s="23">
        <f t="shared" ca="1" si="500"/>
        <v>0.51</v>
      </c>
      <c r="CQ112" s="23">
        <f t="shared" ca="1" si="500"/>
        <v>0.51</v>
      </c>
      <c r="CR112" s="23">
        <f t="shared" ca="1" si="500"/>
        <v>0.51</v>
      </c>
      <c r="CS112" s="23">
        <f t="shared" ca="1" si="500"/>
        <v>0.51</v>
      </c>
      <c r="CT112" s="23">
        <f t="shared" ca="1" si="500"/>
        <v>0.51</v>
      </c>
    </row>
    <row r="113" spans="3:100" outlineLevel="1" x14ac:dyDescent="0.2">
      <c r="C113" s="3"/>
      <c r="D113" s="16" t="s">
        <v>332</v>
      </c>
      <c r="E113" s="224" t="s">
        <v>333</v>
      </c>
      <c r="F113" s="224" t="str">
        <f>_xlfn.TEXTJOIN(keydelim,TRUE,F$15,$D113)</f>
        <v>LSFO - LHV - kWh</v>
      </c>
      <c r="G113" s="52">
        <f t="shared" ref="G113:R113" ca="1" si="501">IFERROR(INDEX(tbl_TCO_input,MATCH(
_xlfn.TEXTJOIN(keydelim,TRUE,G$15,$D113),rows_TCO_ID,0),MATCH(G$6,cols_TCO_input,0)),0)</f>
        <v>11444.444444444445</v>
      </c>
      <c r="H113" s="52">
        <f t="shared" ca="1" si="501"/>
        <v>11444.444444444445</v>
      </c>
      <c r="I113" s="52">
        <f t="shared" ca="1" si="501"/>
        <v>11444.444444444445</v>
      </c>
      <c r="J113" s="52">
        <f t="shared" ca="1" si="501"/>
        <v>11444.444444444445</v>
      </c>
      <c r="K113" s="52">
        <f t="shared" ca="1" si="501"/>
        <v>11444.444444444445</v>
      </c>
      <c r="L113" s="52">
        <f t="shared" ca="1" si="501"/>
        <v>11444.444444444445</v>
      </c>
      <c r="M113" s="52">
        <f t="shared" ca="1" si="501"/>
        <v>11444.444444444445</v>
      </c>
      <c r="N113" s="52">
        <f t="shared" ca="1" si="501"/>
        <v>11444.444444444445</v>
      </c>
      <c r="O113" s="52">
        <f t="shared" ca="1" si="501"/>
        <v>11444.444444444445</v>
      </c>
      <c r="P113" s="52">
        <f t="shared" ca="1" si="501"/>
        <v>11444.444444444445</v>
      </c>
      <c r="Q113" s="52">
        <f t="shared" ca="1" si="501"/>
        <v>11444.444444444445</v>
      </c>
      <c r="R113" s="52">
        <f t="shared" ca="1" si="501"/>
        <v>11444.444444444445</v>
      </c>
      <c r="X113" s="16" t="s">
        <v>332</v>
      </c>
      <c r="Y113" s="224" t="s">
        <v>333</v>
      </c>
      <c r="Z113" s="224" t="str">
        <f>_xlfn.TEXTJOIN(keydelim,TRUE,Z$15,$D113)</f>
        <v>LNG - LHV - kWh</v>
      </c>
      <c r="AA113" s="52">
        <f t="shared" ref="AA113:AL113" ca="1" si="502">IFERROR(INDEX(tbl_TCO_input,MATCH(
_xlfn.TEXTJOIN(keydelim,TRUE,AA$15,$D113),rows_TCO_ID,0),MATCH(AA$6,cols_TCO_input,0)),0)</f>
        <v>13333.333333333334</v>
      </c>
      <c r="AB113" s="52">
        <f t="shared" ca="1" si="502"/>
        <v>13333.333333333334</v>
      </c>
      <c r="AC113" s="52">
        <f t="shared" ca="1" si="502"/>
        <v>13333.333333333334</v>
      </c>
      <c r="AD113" s="52">
        <f t="shared" ca="1" si="502"/>
        <v>13333.333333333334</v>
      </c>
      <c r="AE113" s="52">
        <f t="shared" ca="1" si="502"/>
        <v>13333.333333333334</v>
      </c>
      <c r="AF113" s="52">
        <f t="shared" ca="1" si="502"/>
        <v>13333.333333333334</v>
      </c>
      <c r="AG113" s="52">
        <f t="shared" ca="1" si="502"/>
        <v>13333.333333333334</v>
      </c>
      <c r="AH113" s="52">
        <f t="shared" ca="1" si="502"/>
        <v>13333.333333333334</v>
      </c>
      <c r="AI113" s="52">
        <f t="shared" ca="1" si="502"/>
        <v>13333.333333333334</v>
      </c>
      <c r="AJ113" s="52">
        <f t="shared" ca="1" si="502"/>
        <v>13333.333333333334</v>
      </c>
      <c r="AK113" s="52">
        <f t="shared" ca="1" si="502"/>
        <v>13333.333333333334</v>
      </c>
      <c r="AL113" s="52">
        <f t="shared" ca="1" si="502"/>
        <v>13333.333333333334</v>
      </c>
      <c r="AR113" s="16" t="s">
        <v>332</v>
      </c>
      <c r="AS113" s="224" t="s">
        <v>333</v>
      </c>
      <c r="AT113" s="224" t="str">
        <f>_xlfn.TEXTJOIN(keydelim,TRUE,AT$15,$D113)</f>
        <v>e-Ammonia - LHV - kWh</v>
      </c>
      <c r="AU113" s="52">
        <f t="shared" ref="AU113:BF113" ca="1" si="503">IFERROR(INDEX(tbl_TCO_input,MATCH(
_xlfn.TEXTJOIN(keydelim,TRUE,AU$15,$D113),rows_TCO_ID,0),MATCH(AU$6,cols_TCO_input,0)),0)</f>
        <v>5222.2222222222226</v>
      </c>
      <c r="AV113" s="52">
        <f t="shared" ca="1" si="503"/>
        <v>5222.2222222222226</v>
      </c>
      <c r="AW113" s="52">
        <f t="shared" ca="1" si="503"/>
        <v>5222.2222222222226</v>
      </c>
      <c r="AX113" s="52">
        <f t="shared" ca="1" si="503"/>
        <v>5222.2222222222226</v>
      </c>
      <c r="AY113" s="52">
        <f t="shared" ca="1" si="503"/>
        <v>5222.2222222222226</v>
      </c>
      <c r="AZ113" s="52">
        <f t="shared" ca="1" si="503"/>
        <v>5222.2222222222226</v>
      </c>
      <c r="BA113" s="52">
        <f t="shared" ca="1" si="503"/>
        <v>5222.2222222222226</v>
      </c>
      <c r="BB113" s="52">
        <f t="shared" ca="1" si="503"/>
        <v>5222.2222222222226</v>
      </c>
      <c r="BC113" s="52">
        <f t="shared" ca="1" si="503"/>
        <v>5222.2222222222226</v>
      </c>
      <c r="BD113" s="52">
        <f t="shared" ca="1" si="503"/>
        <v>5222.2222222222226</v>
      </c>
      <c r="BE113" s="52">
        <f t="shared" ca="1" si="503"/>
        <v>5222.2222222222226</v>
      </c>
      <c r="BF113" s="52">
        <f t="shared" ca="1" si="503"/>
        <v>5222.2222222222226</v>
      </c>
      <c r="BL113" s="16" t="s">
        <v>332</v>
      </c>
      <c r="BM113" s="224" t="s">
        <v>333</v>
      </c>
      <c r="BN113" s="224" t="str">
        <f>_xlfn.TEXTJOIN(keydelim,TRUE,BN$15,$D113)</f>
        <v>Blue ammonia - LHV - kWh</v>
      </c>
      <c r="BO113" s="52">
        <f t="shared" ref="BO113:BZ113" ca="1" si="504">IFERROR(INDEX(tbl_TCO_input,MATCH(
_xlfn.TEXTJOIN(keydelim,TRUE,BO$15,$D113),rows_TCO_ID,0),MATCH(BO$6,cols_TCO_input,0)),0)</f>
        <v>5222.2222222222226</v>
      </c>
      <c r="BP113" s="52">
        <f t="shared" ca="1" si="504"/>
        <v>5222.2222222222226</v>
      </c>
      <c r="BQ113" s="52">
        <f t="shared" ca="1" si="504"/>
        <v>5222.2222222222226</v>
      </c>
      <c r="BR113" s="52">
        <f t="shared" ca="1" si="504"/>
        <v>5222.2222222222226</v>
      </c>
      <c r="BS113" s="52">
        <f t="shared" ca="1" si="504"/>
        <v>5222.2222222222226</v>
      </c>
      <c r="BT113" s="52">
        <f t="shared" ca="1" si="504"/>
        <v>5222.2222222222226</v>
      </c>
      <c r="BU113" s="52">
        <f t="shared" ca="1" si="504"/>
        <v>5222.2222222222226</v>
      </c>
      <c r="BV113" s="52">
        <f t="shared" ca="1" si="504"/>
        <v>5222.2222222222226</v>
      </c>
      <c r="BW113" s="52">
        <f t="shared" ca="1" si="504"/>
        <v>5222.2222222222226</v>
      </c>
      <c r="BX113" s="52">
        <f t="shared" ca="1" si="504"/>
        <v>5222.2222222222226</v>
      </c>
      <c r="BY113" s="52">
        <f t="shared" ca="1" si="504"/>
        <v>5222.2222222222226</v>
      </c>
      <c r="BZ113" s="52">
        <f t="shared" ca="1" si="504"/>
        <v>5222.2222222222226</v>
      </c>
      <c r="CF113" s="16" t="s">
        <v>332</v>
      </c>
      <c r="CG113" s="224" t="s">
        <v>333</v>
      </c>
      <c r="CH113" s="224" t="str">
        <f>_xlfn.TEXTJOIN(keydelim,TRUE,CH$15,$D113)</f>
        <v>Biomethanol - LHV - kWh</v>
      </c>
      <c r="CI113" s="52">
        <f t="shared" ref="CI113:CT113" ca="1" si="505">IFERROR(INDEX(tbl_TCO_input,MATCH(
_xlfn.TEXTJOIN(keydelim,TRUE,CI$15,$D113),rows_TCO_ID,0),MATCH(CI$6,cols_TCO_input,0)),0)</f>
        <v>5527.7777777777783</v>
      </c>
      <c r="CJ113" s="52">
        <f t="shared" ca="1" si="505"/>
        <v>5527.7777777777783</v>
      </c>
      <c r="CK113" s="52">
        <f t="shared" ca="1" si="505"/>
        <v>5527.7777777777783</v>
      </c>
      <c r="CL113" s="52">
        <f t="shared" ca="1" si="505"/>
        <v>5527.7777777777783</v>
      </c>
      <c r="CM113" s="52">
        <f t="shared" ca="1" si="505"/>
        <v>5527.7777777777783</v>
      </c>
      <c r="CN113" s="52">
        <f t="shared" ca="1" si="505"/>
        <v>5527.7777777777783</v>
      </c>
      <c r="CO113" s="52">
        <f t="shared" ca="1" si="505"/>
        <v>5527.7777777777783</v>
      </c>
      <c r="CP113" s="52">
        <f t="shared" ca="1" si="505"/>
        <v>5527.7777777777783</v>
      </c>
      <c r="CQ113" s="52">
        <f t="shared" ca="1" si="505"/>
        <v>5527.7777777777783</v>
      </c>
      <c r="CR113" s="52">
        <f t="shared" ca="1" si="505"/>
        <v>5527.7777777777783</v>
      </c>
      <c r="CS113" s="52">
        <f t="shared" ca="1" si="505"/>
        <v>5527.7777777777783</v>
      </c>
      <c r="CT113" s="52">
        <f t="shared" ca="1" si="505"/>
        <v>5527.7777777777783</v>
      </c>
    </row>
    <row r="114" spans="3:100" s="266" customFormat="1" outlineLevel="1" x14ac:dyDescent="0.2">
      <c r="C114" s="285"/>
      <c r="D114" s="288" t="s">
        <v>334</v>
      </c>
      <c r="E114" s="282" t="s">
        <v>326</v>
      </c>
      <c r="F114" t="s">
        <v>329</v>
      </c>
      <c r="G114" s="227">
        <f t="shared" ref="G114:R114" ca="1" si="506">G$118*G115/G116*(1-G$120)*GJ_per_MWh</f>
        <v>0</v>
      </c>
      <c r="H114" s="227">
        <f t="shared" ca="1" si="506"/>
        <v>0</v>
      </c>
      <c r="I114" s="227">
        <f t="shared" ca="1" si="506"/>
        <v>0</v>
      </c>
      <c r="J114" s="227">
        <f t="shared" ca="1" si="506"/>
        <v>0</v>
      </c>
      <c r="K114" s="227">
        <f t="shared" ca="1" si="506"/>
        <v>0</v>
      </c>
      <c r="L114" s="227">
        <f t="shared" ca="1" si="506"/>
        <v>0</v>
      </c>
      <c r="M114" s="227">
        <f t="shared" ca="1" si="506"/>
        <v>0</v>
      </c>
      <c r="N114" s="227">
        <f t="shared" ca="1" si="506"/>
        <v>0</v>
      </c>
      <c r="O114" s="227">
        <f t="shared" ca="1" si="506"/>
        <v>0</v>
      </c>
      <c r="P114" s="227">
        <f t="shared" ca="1" si="506"/>
        <v>0</v>
      </c>
      <c r="Q114" s="227">
        <f t="shared" ca="1" si="506"/>
        <v>0</v>
      </c>
      <c r="R114" s="227">
        <f t="shared" ca="1" si="506"/>
        <v>0</v>
      </c>
      <c r="X114" s="288" t="s">
        <v>334</v>
      </c>
      <c r="Y114" s="282" t="s">
        <v>326</v>
      </c>
      <c r="Z114" t="s">
        <v>329</v>
      </c>
      <c r="AA114" s="227">
        <f t="shared" ref="AA114:AL114" ca="1" si="507">AA$118*AA115/AA116*(1-AA$120)*GJ_per_MWh</f>
        <v>8335.0588235294181</v>
      </c>
      <c r="AB114" s="227">
        <f t="shared" ca="1" si="507"/>
        <v>8335.0588235294181</v>
      </c>
      <c r="AC114" s="227">
        <f t="shared" ca="1" si="507"/>
        <v>8335.0588235294181</v>
      </c>
      <c r="AD114" s="227">
        <f t="shared" ca="1" si="507"/>
        <v>8335.0588235294181</v>
      </c>
      <c r="AE114" s="227">
        <f t="shared" ca="1" si="507"/>
        <v>8335.0588235294181</v>
      </c>
      <c r="AF114" s="227">
        <f t="shared" ca="1" si="507"/>
        <v>8335.0588235294181</v>
      </c>
      <c r="AG114" s="227">
        <f t="shared" ca="1" si="507"/>
        <v>8335.0588235294181</v>
      </c>
      <c r="AH114" s="227">
        <f t="shared" ca="1" si="507"/>
        <v>8335.0588235294181</v>
      </c>
      <c r="AI114" s="227">
        <f t="shared" ca="1" si="507"/>
        <v>8335.0588235294181</v>
      </c>
      <c r="AJ114" s="227">
        <f t="shared" ca="1" si="507"/>
        <v>8335.0588235294181</v>
      </c>
      <c r="AK114" s="227">
        <f t="shared" ca="1" si="507"/>
        <v>8335.0588235294181</v>
      </c>
      <c r="AL114" s="227">
        <f t="shared" ca="1" si="507"/>
        <v>8335.0588235294181</v>
      </c>
      <c r="AR114" s="288" t="s">
        <v>334</v>
      </c>
      <c r="AS114" s="282" t="s">
        <v>326</v>
      </c>
      <c r="AT114" t="s">
        <v>329</v>
      </c>
      <c r="AU114" s="227">
        <f t="shared" ref="AU114:BF114" ca="1" si="508">AU$118*AU115/AU116*(1-AU$120)*GJ_per_MWh</f>
        <v>41675.294117647092</v>
      </c>
      <c r="AV114" s="227">
        <f t="shared" ca="1" si="508"/>
        <v>41675.294117647092</v>
      </c>
      <c r="AW114" s="227">
        <f t="shared" ca="1" si="508"/>
        <v>41675.294117647092</v>
      </c>
      <c r="AX114" s="227">
        <f t="shared" ca="1" si="508"/>
        <v>41675.294117647092</v>
      </c>
      <c r="AY114" s="227">
        <f t="shared" ca="1" si="508"/>
        <v>41675.294117647092</v>
      </c>
      <c r="AZ114" s="227">
        <f t="shared" ca="1" si="508"/>
        <v>41675.294117647092</v>
      </c>
      <c r="BA114" s="227">
        <f t="shared" ca="1" si="508"/>
        <v>41675.294117647092</v>
      </c>
      <c r="BB114" s="227">
        <f t="shared" ca="1" si="508"/>
        <v>41675.294117647092</v>
      </c>
      <c r="BC114" s="227">
        <f t="shared" ca="1" si="508"/>
        <v>41675.294117647092</v>
      </c>
      <c r="BD114" s="227">
        <f t="shared" ca="1" si="508"/>
        <v>41675.294117647092</v>
      </c>
      <c r="BE114" s="227">
        <f t="shared" ca="1" si="508"/>
        <v>41675.294117647092</v>
      </c>
      <c r="BF114" s="227">
        <f t="shared" ca="1" si="508"/>
        <v>41675.294117647092</v>
      </c>
      <c r="BG114"/>
      <c r="BH114"/>
      <c r="BL114" s="288" t="s">
        <v>334</v>
      </c>
      <c r="BM114" s="282" t="s">
        <v>326</v>
      </c>
      <c r="BN114" t="s">
        <v>329</v>
      </c>
      <c r="BO114" s="227">
        <f t="shared" ref="BO114:BZ114" ca="1" si="509">BO$118*BO115/BO116*(1-BO$120)*GJ_per_MWh</f>
        <v>41675.294117647092</v>
      </c>
      <c r="BP114" s="227">
        <f t="shared" ca="1" si="509"/>
        <v>41675.294117647092</v>
      </c>
      <c r="BQ114" s="227">
        <f t="shared" ca="1" si="509"/>
        <v>41675.294117647092</v>
      </c>
      <c r="BR114" s="227">
        <f t="shared" ca="1" si="509"/>
        <v>41675.294117647092</v>
      </c>
      <c r="BS114" s="227">
        <f t="shared" ca="1" si="509"/>
        <v>41675.294117647092</v>
      </c>
      <c r="BT114" s="227">
        <f t="shared" ca="1" si="509"/>
        <v>41675.294117647092</v>
      </c>
      <c r="BU114" s="227">
        <f t="shared" ca="1" si="509"/>
        <v>41675.294117647092</v>
      </c>
      <c r="BV114" s="227">
        <f t="shared" ca="1" si="509"/>
        <v>41675.294117647092</v>
      </c>
      <c r="BW114" s="227">
        <f t="shared" ca="1" si="509"/>
        <v>41675.294117647092</v>
      </c>
      <c r="BX114" s="227">
        <f t="shared" ca="1" si="509"/>
        <v>41675.294117647092</v>
      </c>
      <c r="BY114" s="227">
        <f t="shared" ca="1" si="509"/>
        <v>41675.294117647092</v>
      </c>
      <c r="BZ114" s="227">
        <f t="shared" ca="1" si="509"/>
        <v>41675.294117647092</v>
      </c>
      <c r="CA114"/>
      <c r="CB114"/>
      <c r="CF114" s="288" t="s">
        <v>334</v>
      </c>
      <c r="CG114" s="282" t="s">
        <v>326</v>
      </c>
      <c r="CH114" t="s">
        <v>329</v>
      </c>
      <c r="CI114" s="227">
        <f t="shared" ref="CI114:CT114" ca="1" si="510">CI$118*CI115/CI116*(1-CI$120)*GJ_per_MWh</f>
        <v>41675.294117647092</v>
      </c>
      <c r="CJ114" s="227">
        <f t="shared" ca="1" si="510"/>
        <v>41675.294117647092</v>
      </c>
      <c r="CK114" s="227">
        <f t="shared" ca="1" si="510"/>
        <v>41675.294117647092</v>
      </c>
      <c r="CL114" s="227">
        <f t="shared" ca="1" si="510"/>
        <v>41675.294117647092</v>
      </c>
      <c r="CM114" s="227">
        <f t="shared" ca="1" si="510"/>
        <v>41675.294117647092</v>
      </c>
      <c r="CN114" s="227">
        <f t="shared" ca="1" si="510"/>
        <v>41675.294117647092</v>
      </c>
      <c r="CO114" s="227">
        <f t="shared" ca="1" si="510"/>
        <v>41675.294117647092</v>
      </c>
      <c r="CP114" s="227">
        <f t="shared" ca="1" si="510"/>
        <v>41675.294117647092</v>
      </c>
      <c r="CQ114" s="227">
        <f t="shared" ca="1" si="510"/>
        <v>41675.294117647092</v>
      </c>
      <c r="CR114" s="227">
        <f t="shared" ca="1" si="510"/>
        <v>41675.294117647092</v>
      </c>
      <c r="CS114" s="227">
        <f t="shared" ca="1" si="510"/>
        <v>41675.294117647092</v>
      </c>
      <c r="CT114" s="227">
        <f t="shared" ca="1" si="510"/>
        <v>41675.294117647092</v>
      </c>
      <c r="CU114"/>
      <c r="CV114"/>
    </row>
    <row r="115" spans="3:100" outlineLevel="1" x14ac:dyDescent="0.2">
      <c r="C115" s="3"/>
      <c r="D115" s="16" t="s">
        <v>313</v>
      </c>
      <c r="E115" s="224" t="s">
        <v>178</v>
      </c>
      <c r="F115" s="291">
        <f t="shared" ref="F115:R115" si="511">1-F111</f>
        <v>0</v>
      </c>
      <c r="G115" s="292">
        <f t="shared" si="511"/>
        <v>0</v>
      </c>
      <c r="H115" s="292">
        <f t="shared" si="511"/>
        <v>0</v>
      </c>
      <c r="I115" s="292">
        <f t="shared" si="511"/>
        <v>0</v>
      </c>
      <c r="J115" s="292">
        <f t="shared" si="511"/>
        <v>0</v>
      </c>
      <c r="K115" s="292">
        <f t="shared" si="511"/>
        <v>0</v>
      </c>
      <c r="L115" s="292">
        <f t="shared" si="511"/>
        <v>0</v>
      </c>
      <c r="M115" s="292">
        <f t="shared" si="511"/>
        <v>0</v>
      </c>
      <c r="N115" s="292">
        <f t="shared" si="511"/>
        <v>0</v>
      </c>
      <c r="O115" s="292">
        <f t="shared" si="511"/>
        <v>0</v>
      </c>
      <c r="P115" s="292">
        <f t="shared" si="511"/>
        <v>0</v>
      </c>
      <c r="Q115" s="292">
        <f t="shared" si="511"/>
        <v>0</v>
      </c>
      <c r="R115" s="292">
        <f t="shared" si="511"/>
        <v>0</v>
      </c>
      <c r="X115" s="16" t="s">
        <v>313</v>
      </c>
      <c r="Y115" s="224" t="s">
        <v>178</v>
      </c>
      <c r="Z115" s="291">
        <f t="shared" ref="Z115:AL115" si="512">1-Z111</f>
        <v>1.0000000000000009E-2</v>
      </c>
      <c r="AA115" s="292">
        <f t="shared" si="512"/>
        <v>1.0000000000000009E-2</v>
      </c>
      <c r="AB115" s="292">
        <f t="shared" si="512"/>
        <v>1.0000000000000009E-2</v>
      </c>
      <c r="AC115" s="292">
        <f t="shared" si="512"/>
        <v>1.0000000000000009E-2</v>
      </c>
      <c r="AD115" s="292">
        <f t="shared" si="512"/>
        <v>1.0000000000000009E-2</v>
      </c>
      <c r="AE115" s="292">
        <f t="shared" si="512"/>
        <v>1.0000000000000009E-2</v>
      </c>
      <c r="AF115" s="292">
        <f t="shared" si="512"/>
        <v>1.0000000000000009E-2</v>
      </c>
      <c r="AG115" s="292">
        <f t="shared" si="512"/>
        <v>1.0000000000000009E-2</v>
      </c>
      <c r="AH115" s="292">
        <f t="shared" si="512"/>
        <v>1.0000000000000009E-2</v>
      </c>
      <c r="AI115" s="292">
        <f t="shared" si="512"/>
        <v>1.0000000000000009E-2</v>
      </c>
      <c r="AJ115" s="292">
        <f t="shared" si="512"/>
        <v>1.0000000000000009E-2</v>
      </c>
      <c r="AK115" s="292">
        <f t="shared" si="512"/>
        <v>1.0000000000000009E-2</v>
      </c>
      <c r="AL115" s="292">
        <f t="shared" si="512"/>
        <v>1.0000000000000009E-2</v>
      </c>
      <c r="AR115" s="16" t="s">
        <v>313</v>
      </c>
      <c r="AS115" s="224" t="s">
        <v>178</v>
      </c>
      <c r="AT115" s="291">
        <f t="shared" ref="AT115:BF115" si="513">1-AT111</f>
        <v>5.0000000000000044E-2</v>
      </c>
      <c r="AU115" s="292">
        <f t="shared" si="513"/>
        <v>5.0000000000000044E-2</v>
      </c>
      <c r="AV115" s="292">
        <f t="shared" si="513"/>
        <v>5.0000000000000044E-2</v>
      </c>
      <c r="AW115" s="292">
        <f t="shared" si="513"/>
        <v>5.0000000000000044E-2</v>
      </c>
      <c r="AX115" s="292">
        <f t="shared" si="513"/>
        <v>5.0000000000000044E-2</v>
      </c>
      <c r="AY115" s="292">
        <f t="shared" si="513"/>
        <v>5.0000000000000044E-2</v>
      </c>
      <c r="AZ115" s="292">
        <f t="shared" si="513"/>
        <v>5.0000000000000044E-2</v>
      </c>
      <c r="BA115" s="292">
        <f t="shared" si="513"/>
        <v>5.0000000000000044E-2</v>
      </c>
      <c r="BB115" s="292">
        <f t="shared" si="513"/>
        <v>5.0000000000000044E-2</v>
      </c>
      <c r="BC115" s="292">
        <f t="shared" si="513"/>
        <v>5.0000000000000044E-2</v>
      </c>
      <c r="BD115" s="292">
        <f t="shared" si="513"/>
        <v>5.0000000000000044E-2</v>
      </c>
      <c r="BE115" s="292">
        <f t="shared" si="513"/>
        <v>5.0000000000000044E-2</v>
      </c>
      <c r="BF115" s="292">
        <f t="shared" si="513"/>
        <v>5.0000000000000044E-2</v>
      </c>
      <c r="BL115" s="16" t="s">
        <v>313</v>
      </c>
      <c r="BM115" s="224" t="s">
        <v>178</v>
      </c>
      <c r="BN115" s="291">
        <f t="shared" ref="BN115:BZ115" si="514">1-BN111</f>
        <v>5.0000000000000044E-2</v>
      </c>
      <c r="BO115" s="292">
        <f t="shared" si="514"/>
        <v>5.0000000000000044E-2</v>
      </c>
      <c r="BP115" s="292">
        <f t="shared" si="514"/>
        <v>5.0000000000000044E-2</v>
      </c>
      <c r="BQ115" s="292">
        <f t="shared" si="514"/>
        <v>5.0000000000000044E-2</v>
      </c>
      <c r="BR115" s="292">
        <f t="shared" si="514"/>
        <v>5.0000000000000044E-2</v>
      </c>
      <c r="BS115" s="292">
        <f t="shared" si="514"/>
        <v>5.0000000000000044E-2</v>
      </c>
      <c r="BT115" s="292">
        <f t="shared" si="514"/>
        <v>5.0000000000000044E-2</v>
      </c>
      <c r="BU115" s="292">
        <f t="shared" si="514"/>
        <v>5.0000000000000044E-2</v>
      </c>
      <c r="BV115" s="292">
        <f t="shared" si="514"/>
        <v>5.0000000000000044E-2</v>
      </c>
      <c r="BW115" s="292">
        <f t="shared" si="514"/>
        <v>5.0000000000000044E-2</v>
      </c>
      <c r="BX115" s="292">
        <f t="shared" si="514"/>
        <v>5.0000000000000044E-2</v>
      </c>
      <c r="BY115" s="292">
        <f t="shared" si="514"/>
        <v>5.0000000000000044E-2</v>
      </c>
      <c r="BZ115" s="292">
        <f t="shared" si="514"/>
        <v>5.0000000000000044E-2</v>
      </c>
      <c r="CF115" s="16" t="s">
        <v>313</v>
      </c>
      <c r="CG115" s="224" t="s">
        <v>178</v>
      </c>
      <c r="CH115" s="291">
        <f t="shared" ref="CH115:CT115" si="515">1-CH111</f>
        <v>5.0000000000000044E-2</v>
      </c>
      <c r="CI115" s="292">
        <f t="shared" si="515"/>
        <v>5.0000000000000044E-2</v>
      </c>
      <c r="CJ115" s="292">
        <f t="shared" si="515"/>
        <v>5.0000000000000044E-2</v>
      </c>
      <c r="CK115" s="292">
        <f t="shared" si="515"/>
        <v>5.0000000000000044E-2</v>
      </c>
      <c r="CL115" s="292">
        <f t="shared" si="515"/>
        <v>5.0000000000000044E-2</v>
      </c>
      <c r="CM115" s="292">
        <f t="shared" si="515"/>
        <v>5.0000000000000044E-2</v>
      </c>
      <c r="CN115" s="292">
        <f t="shared" si="515"/>
        <v>5.0000000000000044E-2</v>
      </c>
      <c r="CO115" s="292">
        <f t="shared" si="515"/>
        <v>5.0000000000000044E-2</v>
      </c>
      <c r="CP115" s="292">
        <f t="shared" si="515"/>
        <v>5.0000000000000044E-2</v>
      </c>
      <c r="CQ115" s="292">
        <f t="shared" si="515"/>
        <v>5.0000000000000044E-2</v>
      </c>
      <c r="CR115" s="292">
        <f t="shared" si="515"/>
        <v>5.0000000000000044E-2</v>
      </c>
      <c r="CS115" s="292">
        <f t="shared" si="515"/>
        <v>5.0000000000000044E-2</v>
      </c>
      <c r="CT115" s="292">
        <f t="shared" si="515"/>
        <v>5.0000000000000044E-2</v>
      </c>
    </row>
    <row r="116" spans="3:100" outlineLevel="1" x14ac:dyDescent="0.2">
      <c r="C116" s="3"/>
      <c r="D116" s="16" t="s">
        <v>330</v>
      </c>
      <c r="E116" s="224" t="s">
        <v>331</v>
      </c>
      <c r="F116" s="224" t="str">
        <f>_xlfn.TEXTJOIN(keydelim,TRUE,F$14,$D116)</f>
        <v>ICE HFO - ME efficiency</v>
      </c>
      <c r="G116" s="23">
        <f t="shared" ref="G116:R116" ca="1" si="516">INDEX(tbl_TCO_input,MATCH(
_xlfn.TEXTJOIN(keydelim,TRUE,G$14,$D116),rows_TCO_ID,0),MATCH(G$6,cols_TCO_input,0))</f>
        <v>0.51</v>
      </c>
      <c r="H116" s="23">
        <f t="shared" ca="1" si="516"/>
        <v>0.51</v>
      </c>
      <c r="I116" s="23">
        <f t="shared" ca="1" si="516"/>
        <v>0.51</v>
      </c>
      <c r="J116" s="23">
        <f t="shared" ca="1" si="516"/>
        <v>0.51</v>
      </c>
      <c r="K116" s="23">
        <f t="shared" ca="1" si="516"/>
        <v>0.51</v>
      </c>
      <c r="L116" s="23">
        <f t="shared" ca="1" si="516"/>
        <v>0.51</v>
      </c>
      <c r="M116" s="23">
        <f t="shared" ca="1" si="516"/>
        <v>0.51</v>
      </c>
      <c r="N116" s="23">
        <f t="shared" ca="1" si="516"/>
        <v>0.51</v>
      </c>
      <c r="O116" s="23">
        <f t="shared" ca="1" si="516"/>
        <v>0.51</v>
      </c>
      <c r="P116" s="23">
        <f t="shared" ca="1" si="516"/>
        <v>0.51</v>
      </c>
      <c r="Q116" s="23">
        <f t="shared" ca="1" si="516"/>
        <v>0.51</v>
      </c>
      <c r="R116" s="23">
        <f t="shared" ca="1" si="516"/>
        <v>0.51</v>
      </c>
      <c r="X116" s="16" t="s">
        <v>330</v>
      </c>
      <c r="Y116" s="224" t="s">
        <v>331</v>
      </c>
      <c r="Z116" s="224" t="str">
        <f>_xlfn.TEXTJOIN(keydelim,TRUE,Z$14,$D116)</f>
        <v>ICE LNG - ME efficiency</v>
      </c>
      <c r="AA116" s="23">
        <f t="shared" ref="AA116:AL116" ca="1" si="517">INDEX(tbl_TCO_input,MATCH(
_xlfn.TEXTJOIN(keydelim,TRUE,AA$14,$D116),rows_TCO_ID,0),MATCH(AA$6,cols_TCO_input,0))</f>
        <v>0.51</v>
      </c>
      <c r="AB116" s="23">
        <f t="shared" ca="1" si="517"/>
        <v>0.51</v>
      </c>
      <c r="AC116" s="23">
        <f t="shared" ca="1" si="517"/>
        <v>0.51</v>
      </c>
      <c r="AD116" s="23">
        <f t="shared" ca="1" si="517"/>
        <v>0.51</v>
      </c>
      <c r="AE116" s="23">
        <f t="shared" ca="1" si="517"/>
        <v>0.51</v>
      </c>
      <c r="AF116" s="23">
        <f t="shared" ca="1" si="517"/>
        <v>0.51</v>
      </c>
      <c r="AG116" s="23">
        <f t="shared" ca="1" si="517"/>
        <v>0.51</v>
      </c>
      <c r="AH116" s="23">
        <f t="shared" ca="1" si="517"/>
        <v>0.51</v>
      </c>
      <c r="AI116" s="23">
        <f t="shared" ca="1" si="517"/>
        <v>0.51</v>
      </c>
      <c r="AJ116" s="23">
        <f t="shared" ca="1" si="517"/>
        <v>0.51</v>
      </c>
      <c r="AK116" s="23">
        <f t="shared" ca="1" si="517"/>
        <v>0.51</v>
      </c>
      <c r="AL116" s="23">
        <f t="shared" ca="1" si="517"/>
        <v>0.51</v>
      </c>
      <c r="AR116" s="16" t="s">
        <v>330</v>
      </c>
      <c r="AS116" s="224" t="s">
        <v>331</v>
      </c>
      <c r="AT116" s="224" t="str">
        <f>_xlfn.TEXTJOIN(keydelim,TRUE,AT$14,$D116)</f>
        <v>ICE Ammonia - ME efficiency</v>
      </c>
      <c r="AU116" s="23">
        <f t="shared" ref="AU116:BF116" ca="1" si="518">INDEX(tbl_TCO_input,MATCH(
_xlfn.TEXTJOIN(keydelim,TRUE,AU$14,$D116),rows_TCO_ID,0),MATCH(AU$6,cols_TCO_input,0))</f>
        <v>0.51</v>
      </c>
      <c r="AV116" s="23">
        <f t="shared" ca="1" si="518"/>
        <v>0.51</v>
      </c>
      <c r="AW116" s="23">
        <f t="shared" ca="1" si="518"/>
        <v>0.51</v>
      </c>
      <c r="AX116" s="23">
        <f t="shared" ca="1" si="518"/>
        <v>0.51</v>
      </c>
      <c r="AY116" s="23">
        <f t="shared" ca="1" si="518"/>
        <v>0.51</v>
      </c>
      <c r="AZ116" s="23">
        <f t="shared" ca="1" si="518"/>
        <v>0.51</v>
      </c>
      <c r="BA116" s="23">
        <f t="shared" ca="1" si="518"/>
        <v>0.51</v>
      </c>
      <c r="BB116" s="23">
        <f t="shared" ca="1" si="518"/>
        <v>0.51</v>
      </c>
      <c r="BC116" s="23">
        <f t="shared" ca="1" si="518"/>
        <v>0.51</v>
      </c>
      <c r="BD116" s="23">
        <f t="shared" ca="1" si="518"/>
        <v>0.51</v>
      </c>
      <c r="BE116" s="23">
        <f t="shared" ca="1" si="518"/>
        <v>0.51</v>
      </c>
      <c r="BF116" s="23">
        <f t="shared" ca="1" si="518"/>
        <v>0.51</v>
      </c>
      <c r="BL116" s="16" t="s">
        <v>330</v>
      </c>
      <c r="BM116" s="224" t="s">
        <v>331</v>
      </c>
      <c r="BN116" s="224" t="str">
        <f>_xlfn.TEXTJOIN(keydelim,TRUE,BN$14,$D116)</f>
        <v>ICE Ammonia - ME efficiency</v>
      </c>
      <c r="BO116" s="23">
        <f t="shared" ref="BO116:BZ116" ca="1" si="519">INDEX(tbl_TCO_input,MATCH(
_xlfn.TEXTJOIN(keydelim,TRUE,BO$14,$D116),rows_TCO_ID,0),MATCH(BO$6,cols_TCO_input,0))</f>
        <v>0.51</v>
      </c>
      <c r="BP116" s="23">
        <f t="shared" ca="1" si="519"/>
        <v>0.51</v>
      </c>
      <c r="BQ116" s="23">
        <f t="shared" ca="1" si="519"/>
        <v>0.51</v>
      </c>
      <c r="BR116" s="23">
        <f t="shared" ca="1" si="519"/>
        <v>0.51</v>
      </c>
      <c r="BS116" s="23">
        <f t="shared" ca="1" si="519"/>
        <v>0.51</v>
      </c>
      <c r="BT116" s="23">
        <f t="shared" ca="1" si="519"/>
        <v>0.51</v>
      </c>
      <c r="BU116" s="23">
        <f t="shared" ca="1" si="519"/>
        <v>0.51</v>
      </c>
      <c r="BV116" s="23">
        <f t="shared" ca="1" si="519"/>
        <v>0.51</v>
      </c>
      <c r="BW116" s="23">
        <f t="shared" ca="1" si="519"/>
        <v>0.51</v>
      </c>
      <c r="BX116" s="23">
        <f t="shared" ca="1" si="519"/>
        <v>0.51</v>
      </c>
      <c r="BY116" s="23">
        <f t="shared" ca="1" si="519"/>
        <v>0.51</v>
      </c>
      <c r="BZ116" s="23">
        <f t="shared" ca="1" si="519"/>
        <v>0.51</v>
      </c>
      <c r="CF116" s="16" t="s">
        <v>330</v>
      </c>
      <c r="CG116" s="224" t="s">
        <v>331</v>
      </c>
      <c r="CH116" s="224" t="str">
        <f>_xlfn.TEXTJOIN(keydelim,TRUE,CH$14,$D116)</f>
        <v>ICE Methanol - ME efficiency</v>
      </c>
      <c r="CI116" s="23">
        <f t="shared" ref="CI116:CT116" ca="1" si="520">INDEX(tbl_TCO_input,MATCH(
_xlfn.TEXTJOIN(keydelim,TRUE,CI$14,$D116),rows_TCO_ID,0),MATCH(CI$6,cols_TCO_input,0))</f>
        <v>0.51</v>
      </c>
      <c r="CJ116" s="23">
        <f t="shared" ca="1" si="520"/>
        <v>0.51</v>
      </c>
      <c r="CK116" s="23">
        <f t="shared" ca="1" si="520"/>
        <v>0.51</v>
      </c>
      <c r="CL116" s="23">
        <f t="shared" ca="1" si="520"/>
        <v>0.51</v>
      </c>
      <c r="CM116" s="23">
        <f t="shared" ca="1" si="520"/>
        <v>0.51</v>
      </c>
      <c r="CN116" s="23">
        <f t="shared" ca="1" si="520"/>
        <v>0.51</v>
      </c>
      <c r="CO116" s="23">
        <f t="shared" ca="1" si="520"/>
        <v>0.51</v>
      </c>
      <c r="CP116" s="23">
        <f t="shared" ca="1" si="520"/>
        <v>0.51</v>
      </c>
      <c r="CQ116" s="23">
        <f t="shared" ca="1" si="520"/>
        <v>0.51</v>
      </c>
      <c r="CR116" s="23">
        <f t="shared" ca="1" si="520"/>
        <v>0.51</v>
      </c>
      <c r="CS116" s="23">
        <f t="shared" ca="1" si="520"/>
        <v>0.51</v>
      </c>
      <c r="CT116" s="23">
        <f t="shared" ca="1" si="520"/>
        <v>0.51</v>
      </c>
    </row>
    <row r="117" spans="3:100" outlineLevel="1" x14ac:dyDescent="0.2">
      <c r="C117" s="3"/>
      <c r="D117" s="16" t="s">
        <v>332</v>
      </c>
      <c r="E117" s="224" t="s">
        <v>333</v>
      </c>
      <c r="F117" s="224" t="str">
        <f>_xlfn.TEXTJOIN(keydelim,TRUE,F$16,$D117)</f>
        <v>LSFO - LHV - kWh</v>
      </c>
      <c r="G117" s="52">
        <f ca="1">IFERROR(INDEX(tbl_TCO_input,MATCH(
_xlfn.TEXTJOIN(keydelim,TRUE,G$16,$D117),rows_TCO_ID,0),MATCH(G$6,cols_TCO_input,0)),0)</f>
        <v>11444.444444444445</v>
      </c>
      <c r="H117" s="52">
        <f t="shared" ref="H117:R117" ca="1" si="521">IFERROR(INDEX(tbl_TCO_input,MATCH(
_xlfn.TEXTJOIN(keydelim,TRUE,H$16,$D117),rows_TCO_ID,0),MATCH(H$6,cols_TCO_input,0)),0)</f>
        <v>11444.444444444445</v>
      </c>
      <c r="I117" s="52">
        <f t="shared" ca="1" si="521"/>
        <v>11444.444444444445</v>
      </c>
      <c r="J117" s="52">
        <f t="shared" ca="1" si="521"/>
        <v>11444.444444444445</v>
      </c>
      <c r="K117" s="52">
        <f t="shared" ca="1" si="521"/>
        <v>11444.444444444445</v>
      </c>
      <c r="L117" s="52">
        <f t="shared" ca="1" si="521"/>
        <v>11444.444444444445</v>
      </c>
      <c r="M117" s="52">
        <f t="shared" ca="1" si="521"/>
        <v>11444.444444444445</v>
      </c>
      <c r="N117" s="52">
        <f t="shared" ca="1" si="521"/>
        <v>11444.444444444445</v>
      </c>
      <c r="O117" s="52">
        <f t="shared" ca="1" si="521"/>
        <v>11444.444444444445</v>
      </c>
      <c r="P117" s="52">
        <f t="shared" ca="1" si="521"/>
        <v>11444.444444444445</v>
      </c>
      <c r="Q117" s="52">
        <f t="shared" ca="1" si="521"/>
        <v>11444.444444444445</v>
      </c>
      <c r="R117" s="52">
        <f t="shared" ca="1" si="521"/>
        <v>11444.444444444445</v>
      </c>
      <c r="X117" s="16" t="s">
        <v>332</v>
      </c>
      <c r="Y117" s="224" t="s">
        <v>333</v>
      </c>
      <c r="Z117" s="224" t="str">
        <f>_xlfn.TEXTJOIN(keydelim,TRUE,Z$16,$D117)</f>
        <v>LSFO - LHV - kWh</v>
      </c>
      <c r="AA117" s="52">
        <f t="shared" ref="AA117:AL117" ca="1" si="522">IFERROR(INDEX(tbl_TCO_input,MATCH(
_xlfn.TEXTJOIN(keydelim,TRUE,AA$16,$D117),rows_TCO_ID,0),MATCH(AA$6,cols_TCO_input,0)),0)</f>
        <v>11444.444444444445</v>
      </c>
      <c r="AB117" s="52">
        <f t="shared" ca="1" si="522"/>
        <v>11444.444444444445</v>
      </c>
      <c r="AC117" s="52">
        <f t="shared" ca="1" si="522"/>
        <v>11444.444444444445</v>
      </c>
      <c r="AD117" s="52">
        <f t="shared" ca="1" si="522"/>
        <v>11444.444444444445</v>
      </c>
      <c r="AE117" s="52">
        <f t="shared" ca="1" si="522"/>
        <v>11444.444444444445</v>
      </c>
      <c r="AF117" s="52">
        <f t="shared" ca="1" si="522"/>
        <v>11444.444444444445</v>
      </c>
      <c r="AG117" s="52">
        <f t="shared" ca="1" si="522"/>
        <v>11444.444444444445</v>
      </c>
      <c r="AH117" s="52">
        <f t="shared" ca="1" si="522"/>
        <v>11444.444444444445</v>
      </c>
      <c r="AI117" s="52">
        <f t="shared" ca="1" si="522"/>
        <v>11444.444444444445</v>
      </c>
      <c r="AJ117" s="52">
        <f t="shared" ca="1" si="522"/>
        <v>11444.444444444445</v>
      </c>
      <c r="AK117" s="52">
        <f t="shared" ca="1" si="522"/>
        <v>11444.444444444445</v>
      </c>
      <c r="AL117" s="52">
        <f t="shared" ca="1" si="522"/>
        <v>11444.444444444445</v>
      </c>
      <c r="AR117" s="16" t="s">
        <v>332</v>
      </c>
      <c r="AS117" s="224" t="s">
        <v>333</v>
      </c>
      <c r="AT117" s="224" t="str">
        <f>_xlfn.TEXTJOIN(keydelim,TRUE,AT$16,$D117)</f>
        <v>Biodiesel (Pyr) - LHV - kWh</v>
      </c>
      <c r="AU117" s="52">
        <f t="shared" ref="AU117:BF117" ca="1" si="523">IFERROR(INDEX(tbl_TCO_input,MATCH(
_xlfn.TEXTJOIN(keydelim,TRUE,AU$16,$D117),rows_TCO_ID,0),MATCH(AU$6,cols_TCO_input,0)),0)</f>
        <v>11861.111111111111</v>
      </c>
      <c r="AV117" s="52">
        <f t="shared" ca="1" si="523"/>
        <v>11861.111111111111</v>
      </c>
      <c r="AW117" s="52">
        <f t="shared" ca="1" si="523"/>
        <v>11861.111111111111</v>
      </c>
      <c r="AX117" s="52">
        <f t="shared" ca="1" si="523"/>
        <v>11861.111111111111</v>
      </c>
      <c r="AY117" s="52">
        <f t="shared" ca="1" si="523"/>
        <v>11861.111111111111</v>
      </c>
      <c r="AZ117" s="52">
        <f t="shared" ca="1" si="523"/>
        <v>11861.111111111111</v>
      </c>
      <c r="BA117" s="52">
        <f t="shared" ca="1" si="523"/>
        <v>11861.111111111111</v>
      </c>
      <c r="BB117" s="52">
        <f t="shared" ca="1" si="523"/>
        <v>11861.111111111111</v>
      </c>
      <c r="BC117" s="52">
        <f t="shared" ca="1" si="523"/>
        <v>11861.111111111111</v>
      </c>
      <c r="BD117" s="52">
        <f t="shared" ca="1" si="523"/>
        <v>11861.111111111111</v>
      </c>
      <c r="BE117" s="52">
        <f t="shared" ca="1" si="523"/>
        <v>11861.111111111111</v>
      </c>
      <c r="BF117" s="52">
        <f t="shared" ca="1" si="523"/>
        <v>11861.111111111111</v>
      </c>
      <c r="BL117" s="16" t="s">
        <v>332</v>
      </c>
      <c r="BM117" s="224" t="s">
        <v>333</v>
      </c>
      <c r="BN117" s="224" t="str">
        <f>_xlfn.TEXTJOIN(keydelim,TRUE,BN$16,$D117)</f>
        <v>Biodiesel (Pyr) - LHV - kWh</v>
      </c>
      <c r="BO117" s="52">
        <f t="shared" ref="BO117:BZ117" ca="1" si="524">IFERROR(INDEX(tbl_TCO_input,MATCH(
_xlfn.TEXTJOIN(keydelim,TRUE,BO$16,$D117),rows_TCO_ID,0),MATCH(BO$6,cols_TCO_input,0)),0)</f>
        <v>11861.111111111111</v>
      </c>
      <c r="BP117" s="52">
        <f t="shared" ca="1" si="524"/>
        <v>11861.111111111111</v>
      </c>
      <c r="BQ117" s="52">
        <f t="shared" ca="1" si="524"/>
        <v>11861.111111111111</v>
      </c>
      <c r="BR117" s="52">
        <f t="shared" ca="1" si="524"/>
        <v>11861.111111111111</v>
      </c>
      <c r="BS117" s="52">
        <f t="shared" ca="1" si="524"/>
        <v>11861.111111111111</v>
      </c>
      <c r="BT117" s="52">
        <f t="shared" ca="1" si="524"/>
        <v>11861.111111111111</v>
      </c>
      <c r="BU117" s="52">
        <f t="shared" ca="1" si="524"/>
        <v>11861.111111111111</v>
      </c>
      <c r="BV117" s="52">
        <f t="shared" ca="1" si="524"/>
        <v>11861.111111111111</v>
      </c>
      <c r="BW117" s="52">
        <f t="shared" ca="1" si="524"/>
        <v>11861.111111111111</v>
      </c>
      <c r="BX117" s="52">
        <f t="shared" ca="1" si="524"/>
        <v>11861.111111111111</v>
      </c>
      <c r="BY117" s="52">
        <f t="shared" ca="1" si="524"/>
        <v>11861.111111111111</v>
      </c>
      <c r="BZ117" s="52">
        <f t="shared" ca="1" si="524"/>
        <v>11861.111111111111</v>
      </c>
      <c r="CF117" s="16" t="s">
        <v>332</v>
      </c>
      <c r="CG117" s="224" t="s">
        <v>333</v>
      </c>
      <c r="CH117" s="224" t="str">
        <f>_xlfn.TEXTJOIN(keydelim,TRUE,CH$16,$D117)</f>
        <v>Biodiesel (Pyr) - LHV - kWh</v>
      </c>
      <c r="CI117" s="52">
        <f t="shared" ref="CI117:CT117" ca="1" si="525">IFERROR(INDEX(tbl_TCO_input,MATCH(
_xlfn.TEXTJOIN(keydelim,TRUE,CI$16,$D117),rows_TCO_ID,0),MATCH(CI$6,cols_TCO_input,0)),0)</f>
        <v>11861.111111111111</v>
      </c>
      <c r="CJ117" s="52">
        <f t="shared" ca="1" si="525"/>
        <v>11861.111111111111</v>
      </c>
      <c r="CK117" s="52">
        <f t="shared" ca="1" si="525"/>
        <v>11861.111111111111</v>
      </c>
      <c r="CL117" s="52">
        <f t="shared" ca="1" si="525"/>
        <v>11861.111111111111</v>
      </c>
      <c r="CM117" s="52">
        <f t="shared" ca="1" si="525"/>
        <v>11861.111111111111</v>
      </c>
      <c r="CN117" s="52">
        <f t="shared" ca="1" si="525"/>
        <v>11861.111111111111</v>
      </c>
      <c r="CO117" s="52">
        <f t="shared" ca="1" si="525"/>
        <v>11861.111111111111</v>
      </c>
      <c r="CP117" s="52">
        <f t="shared" ca="1" si="525"/>
        <v>11861.111111111111</v>
      </c>
      <c r="CQ117" s="52">
        <f t="shared" ca="1" si="525"/>
        <v>11861.111111111111</v>
      </c>
      <c r="CR117" s="52">
        <f t="shared" ca="1" si="525"/>
        <v>11861.111111111111</v>
      </c>
      <c r="CS117" s="52">
        <f t="shared" ca="1" si="525"/>
        <v>11861.111111111111</v>
      </c>
      <c r="CT117" s="52">
        <f t="shared" ca="1" si="525"/>
        <v>11861.111111111111</v>
      </c>
    </row>
    <row r="118" spans="3:100" outlineLevel="1" x14ac:dyDescent="0.2">
      <c r="C118" s="3"/>
      <c r="D118" s="12" t="s">
        <v>335</v>
      </c>
      <c r="E118" s="224" t="s">
        <v>336</v>
      </c>
      <c r="G118" s="98">
        <f>G119</f>
        <v>118080</v>
      </c>
      <c r="H118" s="98">
        <f t="shared" ref="H118:R118" si="526">H119</f>
        <v>118080</v>
      </c>
      <c r="I118" s="98">
        <f t="shared" si="526"/>
        <v>118080</v>
      </c>
      <c r="J118" s="98">
        <f t="shared" si="526"/>
        <v>118080</v>
      </c>
      <c r="K118" s="98">
        <f t="shared" si="526"/>
        <v>118080</v>
      </c>
      <c r="L118" s="98">
        <f t="shared" si="526"/>
        <v>118080</v>
      </c>
      <c r="M118" s="98">
        <f t="shared" si="526"/>
        <v>118080</v>
      </c>
      <c r="N118" s="98">
        <f t="shared" si="526"/>
        <v>118080</v>
      </c>
      <c r="O118" s="98">
        <f t="shared" si="526"/>
        <v>118080</v>
      </c>
      <c r="P118" s="98">
        <f t="shared" si="526"/>
        <v>118080</v>
      </c>
      <c r="Q118" s="98">
        <f t="shared" si="526"/>
        <v>118080</v>
      </c>
      <c r="R118" s="98">
        <f t="shared" si="526"/>
        <v>118080</v>
      </c>
      <c r="X118" s="12" t="s">
        <v>335</v>
      </c>
      <c r="Y118" s="224" t="s">
        <v>336</v>
      </c>
      <c r="AA118" s="98">
        <f>AA119</f>
        <v>118080</v>
      </c>
      <c r="AB118" s="98">
        <f t="shared" ref="AB118:AL118" si="527">AB119</f>
        <v>118080</v>
      </c>
      <c r="AC118" s="98">
        <f t="shared" si="527"/>
        <v>118080</v>
      </c>
      <c r="AD118" s="98">
        <f t="shared" si="527"/>
        <v>118080</v>
      </c>
      <c r="AE118" s="98">
        <f t="shared" si="527"/>
        <v>118080</v>
      </c>
      <c r="AF118" s="98">
        <f t="shared" si="527"/>
        <v>118080</v>
      </c>
      <c r="AG118" s="98">
        <f t="shared" si="527"/>
        <v>118080</v>
      </c>
      <c r="AH118" s="98">
        <f t="shared" si="527"/>
        <v>118080</v>
      </c>
      <c r="AI118" s="98">
        <f t="shared" si="527"/>
        <v>118080</v>
      </c>
      <c r="AJ118" s="98">
        <f t="shared" si="527"/>
        <v>118080</v>
      </c>
      <c r="AK118" s="98">
        <f t="shared" si="527"/>
        <v>118080</v>
      </c>
      <c r="AL118" s="98">
        <f t="shared" si="527"/>
        <v>118080</v>
      </c>
      <c r="AR118" s="12" t="s">
        <v>335</v>
      </c>
      <c r="AS118" s="224" t="s">
        <v>336</v>
      </c>
      <c r="AU118" s="98">
        <f>AU119</f>
        <v>118080</v>
      </c>
      <c r="AV118" s="98">
        <f t="shared" ref="AV118:BF118" si="528">AV119</f>
        <v>118080</v>
      </c>
      <c r="AW118" s="98">
        <f t="shared" si="528"/>
        <v>118080</v>
      </c>
      <c r="AX118" s="98">
        <f t="shared" si="528"/>
        <v>118080</v>
      </c>
      <c r="AY118" s="98">
        <f t="shared" si="528"/>
        <v>118080</v>
      </c>
      <c r="AZ118" s="98">
        <f t="shared" si="528"/>
        <v>118080</v>
      </c>
      <c r="BA118" s="98">
        <f t="shared" si="528"/>
        <v>118080</v>
      </c>
      <c r="BB118" s="98">
        <f t="shared" si="528"/>
        <v>118080</v>
      </c>
      <c r="BC118" s="98">
        <f t="shared" si="528"/>
        <v>118080</v>
      </c>
      <c r="BD118" s="98">
        <f t="shared" si="528"/>
        <v>118080</v>
      </c>
      <c r="BE118" s="98">
        <f t="shared" si="528"/>
        <v>118080</v>
      </c>
      <c r="BF118" s="98">
        <f t="shared" si="528"/>
        <v>118080</v>
      </c>
      <c r="BL118" s="12" t="s">
        <v>335</v>
      </c>
      <c r="BM118" s="224" t="s">
        <v>336</v>
      </c>
      <c r="BO118" s="98">
        <f>BO119</f>
        <v>118080</v>
      </c>
      <c r="BP118" s="98">
        <f t="shared" ref="BP118:BZ118" si="529">BP119</f>
        <v>118080</v>
      </c>
      <c r="BQ118" s="98">
        <f t="shared" si="529"/>
        <v>118080</v>
      </c>
      <c r="BR118" s="98">
        <f t="shared" si="529"/>
        <v>118080</v>
      </c>
      <c r="BS118" s="98">
        <f t="shared" si="529"/>
        <v>118080</v>
      </c>
      <c r="BT118" s="98">
        <f t="shared" si="529"/>
        <v>118080</v>
      </c>
      <c r="BU118" s="98">
        <f t="shared" si="529"/>
        <v>118080</v>
      </c>
      <c r="BV118" s="98">
        <f t="shared" si="529"/>
        <v>118080</v>
      </c>
      <c r="BW118" s="98">
        <f t="shared" si="529"/>
        <v>118080</v>
      </c>
      <c r="BX118" s="98">
        <f t="shared" si="529"/>
        <v>118080</v>
      </c>
      <c r="BY118" s="98">
        <f t="shared" si="529"/>
        <v>118080</v>
      </c>
      <c r="BZ118" s="98">
        <f t="shared" si="529"/>
        <v>118080</v>
      </c>
      <c r="CF118" s="12" t="s">
        <v>335</v>
      </c>
      <c r="CG118" s="224" t="s">
        <v>336</v>
      </c>
      <c r="CI118" s="98">
        <f>CI119</f>
        <v>118080</v>
      </c>
      <c r="CJ118" s="98">
        <f t="shared" ref="CJ118:CT118" si="530">CJ119</f>
        <v>118080</v>
      </c>
      <c r="CK118" s="98">
        <f t="shared" si="530"/>
        <v>118080</v>
      </c>
      <c r="CL118" s="98">
        <f t="shared" si="530"/>
        <v>118080</v>
      </c>
      <c r="CM118" s="98">
        <f t="shared" si="530"/>
        <v>118080</v>
      </c>
      <c r="CN118" s="98">
        <f t="shared" si="530"/>
        <v>118080</v>
      </c>
      <c r="CO118" s="98">
        <f t="shared" si="530"/>
        <v>118080</v>
      </c>
      <c r="CP118" s="98">
        <f t="shared" si="530"/>
        <v>118080</v>
      </c>
      <c r="CQ118" s="98">
        <f t="shared" si="530"/>
        <v>118080</v>
      </c>
      <c r="CR118" s="98">
        <f t="shared" si="530"/>
        <v>118080</v>
      </c>
      <c r="CS118" s="98">
        <f t="shared" si="530"/>
        <v>118080</v>
      </c>
      <c r="CT118" s="98">
        <f t="shared" si="530"/>
        <v>118080</v>
      </c>
    </row>
    <row r="119" spans="3:100" outlineLevel="1" x14ac:dyDescent="0.2">
      <c r="C119" s="3"/>
      <c r="D119" s="12" t="str">
        <f>"ME - Power Requirement Average - "&amp;G$10</f>
        <v>ME - Power Requirement Average - Medium</v>
      </c>
      <c r="E119" s="224" t="s">
        <v>336</v>
      </c>
      <c r="G119" s="98">
        <f>INDEX('Vessel Profiles - Input'!$G$5:$L$105,MATCH($D$119,'Vessel Profiles - Input'!$C$5:$C$105,0),MATCH(G$9,'Vessel Profiles - Input'!$G$3:$L$3,0))</f>
        <v>118080</v>
      </c>
      <c r="H119" s="98">
        <f>INDEX('Vessel Profiles - Input'!$G$5:$L$105,MATCH($D$119,'Vessel Profiles - Input'!$C$5:$C$105,0),MATCH(H$9,'Vessel Profiles - Input'!$G$3:$L$3,0))</f>
        <v>118080</v>
      </c>
      <c r="I119" s="98">
        <f>INDEX('Vessel Profiles - Input'!$G$5:$L$105,MATCH($D$119,'Vessel Profiles - Input'!$C$5:$C$105,0),MATCH(I$9,'Vessel Profiles - Input'!$G$3:$L$3,0))</f>
        <v>118080</v>
      </c>
      <c r="J119" s="98">
        <f>INDEX('Vessel Profiles - Input'!$G$5:$L$105,MATCH($D$119,'Vessel Profiles - Input'!$C$5:$C$105,0),MATCH(J$9,'Vessel Profiles - Input'!$G$3:$L$3,0))</f>
        <v>118080</v>
      </c>
      <c r="K119" s="98">
        <f>INDEX('Vessel Profiles - Input'!$G$5:$L$105,MATCH($D$119,'Vessel Profiles - Input'!$C$5:$C$105,0),MATCH(K$9,'Vessel Profiles - Input'!$G$3:$L$3,0))</f>
        <v>118080</v>
      </c>
      <c r="L119" s="98">
        <f>INDEX('Vessel Profiles - Input'!$G$5:$L$105,MATCH($D$119,'Vessel Profiles - Input'!$C$5:$C$105,0),MATCH(L$9,'Vessel Profiles - Input'!$G$3:$L$3,0))</f>
        <v>118080</v>
      </c>
      <c r="M119" s="98">
        <f>INDEX('Vessel Profiles - Input'!$G$5:$L$105,MATCH($D$119,'Vessel Profiles - Input'!$C$5:$C$105,0),MATCH(M$9,'Vessel Profiles - Input'!$G$3:$L$3,0))</f>
        <v>118080</v>
      </c>
      <c r="N119" s="98">
        <f>INDEX('Vessel Profiles - Input'!$G$5:$L$105,MATCH($D$119,'Vessel Profiles - Input'!$C$5:$C$105,0),MATCH(N$9,'Vessel Profiles - Input'!$G$3:$L$3,0))</f>
        <v>118080</v>
      </c>
      <c r="O119" s="98">
        <f>INDEX('Vessel Profiles - Input'!$G$5:$L$105,MATCH($D$119,'Vessel Profiles - Input'!$C$5:$C$105,0),MATCH(O$9,'Vessel Profiles - Input'!$G$3:$L$3,0))</f>
        <v>118080</v>
      </c>
      <c r="P119" s="98">
        <f>INDEX('Vessel Profiles - Input'!$G$5:$L$105,MATCH($D$119,'Vessel Profiles - Input'!$C$5:$C$105,0),MATCH(P$9,'Vessel Profiles - Input'!$G$3:$L$3,0))</f>
        <v>118080</v>
      </c>
      <c r="Q119" s="98">
        <f>INDEX('Vessel Profiles - Input'!$G$5:$L$105,MATCH($D$119,'Vessel Profiles - Input'!$C$5:$C$105,0),MATCH(Q$9,'Vessel Profiles - Input'!$G$3:$L$3,0))</f>
        <v>118080</v>
      </c>
      <c r="R119" s="98">
        <f>INDEX('Vessel Profiles - Input'!$G$5:$L$105,MATCH($D$119,'Vessel Profiles - Input'!$C$5:$C$105,0),MATCH(R$9,'Vessel Profiles - Input'!$G$3:$L$3,0))</f>
        <v>118080</v>
      </c>
      <c r="X119" s="12" t="str">
        <f>D119</f>
        <v>ME - Power Requirement Average - Medium</v>
      </c>
      <c r="Y119" s="224" t="str">
        <f>E119</f>
        <v>MWh/year</v>
      </c>
      <c r="AA119" s="98">
        <f>INDEX('Vessel Profiles - Input'!$G$5:$L$105,MATCH($D$119,'Vessel Profiles - Input'!$C$5:$C$105,0),MATCH(AA$9,'Vessel Profiles - Input'!$G$3:$L$3,0))</f>
        <v>118080</v>
      </c>
      <c r="AB119" s="98">
        <f>INDEX('Vessel Profiles - Input'!$G$5:$L$105,MATCH($D$119,'Vessel Profiles - Input'!$C$5:$C$105,0),MATCH(AB$9,'Vessel Profiles - Input'!$G$3:$L$3,0))</f>
        <v>118080</v>
      </c>
      <c r="AC119" s="98">
        <f>INDEX('Vessel Profiles - Input'!$G$5:$L$105,MATCH($D$119,'Vessel Profiles - Input'!$C$5:$C$105,0),MATCH(AC$9,'Vessel Profiles - Input'!$G$3:$L$3,0))</f>
        <v>118080</v>
      </c>
      <c r="AD119" s="98">
        <f>INDEX('Vessel Profiles - Input'!$G$5:$L$105,MATCH($D$119,'Vessel Profiles - Input'!$C$5:$C$105,0),MATCH(AD$9,'Vessel Profiles - Input'!$G$3:$L$3,0))</f>
        <v>118080</v>
      </c>
      <c r="AE119" s="98">
        <f>INDEX('Vessel Profiles - Input'!$G$5:$L$105,MATCH($D$119,'Vessel Profiles - Input'!$C$5:$C$105,0),MATCH(AE$9,'Vessel Profiles - Input'!$G$3:$L$3,0))</f>
        <v>118080</v>
      </c>
      <c r="AF119" s="98">
        <f>INDEX('Vessel Profiles - Input'!$G$5:$L$105,MATCH($D$119,'Vessel Profiles - Input'!$C$5:$C$105,0),MATCH(AF$9,'Vessel Profiles - Input'!$G$3:$L$3,0))</f>
        <v>118080</v>
      </c>
      <c r="AG119" s="98">
        <f>INDEX('Vessel Profiles - Input'!$G$5:$L$105,MATCH($D$119,'Vessel Profiles - Input'!$C$5:$C$105,0),MATCH(AG$9,'Vessel Profiles - Input'!$G$3:$L$3,0))</f>
        <v>118080</v>
      </c>
      <c r="AH119" s="98">
        <f>INDEX('Vessel Profiles - Input'!$G$5:$L$105,MATCH($D$119,'Vessel Profiles - Input'!$C$5:$C$105,0),MATCH(AH$9,'Vessel Profiles - Input'!$G$3:$L$3,0))</f>
        <v>118080</v>
      </c>
      <c r="AI119" s="98">
        <f>INDEX('Vessel Profiles - Input'!$G$5:$L$105,MATCH($D$119,'Vessel Profiles - Input'!$C$5:$C$105,0),MATCH(AI$9,'Vessel Profiles - Input'!$G$3:$L$3,0))</f>
        <v>118080</v>
      </c>
      <c r="AJ119" s="98">
        <f>INDEX('Vessel Profiles - Input'!$G$5:$L$105,MATCH($D$119,'Vessel Profiles - Input'!$C$5:$C$105,0),MATCH(AJ$9,'Vessel Profiles - Input'!$G$3:$L$3,0))</f>
        <v>118080</v>
      </c>
      <c r="AK119" s="98">
        <f>INDEX('Vessel Profiles - Input'!$G$5:$L$105,MATCH($D$119,'Vessel Profiles - Input'!$C$5:$C$105,0),MATCH(AK$9,'Vessel Profiles - Input'!$G$3:$L$3,0))</f>
        <v>118080</v>
      </c>
      <c r="AL119" s="98">
        <f>INDEX('Vessel Profiles - Input'!$G$5:$L$105,MATCH($D$119,'Vessel Profiles - Input'!$C$5:$C$105,0),MATCH(AL$9,'Vessel Profiles - Input'!$G$3:$L$3,0))</f>
        <v>118080</v>
      </c>
      <c r="AR119" s="12" t="str">
        <f>X119</f>
        <v>ME - Power Requirement Average - Medium</v>
      </c>
      <c r="AS119" s="224" t="str">
        <f>Y119</f>
        <v>MWh/year</v>
      </c>
      <c r="AU119" s="98">
        <f>INDEX('Vessel Profiles - Input'!$G$5:$L$105,MATCH($D$119,'Vessel Profiles - Input'!$C$5:$C$105,0),MATCH(AU$9,'Vessel Profiles - Input'!$G$3:$L$3,0))</f>
        <v>118080</v>
      </c>
      <c r="AV119" s="98">
        <f>INDEX('Vessel Profiles - Input'!$G$5:$L$105,MATCH($D$119,'Vessel Profiles - Input'!$C$5:$C$105,0),MATCH(AV$9,'Vessel Profiles - Input'!$G$3:$L$3,0))</f>
        <v>118080</v>
      </c>
      <c r="AW119" s="98">
        <f>INDEX('Vessel Profiles - Input'!$G$5:$L$105,MATCH($D$119,'Vessel Profiles - Input'!$C$5:$C$105,0),MATCH(AW$9,'Vessel Profiles - Input'!$G$3:$L$3,0))</f>
        <v>118080</v>
      </c>
      <c r="AX119" s="98">
        <f>INDEX('Vessel Profiles - Input'!$G$5:$L$105,MATCH($D$119,'Vessel Profiles - Input'!$C$5:$C$105,0),MATCH(AX$9,'Vessel Profiles - Input'!$G$3:$L$3,0))</f>
        <v>118080</v>
      </c>
      <c r="AY119" s="98">
        <f>INDEX('Vessel Profiles - Input'!$G$5:$L$105,MATCH($D$119,'Vessel Profiles - Input'!$C$5:$C$105,0),MATCH(AY$9,'Vessel Profiles - Input'!$G$3:$L$3,0))</f>
        <v>118080</v>
      </c>
      <c r="AZ119" s="98">
        <f>INDEX('Vessel Profiles - Input'!$G$5:$L$105,MATCH($D$119,'Vessel Profiles - Input'!$C$5:$C$105,0),MATCH(AZ$9,'Vessel Profiles - Input'!$G$3:$L$3,0))</f>
        <v>118080</v>
      </c>
      <c r="BA119" s="98">
        <f>INDEX('Vessel Profiles - Input'!$G$5:$L$105,MATCH($D$119,'Vessel Profiles - Input'!$C$5:$C$105,0),MATCH(BA$9,'Vessel Profiles - Input'!$G$3:$L$3,0))</f>
        <v>118080</v>
      </c>
      <c r="BB119" s="98">
        <f>INDEX('Vessel Profiles - Input'!$G$5:$L$105,MATCH($D$119,'Vessel Profiles - Input'!$C$5:$C$105,0),MATCH(BB$9,'Vessel Profiles - Input'!$G$3:$L$3,0))</f>
        <v>118080</v>
      </c>
      <c r="BC119" s="98">
        <f>INDEX('Vessel Profiles - Input'!$G$5:$L$105,MATCH($D$119,'Vessel Profiles - Input'!$C$5:$C$105,0),MATCH(BC$9,'Vessel Profiles - Input'!$G$3:$L$3,0))</f>
        <v>118080</v>
      </c>
      <c r="BD119" s="98">
        <f>INDEX('Vessel Profiles - Input'!$G$5:$L$105,MATCH($D$119,'Vessel Profiles - Input'!$C$5:$C$105,0),MATCH(BD$9,'Vessel Profiles - Input'!$G$3:$L$3,0))</f>
        <v>118080</v>
      </c>
      <c r="BE119" s="98">
        <f>INDEX('Vessel Profiles - Input'!$G$5:$L$105,MATCH($D$119,'Vessel Profiles - Input'!$C$5:$C$105,0),MATCH(BE$9,'Vessel Profiles - Input'!$G$3:$L$3,0))</f>
        <v>118080</v>
      </c>
      <c r="BF119" s="98">
        <f>INDEX('Vessel Profiles - Input'!$G$5:$L$105,MATCH($D$119,'Vessel Profiles - Input'!$C$5:$C$105,0),MATCH(BF$9,'Vessel Profiles - Input'!$G$3:$L$3,0))</f>
        <v>118080</v>
      </c>
      <c r="BL119" s="12" t="str">
        <f>AR119</f>
        <v>ME - Power Requirement Average - Medium</v>
      </c>
      <c r="BM119" s="224" t="str">
        <f>AS119</f>
        <v>MWh/year</v>
      </c>
      <c r="BO119" s="98">
        <f>INDEX('Vessel Profiles - Input'!$G$5:$L$105,MATCH($D$119,'Vessel Profiles - Input'!$C$5:$C$105,0),MATCH(BO$9,'Vessel Profiles - Input'!$G$3:$L$3,0))</f>
        <v>118080</v>
      </c>
      <c r="BP119" s="98">
        <f>INDEX('Vessel Profiles - Input'!$G$5:$L$105,MATCH($D$119,'Vessel Profiles - Input'!$C$5:$C$105,0),MATCH(BP$9,'Vessel Profiles - Input'!$G$3:$L$3,0))</f>
        <v>118080</v>
      </c>
      <c r="BQ119" s="98">
        <f>INDEX('Vessel Profiles - Input'!$G$5:$L$105,MATCH($D$119,'Vessel Profiles - Input'!$C$5:$C$105,0),MATCH(BQ$9,'Vessel Profiles - Input'!$G$3:$L$3,0))</f>
        <v>118080</v>
      </c>
      <c r="BR119" s="98">
        <f>INDEX('Vessel Profiles - Input'!$G$5:$L$105,MATCH($D$119,'Vessel Profiles - Input'!$C$5:$C$105,0),MATCH(BR$9,'Vessel Profiles - Input'!$G$3:$L$3,0))</f>
        <v>118080</v>
      </c>
      <c r="BS119" s="98">
        <f>INDEX('Vessel Profiles - Input'!$G$5:$L$105,MATCH($D$119,'Vessel Profiles - Input'!$C$5:$C$105,0),MATCH(BS$9,'Vessel Profiles - Input'!$G$3:$L$3,0))</f>
        <v>118080</v>
      </c>
      <c r="BT119" s="98">
        <f>INDEX('Vessel Profiles - Input'!$G$5:$L$105,MATCH($D$119,'Vessel Profiles - Input'!$C$5:$C$105,0),MATCH(BT$9,'Vessel Profiles - Input'!$G$3:$L$3,0))</f>
        <v>118080</v>
      </c>
      <c r="BU119" s="98">
        <f>INDEX('Vessel Profiles - Input'!$G$5:$L$105,MATCH($D$119,'Vessel Profiles - Input'!$C$5:$C$105,0),MATCH(BU$9,'Vessel Profiles - Input'!$G$3:$L$3,0))</f>
        <v>118080</v>
      </c>
      <c r="BV119" s="98">
        <f>INDEX('Vessel Profiles - Input'!$G$5:$L$105,MATCH($D$119,'Vessel Profiles - Input'!$C$5:$C$105,0),MATCH(BV$9,'Vessel Profiles - Input'!$G$3:$L$3,0))</f>
        <v>118080</v>
      </c>
      <c r="BW119" s="98">
        <f>INDEX('Vessel Profiles - Input'!$G$5:$L$105,MATCH($D$119,'Vessel Profiles - Input'!$C$5:$C$105,0),MATCH(BW$9,'Vessel Profiles - Input'!$G$3:$L$3,0))</f>
        <v>118080</v>
      </c>
      <c r="BX119" s="98">
        <f>INDEX('Vessel Profiles - Input'!$G$5:$L$105,MATCH($D$119,'Vessel Profiles - Input'!$C$5:$C$105,0),MATCH(BX$9,'Vessel Profiles - Input'!$G$3:$L$3,0))</f>
        <v>118080</v>
      </c>
      <c r="BY119" s="98">
        <f>INDEX('Vessel Profiles - Input'!$G$5:$L$105,MATCH($D$119,'Vessel Profiles - Input'!$C$5:$C$105,0),MATCH(BY$9,'Vessel Profiles - Input'!$G$3:$L$3,0))</f>
        <v>118080</v>
      </c>
      <c r="BZ119" s="98">
        <f>INDEX('Vessel Profiles - Input'!$G$5:$L$105,MATCH($D$119,'Vessel Profiles - Input'!$C$5:$C$105,0),MATCH(BZ$9,'Vessel Profiles - Input'!$G$3:$L$3,0))</f>
        <v>118080</v>
      </c>
      <c r="CF119" s="12" t="str">
        <f>BL119</f>
        <v>ME - Power Requirement Average - Medium</v>
      </c>
      <c r="CG119" s="224" t="str">
        <f>BM119</f>
        <v>MWh/year</v>
      </c>
      <c r="CI119" s="98">
        <f>INDEX('Vessel Profiles - Input'!$G$5:$L$105,MATCH($D$119,'Vessel Profiles - Input'!$C$5:$C$105,0),MATCH(CI$9,'Vessel Profiles - Input'!$G$3:$L$3,0))</f>
        <v>118080</v>
      </c>
      <c r="CJ119" s="98">
        <f>INDEX('Vessel Profiles - Input'!$G$5:$L$105,MATCH($D$119,'Vessel Profiles - Input'!$C$5:$C$105,0),MATCH(CJ$9,'Vessel Profiles - Input'!$G$3:$L$3,0))</f>
        <v>118080</v>
      </c>
      <c r="CK119" s="98">
        <f>INDEX('Vessel Profiles - Input'!$G$5:$L$105,MATCH($D$119,'Vessel Profiles - Input'!$C$5:$C$105,0),MATCH(CK$9,'Vessel Profiles - Input'!$G$3:$L$3,0))</f>
        <v>118080</v>
      </c>
      <c r="CL119" s="98">
        <f>INDEX('Vessel Profiles - Input'!$G$5:$L$105,MATCH($D$119,'Vessel Profiles - Input'!$C$5:$C$105,0),MATCH(CL$9,'Vessel Profiles - Input'!$G$3:$L$3,0))</f>
        <v>118080</v>
      </c>
      <c r="CM119" s="98">
        <f>INDEX('Vessel Profiles - Input'!$G$5:$L$105,MATCH($D$119,'Vessel Profiles - Input'!$C$5:$C$105,0),MATCH(CM$9,'Vessel Profiles - Input'!$G$3:$L$3,0))</f>
        <v>118080</v>
      </c>
      <c r="CN119" s="98">
        <f>INDEX('Vessel Profiles - Input'!$G$5:$L$105,MATCH($D$119,'Vessel Profiles - Input'!$C$5:$C$105,0),MATCH(CN$9,'Vessel Profiles - Input'!$G$3:$L$3,0))</f>
        <v>118080</v>
      </c>
      <c r="CO119" s="98">
        <f>INDEX('Vessel Profiles - Input'!$G$5:$L$105,MATCH($D$119,'Vessel Profiles - Input'!$C$5:$C$105,0),MATCH(CO$9,'Vessel Profiles - Input'!$G$3:$L$3,0))</f>
        <v>118080</v>
      </c>
      <c r="CP119" s="98">
        <f>INDEX('Vessel Profiles - Input'!$G$5:$L$105,MATCH($D$119,'Vessel Profiles - Input'!$C$5:$C$105,0),MATCH(CP$9,'Vessel Profiles - Input'!$G$3:$L$3,0))</f>
        <v>118080</v>
      </c>
      <c r="CQ119" s="98">
        <f>INDEX('Vessel Profiles - Input'!$G$5:$L$105,MATCH($D$119,'Vessel Profiles - Input'!$C$5:$C$105,0),MATCH(CQ$9,'Vessel Profiles - Input'!$G$3:$L$3,0))</f>
        <v>118080</v>
      </c>
      <c r="CR119" s="98">
        <f>INDEX('Vessel Profiles - Input'!$G$5:$L$105,MATCH($D$119,'Vessel Profiles - Input'!$C$5:$C$105,0),MATCH(CR$9,'Vessel Profiles - Input'!$G$3:$L$3,0))</f>
        <v>118080</v>
      </c>
      <c r="CS119" s="98">
        <f>INDEX('Vessel Profiles - Input'!$G$5:$L$105,MATCH($D$119,'Vessel Profiles - Input'!$C$5:$C$105,0),MATCH(CS$9,'Vessel Profiles - Input'!$G$3:$L$3,0))</f>
        <v>118080</v>
      </c>
      <c r="CT119" s="98">
        <f>INDEX('Vessel Profiles - Input'!$G$5:$L$105,MATCH($D$119,'Vessel Profiles - Input'!$C$5:$C$105,0),MATCH(CT$9,'Vessel Profiles - Input'!$G$3:$L$3,0))</f>
        <v>118080</v>
      </c>
    </row>
    <row r="120" spans="3:100" outlineLevel="1" x14ac:dyDescent="0.2">
      <c r="C120" s="3"/>
      <c r="D120" s="12" t="s">
        <v>337</v>
      </c>
      <c r="E120" s="224"/>
      <c r="F120" s="224" t="s">
        <v>338</v>
      </c>
      <c r="G120" s="292">
        <f t="shared" ref="G120:R120" ca="1" si="531">G210</f>
        <v>0</v>
      </c>
      <c r="H120" s="292">
        <f t="shared" ca="1" si="531"/>
        <v>0</v>
      </c>
      <c r="I120" s="292">
        <f t="shared" ca="1" si="531"/>
        <v>0</v>
      </c>
      <c r="J120" s="292">
        <f t="shared" ca="1" si="531"/>
        <v>0</v>
      </c>
      <c r="K120" s="292">
        <f t="shared" ca="1" si="531"/>
        <v>0</v>
      </c>
      <c r="L120" s="292">
        <f t="shared" ca="1" si="531"/>
        <v>0</v>
      </c>
      <c r="M120" s="292">
        <f t="shared" ca="1" si="531"/>
        <v>0</v>
      </c>
      <c r="N120" s="292">
        <f t="shared" ca="1" si="531"/>
        <v>0</v>
      </c>
      <c r="O120" s="292">
        <f t="shared" ca="1" si="531"/>
        <v>0</v>
      </c>
      <c r="P120" s="292">
        <f t="shared" ca="1" si="531"/>
        <v>0</v>
      </c>
      <c r="Q120" s="292">
        <f t="shared" ca="1" si="531"/>
        <v>0</v>
      </c>
      <c r="R120" s="292">
        <f t="shared" ca="1" si="531"/>
        <v>0</v>
      </c>
      <c r="X120" s="12" t="s">
        <v>337</v>
      </c>
      <c r="Y120" s="224"/>
      <c r="Z120" s="224" t="s">
        <v>338</v>
      </c>
      <c r="AA120" s="292">
        <f t="shared" ref="AA120:AL120" ca="1" si="532">AA210</f>
        <v>0</v>
      </c>
      <c r="AB120" s="292">
        <f t="shared" ca="1" si="532"/>
        <v>0</v>
      </c>
      <c r="AC120" s="292">
        <f t="shared" ca="1" si="532"/>
        <v>0</v>
      </c>
      <c r="AD120" s="292">
        <f t="shared" ca="1" si="532"/>
        <v>0</v>
      </c>
      <c r="AE120" s="292">
        <f t="shared" ca="1" si="532"/>
        <v>0</v>
      </c>
      <c r="AF120" s="292">
        <f t="shared" ca="1" si="532"/>
        <v>0</v>
      </c>
      <c r="AG120" s="292">
        <f t="shared" ca="1" si="532"/>
        <v>0</v>
      </c>
      <c r="AH120" s="292">
        <f t="shared" ca="1" si="532"/>
        <v>0</v>
      </c>
      <c r="AI120" s="292">
        <f t="shared" ca="1" si="532"/>
        <v>0</v>
      </c>
      <c r="AJ120" s="292">
        <f t="shared" ca="1" si="532"/>
        <v>0</v>
      </c>
      <c r="AK120" s="292">
        <f t="shared" ca="1" si="532"/>
        <v>0</v>
      </c>
      <c r="AL120" s="292">
        <f t="shared" ca="1" si="532"/>
        <v>0</v>
      </c>
      <c r="AR120" s="12" t="s">
        <v>337</v>
      </c>
      <c r="AS120" s="224"/>
      <c r="AT120" s="224" t="s">
        <v>338</v>
      </c>
      <c r="AU120" s="292">
        <f t="shared" ref="AU120:BF120" ca="1" si="533">AU210</f>
        <v>0</v>
      </c>
      <c r="AV120" s="292">
        <f t="shared" ca="1" si="533"/>
        <v>0</v>
      </c>
      <c r="AW120" s="292">
        <f t="shared" ca="1" si="533"/>
        <v>0</v>
      </c>
      <c r="AX120" s="292">
        <f t="shared" ca="1" si="533"/>
        <v>0</v>
      </c>
      <c r="AY120" s="292">
        <f t="shared" ca="1" si="533"/>
        <v>0</v>
      </c>
      <c r="AZ120" s="292">
        <f t="shared" ca="1" si="533"/>
        <v>0</v>
      </c>
      <c r="BA120" s="292">
        <f t="shared" ca="1" si="533"/>
        <v>0</v>
      </c>
      <c r="BB120" s="292">
        <f t="shared" ca="1" si="533"/>
        <v>0</v>
      </c>
      <c r="BC120" s="292">
        <f t="shared" ca="1" si="533"/>
        <v>0</v>
      </c>
      <c r="BD120" s="292">
        <f t="shared" ca="1" si="533"/>
        <v>0</v>
      </c>
      <c r="BE120" s="292">
        <f t="shared" ca="1" si="533"/>
        <v>0</v>
      </c>
      <c r="BF120" s="292">
        <f t="shared" ca="1" si="533"/>
        <v>0</v>
      </c>
      <c r="BL120" s="12" t="s">
        <v>337</v>
      </c>
      <c r="BM120" s="224"/>
      <c r="BN120" s="224" t="s">
        <v>338</v>
      </c>
      <c r="BO120" s="292">
        <f t="shared" ref="BO120:BZ120" ca="1" si="534">BO210</f>
        <v>0</v>
      </c>
      <c r="BP120" s="292">
        <f t="shared" ca="1" si="534"/>
        <v>0</v>
      </c>
      <c r="BQ120" s="292">
        <f t="shared" ca="1" si="534"/>
        <v>0</v>
      </c>
      <c r="BR120" s="292">
        <f t="shared" ca="1" si="534"/>
        <v>0</v>
      </c>
      <c r="BS120" s="292">
        <f t="shared" ca="1" si="534"/>
        <v>0</v>
      </c>
      <c r="BT120" s="292">
        <f t="shared" ca="1" si="534"/>
        <v>0</v>
      </c>
      <c r="BU120" s="292">
        <f t="shared" ca="1" si="534"/>
        <v>0</v>
      </c>
      <c r="BV120" s="292">
        <f t="shared" ca="1" si="534"/>
        <v>0</v>
      </c>
      <c r="BW120" s="292">
        <f t="shared" ca="1" si="534"/>
        <v>0</v>
      </c>
      <c r="BX120" s="292">
        <f t="shared" ca="1" si="534"/>
        <v>0</v>
      </c>
      <c r="BY120" s="292">
        <f t="shared" ca="1" si="534"/>
        <v>0</v>
      </c>
      <c r="BZ120" s="292">
        <f t="shared" ca="1" si="534"/>
        <v>0</v>
      </c>
      <c r="CF120" s="12" t="s">
        <v>337</v>
      </c>
      <c r="CG120" s="224"/>
      <c r="CH120" s="224" t="s">
        <v>338</v>
      </c>
      <c r="CI120" s="292">
        <f t="shared" ref="CI120:CT120" ca="1" si="535">CI210</f>
        <v>0</v>
      </c>
      <c r="CJ120" s="292">
        <f t="shared" ca="1" si="535"/>
        <v>0</v>
      </c>
      <c r="CK120" s="292">
        <f t="shared" ca="1" si="535"/>
        <v>0</v>
      </c>
      <c r="CL120" s="292">
        <f t="shared" ca="1" si="535"/>
        <v>0</v>
      </c>
      <c r="CM120" s="292">
        <f t="shared" ca="1" si="535"/>
        <v>0</v>
      </c>
      <c r="CN120" s="292">
        <f t="shared" ca="1" si="535"/>
        <v>0</v>
      </c>
      <c r="CO120" s="292">
        <f t="shared" ca="1" si="535"/>
        <v>0</v>
      </c>
      <c r="CP120" s="292">
        <f t="shared" ca="1" si="535"/>
        <v>0</v>
      </c>
      <c r="CQ120" s="292">
        <f t="shared" ca="1" si="535"/>
        <v>0</v>
      </c>
      <c r="CR120" s="292">
        <f t="shared" ca="1" si="535"/>
        <v>0</v>
      </c>
      <c r="CS120" s="292">
        <f t="shared" ca="1" si="535"/>
        <v>0</v>
      </c>
      <c r="CT120" s="292">
        <f t="shared" ca="1" si="535"/>
        <v>0</v>
      </c>
    </row>
    <row r="121" spans="3:100" outlineLevel="1" x14ac:dyDescent="0.2">
      <c r="C121" s="3"/>
      <c r="D121" s="12"/>
      <c r="E121" s="224"/>
      <c r="G121" s="292"/>
      <c r="H121" s="292"/>
      <c r="I121" s="292"/>
      <c r="J121" s="292"/>
      <c r="K121" s="292"/>
      <c r="L121" s="292"/>
      <c r="M121" s="292"/>
      <c r="N121" s="292"/>
      <c r="O121" s="292"/>
      <c r="P121" s="292"/>
      <c r="Q121" s="292"/>
      <c r="R121" s="292"/>
      <c r="X121" s="12"/>
      <c r="Y121" s="224"/>
      <c r="AA121" s="292"/>
      <c r="AB121" s="292"/>
      <c r="AC121" s="292"/>
      <c r="AD121" s="292"/>
      <c r="AE121" s="292"/>
      <c r="AF121" s="292"/>
      <c r="AG121" s="292"/>
      <c r="AH121" s="292"/>
      <c r="AI121" s="292"/>
      <c r="AJ121" s="292"/>
      <c r="AK121" s="292"/>
      <c r="AL121" s="292"/>
      <c r="AR121" s="12"/>
      <c r="AS121" s="224"/>
      <c r="AU121" s="292"/>
      <c r="AV121" s="292"/>
      <c r="AW121" s="292"/>
      <c r="AX121" s="292"/>
      <c r="AY121" s="292"/>
      <c r="AZ121" s="292"/>
      <c r="BA121" s="292"/>
      <c r="BB121" s="292"/>
      <c r="BC121" s="292"/>
      <c r="BD121" s="292"/>
      <c r="BE121" s="292"/>
      <c r="BF121" s="292"/>
      <c r="BL121" s="12"/>
      <c r="BM121" s="224"/>
      <c r="BO121" s="292"/>
      <c r="BP121" s="292"/>
      <c r="BQ121" s="292"/>
      <c r="BR121" s="292"/>
      <c r="BS121" s="292"/>
      <c r="BT121" s="292"/>
      <c r="BU121" s="292"/>
      <c r="BV121" s="292"/>
      <c r="BW121" s="292"/>
      <c r="BX121" s="292"/>
      <c r="BY121" s="292"/>
      <c r="BZ121" s="292"/>
      <c r="CF121" s="12"/>
      <c r="CG121" s="224"/>
      <c r="CI121" s="292"/>
      <c r="CJ121" s="292"/>
      <c r="CK121" s="292"/>
      <c r="CL121" s="292"/>
      <c r="CM121" s="292"/>
      <c r="CN121" s="292"/>
      <c r="CO121" s="292"/>
      <c r="CP121" s="292"/>
      <c r="CQ121" s="292"/>
      <c r="CR121" s="292"/>
      <c r="CS121" s="292"/>
      <c r="CT121" s="292"/>
    </row>
    <row r="122" spans="3:100" s="266" customFormat="1" outlineLevel="1" x14ac:dyDescent="0.2">
      <c r="C122" s="285"/>
      <c r="D122" s="285" t="s">
        <v>339</v>
      </c>
      <c r="E122" s="282"/>
      <c r="F122" s="282"/>
      <c r="G122" s="289">
        <f ca="1">G123*G124</f>
        <v>3143191.960163442</v>
      </c>
      <c r="H122" s="289">
        <f t="shared" ref="H122:R122" ca="1" si="536">H123*H124</f>
        <v>2254898.5801172522</v>
      </c>
      <c r="I122" s="289">
        <f t="shared" ca="1" si="536"/>
        <v>1967911.488102329</v>
      </c>
      <c r="J122" s="289">
        <f t="shared" ca="1" si="536"/>
        <v>1967911.488102329</v>
      </c>
      <c r="K122" s="289">
        <f t="shared" ca="1" si="536"/>
        <v>1967911.488102329</v>
      </c>
      <c r="L122" s="289">
        <f t="shared" ca="1" si="536"/>
        <v>1967911.488102329</v>
      </c>
      <c r="M122" s="289">
        <f t="shared" ca="1" si="536"/>
        <v>1967911.488102329</v>
      </c>
      <c r="N122" s="289">
        <f t="shared" ca="1" si="536"/>
        <v>1967911.488102329</v>
      </c>
      <c r="O122" s="289">
        <f t="shared" ca="1" si="536"/>
        <v>1967911.488102329</v>
      </c>
      <c r="P122" s="289">
        <f t="shared" ca="1" si="536"/>
        <v>1967911.488102329</v>
      </c>
      <c r="Q122" s="289">
        <f t="shared" ca="1" si="536"/>
        <v>1967911.488102329</v>
      </c>
      <c r="R122" s="289">
        <f t="shared" ca="1" si="536"/>
        <v>1967911.488102329</v>
      </c>
      <c r="X122" s="301" t="s">
        <v>339</v>
      </c>
      <c r="Y122" s="282"/>
      <c r="Z122" s="302"/>
      <c r="AA122" s="289">
        <f ca="1">AA123*AA124</f>
        <v>4099975.5726118255</v>
      </c>
      <c r="AB122" s="289">
        <f t="shared" ref="AB122:AL122" ca="1" si="537">AB123*AB124</f>
        <v>2210443.0541957412</v>
      </c>
      <c r="AC122" s="289">
        <f t="shared" ca="1" si="537"/>
        <v>1548924.6432110418</v>
      </c>
      <c r="AD122" s="289">
        <f t="shared" ca="1" si="537"/>
        <v>1555089.0788589646</v>
      </c>
      <c r="AE122" s="289">
        <f t="shared" ca="1" si="537"/>
        <v>1537294.0422093824</v>
      </c>
      <c r="AF122" s="289">
        <f t="shared" ca="1" si="537"/>
        <v>1520133.0459248803</v>
      </c>
      <c r="AG122" s="289">
        <f t="shared" ca="1" si="537"/>
        <v>1505138.6791979528</v>
      </c>
      <c r="AH122" s="289">
        <f t="shared" ca="1" si="537"/>
        <v>1505138.6791979528</v>
      </c>
      <c r="AI122" s="289">
        <f t="shared" ca="1" si="537"/>
        <v>1505138.6791979528</v>
      </c>
      <c r="AJ122" s="289">
        <f t="shared" ca="1" si="537"/>
        <v>1505138.6791979528</v>
      </c>
      <c r="AK122" s="289">
        <f t="shared" ca="1" si="537"/>
        <v>1505138.6791979528</v>
      </c>
      <c r="AL122" s="289">
        <f t="shared" ca="1" si="537"/>
        <v>1505138.6791979528</v>
      </c>
      <c r="AR122" s="285" t="s">
        <v>339</v>
      </c>
      <c r="AS122" s="282"/>
      <c r="AT122" s="282"/>
      <c r="AU122" s="289">
        <f ca="1">AU123*AU124</f>
        <v>9902906.9934871048</v>
      </c>
      <c r="AV122" s="289">
        <f t="shared" ref="AV122:BF122" ca="1" si="538">AV123*AV124</f>
        <v>7299146.1765310047</v>
      </c>
      <c r="AW122" s="289">
        <f t="shared" ca="1" si="538"/>
        <v>5128456.3139940863</v>
      </c>
      <c r="AX122" s="289">
        <f t="shared" ca="1" si="538"/>
        <v>4661058.7272460684</v>
      </c>
      <c r="AY122" s="289">
        <f t="shared" ca="1" si="538"/>
        <v>4101905.9731309852</v>
      </c>
      <c r="AZ122" s="289">
        <f t="shared" ca="1" si="538"/>
        <v>3425474.3706087987</v>
      </c>
      <c r="BA122" s="289">
        <f t="shared" ca="1" si="538"/>
        <v>2814932.5415609633</v>
      </c>
      <c r="BB122" s="289">
        <f t="shared" ca="1" si="538"/>
        <v>2814932.5415609633</v>
      </c>
      <c r="BC122" s="289">
        <f t="shared" ca="1" si="538"/>
        <v>2814932.5415609633</v>
      </c>
      <c r="BD122" s="289">
        <f t="shared" ca="1" si="538"/>
        <v>2814932.5415609633</v>
      </c>
      <c r="BE122" s="289">
        <f t="shared" ca="1" si="538"/>
        <v>2814932.5415609633</v>
      </c>
      <c r="BF122" s="289">
        <f t="shared" ca="1" si="538"/>
        <v>2814932.5415609633</v>
      </c>
      <c r="BG122"/>
      <c r="BH122"/>
      <c r="BL122" s="285" t="s">
        <v>339</v>
      </c>
      <c r="BM122" s="282"/>
      <c r="BN122" s="282"/>
      <c r="BO122" s="289">
        <f ca="1">BO123*BO124</f>
        <v>8262509.9997547083</v>
      </c>
      <c r="BP122" s="289">
        <f t="shared" ref="BP122:BZ122" ca="1" si="539">BP123*BP124</f>
        <v>4999856.4850004949</v>
      </c>
      <c r="BQ122" s="289">
        <f t="shared" ca="1" si="539"/>
        <v>3736451.3655718169</v>
      </c>
      <c r="BR122" s="289">
        <f t="shared" ca="1" si="539"/>
        <v>3716774.0901765982</v>
      </c>
      <c r="BS122" s="289">
        <f t="shared" ca="1" si="539"/>
        <v>3654682.2083758856</v>
      </c>
      <c r="BT122" s="289">
        <f t="shared" ca="1" si="539"/>
        <v>3592836.730313011</v>
      </c>
      <c r="BU122" s="289">
        <f t="shared" ca="1" si="539"/>
        <v>3532420.9818082689</v>
      </c>
      <c r="BV122" s="289">
        <f t="shared" ca="1" si="539"/>
        <v>3532420.9818082689</v>
      </c>
      <c r="BW122" s="289">
        <f t="shared" ca="1" si="539"/>
        <v>3532420.9818082689</v>
      </c>
      <c r="BX122" s="289">
        <f t="shared" ca="1" si="539"/>
        <v>3532420.9818082689</v>
      </c>
      <c r="BY122" s="289">
        <f t="shared" ca="1" si="539"/>
        <v>3532420.9818082689</v>
      </c>
      <c r="BZ122" s="289">
        <f t="shared" ca="1" si="539"/>
        <v>3532420.9818082689</v>
      </c>
      <c r="CA122"/>
      <c r="CB122"/>
      <c r="CF122" s="285" t="s">
        <v>339</v>
      </c>
      <c r="CG122" s="282"/>
      <c r="CH122" s="282"/>
      <c r="CI122" s="289">
        <f ca="1">CI123*CI124</f>
        <v>7466150.6368025253</v>
      </c>
      <c r="CJ122" s="289">
        <f t="shared" ref="CJ122:CT122" ca="1" si="540">CJ123*CJ124</f>
        <v>5257459.7047743089</v>
      </c>
      <c r="CK122" s="289">
        <f t="shared" ca="1" si="540"/>
        <v>4446426.9890623661</v>
      </c>
      <c r="CL122" s="289">
        <f t="shared" ca="1" si="540"/>
        <v>4114095.8144844007</v>
      </c>
      <c r="CM122" s="289">
        <f t="shared" ca="1" si="540"/>
        <v>3789264.120998418</v>
      </c>
      <c r="CN122" s="289">
        <f t="shared" ca="1" si="540"/>
        <v>3601145.5437677409</v>
      </c>
      <c r="CO122" s="289">
        <f t="shared" ca="1" si="540"/>
        <v>3418554.7654402275</v>
      </c>
      <c r="CP122" s="289">
        <f t="shared" ca="1" si="540"/>
        <v>3418554.7654402275</v>
      </c>
      <c r="CQ122" s="289">
        <f t="shared" ca="1" si="540"/>
        <v>3418554.7654402275</v>
      </c>
      <c r="CR122" s="289">
        <f t="shared" ca="1" si="540"/>
        <v>3418554.7654402275</v>
      </c>
      <c r="CS122" s="289">
        <f t="shared" ca="1" si="540"/>
        <v>3418554.7654402275</v>
      </c>
      <c r="CT122" s="289">
        <f t="shared" ca="1" si="540"/>
        <v>3418554.7654402275</v>
      </c>
      <c r="CU122"/>
      <c r="CV122"/>
    </row>
    <row r="123" spans="3:100" outlineLevel="1" x14ac:dyDescent="0.2">
      <c r="C123" s="3"/>
      <c r="D123" s="60" t="s">
        <v>323</v>
      </c>
      <c r="E123" s="298" t="s">
        <v>324</v>
      </c>
      <c r="G123" s="52">
        <f t="shared" ref="G123:R123" ca="1" si="541">IFERROR(INDEX(tbl_TCO_input,MATCH(
_xlfn.TEXTJOIN(keydelim,TRUE,G$19,G$11,$D123,$E123),rows_TCO_ID,0),MATCH(G$6,cols_TCO_input,0)),0)</f>
        <v>21.473621920116738</v>
      </c>
      <c r="H123" s="52">
        <f t="shared" ca="1" si="541"/>
        <v>15.404989638344619</v>
      </c>
      <c r="I123" s="52">
        <f t="shared" ca="1" si="541"/>
        <v>13.444354593464393</v>
      </c>
      <c r="J123" s="52">
        <f t="shared" ca="1" si="541"/>
        <v>13.444354593464393</v>
      </c>
      <c r="K123" s="52">
        <f t="shared" ca="1" si="541"/>
        <v>13.444354593464393</v>
      </c>
      <c r="L123" s="52">
        <f t="shared" ca="1" si="541"/>
        <v>13.444354593464393</v>
      </c>
      <c r="M123" s="52">
        <f t="shared" ca="1" si="541"/>
        <v>13.444354593464393</v>
      </c>
      <c r="N123" s="52">
        <f t="shared" ca="1" si="541"/>
        <v>13.444354593464393</v>
      </c>
      <c r="O123" s="52">
        <f t="shared" ca="1" si="541"/>
        <v>13.444354593464393</v>
      </c>
      <c r="P123" s="52">
        <f t="shared" ca="1" si="541"/>
        <v>13.444354593464393</v>
      </c>
      <c r="Q123" s="52">
        <f t="shared" ca="1" si="541"/>
        <v>13.444354593464393</v>
      </c>
      <c r="R123" s="52">
        <f t="shared" ca="1" si="541"/>
        <v>13.444354593464393</v>
      </c>
      <c r="X123" s="60" t="s">
        <v>323</v>
      </c>
      <c r="Y123" s="298" t="s">
        <v>324</v>
      </c>
      <c r="AA123" s="52">
        <f t="shared" ref="AA123:AL123" ca="1" si="542">IFERROR(INDEX(tbl_TCO_input,MATCH(
_xlfn.TEXTJOIN(keydelim,TRUE,AA$19,AA$11,$D123,$E123),rows_TCO_ID,0),MATCH(AA$6,cols_TCO_input,0)),0)</f>
        <v>28.010164967271816</v>
      </c>
      <c r="AB123" s="52">
        <f t="shared" ca="1" si="542"/>
        <v>15.101278898435231</v>
      </c>
      <c r="AC123" s="52">
        <f t="shared" ca="1" si="542"/>
        <v>10.581925187075147</v>
      </c>
      <c r="AD123" s="52">
        <f t="shared" ca="1" si="542"/>
        <v>10.624039306140117</v>
      </c>
      <c r="AE123" s="52">
        <f t="shared" ca="1" si="542"/>
        <v>10.502467383740608</v>
      </c>
      <c r="AF123" s="52">
        <f t="shared" ca="1" si="542"/>
        <v>10.385227090861148</v>
      </c>
      <c r="AG123" s="52">
        <f t="shared" ca="1" si="542"/>
        <v>10.282788752348448</v>
      </c>
      <c r="AH123" s="52">
        <f t="shared" ca="1" si="542"/>
        <v>10.282788752348448</v>
      </c>
      <c r="AI123" s="52">
        <f t="shared" ca="1" si="542"/>
        <v>10.282788752348448</v>
      </c>
      <c r="AJ123" s="52">
        <f t="shared" ca="1" si="542"/>
        <v>10.282788752348448</v>
      </c>
      <c r="AK123" s="52">
        <f t="shared" ca="1" si="542"/>
        <v>10.282788752348448</v>
      </c>
      <c r="AL123" s="52">
        <f t="shared" ca="1" si="542"/>
        <v>10.282788752348448</v>
      </c>
      <c r="AR123" s="60" t="s">
        <v>323</v>
      </c>
      <c r="AS123" s="298" t="s">
        <v>324</v>
      </c>
      <c r="AU123" s="52">
        <f t="shared" ref="AU123:BF123" ca="1" si="543">IFERROR(INDEX(tbl_TCO_input,MATCH(
_xlfn.TEXTJOIN(keydelim,TRUE,AU$19,AU$11,$D123,$E123),rows_TCO_ID,0),MATCH(AU$6,cols_TCO_input,0)),0)</f>
        <v>67.654563699368978</v>
      </c>
      <c r="AV123" s="52">
        <f t="shared" ca="1" si="543"/>
        <v>49.86622112839148</v>
      </c>
      <c r="AW123" s="52">
        <f t="shared" ca="1" si="543"/>
        <v>35.036527617873539</v>
      </c>
      <c r="AX123" s="52">
        <f t="shared" ca="1" si="543"/>
        <v>31.843366273798324</v>
      </c>
      <c r="AY123" s="52">
        <f t="shared" ca="1" si="543"/>
        <v>28.023353054868181</v>
      </c>
      <c r="AZ123" s="52">
        <f t="shared" ca="1" si="543"/>
        <v>23.402115576701302</v>
      </c>
      <c r="BA123" s="52">
        <f t="shared" ca="1" si="543"/>
        <v>19.231023079153672</v>
      </c>
      <c r="BB123" s="52">
        <f t="shared" ca="1" si="543"/>
        <v>19.231023079153672</v>
      </c>
      <c r="BC123" s="52">
        <f t="shared" ca="1" si="543"/>
        <v>19.231023079153672</v>
      </c>
      <c r="BD123" s="52">
        <f t="shared" ca="1" si="543"/>
        <v>19.231023079153672</v>
      </c>
      <c r="BE123" s="52">
        <f t="shared" ca="1" si="543"/>
        <v>19.231023079153672</v>
      </c>
      <c r="BF123" s="52">
        <f t="shared" ca="1" si="543"/>
        <v>19.231023079153672</v>
      </c>
      <c r="BL123" s="60" t="s">
        <v>323</v>
      </c>
      <c r="BM123" s="298" t="s">
        <v>324</v>
      </c>
      <c r="BO123" s="52">
        <f t="shared" ref="BO123:BZ123" ca="1" si="544">IFERROR(INDEX(tbl_TCO_input,MATCH(
_xlfn.TEXTJOIN(keydelim,TRUE,BO$19,BO$11,$D123,$E123),rows_TCO_ID,0),MATCH(BO$6,cols_TCO_input,0)),0)</f>
        <v>56.44771878224406</v>
      </c>
      <c r="BP123" s="52">
        <f t="shared" ca="1" si="544"/>
        <v>34.15796081641848</v>
      </c>
      <c r="BQ123" s="52">
        <f t="shared" ca="1" si="544"/>
        <v>25.526644558807334</v>
      </c>
      <c r="BR123" s="52">
        <f t="shared" ca="1" si="544"/>
        <v>25.392213579850207</v>
      </c>
      <c r="BS123" s="52">
        <f t="shared" ca="1" si="544"/>
        <v>24.968014990964868</v>
      </c>
      <c r="BT123" s="52">
        <f t="shared" ca="1" si="544"/>
        <v>24.545499780241947</v>
      </c>
      <c r="BU123" s="52">
        <f t="shared" ca="1" si="544"/>
        <v>24.132752179123678</v>
      </c>
      <c r="BV123" s="52">
        <f t="shared" ca="1" si="544"/>
        <v>24.132752179123678</v>
      </c>
      <c r="BW123" s="52">
        <f t="shared" ca="1" si="544"/>
        <v>24.132752179123678</v>
      </c>
      <c r="BX123" s="52">
        <f t="shared" ca="1" si="544"/>
        <v>24.132752179123678</v>
      </c>
      <c r="BY123" s="52">
        <f t="shared" ca="1" si="544"/>
        <v>24.132752179123678</v>
      </c>
      <c r="BZ123" s="52">
        <f t="shared" ca="1" si="544"/>
        <v>24.132752179123678</v>
      </c>
      <c r="CF123" s="60" t="s">
        <v>323</v>
      </c>
      <c r="CG123" s="298" t="s">
        <v>324</v>
      </c>
      <c r="CI123" s="52">
        <f t="shared" ref="CI123:CT123" ca="1" si="545">IFERROR(INDEX(tbl_TCO_input,MATCH(
_xlfn.TEXTJOIN(keydelim,TRUE,CI$19,CI$11,$D123,$E123),rows_TCO_ID,0),MATCH(CI$6,cols_TCO_input,0)),0)</f>
        <v>51.007160238790995</v>
      </c>
      <c r="CJ123" s="52">
        <f t="shared" ca="1" si="545"/>
        <v>35.917851468003114</v>
      </c>
      <c r="CK123" s="52">
        <f t="shared" ca="1" si="545"/>
        <v>30.377047685488289</v>
      </c>
      <c r="CL123" s="52">
        <f t="shared" ca="1" si="545"/>
        <v>28.106631469870184</v>
      </c>
      <c r="CM123" s="52">
        <f t="shared" ca="1" si="545"/>
        <v>25.887450121103139</v>
      </c>
      <c r="CN123" s="52">
        <f t="shared" ca="1" si="545"/>
        <v>24.602263834424107</v>
      </c>
      <c r="CO123" s="52">
        <f t="shared" ca="1" si="545"/>
        <v>23.3548422993738</v>
      </c>
      <c r="CP123" s="52">
        <f t="shared" ca="1" si="545"/>
        <v>23.3548422993738</v>
      </c>
      <c r="CQ123" s="52">
        <f t="shared" ca="1" si="545"/>
        <v>23.3548422993738</v>
      </c>
      <c r="CR123" s="52">
        <f t="shared" ca="1" si="545"/>
        <v>23.3548422993738</v>
      </c>
      <c r="CS123" s="52">
        <f t="shared" ca="1" si="545"/>
        <v>23.3548422993738</v>
      </c>
      <c r="CT123" s="52">
        <f t="shared" ca="1" si="545"/>
        <v>23.3548422993738</v>
      </c>
    </row>
    <row r="124" spans="3:100" outlineLevel="1" x14ac:dyDescent="0.2">
      <c r="C124" s="3"/>
      <c r="D124" s="288" t="s">
        <v>340</v>
      </c>
      <c r="E124" s="282" t="s">
        <v>326</v>
      </c>
      <c r="F124" s="266" t="s">
        <v>329</v>
      </c>
      <c r="G124" s="289">
        <f t="shared" ref="G124:R124" ca="1" si="546">SUMPRODUCT(G126:G127,G129:G130)*G128/G131*(1-G$133)*GJ_per_MWh</f>
        <v>146374.55999999997</v>
      </c>
      <c r="H124" s="289">
        <f t="shared" ca="1" si="546"/>
        <v>146374.55999999997</v>
      </c>
      <c r="I124" s="289">
        <f t="shared" ca="1" si="546"/>
        <v>146374.55999999997</v>
      </c>
      <c r="J124" s="289">
        <f t="shared" ca="1" si="546"/>
        <v>146374.55999999997</v>
      </c>
      <c r="K124" s="289">
        <f t="shared" ca="1" si="546"/>
        <v>146374.55999999997</v>
      </c>
      <c r="L124" s="289">
        <f t="shared" ca="1" si="546"/>
        <v>146374.55999999997</v>
      </c>
      <c r="M124" s="289">
        <f t="shared" ca="1" si="546"/>
        <v>146374.55999999997</v>
      </c>
      <c r="N124" s="289">
        <f t="shared" ca="1" si="546"/>
        <v>146374.55999999997</v>
      </c>
      <c r="O124" s="289">
        <f t="shared" ca="1" si="546"/>
        <v>146374.55999999997</v>
      </c>
      <c r="P124" s="289">
        <f t="shared" ca="1" si="546"/>
        <v>146374.55999999997</v>
      </c>
      <c r="Q124" s="289">
        <f t="shared" ca="1" si="546"/>
        <v>146374.55999999997</v>
      </c>
      <c r="R124" s="289">
        <f t="shared" ca="1" si="546"/>
        <v>146374.55999999997</v>
      </c>
      <c r="X124" s="288" t="s">
        <v>340</v>
      </c>
      <c r="Y124" s="282" t="s">
        <v>326</v>
      </c>
      <c r="Z124" s="266" t="s">
        <v>329</v>
      </c>
      <c r="AA124" s="289">
        <f t="shared" ref="AA124:AL124" ca="1" si="547">SUMPRODUCT(AA126:AA127,AA129:AA130)*AA128/AA131*(1-AA$133)*GJ_per_MWh</f>
        <v>146374.55999999997</v>
      </c>
      <c r="AB124" s="289">
        <f t="shared" ca="1" si="547"/>
        <v>146374.55999999997</v>
      </c>
      <c r="AC124" s="289">
        <f t="shared" ca="1" si="547"/>
        <v>146374.55999999997</v>
      </c>
      <c r="AD124" s="289">
        <f t="shared" ca="1" si="547"/>
        <v>146374.55999999997</v>
      </c>
      <c r="AE124" s="289">
        <f t="shared" ca="1" si="547"/>
        <v>146374.55999999997</v>
      </c>
      <c r="AF124" s="289">
        <f t="shared" ca="1" si="547"/>
        <v>146374.55999999997</v>
      </c>
      <c r="AG124" s="289">
        <f t="shared" ca="1" si="547"/>
        <v>146374.55999999997</v>
      </c>
      <c r="AH124" s="289">
        <f t="shared" ca="1" si="547"/>
        <v>146374.55999999997</v>
      </c>
      <c r="AI124" s="289">
        <f t="shared" ca="1" si="547"/>
        <v>146374.55999999997</v>
      </c>
      <c r="AJ124" s="289">
        <f t="shared" ca="1" si="547"/>
        <v>146374.55999999997</v>
      </c>
      <c r="AK124" s="289">
        <f t="shared" ca="1" si="547"/>
        <v>146374.55999999997</v>
      </c>
      <c r="AL124" s="289">
        <f t="shared" ca="1" si="547"/>
        <v>146374.55999999997</v>
      </c>
      <c r="AR124" s="288" t="s">
        <v>340</v>
      </c>
      <c r="AS124" s="282" t="s">
        <v>326</v>
      </c>
      <c r="AT124" s="303" t="s">
        <v>329</v>
      </c>
      <c r="AU124" s="289">
        <f t="shared" ref="AU124:BF124" ca="1" si="548">SUMPRODUCT(AU126:AU127,AU129:AU130)*AU128/AU131*(1-AU$133)*GJ_per_MWh</f>
        <v>146374.55999999997</v>
      </c>
      <c r="AV124" s="289">
        <f t="shared" ca="1" si="548"/>
        <v>146374.55999999997</v>
      </c>
      <c r="AW124" s="289">
        <f t="shared" ca="1" si="548"/>
        <v>146374.55999999997</v>
      </c>
      <c r="AX124" s="289">
        <f t="shared" ca="1" si="548"/>
        <v>146374.55999999997</v>
      </c>
      <c r="AY124" s="289">
        <f t="shared" ca="1" si="548"/>
        <v>146374.55999999997</v>
      </c>
      <c r="AZ124" s="289">
        <f t="shared" ca="1" si="548"/>
        <v>146374.55999999997</v>
      </c>
      <c r="BA124" s="289">
        <f t="shared" ca="1" si="548"/>
        <v>146374.55999999997</v>
      </c>
      <c r="BB124" s="289">
        <f t="shared" ca="1" si="548"/>
        <v>146374.55999999997</v>
      </c>
      <c r="BC124" s="289">
        <f t="shared" ca="1" si="548"/>
        <v>146374.55999999997</v>
      </c>
      <c r="BD124" s="289">
        <f t="shared" ca="1" si="548"/>
        <v>146374.55999999997</v>
      </c>
      <c r="BE124" s="289">
        <f t="shared" ca="1" si="548"/>
        <v>146374.55999999997</v>
      </c>
      <c r="BF124" s="289">
        <f t="shared" ca="1" si="548"/>
        <v>146374.55999999997</v>
      </c>
      <c r="BL124" s="288" t="s">
        <v>340</v>
      </c>
      <c r="BM124" s="282" t="s">
        <v>326</v>
      </c>
      <c r="BN124" s="303" t="s">
        <v>329</v>
      </c>
      <c r="BO124" s="289">
        <f t="shared" ref="BO124:BZ124" ca="1" si="549">SUMPRODUCT(BO126:BO127,BO129:BO130)*BO128/BO131*(1-BO$133)*GJ_per_MWh</f>
        <v>146374.55999999997</v>
      </c>
      <c r="BP124" s="289">
        <f t="shared" ca="1" si="549"/>
        <v>146374.55999999997</v>
      </c>
      <c r="BQ124" s="289">
        <f t="shared" ca="1" si="549"/>
        <v>146374.55999999997</v>
      </c>
      <c r="BR124" s="289">
        <f t="shared" ca="1" si="549"/>
        <v>146374.55999999997</v>
      </c>
      <c r="BS124" s="289">
        <f t="shared" ca="1" si="549"/>
        <v>146374.55999999997</v>
      </c>
      <c r="BT124" s="289">
        <f t="shared" ca="1" si="549"/>
        <v>146374.55999999997</v>
      </c>
      <c r="BU124" s="289">
        <f t="shared" ca="1" si="549"/>
        <v>146374.55999999997</v>
      </c>
      <c r="BV124" s="289">
        <f t="shared" ca="1" si="549"/>
        <v>146374.55999999997</v>
      </c>
      <c r="BW124" s="289">
        <f t="shared" ca="1" si="549"/>
        <v>146374.55999999997</v>
      </c>
      <c r="BX124" s="289">
        <f t="shared" ca="1" si="549"/>
        <v>146374.55999999997</v>
      </c>
      <c r="BY124" s="289">
        <f t="shared" ca="1" si="549"/>
        <v>146374.55999999997</v>
      </c>
      <c r="BZ124" s="289">
        <f t="shared" ca="1" si="549"/>
        <v>146374.55999999997</v>
      </c>
      <c r="CF124" s="288" t="s">
        <v>340</v>
      </c>
      <c r="CG124" s="282" t="s">
        <v>326</v>
      </c>
      <c r="CH124" s="303" t="s">
        <v>329</v>
      </c>
      <c r="CI124" s="289">
        <f t="shared" ref="CI124:CT124" ca="1" si="550">SUMPRODUCT(CI126:CI127,CI129:CI130)*CI128/CI131*(1-CI$133)*GJ_per_MWh</f>
        <v>146374.55999999997</v>
      </c>
      <c r="CJ124" s="289">
        <f t="shared" ca="1" si="550"/>
        <v>146374.55999999997</v>
      </c>
      <c r="CK124" s="289">
        <f t="shared" ca="1" si="550"/>
        <v>146374.55999999997</v>
      </c>
      <c r="CL124" s="289">
        <f t="shared" ca="1" si="550"/>
        <v>146374.55999999997</v>
      </c>
      <c r="CM124" s="289">
        <f t="shared" ca="1" si="550"/>
        <v>146374.55999999997</v>
      </c>
      <c r="CN124" s="289">
        <f t="shared" ca="1" si="550"/>
        <v>146374.55999999997</v>
      </c>
      <c r="CO124" s="289">
        <f t="shared" ca="1" si="550"/>
        <v>146374.55999999997</v>
      </c>
      <c r="CP124" s="289">
        <f t="shared" ca="1" si="550"/>
        <v>146374.55999999997</v>
      </c>
      <c r="CQ124" s="289">
        <f t="shared" ca="1" si="550"/>
        <v>146374.55999999997</v>
      </c>
      <c r="CR124" s="289">
        <f t="shared" ca="1" si="550"/>
        <v>146374.55999999997</v>
      </c>
      <c r="CS124" s="289">
        <f t="shared" ca="1" si="550"/>
        <v>146374.55999999997</v>
      </c>
      <c r="CT124" s="289">
        <f t="shared" ca="1" si="550"/>
        <v>146374.55999999997</v>
      </c>
    </row>
    <row r="125" spans="3:100" outlineLevel="1" x14ac:dyDescent="0.2">
      <c r="C125" s="3"/>
      <c r="D125" s="12" t="s">
        <v>332</v>
      </c>
      <c r="E125" s="224" t="s">
        <v>333</v>
      </c>
      <c r="G125" s="52">
        <f t="shared" ref="G125:R125" ca="1" si="551">IFERROR(INDEX(tbl_TCO_input,MATCH(
_xlfn.TEXTJOIN(keydelim,TRUE,G$19,$D125),rows_TCO_ID,0),MATCH(G$6,cols_TCO_input,0)),0)</f>
        <v>11444.444444444445</v>
      </c>
      <c r="H125" s="52">
        <f t="shared" ca="1" si="551"/>
        <v>11444.444444444445</v>
      </c>
      <c r="I125" s="52">
        <f t="shared" ca="1" si="551"/>
        <v>11444.444444444445</v>
      </c>
      <c r="J125" s="52">
        <f t="shared" ca="1" si="551"/>
        <v>11444.444444444445</v>
      </c>
      <c r="K125" s="52">
        <f t="shared" ca="1" si="551"/>
        <v>11444.444444444445</v>
      </c>
      <c r="L125" s="52">
        <f t="shared" ca="1" si="551"/>
        <v>11444.444444444445</v>
      </c>
      <c r="M125" s="52">
        <f t="shared" ca="1" si="551"/>
        <v>11444.444444444445</v>
      </c>
      <c r="N125" s="52">
        <f t="shared" ca="1" si="551"/>
        <v>11444.444444444445</v>
      </c>
      <c r="O125" s="52">
        <f t="shared" ca="1" si="551"/>
        <v>11444.444444444445</v>
      </c>
      <c r="P125" s="52">
        <f t="shared" ca="1" si="551"/>
        <v>11444.444444444445</v>
      </c>
      <c r="Q125" s="52">
        <f t="shared" ca="1" si="551"/>
        <v>11444.444444444445</v>
      </c>
      <c r="R125" s="52">
        <f t="shared" ca="1" si="551"/>
        <v>11444.444444444445</v>
      </c>
      <c r="X125" s="12" t="s">
        <v>332</v>
      </c>
      <c r="Y125" s="224" t="s">
        <v>333</v>
      </c>
      <c r="AA125" s="52">
        <f t="shared" ref="AA125:AL125" ca="1" si="552">IFERROR(INDEX(tbl_TCO_input,MATCH(
_xlfn.TEXTJOIN(keydelim,TRUE,AA$19,$D125),rows_TCO_ID,0),MATCH(AA$6,cols_TCO_input,0)),0)</f>
        <v>13333.333333333334</v>
      </c>
      <c r="AB125" s="52">
        <f t="shared" ca="1" si="552"/>
        <v>13333.333333333334</v>
      </c>
      <c r="AC125" s="52">
        <f t="shared" ca="1" si="552"/>
        <v>13333.333333333334</v>
      </c>
      <c r="AD125" s="52">
        <f t="shared" ca="1" si="552"/>
        <v>13333.333333333334</v>
      </c>
      <c r="AE125" s="52">
        <f t="shared" ca="1" si="552"/>
        <v>13333.333333333334</v>
      </c>
      <c r="AF125" s="52">
        <f t="shared" ca="1" si="552"/>
        <v>13333.333333333334</v>
      </c>
      <c r="AG125" s="52">
        <f t="shared" ca="1" si="552"/>
        <v>13333.333333333334</v>
      </c>
      <c r="AH125" s="52">
        <f t="shared" ca="1" si="552"/>
        <v>13333.333333333334</v>
      </c>
      <c r="AI125" s="52">
        <f t="shared" ca="1" si="552"/>
        <v>13333.333333333334</v>
      </c>
      <c r="AJ125" s="52">
        <f t="shared" ca="1" si="552"/>
        <v>13333.333333333334</v>
      </c>
      <c r="AK125" s="52">
        <f t="shared" ca="1" si="552"/>
        <v>13333.333333333334</v>
      </c>
      <c r="AL125" s="52">
        <f t="shared" ca="1" si="552"/>
        <v>13333.333333333334</v>
      </c>
      <c r="AR125" s="12" t="s">
        <v>332</v>
      </c>
      <c r="AS125" s="224" t="s">
        <v>333</v>
      </c>
      <c r="AU125" s="52">
        <f t="shared" ref="AU125:BF125" ca="1" si="553">IFERROR(INDEX(tbl_TCO_input,MATCH(
_xlfn.TEXTJOIN(keydelim,TRUE,AU$19,$D125),rows_TCO_ID,0),MATCH(AU$6,cols_TCO_input,0)),0)</f>
        <v>5222.2222222222226</v>
      </c>
      <c r="AV125" s="52">
        <f t="shared" ca="1" si="553"/>
        <v>5222.2222222222226</v>
      </c>
      <c r="AW125" s="52">
        <f t="shared" ca="1" si="553"/>
        <v>5222.2222222222226</v>
      </c>
      <c r="AX125" s="52">
        <f t="shared" ca="1" si="553"/>
        <v>5222.2222222222226</v>
      </c>
      <c r="AY125" s="52">
        <f t="shared" ca="1" si="553"/>
        <v>5222.2222222222226</v>
      </c>
      <c r="AZ125" s="52">
        <f t="shared" ca="1" si="553"/>
        <v>5222.2222222222226</v>
      </c>
      <c r="BA125" s="52">
        <f t="shared" ca="1" si="553"/>
        <v>5222.2222222222226</v>
      </c>
      <c r="BB125" s="52">
        <f t="shared" ca="1" si="553"/>
        <v>5222.2222222222226</v>
      </c>
      <c r="BC125" s="52">
        <f t="shared" ca="1" si="553"/>
        <v>5222.2222222222226</v>
      </c>
      <c r="BD125" s="52">
        <f t="shared" ca="1" si="553"/>
        <v>5222.2222222222226</v>
      </c>
      <c r="BE125" s="52">
        <f t="shared" ca="1" si="553"/>
        <v>5222.2222222222226</v>
      </c>
      <c r="BF125" s="52">
        <f t="shared" ca="1" si="553"/>
        <v>5222.2222222222226</v>
      </c>
      <c r="BL125" s="12" t="s">
        <v>332</v>
      </c>
      <c r="BM125" s="224" t="s">
        <v>333</v>
      </c>
      <c r="BO125" s="52">
        <f t="shared" ref="BO125:BZ125" ca="1" si="554">IFERROR(INDEX(tbl_TCO_input,MATCH(
_xlfn.TEXTJOIN(keydelim,TRUE,BO$19,$D125),rows_TCO_ID,0),MATCH(BO$6,cols_TCO_input,0)),0)</f>
        <v>5222.2222222222226</v>
      </c>
      <c r="BP125" s="52">
        <f t="shared" ca="1" si="554"/>
        <v>5222.2222222222226</v>
      </c>
      <c r="BQ125" s="52">
        <f t="shared" ca="1" si="554"/>
        <v>5222.2222222222226</v>
      </c>
      <c r="BR125" s="52">
        <f t="shared" ca="1" si="554"/>
        <v>5222.2222222222226</v>
      </c>
      <c r="BS125" s="52">
        <f t="shared" ca="1" si="554"/>
        <v>5222.2222222222226</v>
      </c>
      <c r="BT125" s="52">
        <f t="shared" ca="1" si="554"/>
        <v>5222.2222222222226</v>
      </c>
      <c r="BU125" s="52">
        <f t="shared" ca="1" si="554"/>
        <v>5222.2222222222226</v>
      </c>
      <c r="BV125" s="52">
        <f t="shared" ca="1" si="554"/>
        <v>5222.2222222222226</v>
      </c>
      <c r="BW125" s="52">
        <f t="shared" ca="1" si="554"/>
        <v>5222.2222222222226</v>
      </c>
      <c r="BX125" s="52">
        <f t="shared" ca="1" si="554"/>
        <v>5222.2222222222226</v>
      </c>
      <c r="BY125" s="52">
        <f t="shared" ca="1" si="554"/>
        <v>5222.2222222222226</v>
      </c>
      <c r="BZ125" s="52">
        <f t="shared" ca="1" si="554"/>
        <v>5222.2222222222226</v>
      </c>
      <c r="CF125" s="12" t="s">
        <v>332</v>
      </c>
      <c r="CG125" s="224" t="s">
        <v>333</v>
      </c>
      <c r="CI125" s="52">
        <f t="shared" ref="CI125:CT125" ca="1" si="555">IFERROR(INDEX(tbl_TCO_input,MATCH(
_xlfn.TEXTJOIN(keydelim,TRUE,CI$19,$D125),rows_TCO_ID,0),MATCH(CI$6,cols_TCO_input,0)),0)</f>
        <v>5527.7777777777783</v>
      </c>
      <c r="CJ125" s="52">
        <f t="shared" ca="1" si="555"/>
        <v>5527.7777777777783</v>
      </c>
      <c r="CK125" s="52">
        <f t="shared" ca="1" si="555"/>
        <v>5527.7777777777783</v>
      </c>
      <c r="CL125" s="52">
        <f t="shared" ca="1" si="555"/>
        <v>5527.7777777777783</v>
      </c>
      <c r="CM125" s="52">
        <f t="shared" ca="1" si="555"/>
        <v>5527.7777777777783</v>
      </c>
      <c r="CN125" s="52">
        <f t="shared" ca="1" si="555"/>
        <v>5527.7777777777783</v>
      </c>
      <c r="CO125" s="52">
        <f t="shared" ca="1" si="555"/>
        <v>5527.7777777777783</v>
      </c>
      <c r="CP125" s="52">
        <f t="shared" ca="1" si="555"/>
        <v>5527.7777777777783</v>
      </c>
      <c r="CQ125" s="52">
        <f t="shared" ca="1" si="555"/>
        <v>5527.7777777777783</v>
      </c>
      <c r="CR125" s="52">
        <f t="shared" ca="1" si="555"/>
        <v>5527.7777777777783</v>
      </c>
      <c r="CS125" s="52">
        <f t="shared" ca="1" si="555"/>
        <v>5527.7777777777783</v>
      </c>
      <c r="CT125" s="52">
        <f t="shared" ca="1" si="555"/>
        <v>5527.7777777777783</v>
      </c>
    </row>
    <row r="126" spans="3:100" outlineLevel="1" x14ac:dyDescent="0.2">
      <c r="C126" s="3"/>
      <c r="D126" s="304" t="s">
        <v>341</v>
      </c>
      <c r="E126" s="224" t="s">
        <v>342</v>
      </c>
      <c r="F126" s="305"/>
      <c r="G126">
        <f>INDEX('Vessel Profiles - Input'!$C:$L,MATCH($D126,'Vessel Profiles - Input'!$C:$C,0),MATCH(G$9,'Vessel Profiles - Input'!$C$3:$L$3,0))</f>
        <v>5760</v>
      </c>
      <c r="H126">
        <f>INDEX('Vessel Profiles - Input'!$C:$L,MATCH($D126,'Vessel Profiles - Input'!$C:$C,0),MATCH(H$9,'Vessel Profiles - Input'!$C$3:$L$3,0))</f>
        <v>5760</v>
      </c>
      <c r="I126">
        <f>INDEX('Vessel Profiles - Input'!$C:$L,MATCH($D126,'Vessel Profiles - Input'!$C:$C,0),MATCH(I$9,'Vessel Profiles - Input'!$C$3:$L$3,0))</f>
        <v>5760</v>
      </c>
      <c r="J126">
        <f>INDEX('Vessel Profiles - Input'!$C:$L,MATCH($D126,'Vessel Profiles - Input'!$C:$C,0),MATCH(J$9,'Vessel Profiles - Input'!$C$3:$L$3,0))</f>
        <v>5760</v>
      </c>
      <c r="K126">
        <f>INDEX('Vessel Profiles - Input'!$C:$L,MATCH($D126,'Vessel Profiles - Input'!$C:$C,0),MATCH(K$9,'Vessel Profiles - Input'!$C$3:$L$3,0))</f>
        <v>5760</v>
      </c>
      <c r="L126">
        <f>INDEX('Vessel Profiles - Input'!$C:$L,MATCH($D126,'Vessel Profiles - Input'!$C:$C,0),MATCH(L$9,'Vessel Profiles - Input'!$C$3:$L$3,0))</f>
        <v>5760</v>
      </c>
      <c r="M126">
        <f>INDEX('Vessel Profiles - Input'!$C:$L,MATCH($D126,'Vessel Profiles - Input'!$C:$C,0),MATCH(M$9,'Vessel Profiles - Input'!$C$3:$L$3,0))</f>
        <v>5760</v>
      </c>
      <c r="N126">
        <f>INDEX('Vessel Profiles - Input'!$C:$L,MATCH($D126,'Vessel Profiles - Input'!$C:$C,0),MATCH(N$9,'Vessel Profiles - Input'!$C$3:$L$3,0))</f>
        <v>5760</v>
      </c>
      <c r="O126">
        <f>INDEX('Vessel Profiles - Input'!$C:$L,MATCH($D126,'Vessel Profiles - Input'!$C:$C,0),MATCH(O$9,'Vessel Profiles - Input'!$C$3:$L$3,0))</f>
        <v>5760</v>
      </c>
      <c r="P126">
        <f>INDEX('Vessel Profiles - Input'!$C:$L,MATCH($D126,'Vessel Profiles - Input'!$C:$C,0),MATCH(P$9,'Vessel Profiles - Input'!$C$3:$L$3,0))</f>
        <v>5760</v>
      </c>
      <c r="Q126">
        <f>INDEX('Vessel Profiles - Input'!$C:$L,MATCH($D126,'Vessel Profiles - Input'!$C:$C,0),MATCH(Q$9,'Vessel Profiles - Input'!$C$3:$L$3,0))</f>
        <v>5760</v>
      </c>
      <c r="R126">
        <f>INDEX('Vessel Profiles - Input'!$C:$L,MATCH($D126,'Vessel Profiles - Input'!$C:$C,0),MATCH(R$9,'Vessel Profiles - Input'!$C$3:$L$3,0))</f>
        <v>5760</v>
      </c>
      <c r="X126" s="304" t="s">
        <v>341</v>
      </c>
      <c r="Y126" s="224" t="s">
        <v>342</v>
      </c>
      <c r="Z126" s="305"/>
      <c r="AA126">
        <f>INDEX('Vessel Profiles - Input'!$C:$L,MATCH($D126,'Vessel Profiles - Input'!$C:$C,0),MATCH(AA$9,'Vessel Profiles - Input'!$C$3:$L$3,0))</f>
        <v>5760</v>
      </c>
      <c r="AB126">
        <f>INDEX('Vessel Profiles - Input'!$C:$L,MATCH($D126,'Vessel Profiles - Input'!$C:$C,0),MATCH(AB$9,'Vessel Profiles - Input'!$C$3:$L$3,0))</f>
        <v>5760</v>
      </c>
      <c r="AC126">
        <f>INDEX('Vessel Profiles - Input'!$C:$L,MATCH($D126,'Vessel Profiles - Input'!$C:$C,0),MATCH(AC$9,'Vessel Profiles - Input'!$C$3:$L$3,0))</f>
        <v>5760</v>
      </c>
      <c r="AD126">
        <f>INDEX('Vessel Profiles - Input'!$C:$L,MATCH($D126,'Vessel Profiles - Input'!$C:$C,0),MATCH(AD$9,'Vessel Profiles - Input'!$C$3:$L$3,0))</f>
        <v>5760</v>
      </c>
      <c r="AE126">
        <f>INDEX('Vessel Profiles - Input'!$C:$L,MATCH($D126,'Vessel Profiles - Input'!$C:$C,0),MATCH(AE$9,'Vessel Profiles - Input'!$C$3:$L$3,0))</f>
        <v>5760</v>
      </c>
      <c r="AF126">
        <f>INDEX('Vessel Profiles - Input'!$C:$L,MATCH($D126,'Vessel Profiles - Input'!$C:$C,0),MATCH(AF$9,'Vessel Profiles - Input'!$C$3:$L$3,0))</f>
        <v>5760</v>
      </c>
      <c r="AG126">
        <f>INDEX('Vessel Profiles - Input'!$C:$L,MATCH($D126,'Vessel Profiles - Input'!$C:$C,0),MATCH(AG$9,'Vessel Profiles - Input'!$C$3:$L$3,0))</f>
        <v>5760</v>
      </c>
      <c r="AH126">
        <f>INDEX('Vessel Profiles - Input'!$C:$L,MATCH($D126,'Vessel Profiles - Input'!$C:$C,0),MATCH(AH$9,'Vessel Profiles - Input'!$C$3:$L$3,0))</f>
        <v>5760</v>
      </c>
      <c r="AI126">
        <f>INDEX('Vessel Profiles - Input'!$C:$L,MATCH($D126,'Vessel Profiles - Input'!$C:$C,0),MATCH(AI$9,'Vessel Profiles - Input'!$C$3:$L$3,0))</f>
        <v>5760</v>
      </c>
      <c r="AJ126">
        <f>INDEX('Vessel Profiles - Input'!$C:$L,MATCH($D126,'Vessel Profiles - Input'!$C:$C,0),MATCH(AJ$9,'Vessel Profiles - Input'!$C$3:$L$3,0))</f>
        <v>5760</v>
      </c>
      <c r="AK126">
        <f>INDEX('Vessel Profiles - Input'!$C:$L,MATCH($D126,'Vessel Profiles - Input'!$C:$C,0),MATCH(AK$9,'Vessel Profiles - Input'!$C$3:$L$3,0))</f>
        <v>5760</v>
      </c>
      <c r="AL126">
        <f>INDEX('Vessel Profiles - Input'!$C:$L,MATCH($D126,'Vessel Profiles - Input'!$C:$C,0),MATCH(AL$9,'Vessel Profiles - Input'!$C$3:$L$3,0))</f>
        <v>5760</v>
      </c>
      <c r="AR126" s="304" t="s">
        <v>341</v>
      </c>
      <c r="AS126" s="224" t="s">
        <v>342</v>
      </c>
      <c r="AT126" s="305"/>
      <c r="AU126">
        <f>INDEX('Vessel Profiles - Input'!$C:$L,MATCH($D126,'Vessel Profiles - Input'!$C:$C,0),MATCH(AU$9,'Vessel Profiles - Input'!$C$3:$L$3,0))</f>
        <v>5760</v>
      </c>
      <c r="AV126">
        <f>INDEX('Vessel Profiles - Input'!$C:$L,MATCH($D126,'Vessel Profiles - Input'!$C:$C,0),MATCH(AV$9,'Vessel Profiles - Input'!$C$3:$L$3,0))</f>
        <v>5760</v>
      </c>
      <c r="AW126">
        <f>INDEX('Vessel Profiles - Input'!$C:$L,MATCH($D126,'Vessel Profiles - Input'!$C:$C,0),MATCH(AW$9,'Vessel Profiles - Input'!$C$3:$L$3,0))</f>
        <v>5760</v>
      </c>
      <c r="AX126">
        <f>INDEX('Vessel Profiles - Input'!$C:$L,MATCH($D126,'Vessel Profiles - Input'!$C:$C,0),MATCH(AX$9,'Vessel Profiles - Input'!$C$3:$L$3,0))</f>
        <v>5760</v>
      </c>
      <c r="AY126">
        <f>INDEX('Vessel Profiles - Input'!$C:$L,MATCH($D126,'Vessel Profiles - Input'!$C:$C,0),MATCH(AY$9,'Vessel Profiles - Input'!$C$3:$L$3,0))</f>
        <v>5760</v>
      </c>
      <c r="AZ126">
        <f>INDEX('Vessel Profiles - Input'!$C:$L,MATCH($D126,'Vessel Profiles - Input'!$C:$C,0),MATCH(AZ$9,'Vessel Profiles - Input'!$C$3:$L$3,0))</f>
        <v>5760</v>
      </c>
      <c r="BA126">
        <f>INDEX('Vessel Profiles - Input'!$C:$L,MATCH($D126,'Vessel Profiles - Input'!$C:$C,0),MATCH(BA$9,'Vessel Profiles - Input'!$C$3:$L$3,0))</f>
        <v>5760</v>
      </c>
      <c r="BB126">
        <f>INDEX('Vessel Profiles - Input'!$C:$L,MATCH($D126,'Vessel Profiles - Input'!$C:$C,0),MATCH(BB$9,'Vessel Profiles - Input'!$C$3:$L$3,0))</f>
        <v>5760</v>
      </c>
      <c r="BC126">
        <f>INDEX('Vessel Profiles - Input'!$C:$L,MATCH($D126,'Vessel Profiles - Input'!$C:$C,0),MATCH(BC$9,'Vessel Profiles - Input'!$C$3:$L$3,0))</f>
        <v>5760</v>
      </c>
      <c r="BD126">
        <f>INDEX('Vessel Profiles - Input'!$C:$L,MATCH($D126,'Vessel Profiles - Input'!$C:$C,0),MATCH(BD$9,'Vessel Profiles - Input'!$C$3:$L$3,0))</f>
        <v>5760</v>
      </c>
      <c r="BE126">
        <f>INDEX('Vessel Profiles - Input'!$C:$L,MATCH($D126,'Vessel Profiles - Input'!$C:$C,0),MATCH(BE$9,'Vessel Profiles - Input'!$C$3:$L$3,0))</f>
        <v>5760</v>
      </c>
      <c r="BF126">
        <f>INDEX('Vessel Profiles - Input'!$C:$L,MATCH($D126,'Vessel Profiles - Input'!$C:$C,0),MATCH(BF$9,'Vessel Profiles - Input'!$C$3:$L$3,0))</f>
        <v>5760</v>
      </c>
      <c r="BL126" s="304" t="s">
        <v>341</v>
      </c>
      <c r="BM126" s="224" t="s">
        <v>342</v>
      </c>
      <c r="BN126" s="305"/>
      <c r="BO126">
        <f>INDEX('Vessel Profiles - Input'!$C:$L,MATCH($D126,'Vessel Profiles - Input'!$C:$C,0),MATCH(BO$9,'Vessel Profiles - Input'!$C$3:$L$3,0))</f>
        <v>5760</v>
      </c>
      <c r="BP126">
        <f>INDEX('Vessel Profiles - Input'!$C:$L,MATCH($D126,'Vessel Profiles - Input'!$C:$C,0),MATCH(BP$9,'Vessel Profiles - Input'!$C$3:$L$3,0))</f>
        <v>5760</v>
      </c>
      <c r="BQ126">
        <f>INDEX('Vessel Profiles - Input'!$C:$L,MATCH($D126,'Vessel Profiles - Input'!$C:$C,0),MATCH(BQ$9,'Vessel Profiles - Input'!$C$3:$L$3,0))</f>
        <v>5760</v>
      </c>
      <c r="BR126">
        <f>INDEX('Vessel Profiles - Input'!$C:$L,MATCH($D126,'Vessel Profiles - Input'!$C:$C,0),MATCH(BR$9,'Vessel Profiles - Input'!$C$3:$L$3,0))</f>
        <v>5760</v>
      </c>
      <c r="BS126">
        <f>INDEX('Vessel Profiles - Input'!$C:$L,MATCH($D126,'Vessel Profiles - Input'!$C:$C,0),MATCH(BS$9,'Vessel Profiles - Input'!$C$3:$L$3,0))</f>
        <v>5760</v>
      </c>
      <c r="BT126">
        <f>INDEX('Vessel Profiles - Input'!$C:$L,MATCH($D126,'Vessel Profiles - Input'!$C:$C,0),MATCH(BT$9,'Vessel Profiles - Input'!$C$3:$L$3,0))</f>
        <v>5760</v>
      </c>
      <c r="BU126">
        <f>INDEX('Vessel Profiles - Input'!$C:$L,MATCH($D126,'Vessel Profiles - Input'!$C:$C,0),MATCH(BU$9,'Vessel Profiles - Input'!$C$3:$L$3,0))</f>
        <v>5760</v>
      </c>
      <c r="BV126">
        <f>INDEX('Vessel Profiles - Input'!$C:$L,MATCH($D126,'Vessel Profiles - Input'!$C:$C,0),MATCH(BV$9,'Vessel Profiles - Input'!$C$3:$L$3,0))</f>
        <v>5760</v>
      </c>
      <c r="BW126">
        <f>INDEX('Vessel Profiles - Input'!$C:$L,MATCH($D126,'Vessel Profiles - Input'!$C:$C,0),MATCH(BW$9,'Vessel Profiles - Input'!$C$3:$L$3,0))</f>
        <v>5760</v>
      </c>
      <c r="BX126">
        <f>INDEX('Vessel Profiles - Input'!$C:$L,MATCH($D126,'Vessel Profiles - Input'!$C:$C,0),MATCH(BX$9,'Vessel Profiles - Input'!$C$3:$L$3,0))</f>
        <v>5760</v>
      </c>
      <c r="BY126">
        <f>INDEX('Vessel Profiles - Input'!$C:$L,MATCH($D126,'Vessel Profiles - Input'!$C:$C,0),MATCH(BY$9,'Vessel Profiles - Input'!$C$3:$L$3,0))</f>
        <v>5760</v>
      </c>
      <c r="BZ126">
        <f>INDEX('Vessel Profiles - Input'!$C:$L,MATCH($D126,'Vessel Profiles - Input'!$C:$C,0),MATCH(BZ$9,'Vessel Profiles - Input'!$C$3:$L$3,0))</f>
        <v>5760</v>
      </c>
      <c r="CF126" s="304" t="s">
        <v>341</v>
      </c>
      <c r="CG126" s="224" t="s">
        <v>342</v>
      </c>
      <c r="CH126" s="305"/>
      <c r="CI126">
        <f>INDEX('Vessel Profiles - Input'!$C:$L,MATCH($D126,'Vessel Profiles - Input'!$C:$C,0),MATCH(CI$9,'Vessel Profiles - Input'!$C$3:$L$3,0))</f>
        <v>5760</v>
      </c>
      <c r="CJ126">
        <f>INDEX('Vessel Profiles - Input'!$C:$L,MATCH($D126,'Vessel Profiles - Input'!$C:$C,0),MATCH(CJ$9,'Vessel Profiles - Input'!$C$3:$L$3,0))</f>
        <v>5760</v>
      </c>
      <c r="CK126">
        <f>INDEX('Vessel Profiles - Input'!$C:$L,MATCH($D126,'Vessel Profiles - Input'!$C:$C,0),MATCH(CK$9,'Vessel Profiles - Input'!$C$3:$L$3,0))</f>
        <v>5760</v>
      </c>
      <c r="CL126">
        <f>INDEX('Vessel Profiles - Input'!$C:$L,MATCH($D126,'Vessel Profiles - Input'!$C:$C,0),MATCH(CL$9,'Vessel Profiles - Input'!$C$3:$L$3,0))</f>
        <v>5760</v>
      </c>
      <c r="CM126">
        <f>INDEX('Vessel Profiles - Input'!$C:$L,MATCH($D126,'Vessel Profiles - Input'!$C:$C,0),MATCH(CM$9,'Vessel Profiles - Input'!$C$3:$L$3,0))</f>
        <v>5760</v>
      </c>
      <c r="CN126">
        <f>INDEX('Vessel Profiles - Input'!$C:$L,MATCH($D126,'Vessel Profiles - Input'!$C:$C,0),MATCH(CN$9,'Vessel Profiles - Input'!$C$3:$L$3,0))</f>
        <v>5760</v>
      </c>
      <c r="CO126">
        <f>INDEX('Vessel Profiles - Input'!$C:$L,MATCH($D126,'Vessel Profiles - Input'!$C:$C,0),MATCH(CO$9,'Vessel Profiles - Input'!$C$3:$L$3,0))</f>
        <v>5760</v>
      </c>
      <c r="CP126">
        <f>INDEX('Vessel Profiles - Input'!$C:$L,MATCH($D126,'Vessel Profiles - Input'!$C:$C,0),MATCH(CP$9,'Vessel Profiles - Input'!$C$3:$L$3,0))</f>
        <v>5760</v>
      </c>
      <c r="CQ126">
        <f>INDEX('Vessel Profiles - Input'!$C:$L,MATCH($D126,'Vessel Profiles - Input'!$C:$C,0),MATCH(CQ$9,'Vessel Profiles - Input'!$C$3:$L$3,0))</f>
        <v>5760</v>
      </c>
      <c r="CR126">
        <f>INDEX('Vessel Profiles - Input'!$C:$L,MATCH($D126,'Vessel Profiles - Input'!$C:$C,0),MATCH(CR$9,'Vessel Profiles - Input'!$C$3:$L$3,0))</f>
        <v>5760</v>
      </c>
      <c r="CS126">
        <f>INDEX('Vessel Profiles - Input'!$C:$L,MATCH($D126,'Vessel Profiles - Input'!$C:$C,0),MATCH(CS$9,'Vessel Profiles - Input'!$C$3:$L$3,0))</f>
        <v>5760</v>
      </c>
      <c r="CT126">
        <f>INDEX('Vessel Profiles - Input'!$C:$L,MATCH($D126,'Vessel Profiles - Input'!$C:$C,0),MATCH(CT$9,'Vessel Profiles - Input'!$C$3:$L$3,0))</f>
        <v>5760</v>
      </c>
    </row>
    <row r="127" spans="3:100" outlineLevel="1" x14ac:dyDescent="0.2">
      <c r="C127" s="3"/>
      <c r="D127" s="304" t="s">
        <v>343</v>
      </c>
      <c r="E127" s="224" t="s">
        <v>342</v>
      </c>
      <c r="F127" s="305"/>
      <c r="G127">
        <f>INDEX('Vessel Profiles - Input'!$C:$L,MATCH($D127,'Vessel Profiles - Input'!$C:$C,0),MATCH(G$9,'Vessel Profiles - Input'!$C$3:$L$3,0))</f>
        <v>3000</v>
      </c>
      <c r="H127">
        <f>INDEX('Vessel Profiles - Input'!$C:$L,MATCH($D127,'Vessel Profiles - Input'!$C:$C,0),MATCH(H$9,'Vessel Profiles - Input'!$C$3:$L$3,0))</f>
        <v>3000</v>
      </c>
      <c r="I127">
        <f>INDEX('Vessel Profiles - Input'!$C:$L,MATCH($D127,'Vessel Profiles - Input'!$C:$C,0),MATCH(I$9,'Vessel Profiles - Input'!$C$3:$L$3,0))</f>
        <v>3000</v>
      </c>
      <c r="J127">
        <f>INDEX('Vessel Profiles - Input'!$C:$L,MATCH($D127,'Vessel Profiles - Input'!$C:$C,0),MATCH(J$9,'Vessel Profiles - Input'!$C$3:$L$3,0))</f>
        <v>3000</v>
      </c>
      <c r="K127">
        <f>INDEX('Vessel Profiles - Input'!$C:$L,MATCH($D127,'Vessel Profiles - Input'!$C:$C,0),MATCH(K$9,'Vessel Profiles - Input'!$C$3:$L$3,0))</f>
        <v>3000</v>
      </c>
      <c r="L127">
        <f>INDEX('Vessel Profiles - Input'!$C:$L,MATCH($D127,'Vessel Profiles - Input'!$C:$C,0),MATCH(L$9,'Vessel Profiles - Input'!$C$3:$L$3,0))</f>
        <v>3000</v>
      </c>
      <c r="M127">
        <f>INDEX('Vessel Profiles - Input'!$C:$L,MATCH($D127,'Vessel Profiles - Input'!$C:$C,0),MATCH(M$9,'Vessel Profiles - Input'!$C$3:$L$3,0))</f>
        <v>3000</v>
      </c>
      <c r="N127">
        <f>INDEX('Vessel Profiles - Input'!$C:$L,MATCH($D127,'Vessel Profiles - Input'!$C:$C,0),MATCH(N$9,'Vessel Profiles - Input'!$C$3:$L$3,0))</f>
        <v>3000</v>
      </c>
      <c r="O127">
        <f>INDEX('Vessel Profiles - Input'!$C:$L,MATCH($D127,'Vessel Profiles - Input'!$C:$C,0),MATCH(O$9,'Vessel Profiles - Input'!$C$3:$L$3,0))</f>
        <v>3000</v>
      </c>
      <c r="P127">
        <f>INDEX('Vessel Profiles - Input'!$C:$L,MATCH($D127,'Vessel Profiles - Input'!$C:$C,0),MATCH(P$9,'Vessel Profiles - Input'!$C$3:$L$3,0))</f>
        <v>3000</v>
      </c>
      <c r="Q127">
        <f>INDEX('Vessel Profiles - Input'!$C:$L,MATCH($D127,'Vessel Profiles - Input'!$C:$C,0),MATCH(Q$9,'Vessel Profiles - Input'!$C$3:$L$3,0))</f>
        <v>3000</v>
      </c>
      <c r="R127">
        <f>INDEX('Vessel Profiles - Input'!$C:$L,MATCH($D127,'Vessel Profiles - Input'!$C:$C,0),MATCH(R$9,'Vessel Profiles - Input'!$C$3:$L$3,0))</f>
        <v>3000</v>
      </c>
      <c r="X127" s="304" t="s">
        <v>343</v>
      </c>
      <c r="Y127" s="224" t="s">
        <v>342</v>
      </c>
      <c r="Z127" s="305"/>
      <c r="AA127">
        <f>INDEX('Vessel Profiles - Input'!$C:$L,MATCH($D127,'Vessel Profiles - Input'!$C:$C,0),MATCH(AA$9,'Vessel Profiles - Input'!$C$3:$L$3,0))</f>
        <v>3000</v>
      </c>
      <c r="AB127">
        <f>INDEX('Vessel Profiles - Input'!$C:$L,MATCH($D127,'Vessel Profiles - Input'!$C:$C,0),MATCH(AB$9,'Vessel Profiles - Input'!$C$3:$L$3,0))</f>
        <v>3000</v>
      </c>
      <c r="AC127">
        <f>INDEX('Vessel Profiles - Input'!$C:$L,MATCH($D127,'Vessel Profiles - Input'!$C:$C,0),MATCH(AC$9,'Vessel Profiles - Input'!$C$3:$L$3,0))</f>
        <v>3000</v>
      </c>
      <c r="AD127">
        <f>INDEX('Vessel Profiles - Input'!$C:$L,MATCH($D127,'Vessel Profiles - Input'!$C:$C,0),MATCH(AD$9,'Vessel Profiles - Input'!$C$3:$L$3,0))</f>
        <v>3000</v>
      </c>
      <c r="AE127">
        <f>INDEX('Vessel Profiles - Input'!$C:$L,MATCH($D127,'Vessel Profiles - Input'!$C:$C,0),MATCH(AE$9,'Vessel Profiles - Input'!$C$3:$L$3,0))</f>
        <v>3000</v>
      </c>
      <c r="AF127">
        <f>INDEX('Vessel Profiles - Input'!$C:$L,MATCH($D127,'Vessel Profiles - Input'!$C:$C,0),MATCH(AF$9,'Vessel Profiles - Input'!$C$3:$L$3,0))</f>
        <v>3000</v>
      </c>
      <c r="AG127">
        <f>INDEX('Vessel Profiles - Input'!$C:$L,MATCH($D127,'Vessel Profiles - Input'!$C:$C,0),MATCH(AG$9,'Vessel Profiles - Input'!$C$3:$L$3,0))</f>
        <v>3000</v>
      </c>
      <c r="AH127">
        <f>INDEX('Vessel Profiles - Input'!$C:$L,MATCH($D127,'Vessel Profiles - Input'!$C:$C,0),MATCH(AH$9,'Vessel Profiles - Input'!$C$3:$L$3,0))</f>
        <v>3000</v>
      </c>
      <c r="AI127">
        <f>INDEX('Vessel Profiles - Input'!$C:$L,MATCH($D127,'Vessel Profiles - Input'!$C:$C,0),MATCH(AI$9,'Vessel Profiles - Input'!$C$3:$L$3,0))</f>
        <v>3000</v>
      </c>
      <c r="AJ127">
        <f>INDEX('Vessel Profiles - Input'!$C:$L,MATCH($D127,'Vessel Profiles - Input'!$C:$C,0),MATCH(AJ$9,'Vessel Profiles - Input'!$C$3:$L$3,0))</f>
        <v>3000</v>
      </c>
      <c r="AK127">
        <f>INDEX('Vessel Profiles - Input'!$C:$L,MATCH($D127,'Vessel Profiles - Input'!$C:$C,0),MATCH(AK$9,'Vessel Profiles - Input'!$C$3:$L$3,0))</f>
        <v>3000</v>
      </c>
      <c r="AL127">
        <f>INDEX('Vessel Profiles - Input'!$C:$L,MATCH($D127,'Vessel Profiles - Input'!$C:$C,0),MATCH(AL$9,'Vessel Profiles - Input'!$C$3:$L$3,0))</f>
        <v>3000</v>
      </c>
      <c r="AR127" s="304" t="s">
        <v>343</v>
      </c>
      <c r="AS127" s="224" t="s">
        <v>342</v>
      </c>
      <c r="AT127" s="305"/>
      <c r="AU127">
        <f>INDEX('Vessel Profiles - Input'!$C:$L,MATCH($D127,'Vessel Profiles - Input'!$C:$C,0),MATCH(AU$9,'Vessel Profiles - Input'!$C$3:$L$3,0))</f>
        <v>3000</v>
      </c>
      <c r="AV127">
        <f>INDEX('Vessel Profiles - Input'!$C:$L,MATCH($D127,'Vessel Profiles - Input'!$C:$C,0),MATCH(AV$9,'Vessel Profiles - Input'!$C$3:$L$3,0))</f>
        <v>3000</v>
      </c>
      <c r="AW127">
        <f>INDEX('Vessel Profiles - Input'!$C:$L,MATCH($D127,'Vessel Profiles - Input'!$C:$C,0),MATCH(AW$9,'Vessel Profiles - Input'!$C$3:$L$3,0))</f>
        <v>3000</v>
      </c>
      <c r="AX127">
        <f>INDEX('Vessel Profiles - Input'!$C:$L,MATCH($D127,'Vessel Profiles - Input'!$C:$C,0),MATCH(AX$9,'Vessel Profiles - Input'!$C$3:$L$3,0))</f>
        <v>3000</v>
      </c>
      <c r="AY127">
        <f>INDEX('Vessel Profiles - Input'!$C:$L,MATCH($D127,'Vessel Profiles - Input'!$C:$C,0),MATCH(AY$9,'Vessel Profiles - Input'!$C$3:$L$3,0))</f>
        <v>3000</v>
      </c>
      <c r="AZ127">
        <f>INDEX('Vessel Profiles - Input'!$C:$L,MATCH($D127,'Vessel Profiles - Input'!$C:$C,0),MATCH(AZ$9,'Vessel Profiles - Input'!$C$3:$L$3,0))</f>
        <v>3000</v>
      </c>
      <c r="BA127">
        <f>INDEX('Vessel Profiles - Input'!$C:$L,MATCH($D127,'Vessel Profiles - Input'!$C:$C,0),MATCH(BA$9,'Vessel Profiles - Input'!$C$3:$L$3,0))</f>
        <v>3000</v>
      </c>
      <c r="BB127">
        <f>INDEX('Vessel Profiles - Input'!$C:$L,MATCH($D127,'Vessel Profiles - Input'!$C:$C,0),MATCH(BB$9,'Vessel Profiles - Input'!$C$3:$L$3,0))</f>
        <v>3000</v>
      </c>
      <c r="BC127">
        <f>INDEX('Vessel Profiles - Input'!$C:$L,MATCH($D127,'Vessel Profiles - Input'!$C:$C,0),MATCH(BC$9,'Vessel Profiles - Input'!$C$3:$L$3,0))</f>
        <v>3000</v>
      </c>
      <c r="BD127">
        <f>INDEX('Vessel Profiles - Input'!$C:$L,MATCH($D127,'Vessel Profiles - Input'!$C:$C,0),MATCH(BD$9,'Vessel Profiles - Input'!$C$3:$L$3,0))</f>
        <v>3000</v>
      </c>
      <c r="BE127">
        <f>INDEX('Vessel Profiles - Input'!$C:$L,MATCH($D127,'Vessel Profiles - Input'!$C:$C,0),MATCH(BE$9,'Vessel Profiles - Input'!$C$3:$L$3,0))</f>
        <v>3000</v>
      </c>
      <c r="BF127">
        <f>INDEX('Vessel Profiles - Input'!$C:$L,MATCH($D127,'Vessel Profiles - Input'!$C:$C,0),MATCH(BF$9,'Vessel Profiles - Input'!$C$3:$L$3,0))</f>
        <v>3000</v>
      </c>
      <c r="BL127" s="304" t="s">
        <v>343</v>
      </c>
      <c r="BM127" s="224" t="s">
        <v>342</v>
      </c>
      <c r="BN127" s="305"/>
      <c r="BO127">
        <f>INDEX('Vessel Profiles - Input'!$C:$L,MATCH($D127,'Vessel Profiles - Input'!$C:$C,0),MATCH(BO$9,'Vessel Profiles - Input'!$C$3:$L$3,0))</f>
        <v>3000</v>
      </c>
      <c r="BP127">
        <f>INDEX('Vessel Profiles - Input'!$C:$L,MATCH($D127,'Vessel Profiles - Input'!$C:$C,0),MATCH(BP$9,'Vessel Profiles - Input'!$C$3:$L$3,0))</f>
        <v>3000</v>
      </c>
      <c r="BQ127">
        <f>INDEX('Vessel Profiles - Input'!$C:$L,MATCH($D127,'Vessel Profiles - Input'!$C:$C,0),MATCH(BQ$9,'Vessel Profiles - Input'!$C$3:$L$3,0))</f>
        <v>3000</v>
      </c>
      <c r="BR127">
        <f>INDEX('Vessel Profiles - Input'!$C:$L,MATCH($D127,'Vessel Profiles - Input'!$C:$C,0),MATCH(BR$9,'Vessel Profiles - Input'!$C$3:$L$3,0))</f>
        <v>3000</v>
      </c>
      <c r="BS127">
        <f>INDEX('Vessel Profiles - Input'!$C:$L,MATCH($D127,'Vessel Profiles - Input'!$C:$C,0),MATCH(BS$9,'Vessel Profiles - Input'!$C$3:$L$3,0))</f>
        <v>3000</v>
      </c>
      <c r="BT127">
        <f>INDEX('Vessel Profiles - Input'!$C:$L,MATCH($D127,'Vessel Profiles - Input'!$C:$C,0),MATCH(BT$9,'Vessel Profiles - Input'!$C$3:$L$3,0))</f>
        <v>3000</v>
      </c>
      <c r="BU127">
        <f>INDEX('Vessel Profiles - Input'!$C:$L,MATCH($D127,'Vessel Profiles - Input'!$C:$C,0),MATCH(BU$9,'Vessel Profiles - Input'!$C$3:$L$3,0))</f>
        <v>3000</v>
      </c>
      <c r="BV127">
        <f>INDEX('Vessel Profiles - Input'!$C:$L,MATCH($D127,'Vessel Profiles - Input'!$C:$C,0),MATCH(BV$9,'Vessel Profiles - Input'!$C$3:$L$3,0))</f>
        <v>3000</v>
      </c>
      <c r="BW127">
        <f>INDEX('Vessel Profiles - Input'!$C:$L,MATCH($D127,'Vessel Profiles - Input'!$C:$C,0),MATCH(BW$9,'Vessel Profiles - Input'!$C$3:$L$3,0))</f>
        <v>3000</v>
      </c>
      <c r="BX127">
        <f>INDEX('Vessel Profiles - Input'!$C:$L,MATCH($D127,'Vessel Profiles - Input'!$C:$C,0),MATCH(BX$9,'Vessel Profiles - Input'!$C$3:$L$3,0))</f>
        <v>3000</v>
      </c>
      <c r="BY127">
        <f>INDEX('Vessel Profiles - Input'!$C:$L,MATCH($D127,'Vessel Profiles - Input'!$C:$C,0),MATCH(BY$9,'Vessel Profiles - Input'!$C$3:$L$3,0))</f>
        <v>3000</v>
      </c>
      <c r="BZ127">
        <f>INDEX('Vessel Profiles - Input'!$C:$L,MATCH($D127,'Vessel Profiles - Input'!$C:$C,0),MATCH(BZ$9,'Vessel Profiles - Input'!$C$3:$L$3,0))</f>
        <v>3000</v>
      </c>
      <c r="CF127" s="304" t="s">
        <v>343</v>
      </c>
      <c r="CG127" s="224" t="s">
        <v>342</v>
      </c>
      <c r="CH127" s="305"/>
      <c r="CI127">
        <f>INDEX('Vessel Profiles - Input'!$C:$L,MATCH($D127,'Vessel Profiles - Input'!$C:$C,0),MATCH(CI$9,'Vessel Profiles - Input'!$C$3:$L$3,0))</f>
        <v>3000</v>
      </c>
      <c r="CJ127">
        <f>INDEX('Vessel Profiles - Input'!$C:$L,MATCH($D127,'Vessel Profiles - Input'!$C:$C,0),MATCH(CJ$9,'Vessel Profiles - Input'!$C$3:$L$3,0))</f>
        <v>3000</v>
      </c>
      <c r="CK127">
        <f>INDEX('Vessel Profiles - Input'!$C:$L,MATCH($D127,'Vessel Profiles - Input'!$C:$C,0),MATCH(CK$9,'Vessel Profiles - Input'!$C$3:$L$3,0))</f>
        <v>3000</v>
      </c>
      <c r="CL127">
        <f>INDEX('Vessel Profiles - Input'!$C:$L,MATCH($D127,'Vessel Profiles - Input'!$C:$C,0),MATCH(CL$9,'Vessel Profiles - Input'!$C$3:$L$3,0))</f>
        <v>3000</v>
      </c>
      <c r="CM127">
        <f>INDEX('Vessel Profiles - Input'!$C:$L,MATCH($D127,'Vessel Profiles - Input'!$C:$C,0),MATCH(CM$9,'Vessel Profiles - Input'!$C$3:$L$3,0))</f>
        <v>3000</v>
      </c>
      <c r="CN127">
        <f>INDEX('Vessel Profiles - Input'!$C:$L,MATCH($D127,'Vessel Profiles - Input'!$C:$C,0),MATCH(CN$9,'Vessel Profiles - Input'!$C$3:$L$3,0))</f>
        <v>3000</v>
      </c>
      <c r="CO127">
        <f>INDEX('Vessel Profiles - Input'!$C:$L,MATCH($D127,'Vessel Profiles - Input'!$C:$C,0),MATCH(CO$9,'Vessel Profiles - Input'!$C$3:$L$3,0))</f>
        <v>3000</v>
      </c>
      <c r="CP127">
        <f>INDEX('Vessel Profiles - Input'!$C:$L,MATCH($D127,'Vessel Profiles - Input'!$C:$C,0),MATCH(CP$9,'Vessel Profiles - Input'!$C$3:$L$3,0))</f>
        <v>3000</v>
      </c>
      <c r="CQ127">
        <f>INDEX('Vessel Profiles - Input'!$C:$L,MATCH($D127,'Vessel Profiles - Input'!$C:$C,0),MATCH(CQ$9,'Vessel Profiles - Input'!$C$3:$L$3,0))</f>
        <v>3000</v>
      </c>
      <c r="CR127">
        <f>INDEX('Vessel Profiles - Input'!$C:$L,MATCH($D127,'Vessel Profiles - Input'!$C:$C,0),MATCH(CR$9,'Vessel Profiles - Input'!$C$3:$L$3,0))</f>
        <v>3000</v>
      </c>
      <c r="CS127">
        <f>INDEX('Vessel Profiles - Input'!$C:$L,MATCH($D127,'Vessel Profiles - Input'!$C:$C,0),MATCH(CS$9,'Vessel Profiles - Input'!$C$3:$L$3,0))</f>
        <v>3000</v>
      </c>
      <c r="CT127">
        <f>INDEX('Vessel Profiles - Input'!$C:$L,MATCH($D127,'Vessel Profiles - Input'!$C:$C,0),MATCH(CT$9,'Vessel Profiles - Input'!$C$3:$L$3,0))</f>
        <v>3000</v>
      </c>
    </row>
    <row r="128" spans="3:100" outlineLevel="1" x14ac:dyDescent="0.2">
      <c r="C128" s="3"/>
      <c r="D128" s="16" t="s">
        <v>284</v>
      </c>
      <c r="E128" s="224" t="s">
        <v>277</v>
      </c>
      <c r="G128" s="98">
        <f>INDEX('Vessel Profiles - Input'!$C:$L,MATCH($D128&amp;keydelim&amp;G$10,'Vessel Profiles - Input'!$C:$C,0),MATCH(G$9,'Vessel Profiles - Input'!$C$3:$L$3,0))</f>
        <v>12.4</v>
      </c>
      <c r="H128" s="98">
        <f>INDEX('Vessel Profiles - Input'!$C:$L,MATCH($D128&amp;keydelim&amp;H$10,'Vessel Profiles - Input'!$C:$C,0),MATCH(H$9,'Vessel Profiles - Input'!$C$3:$L$3,0))</f>
        <v>12.4</v>
      </c>
      <c r="I128" s="98">
        <f>INDEX('Vessel Profiles - Input'!$C:$L,MATCH($D128&amp;keydelim&amp;I$10,'Vessel Profiles - Input'!$C:$C,0),MATCH(I$9,'Vessel Profiles - Input'!$C$3:$L$3,0))</f>
        <v>12.4</v>
      </c>
      <c r="J128" s="98">
        <f>INDEX('Vessel Profiles - Input'!$C:$L,MATCH($D128&amp;keydelim&amp;J$10,'Vessel Profiles - Input'!$C:$C,0),MATCH(J$9,'Vessel Profiles - Input'!$C$3:$L$3,0))</f>
        <v>12.4</v>
      </c>
      <c r="K128" s="98">
        <f>INDEX('Vessel Profiles - Input'!$C:$L,MATCH($D128&amp;keydelim&amp;K$10,'Vessel Profiles - Input'!$C:$C,0),MATCH(K$9,'Vessel Profiles - Input'!$C$3:$L$3,0))</f>
        <v>12.4</v>
      </c>
      <c r="L128" s="98">
        <f>INDEX('Vessel Profiles - Input'!$C:$L,MATCH($D128&amp;keydelim&amp;L$10,'Vessel Profiles - Input'!$C:$C,0),MATCH(L$9,'Vessel Profiles - Input'!$C$3:$L$3,0))</f>
        <v>12.4</v>
      </c>
      <c r="M128" s="98">
        <f>INDEX('Vessel Profiles - Input'!$C:$L,MATCH($D128&amp;keydelim&amp;M$10,'Vessel Profiles - Input'!$C:$C,0),MATCH(M$9,'Vessel Profiles - Input'!$C$3:$L$3,0))</f>
        <v>12.4</v>
      </c>
      <c r="N128" s="98">
        <f>INDEX('Vessel Profiles - Input'!$C:$L,MATCH($D128&amp;keydelim&amp;N$10,'Vessel Profiles - Input'!$C:$C,0),MATCH(N$9,'Vessel Profiles - Input'!$C$3:$L$3,0))</f>
        <v>12.4</v>
      </c>
      <c r="O128" s="98">
        <f>INDEX('Vessel Profiles - Input'!$C:$L,MATCH($D128&amp;keydelim&amp;O$10,'Vessel Profiles - Input'!$C:$C,0),MATCH(O$9,'Vessel Profiles - Input'!$C$3:$L$3,0))</f>
        <v>12.4</v>
      </c>
      <c r="P128" s="98">
        <f>INDEX('Vessel Profiles - Input'!$C:$L,MATCH($D128&amp;keydelim&amp;P$10,'Vessel Profiles - Input'!$C:$C,0),MATCH(P$9,'Vessel Profiles - Input'!$C$3:$L$3,0))</f>
        <v>12.4</v>
      </c>
      <c r="Q128" s="98">
        <f>INDEX('Vessel Profiles - Input'!$C:$L,MATCH($D128&amp;keydelim&amp;Q$10,'Vessel Profiles - Input'!$C:$C,0),MATCH(Q$9,'Vessel Profiles - Input'!$C$3:$L$3,0))</f>
        <v>12.4</v>
      </c>
      <c r="R128" s="98">
        <f>INDEX('Vessel Profiles - Input'!$C:$L,MATCH($D128&amp;keydelim&amp;R$10,'Vessel Profiles - Input'!$C:$C,0),MATCH(R$9,'Vessel Profiles - Input'!$C$3:$L$3,0))</f>
        <v>12.4</v>
      </c>
      <c r="X128" s="16" t="s">
        <v>284</v>
      </c>
      <c r="Y128" s="224" t="s">
        <v>277</v>
      </c>
      <c r="AA128" s="98">
        <f>INDEX('Vessel Profiles - Input'!$C:$L,MATCH($D128&amp;keydelim&amp;AA$10,'Vessel Profiles - Input'!$C:$C,0),MATCH(AA$9,'Vessel Profiles - Input'!$C$3:$L$3,0))</f>
        <v>12.4</v>
      </c>
      <c r="AB128" s="98">
        <f>INDEX('Vessel Profiles - Input'!$C:$L,MATCH($D128&amp;keydelim&amp;AB$10,'Vessel Profiles - Input'!$C:$C,0),MATCH(AB$9,'Vessel Profiles - Input'!$C$3:$L$3,0))</f>
        <v>12.4</v>
      </c>
      <c r="AC128" s="98">
        <f>INDEX('Vessel Profiles - Input'!$C:$L,MATCH($D128&amp;keydelim&amp;AC$10,'Vessel Profiles - Input'!$C:$C,0),MATCH(AC$9,'Vessel Profiles - Input'!$C$3:$L$3,0))</f>
        <v>12.4</v>
      </c>
      <c r="AD128" s="98">
        <f>INDEX('Vessel Profiles - Input'!$C:$L,MATCH($D128&amp;keydelim&amp;AD$10,'Vessel Profiles - Input'!$C:$C,0),MATCH(AD$9,'Vessel Profiles - Input'!$C$3:$L$3,0))</f>
        <v>12.4</v>
      </c>
      <c r="AE128" s="98">
        <f>INDEX('Vessel Profiles - Input'!$C:$L,MATCH($D128&amp;keydelim&amp;AE$10,'Vessel Profiles - Input'!$C:$C,0),MATCH(AE$9,'Vessel Profiles - Input'!$C$3:$L$3,0))</f>
        <v>12.4</v>
      </c>
      <c r="AF128" s="98">
        <f>INDEX('Vessel Profiles - Input'!$C:$L,MATCH($D128&amp;keydelim&amp;AF$10,'Vessel Profiles - Input'!$C:$C,0),MATCH(AF$9,'Vessel Profiles - Input'!$C$3:$L$3,0))</f>
        <v>12.4</v>
      </c>
      <c r="AG128" s="98">
        <f>INDEX('Vessel Profiles - Input'!$C:$L,MATCH($D128&amp;keydelim&amp;AG$10,'Vessel Profiles - Input'!$C:$C,0),MATCH(AG$9,'Vessel Profiles - Input'!$C$3:$L$3,0))</f>
        <v>12.4</v>
      </c>
      <c r="AH128" s="98">
        <f>INDEX('Vessel Profiles - Input'!$C:$L,MATCH($D128&amp;keydelim&amp;AH$10,'Vessel Profiles - Input'!$C:$C,0),MATCH(AH$9,'Vessel Profiles - Input'!$C$3:$L$3,0))</f>
        <v>12.4</v>
      </c>
      <c r="AI128" s="98">
        <f>INDEX('Vessel Profiles - Input'!$C:$L,MATCH($D128&amp;keydelim&amp;AI$10,'Vessel Profiles - Input'!$C:$C,0),MATCH(AI$9,'Vessel Profiles - Input'!$C$3:$L$3,0))</f>
        <v>12.4</v>
      </c>
      <c r="AJ128" s="98">
        <f>INDEX('Vessel Profiles - Input'!$C:$L,MATCH($D128&amp;keydelim&amp;AJ$10,'Vessel Profiles - Input'!$C:$C,0),MATCH(AJ$9,'Vessel Profiles - Input'!$C$3:$L$3,0))</f>
        <v>12.4</v>
      </c>
      <c r="AK128" s="98">
        <f>INDEX('Vessel Profiles - Input'!$C:$L,MATCH($D128&amp;keydelim&amp;AK$10,'Vessel Profiles - Input'!$C:$C,0),MATCH(AK$9,'Vessel Profiles - Input'!$C$3:$L$3,0))</f>
        <v>12.4</v>
      </c>
      <c r="AL128" s="98">
        <f>INDEX('Vessel Profiles - Input'!$C:$L,MATCH($D128&amp;keydelim&amp;AL$10,'Vessel Profiles - Input'!$C:$C,0),MATCH(AL$9,'Vessel Profiles - Input'!$C$3:$L$3,0))</f>
        <v>12.4</v>
      </c>
      <c r="AR128" s="16" t="s">
        <v>284</v>
      </c>
      <c r="AS128" s="224" t="s">
        <v>277</v>
      </c>
      <c r="AU128" s="98">
        <f>INDEX('Vessel Profiles - Input'!$C:$L,MATCH($D128&amp;keydelim&amp;AU$10,'Vessel Profiles - Input'!$C:$C,0),MATCH(AU$9,'Vessel Profiles - Input'!$C$3:$L$3,0))</f>
        <v>12.4</v>
      </c>
      <c r="AV128" s="98">
        <f>INDEX('Vessel Profiles - Input'!$C:$L,MATCH($D128&amp;keydelim&amp;AV$10,'Vessel Profiles - Input'!$C:$C,0),MATCH(AV$9,'Vessel Profiles - Input'!$C$3:$L$3,0))</f>
        <v>12.4</v>
      </c>
      <c r="AW128" s="98">
        <f>INDEX('Vessel Profiles - Input'!$C:$L,MATCH($D128&amp;keydelim&amp;AW$10,'Vessel Profiles - Input'!$C:$C,0),MATCH(AW$9,'Vessel Profiles - Input'!$C$3:$L$3,0))</f>
        <v>12.4</v>
      </c>
      <c r="AX128" s="98">
        <f>INDEX('Vessel Profiles - Input'!$C:$L,MATCH($D128&amp;keydelim&amp;AX$10,'Vessel Profiles - Input'!$C:$C,0),MATCH(AX$9,'Vessel Profiles - Input'!$C$3:$L$3,0))</f>
        <v>12.4</v>
      </c>
      <c r="AY128" s="98">
        <f>INDEX('Vessel Profiles - Input'!$C:$L,MATCH($D128&amp;keydelim&amp;AY$10,'Vessel Profiles - Input'!$C:$C,0),MATCH(AY$9,'Vessel Profiles - Input'!$C$3:$L$3,0))</f>
        <v>12.4</v>
      </c>
      <c r="AZ128" s="98">
        <f>INDEX('Vessel Profiles - Input'!$C:$L,MATCH($D128&amp;keydelim&amp;AZ$10,'Vessel Profiles - Input'!$C:$C,0),MATCH(AZ$9,'Vessel Profiles - Input'!$C$3:$L$3,0))</f>
        <v>12.4</v>
      </c>
      <c r="BA128" s="98">
        <f>INDEX('Vessel Profiles - Input'!$C:$L,MATCH($D128&amp;keydelim&amp;BA$10,'Vessel Profiles - Input'!$C:$C,0),MATCH(BA$9,'Vessel Profiles - Input'!$C$3:$L$3,0))</f>
        <v>12.4</v>
      </c>
      <c r="BB128" s="98">
        <f>INDEX('Vessel Profiles - Input'!$C:$L,MATCH($D128&amp;keydelim&amp;BB$10,'Vessel Profiles - Input'!$C:$C,0),MATCH(BB$9,'Vessel Profiles - Input'!$C$3:$L$3,0))</f>
        <v>12.4</v>
      </c>
      <c r="BC128" s="98">
        <f>INDEX('Vessel Profiles - Input'!$C:$L,MATCH($D128&amp;keydelim&amp;BC$10,'Vessel Profiles - Input'!$C:$C,0),MATCH(BC$9,'Vessel Profiles - Input'!$C$3:$L$3,0))</f>
        <v>12.4</v>
      </c>
      <c r="BD128" s="98">
        <f>INDEX('Vessel Profiles - Input'!$C:$L,MATCH($D128&amp;keydelim&amp;BD$10,'Vessel Profiles - Input'!$C:$C,0),MATCH(BD$9,'Vessel Profiles - Input'!$C$3:$L$3,0))</f>
        <v>12.4</v>
      </c>
      <c r="BE128" s="98">
        <f>INDEX('Vessel Profiles - Input'!$C:$L,MATCH($D128&amp;keydelim&amp;BE$10,'Vessel Profiles - Input'!$C:$C,0),MATCH(BE$9,'Vessel Profiles - Input'!$C$3:$L$3,0))</f>
        <v>12.4</v>
      </c>
      <c r="BF128" s="98">
        <f>INDEX('Vessel Profiles - Input'!$C:$L,MATCH($D128&amp;keydelim&amp;BF$10,'Vessel Profiles - Input'!$C:$C,0),MATCH(BF$9,'Vessel Profiles - Input'!$C$3:$L$3,0))</f>
        <v>12.4</v>
      </c>
      <c r="BL128" s="16" t="s">
        <v>284</v>
      </c>
      <c r="BM128" s="224" t="s">
        <v>277</v>
      </c>
      <c r="BO128" s="98">
        <f>INDEX('Vessel Profiles - Input'!$C:$L,MATCH($D128&amp;keydelim&amp;BO$10,'Vessel Profiles - Input'!$C:$C,0),MATCH(BO$9,'Vessel Profiles - Input'!$C$3:$L$3,0))</f>
        <v>12.4</v>
      </c>
      <c r="BP128" s="98">
        <f>INDEX('Vessel Profiles - Input'!$C:$L,MATCH($D128&amp;keydelim&amp;BP$10,'Vessel Profiles - Input'!$C:$C,0),MATCH(BP$9,'Vessel Profiles - Input'!$C$3:$L$3,0))</f>
        <v>12.4</v>
      </c>
      <c r="BQ128" s="98">
        <f>INDEX('Vessel Profiles - Input'!$C:$L,MATCH($D128&amp;keydelim&amp;BQ$10,'Vessel Profiles - Input'!$C:$C,0),MATCH(BQ$9,'Vessel Profiles - Input'!$C$3:$L$3,0))</f>
        <v>12.4</v>
      </c>
      <c r="BR128" s="98">
        <f>INDEX('Vessel Profiles - Input'!$C:$L,MATCH($D128&amp;keydelim&amp;BR$10,'Vessel Profiles - Input'!$C:$C,0),MATCH(BR$9,'Vessel Profiles - Input'!$C$3:$L$3,0))</f>
        <v>12.4</v>
      </c>
      <c r="BS128" s="98">
        <f>INDEX('Vessel Profiles - Input'!$C:$L,MATCH($D128&amp;keydelim&amp;BS$10,'Vessel Profiles - Input'!$C:$C,0),MATCH(BS$9,'Vessel Profiles - Input'!$C$3:$L$3,0))</f>
        <v>12.4</v>
      </c>
      <c r="BT128" s="98">
        <f>INDEX('Vessel Profiles - Input'!$C:$L,MATCH($D128&amp;keydelim&amp;BT$10,'Vessel Profiles - Input'!$C:$C,0),MATCH(BT$9,'Vessel Profiles - Input'!$C$3:$L$3,0))</f>
        <v>12.4</v>
      </c>
      <c r="BU128" s="98">
        <f>INDEX('Vessel Profiles - Input'!$C:$L,MATCH($D128&amp;keydelim&amp;BU$10,'Vessel Profiles - Input'!$C:$C,0),MATCH(BU$9,'Vessel Profiles - Input'!$C$3:$L$3,0))</f>
        <v>12.4</v>
      </c>
      <c r="BV128" s="98">
        <f>INDEX('Vessel Profiles - Input'!$C:$L,MATCH($D128&amp;keydelim&amp;BV$10,'Vessel Profiles - Input'!$C:$C,0),MATCH(BV$9,'Vessel Profiles - Input'!$C$3:$L$3,0))</f>
        <v>12.4</v>
      </c>
      <c r="BW128" s="98">
        <f>INDEX('Vessel Profiles - Input'!$C:$L,MATCH($D128&amp;keydelim&amp;BW$10,'Vessel Profiles - Input'!$C:$C,0),MATCH(BW$9,'Vessel Profiles - Input'!$C$3:$L$3,0))</f>
        <v>12.4</v>
      </c>
      <c r="BX128" s="98">
        <f>INDEX('Vessel Profiles - Input'!$C:$L,MATCH($D128&amp;keydelim&amp;BX$10,'Vessel Profiles - Input'!$C:$C,0),MATCH(BX$9,'Vessel Profiles - Input'!$C$3:$L$3,0))</f>
        <v>12.4</v>
      </c>
      <c r="BY128" s="98">
        <f>INDEX('Vessel Profiles - Input'!$C:$L,MATCH($D128&amp;keydelim&amp;BY$10,'Vessel Profiles - Input'!$C:$C,0),MATCH(BY$9,'Vessel Profiles - Input'!$C$3:$L$3,0))</f>
        <v>12.4</v>
      </c>
      <c r="BZ128" s="98">
        <f>INDEX('Vessel Profiles - Input'!$C:$L,MATCH($D128&amp;keydelim&amp;BZ$10,'Vessel Profiles - Input'!$C:$C,0),MATCH(BZ$9,'Vessel Profiles - Input'!$C$3:$L$3,0))</f>
        <v>12.4</v>
      </c>
      <c r="CF128" s="16" t="s">
        <v>284</v>
      </c>
      <c r="CG128" s="224" t="s">
        <v>277</v>
      </c>
      <c r="CI128" s="98">
        <f>INDEX('Vessel Profiles - Input'!$C:$L,MATCH($D128&amp;keydelim&amp;CI$10,'Vessel Profiles - Input'!$C:$C,0),MATCH(CI$9,'Vessel Profiles - Input'!$C$3:$L$3,0))</f>
        <v>12.4</v>
      </c>
      <c r="CJ128" s="98">
        <f>INDEX('Vessel Profiles - Input'!$C:$L,MATCH($D128&amp;keydelim&amp;CJ$10,'Vessel Profiles - Input'!$C:$C,0),MATCH(CJ$9,'Vessel Profiles - Input'!$C$3:$L$3,0))</f>
        <v>12.4</v>
      </c>
      <c r="CK128" s="98">
        <f>INDEX('Vessel Profiles - Input'!$C:$L,MATCH($D128&amp;keydelim&amp;CK$10,'Vessel Profiles - Input'!$C:$C,0),MATCH(CK$9,'Vessel Profiles - Input'!$C$3:$L$3,0))</f>
        <v>12.4</v>
      </c>
      <c r="CL128" s="98">
        <f>INDEX('Vessel Profiles - Input'!$C:$L,MATCH($D128&amp;keydelim&amp;CL$10,'Vessel Profiles - Input'!$C:$C,0),MATCH(CL$9,'Vessel Profiles - Input'!$C$3:$L$3,0))</f>
        <v>12.4</v>
      </c>
      <c r="CM128" s="98">
        <f>INDEX('Vessel Profiles - Input'!$C:$L,MATCH($D128&amp;keydelim&amp;CM$10,'Vessel Profiles - Input'!$C:$C,0),MATCH(CM$9,'Vessel Profiles - Input'!$C$3:$L$3,0))</f>
        <v>12.4</v>
      </c>
      <c r="CN128" s="98">
        <f>INDEX('Vessel Profiles - Input'!$C:$L,MATCH($D128&amp;keydelim&amp;CN$10,'Vessel Profiles - Input'!$C:$C,0),MATCH(CN$9,'Vessel Profiles - Input'!$C$3:$L$3,0))</f>
        <v>12.4</v>
      </c>
      <c r="CO128" s="98">
        <f>INDEX('Vessel Profiles - Input'!$C:$L,MATCH($D128&amp;keydelim&amp;CO$10,'Vessel Profiles - Input'!$C:$C,0),MATCH(CO$9,'Vessel Profiles - Input'!$C$3:$L$3,0))</f>
        <v>12.4</v>
      </c>
      <c r="CP128" s="98">
        <f>INDEX('Vessel Profiles - Input'!$C:$L,MATCH($D128&amp;keydelim&amp;CP$10,'Vessel Profiles - Input'!$C:$C,0),MATCH(CP$9,'Vessel Profiles - Input'!$C$3:$L$3,0))</f>
        <v>12.4</v>
      </c>
      <c r="CQ128" s="98">
        <f>INDEX('Vessel Profiles - Input'!$C:$L,MATCH($D128&amp;keydelim&amp;CQ$10,'Vessel Profiles - Input'!$C:$C,0),MATCH(CQ$9,'Vessel Profiles - Input'!$C$3:$L$3,0))</f>
        <v>12.4</v>
      </c>
      <c r="CR128" s="98">
        <f>INDEX('Vessel Profiles - Input'!$C:$L,MATCH($D128&amp;keydelim&amp;CR$10,'Vessel Profiles - Input'!$C:$C,0),MATCH(CR$9,'Vessel Profiles - Input'!$C$3:$L$3,0))</f>
        <v>12.4</v>
      </c>
      <c r="CS128" s="98">
        <f>INDEX('Vessel Profiles - Input'!$C:$L,MATCH($D128&amp;keydelim&amp;CS$10,'Vessel Profiles - Input'!$C:$C,0),MATCH(CS$9,'Vessel Profiles - Input'!$C$3:$L$3,0))</f>
        <v>12.4</v>
      </c>
      <c r="CT128" s="98">
        <f>INDEX('Vessel Profiles - Input'!$C:$L,MATCH($D128&amp;keydelim&amp;CT$10,'Vessel Profiles - Input'!$C:$C,0),MATCH(CT$9,'Vessel Profiles - Input'!$C$3:$L$3,0))</f>
        <v>12.4</v>
      </c>
    </row>
    <row r="129" spans="3:100" outlineLevel="1" x14ac:dyDescent="0.2">
      <c r="C129" s="3"/>
      <c r="D129" s="16" t="s">
        <v>344</v>
      </c>
      <c r="E129" s="224" t="s">
        <v>178</v>
      </c>
      <c r="G129" s="23">
        <f>INDEX('Vessel Profiles - Input'!$C:$L,MATCH($D129,'Vessel Profiles - Input'!$C:$C,0),MATCH(G$9,'Vessel Profiles - Input'!$C$3:$L$3,0))</f>
        <v>0.16</v>
      </c>
      <c r="H129" s="23">
        <f>INDEX('Vessel Profiles - Input'!$C:$L,MATCH($D129,'Vessel Profiles - Input'!$C:$C,0),MATCH(H$9,'Vessel Profiles - Input'!$C$3:$L$3,0))</f>
        <v>0.16</v>
      </c>
      <c r="I129" s="23">
        <f>INDEX('Vessel Profiles - Input'!$C:$L,MATCH($D129,'Vessel Profiles - Input'!$C:$C,0),MATCH(I$9,'Vessel Profiles - Input'!$C$3:$L$3,0))</f>
        <v>0.16</v>
      </c>
      <c r="J129" s="23">
        <f>INDEX('Vessel Profiles - Input'!$C:$L,MATCH($D129,'Vessel Profiles - Input'!$C:$C,0),MATCH(J$9,'Vessel Profiles - Input'!$C$3:$L$3,0))</f>
        <v>0.16</v>
      </c>
      <c r="K129" s="23">
        <f>INDEX('Vessel Profiles - Input'!$C:$L,MATCH($D129,'Vessel Profiles - Input'!$C:$C,0),MATCH(K$9,'Vessel Profiles - Input'!$C$3:$L$3,0))</f>
        <v>0.16</v>
      </c>
      <c r="L129" s="23">
        <f>INDEX('Vessel Profiles - Input'!$C:$L,MATCH($D129,'Vessel Profiles - Input'!$C:$C,0),MATCH(L$9,'Vessel Profiles - Input'!$C$3:$L$3,0))</f>
        <v>0.16</v>
      </c>
      <c r="M129" s="23">
        <f>INDEX('Vessel Profiles - Input'!$C:$L,MATCH($D129,'Vessel Profiles - Input'!$C:$C,0),MATCH(M$9,'Vessel Profiles - Input'!$C$3:$L$3,0))</f>
        <v>0.16</v>
      </c>
      <c r="N129" s="23">
        <f>INDEX('Vessel Profiles - Input'!$C:$L,MATCH($D129,'Vessel Profiles - Input'!$C:$C,0),MATCH(N$9,'Vessel Profiles - Input'!$C$3:$L$3,0))</f>
        <v>0.16</v>
      </c>
      <c r="O129" s="23">
        <f>INDEX('Vessel Profiles - Input'!$C:$L,MATCH($D129,'Vessel Profiles - Input'!$C:$C,0),MATCH(O$9,'Vessel Profiles - Input'!$C$3:$L$3,0))</f>
        <v>0.16</v>
      </c>
      <c r="P129" s="23">
        <f>INDEX('Vessel Profiles - Input'!$C:$L,MATCH($D129,'Vessel Profiles - Input'!$C:$C,0),MATCH(P$9,'Vessel Profiles - Input'!$C$3:$L$3,0))</f>
        <v>0.16</v>
      </c>
      <c r="Q129" s="23">
        <f>INDEX('Vessel Profiles - Input'!$C:$L,MATCH($D129,'Vessel Profiles - Input'!$C:$C,0),MATCH(Q$9,'Vessel Profiles - Input'!$C$3:$L$3,0))</f>
        <v>0.16</v>
      </c>
      <c r="R129" s="23">
        <f>INDEX('Vessel Profiles - Input'!$C:$L,MATCH($D129,'Vessel Profiles - Input'!$C:$C,0),MATCH(R$9,'Vessel Profiles - Input'!$C$3:$L$3,0))</f>
        <v>0.16</v>
      </c>
      <c r="X129" s="16" t="s">
        <v>344</v>
      </c>
      <c r="Y129" s="224" t="s">
        <v>178</v>
      </c>
      <c r="AA129" s="23">
        <f>INDEX('Vessel Profiles - Input'!$C:$L,MATCH($D129,'Vessel Profiles - Input'!$C:$C,0),MATCH(AA$9,'Vessel Profiles - Input'!$C$3:$L$3,0))</f>
        <v>0.16</v>
      </c>
      <c r="AB129" s="23">
        <f>INDEX('Vessel Profiles - Input'!$C:$L,MATCH($D129,'Vessel Profiles - Input'!$C:$C,0),MATCH(AB$9,'Vessel Profiles - Input'!$C$3:$L$3,0))</f>
        <v>0.16</v>
      </c>
      <c r="AC129" s="23">
        <f>INDEX('Vessel Profiles - Input'!$C:$L,MATCH($D129,'Vessel Profiles - Input'!$C:$C,0),MATCH(AC$9,'Vessel Profiles - Input'!$C$3:$L$3,0))</f>
        <v>0.16</v>
      </c>
      <c r="AD129" s="23">
        <f>INDEX('Vessel Profiles - Input'!$C:$L,MATCH($D129,'Vessel Profiles - Input'!$C:$C,0),MATCH(AD$9,'Vessel Profiles - Input'!$C$3:$L$3,0))</f>
        <v>0.16</v>
      </c>
      <c r="AE129" s="23">
        <f>INDEX('Vessel Profiles - Input'!$C:$L,MATCH($D129,'Vessel Profiles - Input'!$C:$C,0),MATCH(AE$9,'Vessel Profiles - Input'!$C$3:$L$3,0))</f>
        <v>0.16</v>
      </c>
      <c r="AF129" s="23">
        <f>INDEX('Vessel Profiles - Input'!$C:$L,MATCH($D129,'Vessel Profiles - Input'!$C:$C,0),MATCH(AF$9,'Vessel Profiles - Input'!$C$3:$L$3,0))</f>
        <v>0.16</v>
      </c>
      <c r="AG129" s="23">
        <f>INDEX('Vessel Profiles - Input'!$C:$L,MATCH($D129,'Vessel Profiles - Input'!$C:$C,0),MATCH(AG$9,'Vessel Profiles - Input'!$C$3:$L$3,0))</f>
        <v>0.16</v>
      </c>
      <c r="AH129" s="23">
        <f>INDEX('Vessel Profiles - Input'!$C:$L,MATCH($D129,'Vessel Profiles - Input'!$C:$C,0),MATCH(AH$9,'Vessel Profiles - Input'!$C$3:$L$3,0))</f>
        <v>0.16</v>
      </c>
      <c r="AI129" s="23">
        <f>INDEX('Vessel Profiles - Input'!$C:$L,MATCH($D129,'Vessel Profiles - Input'!$C:$C,0),MATCH(AI$9,'Vessel Profiles - Input'!$C$3:$L$3,0))</f>
        <v>0.16</v>
      </c>
      <c r="AJ129" s="23">
        <f>INDEX('Vessel Profiles - Input'!$C:$L,MATCH($D129,'Vessel Profiles - Input'!$C:$C,0),MATCH(AJ$9,'Vessel Profiles - Input'!$C$3:$L$3,0))</f>
        <v>0.16</v>
      </c>
      <c r="AK129" s="23">
        <f>INDEX('Vessel Profiles - Input'!$C:$L,MATCH($D129,'Vessel Profiles - Input'!$C:$C,0),MATCH(AK$9,'Vessel Profiles - Input'!$C$3:$L$3,0))</f>
        <v>0.16</v>
      </c>
      <c r="AL129" s="23">
        <f>INDEX('Vessel Profiles - Input'!$C:$L,MATCH($D129,'Vessel Profiles - Input'!$C:$C,0),MATCH(AL$9,'Vessel Profiles - Input'!$C$3:$L$3,0))</f>
        <v>0.16</v>
      </c>
      <c r="AR129" s="16" t="s">
        <v>344</v>
      </c>
      <c r="AS129" s="224" t="s">
        <v>178</v>
      </c>
      <c r="AU129" s="23">
        <f>INDEX('Vessel Profiles - Input'!$C:$L,MATCH($D129,'Vessel Profiles - Input'!$C:$C,0),MATCH(AU$9,'Vessel Profiles - Input'!$C$3:$L$3,0))</f>
        <v>0.16</v>
      </c>
      <c r="AV129" s="23">
        <f>INDEX('Vessel Profiles - Input'!$C:$L,MATCH($D129,'Vessel Profiles - Input'!$C:$C,0),MATCH(AV$9,'Vessel Profiles - Input'!$C$3:$L$3,0))</f>
        <v>0.16</v>
      </c>
      <c r="AW129" s="23">
        <f>INDEX('Vessel Profiles - Input'!$C:$L,MATCH($D129,'Vessel Profiles - Input'!$C:$C,0),MATCH(AW$9,'Vessel Profiles - Input'!$C$3:$L$3,0))</f>
        <v>0.16</v>
      </c>
      <c r="AX129" s="23">
        <f>INDEX('Vessel Profiles - Input'!$C:$L,MATCH($D129,'Vessel Profiles - Input'!$C:$C,0),MATCH(AX$9,'Vessel Profiles - Input'!$C$3:$L$3,0))</f>
        <v>0.16</v>
      </c>
      <c r="AY129" s="23">
        <f>INDEX('Vessel Profiles - Input'!$C:$L,MATCH($D129,'Vessel Profiles - Input'!$C:$C,0),MATCH(AY$9,'Vessel Profiles - Input'!$C$3:$L$3,0))</f>
        <v>0.16</v>
      </c>
      <c r="AZ129" s="23">
        <f>INDEX('Vessel Profiles - Input'!$C:$L,MATCH($D129,'Vessel Profiles - Input'!$C:$C,0),MATCH(AZ$9,'Vessel Profiles - Input'!$C$3:$L$3,0))</f>
        <v>0.16</v>
      </c>
      <c r="BA129" s="23">
        <f>INDEX('Vessel Profiles - Input'!$C:$L,MATCH($D129,'Vessel Profiles - Input'!$C:$C,0),MATCH(BA$9,'Vessel Profiles - Input'!$C$3:$L$3,0))</f>
        <v>0.16</v>
      </c>
      <c r="BB129" s="23">
        <f>INDEX('Vessel Profiles - Input'!$C:$L,MATCH($D129,'Vessel Profiles - Input'!$C:$C,0),MATCH(BB$9,'Vessel Profiles - Input'!$C$3:$L$3,0))</f>
        <v>0.16</v>
      </c>
      <c r="BC129" s="23">
        <f>INDEX('Vessel Profiles - Input'!$C:$L,MATCH($D129,'Vessel Profiles - Input'!$C:$C,0),MATCH(BC$9,'Vessel Profiles - Input'!$C$3:$L$3,0))</f>
        <v>0.16</v>
      </c>
      <c r="BD129" s="23">
        <f>INDEX('Vessel Profiles - Input'!$C:$L,MATCH($D129,'Vessel Profiles - Input'!$C:$C,0),MATCH(BD$9,'Vessel Profiles - Input'!$C$3:$L$3,0))</f>
        <v>0.16</v>
      </c>
      <c r="BE129" s="23">
        <f>INDEX('Vessel Profiles - Input'!$C:$L,MATCH($D129,'Vessel Profiles - Input'!$C:$C,0),MATCH(BE$9,'Vessel Profiles - Input'!$C$3:$L$3,0))</f>
        <v>0.16</v>
      </c>
      <c r="BF129" s="23">
        <f>INDEX('Vessel Profiles - Input'!$C:$L,MATCH($D129,'Vessel Profiles - Input'!$C:$C,0),MATCH(BF$9,'Vessel Profiles - Input'!$C$3:$L$3,0))</f>
        <v>0.16</v>
      </c>
      <c r="BL129" s="16" t="s">
        <v>344</v>
      </c>
      <c r="BM129" s="224" t="s">
        <v>178</v>
      </c>
      <c r="BO129" s="23">
        <f>INDEX('Vessel Profiles - Input'!$C:$L,MATCH($D129,'Vessel Profiles - Input'!$C:$C,0),MATCH(BO$9,'Vessel Profiles - Input'!$C$3:$L$3,0))</f>
        <v>0.16</v>
      </c>
      <c r="BP129" s="23">
        <f>INDEX('Vessel Profiles - Input'!$C:$L,MATCH($D129,'Vessel Profiles - Input'!$C:$C,0),MATCH(BP$9,'Vessel Profiles - Input'!$C$3:$L$3,0))</f>
        <v>0.16</v>
      </c>
      <c r="BQ129" s="23">
        <f>INDEX('Vessel Profiles - Input'!$C:$L,MATCH($D129,'Vessel Profiles - Input'!$C:$C,0),MATCH(BQ$9,'Vessel Profiles - Input'!$C$3:$L$3,0))</f>
        <v>0.16</v>
      </c>
      <c r="BR129" s="23">
        <f>INDEX('Vessel Profiles - Input'!$C:$L,MATCH($D129,'Vessel Profiles - Input'!$C:$C,0),MATCH(BR$9,'Vessel Profiles - Input'!$C$3:$L$3,0))</f>
        <v>0.16</v>
      </c>
      <c r="BS129" s="23">
        <f>INDEX('Vessel Profiles - Input'!$C:$L,MATCH($D129,'Vessel Profiles - Input'!$C:$C,0),MATCH(BS$9,'Vessel Profiles - Input'!$C$3:$L$3,0))</f>
        <v>0.16</v>
      </c>
      <c r="BT129" s="23">
        <f>INDEX('Vessel Profiles - Input'!$C:$L,MATCH($D129,'Vessel Profiles - Input'!$C:$C,0),MATCH(BT$9,'Vessel Profiles - Input'!$C$3:$L$3,0))</f>
        <v>0.16</v>
      </c>
      <c r="BU129" s="23">
        <f>INDEX('Vessel Profiles - Input'!$C:$L,MATCH($D129,'Vessel Profiles - Input'!$C:$C,0),MATCH(BU$9,'Vessel Profiles - Input'!$C$3:$L$3,0))</f>
        <v>0.16</v>
      </c>
      <c r="BV129" s="23">
        <f>INDEX('Vessel Profiles - Input'!$C:$L,MATCH($D129,'Vessel Profiles - Input'!$C:$C,0),MATCH(BV$9,'Vessel Profiles - Input'!$C$3:$L$3,0))</f>
        <v>0.16</v>
      </c>
      <c r="BW129" s="23">
        <f>INDEX('Vessel Profiles - Input'!$C:$L,MATCH($D129,'Vessel Profiles - Input'!$C:$C,0),MATCH(BW$9,'Vessel Profiles - Input'!$C$3:$L$3,0))</f>
        <v>0.16</v>
      </c>
      <c r="BX129" s="23">
        <f>INDEX('Vessel Profiles - Input'!$C:$L,MATCH($D129,'Vessel Profiles - Input'!$C:$C,0),MATCH(BX$9,'Vessel Profiles - Input'!$C$3:$L$3,0))</f>
        <v>0.16</v>
      </c>
      <c r="BY129" s="23">
        <f>INDEX('Vessel Profiles - Input'!$C:$L,MATCH($D129,'Vessel Profiles - Input'!$C:$C,0),MATCH(BY$9,'Vessel Profiles - Input'!$C$3:$L$3,0))</f>
        <v>0.16</v>
      </c>
      <c r="BZ129" s="23">
        <f>INDEX('Vessel Profiles - Input'!$C:$L,MATCH($D129,'Vessel Profiles - Input'!$C:$C,0),MATCH(BZ$9,'Vessel Profiles - Input'!$C$3:$L$3,0))</f>
        <v>0.16</v>
      </c>
      <c r="CF129" s="16" t="s">
        <v>344</v>
      </c>
      <c r="CG129" s="224" t="s">
        <v>178</v>
      </c>
      <c r="CI129" s="23">
        <f>INDEX('Vessel Profiles - Input'!$C:$L,MATCH($D129,'Vessel Profiles - Input'!$C:$C,0),MATCH(CI$9,'Vessel Profiles - Input'!$C$3:$L$3,0))</f>
        <v>0.16</v>
      </c>
      <c r="CJ129" s="23">
        <f>INDEX('Vessel Profiles - Input'!$C:$L,MATCH($D129,'Vessel Profiles - Input'!$C:$C,0),MATCH(CJ$9,'Vessel Profiles - Input'!$C$3:$L$3,0))</f>
        <v>0.16</v>
      </c>
      <c r="CK129" s="23">
        <f>INDEX('Vessel Profiles - Input'!$C:$L,MATCH($D129,'Vessel Profiles - Input'!$C:$C,0),MATCH(CK$9,'Vessel Profiles - Input'!$C$3:$L$3,0))</f>
        <v>0.16</v>
      </c>
      <c r="CL129" s="23">
        <f>INDEX('Vessel Profiles - Input'!$C:$L,MATCH($D129,'Vessel Profiles - Input'!$C:$C,0),MATCH(CL$9,'Vessel Profiles - Input'!$C$3:$L$3,0))</f>
        <v>0.16</v>
      </c>
      <c r="CM129" s="23">
        <f>INDEX('Vessel Profiles - Input'!$C:$L,MATCH($D129,'Vessel Profiles - Input'!$C:$C,0),MATCH(CM$9,'Vessel Profiles - Input'!$C$3:$L$3,0))</f>
        <v>0.16</v>
      </c>
      <c r="CN129" s="23">
        <f>INDEX('Vessel Profiles - Input'!$C:$L,MATCH($D129,'Vessel Profiles - Input'!$C:$C,0),MATCH(CN$9,'Vessel Profiles - Input'!$C$3:$L$3,0))</f>
        <v>0.16</v>
      </c>
      <c r="CO129" s="23">
        <f>INDEX('Vessel Profiles - Input'!$C:$L,MATCH($D129,'Vessel Profiles - Input'!$C:$C,0),MATCH(CO$9,'Vessel Profiles - Input'!$C$3:$L$3,0))</f>
        <v>0.16</v>
      </c>
      <c r="CP129" s="23">
        <f>INDEX('Vessel Profiles - Input'!$C:$L,MATCH($D129,'Vessel Profiles - Input'!$C:$C,0),MATCH(CP$9,'Vessel Profiles - Input'!$C$3:$L$3,0))</f>
        <v>0.16</v>
      </c>
      <c r="CQ129" s="23">
        <f>INDEX('Vessel Profiles - Input'!$C:$L,MATCH($D129,'Vessel Profiles - Input'!$C:$C,0),MATCH(CQ$9,'Vessel Profiles - Input'!$C$3:$L$3,0))</f>
        <v>0.16</v>
      </c>
      <c r="CR129" s="23">
        <f>INDEX('Vessel Profiles - Input'!$C:$L,MATCH($D129,'Vessel Profiles - Input'!$C:$C,0),MATCH(CR$9,'Vessel Profiles - Input'!$C$3:$L$3,0))</f>
        <v>0.16</v>
      </c>
      <c r="CS129" s="23">
        <f>INDEX('Vessel Profiles - Input'!$C:$L,MATCH($D129,'Vessel Profiles - Input'!$C:$C,0),MATCH(CS$9,'Vessel Profiles - Input'!$C$3:$L$3,0))</f>
        <v>0.16</v>
      </c>
      <c r="CT129" s="23">
        <f>INDEX('Vessel Profiles - Input'!$C:$L,MATCH($D129,'Vessel Profiles - Input'!$C:$C,0),MATCH(CT$9,'Vessel Profiles - Input'!$C$3:$L$3,0))</f>
        <v>0.16</v>
      </c>
    </row>
    <row r="130" spans="3:100" outlineLevel="1" x14ac:dyDescent="0.2">
      <c r="C130" s="3"/>
      <c r="D130" s="16" t="s">
        <v>345</v>
      </c>
      <c r="E130" s="224" t="s">
        <v>178</v>
      </c>
      <c r="G130" s="23">
        <f>INDEX('Vessel Profiles - Input'!$C:$L,MATCH($D130,'Vessel Profiles - Input'!$C:$C,0),MATCH(G$9,'Vessel Profiles - Input'!$C$3:$L$3,0))</f>
        <v>0.13</v>
      </c>
      <c r="H130" s="23">
        <f>INDEX('Vessel Profiles - Input'!$C:$L,MATCH($D130,'Vessel Profiles - Input'!$C:$C,0),MATCH(H$9,'Vessel Profiles - Input'!$C$3:$L$3,0))</f>
        <v>0.13</v>
      </c>
      <c r="I130" s="23">
        <f>INDEX('Vessel Profiles - Input'!$C:$L,MATCH($D130,'Vessel Profiles - Input'!$C:$C,0),MATCH(I$9,'Vessel Profiles - Input'!$C$3:$L$3,0))</f>
        <v>0.13</v>
      </c>
      <c r="J130" s="23">
        <f>INDEX('Vessel Profiles - Input'!$C:$L,MATCH($D130,'Vessel Profiles - Input'!$C:$C,0),MATCH(J$9,'Vessel Profiles - Input'!$C$3:$L$3,0))</f>
        <v>0.13</v>
      </c>
      <c r="K130" s="23">
        <f>INDEX('Vessel Profiles - Input'!$C:$L,MATCH($D130,'Vessel Profiles - Input'!$C:$C,0),MATCH(K$9,'Vessel Profiles - Input'!$C$3:$L$3,0))</f>
        <v>0.13</v>
      </c>
      <c r="L130" s="23">
        <f>INDEX('Vessel Profiles - Input'!$C:$L,MATCH($D130,'Vessel Profiles - Input'!$C:$C,0),MATCH(L$9,'Vessel Profiles - Input'!$C$3:$L$3,0))</f>
        <v>0.13</v>
      </c>
      <c r="M130" s="23">
        <f>INDEX('Vessel Profiles - Input'!$C:$L,MATCH($D130,'Vessel Profiles - Input'!$C:$C,0),MATCH(M$9,'Vessel Profiles - Input'!$C$3:$L$3,0))</f>
        <v>0.13</v>
      </c>
      <c r="N130" s="23">
        <f>INDEX('Vessel Profiles - Input'!$C:$L,MATCH($D130,'Vessel Profiles - Input'!$C:$C,0),MATCH(N$9,'Vessel Profiles - Input'!$C$3:$L$3,0))</f>
        <v>0.13</v>
      </c>
      <c r="O130" s="23">
        <f>INDEX('Vessel Profiles - Input'!$C:$L,MATCH($D130,'Vessel Profiles - Input'!$C:$C,0),MATCH(O$9,'Vessel Profiles - Input'!$C$3:$L$3,0))</f>
        <v>0.13</v>
      </c>
      <c r="P130" s="23">
        <f>INDEX('Vessel Profiles - Input'!$C:$L,MATCH($D130,'Vessel Profiles - Input'!$C:$C,0),MATCH(P$9,'Vessel Profiles - Input'!$C$3:$L$3,0))</f>
        <v>0.13</v>
      </c>
      <c r="Q130" s="23">
        <f>INDEX('Vessel Profiles - Input'!$C:$L,MATCH($D130,'Vessel Profiles - Input'!$C:$C,0),MATCH(Q$9,'Vessel Profiles - Input'!$C$3:$L$3,0))</f>
        <v>0.13</v>
      </c>
      <c r="R130" s="23">
        <f>INDEX('Vessel Profiles - Input'!$C:$L,MATCH($D130,'Vessel Profiles - Input'!$C:$C,0),MATCH(R$9,'Vessel Profiles - Input'!$C$3:$L$3,0))</f>
        <v>0.13</v>
      </c>
      <c r="X130" s="16" t="s">
        <v>345</v>
      </c>
      <c r="Y130" s="224" t="s">
        <v>178</v>
      </c>
      <c r="AA130" s="23">
        <f>INDEX('Vessel Profiles - Input'!$C:$L,MATCH($D130,'Vessel Profiles - Input'!$C:$C,0),MATCH(AA$9,'Vessel Profiles - Input'!$C$3:$L$3,0))</f>
        <v>0.13</v>
      </c>
      <c r="AB130" s="23">
        <f>INDEX('Vessel Profiles - Input'!$C:$L,MATCH($D130,'Vessel Profiles - Input'!$C:$C,0),MATCH(AB$9,'Vessel Profiles - Input'!$C$3:$L$3,0))</f>
        <v>0.13</v>
      </c>
      <c r="AC130" s="23">
        <f>INDEX('Vessel Profiles - Input'!$C:$L,MATCH($D130,'Vessel Profiles - Input'!$C:$C,0),MATCH(AC$9,'Vessel Profiles - Input'!$C$3:$L$3,0))</f>
        <v>0.13</v>
      </c>
      <c r="AD130" s="23">
        <f>INDEX('Vessel Profiles - Input'!$C:$L,MATCH($D130,'Vessel Profiles - Input'!$C:$C,0),MATCH(AD$9,'Vessel Profiles - Input'!$C$3:$L$3,0))</f>
        <v>0.13</v>
      </c>
      <c r="AE130" s="23">
        <f>INDEX('Vessel Profiles - Input'!$C:$L,MATCH($D130,'Vessel Profiles - Input'!$C:$C,0),MATCH(AE$9,'Vessel Profiles - Input'!$C$3:$L$3,0))</f>
        <v>0.13</v>
      </c>
      <c r="AF130" s="23">
        <f>INDEX('Vessel Profiles - Input'!$C:$L,MATCH($D130,'Vessel Profiles - Input'!$C:$C,0),MATCH(AF$9,'Vessel Profiles - Input'!$C$3:$L$3,0))</f>
        <v>0.13</v>
      </c>
      <c r="AG130" s="23">
        <f>INDEX('Vessel Profiles - Input'!$C:$L,MATCH($D130,'Vessel Profiles - Input'!$C:$C,0),MATCH(AG$9,'Vessel Profiles - Input'!$C$3:$L$3,0))</f>
        <v>0.13</v>
      </c>
      <c r="AH130" s="23">
        <f>INDEX('Vessel Profiles - Input'!$C:$L,MATCH($D130,'Vessel Profiles - Input'!$C:$C,0),MATCH(AH$9,'Vessel Profiles - Input'!$C$3:$L$3,0))</f>
        <v>0.13</v>
      </c>
      <c r="AI130" s="23">
        <f>INDEX('Vessel Profiles - Input'!$C:$L,MATCH($D130,'Vessel Profiles - Input'!$C:$C,0),MATCH(AI$9,'Vessel Profiles - Input'!$C$3:$L$3,0))</f>
        <v>0.13</v>
      </c>
      <c r="AJ130" s="23">
        <f>INDEX('Vessel Profiles - Input'!$C:$L,MATCH($D130,'Vessel Profiles - Input'!$C:$C,0),MATCH(AJ$9,'Vessel Profiles - Input'!$C$3:$L$3,0))</f>
        <v>0.13</v>
      </c>
      <c r="AK130" s="23">
        <f>INDEX('Vessel Profiles - Input'!$C:$L,MATCH($D130,'Vessel Profiles - Input'!$C:$C,0),MATCH(AK$9,'Vessel Profiles - Input'!$C$3:$L$3,0))</f>
        <v>0.13</v>
      </c>
      <c r="AL130" s="23">
        <f>INDEX('Vessel Profiles - Input'!$C:$L,MATCH($D130,'Vessel Profiles - Input'!$C:$C,0),MATCH(AL$9,'Vessel Profiles - Input'!$C$3:$L$3,0))</f>
        <v>0.13</v>
      </c>
      <c r="AR130" s="16" t="s">
        <v>345</v>
      </c>
      <c r="AS130" s="224" t="s">
        <v>178</v>
      </c>
      <c r="AU130" s="23">
        <f>INDEX('Vessel Profiles - Input'!$C:$L,MATCH($D130,'Vessel Profiles - Input'!$C:$C,0),MATCH(AU$9,'Vessel Profiles - Input'!$C$3:$L$3,0))</f>
        <v>0.13</v>
      </c>
      <c r="AV130" s="23">
        <f>INDEX('Vessel Profiles - Input'!$C:$L,MATCH($D130,'Vessel Profiles - Input'!$C:$C,0),MATCH(AV$9,'Vessel Profiles - Input'!$C$3:$L$3,0))</f>
        <v>0.13</v>
      </c>
      <c r="AW130" s="23">
        <f>INDEX('Vessel Profiles - Input'!$C:$L,MATCH($D130,'Vessel Profiles - Input'!$C:$C,0),MATCH(AW$9,'Vessel Profiles - Input'!$C$3:$L$3,0))</f>
        <v>0.13</v>
      </c>
      <c r="AX130" s="23">
        <f>INDEX('Vessel Profiles - Input'!$C:$L,MATCH($D130,'Vessel Profiles - Input'!$C:$C,0),MATCH(AX$9,'Vessel Profiles - Input'!$C$3:$L$3,0))</f>
        <v>0.13</v>
      </c>
      <c r="AY130" s="23">
        <f>INDEX('Vessel Profiles - Input'!$C:$L,MATCH($D130,'Vessel Profiles - Input'!$C:$C,0),MATCH(AY$9,'Vessel Profiles - Input'!$C$3:$L$3,0))</f>
        <v>0.13</v>
      </c>
      <c r="AZ130" s="23">
        <f>INDEX('Vessel Profiles - Input'!$C:$L,MATCH($D130,'Vessel Profiles - Input'!$C:$C,0),MATCH(AZ$9,'Vessel Profiles - Input'!$C$3:$L$3,0))</f>
        <v>0.13</v>
      </c>
      <c r="BA130" s="23">
        <f>INDEX('Vessel Profiles - Input'!$C:$L,MATCH($D130,'Vessel Profiles - Input'!$C:$C,0),MATCH(BA$9,'Vessel Profiles - Input'!$C$3:$L$3,0))</f>
        <v>0.13</v>
      </c>
      <c r="BB130" s="23">
        <f>INDEX('Vessel Profiles - Input'!$C:$L,MATCH($D130,'Vessel Profiles - Input'!$C:$C,0),MATCH(BB$9,'Vessel Profiles - Input'!$C$3:$L$3,0))</f>
        <v>0.13</v>
      </c>
      <c r="BC130" s="23">
        <f>INDEX('Vessel Profiles - Input'!$C:$L,MATCH($D130,'Vessel Profiles - Input'!$C:$C,0),MATCH(BC$9,'Vessel Profiles - Input'!$C$3:$L$3,0))</f>
        <v>0.13</v>
      </c>
      <c r="BD130" s="23">
        <f>INDEX('Vessel Profiles - Input'!$C:$L,MATCH($D130,'Vessel Profiles - Input'!$C:$C,0),MATCH(BD$9,'Vessel Profiles - Input'!$C$3:$L$3,0))</f>
        <v>0.13</v>
      </c>
      <c r="BE130" s="23">
        <f>INDEX('Vessel Profiles - Input'!$C:$L,MATCH($D130,'Vessel Profiles - Input'!$C:$C,0),MATCH(BE$9,'Vessel Profiles - Input'!$C$3:$L$3,0))</f>
        <v>0.13</v>
      </c>
      <c r="BF130" s="23">
        <f>INDEX('Vessel Profiles - Input'!$C:$L,MATCH($D130,'Vessel Profiles - Input'!$C:$C,0),MATCH(BF$9,'Vessel Profiles - Input'!$C$3:$L$3,0))</f>
        <v>0.13</v>
      </c>
      <c r="BL130" s="16" t="s">
        <v>345</v>
      </c>
      <c r="BM130" s="224" t="s">
        <v>178</v>
      </c>
      <c r="BO130" s="23">
        <f>INDEX('Vessel Profiles - Input'!$C:$L,MATCH($D130,'Vessel Profiles - Input'!$C:$C,0),MATCH(BO$9,'Vessel Profiles - Input'!$C$3:$L$3,0))</f>
        <v>0.13</v>
      </c>
      <c r="BP130" s="23">
        <f>INDEX('Vessel Profiles - Input'!$C:$L,MATCH($D130,'Vessel Profiles - Input'!$C:$C,0),MATCH(BP$9,'Vessel Profiles - Input'!$C$3:$L$3,0))</f>
        <v>0.13</v>
      </c>
      <c r="BQ130" s="23">
        <f>INDEX('Vessel Profiles - Input'!$C:$L,MATCH($D130,'Vessel Profiles - Input'!$C:$C,0),MATCH(BQ$9,'Vessel Profiles - Input'!$C$3:$L$3,0))</f>
        <v>0.13</v>
      </c>
      <c r="BR130" s="23">
        <f>INDEX('Vessel Profiles - Input'!$C:$L,MATCH($D130,'Vessel Profiles - Input'!$C:$C,0),MATCH(BR$9,'Vessel Profiles - Input'!$C$3:$L$3,0))</f>
        <v>0.13</v>
      </c>
      <c r="BS130" s="23">
        <f>INDEX('Vessel Profiles - Input'!$C:$L,MATCH($D130,'Vessel Profiles - Input'!$C:$C,0),MATCH(BS$9,'Vessel Profiles - Input'!$C$3:$L$3,0))</f>
        <v>0.13</v>
      </c>
      <c r="BT130" s="23">
        <f>INDEX('Vessel Profiles - Input'!$C:$L,MATCH($D130,'Vessel Profiles - Input'!$C:$C,0),MATCH(BT$9,'Vessel Profiles - Input'!$C$3:$L$3,0))</f>
        <v>0.13</v>
      </c>
      <c r="BU130" s="23">
        <f>INDEX('Vessel Profiles - Input'!$C:$L,MATCH($D130,'Vessel Profiles - Input'!$C:$C,0),MATCH(BU$9,'Vessel Profiles - Input'!$C$3:$L$3,0))</f>
        <v>0.13</v>
      </c>
      <c r="BV130" s="23">
        <f>INDEX('Vessel Profiles - Input'!$C:$L,MATCH($D130,'Vessel Profiles - Input'!$C:$C,0),MATCH(BV$9,'Vessel Profiles - Input'!$C$3:$L$3,0))</f>
        <v>0.13</v>
      </c>
      <c r="BW130" s="23">
        <f>INDEX('Vessel Profiles - Input'!$C:$L,MATCH($D130,'Vessel Profiles - Input'!$C:$C,0),MATCH(BW$9,'Vessel Profiles - Input'!$C$3:$L$3,0))</f>
        <v>0.13</v>
      </c>
      <c r="BX130" s="23">
        <f>INDEX('Vessel Profiles - Input'!$C:$L,MATCH($D130,'Vessel Profiles - Input'!$C:$C,0),MATCH(BX$9,'Vessel Profiles - Input'!$C$3:$L$3,0))</f>
        <v>0.13</v>
      </c>
      <c r="BY130" s="23">
        <f>INDEX('Vessel Profiles - Input'!$C:$L,MATCH($D130,'Vessel Profiles - Input'!$C:$C,0),MATCH(BY$9,'Vessel Profiles - Input'!$C$3:$L$3,0))</f>
        <v>0.13</v>
      </c>
      <c r="BZ130" s="23">
        <f>INDEX('Vessel Profiles - Input'!$C:$L,MATCH($D130,'Vessel Profiles - Input'!$C:$C,0),MATCH(BZ$9,'Vessel Profiles - Input'!$C$3:$L$3,0))</f>
        <v>0.13</v>
      </c>
      <c r="CF130" s="16" t="s">
        <v>345</v>
      </c>
      <c r="CG130" s="224" t="s">
        <v>178</v>
      </c>
      <c r="CI130" s="23">
        <f>INDEX('Vessel Profiles - Input'!$C:$L,MATCH($D130,'Vessel Profiles - Input'!$C:$C,0),MATCH(CI$9,'Vessel Profiles - Input'!$C$3:$L$3,0))</f>
        <v>0.13</v>
      </c>
      <c r="CJ130" s="23">
        <f>INDEX('Vessel Profiles - Input'!$C:$L,MATCH($D130,'Vessel Profiles - Input'!$C:$C,0),MATCH(CJ$9,'Vessel Profiles - Input'!$C$3:$L$3,0))</f>
        <v>0.13</v>
      </c>
      <c r="CK130" s="23">
        <f>INDEX('Vessel Profiles - Input'!$C:$L,MATCH($D130,'Vessel Profiles - Input'!$C:$C,0),MATCH(CK$9,'Vessel Profiles - Input'!$C$3:$L$3,0))</f>
        <v>0.13</v>
      </c>
      <c r="CL130" s="23">
        <f>INDEX('Vessel Profiles - Input'!$C:$L,MATCH($D130,'Vessel Profiles - Input'!$C:$C,0),MATCH(CL$9,'Vessel Profiles - Input'!$C$3:$L$3,0))</f>
        <v>0.13</v>
      </c>
      <c r="CM130" s="23">
        <f>INDEX('Vessel Profiles - Input'!$C:$L,MATCH($D130,'Vessel Profiles - Input'!$C:$C,0),MATCH(CM$9,'Vessel Profiles - Input'!$C$3:$L$3,0))</f>
        <v>0.13</v>
      </c>
      <c r="CN130" s="23">
        <f>INDEX('Vessel Profiles - Input'!$C:$L,MATCH($D130,'Vessel Profiles - Input'!$C:$C,0),MATCH(CN$9,'Vessel Profiles - Input'!$C$3:$L$3,0))</f>
        <v>0.13</v>
      </c>
      <c r="CO130" s="23">
        <f>INDEX('Vessel Profiles - Input'!$C:$L,MATCH($D130,'Vessel Profiles - Input'!$C:$C,0),MATCH(CO$9,'Vessel Profiles - Input'!$C$3:$L$3,0))</f>
        <v>0.13</v>
      </c>
      <c r="CP130" s="23">
        <f>INDEX('Vessel Profiles - Input'!$C:$L,MATCH($D130,'Vessel Profiles - Input'!$C:$C,0),MATCH(CP$9,'Vessel Profiles - Input'!$C$3:$L$3,0))</f>
        <v>0.13</v>
      </c>
      <c r="CQ130" s="23">
        <f>INDEX('Vessel Profiles - Input'!$C:$L,MATCH($D130,'Vessel Profiles - Input'!$C:$C,0),MATCH(CQ$9,'Vessel Profiles - Input'!$C$3:$L$3,0))</f>
        <v>0.13</v>
      </c>
      <c r="CR130" s="23">
        <f>INDEX('Vessel Profiles - Input'!$C:$L,MATCH($D130,'Vessel Profiles - Input'!$C:$C,0),MATCH(CR$9,'Vessel Profiles - Input'!$C$3:$L$3,0))</f>
        <v>0.13</v>
      </c>
      <c r="CS130" s="23">
        <f>INDEX('Vessel Profiles - Input'!$C:$L,MATCH($D130,'Vessel Profiles - Input'!$C:$C,0),MATCH(CS$9,'Vessel Profiles - Input'!$C$3:$L$3,0))</f>
        <v>0.13</v>
      </c>
      <c r="CT130" s="23">
        <f>INDEX('Vessel Profiles - Input'!$C:$L,MATCH($D130,'Vessel Profiles - Input'!$C:$C,0),MATCH(CT$9,'Vessel Profiles - Input'!$C$3:$L$3,0))</f>
        <v>0.13</v>
      </c>
    </row>
    <row r="131" spans="3:100" outlineLevel="1" x14ac:dyDescent="0.2">
      <c r="C131" s="3"/>
      <c r="D131" s="16" t="s">
        <v>346</v>
      </c>
      <c r="E131" s="224" t="s">
        <v>331</v>
      </c>
      <c r="G131" s="23">
        <f t="shared" ref="G131:R132" ca="1" si="556">IFERROR(INDEX(tbl_TCO_input,MATCH(
_xlfn.TEXTJOIN(keydelim,TRUE,G$18,$D131),rows_TCO_ID,0),MATCH(G$6,cols_TCO_input,0)),0)</f>
        <v>0.4</v>
      </c>
      <c r="H131" s="23">
        <f t="shared" ca="1" si="556"/>
        <v>0.4</v>
      </c>
      <c r="I131" s="23">
        <f t="shared" ca="1" si="556"/>
        <v>0.4</v>
      </c>
      <c r="J131" s="23">
        <f t="shared" ca="1" si="556"/>
        <v>0.4</v>
      </c>
      <c r="K131" s="23">
        <f t="shared" ca="1" si="556"/>
        <v>0.4</v>
      </c>
      <c r="L131" s="23">
        <f t="shared" ca="1" si="556"/>
        <v>0.4</v>
      </c>
      <c r="M131" s="23">
        <f t="shared" ca="1" si="556"/>
        <v>0.4</v>
      </c>
      <c r="N131" s="23">
        <f t="shared" ca="1" si="556"/>
        <v>0.4</v>
      </c>
      <c r="O131" s="23">
        <f t="shared" ca="1" si="556"/>
        <v>0.4</v>
      </c>
      <c r="P131" s="23">
        <f t="shared" ca="1" si="556"/>
        <v>0.4</v>
      </c>
      <c r="Q131" s="23">
        <f t="shared" ca="1" si="556"/>
        <v>0.4</v>
      </c>
      <c r="R131" s="23">
        <f t="shared" ca="1" si="556"/>
        <v>0.4</v>
      </c>
      <c r="X131" s="16" t="s">
        <v>346</v>
      </c>
      <c r="Y131" s="224" t="s">
        <v>331</v>
      </c>
      <c r="AA131" s="23">
        <f t="shared" ref="AA131:AL132" ca="1" si="557">IFERROR(INDEX(tbl_TCO_input,MATCH(
_xlfn.TEXTJOIN(keydelim,TRUE,AA$18,$D131),rows_TCO_ID,0),MATCH(AA$6,cols_TCO_input,0)),0)</f>
        <v>0.4</v>
      </c>
      <c r="AB131" s="23">
        <f t="shared" ca="1" si="557"/>
        <v>0.4</v>
      </c>
      <c r="AC131" s="23">
        <f t="shared" ca="1" si="557"/>
        <v>0.4</v>
      </c>
      <c r="AD131" s="23">
        <f t="shared" ca="1" si="557"/>
        <v>0.4</v>
      </c>
      <c r="AE131" s="23">
        <f t="shared" ca="1" si="557"/>
        <v>0.4</v>
      </c>
      <c r="AF131" s="23">
        <f t="shared" ca="1" si="557"/>
        <v>0.4</v>
      </c>
      <c r="AG131" s="23">
        <f t="shared" ca="1" si="557"/>
        <v>0.4</v>
      </c>
      <c r="AH131" s="23">
        <f t="shared" ca="1" si="557"/>
        <v>0.4</v>
      </c>
      <c r="AI131" s="23">
        <f t="shared" ca="1" si="557"/>
        <v>0.4</v>
      </c>
      <c r="AJ131" s="23">
        <f t="shared" ca="1" si="557"/>
        <v>0.4</v>
      </c>
      <c r="AK131" s="23">
        <f t="shared" ca="1" si="557"/>
        <v>0.4</v>
      </c>
      <c r="AL131" s="23">
        <f t="shared" ca="1" si="557"/>
        <v>0.4</v>
      </c>
      <c r="AR131" s="16" t="s">
        <v>346</v>
      </c>
      <c r="AS131" s="224" t="s">
        <v>331</v>
      </c>
      <c r="AU131" s="23">
        <f t="shared" ref="AU131:BF132" ca="1" si="558">IFERROR(INDEX(tbl_TCO_input,MATCH(
_xlfn.TEXTJOIN(keydelim,TRUE,AU$18,$D131),rows_TCO_ID,0),MATCH(AU$6,cols_TCO_input,0)),0)</f>
        <v>0.4</v>
      </c>
      <c r="AV131" s="23">
        <f t="shared" ca="1" si="558"/>
        <v>0.4</v>
      </c>
      <c r="AW131" s="23">
        <f t="shared" ca="1" si="558"/>
        <v>0.4</v>
      </c>
      <c r="AX131" s="23">
        <f t="shared" ca="1" si="558"/>
        <v>0.4</v>
      </c>
      <c r="AY131" s="23">
        <f t="shared" ca="1" si="558"/>
        <v>0.4</v>
      </c>
      <c r="AZ131" s="23">
        <f t="shared" ca="1" si="558"/>
        <v>0.4</v>
      </c>
      <c r="BA131" s="23">
        <f t="shared" ca="1" si="558"/>
        <v>0.4</v>
      </c>
      <c r="BB131" s="23">
        <f t="shared" ca="1" si="558"/>
        <v>0.4</v>
      </c>
      <c r="BC131" s="23">
        <f t="shared" ca="1" si="558"/>
        <v>0.4</v>
      </c>
      <c r="BD131" s="23">
        <f t="shared" ca="1" si="558"/>
        <v>0.4</v>
      </c>
      <c r="BE131" s="23">
        <f t="shared" ca="1" si="558"/>
        <v>0.4</v>
      </c>
      <c r="BF131" s="23">
        <f t="shared" ca="1" si="558"/>
        <v>0.4</v>
      </c>
      <c r="BL131" s="16" t="s">
        <v>346</v>
      </c>
      <c r="BM131" s="224" t="s">
        <v>331</v>
      </c>
      <c r="BO131" s="23">
        <f t="shared" ref="BO131:BZ132" ca="1" si="559">IFERROR(INDEX(tbl_TCO_input,MATCH(
_xlfn.TEXTJOIN(keydelim,TRUE,BO$18,$D131),rows_TCO_ID,0),MATCH(BO$6,cols_TCO_input,0)),0)</f>
        <v>0.4</v>
      </c>
      <c r="BP131" s="23">
        <f t="shared" ca="1" si="559"/>
        <v>0.4</v>
      </c>
      <c r="BQ131" s="23">
        <f t="shared" ca="1" si="559"/>
        <v>0.4</v>
      </c>
      <c r="BR131" s="23">
        <f t="shared" ca="1" si="559"/>
        <v>0.4</v>
      </c>
      <c r="BS131" s="23">
        <f t="shared" ca="1" si="559"/>
        <v>0.4</v>
      </c>
      <c r="BT131" s="23">
        <f t="shared" ca="1" si="559"/>
        <v>0.4</v>
      </c>
      <c r="BU131" s="23">
        <f t="shared" ca="1" si="559"/>
        <v>0.4</v>
      </c>
      <c r="BV131" s="23">
        <f t="shared" ca="1" si="559"/>
        <v>0.4</v>
      </c>
      <c r="BW131" s="23">
        <f t="shared" ca="1" si="559"/>
        <v>0.4</v>
      </c>
      <c r="BX131" s="23">
        <f t="shared" ca="1" si="559"/>
        <v>0.4</v>
      </c>
      <c r="BY131" s="23">
        <f t="shared" ca="1" si="559"/>
        <v>0.4</v>
      </c>
      <c r="BZ131" s="23">
        <f t="shared" ca="1" si="559"/>
        <v>0.4</v>
      </c>
      <c r="CF131" s="16" t="s">
        <v>346</v>
      </c>
      <c r="CG131" s="224" t="s">
        <v>331</v>
      </c>
      <c r="CI131" s="23">
        <f t="shared" ref="CI131:CT132" ca="1" si="560">IFERROR(INDEX(tbl_TCO_input,MATCH(
_xlfn.TEXTJOIN(keydelim,TRUE,CI$18,$D131),rows_TCO_ID,0),MATCH(CI$6,cols_TCO_input,0)),0)</f>
        <v>0.4</v>
      </c>
      <c r="CJ131" s="23">
        <f t="shared" ca="1" si="560"/>
        <v>0.4</v>
      </c>
      <c r="CK131" s="23">
        <f t="shared" ca="1" si="560"/>
        <v>0.4</v>
      </c>
      <c r="CL131" s="23">
        <f t="shared" ca="1" si="560"/>
        <v>0.4</v>
      </c>
      <c r="CM131" s="23">
        <f t="shared" ca="1" si="560"/>
        <v>0.4</v>
      </c>
      <c r="CN131" s="23">
        <f t="shared" ca="1" si="560"/>
        <v>0.4</v>
      </c>
      <c r="CO131" s="23">
        <f t="shared" ca="1" si="560"/>
        <v>0.4</v>
      </c>
      <c r="CP131" s="23">
        <f t="shared" ca="1" si="560"/>
        <v>0.4</v>
      </c>
      <c r="CQ131" s="23">
        <f t="shared" ca="1" si="560"/>
        <v>0.4</v>
      </c>
      <c r="CR131" s="23">
        <f t="shared" ca="1" si="560"/>
        <v>0.4</v>
      </c>
      <c r="CS131" s="23">
        <f t="shared" ca="1" si="560"/>
        <v>0.4</v>
      </c>
      <c r="CT131" s="23">
        <f t="shared" ca="1" si="560"/>
        <v>0.4</v>
      </c>
    </row>
    <row r="132" spans="3:100" outlineLevel="1" x14ac:dyDescent="0.2">
      <c r="C132" s="3"/>
      <c r="D132" s="16" t="s">
        <v>347</v>
      </c>
      <c r="E132" s="224" t="s">
        <v>178</v>
      </c>
      <c r="G132" s="23">
        <f ca="1">IFERROR(INDEX(tbl_TCO_input,MATCH(
_xlfn.TEXTJOIN(keydelim,TRUE,G$18,$D132),rows_TCO_ID,0),MATCH(G$6,cols_TCO_input,0)),0)</f>
        <v>1</v>
      </c>
      <c r="H132" s="23">
        <f t="shared" ca="1" si="556"/>
        <v>1</v>
      </c>
      <c r="I132" s="23">
        <f t="shared" ca="1" si="556"/>
        <v>1</v>
      </c>
      <c r="J132" s="23">
        <f t="shared" ca="1" si="556"/>
        <v>1</v>
      </c>
      <c r="K132" s="23">
        <f t="shared" ca="1" si="556"/>
        <v>1</v>
      </c>
      <c r="L132" s="23">
        <f t="shared" ca="1" si="556"/>
        <v>1</v>
      </c>
      <c r="M132" s="23">
        <f t="shared" ca="1" si="556"/>
        <v>1</v>
      </c>
      <c r="N132" s="23">
        <f t="shared" ca="1" si="556"/>
        <v>1</v>
      </c>
      <c r="O132" s="23">
        <f t="shared" ca="1" si="556"/>
        <v>1</v>
      </c>
      <c r="P132" s="23">
        <f t="shared" ca="1" si="556"/>
        <v>1</v>
      </c>
      <c r="Q132" s="23">
        <f t="shared" ca="1" si="556"/>
        <v>1</v>
      </c>
      <c r="R132" s="23">
        <f t="shared" ca="1" si="556"/>
        <v>1</v>
      </c>
      <c r="X132" s="16" t="s">
        <v>347</v>
      </c>
      <c r="Y132" s="224" t="s">
        <v>178</v>
      </c>
      <c r="AA132" s="23">
        <f ca="1">IFERROR(INDEX(tbl_TCO_input,MATCH(
_xlfn.TEXTJOIN(keydelim,TRUE,AA$18,$D132),rows_TCO_ID,0),MATCH(AA$6,cols_TCO_input,0)),0)</f>
        <v>1</v>
      </c>
      <c r="AB132" s="23">
        <f t="shared" ca="1" si="557"/>
        <v>1</v>
      </c>
      <c r="AC132" s="23">
        <f t="shared" ca="1" si="557"/>
        <v>1</v>
      </c>
      <c r="AD132" s="23">
        <f t="shared" ca="1" si="557"/>
        <v>1</v>
      </c>
      <c r="AE132" s="23">
        <f t="shared" ca="1" si="557"/>
        <v>1</v>
      </c>
      <c r="AF132" s="23">
        <f t="shared" ca="1" si="557"/>
        <v>1</v>
      </c>
      <c r="AG132" s="23">
        <f t="shared" ca="1" si="557"/>
        <v>1</v>
      </c>
      <c r="AH132" s="23">
        <f t="shared" ca="1" si="557"/>
        <v>1</v>
      </c>
      <c r="AI132" s="23">
        <f t="shared" ca="1" si="557"/>
        <v>1</v>
      </c>
      <c r="AJ132" s="23">
        <f t="shared" ca="1" si="557"/>
        <v>1</v>
      </c>
      <c r="AK132" s="23">
        <f t="shared" ca="1" si="557"/>
        <v>1</v>
      </c>
      <c r="AL132" s="23">
        <f t="shared" ca="1" si="557"/>
        <v>1</v>
      </c>
      <c r="AR132" s="16" t="s">
        <v>347</v>
      </c>
      <c r="AS132" s="224" t="s">
        <v>178</v>
      </c>
      <c r="AU132" s="23">
        <f ca="1">IFERROR(INDEX(tbl_TCO_input,MATCH(
_xlfn.TEXTJOIN(keydelim,TRUE,AU$18,$D132),rows_TCO_ID,0),MATCH(AU$6,cols_TCO_input,0)),0)</f>
        <v>1</v>
      </c>
      <c r="AV132" s="23">
        <f t="shared" ca="1" si="558"/>
        <v>1</v>
      </c>
      <c r="AW132" s="23">
        <f t="shared" ca="1" si="558"/>
        <v>1</v>
      </c>
      <c r="AX132" s="23">
        <f t="shared" ca="1" si="558"/>
        <v>1</v>
      </c>
      <c r="AY132" s="23">
        <f t="shared" ca="1" si="558"/>
        <v>1</v>
      </c>
      <c r="AZ132" s="23">
        <f t="shared" ca="1" si="558"/>
        <v>1</v>
      </c>
      <c r="BA132" s="23">
        <f t="shared" ca="1" si="558"/>
        <v>1</v>
      </c>
      <c r="BB132" s="23">
        <f t="shared" ca="1" si="558"/>
        <v>1</v>
      </c>
      <c r="BC132" s="23">
        <f t="shared" ca="1" si="558"/>
        <v>1</v>
      </c>
      <c r="BD132" s="23">
        <f t="shared" ca="1" si="558"/>
        <v>1</v>
      </c>
      <c r="BE132" s="23">
        <f t="shared" ca="1" si="558"/>
        <v>1</v>
      </c>
      <c r="BF132" s="23">
        <f t="shared" ca="1" si="558"/>
        <v>1</v>
      </c>
      <c r="BL132" s="16" t="s">
        <v>347</v>
      </c>
      <c r="BM132" s="224" t="s">
        <v>178</v>
      </c>
      <c r="BO132" s="23">
        <f ca="1">IFERROR(INDEX(tbl_TCO_input,MATCH(
_xlfn.TEXTJOIN(keydelim,TRUE,BO$18,$D132),rows_TCO_ID,0),MATCH(BO$6,cols_TCO_input,0)),0)</f>
        <v>1</v>
      </c>
      <c r="BP132" s="23">
        <f t="shared" ca="1" si="559"/>
        <v>1</v>
      </c>
      <c r="BQ132" s="23">
        <f t="shared" ca="1" si="559"/>
        <v>1</v>
      </c>
      <c r="BR132" s="23">
        <f t="shared" ca="1" si="559"/>
        <v>1</v>
      </c>
      <c r="BS132" s="23">
        <f t="shared" ca="1" si="559"/>
        <v>1</v>
      </c>
      <c r="BT132" s="23">
        <f t="shared" ca="1" si="559"/>
        <v>1</v>
      </c>
      <c r="BU132" s="23">
        <f t="shared" ca="1" si="559"/>
        <v>1</v>
      </c>
      <c r="BV132" s="23">
        <f t="shared" ca="1" si="559"/>
        <v>1</v>
      </c>
      <c r="BW132" s="23">
        <f t="shared" ca="1" si="559"/>
        <v>1</v>
      </c>
      <c r="BX132" s="23">
        <f t="shared" ca="1" si="559"/>
        <v>1</v>
      </c>
      <c r="BY132" s="23">
        <f t="shared" ca="1" si="559"/>
        <v>1</v>
      </c>
      <c r="BZ132" s="23">
        <f t="shared" ca="1" si="559"/>
        <v>1</v>
      </c>
      <c r="CF132" s="16" t="s">
        <v>347</v>
      </c>
      <c r="CG132" s="224" t="s">
        <v>178</v>
      </c>
      <c r="CI132" s="23">
        <f ca="1">IFERROR(INDEX(tbl_TCO_input,MATCH(
_xlfn.TEXTJOIN(keydelim,TRUE,CI$18,$D132),rows_TCO_ID,0),MATCH(CI$6,cols_TCO_input,0)),0)</f>
        <v>1</v>
      </c>
      <c r="CJ132" s="23">
        <f t="shared" ca="1" si="560"/>
        <v>1</v>
      </c>
      <c r="CK132" s="23">
        <f t="shared" ca="1" si="560"/>
        <v>1</v>
      </c>
      <c r="CL132" s="23">
        <f t="shared" ca="1" si="560"/>
        <v>1</v>
      </c>
      <c r="CM132" s="23">
        <f t="shared" ca="1" si="560"/>
        <v>1</v>
      </c>
      <c r="CN132" s="23">
        <f t="shared" ca="1" si="560"/>
        <v>1</v>
      </c>
      <c r="CO132" s="23">
        <f t="shared" ca="1" si="560"/>
        <v>1</v>
      </c>
      <c r="CP132" s="23">
        <f t="shared" ca="1" si="560"/>
        <v>1</v>
      </c>
      <c r="CQ132" s="23">
        <f t="shared" ca="1" si="560"/>
        <v>1</v>
      </c>
      <c r="CR132" s="23">
        <f t="shared" ca="1" si="560"/>
        <v>1</v>
      </c>
      <c r="CS132" s="23">
        <f t="shared" ca="1" si="560"/>
        <v>1</v>
      </c>
      <c r="CT132" s="23">
        <f t="shared" ca="1" si="560"/>
        <v>1</v>
      </c>
    </row>
    <row r="133" spans="3:100" s="306" customFormat="1" outlineLevel="1" x14ac:dyDescent="0.2">
      <c r="C133" s="307"/>
      <c r="D133" s="308" t="s">
        <v>348</v>
      </c>
      <c r="E133" s="55" t="s">
        <v>178</v>
      </c>
      <c r="F133" s="55" t="s">
        <v>349</v>
      </c>
      <c r="G133" s="309">
        <f t="shared" ref="G133:R133" ca="1" si="561">G215</f>
        <v>0</v>
      </c>
      <c r="H133" s="309">
        <f t="shared" ca="1" si="561"/>
        <v>0</v>
      </c>
      <c r="I133" s="309">
        <f t="shared" ca="1" si="561"/>
        <v>0</v>
      </c>
      <c r="J133" s="309">
        <f t="shared" ca="1" si="561"/>
        <v>0</v>
      </c>
      <c r="K133" s="309">
        <f t="shared" ca="1" si="561"/>
        <v>0</v>
      </c>
      <c r="L133" s="309">
        <f t="shared" ca="1" si="561"/>
        <v>0</v>
      </c>
      <c r="M133" s="309">
        <f t="shared" ca="1" si="561"/>
        <v>0</v>
      </c>
      <c r="N133" s="309">
        <f t="shared" ca="1" si="561"/>
        <v>0</v>
      </c>
      <c r="O133" s="309">
        <f t="shared" ca="1" si="561"/>
        <v>0</v>
      </c>
      <c r="P133" s="309">
        <f t="shared" ca="1" si="561"/>
        <v>0</v>
      </c>
      <c r="Q133" s="309">
        <f t="shared" ca="1" si="561"/>
        <v>0</v>
      </c>
      <c r="R133" s="309">
        <f t="shared" ca="1" si="561"/>
        <v>0</v>
      </c>
      <c r="S133" s="15"/>
      <c r="X133" s="308" t="s">
        <v>348</v>
      </c>
      <c r="Y133" s="55" t="s">
        <v>178</v>
      </c>
      <c r="Z133" s="55" t="s">
        <v>349</v>
      </c>
      <c r="AA133" s="309">
        <f t="shared" ref="AA133:AL133" ca="1" si="562">AA215</f>
        <v>0</v>
      </c>
      <c r="AB133" s="309">
        <f t="shared" ca="1" si="562"/>
        <v>0</v>
      </c>
      <c r="AC133" s="309">
        <f t="shared" ca="1" si="562"/>
        <v>0</v>
      </c>
      <c r="AD133" s="309">
        <f t="shared" ca="1" si="562"/>
        <v>0</v>
      </c>
      <c r="AE133" s="309">
        <f t="shared" ca="1" si="562"/>
        <v>0</v>
      </c>
      <c r="AF133" s="309">
        <f t="shared" ca="1" si="562"/>
        <v>0</v>
      </c>
      <c r="AG133" s="309">
        <f t="shared" ca="1" si="562"/>
        <v>0</v>
      </c>
      <c r="AH133" s="309">
        <f t="shared" ca="1" si="562"/>
        <v>0</v>
      </c>
      <c r="AI133" s="309">
        <f t="shared" ca="1" si="562"/>
        <v>0</v>
      </c>
      <c r="AJ133" s="309">
        <f t="shared" ca="1" si="562"/>
        <v>0</v>
      </c>
      <c r="AK133" s="309">
        <f t="shared" ca="1" si="562"/>
        <v>0</v>
      </c>
      <c r="AL133" s="309">
        <f t="shared" ca="1" si="562"/>
        <v>0</v>
      </c>
      <c r="AR133" s="308" t="s">
        <v>348</v>
      </c>
      <c r="AS133" s="55" t="s">
        <v>178</v>
      </c>
      <c r="AT133" s="55" t="s">
        <v>349</v>
      </c>
      <c r="AU133" s="309">
        <f t="shared" ref="AU133:BF133" ca="1" si="563">AU215</f>
        <v>0</v>
      </c>
      <c r="AV133" s="309">
        <f t="shared" ca="1" si="563"/>
        <v>0</v>
      </c>
      <c r="AW133" s="309">
        <f t="shared" ca="1" si="563"/>
        <v>0</v>
      </c>
      <c r="AX133" s="309">
        <f t="shared" ca="1" si="563"/>
        <v>0</v>
      </c>
      <c r="AY133" s="309">
        <f t="shared" ca="1" si="563"/>
        <v>0</v>
      </c>
      <c r="AZ133" s="309">
        <f t="shared" ca="1" si="563"/>
        <v>0</v>
      </c>
      <c r="BA133" s="309">
        <f t="shared" ca="1" si="563"/>
        <v>0</v>
      </c>
      <c r="BB133" s="309">
        <f t="shared" ca="1" si="563"/>
        <v>0</v>
      </c>
      <c r="BC133" s="309">
        <f t="shared" ca="1" si="563"/>
        <v>0</v>
      </c>
      <c r="BD133" s="309">
        <f t="shared" ca="1" si="563"/>
        <v>0</v>
      </c>
      <c r="BE133" s="309">
        <f t="shared" ca="1" si="563"/>
        <v>0</v>
      </c>
      <c r="BF133" s="309">
        <f t="shared" ca="1" si="563"/>
        <v>0</v>
      </c>
      <c r="BG133"/>
      <c r="BH133"/>
      <c r="BL133" s="308" t="s">
        <v>348</v>
      </c>
      <c r="BM133" s="55" t="s">
        <v>178</v>
      </c>
      <c r="BN133" s="55" t="s">
        <v>349</v>
      </c>
      <c r="BO133" s="309">
        <f t="shared" ref="BO133:BZ133" ca="1" si="564">BO215</f>
        <v>0</v>
      </c>
      <c r="BP133" s="309">
        <f t="shared" ca="1" si="564"/>
        <v>0</v>
      </c>
      <c r="BQ133" s="309">
        <f t="shared" ca="1" si="564"/>
        <v>0</v>
      </c>
      <c r="BR133" s="309">
        <f t="shared" ca="1" si="564"/>
        <v>0</v>
      </c>
      <c r="BS133" s="309">
        <f t="shared" ca="1" si="564"/>
        <v>0</v>
      </c>
      <c r="BT133" s="309">
        <f t="shared" ca="1" si="564"/>
        <v>0</v>
      </c>
      <c r="BU133" s="309">
        <f t="shared" ca="1" si="564"/>
        <v>0</v>
      </c>
      <c r="BV133" s="309">
        <f t="shared" ca="1" si="564"/>
        <v>0</v>
      </c>
      <c r="BW133" s="309">
        <f t="shared" ca="1" si="564"/>
        <v>0</v>
      </c>
      <c r="BX133" s="309">
        <f t="shared" ca="1" si="564"/>
        <v>0</v>
      </c>
      <c r="BY133" s="309">
        <f t="shared" ca="1" si="564"/>
        <v>0</v>
      </c>
      <c r="BZ133" s="309">
        <f t="shared" ca="1" si="564"/>
        <v>0</v>
      </c>
      <c r="CA133"/>
      <c r="CB133"/>
      <c r="CF133" s="308" t="s">
        <v>348</v>
      </c>
      <c r="CG133" s="55" t="s">
        <v>178</v>
      </c>
      <c r="CH133" s="55" t="s">
        <v>349</v>
      </c>
      <c r="CI133" s="309">
        <f t="shared" ref="CI133:CT133" ca="1" si="565">CI215</f>
        <v>0</v>
      </c>
      <c r="CJ133" s="309">
        <f t="shared" ca="1" si="565"/>
        <v>0</v>
      </c>
      <c r="CK133" s="309">
        <f t="shared" ca="1" si="565"/>
        <v>0</v>
      </c>
      <c r="CL133" s="309">
        <f t="shared" ca="1" si="565"/>
        <v>0</v>
      </c>
      <c r="CM133" s="309">
        <f t="shared" ca="1" si="565"/>
        <v>0</v>
      </c>
      <c r="CN133" s="309">
        <f t="shared" ca="1" si="565"/>
        <v>0</v>
      </c>
      <c r="CO133" s="309">
        <f t="shared" ca="1" si="565"/>
        <v>0</v>
      </c>
      <c r="CP133" s="309">
        <f t="shared" ca="1" si="565"/>
        <v>0</v>
      </c>
      <c r="CQ133" s="309">
        <f t="shared" ca="1" si="565"/>
        <v>0</v>
      </c>
      <c r="CR133" s="309">
        <f t="shared" ca="1" si="565"/>
        <v>0</v>
      </c>
      <c r="CS133" s="309">
        <f t="shared" ca="1" si="565"/>
        <v>0</v>
      </c>
      <c r="CT133" s="309">
        <f t="shared" ca="1" si="565"/>
        <v>0</v>
      </c>
      <c r="CU133"/>
      <c r="CV133"/>
    </row>
    <row r="134" spans="3:100" s="306" customFormat="1" outlineLevel="1" x14ac:dyDescent="0.2">
      <c r="C134" s="307"/>
      <c r="D134" s="308"/>
      <c r="E134" s="55"/>
      <c r="F134" s="55"/>
      <c r="G134" s="309"/>
      <c r="H134" s="309"/>
      <c r="I134" s="309"/>
      <c r="J134" s="309"/>
      <c r="K134" s="309"/>
      <c r="L134" s="309"/>
      <c r="M134" s="309"/>
      <c r="N134" s="309"/>
      <c r="O134" s="309"/>
      <c r="P134" s="309"/>
      <c r="Q134" s="309"/>
      <c r="R134" s="309"/>
      <c r="S134" s="15"/>
      <c r="X134" s="308"/>
      <c r="Y134" s="55"/>
      <c r="Z134" s="55"/>
      <c r="AA134" s="309"/>
      <c r="AB134" s="309"/>
      <c r="AC134" s="309"/>
      <c r="AD134" s="309"/>
      <c r="AE134" s="309"/>
      <c r="AF134" s="309"/>
      <c r="AG134" s="309"/>
      <c r="AH134" s="309"/>
      <c r="AI134" s="309"/>
      <c r="AJ134" s="309"/>
      <c r="AK134" s="309"/>
      <c r="AL134" s="309"/>
      <c r="AR134" s="308"/>
      <c r="AS134" s="55"/>
      <c r="AT134" s="55"/>
      <c r="AU134" s="309"/>
      <c r="AV134" s="309"/>
      <c r="AW134" s="309"/>
      <c r="AX134" s="309"/>
      <c r="AY134" s="309"/>
      <c r="AZ134" s="309"/>
      <c r="BA134" s="309"/>
      <c r="BB134" s="309"/>
      <c r="BC134" s="309"/>
      <c r="BD134" s="309"/>
      <c r="BE134" s="309"/>
      <c r="BF134" s="309"/>
      <c r="BG134"/>
      <c r="BH134"/>
      <c r="BL134" s="308"/>
      <c r="BM134" s="55"/>
      <c r="BN134" s="55"/>
      <c r="BO134" s="309"/>
      <c r="BP134" s="309"/>
      <c r="BQ134" s="309"/>
      <c r="BR134" s="309"/>
      <c r="BS134" s="309"/>
      <c r="BT134" s="309"/>
      <c r="BU134" s="309"/>
      <c r="BV134" s="309"/>
      <c r="BW134" s="309"/>
      <c r="BX134" s="309"/>
      <c r="BY134" s="309"/>
      <c r="BZ134" s="309"/>
      <c r="CA134"/>
      <c r="CB134"/>
      <c r="CF134" s="308"/>
      <c r="CG134" s="55"/>
      <c r="CH134" s="55"/>
      <c r="CI134" s="309"/>
      <c r="CJ134" s="309"/>
      <c r="CK134" s="309"/>
      <c r="CL134" s="309"/>
      <c r="CM134" s="309"/>
      <c r="CN134" s="309"/>
      <c r="CO134" s="309"/>
      <c r="CP134" s="309"/>
      <c r="CQ134" s="309"/>
      <c r="CR134" s="309"/>
      <c r="CS134" s="309"/>
      <c r="CT134" s="309"/>
      <c r="CU134"/>
      <c r="CV134"/>
    </row>
    <row r="135" spans="3:100" s="266" customFormat="1" outlineLevel="1" x14ac:dyDescent="0.2">
      <c r="D135" s="285" t="s">
        <v>350</v>
      </c>
      <c r="E135" s="282" t="s">
        <v>211</v>
      </c>
      <c r="F135" s="282"/>
      <c r="G135" s="289">
        <f ca="1">G136*G137</f>
        <v>259254.70366970205</v>
      </c>
      <c r="H135" s="289">
        <f t="shared" ref="H135:R135" ca="1" si="566">H136*H137</f>
        <v>185987.07002391672</v>
      </c>
      <c r="I135" s="289">
        <f t="shared" ca="1" si="566"/>
        <v>162315.98838450911</v>
      </c>
      <c r="J135" s="289">
        <f t="shared" ca="1" si="566"/>
        <v>162315.98838450911</v>
      </c>
      <c r="K135" s="289">
        <f t="shared" ca="1" si="566"/>
        <v>162315.98838450911</v>
      </c>
      <c r="L135" s="289">
        <f t="shared" ca="1" si="566"/>
        <v>162315.98838450911</v>
      </c>
      <c r="M135" s="289">
        <f t="shared" ca="1" si="566"/>
        <v>162315.98838450911</v>
      </c>
      <c r="N135" s="289">
        <f t="shared" ca="1" si="566"/>
        <v>162315.98838450911</v>
      </c>
      <c r="O135" s="289">
        <f t="shared" ca="1" si="566"/>
        <v>162315.98838450911</v>
      </c>
      <c r="P135" s="289">
        <f t="shared" ca="1" si="566"/>
        <v>162315.98838450911</v>
      </c>
      <c r="Q135" s="289">
        <f t="shared" ca="1" si="566"/>
        <v>162315.98838450911</v>
      </c>
      <c r="R135" s="289">
        <f t="shared" ca="1" si="566"/>
        <v>162315.98838450911</v>
      </c>
      <c r="X135" s="285" t="s">
        <v>350</v>
      </c>
      <c r="Y135" s="282" t="s">
        <v>211</v>
      </c>
      <c r="Z135" s="282"/>
      <c r="AA135" s="289">
        <f ca="1">AA136*AA137</f>
        <v>338171.5038731597</v>
      </c>
      <c r="AB135" s="289">
        <f t="shared" ref="AB135:AL135" ca="1" si="567">AB136*AB137</f>
        <v>182320.31840793754</v>
      </c>
      <c r="AC135" s="289">
        <f t="shared" ca="1" si="567"/>
        <v>127757.38945371212</v>
      </c>
      <c r="AD135" s="289">
        <f t="shared" ca="1" si="567"/>
        <v>128265.84040339896</v>
      </c>
      <c r="AE135" s="289">
        <f t="shared" ca="1" si="567"/>
        <v>126798.08182808782</v>
      </c>
      <c r="AF135" s="289">
        <f t="shared" ca="1" si="567"/>
        <v>125382.61975551872</v>
      </c>
      <c r="AG135" s="289">
        <f t="shared" ca="1" si="567"/>
        <v>124145.86420518247</v>
      </c>
      <c r="AH135" s="289">
        <f t="shared" ca="1" si="567"/>
        <v>124145.86420518247</v>
      </c>
      <c r="AI135" s="289">
        <f t="shared" ca="1" si="567"/>
        <v>124145.86420518247</v>
      </c>
      <c r="AJ135" s="289">
        <f t="shared" ca="1" si="567"/>
        <v>124145.86420518247</v>
      </c>
      <c r="AK135" s="289">
        <f t="shared" ca="1" si="567"/>
        <v>124145.86420518247</v>
      </c>
      <c r="AL135" s="289">
        <f t="shared" ca="1" si="567"/>
        <v>124145.86420518247</v>
      </c>
      <c r="AR135" s="285" t="s">
        <v>350</v>
      </c>
      <c r="AS135" s="282" t="s">
        <v>211</v>
      </c>
      <c r="AT135" s="282"/>
      <c r="AU135" s="289">
        <f ca="1">AU136*AU137</f>
        <v>816805.09832164983</v>
      </c>
      <c r="AV135" s="289">
        <f t="shared" ref="AV135:BF135" ca="1" si="568">AV136*AV137</f>
        <v>602043.40142814093</v>
      </c>
      <c r="AW135" s="289">
        <f t="shared" ca="1" si="568"/>
        <v>423001.97977676586</v>
      </c>
      <c r="AX135" s="289">
        <f t="shared" ca="1" si="568"/>
        <v>384450.3976958578</v>
      </c>
      <c r="AY135" s="289">
        <f t="shared" ca="1" si="568"/>
        <v>338330.72590633534</v>
      </c>
      <c r="AZ135" s="289">
        <f t="shared" ca="1" si="568"/>
        <v>282537.73684066202</v>
      </c>
      <c r="BA135" s="289">
        <f t="shared" ca="1" si="568"/>
        <v>232179.42498002603</v>
      </c>
      <c r="BB135" s="289">
        <f t="shared" ca="1" si="568"/>
        <v>232179.42498002603</v>
      </c>
      <c r="BC135" s="289">
        <f t="shared" ca="1" si="568"/>
        <v>232179.42498002603</v>
      </c>
      <c r="BD135" s="289">
        <f t="shared" ca="1" si="568"/>
        <v>232179.42498002603</v>
      </c>
      <c r="BE135" s="289">
        <f t="shared" ca="1" si="568"/>
        <v>232179.42498002603</v>
      </c>
      <c r="BF135" s="289">
        <f t="shared" ca="1" si="568"/>
        <v>232179.42498002603</v>
      </c>
      <c r="BG135"/>
      <c r="BH135"/>
      <c r="BL135" s="285" t="s">
        <v>350</v>
      </c>
      <c r="BM135" s="282" t="s">
        <v>211</v>
      </c>
      <c r="BN135" s="282"/>
      <c r="BO135" s="289">
        <f ca="1">BO136*BO137</f>
        <v>681502.94627343433</v>
      </c>
      <c r="BP135" s="289">
        <f t="shared" ref="BP135:BZ135" ca="1" si="569">BP136*BP137</f>
        <v>412394.89278358896</v>
      </c>
      <c r="BQ135" s="289">
        <f t="shared" ca="1" si="569"/>
        <v>308187.53796608851</v>
      </c>
      <c r="BR135" s="289">
        <f t="shared" ca="1" si="569"/>
        <v>306564.52980550856</v>
      </c>
      <c r="BS135" s="289">
        <f t="shared" ca="1" si="569"/>
        <v>301443.10781774652</v>
      </c>
      <c r="BT135" s="289">
        <f t="shared" ca="1" si="569"/>
        <v>296342.00954194542</v>
      </c>
      <c r="BU135" s="289">
        <f t="shared" ca="1" si="569"/>
        <v>291358.83728454192</v>
      </c>
      <c r="BV135" s="289">
        <f t="shared" ca="1" si="569"/>
        <v>291358.83728454192</v>
      </c>
      <c r="BW135" s="289">
        <f t="shared" ca="1" si="569"/>
        <v>291358.83728454192</v>
      </c>
      <c r="BX135" s="289">
        <f t="shared" ca="1" si="569"/>
        <v>291358.83728454192</v>
      </c>
      <c r="BY135" s="289">
        <f t="shared" ca="1" si="569"/>
        <v>291358.83728454192</v>
      </c>
      <c r="BZ135" s="289">
        <f t="shared" ca="1" si="569"/>
        <v>291358.83728454192</v>
      </c>
      <c r="CA135"/>
      <c r="CB135"/>
      <c r="CF135" s="285" t="s">
        <v>350</v>
      </c>
      <c r="CG135" s="282" t="s">
        <v>211</v>
      </c>
      <c r="CH135" s="282"/>
      <c r="CI135" s="289">
        <f ca="1">CI136*CI137</f>
        <v>615818.15410247655</v>
      </c>
      <c r="CJ135" s="289">
        <f t="shared" ref="CJ135:CT135" ca="1" si="570">CJ136*CJ137</f>
        <v>433642.35308930586</v>
      </c>
      <c r="CK135" s="289">
        <f t="shared" ca="1" si="570"/>
        <v>366747.28303211468</v>
      </c>
      <c r="CL135" s="289">
        <f t="shared" ca="1" si="570"/>
        <v>339336.16042892047</v>
      </c>
      <c r="CM135" s="289">
        <f t="shared" ca="1" si="570"/>
        <v>312543.60512063542</v>
      </c>
      <c r="CN135" s="289">
        <f t="shared" ca="1" si="570"/>
        <v>297027.33165951056</v>
      </c>
      <c r="CO135" s="289">
        <f t="shared" ca="1" si="570"/>
        <v>281966.99849243974</v>
      </c>
      <c r="CP135" s="289">
        <f t="shared" ca="1" si="570"/>
        <v>281966.99849243974</v>
      </c>
      <c r="CQ135" s="289">
        <f t="shared" ca="1" si="570"/>
        <v>281966.99849243974</v>
      </c>
      <c r="CR135" s="289">
        <f t="shared" ca="1" si="570"/>
        <v>281966.99849243974</v>
      </c>
      <c r="CS135" s="289">
        <f t="shared" ca="1" si="570"/>
        <v>281966.99849243974</v>
      </c>
      <c r="CT135" s="289">
        <f t="shared" ca="1" si="570"/>
        <v>281966.99849243974</v>
      </c>
      <c r="CU135"/>
      <c r="CV135"/>
    </row>
    <row r="136" spans="3:100" outlineLevel="1" x14ac:dyDescent="0.2">
      <c r="C136" s="3"/>
      <c r="D136" s="60" t="s">
        <v>323</v>
      </c>
      <c r="E136" s="298" t="s">
        <v>324</v>
      </c>
      <c r="G136" s="52">
        <f t="shared" ref="G136:R136" ca="1" si="571">IFERROR(INDEX(tbl_TCO_input,MATCH(
_xlfn.TEXTJOIN(keydelim,TRUE,G$20,G$11,$D136,$E136),rows_TCO_ID,0),MATCH(G$6,cols_TCO_input,0)),0)</f>
        <v>21.473621920116738</v>
      </c>
      <c r="H136" s="52">
        <f t="shared" ca="1" si="571"/>
        <v>15.404989638344619</v>
      </c>
      <c r="I136" s="52">
        <f t="shared" ca="1" si="571"/>
        <v>13.444354593464393</v>
      </c>
      <c r="J136" s="52">
        <f t="shared" ca="1" si="571"/>
        <v>13.444354593464393</v>
      </c>
      <c r="K136" s="52">
        <f t="shared" ca="1" si="571"/>
        <v>13.444354593464393</v>
      </c>
      <c r="L136" s="52">
        <f t="shared" ca="1" si="571"/>
        <v>13.444354593464393</v>
      </c>
      <c r="M136" s="52">
        <f t="shared" ca="1" si="571"/>
        <v>13.444354593464393</v>
      </c>
      <c r="N136" s="52">
        <f t="shared" ca="1" si="571"/>
        <v>13.444354593464393</v>
      </c>
      <c r="O136" s="52">
        <f t="shared" ca="1" si="571"/>
        <v>13.444354593464393</v>
      </c>
      <c r="P136" s="52">
        <f t="shared" ca="1" si="571"/>
        <v>13.444354593464393</v>
      </c>
      <c r="Q136" s="52">
        <f t="shared" ca="1" si="571"/>
        <v>13.444354593464393</v>
      </c>
      <c r="R136" s="52">
        <f t="shared" ca="1" si="571"/>
        <v>13.444354593464393</v>
      </c>
      <c r="X136" s="60" t="s">
        <v>323</v>
      </c>
      <c r="Y136" s="298" t="s">
        <v>324</v>
      </c>
      <c r="AA136" s="52">
        <f t="shared" ref="AA136:AL136" ca="1" si="572">IFERROR(INDEX(tbl_TCO_input,MATCH(
_xlfn.TEXTJOIN(keydelim,TRUE,AA$20,AA$11,$D136,$E136),rows_TCO_ID,0),MATCH(AA$6,cols_TCO_input,0)),0)</f>
        <v>28.010164967271816</v>
      </c>
      <c r="AB136" s="52">
        <f t="shared" ca="1" si="572"/>
        <v>15.101278898435231</v>
      </c>
      <c r="AC136" s="52">
        <f t="shared" ca="1" si="572"/>
        <v>10.581925187075147</v>
      </c>
      <c r="AD136" s="52">
        <f t="shared" ca="1" si="572"/>
        <v>10.624039306140117</v>
      </c>
      <c r="AE136" s="52">
        <f t="shared" ca="1" si="572"/>
        <v>10.502467383740608</v>
      </c>
      <c r="AF136" s="52">
        <f t="shared" ca="1" si="572"/>
        <v>10.385227090861148</v>
      </c>
      <c r="AG136" s="52">
        <f t="shared" ca="1" si="572"/>
        <v>10.282788752348448</v>
      </c>
      <c r="AH136" s="52">
        <f t="shared" ca="1" si="572"/>
        <v>10.282788752348448</v>
      </c>
      <c r="AI136" s="52">
        <f t="shared" ca="1" si="572"/>
        <v>10.282788752348448</v>
      </c>
      <c r="AJ136" s="52">
        <f t="shared" ca="1" si="572"/>
        <v>10.282788752348448</v>
      </c>
      <c r="AK136" s="52">
        <f t="shared" ca="1" si="572"/>
        <v>10.282788752348448</v>
      </c>
      <c r="AL136" s="52">
        <f t="shared" ca="1" si="572"/>
        <v>10.282788752348448</v>
      </c>
      <c r="AR136" s="60" t="s">
        <v>323</v>
      </c>
      <c r="AS136" s="298" t="s">
        <v>324</v>
      </c>
      <c r="AU136" s="52">
        <f t="shared" ref="AU136:BF136" ca="1" si="573">IFERROR(INDEX(tbl_TCO_input,MATCH(
_xlfn.TEXTJOIN(keydelim,TRUE,AU$20,AU$11,$D136,$E136),rows_TCO_ID,0),MATCH(AU$6,cols_TCO_input,0)),0)</f>
        <v>67.654563699368978</v>
      </c>
      <c r="AV136" s="52">
        <f t="shared" ca="1" si="573"/>
        <v>49.86622112839148</v>
      </c>
      <c r="AW136" s="52">
        <f t="shared" ca="1" si="573"/>
        <v>35.036527617873539</v>
      </c>
      <c r="AX136" s="52">
        <f t="shared" ca="1" si="573"/>
        <v>31.843366273798324</v>
      </c>
      <c r="AY136" s="52">
        <f t="shared" ca="1" si="573"/>
        <v>28.023353054868181</v>
      </c>
      <c r="AZ136" s="52">
        <f t="shared" ca="1" si="573"/>
        <v>23.402115576701302</v>
      </c>
      <c r="BA136" s="52">
        <f t="shared" ca="1" si="573"/>
        <v>19.231023079153672</v>
      </c>
      <c r="BB136" s="52">
        <f t="shared" ca="1" si="573"/>
        <v>19.231023079153672</v>
      </c>
      <c r="BC136" s="52">
        <f t="shared" ca="1" si="573"/>
        <v>19.231023079153672</v>
      </c>
      <c r="BD136" s="52">
        <f t="shared" ca="1" si="573"/>
        <v>19.231023079153672</v>
      </c>
      <c r="BE136" s="52">
        <f t="shared" ca="1" si="573"/>
        <v>19.231023079153672</v>
      </c>
      <c r="BF136" s="52">
        <f t="shared" ca="1" si="573"/>
        <v>19.231023079153672</v>
      </c>
      <c r="BL136" s="60" t="s">
        <v>323</v>
      </c>
      <c r="BM136" s="298" t="s">
        <v>324</v>
      </c>
      <c r="BO136" s="52">
        <f t="shared" ref="BO136:BZ136" ca="1" si="574">IFERROR(INDEX(tbl_TCO_input,MATCH(
_xlfn.TEXTJOIN(keydelim,TRUE,BO$20,BO$11,$D136,$E136),rows_TCO_ID,0),MATCH(BO$6,cols_TCO_input,0)),0)</f>
        <v>56.44771878224406</v>
      </c>
      <c r="BP136" s="52">
        <f t="shared" ca="1" si="574"/>
        <v>34.15796081641848</v>
      </c>
      <c r="BQ136" s="52">
        <f t="shared" ca="1" si="574"/>
        <v>25.526644558807334</v>
      </c>
      <c r="BR136" s="52">
        <f t="shared" ca="1" si="574"/>
        <v>25.392213579850207</v>
      </c>
      <c r="BS136" s="52">
        <f t="shared" ca="1" si="574"/>
        <v>24.968014990964868</v>
      </c>
      <c r="BT136" s="52">
        <f t="shared" ca="1" si="574"/>
        <v>24.545499780241947</v>
      </c>
      <c r="BU136" s="52">
        <f t="shared" ca="1" si="574"/>
        <v>24.132752179123678</v>
      </c>
      <c r="BV136" s="52">
        <f t="shared" ca="1" si="574"/>
        <v>24.132752179123678</v>
      </c>
      <c r="BW136" s="52">
        <f t="shared" ca="1" si="574"/>
        <v>24.132752179123678</v>
      </c>
      <c r="BX136" s="52">
        <f t="shared" ca="1" si="574"/>
        <v>24.132752179123678</v>
      </c>
      <c r="BY136" s="52">
        <f t="shared" ca="1" si="574"/>
        <v>24.132752179123678</v>
      </c>
      <c r="BZ136" s="52">
        <f t="shared" ca="1" si="574"/>
        <v>24.132752179123678</v>
      </c>
      <c r="CF136" s="60" t="s">
        <v>323</v>
      </c>
      <c r="CG136" s="298" t="s">
        <v>324</v>
      </c>
      <c r="CI136" s="52">
        <f t="shared" ref="CI136:CT136" ca="1" si="575">IFERROR(INDEX(tbl_TCO_input,MATCH(
_xlfn.TEXTJOIN(keydelim,TRUE,CI$20,CI$11,$D136,$E136),rows_TCO_ID,0),MATCH(CI$6,cols_TCO_input,0)),0)</f>
        <v>51.007160238790995</v>
      </c>
      <c r="CJ136" s="52">
        <f t="shared" ca="1" si="575"/>
        <v>35.917851468003114</v>
      </c>
      <c r="CK136" s="52">
        <f t="shared" ca="1" si="575"/>
        <v>30.377047685488289</v>
      </c>
      <c r="CL136" s="52">
        <f t="shared" ca="1" si="575"/>
        <v>28.106631469870184</v>
      </c>
      <c r="CM136" s="52">
        <f t="shared" ca="1" si="575"/>
        <v>25.887450121103139</v>
      </c>
      <c r="CN136" s="52">
        <f t="shared" ca="1" si="575"/>
        <v>24.602263834424107</v>
      </c>
      <c r="CO136" s="52">
        <f t="shared" ca="1" si="575"/>
        <v>23.3548422993738</v>
      </c>
      <c r="CP136" s="52">
        <f t="shared" ca="1" si="575"/>
        <v>23.3548422993738</v>
      </c>
      <c r="CQ136" s="52">
        <f t="shared" ca="1" si="575"/>
        <v>23.3548422993738</v>
      </c>
      <c r="CR136" s="52">
        <f t="shared" ca="1" si="575"/>
        <v>23.3548422993738</v>
      </c>
      <c r="CS136" s="52">
        <f t="shared" ca="1" si="575"/>
        <v>23.3548422993738</v>
      </c>
      <c r="CT136" s="52">
        <f t="shared" ca="1" si="575"/>
        <v>23.3548422993738</v>
      </c>
    </row>
    <row r="137" spans="3:100" outlineLevel="1" x14ac:dyDescent="0.2">
      <c r="C137" s="3"/>
      <c r="D137" s="12" t="s">
        <v>351</v>
      </c>
      <c r="E137" s="224" t="s">
        <v>326</v>
      </c>
      <c r="F137" t="s">
        <v>329</v>
      </c>
      <c r="G137" s="22">
        <f t="shared" ref="G137:R137" ca="1" si="576">G139*G141*(1-G142)*GJ_per_MWh</f>
        <v>12073.170731707316</v>
      </c>
      <c r="H137" s="22">
        <f t="shared" ca="1" si="576"/>
        <v>12073.170731707316</v>
      </c>
      <c r="I137" s="22">
        <f t="shared" ca="1" si="576"/>
        <v>12073.170731707316</v>
      </c>
      <c r="J137" s="22">
        <f t="shared" ca="1" si="576"/>
        <v>12073.170731707316</v>
      </c>
      <c r="K137" s="22">
        <f t="shared" ca="1" si="576"/>
        <v>12073.170731707316</v>
      </c>
      <c r="L137" s="22">
        <f t="shared" ca="1" si="576"/>
        <v>12073.170731707316</v>
      </c>
      <c r="M137" s="22">
        <f t="shared" ca="1" si="576"/>
        <v>12073.170731707316</v>
      </c>
      <c r="N137" s="22">
        <f t="shared" ca="1" si="576"/>
        <v>12073.170731707316</v>
      </c>
      <c r="O137" s="22">
        <f t="shared" ca="1" si="576"/>
        <v>12073.170731707316</v>
      </c>
      <c r="P137" s="22">
        <f t="shared" ca="1" si="576"/>
        <v>12073.170731707316</v>
      </c>
      <c r="Q137" s="22">
        <f t="shared" ca="1" si="576"/>
        <v>12073.170731707316</v>
      </c>
      <c r="R137" s="22">
        <f t="shared" ca="1" si="576"/>
        <v>12073.170731707316</v>
      </c>
      <c r="X137" s="12" t="s">
        <v>351</v>
      </c>
      <c r="Y137" s="224" t="s">
        <v>326</v>
      </c>
      <c r="Z137" t="s">
        <v>329</v>
      </c>
      <c r="AA137" s="22">
        <f t="shared" ref="AA137:AL137" ca="1" si="577">AA139*AA141*(1-AA142)*GJ_per_MWh</f>
        <v>12073.170731707316</v>
      </c>
      <c r="AB137" s="22">
        <f t="shared" ca="1" si="577"/>
        <v>12073.170731707316</v>
      </c>
      <c r="AC137" s="22">
        <f t="shared" ca="1" si="577"/>
        <v>12073.170731707316</v>
      </c>
      <c r="AD137" s="22">
        <f t="shared" ca="1" si="577"/>
        <v>12073.170731707316</v>
      </c>
      <c r="AE137" s="22">
        <f t="shared" ca="1" si="577"/>
        <v>12073.170731707316</v>
      </c>
      <c r="AF137" s="22">
        <f t="shared" ca="1" si="577"/>
        <v>12073.170731707316</v>
      </c>
      <c r="AG137" s="22">
        <f t="shared" ca="1" si="577"/>
        <v>12073.170731707316</v>
      </c>
      <c r="AH137" s="22">
        <f t="shared" ca="1" si="577"/>
        <v>12073.170731707316</v>
      </c>
      <c r="AI137" s="22">
        <f t="shared" ca="1" si="577"/>
        <v>12073.170731707316</v>
      </c>
      <c r="AJ137" s="22">
        <f t="shared" ca="1" si="577"/>
        <v>12073.170731707316</v>
      </c>
      <c r="AK137" s="22">
        <f t="shared" ca="1" si="577"/>
        <v>12073.170731707316</v>
      </c>
      <c r="AL137" s="22">
        <f t="shared" ca="1" si="577"/>
        <v>12073.170731707316</v>
      </c>
      <c r="AR137" s="12" t="s">
        <v>351</v>
      </c>
      <c r="AS137" s="224" t="s">
        <v>326</v>
      </c>
      <c r="AT137" t="s">
        <v>329</v>
      </c>
      <c r="AU137" s="22">
        <f t="shared" ref="AU137:BF137" ca="1" si="578">AU139*AU141*(1-AU142)*GJ_per_MWh</f>
        <v>12073.170731707316</v>
      </c>
      <c r="AV137" s="22">
        <f t="shared" ca="1" si="578"/>
        <v>12073.170731707316</v>
      </c>
      <c r="AW137" s="22">
        <f t="shared" ca="1" si="578"/>
        <v>12073.170731707316</v>
      </c>
      <c r="AX137" s="22">
        <f t="shared" ca="1" si="578"/>
        <v>12073.170731707316</v>
      </c>
      <c r="AY137" s="22">
        <f t="shared" ca="1" si="578"/>
        <v>12073.170731707316</v>
      </c>
      <c r="AZ137" s="22">
        <f t="shared" ca="1" si="578"/>
        <v>12073.170731707316</v>
      </c>
      <c r="BA137" s="22">
        <f t="shared" ca="1" si="578"/>
        <v>12073.170731707316</v>
      </c>
      <c r="BB137" s="22">
        <f t="shared" ca="1" si="578"/>
        <v>12073.170731707316</v>
      </c>
      <c r="BC137" s="22">
        <f t="shared" ca="1" si="578"/>
        <v>12073.170731707316</v>
      </c>
      <c r="BD137" s="22">
        <f t="shared" ca="1" si="578"/>
        <v>12073.170731707316</v>
      </c>
      <c r="BE137" s="22">
        <f t="shared" ca="1" si="578"/>
        <v>12073.170731707316</v>
      </c>
      <c r="BF137" s="22">
        <f t="shared" ca="1" si="578"/>
        <v>12073.170731707316</v>
      </c>
      <c r="BL137" s="12" t="s">
        <v>351</v>
      </c>
      <c r="BM137" s="224" t="s">
        <v>326</v>
      </c>
      <c r="BN137" t="s">
        <v>329</v>
      </c>
      <c r="BO137" s="22">
        <f t="shared" ref="BO137:BZ137" ca="1" si="579">BO139*BO141*(1-BO142)*GJ_per_MWh</f>
        <v>12073.170731707316</v>
      </c>
      <c r="BP137" s="22">
        <f t="shared" ca="1" si="579"/>
        <v>12073.170731707316</v>
      </c>
      <c r="BQ137" s="22">
        <f t="shared" ca="1" si="579"/>
        <v>12073.170731707316</v>
      </c>
      <c r="BR137" s="22">
        <f t="shared" ca="1" si="579"/>
        <v>12073.170731707316</v>
      </c>
      <c r="BS137" s="22">
        <f t="shared" ca="1" si="579"/>
        <v>12073.170731707316</v>
      </c>
      <c r="BT137" s="22">
        <f t="shared" ca="1" si="579"/>
        <v>12073.170731707316</v>
      </c>
      <c r="BU137" s="22">
        <f t="shared" ca="1" si="579"/>
        <v>12073.170731707316</v>
      </c>
      <c r="BV137" s="22">
        <f t="shared" ca="1" si="579"/>
        <v>12073.170731707316</v>
      </c>
      <c r="BW137" s="22">
        <f t="shared" ca="1" si="579"/>
        <v>12073.170731707316</v>
      </c>
      <c r="BX137" s="22">
        <f t="shared" ca="1" si="579"/>
        <v>12073.170731707316</v>
      </c>
      <c r="BY137" s="22">
        <f t="shared" ca="1" si="579"/>
        <v>12073.170731707316</v>
      </c>
      <c r="BZ137" s="22">
        <f t="shared" ca="1" si="579"/>
        <v>12073.170731707316</v>
      </c>
      <c r="CF137" s="12" t="s">
        <v>351</v>
      </c>
      <c r="CG137" s="224" t="s">
        <v>326</v>
      </c>
      <c r="CH137" t="s">
        <v>329</v>
      </c>
      <c r="CI137" s="22">
        <f t="shared" ref="CI137:CT137" ca="1" si="580">CI139*CI141*(1-CI142)*GJ_per_MWh</f>
        <v>12073.170731707316</v>
      </c>
      <c r="CJ137" s="22">
        <f t="shared" ca="1" si="580"/>
        <v>12073.170731707316</v>
      </c>
      <c r="CK137" s="22">
        <f t="shared" ca="1" si="580"/>
        <v>12073.170731707316</v>
      </c>
      <c r="CL137" s="22">
        <f t="shared" ca="1" si="580"/>
        <v>12073.170731707316</v>
      </c>
      <c r="CM137" s="22">
        <f t="shared" ca="1" si="580"/>
        <v>12073.170731707316</v>
      </c>
      <c r="CN137" s="22">
        <f t="shared" ca="1" si="580"/>
        <v>12073.170731707316</v>
      </c>
      <c r="CO137" s="22">
        <f t="shared" ca="1" si="580"/>
        <v>12073.170731707316</v>
      </c>
      <c r="CP137" s="22">
        <f t="shared" ca="1" si="580"/>
        <v>12073.170731707316</v>
      </c>
      <c r="CQ137" s="22">
        <f t="shared" ca="1" si="580"/>
        <v>12073.170731707316</v>
      </c>
      <c r="CR137" s="22">
        <f t="shared" ca="1" si="580"/>
        <v>12073.170731707316</v>
      </c>
      <c r="CS137" s="22">
        <f t="shared" ca="1" si="580"/>
        <v>12073.170731707316</v>
      </c>
      <c r="CT137" s="22">
        <f t="shared" ca="1" si="580"/>
        <v>12073.170731707316</v>
      </c>
    </row>
    <row r="138" spans="3:100" outlineLevel="1" x14ac:dyDescent="0.2">
      <c r="C138" s="3"/>
      <c r="D138" s="12" t="s">
        <v>332</v>
      </c>
      <c r="E138" s="224" t="s">
        <v>333</v>
      </c>
      <c r="G138" s="52">
        <f t="shared" ref="G138:R138" ca="1" si="581">IFERROR(INDEX(tbl_TCO_input,MATCH(
_xlfn.TEXTJOIN(keydelim,TRUE,G$20,$D138),rows_TCO_ID,0),MATCH(G$6,cols_TCO_input,0)),0)</f>
        <v>11444.444444444445</v>
      </c>
      <c r="H138" s="52">
        <f t="shared" ca="1" si="581"/>
        <v>11444.444444444445</v>
      </c>
      <c r="I138" s="52">
        <f t="shared" ca="1" si="581"/>
        <v>11444.444444444445</v>
      </c>
      <c r="J138" s="52">
        <f t="shared" ca="1" si="581"/>
        <v>11444.444444444445</v>
      </c>
      <c r="K138" s="52">
        <f t="shared" ca="1" si="581"/>
        <v>11444.444444444445</v>
      </c>
      <c r="L138" s="52">
        <f t="shared" ca="1" si="581"/>
        <v>11444.444444444445</v>
      </c>
      <c r="M138" s="52">
        <f t="shared" ca="1" si="581"/>
        <v>11444.444444444445</v>
      </c>
      <c r="N138" s="52">
        <f t="shared" ca="1" si="581"/>
        <v>11444.444444444445</v>
      </c>
      <c r="O138" s="52">
        <f t="shared" ca="1" si="581"/>
        <v>11444.444444444445</v>
      </c>
      <c r="P138" s="52">
        <f t="shared" ca="1" si="581"/>
        <v>11444.444444444445</v>
      </c>
      <c r="Q138" s="52">
        <f t="shared" ca="1" si="581"/>
        <v>11444.444444444445</v>
      </c>
      <c r="R138" s="52">
        <f t="shared" ca="1" si="581"/>
        <v>11444.444444444445</v>
      </c>
      <c r="X138" s="12" t="s">
        <v>332</v>
      </c>
      <c r="Y138" s="224" t="s">
        <v>333</v>
      </c>
      <c r="AA138" s="52">
        <f t="shared" ref="AA138:AL138" ca="1" si="582">IFERROR(INDEX(tbl_TCO_input,MATCH(
_xlfn.TEXTJOIN(keydelim,TRUE,AA$20,$D138),rows_TCO_ID,0),MATCH(AA$6,cols_TCO_input,0)),0)</f>
        <v>13333.333333333334</v>
      </c>
      <c r="AB138" s="52">
        <f t="shared" ca="1" si="582"/>
        <v>13333.333333333334</v>
      </c>
      <c r="AC138" s="52">
        <f t="shared" ca="1" si="582"/>
        <v>13333.333333333334</v>
      </c>
      <c r="AD138" s="52">
        <f t="shared" ca="1" si="582"/>
        <v>13333.333333333334</v>
      </c>
      <c r="AE138" s="52">
        <f t="shared" ca="1" si="582"/>
        <v>13333.333333333334</v>
      </c>
      <c r="AF138" s="52">
        <f t="shared" ca="1" si="582"/>
        <v>13333.333333333334</v>
      </c>
      <c r="AG138" s="52">
        <f t="shared" ca="1" si="582"/>
        <v>13333.333333333334</v>
      </c>
      <c r="AH138" s="52">
        <f t="shared" ca="1" si="582"/>
        <v>13333.333333333334</v>
      </c>
      <c r="AI138" s="52">
        <f t="shared" ca="1" si="582"/>
        <v>13333.333333333334</v>
      </c>
      <c r="AJ138" s="52">
        <f t="shared" ca="1" si="582"/>
        <v>13333.333333333334</v>
      </c>
      <c r="AK138" s="52">
        <f t="shared" ca="1" si="582"/>
        <v>13333.333333333334</v>
      </c>
      <c r="AL138" s="52">
        <f t="shared" ca="1" si="582"/>
        <v>13333.333333333334</v>
      </c>
      <c r="AR138" s="12" t="s">
        <v>332</v>
      </c>
      <c r="AS138" s="224" t="s">
        <v>333</v>
      </c>
      <c r="AU138" s="52">
        <f t="shared" ref="AU138:BF138" ca="1" si="583">IFERROR(INDEX(tbl_TCO_input,MATCH(
_xlfn.TEXTJOIN(keydelim,TRUE,AU$20,$D138),rows_TCO_ID,0),MATCH(AU$6,cols_TCO_input,0)),0)</f>
        <v>5222.2222222222226</v>
      </c>
      <c r="AV138" s="52">
        <f t="shared" ca="1" si="583"/>
        <v>5222.2222222222226</v>
      </c>
      <c r="AW138" s="52">
        <f t="shared" ca="1" si="583"/>
        <v>5222.2222222222226</v>
      </c>
      <c r="AX138" s="52">
        <f t="shared" ca="1" si="583"/>
        <v>5222.2222222222226</v>
      </c>
      <c r="AY138" s="52">
        <f t="shared" ca="1" si="583"/>
        <v>5222.2222222222226</v>
      </c>
      <c r="AZ138" s="52">
        <f t="shared" ca="1" si="583"/>
        <v>5222.2222222222226</v>
      </c>
      <c r="BA138" s="52">
        <f t="shared" ca="1" si="583"/>
        <v>5222.2222222222226</v>
      </c>
      <c r="BB138" s="52">
        <f t="shared" ca="1" si="583"/>
        <v>5222.2222222222226</v>
      </c>
      <c r="BC138" s="52">
        <f t="shared" ca="1" si="583"/>
        <v>5222.2222222222226</v>
      </c>
      <c r="BD138" s="52">
        <f t="shared" ca="1" si="583"/>
        <v>5222.2222222222226</v>
      </c>
      <c r="BE138" s="52">
        <f t="shared" ca="1" si="583"/>
        <v>5222.2222222222226</v>
      </c>
      <c r="BF138" s="52">
        <f t="shared" ca="1" si="583"/>
        <v>5222.2222222222226</v>
      </c>
      <c r="BL138" s="12" t="s">
        <v>332</v>
      </c>
      <c r="BM138" s="224" t="s">
        <v>333</v>
      </c>
      <c r="BO138" s="52">
        <f t="shared" ref="BO138:BZ138" ca="1" si="584">IFERROR(INDEX(tbl_TCO_input,MATCH(
_xlfn.TEXTJOIN(keydelim,TRUE,BO$20,$D138),rows_TCO_ID,0),MATCH(BO$6,cols_TCO_input,0)),0)</f>
        <v>5222.2222222222226</v>
      </c>
      <c r="BP138" s="52">
        <f t="shared" ca="1" si="584"/>
        <v>5222.2222222222226</v>
      </c>
      <c r="BQ138" s="52">
        <f t="shared" ca="1" si="584"/>
        <v>5222.2222222222226</v>
      </c>
      <c r="BR138" s="52">
        <f t="shared" ca="1" si="584"/>
        <v>5222.2222222222226</v>
      </c>
      <c r="BS138" s="52">
        <f t="shared" ca="1" si="584"/>
        <v>5222.2222222222226</v>
      </c>
      <c r="BT138" s="52">
        <f t="shared" ca="1" si="584"/>
        <v>5222.2222222222226</v>
      </c>
      <c r="BU138" s="52">
        <f t="shared" ca="1" si="584"/>
        <v>5222.2222222222226</v>
      </c>
      <c r="BV138" s="52">
        <f t="shared" ca="1" si="584"/>
        <v>5222.2222222222226</v>
      </c>
      <c r="BW138" s="52">
        <f t="shared" ca="1" si="584"/>
        <v>5222.2222222222226</v>
      </c>
      <c r="BX138" s="52">
        <f t="shared" ca="1" si="584"/>
        <v>5222.2222222222226</v>
      </c>
      <c r="BY138" s="52">
        <f t="shared" ca="1" si="584"/>
        <v>5222.2222222222226</v>
      </c>
      <c r="BZ138" s="52">
        <f t="shared" ca="1" si="584"/>
        <v>5222.2222222222226</v>
      </c>
      <c r="CF138" s="12" t="s">
        <v>332</v>
      </c>
      <c r="CG138" s="224" t="s">
        <v>333</v>
      </c>
      <c r="CI138" s="52">
        <f t="shared" ref="CI138:CT138" ca="1" si="585">IFERROR(INDEX(tbl_TCO_input,MATCH(
_xlfn.TEXTJOIN(keydelim,TRUE,CI$20,$D138),rows_TCO_ID,0),MATCH(CI$6,cols_TCO_input,0)),0)</f>
        <v>5527.7777777777783</v>
      </c>
      <c r="CJ138" s="52">
        <f t="shared" ca="1" si="585"/>
        <v>5527.7777777777783</v>
      </c>
      <c r="CK138" s="52">
        <f t="shared" ca="1" si="585"/>
        <v>5527.7777777777783</v>
      </c>
      <c r="CL138" s="52">
        <f t="shared" ca="1" si="585"/>
        <v>5527.7777777777783</v>
      </c>
      <c r="CM138" s="52">
        <f t="shared" ca="1" si="585"/>
        <v>5527.7777777777783</v>
      </c>
      <c r="CN138" s="52">
        <f t="shared" ca="1" si="585"/>
        <v>5527.7777777777783</v>
      </c>
      <c r="CO138" s="52">
        <f t="shared" ca="1" si="585"/>
        <v>5527.7777777777783</v>
      </c>
      <c r="CP138" s="52">
        <f t="shared" ca="1" si="585"/>
        <v>5527.7777777777783</v>
      </c>
      <c r="CQ138" s="52">
        <f t="shared" ca="1" si="585"/>
        <v>5527.7777777777783</v>
      </c>
      <c r="CR138" s="52">
        <f t="shared" ca="1" si="585"/>
        <v>5527.7777777777783</v>
      </c>
      <c r="CS138" s="52">
        <f t="shared" ca="1" si="585"/>
        <v>5527.7777777777783</v>
      </c>
      <c r="CT138" s="52">
        <f t="shared" ca="1" si="585"/>
        <v>5527.7777777777783</v>
      </c>
    </row>
    <row r="139" spans="3:100" outlineLevel="1" x14ac:dyDescent="0.2">
      <c r="C139" s="3"/>
      <c r="D139" s="12" t="s">
        <v>352</v>
      </c>
      <c r="E139" s="224" t="s">
        <v>336</v>
      </c>
      <c r="G139" s="98">
        <f>G140</f>
        <v>3353.6585365853657</v>
      </c>
      <c r="H139" s="98">
        <f t="shared" ref="H139:R139" si="586">H140</f>
        <v>3353.6585365853657</v>
      </c>
      <c r="I139" s="98">
        <f t="shared" si="586"/>
        <v>3353.6585365853657</v>
      </c>
      <c r="J139" s="98">
        <f t="shared" si="586"/>
        <v>3353.6585365853657</v>
      </c>
      <c r="K139" s="98">
        <f t="shared" si="586"/>
        <v>3353.6585365853657</v>
      </c>
      <c r="L139" s="98">
        <f t="shared" si="586"/>
        <v>3353.6585365853657</v>
      </c>
      <c r="M139" s="98">
        <f t="shared" si="586"/>
        <v>3353.6585365853657</v>
      </c>
      <c r="N139" s="98">
        <f t="shared" si="586"/>
        <v>3353.6585365853657</v>
      </c>
      <c r="O139" s="98">
        <f t="shared" si="586"/>
        <v>3353.6585365853657</v>
      </c>
      <c r="P139" s="98">
        <f t="shared" si="586"/>
        <v>3353.6585365853657</v>
      </c>
      <c r="Q139" s="98">
        <f t="shared" si="586"/>
        <v>3353.6585365853657</v>
      </c>
      <c r="R139" s="98">
        <f t="shared" si="586"/>
        <v>3353.6585365853657</v>
      </c>
      <c r="X139" s="12" t="s">
        <v>352</v>
      </c>
      <c r="Y139" s="224" t="s">
        <v>336</v>
      </c>
      <c r="AA139" s="98">
        <f>AA140</f>
        <v>3353.6585365853657</v>
      </c>
      <c r="AB139" s="98">
        <f t="shared" ref="AB139" si="587">AB140</f>
        <v>3353.6585365853657</v>
      </c>
      <c r="AC139" s="98">
        <f t="shared" ref="AC139" si="588">AC140</f>
        <v>3353.6585365853657</v>
      </c>
      <c r="AD139" s="98">
        <f t="shared" ref="AD139" si="589">AD140</f>
        <v>3353.6585365853657</v>
      </c>
      <c r="AE139" s="98">
        <f t="shared" ref="AE139" si="590">AE140</f>
        <v>3353.6585365853657</v>
      </c>
      <c r="AF139" s="98">
        <f t="shared" ref="AF139" si="591">AF140</f>
        <v>3353.6585365853657</v>
      </c>
      <c r="AG139" s="98">
        <f t="shared" ref="AG139" si="592">AG140</f>
        <v>3353.6585365853657</v>
      </c>
      <c r="AH139" s="98">
        <f t="shared" ref="AH139" si="593">AH140</f>
        <v>3353.6585365853657</v>
      </c>
      <c r="AI139" s="98">
        <f t="shared" ref="AI139" si="594">AI140</f>
        <v>3353.6585365853657</v>
      </c>
      <c r="AJ139" s="98">
        <f t="shared" ref="AJ139" si="595">AJ140</f>
        <v>3353.6585365853657</v>
      </c>
      <c r="AK139" s="98">
        <f t="shared" ref="AK139" si="596">AK140</f>
        <v>3353.6585365853657</v>
      </c>
      <c r="AL139" s="98">
        <f t="shared" ref="AL139" si="597">AL140</f>
        <v>3353.6585365853657</v>
      </c>
      <c r="AR139" s="12" t="s">
        <v>352</v>
      </c>
      <c r="AS139" s="224" t="s">
        <v>336</v>
      </c>
      <c r="AU139" s="98">
        <f>AU140</f>
        <v>3353.6585365853657</v>
      </c>
      <c r="AV139" s="98">
        <f t="shared" ref="AV139" si="598">AV140</f>
        <v>3353.6585365853657</v>
      </c>
      <c r="AW139" s="98">
        <f t="shared" ref="AW139" si="599">AW140</f>
        <v>3353.6585365853657</v>
      </c>
      <c r="AX139" s="98">
        <f t="shared" ref="AX139" si="600">AX140</f>
        <v>3353.6585365853657</v>
      </c>
      <c r="AY139" s="98">
        <f t="shared" ref="AY139" si="601">AY140</f>
        <v>3353.6585365853657</v>
      </c>
      <c r="AZ139" s="98">
        <f t="shared" ref="AZ139" si="602">AZ140</f>
        <v>3353.6585365853657</v>
      </c>
      <c r="BA139" s="98">
        <f t="shared" ref="BA139" si="603">BA140</f>
        <v>3353.6585365853657</v>
      </c>
      <c r="BB139" s="98">
        <f t="shared" ref="BB139" si="604">BB140</f>
        <v>3353.6585365853657</v>
      </c>
      <c r="BC139" s="98">
        <f t="shared" ref="BC139" si="605">BC140</f>
        <v>3353.6585365853657</v>
      </c>
      <c r="BD139" s="98">
        <f t="shared" ref="BD139" si="606">BD140</f>
        <v>3353.6585365853657</v>
      </c>
      <c r="BE139" s="98">
        <f t="shared" ref="BE139" si="607">BE140</f>
        <v>3353.6585365853657</v>
      </c>
      <c r="BF139" s="98">
        <f t="shared" ref="BF139" si="608">BF140</f>
        <v>3353.6585365853657</v>
      </c>
      <c r="BL139" s="12" t="s">
        <v>352</v>
      </c>
      <c r="BM139" s="224" t="s">
        <v>336</v>
      </c>
      <c r="BO139" s="98">
        <f>BO140</f>
        <v>3353.6585365853657</v>
      </c>
      <c r="BP139" s="98">
        <f t="shared" ref="BP139" si="609">BP140</f>
        <v>3353.6585365853657</v>
      </c>
      <c r="BQ139" s="98">
        <f t="shared" ref="BQ139" si="610">BQ140</f>
        <v>3353.6585365853657</v>
      </c>
      <c r="BR139" s="98">
        <f t="shared" ref="BR139" si="611">BR140</f>
        <v>3353.6585365853657</v>
      </c>
      <c r="BS139" s="98">
        <f t="shared" ref="BS139" si="612">BS140</f>
        <v>3353.6585365853657</v>
      </c>
      <c r="BT139" s="98">
        <f t="shared" ref="BT139" si="613">BT140</f>
        <v>3353.6585365853657</v>
      </c>
      <c r="BU139" s="98">
        <f t="shared" ref="BU139" si="614">BU140</f>
        <v>3353.6585365853657</v>
      </c>
      <c r="BV139" s="98">
        <f t="shared" ref="BV139" si="615">BV140</f>
        <v>3353.6585365853657</v>
      </c>
      <c r="BW139" s="98">
        <f t="shared" ref="BW139" si="616">BW140</f>
        <v>3353.6585365853657</v>
      </c>
      <c r="BX139" s="98">
        <f t="shared" ref="BX139" si="617">BX140</f>
        <v>3353.6585365853657</v>
      </c>
      <c r="BY139" s="98">
        <f t="shared" ref="BY139" si="618">BY140</f>
        <v>3353.6585365853657</v>
      </c>
      <c r="BZ139" s="98">
        <f t="shared" ref="BZ139" si="619">BZ140</f>
        <v>3353.6585365853657</v>
      </c>
      <c r="CF139" s="12" t="s">
        <v>352</v>
      </c>
      <c r="CG139" s="224" t="s">
        <v>336</v>
      </c>
      <c r="CI139" s="98">
        <f>CI140</f>
        <v>3353.6585365853657</v>
      </c>
      <c r="CJ139" s="98">
        <f t="shared" ref="CJ139" si="620">CJ140</f>
        <v>3353.6585365853657</v>
      </c>
      <c r="CK139" s="98">
        <f t="shared" ref="CK139" si="621">CK140</f>
        <v>3353.6585365853657</v>
      </c>
      <c r="CL139" s="98">
        <f t="shared" ref="CL139" si="622">CL140</f>
        <v>3353.6585365853657</v>
      </c>
      <c r="CM139" s="98">
        <f t="shared" ref="CM139" si="623">CM140</f>
        <v>3353.6585365853657</v>
      </c>
      <c r="CN139" s="98">
        <f t="shared" ref="CN139" si="624">CN140</f>
        <v>3353.6585365853657</v>
      </c>
      <c r="CO139" s="98">
        <f t="shared" ref="CO139" si="625">CO140</f>
        <v>3353.6585365853657</v>
      </c>
      <c r="CP139" s="98">
        <f t="shared" ref="CP139" si="626">CP140</f>
        <v>3353.6585365853657</v>
      </c>
      <c r="CQ139" s="98">
        <f t="shared" ref="CQ139" si="627">CQ140</f>
        <v>3353.6585365853657</v>
      </c>
      <c r="CR139" s="98">
        <f t="shared" ref="CR139" si="628">CR140</f>
        <v>3353.6585365853657</v>
      </c>
      <c r="CS139" s="98">
        <f t="shared" ref="CS139" si="629">CS140</f>
        <v>3353.6585365853657</v>
      </c>
      <c r="CT139" s="98">
        <f t="shared" ref="CT139" si="630">CT140</f>
        <v>3353.6585365853657</v>
      </c>
    </row>
    <row r="140" spans="3:100" outlineLevel="1" x14ac:dyDescent="0.2">
      <c r="C140" s="3"/>
      <c r="D140" s="12" t="str">
        <f>"Boiler - Power Requirement Average - "&amp;G$10</f>
        <v>Boiler - Power Requirement Average - Medium</v>
      </c>
      <c r="E140" s="224" t="s">
        <v>336</v>
      </c>
      <c r="G140" s="98">
        <f>INDEX('Vessel Profiles - Input'!$G$5:$L$105,MATCH($D$140,'Vessel Profiles - Input'!$C$5:$C$105,0),MATCH(G$9,'Vessel Profiles - Input'!$G$3:$L$3,0))</f>
        <v>3353.6585365853657</v>
      </c>
      <c r="H140" s="98">
        <f>INDEX('Vessel Profiles - Input'!$G$5:$L$105,MATCH($D$140,'Vessel Profiles - Input'!$C$5:$C$105,0),MATCH(H$9,'Vessel Profiles - Input'!$G$3:$L$3,0))</f>
        <v>3353.6585365853657</v>
      </c>
      <c r="I140" s="98">
        <f>INDEX('Vessel Profiles - Input'!$G$5:$L$105,MATCH($D$140,'Vessel Profiles - Input'!$C$5:$C$105,0),MATCH(I$9,'Vessel Profiles - Input'!$G$3:$L$3,0))</f>
        <v>3353.6585365853657</v>
      </c>
      <c r="J140" s="98">
        <f>INDEX('Vessel Profiles - Input'!$G$5:$L$105,MATCH($D$140,'Vessel Profiles - Input'!$C$5:$C$105,0),MATCH(J$9,'Vessel Profiles - Input'!$G$3:$L$3,0))</f>
        <v>3353.6585365853657</v>
      </c>
      <c r="K140" s="98">
        <f>INDEX('Vessel Profiles - Input'!$G$5:$L$105,MATCH($D$140,'Vessel Profiles - Input'!$C$5:$C$105,0),MATCH(K$9,'Vessel Profiles - Input'!$G$3:$L$3,0))</f>
        <v>3353.6585365853657</v>
      </c>
      <c r="L140" s="98">
        <f>INDEX('Vessel Profiles - Input'!$G$5:$L$105,MATCH($D$140,'Vessel Profiles - Input'!$C$5:$C$105,0),MATCH(L$9,'Vessel Profiles - Input'!$G$3:$L$3,0))</f>
        <v>3353.6585365853657</v>
      </c>
      <c r="M140" s="98">
        <f>INDEX('Vessel Profiles - Input'!$G$5:$L$105,MATCH($D$140,'Vessel Profiles - Input'!$C$5:$C$105,0),MATCH(M$9,'Vessel Profiles - Input'!$G$3:$L$3,0))</f>
        <v>3353.6585365853657</v>
      </c>
      <c r="N140" s="98">
        <f>INDEX('Vessel Profiles - Input'!$G$5:$L$105,MATCH($D$140,'Vessel Profiles - Input'!$C$5:$C$105,0),MATCH(N$9,'Vessel Profiles - Input'!$G$3:$L$3,0))</f>
        <v>3353.6585365853657</v>
      </c>
      <c r="O140" s="98">
        <f>INDEX('Vessel Profiles - Input'!$G$5:$L$105,MATCH($D$140,'Vessel Profiles - Input'!$C$5:$C$105,0),MATCH(O$9,'Vessel Profiles - Input'!$G$3:$L$3,0))</f>
        <v>3353.6585365853657</v>
      </c>
      <c r="P140" s="98">
        <f>INDEX('Vessel Profiles - Input'!$G$5:$L$105,MATCH($D$140,'Vessel Profiles - Input'!$C$5:$C$105,0),MATCH(P$9,'Vessel Profiles - Input'!$G$3:$L$3,0))</f>
        <v>3353.6585365853657</v>
      </c>
      <c r="Q140" s="98">
        <f>INDEX('Vessel Profiles - Input'!$G$5:$L$105,MATCH($D$140,'Vessel Profiles - Input'!$C$5:$C$105,0),MATCH(Q$9,'Vessel Profiles - Input'!$G$3:$L$3,0))</f>
        <v>3353.6585365853657</v>
      </c>
      <c r="R140" s="98">
        <f>INDEX('Vessel Profiles - Input'!$G$5:$L$105,MATCH($D$140,'Vessel Profiles - Input'!$C$5:$C$105,0),MATCH(R$9,'Vessel Profiles - Input'!$G$3:$L$3,0))</f>
        <v>3353.6585365853657</v>
      </c>
      <c r="X140" s="12" t="str">
        <f>"Boiler - Power Requirement Average - "&amp;AA$10</f>
        <v>Boiler - Power Requirement Average - Medium</v>
      </c>
      <c r="Y140" s="224" t="s">
        <v>336</v>
      </c>
      <c r="AA140" s="98">
        <f>INDEX('Vessel Profiles - Input'!$G$5:$L$105,MATCH($D$140,'Vessel Profiles - Input'!$C$5:$C$105,0),MATCH(AA$9,'Vessel Profiles - Input'!$G$3:$L$3,0))</f>
        <v>3353.6585365853657</v>
      </c>
      <c r="AB140" s="98">
        <f>INDEX('Vessel Profiles - Input'!$G$5:$L$105,MATCH($D$140,'Vessel Profiles - Input'!$C$5:$C$105,0),MATCH(AB$9,'Vessel Profiles - Input'!$G$3:$L$3,0))</f>
        <v>3353.6585365853657</v>
      </c>
      <c r="AC140" s="98">
        <f>INDEX('Vessel Profiles - Input'!$G$5:$L$105,MATCH($D$140,'Vessel Profiles - Input'!$C$5:$C$105,0),MATCH(AC$9,'Vessel Profiles - Input'!$G$3:$L$3,0))</f>
        <v>3353.6585365853657</v>
      </c>
      <c r="AD140" s="98">
        <f>INDEX('Vessel Profiles - Input'!$G$5:$L$105,MATCH($D$140,'Vessel Profiles - Input'!$C$5:$C$105,0),MATCH(AD$9,'Vessel Profiles - Input'!$G$3:$L$3,0))</f>
        <v>3353.6585365853657</v>
      </c>
      <c r="AE140" s="98">
        <f>INDEX('Vessel Profiles - Input'!$G$5:$L$105,MATCH($D$140,'Vessel Profiles - Input'!$C$5:$C$105,0),MATCH(AE$9,'Vessel Profiles - Input'!$G$3:$L$3,0))</f>
        <v>3353.6585365853657</v>
      </c>
      <c r="AF140" s="98">
        <f>INDEX('Vessel Profiles - Input'!$G$5:$L$105,MATCH($D$140,'Vessel Profiles - Input'!$C$5:$C$105,0),MATCH(AF$9,'Vessel Profiles - Input'!$G$3:$L$3,0))</f>
        <v>3353.6585365853657</v>
      </c>
      <c r="AG140" s="98">
        <f>INDEX('Vessel Profiles - Input'!$G$5:$L$105,MATCH($D$140,'Vessel Profiles - Input'!$C$5:$C$105,0),MATCH(AG$9,'Vessel Profiles - Input'!$G$3:$L$3,0))</f>
        <v>3353.6585365853657</v>
      </c>
      <c r="AH140" s="98">
        <f>INDEX('Vessel Profiles - Input'!$G$5:$L$105,MATCH($D$140,'Vessel Profiles - Input'!$C$5:$C$105,0),MATCH(AH$9,'Vessel Profiles - Input'!$G$3:$L$3,0))</f>
        <v>3353.6585365853657</v>
      </c>
      <c r="AI140" s="98">
        <f>INDEX('Vessel Profiles - Input'!$G$5:$L$105,MATCH($D$140,'Vessel Profiles - Input'!$C$5:$C$105,0),MATCH(AI$9,'Vessel Profiles - Input'!$G$3:$L$3,0))</f>
        <v>3353.6585365853657</v>
      </c>
      <c r="AJ140" s="98">
        <f>INDEX('Vessel Profiles - Input'!$G$5:$L$105,MATCH($D$140,'Vessel Profiles - Input'!$C$5:$C$105,0),MATCH(AJ$9,'Vessel Profiles - Input'!$G$3:$L$3,0))</f>
        <v>3353.6585365853657</v>
      </c>
      <c r="AK140" s="98">
        <f>INDEX('Vessel Profiles - Input'!$G$5:$L$105,MATCH($D$140,'Vessel Profiles - Input'!$C$5:$C$105,0),MATCH(AK$9,'Vessel Profiles - Input'!$G$3:$L$3,0))</f>
        <v>3353.6585365853657</v>
      </c>
      <c r="AL140" s="98">
        <f>INDEX('Vessel Profiles - Input'!$G$5:$L$105,MATCH($D$140,'Vessel Profiles - Input'!$C$5:$C$105,0),MATCH(AL$9,'Vessel Profiles - Input'!$G$3:$L$3,0))</f>
        <v>3353.6585365853657</v>
      </c>
      <c r="AR140" s="12" t="str">
        <f>"Boiler - Power Requirement Average - "&amp;AU$10</f>
        <v>Boiler - Power Requirement Average - Medium</v>
      </c>
      <c r="AS140" s="224" t="s">
        <v>336</v>
      </c>
      <c r="AU140" s="98">
        <f>INDEX('Vessel Profiles - Input'!$G$5:$L$105,MATCH($D$140,'Vessel Profiles - Input'!$C$5:$C$105,0),MATCH(AU$9,'Vessel Profiles - Input'!$G$3:$L$3,0))</f>
        <v>3353.6585365853657</v>
      </c>
      <c r="AV140" s="98">
        <f>INDEX('Vessel Profiles - Input'!$G$5:$L$105,MATCH($D$140,'Vessel Profiles - Input'!$C$5:$C$105,0),MATCH(AV$9,'Vessel Profiles - Input'!$G$3:$L$3,0))</f>
        <v>3353.6585365853657</v>
      </c>
      <c r="AW140" s="98">
        <f>INDEX('Vessel Profiles - Input'!$G$5:$L$105,MATCH($D$140,'Vessel Profiles - Input'!$C$5:$C$105,0),MATCH(AW$9,'Vessel Profiles - Input'!$G$3:$L$3,0))</f>
        <v>3353.6585365853657</v>
      </c>
      <c r="AX140" s="98">
        <f>INDEX('Vessel Profiles - Input'!$G$5:$L$105,MATCH($D$140,'Vessel Profiles - Input'!$C$5:$C$105,0),MATCH(AX$9,'Vessel Profiles - Input'!$G$3:$L$3,0))</f>
        <v>3353.6585365853657</v>
      </c>
      <c r="AY140" s="98">
        <f>INDEX('Vessel Profiles - Input'!$G$5:$L$105,MATCH($D$140,'Vessel Profiles - Input'!$C$5:$C$105,0),MATCH(AY$9,'Vessel Profiles - Input'!$G$3:$L$3,0))</f>
        <v>3353.6585365853657</v>
      </c>
      <c r="AZ140" s="98">
        <f>INDEX('Vessel Profiles - Input'!$G$5:$L$105,MATCH($D$140,'Vessel Profiles - Input'!$C$5:$C$105,0),MATCH(AZ$9,'Vessel Profiles - Input'!$G$3:$L$3,0))</f>
        <v>3353.6585365853657</v>
      </c>
      <c r="BA140" s="98">
        <f>INDEX('Vessel Profiles - Input'!$G$5:$L$105,MATCH($D$140,'Vessel Profiles - Input'!$C$5:$C$105,0),MATCH(BA$9,'Vessel Profiles - Input'!$G$3:$L$3,0))</f>
        <v>3353.6585365853657</v>
      </c>
      <c r="BB140" s="98">
        <f>INDEX('Vessel Profiles - Input'!$G$5:$L$105,MATCH($D$140,'Vessel Profiles - Input'!$C$5:$C$105,0),MATCH(BB$9,'Vessel Profiles - Input'!$G$3:$L$3,0))</f>
        <v>3353.6585365853657</v>
      </c>
      <c r="BC140" s="98">
        <f>INDEX('Vessel Profiles - Input'!$G$5:$L$105,MATCH($D$140,'Vessel Profiles - Input'!$C$5:$C$105,0),MATCH(BC$9,'Vessel Profiles - Input'!$G$3:$L$3,0))</f>
        <v>3353.6585365853657</v>
      </c>
      <c r="BD140" s="98">
        <f>INDEX('Vessel Profiles - Input'!$G$5:$L$105,MATCH($D$140,'Vessel Profiles - Input'!$C$5:$C$105,0),MATCH(BD$9,'Vessel Profiles - Input'!$G$3:$L$3,0))</f>
        <v>3353.6585365853657</v>
      </c>
      <c r="BE140" s="98">
        <f>INDEX('Vessel Profiles - Input'!$G$5:$L$105,MATCH($D$140,'Vessel Profiles - Input'!$C$5:$C$105,0),MATCH(BE$9,'Vessel Profiles - Input'!$G$3:$L$3,0))</f>
        <v>3353.6585365853657</v>
      </c>
      <c r="BF140" s="98">
        <f>INDEX('Vessel Profiles - Input'!$G$5:$L$105,MATCH($D$140,'Vessel Profiles - Input'!$C$5:$C$105,0),MATCH(BF$9,'Vessel Profiles - Input'!$G$3:$L$3,0))</f>
        <v>3353.6585365853657</v>
      </c>
      <c r="BL140" s="12" t="str">
        <f>"Boiler - Power Requirement Average - "&amp;BO$10</f>
        <v>Boiler - Power Requirement Average - Medium</v>
      </c>
      <c r="BM140" s="224" t="s">
        <v>336</v>
      </c>
      <c r="BO140" s="98">
        <f>INDEX('Vessel Profiles - Input'!$G$5:$L$105,MATCH($D$140,'Vessel Profiles - Input'!$C$5:$C$105,0),MATCH(BO$9,'Vessel Profiles - Input'!$G$3:$L$3,0))</f>
        <v>3353.6585365853657</v>
      </c>
      <c r="BP140" s="98">
        <f>INDEX('Vessel Profiles - Input'!$G$5:$L$105,MATCH($D$140,'Vessel Profiles - Input'!$C$5:$C$105,0),MATCH(BP$9,'Vessel Profiles - Input'!$G$3:$L$3,0))</f>
        <v>3353.6585365853657</v>
      </c>
      <c r="BQ140" s="98">
        <f>INDEX('Vessel Profiles - Input'!$G$5:$L$105,MATCH($D$140,'Vessel Profiles - Input'!$C$5:$C$105,0),MATCH(BQ$9,'Vessel Profiles - Input'!$G$3:$L$3,0))</f>
        <v>3353.6585365853657</v>
      </c>
      <c r="BR140" s="98">
        <f>INDEX('Vessel Profiles - Input'!$G$5:$L$105,MATCH($D$140,'Vessel Profiles - Input'!$C$5:$C$105,0),MATCH(BR$9,'Vessel Profiles - Input'!$G$3:$L$3,0))</f>
        <v>3353.6585365853657</v>
      </c>
      <c r="BS140" s="98">
        <f>INDEX('Vessel Profiles - Input'!$G$5:$L$105,MATCH($D$140,'Vessel Profiles - Input'!$C$5:$C$105,0),MATCH(BS$9,'Vessel Profiles - Input'!$G$3:$L$3,0))</f>
        <v>3353.6585365853657</v>
      </c>
      <c r="BT140" s="98">
        <f>INDEX('Vessel Profiles - Input'!$G$5:$L$105,MATCH($D$140,'Vessel Profiles - Input'!$C$5:$C$105,0),MATCH(BT$9,'Vessel Profiles - Input'!$G$3:$L$3,0))</f>
        <v>3353.6585365853657</v>
      </c>
      <c r="BU140" s="98">
        <f>INDEX('Vessel Profiles - Input'!$G$5:$L$105,MATCH($D$140,'Vessel Profiles - Input'!$C$5:$C$105,0),MATCH(BU$9,'Vessel Profiles - Input'!$G$3:$L$3,0))</f>
        <v>3353.6585365853657</v>
      </c>
      <c r="BV140" s="98">
        <f>INDEX('Vessel Profiles - Input'!$G$5:$L$105,MATCH($D$140,'Vessel Profiles - Input'!$C$5:$C$105,0),MATCH(BV$9,'Vessel Profiles - Input'!$G$3:$L$3,0))</f>
        <v>3353.6585365853657</v>
      </c>
      <c r="BW140" s="98">
        <f>INDEX('Vessel Profiles - Input'!$G$5:$L$105,MATCH($D$140,'Vessel Profiles - Input'!$C$5:$C$105,0),MATCH(BW$9,'Vessel Profiles - Input'!$G$3:$L$3,0))</f>
        <v>3353.6585365853657</v>
      </c>
      <c r="BX140" s="98">
        <f>INDEX('Vessel Profiles - Input'!$G$5:$L$105,MATCH($D$140,'Vessel Profiles - Input'!$C$5:$C$105,0),MATCH(BX$9,'Vessel Profiles - Input'!$G$3:$L$3,0))</f>
        <v>3353.6585365853657</v>
      </c>
      <c r="BY140" s="98">
        <f>INDEX('Vessel Profiles - Input'!$G$5:$L$105,MATCH($D$140,'Vessel Profiles - Input'!$C$5:$C$105,0),MATCH(BY$9,'Vessel Profiles - Input'!$G$3:$L$3,0))</f>
        <v>3353.6585365853657</v>
      </c>
      <c r="BZ140" s="98">
        <f>INDEX('Vessel Profiles - Input'!$G$5:$L$105,MATCH($D$140,'Vessel Profiles - Input'!$C$5:$C$105,0),MATCH(BZ$9,'Vessel Profiles - Input'!$G$3:$L$3,0))</f>
        <v>3353.6585365853657</v>
      </c>
      <c r="CF140" s="12" t="str">
        <f>"Boiler - Power Requirement Average - "&amp;CI$10</f>
        <v>Boiler - Power Requirement Average - Medium</v>
      </c>
      <c r="CG140" s="224" t="s">
        <v>336</v>
      </c>
      <c r="CI140" s="98">
        <f>INDEX('Vessel Profiles - Input'!$G$5:$L$105,MATCH($D$140,'Vessel Profiles - Input'!$C$5:$C$105,0),MATCH(CI$9,'Vessel Profiles - Input'!$G$3:$L$3,0))</f>
        <v>3353.6585365853657</v>
      </c>
      <c r="CJ140" s="98">
        <f>INDEX('Vessel Profiles - Input'!$G$5:$L$105,MATCH($D$140,'Vessel Profiles - Input'!$C$5:$C$105,0),MATCH(CJ$9,'Vessel Profiles - Input'!$G$3:$L$3,0))</f>
        <v>3353.6585365853657</v>
      </c>
      <c r="CK140" s="98">
        <f>INDEX('Vessel Profiles - Input'!$G$5:$L$105,MATCH($D$140,'Vessel Profiles - Input'!$C$5:$C$105,0),MATCH(CK$9,'Vessel Profiles - Input'!$G$3:$L$3,0))</f>
        <v>3353.6585365853657</v>
      </c>
      <c r="CL140" s="98">
        <f>INDEX('Vessel Profiles - Input'!$G$5:$L$105,MATCH($D$140,'Vessel Profiles - Input'!$C$5:$C$105,0),MATCH(CL$9,'Vessel Profiles - Input'!$G$3:$L$3,0))</f>
        <v>3353.6585365853657</v>
      </c>
      <c r="CM140" s="98">
        <f>INDEX('Vessel Profiles - Input'!$G$5:$L$105,MATCH($D$140,'Vessel Profiles - Input'!$C$5:$C$105,0),MATCH(CM$9,'Vessel Profiles - Input'!$G$3:$L$3,0))</f>
        <v>3353.6585365853657</v>
      </c>
      <c r="CN140" s="98">
        <f>INDEX('Vessel Profiles - Input'!$G$5:$L$105,MATCH($D$140,'Vessel Profiles - Input'!$C$5:$C$105,0),MATCH(CN$9,'Vessel Profiles - Input'!$G$3:$L$3,0))</f>
        <v>3353.6585365853657</v>
      </c>
      <c r="CO140" s="98">
        <f>INDEX('Vessel Profiles - Input'!$G$5:$L$105,MATCH($D$140,'Vessel Profiles - Input'!$C$5:$C$105,0),MATCH(CO$9,'Vessel Profiles - Input'!$G$3:$L$3,0))</f>
        <v>3353.6585365853657</v>
      </c>
      <c r="CP140" s="98">
        <f>INDEX('Vessel Profiles - Input'!$G$5:$L$105,MATCH($D$140,'Vessel Profiles - Input'!$C$5:$C$105,0),MATCH(CP$9,'Vessel Profiles - Input'!$G$3:$L$3,0))</f>
        <v>3353.6585365853657</v>
      </c>
      <c r="CQ140" s="98">
        <f>INDEX('Vessel Profiles - Input'!$G$5:$L$105,MATCH($D$140,'Vessel Profiles - Input'!$C$5:$C$105,0),MATCH(CQ$9,'Vessel Profiles - Input'!$G$3:$L$3,0))</f>
        <v>3353.6585365853657</v>
      </c>
      <c r="CR140" s="98">
        <f>INDEX('Vessel Profiles - Input'!$G$5:$L$105,MATCH($D$140,'Vessel Profiles - Input'!$C$5:$C$105,0),MATCH(CR$9,'Vessel Profiles - Input'!$G$3:$L$3,0))</f>
        <v>3353.6585365853657</v>
      </c>
      <c r="CS140" s="98">
        <f>INDEX('Vessel Profiles - Input'!$G$5:$L$105,MATCH($D$140,'Vessel Profiles - Input'!$C$5:$C$105,0),MATCH(CS$9,'Vessel Profiles - Input'!$G$3:$L$3,0))</f>
        <v>3353.6585365853657</v>
      </c>
      <c r="CT140" s="98">
        <f>INDEX('Vessel Profiles - Input'!$G$5:$L$105,MATCH($D$140,'Vessel Profiles - Input'!$C$5:$C$105,0),MATCH(CT$9,'Vessel Profiles - Input'!$G$3:$L$3,0))</f>
        <v>3353.6585365853657</v>
      </c>
    </row>
    <row r="141" spans="3:100" outlineLevel="1" x14ac:dyDescent="0.2">
      <c r="C141" s="3"/>
      <c r="D141" s="58" t="s">
        <v>353</v>
      </c>
      <c r="E141" s="224" t="s">
        <v>331</v>
      </c>
      <c r="G141" s="52">
        <f t="shared" ref="G141:R141" ca="1" si="631">IFERROR(INDEX(tbl_TCO_input,MATCH(
_xlfn.TEXTJOIN(keydelim,TRUE,G$23,$D141),rows_TCO_ID,0),MATCH(G$6,cols_TCO_input,0)),0)</f>
        <v>1</v>
      </c>
      <c r="H141" s="52">
        <f t="shared" ca="1" si="631"/>
        <v>1</v>
      </c>
      <c r="I141" s="52">
        <f t="shared" ca="1" si="631"/>
        <v>1</v>
      </c>
      <c r="J141" s="52">
        <f t="shared" ca="1" si="631"/>
        <v>1</v>
      </c>
      <c r="K141" s="52">
        <f t="shared" ca="1" si="631"/>
        <v>1</v>
      </c>
      <c r="L141" s="52">
        <f t="shared" ca="1" si="631"/>
        <v>1</v>
      </c>
      <c r="M141" s="52">
        <f t="shared" ca="1" si="631"/>
        <v>1</v>
      </c>
      <c r="N141" s="52">
        <f t="shared" ca="1" si="631"/>
        <v>1</v>
      </c>
      <c r="O141" s="52">
        <f t="shared" ca="1" si="631"/>
        <v>1</v>
      </c>
      <c r="P141" s="52">
        <f t="shared" ca="1" si="631"/>
        <v>1</v>
      </c>
      <c r="Q141" s="52">
        <f t="shared" ca="1" si="631"/>
        <v>1</v>
      </c>
      <c r="R141" s="52">
        <f t="shared" ca="1" si="631"/>
        <v>1</v>
      </c>
      <c r="X141" s="58" t="s">
        <v>353</v>
      </c>
      <c r="Y141" s="224" t="s">
        <v>331</v>
      </c>
      <c r="AA141" s="52">
        <f t="shared" ref="AA141:AL141" ca="1" si="632">IFERROR(INDEX(tbl_TCO_input,MATCH(
_xlfn.TEXTJOIN(keydelim,TRUE,AA$23,$D141),rows_TCO_ID,0),MATCH(AA$6,cols_TCO_input,0)),0)</f>
        <v>1</v>
      </c>
      <c r="AB141" s="52">
        <f t="shared" ca="1" si="632"/>
        <v>1</v>
      </c>
      <c r="AC141" s="52">
        <f t="shared" ca="1" si="632"/>
        <v>1</v>
      </c>
      <c r="AD141" s="52">
        <f t="shared" ca="1" si="632"/>
        <v>1</v>
      </c>
      <c r="AE141" s="52">
        <f t="shared" ca="1" si="632"/>
        <v>1</v>
      </c>
      <c r="AF141" s="52">
        <f t="shared" ca="1" si="632"/>
        <v>1</v>
      </c>
      <c r="AG141" s="52">
        <f t="shared" ca="1" si="632"/>
        <v>1</v>
      </c>
      <c r="AH141" s="52">
        <f t="shared" ca="1" si="632"/>
        <v>1</v>
      </c>
      <c r="AI141" s="52">
        <f t="shared" ca="1" si="632"/>
        <v>1</v>
      </c>
      <c r="AJ141" s="52">
        <f t="shared" ca="1" si="632"/>
        <v>1</v>
      </c>
      <c r="AK141" s="52">
        <f t="shared" ca="1" si="632"/>
        <v>1</v>
      </c>
      <c r="AL141" s="52">
        <f t="shared" ca="1" si="632"/>
        <v>1</v>
      </c>
      <c r="AR141" s="58" t="s">
        <v>353</v>
      </c>
      <c r="AS141" s="224" t="s">
        <v>331</v>
      </c>
      <c r="AU141" s="52">
        <f t="shared" ref="AU141:BF141" ca="1" si="633">IFERROR(INDEX(tbl_TCO_input,MATCH(
_xlfn.TEXTJOIN(keydelim,TRUE,AU$23,$D141),rows_TCO_ID,0),MATCH(AU$6,cols_TCO_input,0)),0)</f>
        <v>1</v>
      </c>
      <c r="AV141" s="52">
        <f t="shared" ca="1" si="633"/>
        <v>1</v>
      </c>
      <c r="AW141" s="52">
        <f t="shared" ca="1" si="633"/>
        <v>1</v>
      </c>
      <c r="AX141" s="52">
        <f t="shared" ca="1" si="633"/>
        <v>1</v>
      </c>
      <c r="AY141" s="52">
        <f t="shared" ca="1" si="633"/>
        <v>1</v>
      </c>
      <c r="AZ141" s="52">
        <f t="shared" ca="1" si="633"/>
        <v>1</v>
      </c>
      <c r="BA141" s="52">
        <f t="shared" ca="1" si="633"/>
        <v>1</v>
      </c>
      <c r="BB141" s="52">
        <f t="shared" ca="1" si="633"/>
        <v>1</v>
      </c>
      <c r="BC141" s="52">
        <f t="shared" ca="1" si="633"/>
        <v>1</v>
      </c>
      <c r="BD141" s="52">
        <f t="shared" ca="1" si="633"/>
        <v>1</v>
      </c>
      <c r="BE141" s="52">
        <f t="shared" ca="1" si="633"/>
        <v>1</v>
      </c>
      <c r="BF141" s="52">
        <f t="shared" ca="1" si="633"/>
        <v>1</v>
      </c>
      <c r="BL141" s="58" t="s">
        <v>353</v>
      </c>
      <c r="BM141" s="224" t="s">
        <v>331</v>
      </c>
      <c r="BO141" s="52">
        <f t="shared" ref="BO141:BZ141" ca="1" si="634">IFERROR(INDEX(tbl_TCO_input,MATCH(
_xlfn.TEXTJOIN(keydelim,TRUE,BO$23,$D141),rows_TCO_ID,0),MATCH(BO$6,cols_TCO_input,0)),0)</f>
        <v>1</v>
      </c>
      <c r="BP141" s="52">
        <f t="shared" ca="1" si="634"/>
        <v>1</v>
      </c>
      <c r="BQ141" s="52">
        <f t="shared" ca="1" si="634"/>
        <v>1</v>
      </c>
      <c r="BR141" s="52">
        <f t="shared" ca="1" si="634"/>
        <v>1</v>
      </c>
      <c r="BS141" s="52">
        <f t="shared" ca="1" si="634"/>
        <v>1</v>
      </c>
      <c r="BT141" s="52">
        <f t="shared" ca="1" si="634"/>
        <v>1</v>
      </c>
      <c r="BU141" s="52">
        <f t="shared" ca="1" si="634"/>
        <v>1</v>
      </c>
      <c r="BV141" s="52">
        <f t="shared" ca="1" si="634"/>
        <v>1</v>
      </c>
      <c r="BW141" s="52">
        <f t="shared" ca="1" si="634"/>
        <v>1</v>
      </c>
      <c r="BX141" s="52">
        <f t="shared" ca="1" si="634"/>
        <v>1</v>
      </c>
      <c r="BY141" s="52">
        <f t="shared" ca="1" si="634"/>
        <v>1</v>
      </c>
      <c r="BZ141" s="52">
        <f t="shared" ca="1" si="634"/>
        <v>1</v>
      </c>
      <c r="CF141" s="58" t="s">
        <v>353</v>
      </c>
      <c r="CG141" s="224" t="s">
        <v>331</v>
      </c>
      <c r="CI141" s="52">
        <f t="shared" ref="CI141:CT141" ca="1" si="635">IFERROR(INDEX(tbl_TCO_input,MATCH(
_xlfn.TEXTJOIN(keydelim,TRUE,CI$23,$D141),rows_TCO_ID,0),MATCH(CI$6,cols_TCO_input,0)),0)</f>
        <v>1</v>
      </c>
      <c r="CJ141" s="52">
        <f t="shared" ca="1" si="635"/>
        <v>1</v>
      </c>
      <c r="CK141" s="52">
        <f t="shared" ca="1" si="635"/>
        <v>1</v>
      </c>
      <c r="CL141" s="52">
        <f t="shared" ca="1" si="635"/>
        <v>1</v>
      </c>
      <c r="CM141" s="52">
        <f t="shared" ca="1" si="635"/>
        <v>1</v>
      </c>
      <c r="CN141" s="52">
        <f t="shared" ca="1" si="635"/>
        <v>1</v>
      </c>
      <c r="CO141" s="52">
        <f t="shared" ca="1" si="635"/>
        <v>1</v>
      </c>
      <c r="CP141" s="52">
        <f t="shared" ca="1" si="635"/>
        <v>1</v>
      </c>
      <c r="CQ141" s="52">
        <f t="shared" ca="1" si="635"/>
        <v>1</v>
      </c>
      <c r="CR141" s="52">
        <f t="shared" ca="1" si="635"/>
        <v>1</v>
      </c>
      <c r="CS141" s="52">
        <f t="shared" ca="1" si="635"/>
        <v>1</v>
      </c>
      <c r="CT141" s="52">
        <f t="shared" ca="1" si="635"/>
        <v>1</v>
      </c>
    </row>
    <row r="142" spans="3:100" outlineLevel="1" x14ac:dyDescent="0.2">
      <c r="C142" s="3"/>
      <c r="D142" s="308" t="s">
        <v>354</v>
      </c>
      <c r="E142" s="224"/>
      <c r="G142" s="310">
        <f t="shared" ref="G142:R142" ca="1" si="636">G$220</f>
        <v>0</v>
      </c>
      <c r="H142" s="310">
        <f t="shared" ca="1" si="636"/>
        <v>0</v>
      </c>
      <c r="I142" s="310">
        <f t="shared" ca="1" si="636"/>
        <v>0</v>
      </c>
      <c r="J142" s="310">
        <f t="shared" ca="1" si="636"/>
        <v>0</v>
      </c>
      <c r="K142" s="310">
        <f t="shared" ca="1" si="636"/>
        <v>0</v>
      </c>
      <c r="L142" s="310">
        <f t="shared" ca="1" si="636"/>
        <v>0</v>
      </c>
      <c r="M142" s="310">
        <f t="shared" ca="1" si="636"/>
        <v>0</v>
      </c>
      <c r="N142" s="310">
        <f t="shared" ca="1" si="636"/>
        <v>0</v>
      </c>
      <c r="O142" s="310">
        <f t="shared" ca="1" si="636"/>
        <v>0</v>
      </c>
      <c r="P142" s="310">
        <f t="shared" ca="1" si="636"/>
        <v>0</v>
      </c>
      <c r="Q142" s="310">
        <f t="shared" ca="1" si="636"/>
        <v>0</v>
      </c>
      <c r="R142" s="310">
        <f t="shared" ca="1" si="636"/>
        <v>0</v>
      </c>
      <c r="X142" s="308" t="s">
        <v>354</v>
      </c>
      <c r="Y142" s="224"/>
      <c r="AA142" s="310">
        <f t="shared" ref="AA142:AL142" ca="1" si="637">AA$220</f>
        <v>0</v>
      </c>
      <c r="AB142" s="310">
        <f t="shared" ca="1" si="637"/>
        <v>0</v>
      </c>
      <c r="AC142" s="310">
        <f t="shared" ca="1" si="637"/>
        <v>0</v>
      </c>
      <c r="AD142" s="310">
        <f t="shared" ca="1" si="637"/>
        <v>0</v>
      </c>
      <c r="AE142" s="310">
        <f t="shared" ca="1" si="637"/>
        <v>0</v>
      </c>
      <c r="AF142" s="310">
        <f t="shared" ca="1" si="637"/>
        <v>0</v>
      </c>
      <c r="AG142" s="310">
        <f t="shared" ca="1" si="637"/>
        <v>0</v>
      </c>
      <c r="AH142" s="310">
        <f t="shared" ca="1" si="637"/>
        <v>0</v>
      </c>
      <c r="AI142" s="310">
        <f t="shared" ca="1" si="637"/>
        <v>0</v>
      </c>
      <c r="AJ142" s="310">
        <f t="shared" ca="1" si="637"/>
        <v>0</v>
      </c>
      <c r="AK142" s="310">
        <f t="shared" ca="1" si="637"/>
        <v>0</v>
      </c>
      <c r="AL142" s="310">
        <f t="shared" ca="1" si="637"/>
        <v>0</v>
      </c>
      <c r="AR142" s="308" t="s">
        <v>354</v>
      </c>
      <c r="AS142" s="224"/>
      <c r="AU142" s="310">
        <f t="shared" ref="AU142:BF142" ca="1" si="638">AU$220</f>
        <v>0</v>
      </c>
      <c r="AV142" s="310">
        <f t="shared" ca="1" si="638"/>
        <v>0</v>
      </c>
      <c r="AW142" s="310">
        <f t="shared" ca="1" si="638"/>
        <v>0</v>
      </c>
      <c r="AX142" s="310">
        <f t="shared" ca="1" si="638"/>
        <v>0</v>
      </c>
      <c r="AY142" s="310">
        <f t="shared" ca="1" si="638"/>
        <v>0</v>
      </c>
      <c r="AZ142" s="310">
        <f t="shared" ca="1" si="638"/>
        <v>0</v>
      </c>
      <c r="BA142" s="310">
        <f t="shared" ca="1" si="638"/>
        <v>0</v>
      </c>
      <c r="BB142" s="310">
        <f t="shared" ca="1" si="638"/>
        <v>0</v>
      </c>
      <c r="BC142" s="310">
        <f t="shared" ca="1" si="638"/>
        <v>0</v>
      </c>
      <c r="BD142" s="310">
        <f t="shared" ca="1" si="638"/>
        <v>0</v>
      </c>
      <c r="BE142" s="310">
        <f t="shared" ca="1" si="638"/>
        <v>0</v>
      </c>
      <c r="BF142" s="310">
        <f t="shared" ca="1" si="638"/>
        <v>0</v>
      </c>
      <c r="BL142" s="308" t="s">
        <v>354</v>
      </c>
      <c r="BM142" s="224"/>
      <c r="BO142" s="310">
        <f t="shared" ref="BO142:BZ142" ca="1" si="639">BO$220</f>
        <v>0</v>
      </c>
      <c r="BP142" s="310">
        <f t="shared" ca="1" si="639"/>
        <v>0</v>
      </c>
      <c r="BQ142" s="310">
        <f t="shared" ca="1" si="639"/>
        <v>0</v>
      </c>
      <c r="BR142" s="310">
        <f t="shared" ca="1" si="639"/>
        <v>0</v>
      </c>
      <c r="BS142" s="310">
        <f t="shared" ca="1" si="639"/>
        <v>0</v>
      </c>
      <c r="BT142" s="310">
        <f t="shared" ca="1" si="639"/>
        <v>0</v>
      </c>
      <c r="BU142" s="310">
        <f t="shared" ca="1" si="639"/>
        <v>0</v>
      </c>
      <c r="BV142" s="310">
        <f t="shared" ca="1" si="639"/>
        <v>0</v>
      </c>
      <c r="BW142" s="310">
        <f t="shared" ca="1" si="639"/>
        <v>0</v>
      </c>
      <c r="BX142" s="310">
        <f t="shared" ca="1" si="639"/>
        <v>0</v>
      </c>
      <c r="BY142" s="310">
        <f t="shared" ca="1" si="639"/>
        <v>0</v>
      </c>
      <c r="BZ142" s="310">
        <f t="shared" ca="1" si="639"/>
        <v>0</v>
      </c>
      <c r="CF142" s="308" t="s">
        <v>354</v>
      </c>
      <c r="CG142" s="224"/>
      <c r="CI142" s="310">
        <f t="shared" ref="CI142:CT142" ca="1" si="640">CI$220</f>
        <v>0</v>
      </c>
      <c r="CJ142" s="310">
        <f t="shared" ca="1" si="640"/>
        <v>0</v>
      </c>
      <c r="CK142" s="310">
        <f t="shared" ca="1" si="640"/>
        <v>0</v>
      </c>
      <c r="CL142" s="310">
        <f t="shared" ca="1" si="640"/>
        <v>0</v>
      </c>
      <c r="CM142" s="310">
        <f t="shared" ca="1" si="640"/>
        <v>0</v>
      </c>
      <c r="CN142" s="310">
        <f t="shared" ca="1" si="640"/>
        <v>0</v>
      </c>
      <c r="CO142" s="310">
        <f t="shared" ca="1" si="640"/>
        <v>0</v>
      </c>
      <c r="CP142" s="310">
        <f t="shared" ca="1" si="640"/>
        <v>0</v>
      </c>
      <c r="CQ142" s="310">
        <f t="shared" ca="1" si="640"/>
        <v>0</v>
      </c>
      <c r="CR142" s="310">
        <f t="shared" ca="1" si="640"/>
        <v>0</v>
      </c>
      <c r="CS142" s="310">
        <f t="shared" ca="1" si="640"/>
        <v>0</v>
      </c>
      <c r="CT142" s="310">
        <f t="shared" ca="1" si="640"/>
        <v>0</v>
      </c>
    </row>
    <row r="143" spans="3:100" x14ac:dyDescent="0.2">
      <c r="C143" s="3"/>
      <c r="D143" s="58"/>
      <c r="E143" s="224"/>
      <c r="G143" s="52"/>
      <c r="H143" s="52"/>
      <c r="I143" s="52"/>
      <c r="J143" s="52"/>
      <c r="K143" s="52"/>
      <c r="L143" s="52"/>
      <c r="M143" s="52"/>
      <c r="N143" s="52"/>
      <c r="O143" s="52"/>
      <c r="P143" s="52"/>
      <c r="Q143" s="52"/>
      <c r="R143" s="52"/>
      <c r="X143" s="58"/>
      <c r="Y143" s="224"/>
      <c r="AA143" s="52"/>
      <c r="AB143" s="52"/>
      <c r="AC143" s="52"/>
      <c r="AD143" s="52"/>
      <c r="AE143" s="52"/>
      <c r="AF143" s="52"/>
      <c r="AG143" s="52"/>
      <c r="AH143" s="52"/>
      <c r="AI143" s="52"/>
      <c r="AJ143" s="52"/>
      <c r="AK143" s="52"/>
      <c r="AL143" s="52"/>
      <c r="AR143" s="58"/>
      <c r="AS143" s="224"/>
      <c r="AU143" s="52"/>
      <c r="AV143" s="52"/>
      <c r="AW143" s="52"/>
      <c r="AX143" s="52"/>
      <c r="AY143" s="52"/>
      <c r="AZ143" s="52"/>
      <c r="BA143" s="52"/>
      <c r="BB143" s="52"/>
      <c r="BC143" s="52"/>
      <c r="BD143" s="52"/>
      <c r="BE143" s="52"/>
      <c r="BF143" s="52"/>
      <c r="BL143" s="58"/>
      <c r="BM143" s="224"/>
      <c r="BO143" s="52"/>
      <c r="BP143" s="52"/>
      <c r="BQ143" s="52"/>
      <c r="BR143" s="52"/>
      <c r="BS143" s="52"/>
      <c r="BT143" s="52"/>
      <c r="BU143" s="52"/>
      <c r="BV143" s="52"/>
      <c r="BW143" s="52"/>
      <c r="BX143" s="52"/>
      <c r="BY143" s="52"/>
      <c r="BZ143" s="52"/>
      <c r="CF143" s="58"/>
      <c r="CG143" s="224"/>
      <c r="CI143" s="52"/>
      <c r="CJ143" s="52"/>
      <c r="CK143" s="52"/>
      <c r="CL143" s="52"/>
      <c r="CM143" s="52"/>
      <c r="CN143" s="52"/>
      <c r="CO143" s="52"/>
      <c r="CP143" s="52"/>
      <c r="CQ143" s="52"/>
      <c r="CR143" s="52"/>
      <c r="CS143" s="52"/>
      <c r="CT143" s="52"/>
    </row>
    <row r="144" spans="3:100" s="280" customFormat="1" x14ac:dyDescent="0.2">
      <c r="C144" s="294" t="s">
        <v>231</v>
      </c>
      <c r="D144" s="294" t="s">
        <v>355</v>
      </c>
      <c r="E144" s="295" t="s">
        <v>211</v>
      </c>
      <c r="F144" s="295"/>
      <c r="G144" s="311">
        <f ca="1">G145+G149+G152+G155</f>
        <v>1820272.4705882352</v>
      </c>
      <c r="H144" s="311">
        <f t="shared" ref="H144:R144" ca="1" si="641">H145+H149+H152+H155</f>
        <v>1820272.4705882352</v>
      </c>
      <c r="I144" s="311">
        <f t="shared" ca="1" si="641"/>
        <v>1820272.4705882352</v>
      </c>
      <c r="J144" s="311">
        <f t="shared" ca="1" si="641"/>
        <v>1820272.4705882352</v>
      </c>
      <c r="K144" s="311">
        <f t="shared" ca="1" si="641"/>
        <v>1820272.4705882352</v>
      </c>
      <c r="L144" s="311">
        <f t="shared" ca="1" si="641"/>
        <v>1820272.4705882352</v>
      </c>
      <c r="M144" s="311">
        <f t="shared" ca="1" si="641"/>
        <v>1820272.4705882352</v>
      </c>
      <c r="N144" s="311">
        <f t="shared" ca="1" si="641"/>
        <v>1820272.4705882352</v>
      </c>
      <c r="O144" s="311">
        <f t="shared" ca="1" si="641"/>
        <v>1820272.4705882352</v>
      </c>
      <c r="P144" s="311">
        <f t="shared" ca="1" si="641"/>
        <v>1820272.4705882352</v>
      </c>
      <c r="Q144" s="311">
        <f t="shared" ca="1" si="641"/>
        <v>1820272.4705882352</v>
      </c>
      <c r="R144" s="311">
        <f t="shared" ca="1" si="641"/>
        <v>1820272.4705882352</v>
      </c>
      <c r="X144" s="297" t="s">
        <v>355</v>
      </c>
      <c r="Y144" s="295" t="s">
        <v>211</v>
      </c>
      <c r="Z144" s="295"/>
      <c r="AA144" s="311">
        <f ca="1">AA145+AA149+AA152+AA155</f>
        <v>1900422.4705882352</v>
      </c>
      <c r="AB144" s="311">
        <f t="shared" ref="AB144:AL144" ca="1" si="642">AB145+AB149+AB152+AB155</f>
        <v>1900422.4705882352</v>
      </c>
      <c r="AC144" s="311">
        <f t="shared" ca="1" si="642"/>
        <v>1900422.4705882352</v>
      </c>
      <c r="AD144" s="311">
        <f t="shared" ca="1" si="642"/>
        <v>1900422.4705882352</v>
      </c>
      <c r="AE144" s="311">
        <f t="shared" ca="1" si="642"/>
        <v>1900422.4705882352</v>
      </c>
      <c r="AF144" s="311">
        <f t="shared" ca="1" si="642"/>
        <v>1900422.4705882352</v>
      </c>
      <c r="AG144" s="311">
        <f t="shared" ca="1" si="642"/>
        <v>1900422.4705882352</v>
      </c>
      <c r="AH144" s="311">
        <f t="shared" ca="1" si="642"/>
        <v>1900422.4705882352</v>
      </c>
      <c r="AI144" s="311">
        <f t="shared" ca="1" si="642"/>
        <v>1900422.4705882352</v>
      </c>
      <c r="AJ144" s="311">
        <f t="shared" ca="1" si="642"/>
        <v>1900422.4705882352</v>
      </c>
      <c r="AK144" s="311">
        <f t="shared" ca="1" si="642"/>
        <v>1900422.4705882352</v>
      </c>
      <c r="AL144" s="311">
        <f t="shared" ca="1" si="642"/>
        <v>1900422.4705882352</v>
      </c>
      <c r="AR144" s="297" t="s">
        <v>355</v>
      </c>
      <c r="AS144" s="295" t="s">
        <v>211</v>
      </c>
      <c r="AT144" s="295"/>
      <c r="AU144" s="311">
        <f ca="1">AU145+AU149+AU152+AU155</f>
        <v>2025660.8705882351</v>
      </c>
      <c r="AV144" s="311">
        <f t="shared" ref="AV144:BF144" ca="1" si="643">AV145+AV149+AV152+AV155</f>
        <v>2025660.8705882351</v>
      </c>
      <c r="AW144" s="311">
        <f t="shared" ca="1" si="643"/>
        <v>2025660.8705882351</v>
      </c>
      <c r="AX144" s="311">
        <f t="shared" ca="1" si="643"/>
        <v>2025660.8705882351</v>
      </c>
      <c r="AY144" s="311">
        <f t="shared" ca="1" si="643"/>
        <v>2025660.8705882351</v>
      </c>
      <c r="AZ144" s="311">
        <f t="shared" ca="1" si="643"/>
        <v>2025660.8705882351</v>
      </c>
      <c r="BA144" s="311">
        <f t="shared" ca="1" si="643"/>
        <v>2025660.8705882351</v>
      </c>
      <c r="BB144" s="311">
        <f t="shared" ca="1" si="643"/>
        <v>2025660.8705882351</v>
      </c>
      <c r="BC144" s="311">
        <f t="shared" ca="1" si="643"/>
        <v>2025660.8705882351</v>
      </c>
      <c r="BD144" s="311">
        <f t="shared" ca="1" si="643"/>
        <v>2025660.8705882351</v>
      </c>
      <c r="BE144" s="311">
        <f t="shared" ca="1" si="643"/>
        <v>2025660.8705882351</v>
      </c>
      <c r="BF144" s="311">
        <f t="shared" ca="1" si="643"/>
        <v>2025660.8705882351</v>
      </c>
      <c r="BG144" s="4"/>
      <c r="BH144" s="4"/>
      <c r="BL144" s="297" t="s">
        <v>355</v>
      </c>
      <c r="BM144" s="295" t="s">
        <v>211</v>
      </c>
      <c r="BN144" s="295"/>
      <c r="BO144" s="311">
        <f ca="1">BO145+BO149+BO152+BO155</f>
        <v>2025660.8705882351</v>
      </c>
      <c r="BP144" s="311">
        <f t="shared" ref="BP144:BZ144" ca="1" si="644">BP145+BP149+BP152+BP155</f>
        <v>2025660.8705882351</v>
      </c>
      <c r="BQ144" s="311">
        <f t="shared" ca="1" si="644"/>
        <v>2025660.8705882351</v>
      </c>
      <c r="BR144" s="311">
        <f t="shared" ca="1" si="644"/>
        <v>2025660.8705882351</v>
      </c>
      <c r="BS144" s="311">
        <f t="shared" ca="1" si="644"/>
        <v>2025660.8705882351</v>
      </c>
      <c r="BT144" s="311">
        <f t="shared" ca="1" si="644"/>
        <v>2025660.8705882351</v>
      </c>
      <c r="BU144" s="311">
        <f t="shared" ca="1" si="644"/>
        <v>2025660.8705882351</v>
      </c>
      <c r="BV144" s="311">
        <f t="shared" ca="1" si="644"/>
        <v>2025660.8705882351</v>
      </c>
      <c r="BW144" s="311">
        <f t="shared" ca="1" si="644"/>
        <v>2025660.8705882351</v>
      </c>
      <c r="BX144" s="311">
        <f t="shared" ca="1" si="644"/>
        <v>2025660.8705882351</v>
      </c>
      <c r="BY144" s="311">
        <f t="shared" ca="1" si="644"/>
        <v>2025660.8705882351</v>
      </c>
      <c r="BZ144" s="311">
        <f t="shared" ca="1" si="644"/>
        <v>2025660.8705882351</v>
      </c>
      <c r="CA144" s="4"/>
      <c r="CB144" s="4"/>
      <c r="CF144" s="297" t="s">
        <v>355</v>
      </c>
      <c r="CG144" s="295" t="s">
        <v>211</v>
      </c>
      <c r="CH144" s="295"/>
      <c r="CI144" s="311">
        <f ca="1">CI145+CI149+CI152+CI155</f>
        <v>1834022.4705882352</v>
      </c>
      <c r="CJ144" s="311">
        <f t="shared" ref="CJ144:CT144" ca="1" si="645">CJ145+CJ149+CJ152+CJ155</f>
        <v>1834022.4705882352</v>
      </c>
      <c r="CK144" s="311">
        <f t="shared" ca="1" si="645"/>
        <v>1834022.4705882352</v>
      </c>
      <c r="CL144" s="311">
        <f t="shared" ca="1" si="645"/>
        <v>1834022.4705882352</v>
      </c>
      <c r="CM144" s="311">
        <f t="shared" ca="1" si="645"/>
        <v>1834022.4705882352</v>
      </c>
      <c r="CN144" s="311">
        <f t="shared" ca="1" si="645"/>
        <v>1834022.4705882352</v>
      </c>
      <c r="CO144" s="311">
        <f t="shared" ca="1" si="645"/>
        <v>1834022.4705882352</v>
      </c>
      <c r="CP144" s="311">
        <f t="shared" ca="1" si="645"/>
        <v>1834022.4705882352</v>
      </c>
      <c r="CQ144" s="311">
        <f t="shared" ca="1" si="645"/>
        <v>1834022.4705882352</v>
      </c>
      <c r="CR144" s="311">
        <f t="shared" ca="1" si="645"/>
        <v>1834022.4705882352</v>
      </c>
      <c r="CS144" s="311">
        <f t="shared" ca="1" si="645"/>
        <v>1834022.4705882352</v>
      </c>
      <c r="CT144" s="311">
        <f t="shared" ca="1" si="645"/>
        <v>1834022.4705882352</v>
      </c>
      <c r="CU144" s="4"/>
      <c r="CV144" s="4"/>
    </row>
    <row r="145" spans="2:100" s="266" customFormat="1" outlineLevel="1" x14ac:dyDescent="0.2">
      <c r="C145" s="316"/>
      <c r="D145" s="316" t="s">
        <v>232</v>
      </c>
      <c r="E145" s="282" t="s">
        <v>211</v>
      </c>
      <c r="F145" s="282"/>
      <c r="G145" s="289">
        <f ca="1">(G146+G148)*G147</f>
        <v>1389176.4705882352</v>
      </c>
      <c r="H145" s="289">
        <f t="shared" ref="H145:R145" ca="1" si="646">(H146+H148)*H147</f>
        <v>1389176.4705882352</v>
      </c>
      <c r="I145" s="289">
        <f t="shared" ca="1" si="646"/>
        <v>1389176.4705882352</v>
      </c>
      <c r="J145" s="289">
        <f t="shared" ca="1" si="646"/>
        <v>1389176.4705882352</v>
      </c>
      <c r="K145" s="289">
        <f t="shared" ca="1" si="646"/>
        <v>1389176.4705882352</v>
      </c>
      <c r="L145" s="289">
        <f t="shared" ca="1" si="646"/>
        <v>1389176.4705882352</v>
      </c>
      <c r="M145" s="289">
        <f t="shared" ca="1" si="646"/>
        <v>1389176.4705882352</v>
      </c>
      <c r="N145" s="289">
        <f t="shared" ca="1" si="646"/>
        <v>1389176.4705882352</v>
      </c>
      <c r="O145" s="289">
        <f t="shared" ca="1" si="646"/>
        <v>1389176.4705882352</v>
      </c>
      <c r="P145" s="289">
        <f t="shared" ca="1" si="646"/>
        <v>1389176.4705882352</v>
      </c>
      <c r="Q145" s="289">
        <f t="shared" ca="1" si="646"/>
        <v>1389176.4705882352</v>
      </c>
      <c r="R145" s="289">
        <f t="shared" ca="1" si="646"/>
        <v>1389176.4705882352</v>
      </c>
      <c r="X145" s="285" t="s">
        <v>232</v>
      </c>
      <c r="Y145" s="282" t="s">
        <v>211</v>
      </c>
      <c r="Z145" s="282"/>
      <c r="AA145" s="289">
        <f ca="1">(AA146+AA148)*AA147</f>
        <v>1389176.4705882352</v>
      </c>
      <c r="AB145" s="289">
        <f t="shared" ref="AB145:AL145" ca="1" si="647">(AB146+AB148)*AB147</f>
        <v>1389176.4705882352</v>
      </c>
      <c r="AC145" s="289">
        <f t="shared" ca="1" si="647"/>
        <v>1389176.4705882352</v>
      </c>
      <c r="AD145" s="289">
        <f t="shared" ca="1" si="647"/>
        <v>1389176.4705882352</v>
      </c>
      <c r="AE145" s="289">
        <f t="shared" ca="1" si="647"/>
        <v>1389176.4705882352</v>
      </c>
      <c r="AF145" s="289">
        <f t="shared" ca="1" si="647"/>
        <v>1389176.4705882352</v>
      </c>
      <c r="AG145" s="289">
        <f t="shared" ca="1" si="647"/>
        <v>1389176.4705882352</v>
      </c>
      <c r="AH145" s="289">
        <f t="shared" ca="1" si="647"/>
        <v>1389176.4705882352</v>
      </c>
      <c r="AI145" s="289">
        <f t="shared" ca="1" si="647"/>
        <v>1389176.4705882352</v>
      </c>
      <c r="AJ145" s="289">
        <f t="shared" ca="1" si="647"/>
        <v>1389176.4705882352</v>
      </c>
      <c r="AK145" s="289">
        <f t="shared" ca="1" si="647"/>
        <v>1389176.4705882352</v>
      </c>
      <c r="AL145" s="289">
        <f t="shared" ca="1" si="647"/>
        <v>1389176.4705882352</v>
      </c>
      <c r="AR145" s="285" t="s">
        <v>232</v>
      </c>
      <c r="AS145" s="282" t="s">
        <v>211</v>
      </c>
      <c r="AT145" s="282"/>
      <c r="AU145" s="289">
        <f ca="1">(AU146+AU148)*AU147</f>
        <v>1389176.4705882352</v>
      </c>
      <c r="AV145" s="289">
        <f t="shared" ref="AV145:BF145" ca="1" si="648">(AV146+AV148)*AV147</f>
        <v>1389176.4705882352</v>
      </c>
      <c r="AW145" s="289">
        <f t="shared" ca="1" si="648"/>
        <v>1389176.4705882352</v>
      </c>
      <c r="AX145" s="289">
        <f t="shared" ca="1" si="648"/>
        <v>1389176.4705882352</v>
      </c>
      <c r="AY145" s="289">
        <f t="shared" ca="1" si="648"/>
        <v>1389176.4705882352</v>
      </c>
      <c r="AZ145" s="289">
        <f t="shared" ca="1" si="648"/>
        <v>1389176.4705882352</v>
      </c>
      <c r="BA145" s="289">
        <f t="shared" ca="1" si="648"/>
        <v>1389176.4705882352</v>
      </c>
      <c r="BB145" s="289">
        <f t="shared" ca="1" si="648"/>
        <v>1389176.4705882352</v>
      </c>
      <c r="BC145" s="289">
        <f t="shared" ca="1" si="648"/>
        <v>1389176.4705882352</v>
      </c>
      <c r="BD145" s="289">
        <f t="shared" ca="1" si="648"/>
        <v>1389176.4705882352</v>
      </c>
      <c r="BE145" s="289">
        <f t="shared" ca="1" si="648"/>
        <v>1389176.4705882352</v>
      </c>
      <c r="BF145" s="289">
        <f t="shared" ca="1" si="648"/>
        <v>1389176.4705882352</v>
      </c>
      <c r="BG145"/>
      <c r="BH145"/>
      <c r="BL145" s="285" t="s">
        <v>232</v>
      </c>
      <c r="BM145" s="282" t="s">
        <v>211</v>
      </c>
      <c r="BN145" s="282"/>
      <c r="BO145" s="289">
        <f ca="1">(BO146+BO148)*BO147</f>
        <v>1389176.4705882352</v>
      </c>
      <c r="BP145" s="289">
        <f t="shared" ref="BP145:BZ145" ca="1" si="649">(BP146+BP148)*BP147</f>
        <v>1389176.4705882352</v>
      </c>
      <c r="BQ145" s="289">
        <f t="shared" ca="1" si="649"/>
        <v>1389176.4705882352</v>
      </c>
      <c r="BR145" s="289">
        <f t="shared" ca="1" si="649"/>
        <v>1389176.4705882352</v>
      </c>
      <c r="BS145" s="289">
        <f t="shared" ca="1" si="649"/>
        <v>1389176.4705882352</v>
      </c>
      <c r="BT145" s="289">
        <f t="shared" ca="1" si="649"/>
        <v>1389176.4705882352</v>
      </c>
      <c r="BU145" s="289">
        <f t="shared" ca="1" si="649"/>
        <v>1389176.4705882352</v>
      </c>
      <c r="BV145" s="289">
        <f t="shared" ca="1" si="649"/>
        <v>1389176.4705882352</v>
      </c>
      <c r="BW145" s="289">
        <f t="shared" ca="1" si="649"/>
        <v>1389176.4705882352</v>
      </c>
      <c r="BX145" s="289">
        <f t="shared" ca="1" si="649"/>
        <v>1389176.4705882352</v>
      </c>
      <c r="BY145" s="289">
        <f t="shared" ca="1" si="649"/>
        <v>1389176.4705882352</v>
      </c>
      <c r="BZ145" s="289">
        <f t="shared" ca="1" si="649"/>
        <v>1389176.4705882352</v>
      </c>
      <c r="CA145"/>
      <c r="CB145"/>
      <c r="CF145" s="285" t="s">
        <v>232</v>
      </c>
      <c r="CG145" s="282" t="s">
        <v>211</v>
      </c>
      <c r="CH145" s="282"/>
      <c r="CI145" s="289">
        <f ca="1">(CI146+CI148)*CI147</f>
        <v>1389176.4705882352</v>
      </c>
      <c r="CJ145" s="289">
        <f t="shared" ref="CJ145:CT145" ca="1" si="650">(CJ146+CJ148)*CJ147</f>
        <v>1389176.4705882352</v>
      </c>
      <c r="CK145" s="289">
        <f t="shared" ca="1" si="650"/>
        <v>1389176.4705882352</v>
      </c>
      <c r="CL145" s="289">
        <f t="shared" ca="1" si="650"/>
        <v>1389176.4705882352</v>
      </c>
      <c r="CM145" s="289">
        <f t="shared" ca="1" si="650"/>
        <v>1389176.4705882352</v>
      </c>
      <c r="CN145" s="289">
        <f t="shared" ca="1" si="650"/>
        <v>1389176.4705882352</v>
      </c>
      <c r="CO145" s="289">
        <f t="shared" ca="1" si="650"/>
        <v>1389176.4705882352</v>
      </c>
      <c r="CP145" s="289">
        <f t="shared" ca="1" si="650"/>
        <v>1389176.4705882352</v>
      </c>
      <c r="CQ145" s="289">
        <f t="shared" ca="1" si="650"/>
        <v>1389176.4705882352</v>
      </c>
      <c r="CR145" s="289">
        <f t="shared" ca="1" si="650"/>
        <v>1389176.4705882352</v>
      </c>
      <c r="CS145" s="289">
        <f t="shared" ca="1" si="650"/>
        <v>1389176.4705882352</v>
      </c>
      <c r="CT145" s="289">
        <f t="shared" ca="1" si="650"/>
        <v>1389176.4705882352</v>
      </c>
      <c r="CU145"/>
      <c r="CV145"/>
    </row>
    <row r="146" spans="2:100" outlineLevel="1" x14ac:dyDescent="0.2">
      <c r="C146" s="48"/>
      <c r="D146" s="3" t="s">
        <v>356</v>
      </c>
      <c r="E146" s="224" t="s">
        <v>196</v>
      </c>
      <c r="G146" s="52">
        <f t="shared" ref="G146:R146" ca="1" si="651">INDEX(tbl_TCO_input,MATCH(
_xlfn.TEXTJOIN(keydelim,TRUE,G$14,$D146),rows_TCO_ID,0),MATCH(G$6,cols_TCO_input,0))</f>
        <v>6</v>
      </c>
      <c r="H146" s="52">
        <f t="shared" ca="1" si="651"/>
        <v>6</v>
      </c>
      <c r="I146" s="52">
        <f t="shared" ca="1" si="651"/>
        <v>6</v>
      </c>
      <c r="J146" s="52">
        <f t="shared" ca="1" si="651"/>
        <v>6</v>
      </c>
      <c r="K146" s="52">
        <f t="shared" ca="1" si="651"/>
        <v>6</v>
      </c>
      <c r="L146" s="52">
        <f t="shared" ca="1" si="651"/>
        <v>6</v>
      </c>
      <c r="M146" s="52">
        <f t="shared" ca="1" si="651"/>
        <v>6</v>
      </c>
      <c r="N146" s="52">
        <f t="shared" ca="1" si="651"/>
        <v>6</v>
      </c>
      <c r="O146" s="52">
        <f t="shared" ca="1" si="651"/>
        <v>6</v>
      </c>
      <c r="P146" s="52">
        <f t="shared" ca="1" si="651"/>
        <v>6</v>
      </c>
      <c r="Q146" s="52">
        <f t="shared" ca="1" si="651"/>
        <v>6</v>
      </c>
      <c r="R146" s="52">
        <f t="shared" ca="1" si="651"/>
        <v>6</v>
      </c>
      <c r="X146" s="12" t="s">
        <v>356</v>
      </c>
      <c r="Y146" s="224" t="s">
        <v>196</v>
      </c>
      <c r="AA146" s="52">
        <f t="shared" ref="AA146:AL146" ca="1" si="652">INDEX(tbl_TCO_input,MATCH(
_xlfn.TEXTJOIN(keydelim,TRUE,AA$14,$D146),rows_TCO_ID,0),MATCH(AA$6,cols_TCO_input,0))</f>
        <v>6</v>
      </c>
      <c r="AB146" s="52">
        <f t="shared" ca="1" si="652"/>
        <v>6</v>
      </c>
      <c r="AC146" s="52">
        <f t="shared" ca="1" si="652"/>
        <v>6</v>
      </c>
      <c r="AD146" s="52">
        <f t="shared" ca="1" si="652"/>
        <v>6</v>
      </c>
      <c r="AE146" s="52">
        <f t="shared" ca="1" si="652"/>
        <v>6</v>
      </c>
      <c r="AF146" s="52">
        <f t="shared" ca="1" si="652"/>
        <v>6</v>
      </c>
      <c r="AG146" s="52">
        <f t="shared" ca="1" si="652"/>
        <v>6</v>
      </c>
      <c r="AH146" s="52">
        <f t="shared" ca="1" si="652"/>
        <v>6</v>
      </c>
      <c r="AI146" s="52">
        <f t="shared" ca="1" si="652"/>
        <v>6</v>
      </c>
      <c r="AJ146" s="52">
        <f t="shared" ca="1" si="652"/>
        <v>6</v>
      </c>
      <c r="AK146" s="52">
        <f t="shared" ca="1" si="652"/>
        <v>6</v>
      </c>
      <c r="AL146" s="52">
        <f t="shared" ca="1" si="652"/>
        <v>6</v>
      </c>
      <c r="AR146" s="12" t="s">
        <v>356</v>
      </c>
      <c r="AS146" s="224" t="s">
        <v>196</v>
      </c>
      <c r="AU146" s="52">
        <f t="shared" ref="AU146:BF146" ca="1" si="653">INDEX(tbl_TCO_input,MATCH(
_xlfn.TEXTJOIN(keydelim,TRUE,AU$14,$D146),rows_TCO_ID,0),MATCH(AU$6,cols_TCO_input,0))</f>
        <v>6</v>
      </c>
      <c r="AV146" s="52">
        <f t="shared" ca="1" si="653"/>
        <v>6</v>
      </c>
      <c r="AW146" s="52">
        <f t="shared" ca="1" si="653"/>
        <v>6</v>
      </c>
      <c r="AX146" s="52">
        <f t="shared" ca="1" si="653"/>
        <v>6</v>
      </c>
      <c r="AY146" s="52">
        <f t="shared" ca="1" si="653"/>
        <v>6</v>
      </c>
      <c r="AZ146" s="52">
        <f t="shared" ca="1" si="653"/>
        <v>6</v>
      </c>
      <c r="BA146" s="52">
        <f t="shared" ca="1" si="653"/>
        <v>6</v>
      </c>
      <c r="BB146" s="52">
        <f t="shared" ca="1" si="653"/>
        <v>6</v>
      </c>
      <c r="BC146" s="52">
        <f t="shared" ca="1" si="653"/>
        <v>6</v>
      </c>
      <c r="BD146" s="52">
        <f t="shared" ca="1" si="653"/>
        <v>6</v>
      </c>
      <c r="BE146" s="52">
        <f t="shared" ca="1" si="653"/>
        <v>6</v>
      </c>
      <c r="BF146" s="52">
        <f t="shared" ca="1" si="653"/>
        <v>6</v>
      </c>
      <c r="BL146" s="12" t="s">
        <v>356</v>
      </c>
      <c r="BM146" s="224" t="s">
        <v>196</v>
      </c>
      <c r="BO146" s="52">
        <f t="shared" ref="BO146:BZ146" ca="1" si="654">INDEX(tbl_TCO_input,MATCH(
_xlfn.TEXTJOIN(keydelim,TRUE,BO$14,$D146),rows_TCO_ID,0),MATCH(BO$6,cols_TCO_input,0))</f>
        <v>6</v>
      </c>
      <c r="BP146" s="52">
        <f t="shared" ca="1" si="654"/>
        <v>6</v>
      </c>
      <c r="BQ146" s="52">
        <f t="shared" ca="1" si="654"/>
        <v>6</v>
      </c>
      <c r="BR146" s="52">
        <f t="shared" ca="1" si="654"/>
        <v>6</v>
      </c>
      <c r="BS146" s="52">
        <f t="shared" ca="1" si="654"/>
        <v>6</v>
      </c>
      <c r="BT146" s="52">
        <f t="shared" ca="1" si="654"/>
        <v>6</v>
      </c>
      <c r="BU146" s="52">
        <f t="shared" ca="1" si="654"/>
        <v>6</v>
      </c>
      <c r="BV146" s="52">
        <f t="shared" ca="1" si="654"/>
        <v>6</v>
      </c>
      <c r="BW146" s="52">
        <f t="shared" ca="1" si="654"/>
        <v>6</v>
      </c>
      <c r="BX146" s="52">
        <f t="shared" ca="1" si="654"/>
        <v>6</v>
      </c>
      <c r="BY146" s="52">
        <f t="shared" ca="1" si="654"/>
        <v>6</v>
      </c>
      <c r="BZ146" s="52">
        <f t="shared" ca="1" si="654"/>
        <v>6</v>
      </c>
      <c r="CF146" s="12" t="s">
        <v>356</v>
      </c>
      <c r="CG146" s="224" t="s">
        <v>196</v>
      </c>
      <c r="CI146" s="52">
        <f t="shared" ref="CI146:CT146" ca="1" si="655">INDEX(tbl_TCO_input,MATCH(
_xlfn.TEXTJOIN(keydelim,TRUE,CI$14,$D146),rows_TCO_ID,0),MATCH(CI$6,cols_TCO_input,0))</f>
        <v>6</v>
      </c>
      <c r="CJ146" s="52">
        <f t="shared" ca="1" si="655"/>
        <v>6</v>
      </c>
      <c r="CK146" s="52">
        <f t="shared" ca="1" si="655"/>
        <v>6</v>
      </c>
      <c r="CL146" s="52">
        <f t="shared" ca="1" si="655"/>
        <v>6</v>
      </c>
      <c r="CM146" s="52">
        <f t="shared" ca="1" si="655"/>
        <v>6</v>
      </c>
      <c r="CN146" s="52">
        <f t="shared" ca="1" si="655"/>
        <v>6</v>
      </c>
      <c r="CO146" s="52">
        <f t="shared" ca="1" si="655"/>
        <v>6</v>
      </c>
      <c r="CP146" s="52">
        <f t="shared" ca="1" si="655"/>
        <v>6</v>
      </c>
      <c r="CQ146" s="52">
        <f t="shared" ca="1" si="655"/>
        <v>6</v>
      </c>
      <c r="CR146" s="52">
        <f t="shared" ca="1" si="655"/>
        <v>6</v>
      </c>
      <c r="CS146" s="52">
        <f t="shared" ca="1" si="655"/>
        <v>6</v>
      </c>
      <c r="CT146" s="52">
        <f t="shared" ca="1" si="655"/>
        <v>6</v>
      </c>
    </row>
    <row r="147" spans="2:100" outlineLevel="1" x14ac:dyDescent="0.2">
      <c r="C147" s="48"/>
      <c r="D147" s="3" t="s">
        <v>357</v>
      </c>
      <c r="E147" s="224" t="s">
        <v>336</v>
      </c>
      <c r="G147" s="22">
        <f t="shared" ref="G147:R147" ca="1" si="656">(G110+G114)/GJ_per_MWh</f>
        <v>231529.41176470587</v>
      </c>
      <c r="H147" s="22">
        <f t="shared" ca="1" si="656"/>
        <v>231529.41176470587</v>
      </c>
      <c r="I147" s="22">
        <f t="shared" ca="1" si="656"/>
        <v>231529.41176470587</v>
      </c>
      <c r="J147" s="22">
        <f t="shared" ca="1" si="656"/>
        <v>231529.41176470587</v>
      </c>
      <c r="K147" s="22">
        <f t="shared" ca="1" si="656"/>
        <v>231529.41176470587</v>
      </c>
      <c r="L147" s="22">
        <f t="shared" ca="1" si="656"/>
        <v>231529.41176470587</v>
      </c>
      <c r="M147" s="22">
        <f t="shared" ca="1" si="656"/>
        <v>231529.41176470587</v>
      </c>
      <c r="N147" s="22">
        <f t="shared" ca="1" si="656"/>
        <v>231529.41176470587</v>
      </c>
      <c r="O147" s="22">
        <f t="shared" ca="1" si="656"/>
        <v>231529.41176470587</v>
      </c>
      <c r="P147" s="22">
        <f t="shared" ca="1" si="656"/>
        <v>231529.41176470587</v>
      </c>
      <c r="Q147" s="22">
        <f t="shared" ca="1" si="656"/>
        <v>231529.41176470587</v>
      </c>
      <c r="R147" s="22">
        <f t="shared" ca="1" si="656"/>
        <v>231529.41176470587</v>
      </c>
      <c r="X147" s="12" t="s">
        <v>357</v>
      </c>
      <c r="Y147" s="224" t="s">
        <v>336</v>
      </c>
      <c r="AA147" s="22">
        <f t="shared" ref="AA147:AL147" ca="1" si="657">(AA110+AA114)/GJ_per_MWh</f>
        <v>231529.41176470587</v>
      </c>
      <c r="AB147" s="22">
        <f t="shared" ca="1" si="657"/>
        <v>231529.41176470587</v>
      </c>
      <c r="AC147" s="22">
        <f t="shared" ca="1" si="657"/>
        <v>231529.41176470587</v>
      </c>
      <c r="AD147" s="22">
        <f t="shared" ca="1" si="657"/>
        <v>231529.41176470587</v>
      </c>
      <c r="AE147" s="22">
        <f t="shared" ca="1" si="657"/>
        <v>231529.41176470587</v>
      </c>
      <c r="AF147" s="22">
        <f t="shared" ca="1" si="657"/>
        <v>231529.41176470587</v>
      </c>
      <c r="AG147" s="22">
        <f t="shared" ca="1" si="657"/>
        <v>231529.41176470587</v>
      </c>
      <c r="AH147" s="22">
        <f t="shared" ca="1" si="657"/>
        <v>231529.41176470587</v>
      </c>
      <c r="AI147" s="22">
        <f t="shared" ca="1" si="657"/>
        <v>231529.41176470587</v>
      </c>
      <c r="AJ147" s="22">
        <f t="shared" ca="1" si="657"/>
        <v>231529.41176470587</v>
      </c>
      <c r="AK147" s="22">
        <f t="shared" ca="1" si="657"/>
        <v>231529.41176470587</v>
      </c>
      <c r="AL147" s="22">
        <f t="shared" ca="1" si="657"/>
        <v>231529.41176470587</v>
      </c>
      <c r="AR147" s="12" t="s">
        <v>357</v>
      </c>
      <c r="AS147" s="224" t="s">
        <v>336</v>
      </c>
      <c r="AU147" s="22">
        <f t="shared" ref="AU147:BF147" ca="1" si="658">(AU110+AU114)/GJ_per_MWh</f>
        <v>231529.41176470587</v>
      </c>
      <c r="AV147" s="22">
        <f t="shared" ca="1" si="658"/>
        <v>231529.41176470587</v>
      </c>
      <c r="AW147" s="22">
        <f t="shared" ca="1" si="658"/>
        <v>231529.41176470587</v>
      </c>
      <c r="AX147" s="22">
        <f t="shared" ca="1" si="658"/>
        <v>231529.41176470587</v>
      </c>
      <c r="AY147" s="22">
        <f t="shared" ca="1" si="658"/>
        <v>231529.41176470587</v>
      </c>
      <c r="AZ147" s="22">
        <f t="shared" ca="1" si="658"/>
        <v>231529.41176470587</v>
      </c>
      <c r="BA147" s="22">
        <f t="shared" ca="1" si="658"/>
        <v>231529.41176470587</v>
      </c>
      <c r="BB147" s="22">
        <f t="shared" ca="1" si="658"/>
        <v>231529.41176470587</v>
      </c>
      <c r="BC147" s="22">
        <f t="shared" ca="1" si="658"/>
        <v>231529.41176470587</v>
      </c>
      <c r="BD147" s="22">
        <f t="shared" ca="1" si="658"/>
        <v>231529.41176470587</v>
      </c>
      <c r="BE147" s="22">
        <f t="shared" ca="1" si="658"/>
        <v>231529.41176470587</v>
      </c>
      <c r="BF147" s="22">
        <f t="shared" ca="1" si="658"/>
        <v>231529.41176470587</v>
      </c>
      <c r="BL147" s="12" t="s">
        <v>357</v>
      </c>
      <c r="BM147" s="224" t="s">
        <v>336</v>
      </c>
      <c r="BO147" s="22">
        <f t="shared" ref="BO147:BZ147" ca="1" si="659">(BO110+BO114)/GJ_per_MWh</f>
        <v>231529.41176470587</v>
      </c>
      <c r="BP147" s="22">
        <f t="shared" ca="1" si="659"/>
        <v>231529.41176470587</v>
      </c>
      <c r="BQ147" s="22">
        <f t="shared" ca="1" si="659"/>
        <v>231529.41176470587</v>
      </c>
      <c r="BR147" s="22">
        <f t="shared" ca="1" si="659"/>
        <v>231529.41176470587</v>
      </c>
      <c r="BS147" s="22">
        <f t="shared" ca="1" si="659"/>
        <v>231529.41176470587</v>
      </c>
      <c r="BT147" s="22">
        <f t="shared" ca="1" si="659"/>
        <v>231529.41176470587</v>
      </c>
      <c r="BU147" s="22">
        <f t="shared" ca="1" si="659"/>
        <v>231529.41176470587</v>
      </c>
      <c r="BV147" s="22">
        <f t="shared" ca="1" si="659"/>
        <v>231529.41176470587</v>
      </c>
      <c r="BW147" s="22">
        <f t="shared" ca="1" si="659"/>
        <v>231529.41176470587</v>
      </c>
      <c r="BX147" s="22">
        <f t="shared" ca="1" si="659"/>
        <v>231529.41176470587</v>
      </c>
      <c r="BY147" s="22">
        <f t="shared" ca="1" si="659"/>
        <v>231529.41176470587</v>
      </c>
      <c r="BZ147" s="22">
        <f t="shared" ca="1" si="659"/>
        <v>231529.41176470587</v>
      </c>
      <c r="CF147" s="12" t="s">
        <v>357</v>
      </c>
      <c r="CG147" s="224" t="s">
        <v>336</v>
      </c>
      <c r="CI147" s="22">
        <f t="shared" ref="CI147:CT147" ca="1" si="660">(CI110+CI114)/GJ_per_MWh</f>
        <v>231529.41176470587</v>
      </c>
      <c r="CJ147" s="22">
        <f t="shared" ca="1" si="660"/>
        <v>231529.41176470587</v>
      </c>
      <c r="CK147" s="22">
        <f t="shared" ca="1" si="660"/>
        <v>231529.41176470587</v>
      </c>
      <c r="CL147" s="22">
        <f t="shared" ca="1" si="660"/>
        <v>231529.41176470587</v>
      </c>
      <c r="CM147" s="22">
        <f t="shared" ca="1" si="660"/>
        <v>231529.41176470587</v>
      </c>
      <c r="CN147" s="22">
        <f t="shared" ca="1" si="660"/>
        <v>231529.41176470587</v>
      </c>
      <c r="CO147" s="22">
        <f t="shared" ca="1" si="660"/>
        <v>231529.41176470587</v>
      </c>
      <c r="CP147" s="22">
        <f t="shared" ca="1" si="660"/>
        <v>231529.41176470587</v>
      </c>
      <c r="CQ147" s="22">
        <f t="shared" ca="1" si="660"/>
        <v>231529.41176470587</v>
      </c>
      <c r="CR147" s="22">
        <f t="shared" ca="1" si="660"/>
        <v>231529.41176470587</v>
      </c>
      <c r="CS147" s="22">
        <f t="shared" ca="1" si="660"/>
        <v>231529.41176470587</v>
      </c>
      <c r="CT147" s="22">
        <f t="shared" ca="1" si="660"/>
        <v>231529.41176470587</v>
      </c>
    </row>
    <row r="148" spans="2:100" outlineLevel="1" x14ac:dyDescent="0.2">
      <c r="C148" s="48"/>
      <c r="D148" s="3" t="s">
        <v>358</v>
      </c>
      <c r="E148" s="224" t="s">
        <v>196</v>
      </c>
      <c r="G148" s="52">
        <f t="shared" ref="G148:R148" ca="1" si="661">IFERROR(INDEX(tbl_TCO_input,MATCH(G$14&amp;keydelim&amp;$D148,rows_TCO_ID,0),MATCH(G$6,cols_TCO_input,0)),0)</f>
        <v>0</v>
      </c>
      <c r="H148" s="52">
        <f t="shared" ca="1" si="661"/>
        <v>0</v>
      </c>
      <c r="I148" s="52">
        <f t="shared" ca="1" si="661"/>
        <v>0</v>
      </c>
      <c r="J148" s="52">
        <f t="shared" ca="1" si="661"/>
        <v>0</v>
      </c>
      <c r="K148" s="52">
        <f t="shared" ca="1" si="661"/>
        <v>0</v>
      </c>
      <c r="L148" s="52">
        <f t="shared" ca="1" si="661"/>
        <v>0</v>
      </c>
      <c r="M148" s="52">
        <f t="shared" ca="1" si="661"/>
        <v>0</v>
      </c>
      <c r="N148" s="52">
        <f t="shared" ca="1" si="661"/>
        <v>0</v>
      </c>
      <c r="O148" s="52">
        <f t="shared" ca="1" si="661"/>
        <v>0</v>
      </c>
      <c r="P148" s="52">
        <f t="shared" ca="1" si="661"/>
        <v>0</v>
      </c>
      <c r="Q148" s="52">
        <f t="shared" ca="1" si="661"/>
        <v>0</v>
      </c>
      <c r="R148" s="52">
        <f t="shared" ca="1" si="661"/>
        <v>0</v>
      </c>
      <c r="X148" s="12" t="s">
        <v>358</v>
      </c>
      <c r="Y148" s="224" t="s">
        <v>196</v>
      </c>
      <c r="AA148" s="52">
        <f t="shared" ref="AA148:AL148" ca="1" si="662">IFERROR(INDEX(tbl_TCO_input,MATCH(AA$14&amp;keydelim&amp;$D148,rows_TCO_ID,0),MATCH(AA$6,cols_TCO_input,0)),0)</f>
        <v>0</v>
      </c>
      <c r="AB148" s="52">
        <f t="shared" ca="1" si="662"/>
        <v>0</v>
      </c>
      <c r="AC148" s="52">
        <f t="shared" ca="1" si="662"/>
        <v>0</v>
      </c>
      <c r="AD148" s="52">
        <f t="shared" ca="1" si="662"/>
        <v>0</v>
      </c>
      <c r="AE148" s="52">
        <f t="shared" ca="1" si="662"/>
        <v>0</v>
      </c>
      <c r="AF148" s="52">
        <f t="shared" ca="1" si="662"/>
        <v>0</v>
      </c>
      <c r="AG148" s="52">
        <f t="shared" ca="1" si="662"/>
        <v>0</v>
      </c>
      <c r="AH148" s="52">
        <f t="shared" ca="1" si="662"/>
        <v>0</v>
      </c>
      <c r="AI148" s="52">
        <f t="shared" ca="1" si="662"/>
        <v>0</v>
      </c>
      <c r="AJ148" s="52">
        <f t="shared" ca="1" si="662"/>
        <v>0</v>
      </c>
      <c r="AK148" s="52">
        <f t="shared" ca="1" si="662"/>
        <v>0</v>
      </c>
      <c r="AL148" s="52">
        <f t="shared" ca="1" si="662"/>
        <v>0</v>
      </c>
      <c r="AR148" s="12" t="s">
        <v>358</v>
      </c>
      <c r="AS148" s="224" t="s">
        <v>196</v>
      </c>
      <c r="AU148" s="52">
        <f t="shared" ref="AU148:BF148" ca="1" si="663">IFERROR(INDEX(tbl_TCO_input,MATCH(AU$14&amp;keydelim&amp;$D148,rows_TCO_ID,0),MATCH(AU$6,cols_TCO_input,0)),0)</f>
        <v>0</v>
      </c>
      <c r="AV148" s="52">
        <f t="shared" ca="1" si="663"/>
        <v>0</v>
      </c>
      <c r="AW148" s="52">
        <f t="shared" ca="1" si="663"/>
        <v>0</v>
      </c>
      <c r="AX148" s="52">
        <f t="shared" ca="1" si="663"/>
        <v>0</v>
      </c>
      <c r="AY148" s="52">
        <f t="shared" ca="1" si="663"/>
        <v>0</v>
      </c>
      <c r="AZ148" s="52">
        <f t="shared" ca="1" si="663"/>
        <v>0</v>
      </c>
      <c r="BA148" s="52">
        <f t="shared" ca="1" si="663"/>
        <v>0</v>
      </c>
      <c r="BB148" s="52">
        <f t="shared" ca="1" si="663"/>
        <v>0</v>
      </c>
      <c r="BC148" s="52">
        <f t="shared" ca="1" si="663"/>
        <v>0</v>
      </c>
      <c r="BD148" s="52">
        <f t="shared" ca="1" si="663"/>
        <v>0</v>
      </c>
      <c r="BE148" s="52">
        <f t="shared" ca="1" si="663"/>
        <v>0</v>
      </c>
      <c r="BF148" s="52">
        <f t="shared" ca="1" si="663"/>
        <v>0</v>
      </c>
      <c r="BL148" s="12" t="s">
        <v>358</v>
      </c>
      <c r="BM148" s="224" t="s">
        <v>196</v>
      </c>
      <c r="BO148" s="52">
        <f t="shared" ref="BO148:BZ148" ca="1" si="664">IFERROR(INDEX(tbl_TCO_input,MATCH(BO$14&amp;keydelim&amp;$D148,rows_TCO_ID,0),MATCH(BO$6,cols_TCO_input,0)),0)</f>
        <v>0</v>
      </c>
      <c r="BP148" s="52">
        <f t="shared" ca="1" si="664"/>
        <v>0</v>
      </c>
      <c r="BQ148" s="52">
        <f t="shared" ca="1" si="664"/>
        <v>0</v>
      </c>
      <c r="BR148" s="52">
        <f t="shared" ca="1" si="664"/>
        <v>0</v>
      </c>
      <c r="BS148" s="52">
        <f t="shared" ca="1" si="664"/>
        <v>0</v>
      </c>
      <c r="BT148" s="52">
        <f t="shared" ca="1" si="664"/>
        <v>0</v>
      </c>
      <c r="BU148" s="52">
        <f t="shared" ca="1" si="664"/>
        <v>0</v>
      </c>
      <c r="BV148" s="52">
        <f t="shared" ca="1" si="664"/>
        <v>0</v>
      </c>
      <c r="BW148" s="52">
        <f t="shared" ca="1" si="664"/>
        <v>0</v>
      </c>
      <c r="BX148" s="52">
        <f t="shared" ca="1" si="664"/>
        <v>0</v>
      </c>
      <c r="BY148" s="52">
        <f t="shared" ca="1" si="664"/>
        <v>0</v>
      </c>
      <c r="BZ148" s="52">
        <f t="shared" ca="1" si="664"/>
        <v>0</v>
      </c>
      <c r="CF148" s="12" t="s">
        <v>358</v>
      </c>
      <c r="CG148" s="224" t="s">
        <v>196</v>
      </c>
      <c r="CI148" s="52">
        <f t="shared" ref="CI148:CT148" ca="1" si="665">IFERROR(INDEX(tbl_TCO_input,MATCH(CI$14&amp;keydelim&amp;$D148,rows_TCO_ID,0),MATCH(CI$6,cols_TCO_input,0)),0)</f>
        <v>0</v>
      </c>
      <c r="CJ148" s="52">
        <f t="shared" ca="1" si="665"/>
        <v>0</v>
      </c>
      <c r="CK148" s="52">
        <f t="shared" ca="1" si="665"/>
        <v>0</v>
      </c>
      <c r="CL148" s="52">
        <f t="shared" ca="1" si="665"/>
        <v>0</v>
      </c>
      <c r="CM148" s="52">
        <f t="shared" ca="1" si="665"/>
        <v>0</v>
      </c>
      <c r="CN148" s="52">
        <f t="shared" ca="1" si="665"/>
        <v>0</v>
      </c>
      <c r="CO148" s="52">
        <f t="shared" ca="1" si="665"/>
        <v>0</v>
      </c>
      <c r="CP148" s="52">
        <f t="shared" ca="1" si="665"/>
        <v>0</v>
      </c>
      <c r="CQ148" s="52">
        <f t="shared" ca="1" si="665"/>
        <v>0</v>
      </c>
      <c r="CR148" s="52">
        <f t="shared" ca="1" si="665"/>
        <v>0</v>
      </c>
      <c r="CS148" s="52">
        <f t="shared" ca="1" si="665"/>
        <v>0</v>
      </c>
      <c r="CT148" s="52">
        <f t="shared" ca="1" si="665"/>
        <v>0</v>
      </c>
    </row>
    <row r="149" spans="2:100" s="266" customFormat="1" outlineLevel="1" x14ac:dyDescent="0.2">
      <c r="C149" s="316"/>
      <c r="D149" s="316" t="s">
        <v>233</v>
      </c>
      <c r="E149" s="282" t="s">
        <v>211</v>
      </c>
      <c r="F149" s="282"/>
      <c r="G149" s="289">
        <f ca="1">G150*G151</f>
        <v>406596</v>
      </c>
      <c r="H149" s="289">
        <f t="shared" ref="H149:R149" ca="1" si="666">H150*H151</f>
        <v>406596</v>
      </c>
      <c r="I149" s="289">
        <f t="shared" ca="1" si="666"/>
        <v>406596</v>
      </c>
      <c r="J149" s="289">
        <f t="shared" ca="1" si="666"/>
        <v>406596</v>
      </c>
      <c r="K149" s="289">
        <f t="shared" ca="1" si="666"/>
        <v>406596</v>
      </c>
      <c r="L149" s="289">
        <f t="shared" ca="1" si="666"/>
        <v>406596</v>
      </c>
      <c r="M149" s="289">
        <f t="shared" ca="1" si="666"/>
        <v>406596</v>
      </c>
      <c r="N149" s="289">
        <f t="shared" ca="1" si="666"/>
        <v>406596</v>
      </c>
      <c r="O149" s="289">
        <f t="shared" ca="1" si="666"/>
        <v>406596</v>
      </c>
      <c r="P149" s="289">
        <f t="shared" ca="1" si="666"/>
        <v>406596</v>
      </c>
      <c r="Q149" s="289">
        <f t="shared" ca="1" si="666"/>
        <v>406596</v>
      </c>
      <c r="R149" s="289">
        <f t="shared" ca="1" si="666"/>
        <v>406596</v>
      </c>
      <c r="X149" s="285" t="s">
        <v>233</v>
      </c>
      <c r="Y149" s="282" t="s">
        <v>211</v>
      </c>
      <c r="Z149" s="282"/>
      <c r="AA149" s="289">
        <f ca="1">AA150*AA151</f>
        <v>406596</v>
      </c>
      <c r="AB149" s="289">
        <f t="shared" ref="AB149:AL149" ca="1" si="667">AB150*AB151</f>
        <v>406596</v>
      </c>
      <c r="AC149" s="289">
        <f t="shared" ca="1" si="667"/>
        <v>406596</v>
      </c>
      <c r="AD149" s="289">
        <f t="shared" ca="1" si="667"/>
        <v>406596</v>
      </c>
      <c r="AE149" s="289">
        <f t="shared" ca="1" si="667"/>
        <v>406596</v>
      </c>
      <c r="AF149" s="289">
        <f t="shared" ca="1" si="667"/>
        <v>406596</v>
      </c>
      <c r="AG149" s="289">
        <f t="shared" ca="1" si="667"/>
        <v>406596</v>
      </c>
      <c r="AH149" s="289">
        <f t="shared" ca="1" si="667"/>
        <v>406596</v>
      </c>
      <c r="AI149" s="289">
        <f t="shared" ca="1" si="667"/>
        <v>406596</v>
      </c>
      <c r="AJ149" s="289">
        <f t="shared" ca="1" si="667"/>
        <v>406596</v>
      </c>
      <c r="AK149" s="289">
        <f t="shared" ca="1" si="667"/>
        <v>406596</v>
      </c>
      <c r="AL149" s="289">
        <f t="shared" ca="1" si="667"/>
        <v>406596</v>
      </c>
      <c r="AR149" s="285" t="s">
        <v>233</v>
      </c>
      <c r="AS149" s="282" t="s">
        <v>211</v>
      </c>
      <c r="AT149" s="282"/>
      <c r="AU149" s="289">
        <f ca="1">AU150*AU151</f>
        <v>569234.4</v>
      </c>
      <c r="AV149" s="289">
        <f t="shared" ref="AV149:BF149" ca="1" si="668">AV150*AV151</f>
        <v>569234.4</v>
      </c>
      <c r="AW149" s="289">
        <f t="shared" ca="1" si="668"/>
        <v>569234.4</v>
      </c>
      <c r="AX149" s="289">
        <f t="shared" ca="1" si="668"/>
        <v>569234.4</v>
      </c>
      <c r="AY149" s="289">
        <f t="shared" ca="1" si="668"/>
        <v>569234.4</v>
      </c>
      <c r="AZ149" s="289">
        <f t="shared" ca="1" si="668"/>
        <v>569234.4</v>
      </c>
      <c r="BA149" s="289">
        <f t="shared" ca="1" si="668"/>
        <v>569234.4</v>
      </c>
      <c r="BB149" s="289">
        <f t="shared" ca="1" si="668"/>
        <v>569234.4</v>
      </c>
      <c r="BC149" s="289">
        <f t="shared" ca="1" si="668"/>
        <v>569234.4</v>
      </c>
      <c r="BD149" s="289">
        <f t="shared" ca="1" si="668"/>
        <v>569234.4</v>
      </c>
      <c r="BE149" s="289">
        <f t="shared" ca="1" si="668"/>
        <v>569234.4</v>
      </c>
      <c r="BF149" s="289">
        <f t="shared" ca="1" si="668"/>
        <v>569234.4</v>
      </c>
      <c r="BG149"/>
      <c r="BH149"/>
      <c r="BL149" s="285" t="s">
        <v>233</v>
      </c>
      <c r="BM149" s="282" t="s">
        <v>211</v>
      </c>
      <c r="BN149" s="282"/>
      <c r="BO149" s="289">
        <f ca="1">BO150*BO151</f>
        <v>569234.4</v>
      </c>
      <c r="BP149" s="289">
        <f t="shared" ref="BP149:BZ149" ca="1" si="669">BP150*BP151</f>
        <v>569234.4</v>
      </c>
      <c r="BQ149" s="289">
        <f t="shared" ca="1" si="669"/>
        <v>569234.4</v>
      </c>
      <c r="BR149" s="289">
        <f t="shared" ca="1" si="669"/>
        <v>569234.4</v>
      </c>
      <c r="BS149" s="289">
        <f t="shared" ca="1" si="669"/>
        <v>569234.4</v>
      </c>
      <c r="BT149" s="289">
        <f t="shared" ca="1" si="669"/>
        <v>569234.4</v>
      </c>
      <c r="BU149" s="289">
        <f t="shared" ca="1" si="669"/>
        <v>569234.4</v>
      </c>
      <c r="BV149" s="289">
        <f t="shared" ca="1" si="669"/>
        <v>569234.4</v>
      </c>
      <c r="BW149" s="289">
        <f t="shared" ca="1" si="669"/>
        <v>569234.4</v>
      </c>
      <c r="BX149" s="289">
        <f t="shared" ca="1" si="669"/>
        <v>569234.4</v>
      </c>
      <c r="BY149" s="289">
        <f t="shared" ca="1" si="669"/>
        <v>569234.4</v>
      </c>
      <c r="BZ149" s="289">
        <f t="shared" ca="1" si="669"/>
        <v>569234.4</v>
      </c>
      <c r="CA149"/>
      <c r="CB149"/>
      <c r="CF149" s="285" t="s">
        <v>233</v>
      </c>
      <c r="CG149" s="282" t="s">
        <v>211</v>
      </c>
      <c r="CH149" s="282"/>
      <c r="CI149" s="289">
        <f ca="1">CI150*CI151</f>
        <v>406596</v>
      </c>
      <c r="CJ149" s="289">
        <f t="shared" ref="CJ149:CT149" ca="1" si="670">CJ150*CJ151</f>
        <v>406596</v>
      </c>
      <c r="CK149" s="289">
        <f t="shared" ca="1" si="670"/>
        <v>406596</v>
      </c>
      <c r="CL149" s="289">
        <f t="shared" ca="1" si="670"/>
        <v>406596</v>
      </c>
      <c r="CM149" s="289">
        <f t="shared" ca="1" si="670"/>
        <v>406596</v>
      </c>
      <c r="CN149" s="289">
        <f t="shared" ca="1" si="670"/>
        <v>406596</v>
      </c>
      <c r="CO149" s="289">
        <f t="shared" ca="1" si="670"/>
        <v>406596</v>
      </c>
      <c r="CP149" s="289">
        <f t="shared" ca="1" si="670"/>
        <v>406596</v>
      </c>
      <c r="CQ149" s="289">
        <f t="shared" ca="1" si="670"/>
        <v>406596</v>
      </c>
      <c r="CR149" s="289">
        <f t="shared" ca="1" si="670"/>
        <v>406596</v>
      </c>
      <c r="CS149" s="289">
        <f t="shared" ca="1" si="670"/>
        <v>406596</v>
      </c>
      <c r="CT149" s="289">
        <f t="shared" ca="1" si="670"/>
        <v>406596</v>
      </c>
      <c r="CU149"/>
      <c r="CV149"/>
    </row>
    <row r="150" spans="2:100" outlineLevel="1" x14ac:dyDescent="0.2">
      <c r="C150" s="48"/>
      <c r="D150" s="3" t="s">
        <v>359</v>
      </c>
      <c r="E150" s="224" t="s">
        <v>196</v>
      </c>
      <c r="G150" s="52">
        <f t="shared" ref="G150:R150" ca="1" si="671">INDEX(tbl_TCO_input,MATCH(
_xlfn.TEXTJOIN(keydelim,TRUE,G$18,$D150),rows_TCO_ID,0),MATCH(G$6,cols_TCO_input,0))</f>
        <v>10</v>
      </c>
      <c r="H150" s="52">
        <f t="shared" ca="1" si="671"/>
        <v>10</v>
      </c>
      <c r="I150" s="52">
        <f t="shared" ca="1" si="671"/>
        <v>10</v>
      </c>
      <c r="J150" s="52">
        <f t="shared" ca="1" si="671"/>
        <v>10</v>
      </c>
      <c r="K150" s="52">
        <f t="shared" ca="1" si="671"/>
        <v>10</v>
      </c>
      <c r="L150" s="52">
        <f t="shared" ca="1" si="671"/>
        <v>10</v>
      </c>
      <c r="M150" s="52">
        <f t="shared" ca="1" si="671"/>
        <v>10</v>
      </c>
      <c r="N150" s="52">
        <f t="shared" ca="1" si="671"/>
        <v>10</v>
      </c>
      <c r="O150" s="52">
        <f t="shared" ca="1" si="671"/>
        <v>10</v>
      </c>
      <c r="P150" s="52">
        <f t="shared" ca="1" si="671"/>
        <v>10</v>
      </c>
      <c r="Q150" s="52">
        <f t="shared" ca="1" si="671"/>
        <v>10</v>
      </c>
      <c r="R150" s="52">
        <f t="shared" ca="1" si="671"/>
        <v>10</v>
      </c>
      <c r="X150" s="12" t="s">
        <v>359</v>
      </c>
      <c r="Y150" s="224" t="s">
        <v>196</v>
      </c>
      <c r="AA150" s="52">
        <f t="shared" ref="AA150:AL150" ca="1" si="672">INDEX(tbl_TCO_input,MATCH(
_xlfn.TEXTJOIN(keydelim,TRUE,AA$18,$D150),rows_TCO_ID,0),MATCH(AA$6,cols_TCO_input,0))</f>
        <v>10</v>
      </c>
      <c r="AB150" s="52">
        <f t="shared" ca="1" si="672"/>
        <v>10</v>
      </c>
      <c r="AC150" s="52">
        <f t="shared" ca="1" si="672"/>
        <v>10</v>
      </c>
      <c r="AD150" s="52">
        <f t="shared" ca="1" si="672"/>
        <v>10</v>
      </c>
      <c r="AE150" s="52">
        <f t="shared" ca="1" si="672"/>
        <v>10</v>
      </c>
      <c r="AF150" s="52">
        <f t="shared" ca="1" si="672"/>
        <v>10</v>
      </c>
      <c r="AG150" s="52">
        <f t="shared" ca="1" si="672"/>
        <v>10</v>
      </c>
      <c r="AH150" s="52">
        <f t="shared" ca="1" si="672"/>
        <v>10</v>
      </c>
      <c r="AI150" s="52">
        <f t="shared" ca="1" si="672"/>
        <v>10</v>
      </c>
      <c r="AJ150" s="52">
        <f t="shared" ca="1" si="672"/>
        <v>10</v>
      </c>
      <c r="AK150" s="52">
        <f t="shared" ca="1" si="672"/>
        <v>10</v>
      </c>
      <c r="AL150" s="52">
        <f t="shared" ca="1" si="672"/>
        <v>10</v>
      </c>
      <c r="AR150" s="12" t="s">
        <v>359</v>
      </c>
      <c r="AS150" s="224" t="s">
        <v>196</v>
      </c>
      <c r="AU150" s="52">
        <f t="shared" ref="AU150:BF150" ca="1" si="673">INDEX(tbl_TCO_input,MATCH(
_xlfn.TEXTJOIN(keydelim,TRUE,AU$18,$D150),rows_TCO_ID,0),MATCH(AU$6,cols_TCO_input,0))</f>
        <v>14</v>
      </c>
      <c r="AV150" s="52">
        <f t="shared" ca="1" si="673"/>
        <v>14</v>
      </c>
      <c r="AW150" s="52">
        <f t="shared" ca="1" si="673"/>
        <v>14</v>
      </c>
      <c r="AX150" s="52">
        <f t="shared" ca="1" si="673"/>
        <v>14</v>
      </c>
      <c r="AY150" s="52">
        <f t="shared" ca="1" si="673"/>
        <v>14</v>
      </c>
      <c r="AZ150" s="52">
        <f t="shared" ca="1" si="673"/>
        <v>14</v>
      </c>
      <c r="BA150" s="52">
        <f t="shared" ca="1" si="673"/>
        <v>14</v>
      </c>
      <c r="BB150" s="52">
        <f t="shared" ca="1" si="673"/>
        <v>14</v>
      </c>
      <c r="BC150" s="52">
        <f t="shared" ca="1" si="673"/>
        <v>14</v>
      </c>
      <c r="BD150" s="52">
        <f t="shared" ca="1" si="673"/>
        <v>14</v>
      </c>
      <c r="BE150" s="52">
        <f t="shared" ca="1" si="673"/>
        <v>14</v>
      </c>
      <c r="BF150" s="52">
        <f t="shared" ca="1" si="673"/>
        <v>14</v>
      </c>
      <c r="BL150" s="12" t="s">
        <v>359</v>
      </c>
      <c r="BM150" s="224" t="s">
        <v>196</v>
      </c>
      <c r="BO150" s="52">
        <f t="shared" ref="BO150:BZ150" ca="1" si="674">INDEX(tbl_TCO_input,MATCH(
_xlfn.TEXTJOIN(keydelim,TRUE,BO$18,$D150),rows_TCO_ID,0),MATCH(BO$6,cols_TCO_input,0))</f>
        <v>14</v>
      </c>
      <c r="BP150" s="52">
        <f t="shared" ca="1" si="674"/>
        <v>14</v>
      </c>
      <c r="BQ150" s="52">
        <f t="shared" ca="1" si="674"/>
        <v>14</v>
      </c>
      <c r="BR150" s="52">
        <f t="shared" ca="1" si="674"/>
        <v>14</v>
      </c>
      <c r="BS150" s="52">
        <f t="shared" ca="1" si="674"/>
        <v>14</v>
      </c>
      <c r="BT150" s="52">
        <f t="shared" ca="1" si="674"/>
        <v>14</v>
      </c>
      <c r="BU150" s="52">
        <f t="shared" ca="1" si="674"/>
        <v>14</v>
      </c>
      <c r="BV150" s="52">
        <f t="shared" ca="1" si="674"/>
        <v>14</v>
      </c>
      <c r="BW150" s="52">
        <f t="shared" ca="1" si="674"/>
        <v>14</v>
      </c>
      <c r="BX150" s="52">
        <f t="shared" ca="1" si="674"/>
        <v>14</v>
      </c>
      <c r="BY150" s="52">
        <f t="shared" ca="1" si="674"/>
        <v>14</v>
      </c>
      <c r="BZ150" s="52">
        <f t="shared" ca="1" si="674"/>
        <v>14</v>
      </c>
      <c r="CF150" s="12" t="s">
        <v>359</v>
      </c>
      <c r="CG150" s="224" t="s">
        <v>196</v>
      </c>
      <c r="CI150" s="52">
        <f t="shared" ref="CI150:CT150" ca="1" si="675">INDEX(tbl_TCO_input,MATCH(
_xlfn.TEXTJOIN(keydelim,TRUE,CI$18,$D150),rows_TCO_ID,0),MATCH(CI$6,cols_TCO_input,0))</f>
        <v>10</v>
      </c>
      <c r="CJ150" s="52">
        <f t="shared" ca="1" si="675"/>
        <v>10</v>
      </c>
      <c r="CK150" s="52">
        <f t="shared" ca="1" si="675"/>
        <v>10</v>
      </c>
      <c r="CL150" s="52">
        <f t="shared" ca="1" si="675"/>
        <v>10</v>
      </c>
      <c r="CM150" s="52">
        <f t="shared" ca="1" si="675"/>
        <v>10</v>
      </c>
      <c r="CN150" s="52">
        <f t="shared" ca="1" si="675"/>
        <v>10</v>
      </c>
      <c r="CO150" s="52">
        <f t="shared" ca="1" si="675"/>
        <v>10</v>
      </c>
      <c r="CP150" s="52">
        <f t="shared" ca="1" si="675"/>
        <v>10</v>
      </c>
      <c r="CQ150" s="52">
        <f t="shared" ca="1" si="675"/>
        <v>10</v>
      </c>
      <c r="CR150" s="52">
        <f t="shared" ca="1" si="675"/>
        <v>10</v>
      </c>
      <c r="CS150" s="52">
        <f t="shared" ca="1" si="675"/>
        <v>10</v>
      </c>
      <c r="CT150" s="52">
        <f t="shared" ca="1" si="675"/>
        <v>10</v>
      </c>
    </row>
    <row r="151" spans="2:100" outlineLevel="1" x14ac:dyDescent="0.2">
      <c r="C151" s="48"/>
      <c r="D151" s="3" t="s">
        <v>360</v>
      </c>
      <c r="E151" s="224" t="s">
        <v>336</v>
      </c>
      <c r="G151" s="22">
        <f t="shared" ref="G151:R151" ca="1" si="676">G124/GJ_per_MWh</f>
        <v>40659.599999999999</v>
      </c>
      <c r="H151" s="22">
        <f t="shared" ca="1" si="676"/>
        <v>40659.599999999999</v>
      </c>
      <c r="I151" s="22">
        <f t="shared" ca="1" si="676"/>
        <v>40659.599999999999</v>
      </c>
      <c r="J151" s="22">
        <f t="shared" ca="1" si="676"/>
        <v>40659.599999999999</v>
      </c>
      <c r="K151" s="22">
        <f t="shared" ca="1" si="676"/>
        <v>40659.599999999999</v>
      </c>
      <c r="L151" s="22">
        <f t="shared" ca="1" si="676"/>
        <v>40659.599999999999</v>
      </c>
      <c r="M151" s="22">
        <f t="shared" ca="1" si="676"/>
        <v>40659.599999999999</v>
      </c>
      <c r="N151" s="22">
        <f t="shared" ca="1" si="676"/>
        <v>40659.599999999999</v>
      </c>
      <c r="O151" s="22">
        <f t="shared" ca="1" si="676"/>
        <v>40659.599999999999</v>
      </c>
      <c r="P151" s="22">
        <f t="shared" ca="1" si="676"/>
        <v>40659.599999999999</v>
      </c>
      <c r="Q151" s="22">
        <f t="shared" ca="1" si="676"/>
        <v>40659.599999999999</v>
      </c>
      <c r="R151" s="22">
        <f t="shared" ca="1" si="676"/>
        <v>40659.599999999999</v>
      </c>
      <c r="X151" s="12" t="s">
        <v>360</v>
      </c>
      <c r="Y151" s="224" t="s">
        <v>336</v>
      </c>
      <c r="AA151" s="22">
        <f t="shared" ref="AA151:AL151" ca="1" si="677">AA124/GJ_per_MWh</f>
        <v>40659.599999999999</v>
      </c>
      <c r="AB151" s="22">
        <f t="shared" ca="1" si="677"/>
        <v>40659.599999999999</v>
      </c>
      <c r="AC151" s="22">
        <f t="shared" ca="1" si="677"/>
        <v>40659.599999999999</v>
      </c>
      <c r="AD151" s="22">
        <f t="shared" ca="1" si="677"/>
        <v>40659.599999999999</v>
      </c>
      <c r="AE151" s="22">
        <f t="shared" ca="1" si="677"/>
        <v>40659.599999999999</v>
      </c>
      <c r="AF151" s="22">
        <f t="shared" ca="1" si="677"/>
        <v>40659.599999999999</v>
      </c>
      <c r="AG151" s="22">
        <f t="shared" ca="1" si="677"/>
        <v>40659.599999999999</v>
      </c>
      <c r="AH151" s="22">
        <f t="shared" ca="1" si="677"/>
        <v>40659.599999999999</v>
      </c>
      <c r="AI151" s="22">
        <f t="shared" ca="1" si="677"/>
        <v>40659.599999999999</v>
      </c>
      <c r="AJ151" s="22">
        <f t="shared" ca="1" si="677"/>
        <v>40659.599999999999</v>
      </c>
      <c r="AK151" s="22">
        <f t="shared" ca="1" si="677"/>
        <v>40659.599999999999</v>
      </c>
      <c r="AL151" s="22">
        <f t="shared" ca="1" si="677"/>
        <v>40659.599999999999</v>
      </c>
      <c r="AR151" s="12" t="s">
        <v>360</v>
      </c>
      <c r="AS151" s="224" t="s">
        <v>336</v>
      </c>
      <c r="AU151" s="22">
        <f t="shared" ref="AU151:BF151" ca="1" si="678">AU124/GJ_per_MWh</f>
        <v>40659.599999999999</v>
      </c>
      <c r="AV151" s="22">
        <f t="shared" ca="1" si="678"/>
        <v>40659.599999999999</v>
      </c>
      <c r="AW151" s="22">
        <f t="shared" ca="1" si="678"/>
        <v>40659.599999999999</v>
      </c>
      <c r="AX151" s="22">
        <f t="shared" ca="1" si="678"/>
        <v>40659.599999999999</v>
      </c>
      <c r="AY151" s="22">
        <f t="shared" ca="1" si="678"/>
        <v>40659.599999999999</v>
      </c>
      <c r="AZ151" s="22">
        <f t="shared" ca="1" si="678"/>
        <v>40659.599999999999</v>
      </c>
      <c r="BA151" s="22">
        <f t="shared" ca="1" si="678"/>
        <v>40659.599999999999</v>
      </c>
      <c r="BB151" s="22">
        <f t="shared" ca="1" si="678"/>
        <v>40659.599999999999</v>
      </c>
      <c r="BC151" s="22">
        <f t="shared" ca="1" si="678"/>
        <v>40659.599999999999</v>
      </c>
      <c r="BD151" s="22">
        <f t="shared" ca="1" si="678"/>
        <v>40659.599999999999</v>
      </c>
      <c r="BE151" s="22">
        <f t="shared" ca="1" si="678"/>
        <v>40659.599999999999</v>
      </c>
      <c r="BF151" s="22">
        <f t="shared" ca="1" si="678"/>
        <v>40659.599999999999</v>
      </c>
      <c r="BL151" s="12" t="s">
        <v>360</v>
      </c>
      <c r="BM151" s="224" t="s">
        <v>336</v>
      </c>
      <c r="BO151" s="22">
        <f t="shared" ref="BO151:BZ151" ca="1" si="679">BO124/GJ_per_MWh</f>
        <v>40659.599999999999</v>
      </c>
      <c r="BP151" s="22">
        <f t="shared" ca="1" si="679"/>
        <v>40659.599999999999</v>
      </c>
      <c r="BQ151" s="22">
        <f t="shared" ca="1" si="679"/>
        <v>40659.599999999999</v>
      </c>
      <c r="BR151" s="22">
        <f t="shared" ca="1" si="679"/>
        <v>40659.599999999999</v>
      </c>
      <c r="BS151" s="22">
        <f t="shared" ca="1" si="679"/>
        <v>40659.599999999999</v>
      </c>
      <c r="BT151" s="22">
        <f t="shared" ca="1" si="679"/>
        <v>40659.599999999999</v>
      </c>
      <c r="BU151" s="22">
        <f t="shared" ca="1" si="679"/>
        <v>40659.599999999999</v>
      </c>
      <c r="BV151" s="22">
        <f t="shared" ca="1" si="679"/>
        <v>40659.599999999999</v>
      </c>
      <c r="BW151" s="22">
        <f t="shared" ca="1" si="679"/>
        <v>40659.599999999999</v>
      </c>
      <c r="BX151" s="22">
        <f t="shared" ca="1" si="679"/>
        <v>40659.599999999999</v>
      </c>
      <c r="BY151" s="22">
        <f t="shared" ca="1" si="679"/>
        <v>40659.599999999999</v>
      </c>
      <c r="BZ151" s="22">
        <f t="shared" ca="1" si="679"/>
        <v>40659.599999999999</v>
      </c>
      <c r="CF151" s="12" t="s">
        <v>360</v>
      </c>
      <c r="CG151" s="224" t="s">
        <v>336</v>
      </c>
      <c r="CI151" s="22">
        <f t="shared" ref="CI151:CT151" ca="1" si="680">CI124/GJ_per_MWh</f>
        <v>40659.599999999999</v>
      </c>
      <c r="CJ151" s="22">
        <f t="shared" ca="1" si="680"/>
        <v>40659.599999999999</v>
      </c>
      <c r="CK151" s="22">
        <f t="shared" ca="1" si="680"/>
        <v>40659.599999999999</v>
      </c>
      <c r="CL151" s="22">
        <f t="shared" ca="1" si="680"/>
        <v>40659.599999999999</v>
      </c>
      <c r="CM151" s="22">
        <f t="shared" ca="1" si="680"/>
        <v>40659.599999999999</v>
      </c>
      <c r="CN151" s="22">
        <f t="shared" ca="1" si="680"/>
        <v>40659.599999999999</v>
      </c>
      <c r="CO151" s="22">
        <f t="shared" ca="1" si="680"/>
        <v>40659.599999999999</v>
      </c>
      <c r="CP151" s="22">
        <f t="shared" ca="1" si="680"/>
        <v>40659.599999999999</v>
      </c>
      <c r="CQ151" s="22">
        <f t="shared" ca="1" si="680"/>
        <v>40659.599999999999</v>
      </c>
      <c r="CR151" s="22">
        <f t="shared" ca="1" si="680"/>
        <v>40659.599999999999</v>
      </c>
      <c r="CS151" s="22">
        <f t="shared" ca="1" si="680"/>
        <v>40659.599999999999</v>
      </c>
      <c r="CT151" s="22">
        <f t="shared" ca="1" si="680"/>
        <v>40659.599999999999</v>
      </c>
    </row>
    <row r="152" spans="2:100" s="266" customFormat="1" outlineLevel="1" x14ac:dyDescent="0.2">
      <c r="C152" s="316"/>
      <c r="D152" s="316" t="s">
        <v>361</v>
      </c>
      <c r="E152" s="282" t="s">
        <v>211</v>
      </c>
      <c r="F152" s="282"/>
      <c r="G152" s="289">
        <f t="shared" ref="G152:R152" ca="1" si="681">(G153*G68)+(G154*G79)</f>
        <v>22500</v>
      </c>
      <c r="H152" s="289">
        <f t="shared" ca="1" si="681"/>
        <v>22500</v>
      </c>
      <c r="I152" s="289">
        <f t="shared" ca="1" si="681"/>
        <v>22500</v>
      </c>
      <c r="J152" s="289">
        <f t="shared" ca="1" si="681"/>
        <v>22500</v>
      </c>
      <c r="K152" s="289">
        <f t="shared" ca="1" si="681"/>
        <v>22500</v>
      </c>
      <c r="L152" s="289">
        <f t="shared" ca="1" si="681"/>
        <v>22500</v>
      </c>
      <c r="M152" s="289">
        <f t="shared" ca="1" si="681"/>
        <v>22500</v>
      </c>
      <c r="N152" s="289">
        <f t="shared" ca="1" si="681"/>
        <v>22500</v>
      </c>
      <c r="O152" s="289">
        <f t="shared" ca="1" si="681"/>
        <v>22500</v>
      </c>
      <c r="P152" s="289">
        <f t="shared" ca="1" si="681"/>
        <v>22500</v>
      </c>
      <c r="Q152" s="289">
        <f t="shared" ca="1" si="681"/>
        <v>22500</v>
      </c>
      <c r="R152" s="289">
        <f t="shared" ca="1" si="681"/>
        <v>22500</v>
      </c>
      <c r="X152" s="285" t="s">
        <v>361</v>
      </c>
      <c r="Y152" s="282" t="s">
        <v>211</v>
      </c>
      <c r="Z152" s="282"/>
      <c r="AA152" s="289">
        <f t="shared" ref="AA152:AL152" ca="1" si="682">(AA153*AA68)+(AA154*AA79)</f>
        <v>101250</v>
      </c>
      <c r="AB152" s="289">
        <f t="shared" ca="1" si="682"/>
        <v>101250</v>
      </c>
      <c r="AC152" s="289">
        <f t="shared" ca="1" si="682"/>
        <v>101250</v>
      </c>
      <c r="AD152" s="289">
        <f t="shared" ca="1" si="682"/>
        <v>101250</v>
      </c>
      <c r="AE152" s="289">
        <f t="shared" ca="1" si="682"/>
        <v>101250</v>
      </c>
      <c r="AF152" s="289">
        <f t="shared" ca="1" si="682"/>
        <v>101250</v>
      </c>
      <c r="AG152" s="289">
        <f t="shared" ca="1" si="682"/>
        <v>101250</v>
      </c>
      <c r="AH152" s="289">
        <f t="shared" ca="1" si="682"/>
        <v>101250</v>
      </c>
      <c r="AI152" s="289">
        <f t="shared" ca="1" si="682"/>
        <v>101250</v>
      </c>
      <c r="AJ152" s="289">
        <f t="shared" ca="1" si="682"/>
        <v>101250</v>
      </c>
      <c r="AK152" s="289">
        <f t="shared" ca="1" si="682"/>
        <v>101250</v>
      </c>
      <c r="AL152" s="289">
        <f t="shared" ca="1" si="682"/>
        <v>101250</v>
      </c>
      <c r="AR152" s="285" t="s">
        <v>361</v>
      </c>
      <c r="AS152" s="282" t="s">
        <v>211</v>
      </c>
      <c r="AT152" s="282"/>
      <c r="AU152" s="289">
        <f t="shared" ref="AU152:BF152" ca="1" si="683">(AU153*AU68)+(AU154*AU79)</f>
        <v>56250</v>
      </c>
      <c r="AV152" s="289">
        <f t="shared" ca="1" si="683"/>
        <v>56250</v>
      </c>
      <c r="AW152" s="289">
        <f t="shared" ca="1" si="683"/>
        <v>56250</v>
      </c>
      <c r="AX152" s="289">
        <f t="shared" ca="1" si="683"/>
        <v>56250</v>
      </c>
      <c r="AY152" s="289">
        <f t="shared" ca="1" si="683"/>
        <v>56250</v>
      </c>
      <c r="AZ152" s="289">
        <f t="shared" ca="1" si="683"/>
        <v>56250</v>
      </c>
      <c r="BA152" s="289">
        <f t="shared" ca="1" si="683"/>
        <v>56250</v>
      </c>
      <c r="BB152" s="289">
        <f t="shared" ca="1" si="683"/>
        <v>56250</v>
      </c>
      <c r="BC152" s="289">
        <f t="shared" ca="1" si="683"/>
        <v>56250</v>
      </c>
      <c r="BD152" s="289">
        <f t="shared" ca="1" si="683"/>
        <v>56250</v>
      </c>
      <c r="BE152" s="289">
        <f t="shared" ca="1" si="683"/>
        <v>56250</v>
      </c>
      <c r="BF152" s="289">
        <f t="shared" ca="1" si="683"/>
        <v>56250</v>
      </c>
      <c r="BG152"/>
      <c r="BH152"/>
      <c r="BL152" s="285" t="s">
        <v>361</v>
      </c>
      <c r="BM152" s="282" t="s">
        <v>211</v>
      </c>
      <c r="BN152" s="282"/>
      <c r="BO152" s="289">
        <f t="shared" ref="BO152:BZ152" ca="1" si="684">(BO153*BO68)+(BO154*BO79)</f>
        <v>56250</v>
      </c>
      <c r="BP152" s="289">
        <f t="shared" ca="1" si="684"/>
        <v>56250</v>
      </c>
      <c r="BQ152" s="289">
        <f t="shared" ca="1" si="684"/>
        <v>56250</v>
      </c>
      <c r="BR152" s="289">
        <f t="shared" ca="1" si="684"/>
        <v>56250</v>
      </c>
      <c r="BS152" s="289">
        <f t="shared" ca="1" si="684"/>
        <v>56250</v>
      </c>
      <c r="BT152" s="289">
        <f t="shared" ca="1" si="684"/>
        <v>56250</v>
      </c>
      <c r="BU152" s="289">
        <f t="shared" ca="1" si="684"/>
        <v>56250</v>
      </c>
      <c r="BV152" s="289">
        <f t="shared" ca="1" si="684"/>
        <v>56250</v>
      </c>
      <c r="BW152" s="289">
        <f t="shared" ca="1" si="684"/>
        <v>56250</v>
      </c>
      <c r="BX152" s="289">
        <f t="shared" ca="1" si="684"/>
        <v>56250</v>
      </c>
      <c r="BY152" s="289">
        <f t="shared" ca="1" si="684"/>
        <v>56250</v>
      </c>
      <c r="BZ152" s="289">
        <f t="shared" ca="1" si="684"/>
        <v>56250</v>
      </c>
      <c r="CA152"/>
      <c r="CB152"/>
      <c r="CF152" s="285" t="s">
        <v>361</v>
      </c>
      <c r="CG152" s="282" t="s">
        <v>211</v>
      </c>
      <c r="CH152" s="282"/>
      <c r="CI152" s="289">
        <f t="shared" ref="CI152:CT152" ca="1" si="685">(CI153*CI68)+(CI154*CI79)</f>
        <v>29250</v>
      </c>
      <c r="CJ152" s="289">
        <f t="shared" ca="1" si="685"/>
        <v>29250</v>
      </c>
      <c r="CK152" s="289">
        <f t="shared" ca="1" si="685"/>
        <v>29250</v>
      </c>
      <c r="CL152" s="289">
        <f t="shared" ca="1" si="685"/>
        <v>29250</v>
      </c>
      <c r="CM152" s="289">
        <f t="shared" ca="1" si="685"/>
        <v>29250</v>
      </c>
      <c r="CN152" s="289">
        <f t="shared" ca="1" si="685"/>
        <v>29250</v>
      </c>
      <c r="CO152" s="289">
        <f t="shared" ca="1" si="685"/>
        <v>29250</v>
      </c>
      <c r="CP152" s="289">
        <f t="shared" ca="1" si="685"/>
        <v>29250</v>
      </c>
      <c r="CQ152" s="289">
        <f t="shared" ca="1" si="685"/>
        <v>29250</v>
      </c>
      <c r="CR152" s="289">
        <f t="shared" ca="1" si="685"/>
        <v>29250</v>
      </c>
      <c r="CS152" s="289">
        <f t="shared" ca="1" si="685"/>
        <v>29250</v>
      </c>
      <c r="CT152" s="289">
        <f t="shared" ca="1" si="685"/>
        <v>29250</v>
      </c>
      <c r="CU152"/>
      <c r="CV152"/>
    </row>
    <row r="153" spans="2:100" outlineLevel="1" x14ac:dyDescent="0.2">
      <c r="C153" s="48"/>
      <c r="D153" s="3" t="s">
        <v>362</v>
      </c>
      <c r="E153" s="224" t="s">
        <v>294</v>
      </c>
      <c r="F153" s="224" t="s">
        <v>363</v>
      </c>
      <c r="G153" s="52">
        <f t="shared" ref="G153:R153" ca="1" si="686">INDEX(tbl_TCO_input,MATCH(
_xlfn.TEXTJOIN(keydelim,TRUE,G23,$D153),rows_TCO_ID,0),MATCH(G$6,cols_TCO_input,0))</f>
        <v>1.25</v>
      </c>
      <c r="H153" s="52">
        <f t="shared" ca="1" si="686"/>
        <v>1.25</v>
      </c>
      <c r="I153" s="52">
        <f t="shared" ca="1" si="686"/>
        <v>1.25</v>
      </c>
      <c r="J153" s="52">
        <f t="shared" ca="1" si="686"/>
        <v>1.25</v>
      </c>
      <c r="K153" s="52">
        <f t="shared" ca="1" si="686"/>
        <v>1.25</v>
      </c>
      <c r="L153" s="52">
        <f t="shared" ca="1" si="686"/>
        <v>1.25</v>
      </c>
      <c r="M153" s="52">
        <f t="shared" ca="1" si="686"/>
        <v>1.25</v>
      </c>
      <c r="N153" s="52">
        <f t="shared" ca="1" si="686"/>
        <v>1.25</v>
      </c>
      <c r="O153" s="52">
        <f t="shared" ca="1" si="686"/>
        <v>1.25</v>
      </c>
      <c r="P153" s="52">
        <f t="shared" ca="1" si="686"/>
        <v>1.25</v>
      </c>
      <c r="Q153" s="52">
        <f t="shared" ca="1" si="686"/>
        <v>1.25</v>
      </c>
      <c r="R153" s="52">
        <f t="shared" ca="1" si="686"/>
        <v>1.25</v>
      </c>
      <c r="X153" s="12" t="s">
        <v>362</v>
      </c>
      <c r="Y153" s="224" t="s">
        <v>294</v>
      </c>
      <c r="Z153" s="224" t="s">
        <v>363</v>
      </c>
      <c r="AA153" s="52">
        <f t="shared" ref="AA153:AL153" ca="1" si="687">INDEX(tbl_TCO_input,MATCH(
_xlfn.TEXTJOIN(keydelim,TRUE,AA23,$D153),rows_TCO_ID,0),MATCH(AA$6,cols_TCO_input,0))</f>
        <v>10</v>
      </c>
      <c r="AB153" s="52">
        <f t="shared" ca="1" si="687"/>
        <v>10</v>
      </c>
      <c r="AC153" s="52">
        <f t="shared" ca="1" si="687"/>
        <v>10</v>
      </c>
      <c r="AD153" s="52">
        <f t="shared" ca="1" si="687"/>
        <v>10</v>
      </c>
      <c r="AE153" s="52">
        <f t="shared" ca="1" si="687"/>
        <v>10</v>
      </c>
      <c r="AF153" s="52">
        <f t="shared" ca="1" si="687"/>
        <v>10</v>
      </c>
      <c r="AG153" s="52">
        <f t="shared" ca="1" si="687"/>
        <v>10</v>
      </c>
      <c r="AH153" s="52">
        <f t="shared" ca="1" si="687"/>
        <v>10</v>
      </c>
      <c r="AI153" s="52">
        <f t="shared" ca="1" si="687"/>
        <v>10</v>
      </c>
      <c r="AJ153" s="52">
        <f t="shared" ca="1" si="687"/>
        <v>10</v>
      </c>
      <c r="AK153" s="52">
        <f t="shared" ca="1" si="687"/>
        <v>10</v>
      </c>
      <c r="AL153" s="52">
        <f t="shared" ca="1" si="687"/>
        <v>10</v>
      </c>
      <c r="AR153" s="12" t="s">
        <v>362</v>
      </c>
      <c r="AS153" s="224" t="s">
        <v>294</v>
      </c>
      <c r="AT153" s="224" t="s">
        <v>363</v>
      </c>
      <c r="AU153" s="52">
        <f t="shared" ref="AU153:BF153" ca="1" si="688">INDEX(tbl_TCO_input,MATCH(
_xlfn.TEXTJOIN(keydelim,TRUE,AU23,$D153),rows_TCO_ID,0),MATCH(AU$6,cols_TCO_input,0))</f>
        <v>5</v>
      </c>
      <c r="AV153" s="52">
        <f t="shared" ca="1" si="688"/>
        <v>5</v>
      </c>
      <c r="AW153" s="52">
        <f t="shared" ca="1" si="688"/>
        <v>5</v>
      </c>
      <c r="AX153" s="52">
        <f t="shared" ca="1" si="688"/>
        <v>5</v>
      </c>
      <c r="AY153" s="52">
        <f t="shared" ca="1" si="688"/>
        <v>5</v>
      </c>
      <c r="AZ153" s="52">
        <f t="shared" ca="1" si="688"/>
        <v>5</v>
      </c>
      <c r="BA153" s="52">
        <f t="shared" ca="1" si="688"/>
        <v>5</v>
      </c>
      <c r="BB153" s="52">
        <f t="shared" ca="1" si="688"/>
        <v>5</v>
      </c>
      <c r="BC153" s="52">
        <f t="shared" ca="1" si="688"/>
        <v>5</v>
      </c>
      <c r="BD153" s="52">
        <f t="shared" ca="1" si="688"/>
        <v>5</v>
      </c>
      <c r="BE153" s="52">
        <f t="shared" ca="1" si="688"/>
        <v>5</v>
      </c>
      <c r="BF153" s="52">
        <f t="shared" ca="1" si="688"/>
        <v>5</v>
      </c>
      <c r="BL153" s="12" t="s">
        <v>362</v>
      </c>
      <c r="BM153" s="224" t="s">
        <v>294</v>
      </c>
      <c r="BN153" s="224" t="s">
        <v>363</v>
      </c>
      <c r="BO153" s="52">
        <f t="shared" ref="BO153:BZ153" ca="1" si="689">INDEX(tbl_TCO_input,MATCH(
_xlfn.TEXTJOIN(keydelim,TRUE,BO23,$D153),rows_TCO_ID,0),MATCH(BO$6,cols_TCO_input,0))</f>
        <v>5</v>
      </c>
      <c r="BP153" s="52">
        <f t="shared" ca="1" si="689"/>
        <v>5</v>
      </c>
      <c r="BQ153" s="52">
        <f t="shared" ca="1" si="689"/>
        <v>5</v>
      </c>
      <c r="BR153" s="52">
        <f t="shared" ca="1" si="689"/>
        <v>5</v>
      </c>
      <c r="BS153" s="52">
        <f t="shared" ca="1" si="689"/>
        <v>5</v>
      </c>
      <c r="BT153" s="52">
        <f t="shared" ca="1" si="689"/>
        <v>5</v>
      </c>
      <c r="BU153" s="52">
        <f t="shared" ca="1" si="689"/>
        <v>5</v>
      </c>
      <c r="BV153" s="52">
        <f t="shared" ca="1" si="689"/>
        <v>5</v>
      </c>
      <c r="BW153" s="52">
        <f t="shared" ca="1" si="689"/>
        <v>5</v>
      </c>
      <c r="BX153" s="52">
        <f t="shared" ca="1" si="689"/>
        <v>5</v>
      </c>
      <c r="BY153" s="52">
        <f t="shared" ca="1" si="689"/>
        <v>5</v>
      </c>
      <c r="BZ153" s="52">
        <f t="shared" ca="1" si="689"/>
        <v>5</v>
      </c>
      <c r="CF153" s="12" t="s">
        <v>362</v>
      </c>
      <c r="CG153" s="224" t="s">
        <v>294</v>
      </c>
      <c r="CH153" s="224" t="s">
        <v>363</v>
      </c>
      <c r="CI153" s="52">
        <f t="shared" ref="CI153:CT153" ca="1" si="690">INDEX(tbl_TCO_input,MATCH(
_xlfn.TEXTJOIN(keydelim,TRUE,CI23,$D153),rows_TCO_ID,0),MATCH(CI$6,cols_TCO_input,0))</f>
        <v>2</v>
      </c>
      <c r="CJ153" s="52">
        <f t="shared" ca="1" si="690"/>
        <v>2</v>
      </c>
      <c r="CK153" s="52">
        <f t="shared" ca="1" si="690"/>
        <v>2</v>
      </c>
      <c r="CL153" s="52">
        <f t="shared" ca="1" si="690"/>
        <v>2</v>
      </c>
      <c r="CM153" s="52">
        <f t="shared" ca="1" si="690"/>
        <v>2</v>
      </c>
      <c r="CN153" s="52">
        <f t="shared" ca="1" si="690"/>
        <v>2</v>
      </c>
      <c r="CO153" s="52">
        <f t="shared" ca="1" si="690"/>
        <v>2</v>
      </c>
      <c r="CP153" s="52">
        <f t="shared" ca="1" si="690"/>
        <v>2</v>
      </c>
      <c r="CQ153" s="52">
        <f t="shared" ca="1" si="690"/>
        <v>2</v>
      </c>
      <c r="CR153" s="52">
        <f t="shared" ca="1" si="690"/>
        <v>2</v>
      </c>
      <c r="CS153" s="52">
        <f t="shared" ca="1" si="690"/>
        <v>2</v>
      </c>
      <c r="CT153" s="52">
        <f t="shared" ca="1" si="690"/>
        <v>2</v>
      </c>
    </row>
    <row r="154" spans="2:100" outlineLevel="1" x14ac:dyDescent="0.2">
      <c r="C154" s="48"/>
      <c r="D154" s="3" t="s">
        <v>364</v>
      </c>
      <c r="E154" s="224" t="s">
        <v>294</v>
      </c>
      <c r="F154" s="224" t="s">
        <v>365</v>
      </c>
      <c r="G154" s="52">
        <f t="shared" ref="G154:R154" ca="1" si="691">INDEX(tbl_TCO_input,MATCH(
_xlfn.TEXTJOIN(keydelim,TRUE,G24,$D153),rows_TCO_ID,0),MATCH(G$6,cols_TCO_input,0))</f>
        <v>1.25</v>
      </c>
      <c r="H154" s="52">
        <f t="shared" ca="1" si="691"/>
        <v>1.25</v>
      </c>
      <c r="I154" s="52">
        <f t="shared" ca="1" si="691"/>
        <v>1.25</v>
      </c>
      <c r="J154" s="52">
        <f t="shared" ca="1" si="691"/>
        <v>1.25</v>
      </c>
      <c r="K154" s="52">
        <f t="shared" ca="1" si="691"/>
        <v>1.25</v>
      </c>
      <c r="L154" s="52">
        <f t="shared" ca="1" si="691"/>
        <v>1.25</v>
      </c>
      <c r="M154" s="52">
        <f t="shared" ca="1" si="691"/>
        <v>1.25</v>
      </c>
      <c r="N154" s="52">
        <f t="shared" ca="1" si="691"/>
        <v>1.25</v>
      </c>
      <c r="O154" s="52">
        <f t="shared" ca="1" si="691"/>
        <v>1.25</v>
      </c>
      <c r="P154" s="52">
        <f t="shared" ca="1" si="691"/>
        <v>1.25</v>
      </c>
      <c r="Q154" s="52">
        <f t="shared" ca="1" si="691"/>
        <v>1.25</v>
      </c>
      <c r="R154" s="52">
        <f t="shared" ca="1" si="691"/>
        <v>1.25</v>
      </c>
      <c r="X154" s="12" t="s">
        <v>364</v>
      </c>
      <c r="Y154" s="224" t="s">
        <v>294</v>
      </c>
      <c r="Z154" s="224" t="s">
        <v>365</v>
      </c>
      <c r="AA154" s="52">
        <f t="shared" ref="AA154:AL154" ca="1" si="692">INDEX(tbl_TCO_input,MATCH(
_xlfn.TEXTJOIN(keydelim,TRUE,AA24,$D153),rows_TCO_ID,0),MATCH(AA$6,cols_TCO_input,0))</f>
        <v>1.25</v>
      </c>
      <c r="AB154" s="52">
        <f t="shared" ca="1" si="692"/>
        <v>1.25</v>
      </c>
      <c r="AC154" s="52">
        <f t="shared" ca="1" si="692"/>
        <v>1.25</v>
      </c>
      <c r="AD154" s="52">
        <f t="shared" ca="1" si="692"/>
        <v>1.25</v>
      </c>
      <c r="AE154" s="52">
        <f t="shared" ca="1" si="692"/>
        <v>1.25</v>
      </c>
      <c r="AF154" s="52">
        <f t="shared" ca="1" si="692"/>
        <v>1.25</v>
      </c>
      <c r="AG154" s="52">
        <f t="shared" ca="1" si="692"/>
        <v>1.25</v>
      </c>
      <c r="AH154" s="52">
        <f t="shared" ca="1" si="692"/>
        <v>1.25</v>
      </c>
      <c r="AI154" s="52">
        <f t="shared" ca="1" si="692"/>
        <v>1.25</v>
      </c>
      <c r="AJ154" s="52">
        <f t="shared" ca="1" si="692"/>
        <v>1.25</v>
      </c>
      <c r="AK154" s="52">
        <f t="shared" ca="1" si="692"/>
        <v>1.25</v>
      </c>
      <c r="AL154" s="52">
        <f t="shared" ca="1" si="692"/>
        <v>1.25</v>
      </c>
      <c r="AR154" s="12" t="s">
        <v>364</v>
      </c>
      <c r="AS154" s="224" t="s">
        <v>294</v>
      </c>
      <c r="AT154" s="224" t="s">
        <v>365</v>
      </c>
      <c r="AU154" s="52">
        <f t="shared" ref="AU154:BF154" ca="1" si="693">INDEX(tbl_TCO_input,MATCH(
_xlfn.TEXTJOIN(keydelim,TRUE,AU24,$D153),rows_TCO_ID,0),MATCH(AU$6,cols_TCO_input,0))</f>
        <v>1.25</v>
      </c>
      <c r="AV154" s="52">
        <f t="shared" ca="1" si="693"/>
        <v>1.25</v>
      </c>
      <c r="AW154" s="52">
        <f t="shared" ca="1" si="693"/>
        <v>1.25</v>
      </c>
      <c r="AX154" s="52">
        <f t="shared" ca="1" si="693"/>
        <v>1.25</v>
      </c>
      <c r="AY154" s="52">
        <f t="shared" ca="1" si="693"/>
        <v>1.25</v>
      </c>
      <c r="AZ154" s="52">
        <f t="shared" ca="1" si="693"/>
        <v>1.25</v>
      </c>
      <c r="BA154" s="52">
        <f t="shared" ca="1" si="693"/>
        <v>1.25</v>
      </c>
      <c r="BB154" s="52">
        <f t="shared" ca="1" si="693"/>
        <v>1.25</v>
      </c>
      <c r="BC154" s="52">
        <f t="shared" ca="1" si="693"/>
        <v>1.25</v>
      </c>
      <c r="BD154" s="52">
        <f t="shared" ca="1" si="693"/>
        <v>1.25</v>
      </c>
      <c r="BE154" s="52">
        <f t="shared" ca="1" si="693"/>
        <v>1.25</v>
      </c>
      <c r="BF154" s="52">
        <f t="shared" ca="1" si="693"/>
        <v>1.25</v>
      </c>
      <c r="BL154" s="12" t="s">
        <v>364</v>
      </c>
      <c r="BM154" s="224" t="s">
        <v>294</v>
      </c>
      <c r="BN154" s="224" t="s">
        <v>365</v>
      </c>
      <c r="BO154" s="52">
        <f t="shared" ref="BO154:BZ154" ca="1" si="694">INDEX(tbl_TCO_input,MATCH(
_xlfn.TEXTJOIN(keydelim,TRUE,BO24,$D153),rows_TCO_ID,0),MATCH(BO$6,cols_TCO_input,0))</f>
        <v>1.25</v>
      </c>
      <c r="BP154" s="52">
        <f t="shared" ca="1" si="694"/>
        <v>1.25</v>
      </c>
      <c r="BQ154" s="52">
        <f t="shared" ca="1" si="694"/>
        <v>1.25</v>
      </c>
      <c r="BR154" s="52">
        <f t="shared" ca="1" si="694"/>
        <v>1.25</v>
      </c>
      <c r="BS154" s="52">
        <f t="shared" ca="1" si="694"/>
        <v>1.25</v>
      </c>
      <c r="BT154" s="52">
        <f t="shared" ca="1" si="694"/>
        <v>1.25</v>
      </c>
      <c r="BU154" s="52">
        <f t="shared" ca="1" si="694"/>
        <v>1.25</v>
      </c>
      <c r="BV154" s="52">
        <f t="shared" ca="1" si="694"/>
        <v>1.25</v>
      </c>
      <c r="BW154" s="52">
        <f t="shared" ca="1" si="694"/>
        <v>1.25</v>
      </c>
      <c r="BX154" s="52">
        <f t="shared" ca="1" si="694"/>
        <v>1.25</v>
      </c>
      <c r="BY154" s="52">
        <f t="shared" ca="1" si="694"/>
        <v>1.25</v>
      </c>
      <c r="BZ154" s="52">
        <f t="shared" ca="1" si="694"/>
        <v>1.25</v>
      </c>
      <c r="CF154" s="12" t="s">
        <v>364</v>
      </c>
      <c r="CG154" s="224" t="s">
        <v>294</v>
      </c>
      <c r="CH154" s="224" t="s">
        <v>365</v>
      </c>
      <c r="CI154" s="52">
        <f t="shared" ref="CI154:CT154" ca="1" si="695">INDEX(tbl_TCO_input,MATCH(
_xlfn.TEXTJOIN(keydelim,TRUE,CI24,$D153),rows_TCO_ID,0),MATCH(CI$6,cols_TCO_input,0))</f>
        <v>1.25</v>
      </c>
      <c r="CJ154" s="52">
        <f t="shared" ca="1" si="695"/>
        <v>1.25</v>
      </c>
      <c r="CK154" s="52">
        <f t="shared" ca="1" si="695"/>
        <v>1.25</v>
      </c>
      <c r="CL154" s="52">
        <f t="shared" ca="1" si="695"/>
        <v>1.25</v>
      </c>
      <c r="CM154" s="52">
        <f t="shared" ca="1" si="695"/>
        <v>1.25</v>
      </c>
      <c r="CN154" s="52">
        <f t="shared" ca="1" si="695"/>
        <v>1.25</v>
      </c>
      <c r="CO154" s="52">
        <f t="shared" ca="1" si="695"/>
        <v>1.25</v>
      </c>
      <c r="CP154" s="52">
        <f t="shared" ca="1" si="695"/>
        <v>1.25</v>
      </c>
      <c r="CQ154" s="52">
        <f t="shared" ca="1" si="695"/>
        <v>1.25</v>
      </c>
      <c r="CR154" s="52">
        <f t="shared" ca="1" si="695"/>
        <v>1.25</v>
      </c>
      <c r="CS154" s="52">
        <f t="shared" ca="1" si="695"/>
        <v>1.25</v>
      </c>
      <c r="CT154" s="52">
        <f t="shared" ca="1" si="695"/>
        <v>1.25</v>
      </c>
    </row>
    <row r="155" spans="2:100" s="266" customFormat="1" outlineLevel="1" x14ac:dyDescent="0.2">
      <c r="C155" s="316"/>
      <c r="D155" s="316" t="s">
        <v>366</v>
      </c>
      <c r="E155" s="282" t="s">
        <v>211</v>
      </c>
      <c r="F155" s="282"/>
      <c r="G155" s="289">
        <f t="shared" ref="G155:R155" ca="1" si="696">SUM(G156:G157)</f>
        <v>2000</v>
      </c>
      <c r="H155" s="289">
        <f t="shared" ca="1" si="696"/>
        <v>2000</v>
      </c>
      <c r="I155" s="289">
        <f t="shared" ca="1" si="696"/>
        <v>2000</v>
      </c>
      <c r="J155" s="289">
        <f t="shared" ca="1" si="696"/>
        <v>2000</v>
      </c>
      <c r="K155" s="289">
        <f t="shared" ca="1" si="696"/>
        <v>2000</v>
      </c>
      <c r="L155" s="289">
        <f t="shared" ca="1" si="696"/>
        <v>2000</v>
      </c>
      <c r="M155" s="289">
        <f t="shared" ca="1" si="696"/>
        <v>2000</v>
      </c>
      <c r="N155" s="289">
        <f t="shared" ca="1" si="696"/>
        <v>2000</v>
      </c>
      <c r="O155" s="289">
        <f t="shared" ca="1" si="696"/>
        <v>2000</v>
      </c>
      <c r="P155" s="289">
        <f t="shared" ca="1" si="696"/>
        <v>2000</v>
      </c>
      <c r="Q155" s="289">
        <f t="shared" ca="1" si="696"/>
        <v>2000</v>
      </c>
      <c r="R155" s="289">
        <f t="shared" ca="1" si="696"/>
        <v>2000</v>
      </c>
      <c r="X155" s="285" t="s">
        <v>366</v>
      </c>
      <c r="Y155" s="282" t="s">
        <v>211</v>
      </c>
      <c r="Z155" s="282"/>
      <c r="AA155" s="289">
        <f t="shared" ref="AA155:AL155" ca="1" si="697">SUM(AA156:AA157)</f>
        <v>3400</v>
      </c>
      <c r="AB155" s="289">
        <f t="shared" ca="1" si="697"/>
        <v>3400</v>
      </c>
      <c r="AC155" s="289">
        <f t="shared" ca="1" si="697"/>
        <v>3400</v>
      </c>
      <c r="AD155" s="289">
        <f t="shared" ca="1" si="697"/>
        <v>3400</v>
      </c>
      <c r="AE155" s="289">
        <f t="shared" ca="1" si="697"/>
        <v>3400</v>
      </c>
      <c r="AF155" s="289">
        <f t="shared" ca="1" si="697"/>
        <v>3400</v>
      </c>
      <c r="AG155" s="289">
        <f t="shared" ca="1" si="697"/>
        <v>3400</v>
      </c>
      <c r="AH155" s="289">
        <f t="shared" ca="1" si="697"/>
        <v>3400</v>
      </c>
      <c r="AI155" s="289">
        <f t="shared" ca="1" si="697"/>
        <v>3400</v>
      </c>
      <c r="AJ155" s="289">
        <f t="shared" ca="1" si="697"/>
        <v>3400</v>
      </c>
      <c r="AK155" s="289">
        <f t="shared" ca="1" si="697"/>
        <v>3400</v>
      </c>
      <c r="AL155" s="289">
        <f t="shared" ca="1" si="697"/>
        <v>3400</v>
      </c>
      <c r="AR155" s="285" t="s">
        <v>366</v>
      </c>
      <c r="AS155" s="282" t="s">
        <v>211</v>
      </c>
      <c r="AT155" s="282"/>
      <c r="AU155" s="289">
        <f t="shared" ref="AU155:BF155" ca="1" si="698">SUM(AU156:AU157)</f>
        <v>11000</v>
      </c>
      <c r="AV155" s="289">
        <f t="shared" ca="1" si="698"/>
        <v>11000</v>
      </c>
      <c r="AW155" s="289">
        <f t="shared" ca="1" si="698"/>
        <v>11000</v>
      </c>
      <c r="AX155" s="289">
        <f t="shared" ca="1" si="698"/>
        <v>11000</v>
      </c>
      <c r="AY155" s="289">
        <f t="shared" ca="1" si="698"/>
        <v>11000</v>
      </c>
      <c r="AZ155" s="289">
        <f t="shared" ca="1" si="698"/>
        <v>11000</v>
      </c>
      <c r="BA155" s="289">
        <f t="shared" ca="1" si="698"/>
        <v>11000</v>
      </c>
      <c r="BB155" s="289">
        <f t="shared" ca="1" si="698"/>
        <v>11000</v>
      </c>
      <c r="BC155" s="289">
        <f t="shared" ca="1" si="698"/>
        <v>11000</v>
      </c>
      <c r="BD155" s="289">
        <f t="shared" ca="1" si="698"/>
        <v>11000</v>
      </c>
      <c r="BE155" s="289">
        <f t="shared" ca="1" si="698"/>
        <v>11000</v>
      </c>
      <c r="BF155" s="289">
        <f t="shared" ca="1" si="698"/>
        <v>11000</v>
      </c>
      <c r="BG155"/>
      <c r="BH155"/>
      <c r="BL155" s="285" t="s">
        <v>366</v>
      </c>
      <c r="BM155" s="282" t="s">
        <v>211</v>
      </c>
      <c r="BN155" s="282"/>
      <c r="BO155" s="289">
        <f t="shared" ref="BO155:BZ155" ca="1" si="699">SUM(BO156:BO157)</f>
        <v>11000</v>
      </c>
      <c r="BP155" s="289">
        <f t="shared" ca="1" si="699"/>
        <v>11000</v>
      </c>
      <c r="BQ155" s="289">
        <f t="shared" ca="1" si="699"/>
        <v>11000</v>
      </c>
      <c r="BR155" s="289">
        <f t="shared" ca="1" si="699"/>
        <v>11000</v>
      </c>
      <c r="BS155" s="289">
        <f t="shared" ca="1" si="699"/>
        <v>11000</v>
      </c>
      <c r="BT155" s="289">
        <f t="shared" ca="1" si="699"/>
        <v>11000</v>
      </c>
      <c r="BU155" s="289">
        <f t="shared" ca="1" si="699"/>
        <v>11000</v>
      </c>
      <c r="BV155" s="289">
        <f t="shared" ca="1" si="699"/>
        <v>11000</v>
      </c>
      <c r="BW155" s="289">
        <f t="shared" ca="1" si="699"/>
        <v>11000</v>
      </c>
      <c r="BX155" s="289">
        <f t="shared" ca="1" si="699"/>
        <v>11000</v>
      </c>
      <c r="BY155" s="289">
        <f t="shared" ca="1" si="699"/>
        <v>11000</v>
      </c>
      <c r="BZ155" s="289">
        <f t="shared" ca="1" si="699"/>
        <v>11000</v>
      </c>
      <c r="CA155"/>
      <c r="CB155"/>
      <c r="CF155" s="285" t="s">
        <v>366</v>
      </c>
      <c r="CG155" s="282" t="s">
        <v>211</v>
      </c>
      <c r="CH155" s="282"/>
      <c r="CI155" s="289">
        <f t="shared" ref="CI155:CT155" ca="1" si="700">SUM(CI156:CI157)</f>
        <v>9000</v>
      </c>
      <c r="CJ155" s="289">
        <f t="shared" ca="1" si="700"/>
        <v>9000</v>
      </c>
      <c r="CK155" s="289">
        <f t="shared" ca="1" si="700"/>
        <v>9000</v>
      </c>
      <c r="CL155" s="289">
        <f t="shared" ca="1" si="700"/>
        <v>9000</v>
      </c>
      <c r="CM155" s="289">
        <f t="shared" ca="1" si="700"/>
        <v>9000</v>
      </c>
      <c r="CN155" s="289">
        <f t="shared" ca="1" si="700"/>
        <v>9000</v>
      </c>
      <c r="CO155" s="289">
        <f t="shared" ca="1" si="700"/>
        <v>9000</v>
      </c>
      <c r="CP155" s="289">
        <f t="shared" ca="1" si="700"/>
        <v>9000</v>
      </c>
      <c r="CQ155" s="289">
        <f t="shared" ca="1" si="700"/>
        <v>9000</v>
      </c>
      <c r="CR155" s="289">
        <f t="shared" ca="1" si="700"/>
        <v>9000</v>
      </c>
      <c r="CS155" s="289">
        <f t="shared" ca="1" si="700"/>
        <v>9000</v>
      </c>
      <c r="CT155" s="289">
        <f t="shared" ca="1" si="700"/>
        <v>9000</v>
      </c>
      <c r="CU155"/>
      <c r="CV155"/>
    </row>
    <row r="156" spans="2:100" outlineLevel="1" x14ac:dyDescent="0.2">
      <c r="C156" s="48"/>
      <c r="D156" s="3" t="s">
        <v>367</v>
      </c>
      <c r="E156" s="224" t="s">
        <v>211</v>
      </c>
      <c r="G156" s="52">
        <f t="shared" ref="G156:R156" ca="1" si="701">INDEX(tbl_TCO_input,MATCH(
_xlfn.TEXTJOIN(keydelim,TRUE,G23,$D156),rows_TCO_ID,0),MATCH(G$6,cols_TCO_input,0))</f>
        <v>1000</v>
      </c>
      <c r="H156" s="52">
        <f t="shared" ca="1" si="701"/>
        <v>1000</v>
      </c>
      <c r="I156" s="52">
        <f t="shared" ca="1" si="701"/>
        <v>1000</v>
      </c>
      <c r="J156" s="52">
        <f t="shared" ca="1" si="701"/>
        <v>1000</v>
      </c>
      <c r="K156" s="52">
        <f t="shared" ca="1" si="701"/>
        <v>1000</v>
      </c>
      <c r="L156" s="52">
        <f t="shared" ca="1" si="701"/>
        <v>1000</v>
      </c>
      <c r="M156" s="52">
        <f t="shared" ca="1" si="701"/>
        <v>1000</v>
      </c>
      <c r="N156" s="52">
        <f t="shared" ca="1" si="701"/>
        <v>1000</v>
      </c>
      <c r="O156" s="52">
        <f t="shared" ca="1" si="701"/>
        <v>1000</v>
      </c>
      <c r="P156" s="52">
        <f t="shared" ca="1" si="701"/>
        <v>1000</v>
      </c>
      <c r="Q156" s="52">
        <f t="shared" ca="1" si="701"/>
        <v>1000</v>
      </c>
      <c r="R156" s="52">
        <f t="shared" ca="1" si="701"/>
        <v>1000</v>
      </c>
      <c r="X156" s="12" t="s">
        <v>367</v>
      </c>
      <c r="Y156" s="224" t="s">
        <v>211</v>
      </c>
      <c r="AA156" s="52">
        <f t="shared" ref="AA156:AL156" ca="1" si="702">INDEX(tbl_TCO_input,MATCH(
_xlfn.TEXTJOIN(keydelim,TRUE,AA23,$D156),rows_TCO_ID,0),MATCH(AA$6,cols_TCO_input,0))</f>
        <v>2400</v>
      </c>
      <c r="AB156" s="52">
        <f t="shared" ca="1" si="702"/>
        <v>2400</v>
      </c>
      <c r="AC156" s="52">
        <f t="shared" ca="1" si="702"/>
        <v>2400</v>
      </c>
      <c r="AD156" s="52">
        <f t="shared" ca="1" si="702"/>
        <v>2400</v>
      </c>
      <c r="AE156" s="52">
        <f t="shared" ca="1" si="702"/>
        <v>2400</v>
      </c>
      <c r="AF156" s="52">
        <f t="shared" ca="1" si="702"/>
        <v>2400</v>
      </c>
      <c r="AG156" s="52">
        <f t="shared" ca="1" si="702"/>
        <v>2400</v>
      </c>
      <c r="AH156" s="52">
        <f t="shared" ca="1" si="702"/>
        <v>2400</v>
      </c>
      <c r="AI156" s="52">
        <f t="shared" ca="1" si="702"/>
        <v>2400</v>
      </c>
      <c r="AJ156" s="52">
        <f t="shared" ca="1" si="702"/>
        <v>2400</v>
      </c>
      <c r="AK156" s="52">
        <f t="shared" ca="1" si="702"/>
        <v>2400</v>
      </c>
      <c r="AL156" s="52">
        <f t="shared" ca="1" si="702"/>
        <v>2400</v>
      </c>
      <c r="AR156" s="12" t="s">
        <v>367</v>
      </c>
      <c r="AS156" s="224" t="s">
        <v>211</v>
      </c>
      <c r="AU156" s="52">
        <f t="shared" ref="AU156:BF156" ca="1" si="703">INDEX(tbl_TCO_input,MATCH(
_xlfn.TEXTJOIN(keydelim,TRUE,AU23,$D156),rows_TCO_ID,0),MATCH(AU$6,cols_TCO_input,0))</f>
        <v>10000</v>
      </c>
      <c r="AV156" s="52">
        <f t="shared" ca="1" si="703"/>
        <v>10000</v>
      </c>
      <c r="AW156" s="52">
        <f t="shared" ca="1" si="703"/>
        <v>10000</v>
      </c>
      <c r="AX156" s="52">
        <f t="shared" ca="1" si="703"/>
        <v>10000</v>
      </c>
      <c r="AY156" s="52">
        <f t="shared" ca="1" si="703"/>
        <v>10000</v>
      </c>
      <c r="AZ156" s="52">
        <f t="shared" ca="1" si="703"/>
        <v>10000</v>
      </c>
      <c r="BA156" s="52">
        <f t="shared" ca="1" si="703"/>
        <v>10000</v>
      </c>
      <c r="BB156" s="52">
        <f t="shared" ca="1" si="703"/>
        <v>10000</v>
      </c>
      <c r="BC156" s="52">
        <f t="shared" ca="1" si="703"/>
        <v>10000</v>
      </c>
      <c r="BD156" s="52">
        <f t="shared" ca="1" si="703"/>
        <v>10000</v>
      </c>
      <c r="BE156" s="52">
        <f t="shared" ca="1" si="703"/>
        <v>10000</v>
      </c>
      <c r="BF156" s="52">
        <f t="shared" ca="1" si="703"/>
        <v>10000</v>
      </c>
      <c r="BL156" s="12" t="s">
        <v>367</v>
      </c>
      <c r="BM156" s="224" t="s">
        <v>211</v>
      </c>
      <c r="BO156" s="52">
        <f t="shared" ref="BO156:BZ156" ca="1" si="704">INDEX(tbl_TCO_input,MATCH(
_xlfn.TEXTJOIN(keydelim,TRUE,BO23,$D156),rows_TCO_ID,0),MATCH(BO$6,cols_TCO_input,0))</f>
        <v>10000</v>
      </c>
      <c r="BP156" s="52">
        <f t="shared" ca="1" si="704"/>
        <v>10000</v>
      </c>
      <c r="BQ156" s="52">
        <f t="shared" ca="1" si="704"/>
        <v>10000</v>
      </c>
      <c r="BR156" s="52">
        <f t="shared" ca="1" si="704"/>
        <v>10000</v>
      </c>
      <c r="BS156" s="52">
        <f t="shared" ca="1" si="704"/>
        <v>10000</v>
      </c>
      <c r="BT156" s="52">
        <f t="shared" ca="1" si="704"/>
        <v>10000</v>
      </c>
      <c r="BU156" s="52">
        <f t="shared" ca="1" si="704"/>
        <v>10000</v>
      </c>
      <c r="BV156" s="52">
        <f t="shared" ca="1" si="704"/>
        <v>10000</v>
      </c>
      <c r="BW156" s="52">
        <f t="shared" ca="1" si="704"/>
        <v>10000</v>
      </c>
      <c r="BX156" s="52">
        <f t="shared" ca="1" si="704"/>
        <v>10000</v>
      </c>
      <c r="BY156" s="52">
        <f t="shared" ca="1" si="704"/>
        <v>10000</v>
      </c>
      <c r="BZ156" s="52">
        <f t="shared" ca="1" si="704"/>
        <v>10000</v>
      </c>
      <c r="CF156" s="12" t="s">
        <v>367</v>
      </c>
      <c r="CG156" s="224" t="s">
        <v>211</v>
      </c>
      <c r="CI156" s="52">
        <f t="shared" ref="CI156:CT156" ca="1" si="705">INDEX(tbl_TCO_input,MATCH(
_xlfn.TEXTJOIN(keydelim,TRUE,CI23,$D156),rows_TCO_ID,0),MATCH(CI$6,cols_TCO_input,0))</f>
        <v>8000</v>
      </c>
      <c r="CJ156" s="52">
        <f t="shared" ca="1" si="705"/>
        <v>8000</v>
      </c>
      <c r="CK156" s="52">
        <f t="shared" ca="1" si="705"/>
        <v>8000</v>
      </c>
      <c r="CL156" s="52">
        <f t="shared" ca="1" si="705"/>
        <v>8000</v>
      </c>
      <c r="CM156" s="52">
        <f t="shared" ca="1" si="705"/>
        <v>8000</v>
      </c>
      <c r="CN156" s="52">
        <f t="shared" ca="1" si="705"/>
        <v>8000</v>
      </c>
      <c r="CO156" s="52">
        <f t="shared" ca="1" si="705"/>
        <v>8000</v>
      </c>
      <c r="CP156" s="52">
        <f t="shared" ca="1" si="705"/>
        <v>8000</v>
      </c>
      <c r="CQ156" s="52">
        <f t="shared" ca="1" si="705"/>
        <v>8000</v>
      </c>
      <c r="CR156" s="52">
        <f t="shared" ca="1" si="705"/>
        <v>8000</v>
      </c>
      <c r="CS156" s="52">
        <f t="shared" ca="1" si="705"/>
        <v>8000</v>
      </c>
      <c r="CT156" s="52">
        <f t="shared" ca="1" si="705"/>
        <v>8000</v>
      </c>
    </row>
    <row r="157" spans="2:100" outlineLevel="1" x14ac:dyDescent="0.2">
      <c r="C157" s="48"/>
      <c r="D157" s="3" t="s">
        <v>368</v>
      </c>
      <c r="E157" s="224" t="s">
        <v>211</v>
      </c>
      <c r="G157" s="52">
        <f t="shared" ref="G157:R157" ca="1" si="706">INDEX(tbl_TCO_input,MATCH(
_xlfn.TEXTJOIN(keydelim,TRUE,G24,$D156),rows_TCO_ID,0),MATCH(G$6,cols_TCO_input,0))</f>
        <v>1000</v>
      </c>
      <c r="H157" s="52">
        <f t="shared" ca="1" si="706"/>
        <v>1000</v>
      </c>
      <c r="I157" s="52">
        <f t="shared" ca="1" si="706"/>
        <v>1000</v>
      </c>
      <c r="J157" s="52">
        <f t="shared" ca="1" si="706"/>
        <v>1000</v>
      </c>
      <c r="K157" s="52">
        <f t="shared" ca="1" si="706"/>
        <v>1000</v>
      </c>
      <c r="L157" s="52">
        <f t="shared" ca="1" si="706"/>
        <v>1000</v>
      </c>
      <c r="M157" s="52">
        <f t="shared" ca="1" si="706"/>
        <v>1000</v>
      </c>
      <c r="N157" s="52">
        <f t="shared" ca="1" si="706"/>
        <v>1000</v>
      </c>
      <c r="O157" s="52">
        <f t="shared" ca="1" si="706"/>
        <v>1000</v>
      </c>
      <c r="P157" s="52">
        <f t="shared" ca="1" si="706"/>
        <v>1000</v>
      </c>
      <c r="Q157" s="52">
        <f t="shared" ca="1" si="706"/>
        <v>1000</v>
      </c>
      <c r="R157" s="52">
        <f t="shared" ca="1" si="706"/>
        <v>1000</v>
      </c>
      <c r="X157" s="12" t="s">
        <v>368</v>
      </c>
      <c r="Y157" s="224" t="s">
        <v>211</v>
      </c>
      <c r="AA157" s="52">
        <f t="shared" ref="AA157:AL157" ca="1" si="707">INDEX(tbl_TCO_input,MATCH(
_xlfn.TEXTJOIN(keydelim,TRUE,AA24,$D156),rows_TCO_ID,0),MATCH(AA$6,cols_TCO_input,0))</f>
        <v>1000</v>
      </c>
      <c r="AB157" s="52">
        <f t="shared" ca="1" si="707"/>
        <v>1000</v>
      </c>
      <c r="AC157" s="52">
        <f t="shared" ca="1" si="707"/>
        <v>1000</v>
      </c>
      <c r="AD157" s="52">
        <f t="shared" ca="1" si="707"/>
        <v>1000</v>
      </c>
      <c r="AE157" s="52">
        <f t="shared" ca="1" si="707"/>
        <v>1000</v>
      </c>
      <c r="AF157" s="52">
        <f t="shared" ca="1" si="707"/>
        <v>1000</v>
      </c>
      <c r="AG157" s="52">
        <f t="shared" ca="1" si="707"/>
        <v>1000</v>
      </c>
      <c r="AH157" s="52">
        <f t="shared" ca="1" si="707"/>
        <v>1000</v>
      </c>
      <c r="AI157" s="52">
        <f t="shared" ca="1" si="707"/>
        <v>1000</v>
      </c>
      <c r="AJ157" s="52">
        <f t="shared" ca="1" si="707"/>
        <v>1000</v>
      </c>
      <c r="AK157" s="52">
        <f t="shared" ca="1" si="707"/>
        <v>1000</v>
      </c>
      <c r="AL157" s="52">
        <f t="shared" ca="1" si="707"/>
        <v>1000</v>
      </c>
      <c r="AR157" s="12" t="s">
        <v>368</v>
      </c>
      <c r="AS157" s="224" t="s">
        <v>211</v>
      </c>
      <c r="AU157" s="52">
        <f t="shared" ref="AU157:BF157" ca="1" si="708">INDEX(tbl_TCO_input,MATCH(
_xlfn.TEXTJOIN(keydelim,TRUE,AU24,$D156),rows_TCO_ID,0),MATCH(AU$6,cols_TCO_input,0))</f>
        <v>1000</v>
      </c>
      <c r="AV157" s="52">
        <f t="shared" ca="1" si="708"/>
        <v>1000</v>
      </c>
      <c r="AW157" s="52">
        <f t="shared" ca="1" si="708"/>
        <v>1000</v>
      </c>
      <c r="AX157" s="52">
        <f t="shared" ca="1" si="708"/>
        <v>1000</v>
      </c>
      <c r="AY157" s="52">
        <f t="shared" ca="1" si="708"/>
        <v>1000</v>
      </c>
      <c r="AZ157" s="52">
        <f t="shared" ca="1" si="708"/>
        <v>1000</v>
      </c>
      <c r="BA157" s="52">
        <f t="shared" ca="1" si="708"/>
        <v>1000</v>
      </c>
      <c r="BB157" s="52">
        <f t="shared" ca="1" si="708"/>
        <v>1000</v>
      </c>
      <c r="BC157" s="52">
        <f t="shared" ca="1" si="708"/>
        <v>1000</v>
      </c>
      <c r="BD157" s="52">
        <f t="shared" ca="1" si="708"/>
        <v>1000</v>
      </c>
      <c r="BE157" s="52">
        <f t="shared" ca="1" si="708"/>
        <v>1000</v>
      </c>
      <c r="BF157" s="52">
        <f t="shared" ca="1" si="708"/>
        <v>1000</v>
      </c>
      <c r="BL157" s="12" t="s">
        <v>368</v>
      </c>
      <c r="BM157" s="224" t="s">
        <v>211</v>
      </c>
      <c r="BO157" s="52">
        <f t="shared" ref="BO157:BZ157" ca="1" si="709">INDEX(tbl_TCO_input,MATCH(
_xlfn.TEXTJOIN(keydelim,TRUE,BO24,$D156),rows_TCO_ID,0),MATCH(BO$6,cols_TCO_input,0))</f>
        <v>1000</v>
      </c>
      <c r="BP157" s="52">
        <f t="shared" ca="1" si="709"/>
        <v>1000</v>
      </c>
      <c r="BQ157" s="52">
        <f t="shared" ca="1" si="709"/>
        <v>1000</v>
      </c>
      <c r="BR157" s="52">
        <f t="shared" ca="1" si="709"/>
        <v>1000</v>
      </c>
      <c r="BS157" s="52">
        <f t="shared" ca="1" si="709"/>
        <v>1000</v>
      </c>
      <c r="BT157" s="52">
        <f t="shared" ca="1" si="709"/>
        <v>1000</v>
      </c>
      <c r="BU157" s="52">
        <f t="shared" ca="1" si="709"/>
        <v>1000</v>
      </c>
      <c r="BV157" s="52">
        <f t="shared" ca="1" si="709"/>
        <v>1000</v>
      </c>
      <c r="BW157" s="52">
        <f t="shared" ca="1" si="709"/>
        <v>1000</v>
      </c>
      <c r="BX157" s="52">
        <f t="shared" ca="1" si="709"/>
        <v>1000</v>
      </c>
      <c r="BY157" s="52">
        <f t="shared" ca="1" si="709"/>
        <v>1000</v>
      </c>
      <c r="BZ157" s="52">
        <f t="shared" ca="1" si="709"/>
        <v>1000</v>
      </c>
      <c r="CF157" s="12" t="s">
        <v>368</v>
      </c>
      <c r="CG157" s="224" t="s">
        <v>211</v>
      </c>
      <c r="CI157" s="52">
        <f t="shared" ref="CI157:CT157" ca="1" si="710">INDEX(tbl_TCO_input,MATCH(
_xlfn.TEXTJOIN(keydelim,TRUE,CI24,$D156),rows_TCO_ID,0),MATCH(CI$6,cols_TCO_input,0))</f>
        <v>1000</v>
      </c>
      <c r="CJ157" s="52">
        <f t="shared" ca="1" si="710"/>
        <v>1000</v>
      </c>
      <c r="CK157" s="52">
        <f t="shared" ca="1" si="710"/>
        <v>1000</v>
      </c>
      <c r="CL157" s="52">
        <f t="shared" ca="1" si="710"/>
        <v>1000</v>
      </c>
      <c r="CM157" s="52">
        <f t="shared" ca="1" si="710"/>
        <v>1000</v>
      </c>
      <c r="CN157" s="52">
        <f t="shared" ca="1" si="710"/>
        <v>1000</v>
      </c>
      <c r="CO157" s="52">
        <f t="shared" ca="1" si="710"/>
        <v>1000</v>
      </c>
      <c r="CP157" s="52">
        <f t="shared" ca="1" si="710"/>
        <v>1000</v>
      </c>
      <c r="CQ157" s="52">
        <f t="shared" ca="1" si="710"/>
        <v>1000</v>
      </c>
      <c r="CR157" s="52">
        <f t="shared" ca="1" si="710"/>
        <v>1000</v>
      </c>
      <c r="CS157" s="52">
        <f t="shared" ca="1" si="710"/>
        <v>1000</v>
      </c>
      <c r="CT157" s="52">
        <f t="shared" ca="1" si="710"/>
        <v>1000</v>
      </c>
    </row>
    <row r="158" spans="2:100" x14ac:dyDescent="0.2">
      <c r="C158" s="48"/>
      <c r="D158" s="3"/>
      <c r="E158" s="224"/>
      <c r="G158" s="52"/>
      <c r="H158" s="52"/>
      <c r="I158" s="52"/>
      <c r="J158" s="52"/>
      <c r="K158" s="52"/>
      <c r="L158" s="52"/>
      <c r="M158" s="52"/>
      <c r="N158" s="52"/>
      <c r="O158" s="52"/>
      <c r="P158" s="52"/>
      <c r="Q158" s="52"/>
      <c r="R158" s="52"/>
      <c r="X158" s="12"/>
      <c r="Y158" s="224"/>
      <c r="AA158" s="52"/>
      <c r="AB158" s="52"/>
      <c r="AC158" s="52"/>
      <c r="AD158" s="52"/>
      <c r="AE158" s="52"/>
      <c r="AF158" s="52"/>
      <c r="AG158" s="52"/>
      <c r="AH158" s="52"/>
      <c r="AI158" s="52"/>
      <c r="AJ158" s="52"/>
      <c r="AK158" s="52"/>
      <c r="AL158" s="52"/>
      <c r="AR158" s="12"/>
      <c r="AS158" s="224"/>
      <c r="AU158" s="52"/>
      <c r="AV158" s="52"/>
      <c r="AW158" s="52"/>
      <c r="AX158" s="52"/>
      <c r="AY158" s="52"/>
      <c r="AZ158" s="52"/>
      <c r="BA158" s="52"/>
      <c r="BB158" s="52"/>
      <c r="BC158" s="52"/>
      <c r="BD158" s="52"/>
      <c r="BE158" s="52"/>
      <c r="BF158" s="52"/>
      <c r="BL158" s="12"/>
      <c r="BM158" s="224"/>
      <c r="BO158" s="52"/>
      <c r="BP158" s="52"/>
      <c r="BQ158" s="52"/>
      <c r="BR158" s="52"/>
      <c r="BS158" s="52"/>
      <c r="BT158" s="52"/>
      <c r="BU158" s="52"/>
      <c r="BV158" s="52"/>
      <c r="BW158" s="52"/>
      <c r="BX158" s="52"/>
      <c r="BY158" s="52"/>
      <c r="BZ158" s="52"/>
      <c r="CF158" s="12"/>
      <c r="CG158" s="224"/>
      <c r="CI158" s="52"/>
      <c r="CJ158" s="52"/>
      <c r="CK158" s="52"/>
      <c r="CL158" s="52"/>
      <c r="CM158" s="52"/>
      <c r="CN158" s="52"/>
      <c r="CO158" s="52"/>
      <c r="CP158" s="52"/>
      <c r="CQ158" s="52"/>
      <c r="CR158" s="52"/>
      <c r="CS158" s="52"/>
      <c r="CT158" s="52"/>
    </row>
    <row r="159" spans="2:100" s="280" customFormat="1" x14ac:dyDescent="0.2">
      <c r="C159" s="294" t="s">
        <v>369</v>
      </c>
      <c r="D159" s="294" t="s">
        <v>369</v>
      </c>
      <c r="E159" s="295" t="s">
        <v>211</v>
      </c>
      <c r="F159" s="295"/>
      <c r="G159" s="311">
        <f t="shared" ref="G159:R159" ca="1" si="711">INDEX(tbl_TCO_input,MATCH(
_xlfn.TEXTJOIN(keydelim,TRUE,G$9,G$10,$D159),rows_TCO_ID,0),MATCH(G$6,cols_TCO_input,0))*10^6</f>
        <v>2100000</v>
      </c>
      <c r="H159" s="311">
        <f t="shared" ca="1" si="711"/>
        <v>2100000</v>
      </c>
      <c r="I159" s="311">
        <f t="shared" ca="1" si="711"/>
        <v>2100000</v>
      </c>
      <c r="J159" s="311">
        <f t="shared" ca="1" si="711"/>
        <v>2100000</v>
      </c>
      <c r="K159" s="311">
        <f t="shared" ca="1" si="711"/>
        <v>2100000</v>
      </c>
      <c r="L159" s="311">
        <f t="shared" ca="1" si="711"/>
        <v>2100000</v>
      </c>
      <c r="M159" s="311">
        <f t="shared" ca="1" si="711"/>
        <v>2100000</v>
      </c>
      <c r="N159" s="311">
        <f t="shared" ca="1" si="711"/>
        <v>2100000</v>
      </c>
      <c r="O159" s="311">
        <f t="shared" ca="1" si="711"/>
        <v>2100000</v>
      </c>
      <c r="P159" s="311">
        <f t="shared" ca="1" si="711"/>
        <v>2100000</v>
      </c>
      <c r="Q159" s="311">
        <f t="shared" ca="1" si="711"/>
        <v>2100000</v>
      </c>
      <c r="R159" s="311">
        <f t="shared" ca="1" si="711"/>
        <v>2100000</v>
      </c>
      <c r="X159" s="297" t="s">
        <v>369</v>
      </c>
      <c r="Y159" s="295" t="s">
        <v>211</v>
      </c>
      <c r="Z159" s="295"/>
      <c r="AA159" s="311">
        <f t="shared" ref="AA159:AL159" ca="1" si="712">INDEX(tbl_TCO_input,MATCH(
_xlfn.TEXTJOIN(keydelim,TRUE,AA$9,AA$10,$D159),rows_TCO_ID,0),MATCH(AA$6,cols_TCO_input,0))*10^6</f>
        <v>2100000</v>
      </c>
      <c r="AB159" s="311">
        <f t="shared" ca="1" si="712"/>
        <v>2100000</v>
      </c>
      <c r="AC159" s="311">
        <f t="shared" ca="1" si="712"/>
        <v>2100000</v>
      </c>
      <c r="AD159" s="311">
        <f t="shared" ca="1" si="712"/>
        <v>2100000</v>
      </c>
      <c r="AE159" s="311">
        <f t="shared" ca="1" si="712"/>
        <v>2100000</v>
      </c>
      <c r="AF159" s="311">
        <f t="shared" ca="1" si="712"/>
        <v>2100000</v>
      </c>
      <c r="AG159" s="311">
        <f t="shared" ca="1" si="712"/>
        <v>2100000</v>
      </c>
      <c r="AH159" s="311">
        <f t="shared" ca="1" si="712"/>
        <v>2100000</v>
      </c>
      <c r="AI159" s="311">
        <f t="shared" ca="1" si="712"/>
        <v>2100000</v>
      </c>
      <c r="AJ159" s="311">
        <f t="shared" ca="1" si="712"/>
        <v>2100000</v>
      </c>
      <c r="AK159" s="311">
        <f t="shared" ca="1" si="712"/>
        <v>2100000</v>
      </c>
      <c r="AL159" s="311">
        <f t="shared" ca="1" si="712"/>
        <v>2100000</v>
      </c>
      <c r="AR159" s="297" t="s">
        <v>369</v>
      </c>
      <c r="AS159" s="295" t="s">
        <v>211</v>
      </c>
      <c r="AT159" s="295"/>
      <c r="AU159" s="311">
        <f t="shared" ref="AU159:BF159" ca="1" si="713">INDEX(tbl_TCO_input,MATCH(
_xlfn.TEXTJOIN(keydelim,TRUE,AU$9,AU$10,$D159),rows_TCO_ID,0),MATCH(AU$6,cols_TCO_input,0))*10^6</f>
        <v>2100000</v>
      </c>
      <c r="AV159" s="311">
        <f t="shared" ca="1" si="713"/>
        <v>2100000</v>
      </c>
      <c r="AW159" s="311">
        <f t="shared" ca="1" si="713"/>
        <v>2100000</v>
      </c>
      <c r="AX159" s="311">
        <f t="shared" ca="1" si="713"/>
        <v>2100000</v>
      </c>
      <c r="AY159" s="311">
        <f t="shared" ca="1" si="713"/>
        <v>2100000</v>
      </c>
      <c r="AZ159" s="311">
        <f t="shared" ca="1" si="713"/>
        <v>2100000</v>
      </c>
      <c r="BA159" s="311">
        <f t="shared" ca="1" si="713"/>
        <v>2100000</v>
      </c>
      <c r="BB159" s="311">
        <f t="shared" ca="1" si="713"/>
        <v>2100000</v>
      </c>
      <c r="BC159" s="311">
        <f t="shared" ca="1" si="713"/>
        <v>2100000</v>
      </c>
      <c r="BD159" s="311">
        <f t="shared" ca="1" si="713"/>
        <v>2100000</v>
      </c>
      <c r="BE159" s="311">
        <f t="shared" ca="1" si="713"/>
        <v>2100000</v>
      </c>
      <c r="BF159" s="311">
        <f t="shared" ca="1" si="713"/>
        <v>2100000</v>
      </c>
      <c r="BG159" s="4"/>
      <c r="BH159" s="4"/>
      <c r="BL159" s="297" t="s">
        <v>369</v>
      </c>
      <c r="BM159" s="295" t="s">
        <v>211</v>
      </c>
      <c r="BN159" s="295"/>
      <c r="BO159" s="311">
        <f t="shared" ref="BO159:BZ159" ca="1" si="714">INDEX(tbl_TCO_input,MATCH(
_xlfn.TEXTJOIN(keydelim,TRUE,BO$9,BO$10,$D159),rows_TCO_ID,0),MATCH(BO$6,cols_TCO_input,0))*10^6</f>
        <v>2100000</v>
      </c>
      <c r="BP159" s="311">
        <f t="shared" ca="1" si="714"/>
        <v>2100000</v>
      </c>
      <c r="BQ159" s="311">
        <f t="shared" ca="1" si="714"/>
        <v>2100000</v>
      </c>
      <c r="BR159" s="311">
        <f t="shared" ca="1" si="714"/>
        <v>2100000</v>
      </c>
      <c r="BS159" s="311">
        <f t="shared" ca="1" si="714"/>
        <v>2100000</v>
      </c>
      <c r="BT159" s="311">
        <f t="shared" ca="1" si="714"/>
        <v>2100000</v>
      </c>
      <c r="BU159" s="311">
        <f t="shared" ca="1" si="714"/>
        <v>2100000</v>
      </c>
      <c r="BV159" s="311">
        <f t="shared" ca="1" si="714"/>
        <v>2100000</v>
      </c>
      <c r="BW159" s="311">
        <f t="shared" ca="1" si="714"/>
        <v>2100000</v>
      </c>
      <c r="BX159" s="311">
        <f t="shared" ca="1" si="714"/>
        <v>2100000</v>
      </c>
      <c r="BY159" s="311">
        <f t="shared" ca="1" si="714"/>
        <v>2100000</v>
      </c>
      <c r="BZ159" s="311">
        <f t="shared" ca="1" si="714"/>
        <v>2100000</v>
      </c>
      <c r="CA159" s="4"/>
      <c r="CB159" s="4"/>
      <c r="CF159" s="297" t="s">
        <v>369</v>
      </c>
      <c r="CG159" s="295" t="s">
        <v>211</v>
      </c>
      <c r="CH159" s="295"/>
      <c r="CI159" s="311">
        <f t="shared" ref="CI159:CT159" ca="1" si="715">INDEX(tbl_TCO_input,MATCH(
_xlfn.TEXTJOIN(keydelim,TRUE,CI$9,CI$10,$D159),rows_TCO_ID,0),MATCH(CI$6,cols_TCO_input,0))*10^6</f>
        <v>2100000</v>
      </c>
      <c r="CJ159" s="311">
        <f t="shared" ca="1" si="715"/>
        <v>2100000</v>
      </c>
      <c r="CK159" s="311">
        <f t="shared" ca="1" si="715"/>
        <v>2100000</v>
      </c>
      <c r="CL159" s="311">
        <f t="shared" ca="1" si="715"/>
        <v>2100000</v>
      </c>
      <c r="CM159" s="311">
        <f t="shared" ca="1" si="715"/>
        <v>2100000</v>
      </c>
      <c r="CN159" s="311">
        <f t="shared" ca="1" si="715"/>
        <v>2100000</v>
      </c>
      <c r="CO159" s="311">
        <f t="shared" ca="1" si="715"/>
        <v>2100000</v>
      </c>
      <c r="CP159" s="311">
        <f t="shared" ca="1" si="715"/>
        <v>2100000</v>
      </c>
      <c r="CQ159" s="311">
        <f t="shared" ca="1" si="715"/>
        <v>2100000</v>
      </c>
      <c r="CR159" s="311">
        <f t="shared" ca="1" si="715"/>
        <v>2100000</v>
      </c>
      <c r="CS159" s="311">
        <f t="shared" ca="1" si="715"/>
        <v>2100000</v>
      </c>
      <c r="CT159" s="311">
        <f t="shared" ca="1" si="715"/>
        <v>2100000</v>
      </c>
      <c r="CU159" s="4"/>
      <c r="CV159" s="4"/>
    </row>
    <row r="160" spans="2:100" s="266" customFormat="1" x14ac:dyDescent="0.2">
      <c r="B160" s="313"/>
      <c r="C160" s="316"/>
      <c r="D160" s="316"/>
      <c r="E160" s="282"/>
      <c r="F160" s="282"/>
      <c r="G160" s="289"/>
      <c r="H160" s="289"/>
      <c r="I160" s="289"/>
      <c r="J160" s="289"/>
      <c r="K160" s="289"/>
      <c r="L160" s="289"/>
      <c r="M160" s="289"/>
      <c r="N160" s="289"/>
      <c r="O160" s="289"/>
      <c r="P160" s="289"/>
      <c r="Q160" s="289"/>
      <c r="R160" s="289"/>
      <c r="X160" s="285"/>
      <c r="Y160" s="282"/>
      <c r="Z160" s="282"/>
      <c r="AA160" s="289"/>
      <c r="AB160" s="289"/>
      <c r="AC160" s="289"/>
      <c r="AD160" s="289"/>
      <c r="AE160" s="289"/>
      <c r="AF160" s="289"/>
      <c r="AG160" s="289"/>
      <c r="AH160" s="289"/>
      <c r="AI160" s="289"/>
      <c r="AJ160" s="289"/>
      <c r="AK160" s="289"/>
      <c r="AL160" s="289"/>
      <c r="AR160" s="285"/>
      <c r="AS160" s="282"/>
      <c r="AT160" s="282"/>
      <c r="AU160" s="289"/>
      <c r="AV160" s="289"/>
      <c r="AW160" s="289"/>
      <c r="AX160" s="289"/>
      <c r="AY160" s="289"/>
      <c r="AZ160" s="289"/>
      <c r="BA160" s="289"/>
      <c r="BB160" s="289"/>
      <c r="BC160" s="289"/>
      <c r="BD160" s="289"/>
      <c r="BE160" s="289"/>
      <c r="BF160" s="289"/>
      <c r="BG160"/>
      <c r="BH160"/>
      <c r="BL160" s="285"/>
      <c r="BM160" s="282"/>
      <c r="BN160" s="282"/>
      <c r="BO160" s="289"/>
      <c r="BP160" s="289"/>
      <c r="BQ160" s="289"/>
      <c r="BR160" s="289"/>
      <c r="BS160" s="289"/>
      <c r="BT160" s="289"/>
      <c r="BU160" s="289"/>
      <c r="BV160" s="289"/>
      <c r="BW160" s="289"/>
      <c r="BX160" s="289"/>
      <c r="BY160" s="289"/>
      <c r="BZ160" s="289"/>
      <c r="CA160"/>
      <c r="CB160"/>
      <c r="CF160" s="285"/>
      <c r="CG160" s="282"/>
      <c r="CH160" s="282"/>
      <c r="CI160" s="289"/>
      <c r="CJ160" s="289"/>
      <c r="CK160" s="289"/>
      <c r="CL160" s="289"/>
      <c r="CM160" s="289"/>
      <c r="CN160" s="289"/>
      <c r="CO160" s="289"/>
      <c r="CP160" s="289"/>
      <c r="CQ160" s="289"/>
      <c r="CR160" s="289"/>
      <c r="CS160" s="289"/>
      <c r="CT160" s="289"/>
      <c r="CU160"/>
      <c r="CV160"/>
    </row>
    <row r="161" spans="2:100" s="280" customFormat="1" x14ac:dyDescent="0.2">
      <c r="C161" s="294" t="s">
        <v>76</v>
      </c>
      <c r="D161" s="294" t="s">
        <v>370</v>
      </c>
      <c r="E161" s="295" t="s">
        <v>287</v>
      </c>
      <c r="F161" s="281"/>
      <c r="G161" s="314">
        <f>G162+G165</f>
        <v>3500000</v>
      </c>
      <c r="H161" s="314">
        <f>H162+H165</f>
        <v>3500000</v>
      </c>
      <c r="I161" s="314">
        <f t="shared" ref="I161:R161" si="716">I162+I165</f>
        <v>3500000</v>
      </c>
      <c r="J161" s="314">
        <f t="shared" si="716"/>
        <v>3500000</v>
      </c>
      <c r="K161" s="314">
        <f t="shared" si="716"/>
        <v>3500000</v>
      </c>
      <c r="L161" s="314">
        <f t="shared" si="716"/>
        <v>3500000</v>
      </c>
      <c r="M161" s="314">
        <f t="shared" si="716"/>
        <v>3500000</v>
      </c>
      <c r="N161" s="314">
        <f t="shared" si="716"/>
        <v>3500000</v>
      </c>
      <c r="O161" s="314">
        <f t="shared" si="716"/>
        <v>3500000</v>
      </c>
      <c r="P161" s="314">
        <f t="shared" si="716"/>
        <v>3500000</v>
      </c>
      <c r="Q161" s="314">
        <f t="shared" si="716"/>
        <v>3500000</v>
      </c>
      <c r="R161" s="314">
        <f t="shared" si="716"/>
        <v>3500000</v>
      </c>
      <c r="X161" s="297" t="s">
        <v>370</v>
      </c>
      <c r="Y161" s="295" t="s">
        <v>287</v>
      </c>
      <c r="Z161" s="281"/>
      <c r="AA161" s="314">
        <f>AA162+AA165</f>
        <v>3500000</v>
      </c>
      <c r="AB161" s="314">
        <f>AB162+AB165</f>
        <v>3500000</v>
      </c>
      <c r="AC161" s="314">
        <f t="shared" ref="AC161:AL161" si="717">AC162+AC165</f>
        <v>3500000</v>
      </c>
      <c r="AD161" s="314">
        <f t="shared" si="717"/>
        <v>3500000</v>
      </c>
      <c r="AE161" s="314">
        <f t="shared" si="717"/>
        <v>3500000</v>
      </c>
      <c r="AF161" s="314">
        <f t="shared" si="717"/>
        <v>3500000</v>
      </c>
      <c r="AG161" s="314">
        <f t="shared" si="717"/>
        <v>3500000</v>
      </c>
      <c r="AH161" s="314">
        <f t="shared" si="717"/>
        <v>3500000</v>
      </c>
      <c r="AI161" s="314">
        <f t="shared" si="717"/>
        <v>3500000</v>
      </c>
      <c r="AJ161" s="314">
        <f t="shared" si="717"/>
        <v>3500000</v>
      </c>
      <c r="AK161" s="314">
        <f t="shared" si="717"/>
        <v>3500000</v>
      </c>
      <c r="AL161" s="314">
        <f t="shared" si="717"/>
        <v>3500000</v>
      </c>
      <c r="AR161" s="297" t="s">
        <v>370</v>
      </c>
      <c r="AS161" s="295" t="s">
        <v>287</v>
      </c>
      <c r="AT161" s="281"/>
      <c r="AU161" s="314">
        <f>AU162+AU165</f>
        <v>3500000</v>
      </c>
      <c r="AV161" s="314">
        <f>AV162+AV165</f>
        <v>3500000</v>
      </c>
      <c r="AW161" s="314">
        <f t="shared" ref="AW161:BF161" si="718">AW162+AW165</f>
        <v>3500000</v>
      </c>
      <c r="AX161" s="314">
        <f t="shared" si="718"/>
        <v>3500000</v>
      </c>
      <c r="AY161" s="314">
        <f t="shared" si="718"/>
        <v>3500000</v>
      </c>
      <c r="AZ161" s="314">
        <f t="shared" si="718"/>
        <v>3500000</v>
      </c>
      <c r="BA161" s="314">
        <f t="shared" si="718"/>
        <v>3500000</v>
      </c>
      <c r="BB161" s="314">
        <f t="shared" si="718"/>
        <v>3500000</v>
      </c>
      <c r="BC161" s="314">
        <f t="shared" si="718"/>
        <v>3500000</v>
      </c>
      <c r="BD161" s="314">
        <f t="shared" si="718"/>
        <v>3500000</v>
      </c>
      <c r="BE161" s="314">
        <f t="shared" si="718"/>
        <v>3500000</v>
      </c>
      <c r="BF161" s="314">
        <f t="shared" si="718"/>
        <v>3500000</v>
      </c>
      <c r="BG161" s="4"/>
      <c r="BH161" s="4"/>
      <c r="BL161" s="297" t="s">
        <v>370</v>
      </c>
      <c r="BM161" s="295" t="s">
        <v>287</v>
      </c>
      <c r="BN161" s="281"/>
      <c r="BO161" s="314">
        <f>BO162+BO165</f>
        <v>3500000</v>
      </c>
      <c r="BP161" s="314">
        <f>BP162+BP165</f>
        <v>3500000</v>
      </c>
      <c r="BQ161" s="314">
        <f t="shared" ref="BQ161:BZ161" si="719">BQ162+BQ165</f>
        <v>3500000</v>
      </c>
      <c r="BR161" s="314">
        <f t="shared" si="719"/>
        <v>3500000</v>
      </c>
      <c r="BS161" s="314">
        <f t="shared" si="719"/>
        <v>3500000</v>
      </c>
      <c r="BT161" s="314">
        <f t="shared" si="719"/>
        <v>3500000</v>
      </c>
      <c r="BU161" s="314">
        <f t="shared" si="719"/>
        <v>3500000</v>
      </c>
      <c r="BV161" s="314">
        <f t="shared" si="719"/>
        <v>3500000</v>
      </c>
      <c r="BW161" s="314">
        <f t="shared" si="719"/>
        <v>3500000</v>
      </c>
      <c r="BX161" s="314">
        <f t="shared" si="719"/>
        <v>3500000</v>
      </c>
      <c r="BY161" s="314">
        <f t="shared" si="719"/>
        <v>3500000</v>
      </c>
      <c r="BZ161" s="314">
        <f t="shared" si="719"/>
        <v>3500000</v>
      </c>
      <c r="CA161" s="4"/>
      <c r="CB161" s="4"/>
      <c r="CF161" s="297" t="s">
        <v>370</v>
      </c>
      <c r="CG161" s="295" t="s">
        <v>287</v>
      </c>
      <c r="CH161" s="281"/>
      <c r="CI161" s="314">
        <f>CI162+CI165</f>
        <v>3500000</v>
      </c>
      <c r="CJ161" s="314">
        <f>CJ162+CJ165</f>
        <v>3500000</v>
      </c>
      <c r="CK161" s="314">
        <f t="shared" ref="CK161:CT161" si="720">CK162+CK165</f>
        <v>3500000</v>
      </c>
      <c r="CL161" s="314">
        <f t="shared" si="720"/>
        <v>3500000</v>
      </c>
      <c r="CM161" s="314">
        <f t="shared" si="720"/>
        <v>3500000</v>
      </c>
      <c r="CN161" s="314">
        <f t="shared" si="720"/>
        <v>3500000</v>
      </c>
      <c r="CO161" s="314">
        <f t="shared" si="720"/>
        <v>3500000</v>
      </c>
      <c r="CP161" s="314">
        <f t="shared" si="720"/>
        <v>3500000</v>
      </c>
      <c r="CQ161" s="314">
        <f t="shared" si="720"/>
        <v>3500000</v>
      </c>
      <c r="CR161" s="314">
        <f t="shared" si="720"/>
        <v>3500000</v>
      </c>
      <c r="CS161" s="314">
        <f t="shared" si="720"/>
        <v>3500000</v>
      </c>
      <c r="CT161" s="314">
        <f t="shared" si="720"/>
        <v>3500000</v>
      </c>
      <c r="CU161" s="4"/>
      <c r="CV161" s="4"/>
    </row>
    <row r="162" spans="2:100" s="266" customFormat="1" hidden="1" outlineLevel="1" x14ac:dyDescent="0.2">
      <c r="B162" s="285"/>
      <c r="C162" s="316"/>
      <c r="D162" s="3" t="s">
        <v>371</v>
      </c>
      <c r="E162" s="224" t="s">
        <v>287</v>
      </c>
      <c r="F162" s="224"/>
      <c r="G162" s="22">
        <f>G164*G163</f>
        <v>3500000</v>
      </c>
      <c r="H162" s="22">
        <f>H164*H163</f>
        <v>3500000</v>
      </c>
      <c r="I162" s="22">
        <f t="shared" ref="I162:R162" si="721">I164*I163</f>
        <v>3500000</v>
      </c>
      <c r="J162" s="22">
        <f t="shared" si="721"/>
        <v>3500000</v>
      </c>
      <c r="K162" s="22">
        <f t="shared" si="721"/>
        <v>3500000</v>
      </c>
      <c r="L162" s="22">
        <f t="shared" si="721"/>
        <v>3500000</v>
      </c>
      <c r="M162" s="22">
        <f t="shared" si="721"/>
        <v>3500000</v>
      </c>
      <c r="N162" s="22">
        <f t="shared" si="721"/>
        <v>3500000</v>
      </c>
      <c r="O162" s="22">
        <f t="shared" si="721"/>
        <v>3500000</v>
      </c>
      <c r="P162" s="22">
        <f t="shared" si="721"/>
        <v>3500000</v>
      </c>
      <c r="Q162" s="22">
        <f t="shared" si="721"/>
        <v>3500000</v>
      </c>
      <c r="R162" s="22">
        <f t="shared" si="721"/>
        <v>3500000</v>
      </c>
      <c r="X162" s="12" t="s">
        <v>371</v>
      </c>
      <c r="Y162" s="224" t="s">
        <v>287</v>
      </c>
      <c r="Z162" s="224"/>
      <c r="AA162" s="22">
        <f>AA164*AA163</f>
        <v>3500000</v>
      </c>
      <c r="AB162" s="22">
        <f>AB164*AB163</f>
        <v>3500000</v>
      </c>
      <c r="AC162" s="22">
        <f t="shared" ref="AC162:AL162" si="722">AC164*AC163</f>
        <v>3500000</v>
      </c>
      <c r="AD162" s="22">
        <f t="shared" si="722"/>
        <v>3500000</v>
      </c>
      <c r="AE162" s="22">
        <f t="shared" si="722"/>
        <v>3500000</v>
      </c>
      <c r="AF162" s="22">
        <f t="shared" si="722"/>
        <v>3500000</v>
      </c>
      <c r="AG162" s="22">
        <f t="shared" si="722"/>
        <v>3500000</v>
      </c>
      <c r="AH162" s="22">
        <f t="shared" si="722"/>
        <v>3500000</v>
      </c>
      <c r="AI162" s="22">
        <f t="shared" si="722"/>
        <v>3500000</v>
      </c>
      <c r="AJ162" s="22">
        <f t="shared" si="722"/>
        <v>3500000</v>
      </c>
      <c r="AK162" s="22">
        <f t="shared" si="722"/>
        <v>3500000</v>
      </c>
      <c r="AL162" s="22">
        <f t="shared" si="722"/>
        <v>3500000</v>
      </c>
      <c r="AR162" s="12" t="s">
        <v>371</v>
      </c>
      <c r="AS162" s="224" t="s">
        <v>287</v>
      </c>
      <c r="AT162" s="224"/>
      <c r="AU162" s="22">
        <f>AU164*AU163</f>
        <v>3500000</v>
      </c>
      <c r="AV162" s="22">
        <f>AV164*AV163</f>
        <v>3500000</v>
      </c>
      <c r="AW162" s="22">
        <f t="shared" ref="AW162:BF162" si="723">AW164*AW163</f>
        <v>3500000</v>
      </c>
      <c r="AX162" s="22">
        <f t="shared" si="723"/>
        <v>3500000</v>
      </c>
      <c r="AY162" s="22">
        <f t="shared" si="723"/>
        <v>3500000</v>
      </c>
      <c r="AZ162" s="22">
        <f t="shared" si="723"/>
        <v>3500000</v>
      </c>
      <c r="BA162" s="22">
        <f t="shared" si="723"/>
        <v>3500000</v>
      </c>
      <c r="BB162" s="22">
        <f t="shared" si="723"/>
        <v>3500000</v>
      </c>
      <c r="BC162" s="22">
        <f t="shared" si="723"/>
        <v>3500000</v>
      </c>
      <c r="BD162" s="22">
        <f t="shared" si="723"/>
        <v>3500000</v>
      </c>
      <c r="BE162" s="22">
        <f t="shared" si="723"/>
        <v>3500000</v>
      </c>
      <c r="BF162" s="22">
        <f t="shared" si="723"/>
        <v>3500000</v>
      </c>
      <c r="BG162"/>
      <c r="BH162"/>
      <c r="BL162" s="12" t="s">
        <v>371</v>
      </c>
      <c r="BM162" s="224" t="s">
        <v>287</v>
      </c>
      <c r="BN162" s="224"/>
      <c r="BO162" s="22">
        <f>BO164*BO163</f>
        <v>3500000</v>
      </c>
      <c r="BP162" s="22">
        <f>BP164*BP163</f>
        <v>3500000</v>
      </c>
      <c r="BQ162" s="22">
        <f t="shared" ref="BQ162:BZ162" si="724">BQ164*BQ163</f>
        <v>3500000</v>
      </c>
      <c r="BR162" s="22">
        <f t="shared" si="724"/>
        <v>3500000</v>
      </c>
      <c r="BS162" s="22">
        <f t="shared" si="724"/>
        <v>3500000</v>
      </c>
      <c r="BT162" s="22">
        <f t="shared" si="724"/>
        <v>3500000</v>
      </c>
      <c r="BU162" s="22">
        <f t="shared" si="724"/>
        <v>3500000</v>
      </c>
      <c r="BV162" s="22">
        <f t="shared" si="724"/>
        <v>3500000</v>
      </c>
      <c r="BW162" s="22">
        <f t="shared" si="724"/>
        <v>3500000</v>
      </c>
      <c r="BX162" s="22">
        <f t="shared" si="724"/>
        <v>3500000</v>
      </c>
      <c r="BY162" s="22">
        <f t="shared" si="724"/>
        <v>3500000</v>
      </c>
      <c r="BZ162" s="22">
        <f t="shared" si="724"/>
        <v>3500000</v>
      </c>
      <c r="CA162"/>
      <c r="CB162"/>
      <c r="CF162" s="12" t="s">
        <v>371</v>
      </c>
      <c r="CG162" s="224" t="s">
        <v>287</v>
      </c>
      <c r="CH162" s="224"/>
      <c r="CI162" s="22">
        <f>CI164*CI163</f>
        <v>3500000</v>
      </c>
      <c r="CJ162" s="22">
        <f>CJ164*CJ163</f>
        <v>3500000</v>
      </c>
      <c r="CK162" s="22">
        <f t="shared" ref="CK162:CT162" si="725">CK164*CK163</f>
        <v>3500000</v>
      </c>
      <c r="CL162" s="22">
        <f t="shared" si="725"/>
        <v>3500000</v>
      </c>
      <c r="CM162" s="22">
        <f t="shared" si="725"/>
        <v>3500000</v>
      </c>
      <c r="CN162" s="22">
        <f t="shared" si="725"/>
        <v>3500000</v>
      </c>
      <c r="CO162" s="22">
        <f t="shared" si="725"/>
        <v>3500000</v>
      </c>
      <c r="CP162" s="22">
        <f t="shared" si="725"/>
        <v>3500000</v>
      </c>
      <c r="CQ162" s="22">
        <f t="shared" si="725"/>
        <v>3500000</v>
      </c>
      <c r="CR162" s="22">
        <f t="shared" si="725"/>
        <v>3500000</v>
      </c>
      <c r="CS162" s="22">
        <f t="shared" si="725"/>
        <v>3500000</v>
      </c>
      <c r="CT162" s="22">
        <f t="shared" si="725"/>
        <v>3500000</v>
      </c>
      <c r="CU162"/>
      <c r="CV162"/>
    </row>
    <row r="163" spans="2:100" s="266" customFormat="1" hidden="1" outlineLevel="1" x14ac:dyDescent="0.2">
      <c r="B163" s="285"/>
      <c r="C163" s="316"/>
      <c r="D163" s="3" t="s">
        <v>372</v>
      </c>
      <c r="E163" s="224" t="s">
        <v>373</v>
      </c>
      <c r="F163" s="224"/>
      <c r="G163" s="22">
        <f>INDEX('Vessel Profiles - Input'!$E$3:$L$15,MATCH('Calculation - Detailed'!$D163,'Vessel Profiles - Input'!$E3:$E15,0),MATCH(G$9,'Vessel Profiles - Input'!$E$3:$L$3,0))</f>
        <v>100</v>
      </c>
      <c r="H163" s="22">
        <f>INDEX('Vessel Profiles - Input'!$E$3:$L$15,MATCH('Calculation - Detailed'!$D163,'Vessel Profiles - Input'!$E3:$E15,0),MATCH(H$9,'Vessel Profiles - Input'!$E$3:$L$3,0))</f>
        <v>100</v>
      </c>
      <c r="I163" s="22">
        <f>INDEX('Vessel Profiles - Input'!$E$3:$L$15,MATCH('Calculation - Detailed'!$D163,'Vessel Profiles - Input'!$E3:$E15,0),MATCH(I$9,'Vessel Profiles - Input'!$E$3:$L$3,0))</f>
        <v>100</v>
      </c>
      <c r="J163" s="22">
        <f>INDEX('Vessel Profiles - Input'!$E$3:$L$15,MATCH('Calculation - Detailed'!$D163,'Vessel Profiles - Input'!$E3:$E15,0),MATCH(J$9,'Vessel Profiles - Input'!$E$3:$L$3,0))</f>
        <v>100</v>
      </c>
      <c r="K163" s="22">
        <f>INDEX('Vessel Profiles - Input'!$E$3:$L$15,MATCH('Calculation - Detailed'!$D163,'Vessel Profiles - Input'!$E3:$E15,0),MATCH(K$9,'Vessel Profiles - Input'!$E$3:$L$3,0))</f>
        <v>100</v>
      </c>
      <c r="L163" s="22">
        <f>INDEX('Vessel Profiles - Input'!$E$3:$L$15,MATCH('Calculation - Detailed'!$D163,'Vessel Profiles - Input'!$E3:$E15,0),MATCH(L$9,'Vessel Profiles - Input'!$E$3:$L$3,0))</f>
        <v>100</v>
      </c>
      <c r="M163" s="22">
        <f>INDEX('Vessel Profiles - Input'!$E$3:$L$15,MATCH('Calculation - Detailed'!$D163,'Vessel Profiles - Input'!$E3:$E15,0),MATCH(M$9,'Vessel Profiles - Input'!$E$3:$L$3,0))</f>
        <v>100</v>
      </c>
      <c r="N163" s="22">
        <f>INDEX('Vessel Profiles - Input'!$E$3:$L$15,MATCH('Calculation - Detailed'!$D163,'Vessel Profiles - Input'!$E3:$E15,0),MATCH(N$9,'Vessel Profiles - Input'!$E$3:$L$3,0))</f>
        <v>100</v>
      </c>
      <c r="O163" s="22">
        <f>INDEX('Vessel Profiles - Input'!$E$3:$L$15,MATCH('Calculation - Detailed'!$D163,'Vessel Profiles - Input'!$E3:$E15,0),MATCH(O$9,'Vessel Profiles - Input'!$E$3:$L$3,0))</f>
        <v>100</v>
      </c>
      <c r="P163" s="22">
        <f>INDEX('Vessel Profiles - Input'!$E$3:$L$15,MATCH('Calculation - Detailed'!$D163,'Vessel Profiles - Input'!$E3:$E15,0),MATCH(P$9,'Vessel Profiles - Input'!$E$3:$L$3,0))</f>
        <v>100</v>
      </c>
      <c r="Q163" s="22">
        <f>INDEX('Vessel Profiles - Input'!$E$3:$L$15,MATCH('Calculation - Detailed'!$D163,'Vessel Profiles - Input'!$E3:$E15,0),MATCH(Q$9,'Vessel Profiles - Input'!$E$3:$L$3,0))</f>
        <v>100</v>
      </c>
      <c r="R163" s="22">
        <f>INDEX('Vessel Profiles - Input'!$E$3:$L$15,MATCH('Calculation - Detailed'!$D163,'Vessel Profiles - Input'!$E3:$E15,0),MATCH(R$9,'Vessel Profiles - Input'!$E$3:$L$3,0))</f>
        <v>100</v>
      </c>
      <c r="X163" s="12" t="s">
        <v>372</v>
      </c>
      <c r="Y163" s="224" t="s">
        <v>373</v>
      </c>
      <c r="Z163" s="224"/>
      <c r="AA163" s="22">
        <f>INDEX('Vessel Profiles - Input'!$E$3:$L$15,MATCH('Calculation - Detailed'!$D163,'Vessel Profiles - Input'!$E3:$E15,0),MATCH(AA$9,'Vessel Profiles - Input'!$E$3:$L$3,0))</f>
        <v>100</v>
      </c>
      <c r="AB163" s="22">
        <f>INDEX('Vessel Profiles - Input'!$E$3:$L$15,MATCH('Calculation - Detailed'!$D163,'Vessel Profiles - Input'!$E3:$E15,0),MATCH(AB$9,'Vessel Profiles - Input'!$E$3:$L$3,0))</f>
        <v>100</v>
      </c>
      <c r="AC163" s="22">
        <f>INDEX('Vessel Profiles - Input'!$E$3:$L$15,MATCH('Calculation - Detailed'!$D163,'Vessel Profiles - Input'!$E3:$E15,0),MATCH(AC$9,'Vessel Profiles - Input'!$E$3:$L$3,0))</f>
        <v>100</v>
      </c>
      <c r="AD163" s="22">
        <f>INDEX('Vessel Profiles - Input'!$E$3:$L$15,MATCH('Calculation - Detailed'!$D163,'Vessel Profiles - Input'!$E3:$E15,0),MATCH(AD$9,'Vessel Profiles - Input'!$E$3:$L$3,0))</f>
        <v>100</v>
      </c>
      <c r="AE163" s="22">
        <f>INDEX('Vessel Profiles - Input'!$E$3:$L$15,MATCH('Calculation - Detailed'!$D163,'Vessel Profiles - Input'!$E3:$E15,0),MATCH(AE$9,'Vessel Profiles - Input'!$E$3:$L$3,0))</f>
        <v>100</v>
      </c>
      <c r="AF163" s="22">
        <f>INDEX('Vessel Profiles - Input'!$E$3:$L$15,MATCH('Calculation - Detailed'!$D163,'Vessel Profiles - Input'!$E3:$E15,0),MATCH(AF$9,'Vessel Profiles - Input'!$E$3:$L$3,0))</f>
        <v>100</v>
      </c>
      <c r="AG163" s="22">
        <f>INDEX('Vessel Profiles - Input'!$E$3:$L$15,MATCH('Calculation - Detailed'!$D163,'Vessel Profiles - Input'!$E3:$E15,0),MATCH(AG$9,'Vessel Profiles - Input'!$E$3:$L$3,0))</f>
        <v>100</v>
      </c>
      <c r="AH163" s="22">
        <f>INDEX('Vessel Profiles - Input'!$E$3:$L$15,MATCH('Calculation - Detailed'!$D163,'Vessel Profiles - Input'!$E3:$E15,0),MATCH(AH$9,'Vessel Profiles - Input'!$E$3:$L$3,0))</f>
        <v>100</v>
      </c>
      <c r="AI163" s="22">
        <f>INDEX('Vessel Profiles - Input'!$E$3:$L$15,MATCH('Calculation - Detailed'!$D163,'Vessel Profiles - Input'!$E3:$E15,0),MATCH(AI$9,'Vessel Profiles - Input'!$E$3:$L$3,0))</f>
        <v>100</v>
      </c>
      <c r="AJ163" s="22">
        <f>INDEX('Vessel Profiles - Input'!$E$3:$L$15,MATCH('Calculation - Detailed'!$D163,'Vessel Profiles - Input'!$E3:$E15,0),MATCH(AJ$9,'Vessel Profiles - Input'!$E$3:$L$3,0))</f>
        <v>100</v>
      </c>
      <c r="AK163" s="22">
        <f>INDEX('Vessel Profiles - Input'!$E$3:$L$15,MATCH('Calculation - Detailed'!$D163,'Vessel Profiles - Input'!$E3:$E15,0),MATCH(AK$9,'Vessel Profiles - Input'!$E$3:$L$3,0))</f>
        <v>100</v>
      </c>
      <c r="AL163" s="22">
        <f>INDEX('Vessel Profiles - Input'!$E$3:$L$15,MATCH('Calculation - Detailed'!$D163,'Vessel Profiles - Input'!$E3:$E15,0),MATCH(AL$9,'Vessel Profiles - Input'!$E$3:$L$3,0))</f>
        <v>100</v>
      </c>
      <c r="AR163" s="12" t="s">
        <v>372</v>
      </c>
      <c r="AS163" s="224" t="s">
        <v>373</v>
      </c>
      <c r="AT163" s="224"/>
      <c r="AU163" s="22">
        <f>INDEX('Vessel Profiles - Input'!$E$3:$L$15,MATCH('Calculation - Detailed'!$D163,'Vessel Profiles - Input'!$E3:$E15,0),MATCH(AU$9,'Vessel Profiles - Input'!$E$3:$L$3,0))</f>
        <v>100</v>
      </c>
      <c r="AV163" s="22">
        <f>INDEX('Vessel Profiles - Input'!$E$3:$L$15,MATCH('Calculation - Detailed'!$D163,'Vessel Profiles - Input'!$E3:$E15,0),MATCH(AV$9,'Vessel Profiles - Input'!$E$3:$L$3,0))</f>
        <v>100</v>
      </c>
      <c r="AW163" s="22">
        <f>INDEX('Vessel Profiles - Input'!$E$3:$L$15,MATCH('Calculation - Detailed'!$D163,'Vessel Profiles - Input'!$E3:$E15,0),MATCH(AW$9,'Vessel Profiles - Input'!$E$3:$L$3,0))</f>
        <v>100</v>
      </c>
      <c r="AX163" s="22">
        <f>INDEX('Vessel Profiles - Input'!$E$3:$L$15,MATCH('Calculation - Detailed'!$D163,'Vessel Profiles - Input'!$E3:$E15,0),MATCH(AX$9,'Vessel Profiles - Input'!$E$3:$L$3,0))</f>
        <v>100</v>
      </c>
      <c r="AY163" s="22">
        <f>INDEX('Vessel Profiles - Input'!$E$3:$L$15,MATCH('Calculation - Detailed'!$D163,'Vessel Profiles - Input'!$E3:$E15,0),MATCH(AY$9,'Vessel Profiles - Input'!$E$3:$L$3,0))</f>
        <v>100</v>
      </c>
      <c r="AZ163" s="22">
        <f>INDEX('Vessel Profiles - Input'!$E$3:$L$15,MATCH('Calculation - Detailed'!$D163,'Vessel Profiles - Input'!$E3:$E15,0),MATCH(AZ$9,'Vessel Profiles - Input'!$E$3:$L$3,0))</f>
        <v>100</v>
      </c>
      <c r="BA163" s="22">
        <f>INDEX('Vessel Profiles - Input'!$E$3:$L$15,MATCH('Calculation - Detailed'!$D163,'Vessel Profiles - Input'!$E3:$E15,0),MATCH(BA$9,'Vessel Profiles - Input'!$E$3:$L$3,0))</f>
        <v>100</v>
      </c>
      <c r="BB163" s="22">
        <f>INDEX('Vessel Profiles - Input'!$E$3:$L$15,MATCH('Calculation - Detailed'!$D163,'Vessel Profiles - Input'!$E3:$E15,0),MATCH(BB$9,'Vessel Profiles - Input'!$E$3:$L$3,0))</f>
        <v>100</v>
      </c>
      <c r="BC163" s="22">
        <f>INDEX('Vessel Profiles - Input'!$E$3:$L$15,MATCH('Calculation - Detailed'!$D163,'Vessel Profiles - Input'!$E3:$E15,0),MATCH(BC$9,'Vessel Profiles - Input'!$E$3:$L$3,0))</f>
        <v>100</v>
      </c>
      <c r="BD163" s="22">
        <f>INDEX('Vessel Profiles - Input'!$E$3:$L$15,MATCH('Calculation - Detailed'!$D163,'Vessel Profiles - Input'!$E3:$E15,0),MATCH(BD$9,'Vessel Profiles - Input'!$E$3:$L$3,0))</f>
        <v>100</v>
      </c>
      <c r="BE163" s="22">
        <f>INDEX('Vessel Profiles - Input'!$E$3:$L$15,MATCH('Calculation - Detailed'!$D163,'Vessel Profiles - Input'!$E3:$E15,0),MATCH(BE$9,'Vessel Profiles - Input'!$E$3:$L$3,0))</f>
        <v>100</v>
      </c>
      <c r="BF163" s="22">
        <f>INDEX('Vessel Profiles - Input'!$E$3:$L$15,MATCH('Calculation - Detailed'!$D163,'Vessel Profiles - Input'!$E3:$E15,0),MATCH(BF$9,'Vessel Profiles - Input'!$E$3:$L$3,0))</f>
        <v>100</v>
      </c>
      <c r="BG163"/>
      <c r="BH163"/>
      <c r="BL163" s="12" t="s">
        <v>372</v>
      </c>
      <c r="BM163" s="224" t="s">
        <v>373</v>
      </c>
      <c r="BN163" s="224"/>
      <c r="BO163" s="22">
        <f>INDEX('Vessel Profiles - Input'!$E$3:$L$15,MATCH('Calculation - Detailed'!$D163,'Vessel Profiles - Input'!$E3:$E15,0),MATCH(BO$9,'Vessel Profiles - Input'!$E$3:$L$3,0))</f>
        <v>100</v>
      </c>
      <c r="BP163" s="22">
        <f>INDEX('Vessel Profiles - Input'!$E$3:$L$15,MATCH('Calculation - Detailed'!$D163,'Vessel Profiles - Input'!$E3:$E15,0),MATCH(BP$9,'Vessel Profiles - Input'!$E$3:$L$3,0))</f>
        <v>100</v>
      </c>
      <c r="BQ163" s="22">
        <f>INDEX('Vessel Profiles - Input'!$E$3:$L$15,MATCH('Calculation - Detailed'!$D163,'Vessel Profiles - Input'!$E3:$E15,0),MATCH(BQ$9,'Vessel Profiles - Input'!$E$3:$L$3,0))</f>
        <v>100</v>
      </c>
      <c r="BR163" s="22">
        <f>INDEX('Vessel Profiles - Input'!$E$3:$L$15,MATCH('Calculation - Detailed'!$D163,'Vessel Profiles - Input'!$E3:$E15,0),MATCH(BR$9,'Vessel Profiles - Input'!$E$3:$L$3,0))</f>
        <v>100</v>
      </c>
      <c r="BS163" s="22">
        <f>INDEX('Vessel Profiles - Input'!$E$3:$L$15,MATCH('Calculation - Detailed'!$D163,'Vessel Profiles - Input'!$E3:$E15,0),MATCH(BS$9,'Vessel Profiles - Input'!$E$3:$L$3,0))</f>
        <v>100</v>
      </c>
      <c r="BT163" s="22">
        <f>INDEX('Vessel Profiles - Input'!$E$3:$L$15,MATCH('Calculation - Detailed'!$D163,'Vessel Profiles - Input'!$E3:$E15,0),MATCH(BT$9,'Vessel Profiles - Input'!$E$3:$L$3,0))</f>
        <v>100</v>
      </c>
      <c r="BU163" s="22">
        <f>INDEX('Vessel Profiles - Input'!$E$3:$L$15,MATCH('Calculation - Detailed'!$D163,'Vessel Profiles - Input'!$E3:$E15,0),MATCH(BU$9,'Vessel Profiles - Input'!$E$3:$L$3,0))</f>
        <v>100</v>
      </c>
      <c r="BV163" s="22">
        <f>INDEX('Vessel Profiles - Input'!$E$3:$L$15,MATCH('Calculation - Detailed'!$D163,'Vessel Profiles - Input'!$E3:$E15,0),MATCH(BV$9,'Vessel Profiles - Input'!$E$3:$L$3,0))</f>
        <v>100</v>
      </c>
      <c r="BW163" s="22">
        <f>INDEX('Vessel Profiles - Input'!$E$3:$L$15,MATCH('Calculation - Detailed'!$D163,'Vessel Profiles - Input'!$E3:$E15,0),MATCH(BW$9,'Vessel Profiles - Input'!$E$3:$L$3,0))</f>
        <v>100</v>
      </c>
      <c r="BX163" s="22">
        <f>INDEX('Vessel Profiles - Input'!$E$3:$L$15,MATCH('Calculation - Detailed'!$D163,'Vessel Profiles - Input'!$E3:$E15,0),MATCH(BX$9,'Vessel Profiles - Input'!$E$3:$L$3,0))</f>
        <v>100</v>
      </c>
      <c r="BY163" s="22">
        <f>INDEX('Vessel Profiles - Input'!$E$3:$L$15,MATCH('Calculation - Detailed'!$D163,'Vessel Profiles - Input'!$E3:$E15,0),MATCH(BY$9,'Vessel Profiles - Input'!$E$3:$L$3,0))</f>
        <v>100</v>
      </c>
      <c r="BZ163" s="22">
        <f>INDEX('Vessel Profiles - Input'!$E$3:$L$15,MATCH('Calculation - Detailed'!$D163,'Vessel Profiles - Input'!$E3:$E15,0),MATCH(BZ$9,'Vessel Profiles - Input'!$E$3:$L$3,0))</f>
        <v>100</v>
      </c>
      <c r="CA163"/>
      <c r="CB163"/>
      <c r="CF163" s="12" t="s">
        <v>372</v>
      </c>
      <c r="CG163" s="224" t="s">
        <v>373</v>
      </c>
      <c r="CH163" s="224"/>
      <c r="CI163" s="22">
        <f>INDEX('Vessel Profiles - Input'!$E$3:$L$15,MATCH('Calculation - Detailed'!$D163,'Vessel Profiles - Input'!$E3:$E15,0),MATCH(CI$9,'Vessel Profiles - Input'!$E$3:$L$3,0))</f>
        <v>100</v>
      </c>
      <c r="CJ163" s="22">
        <f>INDEX('Vessel Profiles - Input'!$E$3:$L$15,MATCH('Calculation - Detailed'!$D163,'Vessel Profiles - Input'!$E3:$E15,0),MATCH(CJ$9,'Vessel Profiles - Input'!$E$3:$L$3,0))</f>
        <v>100</v>
      </c>
      <c r="CK163" s="22">
        <f>INDEX('Vessel Profiles - Input'!$E$3:$L$15,MATCH('Calculation - Detailed'!$D163,'Vessel Profiles - Input'!$E3:$E15,0),MATCH(CK$9,'Vessel Profiles - Input'!$E$3:$L$3,0))</f>
        <v>100</v>
      </c>
      <c r="CL163" s="22">
        <f>INDEX('Vessel Profiles - Input'!$E$3:$L$15,MATCH('Calculation - Detailed'!$D163,'Vessel Profiles - Input'!$E3:$E15,0),MATCH(CL$9,'Vessel Profiles - Input'!$E$3:$L$3,0))</f>
        <v>100</v>
      </c>
      <c r="CM163" s="22">
        <f>INDEX('Vessel Profiles - Input'!$E$3:$L$15,MATCH('Calculation - Detailed'!$D163,'Vessel Profiles - Input'!$E3:$E15,0),MATCH(CM$9,'Vessel Profiles - Input'!$E$3:$L$3,0))</f>
        <v>100</v>
      </c>
      <c r="CN163" s="22">
        <f>INDEX('Vessel Profiles - Input'!$E$3:$L$15,MATCH('Calculation - Detailed'!$D163,'Vessel Profiles - Input'!$E3:$E15,0),MATCH(CN$9,'Vessel Profiles - Input'!$E$3:$L$3,0))</f>
        <v>100</v>
      </c>
      <c r="CO163" s="22">
        <f>INDEX('Vessel Profiles - Input'!$E$3:$L$15,MATCH('Calculation - Detailed'!$D163,'Vessel Profiles - Input'!$E3:$E15,0),MATCH(CO$9,'Vessel Profiles - Input'!$E$3:$L$3,0))</f>
        <v>100</v>
      </c>
      <c r="CP163" s="22">
        <f>INDEX('Vessel Profiles - Input'!$E$3:$L$15,MATCH('Calculation - Detailed'!$D163,'Vessel Profiles - Input'!$E3:$E15,0),MATCH(CP$9,'Vessel Profiles - Input'!$E$3:$L$3,0))</f>
        <v>100</v>
      </c>
      <c r="CQ163" s="22">
        <f>INDEX('Vessel Profiles - Input'!$E$3:$L$15,MATCH('Calculation - Detailed'!$D163,'Vessel Profiles - Input'!$E3:$E15,0),MATCH(CQ$9,'Vessel Profiles - Input'!$E$3:$L$3,0))</f>
        <v>100</v>
      </c>
      <c r="CR163" s="22">
        <f>INDEX('Vessel Profiles - Input'!$E$3:$L$15,MATCH('Calculation - Detailed'!$D163,'Vessel Profiles - Input'!$E3:$E15,0),MATCH(CR$9,'Vessel Profiles - Input'!$E$3:$L$3,0))</f>
        <v>100</v>
      </c>
      <c r="CS163" s="22">
        <f>INDEX('Vessel Profiles - Input'!$E$3:$L$15,MATCH('Calculation - Detailed'!$D163,'Vessel Profiles - Input'!$E3:$E15,0),MATCH(CS$9,'Vessel Profiles - Input'!$E$3:$L$3,0))</f>
        <v>100</v>
      </c>
      <c r="CT163" s="22">
        <f>INDEX('Vessel Profiles - Input'!$E$3:$L$15,MATCH('Calculation - Detailed'!$D163,'Vessel Profiles - Input'!$E3:$E15,0),MATCH(CT$9,'Vessel Profiles - Input'!$E$3:$L$3,0))</f>
        <v>100</v>
      </c>
      <c r="CU163"/>
      <c r="CV163"/>
    </row>
    <row r="164" spans="2:100" s="266" customFormat="1" hidden="1" outlineLevel="1" x14ac:dyDescent="0.2">
      <c r="B164" s="285"/>
      <c r="C164" s="316"/>
      <c r="D164" s="3" t="s">
        <v>374</v>
      </c>
      <c r="E164" s="224" t="s">
        <v>375</v>
      </c>
      <c r="F164" s="224"/>
      <c r="G164" s="22">
        <f>INDEX('Vessel Profiles - Input'!$C3:$L105,MATCH('Calculation - Detailed'!$D164&amp;keydelim&amp;G$10,'Vessel Profiles - Input'!$C3:$C105,0),MATCH(G$9,'Vessel Profiles - Input'!$C$3:$L$3,0))</f>
        <v>35000</v>
      </c>
      <c r="H164" s="22">
        <f>INDEX('Vessel Profiles - Input'!$C3:$L105,MATCH('Calculation - Detailed'!$D164&amp;keydelim&amp;H$10,'Vessel Profiles - Input'!$C3:$C105,0),MATCH(H$9,'Vessel Profiles - Input'!$C$3:$L$3,0))</f>
        <v>35000</v>
      </c>
      <c r="I164" s="22">
        <f>INDEX('Vessel Profiles - Input'!$C3:$L105,MATCH('Calculation - Detailed'!$D164&amp;keydelim&amp;I$10,'Vessel Profiles - Input'!$C3:$C105,0),MATCH(I$9,'Vessel Profiles - Input'!$C$3:$L$3,0))</f>
        <v>35000</v>
      </c>
      <c r="J164" s="22">
        <f>INDEX('Vessel Profiles - Input'!$C3:$L105,MATCH('Calculation - Detailed'!$D164&amp;keydelim&amp;J$10,'Vessel Profiles - Input'!$C3:$C105,0),MATCH(J$9,'Vessel Profiles - Input'!$C$3:$L$3,0))</f>
        <v>35000</v>
      </c>
      <c r="K164" s="22">
        <f>INDEX('Vessel Profiles - Input'!$C3:$L105,MATCH('Calculation - Detailed'!$D164&amp;keydelim&amp;K$10,'Vessel Profiles - Input'!$C3:$C105,0),MATCH(K$9,'Vessel Profiles - Input'!$C$3:$L$3,0))</f>
        <v>35000</v>
      </c>
      <c r="L164" s="22">
        <f>INDEX('Vessel Profiles - Input'!$C3:$L105,MATCH('Calculation - Detailed'!$D164&amp;keydelim&amp;L$10,'Vessel Profiles - Input'!$C3:$C105,0),MATCH(L$9,'Vessel Profiles - Input'!$C$3:$L$3,0))</f>
        <v>35000</v>
      </c>
      <c r="M164" s="22">
        <f>INDEX('Vessel Profiles - Input'!$C3:$L105,MATCH('Calculation - Detailed'!$D164&amp;keydelim&amp;M$10,'Vessel Profiles - Input'!$C3:$C105,0),MATCH(M$9,'Vessel Profiles - Input'!$C$3:$L$3,0))</f>
        <v>35000</v>
      </c>
      <c r="N164" s="22">
        <f>INDEX('Vessel Profiles - Input'!$C3:$L105,MATCH('Calculation - Detailed'!$D164&amp;keydelim&amp;N$10,'Vessel Profiles - Input'!$C3:$C105,0),MATCH(N$9,'Vessel Profiles - Input'!$C$3:$L$3,0))</f>
        <v>35000</v>
      </c>
      <c r="O164" s="22">
        <f>INDEX('Vessel Profiles - Input'!$C3:$L105,MATCH('Calculation - Detailed'!$D164&amp;keydelim&amp;O$10,'Vessel Profiles - Input'!$C3:$C105,0),MATCH(O$9,'Vessel Profiles - Input'!$C$3:$L$3,0))</f>
        <v>35000</v>
      </c>
      <c r="P164" s="22">
        <f>INDEX('Vessel Profiles - Input'!$C3:$L105,MATCH('Calculation - Detailed'!$D164&amp;keydelim&amp;P$10,'Vessel Profiles - Input'!$C3:$C105,0),MATCH(P$9,'Vessel Profiles - Input'!$C$3:$L$3,0))</f>
        <v>35000</v>
      </c>
      <c r="Q164" s="22">
        <f>INDEX('Vessel Profiles - Input'!$C3:$L105,MATCH('Calculation - Detailed'!$D164&amp;keydelim&amp;Q$10,'Vessel Profiles - Input'!$C3:$C105,0),MATCH(Q$9,'Vessel Profiles - Input'!$C$3:$L$3,0))</f>
        <v>35000</v>
      </c>
      <c r="R164" s="22">
        <f>INDEX('Vessel Profiles - Input'!$C3:$L105,MATCH('Calculation - Detailed'!$D164&amp;keydelim&amp;R$10,'Vessel Profiles - Input'!$C3:$C105,0),MATCH(R$9,'Vessel Profiles - Input'!$C$3:$L$3,0))</f>
        <v>35000</v>
      </c>
      <c r="X164" s="12" t="s">
        <v>374</v>
      </c>
      <c r="Y164" s="224" t="s">
        <v>375</v>
      </c>
      <c r="Z164" s="224"/>
      <c r="AA164" s="22">
        <f>INDEX('Vessel Profiles - Input'!$C3:$L105,MATCH('Calculation - Detailed'!$D164&amp;keydelim&amp;AA$10,'Vessel Profiles - Input'!$C3:$C105,0),MATCH(AA$9,'Vessel Profiles - Input'!$C$3:$L$3,0))</f>
        <v>35000</v>
      </c>
      <c r="AB164" s="22">
        <f>INDEX('Vessel Profiles - Input'!$C3:$L105,MATCH('Calculation - Detailed'!$D164&amp;keydelim&amp;AB$10,'Vessel Profiles - Input'!$C3:$C105,0),MATCH(AB$9,'Vessel Profiles - Input'!$C$3:$L$3,0))</f>
        <v>35000</v>
      </c>
      <c r="AC164" s="22">
        <f>INDEX('Vessel Profiles - Input'!$C3:$L105,MATCH('Calculation - Detailed'!$D164&amp;keydelim&amp;AC$10,'Vessel Profiles - Input'!$C3:$C105,0),MATCH(AC$9,'Vessel Profiles - Input'!$C$3:$L$3,0))</f>
        <v>35000</v>
      </c>
      <c r="AD164" s="22">
        <f>INDEX('Vessel Profiles - Input'!$C3:$L105,MATCH('Calculation - Detailed'!$D164&amp;keydelim&amp;AD$10,'Vessel Profiles - Input'!$C3:$C105,0),MATCH(AD$9,'Vessel Profiles - Input'!$C$3:$L$3,0))</f>
        <v>35000</v>
      </c>
      <c r="AE164" s="22">
        <f>INDEX('Vessel Profiles - Input'!$C3:$L105,MATCH('Calculation - Detailed'!$D164&amp;keydelim&amp;AE$10,'Vessel Profiles - Input'!$C3:$C105,0),MATCH(AE$9,'Vessel Profiles - Input'!$C$3:$L$3,0))</f>
        <v>35000</v>
      </c>
      <c r="AF164" s="22">
        <f>INDEX('Vessel Profiles - Input'!$C3:$L105,MATCH('Calculation - Detailed'!$D164&amp;keydelim&amp;AF$10,'Vessel Profiles - Input'!$C3:$C105,0),MATCH(AF$9,'Vessel Profiles - Input'!$C$3:$L$3,0))</f>
        <v>35000</v>
      </c>
      <c r="AG164" s="22">
        <f>INDEX('Vessel Profiles - Input'!$C3:$L105,MATCH('Calculation - Detailed'!$D164&amp;keydelim&amp;AG$10,'Vessel Profiles - Input'!$C3:$C105,0),MATCH(AG$9,'Vessel Profiles - Input'!$C$3:$L$3,0))</f>
        <v>35000</v>
      </c>
      <c r="AH164" s="22">
        <f>INDEX('Vessel Profiles - Input'!$C3:$L105,MATCH('Calculation - Detailed'!$D164&amp;keydelim&amp;AH$10,'Vessel Profiles - Input'!$C3:$C105,0),MATCH(AH$9,'Vessel Profiles - Input'!$C$3:$L$3,0))</f>
        <v>35000</v>
      </c>
      <c r="AI164" s="22">
        <f>INDEX('Vessel Profiles - Input'!$C3:$L105,MATCH('Calculation - Detailed'!$D164&amp;keydelim&amp;AI$10,'Vessel Profiles - Input'!$C3:$C105,0),MATCH(AI$9,'Vessel Profiles - Input'!$C$3:$L$3,0))</f>
        <v>35000</v>
      </c>
      <c r="AJ164" s="22">
        <f>INDEX('Vessel Profiles - Input'!$C3:$L105,MATCH('Calculation - Detailed'!$D164&amp;keydelim&amp;AJ$10,'Vessel Profiles - Input'!$C3:$C105,0),MATCH(AJ$9,'Vessel Profiles - Input'!$C$3:$L$3,0))</f>
        <v>35000</v>
      </c>
      <c r="AK164" s="22">
        <f>INDEX('Vessel Profiles - Input'!$C3:$L105,MATCH('Calculation - Detailed'!$D164&amp;keydelim&amp;AK$10,'Vessel Profiles - Input'!$C3:$C105,0),MATCH(AK$9,'Vessel Profiles - Input'!$C$3:$L$3,0))</f>
        <v>35000</v>
      </c>
      <c r="AL164" s="22">
        <f>INDEX('Vessel Profiles - Input'!$C3:$L105,MATCH('Calculation - Detailed'!$D164&amp;keydelim&amp;AL$10,'Vessel Profiles - Input'!$C3:$C105,0),MATCH(AL$9,'Vessel Profiles - Input'!$C$3:$L$3,0))</f>
        <v>35000</v>
      </c>
      <c r="AR164" s="12" t="s">
        <v>374</v>
      </c>
      <c r="AS164" s="224" t="s">
        <v>375</v>
      </c>
      <c r="AT164" s="224"/>
      <c r="AU164" s="22">
        <f>INDEX('Vessel Profiles - Input'!$C3:$L105,MATCH('Calculation - Detailed'!$D164&amp;keydelim&amp;AU$10,'Vessel Profiles - Input'!$C3:$C105,0),MATCH(AU$9,'Vessel Profiles - Input'!$C$3:$L$3,0))</f>
        <v>35000</v>
      </c>
      <c r="AV164" s="22">
        <f>INDEX('Vessel Profiles - Input'!$C3:$L105,MATCH('Calculation - Detailed'!$D164&amp;keydelim&amp;AV$10,'Vessel Profiles - Input'!$C3:$C105,0),MATCH(AV$9,'Vessel Profiles - Input'!$C$3:$L$3,0))</f>
        <v>35000</v>
      </c>
      <c r="AW164" s="22">
        <f>INDEX('Vessel Profiles - Input'!$C3:$L105,MATCH('Calculation - Detailed'!$D164&amp;keydelim&amp;AW$10,'Vessel Profiles - Input'!$C3:$C105,0),MATCH(AW$9,'Vessel Profiles - Input'!$C$3:$L$3,0))</f>
        <v>35000</v>
      </c>
      <c r="AX164" s="22">
        <f>INDEX('Vessel Profiles - Input'!$C3:$L105,MATCH('Calculation - Detailed'!$D164&amp;keydelim&amp;AX$10,'Vessel Profiles - Input'!$C3:$C105,0),MATCH(AX$9,'Vessel Profiles - Input'!$C$3:$L$3,0))</f>
        <v>35000</v>
      </c>
      <c r="AY164" s="22">
        <f>INDEX('Vessel Profiles - Input'!$C3:$L105,MATCH('Calculation - Detailed'!$D164&amp;keydelim&amp;AY$10,'Vessel Profiles - Input'!$C3:$C105,0),MATCH(AY$9,'Vessel Profiles - Input'!$C$3:$L$3,0))</f>
        <v>35000</v>
      </c>
      <c r="AZ164" s="22">
        <f>INDEX('Vessel Profiles - Input'!$C3:$L105,MATCH('Calculation - Detailed'!$D164&amp;keydelim&amp;AZ$10,'Vessel Profiles - Input'!$C3:$C105,0),MATCH(AZ$9,'Vessel Profiles - Input'!$C$3:$L$3,0))</f>
        <v>35000</v>
      </c>
      <c r="BA164" s="22">
        <f>INDEX('Vessel Profiles - Input'!$C3:$L105,MATCH('Calculation - Detailed'!$D164&amp;keydelim&amp;BA$10,'Vessel Profiles - Input'!$C3:$C105,0),MATCH(BA$9,'Vessel Profiles - Input'!$C$3:$L$3,0))</f>
        <v>35000</v>
      </c>
      <c r="BB164" s="22">
        <f>INDEX('Vessel Profiles - Input'!$C3:$L105,MATCH('Calculation - Detailed'!$D164&amp;keydelim&amp;BB$10,'Vessel Profiles - Input'!$C3:$C105,0),MATCH(BB$9,'Vessel Profiles - Input'!$C$3:$L$3,0))</f>
        <v>35000</v>
      </c>
      <c r="BC164" s="22">
        <f>INDEX('Vessel Profiles - Input'!$C3:$L105,MATCH('Calculation - Detailed'!$D164&amp;keydelim&amp;BC$10,'Vessel Profiles - Input'!$C3:$C105,0),MATCH(BC$9,'Vessel Profiles - Input'!$C$3:$L$3,0))</f>
        <v>35000</v>
      </c>
      <c r="BD164" s="22">
        <f>INDEX('Vessel Profiles - Input'!$C3:$L105,MATCH('Calculation - Detailed'!$D164&amp;keydelim&amp;BD$10,'Vessel Profiles - Input'!$C3:$C105,0),MATCH(BD$9,'Vessel Profiles - Input'!$C$3:$L$3,0))</f>
        <v>35000</v>
      </c>
      <c r="BE164" s="22">
        <f>INDEX('Vessel Profiles - Input'!$C3:$L105,MATCH('Calculation - Detailed'!$D164&amp;keydelim&amp;BE$10,'Vessel Profiles - Input'!$C3:$C105,0),MATCH(BE$9,'Vessel Profiles - Input'!$C$3:$L$3,0))</f>
        <v>35000</v>
      </c>
      <c r="BF164" s="22">
        <f>INDEX('Vessel Profiles - Input'!$C3:$L105,MATCH('Calculation - Detailed'!$D164&amp;keydelim&amp;BF$10,'Vessel Profiles - Input'!$C3:$C105,0),MATCH(BF$9,'Vessel Profiles - Input'!$C$3:$L$3,0))</f>
        <v>35000</v>
      </c>
      <c r="BG164"/>
      <c r="BH164"/>
      <c r="BL164" s="12" t="s">
        <v>374</v>
      </c>
      <c r="BM164" s="224" t="s">
        <v>375</v>
      </c>
      <c r="BN164" s="224"/>
      <c r="BO164" s="22">
        <f>INDEX('Vessel Profiles - Input'!$C3:$L105,MATCH('Calculation - Detailed'!$D164&amp;keydelim&amp;BO$10,'Vessel Profiles - Input'!$C3:$C105,0),MATCH(BO$9,'Vessel Profiles - Input'!$C$3:$L$3,0))</f>
        <v>35000</v>
      </c>
      <c r="BP164" s="22">
        <f>INDEX('Vessel Profiles - Input'!$C3:$L105,MATCH('Calculation - Detailed'!$D164&amp;keydelim&amp;BP$10,'Vessel Profiles - Input'!$C3:$C105,0),MATCH(BP$9,'Vessel Profiles - Input'!$C$3:$L$3,0))</f>
        <v>35000</v>
      </c>
      <c r="BQ164" s="22">
        <f>INDEX('Vessel Profiles - Input'!$C3:$L105,MATCH('Calculation - Detailed'!$D164&amp;keydelim&amp;BQ$10,'Vessel Profiles - Input'!$C3:$C105,0),MATCH(BQ$9,'Vessel Profiles - Input'!$C$3:$L$3,0))</f>
        <v>35000</v>
      </c>
      <c r="BR164" s="22">
        <f>INDEX('Vessel Profiles - Input'!$C3:$L105,MATCH('Calculation - Detailed'!$D164&amp;keydelim&amp;BR$10,'Vessel Profiles - Input'!$C3:$C105,0),MATCH(BR$9,'Vessel Profiles - Input'!$C$3:$L$3,0))</f>
        <v>35000</v>
      </c>
      <c r="BS164" s="22">
        <f>INDEX('Vessel Profiles - Input'!$C3:$L105,MATCH('Calculation - Detailed'!$D164&amp;keydelim&amp;BS$10,'Vessel Profiles - Input'!$C3:$C105,0),MATCH(BS$9,'Vessel Profiles - Input'!$C$3:$L$3,0))</f>
        <v>35000</v>
      </c>
      <c r="BT164" s="22">
        <f>INDEX('Vessel Profiles - Input'!$C3:$L105,MATCH('Calculation - Detailed'!$D164&amp;keydelim&amp;BT$10,'Vessel Profiles - Input'!$C3:$C105,0),MATCH(BT$9,'Vessel Profiles - Input'!$C$3:$L$3,0))</f>
        <v>35000</v>
      </c>
      <c r="BU164" s="22">
        <f>INDEX('Vessel Profiles - Input'!$C3:$L105,MATCH('Calculation - Detailed'!$D164&amp;keydelim&amp;BU$10,'Vessel Profiles - Input'!$C3:$C105,0),MATCH(BU$9,'Vessel Profiles - Input'!$C$3:$L$3,0))</f>
        <v>35000</v>
      </c>
      <c r="BV164" s="22">
        <f>INDEX('Vessel Profiles - Input'!$C3:$L105,MATCH('Calculation - Detailed'!$D164&amp;keydelim&amp;BV$10,'Vessel Profiles - Input'!$C3:$C105,0),MATCH(BV$9,'Vessel Profiles - Input'!$C$3:$L$3,0))</f>
        <v>35000</v>
      </c>
      <c r="BW164" s="22">
        <f>INDEX('Vessel Profiles - Input'!$C3:$L105,MATCH('Calculation - Detailed'!$D164&amp;keydelim&amp;BW$10,'Vessel Profiles - Input'!$C3:$C105,0),MATCH(BW$9,'Vessel Profiles - Input'!$C$3:$L$3,0))</f>
        <v>35000</v>
      </c>
      <c r="BX164" s="22">
        <f>INDEX('Vessel Profiles - Input'!$C3:$L105,MATCH('Calculation - Detailed'!$D164&amp;keydelim&amp;BX$10,'Vessel Profiles - Input'!$C3:$C105,0),MATCH(BX$9,'Vessel Profiles - Input'!$C$3:$L$3,0))</f>
        <v>35000</v>
      </c>
      <c r="BY164" s="22">
        <f>INDEX('Vessel Profiles - Input'!$C3:$L105,MATCH('Calculation - Detailed'!$D164&amp;keydelim&amp;BY$10,'Vessel Profiles - Input'!$C3:$C105,0),MATCH(BY$9,'Vessel Profiles - Input'!$C$3:$L$3,0))</f>
        <v>35000</v>
      </c>
      <c r="BZ164" s="22">
        <f>INDEX('Vessel Profiles - Input'!$C3:$L105,MATCH('Calculation - Detailed'!$D164&amp;keydelim&amp;BZ$10,'Vessel Profiles - Input'!$C3:$C105,0),MATCH(BZ$9,'Vessel Profiles - Input'!$C$3:$L$3,0))</f>
        <v>35000</v>
      </c>
      <c r="CA164"/>
      <c r="CB164"/>
      <c r="CF164" s="12" t="s">
        <v>374</v>
      </c>
      <c r="CG164" s="224" t="s">
        <v>375</v>
      </c>
      <c r="CH164" s="224"/>
      <c r="CI164" s="22">
        <f>INDEX('Vessel Profiles - Input'!$C3:$L105,MATCH('Calculation - Detailed'!$D164&amp;keydelim&amp;CI$10,'Vessel Profiles - Input'!$C3:$C105,0),MATCH(CI$9,'Vessel Profiles - Input'!$C$3:$L$3,0))</f>
        <v>35000</v>
      </c>
      <c r="CJ164" s="22">
        <f>INDEX('Vessel Profiles - Input'!$C3:$L105,MATCH('Calculation - Detailed'!$D164&amp;keydelim&amp;CJ$10,'Vessel Profiles - Input'!$C3:$C105,0),MATCH(CJ$9,'Vessel Profiles - Input'!$C$3:$L$3,0))</f>
        <v>35000</v>
      </c>
      <c r="CK164" s="22">
        <f>INDEX('Vessel Profiles - Input'!$C3:$L105,MATCH('Calculation - Detailed'!$D164&amp;keydelim&amp;CK$10,'Vessel Profiles - Input'!$C3:$C105,0),MATCH(CK$9,'Vessel Profiles - Input'!$C$3:$L$3,0))</f>
        <v>35000</v>
      </c>
      <c r="CL164" s="22">
        <f>INDEX('Vessel Profiles - Input'!$C3:$L105,MATCH('Calculation - Detailed'!$D164&amp;keydelim&amp;CL$10,'Vessel Profiles - Input'!$C3:$C105,0),MATCH(CL$9,'Vessel Profiles - Input'!$C$3:$L$3,0))</f>
        <v>35000</v>
      </c>
      <c r="CM164" s="22">
        <f>INDEX('Vessel Profiles - Input'!$C3:$L105,MATCH('Calculation - Detailed'!$D164&amp;keydelim&amp;CM$10,'Vessel Profiles - Input'!$C3:$C105,0),MATCH(CM$9,'Vessel Profiles - Input'!$C$3:$L$3,0))</f>
        <v>35000</v>
      </c>
      <c r="CN164" s="22">
        <f>INDEX('Vessel Profiles - Input'!$C3:$L105,MATCH('Calculation - Detailed'!$D164&amp;keydelim&amp;CN$10,'Vessel Profiles - Input'!$C3:$C105,0),MATCH(CN$9,'Vessel Profiles - Input'!$C$3:$L$3,0))</f>
        <v>35000</v>
      </c>
      <c r="CO164" s="22">
        <f>INDEX('Vessel Profiles - Input'!$C3:$L105,MATCH('Calculation - Detailed'!$D164&amp;keydelim&amp;CO$10,'Vessel Profiles - Input'!$C3:$C105,0),MATCH(CO$9,'Vessel Profiles - Input'!$C$3:$L$3,0))</f>
        <v>35000</v>
      </c>
      <c r="CP164" s="22">
        <f>INDEX('Vessel Profiles - Input'!$C3:$L105,MATCH('Calculation - Detailed'!$D164&amp;keydelim&amp;CP$10,'Vessel Profiles - Input'!$C3:$C105,0),MATCH(CP$9,'Vessel Profiles - Input'!$C$3:$L$3,0))</f>
        <v>35000</v>
      </c>
      <c r="CQ164" s="22">
        <f>INDEX('Vessel Profiles - Input'!$C3:$L105,MATCH('Calculation - Detailed'!$D164&amp;keydelim&amp;CQ$10,'Vessel Profiles - Input'!$C3:$C105,0),MATCH(CQ$9,'Vessel Profiles - Input'!$C$3:$L$3,0))</f>
        <v>35000</v>
      </c>
      <c r="CR164" s="22">
        <f>INDEX('Vessel Profiles - Input'!$C3:$L105,MATCH('Calculation - Detailed'!$D164&amp;keydelim&amp;CR$10,'Vessel Profiles - Input'!$C3:$C105,0),MATCH(CR$9,'Vessel Profiles - Input'!$C$3:$L$3,0))</f>
        <v>35000</v>
      </c>
      <c r="CS164" s="22">
        <f>INDEX('Vessel Profiles - Input'!$C3:$L105,MATCH('Calculation - Detailed'!$D164&amp;keydelim&amp;CS$10,'Vessel Profiles - Input'!$C3:$C105,0),MATCH(CS$9,'Vessel Profiles - Input'!$C$3:$L$3,0))</f>
        <v>35000</v>
      </c>
      <c r="CT164" s="22">
        <f>INDEX('Vessel Profiles - Input'!$C3:$L105,MATCH('Calculation - Detailed'!$D164&amp;keydelim&amp;CT$10,'Vessel Profiles - Input'!$C3:$C105,0),MATCH(CT$9,'Vessel Profiles - Input'!$C$3:$L$3,0))</f>
        <v>35000</v>
      </c>
      <c r="CU164"/>
      <c r="CV164"/>
    </row>
    <row r="165" spans="2:100" s="266" customFormat="1" hidden="1" outlineLevel="1" x14ac:dyDescent="0.2">
      <c r="B165" s="285"/>
      <c r="C165" s="316"/>
      <c r="D165" s="3" t="s">
        <v>228</v>
      </c>
      <c r="E165" s="224" t="s">
        <v>287</v>
      </c>
      <c r="F165" s="224"/>
      <c r="G165" s="18">
        <f>G166*G167</f>
        <v>0</v>
      </c>
      <c r="H165" s="18">
        <f>H166*H167</f>
        <v>0</v>
      </c>
      <c r="I165" s="18">
        <f t="shared" ref="I165:R165" si="726">I166*I167</f>
        <v>0</v>
      </c>
      <c r="J165" s="18">
        <f t="shared" si="726"/>
        <v>0</v>
      </c>
      <c r="K165" s="18">
        <f t="shared" si="726"/>
        <v>0</v>
      </c>
      <c r="L165" s="18">
        <f t="shared" si="726"/>
        <v>0</v>
      </c>
      <c r="M165" s="18">
        <f t="shared" si="726"/>
        <v>0</v>
      </c>
      <c r="N165" s="18">
        <f t="shared" si="726"/>
        <v>0</v>
      </c>
      <c r="O165" s="18">
        <f t="shared" si="726"/>
        <v>0</v>
      </c>
      <c r="P165" s="18">
        <f t="shared" si="726"/>
        <v>0</v>
      </c>
      <c r="Q165" s="18">
        <f t="shared" si="726"/>
        <v>0</v>
      </c>
      <c r="R165" s="18">
        <f t="shared" si="726"/>
        <v>0</v>
      </c>
      <c r="X165" s="12" t="s">
        <v>228</v>
      </c>
      <c r="Y165" s="224" t="s">
        <v>287</v>
      </c>
      <c r="Z165" s="224"/>
      <c r="AA165" s="18">
        <f>AA166*AA167</f>
        <v>0</v>
      </c>
      <c r="AB165" s="18">
        <f>AB166*AB167</f>
        <v>0</v>
      </c>
      <c r="AC165" s="18">
        <f t="shared" ref="AC165:AL165" si="727">AC166*AC167</f>
        <v>0</v>
      </c>
      <c r="AD165" s="18">
        <f t="shared" si="727"/>
        <v>0</v>
      </c>
      <c r="AE165" s="18">
        <f t="shared" si="727"/>
        <v>0</v>
      </c>
      <c r="AF165" s="18">
        <f t="shared" si="727"/>
        <v>0</v>
      </c>
      <c r="AG165" s="18">
        <f t="shared" si="727"/>
        <v>0</v>
      </c>
      <c r="AH165" s="18">
        <f t="shared" si="727"/>
        <v>0</v>
      </c>
      <c r="AI165" s="18">
        <f t="shared" si="727"/>
        <v>0</v>
      </c>
      <c r="AJ165" s="18">
        <f t="shared" si="727"/>
        <v>0</v>
      </c>
      <c r="AK165" s="18">
        <f t="shared" si="727"/>
        <v>0</v>
      </c>
      <c r="AL165" s="18">
        <f t="shared" si="727"/>
        <v>0</v>
      </c>
      <c r="AR165" s="12" t="s">
        <v>228</v>
      </c>
      <c r="AS165" s="224" t="s">
        <v>287</v>
      </c>
      <c r="AT165" s="224"/>
      <c r="AU165" s="18">
        <f>AU166*AU167</f>
        <v>0</v>
      </c>
      <c r="AV165" s="18">
        <f>AV166*AV167</f>
        <v>0</v>
      </c>
      <c r="AW165" s="18">
        <f t="shared" ref="AW165:BF165" si="728">AW166*AW167</f>
        <v>0</v>
      </c>
      <c r="AX165" s="18">
        <f t="shared" si="728"/>
        <v>0</v>
      </c>
      <c r="AY165" s="18">
        <f t="shared" si="728"/>
        <v>0</v>
      </c>
      <c r="AZ165" s="18">
        <f t="shared" si="728"/>
        <v>0</v>
      </c>
      <c r="BA165" s="18">
        <f t="shared" si="728"/>
        <v>0</v>
      </c>
      <c r="BB165" s="18">
        <f t="shared" si="728"/>
        <v>0</v>
      </c>
      <c r="BC165" s="18">
        <f t="shared" si="728"/>
        <v>0</v>
      </c>
      <c r="BD165" s="18">
        <f t="shared" si="728"/>
        <v>0</v>
      </c>
      <c r="BE165" s="18">
        <f t="shared" si="728"/>
        <v>0</v>
      </c>
      <c r="BF165" s="18">
        <f t="shared" si="728"/>
        <v>0</v>
      </c>
      <c r="BG165"/>
      <c r="BH165"/>
      <c r="BL165" s="12" t="s">
        <v>228</v>
      </c>
      <c r="BM165" s="224" t="s">
        <v>287</v>
      </c>
      <c r="BN165" s="224"/>
      <c r="BO165" s="18">
        <f>BO166*BO167</f>
        <v>0</v>
      </c>
      <c r="BP165" s="18">
        <f>BP166*BP167</f>
        <v>0</v>
      </c>
      <c r="BQ165" s="18">
        <f t="shared" ref="BQ165:BZ165" si="729">BQ166*BQ167</f>
        <v>0</v>
      </c>
      <c r="BR165" s="18">
        <f t="shared" si="729"/>
        <v>0</v>
      </c>
      <c r="BS165" s="18">
        <f t="shared" si="729"/>
        <v>0</v>
      </c>
      <c r="BT165" s="18">
        <f t="shared" si="729"/>
        <v>0</v>
      </c>
      <c r="BU165" s="18">
        <f t="shared" si="729"/>
        <v>0</v>
      </c>
      <c r="BV165" s="18">
        <f t="shared" si="729"/>
        <v>0</v>
      </c>
      <c r="BW165" s="18">
        <f t="shared" si="729"/>
        <v>0</v>
      </c>
      <c r="BX165" s="18">
        <f t="shared" si="729"/>
        <v>0</v>
      </c>
      <c r="BY165" s="18">
        <f t="shared" si="729"/>
        <v>0</v>
      </c>
      <c r="BZ165" s="18">
        <f t="shared" si="729"/>
        <v>0</v>
      </c>
      <c r="CA165"/>
      <c r="CB165"/>
      <c r="CF165" s="12" t="s">
        <v>228</v>
      </c>
      <c r="CG165" s="224" t="s">
        <v>287</v>
      </c>
      <c r="CH165" s="224"/>
      <c r="CI165" s="18">
        <f>CI166*CI167</f>
        <v>0</v>
      </c>
      <c r="CJ165" s="18">
        <f>CJ166*CJ167</f>
        <v>0</v>
      </c>
      <c r="CK165" s="18">
        <f t="shared" ref="CK165:CT165" si="730">CK166*CK167</f>
        <v>0</v>
      </c>
      <c r="CL165" s="18">
        <f t="shared" si="730"/>
        <v>0</v>
      </c>
      <c r="CM165" s="18">
        <f t="shared" si="730"/>
        <v>0</v>
      </c>
      <c r="CN165" s="18">
        <f t="shared" si="730"/>
        <v>0</v>
      </c>
      <c r="CO165" s="18">
        <f t="shared" si="730"/>
        <v>0</v>
      </c>
      <c r="CP165" s="18">
        <f t="shared" si="730"/>
        <v>0</v>
      </c>
      <c r="CQ165" s="18">
        <f t="shared" si="730"/>
        <v>0</v>
      </c>
      <c r="CR165" s="18">
        <f t="shared" si="730"/>
        <v>0</v>
      </c>
      <c r="CS165" s="18">
        <f t="shared" si="730"/>
        <v>0</v>
      </c>
      <c r="CT165" s="18">
        <f t="shared" si="730"/>
        <v>0</v>
      </c>
      <c r="CU165"/>
      <c r="CV165"/>
    </row>
    <row r="166" spans="2:100" s="266" customFormat="1" hidden="1" outlineLevel="1" x14ac:dyDescent="0.2">
      <c r="B166" s="285"/>
      <c r="C166" s="316"/>
      <c r="D166" s="3" t="s">
        <v>376</v>
      </c>
      <c r="E166" s="224" t="s">
        <v>377</v>
      </c>
      <c r="F166" s="298"/>
      <c r="G166" s="18">
        <f>G$13</f>
        <v>0</v>
      </c>
      <c r="H166" s="18">
        <f t="shared" ref="H166:R166" si="731">H$13</f>
        <v>0</v>
      </c>
      <c r="I166" s="18">
        <f t="shared" si="731"/>
        <v>0</v>
      </c>
      <c r="J166" s="18">
        <f t="shared" si="731"/>
        <v>0</v>
      </c>
      <c r="K166" s="18">
        <f t="shared" si="731"/>
        <v>0</v>
      </c>
      <c r="L166" s="18">
        <f t="shared" si="731"/>
        <v>0</v>
      </c>
      <c r="M166" s="18">
        <f t="shared" si="731"/>
        <v>0</v>
      </c>
      <c r="N166" s="18">
        <f t="shared" si="731"/>
        <v>0</v>
      </c>
      <c r="O166" s="18">
        <f t="shared" si="731"/>
        <v>0</v>
      </c>
      <c r="P166" s="18">
        <f t="shared" si="731"/>
        <v>0</v>
      </c>
      <c r="Q166" s="18">
        <f t="shared" si="731"/>
        <v>0</v>
      </c>
      <c r="R166" s="18">
        <f t="shared" si="731"/>
        <v>0</v>
      </c>
      <c r="X166" s="12" t="s">
        <v>376</v>
      </c>
      <c r="Y166" s="224" t="s">
        <v>377</v>
      </c>
      <c r="Z166" s="298"/>
      <c r="AA166" s="18">
        <f>AA$13</f>
        <v>0</v>
      </c>
      <c r="AB166" s="18">
        <f t="shared" ref="AB166:AL166" si="732">AB$13</f>
        <v>0</v>
      </c>
      <c r="AC166" s="18">
        <f t="shared" si="732"/>
        <v>0</v>
      </c>
      <c r="AD166" s="18">
        <f t="shared" si="732"/>
        <v>0</v>
      </c>
      <c r="AE166" s="18">
        <f t="shared" si="732"/>
        <v>0</v>
      </c>
      <c r="AF166" s="18">
        <f t="shared" si="732"/>
        <v>0</v>
      </c>
      <c r="AG166" s="18">
        <f t="shared" si="732"/>
        <v>0</v>
      </c>
      <c r="AH166" s="18">
        <f t="shared" si="732"/>
        <v>0</v>
      </c>
      <c r="AI166" s="18">
        <f t="shared" si="732"/>
        <v>0</v>
      </c>
      <c r="AJ166" s="18">
        <f t="shared" si="732"/>
        <v>0</v>
      </c>
      <c r="AK166" s="18">
        <f t="shared" si="732"/>
        <v>0</v>
      </c>
      <c r="AL166" s="18">
        <f t="shared" si="732"/>
        <v>0</v>
      </c>
      <c r="AR166" s="12" t="s">
        <v>376</v>
      </c>
      <c r="AS166" s="224" t="s">
        <v>377</v>
      </c>
      <c r="AT166" s="298"/>
      <c r="AU166" s="18">
        <f>AU$13</f>
        <v>0</v>
      </c>
      <c r="AV166" s="18">
        <f t="shared" ref="AV166:BF166" si="733">AV$13</f>
        <v>0</v>
      </c>
      <c r="AW166" s="18">
        <f t="shared" si="733"/>
        <v>0</v>
      </c>
      <c r="AX166" s="18">
        <f t="shared" si="733"/>
        <v>0</v>
      </c>
      <c r="AY166" s="18">
        <f t="shared" si="733"/>
        <v>0</v>
      </c>
      <c r="AZ166" s="18">
        <f t="shared" si="733"/>
        <v>0</v>
      </c>
      <c r="BA166" s="18">
        <f t="shared" si="733"/>
        <v>0</v>
      </c>
      <c r="BB166" s="18">
        <f t="shared" si="733"/>
        <v>0</v>
      </c>
      <c r="BC166" s="18">
        <f t="shared" si="733"/>
        <v>0</v>
      </c>
      <c r="BD166" s="18">
        <f t="shared" si="733"/>
        <v>0</v>
      </c>
      <c r="BE166" s="18">
        <f t="shared" si="733"/>
        <v>0</v>
      </c>
      <c r="BF166" s="18">
        <f t="shared" si="733"/>
        <v>0</v>
      </c>
      <c r="BG166"/>
      <c r="BH166"/>
      <c r="BL166" s="12" t="s">
        <v>376</v>
      </c>
      <c r="BM166" s="224" t="s">
        <v>377</v>
      </c>
      <c r="BN166" s="298"/>
      <c r="BO166" s="18">
        <f>BO$13</f>
        <v>0</v>
      </c>
      <c r="BP166" s="18">
        <f t="shared" ref="BP166:BZ166" si="734">BP$13</f>
        <v>0</v>
      </c>
      <c r="BQ166" s="18">
        <f t="shared" si="734"/>
        <v>0</v>
      </c>
      <c r="BR166" s="18">
        <f t="shared" si="734"/>
        <v>0</v>
      </c>
      <c r="BS166" s="18">
        <f t="shared" si="734"/>
        <v>0</v>
      </c>
      <c r="BT166" s="18">
        <f t="shared" si="734"/>
        <v>0</v>
      </c>
      <c r="BU166" s="18">
        <f t="shared" si="734"/>
        <v>0</v>
      </c>
      <c r="BV166" s="18">
        <f t="shared" si="734"/>
        <v>0</v>
      </c>
      <c r="BW166" s="18">
        <f t="shared" si="734"/>
        <v>0</v>
      </c>
      <c r="BX166" s="18">
        <f t="shared" si="734"/>
        <v>0</v>
      </c>
      <c r="BY166" s="18">
        <f t="shared" si="734"/>
        <v>0</v>
      </c>
      <c r="BZ166" s="18">
        <f t="shared" si="734"/>
        <v>0</v>
      </c>
      <c r="CA166"/>
      <c r="CB166"/>
      <c r="CF166" s="12" t="s">
        <v>376</v>
      </c>
      <c r="CG166" s="224" t="s">
        <v>377</v>
      </c>
      <c r="CH166" s="298"/>
      <c r="CI166" s="18">
        <f>CI$13</f>
        <v>0</v>
      </c>
      <c r="CJ166" s="18">
        <f t="shared" ref="CJ166:CT166" si="735">CJ$13</f>
        <v>0</v>
      </c>
      <c r="CK166" s="18">
        <f t="shared" si="735"/>
        <v>0</v>
      </c>
      <c r="CL166" s="18">
        <f t="shared" si="735"/>
        <v>0</v>
      </c>
      <c r="CM166" s="18">
        <f t="shared" si="735"/>
        <v>0</v>
      </c>
      <c r="CN166" s="18">
        <f t="shared" si="735"/>
        <v>0</v>
      </c>
      <c r="CO166" s="18">
        <f t="shared" si="735"/>
        <v>0</v>
      </c>
      <c r="CP166" s="18">
        <f t="shared" si="735"/>
        <v>0</v>
      </c>
      <c r="CQ166" s="18">
        <f t="shared" si="735"/>
        <v>0</v>
      </c>
      <c r="CR166" s="18">
        <f t="shared" si="735"/>
        <v>0</v>
      </c>
      <c r="CS166" s="18">
        <f t="shared" si="735"/>
        <v>0</v>
      </c>
      <c r="CT166" s="18">
        <f t="shared" si="735"/>
        <v>0</v>
      </c>
      <c r="CU166"/>
      <c r="CV166"/>
    </row>
    <row r="167" spans="2:100" s="266" customFormat="1" hidden="1" outlineLevel="1" x14ac:dyDescent="0.2">
      <c r="B167" s="285"/>
      <c r="C167" s="316"/>
      <c r="D167" s="3" t="s">
        <v>378</v>
      </c>
      <c r="E167" s="224" t="s">
        <v>379</v>
      </c>
      <c r="F167" s="224"/>
      <c r="G167" s="22">
        <f>INDEX('Vessel Profiles - Input'!$C7:$L105,MATCH('Calculation - Detailed'!$D167&amp;keydelim&amp;G$10,'Vessel Profiles - Input'!$C7:$C105,0),MATCH(G$9,'Vessel Profiles - Input'!$C$3:$L$3,0))</f>
        <v>400000</v>
      </c>
      <c r="H167" s="22">
        <f>INDEX('Vessel Profiles - Input'!$C7:$L105,MATCH('Calculation - Detailed'!$D167&amp;keydelim&amp;H$10,'Vessel Profiles - Input'!$C7:$C105,0),MATCH(H$9,'Vessel Profiles - Input'!$C$3:$L$3,0))</f>
        <v>400000</v>
      </c>
      <c r="I167" s="22">
        <f>INDEX('Vessel Profiles - Input'!$C7:$L105,MATCH('Calculation - Detailed'!$D167&amp;keydelim&amp;I$10,'Vessel Profiles - Input'!$C7:$C105,0),MATCH(I$9,'Vessel Profiles - Input'!$C$3:$L$3,0))</f>
        <v>400000</v>
      </c>
      <c r="J167" s="22">
        <f>INDEX('Vessel Profiles - Input'!$C7:$L105,MATCH('Calculation - Detailed'!$D167&amp;keydelim&amp;J$10,'Vessel Profiles - Input'!$C7:$C105,0),MATCH(J$9,'Vessel Profiles - Input'!$C$3:$L$3,0))</f>
        <v>400000</v>
      </c>
      <c r="K167" s="22">
        <f>INDEX('Vessel Profiles - Input'!$C7:$L105,MATCH('Calculation - Detailed'!$D167&amp;keydelim&amp;K$10,'Vessel Profiles - Input'!$C7:$C105,0),MATCH(K$9,'Vessel Profiles - Input'!$C$3:$L$3,0))</f>
        <v>400000</v>
      </c>
      <c r="L167" s="22">
        <f>INDEX('Vessel Profiles - Input'!$C7:$L105,MATCH('Calculation - Detailed'!$D167&amp;keydelim&amp;L$10,'Vessel Profiles - Input'!$C7:$C105,0),MATCH(L$9,'Vessel Profiles - Input'!$C$3:$L$3,0))</f>
        <v>400000</v>
      </c>
      <c r="M167" s="22">
        <f>INDEX('Vessel Profiles - Input'!$C7:$L105,MATCH('Calculation - Detailed'!$D167&amp;keydelim&amp;M$10,'Vessel Profiles - Input'!$C7:$C105,0),MATCH(M$9,'Vessel Profiles - Input'!$C$3:$L$3,0))</f>
        <v>400000</v>
      </c>
      <c r="N167" s="22">
        <f>INDEX('Vessel Profiles - Input'!$C7:$L105,MATCH('Calculation - Detailed'!$D167&amp;keydelim&amp;N$10,'Vessel Profiles - Input'!$C7:$C105,0),MATCH(N$9,'Vessel Profiles - Input'!$C$3:$L$3,0))</f>
        <v>400000</v>
      </c>
      <c r="O167" s="22">
        <f>INDEX('Vessel Profiles - Input'!$C7:$L105,MATCH('Calculation - Detailed'!$D167&amp;keydelim&amp;O$10,'Vessel Profiles - Input'!$C7:$C105,0),MATCH(O$9,'Vessel Profiles - Input'!$C$3:$L$3,0))</f>
        <v>400000</v>
      </c>
      <c r="P167" s="22">
        <f>INDEX('Vessel Profiles - Input'!$C7:$L105,MATCH('Calculation - Detailed'!$D167&amp;keydelim&amp;P$10,'Vessel Profiles - Input'!$C7:$C105,0),MATCH(P$9,'Vessel Profiles - Input'!$C$3:$L$3,0))</f>
        <v>400000</v>
      </c>
      <c r="Q167" s="22">
        <f>INDEX('Vessel Profiles - Input'!$C7:$L105,MATCH('Calculation - Detailed'!$D167&amp;keydelim&amp;Q$10,'Vessel Profiles - Input'!$C7:$C105,0),MATCH(Q$9,'Vessel Profiles - Input'!$C$3:$L$3,0))</f>
        <v>400000</v>
      </c>
      <c r="R167" s="22">
        <f>INDEX('Vessel Profiles - Input'!$C7:$L105,MATCH('Calculation - Detailed'!$D167&amp;keydelim&amp;R$10,'Vessel Profiles - Input'!$C7:$C105,0),MATCH(R$9,'Vessel Profiles - Input'!$C$3:$L$3,0))</f>
        <v>400000</v>
      </c>
      <c r="X167" s="12" t="s">
        <v>378</v>
      </c>
      <c r="Y167" s="224" t="s">
        <v>379</v>
      </c>
      <c r="Z167" s="224"/>
      <c r="AA167" s="22">
        <f>INDEX('Vessel Profiles - Input'!$C7:$L105,MATCH('Calculation - Detailed'!$D167&amp;keydelim&amp;AA$10,'Vessel Profiles - Input'!$C7:$C105,0),MATCH(AA$9,'Vessel Profiles - Input'!$C$3:$L$3,0))</f>
        <v>400000</v>
      </c>
      <c r="AB167" s="22">
        <f>INDEX('Vessel Profiles - Input'!$C7:$L105,MATCH('Calculation - Detailed'!$D167&amp;keydelim&amp;AB$10,'Vessel Profiles - Input'!$C7:$C105,0),MATCH(AB$9,'Vessel Profiles - Input'!$C$3:$L$3,0))</f>
        <v>400000</v>
      </c>
      <c r="AC167" s="22">
        <f>INDEX('Vessel Profiles - Input'!$C7:$L105,MATCH('Calculation - Detailed'!$D167&amp;keydelim&amp;AC$10,'Vessel Profiles - Input'!$C7:$C105,0),MATCH(AC$9,'Vessel Profiles - Input'!$C$3:$L$3,0))</f>
        <v>400000</v>
      </c>
      <c r="AD167" s="22">
        <f>INDEX('Vessel Profiles - Input'!$C7:$L105,MATCH('Calculation - Detailed'!$D167&amp;keydelim&amp;AD$10,'Vessel Profiles - Input'!$C7:$C105,0),MATCH(AD$9,'Vessel Profiles - Input'!$C$3:$L$3,0))</f>
        <v>400000</v>
      </c>
      <c r="AE167" s="22">
        <f>INDEX('Vessel Profiles - Input'!$C7:$L105,MATCH('Calculation - Detailed'!$D167&amp;keydelim&amp;AE$10,'Vessel Profiles - Input'!$C7:$C105,0),MATCH(AE$9,'Vessel Profiles - Input'!$C$3:$L$3,0))</f>
        <v>400000</v>
      </c>
      <c r="AF167" s="22">
        <f>INDEX('Vessel Profiles - Input'!$C7:$L105,MATCH('Calculation - Detailed'!$D167&amp;keydelim&amp;AF$10,'Vessel Profiles - Input'!$C7:$C105,0),MATCH(AF$9,'Vessel Profiles - Input'!$C$3:$L$3,0))</f>
        <v>400000</v>
      </c>
      <c r="AG167" s="22">
        <f>INDEX('Vessel Profiles - Input'!$C7:$L105,MATCH('Calculation - Detailed'!$D167&amp;keydelim&amp;AG$10,'Vessel Profiles - Input'!$C7:$C105,0),MATCH(AG$9,'Vessel Profiles - Input'!$C$3:$L$3,0))</f>
        <v>400000</v>
      </c>
      <c r="AH167" s="22">
        <f>INDEX('Vessel Profiles - Input'!$C7:$L105,MATCH('Calculation - Detailed'!$D167&amp;keydelim&amp;AH$10,'Vessel Profiles - Input'!$C7:$C105,0),MATCH(AH$9,'Vessel Profiles - Input'!$C$3:$L$3,0))</f>
        <v>400000</v>
      </c>
      <c r="AI167" s="22">
        <f>INDEX('Vessel Profiles - Input'!$C7:$L105,MATCH('Calculation - Detailed'!$D167&amp;keydelim&amp;AI$10,'Vessel Profiles - Input'!$C7:$C105,0),MATCH(AI$9,'Vessel Profiles - Input'!$C$3:$L$3,0))</f>
        <v>400000</v>
      </c>
      <c r="AJ167" s="22">
        <f>INDEX('Vessel Profiles - Input'!$C7:$L105,MATCH('Calculation - Detailed'!$D167&amp;keydelim&amp;AJ$10,'Vessel Profiles - Input'!$C7:$C105,0),MATCH(AJ$9,'Vessel Profiles - Input'!$C$3:$L$3,0))</f>
        <v>400000</v>
      </c>
      <c r="AK167" s="22">
        <f>INDEX('Vessel Profiles - Input'!$C7:$L105,MATCH('Calculation - Detailed'!$D167&amp;keydelim&amp;AK$10,'Vessel Profiles - Input'!$C7:$C105,0),MATCH(AK$9,'Vessel Profiles - Input'!$C$3:$L$3,0))</f>
        <v>400000</v>
      </c>
      <c r="AL167" s="22">
        <f>INDEX('Vessel Profiles - Input'!$C7:$L105,MATCH('Calculation - Detailed'!$D167&amp;keydelim&amp;AL$10,'Vessel Profiles - Input'!$C7:$C105,0),MATCH(AL$9,'Vessel Profiles - Input'!$C$3:$L$3,0))</f>
        <v>400000</v>
      </c>
      <c r="AR167" s="12" t="s">
        <v>378</v>
      </c>
      <c r="AS167" s="224" t="s">
        <v>379</v>
      </c>
      <c r="AT167" s="224"/>
      <c r="AU167" s="22">
        <f>INDEX('Vessel Profiles - Input'!$C7:$L105,MATCH('Calculation - Detailed'!$D167&amp;keydelim&amp;AU$10,'Vessel Profiles - Input'!$C7:$C105,0),MATCH(AU$9,'Vessel Profiles - Input'!$C$3:$L$3,0))</f>
        <v>400000</v>
      </c>
      <c r="AV167" s="22">
        <f>INDEX('Vessel Profiles - Input'!$C7:$L105,MATCH('Calculation - Detailed'!$D167&amp;keydelim&amp;AV$10,'Vessel Profiles - Input'!$C7:$C105,0),MATCH(AV$9,'Vessel Profiles - Input'!$C$3:$L$3,0))</f>
        <v>400000</v>
      </c>
      <c r="AW167" s="22">
        <f>INDEX('Vessel Profiles - Input'!$C7:$L105,MATCH('Calculation - Detailed'!$D167&amp;keydelim&amp;AW$10,'Vessel Profiles - Input'!$C7:$C105,0),MATCH(AW$9,'Vessel Profiles - Input'!$C$3:$L$3,0))</f>
        <v>400000</v>
      </c>
      <c r="AX167" s="22">
        <f>INDEX('Vessel Profiles - Input'!$C7:$L105,MATCH('Calculation - Detailed'!$D167&amp;keydelim&amp;AX$10,'Vessel Profiles - Input'!$C7:$C105,0),MATCH(AX$9,'Vessel Profiles - Input'!$C$3:$L$3,0))</f>
        <v>400000</v>
      </c>
      <c r="AY167" s="22">
        <f>INDEX('Vessel Profiles - Input'!$C7:$L105,MATCH('Calculation - Detailed'!$D167&amp;keydelim&amp;AY$10,'Vessel Profiles - Input'!$C7:$C105,0),MATCH(AY$9,'Vessel Profiles - Input'!$C$3:$L$3,0))</f>
        <v>400000</v>
      </c>
      <c r="AZ167" s="22">
        <f>INDEX('Vessel Profiles - Input'!$C7:$L105,MATCH('Calculation - Detailed'!$D167&amp;keydelim&amp;AZ$10,'Vessel Profiles - Input'!$C7:$C105,0),MATCH(AZ$9,'Vessel Profiles - Input'!$C$3:$L$3,0))</f>
        <v>400000</v>
      </c>
      <c r="BA167" s="22">
        <f>INDEX('Vessel Profiles - Input'!$C7:$L105,MATCH('Calculation - Detailed'!$D167&amp;keydelim&amp;BA$10,'Vessel Profiles - Input'!$C7:$C105,0),MATCH(BA$9,'Vessel Profiles - Input'!$C$3:$L$3,0))</f>
        <v>400000</v>
      </c>
      <c r="BB167" s="22">
        <f>INDEX('Vessel Profiles - Input'!$C7:$L105,MATCH('Calculation - Detailed'!$D167&amp;keydelim&amp;BB$10,'Vessel Profiles - Input'!$C7:$C105,0),MATCH(BB$9,'Vessel Profiles - Input'!$C$3:$L$3,0))</f>
        <v>400000</v>
      </c>
      <c r="BC167" s="22">
        <f>INDEX('Vessel Profiles - Input'!$C7:$L105,MATCH('Calculation - Detailed'!$D167&amp;keydelim&amp;BC$10,'Vessel Profiles - Input'!$C7:$C105,0),MATCH(BC$9,'Vessel Profiles - Input'!$C$3:$L$3,0))</f>
        <v>400000</v>
      </c>
      <c r="BD167" s="22">
        <f>INDEX('Vessel Profiles - Input'!$C7:$L105,MATCH('Calculation - Detailed'!$D167&amp;keydelim&amp;BD$10,'Vessel Profiles - Input'!$C7:$C105,0),MATCH(BD$9,'Vessel Profiles - Input'!$C$3:$L$3,0))</f>
        <v>400000</v>
      </c>
      <c r="BE167" s="22">
        <f>INDEX('Vessel Profiles - Input'!$C7:$L105,MATCH('Calculation - Detailed'!$D167&amp;keydelim&amp;BE$10,'Vessel Profiles - Input'!$C7:$C105,0),MATCH(BE$9,'Vessel Profiles - Input'!$C$3:$L$3,0))</f>
        <v>400000</v>
      </c>
      <c r="BF167" s="22">
        <f>INDEX('Vessel Profiles - Input'!$C7:$L105,MATCH('Calculation - Detailed'!$D167&amp;keydelim&amp;BF$10,'Vessel Profiles - Input'!$C7:$C105,0),MATCH(BF$9,'Vessel Profiles - Input'!$C$3:$L$3,0))</f>
        <v>400000</v>
      </c>
      <c r="BG167"/>
      <c r="BH167"/>
      <c r="BL167" s="12" t="s">
        <v>378</v>
      </c>
      <c r="BM167" s="224" t="s">
        <v>379</v>
      </c>
      <c r="BN167" s="224"/>
      <c r="BO167" s="22">
        <f>INDEX('Vessel Profiles - Input'!$C7:$L105,MATCH('Calculation - Detailed'!$D167&amp;keydelim&amp;BO$10,'Vessel Profiles - Input'!$C7:$C105,0),MATCH(BO$9,'Vessel Profiles - Input'!$C$3:$L$3,0))</f>
        <v>400000</v>
      </c>
      <c r="BP167" s="22">
        <f>INDEX('Vessel Profiles - Input'!$C7:$L105,MATCH('Calculation - Detailed'!$D167&amp;keydelim&amp;BP$10,'Vessel Profiles - Input'!$C7:$C105,0),MATCH(BP$9,'Vessel Profiles - Input'!$C$3:$L$3,0))</f>
        <v>400000</v>
      </c>
      <c r="BQ167" s="22">
        <f>INDEX('Vessel Profiles - Input'!$C7:$L105,MATCH('Calculation - Detailed'!$D167&amp;keydelim&amp;BQ$10,'Vessel Profiles - Input'!$C7:$C105,0),MATCH(BQ$9,'Vessel Profiles - Input'!$C$3:$L$3,0))</f>
        <v>400000</v>
      </c>
      <c r="BR167" s="22">
        <f>INDEX('Vessel Profiles - Input'!$C7:$L105,MATCH('Calculation - Detailed'!$D167&amp;keydelim&amp;BR$10,'Vessel Profiles - Input'!$C7:$C105,0),MATCH(BR$9,'Vessel Profiles - Input'!$C$3:$L$3,0))</f>
        <v>400000</v>
      </c>
      <c r="BS167" s="22">
        <f>INDEX('Vessel Profiles - Input'!$C7:$L105,MATCH('Calculation - Detailed'!$D167&amp;keydelim&amp;BS$10,'Vessel Profiles - Input'!$C7:$C105,0),MATCH(BS$9,'Vessel Profiles - Input'!$C$3:$L$3,0))</f>
        <v>400000</v>
      </c>
      <c r="BT167" s="22">
        <f>INDEX('Vessel Profiles - Input'!$C7:$L105,MATCH('Calculation - Detailed'!$D167&amp;keydelim&amp;BT$10,'Vessel Profiles - Input'!$C7:$C105,0),MATCH(BT$9,'Vessel Profiles - Input'!$C$3:$L$3,0))</f>
        <v>400000</v>
      </c>
      <c r="BU167" s="22">
        <f>INDEX('Vessel Profiles - Input'!$C7:$L105,MATCH('Calculation - Detailed'!$D167&amp;keydelim&amp;BU$10,'Vessel Profiles - Input'!$C7:$C105,0),MATCH(BU$9,'Vessel Profiles - Input'!$C$3:$L$3,0))</f>
        <v>400000</v>
      </c>
      <c r="BV167" s="22">
        <f>INDEX('Vessel Profiles - Input'!$C7:$L105,MATCH('Calculation - Detailed'!$D167&amp;keydelim&amp;BV$10,'Vessel Profiles - Input'!$C7:$C105,0),MATCH(BV$9,'Vessel Profiles - Input'!$C$3:$L$3,0))</f>
        <v>400000</v>
      </c>
      <c r="BW167" s="22">
        <f>INDEX('Vessel Profiles - Input'!$C7:$L105,MATCH('Calculation - Detailed'!$D167&amp;keydelim&amp;BW$10,'Vessel Profiles - Input'!$C7:$C105,0),MATCH(BW$9,'Vessel Profiles - Input'!$C$3:$L$3,0))</f>
        <v>400000</v>
      </c>
      <c r="BX167" s="22">
        <f>INDEX('Vessel Profiles - Input'!$C7:$L105,MATCH('Calculation - Detailed'!$D167&amp;keydelim&amp;BX$10,'Vessel Profiles - Input'!$C7:$C105,0),MATCH(BX$9,'Vessel Profiles - Input'!$C$3:$L$3,0))</f>
        <v>400000</v>
      </c>
      <c r="BY167" s="22">
        <f>INDEX('Vessel Profiles - Input'!$C7:$L105,MATCH('Calculation - Detailed'!$D167&amp;keydelim&amp;BY$10,'Vessel Profiles - Input'!$C7:$C105,0),MATCH(BY$9,'Vessel Profiles - Input'!$C$3:$L$3,0))</f>
        <v>400000</v>
      </c>
      <c r="BZ167" s="22">
        <f>INDEX('Vessel Profiles - Input'!$C7:$L105,MATCH('Calculation - Detailed'!$D167&amp;keydelim&amp;BZ$10,'Vessel Profiles - Input'!$C7:$C105,0),MATCH(BZ$9,'Vessel Profiles - Input'!$C$3:$L$3,0))</f>
        <v>400000</v>
      </c>
      <c r="CA167"/>
      <c r="CB167"/>
      <c r="CF167" s="12" t="s">
        <v>378</v>
      </c>
      <c r="CG167" s="224" t="s">
        <v>379</v>
      </c>
      <c r="CH167" s="224"/>
      <c r="CI167" s="22">
        <f>INDEX('Vessel Profiles - Input'!$C7:$L105,MATCH('Calculation - Detailed'!$D167&amp;keydelim&amp;CI$10,'Vessel Profiles - Input'!$C7:$C105,0),MATCH(CI$9,'Vessel Profiles - Input'!$C$3:$L$3,0))</f>
        <v>400000</v>
      </c>
      <c r="CJ167" s="22">
        <f>INDEX('Vessel Profiles - Input'!$C7:$L105,MATCH('Calculation - Detailed'!$D167&amp;keydelim&amp;CJ$10,'Vessel Profiles - Input'!$C7:$C105,0),MATCH(CJ$9,'Vessel Profiles - Input'!$C$3:$L$3,0))</f>
        <v>400000</v>
      </c>
      <c r="CK167" s="22">
        <f>INDEX('Vessel Profiles - Input'!$C7:$L105,MATCH('Calculation - Detailed'!$D167&amp;keydelim&amp;CK$10,'Vessel Profiles - Input'!$C7:$C105,0),MATCH(CK$9,'Vessel Profiles - Input'!$C$3:$L$3,0))</f>
        <v>400000</v>
      </c>
      <c r="CL167" s="22">
        <f>INDEX('Vessel Profiles - Input'!$C7:$L105,MATCH('Calculation - Detailed'!$D167&amp;keydelim&amp;CL$10,'Vessel Profiles - Input'!$C7:$C105,0),MATCH(CL$9,'Vessel Profiles - Input'!$C$3:$L$3,0))</f>
        <v>400000</v>
      </c>
      <c r="CM167" s="22">
        <f>INDEX('Vessel Profiles - Input'!$C7:$L105,MATCH('Calculation - Detailed'!$D167&amp;keydelim&amp;CM$10,'Vessel Profiles - Input'!$C7:$C105,0),MATCH(CM$9,'Vessel Profiles - Input'!$C$3:$L$3,0))</f>
        <v>400000</v>
      </c>
      <c r="CN167" s="22">
        <f>INDEX('Vessel Profiles - Input'!$C7:$L105,MATCH('Calculation - Detailed'!$D167&amp;keydelim&amp;CN$10,'Vessel Profiles - Input'!$C7:$C105,0),MATCH(CN$9,'Vessel Profiles - Input'!$C$3:$L$3,0))</f>
        <v>400000</v>
      </c>
      <c r="CO167" s="22">
        <f>INDEX('Vessel Profiles - Input'!$C7:$L105,MATCH('Calculation - Detailed'!$D167&amp;keydelim&amp;CO$10,'Vessel Profiles - Input'!$C7:$C105,0),MATCH(CO$9,'Vessel Profiles - Input'!$C$3:$L$3,0))</f>
        <v>400000</v>
      </c>
      <c r="CP167" s="22">
        <f>INDEX('Vessel Profiles - Input'!$C7:$L105,MATCH('Calculation - Detailed'!$D167&amp;keydelim&amp;CP$10,'Vessel Profiles - Input'!$C7:$C105,0),MATCH(CP$9,'Vessel Profiles - Input'!$C$3:$L$3,0))</f>
        <v>400000</v>
      </c>
      <c r="CQ167" s="22">
        <f>INDEX('Vessel Profiles - Input'!$C7:$L105,MATCH('Calculation - Detailed'!$D167&amp;keydelim&amp;CQ$10,'Vessel Profiles - Input'!$C7:$C105,0),MATCH(CQ$9,'Vessel Profiles - Input'!$C$3:$L$3,0))</f>
        <v>400000</v>
      </c>
      <c r="CR167" s="22">
        <f>INDEX('Vessel Profiles - Input'!$C7:$L105,MATCH('Calculation - Detailed'!$D167&amp;keydelim&amp;CR$10,'Vessel Profiles - Input'!$C7:$C105,0),MATCH(CR$9,'Vessel Profiles - Input'!$C$3:$L$3,0))</f>
        <v>400000</v>
      </c>
      <c r="CS167" s="22">
        <f>INDEX('Vessel Profiles - Input'!$C7:$L105,MATCH('Calculation - Detailed'!$D167&amp;keydelim&amp;CS$10,'Vessel Profiles - Input'!$C7:$C105,0),MATCH(CS$9,'Vessel Profiles - Input'!$C$3:$L$3,0))</f>
        <v>400000</v>
      </c>
      <c r="CT167" s="22">
        <f>INDEX('Vessel Profiles - Input'!$C7:$L105,MATCH('Calculation - Detailed'!$D167&amp;keydelim&amp;CT$10,'Vessel Profiles - Input'!$C7:$C105,0),MATCH(CT$9,'Vessel Profiles - Input'!$C$3:$L$3,0))</f>
        <v>400000</v>
      </c>
      <c r="CU167"/>
      <c r="CV167"/>
    </row>
    <row r="168" spans="2:100" s="266" customFormat="1" collapsed="1" x14ac:dyDescent="0.2">
      <c r="B168" s="285"/>
      <c r="C168" s="316"/>
      <c r="D168" s="3"/>
      <c r="E168" s="224"/>
      <c r="F168" s="224"/>
      <c r="G168" s="22"/>
      <c r="H168" s="22"/>
      <c r="I168" s="22"/>
      <c r="J168" s="22"/>
      <c r="K168" s="22"/>
      <c r="L168" s="22"/>
      <c r="M168" s="22"/>
      <c r="N168" s="22"/>
      <c r="O168" s="22"/>
      <c r="P168" s="22"/>
      <c r="Q168" s="22"/>
      <c r="R168" s="22"/>
      <c r="X168" s="12"/>
      <c r="Y168" s="224"/>
      <c r="Z168" s="224"/>
      <c r="AA168" s="22"/>
      <c r="AB168" s="22"/>
      <c r="AC168" s="22"/>
      <c r="AD168" s="22"/>
      <c r="AE168" s="22"/>
      <c r="AF168" s="22"/>
      <c r="AG168" s="22"/>
      <c r="AH168" s="22"/>
      <c r="AI168" s="22"/>
      <c r="AJ168" s="22"/>
      <c r="AK168" s="22"/>
      <c r="AL168" s="22"/>
      <c r="AR168" s="12"/>
      <c r="AS168" s="224"/>
      <c r="AT168" s="224"/>
      <c r="AU168" s="22"/>
      <c r="AV168" s="22"/>
      <c r="AW168" s="22"/>
      <c r="AX168" s="22"/>
      <c r="AY168" s="22"/>
      <c r="AZ168" s="22"/>
      <c r="BA168" s="22"/>
      <c r="BB168" s="22"/>
      <c r="BC168" s="22"/>
      <c r="BD168" s="22"/>
      <c r="BE168" s="22"/>
      <c r="BF168" s="22"/>
      <c r="BG168"/>
      <c r="BH168"/>
      <c r="BL168" s="12"/>
      <c r="BM168" s="224"/>
      <c r="BN168" s="224"/>
      <c r="BO168" s="22"/>
      <c r="BP168" s="22"/>
      <c r="BQ168" s="22"/>
      <c r="BR168" s="22"/>
      <c r="BS168" s="22"/>
      <c r="BT168" s="22"/>
      <c r="BU168" s="22"/>
      <c r="BV168" s="22"/>
      <c r="BW168" s="22"/>
      <c r="BX168" s="22"/>
      <c r="BY168" s="22"/>
      <c r="BZ168" s="22"/>
      <c r="CA168"/>
      <c r="CB168"/>
      <c r="CF168" s="12"/>
      <c r="CG168" s="224"/>
      <c r="CH168" s="224"/>
      <c r="CI168" s="22"/>
      <c r="CJ168" s="22"/>
      <c r="CK168" s="22"/>
      <c r="CL168" s="22"/>
      <c r="CM168" s="22"/>
      <c r="CN168" s="22"/>
      <c r="CO168" s="22"/>
      <c r="CP168" s="22"/>
      <c r="CQ168" s="22"/>
      <c r="CR168" s="22"/>
      <c r="CS168" s="22"/>
      <c r="CT168" s="22"/>
      <c r="CU168"/>
      <c r="CV168"/>
    </row>
    <row r="169" spans="2:100" s="280" customFormat="1" x14ac:dyDescent="0.2">
      <c r="C169" s="294" t="s">
        <v>380</v>
      </c>
      <c r="D169" s="294" t="s">
        <v>380</v>
      </c>
      <c r="E169" s="295" t="s">
        <v>287</v>
      </c>
      <c r="F169" s="281"/>
      <c r="G169" s="314">
        <f t="shared" ref="G169:R169" ca="1" si="736">G211+G216+G221</f>
        <v>0</v>
      </c>
      <c r="H169" s="314">
        <f t="shared" ca="1" si="736"/>
        <v>0</v>
      </c>
      <c r="I169" s="314">
        <f t="shared" ca="1" si="736"/>
        <v>0</v>
      </c>
      <c r="J169" s="314">
        <f t="shared" ca="1" si="736"/>
        <v>0</v>
      </c>
      <c r="K169" s="314">
        <f t="shared" ca="1" si="736"/>
        <v>0</v>
      </c>
      <c r="L169" s="314">
        <f t="shared" ca="1" si="736"/>
        <v>0</v>
      </c>
      <c r="M169" s="314">
        <f t="shared" ca="1" si="736"/>
        <v>0</v>
      </c>
      <c r="N169" s="314">
        <f t="shared" ca="1" si="736"/>
        <v>0</v>
      </c>
      <c r="O169" s="314">
        <f t="shared" ca="1" si="736"/>
        <v>0</v>
      </c>
      <c r="P169" s="314">
        <f t="shared" ca="1" si="736"/>
        <v>0</v>
      </c>
      <c r="Q169" s="314">
        <f t="shared" ca="1" si="736"/>
        <v>0</v>
      </c>
      <c r="R169" s="314">
        <f t="shared" ca="1" si="736"/>
        <v>0</v>
      </c>
      <c r="X169" s="297" t="s">
        <v>380</v>
      </c>
      <c r="Y169" s="295" t="s">
        <v>287</v>
      </c>
      <c r="Z169" s="281"/>
      <c r="AA169" s="314">
        <f t="shared" ref="AA169:AL169" ca="1" si="737">AA211+AA216+AA221</f>
        <v>0</v>
      </c>
      <c r="AB169" s="314">
        <f t="shared" ca="1" si="737"/>
        <v>0</v>
      </c>
      <c r="AC169" s="314">
        <f t="shared" ca="1" si="737"/>
        <v>0</v>
      </c>
      <c r="AD169" s="314">
        <f t="shared" ca="1" si="737"/>
        <v>0</v>
      </c>
      <c r="AE169" s="314">
        <f t="shared" ca="1" si="737"/>
        <v>0</v>
      </c>
      <c r="AF169" s="314">
        <f t="shared" ca="1" si="737"/>
        <v>0</v>
      </c>
      <c r="AG169" s="314">
        <f t="shared" ca="1" si="737"/>
        <v>0</v>
      </c>
      <c r="AH169" s="314">
        <f t="shared" ca="1" si="737"/>
        <v>0</v>
      </c>
      <c r="AI169" s="314">
        <f t="shared" ca="1" si="737"/>
        <v>0</v>
      </c>
      <c r="AJ169" s="314">
        <f t="shared" ca="1" si="737"/>
        <v>0</v>
      </c>
      <c r="AK169" s="314">
        <f t="shared" ca="1" si="737"/>
        <v>0</v>
      </c>
      <c r="AL169" s="314">
        <f t="shared" ca="1" si="737"/>
        <v>0</v>
      </c>
      <c r="AR169" s="297" t="s">
        <v>380</v>
      </c>
      <c r="AS169" s="295" t="s">
        <v>287</v>
      </c>
      <c r="AT169" s="281"/>
      <c r="AU169" s="314">
        <f t="shared" ref="AU169:BF169" ca="1" si="738">AU211+AU216+AU221</f>
        <v>0</v>
      </c>
      <c r="AV169" s="314">
        <f t="shared" ca="1" si="738"/>
        <v>0</v>
      </c>
      <c r="AW169" s="314">
        <f t="shared" ca="1" si="738"/>
        <v>0</v>
      </c>
      <c r="AX169" s="314">
        <f t="shared" ca="1" si="738"/>
        <v>0</v>
      </c>
      <c r="AY169" s="314">
        <f t="shared" ca="1" si="738"/>
        <v>0</v>
      </c>
      <c r="AZ169" s="314">
        <f t="shared" ca="1" si="738"/>
        <v>0</v>
      </c>
      <c r="BA169" s="314">
        <f t="shared" ca="1" si="738"/>
        <v>0</v>
      </c>
      <c r="BB169" s="314">
        <f t="shared" ca="1" si="738"/>
        <v>0</v>
      </c>
      <c r="BC169" s="314">
        <f t="shared" ca="1" si="738"/>
        <v>0</v>
      </c>
      <c r="BD169" s="314">
        <f t="shared" ca="1" si="738"/>
        <v>0</v>
      </c>
      <c r="BE169" s="314">
        <f t="shared" ca="1" si="738"/>
        <v>0</v>
      </c>
      <c r="BF169" s="314">
        <f t="shared" ca="1" si="738"/>
        <v>0</v>
      </c>
      <c r="BG169" s="4"/>
      <c r="BH169" s="4"/>
      <c r="BL169" s="297" t="s">
        <v>380</v>
      </c>
      <c r="BM169" s="295" t="s">
        <v>287</v>
      </c>
      <c r="BN169" s="281"/>
      <c r="BO169" s="314">
        <f t="shared" ref="BO169:BZ169" ca="1" si="739">BO211+BO216+BO221</f>
        <v>0</v>
      </c>
      <c r="BP169" s="314">
        <f t="shared" ca="1" si="739"/>
        <v>0</v>
      </c>
      <c r="BQ169" s="314">
        <f t="shared" ca="1" si="739"/>
        <v>0</v>
      </c>
      <c r="BR169" s="314">
        <f t="shared" ca="1" si="739"/>
        <v>0</v>
      </c>
      <c r="BS169" s="314">
        <f t="shared" ca="1" si="739"/>
        <v>0</v>
      </c>
      <c r="BT169" s="314">
        <f t="shared" ca="1" si="739"/>
        <v>0</v>
      </c>
      <c r="BU169" s="314">
        <f t="shared" ca="1" si="739"/>
        <v>0</v>
      </c>
      <c r="BV169" s="314">
        <f t="shared" ca="1" si="739"/>
        <v>0</v>
      </c>
      <c r="BW169" s="314">
        <f t="shared" ca="1" si="739"/>
        <v>0</v>
      </c>
      <c r="BX169" s="314">
        <f t="shared" ca="1" si="739"/>
        <v>0</v>
      </c>
      <c r="BY169" s="314">
        <f t="shared" ca="1" si="739"/>
        <v>0</v>
      </c>
      <c r="BZ169" s="314">
        <f t="shared" ca="1" si="739"/>
        <v>0</v>
      </c>
      <c r="CA169" s="4"/>
      <c r="CB169" s="4"/>
      <c r="CF169" s="297" t="s">
        <v>380</v>
      </c>
      <c r="CG169" s="295" t="s">
        <v>287</v>
      </c>
      <c r="CH169" s="281"/>
      <c r="CI169" s="314">
        <f t="shared" ref="CI169:CT169" ca="1" si="740">CI211+CI216+CI221</f>
        <v>0</v>
      </c>
      <c r="CJ169" s="314">
        <f t="shared" ca="1" si="740"/>
        <v>0</v>
      </c>
      <c r="CK169" s="314">
        <f t="shared" ca="1" si="740"/>
        <v>0</v>
      </c>
      <c r="CL169" s="314">
        <f t="shared" ca="1" si="740"/>
        <v>0</v>
      </c>
      <c r="CM169" s="314">
        <f t="shared" ca="1" si="740"/>
        <v>0</v>
      </c>
      <c r="CN169" s="314">
        <f t="shared" ca="1" si="740"/>
        <v>0</v>
      </c>
      <c r="CO169" s="314">
        <f t="shared" ca="1" si="740"/>
        <v>0</v>
      </c>
      <c r="CP169" s="314">
        <f t="shared" ca="1" si="740"/>
        <v>0</v>
      </c>
      <c r="CQ169" s="314">
        <f t="shared" ca="1" si="740"/>
        <v>0</v>
      </c>
      <c r="CR169" s="314">
        <f t="shared" ca="1" si="740"/>
        <v>0</v>
      </c>
      <c r="CS169" s="314">
        <f t="shared" ca="1" si="740"/>
        <v>0</v>
      </c>
      <c r="CT169" s="314">
        <f t="shared" ca="1" si="740"/>
        <v>0</v>
      </c>
      <c r="CU169" s="4"/>
      <c r="CV169" s="4"/>
    </row>
    <row r="170" spans="2:100" x14ac:dyDescent="0.2">
      <c r="C170" s="3"/>
      <c r="D170" s="58"/>
      <c r="E170" s="224"/>
      <c r="G170" s="52"/>
      <c r="H170" s="52"/>
      <c r="I170" s="52"/>
      <c r="J170" s="52"/>
      <c r="K170" s="52"/>
      <c r="L170" s="52"/>
      <c r="M170" s="52"/>
      <c r="N170" s="52"/>
      <c r="O170" s="52"/>
      <c r="P170" s="52"/>
      <c r="Q170" s="52"/>
      <c r="R170" s="52"/>
      <c r="X170" s="58"/>
      <c r="Y170" s="224"/>
      <c r="AA170" s="52"/>
      <c r="AB170" s="52"/>
      <c r="AC170" s="52"/>
      <c r="AD170" s="52"/>
      <c r="AE170" s="52"/>
      <c r="AF170" s="52"/>
      <c r="AG170" s="52"/>
      <c r="AH170" s="52"/>
      <c r="AI170" s="52"/>
      <c r="AJ170" s="52"/>
      <c r="AK170" s="52"/>
      <c r="AL170" s="52"/>
      <c r="AR170" s="58"/>
      <c r="AS170" s="224"/>
      <c r="AU170" s="52"/>
      <c r="AV170" s="52"/>
      <c r="AW170" s="52"/>
      <c r="AX170" s="52"/>
      <c r="AY170" s="52"/>
      <c r="AZ170" s="52"/>
      <c r="BA170" s="52"/>
      <c r="BB170" s="52"/>
      <c r="BC170" s="52"/>
      <c r="BD170" s="52"/>
      <c r="BE170" s="52"/>
      <c r="BF170" s="52"/>
      <c r="BL170" s="58"/>
      <c r="BM170" s="224"/>
      <c r="BO170" s="52"/>
      <c r="BP170" s="52"/>
      <c r="BQ170" s="52"/>
      <c r="BR170" s="52"/>
      <c r="BS170" s="52"/>
      <c r="BT170" s="52"/>
      <c r="BU170" s="52"/>
      <c r="BV170" s="52"/>
      <c r="BW170" s="52"/>
      <c r="BX170" s="52"/>
      <c r="BY170" s="52"/>
      <c r="BZ170" s="52"/>
      <c r="CF170" s="58"/>
      <c r="CG170" s="224"/>
      <c r="CI170" s="52"/>
      <c r="CJ170" s="52"/>
      <c r="CK170" s="52"/>
      <c r="CL170" s="52"/>
      <c r="CM170" s="52"/>
      <c r="CN170" s="52"/>
      <c r="CO170" s="52"/>
      <c r="CP170" s="52"/>
      <c r="CQ170" s="52"/>
      <c r="CR170" s="52"/>
      <c r="CS170" s="52"/>
      <c r="CT170" s="52"/>
    </row>
    <row r="171" spans="2:100" s="280" customFormat="1" x14ac:dyDescent="0.2">
      <c r="B171" s="280" t="s">
        <v>381</v>
      </c>
      <c r="D171" s="294" t="s">
        <v>75</v>
      </c>
      <c r="E171" s="295" t="s">
        <v>211</v>
      </c>
      <c r="F171" s="295"/>
      <c r="G171" s="311">
        <f t="shared" ref="G171:R171" ca="1" si="741">SUM(G173,G174,G175,G176)</f>
        <v>0</v>
      </c>
      <c r="H171" s="311">
        <f t="shared" ca="1" si="741"/>
        <v>0</v>
      </c>
      <c r="I171" s="311">
        <f t="shared" ca="1" si="741"/>
        <v>0</v>
      </c>
      <c r="J171" s="311">
        <f t="shared" ca="1" si="741"/>
        <v>0</v>
      </c>
      <c r="K171" s="311">
        <f t="shared" ca="1" si="741"/>
        <v>0</v>
      </c>
      <c r="L171" s="311">
        <f t="shared" ca="1" si="741"/>
        <v>0</v>
      </c>
      <c r="M171" s="311">
        <f t="shared" ca="1" si="741"/>
        <v>0</v>
      </c>
      <c r="N171" s="311">
        <f t="shared" ca="1" si="741"/>
        <v>0</v>
      </c>
      <c r="O171" s="311">
        <f t="shared" ca="1" si="741"/>
        <v>0</v>
      </c>
      <c r="P171" s="311">
        <f t="shared" ca="1" si="741"/>
        <v>0</v>
      </c>
      <c r="Q171" s="311">
        <f t="shared" ca="1" si="741"/>
        <v>0</v>
      </c>
      <c r="R171" s="311">
        <f t="shared" ca="1" si="741"/>
        <v>0</v>
      </c>
      <c r="X171" s="297" t="s">
        <v>75</v>
      </c>
      <c r="Y171" s="295" t="s">
        <v>211</v>
      </c>
      <c r="Z171" s="295"/>
      <c r="AA171" s="311">
        <f t="shared" ref="AA171:AL171" ca="1" si="742">SUM(AA173,AA174,AA175,AA176)</f>
        <v>0</v>
      </c>
      <c r="AB171" s="311">
        <f t="shared" ca="1" si="742"/>
        <v>0</v>
      </c>
      <c r="AC171" s="311">
        <f t="shared" ca="1" si="742"/>
        <v>0</v>
      </c>
      <c r="AD171" s="311">
        <f t="shared" ca="1" si="742"/>
        <v>0</v>
      </c>
      <c r="AE171" s="311">
        <f t="shared" ca="1" si="742"/>
        <v>0</v>
      </c>
      <c r="AF171" s="311">
        <f t="shared" ca="1" si="742"/>
        <v>0</v>
      </c>
      <c r="AG171" s="311">
        <f t="shared" ca="1" si="742"/>
        <v>0</v>
      </c>
      <c r="AH171" s="311">
        <f t="shared" ca="1" si="742"/>
        <v>0</v>
      </c>
      <c r="AI171" s="311">
        <f t="shared" ca="1" si="742"/>
        <v>0</v>
      </c>
      <c r="AJ171" s="311">
        <f t="shared" ca="1" si="742"/>
        <v>0</v>
      </c>
      <c r="AK171" s="311">
        <f t="shared" ca="1" si="742"/>
        <v>0</v>
      </c>
      <c r="AL171" s="311">
        <f t="shared" ca="1" si="742"/>
        <v>0</v>
      </c>
      <c r="AR171" s="297" t="s">
        <v>75</v>
      </c>
      <c r="AS171" s="295" t="s">
        <v>211</v>
      </c>
      <c r="AT171" s="295"/>
      <c r="AU171" s="311">
        <f t="shared" ref="AU171:BF171" ca="1" si="743">SUM(AU173,AU174,AU175,AU176)</f>
        <v>0</v>
      </c>
      <c r="AV171" s="311">
        <f t="shared" ca="1" si="743"/>
        <v>0</v>
      </c>
      <c r="AW171" s="311">
        <f t="shared" ca="1" si="743"/>
        <v>0</v>
      </c>
      <c r="AX171" s="311">
        <f t="shared" ca="1" si="743"/>
        <v>0</v>
      </c>
      <c r="AY171" s="311">
        <f t="shared" ca="1" si="743"/>
        <v>0</v>
      </c>
      <c r="AZ171" s="311">
        <f t="shared" ca="1" si="743"/>
        <v>0</v>
      </c>
      <c r="BA171" s="311">
        <f t="shared" ca="1" si="743"/>
        <v>0</v>
      </c>
      <c r="BB171" s="311">
        <f t="shared" ca="1" si="743"/>
        <v>0</v>
      </c>
      <c r="BC171" s="311">
        <f t="shared" ca="1" si="743"/>
        <v>0</v>
      </c>
      <c r="BD171" s="311">
        <f t="shared" ca="1" si="743"/>
        <v>0</v>
      </c>
      <c r="BE171" s="311">
        <f t="shared" ca="1" si="743"/>
        <v>0</v>
      </c>
      <c r="BF171" s="311">
        <f t="shared" ca="1" si="743"/>
        <v>0</v>
      </c>
      <c r="BG171" s="4"/>
      <c r="BH171" s="4"/>
      <c r="BL171" s="297" t="s">
        <v>75</v>
      </c>
      <c r="BM171" s="295" t="s">
        <v>211</v>
      </c>
      <c r="BN171" s="295"/>
      <c r="BO171" s="311">
        <f t="shared" ref="BO171:BZ171" ca="1" si="744">SUM(BO173,BO174,BO175,BO176)</f>
        <v>0</v>
      </c>
      <c r="BP171" s="311">
        <f t="shared" ca="1" si="744"/>
        <v>0</v>
      </c>
      <c r="BQ171" s="311">
        <f t="shared" ca="1" si="744"/>
        <v>0</v>
      </c>
      <c r="BR171" s="311">
        <f t="shared" ca="1" si="744"/>
        <v>0</v>
      </c>
      <c r="BS171" s="311">
        <f t="shared" ca="1" si="744"/>
        <v>0</v>
      </c>
      <c r="BT171" s="311">
        <f t="shared" ca="1" si="744"/>
        <v>0</v>
      </c>
      <c r="BU171" s="311">
        <f t="shared" ca="1" si="744"/>
        <v>0</v>
      </c>
      <c r="BV171" s="311">
        <f t="shared" ca="1" si="744"/>
        <v>0</v>
      </c>
      <c r="BW171" s="311">
        <f t="shared" ca="1" si="744"/>
        <v>0</v>
      </c>
      <c r="BX171" s="311">
        <f t="shared" ca="1" si="744"/>
        <v>0</v>
      </c>
      <c r="BY171" s="311">
        <f t="shared" ca="1" si="744"/>
        <v>0</v>
      </c>
      <c r="BZ171" s="311">
        <f t="shared" ca="1" si="744"/>
        <v>0</v>
      </c>
      <c r="CA171" s="4"/>
      <c r="CB171" s="4"/>
      <c r="CF171" s="297" t="s">
        <v>75</v>
      </c>
      <c r="CG171" s="295" t="s">
        <v>211</v>
      </c>
      <c r="CH171" s="295"/>
      <c r="CI171" s="311">
        <f t="shared" ref="CI171:CT171" ca="1" si="745">SUM(CI173,CI174,CI175,CI176)</f>
        <v>0</v>
      </c>
      <c r="CJ171" s="311">
        <f t="shared" ca="1" si="745"/>
        <v>0</v>
      </c>
      <c r="CK171" s="311">
        <f t="shared" ca="1" si="745"/>
        <v>0</v>
      </c>
      <c r="CL171" s="311">
        <f t="shared" ca="1" si="745"/>
        <v>0</v>
      </c>
      <c r="CM171" s="311">
        <f t="shared" ca="1" si="745"/>
        <v>0</v>
      </c>
      <c r="CN171" s="311">
        <f t="shared" ca="1" si="745"/>
        <v>0</v>
      </c>
      <c r="CO171" s="311">
        <f t="shared" ca="1" si="745"/>
        <v>0</v>
      </c>
      <c r="CP171" s="311">
        <f t="shared" ca="1" si="745"/>
        <v>0</v>
      </c>
      <c r="CQ171" s="311">
        <f t="shared" ca="1" si="745"/>
        <v>0</v>
      </c>
      <c r="CR171" s="311">
        <f t="shared" ca="1" si="745"/>
        <v>0</v>
      </c>
      <c r="CS171" s="311">
        <f t="shared" ca="1" si="745"/>
        <v>0</v>
      </c>
      <c r="CT171" s="311">
        <f t="shared" ca="1" si="745"/>
        <v>0</v>
      </c>
      <c r="CU171" s="4"/>
      <c r="CV171" s="4"/>
    </row>
    <row r="172" spans="2:100" outlineLevel="1" x14ac:dyDescent="0.2">
      <c r="C172" s="3"/>
      <c r="D172" s="3" t="s">
        <v>236</v>
      </c>
      <c r="E172" s="224" t="s">
        <v>382</v>
      </c>
      <c r="F172" s="224" t="str">
        <f>_xlfn.TEXTJOIN(keydelim,TRUE,F$11,$D172)</f>
        <v>Global - Cost of CO2 emissions</v>
      </c>
      <c r="G172" s="22">
        <f t="shared" ref="G172:R172" ca="1" si="746">INDEX(tbl_TCO_input,MATCH($F172,rows_TCO_ID,0),MATCH(G$6,cols_TCO_input,0))</f>
        <v>0</v>
      </c>
      <c r="H172" s="22">
        <f t="shared" ca="1" si="746"/>
        <v>0</v>
      </c>
      <c r="I172" s="22">
        <f t="shared" ca="1" si="746"/>
        <v>0</v>
      </c>
      <c r="J172" s="22">
        <f t="shared" ca="1" si="746"/>
        <v>0</v>
      </c>
      <c r="K172" s="22">
        <f t="shared" ca="1" si="746"/>
        <v>0</v>
      </c>
      <c r="L172" s="22">
        <f t="shared" ca="1" si="746"/>
        <v>0</v>
      </c>
      <c r="M172" s="22">
        <f t="shared" ca="1" si="746"/>
        <v>0</v>
      </c>
      <c r="N172" s="22">
        <f t="shared" ca="1" si="746"/>
        <v>0</v>
      </c>
      <c r="O172" s="22">
        <f t="shared" ca="1" si="746"/>
        <v>0</v>
      </c>
      <c r="P172" s="22">
        <f t="shared" ca="1" si="746"/>
        <v>0</v>
      </c>
      <c r="Q172" s="22">
        <f t="shared" ca="1" si="746"/>
        <v>0</v>
      </c>
      <c r="R172" s="22">
        <f t="shared" ca="1" si="746"/>
        <v>0</v>
      </c>
      <c r="X172" s="3" t="s">
        <v>236</v>
      </c>
      <c r="Y172" s="224" t="s">
        <v>382</v>
      </c>
      <c r="Z172" s="224" t="str">
        <f>_xlfn.TEXTJOIN(keydelim,TRUE,Z$11,$D172)</f>
        <v>Global - Cost of CO2 emissions</v>
      </c>
      <c r="AA172" s="22">
        <f t="shared" ref="AA172:AL172" ca="1" si="747">INDEX(tbl_TCO_input,MATCH($F172,rows_TCO_ID,0),MATCH(AA$6,cols_TCO_input,0))</f>
        <v>0</v>
      </c>
      <c r="AB172" s="22">
        <f t="shared" ca="1" si="747"/>
        <v>0</v>
      </c>
      <c r="AC172" s="22">
        <f t="shared" ca="1" si="747"/>
        <v>0</v>
      </c>
      <c r="AD172" s="22">
        <f t="shared" ca="1" si="747"/>
        <v>0</v>
      </c>
      <c r="AE172" s="22">
        <f t="shared" ca="1" si="747"/>
        <v>0</v>
      </c>
      <c r="AF172" s="22">
        <f t="shared" ca="1" si="747"/>
        <v>0</v>
      </c>
      <c r="AG172" s="22">
        <f t="shared" ca="1" si="747"/>
        <v>0</v>
      </c>
      <c r="AH172" s="22">
        <f t="shared" ca="1" si="747"/>
        <v>0</v>
      </c>
      <c r="AI172" s="22">
        <f t="shared" ca="1" si="747"/>
        <v>0</v>
      </c>
      <c r="AJ172" s="22">
        <f t="shared" ca="1" si="747"/>
        <v>0</v>
      </c>
      <c r="AK172" s="22">
        <f t="shared" ca="1" si="747"/>
        <v>0</v>
      </c>
      <c r="AL172" s="22">
        <f t="shared" ca="1" si="747"/>
        <v>0</v>
      </c>
      <c r="AR172" s="3" t="s">
        <v>236</v>
      </c>
      <c r="AS172" s="224" t="s">
        <v>382</v>
      </c>
      <c r="AT172" s="224" t="str">
        <f>_xlfn.TEXTJOIN(keydelim,TRUE,AT$11,$D172)</f>
        <v>Global - Cost of CO2 emissions</v>
      </c>
      <c r="AU172" s="22">
        <f t="shared" ref="AU172:BF172" ca="1" si="748">INDEX(tbl_TCO_input,MATCH($F172,rows_TCO_ID,0),MATCH(AU$6,cols_TCO_input,0))</f>
        <v>0</v>
      </c>
      <c r="AV172" s="22">
        <f t="shared" ca="1" si="748"/>
        <v>0</v>
      </c>
      <c r="AW172" s="22">
        <f t="shared" ca="1" si="748"/>
        <v>0</v>
      </c>
      <c r="AX172" s="22">
        <f t="shared" ca="1" si="748"/>
        <v>0</v>
      </c>
      <c r="AY172" s="22">
        <f t="shared" ca="1" si="748"/>
        <v>0</v>
      </c>
      <c r="AZ172" s="22">
        <f t="shared" ca="1" si="748"/>
        <v>0</v>
      </c>
      <c r="BA172" s="22">
        <f t="shared" ca="1" si="748"/>
        <v>0</v>
      </c>
      <c r="BB172" s="22">
        <f t="shared" ca="1" si="748"/>
        <v>0</v>
      </c>
      <c r="BC172" s="22">
        <f t="shared" ca="1" si="748"/>
        <v>0</v>
      </c>
      <c r="BD172" s="22">
        <f t="shared" ca="1" si="748"/>
        <v>0</v>
      </c>
      <c r="BE172" s="22">
        <f t="shared" ca="1" si="748"/>
        <v>0</v>
      </c>
      <c r="BF172" s="22">
        <f t="shared" ca="1" si="748"/>
        <v>0</v>
      </c>
      <c r="BL172" s="3" t="s">
        <v>236</v>
      </c>
      <c r="BM172" s="224" t="s">
        <v>382</v>
      </c>
      <c r="BN172" s="224" t="str">
        <f>_xlfn.TEXTJOIN(keydelim,TRUE,BN$11,$D172)</f>
        <v>Global - Cost of CO2 emissions</v>
      </c>
      <c r="BO172" s="22">
        <f t="shared" ref="BO172:BZ172" ca="1" si="749">INDEX(tbl_TCO_input,MATCH($F172,rows_TCO_ID,0),MATCH(BO$6,cols_TCO_input,0))</f>
        <v>0</v>
      </c>
      <c r="BP172" s="22">
        <f t="shared" ca="1" si="749"/>
        <v>0</v>
      </c>
      <c r="BQ172" s="22">
        <f t="shared" ca="1" si="749"/>
        <v>0</v>
      </c>
      <c r="BR172" s="22">
        <f t="shared" ca="1" si="749"/>
        <v>0</v>
      </c>
      <c r="BS172" s="22">
        <f t="shared" ca="1" si="749"/>
        <v>0</v>
      </c>
      <c r="BT172" s="22">
        <f t="shared" ca="1" si="749"/>
        <v>0</v>
      </c>
      <c r="BU172" s="22">
        <f t="shared" ca="1" si="749"/>
        <v>0</v>
      </c>
      <c r="BV172" s="22">
        <f t="shared" ca="1" si="749"/>
        <v>0</v>
      </c>
      <c r="BW172" s="22">
        <f t="shared" ca="1" si="749"/>
        <v>0</v>
      </c>
      <c r="BX172" s="22">
        <f t="shared" ca="1" si="749"/>
        <v>0</v>
      </c>
      <c r="BY172" s="22">
        <f t="shared" ca="1" si="749"/>
        <v>0</v>
      </c>
      <c r="BZ172" s="22">
        <f t="shared" ca="1" si="749"/>
        <v>0</v>
      </c>
      <c r="CF172" s="3" t="s">
        <v>236</v>
      </c>
      <c r="CG172" s="224" t="s">
        <v>382</v>
      </c>
      <c r="CH172" s="224" t="str">
        <f>_xlfn.TEXTJOIN(keydelim,TRUE,CH$11,$D172)</f>
        <v>Global - Cost of CO2 emissions</v>
      </c>
      <c r="CI172" s="22">
        <f t="shared" ref="CI172:CT172" ca="1" si="750">INDEX(tbl_TCO_input,MATCH($F172,rows_TCO_ID,0),MATCH(CI$6,cols_TCO_input,0))</f>
        <v>0</v>
      </c>
      <c r="CJ172" s="22">
        <f t="shared" ca="1" si="750"/>
        <v>0</v>
      </c>
      <c r="CK172" s="22">
        <f t="shared" ca="1" si="750"/>
        <v>0</v>
      </c>
      <c r="CL172" s="22">
        <f t="shared" ca="1" si="750"/>
        <v>0</v>
      </c>
      <c r="CM172" s="22">
        <f t="shared" ca="1" si="750"/>
        <v>0</v>
      </c>
      <c r="CN172" s="22">
        <f t="shared" ca="1" si="750"/>
        <v>0</v>
      </c>
      <c r="CO172" s="22">
        <f t="shared" ca="1" si="750"/>
        <v>0</v>
      </c>
      <c r="CP172" s="22">
        <f t="shared" ca="1" si="750"/>
        <v>0</v>
      </c>
      <c r="CQ172" s="22">
        <f t="shared" ca="1" si="750"/>
        <v>0</v>
      </c>
      <c r="CR172" s="22">
        <f t="shared" ca="1" si="750"/>
        <v>0</v>
      </c>
      <c r="CS172" s="22">
        <f t="shared" ca="1" si="750"/>
        <v>0</v>
      </c>
      <c r="CT172" s="22">
        <f t="shared" ca="1" si="750"/>
        <v>0</v>
      </c>
    </row>
    <row r="173" spans="2:100" s="266" customFormat="1" outlineLevel="1" x14ac:dyDescent="0.2">
      <c r="C173" s="285"/>
      <c r="D173" s="16" t="s">
        <v>383</v>
      </c>
      <c r="E173" s="224" t="s">
        <v>211</v>
      </c>
      <c r="F173" s="282"/>
      <c r="G173" s="289">
        <f ca="1">G178*G$172</f>
        <v>0</v>
      </c>
      <c r="H173" s="289">
        <f t="shared" ref="H173:R173" ca="1" si="751">H178*H$172</f>
        <v>0</v>
      </c>
      <c r="I173" s="289">
        <f t="shared" ca="1" si="751"/>
        <v>0</v>
      </c>
      <c r="J173" s="289">
        <f t="shared" ca="1" si="751"/>
        <v>0</v>
      </c>
      <c r="K173" s="289">
        <f t="shared" ca="1" si="751"/>
        <v>0</v>
      </c>
      <c r="L173" s="289">
        <f t="shared" ca="1" si="751"/>
        <v>0</v>
      </c>
      <c r="M173" s="289">
        <f t="shared" ca="1" si="751"/>
        <v>0</v>
      </c>
      <c r="N173" s="289">
        <f t="shared" ca="1" si="751"/>
        <v>0</v>
      </c>
      <c r="O173" s="289">
        <f t="shared" ca="1" si="751"/>
        <v>0</v>
      </c>
      <c r="P173" s="289">
        <f t="shared" ca="1" si="751"/>
        <v>0</v>
      </c>
      <c r="Q173" s="289">
        <f t="shared" ca="1" si="751"/>
        <v>0</v>
      </c>
      <c r="R173" s="289">
        <f t="shared" ca="1" si="751"/>
        <v>0</v>
      </c>
      <c r="X173" s="16" t="s">
        <v>383</v>
      </c>
      <c r="Y173" s="224" t="s">
        <v>211</v>
      </c>
      <c r="Z173" s="282"/>
      <c r="AA173" s="289">
        <f ca="1">AA178*AA$172</f>
        <v>0</v>
      </c>
      <c r="AB173" s="289">
        <f t="shared" ref="AB173:AL173" ca="1" si="752">AB178*AB$172</f>
        <v>0</v>
      </c>
      <c r="AC173" s="289">
        <f t="shared" ca="1" si="752"/>
        <v>0</v>
      </c>
      <c r="AD173" s="289">
        <f t="shared" ca="1" si="752"/>
        <v>0</v>
      </c>
      <c r="AE173" s="289">
        <f t="shared" ca="1" si="752"/>
        <v>0</v>
      </c>
      <c r="AF173" s="289">
        <f t="shared" ca="1" si="752"/>
        <v>0</v>
      </c>
      <c r="AG173" s="289">
        <f t="shared" ca="1" si="752"/>
        <v>0</v>
      </c>
      <c r="AH173" s="289">
        <f t="shared" ca="1" si="752"/>
        <v>0</v>
      </c>
      <c r="AI173" s="289">
        <f t="shared" ca="1" si="752"/>
        <v>0</v>
      </c>
      <c r="AJ173" s="289">
        <f t="shared" ca="1" si="752"/>
        <v>0</v>
      </c>
      <c r="AK173" s="289">
        <f t="shared" ca="1" si="752"/>
        <v>0</v>
      </c>
      <c r="AL173" s="289">
        <f t="shared" ca="1" si="752"/>
        <v>0</v>
      </c>
      <c r="AR173" s="16" t="s">
        <v>383</v>
      </c>
      <c r="AS173" s="224" t="s">
        <v>211</v>
      </c>
      <c r="AT173" s="282"/>
      <c r="AU173" s="289">
        <f ca="1">AU178*AU$172</f>
        <v>0</v>
      </c>
      <c r="AV173" s="289">
        <f t="shared" ref="AV173:BF173" ca="1" si="753">AV178*AV$172</f>
        <v>0</v>
      </c>
      <c r="AW173" s="289">
        <f t="shared" ca="1" si="753"/>
        <v>0</v>
      </c>
      <c r="AX173" s="289">
        <f t="shared" ca="1" si="753"/>
        <v>0</v>
      </c>
      <c r="AY173" s="289">
        <f t="shared" ca="1" si="753"/>
        <v>0</v>
      </c>
      <c r="AZ173" s="289">
        <f t="shared" ca="1" si="753"/>
        <v>0</v>
      </c>
      <c r="BA173" s="289">
        <f t="shared" ca="1" si="753"/>
        <v>0</v>
      </c>
      <c r="BB173" s="289">
        <f t="shared" ca="1" si="753"/>
        <v>0</v>
      </c>
      <c r="BC173" s="289">
        <f t="shared" ca="1" si="753"/>
        <v>0</v>
      </c>
      <c r="BD173" s="289">
        <f t="shared" ca="1" si="753"/>
        <v>0</v>
      </c>
      <c r="BE173" s="289">
        <f t="shared" ca="1" si="753"/>
        <v>0</v>
      </c>
      <c r="BF173" s="289">
        <f t="shared" ca="1" si="753"/>
        <v>0</v>
      </c>
      <c r="BG173"/>
      <c r="BH173"/>
      <c r="BL173" s="16" t="s">
        <v>383</v>
      </c>
      <c r="BM173" s="224" t="s">
        <v>211</v>
      </c>
      <c r="BN173" s="282"/>
      <c r="BO173" s="289">
        <f ca="1">BO178*BO$172</f>
        <v>0</v>
      </c>
      <c r="BP173" s="289">
        <f t="shared" ref="BP173:BZ173" ca="1" si="754">BP178*BP$172</f>
        <v>0</v>
      </c>
      <c r="BQ173" s="289">
        <f t="shared" ca="1" si="754"/>
        <v>0</v>
      </c>
      <c r="BR173" s="289">
        <f t="shared" ca="1" si="754"/>
        <v>0</v>
      </c>
      <c r="BS173" s="289">
        <f t="shared" ca="1" si="754"/>
        <v>0</v>
      </c>
      <c r="BT173" s="289">
        <f t="shared" ca="1" si="754"/>
        <v>0</v>
      </c>
      <c r="BU173" s="289">
        <f t="shared" ca="1" si="754"/>
        <v>0</v>
      </c>
      <c r="BV173" s="289">
        <f t="shared" ca="1" si="754"/>
        <v>0</v>
      </c>
      <c r="BW173" s="289">
        <f t="shared" ca="1" si="754"/>
        <v>0</v>
      </c>
      <c r="BX173" s="289">
        <f t="shared" ca="1" si="754"/>
        <v>0</v>
      </c>
      <c r="BY173" s="289">
        <f t="shared" ca="1" si="754"/>
        <v>0</v>
      </c>
      <c r="BZ173" s="289">
        <f t="shared" ca="1" si="754"/>
        <v>0</v>
      </c>
      <c r="CA173"/>
      <c r="CB173"/>
      <c r="CF173" s="16" t="s">
        <v>383</v>
      </c>
      <c r="CG173" s="224" t="s">
        <v>211</v>
      </c>
      <c r="CH173" s="282"/>
      <c r="CI173" s="289">
        <f ca="1">CI178*CI$172</f>
        <v>0</v>
      </c>
      <c r="CJ173" s="289">
        <f t="shared" ref="CJ173:CT173" ca="1" si="755">CJ178*CJ$172</f>
        <v>0</v>
      </c>
      <c r="CK173" s="289">
        <f t="shared" ca="1" si="755"/>
        <v>0</v>
      </c>
      <c r="CL173" s="289">
        <f t="shared" ca="1" si="755"/>
        <v>0</v>
      </c>
      <c r="CM173" s="289">
        <f t="shared" ca="1" si="755"/>
        <v>0</v>
      </c>
      <c r="CN173" s="289">
        <f t="shared" ca="1" si="755"/>
        <v>0</v>
      </c>
      <c r="CO173" s="289">
        <f t="shared" ca="1" si="755"/>
        <v>0</v>
      </c>
      <c r="CP173" s="289">
        <f t="shared" ca="1" si="755"/>
        <v>0</v>
      </c>
      <c r="CQ173" s="289">
        <f t="shared" ca="1" si="755"/>
        <v>0</v>
      </c>
      <c r="CR173" s="289">
        <f t="shared" ca="1" si="755"/>
        <v>0</v>
      </c>
      <c r="CS173" s="289">
        <f t="shared" ca="1" si="755"/>
        <v>0</v>
      </c>
      <c r="CT173" s="289">
        <f t="shared" ca="1" si="755"/>
        <v>0</v>
      </c>
      <c r="CU173"/>
      <c r="CV173"/>
    </row>
    <row r="174" spans="2:100" s="266" customFormat="1" outlineLevel="1" x14ac:dyDescent="0.2">
      <c r="C174" s="285"/>
      <c r="D174" s="16" t="s">
        <v>384</v>
      </c>
      <c r="E174" s="224" t="s">
        <v>211</v>
      </c>
      <c r="F174" s="282"/>
      <c r="G174" s="289">
        <f t="shared" ref="G174:R174" ca="1" si="756">G179*G$172</f>
        <v>0</v>
      </c>
      <c r="H174" s="289">
        <f t="shared" ca="1" si="756"/>
        <v>0</v>
      </c>
      <c r="I174" s="289">
        <f t="shared" ca="1" si="756"/>
        <v>0</v>
      </c>
      <c r="J174" s="289">
        <f t="shared" ca="1" si="756"/>
        <v>0</v>
      </c>
      <c r="K174" s="289">
        <f t="shared" ca="1" si="756"/>
        <v>0</v>
      </c>
      <c r="L174" s="289">
        <f t="shared" ca="1" si="756"/>
        <v>0</v>
      </c>
      <c r="M174" s="289">
        <f t="shared" ca="1" si="756"/>
        <v>0</v>
      </c>
      <c r="N174" s="289">
        <f t="shared" ca="1" si="756"/>
        <v>0</v>
      </c>
      <c r="O174" s="289">
        <f t="shared" ca="1" si="756"/>
        <v>0</v>
      </c>
      <c r="P174" s="289">
        <f t="shared" ca="1" si="756"/>
        <v>0</v>
      </c>
      <c r="Q174" s="289">
        <f t="shared" ca="1" si="756"/>
        <v>0</v>
      </c>
      <c r="R174" s="289">
        <f t="shared" ca="1" si="756"/>
        <v>0</v>
      </c>
      <c r="X174" s="16" t="s">
        <v>384</v>
      </c>
      <c r="Y174" s="224" t="s">
        <v>211</v>
      </c>
      <c r="Z174" s="282"/>
      <c r="AA174" s="289">
        <f t="shared" ref="AA174:AL174" ca="1" si="757">AA179*AA$172</f>
        <v>0</v>
      </c>
      <c r="AB174" s="289">
        <f t="shared" ca="1" si="757"/>
        <v>0</v>
      </c>
      <c r="AC174" s="289">
        <f t="shared" ca="1" si="757"/>
        <v>0</v>
      </c>
      <c r="AD174" s="289">
        <f t="shared" ca="1" si="757"/>
        <v>0</v>
      </c>
      <c r="AE174" s="289">
        <f t="shared" ca="1" si="757"/>
        <v>0</v>
      </c>
      <c r="AF174" s="289">
        <f t="shared" ca="1" si="757"/>
        <v>0</v>
      </c>
      <c r="AG174" s="289">
        <f t="shared" ca="1" si="757"/>
        <v>0</v>
      </c>
      <c r="AH174" s="289">
        <f t="shared" ca="1" si="757"/>
        <v>0</v>
      </c>
      <c r="AI174" s="289">
        <f t="shared" ca="1" si="757"/>
        <v>0</v>
      </c>
      <c r="AJ174" s="289">
        <f t="shared" ca="1" si="757"/>
        <v>0</v>
      </c>
      <c r="AK174" s="289">
        <f t="shared" ca="1" si="757"/>
        <v>0</v>
      </c>
      <c r="AL174" s="289">
        <f t="shared" ca="1" si="757"/>
        <v>0</v>
      </c>
      <c r="AR174" s="16" t="s">
        <v>384</v>
      </c>
      <c r="AS174" s="224" t="s">
        <v>211</v>
      </c>
      <c r="AT174" s="282"/>
      <c r="AU174" s="289">
        <f t="shared" ref="AU174:BF174" ca="1" si="758">AU179*AU$172</f>
        <v>0</v>
      </c>
      <c r="AV174" s="289">
        <f t="shared" ca="1" si="758"/>
        <v>0</v>
      </c>
      <c r="AW174" s="289">
        <f t="shared" ca="1" si="758"/>
        <v>0</v>
      </c>
      <c r="AX174" s="289">
        <f t="shared" ca="1" si="758"/>
        <v>0</v>
      </c>
      <c r="AY174" s="289">
        <f t="shared" ca="1" si="758"/>
        <v>0</v>
      </c>
      <c r="AZ174" s="289">
        <f t="shared" ca="1" si="758"/>
        <v>0</v>
      </c>
      <c r="BA174" s="289">
        <f t="shared" ca="1" si="758"/>
        <v>0</v>
      </c>
      <c r="BB174" s="289">
        <f t="shared" ca="1" si="758"/>
        <v>0</v>
      </c>
      <c r="BC174" s="289">
        <f t="shared" ca="1" si="758"/>
        <v>0</v>
      </c>
      <c r="BD174" s="289">
        <f t="shared" ca="1" si="758"/>
        <v>0</v>
      </c>
      <c r="BE174" s="289">
        <f t="shared" ca="1" si="758"/>
        <v>0</v>
      </c>
      <c r="BF174" s="289">
        <f t="shared" ca="1" si="758"/>
        <v>0</v>
      </c>
      <c r="BG174"/>
      <c r="BH174"/>
      <c r="BL174" s="16" t="s">
        <v>384</v>
      </c>
      <c r="BM174" s="224" t="s">
        <v>211</v>
      </c>
      <c r="BN174" s="282"/>
      <c r="BO174" s="289">
        <f t="shared" ref="BO174:BZ174" ca="1" si="759">BO179*BO$172</f>
        <v>0</v>
      </c>
      <c r="BP174" s="289">
        <f t="shared" ca="1" si="759"/>
        <v>0</v>
      </c>
      <c r="BQ174" s="289">
        <f t="shared" ca="1" si="759"/>
        <v>0</v>
      </c>
      <c r="BR174" s="289">
        <f t="shared" ca="1" si="759"/>
        <v>0</v>
      </c>
      <c r="BS174" s="289">
        <f t="shared" ca="1" si="759"/>
        <v>0</v>
      </c>
      <c r="BT174" s="289">
        <f t="shared" ca="1" si="759"/>
        <v>0</v>
      </c>
      <c r="BU174" s="289">
        <f t="shared" ca="1" si="759"/>
        <v>0</v>
      </c>
      <c r="BV174" s="289">
        <f t="shared" ca="1" si="759"/>
        <v>0</v>
      </c>
      <c r="BW174" s="289">
        <f t="shared" ca="1" si="759"/>
        <v>0</v>
      </c>
      <c r="BX174" s="289">
        <f t="shared" ca="1" si="759"/>
        <v>0</v>
      </c>
      <c r="BY174" s="289">
        <f t="shared" ca="1" si="759"/>
        <v>0</v>
      </c>
      <c r="BZ174" s="289">
        <f t="shared" ca="1" si="759"/>
        <v>0</v>
      </c>
      <c r="CA174"/>
      <c r="CB174"/>
      <c r="CF174" s="16" t="s">
        <v>384</v>
      </c>
      <c r="CG174" s="224" t="s">
        <v>211</v>
      </c>
      <c r="CH174" s="282"/>
      <c r="CI174" s="289">
        <f t="shared" ref="CI174:CT174" ca="1" si="760">CI179*CI$172</f>
        <v>0</v>
      </c>
      <c r="CJ174" s="289">
        <f t="shared" ca="1" si="760"/>
        <v>0</v>
      </c>
      <c r="CK174" s="289">
        <f t="shared" ca="1" si="760"/>
        <v>0</v>
      </c>
      <c r="CL174" s="289">
        <f t="shared" ca="1" si="760"/>
        <v>0</v>
      </c>
      <c r="CM174" s="289">
        <f t="shared" ca="1" si="760"/>
        <v>0</v>
      </c>
      <c r="CN174" s="289">
        <f t="shared" ca="1" si="760"/>
        <v>0</v>
      </c>
      <c r="CO174" s="289">
        <f t="shared" ca="1" si="760"/>
        <v>0</v>
      </c>
      <c r="CP174" s="289">
        <f t="shared" ca="1" si="760"/>
        <v>0</v>
      </c>
      <c r="CQ174" s="289">
        <f t="shared" ca="1" si="760"/>
        <v>0</v>
      </c>
      <c r="CR174" s="289">
        <f t="shared" ca="1" si="760"/>
        <v>0</v>
      </c>
      <c r="CS174" s="289">
        <f t="shared" ca="1" si="760"/>
        <v>0</v>
      </c>
      <c r="CT174" s="289">
        <f t="shared" ca="1" si="760"/>
        <v>0</v>
      </c>
      <c r="CU174"/>
      <c r="CV174"/>
    </row>
    <row r="175" spans="2:100" s="266" customFormat="1" outlineLevel="1" x14ac:dyDescent="0.2">
      <c r="C175" s="285"/>
      <c r="D175" s="16" t="s">
        <v>238</v>
      </c>
      <c r="E175" s="224" t="s">
        <v>211</v>
      </c>
      <c r="F175" s="282"/>
      <c r="G175" s="289">
        <f t="shared" ref="G175:R175" ca="1" si="761">G180*G$172</f>
        <v>0</v>
      </c>
      <c r="H175" s="289">
        <f t="shared" ca="1" si="761"/>
        <v>0</v>
      </c>
      <c r="I175" s="289">
        <f t="shared" ca="1" si="761"/>
        <v>0</v>
      </c>
      <c r="J175" s="289">
        <f t="shared" ca="1" si="761"/>
        <v>0</v>
      </c>
      <c r="K175" s="289">
        <f t="shared" ca="1" si="761"/>
        <v>0</v>
      </c>
      <c r="L175" s="289">
        <f t="shared" ca="1" si="761"/>
        <v>0</v>
      </c>
      <c r="M175" s="289">
        <f t="shared" ca="1" si="761"/>
        <v>0</v>
      </c>
      <c r="N175" s="289">
        <f t="shared" ca="1" si="761"/>
        <v>0</v>
      </c>
      <c r="O175" s="289">
        <f t="shared" ca="1" si="761"/>
        <v>0</v>
      </c>
      <c r="P175" s="289">
        <f t="shared" ca="1" si="761"/>
        <v>0</v>
      </c>
      <c r="Q175" s="289">
        <f t="shared" ca="1" si="761"/>
        <v>0</v>
      </c>
      <c r="R175" s="289">
        <f t="shared" ca="1" si="761"/>
        <v>0</v>
      </c>
      <c r="X175" s="16" t="s">
        <v>238</v>
      </c>
      <c r="Y175" s="224" t="s">
        <v>211</v>
      </c>
      <c r="Z175" s="282"/>
      <c r="AA175" s="289">
        <f t="shared" ref="AA175:AL175" ca="1" si="762">AA180*AA$172</f>
        <v>0</v>
      </c>
      <c r="AB175" s="289">
        <f t="shared" ca="1" si="762"/>
        <v>0</v>
      </c>
      <c r="AC175" s="289">
        <f t="shared" ca="1" si="762"/>
        <v>0</v>
      </c>
      <c r="AD175" s="289">
        <f t="shared" ca="1" si="762"/>
        <v>0</v>
      </c>
      <c r="AE175" s="289">
        <f t="shared" ca="1" si="762"/>
        <v>0</v>
      </c>
      <c r="AF175" s="289">
        <f t="shared" ca="1" si="762"/>
        <v>0</v>
      </c>
      <c r="AG175" s="289">
        <f t="shared" ca="1" si="762"/>
        <v>0</v>
      </c>
      <c r="AH175" s="289">
        <f t="shared" ca="1" si="762"/>
        <v>0</v>
      </c>
      <c r="AI175" s="289">
        <f t="shared" ca="1" si="762"/>
        <v>0</v>
      </c>
      <c r="AJ175" s="289">
        <f t="shared" ca="1" si="762"/>
        <v>0</v>
      </c>
      <c r="AK175" s="289">
        <f t="shared" ca="1" si="762"/>
        <v>0</v>
      </c>
      <c r="AL175" s="289">
        <f t="shared" ca="1" si="762"/>
        <v>0</v>
      </c>
      <c r="AR175" s="16" t="s">
        <v>238</v>
      </c>
      <c r="AS175" s="224" t="s">
        <v>211</v>
      </c>
      <c r="AT175" s="282"/>
      <c r="AU175" s="289">
        <f t="shared" ref="AU175:BF175" ca="1" si="763">AU180*AU$172</f>
        <v>0</v>
      </c>
      <c r="AV175" s="289">
        <f t="shared" ca="1" si="763"/>
        <v>0</v>
      </c>
      <c r="AW175" s="289">
        <f t="shared" ca="1" si="763"/>
        <v>0</v>
      </c>
      <c r="AX175" s="289">
        <f t="shared" ca="1" si="763"/>
        <v>0</v>
      </c>
      <c r="AY175" s="289">
        <f t="shared" ca="1" si="763"/>
        <v>0</v>
      </c>
      <c r="AZ175" s="289">
        <f t="shared" ca="1" si="763"/>
        <v>0</v>
      </c>
      <c r="BA175" s="289">
        <f t="shared" ca="1" si="763"/>
        <v>0</v>
      </c>
      <c r="BB175" s="289">
        <f t="shared" ca="1" si="763"/>
        <v>0</v>
      </c>
      <c r="BC175" s="289">
        <f t="shared" ca="1" si="763"/>
        <v>0</v>
      </c>
      <c r="BD175" s="289">
        <f t="shared" ca="1" si="763"/>
        <v>0</v>
      </c>
      <c r="BE175" s="289">
        <f t="shared" ca="1" si="763"/>
        <v>0</v>
      </c>
      <c r="BF175" s="289">
        <f t="shared" ca="1" si="763"/>
        <v>0</v>
      </c>
      <c r="BG175"/>
      <c r="BH175"/>
      <c r="BL175" s="16" t="s">
        <v>238</v>
      </c>
      <c r="BM175" s="224" t="s">
        <v>211</v>
      </c>
      <c r="BN175" s="282"/>
      <c r="BO175" s="289">
        <f t="shared" ref="BO175:BZ175" ca="1" si="764">BO180*BO$172</f>
        <v>0</v>
      </c>
      <c r="BP175" s="289">
        <f t="shared" ca="1" si="764"/>
        <v>0</v>
      </c>
      <c r="BQ175" s="289">
        <f t="shared" ca="1" si="764"/>
        <v>0</v>
      </c>
      <c r="BR175" s="289">
        <f t="shared" ca="1" si="764"/>
        <v>0</v>
      </c>
      <c r="BS175" s="289">
        <f t="shared" ca="1" si="764"/>
        <v>0</v>
      </c>
      <c r="BT175" s="289">
        <f t="shared" ca="1" si="764"/>
        <v>0</v>
      </c>
      <c r="BU175" s="289">
        <f t="shared" ca="1" si="764"/>
        <v>0</v>
      </c>
      <c r="BV175" s="289">
        <f t="shared" ca="1" si="764"/>
        <v>0</v>
      </c>
      <c r="BW175" s="289">
        <f t="shared" ca="1" si="764"/>
        <v>0</v>
      </c>
      <c r="BX175" s="289">
        <f t="shared" ca="1" si="764"/>
        <v>0</v>
      </c>
      <c r="BY175" s="289">
        <f t="shared" ca="1" si="764"/>
        <v>0</v>
      </c>
      <c r="BZ175" s="289">
        <f t="shared" ca="1" si="764"/>
        <v>0</v>
      </c>
      <c r="CA175"/>
      <c r="CB175"/>
      <c r="CF175" s="16" t="s">
        <v>238</v>
      </c>
      <c r="CG175" s="224" t="s">
        <v>211</v>
      </c>
      <c r="CH175" s="282"/>
      <c r="CI175" s="289">
        <f t="shared" ref="CI175:CT175" ca="1" si="765">CI180*CI$172</f>
        <v>0</v>
      </c>
      <c r="CJ175" s="289">
        <f t="shared" ca="1" si="765"/>
        <v>0</v>
      </c>
      <c r="CK175" s="289">
        <f t="shared" ca="1" si="765"/>
        <v>0</v>
      </c>
      <c r="CL175" s="289">
        <f t="shared" ca="1" si="765"/>
        <v>0</v>
      </c>
      <c r="CM175" s="289">
        <f t="shared" ca="1" si="765"/>
        <v>0</v>
      </c>
      <c r="CN175" s="289">
        <f t="shared" ca="1" si="765"/>
        <v>0</v>
      </c>
      <c r="CO175" s="289">
        <f t="shared" ca="1" si="765"/>
        <v>0</v>
      </c>
      <c r="CP175" s="289">
        <f t="shared" ca="1" si="765"/>
        <v>0</v>
      </c>
      <c r="CQ175" s="289">
        <f t="shared" ca="1" si="765"/>
        <v>0</v>
      </c>
      <c r="CR175" s="289">
        <f t="shared" ca="1" si="765"/>
        <v>0</v>
      </c>
      <c r="CS175" s="289">
        <f t="shared" ca="1" si="765"/>
        <v>0</v>
      </c>
      <c r="CT175" s="289">
        <f t="shared" ca="1" si="765"/>
        <v>0</v>
      </c>
      <c r="CU175"/>
      <c r="CV175"/>
    </row>
    <row r="176" spans="2:100" s="266" customFormat="1" outlineLevel="1" x14ac:dyDescent="0.2">
      <c r="C176"/>
      <c r="D176" s="16" t="s">
        <v>385</v>
      </c>
      <c r="E176" s="224" t="s">
        <v>211</v>
      </c>
      <c r="F176" s="224"/>
      <c r="G176" s="289">
        <f t="shared" ref="G176:R176" ca="1" si="766">G181*G$172</f>
        <v>0</v>
      </c>
      <c r="H176" s="289">
        <f t="shared" ca="1" si="766"/>
        <v>0</v>
      </c>
      <c r="I176" s="289">
        <f t="shared" ca="1" si="766"/>
        <v>0</v>
      </c>
      <c r="J176" s="289">
        <f t="shared" ca="1" si="766"/>
        <v>0</v>
      </c>
      <c r="K176" s="289">
        <f t="shared" ca="1" si="766"/>
        <v>0</v>
      </c>
      <c r="L176" s="289">
        <f t="shared" ca="1" si="766"/>
        <v>0</v>
      </c>
      <c r="M176" s="289">
        <f t="shared" ca="1" si="766"/>
        <v>0</v>
      </c>
      <c r="N176" s="289">
        <f t="shared" ca="1" si="766"/>
        <v>0</v>
      </c>
      <c r="O176" s="289">
        <f t="shared" ca="1" si="766"/>
        <v>0</v>
      </c>
      <c r="P176" s="289">
        <f t="shared" ca="1" si="766"/>
        <v>0</v>
      </c>
      <c r="Q176" s="289">
        <f t="shared" ca="1" si="766"/>
        <v>0</v>
      </c>
      <c r="R176" s="289">
        <f t="shared" ca="1" si="766"/>
        <v>0</v>
      </c>
      <c r="X176" s="16" t="s">
        <v>385</v>
      </c>
      <c r="Y176" s="224" t="s">
        <v>211</v>
      </c>
      <c r="Z176" s="224"/>
      <c r="AA176" s="289">
        <f t="shared" ref="AA176:AL176" ca="1" si="767">AA181*AA$172</f>
        <v>0</v>
      </c>
      <c r="AB176" s="289">
        <f t="shared" ca="1" si="767"/>
        <v>0</v>
      </c>
      <c r="AC176" s="289">
        <f t="shared" ca="1" si="767"/>
        <v>0</v>
      </c>
      <c r="AD176" s="289">
        <f t="shared" ca="1" si="767"/>
        <v>0</v>
      </c>
      <c r="AE176" s="289">
        <f t="shared" ca="1" si="767"/>
        <v>0</v>
      </c>
      <c r="AF176" s="289">
        <f t="shared" ca="1" si="767"/>
        <v>0</v>
      </c>
      <c r="AG176" s="289">
        <f t="shared" ca="1" si="767"/>
        <v>0</v>
      </c>
      <c r="AH176" s="289">
        <f t="shared" ca="1" si="767"/>
        <v>0</v>
      </c>
      <c r="AI176" s="289">
        <f t="shared" ca="1" si="767"/>
        <v>0</v>
      </c>
      <c r="AJ176" s="289">
        <f t="shared" ca="1" si="767"/>
        <v>0</v>
      </c>
      <c r="AK176" s="289">
        <f t="shared" ca="1" si="767"/>
        <v>0</v>
      </c>
      <c r="AL176" s="289">
        <f t="shared" ca="1" si="767"/>
        <v>0</v>
      </c>
      <c r="AR176" s="16" t="s">
        <v>385</v>
      </c>
      <c r="AS176" s="224" t="s">
        <v>211</v>
      </c>
      <c r="AT176" s="224"/>
      <c r="AU176" s="289">
        <f t="shared" ref="AU176:BF176" ca="1" si="768">AU181*AU$172</f>
        <v>0</v>
      </c>
      <c r="AV176" s="289">
        <f t="shared" ca="1" si="768"/>
        <v>0</v>
      </c>
      <c r="AW176" s="289">
        <f t="shared" ca="1" si="768"/>
        <v>0</v>
      </c>
      <c r="AX176" s="289">
        <f t="shared" ca="1" si="768"/>
        <v>0</v>
      </c>
      <c r="AY176" s="289">
        <f t="shared" ca="1" si="768"/>
        <v>0</v>
      </c>
      <c r="AZ176" s="289">
        <f t="shared" ca="1" si="768"/>
        <v>0</v>
      </c>
      <c r="BA176" s="289">
        <f t="shared" ca="1" si="768"/>
        <v>0</v>
      </c>
      <c r="BB176" s="289">
        <f t="shared" ca="1" si="768"/>
        <v>0</v>
      </c>
      <c r="BC176" s="289">
        <f t="shared" ca="1" si="768"/>
        <v>0</v>
      </c>
      <c r="BD176" s="289">
        <f t="shared" ca="1" si="768"/>
        <v>0</v>
      </c>
      <c r="BE176" s="289">
        <f t="shared" ca="1" si="768"/>
        <v>0</v>
      </c>
      <c r="BF176" s="289">
        <f t="shared" ca="1" si="768"/>
        <v>0</v>
      </c>
      <c r="BG176"/>
      <c r="BH176"/>
      <c r="BL176" s="16" t="s">
        <v>385</v>
      </c>
      <c r="BM176" s="224" t="s">
        <v>211</v>
      </c>
      <c r="BN176" s="224"/>
      <c r="BO176" s="289">
        <f t="shared" ref="BO176:BZ176" ca="1" si="769">BO181*BO$172</f>
        <v>0</v>
      </c>
      <c r="BP176" s="289">
        <f t="shared" ca="1" si="769"/>
        <v>0</v>
      </c>
      <c r="BQ176" s="289">
        <f t="shared" ca="1" si="769"/>
        <v>0</v>
      </c>
      <c r="BR176" s="289">
        <f t="shared" ca="1" si="769"/>
        <v>0</v>
      </c>
      <c r="BS176" s="289">
        <f t="shared" ca="1" si="769"/>
        <v>0</v>
      </c>
      <c r="BT176" s="289">
        <f t="shared" ca="1" si="769"/>
        <v>0</v>
      </c>
      <c r="BU176" s="289">
        <f t="shared" ca="1" si="769"/>
        <v>0</v>
      </c>
      <c r="BV176" s="289">
        <f t="shared" ca="1" si="769"/>
        <v>0</v>
      </c>
      <c r="BW176" s="289">
        <f t="shared" ca="1" si="769"/>
        <v>0</v>
      </c>
      <c r="BX176" s="289">
        <f t="shared" ca="1" si="769"/>
        <v>0</v>
      </c>
      <c r="BY176" s="289">
        <f t="shared" ca="1" si="769"/>
        <v>0</v>
      </c>
      <c r="BZ176" s="289">
        <f t="shared" ca="1" si="769"/>
        <v>0</v>
      </c>
      <c r="CA176"/>
      <c r="CB176"/>
      <c r="CF176" s="16" t="s">
        <v>385</v>
      </c>
      <c r="CG176" s="224" t="s">
        <v>211</v>
      </c>
      <c r="CH176" s="224"/>
      <c r="CI176" s="289">
        <f t="shared" ref="CI176:CT176" ca="1" si="770">CI181*CI$172</f>
        <v>0</v>
      </c>
      <c r="CJ176" s="289">
        <f t="shared" ca="1" si="770"/>
        <v>0</v>
      </c>
      <c r="CK176" s="289">
        <f t="shared" ca="1" si="770"/>
        <v>0</v>
      </c>
      <c r="CL176" s="289">
        <f t="shared" ca="1" si="770"/>
        <v>0</v>
      </c>
      <c r="CM176" s="289">
        <f t="shared" ca="1" si="770"/>
        <v>0</v>
      </c>
      <c r="CN176" s="289">
        <f t="shared" ca="1" si="770"/>
        <v>0</v>
      </c>
      <c r="CO176" s="289">
        <f t="shared" ca="1" si="770"/>
        <v>0</v>
      </c>
      <c r="CP176" s="289">
        <f t="shared" ca="1" si="770"/>
        <v>0</v>
      </c>
      <c r="CQ176" s="289">
        <f t="shared" ca="1" si="770"/>
        <v>0</v>
      </c>
      <c r="CR176" s="289">
        <f t="shared" ca="1" si="770"/>
        <v>0</v>
      </c>
      <c r="CS176" s="289">
        <f t="shared" ca="1" si="770"/>
        <v>0</v>
      </c>
      <c r="CT176" s="289">
        <f t="shared" ca="1" si="770"/>
        <v>0</v>
      </c>
      <c r="CU176"/>
      <c r="CV176"/>
    </row>
    <row r="177" spans="3:100" s="266" customFormat="1" outlineLevel="1" x14ac:dyDescent="0.2">
      <c r="C177" s="285"/>
      <c r="D177" s="285" t="s">
        <v>386</v>
      </c>
      <c r="E177" s="282" t="s">
        <v>247</v>
      </c>
      <c r="F177" s="282"/>
      <c r="G177" s="289">
        <f ca="1">SUM(G178:G181)</f>
        <v>91934.116401421154</v>
      </c>
      <c r="H177" s="289">
        <f t="shared" ref="H177:R177" ca="1" si="771">SUM(H178:H181)</f>
        <v>91934.116401421154</v>
      </c>
      <c r="I177" s="289">
        <f t="shared" ca="1" si="771"/>
        <v>91934.116401421154</v>
      </c>
      <c r="J177" s="289">
        <f t="shared" ca="1" si="771"/>
        <v>91934.116401421154</v>
      </c>
      <c r="K177" s="289">
        <f t="shared" ca="1" si="771"/>
        <v>91934.116401421154</v>
      </c>
      <c r="L177" s="289">
        <f t="shared" ca="1" si="771"/>
        <v>91934.116401421154</v>
      </c>
      <c r="M177" s="289">
        <f t="shared" ca="1" si="771"/>
        <v>91934.116401421154</v>
      </c>
      <c r="N177" s="289">
        <f t="shared" ca="1" si="771"/>
        <v>91934.116401421154</v>
      </c>
      <c r="O177" s="289">
        <f t="shared" ca="1" si="771"/>
        <v>91934.116401421154</v>
      </c>
      <c r="P177" s="289">
        <f t="shared" ca="1" si="771"/>
        <v>91934.116401421154</v>
      </c>
      <c r="Q177" s="289">
        <f t="shared" ca="1" si="771"/>
        <v>91934.116401421154</v>
      </c>
      <c r="R177" s="289">
        <f t="shared" ca="1" si="771"/>
        <v>91934.116401421154</v>
      </c>
      <c r="X177" s="285" t="s">
        <v>386</v>
      </c>
      <c r="Y177" s="282" t="s">
        <v>247</v>
      </c>
      <c r="Z177" s="282"/>
      <c r="AA177" s="289">
        <f ca="1">SUM(AA178:AA181)</f>
        <v>95698.644138638832</v>
      </c>
      <c r="AB177" s="289">
        <f t="shared" ref="AB177:AL177" ca="1" si="772">SUM(AB178:AB181)</f>
        <v>95434.989051125114</v>
      </c>
      <c r="AC177" s="289">
        <f t="shared" ca="1" si="772"/>
        <v>95251.56727323505</v>
      </c>
      <c r="AD177" s="289">
        <f t="shared" ca="1" si="772"/>
        <v>95123.962875680591</v>
      </c>
      <c r="AE177" s="289">
        <f t="shared" ca="1" si="772"/>
        <v>95035.189980430441</v>
      </c>
      <c r="AF177" s="289">
        <f t="shared" ca="1" si="772"/>
        <v>94973.431709695811</v>
      </c>
      <c r="AG177" s="289">
        <f t="shared" ca="1" si="772"/>
        <v>94930.467199037637</v>
      </c>
      <c r="AH177" s="289">
        <f t="shared" ca="1" si="772"/>
        <v>94930.467199037637</v>
      </c>
      <c r="AI177" s="289">
        <f t="shared" ca="1" si="772"/>
        <v>94930.467199037637</v>
      </c>
      <c r="AJ177" s="289">
        <f t="shared" ca="1" si="772"/>
        <v>94930.467199037637</v>
      </c>
      <c r="AK177" s="289">
        <f t="shared" ca="1" si="772"/>
        <v>94930.467199037637</v>
      </c>
      <c r="AL177" s="289">
        <f t="shared" ca="1" si="772"/>
        <v>94930.467199037637</v>
      </c>
      <c r="AR177" s="285" t="s">
        <v>386</v>
      </c>
      <c r="AS177" s="282" t="s">
        <v>247</v>
      </c>
      <c r="AT177" s="282"/>
      <c r="AU177" s="289">
        <f ca="1">SUM(AU178:AU181)</f>
        <v>5561.5971893466849</v>
      </c>
      <c r="AV177" s="289">
        <f t="shared" ref="AV177:BF177" ca="1" si="773">SUM(AV178:AV181)</f>
        <v>4808.1408020717618</v>
      </c>
      <c r="AW177" s="289">
        <f t="shared" ca="1" si="773"/>
        <v>4243.8336324423144</v>
      </c>
      <c r="AX177" s="289">
        <f t="shared" ca="1" si="773"/>
        <v>3429.8596672726644</v>
      </c>
      <c r="AY177" s="289">
        <f t="shared" ca="1" si="773"/>
        <v>3097.6607690525184</v>
      </c>
      <c r="AZ177" s="289">
        <f t="shared" ca="1" si="773"/>
        <v>2758.3196519160078</v>
      </c>
      <c r="BA177" s="289">
        <f t="shared" ca="1" si="773"/>
        <v>2444.7065941321553</v>
      </c>
      <c r="BB177" s="289">
        <f t="shared" ca="1" si="773"/>
        <v>2444.7065941321553</v>
      </c>
      <c r="BC177" s="289">
        <f t="shared" ca="1" si="773"/>
        <v>2444.7065941321553</v>
      </c>
      <c r="BD177" s="289">
        <f t="shared" ca="1" si="773"/>
        <v>2444.7065941321553</v>
      </c>
      <c r="BE177" s="289">
        <f t="shared" ca="1" si="773"/>
        <v>2444.7065941321553</v>
      </c>
      <c r="BF177" s="289">
        <f t="shared" ca="1" si="773"/>
        <v>2444.7065941321553</v>
      </c>
      <c r="BG177"/>
      <c r="BH177"/>
      <c r="BL177" s="285" t="s">
        <v>386</v>
      </c>
      <c r="BM177" s="282" t="s">
        <v>247</v>
      </c>
      <c r="BN177" s="282"/>
      <c r="BO177" s="289">
        <f ca="1">SUM(BO178:BO181)</f>
        <v>23828.852555849815</v>
      </c>
      <c r="BP177" s="289">
        <f t="shared" ref="BP177:BZ177" ca="1" si="774">SUM(BP178:BP181)</f>
        <v>22136.25365221484</v>
      </c>
      <c r="BQ177" s="289">
        <f t="shared" ca="1" si="774"/>
        <v>20655.365156474985</v>
      </c>
      <c r="BR177" s="289">
        <f t="shared" ca="1" si="774"/>
        <v>18982.81486151382</v>
      </c>
      <c r="BS177" s="289">
        <f t="shared" ca="1" si="774"/>
        <v>17810.730055045206</v>
      </c>
      <c r="BT177" s="289">
        <f t="shared" ca="1" si="774"/>
        <v>16668.518935020493</v>
      </c>
      <c r="BU177" s="289">
        <f t="shared" ca="1" si="774"/>
        <v>15520.466003178555</v>
      </c>
      <c r="BV177" s="289">
        <f t="shared" ca="1" si="774"/>
        <v>15520.466003178555</v>
      </c>
      <c r="BW177" s="289">
        <f t="shared" ca="1" si="774"/>
        <v>15520.466003178555</v>
      </c>
      <c r="BX177" s="289">
        <f t="shared" ca="1" si="774"/>
        <v>15520.466003178555</v>
      </c>
      <c r="BY177" s="289">
        <f t="shared" ca="1" si="774"/>
        <v>15520.466003178555</v>
      </c>
      <c r="BZ177" s="289">
        <f t="shared" ca="1" si="774"/>
        <v>15520.466003178555</v>
      </c>
      <c r="CA177"/>
      <c r="CB177"/>
      <c r="CF177" s="285" t="s">
        <v>386</v>
      </c>
      <c r="CG177" s="282" t="s">
        <v>247</v>
      </c>
      <c r="CH177" s="282"/>
      <c r="CI177" s="289">
        <f ca="1">SUM(CI178:CI181)</f>
        <v>13571.825905772985</v>
      </c>
      <c r="CJ177" s="289">
        <f t="shared" ref="CJ177:CT177" ca="1" si="775">SUM(CJ178:CJ181)</f>
        <v>11211.798765631878</v>
      </c>
      <c r="CK177" s="289">
        <f t="shared" ca="1" si="775"/>
        <v>9081.0299266204856</v>
      </c>
      <c r="CL177" s="289">
        <f t="shared" ca="1" si="775"/>
        <v>6771.0986514632968</v>
      </c>
      <c r="CM177" s="289">
        <f t="shared" ca="1" si="775"/>
        <v>4970.3285263139414</v>
      </c>
      <c r="CN177" s="289">
        <f t="shared" ca="1" si="775"/>
        <v>3205.4815581880662</v>
      </c>
      <c r="CO177" s="289">
        <f t="shared" ca="1" si="775"/>
        <v>1439.0013245675602</v>
      </c>
      <c r="CP177" s="289">
        <f t="shared" ca="1" si="775"/>
        <v>1439.0013245675602</v>
      </c>
      <c r="CQ177" s="289">
        <f t="shared" ca="1" si="775"/>
        <v>1439.0013245675602</v>
      </c>
      <c r="CR177" s="289">
        <f t="shared" ca="1" si="775"/>
        <v>1439.0013245675602</v>
      </c>
      <c r="CS177" s="289">
        <f t="shared" ca="1" si="775"/>
        <v>1439.0013245675602</v>
      </c>
      <c r="CT177" s="289">
        <f t="shared" ca="1" si="775"/>
        <v>1439.0013245675602</v>
      </c>
      <c r="CU177"/>
      <c r="CV177"/>
    </row>
    <row r="178" spans="3:100" outlineLevel="1" x14ac:dyDescent="0.2">
      <c r="C178" s="3"/>
      <c r="D178" s="16" t="s">
        <v>383</v>
      </c>
      <c r="E178" s="224" t="s">
        <v>247</v>
      </c>
      <c r="F178" s="298" t="str">
        <f>F$22</f>
        <v>WTW</v>
      </c>
      <c r="G178" s="22">
        <f t="shared" ref="G178:R178" ca="1" si="776">G110*(IF(G$22="WTW",G183,0)+G188)/1000</f>
        <v>77249.203792118773</v>
      </c>
      <c r="H178" s="22">
        <f t="shared" ca="1" si="776"/>
        <v>77249.203792118773</v>
      </c>
      <c r="I178" s="22">
        <f t="shared" ca="1" si="776"/>
        <v>77249.203792118773</v>
      </c>
      <c r="J178" s="22">
        <f t="shared" ca="1" si="776"/>
        <v>77249.203792118773</v>
      </c>
      <c r="K178" s="22">
        <f t="shared" ca="1" si="776"/>
        <v>77249.203792118773</v>
      </c>
      <c r="L178" s="22">
        <f t="shared" ca="1" si="776"/>
        <v>77249.203792118773</v>
      </c>
      <c r="M178" s="22">
        <f t="shared" ca="1" si="776"/>
        <v>77249.203792118773</v>
      </c>
      <c r="N178" s="22">
        <f t="shared" ca="1" si="776"/>
        <v>77249.203792118773</v>
      </c>
      <c r="O178" s="22">
        <f t="shared" ca="1" si="776"/>
        <v>77249.203792118773</v>
      </c>
      <c r="P178" s="22">
        <f t="shared" ca="1" si="776"/>
        <v>77249.203792118773</v>
      </c>
      <c r="Q178" s="22">
        <f t="shared" ca="1" si="776"/>
        <v>77249.203792118773</v>
      </c>
      <c r="R178" s="22">
        <f t="shared" ca="1" si="776"/>
        <v>77249.203792118773</v>
      </c>
      <c r="X178" s="16" t="s">
        <v>383</v>
      </c>
      <c r="Y178" s="224" t="s">
        <v>247</v>
      </c>
      <c r="Z178" s="298" t="str">
        <f>Z$22</f>
        <v>WTW</v>
      </c>
      <c r="AA178" s="22">
        <f t="shared" ref="AA178:AL178" ca="1" si="777">AA110*(IF(AA$22="WTW",AA183,0)+AA188)/1000</f>
        <v>79634.824662562445</v>
      </c>
      <c r="AB178" s="22">
        <f t="shared" ca="1" si="777"/>
        <v>79413.640866517817</v>
      </c>
      <c r="AC178" s="22">
        <f t="shared" ca="1" si="777"/>
        <v>79259.765872131931</v>
      </c>
      <c r="AD178" s="22">
        <f t="shared" ca="1" si="777"/>
        <v>79152.71682821156</v>
      </c>
      <c r="AE178" s="22">
        <f t="shared" ca="1" si="777"/>
        <v>79078.244053411487</v>
      </c>
      <c r="AF178" s="22">
        <f t="shared" ca="1" si="777"/>
        <v>79026.434210153573</v>
      </c>
      <c r="AG178" s="22">
        <f t="shared" ca="1" si="777"/>
        <v>78990.390704783786</v>
      </c>
      <c r="AH178" s="22">
        <f t="shared" ca="1" si="777"/>
        <v>78990.390704783786</v>
      </c>
      <c r="AI178" s="22">
        <f t="shared" ca="1" si="777"/>
        <v>78990.390704783786</v>
      </c>
      <c r="AJ178" s="22">
        <f t="shared" ca="1" si="777"/>
        <v>78990.390704783786</v>
      </c>
      <c r="AK178" s="22">
        <f t="shared" ca="1" si="777"/>
        <v>78990.390704783786</v>
      </c>
      <c r="AL178" s="22">
        <f t="shared" ca="1" si="777"/>
        <v>78990.390704783786</v>
      </c>
      <c r="AR178" s="16" t="s">
        <v>383</v>
      </c>
      <c r="AS178" s="224" t="s">
        <v>247</v>
      </c>
      <c r="AT178" s="298" t="str">
        <f>AT$22</f>
        <v>WTW</v>
      </c>
      <c r="AU178" s="22">
        <f t="shared" ref="AU178:BF178" ca="1" si="778">AU110*(IF(AU$22="WTW",AU183,0)+AU188)/1000</f>
        <v>3387.6791763360416</v>
      </c>
      <c r="AV178" s="22">
        <f t="shared" ca="1" si="778"/>
        <v>3035.7615517890031</v>
      </c>
      <c r="AW178" s="22">
        <f t="shared" ca="1" si="778"/>
        <v>2768.9763646966157</v>
      </c>
      <c r="AX178" s="22">
        <f t="shared" ca="1" si="778"/>
        <v>2526.1619867013073</v>
      </c>
      <c r="AY178" s="22">
        <f t="shared" ca="1" si="778"/>
        <v>2318.0747545209206</v>
      </c>
      <c r="AZ178" s="22">
        <f t="shared" ca="1" si="778"/>
        <v>2114.1375153315103</v>
      </c>
      <c r="BA178" s="22">
        <f t="shared" ca="1" si="778"/>
        <v>1960.8511138767849</v>
      </c>
      <c r="BB178" s="22">
        <f t="shared" ca="1" si="778"/>
        <v>1960.8511138767849</v>
      </c>
      <c r="BC178" s="22">
        <f t="shared" ca="1" si="778"/>
        <v>1960.8511138767849</v>
      </c>
      <c r="BD178" s="22">
        <f t="shared" ca="1" si="778"/>
        <v>1960.8511138767849</v>
      </c>
      <c r="BE178" s="22">
        <f t="shared" ca="1" si="778"/>
        <v>1960.8511138767849</v>
      </c>
      <c r="BF178" s="22">
        <f t="shared" ca="1" si="778"/>
        <v>1960.8511138767849</v>
      </c>
      <c r="BL178" s="16" t="s">
        <v>383</v>
      </c>
      <c r="BM178" s="224" t="s">
        <v>247</v>
      </c>
      <c r="BN178" s="298" t="str">
        <f>BN$22</f>
        <v>WTW</v>
      </c>
      <c r="BO178" s="22">
        <f t="shared" ref="BO178:BZ178" ca="1" si="779">BO110*(IF(BO$22="WTW",BO183,0)+BO188)/1000</f>
        <v>18609.084604196585</v>
      </c>
      <c r="BP178" s="22">
        <f t="shared" ca="1" si="779"/>
        <v>17474.61542993669</v>
      </c>
      <c r="BQ178" s="22">
        <f t="shared" ca="1" si="779"/>
        <v>16444.078070313997</v>
      </c>
      <c r="BR178" s="22">
        <f t="shared" ca="1" si="779"/>
        <v>15485.844865334673</v>
      </c>
      <c r="BS178" s="22">
        <f t="shared" ca="1" si="779"/>
        <v>14577.912819792811</v>
      </c>
      <c r="BT178" s="22">
        <f t="shared" ca="1" si="779"/>
        <v>13704.974705833876</v>
      </c>
      <c r="BU178" s="22">
        <f t="shared" ca="1" si="779"/>
        <v>12856.381463073281</v>
      </c>
      <c r="BV178" s="22">
        <f t="shared" ca="1" si="779"/>
        <v>12856.381463073281</v>
      </c>
      <c r="BW178" s="22">
        <f t="shared" ca="1" si="779"/>
        <v>12856.381463073281</v>
      </c>
      <c r="BX178" s="22">
        <f t="shared" ca="1" si="779"/>
        <v>12856.381463073281</v>
      </c>
      <c r="BY178" s="22">
        <f t="shared" ca="1" si="779"/>
        <v>12856.381463073281</v>
      </c>
      <c r="BZ178" s="22">
        <f t="shared" ca="1" si="779"/>
        <v>12856.381463073281</v>
      </c>
      <c r="CF178" s="16" t="s">
        <v>383</v>
      </c>
      <c r="CG178" s="224" t="s">
        <v>247</v>
      </c>
      <c r="CH178" s="298" t="str">
        <f>CH$22</f>
        <v>WTW</v>
      </c>
      <c r="CI178" s="22">
        <f t="shared" ref="CI178:CT178" ca="1" si="780">CI110*(IF(CI$22="WTW",CI183,0)+CI188)/1000</f>
        <v>10062.296485633335</v>
      </c>
      <c r="CJ178" s="22">
        <f t="shared" ca="1" si="780"/>
        <v>8371.6848817618848</v>
      </c>
      <c r="CK178" s="22">
        <f t="shared" ca="1" si="780"/>
        <v>6799.6270809965963</v>
      </c>
      <c r="CL178" s="22">
        <f t="shared" ca="1" si="780"/>
        <v>5310.2886761983</v>
      </c>
      <c r="CM178" s="22">
        <f t="shared" ca="1" si="780"/>
        <v>3878.4971930897555</v>
      </c>
      <c r="CN178" s="22">
        <f t="shared" ca="1" si="780"/>
        <v>2486.7404340897933</v>
      </c>
      <c r="CO178" s="22">
        <f t="shared" ca="1" si="780"/>
        <v>1122.8353670202875</v>
      </c>
      <c r="CP178" s="22">
        <f t="shared" ca="1" si="780"/>
        <v>1122.8353670202875</v>
      </c>
      <c r="CQ178" s="22">
        <f t="shared" ca="1" si="780"/>
        <v>1122.8353670202875</v>
      </c>
      <c r="CR178" s="22">
        <f t="shared" ca="1" si="780"/>
        <v>1122.8353670202875</v>
      </c>
      <c r="CS178" s="22">
        <f t="shared" ca="1" si="780"/>
        <v>1122.8353670202875</v>
      </c>
      <c r="CT178" s="22">
        <f t="shared" ca="1" si="780"/>
        <v>1122.8353670202875</v>
      </c>
    </row>
    <row r="179" spans="3:100" outlineLevel="1" x14ac:dyDescent="0.2">
      <c r="C179" s="3"/>
      <c r="D179" s="16" t="s">
        <v>384</v>
      </c>
      <c r="E179" s="224" t="s">
        <v>247</v>
      </c>
      <c r="F179" s="298" t="str">
        <f>F$22</f>
        <v>WTW</v>
      </c>
      <c r="G179" s="22">
        <f t="shared" ref="G179:R179" ca="1" si="781">G114*(IF(G$22="WTW",G184,0)+G189)/1000</f>
        <v>0</v>
      </c>
      <c r="H179" s="22">
        <f t="shared" ca="1" si="781"/>
        <v>0</v>
      </c>
      <c r="I179" s="22">
        <f t="shared" ca="1" si="781"/>
        <v>0</v>
      </c>
      <c r="J179" s="22">
        <f t="shared" ca="1" si="781"/>
        <v>0</v>
      </c>
      <c r="K179" s="22">
        <f t="shared" ca="1" si="781"/>
        <v>0</v>
      </c>
      <c r="L179" s="22">
        <f t="shared" ca="1" si="781"/>
        <v>0</v>
      </c>
      <c r="M179" s="22">
        <f t="shared" ca="1" si="781"/>
        <v>0</v>
      </c>
      <c r="N179" s="22">
        <f t="shared" ca="1" si="781"/>
        <v>0</v>
      </c>
      <c r="O179" s="22">
        <f t="shared" ca="1" si="781"/>
        <v>0</v>
      </c>
      <c r="P179" s="22">
        <f t="shared" ca="1" si="781"/>
        <v>0</v>
      </c>
      <c r="Q179" s="22">
        <f t="shared" ca="1" si="781"/>
        <v>0</v>
      </c>
      <c r="R179" s="22">
        <f t="shared" ca="1" si="781"/>
        <v>0</v>
      </c>
      <c r="X179" s="16" t="s">
        <v>384</v>
      </c>
      <c r="Y179" s="224" t="s">
        <v>247</v>
      </c>
      <c r="Z179" s="298" t="str">
        <f>Z$22</f>
        <v>WTW</v>
      </c>
      <c r="AA179" s="22">
        <f t="shared" ref="AA179:AL179" ca="1" si="782">AA114*(IF(AA$22="WTW",AA184,0)+AA189)/1000</f>
        <v>772.4920379211884</v>
      </c>
      <c r="AB179" s="22">
        <f t="shared" ca="1" si="782"/>
        <v>772.4920379211884</v>
      </c>
      <c r="AC179" s="22">
        <f t="shared" ca="1" si="782"/>
        <v>772.4920379211884</v>
      </c>
      <c r="AD179" s="22">
        <f t="shared" ca="1" si="782"/>
        <v>772.4920379211884</v>
      </c>
      <c r="AE179" s="22">
        <f t="shared" ca="1" si="782"/>
        <v>772.4920379211884</v>
      </c>
      <c r="AF179" s="22">
        <f t="shared" ca="1" si="782"/>
        <v>772.4920379211884</v>
      </c>
      <c r="AG179" s="22">
        <f t="shared" ca="1" si="782"/>
        <v>772.4920379211884</v>
      </c>
      <c r="AH179" s="22">
        <f t="shared" ca="1" si="782"/>
        <v>772.4920379211884</v>
      </c>
      <c r="AI179" s="22">
        <f t="shared" ca="1" si="782"/>
        <v>772.4920379211884</v>
      </c>
      <c r="AJ179" s="22">
        <f t="shared" ca="1" si="782"/>
        <v>772.4920379211884</v>
      </c>
      <c r="AK179" s="22">
        <f t="shared" ca="1" si="782"/>
        <v>772.4920379211884</v>
      </c>
      <c r="AL179" s="22">
        <f t="shared" ca="1" si="782"/>
        <v>772.4920379211884</v>
      </c>
      <c r="AR179" s="16" t="s">
        <v>384</v>
      </c>
      <c r="AS179" s="224" t="s">
        <v>247</v>
      </c>
      <c r="AT179" s="298" t="str">
        <f>AT$22</f>
        <v>WTW</v>
      </c>
      <c r="AU179" s="22">
        <f t="shared" ref="AU179:BF179" ca="1" si="783">AU114*(IF(AU$22="WTW",AU184,0)+AU189)/1000</f>
        <v>1496.0330134758651</v>
      </c>
      <c r="AV179" s="22">
        <f t="shared" ca="1" si="783"/>
        <v>1164.9140474095884</v>
      </c>
      <c r="AW179" s="22">
        <f t="shared" ca="1" si="783"/>
        <v>920.77659953900559</v>
      </c>
      <c r="AX179" s="22">
        <f t="shared" ca="1" si="783"/>
        <v>398.20491456749551</v>
      </c>
      <c r="AY179" s="22">
        <f t="shared" ca="1" si="783"/>
        <v>315.7321422798766</v>
      </c>
      <c r="AZ179" s="22">
        <f t="shared" ca="1" si="783"/>
        <v>221.1367317516297</v>
      </c>
      <c r="BA179" s="22">
        <f t="shared" ca="1" si="783"/>
        <v>91.483154769765207</v>
      </c>
      <c r="BB179" s="22">
        <f t="shared" ca="1" si="783"/>
        <v>91.483154769765207</v>
      </c>
      <c r="BC179" s="22">
        <f t="shared" ca="1" si="783"/>
        <v>91.483154769765207</v>
      </c>
      <c r="BD179" s="22">
        <f t="shared" ca="1" si="783"/>
        <v>91.483154769765207</v>
      </c>
      <c r="BE179" s="22">
        <f t="shared" ca="1" si="783"/>
        <v>91.483154769765207</v>
      </c>
      <c r="BF179" s="22">
        <f t="shared" ca="1" si="783"/>
        <v>91.483154769765207</v>
      </c>
      <c r="BL179" s="16" t="s">
        <v>384</v>
      </c>
      <c r="BM179" s="224" t="s">
        <v>247</v>
      </c>
      <c r="BN179" s="298" t="str">
        <f>BN$22</f>
        <v>WTW</v>
      </c>
      <c r="BO179" s="22">
        <f t="shared" ref="BO179:BZ179" ca="1" si="784">BO114*(IF(BO$22="WTW",BO184,0)+BO189)/1000</f>
        <v>1496.0330134758651</v>
      </c>
      <c r="BP179" s="22">
        <f t="shared" ca="1" si="784"/>
        <v>1164.9140474095884</v>
      </c>
      <c r="BQ179" s="22">
        <f t="shared" ca="1" si="784"/>
        <v>920.77659953900559</v>
      </c>
      <c r="BR179" s="22">
        <f t="shared" ca="1" si="784"/>
        <v>398.20491456749551</v>
      </c>
      <c r="BS179" s="22">
        <f t="shared" ca="1" si="784"/>
        <v>315.7321422798766</v>
      </c>
      <c r="BT179" s="22">
        <f t="shared" ca="1" si="784"/>
        <v>221.1367317516297</v>
      </c>
      <c r="BU179" s="22">
        <f t="shared" ca="1" si="784"/>
        <v>91.483154769765207</v>
      </c>
      <c r="BV179" s="22">
        <f t="shared" ca="1" si="784"/>
        <v>91.483154769765207</v>
      </c>
      <c r="BW179" s="22">
        <f t="shared" ca="1" si="784"/>
        <v>91.483154769765207</v>
      </c>
      <c r="BX179" s="22">
        <f t="shared" ca="1" si="784"/>
        <v>91.483154769765207</v>
      </c>
      <c r="BY179" s="22">
        <f t="shared" ca="1" si="784"/>
        <v>91.483154769765207</v>
      </c>
      <c r="BZ179" s="22">
        <f t="shared" ca="1" si="784"/>
        <v>91.483154769765207</v>
      </c>
      <c r="CF179" s="16" t="s">
        <v>384</v>
      </c>
      <c r="CG179" s="224" t="s">
        <v>247</v>
      </c>
      <c r="CH179" s="298" t="str">
        <f>CH$22</f>
        <v>WTW</v>
      </c>
      <c r="CI179" s="22">
        <f t="shared" ref="CI179:CT179" ca="1" si="785">CI114*(IF(CI$22="WTW",CI184,0)+CI189)/1000</f>
        <v>1496.0330134758651</v>
      </c>
      <c r="CJ179" s="22">
        <f t="shared" ca="1" si="785"/>
        <v>1164.9140474095884</v>
      </c>
      <c r="CK179" s="22">
        <f t="shared" ca="1" si="785"/>
        <v>920.77659953900559</v>
      </c>
      <c r="CL179" s="22">
        <f t="shared" ca="1" si="785"/>
        <v>398.20491456749551</v>
      </c>
      <c r="CM179" s="22">
        <f t="shared" ca="1" si="785"/>
        <v>315.7321422798766</v>
      </c>
      <c r="CN179" s="22">
        <f t="shared" ca="1" si="785"/>
        <v>221.1367317516297</v>
      </c>
      <c r="CO179" s="22">
        <f t="shared" ca="1" si="785"/>
        <v>91.483154769765207</v>
      </c>
      <c r="CP179" s="22">
        <f t="shared" ca="1" si="785"/>
        <v>91.483154769765207</v>
      </c>
      <c r="CQ179" s="22">
        <f t="shared" ca="1" si="785"/>
        <v>91.483154769765207</v>
      </c>
      <c r="CR179" s="22">
        <f t="shared" ca="1" si="785"/>
        <v>91.483154769765207</v>
      </c>
      <c r="CS179" s="22">
        <f t="shared" ca="1" si="785"/>
        <v>91.483154769765207</v>
      </c>
      <c r="CT179" s="22">
        <f t="shared" ca="1" si="785"/>
        <v>91.483154769765207</v>
      </c>
    </row>
    <row r="180" spans="3:100" outlineLevel="1" x14ac:dyDescent="0.2">
      <c r="C180" s="3"/>
      <c r="D180" s="16" t="s">
        <v>238</v>
      </c>
      <c r="E180" s="224" t="s">
        <v>247</v>
      </c>
      <c r="F180" s="298" t="str">
        <f>F$22</f>
        <v>WTW</v>
      </c>
      <c r="G180" s="22">
        <f t="shared" ref="G180:R180" ca="1" si="786">G124*(IF(G$22="WTW",G185,0)+G190)/1000</f>
        <v>13565.972904116501</v>
      </c>
      <c r="H180" s="22">
        <f t="shared" ca="1" si="786"/>
        <v>13565.972904116501</v>
      </c>
      <c r="I180" s="22">
        <f t="shared" ca="1" si="786"/>
        <v>13565.972904116501</v>
      </c>
      <c r="J180" s="22">
        <f t="shared" ca="1" si="786"/>
        <v>13565.972904116501</v>
      </c>
      <c r="K180" s="22">
        <f t="shared" ca="1" si="786"/>
        <v>13565.972904116501</v>
      </c>
      <c r="L180" s="22">
        <f t="shared" ca="1" si="786"/>
        <v>13565.972904116501</v>
      </c>
      <c r="M180" s="22">
        <f t="shared" ca="1" si="786"/>
        <v>13565.972904116501</v>
      </c>
      <c r="N180" s="22">
        <f t="shared" ca="1" si="786"/>
        <v>13565.972904116501</v>
      </c>
      <c r="O180" s="22">
        <f t="shared" ca="1" si="786"/>
        <v>13565.972904116501</v>
      </c>
      <c r="P180" s="22">
        <f t="shared" ca="1" si="786"/>
        <v>13565.972904116501</v>
      </c>
      <c r="Q180" s="22">
        <f t="shared" ca="1" si="786"/>
        <v>13565.972904116501</v>
      </c>
      <c r="R180" s="22">
        <f t="shared" ca="1" si="786"/>
        <v>13565.972904116501</v>
      </c>
      <c r="X180" s="16" t="s">
        <v>238</v>
      </c>
      <c r="Y180" s="224" t="s">
        <v>247</v>
      </c>
      <c r="Z180" s="298" t="str">
        <f>Z$22</f>
        <v>WTW</v>
      </c>
      <c r="AA180" s="22">
        <f t="shared" ref="AA180:AL180" ca="1" si="787">AA124*(IF(AA$22="WTW",AA185,0)+AA190)/1000</f>
        <v>14126.181014014304</v>
      </c>
      <c r="AB180" s="22">
        <f t="shared" ca="1" si="787"/>
        <v>14086.945888508186</v>
      </c>
      <c r="AC180" s="22">
        <f t="shared" ca="1" si="787"/>
        <v>14059.650468025555</v>
      </c>
      <c r="AD180" s="22">
        <f t="shared" ca="1" si="787"/>
        <v>14040.661361460632</v>
      </c>
      <c r="AE180" s="22">
        <f t="shared" ca="1" si="787"/>
        <v>14027.450860880019</v>
      </c>
      <c r="AF180" s="22">
        <f t="shared" ca="1" si="787"/>
        <v>14018.260469273455</v>
      </c>
      <c r="AG180" s="22">
        <f t="shared" ca="1" si="787"/>
        <v>14011.866820723457</v>
      </c>
      <c r="AH180" s="22">
        <f t="shared" ca="1" si="787"/>
        <v>14011.866820723457</v>
      </c>
      <c r="AI180" s="22">
        <f t="shared" ca="1" si="787"/>
        <v>14011.866820723457</v>
      </c>
      <c r="AJ180" s="22">
        <f t="shared" ca="1" si="787"/>
        <v>14011.866820723457</v>
      </c>
      <c r="AK180" s="22">
        <f t="shared" ca="1" si="787"/>
        <v>14011.866820723457</v>
      </c>
      <c r="AL180" s="22">
        <f t="shared" ca="1" si="787"/>
        <v>14011.866820723457</v>
      </c>
      <c r="AR180" s="16" t="s">
        <v>238</v>
      </c>
      <c r="AS180" s="224" t="s">
        <v>247</v>
      </c>
      <c r="AT180" s="298" t="str">
        <f>AT$22</f>
        <v>WTW</v>
      </c>
      <c r="AU180" s="22">
        <f t="shared" ref="AU180:BF180" ca="1" si="788">AU124*(IF(AU$22="WTW",AU185,0)+AU190)/1000</f>
        <v>626.23250001299732</v>
      </c>
      <c r="AV180" s="22">
        <f t="shared" ca="1" si="788"/>
        <v>561.17844903964544</v>
      </c>
      <c r="AW180" s="22">
        <f t="shared" ca="1" si="788"/>
        <v>511.86163183737557</v>
      </c>
      <c r="AX180" s="22">
        <f t="shared" ca="1" si="788"/>
        <v>466.97596024448222</v>
      </c>
      <c r="AY180" s="22">
        <f t="shared" ca="1" si="788"/>
        <v>428.50980661949609</v>
      </c>
      <c r="AZ180" s="22">
        <f t="shared" ca="1" si="788"/>
        <v>390.81080370462735</v>
      </c>
      <c r="BA180" s="22">
        <f t="shared" ca="1" si="788"/>
        <v>362.47490723853684</v>
      </c>
      <c r="BB180" s="22">
        <f t="shared" ca="1" si="788"/>
        <v>362.47490723853684</v>
      </c>
      <c r="BC180" s="22">
        <f t="shared" ca="1" si="788"/>
        <v>362.47490723853684</v>
      </c>
      <c r="BD180" s="22">
        <f t="shared" ca="1" si="788"/>
        <v>362.47490723853684</v>
      </c>
      <c r="BE180" s="22">
        <f t="shared" ca="1" si="788"/>
        <v>362.47490723853684</v>
      </c>
      <c r="BF180" s="22">
        <f t="shared" ca="1" si="788"/>
        <v>362.47490723853684</v>
      </c>
      <c r="BL180" s="16" t="s">
        <v>238</v>
      </c>
      <c r="BM180" s="224" t="s">
        <v>247</v>
      </c>
      <c r="BN180" s="298" t="str">
        <f>BN$22</f>
        <v>WTW</v>
      </c>
      <c r="BO180" s="22">
        <f t="shared" ref="BO180:BZ180" ca="1" si="789">BO124*(IF(BO$22="WTW",BO185,0)+BO190)/1000</f>
        <v>3439.999175849769</v>
      </c>
      <c r="BP180" s="22">
        <f t="shared" ca="1" si="789"/>
        <v>3230.2858499400713</v>
      </c>
      <c r="BQ180" s="22">
        <f t="shared" ca="1" si="789"/>
        <v>3039.7849336840941</v>
      </c>
      <c r="BR180" s="22">
        <f t="shared" ca="1" si="789"/>
        <v>2862.6498673704396</v>
      </c>
      <c r="BS180" s="22">
        <f t="shared" ca="1" si="789"/>
        <v>2694.81326740747</v>
      </c>
      <c r="BT180" s="22">
        <f t="shared" ca="1" si="789"/>
        <v>2533.4455023369947</v>
      </c>
      <c r="BU180" s="22">
        <f t="shared" ca="1" si="789"/>
        <v>2376.5780304641544</v>
      </c>
      <c r="BV180" s="22">
        <f t="shared" ca="1" si="789"/>
        <v>2376.5780304641544</v>
      </c>
      <c r="BW180" s="22">
        <f t="shared" ca="1" si="789"/>
        <v>2376.5780304641544</v>
      </c>
      <c r="BX180" s="22">
        <f t="shared" ca="1" si="789"/>
        <v>2376.5780304641544</v>
      </c>
      <c r="BY180" s="22">
        <f t="shared" ca="1" si="789"/>
        <v>2376.5780304641544</v>
      </c>
      <c r="BZ180" s="22">
        <f t="shared" ca="1" si="789"/>
        <v>2376.5780304641544</v>
      </c>
      <c r="CF180" s="16" t="s">
        <v>238</v>
      </c>
      <c r="CG180" s="224" t="s">
        <v>247</v>
      </c>
      <c r="CH180" s="298" t="str">
        <f>CH$22</f>
        <v>WTW</v>
      </c>
      <c r="CI180" s="22">
        <f t="shared" ref="CI180:CT180" ca="1" si="790">CI124*(IF(CI$22="WTW",CI185,0)+CI190)/1000</f>
        <v>1860.0749232946541</v>
      </c>
      <c r="CJ180" s="22">
        <f t="shared" ca="1" si="790"/>
        <v>1547.5553852466446</v>
      </c>
      <c r="CK180" s="22">
        <f t="shared" ca="1" si="790"/>
        <v>1256.9512177637773</v>
      </c>
      <c r="CL180" s="22">
        <f t="shared" ca="1" si="790"/>
        <v>981.63821908397267</v>
      </c>
      <c r="CM180" s="22">
        <f t="shared" ca="1" si="790"/>
        <v>716.96310869346041</v>
      </c>
      <c r="CN180" s="22">
        <f t="shared" ca="1" si="790"/>
        <v>459.68865345972267</v>
      </c>
      <c r="CO180" s="22">
        <f t="shared" ca="1" si="790"/>
        <v>207.56274794374934</v>
      </c>
      <c r="CP180" s="22">
        <f t="shared" ca="1" si="790"/>
        <v>207.56274794374934</v>
      </c>
      <c r="CQ180" s="22">
        <f t="shared" ca="1" si="790"/>
        <v>207.56274794374934</v>
      </c>
      <c r="CR180" s="22">
        <f t="shared" ca="1" si="790"/>
        <v>207.56274794374934</v>
      </c>
      <c r="CS180" s="22">
        <f t="shared" ca="1" si="790"/>
        <v>207.56274794374934</v>
      </c>
      <c r="CT180" s="22">
        <f t="shared" ca="1" si="790"/>
        <v>207.56274794374934</v>
      </c>
    </row>
    <row r="181" spans="3:100" outlineLevel="1" x14ac:dyDescent="0.2">
      <c r="C181" s="3"/>
      <c r="D181" s="16" t="s">
        <v>239</v>
      </c>
      <c r="E181" s="224" t="s">
        <v>247</v>
      </c>
      <c r="F181" s="298" t="str">
        <f>F$22</f>
        <v>WTW</v>
      </c>
      <c r="G181" s="22">
        <f t="shared" ref="G181:R181" ca="1" si="791">G137*(IF(G$22="WTW",G186,0)+G191)/1000</f>
        <v>1118.9397051858864</v>
      </c>
      <c r="H181" s="22">
        <f t="shared" ca="1" si="791"/>
        <v>1118.9397051858864</v>
      </c>
      <c r="I181" s="22">
        <f t="shared" ca="1" si="791"/>
        <v>1118.9397051858864</v>
      </c>
      <c r="J181" s="22">
        <f t="shared" ca="1" si="791"/>
        <v>1118.9397051858864</v>
      </c>
      <c r="K181" s="22">
        <f t="shared" ca="1" si="791"/>
        <v>1118.9397051858864</v>
      </c>
      <c r="L181" s="22">
        <f t="shared" ca="1" si="791"/>
        <v>1118.9397051858864</v>
      </c>
      <c r="M181" s="22">
        <f t="shared" ca="1" si="791"/>
        <v>1118.9397051858864</v>
      </c>
      <c r="N181" s="22">
        <f t="shared" ca="1" si="791"/>
        <v>1118.9397051858864</v>
      </c>
      <c r="O181" s="22">
        <f t="shared" ca="1" si="791"/>
        <v>1118.9397051858864</v>
      </c>
      <c r="P181" s="22">
        <f t="shared" ca="1" si="791"/>
        <v>1118.9397051858864</v>
      </c>
      <c r="Q181" s="22">
        <f t="shared" ca="1" si="791"/>
        <v>1118.9397051858864</v>
      </c>
      <c r="R181" s="22">
        <f t="shared" ca="1" si="791"/>
        <v>1118.9397051858864</v>
      </c>
      <c r="X181" s="16" t="s">
        <v>239</v>
      </c>
      <c r="Y181" s="224" t="s">
        <v>247</v>
      </c>
      <c r="Z181" s="298" t="str">
        <f>Z$22</f>
        <v>WTW</v>
      </c>
      <c r="AA181" s="22">
        <f t="shared" ref="AA181:AL181" ca="1" si="792">AA137*(IF(AA$22="WTW",AA186,0)+AA191)/1000</f>
        <v>1165.1464241408967</v>
      </c>
      <c r="AB181" s="22">
        <f t="shared" ca="1" si="792"/>
        <v>1161.9102581779362</v>
      </c>
      <c r="AC181" s="22">
        <f t="shared" ca="1" si="792"/>
        <v>1159.6588951563797</v>
      </c>
      <c r="AD181" s="22">
        <f t="shared" ca="1" si="792"/>
        <v>1158.092648087211</v>
      </c>
      <c r="AE181" s="22">
        <f t="shared" ca="1" si="792"/>
        <v>1157.0030282177402</v>
      </c>
      <c r="AF181" s="22">
        <f t="shared" ca="1" si="792"/>
        <v>1156.2449923475908</v>
      </c>
      <c r="AG181" s="22">
        <f t="shared" ca="1" si="792"/>
        <v>1155.7176356092161</v>
      </c>
      <c r="AH181" s="22">
        <f t="shared" ca="1" si="792"/>
        <v>1155.7176356092161</v>
      </c>
      <c r="AI181" s="22">
        <f t="shared" ca="1" si="792"/>
        <v>1155.7176356092161</v>
      </c>
      <c r="AJ181" s="22">
        <f t="shared" ca="1" si="792"/>
        <v>1155.7176356092161</v>
      </c>
      <c r="AK181" s="22">
        <f t="shared" ca="1" si="792"/>
        <v>1155.7176356092161</v>
      </c>
      <c r="AL181" s="22">
        <f t="shared" ca="1" si="792"/>
        <v>1155.7176356092161</v>
      </c>
      <c r="AR181" s="16" t="s">
        <v>239</v>
      </c>
      <c r="AS181" s="224" t="s">
        <v>247</v>
      </c>
      <c r="AT181" s="298" t="str">
        <f>AT$22</f>
        <v>WTW</v>
      </c>
      <c r="AU181" s="22">
        <f t="shared" ref="AU181:BF181" ca="1" si="793">AU137*(IF(AU$22="WTW",AU186,0)+AU191)/1000</f>
        <v>51.652499521780442</v>
      </c>
      <c r="AV181" s="22">
        <f t="shared" ca="1" si="793"/>
        <v>46.286753833523768</v>
      </c>
      <c r="AW181" s="22">
        <f t="shared" ca="1" si="793"/>
        <v>42.219036369318211</v>
      </c>
      <c r="AX181" s="22">
        <f t="shared" ca="1" si="793"/>
        <v>38.516805759379245</v>
      </c>
      <c r="AY181" s="22">
        <f t="shared" ca="1" si="793"/>
        <v>35.344065632225053</v>
      </c>
      <c r="AZ181" s="22">
        <f t="shared" ca="1" si="793"/>
        <v>32.234601128240598</v>
      </c>
      <c r="BA181" s="22">
        <f t="shared" ca="1" si="793"/>
        <v>29.897418247068536</v>
      </c>
      <c r="BB181" s="22">
        <f t="shared" ca="1" si="793"/>
        <v>29.897418247068536</v>
      </c>
      <c r="BC181" s="22">
        <f t="shared" ca="1" si="793"/>
        <v>29.897418247068536</v>
      </c>
      <c r="BD181" s="22">
        <f t="shared" ca="1" si="793"/>
        <v>29.897418247068536</v>
      </c>
      <c r="BE181" s="22">
        <f t="shared" ca="1" si="793"/>
        <v>29.897418247068536</v>
      </c>
      <c r="BF181" s="22">
        <f t="shared" ca="1" si="793"/>
        <v>29.897418247068536</v>
      </c>
      <c r="BL181" s="16" t="s">
        <v>239</v>
      </c>
      <c r="BM181" s="224" t="s">
        <v>247</v>
      </c>
      <c r="BN181" s="298" t="str">
        <f>BN$22</f>
        <v>WTW</v>
      </c>
      <c r="BO181" s="22">
        <f t="shared" ref="BO181:BZ181" ca="1" si="794">BO137*(IF(BO$22="WTW",BO186,0)+BO191)/1000</f>
        <v>283.73576232759797</v>
      </c>
      <c r="BP181" s="22">
        <f t="shared" ca="1" si="794"/>
        <v>266.43832492849009</v>
      </c>
      <c r="BQ181" s="22">
        <f t="shared" ca="1" si="794"/>
        <v>250.72555293788534</v>
      </c>
      <c r="BR181" s="22">
        <f t="shared" ca="1" si="794"/>
        <v>236.11521424120852</v>
      </c>
      <c r="BS181" s="22">
        <f t="shared" ca="1" si="794"/>
        <v>222.27182556504653</v>
      </c>
      <c r="BT181" s="22">
        <f t="shared" ca="1" si="794"/>
        <v>208.96199509799075</v>
      </c>
      <c r="BU181" s="22">
        <f t="shared" ca="1" si="794"/>
        <v>196.02335487135502</v>
      </c>
      <c r="BV181" s="22">
        <f t="shared" ca="1" si="794"/>
        <v>196.02335487135502</v>
      </c>
      <c r="BW181" s="22">
        <f t="shared" ca="1" si="794"/>
        <v>196.02335487135502</v>
      </c>
      <c r="BX181" s="22">
        <f t="shared" ca="1" si="794"/>
        <v>196.02335487135502</v>
      </c>
      <c r="BY181" s="22">
        <f t="shared" ca="1" si="794"/>
        <v>196.02335487135502</v>
      </c>
      <c r="BZ181" s="22">
        <f t="shared" ca="1" si="794"/>
        <v>196.02335487135502</v>
      </c>
      <c r="CF181" s="16" t="s">
        <v>239</v>
      </c>
      <c r="CG181" s="224" t="s">
        <v>247</v>
      </c>
      <c r="CH181" s="298" t="str">
        <f>CH$22</f>
        <v>WTW</v>
      </c>
      <c r="CI181" s="22">
        <f t="shared" ref="CI181:CT181" ca="1" si="795">CI137*(IF(CI$22="WTW",CI186,0)+CI191)/1000</f>
        <v>153.42148336913021</v>
      </c>
      <c r="CJ181" s="22">
        <f t="shared" ca="1" si="795"/>
        <v>127.64445121376171</v>
      </c>
      <c r="CK181" s="22">
        <f t="shared" ca="1" si="795"/>
        <v>103.67502832110655</v>
      </c>
      <c r="CL181" s="22">
        <f t="shared" ca="1" si="795"/>
        <v>80.96684161352843</v>
      </c>
      <c r="CM181" s="22">
        <f t="shared" ca="1" si="795"/>
        <v>59.136082250848645</v>
      </c>
      <c r="CN181" s="22">
        <f t="shared" ca="1" si="795"/>
        <v>37.915738886920458</v>
      </c>
      <c r="CO181" s="22">
        <f t="shared" ca="1" si="795"/>
        <v>17.120054833758118</v>
      </c>
      <c r="CP181" s="22">
        <f t="shared" ca="1" si="795"/>
        <v>17.120054833758118</v>
      </c>
      <c r="CQ181" s="22">
        <f t="shared" ca="1" si="795"/>
        <v>17.120054833758118</v>
      </c>
      <c r="CR181" s="22">
        <f t="shared" ca="1" si="795"/>
        <v>17.120054833758118</v>
      </c>
      <c r="CS181" s="22">
        <f t="shared" ca="1" si="795"/>
        <v>17.120054833758118</v>
      </c>
      <c r="CT181" s="22">
        <f t="shared" ca="1" si="795"/>
        <v>17.120054833758118</v>
      </c>
    </row>
    <row r="182" spans="3:100" outlineLevel="1" x14ac:dyDescent="0.2">
      <c r="C182" s="3"/>
      <c r="D182" s="285" t="s">
        <v>387</v>
      </c>
      <c r="E182" s="224"/>
      <c r="G182" s="22">
        <f ca="1">SUMPRODUCT(G183:G186,G$225:G$228)/1000</f>
        <v>15772.062448045906</v>
      </c>
      <c r="H182" s="22">
        <f t="shared" ref="H182:R182" ca="1" si="796">SUMPRODUCT(H183:H186,H$225:H$228)/1000</f>
        <v>15772.062448045906</v>
      </c>
      <c r="I182" s="22">
        <f t="shared" ca="1" si="796"/>
        <v>15772.062448045906</v>
      </c>
      <c r="J182" s="22">
        <f t="shared" ca="1" si="796"/>
        <v>15772.062448045906</v>
      </c>
      <c r="K182" s="22">
        <f t="shared" ca="1" si="796"/>
        <v>15772.062448045906</v>
      </c>
      <c r="L182" s="22">
        <f t="shared" ca="1" si="796"/>
        <v>15772.062448045906</v>
      </c>
      <c r="M182" s="22">
        <f t="shared" ca="1" si="796"/>
        <v>15772.062448045906</v>
      </c>
      <c r="N182" s="22">
        <f t="shared" ca="1" si="796"/>
        <v>15772.062448045906</v>
      </c>
      <c r="O182" s="22">
        <f t="shared" ca="1" si="796"/>
        <v>15772.062448045906</v>
      </c>
      <c r="P182" s="22">
        <f t="shared" ca="1" si="796"/>
        <v>15772.062448045906</v>
      </c>
      <c r="Q182" s="22">
        <f t="shared" ca="1" si="796"/>
        <v>15772.062448045906</v>
      </c>
      <c r="R182" s="22">
        <f t="shared" ca="1" si="796"/>
        <v>15772.062448045906</v>
      </c>
      <c r="X182" s="285" t="s">
        <v>387</v>
      </c>
      <c r="Y182" s="224"/>
      <c r="AA182" s="22">
        <f ca="1">SUMPRODUCT(AA183:AA186,AA$225:AA$228)/1000</f>
        <v>20277.849425117365</v>
      </c>
      <c r="AB182" s="22">
        <f t="shared" ref="AB182:AL182" ca="1" si="797">SUMPRODUCT(AB183:AB186,AB$225:AB$228)/1000</f>
        <v>20014.194337603647</v>
      </c>
      <c r="AC182" s="22">
        <f t="shared" ca="1" si="797"/>
        <v>19830.772559713576</v>
      </c>
      <c r="AD182" s="22">
        <f t="shared" ca="1" si="797"/>
        <v>19703.168162159127</v>
      </c>
      <c r="AE182" s="22">
        <f t="shared" ca="1" si="797"/>
        <v>19614.395266908963</v>
      </c>
      <c r="AF182" s="22">
        <f t="shared" ca="1" si="797"/>
        <v>19552.63699617434</v>
      </c>
      <c r="AG182" s="22">
        <f t="shared" ca="1" si="797"/>
        <v>19509.67248551617</v>
      </c>
      <c r="AH182" s="22">
        <f t="shared" ca="1" si="797"/>
        <v>19509.67248551617</v>
      </c>
      <c r="AI182" s="22">
        <f t="shared" ca="1" si="797"/>
        <v>19509.67248551617</v>
      </c>
      <c r="AJ182" s="22">
        <f t="shared" ca="1" si="797"/>
        <v>19509.67248551617</v>
      </c>
      <c r="AK182" s="22">
        <f t="shared" ca="1" si="797"/>
        <v>19509.67248551617</v>
      </c>
      <c r="AL182" s="22">
        <f t="shared" ca="1" si="797"/>
        <v>19509.67248551617</v>
      </c>
      <c r="AR182" s="285" t="s">
        <v>387</v>
      </c>
      <c r="AS182" s="224"/>
      <c r="AU182" s="22">
        <f ca="1">SUMPRODUCT(AU183:AU186,AU$225:AU$228)/1000</f>
        <v>2384.3879340773606</v>
      </c>
      <c r="AV182" s="22">
        <f t="shared" ref="AV182:BF182" ca="1" si="798">SUMPRODUCT(AV183:AV186,AV$225:AV$228)/1000</f>
        <v>1630.931546802437</v>
      </c>
      <c r="AW182" s="22">
        <f t="shared" ca="1" si="798"/>
        <v>1066.6243771729914</v>
      </c>
      <c r="AX182" s="22">
        <f t="shared" ca="1" si="798"/>
        <v>252.65041200334056</v>
      </c>
      <c r="AY182" s="22">
        <f t="shared" ca="1" si="798"/>
        <v>-79.548486216805387</v>
      </c>
      <c r="AZ182" s="22">
        <f t="shared" ca="1" si="798"/>
        <v>-418.88960335331598</v>
      </c>
      <c r="BA182" s="22">
        <f t="shared" ca="1" si="798"/>
        <v>-732.50266113716839</v>
      </c>
      <c r="BB182" s="22">
        <f t="shared" ca="1" si="798"/>
        <v>-732.50266113716839</v>
      </c>
      <c r="BC182" s="22">
        <f t="shared" ca="1" si="798"/>
        <v>-732.50266113716839</v>
      </c>
      <c r="BD182" s="22">
        <f t="shared" ca="1" si="798"/>
        <v>-732.50266113716839</v>
      </c>
      <c r="BE182" s="22">
        <f t="shared" ca="1" si="798"/>
        <v>-732.50266113716839</v>
      </c>
      <c r="BF182" s="22">
        <f t="shared" ca="1" si="798"/>
        <v>-732.50266113716839</v>
      </c>
      <c r="BL182" s="285" t="s">
        <v>387</v>
      </c>
      <c r="BM182" s="224"/>
      <c r="BO182" s="22">
        <f ca="1">SUMPRODUCT(BO183:BO186,BO$225:BO$228)/1000</f>
        <v>20651.643300580494</v>
      </c>
      <c r="BP182" s="22">
        <f t="shared" ref="BP182:BZ182" ca="1" si="799">SUMPRODUCT(BP183:BP186,BP$225:BP$228)/1000</f>
        <v>18959.044396945515</v>
      </c>
      <c r="BQ182" s="22">
        <f t="shared" ca="1" si="799"/>
        <v>17478.155901205657</v>
      </c>
      <c r="BR182" s="22">
        <f t="shared" ca="1" si="799"/>
        <v>15805.605606244493</v>
      </c>
      <c r="BS182" s="22">
        <f t="shared" ca="1" si="799"/>
        <v>14633.520799775877</v>
      </c>
      <c r="BT182" s="22">
        <f t="shared" ca="1" si="799"/>
        <v>13491.30967975117</v>
      </c>
      <c r="BU182" s="22">
        <f t="shared" ca="1" si="799"/>
        <v>12343.25674790923</v>
      </c>
      <c r="BV182" s="22">
        <f t="shared" ca="1" si="799"/>
        <v>12343.25674790923</v>
      </c>
      <c r="BW182" s="22">
        <f t="shared" ca="1" si="799"/>
        <v>12343.25674790923</v>
      </c>
      <c r="BX182" s="22">
        <f t="shared" ca="1" si="799"/>
        <v>12343.25674790923</v>
      </c>
      <c r="BY182" s="22">
        <f t="shared" ca="1" si="799"/>
        <v>12343.25674790923</v>
      </c>
      <c r="BZ182" s="22">
        <f t="shared" ca="1" si="799"/>
        <v>12343.25674790923</v>
      </c>
      <c r="CF182" s="285" t="s">
        <v>387</v>
      </c>
      <c r="CG182" s="224"/>
      <c r="CI182" s="22">
        <f ca="1">SUMPRODUCT(CI183:CI186,CI$225:CI$228)/1000</f>
        <v>-55265.317448975075</v>
      </c>
      <c r="CJ182" s="22">
        <f t="shared" ref="CJ182:CT182" ca="1" si="800">SUMPRODUCT(CJ183:CJ186,CJ$225:CJ$228)/1000</f>
        <v>-57625.344589116168</v>
      </c>
      <c r="CK182" s="22">
        <f t="shared" ca="1" si="800"/>
        <v>-59756.113428127566</v>
      </c>
      <c r="CL182" s="22">
        <f t="shared" ca="1" si="800"/>
        <v>-62066.044703284766</v>
      </c>
      <c r="CM182" s="22">
        <f t="shared" ca="1" si="800"/>
        <v>-63866.814828434115</v>
      </c>
      <c r="CN182" s="22">
        <f t="shared" ca="1" si="800"/>
        <v>-65631.661796559987</v>
      </c>
      <c r="CO182" s="22">
        <f t="shared" ca="1" si="800"/>
        <v>-67398.142030180505</v>
      </c>
      <c r="CP182" s="22">
        <f t="shared" ca="1" si="800"/>
        <v>-67398.142030180505</v>
      </c>
      <c r="CQ182" s="22">
        <f t="shared" ca="1" si="800"/>
        <v>-67398.142030180505</v>
      </c>
      <c r="CR182" s="22">
        <f t="shared" ca="1" si="800"/>
        <v>-67398.142030180505</v>
      </c>
      <c r="CS182" s="22">
        <f t="shared" ca="1" si="800"/>
        <v>-67398.142030180505</v>
      </c>
      <c r="CT182" s="22">
        <f t="shared" ca="1" si="800"/>
        <v>-67398.142030180505</v>
      </c>
    </row>
    <row r="183" spans="3:100" outlineLevel="1" x14ac:dyDescent="0.2">
      <c r="C183" s="3"/>
      <c r="D183" s="16" t="str">
        <f>"WTT CO2 emissions"</f>
        <v>WTT CO2 emissions</v>
      </c>
      <c r="E183" s="224" t="s">
        <v>388</v>
      </c>
      <c r="F183" s="224" t="str">
        <f>_xlfn.TEXTJOIN(keydelim,TRUE,F$15,$D183)</f>
        <v>LSFO - WTT CO2 emissions</v>
      </c>
      <c r="G183" s="98">
        <f t="shared" ref="G183:R183" ca="1" si="801">IFERROR(INDEX(tbl_TCO_input,MATCH(
_xlfn.TEXTJOIN(keydelim,TRUE,G15,$D183),rows_TCO_ID,0),MATCH(G$6,cols_TCO_input,0)),0)</f>
        <v>15.899999999999997</v>
      </c>
      <c r="H183" s="98">
        <f t="shared" ca="1" si="801"/>
        <v>15.899999999999997</v>
      </c>
      <c r="I183" s="98">
        <f t="shared" ca="1" si="801"/>
        <v>15.899999999999997</v>
      </c>
      <c r="J183" s="98">
        <f t="shared" ca="1" si="801"/>
        <v>15.899999999999997</v>
      </c>
      <c r="K183" s="98">
        <f t="shared" ca="1" si="801"/>
        <v>15.899999999999997</v>
      </c>
      <c r="L183" s="98">
        <f t="shared" ca="1" si="801"/>
        <v>15.899999999999997</v>
      </c>
      <c r="M183" s="98">
        <f t="shared" ca="1" si="801"/>
        <v>15.899999999999997</v>
      </c>
      <c r="N183" s="98">
        <f t="shared" ca="1" si="801"/>
        <v>15.899999999999997</v>
      </c>
      <c r="O183" s="98">
        <f t="shared" ca="1" si="801"/>
        <v>15.899999999999997</v>
      </c>
      <c r="P183" s="98">
        <f t="shared" ca="1" si="801"/>
        <v>15.899999999999997</v>
      </c>
      <c r="Q183" s="98">
        <f t="shared" ca="1" si="801"/>
        <v>15.899999999999997</v>
      </c>
      <c r="R183" s="98">
        <f t="shared" ca="1" si="801"/>
        <v>15.899999999999997</v>
      </c>
      <c r="X183" s="16" t="str">
        <f>"WTT CO2 emissions"</f>
        <v>WTT CO2 emissions</v>
      </c>
      <c r="Y183" s="224" t="s">
        <v>388</v>
      </c>
      <c r="Z183" s="224" t="str">
        <f>_xlfn.TEXTJOIN(keydelim,TRUE,Z$15,$D183)</f>
        <v>LNG - WTT CO2 emissions</v>
      </c>
      <c r="AA183" s="98">
        <f t="shared" ref="AA183:AL183" ca="1" si="802">IFERROR(INDEX(tbl_TCO_input,MATCH(
_xlfn.TEXTJOIN(keydelim,TRUE,AA15,$D183),rows_TCO_ID,0),MATCH(AA$6,cols_TCO_input,0)),0)</f>
        <v>20.480827555104572</v>
      </c>
      <c r="AB183" s="98">
        <f t="shared" ca="1" si="802"/>
        <v>20.212781485445205</v>
      </c>
      <c r="AC183" s="98">
        <f t="shared" ca="1" si="802"/>
        <v>20.026304952346607</v>
      </c>
      <c r="AD183" s="98">
        <f t="shared" ca="1" si="802"/>
        <v>19.896575397122525</v>
      </c>
      <c r="AE183" s="98">
        <f t="shared" ca="1" si="802"/>
        <v>19.806324054398672</v>
      </c>
      <c r="AF183" s="98">
        <f t="shared" ca="1" si="802"/>
        <v>19.743537244951977</v>
      </c>
      <c r="AG183" s="98">
        <f t="shared" ca="1" si="802"/>
        <v>19.699857191874454</v>
      </c>
      <c r="AH183" s="98">
        <f t="shared" ca="1" si="802"/>
        <v>19.699857191874454</v>
      </c>
      <c r="AI183" s="98">
        <f t="shared" ca="1" si="802"/>
        <v>19.699857191874454</v>
      </c>
      <c r="AJ183" s="98">
        <f t="shared" ca="1" si="802"/>
        <v>19.699857191874454</v>
      </c>
      <c r="AK183" s="98">
        <f t="shared" ca="1" si="802"/>
        <v>19.699857191874454</v>
      </c>
      <c r="AL183" s="98">
        <f t="shared" ca="1" si="802"/>
        <v>19.699857191874454</v>
      </c>
      <c r="AR183" s="16" t="str">
        <f>"WTT CO2 emissions"</f>
        <v>WTT CO2 emissions</v>
      </c>
      <c r="AS183" s="224" t="s">
        <v>388</v>
      </c>
      <c r="AT183" s="224" t="str">
        <f>_xlfn.TEXTJOIN(keydelim,TRUE,AT$15,$D183)</f>
        <v>e-Ammonia - WTT CO2 emissions</v>
      </c>
      <c r="AU183" s="98">
        <f t="shared" ref="AU183:BF183" ca="1" si="803">IFERROR(INDEX(tbl_TCO_input,MATCH(
_xlfn.TEXTJOIN(keydelim,TRUE,AU15,$D183),rows_TCO_ID,0),MATCH(AU$6,cols_TCO_input,0)),0)</f>
        <v>4.2782878391777741</v>
      </c>
      <c r="AV183" s="98">
        <f t="shared" ca="1" si="803"/>
        <v>3.8338523377262113</v>
      </c>
      <c r="AW183" s="98">
        <f t="shared" ca="1" si="803"/>
        <v>3.4969302851354476</v>
      </c>
      <c r="AX183" s="98">
        <f t="shared" ca="1" si="803"/>
        <v>3.1902808810798975</v>
      </c>
      <c r="AY183" s="98">
        <f t="shared" ca="1" si="803"/>
        <v>2.9274882644873275</v>
      </c>
      <c r="AZ183" s="98">
        <f t="shared" ca="1" si="803"/>
        <v>2.669936659106797</v>
      </c>
      <c r="BA183" s="98">
        <f t="shared" ca="1" si="803"/>
        <v>2.4763518144036567</v>
      </c>
      <c r="BB183" s="98">
        <f t="shared" ca="1" si="803"/>
        <v>2.4763518144036567</v>
      </c>
      <c r="BC183" s="98">
        <f t="shared" ca="1" si="803"/>
        <v>2.4763518144036567</v>
      </c>
      <c r="BD183" s="98">
        <f t="shared" ca="1" si="803"/>
        <v>2.4763518144036567</v>
      </c>
      <c r="BE183" s="98">
        <f t="shared" ca="1" si="803"/>
        <v>2.4763518144036567</v>
      </c>
      <c r="BF183" s="98">
        <f t="shared" ca="1" si="803"/>
        <v>2.4763518144036567</v>
      </c>
      <c r="BL183" s="16" t="str">
        <f>"WTT CO2 emissions"</f>
        <v>WTT CO2 emissions</v>
      </c>
      <c r="BM183" s="224" t="s">
        <v>388</v>
      </c>
      <c r="BN183" s="224" t="str">
        <f>_xlfn.TEXTJOIN(keydelim,TRUE,BN$15,$D183)</f>
        <v>Blue ammonia - WTT CO2 emissions</v>
      </c>
      <c r="BO183" s="98">
        <f t="shared" ref="BO183:BZ183" ca="1" si="804">IFERROR(INDEX(tbl_TCO_input,MATCH(
_xlfn.TEXTJOIN(keydelim,TRUE,BO15,$D183),rows_TCO_ID,0),MATCH(BO$6,cols_TCO_input,0)),0)</f>
        <v>23.501345970568721</v>
      </c>
      <c r="BP183" s="98">
        <f t="shared" ca="1" si="804"/>
        <v>22.068628933470897</v>
      </c>
      <c r="BQ183" s="98">
        <f t="shared" ca="1" si="804"/>
        <v>20.767167011016767</v>
      </c>
      <c r="BR183" s="98">
        <f t="shared" ca="1" si="804"/>
        <v>19.557017745231413</v>
      </c>
      <c r="BS183" s="98">
        <f t="shared" ca="1" si="804"/>
        <v>18.410393632660419</v>
      </c>
      <c r="BT183" s="98">
        <f t="shared" ca="1" si="804"/>
        <v>17.307963230338629</v>
      </c>
      <c r="BU183" s="98">
        <f t="shared" ca="1" si="804"/>
        <v>16.236277878233448</v>
      </c>
      <c r="BV183" s="98">
        <f t="shared" ca="1" si="804"/>
        <v>16.236277878233448</v>
      </c>
      <c r="BW183" s="98">
        <f t="shared" ca="1" si="804"/>
        <v>16.236277878233448</v>
      </c>
      <c r="BX183" s="98">
        <f t="shared" ca="1" si="804"/>
        <v>16.236277878233448</v>
      </c>
      <c r="BY183" s="98">
        <f t="shared" ca="1" si="804"/>
        <v>16.236277878233448</v>
      </c>
      <c r="BZ183" s="98">
        <f t="shared" ca="1" si="804"/>
        <v>16.236277878233448</v>
      </c>
      <c r="CF183" s="16" t="str">
        <f>"WTT CO2 emissions"</f>
        <v>WTT CO2 emissions</v>
      </c>
      <c r="CG183" s="224" t="s">
        <v>388</v>
      </c>
      <c r="CH183" s="224" t="str">
        <f>_xlfn.TEXTJOIN(keydelim,TRUE,CH$15,$D183)</f>
        <v>Biomethanol - WTT CO2 emissions</v>
      </c>
      <c r="CI183" s="98">
        <f t="shared" ref="CI183:CT183" ca="1" si="805">IFERROR(INDEX(tbl_TCO_input,MATCH(
_xlfn.TEXTJOIN(keydelim,TRUE,CI15,$D183),rows_TCO_ID,0),MATCH(CI$6,cols_TCO_input,0)),0)</f>
        <v>-56.387839370501666</v>
      </c>
      <c r="CJ183" s="98">
        <f t="shared" ca="1" si="805"/>
        <v>-58.52290668034027</v>
      </c>
      <c r="CK183" s="98">
        <f t="shared" ca="1" si="805"/>
        <v>-60.508252818923829</v>
      </c>
      <c r="CL183" s="98">
        <f t="shared" ca="1" si="805"/>
        <v>-62.389132930056562</v>
      </c>
      <c r="CM183" s="98">
        <f t="shared" ca="1" si="805"/>
        <v>-64.197337240904787</v>
      </c>
      <c r="CN183" s="98">
        <f t="shared" ca="1" si="805"/>
        <v>-65.954981842765505</v>
      </c>
      <c r="CO183" s="98">
        <f t="shared" ca="1" si="805"/>
        <v>-67.677452643128447</v>
      </c>
      <c r="CP183" s="98">
        <f t="shared" ca="1" si="805"/>
        <v>-67.677452643128447</v>
      </c>
      <c r="CQ183" s="98">
        <f t="shared" ca="1" si="805"/>
        <v>-67.677452643128447</v>
      </c>
      <c r="CR183" s="98">
        <f t="shared" ca="1" si="805"/>
        <v>-67.677452643128447</v>
      </c>
      <c r="CS183" s="98">
        <f t="shared" ca="1" si="805"/>
        <v>-67.677452643128447</v>
      </c>
      <c r="CT183" s="98">
        <f t="shared" ca="1" si="805"/>
        <v>-67.677452643128447</v>
      </c>
    </row>
    <row r="184" spans="3:100" outlineLevel="1" x14ac:dyDescent="0.2">
      <c r="C184" s="3"/>
      <c r="D184" s="16" t="str">
        <f>"WTT CO2 emissions"</f>
        <v>WTT CO2 emissions</v>
      </c>
      <c r="E184" s="224" t="s">
        <v>388</v>
      </c>
      <c r="F184" s="224" t="str">
        <f>_xlfn.TEXTJOIN(keydelim,TRUE,F$16,$D184)</f>
        <v>LSFO - WTT CO2 emissions</v>
      </c>
      <c r="G184" s="98">
        <f t="shared" ref="G184:R184" ca="1" si="806">IFERROR(INDEX(tbl_TCO_input,MATCH(
_xlfn.TEXTJOIN(keydelim,TRUE,G16,$D184),rows_TCO_ID,0),MATCH(G$6,cols_TCO_input,0)),0)</f>
        <v>15.899999999999997</v>
      </c>
      <c r="H184" s="98">
        <f t="shared" ca="1" si="806"/>
        <v>15.899999999999997</v>
      </c>
      <c r="I184" s="98">
        <f t="shared" ca="1" si="806"/>
        <v>15.899999999999997</v>
      </c>
      <c r="J184" s="98">
        <f t="shared" ca="1" si="806"/>
        <v>15.899999999999997</v>
      </c>
      <c r="K184" s="98">
        <f t="shared" ca="1" si="806"/>
        <v>15.899999999999997</v>
      </c>
      <c r="L184" s="98">
        <f t="shared" ca="1" si="806"/>
        <v>15.899999999999997</v>
      </c>
      <c r="M184" s="98">
        <f t="shared" ca="1" si="806"/>
        <v>15.899999999999997</v>
      </c>
      <c r="N184" s="98">
        <f t="shared" ca="1" si="806"/>
        <v>15.899999999999997</v>
      </c>
      <c r="O184" s="98">
        <f t="shared" ca="1" si="806"/>
        <v>15.899999999999997</v>
      </c>
      <c r="P184" s="98">
        <f t="shared" ca="1" si="806"/>
        <v>15.899999999999997</v>
      </c>
      <c r="Q184" s="98">
        <f t="shared" ca="1" si="806"/>
        <v>15.899999999999997</v>
      </c>
      <c r="R184" s="98">
        <f t="shared" ca="1" si="806"/>
        <v>15.899999999999997</v>
      </c>
      <c r="X184" s="16" t="str">
        <f>"WTT CO2 emissions"</f>
        <v>WTT CO2 emissions</v>
      </c>
      <c r="Y184" s="224" t="s">
        <v>388</v>
      </c>
      <c r="Z184" s="224" t="str">
        <f>_xlfn.TEXTJOIN(keydelim,TRUE,Z$16,$D184)</f>
        <v>LSFO - WTT CO2 emissions</v>
      </c>
      <c r="AA184" s="98">
        <f t="shared" ref="AA184:AL184" ca="1" si="807">IFERROR(INDEX(tbl_TCO_input,MATCH(
_xlfn.TEXTJOIN(keydelim,TRUE,AA16,$D184),rows_TCO_ID,0),MATCH(AA$6,cols_TCO_input,0)),0)</f>
        <v>15.899999999999997</v>
      </c>
      <c r="AB184" s="98">
        <f t="shared" ca="1" si="807"/>
        <v>15.899999999999997</v>
      </c>
      <c r="AC184" s="98">
        <f t="shared" ca="1" si="807"/>
        <v>15.899999999999997</v>
      </c>
      <c r="AD184" s="98">
        <f t="shared" ca="1" si="807"/>
        <v>15.899999999999997</v>
      </c>
      <c r="AE184" s="98">
        <f t="shared" ca="1" si="807"/>
        <v>15.899999999999997</v>
      </c>
      <c r="AF184" s="98">
        <f t="shared" ca="1" si="807"/>
        <v>15.899999999999997</v>
      </c>
      <c r="AG184" s="98">
        <f t="shared" ca="1" si="807"/>
        <v>15.899999999999997</v>
      </c>
      <c r="AH184" s="98">
        <f t="shared" ca="1" si="807"/>
        <v>15.899999999999997</v>
      </c>
      <c r="AI184" s="98">
        <f t="shared" ca="1" si="807"/>
        <v>15.899999999999997</v>
      </c>
      <c r="AJ184" s="98">
        <f t="shared" ca="1" si="807"/>
        <v>15.899999999999997</v>
      </c>
      <c r="AK184" s="98">
        <f t="shared" ca="1" si="807"/>
        <v>15.899999999999997</v>
      </c>
      <c r="AL184" s="98">
        <f t="shared" ca="1" si="807"/>
        <v>15.899999999999997</v>
      </c>
      <c r="AR184" s="16" t="str">
        <f>"WTT CO2 emissions"</f>
        <v>WTT CO2 emissions</v>
      </c>
      <c r="AS184" s="224" t="s">
        <v>388</v>
      </c>
      <c r="AT184" s="224" t="str">
        <f>_xlfn.TEXTJOIN(keydelim,TRUE,AT$16,$D184)</f>
        <v>Biodiesel (Pyr) - WTT CO2 emissions</v>
      </c>
      <c r="AU184" s="98">
        <f t="shared" ref="AU184:BF184" ca="1" si="808">IFERROR(INDEX(tbl_TCO_input,MATCH(
_xlfn.TEXTJOIN(keydelim,TRUE,AU16,$D184),rows_TCO_ID,0),MATCH(AU$6,cols_TCO_input,0)),0)</f>
        <v>-40.339877075554391</v>
      </c>
      <c r="AV184" s="98">
        <f t="shared" ca="1" si="808"/>
        <v>-48.28508713529736</v>
      </c>
      <c r="AW184" s="98">
        <f t="shared" ca="1" si="808"/>
        <v>-54.14317291584149</v>
      </c>
      <c r="AX184" s="98">
        <f t="shared" ca="1" si="808"/>
        <v>-66.682297018872859</v>
      </c>
      <c r="AY184" s="98">
        <f t="shared" ca="1" si="808"/>
        <v>-68.6612337974545</v>
      </c>
      <c r="AZ184" s="98">
        <f t="shared" ca="1" si="808"/>
        <v>-70.931053663901253</v>
      </c>
      <c r="BA184" s="98">
        <f t="shared" ca="1" si="808"/>
        <v>-74.042095342836006</v>
      </c>
      <c r="BB184" s="98">
        <f t="shared" ca="1" si="808"/>
        <v>-74.042095342836006</v>
      </c>
      <c r="BC184" s="98">
        <f t="shared" ca="1" si="808"/>
        <v>-74.042095342836006</v>
      </c>
      <c r="BD184" s="98">
        <f t="shared" ca="1" si="808"/>
        <v>-74.042095342836006</v>
      </c>
      <c r="BE184" s="98">
        <f t="shared" ca="1" si="808"/>
        <v>-74.042095342836006</v>
      </c>
      <c r="BF184" s="98">
        <f t="shared" ca="1" si="808"/>
        <v>-74.042095342836006</v>
      </c>
      <c r="BL184" s="16" t="str">
        <f>"WTT CO2 emissions"</f>
        <v>WTT CO2 emissions</v>
      </c>
      <c r="BM184" s="224" t="s">
        <v>388</v>
      </c>
      <c r="BN184" s="224" t="str">
        <f>_xlfn.TEXTJOIN(keydelim,TRUE,BN$16,$D184)</f>
        <v>Biodiesel (Pyr) - WTT CO2 emissions</v>
      </c>
      <c r="BO184" s="98">
        <f t="shared" ref="BO184:BZ184" ca="1" si="809">IFERROR(INDEX(tbl_TCO_input,MATCH(
_xlfn.TEXTJOIN(keydelim,TRUE,BO16,$D184),rows_TCO_ID,0),MATCH(BO$6,cols_TCO_input,0)),0)</f>
        <v>-40.339877075554391</v>
      </c>
      <c r="BP184" s="98">
        <f t="shared" ca="1" si="809"/>
        <v>-48.28508713529736</v>
      </c>
      <c r="BQ184" s="98">
        <f t="shared" ca="1" si="809"/>
        <v>-54.14317291584149</v>
      </c>
      <c r="BR184" s="98">
        <f t="shared" ca="1" si="809"/>
        <v>-66.682297018872859</v>
      </c>
      <c r="BS184" s="98">
        <f t="shared" ca="1" si="809"/>
        <v>-68.6612337974545</v>
      </c>
      <c r="BT184" s="98">
        <f t="shared" ca="1" si="809"/>
        <v>-70.931053663901253</v>
      </c>
      <c r="BU184" s="98">
        <f t="shared" ca="1" si="809"/>
        <v>-74.042095342836006</v>
      </c>
      <c r="BV184" s="98">
        <f t="shared" ca="1" si="809"/>
        <v>-74.042095342836006</v>
      </c>
      <c r="BW184" s="98">
        <f t="shared" ca="1" si="809"/>
        <v>-74.042095342836006</v>
      </c>
      <c r="BX184" s="98">
        <f t="shared" ca="1" si="809"/>
        <v>-74.042095342836006</v>
      </c>
      <c r="BY184" s="98">
        <f t="shared" ca="1" si="809"/>
        <v>-74.042095342836006</v>
      </c>
      <c r="BZ184" s="98">
        <f t="shared" ca="1" si="809"/>
        <v>-74.042095342836006</v>
      </c>
      <c r="CF184" s="16" t="str">
        <f>"WTT CO2 emissions"</f>
        <v>WTT CO2 emissions</v>
      </c>
      <c r="CG184" s="224" t="s">
        <v>388</v>
      </c>
      <c r="CH184" s="224" t="str">
        <f>_xlfn.TEXTJOIN(keydelim,TRUE,CH$16,$D184)</f>
        <v>Biodiesel (Pyr) - WTT CO2 emissions</v>
      </c>
      <c r="CI184" s="98">
        <f t="shared" ref="CI184:CT184" ca="1" si="810">IFERROR(INDEX(tbl_TCO_input,MATCH(
_xlfn.TEXTJOIN(keydelim,TRUE,CI16,$D184),rows_TCO_ID,0),MATCH(CI$6,cols_TCO_input,0)),0)</f>
        <v>-40.339877075554391</v>
      </c>
      <c r="CJ184" s="98">
        <f t="shared" ca="1" si="810"/>
        <v>-48.28508713529736</v>
      </c>
      <c r="CK184" s="98">
        <f t="shared" ca="1" si="810"/>
        <v>-54.14317291584149</v>
      </c>
      <c r="CL184" s="98">
        <f t="shared" ca="1" si="810"/>
        <v>-66.682297018872859</v>
      </c>
      <c r="CM184" s="98">
        <f t="shared" ca="1" si="810"/>
        <v>-68.6612337974545</v>
      </c>
      <c r="CN184" s="98">
        <f t="shared" ca="1" si="810"/>
        <v>-70.931053663901253</v>
      </c>
      <c r="CO184" s="98">
        <f t="shared" ca="1" si="810"/>
        <v>-74.042095342836006</v>
      </c>
      <c r="CP184" s="98">
        <f t="shared" ca="1" si="810"/>
        <v>-74.042095342836006</v>
      </c>
      <c r="CQ184" s="98">
        <f t="shared" ca="1" si="810"/>
        <v>-74.042095342836006</v>
      </c>
      <c r="CR184" s="98">
        <f t="shared" ca="1" si="810"/>
        <v>-74.042095342836006</v>
      </c>
      <c r="CS184" s="98">
        <f t="shared" ca="1" si="810"/>
        <v>-74.042095342836006</v>
      </c>
      <c r="CT184" s="98">
        <f t="shared" ca="1" si="810"/>
        <v>-74.042095342836006</v>
      </c>
    </row>
    <row r="185" spans="3:100" outlineLevel="1" x14ac:dyDescent="0.2">
      <c r="C185" s="3"/>
      <c r="D185" s="16" t="str">
        <f>"WTT CO2 emissions"</f>
        <v>WTT CO2 emissions</v>
      </c>
      <c r="E185" s="224" t="s">
        <v>388</v>
      </c>
      <c r="F185" s="224" t="str">
        <f>_xlfn.TEXTJOIN(keydelim,TRUE,F$19,$D185)</f>
        <v>LSFO - WTT CO2 emissions</v>
      </c>
      <c r="G185" s="98">
        <f t="shared" ref="G185:R185" ca="1" si="811">IFERROR(INDEX(tbl_TCO_input,MATCH(
_xlfn.TEXTJOIN(keydelim,TRUE,G19,$D185),rows_TCO_ID,0),MATCH(G$6,cols_TCO_input,0)),0)</f>
        <v>15.899999999999997</v>
      </c>
      <c r="H185" s="98">
        <f t="shared" ca="1" si="811"/>
        <v>15.899999999999997</v>
      </c>
      <c r="I185" s="98">
        <f t="shared" ca="1" si="811"/>
        <v>15.899999999999997</v>
      </c>
      <c r="J185" s="98">
        <f t="shared" ca="1" si="811"/>
        <v>15.899999999999997</v>
      </c>
      <c r="K185" s="98">
        <f t="shared" ca="1" si="811"/>
        <v>15.899999999999997</v>
      </c>
      <c r="L185" s="98">
        <f t="shared" ca="1" si="811"/>
        <v>15.899999999999997</v>
      </c>
      <c r="M185" s="98">
        <f t="shared" ca="1" si="811"/>
        <v>15.899999999999997</v>
      </c>
      <c r="N185" s="98">
        <f t="shared" ca="1" si="811"/>
        <v>15.899999999999997</v>
      </c>
      <c r="O185" s="98">
        <f t="shared" ca="1" si="811"/>
        <v>15.899999999999997</v>
      </c>
      <c r="P185" s="98">
        <f t="shared" ca="1" si="811"/>
        <v>15.899999999999997</v>
      </c>
      <c r="Q185" s="98">
        <f t="shared" ca="1" si="811"/>
        <v>15.899999999999997</v>
      </c>
      <c r="R185" s="98">
        <f t="shared" ca="1" si="811"/>
        <v>15.899999999999997</v>
      </c>
      <c r="X185" s="16" t="str">
        <f>"WTT CO2 emissions"</f>
        <v>WTT CO2 emissions</v>
      </c>
      <c r="Y185" s="224" t="s">
        <v>388</v>
      </c>
      <c r="Z185" s="224" t="str">
        <f>_xlfn.TEXTJOIN(keydelim,TRUE,Z$19,$D185)</f>
        <v>LNG - WTT CO2 emissions</v>
      </c>
      <c r="AA185" s="98">
        <f t="shared" ref="AA185:AL185" ca="1" si="812">IFERROR(INDEX(tbl_TCO_input,MATCH(
_xlfn.TEXTJOIN(keydelim,TRUE,AA19,$D185),rows_TCO_ID,0),MATCH(AA$6,cols_TCO_input,0)),0)</f>
        <v>20.480827555104572</v>
      </c>
      <c r="AB185" s="98">
        <f t="shared" ca="1" si="812"/>
        <v>20.212781485445205</v>
      </c>
      <c r="AC185" s="98">
        <f t="shared" ca="1" si="812"/>
        <v>20.026304952346607</v>
      </c>
      <c r="AD185" s="98">
        <f t="shared" ca="1" si="812"/>
        <v>19.896575397122525</v>
      </c>
      <c r="AE185" s="98">
        <f t="shared" ca="1" si="812"/>
        <v>19.806324054398672</v>
      </c>
      <c r="AF185" s="98">
        <f t="shared" ca="1" si="812"/>
        <v>19.743537244951977</v>
      </c>
      <c r="AG185" s="98">
        <f t="shared" ca="1" si="812"/>
        <v>19.699857191874454</v>
      </c>
      <c r="AH185" s="98">
        <f t="shared" ca="1" si="812"/>
        <v>19.699857191874454</v>
      </c>
      <c r="AI185" s="98">
        <f t="shared" ca="1" si="812"/>
        <v>19.699857191874454</v>
      </c>
      <c r="AJ185" s="98">
        <f t="shared" ca="1" si="812"/>
        <v>19.699857191874454</v>
      </c>
      <c r="AK185" s="98">
        <f t="shared" ca="1" si="812"/>
        <v>19.699857191874454</v>
      </c>
      <c r="AL185" s="98">
        <f t="shared" ca="1" si="812"/>
        <v>19.699857191874454</v>
      </c>
      <c r="AR185" s="16" t="str">
        <f>"WTT CO2 emissions"</f>
        <v>WTT CO2 emissions</v>
      </c>
      <c r="AS185" s="224" t="s">
        <v>388</v>
      </c>
      <c r="AT185" s="224" t="str">
        <f>_xlfn.TEXTJOIN(keydelim,TRUE,AT$19,$D185)</f>
        <v>e-Ammonia - WTT CO2 emissions</v>
      </c>
      <c r="AU185" s="98">
        <f t="shared" ref="AU185:BF185" ca="1" si="813">IFERROR(INDEX(tbl_TCO_input,MATCH(
_xlfn.TEXTJOIN(keydelim,TRUE,AU19,$D185),rows_TCO_ID,0),MATCH(AU$6,cols_TCO_input,0)),0)</f>
        <v>4.2782878391777741</v>
      </c>
      <c r="AV185" s="98">
        <f t="shared" ca="1" si="813"/>
        <v>3.8338523377262113</v>
      </c>
      <c r="AW185" s="98">
        <f t="shared" ca="1" si="813"/>
        <v>3.4969302851354476</v>
      </c>
      <c r="AX185" s="98">
        <f t="shared" ca="1" si="813"/>
        <v>3.1902808810798975</v>
      </c>
      <c r="AY185" s="98">
        <f t="shared" ca="1" si="813"/>
        <v>2.9274882644873275</v>
      </c>
      <c r="AZ185" s="98">
        <f t="shared" ca="1" si="813"/>
        <v>2.669936659106797</v>
      </c>
      <c r="BA185" s="98">
        <f t="shared" ca="1" si="813"/>
        <v>2.4763518144036567</v>
      </c>
      <c r="BB185" s="98">
        <f t="shared" ca="1" si="813"/>
        <v>2.4763518144036567</v>
      </c>
      <c r="BC185" s="98">
        <f t="shared" ca="1" si="813"/>
        <v>2.4763518144036567</v>
      </c>
      <c r="BD185" s="98">
        <f t="shared" ca="1" si="813"/>
        <v>2.4763518144036567</v>
      </c>
      <c r="BE185" s="98">
        <f t="shared" ca="1" si="813"/>
        <v>2.4763518144036567</v>
      </c>
      <c r="BF185" s="98">
        <f t="shared" ca="1" si="813"/>
        <v>2.4763518144036567</v>
      </c>
      <c r="BL185" s="16" t="str">
        <f>"WTT CO2 emissions"</f>
        <v>WTT CO2 emissions</v>
      </c>
      <c r="BM185" s="224" t="s">
        <v>388</v>
      </c>
      <c r="BN185" s="224" t="str">
        <f>_xlfn.TEXTJOIN(keydelim,TRUE,BN$19,$D185)</f>
        <v>Blue ammonia - WTT CO2 emissions</v>
      </c>
      <c r="BO185" s="98">
        <f t="shared" ref="BO185:BZ185" ca="1" si="814">IFERROR(INDEX(tbl_TCO_input,MATCH(
_xlfn.TEXTJOIN(keydelim,TRUE,BO19,$D185),rows_TCO_ID,0),MATCH(BO$6,cols_TCO_input,0)),0)</f>
        <v>23.501345970568721</v>
      </c>
      <c r="BP185" s="98">
        <f t="shared" ca="1" si="814"/>
        <v>22.068628933470897</v>
      </c>
      <c r="BQ185" s="98">
        <f t="shared" ca="1" si="814"/>
        <v>20.767167011016767</v>
      </c>
      <c r="BR185" s="98">
        <f t="shared" ca="1" si="814"/>
        <v>19.557017745231413</v>
      </c>
      <c r="BS185" s="98">
        <f t="shared" ca="1" si="814"/>
        <v>18.410393632660419</v>
      </c>
      <c r="BT185" s="98">
        <f t="shared" ca="1" si="814"/>
        <v>17.307963230338629</v>
      </c>
      <c r="BU185" s="98">
        <f t="shared" ca="1" si="814"/>
        <v>16.236277878233448</v>
      </c>
      <c r="BV185" s="98">
        <f t="shared" ca="1" si="814"/>
        <v>16.236277878233448</v>
      </c>
      <c r="BW185" s="98">
        <f t="shared" ca="1" si="814"/>
        <v>16.236277878233448</v>
      </c>
      <c r="BX185" s="98">
        <f t="shared" ca="1" si="814"/>
        <v>16.236277878233448</v>
      </c>
      <c r="BY185" s="98">
        <f t="shared" ca="1" si="814"/>
        <v>16.236277878233448</v>
      </c>
      <c r="BZ185" s="98">
        <f t="shared" ca="1" si="814"/>
        <v>16.236277878233448</v>
      </c>
      <c r="CF185" s="16" t="str">
        <f>"WTT CO2 emissions"</f>
        <v>WTT CO2 emissions</v>
      </c>
      <c r="CG185" s="224" t="s">
        <v>388</v>
      </c>
      <c r="CH185" s="224" t="str">
        <f>_xlfn.TEXTJOIN(keydelim,TRUE,CH$19,$D185)</f>
        <v>Biomethanol - WTT CO2 emissions</v>
      </c>
      <c r="CI185" s="98">
        <f t="shared" ref="CI185:CT185" ca="1" si="815">IFERROR(INDEX(tbl_TCO_input,MATCH(
_xlfn.TEXTJOIN(keydelim,TRUE,CI19,$D185),rows_TCO_ID,0),MATCH(CI$6,cols_TCO_input,0)),0)</f>
        <v>-56.387839370501666</v>
      </c>
      <c r="CJ185" s="98">
        <f t="shared" ca="1" si="815"/>
        <v>-58.52290668034027</v>
      </c>
      <c r="CK185" s="98">
        <f t="shared" ca="1" si="815"/>
        <v>-60.508252818923829</v>
      </c>
      <c r="CL185" s="98">
        <f t="shared" ca="1" si="815"/>
        <v>-62.389132930056562</v>
      </c>
      <c r="CM185" s="98">
        <f t="shared" ca="1" si="815"/>
        <v>-64.197337240904787</v>
      </c>
      <c r="CN185" s="98">
        <f t="shared" ca="1" si="815"/>
        <v>-65.954981842765505</v>
      </c>
      <c r="CO185" s="98">
        <f t="shared" ca="1" si="815"/>
        <v>-67.677452643128447</v>
      </c>
      <c r="CP185" s="98">
        <f t="shared" ca="1" si="815"/>
        <v>-67.677452643128447</v>
      </c>
      <c r="CQ185" s="98">
        <f t="shared" ca="1" si="815"/>
        <v>-67.677452643128447</v>
      </c>
      <c r="CR185" s="98">
        <f t="shared" ca="1" si="815"/>
        <v>-67.677452643128447</v>
      </c>
      <c r="CS185" s="98">
        <f t="shared" ca="1" si="815"/>
        <v>-67.677452643128447</v>
      </c>
      <c r="CT185" s="98">
        <f t="shared" ca="1" si="815"/>
        <v>-67.677452643128447</v>
      </c>
    </row>
    <row r="186" spans="3:100" outlineLevel="1" x14ac:dyDescent="0.2">
      <c r="C186" s="3"/>
      <c r="D186" s="16" t="str">
        <f>"WTT CO2 emissions"</f>
        <v>WTT CO2 emissions</v>
      </c>
      <c r="E186" s="224" t="s">
        <v>388</v>
      </c>
      <c r="F186" s="224" t="str">
        <f>_xlfn.TEXTJOIN(keydelim,TRUE,F$20,$D186)</f>
        <v>LSFO - WTT CO2 emissions</v>
      </c>
      <c r="G186" s="98">
        <f t="shared" ref="G186:R186" ca="1" si="816">IFERROR(INDEX(tbl_TCO_input,MATCH(
_xlfn.TEXTJOIN(keydelim,TRUE,G20,$D186),rows_TCO_ID,0),MATCH(G$6,cols_TCO_input,0)),0)</f>
        <v>15.899999999999997</v>
      </c>
      <c r="H186" s="98">
        <f t="shared" ca="1" si="816"/>
        <v>15.899999999999997</v>
      </c>
      <c r="I186" s="98">
        <f t="shared" ca="1" si="816"/>
        <v>15.899999999999997</v>
      </c>
      <c r="J186" s="98">
        <f t="shared" ca="1" si="816"/>
        <v>15.899999999999997</v>
      </c>
      <c r="K186" s="98">
        <f t="shared" ca="1" si="816"/>
        <v>15.899999999999997</v>
      </c>
      <c r="L186" s="98">
        <f t="shared" ca="1" si="816"/>
        <v>15.899999999999997</v>
      </c>
      <c r="M186" s="98">
        <f t="shared" ca="1" si="816"/>
        <v>15.899999999999997</v>
      </c>
      <c r="N186" s="98">
        <f t="shared" ca="1" si="816"/>
        <v>15.899999999999997</v>
      </c>
      <c r="O186" s="98">
        <f t="shared" ca="1" si="816"/>
        <v>15.899999999999997</v>
      </c>
      <c r="P186" s="98">
        <f t="shared" ca="1" si="816"/>
        <v>15.899999999999997</v>
      </c>
      <c r="Q186" s="98">
        <f t="shared" ca="1" si="816"/>
        <v>15.899999999999997</v>
      </c>
      <c r="R186" s="98">
        <f t="shared" ca="1" si="816"/>
        <v>15.899999999999997</v>
      </c>
      <c r="X186" s="16" t="str">
        <f>"WTT CO2 emissions"</f>
        <v>WTT CO2 emissions</v>
      </c>
      <c r="Y186" s="224" t="s">
        <v>388</v>
      </c>
      <c r="Z186" s="224" t="str">
        <f>_xlfn.TEXTJOIN(keydelim,TRUE,Z$20,$D186)</f>
        <v>LNG - WTT CO2 emissions</v>
      </c>
      <c r="AA186" s="98">
        <f t="shared" ref="AA186:AL186" ca="1" si="817">IFERROR(INDEX(tbl_TCO_input,MATCH(
_xlfn.TEXTJOIN(keydelim,TRUE,AA20,$D186),rows_TCO_ID,0),MATCH(AA$6,cols_TCO_input,0)),0)</f>
        <v>20.480827555104572</v>
      </c>
      <c r="AB186" s="98">
        <f t="shared" ca="1" si="817"/>
        <v>20.212781485445205</v>
      </c>
      <c r="AC186" s="98">
        <f t="shared" ca="1" si="817"/>
        <v>20.026304952346607</v>
      </c>
      <c r="AD186" s="98">
        <f t="shared" ca="1" si="817"/>
        <v>19.896575397122525</v>
      </c>
      <c r="AE186" s="98">
        <f t="shared" ca="1" si="817"/>
        <v>19.806324054398672</v>
      </c>
      <c r="AF186" s="98">
        <f t="shared" ca="1" si="817"/>
        <v>19.743537244951977</v>
      </c>
      <c r="AG186" s="98">
        <f t="shared" ca="1" si="817"/>
        <v>19.699857191874454</v>
      </c>
      <c r="AH186" s="98">
        <f t="shared" ca="1" si="817"/>
        <v>19.699857191874454</v>
      </c>
      <c r="AI186" s="98">
        <f t="shared" ca="1" si="817"/>
        <v>19.699857191874454</v>
      </c>
      <c r="AJ186" s="98">
        <f t="shared" ca="1" si="817"/>
        <v>19.699857191874454</v>
      </c>
      <c r="AK186" s="98">
        <f t="shared" ca="1" si="817"/>
        <v>19.699857191874454</v>
      </c>
      <c r="AL186" s="98">
        <f t="shared" ca="1" si="817"/>
        <v>19.699857191874454</v>
      </c>
      <c r="AR186" s="16" t="str">
        <f>"WTT CO2 emissions"</f>
        <v>WTT CO2 emissions</v>
      </c>
      <c r="AS186" s="224" t="s">
        <v>388</v>
      </c>
      <c r="AT186" s="224" t="str">
        <f>_xlfn.TEXTJOIN(keydelim,TRUE,AT$20,$D186)</f>
        <v>e-Ammonia - WTT CO2 emissions</v>
      </c>
      <c r="AU186" s="98">
        <f t="shared" ref="AU186:BF186" ca="1" si="818">IFERROR(INDEX(tbl_TCO_input,MATCH(
_xlfn.TEXTJOIN(keydelim,TRUE,AU20,$D186),rows_TCO_ID,0),MATCH(AU$6,cols_TCO_input,0)),0)</f>
        <v>4.2782878391777741</v>
      </c>
      <c r="AV186" s="98">
        <f t="shared" ca="1" si="818"/>
        <v>3.8338523377262113</v>
      </c>
      <c r="AW186" s="98">
        <f t="shared" ca="1" si="818"/>
        <v>3.4969302851354476</v>
      </c>
      <c r="AX186" s="98">
        <f t="shared" ca="1" si="818"/>
        <v>3.1902808810798975</v>
      </c>
      <c r="AY186" s="98">
        <f t="shared" ca="1" si="818"/>
        <v>2.9274882644873275</v>
      </c>
      <c r="AZ186" s="98">
        <f t="shared" ca="1" si="818"/>
        <v>2.669936659106797</v>
      </c>
      <c r="BA186" s="98">
        <f t="shared" ca="1" si="818"/>
        <v>2.4763518144036567</v>
      </c>
      <c r="BB186" s="98">
        <f t="shared" ca="1" si="818"/>
        <v>2.4763518144036567</v>
      </c>
      <c r="BC186" s="98">
        <f t="shared" ca="1" si="818"/>
        <v>2.4763518144036567</v>
      </c>
      <c r="BD186" s="98">
        <f t="shared" ca="1" si="818"/>
        <v>2.4763518144036567</v>
      </c>
      <c r="BE186" s="98">
        <f t="shared" ca="1" si="818"/>
        <v>2.4763518144036567</v>
      </c>
      <c r="BF186" s="98">
        <f t="shared" ca="1" si="818"/>
        <v>2.4763518144036567</v>
      </c>
      <c r="BL186" s="16" t="str">
        <f>"WTT CO2 emissions"</f>
        <v>WTT CO2 emissions</v>
      </c>
      <c r="BM186" s="224" t="s">
        <v>388</v>
      </c>
      <c r="BN186" s="224" t="str">
        <f>_xlfn.TEXTJOIN(keydelim,TRUE,BN$20,$D186)</f>
        <v>Blue ammonia - WTT CO2 emissions</v>
      </c>
      <c r="BO186" s="98">
        <f t="shared" ref="BO186:BZ186" ca="1" si="819">IFERROR(INDEX(tbl_TCO_input,MATCH(
_xlfn.TEXTJOIN(keydelim,TRUE,BO20,$D186),rows_TCO_ID,0),MATCH(BO$6,cols_TCO_input,0)),0)</f>
        <v>23.501345970568721</v>
      </c>
      <c r="BP186" s="98">
        <f t="shared" ca="1" si="819"/>
        <v>22.068628933470897</v>
      </c>
      <c r="BQ186" s="98">
        <f t="shared" ca="1" si="819"/>
        <v>20.767167011016767</v>
      </c>
      <c r="BR186" s="98">
        <f t="shared" ca="1" si="819"/>
        <v>19.557017745231413</v>
      </c>
      <c r="BS186" s="98">
        <f t="shared" ca="1" si="819"/>
        <v>18.410393632660419</v>
      </c>
      <c r="BT186" s="98">
        <f t="shared" ca="1" si="819"/>
        <v>17.307963230338629</v>
      </c>
      <c r="BU186" s="98">
        <f t="shared" ca="1" si="819"/>
        <v>16.236277878233448</v>
      </c>
      <c r="BV186" s="98">
        <f t="shared" ca="1" si="819"/>
        <v>16.236277878233448</v>
      </c>
      <c r="BW186" s="98">
        <f t="shared" ca="1" si="819"/>
        <v>16.236277878233448</v>
      </c>
      <c r="BX186" s="98">
        <f t="shared" ca="1" si="819"/>
        <v>16.236277878233448</v>
      </c>
      <c r="BY186" s="98">
        <f t="shared" ca="1" si="819"/>
        <v>16.236277878233448</v>
      </c>
      <c r="BZ186" s="98">
        <f t="shared" ca="1" si="819"/>
        <v>16.236277878233448</v>
      </c>
      <c r="CF186" s="16" t="str">
        <f>"WTT CO2 emissions"</f>
        <v>WTT CO2 emissions</v>
      </c>
      <c r="CG186" s="224" t="s">
        <v>388</v>
      </c>
      <c r="CH186" s="224" t="str">
        <f>_xlfn.TEXTJOIN(keydelim,TRUE,CH$20,$D186)</f>
        <v>Biomethanol - WTT CO2 emissions</v>
      </c>
      <c r="CI186" s="98">
        <f t="shared" ref="CI186:CT186" ca="1" si="820">IFERROR(INDEX(tbl_TCO_input,MATCH(
_xlfn.TEXTJOIN(keydelim,TRUE,CI20,$D186),rows_TCO_ID,0),MATCH(CI$6,cols_TCO_input,0)),0)</f>
        <v>-56.387839370501666</v>
      </c>
      <c r="CJ186" s="98">
        <f t="shared" ca="1" si="820"/>
        <v>-58.52290668034027</v>
      </c>
      <c r="CK186" s="98">
        <f t="shared" ca="1" si="820"/>
        <v>-60.508252818923829</v>
      </c>
      <c r="CL186" s="98">
        <f t="shared" ca="1" si="820"/>
        <v>-62.389132930056562</v>
      </c>
      <c r="CM186" s="98">
        <f t="shared" ca="1" si="820"/>
        <v>-64.197337240904787</v>
      </c>
      <c r="CN186" s="98">
        <f t="shared" ca="1" si="820"/>
        <v>-65.954981842765505</v>
      </c>
      <c r="CO186" s="98">
        <f t="shared" ca="1" si="820"/>
        <v>-67.677452643128447</v>
      </c>
      <c r="CP186" s="98">
        <f t="shared" ca="1" si="820"/>
        <v>-67.677452643128447</v>
      </c>
      <c r="CQ186" s="98">
        <f t="shared" ca="1" si="820"/>
        <v>-67.677452643128447</v>
      </c>
      <c r="CR186" s="98">
        <f t="shared" ca="1" si="820"/>
        <v>-67.677452643128447</v>
      </c>
      <c r="CS186" s="98">
        <f t="shared" ca="1" si="820"/>
        <v>-67.677452643128447</v>
      </c>
      <c r="CT186" s="98">
        <f t="shared" ca="1" si="820"/>
        <v>-67.677452643128447</v>
      </c>
    </row>
    <row r="187" spans="3:100" outlineLevel="1" x14ac:dyDescent="0.2">
      <c r="C187" s="3"/>
      <c r="D187" s="285" t="s">
        <v>389</v>
      </c>
      <c r="E187" s="224"/>
      <c r="G187" s="52">
        <f ca="1">SUMPRODUCT(G188:G191,G$225:G$228)/1000</f>
        <v>76162.053953375245</v>
      </c>
      <c r="H187" s="52">
        <f t="shared" ref="H187:R187" ca="1" si="821">SUMPRODUCT(H188:H191,H$225:H$228)/1000</f>
        <v>76162.053953375245</v>
      </c>
      <c r="I187" s="52">
        <f t="shared" ca="1" si="821"/>
        <v>76162.053953375245</v>
      </c>
      <c r="J187" s="52">
        <f t="shared" ca="1" si="821"/>
        <v>76162.053953375245</v>
      </c>
      <c r="K187" s="52">
        <f t="shared" ca="1" si="821"/>
        <v>76162.053953375245</v>
      </c>
      <c r="L187" s="52">
        <f t="shared" ca="1" si="821"/>
        <v>76162.053953375245</v>
      </c>
      <c r="M187" s="52">
        <f t="shared" ca="1" si="821"/>
        <v>76162.053953375245</v>
      </c>
      <c r="N187" s="52">
        <f t="shared" ca="1" si="821"/>
        <v>76162.053953375245</v>
      </c>
      <c r="O187" s="52">
        <f t="shared" ca="1" si="821"/>
        <v>76162.053953375245</v>
      </c>
      <c r="P187" s="52">
        <f t="shared" ca="1" si="821"/>
        <v>76162.053953375245</v>
      </c>
      <c r="Q187" s="52">
        <f t="shared" ca="1" si="821"/>
        <v>76162.053953375245</v>
      </c>
      <c r="R187" s="52">
        <f t="shared" ca="1" si="821"/>
        <v>76162.053953375245</v>
      </c>
      <c r="X187" s="285" t="s">
        <v>389</v>
      </c>
      <c r="Y187" s="224"/>
      <c r="AA187" s="52">
        <f ca="1">SUMPRODUCT(AA188:AA191,AA$225:AA$228)/1000</f>
        <v>75420.794713521464</v>
      </c>
      <c r="AB187" s="52">
        <f t="shared" ref="AB187:AL187" ca="1" si="822">SUMPRODUCT(AB188:AB191,AB$225:AB$228)/1000</f>
        <v>75420.794713521464</v>
      </c>
      <c r="AC187" s="52">
        <f t="shared" ca="1" si="822"/>
        <v>75420.794713521464</v>
      </c>
      <c r="AD187" s="52">
        <f t="shared" ca="1" si="822"/>
        <v>75420.794713521464</v>
      </c>
      <c r="AE187" s="52">
        <f t="shared" ca="1" si="822"/>
        <v>75420.794713521464</v>
      </c>
      <c r="AF187" s="52">
        <f t="shared" ca="1" si="822"/>
        <v>75420.794713521464</v>
      </c>
      <c r="AG187" s="52">
        <f t="shared" ca="1" si="822"/>
        <v>75420.794713521464</v>
      </c>
      <c r="AH187" s="52">
        <f t="shared" ca="1" si="822"/>
        <v>75420.794713521464</v>
      </c>
      <c r="AI187" s="52">
        <f t="shared" ca="1" si="822"/>
        <v>75420.794713521464</v>
      </c>
      <c r="AJ187" s="52">
        <f t="shared" ca="1" si="822"/>
        <v>75420.794713521464</v>
      </c>
      <c r="AK187" s="52">
        <f t="shared" ca="1" si="822"/>
        <v>75420.794713521464</v>
      </c>
      <c r="AL187" s="52">
        <f t="shared" ca="1" si="822"/>
        <v>75420.794713521464</v>
      </c>
      <c r="AR187" s="285" t="s">
        <v>389</v>
      </c>
      <c r="AS187" s="224"/>
      <c r="AU187" s="52">
        <f ca="1">SUMPRODUCT(AU188:AU191,AU$225:AU$228)/1000</f>
        <v>3177.2092552693239</v>
      </c>
      <c r="AV187" s="52">
        <f t="shared" ref="AV187:BF187" ca="1" si="823">SUMPRODUCT(AV188:AV191,AV$225:AV$228)/1000</f>
        <v>3177.2092552693239</v>
      </c>
      <c r="AW187" s="52">
        <f t="shared" ca="1" si="823"/>
        <v>3177.2092552693239</v>
      </c>
      <c r="AX187" s="52">
        <f t="shared" ca="1" si="823"/>
        <v>3177.2092552693239</v>
      </c>
      <c r="AY187" s="52">
        <f t="shared" ca="1" si="823"/>
        <v>3177.2092552693239</v>
      </c>
      <c r="AZ187" s="52">
        <f t="shared" ca="1" si="823"/>
        <v>3177.2092552693239</v>
      </c>
      <c r="BA187" s="52">
        <f t="shared" ca="1" si="823"/>
        <v>3177.2092552693239</v>
      </c>
      <c r="BB187" s="52">
        <f t="shared" ca="1" si="823"/>
        <v>3177.2092552693239</v>
      </c>
      <c r="BC187" s="52">
        <f t="shared" ca="1" si="823"/>
        <v>3177.2092552693239</v>
      </c>
      <c r="BD187" s="52">
        <f t="shared" ca="1" si="823"/>
        <v>3177.2092552693239</v>
      </c>
      <c r="BE187" s="52">
        <f t="shared" ca="1" si="823"/>
        <v>3177.2092552693239</v>
      </c>
      <c r="BF187" s="52">
        <f t="shared" ca="1" si="823"/>
        <v>3177.2092552693239</v>
      </c>
      <c r="BL187" s="285" t="s">
        <v>389</v>
      </c>
      <c r="BM187" s="224"/>
      <c r="BO187" s="52">
        <f ca="1">SUMPRODUCT(BO188:BO191,BO$225:BO$228)/1000</f>
        <v>3177.2092552693239</v>
      </c>
      <c r="BP187" s="52">
        <f t="shared" ref="BP187:BZ187" ca="1" si="824">SUMPRODUCT(BP188:BP191,BP$225:BP$228)/1000</f>
        <v>3177.2092552693239</v>
      </c>
      <c r="BQ187" s="52">
        <f t="shared" ca="1" si="824"/>
        <v>3177.2092552693239</v>
      </c>
      <c r="BR187" s="52">
        <f t="shared" ca="1" si="824"/>
        <v>3177.2092552693239</v>
      </c>
      <c r="BS187" s="52">
        <f t="shared" ca="1" si="824"/>
        <v>3177.2092552693239</v>
      </c>
      <c r="BT187" s="52">
        <f t="shared" ca="1" si="824"/>
        <v>3177.2092552693239</v>
      </c>
      <c r="BU187" s="52">
        <f t="shared" ca="1" si="824"/>
        <v>3177.2092552693239</v>
      </c>
      <c r="BV187" s="52">
        <f t="shared" ca="1" si="824"/>
        <v>3177.2092552693239</v>
      </c>
      <c r="BW187" s="52">
        <f t="shared" ca="1" si="824"/>
        <v>3177.2092552693239</v>
      </c>
      <c r="BX187" s="52">
        <f t="shared" ca="1" si="824"/>
        <v>3177.2092552693239</v>
      </c>
      <c r="BY187" s="52">
        <f t="shared" ca="1" si="824"/>
        <v>3177.2092552693239</v>
      </c>
      <c r="BZ187" s="52">
        <f t="shared" ca="1" si="824"/>
        <v>3177.2092552693239</v>
      </c>
      <c r="CF187" s="285" t="s">
        <v>389</v>
      </c>
      <c r="CG187" s="224"/>
      <c r="CI187" s="52">
        <f ca="1">SUMPRODUCT(CI188:CI191,CI$225:CI$228)/1000</f>
        <v>68837.143354748056</v>
      </c>
      <c r="CJ187" s="52">
        <f t="shared" ref="CJ187:CT187" ca="1" si="825">SUMPRODUCT(CJ188:CJ191,CJ$225:CJ$228)/1000</f>
        <v>68837.143354748056</v>
      </c>
      <c r="CK187" s="52">
        <f t="shared" ca="1" si="825"/>
        <v>68837.143354748056</v>
      </c>
      <c r="CL187" s="52">
        <f t="shared" ca="1" si="825"/>
        <v>68837.143354748056</v>
      </c>
      <c r="CM187" s="52">
        <f t="shared" ca="1" si="825"/>
        <v>68837.143354748056</v>
      </c>
      <c r="CN187" s="52">
        <f t="shared" ca="1" si="825"/>
        <v>68837.143354748056</v>
      </c>
      <c r="CO187" s="52">
        <f t="shared" ca="1" si="825"/>
        <v>68837.143354748056</v>
      </c>
      <c r="CP187" s="52">
        <f t="shared" ca="1" si="825"/>
        <v>68837.143354748056</v>
      </c>
      <c r="CQ187" s="52">
        <f t="shared" ca="1" si="825"/>
        <v>68837.143354748056</v>
      </c>
      <c r="CR187" s="52">
        <f t="shared" ca="1" si="825"/>
        <v>68837.143354748056</v>
      </c>
      <c r="CS187" s="52">
        <f t="shared" ca="1" si="825"/>
        <v>68837.143354748056</v>
      </c>
      <c r="CT187" s="52">
        <f t="shared" ca="1" si="825"/>
        <v>68837.143354748056</v>
      </c>
    </row>
    <row r="188" spans="3:100" outlineLevel="1" x14ac:dyDescent="0.2">
      <c r="C188" s="3"/>
      <c r="D188" s="16" t="str">
        <f>"TTP CO2 emissions"</f>
        <v>TTP CO2 emissions</v>
      </c>
      <c r="E188" s="224" t="s">
        <v>388</v>
      </c>
      <c r="F188" s="224" t="str">
        <f>_xlfn.TEXTJOIN(keydelim,TRUE,F$15,$D188)</f>
        <v>LSFO - TTP CO2 emissions</v>
      </c>
      <c r="G188" s="98">
        <f t="shared" ref="G188:R188" ca="1" si="826">INDEX(tbl_TCO_input,MATCH(
_xlfn.TEXTJOIN(keydelim,TRUE,G15,$D188),rows_TCO_ID,0),MATCH(G$6,cols_TCO_input,0))</f>
        <v>76.779854368932035</v>
      </c>
      <c r="H188" s="98">
        <f t="shared" ca="1" si="826"/>
        <v>76.779854368932035</v>
      </c>
      <c r="I188" s="98">
        <f t="shared" ca="1" si="826"/>
        <v>76.779854368932035</v>
      </c>
      <c r="J188" s="98">
        <f t="shared" ca="1" si="826"/>
        <v>76.779854368932035</v>
      </c>
      <c r="K188" s="98">
        <f t="shared" ca="1" si="826"/>
        <v>76.779854368932035</v>
      </c>
      <c r="L188" s="98">
        <f t="shared" ca="1" si="826"/>
        <v>76.779854368932035</v>
      </c>
      <c r="M188" s="98">
        <f t="shared" ca="1" si="826"/>
        <v>76.779854368932035</v>
      </c>
      <c r="N188" s="98">
        <f t="shared" ca="1" si="826"/>
        <v>76.779854368932035</v>
      </c>
      <c r="O188" s="98">
        <f t="shared" ca="1" si="826"/>
        <v>76.779854368932035</v>
      </c>
      <c r="P188" s="98">
        <f t="shared" ca="1" si="826"/>
        <v>76.779854368932035</v>
      </c>
      <c r="Q188" s="98">
        <f t="shared" ca="1" si="826"/>
        <v>76.779854368932035</v>
      </c>
      <c r="R188" s="98">
        <f t="shared" ca="1" si="826"/>
        <v>76.779854368932035</v>
      </c>
      <c r="X188" s="16" t="str">
        <f>"TTP CO2 emissions"</f>
        <v>TTP CO2 emissions</v>
      </c>
      <c r="Y188" s="224" t="s">
        <v>388</v>
      </c>
      <c r="Z188" s="224" t="str">
        <f>_xlfn.TEXTJOIN(keydelim,TRUE,Z$15,$D188)</f>
        <v>LNG - TTP CO2 emissions</v>
      </c>
      <c r="AA188" s="98">
        <f t="shared" ref="AA188:AL188" ca="1" si="827">INDEX(tbl_TCO_input,MATCH(
_xlfn.TEXTJOIN(keydelim,TRUE,AA15,$D188),rows_TCO_ID,0),MATCH(AA$6,cols_TCO_input,0))</f>
        <v>76.026250000000005</v>
      </c>
      <c r="AB188" s="98">
        <f t="shared" ca="1" si="827"/>
        <v>76.026250000000005</v>
      </c>
      <c r="AC188" s="98">
        <f t="shared" ca="1" si="827"/>
        <v>76.026250000000005</v>
      </c>
      <c r="AD188" s="98">
        <f t="shared" ca="1" si="827"/>
        <v>76.026250000000005</v>
      </c>
      <c r="AE188" s="98">
        <f t="shared" ca="1" si="827"/>
        <v>76.026250000000005</v>
      </c>
      <c r="AF188" s="98">
        <f t="shared" ca="1" si="827"/>
        <v>76.026250000000005</v>
      </c>
      <c r="AG188" s="98">
        <f t="shared" ca="1" si="827"/>
        <v>76.026250000000005</v>
      </c>
      <c r="AH188" s="98">
        <f t="shared" ca="1" si="827"/>
        <v>76.026250000000005</v>
      </c>
      <c r="AI188" s="98">
        <f t="shared" ca="1" si="827"/>
        <v>76.026250000000005</v>
      </c>
      <c r="AJ188" s="98">
        <f t="shared" ca="1" si="827"/>
        <v>76.026250000000005</v>
      </c>
      <c r="AK188" s="98">
        <f t="shared" ca="1" si="827"/>
        <v>76.026250000000005</v>
      </c>
      <c r="AL188" s="98">
        <f t="shared" ca="1" si="827"/>
        <v>76.026250000000005</v>
      </c>
      <c r="AR188" s="16" t="str">
        <f>"TTP CO2 emissions"</f>
        <v>TTP CO2 emissions</v>
      </c>
      <c r="AS188" s="224" t="s">
        <v>388</v>
      </c>
      <c r="AT188" s="224" t="str">
        <f>_xlfn.TEXTJOIN(keydelim,TRUE,AT$15,$D188)</f>
        <v>e-Ammonia - TTP CO2 emissions</v>
      </c>
      <c r="AU188" s="98">
        <f t="shared" ref="AU188:BF188" ca="1" si="828">INDEX(tbl_TCO_input,MATCH(
_xlfn.TEXTJOIN(keydelim,TRUE,AU15,$D188),rows_TCO_ID,0),MATCH(AU$6,cols_TCO_input,0))</f>
        <v>0</v>
      </c>
      <c r="AV188" s="98">
        <f t="shared" ca="1" si="828"/>
        <v>0</v>
      </c>
      <c r="AW188" s="98">
        <f t="shared" ca="1" si="828"/>
        <v>0</v>
      </c>
      <c r="AX188" s="98">
        <f t="shared" ca="1" si="828"/>
        <v>0</v>
      </c>
      <c r="AY188" s="98">
        <f t="shared" ca="1" si="828"/>
        <v>0</v>
      </c>
      <c r="AZ188" s="98">
        <f t="shared" ca="1" si="828"/>
        <v>0</v>
      </c>
      <c r="BA188" s="98">
        <f t="shared" ca="1" si="828"/>
        <v>0</v>
      </c>
      <c r="BB188" s="98">
        <f t="shared" ca="1" si="828"/>
        <v>0</v>
      </c>
      <c r="BC188" s="98">
        <f t="shared" ca="1" si="828"/>
        <v>0</v>
      </c>
      <c r="BD188" s="98">
        <f t="shared" ca="1" si="828"/>
        <v>0</v>
      </c>
      <c r="BE188" s="98">
        <f t="shared" ca="1" si="828"/>
        <v>0</v>
      </c>
      <c r="BF188" s="98">
        <f t="shared" ca="1" si="828"/>
        <v>0</v>
      </c>
      <c r="BL188" s="16" t="str">
        <f>"TTP CO2 emissions"</f>
        <v>TTP CO2 emissions</v>
      </c>
      <c r="BM188" s="224" t="s">
        <v>388</v>
      </c>
      <c r="BN188" s="224" t="str">
        <f>_xlfn.TEXTJOIN(keydelim,TRUE,BN$15,$D188)</f>
        <v>Blue ammonia - TTP CO2 emissions</v>
      </c>
      <c r="BO188" s="98">
        <f t="shared" ref="BO188:BZ188" ca="1" si="829">INDEX(tbl_TCO_input,MATCH(
_xlfn.TEXTJOIN(keydelim,TRUE,BO15,$D188),rows_TCO_ID,0),MATCH(BO$6,cols_TCO_input,0))</f>
        <v>0</v>
      </c>
      <c r="BP188" s="98">
        <f t="shared" ca="1" si="829"/>
        <v>0</v>
      </c>
      <c r="BQ188" s="98">
        <f t="shared" ca="1" si="829"/>
        <v>0</v>
      </c>
      <c r="BR188" s="98">
        <f t="shared" ca="1" si="829"/>
        <v>0</v>
      </c>
      <c r="BS188" s="98">
        <f t="shared" ca="1" si="829"/>
        <v>0</v>
      </c>
      <c r="BT188" s="98">
        <f t="shared" ca="1" si="829"/>
        <v>0</v>
      </c>
      <c r="BU188" s="98">
        <f t="shared" ca="1" si="829"/>
        <v>0</v>
      </c>
      <c r="BV188" s="98">
        <f t="shared" ca="1" si="829"/>
        <v>0</v>
      </c>
      <c r="BW188" s="98">
        <f t="shared" ca="1" si="829"/>
        <v>0</v>
      </c>
      <c r="BX188" s="98">
        <f t="shared" ca="1" si="829"/>
        <v>0</v>
      </c>
      <c r="BY188" s="98">
        <f t="shared" ca="1" si="829"/>
        <v>0</v>
      </c>
      <c r="BZ188" s="98">
        <f t="shared" ca="1" si="829"/>
        <v>0</v>
      </c>
      <c r="CF188" s="16" t="str">
        <f>"TTP CO2 emissions"</f>
        <v>TTP CO2 emissions</v>
      </c>
      <c r="CG188" s="224" t="s">
        <v>388</v>
      </c>
      <c r="CH188" s="224" t="str">
        <f>_xlfn.TEXTJOIN(keydelim,TRUE,CH$15,$D188)</f>
        <v>Biomethanol - TTP CO2 emissions</v>
      </c>
      <c r="CI188" s="98">
        <f t="shared" ref="CI188:CT188" ca="1" si="830">INDEX(tbl_TCO_input,MATCH(
_xlfn.TEXTJOIN(keydelim,TRUE,CI15,$D188),rows_TCO_ID,0),MATCH(CI$6,cols_TCO_input,0))</f>
        <v>69.095477386934675</v>
      </c>
      <c r="CJ188" s="98">
        <f t="shared" ca="1" si="830"/>
        <v>69.095477386934675</v>
      </c>
      <c r="CK188" s="98">
        <f t="shared" ca="1" si="830"/>
        <v>69.095477386934675</v>
      </c>
      <c r="CL188" s="98">
        <f t="shared" ca="1" si="830"/>
        <v>69.095477386934675</v>
      </c>
      <c r="CM188" s="98">
        <f t="shared" ca="1" si="830"/>
        <v>69.095477386934675</v>
      </c>
      <c r="CN188" s="98">
        <f t="shared" ca="1" si="830"/>
        <v>69.095477386934675</v>
      </c>
      <c r="CO188" s="98">
        <f t="shared" ca="1" si="830"/>
        <v>69.095477386934675</v>
      </c>
      <c r="CP188" s="98">
        <f t="shared" ca="1" si="830"/>
        <v>69.095477386934675</v>
      </c>
      <c r="CQ188" s="98">
        <f t="shared" ca="1" si="830"/>
        <v>69.095477386934675</v>
      </c>
      <c r="CR188" s="98">
        <f t="shared" ca="1" si="830"/>
        <v>69.095477386934675</v>
      </c>
      <c r="CS188" s="98">
        <f t="shared" ca="1" si="830"/>
        <v>69.095477386934675</v>
      </c>
      <c r="CT188" s="98">
        <f t="shared" ca="1" si="830"/>
        <v>69.095477386934675</v>
      </c>
    </row>
    <row r="189" spans="3:100" outlineLevel="1" x14ac:dyDescent="0.2">
      <c r="C189" s="3"/>
      <c r="D189" s="16" t="str">
        <f>"TTP CO2 emissions"</f>
        <v>TTP CO2 emissions</v>
      </c>
      <c r="E189" s="224" t="s">
        <v>388</v>
      </c>
      <c r="F189" s="224" t="str">
        <f>_xlfn.TEXTJOIN(keydelim,TRUE,F$16,$D189)</f>
        <v>LSFO - TTP CO2 emissions</v>
      </c>
      <c r="G189" s="98">
        <f t="shared" ref="G189:R189" ca="1" si="831">INDEX(tbl_TCO_input,MATCH(
_xlfn.TEXTJOIN(keydelim,TRUE,G16,$D189),rows_TCO_ID,0),MATCH(G$6,cols_TCO_input,0))</f>
        <v>76.779854368932035</v>
      </c>
      <c r="H189" s="98">
        <f t="shared" ca="1" si="831"/>
        <v>76.779854368932035</v>
      </c>
      <c r="I189" s="98">
        <f t="shared" ca="1" si="831"/>
        <v>76.779854368932035</v>
      </c>
      <c r="J189" s="98">
        <f t="shared" ca="1" si="831"/>
        <v>76.779854368932035</v>
      </c>
      <c r="K189" s="98">
        <f t="shared" ca="1" si="831"/>
        <v>76.779854368932035</v>
      </c>
      <c r="L189" s="98">
        <f t="shared" ca="1" si="831"/>
        <v>76.779854368932035</v>
      </c>
      <c r="M189" s="98">
        <f t="shared" ca="1" si="831"/>
        <v>76.779854368932035</v>
      </c>
      <c r="N189" s="98">
        <f t="shared" ca="1" si="831"/>
        <v>76.779854368932035</v>
      </c>
      <c r="O189" s="98">
        <f t="shared" ca="1" si="831"/>
        <v>76.779854368932035</v>
      </c>
      <c r="P189" s="98">
        <f t="shared" ca="1" si="831"/>
        <v>76.779854368932035</v>
      </c>
      <c r="Q189" s="98">
        <f t="shared" ca="1" si="831"/>
        <v>76.779854368932035</v>
      </c>
      <c r="R189" s="98">
        <f t="shared" ca="1" si="831"/>
        <v>76.779854368932035</v>
      </c>
      <c r="X189" s="16" t="str">
        <f>"TTP CO2 emissions"</f>
        <v>TTP CO2 emissions</v>
      </c>
      <c r="Y189" s="224" t="s">
        <v>388</v>
      </c>
      <c r="Z189" s="224" t="str">
        <f>_xlfn.TEXTJOIN(keydelim,TRUE,Z$16,$D189)</f>
        <v>LSFO - TTP CO2 emissions</v>
      </c>
      <c r="AA189" s="98">
        <f t="shared" ref="AA189:AL189" ca="1" si="832">INDEX(tbl_TCO_input,MATCH(
_xlfn.TEXTJOIN(keydelim,TRUE,AA16,$D189),rows_TCO_ID,0),MATCH(AA$6,cols_TCO_input,0))</f>
        <v>76.779854368932035</v>
      </c>
      <c r="AB189" s="98">
        <f t="shared" ca="1" si="832"/>
        <v>76.779854368932035</v>
      </c>
      <c r="AC189" s="98">
        <f t="shared" ca="1" si="832"/>
        <v>76.779854368932035</v>
      </c>
      <c r="AD189" s="98">
        <f t="shared" ca="1" si="832"/>
        <v>76.779854368932035</v>
      </c>
      <c r="AE189" s="98">
        <f t="shared" ca="1" si="832"/>
        <v>76.779854368932035</v>
      </c>
      <c r="AF189" s="98">
        <f t="shared" ca="1" si="832"/>
        <v>76.779854368932035</v>
      </c>
      <c r="AG189" s="98">
        <f t="shared" ca="1" si="832"/>
        <v>76.779854368932035</v>
      </c>
      <c r="AH189" s="98">
        <f t="shared" ca="1" si="832"/>
        <v>76.779854368932035</v>
      </c>
      <c r="AI189" s="98">
        <f t="shared" ca="1" si="832"/>
        <v>76.779854368932035</v>
      </c>
      <c r="AJ189" s="98">
        <f t="shared" ca="1" si="832"/>
        <v>76.779854368932035</v>
      </c>
      <c r="AK189" s="98">
        <f t="shared" ca="1" si="832"/>
        <v>76.779854368932035</v>
      </c>
      <c r="AL189" s="98">
        <f t="shared" ca="1" si="832"/>
        <v>76.779854368932035</v>
      </c>
      <c r="AR189" s="16" t="str">
        <f>"TTP CO2 emissions"</f>
        <v>TTP CO2 emissions</v>
      </c>
      <c r="AS189" s="224" t="s">
        <v>388</v>
      </c>
      <c r="AT189" s="224" t="str">
        <f>_xlfn.TEXTJOIN(keydelim,TRUE,AT$16,$D189)</f>
        <v>Biodiesel (Pyr) - TTP CO2 emissions</v>
      </c>
      <c r="AU189" s="98">
        <f t="shared" ref="AU189:BF189" ca="1" si="833">INDEX(tbl_TCO_input,MATCH(
_xlfn.TEXTJOIN(keydelim,TRUE,AU16,$D189),rows_TCO_ID,0),MATCH(AU$6,cols_TCO_input,0))</f>
        <v>76.237236533957855</v>
      </c>
      <c r="AV189" s="98">
        <f t="shared" ca="1" si="833"/>
        <v>76.237236533957855</v>
      </c>
      <c r="AW189" s="98">
        <f t="shared" ca="1" si="833"/>
        <v>76.237236533957855</v>
      </c>
      <c r="AX189" s="98">
        <f t="shared" ca="1" si="833"/>
        <v>76.237236533957855</v>
      </c>
      <c r="AY189" s="98">
        <f t="shared" ca="1" si="833"/>
        <v>76.237236533957855</v>
      </c>
      <c r="AZ189" s="98">
        <f t="shared" ca="1" si="833"/>
        <v>76.237236533957855</v>
      </c>
      <c r="BA189" s="98">
        <f t="shared" ca="1" si="833"/>
        <v>76.237236533957855</v>
      </c>
      <c r="BB189" s="98">
        <f t="shared" ca="1" si="833"/>
        <v>76.237236533957855</v>
      </c>
      <c r="BC189" s="98">
        <f t="shared" ca="1" si="833"/>
        <v>76.237236533957855</v>
      </c>
      <c r="BD189" s="98">
        <f t="shared" ca="1" si="833"/>
        <v>76.237236533957855</v>
      </c>
      <c r="BE189" s="98">
        <f t="shared" ca="1" si="833"/>
        <v>76.237236533957855</v>
      </c>
      <c r="BF189" s="98">
        <f t="shared" ca="1" si="833"/>
        <v>76.237236533957855</v>
      </c>
      <c r="BL189" s="16" t="str">
        <f>"TTP CO2 emissions"</f>
        <v>TTP CO2 emissions</v>
      </c>
      <c r="BM189" s="224" t="s">
        <v>388</v>
      </c>
      <c r="BN189" s="224" t="str">
        <f>_xlfn.TEXTJOIN(keydelim,TRUE,BN$16,$D189)</f>
        <v>Biodiesel (Pyr) - TTP CO2 emissions</v>
      </c>
      <c r="BO189" s="98">
        <f t="shared" ref="BO189:BZ189" ca="1" si="834">INDEX(tbl_TCO_input,MATCH(
_xlfn.TEXTJOIN(keydelim,TRUE,BO16,$D189),rows_TCO_ID,0),MATCH(BO$6,cols_TCO_input,0))</f>
        <v>76.237236533957855</v>
      </c>
      <c r="BP189" s="98">
        <f t="shared" ca="1" si="834"/>
        <v>76.237236533957855</v>
      </c>
      <c r="BQ189" s="98">
        <f t="shared" ca="1" si="834"/>
        <v>76.237236533957855</v>
      </c>
      <c r="BR189" s="98">
        <f t="shared" ca="1" si="834"/>
        <v>76.237236533957855</v>
      </c>
      <c r="BS189" s="98">
        <f t="shared" ca="1" si="834"/>
        <v>76.237236533957855</v>
      </c>
      <c r="BT189" s="98">
        <f t="shared" ca="1" si="834"/>
        <v>76.237236533957855</v>
      </c>
      <c r="BU189" s="98">
        <f t="shared" ca="1" si="834"/>
        <v>76.237236533957855</v>
      </c>
      <c r="BV189" s="98">
        <f t="shared" ca="1" si="834"/>
        <v>76.237236533957855</v>
      </c>
      <c r="BW189" s="98">
        <f t="shared" ca="1" si="834"/>
        <v>76.237236533957855</v>
      </c>
      <c r="BX189" s="98">
        <f t="shared" ca="1" si="834"/>
        <v>76.237236533957855</v>
      </c>
      <c r="BY189" s="98">
        <f t="shared" ca="1" si="834"/>
        <v>76.237236533957855</v>
      </c>
      <c r="BZ189" s="98">
        <f t="shared" ca="1" si="834"/>
        <v>76.237236533957855</v>
      </c>
      <c r="CF189" s="16" t="str">
        <f>"TTP CO2 emissions"</f>
        <v>TTP CO2 emissions</v>
      </c>
      <c r="CG189" s="224" t="s">
        <v>388</v>
      </c>
      <c r="CH189" s="224" t="str">
        <f>_xlfn.TEXTJOIN(keydelim,TRUE,CH$16,$D189)</f>
        <v>Biodiesel (Pyr) - TTP CO2 emissions</v>
      </c>
      <c r="CI189" s="98">
        <f t="shared" ref="CI189:CT189" ca="1" si="835">INDEX(tbl_TCO_input,MATCH(
_xlfn.TEXTJOIN(keydelim,TRUE,CI16,$D189),rows_TCO_ID,0),MATCH(CI$6,cols_TCO_input,0))</f>
        <v>76.237236533957855</v>
      </c>
      <c r="CJ189" s="98">
        <f t="shared" ca="1" si="835"/>
        <v>76.237236533957855</v>
      </c>
      <c r="CK189" s="98">
        <f t="shared" ca="1" si="835"/>
        <v>76.237236533957855</v>
      </c>
      <c r="CL189" s="98">
        <f t="shared" ca="1" si="835"/>
        <v>76.237236533957855</v>
      </c>
      <c r="CM189" s="98">
        <f t="shared" ca="1" si="835"/>
        <v>76.237236533957855</v>
      </c>
      <c r="CN189" s="98">
        <f t="shared" ca="1" si="835"/>
        <v>76.237236533957855</v>
      </c>
      <c r="CO189" s="98">
        <f t="shared" ca="1" si="835"/>
        <v>76.237236533957855</v>
      </c>
      <c r="CP189" s="98">
        <f t="shared" ca="1" si="835"/>
        <v>76.237236533957855</v>
      </c>
      <c r="CQ189" s="98">
        <f t="shared" ca="1" si="835"/>
        <v>76.237236533957855</v>
      </c>
      <c r="CR189" s="98">
        <f t="shared" ca="1" si="835"/>
        <v>76.237236533957855</v>
      </c>
      <c r="CS189" s="98">
        <f t="shared" ca="1" si="835"/>
        <v>76.237236533957855</v>
      </c>
      <c r="CT189" s="98">
        <f t="shared" ca="1" si="835"/>
        <v>76.237236533957855</v>
      </c>
    </row>
    <row r="190" spans="3:100" outlineLevel="1" x14ac:dyDescent="0.2">
      <c r="C190" s="3"/>
      <c r="D190" s="16" t="str">
        <f>"TTP CO2 emissions"</f>
        <v>TTP CO2 emissions</v>
      </c>
      <c r="E190" s="224" t="s">
        <v>388</v>
      </c>
      <c r="F190" s="224" t="str">
        <f>_xlfn.TEXTJOIN(keydelim,TRUE,F$19,$D190)</f>
        <v>LSFO - TTP CO2 emissions</v>
      </c>
      <c r="G190" s="98">
        <f t="shared" ref="G190:R190" ca="1" si="836">INDEX(tbl_TCO_input,MATCH(
_xlfn.TEXTJOIN(keydelim,TRUE,G19,$D190),rows_TCO_ID,0),MATCH(G$6,cols_TCO_input,0))</f>
        <v>76.779854368932035</v>
      </c>
      <c r="H190" s="98">
        <f t="shared" ca="1" si="836"/>
        <v>76.779854368932035</v>
      </c>
      <c r="I190" s="98">
        <f t="shared" ca="1" si="836"/>
        <v>76.779854368932035</v>
      </c>
      <c r="J190" s="98">
        <f t="shared" ca="1" si="836"/>
        <v>76.779854368932035</v>
      </c>
      <c r="K190" s="98">
        <f t="shared" ca="1" si="836"/>
        <v>76.779854368932035</v>
      </c>
      <c r="L190" s="98">
        <f t="shared" ca="1" si="836"/>
        <v>76.779854368932035</v>
      </c>
      <c r="M190" s="98">
        <f t="shared" ca="1" si="836"/>
        <v>76.779854368932035</v>
      </c>
      <c r="N190" s="98">
        <f t="shared" ca="1" si="836"/>
        <v>76.779854368932035</v>
      </c>
      <c r="O190" s="98">
        <f t="shared" ca="1" si="836"/>
        <v>76.779854368932035</v>
      </c>
      <c r="P190" s="98">
        <f t="shared" ca="1" si="836"/>
        <v>76.779854368932035</v>
      </c>
      <c r="Q190" s="98">
        <f t="shared" ca="1" si="836"/>
        <v>76.779854368932035</v>
      </c>
      <c r="R190" s="98">
        <f t="shared" ca="1" si="836"/>
        <v>76.779854368932035</v>
      </c>
      <c r="X190" s="16" t="str">
        <f>"TTP CO2 emissions"</f>
        <v>TTP CO2 emissions</v>
      </c>
      <c r="Y190" s="224" t="s">
        <v>388</v>
      </c>
      <c r="Z190" s="224" t="str">
        <f>_xlfn.TEXTJOIN(keydelim,TRUE,Z$19,$D190)</f>
        <v>LNG - TTP CO2 emissions</v>
      </c>
      <c r="AA190" s="98">
        <f t="shared" ref="AA190:AL190" ca="1" si="837">INDEX(tbl_TCO_input,MATCH(
_xlfn.TEXTJOIN(keydelim,TRUE,AA19,$D190),rows_TCO_ID,0),MATCH(AA$6,cols_TCO_input,0))</f>
        <v>76.026250000000005</v>
      </c>
      <c r="AB190" s="98">
        <f t="shared" ca="1" si="837"/>
        <v>76.026250000000005</v>
      </c>
      <c r="AC190" s="98">
        <f t="shared" ca="1" si="837"/>
        <v>76.026250000000005</v>
      </c>
      <c r="AD190" s="98">
        <f t="shared" ca="1" si="837"/>
        <v>76.026250000000005</v>
      </c>
      <c r="AE190" s="98">
        <f t="shared" ca="1" si="837"/>
        <v>76.026250000000005</v>
      </c>
      <c r="AF190" s="98">
        <f t="shared" ca="1" si="837"/>
        <v>76.026250000000005</v>
      </c>
      <c r="AG190" s="98">
        <f t="shared" ca="1" si="837"/>
        <v>76.026250000000005</v>
      </c>
      <c r="AH190" s="98">
        <f t="shared" ca="1" si="837"/>
        <v>76.026250000000005</v>
      </c>
      <c r="AI190" s="98">
        <f t="shared" ca="1" si="837"/>
        <v>76.026250000000005</v>
      </c>
      <c r="AJ190" s="98">
        <f t="shared" ca="1" si="837"/>
        <v>76.026250000000005</v>
      </c>
      <c r="AK190" s="98">
        <f t="shared" ca="1" si="837"/>
        <v>76.026250000000005</v>
      </c>
      <c r="AL190" s="98">
        <f t="shared" ca="1" si="837"/>
        <v>76.026250000000005</v>
      </c>
      <c r="AR190" s="16" t="str">
        <f>"TTP CO2 emissions"</f>
        <v>TTP CO2 emissions</v>
      </c>
      <c r="AS190" s="224" t="s">
        <v>388</v>
      </c>
      <c r="AT190" s="224" t="str">
        <f>_xlfn.TEXTJOIN(keydelim,TRUE,AT$19,$D190)</f>
        <v>e-Ammonia - TTP CO2 emissions</v>
      </c>
      <c r="AU190" s="98">
        <f t="shared" ref="AU190:BF190" ca="1" si="838">INDEX(tbl_TCO_input,MATCH(
_xlfn.TEXTJOIN(keydelim,TRUE,AU19,$D190),rows_TCO_ID,0),MATCH(AU$6,cols_TCO_input,0))</f>
        <v>0</v>
      </c>
      <c r="AV190" s="98">
        <f t="shared" ca="1" si="838"/>
        <v>0</v>
      </c>
      <c r="AW190" s="98">
        <f t="shared" ca="1" si="838"/>
        <v>0</v>
      </c>
      <c r="AX190" s="98">
        <f t="shared" ca="1" si="838"/>
        <v>0</v>
      </c>
      <c r="AY190" s="98">
        <f t="shared" ca="1" si="838"/>
        <v>0</v>
      </c>
      <c r="AZ190" s="98">
        <f t="shared" ca="1" si="838"/>
        <v>0</v>
      </c>
      <c r="BA190" s="98">
        <f t="shared" ca="1" si="838"/>
        <v>0</v>
      </c>
      <c r="BB190" s="98">
        <f t="shared" ca="1" si="838"/>
        <v>0</v>
      </c>
      <c r="BC190" s="98">
        <f t="shared" ca="1" si="838"/>
        <v>0</v>
      </c>
      <c r="BD190" s="98">
        <f t="shared" ca="1" si="838"/>
        <v>0</v>
      </c>
      <c r="BE190" s="98">
        <f t="shared" ca="1" si="838"/>
        <v>0</v>
      </c>
      <c r="BF190" s="98">
        <f t="shared" ca="1" si="838"/>
        <v>0</v>
      </c>
      <c r="BL190" s="16" t="str">
        <f>"TTP CO2 emissions"</f>
        <v>TTP CO2 emissions</v>
      </c>
      <c r="BM190" s="224" t="s">
        <v>388</v>
      </c>
      <c r="BN190" s="224" t="str">
        <f>_xlfn.TEXTJOIN(keydelim,TRUE,BN$19,$D190)</f>
        <v>Blue ammonia - TTP CO2 emissions</v>
      </c>
      <c r="BO190" s="98">
        <f t="shared" ref="BO190:BZ190" ca="1" si="839">INDEX(tbl_TCO_input,MATCH(
_xlfn.TEXTJOIN(keydelim,TRUE,BO19,$D190),rows_TCO_ID,0),MATCH(BO$6,cols_TCO_input,0))</f>
        <v>0</v>
      </c>
      <c r="BP190" s="98">
        <f t="shared" ca="1" si="839"/>
        <v>0</v>
      </c>
      <c r="BQ190" s="98">
        <f t="shared" ca="1" si="839"/>
        <v>0</v>
      </c>
      <c r="BR190" s="98">
        <f t="shared" ca="1" si="839"/>
        <v>0</v>
      </c>
      <c r="BS190" s="98">
        <f t="shared" ca="1" si="839"/>
        <v>0</v>
      </c>
      <c r="BT190" s="98">
        <f t="shared" ca="1" si="839"/>
        <v>0</v>
      </c>
      <c r="BU190" s="98">
        <f t="shared" ca="1" si="839"/>
        <v>0</v>
      </c>
      <c r="BV190" s="98">
        <f t="shared" ca="1" si="839"/>
        <v>0</v>
      </c>
      <c r="BW190" s="98">
        <f t="shared" ca="1" si="839"/>
        <v>0</v>
      </c>
      <c r="BX190" s="98">
        <f t="shared" ca="1" si="839"/>
        <v>0</v>
      </c>
      <c r="BY190" s="98">
        <f t="shared" ca="1" si="839"/>
        <v>0</v>
      </c>
      <c r="BZ190" s="98">
        <f t="shared" ca="1" si="839"/>
        <v>0</v>
      </c>
      <c r="CF190" s="16" t="str">
        <f>"TTP CO2 emissions"</f>
        <v>TTP CO2 emissions</v>
      </c>
      <c r="CG190" s="224" t="s">
        <v>388</v>
      </c>
      <c r="CH190" s="224" t="str">
        <f>_xlfn.TEXTJOIN(keydelim,TRUE,CH$19,$D190)</f>
        <v>Biomethanol - TTP CO2 emissions</v>
      </c>
      <c r="CI190" s="98">
        <f t="shared" ref="CI190:CT190" ca="1" si="840">INDEX(tbl_TCO_input,MATCH(
_xlfn.TEXTJOIN(keydelim,TRUE,CI19,$D190),rows_TCO_ID,0),MATCH(CI$6,cols_TCO_input,0))</f>
        <v>69.095477386934675</v>
      </c>
      <c r="CJ190" s="98">
        <f t="shared" ca="1" si="840"/>
        <v>69.095477386934675</v>
      </c>
      <c r="CK190" s="98">
        <f t="shared" ca="1" si="840"/>
        <v>69.095477386934675</v>
      </c>
      <c r="CL190" s="98">
        <f t="shared" ca="1" si="840"/>
        <v>69.095477386934675</v>
      </c>
      <c r="CM190" s="98">
        <f t="shared" ca="1" si="840"/>
        <v>69.095477386934675</v>
      </c>
      <c r="CN190" s="98">
        <f t="shared" ca="1" si="840"/>
        <v>69.095477386934675</v>
      </c>
      <c r="CO190" s="98">
        <f t="shared" ca="1" si="840"/>
        <v>69.095477386934675</v>
      </c>
      <c r="CP190" s="98">
        <f t="shared" ca="1" si="840"/>
        <v>69.095477386934675</v>
      </c>
      <c r="CQ190" s="98">
        <f t="shared" ca="1" si="840"/>
        <v>69.095477386934675</v>
      </c>
      <c r="CR190" s="98">
        <f t="shared" ca="1" si="840"/>
        <v>69.095477386934675</v>
      </c>
      <c r="CS190" s="98">
        <f t="shared" ca="1" si="840"/>
        <v>69.095477386934675</v>
      </c>
      <c r="CT190" s="98">
        <f t="shared" ca="1" si="840"/>
        <v>69.095477386934675</v>
      </c>
    </row>
    <row r="191" spans="3:100" outlineLevel="1" x14ac:dyDescent="0.2">
      <c r="C191" s="3"/>
      <c r="D191" s="16" t="str">
        <f>"TTP CO2 emissions"</f>
        <v>TTP CO2 emissions</v>
      </c>
      <c r="E191" s="224" t="s">
        <v>388</v>
      </c>
      <c r="F191" s="224" t="str">
        <f>_xlfn.TEXTJOIN(keydelim,TRUE,F$20,$D191)</f>
        <v>LSFO - TTP CO2 emissions</v>
      </c>
      <c r="G191" s="98">
        <f t="shared" ref="G191:R191" ca="1" si="841">INDEX(tbl_TCO_input,MATCH(
_xlfn.TEXTJOIN(keydelim,TRUE,G20,$D191),rows_TCO_ID,0),MATCH(G$6,cols_TCO_input,0))</f>
        <v>76.779854368932035</v>
      </c>
      <c r="H191" s="98">
        <f t="shared" ca="1" si="841"/>
        <v>76.779854368932035</v>
      </c>
      <c r="I191" s="98">
        <f t="shared" ca="1" si="841"/>
        <v>76.779854368932035</v>
      </c>
      <c r="J191" s="98">
        <f t="shared" ca="1" si="841"/>
        <v>76.779854368932035</v>
      </c>
      <c r="K191" s="98">
        <f t="shared" ca="1" si="841"/>
        <v>76.779854368932035</v>
      </c>
      <c r="L191" s="98">
        <f t="shared" ca="1" si="841"/>
        <v>76.779854368932035</v>
      </c>
      <c r="M191" s="98">
        <f t="shared" ca="1" si="841"/>
        <v>76.779854368932035</v>
      </c>
      <c r="N191" s="98">
        <f t="shared" ca="1" si="841"/>
        <v>76.779854368932035</v>
      </c>
      <c r="O191" s="98">
        <f t="shared" ca="1" si="841"/>
        <v>76.779854368932035</v>
      </c>
      <c r="P191" s="98">
        <f t="shared" ca="1" si="841"/>
        <v>76.779854368932035</v>
      </c>
      <c r="Q191" s="98">
        <f t="shared" ca="1" si="841"/>
        <v>76.779854368932035</v>
      </c>
      <c r="R191" s="98">
        <f t="shared" ca="1" si="841"/>
        <v>76.779854368932035</v>
      </c>
      <c r="X191" s="16" t="str">
        <f>"TTP CO2 emissions"</f>
        <v>TTP CO2 emissions</v>
      </c>
      <c r="Y191" s="224" t="s">
        <v>388</v>
      </c>
      <c r="Z191" s="224" t="str">
        <f>_xlfn.TEXTJOIN(keydelim,TRUE,Z$20,$D191)</f>
        <v>LNG - TTP CO2 emissions</v>
      </c>
      <c r="AA191" s="98">
        <f t="shared" ref="AA191:AL191" ca="1" si="842">INDEX(tbl_TCO_input,MATCH(
_xlfn.TEXTJOIN(keydelim,TRUE,AA20,$D191),rows_TCO_ID,0),MATCH(AA$6,cols_TCO_input,0))</f>
        <v>76.026250000000005</v>
      </c>
      <c r="AB191" s="98">
        <f t="shared" ca="1" si="842"/>
        <v>76.026250000000005</v>
      </c>
      <c r="AC191" s="98">
        <f t="shared" ca="1" si="842"/>
        <v>76.026250000000005</v>
      </c>
      <c r="AD191" s="98">
        <f t="shared" ca="1" si="842"/>
        <v>76.026250000000005</v>
      </c>
      <c r="AE191" s="98">
        <f t="shared" ca="1" si="842"/>
        <v>76.026250000000005</v>
      </c>
      <c r="AF191" s="98">
        <f t="shared" ca="1" si="842"/>
        <v>76.026250000000005</v>
      </c>
      <c r="AG191" s="98">
        <f t="shared" ca="1" si="842"/>
        <v>76.026250000000005</v>
      </c>
      <c r="AH191" s="98">
        <f t="shared" ca="1" si="842"/>
        <v>76.026250000000005</v>
      </c>
      <c r="AI191" s="98">
        <f t="shared" ca="1" si="842"/>
        <v>76.026250000000005</v>
      </c>
      <c r="AJ191" s="98">
        <f t="shared" ca="1" si="842"/>
        <v>76.026250000000005</v>
      </c>
      <c r="AK191" s="98">
        <f t="shared" ca="1" si="842"/>
        <v>76.026250000000005</v>
      </c>
      <c r="AL191" s="98">
        <f t="shared" ca="1" si="842"/>
        <v>76.026250000000005</v>
      </c>
      <c r="AR191" s="16" t="str">
        <f>"TTP CO2 emissions"</f>
        <v>TTP CO2 emissions</v>
      </c>
      <c r="AS191" s="224" t="s">
        <v>388</v>
      </c>
      <c r="AT191" s="224" t="str">
        <f>_xlfn.TEXTJOIN(keydelim,TRUE,AT$20,$D191)</f>
        <v>e-Ammonia - TTP CO2 emissions</v>
      </c>
      <c r="AU191" s="98">
        <f t="shared" ref="AU191:BF191" ca="1" si="843">INDEX(tbl_TCO_input,MATCH(
_xlfn.TEXTJOIN(keydelim,TRUE,AU20,$D191),rows_TCO_ID,0),MATCH(AU$6,cols_TCO_input,0))</f>
        <v>0</v>
      </c>
      <c r="AV191" s="98">
        <f t="shared" ca="1" si="843"/>
        <v>0</v>
      </c>
      <c r="AW191" s="98">
        <f t="shared" ca="1" si="843"/>
        <v>0</v>
      </c>
      <c r="AX191" s="98">
        <f t="shared" ca="1" si="843"/>
        <v>0</v>
      </c>
      <c r="AY191" s="98">
        <f t="shared" ca="1" si="843"/>
        <v>0</v>
      </c>
      <c r="AZ191" s="98">
        <f t="shared" ca="1" si="843"/>
        <v>0</v>
      </c>
      <c r="BA191" s="98">
        <f t="shared" ca="1" si="843"/>
        <v>0</v>
      </c>
      <c r="BB191" s="98">
        <f t="shared" ca="1" si="843"/>
        <v>0</v>
      </c>
      <c r="BC191" s="98">
        <f t="shared" ca="1" si="843"/>
        <v>0</v>
      </c>
      <c r="BD191" s="98">
        <f t="shared" ca="1" si="843"/>
        <v>0</v>
      </c>
      <c r="BE191" s="98">
        <f t="shared" ca="1" si="843"/>
        <v>0</v>
      </c>
      <c r="BF191" s="98">
        <f t="shared" ca="1" si="843"/>
        <v>0</v>
      </c>
      <c r="BL191" s="16" t="str">
        <f>"TTP CO2 emissions"</f>
        <v>TTP CO2 emissions</v>
      </c>
      <c r="BM191" s="224" t="s">
        <v>388</v>
      </c>
      <c r="BN191" s="224" t="str">
        <f>_xlfn.TEXTJOIN(keydelim,TRUE,BN$20,$D191)</f>
        <v>Blue ammonia - TTP CO2 emissions</v>
      </c>
      <c r="BO191" s="98">
        <f t="shared" ref="BO191:BZ191" ca="1" si="844">INDEX(tbl_TCO_input,MATCH(
_xlfn.TEXTJOIN(keydelim,TRUE,BO20,$D191),rows_TCO_ID,0),MATCH(BO$6,cols_TCO_input,0))</f>
        <v>0</v>
      </c>
      <c r="BP191" s="98">
        <f t="shared" ca="1" si="844"/>
        <v>0</v>
      </c>
      <c r="BQ191" s="98">
        <f t="shared" ca="1" si="844"/>
        <v>0</v>
      </c>
      <c r="BR191" s="98">
        <f t="shared" ca="1" si="844"/>
        <v>0</v>
      </c>
      <c r="BS191" s="98">
        <f t="shared" ca="1" si="844"/>
        <v>0</v>
      </c>
      <c r="BT191" s="98">
        <f t="shared" ca="1" si="844"/>
        <v>0</v>
      </c>
      <c r="BU191" s="98">
        <f t="shared" ca="1" si="844"/>
        <v>0</v>
      </c>
      <c r="BV191" s="98">
        <f t="shared" ca="1" si="844"/>
        <v>0</v>
      </c>
      <c r="BW191" s="98">
        <f t="shared" ca="1" si="844"/>
        <v>0</v>
      </c>
      <c r="BX191" s="98">
        <f t="shared" ca="1" si="844"/>
        <v>0</v>
      </c>
      <c r="BY191" s="98">
        <f t="shared" ca="1" si="844"/>
        <v>0</v>
      </c>
      <c r="BZ191" s="98">
        <f t="shared" ca="1" si="844"/>
        <v>0</v>
      </c>
      <c r="CF191" s="16" t="str">
        <f>"TTP CO2 emissions"</f>
        <v>TTP CO2 emissions</v>
      </c>
      <c r="CG191" s="224" t="s">
        <v>388</v>
      </c>
      <c r="CH191" s="224" t="str">
        <f>_xlfn.TEXTJOIN(keydelim,TRUE,CH$20,$D191)</f>
        <v>Biomethanol - TTP CO2 emissions</v>
      </c>
      <c r="CI191" s="98">
        <f t="shared" ref="CI191:CT191" ca="1" si="845">INDEX(tbl_TCO_input,MATCH(
_xlfn.TEXTJOIN(keydelim,TRUE,CI20,$D191),rows_TCO_ID,0),MATCH(CI$6,cols_TCO_input,0))</f>
        <v>69.095477386934675</v>
      </c>
      <c r="CJ191" s="98">
        <f t="shared" ca="1" si="845"/>
        <v>69.095477386934675</v>
      </c>
      <c r="CK191" s="98">
        <f t="shared" ca="1" si="845"/>
        <v>69.095477386934675</v>
      </c>
      <c r="CL191" s="98">
        <f t="shared" ca="1" si="845"/>
        <v>69.095477386934675</v>
      </c>
      <c r="CM191" s="98">
        <f t="shared" ca="1" si="845"/>
        <v>69.095477386934675</v>
      </c>
      <c r="CN191" s="98">
        <f t="shared" ca="1" si="845"/>
        <v>69.095477386934675</v>
      </c>
      <c r="CO191" s="98">
        <f t="shared" ca="1" si="845"/>
        <v>69.095477386934675</v>
      </c>
      <c r="CP191" s="98">
        <f t="shared" ca="1" si="845"/>
        <v>69.095477386934675</v>
      </c>
      <c r="CQ191" s="98">
        <f t="shared" ca="1" si="845"/>
        <v>69.095477386934675</v>
      </c>
      <c r="CR191" s="98">
        <f t="shared" ca="1" si="845"/>
        <v>69.095477386934675</v>
      </c>
      <c r="CS191" s="98">
        <f t="shared" ca="1" si="845"/>
        <v>69.095477386934675</v>
      </c>
      <c r="CT191" s="98">
        <f t="shared" ca="1" si="845"/>
        <v>69.095477386934675</v>
      </c>
    </row>
    <row r="192" spans="3:100" x14ac:dyDescent="0.2">
      <c r="C192" s="3"/>
      <c r="D192" s="58"/>
      <c r="E192" s="224"/>
      <c r="G192" s="52"/>
      <c r="H192" s="52"/>
      <c r="I192" s="52"/>
      <c r="J192" s="52"/>
      <c r="K192" s="52"/>
      <c r="L192" s="52"/>
      <c r="M192" s="52"/>
      <c r="N192" s="52"/>
      <c r="O192" s="52"/>
      <c r="P192" s="52"/>
      <c r="Q192" s="52"/>
      <c r="R192" s="52"/>
      <c r="X192" s="58"/>
      <c r="Y192" s="224"/>
      <c r="AA192" s="52"/>
      <c r="AB192" s="52"/>
      <c r="AC192" s="52"/>
      <c r="AD192" s="52"/>
      <c r="AE192" s="52"/>
      <c r="AF192" s="52"/>
      <c r="AG192" s="52"/>
      <c r="AH192" s="52"/>
      <c r="AI192" s="52"/>
      <c r="AJ192" s="52"/>
      <c r="AK192" s="52"/>
      <c r="AL192" s="52"/>
      <c r="AR192" s="58"/>
      <c r="AS192" s="224"/>
      <c r="AU192" s="52"/>
      <c r="AV192" s="52"/>
      <c r="AW192" s="52"/>
      <c r="AX192" s="52"/>
      <c r="AY192" s="52"/>
      <c r="AZ192" s="52"/>
      <c r="BA192" s="52"/>
      <c r="BB192" s="52"/>
      <c r="BC192" s="52"/>
      <c r="BD192" s="52"/>
      <c r="BE192" s="52"/>
      <c r="BF192" s="52"/>
      <c r="BL192" s="58"/>
      <c r="BM192" s="224"/>
      <c r="BO192" s="52"/>
      <c r="BP192" s="52"/>
      <c r="BQ192" s="52"/>
      <c r="BR192" s="52"/>
      <c r="BS192" s="52"/>
      <c r="BT192" s="52"/>
      <c r="BU192" s="52"/>
      <c r="BV192" s="52"/>
      <c r="BW192" s="52"/>
      <c r="BX192" s="52"/>
      <c r="BY192" s="52"/>
      <c r="BZ192" s="52"/>
      <c r="CF192" s="58"/>
      <c r="CG192" s="224"/>
      <c r="CI192" s="52"/>
      <c r="CJ192" s="52"/>
      <c r="CK192" s="52"/>
      <c r="CL192" s="52"/>
      <c r="CM192" s="52"/>
      <c r="CN192" s="52"/>
      <c r="CO192" s="52"/>
      <c r="CP192" s="52"/>
      <c r="CQ192" s="52"/>
      <c r="CR192" s="52"/>
      <c r="CS192" s="52"/>
      <c r="CT192" s="52"/>
    </row>
    <row r="193" spans="2:100" s="280" customFormat="1" x14ac:dyDescent="0.2">
      <c r="B193" s="294" t="s">
        <v>240</v>
      </c>
      <c r="C193" s="297"/>
      <c r="E193" s="295"/>
      <c r="F193" s="295"/>
      <c r="G193" s="311"/>
      <c r="H193" s="311"/>
      <c r="I193" s="311"/>
      <c r="J193" s="311"/>
      <c r="K193" s="311"/>
      <c r="L193" s="311"/>
      <c r="M193" s="311"/>
      <c r="N193" s="311"/>
      <c r="O193" s="311"/>
      <c r="P193" s="311"/>
      <c r="Q193" s="311"/>
      <c r="R193" s="311"/>
      <c r="Y193" s="295"/>
      <c r="Z193" s="295"/>
      <c r="AA193" s="311"/>
      <c r="AB193" s="311"/>
      <c r="AC193" s="311"/>
      <c r="AD193" s="311"/>
      <c r="AE193" s="311"/>
      <c r="AF193" s="311"/>
      <c r="AG193" s="311"/>
      <c r="AH193" s="311"/>
      <c r="AI193" s="311"/>
      <c r="AJ193" s="311"/>
      <c r="AK193" s="311"/>
      <c r="AL193" s="311"/>
      <c r="AS193" s="295"/>
      <c r="AT193" s="295"/>
      <c r="AU193" s="311"/>
      <c r="AV193" s="311"/>
      <c r="AW193" s="311"/>
      <c r="AX193" s="311"/>
      <c r="AY193" s="311"/>
      <c r="AZ193" s="311"/>
      <c r="BA193" s="311"/>
      <c r="BB193" s="311"/>
      <c r="BC193" s="311"/>
      <c r="BD193" s="311"/>
      <c r="BE193" s="311"/>
      <c r="BF193" s="311"/>
      <c r="BG193" s="4"/>
      <c r="BH193" s="4"/>
      <c r="BM193" s="295"/>
      <c r="BN193" s="295"/>
      <c r="BO193" s="311"/>
      <c r="BP193" s="311"/>
      <c r="BQ193" s="311"/>
      <c r="BR193" s="311"/>
      <c r="BS193" s="311"/>
      <c r="BT193" s="311"/>
      <c r="BU193" s="311"/>
      <c r="BV193" s="311"/>
      <c r="BW193" s="311"/>
      <c r="BX193" s="311"/>
      <c r="BY193" s="311"/>
      <c r="BZ193" s="311"/>
      <c r="CA193" s="4"/>
      <c r="CB193" s="4"/>
      <c r="CG193" s="295"/>
      <c r="CH193" s="295"/>
      <c r="CI193" s="311"/>
      <c r="CJ193" s="311"/>
      <c r="CK193" s="311"/>
      <c r="CL193" s="311"/>
      <c r="CM193" s="311"/>
      <c r="CN193" s="311"/>
      <c r="CO193" s="311"/>
      <c r="CP193" s="311"/>
      <c r="CQ193" s="311"/>
      <c r="CR193" s="311"/>
      <c r="CS193" s="311"/>
      <c r="CT193" s="311"/>
      <c r="CU193" s="4"/>
      <c r="CV193" s="4"/>
    </row>
    <row r="194" spans="2:100" s="266" customFormat="1" hidden="1" outlineLevel="1" x14ac:dyDescent="0.2">
      <c r="B194" s="285"/>
      <c r="C194" s="285"/>
      <c r="D194" s="266" t="s">
        <v>240</v>
      </c>
      <c r="E194" s="282" t="s">
        <v>211</v>
      </c>
      <c r="F194" s="282"/>
      <c r="G194" s="289">
        <f ca="1">G195*G196</f>
        <v>0</v>
      </c>
      <c r="H194" s="289">
        <f ca="1">H195*H196</f>
        <v>0</v>
      </c>
      <c r="I194" s="289">
        <f t="shared" ref="I194:R194" ca="1" si="846">I195*I196</f>
        <v>0</v>
      </c>
      <c r="J194" s="289">
        <f t="shared" ca="1" si="846"/>
        <v>0</v>
      </c>
      <c r="K194" s="289">
        <f t="shared" ca="1" si="846"/>
        <v>0</v>
      </c>
      <c r="L194" s="289">
        <f t="shared" ca="1" si="846"/>
        <v>0</v>
      </c>
      <c r="M194" s="289">
        <f t="shared" ca="1" si="846"/>
        <v>0</v>
      </c>
      <c r="N194" s="289">
        <f t="shared" ca="1" si="846"/>
        <v>0</v>
      </c>
      <c r="O194" s="289">
        <f t="shared" ca="1" si="846"/>
        <v>0</v>
      </c>
      <c r="P194" s="289">
        <f t="shared" ca="1" si="846"/>
        <v>0</v>
      </c>
      <c r="Q194" s="289">
        <f t="shared" ca="1" si="846"/>
        <v>0</v>
      </c>
      <c r="R194" s="289">
        <f t="shared" ca="1" si="846"/>
        <v>0</v>
      </c>
      <c r="X194" s="266" t="s">
        <v>240</v>
      </c>
      <c r="Y194" s="282" t="s">
        <v>211</v>
      </c>
      <c r="Z194" s="282"/>
      <c r="AA194" s="289">
        <f ca="1">AA195*AA196</f>
        <v>270000.00000000012</v>
      </c>
      <c r="AB194" s="289">
        <f ca="1">AB195*AB196</f>
        <v>270000.00000000012</v>
      </c>
      <c r="AC194" s="289">
        <f t="shared" ref="AC194:AL194" ca="1" si="847">AC195*AC196</f>
        <v>270000.00000000012</v>
      </c>
      <c r="AD194" s="289">
        <f t="shared" ca="1" si="847"/>
        <v>270000.00000000012</v>
      </c>
      <c r="AE194" s="289">
        <f t="shared" ca="1" si="847"/>
        <v>270000.00000000012</v>
      </c>
      <c r="AF194" s="289">
        <f t="shared" ca="1" si="847"/>
        <v>270000.00000000012</v>
      </c>
      <c r="AG194" s="289">
        <f t="shared" ca="1" si="847"/>
        <v>270000.00000000012</v>
      </c>
      <c r="AH194" s="289">
        <f t="shared" ca="1" si="847"/>
        <v>270000.00000000012</v>
      </c>
      <c r="AI194" s="289">
        <f t="shared" ca="1" si="847"/>
        <v>270000.00000000012</v>
      </c>
      <c r="AJ194" s="289">
        <f t="shared" ca="1" si="847"/>
        <v>270000.00000000012</v>
      </c>
      <c r="AK194" s="289">
        <f t="shared" ca="1" si="847"/>
        <v>270000.00000000012</v>
      </c>
      <c r="AL194" s="289">
        <f t="shared" ca="1" si="847"/>
        <v>270000.00000000012</v>
      </c>
      <c r="AR194" s="266" t="s">
        <v>240</v>
      </c>
      <c r="AS194" s="282" t="s">
        <v>211</v>
      </c>
      <c r="AT194" s="282"/>
      <c r="AU194" s="289">
        <f ca="1">AU195*AU196</f>
        <v>0</v>
      </c>
      <c r="AV194" s="289">
        <f ca="1">AV195*AV196</f>
        <v>0</v>
      </c>
      <c r="AW194" s="289">
        <f t="shared" ref="AW194:BF194" ca="1" si="848">AW195*AW196</f>
        <v>0</v>
      </c>
      <c r="AX194" s="289">
        <f t="shared" ca="1" si="848"/>
        <v>0</v>
      </c>
      <c r="AY194" s="289">
        <f t="shared" ca="1" si="848"/>
        <v>0</v>
      </c>
      <c r="AZ194" s="289">
        <f t="shared" ca="1" si="848"/>
        <v>0</v>
      </c>
      <c r="BA194" s="289">
        <f t="shared" ca="1" si="848"/>
        <v>0</v>
      </c>
      <c r="BB194" s="289">
        <f t="shared" ca="1" si="848"/>
        <v>0</v>
      </c>
      <c r="BC194" s="289">
        <f t="shared" ca="1" si="848"/>
        <v>0</v>
      </c>
      <c r="BD194" s="289">
        <f t="shared" ca="1" si="848"/>
        <v>0</v>
      </c>
      <c r="BE194" s="289">
        <f t="shared" ca="1" si="848"/>
        <v>0</v>
      </c>
      <c r="BF194" s="289">
        <f t="shared" ca="1" si="848"/>
        <v>0</v>
      </c>
      <c r="BG194"/>
      <c r="BH194"/>
      <c r="BL194" s="266" t="s">
        <v>240</v>
      </c>
      <c r="BM194" s="282" t="s">
        <v>211</v>
      </c>
      <c r="BN194" s="282"/>
      <c r="BO194" s="289">
        <f ca="1">BO195*BO196</f>
        <v>0</v>
      </c>
      <c r="BP194" s="289">
        <f ca="1">BP195*BP196</f>
        <v>0</v>
      </c>
      <c r="BQ194" s="289">
        <f t="shared" ref="BQ194:BZ194" ca="1" si="849">BQ195*BQ196</f>
        <v>0</v>
      </c>
      <c r="BR194" s="289">
        <f t="shared" ca="1" si="849"/>
        <v>0</v>
      </c>
      <c r="BS194" s="289">
        <f t="shared" ca="1" si="849"/>
        <v>0</v>
      </c>
      <c r="BT194" s="289">
        <f t="shared" ca="1" si="849"/>
        <v>0</v>
      </c>
      <c r="BU194" s="289">
        <f t="shared" ca="1" si="849"/>
        <v>0</v>
      </c>
      <c r="BV194" s="289">
        <f t="shared" ca="1" si="849"/>
        <v>0</v>
      </c>
      <c r="BW194" s="289">
        <f t="shared" ca="1" si="849"/>
        <v>0</v>
      </c>
      <c r="BX194" s="289">
        <f t="shared" ca="1" si="849"/>
        <v>0</v>
      </c>
      <c r="BY194" s="289">
        <f t="shared" ca="1" si="849"/>
        <v>0</v>
      </c>
      <c r="BZ194" s="289">
        <f t="shared" ca="1" si="849"/>
        <v>0</v>
      </c>
      <c r="CA194"/>
      <c r="CB194"/>
      <c r="CF194" s="266" t="s">
        <v>240</v>
      </c>
      <c r="CG194" s="282" t="s">
        <v>211</v>
      </c>
      <c r="CH194" s="282"/>
      <c r="CI194" s="289">
        <f ca="1">CI195*CI196</f>
        <v>0</v>
      </c>
      <c r="CJ194" s="289">
        <f ca="1">CJ195*CJ196</f>
        <v>0</v>
      </c>
      <c r="CK194" s="289">
        <f t="shared" ref="CK194:CT194" ca="1" si="850">CK195*CK196</f>
        <v>0</v>
      </c>
      <c r="CL194" s="289">
        <f t="shared" ca="1" si="850"/>
        <v>0</v>
      </c>
      <c r="CM194" s="289">
        <f t="shared" ca="1" si="850"/>
        <v>0</v>
      </c>
      <c r="CN194" s="289">
        <f t="shared" ca="1" si="850"/>
        <v>0</v>
      </c>
      <c r="CO194" s="289">
        <f t="shared" ca="1" si="850"/>
        <v>0</v>
      </c>
      <c r="CP194" s="289">
        <f t="shared" ca="1" si="850"/>
        <v>0</v>
      </c>
      <c r="CQ194" s="289">
        <f t="shared" ca="1" si="850"/>
        <v>0</v>
      </c>
      <c r="CR194" s="289">
        <f t="shared" ca="1" si="850"/>
        <v>0</v>
      </c>
      <c r="CS194" s="289">
        <f t="shared" ca="1" si="850"/>
        <v>0</v>
      </c>
      <c r="CT194" s="289">
        <f t="shared" ca="1" si="850"/>
        <v>0</v>
      </c>
      <c r="CU194"/>
      <c r="CV194"/>
    </row>
    <row r="195" spans="2:100" hidden="1" outlineLevel="1" x14ac:dyDescent="0.2">
      <c r="C195" s="3"/>
      <c r="D195" s="224" t="str">
        <f>"Annual vessel cargo value"</f>
        <v>Annual vessel cargo value</v>
      </c>
      <c r="E195" s="224" t="s">
        <v>294</v>
      </c>
      <c r="G195" s="22">
        <f>INDEX('Vessel Profiles - Input'!$C:$L,MATCH($D195&amp;keydelim&amp;G$10,'Vessel Profiles - Input'!$C:$C,0),MATCH(G$9,'Vessel Profiles - Input'!$C$3:$L$3,0))</f>
        <v>70</v>
      </c>
      <c r="H195" s="22">
        <f>INDEX('Vessel Profiles - Input'!$C:$L,MATCH($D195&amp;keydelim&amp;H$10,'Vessel Profiles - Input'!$C:$C,0),MATCH(H$9,'Vessel Profiles - Input'!$C$3:$L$3,0))</f>
        <v>70</v>
      </c>
      <c r="I195" s="22">
        <f>INDEX('Vessel Profiles - Input'!$C:$L,MATCH($D195&amp;keydelim&amp;I$10,'Vessel Profiles - Input'!$C:$C,0),MATCH(I$9,'Vessel Profiles - Input'!$C$3:$L$3,0))</f>
        <v>70</v>
      </c>
      <c r="J195" s="22">
        <f>INDEX('Vessel Profiles - Input'!$C:$L,MATCH($D195&amp;keydelim&amp;J$10,'Vessel Profiles - Input'!$C:$C,0),MATCH(J$9,'Vessel Profiles - Input'!$C$3:$L$3,0))</f>
        <v>70</v>
      </c>
      <c r="K195" s="22">
        <f>INDEX('Vessel Profiles - Input'!$C:$L,MATCH($D195&amp;keydelim&amp;K$10,'Vessel Profiles - Input'!$C:$C,0),MATCH(K$9,'Vessel Profiles - Input'!$C$3:$L$3,0))</f>
        <v>70</v>
      </c>
      <c r="L195" s="22">
        <f>INDEX('Vessel Profiles - Input'!$C:$L,MATCH($D195&amp;keydelim&amp;L$10,'Vessel Profiles - Input'!$C:$C,0),MATCH(L$9,'Vessel Profiles - Input'!$C$3:$L$3,0))</f>
        <v>70</v>
      </c>
      <c r="M195" s="22">
        <f>INDEX('Vessel Profiles - Input'!$C:$L,MATCH($D195&amp;keydelim&amp;M$10,'Vessel Profiles - Input'!$C:$C,0),MATCH(M$9,'Vessel Profiles - Input'!$C$3:$L$3,0))</f>
        <v>70</v>
      </c>
      <c r="N195" s="22">
        <f>INDEX('Vessel Profiles - Input'!$C:$L,MATCH($D195&amp;keydelim&amp;N$10,'Vessel Profiles - Input'!$C:$C,0),MATCH(N$9,'Vessel Profiles - Input'!$C$3:$L$3,0))</f>
        <v>70</v>
      </c>
      <c r="O195" s="22">
        <f>INDEX('Vessel Profiles - Input'!$C:$L,MATCH($D195&amp;keydelim&amp;O$10,'Vessel Profiles - Input'!$C:$C,0),MATCH(O$9,'Vessel Profiles - Input'!$C$3:$L$3,0))</f>
        <v>70</v>
      </c>
      <c r="P195" s="22">
        <f>INDEX('Vessel Profiles - Input'!$C:$L,MATCH($D195&amp;keydelim&amp;P$10,'Vessel Profiles - Input'!$C:$C,0),MATCH(P$9,'Vessel Profiles - Input'!$C$3:$L$3,0))</f>
        <v>70</v>
      </c>
      <c r="Q195" s="22">
        <f>INDEX('Vessel Profiles - Input'!$C:$L,MATCH($D195&amp;keydelim&amp;Q$10,'Vessel Profiles - Input'!$C:$C,0),MATCH(Q$9,'Vessel Profiles - Input'!$C$3:$L$3,0))</f>
        <v>70</v>
      </c>
      <c r="R195" s="22">
        <f>INDEX('Vessel Profiles - Input'!$C:$L,MATCH($D195&amp;keydelim&amp;R$10,'Vessel Profiles - Input'!$C:$C,0),MATCH(R$9,'Vessel Profiles - Input'!$C$3:$L$3,0))</f>
        <v>70</v>
      </c>
      <c r="X195" s="224" t="str">
        <f>"Annual vessel cargo value"</f>
        <v>Annual vessel cargo value</v>
      </c>
      <c r="Y195" s="224" t="s">
        <v>294</v>
      </c>
      <c r="AA195" s="22">
        <f>INDEX('Vessel Profiles - Input'!$C:$L,MATCH($D195&amp;keydelim&amp;AA$10,'Vessel Profiles - Input'!$C:$C,0),MATCH(AA$9,'Vessel Profiles - Input'!$C$3:$L$3,0))</f>
        <v>70</v>
      </c>
      <c r="AB195" s="22">
        <f>INDEX('Vessel Profiles - Input'!$C:$L,MATCH($D195&amp;keydelim&amp;AB$10,'Vessel Profiles - Input'!$C:$C,0),MATCH(AB$9,'Vessel Profiles - Input'!$C$3:$L$3,0))</f>
        <v>70</v>
      </c>
      <c r="AC195" s="22">
        <f>INDEX('Vessel Profiles - Input'!$C:$L,MATCH($D195&amp;keydelim&amp;AC$10,'Vessel Profiles - Input'!$C:$C,0),MATCH(AC$9,'Vessel Profiles - Input'!$C$3:$L$3,0))</f>
        <v>70</v>
      </c>
      <c r="AD195" s="22">
        <f>INDEX('Vessel Profiles - Input'!$C:$L,MATCH($D195&amp;keydelim&amp;AD$10,'Vessel Profiles - Input'!$C:$C,0),MATCH(AD$9,'Vessel Profiles - Input'!$C$3:$L$3,0))</f>
        <v>70</v>
      </c>
      <c r="AE195" s="22">
        <f>INDEX('Vessel Profiles - Input'!$C:$L,MATCH($D195&amp;keydelim&amp;AE$10,'Vessel Profiles - Input'!$C:$C,0),MATCH(AE$9,'Vessel Profiles - Input'!$C$3:$L$3,0))</f>
        <v>70</v>
      </c>
      <c r="AF195" s="22">
        <f>INDEX('Vessel Profiles - Input'!$C:$L,MATCH($D195&amp;keydelim&amp;AF$10,'Vessel Profiles - Input'!$C:$C,0),MATCH(AF$9,'Vessel Profiles - Input'!$C$3:$L$3,0))</f>
        <v>70</v>
      </c>
      <c r="AG195" s="22">
        <f>INDEX('Vessel Profiles - Input'!$C:$L,MATCH($D195&amp;keydelim&amp;AG$10,'Vessel Profiles - Input'!$C:$C,0),MATCH(AG$9,'Vessel Profiles - Input'!$C$3:$L$3,0))</f>
        <v>70</v>
      </c>
      <c r="AH195" s="22">
        <f>INDEX('Vessel Profiles - Input'!$C:$L,MATCH($D195&amp;keydelim&amp;AH$10,'Vessel Profiles - Input'!$C:$C,0),MATCH(AH$9,'Vessel Profiles - Input'!$C$3:$L$3,0))</f>
        <v>70</v>
      </c>
      <c r="AI195" s="22">
        <f>INDEX('Vessel Profiles - Input'!$C:$L,MATCH($D195&amp;keydelim&amp;AI$10,'Vessel Profiles - Input'!$C:$C,0),MATCH(AI$9,'Vessel Profiles - Input'!$C$3:$L$3,0))</f>
        <v>70</v>
      </c>
      <c r="AJ195" s="22">
        <f>INDEX('Vessel Profiles - Input'!$C:$L,MATCH($D195&amp;keydelim&amp;AJ$10,'Vessel Profiles - Input'!$C:$C,0),MATCH(AJ$9,'Vessel Profiles - Input'!$C$3:$L$3,0))</f>
        <v>70</v>
      </c>
      <c r="AK195" s="22">
        <f>INDEX('Vessel Profiles - Input'!$C:$L,MATCH($D195&amp;keydelim&amp;AK$10,'Vessel Profiles - Input'!$C:$C,0),MATCH(AK$9,'Vessel Profiles - Input'!$C$3:$L$3,0))</f>
        <v>70</v>
      </c>
      <c r="AL195" s="22">
        <f>INDEX('Vessel Profiles - Input'!$C:$L,MATCH($D195&amp;keydelim&amp;AL$10,'Vessel Profiles - Input'!$C:$C,0),MATCH(AL$9,'Vessel Profiles - Input'!$C$3:$L$3,0))</f>
        <v>70</v>
      </c>
      <c r="AR195" s="224" t="str">
        <f>"Annual vessel cargo value"</f>
        <v>Annual vessel cargo value</v>
      </c>
      <c r="AS195" s="224" t="s">
        <v>294</v>
      </c>
      <c r="AU195" s="22">
        <f>INDEX('Vessel Profiles - Input'!$C:$L,MATCH($D195&amp;keydelim&amp;AU$10,'Vessel Profiles - Input'!$C:$C,0),MATCH(AU$9,'Vessel Profiles - Input'!$C$3:$L$3,0))</f>
        <v>70</v>
      </c>
      <c r="AV195" s="22">
        <f>INDEX('Vessel Profiles - Input'!$C:$L,MATCH($D195&amp;keydelim&amp;AV$10,'Vessel Profiles - Input'!$C:$C,0),MATCH(AV$9,'Vessel Profiles - Input'!$C$3:$L$3,0))</f>
        <v>70</v>
      </c>
      <c r="AW195" s="22">
        <f>INDEX('Vessel Profiles - Input'!$C:$L,MATCH($D195&amp;keydelim&amp;AW$10,'Vessel Profiles - Input'!$C:$C,0),MATCH(AW$9,'Vessel Profiles - Input'!$C$3:$L$3,0))</f>
        <v>70</v>
      </c>
      <c r="AX195" s="22">
        <f>INDEX('Vessel Profiles - Input'!$C:$L,MATCH($D195&amp;keydelim&amp;AX$10,'Vessel Profiles - Input'!$C:$C,0),MATCH(AX$9,'Vessel Profiles - Input'!$C$3:$L$3,0))</f>
        <v>70</v>
      </c>
      <c r="AY195" s="22">
        <f>INDEX('Vessel Profiles - Input'!$C:$L,MATCH($D195&amp;keydelim&amp;AY$10,'Vessel Profiles - Input'!$C:$C,0),MATCH(AY$9,'Vessel Profiles - Input'!$C$3:$L$3,0))</f>
        <v>70</v>
      </c>
      <c r="AZ195" s="22">
        <f>INDEX('Vessel Profiles - Input'!$C:$L,MATCH($D195&amp;keydelim&amp;AZ$10,'Vessel Profiles - Input'!$C:$C,0),MATCH(AZ$9,'Vessel Profiles - Input'!$C$3:$L$3,0))</f>
        <v>70</v>
      </c>
      <c r="BA195" s="22">
        <f>INDEX('Vessel Profiles - Input'!$C:$L,MATCH($D195&amp;keydelim&amp;BA$10,'Vessel Profiles - Input'!$C:$C,0),MATCH(BA$9,'Vessel Profiles - Input'!$C$3:$L$3,0))</f>
        <v>70</v>
      </c>
      <c r="BB195" s="22">
        <f>INDEX('Vessel Profiles - Input'!$C:$L,MATCH($D195&amp;keydelim&amp;BB$10,'Vessel Profiles - Input'!$C:$C,0),MATCH(BB$9,'Vessel Profiles - Input'!$C$3:$L$3,0))</f>
        <v>70</v>
      </c>
      <c r="BC195" s="22">
        <f>INDEX('Vessel Profiles - Input'!$C:$L,MATCH($D195&amp;keydelim&amp;BC$10,'Vessel Profiles - Input'!$C:$C,0),MATCH(BC$9,'Vessel Profiles - Input'!$C$3:$L$3,0))</f>
        <v>70</v>
      </c>
      <c r="BD195" s="22">
        <f>INDEX('Vessel Profiles - Input'!$C:$L,MATCH($D195&amp;keydelim&amp;BD$10,'Vessel Profiles - Input'!$C:$C,0),MATCH(BD$9,'Vessel Profiles - Input'!$C$3:$L$3,0))</f>
        <v>70</v>
      </c>
      <c r="BE195" s="22">
        <f>INDEX('Vessel Profiles - Input'!$C:$L,MATCH($D195&amp;keydelim&amp;BE$10,'Vessel Profiles - Input'!$C:$C,0),MATCH(BE$9,'Vessel Profiles - Input'!$C$3:$L$3,0))</f>
        <v>70</v>
      </c>
      <c r="BF195" s="22">
        <f>INDEX('Vessel Profiles - Input'!$C:$L,MATCH($D195&amp;keydelim&amp;BF$10,'Vessel Profiles - Input'!$C:$C,0),MATCH(BF$9,'Vessel Profiles - Input'!$C$3:$L$3,0))</f>
        <v>70</v>
      </c>
      <c r="BL195" s="224" t="str">
        <f>"Annual vessel cargo value"</f>
        <v>Annual vessel cargo value</v>
      </c>
      <c r="BM195" s="224" t="s">
        <v>294</v>
      </c>
      <c r="BO195" s="22">
        <f>INDEX('Vessel Profiles - Input'!$C:$L,MATCH($D195&amp;keydelim&amp;BO$10,'Vessel Profiles - Input'!$C:$C,0),MATCH(BO$9,'Vessel Profiles - Input'!$C$3:$L$3,0))</f>
        <v>70</v>
      </c>
      <c r="BP195" s="22">
        <f>INDEX('Vessel Profiles - Input'!$C:$L,MATCH($D195&amp;keydelim&amp;BP$10,'Vessel Profiles - Input'!$C:$C,0),MATCH(BP$9,'Vessel Profiles - Input'!$C$3:$L$3,0))</f>
        <v>70</v>
      </c>
      <c r="BQ195" s="22">
        <f>INDEX('Vessel Profiles - Input'!$C:$L,MATCH($D195&amp;keydelim&amp;BQ$10,'Vessel Profiles - Input'!$C:$C,0),MATCH(BQ$9,'Vessel Profiles - Input'!$C$3:$L$3,0))</f>
        <v>70</v>
      </c>
      <c r="BR195" s="22">
        <f>INDEX('Vessel Profiles - Input'!$C:$L,MATCH($D195&amp;keydelim&amp;BR$10,'Vessel Profiles - Input'!$C:$C,0),MATCH(BR$9,'Vessel Profiles - Input'!$C$3:$L$3,0))</f>
        <v>70</v>
      </c>
      <c r="BS195" s="22">
        <f>INDEX('Vessel Profiles - Input'!$C:$L,MATCH($D195&amp;keydelim&amp;BS$10,'Vessel Profiles - Input'!$C:$C,0),MATCH(BS$9,'Vessel Profiles - Input'!$C$3:$L$3,0))</f>
        <v>70</v>
      </c>
      <c r="BT195" s="22">
        <f>INDEX('Vessel Profiles - Input'!$C:$L,MATCH($D195&amp;keydelim&amp;BT$10,'Vessel Profiles - Input'!$C:$C,0),MATCH(BT$9,'Vessel Profiles - Input'!$C$3:$L$3,0))</f>
        <v>70</v>
      </c>
      <c r="BU195" s="22">
        <f>INDEX('Vessel Profiles - Input'!$C:$L,MATCH($D195&amp;keydelim&amp;BU$10,'Vessel Profiles - Input'!$C:$C,0),MATCH(BU$9,'Vessel Profiles - Input'!$C$3:$L$3,0))</f>
        <v>70</v>
      </c>
      <c r="BV195" s="22">
        <f>INDEX('Vessel Profiles - Input'!$C:$L,MATCH($D195&amp;keydelim&amp;BV$10,'Vessel Profiles - Input'!$C:$C,0),MATCH(BV$9,'Vessel Profiles - Input'!$C$3:$L$3,0))</f>
        <v>70</v>
      </c>
      <c r="BW195" s="22">
        <f>INDEX('Vessel Profiles - Input'!$C:$L,MATCH($D195&amp;keydelim&amp;BW$10,'Vessel Profiles - Input'!$C:$C,0),MATCH(BW$9,'Vessel Profiles - Input'!$C$3:$L$3,0))</f>
        <v>70</v>
      </c>
      <c r="BX195" s="22">
        <f>INDEX('Vessel Profiles - Input'!$C:$L,MATCH($D195&amp;keydelim&amp;BX$10,'Vessel Profiles - Input'!$C:$C,0),MATCH(BX$9,'Vessel Profiles - Input'!$C$3:$L$3,0))</f>
        <v>70</v>
      </c>
      <c r="BY195" s="22">
        <f>INDEX('Vessel Profiles - Input'!$C:$L,MATCH($D195&amp;keydelim&amp;BY$10,'Vessel Profiles - Input'!$C:$C,0),MATCH(BY$9,'Vessel Profiles - Input'!$C$3:$L$3,0))</f>
        <v>70</v>
      </c>
      <c r="BZ195" s="22">
        <f>INDEX('Vessel Profiles - Input'!$C:$L,MATCH($D195&amp;keydelim&amp;BZ$10,'Vessel Profiles - Input'!$C:$C,0),MATCH(BZ$9,'Vessel Profiles - Input'!$C$3:$L$3,0))</f>
        <v>70</v>
      </c>
      <c r="CF195" s="224" t="str">
        <f>"Annual vessel cargo value"</f>
        <v>Annual vessel cargo value</v>
      </c>
      <c r="CG195" s="224" t="s">
        <v>294</v>
      </c>
      <c r="CI195" s="22">
        <f>INDEX('Vessel Profiles - Input'!$C:$L,MATCH($D195&amp;keydelim&amp;CI$10,'Vessel Profiles - Input'!$C:$C,0),MATCH(CI$9,'Vessel Profiles - Input'!$C$3:$L$3,0))</f>
        <v>70</v>
      </c>
      <c r="CJ195" s="22">
        <f>INDEX('Vessel Profiles - Input'!$C:$L,MATCH($D195&amp;keydelim&amp;CJ$10,'Vessel Profiles - Input'!$C:$C,0),MATCH(CJ$9,'Vessel Profiles - Input'!$C$3:$L$3,0))</f>
        <v>70</v>
      </c>
      <c r="CK195" s="22">
        <f>INDEX('Vessel Profiles - Input'!$C:$L,MATCH($D195&amp;keydelim&amp;CK$10,'Vessel Profiles - Input'!$C:$C,0),MATCH(CK$9,'Vessel Profiles - Input'!$C$3:$L$3,0))</f>
        <v>70</v>
      </c>
      <c r="CL195" s="22">
        <f>INDEX('Vessel Profiles - Input'!$C:$L,MATCH($D195&amp;keydelim&amp;CL$10,'Vessel Profiles - Input'!$C:$C,0),MATCH(CL$9,'Vessel Profiles - Input'!$C$3:$L$3,0))</f>
        <v>70</v>
      </c>
      <c r="CM195" s="22">
        <f>INDEX('Vessel Profiles - Input'!$C:$L,MATCH($D195&amp;keydelim&amp;CM$10,'Vessel Profiles - Input'!$C:$C,0),MATCH(CM$9,'Vessel Profiles - Input'!$C$3:$L$3,0))</f>
        <v>70</v>
      </c>
      <c r="CN195" s="22">
        <f>INDEX('Vessel Profiles - Input'!$C:$L,MATCH($D195&amp;keydelim&amp;CN$10,'Vessel Profiles - Input'!$C:$C,0),MATCH(CN$9,'Vessel Profiles - Input'!$C$3:$L$3,0))</f>
        <v>70</v>
      </c>
      <c r="CO195" s="22">
        <f>INDEX('Vessel Profiles - Input'!$C:$L,MATCH($D195&amp;keydelim&amp;CO$10,'Vessel Profiles - Input'!$C:$C,0),MATCH(CO$9,'Vessel Profiles - Input'!$C$3:$L$3,0))</f>
        <v>70</v>
      </c>
      <c r="CP195" s="22">
        <f>INDEX('Vessel Profiles - Input'!$C:$L,MATCH($D195&amp;keydelim&amp;CP$10,'Vessel Profiles - Input'!$C:$C,0),MATCH(CP$9,'Vessel Profiles - Input'!$C$3:$L$3,0))</f>
        <v>70</v>
      </c>
      <c r="CQ195" s="22">
        <f>INDEX('Vessel Profiles - Input'!$C:$L,MATCH($D195&amp;keydelim&amp;CQ$10,'Vessel Profiles - Input'!$C:$C,0),MATCH(CQ$9,'Vessel Profiles - Input'!$C$3:$L$3,0))</f>
        <v>70</v>
      </c>
      <c r="CR195" s="22">
        <f>INDEX('Vessel Profiles - Input'!$C:$L,MATCH($D195&amp;keydelim&amp;CR$10,'Vessel Profiles - Input'!$C:$C,0),MATCH(CR$9,'Vessel Profiles - Input'!$C$3:$L$3,0))</f>
        <v>70</v>
      </c>
      <c r="CS195" s="22">
        <f>INDEX('Vessel Profiles - Input'!$C:$L,MATCH($D195&amp;keydelim&amp;CS$10,'Vessel Profiles - Input'!$C:$C,0),MATCH(CS$9,'Vessel Profiles - Input'!$C$3:$L$3,0))</f>
        <v>70</v>
      </c>
      <c r="CT195" s="22">
        <f>INDEX('Vessel Profiles - Input'!$C:$L,MATCH($D195&amp;keydelim&amp;CT$10,'Vessel Profiles - Input'!$C:$C,0),MATCH(CT$9,'Vessel Profiles - Input'!$C$3:$L$3,0))</f>
        <v>70</v>
      </c>
    </row>
    <row r="196" spans="2:100" hidden="1" outlineLevel="1" x14ac:dyDescent="0.2">
      <c r="C196" s="3"/>
      <c r="D196" s="12" t="s">
        <v>390</v>
      </c>
      <c r="E196" s="224" t="s">
        <v>296</v>
      </c>
      <c r="G196" s="22">
        <f ca="1">MAX(0,
(G201/(1-G200)*G199)+(G204/(1-G203)*G202)-G197)</f>
        <v>0</v>
      </c>
      <c r="H196" s="22">
        <f t="shared" ref="H196:R196" ca="1" si="851">MAX(0,
(H201/(1-H200)*H199)+(H204/(1-H203)*H202)-H197)</f>
        <v>0</v>
      </c>
      <c r="I196" s="22">
        <f t="shared" ca="1" si="851"/>
        <v>0</v>
      </c>
      <c r="J196" s="22">
        <f t="shared" ca="1" si="851"/>
        <v>0</v>
      </c>
      <c r="K196" s="22">
        <f t="shared" ca="1" si="851"/>
        <v>0</v>
      </c>
      <c r="L196" s="22">
        <f t="shared" ca="1" si="851"/>
        <v>0</v>
      </c>
      <c r="M196" s="22">
        <f t="shared" ca="1" si="851"/>
        <v>0</v>
      </c>
      <c r="N196" s="22">
        <f t="shared" ca="1" si="851"/>
        <v>0</v>
      </c>
      <c r="O196" s="22">
        <f t="shared" ca="1" si="851"/>
        <v>0</v>
      </c>
      <c r="P196" s="22">
        <f t="shared" ca="1" si="851"/>
        <v>0</v>
      </c>
      <c r="Q196" s="22">
        <f t="shared" ca="1" si="851"/>
        <v>0</v>
      </c>
      <c r="R196" s="22">
        <f t="shared" ca="1" si="851"/>
        <v>0</v>
      </c>
      <c r="X196" s="12" t="s">
        <v>390</v>
      </c>
      <c r="Y196" s="224" t="s">
        <v>296</v>
      </c>
      <c r="AA196" s="22">
        <f ca="1">MAX(0,
(AA201/(1-AA200)*AA199)+(AA204/(1-AA203)*AA202)-AA197)</f>
        <v>3857.1428571428587</v>
      </c>
      <c r="AB196" s="22">
        <f t="shared" ref="AB196" ca="1" si="852">MAX(0,
(AB201/(1-AB200)*AB199)+(AB204/(1-AB203)*AB202)-AB197)</f>
        <v>3857.1428571428587</v>
      </c>
      <c r="AC196" s="22">
        <f t="shared" ref="AC196" ca="1" si="853">MAX(0,
(AC201/(1-AC200)*AC199)+(AC204/(1-AC203)*AC202)-AC197)</f>
        <v>3857.1428571428587</v>
      </c>
      <c r="AD196" s="22">
        <f t="shared" ref="AD196" ca="1" si="854">MAX(0,
(AD201/(1-AD200)*AD199)+(AD204/(1-AD203)*AD202)-AD197)</f>
        <v>3857.1428571428587</v>
      </c>
      <c r="AE196" s="22">
        <f t="shared" ref="AE196" ca="1" si="855">MAX(0,
(AE201/(1-AE200)*AE199)+(AE204/(1-AE203)*AE202)-AE197)</f>
        <v>3857.1428571428587</v>
      </c>
      <c r="AF196" s="22">
        <f t="shared" ref="AF196" ca="1" si="856">MAX(0,
(AF201/(1-AF200)*AF199)+(AF204/(1-AF203)*AF202)-AF197)</f>
        <v>3857.1428571428587</v>
      </c>
      <c r="AG196" s="22">
        <f t="shared" ref="AG196" ca="1" si="857">MAX(0,
(AG201/(1-AG200)*AG199)+(AG204/(1-AG203)*AG202)-AG197)</f>
        <v>3857.1428571428587</v>
      </c>
      <c r="AH196" s="22">
        <f t="shared" ref="AH196" ca="1" si="858">MAX(0,
(AH201/(1-AH200)*AH199)+(AH204/(1-AH203)*AH202)-AH197)</f>
        <v>3857.1428571428587</v>
      </c>
      <c r="AI196" s="22">
        <f t="shared" ref="AI196" ca="1" si="859">MAX(0,
(AI201/(1-AI200)*AI199)+(AI204/(1-AI203)*AI202)-AI197)</f>
        <v>3857.1428571428587</v>
      </c>
      <c r="AJ196" s="22">
        <f t="shared" ref="AJ196" ca="1" si="860">MAX(0,
(AJ201/(1-AJ200)*AJ199)+(AJ204/(1-AJ203)*AJ202)-AJ197)</f>
        <v>3857.1428571428587</v>
      </c>
      <c r="AK196" s="22">
        <f t="shared" ref="AK196" ca="1" si="861">MAX(0,
(AK201/(1-AK200)*AK199)+(AK204/(1-AK203)*AK202)-AK197)</f>
        <v>3857.1428571428587</v>
      </c>
      <c r="AL196" s="22">
        <f t="shared" ref="AL196" ca="1" si="862">MAX(0,
(AL201/(1-AL200)*AL199)+(AL204/(1-AL203)*AL202)-AL197)</f>
        <v>3857.1428571428587</v>
      </c>
      <c r="AR196" s="12" t="s">
        <v>390</v>
      </c>
      <c r="AS196" s="224" t="s">
        <v>296</v>
      </c>
      <c r="AU196" s="22">
        <f ca="1">MAX(0,
(AU201/(1-AU200)*AU199)+(AU204/(1-AU203)*AU202)-AU197)</f>
        <v>0</v>
      </c>
      <c r="AV196" s="22">
        <f t="shared" ref="AV196" ca="1" si="863">MAX(0,
(AV201/(1-AV200)*AV199)+(AV204/(1-AV203)*AV202)-AV197)</f>
        <v>0</v>
      </c>
      <c r="AW196" s="22">
        <f t="shared" ref="AW196" ca="1" si="864">MAX(0,
(AW201/(1-AW200)*AW199)+(AW204/(1-AW203)*AW202)-AW197)</f>
        <v>0</v>
      </c>
      <c r="AX196" s="22">
        <f t="shared" ref="AX196" ca="1" si="865">MAX(0,
(AX201/(1-AX200)*AX199)+(AX204/(1-AX203)*AX202)-AX197)</f>
        <v>0</v>
      </c>
      <c r="AY196" s="22">
        <f t="shared" ref="AY196" ca="1" si="866">MAX(0,
(AY201/(1-AY200)*AY199)+(AY204/(1-AY203)*AY202)-AY197)</f>
        <v>0</v>
      </c>
      <c r="AZ196" s="22">
        <f t="shared" ref="AZ196" ca="1" si="867">MAX(0,
(AZ201/(1-AZ200)*AZ199)+(AZ204/(1-AZ203)*AZ202)-AZ197)</f>
        <v>0</v>
      </c>
      <c r="BA196" s="22">
        <f t="shared" ref="BA196" ca="1" si="868">MAX(0,
(BA201/(1-BA200)*BA199)+(BA204/(1-BA203)*BA202)-BA197)</f>
        <v>0</v>
      </c>
      <c r="BB196" s="22">
        <f t="shared" ref="BB196" ca="1" si="869">MAX(0,
(BB201/(1-BB200)*BB199)+(BB204/(1-BB203)*BB202)-BB197)</f>
        <v>0</v>
      </c>
      <c r="BC196" s="22">
        <f t="shared" ref="BC196" ca="1" si="870">MAX(0,
(BC201/(1-BC200)*BC199)+(BC204/(1-BC203)*BC202)-BC197)</f>
        <v>0</v>
      </c>
      <c r="BD196" s="22">
        <f t="shared" ref="BD196" ca="1" si="871">MAX(0,
(BD201/(1-BD200)*BD199)+(BD204/(1-BD203)*BD202)-BD197)</f>
        <v>0</v>
      </c>
      <c r="BE196" s="22">
        <f t="shared" ref="BE196" ca="1" si="872">MAX(0,
(BE201/(1-BE200)*BE199)+(BE204/(1-BE203)*BE202)-BE197)</f>
        <v>0</v>
      </c>
      <c r="BF196" s="22">
        <f t="shared" ref="BF196" ca="1" si="873">MAX(0,
(BF201/(1-BF200)*BF199)+(BF204/(1-BF203)*BF202)-BF197)</f>
        <v>0</v>
      </c>
      <c r="BL196" s="12" t="s">
        <v>390</v>
      </c>
      <c r="BM196" s="224" t="s">
        <v>296</v>
      </c>
      <c r="BO196" s="22">
        <f ca="1">MAX(0,
(BO201/(1-BO200)*BO199)+(BO204/(1-BO203)*BO202)-BO197)</f>
        <v>0</v>
      </c>
      <c r="BP196" s="22">
        <f t="shared" ref="BP196" ca="1" si="874">MAX(0,
(BP201/(1-BP200)*BP199)+(BP204/(1-BP203)*BP202)-BP197)</f>
        <v>0</v>
      </c>
      <c r="BQ196" s="22">
        <f t="shared" ref="BQ196" ca="1" si="875">MAX(0,
(BQ201/(1-BQ200)*BQ199)+(BQ204/(1-BQ203)*BQ202)-BQ197)</f>
        <v>0</v>
      </c>
      <c r="BR196" s="22">
        <f t="shared" ref="BR196" ca="1" si="876">MAX(0,
(BR201/(1-BR200)*BR199)+(BR204/(1-BR203)*BR202)-BR197)</f>
        <v>0</v>
      </c>
      <c r="BS196" s="22">
        <f t="shared" ref="BS196" ca="1" si="877">MAX(0,
(BS201/(1-BS200)*BS199)+(BS204/(1-BS203)*BS202)-BS197)</f>
        <v>0</v>
      </c>
      <c r="BT196" s="22">
        <f t="shared" ref="BT196" ca="1" si="878">MAX(0,
(BT201/(1-BT200)*BT199)+(BT204/(1-BT203)*BT202)-BT197)</f>
        <v>0</v>
      </c>
      <c r="BU196" s="22">
        <f t="shared" ref="BU196" ca="1" si="879">MAX(0,
(BU201/(1-BU200)*BU199)+(BU204/(1-BU203)*BU202)-BU197)</f>
        <v>0</v>
      </c>
      <c r="BV196" s="22">
        <f t="shared" ref="BV196" ca="1" si="880">MAX(0,
(BV201/(1-BV200)*BV199)+(BV204/(1-BV203)*BV202)-BV197)</f>
        <v>0</v>
      </c>
      <c r="BW196" s="22">
        <f t="shared" ref="BW196" ca="1" si="881">MAX(0,
(BW201/(1-BW200)*BW199)+(BW204/(1-BW203)*BW202)-BW197)</f>
        <v>0</v>
      </c>
      <c r="BX196" s="22">
        <f t="shared" ref="BX196" ca="1" si="882">MAX(0,
(BX201/(1-BX200)*BX199)+(BX204/(1-BX203)*BX202)-BX197)</f>
        <v>0</v>
      </c>
      <c r="BY196" s="22">
        <f t="shared" ref="BY196" ca="1" si="883">MAX(0,
(BY201/(1-BY200)*BY199)+(BY204/(1-BY203)*BY202)-BY197)</f>
        <v>0</v>
      </c>
      <c r="BZ196" s="22">
        <f t="shared" ref="BZ196" ca="1" si="884">MAX(0,
(BZ201/(1-BZ200)*BZ199)+(BZ204/(1-BZ203)*BZ202)-BZ197)</f>
        <v>0</v>
      </c>
      <c r="CF196" s="12" t="s">
        <v>390</v>
      </c>
      <c r="CG196" s="224" t="s">
        <v>296</v>
      </c>
      <c r="CI196" s="22">
        <f ca="1">MAX(0,
(CI201/(1-CI200)*CI199)+(CI204/(1-CI203)*CI202)-CI197)</f>
        <v>0</v>
      </c>
      <c r="CJ196" s="22">
        <f t="shared" ref="CJ196" ca="1" si="885">MAX(0,
(CJ201/(1-CJ200)*CJ199)+(CJ204/(1-CJ203)*CJ202)-CJ197)</f>
        <v>0</v>
      </c>
      <c r="CK196" s="22">
        <f t="shared" ref="CK196" ca="1" si="886">MAX(0,
(CK201/(1-CK200)*CK199)+(CK204/(1-CK203)*CK202)-CK197)</f>
        <v>0</v>
      </c>
      <c r="CL196" s="22">
        <f t="shared" ref="CL196" ca="1" si="887">MAX(0,
(CL201/(1-CL200)*CL199)+(CL204/(1-CL203)*CL202)-CL197)</f>
        <v>0</v>
      </c>
      <c r="CM196" s="22">
        <f t="shared" ref="CM196" ca="1" si="888">MAX(0,
(CM201/(1-CM200)*CM199)+(CM204/(1-CM203)*CM202)-CM197)</f>
        <v>0</v>
      </c>
      <c r="CN196" s="22">
        <f t="shared" ref="CN196" ca="1" si="889">MAX(0,
(CN201/(1-CN200)*CN199)+(CN204/(1-CN203)*CN202)-CN197)</f>
        <v>0</v>
      </c>
      <c r="CO196" s="22">
        <f t="shared" ref="CO196" ca="1" si="890">MAX(0,
(CO201/(1-CO200)*CO199)+(CO204/(1-CO203)*CO202)-CO197)</f>
        <v>0</v>
      </c>
      <c r="CP196" s="22">
        <f t="shared" ref="CP196" ca="1" si="891">MAX(0,
(CP201/(1-CP200)*CP199)+(CP204/(1-CP203)*CP202)-CP197)</f>
        <v>0</v>
      </c>
      <c r="CQ196" s="22">
        <f t="shared" ref="CQ196" ca="1" si="892">MAX(0,
(CQ201/(1-CQ200)*CQ199)+(CQ204/(1-CQ203)*CQ202)-CQ197)</f>
        <v>0</v>
      </c>
      <c r="CR196" s="22">
        <f t="shared" ref="CR196" ca="1" si="893">MAX(0,
(CR201/(1-CR200)*CR199)+(CR204/(1-CR203)*CR202)-CR197)</f>
        <v>0</v>
      </c>
      <c r="CS196" s="22">
        <f t="shared" ref="CS196" ca="1" si="894">MAX(0,
(CS201/(1-CS200)*CS199)+(CS204/(1-CS203)*CS202)-CS197)</f>
        <v>0</v>
      </c>
      <c r="CT196" s="22">
        <f t="shared" ref="CT196" ca="1" si="895">MAX(0,
(CT201/(1-CT200)*CT199)+(CT204/(1-CT203)*CT202)-CT197)</f>
        <v>0</v>
      </c>
    </row>
    <row r="197" spans="2:100" hidden="1" outlineLevel="1" x14ac:dyDescent="0.2">
      <c r="D197" s="16" t="s">
        <v>298</v>
      </c>
      <c r="E197" s="224" t="s">
        <v>296</v>
      </c>
      <c r="F197" s="224" t="str">
        <f>_xlfn.TEXTJOIN(keydelim,TRUE,$D197,F$10)</f>
        <v>Fuel tank size - Medium</v>
      </c>
      <c r="G197" s="22">
        <f ca="1">INDEX('Vessel Profiles - Input'!$G$1:$L$105,MATCH($F197,'Vessel Profiles - Input'!$E$1:$E$105,0),MATCH(G$9,'Vessel Profiles - Input'!$G$3:$L$3,0))</f>
        <v>9000</v>
      </c>
      <c r="H197" s="22">
        <f ca="1">INDEX('Vessel Profiles - Input'!$G$1:$L$105,MATCH($F197,'Vessel Profiles - Input'!$E$1:$E$105,0),MATCH(H$9,'Vessel Profiles - Input'!$G$3:$L$3,0))</f>
        <v>9000</v>
      </c>
      <c r="I197" s="22">
        <f ca="1">INDEX('Vessel Profiles - Input'!$G$1:$L$105,MATCH($F197,'Vessel Profiles - Input'!$E$1:$E$105,0),MATCH(I$9,'Vessel Profiles - Input'!$G$3:$L$3,0))</f>
        <v>9000</v>
      </c>
      <c r="J197" s="22">
        <f ca="1">INDEX('Vessel Profiles - Input'!$G$1:$L$105,MATCH($F197,'Vessel Profiles - Input'!$E$1:$E$105,0),MATCH(J$9,'Vessel Profiles - Input'!$G$3:$L$3,0))</f>
        <v>9000</v>
      </c>
      <c r="K197" s="22">
        <f ca="1">INDEX('Vessel Profiles - Input'!$G$1:$L$105,MATCH($F197,'Vessel Profiles - Input'!$E$1:$E$105,0),MATCH(K$9,'Vessel Profiles - Input'!$G$3:$L$3,0))</f>
        <v>9000</v>
      </c>
      <c r="L197" s="22">
        <f ca="1">INDEX('Vessel Profiles - Input'!$G$1:$L$105,MATCH($F197,'Vessel Profiles - Input'!$E$1:$E$105,0),MATCH(L$9,'Vessel Profiles - Input'!$G$3:$L$3,0))</f>
        <v>9000</v>
      </c>
      <c r="M197" s="22">
        <f ca="1">INDEX('Vessel Profiles - Input'!$G$1:$L$105,MATCH($F197,'Vessel Profiles - Input'!$E$1:$E$105,0),MATCH(M$9,'Vessel Profiles - Input'!$G$3:$L$3,0))</f>
        <v>9000</v>
      </c>
      <c r="N197" s="22">
        <f ca="1">INDEX('Vessel Profiles - Input'!$G$1:$L$105,MATCH($F197,'Vessel Profiles - Input'!$E$1:$E$105,0),MATCH(N$9,'Vessel Profiles - Input'!$G$3:$L$3,0))</f>
        <v>9000</v>
      </c>
      <c r="O197" s="22">
        <f ca="1">INDEX('Vessel Profiles - Input'!$G$1:$L$105,MATCH($F197,'Vessel Profiles - Input'!$E$1:$E$105,0),MATCH(O$9,'Vessel Profiles - Input'!$G$3:$L$3,0))</f>
        <v>9000</v>
      </c>
      <c r="P197" s="22">
        <f ca="1">INDEX('Vessel Profiles - Input'!$G$1:$L$105,MATCH($F197,'Vessel Profiles - Input'!$E$1:$E$105,0),MATCH(P$9,'Vessel Profiles - Input'!$G$3:$L$3,0))</f>
        <v>9000</v>
      </c>
      <c r="Q197" s="22">
        <f ca="1">INDEX('Vessel Profiles - Input'!$G$1:$L$105,MATCH($F197,'Vessel Profiles - Input'!$E$1:$E$105,0),MATCH(Q$9,'Vessel Profiles - Input'!$G$3:$L$3,0))</f>
        <v>9000</v>
      </c>
      <c r="R197" s="22">
        <f ca="1">INDEX('Vessel Profiles - Input'!$G$1:$L$105,MATCH($F197,'Vessel Profiles - Input'!$E$1:$E$105,0),MATCH(R$9,'Vessel Profiles - Input'!$G$3:$L$3,0))</f>
        <v>9000</v>
      </c>
      <c r="X197" s="16" t="s">
        <v>298</v>
      </c>
      <c r="Y197" s="224" t="s">
        <v>296</v>
      </c>
      <c r="Z197" s="224" t="str">
        <f>_xlfn.TEXTJOIN(keydelim,TRUE,$D197,Z$10)</f>
        <v>Fuel tank size - Medium</v>
      </c>
      <c r="AA197" s="22">
        <f ca="1">INDEX('Vessel Profiles - Input'!$G$1:$L$105,MATCH($F197,'Vessel Profiles - Input'!$E$1:$E$105,0),MATCH(AA$9,'Vessel Profiles - Input'!$G$3:$L$3,0))</f>
        <v>9000</v>
      </c>
      <c r="AB197" s="22">
        <f ca="1">INDEX('Vessel Profiles - Input'!$G$1:$L$105,MATCH($F197,'Vessel Profiles - Input'!$E$1:$E$105,0),MATCH(AB$9,'Vessel Profiles - Input'!$G$3:$L$3,0))</f>
        <v>9000</v>
      </c>
      <c r="AC197" s="22">
        <f ca="1">INDEX('Vessel Profiles - Input'!$G$1:$L$105,MATCH($F197,'Vessel Profiles - Input'!$E$1:$E$105,0),MATCH(AC$9,'Vessel Profiles - Input'!$G$3:$L$3,0))</f>
        <v>9000</v>
      </c>
      <c r="AD197" s="22">
        <f ca="1">INDEX('Vessel Profiles - Input'!$G$1:$L$105,MATCH($F197,'Vessel Profiles - Input'!$E$1:$E$105,0),MATCH(AD$9,'Vessel Profiles - Input'!$G$3:$L$3,0))</f>
        <v>9000</v>
      </c>
      <c r="AE197" s="22">
        <f ca="1">INDEX('Vessel Profiles - Input'!$G$1:$L$105,MATCH($F197,'Vessel Profiles - Input'!$E$1:$E$105,0),MATCH(AE$9,'Vessel Profiles - Input'!$G$3:$L$3,0))</f>
        <v>9000</v>
      </c>
      <c r="AF197" s="22">
        <f ca="1">INDEX('Vessel Profiles - Input'!$G$1:$L$105,MATCH($F197,'Vessel Profiles - Input'!$E$1:$E$105,0),MATCH(AF$9,'Vessel Profiles - Input'!$G$3:$L$3,0))</f>
        <v>9000</v>
      </c>
      <c r="AG197" s="22">
        <f ca="1">INDEX('Vessel Profiles - Input'!$G$1:$L$105,MATCH($F197,'Vessel Profiles - Input'!$E$1:$E$105,0),MATCH(AG$9,'Vessel Profiles - Input'!$G$3:$L$3,0))</f>
        <v>9000</v>
      </c>
      <c r="AH197" s="22">
        <f ca="1">INDEX('Vessel Profiles - Input'!$G$1:$L$105,MATCH($F197,'Vessel Profiles - Input'!$E$1:$E$105,0),MATCH(AH$9,'Vessel Profiles - Input'!$G$3:$L$3,0))</f>
        <v>9000</v>
      </c>
      <c r="AI197" s="22">
        <f ca="1">INDEX('Vessel Profiles - Input'!$G$1:$L$105,MATCH($F197,'Vessel Profiles - Input'!$E$1:$E$105,0),MATCH(AI$9,'Vessel Profiles - Input'!$G$3:$L$3,0))</f>
        <v>9000</v>
      </c>
      <c r="AJ197" s="22">
        <f ca="1">INDEX('Vessel Profiles - Input'!$G$1:$L$105,MATCH($F197,'Vessel Profiles - Input'!$E$1:$E$105,0),MATCH(AJ$9,'Vessel Profiles - Input'!$G$3:$L$3,0))</f>
        <v>9000</v>
      </c>
      <c r="AK197" s="22">
        <f ca="1">INDEX('Vessel Profiles - Input'!$G$1:$L$105,MATCH($F197,'Vessel Profiles - Input'!$E$1:$E$105,0),MATCH(AK$9,'Vessel Profiles - Input'!$G$3:$L$3,0))</f>
        <v>9000</v>
      </c>
      <c r="AL197" s="22">
        <f ca="1">INDEX('Vessel Profiles - Input'!$G$1:$L$105,MATCH($F197,'Vessel Profiles - Input'!$E$1:$E$105,0),MATCH(AL$9,'Vessel Profiles - Input'!$G$3:$L$3,0))</f>
        <v>9000</v>
      </c>
      <c r="AR197" s="16" t="s">
        <v>298</v>
      </c>
      <c r="AS197" s="224" t="s">
        <v>296</v>
      </c>
      <c r="AT197" s="224" t="str">
        <f>_xlfn.TEXTJOIN(keydelim,TRUE,$D197,AT$10)</f>
        <v>Fuel tank size - Medium</v>
      </c>
      <c r="AU197" s="22">
        <f ca="1">INDEX('Vessel Profiles - Input'!$G$1:$L$105,MATCH($F197,'Vessel Profiles - Input'!$E$1:$E$105,0),MATCH(AU$9,'Vessel Profiles - Input'!$G$3:$L$3,0))</f>
        <v>9000</v>
      </c>
      <c r="AV197" s="22">
        <f ca="1">INDEX('Vessel Profiles - Input'!$G$1:$L$105,MATCH($F197,'Vessel Profiles - Input'!$E$1:$E$105,0),MATCH(AV$9,'Vessel Profiles - Input'!$G$3:$L$3,0))</f>
        <v>9000</v>
      </c>
      <c r="AW197" s="22">
        <f ca="1">INDEX('Vessel Profiles - Input'!$G$1:$L$105,MATCH($F197,'Vessel Profiles - Input'!$E$1:$E$105,0),MATCH(AW$9,'Vessel Profiles - Input'!$G$3:$L$3,0))</f>
        <v>9000</v>
      </c>
      <c r="AX197" s="22">
        <f ca="1">INDEX('Vessel Profiles - Input'!$G$1:$L$105,MATCH($F197,'Vessel Profiles - Input'!$E$1:$E$105,0),MATCH(AX$9,'Vessel Profiles - Input'!$G$3:$L$3,0))</f>
        <v>9000</v>
      </c>
      <c r="AY197" s="22">
        <f ca="1">INDEX('Vessel Profiles - Input'!$G$1:$L$105,MATCH($F197,'Vessel Profiles - Input'!$E$1:$E$105,0),MATCH(AY$9,'Vessel Profiles - Input'!$G$3:$L$3,0))</f>
        <v>9000</v>
      </c>
      <c r="AZ197" s="22">
        <f ca="1">INDEX('Vessel Profiles - Input'!$G$1:$L$105,MATCH($F197,'Vessel Profiles - Input'!$E$1:$E$105,0),MATCH(AZ$9,'Vessel Profiles - Input'!$G$3:$L$3,0))</f>
        <v>9000</v>
      </c>
      <c r="BA197" s="22">
        <f ca="1">INDEX('Vessel Profiles - Input'!$G$1:$L$105,MATCH($F197,'Vessel Profiles - Input'!$E$1:$E$105,0),MATCH(BA$9,'Vessel Profiles - Input'!$G$3:$L$3,0))</f>
        <v>9000</v>
      </c>
      <c r="BB197" s="22">
        <f ca="1">INDEX('Vessel Profiles - Input'!$G$1:$L$105,MATCH($F197,'Vessel Profiles - Input'!$E$1:$E$105,0),MATCH(BB$9,'Vessel Profiles - Input'!$G$3:$L$3,0))</f>
        <v>9000</v>
      </c>
      <c r="BC197" s="22">
        <f ca="1">INDEX('Vessel Profiles - Input'!$G$1:$L$105,MATCH($F197,'Vessel Profiles - Input'!$E$1:$E$105,0),MATCH(BC$9,'Vessel Profiles - Input'!$G$3:$L$3,0))</f>
        <v>9000</v>
      </c>
      <c r="BD197" s="22">
        <f ca="1">INDEX('Vessel Profiles - Input'!$G$1:$L$105,MATCH($F197,'Vessel Profiles - Input'!$E$1:$E$105,0),MATCH(BD$9,'Vessel Profiles - Input'!$G$3:$L$3,0))</f>
        <v>9000</v>
      </c>
      <c r="BE197" s="22">
        <f ca="1">INDEX('Vessel Profiles - Input'!$G$1:$L$105,MATCH($F197,'Vessel Profiles - Input'!$E$1:$E$105,0),MATCH(BE$9,'Vessel Profiles - Input'!$G$3:$L$3,0))</f>
        <v>9000</v>
      </c>
      <c r="BF197" s="22">
        <f ca="1">INDEX('Vessel Profiles - Input'!$G$1:$L$105,MATCH($F197,'Vessel Profiles - Input'!$E$1:$E$105,0),MATCH(BF$9,'Vessel Profiles - Input'!$G$3:$L$3,0))</f>
        <v>9000</v>
      </c>
      <c r="BL197" s="16" t="s">
        <v>298</v>
      </c>
      <c r="BM197" s="224" t="s">
        <v>296</v>
      </c>
      <c r="BN197" s="224" t="str">
        <f>_xlfn.TEXTJOIN(keydelim,TRUE,$D197,BN$10)</f>
        <v>Fuel tank size - Medium</v>
      </c>
      <c r="BO197" s="22">
        <f ca="1">INDEX('Vessel Profiles - Input'!$G$1:$L$105,MATCH($F197,'Vessel Profiles - Input'!$E$1:$E$105,0),MATCH(BO$9,'Vessel Profiles - Input'!$G$3:$L$3,0))</f>
        <v>9000</v>
      </c>
      <c r="BP197" s="22">
        <f ca="1">INDEX('Vessel Profiles - Input'!$G$1:$L$105,MATCH($F197,'Vessel Profiles - Input'!$E$1:$E$105,0),MATCH(BP$9,'Vessel Profiles - Input'!$G$3:$L$3,0))</f>
        <v>9000</v>
      </c>
      <c r="BQ197" s="22">
        <f ca="1">INDEX('Vessel Profiles - Input'!$G$1:$L$105,MATCH($F197,'Vessel Profiles - Input'!$E$1:$E$105,0),MATCH(BQ$9,'Vessel Profiles - Input'!$G$3:$L$3,0))</f>
        <v>9000</v>
      </c>
      <c r="BR197" s="22">
        <f ca="1">INDEX('Vessel Profiles - Input'!$G$1:$L$105,MATCH($F197,'Vessel Profiles - Input'!$E$1:$E$105,0),MATCH(BR$9,'Vessel Profiles - Input'!$G$3:$L$3,0))</f>
        <v>9000</v>
      </c>
      <c r="BS197" s="22">
        <f ca="1">INDEX('Vessel Profiles - Input'!$G$1:$L$105,MATCH($F197,'Vessel Profiles - Input'!$E$1:$E$105,0),MATCH(BS$9,'Vessel Profiles - Input'!$G$3:$L$3,0))</f>
        <v>9000</v>
      </c>
      <c r="BT197" s="22">
        <f ca="1">INDEX('Vessel Profiles - Input'!$G$1:$L$105,MATCH($F197,'Vessel Profiles - Input'!$E$1:$E$105,0),MATCH(BT$9,'Vessel Profiles - Input'!$G$3:$L$3,0))</f>
        <v>9000</v>
      </c>
      <c r="BU197" s="22">
        <f ca="1">INDEX('Vessel Profiles - Input'!$G$1:$L$105,MATCH($F197,'Vessel Profiles - Input'!$E$1:$E$105,0),MATCH(BU$9,'Vessel Profiles - Input'!$G$3:$L$3,0))</f>
        <v>9000</v>
      </c>
      <c r="BV197" s="22">
        <f ca="1">INDEX('Vessel Profiles - Input'!$G$1:$L$105,MATCH($F197,'Vessel Profiles - Input'!$E$1:$E$105,0),MATCH(BV$9,'Vessel Profiles - Input'!$G$3:$L$3,0))</f>
        <v>9000</v>
      </c>
      <c r="BW197" s="22">
        <f ca="1">INDEX('Vessel Profiles - Input'!$G$1:$L$105,MATCH($F197,'Vessel Profiles - Input'!$E$1:$E$105,0),MATCH(BW$9,'Vessel Profiles - Input'!$G$3:$L$3,0))</f>
        <v>9000</v>
      </c>
      <c r="BX197" s="22">
        <f ca="1">INDEX('Vessel Profiles - Input'!$G$1:$L$105,MATCH($F197,'Vessel Profiles - Input'!$E$1:$E$105,0),MATCH(BX$9,'Vessel Profiles - Input'!$G$3:$L$3,0))</f>
        <v>9000</v>
      </c>
      <c r="BY197" s="22">
        <f ca="1">INDEX('Vessel Profiles - Input'!$G$1:$L$105,MATCH($F197,'Vessel Profiles - Input'!$E$1:$E$105,0),MATCH(BY$9,'Vessel Profiles - Input'!$G$3:$L$3,0))</f>
        <v>9000</v>
      </c>
      <c r="BZ197" s="22">
        <f ca="1">INDEX('Vessel Profiles - Input'!$G$1:$L$105,MATCH($F197,'Vessel Profiles - Input'!$E$1:$E$105,0),MATCH(BZ$9,'Vessel Profiles - Input'!$G$3:$L$3,0))</f>
        <v>9000</v>
      </c>
      <c r="CF197" s="16" t="s">
        <v>298</v>
      </c>
      <c r="CG197" s="224" t="s">
        <v>296</v>
      </c>
      <c r="CH197" s="224" t="str">
        <f>_xlfn.TEXTJOIN(keydelim,TRUE,$D197,CH$10)</f>
        <v>Fuel tank size - Medium</v>
      </c>
      <c r="CI197" s="22">
        <f ca="1">INDEX('Vessel Profiles - Input'!$G$1:$L$105,MATCH($F197,'Vessel Profiles - Input'!$E$1:$E$105,0),MATCH(CI$9,'Vessel Profiles - Input'!$G$3:$L$3,0))</f>
        <v>9000</v>
      </c>
      <c r="CJ197" s="22">
        <f ca="1">INDEX('Vessel Profiles - Input'!$G$1:$L$105,MATCH($F197,'Vessel Profiles - Input'!$E$1:$E$105,0),MATCH(CJ$9,'Vessel Profiles - Input'!$G$3:$L$3,0))</f>
        <v>9000</v>
      </c>
      <c r="CK197" s="22">
        <f ca="1">INDEX('Vessel Profiles - Input'!$G$1:$L$105,MATCH($F197,'Vessel Profiles - Input'!$E$1:$E$105,0),MATCH(CK$9,'Vessel Profiles - Input'!$G$3:$L$3,0))</f>
        <v>9000</v>
      </c>
      <c r="CL197" s="22">
        <f ca="1">INDEX('Vessel Profiles - Input'!$G$1:$L$105,MATCH($F197,'Vessel Profiles - Input'!$E$1:$E$105,0),MATCH(CL$9,'Vessel Profiles - Input'!$G$3:$L$3,0))</f>
        <v>9000</v>
      </c>
      <c r="CM197" s="22">
        <f ca="1">INDEX('Vessel Profiles - Input'!$G$1:$L$105,MATCH($F197,'Vessel Profiles - Input'!$E$1:$E$105,0),MATCH(CM$9,'Vessel Profiles - Input'!$G$3:$L$3,0))</f>
        <v>9000</v>
      </c>
      <c r="CN197" s="22">
        <f ca="1">INDEX('Vessel Profiles - Input'!$G$1:$L$105,MATCH($F197,'Vessel Profiles - Input'!$E$1:$E$105,0),MATCH(CN$9,'Vessel Profiles - Input'!$G$3:$L$3,0))</f>
        <v>9000</v>
      </c>
      <c r="CO197" s="22">
        <f ca="1">INDEX('Vessel Profiles - Input'!$G$1:$L$105,MATCH($F197,'Vessel Profiles - Input'!$E$1:$E$105,0),MATCH(CO$9,'Vessel Profiles - Input'!$G$3:$L$3,0))</f>
        <v>9000</v>
      </c>
      <c r="CP197" s="22">
        <f ca="1">INDEX('Vessel Profiles - Input'!$G$1:$L$105,MATCH($F197,'Vessel Profiles - Input'!$E$1:$E$105,0),MATCH(CP$9,'Vessel Profiles - Input'!$G$3:$L$3,0))</f>
        <v>9000</v>
      </c>
      <c r="CQ197" s="22">
        <f ca="1">INDEX('Vessel Profiles - Input'!$G$1:$L$105,MATCH($F197,'Vessel Profiles - Input'!$E$1:$E$105,0),MATCH(CQ$9,'Vessel Profiles - Input'!$G$3:$L$3,0))</f>
        <v>9000</v>
      </c>
      <c r="CR197" s="22">
        <f ca="1">INDEX('Vessel Profiles - Input'!$G$1:$L$105,MATCH($F197,'Vessel Profiles - Input'!$E$1:$E$105,0),MATCH(CR$9,'Vessel Profiles - Input'!$G$3:$L$3,0))</f>
        <v>9000</v>
      </c>
      <c r="CS197" s="22">
        <f ca="1">INDEX('Vessel Profiles - Input'!$G$1:$L$105,MATCH($F197,'Vessel Profiles - Input'!$E$1:$E$105,0),MATCH(CS$9,'Vessel Profiles - Input'!$G$3:$L$3,0))</f>
        <v>9000</v>
      </c>
      <c r="CT197" s="22">
        <f ca="1">INDEX('Vessel Profiles - Input'!$G$1:$L$105,MATCH($F197,'Vessel Profiles - Input'!$E$1:$E$105,0),MATCH(CT$9,'Vessel Profiles - Input'!$G$3:$L$3,0))</f>
        <v>9000</v>
      </c>
    </row>
    <row r="198" spans="2:100" hidden="1" outlineLevel="1" x14ac:dyDescent="0.2">
      <c r="C198" s="3"/>
      <c r="D198" s="16" t="s">
        <v>391</v>
      </c>
      <c r="E198" s="224" t="s">
        <v>296</v>
      </c>
      <c r="G198" s="22">
        <f t="shared" ref="G198" ca="1" si="896">G201/(1-G200)+G204/(1-G203)</f>
        <v>9000</v>
      </c>
      <c r="H198" s="22">
        <f t="shared" ref="H198:R198" ca="1" si="897">H201/(1-H200)+H204/(1-H203)</f>
        <v>9000</v>
      </c>
      <c r="I198" s="22">
        <f t="shared" ca="1" si="897"/>
        <v>9000</v>
      </c>
      <c r="J198" s="22">
        <f t="shared" ca="1" si="897"/>
        <v>9000</v>
      </c>
      <c r="K198" s="22">
        <f t="shared" ca="1" si="897"/>
        <v>9000</v>
      </c>
      <c r="L198" s="22">
        <f t="shared" ca="1" si="897"/>
        <v>9000</v>
      </c>
      <c r="M198" s="22">
        <f t="shared" ca="1" si="897"/>
        <v>9000</v>
      </c>
      <c r="N198" s="22">
        <f t="shared" ca="1" si="897"/>
        <v>9000</v>
      </c>
      <c r="O198" s="22">
        <f t="shared" ca="1" si="897"/>
        <v>9000</v>
      </c>
      <c r="P198" s="22">
        <f t="shared" ca="1" si="897"/>
        <v>9000</v>
      </c>
      <c r="Q198" s="22">
        <f t="shared" ca="1" si="897"/>
        <v>9000</v>
      </c>
      <c r="R198" s="22">
        <f t="shared" ca="1" si="897"/>
        <v>9000</v>
      </c>
      <c r="X198" s="16" t="s">
        <v>391</v>
      </c>
      <c r="Y198" s="224" t="s">
        <v>296</v>
      </c>
      <c r="AA198" s="22">
        <f t="shared" ref="AA198:AL198" ca="1" si="898">AA201/(1-AA200)+AA204/(1-AA203)</f>
        <v>12857.142857142859</v>
      </c>
      <c r="AB198" s="22">
        <f t="shared" ca="1" si="898"/>
        <v>12857.142857142859</v>
      </c>
      <c r="AC198" s="22">
        <f t="shared" ca="1" si="898"/>
        <v>12857.142857142859</v>
      </c>
      <c r="AD198" s="22">
        <f t="shared" ca="1" si="898"/>
        <v>12857.142857142859</v>
      </c>
      <c r="AE198" s="22">
        <f t="shared" ca="1" si="898"/>
        <v>12857.142857142859</v>
      </c>
      <c r="AF198" s="22">
        <f t="shared" ca="1" si="898"/>
        <v>12857.142857142859</v>
      </c>
      <c r="AG198" s="22">
        <f t="shared" ca="1" si="898"/>
        <v>12857.142857142859</v>
      </c>
      <c r="AH198" s="22">
        <f t="shared" ca="1" si="898"/>
        <v>12857.142857142859</v>
      </c>
      <c r="AI198" s="22">
        <f t="shared" ca="1" si="898"/>
        <v>12857.142857142859</v>
      </c>
      <c r="AJ198" s="22">
        <f t="shared" ca="1" si="898"/>
        <v>12857.142857142859</v>
      </c>
      <c r="AK198" s="22">
        <f t="shared" ca="1" si="898"/>
        <v>12857.142857142859</v>
      </c>
      <c r="AL198" s="22">
        <f t="shared" ca="1" si="898"/>
        <v>12857.142857142859</v>
      </c>
      <c r="AR198" s="16" t="s">
        <v>391</v>
      </c>
      <c r="AS198" s="224" t="s">
        <v>296</v>
      </c>
      <c r="AU198" s="22">
        <f t="shared" ref="AU198:BF198" ca="1" si="899">AU201/(1-AU200)+AU204/(1-AU203)</f>
        <v>9000</v>
      </c>
      <c r="AV198" s="22">
        <f t="shared" ca="1" si="899"/>
        <v>9000</v>
      </c>
      <c r="AW198" s="22">
        <f t="shared" ca="1" si="899"/>
        <v>9000</v>
      </c>
      <c r="AX198" s="22">
        <f t="shared" ca="1" si="899"/>
        <v>9000</v>
      </c>
      <c r="AY198" s="22">
        <f t="shared" ca="1" si="899"/>
        <v>9000</v>
      </c>
      <c r="AZ198" s="22">
        <f t="shared" ca="1" si="899"/>
        <v>9000</v>
      </c>
      <c r="BA198" s="22">
        <f t="shared" ca="1" si="899"/>
        <v>9000</v>
      </c>
      <c r="BB198" s="22">
        <f t="shared" ca="1" si="899"/>
        <v>9000</v>
      </c>
      <c r="BC198" s="22">
        <f t="shared" ca="1" si="899"/>
        <v>9000</v>
      </c>
      <c r="BD198" s="22">
        <f t="shared" ca="1" si="899"/>
        <v>9000</v>
      </c>
      <c r="BE198" s="22">
        <f t="shared" ca="1" si="899"/>
        <v>9000</v>
      </c>
      <c r="BF198" s="22">
        <f t="shared" ca="1" si="899"/>
        <v>9000</v>
      </c>
      <c r="BL198" s="16" t="s">
        <v>391</v>
      </c>
      <c r="BM198" s="224" t="s">
        <v>296</v>
      </c>
      <c r="BO198" s="22">
        <f t="shared" ref="BO198:BZ198" ca="1" si="900">BO201/(1-BO200)+BO204/(1-BO203)</f>
        <v>9000</v>
      </c>
      <c r="BP198" s="22">
        <f t="shared" ca="1" si="900"/>
        <v>9000</v>
      </c>
      <c r="BQ198" s="22">
        <f t="shared" ca="1" si="900"/>
        <v>9000</v>
      </c>
      <c r="BR198" s="22">
        <f t="shared" ca="1" si="900"/>
        <v>9000</v>
      </c>
      <c r="BS198" s="22">
        <f t="shared" ca="1" si="900"/>
        <v>9000</v>
      </c>
      <c r="BT198" s="22">
        <f t="shared" ca="1" si="900"/>
        <v>9000</v>
      </c>
      <c r="BU198" s="22">
        <f t="shared" ca="1" si="900"/>
        <v>9000</v>
      </c>
      <c r="BV198" s="22">
        <f t="shared" ca="1" si="900"/>
        <v>9000</v>
      </c>
      <c r="BW198" s="22">
        <f t="shared" ca="1" si="900"/>
        <v>9000</v>
      </c>
      <c r="BX198" s="22">
        <f t="shared" ca="1" si="900"/>
        <v>9000</v>
      </c>
      <c r="BY198" s="22">
        <f t="shared" ca="1" si="900"/>
        <v>9000</v>
      </c>
      <c r="BZ198" s="22">
        <f t="shared" ca="1" si="900"/>
        <v>9000</v>
      </c>
      <c r="CF198" s="16" t="s">
        <v>391</v>
      </c>
      <c r="CG198" s="224" t="s">
        <v>296</v>
      </c>
      <c r="CI198" s="22">
        <f t="shared" ref="CI198:CT198" ca="1" si="901">CI201/(1-CI200)+CI204/(1-CI203)</f>
        <v>9000</v>
      </c>
      <c r="CJ198" s="22">
        <f t="shared" ca="1" si="901"/>
        <v>9000</v>
      </c>
      <c r="CK198" s="22">
        <f t="shared" ca="1" si="901"/>
        <v>9000</v>
      </c>
      <c r="CL198" s="22">
        <f t="shared" ca="1" si="901"/>
        <v>9000</v>
      </c>
      <c r="CM198" s="22">
        <f t="shared" ca="1" si="901"/>
        <v>9000</v>
      </c>
      <c r="CN198" s="22">
        <f t="shared" ca="1" si="901"/>
        <v>9000</v>
      </c>
      <c r="CO198" s="22">
        <f t="shared" ca="1" si="901"/>
        <v>9000</v>
      </c>
      <c r="CP198" s="22">
        <f t="shared" ca="1" si="901"/>
        <v>9000</v>
      </c>
      <c r="CQ198" s="22">
        <f t="shared" ca="1" si="901"/>
        <v>9000</v>
      </c>
      <c r="CR198" s="22">
        <f t="shared" ca="1" si="901"/>
        <v>9000</v>
      </c>
      <c r="CS198" s="22">
        <f t="shared" ca="1" si="901"/>
        <v>9000</v>
      </c>
      <c r="CT198" s="22">
        <f t="shared" ca="1" si="901"/>
        <v>9000</v>
      </c>
    </row>
    <row r="199" spans="2:100" hidden="1" outlineLevel="1" x14ac:dyDescent="0.2">
      <c r="B199" s="306"/>
      <c r="C199" s="3"/>
      <c r="D199" t="s">
        <v>392</v>
      </c>
      <c r="E199" s="224"/>
      <c r="F199" s="298"/>
      <c r="G199" s="22">
        <v>1</v>
      </c>
      <c r="H199" s="22">
        <v>1</v>
      </c>
      <c r="I199" s="22">
        <v>1</v>
      </c>
      <c r="J199" s="22">
        <v>1</v>
      </c>
      <c r="K199" s="22">
        <v>1</v>
      </c>
      <c r="L199" s="22">
        <v>1</v>
      </c>
      <c r="M199" s="22">
        <v>1</v>
      </c>
      <c r="N199" s="22">
        <v>1</v>
      </c>
      <c r="O199" s="22">
        <v>1</v>
      </c>
      <c r="P199" s="22">
        <v>1</v>
      </c>
      <c r="Q199" s="22">
        <v>1</v>
      </c>
      <c r="R199" s="22">
        <v>1</v>
      </c>
      <c r="X199" t="s">
        <v>392</v>
      </c>
      <c r="Y199" s="224"/>
      <c r="Z199" s="298"/>
      <c r="AA199" s="22">
        <v>1</v>
      </c>
      <c r="AB199" s="22">
        <v>1</v>
      </c>
      <c r="AC199" s="22">
        <v>1</v>
      </c>
      <c r="AD199" s="22">
        <v>1</v>
      </c>
      <c r="AE199" s="22">
        <v>1</v>
      </c>
      <c r="AF199" s="22">
        <v>1</v>
      </c>
      <c r="AG199" s="22">
        <v>1</v>
      </c>
      <c r="AH199" s="22">
        <v>1</v>
      </c>
      <c r="AI199" s="22">
        <v>1</v>
      </c>
      <c r="AJ199" s="22">
        <v>1</v>
      </c>
      <c r="AK199" s="22">
        <v>1</v>
      </c>
      <c r="AL199" s="22">
        <v>1</v>
      </c>
      <c r="AR199" t="s">
        <v>392</v>
      </c>
      <c r="AS199" s="224"/>
      <c r="AT199" s="298"/>
      <c r="AU199" s="22">
        <v>1</v>
      </c>
      <c r="AV199" s="22">
        <v>1</v>
      </c>
      <c r="AW199" s="22">
        <v>1</v>
      </c>
      <c r="AX199" s="22">
        <v>1</v>
      </c>
      <c r="AY199" s="22">
        <v>1</v>
      </c>
      <c r="AZ199" s="22">
        <v>1</v>
      </c>
      <c r="BA199" s="22">
        <v>1</v>
      </c>
      <c r="BB199" s="22">
        <v>1</v>
      </c>
      <c r="BC199" s="22">
        <v>1</v>
      </c>
      <c r="BD199" s="22">
        <v>1</v>
      </c>
      <c r="BE199" s="22">
        <v>1</v>
      </c>
      <c r="BF199" s="22">
        <v>1</v>
      </c>
      <c r="BL199" t="s">
        <v>392</v>
      </c>
      <c r="BM199" s="224"/>
      <c r="BN199" s="298"/>
      <c r="BO199" s="22">
        <v>1</v>
      </c>
      <c r="BP199" s="22">
        <v>1</v>
      </c>
      <c r="BQ199" s="22">
        <v>1</v>
      </c>
      <c r="BR199" s="22">
        <v>1</v>
      </c>
      <c r="BS199" s="22">
        <v>1</v>
      </c>
      <c r="BT199" s="22">
        <v>1</v>
      </c>
      <c r="BU199" s="22">
        <v>1</v>
      </c>
      <c r="BV199" s="22">
        <v>1</v>
      </c>
      <c r="BW199" s="22">
        <v>1</v>
      </c>
      <c r="BX199" s="22">
        <v>1</v>
      </c>
      <c r="BY199" s="22">
        <v>1</v>
      </c>
      <c r="BZ199" s="22">
        <v>1</v>
      </c>
      <c r="CF199" t="s">
        <v>392</v>
      </c>
      <c r="CG199" s="224"/>
      <c r="CH199" s="298"/>
      <c r="CI199" s="22">
        <v>1</v>
      </c>
      <c r="CJ199" s="22">
        <v>1</v>
      </c>
      <c r="CK199" s="22">
        <v>1</v>
      </c>
      <c r="CL199" s="22">
        <v>1</v>
      </c>
      <c r="CM199" s="22">
        <v>1</v>
      </c>
      <c r="CN199" s="22">
        <v>1</v>
      </c>
      <c r="CO199" s="22">
        <v>1</v>
      </c>
      <c r="CP199" s="22">
        <v>1</v>
      </c>
      <c r="CQ199" s="22">
        <v>1</v>
      </c>
      <c r="CR199" s="22">
        <v>1</v>
      </c>
      <c r="CS199" s="22">
        <v>1</v>
      </c>
      <c r="CT199" s="22">
        <v>1</v>
      </c>
    </row>
    <row r="200" spans="2:100" hidden="1" outlineLevel="1" x14ac:dyDescent="0.2">
      <c r="C200" s="3"/>
      <c r="D200" s="59" t="s">
        <v>393</v>
      </c>
      <c r="E200" s="224" t="s">
        <v>178</v>
      </c>
      <c r="F200" s="224" t="str">
        <f>_xlfn.TEXTJOIN(keydelim,TRUE,F$15,$D200)</f>
        <v>LSFO - Spherical tank waste</v>
      </c>
      <c r="G200" s="23">
        <f t="shared" ref="G200:R200" ca="1" si="902">INDEX(tbl_TCO_input,MATCH(
_xlfn.TEXTJOIN(keydelim,TRUE,G$23,$D200),rows_TCO_ID,0),MATCH(G$6,cols_TCO_input,0))</f>
        <v>0</v>
      </c>
      <c r="H200" s="23">
        <f t="shared" ca="1" si="902"/>
        <v>0</v>
      </c>
      <c r="I200" s="23">
        <f t="shared" ca="1" si="902"/>
        <v>0</v>
      </c>
      <c r="J200" s="23">
        <f t="shared" ca="1" si="902"/>
        <v>0</v>
      </c>
      <c r="K200" s="23">
        <f t="shared" ca="1" si="902"/>
        <v>0</v>
      </c>
      <c r="L200" s="23">
        <f t="shared" ca="1" si="902"/>
        <v>0</v>
      </c>
      <c r="M200" s="23">
        <f t="shared" ca="1" si="902"/>
        <v>0</v>
      </c>
      <c r="N200" s="23">
        <f t="shared" ca="1" si="902"/>
        <v>0</v>
      </c>
      <c r="O200" s="23">
        <f t="shared" ca="1" si="902"/>
        <v>0</v>
      </c>
      <c r="P200" s="23">
        <f t="shared" ca="1" si="902"/>
        <v>0</v>
      </c>
      <c r="Q200" s="23">
        <f t="shared" ca="1" si="902"/>
        <v>0</v>
      </c>
      <c r="R200" s="23">
        <f t="shared" ca="1" si="902"/>
        <v>0</v>
      </c>
      <c r="X200" s="59" t="s">
        <v>393</v>
      </c>
      <c r="Y200" s="224" t="s">
        <v>178</v>
      </c>
      <c r="Z200" s="224" t="str">
        <f>_xlfn.TEXTJOIN(keydelim,TRUE,Z$15,$D200)</f>
        <v>LNG - Spherical tank waste</v>
      </c>
      <c r="AA200" s="23">
        <f t="shared" ref="AA200:AL200" ca="1" si="903">INDEX(tbl_TCO_input,MATCH(
_xlfn.TEXTJOIN(keydelim,TRUE,AA$23,$D200),rows_TCO_ID,0),MATCH(AA$6,cols_TCO_input,0))</f>
        <v>0.3</v>
      </c>
      <c r="AB200" s="23">
        <f t="shared" ca="1" si="903"/>
        <v>0.3</v>
      </c>
      <c r="AC200" s="23">
        <f t="shared" ca="1" si="903"/>
        <v>0.3</v>
      </c>
      <c r="AD200" s="23">
        <f t="shared" ca="1" si="903"/>
        <v>0.3</v>
      </c>
      <c r="AE200" s="23">
        <f t="shared" ca="1" si="903"/>
        <v>0.3</v>
      </c>
      <c r="AF200" s="23">
        <f t="shared" ca="1" si="903"/>
        <v>0.3</v>
      </c>
      <c r="AG200" s="23">
        <f t="shared" ca="1" si="903"/>
        <v>0.3</v>
      </c>
      <c r="AH200" s="23">
        <f t="shared" ca="1" si="903"/>
        <v>0.3</v>
      </c>
      <c r="AI200" s="23">
        <f t="shared" ca="1" si="903"/>
        <v>0.3</v>
      </c>
      <c r="AJ200" s="23">
        <f t="shared" ca="1" si="903"/>
        <v>0.3</v>
      </c>
      <c r="AK200" s="23">
        <f t="shared" ca="1" si="903"/>
        <v>0.3</v>
      </c>
      <c r="AL200" s="23">
        <f t="shared" ca="1" si="903"/>
        <v>0.3</v>
      </c>
      <c r="AR200" s="59" t="s">
        <v>393</v>
      </c>
      <c r="AS200" s="224" t="s">
        <v>178</v>
      </c>
      <c r="AT200" s="224" t="str">
        <f>_xlfn.TEXTJOIN(keydelim,TRUE,AT$15,$D200)</f>
        <v>e-Ammonia - Spherical tank waste</v>
      </c>
      <c r="AU200" s="23">
        <f t="shared" ref="AU200:BF200" ca="1" si="904">INDEX(tbl_TCO_input,MATCH(
_xlfn.TEXTJOIN(keydelim,TRUE,AU$23,$D200),rows_TCO_ID,0),MATCH(AU$6,cols_TCO_input,0))</f>
        <v>0</v>
      </c>
      <c r="AV200" s="23">
        <f t="shared" ca="1" si="904"/>
        <v>0</v>
      </c>
      <c r="AW200" s="23">
        <f t="shared" ca="1" si="904"/>
        <v>0</v>
      </c>
      <c r="AX200" s="23">
        <f t="shared" ca="1" si="904"/>
        <v>0</v>
      </c>
      <c r="AY200" s="23">
        <f t="shared" ca="1" si="904"/>
        <v>0</v>
      </c>
      <c r="AZ200" s="23">
        <f t="shared" ca="1" si="904"/>
        <v>0</v>
      </c>
      <c r="BA200" s="23">
        <f t="shared" ca="1" si="904"/>
        <v>0</v>
      </c>
      <c r="BB200" s="23">
        <f t="shared" ca="1" si="904"/>
        <v>0</v>
      </c>
      <c r="BC200" s="23">
        <f t="shared" ca="1" si="904"/>
        <v>0</v>
      </c>
      <c r="BD200" s="23">
        <f t="shared" ca="1" si="904"/>
        <v>0</v>
      </c>
      <c r="BE200" s="23">
        <f t="shared" ca="1" si="904"/>
        <v>0</v>
      </c>
      <c r="BF200" s="23">
        <f t="shared" ca="1" si="904"/>
        <v>0</v>
      </c>
      <c r="BL200" s="59" t="s">
        <v>393</v>
      </c>
      <c r="BM200" s="224" t="s">
        <v>178</v>
      </c>
      <c r="BN200" s="224" t="str">
        <f>_xlfn.TEXTJOIN(keydelim,TRUE,BN$15,$D200)</f>
        <v>Blue ammonia - Spherical tank waste</v>
      </c>
      <c r="BO200" s="23">
        <f t="shared" ref="BO200:BZ200" ca="1" si="905">INDEX(tbl_TCO_input,MATCH(
_xlfn.TEXTJOIN(keydelim,TRUE,BO$23,$D200),rows_TCO_ID,0),MATCH(BO$6,cols_TCO_input,0))</f>
        <v>0</v>
      </c>
      <c r="BP200" s="23">
        <f t="shared" ca="1" si="905"/>
        <v>0</v>
      </c>
      <c r="BQ200" s="23">
        <f t="shared" ca="1" si="905"/>
        <v>0</v>
      </c>
      <c r="BR200" s="23">
        <f t="shared" ca="1" si="905"/>
        <v>0</v>
      </c>
      <c r="BS200" s="23">
        <f t="shared" ca="1" si="905"/>
        <v>0</v>
      </c>
      <c r="BT200" s="23">
        <f t="shared" ca="1" si="905"/>
        <v>0</v>
      </c>
      <c r="BU200" s="23">
        <f t="shared" ca="1" si="905"/>
        <v>0</v>
      </c>
      <c r="BV200" s="23">
        <f t="shared" ca="1" si="905"/>
        <v>0</v>
      </c>
      <c r="BW200" s="23">
        <f t="shared" ca="1" si="905"/>
        <v>0</v>
      </c>
      <c r="BX200" s="23">
        <f t="shared" ca="1" si="905"/>
        <v>0</v>
      </c>
      <c r="BY200" s="23">
        <f t="shared" ca="1" si="905"/>
        <v>0</v>
      </c>
      <c r="BZ200" s="23">
        <f t="shared" ca="1" si="905"/>
        <v>0</v>
      </c>
      <c r="CF200" s="59" t="s">
        <v>393</v>
      </c>
      <c r="CG200" s="224" t="s">
        <v>178</v>
      </c>
      <c r="CH200" s="224" t="str">
        <f>_xlfn.TEXTJOIN(keydelim,TRUE,CH$15,$D200)</f>
        <v>Biomethanol - Spherical tank waste</v>
      </c>
      <c r="CI200" s="23">
        <f t="shared" ref="CI200:CT200" ca="1" si="906">INDEX(tbl_TCO_input,MATCH(
_xlfn.TEXTJOIN(keydelim,TRUE,CI$23,$D200),rows_TCO_ID,0),MATCH(CI$6,cols_TCO_input,0))</f>
        <v>0</v>
      </c>
      <c r="CJ200" s="23">
        <f t="shared" ca="1" si="906"/>
        <v>0</v>
      </c>
      <c r="CK200" s="23">
        <f t="shared" ca="1" si="906"/>
        <v>0</v>
      </c>
      <c r="CL200" s="23">
        <f t="shared" ca="1" si="906"/>
        <v>0</v>
      </c>
      <c r="CM200" s="23">
        <f t="shared" ca="1" si="906"/>
        <v>0</v>
      </c>
      <c r="CN200" s="23">
        <f t="shared" ca="1" si="906"/>
        <v>0</v>
      </c>
      <c r="CO200" s="23">
        <f t="shared" ca="1" si="906"/>
        <v>0</v>
      </c>
      <c r="CP200" s="23">
        <f t="shared" ca="1" si="906"/>
        <v>0</v>
      </c>
      <c r="CQ200" s="23">
        <f t="shared" ca="1" si="906"/>
        <v>0</v>
      </c>
      <c r="CR200" s="23">
        <f t="shared" ca="1" si="906"/>
        <v>0</v>
      </c>
      <c r="CS200" s="23">
        <f t="shared" ca="1" si="906"/>
        <v>0</v>
      </c>
      <c r="CT200" s="23">
        <f t="shared" ca="1" si="906"/>
        <v>0</v>
      </c>
    </row>
    <row r="201" spans="2:100" hidden="1" outlineLevel="1" x14ac:dyDescent="0.2">
      <c r="C201" s="3"/>
      <c r="D201" s="16" t="s">
        <v>298</v>
      </c>
      <c r="E201" s="224" t="s">
        <v>296</v>
      </c>
      <c r="F201" s="224" t="str">
        <f>_xlfn.TEXTJOIN(keydelim,TRUE,$D201,F$10)</f>
        <v>Fuel tank size - Medium</v>
      </c>
      <c r="G201" s="22">
        <f ca="1">INDEX('Vessel Profiles - Input'!$G$1:$L$105,MATCH($F201,'Vessel Profiles - Input'!$E$1:$E$105,0),MATCH(G$9,'Vessel Profiles - Input'!$G$3:$L$3,0))</f>
        <v>9000</v>
      </c>
      <c r="H201" s="22">
        <f ca="1">INDEX('Vessel Profiles - Input'!$G$1:$L$105,MATCH($F201,'Vessel Profiles - Input'!$E$1:$E$105,0),MATCH(H$9,'Vessel Profiles - Input'!$G$3:$L$3,0))</f>
        <v>9000</v>
      </c>
      <c r="I201" s="22">
        <f ca="1">INDEX('Vessel Profiles - Input'!$G$1:$L$105,MATCH($F201,'Vessel Profiles - Input'!$E$1:$E$105,0),MATCH(I$9,'Vessel Profiles - Input'!$G$3:$L$3,0))</f>
        <v>9000</v>
      </c>
      <c r="J201" s="22">
        <f ca="1">INDEX('Vessel Profiles - Input'!$G$1:$L$105,MATCH($F201,'Vessel Profiles - Input'!$E$1:$E$105,0),MATCH(J$9,'Vessel Profiles - Input'!$G$3:$L$3,0))</f>
        <v>9000</v>
      </c>
      <c r="K201" s="22">
        <f ca="1">INDEX('Vessel Profiles - Input'!$G$1:$L$105,MATCH($F201,'Vessel Profiles - Input'!$E$1:$E$105,0),MATCH(K$9,'Vessel Profiles - Input'!$G$3:$L$3,0))</f>
        <v>9000</v>
      </c>
      <c r="L201" s="22">
        <f ca="1">INDEX('Vessel Profiles - Input'!$G$1:$L$105,MATCH($F201,'Vessel Profiles - Input'!$E$1:$E$105,0),MATCH(L$9,'Vessel Profiles - Input'!$G$3:$L$3,0))</f>
        <v>9000</v>
      </c>
      <c r="M201" s="22">
        <f ca="1">INDEX('Vessel Profiles - Input'!$G$1:$L$105,MATCH($F201,'Vessel Profiles - Input'!$E$1:$E$105,0),MATCH(M$9,'Vessel Profiles - Input'!$G$3:$L$3,0))</f>
        <v>9000</v>
      </c>
      <c r="N201" s="22">
        <f ca="1">INDEX('Vessel Profiles - Input'!$G$1:$L$105,MATCH($F201,'Vessel Profiles - Input'!$E$1:$E$105,0),MATCH(N$9,'Vessel Profiles - Input'!$G$3:$L$3,0))</f>
        <v>9000</v>
      </c>
      <c r="O201" s="22">
        <f ca="1">INDEX('Vessel Profiles - Input'!$G$1:$L$105,MATCH($F201,'Vessel Profiles - Input'!$E$1:$E$105,0),MATCH(O$9,'Vessel Profiles - Input'!$G$3:$L$3,0))</f>
        <v>9000</v>
      </c>
      <c r="P201" s="22">
        <f ca="1">INDEX('Vessel Profiles - Input'!$G$1:$L$105,MATCH($F201,'Vessel Profiles - Input'!$E$1:$E$105,0),MATCH(P$9,'Vessel Profiles - Input'!$G$3:$L$3,0))</f>
        <v>9000</v>
      </c>
      <c r="Q201" s="22">
        <f ca="1">INDEX('Vessel Profiles - Input'!$G$1:$L$105,MATCH($F201,'Vessel Profiles - Input'!$E$1:$E$105,0),MATCH(Q$9,'Vessel Profiles - Input'!$G$3:$L$3,0))</f>
        <v>9000</v>
      </c>
      <c r="R201" s="22">
        <f ca="1">INDEX('Vessel Profiles - Input'!$G$1:$L$105,MATCH($F201,'Vessel Profiles - Input'!$E$1:$E$105,0),MATCH(R$9,'Vessel Profiles - Input'!$G$3:$L$3,0))</f>
        <v>9000</v>
      </c>
      <c r="X201" s="16" t="s">
        <v>298</v>
      </c>
      <c r="Y201" s="224" t="s">
        <v>296</v>
      </c>
      <c r="Z201" s="224" t="str">
        <f>_xlfn.TEXTJOIN(keydelim,TRUE,$D201,Z$10)</f>
        <v>Fuel tank size - Medium</v>
      </c>
      <c r="AA201" s="22">
        <f ca="1">INDEX('Vessel Profiles - Input'!$G$1:$L$105,MATCH($F201,'Vessel Profiles - Input'!$E$1:$E$105,0),MATCH(AA$9,'Vessel Profiles - Input'!$G$3:$L$3,0))</f>
        <v>9000</v>
      </c>
      <c r="AB201" s="22">
        <f ca="1">INDEX('Vessel Profiles - Input'!$G$1:$L$105,MATCH($F201,'Vessel Profiles - Input'!$E$1:$E$105,0),MATCH(AB$9,'Vessel Profiles - Input'!$G$3:$L$3,0))</f>
        <v>9000</v>
      </c>
      <c r="AC201" s="22">
        <f ca="1">INDEX('Vessel Profiles - Input'!$G$1:$L$105,MATCH($F201,'Vessel Profiles - Input'!$E$1:$E$105,0),MATCH(AC$9,'Vessel Profiles - Input'!$G$3:$L$3,0))</f>
        <v>9000</v>
      </c>
      <c r="AD201" s="22">
        <f ca="1">INDEX('Vessel Profiles - Input'!$G$1:$L$105,MATCH($F201,'Vessel Profiles - Input'!$E$1:$E$105,0),MATCH(AD$9,'Vessel Profiles - Input'!$G$3:$L$3,0))</f>
        <v>9000</v>
      </c>
      <c r="AE201" s="22">
        <f ca="1">INDEX('Vessel Profiles - Input'!$G$1:$L$105,MATCH($F201,'Vessel Profiles - Input'!$E$1:$E$105,0),MATCH(AE$9,'Vessel Profiles - Input'!$G$3:$L$3,0))</f>
        <v>9000</v>
      </c>
      <c r="AF201" s="22">
        <f ca="1">INDEX('Vessel Profiles - Input'!$G$1:$L$105,MATCH($F201,'Vessel Profiles - Input'!$E$1:$E$105,0),MATCH(AF$9,'Vessel Profiles - Input'!$G$3:$L$3,0))</f>
        <v>9000</v>
      </c>
      <c r="AG201" s="22">
        <f ca="1">INDEX('Vessel Profiles - Input'!$G$1:$L$105,MATCH($F201,'Vessel Profiles - Input'!$E$1:$E$105,0),MATCH(AG$9,'Vessel Profiles - Input'!$G$3:$L$3,0))</f>
        <v>9000</v>
      </c>
      <c r="AH201" s="22">
        <f ca="1">INDEX('Vessel Profiles - Input'!$G$1:$L$105,MATCH($F201,'Vessel Profiles - Input'!$E$1:$E$105,0),MATCH(AH$9,'Vessel Profiles - Input'!$G$3:$L$3,0))</f>
        <v>9000</v>
      </c>
      <c r="AI201" s="22">
        <f ca="1">INDEX('Vessel Profiles - Input'!$G$1:$L$105,MATCH($F201,'Vessel Profiles - Input'!$E$1:$E$105,0),MATCH(AI$9,'Vessel Profiles - Input'!$G$3:$L$3,0))</f>
        <v>9000</v>
      </c>
      <c r="AJ201" s="22">
        <f ca="1">INDEX('Vessel Profiles - Input'!$G$1:$L$105,MATCH($F201,'Vessel Profiles - Input'!$E$1:$E$105,0),MATCH(AJ$9,'Vessel Profiles - Input'!$G$3:$L$3,0))</f>
        <v>9000</v>
      </c>
      <c r="AK201" s="22">
        <f ca="1">INDEX('Vessel Profiles - Input'!$G$1:$L$105,MATCH($F201,'Vessel Profiles - Input'!$E$1:$E$105,0),MATCH(AK$9,'Vessel Profiles - Input'!$G$3:$L$3,0))</f>
        <v>9000</v>
      </c>
      <c r="AL201" s="22">
        <f ca="1">INDEX('Vessel Profiles - Input'!$G$1:$L$105,MATCH($F201,'Vessel Profiles - Input'!$E$1:$E$105,0),MATCH(AL$9,'Vessel Profiles - Input'!$G$3:$L$3,0))</f>
        <v>9000</v>
      </c>
      <c r="AR201" s="16" t="s">
        <v>298</v>
      </c>
      <c r="AS201" s="224" t="s">
        <v>296</v>
      </c>
      <c r="AT201" s="224" t="str">
        <f>_xlfn.TEXTJOIN(keydelim,TRUE,$D201,AT$10)</f>
        <v>Fuel tank size - Medium</v>
      </c>
      <c r="AU201" s="22">
        <f ca="1">INDEX('Vessel Profiles - Input'!$G$1:$L$105,MATCH($F201,'Vessel Profiles - Input'!$E$1:$E$105,0),MATCH(AU$9,'Vessel Profiles - Input'!$G$3:$L$3,0))</f>
        <v>9000</v>
      </c>
      <c r="AV201" s="22">
        <f ca="1">INDEX('Vessel Profiles - Input'!$G$1:$L$105,MATCH($F201,'Vessel Profiles - Input'!$E$1:$E$105,0),MATCH(AV$9,'Vessel Profiles - Input'!$G$3:$L$3,0))</f>
        <v>9000</v>
      </c>
      <c r="AW201" s="22">
        <f ca="1">INDEX('Vessel Profiles - Input'!$G$1:$L$105,MATCH($F201,'Vessel Profiles - Input'!$E$1:$E$105,0),MATCH(AW$9,'Vessel Profiles - Input'!$G$3:$L$3,0))</f>
        <v>9000</v>
      </c>
      <c r="AX201" s="22">
        <f ca="1">INDEX('Vessel Profiles - Input'!$G$1:$L$105,MATCH($F201,'Vessel Profiles - Input'!$E$1:$E$105,0),MATCH(AX$9,'Vessel Profiles - Input'!$G$3:$L$3,0))</f>
        <v>9000</v>
      </c>
      <c r="AY201" s="22">
        <f ca="1">INDEX('Vessel Profiles - Input'!$G$1:$L$105,MATCH($F201,'Vessel Profiles - Input'!$E$1:$E$105,0),MATCH(AY$9,'Vessel Profiles - Input'!$G$3:$L$3,0))</f>
        <v>9000</v>
      </c>
      <c r="AZ201" s="22">
        <f ca="1">INDEX('Vessel Profiles - Input'!$G$1:$L$105,MATCH($F201,'Vessel Profiles - Input'!$E$1:$E$105,0),MATCH(AZ$9,'Vessel Profiles - Input'!$G$3:$L$3,0))</f>
        <v>9000</v>
      </c>
      <c r="BA201" s="22">
        <f ca="1">INDEX('Vessel Profiles - Input'!$G$1:$L$105,MATCH($F201,'Vessel Profiles - Input'!$E$1:$E$105,0),MATCH(BA$9,'Vessel Profiles - Input'!$G$3:$L$3,0))</f>
        <v>9000</v>
      </c>
      <c r="BB201" s="22">
        <f ca="1">INDEX('Vessel Profiles - Input'!$G$1:$L$105,MATCH($F201,'Vessel Profiles - Input'!$E$1:$E$105,0),MATCH(BB$9,'Vessel Profiles - Input'!$G$3:$L$3,0))</f>
        <v>9000</v>
      </c>
      <c r="BC201" s="22">
        <f ca="1">INDEX('Vessel Profiles - Input'!$G$1:$L$105,MATCH($F201,'Vessel Profiles - Input'!$E$1:$E$105,0),MATCH(BC$9,'Vessel Profiles - Input'!$G$3:$L$3,0))</f>
        <v>9000</v>
      </c>
      <c r="BD201" s="22">
        <f ca="1">INDEX('Vessel Profiles - Input'!$G$1:$L$105,MATCH($F201,'Vessel Profiles - Input'!$E$1:$E$105,0),MATCH(BD$9,'Vessel Profiles - Input'!$G$3:$L$3,0))</f>
        <v>9000</v>
      </c>
      <c r="BE201" s="22">
        <f ca="1">INDEX('Vessel Profiles - Input'!$G$1:$L$105,MATCH($F201,'Vessel Profiles - Input'!$E$1:$E$105,0),MATCH(BE$9,'Vessel Profiles - Input'!$G$3:$L$3,0))</f>
        <v>9000</v>
      </c>
      <c r="BF201" s="22">
        <f ca="1">INDEX('Vessel Profiles - Input'!$G$1:$L$105,MATCH($F201,'Vessel Profiles - Input'!$E$1:$E$105,0),MATCH(BF$9,'Vessel Profiles - Input'!$G$3:$L$3,0))</f>
        <v>9000</v>
      </c>
      <c r="BL201" s="16" t="s">
        <v>298</v>
      </c>
      <c r="BM201" s="224" t="s">
        <v>296</v>
      </c>
      <c r="BN201" s="224" t="str">
        <f>_xlfn.TEXTJOIN(keydelim,TRUE,$D201,BN$10)</f>
        <v>Fuel tank size - Medium</v>
      </c>
      <c r="BO201" s="22">
        <f ca="1">INDEX('Vessel Profiles - Input'!$G$1:$L$105,MATCH($F201,'Vessel Profiles - Input'!$E$1:$E$105,0),MATCH(BO$9,'Vessel Profiles - Input'!$G$3:$L$3,0))</f>
        <v>9000</v>
      </c>
      <c r="BP201" s="22">
        <f ca="1">INDEX('Vessel Profiles - Input'!$G$1:$L$105,MATCH($F201,'Vessel Profiles - Input'!$E$1:$E$105,0),MATCH(BP$9,'Vessel Profiles - Input'!$G$3:$L$3,0))</f>
        <v>9000</v>
      </c>
      <c r="BQ201" s="22">
        <f ca="1">INDEX('Vessel Profiles - Input'!$G$1:$L$105,MATCH($F201,'Vessel Profiles - Input'!$E$1:$E$105,0),MATCH(BQ$9,'Vessel Profiles - Input'!$G$3:$L$3,0))</f>
        <v>9000</v>
      </c>
      <c r="BR201" s="22">
        <f ca="1">INDEX('Vessel Profiles - Input'!$G$1:$L$105,MATCH($F201,'Vessel Profiles - Input'!$E$1:$E$105,0),MATCH(BR$9,'Vessel Profiles - Input'!$G$3:$L$3,0))</f>
        <v>9000</v>
      </c>
      <c r="BS201" s="22">
        <f ca="1">INDEX('Vessel Profiles - Input'!$G$1:$L$105,MATCH($F201,'Vessel Profiles - Input'!$E$1:$E$105,0),MATCH(BS$9,'Vessel Profiles - Input'!$G$3:$L$3,0))</f>
        <v>9000</v>
      </c>
      <c r="BT201" s="22">
        <f ca="1">INDEX('Vessel Profiles - Input'!$G$1:$L$105,MATCH($F201,'Vessel Profiles - Input'!$E$1:$E$105,0),MATCH(BT$9,'Vessel Profiles - Input'!$G$3:$L$3,0))</f>
        <v>9000</v>
      </c>
      <c r="BU201" s="22">
        <f ca="1">INDEX('Vessel Profiles - Input'!$G$1:$L$105,MATCH($F201,'Vessel Profiles - Input'!$E$1:$E$105,0),MATCH(BU$9,'Vessel Profiles - Input'!$G$3:$L$3,0))</f>
        <v>9000</v>
      </c>
      <c r="BV201" s="22">
        <f ca="1">INDEX('Vessel Profiles - Input'!$G$1:$L$105,MATCH($F201,'Vessel Profiles - Input'!$E$1:$E$105,0),MATCH(BV$9,'Vessel Profiles - Input'!$G$3:$L$3,0))</f>
        <v>9000</v>
      </c>
      <c r="BW201" s="22">
        <f ca="1">INDEX('Vessel Profiles - Input'!$G$1:$L$105,MATCH($F201,'Vessel Profiles - Input'!$E$1:$E$105,0),MATCH(BW$9,'Vessel Profiles - Input'!$G$3:$L$3,0))</f>
        <v>9000</v>
      </c>
      <c r="BX201" s="22">
        <f ca="1">INDEX('Vessel Profiles - Input'!$G$1:$L$105,MATCH($F201,'Vessel Profiles - Input'!$E$1:$E$105,0),MATCH(BX$9,'Vessel Profiles - Input'!$G$3:$L$3,0))</f>
        <v>9000</v>
      </c>
      <c r="BY201" s="22">
        <f ca="1">INDEX('Vessel Profiles - Input'!$G$1:$L$105,MATCH($F201,'Vessel Profiles - Input'!$E$1:$E$105,0),MATCH(BY$9,'Vessel Profiles - Input'!$G$3:$L$3,0))</f>
        <v>9000</v>
      </c>
      <c r="BZ201" s="22">
        <f ca="1">INDEX('Vessel Profiles - Input'!$G$1:$L$105,MATCH($F201,'Vessel Profiles - Input'!$E$1:$E$105,0),MATCH(BZ$9,'Vessel Profiles - Input'!$G$3:$L$3,0))</f>
        <v>9000</v>
      </c>
      <c r="CF201" s="16" t="s">
        <v>298</v>
      </c>
      <c r="CG201" s="224" t="s">
        <v>296</v>
      </c>
      <c r="CH201" s="224" t="str">
        <f>_xlfn.TEXTJOIN(keydelim,TRUE,$D201,CH$10)</f>
        <v>Fuel tank size - Medium</v>
      </c>
      <c r="CI201" s="22">
        <f ca="1">INDEX('Vessel Profiles - Input'!$G$1:$L$105,MATCH($F201,'Vessel Profiles - Input'!$E$1:$E$105,0),MATCH(CI$9,'Vessel Profiles - Input'!$G$3:$L$3,0))</f>
        <v>9000</v>
      </c>
      <c r="CJ201" s="22">
        <f ca="1">INDEX('Vessel Profiles - Input'!$G$1:$L$105,MATCH($F201,'Vessel Profiles - Input'!$E$1:$E$105,0),MATCH(CJ$9,'Vessel Profiles - Input'!$G$3:$L$3,0))</f>
        <v>9000</v>
      </c>
      <c r="CK201" s="22">
        <f ca="1">INDEX('Vessel Profiles - Input'!$G$1:$L$105,MATCH($F201,'Vessel Profiles - Input'!$E$1:$E$105,0),MATCH(CK$9,'Vessel Profiles - Input'!$G$3:$L$3,0))</f>
        <v>9000</v>
      </c>
      <c r="CL201" s="22">
        <f ca="1">INDEX('Vessel Profiles - Input'!$G$1:$L$105,MATCH($F201,'Vessel Profiles - Input'!$E$1:$E$105,0),MATCH(CL$9,'Vessel Profiles - Input'!$G$3:$L$3,0))</f>
        <v>9000</v>
      </c>
      <c r="CM201" s="22">
        <f ca="1">INDEX('Vessel Profiles - Input'!$G$1:$L$105,MATCH($F201,'Vessel Profiles - Input'!$E$1:$E$105,0),MATCH(CM$9,'Vessel Profiles - Input'!$G$3:$L$3,0))</f>
        <v>9000</v>
      </c>
      <c r="CN201" s="22">
        <f ca="1">INDEX('Vessel Profiles - Input'!$G$1:$L$105,MATCH($F201,'Vessel Profiles - Input'!$E$1:$E$105,0),MATCH(CN$9,'Vessel Profiles - Input'!$G$3:$L$3,0))</f>
        <v>9000</v>
      </c>
      <c r="CO201" s="22">
        <f ca="1">INDEX('Vessel Profiles - Input'!$G$1:$L$105,MATCH($F201,'Vessel Profiles - Input'!$E$1:$E$105,0),MATCH(CO$9,'Vessel Profiles - Input'!$G$3:$L$3,0))</f>
        <v>9000</v>
      </c>
      <c r="CP201" s="22">
        <f ca="1">INDEX('Vessel Profiles - Input'!$G$1:$L$105,MATCH($F201,'Vessel Profiles - Input'!$E$1:$E$105,0),MATCH(CP$9,'Vessel Profiles - Input'!$G$3:$L$3,0))</f>
        <v>9000</v>
      </c>
      <c r="CQ201" s="22">
        <f ca="1">INDEX('Vessel Profiles - Input'!$G$1:$L$105,MATCH($F201,'Vessel Profiles - Input'!$E$1:$E$105,0),MATCH(CQ$9,'Vessel Profiles - Input'!$G$3:$L$3,0))</f>
        <v>9000</v>
      </c>
      <c r="CR201" s="22">
        <f ca="1">INDEX('Vessel Profiles - Input'!$G$1:$L$105,MATCH($F201,'Vessel Profiles - Input'!$E$1:$E$105,0),MATCH(CR$9,'Vessel Profiles - Input'!$G$3:$L$3,0))</f>
        <v>9000</v>
      </c>
      <c r="CS201" s="22">
        <f ca="1">INDEX('Vessel Profiles - Input'!$G$1:$L$105,MATCH($F201,'Vessel Profiles - Input'!$E$1:$E$105,0),MATCH(CS$9,'Vessel Profiles - Input'!$G$3:$L$3,0))</f>
        <v>9000</v>
      </c>
      <c r="CT201" s="22">
        <f ca="1">INDEX('Vessel Profiles - Input'!$G$1:$L$105,MATCH($F201,'Vessel Profiles - Input'!$E$1:$E$105,0),MATCH(CT$9,'Vessel Profiles - Input'!$G$3:$L$3,0))</f>
        <v>9000</v>
      </c>
    </row>
    <row r="202" spans="2:100" hidden="1" outlineLevel="1" x14ac:dyDescent="0.2">
      <c r="C202" s="3"/>
      <c r="D202" t="s">
        <v>394</v>
      </c>
      <c r="E202" s="224"/>
      <c r="F202" s="298" t="str">
        <f>F$16</f>
        <v>LSFO</v>
      </c>
      <c r="G202" s="22">
        <v>1</v>
      </c>
      <c r="H202" s="22">
        <v>1</v>
      </c>
      <c r="I202" s="22">
        <v>1</v>
      </c>
      <c r="J202" s="22">
        <v>1</v>
      </c>
      <c r="K202" s="22">
        <v>1</v>
      </c>
      <c r="L202" s="22">
        <v>1</v>
      </c>
      <c r="M202" s="22">
        <v>1</v>
      </c>
      <c r="N202" s="22">
        <v>1</v>
      </c>
      <c r="O202" s="22">
        <v>1</v>
      </c>
      <c r="P202" s="22">
        <v>1</v>
      </c>
      <c r="Q202" s="22">
        <v>1</v>
      </c>
      <c r="R202" s="22">
        <v>1</v>
      </c>
      <c r="X202" t="s">
        <v>394</v>
      </c>
      <c r="Y202" s="224"/>
      <c r="Z202" s="298" t="str">
        <f>Z$16</f>
        <v>LSFO</v>
      </c>
      <c r="AA202" s="22">
        <v>1</v>
      </c>
      <c r="AB202" s="22">
        <v>1</v>
      </c>
      <c r="AC202" s="22">
        <v>1</v>
      </c>
      <c r="AD202" s="22">
        <v>1</v>
      </c>
      <c r="AE202" s="22">
        <v>1</v>
      </c>
      <c r="AF202" s="22">
        <v>1</v>
      </c>
      <c r="AG202" s="22">
        <v>1</v>
      </c>
      <c r="AH202" s="22">
        <v>1</v>
      </c>
      <c r="AI202" s="22">
        <v>1</v>
      </c>
      <c r="AJ202" s="22">
        <v>1</v>
      </c>
      <c r="AK202" s="22">
        <v>1</v>
      </c>
      <c r="AL202" s="22">
        <v>1</v>
      </c>
      <c r="AR202" t="s">
        <v>394</v>
      </c>
      <c r="AS202" s="224"/>
      <c r="AT202" s="298" t="str">
        <f>AT$16</f>
        <v>Biodiesel (Pyr)</v>
      </c>
      <c r="AU202" s="22">
        <v>1</v>
      </c>
      <c r="AV202" s="22">
        <v>1</v>
      </c>
      <c r="AW202" s="22">
        <v>1</v>
      </c>
      <c r="AX202" s="22">
        <v>1</v>
      </c>
      <c r="AY202" s="22">
        <v>1</v>
      </c>
      <c r="AZ202" s="22">
        <v>1</v>
      </c>
      <c r="BA202" s="22">
        <v>1</v>
      </c>
      <c r="BB202" s="22">
        <v>1</v>
      </c>
      <c r="BC202" s="22">
        <v>1</v>
      </c>
      <c r="BD202" s="22">
        <v>1</v>
      </c>
      <c r="BE202" s="22">
        <v>1</v>
      </c>
      <c r="BF202" s="22">
        <v>1</v>
      </c>
      <c r="BL202" t="s">
        <v>394</v>
      </c>
      <c r="BM202" s="224"/>
      <c r="BN202" s="298" t="str">
        <f>BN$16</f>
        <v>Biodiesel (Pyr)</v>
      </c>
      <c r="BO202" s="22">
        <v>1</v>
      </c>
      <c r="BP202" s="22">
        <v>1</v>
      </c>
      <c r="BQ202" s="22">
        <v>1</v>
      </c>
      <c r="BR202" s="22">
        <v>1</v>
      </c>
      <c r="BS202" s="22">
        <v>1</v>
      </c>
      <c r="BT202" s="22">
        <v>1</v>
      </c>
      <c r="BU202" s="22">
        <v>1</v>
      </c>
      <c r="BV202" s="22">
        <v>1</v>
      </c>
      <c r="BW202" s="22">
        <v>1</v>
      </c>
      <c r="BX202" s="22">
        <v>1</v>
      </c>
      <c r="BY202" s="22">
        <v>1</v>
      </c>
      <c r="BZ202" s="22">
        <v>1</v>
      </c>
      <c r="CF202" t="s">
        <v>394</v>
      </c>
      <c r="CG202" s="224"/>
      <c r="CH202" s="298" t="str">
        <f>CH$16</f>
        <v>Biodiesel (Pyr)</v>
      </c>
      <c r="CI202" s="22">
        <v>1</v>
      </c>
      <c r="CJ202" s="22">
        <v>1</v>
      </c>
      <c r="CK202" s="22">
        <v>1</v>
      </c>
      <c r="CL202" s="22">
        <v>1</v>
      </c>
      <c r="CM202" s="22">
        <v>1</v>
      </c>
      <c r="CN202" s="22">
        <v>1</v>
      </c>
      <c r="CO202" s="22">
        <v>1</v>
      </c>
      <c r="CP202" s="22">
        <v>1</v>
      </c>
      <c r="CQ202" s="22">
        <v>1</v>
      </c>
      <c r="CR202" s="22">
        <v>1</v>
      </c>
      <c r="CS202" s="22">
        <v>1</v>
      </c>
      <c r="CT202" s="22">
        <v>1</v>
      </c>
    </row>
    <row r="203" spans="2:100" hidden="1" outlineLevel="1" x14ac:dyDescent="0.2">
      <c r="C203" s="3"/>
      <c r="D203" s="59" t="s">
        <v>393</v>
      </c>
      <c r="E203" s="224" t="s">
        <v>178</v>
      </c>
      <c r="F203" s="224" t="str">
        <f>_xlfn.TEXTJOIN(keydelim,TRUE,F$16,$D203)</f>
        <v>LSFO - Spherical tank waste</v>
      </c>
      <c r="G203" s="23">
        <f t="shared" ref="G203:R203" ca="1" si="907">INDEX(tbl_TCO_input,MATCH(
_xlfn.TEXTJOIN(keydelim,TRUE,G$24,$D203),rows_TCO_ID,0),MATCH(G$6,cols_TCO_input,0))</f>
        <v>0</v>
      </c>
      <c r="H203" s="23">
        <f t="shared" ca="1" si="907"/>
        <v>0</v>
      </c>
      <c r="I203" s="23">
        <f t="shared" ca="1" si="907"/>
        <v>0</v>
      </c>
      <c r="J203" s="23">
        <f t="shared" ca="1" si="907"/>
        <v>0</v>
      </c>
      <c r="K203" s="23">
        <f t="shared" ca="1" si="907"/>
        <v>0</v>
      </c>
      <c r="L203" s="23">
        <f t="shared" ca="1" si="907"/>
        <v>0</v>
      </c>
      <c r="M203" s="23">
        <f t="shared" ca="1" si="907"/>
        <v>0</v>
      </c>
      <c r="N203" s="23">
        <f t="shared" ca="1" si="907"/>
        <v>0</v>
      </c>
      <c r="O203" s="23">
        <f t="shared" ca="1" si="907"/>
        <v>0</v>
      </c>
      <c r="P203" s="23">
        <f t="shared" ca="1" si="907"/>
        <v>0</v>
      </c>
      <c r="Q203" s="23">
        <f t="shared" ca="1" si="907"/>
        <v>0</v>
      </c>
      <c r="R203" s="23">
        <f t="shared" ca="1" si="907"/>
        <v>0</v>
      </c>
      <c r="X203" s="59" t="s">
        <v>393</v>
      </c>
      <c r="Y203" s="224" t="s">
        <v>178</v>
      </c>
      <c r="Z203" s="224" t="str">
        <f>_xlfn.TEXTJOIN(keydelim,TRUE,Z$16,$D203)</f>
        <v>LSFO - Spherical tank waste</v>
      </c>
      <c r="AA203" s="23">
        <f t="shared" ref="AA203:AL203" ca="1" si="908">INDEX(tbl_TCO_input,MATCH(
_xlfn.TEXTJOIN(keydelim,TRUE,AA$24,$D203),rows_TCO_ID,0),MATCH(AA$6,cols_TCO_input,0))</f>
        <v>0</v>
      </c>
      <c r="AB203" s="23">
        <f t="shared" ca="1" si="908"/>
        <v>0</v>
      </c>
      <c r="AC203" s="23">
        <f t="shared" ca="1" si="908"/>
        <v>0</v>
      </c>
      <c r="AD203" s="23">
        <f t="shared" ca="1" si="908"/>
        <v>0</v>
      </c>
      <c r="AE203" s="23">
        <f t="shared" ca="1" si="908"/>
        <v>0</v>
      </c>
      <c r="AF203" s="23">
        <f t="shared" ca="1" si="908"/>
        <v>0</v>
      </c>
      <c r="AG203" s="23">
        <f t="shared" ca="1" si="908"/>
        <v>0</v>
      </c>
      <c r="AH203" s="23">
        <f t="shared" ca="1" si="908"/>
        <v>0</v>
      </c>
      <c r="AI203" s="23">
        <f t="shared" ca="1" si="908"/>
        <v>0</v>
      </c>
      <c r="AJ203" s="23">
        <f t="shared" ca="1" si="908"/>
        <v>0</v>
      </c>
      <c r="AK203" s="23">
        <f t="shared" ca="1" si="908"/>
        <v>0</v>
      </c>
      <c r="AL203" s="23">
        <f t="shared" ca="1" si="908"/>
        <v>0</v>
      </c>
      <c r="AR203" s="59" t="s">
        <v>393</v>
      </c>
      <c r="AS203" s="224" t="s">
        <v>178</v>
      </c>
      <c r="AT203" s="224" t="str">
        <f>_xlfn.TEXTJOIN(keydelim,TRUE,AT$16,$D203)</f>
        <v>Biodiesel (Pyr) - Spherical tank waste</v>
      </c>
      <c r="AU203" s="23">
        <f t="shared" ref="AU203:BF203" ca="1" si="909">INDEX(tbl_TCO_input,MATCH(
_xlfn.TEXTJOIN(keydelim,TRUE,AU$24,$D203),rows_TCO_ID,0),MATCH(AU$6,cols_TCO_input,0))</f>
        <v>0</v>
      </c>
      <c r="AV203" s="23">
        <f t="shared" ca="1" si="909"/>
        <v>0</v>
      </c>
      <c r="AW203" s="23">
        <f t="shared" ca="1" si="909"/>
        <v>0</v>
      </c>
      <c r="AX203" s="23">
        <f t="shared" ca="1" si="909"/>
        <v>0</v>
      </c>
      <c r="AY203" s="23">
        <f t="shared" ca="1" si="909"/>
        <v>0</v>
      </c>
      <c r="AZ203" s="23">
        <f t="shared" ca="1" si="909"/>
        <v>0</v>
      </c>
      <c r="BA203" s="23">
        <f t="shared" ca="1" si="909"/>
        <v>0</v>
      </c>
      <c r="BB203" s="23">
        <f t="shared" ca="1" si="909"/>
        <v>0</v>
      </c>
      <c r="BC203" s="23">
        <f t="shared" ca="1" si="909"/>
        <v>0</v>
      </c>
      <c r="BD203" s="23">
        <f t="shared" ca="1" si="909"/>
        <v>0</v>
      </c>
      <c r="BE203" s="23">
        <f t="shared" ca="1" si="909"/>
        <v>0</v>
      </c>
      <c r="BF203" s="23">
        <f t="shared" ca="1" si="909"/>
        <v>0</v>
      </c>
      <c r="BL203" s="59" t="s">
        <v>393</v>
      </c>
      <c r="BM203" s="224" t="s">
        <v>178</v>
      </c>
      <c r="BN203" s="224" t="str">
        <f>_xlfn.TEXTJOIN(keydelim,TRUE,BN$16,$D203)</f>
        <v>Biodiesel (Pyr) - Spherical tank waste</v>
      </c>
      <c r="BO203" s="23">
        <f t="shared" ref="BO203:BZ203" ca="1" si="910">INDEX(tbl_TCO_input,MATCH(
_xlfn.TEXTJOIN(keydelim,TRUE,BO$24,$D203),rows_TCO_ID,0),MATCH(BO$6,cols_TCO_input,0))</f>
        <v>0</v>
      </c>
      <c r="BP203" s="23">
        <f t="shared" ca="1" si="910"/>
        <v>0</v>
      </c>
      <c r="BQ203" s="23">
        <f t="shared" ca="1" si="910"/>
        <v>0</v>
      </c>
      <c r="BR203" s="23">
        <f t="shared" ca="1" si="910"/>
        <v>0</v>
      </c>
      <c r="BS203" s="23">
        <f t="shared" ca="1" si="910"/>
        <v>0</v>
      </c>
      <c r="BT203" s="23">
        <f t="shared" ca="1" si="910"/>
        <v>0</v>
      </c>
      <c r="BU203" s="23">
        <f t="shared" ca="1" si="910"/>
        <v>0</v>
      </c>
      <c r="BV203" s="23">
        <f t="shared" ca="1" si="910"/>
        <v>0</v>
      </c>
      <c r="BW203" s="23">
        <f t="shared" ca="1" si="910"/>
        <v>0</v>
      </c>
      <c r="BX203" s="23">
        <f t="shared" ca="1" si="910"/>
        <v>0</v>
      </c>
      <c r="BY203" s="23">
        <f t="shared" ca="1" si="910"/>
        <v>0</v>
      </c>
      <c r="BZ203" s="23">
        <f t="shared" ca="1" si="910"/>
        <v>0</v>
      </c>
      <c r="CF203" s="59" t="s">
        <v>393</v>
      </c>
      <c r="CG203" s="224" t="s">
        <v>178</v>
      </c>
      <c r="CH203" s="224" t="str">
        <f>_xlfn.TEXTJOIN(keydelim,TRUE,CH$16,$D203)</f>
        <v>Biodiesel (Pyr) - Spherical tank waste</v>
      </c>
      <c r="CI203" s="23">
        <f t="shared" ref="CI203:CT203" ca="1" si="911">INDEX(tbl_TCO_input,MATCH(
_xlfn.TEXTJOIN(keydelim,TRUE,CI$24,$D203),rows_TCO_ID,0),MATCH(CI$6,cols_TCO_input,0))</f>
        <v>0</v>
      </c>
      <c r="CJ203" s="23">
        <f t="shared" ca="1" si="911"/>
        <v>0</v>
      </c>
      <c r="CK203" s="23">
        <f t="shared" ca="1" si="911"/>
        <v>0</v>
      </c>
      <c r="CL203" s="23">
        <f t="shared" ca="1" si="911"/>
        <v>0</v>
      </c>
      <c r="CM203" s="23">
        <f t="shared" ca="1" si="911"/>
        <v>0</v>
      </c>
      <c r="CN203" s="23">
        <f t="shared" ca="1" si="911"/>
        <v>0</v>
      </c>
      <c r="CO203" s="23">
        <f t="shared" ca="1" si="911"/>
        <v>0</v>
      </c>
      <c r="CP203" s="23">
        <f t="shared" ca="1" si="911"/>
        <v>0</v>
      </c>
      <c r="CQ203" s="23">
        <f t="shared" ca="1" si="911"/>
        <v>0</v>
      </c>
      <c r="CR203" s="23">
        <f t="shared" ca="1" si="911"/>
        <v>0</v>
      </c>
      <c r="CS203" s="23">
        <f t="shared" ca="1" si="911"/>
        <v>0</v>
      </c>
      <c r="CT203" s="23">
        <f t="shared" ca="1" si="911"/>
        <v>0</v>
      </c>
    </row>
    <row r="204" spans="2:100" hidden="1" outlineLevel="1" x14ac:dyDescent="0.2">
      <c r="C204" s="3"/>
      <c r="D204" s="59" t="s">
        <v>395</v>
      </c>
      <c r="E204" s="224"/>
      <c r="F204" s="224" t="str">
        <f>_xlfn.TEXTJOIN(keydelim,TRUE,"DF",$D204)</f>
        <v>DF - Tank size m3</v>
      </c>
      <c r="G204" s="22">
        <f t="shared" ref="G204:R204" si="912">SUMIF($F$1:$F$198,$F204,G$1:G$198)</f>
        <v>0</v>
      </c>
      <c r="H204" s="22">
        <f t="shared" si="912"/>
        <v>0</v>
      </c>
      <c r="I204" s="22">
        <f t="shared" si="912"/>
        <v>0</v>
      </c>
      <c r="J204" s="22">
        <f t="shared" si="912"/>
        <v>0</v>
      </c>
      <c r="K204" s="22">
        <f t="shared" si="912"/>
        <v>0</v>
      </c>
      <c r="L204" s="22">
        <f t="shared" si="912"/>
        <v>0</v>
      </c>
      <c r="M204" s="22">
        <f t="shared" si="912"/>
        <v>0</v>
      </c>
      <c r="N204" s="22">
        <f t="shared" si="912"/>
        <v>0</v>
      </c>
      <c r="O204" s="22">
        <f t="shared" si="912"/>
        <v>0</v>
      </c>
      <c r="P204" s="22">
        <f t="shared" si="912"/>
        <v>0</v>
      </c>
      <c r="Q204" s="22">
        <f t="shared" si="912"/>
        <v>0</v>
      </c>
      <c r="R204" s="22">
        <f t="shared" si="912"/>
        <v>0</v>
      </c>
      <c r="X204" s="59" t="s">
        <v>395</v>
      </c>
      <c r="Y204" s="224"/>
      <c r="Z204" s="224" t="str">
        <f>_xlfn.TEXTJOIN(keydelim,TRUE,"DF",$D204)</f>
        <v>DF - Tank size m3</v>
      </c>
      <c r="AA204" s="22">
        <f t="shared" ref="AA204:AL204" si="913">SUMIF($F$1:$F$198,$F204,AA$1:AA$198)</f>
        <v>0</v>
      </c>
      <c r="AB204" s="22">
        <f t="shared" si="913"/>
        <v>0</v>
      </c>
      <c r="AC204" s="22">
        <f t="shared" si="913"/>
        <v>0</v>
      </c>
      <c r="AD204" s="22">
        <f t="shared" si="913"/>
        <v>0</v>
      </c>
      <c r="AE204" s="22">
        <f t="shared" si="913"/>
        <v>0</v>
      </c>
      <c r="AF204" s="22">
        <f t="shared" si="913"/>
        <v>0</v>
      </c>
      <c r="AG204" s="22">
        <f t="shared" si="913"/>
        <v>0</v>
      </c>
      <c r="AH204" s="22">
        <f t="shared" si="913"/>
        <v>0</v>
      </c>
      <c r="AI204" s="22">
        <f t="shared" si="913"/>
        <v>0</v>
      </c>
      <c r="AJ204" s="22">
        <f t="shared" si="913"/>
        <v>0</v>
      </c>
      <c r="AK204" s="22">
        <f t="shared" si="913"/>
        <v>0</v>
      </c>
      <c r="AL204" s="22">
        <f t="shared" si="913"/>
        <v>0</v>
      </c>
      <c r="AR204" s="59" t="s">
        <v>395</v>
      </c>
      <c r="AS204" s="224"/>
      <c r="AT204" s="224" t="str">
        <f>_xlfn.TEXTJOIN(keydelim,TRUE,"DF",$D204)</f>
        <v>DF - Tank size m3</v>
      </c>
      <c r="AU204" s="22">
        <f t="shared" ref="AU204:BF204" si="914">SUMIF($F$1:$F$198,$F204,AU$1:AU$198)</f>
        <v>0</v>
      </c>
      <c r="AV204" s="22">
        <f t="shared" si="914"/>
        <v>0</v>
      </c>
      <c r="AW204" s="22">
        <f t="shared" si="914"/>
        <v>0</v>
      </c>
      <c r="AX204" s="22">
        <f t="shared" si="914"/>
        <v>0</v>
      </c>
      <c r="AY204" s="22">
        <f t="shared" si="914"/>
        <v>0</v>
      </c>
      <c r="AZ204" s="22">
        <f t="shared" si="914"/>
        <v>0</v>
      </c>
      <c r="BA204" s="22">
        <f t="shared" si="914"/>
        <v>0</v>
      </c>
      <c r="BB204" s="22">
        <f t="shared" si="914"/>
        <v>0</v>
      </c>
      <c r="BC204" s="22">
        <f t="shared" si="914"/>
        <v>0</v>
      </c>
      <c r="BD204" s="22">
        <f t="shared" si="914"/>
        <v>0</v>
      </c>
      <c r="BE204" s="22">
        <f t="shared" si="914"/>
        <v>0</v>
      </c>
      <c r="BF204" s="22">
        <f t="shared" si="914"/>
        <v>0</v>
      </c>
      <c r="BL204" s="59" t="s">
        <v>395</v>
      </c>
      <c r="BM204" s="224"/>
      <c r="BN204" s="224" t="str">
        <f>_xlfn.TEXTJOIN(keydelim,TRUE,"DF",$D204)</f>
        <v>DF - Tank size m3</v>
      </c>
      <c r="BO204" s="22">
        <f t="shared" ref="BO204:BZ204" si="915">SUMIF($F$1:$F$198,$F204,BO$1:BO$198)</f>
        <v>0</v>
      </c>
      <c r="BP204" s="22">
        <f t="shared" si="915"/>
        <v>0</v>
      </c>
      <c r="BQ204" s="22">
        <f t="shared" si="915"/>
        <v>0</v>
      </c>
      <c r="BR204" s="22">
        <f t="shared" si="915"/>
        <v>0</v>
      </c>
      <c r="BS204" s="22">
        <f t="shared" si="915"/>
        <v>0</v>
      </c>
      <c r="BT204" s="22">
        <f t="shared" si="915"/>
        <v>0</v>
      </c>
      <c r="BU204" s="22">
        <f t="shared" si="915"/>
        <v>0</v>
      </c>
      <c r="BV204" s="22">
        <f t="shared" si="915"/>
        <v>0</v>
      </c>
      <c r="BW204" s="22">
        <f t="shared" si="915"/>
        <v>0</v>
      </c>
      <c r="BX204" s="22">
        <f t="shared" si="915"/>
        <v>0</v>
      </c>
      <c r="BY204" s="22">
        <f t="shared" si="915"/>
        <v>0</v>
      </c>
      <c r="BZ204" s="22">
        <f t="shared" si="915"/>
        <v>0</v>
      </c>
      <c r="CF204" s="59" t="s">
        <v>395</v>
      </c>
      <c r="CG204" s="224"/>
      <c r="CH204" s="224" t="str">
        <f>_xlfn.TEXTJOIN(keydelim,TRUE,"DF",$D204)</f>
        <v>DF - Tank size m3</v>
      </c>
      <c r="CI204" s="22">
        <f t="shared" ref="CI204:CT204" si="916">SUMIF($F$1:$F$198,$F204,CI$1:CI$198)</f>
        <v>0</v>
      </c>
      <c r="CJ204" s="22">
        <f t="shared" si="916"/>
        <v>0</v>
      </c>
      <c r="CK204" s="22">
        <f t="shared" si="916"/>
        <v>0</v>
      </c>
      <c r="CL204" s="22">
        <f t="shared" si="916"/>
        <v>0</v>
      </c>
      <c r="CM204" s="22">
        <f t="shared" si="916"/>
        <v>0</v>
      </c>
      <c r="CN204" s="22">
        <f t="shared" si="916"/>
        <v>0</v>
      </c>
      <c r="CO204" s="22">
        <f t="shared" si="916"/>
        <v>0</v>
      </c>
      <c r="CP204" s="22">
        <f t="shared" si="916"/>
        <v>0</v>
      </c>
      <c r="CQ204" s="22">
        <f t="shared" si="916"/>
        <v>0</v>
      </c>
      <c r="CR204" s="22">
        <f t="shared" si="916"/>
        <v>0</v>
      </c>
      <c r="CS204" s="22">
        <f t="shared" si="916"/>
        <v>0</v>
      </c>
      <c r="CT204" s="22">
        <f t="shared" si="916"/>
        <v>0</v>
      </c>
    </row>
    <row r="205" spans="2:100" hidden="1" outlineLevel="1" collapsed="1" x14ac:dyDescent="0.2">
      <c r="G205" s="24"/>
      <c r="AA205" s="24"/>
      <c r="AU205" s="24"/>
      <c r="BO205" s="24"/>
      <c r="CI205" s="24"/>
    </row>
    <row r="206" spans="2:100" collapsed="1" x14ac:dyDescent="0.2"/>
    <row r="207" spans="2:100" s="4" customFormat="1" x14ac:dyDescent="0.2">
      <c r="B207" s="280" t="s">
        <v>396</v>
      </c>
      <c r="C207" s="280"/>
      <c r="D207" s="312"/>
      <c r="E207" s="281"/>
      <c r="F207" s="281"/>
      <c r="G207" s="100"/>
      <c r="H207" s="100"/>
      <c r="I207" s="100"/>
      <c r="J207" s="100"/>
      <c r="K207" s="100"/>
      <c r="L207" s="100"/>
      <c r="M207" s="100"/>
      <c r="N207" s="100"/>
      <c r="O207" s="100"/>
      <c r="P207" s="100"/>
      <c r="Q207" s="100"/>
      <c r="R207" s="100"/>
      <c r="X207" s="312"/>
      <c r="Y207" s="281"/>
      <c r="Z207" s="281"/>
      <c r="AA207" s="100"/>
      <c r="AB207" s="100"/>
      <c r="AC207" s="100"/>
      <c r="AD207" s="100"/>
      <c r="AE207" s="100"/>
      <c r="AF207" s="100"/>
      <c r="AG207" s="100"/>
      <c r="AH207" s="100"/>
      <c r="AI207" s="100"/>
      <c r="AJ207" s="100"/>
      <c r="AK207" s="100"/>
      <c r="AL207" s="100"/>
      <c r="AR207" s="312"/>
      <c r="AS207" s="281"/>
      <c r="AT207" s="281"/>
      <c r="AU207" s="100"/>
      <c r="AV207" s="100"/>
      <c r="AW207" s="100"/>
      <c r="AX207" s="100"/>
      <c r="AY207" s="100"/>
      <c r="AZ207" s="100"/>
      <c r="BA207" s="100"/>
      <c r="BB207" s="100"/>
      <c r="BC207" s="100"/>
      <c r="BD207" s="100"/>
      <c r="BE207" s="100"/>
      <c r="BF207" s="100"/>
      <c r="BL207" s="312"/>
      <c r="BM207" s="281"/>
      <c r="BN207" s="281"/>
      <c r="BO207" s="100"/>
      <c r="BP207" s="100"/>
      <c r="BQ207" s="100"/>
      <c r="BR207" s="100"/>
      <c r="BS207" s="100"/>
      <c r="BT207" s="100"/>
      <c r="BU207" s="100"/>
      <c r="BV207" s="100"/>
      <c r="BW207" s="100"/>
      <c r="BX207" s="100"/>
      <c r="BY207" s="100"/>
      <c r="BZ207" s="100"/>
      <c r="CF207" s="312"/>
      <c r="CG207" s="281"/>
      <c r="CH207" s="281"/>
      <c r="CI207" s="100"/>
      <c r="CJ207" s="100"/>
      <c r="CK207" s="100"/>
      <c r="CL207" s="100"/>
      <c r="CM207" s="100"/>
      <c r="CN207" s="100"/>
      <c r="CO207" s="100"/>
      <c r="CP207" s="100"/>
      <c r="CQ207" s="100"/>
      <c r="CR207" s="100"/>
      <c r="CS207" s="100"/>
      <c r="CT207" s="100"/>
    </row>
    <row r="208" spans="2:100" hidden="1" outlineLevel="1" x14ac:dyDescent="0.2">
      <c r="C208" s="224"/>
      <c r="D208" s="266" t="s">
        <v>397</v>
      </c>
      <c r="F208"/>
      <c r="X208" s="266" t="s">
        <v>397</v>
      </c>
      <c r="Z208"/>
      <c r="AR208" s="266" t="s">
        <v>397</v>
      </c>
      <c r="AT208"/>
      <c r="BL208" s="266" t="s">
        <v>397</v>
      </c>
      <c r="BN208"/>
      <c r="CF208" s="266" t="s">
        <v>397</v>
      </c>
      <c r="CH208"/>
    </row>
    <row r="209" spans="2:98" hidden="1" outlineLevel="1" x14ac:dyDescent="0.2">
      <c r="C209" s="3"/>
      <c r="D209" s="16" t="s">
        <v>398</v>
      </c>
      <c r="E209" s="224" t="s">
        <v>324</v>
      </c>
      <c r="F209" s="298"/>
      <c r="G209" s="98">
        <f t="shared" ref="G209:R209" ca="1" si="917">(G106*G111+G107*G115)/G109</f>
        <v>21.473621920116738</v>
      </c>
      <c r="H209" s="98">
        <f t="shared" ca="1" si="917"/>
        <v>15.404989638344619</v>
      </c>
      <c r="I209" s="98">
        <f t="shared" ca="1" si="917"/>
        <v>13.444354593464393</v>
      </c>
      <c r="J209" s="98">
        <f t="shared" ca="1" si="917"/>
        <v>13.444354593464393</v>
      </c>
      <c r="K209" s="98">
        <f t="shared" ca="1" si="917"/>
        <v>13.444354593464393</v>
      </c>
      <c r="L209" s="98">
        <f t="shared" ca="1" si="917"/>
        <v>13.444354593464393</v>
      </c>
      <c r="M209" s="98">
        <f t="shared" ca="1" si="917"/>
        <v>13.444354593464393</v>
      </c>
      <c r="N209" s="98">
        <f t="shared" ca="1" si="917"/>
        <v>13.444354593464393</v>
      </c>
      <c r="O209" s="98">
        <f t="shared" ca="1" si="917"/>
        <v>13.444354593464393</v>
      </c>
      <c r="P209" s="98">
        <f t="shared" ca="1" si="917"/>
        <v>13.444354593464393</v>
      </c>
      <c r="Q209" s="98">
        <f t="shared" ca="1" si="917"/>
        <v>13.444354593464393</v>
      </c>
      <c r="R209" s="98">
        <f t="shared" ca="1" si="917"/>
        <v>13.444354593464393</v>
      </c>
      <c r="X209" s="16" t="s">
        <v>398</v>
      </c>
      <c r="Y209" s="224" t="s">
        <v>324</v>
      </c>
      <c r="Z209" s="298"/>
      <c r="AA209" s="98">
        <f t="shared" ref="AA209:AL209" ca="1" si="918">(AA106*AA111+AA107*AA115)/AA109</f>
        <v>27.944799536800264</v>
      </c>
      <c r="AB209" s="98">
        <f t="shared" ca="1" si="918"/>
        <v>15.104316005834324</v>
      </c>
      <c r="AC209" s="98">
        <f t="shared" ca="1" si="918"/>
        <v>10.610549481139039</v>
      </c>
      <c r="AD209" s="98">
        <f t="shared" ca="1" si="918"/>
        <v>10.65224245901336</v>
      </c>
      <c r="AE209" s="98">
        <f t="shared" ca="1" si="918"/>
        <v>10.531886255837847</v>
      </c>
      <c r="AF209" s="98">
        <f t="shared" ca="1" si="918"/>
        <v>10.415818365887182</v>
      </c>
      <c r="AG209" s="98">
        <f t="shared" ca="1" si="918"/>
        <v>10.314404410759607</v>
      </c>
      <c r="AH209" s="98">
        <f t="shared" ca="1" si="918"/>
        <v>10.314404410759607</v>
      </c>
      <c r="AI209" s="98">
        <f t="shared" ca="1" si="918"/>
        <v>10.314404410759607</v>
      </c>
      <c r="AJ209" s="98">
        <f t="shared" ca="1" si="918"/>
        <v>10.314404410759607</v>
      </c>
      <c r="AK209" s="98">
        <f t="shared" ca="1" si="918"/>
        <v>10.314404410759607</v>
      </c>
      <c r="AL209" s="98">
        <f t="shared" ca="1" si="918"/>
        <v>10.314404410759607</v>
      </c>
      <c r="AR209" s="16" t="s">
        <v>398</v>
      </c>
      <c r="AS209" s="224" t="s">
        <v>324</v>
      </c>
      <c r="AT209" s="298"/>
      <c r="AU209" s="98">
        <f t="shared" ref="AU209:BF209" ca="1" si="919">(AU106*AU111+AU107*AU115)/AU109</f>
        <v>67.153455651977566</v>
      </c>
      <c r="AV209" s="98">
        <f t="shared" ca="1" si="919"/>
        <v>49.251527077594893</v>
      </c>
      <c r="AW209" s="98">
        <f t="shared" ca="1" si="919"/>
        <v>34.384860238889267</v>
      </c>
      <c r="AX209" s="98">
        <f t="shared" ca="1" si="919"/>
        <v>31.378394063140224</v>
      </c>
      <c r="AY209" s="98">
        <f t="shared" ca="1" si="919"/>
        <v>27.749919392260676</v>
      </c>
      <c r="AZ209" s="98">
        <f t="shared" ca="1" si="919"/>
        <v>23.346591229846869</v>
      </c>
      <c r="BA209" s="98">
        <f t="shared" ca="1" si="919"/>
        <v>19.329780708585506</v>
      </c>
      <c r="BB209" s="98">
        <f t="shared" ca="1" si="919"/>
        <v>19.329780708585506</v>
      </c>
      <c r="BC209" s="98">
        <f t="shared" ca="1" si="919"/>
        <v>19.329780708585506</v>
      </c>
      <c r="BD209" s="98">
        <f t="shared" ca="1" si="919"/>
        <v>19.329780708585506</v>
      </c>
      <c r="BE209" s="98">
        <f t="shared" ca="1" si="919"/>
        <v>19.329780708585506</v>
      </c>
      <c r="BF209" s="98">
        <f t="shared" ca="1" si="919"/>
        <v>19.329780708585506</v>
      </c>
      <c r="BL209" s="16" t="s">
        <v>398</v>
      </c>
      <c r="BM209" s="224" t="s">
        <v>324</v>
      </c>
      <c r="BN209" s="298"/>
      <c r="BO209" s="98">
        <f t="shared" ref="BO209:BZ209" ca="1" si="920">(BO106*BO111+BO107*BO115)/BO109</f>
        <v>56.506952980708888</v>
      </c>
      <c r="BP209" s="98">
        <f t="shared" ca="1" si="920"/>
        <v>34.328679781220544</v>
      </c>
      <c r="BQ209" s="98">
        <f t="shared" ca="1" si="920"/>
        <v>25.350471332776372</v>
      </c>
      <c r="BR209" s="98">
        <f t="shared" ca="1" si="920"/>
        <v>25.249799003889514</v>
      </c>
      <c r="BS209" s="98">
        <f t="shared" ca="1" si="920"/>
        <v>24.847348231552527</v>
      </c>
      <c r="BT209" s="98">
        <f t="shared" ca="1" si="920"/>
        <v>24.432806223210481</v>
      </c>
      <c r="BU209" s="98">
        <f t="shared" ca="1" si="920"/>
        <v>23.986423353557011</v>
      </c>
      <c r="BV209" s="98">
        <f t="shared" ca="1" si="920"/>
        <v>23.986423353557011</v>
      </c>
      <c r="BW209" s="98">
        <f t="shared" ca="1" si="920"/>
        <v>23.986423353557011</v>
      </c>
      <c r="BX209" s="98">
        <f t="shared" ca="1" si="920"/>
        <v>23.986423353557011</v>
      </c>
      <c r="BY209" s="98">
        <f t="shared" ca="1" si="920"/>
        <v>23.986423353557011</v>
      </c>
      <c r="BZ209" s="98">
        <f t="shared" ca="1" si="920"/>
        <v>23.986423353557011</v>
      </c>
      <c r="CF209" s="16" t="s">
        <v>398</v>
      </c>
      <c r="CG209" s="224" t="s">
        <v>324</v>
      </c>
      <c r="CH209" s="298"/>
      <c r="CI209" s="98">
        <f t="shared" ref="CI209:CT209" ca="1" si="921">(CI106*CI111+CI107*CI115)/CI109</f>
        <v>51.338422364428482</v>
      </c>
      <c r="CJ209" s="98">
        <f t="shared" ca="1" si="921"/>
        <v>36.000575900225947</v>
      </c>
      <c r="CK209" s="98">
        <f t="shared" ca="1" si="921"/>
        <v>29.958354303123279</v>
      </c>
      <c r="CL209" s="98">
        <f t="shared" ca="1" si="921"/>
        <v>27.828495999408492</v>
      </c>
      <c r="CM209" s="98">
        <f t="shared" ca="1" si="921"/>
        <v>25.720811605183886</v>
      </c>
      <c r="CN209" s="98">
        <f t="shared" ca="1" si="921"/>
        <v>24.486732074683534</v>
      </c>
      <c r="CO209" s="98">
        <f t="shared" ca="1" si="921"/>
        <v>23.24740896779463</v>
      </c>
      <c r="CP209" s="98">
        <f t="shared" ca="1" si="921"/>
        <v>23.24740896779463</v>
      </c>
      <c r="CQ209" s="98">
        <f t="shared" ca="1" si="921"/>
        <v>23.24740896779463</v>
      </c>
      <c r="CR209" s="98">
        <f t="shared" ca="1" si="921"/>
        <v>23.24740896779463</v>
      </c>
      <c r="CS209" s="98">
        <f t="shared" ca="1" si="921"/>
        <v>23.24740896779463</v>
      </c>
      <c r="CT209" s="98">
        <f t="shared" ca="1" si="921"/>
        <v>23.24740896779463</v>
      </c>
    </row>
    <row r="210" spans="2:98" hidden="1" outlineLevel="1" x14ac:dyDescent="0.2">
      <c r="C210" s="3"/>
      <c r="D210" s="16" t="s">
        <v>399</v>
      </c>
      <c r="E210" s="224" t="s">
        <v>178</v>
      </c>
      <c r="F210" s="298" t="s">
        <v>61</v>
      </c>
      <c r="G210" s="116" cm="1">
        <f t="array" aca="1" ref="G210" ca="1">_xlfn.IFS(G$25="Manual",G327,
G$25="Regression",
MAX(0,
IFERROR(MIN(INDEX(#REF!,MATCH(_xlfn.TEXTJOIN(keydelim,TRUE,G$9,G$10,$F210,$D210),#REF!,0)),
INDEX(#REF!,MATCH(_xlfn.TEXTJOIN(keydelim,TRUE,G$9,G$10,$F210,$D210),#REF!,0))+
INDEX(#REF!,MATCH(_xlfn.TEXTJOIN(keydelim,TRUE,G$9,G$10,$F210,$D210),#REF!,0))*G$209),
MIN(INDEX(#REF!,MATCH(_xlfn.TEXTJOIN(keydelim,TRUE,"Other",G$10,$F210,$D210),#REF!,0)),
INDEX(#REF!,MATCH(_xlfn.TEXTJOIN(keydelim,TRUE,"Other",G$10,$F210,$D210),#REF!,0))+
INDEX(#REF!,MATCH(_xlfn.TEXTJOIN(keydelim,TRUE,"Other",G$10,$F210,$D210),#REF!,0))*G$209)
)))</f>
        <v>0</v>
      </c>
      <c r="H210" s="116" cm="1">
        <f t="array" aca="1" ref="H210" ca="1">_xlfn.IFS(H$25="Manual",G210,
H$25="Regression",
MAX(0,
IFERROR(MIN(INDEX(#REF!,MATCH(_xlfn.TEXTJOIN(keydelim,TRUE,H$9,H$10,$F210,$D210),#REF!,0)),
INDEX(#REF!,MATCH(_xlfn.TEXTJOIN(keydelim,TRUE,H$9,H$10,$F210,$D210),#REF!,0))+
INDEX(#REF!,MATCH(_xlfn.TEXTJOIN(keydelim,TRUE,H$9,H$10,$F210,$D210),#REF!,0))*H$214),
MIN(INDEX(#REF!,MATCH(_xlfn.TEXTJOIN(keydelim,TRUE,"Other",H$10,$F210,$D210),#REF!,0)),
INDEX(#REF!,MATCH(_xlfn.TEXTJOIN(keydelim,TRUE,"Other",H$10,$F210,$D210),#REF!,0))+
INDEX(#REF!,MATCH(_xlfn.TEXTJOIN(keydelim,TRUE,"Other",H$10,$F210,$D210),#REF!,0))*H$214)
)))</f>
        <v>0</v>
      </c>
      <c r="I210" s="116" cm="1">
        <f t="array" aca="1" ref="I210" ca="1">_xlfn.IFS(I$25="Manual",H210,
I$25="Regression",
MAX(0,
IFERROR(MIN(INDEX(#REF!,MATCH(_xlfn.TEXTJOIN(keydelim,TRUE,I$9,I$10,$F210,$D210),#REF!,0)),
INDEX(#REF!,MATCH(_xlfn.TEXTJOIN(keydelim,TRUE,I$9,I$10,$F210,$D210),#REF!,0))+
INDEX(#REF!,MATCH(_xlfn.TEXTJOIN(keydelim,TRUE,I$9,I$10,$F210,$D210),#REF!,0))*I$214),
MIN(INDEX(#REF!,MATCH(_xlfn.TEXTJOIN(keydelim,TRUE,"Other",I$10,$F210,$D210),#REF!,0)),
INDEX(#REF!,MATCH(_xlfn.TEXTJOIN(keydelim,TRUE,"Other",I$10,$F210,$D210),#REF!,0))+
INDEX(#REF!,MATCH(_xlfn.TEXTJOIN(keydelim,TRUE,"Other",I$10,$F210,$D210),#REF!,0))*I$214)
)))</f>
        <v>0</v>
      </c>
      <c r="J210" s="116" cm="1">
        <f t="array" aca="1" ref="J210" ca="1">_xlfn.IFS(J$25="Manual",I210,
J$25="Regression",
MAX(0,
IFERROR(MIN(INDEX(#REF!,MATCH(_xlfn.TEXTJOIN(keydelim,TRUE,J$9,J$10,$F210,$D210),#REF!,0)),
INDEX(#REF!,MATCH(_xlfn.TEXTJOIN(keydelim,TRUE,J$9,J$10,$F210,$D210),#REF!,0))+
INDEX(#REF!,MATCH(_xlfn.TEXTJOIN(keydelim,TRUE,J$9,J$10,$F210,$D210),#REF!,0))*J$214),
MIN(INDEX(#REF!,MATCH(_xlfn.TEXTJOIN(keydelim,TRUE,"Other",J$10,$F210,$D210),#REF!,0)),
INDEX(#REF!,MATCH(_xlfn.TEXTJOIN(keydelim,TRUE,"Other",J$10,$F210,$D210),#REF!,0))+
INDEX(#REF!,MATCH(_xlfn.TEXTJOIN(keydelim,TRUE,"Other",J$10,$F210,$D210),#REF!,0))*J$214)
)))</f>
        <v>0</v>
      </c>
      <c r="K210" s="116" cm="1">
        <f t="array" aca="1" ref="K210" ca="1">_xlfn.IFS(K$25="Manual",J210,
K$25="Regression",
MAX(0,
IFERROR(MIN(INDEX(#REF!,MATCH(_xlfn.TEXTJOIN(keydelim,TRUE,K$9,K$10,$F210,$D210),#REF!,0)),
INDEX(#REF!,MATCH(_xlfn.TEXTJOIN(keydelim,TRUE,K$9,K$10,$F210,$D210),#REF!,0))+
INDEX(#REF!,MATCH(_xlfn.TEXTJOIN(keydelim,TRUE,K$9,K$10,$F210,$D210),#REF!,0))*K$214),
MIN(INDEX(#REF!,MATCH(_xlfn.TEXTJOIN(keydelim,TRUE,"Other",K$10,$F210,$D210),#REF!,0)),
INDEX(#REF!,MATCH(_xlfn.TEXTJOIN(keydelim,TRUE,"Other",K$10,$F210,$D210),#REF!,0))+
INDEX(#REF!,MATCH(_xlfn.TEXTJOIN(keydelim,TRUE,"Other",K$10,$F210,$D210),#REF!,0))*K$214)
)))</f>
        <v>0</v>
      </c>
      <c r="L210" s="116" cm="1">
        <f t="array" aca="1" ref="L210" ca="1">_xlfn.IFS(L$25="Manual",K210,
L$25="Regression",
MAX(0,
IFERROR(MIN(INDEX(#REF!,MATCH(_xlfn.TEXTJOIN(keydelim,TRUE,L$9,L$10,$F210,$D210),#REF!,0)),
INDEX(#REF!,MATCH(_xlfn.TEXTJOIN(keydelim,TRUE,L$9,L$10,$F210,$D210),#REF!,0))+
INDEX(#REF!,MATCH(_xlfn.TEXTJOIN(keydelim,TRUE,L$9,L$10,$F210,$D210),#REF!,0))*L$214),
MIN(INDEX(#REF!,MATCH(_xlfn.TEXTJOIN(keydelim,TRUE,"Other",L$10,$F210,$D210),#REF!,0)),
INDEX(#REF!,MATCH(_xlfn.TEXTJOIN(keydelim,TRUE,"Other",L$10,$F210,$D210),#REF!,0))+
INDEX(#REF!,MATCH(_xlfn.TEXTJOIN(keydelim,TRUE,"Other",L$10,$F210,$D210),#REF!,0))*L$214)
)))</f>
        <v>0</v>
      </c>
      <c r="M210" s="116" cm="1">
        <f t="array" aca="1" ref="M210" ca="1">_xlfn.IFS(M$25="Manual",L210,
M$25="Regression",
MAX(0,
IFERROR(MIN(INDEX(#REF!,MATCH(_xlfn.TEXTJOIN(keydelim,TRUE,M$9,M$10,$F210,$D210),#REF!,0)),
INDEX(#REF!,MATCH(_xlfn.TEXTJOIN(keydelim,TRUE,M$9,M$10,$F210,$D210),#REF!,0))+
INDEX(#REF!,MATCH(_xlfn.TEXTJOIN(keydelim,TRUE,M$9,M$10,$F210,$D210),#REF!,0))*M$214),
MIN(INDEX(#REF!,MATCH(_xlfn.TEXTJOIN(keydelim,TRUE,"Other",M$10,$F210,$D210),#REF!,0)),
INDEX(#REF!,MATCH(_xlfn.TEXTJOIN(keydelim,TRUE,"Other",M$10,$F210,$D210),#REF!,0))+
INDEX(#REF!,MATCH(_xlfn.TEXTJOIN(keydelim,TRUE,"Other",M$10,$F210,$D210),#REF!,0))*M$214)
)))</f>
        <v>0</v>
      </c>
      <c r="N210" s="116" cm="1">
        <f t="array" aca="1" ref="N210" ca="1">_xlfn.IFS(N$25="Manual",M210,
N$25="Regression",
MAX(0,
IFERROR(MIN(INDEX(#REF!,MATCH(_xlfn.TEXTJOIN(keydelim,TRUE,N$9,N$10,$F210,$D210),#REF!,0)),
INDEX(#REF!,MATCH(_xlfn.TEXTJOIN(keydelim,TRUE,N$9,N$10,$F210,$D210),#REF!,0))+
INDEX(#REF!,MATCH(_xlfn.TEXTJOIN(keydelim,TRUE,N$9,N$10,$F210,$D210),#REF!,0))*N$214),
MIN(INDEX(#REF!,MATCH(_xlfn.TEXTJOIN(keydelim,TRUE,"Other",N$10,$F210,$D210),#REF!,0)),
INDEX(#REF!,MATCH(_xlfn.TEXTJOIN(keydelim,TRUE,"Other",N$10,$F210,$D210),#REF!,0))+
INDEX(#REF!,MATCH(_xlfn.TEXTJOIN(keydelim,TRUE,"Other",N$10,$F210,$D210),#REF!,0))*N$214)
)))</f>
        <v>0</v>
      </c>
      <c r="O210" s="116" cm="1">
        <f t="array" aca="1" ref="O210" ca="1">_xlfn.IFS(O$25="Manual",N210,
O$25="Regression",
MAX(0,
IFERROR(MIN(INDEX(#REF!,MATCH(_xlfn.TEXTJOIN(keydelim,TRUE,O$9,O$10,$F210,$D210),#REF!,0)),
INDEX(#REF!,MATCH(_xlfn.TEXTJOIN(keydelim,TRUE,O$9,O$10,$F210,$D210),#REF!,0))+
INDEX(#REF!,MATCH(_xlfn.TEXTJOIN(keydelim,TRUE,O$9,O$10,$F210,$D210),#REF!,0))*O$214),
MIN(INDEX(#REF!,MATCH(_xlfn.TEXTJOIN(keydelim,TRUE,"Other",O$10,$F210,$D210),#REF!,0)),
INDEX(#REF!,MATCH(_xlfn.TEXTJOIN(keydelim,TRUE,"Other",O$10,$F210,$D210),#REF!,0))+
INDEX(#REF!,MATCH(_xlfn.TEXTJOIN(keydelim,TRUE,"Other",O$10,$F210,$D210),#REF!,0))*O$214)
)))</f>
        <v>0</v>
      </c>
      <c r="P210" s="116" cm="1">
        <f t="array" aca="1" ref="P210" ca="1">_xlfn.IFS(P$25="Manual",O210,
P$25="Regression",
MAX(0,
IFERROR(MIN(INDEX(#REF!,MATCH(_xlfn.TEXTJOIN(keydelim,TRUE,P$9,P$10,$F210,$D210),#REF!,0)),
INDEX(#REF!,MATCH(_xlfn.TEXTJOIN(keydelim,TRUE,P$9,P$10,$F210,$D210),#REF!,0))+
INDEX(#REF!,MATCH(_xlfn.TEXTJOIN(keydelim,TRUE,P$9,P$10,$F210,$D210),#REF!,0))*P$214),
MIN(INDEX(#REF!,MATCH(_xlfn.TEXTJOIN(keydelim,TRUE,"Other",P$10,$F210,$D210),#REF!,0)),
INDEX(#REF!,MATCH(_xlfn.TEXTJOIN(keydelim,TRUE,"Other",P$10,$F210,$D210),#REF!,0))+
INDEX(#REF!,MATCH(_xlfn.TEXTJOIN(keydelim,TRUE,"Other",P$10,$F210,$D210),#REF!,0))*P$214)
)))</f>
        <v>0</v>
      </c>
      <c r="Q210" s="116" cm="1">
        <f t="array" aca="1" ref="Q210" ca="1">_xlfn.IFS(Q$25="Manual",P210,
Q$25="Regression",
MAX(0,
IFERROR(MIN(INDEX(#REF!,MATCH(_xlfn.TEXTJOIN(keydelim,TRUE,Q$9,Q$10,$F210,$D210),#REF!,0)),
INDEX(#REF!,MATCH(_xlfn.TEXTJOIN(keydelim,TRUE,Q$9,Q$10,$F210,$D210),#REF!,0))+
INDEX(#REF!,MATCH(_xlfn.TEXTJOIN(keydelim,TRUE,Q$9,Q$10,$F210,$D210),#REF!,0))*Q$214),
MIN(INDEX(#REF!,MATCH(_xlfn.TEXTJOIN(keydelim,TRUE,"Other",Q$10,$F210,$D210),#REF!,0)),
INDEX(#REF!,MATCH(_xlfn.TEXTJOIN(keydelim,TRUE,"Other",Q$10,$F210,$D210),#REF!,0))+
INDEX(#REF!,MATCH(_xlfn.TEXTJOIN(keydelim,TRUE,"Other",Q$10,$F210,$D210),#REF!,0))*Q$214)
)))</f>
        <v>0</v>
      </c>
      <c r="R210" s="116" cm="1">
        <f t="array" aca="1" ref="R210" ca="1">_xlfn.IFS(R$25="Manual",Q210,
R$25="Regression",
MAX(0,
IFERROR(MIN(INDEX(#REF!,MATCH(_xlfn.TEXTJOIN(keydelim,TRUE,R$9,R$10,$F210,$D210),#REF!,0)),
INDEX(#REF!,MATCH(_xlfn.TEXTJOIN(keydelim,TRUE,R$9,R$10,$F210,$D210),#REF!,0))+
INDEX(#REF!,MATCH(_xlfn.TEXTJOIN(keydelim,TRUE,R$9,R$10,$F210,$D210),#REF!,0))*R$214),
MIN(INDEX(#REF!,MATCH(_xlfn.TEXTJOIN(keydelim,TRUE,"Other",R$10,$F210,$D210),#REF!,0)),
INDEX(#REF!,MATCH(_xlfn.TEXTJOIN(keydelim,TRUE,"Other",R$10,$F210,$D210),#REF!,0))+
INDEX(#REF!,MATCH(_xlfn.TEXTJOIN(keydelim,TRUE,"Other",R$10,$F210,$D210),#REF!,0))*R$214)
)))</f>
        <v>0</v>
      </c>
      <c r="X210" s="16" t="s">
        <v>399</v>
      </c>
      <c r="Y210" s="224" t="s">
        <v>178</v>
      </c>
      <c r="Z210" s="298" t="s">
        <v>61</v>
      </c>
      <c r="AA210" s="116" cm="1">
        <f t="array" aca="1" ref="AA210" ca="1">_xlfn.IFS(AA$25="Manual",AA327,
AA$25="Regression",
MAX(0,
IFERROR(MIN(INDEX(#REF!,MATCH(_xlfn.TEXTJOIN(keydelim,TRUE,AA$9,AA$10,$F210,$D210),#REF!,0)),
INDEX(#REF!,MATCH(_xlfn.TEXTJOIN(keydelim,TRUE,AA$9,AA$10,$F210,$D210),#REF!,0))+
INDEX(#REF!,MATCH(_xlfn.TEXTJOIN(keydelim,TRUE,AA$9,AA$10,$F210,$D210),#REF!,0))*AA$209),
MIN(INDEX(#REF!,MATCH(_xlfn.TEXTJOIN(keydelim,TRUE,"Other",AA$10,$F210,$D210),#REF!,0)),
INDEX(#REF!,MATCH(_xlfn.TEXTJOIN(keydelim,TRUE,"Other",AA$10,$F210,$D210),#REF!,0))+
INDEX(#REF!,MATCH(_xlfn.TEXTJOIN(keydelim,TRUE,"Other",AA$10,$F210,$D210),#REF!,0))*AA$209)
)))</f>
        <v>0</v>
      </c>
      <c r="AB210" s="116" cm="1">
        <f t="array" aca="1" ref="AB210" ca="1">_xlfn.IFS(AB$25="Manual",AA210,
AB$25="Regression",
MAX(0,
IFERROR(MIN(INDEX(#REF!,MATCH(_xlfn.TEXTJOIN(keydelim,TRUE,AB$9,AB$10,$F210,$D210),#REF!,0)),
INDEX(#REF!,MATCH(_xlfn.TEXTJOIN(keydelim,TRUE,AB$9,AB$10,$F210,$D210),#REF!,0))+
INDEX(#REF!,MATCH(_xlfn.TEXTJOIN(keydelim,TRUE,AB$9,AB$10,$F210,$D210),#REF!,0))*AB$214),
MIN(INDEX(#REF!,MATCH(_xlfn.TEXTJOIN(keydelim,TRUE,"Other",AB$10,$F210,$D210),#REF!,0)),
INDEX(#REF!,MATCH(_xlfn.TEXTJOIN(keydelim,TRUE,"Other",AB$10,$F210,$D210),#REF!,0))+
INDEX(#REF!,MATCH(_xlfn.TEXTJOIN(keydelim,TRUE,"Other",AB$10,$F210,$D210),#REF!,0))*AB$214)
)))</f>
        <v>0</v>
      </c>
      <c r="AC210" s="116" cm="1">
        <f t="array" aca="1" ref="AC210" ca="1">_xlfn.IFS(AC$25="Manual",AB210,
AC$25="Regression",
MAX(0,
IFERROR(MIN(INDEX(#REF!,MATCH(_xlfn.TEXTJOIN(keydelim,TRUE,AC$9,AC$10,$F210,$D210),#REF!,0)),
INDEX(#REF!,MATCH(_xlfn.TEXTJOIN(keydelim,TRUE,AC$9,AC$10,$F210,$D210),#REF!,0))+
INDEX(#REF!,MATCH(_xlfn.TEXTJOIN(keydelim,TRUE,AC$9,AC$10,$F210,$D210),#REF!,0))*AC$214),
MIN(INDEX(#REF!,MATCH(_xlfn.TEXTJOIN(keydelim,TRUE,"Other",AC$10,$F210,$D210),#REF!,0)),
INDEX(#REF!,MATCH(_xlfn.TEXTJOIN(keydelim,TRUE,"Other",AC$10,$F210,$D210),#REF!,0))+
INDEX(#REF!,MATCH(_xlfn.TEXTJOIN(keydelim,TRUE,"Other",AC$10,$F210,$D210),#REF!,0))*AC$214)
)))</f>
        <v>0</v>
      </c>
      <c r="AD210" s="116" cm="1">
        <f t="array" aca="1" ref="AD210" ca="1">_xlfn.IFS(AD$25="Manual",AC210,
AD$25="Regression",
MAX(0,
IFERROR(MIN(INDEX(#REF!,MATCH(_xlfn.TEXTJOIN(keydelim,TRUE,AD$9,AD$10,$F210,$D210),#REF!,0)),
INDEX(#REF!,MATCH(_xlfn.TEXTJOIN(keydelim,TRUE,AD$9,AD$10,$F210,$D210),#REF!,0))+
INDEX(#REF!,MATCH(_xlfn.TEXTJOIN(keydelim,TRUE,AD$9,AD$10,$F210,$D210),#REF!,0))*AD$214),
MIN(INDEX(#REF!,MATCH(_xlfn.TEXTJOIN(keydelim,TRUE,"Other",AD$10,$F210,$D210),#REF!,0)),
INDEX(#REF!,MATCH(_xlfn.TEXTJOIN(keydelim,TRUE,"Other",AD$10,$F210,$D210),#REF!,0))+
INDEX(#REF!,MATCH(_xlfn.TEXTJOIN(keydelim,TRUE,"Other",AD$10,$F210,$D210),#REF!,0))*AD$214)
)))</f>
        <v>0</v>
      </c>
      <c r="AE210" s="116" cm="1">
        <f t="array" aca="1" ref="AE210" ca="1">_xlfn.IFS(AE$25="Manual",AD210,
AE$25="Regression",
MAX(0,
IFERROR(MIN(INDEX(#REF!,MATCH(_xlfn.TEXTJOIN(keydelim,TRUE,AE$9,AE$10,$F210,$D210),#REF!,0)),
INDEX(#REF!,MATCH(_xlfn.TEXTJOIN(keydelim,TRUE,AE$9,AE$10,$F210,$D210),#REF!,0))+
INDEX(#REF!,MATCH(_xlfn.TEXTJOIN(keydelim,TRUE,AE$9,AE$10,$F210,$D210),#REF!,0))*AE$214),
MIN(INDEX(#REF!,MATCH(_xlfn.TEXTJOIN(keydelim,TRUE,"Other",AE$10,$F210,$D210),#REF!,0)),
INDEX(#REF!,MATCH(_xlfn.TEXTJOIN(keydelim,TRUE,"Other",AE$10,$F210,$D210),#REF!,0))+
INDEX(#REF!,MATCH(_xlfn.TEXTJOIN(keydelim,TRUE,"Other",AE$10,$F210,$D210),#REF!,0))*AE$214)
)))</f>
        <v>0</v>
      </c>
      <c r="AF210" s="116" cm="1">
        <f t="array" aca="1" ref="AF210" ca="1">_xlfn.IFS(AF$25="Manual",AE210,
AF$25="Regression",
MAX(0,
IFERROR(MIN(INDEX(#REF!,MATCH(_xlfn.TEXTJOIN(keydelim,TRUE,AF$9,AF$10,$F210,$D210),#REF!,0)),
INDEX(#REF!,MATCH(_xlfn.TEXTJOIN(keydelim,TRUE,AF$9,AF$10,$F210,$D210),#REF!,0))+
INDEX(#REF!,MATCH(_xlfn.TEXTJOIN(keydelim,TRUE,AF$9,AF$10,$F210,$D210),#REF!,0))*AF$214),
MIN(INDEX(#REF!,MATCH(_xlfn.TEXTJOIN(keydelim,TRUE,"Other",AF$10,$F210,$D210),#REF!,0)),
INDEX(#REF!,MATCH(_xlfn.TEXTJOIN(keydelim,TRUE,"Other",AF$10,$F210,$D210),#REF!,0))+
INDEX(#REF!,MATCH(_xlfn.TEXTJOIN(keydelim,TRUE,"Other",AF$10,$F210,$D210),#REF!,0))*AF$214)
)))</f>
        <v>0</v>
      </c>
      <c r="AG210" s="116" cm="1">
        <f t="array" aca="1" ref="AG210" ca="1">_xlfn.IFS(AG$25="Manual",AF210,
AG$25="Regression",
MAX(0,
IFERROR(MIN(INDEX(#REF!,MATCH(_xlfn.TEXTJOIN(keydelim,TRUE,AG$9,AG$10,$F210,$D210),#REF!,0)),
INDEX(#REF!,MATCH(_xlfn.TEXTJOIN(keydelim,TRUE,AG$9,AG$10,$F210,$D210),#REF!,0))+
INDEX(#REF!,MATCH(_xlfn.TEXTJOIN(keydelim,TRUE,AG$9,AG$10,$F210,$D210),#REF!,0))*AG$214),
MIN(INDEX(#REF!,MATCH(_xlfn.TEXTJOIN(keydelim,TRUE,"Other",AG$10,$F210,$D210),#REF!,0)),
INDEX(#REF!,MATCH(_xlfn.TEXTJOIN(keydelim,TRUE,"Other",AG$10,$F210,$D210),#REF!,0))+
INDEX(#REF!,MATCH(_xlfn.TEXTJOIN(keydelim,TRUE,"Other",AG$10,$F210,$D210),#REF!,0))*AG$214)
)))</f>
        <v>0</v>
      </c>
      <c r="AH210" s="116" cm="1">
        <f t="array" aca="1" ref="AH210" ca="1">_xlfn.IFS(AH$25="Manual",AG210,
AH$25="Regression",
MAX(0,
IFERROR(MIN(INDEX(#REF!,MATCH(_xlfn.TEXTJOIN(keydelim,TRUE,AH$9,AH$10,$F210,$D210),#REF!,0)),
INDEX(#REF!,MATCH(_xlfn.TEXTJOIN(keydelim,TRUE,AH$9,AH$10,$F210,$D210),#REF!,0))+
INDEX(#REF!,MATCH(_xlfn.TEXTJOIN(keydelim,TRUE,AH$9,AH$10,$F210,$D210),#REF!,0))*AH$214),
MIN(INDEX(#REF!,MATCH(_xlfn.TEXTJOIN(keydelim,TRUE,"Other",AH$10,$F210,$D210),#REF!,0)),
INDEX(#REF!,MATCH(_xlfn.TEXTJOIN(keydelim,TRUE,"Other",AH$10,$F210,$D210),#REF!,0))+
INDEX(#REF!,MATCH(_xlfn.TEXTJOIN(keydelim,TRUE,"Other",AH$10,$F210,$D210),#REF!,0))*AH$214)
)))</f>
        <v>0</v>
      </c>
      <c r="AI210" s="116" cm="1">
        <f t="array" aca="1" ref="AI210" ca="1">_xlfn.IFS(AI$25="Manual",AH210,
AI$25="Regression",
MAX(0,
IFERROR(MIN(INDEX(#REF!,MATCH(_xlfn.TEXTJOIN(keydelim,TRUE,AI$9,AI$10,$F210,$D210),#REF!,0)),
INDEX(#REF!,MATCH(_xlfn.TEXTJOIN(keydelim,TRUE,AI$9,AI$10,$F210,$D210),#REF!,0))+
INDEX(#REF!,MATCH(_xlfn.TEXTJOIN(keydelim,TRUE,AI$9,AI$10,$F210,$D210),#REF!,0))*AI$214),
MIN(INDEX(#REF!,MATCH(_xlfn.TEXTJOIN(keydelim,TRUE,"Other",AI$10,$F210,$D210),#REF!,0)),
INDEX(#REF!,MATCH(_xlfn.TEXTJOIN(keydelim,TRUE,"Other",AI$10,$F210,$D210),#REF!,0))+
INDEX(#REF!,MATCH(_xlfn.TEXTJOIN(keydelim,TRUE,"Other",AI$10,$F210,$D210),#REF!,0))*AI$214)
)))</f>
        <v>0</v>
      </c>
      <c r="AJ210" s="116" cm="1">
        <f t="array" aca="1" ref="AJ210" ca="1">_xlfn.IFS(AJ$25="Manual",AI210,
AJ$25="Regression",
MAX(0,
IFERROR(MIN(INDEX(#REF!,MATCH(_xlfn.TEXTJOIN(keydelim,TRUE,AJ$9,AJ$10,$F210,$D210),#REF!,0)),
INDEX(#REF!,MATCH(_xlfn.TEXTJOIN(keydelim,TRUE,AJ$9,AJ$10,$F210,$D210),#REF!,0))+
INDEX(#REF!,MATCH(_xlfn.TEXTJOIN(keydelim,TRUE,AJ$9,AJ$10,$F210,$D210),#REF!,0))*AJ$214),
MIN(INDEX(#REF!,MATCH(_xlfn.TEXTJOIN(keydelim,TRUE,"Other",AJ$10,$F210,$D210),#REF!,0)),
INDEX(#REF!,MATCH(_xlfn.TEXTJOIN(keydelim,TRUE,"Other",AJ$10,$F210,$D210),#REF!,0))+
INDEX(#REF!,MATCH(_xlfn.TEXTJOIN(keydelim,TRUE,"Other",AJ$10,$F210,$D210),#REF!,0))*AJ$214)
)))</f>
        <v>0</v>
      </c>
      <c r="AK210" s="116" cm="1">
        <f t="array" aca="1" ref="AK210" ca="1">_xlfn.IFS(AK$25="Manual",AJ210,
AK$25="Regression",
MAX(0,
IFERROR(MIN(INDEX(#REF!,MATCH(_xlfn.TEXTJOIN(keydelim,TRUE,AK$9,AK$10,$F210,$D210),#REF!,0)),
INDEX(#REF!,MATCH(_xlfn.TEXTJOIN(keydelim,TRUE,AK$9,AK$10,$F210,$D210),#REF!,0))+
INDEX(#REF!,MATCH(_xlfn.TEXTJOIN(keydelim,TRUE,AK$9,AK$10,$F210,$D210),#REF!,0))*AK$214),
MIN(INDEX(#REF!,MATCH(_xlfn.TEXTJOIN(keydelim,TRUE,"Other",AK$10,$F210,$D210),#REF!,0)),
INDEX(#REF!,MATCH(_xlfn.TEXTJOIN(keydelim,TRUE,"Other",AK$10,$F210,$D210),#REF!,0))+
INDEX(#REF!,MATCH(_xlfn.TEXTJOIN(keydelim,TRUE,"Other",AK$10,$F210,$D210),#REF!,0))*AK$214)
)))</f>
        <v>0</v>
      </c>
      <c r="AL210" s="116" cm="1">
        <f t="array" aca="1" ref="AL210" ca="1">_xlfn.IFS(AL$25="Manual",AK210,
AL$25="Regression",
MAX(0,
IFERROR(MIN(INDEX(#REF!,MATCH(_xlfn.TEXTJOIN(keydelim,TRUE,AL$9,AL$10,$F210,$D210),#REF!,0)),
INDEX(#REF!,MATCH(_xlfn.TEXTJOIN(keydelim,TRUE,AL$9,AL$10,$F210,$D210),#REF!,0))+
INDEX(#REF!,MATCH(_xlfn.TEXTJOIN(keydelim,TRUE,AL$9,AL$10,$F210,$D210),#REF!,0))*AL$214),
MIN(INDEX(#REF!,MATCH(_xlfn.TEXTJOIN(keydelim,TRUE,"Other",AL$10,$F210,$D210),#REF!,0)),
INDEX(#REF!,MATCH(_xlfn.TEXTJOIN(keydelim,TRUE,"Other",AL$10,$F210,$D210),#REF!,0))+
INDEX(#REF!,MATCH(_xlfn.TEXTJOIN(keydelim,TRUE,"Other",AL$10,$F210,$D210),#REF!,0))*AL$214)
)))</f>
        <v>0</v>
      </c>
      <c r="AR210" s="16" t="s">
        <v>399</v>
      </c>
      <c r="AS210" s="224" t="s">
        <v>178</v>
      </c>
      <c r="AT210" s="298" t="s">
        <v>61</v>
      </c>
      <c r="AU210" s="116" cm="1">
        <f t="array" aca="1" ref="AU210" ca="1">_xlfn.IFS(AU$25="Manual",AU327,
AU$25="Regression",
MAX(0,
IFERROR(MIN(INDEX(#REF!,MATCH(_xlfn.TEXTJOIN(keydelim,TRUE,AU$9,AU$10,$F210,$D210),#REF!,0)),
INDEX(#REF!,MATCH(_xlfn.TEXTJOIN(keydelim,TRUE,AU$9,AU$10,$F210,$D210),#REF!,0))+
INDEX(#REF!,MATCH(_xlfn.TEXTJOIN(keydelim,TRUE,AU$9,AU$10,$F210,$D210),#REF!,0))*AU$209),
MIN(INDEX(#REF!,MATCH(_xlfn.TEXTJOIN(keydelim,TRUE,"Other",AU$10,$F210,$D210),#REF!,0)),
INDEX(#REF!,MATCH(_xlfn.TEXTJOIN(keydelim,TRUE,"Other",AU$10,$F210,$D210),#REF!,0))+
INDEX(#REF!,MATCH(_xlfn.TEXTJOIN(keydelim,TRUE,"Other",AU$10,$F210,$D210),#REF!,0))*AU$209)
)))</f>
        <v>0</v>
      </c>
      <c r="AV210" s="116" cm="1">
        <f t="array" aca="1" ref="AV210" ca="1">_xlfn.IFS(AV$25="Manual",AU210,
AV$25="Regression",
MAX(0,
IFERROR(MIN(INDEX(#REF!,MATCH(_xlfn.TEXTJOIN(keydelim,TRUE,AV$9,AV$10,$F210,$D210),#REF!,0)),
INDEX(#REF!,MATCH(_xlfn.TEXTJOIN(keydelim,TRUE,AV$9,AV$10,$F210,$D210),#REF!,0))+
INDEX(#REF!,MATCH(_xlfn.TEXTJOIN(keydelim,TRUE,AV$9,AV$10,$F210,$D210),#REF!,0))*AV$214),
MIN(INDEX(#REF!,MATCH(_xlfn.TEXTJOIN(keydelim,TRUE,"Other",AV$10,$F210,$D210),#REF!,0)),
INDEX(#REF!,MATCH(_xlfn.TEXTJOIN(keydelim,TRUE,"Other",AV$10,$F210,$D210),#REF!,0))+
INDEX(#REF!,MATCH(_xlfn.TEXTJOIN(keydelim,TRUE,"Other",AV$10,$F210,$D210),#REF!,0))*AV$214)
)))</f>
        <v>0</v>
      </c>
      <c r="AW210" s="116" cm="1">
        <f t="array" aca="1" ref="AW210" ca="1">_xlfn.IFS(AW$25="Manual",AV210,
AW$25="Regression",
MAX(0,
IFERROR(MIN(INDEX(#REF!,MATCH(_xlfn.TEXTJOIN(keydelim,TRUE,AW$9,AW$10,$F210,$D210),#REF!,0)),
INDEX(#REF!,MATCH(_xlfn.TEXTJOIN(keydelim,TRUE,AW$9,AW$10,$F210,$D210),#REF!,0))+
INDEX(#REF!,MATCH(_xlfn.TEXTJOIN(keydelim,TRUE,AW$9,AW$10,$F210,$D210),#REF!,0))*AW$214),
MIN(INDEX(#REF!,MATCH(_xlfn.TEXTJOIN(keydelim,TRUE,"Other",AW$10,$F210,$D210),#REF!,0)),
INDEX(#REF!,MATCH(_xlfn.TEXTJOIN(keydelim,TRUE,"Other",AW$10,$F210,$D210),#REF!,0))+
INDEX(#REF!,MATCH(_xlfn.TEXTJOIN(keydelim,TRUE,"Other",AW$10,$F210,$D210),#REF!,0))*AW$214)
)))</f>
        <v>0</v>
      </c>
      <c r="AX210" s="116" cm="1">
        <f t="array" aca="1" ref="AX210" ca="1">_xlfn.IFS(AX$25="Manual",AW210,
AX$25="Regression",
MAX(0,
IFERROR(MIN(INDEX(#REF!,MATCH(_xlfn.TEXTJOIN(keydelim,TRUE,AX$9,AX$10,$F210,$D210),#REF!,0)),
INDEX(#REF!,MATCH(_xlfn.TEXTJOIN(keydelim,TRUE,AX$9,AX$10,$F210,$D210),#REF!,0))+
INDEX(#REF!,MATCH(_xlfn.TEXTJOIN(keydelim,TRUE,AX$9,AX$10,$F210,$D210),#REF!,0))*AX$214),
MIN(INDEX(#REF!,MATCH(_xlfn.TEXTJOIN(keydelim,TRUE,"Other",AX$10,$F210,$D210),#REF!,0)),
INDEX(#REF!,MATCH(_xlfn.TEXTJOIN(keydelim,TRUE,"Other",AX$10,$F210,$D210),#REF!,0))+
INDEX(#REF!,MATCH(_xlfn.TEXTJOIN(keydelim,TRUE,"Other",AX$10,$F210,$D210),#REF!,0))*AX$214)
)))</f>
        <v>0</v>
      </c>
      <c r="AY210" s="116" cm="1">
        <f t="array" aca="1" ref="AY210" ca="1">_xlfn.IFS(AY$25="Manual",AX210,
AY$25="Regression",
MAX(0,
IFERROR(MIN(INDEX(#REF!,MATCH(_xlfn.TEXTJOIN(keydelim,TRUE,AY$9,AY$10,$F210,$D210),#REF!,0)),
INDEX(#REF!,MATCH(_xlfn.TEXTJOIN(keydelim,TRUE,AY$9,AY$10,$F210,$D210),#REF!,0))+
INDEX(#REF!,MATCH(_xlfn.TEXTJOIN(keydelim,TRUE,AY$9,AY$10,$F210,$D210),#REF!,0))*AY$214),
MIN(INDEX(#REF!,MATCH(_xlfn.TEXTJOIN(keydelim,TRUE,"Other",AY$10,$F210,$D210),#REF!,0)),
INDEX(#REF!,MATCH(_xlfn.TEXTJOIN(keydelim,TRUE,"Other",AY$10,$F210,$D210),#REF!,0))+
INDEX(#REF!,MATCH(_xlfn.TEXTJOIN(keydelim,TRUE,"Other",AY$10,$F210,$D210),#REF!,0))*AY$214)
)))</f>
        <v>0</v>
      </c>
      <c r="AZ210" s="116" cm="1">
        <f t="array" aca="1" ref="AZ210" ca="1">_xlfn.IFS(AZ$25="Manual",AY210,
AZ$25="Regression",
MAX(0,
IFERROR(MIN(INDEX(#REF!,MATCH(_xlfn.TEXTJOIN(keydelim,TRUE,AZ$9,AZ$10,$F210,$D210),#REF!,0)),
INDEX(#REF!,MATCH(_xlfn.TEXTJOIN(keydelim,TRUE,AZ$9,AZ$10,$F210,$D210),#REF!,0))+
INDEX(#REF!,MATCH(_xlfn.TEXTJOIN(keydelim,TRUE,AZ$9,AZ$10,$F210,$D210),#REF!,0))*AZ$214),
MIN(INDEX(#REF!,MATCH(_xlfn.TEXTJOIN(keydelim,TRUE,"Other",AZ$10,$F210,$D210),#REF!,0)),
INDEX(#REF!,MATCH(_xlfn.TEXTJOIN(keydelim,TRUE,"Other",AZ$10,$F210,$D210),#REF!,0))+
INDEX(#REF!,MATCH(_xlfn.TEXTJOIN(keydelim,TRUE,"Other",AZ$10,$F210,$D210),#REF!,0))*AZ$214)
)))</f>
        <v>0</v>
      </c>
      <c r="BA210" s="116" cm="1">
        <f t="array" aca="1" ref="BA210" ca="1">_xlfn.IFS(BA$25="Manual",AZ210,
BA$25="Regression",
MAX(0,
IFERROR(MIN(INDEX(#REF!,MATCH(_xlfn.TEXTJOIN(keydelim,TRUE,BA$9,BA$10,$F210,$D210),#REF!,0)),
INDEX(#REF!,MATCH(_xlfn.TEXTJOIN(keydelim,TRUE,BA$9,BA$10,$F210,$D210),#REF!,0))+
INDEX(#REF!,MATCH(_xlfn.TEXTJOIN(keydelim,TRUE,BA$9,BA$10,$F210,$D210),#REF!,0))*BA$214),
MIN(INDEX(#REF!,MATCH(_xlfn.TEXTJOIN(keydelim,TRUE,"Other",BA$10,$F210,$D210),#REF!,0)),
INDEX(#REF!,MATCH(_xlfn.TEXTJOIN(keydelim,TRUE,"Other",BA$10,$F210,$D210),#REF!,0))+
INDEX(#REF!,MATCH(_xlfn.TEXTJOIN(keydelim,TRUE,"Other",BA$10,$F210,$D210),#REF!,0))*BA$214)
)))</f>
        <v>0</v>
      </c>
      <c r="BB210" s="116" cm="1">
        <f t="array" aca="1" ref="BB210" ca="1">_xlfn.IFS(BB$25="Manual",BA210,
BB$25="Regression",
MAX(0,
IFERROR(MIN(INDEX(#REF!,MATCH(_xlfn.TEXTJOIN(keydelim,TRUE,BB$9,BB$10,$F210,$D210),#REF!,0)),
INDEX(#REF!,MATCH(_xlfn.TEXTJOIN(keydelim,TRUE,BB$9,BB$10,$F210,$D210),#REF!,0))+
INDEX(#REF!,MATCH(_xlfn.TEXTJOIN(keydelim,TRUE,BB$9,BB$10,$F210,$D210),#REF!,0))*BB$214),
MIN(INDEX(#REF!,MATCH(_xlfn.TEXTJOIN(keydelim,TRUE,"Other",BB$10,$F210,$D210),#REF!,0)),
INDEX(#REF!,MATCH(_xlfn.TEXTJOIN(keydelim,TRUE,"Other",BB$10,$F210,$D210),#REF!,0))+
INDEX(#REF!,MATCH(_xlfn.TEXTJOIN(keydelim,TRUE,"Other",BB$10,$F210,$D210),#REF!,0))*BB$214)
)))</f>
        <v>0</v>
      </c>
      <c r="BC210" s="116" cm="1">
        <f t="array" aca="1" ref="BC210" ca="1">_xlfn.IFS(BC$25="Manual",BB210,
BC$25="Regression",
MAX(0,
IFERROR(MIN(INDEX(#REF!,MATCH(_xlfn.TEXTJOIN(keydelim,TRUE,BC$9,BC$10,$F210,$D210),#REF!,0)),
INDEX(#REF!,MATCH(_xlfn.TEXTJOIN(keydelim,TRUE,BC$9,BC$10,$F210,$D210),#REF!,0))+
INDEX(#REF!,MATCH(_xlfn.TEXTJOIN(keydelim,TRUE,BC$9,BC$10,$F210,$D210),#REF!,0))*BC$214),
MIN(INDEX(#REF!,MATCH(_xlfn.TEXTJOIN(keydelim,TRUE,"Other",BC$10,$F210,$D210),#REF!,0)),
INDEX(#REF!,MATCH(_xlfn.TEXTJOIN(keydelim,TRUE,"Other",BC$10,$F210,$D210),#REF!,0))+
INDEX(#REF!,MATCH(_xlfn.TEXTJOIN(keydelim,TRUE,"Other",BC$10,$F210,$D210),#REF!,0))*BC$214)
)))</f>
        <v>0</v>
      </c>
      <c r="BD210" s="116" cm="1">
        <f t="array" aca="1" ref="BD210" ca="1">_xlfn.IFS(BD$25="Manual",BC210,
BD$25="Regression",
MAX(0,
IFERROR(MIN(INDEX(#REF!,MATCH(_xlfn.TEXTJOIN(keydelim,TRUE,BD$9,BD$10,$F210,$D210),#REF!,0)),
INDEX(#REF!,MATCH(_xlfn.TEXTJOIN(keydelim,TRUE,BD$9,BD$10,$F210,$D210),#REF!,0))+
INDEX(#REF!,MATCH(_xlfn.TEXTJOIN(keydelim,TRUE,BD$9,BD$10,$F210,$D210),#REF!,0))*BD$214),
MIN(INDEX(#REF!,MATCH(_xlfn.TEXTJOIN(keydelim,TRUE,"Other",BD$10,$F210,$D210),#REF!,0)),
INDEX(#REF!,MATCH(_xlfn.TEXTJOIN(keydelim,TRUE,"Other",BD$10,$F210,$D210),#REF!,0))+
INDEX(#REF!,MATCH(_xlfn.TEXTJOIN(keydelim,TRUE,"Other",BD$10,$F210,$D210),#REF!,0))*BD$214)
)))</f>
        <v>0</v>
      </c>
      <c r="BE210" s="116" cm="1">
        <f t="array" aca="1" ref="BE210" ca="1">_xlfn.IFS(BE$25="Manual",BD210,
BE$25="Regression",
MAX(0,
IFERROR(MIN(INDEX(#REF!,MATCH(_xlfn.TEXTJOIN(keydelim,TRUE,BE$9,BE$10,$F210,$D210),#REF!,0)),
INDEX(#REF!,MATCH(_xlfn.TEXTJOIN(keydelim,TRUE,BE$9,BE$10,$F210,$D210),#REF!,0))+
INDEX(#REF!,MATCH(_xlfn.TEXTJOIN(keydelim,TRUE,BE$9,BE$10,$F210,$D210),#REF!,0))*BE$214),
MIN(INDEX(#REF!,MATCH(_xlfn.TEXTJOIN(keydelim,TRUE,"Other",BE$10,$F210,$D210),#REF!,0)),
INDEX(#REF!,MATCH(_xlfn.TEXTJOIN(keydelim,TRUE,"Other",BE$10,$F210,$D210),#REF!,0))+
INDEX(#REF!,MATCH(_xlfn.TEXTJOIN(keydelim,TRUE,"Other",BE$10,$F210,$D210),#REF!,0))*BE$214)
)))</f>
        <v>0</v>
      </c>
      <c r="BF210" s="116" cm="1">
        <f t="array" aca="1" ref="BF210" ca="1">_xlfn.IFS(BF$25="Manual",BE210,
BF$25="Regression",
MAX(0,
IFERROR(MIN(INDEX(#REF!,MATCH(_xlfn.TEXTJOIN(keydelim,TRUE,BF$9,BF$10,$F210,$D210),#REF!,0)),
INDEX(#REF!,MATCH(_xlfn.TEXTJOIN(keydelim,TRUE,BF$9,BF$10,$F210,$D210),#REF!,0))+
INDEX(#REF!,MATCH(_xlfn.TEXTJOIN(keydelim,TRUE,BF$9,BF$10,$F210,$D210),#REF!,0))*BF$214),
MIN(INDEX(#REF!,MATCH(_xlfn.TEXTJOIN(keydelim,TRUE,"Other",BF$10,$F210,$D210),#REF!,0)),
INDEX(#REF!,MATCH(_xlfn.TEXTJOIN(keydelim,TRUE,"Other",BF$10,$F210,$D210),#REF!,0))+
INDEX(#REF!,MATCH(_xlfn.TEXTJOIN(keydelim,TRUE,"Other",BF$10,$F210,$D210),#REF!,0))*BF$214)
)))</f>
        <v>0</v>
      </c>
      <c r="BL210" s="16" t="s">
        <v>399</v>
      </c>
      <c r="BM210" s="224" t="s">
        <v>178</v>
      </c>
      <c r="BN210" s="298" t="s">
        <v>61</v>
      </c>
      <c r="BO210" s="116" cm="1">
        <f t="array" aca="1" ref="BO210" ca="1">_xlfn.IFS(BO$25="Manual",BO327,
BO$25="Regression",
MAX(0,
IFERROR(MIN(INDEX(#REF!,MATCH(_xlfn.TEXTJOIN(keydelim,TRUE,BO$9,BO$10,$F210,$D210),#REF!,0)),
INDEX(#REF!,MATCH(_xlfn.TEXTJOIN(keydelim,TRUE,BO$9,BO$10,$F210,$D210),#REF!,0))+
INDEX(#REF!,MATCH(_xlfn.TEXTJOIN(keydelim,TRUE,BO$9,BO$10,$F210,$D210),#REF!,0))*BO$209),
MIN(INDEX(#REF!,MATCH(_xlfn.TEXTJOIN(keydelim,TRUE,"Other",BO$10,$F210,$D210),#REF!,0)),
INDEX(#REF!,MATCH(_xlfn.TEXTJOIN(keydelim,TRUE,"Other",BO$10,$F210,$D210),#REF!,0))+
INDEX(#REF!,MATCH(_xlfn.TEXTJOIN(keydelim,TRUE,"Other",BO$10,$F210,$D210),#REF!,0))*BO$209)
)))</f>
        <v>0</v>
      </c>
      <c r="BP210" s="116" cm="1">
        <f t="array" aca="1" ref="BP210" ca="1">_xlfn.IFS(BP$25="Manual",BO210,
BP$25="Regression",
MAX(0,
IFERROR(MIN(INDEX(#REF!,MATCH(_xlfn.TEXTJOIN(keydelim,TRUE,BP$9,BP$10,$F210,$D210),#REF!,0)),
INDEX(#REF!,MATCH(_xlfn.TEXTJOIN(keydelim,TRUE,BP$9,BP$10,$F210,$D210),#REF!,0))+
INDEX(#REF!,MATCH(_xlfn.TEXTJOIN(keydelim,TRUE,BP$9,BP$10,$F210,$D210),#REF!,0))*BP$214),
MIN(INDEX(#REF!,MATCH(_xlfn.TEXTJOIN(keydelim,TRUE,"Other",BP$10,$F210,$D210),#REF!,0)),
INDEX(#REF!,MATCH(_xlfn.TEXTJOIN(keydelim,TRUE,"Other",BP$10,$F210,$D210),#REF!,0))+
INDEX(#REF!,MATCH(_xlfn.TEXTJOIN(keydelim,TRUE,"Other",BP$10,$F210,$D210),#REF!,0))*BP$214)
)))</f>
        <v>0</v>
      </c>
      <c r="BQ210" s="116" cm="1">
        <f t="array" aca="1" ref="BQ210" ca="1">_xlfn.IFS(BQ$25="Manual",BP210,
BQ$25="Regression",
MAX(0,
IFERROR(MIN(INDEX(#REF!,MATCH(_xlfn.TEXTJOIN(keydelim,TRUE,BQ$9,BQ$10,$F210,$D210),#REF!,0)),
INDEX(#REF!,MATCH(_xlfn.TEXTJOIN(keydelim,TRUE,BQ$9,BQ$10,$F210,$D210),#REF!,0))+
INDEX(#REF!,MATCH(_xlfn.TEXTJOIN(keydelim,TRUE,BQ$9,BQ$10,$F210,$D210),#REF!,0))*BQ$214),
MIN(INDEX(#REF!,MATCH(_xlfn.TEXTJOIN(keydelim,TRUE,"Other",BQ$10,$F210,$D210),#REF!,0)),
INDEX(#REF!,MATCH(_xlfn.TEXTJOIN(keydelim,TRUE,"Other",BQ$10,$F210,$D210),#REF!,0))+
INDEX(#REF!,MATCH(_xlfn.TEXTJOIN(keydelim,TRUE,"Other",BQ$10,$F210,$D210),#REF!,0))*BQ$214)
)))</f>
        <v>0</v>
      </c>
      <c r="BR210" s="116" cm="1">
        <f t="array" aca="1" ref="BR210" ca="1">_xlfn.IFS(BR$25="Manual",BQ210,
BR$25="Regression",
MAX(0,
IFERROR(MIN(INDEX(#REF!,MATCH(_xlfn.TEXTJOIN(keydelim,TRUE,BR$9,BR$10,$F210,$D210),#REF!,0)),
INDEX(#REF!,MATCH(_xlfn.TEXTJOIN(keydelim,TRUE,BR$9,BR$10,$F210,$D210),#REF!,0))+
INDEX(#REF!,MATCH(_xlfn.TEXTJOIN(keydelim,TRUE,BR$9,BR$10,$F210,$D210),#REF!,0))*BR$214),
MIN(INDEX(#REF!,MATCH(_xlfn.TEXTJOIN(keydelim,TRUE,"Other",BR$10,$F210,$D210),#REF!,0)),
INDEX(#REF!,MATCH(_xlfn.TEXTJOIN(keydelim,TRUE,"Other",BR$10,$F210,$D210),#REF!,0))+
INDEX(#REF!,MATCH(_xlfn.TEXTJOIN(keydelim,TRUE,"Other",BR$10,$F210,$D210),#REF!,0))*BR$214)
)))</f>
        <v>0</v>
      </c>
      <c r="BS210" s="116" cm="1">
        <f t="array" aca="1" ref="BS210" ca="1">_xlfn.IFS(BS$25="Manual",BR210,
BS$25="Regression",
MAX(0,
IFERROR(MIN(INDEX(#REF!,MATCH(_xlfn.TEXTJOIN(keydelim,TRUE,BS$9,BS$10,$F210,$D210),#REF!,0)),
INDEX(#REF!,MATCH(_xlfn.TEXTJOIN(keydelim,TRUE,BS$9,BS$10,$F210,$D210),#REF!,0))+
INDEX(#REF!,MATCH(_xlfn.TEXTJOIN(keydelim,TRUE,BS$9,BS$10,$F210,$D210),#REF!,0))*BS$214),
MIN(INDEX(#REF!,MATCH(_xlfn.TEXTJOIN(keydelim,TRUE,"Other",BS$10,$F210,$D210),#REF!,0)),
INDEX(#REF!,MATCH(_xlfn.TEXTJOIN(keydelim,TRUE,"Other",BS$10,$F210,$D210),#REF!,0))+
INDEX(#REF!,MATCH(_xlfn.TEXTJOIN(keydelim,TRUE,"Other",BS$10,$F210,$D210),#REF!,0))*BS$214)
)))</f>
        <v>0</v>
      </c>
      <c r="BT210" s="116" cm="1">
        <f t="array" aca="1" ref="BT210" ca="1">_xlfn.IFS(BT$25="Manual",BS210,
BT$25="Regression",
MAX(0,
IFERROR(MIN(INDEX(#REF!,MATCH(_xlfn.TEXTJOIN(keydelim,TRUE,BT$9,BT$10,$F210,$D210),#REF!,0)),
INDEX(#REF!,MATCH(_xlfn.TEXTJOIN(keydelim,TRUE,BT$9,BT$10,$F210,$D210),#REF!,0))+
INDEX(#REF!,MATCH(_xlfn.TEXTJOIN(keydelim,TRUE,BT$9,BT$10,$F210,$D210),#REF!,0))*BT$214),
MIN(INDEX(#REF!,MATCH(_xlfn.TEXTJOIN(keydelim,TRUE,"Other",BT$10,$F210,$D210),#REF!,0)),
INDEX(#REF!,MATCH(_xlfn.TEXTJOIN(keydelim,TRUE,"Other",BT$10,$F210,$D210),#REF!,0))+
INDEX(#REF!,MATCH(_xlfn.TEXTJOIN(keydelim,TRUE,"Other",BT$10,$F210,$D210),#REF!,0))*BT$214)
)))</f>
        <v>0</v>
      </c>
      <c r="BU210" s="116" cm="1">
        <f t="array" aca="1" ref="BU210" ca="1">_xlfn.IFS(BU$25="Manual",BT210,
BU$25="Regression",
MAX(0,
IFERROR(MIN(INDEX(#REF!,MATCH(_xlfn.TEXTJOIN(keydelim,TRUE,BU$9,BU$10,$F210,$D210),#REF!,0)),
INDEX(#REF!,MATCH(_xlfn.TEXTJOIN(keydelim,TRUE,BU$9,BU$10,$F210,$D210),#REF!,0))+
INDEX(#REF!,MATCH(_xlfn.TEXTJOIN(keydelim,TRUE,BU$9,BU$10,$F210,$D210),#REF!,0))*BU$214),
MIN(INDEX(#REF!,MATCH(_xlfn.TEXTJOIN(keydelim,TRUE,"Other",BU$10,$F210,$D210),#REF!,0)),
INDEX(#REF!,MATCH(_xlfn.TEXTJOIN(keydelim,TRUE,"Other",BU$10,$F210,$D210),#REF!,0))+
INDEX(#REF!,MATCH(_xlfn.TEXTJOIN(keydelim,TRUE,"Other",BU$10,$F210,$D210),#REF!,0))*BU$214)
)))</f>
        <v>0</v>
      </c>
      <c r="BV210" s="116" cm="1">
        <f t="array" aca="1" ref="BV210" ca="1">_xlfn.IFS(BV$25="Manual",BU210,
BV$25="Regression",
MAX(0,
IFERROR(MIN(INDEX(#REF!,MATCH(_xlfn.TEXTJOIN(keydelim,TRUE,BV$9,BV$10,$F210,$D210),#REF!,0)),
INDEX(#REF!,MATCH(_xlfn.TEXTJOIN(keydelim,TRUE,BV$9,BV$10,$F210,$D210),#REF!,0))+
INDEX(#REF!,MATCH(_xlfn.TEXTJOIN(keydelim,TRUE,BV$9,BV$10,$F210,$D210),#REF!,0))*BV$214),
MIN(INDEX(#REF!,MATCH(_xlfn.TEXTJOIN(keydelim,TRUE,"Other",BV$10,$F210,$D210),#REF!,0)),
INDEX(#REF!,MATCH(_xlfn.TEXTJOIN(keydelim,TRUE,"Other",BV$10,$F210,$D210),#REF!,0))+
INDEX(#REF!,MATCH(_xlfn.TEXTJOIN(keydelim,TRUE,"Other",BV$10,$F210,$D210),#REF!,0))*BV$214)
)))</f>
        <v>0</v>
      </c>
      <c r="BW210" s="116" cm="1">
        <f t="array" aca="1" ref="BW210" ca="1">_xlfn.IFS(BW$25="Manual",BV210,
BW$25="Regression",
MAX(0,
IFERROR(MIN(INDEX(#REF!,MATCH(_xlfn.TEXTJOIN(keydelim,TRUE,BW$9,BW$10,$F210,$D210),#REF!,0)),
INDEX(#REF!,MATCH(_xlfn.TEXTJOIN(keydelim,TRUE,BW$9,BW$10,$F210,$D210),#REF!,0))+
INDEX(#REF!,MATCH(_xlfn.TEXTJOIN(keydelim,TRUE,BW$9,BW$10,$F210,$D210),#REF!,0))*BW$214),
MIN(INDEX(#REF!,MATCH(_xlfn.TEXTJOIN(keydelim,TRUE,"Other",BW$10,$F210,$D210),#REF!,0)),
INDEX(#REF!,MATCH(_xlfn.TEXTJOIN(keydelim,TRUE,"Other",BW$10,$F210,$D210),#REF!,0))+
INDEX(#REF!,MATCH(_xlfn.TEXTJOIN(keydelim,TRUE,"Other",BW$10,$F210,$D210),#REF!,0))*BW$214)
)))</f>
        <v>0</v>
      </c>
      <c r="BX210" s="116" cm="1">
        <f t="array" aca="1" ref="BX210" ca="1">_xlfn.IFS(BX$25="Manual",BW210,
BX$25="Regression",
MAX(0,
IFERROR(MIN(INDEX(#REF!,MATCH(_xlfn.TEXTJOIN(keydelim,TRUE,BX$9,BX$10,$F210,$D210),#REF!,0)),
INDEX(#REF!,MATCH(_xlfn.TEXTJOIN(keydelim,TRUE,BX$9,BX$10,$F210,$D210),#REF!,0))+
INDEX(#REF!,MATCH(_xlfn.TEXTJOIN(keydelim,TRUE,BX$9,BX$10,$F210,$D210),#REF!,0))*BX$214),
MIN(INDEX(#REF!,MATCH(_xlfn.TEXTJOIN(keydelim,TRUE,"Other",BX$10,$F210,$D210),#REF!,0)),
INDEX(#REF!,MATCH(_xlfn.TEXTJOIN(keydelim,TRUE,"Other",BX$10,$F210,$D210),#REF!,0))+
INDEX(#REF!,MATCH(_xlfn.TEXTJOIN(keydelim,TRUE,"Other",BX$10,$F210,$D210),#REF!,0))*BX$214)
)))</f>
        <v>0</v>
      </c>
      <c r="BY210" s="116" cm="1">
        <f t="array" aca="1" ref="BY210" ca="1">_xlfn.IFS(BY$25="Manual",BX210,
BY$25="Regression",
MAX(0,
IFERROR(MIN(INDEX(#REF!,MATCH(_xlfn.TEXTJOIN(keydelim,TRUE,BY$9,BY$10,$F210,$D210),#REF!,0)),
INDEX(#REF!,MATCH(_xlfn.TEXTJOIN(keydelim,TRUE,BY$9,BY$10,$F210,$D210),#REF!,0))+
INDEX(#REF!,MATCH(_xlfn.TEXTJOIN(keydelim,TRUE,BY$9,BY$10,$F210,$D210),#REF!,0))*BY$214),
MIN(INDEX(#REF!,MATCH(_xlfn.TEXTJOIN(keydelim,TRUE,"Other",BY$10,$F210,$D210),#REF!,0)),
INDEX(#REF!,MATCH(_xlfn.TEXTJOIN(keydelim,TRUE,"Other",BY$10,$F210,$D210),#REF!,0))+
INDEX(#REF!,MATCH(_xlfn.TEXTJOIN(keydelim,TRUE,"Other",BY$10,$F210,$D210),#REF!,0))*BY$214)
)))</f>
        <v>0</v>
      </c>
      <c r="BZ210" s="116" cm="1">
        <f t="array" aca="1" ref="BZ210" ca="1">_xlfn.IFS(BZ$25="Manual",BY210,
BZ$25="Regression",
MAX(0,
IFERROR(MIN(INDEX(#REF!,MATCH(_xlfn.TEXTJOIN(keydelim,TRUE,BZ$9,BZ$10,$F210,$D210),#REF!,0)),
INDEX(#REF!,MATCH(_xlfn.TEXTJOIN(keydelim,TRUE,BZ$9,BZ$10,$F210,$D210),#REF!,0))+
INDEX(#REF!,MATCH(_xlfn.TEXTJOIN(keydelim,TRUE,BZ$9,BZ$10,$F210,$D210),#REF!,0))*BZ$214),
MIN(INDEX(#REF!,MATCH(_xlfn.TEXTJOIN(keydelim,TRUE,"Other",BZ$10,$F210,$D210),#REF!,0)),
INDEX(#REF!,MATCH(_xlfn.TEXTJOIN(keydelim,TRUE,"Other",BZ$10,$F210,$D210),#REF!,0))+
INDEX(#REF!,MATCH(_xlfn.TEXTJOIN(keydelim,TRUE,"Other",BZ$10,$F210,$D210),#REF!,0))*BZ$214)
)))</f>
        <v>0</v>
      </c>
      <c r="CF210" s="16" t="s">
        <v>399</v>
      </c>
      <c r="CG210" s="224" t="s">
        <v>178</v>
      </c>
      <c r="CH210" s="298" t="s">
        <v>61</v>
      </c>
      <c r="CI210" s="116" cm="1">
        <f t="array" aca="1" ref="CI210" ca="1">_xlfn.IFS(CI$25="Manual",CI327,
CI$25="Regression",
MAX(0,
IFERROR(MIN(INDEX(#REF!,MATCH(_xlfn.TEXTJOIN(keydelim,TRUE,CI$9,CI$10,$F210,$D210),#REF!,0)),
INDEX(#REF!,MATCH(_xlfn.TEXTJOIN(keydelim,TRUE,CI$9,CI$10,$F210,$D210),#REF!,0))+
INDEX(#REF!,MATCH(_xlfn.TEXTJOIN(keydelim,TRUE,CI$9,CI$10,$F210,$D210),#REF!,0))*CI$209),
MIN(INDEX(#REF!,MATCH(_xlfn.TEXTJOIN(keydelim,TRUE,"Other",CI$10,$F210,$D210),#REF!,0)),
INDEX(#REF!,MATCH(_xlfn.TEXTJOIN(keydelim,TRUE,"Other",CI$10,$F210,$D210),#REF!,0))+
INDEX(#REF!,MATCH(_xlfn.TEXTJOIN(keydelim,TRUE,"Other",CI$10,$F210,$D210),#REF!,0))*CI$209)
)))</f>
        <v>0</v>
      </c>
      <c r="CJ210" s="116" cm="1">
        <f t="array" aca="1" ref="CJ210" ca="1">_xlfn.IFS(CJ$25="Manual",CI210,
CJ$25="Regression",
MAX(0,
IFERROR(MIN(INDEX(#REF!,MATCH(_xlfn.TEXTJOIN(keydelim,TRUE,CJ$9,CJ$10,$F210,$D210),#REF!,0)),
INDEX(#REF!,MATCH(_xlfn.TEXTJOIN(keydelim,TRUE,CJ$9,CJ$10,$F210,$D210),#REF!,0))+
INDEX(#REF!,MATCH(_xlfn.TEXTJOIN(keydelim,TRUE,CJ$9,CJ$10,$F210,$D210),#REF!,0))*CJ$214),
MIN(INDEX(#REF!,MATCH(_xlfn.TEXTJOIN(keydelim,TRUE,"Other",CJ$10,$F210,$D210),#REF!,0)),
INDEX(#REF!,MATCH(_xlfn.TEXTJOIN(keydelim,TRUE,"Other",CJ$10,$F210,$D210),#REF!,0))+
INDEX(#REF!,MATCH(_xlfn.TEXTJOIN(keydelim,TRUE,"Other",CJ$10,$F210,$D210),#REF!,0))*CJ$214)
)))</f>
        <v>0</v>
      </c>
      <c r="CK210" s="116" cm="1">
        <f t="array" aca="1" ref="CK210" ca="1">_xlfn.IFS(CK$25="Manual",CJ210,
CK$25="Regression",
MAX(0,
IFERROR(MIN(INDEX(#REF!,MATCH(_xlfn.TEXTJOIN(keydelim,TRUE,CK$9,CK$10,$F210,$D210),#REF!,0)),
INDEX(#REF!,MATCH(_xlfn.TEXTJOIN(keydelim,TRUE,CK$9,CK$10,$F210,$D210),#REF!,0))+
INDEX(#REF!,MATCH(_xlfn.TEXTJOIN(keydelim,TRUE,CK$9,CK$10,$F210,$D210),#REF!,0))*CK$214),
MIN(INDEX(#REF!,MATCH(_xlfn.TEXTJOIN(keydelim,TRUE,"Other",CK$10,$F210,$D210),#REF!,0)),
INDEX(#REF!,MATCH(_xlfn.TEXTJOIN(keydelim,TRUE,"Other",CK$10,$F210,$D210),#REF!,0))+
INDEX(#REF!,MATCH(_xlfn.TEXTJOIN(keydelim,TRUE,"Other",CK$10,$F210,$D210),#REF!,0))*CK$214)
)))</f>
        <v>0</v>
      </c>
      <c r="CL210" s="116" cm="1">
        <f t="array" aca="1" ref="CL210" ca="1">_xlfn.IFS(CL$25="Manual",CK210,
CL$25="Regression",
MAX(0,
IFERROR(MIN(INDEX(#REF!,MATCH(_xlfn.TEXTJOIN(keydelim,TRUE,CL$9,CL$10,$F210,$D210),#REF!,0)),
INDEX(#REF!,MATCH(_xlfn.TEXTJOIN(keydelim,TRUE,CL$9,CL$10,$F210,$D210),#REF!,0))+
INDEX(#REF!,MATCH(_xlfn.TEXTJOIN(keydelim,TRUE,CL$9,CL$10,$F210,$D210),#REF!,0))*CL$214),
MIN(INDEX(#REF!,MATCH(_xlfn.TEXTJOIN(keydelim,TRUE,"Other",CL$10,$F210,$D210),#REF!,0)),
INDEX(#REF!,MATCH(_xlfn.TEXTJOIN(keydelim,TRUE,"Other",CL$10,$F210,$D210),#REF!,0))+
INDEX(#REF!,MATCH(_xlfn.TEXTJOIN(keydelim,TRUE,"Other",CL$10,$F210,$D210),#REF!,0))*CL$214)
)))</f>
        <v>0</v>
      </c>
      <c r="CM210" s="116" cm="1">
        <f t="array" aca="1" ref="CM210" ca="1">_xlfn.IFS(CM$25="Manual",CL210,
CM$25="Regression",
MAX(0,
IFERROR(MIN(INDEX(#REF!,MATCH(_xlfn.TEXTJOIN(keydelim,TRUE,CM$9,CM$10,$F210,$D210),#REF!,0)),
INDEX(#REF!,MATCH(_xlfn.TEXTJOIN(keydelim,TRUE,CM$9,CM$10,$F210,$D210),#REF!,0))+
INDEX(#REF!,MATCH(_xlfn.TEXTJOIN(keydelim,TRUE,CM$9,CM$10,$F210,$D210),#REF!,0))*CM$214),
MIN(INDEX(#REF!,MATCH(_xlfn.TEXTJOIN(keydelim,TRUE,"Other",CM$10,$F210,$D210),#REF!,0)),
INDEX(#REF!,MATCH(_xlfn.TEXTJOIN(keydelim,TRUE,"Other",CM$10,$F210,$D210),#REF!,0))+
INDEX(#REF!,MATCH(_xlfn.TEXTJOIN(keydelim,TRUE,"Other",CM$10,$F210,$D210),#REF!,0))*CM$214)
)))</f>
        <v>0</v>
      </c>
      <c r="CN210" s="116" cm="1">
        <f t="array" aca="1" ref="CN210" ca="1">_xlfn.IFS(CN$25="Manual",CM210,
CN$25="Regression",
MAX(0,
IFERROR(MIN(INDEX(#REF!,MATCH(_xlfn.TEXTJOIN(keydelim,TRUE,CN$9,CN$10,$F210,$D210),#REF!,0)),
INDEX(#REF!,MATCH(_xlfn.TEXTJOIN(keydelim,TRUE,CN$9,CN$10,$F210,$D210),#REF!,0))+
INDEX(#REF!,MATCH(_xlfn.TEXTJOIN(keydelim,TRUE,CN$9,CN$10,$F210,$D210),#REF!,0))*CN$214),
MIN(INDEX(#REF!,MATCH(_xlfn.TEXTJOIN(keydelim,TRUE,"Other",CN$10,$F210,$D210),#REF!,0)),
INDEX(#REF!,MATCH(_xlfn.TEXTJOIN(keydelim,TRUE,"Other",CN$10,$F210,$D210),#REF!,0))+
INDEX(#REF!,MATCH(_xlfn.TEXTJOIN(keydelim,TRUE,"Other",CN$10,$F210,$D210),#REF!,0))*CN$214)
)))</f>
        <v>0</v>
      </c>
      <c r="CO210" s="116" cm="1">
        <f t="array" aca="1" ref="CO210" ca="1">_xlfn.IFS(CO$25="Manual",CN210,
CO$25="Regression",
MAX(0,
IFERROR(MIN(INDEX(#REF!,MATCH(_xlfn.TEXTJOIN(keydelim,TRUE,CO$9,CO$10,$F210,$D210),#REF!,0)),
INDEX(#REF!,MATCH(_xlfn.TEXTJOIN(keydelim,TRUE,CO$9,CO$10,$F210,$D210),#REF!,0))+
INDEX(#REF!,MATCH(_xlfn.TEXTJOIN(keydelim,TRUE,CO$9,CO$10,$F210,$D210),#REF!,0))*CO$214),
MIN(INDEX(#REF!,MATCH(_xlfn.TEXTJOIN(keydelim,TRUE,"Other",CO$10,$F210,$D210),#REF!,0)),
INDEX(#REF!,MATCH(_xlfn.TEXTJOIN(keydelim,TRUE,"Other",CO$10,$F210,$D210),#REF!,0))+
INDEX(#REF!,MATCH(_xlfn.TEXTJOIN(keydelim,TRUE,"Other",CO$10,$F210,$D210),#REF!,0))*CO$214)
)))</f>
        <v>0</v>
      </c>
      <c r="CP210" s="116" cm="1">
        <f t="array" aca="1" ref="CP210" ca="1">_xlfn.IFS(CP$25="Manual",CO210,
CP$25="Regression",
MAX(0,
IFERROR(MIN(INDEX(#REF!,MATCH(_xlfn.TEXTJOIN(keydelim,TRUE,CP$9,CP$10,$F210,$D210),#REF!,0)),
INDEX(#REF!,MATCH(_xlfn.TEXTJOIN(keydelim,TRUE,CP$9,CP$10,$F210,$D210),#REF!,0))+
INDEX(#REF!,MATCH(_xlfn.TEXTJOIN(keydelim,TRUE,CP$9,CP$10,$F210,$D210),#REF!,0))*CP$214),
MIN(INDEX(#REF!,MATCH(_xlfn.TEXTJOIN(keydelim,TRUE,"Other",CP$10,$F210,$D210),#REF!,0)),
INDEX(#REF!,MATCH(_xlfn.TEXTJOIN(keydelim,TRUE,"Other",CP$10,$F210,$D210),#REF!,0))+
INDEX(#REF!,MATCH(_xlfn.TEXTJOIN(keydelim,TRUE,"Other",CP$10,$F210,$D210),#REF!,0))*CP$214)
)))</f>
        <v>0</v>
      </c>
      <c r="CQ210" s="116" cm="1">
        <f t="array" aca="1" ref="CQ210" ca="1">_xlfn.IFS(CQ$25="Manual",CP210,
CQ$25="Regression",
MAX(0,
IFERROR(MIN(INDEX(#REF!,MATCH(_xlfn.TEXTJOIN(keydelim,TRUE,CQ$9,CQ$10,$F210,$D210),#REF!,0)),
INDEX(#REF!,MATCH(_xlfn.TEXTJOIN(keydelim,TRUE,CQ$9,CQ$10,$F210,$D210),#REF!,0))+
INDEX(#REF!,MATCH(_xlfn.TEXTJOIN(keydelim,TRUE,CQ$9,CQ$10,$F210,$D210),#REF!,0))*CQ$214),
MIN(INDEX(#REF!,MATCH(_xlfn.TEXTJOIN(keydelim,TRUE,"Other",CQ$10,$F210,$D210),#REF!,0)),
INDEX(#REF!,MATCH(_xlfn.TEXTJOIN(keydelim,TRUE,"Other",CQ$10,$F210,$D210),#REF!,0))+
INDEX(#REF!,MATCH(_xlfn.TEXTJOIN(keydelim,TRUE,"Other",CQ$10,$F210,$D210),#REF!,0))*CQ$214)
)))</f>
        <v>0</v>
      </c>
      <c r="CR210" s="116" cm="1">
        <f t="array" aca="1" ref="CR210" ca="1">_xlfn.IFS(CR$25="Manual",CQ210,
CR$25="Regression",
MAX(0,
IFERROR(MIN(INDEX(#REF!,MATCH(_xlfn.TEXTJOIN(keydelim,TRUE,CR$9,CR$10,$F210,$D210),#REF!,0)),
INDEX(#REF!,MATCH(_xlfn.TEXTJOIN(keydelim,TRUE,CR$9,CR$10,$F210,$D210),#REF!,0))+
INDEX(#REF!,MATCH(_xlfn.TEXTJOIN(keydelim,TRUE,CR$9,CR$10,$F210,$D210),#REF!,0))*CR$214),
MIN(INDEX(#REF!,MATCH(_xlfn.TEXTJOIN(keydelim,TRUE,"Other",CR$10,$F210,$D210),#REF!,0)),
INDEX(#REF!,MATCH(_xlfn.TEXTJOIN(keydelim,TRUE,"Other",CR$10,$F210,$D210),#REF!,0))+
INDEX(#REF!,MATCH(_xlfn.TEXTJOIN(keydelim,TRUE,"Other",CR$10,$F210,$D210),#REF!,0))*CR$214)
)))</f>
        <v>0</v>
      </c>
      <c r="CS210" s="116" cm="1">
        <f t="array" aca="1" ref="CS210" ca="1">_xlfn.IFS(CS$25="Manual",CR210,
CS$25="Regression",
MAX(0,
IFERROR(MIN(INDEX(#REF!,MATCH(_xlfn.TEXTJOIN(keydelim,TRUE,CS$9,CS$10,$F210,$D210),#REF!,0)),
INDEX(#REF!,MATCH(_xlfn.TEXTJOIN(keydelim,TRUE,CS$9,CS$10,$F210,$D210),#REF!,0))+
INDEX(#REF!,MATCH(_xlfn.TEXTJOIN(keydelim,TRUE,CS$9,CS$10,$F210,$D210),#REF!,0))*CS$214),
MIN(INDEX(#REF!,MATCH(_xlfn.TEXTJOIN(keydelim,TRUE,"Other",CS$10,$F210,$D210),#REF!,0)),
INDEX(#REF!,MATCH(_xlfn.TEXTJOIN(keydelim,TRUE,"Other",CS$10,$F210,$D210),#REF!,0))+
INDEX(#REF!,MATCH(_xlfn.TEXTJOIN(keydelim,TRUE,"Other",CS$10,$F210,$D210),#REF!,0))*CS$214)
)))</f>
        <v>0</v>
      </c>
      <c r="CT210" s="116" cm="1">
        <f t="array" aca="1" ref="CT210" ca="1">_xlfn.IFS(CT$25="Manual",CS210,
CT$25="Regression",
MAX(0,
IFERROR(MIN(INDEX(#REF!,MATCH(_xlfn.TEXTJOIN(keydelim,TRUE,CT$9,CT$10,$F210,$D210),#REF!,0)),
INDEX(#REF!,MATCH(_xlfn.TEXTJOIN(keydelim,TRUE,CT$9,CT$10,$F210,$D210),#REF!,0))+
INDEX(#REF!,MATCH(_xlfn.TEXTJOIN(keydelim,TRUE,CT$9,CT$10,$F210,$D210),#REF!,0))*CT$214),
MIN(INDEX(#REF!,MATCH(_xlfn.TEXTJOIN(keydelim,TRUE,"Other",CT$10,$F210,$D210),#REF!,0)),
INDEX(#REF!,MATCH(_xlfn.TEXTJOIN(keydelim,TRUE,"Other",CT$10,$F210,$D210),#REF!,0))+
INDEX(#REF!,MATCH(_xlfn.TEXTJOIN(keydelim,TRUE,"Other",CT$10,$F210,$D210),#REF!,0))*CT$214)
)))</f>
        <v>0</v>
      </c>
    </row>
    <row r="211" spans="2:98" hidden="1" outlineLevel="1" x14ac:dyDescent="0.2">
      <c r="C211" s="3"/>
      <c r="D211" s="16" t="s">
        <v>319</v>
      </c>
      <c r="E211" s="224" t="s">
        <v>400</v>
      </c>
      <c r="F211" s="298" t="s">
        <v>61</v>
      </c>
      <c r="G211" s="315" cm="1">
        <f t="array" aca="1" ref="G211" ca="1">_xlfn.IFS(G$25="Manual",G368,
G$25="Regression",
MAX(0,
IFERROR(MIN(INDEX(#REF!,MATCH(_xlfn.TEXTJOIN(keydelim,TRUE,G$9,G$10,$F211,$D211),#REF!,0)),
INDEX(#REF!,MATCH(_xlfn.TEXTJOIN(keydelim,TRUE,G$9,G$10,$F211,$D211),#REF!,0))+
INDEX(#REF!,MATCH(_xlfn.TEXTJOIN(keydelim,TRUE,G$9,G$10,$F211,$D211),#REF!,0))*G$209),
MIN(INDEX(#REF!,MATCH(_xlfn.TEXTJOIN(keydelim,TRUE,"Other",G$10,$F211,$D211),#REF!,0)),
INDEX(#REF!,MATCH(_xlfn.TEXTJOIN(keydelim,TRUE,"Other",G$10,$F211,$D211),#REF!,0))+
INDEX(#REF!,MATCH(_xlfn.TEXTJOIN(keydelim,TRUE,"Other",G$10,$F211,$D211),#REF!,0))*G$209)
)))</f>
        <v>0</v>
      </c>
      <c r="H211" s="52" cm="1">
        <f t="array" aca="1" ref="H211" ca="1">_xlfn.IFS(H$25="Manual",G211,
H$25="Regression",
MAX(0,
IFERROR(MIN(INDEX(#REF!,MATCH(_xlfn.TEXTJOIN(keydelim,TRUE,H$9,H$10,$F211,$D211),#REF!,0)),
INDEX(#REF!,MATCH(_xlfn.TEXTJOIN(keydelim,TRUE,H$9,H$10,$F211,$D211),#REF!,0))+
INDEX(#REF!,MATCH(_xlfn.TEXTJOIN(keydelim,TRUE,H$9,H$10,$F211,$D211),#REF!,0))*H$214),
MIN(INDEX(#REF!,MATCH(_xlfn.TEXTJOIN(keydelim,TRUE,"Other",H$10,$F211,$D211),#REF!,0)),
INDEX(#REF!,MATCH(_xlfn.TEXTJOIN(keydelim,TRUE,"Other",H$10,$F211,$D211),#REF!,0))+
INDEX(#REF!,MATCH(_xlfn.TEXTJOIN(keydelim,TRUE,"Other",H$10,$F211,$D211),#REF!,0))*H$214)
)))</f>
        <v>0</v>
      </c>
      <c r="I211" s="52" cm="1">
        <f t="array" aca="1" ref="I211" ca="1">_xlfn.IFS(I$25="Manual",H211,
I$25="Regression",
MAX(0,
IFERROR(MIN(INDEX(#REF!,MATCH(_xlfn.TEXTJOIN(keydelim,TRUE,I$9,I$10,$F211,$D211),#REF!,0)),
INDEX(#REF!,MATCH(_xlfn.TEXTJOIN(keydelim,TRUE,I$9,I$10,$F211,$D211),#REF!,0))+
INDEX(#REF!,MATCH(_xlfn.TEXTJOIN(keydelim,TRUE,I$9,I$10,$F211,$D211),#REF!,0))*I$214),
MIN(INDEX(#REF!,MATCH(_xlfn.TEXTJOIN(keydelim,TRUE,"Other",I$10,$F211,$D211),#REF!,0)),
INDEX(#REF!,MATCH(_xlfn.TEXTJOIN(keydelim,TRUE,"Other",I$10,$F211,$D211),#REF!,0))+
INDEX(#REF!,MATCH(_xlfn.TEXTJOIN(keydelim,TRUE,"Other",I$10,$F211,$D211),#REF!,0))*I$214)
)))</f>
        <v>0</v>
      </c>
      <c r="J211" s="52" cm="1">
        <f t="array" aca="1" ref="J211" ca="1">_xlfn.IFS(J$25="Manual",I211,
J$25="Regression",
MAX(0,
IFERROR(MIN(INDEX(#REF!,MATCH(_xlfn.TEXTJOIN(keydelim,TRUE,J$9,J$10,$F211,$D211),#REF!,0)),
INDEX(#REF!,MATCH(_xlfn.TEXTJOIN(keydelim,TRUE,J$9,J$10,$F211,$D211),#REF!,0))+
INDEX(#REF!,MATCH(_xlfn.TEXTJOIN(keydelim,TRUE,J$9,J$10,$F211,$D211),#REF!,0))*J$214),
MIN(INDEX(#REF!,MATCH(_xlfn.TEXTJOIN(keydelim,TRUE,"Other",J$10,$F211,$D211),#REF!,0)),
INDEX(#REF!,MATCH(_xlfn.TEXTJOIN(keydelim,TRUE,"Other",J$10,$F211,$D211),#REF!,0))+
INDEX(#REF!,MATCH(_xlfn.TEXTJOIN(keydelim,TRUE,"Other",J$10,$F211,$D211),#REF!,0))*J$214)
)))</f>
        <v>0</v>
      </c>
      <c r="K211" s="52" cm="1">
        <f t="array" aca="1" ref="K211" ca="1">_xlfn.IFS(K$25="Manual",J211,
K$25="Regression",
MAX(0,
IFERROR(MIN(INDEX(#REF!,MATCH(_xlfn.TEXTJOIN(keydelim,TRUE,K$9,K$10,$F211,$D211),#REF!,0)),
INDEX(#REF!,MATCH(_xlfn.TEXTJOIN(keydelim,TRUE,K$9,K$10,$F211,$D211),#REF!,0))+
INDEX(#REF!,MATCH(_xlfn.TEXTJOIN(keydelim,TRUE,K$9,K$10,$F211,$D211),#REF!,0))*K$214),
MIN(INDEX(#REF!,MATCH(_xlfn.TEXTJOIN(keydelim,TRUE,"Other",K$10,$F211,$D211),#REF!,0)),
INDEX(#REF!,MATCH(_xlfn.TEXTJOIN(keydelim,TRUE,"Other",K$10,$F211,$D211),#REF!,0))+
INDEX(#REF!,MATCH(_xlfn.TEXTJOIN(keydelim,TRUE,"Other",K$10,$F211,$D211),#REF!,0))*K$214)
)))</f>
        <v>0</v>
      </c>
      <c r="L211" s="52" cm="1">
        <f t="array" aca="1" ref="L211" ca="1">_xlfn.IFS(L$25="Manual",K211,
L$25="Regression",
MAX(0,
IFERROR(MIN(INDEX(#REF!,MATCH(_xlfn.TEXTJOIN(keydelim,TRUE,L$9,L$10,$F211,$D211),#REF!,0)),
INDEX(#REF!,MATCH(_xlfn.TEXTJOIN(keydelim,TRUE,L$9,L$10,$F211,$D211),#REF!,0))+
INDEX(#REF!,MATCH(_xlfn.TEXTJOIN(keydelim,TRUE,L$9,L$10,$F211,$D211),#REF!,0))*L$214),
MIN(INDEX(#REF!,MATCH(_xlfn.TEXTJOIN(keydelim,TRUE,"Other",L$10,$F211,$D211),#REF!,0)),
INDEX(#REF!,MATCH(_xlfn.TEXTJOIN(keydelim,TRUE,"Other",L$10,$F211,$D211),#REF!,0))+
INDEX(#REF!,MATCH(_xlfn.TEXTJOIN(keydelim,TRUE,"Other",L$10,$F211,$D211),#REF!,0))*L$214)
)))</f>
        <v>0</v>
      </c>
      <c r="M211" s="52" cm="1">
        <f t="array" aca="1" ref="M211" ca="1">_xlfn.IFS(M$25="Manual",L211,
M$25="Regression",
MAX(0,
IFERROR(MIN(INDEX(#REF!,MATCH(_xlfn.TEXTJOIN(keydelim,TRUE,M$9,M$10,$F211,$D211),#REF!,0)),
INDEX(#REF!,MATCH(_xlfn.TEXTJOIN(keydelim,TRUE,M$9,M$10,$F211,$D211),#REF!,0))+
INDEX(#REF!,MATCH(_xlfn.TEXTJOIN(keydelim,TRUE,M$9,M$10,$F211,$D211),#REF!,0))*M$214),
MIN(INDEX(#REF!,MATCH(_xlfn.TEXTJOIN(keydelim,TRUE,"Other",M$10,$F211,$D211),#REF!,0)),
INDEX(#REF!,MATCH(_xlfn.TEXTJOIN(keydelim,TRUE,"Other",M$10,$F211,$D211),#REF!,0))+
INDEX(#REF!,MATCH(_xlfn.TEXTJOIN(keydelim,TRUE,"Other",M$10,$F211,$D211),#REF!,0))*M$214)
)))</f>
        <v>0</v>
      </c>
      <c r="N211" s="52" cm="1">
        <f t="array" aca="1" ref="N211" ca="1">_xlfn.IFS(N$25="Manual",M211,
N$25="Regression",
MAX(0,
IFERROR(MIN(INDEX(#REF!,MATCH(_xlfn.TEXTJOIN(keydelim,TRUE,N$9,N$10,$F211,$D211),#REF!,0)),
INDEX(#REF!,MATCH(_xlfn.TEXTJOIN(keydelim,TRUE,N$9,N$10,$F211,$D211),#REF!,0))+
INDEX(#REF!,MATCH(_xlfn.TEXTJOIN(keydelim,TRUE,N$9,N$10,$F211,$D211),#REF!,0))*N$214),
MIN(INDEX(#REF!,MATCH(_xlfn.TEXTJOIN(keydelim,TRUE,"Other",N$10,$F211,$D211),#REF!,0)),
INDEX(#REF!,MATCH(_xlfn.TEXTJOIN(keydelim,TRUE,"Other",N$10,$F211,$D211),#REF!,0))+
INDEX(#REF!,MATCH(_xlfn.TEXTJOIN(keydelim,TRUE,"Other",N$10,$F211,$D211),#REF!,0))*N$214)
)))</f>
        <v>0</v>
      </c>
      <c r="O211" s="52" cm="1">
        <f t="array" aca="1" ref="O211" ca="1">_xlfn.IFS(O$25="Manual",N211,
O$25="Regression",
MAX(0,
IFERROR(MIN(INDEX(#REF!,MATCH(_xlfn.TEXTJOIN(keydelim,TRUE,O$9,O$10,$F211,$D211),#REF!,0)),
INDEX(#REF!,MATCH(_xlfn.TEXTJOIN(keydelim,TRUE,O$9,O$10,$F211,$D211),#REF!,0))+
INDEX(#REF!,MATCH(_xlfn.TEXTJOIN(keydelim,TRUE,O$9,O$10,$F211,$D211),#REF!,0))*O$214),
MIN(INDEX(#REF!,MATCH(_xlfn.TEXTJOIN(keydelim,TRUE,"Other",O$10,$F211,$D211),#REF!,0)),
INDEX(#REF!,MATCH(_xlfn.TEXTJOIN(keydelim,TRUE,"Other",O$10,$F211,$D211),#REF!,0))+
INDEX(#REF!,MATCH(_xlfn.TEXTJOIN(keydelim,TRUE,"Other",O$10,$F211,$D211),#REF!,0))*O$214)
)))</f>
        <v>0</v>
      </c>
      <c r="P211" s="52" cm="1">
        <f t="array" aca="1" ref="P211" ca="1">_xlfn.IFS(P$25="Manual",O211,
P$25="Regression",
MAX(0,
IFERROR(MIN(INDEX(#REF!,MATCH(_xlfn.TEXTJOIN(keydelim,TRUE,P$9,P$10,$F211,$D211),#REF!,0)),
INDEX(#REF!,MATCH(_xlfn.TEXTJOIN(keydelim,TRUE,P$9,P$10,$F211,$D211),#REF!,0))+
INDEX(#REF!,MATCH(_xlfn.TEXTJOIN(keydelim,TRUE,P$9,P$10,$F211,$D211),#REF!,0))*P$214),
MIN(INDEX(#REF!,MATCH(_xlfn.TEXTJOIN(keydelim,TRUE,"Other",P$10,$F211,$D211),#REF!,0)),
INDEX(#REF!,MATCH(_xlfn.TEXTJOIN(keydelim,TRUE,"Other",P$10,$F211,$D211),#REF!,0))+
INDEX(#REF!,MATCH(_xlfn.TEXTJOIN(keydelim,TRUE,"Other",P$10,$F211,$D211),#REF!,0))*P$214)
)))</f>
        <v>0</v>
      </c>
      <c r="Q211" s="52" cm="1">
        <f t="array" aca="1" ref="Q211" ca="1">_xlfn.IFS(Q$25="Manual",P211,
Q$25="Regression",
MAX(0,
IFERROR(MIN(INDEX(#REF!,MATCH(_xlfn.TEXTJOIN(keydelim,TRUE,Q$9,Q$10,$F211,$D211),#REF!,0)),
INDEX(#REF!,MATCH(_xlfn.TEXTJOIN(keydelim,TRUE,Q$9,Q$10,$F211,$D211),#REF!,0))+
INDEX(#REF!,MATCH(_xlfn.TEXTJOIN(keydelim,TRUE,Q$9,Q$10,$F211,$D211),#REF!,0))*Q$214),
MIN(INDEX(#REF!,MATCH(_xlfn.TEXTJOIN(keydelim,TRUE,"Other",Q$10,$F211,$D211),#REF!,0)),
INDEX(#REF!,MATCH(_xlfn.TEXTJOIN(keydelim,TRUE,"Other",Q$10,$F211,$D211),#REF!,0))+
INDEX(#REF!,MATCH(_xlfn.TEXTJOIN(keydelim,TRUE,"Other",Q$10,$F211,$D211),#REF!,0))*Q$214)
)))</f>
        <v>0</v>
      </c>
      <c r="R211" s="52" cm="1">
        <f t="array" aca="1" ref="R211" ca="1">_xlfn.IFS(R$25="Manual",Q211,
R$25="Regression",
MAX(0,
IFERROR(MIN(INDEX(#REF!,MATCH(_xlfn.TEXTJOIN(keydelim,TRUE,R$9,R$10,$F211,$D211),#REF!,0)),
INDEX(#REF!,MATCH(_xlfn.TEXTJOIN(keydelim,TRUE,R$9,R$10,$F211,$D211),#REF!,0))+
INDEX(#REF!,MATCH(_xlfn.TEXTJOIN(keydelim,TRUE,R$9,R$10,$F211,$D211),#REF!,0))*R$214),
MIN(INDEX(#REF!,MATCH(_xlfn.TEXTJOIN(keydelim,TRUE,"Other",R$10,$F211,$D211),#REF!,0)),
INDEX(#REF!,MATCH(_xlfn.TEXTJOIN(keydelim,TRUE,"Other",R$10,$F211,$D211),#REF!,0))+
INDEX(#REF!,MATCH(_xlfn.TEXTJOIN(keydelim,TRUE,"Other",R$10,$F211,$D211),#REF!,0))*R$214)
)))</f>
        <v>0</v>
      </c>
      <c r="X211" s="16" t="s">
        <v>319</v>
      </c>
      <c r="Y211" s="224" t="s">
        <v>400</v>
      </c>
      <c r="Z211" s="298" t="s">
        <v>61</v>
      </c>
      <c r="AA211" s="315" cm="1">
        <f t="array" aca="1" ref="AA211" ca="1">_xlfn.IFS(AA$25="Manual",AA368,
AA$25="Regression",
MAX(0,
IFERROR(MIN(INDEX(#REF!,MATCH(_xlfn.TEXTJOIN(keydelim,TRUE,AA$9,AA$10,$F211,$D211),#REF!,0)),
INDEX(#REF!,MATCH(_xlfn.TEXTJOIN(keydelim,TRUE,AA$9,AA$10,$F211,$D211),#REF!,0))+
INDEX(#REF!,MATCH(_xlfn.TEXTJOIN(keydelim,TRUE,AA$9,AA$10,$F211,$D211),#REF!,0))*AA$209),
MIN(INDEX(#REF!,MATCH(_xlfn.TEXTJOIN(keydelim,TRUE,"Other",AA$10,$F211,$D211),#REF!,0)),
INDEX(#REF!,MATCH(_xlfn.TEXTJOIN(keydelim,TRUE,"Other",AA$10,$F211,$D211),#REF!,0))+
INDEX(#REF!,MATCH(_xlfn.TEXTJOIN(keydelim,TRUE,"Other",AA$10,$F211,$D211),#REF!,0))*AA$209)
)))</f>
        <v>0</v>
      </c>
      <c r="AB211" s="52" cm="1">
        <f t="array" aca="1" ref="AB211" ca="1">_xlfn.IFS(AB$25="Manual",AA211,
AB$25="Regression",
MAX(0,
IFERROR(MIN(INDEX(#REF!,MATCH(_xlfn.TEXTJOIN(keydelim,TRUE,AB$9,AB$10,$F211,$D211),#REF!,0)),
INDEX(#REF!,MATCH(_xlfn.TEXTJOIN(keydelim,TRUE,AB$9,AB$10,$F211,$D211),#REF!,0))+
INDEX(#REF!,MATCH(_xlfn.TEXTJOIN(keydelim,TRUE,AB$9,AB$10,$F211,$D211),#REF!,0))*AB$214),
MIN(INDEX(#REF!,MATCH(_xlfn.TEXTJOIN(keydelim,TRUE,"Other",AB$10,$F211,$D211),#REF!,0)),
INDEX(#REF!,MATCH(_xlfn.TEXTJOIN(keydelim,TRUE,"Other",AB$10,$F211,$D211),#REF!,0))+
INDEX(#REF!,MATCH(_xlfn.TEXTJOIN(keydelim,TRUE,"Other",AB$10,$F211,$D211),#REF!,0))*AB$214)
)))</f>
        <v>0</v>
      </c>
      <c r="AC211" s="52" cm="1">
        <f t="array" aca="1" ref="AC211" ca="1">_xlfn.IFS(AC$25="Manual",AB211,
AC$25="Regression",
MAX(0,
IFERROR(MIN(INDEX(#REF!,MATCH(_xlfn.TEXTJOIN(keydelim,TRUE,AC$9,AC$10,$F211,$D211),#REF!,0)),
INDEX(#REF!,MATCH(_xlfn.TEXTJOIN(keydelim,TRUE,AC$9,AC$10,$F211,$D211),#REF!,0))+
INDEX(#REF!,MATCH(_xlfn.TEXTJOIN(keydelim,TRUE,AC$9,AC$10,$F211,$D211),#REF!,0))*AC$214),
MIN(INDEX(#REF!,MATCH(_xlfn.TEXTJOIN(keydelim,TRUE,"Other",AC$10,$F211,$D211),#REF!,0)),
INDEX(#REF!,MATCH(_xlfn.TEXTJOIN(keydelim,TRUE,"Other",AC$10,$F211,$D211),#REF!,0))+
INDEX(#REF!,MATCH(_xlfn.TEXTJOIN(keydelim,TRUE,"Other",AC$10,$F211,$D211),#REF!,0))*AC$214)
)))</f>
        <v>0</v>
      </c>
      <c r="AD211" s="52" cm="1">
        <f t="array" aca="1" ref="AD211" ca="1">_xlfn.IFS(AD$25="Manual",AC211,
AD$25="Regression",
MAX(0,
IFERROR(MIN(INDEX(#REF!,MATCH(_xlfn.TEXTJOIN(keydelim,TRUE,AD$9,AD$10,$F211,$D211),#REF!,0)),
INDEX(#REF!,MATCH(_xlfn.TEXTJOIN(keydelim,TRUE,AD$9,AD$10,$F211,$D211),#REF!,0))+
INDEX(#REF!,MATCH(_xlfn.TEXTJOIN(keydelim,TRUE,AD$9,AD$10,$F211,$D211),#REF!,0))*AD$214),
MIN(INDEX(#REF!,MATCH(_xlfn.TEXTJOIN(keydelim,TRUE,"Other",AD$10,$F211,$D211),#REF!,0)),
INDEX(#REF!,MATCH(_xlfn.TEXTJOIN(keydelim,TRUE,"Other",AD$10,$F211,$D211),#REF!,0))+
INDEX(#REF!,MATCH(_xlfn.TEXTJOIN(keydelim,TRUE,"Other",AD$10,$F211,$D211),#REF!,0))*AD$214)
)))</f>
        <v>0</v>
      </c>
      <c r="AE211" s="52" cm="1">
        <f t="array" aca="1" ref="AE211" ca="1">_xlfn.IFS(AE$25="Manual",AD211,
AE$25="Regression",
MAX(0,
IFERROR(MIN(INDEX(#REF!,MATCH(_xlfn.TEXTJOIN(keydelim,TRUE,AE$9,AE$10,$F211,$D211),#REF!,0)),
INDEX(#REF!,MATCH(_xlfn.TEXTJOIN(keydelim,TRUE,AE$9,AE$10,$F211,$D211),#REF!,0))+
INDEX(#REF!,MATCH(_xlfn.TEXTJOIN(keydelim,TRUE,AE$9,AE$10,$F211,$D211),#REF!,0))*AE$214),
MIN(INDEX(#REF!,MATCH(_xlfn.TEXTJOIN(keydelim,TRUE,"Other",AE$10,$F211,$D211),#REF!,0)),
INDEX(#REF!,MATCH(_xlfn.TEXTJOIN(keydelim,TRUE,"Other",AE$10,$F211,$D211),#REF!,0))+
INDEX(#REF!,MATCH(_xlfn.TEXTJOIN(keydelim,TRUE,"Other",AE$10,$F211,$D211),#REF!,0))*AE$214)
)))</f>
        <v>0</v>
      </c>
      <c r="AF211" s="52" cm="1">
        <f t="array" aca="1" ref="AF211" ca="1">_xlfn.IFS(AF$25="Manual",AE211,
AF$25="Regression",
MAX(0,
IFERROR(MIN(INDEX(#REF!,MATCH(_xlfn.TEXTJOIN(keydelim,TRUE,AF$9,AF$10,$F211,$D211),#REF!,0)),
INDEX(#REF!,MATCH(_xlfn.TEXTJOIN(keydelim,TRUE,AF$9,AF$10,$F211,$D211),#REF!,0))+
INDEX(#REF!,MATCH(_xlfn.TEXTJOIN(keydelim,TRUE,AF$9,AF$10,$F211,$D211),#REF!,0))*AF$214),
MIN(INDEX(#REF!,MATCH(_xlfn.TEXTJOIN(keydelim,TRUE,"Other",AF$10,$F211,$D211),#REF!,0)),
INDEX(#REF!,MATCH(_xlfn.TEXTJOIN(keydelim,TRUE,"Other",AF$10,$F211,$D211),#REF!,0))+
INDEX(#REF!,MATCH(_xlfn.TEXTJOIN(keydelim,TRUE,"Other",AF$10,$F211,$D211),#REF!,0))*AF$214)
)))</f>
        <v>0</v>
      </c>
      <c r="AG211" s="52" cm="1">
        <f t="array" aca="1" ref="AG211" ca="1">_xlfn.IFS(AG$25="Manual",AF211,
AG$25="Regression",
MAX(0,
IFERROR(MIN(INDEX(#REF!,MATCH(_xlfn.TEXTJOIN(keydelim,TRUE,AG$9,AG$10,$F211,$D211),#REF!,0)),
INDEX(#REF!,MATCH(_xlfn.TEXTJOIN(keydelim,TRUE,AG$9,AG$10,$F211,$D211),#REF!,0))+
INDEX(#REF!,MATCH(_xlfn.TEXTJOIN(keydelim,TRUE,AG$9,AG$10,$F211,$D211),#REF!,0))*AG$214),
MIN(INDEX(#REF!,MATCH(_xlfn.TEXTJOIN(keydelim,TRUE,"Other",AG$10,$F211,$D211),#REF!,0)),
INDEX(#REF!,MATCH(_xlfn.TEXTJOIN(keydelim,TRUE,"Other",AG$10,$F211,$D211),#REF!,0))+
INDEX(#REF!,MATCH(_xlfn.TEXTJOIN(keydelim,TRUE,"Other",AG$10,$F211,$D211),#REF!,0))*AG$214)
)))</f>
        <v>0</v>
      </c>
      <c r="AH211" s="52" cm="1">
        <f t="array" aca="1" ref="AH211" ca="1">_xlfn.IFS(AH$25="Manual",AG211,
AH$25="Regression",
MAX(0,
IFERROR(MIN(INDEX(#REF!,MATCH(_xlfn.TEXTJOIN(keydelim,TRUE,AH$9,AH$10,$F211,$D211),#REF!,0)),
INDEX(#REF!,MATCH(_xlfn.TEXTJOIN(keydelim,TRUE,AH$9,AH$10,$F211,$D211),#REF!,0))+
INDEX(#REF!,MATCH(_xlfn.TEXTJOIN(keydelim,TRUE,AH$9,AH$10,$F211,$D211),#REF!,0))*AH$214),
MIN(INDEX(#REF!,MATCH(_xlfn.TEXTJOIN(keydelim,TRUE,"Other",AH$10,$F211,$D211),#REF!,0)),
INDEX(#REF!,MATCH(_xlfn.TEXTJOIN(keydelim,TRUE,"Other",AH$10,$F211,$D211),#REF!,0))+
INDEX(#REF!,MATCH(_xlfn.TEXTJOIN(keydelim,TRUE,"Other",AH$10,$F211,$D211),#REF!,0))*AH$214)
)))</f>
        <v>0</v>
      </c>
      <c r="AI211" s="52" cm="1">
        <f t="array" aca="1" ref="AI211" ca="1">_xlfn.IFS(AI$25="Manual",AH211,
AI$25="Regression",
MAX(0,
IFERROR(MIN(INDEX(#REF!,MATCH(_xlfn.TEXTJOIN(keydelim,TRUE,AI$9,AI$10,$F211,$D211),#REF!,0)),
INDEX(#REF!,MATCH(_xlfn.TEXTJOIN(keydelim,TRUE,AI$9,AI$10,$F211,$D211),#REF!,0))+
INDEX(#REF!,MATCH(_xlfn.TEXTJOIN(keydelim,TRUE,AI$9,AI$10,$F211,$D211),#REF!,0))*AI$214),
MIN(INDEX(#REF!,MATCH(_xlfn.TEXTJOIN(keydelim,TRUE,"Other",AI$10,$F211,$D211),#REF!,0)),
INDEX(#REF!,MATCH(_xlfn.TEXTJOIN(keydelim,TRUE,"Other",AI$10,$F211,$D211),#REF!,0))+
INDEX(#REF!,MATCH(_xlfn.TEXTJOIN(keydelim,TRUE,"Other",AI$10,$F211,$D211),#REF!,0))*AI$214)
)))</f>
        <v>0</v>
      </c>
      <c r="AJ211" s="52" cm="1">
        <f t="array" aca="1" ref="AJ211" ca="1">_xlfn.IFS(AJ$25="Manual",AI211,
AJ$25="Regression",
MAX(0,
IFERROR(MIN(INDEX(#REF!,MATCH(_xlfn.TEXTJOIN(keydelim,TRUE,AJ$9,AJ$10,$F211,$D211),#REF!,0)),
INDEX(#REF!,MATCH(_xlfn.TEXTJOIN(keydelim,TRUE,AJ$9,AJ$10,$F211,$D211),#REF!,0))+
INDEX(#REF!,MATCH(_xlfn.TEXTJOIN(keydelim,TRUE,AJ$9,AJ$10,$F211,$D211),#REF!,0))*AJ$214),
MIN(INDEX(#REF!,MATCH(_xlfn.TEXTJOIN(keydelim,TRUE,"Other",AJ$10,$F211,$D211),#REF!,0)),
INDEX(#REF!,MATCH(_xlfn.TEXTJOIN(keydelim,TRUE,"Other",AJ$10,$F211,$D211),#REF!,0))+
INDEX(#REF!,MATCH(_xlfn.TEXTJOIN(keydelim,TRUE,"Other",AJ$10,$F211,$D211),#REF!,0))*AJ$214)
)))</f>
        <v>0</v>
      </c>
      <c r="AK211" s="52" cm="1">
        <f t="array" aca="1" ref="AK211" ca="1">_xlfn.IFS(AK$25="Manual",AJ211,
AK$25="Regression",
MAX(0,
IFERROR(MIN(INDEX(#REF!,MATCH(_xlfn.TEXTJOIN(keydelim,TRUE,AK$9,AK$10,$F211,$D211),#REF!,0)),
INDEX(#REF!,MATCH(_xlfn.TEXTJOIN(keydelim,TRUE,AK$9,AK$10,$F211,$D211),#REF!,0))+
INDEX(#REF!,MATCH(_xlfn.TEXTJOIN(keydelim,TRUE,AK$9,AK$10,$F211,$D211),#REF!,0))*AK$214),
MIN(INDEX(#REF!,MATCH(_xlfn.TEXTJOIN(keydelim,TRUE,"Other",AK$10,$F211,$D211),#REF!,0)),
INDEX(#REF!,MATCH(_xlfn.TEXTJOIN(keydelim,TRUE,"Other",AK$10,$F211,$D211),#REF!,0))+
INDEX(#REF!,MATCH(_xlfn.TEXTJOIN(keydelim,TRUE,"Other",AK$10,$F211,$D211),#REF!,0))*AK$214)
)))</f>
        <v>0</v>
      </c>
      <c r="AL211" s="52" cm="1">
        <f t="array" aca="1" ref="AL211" ca="1">_xlfn.IFS(AL$25="Manual",AK211,
AL$25="Regression",
MAX(0,
IFERROR(MIN(INDEX(#REF!,MATCH(_xlfn.TEXTJOIN(keydelim,TRUE,AL$9,AL$10,$F211,$D211),#REF!,0)),
INDEX(#REF!,MATCH(_xlfn.TEXTJOIN(keydelim,TRUE,AL$9,AL$10,$F211,$D211),#REF!,0))+
INDEX(#REF!,MATCH(_xlfn.TEXTJOIN(keydelim,TRUE,AL$9,AL$10,$F211,$D211),#REF!,0))*AL$214),
MIN(INDEX(#REF!,MATCH(_xlfn.TEXTJOIN(keydelim,TRUE,"Other",AL$10,$F211,$D211),#REF!,0)),
INDEX(#REF!,MATCH(_xlfn.TEXTJOIN(keydelim,TRUE,"Other",AL$10,$F211,$D211),#REF!,0))+
INDEX(#REF!,MATCH(_xlfn.TEXTJOIN(keydelim,TRUE,"Other",AL$10,$F211,$D211),#REF!,0))*AL$214)
)))</f>
        <v>0</v>
      </c>
      <c r="AR211" s="16" t="s">
        <v>319</v>
      </c>
      <c r="AS211" s="224" t="s">
        <v>400</v>
      </c>
      <c r="AT211" s="298" t="s">
        <v>61</v>
      </c>
      <c r="AU211" s="315" cm="1">
        <f t="array" aca="1" ref="AU211" ca="1">_xlfn.IFS(AU$25="Manual",AU368,
AU$25="Regression",
MAX(0,
IFERROR(MIN(INDEX(#REF!,MATCH(_xlfn.TEXTJOIN(keydelim,TRUE,AU$9,AU$10,$F211,$D211),#REF!,0)),
INDEX(#REF!,MATCH(_xlfn.TEXTJOIN(keydelim,TRUE,AU$9,AU$10,$F211,$D211),#REF!,0))+
INDEX(#REF!,MATCH(_xlfn.TEXTJOIN(keydelim,TRUE,AU$9,AU$10,$F211,$D211),#REF!,0))*AU$209),
MIN(INDEX(#REF!,MATCH(_xlfn.TEXTJOIN(keydelim,TRUE,"Other",AU$10,$F211,$D211),#REF!,0)),
INDEX(#REF!,MATCH(_xlfn.TEXTJOIN(keydelim,TRUE,"Other",AU$10,$F211,$D211),#REF!,0))+
INDEX(#REF!,MATCH(_xlfn.TEXTJOIN(keydelim,TRUE,"Other",AU$10,$F211,$D211),#REF!,0))*AU$209)
)))</f>
        <v>0</v>
      </c>
      <c r="AV211" s="52" cm="1">
        <f t="array" aca="1" ref="AV211" ca="1">_xlfn.IFS(AV$25="Manual",AU211,
AV$25="Regression",
MAX(0,
IFERROR(MIN(INDEX(#REF!,MATCH(_xlfn.TEXTJOIN(keydelim,TRUE,AV$9,AV$10,$F211,$D211),#REF!,0)),
INDEX(#REF!,MATCH(_xlfn.TEXTJOIN(keydelim,TRUE,AV$9,AV$10,$F211,$D211),#REF!,0))+
INDEX(#REF!,MATCH(_xlfn.TEXTJOIN(keydelim,TRUE,AV$9,AV$10,$F211,$D211),#REF!,0))*AV$214),
MIN(INDEX(#REF!,MATCH(_xlfn.TEXTJOIN(keydelim,TRUE,"Other",AV$10,$F211,$D211),#REF!,0)),
INDEX(#REF!,MATCH(_xlfn.TEXTJOIN(keydelim,TRUE,"Other",AV$10,$F211,$D211),#REF!,0))+
INDEX(#REF!,MATCH(_xlfn.TEXTJOIN(keydelim,TRUE,"Other",AV$10,$F211,$D211),#REF!,0))*AV$214)
)))</f>
        <v>0</v>
      </c>
      <c r="AW211" s="52" cm="1">
        <f t="array" aca="1" ref="AW211" ca="1">_xlfn.IFS(AW$25="Manual",AV211,
AW$25="Regression",
MAX(0,
IFERROR(MIN(INDEX(#REF!,MATCH(_xlfn.TEXTJOIN(keydelim,TRUE,AW$9,AW$10,$F211,$D211),#REF!,0)),
INDEX(#REF!,MATCH(_xlfn.TEXTJOIN(keydelim,TRUE,AW$9,AW$10,$F211,$D211),#REF!,0))+
INDEX(#REF!,MATCH(_xlfn.TEXTJOIN(keydelim,TRUE,AW$9,AW$10,$F211,$D211),#REF!,0))*AW$214),
MIN(INDEX(#REF!,MATCH(_xlfn.TEXTJOIN(keydelim,TRUE,"Other",AW$10,$F211,$D211),#REF!,0)),
INDEX(#REF!,MATCH(_xlfn.TEXTJOIN(keydelim,TRUE,"Other",AW$10,$F211,$D211),#REF!,0))+
INDEX(#REF!,MATCH(_xlfn.TEXTJOIN(keydelim,TRUE,"Other",AW$10,$F211,$D211),#REF!,0))*AW$214)
)))</f>
        <v>0</v>
      </c>
      <c r="AX211" s="52" cm="1">
        <f t="array" aca="1" ref="AX211" ca="1">_xlfn.IFS(AX$25="Manual",AW211,
AX$25="Regression",
MAX(0,
IFERROR(MIN(INDEX(#REF!,MATCH(_xlfn.TEXTJOIN(keydelim,TRUE,AX$9,AX$10,$F211,$D211),#REF!,0)),
INDEX(#REF!,MATCH(_xlfn.TEXTJOIN(keydelim,TRUE,AX$9,AX$10,$F211,$D211),#REF!,0))+
INDEX(#REF!,MATCH(_xlfn.TEXTJOIN(keydelim,TRUE,AX$9,AX$10,$F211,$D211),#REF!,0))*AX$214),
MIN(INDEX(#REF!,MATCH(_xlfn.TEXTJOIN(keydelim,TRUE,"Other",AX$10,$F211,$D211),#REF!,0)),
INDEX(#REF!,MATCH(_xlfn.TEXTJOIN(keydelim,TRUE,"Other",AX$10,$F211,$D211),#REF!,0))+
INDEX(#REF!,MATCH(_xlfn.TEXTJOIN(keydelim,TRUE,"Other",AX$10,$F211,$D211),#REF!,0))*AX$214)
)))</f>
        <v>0</v>
      </c>
      <c r="AY211" s="52" cm="1">
        <f t="array" aca="1" ref="AY211" ca="1">_xlfn.IFS(AY$25="Manual",AX211,
AY$25="Regression",
MAX(0,
IFERROR(MIN(INDEX(#REF!,MATCH(_xlfn.TEXTJOIN(keydelim,TRUE,AY$9,AY$10,$F211,$D211),#REF!,0)),
INDEX(#REF!,MATCH(_xlfn.TEXTJOIN(keydelim,TRUE,AY$9,AY$10,$F211,$D211),#REF!,0))+
INDEX(#REF!,MATCH(_xlfn.TEXTJOIN(keydelim,TRUE,AY$9,AY$10,$F211,$D211),#REF!,0))*AY$214),
MIN(INDEX(#REF!,MATCH(_xlfn.TEXTJOIN(keydelim,TRUE,"Other",AY$10,$F211,$D211),#REF!,0)),
INDEX(#REF!,MATCH(_xlfn.TEXTJOIN(keydelim,TRUE,"Other",AY$10,$F211,$D211),#REF!,0))+
INDEX(#REF!,MATCH(_xlfn.TEXTJOIN(keydelim,TRUE,"Other",AY$10,$F211,$D211),#REF!,0))*AY$214)
)))</f>
        <v>0</v>
      </c>
      <c r="AZ211" s="52" cm="1">
        <f t="array" aca="1" ref="AZ211" ca="1">_xlfn.IFS(AZ$25="Manual",AY211,
AZ$25="Regression",
MAX(0,
IFERROR(MIN(INDEX(#REF!,MATCH(_xlfn.TEXTJOIN(keydelim,TRUE,AZ$9,AZ$10,$F211,$D211),#REF!,0)),
INDEX(#REF!,MATCH(_xlfn.TEXTJOIN(keydelim,TRUE,AZ$9,AZ$10,$F211,$D211),#REF!,0))+
INDEX(#REF!,MATCH(_xlfn.TEXTJOIN(keydelim,TRUE,AZ$9,AZ$10,$F211,$D211),#REF!,0))*AZ$214),
MIN(INDEX(#REF!,MATCH(_xlfn.TEXTJOIN(keydelim,TRUE,"Other",AZ$10,$F211,$D211),#REF!,0)),
INDEX(#REF!,MATCH(_xlfn.TEXTJOIN(keydelim,TRUE,"Other",AZ$10,$F211,$D211),#REF!,0))+
INDEX(#REF!,MATCH(_xlfn.TEXTJOIN(keydelim,TRUE,"Other",AZ$10,$F211,$D211),#REF!,0))*AZ$214)
)))</f>
        <v>0</v>
      </c>
      <c r="BA211" s="52" cm="1">
        <f t="array" aca="1" ref="BA211" ca="1">_xlfn.IFS(BA$25="Manual",AZ211,
BA$25="Regression",
MAX(0,
IFERROR(MIN(INDEX(#REF!,MATCH(_xlfn.TEXTJOIN(keydelim,TRUE,BA$9,BA$10,$F211,$D211),#REF!,0)),
INDEX(#REF!,MATCH(_xlfn.TEXTJOIN(keydelim,TRUE,BA$9,BA$10,$F211,$D211),#REF!,0))+
INDEX(#REF!,MATCH(_xlfn.TEXTJOIN(keydelim,TRUE,BA$9,BA$10,$F211,$D211),#REF!,0))*BA$214),
MIN(INDEX(#REF!,MATCH(_xlfn.TEXTJOIN(keydelim,TRUE,"Other",BA$10,$F211,$D211),#REF!,0)),
INDEX(#REF!,MATCH(_xlfn.TEXTJOIN(keydelim,TRUE,"Other",BA$10,$F211,$D211),#REF!,0))+
INDEX(#REF!,MATCH(_xlfn.TEXTJOIN(keydelim,TRUE,"Other",BA$10,$F211,$D211),#REF!,0))*BA$214)
)))</f>
        <v>0</v>
      </c>
      <c r="BB211" s="52" cm="1">
        <f t="array" aca="1" ref="BB211" ca="1">_xlfn.IFS(BB$25="Manual",BA211,
BB$25="Regression",
MAX(0,
IFERROR(MIN(INDEX(#REF!,MATCH(_xlfn.TEXTJOIN(keydelim,TRUE,BB$9,BB$10,$F211,$D211),#REF!,0)),
INDEX(#REF!,MATCH(_xlfn.TEXTJOIN(keydelim,TRUE,BB$9,BB$10,$F211,$D211),#REF!,0))+
INDEX(#REF!,MATCH(_xlfn.TEXTJOIN(keydelim,TRUE,BB$9,BB$10,$F211,$D211),#REF!,0))*BB$214),
MIN(INDEX(#REF!,MATCH(_xlfn.TEXTJOIN(keydelim,TRUE,"Other",BB$10,$F211,$D211),#REF!,0)),
INDEX(#REF!,MATCH(_xlfn.TEXTJOIN(keydelim,TRUE,"Other",BB$10,$F211,$D211),#REF!,0))+
INDEX(#REF!,MATCH(_xlfn.TEXTJOIN(keydelim,TRUE,"Other",BB$10,$F211,$D211),#REF!,0))*BB$214)
)))</f>
        <v>0</v>
      </c>
      <c r="BC211" s="52" cm="1">
        <f t="array" aca="1" ref="BC211" ca="1">_xlfn.IFS(BC$25="Manual",BB211,
BC$25="Regression",
MAX(0,
IFERROR(MIN(INDEX(#REF!,MATCH(_xlfn.TEXTJOIN(keydelim,TRUE,BC$9,BC$10,$F211,$D211),#REF!,0)),
INDEX(#REF!,MATCH(_xlfn.TEXTJOIN(keydelim,TRUE,BC$9,BC$10,$F211,$D211),#REF!,0))+
INDEX(#REF!,MATCH(_xlfn.TEXTJOIN(keydelim,TRUE,BC$9,BC$10,$F211,$D211),#REF!,0))*BC$214),
MIN(INDEX(#REF!,MATCH(_xlfn.TEXTJOIN(keydelim,TRUE,"Other",BC$10,$F211,$D211),#REF!,0)),
INDEX(#REF!,MATCH(_xlfn.TEXTJOIN(keydelim,TRUE,"Other",BC$10,$F211,$D211),#REF!,0))+
INDEX(#REF!,MATCH(_xlfn.TEXTJOIN(keydelim,TRUE,"Other",BC$10,$F211,$D211),#REF!,0))*BC$214)
)))</f>
        <v>0</v>
      </c>
      <c r="BD211" s="52" cm="1">
        <f t="array" aca="1" ref="BD211" ca="1">_xlfn.IFS(BD$25="Manual",BC211,
BD$25="Regression",
MAX(0,
IFERROR(MIN(INDEX(#REF!,MATCH(_xlfn.TEXTJOIN(keydelim,TRUE,BD$9,BD$10,$F211,$D211),#REF!,0)),
INDEX(#REF!,MATCH(_xlfn.TEXTJOIN(keydelim,TRUE,BD$9,BD$10,$F211,$D211),#REF!,0))+
INDEX(#REF!,MATCH(_xlfn.TEXTJOIN(keydelim,TRUE,BD$9,BD$10,$F211,$D211),#REF!,0))*BD$214),
MIN(INDEX(#REF!,MATCH(_xlfn.TEXTJOIN(keydelim,TRUE,"Other",BD$10,$F211,$D211),#REF!,0)),
INDEX(#REF!,MATCH(_xlfn.TEXTJOIN(keydelim,TRUE,"Other",BD$10,$F211,$D211),#REF!,0))+
INDEX(#REF!,MATCH(_xlfn.TEXTJOIN(keydelim,TRUE,"Other",BD$10,$F211,$D211),#REF!,0))*BD$214)
)))</f>
        <v>0</v>
      </c>
      <c r="BE211" s="52" cm="1">
        <f t="array" aca="1" ref="BE211" ca="1">_xlfn.IFS(BE$25="Manual",BD211,
BE$25="Regression",
MAX(0,
IFERROR(MIN(INDEX(#REF!,MATCH(_xlfn.TEXTJOIN(keydelim,TRUE,BE$9,BE$10,$F211,$D211),#REF!,0)),
INDEX(#REF!,MATCH(_xlfn.TEXTJOIN(keydelim,TRUE,BE$9,BE$10,$F211,$D211),#REF!,0))+
INDEX(#REF!,MATCH(_xlfn.TEXTJOIN(keydelim,TRUE,BE$9,BE$10,$F211,$D211),#REF!,0))*BE$214),
MIN(INDEX(#REF!,MATCH(_xlfn.TEXTJOIN(keydelim,TRUE,"Other",BE$10,$F211,$D211),#REF!,0)),
INDEX(#REF!,MATCH(_xlfn.TEXTJOIN(keydelim,TRUE,"Other",BE$10,$F211,$D211),#REF!,0))+
INDEX(#REF!,MATCH(_xlfn.TEXTJOIN(keydelim,TRUE,"Other",BE$10,$F211,$D211),#REF!,0))*BE$214)
)))</f>
        <v>0</v>
      </c>
      <c r="BF211" s="52" cm="1">
        <f t="array" aca="1" ref="BF211" ca="1">_xlfn.IFS(BF$25="Manual",BE211,
BF$25="Regression",
MAX(0,
IFERROR(MIN(INDEX(#REF!,MATCH(_xlfn.TEXTJOIN(keydelim,TRUE,BF$9,BF$10,$F211,$D211),#REF!,0)),
INDEX(#REF!,MATCH(_xlfn.TEXTJOIN(keydelim,TRUE,BF$9,BF$10,$F211,$D211),#REF!,0))+
INDEX(#REF!,MATCH(_xlfn.TEXTJOIN(keydelim,TRUE,BF$9,BF$10,$F211,$D211),#REF!,0))*BF$214),
MIN(INDEX(#REF!,MATCH(_xlfn.TEXTJOIN(keydelim,TRUE,"Other",BF$10,$F211,$D211),#REF!,0)),
INDEX(#REF!,MATCH(_xlfn.TEXTJOIN(keydelim,TRUE,"Other",BF$10,$F211,$D211),#REF!,0))+
INDEX(#REF!,MATCH(_xlfn.TEXTJOIN(keydelim,TRUE,"Other",BF$10,$F211,$D211),#REF!,0))*BF$214)
)))</f>
        <v>0</v>
      </c>
      <c r="BL211" s="16" t="s">
        <v>319</v>
      </c>
      <c r="BM211" s="224" t="s">
        <v>400</v>
      </c>
      <c r="BN211" s="298" t="s">
        <v>61</v>
      </c>
      <c r="BO211" s="315" cm="1">
        <f t="array" aca="1" ref="BO211" ca="1">_xlfn.IFS(BO$25="Manual",BO368,
BO$25="Regression",
MAX(0,
IFERROR(MIN(INDEX(#REF!,MATCH(_xlfn.TEXTJOIN(keydelim,TRUE,BO$9,BO$10,$F211,$D211),#REF!,0)),
INDEX(#REF!,MATCH(_xlfn.TEXTJOIN(keydelim,TRUE,BO$9,BO$10,$F211,$D211),#REF!,0))+
INDEX(#REF!,MATCH(_xlfn.TEXTJOIN(keydelim,TRUE,BO$9,BO$10,$F211,$D211),#REF!,0))*BO$209),
MIN(INDEX(#REF!,MATCH(_xlfn.TEXTJOIN(keydelim,TRUE,"Other",BO$10,$F211,$D211),#REF!,0)),
INDEX(#REF!,MATCH(_xlfn.TEXTJOIN(keydelim,TRUE,"Other",BO$10,$F211,$D211),#REF!,0))+
INDEX(#REF!,MATCH(_xlfn.TEXTJOIN(keydelim,TRUE,"Other",BO$10,$F211,$D211),#REF!,0))*BO$209)
)))</f>
        <v>0</v>
      </c>
      <c r="BP211" s="52" cm="1">
        <f t="array" aca="1" ref="BP211" ca="1">_xlfn.IFS(BP$25="Manual",BO211,
BP$25="Regression",
MAX(0,
IFERROR(MIN(INDEX(#REF!,MATCH(_xlfn.TEXTJOIN(keydelim,TRUE,BP$9,BP$10,$F211,$D211),#REF!,0)),
INDEX(#REF!,MATCH(_xlfn.TEXTJOIN(keydelim,TRUE,BP$9,BP$10,$F211,$D211),#REF!,0))+
INDEX(#REF!,MATCH(_xlfn.TEXTJOIN(keydelim,TRUE,BP$9,BP$10,$F211,$D211),#REF!,0))*BP$214),
MIN(INDEX(#REF!,MATCH(_xlfn.TEXTJOIN(keydelim,TRUE,"Other",BP$10,$F211,$D211),#REF!,0)),
INDEX(#REF!,MATCH(_xlfn.TEXTJOIN(keydelim,TRUE,"Other",BP$10,$F211,$D211),#REF!,0))+
INDEX(#REF!,MATCH(_xlfn.TEXTJOIN(keydelim,TRUE,"Other",BP$10,$F211,$D211),#REF!,0))*BP$214)
)))</f>
        <v>0</v>
      </c>
      <c r="BQ211" s="52" cm="1">
        <f t="array" aca="1" ref="BQ211" ca="1">_xlfn.IFS(BQ$25="Manual",BP211,
BQ$25="Regression",
MAX(0,
IFERROR(MIN(INDEX(#REF!,MATCH(_xlfn.TEXTJOIN(keydelim,TRUE,BQ$9,BQ$10,$F211,$D211),#REF!,0)),
INDEX(#REF!,MATCH(_xlfn.TEXTJOIN(keydelim,TRUE,BQ$9,BQ$10,$F211,$D211),#REF!,0))+
INDEX(#REF!,MATCH(_xlfn.TEXTJOIN(keydelim,TRUE,BQ$9,BQ$10,$F211,$D211),#REF!,0))*BQ$214),
MIN(INDEX(#REF!,MATCH(_xlfn.TEXTJOIN(keydelim,TRUE,"Other",BQ$10,$F211,$D211),#REF!,0)),
INDEX(#REF!,MATCH(_xlfn.TEXTJOIN(keydelim,TRUE,"Other",BQ$10,$F211,$D211),#REF!,0))+
INDEX(#REF!,MATCH(_xlfn.TEXTJOIN(keydelim,TRUE,"Other",BQ$10,$F211,$D211),#REF!,0))*BQ$214)
)))</f>
        <v>0</v>
      </c>
      <c r="BR211" s="52" cm="1">
        <f t="array" aca="1" ref="BR211" ca="1">_xlfn.IFS(BR$25="Manual",BQ211,
BR$25="Regression",
MAX(0,
IFERROR(MIN(INDEX(#REF!,MATCH(_xlfn.TEXTJOIN(keydelim,TRUE,BR$9,BR$10,$F211,$D211),#REF!,0)),
INDEX(#REF!,MATCH(_xlfn.TEXTJOIN(keydelim,TRUE,BR$9,BR$10,$F211,$D211),#REF!,0))+
INDEX(#REF!,MATCH(_xlfn.TEXTJOIN(keydelim,TRUE,BR$9,BR$10,$F211,$D211),#REF!,0))*BR$214),
MIN(INDEX(#REF!,MATCH(_xlfn.TEXTJOIN(keydelim,TRUE,"Other",BR$10,$F211,$D211),#REF!,0)),
INDEX(#REF!,MATCH(_xlfn.TEXTJOIN(keydelim,TRUE,"Other",BR$10,$F211,$D211),#REF!,0))+
INDEX(#REF!,MATCH(_xlfn.TEXTJOIN(keydelim,TRUE,"Other",BR$10,$F211,$D211),#REF!,0))*BR$214)
)))</f>
        <v>0</v>
      </c>
      <c r="BS211" s="52" cm="1">
        <f t="array" aca="1" ref="BS211" ca="1">_xlfn.IFS(BS$25="Manual",BR211,
BS$25="Regression",
MAX(0,
IFERROR(MIN(INDEX(#REF!,MATCH(_xlfn.TEXTJOIN(keydelim,TRUE,BS$9,BS$10,$F211,$D211),#REF!,0)),
INDEX(#REF!,MATCH(_xlfn.TEXTJOIN(keydelim,TRUE,BS$9,BS$10,$F211,$D211),#REF!,0))+
INDEX(#REF!,MATCH(_xlfn.TEXTJOIN(keydelim,TRUE,BS$9,BS$10,$F211,$D211),#REF!,0))*BS$214),
MIN(INDEX(#REF!,MATCH(_xlfn.TEXTJOIN(keydelim,TRUE,"Other",BS$10,$F211,$D211),#REF!,0)),
INDEX(#REF!,MATCH(_xlfn.TEXTJOIN(keydelim,TRUE,"Other",BS$10,$F211,$D211),#REF!,0))+
INDEX(#REF!,MATCH(_xlfn.TEXTJOIN(keydelim,TRUE,"Other",BS$10,$F211,$D211),#REF!,0))*BS$214)
)))</f>
        <v>0</v>
      </c>
      <c r="BT211" s="52" cm="1">
        <f t="array" aca="1" ref="BT211" ca="1">_xlfn.IFS(BT$25="Manual",BS211,
BT$25="Regression",
MAX(0,
IFERROR(MIN(INDEX(#REF!,MATCH(_xlfn.TEXTJOIN(keydelim,TRUE,BT$9,BT$10,$F211,$D211),#REF!,0)),
INDEX(#REF!,MATCH(_xlfn.TEXTJOIN(keydelim,TRUE,BT$9,BT$10,$F211,$D211),#REF!,0))+
INDEX(#REF!,MATCH(_xlfn.TEXTJOIN(keydelim,TRUE,BT$9,BT$10,$F211,$D211),#REF!,0))*BT$214),
MIN(INDEX(#REF!,MATCH(_xlfn.TEXTJOIN(keydelim,TRUE,"Other",BT$10,$F211,$D211),#REF!,0)),
INDEX(#REF!,MATCH(_xlfn.TEXTJOIN(keydelim,TRUE,"Other",BT$10,$F211,$D211),#REF!,0))+
INDEX(#REF!,MATCH(_xlfn.TEXTJOIN(keydelim,TRUE,"Other",BT$10,$F211,$D211),#REF!,0))*BT$214)
)))</f>
        <v>0</v>
      </c>
      <c r="BU211" s="52" cm="1">
        <f t="array" aca="1" ref="BU211" ca="1">_xlfn.IFS(BU$25="Manual",BT211,
BU$25="Regression",
MAX(0,
IFERROR(MIN(INDEX(#REF!,MATCH(_xlfn.TEXTJOIN(keydelim,TRUE,BU$9,BU$10,$F211,$D211),#REF!,0)),
INDEX(#REF!,MATCH(_xlfn.TEXTJOIN(keydelim,TRUE,BU$9,BU$10,$F211,$D211),#REF!,0))+
INDEX(#REF!,MATCH(_xlfn.TEXTJOIN(keydelim,TRUE,BU$9,BU$10,$F211,$D211),#REF!,0))*BU$214),
MIN(INDEX(#REF!,MATCH(_xlfn.TEXTJOIN(keydelim,TRUE,"Other",BU$10,$F211,$D211),#REF!,0)),
INDEX(#REF!,MATCH(_xlfn.TEXTJOIN(keydelim,TRUE,"Other",BU$10,$F211,$D211),#REF!,0))+
INDEX(#REF!,MATCH(_xlfn.TEXTJOIN(keydelim,TRUE,"Other",BU$10,$F211,$D211),#REF!,0))*BU$214)
)))</f>
        <v>0</v>
      </c>
      <c r="BV211" s="52" cm="1">
        <f t="array" aca="1" ref="BV211" ca="1">_xlfn.IFS(BV$25="Manual",BU211,
BV$25="Regression",
MAX(0,
IFERROR(MIN(INDEX(#REF!,MATCH(_xlfn.TEXTJOIN(keydelim,TRUE,BV$9,BV$10,$F211,$D211),#REF!,0)),
INDEX(#REF!,MATCH(_xlfn.TEXTJOIN(keydelim,TRUE,BV$9,BV$10,$F211,$D211),#REF!,0))+
INDEX(#REF!,MATCH(_xlfn.TEXTJOIN(keydelim,TRUE,BV$9,BV$10,$F211,$D211),#REF!,0))*BV$214),
MIN(INDEX(#REF!,MATCH(_xlfn.TEXTJOIN(keydelim,TRUE,"Other",BV$10,$F211,$D211),#REF!,0)),
INDEX(#REF!,MATCH(_xlfn.TEXTJOIN(keydelim,TRUE,"Other",BV$10,$F211,$D211),#REF!,0))+
INDEX(#REF!,MATCH(_xlfn.TEXTJOIN(keydelim,TRUE,"Other",BV$10,$F211,$D211),#REF!,0))*BV$214)
)))</f>
        <v>0</v>
      </c>
      <c r="BW211" s="52" cm="1">
        <f t="array" aca="1" ref="BW211" ca="1">_xlfn.IFS(BW$25="Manual",BV211,
BW$25="Regression",
MAX(0,
IFERROR(MIN(INDEX(#REF!,MATCH(_xlfn.TEXTJOIN(keydelim,TRUE,BW$9,BW$10,$F211,$D211),#REF!,0)),
INDEX(#REF!,MATCH(_xlfn.TEXTJOIN(keydelim,TRUE,BW$9,BW$10,$F211,$D211),#REF!,0))+
INDEX(#REF!,MATCH(_xlfn.TEXTJOIN(keydelim,TRUE,BW$9,BW$10,$F211,$D211),#REF!,0))*BW$214),
MIN(INDEX(#REF!,MATCH(_xlfn.TEXTJOIN(keydelim,TRUE,"Other",BW$10,$F211,$D211),#REF!,0)),
INDEX(#REF!,MATCH(_xlfn.TEXTJOIN(keydelim,TRUE,"Other",BW$10,$F211,$D211),#REF!,0))+
INDEX(#REF!,MATCH(_xlfn.TEXTJOIN(keydelim,TRUE,"Other",BW$10,$F211,$D211),#REF!,0))*BW$214)
)))</f>
        <v>0</v>
      </c>
      <c r="BX211" s="52" cm="1">
        <f t="array" aca="1" ref="BX211" ca="1">_xlfn.IFS(BX$25="Manual",BW211,
BX$25="Regression",
MAX(0,
IFERROR(MIN(INDEX(#REF!,MATCH(_xlfn.TEXTJOIN(keydelim,TRUE,BX$9,BX$10,$F211,$D211),#REF!,0)),
INDEX(#REF!,MATCH(_xlfn.TEXTJOIN(keydelim,TRUE,BX$9,BX$10,$F211,$D211),#REF!,0))+
INDEX(#REF!,MATCH(_xlfn.TEXTJOIN(keydelim,TRUE,BX$9,BX$10,$F211,$D211),#REF!,0))*BX$214),
MIN(INDEX(#REF!,MATCH(_xlfn.TEXTJOIN(keydelim,TRUE,"Other",BX$10,$F211,$D211),#REF!,0)),
INDEX(#REF!,MATCH(_xlfn.TEXTJOIN(keydelim,TRUE,"Other",BX$10,$F211,$D211),#REF!,0))+
INDEX(#REF!,MATCH(_xlfn.TEXTJOIN(keydelim,TRUE,"Other",BX$10,$F211,$D211),#REF!,0))*BX$214)
)))</f>
        <v>0</v>
      </c>
      <c r="BY211" s="52" cm="1">
        <f t="array" aca="1" ref="BY211" ca="1">_xlfn.IFS(BY$25="Manual",BX211,
BY$25="Regression",
MAX(0,
IFERROR(MIN(INDEX(#REF!,MATCH(_xlfn.TEXTJOIN(keydelim,TRUE,BY$9,BY$10,$F211,$D211),#REF!,0)),
INDEX(#REF!,MATCH(_xlfn.TEXTJOIN(keydelim,TRUE,BY$9,BY$10,$F211,$D211),#REF!,0))+
INDEX(#REF!,MATCH(_xlfn.TEXTJOIN(keydelim,TRUE,BY$9,BY$10,$F211,$D211),#REF!,0))*BY$214),
MIN(INDEX(#REF!,MATCH(_xlfn.TEXTJOIN(keydelim,TRUE,"Other",BY$10,$F211,$D211),#REF!,0)),
INDEX(#REF!,MATCH(_xlfn.TEXTJOIN(keydelim,TRUE,"Other",BY$10,$F211,$D211),#REF!,0))+
INDEX(#REF!,MATCH(_xlfn.TEXTJOIN(keydelim,TRUE,"Other",BY$10,$F211,$D211),#REF!,0))*BY$214)
)))</f>
        <v>0</v>
      </c>
      <c r="BZ211" s="52" cm="1">
        <f t="array" aca="1" ref="BZ211" ca="1">_xlfn.IFS(BZ$25="Manual",BY211,
BZ$25="Regression",
MAX(0,
IFERROR(MIN(INDEX(#REF!,MATCH(_xlfn.TEXTJOIN(keydelim,TRUE,BZ$9,BZ$10,$F211,$D211),#REF!,0)),
INDEX(#REF!,MATCH(_xlfn.TEXTJOIN(keydelim,TRUE,BZ$9,BZ$10,$F211,$D211),#REF!,0))+
INDEX(#REF!,MATCH(_xlfn.TEXTJOIN(keydelim,TRUE,BZ$9,BZ$10,$F211,$D211),#REF!,0))*BZ$214),
MIN(INDEX(#REF!,MATCH(_xlfn.TEXTJOIN(keydelim,TRUE,"Other",BZ$10,$F211,$D211),#REF!,0)),
INDEX(#REF!,MATCH(_xlfn.TEXTJOIN(keydelim,TRUE,"Other",BZ$10,$F211,$D211),#REF!,0))+
INDEX(#REF!,MATCH(_xlfn.TEXTJOIN(keydelim,TRUE,"Other",BZ$10,$F211,$D211),#REF!,0))*BZ$214)
)))</f>
        <v>0</v>
      </c>
      <c r="CF211" s="16" t="s">
        <v>319</v>
      </c>
      <c r="CG211" s="224" t="s">
        <v>400</v>
      </c>
      <c r="CH211" s="298" t="s">
        <v>61</v>
      </c>
      <c r="CI211" s="315" cm="1">
        <f t="array" aca="1" ref="CI211" ca="1">_xlfn.IFS(CI$25="Manual",CI368,
CI$25="Regression",
MAX(0,
IFERROR(MIN(INDEX(#REF!,MATCH(_xlfn.TEXTJOIN(keydelim,TRUE,CI$9,CI$10,$F211,$D211),#REF!,0)),
INDEX(#REF!,MATCH(_xlfn.TEXTJOIN(keydelim,TRUE,CI$9,CI$10,$F211,$D211),#REF!,0))+
INDEX(#REF!,MATCH(_xlfn.TEXTJOIN(keydelim,TRUE,CI$9,CI$10,$F211,$D211),#REF!,0))*CI$209),
MIN(INDEX(#REF!,MATCH(_xlfn.TEXTJOIN(keydelim,TRUE,"Other",CI$10,$F211,$D211),#REF!,0)),
INDEX(#REF!,MATCH(_xlfn.TEXTJOIN(keydelim,TRUE,"Other",CI$10,$F211,$D211),#REF!,0))+
INDEX(#REF!,MATCH(_xlfn.TEXTJOIN(keydelim,TRUE,"Other",CI$10,$F211,$D211),#REF!,0))*CI$209)
)))</f>
        <v>0</v>
      </c>
      <c r="CJ211" s="52" cm="1">
        <f t="array" aca="1" ref="CJ211" ca="1">_xlfn.IFS(CJ$25="Manual",CI211,
CJ$25="Regression",
MAX(0,
IFERROR(MIN(INDEX(#REF!,MATCH(_xlfn.TEXTJOIN(keydelim,TRUE,CJ$9,CJ$10,$F211,$D211),#REF!,0)),
INDEX(#REF!,MATCH(_xlfn.TEXTJOIN(keydelim,TRUE,CJ$9,CJ$10,$F211,$D211),#REF!,0))+
INDEX(#REF!,MATCH(_xlfn.TEXTJOIN(keydelim,TRUE,CJ$9,CJ$10,$F211,$D211),#REF!,0))*CJ$214),
MIN(INDEX(#REF!,MATCH(_xlfn.TEXTJOIN(keydelim,TRUE,"Other",CJ$10,$F211,$D211),#REF!,0)),
INDEX(#REF!,MATCH(_xlfn.TEXTJOIN(keydelim,TRUE,"Other",CJ$10,$F211,$D211),#REF!,0))+
INDEX(#REF!,MATCH(_xlfn.TEXTJOIN(keydelim,TRUE,"Other",CJ$10,$F211,$D211),#REF!,0))*CJ$214)
)))</f>
        <v>0</v>
      </c>
      <c r="CK211" s="52" cm="1">
        <f t="array" aca="1" ref="CK211" ca="1">_xlfn.IFS(CK$25="Manual",CJ211,
CK$25="Regression",
MAX(0,
IFERROR(MIN(INDEX(#REF!,MATCH(_xlfn.TEXTJOIN(keydelim,TRUE,CK$9,CK$10,$F211,$D211),#REF!,0)),
INDEX(#REF!,MATCH(_xlfn.TEXTJOIN(keydelim,TRUE,CK$9,CK$10,$F211,$D211),#REF!,0))+
INDEX(#REF!,MATCH(_xlfn.TEXTJOIN(keydelim,TRUE,CK$9,CK$10,$F211,$D211),#REF!,0))*CK$214),
MIN(INDEX(#REF!,MATCH(_xlfn.TEXTJOIN(keydelim,TRUE,"Other",CK$10,$F211,$D211),#REF!,0)),
INDEX(#REF!,MATCH(_xlfn.TEXTJOIN(keydelim,TRUE,"Other",CK$10,$F211,$D211),#REF!,0))+
INDEX(#REF!,MATCH(_xlfn.TEXTJOIN(keydelim,TRUE,"Other",CK$10,$F211,$D211),#REF!,0))*CK$214)
)))</f>
        <v>0</v>
      </c>
      <c r="CL211" s="52" cm="1">
        <f t="array" aca="1" ref="CL211" ca="1">_xlfn.IFS(CL$25="Manual",CK211,
CL$25="Regression",
MAX(0,
IFERROR(MIN(INDEX(#REF!,MATCH(_xlfn.TEXTJOIN(keydelim,TRUE,CL$9,CL$10,$F211,$D211),#REF!,0)),
INDEX(#REF!,MATCH(_xlfn.TEXTJOIN(keydelim,TRUE,CL$9,CL$10,$F211,$D211),#REF!,0))+
INDEX(#REF!,MATCH(_xlfn.TEXTJOIN(keydelim,TRUE,CL$9,CL$10,$F211,$D211),#REF!,0))*CL$214),
MIN(INDEX(#REF!,MATCH(_xlfn.TEXTJOIN(keydelim,TRUE,"Other",CL$10,$F211,$D211),#REF!,0)),
INDEX(#REF!,MATCH(_xlfn.TEXTJOIN(keydelim,TRUE,"Other",CL$10,$F211,$D211),#REF!,0))+
INDEX(#REF!,MATCH(_xlfn.TEXTJOIN(keydelim,TRUE,"Other",CL$10,$F211,$D211),#REF!,0))*CL$214)
)))</f>
        <v>0</v>
      </c>
      <c r="CM211" s="52" cm="1">
        <f t="array" aca="1" ref="CM211" ca="1">_xlfn.IFS(CM$25="Manual",CL211,
CM$25="Regression",
MAX(0,
IFERROR(MIN(INDEX(#REF!,MATCH(_xlfn.TEXTJOIN(keydelim,TRUE,CM$9,CM$10,$F211,$D211),#REF!,0)),
INDEX(#REF!,MATCH(_xlfn.TEXTJOIN(keydelim,TRUE,CM$9,CM$10,$F211,$D211),#REF!,0))+
INDEX(#REF!,MATCH(_xlfn.TEXTJOIN(keydelim,TRUE,CM$9,CM$10,$F211,$D211),#REF!,0))*CM$214),
MIN(INDEX(#REF!,MATCH(_xlfn.TEXTJOIN(keydelim,TRUE,"Other",CM$10,$F211,$D211),#REF!,0)),
INDEX(#REF!,MATCH(_xlfn.TEXTJOIN(keydelim,TRUE,"Other",CM$10,$F211,$D211),#REF!,0))+
INDEX(#REF!,MATCH(_xlfn.TEXTJOIN(keydelim,TRUE,"Other",CM$10,$F211,$D211),#REF!,0))*CM$214)
)))</f>
        <v>0</v>
      </c>
      <c r="CN211" s="52" cm="1">
        <f t="array" aca="1" ref="CN211" ca="1">_xlfn.IFS(CN$25="Manual",CM211,
CN$25="Regression",
MAX(0,
IFERROR(MIN(INDEX(#REF!,MATCH(_xlfn.TEXTJOIN(keydelim,TRUE,CN$9,CN$10,$F211,$D211),#REF!,0)),
INDEX(#REF!,MATCH(_xlfn.TEXTJOIN(keydelim,TRUE,CN$9,CN$10,$F211,$D211),#REF!,0))+
INDEX(#REF!,MATCH(_xlfn.TEXTJOIN(keydelim,TRUE,CN$9,CN$10,$F211,$D211),#REF!,0))*CN$214),
MIN(INDEX(#REF!,MATCH(_xlfn.TEXTJOIN(keydelim,TRUE,"Other",CN$10,$F211,$D211),#REF!,0)),
INDEX(#REF!,MATCH(_xlfn.TEXTJOIN(keydelim,TRUE,"Other",CN$10,$F211,$D211),#REF!,0))+
INDEX(#REF!,MATCH(_xlfn.TEXTJOIN(keydelim,TRUE,"Other",CN$10,$F211,$D211),#REF!,0))*CN$214)
)))</f>
        <v>0</v>
      </c>
      <c r="CO211" s="52" cm="1">
        <f t="array" aca="1" ref="CO211" ca="1">_xlfn.IFS(CO$25="Manual",CN211,
CO$25="Regression",
MAX(0,
IFERROR(MIN(INDEX(#REF!,MATCH(_xlfn.TEXTJOIN(keydelim,TRUE,CO$9,CO$10,$F211,$D211),#REF!,0)),
INDEX(#REF!,MATCH(_xlfn.TEXTJOIN(keydelim,TRUE,CO$9,CO$10,$F211,$D211),#REF!,0))+
INDEX(#REF!,MATCH(_xlfn.TEXTJOIN(keydelim,TRUE,CO$9,CO$10,$F211,$D211),#REF!,0))*CO$214),
MIN(INDEX(#REF!,MATCH(_xlfn.TEXTJOIN(keydelim,TRUE,"Other",CO$10,$F211,$D211),#REF!,0)),
INDEX(#REF!,MATCH(_xlfn.TEXTJOIN(keydelim,TRUE,"Other",CO$10,$F211,$D211),#REF!,0))+
INDEX(#REF!,MATCH(_xlfn.TEXTJOIN(keydelim,TRUE,"Other",CO$10,$F211,$D211),#REF!,0))*CO$214)
)))</f>
        <v>0</v>
      </c>
      <c r="CP211" s="52" cm="1">
        <f t="array" aca="1" ref="CP211" ca="1">_xlfn.IFS(CP$25="Manual",CO211,
CP$25="Regression",
MAX(0,
IFERROR(MIN(INDEX(#REF!,MATCH(_xlfn.TEXTJOIN(keydelim,TRUE,CP$9,CP$10,$F211,$D211),#REF!,0)),
INDEX(#REF!,MATCH(_xlfn.TEXTJOIN(keydelim,TRUE,CP$9,CP$10,$F211,$D211),#REF!,0))+
INDEX(#REF!,MATCH(_xlfn.TEXTJOIN(keydelim,TRUE,CP$9,CP$10,$F211,$D211),#REF!,0))*CP$214),
MIN(INDEX(#REF!,MATCH(_xlfn.TEXTJOIN(keydelim,TRUE,"Other",CP$10,$F211,$D211),#REF!,0)),
INDEX(#REF!,MATCH(_xlfn.TEXTJOIN(keydelim,TRUE,"Other",CP$10,$F211,$D211),#REF!,0))+
INDEX(#REF!,MATCH(_xlfn.TEXTJOIN(keydelim,TRUE,"Other",CP$10,$F211,$D211),#REF!,0))*CP$214)
)))</f>
        <v>0</v>
      </c>
      <c r="CQ211" s="52" cm="1">
        <f t="array" aca="1" ref="CQ211" ca="1">_xlfn.IFS(CQ$25="Manual",CP211,
CQ$25="Regression",
MAX(0,
IFERROR(MIN(INDEX(#REF!,MATCH(_xlfn.TEXTJOIN(keydelim,TRUE,CQ$9,CQ$10,$F211,$D211),#REF!,0)),
INDEX(#REF!,MATCH(_xlfn.TEXTJOIN(keydelim,TRUE,CQ$9,CQ$10,$F211,$D211),#REF!,0))+
INDEX(#REF!,MATCH(_xlfn.TEXTJOIN(keydelim,TRUE,CQ$9,CQ$10,$F211,$D211),#REF!,0))*CQ$214),
MIN(INDEX(#REF!,MATCH(_xlfn.TEXTJOIN(keydelim,TRUE,"Other",CQ$10,$F211,$D211),#REF!,0)),
INDEX(#REF!,MATCH(_xlfn.TEXTJOIN(keydelim,TRUE,"Other",CQ$10,$F211,$D211),#REF!,0))+
INDEX(#REF!,MATCH(_xlfn.TEXTJOIN(keydelim,TRUE,"Other",CQ$10,$F211,$D211),#REF!,0))*CQ$214)
)))</f>
        <v>0</v>
      </c>
      <c r="CR211" s="52" cm="1">
        <f t="array" aca="1" ref="CR211" ca="1">_xlfn.IFS(CR$25="Manual",CQ211,
CR$25="Regression",
MAX(0,
IFERROR(MIN(INDEX(#REF!,MATCH(_xlfn.TEXTJOIN(keydelim,TRUE,CR$9,CR$10,$F211,$D211),#REF!,0)),
INDEX(#REF!,MATCH(_xlfn.TEXTJOIN(keydelim,TRUE,CR$9,CR$10,$F211,$D211),#REF!,0))+
INDEX(#REF!,MATCH(_xlfn.TEXTJOIN(keydelim,TRUE,CR$9,CR$10,$F211,$D211),#REF!,0))*CR$214),
MIN(INDEX(#REF!,MATCH(_xlfn.TEXTJOIN(keydelim,TRUE,"Other",CR$10,$F211,$D211),#REF!,0)),
INDEX(#REF!,MATCH(_xlfn.TEXTJOIN(keydelim,TRUE,"Other",CR$10,$F211,$D211),#REF!,0))+
INDEX(#REF!,MATCH(_xlfn.TEXTJOIN(keydelim,TRUE,"Other",CR$10,$F211,$D211),#REF!,0))*CR$214)
)))</f>
        <v>0</v>
      </c>
      <c r="CS211" s="52" cm="1">
        <f t="array" aca="1" ref="CS211" ca="1">_xlfn.IFS(CS$25="Manual",CR211,
CS$25="Regression",
MAX(0,
IFERROR(MIN(INDEX(#REF!,MATCH(_xlfn.TEXTJOIN(keydelim,TRUE,CS$9,CS$10,$F211,$D211),#REF!,0)),
INDEX(#REF!,MATCH(_xlfn.TEXTJOIN(keydelim,TRUE,CS$9,CS$10,$F211,$D211),#REF!,0))+
INDEX(#REF!,MATCH(_xlfn.TEXTJOIN(keydelim,TRUE,CS$9,CS$10,$F211,$D211),#REF!,0))*CS$214),
MIN(INDEX(#REF!,MATCH(_xlfn.TEXTJOIN(keydelim,TRUE,"Other",CS$10,$F211,$D211),#REF!,0)),
INDEX(#REF!,MATCH(_xlfn.TEXTJOIN(keydelim,TRUE,"Other",CS$10,$F211,$D211),#REF!,0))+
INDEX(#REF!,MATCH(_xlfn.TEXTJOIN(keydelim,TRUE,"Other",CS$10,$F211,$D211),#REF!,0))*CS$214)
)))</f>
        <v>0</v>
      </c>
      <c r="CT211" s="52" cm="1">
        <f t="array" aca="1" ref="CT211" ca="1">_xlfn.IFS(CT$25="Manual",CS211,
CT$25="Regression",
MAX(0,
IFERROR(MIN(INDEX(#REF!,MATCH(_xlfn.TEXTJOIN(keydelim,TRUE,CT$9,CT$10,$F211,$D211),#REF!,0)),
INDEX(#REF!,MATCH(_xlfn.TEXTJOIN(keydelim,TRUE,CT$9,CT$10,$F211,$D211),#REF!,0))+
INDEX(#REF!,MATCH(_xlfn.TEXTJOIN(keydelim,TRUE,CT$9,CT$10,$F211,$D211),#REF!,0))*CT$214),
MIN(INDEX(#REF!,MATCH(_xlfn.TEXTJOIN(keydelim,TRUE,"Other",CT$10,$F211,$D211),#REF!,0)),
INDEX(#REF!,MATCH(_xlfn.TEXTJOIN(keydelim,TRUE,"Other",CT$10,$F211,$D211),#REF!,0))+
INDEX(#REF!,MATCH(_xlfn.TEXTJOIN(keydelim,TRUE,"Other",CT$10,$F211,$D211),#REF!,0))*CT$214)
)))</f>
        <v>0</v>
      </c>
    </row>
    <row r="212" spans="2:98" hidden="1" outlineLevel="1" x14ac:dyDescent="0.2">
      <c r="C212" s="3"/>
      <c r="D212" s="16" t="s">
        <v>50</v>
      </c>
      <c r="E212" s="224" t="s">
        <v>401</v>
      </c>
      <c r="F212" s="298" t="s">
        <v>61</v>
      </c>
      <c r="G212" s="315" cm="1">
        <f t="array" aca="1" ref="G212" ca="1">_xlfn.IFS(G$25="Manual",G284*constant_vessel_lifetime,
G$25="Regression",
MAX(0,
IFERROR(MIN(INDEX(#REF!,MATCH(_xlfn.TEXTJOIN(keydelim,TRUE,G$9,G$10,$F212,$D212),#REF!,0)),
INDEX(#REF!,MATCH(_xlfn.TEXTJOIN(keydelim,TRUE,G$9,G$10,$F212,$D212),#REF!,0))+
INDEX(#REF!,MATCH(_xlfn.TEXTJOIN(keydelim,TRUE,G$9,G$10,$F212,$D212),#REF!,0))*G$209),
MIN(INDEX(#REF!,MATCH(_xlfn.TEXTJOIN(keydelim,TRUE,"Other",G$10,$F212,$D212),#REF!,0)),
INDEX(#REF!,MATCH(_xlfn.TEXTJOIN(keydelim,TRUE,"Other",G$10,$F212,$D212),#REF!,0))+
INDEX(#REF!,MATCH(_xlfn.TEXTJOIN(keydelim,TRUE,"Other",G$10,$F212,$D212),#REF!,0))*G$209)
)))</f>
        <v>0</v>
      </c>
      <c r="H212" s="52" cm="1">
        <f t="array" aca="1" ref="H212" ca="1">_xlfn.IFS(H$25="Manual",G212,
H$25="Regression",
MAX(0,
IFERROR(MIN(INDEX(#REF!,MATCH(_xlfn.TEXTJOIN(keydelim,TRUE,H$9,H$10,$F212,$D212),#REF!,0)),
INDEX(#REF!,MATCH(_xlfn.TEXTJOIN(keydelim,TRUE,H$9,H$10,$F212,$D212),#REF!,0))+
INDEX(#REF!,MATCH(_xlfn.TEXTJOIN(keydelim,TRUE,H$9,H$10,$F212,$D212),#REF!,0))*H$214),
MIN(INDEX(#REF!,MATCH(_xlfn.TEXTJOIN(keydelim,TRUE,"Other",H$10,$F212,$D212),#REF!,0)),
INDEX(#REF!,MATCH(_xlfn.TEXTJOIN(keydelim,TRUE,"Other",H$10,$F212,$D212),#REF!,0))+
INDEX(#REF!,MATCH(_xlfn.TEXTJOIN(keydelim,TRUE,"Other",H$10,$F212,$D212),#REF!,0))*H$214)
)))</f>
        <v>0</v>
      </c>
      <c r="I212" s="52" cm="1">
        <f t="array" aca="1" ref="I212" ca="1">_xlfn.IFS(I$25="Manual",H212,
I$25="Regression",
MAX(0,
IFERROR(MIN(INDEX(#REF!,MATCH(_xlfn.TEXTJOIN(keydelim,TRUE,I$9,I$10,$F212,$D212),#REF!,0)),
INDEX(#REF!,MATCH(_xlfn.TEXTJOIN(keydelim,TRUE,I$9,I$10,$F212,$D212),#REF!,0))+
INDEX(#REF!,MATCH(_xlfn.TEXTJOIN(keydelim,TRUE,I$9,I$10,$F212,$D212),#REF!,0))*I$214),
MIN(INDEX(#REF!,MATCH(_xlfn.TEXTJOIN(keydelim,TRUE,"Other",I$10,$F212,$D212),#REF!,0)),
INDEX(#REF!,MATCH(_xlfn.TEXTJOIN(keydelim,TRUE,"Other",I$10,$F212,$D212),#REF!,0))+
INDEX(#REF!,MATCH(_xlfn.TEXTJOIN(keydelim,TRUE,"Other",I$10,$F212,$D212),#REF!,0))*I$214)
)))</f>
        <v>0</v>
      </c>
      <c r="J212" s="52" cm="1">
        <f t="array" aca="1" ref="J212" ca="1">_xlfn.IFS(J$25="Manual",I212,
J$25="Regression",
MAX(0,
IFERROR(MIN(INDEX(#REF!,MATCH(_xlfn.TEXTJOIN(keydelim,TRUE,J$9,J$10,$F212,$D212),#REF!,0)),
INDEX(#REF!,MATCH(_xlfn.TEXTJOIN(keydelim,TRUE,J$9,J$10,$F212,$D212),#REF!,0))+
INDEX(#REF!,MATCH(_xlfn.TEXTJOIN(keydelim,TRUE,J$9,J$10,$F212,$D212),#REF!,0))*J$214),
MIN(INDEX(#REF!,MATCH(_xlfn.TEXTJOIN(keydelim,TRUE,"Other",J$10,$F212,$D212),#REF!,0)),
INDEX(#REF!,MATCH(_xlfn.TEXTJOIN(keydelim,TRUE,"Other",J$10,$F212,$D212),#REF!,0))+
INDEX(#REF!,MATCH(_xlfn.TEXTJOIN(keydelim,TRUE,"Other",J$10,$F212,$D212),#REF!,0))*J$214)
)))</f>
        <v>0</v>
      </c>
      <c r="K212" s="52" cm="1">
        <f t="array" aca="1" ref="K212" ca="1">_xlfn.IFS(K$25="Manual",J212,
K$25="Regression",
MAX(0,
IFERROR(MIN(INDEX(#REF!,MATCH(_xlfn.TEXTJOIN(keydelim,TRUE,K$9,K$10,$F212,$D212),#REF!,0)),
INDEX(#REF!,MATCH(_xlfn.TEXTJOIN(keydelim,TRUE,K$9,K$10,$F212,$D212),#REF!,0))+
INDEX(#REF!,MATCH(_xlfn.TEXTJOIN(keydelim,TRUE,K$9,K$10,$F212,$D212),#REF!,0))*K$214),
MIN(INDEX(#REF!,MATCH(_xlfn.TEXTJOIN(keydelim,TRUE,"Other",K$10,$F212,$D212),#REF!,0)),
INDEX(#REF!,MATCH(_xlfn.TEXTJOIN(keydelim,TRUE,"Other",K$10,$F212,$D212),#REF!,0))+
INDEX(#REF!,MATCH(_xlfn.TEXTJOIN(keydelim,TRUE,"Other",K$10,$F212,$D212),#REF!,0))*K$214)
)))</f>
        <v>0</v>
      </c>
      <c r="L212" s="52" cm="1">
        <f t="array" aca="1" ref="L212" ca="1">_xlfn.IFS(L$25="Manual",K212,
L$25="Regression",
MAX(0,
IFERROR(MIN(INDEX(#REF!,MATCH(_xlfn.TEXTJOIN(keydelim,TRUE,L$9,L$10,$F212,$D212),#REF!,0)),
INDEX(#REF!,MATCH(_xlfn.TEXTJOIN(keydelim,TRUE,L$9,L$10,$F212,$D212),#REF!,0))+
INDEX(#REF!,MATCH(_xlfn.TEXTJOIN(keydelim,TRUE,L$9,L$10,$F212,$D212),#REF!,0))*L$214),
MIN(INDEX(#REF!,MATCH(_xlfn.TEXTJOIN(keydelim,TRUE,"Other",L$10,$F212,$D212),#REF!,0)),
INDEX(#REF!,MATCH(_xlfn.TEXTJOIN(keydelim,TRUE,"Other",L$10,$F212,$D212),#REF!,0))+
INDEX(#REF!,MATCH(_xlfn.TEXTJOIN(keydelim,TRUE,"Other",L$10,$F212,$D212),#REF!,0))*L$214)
)))</f>
        <v>0</v>
      </c>
      <c r="M212" s="52" cm="1">
        <f t="array" aca="1" ref="M212" ca="1">_xlfn.IFS(M$25="Manual",L212,
M$25="Regression",
MAX(0,
IFERROR(MIN(INDEX(#REF!,MATCH(_xlfn.TEXTJOIN(keydelim,TRUE,M$9,M$10,$F212,$D212),#REF!,0)),
INDEX(#REF!,MATCH(_xlfn.TEXTJOIN(keydelim,TRUE,M$9,M$10,$F212,$D212),#REF!,0))+
INDEX(#REF!,MATCH(_xlfn.TEXTJOIN(keydelim,TRUE,M$9,M$10,$F212,$D212),#REF!,0))*M$214),
MIN(INDEX(#REF!,MATCH(_xlfn.TEXTJOIN(keydelim,TRUE,"Other",M$10,$F212,$D212),#REF!,0)),
INDEX(#REF!,MATCH(_xlfn.TEXTJOIN(keydelim,TRUE,"Other",M$10,$F212,$D212),#REF!,0))+
INDEX(#REF!,MATCH(_xlfn.TEXTJOIN(keydelim,TRUE,"Other",M$10,$F212,$D212),#REF!,0))*M$214)
)))</f>
        <v>0</v>
      </c>
      <c r="N212" s="52" cm="1">
        <f t="array" aca="1" ref="N212" ca="1">_xlfn.IFS(N$25="Manual",M212,
N$25="Regression",
MAX(0,
IFERROR(MIN(INDEX(#REF!,MATCH(_xlfn.TEXTJOIN(keydelim,TRUE,N$9,N$10,$F212,$D212),#REF!,0)),
INDEX(#REF!,MATCH(_xlfn.TEXTJOIN(keydelim,TRUE,N$9,N$10,$F212,$D212),#REF!,0))+
INDEX(#REF!,MATCH(_xlfn.TEXTJOIN(keydelim,TRUE,N$9,N$10,$F212,$D212),#REF!,0))*N$214),
MIN(INDEX(#REF!,MATCH(_xlfn.TEXTJOIN(keydelim,TRUE,"Other",N$10,$F212,$D212),#REF!,0)),
INDEX(#REF!,MATCH(_xlfn.TEXTJOIN(keydelim,TRUE,"Other",N$10,$F212,$D212),#REF!,0))+
INDEX(#REF!,MATCH(_xlfn.TEXTJOIN(keydelim,TRUE,"Other",N$10,$F212,$D212),#REF!,0))*N$214)
)))</f>
        <v>0</v>
      </c>
      <c r="O212" s="52" cm="1">
        <f t="array" aca="1" ref="O212" ca="1">_xlfn.IFS(O$25="Manual",N212,
O$25="Regression",
MAX(0,
IFERROR(MIN(INDEX(#REF!,MATCH(_xlfn.TEXTJOIN(keydelim,TRUE,O$9,O$10,$F212,$D212),#REF!,0)),
INDEX(#REF!,MATCH(_xlfn.TEXTJOIN(keydelim,TRUE,O$9,O$10,$F212,$D212),#REF!,0))+
INDEX(#REF!,MATCH(_xlfn.TEXTJOIN(keydelim,TRUE,O$9,O$10,$F212,$D212),#REF!,0))*O$214),
MIN(INDEX(#REF!,MATCH(_xlfn.TEXTJOIN(keydelim,TRUE,"Other",O$10,$F212,$D212),#REF!,0)),
INDEX(#REF!,MATCH(_xlfn.TEXTJOIN(keydelim,TRUE,"Other",O$10,$F212,$D212),#REF!,0))+
INDEX(#REF!,MATCH(_xlfn.TEXTJOIN(keydelim,TRUE,"Other",O$10,$F212,$D212),#REF!,0))*O$214)
)))</f>
        <v>0</v>
      </c>
      <c r="P212" s="52" cm="1">
        <f t="array" aca="1" ref="P212" ca="1">_xlfn.IFS(P$25="Manual",O212,
P$25="Regression",
MAX(0,
IFERROR(MIN(INDEX(#REF!,MATCH(_xlfn.TEXTJOIN(keydelim,TRUE,P$9,P$10,$F212,$D212),#REF!,0)),
INDEX(#REF!,MATCH(_xlfn.TEXTJOIN(keydelim,TRUE,P$9,P$10,$F212,$D212),#REF!,0))+
INDEX(#REF!,MATCH(_xlfn.TEXTJOIN(keydelim,TRUE,P$9,P$10,$F212,$D212),#REF!,0))*P$214),
MIN(INDEX(#REF!,MATCH(_xlfn.TEXTJOIN(keydelim,TRUE,"Other",P$10,$F212,$D212),#REF!,0)),
INDEX(#REF!,MATCH(_xlfn.TEXTJOIN(keydelim,TRUE,"Other",P$10,$F212,$D212),#REF!,0))+
INDEX(#REF!,MATCH(_xlfn.TEXTJOIN(keydelim,TRUE,"Other",P$10,$F212,$D212),#REF!,0))*P$214)
)))</f>
        <v>0</v>
      </c>
      <c r="Q212" s="52" cm="1">
        <f t="array" aca="1" ref="Q212" ca="1">_xlfn.IFS(Q$25="Manual",P212,
Q$25="Regression",
MAX(0,
IFERROR(MIN(INDEX(#REF!,MATCH(_xlfn.TEXTJOIN(keydelim,TRUE,Q$9,Q$10,$F212,$D212),#REF!,0)),
INDEX(#REF!,MATCH(_xlfn.TEXTJOIN(keydelim,TRUE,Q$9,Q$10,$F212,$D212),#REF!,0))+
INDEX(#REF!,MATCH(_xlfn.TEXTJOIN(keydelim,TRUE,Q$9,Q$10,$F212,$D212),#REF!,0))*Q$214),
MIN(INDEX(#REF!,MATCH(_xlfn.TEXTJOIN(keydelim,TRUE,"Other",Q$10,$F212,$D212),#REF!,0)),
INDEX(#REF!,MATCH(_xlfn.TEXTJOIN(keydelim,TRUE,"Other",Q$10,$F212,$D212),#REF!,0))+
INDEX(#REF!,MATCH(_xlfn.TEXTJOIN(keydelim,TRUE,"Other",Q$10,$F212,$D212),#REF!,0))*Q$214)
)))</f>
        <v>0</v>
      </c>
      <c r="R212" s="52" cm="1">
        <f t="array" aca="1" ref="R212" ca="1">_xlfn.IFS(R$25="Manual",Q212,
R$25="Regression",
MAX(0,
IFERROR(MIN(INDEX(#REF!,MATCH(_xlfn.TEXTJOIN(keydelim,TRUE,R$9,R$10,$F212,$D212),#REF!,0)),
INDEX(#REF!,MATCH(_xlfn.TEXTJOIN(keydelim,TRUE,R$9,R$10,$F212,$D212),#REF!,0))+
INDEX(#REF!,MATCH(_xlfn.TEXTJOIN(keydelim,TRUE,R$9,R$10,$F212,$D212),#REF!,0))*R$214),
MIN(INDEX(#REF!,MATCH(_xlfn.TEXTJOIN(keydelim,TRUE,"Other",R$10,$F212,$D212),#REF!,0)),
INDEX(#REF!,MATCH(_xlfn.TEXTJOIN(keydelim,TRUE,"Other",R$10,$F212,$D212),#REF!,0))+
INDEX(#REF!,MATCH(_xlfn.TEXTJOIN(keydelim,TRUE,"Other",R$10,$F212,$D212),#REF!,0))*R$214)
)))</f>
        <v>0</v>
      </c>
      <c r="X212" s="16" t="s">
        <v>50</v>
      </c>
      <c r="Y212" s="224" t="s">
        <v>401</v>
      </c>
      <c r="Z212" s="298" t="s">
        <v>61</v>
      </c>
      <c r="AA212" s="315" cm="1">
        <f t="array" aca="1" ref="AA212" ca="1">_xlfn.IFS(AA$25="Manual",AA284*constant_vessel_lifetime,
AA$25="Regression",
MAX(0,
IFERROR(MIN(INDEX(#REF!,MATCH(_xlfn.TEXTJOIN(keydelim,TRUE,AA$9,AA$10,$F212,$D212),#REF!,0)),
INDEX(#REF!,MATCH(_xlfn.TEXTJOIN(keydelim,TRUE,AA$9,AA$10,$F212,$D212),#REF!,0))+
INDEX(#REF!,MATCH(_xlfn.TEXTJOIN(keydelim,TRUE,AA$9,AA$10,$F212,$D212),#REF!,0))*AA$209),
MIN(INDEX(#REF!,MATCH(_xlfn.TEXTJOIN(keydelim,TRUE,"Other",AA$10,$F212,$D212),#REF!,0)),
INDEX(#REF!,MATCH(_xlfn.TEXTJOIN(keydelim,TRUE,"Other",AA$10,$F212,$D212),#REF!,0))+
INDEX(#REF!,MATCH(_xlfn.TEXTJOIN(keydelim,TRUE,"Other",AA$10,$F212,$D212),#REF!,0))*AA$209)
)))</f>
        <v>0</v>
      </c>
      <c r="AB212" s="52" cm="1">
        <f t="array" aca="1" ref="AB212" ca="1">_xlfn.IFS(AB$25="Manual",AA212,
AB$25="Regression",
MAX(0,
IFERROR(MIN(INDEX(#REF!,MATCH(_xlfn.TEXTJOIN(keydelim,TRUE,AB$9,AB$10,$F212,$D212),#REF!,0)),
INDEX(#REF!,MATCH(_xlfn.TEXTJOIN(keydelim,TRUE,AB$9,AB$10,$F212,$D212),#REF!,0))+
INDEX(#REF!,MATCH(_xlfn.TEXTJOIN(keydelim,TRUE,AB$9,AB$10,$F212,$D212),#REF!,0))*AB$214),
MIN(INDEX(#REF!,MATCH(_xlfn.TEXTJOIN(keydelim,TRUE,"Other",AB$10,$F212,$D212),#REF!,0)),
INDEX(#REF!,MATCH(_xlfn.TEXTJOIN(keydelim,TRUE,"Other",AB$10,$F212,$D212),#REF!,0))+
INDEX(#REF!,MATCH(_xlfn.TEXTJOIN(keydelim,TRUE,"Other",AB$10,$F212,$D212),#REF!,0))*AB$214)
)))</f>
        <v>0</v>
      </c>
      <c r="AC212" s="52" cm="1">
        <f t="array" aca="1" ref="AC212" ca="1">_xlfn.IFS(AC$25="Manual",AB212,
AC$25="Regression",
MAX(0,
IFERROR(MIN(INDEX(#REF!,MATCH(_xlfn.TEXTJOIN(keydelim,TRUE,AC$9,AC$10,$F212,$D212),#REF!,0)),
INDEX(#REF!,MATCH(_xlfn.TEXTJOIN(keydelim,TRUE,AC$9,AC$10,$F212,$D212),#REF!,0))+
INDEX(#REF!,MATCH(_xlfn.TEXTJOIN(keydelim,TRUE,AC$9,AC$10,$F212,$D212),#REF!,0))*AC$214),
MIN(INDEX(#REF!,MATCH(_xlfn.TEXTJOIN(keydelim,TRUE,"Other",AC$10,$F212,$D212),#REF!,0)),
INDEX(#REF!,MATCH(_xlfn.TEXTJOIN(keydelim,TRUE,"Other",AC$10,$F212,$D212),#REF!,0))+
INDEX(#REF!,MATCH(_xlfn.TEXTJOIN(keydelim,TRUE,"Other",AC$10,$F212,$D212),#REF!,0))*AC$214)
)))</f>
        <v>0</v>
      </c>
      <c r="AD212" s="52" cm="1">
        <f t="array" aca="1" ref="AD212" ca="1">_xlfn.IFS(AD$25="Manual",AC212,
AD$25="Regression",
MAX(0,
IFERROR(MIN(INDEX(#REF!,MATCH(_xlfn.TEXTJOIN(keydelim,TRUE,AD$9,AD$10,$F212,$D212),#REF!,0)),
INDEX(#REF!,MATCH(_xlfn.TEXTJOIN(keydelim,TRUE,AD$9,AD$10,$F212,$D212),#REF!,0))+
INDEX(#REF!,MATCH(_xlfn.TEXTJOIN(keydelim,TRUE,AD$9,AD$10,$F212,$D212),#REF!,0))*AD$214),
MIN(INDEX(#REF!,MATCH(_xlfn.TEXTJOIN(keydelim,TRUE,"Other",AD$10,$F212,$D212),#REF!,0)),
INDEX(#REF!,MATCH(_xlfn.TEXTJOIN(keydelim,TRUE,"Other",AD$10,$F212,$D212),#REF!,0))+
INDEX(#REF!,MATCH(_xlfn.TEXTJOIN(keydelim,TRUE,"Other",AD$10,$F212,$D212),#REF!,0))*AD$214)
)))</f>
        <v>0</v>
      </c>
      <c r="AE212" s="52" cm="1">
        <f t="array" aca="1" ref="AE212" ca="1">_xlfn.IFS(AE$25="Manual",AD212,
AE$25="Regression",
MAX(0,
IFERROR(MIN(INDEX(#REF!,MATCH(_xlfn.TEXTJOIN(keydelim,TRUE,AE$9,AE$10,$F212,$D212),#REF!,0)),
INDEX(#REF!,MATCH(_xlfn.TEXTJOIN(keydelim,TRUE,AE$9,AE$10,$F212,$D212),#REF!,0))+
INDEX(#REF!,MATCH(_xlfn.TEXTJOIN(keydelim,TRUE,AE$9,AE$10,$F212,$D212),#REF!,0))*AE$214),
MIN(INDEX(#REF!,MATCH(_xlfn.TEXTJOIN(keydelim,TRUE,"Other",AE$10,$F212,$D212),#REF!,0)),
INDEX(#REF!,MATCH(_xlfn.TEXTJOIN(keydelim,TRUE,"Other",AE$10,$F212,$D212),#REF!,0))+
INDEX(#REF!,MATCH(_xlfn.TEXTJOIN(keydelim,TRUE,"Other",AE$10,$F212,$D212),#REF!,0))*AE$214)
)))</f>
        <v>0</v>
      </c>
      <c r="AF212" s="52" cm="1">
        <f t="array" aca="1" ref="AF212" ca="1">_xlfn.IFS(AF$25="Manual",AE212,
AF$25="Regression",
MAX(0,
IFERROR(MIN(INDEX(#REF!,MATCH(_xlfn.TEXTJOIN(keydelim,TRUE,AF$9,AF$10,$F212,$D212),#REF!,0)),
INDEX(#REF!,MATCH(_xlfn.TEXTJOIN(keydelim,TRUE,AF$9,AF$10,$F212,$D212),#REF!,0))+
INDEX(#REF!,MATCH(_xlfn.TEXTJOIN(keydelim,TRUE,AF$9,AF$10,$F212,$D212),#REF!,0))*AF$214),
MIN(INDEX(#REF!,MATCH(_xlfn.TEXTJOIN(keydelim,TRUE,"Other",AF$10,$F212,$D212),#REF!,0)),
INDEX(#REF!,MATCH(_xlfn.TEXTJOIN(keydelim,TRUE,"Other",AF$10,$F212,$D212),#REF!,0))+
INDEX(#REF!,MATCH(_xlfn.TEXTJOIN(keydelim,TRUE,"Other",AF$10,$F212,$D212),#REF!,0))*AF$214)
)))</f>
        <v>0</v>
      </c>
      <c r="AG212" s="52" cm="1">
        <f t="array" aca="1" ref="AG212" ca="1">_xlfn.IFS(AG$25="Manual",AF212,
AG$25="Regression",
MAX(0,
IFERROR(MIN(INDEX(#REF!,MATCH(_xlfn.TEXTJOIN(keydelim,TRUE,AG$9,AG$10,$F212,$D212),#REF!,0)),
INDEX(#REF!,MATCH(_xlfn.TEXTJOIN(keydelim,TRUE,AG$9,AG$10,$F212,$D212),#REF!,0))+
INDEX(#REF!,MATCH(_xlfn.TEXTJOIN(keydelim,TRUE,AG$9,AG$10,$F212,$D212),#REF!,0))*AG$214),
MIN(INDEX(#REF!,MATCH(_xlfn.TEXTJOIN(keydelim,TRUE,"Other",AG$10,$F212,$D212),#REF!,0)),
INDEX(#REF!,MATCH(_xlfn.TEXTJOIN(keydelim,TRUE,"Other",AG$10,$F212,$D212),#REF!,0))+
INDEX(#REF!,MATCH(_xlfn.TEXTJOIN(keydelim,TRUE,"Other",AG$10,$F212,$D212),#REF!,0))*AG$214)
)))</f>
        <v>0</v>
      </c>
      <c r="AH212" s="52" cm="1">
        <f t="array" aca="1" ref="AH212" ca="1">_xlfn.IFS(AH$25="Manual",AG212,
AH$25="Regression",
MAX(0,
IFERROR(MIN(INDEX(#REF!,MATCH(_xlfn.TEXTJOIN(keydelim,TRUE,AH$9,AH$10,$F212,$D212),#REF!,0)),
INDEX(#REF!,MATCH(_xlfn.TEXTJOIN(keydelim,TRUE,AH$9,AH$10,$F212,$D212),#REF!,0))+
INDEX(#REF!,MATCH(_xlfn.TEXTJOIN(keydelim,TRUE,AH$9,AH$10,$F212,$D212),#REF!,0))*AH$214),
MIN(INDEX(#REF!,MATCH(_xlfn.TEXTJOIN(keydelim,TRUE,"Other",AH$10,$F212,$D212),#REF!,0)),
INDEX(#REF!,MATCH(_xlfn.TEXTJOIN(keydelim,TRUE,"Other",AH$10,$F212,$D212),#REF!,0))+
INDEX(#REF!,MATCH(_xlfn.TEXTJOIN(keydelim,TRUE,"Other",AH$10,$F212,$D212),#REF!,0))*AH$214)
)))</f>
        <v>0</v>
      </c>
      <c r="AI212" s="52" cm="1">
        <f t="array" aca="1" ref="AI212" ca="1">_xlfn.IFS(AI$25="Manual",AH212,
AI$25="Regression",
MAX(0,
IFERROR(MIN(INDEX(#REF!,MATCH(_xlfn.TEXTJOIN(keydelim,TRUE,AI$9,AI$10,$F212,$D212),#REF!,0)),
INDEX(#REF!,MATCH(_xlfn.TEXTJOIN(keydelim,TRUE,AI$9,AI$10,$F212,$D212),#REF!,0))+
INDEX(#REF!,MATCH(_xlfn.TEXTJOIN(keydelim,TRUE,AI$9,AI$10,$F212,$D212),#REF!,0))*AI$214),
MIN(INDEX(#REF!,MATCH(_xlfn.TEXTJOIN(keydelim,TRUE,"Other",AI$10,$F212,$D212),#REF!,0)),
INDEX(#REF!,MATCH(_xlfn.TEXTJOIN(keydelim,TRUE,"Other",AI$10,$F212,$D212),#REF!,0))+
INDEX(#REF!,MATCH(_xlfn.TEXTJOIN(keydelim,TRUE,"Other",AI$10,$F212,$D212),#REF!,0))*AI$214)
)))</f>
        <v>0</v>
      </c>
      <c r="AJ212" s="52" cm="1">
        <f t="array" aca="1" ref="AJ212" ca="1">_xlfn.IFS(AJ$25="Manual",AI212,
AJ$25="Regression",
MAX(0,
IFERROR(MIN(INDEX(#REF!,MATCH(_xlfn.TEXTJOIN(keydelim,TRUE,AJ$9,AJ$10,$F212,$D212),#REF!,0)),
INDEX(#REF!,MATCH(_xlfn.TEXTJOIN(keydelim,TRUE,AJ$9,AJ$10,$F212,$D212),#REF!,0))+
INDEX(#REF!,MATCH(_xlfn.TEXTJOIN(keydelim,TRUE,AJ$9,AJ$10,$F212,$D212),#REF!,0))*AJ$214),
MIN(INDEX(#REF!,MATCH(_xlfn.TEXTJOIN(keydelim,TRUE,"Other",AJ$10,$F212,$D212),#REF!,0)),
INDEX(#REF!,MATCH(_xlfn.TEXTJOIN(keydelim,TRUE,"Other",AJ$10,$F212,$D212),#REF!,0))+
INDEX(#REF!,MATCH(_xlfn.TEXTJOIN(keydelim,TRUE,"Other",AJ$10,$F212,$D212),#REF!,0))*AJ$214)
)))</f>
        <v>0</v>
      </c>
      <c r="AK212" s="52" cm="1">
        <f t="array" aca="1" ref="AK212" ca="1">_xlfn.IFS(AK$25="Manual",AJ212,
AK$25="Regression",
MAX(0,
IFERROR(MIN(INDEX(#REF!,MATCH(_xlfn.TEXTJOIN(keydelim,TRUE,AK$9,AK$10,$F212,$D212),#REF!,0)),
INDEX(#REF!,MATCH(_xlfn.TEXTJOIN(keydelim,TRUE,AK$9,AK$10,$F212,$D212),#REF!,0))+
INDEX(#REF!,MATCH(_xlfn.TEXTJOIN(keydelim,TRUE,AK$9,AK$10,$F212,$D212),#REF!,0))*AK$214),
MIN(INDEX(#REF!,MATCH(_xlfn.TEXTJOIN(keydelim,TRUE,"Other",AK$10,$F212,$D212),#REF!,0)),
INDEX(#REF!,MATCH(_xlfn.TEXTJOIN(keydelim,TRUE,"Other",AK$10,$F212,$D212),#REF!,0))+
INDEX(#REF!,MATCH(_xlfn.TEXTJOIN(keydelim,TRUE,"Other",AK$10,$F212,$D212),#REF!,0))*AK$214)
)))</f>
        <v>0</v>
      </c>
      <c r="AL212" s="52" cm="1">
        <f t="array" aca="1" ref="AL212" ca="1">_xlfn.IFS(AL$25="Manual",AK212,
AL$25="Regression",
MAX(0,
IFERROR(MIN(INDEX(#REF!,MATCH(_xlfn.TEXTJOIN(keydelim,TRUE,AL$9,AL$10,$F212,$D212),#REF!,0)),
INDEX(#REF!,MATCH(_xlfn.TEXTJOIN(keydelim,TRUE,AL$9,AL$10,$F212,$D212),#REF!,0))+
INDEX(#REF!,MATCH(_xlfn.TEXTJOIN(keydelim,TRUE,AL$9,AL$10,$F212,$D212),#REF!,0))*AL$214),
MIN(INDEX(#REF!,MATCH(_xlfn.TEXTJOIN(keydelim,TRUE,"Other",AL$10,$F212,$D212),#REF!,0)),
INDEX(#REF!,MATCH(_xlfn.TEXTJOIN(keydelim,TRUE,"Other",AL$10,$F212,$D212),#REF!,0))+
INDEX(#REF!,MATCH(_xlfn.TEXTJOIN(keydelim,TRUE,"Other",AL$10,$F212,$D212),#REF!,0))*AL$214)
)))</f>
        <v>0</v>
      </c>
      <c r="AR212" s="16" t="s">
        <v>50</v>
      </c>
      <c r="AS212" s="224" t="s">
        <v>401</v>
      </c>
      <c r="AT212" s="298" t="s">
        <v>61</v>
      </c>
      <c r="AU212" s="315" cm="1">
        <f t="array" aca="1" ref="AU212" ca="1">_xlfn.IFS(AU$25="Manual",AU284*constant_vessel_lifetime,
AU$25="Regression",
MAX(0,
IFERROR(MIN(INDEX(#REF!,MATCH(_xlfn.TEXTJOIN(keydelim,TRUE,AU$9,AU$10,$F212,$D212),#REF!,0)),
INDEX(#REF!,MATCH(_xlfn.TEXTJOIN(keydelim,TRUE,AU$9,AU$10,$F212,$D212),#REF!,0))+
INDEX(#REF!,MATCH(_xlfn.TEXTJOIN(keydelim,TRUE,AU$9,AU$10,$F212,$D212),#REF!,0))*AU$209),
MIN(INDEX(#REF!,MATCH(_xlfn.TEXTJOIN(keydelim,TRUE,"Other",AU$10,$F212,$D212),#REF!,0)),
INDEX(#REF!,MATCH(_xlfn.TEXTJOIN(keydelim,TRUE,"Other",AU$10,$F212,$D212),#REF!,0))+
INDEX(#REF!,MATCH(_xlfn.TEXTJOIN(keydelim,TRUE,"Other",AU$10,$F212,$D212),#REF!,0))*AU$209)
)))</f>
        <v>0</v>
      </c>
      <c r="AV212" s="52" cm="1">
        <f t="array" aca="1" ref="AV212" ca="1">_xlfn.IFS(AV$25="Manual",AU212,
AV$25="Regression",
MAX(0,
IFERROR(MIN(INDEX(#REF!,MATCH(_xlfn.TEXTJOIN(keydelim,TRUE,AV$9,AV$10,$F212,$D212),#REF!,0)),
INDEX(#REF!,MATCH(_xlfn.TEXTJOIN(keydelim,TRUE,AV$9,AV$10,$F212,$D212),#REF!,0))+
INDEX(#REF!,MATCH(_xlfn.TEXTJOIN(keydelim,TRUE,AV$9,AV$10,$F212,$D212),#REF!,0))*AV$214),
MIN(INDEX(#REF!,MATCH(_xlfn.TEXTJOIN(keydelim,TRUE,"Other",AV$10,$F212,$D212),#REF!,0)),
INDEX(#REF!,MATCH(_xlfn.TEXTJOIN(keydelim,TRUE,"Other",AV$10,$F212,$D212),#REF!,0))+
INDEX(#REF!,MATCH(_xlfn.TEXTJOIN(keydelim,TRUE,"Other",AV$10,$F212,$D212),#REF!,0))*AV$214)
)))</f>
        <v>0</v>
      </c>
      <c r="AW212" s="52" cm="1">
        <f t="array" aca="1" ref="AW212" ca="1">_xlfn.IFS(AW$25="Manual",AV212,
AW$25="Regression",
MAX(0,
IFERROR(MIN(INDEX(#REF!,MATCH(_xlfn.TEXTJOIN(keydelim,TRUE,AW$9,AW$10,$F212,$D212),#REF!,0)),
INDEX(#REF!,MATCH(_xlfn.TEXTJOIN(keydelim,TRUE,AW$9,AW$10,$F212,$D212),#REF!,0))+
INDEX(#REF!,MATCH(_xlfn.TEXTJOIN(keydelim,TRUE,AW$9,AW$10,$F212,$D212),#REF!,0))*AW$214),
MIN(INDEX(#REF!,MATCH(_xlfn.TEXTJOIN(keydelim,TRUE,"Other",AW$10,$F212,$D212),#REF!,0)),
INDEX(#REF!,MATCH(_xlfn.TEXTJOIN(keydelim,TRUE,"Other",AW$10,$F212,$D212),#REF!,0))+
INDEX(#REF!,MATCH(_xlfn.TEXTJOIN(keydelim,TRUE,"Other",AW$10,$F212,$D212),#REF!,0))*AW$214)
)))</f>
        <v>0</v>
      </c>
      <c r="AX212" s="52" cm="1">
        <f t="array" aca="1" ref="AX212" ca="1">_xlfn.IFS(AX$25="Manual",AW212,
AX$25="Regression",
MAX(0,
IFERROR(MIN(INDEX(#REF!,MATCH(_xlfn.TEXTJOIN(keydelim,TRUE,AX$9,AX$10,$F212,$D212),#REF!,0)),
INDEX(#REF!,MATCH(_xlfn.TEXTJOIN(keydelim,TRUE,AX$9,AX$10,$F212,$D212),#REF!,0))+
INDEX(#REF!,MATCH(_xlfn.TEXTJOIN(keydelim,TRUE,AX$9,AX$10,$F212,$D212),#REF!,0))*AX$214),
MIN(INDEX(#REF!,MATCH(_xlfn.TEXTJOIN(keydelim,TRUE,"Other",AX$10,$F212,$D212),#REF!,0)),
INDEX(#REF!,MATCH(_xlfn.TEXTJOIN(keydelim,TRUE,"Other",AX$10,$F212,$D212),#REF!,0))+
INDEX(#REF!,MATCH(_xlfn.TEXTJOIN(keydelim,TRUE,"Other",AX$10,$F212,$D212),#REF!,0))*AX$214)
)))</f>
        <v>0</v>
      </c>
      <c r="AY212" s="52" cm="1">
        <f t="array" aca="1" ref="AY212" ca="1">_xlfn.IFS(AY$25="Manual",AX212,
AY$25="Regression",
MAX(0,
IFERROR(MIN(INDEX(#REF!,MATCH(_xlfn.TEXTJOIN(keydelim,TRUE,AY$9,AY$10,$F212,$D212),#REF!,0)),
INDEX(#REF!,MATCH(_xlfn.TEXTJOIN(keydelim,TRUE,AY$9,AY$10,$F212,$D212),#REF!,0))+
INDEX(#REF!,MATCH(_xlfn.TEXTJOIN(keydelim,TRUE,AY$9,AY$10,$F212,$D212),#REF!,0))*AY$214),
MIN(INDEX(#REF!,MATCH(_xlfn.TEXTJOIN(keydelim,TRUE,"Other",AY$10,$F212,$D212),#REF!,0)),
INDEX(#REF!,MATCH(_xlfn.TEXTJOIN(keydelim,TRUE,"Other",AY$10,$F212,$D212),#REF!,0))+
INDEX(#REF!,MATCH(_xlfn.TEXTJOIN(keydelim,TRUE,"Other",AY$10,$F212,$D212),#REF!,0))*AY$214)
)))</f>
        <v>0</v>
      </c>
      <c r="AZ212" s="52" cm="1">
        <f t="array" aca="1" ref="AZ212" ca="1">_xlfn.IFS(AZ$25="Manual",AY212,
AZ$25="Regression",
MAX(0,
IFERROR(MIN(INDEX(#REF!,MATCH(_xlfn.TEXTJOIN(keydelim,TRUE,AZ$9,AZ$10,$F212,$D212),#REF!,0)),
INDEX(#REF!,MATCH(_xlfn.TEXTJOIN(keydelim,TRUE,AZ$9,AZ$10,$F212,$D212),#REF!,0))+
INDEX(#REF!,MATCH(_xlfn.TEXTJOIN(keydelim,TRUE,AZ$9,AZ$10,$F212,$D212),#REF!,0))*AZ$214),
MIN(INDEX(#REF!,MATCH(_xlfn.TEXTJOIN(keydelim,TRUE,"Other",AZ$10,$F212,$D212),#REF!,0)),
INDEX(#REF!,MATCH(_xlfn.TEXTJOIN(keydelim,TRUE,"Other",AZ$10,$F212,$D212),#REF!,0))+
INDEX(#REF!,MATCH(_xlfn.TEXTJOIN(keydelim,TRUE,"Other",AZ$10,$F212,$D212),#REF!,0))*AZ$214)
)))</f>
        <v>0</v>
      </c>
      <c r="BA212" s="52" cm="1">
        <f t="array" aca="1" ref="BA212" ca="1">_xlfn.IFS(BA$25="Manual",AZ212,
BA$25="Regression",
MAX(0,
IFERROR(MIN(INDEX(#REF!,MATCH(_xlfn.TEXTJOIN(keydelim,TRUE,BA$9,BA$10,$F212,$D212),#REF!,0)),
INDEX(#REF!,MATCH(_xlfn.TEXTJOIN(keydelim,TRUE,BA$9,BA$10,$F212,$D212),#REF!,0))+
INDEX(#REF!,MATCH(_xlfn.TEXTJOIN(keydelim,TRUE,BA$9,BA$10,$F212,$D212),#REF!,0))*BA$214),
MIN(INDEX(#REF!,MATCH(_xlfn.TEXTJOIN(keydelim,TRUE,"Other",BA$10,$F212,$D212),#REF!,0)),
INDEX(#REF!,MATCH(_xlfn.TEXTJOIN(keydelim,TRUE,"Other",BA$10,$F212,$D212),#REF!,0))+
INDEX(#REF!,MATCH(_xlfn.TEXTJOIN(keydelim,TRUE,"Other",BA$10,$F212,$D212),#REF!,0))*BA$214)
)))</f>
        <v>0</v>
      </c>
      <c r="BB212" s="52" cm="1">
        <f t="array" aca="1" ref="BB212" ca="1">_xlfn.IFS(BB$25="Manual",BA212,
BB$25="Regression",
MAX(0,
IFERROR(MIN(INDEX(#REF!,MATCH(_xlfn.TEXTJOIN(keydelim,TRUE,BB$9,BB$10,$F212,$D212),#REF!,0)),
INDEX(#REF!,MATCH(_xlfn.TEXTJOIN(keydelim,TRUE,BB$9,BB$10,$F212,$D212),#REF!,0))+
INDEX(#REF!,MATCH(_xlfn.TEXTJOIN(keydelim,TRUE,BB$9,BB$10,$F212,$D212),#REF!,0))*BB$214),
MIN(INDEX(#REF!,MATCH(_xlfn.TEXTJOIN(keydelim,TRUE,"Other",BB$10,$F212,$D212),#REF!,0)),
INDEX(#REF!,MATCH(_xlfn.TEXTJOIN(keydelim,TRUE,"Other",BB$10,$F212,$D212),#REF!,0))+
INDEX(#REF!,MATCH(_xlfn.TEXTJOIN(keydelim,TRUE,"Other",BB$10,$F212,$D212),#REF!,0))*BB$214)
)))</f>
        <v>0</v>
      </c>
      <c r="BC212" s="52" cm="1">
        <f t="array" aca="1" ref="BC212" ca="1">_xlfn.IFS(BC$25="Manual",BB212,
BC$25="Regression",
MAX(0,
IFERROR(MIN(INDEX(#REF!,MATCH(_xlfn.TEXTJOIN(keydelim,TRUE,BC$9,BC$10,$F212,$D212),#REF!,0)),
INDEX(#REF!,MATCH(_xlfn.TEXTJOIN(keydelim,TRUE,BC$9,BC$10,$F212,$D212),#REF!,0))+
INDEX(#REF!,MATCH(_xlfn.TEXTJOIN(keydelim,TRUE,BC$9,BC$10,$F212,$D212),#REF!,0))*BC$214),
MIN(INDEX(#REF!,MATCH(_xlfn.TEXTJOIN(keydelim,TRUE,"Other",BC$10,$F212,$D212),#REF!,0)),
INDEX(#REF!,MATCH(_xlfn.TEXTJOIN(keydelim,TRUE,"Other",BC$10,$F212,$D212),#REF!,0))+
INDEX(#REF!,MATCH(_xlfn.TEXTJOIN(keydelim,TRUE,"Other",BC$10,$F212,$D212),#REF!,0))*BC$214)
)))</f>
        <v>0</v>
      </c>
      <c r="BD212" s="52" cm="1">
        <f t="array" aca="1" ref="BD212" ca="1">_xlfn.IFS(BD$25="Manual",BC212,
BD$25="Regression",
MAX(0,
IFERROR(MIN(INDEX(#REF!,MATCH(_xlfn.TEXTJOIN(keydelim,TRUE,BD$9,BD$10,$F212,$D212),#REF!,0)),
INDEX(#REF!,MATCH(_xlfn.TEXTJOIN(keydelim,TRUE,BD$9,BD$10,$F212,$D212),#REF!,0))+
INDEX(#REF!,MATCH(_xlfn.TEXTJOIN(keydelim,TRUE,BD$9,BD$10,$F212,$D212),#REF!,0))*BD$214),
MIN(INDEX(#REF!,MATCH(_xlfn.TEXTJOIN(keydelim,TRUE,"Other",BD$10,$F212,$D212),#REF!,0)),
INDEX(#REF!,MATCH(_xlfn.TEXTJOIN(keydelim,TRUE,"Other",BD$10,$F212,$D212),#REF!,0))+
INDEX(#REF!,MATCH(_xlfn.TEXTJOIN(keydelim,TRUE,"Other",BD$10,$F212,$D212),#REF!,0))*BD$214)
)))</f>
        <v>0</v>
      </c>
      <c r="BE212" s="52" cm="1">
        <f t="array" aca="1" ref="BE212" ca="1">_xlfn.IFS(BE$25="Manual",BD212,
BE$25="Regression",
MAX(0,
IFERROR(MIN(INDEX(#REF!,MATCH(_xlfn.TEXTJOIN(keydelim,TRUE,BE$9,BE$10,$F212,$D212),#REF!,0)),
INDEX(#REF!,MATCH(_xlfn.TEXTJOIN(keydelim,TRUE,BE$9,BE$10,$F212,$D212),#REF!,0))+
INDEX(#REF!,MATCH(_xlfn.TEXTJOIN(keydelim,TRUE,BE$9,BE$10,$F212,$D212),#REF!,0))*BE$214),
MIN(INDEX(#REF!,MATCH(_xlfn.TEXTJOIN(keydelim,TRUE,"Other",BE$10,$F212,$D212),#REF!,0)),
INDEX(#REF!,MATCH(_xlfn.TEXTJOIN(keydelim,TRUE,"Other",BE$10,$F212,$D212),#REF!,0))+
INDEX(#REF!,MATCH(_xlfn.TEXTJOIN(keydelim,TRUE,"Other",BE$10,$F212,$D212),#REF!,0))*BE$214)
)))</f>
        <v>0</v>
      </c>
      <c r="BF212" s="52" cm="1">
        <f t="array" aca="1" ref="BF212" ca="1">_xlfn.IFS(BF$25="Manual",BE212,
BF$25="Regression",
MAX(0,
IFERROR(MIN(INDEX(#REF!,MATCH(_xlfn.TEXTJOIN(keydelim,TRUE,BF$9,BF$10,$F212,$D212),#REF!,0)),
INDEX(#REF!,MATCH(_xlfn.TEXTJOIN(keydelim,TRUE,BF$9,BF$10,$F212,$D212),#REF!,0))+
INDEX(#REF!,MATCH(_xlfn.TEXTJOIN(keydelim,TRUE,BF$9,BF$10,$F212,$D212),#REF!,0))*BF$214),
MIN(INDEX(#REF!,MATCH(_xlfn.TEXTJOIN(keydelim,TRUE,"Other",BF$10,$F212,$D212),#REF!,0)),
INDEX(#REF!,MATCH(_xlfn.TEXTJOIN(keydelim,TRUE,"Other",BF$10,$F212,$D212),#REF!,0))+
INDEX(#REF!,MATCH(_xlfn.TEXTJOIN(keydelim,TRUE,"Other",BF$10,$F212,$D212),#REF!,0))*BF$214)
)))</f>
        <v>0</v>
      </c>
      <c r="BL212" s="16" t="s">
        <v>50</v>
      </c>
      <c r="BM212" s="224" t="s">
        <v>401</v>
      </c>
      <c r="BN212" s="298" t="s">
        <v>61</v>
      </c>
      <c r="BO212" s="315" cm="1">
        <f t="array" aca="1" ref="BO212" ca="1">_xlfn.IFS(BO$25="Manual",BO284*constant_vessel_lifetime,
BO$25="Regression",
MAX(0,
IFERROR(MIN(INDEX(#REF!,MATCH(_xlfn.TEXTJOIN(keydelim,TRUE,BO$9,BO$10,$F212,$D212),#REF!,0)),
INDEX(#REF!,MATCH(_xlfn.TEXTJOIN(keydelim,TRUE,BO$9,BO$10,$F212,$D212),#REF!,0))+
INDEX(#REF!,MATCH(_xlfn.TEXTJOIN(keydelim,TRUE,BO$9,BO$10,$F212,$D212),#REF!,0))*BO$209),
MIN(INDEX(#REF!,MATCH(_xlfn.TEXTJOIN(keydelim,TRUE,"Other",BO$10,$F212,$D212),#REF!,0)),
INDEX(#REF!,MATCH(_xlfn.TEXTJOIN(keydelim,TRUE,"Other",BO$10,$F212,$D212),#REF!,0))+
INDEX(#REF!,MATCH(_xlfn.TEXTJOIN(keydelim,TRUE,"Other",BO$10,$F212,$D212),#REF!,0))*BO$209)
)))</f>
        <v>0</v>
      </c>
      <c r="BP212" s="52" cm="1">
        <f t="array" aca="1" ref="BP212" ca="1">_xlfn.IFS(BP$25="Manual",BO212,
BP$25="Regression",
MAX(0,
IFERROR(MIN(INDEX(#REF!,MATCH(_xlfn.TEXTJOIN(keydelim,TRUE,BP$9,BP$10,$F212,$D212),#REF!,0)),
INDEX(#REF!,MATCH(_xlfn.TEXTJOIN(keydelim,TRUE,BP$9,BP$10,$F212,$D212),#REF!,0))+
INDEX(#REF!,MATCH(_xlfn.TEXTJOIN(keydelim,TRUE,BP$9,BP$10,$F212,$D212),#REF!,0))*BP$214),
MIN(INDEX(#REF!,MATCH(_xlfn.TEXTJOIN(keydelim,TRUE,"Other",BP$10,$F212,$D212),#REF!,0)),
INDEX(#REF!,MATCH(_xlfn.TEXTJOIN(keydelim,TRUE,"Other",BP$10,$F212,$D212),#REF!,0))+
INDEX(#REF!,MATCH(_xlfn.TEXTJOIN(keydelim,TRUE,"Other",BP$10,$F212,$D212),#REF!,0))*BP$214)
)))</f>
        <v>0</v>
      </c>
      <c r="BQ212" s="52" cm="1">
        <f t="array" aca="1" ref="BQ212" ca="1">_xlfn.IFS(BQ$25="Manual",BP212,
BQ$25="Regression",
MAX(0,
IFERROR(MIN(INDEX(#REF!,MATCH(_xlfn.TEXTJOIN(keydelim,TRUE,BQ$9,BQ$10,$F212,$D212),#REF!,0)),
INDEX(#REF!,MATCH(_xlfn.TEXTJOIN(keydelim,TRUE,BQ$9,BQ$10,$F212,$D212),#REF!,0))+
INDEX(#REF!,MATCH(_xlfn.TEXTJOIN(keydelim,TRUE,BQ$9,BQ$10,$F212,$D212),#REF!,0))*BQ$214),
MIN(INDEX(#REF!,MATCH(_xlfn.TEXTJOIN(keydelim,TRUE,"Other",BQ$10,$F212,$D212),#REF!,0)),
INDEX(#REF!,MATCH(_xlfn.TEXTJOIN(keydelim,TRUE,"Other",BQ$10,$F212,$D212),#REF!,0))+
INDEX(#REF!,MATCH(_xlfn.TEXTJOIN(keydelim,TRUE,"Other",BQ$10,$F212,$D212),#REF!,0))*BQ$214)
)))</f>
        <v>0</v>
      </c>
      <c r="BR212" s="52" cm="1">
        <f t="array" aca="1" ref="BR212" ca="1">_xlfn.IFS(BR$25="Manual",BQ212,
BR$25="Regression",
MAX(0,
IFERROR(MIN(INDEX(#REF!,MATCH(_xlfn.TEXTJOIN(keydelim,TRUE,BR$9,BR$10,$F212,$D212),#REF!,0)),
INDEX(#REF!,MATCH(_xlfn.TEXTJOIN(keydelim,TRUE,BR$9,BR$10,$F212,$D212),#REF!,0))+
INDEX(#REF!,MATCH(_xlfn.TEXTJOIN(keydelim,TRUE,BR$9,BR$10,$F212,$D212),#REF!,0))*BR$214),
MIN(INDEX(#REF!,MATCH(_xlfn.TEXTJOIN(keydelim,TRUE,"Other",BR$10,$F212,$D212),#REF!,0)),
INDEX(#REF!,MATCH(_xlfn.TEXTJOIN(keydelim,TRUE,"Other",BR$10,$F212,$D212),#REF!,0))+
INDEX(#REF!,MATCH(_xlfn.TEXTJOIN(keydelim,TRUE,"Other",BR$10,$F212,$D212),#REF!,0))*BR$214)
)))</f>
        <v>0</v>
      </c>
      <c r="BS212" s="52" cm="1">
        <f t="array" aca="1" ref="BS212" ca="1">_xlfn.IFS(BS$25="Manual",BR212,
BS$25="Regression",
MAX(0,
IFERROR(MIN(INDEX(#REF!,MATCH(_xlfn.TEXTJOIN(keydelim,TRUE,BS$9,BS$10,$F212,$D212),#REF!,0)),
INDEX(#REF!,MATCH(_xlfn.TEXTJOIN(keydelim,TRUE,BS$9,BS$10,$F212,$D212),#REF!,0))+
INDEX(#REF!,MATCH(_xlfn.TEXTJOIN(keydelim,TRUE,BS$9,BS$10,$F212,$D212),#REF!,0))*BS$214),
MIN(INDEX(#REF!,MATCH(_xlfn.TEXTJOIN(keydelim,TRUE,"Other",BS$10,$F212,$D212),#REF!,0)),
INDEX(#REF!,MATCH(_xlfn.TEXTJOIN(keydelim,TRUE,"Other",BS$10,$F212,$D212),#REF!,0))+
INDEX(#REF!,MATCH(_xlfn.TEXTJOIN(keydelim,TRUE,"Other",BS$10,$F212,$D212),#REF!,0))*BS$214)
)))</f>
        <v>0</v>
      </c>
      <c r="BT212" s="52" cm="1">
        <f t="array" aca="1" ref="BT212" ca="1">_xlfn.IFS(BT$25="Manual",BS212,
BT$25="Regression",
MAX(0,
IFERROR(MIN(INDEX(#REF!,MATCH(_xlfn.TEXTJOIN(keydelim,TRUE,BT$9,BT$10,$F212,$D212),#REF!,0)),
INDEX(#REF!,MATCH(_xlfn.TEXTJOIN(keydelim,TRUE,BT$9,BT$10,$F212,$D212),#REF!,0))+
INDEX(#REF!,MATCH(_xlfn.TEXTJOIN(keydelim,TRUE,BT$9,BT$10,$F212,$D212),#REF!,0))*BT$214),
MIN(INDEX(#REF!,MATCH(_xlfn.TEXTJOIN(keydelim,TRUE,"Other",BT$10,$F212,$D212),#REF!,0)),
INDEX(#REF!,MATCH(_xlfn.TEXTJOIN(keydelim,TRUE,"Other",BT$10,$F212,$D212),#REF!,0))+
INDEX(#REF!,MATCH(_xlfn.TEXTJOIN(keydelim,TRUE,"Other",BT$10,$F212,$D212),#REF!,0))*BT$214)
)))</f>
        <v>0</v>
      </c>
      <c r="BU212" s="52" cm="1">
        <f t="array" aca="1" ref="BU212" ca="1">_xlfn.IFS(BU$25="Manual",BT212,
BU$25="Regression",
MAX(0,
IFERROR(MIN(INDEX(#REF!,MATCH(_xlfn.TEXTJOIN(keydelim,TRUE,BU$9,BU$10,$F212,$D212),#REF!,0)),
INDEX(#REF!,MATCH(_xlfn.TEXTJOIN(keydelim,TRUE,BU$9,BU$10,$F212,$D212),#REF!,0))+
INDEX(#REF!,MATCH(_xlfn.TEXTJOIN(keydelim,TRUE,BU$9,BU$10,$F212,$D212),#REF!,0))*BU$214),
MIN(INDEX(#REF!,MATCH(_xlfn.TEXTJOIN(keydelim,TRUE,"Other",BU$10,$F212,$D212),#REF!,0)),
INDEX(#REF!,MATCH(_xlfn.TEXTJOIN(keydelim,TRUE,"Other",BU$10,$F212,$D212),#REF!,0))+
INDEX(#REF!,MATCH(_xlfn.TEXTJOIN(keydelim,TRUE,"Other",BU$10,$F212,$D212),#REF!,0))*BU$214)
)))</f>
        <v>0</v>
      </c>
      <c r="BV212" s="52" cm="1">
        <f t="array" aca="1" ref="BV212" ca="1">_xlfn.IFS(BV$25="Manual",BU212,
BV$25="Regression",
MAX(0,
IFERROR(MIN(INDEX(#REF!,MATCH(_xlfn.TEXTJOIN(keydelim,TRUE,BV$9,BV$10,$F212,$D212),#REF!,0)),
INDEX(#REF!,MATCH(_xlfn.TEXTJOIN(keydelim,TRUE,BV$9,BV$10,$F212,$D212),#REF!,0))+
INDEX(#REF!,MATCH(_xlfn.TEXTJOIN(keydelim,TRUE,BV$9,BV$10,$F212,$D212),#REF!,0))*BV$214),
MIN(INDEX(#REF!,MATCH(_xlfn.TEXTJOIN(keydelim,TRUE,"Other",BV$10,$F212,$D212),#REF!,0)),
INDEX(#REF!,MATCH(_xlfn.TEXTJOIN(keydelim,TRUE,"Other",BV$10,$F212,$D212),#REF!,0))+
INDEX(#REF!,MATCH(_xlfn.TEXTJOIN(keydelim,TRUE,"Other",BV$10,$F212,$D212),#REF!,0))*BV$214)
)))</f>
        <v>0</v>
      </c>
      <c r="BW212" s="52" cm="1">
        <f t="array" aca="1" ref="BW212" ca="1">_xlfn.IFS(BW$25="Manual",BV212,
BW$25="Regression",
MAX(0,
IFERROR(MIN(INDEX(#REF!,MATCH(_xlfn.TEXTJOIN(keydelim,TRUE,BW$9,BW$10,$F212,$D212),#REF!,0)),
INDEX(#REF!,MATCH(_xlfn.TEXTJOIN(keydelim,TRUE,BW$9,BW$10,$F212,$D212),#REF!,0))+
INDEX(#REF!,MATCH(_xlfn.TEXTJOIN(keydelim,TRUE,BW$9,BW$10,$F212,$D212),#REF!,0))*BW$214),
MIN(INDEX(#REF!,MATCH(_xlfn.TEXTJOIN(keydelim,TRUE,"Other",BW$10,$F212,$D212),#REF!,0)),
INDEX(#REF!,MATCH(_xlfn.TEXTJOIN(keydelim,TRUE,"Other",BW$10,$F212,$D212),#REF!,0))+
INDEX(#REF!,MATCH(_xlfn.TEXTJOIN(keydelim,TRUE,"Other",BW$10,$F212,$D212),#REF!,0))*BW$214)
)))</f>
        <v>0</v>
      </c>
      <c r="BX212" s="52" cm="1">
        <f t="array" aca="1" ref="BX212" ca="1">_xlfn.IFS(BX$25="Manual",BW212,
BX$25="Regression",
MAX(0,
IFERROR(MIN(INDEX(#REF!,MATCH(_xlfn.TEXTJOIN(keydelim,TRUE,BX$9,BX$10,$F212,$D212),#REF!,0)),
INDEX(#REF!,MATCH(_xlfn.TEXTJOIN(keydelim,TRUE,BX$9,BX$10,$F212,$D212),#REF!,0))+
INDEX(#REF!,MATCH(_xlfn.TEXTJOIN(keydelim,TRUE,BX$9,BX$10,$F212,$D212),#REF!,0))*BX$214),
MIN(INDEX(#REF!,MATCH(_xlfn.TEXTJOIN(keydelim,TRUE,"Other",BX$10,$F212,$D212),#REF!,0)),
INDEX(#REF!,MATCH(_xlfn.TEXTJOIN(keydelim,TRUE,"Other",BX$10,$F212,$D212),#REF!,0))+
INDEX(#REF!,MATCH(_xlfn.TEXTJOIN(keydelim,TRUE,"Other",BX$10,$F212,$D212),#REF!,0))*BX$214)
)))</f>
        <v>0</v>
      </c>
      <c r="BY212" s="52" cm="1">
        <f t="array" aca="1" ref="BY212" ca="1">_xlfn.IFS(BY$25="Manual",BX212,
BY$25="Regression",
MAX(0,
IFERROR(MIN(INDEX(#REF!,MATCH(_xlfn.TEXTJOIN(keydelim,TRUE,BY$9,BY$10,$F212,$D212),#REF!,0)),
INDEX(#REF!,MATCH(_xlfn.TEXTJOIN(keydelim,TRUE,BY$9,BY$10,$F212,$D212),#REF!,0))+
INDEX(#REF!,MATCH(_xlfn.TEXTJOIN(keydelim,TRUE,BY$9,BY$10,$F212,$D212),#REF!,0))*BY$214),
MIN(INDEX(#REF!,MATCH(_xlfn.TEXTJOIN(keydelim,TRUE,"Other",BY$10,$F212,$D212),#REF!,0)),
INDEX(#REF!,MATCH(_xlfn.TEXTJOIN(keydelim,TRUE,"Other",BY$10,$F212,$D212),#REF!,0))+
INDEX(#REF!,MATCH(_xlfn.TEXTJOIN(keydelim,TRUE,"Other",BY$10,$F212,$D212),#REF!,0))*BY$214)
)))</f>
        <v>0</v>
      </c>
      <c r="BZ212" s="52" cm="1">
        <f t="array" aca="1" ref="BZ212" ca="1">_xlfn.IFS(BZ$25="Manual",BY212,
BZ$25="Regression",
MAX(0,
IFERROR(MIN(INDEX(#REF!,MATCH(_xlfn.TEXTJOIN(keydelim,TRUE,BZ$9,BZ$10,$F212,$D212),#REF!,0)),
INDEX(#REF!,MATCH(_xlfn.TEXTJOIN(keydelim,TRUE,BZ$9,BZ$10,$F212,$D212),#REF!,0))+
INDEX(#REF!,MATCH(_xlfn.TEXTJOIN(keydelim,TRUE,BZ$9,BZ$10,$F212,$D212),#REF!,0))*BZ$214),
MIN(INDEX(#REF!,MATCH(_xlfn.TEXTJOIN(keydelim,TRUE,"Other",BZ$10,$F212,$D212),#REF!,0)),
INDEX(#REF!,MATCH(_xlfn.TEXTJOIN(keydelim,TRUE,"Other",BZ$10,$F212,$D212),#REF!,0))+
INDEX(#REF!,MATCH(_xlfn.TEXTJOIN(keydelim,TRUE,"Other",BZ$10,$F212,$D212),#REF!,0))*BZ$214)
)))</f>
        <v>0</v>
      </c>
      <c r="CF212" s="16" t="s">
        <v>50</v>
      </c>
      <c r="CG212" s="224" t="s">
        <v>401</v>
      </c>
      <c r="CH212" s="298" t="s">
        <v>61</v>
      </c>
      <c r="CI212" s="315" cm="1">
        <f t="array" aca="1" ref="CI212" ca="1">_xlfn.IFS(CI$25="Manual",CI284*constant_vessel_lifetime,
CI$25="Regression",
MAX(0,
IFERROR(MIN(INDEX(#REF!,MATCH(_xlfn.TEXTJOIN(keydelim,TRUE,CI$9,CI$10,$F212,$D212),#REF!,0)),
INDEX(#REF!,MATCH(_xlfn.TEXTJOIN(keydelim,TRUE,CI$9,CI$10,$F212,$D212),#REF!,0))+
INDEX(#REF!,MATCH(_xlfn.TEXTJOIN(keydelim,TRUE,CI$9,CI$10,$F212,$D212),#REF!,0))*CI$209),
MIN(INDEX(#REF!,MATCH(_xlfn.TEXTJOIN(keydelim,TRUE,"Other",CI$10,$F212,$D212),#REF!,0)),
INDEX(#REF!,MATCH(_xlfn.TEXTJOIN(keydelim,TRUE,"Other",CI$10,$F212,$D212),#REF!,0))+
INDEX(#REF!,MATCH(_xlfn.TEXTJOIN(keydelim,TRUE,"Other",CI$10,$F212,$D212),#REF!,0))*CI$209)
)))</f>
        <v>0</v>
      </c>
      <c r="CJ212" s="52" cm="1">
        <f t="array" aca="1" ref="CJ212" ca="1">_xlfn.IFS(CJ$25="Manual",CI212,
CJ$25="Regression",
MAX(0,
IFERROR(MIN(INDEX(#REF!,MATCH(_xlfn.TEXTJOIN(keydelim,TRUE,CJ$9,CJ$10,$F212,$D212),#REF!,0)),
INDEX(#REF!,MATCH(_xlfn.TEXTJOIN(keydelim,TRUE,CJ$9,CJ$10,$F212,$D212),#REF!,0))+
INDEX(#REF!,MATCH(_xlfn.TEXTJOIN(keydelim,TRUE,CJ$9,CJ$10,$F212,$D212),#REF!,0))*CJ$214),
MIN(INDEX(#REF!,MATCH(_xlfn.TEXTJOIN(keydelim,TRUE,"Other",CJ$10,$F212,$D212),#REF!,0)),
INDEX(#REF!,MATCH(_xlfn.TEXTJOIN(keydelim,TRUE,"Other",CJ$10,$F212,$D212),#REF!,0))+
INDEX(#REF!,MATCH(_xlfn.TEXTJOIN(keydelim,TRUE,"Other",CJ$10,$F212,$D212),#REF!,0))*CJ$214)
)))</f>
        <v>0</v>
      </c>
      <c r="CK212" s="52" cm="1">
        <f t="array" aca="1" ref="CK212" ca="1">_xlfn.IFS(CK$25="Manual",CJ212,
CK$25="Regression",
MAX(0,
IFERROR(MIN(INDEX(#REF!,MATCH(_xlfn.TEXTJOIN(keydelim,TRUE,CK$9,CK$10,$F212,$D212),#REF!,0)),
INDEX(#REF!,MATCH(_xlfn.TEXTJOIN(keydelim,TRUE,CK$9,CK$10,$F212,$D212),#REF!,0))+
INDEX(#REF!,MATCH(_xlfn.TEXTJOIN(keydelim,TRUE,CK$9,CK$10,$F212,$D212),#REF!,0))*CK$214),
MIN(INDEX(#REF!,MATCH(_xlfn.TEXTJOIN(keydelim,TRUE,"Other",CK$10,$F212,$D212),#REF!,0)),
INDEX(#REF!,MATCH(_xlfn.TEXTJOIN(keydelim,TRUE,"Other",CK$10,$F212,$D212),#REF!,0))+
INDEX(#REF!,MATCH(_xlfn.TEXTJOIN(keydelim,TRUE,"Other",CK$10,$F212,$D212),#REF!,0))*CK$214)
)))</f>
        <v>0</v>
      </c>
      <c r="CL212" s="52" cm="1">
        <f t="array" aca="1" ref="CL212" ca="1">_xlfn.IFS(CL$25="Manual",CK212,
CL$25="Regression",
MAX(0,
IFERROR(MIN(INDEX(#REF!,MATCH(_xlfn.TEXTJOIN(keydelim,TRUE,CL$9,CL$10,$F212,$D212),#REF!,0)),
INDEX(#REF!,MATCH(_xlfn.TEXTJOIN(keydelim,TRUE,CL$9,CL$10,$F212,$D212),#REF!,0))+
INDEX(#REF!,MATCH(_xlfn.TEXTJOIN(keydelim,TRUE,CL$9,CL$10,$F212,$D212),#REF!,0))*CL$214),
MIN(INDEX(#REF!,MATCH(_xlfn.TEXTJOIN(keydelim,TRUE,"Other",CL$10,$F212,$D212),#REF!,0)),
INDEX(#REF!,MATCH(_xlfn.TEXTJOIN(keydelim,TRUE,"Other",CL$10,$F212,$D212),#REF!,0))+
INDEX(#REF!,MATCH(_xlfn.TEXTJOIN(keydelim,TRUE,"Other",CL$10,$F212,$D212),#REF!,0))*CL$214)
)))</f>
        <v>0</v>
      </c>
      <c r="CM212" s="52" cm="1">
        <f t="array" aca="1" ref="CM212" ca="1">_xlfn.IFS(CM$25="Manual",CL212,
CM$25="Regression",
MAX(0,
IFERROR(MIN(INDEX(#REF!,MATCH(_xlfn.TEXTJOIN(keydelim,TRUE,CM$9,CM$10,$F212,$D212),#REF!,0)),
INDEX(#REF!,MATCH(_xlfn.TEXTJOIN(keydelim,TRUE,CM$9,CM$10,$F212,$D212),#REF!,0))+
INDEX(#REF!,MATCH(_xlfn.TEXTJOIN(keydelim,TRUE,CM$9,CM$10,$F212,$D212),#REF!,0))*CM$214),
MIN(INDEX(#REF!,MATCH(_xlfn.TEXTJOIN(keydelim,TRUE,"Other",CM$10,$F212,$D212),#REF!,0)),
INDEX(#REF!,MATCH(_xlfn.TEXTJOIN(keydelim,TRUE,"Other",CM$10,$F212,$D212),#REF!,0))+
INDEX(#REF!,MATCH(_xlfn.TEXTJOIN(keydelim,TRUE,"Other",CM$10,$F212,$D212),#REF!,0))*CM$214)
)))</f>
        <v>0</v>
      </c>
      <c r="CN212" s="52" cm="1">
        <f t="array" aca="1" ref="CN212" ca="1">_xlfn.IFS(CN$25="Manual",CM212,
CN$25="Regression",
MAX(0,
IFERROR(MIN(INDEX(#REF!,MATCH(_xlfn.TEXTJOIN(keydelim,TRUE,CN$9,CN$10,$F212,$D212),#REF!,0)),
INDEX(#REF!,MATCH(_xlfn.TEXTJOIN(keydelim,TRUE,CN$9,CN$10,$F212,$D212),#REF!,0))+
INDEX(#REF!,MATCH(_xlfn.TEXTJOIN(keydelim,TRUE,CN$9,CN$10,$F212,$D212),#REF!,0))*CN$214),
MIN(INDEX(#REF!,MATCH(_xlfn.TEXTJOIN(keydelim,TRUE,"Other",CN$10,$F212,$D212),#REF!,0)),
INDEX(#REF!,MATCH(_xlfn.TEXTJOIN(keydelim,TRUE,"Other",CN$10,$F212,$D212),#REF!,0))+
INDEX(#REF!,MATCH(_xlfn.TEXTJOIN(keydelim,TRUE,"Other",CN$10,$F212,$D212),#REF!,0))*CN$214)
)))</f>
        <v>0</v>
      </c>
      <c r="CO212" s="52" cm="1">
        <f t="array" aca="1" ref="CO212" ca="1">_xlfn.IFS(CO$25="Manual",CN212,
CO$25="Regression",
MAX(0,
IFERROR(MIN(INDEX(#REF!,MATCH(_xlfn.TEXTJOIN(keydelim,TRUE,CO$9,CO$10,$F212,$D212),#REF!,0)),
INDEX(#REF!,MATCH(_xlfn.TEXTJOIN(keydelim,TRUE,CO$9,CO$10,$F212,$D212),#REF!,0))+
INDEX(#REF!,MATCH(_xlfn.TEXTJOIN(keydelim,TRUE,CO$9,CO$10,$F212,$D212),#REF!,0))*CO$214),
MIN(INDEX(#REF!,MATCH(_xlfn.TEXTJOIN(keydelim,TRUE,"Other",CO$10,$F212,$D212),#REF!,0)),
INDEX(#REF!,MATCH(_xlfn.TEXTJOIN(keydelim,TRUE,"Other",CO$10,$F212,$D212),#REF!,0))+
INDEX(#REF!,MATCH(_xlfn.TEXTJOIN(keydelim,TRUE,"Other",CO$10,$F212,$D212),#REF!,0))*CO$214)
)))</f>
        <v>0</v>
      </c>
      <c r="CP212" s="52" cm="1">
        <f t="array" aca="1" ref="CP212" ca="1">_xlfn.IFS(CP$25="Manual",CO212,
CP$25="Regression",
MAX(0,
IFERROR(MIN(INDEX(#REF!,MATCH(_xlfn.TEXTJOIN(keydelim,TRUE,CP$9,CP$10,$F212,$D212),#REF!,0)),
INDEX(#REF!,MATCH(_xlfn.TEXTJOIN(keydelim,TRUE,CP$9,CP$10,$F212,$D212),#REF!,0))+
INDEX(#REF!,MATCH(_xlfn.TEXTJOIN(keydelim,TRUE,CP$9,CP$10,$F212,$D212),#REF!,0))*CP$214),
MIN(INDEX(#REF!,MATCH(_xlfn.TEXTJOIN(keydelim,TRUE,"Other",CP$10,$F212,$D212),#REF!,0)),
INDEX(#REF!,MATCH(_xlfn.TEXTJOIN(keydelim,TRUE,"Other",CP$10,$F212,$D212),#REF!,0))+
INDEX(#REF!,MATCH(_xlfn.TEXTJOIN(keydelim,TRUE,"Other",CP$10,$F212,$D212),#REF!,0))*CP$214)
)))</f>
        <v>0</v>
      </c>
      <c r="CQ212" s="52" cm="1">
        <f t="array" aca="1" ref="CQ212" ca="1">_xlfn.IFS(CQ$25="Manual",CP212,
CQ$25="Regression",
MAX(0,
IFERROR(MIN(INDEX(#REF!,MATCH(_xlfn.TEXTJOIN(keydelim,TRUE,CQ$9,CQ$10,$F212,$D212),#REF!,0)),
INDEX(#REF!,MATCH(_xlfn.TEXTJOIN(keydelim,TRUE,CQ$9,CQ$10,$F212,$D212),#REF!,0))+
INDEX(#REF!,MATCH(_xlfn.TEXTJOIN(keydelim,TRUE,CQ$9,CQ$10,$F212,$D212),#REF!,0))*CQ$214),
MIN(INDEX(#REF!,MATCH(_xlfn.TEXTJOIN(keydelim,TRUE,"Other",CQ$10,$F212,$D212),#REF!,0)),
INDEX(#REF!,MATCH(_xlfn.TEXTJOIN(keydelim,TRUE,"Other",CQ$10,$F212,$D212),#REF!,0))+
INDEX(#REF!,MATCH(_xlfn.TEXTJOIN(keydelim,TRUE,"Other",CQ$10,$F212,$D212),#REF!,0))*CQ$214)
)))</f>
        <v>0</v>
      </c>
      <c r="CR212" s="52" cm="1">
        <f t="array" aca="1" ref="CR212" ca="1">_xlfn.IFS(CR$25="Manual",CQ212,
CR$25="Regression",
MAX(0,
IFERROR(MIN(INDEX(#REF!,MATCH(_xlfn.TEXTJOIN(keydelim,TRUE,CR$9,CR$10,$F212,$D212),#REF!,0)),
INDEX(#REF!,MATCH(_xlfn.TEXTJOIN(keydelim,TRUE,CR$9,CR$10,$F212,$D212),#REF!,0))+
INDEX(#REF!,MATCH(_xlfn.TEXTJOIN(keydelim,TRUE,CR$9,CR$10,$F212,$D212),#REF!,0))*CR$214),
MIN(INDEX(#REF!,MATCH(_xlfn.TEXTJOIN(keydelim,TRUE,"Other",CR$10,$F212,$D212),#REF!,0)),
INDEX(#REF!,MATCH(_xlfn.TEXTJOIN(keydelim,TRUE,"Other",CR$10,$F212,$D212),#REF!,0))+
INDEX(#REF!,MATCH(_xlfn.TEXTJOIN(keydelim,TRUE,"Other",CR$10,$F212,$D212),#REF!,0))*CR$214)
)))</f>
        <v>0</v>
      </c>
      <c r="CS212" s="52" cm="1">
        <f t="array" aca="1" ref="CS212" ca="1">_xlfn.IFS(CS$25="Manual",CR212,
CS$25="Regression",
MAX(0,
IFERROR(MIN(INDEX(#REF!,MATCH(_xlfn.TEXTJOIN(keydelim,TRUE,CS$9,CS$10,$F212,$D212),#REF!,0)),
INDEX(#REF!,MATCH(_xlfn.TEXTJOIN(keydelim,TRUE,CS$9,CS$10,$F212,$D212),#REF!,0))+
INDEX(#REF!,MATCH(_xlfn.TEXTJOIN(keydelim,TRUE,CS$9,CS$10,$F212,$D212),#REF!,0))*CS$214),
MIN(INDEX(#REF!,MATCH(_xlfn.TEXTJOIN(keydelim,TRUE,"Other",CS$10,$F212,$D212),#REF!,0)),
INDEX(#REF!,MATCH(_xlfn.TEXTJOIN(keydelim,TRUE,"Other",CS$10,$F212,$D212),#REF!,0))+
INDEX(#REF!,MATCH(_xlfn.TEXTJOIN(keydelim,TRUE,"Other",CS$10,$F212,$D212),#REF!,0))*CS$214)
)))</f>
        <v>0</v>
      </c>
      <c r="CT212" s="52" cm="1">
        <f t="array" aca="1" ref="CT212" ca="1">_xlfn.IFS(CT$25="Manual",CS212,
CT$25="Regression",
MAX(0,
IFERROR(MIN(INDEX(#REF!,MATCH(_xlfn.TEXTJOIN(keydelim,TRUE,CT$9,CT$10,$F212,$D212),#REF!,0)),
INDEX(#REF!,MATCH(_xlfn.TEXTJOIN(keydelim,TRUE,CT$9,CT$10,$F212,$D212),#REF!,0))+
INDEX(#REF!,MATCH(_xlfn.TEXTJOIN(keydelim,TRUE,CT$9,CT$10,$F212,$D212),#REF!,0))*CT$214),
MIN(INDEX(#REF!,MATCH(_xlfn.TEXTJOIN(keydelim,TRUE,"Other",CT$10,$F212,$D212),#REF!,0)),
INDEX(#REF!,MATCH(_xlfn.TEXTJOIN(keydelim,TRUE,"Other",CT$10,$F212,$D212),#REF!,0))+
INDEX(#REF!,MATCH(_xlfn.TEXTJOIN(keydelim,TRUE,"Other",CT$10,$F212,$D212),#REF!,0))*CT$214)
)))</f>
        <v>0</v>
      </c>
    </row>
    <row r="213" spans="2:98" hidden="1" outlineLevel="1" x14ac:dyDescent="0.2">
      <c r="D213" s="266" t="s">
        <v>346</v>
      </c>
      <c r="F213"/>
      <c r="X213" s="266" t="s">
        <v>346</v>
      </c>
      <c r="Z213"/>
      <c r="AR213" s="266" t="s">
        <v>346</v>
      </c>
      <c r="AT213"/>
      <c r="BL213" s="266" t="s">
        <v>346</v>
      </c>
      <c r="BN213"/>
      <c r="CF213" s="266" t="s">
        <v>346</v>
      </c>
      <c r="CH213"/>
    </row>
    <row r="214" spans="2:98" hidden="1" outlineLevel="1" x14ac:dyDescent="0.2">
      <c r="C214" s="3"/>
      <c r="D214" s="16" t="s">
        <v>398</v>
      </c>
      <c r="E214" s="224" t="s">
        <v>324</v>
      </c>
      <c r="F214" s="298"/>
      <c r="G214" s="98">
        <f t="shared" ref="G214:R214" ca="1" si="922">G123/G132</f>
        <v>21.473621920116738</v>
      </c>
      <c r="H214" s="98">
        <f t="shared" ca="1" si="922"/>
        <v>15.404989638344619</v>
      </c>
      <c r="I214" s="98">
        <f t="shared" ca="1" si="922"/>
        <v>13.444354593464393</v>
      </c>
      <c r="J214" s="98">
        <f t="shared" ca="1" si="922"/>
        <v>13.444354593464393</v>
      </c>
      <c r="K214" s="98">
        <f t="shared" ca="1" si="922"/>
        <v>13.444354593464393</v>
      </c>
      <c r="L214" s="98">
        <f t="shared" ca="1" si="922"/>
        <v>13.444354593464393</v>
      </c>
      <c r="M214" s="98">
        <f t="shared" ca="1" si="922"/>
        <v>13.444354593464393</v>
      </c>
      <c r="N214" s="98">
        <f t="shared" ca="1" si="922"/>
        <v>13.444354593464393</v>
      </c>
      <c r="O214" s="98">
        <f t="shared" ca="1" si="922"/>
        <v>13.444354593464393</v>
      </c>
      <c r="P214" s="98">
        <f t="shared" ca="1" si="922"/>
        <v>13.444354593464393</v>
      </c>
      <c r="Q214" s="98">
        <f t="shared" ca="1" si="922"/>
        <v>13.444354593464393</v>
      </c>
      <c r="R214" s="98">
        <f t="shared" ca="1" si="922"/>
        <v>13.444354593464393</v>
      </c>
      <c r="X214" s="16" t="s">
        <v>398</v>
      </c>
      <c r="Y214" s="224" t="s">
        <v>324</v>
      </c>
      <c r="Z214" s="298"/>
      <c r="AA214" s="98">
        <f t="shared" ref="AA214:AL214" ca="1" si="923">AA123/AA132</f>
        <v>28.010164967271816</v>
      </c>
      <c r="AB214" s="98">
        <f t="shared" ca="1" si="923"/>
        <v>15.101278898435231</v>
      </c>
      <c r="AC214" s="98">
        <f t="shared" ca="1" si="923"/>
        <v>10.581925187075147</v>
      </c>
      <c r="AD214" s="98">
        <f t="shared" ca="1" si="923"/>
        <v>10.624039306140117</v>
      </c>
      <c r="AE214" s="98">
        <f t="shared" ca="1" si="923"/>
        <v>10.502467383740608</v>
      </c>
      <c r="AF214" s="98">
        <f t="shared" ca="1" si="923"/>
        <v>10.385227090861148</v>
      </c>
      <c r="AG214" s="98">
        <f t="shared" ca="1" si="923"/>
        <v>10.282788752348448</v>
      </c>
      <c r="AH214" s="98">
        <f t="shared" ca="1" si="923"/>
        <v>10.282788752348448</v>
      </c>
      <c r="AI214" s="98">
        <f t="shared" ca="1" si="923"/>
        <v>10.282788752348448</v>
      </c>
      <c r="AJ214" s="98">
        <f t="shared" ca="1" si="923"/>
        <v>10.282788752348448</v>
      </c>
      <c r="AK214" s="98">
        <f t="shared" ca="1" si="923"/>
        <v>10.282788752348448</v>
      </c>
      <c r="AL214" s="98">
        <f t="shared" ca="1" si="923"/>
        <v>10.282788752348448</v>
      </c>
      <c r="AR214" s="16" t="s">
        <v>398</v>
      </c>
      <c r="AS214" s="224" t="s">
        <v>324</v>
      </c>
      <c r="AT214" s="298"/>
      <c r="AU214" s="98">
        <f t="shared" ref="AU214:BF214" ca="1" si="924">AU123/AU132</f>
        <v>67.654563699368978</v>
      </c>
      <c r="AV214" s="98">
        <f t="shared" ca="1" si="924"/>
        <v>49.86622112839148</v>
      </c>
      <c r="AW214" s="98">
        <f t="shared" ca="1" si="924"/>
        <v>35.036527617873539</v>
      </c>
      <c r="AX214" s="98">
        <f t="shared" ca="1" si="924"/>
        <v>31.843366273798324</v>
      </c>
      <c r="AY214" s="98">
        <f t="shared" ca="1" si="924"/>
        <v>28.023353054868181</v>
      </c>
      <c r="AZ214" s="98">
        <f t="shared" ca="1" si="924"/>
        <v>23.402115576701302</v>
      </c>
      <c r="BA214" s="98">
        <f t="shared" ca="1" si="924"/>
        <v>19.231023079153672</v>
      </c>
      <c r="BB214" s="98">
        <f t="shared" ca="1" si="924"/>
        <v>19.231023079153672</v>
      </c>
      <c r="BC214" s="98">
        <f t="shared" ca="1" si="924"/>
        <v>19.231023079153672</v>
      </c>
      <c r="BD214" s="98">
        <f t="shared" ca="1" si="924"/>
        <v>19.231023079153672</v>
      </c>
      <c r="BE214" s="98">
        <f t="shared" ca="1" si="924"/>
        <v>19.231023079153672</v>
      </c>
      <c r="BF214" s="98">
        <f t="shared" ca="1" si="924"/>
        <v>19.231023079153672</v>
      </c>
      <c r="BL214" s="16" t="s">
        <v>398</v>
      </c>
      <c r="BM214" s="224" t="s">
        <v>324</v>
      </c>
      <c r="BN214" s="298"/>
      <c r="BO214" s="98">
        <f t="shared" ref="BO214:BZ214" ca="1" si="925">BO123/BO132</f>
        <v>56.44771878224406</v>
      </c>
      <c r="BP214" s="98">
        <f t="shared" ca="1" si="925"/>
        <v>34.15796081641848</v>
      </c>
      <c r="BQ214" s="98">
        <f t="shared" ca="1" si="925"/>
        <v>25.526644558807334</v>
      </c>
      <c r="BR214" s="98">
        <f t="shared" ca="1" si="925"/>
        <v>25.392213579850207</v>
      </c>
      <c r="BS214" s="98">
        <f t="shared" ca="1" si="925"/>
        <v>24.968014990964868</v>
      </c>
      <c r="BT214" s="98">
        <f t="shared" ca="1" si="925"/>
        <v>24.545499780241947</v>
      </c>
      <c r="BU214" s="98">
        <f t="shared" ca="1" si="925"/>
        <v>24.132752179123678</v>
      </c>
      <c r="BV214" s="98">
        <f t="shared" ca="1" si="925"/>
        <v>24.132752179123678</v>
      </c>
      <c r="BW214" s="98">
        <f t="shared" ca="1" si="925"/>
        <v>24.132752179123678</v>
      </c>
      <c r="BX214" s="98">
        <f t="shared" ca="1" si="925"/>
        <v>24.132752179123678</v>
      </c>
      <c r="BY214" s="98">
        <f t="shared" ca="1" si="925"/>
        <v>24.132752179123678</v>
      </c>
      <c r="BZ214" s="98">
        <f t="shared" ca="1" si="925"/>
        <v>24.132752179123678</v>
      </c>
      <c r="CF214" s="16" t="s">
        <v>398</v>
      </c>
      <c r="CG214" s="224" t="s">
        <v>324</v>
      </c>
      <c r="CH214" s="298"/>
      <c r="CI214" s="98">
        <f t="shared" ref="CI214:CT214" ca="1" si="926">CI123/CI132</f>
        <v>51.007160238790995</v>
      </c>
      <c r="CJ214" s="98">
        <f t="shared" ca="1" si="926"/>
        <v>35.917851468003114</v>
      </c>
      <c r="CK214" s="98">
        <f t="shared" ca="1" si="926"/>
        <v>30.377047685488289</v>
      </c>
      <c r="CL214" s="98">
        <f t="shared" ca="1" si="926"/>
        <v>28.106631469870184</v>
      </c>
      <c r="CM214" s="98">
        <f t="shared" ca="1" si="926"/>
        <v>25.887450121103139</v>
      </c>
      <c r="CN214" s="98">
        <f t="shared" ca="1" si="926"/>
        <v>24.602263834424107</v>
      </c>
      <c r="CO214" s="98">
        <f t="shared" ca="1" si="926"/>
        <v>23.3548422993738</v>
      </c>
      <c r="CP214" s="98">
        <f t="shared" ca="1" si="926"/>
        <v>23.3548422993738</v>
      </c>
      <c r="CQ214" s="98">
        <f t="shared" ca="1" si="926"/>
        <v>23.3548422993738</v>
      </c>
      <c r="CR214" s="98">
        <f t="shared" ca="1" si="926"/>
        <v>23.3548422993738</v>
      </c>
      <c r="CS214" s="98">
        <f t="shared" ca="1" si="926"/>
        <v>23.3548422993738</v>
      </c>
      <c r="CT214" s="98">
        <f t="shared" ca="1" si="926"/>
        <v>23.3548422993738</v>
      </c>
    </row>
    <row r="215" spans="2:98" hidden="1" outlineLevel="1" x14ac:dyDescent="0.2">
      <c r="C215" s="3"/>
      <c r="D215" s="16" t="s">
        <v>399</v>
      </c>
      <c r="E215" s="224" t="s">
        <v>178</v>
      </c>
      <c r="F215" s="298" t="s">
        <v>402</v>
      </c>
      <c r="G215" s="116" cm="1">
        <f t="array" aca="1" ref="G215" ca="1">_xlfn.IFS(G$25="Manual",G349,
G$25="Regression",
MAX(0,
IFERROR(MIN(INDEX(#REF!,MATCH(_xlfn.TEXTJOIN(keydelim,TRUE,G$9,G$10,$F215,$D215),#REF!,0)),
INDEX(#REF!,MATCH(_xlfn.TEXTJOIN(keydelim,TRUE,G$9,G$10,$F215,$D215),#REF!,0))+
INDEX(#REF!,MATCH(_xlfn.TEXTJOIN(keydelim,TRUE,G$9,G$10,$F215,$D215),#REF!,0))*G$214),
MIN(INDEX(#REF!,MATCH(_xlfn.TEXTJOIN(keydelim,TRUE,"Other",G$10,$F215,$D215),#REF!,0)),
INDEX(#REF!,MATCH(_xlfn.TEXTJOIN(keydelim,TRUE,"Other",G$10,$F215,$D215),#REF!,0))+
INDEX(#REF!,MATCH(_xlfn.TEXTJOIN(keydelim,TRUE,"Other",G$10,$F215,$D215),#REF!,0))*G$214)
)))</f>
        <v>0</v>
      </c>
      <c r="H215" s="116" cm="1">
        <f t="array" aca="1" ref="H215" ca="1">_xlfn.IFS(H$25="Manual",G215,
H$25="Regression",
MAX(0,
IFERROR(MIN(INDEX(#REF!,MATCH(_xlfn.TEXTJOIN(keydelim,TRUE,H$9,H$10,$F215,$D215),#REF!,0)),
INDEX(#REF!,MATCH(_xlfn.TEXTJOIN(keydelim,TRUE,H$9,H$10,$F215,$D215),#REF!,0))+
INDEX(#REF!,MATCH(_xlfn.TEXTJOIN(keydelim,TRUE,H$9,H$10,$F215,$D215),#REF!,0))*H$214),
MIN(INDEX(#REF!,MATCH(_xlfn.TEXTJOIN(keydelim,TRUE,"Other",H$10,$F215,$D215),#REF!,0)),
INDEX(#REF!,MATCH(_xlfn.TEXTJOIN(keydelim,TRUE,"Other",H$10,$F215,$D215),#REF!,0))+
INDEX(#REF!,MATCH(_xlfn.TEXTJOIN(keydelim,TRUE,"Other",H$10,$F215,$D215),#REF!,0))*H$214)
)))</f>
        <v>0</v>
      </c>
      <c r="I215" s="116" cm="1">
        <f t="array" aca="1" ref="I215" ca="1">_xlfn.IFS(I$25="Manual",H215,
I$25="Regression",
MAX(0,
IFERROR(MIN(INDEX(#REF!,MATCH(_xlfn.TEXTJOIN(keydelim,TRUE,I$9,I$10,$F215,$D215),#REF!,0)),
INDEX(#REF!,MATCH(_xlfn.TEXTJOIN(keydelim,TRUE,I$9,I$10,$F215,$D215),#REF!,0))+
INDEX(#REF!,MATCH(_xlfn.TEXTJOIN(keydelim,TRUE,I$9,I$10,$F215,$D215),#REF!,0))*I$214),
MIN(INDEX(#REF!,MATCH(_xlfn.TEXTJOIN(keydelim,TRUE,"Other",I$10,$F215,$D215),#REF!,0)),
INDEX(#REF!,MATCH(_xlfn.TEXTJOIN(keydelim,TRUE,"Other",I$10,$F215,$D215),#REF!,0))+
INDEX(#REF!,MATCH(_xlfn.TEXTJOIN(keydelim,TRUE,"Other",I$10,$F215,$D215),#REF!,0))*I$214)
)))</f>
        <v>0</v>
      </c>
      <c r="J215" s="116" cm="1">
        <f t="array" aca="1" ref="J215" ca="1">_xlfn.IFS(J$25="Manual",I215,
J$25="Regression",
MAX(0,
IFERROR(MIN(INDEX(#REF!,MATCH(_xlfn.TEXTJOIN(keydelim,TRUE,J$9,J$10,$F215,$D215),#REF!,0)),
INDEX(#REF!,MATCH(_xlfn.TEXTJOIN(keydelim,TRUE,J$9,J$10,$F215,$D215),#REF!,0))+
INDEX(#REF!,MATCH(_xlfn.TEXTJOIN(keydelim,TRUE,J$9,J$10,$F215,$D215),#REF!,0))*J$214),
MIN(INDEX(#REF!,MATCH(_xlfn.TEXTJOIN(keydelim,TRUE,"Other",J$10,$F215,$D215),#REF!,0)),
INDEX(#REF!,MATCH(_xlfn.TEXTJOIN(keydelim,TRUE,"Other",J$10,$F215,$D215),#REF!,0))+
INDEX(#REF!,MATCH(_xlfn.TEXTJOIN(keydelim,TRUE,"Other",J$10,$F215,$D215),#REF!,0))*J$214)
)))</f>
        <v>0</v>
      </c>
      <c r="K215" s="116" cm="1">
        <f t="array" aca="1" ref="K215" ca="1">_xlfn.IFS(K$25="Manual",J215,
K$25="Regression",
MAX(0,
IFERROR(MIN(INDEX(#REF!,MATCH(_xlfn.TEXTJOIN(keydelim,TRUE,K$9,K$10,$F215,$D215),#REF!,0)),
INDEX(#REF!,MATCH(_xlfn.TEXTJOIN(keydelim,TRUE,K$9,K$10,$F215,$D215),#REF!,0))+
INDEX(#REF!,MATCH(_xlfn.TEXTJOIN(keydelim,TRUE,K$9,K$10,$F215,$D215),#REF!,0))*K$214),
MIN(INDEX(#REF!,MATCH(_xlfn.TEXTJOIN(keydelim,TRUE,"Other",K$10,$F215,$D215),#REF!,0)),
INDEX(#REF!,MATCH(_xlfn.TEXTJOIN(keydelim,TRUE,"Other",K$10,$F215,$D215),#REF!,0))+
INDEX(#REF!,MATCH(_xlfn.TEXTJOIN(keydelim,TRUE,"Other",K$10,$F215,$D215),#REF!,0))*K$214)
)))</f>
        <v>0</v>
      </c>
      <c r="L215" s="116" cm="1">
        <f t="array" aca="1" ref="L215" ca="1">_xlfn.IFS(L$25="Manual",K215,
L$25="Regression",
MAX(0,
IFERROR(MIN(INDEX(#REF!,MATCH(_xlfn.TEXTJOIN(keydelim,TRUE,L$9,L$10,$F215,$D215),#REF!,0)),
INDEX(#REF!,MATCH(_xlfn.TEXTJOIN(keydelim,TRUE,L$9,L$10,$F215,$D215),#REF!,0))+
INDEX(#REF!,MATCH(_xlfn.TEXTJOIN(keydelim,TRUE,L$9,L$10,$F215,$D215),#REF!,0))*L$214),
MIN(INDEX(#REF!,MATCH(_xlfn.TEXTJOIN(keydelim,TRUE,"Other",L$10,$F215,$D215),#REF!,0)),
INDEX(#REF!,MATCH(_xlfn.TEXTJOIN(keydelim,TRUE,"Other",L$10,$F215,$D215),#REF!,0))+
INDEX(#REF!,MATCH(_xlfn.TEXTJOIN(keydelim,TRUE,"Other",L$10,$F215,$D215),#REF!,0))*L$214)
)))</f>
        <v>0</v>
      </c>
      <c r="M215" s="116" cm="1">
        <f t="array" aca="1" ref="M215" ca="1">_xlfn.IFS(M$25="Manual",L215,
M$25="Regression",
MAX(0,
IFERROR(MIN(INDEX(#REF!,MATCH(_xlfn.TEXTJOIN(keydelim,TRUE,M$9,M$10,$F215,$D215),#REF!,0)),
INDEX(#REF!,MATCH(_xlfn.TEXTJOIN(keydelim,TRUE,M$9,M$10,$F215,$D215),#REF!,0))+
INDEX(#REF!,MATCH(_xlfn.TEXTJOIN(keydelim,TRUE,M$9,M$10,$F215,$D215),#REF!,0))*M$214),
MIN(INDEX(#REF!,MATCH(_xlfn.TEXTJOIN(keydelim,TRUE,"Other",M$10,$F215,$D215),#REF!,0)),
INDEX(#REF!,MATCH(_xlfn.TEXTJOIN(keydelim,TRUE,"Other",M$10,$F215,$D215),#REF!,0))+
INDEX(#REF!,MATCH(_xlfn.TEXTJOIN(keydelim,TRUE,"Other",M$10,$F215,$D215),#REF!,0))*M$214)
)))</f>
        <v>0</v>
      </c>
      <c r="N215" s="116" cm="1">
        <f t="array" aca="1" ref="N215" ca="1">_xlfn.IFS(N$25="Manual",M215,
N$25="Regression",
MAX(0,
IFERROR(MIN(INDEX(#REF!,MATCH(_xlfn.TEXTJOIN(keydelim,TRUE,N$9,N$10,$F215,$D215),#REF!,0)),
INDEX(#REF!,MATCH(_xlfn.TEXTJOIN(keydelim,TRUE,N$9,N$10,$F215,$D215),#REF!,0))+
INDEX(#REF!,MATCH(_xlfn.TEXTJOIN(keydelim,TRUE,N$9,N$10,$F215,$D215),#REF!,0))*N$214),
MIN(INDEX(#REF!,MATCH(_xlfn.TEXTJOIN(keydelim,TRUE,"Other",N$10,$F215,$D215),#REF!,0)),
INDEX(#REF!,MATCH(_xlfn.TEXTJOIN(keydelim,TRUE,"Other",N$10,$F215,$D215),#REF!,0))+
INDEX(#REF!,MATCH(_xlfn.TEXTJOIN(keydelim,TRUE,"Other",N$10,$F215,$D215),#REF!,0))*N$214)
)))</f>
        <v>0</v>
      </c>
      <c r="O215" s="116" cm="1">
        <f t="array" aca="1" ref="O215" ca="1">_xlfn.IFS(O$25="Manual",N215,
O$25="Regression",
MAX(0,
IFERROR(MIN(INDEX(#REF!,MATCH(_xlfn.TEXTJOIN(keydelim,TRUE,O$9,O$10,$F215,$D215),#REF!,0)),
INDEX(#REF!,MATCH(_xlfn.TEXTJOIN(keydelim,TRUE,O$9,O$10,$F215,$D215),#REF!,0))+
INDEX(#REF!,MATCH(_xlfn.TEXTJOIN(keydelim,TRUE,O$9,O$10,$F215,$D215),#REF!,0))*O$214),
MIN(INDEX(#REF!,MATCH(_xlfn.TEXTJOIN(keydelim,TRUE,"Other",O$10,$F215,$D215),#REF!,0)),
INDEX(#REF!,MATCH(_xlfn.TEXTJOIN(keydelim,TRUE,"Other",O$10,$F215,$D215),#REF!,0))+
INDEX(#REF!,MATCH(_xlfn.TEXTJOIN(keydelim,TRUE,"Other",O$10,$F215,$D215),#REF!,0))*O$214)
)))</f>
        <v>0</v>
      </c>
      <c r="P215" s="116" cm="1">
        <f t="array" aca="1" ref="P215" ca="1">_xlfn.IFS(P$25="Manual",O215,
P$25="Regression",
MAX(0,
IFERROR(MIN(INDEX(#REF!,MATCH(_xlfn.TEXTJOIN(keydelim,TRUE,P$9,P$10,$F215,$D215),#REF!,0)),
INDEX(#REF!,MATCH(_xlfn.TEXTJOIN(keydelim,TRUE,P$9,P$10,$F215,$D215),#REF!,0))+
INDEX(#REF!,MATCH(_xlfn.TEXTJOIN(keydelim,TRUE,P$9,P$10,$F215,$D215),#REF!,0))*P$214),
MIN(INDEX(#REF!,MATCH(_xlfn.TEXTJOIN(keydelim,TRUE,"Other",P$10,$F215,$D215),#REF!,0)),
INDEX(#REF!,MATCH(_xlfn.TEXTJOIN(keydelim,TRUE,"Other",P$10,$F215,$D215),#REF!,0))+
INDEX(#REF!,MATCH(_xlfn.TEXTJOIN(keydelim,TRUE,"Other",P$10,$F215,$D215),#REF!,0))*P$214)
)))</f>
        <v>0</v>
      </c>
      <c r="Q215" s="116" cm="1">
        <f t="array" aca="1" ref="Q215" ca="1">_xlfn.IFS(Q$25="Manual",P215,
Q$25="Regression",
MAX(0,
IFERROR(MIN(INDEX(#REF!,MATCH(_xlfn.TEXTJOIN(keydelim,TRUE,Q$9,Q$10,$F215,$D215),#REF!,0)),
INDEX(#REF!,MATCH(_xlfn.TEXTJOIN(keydelim,TRUE,Q$9,Q$10,$F215,$D215),#REF!,0))+
INDEX(#REF!,MATCH(_xlfn.TEXTJOIN(keydelim,TRUE,Q$9,Q$10,$F215,$D215),#REF!,0))*Q$214),
MIN(INDEX(#REF!,MATCH(_xlfn.TEXTJOIN(keydelim,TRUE,"Other",Q$10,$F215,$D215),#REF!,0)),
INDEX(#REF!,MATCH(_xlfn.TEXTJOIN(keydelim,TRUE,"Other",Q$10,$F215,$D215),#REF!,0))+
INDEX(#REF!,MATCH(_xlfn.TEXTJOIN(keydelim,TRUE,"Other",Q$10,$F215,$D215),#REF!,0))*Q$214)
)))</f>
        <v>0</v>
      </c>
      <c r="R215" s="116" cm="1">
        <f t="array" aca="1" ref="R215" ca="1">_xlfn.IFS(R$25="Manual",Q215,
R$25="Regression",
MAX(0,
IFERROR(MIN(INDEX(#REF!,MATCH(_xlfn.TEXTJOIN(keydelim,TRUE,R$9,R$10,$F215,$D215),#REF!,0)),
INDEX(#REF!,MATCH(_xlfn.TEXTJOIN(keydelim,TRUE,R$9,R$10,$F215,$D215),#REF!,0))+
INDEX(#REF!,MATCH(_xlfn.TEXTJOIN(keydelim,TRUE,R$9,R$10,$F215,$D215),#REF!,0))*R$214),
MIN(INDEX(#REF!,MATCH(_xlfn.TEXTJOIN(keydelim,TRUE,"Other",R$10,$F215,$D215),#REF!,0)),
INDEX(#REF!,MATCH(_xlfn.TEXTJOIN(keydelim,TRUE,"Other",R$10,$F215,$D215),#REF!,0))+
INDEX(#REF!,MATCH(_xlfn.TEXTJOIN(keydelim,TRUE,"Other",R$10,$F215,$D215),#REF!,0))*R$214)
)))</f>
        <v>0</v>
      </c>
      <c r="X215" s="16" t="s">
        <v>399</v>
      </c>
      <c r="Y215" s="224" t="s">
        <v>178</v>
      </c>
      <c r="Z215" s="298" t="s">
        <v>402</v>
      </c>
      <c r="AA215" s="116" cm="1">
        <f t="array" aca="1" ref="AA215" ca="1">_xlfn.IFS(AA$25="Manual",AA349,
AA$25="Regression",
MAX(0,
IFERROR(MIN(INDEX(#REF!,MATCH(_xlfn.TEXTJOIN(keydelim,TRUE,AA$9,AA$10,$F215,$D215),#REF!,0)),
INDEX(#REF!,MATCH(_xlfn.TEXTJOIN(keydelim,TRUE,AA$9,AA$10,$F215,$D215),#REF!,0))+
INDEX(#REF!,MATCH(_xlfn.TEXTJOIN(keydelim,TRUE,AA$9,AA$10,$F215,$D215),#REF!,0))*AA$214),
MIN(INDEX(#REF!,MATCH(_xlfn.TEXTJOIN(keydelim,TRUE,"Other",AA$10,$F215,$D215),#REF!,0)),
INDEX(#REF!,MATCH(_xlfn.TEXTJOIN(keydelim,TRUE,"Other",AA$10,$F215,$D215),#REF!,0))+
INDEX(#REF!,MATCH(_xlfn.TEXTJOIN(keydelim,TRUE,"Other",AA$10,$F215,$D215),#REF!,0))*AA$214)
)))</f>
        <v>0</v>
      </c>
      <c r="AB215" s="116" cm="1">
        <f t="array" aca="1" ref="AB215" ca="1">_xlfn.IFS(AB$25="Manual",AA215,
AB$25="Regression",
MAX(0,
IFERROR(MIN(INDEX(#REF!,MATCH(_xlfn.TEXTJOIN(keydelim,TRUE,AB$9,AB$10,$F215,$D215),#REF!,0)),
INDEX(#REF!,MATCH(_xlfn.TEXTJOIN(keydelim,TRUE,AB$9,AB$10,$F215,$D215),#REF!,0))+
INDEX(#REF!,MATCH(_xlfn.TEXTJOIN(keydelim,TRUE,AB$9,AB$10,$F215,$D215),#REF!,0))*AB$214),
MIN(INDEX(#REF!,MATCH(_xlfn.TEXTJOIN(keydelim,TRUE,"Other",AB$10,$F215,$D215),#REF!,0)),
INDEX(#REF!,MATCH(_xlfn.TEXTJOIN(keydelim,TRUE,"Other",AB$10,$F215,$D215),#REF!,0))+
INDEX(#REF!,MATCH(_xlfn.TEXTJOIN(keydelim,TRUE,"Other",AB$10,$F215,$D215),#REF!,0))*AB$214)
)))</f>
        <v>0</v>
      </c>
      <c r="AC215" s="116" cm="1">
        <f t="array" aca="1" ref="AC215" ca="1">_xlfn.IFS(AC$25="Manual",AB215,
AC$25="Regression",
MAX(0,
IFERROR(MIN(INDEX(#REF!,MATCH(_xlfn.TEXTJOIN(keydelim,TRUE,AC$9,AC$10,$F215,$D215),#REF!,0)),
INDEX(#REF!,MATCH(_xlfn.TEXTJOIN(keydelim,TRUE,AC$9,AC$10,$F215,$D215),#REF!,0))+
INDEX(#REF!,MATCH(_xlfn.TEXTJOIN(keydelim,TRUE,AC$9,AC$10,$F215,$D215),#REF!,0))*AC$214),
MIN(INDEX(#REF!,MATCH(_xlfn.TEXTJOIN(keydelim,TRUE,"Other",AC$10,$F215,$D215),#REF!,0)),
INDEX(#REF!,MATCH(_xlfn.TEXTJOIN(keydelim,TRUE,"Other",AC$10,$F215,$D215),#REF!,0))+
INDEX(#REF!,MATCH(_xlfn.TEXTJOIN(keydelim,TRUE,"Other",AC$10,$F215,$D215),#REF!,0))*AC$214)
)))</f>
        <v>0</v>
      </c>
      <c r="AD215" s="116" cm="1">
        <f t="array" aca="1" ref="AD215" ca="1">_xlfn.IFS(AD$25="Manual",AC215,
AD$25="Regression",
MAX(0,
IFERROR(MIN(INDEX(#REF!,MATCH(_xlfn.TEXTJOIN(keydelim,TRUE,AD$9,AD$10,$F215,$D215),#REF!,0)),
INDEX(#REF!,MATCH(_xlfn.TEXTJOIN(keydelim,TRUE,AD$9,AD$10,$F215,$D215),#REF!,0))+
INDEX(#REF!,MATCH(_xlfn.TEXTJOIN(keydelim,TRUE,AD$9,AD$10,$F215,$D215),#REF!,0))*AD$214),
MIN(INDEX(#REF!,MATCH(_xlfn.TEXTJOIN(keydelim,TRUE,"Other",AD$10,$F215,$D215),#REF!,0)),
INDEX(#REF!,MATCH(_xlfn.TEXTJOIN(keydelim,TRUE,"Other",AD$10,$F215,$D215),#REF!,0))+
INDEX(#REF!,MATCH(_xlfn.TEXTJOIN(keydelim,TRUE,"Other",AD$10,$F215,$D215),#REF!,0))*AD$214)
)))</f>
        <v>0</v>
      </c>
      <c r="AE215" s="116" cm="1">
        <f t="array" aca="1" ref="AE215" ca="1">_xlfn.IFS(AE$25="Manual",AD215,
AE$25="Regression",
MAX(0,
IFERROR(MIN(INDEX(#REF!,MATCH(_xlfn.TEXTJOIN(keydelim,TRUE,AE$9,AE$10,$F215,$D215),#REF!,0)),
INDEX(#REF!,MATCH(_xlfn.TEXTJOIN(keydelim,TRUE,AE$9,AE$10,$F215,$D215),#REF!,0))+
INDEX(#REF!,MATCH(_xlfn.TEXTJOIN(keydelim,TRUE,AE$9,AE$10,$F215,$D215),#REF!,0))*AE$214),
MIN(INDEX(#REF!,MATCH(_xlfn.TEXTJOIN(keydelim,TRUE,"Other",AE$10,$F215,$D215),#REF!,0)),
INDEX(#REF!,MATCH(_xlfn.TEXTJOIN(keydelim,TRUE,"Other",AE$10,$F215,$D215),#REF!,0))+
INDEX(#REF!,MATCH(_xlfn.TEXTJOIN(keydelim,TRUE,"Other",AE$10,$F215,$D215),#REF!,0))*AE$214)
)))</f>
        <v>0</v>
      </c>
      <c r="AF215" s="116" cm="1">
        <f t="array" aca="1" ref="AF215" ca="1">_xlfn.IFS(AF$25="Manual",AE215,
AF$25="Regression",
MAX(0,
IFERROR(MIN(INDEX(#REF!,MATCH(_xlfn.TEXTJOIN(keydelim,TRUE,AF$9,AF$10,$F215,$D215),#REF!,0)),
INDEX(#REF!,MATCH(_xlfn.TEXTJOIN(keydelim,TRUE,AF$9,AF$10,$F215,$D215),#REF!,0))+
INDEX(#REF!,MATCH(_xlfn.TEXTJOIN(keydelim,TRUE,AF$9,AF$10,$F215,$D215),#REF!,0))*AF$214),
MIN(INDEX(#REF!,MATCH(_xlfn.TEXTJOIN(keydelim,TRUE,"Other",AF$10,$F215,$D215),#REF!,0)),
INDEX(#REF!,MATCH(_xlfn.TEXTJOIN(keydelim,TRUE,"Other",AF$10,$F215,$D215),#REF!,0))+
INDEX(#REF!,MATCH(_xlfn.TEXTJOIN(keydelim,TRUE,"Other",AF$10,$F215,$D215),#REF!,0))*AF$214)
)))</f>
        <v>0</v>
      </c>
      <c r="AG215" s="116" cm="1">
        <f t="array" aca="1" ref="AG215" ca="1">_xlfn.IFS(AG$25="Manual",AF215,
AG$25="Regression",
MAX(0,
IFERROR(MIN(INDEX(#REF!,MATCH(_xlfn.TEXTJOIN(keydelim,TRUE,AG$9,AG$10,$F215,$D215),#REF!,0)),
INDEX(#REF!,MATCH(_xlfn.TEXTJOIN(keydelim,TRUE,AG$9,AG$10,$F215,$D215),#REF!,0))+
INDEX(#REF!,MATCH(_xlfn.TEXTJOIN(keydelim,TRUE,AG$9,AG$10,$F215,$D215),#REF!,0))*AG$214),
MIN(INDEX(#REF!,MATCH(_xlfn.TEXTJOIN(keydelim,TRUE,"Other",AG$10,$F215,$D215),#REF!,0)),
INDEX(#REF!,MATCH(_xlfn.TEXTJOIN(keydelim,TRUE,"Other",AG$10,$F215,$D215),#REF!,0))+
INDEX(#REF!,MATCH(_xlfn.TEXTJOIN(keydelim,TRUE,"Other",AG$10,$F215,$D215),#REF!,0))*AG$214)
)))</f>
        <v>0</v>
      </c>
      <c r="AH215" s="116" cm="1">
        <f t="array" aca="1" ref="AH215" ca="1">_xlfn.IFS(AH$25="Manual",AG215,
AH$25="Regression",
MAX(0,
IFERROR(MIN(INDEX(#REF!,MATCH(_xlfn.TEXTJOIN(keydelim,TRUE,AH$9,AH$10,$F215,$D215),#REF!,0)),
INDEX(#REF!,MATCH(_xlfn.TEXTJOIN(keydelim,TRUE,AH$9,AH$10,$F215,$D215),#REF!,0))+
INDEX(#REF!,MATCH(_xlfn.TEXTJOIN(keydelim,TRUE,AH$9,AH$10,$F215,$D215),#REF!,0))*AH$214),
MIN(INDEX(#REF!,MATCH(_xlfn.TEXTJOIN(keydelim,TRUE,"Other",AH$10,$F215,$D215),#REF!,0)),
INDEX(#REF!,MATCH(_xlfn.TEXTJOIN(keydelim,TRUE,"Other",AH$10,$F215,$D215),#REF!,0))+
INDEX(#REF!,MATCH(_xlfn.TEXTJOIN(keydelim,TRUE,"Other",AH$10,$F215,$D215),#REF!,0))*AH$214)
)))</f>
        <v>0</v>
      </c>
      <c r="AI215" s="116" cm="1">
        <f t="array" aca="1" ref="AI215" ca="1">_xlfn.IFS(AI$25="Manual",AH215,
AI$25="Regression",
MAX(0,
IFERROR(MIN(INDEX(#REF!,MATCH(_xlfn.TEXTJOIN(keydelim,TRUE,AI$9,AI$10,$F215,$D215),#REF!,0)),
INDEX(#REF!,MATCH(_xlfn.TEXTJOIN(keydelim,TRUE,AI$9,AI$10,$F215,$D215),#REF!,0))+
INDEX(#REF!,MATCH(_xlfn.TEXTJOIN(keydelim,TRUE,AI$9,AI$10,$F215,$D215),#REF!,0))*AI$214),
MIN(INDEX(#REF!,MATCH(_xlfn.TEXTJOIN(keydelim,TRUE,"Other",AI$10,$F215,$D215),#REF!,0)),
INDEX(#REF!,MATCH(_xlfn.TEXTJOIN(keydelim,TRUE,"Other",AI$10,$F215,$D215),#REF!,0))+
INDEX(#REF!,MATCH(_xlfn.TEXTJOIN(keydelim,TRUE,"Other",AI$10,$F215,$D215),#REF!,0))*AI$214)
)))</f>
        <v>0</v>
      </c>
      <c r="AJ215" s="116" cm="1">
        <f t="array" aca="1" ref="AJ215" ca="1">_xlfn.IFS(AJ$25="Manual",AI215,
AJ$25="Regression",
MAX(0,
IFERROR(MIN(INDEX(#REF!,MATCH(_xlfn.TEXTJOIN(keydelim,TRUE,AJ$9,AJ$10,$F215,$D215),#REF!,0)),
INDEX(#REF!,MATCH(_xlfn.TEXTJOIN(keydelim,TRUE,AJ$9,AJ$10,$F215,$D215),#REF!,0))+
INDEX(#REF!,MATCH(_xlfn.TEXTJOIN(keydelim,TRUE,AJ$9,AJ$10,$F215,$D215),#REF!,0))*AJ$214),
MIN(INDEX(#REF!,MATCH(_xlfn.TEXTJOIN(keydelim,TRUE,"Other",AJ$10,$F215,$D215),#REF!,0)),
INDEX(#REF!,MATCH(_xlfn.TEXTJOIN(keydelim,TRUE,"Other",AJ$10,$F215,$D215),#REF!,0))+
INDEX(#REF!,MATCH(_xlfn.TEXTJOIN(keydelim,TRUE,"Other",AJ$10,$F215,$D215),#REF!,0))*AJ$214)
)))</f>
        <v>0</v>
      </c>
      <c r="AK215" s="116" cm="1">
        <f t="array" aca="1" ref="AK215" ca="1">_xlfn.IFS(AK$25="Manual",AJ215,
AK$25="Regression",
MAX(0,
IFERROR(MIN(INDEX(#REF!,MATCH(_xlfn.TEXTJOIN(keydelim,TRUE,AK$9,AK$10,$F215,$D215),#REF!,0)),
INDEX(#REF!,MATCH(_xlfn.TEXTJOIN(keydelim,TRUE,AK$9,AK$10,$F215,$D215),#REF!,0))+
INDEX(#REF!,MATCH(_xlfn.TEXTJOIN(keydelim,TRUE,AK$9,AK$10,$F215,$D215),#REF!,0))*AK$214),
MIN(INDEX(#REF!,MATCH(_xlfn.TEXTJOIN(keydelim,TRUE,"Other",AK$10,$F215,$D215),#REF!,0)),
INDEX(#REF!,MATCH(_xlfn.TEXTJOIN(keydelim,TRUE,"Other",AK$10,$F215,$D215),#REF!,0))+
INDEX(#REF!,MATCH(_xlfn.TEXTJOIN(keydelim,TRUE,"Other",AK$10,$F215,$D215),#REF!,0))*AK$214)
)))</f>
        <v>0</v>
      </c>
      <c r="AL215" s="116" cm="1">
        <f t="array" aca="1" ref="AL215" ca="1">_xlfn.IFS(AL$25="Manual",AK215,
AL$25="Regression",
MAX(0,
IFERROR(MIN(INDEX(#REF!,MATCH(_xlfn.TEXTJOIN(keydelim,TRUE,AL$9,AL$10,$F215,$D215),#REF!,0)),
INDEX(#REF!,MATCH(_xlfn.TEXTJOIN(keydelim,TRUE,AL$9,AL$10,$F215,$D215),#REF!,0))+
INDEX(#REF!,MATCH(_xlfn.TEXTJOIN(keydelim,TRUE,AL$9,AL$10,$F215,$D215),#REF!,0))*AL$214),
MIN(INDEX(#REF!,MATCH(_xlfn.TEXTJOIN(keydelim,TRUE,"Other",AL$10,$F215,$D215),#REF!,0)),
INDEX(#REF!,MATCH(_xlfn.TEXTJOIN(keydelim,TRUE,"Other",AL$10,$F215,$D215),#REF!,0))+
INDEX(#REF!,MATCH(_xlfn.TEXTJOIN(keydelim,TRUE,"Other",AL$10,$F215,$D215),#REF!,0))*AL$214)
)))</f>
        <v>0</v>
      </c>
      <c r="AR215" s="16" t="s">
        <v>399</v>
      </c>
      <c r="AS215" s="224" t="s">
        <v>178</v>
      </c>
      <c r="AT215" s="298" t="s">
        <v>402</v>
      </c>
      <c r="AU215" s="116" cm="1">
        <f t="array" aca="1" ref="AU215" ca="1">_xlfn.IFS(AU$25="Manual",AU349,
AU$25="Regression",
MAX(0,
IFERROR(MIN(INDEX(#REF!,MATCH(_xlfn.TEXTJOIN(keydelim,TRUE,AU$9,AU$10,$F215,$D215),#REF!,0)),
INDEX(#REF!,MATCH(_xlfn.TEXTJOIN(keydelim,TRUE,AU$9,AU$10,$F215,$D215),#REF!,0))+
INDEX(#REF!,MATCH(_xlfn.TEXTJOIN(keydelim,TRUE,AU$9,AU$10,$F215,$D215),#REF!,0))*AU$214),
MIN(INDEX(#REF!,MATCH(_xlfn.TEXTJOIN(keydelim,TRUE,"Other",AU$10,$F215,$D215),#REF!,0)),
INDEX(#REF!,MATCH(_xlfn.TEXTJOIN(keydelim,TRUE,"Other",AU$10,$F215,$D215),#REF!,0))+
INDEX(#REF!,MATCH(_xlfn.TEXTJOIN(keydelim,TRUE,"Other",AU$10,$F215,$D215),#REF!,0))*AU$214)
)))</f>
        <v>0</v>
      </c>
      <c r="AV215" s="116" cm="1">
        <f t="array" aca="1" ref="AV215" ca="1">_xlfn.IFS(AV$25="Manual",AU215,
AV$25="Regression",
MAX(0,
IFERROR(MIN(INDEX(#REF!,MATCH(_xlfn.TEXTJOIN(keydelim,TRUE,AV$9,AV$10,$F215,$D215),#REF!,0)),
INDEX(#REF!,MATCH(_xlfn.TEXTJOIN(keydelim,TRUE,AV$9,AV$10,$F215,$D215),#REF!,0))+
INDEX(#REF!,MATCH(_xlfn.TEXTJOIN(keydelim,TRUE,AV$9,AV$10,$F215,$D215),#REF!,0))*AV$214),
MIN(INDEX(#REF!,MATCH(_xlfn.TEXTJOIN(keydelim,TRUE,"Other",AV$10,$F215,$D215),#REF!,0)),
INDEX(#REF!,MATCH(_xlfn.TEXTJOIN(keydelim,TRUE,"Other",AV$10,$F215,$D215),#REF!,0))+
INDEX(#REF!,MATCH(_xlfn.TEXTJOIN(keydelim,TRUE,"Other",AV$10,$F215,$D215),#REF!,0))*AV$214)
)))</f>
        <v>0</v>
      </c>
      <c r="AW215" s="116" cm="1">
        <f t="array" aca="1" ref="AW215" ca="1">_xlfn.IFS(AW$25="Manual",AV215,
AW$25="Regression",
MAX(0,
IFERROR(MIN(INDEX(#REF!,MATCH(_xlfn.TEXTJOIN(keydelim,TRUE,AW$9,AW$10,$F215,$D215),#REF!,0)),
INDEX(#REF!,MATCH(_xlfn.TEXTJOIN(keydelim,TRUE,AW$9,AW$10,$F215,$D215),#REF!,0))+
INDEX(#REF!,MATCH(_xlfn.TEXTJOIN(keydelim,TRUE,AW$9,AW$10,$F215,$D215),#REF!,0))*AW$214),
MIN(INDEX(#REF!,MATCH(_xlfn.TEXTJOIN(keydelim,TRUE,"Other",AW$10,$F215,$D215),#REF!,0)),
INDEX(#REF!,MATCH(_xlfn.TEXTJOIN(keydelim,TRUE,"Other",AW$10,$F215,$D215),#REF!,0))+
INDEX(#REF!,MATCH(_xlfn.TEXTJOIN(keydelim,TRUE,"Other",AW$10,$F215,$D215),#REF!,0))*AW$214)
)))</f>
        <v>0</v>
      </c>
      <c r="AX215" s="116" cm="1">
        <f t="array" aca="1" ref="AX215" ca="1">_xlfn.IFS(AX$25="Manual",AW215,
AX$25="Regression",
MAX(0,
IFERROR(MIN(INDEX(#REF!,MATCH(_xlfn.TEXTJOIN(keydelim,TRUE,AX$9,AX$10,$F215,$D215),#REF!,0)),
INDEX(#REF!,MATCH(_xlfn.TEXTJOIN(keydelim,TRUE,AX$9,AX$10,$F215,$D215),#REF!,0))+
INDEX(#REF!,MATCH(_xlfn.TEXTJOIN(keydelim,TRUE,AX$9,AX$10,$F215,$D215),#REF!,0))*AX$214),
MIN(INDEX(#REF!,MATCH(_xlfn.TEXTJOIN(keydelim,TRUE,"Other",AX$10,$F215,$D215),#REF!,0)),
INDEX(#REF!,MATCH(_xlfn.TEXTJOIN(keydelim,TRUE,"Other",AX$10,$F215,$D215),#REF!,0))+
INDEX(#REF!,MATCH(_xlfn.TEXTJOIN(keydelim,TRUE,"Other",AX$10,$F215,$D215),#REF!,0))*AX$214)
)))</f>
        <v>0</v>
      </c>
      <c r="AY215" s="116" cm="1">
        <f t="array" aca="1" ref="AY215" ca="1">_xlfn.IFS(AY$25="Manual",AX215,
AY$25="Regression",
MAX(0,
IFERROR(MIN(INDEX(#REF!,MATCH(_xlfn.TEXTJOIN(keydelim,TRUE,AY$9,AY$10,$F215,$D215),#REF!,0)),
INDEX(#REF!,MATCH(_xlfn.TEXTJOIN(keydelim,TRUE,AY$9,AY$10,$F215,$D215),#REF!,0))+
INDEX(#REF!,MATCH(_xlfn.TEXTJOIN(keydelim,TRUE,AY$9,AY$10,$F215,$D215),#REF!,0))*AY$214),
MIN(INDEX(#REF!,MATCH(_xlfn.TEXTJOIN(keydelim,TRUE,"Other",AY$10,$F215,$D215),#REF!,0)),
INDEX(#REF!,MATCH(_xlfn.TEXTJOIN(keydelim,TRUE,"Other",AY$10,$F215,$D215),#REF!,0))+
INDEX(#REF!,MATCH(_xlfn.TEXTJOIN(keydelim,TRUE,"Other",AY$10,$F215,$D215),#REF!,0))*AY$214)
)))</f>
        <v>0</v>
      </c>
      <c r="AZ215" s="116" cm="1">
        <f t="array" aca="1" ref="AZ215" ca="1">_xlfn.IFS(AZ$25="Manual",AY215,
AZ$25="Regression",
MAX(0,
IFERROR(MIN(INDEX(#REF!,MATCH(_xlfn.TEXTJOIN(keydelim,TRUE,AZ$9,AZ$10,$F215,$D215),#REF!,0)),
INDEX(#REF!,MATCH(_xlfn.TEXTJOIN(keydelim,TRUE,AZ$9,AZ$10,$F215,$D215),#REF!,0))+
INDEX(#REF!,MATCH(_xlfn.TEXTJOIN(keydelim,TRUE,AZ$9,AZ$10,$F215,$D215),#REF!,0))*AZ$214),
MIN(INDEX(#REF!,MATCH(_xlfn.TEXTJOIN(keydelim,TRUE,"Other",AZ$10,$F215,$D215),#REF!,0)),
INDEX(#REF!,MATCH(_xlfn.TEXTJOIN(keydelim,TRUE,"Other",AZ$10,$F215,$D215),#REF!,0))+
INDEX(#REF!,MATCH(_xlfn.TEXTJOIN(keydelim,TRUE,"Other",AZ$10,$F215,$D215),#REF!,0))*AZ$214)
)))</f>
        <v>0</v>
      </c>
      <c r="BA215" s="116" cm="1">
        <f t="array" aca="1" ref="BA215" ca="1">_xlfn.IFS(BA$25="Manual",AZ215,
BA$25="Regression",
MAX(0,
IFERROR(MIN(INDEX(#REF!,MATCH(_xlfn.TEXTJOIN(keydelim,TRUE,BA$9,BA$10,$F215,$D215),#REF!,0)),
INDEX(#REF!,MATCH(_xlfn.TEXTJOIN(keydelim,TRUE,BA$9,BA$10,$F215,$D215),#REF!,0))+
INDEX(#REF!,MATCH(_xlfn.TEXTJOIN(keydelim,TRUE,BA$9,BA$10,$F215,$D215),#REF!,0))*BA$214),
MIN(INDEX(#REF!,MATCH(_xlfn.TEXTJOIN(keydelim,TRUE,"Other",BA$10,$F215,$D215),#REF!,0)),
INDEX(#REF!,MATCH(_xlfn.TEXTJOIN(keydelim,TRUE,"Other",BA$10,$F215,$D215),#REF!,0))+
INDEX(#REF!,MATCH(_xlfn.TEXTJOIN(keydelim,TRUE,"Other",BA$10,$F215,$D215),#REF!,0))*BA$214)
)))</f>
        <v>0</v>
      </c>
      <c r="BB215" s="116" cm="1">
        <f t="array" aca="1" ref="BB215" ca="1">_xlfn.IFS(BB$25="Manual",BA215,
BB$25="Regression",
MAX(0,
IFERROR(MIN(INDEX(#REF!,MATCH(_xlfn.TEXTJOIN(keydelim,TRUE,BB$9,BB$10,$F215,$D215),#REF!,0)),
INDEX(#REF!,MATCH(_xlfn.TEXTJOIN(keydelim,TRUE,BB$9,BB$10,$F215,$D215),#REF!,0))+
INDEX(#REF!,MATCH(_xlfn.TEXTJOIN(keydelim,TRUE,BB$9,BB$10,$F215,$D215),#REF!,0))*BB$214),
MIN(INDEX(#REF!,MATCH(_xlfn.TEXTJOIN(keydelim,TRUE,"Other",BB$10,$F215,$D215),#REF!,0)),
INDEX(#REF!,MATCH(_xlfn.TEXTJOIN(keydelim,TRUE,"Other",BB$10,$F215,$D215),#REF!,0))+
INDEX(#REF!,MATCH(_xlfn.TEXTJOIN(keydelim,TRUE,"Other",BB$10,$F215,$D215),#REF!,0))*BB$214)
)))</f>
        <v>0</v>
      </c>
      <c r="BC215" s="116" cm="1">
        <f t="array" aca="1" ref="BC215" ca="1">_xlfn.IFS(BC$25="Manual",BB215,
BC$25="Regression",
MAX(0,
IFERROR(MIN(INDEX(#REF!,MATCH(_xlfn.TEXTJOIN(keydelim,TRUE,BC$9,BC$10,$F215,$D215),#REF!,0)),
INDEX(#REF!,MATCH(_xlfn.TEXTJOIN(keydelim,TRUE,BC$9,BC$10,$F215,$D215),#REF!,0))+
INDEX(#REF!,MATCH(_xlfn.TEXTJOIN(keydelim,TRUE,BC$9,BC$10,$F215,$D215),#REF!,0))*BC$214),
MIN(INDEX(#REF!,MATCH(_xlfn.TEXTJOIN(keydelim,TRUE,"Other",BC$10,$F215,$D215),#REF!,0)),
INDEX(#REF!,MATCH(_xlfn.TEXTJOIN(keydelim,TRUE,"Other",BC$10,$F215,$D215),#REF!,0))+
INDEX(#REF!,MATCH(_xlfn.TEXTJOIN(keydelim,TRUE,"Other",BC$10,$F215,$D215),#REF!,0))*BC$214)
)))</f>
        <v>0</v>
      </c>
      <c r="BD215" s="116" cm="1">
        <f t="array" aca="1" ref="BD215" ca="1">_xlfn.IFS(BD$25="Manual",BC215,
BD$25="Regression",
MAX(0,
IFERROR(MIN(INDEX(#REF!,MATCH(_xlfn.TEXTJOIN(keydelim,TRUE,BD$9,BD$10,$F215,$D215),#REF!,0)),
INDEX(#REF!,MATCH(_xlfn.TEXTJOIN(keydelim,TRUE,BD$9,BD$10,$F215,$D215),#REF!,0))+
INDEX(#REF!,MATCH(_xlfn.TEXTJOIN(keydelim,TRUE,BD$9,BD$10,$F215,$D215),#REF!,0))*BD$214),
MIN(INDEX(#REF!,MATCH(_xlfn.TEXTJOIN(keydelim,TRUE,"Other",BD$10,$F215,$D215),#REF!,0)),
INDEX(#REF!,MATCH(_xlfn.TEXTJOIN(keydelim,TRUE,"Other",BD$10,$F215,$D215),#REF!,0))+
INDEX(#REF!,MATCH(_xlfn.TEXTJOIN(keydelim,TRUE,"Other",BD$10,$F215,$D215),#REF!,0))*BD$214)
)))</f>
        <v>0</v>
      </c>
      <c r="BE215" s="116" cm="1">
        <f t="array" aca="1" ref="BE215" ca="1">_xlfn.IFS(BE$25="Manual",BD215,
BE$25="Regression",
MAX(0,
IFERROR(MIN(INDEX(#REF!,MATCH(_xlfn.TEXTJOIN(keydelim,TRUE,BE$9,BE$10,$F215,$D215),#REF!,0)),
INDEX(#REF!,MATCH(_xlfn.TEXTJOIN(keydelim,TRUE,BE$9,BE$10,$F215,$D215),#REF!,0))+
INDEX(#REF!,MATCH(_xlfn.TEXTJOIN(keydelim,TRUE,BE$9,BE$10,$F215,$D215),#REF!,0))*BE$214),
MIN(INDEX(#REF!,MATCH(_xlfn.TEXTJOIN(keydelim,TRUE,"Other",BE$10,$F215,$D215),#REF!,0)),
INDEX(#REF!,MATCH(_xlfn.TEXTJOIN(keydelim,TRUE,"Other",BE$10,$F215,$D215),#REF!,0))+
INDEX(#REF!,MATCH(_xlfn.TEXTJOIN(keydelim,TRUE,"Other",BE$10,$F215,$D215),#REF!,0))*BE$214)
)))</f>
        <v>0</v>
      </c>
      <c r="BF215" s="116" cm="1">
        <f t="array" aca="1" ref="BF215" ca="1">_xlfn.IFS(BF$25="Manual",BE215,
BF$25="Regression",
MAX(0,
IFERROR(MIN(INDEX(#REF!,MATCH(_xlfn.TEXTJOIN(keydelim,TRUE,BF$9,BF$10,$F215,$D215),#REF!,0)),
INDEX(#REF!,MATCH(_xlfn.TEXTJOIN(keydelim,TRUE,BF$9,BF$10,$F215,$D215),#REF!,0))+
INDEX(#REF!,MATCH(_xlfn.TEXTJOIN(keydelim,TRUE,BF$9,BF$10,$F215,$D215),#REF!,0))*BF$214),
MIN(INDEX(#REF!,MATCH(_xlfn.TEXTJOIN(keydelim,TRUE,"Other",BF$10,$F215,$D215),#REF!,0)),
INDEX(#REF!,MATCH(_xlfn.TEXTJOIN(keydelim,TRUE,"Other",BF$10,$F215,$D215),#REF!,0))+
INDEX(#REF!,MATCH(_xlfn.TEXTJOIN(keydelim,TRUE,"Other",BF$10,$F215,$D215),#REF!,0))*BF$214)
)))</f>
        <v>0</v>
      </c>
      <c r="BL215" s="16" t="s">
        <v>399</v>
      </c>
      <c r="BM215" s="224" t="s">
        <v>178</v>
      </c>
      <c r="BN215" s="298" t="s">
        <v>402</v>
      </c>
      <c r="BO215" s="116" cm="1">
        <f t="array" aca="1" ref="BO215" ca="1">_xlfn.IFS(BO$25="Manual",BO349,
BO$25="Regression",
MAX(0,
IFERROR(MIN(INDEX(#REF!,MATCH(_xlfn.TEXTJOIN(keydelim,TRUE,BO$9,BO$10,$F215,$D215),#REF!,0)),
INDEX(#REF!,MATCH(_xlfn.TEXTJOIN(keydelim,TRUE,BO$9,BO$10,$F215,$D215),#REF!,0))+
INDEX(#REF!,MATCH(_xlfn.TEXTJOIN(keydelim,TRUE,BO$9,BO$10,$F215,$D215),#REF!,0))*BO$214),
MIN(INDEX(#REF!,MATCH(_xlfn.TEXTJOIN(keydelim,TRUE,"Other",BO$10,$F215,$D215),#REF!,0)),
INDEX(#REF!,MATCH(_xlfn.TEXTJOIN(keydelim,TRUE,"Other",BO$10,$F215,$D215),#REF!,0))+
INDEX(#REF!,MATCH(_xlfn.TEXTJOIN(keydelim,TRUE,"Other",BO$10,$F215,$D215),#REF!,0))*BO$214)
)))</f>
        <v>0</v>
      </c>
      <c r="BP215" s="116" cm="1">
        <f t="array" aca="1" ref="BP215" ca="1">_xlfn.IFS(BP$25="Manual",BO215,
BP$25="Regression",
MAX(0,
IFERROR(MIN(INDEX(#REF!,MATCH(_xlfn.TEXTJOIN(keydelim,TRUE,BP$9,BP$10,$F215,$D215),#REF!,0)),
INDEX(#REF!,MATCH(_xlfn.TEXTJOIN(keydelim,TRUE,BP$9,BP$10,$F215,$D215),#REF!,0))+
INDEX(#REF!,MATCH(_xlfn.TEXTJOIN(keydelim,TRUE,BP$9,BP$10,$F215,$D215),#REF!,0))*BP$214),
MIN(INDEX(#REF!,MATCH(_xlfn.TEXTJOIN(keydelim,TRUE,"Other",BP$10,$F215,$D215),#REF!,0)),
INDEX(#REF!,MATCH(_xlfn.TEXTJOIN(keydelim,TRUE,"Other",BP$10,$F215,$D215),#REF!,0))+
INDEX(#REF!,MATCH(_xlfn.TEXTJOIN(keydelim,TRUE,"Other",BP$10,$F215,$D215),#REF!,0))*BP$214)
)))</f>
        <v>0</v>
      </c>
      <c r="BQ215" s="116" cm="1">
        <f t="array" aca="1" ref="BQ215" ca="1">_xlfn.IFS(BQ$25="Manual",BP215,
BQ$25="Regression",
MAX(0,
IFERROR(MIN(INDEX(#REF!,MATCH(_xlfn.TEXTJOIN(keydelim,TRUE,BQ$9,BQ$10,$F215,$D215),#REF!,0)),
INDEX(#REF!,MATCH(_xlfn.TEXTJOIN(keydelim,TRUE,BQ$9,BQ$10,$F215,$D215),#REF!,0))+
INDEX(#REF!,MATCH(_xlfn.TEXTJOIN(keydelim,TRUE,BQ$9,BQ$10,$F215,$D215),#REF!,0))*BQ$214),
MIN(INDEX(#REF!,MATCH(_xlfn.TEXTJOIN(keydelim,TRUE,"Other",BQ$10,$F215,$D215),#REF!,0)),
INDEX(#REF!,MATCH(_xlfn.TEXTJOIN(keydelim,TRUE,"Other",BQ$10,$F215,$D215),#REF!,0))+
INDEX(#REF!,MATCH(_xlfn.TEXTJOIN(keydelim,TRUE,"Other",BQ$10,$F215,$D215),#REF!,0))*BQ$214)
)))</f>
        <v>0</v>
      </c>
      <c r="BR215" s="116" cm="1">
        <f t="array" aca="1" ref="BR215" ca="1">_xlfn.IFS(BR$25="Manual",BQ215,
BR$25="Regression",
MAX(0,
IFERROR(MIN(INDEX(#REF!,MATCH(_xlfn.TEXTJOIN(keydelim,TRUE,BR$9,BR$10,$F215,$D215),#REF!,0)),
INDEX(#REF!,MATCH(_xlfn.TEXTJOIN(keydelim,TRUE,BR$9,BR$10,$F215,$D215),#REF!,0))+
INDEX(#REF!,MATCH(_xlfn.TEXTJOIN(keydelim,TRUE,BR$9,BR$10,$F215,$D215),#REF!,0))*BR$214),
MIN(INDEX(#REF!,MATCH(_xlfn.TEXTJOIN(keydelim,TRUE,"Other",BR$10,$F215,$D215),#REF!,0)),
INDEX(#REF!,MATCH(_xlfn.TEXTJOIN(keydelim,TRUE,"Other",BR$10,$F215,$D215),#REF!,0))+
INDEX(#REF!,MATCH(_xlfn.TEXTJOIN(keydelim,TRUE,"Other",BR$10,$F215,$D215),#REF!,0))*BR$214)
)))</f>
        <v>0</v>
      </c>
      <c r="BS215" s="116" cm="1">
        <f t="array" aca="1" ref="BS215" ca="1">_xlfn.IFS(BS$25="Manual",BR215,
BS$25="Regression",
MAX(0,
IFERROR(MIN(INDEX(#REF!,MATCH(_xlfn.TEXTJOIN(keydelim,TRUE,BS$9,BS$10,$F215,$D215),#REF!,0)),
INDEX(#REF!,MATCH(_xlfn.TEXTJOIN(keydelim,TRUE,BS$9,BS$10,$F215,$D215),#REF!,0))+
INDEX(#REF!,MATCH(_xlfn.TEXTJOIN(keydelim,TRUE,BS$9,BS$10,$F215,$D215),#REF!,0))*BS$214),
MIN(INDEX(#REF!,MATCH(_xlfn.TEXTJOIN(keydelim,TRUE,"Other",BS$10,$F215,$D215),#REF!,0)),
INDEX(#REF!,MATCH(_xlfn.TEXTJOIN(keydelim,TRUE,"Other",BS$10,$F215,$D215),#REF!,0))+
INDEX(#REF!,MATCH(_xlfn.TEXTJOIN(keydelim,TRUE,"Other",BS$10,$F215,$D215),#REF!,0))*BS$214)
)))</f>
        <v>0</v>
      </c>
      <c r="BT215" s="116" cm="1">
        <f t="array" aca="1" ref="BT215" ca="1">_xlfn.IFS(BT$25="Manual",BS215,
BT$25="Regression",
MAX(0,
IFERROR(MIN(INDEX(#REF!,MATCH(_xlfn.TEXTJOIN(keydelim,TRUE,BT$9,BT$10,$F215,$D215),#REF!,0)),
INDEX(#REF!,MATCH(_xlfn.TEXTJOIN(keydelim,TRUE,BT$9,BT$10,$F215,$D215),#REF!,0))+
INDEX(#REF!,MATCH(_xlfn.TEXTJOIN(keydelim,TRUE,BT$9,BT$10,$F215,$D215),#REF!,0))*BT$214),
MIN(INDEX(#REF!,MATCH(_xlfn.TEXTJOIN(keydelim,TRUE,"Other",BT$10,$F215,$D215),#REF!,0)),
INDEX(#REF!,MATCH(_xlfn.TEXTJOIN(keydelim,TRUE,"Other",BT$10,$F215,$D215),#REF!,0))+
INDEX(#REF!,MATCH(_xlfn.TEXTJOIN(keydelim,TRUE,"Other",BT$10,$F215,$D215),#REF!,0))*BT$214)
)))</f>
        <v>0</v>
      </c>
      <c r="BU215" s="116" cm="1">
        <f t="array" aca="1" ref="BU215" ca="1">_xlfn.IFS(BU$25="Manual",BT215,
BU$25="Regression",
MAX(0,
IFERROR(MIN(INDEX(#REF!,MATCH(_xlfn.TEXTJOIN(keydelim,TRUE,BU$9,BU$10,$F215,$D215),#REF!,0)),
INDEX(#REF!,MATCH(_xlfn.TEXTJOIN(keydelim,TRUE,BU$9,BU$10,$F215,$D215),#REF!,0))+
INDEX(#REF!,MATCH(_xlfn.TEXTJOIN(keydelim,TRUE,BU$9,BU$10,$F215,$D215),#REF!,0))*BU$214),
MIN(INDEX(#REF!,MATCH(_xlfn.TEXTJOIN(keydelim,TRUE,"Other",BU$10,$F215,$D215),#REF!,0)),
INDEX(#REF!,MATCH(_xlfn.TEXTJOIN(keydelim,TRUE,"Other",BU$10,$F215,$D215),#REF!,0))+
INDEX(#REF!,MATCH(_xlfn.TEXTJOIN(keydelim,TRUE,"Other",BU$10,$F215,$D215),#REF!,0))*BU$214)
)))</f>
        <v>0</v>
      </c>
      <c r="BV215" s="116" cm="1">
        <f t="array" aca="1" ref="BV215" ca="1">_xlfn.IFS(BV$25="Manual",BU215,
BV$25="Regression",
MAX(0,
IFERROR(MIN(INDEX(#REF!,MATCH(_xlfn.TEXTJOIN(keydelim,TRUE,BV$9,BV$10,$F215,$D215),#REF!,0)),
INDEX(#REF!,MATCH(_xlfn.TEXTJOIN(keydelim,TRUE,BV$9,BV$10,$F215,$D215),#REF!,0))+
INDEX(#REF!,MATCH(_xlfn.TEXTJOIN(keydelim,TRUE,BV$9,BV$10,$F215,$D215),#REF!,0))*BV$214),
MIN(INDEX(#REF!,MATCH(_xlfn.TEXTJOIN(keydelim,TRUE,"Other",BV$10,$F215,$D215),#REF!,0)),
INDEX(#REF!,MATCH(_xlfn.TEXTJOIN(keydelim,TRUE,"Other",BV$10,$F215,$D215),#REF!,0))+
INDEX(#REF!,MATCH(_xlfn.TEXTJOIN(keydelim,TRUE,"Other",BV$10,$F215,$D215),#REF!,0))*BV$214)
)))</f>
        <v>0</v>
      </c>
      <c r="BW215" s="116" cm="1">
        <f t="array" aca="1" ref="BW215" ca="1">_xlfn.IFS(BW$25="Manual",BV215,
BW$25="Regression",
MAX(0,
IFERROR(MIN(INDEX(#REF!,MATCH(_xlfn.TEXTJOIN(keydelim,TRUE,BW$9,BW$10,$F215,$D215),#REF!,0)),
INDEX(#REF!,MATCH(_xlfn.TEXTJOIN(keydelim,TRUE,BW$9,BW$10,$F215,$D215),#REF!,0))+
INDEX(#REF!,MATCH(_xlfn.TEXTJOIN(keydelim,TRUE,BW$9,BW$10,$F215,$D215),#REF!,0))*BW$214),
MIN(INDEX(#REF!,MATCH(_xlfn.TEXTJOIN(keydelim,TRUE,"Other",BW$10,$F215,$D215),#REF!,0)),
INDEX(#REF!,MATCH(_xlfn.TEXTJOIN(keydelim,TRUE,"Other",BW$10,$F215,$D215),#REF!,0))+
INDEX(#REF!,MATCH(_xlfn.TEXTJOIN(keydelim,TRUE,"Other",BW$10,$F215,$D215),#REF!,0))*BW$214)
)))</f>
        <v>0</v>
      </c>
      <c r="BX215" s="116" cm="1">
        <f t="array" aca="1" ref="BX215" ca="1">_xlfn.IFS(BX$25="Manual",BW215,
BX$25="Regression",
MAX(0,
IFERROR(MIN(INDEX(#REF!,MATCH(_xlfn.TEXTJOIN(keydelim,TRUE,BX$9,BX$10,$F215,$D215),#REF!,0)),
INDEX(#REF!,MATCH(_xlfn.TEXTJOIN(keydelim,TRUE,BX$9,BX$10,$F215,$D215),#REF!,0))+
INDEX(#REF!,MATCH(_xlfn.TEXTJOIN(keydelim,TRUE,BX$9,BX$10,$F215,$D215),#REF!,0))*BX$214),
MIN(INDEX(#REF!,MATCH(_xlfn.TEXTJOIN(keydelim,TRUE,"Other",BX$10,$F215,$D215),#REF!,0)),
INDEX(#REF!,MATCH(_xlfn.TEXTJOIN(keydelim,TRUE,"Other",BX$10,$F215,$D215),#REF!,0))+
INDEX(#REF!,MATCH(_xlfn.TEXTJOIN(keydelim,TRUE,"Other",BX$10,$F215,$D215),#REF!,0))*BX$214)
)))</f>
        <v>0</v>
      </c>
      <c r="BY215" s="116" cm="1">
        <f t="array" aca="1" ref="BY215" ca="1">_xlfn.IFS(BY$25="Manual",BX215,
BY$25="Regression",
MAX(0,
IFERROR(MIN(INDEX(#REF!,MATCH(_xlfn.TEXTJOIN(keydelim,TRUE,BY$9,BY$10,$F215,$D215),#REF!,0)),
INDEX(#REF!,MATCH(_xlfn.TEXTJOIN(keydelim,TRUE,BY$9,BY$10,$F215,$D215),#REF!,0))+
INDEX(#REF!,MATCH(_xlfn.TEXTJOIN(keydelim,TRUE,BY$9,BY$10,$F215,$D215),#REF!,0))*BY$214),
MIN(INDEX(#REF!,MATCH(_xlfn.TEXTJOIN(keydelim,TRUE,"Other",BY$10,$F215,$D215),#REF!,0)),
INDEX(#REF!,MATCH(_xlfn.TEXTJOIN(keydelim,TRUE,"Other",BY$10,$F215,$D215),#REF!,0))+
INDEX(#REF!,MATCH(_xlfn.TEXTJOIN(keydelim,TRUE,"Other",BY$10,$F215,$D215),#REF!,0))*BY$214)
)))</f>
        <v>0</v>
      </c>
      <c r="BZ215" s="116" cm="1">
        <f t="array" aca="1" ref="BZ215" ca="1">_xlfn.IFS(BZ$25="Manual",BY215,
BZ$25="Regression",
MAX(0,
IFERROR(MIN(INDEX(#REF!,MATCH(_xlfn.TEXTJOIN(keydelim,TRUE,BZ$9,BZ$10,$F215,$D215),#REF!,0)),
INDEX(#REF!,MATCH(_xlfn.TEXTJOIN(keydelim,TRUE,BZ$9,BZ$10,$F215,$D215),#REF!,0))+
INDEX(#REF!,MATCH(_xlfn.TEXTJOIN(keydelim,TRUE,BZ$9,BZ$10,$F215,$D215),#REF!,0))*BZ$214),
MIN(INDEX(#REF!,MATCH(_xlfn.TEXTJOIN(keydelim,TRUE,"Other",BZ$10,$F215,$D215),#REF!,0)),
INDEX(#REF!,MATCH(_xlfn.TEXTJOIN(keydelim,TRUE,"Other",BZ$10,$F215,$D215),#REF!,0))+
INDEX(#REF!,MATCH(_xlfn.TEXTJOIN(keydelim,TRUE,"Other",BZ$10,$F215,$D215),#REF!,0))*BZ$214)
)))</f>
        <v>0</v>
      </c>
      <c r="CF215" s="16" t="s">
        <v>399</v>
      </c>
      <c r="CG215" s="224" t="s">
        <v>178</v>
      </c>
      <c r="CH215" s="298" t="s">
        <v>402</v>
      </c>
      <c r="CI215" s="116" cm="1">
        <f t="array" aca="1" ref="CI215" ca="1">_xlfn.IFS(CI$25="Manual",CI349,
CI$25="Regression",
MAX(0,
IFERROR(MIN(INDEX(#REF!,MATCH(_xlfn.TEXTJOIN(keydelim,TRUE,CI$9,CI$10,$F215,$D215),#REF!,0)),
INDEX(#REF!,MATCH(_xlfn.TEXTJOIN(keydelim,TRUE,CI$9,CI$10,$F215,$D215),#REF!,0))+
INDEX(#REF!,MATCH(_xlfn.TEXTJOIN(keydelim,TRUE,CI$9,CI$10,$F215,$D215),#REF!,0))*CI$214),
MIN(INDEX(#REF!,MATCH(_xlfn.TEXTJOIN(keydelim,TRUE,"Other",CI$10,$F215,$D215),#REF!,0)),
INDEX(#REF!,MATCH(_xlfn.TEXTJOIN(keydelim,TRUE,"Other",CI$10,$F215,$D215),#REF!,0))+
INDEX(#REF!,MATCH(_xlfn.TEXTJOIN(keydelim,TRUE,"Other",CI$10,$F215,$D215),#REF!,0))*CI$214)
)))</f>
        <v>0</v>
      </c>
      <c r="CJ215" s="116" cm="1">
        <f t="array" aca="1" ref="CJ215" ca="1">_xlfn.IFS(CJ$25="Manual",CI215,
CJ$25="Regression",
MAX(0,
IFERROR(MIN(INDEX(#REF!,MATCH(_xlfn.TEXTJOIN(keydelim,TRUE,CJ$9,CJ$10,$F215,$D215),#REF!,0)),
INDEX(#REF!,MATCH(_xlfn.TEXTJOIN(keydelim,TRUE,CJ$9,CJ$10,$F215,$D215),#REF!,0))+
INDEX(#REF!,MATCH(_xlfn.TEXTJOIN(keydelim,TRUE,CJ$9,CJ$10,$F215,$D215),#REF!,0))*CJ$214),
MIN(INDEX(#REF!,MATCH(_xlfn.TEXTJOIN(keydelim,TRUE,"Other",CJ$10,$F215,$D215),#REF!,0)),
INDEX(#REF!,MATCH(_xlfn.TEXTJOIN(keydelim,TRUE,"Other",CJ$10,$F215,$D215),#REF!,0))+
INDEX(#REF!,MATCH(_xlfn.TEXTJOIN(keydelim,TRUE,"Other",CJ$10,$F215,$D215),#REF!,0))*CJ$214)
)))</f>
        <v>0</v>
      </c>
      <c r="CK215" s="116" cm="1">
        <f t="array" aca="1" ref="CK215" ca="1">_xlfn.IFS(CK$25="Manual",CJ215,
CK$25="Regression",
MAX(0,
IFERROR(MIN(INDEX(#REF!,MATCH(_xlfn.TEXTJOIN(keydelim,TRUE,CK$9,CK$10,$F215,$D215),#REF!,0)),
INDEX(#REF!,MATCH(_xlfn.TEXTJOIN(keydelim,TRUE,CK$9,CK$10,$F215,$D215),#REF!,0))+
INDEX(#REF!,MATCH(_xlfn.TEXTJOIN(keydelim,TRUE,CK$9,CK$10,$F215,$D215),#REF!,0))*CK$214),
MIN(INDEX(#REF!,MATCH(_xlfn.TEXTJOIN(keydelim,TRUE,"Other",CK$10,$F215,$D215),#REF!,0)),
INDEX(#REF!,MATCH(_xlfn.TEXTJOIN(keydelim,TRUE,"Other",CK$10,$F215,$D215),#REF!,0))+
INDEX(#REF!,MATCH(_xlfn.TEXTJOIN(keydelim,TRUE,"Other",CK$10,$F215,$D215),#REF!,0))*CK$214)
)))</f>
        <v>0</v>
      </c>
      <c r="CL215" s="116" cm="1">
        <f t="array" aca="1" ref="CL215" ca="1">_xlfn.IFS(CL$25="Manual",CK215,
CL$25="Regression",
MAX(0,
IFERROR(MIN(INDEX(#REF!,MATCH(_xlfn.TEXTJOIN(keydelim,TRUE,CL$9,CL$10,$F215,$D215),#REF!,0)),
INDEX(#REF!,MATCH(_xlfn.TEXTJOIN(keydelim,TRUE,CL$9,CL$10,$F215,$D215),#REF!,0))+
INDEX(#REF!,MATCH(_xlfn.TEXTJOIN(keydelim,TRUE,CL$9,CL$10,$F215,$D215),#REF!,0))*CL$214),
MIN(INDEX(#REF!,MATCH(_xlfn.TEXTJOIN(keydelim,TRUE,"Other",CL$10,$F215,$D215),#REF!,0)),
INDEX(#REF!,MATCH(_xlfn.TEXTJOIN(keydelim,TRUE,"Other",CL$10,$F215,$D215),#REF!,0))+
INDEX(#REF!,MATCH(_xlfn.TEXTJOIN(keydelim,TRUE,"Other",CL$10,$F215,$D215),#REF!,0))*CL$214)
)))</f>
        <v>0</v>
      </c>
      <c r="CM215" s="116" cm="1">
        <f t="array" aca="1" ref="CM215" ca="1">_xlfn.IFS(CM$25="Manual",CL215,
CM$25="Regression",
MAX(0,
IFERROR(MIN(INDEX(#REF!,MATCH(_xlfn.TEXTJOIN(keydelim,TRUE,CM$9,CM$10,$F215,$D215),#REF!,0)),
INDEX(#REF!,MATCH(_xlfn.TEXTJOIN(keydelim,TRUE,CM$9,CM$10,$F215,$D215),#REF!,0))+
INDEX(#REF!,MATCH(_xlfn.TEXTJOIN(keydelim,TRUE,CM$9,CM$10,$F215,$D215),#REF!,0))*CM$214),
MIN(INDEX(#REF!,MATCH(_xlfn.TEXTJOIN(keydelim,TRUE,"Other",CM$10,$F215,$D215),#REF!,0)),
INDEX(#REF!,MATCH(_xlfn.TEXTJOIN(keydelim,TRUE,"Other",CM$10,$F215,$D215),#REF!,0))+
INDEX(#REF!,MATCH(_xlfn.TEXTJOIN(keydelim,TRUE,"Other",CM$10,$F215,$D215),#REF!,0))*CM$214)
)))</f>
        <v>0</v>
      </c>
      <c r="CN215" s="116" cm="1">
        <f t="array" aca="1" ref="CN215" ca="1">_xlfn.IFS(CN$25="Manual",CM215,
CN$25="Regression",
MAX(0,
IFERROR(MIN(INDEX(#REF!,MATCH(_xlfn.TEXTJOIN(keydelim,TRUE,CN$9,CN$10,$F215,$D215),#REF!,0)),
INDEX(#REF!,MATCH(_xlfn.TEXTJOIN(keydelim,TRUE,CN$9,CN$10,$F215,$D215),#REF!,0))+
INDEX(#REF!,MATCH(_xlfn.TEXTJOIN(keydelim,TRUE,CN$9,CN$10,$F215,$D215),#REF!,0))*CN$214),
MIN(INDEX(#REF!,MATCH(_xlfn.TEXTJOIN(keydelim,TRUE,"Other",CN$10,$F215,$D215),#REF!,0)),
INDEX(#REF!,MATCH(_xlfn.TEXTJOIN(keydelim,TRUE,"Other",CN$10,$F215,$D215),#REF!,0))+
INDEX(#REF!,MATCH(_xlfn.TEXTJOIN(keydelim,TRUE,"Other",CN$10,$F215,$D215),#REF!,0))*CN$214)
)))</f>
        <v>0</v>
      </c>
      <c r="CO215" s="116" cm="1">
        <f t="array" aca="1" ref="CO215" ca="1">_xlfn.IFS(CO$25="Manual",CN215,
CO$25="Regression",
MAX(0,
IFERROR(MIN(INDEX(#REF!,MATCH(_xlfn.TEXTJOIN(keydelim,TRUE,CO$9,CO$10,$F215,$D215),#REF!,0)),
INDEX(#REF!,MATCH(_xlfn.TEXTJOIN(keydelim,TRUE,CO$9,CO$10,$F215,$D215),#REF!,0))+
INDEX(#REF!,MATCH(_xlfn.TEXTJOIN(keydelim,TRUE,CO$9,CO$10,$F215,$D215),#REF!,0))*CO$214),
MIN(INDEX(#REF!,MATCH(_xlfn.TEXTJOIN(keydelim,TRUE,"Other",CO$10,$F215,$D215),#REF!,0)),
INDEX(#REF!,MATCH(_xlfn.TEXTJOIN(keydelim,TRUE,"Other",CO$10,$F215,$D215),#REF!,0))+
INDEX(#REF!,MATCH(_xlfn.TEXTJOIN(keydelim,TRUE,"Other",CO$10,$F215,$D215),#REF!,0))*CO$214)
)))</f>
        <v>0</v>
      </c>
      <c r="CP215" s="116" cm="1">
        <f t="array" aca="1" ref="CP215" ca="1">_xlfn.IFS(CP$25="Manual",CO215,
CP$25="Regression",
MAX(0,
IFERROR(MIN(INDEX(#REF!,MATCH(_xlfn.TEXTJOIN(keydelim,TRUE,CP$9,CP$10,$F215,$D215),#REF!,0)),
INDEX(#REF!,MATCH(_xlfn.TEXTJOIN(keydelim,TRUE,CP$9,CP$10,$F215,$D215),#REF!,0))+
INDEX(#REF!,MATCH(_xlfn.TEXTJOIN(keydelim,TRUE,CP$9,CP$10,$F215,$D215),#REF!,0))*CP$214),
MIN(INDEX(#REF!,MATCH(_xlfn.TEXTJOIN(keydelim,TRUE,"Other",CP$10,$F215,$D215),#REF!,0)),
INDEX(#REF!,MATCH(_xlfn.TEXTJOIN(keydelim,TRUE,"Other",CP$10,$F215,$D215),#REF!,0))+
INDEX(#REF!,MATCH(_xlfn.TEXTJOIN(keydelim,TRUE,"Other",CP$10,$F215,$D215),#REF!,0))*CP$214)
)))</f>
        <v>0</v>
      </c>
      <c r="CQ215" s="116" cm="1">
        <f t="array" aca="1" ref="CQ215" ca="1">_xlfn.IFS(CQ$25="Manual",CP215,
CQ$25="Regression",
MAX(0,
IFERROR(MIN(INDEX(#REF!,MATCH(_xlfn.TEXTJOIN(keydelim,TRUE,CQ$9,CQ$10,$F215,$D215),#REF!,0)),
INDEX(#REF!,MATCH(_xlfn.TEXTJOIN(keydelim,TRUE,CQ$9,CQ$10,$F215,$D215),#REF!,0))+
INDEX(#REF!,MATCH(_xlfn.TEXTJOIN(keydelim,TRUE,CQ$9,CQ$10,$F215,$D215),#REF!,0))*CQ$214),
MIN(INDEX(#REF!,MATCH(_xlfn.TEXTJOIN(keydelim,TRUE,"Other",CQ$10,$F215,$D215),#REF!,0)),
INDEX(#REF!,MATCH(_xlfn.TEXTJOIN(keydelim,TRUE,"Other",CQ$10,$F215,$D215),#REF!,0))+
INDEX(#REF!,MATCH(_xlfn.TEXTJOIN(keydelim,TRUE,"Other",CQ$10,$F215,$D215),#REF!,0))*CQ$214)
)))</f>
        <v>0</v>
      </c>
      <c r="CR215" s="116" cm="1">
        <f t="array" aca="1" ref="CR215" ca="1">_xlfn.IFS(CR$25="Manual",CQ215,
CR$25="Regression",
MAX(0,
IFERROR(MIN(INDEX(#REF!,MATCH(_xlfn.TEXTJOIN(keydelim,TRUE,CR$9,CR$10,$F215,$D215),#REF!,0)),
INDEX(#REF!,MATCH(_xlfn.TEXTJOIN(keydelim,TRUE,CR$9,CR$10,$F215,$D215),#REF!,0))+
INDEX(#REF!,MATCH(_xlfn.TEXTJOIN(keydelim,TRUE,CR$9,CR$10,$F215,$D215),#REF!,0))*CR$214),
MIN(INDEX(#REF!,MATCH(_xlfn.TEXTJOIN(keydelim,TRUE,"Other",CR$10,$F215,$D215),#REF!,0)),
INDEX(#REF!,MATCH(_xlfn.TEXTJOIN(keydelim,TRUE,"Other",CR$10,$F215,$D215),#REF!,0))+
INDEX(#REF!,MATCH(_xlfn.TEXTJOIN(keydelim,TRUE,"Other",CR$10,$F215,$D215),#REF!,0))*CR$214)
)))</f>
        <v>0</v>
      </c>
      <c r="CS215" s="116" cm="1">
        <f t="array" aca="1" ref="CS215" ca="1">_xlfn.IFS(CS$25="Manual",CR215,
CS$25="Regression",
MAX(0,
IFERROR(MIN(INDEX(#REF!,MATCH(_xlfn.TEXTJOIN(keydelim,TRUE,CS$9,CS$10,$F215,$D215),#REF!,0)),
INDEX(#REF!,MATCH(_xlfn.TEXTJOIN(keydelim,TRUE,CS$9,CS$10,$F215,$D215),#REF!,0))+
INDEX(#REF!,MATCH(_xlfn.TEXTJOIN(keydelim,TRUE,CS$9,CS$10,$F215,$D215),#REF!,0))*CS$214),
MIN(INDEX(#REF!,MATCH(_xlfn.TEXTJOIN(keydelim,TRUE,"Other",CS$10,$F215,$D215),#REF!,0)),
INDEX(#REF!,MATCH(_xlfn.TEXTJOIN(keydelim,TRUE,"Other",CS$10,$F215,$D215),#REF!,0))+
INDEX(#REF!,MATCH(_xlfn.TEXTJOIN(keydelim,TRUE,"Other",CS$10,$F215,$D215),#REF!,0))*CS$214)
)))</f>
        <v>0</v>
      </c>
      <c r="CT215" s="116" cm="1">
        <f t="array" aca="1" ref="CT215" ca="1">_xlfn.IFS(CT$25="Manual",CS215,
CT$25="Regression",
MAX(0,
IFERROR(MIN(INDEX(#REF!,MATCH(_xlfn.TEXTJOIN(keydelim,TRUE,CT$9,CT$10,$F215,$D215),#REF!,0)),
INDEX(#REF!,MATCH(_xlfn.TEXTJOIN(keydelim,TRUE,CT$9,CT$10,$F215,$D215),#REF!,0))+
INDEX(#REF!,MATCH(_xlfn.TEXTJOIN(keydelim,TRUE,CT$9,CT$10,$F215,$D215),#REF!,0))*CT$214),
MIN(INDEX(#REF!,MATCH(_xlfn.TEXTJOIN(keydelim,TRUE,"Other",CT$10,$F215,$D215),#REF!,0)),
INDEX(#REF!,MATCH(_xlfn.TEXTJOIN(keydelim,TRUE,"Other",CT$10,$F215,$D215),#REF!,0))+
INDEX(#REF!,MATCH(_xlfn.TEXTJOIN(keydelim,TRUE,"Other",CT$10,$F215,$D215),#REF!,0))*CT$214)
)))</f>
        <v>0</v>
      </c>
    </row>
    <row r="216" spans="2:98" hidden="1" outlineLevel="1" x14ac:dyDescent="0.2">
      <c r="C216" s="3"/>
      <c r="D216" s="16" t="s">
        <v>319</v>
      </c>
      <c r="E216" s="224" t="s">
        <v>400</v>
      </c>
      <c r="F216" s="298" t="s">
        <v>402</v>
      </c>
      <c r="G216" s="315" cm="1">
        <f t="array" aca="1" ref="G216" ca="1">_xlfn.IFS(G$25="Manual",G390,
G$25="Regression",
MAX(0,
IFERROR(MIN(INDEX(#REF!,MATCH(_xlfn.TEXTJOIN(keydelim,TRUE,G$9,G$10,$F216,$D216),#REF!,0)),
INDEX(#REF!,MATCH(_xlfn.TEXTJOIN(keydelim,TRUE,G$9,G$10,$F216,$D216),#REF!,0))+
INDEX(#REF!,MATCH(_xlfn.TEXTJOIN(keydelim,TRUE,G$9,G$10,$F216,$D216),#REF!,0))*G$214),
MIN(INDEX(#REF!,MATCH(_xlfn.TEXTJOIN(keydelim,TRUE,"Other",G$10,$F216,$D216),#REF!,0)),
INDEX(#REF!,MATCH(_xlfn.TEXTJOIN(keydelim,TRUE,"Other",G$10,$F216,$D216),#REF!,0))+
INDEX(#REF!,MATCH(_xlfn.TEXTJOIN(keydelim,TRUE,"Other",G$10,$F216,$D216),#REF!,0))*G$214)
)))</f>
        <v>0</v>
      </c>
      <c r="H216" s="52" cm="1">
        <f t="array" aca="1" ref="H216" ca="1">_xlfn.IFS(H$25="Manual",G216,
H$25="Regression",
MAX(0,
IFERROR(MIN(INDEX(#REF!,MATCH(_xlfn.TEXTJOIN(keydelim,TRUE,H$9,H$10,$F216,$D216),#REF!,0)),
INDEX(#REF!,MATCH(_xlfn.TEXTJOIN(keydelim,TRUE,H$9,H$10,$F216,$D216),#REF!,0))+
INDEX(#REF!,MATCH(_xlfn.TEXTJOIN(keydelim,TRUE,H$9,H$10,$F216,$D216),#REF!,0))*H$214),
MIN(INDEX(#REF!,MATCH(_xlfn.TEXTJOIN(keydelim,TRUE,"Other",H$10,$F216,$D216),#REF!,0)),
INDEX(#REF!,MATCH(_xlfn.TEXTJOIN(keydelim,TRUE,"Other",H$10,$F216,$D216),#REF!,0))+
INDEX(#REF!,MATCH(_xlfn.TEXTJOIN(keydelim,TRUE,"Other",H$10,$F216,$D216),#REF!,0))*H$214)
)))</f>
        <v>0</v>
      </c>
      <c r="I216" s="52" cm="1">
        <f t="array" aca="1" ref="I216" ca="1">_xlfn.IFS(I$25="Manual",H216,
I$25="Regression",
MAX(0,
IFERROR(MIN(INDEX(#REF!,MATCH(_xlfn.TEXTJOIN(keydelim,TRUE,I$9,I$10,$F216,$D216),#REF!,0)),
INDEX(#REF!,MATCH(_xlfn.TEXTJOIN(keydelim,TRUE,I$9,I$10,$F216,$D216),#REF!,0))+
INDEX(#REF!,MATCH(_xlfn.TEXTJOIN(keydelim,TRUE,I$9,I$10,$F216,$D216),#REF!,0))*I$214),
MIN(INDEX(#REF!,MATCH(_xlfn.TEXTJOIN(keydelim,TRUE,"Other",I$10,$F216,$D216),#REF!,0)),
INDEX(#REF!,MATCH(_xlfn.TEXTJOIN(keydelim,TRUE,"Other",I$10,$F216,$D216),#REF!,0))+
INDEX(#REF!,MATCH(_xlfn.TEXTJOIN(keydelim,TRUE,"Other",I$10,$F216,$D216),#REF!,0))*I$214)
)))</f>
        <v>0</v>
      </c>
      <c r="J216" s="52" cm="1">
        <f t="array" aca="1" ref="J216" ca="1">_xlfn.IFS(J$25="Manual",I216,
J$25="Regression",
MAX(0,
IFERROR(MIN(INDEX(#REF!,MATCH(_xlfn.TEXTJOIN(keydelim,TRUE,J$9,J$10,$F216,$D216),#REF!,0)),
INDEX(#REF!,MATCH(_xlfn.TEXTJOIN(keydelim,TRUE,J$9,J$10,$F216,$D216),#REF!,0))+
INDEX(#REF!,MATCH(_xlfn.TEXTJOIN(keydelim,TRUE,J$9,J$10,$F216,$D216),#REF!,0))*J$214),
MIN(INDEX(#REF!,MATCH(_xlfn.TEXTJOIN(keydelim,TRUE,"Other",J$10,$F216,$D216),#REF!,0)),
INDEX(#REF!,MATCH(_xlfn.TEXTJOIN(keydelim,TRUE,"Other",J$10,$F216,$D216),#REF!,0))+
INDEX(#REF!,MATCH(_xlfn.TEXTJOIN(keydelim,TRUE,"Other",J$10,$F216,$D216),#REF!,0))*J$214)
)))</f>
        <v>0</v>
      </c>
      <c r="K216" s="52" cm="1">
        <f t="array" aca="1" ref="K216" ca="1">_xlfn.IFS(K$25="Manual",J216,
K$25="Regression",
MAX(0,
IFERROR(MIN(INDEX(#REF!,MATCH(_xlfn.TEXTJOIN(keydelim,TRUE,K$9,K$10,$F216,$D216),#REF!,0)),
INDEX(#REF!,MATCH(_xlfn.TEXTJOIN(keydelim,TRUE,K$9,K$10,$F216,$D216),#REF!,0))+
INDEX(#REF!,MATCH(_xlfn.TEXTJOIN(keydelim,TRUE,K$9,K$10,$F216,$D216),#REF!,0))*K$214),
MIN(INDEX(#REF!,MATCH(_xlfn.TEXTJOIN(keydelim,TRUE,"Other",K$10,$F216,$D216),#REF!,0)),
INDEX(#REF!,MATCH(_xlfn.TEXTJOIN(keydelim,TRUE,"Other",K$10,$F216,$D216),#REF!,0))+
INDEX(#REF!,MATCH(_xlfn.TEXTJOIN(keydelim,TRUE,"Other",K$10,$F216,$D216),#REF!,0))*K$214)
)))</f>
        <v>0</v>
      </c>
      <c r="L216" s="52" cm="1">
        <f t="array" aca="1" ref="L216" ca="1">_xlfn.IFS(L$25="Manual",K216,
L$25="Regression",
MAX(0,
IFERROR(MIN(INDEX(#REF!,MATCH(_xlfn.TEXTJOIN(keydelim,TRUE,L$9,L$10,$F216,$D216),#REF!,0)),
INDEX(#REF!,MATCH(_xlfn.TEXTJOIN(keydelim,TRUE,L$9,L$10,$F216,$D216),#REF!,0))+
INDEX(#REF!,MATCH(_xlfn.TEXTJOIN(keydelim,TRUE,L$9,L$10,$F216,$D216),#REF!,0))*L$214),
MIN(INDEX(#REF!,MATCH(_xlfn.TEXTJOIN(keydelim,TRUE,"Other",L$10,$F216,$D216),#REF!,0)),
INDEX(#REF!,MATCH(_xlfn.TEXTJOIN(keydelim,TRUE,"Other",L$10,$F216,$D216),#REF!,0))+
INDEX(#REF!,MATCH(_xlfn.TEXTJOIN(keydelim,TRUE,"Other",L$10,$F216,$D216),#REF!,0))*L$214)
)))</f>
        <v>0</v>
      </c>
      <c r="M216" s="52" cm="1">
        <f t="array" aca="1" ref="M216" ca="1">_xlfn.IFS(M$25="Manual",L216,
M$25="Regression",
MAX(0,
IFERROR(MIN(INDEX(#REF!,MATCH(_xlfn.TEXTJOIN(keydelim,TRUE,M$9,M$10,$F216,$D216),#REF!,0)),
INDEX(#REF!,MATCH(_xlfn.TEXTJOIN(keydelim,TRUE,M$9,M$10,$F216,$D216),#REF!,0))+
INDEX(#REF!,MATCH(_xlfn.TEXTJOIN(keydelim,TRUE,M$9,M$10,$F216,$D216),#REF!,0))*M$214),
MIN(INDEX(#REF!,MATCH(_xlfn.TEXTJOIN(keydelim,TRUE,"Other",M$10,$F216,$D216),#REF!,0)),
INDEX(#REF!,MATCH(_xlfn.TEXTJOIN(keydelim,TRUE,"Other",M$10,$F216,$D216),#REF!,0))+
INDEX(#REF!,MATCH(_xlfn.TEXTJOIN(keydelim,TRUE,"Other",M$10,$F216,$D216),#REF!,0))*M$214)
)))</f>
        <v>0</v>
      </c>
      <c r="N216" s="52" cm="1">
        <f t="array" aca="1" ref="N216" ca="1">_xlfn.IFS(N$25="Manual",M216,
N$25="Regression",
MAX(0,
IFERROR(MIN(INDEX(#REF!,MATCH(_xlfn.TEXTJOIN(keydelim,TRUE,N$9,N$10,$F216,$D216),#REF!,0)),
INDEX(#REF!,MATCH(_xlfn.TEXTJOIN(keydelim,TRUE,N$9,N$10,$F216,$D216),#REF!,0))+
INDEX(#REF!,MATCH(_xlfn.TEXTJOIN(keydelim,TRUE,N$9,N$10,$F216,$D216),#REF!,0))*N$214),
MIN(INDEX(#REF!,MATCH(_xlfn.TEXTJOIN(keydelim,TRUE,"Other",N$10,$F216,$D216),#REF!,0)),
INDEX(#REF!,MATCH(_xlfn.TEXTJOIN(keydelim,TRUE,"Other",N$10,$F216,$D216),#REF!,0))+
INDEX(#REF!,MATCH(_xlfn.TEXTJOIN(keydelim,TRUE,"Other",N$10,$F216,$D216),#REF!,0))*N$214)
)))</f>
        <v>0</v>
      </c>
      <c r="O216" s="52" cm="1">
        <f t="array" aca="1" ref="O216" ca="1">_xlfn.IFS(O$25="Manual",N216,
O$25="Regression",
MAX(0,
IFERROR(MIN(INDEX(#REF!,MATCH(_xlfn.TEXTJOIN(keydelim,TRUE,O$9,O$10,$F216,$D216),#REF!,0)),
INDEX(#REF!,MATCH(_xlfn.TEXTJOIN(keydelim,TRUE,O$9,O$10,$F216,$D216),#REF!,0))+
INDEX(#REF!,MATCH(_xlfn.TEXTJOIN(keydelim,TRUE,O$9,O$10,$F216,$D216),#REF!,0))*O$214),
MIN(INDEX(#REF!,MATCH(_xlfn.TEXTJOIN(keydelim,TRUE,"Other",O$10,$F216,$D216),#REF!,0)),
INDEX(#REF!,MATCH(_xlfn.TEXTJOIN(keydelim,TRUE,"Other",O$10,$F216,$D216),#REF!,0))+
INDEX(#REF!,MATCH(_xlfn.TEXTJOIN(keydelim,TRUE,"Other",O$10,$F216,$D216),#REF!,0))*O$214)
)))</f>
        <v>0</v>
      </c>
      <c r="P216" s="52" cm="1">
        <f t="array" aca="1" ref="P216" ca="1">_xlfn.IFS(P$25="Manual",O216,
P$25="Regression",
MAX(0,
IFERROR(MIN(INDEX(#REF!,MATCH(_xlfn.TEXTJOIN(keydelim,TRUE,P$9,P$10,$F216,$D216),#REF!,0)),
INDEX(#REF!,MATCH(_xlfn.TEXTJOIN(keydelim,TRUE,P$9,P$10,$F216,$D216),#REF!,0))+
INDEX(#REF!,MATCH(_xlfn.TEXTJOIN(keydelim,TRUE,P$9,P$10,$F216,$D216),#REF!,0))*P$214),
MIN(INDEX(#REF!,MATCH(_xlfn.TEXTJOIN(keydelim,TRUE,"Other",P$10,$F216,$D216),#REF!,0)),
INDEX(#REF!,MATCH(_xlfn.TEXTJOIN(keydelim,TRUE,"Other",P$10,$F216,$D216),#REF!,0))+
INDEX(#REF!,MATCH(_xlfn.TEXTJOIN(keydelim,TRUE,"Other",P$10,$F216,$D216),#REF!,0))*P$214)
)))</f>
        <v>0</v>
      </c>
      <c r="Q216" s="52" cm="1">
        <f t="array" aca="1" ref="Q216" ca="1">_xlfn.IFS(Q$25="Manual",P216,
Q$25="Regression",
MAX(0,
IFERROR(MIN(INDEX(#REF!,MATCH(_xlfn.TEXTJOIN(keydelim,TRUE,Q$9,Q$10,$F216,$D216),#REF!,0)),
INDEX(#REF!,MATCH(_xlfn.TEXTJOIN(keydelim,TRUE,Q$9,Q$10,$F216,$D216),#REF!,0))+
INDEX(#REF!,MATCH(_xlfn.TEXTJOIN(keydelim,TRUE,Q$9,Q$10,$F216,$D216),#REF!,0))*Q$214),
MIN(INDEX(#REF!,MATCH(_xlfn.TEXTJOIN(keydelim,TRUE,"Other",Q$10,$F216,$D216),#REF!,0)),
INDEX(#REF!,MATCH(_xlfn.TEXTJOIN(keydelim,TRUE,"Other",Q$10,$F216,$D216),#REF!,0))+
INDEX(#REF!,MATCH(_xlfn.TEXTJOIN(keydelim,TRUE,"Other",Q$10,$F216,$D216),#REF!,0))*Q$214)
)))</f>
        <v>0</v>
      </c>
      <c r="R216" s="52" cm="1">
        <f t="array" aca="1" ref="R216" ca="1">_xlfn.IFS(R$25="Manual",Q216,
R$25="Regression",
MAX(0,
IFERROR(MIN(INDEX(#REF!,MATCH(_xlfn.TEXTJOIN(keydelim,TRUE,R$9,R$10,$F216,$D216),#REF!,0)),
INDEX(#REF!,MATCH(_xlfn.TEXTJOIN(keydelim,TRUE,R$9,R$10,$F216,$D216),#REF!,0))+
INDEX(#REF!,MATCH(_xlfn.TEXTJOIN(keydelim,TRUE,R$9,R$10,$F216,$D216),#REF!,0))*R$214),
MIN(INDEX(#REF!,MATCH(_xlfn.TEXTJOIN(keydelim,TRUE,"Other",R$10,$F216,$D216),#REF!,0)),
INDEX(#REF!,MATCH(_xlfn.TEXTJOIN(keydelim,TRUE,"Other",R$10,$F216,$D216),#REF!,0))+
INDEX(#REF!,MATCH(_xlfn.TEXTJOIN(keydelim,TRUE,"Other",R$10,$F216,$D216),#REF!,0))*R$214)
)))</f>
        <v>0</v>
      </c>
      <c r="X216" s="16" t="s">
        <v>319</v>
      </c>
      <c r="Y216" s="224" t="s">
        <v>400</v>
      </c>
      <c r="Z216" s="298" t="s">
        <v>402</v>
      </c>
      <c r="AA216" s="315" cm="1">
        <f t="array" aca="1" ref="AA216" ca="1">_xlfn.IFS(AA$25="Manual",AA390,
AA$25="Regression",
MAX(0,
IFERROR(MIN(INDEX(#REF!,MATCH(_xlfn.TEXTJOIN(keydelim,TRUE,AA$9,AA$10,$F216,$D216),#REF!,0)),
INDEX(#REF!,MATCH(_xlfn.TEXTJOIN(keydelim,TRUE,AA$9,AA$10,$F216,$D216),#REF!,0))+
INDEX(#REF!,MATCH(_xlfn.TEXTJOIN(keydelim,TRUE,AA$9,AA$10,$F216,$D216),#REF!,0))*AA$214),
MIN(INDEX(#REF!,MATCH(_xlfn.TEXTJOIN(keydelim,TRUE,"Other",AA$10,$F216,$D216),#REF!,0)),
INDEX(#REF!,MATCH(_xlfn.TEXTJOIN(keydelim,TRUE,"Other",AA$10,$F216,$D216),#REF!,0))+
INDEX(#REF!,MATCH(_xlfn.TEXTJOIN(keydelim,TRUE,"Other",AA$10,$F216,$D216),#REF!,0))*AA$214)
)))</f>
        <v>0</v>
      </c>
      <c r="AB216" s="52" cm="1">
        <f t="array" aca="1" ref="AB216" ca="1">_xlfn.IFS(AB$25="Manual",AA216,
AB$25="Regression",
MAX(0,
IFERROR(MIN(INDEX(#REF!,MATCH(_xlfn.TEXTJOIN(keydelim,TRUE,AB$9,AB$10,$F216,$D216),#REF!,0)),
INDEX(#REF!,MATCH(_xlfn.TEXTJOIN(keydelim,TRUE,AB$9,AB$10,$F216,$D216),#REF!,0))+
INDEX(#REF!,MATCH(_xlfn.TEXTJOIN(keydelim,TRUE,AB$9,AB$10,$F216,$D216),#REF!,0))*AB$214),
MIN(INDEX(#REF!,MATCH(_xlfn.TEXTJOIN(keydelim,TRUE,"Other",AB$10,$F216,$D216),#REF!,0)),
INDEX(#REF!,MATCH(_xlfn.TEXTJOIN(keydelim,TRUE,"Other",AB$10,$F216,$D216),#REF!,0))+
INDEX(#REF!,MATCH(_xlfn.TEXTJOIN(keydelim,TRUE,"Other",AB$10,$F216,$D216),#REF!,0))*AB$214)
)))</f>
        <v>0</v>
      </c>
      <c r="AC216" s="52" cm="1">
        <f t="array" aca="1" ref="AC216" ca="1">_xlfn.IFS(AC$25="Manual",AB216,
AC$25="Regression",
MAX(0,
IFERROR(MIN(INDEX(#REF!,MATCH(_xlfn.TEXTJOIN(keydelim,TRUE,AC$9,AC$10,$F216,$D216),#REF!,0)),
INDEX(#REF!,MATCH(_xlfn.TEXTJOIN(keydelim,TRUE,AC$9,AC$10,$F216,$D216),#REF!,0))+
INDEX(#REF!,MATCH(_xlfn.TEXTJOIN(keydelim,TRUE,AC$9,AC$10,$F216,$D216),#REF!,0))*AC$214),
MIN(INDEX(#REF!,MATCH(_xlfn.TEXTJOIN(keydelim,TRUE,"Other",AC$10,$F216,$D216),#REF!,0)),
INDEX(#REF!,MATCH(_xlfn.TEXTJOIN(keydelim,TRUE,"Other",AC$10,$F216,$D216),#REF!,0))+
INDEX(#REF!,MATCH(_xlfn.TEXTJOIN(keydelim,TRUE,"Other",AC$10,$F216,$D216),#REF!,0))*AC$214)
)))</f>
        <v>0</v>
      </c>
      <c r="AD216" s="52" cm="1">
        <f t="array" aca="1" ref="AD216" ca="1">_xlfn.IFS(AD$25="Manual",AC216,
AD$25="Regression",
MAX(0,
IFERROR(MIN(INDEX(#REF!,MATCH(_xlfn.TEXTJOIN(keydelim,TRUE,AD$9,AD$10,$F216,$D216),#REF!,0)),
INDEX(#REF!,MATCH(_xlfn.TEXTJOIN(keydelim,TRUE,AD$9,AD$10,$F216,$D216),#REF!,0))+
INDEX(#REF!,MATCH(_xlfn.TEXTJOIN(keydelim,TRUE,AD$9,AD$10,$F216,$D216),#REF!,0))*AD$214),
MIN(INDEX(#REF!,MATCH(_xlfn.TEXTJOIN(keydelim,TRUE,"Other",AD$10,$F216,$D216),#REF!,0)),
INDEX(#REF!,MATCH(_xlfn.TEXTJOIN(keydelim,TRUE,"Other",AD$10,$F216,$D216),#REF!,0))+
INDEX(#REF!,MATCH(_xlfn.TEXTJOIN(keydelim,TRUE,"Other",AD$10,$F216,$D216),#REF!,0))*AD$214)
)))</f>
        <v>0</v>
      </c>
      <c r="AE216" s="52" cm="1">
        <f t="array" aca="1" ref="AE216" ca="1">_xlfn.IFS(AE$25="Manual",AD216,
AE$25="Regression",
MAX(0,
IFERROR(MIN(INDEX(#REF!,MATCH(_xlfn.TEXTJOIN(keydelim,TRUE,AE$9,AE$10,$F216,$D216),#REF!,0)),
INDEX(#REF!,MATCH(_xlfn.TEXTJOIN(keydelim,TRUE,AE$9,AE$10,$F216,$D216),#REF!,0))+
INDEX(#REF!,MATCH(_xlfn.TEXTJOIN(keydelim,TRUE,AE$9,AE$10,$F216,$D216),#REF!,0))*AE$214),
MIN(INDEX(#REF!,MATCH(_xlfn.TEXTJOIN(keydelim,TRUE,"Other",AE$10,$F216,$D216),#REF!,0)),
INDEX(#REF!,MATCH(_xlfn.TEXTJOIN(keydelim,TRUE,"Other",AE$10,$F216,$D216),#REF!,0))+
INDEX(#REF!,MATCH(_xlfn.TEXTJOIN(keydelim,TRUE,"Other",AE$10,$F216,$D216),#REF!,0))*AE$214)
)))</f>
        <v>0</v>
      </c>
      <c r="AF216" s="52" cm="1">
        <f t="array" aca="1" ref="AF216" ca="1">_xlfn.IFS(AF$25="Manual",AE216,
AF$25="Regression",
MAX(0,
IFERROR(MIN(INDEX(#REF!,MATCH(_xlfn.TEXTJOIN(keydelim,TRUE,AF$9,AF$10,$F216,$D216),#REF!,0)),
INDEX(#REF!,MATCH(_xlfn.TEXTJOIN(keydelim,TRUE,AF$9,AF$10,$F216,$D216),#REF!,0))+
INDEX(#REF!,MATCH(_xlfn.TEXTJOIN(keydelim,TRUE,AF$9,AF$10,$F216,$D216),#REF!,0))*AF$214),
MIN(INDEX(#REF!,MATCH(_xlfn.TEXTJOIN(keydelim,TRUE,"Other",AF$10,$F216,$D216),#REF!,0)),
INDEX(#REF!,MATCH(_xlfn.TEXTJOIN(keydelim,TRUE,"Other",AF$10,$F216,$D216),#REF!,0))+
INDEX(#REF!,MATCH(_xlfn.TEXTJOIN(keydelim,TRUE,"Other",AF$10,$F216,$D216),#REF!,0))*AF$214)
)))</f>
        <v>0</v>
      </c>
      <c r="AG216" s="52" cm="1">
        <f t="array" aca="1" ref="AG216" ca="1">_xlfn.IFS(AG$25="Manual",AF216,
AG$25="Regression",
MAX(0,
IFERROR(MIN(INDEX(#REF!,MATCH(_xlfn.TEXTJOIN(keydelim,TRUE,AG$9,AG$10,$F216,$D216),#REF!,0)),
INDEX(#REF!,MATCH(_xlfn.TEXTJOIN(keydelim,TRUE,AG$9,AG$10,$F216,$D216),#REF!,0))+
INDEX(#REF!,MATCH(_xlfn.TEXTJOIN(keydelim,TRUE,AG$9,AG$10,$F216,$D216),#REF!,0))*AG$214),
MIN(INDEX(#REF!,MATCH(_xlfn.TEXTJOIN(keydelim,TRUE,"Other",AG$10,$F216,$D216),#REF!,0)),
INDEX(#REF!,MATCH(_xlfn.TEXTJOIN(keydelim,TRUE,"Other",AG$10,$F216,$D216),#REF!,0))+
INDEX(#REF!,MATCH(_xlfn.TEXTJOIN(keydelim,TRUE,"Other",AG$10,$F216,$D216),#REF!,0))*AG$214)
)))</f>
        <v>0</v>
      </c>
      <c r="AH216" s="52" cm="1">
        <f t="array" aca="1" ref="AH216" ca="1">_xlfn.IFS(AH$25="Manual",AG216,
AH$25="Regression",
MAX(0,
IFERROR(MIN(INDEX(#REF!,MATCH(_xlfn.TEXTJOIN(keydelim,TRUE,AH$9,AH$10,$F216,$D216),#REF!,0)),
INDEX(#REF!,MATCH(_xlfn.TEXTJOIN(keydelim,TRUE,AH$9,AH$10,$F216,$D216),#REF!,0))+
INDEX(#REF!,MATCH(_xlfn.TEXTJOIN(keydelim,TRUE,AH$9,AH$10,$F216,$D216),#REF!,0))*AH$214),
MIN(INDEX(#REF!,MATCH(_xlfn.TEXTJOIN(keydelim,TRUE,"Other",AH$10,$F216,$D216),#REF!,0)),
INDEX(#REF!,MATCH(_xlfn.TEXTJOIN(keydelim,TRUE,"Other",AH$10,$F216,$D216),#REF!,0))+
INDEX(#REF!,MATCH(_xlfn.TEXTJOIN(keydelim,TRUE,"Other",AH$10,$F216,$D216),#REF!,0))*AH$214)
)))</f>
        <v>0</v>
      </c>
      <c r="AI216" s="52" cm="1">
        <f t="array" aca="1" ref="AI216" ca="1">_xlfn.IFS(AI$25="Manual",AH216,
AI$25="Regression",
MAX(0,
IFERROR(MIN(INDEX(#REF!,MATCH(_xlfn.TEXTJOIN(keydelim,TRUE,AI$9,AI$10,$F216,$D216),#REF!,0)),
INDEX(#REF!,MATCH(_xlfn.TEXTJOIN(keydelim,TRUE,AI$9,AI$10,$F216,$D216),#REF!,0))+
INDEX(#REF!,MATCH(_xlfn.TEXTJOIN(keydelim,TRUE,AI$9,AI$10,$F216,$D216),#REF!,0))*AI$214),
MIN(INDEX(#REF!,MATCH(_xlfn.TEXTJOIN(keydelim,TRUE,"Other",AI$10,$F216,$D216),#REF!,0)),
INDEX(#REF!,MATCH(_xlfn.TEXTJOIN(keydelim,TRUE,"Other",AI$10,$F216,$D216),#REF!,0))+
INDEX(#REF!,MATCH(_xlfn.TEXTJOIN(keydelim,TRUE,"Other",AI$10,$F216,$D216),#REF!,0))*AI$214)
)))</f>
        <v>0</v>
      </c>
      <c r="AJ216" s="52" cm="1">
        <f t="array" aca="1" ref="AJ216" ca="1">_xlfn.IFS(AJ$25="Manual",AI216,
AJ$25="Regression",
MAX(0,
IFERROR(MIN(INDEX(#REF!,MATCH(_xlfn.TEXTJOIN(keydelim,TRUE,AJ$9,AJ$10,$F216,$D216),#REF!,0)),
INDEX(#REF!,MATCH(_xlfn.TEXTJOIN(keydelim,TRUE,AJ$9,AJ$10,$F216,$D216),#REF!,0))+
INDEX(#REF!,MATCH(_xlfn.TEXTJOIN(keydelim,TRUE,AJ$9,AJ$10,$F216,$D216),#REF!,0))*AJ$214),
MIN(INDEX(#REF!,MATCH(_xlfn.TEXTJOIN(keydelim,TRUE,"Other",AJ$10,$F216,$D216),#REF!,0)),
INDEX(#REF!,MATCH(_xlfn.TEXTJOIN(keydelim,TRUE,"Other",AJ$10,$F216,$D216),#REF!,0))+
INDEX(#REF!,MATCH(_xlfn.TEXTJOIN(keydelim,TRUE,"Other",AJ$10,$F216,$D216),#REF!,0))*AJ$214)
)))</f>
        <v>0</v>
      </c>
      <c r="AK216" s="52" cm="1">
        <f t="array" aca="1" ref="AK216" ca="1">_xlfn.IFS(AK$25="Manual",AJ216,
AK$25="Regression",
MAX(0,
IFERROR(MIN(INDEX(#REF!,MATCH(_xlfn.TEXTJOIN(keydelim,TRUE,AK$9,AK$10,$F216,$D216),#REF!,0)),
INDEX(#REF!,MATCH(_xlfn.TEXTJOIN(keydelim,TRUE,AK$9,AK$10,$F216,$D216),#REF!,0))+
INDEX(#REF!,MATCH(_xlfn.TEXTJOIN(keydelim,TRUE,AK$9,AK$10,$F216,$D216),#REF!,0))*AK$214),
MIN(INDEX(#REF!,MATCH(_xlfn.TEXTJOIN(keydelim,TRUE,"Other",AK$10,$F216,$D216),#REF!,0)),
INDEX(#REF!,MATCH(_xlfn.TEXTJOIN(keydelim,TRUE,"Other",AK$10,$F216,$D216),#REF!,0))+
INDEX(#REF!,MATCH(_xlfn.TEXTJOIN(keydelim,TRUE,"Other",AK$10,$F216,$D216),#REF!,0))*AK$214)
)))</f>
        <v>0</v>
      </c>
      <c r="AL216" s="52" cm="1">
        <f t="array" aca="1" ref="AL216" ca="1">_xlfn.IFS(AL$25="Manual",AK216,
AL$25="Regression",
MAX(0,
IFERROR(MIN(INDEX(#REF!,MATCH(_xlfn.TEXTJOIN(keydelim,TRUE,AL$9,AL$10,$F216,$D216),#REF!,0)),
INDEX(#REF!,MATCH(_xlfn.TEXTJOIN(keydelim,TRUE,AL$9,AL$10,$F216,$D216),#REF!,0))+
INDEX(#REF!,MATCH(_xlfn.TEXTJOIN(keydelim,TRUE,AL$9,AL$10,$F216,$D216),#REF!,0))*AL$214),
MIN(INDEX(#REF!,MATCH(_xlfn.TEXTJOIN(keydelim,TRUE,"Other",AL$10,$F216,$D216),#REF!,0)),
INDEX(#REF!,MATCH(_xlfn.TEXTJOIN(keydelim,TRUE,"Other",AL$10,$F216,$D216),#REF!,0))+
INDEX(#REF!,MATCH(_xlfn.TEXTJOIN(keydelim,TRUE,"Other",AL$10,$F216,$D216),#REF!,0))*AL$214)
)))</f>
        <v>0</v>
      </c>
      <c r="AR216" s="16" t="s">
        <v>319</v>
      </c>
      <c r="AS216" s="224" t="s">
        <v>400</v>
      </c>
      <c r="AT216" s="298" t="s">
        <v>402</v>
      </c>
      <c r="AU216" s="315" cm="1">
        <f t="array" aca="1" ref="AU216" ca="1">_xlfn.IFS(AU$25="Manual",AU390,
AU$25="Regression",
MAX(0,
IFERROR(MIN(INDEX(#REF!,MATCH(_xlfn.TEXTJOIN(keydelim,TRUE,AU$9,AU$10,$F216,$D216),#REF!,0)),
INDEX(#REF!,MATCH(_xlfn.TEXTJOIN(keydelim,TRUE,AU$9,AU$10,$F216,$D216),#REF!,0))+
INDEX(#REF!,MATCH(_xlfn.TEXTJOIN(keydelim,TRUE,AU$9,AU$10,$F216,$D216),#REF!,0))*AU$214),
MIN(INDEX(#REF!,MATCH(_xlfn.TEXTJOIN(keydelim,TRUE,"Other",AU$10,$F216,$D216),#REF!,0)),
INDEX(#REF!,MATCH(_xlfn.TEXTJOIN(keydelim,TRUE,"Other",AU$10,$F216,$D216),#REF!,0))+
INDEX(#REF!,MATCH(_xlfn.TEXTJOIN(keydelim,TRUE,"Other",AU$10,$F216,$D216),#REF!,0))*AU$214)
)))</f>
        <v>0</v>
      </c>
      <c r="AV216" s="52" cm="1">
        <f t="array" aca="1" ref="AV216" ca="1">_xlfn.IFS(AV$25="Manual",AU216,
AV$25="Regression",
MAX(0,
IFERROR(MIN(INDEX(#REF!,MATCH(_xlfn.TEXTJOIN(keydelim,TRUE,AV$9,AV$10,$F216,$D216),#REF!,0)),
INDEX(#REF!,MATCH(_xlfn.TEXTJOIN(keydelim,TRUE,AV$9,AV$10,$F216,$D216),#REF!,0))+
INDEX(#REF!,MATCH(_xlfn.TEXTJOIN(keydelim,TRUE,AV$9,AV$10,$F216,$D216),#REF!,0))*AV$214),
MIN(INDEX(#REF!,MATCH(_xlfn.TEXTJOIN(keydelim,TRUE,"Other",AV$10,$F216,$D216),#REF!,0)),
INDEX(#REF!,MATCH(_xlfn.TEXTJOIN(keydelim,TRUE,"Other",AV$10,$F216,$D216),#REF!,0))+
INDEX(#REF!,MATCH(_xlfn.TEXTJOIN(keydelim,TRUE,"Other",AV$10,$F216,$D216),#REF!,0))*AV$214)
)))</f>
        <v>0</v>
      </c>
      <c r="AW216" s="52" cm="1">
        <f t="array" aca="1" ref="AW216" ca="1">_xlfn.IFS(AW$25="Manual",AV216,
AW$25="Regression",
MAX(0,
IFERROR(MIN(INDEX(#REF!,MATCH(_xlfn.TEXTJOIN(keydelim,TRUE,AW$9,AW$10,$F216,$D216),#REF!,0)),
INDEX(#REF!,MATCH(_xlfn.TEXTJOIN(keydelim,TRUE,AW$9,AW$10,$F216,$D216),#REF!,0))+
INDEX(#REF!,MATCH(_xlfn.TEXTJOIN(keydelim,TRUE,AW$9,AW$10,$F216,$D216),#REF!,0))*AW$214),
MIN(INDEX(#REF!,MATCH(_xlfn.TEXTJOIN(keydelim,TRUE,"Other",AW$10,$F216,$D216),#REF!,0)),
INDEX(#REF!,MATCH(_xlfn.TEXTJOIN(keydelim,TRUE,"Other",AW$10,$F216,$D216),#REF!,0))+
INDEX(#REF!,MATCH(_xlfn.TEXTJOIN(keydelim,TRUE,"Other",AW$10,$F216,$D216),#REF!,0))*AW$214)
)))</f>
        <v>0</v>
      </c>
      <c r="AX216" s="52" cm="1">
        <f t="array" aca="1" ref="AX216" ca="1">_xlfn.IFS(AX$25="Manual",AW216,
AX$25="Regression",
MAX(0,
IFERROR(MIN(INDEX(#REF!,MATCH(_xlfn.TEXTJOIN(keydelim,TRUE,AX$9,AX$10,$F216,$D216),#REF!,0)),
INDEX(#REF!,MATCH(_xlfn.TEXTJOIN(keydelim,TRUE,AX$9,AX$10,$F216,$D216),#REF!,0))+
INDEX(#REF!,MATCH(_xlfn.TEXTJOIN(keydelim,TRUE,AX$9,AX$10,$F216,$D216),#REF!,0))*AX$214),
MIN(INDEX(#REF!,MATCH(_xlfn.TEXTJOIN(keydelim,TRUE,"Other",AX$10,$F216,$D216),#REF!,0)),
INDEX(#REF!,MATCH(_xlfn.TEXTJOIN(keydelim,TRUE,"Other",AX$10,$F216,$D216),#REF!,0))+
INDEX(#REF!,MATCH(_xlfn.TEXTJOIN(keydelim,TRUE,"Other",AX$10,$F216,$D216),#REF!,0))*AX$214)
)))</f>
        <v>0</v>
      </c>
      <c r="AY216" s="52" cm="1">
        <f t="array" aca="1" ref="AY216" ca="1">_xlfn.IFS(AY$25="Manual",AX216,
AY$25="Regression",
MAX(0,
IFERROR(MIN(INDEX(#REF!,MATCH(_xlfn.TEXTJOIN(keydelim,TRUE,AY$9,AY$10,$F216,$D216),#REF!,0)),
INDEX(#REF!,MATCH(_xlfn.TEXTJOIN(keydelim,TRUE,AY$9,AY$10,$F216,$D216),#REF!,0))+
INDEX(#REF!,MATCH(_xlfn.TEXTJOIN(keydelim,TRUE,AY$9,AY$10,$F216,$D216),#REF!,0))*AY$214),
MIN(INDEX(#REF!,MATCH(_xlfn.TEXTJOIN(keydelim,TRUE,"Other",AY$10,$F216,$D216),#REF!,0)),
INDEX(#REF!,MATCH(_xlfn.TEXTJOIN(keydelim,TRUE,"Other",AY$10,$F216,$D216),#REF!,0))+
INDEX(#REF!,MATCH(_xlfn.TEXTJOIN(keydelim,TRUE,"Other",AY$10,$F216,$D216),#REF!,0))*AY$214)
)))</f>
        <v>0</v>
      </c>
      <c r="AZ216" s="52" cm="1">
        <f t="array" aca="1" ref="AZ216" ca="1">_xlfn.IFS(AZ$25="Manual",AY216,
AZ$25="Regression",
MAX(0,
IFERROR(MIN(INDEX(#REF!,MATCH(_xlfn.TEXTJOIN(keydelim,TRUE,AZ$9,AZ$10,$F216,$D216),#REF!,0)),
INDEX(#REF!,MATCH(_xlfn.TEXTJOIN(keydelim,TRUE,AZ$9,AZ$10,$F216,$D216),#REF!,0))+
INDEX(#REF!,MATCH(_xlfn.TEXTJOIN(keydelim,TRUE,AZ$9,AZ$10,$F216,$D216),#REF!,0))*AZ$214),
MIN(INDEX(#REF!,MATCH(_xlfn.TEXTJOIN(keydelim,TRUE,"Other",AZ$10,$F216,$D216),#REF!,0)),
INDEX(#REF!,MATCH(_xlfn.TEXTJOIN(keydelim,TRUE,"Other",AZ$10,$F216,$D216),#REF!,0))+
INDEX(#REF!,MATCH(_xlfn.TEXTJOIN(keydelim,TRUE,"Other",AZ$10,$F216,$D216),#REF!,0))*AZ$214)
)))</f>
        <v>0</v>
      </c>
      <c r="BA216" s="52" cm="1">
        <f t="array" aca="1" ref="BA216" ca="1">_xlfn.IFS(BA$25="Manual",AZ216,
BA$25="Regression",
MAX(0,
IFERROR(MIN(INDEX(#REF!,MATCH(_xlfn.TEXTJOIN(keydelim,TRUE,BA$9,BA$10,$F216,$D216),#REF!,0)),
INDEX(#REF!,MATCH(_xlfn.TEXTJOIN(keydelim,TRUE,BA$9,BA$10,$F216,$D216),#REF!,0))+
INDEX(#REF!,MATCH(_xlfn.TEXTJOIN(keydelim,TRUE,BA$9,BA$10,$F216,$D216),#REF!,0))*BA$214),
MIN(INDEX(#REF!,MATCH(_xlfn.TEXTJOIN(keydelim,TRUE,"Other",BA$10,$F216,$D216),#REF!,0)),
INDEX(#REF!,MATCH(_xlfn.TEXTJOIN(keydelim,TRUE,"Other",BA$10,$F216,$D216),#REF!,0))+
INDEX(#REF!,MATCH(_xlfn.TEXTJOIN(keydelim,TRUE,"Other",BA$10,$F216,$D216),#REF!,0))*BA$214)
)))</f>
        <v>0</v>
      </c>
      <c r="BB216" s="52" cm="1">
        <f t="array" aca="1" ref="BB216" ca="1">_xlfn.IFS(BB$25="Manual",BA216,
BB$25="Regression",
MAX(0,
IFERROR(MIN(INDEX(#REF!,MATCH(_xlfn.TEXTJOIN(keydelim,TRUE,BB$9,BB$10,$F216,$D216),#REF!,0)),
INDEX(#REF!,MATCH(_xlfn.TEXTJOIN(keydelim,TRUE,BB$9,BB$10,$F216,$D216),#REF!,0))+
INDEX(#REF!,MATCH(_xlfn.TEXTJOIN(keydelim,TRUE,BB$9,BB$10,$F216,$D216),#REF!,0))*BB$214),
MIN(INDEX(#REF!,MATCH(_xlfn.TEXTJOIN(keydelim,TRUE,"Other",BB$10,$F216,$D216),#REF!,0)),
INDEX(#REF!,MATCH(_xlfn.TEXTJOIN(keydelim,TRUE,"Other",BB$10,$F216,$D216),#REF!,0))+
INDEX(#REF!,MATCH(_xlfn.TEXTJOIN(keydelim,TRUE,"Other",BB$10,$F216,$D216),#REF!,0))*BB$214)
)))</f>
        <v>0</v>
      </c>
      <c r="BC216" s="52" cm="1">
        <f t="array" aca="1" ref="BC216" ca="1">_xlfn.IFS(BC$25="Manual",BB216,
BC$25="Regression",
MAX(0,
IFERROR(MIN(INDEX(#REF!,MATCH(_xlfn.TEXTJOIN(keydelim,TRUE,BC$9,BC$10,$F216,$D216),#REF!,0)),
INDEX(#REF!,MATCH(_xlfn.TEXTJOIN(keydelim,TRUE,BC$9,BC$10,$F216,$D216),#REF!,0))+
INDEX(#REF!,MATCH(_xlfn.TEXTJOIN(keydelim,TRUE,BC$9,BC$10,$F216,$D216),#REF!,0))*BC$214),
MIN(INDEX(#REF!,MATCH(_xlfn.TEXTJOIN(keydelim,TRUE,"Other",BC$10,$F216,$D216),#REF!,0)),
INDEX(#REF!,MATCH(_xlfn.TEXTJOIN(keydelim,TRUE,"Other",BC$10,$F216,$D216),#REF!,0))+
INDEX(#REF!,MATCH(_xlfn.TEXTJOIN(keydelim,TRUE,"Other",BC$10,$F216,$D216),#REF!,0))*BC$214)
)))</f>
        <v>0</v>
      </c>
      <c r="BD216" s="52" cm="1">
        <f t="array" aca="1" ref="BD216" ca="1">_xlfn.IFS(BD$25="Manual",BC216,
BD$25="Regression",
MAX(0,
IFERROR(MIN(INDEX(#REF!,MATCH(_xlfn.TEXTJOIN(keydelim,TRUE,BD$9,BD$10,$F216,$D216),#REF!,0)),
INDEX(#REF!,MATCH(_xlfn.TEXTJOIN(keydelim,TRUE,BD$9,BD$10,$F216,$D216),#REF!,0))+
INDEX(#REF!,MATCH(_xlfn.TEXTJOIN(keydelim,TRUE,BD$9,BD$10,$F216,$D216),#REF!,0))*BD$214),
MIN(INDEX(#REF!,MATCH(_xlfn.TEXTJOIN(keydelim,TRUE,"Other",BD$10,$F216,$D216),#REF!,0)),
INDEX(#REF!,MATCH(_xlfn.TEXTJOIN(keydelim,TRUE,"Other",BD$10,$F216,$D216),#REF!,0))+
INDEX(#REF!,MATCH(_xlfn.TEXTJOIN(keydelim,TRUE,"Other",BD$10,$F216,$D216),#REF!,0))*BD$214)
)))</f>
        <v>0</v>
      </c>
      <c r="BE216" s="52" cm="1">
        <f t="array" aca="1" ref="BE216" ca="1">_xlfn.IFS(BE$25="Manual",BD216,
BE$25="Regression",
MAX(0,
IFERROR(MIN(INDEX(#REF!,MATCH(_xlfn.TEXTJOIN(keydelim,TRUE,BE$9,BE$10,$F216,$D216),#REF!,0)),
INDEX(#REF!,MATCH(_xlfn.TEXTJOIN(keydelim,TRUE,BE$9,BE$10,$F216,$D216),#REF!,0))+
INDEX(#REF!,MATCH(_xlfn.TEXTJOIN(keydelim,TRUE,BE$9,BE$10,$F216,$D216),#REF!,0))*BE$214),
MIN(INDEX(#REF!,MATCH(_xlfn.TEXTJOIN(keydelim,TRUE,"Other",BE$10,$F216,$D216),#REF!,0)),
INDEX(#REF!,MATCH(_xlfn.TEXTJOIN(keydelim,TRUE,"Other",BE$10,$F216,$D216),#REF!,0))+
INDEX(#REF!,MATCH(_xlfn.TEXTJOIN(keydelim,TRUE,"Other",BE$10,$F216,$D216),#REF!,0))*BE$214)
)))</f>
        <v>0</v>
      </c>
      <c r="BF216" s="52" cm="1">
        <f t="array" aca="1" ref="BF216" ca="1">_xlfn.IFS(BF$25="Manual",BE216,
BF$25="Regression",
MAX(0,
IFERROR(MIN(INDEX(#REF!,MATCH(_xlfn.TEXTJOIN(keydelim,TRUE,BF$9,BF$10,$F216,$D216),#REF!,0)),
INDEX(#REF!,MATCH(_xlfn.TEXTJOIN(keydelim,TRUE,BF$9,BF$10,$F216,$D216),#REF!,0))+
INDEX(#REF!,MATCH(_xlfn.TEXTJOIN(keydelim,TRUE,BF$9,BF$10,$F216,$D216),#REF!,0))*BF$214),
MIN(INDEX(#REF!,MATCH(_xlfn.TEXTJOIN(keydelim,TRUE,"Other",BF$10,$F216,$D216),#REF!,0)),
INDEX(#REF!,MATCH(_xlfn.TEXTJOIN(keydelim,TRUE,"Other",BF$10,$F216,$D216),#REF!,0))+
INDEX(#REF!,MATCH(_xlfn.TEXTJOIN(keydelim,TRUE,"Other",BF$10,$F216,$D216),#REF!,0))*BF$214)
)))</f>
        <v>0</v>
      </c>
      <c r="BL216" s="16" t="s">
        <v>319</v>
      </c>
      <c r="BM216" s="224" t="s">
        <v>400</v>
      </c>
      <c r="BN216" s="298" t="s">
        <v>402</v>
      </c>
      <c r="BO216" s="315" cm="1">
        <f t="array" aca="1" ref="BO216" ca="1">_xlfn.IFS(BO$25="Manual",BO390,
BO$25="Regression",
MAX(0,
IFERROR(MIN(INDEX(#REF!,MATCH(_xlfn.TEXTJOIN(keydelim,TRUE,BO$9,BO$10,$F216,$D216),#REF!,0)),
INDEX(#REF!,MATCH(_xlfn.TEXTJOIN(keydelim,TRUE,BO$9,BO$10,$F216,$D216),#REF!,0))+
INDEX(#REF!,MATCH(_xlfn.TEXTJOIN(keydelim,TRUE,BO$9,BO$10,$F216,$D216),#REF!,0))*BO$214),
MIN(INDEX(#REF!,MATCH(_xlfn.TEXTJOIN(keydelim,TRUE,"Other",BO$10,$F216,$D216),#REF!,0)),
INDEX(#REF!,MATCH(_xlfn.TEXTJOIN(keydelim,TRUE,"Other",BO$10,$F216,$D216),#REF!,0))+
INDEX(#REF!,MATCH(_xlfn.TEXTJOIN(keydelim,TRUE,"Other",BO$10,$F216,$D216),#REF!,0))*BO$214)
)))</f>
        <v>0</v>
      </c>
      <c r="BP216" s="52" cm="1">
        <f t="array" aca="1" ref="BP216" ca="1">_xlfn.IFS(BP$25="Manual",BO216,
BP$25="Regression",
MAX(0,
IFERROR(MIN(INDEX(#REF!,MATCH(_xlfn.TEXTJOIN(keydelim,TRUE,BP$9,BP$10,$F216,$D216),#REF!,0)),
INDEX(#REF!,MATCH(_xlfn.TEXTJOIN(keydelim,TRUE,BP$9,BP$10,$F216,$D216),#REF!,0))+
INDEX(#REF!,MATCH(_xlfn.TEXTJOIN(keydelim,TRUE,BP$9,BP$10,$F216,$D216),#REF!,0))*BP$214),
MIN(INDEX(#REF!,MATCH(_xlfn.TEXTJOIN(keydelim,TRUE,"Other",BP$10,$F216,$D216),#REF!,0)),
INDEX(#REF!,MATCH(_xlfn.TEXTJOIN(keydelim,TRUE,"Other",BP$10,$F216,$D216),#REF!,0))+
INDEX(#REF!,MATCH(_xlfn.TEXTJOIN(keydelim,TRUE,"Other",BP$10,$F216,$D216),#REF!,0))*BP$214)
)))</f>
        <v>0</v>
      </c>
      <c r="BQ216" s="52" cm="1">
        <f t="array" aca="1" ref="BQ216" ca="1">_xlfn.IFS(BQ$25="Manual",BP216,
BQ$25="Regression",
MAX(0,
IFERROR(MIN(INDEX(#REF!,MATCH(_xlfn.TEXTJOIN(keydelim,TRUE,BQ$9,BQ$10,$F216,$D216),#REF!,0)),
INDEX(#REF!,MATCH(_xlfn.TEXTJOIN(keydelim,TRUE,BQ$9,BQ$10,$F216,$D216),#REF!,0))+
INDEX(#REF!,MATCH(_xlfn.TEXTJOIN(keydelim,TRUE,BQ$9,BQ$10,$F216,$D216),#REF!,0))*BQ$214),
MIN(INDEX(#REF!,MATCH(_xlfn.TEXTJOIN(keydelim,TRUE,"Other",BQ$10,$F216,$D216),#REF!,0)),
INDEX(#REF!,MATCH(_xlfn.TEXTJOIN(keydelim,TRUE,"Other",BQ$10,$F216,$D216),#REF!,0))+
INDEX(#REF!,MATCH(_xlfn.TEXTJOIN(keydelim,TRUE,"Other",BQ$10,$F216,$D216),#REF!,0))*BQ$214)
)))</f>
        <v>0</v>
      </c>
      <c r="BR216" s="52" cm="1">
        <f t="array" aca="1" ref="BR216" ca="1">_xlfn.IFS(BR$25="Manual",BQ216,
BR$25="Regression",
MAX(0,
IFERROR(MIN(INDEX(#REF!,MATCH(_xlfn.TEXTJOIN(keydelim,TRUE,BR$9,BR$10,$F216,$D216),#REF!,0)),
INDEX(#REF!,MATCH(_xlfn.TEXTJOIN(keydelim,TRUE,BR$9,BR$10,$F216,$D216),#REF!,0))+
INDEX(#REF!,MATCH(_xlfn.TEXTJOIN(keydelim,TRUE,BR$9,BR$10,$F216,$D216),#REF!,0))*BR$214),
MIN(INDEX(#REF!,MATCH(_xlfn.TEXTJOIN(keydelim,TRUE,"Other",BR$10,$F216,$D216),#REF!,0)),
INDEX(#REF!,MATCH(_xlfn.TEXTJOIN(keydelim,TRUE,"Other",BR$10,$F216,$D216),#REF!,0))+
INDEX(#REF!,MATCH(_xlfn.TEXTJOIN(keydelim,TRUE,"Other",BR$10,$F216,$D216),#REF!,0))*BR$214)
)))</f>
        <v>0</v>
      </c>
      <c r="BS216" s="52" cm="1">
        <f t="array" aca="1" ref="BS216" ca="1">_xlfn.IFS(BS$25="Manual",BR216,
BS$25="Regression",
MAX(0,
IFERROR(MIN(INDEX(#REF!,MATCH(_xlfn.TEXTJOIN(keydelim,TRUE,BS$9,BS$10,$F216,$D216),#REF!,0)),
INDEX(#REF!,MATCH(_xlfn.TEXTJOIN(keydelim,TRUE,BS$9,BS$10,$F216,$D216),#REF!,0))+
INDEX(#REF!,MATCH(_xlfn.TEXTJOIN(keydelim,TRUE,BS$9,BS$10,$F216,$D216),#REF!,0))*BS$214),
MIN(INDEX(#REF!,MATCH(_xlfn.TEXTJOIN(keydelim,TRUE,"Other",BS$10,$F216,$D216),#REF!,0)),
INDEX(#REF!,MATCH(_xlfn.TEXTJOIN(keydelim,TRUE,"Other",BS$10,$F216,$D216),#REF!,0))+
INDEX(#REF!,MATCH(_xlfn.TEXTJOIN(keydelim,TRUE,"Other",BS$10,$F216,$D216),#REF!,0))*BS$214)
)))</f>
        <v>0</v>
      </c>
      <c r="BT216" s="52" cm="1">
        <f t="array" aca="1" ref="BT216" ca="1">_xlfn.IFS(BT$25="Manual",BS216,
BT$25="Regression",
MAX(0,
IFERROR(MIN(INDEX(#REF!,MATCH(_xlfn.TEXTJOIN(keydelim,TRUE,BT$9,BT$10,$F216,$D216),#REF!,0)),
INDEX(#REF!,MATCH(_xlfn.TEXTJOIN(keydelim,TRUE,BT$9,BT$10,$F216,$D216),#REF!,0))+
INDEX(#REF!,MATCH(_xlfn.TEXTJOIN(keydelim,TRUE,BT$9,BT$10,$F216,$D216),#REF!,0))*BT$214),
MIN(INDEX(#REF!,MATCH(_xlfn.TEXTJOIN(keydelim,TRUE,"Other",BT$10,$F216,$D216),#REF!,0)),
INDEX(#REF!,MATCH(_xlfn.TEXTJOIN(keydelim,TRUE,"Other",BT$10,$F216,$D216),#REF!,0))+
INDEX(#REF!,MATCH(_xlfn.TEXTJOIN(keydelim,TRUE,"Other",BT$10,$F216,$D216),#REF!,0))*BT$214)
)))</f>
        <v>0</v>
      </c>
      <c r="BU216" s="52" cm="1">
        <f t="array" aca="1" ref="BU216" ca="1">_xlfn.IFS(BU$25="Manual",BT216,
BU$25="Regression",
MAX(0,
IFERROR(MIN(INDEX(#REF!,MATCH(_xlfn.TEXTJOIN(keydelim,TRUE,BU$9,BU$10,$F216,$D216),#REF!,0)),
INDEX(#REF!,MATCH(_xlfn.TEXTJOIN(keydelim,TRUE,BU$9,BU$10,$F216,$D216),#REF!,0))+
INDEX(#REF!,MATCH(_xlfn.TEXTJOIN(keydelim,TRUE,BU$9,BU$10,$F216,$D216),#REF!,0))*BU$214),
MIN(INDEX(#REF!,MATCH(_xlfn.TEXTJOIN(keydelim,TRUE,"Other",BU$10,$F216,$D216),#REF!,0)),
INDEX(#REF!,MATCH(_xlfn.TEXTJOIN(keydelim,TRUE,"Other",BU$10,$F216,$D216),#REF!,0))+
INDEX(#REF!,MATCH(_xlfn.TEXTJOIN(keydelim,TRUE,"Other",BU$10,$F216,$D216),#REF!,0))*BU$214)
)))</f>
        <v>0</v>
      </c>
      <c r="BV216" s="52" cm="1">
        <f t="array" aca="1" ref="BV216" ca="1">_xlfn.IFS(BV$25="Manual",BU216,
BV$25="Regression",
MAX(0,
IFERROR(MIN(INDEX(#REF!,MATCH(_xlfn.TEXTJOIN(keydelim,TRUE,BV$9,BV$10,$F216,$D216),#REF!,0)),
INDEX(#REF!,MATCH(_xlfn.TEXTJOIN(keydelim,TRUE,BV$9,BV$10,$F216,$D216),#REF!,0))+
INDEX(#REF!,MATCH(_xlfn.TEXTJOIN(keydelim,TRUE,BV$9,BV$10,$F216,$D216),#REF!,0))*BV$214),
MIN(INDEX(#REF!,MATCH(_xlfn.TEXTJOIN(keydelim,TRUE,"Other",BV$10,$F216,$D216),#REF!,0)),
INDEX(#REF!,MATCH(_xlfn.TEXTJOIN(keydelim,TRUE,"Other",BV$10,$F216,$D216),#REF!,0))+
INDEX(#REF!,MATCH(_xlfn.TEXTJOIN(keydelim,TRUE,"Other",BV$10,$F216,$D216),#REF!,0))*BV$214)
)))</f>
        <v>0</v>
      </c>
      <c r="BW216" s="52" cm="1">
        <f t="array" aca="1" ref="BW216" ca="1">_xlfn.IFS(BW$25="Manual",BV216,
BW$25="Regression",
MAX(0,
IFERROR(MIN(INDEX(#REF!,MATCH(_xlfn.TEXTJOIN(keydelim,TRUE,BW$9,BW$10,$F216,$D216),#REF!,0)),
INDEX(#REF!,MATCH(_xlfn.TEXTJOIN(keydelim,TRUE,BW$9,BW$10,$F216,$D216),#REF!,0))+
INDEX(#REF!,MATCH(_xlfn.TEXTJOIN(keydelim,TRUE,BW$9,BW$10,$F216,$D216),#REF!,0))*BW$214),
MIN(INDEX(#REF!,MATCH(_xlfn.TEXTJOIN(keydelim,TRUE,"Other",BW$10,$F216,$D216),#REF!,0)),
INDEX(#REF!,MATCH(_xlfn.TEXTJOIN(keydelim,TRUE,"Other",BW$10,$F216,$D216),#REF!,0))+
INDEX(#REF!,MATCH(_xlfn.TEXTJOIN(keydelim,TRUE,"Other",BW$10,$F216,$D216),#REF!,0))*BW$214)
)))</f>
        <v>0</v>
      </c>
      <c r="BX216" s="52" cm="1">
        <f t="array" aca="1" ref="BX216" ca="1">_xlfn.IFS(BX$25="Manual",BW216,
BX$25="Regression",
MAX(0,
IFERROR(MIN(INDEX(#REF!,MATCH(_xlfn.TEXTJOIN(keydelim,TRUE,BX$9,BX$10,$F216,$D216),#REF!,0)),
INDEX(#REF!,MATCH(_xlfn.TEXTJOIN(keydelim,TRUE,BX$9,BX$10,$F216,$D216),#REF!,0))+
INDEX(#REF!,MATCH(_xlfn.TEXTJOIN(keydelim,TRUE,BX$9,BX$10,$F216,$D216),#REF!,0))*BX$214),
MIN(INDEX(#REF!,MATCH(_xlfn.TEXTJOIN(keydelim,TRUE,"Other",BX$10,$F216,$D216),#REF!,0)),
INDEX(#REF!,MATCH(_xlfn.TEXTJOIN(keydelim,TRUE,"Other",BX$10,$F216,$D216),#REF!,0))+
INDEX(#REF!,MATCH(_xlfn.TEXTJOIN(keydelim,TRUE,"Other",BX$10,$F216,$D216),#REF!,0))*BX$214)
)))</f>
        <v>0</v>
      </c>
      <c r="BY216" s="52" cm="1">
        <f t="array" aca="1" ref="BY216" ca="1">_xlfn.IFS(BY$25="Manual",BX216,
BY$25="Regression",
MAX(0,
IFERROR(MIN(INDEX(#REF!,MATCH(_xlfn.TEXTJOIN(keydelim,TRUE,BY$9,BY$10,$F216,$D216),#REF!,0)),
INDEX(#REF!,MATCH(_xlfn.TEXTJOIN(keydelim,TRUE,BY$9,BY$10,$F216,$D216),#REF!,0))+
INDEX(#REF!,MATCH(_xlfn.TEXTJOIN(keydelim,TRUE,BY$9,BY$10,$F216,$D216),#REF!,0))*BY$214),
MIN(INDEX(#REF!,MATCH(_xlfn.TEXTJOIN(keydelim,TRUE,"Other",BY$10,$F216,$D216),#REF!,0)),
INDEX(#REF!,MATCH(_xlfn.TEXTJOIN(keydelim,TRUE,"Other",BY$10,$F216,$D216),#REF!,0))+
INDEX(#REF!,MATCH(_xlfn.TEXTJOIN(keydelim,TRUE,"Other",BY$10,$F216,$D216),#REF!,0))*BY$214)
)))</f>
        <v>0</v>
      </c>
      <c r="BZ216" s="52" cm="1">
        <f t="array" aca="1" ref="BZ216" ca="1">_xlfn.IFS(BZ$25="Manual",BY216,
BZ$25="Regression",
MAX(0,
IFERROR(MIN(INDEX(#REF!,MATCH(_xlfn.TEXTJOIN(keydelim,TRUE,BZ$9,BZ$10,$F216,$D216),#REF!,0)),
INDEX(#REF!,MATCH(_xlfn.TEXTJOIN(keydelim,TRUE,BZ$9,BZ$10,$F216,$D216),#REF!,0))+
INDEX(#REF!,MATCH(_xlfn.TEXTJOIN(keydelim,TRUE,BZ$9,BZ$10,$F216,$D216),#REF!,0))*BZ$214),
MIN(INDEX(#REF!,MATCH(_xlfn.TEXTJOIN(keydelim,TRUE,"Other",BZ$10,$F216,$D216),#REF!,0)),
INDEX(#REF!,MATCH(_xlfn.TEXTJOIN(keydelim,TRUE,"Other",BZ$10,$F216,$D216),#REF!,0))+
INDEX(#REF!,MATCH(_xlfn.TEXTJOIN(keydelim,TRUE,"Other",BZ$10,$F216,$D216),#REF!,0))*BZ$214)
)))</f>
        <v>0</v>
      </c>
      <c r="CF216" s="16" t="s">
        <v>319</v>
      </c>
      <c r="CG216" s="224" t="s">
        <v>400</v>
      </c>
      <c r="CH216" s="298" t="s">
        <v>402</v>
      </c>
      <c r="CI216" s="315" cm="1">
        <f t="array" aca="1" ref="CI216" ca="1">_xlfn.IFS(CI$25="Manual",CI390,
CI$25="Regression",
MAX(0,
IFERROR(MIN(INDEX(#REF!,MATCH(_xlfn.TEXTJOIN(keydelim,TRUE,CI$9,CI$10,$F216,$D216),#REF!,0)),
INDEX(#REF!,MATCH(_xlfn.TEXTJOIN(keydelim,TRUE,CI$9,CI$10,$F216,$D216),#REF!,0))+
INDEX(#REF!,MATCH(_xlfn.TEXTJOIN(keydelim,TRUE,CI$9,CI$10,$F216,$D216),#REF!,0))*CI$214),
MIN(INDEX(#REF!,MATCH(_xlfn.TEXTJOIN(keydelim,TRUE,"Other",CI$10,$F216,$D216),#REF!,0)),
INDEX(#REF!,MATCH(_xlfn.TEXTJOIN(keydelim,TRUE,"Other",CI$10,$F216,$D216),#REF!,0))+
INDEX(#REF!,MATCH(_xlfn.TEXTJOIN(keydelim,TRUE,"Other",CI$10,$F216,$D216),#REF!,0))*CI$214)
)))</f>
        <v>0</v>
      </c>
      <c r="CJ216" s="52" cm="1">
        <f t="array" aca="1" ref="CJ216" ca="1">_xlfn.IFS(CJ$25="Manual",CI216,
CJ$25="Regression",
MAX(0,
IFERROR(MIN(INDEX(#REF!,MATCH(_xlfn.TEXTJOIN(keydelim,TRUE,CJ$9,CJ$10,$F216,$D216),#REF!,0)),
INDEX(#REF!,MATCH(_xlfn.TEXTJOIN(keydelim,TRUE,CJ$9,CJ$10,$F216,$D216),#REF!,0))+
INDEX(#REF!,MATCH(_xlfn.TEXTJOIN(keydelim,TRUE,CJ$9,CJ$10,$F216,$D216),#REF!,0))*CJ$214),
MIN(INDEX(#REF!,MATCH(_xlfn.TEXTJOIN(keydelim,TRUE,"Other",CJ$10,$F216,$D216),#REF!,0)),
INDEX(#REF!,MATCH(_xlfn.TEXTJOIN(keydelim,TRUE,"Other",CJ$10,$F216,$D216),#REF!,0))+
INDEX(#REF!,MATCH(_xlfn.TEXTJOIN(keydelim,TRUE,"Other",CJ$10,$F216,$D216),#REF!,0))*CJ$214)
)))</f>
        <v>0</v>
      </c>
      <c r="CK216" s="52" cm="1">
        <f t="array" aca="1" ref="CK216" ca="1">_xlfn.IFS(CK$25="Manual",CJ216,
CK$25="Regression",
MAX(0,
IFERROR(MIN(INDEX(#REF!,MATCH(_xlfn.TEXTJOIN(keydelim,TRUE,CK$9,CK$10,$F216,$D216),#REF!,0)),
INDEX(#REF!,MATCH(_xlfn.TEXTJOIN(keydelim,TRUE,CK$9,CK$10,$F216,$D216),#REF!,0))+
INDEX(#REF!,MATCH(_xlfn.TEXTJOIN(keydelim,TRUE,CK$9,CK$10,$F216,$D216),#REF!,0))*CK$214),
MIN(INDEX(#REF!,MATCH(_xlfn.TEXTJOIN(keydelim,TRUE,"Other",CK$10,$F216,$D216),#REF!,0)),
INDEX(#REF!,MATCH(_xlfn.TEXTJOIN(keydelim,TRUE,"Other",CK$10,$F216,$D216),#REF!,0))+
INDEX(#REF!,MATCH(_xlfn.TEXTJOIN(keydelim,TRUE,"Other",CK$10,$F216,$D216),#REF!,0))*CK$214)
)))</f>
        <v>0</v>
      </c>
      <c r="CL216" s="52" cm="1">
        <f t="array" aca="1" ref="CL216" ca="1">_xlfn.IFS(CL$25="Manual",CK216,
CL$25="Regression",
MAX(0,
IFERROR(MIN(INDEX(#REF!,MATCH(_xlfn.TEXTJOIN(keydelim,TRUE,CL$9,CL$10,$F216,$D216),#REF!,0)),
INDEX(#REF!,MATCH(_xlfn.TEXTJOIN(keydelim,TRUE,CL$9,CL$10,$F216,$D216),#REF!,0))+
INDEX(#REF!,MATCH(_xlfn.TEXTJOIN(keydelim,TRUE,CL$9,CL$10,$F216,$D216),#REF!,0))*CL$214),
MIN(INDEX(#REF!,MATCH(_xlfn.TEXTJOIN(keydelim,TRUE,"Other",CL$10,$F216,$D216),#REF!,0)),
INDEX(#REF!,MATCH(_xlfn.TEXTJOIN(keydelim,TRUE,"Other",CL$10,$F216,$D216),#REF!,0))+
INDEX(#REF!,MATCH(_xlfn.TEXTJOIN(keydelim,TRUE,"Other",CL$10,$F216,$D216),#REF!,0))*CL$214)
)))</f>
        <v>0</v>
      </c>
      <c r="CM216" s="52" cm="1">
        <f t="array" aca="1" ref="CM216" ca="1">_xlfn.IFS(CM$25="Manual",CL216,
CM$25="Regression",
MAX(0,
IFERROR(MIN(INDEX(#REF!,MATCH(_xlfn.TEXTJOIN(keydelim,TRUE,CM$9,CM$10,$F216,$D216),#REF!,0)),
INDEX(#REF!,MATCH(_xlfn.TEXTJOIN(keydelim,TRUE,CM$9,CM$10,$F216,$D216),#REF!,0))+
INDEX(#REF!,MATCH(_xlfn.TEXTJOIN(keydelim,TRUE,CM$9,CM$10,$F216,$D216),#REF!,0))*CM$214),
MIN(INDEX(#REF!,MATCH(_xlfn.TEXTJOIN(keydelim,TRUE,"Other",CM$10,$F216,$D216),#REF!,0)),
INDEX(#REF!,MATCH(_xlfn.TEXTJOIN(keydelim,TRUE,"Other",CM$10,$F216,$D216),#REF!,0))+
INDEX(#REF!,MATCH(_xlfn.TEXTJOIN(keydelim,TRUE,"Other",CM$10,$F216,$D216),#REF!,0))*CM$214)
)))</f>
        <v>0</v>
      </c>
      <c r="CN216" s="52" cm="1">
        <f t="array" aca="1" ref="CN216" ca="1">_xlfn.IFS(CN$25="Manual",CM216,
CN$25="Regression",
MAX(0,
IFERROR(MIN(INDEX(#REF!,MATCH(_xlfn.TEXTJOIN(keydelim,TRUE,CN$9,CN$10,$F216,$D216),#REF!,0)),
INDEX(#REF!,MATCH(_xlfn.TEXTJOIN(keydelim,TRUE,CN$9,CN$10,$F216,$D216),#REF!,0))+
INDEX(#REF!,MATCH(_xlfn.TEXTJOIN(keydelim,TRUE,CN$9,CN$10,$F216,$D216),#REF!,0))*CN$214),
MIN(INDEX(#REF!,MATCH(_xlfn.TEXTJOIN(keydelim,TRUE,"Other",CN$10,$F216,$D216),#REF!,0)),
INDEX(#REF!,MATCH(_xlfn.TEXTJOIN(keydelim,TRUE,"Other",CN$10,$F216,$D216),#REF!,0))+
INDEX(#REF!,MATCH(_xlfn.TEXTJOIN(keydelim,TRUE,"Other",CN$10,$F216,$D216),#REF!,0))*CN$214)
)))</f>
        <v>0</v>
      </c>
      <c r="CO216" s="52" cm="1">
        <f t="array" aca="1" ref="CO216" ca="1">_xlfn.IFS(CO$25="Manual",CN216,
CO$25="Regression",
MAX(0,
IFERROR(MIN(INDEX(#REF!,MATCH(_xlfn.TEXTJOIN(keydelim,TRUE,CO$9,CO$10,$F216,$D216),#REF!,0)),
INDEX(#REF!,MATCH(_xlfn.TEXTJOIN(keydelim,TRUE,CO$9,CO$10,$F216,$D216),#REF!,0))+
INDEX(#REF!,MATCH(_xlfn.TEXTJOIN(keydelim,TRUE,CO$9,CO$10,$F216,$D216),#REF!,0))*CO$214),
MIN(INDEX(#REF!,MATCH(_xlfn.TEXTJOIN(keydelim,TRUE,"Other",CO$10,$F216,$D216),#REF!,0)),
INDEX(#REF!,MATCH(_xlfn.TEXTJOIN(keydelim,TRUE,"Other",CO$10,$F216,$D216),#REF!,0))+
INDEX(#REF!,MATCH(_xlfn.TEXTJOIN(keydelim,TRUE,"Other",CO$10,$F216,$D216),#REF!,0))*CO$214)
)))</f>
        <v>0</v>
      </c>
      <c r="CP216" s="52" cm="1">
        <f t="array" aca="1" ref="CP216" ca="1">_xlfn.IFS(CP$25="Manual",CO216,
CP$25="Regression",
MAX(0,
IFERROR(MIN(INDEX(#REF!,MATCH(_xlfn.TEXTJOIN(keydelim,TRUE,CP$9,CP$10,$F216,$D216),#REF!,0)),
INDEX(#REF!,MATCH(_xlfn.TEXTJOIN(keydelim,TRUE,CP$9,CP$10,$F216,$D216),#REF!,0))+
INDEX(#REF!,MATCH(_xlfn.TEXTJOIN(keydelim,TRUE,CP$9,CP$10,$F216,$D216),#REF!,0))*CP$214),
MIN(INDEX(#REF!,MATCH(_xlfn.TEXTJOIN(keydelim,TRUE,"Other",CP$10,$F216,$D216),#REF!,0)),
INDEX(#REF!,MATCH(_xlfn.TEXTJOIN(keydelim,TRUE,"Other",CP$10,$F216,$D216),#REF!,0))+
INDEX(#REF!,MATCH(_xlfn.TEXTJOIN(keydelim,TRUE,"Other",CP$10,$F216,$D216),#REF!,0))*CP$214)
)))</f>
        <v>0</v>
      </c>
      <c r="CQ216" s="52" cm="1">
        <f t="array" aca="1" ref="CQ216" ca="1">_xlfn.IFS(CQ$25="Manual",CP216,
CQ$25="Regression",
MAX(0,
IFERROR(MIN(INDEX(#REF!,MATCH(_xlfn.TEXTJOIN(keydelim,TRUE,CQ$9,CQ$10,$F216,$D216),#REF!,0)),
INDEX(#REF!,MATCH(_xlfn.TEXTJOIN(keydelim,TRUE,CQ$9,CQ$10,$F216,$D216),#REF!,0))+
INDEX(#REF!,MATCH(_xlfn.TEXTJOIN(keydelim,TRUE,CQ$9,CQ$10,$F216,$D216),#REF!,0))*CQ$214),
MIN(INDEX(#REF!,MATCH(_xlfn.TEXTJOIN(keydelim,TRUE,"Other",CQ$10,$F216,$D216),#REF!,0)),
INDEX(#REF!,MATCH(_xlfn.TEXTJOIN(keydelim,TRUE,"Other",CQ$10,$F216,$D216),#REF!,0))+
INDEX(#REF!,MATCH(_xlfn.TEXTJOIN(keydelim,TRUE,"Other",CQ$10,$F216,$D216),#REF!,0))*CQ$214)
)))</f>
        <v>0</v>
      </c>
      <c r="CR216" s="52" cm="1">
        <f t="array" aca="1" ref="CR216" ca="1">_xlfn.IFS(CR$25="Manual",CQ216,
CR$25="Regression",
MAX(0,
IFERROR(MIN(INDEX(#REF!,MATCH(_xlfn.TEXTJOIN(keydelim,TRUE,CR$9,CR$10,$F216,$D216),#REF!,0)),
INDEX(#REF!,MATCH(_xlfn.TEXTJOIN(keydelim,TRUE,CR$9,CR$10,$F216,$D216),#REF!,0))+
INDEX(#REF!,MATCH(_xlfn.TEXTJOIN(keydelim,TRUE,CR$9,CR$10,$F216,$D216),#REF!,0))*CR$214),
MIN(INDEX(#REF!,MATCH(_xlfn.TEXTJOIN(keydelim,TRUE,"Other",CR$10,$F216,$D216),#REF!,0)),
INDEX(#REF!,MATCH(_xlfn.TEXTJOIN(keydelim,TRUE,"Other",CR$10,$F216,$D216),#REF!,0))+
INDEX(#REF!,MATCH(_xlfn.TEXTJOIN(keydelim,TRUE,"Other",CR$10,$F216,$D216),#REF!,0))*CR$214)
)))</f>
        <v>0</v>
      </c>
      <c r="CS216" s="52" cm="1">
        <f t="array" aca="1" ref="CS216" ca="1">_xlfn.IFS(CS$25="Manual",CR216,
CS$25="Regression",
MAX(0,
IFERROR(MIN(INDEX(#REF!,MATCH(_xlfn.TEXTJOIN(keydelim,TRUE,CS$9,CS$10,$F216,$D216),#REF!,0)),
INDEX(#REF!,MATCH(_xlfn.TEXTJOIN(keydelim,TRUE,CS$9,CS$10,$F216,$D216),#REF!,0))+
INDEX(#REF!,MATCH(_xlfn.TEXTJOIN(keydelim,TRUE,CS$9,CS$10,$F216,$D216),#REF!,0))*CS$214),
MIN(INDEX(#REF!,MATCH(_xlfn.TEXTJOIN(keydelim,TRUE,"Other",CS$10,$F216,$D216),#REF!,0)),
INDEX(#REF!,MATCH(_xlfn.TEXTJOIN(keydelim,TRUE,"Other",CS$10,$F216,$D216),#REF!,0))+
INDEX(#REF!,MATCH(_xlfn.TEXTJOIN(keydelim,TRUE,"Other",CS$10,$F216,$D216),#REF!,0))*CS$214)
)))</f>
        <v>0</v>
      </c>
      <c r="CT216" s="52" cm="1">
        <f t="array" aca="1" ref="CT216" ca="1">_xlfn.IFS(CT$25="Manual",CS216,
CT$25="Regression",
MAX(0,
IFERROR(MIN(INDEX(#REF!,MATCH(_xlfn.TEXTJOIN(keydelim,TRUE,CT$9,CT$10,$F216,$D216),#REF!,0)),
INDEX(#REF!,MATCH(_xlfn.TEXTJOIN(keydelim,TRUE,CT$9,CT$10,$F216,$D216),#REF!,0))+
INDEX(#REF!,MATCH(_xlfn.TEXTJOIN(keydelim,TRUE,CT$9,CT$10,$F216,$D216),#REF!,0))*CT$214),
MIN(INDEX(#REF!,MATCH(_xlfn.TEXTJOIN(keydelim,TRUE,"Other",CT$10,$F216,$D216),#REF!,0)),
INDEX(#REF!,MATCH(_xlfn.TEXTJOIN(keydelim,TRUE,"Other",CT$10,$F216,$D216),#REF!,0))+
INDEX(#REF!,MATCH(_xlfn.TEXTJOIN(keydelim,TRUE,"Other",CT$10,$F216,$D216),#REF!,0))*CT$214)
)))</f>
        <v>0</v>
      </c>
    </row>
    <row r="217" spans="2:98" hidden="1" outlineLevel="1" x14ac:dyDescent="0.2">
      <c r="C217" s="3"/>
      <c r="D217" s="16" t="s">
        <v>50</v>
      </c>
      <c r="E217" s="224" t="s">
        <v>401</v>
      </c>
      <c r="F217" s="298" t="s">
        <v>402</v>
      </c>
      <c r="G217" s="315" cm="1">
        <f t="array" aca="1" ref="G217" ca="1">_xlfn.IFS(G$25="Manual",G307*constant_vessel_lifetime,
G$25="Regression",
MAX(0,
IFERROR(MIN(INDEX(#REF!,MATCH(_xlfn.TEXTJOIN(keydelim,TRUE,G$9,G$10,$F217,$D217),#REF!,0)),
INDEX(#REF!,MATCH(_xlfn.TEXTJOIN(keydelim,TRUE,G$9,G$10,$F217,$D217),#REF!,0))+
INDEX(#REF!,MATCH(_xlfn.TEXTJOIN(keydelim,TRUE,G$9,G$10,$F217,$D217),#REF!,0))*G$214),
MIN(INDEX(#REF!,MATCH(_xlfn.TEXTJOIN(keydelim,TRUE,"Other",G$10,$F217,$D217),#REF!,0)),
INDEX(#REF!,MATCH(_xlfn.TEXTJOIN(keydelim,TRUE,"Other",G$10,$F217,$D217),#REF!,0))+
INDEX(#REF!,MATCH(_xlfn.TEXTJOIN(keydelim,TRUE,"Other",G$10,$F217,$D217),#REF!,0))*G$214)
)))</f>
        <v>0</v>
      </c>
      <c r="H217" s="52" cm="1">
        <f t="array" aca="1" ref="H217" ca="1">_xlfn.IFS(H$25="Manual",G217,
H$25="Regression",
MAX(0,
IFERROR(MIN(INDEX(#REF!,MATCH(_xlfn.TEXTJOIN(keydelim,TRUE,H$9,H$10,$F217,$D217),#REF!,0)),
INDEX(#REF!,MATCH(_xlfn.TEXTJOIN(keydelim,TRUE,H$9,H$10,$F217,$D217),#REF!,0))+
INDEX(#REF!,MATCH(_xlfn.TEXTJOIN(keydelim,TRUE,H$9,H$10,$F217,$D217),#REF!,0))*H$214),
MIN(INDEX(#REF!,MATCH(_xlfn.TEXTJOIN(keydelim,TRUE,"Other",H$10,$F217,$D217),#REF!,0)),
INDEX(#REF!,MATCH(_xlfn.TEXTJOIN(keydelim,TRUE,"Other",H$10,$F217,$D217),#REF!,0))+
INDEX(#REF!,MATCH(_xlfn.TEXTJOIN(keydelim,TRUE,"Other",H$10,$F217,$D217),#REF!,0))*H$214)
)))</f>
        <v>0</v>
      </c>
      <c r="I217" s="52" cm="1">
        <f t="array" aca="1" ref="I217" ca="1">_xlfn.IFS(I$25="Manual",H217,
I$25="Regression",
MAX(0,
IFERROR(MIN(INDEX(#REF!,MATCH(_xlfn.TEXTJOIN(keydelim,TRUE,I$9,I$10,$F217,$D217),#REF!,0)),
INDEX(#REF!,MATCH(_xlfn.TEXTJOIN(keydelim,TRUE,I$9,I$10,$F217,$D217),#REF!,0))+
INDEX(#REF!,MATCH(_xlfn.TEXTJOIN(keydelim,TRUE,I$9,I$10,$F217,$D217),#REF!,0))*I$214),
MIN(INDEX(#REF!,MATCH(_xlfn.TEXTJOIN(keydelim,TRUE,"Other",I$10,$F217,$D217),#REF!,0)),
INDEX(#REF!,MATCH(_xlfn.TEXTJOIN(keydelim,TRUE,"Other",I$10,$F217,$D217),#REF!,0))+
INDEX(#REF!,MATCH(_xlfn.TEXTJOIN(keydelim,TRUE,"Other",I$10,$F217,$D217),#REF!,0))*I$214)
)))</f>
        <v>0</v>
      </c>
      <c r="J217" s="52" cm="1">
        <f t="array" aca="1" ref="J217" ca="1">_xlfn.IFS(J$25="Manual",I217,
J$25="Regression",
MAX(0,
IFERROR(MIN(INDEX(#REF!,MATCH(_xlfn.TEXTJOIN(keydelim,TRUE,J$9,J$10,$F217,$D217),#REF!,0)),
INDEX(#REF!,MATCH(_xlfn.TEXTJOIN(keydelim,TRUE,J$9,J$10,$F217,$D217),#REF!,0))+
INDEX(#REF!,MATCH(_xlfn.TEXTJOIN(keydelim,TRUE,J$9,J$10,$F217,$D217),#REF!,0))*J$214),
MIN(INDEX(#REF!,MATCH(_xlfn.TEXTJOIN(keydelim,TRUE,"Other",J$10,$F217,$D217),#REF!,0)),
INDEX(#REF!,MATCH(_xlfn.TEXTJOIN(keydelim,TRUE,"Other",J$10,$F217,$D217),#REF!,0))+
INDEX(#REF!,MATCH(_xlfn.TEXTJOIN(keydelim,TRUE,"Other",J$10,$F217,$D217),#REF!,0))*J$214)
)))</f>
        <v>0</v>
      </c>
      <c r="K217" s="52" cm="1">
        <f t="array" aca="1" ref="K217" ca="1">_xlfn.IFS(K$25="Manual",J217,
K$25="Regression",
MAX(0,
IFERROR(MIN(INDEX(#REF!,MATCH(_xlfn.TEXTJOIN(keydelim,TRUE,K$9,K$10,$F217,$D217),#REF!,0)),
INDEX(#REF!,MATCH(_xlfn.TEXTJOIN(keydelim,TRUE,K$9,K$10,$F217,$D217),#REF!,0))+
INDEX(#REF!,MATCH(_xlfn.TEXTJOIN(keydelim,TRUE,K$9,K$10,$F217,$D217),#REF!,0))*K$214),
MIN(INDEX(#REF!,MATCH(_xlfn.TEXTJOIN(keydelim,TRUE,"Other",K$10,$F217,$D217),#REF!,0)),
INDEX(#REF!,MATCH(_xlfn.TEXTJOIN(keydelim,TRUE,"Other",K$10,$F217,$D217),#REF!,0))+
INDEX(#REF!,MATCH(_xlfn.TEXTJOIN(keydelim,TRUE,"Other",K$10,$F217,$D217),#REF!,0))*K$214)
)))</f>
        <v>0</v>
      </c>
      <c r="L217" s="52" cm="1">
        <f t="array" aca="1" ref="L217" ca="1">_xlfn.IFS(L$25="Manual",K217,
L$25="Regression",
MAX(0,
IFERROR(MIN(INDEX(#REF!,MATCH(_xlfn.TEXTJOIN(keydelim,TRUE,L$9,L$10,$F217,$D217),#REF!,0)),
INDEX(#REF!,MATCH(_xlfn.TEXTJOIN(keydelim,TRUE,L$9,L$10,$F217,$D217),#REF!,0))+
INDEX(#REF!,MATCH(_xlfn.TEXTJOIN(keydelim,TRUE,L$9,L$10,$F217,$D217),#REF!,0))*L$214),
MIN(INDEX(#REF!,MATCH(_xlfn.TEXTJOIN(keydelim,TRUE,"Other",L$10,$F217,$D217),#REF!,0)),
INDEX(#REF!,MATCH(_xlfn.TEXTJOIN(keydelim,TRUE,"Other",L$10,$F217,$D217),#REF!,0))+
INDEX(#REF!,MATCH(_xlfn.TEXTJOIN(keydelim,TRUE,"Other",L$10,$F217,$D217),#REF!,0))*L$214)
)))</f>
        <v>0</v>
      </c>
      <c r="M217" s="52" cm="1">
        <f t="array" aca="1" ref="M217" ca="1">_xlfn.IFS(M$25="Manual",L217,
M$25="Regression",
MAX(0,
IFERROR(MIN(INDEX(#REF!,MATCH(_xlfn.TEXTJOIN(keydelim,TRUE,M$9,M$10,$F217,$D217),#REF!,0)),
INDEX(#REF!,MATCH(_xlfn.TEXTJOIN(keydelim,TRUE,M$9,M$10,$F217,$D217),#REF!,0))+
INDEX(#REF!,MATCH(_xlfn.TEXTJOIN(keydelim,TRUE,M$9,M$10,$F217,$D217),#REF!,0))*M$214),
MIN(INDEX(#REF!,MATCH(_xlfn.TEXTJOIN(keydelim,TRUE,"Other",M$10,$F217,$D217),#REF!,0)),
INDEX(#REF!,MATCH(_xlfn.TEXTJOIN(keydelim,TRUE,"Other",M$10,$F217,$D217),#REF!,0))+
INDEX(#REF!,MATCH(_xlfn.TEXTJOIN(keydelim,TRUE,"Other",M$10,$F217,$D217),#REF!,0))*M$214)
)))</f>
        <v>0</v>
      </c>
      <c r="N217" s="52" cm="1">
        <f t="array" aca="1" ref="N217" ca="1">_xlfn.IFS(N$25="Manual",M217,
N$25="Regression",
MAX(0,
IFERROR(MIN(INDEX(#REF!,MATCH(_xlfn.TEXTJOIN(keydelim,TRUE,N$9,N$10,$F217,$D217),#REF!,0)),
INDEX(#REF!,MATCH(_xlfn.TEXTJOIN(keydelim,TRUE,N$9,N$10,$F217,$D217),#REF!,0))+
INDEX(#REF!,MATCH(_xlfn.TEXTJOIN(keydelim,TRUE,N$9,N$10,$F217,$D217),#REF!,0))*N$214),
MIN(INDEX(#REF!,MATCH(_xlfn.TEXTJOIN(keydelim,TRUE,"Other",N$10,$F217,$D217),#REF!,0)),
INDEX(#REF!,MATCH(_xlfn.TEXTJOIN(keydelim,TRUE,"Other",N$10,$F217,$D217),#REF!,0))+
INDEX(#REF!,MATCH(_xlfn.TEXTJOIN(keydelim,TRUE,"Other",N$10,$F217,$D217),#REF!,0))*N$214)
)))</f>
        <v>0</v>
      </c>
      <c r="O217" s="52" cm="1">
        <f t="array" aca="1" ref="O217" ca="1">_xlfn.IFS(O$25="Manual",N217,
O$25="Regression",
MAX(0,
IFERROR(MIN(INDEX(#REF!,MATCH(_xlfn.TEXTJOIN(keydelim,TRUE,O$9,O$10,$F217,$D217),#REF!,0)),
INDEX(#REF!,MATCH(_xlfn.TEXTJOIN(keydelim,TRUE,O$9,O$10,$F217,$D217),#REF!,0))+
INDEX(#REF!,MATCH(_xlfn.TEXTJOIN(keydelim,TRUE,O$9,O$10,$F217,$D217),#REF!,0))*O$214),
MIN(INDEX(#REF!,MATCH(_xlfn.TEXTJOIN(keydelim,TRUE,"Other",O$10,$F217,$D217),#REF!,0)),
INDEX(#REF!,MATCH(_xlfn.TEXTJOIN(keydelim,TRUE,"Other",O$10,$F217,$D217),#REF!,0))+
INDEX(#REF!,MATCH(_xlfn.TEXTJOIN(keydelim,TRUE,"Other",O$10,$F217,$D217),#REF!,0))*O$214)
)))</f>
        <v>0</v>
      </c>
      <c r="P217" s="52" cm="1">
        <f t="array" aca="1" ref="P217" ca="1">_xlfn.IFS(P$25="Manual",O217,
P$25="Regression",
MAX(0,
IFERROR(MIN(INDEX(#REF!,MATCH(_xlfn.TEXTJOIN(keydelim,TRUE,P$9,P$10,$F217,$D217),#REF!,0)),
INDEX(#REF!,MATCH(_xlfn.TEXTJOIN(keydelim,TRUE,P$9,P$10,$F217,$D217),#REF!,0))+
INDEX(#REF!,MATCH(_xlfn.TEXTJOIN(keydelim,TRUE,P$9,P$10,$F217,$D217),#REF!,0))*P$214),
MIN(INDEX(#REF!,MATCH(_xlfn.TEXTJOIN(keydelim,TRUE,"Other",P$10,$F217,$D217),#REF!,0)),
INDEX(#REF!,MATCH(_xlfn.TEXTJOIN(keydelim,TRUE,"Other",P$10,$F217,$D217),#REF!,0))+
INDEX(#REF!,MATCH(_xlfn.TEXTJOIN(keydelim,TRUE,"Other",P$10,$F217,$D217),#REF!,0))*P$214)
)))</f>
        <v>0</v>
      </c>
      <c r="Q217" s="52" cm="1">
        <f t="array" aca="1" ref="Q217" ca="1">_xlfn.IFS(Q$25="Manual",P217,
Q$25="Regression",
MAX(0,
IFERROR(MIN(INDEX(#REF!,MATCH(_xlfn.TEXTJOIN(keydelim,TRUE,Q$9,Q$10,$F217,$D217),#REF!,0)),
INDEX(#REF!,MATCH(_xlfn.TEXTJOIN(keydelim,TRUE,Q$9,Q$10,$F217,$D217),#REF!,0))+
INDEX(#REF!,MATCH(_xlfn.TEXTJOIN(keydelim,TRUE,Q$9,Q$10,$F217,$D217),#REF!,0))*Q$214),
MIN(INDEX(#REF!,MATCH(_xlfn.TEXTJOIN(keydelim,TRUE,"Other",Q$10,$F217,$D217),#REF!,0)),
INDEX(#REF!,MATCH(_xlfn.TEXTJOIN(keydelim,TRUE,"Other",Q$10,$F217,$D217),#REF!,0))+
INDEX(#REF!,MATCH(_xlfn.TEXTJOIN(keydelim,TRUE,"Other",Q$10,$F217,$D217),#REF!,0))*Q$214)
)))</f>
        <v>0</v>
      </c>
      <c r="R217" s="52" cm="1">
        <f t="array" aca="1" ref="R217" ca="1">_xlfn.IFS(R$25="Manual",Q217,
R$25="Regression",
MAX(0,
IFERROR(MIN(INDEX(#REF!,MATCH(_xlfn.TEXTJOIN(keydelim,TRUE,R$9,R$10,$F217,$D217),#REF!,0)),
INDEX(#REF!,MATCH(_xlfn.TEXTJOIN(keydelim,TRUE,R$9,R$10,$F217,$D217),#REF!,0))+
INDEX(#REF!,MATCH(_xlfn.TEXTJOIN(keydelim,TRUE,R$9,R$10,$F217,$D217),#REF!,0))*R$214),
MIN(INDEX(#REF!,MATCH(_xlfn.TEXTJOIN(keydelim,TRUE,"Other",R$10,$F217,$D217),#REF!,0)),
INDEX(#REF!,MATCH(_xlfn.TEXTJOIN(keydelim,TRUE,"Other",R$10,$F217,$D217),#REF!,0))+
INDEX(#REF!,MATCH(_xlfn.TEXTJOIN(keydelim,TRUE,"Other",R$10,$F217,$D217),#REF!,0))*R$214)
)))</f>
        <v>0</v>
      </c>
      <c r="X217" s="16" t="s">
        <v>50</v>
      </c>
      <c r="Y217" s="224" t="s">
        <v>401</v>
      </c>
      <c r="Z217" s="298" t="s">
        <v>402</v>
      </c>
      <c r="AA217" s="315" cm="1">
        <f t="array" aca="1" ref="AA217" ca="1">_xlfn.IFS(AA$25="Manual",AA307*constant_vessel_lifetime,
AA$25="Regression",
MAX(0,
IFERROR(MIN(INDEX(#REF!,MATCH(_xlfn.TEXTJOIN(keydelim,TRUE,AA$9,AA$10,$F217,$D217),#REF!,0)),
INDEX(#REF!,MATCH(_xlfn.TEXTJOIN(keydelim,TRUE,AA$9,AA$10,$F217,$D217),#REF!,0))+
INDEX(#REF!,MATCH(_xlfn.TEXTJOIN(keydelim,TRUE,AA$9,AA$10,$F217,$D217),#REF!,0))*AA$214),
MIN(INDEX(#REF!,MATCH(_xlfn.TEXTJOIN(keydelim,TRUE,"Other",AA$10,$F217,$D217),#REF!,0)),
INDEX(#REF!,MATCH(_xlfn.TEXTJOIN(keydelim,TRUE,"Other",AA$10,$F217,$D217),#REF!,0))+
INDEX(#REF!,MATCH(_xlfn.TEXTJOIN(keydelim,TRUE,"Other",AA$10,$F217,$D217),#REF!,0))*AA$214)
)))</f>
        <v>0</v>
      </c>
      <c r="AB217" s="52" cm="1">
        <f t="array" aca="1" ref="AB217" ca="1">_xlfn.IFS(AB$25="Manual",AA217,
AB$25="Regression",
MAX(0,
IFERROR(MIN(INDEX(#REF!,MATCH(_xlfn.TEXTJOIN(keydelim,TRUE,AB$9,AB$10,$F217,$D217),#REF!,0)),
INDEX(#REF!,MATCH(_xlfn.TEXTJOIN(keydelim,TRUE,AB$9,AB$10,$F217,$D217),#REF!,0))+
INDEX(#REF!,MATCH(_xlfn.TEXTJOIN(keydelim,TRUE,AB$9,AB$10,$F217,$D217),#REF!,0))*AB$214),
MIN(INDEX(#REF!,MATCH(_xlfn.TEXTJOIN(keydelim,TRUE,"Other",AB$10,$F217,$D217),#REF!,0)),
INDEX(#REF!,MATCH(_xlfn.TEXTJOIN(keydelim,TRUE,"Other",AB$10,$F217,$D217),#REF!,0))+
INDEX(#REF!,MATCH(_xlfn.TEXTJOIN(keydelim,TRUE,"Other",AB$10,$F217,$D217),#REF!,0))*AB$214)
)))</f>
        <v>0</v>
      </c>
      <c r="AC217" s="52" cm="1">
        <f t="array" aca="1" ref="AC217" ca="1">_xlfn.IFS(AC$25="Manual",AB217,
AC$25="Regression",
MAX(0,
IFERROR(MIN(INDEX(#REF!,MATCH(_xlfn.TEXTJOIN(keydelim,TRUE,AC$9,AC$10,$F217,$D217),#REF!,0)),
INDEX(#REF!,MATCH(_xlfn.TEXTJOIN(keydelim,TRUE,AC$9,AC$10,$F217,$D217),#REF!,0))+
INDEX(#REF!,MATCH(_xlfn.TEXTJOIN(keydelim,TRUE,AC$9,AC$10,$F217,$D217),#REF!,0))*AC$214),
MIN(INDEX(#REF!,MATCH(_xlfn.TEXTJOIN(keydelim,TRUE,"Other",AC$10,$F217,$D217),#REF!,0)),
INDEX(#REF!,MATCH(_xlfn.TEXTJOIN(keydelim,TRUE,"Other",AC$10,$F217,$D217),#REF!,0))+
INDEX(#REF!,MATCH(_xlfn.TEXTJOIN(keydelim,TRUE,"Other",AC$10,$F217,$D217),#REF!,0))*AC$214)
)))</f>
        <v>0</v>
      </c>
      <c r="AD217" s="52" cm="1">
        <f t="array" aca="1" ref="AD217" ca="1">_xlfn.IFS(AD$25="Manual",AC217,
AD$25="Regression",
MAX(0,
IFERROR(MIN(INDEX(#REF!,MATCH(_xlfn.TEXTJOIN(keydelim,TRUE,AD$9,AD$10,$F217,$D217),#REF!,0)),
INDEX(#REF!,MATCH(_xlfn.TEXTJOIN(keydelim,TRUE,AD$9,AD$10,$F217,$D217),#REF!,0))+
INDEX(#REF!,MATCH(_xlfn.TEXTJOIN(keydelim,TRUE,AD$9,AD$10,$F217,$D217),#REF!,0))*AD$214),
MIN(INDEX(#REF!,MATCH(_xlfn.TEXTJOIN(keydelim,TRUE,"Other",AD$10,$F217,$D217),#REF!,0)),
INDEX(#REF!,MATCH(_xlfn.TEXTJOIN(keydelim,TRUE,"Other",AD$10,$F217,$D217),#REF!,0))+
INDEX(#REF!,MATCH(_xlfn.TEXTJOIN(keydelim,TRUE,"Other",AD$10,$F217,$D217),#REF!,0))*AD$214)
)))</f>
        <v>0</v>
      </c>
      <c r="AE217" s="52" cm="1">
        <f t="array" aca="1" ref="AE217" ca="1">_xlfn.IFS(AE$25="Manual",AD217,
AE$25="Regression",
MAX(0,
IFERROR(MIN(INDEX(#REF!,MATCH(_xlfn.TEXTJOIN(keydelim,TRUE,AE$9,AE$10,$F217,$D217),#REF!,0)),
INDEX(#REF!,MATCH(_xlfn.TEXTJOIN(keydelim,TRUE,AE$9,AE$10,$F217,$D217),#REF!,0))+
INDEX(#REF!,MATCH(_xlfn.TEXTJOIN(keydelim,TRUE,AE$9,AE$10,$F217,$D217),#REF!,0))*AE$214),
MIN(INDEX(#REF!,MATCH(_xlfn.TEXTJOIN(keydelim,TRUE,"Other",AE$10,$F217,$D217),#REF!,0)),
INDEX(#REF!,MATCH(_xlfn.TEXTJOIN(keydelim,TRUE,"Other",AE$10,$F217,$D217),#REF!,0))+
INDEX(#REF!,MATCH(_xlfn.TEXTJOIN(keydelim,TRUE,"Other",AE$10,$F217,$D217),#REF!,0))*AE$214)
)))</f>
        <v>0</v>
      </c>
      <c r="AF217" s="52" cm="1">
        <f t="array" aca="1" ref="AF217" ca="1">_xlfn.IFS(AF$25="Manual",AE217,
AF$25="Regression",
MAX(0,
IFERROR(MIN(INDEX(#REF!,MATCH(_xlfn.TEXTJOIN(keydelim,TRUE,AF$9,AF$10,$F217,$D217),#REF!,0)),
INDEX(#REF!,MATCH(_xlfn.TEXTJOIN(keydelim,TRUE,AF$9,AF$10,$F217,$D217),#REF!,0))+
INDEX(#REF!,MATCH(_xlfn.TEXTJOIN(keydelim,TRUE,AF$9,AF$10,$F217,$D217),#REF!,0))*AF$214),
MIN(INDEX(#REF!,MATCH(_xlfn.TEXTJOIN(keydelim,TRUE,"Other",AF$10,$F217,$D217),#REF!,0)),
INDEX(#REF!,MATCH(_xlfn.TEXTJOIN(keydelim,TRUE,"Other",AF$10,$F217,$D217),#REF!,0))+
INDEX(#REF!,MATCH(_xlfn.TEXTJOIN(keydelim,TRUE,"Other",AF$10,$F217,$D217),#REF!,0))*AF$214)
)))</f>
        <v>0</v>
      </c>
      <c r="AG217" s="52" cm="1">
        <f t="array" aca="1" ref="AG217" ca="1">_xlfn.IFS(AG$25="Manual",AF217,
AG$25="Regression",
MAX(0,
IFERROR(MIN(INDEX(#REF!,MATCH(_xlfn.TEXTJOIN(keydelim,TRUE,AG$9,AG$10,$F217,$D217),#REF!,0)),
INDEX(#REF!,MATCH(_xlfn.TEXTJOIN(keydelim,TRUE,AG$9,AG$10,$F217,$D217),#REF!,0))+
INDEX(#REF!,MATCH(_xlfn.TEXTJOIN(keydelim,TRUE,AG$9,AG$10,$F217,$D217),#REF!,0))*AG$214),
MIN(INDEX(#REF!,MATCH(_xlfn.TEXTJOIN(keydelim,TRUE,"Other",AG$10,$F217,$D217),#REF!,0)),
INDEX(#REF!,MATCH(_xlfn.TEXTJOIN(keydelim,TRUE,"Other",AG$10,$F217,$D217),#REF!,0))+
INDEX(#REF!,MATCH(_xlfn.TEXTJOIN(keydelim,TRUE,"Other",AG$10,$F217,$D217),#REF!,0))*AG$214)
)))</f>
        <v>0</v>
      </c>
      <c r="AH217" s="52" cm="1">
        <f t="array" aca="1" ref="AH217" ca="1">_xlfn.IFS(AH$25="Manual",AG217,
AH$25="Regression",
MAX(0,
IFERROR(MIN(INDEX(#REF!,MATCH(_xlfn.TEXTJOIN(keydelim,TRUE,AH$9,AH$10,$F217,$D217),#REF!,0)),
INDEX(#REF!,MATCH(_xlfn.TEXTJOIN(keydelim,TRUE,AH$9,AH$10,$F217,$D217),#REF!,0))+
INDEX(#REF!,MATCH(_xlfn.TEXTJOIN(keydelim,TRUE,AH$9,AH$10,$F217,$D217),#REF!,0))*AH$214),
MIN(INDEX(#REF!,MATCH(_xlfn.TEXTJOIN(keydelim,TRUE,"Other",AH$10,$F217,$D217),#REF!,0)),
INDEX(#REF!,MATCH(_xlfn.TEXTJOIN(keydelim,TRUE,"Other",AH$10,$F217,$D217),#REF!,0))+
INDEX(#REF!,MATCH(_xlfn.TEXTJOIN(keydelim,TRUE,"Other",AH$10,$F217,$D217),#REF!,0))*AH$214)
)))</f>
        <v>0</v>
      </c>
      <c r="AI217" s="52" cm="1">
        <f t="array" aca="1" ref="AI217" ca="1">_xlfn.IFS(AI$25="Manual",AH217,
AI$25="Regression",
MAX(0,
IFERROR(MIN(INDEX(#REF!,MATCH(_xlfn.TEXTJOIN(keydelim,TRUE,AI$9,AI$10,$F217,$D217),#REF!,0)),
INDEX(#REF!,MATCH(_xlfn.TEXTJOIN(keydelim,TRUE,AI$9,AI$10,$F217,$D217),#REF!,0))+
INDEX(#REF!,MATCH(_xlfn.TEXTJOIN(keydelim,TRUE,AI$9,AI$10,$F217,$D217),#REF!,0))*AI$214),
MIN(INDEX(#REF!,MATCH(_xlfn.TEXTJOIN(keydelim,TRUE,"Other",AI$10,$F217,$D217),#REF!,0)),
INDEX(#REF!,MATCH(_xlfn.TEXTJOIN(keydelim,TRUE,"Other",AI$10,$F217,$D217),#REF!,0))+
INDEX(#REF!,MATCH(_xlfn.TEXTJOIN(keydelim,TRUE,"Other",AI$10,$F217,$D217),#REF!,0))*AI$214)
)))</f>
        <v>0</v>
      </c>
      <c r="AJ217" s="52" cm="1">
        <f t="array" aca="1" ref="AJ217" ca="1">_xlfn.IFS(AJ$25="Manual",AI217,
AJ$25="Regression",
MAX(0,
IFERROR(MIN(INDEX(#REF!,MATCH(_xlfn.TEXTJOIN(keydelim,TRUE,AJ$9,AJ$10,$F217,$D217),#REF!,0)),
INDEX(#REF!,MATCH(_xlfn.TEXTJOIN(keydelim,TRUE,AJ$9,AJ$10,$F217,$D217),#REF!,0))+
INDEX(#REF!,MATCH(_xlfn.TEXTJOIN(keydelim,TRUE,AJ$9,AJ$10,$F217,$D217),#REF!,0))*AJ$214),
MIN(INDEX(#REF!,MATCH(_xlfn.TEXTJOIN(keydelim,TRUE,"Other",AJ$10,$F217,$D217),#REF!,0)),
INDEX(#REF!,MATCH(_xlfn.TEXTJOIN(keydelim,TRUE,"Other",AJ$10,$F217,$D217),#REF!,0))+
INDEX(#REF!,MATCH(_xlfn.TEXTJOIN(keydelim,TRUE,"Other",AJ$10,$F217,$D217),#REF!,0))*AJ$214)
)))</f>
        <v>0</v>
      </c>
      <c r="AK217" s="52" cm="1">
        <f t="array" aca="1" ref="AK217" ca="1">_xlfn.IFS(AK$25="Manual",AJ217,
AK$25="Regression",
MAX(0,
IFERROR(MIN(INDEX(#REF!,MATCH(_xlfn.TEXTJOIN(keydelim,TRUE,AK$9,AK$10,$F217,$D217),#REF!,0)),
INDEX(#REF!,MATCH(_xlfn.TEXTJOIN(keydelim,TRUE,AK$9,AK$10,$F217,$D217),#REF!,0))+
INDEX(#REF!,MATCH(_xlfn.TEXTJOIN(keydelim,TRUE,AK$9,AK$10,$F217,$D217),#REF!,0))*AK$214),
MIN(INDEX(#REF!,MATCH(_xlfn.TEXTJOIN(keydelim,TRUE,"Other",AK$10,$F217,$D217),#REF!,0)),
INDEX(#REF!,MATCH(_xlfn.TEXTJOIN(keydelim,TRUE,"Other",AK$10,$F217,$D217),#REF!,0))+
INDEX(#REF!,MATCH(_xlfn.TEXTJOIN(keydelim,TRUE,"Other",AK$10,$F217,$D217),#REF!,0))*AK$214)
)))</f>
        <v>0</v>
      </c>
      <c r="AL217" s="52" cm="1">
        <f t="array" aca="1" ref="AL217" ca="1">_xlfn.IFS(AL$25="Manual",AK217,
AL$25="Regression",
MAX(0,
IFERROR(MIN(INDEX(#REF!,MATCH(_xlfn.TEXTJOIN(keydelim,TRUE,AL$9,AL$10,$F217,$D217),#REF!,0)),
INDEX(#REF!,MATCH(_xlfn.TEXTJOIN(keydelim,TRUE,AL$9,AL$10,$F217,$D217),#REF!,0))+
INDEX(#REF!,MATCH(_xlfn.TEXTJOIN(keydelim,TRUE,AL$9,AL$10,$F217,$D217),#REF!,0))*AL$214),
MIN(INDEX(#REF!,MATCH(_xlfn.TEXTJOIN(keydelim,TRUE,"Other",AL$10,$F217,$D217),#REF!,0)),
INDEX(#REF!,MATCH(_xlfn.TEXTJOIN(keydelim,TRUE,"Other",AL$10,$F217,$D217),#REF!,0))+
INDEX(#REF!,MATCH(_xlfn.TEXTJOIN(keydelim,TRUE,"Other",AL$10,$F217,$D217),#REF!,0))*AL$214)
)))</f>
        <v>0</v>
      </c>
      <c r="AR217" s="16" t="s">
        <v>50</v>
      </c>
      <c r="AS217" s="224" t="s">
        <v>401</v>
      </c>
      <c r="AT217" s="298" t="s">
        <v>402</v>
      </c>
      <c r="AU217" s="315" cm="1">
        <f t="array" aca="1" ref="AU217" ca="1">_xlfn.IFS(AU$25="Manual",AU307*constant_vessel_lifetime,
AU$25="Regression",
MAX(0,
IFERROR(MIN(INDEX(#REF!,MATCH(_xlfn.TEXTJOIN(keydelim,TRUE,AU$9,AU$10,$F217,$D217),#REF!,0)),
INDEX(#REF!,MATCH(_xlfn.TEXTJOIN(keydelim,TRUE,AU$9,AU$10,$F217,$D217),#REF!,0))+
INDEX(#REF!,MATCH(_xlfn.TEXTJOIN(keydelim,TRUE,AU$9,AU$10,$F217,$D217),#REF!,0))*AU$214),
MIN(INDEX(#REF!,MATCH(_xlfn.TEXTJOIN(keydelim,TRUE,"Other",AU$10,$F217,$D217),#REF!,0)),
INDEX(#REF!,MATCH(_xlfn.TEXTJOIN(keydelim,TRUE,"Other",AU$10,$F217,$D217),#REF!,0))+
INDEX(#REF!,MATCH(_xlfn.TEXTJOIN(keydelim,TRUE,"Other",AU$10,$F217,$D217),#REF!,0))*AU$214)
)))</f>
        <v>0</v>
      </c>
      <c r="AV217" s="52" cm="1">
        <f t="array" aca="1" ref="AV217" ca="1">_xlfn.IFS(AV$25="Manual",AU217,
AV$25="Regression",
MAX(0,
IFERROR(MIN(INDEX(#REF!,MATCH(_xlfn.TEXTJOIN(keydelim,TRUE,AV$9,AV$10,$F217,$D217),#REF!,0)),
INDEX(#REF!,MATCH(_xlfn.TEXTJOIN(keydelim,TRUE,AV$9,AV$10,$F217,$D217),#REF!,0))+
INDEX(#REF!,MATCH(_xlfn.TEXTJOIN(keydelim,TRUE,AV$9,AV$10,$F217,$D217),#REF!,0))*AV$214),
MIN(INDEX(#REF!,MATCH(_xlfn.TEXTJOIN(keydelim,TRUE,"Other",AV$10,$F217,$D217),#REF!,0)),
INDEX(#REF!,MATCH(_xlfn.TEXTJOIN(keydelim,TRUE,"Other",AV$10,$F217,$D217),#REF!,0))+
INDEX(#REF!,MATCH(_xlfn.TEXTJOIN(keydelim,TRUE,"Other",AV$10,$F217,$D217),#REF!,0))*AV$214)
)))</f>
        <v>0</v>
      </c>
      <c r="AW217" s="52" cm="1">
        <f t="array" aca="1" ref="AW217" ca="1">_xlfn.IFS(AW$25="Manual",AV217,
AW$25="Regression",
MAX(0,
IFERROR(MIN(INDEX(#REF!,MATCH(_xlfn.TEXTJOIN(keydelim,TRUE,AW$9,AW$10,$F217,$D217),#REF!,0)),
INDEX(#REF!,MATCH(_xlfn.TEXTJOIN(keydelim,TRUE,AW$9,AW$10,$F217,$D217),#REF!,0))+
INDEX(#REF!,MATCH(_xlfn.TEXTJOIN(keydelim,TRUE,AW$9,AW$10,$F217,$D217),#REF!,0))*AW$214),
MIN(INDEX(#REF!,MATCH(_xlfn.TEXTJOIN(keydelim,TRUE,"Other",AW$10,$F217,$D217),#REF!,0)),
INDEX(#REF!,MATCH(_xlfn.TEXTJOIN(keydelim,TRUE,"Other",AW$10,$F217,$D217),#REF!,0))+
INDEX(#REF!,MATCH(_xlfn.TEXTJOIN(keydelim,TRUE,"Other",AW$10,$F217,$D217),#REF!,0))*AW$214)
)))</f>
        <v>0</v>
      </c>
      <c r="AX217" s="52" cm="1">
        <f t="array" aca="1" ref="AX217" ca="1">_xlfn.IFS(AX$25="Manual",AW217,
AX$25="Regression",
MAX(0,
IFERROR(MIN(INDEX(#REF!,MATCH(_xlfn.TEXTJOIN(keydelim,TRUE,AX$9,AX$10,$F217,$D217),#REF!,0)),
INDEX(#REF!,MATCH(_xlfn.TEXTJOIN(keydelim,TRUE,AX$9,AX$10,$F217,$D217),#REF!,0))+
INDEX(#REF!,MATCH(_xlfn.TEXTJOIN(keydelim,TRUE,AX$9,AX$10,$F217,$D217),#REF!,0))*AX$214),
MIN(INDEX(#REF!,MATCH(_xlfn.TEXTJOIN(keydelim,TRUE,"Other",AX$10,$F217,$D217),#REF!,0)),
INDEX(#REF!,MATCH(_xlfn.TEXTJOIN(keydelim,TRUE,"Other",AX$10,$F217,$D217),#REF!,0))+
INDEX(#REF!,MATCH(_xlfn.TEXTJOIN(keydelim,TRUE,"Other",AX$10,$F217,$D217),#REF!,0))*AX$214)
)))</f>
        <v>0</v>
      </c>
      <c r="AY217" s="52" cm="1">
        <f t="array" aca="1" ref="AY217" ca="1">_xlfn.IFS(AY$25="Manual",AX217,
AY$25="Regression",
MAX(0,
IFERROR(MIN(INDEX(#REF!,MATCH(_xlfn.TEXTJOIN(keydelim,TRUE,AY$9,AY$10,$F217,$D217),#REF!,0)),
INDEX(#REF!,MATCH(_xlfn.TEXTJOIN(keydelim,TRUE,AY$9,AY$10,$F217,$D217),#REF!,0))+
INDEX(#REF!,MATCH(_xlfn.TEXTJOIN(keydelim,TRUE,AY$9,AY$10,$F217,$D217),#REF!,0))*AY$214),
MIN(INDEX(#REF!,MATCH(_xlfn.TEXTJOIN(keydelim,TRUE,"Other",AY$10,$F217,$D217),#REF!,0)),
INDEX(#REF!,MATCH(_xlfn.TEXTJOIN(keydelim,TRUE,"Other",AY$10,$F217,$D217),#REF!,0))+
INDEX(#REF!,MATCH(_xlfn.TEXTJOIN(keydelim,TRUE,"Other",AY$10,$F217,$D217),#REF!,0))*AY$214)
)))</f>
        <v>0</v>
      </c>
      <c r="AZ217" s="52" cm="1">
        <f t="array" aca="1" ref="AZ217" ca="1">_xlfn.IFS(AZ$25="Manual",AY217,
AZ$25="Regression",
MAX(0,
IFERROR(MIN(INDEX(#REF!,MATCH(_xlfn.TEXTJOIN(keydelim,TRUE,AZ$9,AZ$10,$F217,$D217),#REF!,0)),
INDEX(#REF!,MATCH(_xlfn.TEXTJOIN(keydelim,TRUE,AZ$9,AZ$10,$F217,$D217),#REF!,0))+
INDEX(#REF!,MATCH(_xlfn.TEXTJOIN(keydelim,TRUE,AZ$9,AZ$10,$F217,$D217),#REF!,0))*AZ$214),
MIN(INDEX(#REF!,MATCH(_xlfn.TEXTJOIN(keydelim,TRUE,"Other",AZ$10,$F217,$D217),#REF!,0)),
INDEX(#REF!,MATCH(_xlfn.TEXTJOIN(keydelim,TRUE,"Other",AZ$10,$F217,$D217),#REF!,0))+
INDEX(#REF!,MATCH(_xlfn.TEXTJOIN(keydelim,TRUE,"Other",AZ$10,$F217,$D217),#REF!,0))*AZ$214)
)))</f>
        <v>0</v>
      </c>
      <c r="BA217" s="52" cm="1">
        <f t="array" aca="1" ref="BA217" ca="1">_xlfn.IFS(BA$25="Manual",AZ217,
BA$25="Regression",
MAX(0,
IFERROR(MIN(INDEX(#REF!,MATCH(_xlfn.TEXTJOIN(keydelim,TRUE,BA$9,BA$10,$F217,$D217),#REF!,0)),
INDEX(#REF!,MATCH(_xlfn.TEXTJOIN(keydelim,TRUE,BA$9,BA$10,$F217,$D217),#REF!,0))+
INDEX(#REF!,MATCH(_xlfn.TEXTJOIN(keydelim,TRUE,BA$9,BA$10,$F217,$D217),#REF!,0))*BA$214),
MIN(INDEX(#REF!,MATCH(_xlfn.TEXTJOIN(keydelim,TRUE,"Other",BA$10,$F217,$D217),#REF!,0)),
INDEX(#REF!,MATCH(_xlfn.TEXTJOIN(keydelim,TRUE,"Other",BA$10,$F217,$D217),#REF!,0))+
INDEX(#REF!,MATCH(_xlfn.TEXTJOIN(keydelim,TRUE,"Other",BA$10,$F217,$D217),#REF!,0))*BA$214)
)))</f>
        <v>0</v>
      </c>
      <c r="BB217" s="52" cm="1">
        <f t="array" aca="1" ref="BB217" ca="1">_xlfn.IFS(BB$25="Manual",BA217,
BB$25="Regression",
MAX(0,
IFERROR(MIN(INDEX(#REF!,MATCH(_xlfn.TEXTJOIN(keydelim,TRUE,BB$9,BB$10,$F217,$D217),#REF!,0)),
INDEX(#REF!,MATCH(_xlfn.TEXTJOIN(keydelim,TRUE,BB$9,BB$10,$F217,$D217),#REF!,0))+
INDEX(#REF!,MATCH(_xlfn.TEXTJOIN(keydelim,TRUE,BB$9,BB$10,$F217,$D217),#REF!,0))*BB$214),
MIN(INDEX(#REF!,MATCH(_xlfn.TEXTJOIN(keydelim,TRUE,"Other",BB$10,$F217,$D217),#REF!,0)),
INDEX(#REF!,MATCH(_xlfn.TEXTJOIN(keydelim,TRUE,"Other",BB$10,$F217,$D217),#REF!,0))+
INDEX(#REF!,MATCH(_xlfn.TEXTJOIN(keydelim,TRUE,"Other",BB$10,$F217,$D217),#REF!,0))*BB$214)
)))</f>
        <v>0</v>
      </c>
      <c r="BC217" s="52" cm="1">
        <f t="array" aca="1" ref="BC217" ca="1">_xlfn.IFS(BC$25="Manual",BB217,
BC$25="Regression",
MAX(0,
IFERROR(MIN(INDEX(#REF!,MATCH(_xlfn.TEXTJOIN(keydelim,TRUE,BC$9,BC$10,$F217,$D217),#REF!,0)),
INDEX(#REF!,MATCH(_xlfn.TEXTJOIN(keydelim,TRUE,BC$9,BC$10,$F217,$D217),#REF!,0))+
INDEX(#REF!,MATCH(_xlfn.TEXTJOIN(keydelim,TRUE,BC$9,BC$10,$F217,$D217),#REF!,0))*BC$214),
MIN(INDEX(#REF!,MATCH(_xlfn.TEXTJOIN(keydelim,TRUE,"Other",BC$10,$F217,$D217),#REF!,0)),
INDEX(#REF!,MATCH(_xlfn.TEXTJOIN(keydelim,TRUE,"Other",BC$10,$F217,$D217),#REF!,0))+
INDEX(#REF!,MATCH(_xlfn.TEXTJOIN(keydelim,TRUE,"Other",BC$10,$F217,$D217),#REF!,0))*BC$214)
)))</f>
        <v>0</v>
      </c>
      <c r="BD217" s="52" cm="1">
        <f t="array" aca="1" ref="BD217" ca="1">_xlfn.IFS(BD$25="Manual",BC217,
BD$25="Regression",
MAX(0,
IFERROR(MIN(INDEX(#REF!,MATCH(_xlfn.TEXTJOIN(keydelim,TRUE,BD$9,BD$10,$F217,$D217),#REF!,0)),
INDEX(#REF!,MATCH(_xlfn.TEXTJOIN(keydelim,TRUE,BD$9,BD$10,$F217,$D217),#REF!,0))+
INDEX(#REF!,MATCH(_xlfn.TEXTJOIN(keydelim,TRUE,BD$9,BD$10,$F217,$D217),#REF!,0))*BD$214),
MIN(INDEX(#REF!,MATCH(_xlfn.TEXTJOIN(keydelim,TRUE,"Other",BD$10,$F217,$D217),#REF!,0)),
INDEX(#REF!,MATCH(_xlfn.TEXTJOIN(keydelim,TRUE,"Other",BD$10,$F217,$D217),#REF!,0))+
INDEX(#REF!,MATCH(_xlfn.TEXTJOIN(keydelim,TRUE,"Other",BD$10,$F217,$D217),#REF!,0))*BD$214)
)))</f>
        <v>0</v>
      </c>
      <c r="BE217" s="52" cm="1">
        <f t="array" aca="1" ref="BE217" ca="1">_xlfn.IFS(BE$25="Manual",BD217,
BE$25="Regression",
MAX(0,
IFERROR(MIN(INDEX(#REF!,MATCH(_xlfn.TEXTJOIN(keydelim,TRUE,BE$9,BE$10,$F217,$D217),#REF!,0)),
INDEX(#REF!,MATCH(_xlfn.TEXTJOIN(keydelim,TRUE,BE$9,BE$10,$F217,$D217),#REF!,0))+
INDEX(#REF!,MATCH(_xlfn.TEXTJOIN(keydelim,TRUE,BE$9,BE$10,$F217,$D217),#REF!,0))*BE$214),
MIN(INDEX(#REF!,MATCH(_xlfn.TEXTJOIN(keydelim,TRUE,"Other",BE$10,$F217,$D217),#REF!,0)),
INDEX(#REF!,MATCH(_xlfn.TEXTJOIN(keydelim,TRUE,"Other",BE$10,$F217,$D217),#REF!,0))+
INDEX(#REF!,MATCH(_xlfn.TEXTJOIN(keydelim,TRUE,"Other",BE$10,$F217,$D217),#REF!,0))*BE$214)
)))</f>
        <v>0</v>
      </c>
      <c r="BF217" s="52" cm="1">
        <f t="array" aca="1" ref="BF217" ca="1">_xlfn.IFS(BF$25="Manual",BE217,
BF$25="Regression",
MAX(0,
IFERROR(MIN(INDEX(#REF!,MATCH(_xlfn.TEXTJOIN(keydelim,TRUE,BF$9,BF$10,$F217,$D217),#REF!,0)),
INDEX(#REF!,MATCH(_xlfn.TEXTJOIN(keydelim,TRUE,BF$9,BF$10,$F217,$D217),#REF!,0))+
INDEX(#REF!,MATCH(_xlfn.TEXTJOIN(keydelim,TRUE,BF$9,BF$10,$F217,$D217),#REF!,0))*BF$214),
MIN(INDEX(#REF!,MATCH(_xlfn.TEXTJOIN(keydelim,TRUE,"Other",BF$10,$F217,$D217),#REF!,0)),
INDEX(#REF!,MATCH(_xlfn.TEXTJOIN(keydelim,TRUE,"Other",BF$10,$F217,$D217),#REF!,0))+
INDEX(#REF!,MATCH(_xlfn.TEXTJOIN(keydelim,TRUE,"Other",BF$10,$F217,$D217),#REF!,0))*BF$214)
)))</f>
        <v>0</v>
      </c>
      <c r="BL217" s="16" t="s">
        <v>50</v>
      </c>
      <c r="BM217" s="224" t="s">
        <v>401</v>
      </c>
      <c r="BN217" s="298" t="s">
        <v>402</v>
      </c>
      <c r="BO217" s="315" cm="1">
        <f t="array" aca="1" ref="BO217" ca="1">_xlfn.IFS(BO$25="Manual",BO307*constant_vessel_lifetime,
BO$25="Regression",
MAX(0,
IFERROR(MIN(INDEX(#REF!,MATCH(_xlfn.TEXTJOIN(keydelim,TRUE,BO$9,BO$10,$F217,$D217),#REF!,0)),
INDEX(#REF!,MATCH(_xlfn.TEXTJOIN(keydelim,TRUE,BO$9,BO$10,$F217,$D217),#REF!,0))+
INDEX(#REF!,MATCH(_xlfn.TEXTJOIN(keydelim,TRUE,BO$9,BO$10,$F217,$D217),#REF!,0))*BO$214),
MIN(INDEX(#REF!,MATCH(_xlfn.TEXTJOIN(keydelim,TRUE,"Other",BO$10,$F217,$D217),#REF!,0)),
INDEX(#REF!,MATCH(_xlfn.TEXTJOIN(keydelim,TRUE,"Other",BO$10,$F217,$D217),#REF!,0))+
INDEX(#REF!,MATCH(_xlfn.TEXTJOIN(keydelim,TRUE,"Other",BO$10,$F217,$D217),#REF!,0))*BO$214)
)))</f>
        <v>0</v>
      </c>
      <c r="BP217" s="52" cm="1">
        <f t="array" aca="1" ref="BP217" ca="1">_xlfn.IFS(BP$25="Manual",BO217,
BP$25="Regression",
MAX(0,
IFERROR(MIN(INDEX(#REF!,MATCH(_xlfn.TEXTJOIN(keydelim,TRUE,BP$9,BP$10,$F217,$D217),#REF!,0)),
INDEX(#REF!,MATCH(_xlfn.TEXTJOIN(keydelim,TRUE,BP$9,BP$10,$F217,$D217),#REF!,0))+
INDEX(#REF!,MATCH(_xlfn.TEXTJOIN(keydelim,TRUE,BP$9,BP$10,$F217,$D217),#REF!,0))*BP$214),
MIN(INDEX(#REF!,MATCH(_xlfn.TEXTJOIN(keydelim,TRUE,"Other",BP$10,$F217,$D217),#REF!,0)),
INDEX(#REF!,MATCH(_xlfn.TEXTJOIN(keydelim,TRUE,"Other",BP$10,$F217,$D217),#REF!,0))+
INDEX(#REF!,MATCH(_xlfn.TEXTJOIN(keydelim,TRUE,"Other",BP$10,$F217,$D217),#REF!,0))*BP$214)
)))</f>
        <v>0</v>
      </c>
      <c r="BQ217" s="52" cm="1">
        <f t="array" aca="1" ref="BQ217" ca="1">_xlfn.IFS(BQ$25="Manual",BP217,
BQ$25="Regression",
MAX(0,
IFERROR(MIN(INDEX(#REF!,MATCH(_xlfn.TEXTJOIN(keydelim,TRUE,BQ$9,BQ$10,$F217,$D217),#REF!,0)),
INDEX(#REF!,MATCH(_xlfn.TEXTJOIN(keydelim,TRUE,BQ$9,BQ$10,$F217,$D217),#REF!,0))+
INDEX(#REF!,MATCH(_xlfn.TEXTJOIN(keydelim,TRUE,BQ$9,BQ$10,$F217,$D217),#REF!,0))*BQ$214),
MIN(INDEX(#REF!,MATCH(_xlfn.TEXTJOIN(keydelim,TRUE,"Other",BQ$10,$F217,$D217),#REF!,0)),
INDEX(#REF!,MATCH(_xlfn.TEXTJOIN(keydelim,TRUE,"Other",BQ$10,$F217,$D217),#REF!,0))+
INDEX(#REF!,MATCH(_xlfn.TEXTJOIN(keydelim,TRUE,"Other",BQ$10,$F217,$D217),#REF!,0))*BQ$214)
)))</f>
        <v>0</v>
      </c>
      <c r="BR217" s="52" cm="1">
        <f t="array" aca="1" ref="BR217" ca="1">_xlfn.IFS(BR$25="Manual",BQ217,
BR$25="Regression",
MAX(0,
IFERROR(MIN(INDEX(#REF!,MATCH(_xlfn.TEXTJOIN(keydelim,TRUE,BR$9,BR$10,$F217,$D217),#REF!,0)),
INDEX(#REF!,MATCH(_xlfn.TEXTJOIN(keydelim,TRUE,BR$9,BR$10,$F217,$D217),#REF!,0))+
INDEX(#REF!,MATCH(_xlfn.TEXTJOIN(keydelim,TRUE,BR$9,BR$10,$F217,$D217),#REF!,0))*BR$214),
MIN(INDEX(#REF!,MATCH(_xlfn.TEXTJOIN(keydelim,TRUE,"Other",BR$10,$F217,$D217),#REF!,0)),
INDEX(#REF!,MATCH(_xlfn.TEXTJOIN(keydelim,TRUE,"Other",BR$10,$F217,$D217),#REF!,0))+
INDEX(#REF!,MATCH(_xlfn.TEXTJOIN(keydelim,TRUE,"Other",BR$10,$F217,$D217),#REF!,0))*BR$214)
)))</f>
        <v>0</v>
      </c>
      <c r="BS217" s="52" cm="1">
        <f t="array" aca="1" ref="BS217" ca="1">_xlfn.IFS(BS$25="Manual",BR217,
BS$25="Regression",
MAX(0,
IFERROR(MIN(INDEX(#REF!,MATCH(_xlfn.TEXTJOIN(keydelim,TRUE,BS$9,BS$10,$F217,$D217),#REF!,0)),
INDEX(#REF!,MATCH(_xlfn.TEXTJOIN(keydelim,TRUE,BS$9,BS$10,$F217,$D217),#REF!,0))+
INDEX(#REF!,MATCH(_xlfn.TEXTJOIN(keydelim,TRUE,BS$9,BS$10,$F217,$D217),#REF!,0))*BS$214),
MIN(INDEX(#REF!,MATCH(_xlfn.TEXTJOIN(keydelim,TRUE,"Other",BS$10,$F217,$D217),#REF!,0)),
INDEX(#REF!,MATCH(_xlfn.TEXTJOIN(keydelim,TRUE,"Other",BS$10,$F217,$D217),#REF!,0))+
INDEX(#REF!,MATCH(_xlfn.TEXTJOIN(keydelim,TRUE,"Other",BS$10,$F217,$D217),#REF!,0))*BS$214)
)))</f>
        <v>0</v>
      </c>
      <c r="BT217" s="52" cm="1">
        <f t="array" aca="1" ref="BT217" ca="1">_xlfn.IFS(BT$25="Manual",BS217,
BT$25="Regression",
MAX(0,
IFERROR(MIN(INDEX(#REF!,MATCH(_xlfn.TEXTJOIN(keydelim,TRUE,BT$9,BT$10,$F217,$D217),#REF!,0)),
INDEX(#REF!,MATCH(_xlfn.TEXTJOIN(keydelim,TRUE,BT$9,BT$10,$F217,$D217),#REF!,0))+
INDEX(#REF!,MATCH(_xlfn.TEXTJOIN(keydelim,TRUE,BT$9,BT$10,$F217,$D217),#REF!,0))*BT$214),
MIN(INDEX(#REF!,MATCH(_xlfn.TEXTJOIN(keydelim,TRUE,"Other",BT$10,$F217,$D217),#REF!,0)),
INDEX(#REF!,MATCH(_xlfn.TEXTJOIN(keydelim,TRUE,"Other",BT$10,$F217,$D217),#REF!,0))+
INDEX(#REF!,MATCH(_xlfn.TEXTJOIN(keydelim,TRUE,"Other",BT$10,$F217,$D217),#REF!,0))*BT$214)
)))</f>
        <v>0</v>
      </c>
      <c r="BU217" s="52" cm="1">
        <f t="array" aca="1" ref="BU217" ca="1">_xlfn.IFS(BU$25="Manual",BT217,
BU$25="Regression",
MAX(0,
IFERROR(MIN(INDEX(#REF!,MATCH(_xlfn.TEXTJOIN(keydelim,TRUE,BU$9,BU$10,$F217,$D217),#REF!,0)),
INDEX(#REF!,MATCH(_xlfn.TEXTJOIN(keydelim,TRUE,BU$9,BU$10,$F217,$D217),#REF!,0))+
INDEX(#REF!,MATCH(_xlfn.TEXTJOIN(keydelim,TRUE,BU$9,BU$10,$F217,$D217),#REF!,0))*BU$214),
MIN(INDEX(#REF!,MATCH(_xlfn.TEXTJOIN(keydelim,TRUE,"Other",BU$10,$F217,$D217),#REF!,0)),
INDEX(#REF!,MATCH(_xlfn.TEXTJOIN(keydelim,TRUE,"Other",BU$10,$F217,$D217),#REF!,0))+
INDEX(#REF!,MATCH(_xlfn.TEXTJOIN(keydelim,TRUE,"Other",BU$10,$F217,$D217),#REF!,0))*BU$214)
)))</f>
        <v>0</v>
      </c>
      <c r="BV217" s="52" cm="1">
        <f t="array" aca="1" ref="BV217" ca="1">_xlfn.IFS(BV$25="Manual",BU217,
BV$25="Regression",
MAX(0,
IFERROR(MIN(INDEX(#REF!,MATCH(_xlfn.TEXTJOIN(keydelim,TRUE,BV$9,BV$10,$F217,$D217),#REF!,0)),
INDEX(#REF!,MATCH(_xlfn.TEXTJOIN(keydelim,TRUE,BV$9,BV$10,$F217,$D217),#REF!,0))+
INDEX(#REF!,MATCH(_xlfn.TEXTJOIN(keydelim,TRUE,BV$9,BV$10,$F217,$D217),#REF!,0))*BV$214),
MIN(INDEX(#REF!,MATCH(_xlfn.TEXTJOIN(keydelim,TRUE,"Other",BV$10,$F217,$D217),#REF!,0)),
INDEX(#REF!,MATCH(_xlfn.TEXTJOIN(keydelim,TRUE,"Other",BV$10,$F217,$D217),#REF!,0))+
INDEX(#REF!,MATCH(_xlfn.TEXTJOIN(keydelim,TRUE,"Other",BV$10,$F217,$D217),#REF!,0))*BV$214)
)))</f>
        <v>0</v>
      </c>
      <c r="BW217" s="52" cm="1">
        <f t="array" aca="1" ref="BW217" ca="1">_xlfn.IFS(BW$25="Manual",BV217,
BW$25="Regression",
MAX(0,
IFERROR(MIN(INDEX(#REF!,MATCH(_xlfn.TEXTJOIN(keydelim,TRUE,BW$9,BW$10,$F217,$D217),#REF!,0)),
INDEX(#REF!,MATCH(_xlfn.TEXTJOIN(keydelim,TRUE,BW$9,BW$10,$F217,$D217),#REF!,0))+
INDEX(#REF!,MATCH(_xlfn.TEXTJOIN(keydelim,TRUE,BW$9,BW$10,$F217,$D217),#REF!,0))*BW$214),
MIN(INDEX(#REF!,MATCH(_xlfn.TEXTJOIN(keydelim,TRUE,"Other",BW$10,$F217,$D217),#REF!,0)),
INDEX(#REF!,MATCH(_xlfn.TEXTJOIN(keydelim,TRUE,"Other",BW$10,$F217,$D217),#REF!,0))+
INDEX(#REF!,MATCH(_xlfn.TEXTJOIN(keydelim,TRUE,"Other",BW$10,$F217,$D217),#REF!,0))*BW$214)
)))</f>
        <v>0</v>
      </c>
      <c r="BX217" s="52" cm="1">
        <f t="array" aca="1" ref="BX217" ca="1">_xlfn.IFS(BX$25="Manual",BW217,
BX$25="Regression",
MAX(0,
IFERROR(MIN(INDEX(#REF!,MATCH(_xlfn.TEXTJOIN(keydelim,TRUE,BX$9,BX$10,$F217,$D217),#REF!,0)),
INDEX(#REF!,MATCH(_xlfn.TEXTJOIN(keydelim,TRUE,BX$9,BX$10,$F217,$D217),#REF!,0))+
INDEX(#REF!,MATCH(_xlfn.TEXTJOIN(keydelim,TRUE,BX$9,BX$10,$F217,$D217),#REF!,0))*BX$214),
MIN(INDEX(#REF!,MATCH(_xlfn.TEXTJOIN(keydelim,TRUE,"Other",BX$10,$F217,$D217),#REF!,0)),
INDEX(#REF!,MATCH(_xlfn.TEXTJOIN(keydelim,TRUE,"Other",BX$10,$F217,$D217),#REF!,0))+
INDEX(#REF!,MATCH(_xlfn.TEXTJOIN(keydelim,TRUE,"Other",BX$10,$F217,$D217),#REF!,0))*BX$214)
)))</f>
        <v>0</v>
      </c>
      <c r="BY217" s="52" cm="1">
        <f t="array" aca="1" ref="BY217" ca="1">_xlfn.IFS(BY$25="Manual",BX217,
BY$25="Regression",
MAX(0,
IFERROR(MIN(INDEX(#REF!,MATCH(_xlfn.TEXTJOIN(keydelim,TRUE,BY$9,BY$10,$F217,$D217),#REF!,0)),
INDEX(#REF!,MATCH(_xlfn.TEXTJOIN(keydelim,TRUE,BY$9,BY$10,$F217,$D217),#REF!,0))+
INDEX(#REF!,MATCH(_xlfn.TEXTJOIN(keydelim,TRUE,BY$9,BY$10,$F217,$D217),#REF!,0))*BY$214),
MIN(INDEX(#REF!,MATCH(_xlfn.TEXTJOIN(keydelim,TRUE,"Other",BY$10,$F217,$D217),#REF!,0)),
INDEX(#REF!,MATCH(_xlfn.TEXTJOIN(keydelim,TRUE,"Other",BY$10,$F217,$D217),#REF!,0))+
INDEX(#REF!,MATCH(_xlfn.TEXTJOIN(keydelim,TRUE,"Other",BY$10,$F217,$D217),#REF!,0))*BY$214)
)))</f>
        <v>0</v>
      </c>
      <c r="BZ217" s="52" cm="1">
        <f t="array" aca="1" ref="BZ217" ca="1">_xlfn.IFS(BZ$25="Manual",BY217,
BZ$25="Regression",
MAX(0,
IFERROR(MIN(INDEX(#REF!,MATCH(_xlfn.TEXTJOIN(keydelim,TRUE,BZ$9,BZ$10,$F217,$D217),#REF!,0)),
INDEX(#REF!,MATCH(_xlfn.TEXTJOIN(keydelim,TRUE,BZ$9,BZ$10,$F217,$D217),#REF!,0))+
INDEX(#REF!,MATCH(_xlfn.TEXTJOIN(keydelim,TRUE,BZ$9,BZ$10,$F217,$D217),#REF!,0))*BZ$214),
MIN(INDEX(#REF!,MATCH(_xlfn.TEXTJOIN(keydelim,TRUE,"Other",BZ$10,$F217,$D217),#REF!,0)),
INDEX(#REF!,MATCH(_xlfn.TEXTJOIN(keydelim,TRUE,"Other",BZ$10,$F217,$D217),#REF!,0))+
INDEX(#REF!,MATCH(_xlfn.TEXTJOIN(keydelim,TRUE,"Other",BZ$10,$F217,$D217),#REF!,0))*BZ$214)
)))</f>
        <v>0</v>
      </c>
      <c r="CF217" s="16" t="s">
        <v>50</v>
      </c>
      <c r="CG217" s="224" t="s">
        <v>401</v>
      </c>
      <c r="CH217" s="298" t="s">
        <v>402</v>
      </c>
      <c r="CI217" s="315" cm="1">
        <f t="array" aca="1" ref="CI217" ca="1">_xlfn.IFS(CI$25="Manual",CI307*constant_vessel_lifetime,
CI$25="Regression",
MAX(0,
IFERROR(MIN(INDEX(#REF!,MATCH(_xlfn.TEXTJOIN(keydelim,TRUE,CI$9,CI$10,$F217,$D217),#REF!,0)),
INDEX(#REF!,MATCH(_xlfn.TEXTJOIN(keydelim,TRUE,CI$9,CI$10,$F217,$D217),#REF!,0))+
INDEX(#REF!,MATCH(_xlfn.TEXTJOIN(keydelim,TRUE,CI$9,CI$10,$F217,$D217),#REF!,0))*CI$214),
MIN(INDEX(#REF!,MATCH(_xlfn.TEXTJOIN(keydelim,TRUE,"Other",CI$10,$F217,$D217),#REF!,0)),
INDEX(#REF!,MATCH(_xlfn.TEXTJOIN(keydelim,TRUE,"Other",CI$10,$F217,$D217),#REF!,0))+
INDEX(#REF!,MATCH(_xlfn.TEXTJOIN(keydelim,TRUE,"Other",CI$10,$F217,$D217),#REF!,0))*CI$214)
)))</f>
        <v>0</v>
      </c>
      <c r="CJ217" s="52" cm="1">
        <f t="array" aca="1" ref="CJ217" ca="1">_xlfn.IFS(CJ$25="Manual",CI217,
CJ$25="Regression",
MAX(0,
IFERROR(MIN(INDEX(#REF!,MATCH(_xlfn.TEXTJOIN(keydelim,TRUE,CJ$9,CJ$10,$F217,$D217),#REF!,0)),
INDEX(#REF!,MATCH(_xlfn.TEXTJOIN(keydelim,TRUE,CJ$9,CJ$10,$F217,$D217),#REF!,0))+
INDEX(#REF!,MATCH(_xlfn.TEXTJOIN(keydelim,TRUE,CJ$9,CJ$10,$F217,$D217),#REF!,0))*CJ$214),
MIN(INDEX(#REF!,MATCH(_xlfn.TEXTJOIN(keydelim,TRUE,"Other",CJ$10,$F217,$D217),#REF!,0)),
INDEX(#REF!,MATCH(_xlfn.TEXTJOIN(keydelim,TRUE,"Other",CJ$10,$F217,$D217),#REF!,0))+
INDEX(#REF!,MATCH(_xlfn.TEXTJOIN(keydelim,TRUE,"Other",CJ$10,$F217,$D217),#REF!,0))*CJ$214)
)))</f>
        <v>0</v>
      </c>
      <c r="CK217" s="52" cm="1">
        <f t="array" aca="1" ref="CK217" ca="1">_xlfn.IFS(CK$25="Manual",CJ217,
CK$25="Regression",
MAX(0,
IFERROR(MIN(INDEX(#REF!,MATCH(_xlfn.TEXTJOIN(keydelim,TRUE,CK$9,CK$10,$F217,$D217),#REF!,0)),
INDEX(#REF!,MATCH(_xlfn.TEXTJOIN(keydelim,TRUE,CK$9,CK$10,$F217,$D217),#REF!,0))+
INDEX(#REF!,MATCH(_xlfn.TEXTJOIN(keydelim,TRUE,CK$9,CK$10,$F217,$D217),#REF!,0))*CK$214),
MIN(INDEX(#REF!,MATCH(_xlfn.TEXTJOIN(keydelim,TRUE,"Other",CK$10,$F217,$D217),#REF!,0)),
INDEX(#REF!,MATCH(_xlfn.TEXTJOIN(keydelim,TRUE,"Other",CK$10,$F217,$D217),#REF!,0))+
INDEX(#REF!,MATCH(_xlfn.TEXTJOIN(keydelim,TRUE,"Other",CK$10,$F217,$D217),#REF!,0))*CK$214)
)))</f>
        <v>0</v>
      </c>
      <c r="CL217" s="52" cm="1">
        <f t="array" aca="1" ref="CL217" ca="1">_xlfn.IFS(CL$25="Manual",CK217,
CL$25="Regression",
MAX(0,
IFERROR(MIN(INDEX(#REF!,MATCH(_xlfn.TEXTJOIN(keydelim,TRUE,CL$9,CL$10,$F217,$D217),#REF!,0)),
INDEX(#REF!,MATCH(_xlfn.TEXTJOIN(keydelim,TRUE,CL$9,CL$10,$F217,$D217),#REF!,0))+
INDEX(#REF!,MATCH(_xlfn.TEXTJOIN(keydelim,TRUE,CL$9,CL$10,$F217,$D217),#REF!,0))*CL$214),
MIN(INDEX(#REF!,MATCH(_xlfn.TEXTJOIN(keydelim,TRUE,"Other",CL$10,$F217,$D217),#REF!,0)),
INDEX(#REF!,MATCH(_xlfn.TEXTJOIN(keydelim,TRUE,"Other",CL$10,$F217,$D217),#REF!,0))+
INDEX(#REF!,MATCH(_xlfn.TEXTJOIN(keydelim,TRUE,"Other",CL$10,$F217,$D217),#REF!,0))*CL$214)
)))</f>
        <v>0</v>
      </c>
      <c r="CM217" s="52" cm="1">
        <f t="array" aca="1" ref="CM217" ca="1">_xlfn.IFS(CM$25="Manual",CL217,
CM$25="Regression",
MAX(0,
IFERROR(MIN(INDEX(#REF!,MATCH(_xlfn.TEXTJOIN(keydelim,TRUE,CM$9,CM$10,$F217,$D217),#REF!,0)),
INDEX(#REF!,MATCH(_xlfn.TEXTJOIN(keydelim,TRUE,CM$9,CM$10,$F217,$D217),#REF!,0))+
INDEX(#REF!,MATCH(_xlfn.TEXTJOIN(keydelim,TRUE,CM$9,CM$10,$F217,$D217),#REF!,0))*CM$214),
MIN(INDEX(#REF!,MATCH(_xlfn.TEXTJOIN(keydelim,TRUE,"Other",CM$10,$F217,$D217),#REF!,0)),
INDEX(#REF!,MATCH(_xlfn.TEXTJOIN(keydelim,TRUE,"Other",CM$10,$F217,$D217),#REF!,0))+
INDEX(#REF!,MATCH(_xlfn.TEXTJOIN(keydelim,TRUE,"Other",CM$10,$F217,$D217),#REF!,0))*CM$214)
)))</f>
        <v>0</v>
      </c>
      <c r="CN217" s="52" cm="1">
        <f t="array" aca="1" ref="CN217" ca="1">_xlfn.IFS(CN$25="Manual",CM217,
CN$25="Regression",
MAX(0,
IFERROR(MIN(INDEX(#REF!,MATCH(_xlfn.TEXTJOIN(keydelim,TRUE,CN$9,CN$10,$F217,$D217),#REF!,0)),
INDEX(#REF!,MATCH(_xlfn.TEXTJOIN(keydelim,TRUE,CN$9,CN$10,$F217,$D217),#REF!,0))+
INDEX(#REF!,MATCH(_xlfn.TEXTJOIN(keydelim,TRUE,CN$9,CN$10,$F217,$D217),#REF!,0))*CN$214),
MIN(INDEX(#REF!,MATCH(_xlfn.TEXTJOIN(keydelim,TRUE,"Other",CN$10,$F217,$D217),#REF!,0)),
INDEX(#REF!,MATCH(_xlfn.TEXTJOIN(keydelim,TRUE,"Other",CN$10,$F217,$D217),#REF!,0))+
INDEX(#REF!,MATCH(_xlfn.TEXTJOIN(keydelim,TRUE,"Other",CN$10,$F217,$D217),#REF!,0))*CN$214)
)))</f>
        <v>0</v>
      </c>
      <c r="CO217" s="52" cm="1">
        <f t="array" aca="1" ref="CO217" ca="1">_xlfn.IFS(CO$25="Manual",CN217,
CO$25="Regression",
MAX(0,
IFERROR(MIN(INDEX(#REF!,MATCH(_xlfn.TEXTJOIN(keydelim,TRUE,CO$9,CO$10,$F217,$D217),#REF!,0)),
INDEX(#REF!,MATCH(_xlfn.TEXTJOIN(keydelim,TRUE,CO$9,CO$10,$F217,$D217),#REF!,0))+
INDEX(#REF!,MATCH(_xlfn.TEXTJOIN(keydelim,TRUE,CO$9,CO$10,$F217,$D217),#REF!,0))*CO$214),
MIN(INDEX(#REF!,MATCH(_xlfn.TEXTJOIN(keydelim,TRUE,"Other",CO$10,$F217,$D217),#REF!,0)),
INDEX(#REF!,MATCH(_xlfn.TEXTJOIN(keydelim,TRUE,"Other",CO$10,$F217,$D217),#REF!,0))+
INDEX(#REF!,MATCH(_xlfn.TEXTJOIN(keydelim,TRUE,"Other",CO$10,$F217,$D217),#REF!,0))*CO$214)
)))</f>
        <v>0</v>
      </c>
      <c r="CP217" s="52" cm="1">
        <f t="array" aca="1" ref="CP217" ca="1">_xlfn.IFS(CP$25="Manual",CO217,
CP$25="Regression",
MAX(0,
IFERROR(MIN(INDEX(#REF!,MATCH(_xlfn.TEXTJOIN(keydelim,TRUE,CP$9,CP$10,$F217,$D217),#REF!,0)),
INDEX(#REF!,MATCH(_xlfn.TEXTJOIN(keydelim,TRUE,CP$9,CP$10,$F217,$D217),#REF!,0))+
INDEX(#REF!,MATCH(_xlfn.TEXTJOIN(keydelim,TRUE,CP$9,CP$10,$F217,$D217),#REF!,0))*CP$214),
MIN(INDEX(#REF!,MATCH(_xlfn.TEXTJOIN(keydelim,TRUE,"Other",CP$10,$F217,$D217),#REF!,0)),
INDEX(#REF!,MATCH(_xlfn.TEXTJOIN(keydelim,TRUE,"Other",CP$10,$F217,$D217),#REF!,0))+
INDEX(#REF!,MATCH(_xlfn.TEXTJOIN(keydelim,TRUE,"Other",CP$10,$F217,$D217),#REF!,0))*CP$214)
)))</f>
        <v>0</v>
      </c>
      <c r="CQ217" s="52" cm="1">
        <f t="array" aca="1" ref="CQ217" ca="1">_xlfn.IFS(CQ$25="Manual",CP217,
CQ$25="Regression",
MAX(0,
IFERROR(MIN(INDEX(#REF!,MATCH(_xlfn.TEXTJOIN(keydelim,TRUE,CQ$9,CQ$10,$F217,$D217),#REF!,0)),
INDEX(#REF!,MATCH(_xlfn.TEXTJOIN(keydelim,TRUE,CQ$9,CQ$10,$F217,$D217),#REF!,0))+
INDEX(#REF!,MATCH(_xlfn.TEXTJOIN(keydelim,TRUE,CQ$9,CQ$10,$F217,$D217),#REF!,0))*CQ$214),
MIN(INDEX(#REF!,MATCH(_xlfn.TEXTJOIN(keydelim,TRUE,"Other",CQ$10,$F217,$D217),#REF!,0)),
INDEX(#REF!,MATCH(_xlfn.TEXTJOIN(keydelim,TRUE,"Other",CQ$10,$F217,$D217),#REF!,0))+
INDEX(#REF!,MATCH(_xlfn.TEXTJOIN(keydelim,TRUE,"Other",CQ$10,$F217,$D217),#REF!,0))*CQ$214)
)))</f>
        <v>0</v>
      </c>
      <c r="CR217" s="52" cm="1">
        <f t="array" aca="1" ref="CR217" ca="1">_xlfn.IFS(CR$25="Manual",CQ217,
CR$25="Regression",
MAX(0,
IFERROR(MIN(INDEX(#REF!,MATCH(_xlfn.TEXTJOIN(keydelim,TRUE,CR$9,CR$10,$F217,$D217),#REF!,0)),
INDEX(#REF!,MATCH(_xlfn.TEXTJOIN(keydelim,TRUE,CR$9,CR$10,$F217,$D217),#REF!,0))+
INDEX(#REF!,MATCH(_xlfn.TEXTJOIN(keydelim,TRUE,CR$9,CR$10,$F217,$D217),#REF!,0))*CR$214),
MIN(INDEX(#REF!,MATCH(_xlfn.TEXTJOIN(keydelim,TRUE,"Other",CR$10,$F217,$D217),#REF!,0)),
INDEX(#REF!,MATCH(_xlfn.TEXTJOIN(keydelim,TRUE,"Other",CR$10,$F217,$D217),#REF!,0))+
INDEX(#REF!,MATCH(_xlfn.TEXTJOIN(keydelim,TRUE,"Other",CR$10,$F217,$D217),#REF!,0))*CR$214)
)))</f>
        <v>0</v>
      </c>
      <c r="CS217" s="52" cm="1">
        <f t="array" aca="1" ref="CS217" ca="1">_xlfn.IFS(CS$25="Manual",CR217,
CS$25="Regression",
MAX(0,
IFERROR(MIN(INDEX(#REF!,MATCH(_xlfn.TEXTJOIN(keydelim,TRUE,CS$9,CS$10,$F217,$D217),#REF!,0)),
INDEX(#REF!,MATCH(_xlfn.TEXTJOIN(keydelim,TRUE,CS$9,CS$10,$F217,$D217),#REF!,0))+
INDEX(#REF!,MATCH(_xlfn.TEXTJOIN(keydelim,TRUE,CS$9,CS$10,$F217,$D217),#REF!,0))*CS$214),
MIN(INDEX(#REF!,MATCH(_xlfn.TEXTJOIN(keydelim,TRUE,"Other",CS$10,$F217,$D217),#REF!,0)),
INDEX(#REF!,MATCH(_xlfn.TEXTJOIN(keydelim,TRUE,"Other",CS$10,$F217,$D217),#REF!,0))+
INDEX(#REF!,MATCH(_xlfn.TEXTJOIN(keydelim,TRUE,"Other",CS$10,$F217,$D217),#REF!,0))*CS$214)
)))</f>
        <v>0</v>
      </c>
      <c r="CT217" s="52" cm="1">
        <f t="array" aca="1" ref="CT217" ca="1">_xlfn.IFS(CT$25="Manual",CS217,
CT$25="Regression",
MAX(0,
IFERROR(MIN(INDEX(#REF!,MATCH(_xlfn.TEXTJOIN(keydelim,TRUE,CT$9,CT$10,$F217,$D217),#REF!,0)),
INDEX(#REF!,MATCH(_xlfn.TEXTJOIN(keydelim,TRUE,CT$9,CT$10,$F217,$D217),#REF!,0))+
INDEX(#REF!,MATCH(_xlfn.TEXTJOIN(keydelim,TRUE,CT$9,CT$10,$F217,$D217),#REF!,0))*CT$214),
MIN(INDEX(#REF!,MATCH(_xlfn.TEXTJOIN(keydelim,TRUE,"Other",CT$10,$F217,$D217),#REF!,0)),
INDEX(#REF!,MATCH(_xlfn.TEXTJOIN(keydelim,TRUE,"Other",CT$10,$F217,$D217),#REF!,0))+
INDEX(#REF!,MATCH(_xlfn.TEXTJOIN(keydelim,TRUE,"Other",CT$10,$F217,$D217),#REF!,0))*CT$214)
)))</f>
        <v>0</v>
      </c>
    </row>
    <row r="218" spans="2:98" hidden="1" outlineLevel="1" x14ac:dyDescent="0.2">
      <c r="D218" s="266" t="s">
        <v>353</v>
      </c>
      <c r="F218"/>
      <c r="X218" s="266" t="s">
        <v>353</v>
      </c>
      <c r="Z218"/>
      <c r="AR218" s="266" t="s">
        <v>353</v>
      </c>
      <c r="AT218"/>
      <c r="BL218" s="266" t="s">
        <v>353</v>
      </c>
      <c r="BN218"/>
      <c r="CF218" s="266" t="s">
        <v>353</v>
      </c>
      <c r="CH218"/>
    </row>
    <row r="219" spans="2:98" hidden="1" outlineLevel="1" x14ac:dyDescent="0.2">
      <c r="C219" s="3"/>
      <c r="D219" s="16" t="s">
        <v>398</v>
      </c>
      <c r="E219" s="224" t="s">
        <v>324</v>
      </c>
      <c r="F219" s="298"/>
      <c r="G219" s="98">
        <f t="shared" ref="G219:R219" ca="1" si="927">G136/G141</f>
        <v>21.473621920116738</v>
      </c>
      <c r="H219" s="98">
        <f t="shared" ca="1" si="927"/>
        <v>15.404989638344619</v>
      </c>
      <c r="I219" s="98">
        <f t="shared" ca="1" si="927"/>
        <v>13.444354593464393</v>
      </c>
      <c r="J219" s="98">
        <f t="shared" ca="1" si="927"/>
        <v>13.444354593464393</v>
      </c>
      <c r="K219" s="98">
        <f t="shared" ca="1" si="927"/>
        <v>13.444354593464393</v>
      </c>
      <c r="L219" s="98">
        <f t="shared" ca="1" si="927"/>
        <v>13.444354593464393</v>
      </c>
      <c r="M219" s="98">
        <f t="shared" ca="1" si="927"/>
        <v>13.444354593464393</v>
      </c>
      <c r="N219" s="98">
        <f t="shared" ca="1" si="927"/>
        <v>13.444354593464393</v>
      </c>
      <c r="O219" s="98">
        <f t="shared" ca="1" si="927"/>
        <v>13.444354593464393</v>
      </c>
      <c r="P219" s="98">
        <f t="shared" ca="1" si="927"/>
        <v>13.444354593464393</v>
      </c>
      <c r="Q219" s="98">
        <f t="shared" ca="1" si="927"/>
        <v>13.444354593464393</v>
      </c>
      <c r="R219" s="98">
        <f t="shared" ca="1" si="927"/>
        <v>13.444354593464393</v>
      </c>
      <c r="X219" s="16" t="s">
        <v>398</v>
      </c>
      <c r="Y219" s="224" t="s">
        <v>324</v>
      </c>
      <c r="Z219" s="298"/>
      <c r="AA219" s="98">
        <f t="shared" ref="AA219:AL219" ca="1" si="928">AA136/AA141</f>
        <v>28.010164967271816</v>
      </c>
      <c r="AB219" s="98">
        <f t="shared" ca="1" si="928"/>
        <v>15.101278898435231</v>
      </c>
      <c r="AC219" s="98">
        <f t="shared" ca="1" si="928"/>
        <v>10.581925187075147</v>
      </c>
      <c r="AD219" s="98">
        <f t="shared" ca="1" si="928"/>
        <v>10.624039306140117</v>
      </c>
      <c r="AE219" s="98">
        <f t="shared" ca="1" si="928"/>
        <v>10.502467383740608</v>
      </c>
      <c r="AF219" s="98">
        <f t="shared" ca="1" si="928"/>
        <v>10.385227090861148</v>
      </c>
      <c r="AG219" s="98">
        <f t="shared" ca="1" si="928"/>
        <v>10.282788752348448</v>
      </c>
      <c r="AH219" s="98">
        <f t="shared" ca="1" si="928"/>
        <v>10.282788752348448</v>
      </c>
      <c r="AI219" s="98">
        <f t="shared" ca="1" si="928"/>
        <v>10.282788752348448</v>
      </c>
      <c r="AJ219" s="98">
        <f t="shared" ca="1" si="928"/>
        <v>10.282788752348448</v>
      </c>
      <c r="AK219" s="98">
        <f t="shared" ca="1" si="928"/>
        <v>10.282788752348448</v>
      </c>
      <c r="AL219" s="98">
        <f t="shared" ca="1" si="928"/>
        <v>10.282788752348448</v>
      </c>
      <c r="AR219" s="16" t="s">
        <v>398</v>
      </c>
      <c r="AS219" s="224" t="s">
        <v>324</v>
      </c>
      <c r="AT219" s="298"/>
      <c r="AU219" s="98">
        <f t="shared" ref="AU219:BF219" ca="1" si="929">AU136/AU141</f>
        <v>67.654563699368978</v>
      </c>
      <c r="AV219" s="98">
        <f t="shared" ca="1" si="929"/>
        <v>49.86622112839148</v>
      </c>
      <c r="AW219" s="98">
        <f t="shared" ca="1" si="929"/>
        <v>35.036527617873539</v>
      </c>
      <c r="AX219" s="98">
        <f t="shared" ca="1" si="929"/>
        <v>31.843366273798324</v>
      </c>
      <c r="AY219" s="98">
        <f t="shared" ca="1" si="929"/>
        <v>28.023353054868181</v>
      </c>
      <c r="AZ219" s="98">
        <f t="shared" ca="1" si="929"/>
        <v>23.402115576701302</v>
      </c>
      <c r="BA219" s="98">
        <f t="shared" ca="1" si="929"/>
        <v>19.231023079153672</v>
      </c>
      <c r="BB219" s="98">
        <f t="shared" ca="1" si="929"/>
        <v>19.231023079153672</v>
      </c>
      <c r="BC219" s="98">
        <f t="shared" ca="1" si="929"/>
        <v>19.231023079153672</v>
      </c>
      <c r="BD219" s="98">
        <f t="shared" ca="1" si="929"/>
        <v>19.231023079153672</v>
      </c>
      <c r="BE219" s="98">
        <f t="shared" ca="1" si="929"/>
        <v>19.231023079153672</v>
      </c>
      <c r="BF219" s="98">
        <f t="shared" ca="1" si="929"/>
        <v>19.231023079153672</v>
      </c>
      <c r="BL219" s="16" t="s">
        <v>398</v>
      </c>
      <c r="BM219" s="224" t="s">
        <v>324</v>
      </c>
      <c r="BN219" s="298"/>
      <c r="BO219" s="98">
        <f t="shared" ref="BO219:BZ219" ca="1" si="930">BO136/BO141</f>
        <v>56.44771878224406</v>
      </c>
      <c r="BP219" s="98">
        <f t="shared" ca="1" si="930"/>
        <v>34.15796081641848</v>
      </c>
      <c r="BQ219" s="98">
        <f t="shared" ca="1" si="930"/>
        <v>25.526644558807334</v>
      </c>
      <c r="BR219" s="98">
        <f t="shared" ca="1" si="930"/>
        <v>25.392213579850207</v>
      </c>
      <c r="BS219" s="98">
        <f t="shared" ca="1" si="930"/>
        <v>24.968014990964868</v>
      </c>
      <c r="BT219" s="98">
        <f t="shared" ca="1" si="930"/>
        <v>24.545499780241947</v>
      </c>
      <c r="BU219" s="98">
        <f t="shared" ca="1" si="930"/>
        <v>24.132752179123678</v>
      </c>
      <c r="BV219" s="98">
        <f t="shared" ca="1" si="930"/>
        <v>24.132752179123678</v>
      </c>
      <c r="BW219" s="98">
        <f t="shared" ca="1" si="930"/>
        <v>24.132752179123678</v>
      </c>
      <c r="BX219" s="98">
        <f t="shared" ca="1" si="930"/>
        <v>24.132752179123678</v>
      </c>
      <c r="BY219" s="98">
        <f t="shared" ca="1" si="930"/>
        <v>24.132752179123678</v>
      </c>
      <c r="BZ219" s="98">
        <f t="shared" ca="1" si="930"/>
        <v>24.132752179123678</v>
      </c>
      <c r="CF219" s="16" t="s">
        <v>398</v>
      </c>
      <c r="CG219" s="224" t="s">
        <v>324</v>
      </c>
      <c r="CH219" s="298"/>
      <c r="CI219" s="98">
        <f t="shared" ref="CI219:CT219" ca="1" si="931">CI136/CI141</f>
        <v>51.007160238790995</v>
      </c>
      <c r="CJ219" s="98">
        <f t="shared" ca="1" si="931"/>
        <v>35.917851468003114</v>
      </c>
      <c r="CK219" s="98">
        <f t="shared" ca="1" si="931"/>
        <v>30.377047685488289</v>
      </c>
      <c r="CL219" s="98">
        <f t="shared" ca="1" si="931"/>
        <v>28.106631469870184</v>
      </c>
      <c r="CM219" s="98">
        <f t="shared" ca="1" si="931"/>
        <v>25.887450121103139</v>
      </c>
      <c r="CN219" s="98">
        <f t="shared" ca="1" si="931"/>
        <v>24.602263834424107</v>
      </c>
      <c r="CO219" s="98">
        <f t="shared" ca="1" si="931"/>
        <v>23.3548422993738</v>
      </c>
      <c r="CP219" s="98">
        <f t="shared" ca="1" si="931"/>
        <v>23.3548422993738</v>
      </c>
      <c r="CQ219" s="98">
        <f t="shared" ca="1" si="931"/>
        <v>23.3548422993738</v>
      </c>
      <c r="CR219" s="98">
        <f t="shared" ca="1" si="931"/>
        <v>23.3548422993738</v>
      </c>
      <c r="CS219" s="98">
        <f t="shared" ca="1" si="931"/>
        <v>23.3548422993738</v>
      </c>
      <c r="CT219" s="98">
        <f t="shared" ca="1" si="931"/>
        <v>23.3548422993738</v>
      </c>
    </row>
    <row r="220" spans="2:98" hidden="1" outlineLevel="1" x14ac:dyDescent="0.2">
      <c r="C220" s="3"/>
      <c r="D220" s="16" t="s">
        <v>399</v>
      </c>
      <c r="E220" s="224" t="s">
        <v>178</v>
      </c>
      <c r="F220" s="298" t="s">
        <v>403</v>
      </c>
      <c r="G220" s="116" cm="1">
        <f t="array" aca="1" ref="G220" ca="1">_xlfn.IFS(G$25="Manual",G361,
G$25="Regression",
MAX(0,
IFERROR(MIN(INDEX(#REF!,MATCH(_xlfn.TEXTJOIN(keydelim,TRUE,G$9,G$10,$F220,$D220),#REF!,0)),
INDEX(#REF!,MATCH(_xlfn.TEXTJOIN(keydelim,TRUE,G$9,G$10,$F220,$D220),#REF!,0))+
INDEX(#REF!,MATCH(_xlfn.TEXTJOIN(keydelim,TRUE,G$9,G$10,$F220,$D220),#REF!,0))*G$219),
MIN(INDEX(#REF!,MATCH(_xlfn.TEXTJOIN(keydelim,TRUE,"Other",G$10,$F220,$D220),#REF!,0)),
INDEX(#REF!,MATCH(_xlfn.TEXTJOIN(keydelim,TRUE,"Other",G$10,$F220,$D220),#REF!,0))+
INDEX(#REF!,MATCH(_xlfn.TEXTJOIN(keydelim,TRUE,"Other",G$10,$F220,$D220),#REF!,0))*G$219)
)))</f>
        <v>0</v>
      </c>
      <c r="H220" s="23" cm="1">
        <f t="array" aca="1" ref="H220" ca="1">_xlfn.IFS(H$25="Manual",G220,
H$25="Regression",
MAX(0,
IFERROR(MIN(INDEX(#REF!,MATCH(_xlfn.TEXTJOIN(keydelim,TRUE,H$9,H$10,$F220,$D220),#REF!,0)),
INDEX(#REF!,MATCH(_xlfn.TEXTJOIN(keydelim,TRUE,H$9,H$10,$F220,$D220),#REF!,0))+
INDEX(#REF!,MATCH(_xlfn.TEXTJOIN(keydelim,TRUE,H$9,H$10,$F220,$D220),#REF!,0))*H$214),
MIN(INDEX(#REF!,MATCH(_xlfn.TEXTJOIN(keydelim,TRUE,"Other",H$10,$F220,$D220),#REF!,0)),
INDEX(#REF!,MATCH(_xlfn.TEXTJOIN(keydelim,TRUE,"Other",H$10,$F220,$D220),#REF!,0))+
INDEX(#REF!,MATCH(_xlfn.TEXTJOIN(keydelim,TRUE,"Other",H$10,$F220,$D220),#REF!,0))*H$214)
)))</f>
        <v>0</v>
      </c>
      <c r="I220" s="23" cm="1">
        <f t="array" aca="1" ref="I220" ca="1">_xlfn.IFS(I$25="Manual",H220,
I$25="Regression",
MAX(0,
IFERROR(MIN(INDEX(#REF!,MATCH(_xlfn.TEXTJOIN(keydelim,TRUE,I$9,I$10,$F220,$D220),#REF!,0)),
INDEX(#REF!,MATCH(_xlfn.TEXTJOIN(keydelim,TRUE,I$9,I$10,$F220,$D220),#REF!,0))+
INDEX(#REF!,MATCH(_xlfn.TEXTJOIN(keydelim,TRUE,I$9,I$10,$F220,$D220),#REF!,0))*I$214),
MIN(INDEX(#REF!,MATCH(_xlfn.TEXTJOIN(keydelim,TRUE,"Other",I$10,$F220,$D220),#REF!,0)),
INDEX(#REF!,MATCH(_xlfn.TEXTJOIN(keydelim,TRUE,"Other",I$10,$F220,$D220),#REF!,0))+
INDEX(#REF!,MATCH(_xlfn.TEXTJOIN(keydelim,TRUE,"Other",I$10,$F220,$D220),#REF!,0))*I$214)
)))</f>
        <v>0</v>
      </c>
      <c r="J220" s="23" cm="1">
        <f t="array" aca="1" ref="J220" ca="1">_xlfn.IFS(J$25="Manual",I220,
J$25="Regression",
MAX(0,
IFERROR(MIN(INDEX(#REF!,MATCH(_xlfn.TEXTJOIN(keydelim,TRUE,J$9,J$10,$F220,$D220),#REF!,0)),
INDEX(#REF!,MATCH(_xlfn.TEXTJOIN(keydelim,TRUE,J$9,J$10,$F220,$D220),#REF!,0))+
INDEX(#REF!,MATCH(_xlfn.TEXTJOIN(keydelim,TRUE,J$9,J$10,$F220,$D220),#REF!,0))*J$214),
MIN(INDEX(#REF!,MATCH(_xlfn.TEXTJOIN(keydelim,TRUE,"Other",J$10,$F220,$D220),#REF!,0)),
INDEX(#REF!,MATCH(_xlfn.TEXTJOIN(keydelim,TRUE,"Other",J$10,$F220,$D220),#REF!,0))+
INDEX(#REF!,MATCH(_xlfn.TEXTJOIN(keydelim,TRUE,"Other",J$10,$F220,$D220),#REF!,0))*J$214)
)))</f>
        <v>0</v>
      </c>
      <c r="K220" s="23" cm="1">
        <f t="array" aca="1" ref="K220" ca="1">_xlfn.IFS(K$25="Manual",J220,
K$25="Regression",
MAX(0,
IFERROR(MIN(INDEX(#REF!,MATCH(_xlfn.TEXTJOIN(keydelim,TRUE,K$9,K$10,$F220,$D220),#REF!,0)),
INDEX(#REF!,MATCH(_xlfn.TEXTJOIN(keydelim,TRUE,K$9,K$10,$F220,$D220),#REF!,0))+
INDEX(#REF!,MATCH(_xlfn.TEXTJOIN(keydelim,TRUE,K$9,K$10,$F220,$D220),#REF!,0))*K$214),
MIN(INDEX(#REF!,MATCH(_xlfn.TEXTJOIN(keydelim,TRUE,"Other",K$10,$F220,$D220),#REF!,0)),
INDEX(#REF!,MATCH(_xlfn.TEXTJOIN(keydelim,TRUE,"Other",K$10,$F220,$D220),#REF!,0))+
INDEX(#REF!,MATCH(_xlfn.TEXTJOIN(keydelim,TRUE,"Other",K$10,$F220,$D220),#REF!,0))*K$214)
)))</f>
        <v>0</v>
      </c>
      <c r="L220" s="23" cm="1">
        <f t="array" aca="1" ref="L220" ca="1">_xlfn.IFS(L$25="Manual",K220,
L$25="Regression",
MAX(0,
IFERROR(MIN(INDEX(#REF!,MATCH(_xlfn.TEXTJOIN(keydelim,TRUE,L$9,L$10,$F220,$D220),#REF!,0)),
INDEX(#REF!,MATCH(_xlfn.TEXTJOIN(keydelim,TRUE,L$9,L$10,$F220,$D220),#REF!,0))+
INDEX(#REF!,MATCH(_xlfn.TEXTJOIN(keydelim,TRUE,L$9,L$10,$F220,$D220),#REF!,0))*L$214),
MIN(INDEX(#REF!,MATCH(_xlfn.TEXTJOIN(keydelim,TRUE,"Other",L$10,$F220,$D220),#REF!,0)),
INDEX(#REF!,MATCH(_xlfn.TEXTJOIN(keydelim,TRUE,"Other",L$10,$F220,$D220),#REF!,0))+
INDEX(#REF!,MATCH(_xlfn.TEXTJOIN(keydelim,TRUE,"Other",L$10,$F220,$D220),#REF!,0))*L$214)
)))</f>
        <v>0</v>
      </c>
      <c r="M220" s="23" cm="1">
        <f t="array" aca="1" ref="M220" ca="1">_xlfn.IFS(M$25="Manual",L220,
M$25="Regression",
MAX(0,
IFERROR(MIN(INDEX(#REF!,MATCH(_xlfn.TEXTJOIN(keydelim,TRUE,M$9,M$10,$F220,$D220),#REF!,0)),
INDEX(#REF!,MATCH(_xlfn.TEXTJOIN(keydelim,TRUE,M$9,M$10,$F220,$D220),#REF!,0))+
INDEX(#REF!,MATCH(_xlfn.TEXTJOIN(keydelim,TRUE,M$9,M$10,$F220,$D220),#REF!,0))*M$214),
MIN(INDEX(#REF!,MATCH(_xlfn.TEXTJOIN(keydelim,TRUE,"Other",M$10,$F220,$D220),#REF!,0)),
INDEX(#REF!,MATCH(_xlfn.TEXTJOIN(keydelim,TRUE,"Other",M$10,$F220,$D220),#REF!,0))+
INDEX(#REF!,MATCH(_xlfn.TEXTJOIN(keydelim,TRUE,"Other",M$10,$F220,$D220),#REF!,0))*M$214)
)))</f>
        <v>0</v>
      </c>
      <c r="N220" s="23" cm="1">
        <f t="array" aca="1" ref="N220" ca="1">_xlfn.IFS(N$25="Manual",M220,
N$25="Regression",
MAX(0,
IFERROR(MIN(INDEX(#REF!,MATCH(_xlfn.TEXTJOIN(keydelim,TRUE,N$9,N$10,$F220,$D220),#REF!,0)),
INDEX(#REF!,MATCH(_xlfn.TEXTJOIN(keydelim,TRUE,N$9,N$10,$F220,$D220),#REF!,0))+
INDEX(#REF!,MATCH(_xlfn.TEXTJOIN(keydelim,TRUE,N$9,N$10,$F220,$D220),#REF!,0))*N$214),
MIN(INDEX(#REF!,MATCH(_xlfn.TEXTJOIN(keydelim,TRUE,"Other",N$10,$F220,$D220),#REF!,0)),
INDEX(#REF!,MATCH(_xlfn.TEXTJOIN(keydelim,TRUE,"Other",N$10,$F220,$D220),#REF!,0))+
INDEX(#REF!,MATCH(_xlfn.TEXTJOIN(keydelim,TRUE,"Other",N$10,$F220,$D220),#REF!,0))*N$214)
)))</f>
        <v>0</v>
      </c>
      <c r="O220" s="23" cm="1">
        <f t="array" aca="1" ref="O220" ca="1">_xlfn.IFS(O$25="Manual",N220,
O$25="Regression",
MAX(0,
IFERROR(MIN(INDEX(#REF!,MATCH(_xlfn.TEXTJOIN(keydelim,TRUE,O$9,O$10,$F220,$D220),#REF!,0)),
INDEX(#REF!,MATCH(_xlfn.TEXTJOIN(keydelim,TRUE,O$9,O$10,$F220,$D220),#REF!,0))+
INDEX(#REF!,MATCH(_xlfn.TEXTJOIN(keydelim,TRUE,O$9,O$10,$F220,$D220),#REF!,0))*O$214),
MIN(INDEX(#REF!,MATCH(_xlfn.TEXTJOIN(keydelim,TRUE,"Other",O$10,$F220,$D220),#REF!,0)),
INDEX(#REF!,MATCH(_xlfn.TEXTJOIN(keydelim,TRUE,"Other",O$10,$F220,$D220),#REF!,0))+
INDEX(#REF!,MATCH(_xlfn.TEXTJOIN(keydelim,TRUE,"Other",O$10,$F220,$D220),#REF!,0))*O$214)
)))</f>
        <v>0</v>
      </c>
      <c r="P220" s="23" cm="1">
        <f t="array" aca="1" ref="P220" ca="1">_xlfn.IFS(P$25="Manual",O220,
P$25="Regression",
MAX(0,
IFERROR(MIN(INDEX(#REF!,MATCH(_xlfn.TEXTJOIN(keydelim,TRUE,P$9,P$10,$F220,$D220),#REF!,0)),
INDEX(#REF!,MATCH(_xlfn.TEXTJOIN(keydelim,TRUE,P$9,P$10,$F220,$D220),#REF!,0))+
INDEX(#REF!,MATCH(_xlfn.TEXTJOIN(keydelim,TRUE,P$9,P$10,$F220,$D220),#REF!,0))*P$214),
MIN(INDEX(#REF!,MATCH(_xlfn.TEXTJOIN(keydelim,TRUE,"Other",P$10,$F220,$D220),#REF!,0)),
INDEX(#REF!,MATCH(_xlfn.TEXTJOIN(keydelim,TRUE,"Other",P$10,$F220,$D220),#REF!,0))+
INDEX(#REF!,MATCH(_xlfn.TEXTJOIN(keydelim,TRUE,"Other",P$10,$F220,$D220),#REF!,0))*P$214)
)))</f>
        <v>0</v>
      </c>
      <c r="Q220" s="23" cm="1">
        <f t="array" aca="1" ref="Q220" ca="1">_xlfn.IFS(Q$25="Manual",P220,
Q$25="Regression",
MAX(0,
IFERROR(MIN(INDEX(#REF!,MATCH(_xlfn.TEXTJOIN(keydelim,TRUE,Q$9,Q$10,$F220,$D220),#REF!,0)),
INDEX(#REF!,MATCH(_xlfn.TEXTJOIN(keydelim,TRUE,Q$9,Q$10,$F220,$D220),#REF!,0))+
INDEX(#REF!,MATCH(_xlfn.TEXTJOIN(keydelim,TRUE,Q$9,Q$10,$F220,$D220),#REF!,0))*Q$214),
MIN(INDEX(#REF!,MATCH(_xlfn.TEXTJOIN(keydelim,TRUE,"Other",Q$10,$F220,$D220),#REF!,0)),
INDEX(#REF!,MATCH(_xlfn.TEXTJOIN(keydelim,TRUE,"Other",Q$10,$F220,$D220),#REF!,0))+
INDEX(#REF!,MATCH(_xlfn.TEXTJOIN(keydelim,TRUE,"Other",Q$10,$F220,$D220),#REF!,0))*Q$214)
)))</f>
        <v>0</v>
      </c>
      <c r="R220" s="23" cm="1">
        <f t="array" aca="1" ref="R220" ca="1">_xlfn.IFS(R$25="Manual",Q220,
R$25="Regression",
MAX(0,
IFERROR(MIN(INDEX(#REF!,MATCH(_xlfn.TEXTJOIN(keydelim,TRUE,R$9,R$10,$F220,$D220),#REF!,0)),
INDEX(#REF!,MATCH(_xlfn.TEXTJOIN(keydelim,TRUE,R$9,R$10,$F220,$D220),#REF!,0))+
INDEX(#REF!,MATCH(_xlfn.TEXTJOIN(keydelim,TRUE,R$9,R$10,$F220,$D220),#REF!,0))*R$214),
MIN(INDEX(#REF!,MATCH(_xlfn.TEXTJOIN(keydelim,TRUE,"Other",R$10,$F220,$D220),#REF!,0)),
INDEX(#REF!,MATCH(_xlfn.TEXTJOIN(keydelim,TRUE,"Other",R$10,$F220,$D220),#REF!,0))+
INDEX(#REF!,MATCH(_xlfn.TEXTJOIN(keydelim,TRUE,"Other",R$10,$F220,$D220),#REF!,0))*R$214)
)))</f>
        <v>0</v>
      </c>
      <c r="X220" s="16" t="s">
        <v>399</v>
      </c>
      <c r="Y220" s="224" t="s">
        <v>178</v>
      </c>
      <c r="Z220" s="298" t="s">
        <v>403</v>
      </c>
      <c r="AA220" s="116" cm="1">
        <f t="array" aca="1" ref="AA220" ca="1">_xlfn.IFS(AA$25="Manual",AA361,
AA$25="Regression",
MAX(0,
IFERROR(MIN(INDEX(#REF!,MATCH(_xlfn.TEXTJOIN(keydelim,TRUE,AA$9,AA$10,$F220,$D220),#REF!,0)),
INDEX(#REF!,MATCH(_xlfn.TEXTJOIN(keydelim,TRUE,AA$9,AA$10,$F220,$D220),#REF!,0))+
INDEX(#REF!,MATCH(_xlfn.TEXTJOIN(keydelim,TRUE,AA$9,AA$10,$F220,$D220),#REF!,0))*AA$219),
MIN(INDEX(#REF!,MATCH(_xlfn.TEXTJOIN(keydelim,TRUE,"Other",AA$10,$F220,$D220),#REF!,0)),
INDEX(#REF!,MATCH(_xlfn.TEXTJOIN(keydelim,TRUE,"Other",AA$10,$F220,$D220),#REF!,0))+
INDEX(#REF!,MATCH(_xlfn.TEXTJOIN(keydelim,TRUE,"Other",AA$10,$F220,$D220),#REF!,0))*AA$219)
)))</f>
        <v>0</v>
      </c>
      <c r="AB220" s="23" cm="1">
        <f t="array" aca="1" ref="AB220" ca="1">_xlfn.IFS(AB$25="Manual",AA220,
AB$25="Regression",
MAX(0,
IFERROR(MIN(INDEX(#REF!,MATCH(_xlfn.TEXTJOIN(keydelim,TRUE,AB$9,AB$10,$F220,$D220),#REF!,0)),
INDEX(#REF!,MATCH(_xlfn.TEXTJOIN(keydelim,TRUE,AB$9,AB$10,$F220,$D220),#REF!,0))+
INDEX(#REF!,MATCH(_xlfn.TEXTJOIN(keydelim,TRUE,AB$9,AB$10,$F220,$D220),#REF!,0))*AB$214),
MIN(INDEX(#REF!,MATCH(_xlfn.TEXTJOIN(keydelim,TRUE,"Other",AB$10,$F220,$D220),#REF!,0)),
INDEX(#REF!,MATCH(_xlfn.TEXTJOIN(keydelim,TRUE,"Other",AB$10,$F220,$D220),#REF!,0))+
INDEX(#REF!,MATCH(_xlfn.TEXTJOIN(keydelim,TRUE,"Other",AB$10,$F220,$D220),#REF!,0))*AB$214)
)))</f>
        <v>0</v>
      </c>
      <c r="AC220" s="23" cm="1">
        <f t="array" aca="1" ref="AC220" ca="1">_xlfn.IFS(AC$25="Manual",AB220,
AC$25="Regression",
MAX(0,
IFERROR(MIN(INDEX(#REF!,MATCH(_xlfn.TEXTJOIN(keydelim,TRUE,AC$9,AC$10,$F220,$D220),#REF!,0)),
INDEX(#REF!,MATCH(_xlfn.TEXTJOIN(keydelim,TRUE,AC$9,AC$10,$F220,$D220),#REF!,0))+
INDEX(#REF!,MATCH(_xlfn.TEXTJOIN(keydelim,TRUE,AC$9,AC$10,$F220,$D220),#REF!,0))*AC$214),
MIN(INDEX(#REF!,MATCH(_xlfn.TEXTJOIN(keydelim,TRUE,"Other",AC$10,$F220,$D220),#REF!,0)),
INDEX(#REF!,MATCH(_xlfn.TEXTJOIN(keydelim,TRUE,"Other",AC$10,$F220,$D220),#REF!,0))+
INDEX(#REF!,MATCH(_xlfn.TEXTJOIN(keydelim,TRUE,"Other",AC$10,$F220,$D220),#REF!,0))*AC$214)
)))</f>
        <v>0</v>
      </c>
      <c r="AD220" s="23" cm="1">
        <f t="array" aca="1" ref="AD220" ca="1">_xlfn.IFS(AD$25="Manual",AC220,
AD$25="Regression",
MAX(0,
IFERROR(MIN(INDEX(#REF!,MATCH(_xlfn.TEXTJOIN(keydelim,TRUE,AD$9,AD$10,$F220,$D220),#REF!,0)),
INDEX(#REF!,MATCH(_xlfn.TEXTJOIN(keydelim,TRUE,AD$9,AD$10,$F220,$D220),#REF!,0))+
INDEX(#REF!,MATCH(_xlfn.TEXTJOIN(keydelim,TRUE,AD$9,AD$10,$F220,$D220),#REF!,0))*AD$214),
MIN(INDEX(#REF!,MATCH(_xlfn.TEXTJOIN(keydelim,TRUE,"Other",AD$10,$F220,$D220),#REF!,0)),
INDEX(#REF!,MATCH(_xlfn.TEXTJOIN(keydelim,TRUE,"Other",AD$10,$F220,$D220),#REF!,0))+
INDEX(#REF!,MATCH(_xlfn.TEXTJOIN(keydelim,TRUE,"Other",AD$10,$F220,$D220),#REF!,0))*AD$214)
)))</f>
        <v>0</v>
      </c>
      <c r="AE220" s="23" cm="1">
        <f t="array" aca="1" ref="AE220" ca="1">_xlfn.IFS(AE$25="Manual",AD220,
AE$25="Regression",
MAX(0,
IFERROR(MIN(INDEX(#REF!,MATCH(_xlfn.TEXTJOIN(keydelim,TRUE,AE$9,AE$10,$F220,$D220),#REF!,0)),
INDEX(#REF!,MATCH(_xlfn.TEXTJOIN(keydelim,TRUE,AE$9,AE$10,$F220,$D220),#REF!,0))+
INDEX(#REF!,MATCH(_xlfn.TEXTJOIN(keydelim,TRUE,AE$9,AE$10,$F220,$D220),#REF!,0))*AE$214),
MIN(INDEX(#REF!,MATCH(_xlfn.TEXTJOIN(keydelim,TRUE,"Other",AE$10,$F220,$D220),#REF!,0)),
INDEX(#REF!,MATCH(_xlfn.TEXTJOIN(keydelim,TRUE,"Other",AE$10,$F220,$D220),#REF!,0))+
INDEX(#REF!,MATCH(_xlfn.TEXTJOIN(keydelim,TRUE,"Other",AE$10,$F220,$D220),#REF!,0))*AE$214)
)))</f>
        <v>0</v>
      </c>
      <c r="AF220" s="23" cm="1">
        <f t="array" aca="1" ref="AF220" ca="1">_xlfn.IFS(AF$25="Manual",AE220,
AF$25="Regression",
MAX(0,
IFERROR(MIN(INDEX(#REF!,MATCH(_xlfn.TEXTJOIN(keydelim,TRUE,AF$9,AF$10,$F220,$D220),#REF!,0)),
INDEX(#REF!,MATCH(_xlfn.TEXTJOIN(keydelim,TRUE,AF$9,AF$10,$F220,$D220),#REF!,0))+
INDEX(#REF!,MATCH(_xlfn.TEXTJOIN(keydelim,TRUE,AF$9,AF$10,$F220,$D220),#REF!,0))*AF$214),
MIN(INDEX(#REF!,MATCH(_xlfn.TEXTJOIN(keydelim,TRUE,"Other",AF$10,$F220,$D220),#REF!,0)),
INDEX(#REF!,MATCH(_xlfn.TEXTJOIN(keydelim,TRUE,"Other",AF$10,$F220,$D220),#REF!,0))+
INDEX(#REF!,MATCH(_xlfn.TEXTJOIN(keydelim,TRUE,"Other",AF$10,$F220,$D220),#REF!,0))*AF$214)
)))</f>
        <v>0</v>
      </c>
      <c r="AG220" s="23" cm="1">
        <f t="array" aca="1" ref="AG220" ca="1">_xlfn.IFS(AG$25="Manual",AF220,
AG$25="Regression",
MAX(0,
IFERROR(MIN(INDEX(#REF!,MATCH(_xlfn.TEXTJOIN(keydelim,TRUE,AG$9,AG$10,$F220,$D220),#REF!,0)),
INDEX(#REF!,MATCH(_xlfn.TEXTJOIN(keydelim,TRUE,AG$9,AG$10,$F220,$D220),#REF!,0))+
INDEX(#REF!,MATCH(_xlfn.TEXTJOIN(keydelim,TRUE,AG$9,AG$10,$F220,$D220),#REF!,0))*AG$214),
MIN(INDEX(#REF!,MATCH(_xlfn.TEXTJOIN(keydelim,TRUE,"Other",AG$10,$F220,$D220),#REF!,0)),
INDEX(#REF!,MATCH(_xlfn.TEXTJOIN(keydelim,TRUE,"Other",AG$10,$F220,$D220),#REF!,0))+
INDEX(#REF!,MATCH(_xlfn.TEXTJOIN(keydelim,TRUE,"Other",AG$10,$F220,$D220),#REF!,0))*AG$214)
)))</f>
        <v>0</v>
      </c>
      <c r="AH220" s="23" cm="1">
        <f t="array" aca="1" ref="AH220" ca="1">_xlfn.IFS(AH$25="Manual",AG220,
AH$25="Regression",
MAX(0,
IFERROR(MIN(INDEX(#REF!,MATCH(_xlfn.TEXTJOIN(keydelim,TRUE,AH$9,AH$10,$F220,$D220),#REF!,0)),
INDEX(#REF!,MATCH(_xlfn.TEXTJOIN(keydelim,TRUE,AH$9,AH$10,$F220,$D220),#REF!,0))+
INDEX(#REF!,MATCH(_xlfn.TEXTJOIN(keydelim,TRUE,AH$9,AH$10,$F220,$D220),#REF!,0))*AH$214),
MIN(INDEX(#REF!,MATCH(_xlfn.TEXTJOIN(keydelim,TRUE,"Other",AH$10,$F220,$D220),#REF!,0)),
INDEX(#REF!,MATCH(_xlfn.TEXTJOIN(keydelim,TRUE,"Other",AH$10,$F220,$D220),#REF!,0))+
INDEX(#REF!,MATCH(_xlfn.TEXTJOIN(keydelim,TRUE,"Other",AH$10,$F220,$D220),#REF!,0))*AH$214)
)))</f>
        <v>0</v>
      </c>
      <c r="AI220" s="23" cm="1">
        <f t="array" aca="1" ref="AI220" ca="1">_xlfn.IFS(AI$25="Manual",AH220,
AI$25="Regression",
MAX(0,
IFERROR(MIN(INDEX(#REF!,MATCH(_xlfn.TEXTJOIN(keydelim,TRUE,AI$9,AI$10,$F220,$D220),#REF!,0)),
INDEX(#REF!,MATCH(_xlfn.TEXTJOIN(keydelim,TRUE,AI$9,AI$10,$F220,$D220),#REF!,0))+
INDEX(#REF!,MATCH(_xlfn.TEXTJOIN(keydelim,TRUE,AI$9,AI$10,$F220,$D220),#REF!,0))*AI$214),
MIN(INDEX(#REF!,MATCH(_xlfn.TEXTJOIN(keydelim,TRUE,"Other",AI$10,$F220,$D220),#REF!,0)),
INDEX(#REF!,MATCH(_xlfn.TEXTJOIN(keydelim,TRUE,"Other",AI$10,$F220,$D220),#REF!,0))+
INDEX(#REF!,MATCH(_xlfn.TEXTJOIN(keydelim,TRUE,"Other",AI$10,$F220,$D220),#REF!,0))*AI$214)
)))</f>
        <v>0</v>
      </c>
      <c r="AJ220" s="23" cm="1">
        <f t="array" aca="1" ref="AJ220" ca="1">_xlfn.IFS(AJ$25="Manual",AI220,
AJ$25="Regression",
MAX(0,
IFERROR(MIN(INDEX(#REF!,MATCH(_xlfn.TEXTJOIN(keydelim,TRUE,AJ$9,AJ$10,$F220,$D220),#REF!,0)),
INDEX(#REF!,MATCH(_xlfn.TEXTJOIN(keydelim,TRUE,AJ$9,AJ$10,$F220,$D220),#REF!,0))+
INDEX(#REF!,MATCH(_xlfn.TEXTJOIN(keydelim,TRUE,AJ$9,AJ$10,$F220,$D220),#REF!,0))*AJ$214),
MIN(INDEX(#REF!,MATCH(_xlfn.TEXTJOIN(keydelim,TRUE,"Other",AJ$10,$F220,$D220),#REF!,0)),
INDEX(#REF!,MATCH(_xlfn.TEXTJOIN(keydelim,TRUE,"Other",AJ$10,$F220,$D220),#REF!,0))+
INDEX(#REF!,MATCH(_xlfn.TEXTJOIN(keydelim,TRUE,"Other",AJ$10,$F220,$D220),#REF!,0))*AJ$214)
)))</f>
        <v>0</v>
      </c>
      <c r="AK220" s="23" cm="1">
        <f t="array" aca="1" ref="AK220" ca="1">_xlfn.IFS(AK$25="Manual",AJ220,
AK$25="Regression",
MAX(0,
IFERROR(MIN(INDEX(#REF!,MATCH(_xlfn.TEXTJOIN(keydelim,TRUE,AK$9,AK$10,$F220,$D220),#REF!,0)),
INDEX(#REF!,MATCH(_xlfn.TEXTJOIN(keydelim,TRUE,AK$9,AK$10,$F220,$D220),#REF!,0))+
INDEX(#REF!,MATCH(_xlfn.TEXTJOIN(keydelim,TRUE,AK$9,AK$10,$F220,$D220),#REF!,0))*AK$214),
MIN(INDEX(#REF!,MATCH(_xlfn.TEXTJOIN(keydelim,TRUE,"Other",AK$10,$F220,$D220),#REF!,0)),
INDEX(#REF!,MATCH(_xlfn.TEXTJOIN(keydelim,TRUE,"Other",AK$10,$F220,$D220),#REF!,0))+
INDEX(#REF!,MATCH(_xlfn.TEXTJOIN(keydelim,TRUE,"Other",AK$10,$F220,$D220),#REF!,0))*AK$214)
)))</f>
        <v>0</v>
      </c>
      <c r="AL220" s="23" cm="1">
        <f t="array" aca="1" ref="AL220" ca="1">_xlfn.IFS(AL$25="Manual",AK220,
AL$25="Regression",
MAX(0,
IFERROR(MIN(INDEX(#REF!,MATCH(_xlfn.TEXTJOIN(keydelim,TRUE,AL$9,AL$10,$F220,$D220),#REF!,0)),
INDEX(#REF!,MATCH(_xlfn.TEXTJOIN(keydelim,TRUE,AL$9,AL$10,$F220,$D220),#REF!,0))+
INDEX(#REF!,MATCH(_xlfn.TEXTJOIN(keydelim,TRUE,AL$9,AL$10,$F220,$D220),#REF!,0))*AL$214),
MIN(INDEX(#REF!,MATCH(_xlfn.TEXTJOIN(keydelim,TRUE,"Other",AL$10,$F220,$D220),#REF!,0)),
INDEX(#REF!,MATCH(_xlfn.TEXTJOIN(keydelim,TRUE,"Other",AL$10,$F220,$D220),#REF!,0))+
INDEX(#REF!,MATCH(_xlfn.TEXTJOIN(keydelim,TRUE,"Other",AL$10,$F220,$D220),#REF!,0))*AL$214)
)))</f>
        <v>0</v>
      </c>
      <c r="AR220" s="16" t="s">
        <v>399</v>
      </c>
      <c r="AS220" s="224" t="s">
        <v>178</v>
      </c>
      <c r="AT220" s="298" t="s">
        <v>403</v>
      </c>
      <c r="AU220" s="116" cm="1">
        <f t="array" aca="1" ref="AU220" ca="1">_xlfn.IFS(AU$25="Manual",AU361,
AU$25="Regression",
MAX(0,
IFERROR(MIN(INDEX(#REF!,MATCH(_xlfn.TEXTJOIN(keydelim,TRUE,AU$9,AU$10,$F220,$D220),#REF!,0)),
INDEX(#REF!,MATCH(_xlfn.TEXTJOIN(keydelim,TRUE,AU$9,AU$10,$F220,$D220),#REF!,0))+
INDEX(#REF!,MATCH(_xlfn.TEXTJOIN(keydelim,TRUE,AU$9,AU$10,$F220,$D220),#REF!,0))*AU$219),
MIN(INDEX(#REF!,MATCH(_xlfn.TEXTJOIN(keydelim,TRUE,"Other",AU$10,$F220,$D220),#REF!,0)),
INDEX(#REF!,MATCH(_xlfn.TEXTJOIN(keydelim,TRUE,"Other",AU$10,$F220,$D220),#REF!,0))+
INDEX(#REF!,MATCH(_xlfn.TEXTJOIN(keydelim,TRUE,"Other",AU$10,$F220,$D220),#REF!,0))*AU$219)
)))</f>
        <v>0</v>
      </c>
      <c r="AV220" s="23" cm="1">
        <f t="array" aca="1" ref="AV220" ca="1">_xlfn.IFS(AV$25="Manual",AU220,
AV$25="Regression",
MAX(0,
IFERROR(MIN(INDEX(#REF!,MATCH(_xlfn.TEXTJOIN(keydelim,TRUE,AV$9,AV$10,$F220,$D220),#REF!,0)),
INDEX(#REF!,MATCH(_xlfn.TEXTJOIN(keydelim,TRUE,AV$9,AV$10,$F220,$D220),#REF!,0))+
INDEX(#REF!,MATCH(_xlfn.TEXTJOIN(keydelim,TRUE,AV$9,AV$10,$F220,$D220),#REF!,0))*AV$214),
MIN(INDEX(#REF!,MATCH(_xlfn.TEXTJOIN(keydelim,TRUE,"Other",AV$10,$F220,$D220),#REF!,0)),
INDEX(#REF!,MATCH(_xlfn.TEXTJOIN(keydelim,TRUE,"Other",AV$10,$F220,$D220),#REF!,0))+
INDEX(#REF!,MATCH(_xlfn.TEXTJOIN(keydelim,TRUE,"Other",AV$10,$F220,$D220),#REF!,0))*AV$214)
)))</f>
        <v>0</v>
      </c>
      <c r="AW220" s="23" cm="1">
        <f t="array" aca="1" ref="AW220" ca="1">_xlfn.IFS(AW$25="Manual",AV220,
AW$25="Regression",
MAX(0,
IFERROR(MIN(INDEX(#REF!,MATCH(_xlfn.TEXTJOIN(keydelim,TRUE,AW$9,AW$10,$F220,$D220),#REF!,0)),
INDEX(#REF!,MATCH(_xlfn.TEXTJOIN(keydelim,TRUE,AW$9,AW$10,$F220,$D220),#REF!,0))+
INDEX(#REF!,MATCH(_xlfn.TEXTJOIN(keydelim,TRUE,AW$9,AW$10,$F220,$D220),#REF!,0))*AW$214),
MIN(INDEX(#REF!,MATCH(_xlfn.TEXTJOIN(keydelim,TRUE,"Other",AW$10,$F220,$D220),#REF!,0)),
INDEX(#REF!,MATCH(_xlfn.TEXTJOIN(keydelim,TRUE,"Other",AW$10,$F220,$D220),#REF!,0))+
INDEX(#REF!,MATCH(_xlfn.TEXTJOIN(keydelim,TRUE,"Other",AW$10,$F220,$D220),#REF!,0))*AW$214)
)))</f>
        <v>0</v>
      </c>
      <c r="AX220" s="23" cm="1">
        <f t="array" aca="1" ref="AX220" ca="1">_xlfn.IFS(AX$25="Manual",AW220,
AX$25="Regression",
MAX(0,
IFERROR(MIN(INDEX(#REF!,MATCH(_xlfn.TEXTJOIN(keydelim,TRUE,AX$9,AX$10,$F220,$D220),#REF!,0)),
INDEX(#REF!,MATCH(_xlfn.TEXTJOIN(keydelim,TRUE,AX$9,AX$10,$F220,$D220),#REF!,0))+
INDEX(#REF!,MATCH(_xlfn.TEXTJOIN(keydelim,TRUE,AX$9,AX$10,$F220,$D220),#REF!,0))*AX$214),
MIN(INDEX(#REF!,MATCH(_xlfn.TEXTJOIN(keydelim,TRUE,"Other",AX$10,$F220,$D220),#REF!,0)),
INDEX(#REF!,MATCH(_xlfn.TEXTJOIN(keydelim,TRUE,"Other",AX$10,$F220,$D220),#REF!,0))+
INDEX(#REF!,MATCH(_xlfn.TEXTJOIN(keydelim,TRUE,"Other",AX$10,$F220,$D220),#REF!,0))*AX$214)
)))</f>
        <v>0</v>
      </c>
      <c r="AY220" s="23" cm="1">
        <f t="array" aca="1" ref="AY220" ca="1">_xlfn.IFS(AY$25="Manual",AX220,
AY$25="Regression",
MAX(0,
IFERROR(MIN(INDEX(#REF!,MATCH(_xlfn.TEXTJOIN(keydelim,TRUE,AY$9,AY$10,$F220,$D220),#REF!,0)),
INDEX(#REF!,MATCH(_xlfn.TEXTJOIN(keydelim,TRUE,AY$9,AY$10,$F220,$D220),#REF!,0))+
INDEX(#REF!,MATCH(_xlfn.TEXTJOIN(keydelim,TRUE,AY$9,AY$10,$F220,$D220),#REF!,0))*AY$214),
MIN(INDEX(#REF!,MATCH(_xlfn.TEXTJOIN(keydelim,TRUE,"Other",AY$10,$F220,$D220),#REF!,0)),
INDEX(#REF!,MATCH(_xlfn.TEXTJOIN(keydelim,TRUE,"Other",AY$10,$F220,$D220),#REF!,0))+
INDEX(#REF!,MATCH(_xlfn.TEXTJOIN(keydelim,TRUE,"Other",AY$10,$F220,$D220),#REF!,0))*AY$214)
)))</f>
        <v>0</v>
      </c>
      <c r="AZ220" s="23" cm="1">
        <f t="array" aca="1" ref="AZ220" ca="1">_xlfn.IFS(AZ$25="Manual",AY220,
AZ$25="Regression",
MAX(0,
IFERROR(MIN(INDEX(#REF!,MATCH(_xlfn.TEXTJOIN(keydelim,TRUE,AZ$9,AZ$10,$F220,$D220),#REF!,0)),
INDEX(#REF!,MATCH(_xlfn.TEXTJOIN(keydelim,TRUE,AZ$9,AZ$10,$F220,$D220),#REF!,0))+
INDEX(#REF!,MATCH(_xlfn.TEXTJOIN(keydelim,TRUE,AZ$9,AZ$10,$F220,$D220),#REF!,0))*AZ$214),
MIN(INDEX(#REF!,MATCH(_xlfn.TEXTJOIN(keydelim,TRUE,"Other",AZ$10,$F220,$D220),#REF!,0)),
INDEX(#REF!,MATCH(_xlfn.TEXTJOIN(keydelim,TRUE,"Other",AZ$10,$F220,$D220),#REF!,0))+
INDEX(#REF!,MATCH(_xlfn.TEXTJOIN(keydelim,TRUE,"Other",AZ$10,$F220,$D220),#REF!,0))*AZ$214)
)))</f>
        <v>0</v>
      </c>
      <c r="BA220" s="23" cm="1">
        <f t="array" aca="1" ref="BA220" ca="1">_xlfn.IFS(BA$25="Manual",AZ220,
BA$25="Regression",
MAX(0,
IFERROR(MIN(INDEX(#REF!,MATCH(_xlfn.TEXTJOIN(keydelim,TRUE,BA$9,BA$10,$F220,$D220),#REF!,0)),
INDEX(#REF!,MATCH(_xlfn.TEXTJOIN(keydelim,TRUE,BA$9,BA$10,$F220,$D220),#REF!,0))+
INDEX(#REF!,MATCH(_xlfn.TEXTJOIN(keydelim,TRUE,BA$9,BA$10,$F220,$D220),#REF!,0))*BA$214),
MIN(INDEX(#REF!,MATCH(_xlfn.TEXTJOIN(keydelim,TRUE,"Other",BA$10,$F220,$D220),#REF!,0)),
INDEX(#REF!,MATCH(_xlfn.TEXTJOIN(keydelim,TRUE,"Other",BA$10,$F220,$D220),#REF!,0))+
INDEX(#REF!,MATCH(_xlfn.TEXTJOIN(keydelim,TRUE,"Other",BA$10,$F220,$D220),#REF!,0))*BA$214)
)))</f>
        <v>0</v>
      </c>
      <c r="BB220" s="23" cm="1">
        <f t="array" aca="1" ref="BB220" ca="1">_xlfn.IFS(BB$25="Manual",BA220,
BB$25="Regression",
MAX(0,
IFERROR(MIN(INDEX(#REF!,MATCH(_xlfn.TEXTJOIN(keydelim,TRUE,BB$9,BB$10,$F220,$D220),#REF!,0)),
INDEX(#REF!,MATCH(_xlfn.TEXTJOIN(keydelim,TRUE,BB$9,BB$10,$F220,$D220),#REF!,0))+
INDEX(#REF!,MATCH(_xlfn.TEXTJOIN(keydelim,TRUE,BB$9,BB$10,$F220,$D220),#REF!,0))*BB$214),
MIN(INDEX(#REF!,MATCH(_xlfn.TEXTJOIN(keydelim,TRUE,"Other",BB$10,$F220,$D220),#REF!,0)),
INDEX(#REF!,MATCH(_xlfn.TEXTJOIN(keydelim,TRUE,"Other",BB$10,$F220,$D220),#REF!,0))+
INDEX(#REF!,MATCH(_xlfn.TEXTJOIN(keydelim,TRUE,"Other",BB$10,$F220,$D220),#REF!,0))*BB$214)
)))</f>
        <v>0</v>
      </c>
      <c r="BC220" s="23" cm="1">
        <f t="array" aca="1" ref="BC220" ca="1">_xlfn.IFS(BC$25="Manual",BB220,
BC$25="Regression",
MAX(0,
IFERROR(MIN(INDEX(#REF!,MATCH(_xlfn.TEXTJOIN(keydelim,TRUE,BC$9,BC$10,$F220,$D220),#REF!,0)),
INDEX(#REF!,MATCH(_xlfn.TEXTJOIN(keydelim,TRUE,BC$9,BC$10,$F220,$D220),#REF!,0))+
INDEX(#REF!,MATCH(_xlfn.TEXTJOIN(keydelim,TRUE,BC$9,BC$10,$F220,$D220),#REF!,0))*BC$214),
MIN(INDEX(#REF!,MATCH(_xlfn.TEXTJOIN(keydelim,TRUE,"Other",BC$10,$F220,$D220),#REF!,0)),
INDEX(#REF!,MATCH(_xlfn.TEXTJOIN(keydelim,TRUE,"Other",BC$10,$F220,$D220),#REF!,0))+
INDEX(#REF!,MATCH(_xlfn.TEXTJOIN(keydelim,TRUE,"Other",BC$10,$F220,$D220),#REF!,0))*BC$214)
)))</f>
        <v>0</v>
      </c>
      <c r="BD220" s="23" cm="1">
        <f t="array" aca="1" ref="BD220" ca="1">_xlfn.IFS(BD$25="Manual",BC220,
BD$25="Regression",
MAX(0,
IFERROR(MIN(INDEX(#REF!,MATCH(_xlfn.TEXTJOIN(keydelim,TRUE,BD$9,BD$10,$F220,$D220),#REF!,0)),
INDEX(#REF!,MATCH(_xlfn.TEXTJOIN(keydelim,TRUE,BD$9,BD$10,$F220,$D220),#REF!,0))+
INDEX(#REF!,MATCH(_xlfn.TEXTJOIN(keydelim,TRUE,BD$9,BD$10,$F220,$D220),#REF!,0))*BD$214),
MIN(INDEX(#REF!,MATCH(_xlfn.TEXTJOIN(keydelim,TRUE,"Other",BD$10,$F220,$D220),#REF!,0)),
INDEX(#REF!,MATCH(_xlfn.TEXTJOIN(keydelim,TRUE,"Other",BD$10,$F220,$D220),#REF!,0))+
INDEX(#REF!,MATCH(_xlfn.TEXTJOIN(keydelim,TRUE,"Other",BD$10,$F220,$D220),#REF!,0))*BD$214)
)))</f>
        <v>0</v>
      </c>
      <c r="BE220" s="23" cm="1">
        <f t="array" aca="1" ref="BE220" ca="1">_xlfn.IFS(BE$25="Manual",BD220,
BE$25="Regression",
MAX(0,
IFERROR(MIN(INDEX(#REF!,MATCH(_xlfn.TEXTJOIN(keydelim,TRUE,BE$9,BE$10,$F220,$D220),#REF!,0)),
INDEX(#REF!,MATCH(_xlfn.TEXTJOIN(keydelim,TRUE,BE$9,BE$10,$F220,$D220),#REF!,0))+
INDEX(#REF!,MATCH(_xlfn.TEXTJOIN(keydelim,TRUE,BE$9,BE$10,$F220,$D220),#REF!,0))*BE$214),
MIN(INDEX(#REF!,MATCH(_xlfn.TEXTJOIN(keydelim,TRUE,"Other",BE$10,$F220,$D220),#REF!,0)),
INDEX(#REF!,MATCH(_xlfn.TEXTJOIN(keydelim,TRUE,"Other",BE$10,$F220,$D220),#REF!,0))+
INDEX(#REF!,MATCH(_xlfn.TEXTJOIN(keydelim,TRUE,"Other",BE$10,$F220,$D220),#REF!,0))*BE$214)
)))</f>
        <v>0</v>
      </c>
      <c r="BF220" s="23" cm="1">
        <f t="array" aca="1" ref="BF220" ca="1">_xlfn.IFS(BF$25="Manual",BE220,
BF$25="Regression",
MAX(0,
IFERROR(MIN(INDEX(#REF!,MATCH(_xlfn.TEXTJOIN(keydelim,TRUE,BF$9,BF$10,$F220,$D220),#REF!,0)),
INDEX(#REF!,MATCH(_xlfn.TEXTJOIN(keydelim,TRUE,BF$9,BF$10,$F220,$D220),#REF!,0))+
INDEX(#REF!,MATCH(_xlfn.TEXTJOIN(keydelim,TRUE,BF$9,BF$10,$F220,$D220),#REF!,0))*BF$214),
MIN(INDEX(#REF!,MATCH(_xlfn.TEXTJOIN(keydelim,TRUE,"Other",BF$10,$F220,$D220),#REF!,0)),
INDEX(#REF!,MATCH(_xlfn.TEXTJOIN(keydelim,TRUE,"Other",BF$10,$F220,$D220),#REF!,0))+
INDEX(#REF!,MATCH(_xlfn.TEXTJOIN(keydelim,TRUE,"Other",BF$10,$F220,$D220),#REF!,0))*BF$214)
)))</f>
        <v>0</v>
      </c>
      <c r="BL220" s="16" t="s">
        <v>399</v>
      </c>
      <c r="BM220" s="224" t="s">
        <v>178</v>
      </c>
      <c r="BN220" s="298" t="s">
        <v>403</v>
      </c>
      <c r="BO220" s="116" cm="1">
        <f t="array" aca="1" ref="BO220" ca="1">_xlfn.IFS(BO$25="Manual",BO361,
BO$25="Regression",
MAX(0,
IFERROR(MIN(INDEX(#REF!,MATCH(_xlfn.TEXTJOIN(keydelim,TRUE,BO$9,BO$10,$F220,$D220),#REF!,0)),
INDEX(#REF!,MATCH(_xlfn.TEXTJOIN(keydelim,TRUE,BO$9,BO$10,$F220,$D220),#REF!,0))+
INDEX(#REF!,MATCH(_xlfn.TEXTJOIN(keydelim,TRUE,BO$9,BO$10,$F220,$D220),#REF!,0))*BO$219),
MIN(INDEX(#REF!,MATCH(_xlfn.TEXTJOIN(keydelim,TRUE,"Other",BO$10,$F220,$D220),#REF!,0)),
INDEX(#REF!,MATCH(_xlfn.TEXTJOIN(keydelim,TRUE,"Other",BO$10,$F220,$D220),#REF!,0))+
INDEX(#REF!,MATCH(_xlfn.TEXTJOIN(keydelim,TRUE,"Other",BO$10,$F220,$D220),#REF!,0))*BO$219)
)))</f>
        <v>0</v>
      </c>
      <c r="BP220" s="23" cm="1">
        <f t="array" aca="1" ref="BP220" ca="1">_xlfn.IFS(BP$25="Manual",BO220,
BP$25="Regression",
MAX(0,
IFERROR(MIN(INDEX(#REF!,MATCH(_xlfn.TEXTJOIN(keydelim,TRUE,BP$9,BP$10,$F220,$D220),#REF!,0)),
INDEX(#REF!,MATCH(_xlfn.TEXTJOIN(keydelim,TRUE,BP$9,BP$10,$F220,$D220),#REF!,0))+
INDEX(#REF!,MATCH(_xlfn.TEXTJOIN(keydelim,TRUE,BP$9,BP$10,$F220,$D220),#REF!,0))*BP$214),
MIN(INDEX(#REF!,MATCH(_xlfn.TEXTJOIN(keydelim,TRUE,"Other",BP$10,$F220,$D220),#REF!,0)),
INDEX(#REF!,MATCH(_xlfn.TEXTJOIN(keydelim,TRUE,"Other",BP$10,$F220,$D220),#REF!,0))+
INDEX(#REF!,MATCH(_xlfn.TEXTJOIN(keydelim,TRUE,"Other",BP$10,$F220,$D220),#REF!,0))*BP$214)
)))</f>
        <v>0</v>
      </c>
      <c r="BQ220" s="23" cm="1">
        <f t="array" aca="1" ref="BQ220" ca="1">_xlfn.IFS(BQ$25="Manual",BP220,
BQ$25="Regression",
MAX(0,
IFERROR(MIN(INDEX(#REF!,MATCH(_xlfn.TEXTJOIN(keydelim,TRUE,BQ$9,BQ$10,$F220,$D220),#REF!,0)),
INDEX(#REF!,MATCH(_xlfn.TEXTJOIN(keydelim,TRUE,BQ$9,BQ$10,$F220,$D220),#REF!,0))+
INDEX(#REF!,MATCH(_xlfn.TEXTJOIN(keydelim,TRUE,BQ$9,BQ$10,$F220,$D220),#REF!,0))*BQ$214),
MIN(INDEX(#REF!,MATCH(_xlfn.TEXTJOIN(keydelim,TRUE,"Other",BQ$10,$F220,$D220),#REF!,0)),
INDEX(#REF!,MATCH(_xlfn.TEXTJOIN(keydelim,TRUE,"Other",BQ$10,$F220,$D220),#REF!,0))+
INDEX(#REF!,MATCH(_xlfn.TEXTJOIN(keydelim,TRUE,"Other",BQ$10,$F220,$D220),#REF!,0))*BQ$214)
)))</f>
        <v>0</v>
      </c>
      <c r="BR220" s="23" cm="1">
        <f t="array" aca="1" ref="BR220" ca="1">_xlfn.IFS(BR$25="Manual",BQ220,
BR$25="Regression",
MAX(0,
IFERROR(MIN(INDEX(#REF!,MATCH(_xlfn.TEXTJOIN(keydelim,TRUE,BR$9,BR$10,$F220,$D220),#REF!,0)),
INDEX(#REF!,MATCH(_xlfn.TEXTJOIN(keydelim,TRUE,BR$9,BR$10,$F220,$D220),#REF!,0))+
INDEX(#REF!,MATCH(_xlfn.TEXTJOIN(keydelim,TRUE,BR$9,BR$10,$F220,$D220),#REF!,0))*BR$214),
MIN(INDEX(#REF!,MATCH(_xlfn.TEXTJOIN(keydelim,TRUE,"Other",BR$10,$F220,$D220),#REF!,0)),
INDEX(#REF!,MATCH(_xlfn.TEXTJOIN(keydelim,TRUE,"Other",BR$10,$F220,$D220),#REF!,0))+
INDEX(#REF!,MATCH(_xlfn.TEXTJOIN(keydelim,TRUE,"Other",BR$10,$F220,$D220),#REF!,0))*BR$214)
)))</f>
        <v>0</v>
      </c>
      <c r="BS220" s="23" cm="1">
        <f t="array" aca="1" ref="BS220" ca="1">_xlfn.IFS(BS$25="Manual",BR220,
BS$25="Regression",
MAX(0,
IFERROR(MIN(INDEX(#REF!,MATCH(_xlfn.TEXTJOIN(keydelim,TRUE,BS$9,BS$10,$F220,$D220),#REF!,0)),
INDEX(#REF!,MATCH(_xlfn.TEXTJOIN(keydelim,TRUE,BS$9,BS$10,$F220,$D220),#REF!,0))+
INDEX(#REF!,MATCH(_xlfn.TEXTJOIN(keydelim,TRUE,BS$9,BS$10,$F220,$D220),#REF!,0))*BS$214),
MIN(INDEX(#REF!,MATCH(_xlfn.TEXTJOIN(keydelim,TRUE,"Other",BS$10,$F220,$D220),#REF!,0)),
INDEX(#REF!,MATCH(_xlfn.TEXTJOIN(keydelim,TRUE,"Other",BS$10,$F220,$D220),#REF!,0))+
INDEX(#REF!,MATCH(_xlfn.TEXTJOIN(keydelim,TRUE,"Other",BS$10,$F220,$D220),#REF!,0))*BS$214)
)))</f>
        <v>0</v>
      </c>
      <c r="BT220" s="23" cm="1">
        <f t="array" aca="1" ref="BT220" ca="1">_xlfn.IFS(BT$25="Manual",BS220,
BT$25="Regression",
MAX(0,
IFERROR(MIN(INDEX(#REF!,MATCH(_xlfn.TEXTJOIN(keydelim,TRUE,BT$9,BT$10,$F220,$D220),#REF!,0)),
INDEX(#REF!,MATCH(_xlfn.TEXTJOIN(keydelim,TRUE,BT$9,BT$10,$F220,$D220),#REF!,0))+
INDEX(#REF!,MATCH(_xlfn.TEXTJOIN(keydelim,TRUE,BT$9,BT$10,$F220,$D220),#REF!,0))*BT$214),
MIN(INDEX(#REF!,MATCH(_xlfn.TEXTJOIN(keydelim,TRUE,"Other",BT$10,$F220,$D220),#REF!,0)),
INDEX(#REF!,MATCH(_xlfn.TEXTJOIN(keydelim,TRUE,"Other",BT$10,$F220,$D220),#REF!,0))+
INDEX(#REF!,MATCH(_xlfn.TEXTJOIN(keydelim,TRUE,"Other",BT$10,$F220,$D220),#REF!,0))*BT$214)
)))</f>
        <v>0</v>
      </c>
      <c r="BU220" s="23" cm="1">
        <f t="array" aca="1" ref="BU220" ca="1">_xlfn.IFS(BU$25="Manual",BT220,
BU$25="Regression",
MAX(0,
IFERROR(MIN(INDEX(#REF!,MATCH(_xlfn.TEXTJOIN(keydelim,TRUE,BU$9,BU$10,$F220,$D220),#REF!,0)),
INDEX(#REF!,MATCH(_xlfn.TEXTJOIN(keydelim,TRUE,BU$9,BU$10,$F220,$D220),#REF!,0))+
INDEX(#REF!,MATCH(_xlfn.TEXTJOIN(keydelim,TRUE,BU$9,BU$10,$F220,$D220),#REF!,0))*BU$214),
MIN(INDEX(#REF!,MATCH(_xlfn.TEXTJOIN(keydelim,TRUE,"Other",BU$10,$F220,$D220),#REF!,0)),
INDEX(#REF!,MATCH(_xlfn.TEXTJOIN(keydelim,TRUE,"Other",BU$10,$F220,$D220),#REF!,0))+
INDEX(#REF!,MATCH(_xlfn.TEXTJOIN(keydelim,TRUE,"Other",BU$10,$F220,$D220),#REF!,0))*BU$214)
)))</f>
        <v>0</v>
      </c>
      <c r="BV220" s="23" cm="1">
        <f t="array" aca="1" ref="BV220" ca="1">_xlfn.IFS(BV$25="Manual",BU220,
BV$25="Regression",
MAX(0,
IFERROR(MIN(INDEX(#REF!,MATCH(_xlfn.TEXTJOIN(keydelim,TRUE,BV$9,BV$10,$F220,$D220),#REF!,0)),
INDEX(#REF!,MATCH(_xlfn.TEXTJOIN(keydelim,TRUE,BV$9,BV$10,$F220,$D220),#REF!,0))+
INDEX(#REF!,MATCH(_xlfn.TEXTJOIN(keydelim,TRUE,BV$9,BV$10,$F220,$D220),#REF!,0))*BV$214),
MIN(INDEX(#REF!,MATCH(_xlfn.TEXTJOIN(keydelim,TRUE,"Other",BV$10,$F220,$D220),#REF!,0)),
INDEX(#REF!,MATCH(_xlfn.TEXTJOIN(keydelim,TRUE,"Other",BV$10,$F220,$D220),#REF!,0))+
INDEX(#REF!,MATCH(_xlfn.TEXTJOIN(keydelim,TRUE,"Other",BV$10,$F220,$D220),#REF!,0))*BV$214)
)))</f>
        <v>0</v>
      </c>
      <c r="BW220" s="23" cm="1">
        <f t="array" aca="1" ref="BW220" ca="1">_xlfn.IFS(BW$25="Manual",BV220,
BW$25="Regression",
MAX(0,
IFERROR(MIN(INDEX(#REF!,MATCH(_xlfn.TEXTJOIN(keydelim,TRUE,BW$9,BW$10,$F220,$D220),#REF!,0)),
INDEX(#REF!,MATCH(_xlfn.TEXTJOIN(keydelim,TRUE,BW$9,BW$10,$F220,$D220),#REF!,0))+
INDEX(#REF!,MATCH(_xlfn.TEXTJOIN(keydelim,TRUE,BW$9,BW$10,$F220,$D220),#REF!,0))*BW$214),
MIN(INDEX(#REF!,MATCH(_xlfn.TEXTJOIN(keydelim,TRUE,"Other",BW$10,$F220,$D220),#REF!,0)),
INDEX(#REF!,MATCH(_xlfn.TEXTJOIN(keydelim,TRUE,"Other",BW$10,$F220,$D220),#REF!,0))+
INDEX(#REF!,MATCH(_xlfn.TEXTJOIN(keydelim,TRUE,"Other",BW$10,$F220,$D220),#REF!,0))*BW$214)
)))</f>
        <v>0</v>
      </c>
      <c r="BX220" s="23" cm="1">
        <f t="array" aca="1" ref="BX220" ca="1">_xlfn.IFS(BX$25="Manual",BW220,
BX$25="Regression",
MAX(0,
IFERROR(MIN(INDEX(#REF!,MATCH(_xlfn.TEXTJOIN(keydelim,TRUE,BX$9,BX$10,$F220,$D220),#REF!,0)),
INDEX(#REF!,MATCH(_xlfn.TEXTJOIN(keydelim,TRUE,BX$9,BX$10,$F220,$D220),#REF!,0))+
INDEX(#REF!,MATCH(_xlfn.TEXTJOIN(keydelim,TRUE,BX$9,BX$10,$F220,$D220),#REF!,0))*BX$214),
MIN(INDEX(#REF!,MATCH(_xlfn.TEXTJOIN(keydelim,TRUE,"Other",BX$10,$F220,$D220),#REF!,0)),
INDEX(#REF!,MATCH(_xlfn.TEXTJOIN(keydelim,TRUE,"Other",BX$10,$F220,$D220),#REF!,0))+
INDEX(#REF!,MATCH(_xlfn.TEXTJOIN(keydelim,TRUE,"Other",BX$10,$F220,$D220),#REF!,0))*BX$214)
)))</f>
        <v>0</v>
      </c>
      <c r="BY220" s="23" cm="1">
        <f t="array" aca="1" ref="BY220" ca="1">_xlfn.IFS(BY$25="Manual",BX220,
BY$25="Regression",
MAX(0,
IFERROR(MIN(INDEX(#REF!,MATCH(_xlfn.TEXTJOIN(keydelim,TRUE,BY$9,BY$10,$F220,$D220),#REF!,0)),
INDEX(#REF!,MATCH(_xlfn.TEXTJOIN(keydelim,TRUE,BY$9,BY$10,$F220,$D220),#REF!,0))+
INDEX(#REF!,MATCH(_xlfn.TEXTJOIN(keydelim,TRUE,BY$9,BY$10,$F220,$D220),#REF!,0))*BY$214),
MIN(INDEX(#REF!,MATCH(_xlfn.TEXTJOIN(keydelim,TRUE,"Other",BY$10,$F220,$D220),#REF!,0)),
INDEX(#REF!,MATCH(_xlfn.TEXTJOIN(keydelim,TRUE,"Other",BY$10,$F220,$D220),#REF!,0))+
INDEX(#REF!,MATCH(_xlfn.TEXTJOIN(keydelim,TRUE,"Other",BY$10,$F220,$D220),#REF!,0))*BY$214)
)))</f>
        <v>0</v>
      </c>
      <c r="BZ220" s="23" cm="1">
        <f t="array" aca="1" ref="BZ220" ca="1">_xlfn.IFS(BZ$25="Manual",BY220,
BZ$25="Regression",
MAX(0,
IFERROR(MIN(INDEX(#REF!,MATCH(_xlfn.TEXTJOIN(keydelim,TRUE,BZ$9,BZ$10,$F220,$D220),#REF!,0)),
INDEX(#REF!,MATCH(_xlfn.TEXTJOIN(keydelim,TRUE,BZ$9,BZ$10,$F220,$D220),#REF!,0))+
INDEX(#REF!,MATCH(_xlfn.TEXTJOIN(keydelim,TRUE,BZ$9,BZ$10,$F220,$D220),#REF!,0))*BZ$214),
MIN(INDEX(#REF!,MATCH(_xlfn.TEXTJOIN(keydelim,TRUE,"Other",BZ$10,$F220,$D220),#REF!,0)),
INDEX(#REF!,MATCH(_xlfn.TEXTJOIN(keydelim,TRUE,"Other",BZ$10,$F220,$D220),#REF!,0))+
INDEX(#REF!,MATCH(_xlfn.TEXTJOIN(keydelim,TRUE,"Other",BZ$10,$F220,$D220),#REF!,0))*BZ$214)
)))</f>
        <v>0</v>
      </c>
      <c r="CF220" s="16" t="s">
        <v>399</v>
      </c>
      <c r="CG220" s="224" t="s">
        <v>178</v>
      </c>
      <c r="CH220" s="298" t="s">
        <v>403</v>
      </c>
      <c r="CI220" s="116" cm="1">
        <f t="array" aca="1" ref="CI220" ca="1">_xlfn.IFS(CI$25="Manual",CI361,
CI$25="Regression",
MAX(0,
IFERROR(MIN(INDEX(#REF!,MATCH(_xlfn.TEXTJOIN(keydelim,TRUE,CI$9,CI$10,$F220,$D220),#REF!,0)),
INDEX(#REF!,MATCH(_xlfn.TEXTJOIN(keydelim,TRUE,CI$9,CI$10,$F220,$D220),#REF!,0))+
INDEX(#REF!,MATCH(_xlfn.TEXTJOIN(keydelim,TRUE,CI$9,CI$10,$F220,$D220),#REF!,0))*CI$219),
MIN(INDEX(#REF!,MATCH(_xlfn.TEXTJOIN(keydelim,TRUE,"Other",CI$10,$F220,$D220),#REF!,0)),
INDEX(#REF!,MATCH(_xlfn.TEXTJOIN(keydelim,TRUE,"Other",CI$10,$F220,$D220),#REF!,0))+
INDEX(#REF!,MATCH(_xlfn.TEXTJOIN(keydelim,TRUE,"Other",CI$10,$F220,$D220),#REF!,0))*CI$219)
)))</f>
        <v>0</v>
      </c>
      <c r="CJ220" s="23" cm="1">
        <f t="array" aca="1" ref="CJ220" ca="1">_xlfn.IFS(CJ$25="Manual",CI220,
CJ$25="Regression",
MAX(0,
IFERROR(MIN(INDEX(#REF!,MATCH(_xlfn.TEXTJOIN(keydelim,TRUE,CJ$9,CJ$10,$F220,$D220),#REF!,0)),
INDEX(#REF!,MATCH(_xlfn.TEXTJOIN(keydelim,TRUE,CJ$9,CJ$10,$F220,$D220),#REF!,0))+
INDEX(#REF!,MATCH(_xlfn.TEXTJOIN(keydelim,TRUE,CJ$9,CJ$10,$F220,$D220),#REF!,0))*CJ$214),
MIN(INDEX(#REF!,MATCH(_xlfn.TEXTJOIN(keydelim,TRUE,"Other",CJ$10,$F220,$D220),#REF!,0)),
INDEX(#REF!,MATCH(_xlfn.TEXTJOIN(keydelim,TRUE,"Other",CJ$10,$F220,$D220),#REF!,0))+
INDEX(#REF!,MATCH(_xlfn.TEXTJOIN(keydelim,TRUE,"Other",CJ$10,$F220,$D220),#REF!,0))*CJ$214)
)))</f>
        <v>0</v>
      </c>
      <c r="CK220" s="23" cm="1">
        <f t="array" aca="1" ref="CK220" ca="1">_xlfn.IFS(CK$25="Manual",CJ220,
CK$25="Regression",
MAX(0,
IFERROR(MIN(INDEX(#REF!,MATCH(_xlfn.TEXTJOIN(keydelim,TRUE,CK$9,CK$10,$F220,$D220),#REF!,0)),
INDEX(#REF!,MATCH(_xlfn.TEXTJOIN(keydelim,TRUE,CK$9,CK$10,$F220,$D220),#REF!,0))+
INDEX(#REF!,MATCH(_xlfn.TEXTJOIN(keydelim,TRUE,CK$9,CK$10,$F220,$D220),#REF!,0))*CK$214),
MIN(INDEX(#REF!,MATCH(_xlfn.TEXTJOIN(keydelim,TRUE,"Other",CK$10,$F220,$D220),#REF!,0)),
INDEX(#REF!,MATCH(_xlfn.TEXTJOIN(keydelim,TRUE,"Other",CK$10,$F220,$D220),#REF!,0))+
INDEX(#REF!,MATCH(_xlfn.TEXTJOIN(keydelim,TRUE,"Other",CK$10,$F220,$D220),#REF!,0))*CK$214)
)))</f>
        <v>0</v>
      </c>
      <c r="CL220" s="23" cm="1">
        <f t="array" aca="1" ref="CL220" ca="1">_xlfn.IFS(CL$25="Manual",CK220,
CL$25="Regression",
MAX(0,
IFERROR(MIN(INDEX(#REF!,MATCH(_xlfn.TEXTJOIN(keydelim,TRUE,CL$9,CL$10,$F220,$D220),#REF!,0)),
INDEX(#REF!,MATCH(_xlfn.TEXTJOIN(keydelim,TRUE,CL$9,CL$10,$F220,$D220),#REF!,0))+
INDEX(#REF!,MATCH(_xlfn.TEXTJOIN(keydelim,TRUE,CL$9,CL$10,$F220,$D220),#REF!,0))*CL$214),
MIN(INDEX(#REF!,MATCH(_xlfn.TEXTJOIN(keydelim,TRUE,"Other",CL$10,$F220,$D220),#REF!,0)),
INDEX(#REF!,MATCH(_xlfn.TEXTJOIN(keydelim,TRUE,"Other",CL$10,$F220,$D220),#REF!,0))+
INDEX(#REF!,MATCH(_xlfn.TEXTJOIN(keydelim,TRUE,"Other",CL$10,$F220,$D220),#REF!,0))*CL$214)
)))</f>
        <v>0</v>
      </c>
      <c r="CM220" s="23" cm="1">
        <f t="array" aca="1" ref="CM220" ca="1">_xlfn.IFS(CM$25="Manual",CL220,
CM$25="Regression",
MAX(0,
IFERROR(MIN(INDEX(#REF!,MATCH(_xlfn.TEXTJOIN(keydelim,TRUE,CM$9,CM$10,$F220,$D220),#REF!,0)),
INDEX(#REF!,MATCH(_xlfn.TEXTJOIN(keydelim,TRUE,CM$9,CM$10,$F220,$D220),#REF!,0))+
INDEX(#REF!,MATCH(_xlfn.TEXTJOIN(keydelim,TRUE,CM$9,CM$10,$F220,$D220),#REF!,0))*CM$214),
MIN(INDEX(#REF!,MATCH(_xlfn.TEXTJOIN(keydelim,TRUE,"Other",CM$10,$F220,$D220),#REF!,0)),
INDEX(#REF!,MATCH(_xlfn.TEXTJOIN(keydelim,TRUE,"Other",CM$10,$F220,$D220),#REF!,0))+
INDEX(#REF!,MATCH(_xlfn.TEXTJOIN(keydelim,TRUE,"Other",CM$10,$F220,$D220),#REF!,0))*CM$214)
)))</f>
        <v>0</v>
      </c>
      <c r="CN220" s="23" cm="1">
        <f t="array" aca="1" ref="CN220" ca="1">_xlfn.IFS(CN$25="Manual",CM220,
CN$25="Regression",
MAX(0,
IFERROR(MIN(INDEX(#REF!,MATCH(_xlfn.TEXTJOIN(keydelim,TRUE,CN$9,CN$10,$F220,$D220),#REF!,0)),
INDEX(#REF!,MATCH(_xlfn.TEXTJOIN(keydelim,TRUE,CN$9,CN$10,$F220,$D220),#REF!,0))+
INDEX(#REF!,MATCH(_xlfn.TEXTJOIN(keydelim,TRUE,CN$9,CN$10,$F220,$D220),#REF!,0))*CN$214),
MIN(INDEX(#REF!,MATCH(_xlfn.TEXTJOIN(keydelim,TRUE,"Other",CN$10,$F220,$D220),#REF!,0)),
INDEX(#REF!,MATCH(_xlfn.TEXTJOIN(keydelim,TRUE,"Other",CN$10,$F220,$D220),#REF!,0))+
INDEX(#REF!,MATCH(_xlfn.TEXTJOIN(keydelim,TRUE,"Other",CN$10,$F220,$D220),#REF!,0))*CN$214)
)))</f>
        <v>0</v>
      </c>
      <c r="CO220" s="23" cm="1">
        <f t="array" aca="1" ref="CO220" ca="1">_xlfn.IFS(CO$25="Manual",CN220,
CO$25="Regression",
MAX(0,
IFERROR(MIN(INDEX(#REF!,MATCH(_xlfn.TEXTJOIN(keydelim,TRUE,CO$9,CO$10,$F220,$D220),#REF!,0)),
INDEX(#REF!,MATCH(_xlfn.TEXTJOIN(keydelim,TRUE,CO$9,CO$10,$F220,$D220),#REF!,0))+
INDEX(#REF!,MATCH(_xlfn.TEXTJOIN(keydelim,TRUE,CO$9,CO$10,$F220,$D220),#REF!,0))*CO$214),
MIN(INDEX(#REF!,MATCH(_xlfn.TEXTJOIN(keydelim,TRUE,"Other",CO$10,$F220,$D220),#REF!,0)),
INDEX(#REF!,MATCH(_xlfn.TEXTJOIN(keydelim,TRUE,"Other",CO$10,$F220,$D220),#REF!,0))+
INDEX(#REF!,MATCH(_xlfn.TEXTJOIN(keydelim,TRUE,"Other",CO$10,$F220,$D220),#REF!,0))*CO$214)
)))</f>
        <v>0</v>
      </c>
      <c r="CP220" s="23" cm="1">
        <f t="array" aca="1" ref="CP220" ca="1">_xlfn.IFS(CP$25="Manual",CO220,
CP$25="Regression",
MAX(0,
IFERROR(MIN(INDEX(#REF!,MATCH(_xlfn.TEXTJOIN(keydelim,TRUE,CP$9,CP$10,$F220,$D220),#REF!,0)),
INDEX(#REF!,MATCH(_xlfn.TEXTJOIN(keydelim,TRUE,CP$9,CP$10,$F220,$D220),#REF!,0))+
INDEX(#REF!,MATCH(_xlfn.TEXTJOIN(keydelim,TRUE,CP$9,CP$10,$F220,$D220),#REF!,0))*CP$214),
MIN(INDEX(#REF!,MATCH(_xlfn.TEXTJOIN(keydelim,TRUE,"Other",CP$10,$F220,$D220),#REF!,0)),
INDEX(#REF!,MATCH(_xlfn.TEXTJOIN(keydelim,TRUE,"Other",CP$10,$F220,$D220),#REF!,0))+
INDEX(#REF!,MATCH(_xlfn.TEXTJOIN(keydelim,TRUE,"Other",CP$10,$F220,$D220),#REF!,0))*CP$214)
)))</f>
        <v>0</v>
      </c>
      <c r="CQ220" s="23" cm="1">
        <f t="array" aca="1" ref="CQ220" ca="1">_xlfn.IFS(CQ$25="Manual",CP220,
CQ$25="Regression",
MAX(0,
IFERROR(MIN(INDEX(#REF!,MATCH(_xlfn.TEXTJOIN(keydelim,TRUE,CQ$9,CQ$10,$F220,$D220),#REF!,0)),
INDEX(#REF!,MATCH(_xlfn.TEXTJOIN(keydelim,TRUE,CQ$9,CQ$10,$F220,$D220),#REF!,0))+
INDEX(#REF!,MATCH(_xlfn.TEXTJOIN(keydelim,TRUE,CQ$9,CQ$10,$F220,$D220),#REF!,0))*CQ$214),
MIN(INDEX(#REF!,MATCH(_xlfn.TEXTJOIN(keydelim,TRUE,"Other",CQ$10,$F220,$D220),#REF!,0)),
INDEX(#REF!,MATCH(_xlfn.TEXTJOIN(keydelim,TRUE,"Other",CQ$10,$F220,$D220),#REF!,0))+
INDEX(#REF!,MATCH(_xlfn.TEXTJOIN(keydelim,TRUE,"Other",CQ$10,$F220,$D220),#REF!,0))*CQ$214)
)))</f>
        <v>0</v>
      </c>
      <c r="CR220" s="23" cm="1">
        <f t="array" aca="1" ref="CR220" ca="1">_xlfn.IFS(CR$25="Manual",CQ220,
CR$25="Regression",
MAX(0,
IFERROR(MIN(INDEX(#REF!,MATCH(_xlfn.TEXTJOIN(keydelim,TRUE,CR$9,CR$10,$F220,$D220),#REF!,0)),
INDEX(#REF!,MATCH(_xlfn.TEXTJOIN(keydelim,TRUE,CR$9,CR$10,$F220,$D220),#REF!,0))+
INDEX(#REF!,MATCH(_xlfn.TEXTJOIN(keydelim,TRUE,CR$9,CR$10,$F220,$D220),#REF!,0))*CR$214),
MIN(INDEX(#REF!,MATCH(_xlfn.TEXTJOIN(keydelim,TRUE,"Other",CR$10,$F220,$D220),#REF!,0)),
INDEX(#REF!,MATCH(_xlfn.TEXTJOIN(keydelim,TRUE,"Other",CR$10,$F220,$D220),#REF!,0))+
INDEX(#REF!,MATCH(_xlfn.TEXTJOIN(keydelim,TRUE,"Other",CR$10,$F220,$D220),#REF!,0))*CR$214)
)))</f>
        <v>0</v>
      </c>
      <c r="CS220" s="23" cm="1">
        <f t="array" aca="1" ref="CS220" ca="1">_xlfn.IFS(CS$25="Manual",CR220,
CS$25="Regression",
MAX(0,
IFERROR(MIN(INDEX(#REF!,MATCH(_xlfn.TEXTJOIN(keydelim,TRUE,CS$9,CS$10,$F220,$D220),#REF!,0)),
INDEX(#REF!,MATCH(_xlfn.TEXTJOIN(keydelim,TRUE,CS$9,CS$10,$F220,$D220),#REF!,0))+
INDEX(#REF!,MATCH(_xlfn.TEXTJOIN(keydelim,TRUE,CS$9,CS$10,$F220,$D220),#REF!,0))*CS$214),
MIN(INDEX(#REF!,MATCH(_xlfn.TEXTJOIN(keydelim,TRUE,"Other",CS$10,$F220,$D220),#REF!,0)),
INDEX(#REF!,MATCH(_xlfn.TEXTJOIN(keydelim,TRUE,"Other",CS$10,$F220,$D220),#REF!,0))+
INDEX(#REF!,MATCH(_xlfn.TEXTJOIN(keydelim,TRUE,"Other",CS$10,$F220,$D220),#REF!,0))*CS$214)
)))</f>
        <v>0</v>
      </c>
      <c r="CT220" s="23" cm="1">
        <f t="array" aca="1" ref="CT220" ca="1">_xlfn.IFS(CT$25="Manual",CS220,
CT$25="Regression",
MAX(0,
IFERROR(MIN(INDEX(#REF!,MATCH(_xlfn.TEXTJOIN(keydelim,TRUE,CT$9,CT$10,$F220,$D220),#REF!,0)),
INDEX(#REF!,MATCH(_xlfn.TEXTJOIN(keydelim,TRUE,CT$9,CT$10,$F220,$D220),#REF!,0))+
INDEX(#REF!,MATCH(_xlfn.TEXTJOIN(keydelim,TRUE,CT$9,CT$10,$F220,$D220),#REF!,0))*CT$214),
MIN(INDEX(#REF!,MATCH(_xlfn.TEXTJOIN(keydelim,TRUE,"Other",CT$10,$F220,$D220),#REF!,0)),
INDEX(#REF!,MATCH(_xlfn.TEXTJOIN(keydelim,TRUE,"Other",CT$10,$F220,$D220),#REF!,0))+
INDEX(#REF!,MATCH(_xlfn.TEXTJOIN(keydelim,TRUE,"Other",CT$10,$F220,$D220),#REF!,0))*CT$214)
)))</f>
        <v>0</v>
      </c>
    </row>
    <row r="221" spans="2:98" hidden="1" outlineLevel="1" x14ac:dyDescent="0.2">
      <c r="C221" s="3"/>
      <c r="D221" s="16" t="s">
        <v>319</v>
      </c>
      <c r="E221" s="224" t="s">
        <v>400</v>
      </c>
      <c r="F221" s="298" t="s">
        <v>403</v>
      </c>
      <c r="G221" s="315" cm="1">
        <f t="array" aca="1" ref="G221" ca="1">_xlfn.IFS(G$25="Manual",G402,
G$25="Regression",
MAX(0,
IFERROR(MIN(INDEX(#REF!,MATCH(_xlfn.TEXTJOIN(keydelim,TRUE,G$9,G$10,$F221,$D221),#REF!,0)),
INDEX(#REF!,MATCH(_xlfn.TEXTJOIN(keydelim,TRUE,G$9,G$10,$F221,$D221),#REF!,0))+
INDEX(#REF!,MATCH(_xlfn.TEXTJOIN(keydelim,TRUE,G$9,G$10,$F221,$D221),#REF!,0))*G$219),
MIN(INDEX(#REF!,MATCH(_xlfn.TEXTJOIN(keydelim,TRUE,"Other",G$10,$F221,$D221),#REF!,0)),
INDEX(#REF!,MATCH(_xlfn.TEXTJOIN(keydelim,TRUE,"Other",G$10,$F221,$D221),#REF!,0))+
INDEX(#REF!,MATCH(_xlfn.TEXTJOIN(keydelim,TRUE,"Other",G$10,$F221,$D221),#REF!,0))*G$219)
)))</f>
        <v>0</v>
      </c>
      <c r="H221" s="52" cm="1">
        <f t="array" aca="1" ref="H221" ca="1">_xlfn.IFS(H$25="Manual",G221,
H$25="Regression",
MAX(0,
IFERROR(MIN(INDEX(#REF!,MATCH(_xlfn.TEXTJOIN(keydelim,TRUE,H$9,H$10,$F221,$D221),#REF!,0)),
INDEX(#REF!,MATCH(_xlfn.TEXTJOIN(keydelim,TRUE,H$9,H$10,$F221,$D221),#REF!,0))+
INDEX(#REF!,MATCH(_xlfn.TEXTJOIN(keydelim,TRUE,H$9,H$10,$F221,$D221),#REF!,0))*H$214),
MIN(INDEX(#REF!,MATCH(_xlfn.TEXTJOIN(keydelim,TRUE,"Other",H$10,$F221,$D221),#REF!,0)),
INDEX(#REF!,MATCH(_xlfn.TEXTJOIN(keydelim,TRUE,"Other",H$10,$F221,$D221),#REF!,0))+
INDEX(#REF!,MATCH(_xlfn.TEXTJOIN(keydelim,TRUE,"Other",H$10,$F221,$D221),#REF!,0))*H$214)
)))</f>
        <v>0</v>
      </c>
      <c r="I221" s="52" cm="1">
        <f t="array" aca="1" ref="I221" ca="1">_xlfn.IFS(I$25="Manual",H221,
I$25="Regression",
MAX(0,
IFERROR(MIN(INDEX(#REF!,MATCH(_xlfn.TEXTJOIN(keydelim,TRUE,I$9,I$10,$F221,$D221),#REF!,0)),
INDEX(#REF!,MATCH(_xlfn.TEXTJOIN(keydelim,TRUE,I$9,I$10,$F221,$D221),#REF!,0))+
INDEX(#REF!,MATCH(_xlfn.TEXTJOIN(keydelim,TRUE,I$9,I$10,$F221,$D221),#REF!,0))*I$214),
MIN(INDEX(#REF!,MATCH(_xlfn.TEXTJOIN(keydelim,TRUE,"Other",I$10,$F221,$D221),#REF!,0)),
INDEX(#REF!,MATCH(_xlfn.TEXTJOIN(keydelim,TRUE,"Other",I$10,$F221,$D221),#REF!,0))+
INDEX(#REF!,MATCH(_xlfn.TEXTJOIN(keydelim,TRUE,"Other",I$10,$F221,$D221),#REF!,0))*I$214)
)))</f>
        <v>0</v>
      </c>
      <c r="J221" s="52" cm="1">
        <f t="array" aca="1" ref="J221" ca="1">_xlfn.IFS(J$25="Manual",I221,
J$25="Regression",
MAX(0,
IFERROR(MIN(INDEX(#REF!,MATCH(_xlfn.TEXTJOIN(keydelim,TRUE,J$9,J$10,$F221,$D221),#REF!,0)),
INDEX(#REF!,MATCH(_xlfn.TEXTJOIN(keydelim,TRUE,J$9,J$10,$F221,$D221),#REF!,0))+
INDEX(#REF!,MATCH(_xlfn.TEXTJOIN(keydelim,TRUE,J$9,J$10,$F221,$D221),#REF!,0))*J$214),
MIN(INDEX(#REF!,MATCH(_xlfn.TEXTJOIN(keydelim,TRUE,"Other",J$10,$F221,$D221),#REF!,0)),
INDEX(#REF!,MATCH(_xlfn.TEXTJOIN(keydelim,TRUE,"Other",J$10,$F221,$D221),#REF!,0))+
INDEX(#REF!,MATCH(_xlfn.TEXTJOIN(keydelim,TRUE,"Other",J$10,$F221,$D221),#REF!,0))*J$214)
)))</f>
        <v>0</v>
      </c>
      <c r="K221" s="52" cm="1">
        <f t="array" aca="1" ref="K221" ca="1">_xlfn.IFS(K$25="Manual",J221,
K$25="Regression",
MAX(0,
IFERROR(MIN(INDEX(#REF!,MATCH(_xlfn.TEXTJOIN(keydelim,TRUE,K$9,K$10,$F221,$D221),#REF!,0)),
INDEX(#REF!,MATCH(_xlfn.TEXTJOIN(keydelim,TRUE,K$9,K$10,$F221,$D221),#REF!,0))+
INDEX(#REF!,MATCH(_xlfn.TEXTJOIN(keydelim,TRUE,K$9,K$10,$F221,$D221),#REF!,0))*K$214),
MIN(INDEX(#REF!,MATCH(_xlfn.TEXTJOIN(keydelim,TRUE,"Other",K$10,$F221,$D221),#REF!,0)),
INDEX(#REF!,MATCH(_xlfn.TEXTJOIN(keydelim,TRUE,"Other",K$10,$F221,$D221),#REF!,0))+
INDEX(#REF!,MATCH(_xlfn.TEXTJOIN(keydelim,TRUE,"Other",K$10,$F221,$D221),#REF!,0))*K$214)
)))</f>
        <v>0</v>
      </c>
      <c r="L221" s="52" cm="1">
        <f t="array" aca="1" ref="L221" ca="1">_xlfn.IFS(L$25="Manual",K221,
L$25="Regression",
MAX(0,
IFERROR(MIN(INDEX(#REF!,MATCH(_xlfn.TEXTJOIN(keydelim,TRUE,L$9,L$10,$F221,$D221),#REF!,0)),
INDEX(#REF!,MATCH(_xlfn.TEXTJOIN(keydelim,TRUE,L$9,L$10,$F221,$D221),#REF!,0))+
INDEX(#REF!,MATCH(_xlfn.TEXTJOIN(keydelim,TRUE,L$9,L$10,$F221,$D221),#REF!,0))*L$214),
MIN(INDEX(#REF!,MATCH(_xlfn.TEXTJOIN(keydelim,TRUE,"Other",L$10,$F221,$D221),#REF!,0)),
INDEX(#REF!,MATCH(_xlfn.TEXTJOIN(keydelim,TRUE,"Other",L$10,$F221,$D221),#REF!,0))+
INDEX(#REF!,MATCH(_xlfn.TEXTJOIN(keydelim,TRUE,"Other",L$10,$F221,$D221),#REF!,0))*L$214)
)))</f>
        <v>0</v>
      </c>
      <c r="M221" s="52" cm="1">
        <f t="array" aca="1" ref="M221" ca="1">_xlfn.IFS(M$25="Manual",L221,
M$25="Regression",
MAX(0,
IFERROR(MIN(INDEX(#REF!,MATCH(_xlfn.TEXTJOIN(keydelim,TRUE,M$9,M$10,$F221,$D221),#REF!,0)),
INDEX(#REF!,MATCH(_xlfn.TEXTJOIN(keydelim,TRUE,M$9,M$10,$F221,$D221),#REF!,0))+
INDEX(#REF!,MATCH(_xlfn.TEXTJOIN(keydelim,TRUE,M$9,M$10,$F221,$D221),#REF!,0))*M$214),
MIN(INDEX(#REF!,MATCH(_xlfn.TEXTJOIN(keydelim,TRUE,"Other",M$10,$F221,$D221),#REF!,0)),
INDEX(#REF!,MATCH(_xlfn.TEXTJOIN(keydelim,TRUE,"Other",M$10,$F221,$D221),#REF!,0))+
INDEX(#REF!,MATCH(_xlfn.TEXTJOIN(keydelim,TRUE,"Other",M$10,$F221,$D221),#REF!,0))*M$214)
)))</f>
        <v>0</v>
      </c>
      <c r="N221" s="52" cm="1">
        <f t="array" aca="1" ref="N221" ca="1">_xlfn.IFS(N$25="Manual",M221,
N$25="Regression",
MAX(0,
IFERROR(MIN(INDEX(#REF!,MATCH(_xlfn.TEXTJOIN(keydelim,TRUE,N$9,N$10,$F221,$D221),#REF!,0)),
INDEX(#REF!,MATCH(_xlfn.TEXTJOIN(keydelim,TRUE,N$9,N$10,$F221,$D221),#REF!,0))+
INDEX(#REF!,MATCH(_xlfn.TEXTJOIN(keydelim,TRUE,N$9,N$10,$F221,$D221),#REF!,0))*N$214),
MIN(INDEX(#REF!,MATCH(_xlfn.TEXTJOIN(keydelim,TRUE,"Other",N$10,$F221,$D221),#REF!,0)),
INDEX(#REF!,MATCH(_xlfn.TEXTJOIN(keydelim,TRUE,"Other",N$10,$F221,$D221),#REF!,0))+
INDEX(#REF!,MATCH(_xlfn.TEXTJOIN(keydelim,TRUE,"Other",N$10,$F221,$D221),#REF!,0))*N$214)
)))</f>
        <v>0</v>
      </c>
      <c r="O221" s="52" cm="1">
        <f t="array" aca="1" ref="O221" ca="1">_xlfn.IFS(O$25="Manual",N221,
O$25="Regression",
MAX(0,
IFERROR(MIN(INDEX(#REF!,MATCH(_xlfn.TEXTJOIN(keydelim,TRUE,O$9,O$10,$F221,$D221),#REF!,0)),
INDEX(#REF!,MATCH(_xlfn.TEXTJOIN(keydelim,TRUE,O$9,O$10,$F221,$D221),#REF!,0))+
INDEX(#REF!,MATCH(_xlfn.TEXTJOIN(keydelim,TRUE,O$9,O$10,$F221,$D221),#REF!,0))*O$214),
MIN(INDEX(#REF!,MATCH(_xlfn.TEXTJOIN(keydelim,TRUE,"Other",O$10,$F221,$D221),#REF!,0)),
INDEX(#REF!,MATCH(_xlfn.TEXTJOIN(keydelim,TRUE,"Other",O$10,$F221,$D221),#REF!,0))+
INDEX(#REF!,MATCH(_xlfn.TEXTJOIN(keydelim,TRUE,"Other",O$10,$F221,$D221),#REF!,0))*O$214)
)))</f>
        <v>0</v>
      </c>
      <c r="P221" s="52" cm="1">
        <f t="array" aca="1" ref="P221" ca="1">_xlfn.IFS(P$25="Manual",O221,
P$25="Regression",
MAX(0,
IFERROR(MIN(INDEX(#REF!,MATCH(_xlfn.TEXTJOIN(keydelim,TRUE,P$9,P$10,$F221,$D221),#REF!,0)),
INDEX(#REF!,MATCH(_xlfn.TEXTJOIN(keydelim,TRUE,P$9,P$10,$F221,$D221),#REF!,0))+
INDEX(#REF!,MATCH(_xlfn.TEXTJOIN(keydelim,TRUE,P$9,P$10,$F221,$D221),#REF!,0))*P$214),
MIN(INDEX(#REF!,MATCH(_xlfn.TEXTJOIN(keydelim,TRUE,"Other",P$10,$F221,$D221),#REF!,0)),
INDEX(#REF!,MATCH(_xlfn.TEXTJOIN(keydelim,TRUE,"Other",P$10,$F221,$D221),#REF!,0))+
INDEX(#REF!,MATCH(_xlfn.TEXTJOIN(keydelim,TRUE,"Other",P$10,$F221,$D221),#REF!,0))*P$214)
)))</f>
        <v>0</v>
      </c>
      <c r="Q221" s="52" cm="1">
        <f t="array" aca="1" ref="Q221" ca="1">_xlfn.IFS(Q$25="Manual",P221,
Q$25="Regression",
MAX(0,
IFERROR(MIN(INDEX(#REF!,MATCH(_xlfn.TEXTJOIN(keydelim,TRUE,Q$9,Q$10,$F221,$D221),#REF!,0)),
INDEX(#REF!,MATCH(_xlfn.TEXTJOIN(keydelim,TRUE,Q$9,Q$10,$F221,$D221),#REF!,0))+
INDEX(#REF!,MATCH(_xlfn.TEXTJOIN(keydelim,TRUE,Q$9,Q$10,$F221,$D221),#REF!,0))*Q$214),
MIN(INDEX(#REF!,MATCH(_xlfn.TEXTJOIN(keydelim,TRUE,"Other",Q$10,$F221,$D221),#REF!,0)),
INDEX(#REF!,MATCH(_xlfn.TEXTJOIN(keydelim,TRUE,"Other",Q$10,$F221,$D221),#REF!,0))+
INDEX(#REF!,MATCH(_xlfn.TEXTJOIN(keydelim,TRUE,"Other",Q$10,$F221,$D221),#REF!,0))*Q$214)
)))</f>
        <v>0</v>
      </c>
      <c r="R221" s="52" cm="1">
        <f t="array" aca="1" ref="R221" ca="1">_xlfn.IFS(R$25="Manual",Q221,
R$25="Regression",
MAX(0,
IFERROR(MIN(INDEX(#REF!,MATCH(_xlfn.TEXTJOIN(keydelim,TRUE,R$9,R$10,$F221,$D221),#REF!,0)),
INDEX(#REF!,MATCH(_xlfn.TEXTJOIN(keydelim,TRUE,R$9,R$10,$F221,$D221),#REF!,0))+
INDEX(#REF!,MATCH(_xlfn.TEXTJOIN(keydelim,TRUE,R$9,R$10,$F221,$D221),#REF!,0))*R$214),
MIN(INDEX(#REF!,MATCH(_xlfn.TEXTJOIN(keydelim,TRUE,"Other",R$10,$F221,$D221),#REF!,0)),
INDEX(#REF!,MATCH(_xlfn.TEXTJOIN(keydelim,TRUE,"Other",R$10,$F221,$D221),#REF!,0))+
INDEX(#REF!,MATCH(_xlfn.TEXTJOIN(keydelim,TRUE,"Other",R$10,$F221,$D221),#REF!,0))*R$214)
)))</f>
        <v>0</v>
      </c>
      <c r="X221" s="16" t="s">
        <v>319</v>
      </c>
      <c r="Y221" s="224" t="s">
        <v>400</v>
      </c>
      <c r="Z221" s="298" t="s">
        <v>403</v>
      </c>
      <c r="AA221" s="315" cm="1">
        <f t="array" aca="1" ref="AA221" ca="1">_xlfn.IFS(AA$25="Manual",AA402,
AA$25="Regression",
MAX(0,
IFERROR(MIN(INDEX(#REF!,MATCH(_xlfn.TEXTJOIN(keydelim,TRUE,AA$9,AA$10,$F221,$D221),#REF!,0)),
INDEX(#REF!,MATCH(_xlfn.TEXTJOIN(keydelim,TRUE,AA$9,AA$10,$F221,$D221),#REF!,0))+
INDEX(#REF!,MATCH(_xlfn.TEXTJOIN(keydelim,TRUE,AA$9,AA$10,$F221,$D221),#REF!,0))*AA$219),
MIN(INDEX(#REF!,MATCH(_xlfn.TEXTJOIN(keydelim,TRUE,"Other",AA$10,$F221,$D221),#REF!,0)),
INDEX(#REF!,MATCH(_xlfn.TEXTJOIN(keydelim,TRUE,"Other",AA$10,$F221,$D221),#REF!,0))+
INDEX(#REF!,MATCH(_xlfn.TEXTJOIN(keydelim,TRUE,"Other",AA$10,$F221,$D221),#REF!,0))*AA$219)
)))</f>
        <v>0</v>
      </c>
      <c r="AB221" s="52" cm="1">
        <f t="array" aca="1" ref="AB221" ca="1">_xlfn.IFS(AB$25="Manual",AA221,
AB$25="Regression",
MAX(0,
IFERROR(MIN(INDEX(#REF!,MATCH(_xlfn.TEXTJOIN(keydelim,TRUE,AB$9,AB$10,$F221,$D221),#REF!,0)),
INDEX(#REF!,MATCH(_xlfn.TEXTJOIN(keydelim,TRUE,AB$9,AB$10,$F221,$D221),#REF!,0))+
INDEX(#REF!,MATCH(_xlfn.TEXTJOIN(keydelim,TRUE,AB$9,AB$10,$F221,$D221),#REF!,0))*AB$214),
MIN(INDEX(#REF!,MATCH(_xlfn.TEXTJOIN(keydelim,TRUE,"Other",AB$10,$F221,$D221),#REF!,0)),
INDEX(#REF!,MATCH(_xlfn.TEXTJOIN(keydelim,TRUE,"Other",AB$10,$F221,$D221),#REF!,0))+
INDEX(#REF!,MATCH(_xlfn.TEXTJOIN(keydelim,TRUE,"Other",AB$10,$F221,$D221),#REF!,0))*AB$214)
)))</f>
        <v>0</v>
      </c>
      <c r="AC221" s="52" cm="1">
        <f t="array" aca="1" ref="AC221" ca="1">_xlfn.IFS(AC$25="Manual",AB221,
AC$25="Regression",
MAX(0,
IFERROR(MIN(INDEX(#REF!,MATCH(_xlfn.TEXTJOIN(keydelim,TRUE,AC$9,AC$10,$F221,$D221),#REF!,0)),
INDEX(#REF!,MATCH(_xlfn.TEXTJOIN(keydelim,TRUE,AC$9,AC$10,$F221,$D221),#REF!,0))+
INDEX(#REF!,MATCH(_xlfn.TEXTJOIN(keydelim,TRUE,AC$9,AC$10,$F221,$D221),#REF!,0))*AC$214),
MIN(INDEX(#REF!,MATCH(_xlfn.TEXTJOIN(keydelim,TRUE,"Other",AC$10,$F221,$D221),#REF!,0)),
INDEX(#REF!,MATCH(_xlfn.TEXTJOIN(keydelim,TRUE,"Other",AC$10,$F221,$D221),#REF!,0))+
INDEX(#REF!,MATCH(_xlfn.TEXTJOIN(keydelim,TRUE,"Other",AC$10,$F221,$D221),#REF!,0))*AC$214)
)))</f>
        <v>0</v>
      </c>
      <c r="AD221" s="52" cm="1">
        <f t="array" aca="1" ref="AD221" ca="1">_xlfn.IFS(AD$25="Manual",AC221,
AD$25="Regression",
MAX(0,
IFERROR(MIN(INDEX(#REF!,MATCH(_xlfn.TEXTJOIN(keydelim,TRUE,AD$9,AD$10,$F221,$D221),#REF!,0)),
INDEX(#REF!,MATCH(_xlfn.TEXTJOIN(keydelim,TRUE,AD$9,AD$10,$F221,$D221),#REF!,0))+
INDEX(#REF!,MATCH(_xlfn.TEXTJOIN(keydelim,TRUE,AD$9,AD$10,$F221,$D221),#REF!,0))*AD$214),
MIN(INDEX(#REF!,MATCH(_xlfn.TEXTJOIN(keydelim,TRUE,"Other",AD$10,$F221,$D221),#REF!,0)),
INDEX(#REF!,MATCH(_xlfn.TEXTJOIN(keydelim,TRUE,"Other",AD$10,$F221,$D221),#REF!,0))+
INDEX(#REF!,MATCH(_xlfn.TEXTJOIN(keydelim,TRUE,"Other",AD$10,$F221,$D221),#REF!,0))*AD$214)
)))</f>
        <v>0</v>
      </c>
      <c r="AE221" s="52" cm="1">
        <f t="array" aca="1" ref="AE221" ca="1">_xlfn.IFS(AE$25="Manual",AD221,
AE$25="Regression",
MAX(0,
IFERROR(MIN(INDEX(#REF!,MATCH(_xlfn.TEXTJOIN(keydelim,TRUE,AE$9,AE$10,$F221,$D221),#REF!,0)),
INDEX(#REF!,MATCH(_xlfn.TEXTJOIN(keydelim,TRUE,AE$9,AE$10,$F221,$D221),#REF!,0))+
INDEX(#REF!,MATCH(_xlfn.TEXTJOIN(keydelim,TRUE,AE$9,AE$10,$F221,$D221),#REF!,0))*AE$214),
MIN(INDEX(#REF!,MATCH(_xlfn.TEXTJOIN(keydelim,TRUE,"Other",AE$10,$F221,$D221),#REF!,0)),
INDEX(#REF!,MATCH(_xlfn.TEXTJOIN(keydelim,TRUE,"Other",AE$10,$F221,$D221),#REF!,0))+
INDEX(#REF!,MATCH(_xlfn.TEXTJOIN(keydelim,TRUE,"Other",AE$10,$F221,$D221),#REF!,0))*AE$214)
)))</f>
        <v>0</v>
      </c>
      <c r="AF221" s="52" cm="1">
        <f t="array" aca="1" ref="AF221" ca="1">_xlfn.IFS(AF$25="Manual",AE221,
AF$25="Regression",
MAX(0,
IFERROR(MIN(INDEX(#REF!,MATCH(_xlfn.TEXTJOIN(keydelim,TRUE,AF$9,AF$10,$F221,$D221),#REF!,0)),
INDEX(#REF!,MATCH(_xlfn.TEXTJOIN(keydelim,TRUE,AF$9,AF$10,$F221,$D221),#REF!,0))+
INDEX(#REF!,MATCH(_xlfn.TEXTJOIN(keydelim,TRUE,AF$9,AF$10,$F221,$D221),#REF!,0))*AF$214),
MIN(INDEX(#REF!,MATCH(_xlfn.TEXTJOIN(keydelim,TRUE,"Other",AF$10,$F221,$D221),#REF!,0)),
INDEX(#REF!,MATCH(_xlfn.TEXTJOIN(keydelim,TRUE,"Other",AF$10,$F221,$D221),#REF!,0))+
INDEX(#REF!,MATCH(_xlfn.TEXTJOIN(keydelim,TRUE,"Other",AF$10,$F221,$D221),#REF!,0))*AF$214)
)))</f>
        <v>0</v>
      </c>
      <c r="AG221" s="52" cm="1">
        <f t="array" aca="1" ref="AG221" ca="1">_xlfn.IFS(AG$25="Manual",AF221,
AG$25="Regression",
MAX(0,
IFERROR(MIN(INDEX(#REF!,MATCH(_xlfn.TEXTJOIN(keydelim,TRUE,AG$9,AG$10,$F221,$D221),#REF!,0)),
INDEX(#REF!,MATCH(_xlfn.TEXTJOIN(keydelim,TRUE,AG$9,AG$10,$F221,$D221),#REF!,0))+
INDEX(#REF!,MATCH(_xlfn.TEXTJOIN(keydelim,TRUE,AG$9,AG$10,$F221,$D221),#REF!,0))*AG$214),
MIN(INDEX(#REF!,MATCH(_xlfn.TEXTJOIN(keydelim,TRUE,"Other",AG$10,$F221,$D221),#REF!,0)),
INDEX(#REF!,MATCH(_xlfn.TEXTJOIN(keydelim,TRUE,"Other",AG$10,$F221,$D221),#REF!,0))+
INDEX(#REF!,MATCH(_xlfn.TEXTJOIN(keydelim,TRUE,"Other",AG$10,$F221,$D221),#REF!,0))*AG$214)
)))</f>
        <v>0</v>
      </c>
      <c r="AH221" s="52" cm="1">
        <f t="array" aca="1" ref="AH221" ca="1">_xlfn.IFS(AH$25="Manual",AG221,
AH$25="Regression",
MAX(0,
IFERROR(MIN(INDEX(#REF!,MATCH(_xlfn.TEXTJOIN(keydelim,TRUE,AH$9,AH$10,$F221,$D221),#REF!,0)),
INDEX(#REF!,MATCH(_xlfn.TEXTJOIN(keydelim,TRUE,AH$9,AH$10,$F221,$D221),#REF!,0))+
INDEX(#REF!,MATCH(_xlfn.TEXTJOIN(keydelim,TRUE,AH$9,AH$10,$F221,$D221),#REF!,0))*AH$214),
MIN(INDEX(#REF!,MATCH(_xlfn.TEXTJOIN(keydelim,TRUE,"Other",AH$10,$F221,$D221),#REF!,0)),
INDEX(#REF!,MATCH(_xlfn.TEXTJOIN(keydelim,TRUE,"Other",AH$10,$F221,$D221),#REF!,0))+
INDEX(#REF!,MATCH(_xlfn.TEXTJOIN(keydelim,TRUE,"Other",AH$10,$F221,$D221),#REF!,0))*AH$214)
)))</f>
        <v>0</v>
      </c>
      <c r="AI221" s="52" cm="1">
        <f t="array" aca="1" ref="AI221" ca="1">_xlfn.IFS(AI$25="Manual",AH221,
AI$25="Regression",
MAX(0,
IFERROR(MIN(INDEX(#REF!,MATCH(_xlfn.TEXTJOIN(keydelim,TRUE,AI$9,AI$10,$F221,$D221),#REF!,0)),
INDEX(#REF!,MATCH(_xlfn.TEXTJOIN(keydelim,TRUE,AI$9,AI$10,$F221,$D221),#REF!,0))+
INDEX(#REF!,MATCH(_xlfn.TEXTJOIN(keydelim,TRUE,AI$9,AI$10,$F221,$D221),#REF!,0))*AI$214),
MIN(INDEX(#REF!,MATCH(_xlfn.TEXTJOIN(keydelim,TRUE,"Other",AI$10,$F221,$D221),#REF!,0)),
INDEX(#REF!,MATCH(_xlfn.TEXTJOIN(keydelim,TRUE,"Other",AI$10,$F221,$D221),#REF!,0))+
INDEX(#REF!,MATCH(_xlfn.TEXTJOIN(keydelim,TRUE,"Other",AI$10,$F221,$D221),#REF!,0))*AI$214)
)))</f>
        <v>0</v>
      </c>
      <c r="AJ221" s="52" cm="1">
        <f t="array" aca="1" ref="AJ221" ca="1">_xlfn.IFS(AJ$25="Manual",AI221,
AJ$25="Regression",
MAX(0,
IFERROR(MIN(INDEX(#REF!,MATCH(_xlfn.TEXTJOIN(keydelim,TRUE,AJ$9,AJ$10,$F221,$D221),#REF!,0)),
INDEX(#REF!,MATCH(_xlfn.TEXTJOIN(keydelim,TRUE,AJ$9,AJ$10,$F221,$D221),#REF!,0))+
INDEX(#REF!,MATCH(_xlfn.TEXTJOIN(keydelim,TRUE,AJ$9,AJ$10,$F221,$D221),#REF!,0))*AJ$214),
MIN(INDEX(#REF!,MATCH(_xlfn.TEXTJOIN(keydelim,TRUE,"Other",AJ$10,$F221,$D221),#REF!,0)),
INDEX(#REF!,MATCH(_xlfn.TEXTJOIN(keydelim,TRUE,"Other",AJ$10,$F221,$D221),#REF!,0))+
INDEX(#REF!,MATCH(_xlfn.TEXTJOIN(keydelim,TRUE,"Other",AJ$10,$F221,$D221),#REF!,0))*AJ$214)
)))</f>
        <v>0</v>
      </c>
      <c r="AK221" s="52" cm="1">
        <f t="array" aca="1" ref="AK221" ca="1">_xlfn.IFS(AK$25="Manual",AJ221,
AK$25="Regression",
MAX(0,
IFERROR(MIN(INDEX(#REF!,MATCH(_xlfn.TEXTJOIN(keydelim,TRUE,AK$9,AK$10,$F221,$D221),#REF!,0)),
INDEX(#REF!,MATCH(_xlfn.TEXTJOIN(keydelim,TRUE,AK$9,AK$10,$F221,$D221),#REF!,0))+
INDEX(#REF!,MATCH(_xlfn.TEXTJOIN(keydelim,TRUE,AK$9,AK$10,$F221,$D221),#REF!,0))*AK$214),
MIN(INDEX(#REF!,MATCH(_xlfn.TEXTJOIN(keydelim,TRUE,"Other",AK$10,$F221,$D221),#REF!,0)),
INDEX(#REF!,MATCH(_xlfn.TEXTJOIN(keydelim,TRUE,"Other",AK$10,$F221,$D221),#REF!,0))+
INDEX(#REF!,MATCH(_xlfn.TEXTJOIN(keydelim,TRUE,"Other",AK$10,$F221,$D221),#REF!,0))*AK$214)
)))</f>
        <v>0</v>
      </c>
      <c r="AL221" s="52" cm="1">
        <f t="array" aca="1" ref="AL221" ca="1">_xlfn.IFS(AL$25="Manual",AK221,
AL$25="Regression",
MAX(0,
IFERROR(MIN(INDEX(#REF!,MATCH(_xlfn.TEXTJOIN(keydelim,TRUE,AL$9,AL$10,$F221,$D221),#REF!,0)),
INDEX(#REF!,MATCH(_xlfn.TEXTJOIN(keydelim,TRUE,AL$9,AL$10,$F221,$D221),#REF!,0))+
INDEX(#REF!,MATCH(_xlfn.TEXTJOIN(keydelim,TRUE,AL$9,AL$10,$F221,$D221),#REF!,0))*AL$214),
MIN(INDEX(#REF!,MATCH(_xlfn.TEXTJOIN(keydelim,TRUE,"Other",AL$10,$F221,$D221),#REF!,0)),
INDEX(#REF!,MATCH(_xlfn.TEXTJOIN(keydelim,TRUE,"Other",AL$10,$F221,$D221),#REF!,0))+
INDEX(#REF!,MATCH(_xlfn.TEXTJOIN(keydelim,TRUE,"Other",AL$10,$F221,$D221),#REF!,0))*AL$214)
)))</f>
        <v>0</v>
      </c>
      <c r="AR221" s="16" t="s">
        <v>319</v>
      </c>
      <c r="AS221" s="224" t="s">
        <v>400</v>
      </c>
      <c r="AT221" s="298" t="s">
        <v>403</v>
      </c>
      <c r="AU221" s="315" cm="1">
        <f t="array" aca="1" ref="AU221" ca="1">_xlfn.IFS(AU$25="Manual",AU402,
AU$25="Regression",
MAX(0,
IFERROR(MIN(INDEX(#REF!,MATCH(_xlfn.TEXTJOIN(keydelim,TRUE,AU$9,AU$10,$F221,$D221),#REF!,0)),
INDEX(#REF!,MATCH(_xlfn.TEXTJOIN(keydelim,TRUE,AU$9,AU$10,$F221,$D221),#REF!,0))+
INDEX(#REF!,MATCH(_xlfn.TEXTJOIN(keydelim,TRUE,AU$9,AU$10,$F221,$D221),#REF!,0))*AU$219),
MIN(INDEX(#REF!,MATCH(_xlfn.TEXTJOIN(keydelim,TRUE,"Other",AU$10,$F221,$D221),#REF!,0)),
INDEX(#REF!,MATCH(_xlfn.TEXTJOIN(keydelim,TRUE,"Other",AU$10,$F221,$D221),#REF!,0))+
INDEX(#REF!,MATCH(_xlfn.TEXTJOIN(keydelim,TRUE,"Other",AU$10,$F221,$D221),#REF!,0))*AU$219)
)))</f>
        <v>0</v>
      </c>
      <c r="AV221" s="52" cm="1">
        <f t="array" aca="1" ref="AV221" ca="1">_xlfn.IFS(AV$25="Manual",AU221,
AV$25="Regression",
MAX(0,
IFERROR(MIN(INDEX(#REF!,MATCH(_xlfn.TEXTJOIN(keydelim,TRUE,AV$9,AV$10,$F221,$D221),#REF!,0)),
INDEX(#REF!,MATCH(_xlfn.TEXTJOIN(keydelim,TRUE,AV$9,AV$10,$F221,$D221),#REF!,0))+
INDEX(#REF!,MATCH(_xlfn.TEXTJOIN(keydelim,TRUE,AV$9,AV$10,$F221,$D221),#REF!,0))*AV$214),
MIN(INDEX(#REF!,MATCH(_xlfn.TEXTJOIN(keydelim,TRUE,"Other",AV$10,$F221,$D221),#REF!,0)),
INDEX(#REF!,MATCH(_xlfn.TEXTJOIN(keydelim,TRUE,"Other",AV$10,$F221,$D221),#REF!,0))+
INDEX(#REF!,MATCH(_xlfn.TEXTJOIN(keydelim,TRUE,"Other",AV$10,$F221,$D221),#REF!,0))*AV$214)
)))</f>
        <v>0</v>
      </c>
      <c r="AW221" s="52" cm="1">
        <f t="array" aca="1" ref="AW221" ca="1">_xlfn.IFS(AW$25="Manual",AV221,
AW$25="Regression",
MAX(0,
IFERROR(MIN(INDEX(#REF!,MATCH(_xlfn.TEXTJOIN(keydelim,TRUE,AW$9,AW$10,$F221,$D221),#REF!,0)),
INDEX(#REF!,MATCH(_xlfn.TEXTJOIN(keydelim,TRUE,AW$9,AW$10,$F221,$D221),#REF!,0))+
INDEX(#REF!,MATCH(_xlfn.TEXTJOIN(keydelim,TRUE,AW$9,AW$10,$F221,$D221),#REF!,0))*AW$214),
MIN(INDEX(#REF!,MATCH(_xlfn.TEXTJOIN(keydelim,TRUE,"Other",AW$10,$F221,$D221),#REF!,0)),
INDEX(#REF!,MATCH(_xlfn.TEXTJOIN(keydelim,TRUE,"Other",AW$10,$F221,$D221),#REF!,0))+
INDEX(#REF!,MATCH(_xlfn.TEXTJOIN(keydelim,TRUE,"Other",AW$10,$F221,$D221),#REF!,0))*AW$214)
)))</f>
        <v>0</v>
      </c>
      <c r="AX221" s="52" cm="1">
        <f t="array" aca="1" ref="AX221" ca="1">_xlfn.IFS(AX$25="Manual",AW221,
AX$25="Regression",
MAX(0,
IFERROR(MIN(INDEX(#REF!,MATCH(_xlfn.TEXTJOIN(keydelim,TRUE,AX$9,AX$10,$F221,$D221),#REF!,0)),
INDEX(#REF!,MATCH(_xlfn.TEXTJOIN(keydelim,TRUE,AX$9,AX$10,$F221,$D221),#REF!,0))+
INDEX(#REF!,MATCH(_xlfn.TEXTJOIN(keydelim,TRUE,AX$9,AX$10,$F221,$D221),#REF!,0))*AX$214),
MIN(INDEX(#REF!,MATCH(_xlfn.TEXTJOIN(keydelim,TRUE,"Other",AX$10,$F221,$D221),#REF!,0)),
INDEX(#REF!,MATCH(_xlfn.TEXTJOIN(keydelim,TRUE,"Other",AX$10,$F221,$D221),#REF!,0))+
INDEX(#REF!,MATCH(_xlfn.TEXTJOIN(keydelim,TRUE,"Other",AX$10,$F221,$D221),#REF!,0))*AX$214)
)))</f>
        <v>0</v>
      </c>
      <c r="AY221" s="52" cm="1">
        <f t="array" aca="1" ref="AY221" ca="1">_xlfn.IFS(AY$25="Manual",AX221,
AY$25="Regression",
MAX(0,
IFERROR(MIN(INDEX(#REF!,MATCH(_xlfn.TEXTJOIN(keydelim,TRUE,AY$9,AY$10,$F221,$D221),#REF!,0)),
INDEX(#REF!,MATCH(_xlfn.TEXTJOIN(keydelim,TRUE,AY$9,AY$10,$F221,$D221),#REF!,0))+
INDEX(#REF!,MATCH(_xlfn.TEXTJOIN(keydelim,TRUE,AY$9,AY$10,$F221,$D221),#REF!,0))*AY$214),
MIN(INDEX(#REF!,MATCH(_xlfn.TEXTJOIN(keydelim,TRUE,"Other",AY$10,$F221,$D221),#REF!,0)),
INDEX(#REF!,MATCH(_xlfn.TEXTJOIN(keydelim,TRUE,"Other",AY$10,$F221,$D221),#REF!,0))+
INDEX(#REF!,MATCH(_xlfn.TEXTJOIN(keydelim,TRUE,"Other",AY$10,$F221,$D221),#REF!,0))*AY$214)
)))</f>
        <v>0</v>
      </c>
      <c r="AZ221" s="52" cm="1">
        <f t="array" aca="1" ref="AZ221" ca="1">_xlfn.IFS(AZ$25="Manual",AY221,
AZ$25="Regression",
MAX(0,
IFERROR(MIN(INDEX(#REF!,MATCH(_xlfn.TEXTJOIN(keydelim,TRUE,AZ$9,AZ$10,$F221,$D221),#REF!,0)),
INDEX(#REF!,MATCH(_xlfn.TEXTJOIN(keydelim,TRUE,AZ$9,AZ$10,$F221,$D221),#REF!,0))+
INDEX(#REF!,MATCH(_xlfn.TEXTJOIN(keydelim,TRUE,AZ$9,AZ$10,$F221,$D221),#REF!,0))*AZ$214),
MIN(INDEX(#REF!,MATCH(_xlfn.TEXTJOIN(keydelim,TRUE,"Other",AZ$10,$F221,$D221),#REF!,0)),
INDEX(#REF!,MATCH(_xlfn.TEXTJOIN(keydelim,TRUE,"Other",AZ$10,$F221,$D221),#REF!,0))+
INDEX(#REF!,MATCH(_xlfn.TEXTJOIN(keydelim,TRUE,"Other",AZ$10,$F221,$D221),#REF!,0))*AZ$214)
)))</f>
        <v>0</v>
      </c>
      <c r="BA221" s="52" cm="1">
        <f t="array" aca="1" ref="BA221" ca="1">_xlfn.IFS(BA$25="Manual",AZ221,
BA$25="Regression",
MAX(0,
IFERROR(MIN(INDEX(#REF!,MATCH(_xlfn.TEXTJOIN(keydelim,TRUE,BA$9,BA$10,$F221,$D221),#REF!,0)),
INDEX(#REF!,MATCH(_xlfn.TEXTJOIN(keydelim,TRUE,BA$9,BA$10,$F221,$D221),#REF!,0))+
INDEX(#REF!,MATCH(_xlfn.TEXTJOIN(keydelim,TRUE,BA$9,BA$10,$F221,$D221),#REF!,0))*BA$214),
MIN(INDEX(#REF!,MATCH(_xlfn.TEXTJOIN(keydelim,TRUE,"Other",BA$10,$F221,$D221),#REF!,0)),
INDEX(#REF!,MATCH(_xlfn.TEXTJOIN(keydelim,TRUE,"Other",BA$10,$F221,$D221),#REF!,0))+
INDEX(#REF!,MATCH(_xlfn.TEXTJOIN(keydelim,TRUE,"Other",BA$10,$F221,$D221),#REF!,0))*BA$214)
)))</f>
        <v>0</v>
      </c>
      <c r="BB221" s="52" cm="1">
        <f t="array" aca="1" ref="BB221" ca="1">_xlfn.IFS(BB$25="Manual",BA221,
BB$25="Regression",
MAX(0,
IFERROR(MIN(INDEX(#REF!,MATCH(_xlfn.TEXTJOIN(keydelim,TRUE,BB$9,BB$10,$F221,$D221),#REF!,0)),
INDEX(#REF!,MATCH(_xlfn.TEXTJOIN(keydelim,TRUE,BB$9,BB$10,$F221,$D221),#REF!,0))+
INDEX(#REF!,MATCH(_xlfn.TEXTJOIN(keydelim,TRUE,BB$9,BB$10,$F221,$D221),#REF!,0))*BB$214),
MIN(INDEX(#REF!,MATCH(_xlfn.TEXTJOIN(keydelim,TRUE,"Other",BB$10,$F221,$D221),#REF!,0)),
INDEX(#REF!,MATCH(_xlfn.TEXTJOIN(keydelim,TRUE,"Other",BB$10,$F221,$D221),#REF!,0))+
INDEX(#REF!,MATCH(_xlfn.TEXTJOIN(keydelim,TRUE,"Other",BB$10,$F221,$D221),#REF!,0))*BB$214)
)))</f>
        <v>0</v>
      </c>
      <c r="BC221" s="52" cm="1">
        <f t="array" aca="1" ref="BC221" ca="1">_xlfn.IFS(BC$25="Manual",BB221,
BC$25="Regression",
MAX(0,
IFERROR(MIN(INDEX(#REF!,MATCH(_xlfn.TEXTJOIN(keydelim,TRUE,BC$9,BC$10,$F221,$D221),#REF!,0)),
INDEX(#REF!,MATCH(_xlfn.TEXTJOIN(keydelim,TRUE,BC$9,BC$10,$F221,$D221),#REF!,0))+
INDEX(#REF!,MATCH(_xlfn.TEXTJOIN(keydelim,TRUE,BC$9,BC$10,$F221,$D221),#REF!,0))*BC$214),
MIN(INDEX(#REF!,MATCH(_xlfn.TEXTJOIN(keydelim,TRUE,"Other",BC$10,$F221,$D221),#REF!,0)),
INDEX(#REF!,MATCH(_xlfn.TEXTJOIN(keydelim,TRUE,"Other",BC$10,$F221,$D221),#REF!,0))+
INDEX(#REF!,MATCH(_xlfn.TEXTJOIN(keydelim,TRUE,"Other",BC$10,$F221,$D221),#REF!,0))*BC$214)
)))</f>
        <v>0</v>
      </c>
      <c r="BD221" s="52" cm="1">
        <f t="array" aca="1" ref="BD221" ca="1">_xlfn.IFS(BD$25="Manual",BC221,
BD$25="Regression",
MAX(0,
IFERROR(MIN(INDEX(#REF!,MATCH(_xlfn.TEXTJOIN(keydelim,TRUE,BD$9,BD$10,$F221,$D221),#REF!,0)),
INDEX(#REF!,MATCH(_xlfn.TEXTJOIN(keydelim,TRUE,BD$9,BD$10,$F221,$D221),#REF!,0))+
INDEX(#REF!,MATCH(_xlfn.TEXTJOIN(keydelim,TRUE,BD$9,BD$10,$F221,$D221),#REF!,0))*BD$214),
MIN(INDEX(#REF!,MATCH(_xlfn.TEXTJOIN(keydelim,TRUE,"Other",BD$10,$F221,$D221),#REF!,0)),
INDEX(#REF!,MATCH(_xlfn.TEXTJOIN(keydelim,TRUE,"Other",BD$10,$F221,$D221),#REF!,0))+
INDEX(#REF!,MATCH(_xlfn.TEXTJOIN(keydelim,TRUE,"Other",BD$10,$F221,$D221),#REF!,0))*BD$214)
)))</f>
        <v>0</v>
      </c>
      <c r="BE221" s="52" cm="1">
        <f t="array" aca="1" ref="BE221" ca="1">_xlfn.IFS(BE$25="Manual",BD221,
BE$25="Regression",
MAX(0,
IFERROR(MIN(INDEX(#REF!,MATCH(_xlfn.TEXTJOIN(keydelim,TRUE,BE$9,BE$10,$F221,$D221),#REF!,0)),
INDEX(#REF!,MATCH(_xlfn.TEXTJOIN(keydelim,TRUE,BE$9,BE$10,$F221,$D221),#REF!,0))+
INDEX(#REF!,MATCH(_xlfn.TEXTJOIN(keydelim,TRUE,BE$9,BE$10,$F221,$D221),#REF!,0))*BE$214),
MIN(INDEX(#REF!,MATCH(_xlfn.TEXTJOIN(keydelim,TRUE,"Other",BE$10,$F221,$D221),#REF!,0)),
INDEX(#REF!,MATCH(_xlfn.TEXTJOIN(keydelim,TRUE,"Other",BE$10,$F221,$D221),#REF!,0))+
INDEX(#REF!,MATCH(_xlfn.TEXTJOIN(keydelim,TRUE,"Other",BE$10,$F221,$D221),#REF!,0))*BE$214)
)))</f>
        <v>0</v>
      </c>
      <c r="BF221" s="52" cm="1">
        <f t="array" aca="1" ref="BF221" ca="1">_xlfn.IFS(BF$25="Manual",BE221,
BF$25="Regression",
MAX(0,
IFERROR(MIN(INDEX(#REF!,MATCH(_xlfn.TEXTJOIN(keydelim,TRUE,BF$9,BF$10,$F221,$D221),#REF!,0)),
INDEX(#REF!,MATCH(_xlfn.TEXTJOIN(keydelim,TRUE,BF$9,BF$10,$F221,$D221),#REF!,0))+
INDEX(#REF!,MATCH(_xlfn.TEXTJOIN(keydelim,TRUE,BF$9,BF$10,$F221,$D221),#REF!,0))*BF$214),
MIN(INDEX(#REF!,MATCH(_xlfn.TEXTJOIN(keydelim,TRUE,"Other",BF$10,$F221,$D221),#REF!,0)),
INDEX(#REF!,MATCH(_xlfn.TEXTJOIN(keydelim,TRUE,"Other",BF$10,$F221,$D221),#REF!,0))+
INDEX(#REF!,MATCH(_xlfn.TEXTJOIN(keydelim,TRUE,"Other",BF$10,$F221,$D221),#REF!,0))*BF$214)
)))</f>
        <v>0</v>
      </c>
      <c r="BL221" s="16" t="s">
        <v>319</v>
      </c>
      <c r="BM221" s="224" t="s">
        <v>400</v>
      </c>
      <c r="BN221" s="298" t="s">
        <v>403</v>
      </c>
      <c r="BO221" s="315" cm="1">
        <f t="array" aca="1" ref="BO221" ca="1">_xlfn.IFS(BO$25="Manual",BO402,
BO$25="Regression",
MAX(0,
IFERROR(MIN(INDEX(#REF!,MATCH(_xlfn.TEXTJOIN(keydelim,TRUE,BO$9,BO$10,$F221,$D221),#REF!,0)),
INDEX(#REF!,MATCH(_xlfn.TEXTJOIN(keydelim,TRUE,BO$9,BO$10,$F221,$D221),#REF!,0))+
INDEX(#REF!,MATCH(_xlfn.TEXTJOIN(keydelim,TRUE,BO$9,BO$10,$F221,$D221),#REF!,0))*BO$219),
MIN(INDEX(#REF!,MATCH(_xlfn.TEXTJOIN(keydelim,TRUE,"Other",BO$10,$F221,$D221),#REF!,0)),
INDEX(#REF!,MATCH(_xlfn.TEXTJOIN(keydelim,TRUE,"Other",BO$10,$F221,$D221),#REF!,0))+
INDEX(#REF!,MATCH(_xlfn.TEXTJOIN(keydelim,TRUE,"Other",BO$10,$F221,$D221),#REF!,0))*BO$219)
)))</f>
        <v>0</v>
      </c>
      <c r="BP221" s="52" cm="1">
        <f t="array" aca="1" ref="BP221" ca="1">_xlfn.IFS(BP$25="Manual",BO221,
BP$25="Regression",
MAX(0,
IFERROR(MIN(INDEX(#REF!,MATCH(_xlfn.TEXTJOIN(keydelim,TRUE,BP$9,BP$10,$F221,$D221),#REF!,0)),
INDEX(#REF!,MATCH(_xlfn.TEXTJOIN(keydelim,TRUE,BP$9,BP$10,$F221,$D221),#REF!,0))+
INDEX(#REF!,MATCH(_xlfn.TEXTJOIN(keydelim,TRUE,BP$9,BP$10,$F221,$D221),#REF!,0))*BP$214),
MIN(INDEX(#REF!,MATCH(_xlfn.TEXTJOIN(keydelim,TRUE,"Other",BP$10,$F221,$D221),#REF!,0)),
INDEX(#REF!,MATCH(_xlfn.TEXTJOIN(keydelim,TRUE,"Other",BP$10,$F221,$D221),#REF!,0))+
INDEX(#REF!,MATCH(_xlfn.TEXTJOIN(keydelim,TRUE,"Other",BP$10,$F221,$D221),#REF!,0))*BP$214)
)))</f>
        <v>0</v>
      </c>
      <c r="BQ221" s="52" cm="1">
        <f t="array" aca="1" ref="BQ221" ca="1">_xlfn.IFS(BQ$25="Manual",BP221,
BQ$25="Regression",
MAX(0,
IFERROR(MIN(INDEX(#REF!,MATCH(_xlfn.TEXTJOIN(keydelim,TRUE,BQ$9,BQ$10,$F221,$D221),#REF!,0)),
INDEX(#REF!,MATCH(_xlfn.TEXTJOIN(keydelim,TRUE,BQ$9,BQ$10,$F221,$D221),#REF!,0))+
INDEX(#REF!,MATCH(_xlfn.TEXTJOIN(keydelim,TRUE,BQ$9,BQ$10,$F221,$D221),#REF!,0))*BQ$214),
MIN(INDEX(#REF!,MATCH(_xlfn.TEXTJOIN(keydelim,TRUE,"Other",BQ$10,$F221,$D221),#REF!,0)),
INDEX(#REF!,MATCH(_xlfn.TEXTJOIN(keydelim,TRUE,"Other",BQ$10,$F221,$D221),#REF!,0))+
INDEX(#REF!,MATCH(_xlfn.TEXTJOIN(keydelim,TRUE,"Other",BQ$10,$F221,$D221),#REF!,0))*BQ$214)
)))</f>
        <v>0</v>
      </c>
      <c r="BR221" s="52" cm="1">
        <f t="array" aca="1" ref="BR221" ca="1">_xlfn.IFS(BR$25="Manual",BQ221,
BR$25="Regression",
MAX(0,
IFERROR(MIN(INDEX(#REF!,MATCH(_xlfn.TEXTJOIN(keydelim,TRUE,BR$9,BR$10,$F221,$D221),#REF!,0)),
INDEX(#REF!,MATCH(_xlfn.TEXTJOIN(keydelim,TRUE,BR$9,BR$10,$F221,$D221),#REF!,0))+
INDEX(#REF!,MATCH(_xlfn.TEXTJOIN(keydelim,TRUE,BR$9,BR$10,$F221,$D221),#REF!,0))*BR$214),
MIN(INDEX(#REF!,MATCH(_xlfn.TEXTJOIN(keydelim,TRUE,"Other",BR$10,$F221,$D221),#REF!,0)),
INDEX(#REF!,MATCH(_xlfn.TEXTJOIN(keydelim,TRUE,"Other",BR$10,$F221,$D221),#REF!,0))+
INDEX(#REF!,MATCH(_xlfn.TEXTJOIN(keydelim,TRUE,"Other",BR$10,$F221,$D221),#REF!,0))*BR$214)
)))</f>
        <v>0</v>
      </c>
      <c r="BS221" s="52" cm="1">
        <f t="array" aca="1" ref="BS221" ca="1">_xlfn.IFS(BS$25="Manual",BR221,
BS$25="Regression",
MAX(0,
IFERROR(MIN(INDEX(#REF!,MATCH(_xlfn.TEXTJOIN(keydelim,TRUE,BS$9,BS$10,$F221,$D221),#REF!,0)),
INDEX(#REF!,MATCH(_xlfn.TEXTJOIN(keydelim,TRUE,BS$9,BS$10,$F221,$D221),#REF!,0))+
INDEX(#REF!,MATCH(_xlfn.TEXTJOIN(keydelim,TRUE,BS$9,BS$10,$F221,$D221),#REF!,0))*BS$214),
MIN(INDEX(#REF!,MATCH(_xlfn.TEXTJOIN(keydelim,TRUE,"Other",BS$10,$F221,$D221),#REF!,0)),
INDEX(#REF!,MATCH(_xlfn.TEXTJOIN(keydelim,TRUE,"Other",BS$10,$F221,$D221),#REF!,0))+
INDEX(#REF!,MATCH(_xlfn.TEXTJOIN(keydelim,TRUE,"Other",BS$10,$F221,$D221),#REF!,0))*BS$214)
)))</f>
        <v>0</v>
      </c>
      <c r="BT221" s="52" cm="1">
        <f t="array" aca="1" ref="BT221" ca="1">_xlfn.IFS(BT$25="Manual",BS221,
BT$25="Regression",
MAX(0,
IFERROR(MIN(INDEX(#REF!,MATCH(_xlfn.TEXTJOIN(keydelim,TRUE,BT$9,BT$10,$F221,$D221),#REF!,0)),
INDEX(#REF!,MATCH(_xlfn.TEXTJOIN(keydelim,TRUE,BT$9,BT$10,$F221,$D221),#REF!,0))+
INDEX(#REF!,MATCH(_xlfn.TEXTJOIN(keydelim,TRUE,BT$9,BT$10,$F221,$D221),#REF!,0))*BT$214),
MIN(INDEX(#REF!,MATCH(_xlfn.TEXTJOIN(keydelim,TRUE,"Other",BT$10,$F221,$D221),#REF!,0)),
INDEX(#REF!,MATCH(_xlfn.TEXTJOIN(keydelim,TRUE,"Other",BT$10,$F221,$D221),#REF!,0))+
INDEX(#REF!,MATCH(_xlfn.TEXTJOIN(keydelim,TRUE,"Other",BT$10,$F221,$D221),#REF!,0))*BT$214)
)))</f>
        <v>0</v>
      </c>
      <c r="BU221" s="52" cm="1">
        <f t="array" aca="1" ref="BU221" ca="1">_xlfn.IFS(BU$25="Manual",BT221,
BU$25="Regression",
MAX(0,
IFERROR(MIN(INDEX(#REF!,MATCH(_xlfn.TEXTJOIN(keydelim,TRUE,BU$9,BU$10,$F221,$D221),#REF!,0)),
INDEX(#REF!,MATCH(_xlfn.TEXTJOIN(keydelim,TRUE,BU$9,BU$10,$F221,$D221),#REF!,0))+
INDEX(#REF!,MATCH(_xlfn.TEXTJOIN(keydelim,TRUE,BU$9,BU$10,$F221,$D221),#REF!,0))*BU$214),
MIN(INDEX(#REF!,MATCH(_xlfn.TEXTJOIN(keydelim,TRUE,"Other",BU$10,$F221,$D221),#REF!,0)),
INDEX(#REF!,MATCH(_xlfn.TEXTJOIN(keydelim,TRUE,"Other",BU$10,$F221,$D221),#REF!,0))+
INDEX(#REF!,MATCH(_xlfn.TEXTJOIN(keydelim,TRUE,"Other",BU$10,$F221,$D221),#REF!,0))*BU$214)
)))</f>
        <v>0</v>
      </c>
      <c r="BV221" s="52" cm="1">
        <f t="array" aca="1" ref="BV221" ca="1">_xlfn.IFS(BV$25="Manual",BU221,
BV$25="Regression",
MAX(0,
IFERROR(MIN(INDEX(#REF!,MATCH(_xlfn.TEXTJOIN(keydelim,TRUE,BV$9,BV$10,$F221,$D221),#REF!,0)),
INDEX(#REF!,MATCH(_xlfn.TEXTJOIN(keydelim,TRUE,BV$9,BV$10,$F221,$D221),#REF!,0))+
INDEX(#REF!,MATCH(_xlfn.TEXTJOIN(keydelim,TRUE,BV$9,BV$10,$F221,$D221),#REF!,0))*BV$214),
MIN(INDEX(#REF!,MATCH(_xlfn.TEXTJOIN(keydelim,TRUE,"Other",BV$10,$F221,$D221),#REF!,0)),
INDEX(#REF!,MATCH(_xlfn.TEXTJOIN(keydelim,TRUE,"Other",BV$10,$F221,$D221),#REF!,0))+
INDEX(#REF!,MATCH(_xlfn.TEXTJOIN(keydelim,TRUE,"Other",BV$10,$F221,$D221),#REF!,0))*BV$214)
)))</f>
        <v>0</v>
      </c>
      <c r="BW221" s="52" cm="1">
        <f t="array" aca="1" ref="BW221" ca="1">_xlfn.IFS(BW$25="Manual",BV221,
BW$25="Regression",
MAX(0,
IFERROR(MIN(INDEX(#REF!,MATCH(_xlfn.TEXTJOIN(keydelim,TRUE,BW$9,BW$10,$F221,$D221),#REF!,0)),
INDEX(#REF!,MATCH(_xlfn.TEXTJOIN(keydelim,TRUE,BW$9,BW$10,$F221,$D221),#REF!,0))+
INDEX(#REF!,MATCH(_xlfn.TEXTJOIN(keydelim,TRUE,BW$9,BW$10,$F221,$D221),#REF!,0))*BW$214),
MIN(INDEX(#REF!,MATCH(_xlfn.TEXTJOIN(keydelim,TRUE,"Other",BW$10,$F221,$D221),#REF!,0)),
INDEX(#REF!,MATCH(_xlfn.TEXTJOIN(keydelim,TRUE,"Other",BW$10,$F221,$D221),#REF!,0))+
INDEX(#REF!,MATCH(_xlfn.TEXTJOIN(keydelim,TRUE,"Other",BW$10,$F221,$D221),#REF!,0))*BW$214)
)))</f>
        <v>0</v>
      </c>
      <c r="BX221" s="52" cm="1">
        <f t="array" aca="1" ref="BX221" ca="1">_xlfn.IFS(BX$25="Manual",BW221,
BX$25="Regression",
MAX(0,
IFERROR(MIN(INDEX(#REF!,MATCH(_xlfn.TEXTJOIN(keydelim,TRUE,BX$9,BX$10,$F221,$D221),#REF!,0)),
INDEX(#REF!,MATCH(_xlfn.TEXTJOIN(keydelim,TRUE,BX$9,BX$10,$F221,$D221),#REF!,0))+
INDEX(#REF!,MATCH(_xlfn.TEXTJOIN(keydelim,TRUE,BX$9,BX$10,$F221,$D221),#REF!,0))*BX$214),
MIN(INDEX(#REF!,MATCH(_xlfn.TEXTJOIN(keydelim,TRUE,"Other",BX$10,$F221,$D221),#REF!,0)),
INDEX(#REF!,MATCH(_xlfn.TEXTJOIN(keydelim,TRUE,"Other",BX$10,$F221,$D221),#REF!,0))+
INDEX(#REF!,MATCH(_xlfn.TEXTJOIN(keydelim,TRUE,"Other",BX$10,$F221,$D221),#REF!,0))*BX$214)
)))</f>
        <v>0</v>
      </c>
      <c r="BY221" s="52" cm="1">
        <f t="array" aca="1" ref="BY221" ca="1">_xlfn.IFS(BY$25="Manual",BX221,
BY$25="Regression",
MAX(0,
IFERROR(MIN(INDEX(#REF!,MATCH(_xlfn.TEXTJOIN(keydelim,TRUE,BY$9,BY$10,$F221,$D221),#REF!,0)),
INDEX(#REF!,MATCH(_xlfn.TEXTJOIN(keydelim,TRUE,BY$9,BY$10,$F221,$D221),#REF!,0))+
INDEX(#REF!,MATCH(_xlfn.TEXTJOIN(keydelim,TRUE,BY$9,BY$10,$F221,$D221),#REF!,0))*BY$214),
MIN(INDEX(#REF!,MATCH(_xlfn.TEXTJOIN(keydelim,TRUE,"Other",BY$10,$F221,$D221),#REF!,0)),
INDEX(#REF!,MATCH(_xlfn.TEXTJOIN(keydelim,TRUE,"Other",BY$10,$F221,$D221),#REF!,0))+
INDEX(#REF!,MATCH(_xlfn.TEXTJOIN(keydelim,TRUE,"Other",BY$10,$F221,$D221),#REF!,0))*BY$214)
)))</f>
        <v>0</v>
      </c>
      <c r="BZ221" s="52" cm="1">
        <f t="array" aca="1" ref="BZ221" ca="1">_xlfn.IFS(BZ$25="Manual",BY221,
BZ$25="Regression",
MAX(0,
IFERROR(MIN(INDEX(#REF!,MATCH(_xlfn.TEXTJOIN(keydelim,TRUE,BZ$9,BZ$10,$F221,$D221),#REF!,0)),
INDEX(#REF!,MATCH(_xlfn.TEXTJOIN(keydelim,TRUE,BZ$9,BZ$10,$F221,$D221),#REF!,0))+
INDEX(#REF!,MATCH(_xlfn.TEXTJOIN(keydelim,TRUE,BZ$9,BZ$10,$F221,$D221),#REF!,0))*BZ$214),
MIN(INDEX(#REF!,MATCH(_xlfn.TEXTJOIN(keydelim,TRUE,"Other",BZ$10,$F221,$D221),#REF!,0)),
INDEX(#REF!,MATCH(_xlfn.TEXTJOIN(keydelim,TRUE,"Other",BZ$10,$F221,$D221),#REF!,0))+
INDEX(#REF!,MATCH(_xlfn.TEXTJOIN(keydelim,TRUE,"Other",BZ$10,$F221,$D221),#REF!,0))*BZ$214)
)))</f>
        <v>0</v>
      </c>
      <c r="CF221" s="16" t="s">
        <v>319</v>
      </c>
      <c r="CG221" s="224" t="s">
        <v>400</v>
      </c>
      <c r="CH221" s="298" t="s">
        <v>403</v>
      </c>
      <c r="CI221" s="315" cm="1">
        <f t="array" aca="1" ref="CI221" ca="1">_xlfn.IFS(CI$25="Manual",CI402,
CI$25="Regression",
MAX(0,
IFERROR(MIN(INDEX(#REF!,MATCH(_xlfn.TEXTJOIN(keydelim,TRUE,CI$9,CI$10,$F221,$D221),#REF!,0)),
INDEX(#REF!,MATCH(_xlfn.TEXTJOIN(keydelim,TRUE,CI$9,CI$10,$F221,$D221),#REF!,0))+
INDEX(#REF!,MATCH(_xlfn.TEXTJOIN(keydelim,TRUE,CI$9,CI$10,$F221,$D221),#REF!,0))*CI$219),
MIN(INDEX(#REF!,MATCH(_xlfn.TEXTJOIN(keydelim,TRUE,"Other",CI$10,$F221,$D221),#REF!,0)),
INDEX(#REF!,MATCH(_xlfn.TEXTJOIN(keydelim,TRUE,"Other",CI$10,$F221,$D221),#REF!,0))+
INDEX(#REF!,MATCH(_xlfn.TEXTJOIN(keydelim,TRUE,"Other",CI$10,$F221,$D221),#REF!,0))*CI$219)
)))</f>
        <v>0</v>
      </c>
      <c r="CJ221" s="52" cm="1">
        <f t="array" aca="1" ref="CJ221" ca="1">_xlfn.IFS(CJ$25="Manual",CI221,
CJ$25="Regression",
MAX(0,
IFERROR(MIN(INDEX(#REF!,MATCH(_xlfn.TEXTJOIN(keydelim,TRUE,CJ$9,CJ$10,$F221,$D221),#REF!,0)),
INDEX(#REF!,MATCH(_xlfn.TEXTJOIN(keydelim,TRUE,CJ$9,CJ$10,$F221,$D221),#REF!,0))+
INDEX(#REF!,MATCH(_xlfn.TEXTJOIN(keydelim,TRUE,CJ$9,CJ$10,$F221,$D221),#REF!,0))*CJ$214),
MIN(INDEX(#REF!,MATCH(_xlfn.TEXTJOIN(keydelim,TRUE,"Other",CJ$10,$F221,$D221),#REF!,0)),
INDEX(#REF!,MATCH(_xlfn.TEXTJOIN(keydelim,TRUE,"Other",CJ$10,$F221,$D221),#REF!,0))+
INDEX(#REF!,MATCH(_xlfn.TEXTJOIN(keydelim,TRUE,"Other",CJ$10,$F221,$D221),#REF!,0))*CJ$214)
)))</f>
        <v>0</v>
      </c>
      <c r="CK221" s="52" cm="1">
        <f t="array" aca="1" ref="CK221" ca="1">_xlfn.IFS(CK$25="Manual",CJ221,
CK$25="Regression",
MAX(0,
IFERROR(MIN(INDEX(#REF!,MATCH(_xlfn.TEXTJOIN(keydelim,TRUE,CK$9,CK$10,$F221,$D221),#REF!,0)),
INDEX(#REF!,MATCH(_xlfn.TEXTJOIN(keydelim,TRUE,CK$9,CK$10,$F221,$D221),#REF!,0))+
INDEX(#REF!,MATCH(_xlfn.TEXTJOIN(keydelim,TRUE,CK$9,CK$10,$F221,$D221),#REF!,0))*CK$214),
MIN(INDEX(#REF!,MATCH(_xlfn.TEXTJOIN(keydelim,TRUE,"Other",CK$10,$F221,$D221),#REF!,0)),
INDEX(#REF!,MATCH(_xlfn.TEXTJOIN(keydelim,TRUE,"Other",CK$10,$F221,$D221),#REF!,0))+
INDEX(#REF!,MATCH(_xlfn.TEXTJOIN(keydelim,TRUE,"Other",CK$10,$F221,$D221),#REF!,0))*CK$214)
)))</f>
        <v>0</v>
      </c>
      <c r="CL221" s="52" cm="1">
        <f t="array" aca="1" ref="CL221" ca="1">_xlfn.IFS(CL$25="Manual",CK221,
CL$25="Regression",
MAX(0,
IFERROR(MIN(INDEX(#REF!,MATCH(_xlfn.TEXTJOIN(keydelim,TRUE,CL$9,CL$10,$F221,$D221),#REF!,0)),
INDEX(#REF!,MATCH(_xlfn.TEXTJOIN(keydelim,TRUE,CL$9,CL$10,$F221,$D221),#REF!,0))+
INDEX(#REF!,MATCH(_xlfn.TEXTJOIN(keydelim,TRUE,CL$9,CL$10,$F221,$D221),#REF!,0))*CL$214),
MIN(INDEX(#REF!,MATCH(_xlfn.TEXTJOIN(keydelim,TRUE,"Other",CL$10,$F221,$D221),#REF!,0)),
INDEX(#REF!,MATCH(_xlfn.TEXTJOIN(keydelim,TRUE,"Other",CL$10,$F221,$D221),#REF!,0))+
INDEX(#REF!,MATCH(_xlfn.TEXTJOIN(keydelim,TRUE,"Other",CL$10,$F221,$D221),#REF!,0))*CL$214)
)))</f>
        <v>0</v>
      </c>
      <c r="CM221" s="52" cm="1">
        <f t="array" aca="1" ref="CM221" ca="1">_xlfn.IFS(CM$25="Manual",CL221,
CM$25="Regression",
MAX(0,
IFERROR(MIN(INDEX(#REF!,MATCH(_xlfn.TEXTJOIN(keydelim,TRUE,CM$9,CM$10,$F221,$D221),#REF!,0)),
INDEX(#REF!,MATCH(_xlfn.TEXTJOIN(keydelim,TRUE,CM$9,CM$10,$F221,$D221),#REF!,0))+
INDEX(#REF!,MATCH(_xlfn.TEXTJOIN(keydelim,TRUE,CM$9,CM$10,$F221,$D221),#REF!,0))*CM$214),
MIN(INDEX(#REF!,MATCH(_xlfn.TEXTJOIN(keydelim,TRUE,"Other",CM$10,$F221,$D221),#REF!,0)),
INDEX(#REF!,MATCH(_xlfn.TEXTJOIN(keydelim,TRUE,"Other",CM$10,$F221,$D221),#REF!,0))+
INDEX(#REF!,MATCH(_xlfn.TEXTJOIN(keydelim,TRUE,"Other",CM$10,$F221,$D221),#REF!,0))*CM$214)
)))</f>
        <v>0</v>
      </c>
      <c r="CN221" s="52" cm="1">
        <f t="array" aca="1" ref="CN221" ca="1">_xlfn.IFS(CN$25="Manual",CM221,
CN$25="Regression",
MAX(0,
IFERROR(MIN(INDEX(#REF!,MATCH(_xlfn.TEXTJOIN(keydelim,TRUE,CN$9,CN$10,$F221,$D221),#REF!,0)),
INDEX(#REF!,MATCH(_xlfn.TEXTJOIN(keydelim,TRUE,CN$9,CN$10,$F221,$D221),#REF!,0))+
INDEX(#REF!,MATCH(_xlfn.TEXTJOIN(keydelim,TRUE,CN$9,CN$10,$F221,$D221),#REF!,0))*CN$214),
MIN(INDEX(#REF!,MATCH(_xlfn.TEXTJOIN(keydelim,TRUE,"Other",CN$10,$F221,$D221),#REF!,0)),
INDEX(#REF!,MATCH(_xlfn.TEXTJOIN(keydelim,TRUE,"Other",CN$10,$F221,$D221),#REF!,0))+
INDEX(#REF!,MATCH(_xlfn.TEXTJOIN(keydelim,TRUE,"Other",CN$10,$F221,$D221),#REF!,0))*CN$214)
)))</f>
        <v>0</v>
      </c>
      <c r="CO221" s="52" cm="1">
        <f t="array" aca="1" ref="CO221" ca="1">_xlfn.IFS(CO$25="Manual",CN221,
CO$25="Regression",
MAX(0,
IFERROR(MIN(INDEX(#REF!,MATCH(_xlfn.TEXTJOIN(keydelim,TRUE,CO$9,CO$10,$F221,$D221),#REF!,0)),
INDEX(#REF!,MATCH(_xlfn.TEXTJOIN(keydelim,TRUE,CO$9,CO$10,$F221,$D221),#REF!,0))+
INDEX(#REF!,MATCH(_xlfn.TEXTJOIN(keydelim,TRUE,CO$9,CO$10,$F221,$D221),#REF!,0))*CO$214),
MIN(INDEX(#REF!,MATCH(_xlfn.TEXTJOIN(keydelim,TRUE,"Other",CO$10,$F221,$D221),#REF!,0)),
INDEX(#REF!,MATCH(_xlfn.TEXTJOIN(keydelim,TRUE,"Other",CO$10,$F221,$D221),#REF!,0))+
INDEX(#REF!,MATCH(_xlfn.TEXTJOIN(keydelim,TRUE,"Other",CO$10,$F221,$D221),#REF!,0))*CO$214)
)))</f>
        <v>0</v>
      </c>
      <c r="CP221" s="52" cm="1">
        <f t="array" aca="1" ref="CP221" ca="1">_xlfn.IFS(CP$25="Manual",CO221,
CP$25="Regression",
MAX(0,
IFERROR(MIN(INDEX(#REF!,MATCH(_xlfn.TEXTJOIN(keydelim,TRUE,CP$9,CP$10,$F221,$D221),#REF!,0)),
INDEX(#REF!,MATCH(_xlfn.TEXTJOIN(keydelim,TRUE,CP$9,CP$10,$F221,$D221),#REF!,0))+
INDEX(#REF!,MATCH(_xlfn.TEXTJOIN(keydelim,TRUE,CP$9,CP$10,$F221,$D221),#REF!,0))*CP$214),
MIN(INDEX(#REF!,MATCH(_xlfn.TEXTJOIN(keydelim,TRUE,"Other",CP$10,$F221,$D221),#REF!,0)),
INDEX(#REF!,MATCH(_xlfn.TEXTJOIN(keydelim,TRUE,"Other",CP$10,$F221,$D221),#REF!,0))+
INDEX(#REF!,MATCH(_xlfn.TEXTJOIN(keydelim,TRUE,"Other",CP$10,$F221,$D221),#REF!,0))*CP$214)
)))</f>
        <v>0</v>
      </c>
      <c r="CQ221" s="52" cm="1">
        <f t="array" aca="1" ref="CQ221" ca="1">_xlfn.IFS(CQ$25="Manual",CP221,
CQ$25="Regression",
MAX(0,
IFERROR(MIN(INDEX(#REF!,MATCH(_xlfn.TEXTJOIN(keydelim,TRUE,CQ$9,CQ$10,$F221,$D221),#REF!,0)),
INDEX(#REF!,MATCH(_xlfn.TEXTJOIN(keydelim,TRUE,CQ$9,CQ$10,$F221,$D221),#REF!,0))+
INDEX(#REF!,MATCH(_xlfn.TEXTJOIN(keydelim,TRUE,CQ$9,CQ$10,$F221,$D221),#REF!,0))*CQ$214),
MIN(INDEX(#REF!,MATCH(_xlfn.TEXTJOIN(keydelim,TRUE,"Other",CQ$10,$F221,$D221),#REF!,0)),
INDEX(#REF!,MATCH(_xlfn.TEXTJOIN(keydelim,TRUE,"Other",CQ$10,$F221,$D221),#REF!,0))+
INDEX(#REF!,MATCH(_xlfn.TEXTJOIN(keydelim,TRUE,"Other",CQ$10,$F221,$D221),#REF!,0))*CQ$214)
)))</f>
        <v>0</v>
      </c>
      <c r="CR221" s="52" cm="1">
        <f t="array" aca="1" ref="CR221" ca="1">_xlfn.IFS(CR$25="Manual",CQ221,
CR$25="Regression",
MAX(0,
IFERROR(MIN(INDEX(#REF!,MATCH(_xlfn.TEXTJOIN(keydelim,TRUE,CR$9,CR$10,$F221,$D221),#REF!,0)),
INDEX(#REF!,MATCH(_xlfn.TEXTJOIN(keydelim,TRUE,CR$9,CR$10,$F221,$D221),#REF!,0))+
INDEX(#REF!,MATCH(_xlfn.TEXTJOIN(keydelim,TRUE,CR$9,CR$10,$F221,$D221),#REF!,0))*CR$214),
MIN(INDEX(#REF!,MATCH(_xlfn.TEXTJOIN(keydelim,TRUE,"Other",CR$10,$F221,$D221),#REF!,0)),
INDEX(#REF!,MATCH(_xlfn.TEXTJOIN(keydelim,TRUE,"Other",CR$10,$F221,$D221),#REF!,0))+
INDEX(#REF!,MATCH(_xlfn.TEXTJOIN(keydelim,TRUE,"Other",CR$10,$F221,$D221),#REF!,0))*CR$214)
)))</f>
        <v>0</v>
      </c>
      <c r="CS221" s="52" cm="1">
        <f t="array" aca="1" ref="CS221" ca="1">_xlfn.IFS(CS$25="Manual",CR221,
CS$25="Regression",
MAX(0,
IFERROR(MIN(INDEX(#REF!,MATCH(_xlfn.TEXTJOIN(keydelim,TRUE,CS$9,CS$10,$F221,$D221),#REF!,0)),
INDEX(#REF!,MATCH(_xlfn.TEXTJOIN(keydelim,TRUE,CS$9,CS$10,$F221,$D221),#REF!,0))+
INDEX(#REF!,MATCH(_xlfn.TEXTJOIN(keydelim,TRUE,CS$9,CS$10,$F221,$D221),#REF!,0))*CS$214),
MIN(INDEX(#REF!,MATCH(_xlfn.TEXTJOIN(keydelim,TRUE,"Other",CS$10,$F221,$D221),#REF!,0)),
INDEX(#REF!,MATCH(_xlfn.TEXTJOIN(keydelim,TRUE,"Other",CS$10,$F221,$D221),#REF!,0))+
INDEX(#REF!,MATCH(_xlfn.TEXTJOIN(keydelim,TRUE,"Other",CS$10,$F221,$D221),#REF!,0))*CS$214)
)))</f>
        <v>0</v>
      </c>
      <c r="CT221" s="52" cm="1">
        <f t="array" aca="1" ref="CT221" ca="1">_xlfn.IFS(CT$25="Manual",CS221,
CT$25="Regression",
MAX(0,
IFERROR(MIN(INDEX(#REF!,MATCH(_xlfn.TEXTJOIN(keydelim,TRUE,CT$9,CT$10,$F221,$D221),#REF!,0)),
INDEX(#REF!,MATCH(_xlfn.TEXTJOIN(keydelim,TRUE,CT$9,CT$10,$F221,$D221),#REF!,0))+
INDEX(#REF!,MATCH(_xlfn.TEXTJOIN(keydelim,TRUE,CT$9,CT$10,$F221,$D221),#REF!,0))*CT$214),
MIN(INDEX(#REF!,MATCH(_xlfn.TEXTJOIN(keydelim,TRUE,"Other",CT$10,$F221,$D221),#REF!,0)),
INDEX(#REF!,MATCH(_xlfn.TEXTJOIN(keydelim,TRUE,"Other",CT$10,$F221,$D221),#REF!,0))+
INDEX(#REF!,MATCH(_xlfn.TEXTJOIN(keydelim,TRUE,"Other",CT$10,$F221,$D221),#REF!,0))*CT$214)
)))</f>
        <v>0</v>
      </c>
    </row>
    <row r="222" spans="2:98" hidden="1" outlineLevel="1" x14ac:dyDescent="0.2">
      <c r="C222" s="3"/>
      <c r="D222" s="16" t="s">
        <v>50</v>
      </c>
      <c r="E222" s="224" t="s">
        <v>401</v>
      </c>
      <c r="F222" s="298" t="s">
        <v>403</v>
      </c>
      <c r="G222" s="315" cm="1">
        <f t="array" aca="1" ref="G222" ca="1">_xlfn.IFS(G$25="Manual",G320*constant_vessel_lifetime,
G$25="Regression",
MAX(0,
IFERROR(MIN(INDEX(#REF!,MATCH(_xlfn.TEXTJOIN(keydelim,TRUE,G$9,G$10,$F222,$D222),#REF!,0)),
INDEX(#REF!,MATCH(_xlfn.TEXTJOIN(keydelim,TRUE,G$9,G$10,$F222,$D222),#REF!,0))+
INDEX(#REF!,MATCH(_xlfn.TEXTJOIN(keydelim,TRUE,G$9,G$10,$F222,$D222),#REF!,0))*G$219),
MIN(INDEX(#REF!,MATCH(_xlfn.TEXTJOIN(keydelim,TRUE,"Other",G$10,$F222,$D222),#REF!,0)),
INDEX(#REF!,MATCH(_xlfn.TEXTJOIN(keydelim,TRUE,"Other",G$10,$F222,$D222),#REF!,0))+
INDEX(#REF!,MATCH(_xlfn.TEXTJOIN(keydelim,TRUE,"Other",G$10,$F222,$D222),#REF!,0))*G$219)
)))</f>
        <v>0</v>
      </c>
      <c r="H222" s="52" cm="1">
        <f t="array" aca="1" ref="H222" ca="1">_xlfn.IFS(H$25="Manual",G222,
H$25="Regression",
MAX(0,
IFERROR(MIN(INDEX(#REF!,MATCH(_xlfn.TEXTJOIN(keydelim,TRUE,H$9,H$10,$F222,$D222),#REF!,0)),
INDEX(#REF!,MATCH(_xlfn.TEXTJOIN(keydelim,TRUE,H$9,H$10,$F222,$D222),#REF!,0))+
INDEX(#REF!,MATCH(_xlfn.TEXTJOIN(keydelim,TRUE,H$9,H$10,$F222,$D222),#REF!,0))*H$214),
MIN(INDEX(#REF!,MATCH(_xlfn.TEXTJOIN(keydelim,TRUE,"Other",H$10,$F222,$D222),#REF!,0)),
INDEX(#REF!,MATCH(_xlfn.TEXTJOIN(keydelim,TRUE,"Other",H$10,$F222,$D222),#REF!,0))+
INDEX(#REF!,MATCH(_xlfn.TEXTJOIN(keydelim,TRUE,"Other",H$10,$F222,$D222),#REF!,0))*H$214)
)))</f>
        <v>0</v>
      </c>
      <c r="I222" s="52" cm="1">
        <f t="array" aca="1" ref="I222" ca="1">_xlfn.IFS(I$25="Manual",H222,
I$25="Regression",
MAX(0,
IFERROR(MIN(INDEX(#REF!,MATCH(_xlfn.TEXTJOIN(keydelim,TRUE,I$9,I$10,$F222,$D222),#REF!,0)),
INDEX(#REF!,MATCH(_xlfn.TEXTJOIN(keydelim,TRUE,I$9,I$10,$F222,$D222),#REF!,0))+
INDEX(#REF!,MATCH(_xlfn.TEXTJOIN(keydelim,TRUE,I$9,I$10,$F222,$D222),#REF!,0))*I$214),
MIN(INDEX(#REF!,MATCH(_xlfn.TEXTJOIN(keydelim,TRUE,"Other",I$10,$F222,$D222),#REF!,0)),
INDEX(#REF!,MATCH(_xlfn.TEXTJOIN(keydelim,TRUE,"Other",I$10,$F222,$D222),#REF!,0))+
INDEX(#REF!,MATCH(_xlfn.TEXTJOIN(keydelim,TRUE,"Other",I$10,$F222,$D222),#REF!,0))*I$214)
)))</f>
        <v>0</v>
      </c>
      <c r="J222" s="52" cm="1">
        <f t="array" aca="1" ref="J222" ca="1">_xlfn.IFS(J$25="Manual",I222,
J$25="Regression",
MAX(0,
IFERROR(MIN(INDEX(#REF!,MATCH(_xlfn.TEXTJOIN(keydelim,TRUE,J$9,J$10,$F222,$D222),#REF!,0)),
INDEX(#REF!,MATCH(_xlfn.TEXTJOIN(keydelim,TRUE,J$9,J$10,$F222,$D222),#REF!,0))+
INDEX(#REF!,MATCH(_xlfn.TEXTJOIN(keydelim,TRUE,J$9,J$10,$F222,$D222),#REF!,0))*J$214),
MIN(INDEX(#REF!,MATCH(_xlfn.TEXTJOIN(keydelim,TRUE,"Other",J$10,$F222,$D222),#REF!,0)),
INDEX(#REF!,MATCH(_xlfn.TEXTJOIN(keydelim,TRUE,"Other",J$10,$F222,$D222),#REF!,0))+
INDEX(#REF!,MATCH(_xlfn.TEXTJOIN(keydelim,TRUE,"Other",J$10,$F222,$D222),#REF!,0))*J$214)
)))</f>
        <v>0</v>
      </c>
      <c r="K222" s="52" cm="1">
        <f t="array" aca="1" ref="K222" ca="1">_xlfn.IFS(K$25="Manual",J222,
K$25="Regression",
MAX(0,
IFERROR(MIN(INDEX(#REF!,MATCH(_xlfn.TEXTJOIN(keydelim,TRUE,K$9,K$10,$F222,$D222),#REF!,0)),
INDEX(#REF!,MATCH(_xlfn.TEXTJOIN(keydelim,TRUE,K$9,K$10,$F222,$D222),#REF!,0))+
INDEX(#REF!,MATCH(_xlfn.TEXTJOIN(keydelim,TRUE,K$9,K$10,$F222,$D222),#REF!,0))*K$214),
MIN(INDEX(#REF!,MATCH(_xlfn.TEXTJOIN(keydelim,TRUE,"Other",K$10,$F222,$D222),#REF!,0)),
INDEX(#REF!,MATCH(_xlfn.TEXTJOIN(keydelim,TRUE,"Other",K$10,$F222,$D222),#REF!,0))+
INDEX(#REF!,MATCH(_xlfn.TEXTJOIN(keydelim,TRUE,"Other",K$10,$F222,$D222),#REF!,0))*K$214)
)))</f>
        <v>0</v>
      </c>
      <c r="L222" s="52" cm="1">
        <f t="array" aca="1" ref="L222" ca="1">_xlfn.IFS(L$25="Manual",K222,
L$25="Regression",
MAX(0,
IFERROR(MIN(INDEX(#REF!,MATCH(_xlfn.TEXTJOIN(keydelim,TRUE,L$9,L$10,$F222,$D222),#REF!,0)),
INDEX(#REF!,MATCH(_xlfn.TEXTJOIN(keydelim,TRUE,L$9,L$10,$F222,$D222),#REF!,0))+
INDEX(#REF!,MATCH(_xlfn.TEXTJOIN(keydelim,TRUE,L$9,L$10,$F222,$D222),#REF!,0))*L$214),
MIN(INDEX(#REF!,MATCH(_xlfn.TEXTJOIN(keydelim,TRUE,"Other",L$10,$F222,$D222),#REF!,0)),
INDEX(#REF!,MATCH(_xlfn.TEXTJOIN(keydelim,TRUE,"Other",L$10,$F222,$D222),#REF!,0))+
INDEX(#REF!,MATCH(_xlfn.TEXTJOIN(keydelim,TRUE,"Other",L$10,$F222,$D222),#REF!,0))*L$214)
)))</f>
        <v>0</v>
      </c>
      <c r="M222" s="52" cm="1">
        <f t="array" aca="1" ref="M222" ca="1">_xlfn.IFS(M$25="Manual",L222,
M$25="Regression",
MAX(0,
IFERROR(MIN(INDEX(#REF!,MATCH(_xlfn.TEXTJOIN(keydelim,TRUE,M$9,M$10,$F222,$D222),#REF!,0)),
INDEX(#REF!,MATCH(_xlfn.TEXTJOIN(keydelim,TRUE,M$9,M$10,$F222,$D222),#REF!,0))+
INDEX(#REF!,MATCH(_xlfn.TEXTJOIN(keydelim,TRUE,M$9,M$10,$F222,$D222),#REF!,0))*M$214),
MIN(INDEX(#REF!,MATCH(_xlfn.TEXTJOIN(keydelim,TRUE,"Other",M$10,$F222,$D222),#REF!,0)),
INDEX(#REF!,MATCH(_xlfn.TEXTJOIN(keydelim,TRUE,"Other",M$10,$F222,$D222),#REF!,0))+
INDEX(#REF!,MATCH(_xlfn.TEXTJOIN(keydelim,TRUE,"Other",M$10,$F222,$D222),#REF!,0))*M$214)
)))</f>
        <v>0</v>
      </c>
      <c r="N222" s="52" cm="1">
        <f t="array" aca="1" ref="N222" ca="1">_xlfn.IFS(N$25="Manual",M222,
N$25="Regression",
MAX(0,
IFERROR(MIN(INDEX(#REF!,MATCH(_xlfn.TEXTJOIN(keydelim,TRUE,N$9,N$10,$F222,$D222),#REF!,0)),
INDEX(#REF!,MATCH(_xlfn.TEXTJOIN(keydelim,TRUE,N$9,N$10,$F222,$D222),#REF!,0))+
INDEX(#REF!,MATCH(_xlfn.TEXTJOIN(keydelim,TRUE,N$9,N$10,$F222,$D222),#REF!,0))*N$214),
MIN(INDEX(#REF!,MATCH(_xlfn.TEXTJOIN(keydelim,TRUE,"Other",N$10,$F222,$D222),#REF!,0)),
INDEX(#REF!,MATCH(_xlfn.TEXTJOIN(keydelim,TRUE,"Other",N$10,$F222,$D222),#REF!,0))+
INDEX(#REF!,MATCH(_xlfn.TEXTJOIN(keydelim,TRUE,"Other",N$10,$F222,$D222),#REF!,0))*N$214)
)))</f>
        <v>0</v>
      </c>
      <c r="O222" s="52" cm="1">
        <f t="array" aca="1" ref="O222" ca="1">_xlfn.IFS(O$25="Manual",N222,
O$25="Regression",
MAX(0,
IFERROR(MIN(INDEX(#REF!,MATCH(_xlfn.TEXTJOIN(keydelim,TRUE,O$9,O$10,$F222,$D222),#REF!,0)),
INDEX(#REF!,MATCH(_xlfn.TEXTJOIN(keydelim,TRUE,O$9,O$10,$F222,$D222),#REF!,0))+
INDEX(#REF!,MATCH(_xlfn.TEXTJOIN(keydelim,TRUE,O$9,O$10,$F222,$D222),#REF!,0))*O$214),
MIN(INDEX(#REF!,MATCH(_xlfn.TEXTJOIN(keydelim,TRUE,"Other",O$10,$F222,$D222),#REF!,0)),
INDEX(#REF!,MATCH(_xlfn.TEXTJOIN(keydelim,TRUE,"Other",O$10,$F222,$D222),#REF!,0))+
INDEX(#REF!,MATCH(_xlfn.TEXTJOIN(keydelim,TRUE,"Other",O$10,$F222,$D222),#REF!,0))*O$214)
)))</f>
        <v>0</v>
      </c>
      <c r="P222" s="52" cm="1">
        <f t="array" aca="1" ref="P222" ca="1">_xlfn.IFS(P$25="Manual",O222,
P$25="Regression",
MAX(0,
IFERROR(MIN(INDEX(#REF!,MATCH(_xlfn.TEXTJOIN(keydelim,TRUE,P$9,P$10,$F222,$D222),#REF!,0)),
INDEX(#REF!,MATCH(_xlfn.TEXTJOIN(keydelim,TRUE,P$9,P$10,$F222,$D222),#REF!,0))+
INDEX(#REF!,MATCH(_xlfn.TEXTJOIN(keydelim,TRUE,P$9,P$10,$F222,$D222),#REF!,0))*P$214),
MIN(INDEX(#REF!,MATCH(_xlfn.TEXTJOIN(keydelim,TRUE,"Other",P$10,$F222,$D222),#REF!,0)),
INDEX(#REF!,MATCH(_xlfn.TEXTJOIN(keydelim,TRUE,"Other",P$10,$F222,$D222),#REF!,0))+
INDEX(#REF!,MATCH(_xlfn.TEXTJOIN(keydelim,TRUE,"Other",P$10,$F222,$D222),#REF!,0))*P$214)
)))</f>
        <v>0</v>
      </c>
      <c r="Q222" s="52" cm="1">
        <f t="array" aca="1" ref="Q222" ca="1">_xlfn.IFS(Q$25="Manual",P222,
Q$25="Regression",
MAX(0,
IFERROR(MIN(INDEX(#REF!,MATCH(_xlfn.TEXTJOIN(keydelim,TRUE,Q$9,Q$10,$F222,$D222),#REF!,0)),
INDEX(#REF!,MATCH(_xlfn.TEXTJOIN(keydelim,TRUE,Q$9,Q$10,$F222,$D222),#REF!,0))+
INDEX(#REF!,MATCH(_xlfn.TEXTJOIN(keydelim,TRUE,Q$9,Q$10,$F222,$D222),#REF!,0))*Q$214),
MIN(INDEX(#REF!,MATCH(_xlfn.TEXTJOIN(keydelim,TRUE,"Other",Q$10,$F222,$D222),#REF!,0)),
INDEX(#REF!,MATCH(_xlfn.TEXTJOIN(keydelim,TRUE,"Other",Q$10,$F222,$D222),#REF!,0))+
INDEX(#REF!,MATCH(_xlfn.TEXTJOIN(keydelim,TRUE,"Other",Q$10,$F222,$D222),#REF!,0))*Q$214)
)))</f>
        <v>0</v>
      </c>
      <c r="R222" s="52" cm="1">
        <f t="array" aca="1" ref="R222" ca="1">_xlfn.IFS(R$25="Manual",Q222,
R$25="Regression",
MAX(0,
IFERROR(MIN(INDEX(#REF!,MATCH(_xlfn.TEXTJOIN(keydelim,TRUE,R$9,R$10,$F222,$D222),#REF!,0)),
INDEX(#REF!,MATCH(_xlfn.TEXTJOIN(keydelim,TRUE,R$9,R$10,$F222,$D222),#REF!,0))+
INDEX(#REF!,MATCH(_xlfn.TEXTJOIN(keydelim,TRUE,R$9,R$10,$F222,$D222),#REF!,0))*R$214),
MIN(INDEX(#REF!,MATCH(_xlfn.TEXTJOIN(keydelim,TRUE,"Other",R$10,$F222,$D222),#REF!,0)),
INDEX(#REF!,MATCH(_xlfn.TEXTJOIN(keydelim,TRUE,"Other",R$10,$F222,$D222),#REF!,0))+
INDEX(#REF!,MATCH(_xlfn.TEXTJOIN(keydelim,TRUE,"Other",R$10,$F222,$D222),#REF!,0))*R$214)
)))</f>
        <v>0</v>
      </c>
      <c r="X222" s="16" t="s">
        <v>50</v>
      </c>
      <c r="Y222" s="224" t="s">
        <v>401</v>
      </c>
      <c r="Z222" s="298" t="s">
        <v>403</v>
      </c>
      <c r="AA222" s="315" cm="1">
        <f t="array" aca="1" ref="AA222" ca="1">_xlfn.IFS(AA$25="Manual",AA320*constant_vessel_lifetime,
AA$25="Regression",
MAX(0,
IFERROR(MIN(INDEX(#REF!,MATCH(_xlfn.TEXTJOIN(keydelim,TRUE,AA$9,AA$10,$F222,$D222),#REF!,0)),
INDEX(#REF!,MATCH(_xlfn.TEXTJOIN(keydelim,TRUE,AA$9,AA$10,$F222,$D222),#REF!,0))+
INDEX(#REF!,MATCH(_xlfn.TEXTJOIN(keydelim,TRUE,AA$9,AA$10,$F222,$D222),#REF!,0))*AA$219),
MIN(INDEX(#REF!,MATCH(_xlfn.TEXTJOIN(keydelim,TRUE,"Other",AA$10,$F222,$D222),#REF!,0)),
INDEX(#REF!,MATCH(_xlfn.TEXTJOIN(keydelim,TRUE,"Other",AA$10,$F222,$D222),#REF!,0))+
INDEX(#REF!,MATCH(_xlfn.TEXTJOIN(keydelim,TRUE,"Other",AA$10,$F222,$D222),#REF!,0))*AA$219)
)))</f>
        <v>0</v>
      </c>
      <c r="AB222" s="52" cm="1">
        <f t="array" aca="1" ref="AB222" ca="1">_xlfn.IFS(AB$25="Manual",AA222,
AB$25="Regression",
MAX(0,
IFERROR(MIN(INDEX(#REF!,MATCH(_xlfn.TEXTJOIN(keydelim,TRUE,AB$9,AB$10,$F222,$D222),#REF!,0)),
INDEX(#REF!,MATCH(_xlfn.TEXTJOIN(keydelim,TRUE,AB$9,AB$10,$F222,$D222),#REF!,0))+
INDEX(#REF!,MATCH(_xlfn.TEXTJOIN(keydelim,TRUE,AB$9,AB$10,$F222,$D222),#REF!,0))*AB$214),
MIN(INDEX(#REF!,MATCH(_xlfn.TEXTJOIN(keydelim,TRUE,"Other",AB$10,$F222,$D222),#REF!,0)),
INDEX(#REF!,MATCH(_xlfn.TEXTJOIN(keydelim,TRUE,"Other",AB$10,$F222,$D222),#REF!,0))+
INDEX(#REF!,MATCH(_xlfn.TEXTJOIN(keydelim,TRUE,"Other",AB$10,$F222,$D222),#REF!,0))*AB$214)
)))</f>
        <v>0</v>
      </c>
      <c r="AC222" s="52" cm="1">
        <f t="array" aca="1" ref="AC222" ca="1">_xlfn.IFS(AC$25="Manual",AB222,
AC$25="Regression",
MAX(0,
IFERROR(MIN(INDEX(#REF!,MATCH(_xlfn.TEXTJOIN(keydelim,TRUE,AC$9,AC$10,$F222,$D222),#REF!,0)),
INDEX(#REF!,MATCH(_xlfn.TEXTJOIN(keydelim,TRUE,AC$9,AC$10,$F222,$D222),#REF!,0))+
INDEX(#REF!,MATCH(_xlfn.TEXTJOIN(keydelim,TRUE,AC$9,AC$10,$F222,$D222),#REF!,0))*AC$214),
MIN(INDEX(#REF!,MATCH(_xlfn.TEXTJOIN(keydelim,TRUE,"Other",AC$10,$F222,$D222),#REF!,0)),
INDEX(#REF!,MATCH(_xlfn.TEXTJOIN(keydelim,TRUE,"Other",AC$10,$F222,$D222),#REF!,0))+
INDEX(#REF!,MATCH(_xlfn.TEXTJOIN(keydelim,TRUE,"Other",AC$10,$F222,$D222),#REF!,0))*AC$214)
)))</f>
        <v>0</v>
      </c>
      <c r="AD222" s="52" cm="1">
        <f t="array" aca="1" ref="AD222" ca="1">_xlfn.IFS(AD$25="Manual",AC222,
AD$25="Regression",
MAX(0,
IFERROR(MIN(INDEX(#REF!,MATCH(_xlfn.TEXTJOIN(keydelim,TRUE,AD$9,AD$10,$F222,$D222),#REF!,0)),
INDEX(#REF!,MATCH(_xlfn.TEXTJOIN(keydelim,TRUE,AD$9,AD$10,$F222,$D222),#REF!,0))+
INDEX(#REF!,MATCH(_xlfn.TEXTJOIN(keydelim,TRUE,AD$9,AD$10,$F222,$D222),#REF!,0))*AD$214),
MIN(INDEX(#REF!,MATCH(_xlfn.TEXTJOIN(keydelim,TRUE,"Other",AD$10,$F222,$D222),#REF!,0)),
INDEX(#REF!,MATCH(_xlfn.TEXTJOIN(keydelim,TRUE,"Other",AD$10,$F222,$D222),#REF!,0))+
INDEX(#REF!,MATCH(_xlfn.TEXTJOIN(keydelim,TRUE,"Other",AD$10,$F222,$D222),#REF!,0))*AD$214)
)))</f>
        <v>0</v>
      </c>
      <c r="AE222" s="52" cm="1">
        <f t="array" aca="1" ref="AE222" ca="1">_xlfn.IFS(AE$25="Manual",AD222,
AE$25="Regression",
MAX(0,
IFERROR(MIN(INDEX(#REF!,MATCH(_xlfn.TEXTJOIN(keydelim,TRUE,AE$9,AE$10,$F222,$D222),#REF!,0)),
INDEX(#REF!,MATCH(_xlfn.TEXTJOIN(keydelim,TRUE,AE$9,AE$10,$F222,$D222),#REF!,0))+
INDEX(#REF!,MATCH(_xlfn.TEXTJOIN(keydelim,TRUE,AE$9,AE$10,$F222,$D222),#REF!,0))*AE$214),
MIN(INDEX(#REF!,MATCH(_xlfn.TEXTJOIN(keydelim,TRUE,"Other",AE$10,$F222,$D222),#REF!,0)),
INDEX(#REF!,MATCH(_xlfn.TEXTJOIN(keydelim,TRUE,"Other",AE$10,$F222,$D222),#REF!,0))+
INDEX(#REF!,MATCH(_xlfn.TEXTJOIN(keydelim,TRUE,"Other",AE$10,$F222,$D222),#REF!,0))*AE$214)
)))</f>
        <v>0</v>
      </c>
      <c r="AF222" s="52" cm="1">
        <f t="array" aca="1" ref="AF222" ca="1">_xlfn.IFS(AF$25="Manual",AE222,
AF$25="Regression",
MAX(0,
IFERROR(MIN(INDEX(#REF!,MATCH(_xlfn.TEXTJOIN(keydelim,TRUE,AF$9,AF$10,$F222,$D222),#REF!,0)),
INDEX(#REF!,MATCH(_xlfn.TEXTJOIN(keydelim,TRUE,AF$9,AF$10,$F222,$D222),#REF!,0))+
INDEX(#REF!,MATCH(_xlfn.TEXTJOIN(keydelim,TRUE,AF$9,AF$10,$F222,$D222),#REF!,0))*AF$214),
MIN(INDEX(#REF!,MATCH(_xlfn.TEXTJOIN(keydelim,TRUE,"Other",AF$10,$F222,$D222),#REF!,0)),
INDEX(#REF!,MATCH(_xlfn.TEXTJOIN(keydelim,TRUE,"Other",AF$10,$F222,$D222),#REF!,0))+
INDEX(#REF!,MATCH(_xlfn.TEXTJOIN(keydelim,TRUE,"Other",AF$10,$F222,$D222),#REF!,0))*AF$214)
)))</f>
        <v>0</v>
      </c>
      <c r="AG222" s="52" cm="1">
        <f t="array" aca="1" ref="AG222" ca="1">_xlfn.IFS(AG$25="Manual",AF222,
AG$25="Regression",
MAX(0,
IFERROR(MIN(INDEX(#REF!,MATCH(_xlfn.TEXTJOIN(keydelim,TRUE,AG$9,AG$10,$F222,$D222),#REF!,0)),
INDEX(#REF!,MATCH(_xlfn.TEXTJOIN(keydelim,TRUE,AG$9,AG$10,$F222,$D222),#REF!,0))+
INDEX(#REF!,MATCH(_xlfn.TEXTJOIN(keydelim,TRUE,AG$9,AG$10,$F222,$D222),#REF!,0))*AG$214),
MIN(INDEX(#REF!,MATCH(_xlfn.TEXTJOIN(keydelim,TRUE,"Other",AG$10,$F222,$D222),#REF!,0)),
INDEX(#REF!,MATCH(_xlfn.TEXTJOIN(keydelim,TRUE,"Other",AG$10,$F222,$D222),#REF!,0))+
INDEX(#REF!,MATCH(_xlfn.TEXTJOIN(keydelim,TRUE,"Other",AG$10,$F222,$D222),#REF!,0))*AG$214)
)))</f>
        <v>0</v>
      </c>
      <c r="AH222" s="52" cm="1">
        <f t="array" aca="1" ref="AH222" ca="1">_xlfn.IFS(AH$25="Manual",AG222,
AH$25="Regression",
MAX(0,
IFERROR(MIN(INDEX(#REF!,MATCH(_xlfn.TEXTJOIN(keydelim,TRUE,AH$9,AH$10,$F222,$D222),#REF!,0)),
INDEX(#REF!,MATCH(_xlfn.TEXTJOIN(keydelim,TRUE,AH$9,AH$10,$F222,$D222),#REF!,0))+
INDEX(#REF!,MATCH(_xlfn.TEXTJOIN(keydelim,TRUE,AH$9,AH$10,$F222,$D222),#REF!,0))*AH$214),
MIN(INDEX(#REF!,MATCH(_xlfn.TEXTJOIN(keydelim,TRUE,"Other",AH$10,$F222,$D222),#REF!,0)),
INDEX(#REF!,MATCH(_xlfn.TEXTJOIN(keydelim,TRUE,"Other",AH$10,$F222,$D222),#REF!,0))+
INDEX(#REF!,MATCH(_xlfn.TEXTJOIN(keydelim,TRUE,"Other",AH$10,$F222,$D222),#REF!,0))*AH$214)
)))</f>
        <v>0</v>
      </c>
      <c r="AI222" s="52" cm="1">
        <f t="array" aca="1" ref="AI222" ca="1">_xlfn.IFS(AI$25="Manual",AH222,
AI$25="Regression",
MAX(0,
IFERROR(MIN(INDEX(#REF!,MATCH(_xlfn.TEXTJOIN(keydelim,TRUE,AI$9,AI$10,$F222,$D222),#REF!,0)),
INDEX(#REF!,MATCH(_xlfn.TEXTJOIN(keydelim,TRUE,AI$9,AI$10,$F222,$D222),#REF!,0))+
INDEX(#REF!,MATCH(_xlfn.TEXTJOIN(keydelim,TRUE,AI$9,AI$10,$F222,$D222),#REF!,0))*AI$214),
MIN(INDEX(#REF!,MATCH(_xlfn.TEXTJOIN(keydelim,TRUE,"Other",AI$10,$F222,$D222),#REF!,0)),
INDEX(#REF!,MATCH(_xlfn.TEXTJOIN(keydelim,TRUE,"Other",AI$10,$F222,$D222),#REF!,0))+
INDEX(#REF!,MATCH(_xlfn.TEXTJOIN(keydelim,TRUE,"Other",AI$10,$F222,$D222),#REF!,0))*AI$214)
)))</f>
        <v>0</v>
      </c>
      <c r="AJ222" s="52" cm="1">
        <f t="array" aca="1" ref="AJ222" ca="1">_xlfn.IFS(AJ$25="Manual",AI222,
AJ$25="Regression",
MAX(0,
IFERROR(MIN(INDEX(#REF!,MATCH(_xlfn.TEXTJOIN(keydelim,TRUE,AJ$9,AJ$10,$F222,$D222),#REF!,0)),
INDEX(#REF!,MATCH(_xlfn.TEXTJOIN(keydelim,TRUE,AJ$9,AJ$10,$F222,$D222),#REF!,0))+
INDEX(#REF!,MATCH(_xlfn.TEXTJOIN(keydelim,TRUE,AJ$9,AJ$10,$F222,$D222),#REF!,0))*AJ$214),
MIN(INDEX(#REF!,MATCH(_xlfn.TEXTJOIN(keydelim,TRUE,"Other",AJ$10,$F222,$D222),#REF!,0)),
INDEX(#REF!,MATCH(_xlfn.TEXTJOIN(keydelim,TRUE,"Other",AJ$10,$F222,$D222),#REF!,0))+
INDEX(#REF!,MATCH(_xlfn.TEXTJOIN(keydelim,TRUE,"Other",AJ$10,$F222,$D222),#REF!,0))*AJ$214)
)))</f>
        <v>0</v>
      </c>
      <c r="AK222" s="52" cm="1">
        <f t="array" aca="1" ref="AK222" ca="1">_xlfn.IFS(AK$25="Manual",AJ222,
AK$25="Regression",
MAX(0,
IFERROR(MIN(INDEX(#REF!,MATCH(_xlfn.TEXTJOIN(keydelim,TRUE,AK$9,AK$10,$F222,$D222),#REF!,0)),
INDEX(#REF!,MATCH(_xlfn.TEXTJOIN(keydelim,TRUE,AK$9,AK$10,$F222,$D222),#REF!,0))+
INDEX(#REF!,MATCH(_xlfn.TEXTJOIN(keydelim,TRUE,AK$9,AK$10,$F222,$D222),#REF!,0))*AK$214),
MIN(INDEX(#REF!,MATCH(_xlfn.TEXTJOIN(keydelim,TRUE,"Other",AK$10,$F222,$D222),#REF!,0)),
INDEX(#REF!,MATCH(_xlfn.TEXTJOIN(keydelim,TRUE,"Other",AK$10,$F222,$D222),#REF!,0))+
INDEX(#REF!,MATCH(_xlfn.TEXTJOIN(keydelim,TRUE,"Other",AK$10,$F222,$D222),#REF!,0))*AK$214)
)))</f>
        <v>0</v>
      </c>
      <c r="AL222" s="52" cm="1">
        <f t="array" aca="1" ref="AL222" ca="1">_xlfn.IFS(AL$25="Manual",AK222,
AL$25="Regression",
MAX(0,
IFERROR(MIN(INDEX(#REF!,MATCH(_xlfn.TEXTJOIN(keydelim,TRUE,AL$9,AL$10,$F222,$D222),#REF!,0)),
INDEX(#REF!,MATCH(_xlfn.TEXTJOIN(keydelim,TRUE,AL$9,AL$10,$F222,$D222),#REF!,0))+
INDEX(#REF!,MATCH(_xlfn.TEXTJOIN(keydelim,TRUE,AL$9,AL$10,$F222,$D222),#REF!,0))*AL$214),
MIN(INDEX(#REF!,MATCH(_xlfn.TEXTJOIN(keydelim,TRUE,"Other",AL$10,$F222,$D222),#REF!,0)),
INDEX(#REF!,MATCH(_xlfn.TEXTJOIN(keydelim,TRUE,"Other",AL$10,$F222,$D222),#REF!,0))+
INDEX(#REF!,MATCH(_xlfn.TEXTJOIN(keydelim,TRUE,"Other",AL$10,$F222,$D222),#REF!,0))*AL$214)
)))</f>
        <v>0</v>
      </c>
      <c r="AR222" s="16" t="s">
        <v>50</v>
      </c>
      <c r="AS222" s="224" t="s">
        <v>401</v>
      </c>
      <c r="AT222" s="298" t="s">
        <v>403</v>
      </c>
      <c r="AU222" s="315" cm="1">
        <f t="array" aca="1" ref="AU222" ca="1">_xlfn.IFS(AU$25="Manual",AU320*constant_vessel_lifetime,
AU$25="Regression",
MAX(0,
IFERROR(MIN(INDEX(#REF!,MATCH(_xlfn.TEXTJOIN(keydelim,TRUE,AU$9,AU$10,$F222,$D222),#REF!,0)),
INDEX(#REF!,MATCH(_xlfn.TEXTJOIN(keydelim,TRUE,AU$9,AU$10,$F222,$D222),#REF!,0))+
INDEX(#REF!,MATCH(_xlfn.TEXTJOIN(keydelim,TRUE,AU$9,AU$10,$F222,$D222),#REF!,0))*AU$219),
MIN(INDEX(#REF!,MATCH(_xlfn.TEXTJOIN(keydelim,TRUE,"Other",AU$10,$F222,$D222),#REF!,0)),
INDEX(#REF!,MATCH(_xlfn.TEXTJOIN(keydelim,TRUE,"Other",AU$10,$F222,$D222),#REF!,0))+
INDEX(#REF!,MATCH(_xlfn.TEXTJOIN(keydelim,TRUE,"Other",AU$10,$F222,$D222),#REF!,0))*AU$219)
)))</f>
        <v>0</v>
      </c>
      <c r="AV222" s="52" cm="1">
        <f t="array" aca="1" ref="AV222" ca="1">_xlfn.IFS(AV$25="Manual",AU222,
AV$25="Regression",
MAX(0,
IFERROR(MIN(INDEX(#REF!,MATCH(_xlfn.TEXTJOIN(keydelim,TRUE,AV$9,AV$10,$F222,$D222),#REF!,0)),
INDEX(#REF!,MATCH(_xlfn.TEXTJOIN(keydelim,TRUE,AV$9,AV$10,$F222,$D222),#REF!,0))+
INDEX(#REF!,MATCH(_xlfn.TEXTJOIN(keydelim,TRUE,AV$9,AV$10,$F222,$D222),#REF!,0))*AV$214),
MIN(INDEX(#REF!,MATCH(_xlfn.TEXTJOIN(keydelim,TRUE,"Other",AV$10,$F222,$D222),#REF!,0)),
INDEX(#REF!,MATCH(_xlfn.TEXTJOIN(keydelim,TRUE,"Other",AV$10,$F222,$D222),#REF!,0))+
INDEX(#REF!,MATCH(_xlfn.TEXTJOIN(keydelim,TRUE,"Other",AV$10,$F222,$D222),#REF!,0))*AV$214)
)))</f>
        <v>0</v>
      </c>
      <c r="AW222" s="52" cm="1">
        <f t="array" aca="1" ref="AW222" ca="1">_xlfn.IFS(AW$25="Manual",AV222,
AW$25="Regression",
MAX(0,
IFERROR(MIN(INDEX(#REF!,MATCH(_xlfn.TEXTJOIN(keydelim,TRUE,AW$9,AW$10,$F222,$D222),#REF!,0)),
INDEX(#REF!,MATCH(_xlfn.TEXTJOIN(keydelim,TRUE,AW$9,AW$10,$F222,$D222),#REF!,0))+
INDEX(#REF!,MATCH(_xlfn.TEXTJOIN(keydelim,TRUE,AW$9,AW$10,$F222,$D222),#REF!,0))*AW$214),
MIN(INDEX(#REF!,MATCH(_xlfn.TEXTJOIN(keydelim,TRUE,"Other",AW$10,$F222,$D222),#REF!,0)),
INDEX(#REF!,MATCH(_xlfn.TEXTJOIN(keydelim,TRUE,"Other",AW$10,$F222,$D222),#REF!,0))+
INDEX(#REF!,MATCH(_xlfn.TEXTJOIN(keydelim,TRUE,"Other",AW$10,$F222,$D222),#REF!,0))*AW$214)
)))</f>
        <v>0</v>
      </c>
      <c r="AX222" s="52" cm="1">
        <f t="array" aca="1" ref="AX222" ca="1">_xlfn.IFS(AX$25="Manual",AW222,
AX$25="Regression",
MAX(0,
IFERROR(MIN(INDEX(#REF!,MATCH(_xlfn.TEXTJOIN(keydelim,TRUE,AX$9,AX$10,$F222,$D222),#REF!,0)),
INDEX(#REF!,MATCH(_xlfn.TEXTJOIN(keydelim,TRUE,AX$9,AX$10,$F222,$D222),#REF!,0))+
INDEX(#REF!,MATCH(_xlfn.TEXTJOIN(keydelim,TRUE,AX$9,AX$10,$F222,$D222),#REF!,0))*AX$214),
MIN(INDEX(#REF!,MATCH(_xlfn.TEXTJOIN(keydelim,TRUE,"Other",AX$10,$F222,$D222),#REF!,0)),
INDEX(#REF!,MATCH(_xlfn.TEXTJOIN(keydelim,TRUE,"Other",AX$10,$F222,$D222),#REF!,0))+
INDEX(#REF!,MATCH(_xlfn.TEXTJOIN(keydelim,TRUE,"Other",AX$10,$F222,$D222),#REF!,0))*AX$214)
)))</f>
        <v>0</v>
      </c>
      <c r="AY222" s="52" cm="1">
        <f t="array" aca="1" ref="AY222" ca="1">_xlfn.IFS(AY$25="Manual",AX222,
AY$25="Regression",
MAX(0,
IFERROR(MIN(INDEX(#REF!,MATCH(_xlfn.TEXTJOIN(keydelim,TRUE,AY$9,AY$10,$F222,$D222),#REF!,0)),
INDEX(#REF!,MATCH(_xlfn.TEXTJOIN(keydelim,TRUE,AY$9,AY$10,$F222,$D222),#REF!,0))+
INDEX(#REF!,MATCH(_xlfn.TEXTJOIN(keydelim,TRUE,AY$9,AY$10,$F222,$D222),#REF!,0))*AY$214),
MIN(INDEX(#REF!,MATCH(_xlfn.TEXTJOIN(keydelim,TRUE,"Other",AY$10,$F222,$D222),#REF!,0)),
INDEX(#REF!,MATCH(_xlfn.TEXTJOIN(keydelim,TRUE,"Other",AY$10,$F222,$D222),#REF!,0))+
INDEX(#REF!,MATCH(_xlfn.TEXTJOIN(keydelim,TRUE,"Other",AY$10,$F222,$D222),#REF!,0))*AY$214)
)))</f>
        <v>0</v>
      </c>
      <c r="AZ222" s="52" cm="1">
        <f t="array" aca="1" ref="AZ222" ca="1">_xlfn.IFS(AZ$25="Manual",AY222,
AZ$25="Regression",
MAX(0,
IFERROR(MIN(INDEX(#REF!,MATCH(_xlfn.TEXTJOIN(keydelim,TRUE,AZ$9,AZ$10,$F222,$D222),#REF!,0)),
INDEX(#REF!,MATCH(_xlfn.TEXTJOIN(keydelim,TRUE,AZ$9,AZ$10,$F222,$D222),#REF!,0))+
INDEX(#REF!,MATCH(_xlfn.TEXTJOIN(keydelim,TRUE,AZ$9,AZ$10,$F222,$D222),#REF!,0))*AZ$214),
MIN(INDEX(#REF!,MATCH(_xlfn.TEXTJOIN(keydelim,TRUE,"Other",AZ$10,$F222,$D222),#REF!,0)),
INDEX(#REF!,MATCH(_xlfn.TEXTJOIN(keydelim,TRUE,"Other",AZ$10,$F222,$D222),#REF!,0))+
INDEX(#REF!,MATCH(_xlfn.TEXTJOIN(keydelim,TRUE,"Other",AZ$10,$F222,$D222),#REF!,0))*AZ$214)
)))</f>
        <v>0</v>
      </c>
      <c r="BA222" s="52" cm="1">
        <f t="array" aca="1" ref="BA222" ca="1">_xlfn.IFS(BA$25="Manual",AZ222,
BA$25="Regression",
MAX(0,
IFERROR(MIN(INDEX(#REF!,MATCH(_xlfn.TEXTJOIN(keydelim,TRUE,BA$9,BA$10,$F222,$D222),#REF!,0)),
INDEX(#REF!,MATCH(_xlfn.TEXTJOIN(keydelim,TRUE,BA$9,BA$10,$F222,$D222),#REF!,0))+
INDEX(#REF!,MATCH(_xlfn.TEXTJOIN(keydelim,TRUE,BA$9,BA$10,$F222,$D222),#REF!,0))*BA$214),
MIN(INDEX(#REF!,MATCH(_xlfn.TEXTJOIN(keydelim,TRUE,"Other",BA$10,$F222,$D222),#REF!,0)),
INDEX(#REF!,MATCH(_xlfn.TEXTJOIN(keydelim,TRUE,"Other",BA$10,$F222,$D222),#REF!,0))+
INDEX(#REF!,MATCH(_xlfn.TEXTJOIN(keydelim,TRUE,"Other",BA$10,$F222,$D222),#REF!,0))*BA$214)
)))</f>
        <v>0</v>
      </c>
      <c r="BB222" s="52" cm="1">
        <f t="array" aca="1" ref="BB222" ca="1">_xlfn.IFS(BB$25="Manual",BA222,
BB$25="Regression",
MAX(0,
IFERROR(MIN(INDEX(#REF!,MATCH(_xlfn.TEXTJOIN(keydelim,TRUE,BB$9,BB$10,$F222,$D222),#REF!,0)),
INDEX(#REF!,MATCH(_xlfn.TEXTJOIN(keydelim,TRUE,BB$9,BB$10,$F222,$D222),#REF!,0))+
INDEX(#REF!,MATCH(_xlfn.TEXTJOIN(keydelim,TRUE,BB$9,BB$10,$F222,$D222),#REF!,0))*BB$214),
MIN(INDEX(#REF!,MATCH(_xlfn.TEXTJOIN(keydelim,TRUE,"Other",BB$10,$F222,$D222),#REF!,0)),
INDEX(#REF!,MATCH(_xlfn.TEXTJOIN(keydelim,TRUE,"Other",BB$10,$F222,$D222),#REF!,0))+
INDEX(#REF!,MATCH(_xlfn.TEXTJOIN(keydelim,TRUE,"Other",BB$10,$F222,$D222),#REF!,0))*BB$214)
)))</f>
        <v>0</v>
      </c>
      <c r="BC222" s="52" cm="1">
        <f t="array" aca="1" ref="BC222" ca="1">_xlfn.IFS(BC$25="Manual",BB222,
BC$25="Regression",
MAX(0,
IFERROR(MIN(INDEX(#REF!,MATCH(_xlfn.TEXTJOIN(keydelim,TRUE,BC$9,BC$10,$F222,$D222),#REF!,0)),
INDEX(#REF!,MATCH(_xlfn.TEXTJOIN(keydelim,TRUE,BC$9,BC$10,$F222,$D222),#REF!,0))+
INDEX(#REF!,MATCH(_xlfn.TEXTJOIN(keydelim,TRUE,BC$9,BC$10,$F222,$D222),#REF!,0))*BC$214),
MIN(INDEX(#REF!,MATCH(_xlfn.TEXTJOIN(keydelim,TRUE,"Other",BC$10,$F222,$D222),#REF!,0)),
INDEX(#REF!,MATCH(_xlfn.TEXTJOIN(keydelim,TRUE,"Other",BC$10,$F222,$D222),#REF!,0))+
INDEX(#REF!,MATCH(_xlfn.TEXTJOIN(keydelim,TRUE,"Other",BC$10,$F222,$D222),#REF!,0))*BC$214)
)))</f>
        <v>0</v>
      </c>
      <c r="BD222" s="52" cm="1">
        <f t="array" aca="1" ref="BD222" ca="1">_xlfn.IFS(BD$25="Manual",BC222,
BD$25="Regression",
MAX(0,
IFERROR(MIN(INDEX(#REF!,MATCH(_xlfn.TEXTJOIN(keydelim,TRUE,BD$9,BD$10,$F222,$D222),#REF!,0)),
INDEX(#REF!,MATCH(_xlfn.TEXTJOIN(keydelim,TRUE,BD$9,BD$10,$F222,$D222),#REF!,0))+
INDEX(#REF!,MATCH(_xlfn.TEXTJOIN(keydelim,TRUE,BD$9,BD$10,$F222,$D222),#REF!,0))*BD$214),
MIN(INDEX(#REF!,MATCH(_xlfn.TEXTJOIN(keydelim,TRUE,"Other",BD$10,$F222,$D222),#REF!,0)),
INDEX(#REF!,MATCH(_xlfn.TEXTJOIN(keydelim,TRUE,"Other",BD$10,$F222,$D222),#REF!,0))+
INDEX(#REF!,MATCH(_xlfn.TEXTJOIN(keydelim,TRUE,"Other",BD$10,$F222,$D222),#REF!,0))*BD$214)
)))</f>
        <v>0</v>
      </c>
      <c r="BE222" s="52" cm="1">
        <f t="array" aca="1" ref="BE222" ca="1">_xlfn.IFS(BE$25="Manual",BD222,
BE$25="Regression",
MAX(0,
IFERROR(MIN(INDEX(#REF!,MATCH(_xlfn.TEXTJOIN(keydelim,TRUE,BE$9,BE$10,$F222,$D222),#REF!,0)),
INDEX(#REF!,MATCH(_xlfn.TEXTJOIN(keydelim,TRUE,BE$9,BE$10,$F222,$D222),#REF!,0))+
INDEX(#REF!,MATCH(_xlfn.TEXTJOIN(keydelim,TRUE,BE$9,BE$10,$F222,$D222),#REF!,0))*BE$214),
MIN(INDEX(#REF!,MATCH(_xlfn.TEXTJOIN(keydelim,TRUE,"Other",BE$10,$F222,$D222),#REF!,0)),
INDEX(#REF!,MATCH(_xlfn.TEXTJOIN(keydelim,TRUE,"Other",BE$10,$F222,$D222),#REF!,0))+
INDEX(#REF!,MATCH(_xlfn.TEXTJOIN(keydelim,TRUE,"Other",BE$10,$F222,$D222),#REF!,0))*BE$214)
)))</f>
        <v>0</v>
      </c>
      <c r="BF222" s="52" cm="1">
        <f t="array" aca="1" ref="BF222" ca="1">_xlfn.IFS(BF$25="Manual",BE222,
BF$25="Regression",
MAX(0,
IFERROR(MIN(INDEX(#REF!,MATCH(_xlfn.TEXTJOIN(keydelim,TRUE,BF$9,BF$10,$F222,$D222),#REF!,0)),
INDEX(#REF!,MATCH(_xlfn.TEXTJOIN(keydelim,TRUE,BF$9,BF$10,$F222,$D222),#REF!,0))+
INDEX(#REF!,MATCH(_xlfn.TEXTJOIN(keydelim,TRUE,BF$9,BF$10,$F222,$D222),#REF!,0))*BF$214),
MIN(INDEX(#REF!,MATCH(_xlfn.TEXTJOIN(keydelim,TRUE,"Other",BF$10,$F222,$D222),#REF!,0)),
INDEX(#REF!,MATCH(_xlfn.TEXTJOIN(keydelim,TRUE,"Other",BF$10,$F222,$D222),#REF!,0))+
INDEX(#REF!,MATCH(_xlfn.TEXTJOIN(keydelim,TRUE,"Other",BF$10,$F222,$D222),#REF!,0))*BF$214)
)))</f>
        <v>0</v>
      </c>
      <c r="BL222" s="16" t="s">
        <v>50</v>
      </c>
      <c r="BM222" s="224" t="s">
        <v>401</v>
      </c>
      <c r="BN222" s="298" t="s">
        <v>403</v>
      </c>
      <c r="BO222" s="315" cm="1">
        <f t="array" aca="1" ref="BO222" ca="1">_xlfn.IFS(BO$25="Manual",BO320*constant_vessel_lifetime,
BO$25="Regression",
MAX(0,
IFERROR(MIN(INDEX(#REF!,MATCH(_xlfn.TEXTJOIN(keydelim,TRUE,BO$9,BO$10,$F222,$D222),#REF!,0)),
INDEX(#REF!,MATCH(_xlfn.TEXTJOIN(keydelim,TRUE,BO$9,BO$10,$F222,$D222),#REF!,0))+
INDEX(#REF!,MATCH(_xlfn.TEXTJOIN(keydelim,TRUE,BO$9,BO$10,$F222,$D222),#REF!,0))*BO$219),
MIN(INDEX(#REF!,MATCH(_xlfn.TEXTJOIN(keydelim,TRUE,"Other",BO$10,$F222,$D222),#REF!,0)),
INDEX(#REF!,MATCH(_xlfn.TEXTJOIN(keydelim,TRUE,"Other",BO$10,$F222,$D222),#REF!,0))+
INDEX(#REF!,MATCH(_xlfn.TEXTJOIN(keydelim,TRUE,"Other",BO$10,$F222,$D222),#REF!,0))*BO$219)
)))</f>
        <v>0</v>
      </c>
      <c r="BP222" s="52" cm="1">
        <f t="array" aca="1" ref="BP222" ca="1">_xlfn.IFS(BP$25="Manual",BO222,
BP$25="Regression",
MAX(0,
IFERROR(MIN(INDEX(#REF!,MATCH(_xlfn.TEXTJOIN(keydelim,TRUE,BP$9,BP$10,$F222,$D222),#REF!,0)),
INDEX(#REF!,MATCH(_xlfn.TEXTJOIN(keydelim,TRUE,BP$9,BP$10,$F222,$D222),#REF!,0))+
INDEX(#REF!,MATCH(_xlfn.TEXTJOIN(keydelim,TRUE,BP$9,BP$10,$F222,$D222),#REF!,0))*BP$214),
MIN(INDEX(#REF!,MATCH(_xlfn.TEXTJOIN(keydelim,TRUE,"Other",BP$10,$F222,$D222),#REF!,0)),
INDEX(#REF!,MATCH(_xlfn.TEXTJOIN(keydelim,TRUE,"Other",BP$10,$F222,$D222),#REF!,0))+
INDEX(#REF!,MATCH(_xlfn.TEXTJOIN(keydelim,TRUE,"Other",BP$10,$F222,$D222),#REF!,0))*BP$214)
)))</f>
        <v>0</v>
      </c>
      <c r="BQ222" s="52" cm="1">
        <f t="array" aca="1" ref="BQ222" ca="1">_xlfn.IFS(BQ$25="Manual",BP222,
BQ$25="Regression",
MAX(0,
IFERROR(MIN(INDEX(#REF!,MATCH(_xlfn.TEXTJOIN(keydelim,TRUE,BQ$9,BQ$10,$F222,$D222),#REF!,0)),
INDEX(#REF!,MATCH(_xlfn.TEXTJOIN(keydelim,TRUE,BQ$9,BQ$10,$F222,$D222),#REF!,0))+
INDEX(#REF!,MATCH(_xlfn.TEXTJOIN(keydelim,TRUE,BQ$9,BQ$10,$F222,$D222),#REF!,0))*BQ$214),
MIN(INDEX(#REF!,MATCH(_xlfn.TEXTJOIN(keydelim,TRUE,"Other",BQ$10,$F222,$D222),#REF!,0)),
INDEX(#REF!,MATCH(_xlfn.TEXTJOIN(keydelim,TRUE,"Other",BQ$10,$F222,$D222),#REF!,0))+
INDEX(#REF!,MATCH(_xlfn.TEXTJOIN(keydelim,TRUE,"Other",BQ$10,$F222,$D222),#REF!,0))*BQ$214)
)))</f>
        <v>0</v>
      </c>
      <c r="BR222" s="52" cm="1">
        <f t="array" aca="1" ref="BR222" ca="1">_xlfn.IFS(BR$25="Manual",BQ222,
BR$25="Regression",
MAX(0,
IFERROR(MIN(INDEX(#REF!,MATCH(_xlfn.TEXTJOIN(keydelim,TRUE,BR$9,BR$10,$F222,$D222),#REF!,0)),
INDEX(#REF!,MATCH(_xlfn.TEXTJOIN(keydelim,TRUE,BR$9,BR$10,$F222,$D222),#REF!,0))+
INDEX(#REF!,MATCH(_xlfn.TEXTJOIN(keydelim,TRUE,BR$9,BR$10,$F222,$D222),#REF!,0))*BR$214),
MIN(INDEX(#REF!,MATCH(_xlfn.TEXTJOIN(keydelim,TRUE,"Other",BR$10,$F222,$D222),#REF!,0)),
INDEX(#REF!,MATCH(_xlfn.TEXTJOIN(keydelim,TRUE,"Other",BR$10,$F222,$D222),#REF!,0))+
INDEX(#REF!,MATCH(_xlfn.TEXTJOIN(keydelim,TRUE,"Other",BR$10,$F222,$D222),#REF!,0))*BR$214)
)))</f>
        <v>0</v>
      </c>
      <c r="BS222" s="52" cm="1">
        <f t="array" aca="1" ref="BS222" ca="1">_xlfn.IFS(BS$25="Manual",BR222,
BS$25="Regression",
MAX(0,
IFERROR(MIN(INDEX(#REF!,MATCH(_xlfn.TEXTJOIN(keydelim,TRUE,BS$9,BS$10,$F222,$D222),#REF!,0)),
INDEX(#REF!,MATCH(_xlfn.TEXTJOIN(keydelim,TRUE,BS$9,BS$10,$F222,$D222),#REF!,0))+
INDEX(#REF!,MATCH(_xlfn.TEXTJOIN(keydelim,TRUE,BS$9,BS$10,$F222,$D222),#REF!,0))*BS$214),
MIN(INDEX(#REF!,MATCH(_xlfn.TEXTJOIN(keydelim,TRUE,"Other",BS$10,$F222,$D222),#REF!,0)),
INDEX(#REF!,MATCH(_xlfn.TEXTJOIN(keydelim,TRUE,"Other",BS$10,$F222,$D222),#REF!,0))+
INDEX(#REF!,MATCH(_xlfn.TEXTJOIN(keydelim,TRUE,"Other",BS$10,$F222,$D222),#REF!,0))*BS$214)
)))</f>
        <v>0</v>
      </c>
      <c r="BT222" s="52" cm="1">
        <f t="array" aca="1" ref="BT222" ca="1">_xlfn.IFS(BT$25="Manual",BS222,
BT$25="Regression",
MAX(0,
IFERROR(MIN(INDEX(#REF!,MATCH(_xlfn.TEXTJOIN(keydelim,TRUE,BT$9,BT$10,$F222,$D222),#REF!,0)),
INDEX(#REF!,MATCH(_xlfn.TEXTJOIN(keydelim,TRUE,BT$9,BT$10,$F222,$D222),#REF!,0))+
INDEX(#REF!,MATCH(_xlfn.TEXTJOIN(keydelim,TRUE,BT$9,BT$10,$F222,$D222),#REF!,0))*BT$214),
MIN(INDEX(#REF!,MATCH(_xlfn.TEXTJOIN(keydelim,TRUE,"Other",BT$10,$F222,$D222),#REF!,0)),
INDEX(#REF!,MATCH(_xlfn.TEXTJOIN(keydelim,TRUE,"Other",BT$10,$F222,$D222),#REF!,0))+
INDEX(#REF!,MATCH(_xlfn.TEXTJOIN(keydelim,TRUE,"Other",BT$10,$F222,$D222),#REF!,0))*BT$214)
)))</f>
        <v>0</v>
      </c>
      <c r="BU222" s="52" cm="1">
        <f t="array" aca="1" ref="BU222" ca="1">_xlfn.IFS(BU$25="Manual",BT222,
BU$25="Regression",
MAX(0,
IFERROR(MIN(INDEX(#REF!,MATCH(_xlfn.TEXTJOIN(keydelim,TRUE,BU$9,BU$10,$F222,$D222),#REF!,0)),
INDEX(#REF!,MATCH(_xlfn.TEXTJOIN(keydelim,TRUE,BU$9,BU$10,$F222,$D222),#REF!,0))+
INDEX(#REF!,MATCH(_xlfn.TEXTJOIN(keydelim,TRUE,BU$9,BU$10,$F222,$D222),#REF!,0))*BU$214),
MIN(INDEX(#REF!,MATCH(_xlfn.TEXTJOIN(keydelim,TRUE,"Other",BU$10,$F222,$D222),#REF!,0)),
INDEX(#REF!,MATCH(_xlfn.TEXTJOIN(keydelim,TRUE,"Other",BU$10,$F222,$D222),#REF!,0))+
INDEX(#REF!,MATCH(_xlfn.TEXTJOIN(keydelim,TRUE,"Other",BU$10,$F222,$D222),#REF!,0))*BU$214)
)))</f>
        <v>0</v>
      </c>
      <c r="BV222" s="52" cm="1">
        <f t="array" aca="1" ref="BV222" ca="1">_xlfn.IFS(BV$25="Manual",BU222,
BV$25="Regression",
MAX(0,
IFERROR(MIN(INDEX(#REF!,MATCH(_xlfn.TEXTJOIN(keydelim,TRUE,BV$9,BV$10,$F222,$D222),#REF!,0)),
INDEX(#REF!,MATCH(_xlfn.TEXTJOIN(keydelim,TRUE,BV$9,BV$10,$F222,$D222),#REF!,0))+
INDEX(#REF!,MATCH(_xlfn.TEXTJOIN(keydelim,TRUE,BV$9,BV$10,$F222,$D222),#REF!,0))*BV$214),
MIN(INDEX(#REF!,MATCH(_xlfn.TEXTJOIN(keydelim,TRUE,"Other",BV$10,$F222,$D222),#REF!,0)),
INDEX(#REF!,MATCH(_xlfn.TEXTJOIN(keydelim,TRUE,"Other",BV$10,$F222,$D222),#REF!,0))+
INDEX(#REF!,MATCH(_xlfn.TEXTJOIN(keydelim,TRUE,"Other",BV$10,$F222,$D222),#REF!,0))*BV$214)
)))</f>
        <v>0</v>
      </c>
      <c r="BW222" s="52" cm="1">
        <f t="array" aca="1" ref="BW222" ca="1">_xlfn.IFS(BW$25="Manual",BV222,
BW$25="Regression",
MAX(0,
IFERROR(MIN(INDEX(#REF!,MATCH(_xlfn.TEXTJOIN(keydelim,TRUE,BW$9,BW$10,$F222,$D222),#REF!,0)),
INDEX(#REF!,MATCH(_xlfn.TEXTJOIN(keydelim,TRUE,BW$9,BW$10,$F222,$D222),#REF!,0))+
INDEX(#REF!,MATCH(_xlfn.TEXTJOIN(keydelim,TRUE,BW$9,BW$10,$F222,$D222),#REF!,0))*BW$214),
MIN(INDEX(#REF!,MATCH(_xlfn.TEXTJOIN(keydelim,TRUE,"Other",BW$10,$F222,$D222),#REF!,0)),
INDEX(#REF!,MATCH(_xlfn.TEXTJOIN(keydelim,TRUE,"Other",BW$10,$F222,$D222),#REF!,0))+
INDEX(#REF!,MATCH(_xlfn.TEXTJOIN(keydelim,TRUE,"Other",BW$10,$F222,$D222),#REF!,0))*BW$214)
)))</f>
        <v>0</v>
      </c>
      <c r="BX222" s="52" cm="1">
        <f t="array" aca="1" ref="BX222" ca="1">_xlfn.IFS(BX$25="Manual",BW222,
BX$25="Regression",
MAX(0,
IFERROR(MIN(INDEX(#REF!,MATCH(_xlfn.TEXTJOIN(keydelim,TRUE,BX$9,BX$10,$F222,$D222),#REF!,0)),
INDEX(#REF!,MATCH(_xlfn.TEXTJOIN(keydelim,TRUE,BX$9,BX$10,$F222,$D222),#REF!,0))+
INDEX(#REF!,MATCH(_xlfn.TEXTJOIN(keydelim,TRUE,BX$9,BX$10,$F222,$D222),#REF!,0))*BX$214),
MIN(INDEX(#REF!,MATCH(_xlfn.TEXTJOIN(keydelim,TRUE,"Other",BX$10,$F222,$D222),#REF!,0)),
INDEX(#REF!,MATCH(_xlfn.TEXTJOIN(keydelim,TRUE,"Other",BX$10,$F222,$D222),#REF!,0))+
INDEX(#REF!,MATCH(_xlfn.TEXTJOIN(keydelim,TRUE,"Other",BX$10,$F222,$D222),#REF!,0))*BX$214)
)))</f>
        <v>0</v>
      </c>
      <c r="BY222" s="52" cm="1">
        <f t="array" aca="1" ref="BY222" ca="1">_xlfn.IFS(BY$25="Manual",BX222,
BY$25="Regression",
MAX(0,
IFERROR(MIN(INDEX(#REF!,MATCH(_xlfn.TEXTJOIN(keydelim,TRUE,BY$9,BY$10,$F222,$D222),#REF!,0)),
INDEX(#REF!,MATCH(_xlfn.TEXTJOIN(keydelim,TRUE,BY$9,BY$10,$F222,$D222),#REF!,0))+
INDEX(#REF!,MATCH(_xlfn.TEXTJOIN(keydelim,TRUE,BY$9,BY$10,$F222,$D222),#REF!,0))*BY$214),
MIN(INDEX(#REF!,MATCH(_xlfn.TEXTJOIN(keydelim,TRUE,"Other",BY$10,$F222,$D222),#REF!,0)),
INDEX(#REF!,MATCH(_xlfn.TEXTJOIN(keydelim,TRUE,"Other",BY$10,$F222,$D222),#REF!,0))+
INDEX(#REF!,MATCH(_xlfn.TEXTJOIN(keydelim,TRUE,"Other",BY$10,$F222,$D222),#REF!,0))*BY$214)
)))</f>
        <v>0</v>
      </c>
      <c r="BZ222" s="52" cm="1">
        <f t="array" aca="1" ref="BZ222" ca="1">_xlfn.IFS(BZ$25="Manual",BY222,
BZ$25="Regression",
MAX(0,
IFERROR(MIN(INDEX(#REF!,MATCH(_xlfn.TEXTJOIN(keydelim,TRUE,BZ$9,BZ$10,$F222,$D222),#REF!,0)),
INDEX(#REF!,MATCH(_xlfn.TEXTJOIN(keydelim,TRUE,BZ$9,BZ$10,$F222,$D222),#REF!,0))+
INDEX(#REF!,MATCH(_xlfn.TEXTJOIN(keydelim,TRUE,BZ$9,BZ$10,$F222,$D222),#REF!,0))*BZ$214),
MIN(INDEX(#REF!,MATCH(_xlfn.TEXTJOIN(keydelim,TRUE,"Other",BZ$10,$F222,$D222),#REF!,0)),
INDEX(#REF!,MATCH(_xlfn.TEXTJOIN(keydelim,TRUE,"Other",BZ$10,$F222,$D222),#REF!,0))+
INDEX(#REF!,MATCH(_xlfn.TEXTJOIN(keydelim,TRUE,"Other",BZ$10,$F222,$D222),#REF!,0))*BZ$214)
)))</f>
        <v>0</v>
      </c>
      <c r="CF222" s="16" t="s">
        <v>50</v>
      </c>
      <c r="CG222" s="224" t="s">
        <v>401</v>
      </c>
      <c r="CH222" s="298" t="s">
        <v>403</v>
      </c>
      <c r="CI222" s="315" cm="1">
        <f t="array" aca="1" ref="CI222" ca="1">_xlfn.IFS(CI$25="Manual",CI320*constant_vessel_lifetime,
CI$25="Regression",
MAX(0,
IFERROR(MIN(INDEX(#REF!,MATCH(_xlfn.TEXTJOIN(keydelim,TRUE,CI$9,CI$10,$F222,$D222),#REF!,0)),
INDEX(#REF!,MATCH(_xlfn.TEXTJOIN(keydelim,TRUE,CI$9,CI$10,$F222,$D222),#REF!,0))+
INDEX(#REF!,MATCH(_xlfn.TEXTJOIN(keydelim,TRUE,CI$9,CI$10,$F222,$D222),#REF!,0))*CI$219),
MIN(INDEX(#REF!,MATCH(_xlfn.TEXTJOIN(keydelim,TRUE,"Other",CI$10,$F222,$D222),#REF!,0)),
INDEX(#REF!,MATCH(_xlfn.TEXTJOIN(keydelim,TRUE,"Other",CI$10,$F222,$D222),#REF!,0))+
INDEX(#REF!,MATCH(_xlfn.TEXTJOIN(keydelim,TRUE,"Other",CI$10,$F222,$D222),#REF!,0))*CI$219)
)))</f>
        <v>0</v>
      </c>
      <c r="CJ222" s="52" cm="1">
        <f t="array" aca="1" ref="CJ222" ca="1">_xlfn.IFS(CJ$25="Manual",CI222,
CJ$25="Regression",
MAX(0,
IFERROR(MIN(INDEX(#REF!,MATCH(_xlfn.TEXTJOIN(keydelim,TRUE,CJ$9,CJ$10,$F222,$D222),#REF!,0)),
INDEX(#REF!,MATCH(_xlfn.TEXTJOIN(keydelim,TRUE,CJ$9,CJ$10,$F222,$D222),#REF!,0))+
INDEX(#REF!,MATCH(_xlfn.TEXTJOIN(keydelim,TRUE,CJ$9,CJ$10,$F222,$D222),#REF!,0))*CJ$214),
MIN(INDEX(#REF!,MATCH(_xlfn.TEXTJOIN(keydelim,TRUE,"Other",CJ$10,$F222,$D222),#REF!,0)),
INDEX(#REF!,MATCH(_xlfn.TEXTJOIN(keydelim,TRUE,"Other",CJ$10,$F222,$D222),#REF!,0))+
INDEX(#REF!,MATCH(_xlfn.TEXTJOIN(keydelim,TRUE,"Other",CJ$10,$F222,$D222),#REF!,0))*CJ$214)
)))</f>
        <v>0</v>
      </c>
      <c r="CK222" s="52" cm="1">
        <f t="array" aca="1" ref="CK222" ca="1">_xlfn.IFS(CK$25="Manual",CJ222,
CK$25="Regression",
MAX(0,
IFERROR(MIN(INDEX(#REF!,MATCH(_xlfn.TEXTJOIN(keydelim,TRUE,CK$9,CK$10,$F222,$D222),#REF!,0)),
INDEX(#REF!,MATCH(_xlfn.TEXTJOIN(keydelim,TRUE,CK$9,CK$10,$F222,$D222),#REF!,0))+
INDEX(#REF!,MATCH(_xlfn.TEXTJOIN(keydelim,TRUE,CK$9,CK$10,$F222,$D222),#REF!,0))*CK$214),
MIN(INDEX(#REF!,MATCH(_xlfn.TEXTJOIN(keydelim,TRUE,"Other",CK$10,$F222,$D222),#REF!,0)),
INDEX(#REF!,MATCH(_xlfn.TEXTJOIN(keydelim,TRUE,"Other",CK$10,$F222,$D222),#REF!,0))+
INDEX(#REF!,MATCH(_xlfn.TEXTJOIN(keydelim,TRUE,"Other",CK$10,$F222,$D222),#REF!,0))*CK$214)
)))</f>
        <v>0</v>
      </c>
      <c r="CL222" s="52" cm="1">
        <f t="array" aca="1" ref="CL222" ca="1">_xlfn.IFS(CL$25="Manual",CK222,
CL$25="Regression",
MAX(0,
IFERROR(MIN(INDEX(#REF!,MATCH(_xlfn.TEXTJOIN(keydelim,TRUE,CL$9,CL$10,$F222,$D222),#REF!,0)),
INDEX(#REF!,MATCH(_xlfn.TEXTJOIN(keydelim,TRUE,CL$9,CL$10,$F222,$D222),#REF!,0))+
INDEX(#REF!,MATCH(_xlfn.TEXTJOIN(keydelim,TRUE,CL$9,CL$10,$F222,$D222),#REF!,0))*CL$214),
MIN(INDEX(#REF!,MATCH(_xlfn.TEXTJOIN(keydelim,TRUE,"Other",CL$10,$F222,$D222),#REF!,0)),
INDEX(#REF!,MATCH(_xlfn.TEXTJOIN(keydelim,TRUE,"Other",CL$10,$F222,$D222),#REF!,0))+
INDEX(#REF!,MATCH(_xlfn.TEXTJOIN(keydelim,TRUE,"Other",CL$10,$F222,$D222),#REF!,0))*CL$214)
)))</f>
        <v>0</v>
      </c>
      <c r="CM222" s="52" cm="1">
        <f t="array" aca="1" ref="CM222" ca="1">_xlfn.IFS(CM$25="Manual",CL222,
CM$25="Regression",
MAX(0,
IFERROR(MIN(INDEX(#REF!,MATCH(_xlfn.TEXTJOIN(keydelim,TRUE,CM$9,CM$10,$F222,$D222),#REF!,0)),
INDEX(#REF!,MATCH(_xlfn.TEXTJOIN(keydelim,TRUE,CM$9,CM$10,$F222,$D222),#REF!,0))+
INDEX(#REF!,MATCH(_xlfn.TEXTJOIN(keydelim,TRUE,CM$9,CM$10,$F222,$D222),#REF!,0))*CM$214),
MIN(INDEX(#REF!,MATCH(_xlfn.TEXTJOIN(keydelim,TRUE,"Other",CM$10,$F222,$D222),#REF!,0)),
INDEX(#REF!,MATCH(_xlfn.TEXTJOIN(keydelim,TRUE,"Other",CM$10,$F222,$D222),#REF!,0))+
INDEX(#REF!,MATCH(_xlfn.TEXTJOIN(keydelim,TRUE,"Other",CM$10,$F222,$D222),#REF!,0))*CM$214)
)))</f>
        <v>0</v>
      </c>
      <c r="CN222" s="52" cm="1">
        <f t="array" aca="1" ref="CN222" ca="1">_xlfn.IFS(CN$25="Manual",CM222,
CN$25="Regression",
MAX(0,
IFERROR(MIN(INDEX(#REF!,MATCH(_xlfn.TEXTJOIN(keydelim,TRUE,CN$9,CN$10,$F222,$D222),#REF!,0)),
INDEX(#REF!,MATCH(_xlfn.TEXTJOIN(keydelim,TRUE,CN$9,CN$10,$F222,$D222),#REF!,0))+
INDEX(#REF!,MATCH(_xlfn.TEXTJOIN(keydelim,TRUE,CN$9,CN$10,$F222,$D222),#REF!,0))*CN$214),
MIN(INDEX(#REF!,MATCH(_xlfn.TEXTJOIN(keydelim,TRUE,"Other",CN$10,$F222,$D222),#REF!,0)),
INDEX(#REF!,MATCH(_xlfn.TEXTJOIN(keydelim,TRUE,"Other",CN$10,$F222,$D222),#REF!,0))+
INDEX(#REF!,MATCH(_xlfn.TEXTJOIN(keydelim,TRUE,"Other",CN$10,$F222,$D222),#REF!,0))*CN$214)
)))</f>
        <v>0</v>
      </c>
      <c r="CO222" s="52" cm="1">
        <f t="array" aca="1" ref="CO222" ca="1">_xlfn.IFS(CO$25="Manual",CN222,
CO$25="Regression",
MAX(0,
IFERROR(MIN(INDEX(#REF!,MATCH(_xlfn.TEXTJOIN(keydelim,TRUE,CO$9,CO$10,$F222,$D222),#REF!,0)),
INDEX(#REF!,MATCH(_xlfn.TEXTJOIN(keydelim,TRUE,CO$9,CO$10,$F222,$D222),#REF!,0))+
INDEX(#REF!,MATCH(_xlfn.TEXTJOIN(keydelim,TRUE,CO$9,CO$10,$F222,$D222),#REF!,0))*CO$214),
MIN(INDEX(#REF!,MATCH(_xlfn.TEXTJOIN(keydelim,TRUE,"Other",CO$10,$F222,$D222),#REF!,0)),
INDEX(#REF!,MATCH(_xlfn.TEXTJOIN(keydelim,TRUE,"Other",CO$10,$F222,$D222),#REF!,0))+
INDEX(#REF!,MATCH(_xlfn.TEXTJOIN(keydelim,TRUE,"Other",CO$10,$F222,$D222),#REF!,0))*CO$214)
)))</f>
        <v>0</v>
      </c>
      <c r="CP222" s="52" cm="1">
        <f t="array" aca="1" ref="CP222" ca="1">_xlfn.IFS(CP$25="Manual",CO222,
CP$25="Regression",
MAX(0,
IFERROR(MIN(INDEX(#REF!,MATCH(_xlfn.TEXTJOIN(keydelim,TRUE,CP$9,CP$10,$F222,$D222),#REF!,0)),
INDEX(#REF!,MATCH(_xlfn.TEXTJOIN(keydelim,TRUE,CP$9,CP$10,$F222,$D222),#REF!,0))+
INDEX(#REF!,MATCH(_xlfn.TEXTJOIN(keydelim,TRUE,CP$9,CP$10,$F222,$D222),#REF!,0))*CP$214),
MIN(INDEX(#REF!,MATCH(_xlfn.TEXTJOIN(keydelim,TRUE,"Other",CP$10,$F222,$D222),#REF!,0)),
INDEX(#REF!,MATCH(_xlfn.TEXTJOIN(keydelim,TRUE,"Other",CP$10,$F222,$D222),#REF!,0))+
INDEX(#REF!,MATCH(_xlfn.TEXTJOIN(keydelim,TRUE,"Other",CP$10,$F222,$D222),#REF!,0))*CP$214)
)))</f>
        <v>0</v>
      </c>
      <c r="CQ222" s="52" cm="1">
        <f t="array" aca="1" ref="CQ222" ca="1">_xlfn.IFS(CQ$25="Manual",CP222,
CQ$25="Regression",
MAX(0,
IFERROR(MIN(INDEX(#REF!,MATCH(_xlfn.TEXTJOIN(keydelim,TRUE,CQ$9,CQ$10,$F222,$D222),#REF!,0)),
INDEX(#REF!,MATCH(_xlfn.TEXTJOIN(keydelim,TRUE,CQ$9,CQ$10,$F222,$D222),#REF!,0))+
INDEX(#REF!,MATCH(_xlfn.TEXTJOIN(keydelim,TRUE,CQ$9,CQ$10,$F222,$D222),#REF!,0))*CQ$214),
MIN(INDEX(#REF!,MATCH(_xlfn.TEXTJOIN(keydelim,TRUE,"Other",CQ$10,$F222,$D222),#REF!,0)),
INDEX(#REF!,MATCH(_xlfn.TEXTJOIN(keydelim,TRUE,"Other",CQ$10,$F222,$D222),#REF!,0))+
INDEX(#REF!,MATCH(_xlfn.TEXTJOIN(keydelim,TRUE,"Other",CQ$10,$F222,$D222),#REF!,0))*CQ$214)
)))</f>
        <v>0</v>
      </c>
      <c r="CR222" s="52" cm="1">
        <f t="array" aca="1" ref="CR222" ca="1">_xlfn.IFS(CR$25="Manual",CQ222,
CR$25="Regression",
MAX(0,
IFERROR(MIN(INDEX(#REF!,MATCH(_xlfn.TEXTJOIN(keydelim,TRUE,CR$9,CR$10,$F222,$D222),#REF!,0)),
INDEX(#REF!,MATCH(_xlfn.TEXTJOIN(keydelim,TRUE,CR$9,CR$10,$F222,$D222),#REF!,0))+
INDEX(#REF!,MATCH(_xlfn.TEXTJOIN(keydelim,TRUE,CR$9,CR$10,$F222,$D222),#REF!,0))*CR$214),
MIN(INDEX(#REF!,MATCH(_xlfn.TEXTJOIN(keydelim,TRUE,"Other",CR$10,$F222,$D222),#REF!,0)),
INDEX(#REF!,MATCH(_xlfn.TEXTJOIN(keydelim,TRUE,"Other",CR$10,$F222,$D222),#REF!,0))+
INDEX(#REF!,MATCH(_xlfn.TEXTJOIN(keydelim,TRUE,"Other",CR$10,$F222,$D222),#REF!,0))*CR$214)
)))</f>
        <v>0</v>
      </c>
      <c r="CS222" s="52" cm="1">
        <f t="array" aca="1" ref="CS222" ca="1">_xlfn.IFS(CS$25="Manual",CR222,
CS$25="Regression",
MAX(0,
IFERROR(MIN(INDEX(#REF!,MATCH(_xlfn.TEXTJOIN(keydelim,TRUE,CS$9,CS$10,$F222,$D222),#REF!,0)),
INDEX(#REF!,MATCH(_xlfn.TEXTJOIN(keydelim,TRUE,CS$9,CS$10,$F222,$D222),#REF!,0))+
INDEX(#REF!,MATCH(_xlfn.TEXTJOIN(keydelim,TRUE,CS$9,CS$10,$F222,$D222),#REF!,0))*CS$214),
MIN(INDEX(#REF!,MATCH(_xlfn.TEXTJOIN(keydelim,TRUE,"Other",CS$10,$F222,$D222),#REF!,0)),
INDEX(#REF!,MATCH(_xlfn.TEXTJOIN(keydelim,TRUE,"Other",CS$10,$F222,$D222),#REF!,0))+
INDEX(#REF!,MATCH(_xlfn.TEXTJOIN(keydelim,TRUE,"Other",CS$10,$F222,$D222),#REF!,0))*CS$214)
)))</f>
        <v>0</v>
      </c>
      <c r="CT222" s="52" cm="1">
        <f t="array" aca="1" ref="CT222" ca="1">_xlfn.IFS(CT$25="Manual",CS222,
CT$25="Regression",
MAX(0,
IFERROR(MIN(INDEX(#REF!,MATCH(_xlfn.TEXTJOIN(keydelim,TRUE,CT$9,CT$10,$F222,$D222),#REF!,0)),
INDEX(#REF!,MATCH(_xlfn.TEXTJOIN(keydelim,TRUE,CT$9,CT$10,$F222,$D222),#REF!,0))+
INDEX(#REF!,MATCH(_xlfn.TEXTJOIN(keydelim,TRUE,CT$9,CT$10,$F222,$D222),#REF!,0))*CT$214),
MIN(INDEX(#REF!,MATCH(_xlfn.TEXTJOIN(keydelim,TRUE,"Other",CT$10,$F222,$D222),#REF!,0)),
INDEX(#REF!,MATCH(_xlfn.TEXTJOIN(keydelim,TRUE,"Other",CT$10,$F222,$D222),#REF!,0))+
INDEX(#REF!,MATCH(_xlfn.TEXTJOIN(keydelim,TRUE,"Other",CT$10,$F222,$D222),#REF!,0))*CT$214)
)))</f>
        <v>0</v>
      </c>
    </row>
    <row r="223" spans="2:98" collapsed="1" x14ac:dyDescent="0.2">
      <c r="C223" s="3"/>
      <c r="D223" s="12"/>
      <c r="E223" s="224"/>
      <c r="G223" s="52"/>
      <c r="H223" s="52"/>
      <c r="I223" s="52"/>
      <c r="J223" s="52"/>
      <c r="K223" s="52"/>
      <c r="L223" s="52"/>
      <c r="M223" s="52"/>
      <c r="N223" s="52"/>
      <c r="O223" s="52"/>
      <c r="P223" s="52"/>
      <c r="Q223" s="52"/>
      <c r="R223" s="52"/>
      <c r="X223" s="12"/>
      <c r="Y223" s="224"/>
      <c r="AA223" s="52"/>
      <c r="AB223" s="52"/>
      <c r="AC223" s="52"/>
      <c r="AD223" s="52"/>
      <c r="AE223" s="52"/>
      <c r="AF223" s="52"/>
      <c r="AG223" s="52"/>
      <c r="AH223" s="52"/>
      <c r="AI223" s="52"/>
      <c r="AJ223" s="52"/>
      <c r="AK223" s="52"/>
      <c r="AL223" s="52"/>
      <c r="AR223" s="12"/>
      <c r="AS223" s="224"/>
      <c r="AU223" s="52"/>
      <c r="AV223" s="52"/>
      <c r="AW223" s="52"/>
      <c r="AX223" s="52"/>
      <c r="AY223" s="52"/>
      <c r="AZ223" s="52"/>
      <c r="BA223" s="52"/>
      <c r="BB223" s="52"/>
      <c r="BC223" s="52"/>
      <c r="BD223" s="52"/>
      <c r="BE223" s="52"/>
      <c r="BF223" s="52"/>
      <c r="BL223" s="12"/>
      <c r="BM223" s="224"/>
      <c r="BO223" s="52"/>
      <c r="BP223" s="52"/>
      <c r="BQ223" s="52"/>
      <c r="BR223" s="52"/>
      <c r="BS223" s="52"/>
      <c r="BT223" s="52"/>
      <c r="BU223" s="52"/>
      <c r="BV223" s="52"/>
      <c r="BW223" s="52"/>
      <c r="BX223" s="52"/>
      <c r="BY223" s="52"/>
      <c r="BZ223" s="52"/>
      <c r="CF223" s="12"/>
      <c r="CG223" s="224"/>
      <c r="CI223" s="52"/>
      <c r="CJ223" s="52"/>
      <c r="CK223" s="52"/>
      <c r="CL223" s="52"/>
      <c r="CM223" s="52"/>
      <c r="CN223" s="52"/>
      <c r="CO223" s="52"/>
      <c r="CP223" s="52"/>
      <c r="CQ223" s="52"/>
      <c r="CR223" s="52"/>
      <c r="CS223" s="52"/>
      <c r="CT223" s="52"/>
    </row>
    <row r="224" spans="2:98" s="4" customFormat="1" x14ac:dyDescent="0.2">
      <c r="B224" s="280" t="s">
        <v>404</v>
      </c>
      <c r="C224" s="280"/>
      <c r="D224" s="312" t="s">
        <v>405</v>
      </c>
      <c r="E224" s="281"/>
      <c r="F224" s="281"/>
      <c r="G224" s="100"/>
      <c r="H224" s="100"/>
      <c r="I224" s="100"/>
      <c r="J224" s="100"/>
      <c r="K224" s="100"/>
      <c r="L224" s="100"/>
      <c r="M224" s="100"/>
      <c r="N224" s="100"/>
      <c r="O224" s="100"/>
      <c r="P224" s="100"/>
      <c r="Q224" s="100"/>
      <c r="R224" s="100"/>
      <c r="X224" s="312" t="s">
        <v>405</v>
      </c>
      <c r="Y224" s="281"/>
      <c r="Z224" s="281"/>
      <c r="AA224" s="100"/>
      <c r="AB224" s="100"/>
      <c r="AC224" s="100"/>
      <c r="AD224" s="100"/>
      <c r="AE224" s="100"/>
      <c r="AF224" s="100"/>
      <c r="AG224" s="100"/>
      <c r="AH224" s="100"/>
      <c r="AI224" s="100"/>
      <c r="AJ224" s="100"/>
      <c r="AK224" s="100"/>
      <c r="AL224" s="100"/>
      <c r="AR224" s="312" t="s">
        <v>405</v>
      </c>
      <c r="AS224" s="281"/>
      <c r="AT224" s="281"/>
      <c r="AU224" s="100"/>
      <c r="AV224" s="100"/>
      <c r="AW224" s="100"/>
      <c r="AX224" s="100"/>
      <c r="AY224" s="100"/>
      <c r="AZ224" s="100"/>
      <c r="BA224" s="100"/>
      <c r="BB224" s="100"/>
      <c r="BC224" s="100"/>
      <c r="BD224" s="100"/>
      <c r="BE224" s="100"/>
      <c r="BF224" s="100"/>
      <c r="BL224" s="312" t="s">
        <v>405</v>
      </c>
      <c r="BM224" s="281"/>
      <c r="BN224" s="281"/>
      <c r="BO224" s="100"/>
      <c r="BP224" s="100"/>
      <c r="BQ224" s="100"/>
      <c r="BR224" s="100"/>
      <c r="BS224" s="100"/>
      <c r="BT224" s="100"/>
      <c r="BU224" s="100"/>
      <c r="BV224" s="100"/>
      <c r="BW224" s="100"/>
      <c r="BX224" s="100"/>
      <c r="BY224" s="100"/>
      <c r="BZ224" s="100"/>
      <c r="CF224" s="312" t="s">
        <v>405</v>
      </c>
      <c r="CG224" s="281"/>
      <c r="CH224" s="281"/>
      <c r="CI224" s="100"/>
      <c r="CJ224" s="100"/>
      <c r="CK224" s="100"/>
      <c r="CL224" s="100"/>
      <c r="CM224" s="100"/>
      <c r="CN224" s="100"/>
      <c r="CO224" s="100"/>
      <c r="CP224" s="100"/>
      <c r="CQ224" s="100"/>
      <c r="CR224" s="100"/>
      <c r="CS224" s="100"/>
      <c r="CT224" s="100"/>
    </row>
    <row r="225" spans="2:98" hidden="1" outlineLevel="1" x14ac:dyDescent="0.2">
      <c r="C225" s="3"/>
      <c r="D225" s="16" t="s">
        <v>406</v>
      </c>
      <c r="E225" s="224" t="s">
        <v>326</v>
      </c>
      <c r="F225" s="298" t="s">
        <v>407</v>
      </c>
      <c r="G225" s="22">
        <f t="shared" ref="G225:R225" ca="1" si="932">G110</f>
        <v>833505.88235294109</v>
      </c>
      <c r="H225" s="22">
        <f t="shared" ca="1" si="932"/>
        <v>833505.88235294109</v>
      </c>
      <c r="I225" s="22">
        <f t="shared" ca="1" si="932"/>
        <v>833505.88235294109</v>
      </c>
      <c r="J225" s="22">
        <f t="shared" ca="1" si="932"/>
        <v>833505.88235294109</v>
      </c>
      <c r="K225" s="22">
        <f t="shared" ca="1" si="932"/>
        <v>833505.88235294109</v>
      </c>
      <c r="L225" s="22">
        <f t="shared" ca="1" si="932"/>
        <v>833505.88235294109</v>
      </c>
      <c r="M225" s="22">
        <f t="shared" ca="1" si="932"/>
        <v>833505.88235294109</v>
      </c>
      <c r="N225" s="22">
        <f t="shared" ca="1" si="932"/>
        <v>833505.88235294109</v>
      </c>
      <c r="O225" s="22">
        <f t="shared" ca="1" si="932"/>
        <v>833505.88235294109</v>
      </c>
      <c r="P225" s="22">
        <f t="shared" ca="1" si="932"/>
        <v>833505.88235294109</v>
      </c>
      <c r="Q225" s="22">
        <f t="shared" ca="1" si="932"/>
        <v>833505.88235294109</v>
      </c>
      <c r="R225" s="22">
        <f t="shared" ca="1" si="932"/>
        <v>833505.88235294109</v>
      </c>
      <c r="X225" s="16" t="s">
        <v>408</v>
      </c>
      <c r="Y225" s="224" t="s">
        <v>326</v>
      </c>
      <c r="Z225" s="298" t="s">
        <v>407</v>
      </c>
      <c r="AA225" s="22">
        <f t="shared" ref="AA225:AL225" ca="1" si="933">AA110</f>
        <v>825170.82352941169</v>
      </c>
      <c r="AB225" s="22">
        <f t="shared" ca="1" si="933"/>
        <v>825170.82352941169</v>
      </c>
      <c r="AC225" s="22">
        <f t="shared" ca="1" si="933"/>
        <v>825170.82352941169</v>
      </c>
      <c r="AD225" s="22">
        <f t="shared" ca="1" si="933"/>
        <v>825170.82352941169</v>
      </c>
      <c r="AE225" s="22">
        <f t="shared" ca="1" si="933"/>
        <v>825170.82352941169</v>
      </c>
      <c r="AF225" s="22">
        <f t="shared" ca="1" si="933"/>
        <v>825170.82352941169</v>
      </c>
      <c r="AG225" s="22">
        <f t="shared" ca="1" si="933"/>
        <v>825170.82352941169</v>
      </c>
      <c r="AH225" s="22">
        <f t="shared" ca="1" si="933"/>
        <v>825170.82352941169</v>
      </c>
      <c r="AI225" s="22">
        <f t="shared" ca="1" si="933"/>
        <v>825170.82352941169</v>
      </c>
      <c r="AJ225" s="22">
        <f t="shared" ca="1" si="933"/>
        <v>825170.82352941169</v>
      </c>
      <c r="AK225" s="22">
        <f t="shared" ca="1" si="933"/>
        <v>825170.82352941169</v>
      </c>
      <c r="AL225" s="22">
        <f t="shared" ca="1" si="933"/>
        <v>825170.82352941169</v>
      </c>
      <c r="AR225" s="16" t="s">
        <v>408</v>
      </c>
      <c r="AS225" s="224" t="s">
        <v>326</v>
      </c>
      <c r="AT225" s="298" t="s">
        <v>407</v>
      </c>
      <c r="AU225" s="22">
        <f t="shared" ref="AU225:BF225" ca="1" si="934">AU110</f>
        <v>791830.58823529398</v>
      </c>
      <c r="AV225" s="22">
        <f t="shared" ca="1" si="934"/>
        <v>791830.58823529398</v>
      </c>
      <c r="AW225" s="22">
        <f t="shared" ca="1" si="934"/>
        <v>791830.58823529398</v>
      </c>
      <c r="AX225" s="22">
        <f t="shared" ca="1" si="934"/>
        <v>791830.58823529398</v>
      </c>
      <c r="AY225" s="22">
        <f t="shared" ca="1" si="934"/>
        <v>791830.58823529398</v>
      </c>
      <c r="AZ225" s="22">
        <f t="shared" ca="1" si="934"/>
        <v>791830.58823529398</v>
      </c>
      <c r="BA225" s="22">
        <f t="shared" ca="1" si="934"/>
        <v>791830.58823529398</v>
      </c>
      <c r="BB225" s="22">
        <f t="shared" ca="1" si="934"/>
        <v>791830.58823529398</v>
      </c>
      <c r="BC225" s="22">
        <f t="shared" ca="1" si="934"/>
        <v>791830.58823529398</v>
      </c>
      <c r="BD225" s="22">
        <f t="shared" ca="1" si="934"/>
        <v>791830.58823529398</v>
      </c>
      <c r="BE225" s="22">
        <f t="shared" ca="1" si="934"/>
        <v>791830.58823529398</v>
      </c>
      <c r="BF225" s="22">
        <f t="shared" ca="1" si="934"/>
        <v>791830.58823529398</v>
      </c>
      <c r="BL225" s="16" t="s">
        <v>408</v>
      </c>
      <c r="BM225" s="224" t="s">
        <v>326</v>
      </c>
      <c r="BN225" s="298" t="s">
        <v>407</v>
      </c>
      <c r="BO225" s="22">
        <f t="shared" ref="BO225:BZ225" ca="1" si="935">BO110</f>
        <v>791830.58823529398</v>
      </c>
      <c r="BP225" s="22">
        <f t="shared" ca="1" si="935"/>
        <v>791830.58823529398</v>
      </c>
      <c r="BQ225" s="22">
        <f t="shared" ca="1" si="935"/>
        <v>791830.58823529398</v>
      </c>
      <c r="BR225" s="22">
        <f t="shared" ca="1" si="935"/>
        <v>791830.58823529398</v>
      </c>
      <c r="BS225" s="22">
        <f t="shared" ca="1" si="935"/>
        <v>791830.58823529398</v>
      </c>
      <c r="BT225" s="22">
        <f t="shared" ca="1" si="935"/>
        <v>791830.58823529398</v>
      </c>
      <c r="BU225" s="22">
        <f t="shared" ca="1" si="935"/>
        <v>791830.58823529398</v>
      </c>
      <c r="BV225" s="22">
        <f t="shared" ca="1" si="935"/>
        <v>791830.58823529398</v>
      </c>
      <c r="BW225" s="22">
        <f t="shared" ca="1" si="935"/>
        <v>791830.58823529398</v>
      </c>
      <c r="BX225" s="22">
        <f t="shared" ca="1" si="935"/>
        <v>791830.58823529398</v>
      </c>
      <c r="BY225" s="22">
        <f t="shared" ca="1" si="935"/>
        <v>791830.58823529398</v>
      </c>
      <c r="BZ225" s="22">
        <f t="shared" ca="1" si="935"/>
        <v>791830.58823529398</v>
      </c>
      <c r="CF225" s="16" t="s">
        <v>408</v>
      </c>
      <c r="CG225" s="224" t="s">
        <v>326</v>
      </c>
      <c r="CH225" s="298" t="s">
        <v>407</v>
      </c>
      <c r="CI225" s="22">
        <f t="shared" ref="CI225:CT225" ca="1" si="936">CI110</f>
        <v>791830.58823529398</v>
      </c>
      <c r="CJ225" s="22">
        <f t="shared" ca="1" si="936"/>
        <v>791830.58823529398</v>
      </c>
      <c r="CK225" s="22">
        <f t="shared" ca="1" si="936"/>
        <v>791830.58823529398</v>
      </c>
      <c r="CL225" s="22">
        <f t="shared" ca="1" si="936"/>
        <v>791830.58823529398</v>
      </c>
      <c r="CM225" s="22">
        <f t="shared" ca="1" si="936"/>
        <v>791830.58823529398</v>
      </c>
      <c r="CN225" s="22">
        <f t="shared" ca="1" si="936"/>
        <v>791830.58823529398</v>
      </c>
      <c r="CO225" s="22">
        <f t="shared" ca="1" si="936"/>
        <v>791830.58823529398</v>
      </c>
      <c r="CP225" s="22">
        <f t="shared" ca="1" si="936"/>
        <v>791830.58823529398</v>
      </c>
      <c r="CQ225" s="22">
        <f t="shared" ca="1" si="936"/>
        <v>791830.58823529398</v>
      </c>
      <c r="CR225" s="22">
        <f t="shared" ca="1" si="936"/>
        <v>791830.58823529398</v>
      </c>
      <c r="CS225" s="22">
        <f t="shared" ca="1" si="936"/>
        <v>791830.58823529398</v>
      </c>
      <c r="CT225" s="22">
        <f t="shared" ca="1" si="936"/>
        <v>791830.58823529398</v>
      </c>
    </row>
    <row r="226" spans="2:98" hidden="1" outlineLevel="1" x14ac:dyDescent="0.2">
      <c r="C226" s="3"/>
      <c r="D226" s="16" t="s">
        <v>409</v>
      </c>
      <c r="E226" s="224" t="s">
        <v>326</v>
      </c>
      <c r="F226" s="298" t="s">
        <v>407</v>
      </c>
      <c r="G226" s="22">
        <f t="shared" ref="G226:R226" ca="1" si="937">G114</f>
        <v>0</v>
      </c>
      <c r="H226" s="22">
        <f t="shared" ca="1" si="937"/>
        <v>0</v>
      </c>
      <c r="I226" s="22">
        <f t="shared" ca="1" si="937"/>
        <v>0</v>
      </c>
      <c r="J226" s="22">
        <f t="shared" ca="1" si="937"/>
        <v>0</v>
      </c>
      <c r="K226" s="22">
        <f t="shared" ca="1" si="937"/>
        <v>0</v>
      </c>
      <c r="L226" s="22">
        <f t="shared" ca="1" si="937"/>
        <v>0</v>
      </c>
      <c r="M226" s="22">
        <f t="shared" ca="1" si="937"/>
        <v>0</v>
      </c>
      <c r="N226" s="22">
        <f t="shared" ca="1" si="937"/>
        <v>0</v>
      </c>
      <c r="O226" s="22">
        <f t="shared" ca="1" si="937"/>
        <v>0</v>
      </c>
      <c r="P226" s="22">
        <f t="shared" ca="1" si="937"/>
        <v>0</v>
      </c>
      <c r="Q226" s="22">
        <f t="shared" ca="1" si="937"/>
        <v>0</v>
      </c>
      <c r="R226" s="22">
        <f t="shared" ca="1" si="937"/>
        <v>0</v>
      </c>
      <c r="X226" s="16" t="s">
        <v>410</v>
      </c>
      <c r="Y226" s="224" t="s">
        <v>326</v>
      </c>
      <c r="Z226" s="298" t="s">
        <v>407</v>
      </c>
      <c r="AA226" s="22">
        <f t="shared" ref="AA226:AL226" ca="1" si="938">AA114</f>
        <v>8335.0588235294181</v>
      </c>
      <c r="AB226" s="22">
        <f t="shared" ca="1" si="938"/>
        <v>8335.0588235294181</v>
      </c>
      <c r="AC226" s="22">
        <f t="shared" ca="1" si="938"/>
        <v>8335.0588235294181</v>
      </c>
      <c r="AD226" s="22">
        <f t="shared" ca="1" si="938"/>
        <v>8335.0588235294181</v>
      </c>
      <c r="AE226" s="22">
        <f t="shared" ca="1" si="938"/>
        <v>8335.0588235294181</v>
      </c>
      <c r="AF226" s="22">
        <f t="shared" ca="1" si="938"/>
        <v>8335.0588235294181</v>
      </c>
      <c r="AG226" s="22">
        <f t="shared" ca="1" si="938"/>
        <v>8335.0588235294181</v>
      </c>
      <c r="AH226" s="22">
        <f t="shared" ca="1" si="938"/>
        <v>8335.0588235294181</v>
      </c>
      <c r="AI226" s="22">
        <f t="shared" ca="1" si="938"/>
        <v>8335.0588235294181</v>
      </c>
      <c r="AJ226" s="22">
        <f t="shared" ca="1" si="938"/>
        <v>8335.0588235294181</v>
      </c>
      <c r="AK226" s="22">
        <f t="shared" ca="1" si="938"/>
        <v>8335.0588235294181</v>
      </c>
      <c r="AL226" s="22">
        <f t="shared" ca="1" si="938"/>
        <v>8335.0588235294181</v>
      </c>
      <c r="AR226" s="16" t="s">
        <v>410</v>
      </c>
      <c r="AS226" s="224" t="s">
        <v>326</v>
      </c>
      <c r="AT226" s="298" t="s">
        <v>407</v>
      </c>
      <c r="AU226" s="22">
        <f t="shared" ref="AU226:BF226" ca="1" si="939">AU114</f>
        <v>41675.294117647092</v>
      </c>
      <c r="AV226" s="22">
        <f t="shared" ca="1" si="939"/>
        <v>41675.294117647092</v>
      </c>
      <c r="AW226" s="22">
        <f t="shared" ca="1" si="939"/>
        <v>41675.294117647092</v>
      </c>
      <c r="AX226" s="22">
        <f t="shared" ca="1" si="939"/>
        <v>41675.294117647092</v>
      </c>
      <c r="AY226" s="22">
        <f t="shared" ca="1" si="939"/>
        <v>41675.294117647092</v>
      </c>
      <c r="AZ226" s="22">
        <f t="shared" ca="1" si="939"/>
        <v>41675.294117647092</v>
      </c>
      <c r="BA226" s="22">
        <f t="shared" ca="1" si="939"/>
        <v>41675.294117647092</v>
      </c>
      <c r="BB226" s="22">
        <f t="shared" ca="1" si="939"/>
        <v>41675.294117647092</v>
      </c>
      <c r="BC226" s="22">
        <f t="shared" ca="1" si="939"/>
        <v>41675.294117647092</v>
      </c>
      <c r="BD226" s="22">
        <f t="shared" ca="1" si="939"/>
        <v>41675.294117647092</v>
      </c>
      <c r="BE226" s="22">
        <f t="shared" ca="1" si="939"/>
        <v>41675.294117647092</v>
      </c>
      <c r="BF226" s="22">
        <f t="shared" ca="1" si="939"/>
        <v>41675.294117647092</v>
      </c>
      <c r="BL226" s="16" t="s">
        <v>410</v>
      </c>
      <c r="BM226" s="224" t="s">
        <v>326</v>
      </c>
      <c r="BN226" s="298" t="s">
        <v>407</v>
      </c>
      <c r="BO226" s="22">
        <f t="shared" ref="BO226:BZ226" ca="1" si="940">BO114</f>
        <v>41675.294117647092</v>
      </c>
      <c r="BP226" s="22">
        <f t="shared" ca="1" si="940"/>
        <v>41675.294117647092</v>
      </c>
      <c r="BQ226" s="22">
        <f t="shared" ca="1" si="940"/>
        <v>41675.294117647092</v>
      </c>
      <c r="BR226" s="22">
        <f t="shared" ca="1" si="940"/>
        <v>41675.294117647092</v>
      </c>
      <c r="BS226" s="22">
        <f t="shared" ca="1" si="940"/>
        <v>41675.294117647092</v>
      </c>
      <c r="BT226" s="22">
        <f t="shared" ca="1" si="940"/>
        <v>41675.294117647092</v>
      </c>
      <c r="BU226" s="22">
        <f t="shared" ca="1" si="940"/>
        <v>41675.294117647092</v>
      </c>
      <c r="BV226" s="22">
        <f t="shared" ca="1" si="940"/>
        <v>41675.294117647092</v>
      </c>
      <c r="BW226" s="22">
        <f t="shared" ca="1" si="940"/>
        <v>41675.294117647092</v>
      </c>
      <c r="BX226" s="22">
        <f t="shared" ca="1" si="940"/>
        <v>41675.294117647092</v>
      </c>
      <c r="BY226" s="22">
        <f t="shared" ca="1" si="940"/>
        <v>41675.294117647092</v>
      </c>
      <c r="BZ226" s="22">
        <f t="shared" ca="1" si="940"/>
        <v>41675.294117647092</v>
      </c>
      <c r="CF226" s="16" t="s">
        <v>410</v>
      </c>
      <c r="CG226" s="224" t="s">
        <v>326</v>
      </c>
      <c r="CH226" s="298" t="s">
        <v>407</v>
      </c>
      <c r="CI226" s="22">
        <f t="shared" ref="CI226:CT226" ca="1" si="941">CI114</f>
        <v>41675.294117647092</v>
      </c>
      <c r="CJ226" s="22">
        <f t="shared" ca="1" si="941"/>
        <v>41675.294117647092</v>
      </c>
      <c r="CK226" s="22">
        <f t="shared" ca="1" si="941"/>
        <v>41675.294117647092</v>
      </c>
      <c r="CL226" s="22">
        <f t="shared" ca="1" si="941"/>
        <v>41675.294117647092</v>
      </c>
      <c r="CM226" s="22">
        <f t="shared" ca="1" si="941"/>
        <v>41675.294117647092</v>
      </c>
      <c r="CN226" s="22">
        <f t="shared" ca="1" si="941"/>
        <v>41675.294117647092</v>
      </c>
      <c r="CO226" s="22">
        <f t="shared" ca="1" si="941"/>
        <v>41675.294117647092</v>
      </c>
      <c r="CP226" s="22">
        <f t="shared" ca="1" si="941"/>
        <v>41675.294117647092</v>
      </c>
      <c r="CQ226" s="22">
        <f t="shared" ca="1" si="941"/>
        <v>41675.294117647092</v>
      </c>
      <c r="CR226" s="22">
        <f t="shared" ca="1" si="941"/>
        <v>41675.294117647092</v>
      </c>
      <c r="CS226" s="22">
        <f t="shared" ca="1" si="941"/>
        <v>41675.294117647092</v>
      </c>
      <c r="CT226" s="22">
        <f t="shared" ca="1" si="941"/>
        <v>41675.294117647092</v>
      </c>
    </row>
    <row r="227" spans="2:98" hidden="1" outlineLevel="1" x14ac:dyDescent="0.2">
      <c r="C227" s="3"/>
      <c r="D227" s="16" t="s">
        <v>411</v>
      </c>
      <c r="E227" s="224" t="s">
        <v>326</v>
      </c>
      <c r="F227" s="298" t="s">
        <v>407</v>
      </c>
      <c r="G227" s="22">
        <f t="shared" ref="G227:R227" ca="1" si="942">G124</f>
        <v>146374.55999999997</v>
      </c>
      <c r="H227" s="22">
        <f t="shared" ca="1" si="942"/>
        <v>146374.55999999997</v>
      </c>
      <c r="I227" s="22">
        <f t="shared" ca="1" si="942"/>
        <v>146374.55999999997</v>
      </c>
      <c r="J227" s="22">
        <f t="shared" ca="1" si="942"/>
        <v>146374.55999999997</v>
      </c>
      <c r="K227" s="22">
        <f t="shared" ca="1" si="942"/>
        <v>146374.55999999997</v>
      </c>
      <c r="L227" s="22">
        <f t="shared" ca="1" si="942"/>
        <v>146374.55999999997</v>
      </c>
      <c r="M227" s="22">
        <f t="shared" ca="1" si="942"/>
        <v>146374.55999999997</v>
      </c>
      <c r="N227" s="22">
        <f t="shared" ca="1" si="942"/>
        <v>146374.55999999997</v>
      </c>
      <c r="O227" s="22">
        <f t="shared" ca="1" si="942"/>
        <v>146374.55999999997</v>
      </c>
      <c r="P227" s="22">
        <f t="shared" ca="1" si="942"/>
        <v>146374.55999999997</v>
      </c>
      <c r="Q227" s="22">
        <f t="shared" ca="1" si="942"/>
        <v>146374.55999999997</v>
      </c>
      <c r="R227" s="22">
        <f t="shared" ca="1" si="942"/>
        <v>146374.55999999997</v>
      </c>
      <c r="X227" s="16" t="s">
        <v>412</v>
      </c>
      <c r="Y227" s="224" t="s">
        <v>326</v>
      </c>
      <c r="Z227" s="298" t="s">
        <v>407</v>
      </c>
      <c r="AA227" s="22">
        <f t="shared" ref="AA227:AL227" ca="1" si="943">AA124</f>
        <v>146374.55999999997</v>
      </c>
      <c r="AB227" s="22">
        <f t="shared" ca="1" si="943"/>
        <v>146374.55999999997</v>
      </c>
      <c r="AC227" s="22">
        <f t="shared" ca="1" si="943"/>
        <v>146374.55999999997</v>
      </c>
      <c r="AD227" s="22">
        <f t="shared" ca="1" si="943"/>
        <v>146374.55999999997</v>
      </c>
      <c r="AE227" s="22">
        <f t="shared" ca="1" si="943"/>
        <v>146374.55999999997</v>
      </c>
      <c r="AF227" s="22">
        <f t="shared" ca="1" si="943"/>
        <v>146374.55999999997</v>
      </c>
      <c r="AG227" s="22">
        <f t="shared" ca="1" si="943"/>
        <v>146374.55999999997</v>
      </c>
      <c r="AH227" s="22">
        <f t="shared" ca="1" si="943"/>
        <v>146374.55999999997</v>
      </c>
      <c r="AI227" s="22">
        <f t="shared" ca="1" si="943"/>
        <v>146374.55999999997</v>
      </c>
      <c r="AJ227" s="22">
        <f t="shared" ca="1" si="943"/>
        <v>146374.55999999997</v>
      </c>
      <c r="AK227" s="22">
        <f t="shared" ca="1" si="943"/>
        <v>146374.55999999997</v>
      </c>
      <c r="AL227" s="22">
        <f t="shared" ca="1" si="943"/>
        <v>146374.55999999997</v>
      </c>
      <c r="AR227" s="16" t="s">
        <v>412</v>
      </c>
      <c r="AS227" s="224" t="s">
        <v>326</v>
      </c>
      <c r="AT227" s="298" t="s">
        <v>407</v>
      </c>
      <c r="AU227" s="22">
        <f t="shared" ref="AU227:BF227" ca="1" si="944">AU124</f>
        <v>146374.55999999997</v>
      </c>
      <c r="AV227" s="22">
        <f t="shared" ca="1" si="944"/>
        <v>146374.55999999997</v>
      </c>
      <c r="AW227" s="22">
        <f t="shared" ca="1" si="944"/>
        <v>146374.55999999997</v>
      </c>
      <c r="AX227" s="22">
        <f t="shared" ca="1" si="944"/>
        <v>146374.55999999997</v>
      </c>
      <c r="AY227" s="22">
        <f t="shared" ca="1" si="944"/>
        <v>146374.55999999997</v>
      </c>
      <c r="AZ227" s="22">
        <f t="shared" ca="1" si="944"/>
        <v>146374.55999999997</v>
      </c>
      <c r="BA227" s="22">
        <f t="shared" ca="1" si="944"/>
        <v>146374.55999999997</v>
      </c>
      <c r="BB227" s="22">
        <f t="shared" ca="1" si="944"/>
        <v>146374.55999999997</v>
      </c>
      <c r="BC227" s="22">
        <f t="shared" ca="1" si="944"/>
        <v>146374.55999999997</v>
      </c>
      <c r="BD227" s="22">
        <f t="shared" ca="1" si="944"/>
        <v>146374.55999999997</v>
      </c>
      <c r="BE227" s="22">
        <f t="shared" ca="1" si="944"/>
        <v>146374.55999999997</v>
      </c>
      <c r="BF227" s="22">
        <f t="shared" ca="1" si="944"/>
        <v>146374.55999999997</v>
      </c>
      <c r="BL227" s="16" t="s">
        <v>412</v>
      </c>
      <c r="BM227" s="224" t="s">
        <v>326</v>
      </c>
      <c r="BN227" s="298" t="s">
        <v>407</v>
      </c>
      <c r="BO227" s="22">
        <f t="shared" ref="BO227:BZ227" ca="1" si="945">BO124</f>
        <v>146374.55999999997</v>
      </c>
      <c r="BP227" s="22">
        <f t="shared" ca="1" si="945"/>
        <v>146374.55999999997</v>
      </c>
      <c r="BQ227" s="22">
        <f t="shared" ca="1" si="945"/>
        <v>146374.55999999997</v>
      </c>
      <c r="BR227" s="22">
        <f t="shared" ca="1" si="945"/>
        <v>146374.55999999997</v>
      </c>
      <c r="BS227" s="22">
        <f t="shared" ca="1" si="945"/>
        <v>146374.55999999997</v>
      </c>
      <c r="BT227" s="22">
        <f t="shared" ca="1" si="945"/>
        <v>146374.55999999997</v>
      </c>
      <c r="BU227" s="22">
        <f t="shared" ca="1" si="945"/>
        <v>146374.55999999997</v>
      </c>
      <c r="BV227" s="22">
        <f t="shared" ca="1" si="945"/>
        <v>146374.55999999997</v>
      </c>
      <c r="BW227" s="22">
        <f t="shared" ca="1" si="945"/>
        <v>146374.55999999997</v>
      </c>
      <c r="BX227" s="22">
        <f t="shared" ca="1" si="945"/>
        <v>146374.55999999997</v>
      </c>
      <c r="BY227" s="22">
        <f t="shared" ca="1" si="945"/>
        <v>146374.55999999997</v>
      </c>
      <c r="BZ227" s="22">
        <f t="shared" ca="1" si="945"/>
        <v>146374.55999999997</v>
      </c>
      <c r="CF227" s="16" t="s">
        <v>412</v>
      </c>
      <c r="CG227" s="224" t="s">
        <v>326</v>
      </c>
      <c r="CH227" s="298" t="s">
        <v>407</v>
      </c>
      <c r="CI227" s="22">
        <f t="shared" ref="CI227:CT227" ca="1" si="946">CI124</f>
        <v>146374.55999999997</v>
      </c>
      <c r="CJ227" s="22">
        <f t="shared" ca="1" si="946"/>
        <v>146374.55999999997</v>
      </c>
      <c r="CK227" s="22">
        <f t="shared" ca="1" si="946"/>
        <v>146374.55999999997</v>
      </c>
      <c r="CL227" s="22">
        <f t="shared" ca="1" si="946"/>
        <v>146374.55999999997</v>
      </c>
      <c r="CM227" s="22">
        <f t="shared" ca="1" si="946"/>
        <v>146374.55999999997</v>
      </c>
      <c r="CN227" s="22">
        <f t="shared" ca="1" si="946"/>
        <v>146374.55999999997</v>
      </c>
      <c r="CO227" s="22">
        <f t="shared" ca="1" si="946"/>
        <v>146374.55999999997</v>
      </c>
      <c r="CP227" s="22">
        <f t="shared" ca="1" si="946"/>
        <v>146374.55999999997</v>
      </c>
      <c r="CQ227" s="22">
        <f t="shared" ca="1" si="946"/>
        <v>146374.55999999997</v>
      </c>
      <c r="CR227" s="22">
        <f t="shared" ca="1" si="946"/>
        <v>146374.55999999997</v>
      </c>
      <c r="CS227" s="22">
        <f t="shared" ca="1" si="946"/>
        <v>146374.55999999997</v>
      </c>
      <c r="CT227" s="22">
        <f t="shared" ca="1" si="946"/>
        <v>146374.55999999997</v>
      </c>
    </row>
    <row r="228" spans="2:98" hidden="1" outlineLevel="1" x14ac:dyDescent="0.2">
      <c r="C228" s="3"/>
      <c r="D228" s="16" t="s">
        <v>413</v>
      </c>
      <c r="E228" s="224" t="s">
        <v>326</v>
      </c>
      <c r="F228" s="298" t="s">
        <v>407</v>
      </c>
      <c r="G228" s="22">
        <f t="shared" ref="G228:R228" ca="1" si="947">G137</f>
        <v>12073.170731707316</v>
      </c>
      <c r="H228" s="22">
        <f t="shared" ca="1" si="947"/>
        <v>12073.170731707316</v>
      </c>
      <c r="I228" s="22">
        <f t="shared" ca="1" si="947"/>
        <v>12073.170731707316</v>
      </c>
      <c r="J228" s="22">
        <f t="shared" ca="1" si="947"/>
        <v>12073.170731707316</v>
      </c>
      <c r="K228" s="22">
        <f t="shared" ca="1" si="947"/>
        <v>12073.170731707316</v>
      </c>
      <c r="L228" s="22">
        <f t="shared" ca="1" si="947"/>
        <v>12073.170731707316</v>
      </c>
      <c r="M228" s="22">
        <f t="shared" ca="1" si="947"/>
        <v>12073.170731707316</v>
      </c>
      <c r="N228" s="22">
        <f t="shared" ca="1" si="947"/>
        <v>12073.170731707316</v>
      </c>
      <c r="O228" s="22">
        <f t="shared" ca="1" si="947"/>
        <v>12073.170731707316</v>
      </c>
      <c r="P228" s="22">
        <f t="shared" ca="1" si="947"/>
        <v>12073.170731707316</v>
      </c>
      <c r="Q228" s="22">
        <f t="shared" ca="1" si="947"/>
        <v>12073.170731707316</v>
      </c>
      <c r="R228" s="22">
        <f t="shared" ca="1" si="947"/>
        <v>12073.170731707316</v>
      </c>
      <c r="X228" s="16" t="s">
        <v>414</v>
      </c>
      <c r="Y228" s="224" t="s">
        <v>326</v>
      </c>
      <c r="Z228" s="298" t="s">
        <v>407</v>
      </c>
      <c r="AA228" s="22">
        <f t="shared" ref="AA228:AL228" ca="1" si="948">AA137</f>
        <v>12073.170731707316</v>
      </c>
      <c r="AB228" s="22">
        <f t="shared" ca="1" si="948"/>
        <v>12073.170731707316</v>
      </c>
      <c r="AC228" s="22">
        <f t="shared" ca="1" si="948"/>
        <v>12073.170731707316</v>
      </c>
      <c r="AD228" s="22">
        <f t="shared" ca="1" si="948"/>
        <v>12073.170731707316</v>
      </c>
      <c r="AE228" s="22">
        <f t="shared" ca="1" si="948"/>
        <v>12073.170731707316</v>
      </c>
      <c r="AF228" s="22">
        <f t="shared" ca="1" si="948"/>
        <v>12073.170731707316</v>
      </c>
      <c r="AG228" s="22">
        <f t="shared" ca="1" si="948"/>
        <v>12073.170731707316</v>
      </c>
      <c r="AH228" s="22">
        <f t="shared" ca="1" si="948"/>
        <v>12073.170731707316</v>
      </c>
      <c r="AI228" s="22">
        <f t="shared" ca="1" si="948"/>
        <v>12073.170731707316</v>
      </c>
      <c r="AJ228" s="22">
        <f t="shared" ca="1" si="948"/>
        <v>12073.170731707316</v>
      </c>
      <c r="AK228" s="22">
        <f t="shared" ca="1" si="948"/>
        <v>12073.170731707316</v>
      </c>
      <c r="AL228" s="22">
        <f t="shared" ca="1" si="948"/>
        <v>12073.170731707316</v>
      </c>
      <c r="AR228" s="16" t="s">
        <v>414</v>
      </c>
      <c r="AS228" s="224" t="s">
        <v>326</v>
      </c>
      <c r="AT228" s="298" t="s">
        <v>407</v>
      </c>
      <c r="AU228" s="22">
        <f t="shared" ref="AU228:BF228" ca="1" si="949">AU137</f>
        <v>12073.170731707316</v>
      </c>
      <c r="AV228" s="22">
        <f t="shared" ca="1" si="949"/>
        <v>12073.170731707316</v>
      </c>
      <c r="AW228" s="22">
        <f t="shared" ca="1" si="949"/>
        <v>12073.170731707316</v>
      </c>
      <c r="AX228" s="22">
        <f t="shared" ca="1" si="949"/>
        <v>12073.170731707316</v>
      </c>
      <c r="AY228" s="22">
        <f t="shared" ca="1" si="949"/>
        <v>12073.170731707316</v>
      </c>
      <c r="AZ228" s="22">
        <f t="shared" ca="1" si="949"/>
        <v>12073.170731707316</v>
      </c>
      <c r="BA228" s="22">
        <f t="shared" ca="1" si="949"/>
        <v>12073.170731707316</v>
      </c>
      <c r="BB228" s="22">
        <f t="shared" ca="1" si="949"/>
        <v>12073.170731707316</v>
      </c>
      <c r="BC228" s="22">
        <f t="shared" ca="1" si="949"/>
        <v>12073.170731707316</v>
      </c>
      <c r="BD228" s="22">
        <f t="shared" ca="1" si="949"/>
        <v>12073.170731707316</v>
      </c>
      <c r="BE228" s="22">
        <f t="shared" ca="1" si="949"/>
        <v>12073.170731707316</v>
      </c>
      <c r="BF228" s="22">
        <f t="shared" ca="1" si="949"/>
        <v>12073.170731707316</v>
      </c>
      <c r="BL228" s="16" t="s">
        <v>414</v>
      </c>
      <c r="BM228" s="224" t="s">
        <v>326</v>
      </c>
      <c r="BN228" s="298" t="s">
        <v>407</v>
      </c>
      <c r="BO228" s="22">
        <f t="shared" ref="BO228:BZ228" ca="1" si="950">BO137</f>
        <v>12073.170731707316</v>
      </c>
      <c r="BP228" s="22">
        <f t="shared" ca="1" si="950"/>
        <v>12073.170731707316</v>
      </c>
      <c r="BQ228" s="22">
        <f t="shared" ca="1" si="950"/>
        <v>12073.170731707316</v>
      </c>
      <c r="BR228" s="22">
        <f t="shared" ca="1" si="950"/>
        <v>12073.170731707316</v>
      </c>
      <c r="BS228" s="22">
        <f t="shared" ca="1" si="950"/>
        <v>12073.170731707316</v>
      </c>
      <c r="BT228" s="22">
        <f t="shared" ca="1" si="950"/>
        <v>12073.170731707316</v>
      </c>
      <c r="BU228" s="22">
        <f t="shared" ca="1" si="950"/>
        <v>12073.170731707316</v>
      </c>
      <c r="BV228" s="22">
        <f t="shared" ca="1" si="950"/>
        <v>12073.170731707316</v>
      </c>
      <c r="BW228" s="22">
        <f t="shared" ca="1" si="950"/>
        <v>12073.170731707316</v>
      </c>
      <c r="BX228" s="22">
        <f t="shared" ca="1" si="950"/>
        <v>12073.170731707316</v>
      </c>
      <c r="BY228" s="22">
        <f t="shared" ca="1" si="950"/>
        <v>12073.170731707316</v>
      </c>
      <c r="BZ228" s="22">
        <f t="shared" ca="1" si="950"/>
        <v>12073.170731707316</v>
      </c>
      <c r="CF228" s="16" t="s">
        <v>414</v>
      </c>
      <c r="CG228" s="224" t="s">
        <v>326</v>
      </c>
      <c r="CH228" s="298" t="s">
        <v>407</v>
      </c>
      <c r="CI228" s="22">
        <f t="shared" ref="CI228:CT228" ca="1" si="951">CI137</f>
        <v>12073.170731707316</v>
      </c>
      <c r="CJ228" s="22">
        <f t="shared" ca="1" si="951"/>
        <v>12073.170731707316</v>
      </c>
      <c r="CK228" s="22">
        <f t="shared" ca="1" si="951"/>
        <v>12073.170731707316</v>
      </c>
      <c r="CL228" s="22">
        <f t="shared" ca="1" si="951"/>
        <v>12073.170731707316</v>
      </c>
      <c r="CM228" s="22">
        <f t="shared" ca="1" si="951"/>
        <v>12073.170731707316</v>
      </c>
      <c r="CN228" s="22">
        <f t="shared" ca="1" si="951"/>
        <v>12073.170731707316</v>
      </c>
      <c r="CO228" s="22">
        <f t="shared" ca="1" si="951"/>
        <v>12073.170731707316</v>
      </c>
      <c r="CP228" s="22">
        <f t="shared" ca="1" si="951"/>
        <v>12073.170731707316</v>
      </c>
      <c r="CQ228" s="22">
        <f t="shared" ca="1" si="951"/>
        <v>12073.170731707316</v>
      </c>
      <c r="CR228" s="22">
        <f t="shared" ca="1" si="951"/>
        <v>12073.170731707316</v>
      </c>
      <c r="CS228" s="22">
        <f t="shared" ca="1" si="951"/>
        <v>12073.170731707316</v>
      </c>
      <c r="CT228" s="22">
        <f t="shared" ca="1" si="951"/>
        <v>12073.170731707316</v>
      </c>
    </row>
    <row r="229" spans="2:98" hidden="1" outlineLevel="1" x14ac:dyDescent="0.2">
      <c r="C229" s="3"/>
      <c r="D229" s="16"/>
      <c r="E229" s="224"/>
      <c r="F229" s="298"/>
      <c r="G229" s="22"/>
      <c r="H229" s="22"/>
      <c r="I229" s="22"/>
      <c r="J229" s="22"/>
      <c r="K229" s="22"/>
      <c r="L229" s="22"/>
      <c r="M229" s="22"/>
      <c r="N229" s="22"/>
      <c r="O229" s="22"/>
      <c r="P229" s="22"/>
      <c r="Q229" s="22"/>
      <c r="R229" s="22"/>
      <c r="X229" s="16"/>
      <c r="Y229" s="224"/>
      <c r="Z229" s="298"/>
      <c r="AA229" s="22"/>
      <c r="AB229" s="22"/>
      <c r="AC229" s="22"/>
      <c r="AD229" s="22"/>
      <c r="AE229" s="22"/>
      <c r="AF229" s="22"/>
      <c r="AG229" s="22"/>
      <c r="AH229" s="22"/>
      <c r="AI229" s="22"/>
      <c r="AJ229" s="22"/>
      <c r="AK229" s="22"/>
      <c r="AL229" s="22"/>
      <c r="AR229" s="16"/>
      <c r="AS229" s="224"/>
      <c r="AT229" s="298"/>
      <c r="AU229" s="22"/>
      <c r="AV229" s="22"/>
      <c r="AW229" s="22"/>
      <c r="AX229" s="22"/>
      <c r="AY229" s="22"/>
      <c r="AZ229" s="22"/>
      <c r="BA229" s="22"/>
      <c r="BB229" s="22"/>
      <c r="BC229" s="22"/>
      <c r="BD229" s="22"/>
      <c r="BE229" s="22"/>
      <c r="BF229" s="22"/>
      <c r="BL229" s="16"/>
      <c r="BM229" s="224"/>
      <c r="BN229" s="298"/>
      <c r="BO229" s="22"/>
      <c r="BP229" s="22"/>
      <c r="BQ229" s="22"/>
      <c r="BR229" s="22"/>
      <c r="BS229" s="22"/>
      <c r="BT229" s="22"/>
      <c r="BU229" s="22"/>
      <c r="BV229" s="22"/>
      <c r="BW229" s="22"/>
      <c r="BX229" s="22"/>
      <c r="BY229" s="22"/>
      <c r="BZ229" s="22"/>
      <c r="CF229" s="16"/>
      <c r="CG229" s="224"/>
      <c r="CH229" s="298"/>
      <c r="CI229" s="22"/>
      <c r="CJ229" s="22"/>
      <c r="CK229" s="22"/>
      <c r="CL229" s="22"/>
      <c r="CM229" s="22"/>
      <c r="CN229" s="22"/>
      <c r="CO229" s="22"/>
      <c r="CP229" s="22"/>
      <c r="CQ229" s="22"/>
      <c r="CR229" s="22"/>
      <c r="CS229" s="22"/>
      <c r="CT229" s="22"/>
    </row>
    <row r="230" spans="2:98" hidden="1" outlineLevel="1" x14ac:dyDescent="0.2">
      <c r="C230" s="3"/>
      <c r="D230" s="16" t="s">
        <v>408</v>
      </c>
      <c r="E230" s="224" t="s">
        <v>247</v>
      </c>
      <c r="F230" s="298" t="s">
        <v>407</v>
      </c>
      <c r="G230" s="22">
        <f t="shared" ref="G230:R230" ca="1" si="952">G110/G113*1000/GJ_per_MWh</f>
        <v>20230.725299828671</v>
      </c>
      <c r="H230" s="22">
        <f t="shared" ca="1" si="952"/>
        <v>20230.725299828671</v>
      </c>
      <c r="I230" s="22">
        <f t="shared" ca="1" si="952"/>
        <v>20230.725299828671</v>
      </c>
      <c r="J230" s="22">
        <f t="shared" ca="1" si="952"/>
        <v>20230.725299828671</v>
      </c>
      <c r="K230" s="22">
        <f t="shared" ca="1" si="952"/>
        <v>20230.725299828671</v>
      </c>
      <c r="L230" s="22">
        <f t="shared" ca="1" si="952"/>
        <v>20230.725299828671</v>
      </c>
      <c r="M230" s="22">
        <f t="shared" ca="1" si="952"/>
        <v>20230.725299828671</v>
      </c>
      <c r="N230" s="22">
        <f t="shared" ca="1" si="952"/>
        <v>20230.725299828671</v>
      </c>
      <c r="O230" s="22">
        <f t="shared" ca="1" si="952"/>
        <v>20230.725299828671</v>
      </c>
      <c r="P230" s="22">
        <f t="shared" ca="1" si="952"/>
        <v>20230.725299828671</v>
      </c>
      <c r="Q230" s="22">
        <f t="shared" ca="1" si="952"/>
        <v>20230.725299828671</v>
      </c>
      <c r="R230" s="22">
        <f t="shared" ca="1" si="952"/>
        <v>20230.725299828671</v>
      </c>
      <c r="X230" s="16" t="s">
        <v>408</v>
      </c>
      <c r="Y230" s="224" t="s">
        <v>247</v>
      </c>
      <c r="Z230" s="298" t="s">
        <v>407</v>
      </c>
      <c r="AA230" s="22">
        <f t="shared" ref="AA230:AL230" ca="1" si="953">AA110/AA113*1000/GJ_per_MWh</f>
        <v>17191.058823529413</v>
      </c>
      <c r="AB230" s="22">
        <f t="shared" ca="1" si="953"/>
        <v>17191.058823529413</v>
      </c>
      <c r="AC230" s="22">
        <f t="shared" ca="1" si="953"/>
        <v>17191.058823529413</v>
      </c>
      <c r="AD230" s="22">
        <f t="shared" ca="1" si="953"/>
        <v>17191.058823529413</v>
      </c>
      <c r="AE230" s="22">
        <f t="shared" ca="1" si="953"/>
        <v>17191.058823529413</v>
      </c>
      <c r="AF230" s="22">
        <f t="shared" ca="1" si="953"/>
        <v>17191.058823529413</v>
      </c>
      <c r="AG230" s="22">
        <f t="shared" ca="1" si="953"/>
        <v>17191.058823529413</v>
      </c>
      <c r="AH230" s="22">
        <f t="shared" ca="1" si="953"/>
        <v>17191.058823529413</v>
      </c>
      <c r="AI230" s="22">
        <f t="shared" ca="1" si="953"/>
        <v>17191.058823529413</v>
      </c>
      <c r="AJ230" s="22">
        <f t="shared" ca="1" si="953"/>
        <v>17191.058823529413</v>
      </c>
      <c r="AK230" s="22">
        <f t="shared" ca="1" si="953"/>
        <v>17191.058823529413</v>
      </c>
      <c r="AL230" s="22">
        <f t="shared" ca="1" si="953"/>
        <v>17191.058823529413</v>
      </c>
      <c r="AR230" s="16" t="s">
        <v>408</v>
      </c>
      <c r="AS230" s="224" t="s">
        <v>247</v>
      </c>
      <c r="AT230" s="298" t="s">
        <v>407</v>
      </c>
      <c r="AU230" s="22">
        <f t="shared" ref="AU230:BF230" ca="1" si="954">AU110/AU113*1000/GJ_per_MWh</f>
        <v>42118.64831038798</v>
      </c>
      <c r="AV230" s="22">
        <f t="shared" ca="1" si="954"/>
        <v>42118.64831038798</v>
      </c>
      <c r="AW230" s="22">
        <f t="shared" ca="1" si="954"/>
        <v>42118.64831038798</v>
      </c>
      <c r="AX230" s="22">
        <f t="shared" ca="1" si="954"/>
        <v>42118.64831038798</v>
      </c>
      <c r="AY230" s="22">
        <f t="shared" ca="1" si="954"/>
        <v>42118.64831038798</v>
      </c>
      <c r="AZ230" s="22">
        <f t="shared" ca="1" si="954"/>
        <v>42118.64831038798</v>
      </c>
      <c r="BA230" s="22">
        <f t="shared" ca="1" si="954"/>
        <v>42118.64831038798</v>
      </c>
      <c r="BB230" s="22">
        <f t="shared" ca="1" si="954"/>
        <v>42118.64831038798</v>
      </c>
      <c r="BC230" s="22">
        <f t="shared" ca="1" si="954"/>
        <v>42118.64831038798</v>
      </c>
      <c r="BD230" s="22">
        <f t="shared" ca="1" si="954"/>
        <v>42118.64831038798</v>
      </c>
      <c r="BE230" s="22">
        <f t="shared" ca="1" si="954"/>
        <v>42118.64831038798</v>
      </c>
      <c r="BF230" s="22">
        <f t="shared" ca="1" si="954"/>
        <v>42118.64831038798</v>
      </c>
      <c r="BL230" s="16" t="s">
        <v>408</v>
      </c>
      <c r="BM230" s="224" t="s">
        <v>247</v>
      </c>
      <c r="BN230" s="298" t="s">
        <v>407</v>
      </c>
      <c r="BO230" s="22">
        <f t="shared" ref="BO230:BZ230" ca="1" si="955">BO110/BO113*1000/GJ_per_MWh</f>
        <v>42118.64831038798</v>
      </c>
      <c r="BP230" s="22">
        <f t="shared" ca="1" si="955"/>
        <v>42118.64831038798</v>
      </c>
      <c r="BQ230" s="22">
        <f t="shared" ca="1" si="955"/>
        <v>42118.64831038798</v>
      </c>
      <c r="BR230" s="22">
        <f t="shared" ca="1" si="955"/>
        <v>42118.64831038798</v>
      </c>
      <c r="BS230" s="22">
        <f t="shared" ca="1" si="955"/>
        <v>42118.64831038798</v>
      </c>
      <c r="BT230" s="22">
        <f t="shared" ca="1" si="955"/>
        <v>42118.64831038798</v>
      </c>
      <c r="BU230" s="22">
        <f t="shared" ca="1" si="955"/>
        <v>42118.64831038798</v>
      </c>
      <c r="BV230" s="22">
        <f t="shared" ca="1" si="955"/>
        <v>42118.64831038798</v>
      </c>
      <c r="BW230" s="22">
        <f t="shared" ca="1" si="955"/>
        <v>42118.64831038798</v>
      </c>
      <c r="BX230" s="22">
        <f t="shared" ca="1" si="955"/>
        <v>42118.64831038798</v>
      </c>
      <c r="BY230" s="22">
        <f t="shared" ca="1" si="955"/>
        <v>42118.64831038798</v>
      </c>
      <c r="BZ230" s="22">
        <f t="shared" ca="1" si="955"/>
        <v>42118.64831038798</v>
      </c>
      <c r="CF230" s="16" t="s">
        <v>408</v>
      </c>
      <c r="CG230" s="224" t="s">
        <v>247</v>
      </c>
      <c r="CH230" s="298" t="s">
        <v>407</v>
      </c>
      <c r="CI230" s="22">
        <f t="shared" ref="CI230:CT230" ca="1" si="956">CI110/CI113*1000/GJ_per_MWh</f>
        <v>39790.481820869041</v>
      </c>
      <c r="CJ230" s="22">
        <f t="shared" ca="1" si="956"/>
        <v>39790.481820869041</v>
      </c>
      <c r="CK230" s="22">
        <f t="shared" ca="1" si="956"/>
        <v>39790.481820869041</v>
      </c>
      <c r="CL230" s="22">
        <f t="shared" ca="1" si="956"/>
        <v>39790.481820869041</v>
      </c>
      <c r="CM230" s="22">
        <f t="shared" ca="1" si="956"/>
        <v>39790.481820869041</v>
      </c>
      <c r="CN230" s="22">
        <f t="shared" ca="1" si="956"/>
        <v>39790.481820869041</v>
      </c>
      <c r="CO230" s="22">
        <f t="shared" ca="1" si="956"/>
        <v>39790.481820869041</v>
      </c>
      <c r="CP230" s="22">
        <f t="shared" ca="1" si="956"/>
        <v>39790.481820869041</v>
      </c>
      <c r="CQ230" s="22">
        <f t="shared" ca="1" si="956"/>
        <v>39790.481820869041</v>
      </c>
      <c r="CR230" s="22">
        <f t="shared" ca="1" si="956"/>
        <v>39790.481820869041</v>
      </c>
      <c r="CS230" s="22">
        <f t="shared" ca="1" si="956"/>
        <v>39790.481820869041</v>
      </c>
      <c r="CT230" s="22">
        <f t="shared" ca="1" si="956"/>
        <v>39790.481820869041</v>
      </c>
    </row>
    <row r="231" spans="2:98" hidden="1" outlineLevel="1" x14ac:dyDescent="0.2">
      <c r="C231" s="3"/>
      <c r="D231" s="16" t="s">
        <v>410</v>
      </c>
      <c r="E231" s="224" t="s">
        <v>247</v>
      </c>
      <c r="F231" s="298" t="s">
        <v>407</v>
      </c>
      <c r="G231" s="22">
        <f t="shared" ref="G231:R231" ca="1" si="957">G114/G117*1000/GJ_per_MWh</f>
        <v>0</v>
      </c>
      <c r="H231" s="22">
        <f t="shared" ca="1" si="957"/>
        <v>0</v>
      </c>
      <c r="I231" s="22">
        <f t="shared" ca="1" si="957"/>
        <v>0</v>
      </c>
      <c r="J231" s="22">
        <f t="shared" ca="1" si="957"/>
        <v>0</v>
      </c>
      <c r="K231" s="22">
        <f t="shared" ca="1" si="957"/>
        <v>0</v>
      </c>
      <c r="L231" s="22">
        <f t="shared" ca="1" si="957"/>
        <v>0</v>
      </c>
      <c r="M231" s="22">
        <f t="shared" ca="1" si="957"/>
        <v>0</v>
      </c>
      <c r="N231" s="22">
        <f t="shared" ca="1" si="957"/>
        <v>0</v>
      </c>
      <c r="O231" s="22">
        <f t="shared" ca="1" si="957"/>
        <v>0</v>
      </c>
      <c r="P231" s="22">
        <f t="shared" ca="1" si="957"/>
        <v>0</v>
      </c>
      <c r="Q231" s="22">
        <f t="shared" ca="1" si="957"/>
        <v>0</v>
      </c>
      <c r="R231" s="22">
        <f t="shared" ca="1" si="957"/>
        <v>0</v>
      </c>
      <c r="X231" s="16" t="s">
        <v>410</v>
      </c>
      <c r="Y231" s="224" t="s">
        <v>247</v>
      </c>
      <c r="Z231" s="298" t="s">
        <v>407</v>
      </c>
      <c r="AA231" s="22">
        <f t="shared" ref="AA231:AL231" ca="1" si="958">AA114/AA117*1000/GJ_per_MWh</f>
        <v>202.30725299828683</v>
      </c>
      <c r="AB231" s="22">
        <f t="shared" ca="1" si="958"/>
        <v>202.30725299828683</v>
      </c>
      <c r="AC231" s="22">
        <f t="shared" ca="1" si="958"/>
        <v>202.30725299828683</v>
      </c>
      <c r="AD231" s="22">
        <f t="shared" ca="1" si="958"/>
        <v>202.30725299828683</v>
      </c>
      <c r="AE231" s="22">
        <f t="shared" ca="1" si="958"/>
        <v>202.30725299828683</v>
      </c>
      <c r="AF231" s="22">
        <f t="shared" ca="1" si="958"/>
        <v>202.30725299828683</v>
      </c>
      <c r="AG231" s="22">
        <f t="shared" ca="1" si="958"/>
        <v>202.30725299828683</v>
      </c>
      <c r="AH231" s="22">
        <f t="shared" ca="1" si="958"/>
        <v>202.30725299828683</v>
      </c>
      <c r="AI231" s="22">
        <f t="shared" ca="1" si="958"/>
        <v>202.30725299828683</v>
      </c>
      <c r="AJ231" s="22">
        <f t="shared" ca="1" si="958"/>
        <v>202.30725299828683</v>
      </c>
      <c r="AK231" s="22">
        <f t="shared" ca="1" si="958"/>
        <v>202.30725299828683</v>
      </c>
      <c r="AL231" s="22">
        <f t="shared" ca="1" si="958"/>
        <v>202.30725299828683</v>
      </c>
      <c r="AR231" s="16" t="s">
        <v>410</v>
      </c>
      <c r="AS231" s="224" t="s">
        <v>247</v>
      </c>
      <c r="AT231" s="298" t="s">
        <v>407</v>
      </c>
      <c r="AU231" s="22">
        <f t="shared" ref="AU231:BF231" ca="1" si="959">AU114/AU117*1000/GJ_per_MWh</f>
        <v>976.00220416035359</v>
      </c>
      <c r="AV231" s="22">
        <f t="shared" ca="1" si="959"/>
        <v>976.00220416035359</v>
      </c>
      <c r="AW231" s="22">
        <f t="shared" ca="1" si="959"/>
        <v>976.00220416035359</v>
      </c>
      <c r="AX231" s="22">
        <f t="shared" ca="1" si="959"/>
        <v>976.00220416035359</v>
      </c>
      <c r="AY231" s="22">
        <f t="shared" ca="1" si="959"/>
        <v>976.00220416035359</v>
      </c>
      <c r="AZ231" s="22">
        <f t="shared" ca="1" si="959"/>
        <v>976.00220416035359</v>
      </c>
      <c r="BA231" s="22">
        <f t="shared" ca="1" si="959"/>
        <v>976.00220416035359</v>
      </c>
      <c r="BB231" s="22">
        <f t="shared" ca="1" si="959"/>
        <v>976.00220416035359</v>
      </c>
      <c r="BC231" s="22">
        <f t="shared" ca="1" si="959"/>
        <v>976.00220416035359</v>
      </c>
      <c r="BD231" s="22">
        <f t="shared" ca="1" si="959"/>
        <v>976.00220416035359</v>
      </c>
      <c r="BE231" s="22">
        <f t="shared" ca="1" si="959"/>
        <v>976.00220416035359</v>
      </c>
      <c r="BF231" s="22">
        <f t="shared" ca="1" si="959"/>
        <v>976.00220416035359</v>
      </c>
      <c r="BL231" s="16" t="s">
        <v>410</v>
      </c>
      <c r="BM231" s="224" t="s">
        <v>247</v>
      </c>
      <c r="BN231" s="298" t="s">
        <v>407</v>
      </c>
      <c r="BO231" s="22">
        <f t="shared" ref="BO231:BZ231" ca="1" si="960">BO114/BO117*1000/GJ_per_MWh</f>
        <v>976.00220416035359</v>
      </c>
      <c r="BP231" s="22">
        <f t="shared" ca="1" si="960"/>
        <v>976.00220416035359</v>
      </c>
      <c r="BQ231" s="22">
        <f t="shared" ca="1" si="960"/>
        <v>976.00220416035359</v>
      </c>
      <c r="BR231" s="22">
        <f t="shared" ca="1" si="960"/>
        <v>976.00220416035359</v>
      </c>
      <c r="BS231" s="22">
        <f t="shared" ca="1" si="960"/>
        <v>976.00220416035359</v>
      </c>
      <c r="BT231" s="22">
        <f t="shared" ca="1" si="960"/>
        <v>976.00220416035359</v>
      </c>
      <c r="BU231" s="22">
        <f t="shared" ca="1" si="960"/>
        <v>976.00220416035359</v>
      </c>
      <c r="BV231" s="22">
        <f t="shared" ca="1" si="960"/>
        <v>976.00220416035359</v>
      </c>
      <c r="BW231" s="22">
        <f t="shared" ca="1" si="960"/>
        <v>976.00220416035359</v>
      </c>
      <c r="BX231" s="22">
        <f t="shared" ca="1" si="960"/>
        <v>976.00220416035359</v>
      </c>
      <c r="BY231" s="22">
        <f t="shared" ca="1" si="960"/>
        <v>976.00220416035359</v>
      </c>
      <c r="BZ231" s="22">
        <f t="shared" ca="1" si="960"/>
        <v>976.00220416035359</v>
      </c>
      <c r="CF231" s="16" t="s">
        <v>410</v>
      </c>
      <c r="CG231" s="224" t="s">
        <v>247</v>
      </c>
      <c r="CH231" s="298" t="s">
        <v>407</v>
      </c>
      <c r="CI231" s="22">
        <f t="shared" ref="CI231:CT231" ca="1" si="961">CI114/CI117*1000/GJ_per_MWh</f>
        <v>976.00220416035359</v>
      </c>
      <c r="CJ231" s="22">
        <f t="shared" ca="1" si="961"/>
        <v>976.00220416035359</v>
      </c>
      <c r="CK231" s="22">
        <f t="shared" ca="1" si="961"/>
        <v>976.00220416035359</v>
      </c>
      <c r="CL231" s="22">
        <f t="shared" ca="1" si="961"/>
        <v>976.00220416035359</v>
      </c>
      <c r="CM231" s="22">
        <f t="shared" ca="1" si="961"/>
        <v>976.00220416035359</v>
      </c>
      <c r="CN231" s="22">
        <f t="shared" ca="1" si="961"/>
        <v>976.00220416035359</v>
      </c>
      <c r="CO231" s="22">
        <f t="shared" ca="1" si="961"/>
        <v>976.00220416035359</v>
      </c>
      <c r="CP231" s="22">
        <f t="shared" ca="1" si="961"/>
        <v>976.00220416035359</v>
      </c>
      <c r="CQ231" s="22">
        <f t="shared" ca="1" si="961"/>
        <v>976.00220416035359</v>
      </c>
      <c r="CR231" s="22">
        <f t="shared" ca="1" si="961"/>
        <v>976.00220416035359</v>
      </c>
      <c r="CS231" s="22">
        <f t="shared" ca="1" si="961"/>
        <v>976.00220416035359</v>
      </c>
      <c r="CT231" s="22">
        <f t="shared" ca="1" si="961"/>
        <v>976.00220416035359</v>
      </c>
    </row>
    <row r="232" spans="2:98" hidden="1" outlineLevel="1" x14ac:dyDescent="0.2">
      <c r="C232" s="3"/>
      <c r="D232" s="16" t="s">
        <v>412</v>
      </c>
      <c r="E232" s="224" t="s">
        <v>247</v>
      </c>
      <c r="F232" s="298" t="s">
        <v>407</v>
      </c>
      <c r="G232" s="22">
        <f t="shared" ref="G232:R232" ca="1" si="962">G124/(G125/1000)/GJ_per_MWh</f>
        <v>3552.7805825242713</v>
      </c>
      <c r="H232" s="22">
        <f t="shared" ca="1" si="962"/>
        <v>3552.7805825242713</v>
      </c>
      <c r="I232" s="22">
        <f t="shared" ca="1" si="962"/>
        <v>3552.7805825242713</v>
      </c>
      <c r="J232" s="22">
        <f t="shared" ca="1" si="962"/>
        <v>3552.7805825242713</v>
      </c>
      <c r="K232" s="22">
        <f t="shared" ca="1" si="962"/>
        <v>3552.7805825242713</v>
      </c>
      <c r="L232" s="22">
        <f t="shared" ca="1" si="962"/>
        <v>3552.7805825242713</v>
      </c>
      <c r="M232" s="22">
        <f t="shared" ca="1" si="962"/>
        <v>3552.7805825242713</v>
      </c>
      <c r="N232" s="22">
        <f t="shared" ca="1" si="962"/>
        <v>3552.7805825242713</v>
      </c>
      <c r="O232" s="22">
        <f t="shared" ca="1" si="962"/>
        <v>3552.7805825242713</v>
      </c>
      <c r="P232" s="22">
        <f t="shared" ca="1" si="962"/>
        <v>3552.7805825242713</v>
      </c>
      <c r="Q232" s="22">
        <f t="shared" ca="1" si="962"/>
        <v>3552.7805825242713</v>
      </c>
      <c r="R232" s="22">
        <f t="shared" ca="1" si="962"/>
        <v>3552.7805825242713</v>
      </c>
      <c r="X232" s="16" t="s">
        <v>412</v>
      </c>
      <c r="Y232" s="224" t="s">
        <v>247</v>
      </c>
      <c r="Z232" s="298" t="s">
        <v>407</v>
      </c>
      <c r="AA232" s="22">
        <f t="shared" ref="AA232:AL232" ca="1" si="963">AA124/(AA125/1000)/GJ_per_MWh</f>
        <v>3049.4699999999993</v>
      </c>
      <c r="AB232" s="22">
        <f t="shared" ca="1" si="963"/>
        <v>3049.4699999999993</v>
      </c>
      <c r="AC232" s="22">
        <f t="shared" ca="1" si="963"/>
        <v>3049.4699999999993</v>
      </c>
      <c r="AD232" s="22">
        <f t="shared" ca="1" si="963"/>
        <v>3049.4699999999993</v>
      </c>
      <c r="AE232" s="22">
        <f t="shared" ca="1" si="963"/>
        <v>3049.4699999999993</v>
      </c>
      <c r="AF232" s="22">
        <f t="shared" ca="1" si="963"/>
        <v>3049.4699999999993</v>
      </c>
      <c r="AG232" s="22">
        <f t="shared" ca="1" si="963"/>
        <v>3049.4699999999993</v>
      </c>
      <c r="AH232" s="22">
        <f t="shared" ca="1" si="963"/>
        <v>3049.4699999999993</v>
      </c>
      <c r="AI232" s="22">
        <f t="shared" ca="1" si="963"/>
        <v>3049.4699999999993</v>
      </c>
      <c r="AJ232" s="22">
        <f t="shared" ca="1" si="963"/>
        <v>3049.4699999999993</v>
      </c>
      <c r="AK232" s="22">
        <f t="shared" ca="1" si="963"/>
        <v>3049.4699999999993</v>
      </c>
      <c r="AL232" s="22">
        <f t="shared" ca="1" si="963"/>
        <v>3049.4699999999993</v>
      </c>
      <c r="AR232" s="16" t="s">
        <v>412</v>
      </c>
      <c r="AS232" s="224" t="s">
        <v>247</v>
      </c>
      <c r="AT232" s="298" t="s">
        <v>407</v>
      </c>
      <c r="AU232" s="22">
        <f t="shared" ref="AU232:BF232" ca="1" si="964">AU124/(AU125/1000)/GJ_per_MWh</f>
        <v>7785.8808510638291</v>
      </c>
      <c r="AV232" s="22">
        <f t="shared" ca="1" si="964"/>
        <v>7785.8808510638291</v>
      </c>
      <c r="AW232" s="22">
        <f t="shared" ca="1" si="964"/>
        <v>7785.8808510638291</v>
      </c>
      <c r="AX232" s="22">
        <f t="shared" ca="1" si="964"/>
        <v>7785.8808510638291</v>
      </c>
      <c r="AY232" s="22">
        <f t="shared" ca="1" si="964"/>
        <v>7785.8808510638291</v>
      </c>
      <c r="AZ232" s="22">
        <f t="shared" ca="1" si="964"/>
        <v>7785.8808510638291</v>
      </c>
      <c r="BA232" s="22">
        <f t="shared" ca="1" si="964"/>
        <v>7785.8808510638291</v>
      </c>
      <c r="BB232" s="22">
        <f t="shared" ca="1" si="964"/>
        <v>7785.8808510638291</v>
      </c>
      <c r="BC232" s="22">
        <f t="shared" ca="1" si="964"/>
        <v>7785.8808510638291</v>
      </c>
      <c r="BD232" s="22">
        <f t="shared" ca="1" si="964"/>
        <v>7785.8808510638291</v>
      </c>
      <c r="BE232" s="22">
        <f t="shared" ca="1" si="964"/>
        <v>7785.8808510638291</v>
      </c>
      <c r="BF232" s="22">
        <f t="shared" ca="1" si="964"/>
        <v>7785.8808510638291</v>
      </c>
      <c r="BL232" s="16" t="s">
        <v>412</v>
      </c>
      <c r="BM232" s="224" t="s">
        <v>247</v>
      </c>
      <c r="BN232" s="298" t="s">
        <v>407</v>
      </c>
      <c r="BO232" s="22">
        <f t="shared" ref="BO232:BZ232" ca="1" si="965">BO124/(BO125/1000)/GJ_per_MWh</f>
        <v>7785.8808510638291</v>
      </c>
      <c r="BP232" s="22">
        <f t="shared" ca="1" si="965"/>
        <v>7785.8808510638291</v>
      </c>
      <c r="BQ232" s="22">
        <f t="shared" ca="1" si="965"/>
        <v>7785.8808510638291</v>
      </c>
      <c r="BR232" s="22">
        <f t="shared" ca="1" si="965"/>
        <v>7785.8808510638291</v>
      </c>
      <c r="BS232" s="22">
        <f t="shared" ca="1" si="965"/>
        <v>7785.8808510638291</v>
      </c>
      <c r="BT232" s="22">
        <f t="shared" ca="1" si="965"/>
        <v>7785.8808510638291</v>
      </c>
      <c r="BU232" s="22">
        <f t="shared" ca="1" si="965"/>
        <v>7785.8808510638291</v>
      </c>
      <c r="BV232" s="22">
        <f t="shared" ca="1" si="965"/>
        <v>7785.8808510638291</v>
      </c>
      <c r="BW232" s="22">
        <f t="shared" ca="1" si="965"/>
        <v>7785.8808510638291</v>
      </c>
      <c r="BX232" s="22">
        <f t="shared" ca="1" si="965"/>
        <v>7785.8808510638291</v>
      </c>
      <c r="BY232" s="22">
        <f t="shared" ca="1" si="965"/>
        <v>7785.8808510638291</v>
      </c>
      <c r="BZ232" s="22">
        <f t="shared" ca="1" si="965"/>
        <v>7785.8808510638291</v>
      </c>
      <c r="CF232" s="16" t="s">
        <v>412</v>
      </c>
      <c r="CG232" s="224" t="s">
        <v>247</v>
      </c>
      <c r="CH232" s="298" t="s">
        <v>407</v>
      </c>
      <c r="CI232" s="22">
        <f t="shared" ref="CI232:CT232" ca="1" si="966">CI124/(CI125/1000)/GJ_per_MWh</f>
        <v>7355.5055276381891</v>
      </c>
      <c r="CJ232" s="22">
        <f t="shared" ca="1" si="966"/>
        <v>7355.5055276381891</v>
      </c>
      <c r="CK232" s="22">
        <f t="shared" ca="1" si="966"/>
        <v>7355.5055276381891</v>
      </c>
      <c r="CL232" s="22">
        <f t="shared" ca="1" si="966"/>
        <v>7355.5055276381891</v>
      </c>
      <c r="CM232" s="22">
        <f t="shared" ca="1" si="966"/>
        <v>7355.5055276381891</v>
      </c>
      <c r="CN232" s="22">
        <f t="shared" ca="1" si="966"/>
        <v>7355.5055276381891</v>
      </c>
      <c r="CO232" s="22">
        <f t="shared" ca="1" si="966"/>
        <v>7355.5055276381891</v>
      </c>
      <c r="CP232" s="22">
        <f t="shared" ca="1" si="966"/>
        <v>7355.5055276381891</v>
      </c>
      <c r="CQ232" s="22">
        <f t="shared" ca="1" si="966"/>
        <v>7355.5055276381891</v>
      </c>
      <c r="CR232" s="22">
        <f t="shared" ca="1" si="966"/>
        <v>7355.5055276381891</v>
      </c>
      <c r="CS232" s="22">
        <f t="shared" ca="1" si="966"/>
        <v>7355.5055276381891</v>
      </c>
      <c r="CT232" s="22">
        <f t="shared" ca="1" si="966"/>
        <v>7355.5055276381891</v>
      </c>
    </row>
    <row r="233" spans="2:98" hidden="1" outlineLevel="1" x14ac:dyDescent="0.2">
      <c r="C233" s="3"/>
      <c r="D233" s="16" t="s">
        <v>414</v>
      </c>
      <c r="E233" s="224" t="s">
        <v>247</v>
      </c>
      <c r="F233" s="298" t="s">
        <v>407</v>
      </c>
      <c r="G233" s="22">
        <f t="shared" ref="G233:R233" ca="1" si="967">G137/(G138/1000)/GJ_per_MWh</f>
        <v>293.03812455600286</v>
      </c>
      <c r="H233" s="22">
        <f t="shared" ca="1" si="967"/>
        <v>293.03812455600286</v>
      </c>
      <c r="I233" s="22">
        <f t="shared" ca="1" si="967"/>
        <v>293.03812455600286</v>
      </c>
      <c r="J233" s="22">
        <f t="shared" ca="1" si="967"/>
        <v>293.03812455600286</v>
      </c>
      <c r="K233" s="22">
        <f t="shared" ca="1" si="967"/>
        <v>293.03812455600286</v>
      </c>
      <c r="L233" s="22">
        <f t="shared" ca="1" si="967"/>
        <v>293.03812455600286</v>
      </c>
      <c r="M233" s="22">
        <f t="shared" ca="1" si="967"/>
        <v>293.03812455600286</v>
      </c>
      <c r="N233" s="22">
        <f t="shared" ca="1" si="967"/>
        <v>293.03812455600286</v>
      </c>
      <c r="O233" s="22">
        <f t="shared" ca="1" si="967"/>
        <v>293.03812455600286</v>
      </c>
      <c r="P233" s="22">
        <f t="shared" ca="1" si="967"/>
        <v>293.03812455600286</v>
      </c>
      <c r="Q233" s="22">
        <f t="shared" ca="1" si="967"/>
        <v>293.03812455600286</v>
      </c>
      <c r="R233" s="22">
        <f t="shared" ca="1" si="967"/>
        <v>293.03812455600286</v>
      </c>
      <c r="X233" s="16" t="s">
        <v>414</v>
      </c>
      <c r="Y233" s="224" t="s">
        <v>247</v>
      </c>
      <c r="Z233" s="298" t="s">
        <v>407</v>
      </c>
      <c r="AA233" s="22">
        <f t="shared" ref="AA233:AL233" ca="1" si="968">AA137/(AA138/1000)/GJ_per_MWh</f>
        <v>251.52439024390245</v>
      </c>
      <c r="AB233" s="22">
        <f t="shared" ca="1" si="968"/>
        <v>251.52439024390245</v>
      </c>
      <c r="AC233" s="22">
        <f t="shared" ca="1" si="968"/>
        <v>251.52439024390245</v>
      </c>
      <c r="AD233" s="22">
        <f t="shared" ca="1" si="968"/>
        <v>251.52439024390245</v>
      </c>
      <c r="AE233" s="22">
        <f t="shared" ca="1" si="968"/>
        <v>251.52439024390245</v>
      </c>
      <c r="AF233" s="22">
        <f t="shared" ca="1" si="968"/>
        <v>251.52439024390245</v>
      </c>
      <c r="AG233" s="22">
        <f t="shared" ca="1" si="968"/>
        <v>251.52439024390245</v>
      </c>
      <c r="AH233" s="22">
        <f t="shared" ca="1" si="968"/>
        <v>251.52439024390245</v>
      </c>
      <c r="AI233" s="22">
        <f t="shared" ca="1" si="968"/>
        <v>251.52439024390245</v>
      </c>
      <c r="AJ233" s="22">
        <f t="shared" ca="1" si="968"/>
        <v>251.52439024390245</v>
      </c>
      <c r="AK233" s="22">
        <f t="shared" ca="1" si="968"/>
        <v>251.52439024390245</v>
      </c>
      <c r="AL233" s="22">
        <f t="shared" ca="1" si="968"/>
        <v>251.52439024390245</v>
      </c>
      <c r="AR233" s="16" t="s">
        <v>414</v>
      </c>
      <c r="AS233" s="224" t="s">
        <v>247</v>
      </c>
      <c r="AT233" s="298" t="s">
        <v>407</v>
      </c>
      <c r="AU233" s="22">
        <f t="shared" ref="AU233:BF233" ca="1" si="969">AU137/(AU138/1000)/GJ_per_MWh</f>
        <v>642.18993253762324</v>
      </c>
      <c r="AV233" s="22">
        <f t="shared" ca="1" si="969"/>
        <v>642.18993253762324</v>
      </c>
      <c r="AW233" s="22">
        <f t="shared" ca="1" si="969"/>
        <v>642.18993253762324</v>
      </c>
      <c r="AX233" s="22">
        <f t="shared" ca="1" si="969"/>
        <v>642.18993253762324</v>
      </c>
      <c r="AY233" s="22">
        <f t="shared" ca="1" si="969"/>
        <v>642.18993253762324</v>
      </c>
      <c r="AZ233" s="22">
        <f t="shared" ca="1" si="969"/>
        <v>642.18993253762324</v>
      </c>
      <c r="BA233" s="22">
        <f t="shared" ca="1" si="969"/>
        <v>642.18993253762324</v>
      </c>
      <c r="BB233" s="22">
        <f t="shared" ca="1" si="969"/>
        <v>642.18993253762324</v>
      </c>
      <c r="BC233" s="22">
        <f t="shared" ca="1" si="969"/>
        <v>642.18993253762324</v>
      </c>
      <c r="BD233" s="22">
        <f t="shared" ca="1" si="969"/>
        <v>642.18993253762324</v>
      </c>
      <c r="BE233" s="22">
        <f t="shared" ca="1" si="969"/>
        <v>642.18993253762324</v>
      </c>
      <c r="BF233" s="22">
        <f t="shared" ca="1" si="969"/>
        <v>642.18993253762324</v>
      </c>
      <c r="BL233" s="16" t="s">
        <v>414</v>
      </c>
      <c r="BM233" s="224" t="s">
        <v>247</v>
      </c>
      <c r="BN233" s="298" t="s">
        <v>407</v>
      </c>
      <c r="BO233" s="22">
        <f t="shared" ref="BO233:BZ233" ca="1" si="970">BO137/(BO138/1000)/GJ_per_MWh</f>
        <v>642.18993253762324</v>
      </c>
      <c r="BP233" s="22">
        <f t="shared" ca="1" si="970"/>
        <v>642.18993253762324</v>
      </c>
      <c r="BQ233" s="22">
        <f t="shared" ca="1" si="970"/>
        <v>642.18993253762324</v>
      </c>
      <c r="BR233" s="22">
        <f t="shared" ca="1" si="970"/>
        <v>642.18993253762324</v>
      </c>
      <c r="BS233" s="22">
        <f t="shared" ca="1" si="970"/>
        <v>642.18993253762324</v>
      </c>
      <c r="BT233" s="22">
        <f t="shared" ca="1" si="970"/>
        <v>642.18993253762324</v>
      </c>
      <c r="BU233" s="22">
        <f t="shared" ca="1" si="970"/>
        <v>642.18993253762324</v>
      </c>
      <c r="BV233" s="22">
        <f t="shared" ca="1" si="970"/>
        <v>642.18993253762324</v>
      </c>
      <c r="BW233" s="22">
        <f t="shared" ca="1" si="970"/>
        <v>642.18993253762324</v>
      </c>
      <c r="BX233" s="22">
        <f t="shared" ca="1" si="970"/>
        <v>642.18993253762324</v>
      </c>
      <c r="BY233" s="22">
        <f t="shared" ca="1" si="970"/>
        <v>642.18993253762324</v>
      </c>
      <c r="BZ233" s="22">
        <f t="shared" ca="1" si="970"/>
        <v>642.18993253762324</v>
      </c>
      <c r="CF233" s="16" t="s">
        <v>414</v>
      </c>
      <c r="CG233" s="224" t="s">
        <v>247</v>
      </c>
      <c r="CH233" s="298" t="s">
        <v>407</v>
      </c>
      <c r="CI233" s="22">
        <f t="shared" ref="CI233:CT233" ca="1" si="971">CI137/(CI138/1000)/GJ_per_MWh</f>
        <v>606.69199656820683</v>
      </c>
      <c r="CJ233" s="22">
        <f t="shared" ca="1" si="971"/>
        <v>606.69199656820683</v>
      </c>
      <c r="CK233" s="22">
        <f t="shared" ca="1" si="971"/>
        <v>606.69199656820683</v>
      </c>
      <c r="CL233" s="22">
        <f t="shared" ca="1" si="971"/>
        <v>606.69199656820683</v>
      </c>
      <c r="CM233" s="22">
        <f t="shared" ca="1" si="971"/>
        <v>606.69199656820683</v>
      </c>
      <c r="CN233" s="22">
        <f t="shared" ca="1" si="971"/>
        <v>606.69199656820683</v>
      </c>
      <c r="CO233" s="22">
        <f t="shared" ca="1" si="971"/>
        <v>606.69199656820683</v>
      </c>
      <c r="CP233" s="22">
        <f t="shared" ca="1" si="971"/>
        <v>606.69199656820683</v>
      </c>
      <c r="CQ233" s="22">
        <f t="shared" ca="1" si="971"/>
        <v>606.69199656820683</v>
      </c>
      <c r="CR233" s="22">
        <f t="shared" ca="1" si="971"/>
        <v>606.69199656820683</v>
      </c>
      <c r="CS233" s="22">
        <f t="shared" ca="1" si="971"/>
        <v>606.69199656820683</v>
      </c>
      <c r="CT233" s="22">
        <f t="shared" ca="1" si="971"/>
        <v>606.69199656820683</v>
      </c>
    </row>
    <row r="234" spans="2:98" collapsed="1" x14ac:dyDescent="0.2">
      <c r="G234" s="18"/>
      <c r="AA234" s="18"/>
      <c r="AU234" s="18"/>
      <c r="BO234" s="18"/>
      <c r="CI234" s="18"/>
    </row>
    <row r="235" spans="2:98" s="4" customFormat="1" x14ac:dyDescent="0.2">
      <c r="B235" s="280" t="s">
        <v>396</v>
      </c>
      <c r="C235" s="280"/>
      <c r="F235" s="281"/>
      <c r="Z235" s="281"/>
      <c r="AT235" s="281"/>
      <c r="BN235" s="281"/>
      <c r="CH235" s="281"/>
    </row>
    <row r="236" spans="2:98" s="266" customFormat="1" hidden="1" outlineLevel="1" x14ac:dyDescent="0.2">
      <c r="D236" s="316" t="s">
        <v>396</v>
      </c>
      <c r="E236" s="266" t="s">
        <v>415</v>
      </c>
      <c r="F236" s="282"/>
      <c r="G236" s="286">
        <f ca="1">G238/G237</f>
        <v>295.42673288742833</v>
      </c>
      <c r="H236" s="286">
        <f t="shared" ref="H236:R236" ca="1" si="972">H238/H237</f>
        <v>295.42673288742833</v>
      </c>
      <c r="I236" s="286">
        <f t="shared" ca="1" si="972"/>
        <v>295.42673288742833</v>
      </c>
      <c r="J236" s="286">
        <f t="shared" ca="1" si="972"/>
        <v>295.42673288742833</v>
      </c>
      <c r="K236" s="286">
        <f t="shared" ca="1" si="972"/>
        <v>295.42673288742833</v>
      </c>
      <c r="L236" s="286">
        <f t="shared" ca="1" si="972"/>
        <v>295.42673288742833</v>
      </c>
      <c r="M236" s="286">
        <f t="shared" ca="1" si="972"/>
        <v>295.42673288742833</v>
      </c>
      <c r="N236" s="286">
        <f t="shared" ca="1" si="972"/>
        <v>295.42673288742833</v>
      </c>
      <c r="O236" s="286">
        <f t="shared" ca="1" si="972"/>
        <v>295.42673288742833</v>
      </c>
      <c r="P236" s="286">
        <f t="shared" ca="1" si="972"/>
        <v>295.42673288742833</v>
      </c>
      <c r="Q236" s="286">
        <f t="shared" ca="1" si="972"/>
        <v>295.42673288742833</v>
      </c>
      <c r="R236" s="286">
        <f t="shared" ca="1" si="972"/>
        <v>295.42673288742833</v>
      </c>
      <c r="X236" s="316" t="s">
        <v>396</v>
      </c>
      <c r="Y236" s="266" t="s">
        <v>415</v>
      </c>
      <c r="Z236" s="282"/>
      <c r="AA236" s="286">
        <f ca="1">AA238/AA237</f>
        <v>295.42673288742833</v>
      </c>
      <c r="AB236" s="286">
        <f t="shared" ref="AB236:AL236" ca="1" si="973">AB238/AB237</f>
        <v>295.42673288742833</v>
      </c>
      <c r="AC236" s="286">
        <f t="shared" ca="1" si="973"/>
        <v>295.42673288742833</v>
      </c>
      <c r="AD236" s="286">
        <f t="shared" ca="1" si="973"/>
        <v>295.42673288742833</v>
      </c>
      <c r="AE236" s="286">
        <f t="shared" ca="1" si="973"/>
        <v>295.42673288742833</v>
      </c>
      <c r="AF236" s="286">
        <f t="shared" ca="1" si="973"/>
        <v>295.42673288742833</v>
      </c>
      <c r="AG236" s="286">
        <f t="shared" ca="1" si="973"/>
        <v>295.42673288742833</v>
      </c>
      <c r="AH236" s="286">
        <f t="shared" ca="1" si="973"/>
        <v>295.42673288742833</v>
      </c>
      <c r="AI236" s="286">
        <f t="shared" ca="1" si="973"/>
        <v>295.42673288742833</v>
      </c>
      <c r="AJ236" s="286">
        <f t="shared" ca="1" si="973"/>
        <v>295.42673288742833</v>
      </c>
      <c r="AK236" s="286">
        <f t="shared" ca="1" si="973"/>
        <v>295.42673288742833</v>
      </c>
      <c r="AL236" s="286">
        <f t="shared" ca="1" si="973"/>
        <v>295.42673288742833</v>
      </c>
      <c r="AR236" s="316" t="s">
        <v>396</v>
      </c>
      <c r="AS236" s="266" t="s">
        <v>415</v>
      </c>
      <c r="AT236" s="282"/>
      <c r="AU236" s="286">
        <f ca="1">AU238/AU237</f>
        <v>295.42673288742833</v>
      </c>
      <c r="AV236" s="286">
        <f t="shared" ref="AV236:BF236" ca="1" si="974">AV238/AV237</f>
        <v>295.42673288742833</v>
      </c>
      <c r="AW236" s="286">
        <f t="shared" ca="1" si="974"/>
        <v>295.42673288742833</v>
      </c>
      <c r="AX236" s="286">
        <f t="shared" ca="1" si="974"/>
        <v>295.42673288742833</v>
      </c>
      <c r="AY236" s="286">
        <f t="shared" ca="1" si="974"/>
        <v>295.42673288742833</v>
      </c>
      <c r="AZ236" s="286">
        <f t="shared" ca="1" si="974"/>
        <v>295.42673288742833</v>
      </c>
      <c r="BA236" s="286">
        <f t="shared" ca="1" si="974"/>
        <v>295.42673288742833</v>
      </c>
      <c r="BB236" s="286">
        <f t="shared" ca="1" si="974"/>
        <v>295.42673288742833</v>
      </c>
      <c r="BC236" s="286">
        <f t="shared" ca="1" si="974"/>
        <v>295.42673288742833</v>
      </c>
      <c r="BD236" s="286">
        <f t="shared" ca="1" si="974"/>
        <v>295.42673288742833</v>
      </c>
      <c r="BE236" s="286">
        <f t="shared" ca="1" si="974"/>
        <v>295.42673288742833</v>
      </c>
      <c r="BF236" s="286">
        <f t="shared" ca="1" si="974"/>
        <v>295.42673288742833</v>
      </c>
      <c r="BL236" s="316" t="s">
        <v>396</v>
      </c>
      <c r="BM236" s="266" t="s">
        <v>415</v>
      </c>
      <c r="BN236" s="282"/>
      <c r="BO236" s="286">
        <f ca="1">BO238/BO237</f>
        <v>295.42673288742833</v>
      </c>
      <c r="BP236" s="286">
        <f t="shared" ref="BP236:BZ236" ca="1" si="975">BP238/BP237</f>
        <v>295.42673288742833</v>
      </c>
      <c r="BQ236" s="286">
        <f t="shared" ca="1" si="975"/>
        <v>295.42673288742833</v>
      </c>
      <c r="BR236" s="286">
        <f t="shared" ca="1" si="975"/>
        <v>295.42673288742833</v>
      </c>
      <c r="BS236" s="286">
        <f t="shared" ca="1" si="975"/>
        <v>295.42673288742833</v>
      </c>
      <c r="BT236" s="286">
        <f t="shared" ca="1" si="975"/>
        <v>295.42673288742833</v>
      </c>
      <c r="BU236" s="286">
        <f t="shared" ca="1" si="975"/>
        <v>295.42673288742833</v>
      </c>
      <c r="BV236" s="286">
        <f t="shared" ca="1" si="975"/>
        <v>295.42673288742833</v>
      </c>
      <c r="BW236" s="286">
        <f t="shared" ca="1" si="975"/>
        <v>295.42673288742833</v>
      </c>
      <c r="BX236" s="286">
        <f t="shared" ca="1" si="975"/>
        <v>295.42673288742833</v>
      </c>
      <c r="BY236" s="286">
        <f t="shared" ca="1" si="975"/>
        <v>295.42673288742833</v>
      </c>
      <c r="BZ236" s="286">
        <f t="shared" ca="1" si="975"/>
        <v>295.42673288742833</v>
      </c>
      <c r="CF236" s="316" t="s">
        <v>396</v>
      </c>
      <c r="CG236" s="266" t="s">
        <v>415</v>
      </c>
      <c r="CH236" s="282"/>
      <c r="CI236" s="286">
        <f ca="1">CI238/CI237</f>
        <v>295.42673288742833</v>
      </c>
      <c r="CJ236" s="286">
        <f t="shared" ref="CJ236:CT236" ca="1" si="976">CJ238/CJ237</f>
        <v>295.42673288742833</v>
      </c>
      <c r="CK236" s="286">
        <f t="shared" ca="1" si="976"/>
        <v>295.42673288742833</v>
      </c>
      <c r="CL236" s="286">
        <f t="shared" ca="1" si="976"/>
        <v>295.42673288742833</v>
      </c>
      <c r="CM236" s="286">
        <f t="shared" ca="1" si="976"/>
        <v>295.42673288742833</v>
      </c>
      <c r="CN236" s="286">
        <f t="shared" ca="1" si="976"/>
        <v>295.42673288742833</v>
      </c>
      <c r="CO236" s="286">
        <f t="shared" ca="1" si="976"/>
        <v>295.42673288742833</v>
      </c>
      <c r="CP236" s="286">
        <f t="shared" ca="1" si="976"/>
        <v>295.42673288742833</v>
      </c>
      <c r="CQ236" s="286">
        <f t="shared" ca="1" si="976"/>
        <v>295.42673288742833</v>
      </c>
      <c r="CR236" s="286">
        <f t="shared" ca="1" si="976"/>
        <v>295.42673288742833</v>
      </c>
      <c r="CS236" s="286">
        <f t="shared" ca="1" si="976"/>
        <v>295.42673288742833</v>
      </c>
      <c r="CT236" s="286">
        <f t="shared" ca="1" si="976"/>
        <v>295.42673288742833</v>
      </c>
    </row>
    <row r="237" spans="2:98" s="266" customFormat="1" hidden="1" outlineLevel="1" x14ac:dyDescent="0.2">
      <c r="D237" s="3" t="s">
        <v>416</v>
      </c>
      <c r="E237" t="s">
        <v>417</v>
      </c>
      <c r="F237" s="282"/>
      <c r="G237" s="18">
        <f>G244</f>
        <v>3357.6975360000001</v>
      </c>
      <c r="H237" s="18">
        <f t="shared" ref="H237:R237" si="977">H244</f>
        <v>3357.6975360000001</v>
      </c>
      <c r="I237" s="18">
        <f t="shared" si="977"/>
        <v>3357.6975360000001</v>
      </c>
      <c r="J237" s="18">
        <f t="shared" si="977"/>
        <v>3357.6975360000001</v>
      </c>
      <c r="K237" s="18">
        <f t="shared" si="977"/>
        <v>3357.6975360000001</v>
      </c>
      <c r="L237" s="18">
        <f t="shared" si="977"/>
        <v>3357.6975360000001</v>
      </c>
      <c r="M237" s="18">
        <f t="shared" si="977"/>
        <v>3357.6975360000001</v>
      </c>
      <c r="N237" s="18">
        <f t="shared" si="977"/>
        <v>3357.6975360000001</v>
      </c>
      <c r="O237" s="18">
        <f t="shared" si="977"/>
        <v>3357.6975360000001</v>
      </c>
      <c r="P237" s="18">
        <f t="shared" si="977"/>
        <v>3357.6975360000001</v>
      </c>
      <c r="Q237" s="18">
        <f t="shared" si="977"/>
        <v>3357.6975360000001</v>
      </c>
      <c r="R237" s="18">
        <f t="shared" si="977"/>
        <v>3357.6975360000001</v>
      </c>
      <c r="X237" s="3" t="s">
        <v>416</v>
      </c>
      <c r="Y237" t="s">
        <v>417</v>
      </c>
      <c r="Z237" s="282"/>
      <c r="AA237" s="18">
        <f>AA244</f>
        <v>3357.6975360000001</v>
      </c>
      <c r="AB237" s="18">
        <f t="shared" ref="AB237:AL237" si="978">AB244</f>
        <v>3357.6975360000001</v>
      </c>
      <c r="AC237" s="18">
        <f t="shared" si="978"/>
        <v>3357.6975360000001</v>
      </c>
      <c r="AD237" s="18">
        <f t="shared" si="978"/>
        <v>3357.6975360000001</v>
      </c>
      <c r="AE237" s="18">
        <f t="shared" si="978"/>
        <v>3357.6975360000001</v>
      </c>
      <c r="AF237" s="18">
        <f t="shared" si="978"/>
        <v>3357.6975360000001</v>
      </c>
      <c r="AG237" s="18">
        <f t="shared" si="978"/>
        <v>3357.6975360000001</v>
      </c>
      <c r="AH237" s="18">
        <f t="shared" si="978"/>
        <v>3357.6975360000001</v>
      </c>
      <c r="AI237" s="18">
        <f t="shared" si="978"/>
        <v>3357.6975360000001</v>
      </c>
      <c r="AJ237" s="18">
        <f t="shared" si="978"/>
        <v>3357.6975360000001</v>
      </c>
      <c r="AK237" s="18">
        <f t="shared" si="978"/>
        <v>3357.6975360000001</v>
      </c>
      <c r="AL237" s="18">
        <f t="shared" si="978"/>
        <v>3357.6975360000001</v>
      </c>
      <c r="AR237" s="3" t="s">
        <v>416</v>
      </c>
      <c r="AS237" t="s">
        <v>417</v>
      </c>
      <c r="AT237" s="282"/>
      <c r="AU237" s="18">
        <f>AU244</f>
        <v>3357.6975360000001</v>
      </c>
      <c r="AV237" s="18">
        <f t="shared" ref="AV237:BF237" si="979">AV244</f>
        <v>3357.6975360000001</v>
      </c>
      <c r="AW237" s="18">
        <f t="shared" si="979"/>
        <v>3357.6975360000001</v>
      </c>
      <c r="AX237" s="18">
        <f t="shared" si="979"/>
        <v>3357.6975360000001</v>
      </c>
      <c r="AY237" s="18">
        <f t="shared" si="979"/>
        <v>3357.6975360000001</v>
      </c>
      <c r="AZ237" s="18">
        <f t="shared" si="979"/>
        <v>3357.6975360000001</v>
      </c>
      <c r="BA237" s="18">
        <f t="shared" si="979"/>
        <v>3357.6975360000001</v>
      </c>
      <c r="BB237" s="18">
        <f t="shared" si="979"/>
        <v>3357.6975360000001</v>
      </c>
      <c r="BC237" s="18">
        <f t="shared" si="979"/>
        <v>3357.6975360000001</v>
      </c>
      <c r="BD237" s="18">
        <f t="shared" si="979"/>
        <v>3357.6975360000001</v>
      </c>
      <c r="BE237" s="18">
        <f t="shared" si="979"/>
        <v>3357.6975360000001</v>
      </c>
      <c r="BF237" s="18">
        <f t="shared" si="979"/>
        <v>3357.6975360000001</v>
      </c>
      <c r="BL237" s="3" t="s">
        <v>416</v>
      </c>
      <c r="BM237" t="s">
        <v>417</v>
      </c>
      <c r="BN237" s="282"/>
      <c r="BO237" s="18">
        <f>BO244</f>
        <v>3357.6975360000001</v>
      </c>
      <c r="BP237" s="18">
        <f t="shared" ref="BP237:BZ237" si="980">BP244</f>
        <v>3357.6975360000001</v>
      </c>
      <c r="BQ237" s="18">
        <f t="shared" si="980"/>
        <v>3357.6975360000001</v>
      </c>
      <c r="BR237" s="18">
        <f t="shared" si="980"/>
        <v>3357.6975360000001</v>
      </c>
      <c r="BS237" s="18">
        <f t="shared" si="980"/>
        <v>3357.6975360000001</v>
      </c>
      <c r="BT237" s="18">
        <f t="shared" si="980"/>
        <v>3357.6975360000001</v>
      </c>
      <c r="BU237" s="18">
        <f t="shared" si="980"/>
        <v>3357.6975360000001</v>
      </c>
      <c r="BV237" s="18">
        <f t="shared" si="980"/>
        <v>3357.6975360000001</v>
      </c>
      <c r="BW237" s="18">
        <f t="shared" si="980"/>
        <v>3357.6975360000001</v>
      </c>
      <c r="BX237" s="18">
        <f t="shared" si="980"/>
        <v>3357.6975360000001</v>
      </c>
      <c r="BY237" s="18">
        <f t="shared" si="980"/>
        <v>3357.6975360000001</v>
      </c>
      <c r="BZ237" s="18">
        <f t="shared" si="980"/>
        <v>3357.6975360000001</v>
      </c>
      <c r="CF237" s="3" t="s">
        <v>416</v>
      </c>
      <c r="CG237" t="s">
        <v>417</v>
      </c>
      <c r="CH237" s="282"/>
      <c r="CI237" s="18">
        <f>CI244</f>
        <v>3357.6975360000001</v>
      </c>
      <c r="CJ237" s="18">
        <f t="shared" ref="CJ237:CT237" si="981">CJ244</f>
        <v>3357.6975360000001</v>
      </c>
      <c r="CK237" s="18">
        <f t="shared" si="981"/>
        <v>3357.6975360000001</v>
      </c>
      <c r="CL237" s="18">
        <f t="shared" si="981"/>
        <v>3357.6975360000001</v>
      </c>
      <c r="CM237" s="18">
        <f t="shared" si="981"/>
        <v>3357.6975360000001</v>
      </c>
      <c r="CN237" s="18">
        <f t="shared" si="981"/>
        <v>3357.6975360000001</v>
      </c>
      <c r="CO237" s="18">
        <f t="shared" si="981"/>
        <v>3357.6975360000001</v>
      </c>
      <c r="CP237" s="18">
        <f t="shared" si="981"/>
        <v>3357.6975360000001</v>
      </c>
      <c r="CQ237" s="18">
        <f t="shared" si="981"/>
        <v>3357.6975360000001</v>
      </c>
      <c r="CR237" s="18">
        <f t="shared" si="981"/>
        <v>3357.6975360000001</v>
      </c>
      <c r="CS237" s="18">
        <f t="shared" si="981"/>
        <v>3357.6975360000001</v>
      </c>
      <c r="CT237" s="18">
        <f t="shared" si="981"/>
        <v>3357.6975360000001</v>
      </c>
    </row>
    <row r="238" spans="2:98" hidden="1" outlineLevel="1" x14ac:dyDescent="0.2">
      <c r="D238" s="3" t="s">
        <v>405</v>
      </c>
      <c r="E238" t="s">
        <v>326</v>
      </c>
      <c r="G238" s="18">
        <f t="shared" ref="G238:R238" ca="1" si="982">(G110++G114+G124+G137)</f>
        <v>991953.61308464839</v>
      </c>
      <c r="H238" s="18">
        <f t="shared" ca="1" si="982"/>
        <v>991953.61308464839</v>
      </c>
      <c r="I238" s="18">
        <f t="shared" ca="1" si="982"/>
        <v>991953.61308464839</v>
      </c>
      <c r="J238" s="18">
        <f t="shared" ca="1" si="982"/>
        <v>991953.61308464839</v>
      </c>
      <c r="K238" s="18">
        <f t="shared" ca="1" si="982"/>
        <v>991953.61308464839</v>
      </c>
      <c r="L238" s="18">
        <f t="shared" ca="1" si="982"/>
        <v>991953.61308464839</v>
      </c>
      <c r="M238" s="18">
        <f t="shared" ca="1" si="982"/>
        <v>991953.61308464839</v>
      </c>
      <c r="N238" s="18">
        <f t="shared" ca="1" si="982"/>
        <v>991953.61308464839</v>
      </c>
      <c r="O238" s="18">
        <f t="shared" ca="1" si="982"/>
        <v>991953.61308464839</v>
      </c>
      <c r="P238" s="18">
        <f t="shared" ca="1" si="982"/>
        <v>991953.61308464839</v>
      </c>
      <c r="Q238" s="18">
        <f t="shared" ca="1" si="982"/>
        <v>991953.61308464839</v>
      </c>
      <c r="R238" s="18">
        <f t="shared" ca="1" si="982"/>
        <v>991953.61308464839</v>
      </c>
      <c r="X238" s="3" t="s">
        <v>405</v>
      </c>
      <c r="Y238" t="s">
        <v>326</v>
      </c>
      <c r="AA238" s="18">
        <f t="shared" ref="AA238:AL238" ca="1" si="983">(AA110++AA114+AA124+AA137)</f>
        <v>991953.61308464839</v>
      </c>
      <c r="AB238" s="18">
        <f t="shared" ca="1" si="983"/>
        <v>991953.61308464839</v>
      </c>
      <c r="AC238" s="18">
        <f t="shared" ca="1" si="983"/>
        <v>991953.61308464839</v>
      </c>
      <c r="AD238" s="18">
        <f t="shared" ca="1" si="983"/>
        <v>991953.61308464839</v>
      </c>
      <c r="AE238" s="18">
        <f t="shared" ca="1" si="983"/>
        <v>991953.61308464839</v>
      </c>
      <c r="AF238" s="18">
        <f t="shared" ca="1" si="983"/>
        <v>991953.61308464839</v>
      </c>
      <c r="AG238" s="18">
        <f t="shared" ca="1" si="983"/>
        <v>991953.61308464839</v>
      </c>
      <c r="AH238" s="18">
        <f t="shared" ca="1" si="983"/>
        <v>991953.61308464839</v>
      </c>
      <c r="AI238" s="18">
        <f t="shared" ca="1" si="983"/>
        <v>991953.61308464839</v>
      </c>
      <c r="AJ238" s="18">
        <f t="shared" ca="1" si="983"/>
        <v>991953.61308464839</v>
      </c>
      <c r="AK238" s="18">
        <f t="shared" ca="1" si="983"/>
        <v>991953.61308464839</v>
      </c>
      <c r="AL238" s="18">
        <f t="shared" ca="1" si="983"/>
        <v>991953.61308464839</v>
      </c>
      <c r="AR238" s="3" t="s">
        <v>405</v>
      </c>
      <c r="AS238" t="s">
        <v>326</v>
      </c>
      <c r="AU238" s="18">
        <f t="shared" ref="AU238:BF238" ca="1" si="984">(AU110++AU114+AU124+AU137)</f>
        <v>991953.61308464839</v>
      </c>
      <c r="AV238" s="18">
        <f t="shared" ca="1" si="984"/>
        <v>991953.61308464839</v>
      </c>
      <c r="AW238" s="18">
        <f t="shared" ca="1" si="984"/>
        <v>991953.61308464839</v>
      </c>
      <c r="AX238" s="18">
        <f t="shared" ca="1" si="984"/>
        <v>991953.61308464839</v>
      </c>
      <c r="AY238" s="18">
        <f t="shared" ca="1" si="984"/>
        <v>991953.61308464839</v>
      </c>
      <c r="AZ238" s="18">
        <f t="shared" ca="1" si="984"/>
        <v>991953.61308464839</v>
      </c>
      <c r="BA238" s="18">
        <f t="shared" ca="1" si="984"/>
        <v>991953.61308464839</v>
      </c>
      <c r="BB238" s="18">
        <f t="shared" ca="1" si="984"/>
        <v>991953.61308464839</v>
      </c>
      <c r="BC238" s="18">
        <f t="shared" ca="1" si="984"/>
        <v>991953.61308464839</v>
      </c>
      <c r="BD238" s="18">
        <f t="shared" ca="1" si="984"/>
        <v>991953.61308464839</v>
      </c>
      <c r="BE238" s="18">
        <f t="shared" ca="1" si="984"/>
        <v>991953.61308464839</v>
      </c>
      <c r="BF238" s="18">
        <f t="shared" ca="1" si="984"/>
        <v>991953.61308464839</v>
      </c>
      <c r="BL238" s="3" t="s">
        <v>405</v>
      </c>
      <c r="BM238" t="s">
        <v>326</v>
      </c>
      <c r="BO238" s="18">
        <f t="shared" ref="BO238:BZ238" ca="1" si="985">(BO110++BO114+BO124+BO137)</f>
        <v>991953.61308464839</v>
      </c>
      <c r="BP238" s="18">
        <f t="shared" ca="1" si="985"/>
        <v>991953.61308464839</v>
      </c>
      <c r="BQ238" s="18">
        <f t="shared" ca="1" si="985"/>
        <v>991953.61308464839</v>
      </c>
      <c r="BR238" s="18">
        <f t="shared" ca="1" si="985"/>
        <v>991953.61308464839</v>
      </c>
      <c r="BS238" s="18">
        <f t="shared" ca="1" si="985"/>
        <v>991953.61308464839</v>
      </c>
      <c r="BT238" s="18">
        <f t="shared" ca="1" si="985"/>
        <v>991953.61308464839</v>
      </c>
      <c r="BU238" s="18">
        <f t="shared" ca="1" si="985"/>
        <v>991953.61308464839</v>
      </c>
      <c r="BV238" s="18">
        <f t="shared" ca="1" si="985"/>
        <v>991953.61308464839</v>
      </c>
      <c r="BW238" s="18">
        <f t="shared" ca="1" si="985"/>
        <v>991953.61308464839</v>
      </c>
      <c r="BX238" s="18">
        <f t="shared" ca="1" si="985"/>
        <v>991953.61308464839</v>
      </c>
      <c r="BY238" s="18">
        <f t="shared" ca="1" si="985"/>
        <v>991953.61308464839</v>
      </c>
      <c r="BZ238" s="18">
        <f t="shared" ca="1" si="985"/>
        <v>991953.61308464839</v>
      </c>
      <c r="CF238" s="3" t="s">
        <v>405</v>
      </c>
      <c r="CG238" t="s">
        <v>326</v>
      </c>
      <c r="CI238" s="18">
        <f t="shared" ref="CI238:CT238" ca="1" si="986">(CI110++CI114+CI124+CI137)</f>
        <v>991953.61308464839</v>
      </c>
      <c r="CJ238" s="18">
        <f t="shared" ca="1" si="986"/>
        <v>991953.61308464839</v>
      </c>
      <c r="CK238" s="18">
        <f t="shared" ca="1" si="986"/>
        <v>991953.61308464839</v>
      </c>
      <c r="CL238" s="18">
        <f t="shared" ca="1" si="986"/>
        <v>991953.61308464839</v>
      </c>
      <c r="CM238" s="18">
        <f t="shared" ca="1" si="986"/>
        <v>991953.61308464839</v>
      </c>
      <c r="CN238" s="18">
        <f t="shared" ca="1" si="986"/>
        <v>991953.61308464839</v>
      </c>
      <c r="CO238" s="18">
        <f t="shared" ca="1" si="986"/>
        <v>991953.61308464839</v>
      </c>
      <c r="CP238" s="18">
        <f t="shared" ca="1" si="986"/>
        <v>991953.61308464839</v>
      </c>
      <c r="CQ238" s="18">
        <f t="shared" ca="1" si="986"/>
        <v>991953.61308464839</v>
      </c>
      <c r="CR238" s="18">
        <f t="shared" ca="1" si="986"/>
        <v>991953.61308464839</v>
      </c>
      <c r="CS238" s="18">
        <f t="shared" ca="1" si="986"/>
        <v>991953.61308464839</v>
      </c>
      <c r="CT238" s="18">
        <f t="shared" ca="1" si="986"/>
        <v>991953.61308464839</v>
      </c>
    </row>
    <row r="239" spans="2:98" hidden="1" outlineLevel="1" x14ac:dyDescent="0.2">
      <c r="D239" s="3" t="s">
        <v>418</v>
      </c>
      <c r="G239" s="71">
        <f t="shared" ref="G239:R239" ca="1" si="987">(SUM(G230:G231)*G210+G232*G215+G233*G220)/SUM(G230:G233)</f>
        <v>0</v>
      </c>
      <c r="H239" s="71">
        <f t="shared" ca="1" si="987"/>
        <v>0</v>
      </c>
      <c r="I239" s="71">
        <f t="shared" ca="1" si="987"/>
        <v>0</v>
      </c>
      <c r="J239" s="71">
        <f t="shared" ca="1" si="987"/>
        <v>0</v>
      </c>
      <c r="K239" s="71">
        <f t="shared" ca="1" si="987"/>
        <v>0</v>
      </c>
      <c r="L239" s="71">
        <f t="shared" ca="1" si="987"/>
        <v>0</v>
      </c>
      <c r="M239" s="71">
        <f t="shared" ca="1" si="987"/>
        <v>0</v>
      </c>
      <c r="N239" s="71">
        <f t="shared" ca="1" si="987"/>
        <v>0</v>
      </c>
      <c r="O239" s="71">
        <f t="shared" ca="1" si="987"/>
        <v>0</v>
      </c>
      <c r="P239" s="71">
        <f t="shared" ca="1" si="987"/>
        <v>0</v>
      </c>
      <c r="Q239" s="71">
        <f t="shared" ca="1" si="987"/>
        <v>0</v>
      </c>
      <c r="R239" s="71">
        <f t="shared" ca="1" si="987"/>
        <v>0</v>
      </c>
      <c r="X239" s="3" t="s">
        <v>418</v>
      </c>
      <c r="AA239" s="71">
        <f t="shared" ref="AA239:AL239" ca="1" si="988">(SUM(AA230:AA231)*AA210+AA232*AA215+AA233*AA220)/SUM(AA230:AA233)</f>
        <v>0</v>
      </c>
      <c r="AB239" s="71">
        <f t="shared" ca="1" si="988"/>
        <v>0</v>
      </c>
      <c r="AC239" s="71">
        <f t="shared" ca="1" si="988"/>
        <v>0</v>
      </c>
      <c r="AD239" s="71">
        <f t="shared" ca="1" si="988"/>
        <v>0</v>
      </c>
      <c r="AE239" s="71">
        <f t="shared" ca="1" si="988"/>
        <v>0</v>
      </c>
      <c r="AF239" s="71">
        <f t="shared" ca="1" si="988"/>
        <v>0</v>
      </c>
      <c r="AG239" s="71">
        <f t="shared" ca="1" si="988"/>
        <v>0</v>
      </c>
      <c r="AH239" s="71">
        <f t="shared" ca="1" si="988"/>
        <v>0</v>
      </c>
      <c r="AI239" s="71">
        <f t="shared" ca="1" si="988"/>
        <v>0</v>
      </c>
      <c r="AJ239" s="71">
        <f t="shared" ca="1" si="988"/>
        <v>0</v>
      </c>
      <c r="AK239" s="71">
        <f t="shared" ca="1" si="988"/>
        <v>0</v>
      </c>
      <c r="AL239" s="71">
        <f t="shared" ca="1" si="988"/>
        <v>0</v>
      </c>
      <c r="AR239" s="3" t="s">
        <v>418</v>
      </c>
      <c r="AU239" s="71">
        <f t="shared" ref="AU239:BF239" ca="1" si="989">(SUM(AU230:AU231)*AU210+AU232*AU215+AU233*AU220)/SUM(AU230:AU233)</f>
        <v>0</v>
      </c>
      <c r="AV239" s="71">
        <f t="shared" ca="1" si="989"/>
        <v>0</v>
      </c>
      <c r="AW239" s="71">
        <f t="shared" ca="1" si="989"/>
        <v>0</v>
      </c>
      <c r="AX239" s="71">
        <f t="shared" ca="1" si="989"/>
        <v>0</v>
      </c>
      <c r="AY239" s="71">
        <f t="shared" ca="1" si="989"/>
        <v>0</v>
      </c>
      <c r="AZ239" s="71">
        <f t="shared" ca="1" si="989"/>
        <v>0</v>
      </c>
      <c r="BA239" s="71">
        <f t="shared" ca="1" si="989"/>
        <v>0</v>
      </c>
      <c r="BB239" s="71">
        <f t="shared" ca="1" si="989"/>
        <v>0</v>
      </c>
      <c r="BC239" s="71">
        <f t="shared" ca="1" si="989"/>
        <v>0</v>
      </c>
      <c r="BD239" s="71">
        <f t="shared" ca="1" si="989"/>
        <v>0</v>
      </c>
      <c r="BE239" s="71">
        <f t="shared" ca="1" si="989"/>
        <v>0</v>
      </c>
      <c r="BF239" s="71">
        <f t="shared" ca="1" si="989"/>
        <v>0</v>
      </c>
      <c r="BL239" s="3" t="s">
        <v>418</v>
      </c>
      <c r="BO239" s="71">
        <f t="shared" ref="BO239:BZ239" ca="1" si="990">(SUM(BO230:BO231)*BO210+BO232*BO215+BO233*BO220)/SUM(BO230:BO233)</f>
        <v>0</v>
      </c>
      <c r="BP239" s="71">
        <f t="shared" ca="1" si="990"/>
        <v>0</v>
      </c>
      <c r="BQ239" s="71">
        <f t="shared" ca="1" si="990"/>
        <v>0</v>
      </c>
      <c r="BR239" s="71">
        <f t="shared" ca="1" si="990"/>
        <v>0</v>
      </c>
      <c r="BS239" s="71">
        <f t="shared" ca="1" si="990"/>
        <v>0</v>
      </c>
      <c r="BT239" s="71">
        <f t="shared" ca="1" si="990"/>
        <v>0</v>
      </c>
      <c r="BU239" s="71">
        <f t="shared" ca="1" si="990"/>
        <v>0</v>
      </c>
      <c r="BV239" s="71">
        <f t="shared" ca="1" si="990"/>
        <v>0</v>
      </c>
      <c r="BW239" s="71">
        <f t="shared" ca="1" si="990"/>
        <v>0</v>
      </c>
      <c r="BX239" s="71">
        <f t="shared" ca="1" si="990"/>
        <v>0</v>
      </c>
      <c r="BY239" s="71">
        <f t="shared" ca="1" si="990"/>
        <v>0</v>
      </c>
      <c r="BZ239" s="71">
        <f t="shared" ca="1" si="990"/>
        <v>0</v>
      </c>
      <c r="CF239" s="3" t="s">
        <v>418</v>
      </c>
      <c r="CI239" s="71">
        <f t="shared" ref="CI239:CT239" ca="1" si="991">(SUM(CI230:CI231)*CI210+CI232*CI215+CI233*CI220)/SUM(CI230:CI233)</f>
        <v>0</v>
      </c>
      <c r="CJ239" s="71">
        <f t="shared" ca="1" si="991"/>
        <v>0</v>
      </c>
      <c r="CK239" s="71">
        <f t="shared" ca="1" si="991"/>
        <v>0</v>
      </c>
      <c r="CL239" s="71">
        <f t="shared" ca="1" si="991"/>
        <v>0</v>
      </c>
      <c r="CM239" s="71">
        <f t="shared" ca="1" si="991"/>
        <v>0</v>
      </c>
      <c r="CN239" s="71">
        <f t="shared" ca="1" si="991"/>
        <v>0</v>
      </c>
      <c r="CO239" s="71">
        <f t="shared" ca="1" si="991"/>
        <v>0</v>
      </c>
      <c r="CP239" s="71">
        <f t="shared" ca="1" si="991"/>
        <v>0</v>
      </c>
      <c r="CQ239" s="71">
        <f t="shared" ca="1" si="991"/>
        <v>0</v>
      </c>
      <c r="CR239" s="71">
        <f t="shared" ca="1" si="991"/>
        <v>0</v>
      </c>
      <c r="CS239" s="71">
        <f t="shared" ca="1" si="991"/>
        <v>0</v>
      </c>
      <c r="CT239" s="71">
        <f t="shared" ca="1" si="991"/>
        <v>0</v>
      </c>
    </row>
    <row r="240" spans="2:98" hidden="1" outlineLevel="1" x14ac:dyDescent="0.2">
      <c r="D240" s="3"/>
      <c r="G240" s="71"/>
      <c r="H240" s="71"/>
      <c r="I240" s="71"/>
      <c r="J240" s="71"/>
      <c r="K240" s="71"/>
      <c r="L240" s="71"/>
      <c r="M240" s="71"/>
      <c r="N240" s="71"/>
      <c r="O240" s="71"/>
      <c r="P240" s="71"/>
      <c r="Q240" s="71"/>
      <c r="R240" s="71"/>
      <c r="X240" s="3"/>
      <c r="AA240" s="71"/>
      <c r="AB240" s="71"/>
      <c r="AC240" s="71"/>
      <c r="AD240" s="71"/>
      <c r="AE240" s="71"/>
      <c r="AF240" s="71"/>
      <c r="AG240" s="71"/>
      <c r="AH240" s="71"/>
      <c r="AI240" s="71"/>
      <c r="AJ240" s="71"/>
      <c r="AK240" s="71"/>
      <c r="AL240" s="71"/>
      <c r="AR240" s="3"/>
      <c r="AU240" s="71"/>
      <c r="AV240" s="71"/>
      <c r="AW240" s="71"/>
      <c r="AX240" s="71"/>
      <c r="AY240" s="71"/>
      <c r="AZ240" s="71"/>
      <c r="BA240" s="71"/>
      <c r="BB240" s="71"/>
      <c r="BC240" s="71"/>
      <c r="BD240" s="71"/>
      <c r="BE240" s="71"/>
      <c r="BF240" s="71"/>
      <c r="BL240" s="3"/>
      <c r="BO240" s="71"/>
      <c r="BP240" s="71"/>
      <c r="BQ240" s="71"/>
      <c r="BR240" s="71"/>
      <c r="BS240" s="71"/>
      <c r="BT240" s="71"/>
      <c r="BU240" s="71"/>
      <c r="BV240" s="71"/>
      <c r="BW240" s="71"/>
      <c r="BX240" s="71"/>
      <c r="BY240" s="71"/>
      <c r="BZ240" s="71"/>
      <c r="CF240" s="3"/>
      <c r="CI240" s="71"/>
      <c r="CJ240" s="71"/>
      <c r="CK240" s="71"/>
      <c r="CL240" s="71"/>
      <c r="CM240" s="71"/>
      <c r="CN240" s="71"/>
      <c r="CO240" s="71"/>
      <c r="CP240" s="71"/>
      <c r="CQ240" s="71"/>
      <c r="CR240" s="71"/>
      <c r="CS240" s="71"/>
      <c r="CT240" s="71"/>
    </row>
    <row r="241" spans="1:100" collapsed="1" x14ac:dyDescent="0.2">
      <c r="F241" s="18"/>
      <c r="G241" s="18"/>
      <c r="H241" s="18"/>
      <c r="I241" s="25"/>
      <c r="Z241" s="18"/>
      <c r="AA241" s="18"/>
      <c r="AB241" s="18"/>
      <c r="AC241" s="25"/>
      <c r="AT241" s="18"/>
      <c r="AU241" s="18"/>
      <c r="AV241" s="18"/>
      <c r="AW241" s="25"/>
      <c r="BN241" s="18"/>
      <c r="BO241" s="18"/>
      <c r="BP241" s="18"/>
      <c r="BQ241" s="25"/>
      <c r="CH241" s="18"/>
      <c r="CI241" s="18"/>
      <c r="CJ241" s="18"/>
      <c r="CK241" s="25"/>
    </row>
    <row r="242" spans="1:100" s="4" customFormat="1" x14ac:dyDescent="0.2">
      <c r="B242" s="280" t="s">
        <v>254</v>
      </c>
      <c r="C242" s="280"/>
      <c r="F242" s="281"/>
      <c r="Z242" s="281"/>
      <c r="AT242" s="281"/>
      <c r="BN242" s="281"/>
      <c r="CH242" s="281"/>
    </row>
    <row r="243" spans="1:100" s="266" customFormat="1" hidden="1" outlineLevel="1" x14ac:dyDescent="0.2">
      <c r="D243" s="316" t="s">
        <v>419</v>
      </c>
      <c r="E243" s="266" t="s">
        <v>256</v>
      </c>
      <c r="F243" s="282"/>
      <c r="G243" s="317">
        <f ca="1">G177/G244*G246/G247</f>
        <v>23.468662783453922</v>
      </c>
      <c r="H243" s="317">
        <f t="shared" ref="H243:R243" ca="1" si="992">H177/H244*H246/H247</f>
        <v>23.468662783453922</v>
      </c>
      <c r="I243" s="317">
        <f t="shared" ca="1" si="992"/>
        <v>23.468662783453922</v>
      </c>
      <c r="J243" s="317">
        <f t="shared" ca="1" si="992"/>
        <v>23.468662783453922</v>
      </c>
      <c r="K243" s="317">
        <f t="shared" ca="1" si="992"/>
        <v>23.468662783453922</v>
      </c>
      <c r="L243" s="317">
        <f t="shared" ca="1" si="992"/>
        <v>23.468662783453922</v>
      </c>
      <c r="M243" s="317">
        <f t="shared" ca="1" si="992"/>
        <v>23.468662783453922</v>
      </c>
      <c r="N243" s="317">
        <f t="shared" ca="1" si="992"/>
        <v>23.468662783453922</v>
      </c>
      <c r="O243" s="317">
        <f t="shared" ca="1" si="992"/>
        <v>23.468662783453922</v>
      </c>
      <c r="P243" s="317">
        <f t="shared" ca="1" si="992"/>
        <v>23.468662783453922</v>
      </c>
      <c r="Q243" s="317">
        <f t="shared" ca="1" si="992"/>
        <v>23.468662783453922</v>
      </c>
      <c r="R243" s="317">
        <f t="shared" ca="1" si="992"/>
        <v>23.468662783453922</v>
      </c>
      <c r="X243" s="316" t="s">
        <v>419</v>
      </c>
      <c r="Y243" s="266" t="s">
        <v>256</v>
      </c>
      <c r="Z243" s="282"/>
      <c r="AA243" s="317">
        <f t="shared" ref="AA243:AL243" ca="1" si="993">AA177/AA244*AA246/AA247</f>
        <v>24.429660022149903</v>
      </c>
      <c r="AB243" s="317">
        <f t="shared" ca="1" si="993"/>
        <v>24.362354949972087</v>
      </c>
      <c r="AC243" s="317">
        <f t="shared" ca="1" si="993"/>
        <v>24.315531594063081</v>
      </c>
      <c r="AD243" s="317">
        <f t="shared" ca="1" si="993"/>
        <v>24.282957129945586</v>
      </c>
      <c r="AE243" s="317">
        <f t="shared" ca="1" si="993"/>
        <v>24.260295454122872</v>
      </c>
      <c r="AF243" s="317">
        <f t="shared" ca="1" si="993"/>
        <v>24.244529989824166</v>
      </c>
      <c r="AG243" s="317">
        <f t="shared" ca="1" si="993"/>
        <v>24.23356213967493</v>
      </c>
      <c r="AH243" s="317">
        <f t="shared" ca="1" si="993"/>
        <v>24.23356213967493</v>
      </c>
      <c r="AI243" s="317">
        <f t="shared" ca="1" si="993"/>
        <v>24.23356213967493</v>
      </c>
      <c r="AJ243" s="317">
        <f t="shared" ca="1" si="993"/>
        <v>24.23356213967493</v>
      </c>
      <c r="AK243" s="317">
        <f t="shared" ca="1" si="993"/>
        <v>24.23356213967493</v>
      </c>
      <c r="AL243" s="317">
        <f t="shared" ca="1" si="993"/>
        <v>24.23356213967493</v>
      </c>
      <c r="AR243" s="316" t="s">
        <v>419</v>
      </c>
      <c r="AS243" s="266" t="s">
        <v>256</v>
      </c>
      <c r="AT243" s="282"/>
      <c r="AU243" s="317">
        <f t="shared" ref="AU243:BF243" ca="1" si="994">AU177/AU244*AU246/AU247</f>
        <v>1.4197476854431896</v>
      </c>
      <c r="AV243" s="317">
        <f t="shared" ca="1" si="994"/>
        <v>1.2274076209802296</v>
      </c>
      <c r="AW243" s="317">
        <f t="shared" ca="1" si="994"/>
        <v>1.0833529958996746</v>
      </c>
      <c r="AX243" s="317">
        <f t="shared" ca="1" si="994"/>
        <v>0.8755641874483423</v>
      </c>
      <c r="AY243" s="317">
        <f t="shared" ca="1" si="994"/>
        <v>0.79076145887996263</v>
      </c>
      <c r="AZ243" s="317">
        <f t="shared" ca="1" si="994"/>
        <v>0.70413548629907863</v>
      </c>
      <c r="BA243" s="317">
        <f t="shared" ca="1" si="994"/>
        <v>0.62407729478418961</v>
      </c>
      <c r="BB243" s="317">
        <f t="shared" ca="1" si="994"/>
        <v>0.62407729478418961</v>
      </c>
      <c r="BC243" s="317">
        <f t="shared" ca="1" si="994"/>
        <v>0.62407729478418961</v>
      </c>
      <c r="BD243" s="317">
        <f t="shared" ca="1" si="994"/>
        <v>0.62407729478418961</v>
      </c>
      <c r="BE243" s="317">
        <f t="shared" ca="1" si="994"/>
        <v>0.62407729478418961</v>
      </c>
      <c r="BF243" s="317">
        <f t="shared" ca="1" si="994"/>
        <v>0.62407729478418961</v>
      </c>
      <c r="BL243" s="316" t="s">
        <v>419</v>
      </c>
      <c r="BM243" s="266" t="s">
        <v>256</v>
      </c>
      <c r="BN243" s="282"/>
      <c r="BO243" s="317">
        <f t="shared" ref="BO243:BZ243" ca="1" si="995">BO177/BO244*BO246/BO247</f>
        <v>6.0829573072531167</v>
      </c>
      <c r="BP243" s="317">
        <f t="shared" ca="1" si="995"/>
        <v>5.6508757857034189</v>
      </c>
      <c r="BQ243" s="317">
        <f t="shared" ca="1" si="995"/>
        <v>5.2728390558493672</v>
      </c>
      <c r="BR243" s="317">
        <f t="shared" ca="1" si="995"/>
        <v>4.8458754823983785</v>
      </c>
      <c r="BS243" s="317">
        <f t="shared" ca="1" si="995"/>
        <v>4.5466692230320067</v>
      </c>
      <c r="BT243" s="317">
        <f t="shared" ca="1" si="995"/>
        <v>4.2550890278591424</v>
      </c>
      <c r="BU243" s="317">
        <f t="shared" ca="1" si="995"/>
        <v>3.9620175526593493</v>
      </c>
      <c r="BV243" s="317">
        <f t="shared" ca="1" si="995"/>
        <v>3.9620175526593493</v>
      </c>
      <c r="BW243" s="317">
        <f t="shared" ca="1" si="995"/>
        <v>3.9620175526593493</v>
      </c>
      <c r="BX243" s="317">
        <f t="shared" ca="1" si="995"/>
        <v>3.9620175526593493</v>
      </c>
      <c r="BY243" s="317">
        <f t="shared" ca="1" si="995"/>
        <v>3.9620175526593493</v>
      </c>
      <c r="BZ243" s="317">
        <f t="shared" ca="1" si="995"/>
        <v>3.9620175526593493</v>
      </c>
      <c r="CF243" s="316" t="s">
        <v>419</v>
      </c>
      <c r="CG243" s="266" t="s">
        <v>256</v>
      </c>
      <c r="CH243" s="282"/>
      <c r="CI243" s="317">
        <f t="shared" ref="CI243:CT243" ca="1" si="996">CI177/CI244*CI246/CI247</f>
        <v>3.464574610665498</v>
      </c>
      <c r="CJ243" s="317">
        <f t="shared" ca="1" si="996"/>
        <v>2.8621140304176782</v>
      </c>
      <c r="CK243" s="317">
        <f t="shared" ca="1" si="996"/>
        <v>2.3181778149010954</v>
      </c>
      <c r="CL243" s="317">
        <f t="shared" ca="1" si="996"/>
        <v>1.7285055553352253</v>
      </c>
      <c r="CM243" s="317">
        <f t="shared" ca="1" si="996"/>
        <v>1.2688104119880375</v>
      </c>
      <c r="CN243" s="317">
        <f t="shared" ca="1" si="996"/>
        <v>0.8182856233611796</v>
      </c>
      <c r="CO243" s="317">
        <f t="shared" ca="1" si="996"/>
        <v>0.36734389966571263</v>
      </c>
      <c r="CP243" s="317">
        <f t="shared" ca="1" si="996"/>
        <v>0.36734389966571263</v>
      </c>
      <c r="CQ243" s="317">
        <f t="shared" ca="1" si="996"/>
        <v>0.36734389966571263</v>
      </c>
      <c r="CR243" s="317">
        <f t="shared" ca="1" si="996"/>
        <v>0.36734389966571263</v>
      </c>
      <c r="CS243" s="317">
        <f t="shared" ca="1" si="996"/>
        <v>0.36734389966571263</v>
      </c>
      <c r="CT243" s="317">
        <f t="shared" ca="1" si="996"/>
        <v>0.36734389966571263</v>
      </c>
    </row>
    <row r="244" spans="1:100" hidden="1" outlineLevel="1" x14ac:dyDescent="0.2">
      <c r="D244" s="285" t="s">
        <v>416</v>
      </c>
      <c r="E244" s="266" t="s">
        <v>420</v>
      </c>
      <c r="F244" s="282"/>
      <c r="G244" s="283">
        <f>G249*G248*24*G245*G246/10^6</f>
        <v>3357.6975360000001</v>
      </c>
      <c r="H244" s="283">
        <f t="shared" ref="H244:R244" si="997">H249*H248*24*H245*H246/10^6</f>
        <v>3357.6975360000001</v>
      </c>
      <c r="I244" s="283">
        <f t="shared" si="997"/>
        <v>3357.6975360000001</v>
      </c>
      <c r="J244" s="283">
        <f t="shared" si="997"/>
        <v>3357.6975360000001</v>
      </c>
      <c r="K244" s="283">
        <f t="shared" si="997"/>
        <v>3357.6975360000001</v>
      </c>
      <c r="L244" s="283">
        <f t="shared" si="997"/>
        <v>3357.6975360000001</v>
      </c>
      <c r="M244" s="283">
        <f t="shared" si="997"/>
        <v>3357.6975360000001</v>
      </c>
      <c r="N244" s="283">
        <f t="shared" si="997"/>
        <v>3357.6975360000001</v>
      </c>
      <c r="O244" s="283">
        <f t="shared" si="997"/>
        <v>3357.6975360000001</v>
      </c>
      <c r="P244" s="283">
        <f t="shared" si="997"/>
        <v>3357.6975360000001</v>
      </c>
      <c r="Q244" s="283">
        <f t="shared" si="997"/>
        <v>3357.6975360000001</v>
      </c>
      <c r="R244" s="283">
        <f t="shared" si="997"/>
        <v>3357.6975360000001</v>
      </c>
      <c r="X244" s="285" t="s">
        <v>416</v>
      </c>
      <c r="Y244" s="266" t="s">
        <v>420</v>
      </c>
      <c r="Z244" s="282"/>
      <c r="AA244" s="283">
        <f>AA249*AA248*24*AA245*AA246/10^6</f>
        <v>3357.6975360000001</v>
      </c>
      <c r="AB244" s="283">
        <f t="shared" ref="AB244:AL244" si="998">AB249*AB248*24*AB245*AB246/10^6</f>
        <v>3357.6975360000001</v>
      </c>
      <c r="AC244" s="283">
        <f t="shared" si="998"/>
        <v>3357.6975360000001</v>
      </c>
      <c r="AD244" s="283">
        <f t="shared" si="998"/>
        <v>3357.6975360000001</v>
      </c>
      <c r="AE244" s="283">
        <f t="shared" si="998"/>
        <v>3357.6975360000001</v>
      </c>
      <c r="AF244" s="283">
        <f t="shared" si="998"/>
        <v>3357.6975360000001</v>
      </c>
      <c r="AG244" s="283">
        <f t="shared" si="998"/>
        <v>3357.6975360000001</v>
      </c>
      <c r="AH244" s="283">
        <f t="shared" si="998"/>
        <v>3357.6975360000001</v>
      </c>
      <c r="AI244" s="283">
        <f t="shared" si="998"/>
        <v>3357.6975360000001</v>
      </c>
      <c r="AJ244" s="283">
        <f t="shared" si="998"/>
        <v>3357.6975360000001</v>
      </c>
      <c r="AK244" s="283">
        <f t="shared" si="998"/>
        <v>3357.6975360000001</v>
      </c>
      <c r="AL244" s="283">
        <f t="shared" si="998"/>
        <v>3357.6975360000001</v>
      </c>
      <c r="AR244" s="285" t="s">
        <v>416</v>
      </c>
      <c r="AS244" s="266" t="s">
        <v>420</v>
      </c>
      <c r="AT244" s="282"/>
      <c r="AU244" s="283">
        <f>AU249*AU248*24*AU245*AU246/10^6</f>
        <v>3357.6975360000001</v>
      </c>
      <c r="AV244" s="283">
        <f t="shared" ref="AV244:BF244" si="999">AV249*AV248*24*AV245*AV246/10^6</f>
        <v>3357.6975360000001</v>
      </c>
      <c r="AW244" s="283">
        <f t="shared" si="999"/>
        <v>3357.6975360000001</v>
      </c>
      <c r="AX244" s="283">
        <f t="shared" si="999"/>
        <v>3357.6975360000001</v>
      </c>
      <c r="AY244" s="283">
        <f t="shared" si="999"/>
        <v>3357.6975360000001</v>
      </c>
      <c r="AZ244" s="283">
        <f t="shared" si="999"/>
        <v>3357.6975360000001</v>
      </c>
      <c r="BA244" s="283">
        <f t="shared" si="999"/>
        <v>3357.6975360000001</v>
      </c>
      <c r="BB244" s="283">
        <f t="shared" si="999"/>
        <v>3357.6975360000001</v>
      </c>
      <c r="BC244" s="283">
        <f t="shared" si="999"/>
        <v>3357.6975360000001</v>
      </c>
      <c r="BD244" s="283">
        <f t="shared" si="999"/>
        <v>3357.6975360000001</v>
      </c>
      <c r="BE244" s="283">
        <f t="shared" si="999"/>
        <v>3357.6975360000001</v>
      </c>
      <c r="BF244" s="283">
        <f t="shared" si="999"/>
        <v>3357.6975360000001</v>
      </c>
      <c r="BL244" s="285" t="s">
        <v>416</v>
      </c>
      <c r="BM244" s="266" t="s">
        <v>420</v>
      </c>
      <c r="BN244" s="282"/>
      <c r="BO244" s="283">
        <f>BO249*BO248*24*BO245*BO246/10^6</f>
        <v>3357.6975360000001</v>
      </c>
      <c r="BP244" s="283">
        <f t="shared" ref="BP244:BZ244" si="1000">BP249*BP248*24*BP245*BP246/10^6</f>
        <v>3357.6975360000001</v>
      </c>
      <c r="BQ244" s="283">
        <f t="shared" si="1000"/>
        <v>3357.6975360000001</v>
      </c>
      <c r="BR244" s="283">
        <f t="shared" si="1000"/>
        <v>3357.6975360000001</v>
      </c>
      <c r="BS244" s="283">
        <f t="shared" si="1000"/>
        <v>3357.6975360000001</v>
      </c>
      <c r="BT244" s="283">
        <f t="shared" si="1000"/>
        <v>3357.6975360000001</v>
      </c>
      <c r="BU244" s="283">
        <f t="shared" si="1000"/>
        <v>3357.6975360000001</v>
      </c>
      <c r="BV244" s="283">
        <f t="shared" si="1000"/>
        <v>3357.6975360000001</v>
      </c>
      <c r="BW244" s="283">
        <f t="shared" si="1000"/>
        <v>3357.6975360000001</v>
      </c>
      <c r="BX244" s="283">
        <f t="shared" si="1000"/>
        <v>3357.6975360000001</v>
      </c>
      <c r="BY244" s="283">
        <f t="shared" si="1000"/>
        <v>3357.6975360000001</v>
      </c>
      <c r="BZ244" s="283">
        <f t="shared" si="1000"/>
        <v>3357.6975360000001</v>
      </c>
      <c r="CF244" s="285" t="s">
        <v>416</v>
      </c>
      <c r="CG244" s="266" t="s">
        <v>420</v>
      </c>
      <c r="CH244" s="282"/>
      <c r="CI244" s="283">
        <f>CI249*CI248*24*CI245*CI246/10^6</f>
        <v>3357.6975360000001</v>
      </c>
      <c r="CJ244" s="283">
        <f t="shared" ref="CJ244:CT244" si="1001">CJ249*CJ248*24*CJ245*CJ246/10^6</f>
        <v>3357.6975360000001</v>
      </c>
      <c r="CK244" s="283">
        <f t="shared" si="1001"/>
        <v>3357.6975360000001</v>
      </c>
      <c r="CL244" s="283">
        <f t="shared" si="1001"/>
        <v>3357.6975360000001</v>
      </c>
      <c r="CM244" s="283">
        <f t="shared" si="1001"/>
        <v>3357.6975360000001</v>
      </c>
      <c r="CN244" s="283">
        <f t="shared" si="1001"/>
        <v>3357.6975360000001</v>
      </c>
      <c r="CO244" s="283">
        <f t="shared" si="1001"/>
        <v>3357.6975360000001</v>
      </c>
      <c r="CP244" s="283">
        <f t="shared" si="1001"/>
        <v>3357.6975360000001</v>
      </c>
      <c r="CQ244" s="283">
        <f t="shared" si="1001"/>
        <v>3357.6975360000001</v>
      </c>
      <c r="CR244" s="283">
        <f t="shared" si="1001"/>
        <v>3357.6975360000001</v>
      </c>
      <c r="CS244" s="283">
        <f t="shared" si="1001"/>
        <v>3357.6975360000001</v>
      </c>
      <c r="CT244" s="283">
        <f t="shared" si="1001"/>
        <v>3357.6975360000001</v>
      </c>
    </row>
    <row r="245" spans="1:100" hidden="1" outlineLevel="1" x14ac:dyDescent="0.2">
      <c r="D245" s="12" t="s">
        <v>421</v>
      </c>
      <c r="E245" t="s">
        <v>422</v>
      </c>
      <c r="G245" s="22">
        <f>INDEX('Vessel Profiles - Input'!$C:$L,MATCH($D245&amp;keydelim&amp;G$10,'Vessel Profiles - Input'!$C:$C,0),MATCH(G$9,'Vessel Profiles - Input'!$C$3:$L$3,0))</f>
        <v>53975.333333333336</v>
      </c>
      <c r="H245" s="22">
        <f>INDEX('Vessel Profiles - Input'!$C:$L,MATCH($D245&amp;keydelim&amp;H$10,'Vessel Profiles - Input'!$C:$C,0),MATCH(H$9,'Vessel Profiles - Input'!$C$3:$L$3,0))</f>
        <v>53975.333333333336</v>
      </c>
      <c r="I245" s="22">
        <f>INDEX('Vessel Profiles - Input'!$C:$L,MATCH($D245&amp;keydelim&amp;I$10,'Vessel Profiles - Input'!$C:$C,0),MATCH(I$9,'Vessel Profiles - Input'!$C$3:$L$3,0))</f>
        <v>53975.333333333336</v>
      </c>
      <c r="J245" s="22">
        <f>INDEX('Vessel Profiles - Input'!$C:$L,MATCH($D245&amp;keydelim&amp;J$10,'Vessel Profiles - Input'!$C:$C,0),MATCH(J$9,'Vessel Profiles - Input'!$C$3:$L$3,0))</f>
        <v>53975.333333333336</v>
      </c>
      <c r="K245" s="22">
        <f>INDEX('Vessel Profiles - Input'!$C:$L,MATCH($D245&amp;keydelim&amp;K$10,'Vessel Profiles - Input'!$C:$C,0),MATCH(K$9,'Vessel Profiles - Input'!$C$3:$L$3,0))</f>
        <v>53975.333333333336</v>
      </c>
      <c r="L245" s="22">
        <f>INDEX('Vessel Profiles - Input'!$C:$L,MATCH($D245&amp;keydelim&amp;L$10,'Vessel Profiles - Input'!$C:$C,0),MATCH(L$9,'Vessel Profiles - Input'!$C$3:$L$3,0))</f>
        <v>53975.333333333336</v>
      </c>
      <c r="M245" s="22">
        <f>INDEX('Vessel Profiles - Input'!$C:$L,MATCH($D245&amp;keydelim&amp;M$10,'Vessel Profiles - Input'!$C:$C,0),MATCH(M$9,'Vessel Profiles - Input'!$C$3:$L$3,0))</f>
        <v>53975.333333333336</v>
      </c>
      <c r="N245" s="22">
        <f>INDEX('Vessel Profiles - Input'!$C:$L,MATCH($D245&amp;keydelim&amp;N$10,'Vessel Profiles - Input'!$C:$C,0),MATCH(N$9,'Vessel Profiles - Input'!$C$3:$L$3,0))</f>
        <v>53975.333333333336</v>
      </c>
      <c r="O245" s="22">
        <f>INDEX('Vessel Profiles - Input'!$C:$L,MATCH($D245&amp;keydelim&amp;O$10,'Vessel Profiles - Input'!$C:$C,0),MATCH(O$9,'Vessel Profiles - Input'!$C$3:$L$3,0))</f>
        <v>53975.333333333336</v>
      </c>
      <c r="P245" s="22">
        <f>INDEX('Vessel Profiles - Input'!$C:$L,MATCH($D245&amp;keydelim&amp;P$10,'Vessel Profiles - Input'!$C:$C,0),MATCH(P$9,'Vessel Profiles - Input'!$C$3:$L$3,0))</f>
        <v>53975.333333333336</v>
      </c>
      <c r="Q245" s="22">
        <f>INDEX('Vessel Profiles - Input'!$C:$L,MATCH($D245&amp;keydelim&amp;Q$10,'Vessel Profiles - Input'!$C:$C,0),MATCH(Q$9,'Vessel Profiles - Input'!$C$3:$L$3,0))</f>
        <v>53975.333333333336</v>
      </c>
      <c r="R245" s="22">
        <f>INDEX('Vessel Profiles - Input'!$C:$L,MATCH($D245&amp;keydelim&amp;R$10,'Vessel Profiles - Input'!$C:$C,0),MATCH(R$9,'Vessel Profiles - Input'!$C$3:$L$3,0))</f>
        <v>53975.333333333336</v>
      </c>
      <c r="X245" s="12" t="s">
        <v>421</v>
      </c>
      <c r="Y245" t="s">
        <v>422</v>
      </c>
      <c r="AA245" s="22">
        <f>INDEX('Vessel Profiles - Input'!$C:$L,MATCH($D245&amp;keydelim&amp;AA$10,'Vessel Profiles - Input'!$C:$C,0),MATCH(AA$9,'Vessel Profiles - Input'!$C$3:$L$3,0))</f>
        <v>53975.333333333336</v>
      </c>
      <c r="AB245" s="22">
        <f>INDEX('Vessel Profiles - Input'!$C:$L,MATCH($D245&amp;keydelim&amp;AB$10,'Vessel Profiles - Input'!$C:$C,0),MATCH(AB$9,'Vessel Profiles - Input'!$C$3:$L$3,0))</f>
        <v>53975.333333333336</v>
      </c>
      <c r="AC245" s="22">
        <f>INDEX('Vessel Profiles - Input'!$C:$L,MATCH($D245&amp;keydelim&amp;AC$10,'Vessel Profiles - Input'!$C:$C,0),MATCH(AC$9,'Vessel Profiles - Input'!$C$3:$L$3,0))</f>
        <v>53975.333333333336</v>
      </c>
      <c r="AD245" s="22">
        <f>INDEX('Vessel Profiles - Input'!$C:$L,MATCH($D245&amp;keydelim&amp;AD$10,'Vessel Profiles - Input'!$C:$C,0),MATCH(AD$9,'Vessel Profiles - Input'!$C$3:$L$3,0))</f>
        <v>53975.333333333336</v>
      </c>
      <c r="AE245" s="22">
        <f>INDEX('Vessel Profiles - Input'!$C:$L,MATCH($D245&amp;keydelim&amp;AE$10,'Vessel Profiles - Input'!$C:$C,0),MATCH(AE$9,'Vessel Profiles - Input'!$C$3:$L$3,0))</f>
        <v>53975.333333333336</v>
      </c>
      <c r="AF245" s="22">
        <f>INDEX('Vessel Profiles - Input'!$C:$L,MATCH($D245&amp;keydelim&amp;AF$10,'Vessel Profiles - Input'!$C:$C,0),MATCH(AF$9,'Vessel Profiles - Input'!$C$3:$L$3,0))</f>
        <v>53975.333333333336</v>
      </c>
      <c r="AG245" s="22">
        <f>INDEX('Vessel Profiles - Input'!$C:$L,MATCH($D245&amp;keydelim&amp;AG$10,'Vessel Profiles - Input'!$C:$C,0),MATCH(AG$9,'Vessel Profiles - Input'!$C$3:$L$3,0))</f>
        <v>53975.333333333336</v>
      </c>
      <c r="AH245" s="22">
        <f>INDEX('Vessel Profiles - Input'!$C:$L,MATCH($D245&amp;keydelim&amp;AH$10,'Vessel Profiles - Input'!$C:$C,0),MATCH(AH$9,'Vessel Profiles - Input'!$C$3:$L$3,0))</f>
        <v>53975.333333333336</v>
      </c>
      <c r="AI245" s="22">
        <f>INDEX('Vessel Profiles - Input'!$C:$L,MATCH($D245&amp;keydelim&amp;AI$10,'Vessel Profiles - Input'!$C:$C,0),MATCH(AI$9,'Vessel Profiles - Input'!$C$3:$L$3,0))</f>
        <v>53975.333333333336</v>
      </c>
      <c r="AJ245" s="22">
        <f>INDEX('Vessel Profiles - Input'!$C:$L,MATCH($D245&amp;keydelim&amp;AJ$10,'Vessel Profiles - Input'!$C:$C,0),MATCH(AJ$9,'Vessel Profiles - Input'!$C$3:$L$3,0))</f>
        <v>53975.333333333336</v>
      </c>
      <c r="AK245" s="22">
        <f>INDEX('Vessel Profiles - Input'!$C:$L,MATCH($D245&amp;keydelim&amp;AK$10,'Vessel Profiles - Input'!$C:$C,0),MATCH(AK$9,'Vessel Profiles - Input'!$C$3:$L$3,0))</f>
        <v>53975.333333333336</v>
      </c>
      <c r="AL245" s="22">
        <f>INDEX('Vessel Profiles - Input'!$C:$L,MATCH($D245&amp;keydelim&amp;AL$10,'Vessel Profiles - Input'!$C:$C,0),MATCH(AL$9,'Vessel Profiles - Input'!$C$3:$L$3,0))</f>
        <v>53975.333333333336</v>
      </c>
      <c r="AR245" s="12" t="s">
        <v>421</v>
      </c>
      <c r="AS245" t="s">
        <v>422</v>
      </c>
      <c r="AU245" s="22">
        <f>INDEX('Vessel Profiles - Input'!$C:$L,MATCH($D245&amp;keydelim&amp;AU$10,'Vessel Profiles - Input'!$C:$C,0),MATCH(AU$9,'Vessel Profiles - Input'!$C$3:$L$3,0))</f>
        <v>53975.333333333336</v>
      </c>
      <c r="AV245" s="22">
        <f>INDEX('Vessel Profiles - Input'!$C:$L,MATCH($D245&amp;keydelim&amp;AV$10,'Vessel Profiles - Input'!$C:$C,0),MATCH(AV$9,'Vessel Profiles - Input'!$C$3:$L$3,0))</f>
        <v>53975.333333333336</v>
      </c>
      <c r="AW245" s="22">
        <f>INDEX('Vessel Profiles - Input'!$C:$L,MATCH($D245&amp;keydelim&amp;AW$10,'Vessel Profiles - Input'!$C:$C,0),MATCH(AW$9,'Vessel Profiles - Input'!$C$3:$L$3,0))</f>
        <v>53975.333333333336</v>
      </c>
      <c r="AX245" s="22">
        <f>INDEX('Vessel Profiles - Input'!$C:$L,MATCH($D245&amp;keydelim&amp;AX$10,'Vessel Profiles - Input'!$C:$C,0),MATCH(AX$9,'Vessel Profiles - Input'!$C$3:$L$3,0))</f>
        <v>53975.333333333336</v>
      </c>
      <c r="AY245" s="22">
        <f>INDEX('Vessel Profiles - Input'!$C:$L,MATCH($D245&amp;keydelim&amp;AY$10,'Vessel Profiles - Input'!$C:$C,0),MATCH(AY$9,'Vessel Profiles - Input'!$C$3:$L$3,0))</f>
        <v>53975.333333333336</v>
      </c>
      <c r="AZ245" s="22">
        <f>INDEX('Vessel Profiles - Input'!$C:$L,MATCH($D245&amp;keydelim&amp;AZ$10,'Vessel Profiles - Input'!$C:$C,0),MATCH(AZ$9,'Vessel Profiles - Input'!$C$3:$L$3,0))</f>
        <v>53975.333333333336</v>
      </c>
      <c r="BA245" s="22">
        <f>INDEX('Vessel Profiles - Input'!$C:$L,MATCH($D245&amp;keydelim&amp;BA$10,'Vessel Profiles - Input'!$C:$C,0),MATCH(BA$9,'Vessel Profiles - Input'!$C$3:$L$3,0))</f>
        <v>53975.333333333336</v>
      </c>
      <c r="BB245" s="22">
        <f>INDEX('Vessel Profiles - Input'!$C:$L,MATCH($D245&amp;keydelim&amp;BB$10,'Vessel Profiles - Input'!$C:$C,0),MATCH(BB$9,'Vessel Profiles - Input'!$C$3:$L$3,0))</f>
        <v>53975.333333333336</v>
      </c>
      <c r="BC245" s="22">
        <f>INDEX('Vessel Profiles - Input'!$C:$L,MATCH($D245&amp;keydelim&amp;BC$10,'Vessel Profiles - Input'!$C:$C,0),MATCH(BC$9,'Vessel Profiles - Input'!$C$3:$L$3,0))</f>
        <v>53975.333333333336</v>
      </c>
      <c r="BD245" s="22">
        <f>INDEX('Vessel Profiles - Input'!$C:$L,MATCH($D245&amp;keydelim&amp;BD$10,'Vessel Profiles - Input'!$C:$C,0),MATCH(BD$9,'Vessel Profiles - Input'!$C$3:$L$3,0))</f>
        <v>53975.333333333336</v>
      </c>
      <c r="BE245" s="22">
        <f>INDEX('Vessel Profiles - Input'!$C:$L,MATCH($D245&amp;keydelim&amp;BE$10,'Vessel Profiles - Input'!$C:$C,0),MATCH(BE$9,'Vessel Profiles - Input'!$C$3:$L$3,0))</f>
        <v>53975.333333333336</v>
      </c>
      <c r="BF245" s="22">
        <f>INDEX('Vessel Profiles - Input'!$C:$L,MATCH($D245&amp;keydelim&amp;BF$10,'Vessel Profiles - Input'!$C:$C,0),MATCH(BF$9,'Vessel Profiles - Input'!$C$3:$L$3,0))</f>
        <v>53975.333333333336</v>
      </c>
      <c r="BL245" s="12" t="s">
        <v>421</v>
      </c>
      <c r="BM245" t="s">
        <v>422</v>
      </c>
      <c r="BO245" s="22">
        <f>INDEX('Vessel Profiles - Input'!$C:$L,MATCH($D245&amp;keydelim&amp;BO$10,'Vessel Profiles - Input'!$C:$C,0),MATCH(BO$9,'Vessel Profiles - Input'!$C$3:$L$3,0))</f>
        <v>53975.333333333336</v>
      </c>
      <c r="BP245" s="22">
        <f>INDEX('Vessel Profiles - Input'!$C:$L,MATCH($D245&amp;keydelim&amp;BP$10,'Vessel Profiles - Input'!$C:$C,0),MATCH(BP$9,'Vessel Profiles - Input'!$C$3:$L$3,0))</f>
        <v>53975.333333333336</v>
      </c>
      <c r="BQ245" s="22">
        <f>INDEX('Vessel Profiles - Input'!$C:$L,MATCH($D245&amp;keydelim&amp;BQ$10,'Vessel Profiles - Input'!$C:$C,0),MATCH(BQ$9,'Vessel Profiles - Input'!$C$3:$L$3,0))</f>
        <v>53975.333333333336</v>
      </c>
      <c r="BR245" s="22">
        <f>INDEX('Vessel Profiles - Input'!$C:$L,MATCH($D245&amp;keydelim&amp;BR$10,'Vessel Profiles - Input'!$C:$C,0),MATCH(BR$9,'Vessel Profiles - Input'!$C$3:$L$3,0))</f>
        <v>53975.333333333336</v>
      </c>
      <c r="BS245" s="22">
        <f>INDEX('Vessel Profiles - Input'!$C:$L,MATCH($D245&amp;keydelim&amp;BS$10,'Vessel Profiles - Input'!$C:$C,0),MATCH(BS$9,'Vessel Profiles - Input'!$C$3:$L$3,0))</f>
        <v>53975.333333333336</v>
      </c>
      <c r="BT245" s="22">
        <f>INDEX('Vessel Profiles - Input'!$C:$L,MATCH($D245&amp;keydelim&amp;BT$10,'Vessel Profiles - Input'!$C:$C,0),MATCH(BT$9,'Vessel Profiles - Input'!$C$3:$L$3,0))</f>
        <v>53975.333333333336</v>
      </c>
      <c r="BU245" s="22">
        <f>INDEX('Vessel Profiles - Input'!$C:$L,MATCH($D245&amp;keydelim&amp;BU$10,'Vessel Profiles - Input'!$C:$C,0),MATCH(BU$9,'Vessel Profiles - Input'!$C$3:$L$3,0))</f>
        <v>53975.333333333336</v>
      </c>
      <c r="BV245" s="22">
        <f>INDEX('Vessel Profiles - Input'!$C:$L,MATCH($D245&amp;keydelim&amp;BV$10,'Vessel Profiles - Input'!$C:$C,0),MATCH(BV$9,'Vessel Profiles - Input'!$C$3:$L$3,0))</f>
        <v>53975.333333333336</v>
      </c>
      <c r="BW245" s="22">
        <f>INDEX('Vessel Profiles - Input'!$C:$L,MATCH($D245&amp;keydelim&amp;BW$10,'Vessel Profiles - Input'!$C:$C,0),MATCH(BW$9,'Vessel Profiles - Input'!$C$3:$L$3,0))</f>
        <v>53975.333333333336</v>
      </c>
      <c r="BX245" s="22">
        <f>INDEX('Vessel Profiles - Input'!$C:$L,MATCH($D245&amp;keydelim&amp;BX$10,'Vessel Profiles - Input'!$C:$C,0),MATCH(BX$9,'Vessel Profiles - Input'!$C$3:$L$3,0))</f>
        <v>53975.333333333336</v>
      </c>
      <c r="BY245" s="22">
        <f>INDEX('Vessel Profiles - Input'!$C:$L,MATCH($D245&amp;keydelim&amp;BY$10,'Vessel Profiles - Input'!$C:$C,0),MATCH(BY$9,'Vessel Profiles - Input'!$C$3:$L$3,0))</f>
        <v>53975.333333333336</v>
      </c>
      <c r="BZ245" s="22">
        <f>INDEX('Vessel Profiles - Input'!$C:$L,MATCH($D245&amp;keydelim&amp;BZ$10,'Vessel Profiles - Input'!$C:$C,0),MATCH(BZ$9,'Vessel Profiles - Input'!$C$3:$L$3,0))</f>
        <v>53975.333333333336</v>
      </c>
      <c r="CF245" s="12" t="s">
        <v>421</v>
      </c>
      <c r="CG245" t="s">
        <v>422</v>
      </c>
      <c r="CI245" s="22">
        <f>INDEX('Vessel Profiles - Input'!$C:$L,MATCH($D245&amp;keydelim&amp;CI$10,'Vessel Profiles - Input'!$C:$C,0),MATCH(CI$9,'Vessel Profiles - Input'!$C$3:$L$3,0))</f>
        <v>53975.333333333336</v>
      </c>
      <c r="CJ245" s="22">
        <f>INDEX('Vessel Profiles - Input'!$C:$L,MATCH($D245&amp;keydelim&amp;CJ$10,'Vessel Profiles - Input'!$C:$C,0),MATCH(CJ$9,'Vessel Profiles - Input'!$C$3:$L$3,0))</f>
        <v>53975.333333333336</v>
      </c>
      <c r="CK245" s="22">
        <f>INDEX('Vessel Profiles - Input'!$C:$L,MATCH($D245&amp;keydelim&amp;CK$10,'Vessel Profiles - Input'!$C:$C,0),MATCH(CK$9,'Vessel Profiles - Input'!$C$3:$L$3,0))</f>
        <v>53975.333333333336</v>
      </c>
      <c r="CL245" s="22">
        <f>INDEX('Vessel Profiles - Input'!$C:$L,MATCH($D245&amp;keydelim&amp;CL$10,'Vessel Profiles - Input'!$C:$C,0),MATCH(CL$9,'Vessel Profiles - Input'!$C$3:$L$3,0))</f>
        <v>53975.333333333336</v>
      </c>
      <c r="CM245" s="22">
        <f>INDEX('Vessel Profiles - Input'!$C:$L,MATCH($D245&amp;keydelim&amp;CM$10,'Vessel Profiles - Input'!$C:$C,0),MATCH(CM$9,'Vessel Profiles - Input'!$C$3:$L$3,0))</f>
        <v>53975.333333333336</v>
      </c>
      <c r="CN245" s="22">
        <f>INDEX('Vessel Profiles - Input'!$C:$L,MATCH($D245&amp;keydelim&amp;CN$10,'Vessel Profiles - Input'!$C:$C,0),MATCH(CN$9,'Vessel Profiles - Input'!$C$3:$L$3,0))</f>
        <v>53975.333333333336</v>
      </c>
      <c r="CO245" s="22">
        <f>INDEX('Vessel Profiles - Input'!$C:$L,MATCH($D245&amp;keydelim&amp;CO$10,'Vessel Profiles - Input'!$C:$C,0),MATCH(CO$9,'Vessel Profiles - Input'!$C$3:$L$3,0))</f>
        <v>53975.333333333336</v>
      </c>
      <c r="CP245" s="22">
        <f>INDEX('Vessel Profiles - Input'!$C:$L,MATCH($D245&amp;keydelim&amp;CP$10,'Vessel Profiles - Input'!$C:$C,0),MATCH(CP$9,'Vessel Profiles - Input'!$C$3:$L$3,0))</f>
        <v>53975.333333333336</v>
      </c>
      <c r="CQ245" s="22">
        <f>INDEX('Vessel Profiles - Input'!$C:$L,MATCH($D245&amp;keydelim&amp;CQ$10,'Vessel Profiles - Input'!$C:$C,0),MATCH(CQ$9,'Vessel Profiles - Input'!$C$3:$L$3,0))</f>
        <v>53975.333333333336</v>
      </c>
      <c r="CR245" s="22">
        <f>INDEX('Vessel Profiles - Input'!$C:$L,MATCH($D245&amp;keydelim&amp;CR$10,'Vessel Profiles - Input'!$C:$C,0),MATCH(CR$9,'Vessel Profiles - Input'!$C$3:$L$3,0))</f>
        <v>53975.333333333336</v>
      </c>
      <c r="CS245" s="22">
        <f>INDEX('Vessel Profiles - Input'!$C:$L,MATCH($D245&amp;keydelim&amp;CS$10,'Vessel Profiles - Input'!$C:$C,0),MATCH(CS$9,'Vessel Profiles - Input'!$C$3:$L$3,0))</f>
        <v>53975.333333333336</v>
      </c>
      <c r="CT245" s="22">
        <f>INDEX('Vessel Profiles - Input'!$C:$L,MATCH($D245&amp;keydelim&amp;CT$10,'Vessel Profiles - Input'!$C:$C,0),MATCH(CT$9,'Vessel Profiles - Input'!$C$3:$L$3,0))</f>
        <v>53975.333333333336</v>
      </c>
    </row>
    <row r="246" spans="1:100" s="65" customFormat="1" hidden="1" outlineLevel="1" x14ac:dyDescent="0.2">
      <c r="D246" s="66" t="s">
        <v>423</v>
      </c>
      <c r="E246" s="65" t="s">
        <v>178</v>
      </c>
      <c r="F246" s="318"/>
      <c r="G246" s="23">
        <f>INDEX('Vessel Profiles - Input'!$C:$L,MATCH($D246&amp;keydelim&amp;G$10,'Vessel Profiles - Input'!$C:$C,0),MATCH(G$9,'Vessel Profiles - Input'!$C$3:$L$3,0))</f>
        <v>0.6</v>
      </c>
      <c r="H246" s="23">
        <f>INDEX('Vessel Profiles - Input'!$C:$L,MATCH($D246&amp;keydelim&amp;H$10,'Vessel Profiles - Input'!$C:$C,0),MATCH(H$9,'Vessel Profiles - Input'!$C$3:$L$3,0))</f>
        <v>0.6</v>
      </c>
      <c r="I246" s="23">
        <f>INDEX('Vessel Profiles - Input'!$C:$L,MATCH($D246&amp;keydelim&amp;I$10,'Vessel Profiles - Input'!$C:$C,0),MATCH(I$9,'Vessel Profiles - Input'!$C$3:$L$3,0))</f>
        <v>0.6</v>
      </c>
      <c r="J246" s="23">
        <f>INDEX('Vessel Profiles - Input'!$C:$L,MATCH($D246&amp;keydelim&amp;J$10,'Vessel Profiles - Input'!$C:$C,0),MATCH(J$9,'Vessel Profiles - Input'!$C$3:$L$3,0))</f>
        <v>0.6</v>
      </c>
      <c r="K246" s="23">
        <f>INDEX('Vessel Profiles - Input'!$C:$L,MATCH($D246&amp;keydelim&amp;K$10,'Vessel Profiles - Input'!$C:$C,0),MATCH(K$9,'Vessel Profiles - Input'!$C$3:$L$3,0))</f>
        <v>0.6</v>
      </c>
      <c r="L246" s="23">
        <f>INDEX('Vessel Profiles - Input'!$C:$L,MATCH($D246&amp;keydelim&amp;L$10,'Vessel Profiles - Input'!$C:$C,0),MATCH(L$9,'Vessel Profiles - Input'!$C$3:$L$3,0))</f>
        <v>0.6</v>
      </c>
      <c r="M246" s="23">
        <f>INDEX('Vessel Profiles - Input'!$C:$L,MATCH($D246&amp;keydelim&amp;M$10,'Vessel Profiles - Input'!$C:$C,0),MATCH(M$9,'Vessel Profiles - Input'!$C$3:$L$3,0))</f>
        <v>0.6</v>
      </c>
      <c r="N246" s="23">
        <f>INDEX('Vessel Profiles - Input'!$C:$L,MATCH($D246&amp;keydelim&amp;N$10,'Vessel Profiles - Input'!$C:$C,0),MATCH(N$9,'Vessel Profiles - Input'!$C$3:$L$3,0))</f>
        <v>0.6</v>
      </c>
      <c r="O246" s="23">
        <f>INDEX('Vessel Profiles - Input'!$C:$L,MATCH($D246&amp;keydelim&amp;O$10,'Vessel Profiles - Input'!$C:$C,0),MATCH(O$9,'Vessel Profiles - Input'!$C$3:$L$3,0))</f>
        <v>0.6</v>
      </c>
      <c r="P246" s="23">
        <f>INDEX('Vessel Profiles - Input'!$C:$L,MATCH($D246&amp;keydelim&amp;P$10,'Vessel Profiles - Input'!$C:$C,0),MATCH(P$9,'Vessel Profiles - Input'!$C$3:$L$3,0))</f>
        <v>0.6</v>
      </c>
      <c r="Q246" s="23">
        <f>INDEX('Vessel Profiles - Input'!$C:$L,MATCH($D246&amp;keydelim&amp;Q$10,'Vessel Profiles - Input'!$C:$C,0),MATCH(Q$9,'Vessel Profiles - Input'!$C$3:$L$3,0))</f>
        <v>0.6</v>
      </c>
      <c r="R246" s="23">
        <f>INDEX('Vessel Profiles - Input'!$C:$L,MATCH($D246&amp;keydelim&amp;R$10,'Vessel Profiles - Input'!$C:$C,0),MATCH(R$9,'Vessel Profiles - Input'!$C$3:$L$3,0))</f>
        <v>0.6</v>
      </c>
      <c r="X246" s="66" t="s">
        <v>423</v>
      </c>
      <c r="Y246" s="65" t="s">
        <v>178</v>
      </c>
      <c r="Z246" s="318"/>
      <c r="AA246" s="23">
        <f>INDEX('Vessel Profiles - Input'!$C:$L,MATCH($D246&amp;keydelim&amp;AA$10,'Vessel Profiles - Input'!$C:$C,0),MATCH(AA$9,'Vessel Profiles - Input'!$C$3:$L$3,0))</f>
        <v>0.6</v>
      </c>
      <c r="AB246" s="23">
        <f>INDEX('Vessel Profiles - Input'!$C:$L,MATCH($D246&amp;keydelim&amp;AB$10,'Vessel Profiles - Input'!$C:$C,0),MATCH(AB$9,'Vessel Profiles - Input'!$C$3:$L$3,0))</f>
        <v>0.6</v>
      </c>
      <c r="AC246" s="23">
        <f>INDEX('Vessel Profiles - Input'!$C:$L,MATCH($D246&amp;keydelim&amp;AC$10,'Vessel Profiles - Input'!$C:$C,0),MATCH(AC$9,'Vessel Profiles - Input'!$C$3:$L$3,0))</f>
        <v>0.6</v>
      </c>
      <c r="AD246" s="23">
        <f>INDEX('Vessel Profiles - Input'!$C:$L,MATCH($D246&amp;keydelim&amp;AD$10,'Vessel Profiles - Input'!$C:$C,0),MATCH(AD$9,'Vessel Profiles - Input'!$C$3:$L$3,0))</f>
        <v>0.6</v>
      </c>
      <c r="AE246" s="23">
        <f>INDEX('Vessel Profiles - Input'!$C:$L,MATCH($D246&amp;keydelim&amp;AE$10,'Vessel Profiles - Input'!$C:$C,0),MATCH(AE$9,'Vessel Profiles - Input'!$C$3:$L$3,0))</f>
        <v>0.6</v>
      </c>
      <c r="AF246" s="23">
        <f>INDEX('Vessel Profiles - Input'!$C:$L,MATCH($D246&amp;keydelim&amp;AF$10,'Vessel Profiles - Input'!$C:$C,0),MATCH(AF$9,'Vessel Profiles - Input'!$C$3:$L$3,0))</f>
        <v>0.6</v>
      </c>
      <c r="AG246" s="23">
        <f>INDEX('Vessel Profiles - Input'!$C:$L,MATCH($D246&amp;keydelim&amp;AG$10,'Vessel Profiles - Input'!$C:$C,0),MATCH(AG$9,'Vessel Profiles - Input'!$C$3:$L$3,0))</f>
        <v>0.6</v>
      </c>
      <c r="AH246" s="23">
        <f>INDEX('Vessel Profiles - Input'!$C:$L,MATCH($D246&amp;keydelim&amp;AH$10,'Vessel Profiles - Input'!$C:$C,0),MATCH(AH$9,'Vessel Profiles - Input'!$C$3:$L$3,0))</f>
        <v>0.6</v>
      </c>
      <c r="AI246" s="23">
        <f>INDEX('Vessel Profiles - Input'!$C:$L,MATCH($D246&amp;keydelim&amp;AI$10,'Vessel Profiles - Input'!$C:$C,0),MATCH(AI$9,'Vessel Profiles - Input'!$C$3:$L$3,0))</f>
        <v>0.6</v>
      </c>
      <c r="AJ246" s="23">
        <f>INDEX('Vessel Profiles - Input'!$C:$L,MATCH($D246&amp;keydelim&amp;AJ$10,'Vessel Profiles - Input'!$C:$C,0),MATCH(AJ$9,'Vessel Profiles - Input'!$C$3:$L$3,0))</f>
        <v>0.6</v>
      </c>
      <c r="AK246" s="23">
        <f>INDEX('Vessel Profiles - Input'!$C:$L,MATCH($D246&amp;keydelim&amp;AK$10,'Vessel Profiles - Input'!$C:$C,0),MATCH(AK$9,'Vessel Profiles - Input'!$C$3:$L$3,0))</f>
        <v>0.6</v>
      </c>
      <c r="AL246" s="23">
        <f>INDEX('Vessel Profiles - Input'!$C:$L,MATCH($D246&amp;keydelim&amp;AL$10,'Vessel Profiles - Input'!$C:$C,0),MATCH(AL$9,'Vessel Profiles - Input'!$C$3:$L$3,0))</f>
        <v>0.6</v>
      </c>
      <c r="AR246" s="66" t="s">
        <v>423</v>
      </c>
      <c r="AS246" s="65" t="s">
        <v>178</v>
      </c>
      <c r="AT246" s="318"/>
      <c r="AU246" s="23">
        <f>INDEX('Vessel Profiles - Input'!$C:$L,MATCH($D246&amp;keydelim&amp;AU$10,'Vessel Profiles - Input'!$C:$C,0),MATCH(AU$9,'Vessel Profiles - Input'!$C$3:$L$3,0))</f>
        <v>0.6</v>
      </c>
      <c r="AV246" s="23">
        <f>INDEX('Vessel Profiles - Input'!$C:$L,MATCH($D246&amp;keydelim&amp;AV$10,'Vessel Profiles - Input'!$C:$C,0),MATCH(AV$9,'Vessel Profiles - Input'!$C$3:$L$3,0))</f>
        <v>0.6</v>
      </c>
      <c r="AW246" s="23">
        <f>INDEX('Vessel Profiles - Input'!$C:$L,MATCH($D246&amp;keydelim&amp;AW$10,'Vessel Profiles - Input'!$C:$C,0),MATCH(AW$9,'Vessel Profiles - Input'!$C$3:$L$3,0))</f>
        <v>0.6</v>
      </c>
      <c r="AX246" s="23">
        <f>INDEX('Vessel Profiles - Input'!$C:$L,MATCH($D246&amp;keydelim&amp;AX$10,'Vessel Profiles - Input'!$C:$C,0),MATCH(AX$9,'Vessel Profiles - Input'!$C$3:$L$3,0))</f>
        <v>0.6</v>
      </c>
      <c r="AY246" s="23">
        <f>INDEX('Vessel Profiles - Input'!$C:$L,MATCH($D246&amp;keydelim&amp;AY$10,'Vessel Profiles - Input'!$C:$C,0),MATCH(AY$9,'Vessel Profiles - Input'!$C$3:$L$3,0))</f>
        <v>0.6</v>
      </c>
      <c r="AZ246" s="23">
        <f>INDEX('Vessel Profiles - Input'!$C:$L,MATCH($D246&amp;keydelim&amp;AZ$10,'Vessel Profiles - Input'!$C:$C,0),MATCH(AZ$9,'Vessel Profiles - Input'!$C$3:$L$3,0))</f>
        <v>0.6</v>
      </c>
      <c r="BA246" s="23">
        <f>INDEX('Vessel Profiles - Input'!$C:$L,MATCH($D246&amp;keydelim&amp;BA$10,'Vessel Profiles - Input'!$C:$C,0),MATCH(BA$9,'Vessel Profiles - Input'!$C$3:$L$3,0))</f>
        <v>0.6</v>
      </c>
      <c r="BB246" s="23">
        <f>INDEX('Vessel Profiles - Input'!$C:$L,MATCH($D246&amp;keydelim&amp;BB$10,'Vessel Profiles - Input'!$C:$C,0),MATCH(BB$9,'Vessel Profiles - Input'!$C$3:$L$3,0))</f>
        <v>0.6</v>
      </c>
      <c r="BC246" s="23">
        <f>INDEX('Vessel Profiles - Input'!$C:$L,MATCH($D246&amp;keydelim&amp;BC$10,'Vessel Profiles - Input'!$C:$C,0),MATCH(BC$9,'Vessel Profiles - Input'!$C$3:$L$3,0))</f>
        <v>0.6</v>
      </c>
      <c r="BD246" s="23">
        <f>INDEX('Vessel Profiles - Input'!$C:$L,MATCH($D246&amp;keydelim&amp;BD$10,'Vessel Profiles - Input'!$C:$C,0),MATCH(BD$9,'Vessel Profiles - Input'!$C$3:$L$3,0))</f>
        <v>0.6</v>
      </c>
      <c r="BE246" s="23">
        <f>INDEX('Vessel Profiles - Input'!$C:$L,MATCH($D246&amp;keydelim&amp;BE$10,'Vessel Profiles - Input'!$C:$C,0),MATCH(BE$9,'Vessel Profiles - Input'!$C$3:$L$3,0))</f>
        <v>0.6</v>
      </c>
      <c r="BF246" s="23">
        <f>INDEX('Vessel Profiles - Input'!$C:$L,MATCH($D246&amp;keydelim&amp;BF$10,'Vessel Profiles - Input'!$C:$C,0),MATCH(BF$9,'Vessel Profiles - Input'!$C$3:$L$3,0))</f>
        <v>0.6</v>
      </c>
      <c r="BG246" s="9"/>
      <c r="BH246" s="9"/>
      <c r="BL246" s="66" t="s">
        <v>423</v>
      </c>
      <c r="BM246" s="65" t="s">
        <v>178</v>
      </c>
      <c r="BN246" s="318"/>
      <c r="BO246" s="23">
        <f>INDEX('Vessel Profiles - Input'!$C:$L,MATCH($D246&amp;keydelim&amp;BO$10,'Vessel Profiles - Input'!$C:$C,0),MATCH(BO$9,'Vessel Profiles - Input'!$C$3:$L$3,0))</f>
        <v>0.6</v>
      </c>
      <c r="BP246" s="23">
        <f>INDEX('Vessel Profiles - Input'!$C:$L,MATCH($D246&amp;keydelim&amp;BP$10,'Vessel Profiles - Input'!$C:$C,0),MATCH(BP$9,'Vessel Profiles - Input'!$C$3:$L$3,0))</f>
        <v>0.6</v>
      </c>
      <c r="BQ246" s="23">
        <f>INDEX('Vessel Profiles - Input'!$C:$L,MATCH($D246&amp;keydelim&amp;BQ$10,'Vessel Profiles - Input'!$C:$C,0),MATCH(BQ$9,'Vessel Profiles - Input'!$C$3:$L$3,0))</f>
        <v>0.6</v>
      </c>
      <c r="BR246" s="23">
        <f>INDEX('Vessel Profiles - Input'!$C:$L,MATCH($D246&amp;keydelim&amp;BR$10,'Vessel Profiles - Input'!$C:$C,0),MATCH(BR$9,'Vessel Profiles - Input'!$C$3:$L$3,0))</f>
        <v>0.6</v>
      </c>
      <c r="BS246" s="23">
        <f>INDEX('Vessel Profiles - Input'!$C:$L,MATCH($D246&amp;keydelim&amp;BS$10,'Vessel Profiles - Input'!$C:$C,0),MATCH(BS$9,'Vessel Profiles - Input'!$C$3:$L$3,0))</f>
        <v>0.6</v>
      </c>
      <c r="BT246" s="23">
        <f>INDEX('Vessel Profiles - Input'!$C:$L,MATCH($D246&amp;keydelim&amp;BT$10,'Vessel Profiles - Input'!$C:$C,0),MATCH(BT$9,'Vessel Profiles - Input'!$C$3:$L$3,0))</f>
        <v>0.6</v>
      </c>
      <c r="BU246" s="23">
        <f>INDEX('Vessel Profiles - Input'!$C:$L,MATCH($D246&amp;keydelim&amp;BU$10,'Vessel Profiles - Input'!$C:$C,0),MATCH(BU$9,'Vessel Profiles - Input'!$C$3:$L$3,0))</f>
        <v>0.6</v>
      </c>
      <c r="BV246" s="23">
        <f>INDEX('Vessel Profiles - Input'!$C:$L,MATCH($D246&amp;keydelim&amp;BV$10,'Vessel Profiles - Input'!$C:$C,0),MATCH(BV$9,'Vessel Profiles - Input'!$C$3:$L$3,0))</f>
        <v>0.6</v>
      </c>
      <c r="BW246" s="23">
        <f>INDEX('Vessel Profiles - Input'!$C:$L,MATCH($D246&amp;keydelim&amp;BW$10,'Vessel Profiles - Input'!$C:$C,0),MATCH(BW$9,'Vessel Profiles - Input'!$C$3:$L$3,0))</f>
        <v>0.6</v>
      </c>
      <c r="BX246" s="23">
        <f>INDEX('Vessel Profiles - Input'!$C:$L,MATCH($D246&amp;keydelim&amp;BX$10,'Vessel Profiles - Input'!$C:$C,0),MATCH(BX$9,'Vessel Profiles - Input'!$C$3:$L$3,0))</f>
        <v>0.6</v>
      </c>
      <c r="BY246" s="23">
        <f>INDEX('Vessel Profiles - Input'!$C:$L,MATCH($D246&amp;keydelim&amp;BY$10,'Vessel Profiles - Input'!$C:$C,0),MATCH(BY$9,'Vessel Profiles - Input'!$C$3:$L$3,0))</f>
        <v>0.6</v>
      </c>
      <c r="BZ246" s="23">
        <f>INDEX('Vessel Profiles - Input'!$C:$L,MATCH($D246&amp;keydelim&amp;BZ$10,'Vessel Profiles - Input'!$C:$C,0),MATCH(BZ$9,'Vessel Profiles - Input'!$C$3:$L$3,0))</f>
        <v>0.6</v>
      </c>
      <c r="CA246" s="9"/>
      <c r="CB246" s="9"/>
      <c r="CF246" s="66" t="s">
        <v>423</v>
      </c>
      <c r="CG246" s="65" t="s">
        <v>178</v>
      </c>
      <c r="CH246" s="318"/>
      <c r="CI246" s="23">
        <f>INDEX('Vessel Profiles - Input'!$C:$L,MATCH($D246&amp;keydelim&amp;CI$10,'Vessel Profiles - Input'!$C:$C,0),MATCH(CI$9,'Vessel Profiles - Input'!$C$3:$L$3,0))</f>
        <v>0.6</v>
      </c>
      <c r="CJ246" s="23">
        <f>INDEX('Vessel Profiles - Input'!$C:$L,MATCH($D246&amp;keydelim&amp;CJ$10,'Vessel Profiles - Input'!$C:$C,0),MATCH(CJ$9,'Vessel Profiles - Input'!$C$3:$L$3,0))</f>
        <v>0.6</v>
      </c>
      <c r="CK246" s="23">
        <f>INDEX('Vessel Profiles - Input'!$C:$L,MATCH($D246&amp;keydelim&amp;CK$10,'Vessel Profiles - Input'!$C:$C,0),MATCH(CK$9,'Vessel Profiles - Input'!$C$3:$L$3,0))</f>
        <v>0.6</v>
      </c>
      <c r="CL246" s="23">
        <f>INDEX('Vessel Profiles - Input'!$C:$L,MATCH($D246&amp;keydelim&amp;CL$10,'Vessel Profiles - Input'!$C:$C,0),MATCH(CL$9,'Vessel Profiles - Input'!$C$3:$L$3,0))</f>
        <v>0.6</v>
      </c>
      <c r="CM246" s="23">
        <f>INDEX('Vessel Profiles - Input'!$C:$L,MATCH($D246&amp;keydelim&amp;CM$10,'Vessel Profiles - Input'!$C:$C,0),MATCH(CM$9,'Vessel Profiles - Input'!$C$3:$L$3,0))</f>
        <v>0.6</v>
      </c>
      <c r="CN246" s="23">
        <f>INDEX('Vessel Profiles - Input'!$C:$L,MATCH($D246&amp;keydelim&amp;CN$10,'Vessel Profiles - Input'!$C:$C,0),MATCH(CN$9,'Vessel Profiles - Input'!$C$3:$L$3,0))</f>
        <v>0.6</v>
      </c>
      <c r="CO246" s="23">
        <f>INDEX('Vessel Profiles - Input'!$C:$L,MATCH($D246&amp;keydelim&amp;CO$10,'Vessel Profiles - Input'!$C:$C,0),MATCH(CO$9,'Vessel Profiles - Input'!$C$3:$L$3,0))</f>
        <v>0.6</v>
      </c>
      <c r="CP246" s="23">
        <f>INDEX('Vessel Profiles - Input'!$C:$L,MATCH($D246&amp;keydelim&amp;CP$10,'Vessel Profiles - Input'!$C:$C,0),MATCH(CP$9,'Vessel Profiles - Input'!$C$3:$L$3,0))</f>
        <v>0.6</v>
      </c>
      <c r="CQ246" s="23">
        <f>INDEX('Vessel Profiles - Input'!$C:$L,MATCH($D246&amp;keydelim&amp;CQ$10,'Vessel Profiles - Input'!$C:$C,0),MATCH(CQ$9,'Vessel Profiles - Input'!$C$3:$L$3,0))</f>
        <v>0.6</v>
      </c>
      <c r="CR246" s="23">
        <f>INDEX('Vessel Profiles - Input'!$C:$L,MATCH($D246&amp;keydelim&amp;CR$10,'Vessel Profiles - Input'!$C:$C,0),MATCH(CR$9,'Vessel Profiles - Input'!$C$3:$L$3,0))</f>
        <v>0.6</v>
      </c>
      <c r="CS246" s="23">
        <f>INDEX('Vessel Profiles - Input'!$C:$L,MATCH($D246&amp;keydelim&amp;CS$10,'Vessel Profiles - Input'!$C:$C,0),MATCH(CS$9,'Vessel Profiles - Input'!$C$3:$L$3,0))</f>
        <v>0.6</v>
      </c>
      <c r="CT246" s="23">
        <f>INDEX('Vessel Profiles - Input'!$C:$L,MATCH($D246&amp;keydelim&amp;CT$10,'Vessel Profiles - Input'!$C:$C,0),MATCH(CT$9,'Vessel Profiles - Input'!$C$3:$L$3,0))</f>
        <v>0.6</v>
      </c>
      <c r="CU246" s="9"/>
      <c r="CV246" s="9"/>
    </row>
    <row r="247" spans="1:100" s="65" customFormat="1" hidden="1" outlineLevel="1" x14ac:dyDescent="0.2">
      <c r="D247" s="66" t="s">
        <v>424</v>
      </c>
      <c r="E247" s="65" t="s">
        <v>178</v>
      </c>
      <c r="F247" s="318"/>
      <c r="G247" s="23">
        <f>INDEX('Vessel Profiles - Input'!$C:$L,MATCH($D247&amp;keydelim&amp;G$10,'Vessel Profiles - Input'!$C:$C,0),MATCH(G$9,'Vessel Profiles - Input'!$C$3:$L$3,0))</f>
        <v>0.7</v>
      </c>
      <c r="H247" s="23">
        <f>INDEX('Vessel Profiles - Input'!$C:$L,MATCH($D247&amp;keydelim&amp;H$10,'Vessel Profiles - Input'!$C:$C,0),MATCH(H$9,'Vessel Profiles - Input'!$C$3:$L$3,0))</f>
        <v>0.7</v>
      </c>
      <c r="I247" s="23">
        <f>INDEX('Vessel Profiles - Input'!$C:$L,MATCH($D247&amp;keydelim&amp;I$10,'Vessel Profiles - Input'!$C:$C,0),MATCH(I$9,'Vessel Profiles - Input'!$C$3:$L$3,0))</f>
        <v>0.7</v>
      </c>
      <c r="J247" s="23">
        <f>INDEX('Vessel Profiles - Input'!$C:$L,MATCH($D247&amp;keydelim&amp;J$10,'Vessel Profiles - Input'!$C:$C,0),MATCH(J$9,'Vessel Profiles - Input'!$C$3:$L$3,0))</f>
        <v>0.7</v>
      </c>
      <c r="K247" s="23">
        <f>INDEX('Vessel Profiles - Input'!$C:$L,MATCH($D247&amp;keydelim&amp;K$10,'Vessel Profiles - Input'!$C:$C,0),MATCH(K$9,'Vessel Profiles - Input'!$C$3:$L$3,0))</f>
        <v>0.7</v>
      </c>
      <c r="L247" s="23">
        <f>INDEX('Vessel Profiles - Input'!$C:$L,MATCH($D247&amp;keydelim&amp;L$10,'Vessel Profiles - Input'!$C:$C,0),MATCH(L$9,'Vessel Profiles - Input'!$C$3:$L$3,0))</f>
        <v>0.7</v>
      </c>
      <c r="M247" s="23">
        <f>INDEX('Vessel Profiles - Input'!$C:$L,MATCH($D247&amp;keydelim&amp;M$10,'Vessel Profiles - Input'!$C:$C,0),MATCH(M$9,'Vessel Profiles - Input'!$C$3:$L$3,0))</f>
        <v>0.7</v>
      </c>
      <c r="N247" s="23">
        <f>INDEX('Vessel Profiles - Input'!$C:$L,MATCH($D247&amp;keydelim&amp;N$10,'Vessel Profiles - Input'!$C:$C,0),MATCH(N$9,'Vessel Profiles - Input'!$C$3:$L$3,0))</f>
        <v>0.7</v>
      </c>
      <c r="O247" s="23">
        <f>INDEX('Vessel Profiles - Input'!$C:$L,MATCH($D247&amp;keydelim&amp;O$10,'Vessel Profiles - Input'!$C:$C,0),MATCH(O$9,'Vessel Profiles - Input'!$C$3:$L$3,0))</f>
        <v>0.7</v>
      </c>
      <c r="P247" s="23">
        <f>INDEX('Vessel Profiles - Input'!$C:$L,MATCH($D247&amp;keydelim&amp;P$10,'Vessel Profiles - Input'!$C:$C,0),MATCH(P$9,'Vessel Profiles - Input'!$C$3:$L$3,0))</f>
        <v>0.7</v>
      </c>
      <c r="Q247" s="23">
        <f>INDEX('Vessel Profiles - Input'!$C:$L,MATCH($D247&amp;keydelim&amp;Q$10,'Vessel Profiles - Input'!$C:$C,0),MATCH(Q$9,'Vessel Profiles - Input'!$C$3:$L$3,0))</f>
        <v>0.7</v>
      </c>
      <c r="R247" s="23">
        <f>INDEX('Vessel Profiles - Input'!$C:$L,MATCH($D247&amp;keydelim&amp;R$10,'Vessel Profiles - Input'!$C:$C,0),MATCH(R$9,'Vessel Profiles - Input'!$C$3:$L$3,0))</f>
        <v>0.7</v>
      </c>
      <c r="X247" s="66" t="s">
        <v>424</v>
      </c>
      <c r="Y247" s="65" t="s">
        <v>178</v>
      </c>
      <c r="Z247" s="318"/>
      <c r="AA247" s="23">
        <f>INDEX('Vessel Profiles - Input'!$C:$L,MATCH($D247&amp;keydelim&amp;AA$10,'Vessel Profiles - Input'!$C:$C,0),MATCH(AA$9,'Vessel Profiles - Input'!$C$3:$L$3,0))</f>
        <v>0.7</v>
      </c>
      <c r="AB247" s="23">
        <f>INDEX('Vessel Profiles - Input'!$C:$L,MATCH($D247&amp;keydelim&amp;AB$10,'Vessel Profiles - Input'!$C:$C,0),MATCH(AB$9,'Vessel Profiles - Input'!$C$3:$L$3,0))</f>
        <v>0.7</v>
      </c>
      <c r="AC247" s="23">
        <f>INDEX('Vessel Profiles - Input'!$C:$L,MATCH($D247&amp;keydelim&amp;AC$10,'Vessel Profiles - Input'!$C:$C,0),MATCH(AC$9,'Vessel Profiles - Input'!$C$3:$L$3,0))</f>
        <v>0.7</v>
      </c>
      <c r="AD247" s="23">
        <f>INDEX('Vessel Profiles - Input'!$C:$L,MATCH($D247&amp;keydelim&amp;AD$10,'Vessel Profiles - Input'!$C:$C,0),MATCH(AD$9,'Vessel Profiles - Input'!$C$3:$L$3,0))</f>
        <v>0.7</v>
      </c>
      <c r="AE247" s="23">
        <f>INDEX('Vessel Profiles - Input'!$C:$L,MATCH($D247&amp;keydelim&amp;AE$10,'Vessel Profiles - Input'!$C:$C,0),MATCH(AE$9,'Vessel Profiles - Input'!$C$3:$L$3,0))</f>
        <v>0.7</v>
      </c>
      <c r="AF247" s="23">
        <f>INDEX('Vessel Profiles - Input'!$C:$L,MATCH($D247&amp;keydelim&amp;AF$10,'Vessel Profiles - Input'!$C:$C,0),MATCH(AF$9,'Vessel Profiles - Input'!$C$3:$L$3,0))</f>
        <v>0.7</v>
      </c>
      <c r="AG247" s="23">
        <f>INDEX('Vessel Profiles - Input'!$C:$L,MATCH($D247&amp;keydelim&amp;AG$10,'Vessel Profiles - Input'!$C:$C,0),MATCH(AG$9,'Vessel Profiles - Input'!$C$3:$L$3,0))</f>
        <v>0.7</v>
      </c>
      <c r="AH247" s="23">
        <f>INDEX('Vessel Profiles - Input'!$C:$L,MATCH($D247&amp;keydelim&amp;AH$10,'Vessel Profiles - Input'!$C:$C,0),MATCH(AH$9,'Vessel Profiles - Input'!$C$3:$L$3,0))</f>
        <v>0.7</v>
      </c>
      <c r="AI247" s="23">
        <f>INDEX('Vessel Profiles - Input'!$C:$L,MATCH($D247&amp;keydelim&amp;AI$10,'Vessel Profiles - Input'!$C:$C,0),MATCH(AI$9,'Vessel Profiles - Input'!$C$3:$L$3,0))</f>
        <v>0.7</v>
      </c>
      <c r="AJ247" s="23">
        <f>INDEX('Vessel Profiles - Input'!$C:$L,MATCH($D247&amp;keydelim&amp;AJ$10,'Vessel Profiles - Input'!$C:$C,0),MATCH(AJ$9,'Vessel Profiles - Input'!$C$3:$L$3,0))</f>
        <v>0.7</v>
      </c>
      <c r="AK247" s="23">
        <f>INDEX('Vessel Profiles - Input'!$C:$L,MATCH($D247&amp;keydelim&amp;AK$10,'Vessel Profiles - Input'!$C:$C,0),MATCH(AK$9,'Vessel Profiles - Input'!$C$3:$L$3,0))</f>
        <v>0.7</v>
      </c>
      <c r="AL247" s="23">
        <f>INDEX('Vessel Profiles - Input'!$C:$L,MATCH($D247&amp;keydelim&amp;AL$10,'Vessel Profiles - Input'!$C:$C,0),MATCH(AL$9,'Vessel Profiles - Input'!$C$3:$L$3,0))</f>
        <v>0.7</v>
      </c>
      <c r="AR247" s="66" t="s">
        <v>424</v>
      </c>
      <c r="AS247" s="65" t="s">
        <v>178</v>
      </c>
      <c r="AT247" s="318"/>
      <c r="AU247" s="23">
        <f>INDEX('Vessel Profiles - Input'!$C:$L,MATCH($D247&amp;keydelim&amp;AU$10,'Vessel Profiles - Input'!$C:$C,0),MATCH(AU$9,'Vessel Profiles - Input'!$C$3:$L$3,0))</f>
        <v>0.7</v>
      </c>
      <c r="AV247" s="23">
        <f>INDEX('Vessel Profiles - Input'!$C:$L,MATCH($D247&amp;keydelim&amp;AV$10,'Vessel Profiles - Input'!$C:$C,0),MATCH(AV$9,'Vessel Profiles - Input'!$C$3:$L$3,0))</f>
        <v>0.7</v>
      </c>
      <c r="AW247" s="23">
        <f>INDEX('Vessel Profiles - Input'!$C:$L,MATCH($D247&amp;keydelim&amp;AW$10,'Vessel Profiles - Input'!$C:$C,0),MATCH(AW$9,'Vessel Profiles - Input'!$C$3:$L$3,0))</f>
        <v>0.7</v>
      </c>
      <c r="AX247" s="23">
        <f>INDEX('Vessel Profiles - Input'!$C:$L,MATCH($D247&amp;keydelim&amp;AX$10,'Vessel Profiles - Input'!$C:$C,0),MATCH(AX$9,'Vessel Profiles - Input'!$C$3:$L$3,0))</f>
        <v>0.7</v>
      </c>
      <c r="AY247" s="23">
        <f>INDEX('Vessel Profiles - Input'!$C:$L,MATCH($D247&amp;keydelim&amp;AY$10,'Vessel Profiles - Input'!$C:$C,0),MATCH(AY$9,'Vessel Profiles - Input'!$C$3:$L$3,0))</f>
        <v>0.7</v>
      </c>
      <c r="AZ247" s="23">
        <f>INDEX('Vessel Profiles - Input'!$C:$L,MATCH($D247&amp;keydelim&amp;AZ$10,'Vessel Profiles - Input'!$C:$C,0),MATCH(AZ$9,'Vessel Profiles - Input'!$C$3:$L$3,0))</f>
        <v>0.7</v>
      </c>
      <c r="BA247" s="23">
        <f>INDEX('Vessel Profiles - Input'!$C:$L,MATCH($D247&amp;keydelim&amp;BA$10,'Vessel Profiles - Input'!$C:$C,0),MATCH(BA$9,'Vessel Profiles - Input'!$C$3:$L$3,0))</f>
        <v>0.7</v>
      </c>
      <c r="BB247" s="23">
        <f>INDEX('Vessel Profiles - Input'!$C:$L,MATCH($D247&amp;keydelim&amp;BB$10,'Vessel Profiles - Input'!$C:$C,0),MATCH(BB$9,'Vessel Profiles - Input'!$C$3:$L$3,0))</f>
        <v>0.7</v>
      </c>
      <c r="BC247" s="23">
        <f>INDEX('Vessel Profiles - Input'!$C:$L,MATCH($D247&amp;keydelim&amp;BC$10,'Vessel Profiles - Input'!$C:$C,0),MATCH(BC$9,'Vessel Profiles - Input'!$C$3:$L$3,0))</f>
        <v>0.7</v>
      </c>
      <c r="BD247" s="23">
        <f>INDEX('Vessel Profiles - Input'!$C:$L,MATCH($D247&amp;keydelim&amp;BD$10,'Vessel Profiles - Input'!$C:$C,0),MATCH(BD$9,'Vessel Profiles - Input'!$C$3:$L$3,0))</f>
        <v>0.7</v>
      </c>
      <c r="BE247" s="23">
        <f>INDEX('Vessel Profiles - Input'!$C:$L,MATCH($D247&amp;keydelim&amp;BE$10,'Vessel Profiles - Input'!$C:$C,0),MATCH(BE$9,'Vessel Profiles - Input'!$C$3:$L$3,0))</f>
        <v>0.7</v>
      </c>
      <c r="BF247" s="23">
        <f>INDEX('Vessel Profiles - Input'!$C:$L,MATCH($D247&amp;keydelim&amp;BF$10,'Vessel Profiles - Input'!$C:$C,0),MATCH(BF$9,'Vessel Profiles - Input'!$C$3:$L$3,0))</f>
        <v>0.7</v>
      </c>
      <c r="BG247" s="9"/>
      <c r="BH247" s="9"/>
      <c r="BL247" s="66" t="s">
        <v>424</v>
      </c>
      <c r="BM247" s="65" t="s">
        <v>178</v>
      </c>
      <c r="BN247" s="318"/>
      <c r="BO247" s="23">
        <f>INDEX('Vessel Profiles - Input'!$C:$L,MATCH($D247&amp;keydelim&amp;BO$10,'Vessel Profiles - Input'!$C:$C,0),MATCH(BO$9,'Vessel Profiles - Input'!$C$3:$L$3,0))</f>
        <v>0.7</v>
      </c>
      <c r="BP247" s="23">
        <f>INDEX('Vessel Profiles - Input'!$C:$L,MATCH($D247&amp;keydelim&amp;BP$10,'Vessel Profiles - Input'!$C:$C,0),MATCH(BP$9,'Vessel Profiles - Input'!$C$3:$L$3,0))</f>
        <v>0.7</v>
      </c>
      <c r="BQ247" s="23">
        <f>INDEX('Vessel Profiles - Input'!$C:$L,MATCH($D247&amp;keydelim&amp;BQ$10,'Vessel Profiles - Input'!$C:$C,0),MATCH(BQ$9,'Vessel Profiles - Input'!$C$3:$L$3,0))</f>
        <v>0.7</v>
      </c>
      <c r="BR247" s="23">
        <f>INDEX('Vessel Profiles - Input'!$C:$L,MATCH($D247&amp;keydelim&amp;BR$10,'Vessel Profiles - Input'!$C:$C,0),MATCH(BR$9,'Vessel Profiles - Input'!$C$3:$L$3,0))</f>
        <v>0.7</v>
      </c>
      <c r="BS247" s="23">
        <f>INDEX('Vessel Profiles - Input'!$C:$L,MATCH($D247&amp;keydelim&amp;BS$10,'Vessel Profiles - Input'!$C:$C,0),MATCH(BS$9,'Vessel Profiles - Input'!$C$3:$L$3,0))</f>
        <v>0.7</v>
      </c>
      <c r="BT247" s="23">
        <f>INDEX('Vessel Profiles - Input'!$C:$L,MATCH($D247&amp;keydelim&amp;BT$10,'Vessel Profiles - Input'!$C:$C,0),MATCH(BT$9,'Vessel Profiles - Input'!$C$3:$L$3,0))</f>
        <v>0.7</v>
      </c>
      <c r="BU247" s="23">
        <f>INDEX('Vessel Profiles - Input'!$C:$L,MATCH($D247&amp;keydelim&amp;BU$10,'Vessel Profiles - Input'!$C:$C,0),MATCH(BU$9,'Vessel Profiles - Input'!$C$3:$L$3,0))</f>
        <v>0.7</v>
      </c>
      <c r="BV247" s="23">
        <f>INDEX('Vessel Profiles - Input'!$C:$L,MATCH($D247&amp;keydelim&amp;BV$10,'Vessel Profiles - Input'!$C:$C,0),MATCH(BV$9,'Vessel Profiles - Input'!$C$3:$L$3,0))</f>
        <v>0.7</v>
      </c>
      <c r="BW247" s="23">
        <f>INDEX('Vessel Profiles - Input'!$C:$L,MATCH($D247&amp;keydelim&amp;BW$10,'Vessel Profiles - Input'!$C:$C,0),MATCH(BW$9,'Vessel Profiles - Input'!$C$3:$L$3,0))</f>
        <v>0.7</v>
      </c>
      <c r="BX247" s="23">
        <f>INDEX('Vessel Profiles - Input'!$C:$L,MATCH($D247&amp;keydelim&amp;BX$10,'Vessel Profiles - Input'!$C:$C,0),MATCH(BX$9,'Vessel Profiles - Input'!$C$3:$L$3,0))</f>
        <v>0.7</v>
      </c>
      <c r="BY247" s="23">
        <f>INDEX('Vessel Profiles - Input'!$C:$L,MATCH($D247&amp;keydelim&amp;BY$10,'Vessel Profiles - Input'!$C:$C,0),MATCH(BY$9,'Vessel Profiles - Input'!$C$3:$L$3,0))</f>
        <v>0.7</v>
      </c>
      <c r="BZ247" s="23">
        <f>INDEX('Vessel Profiles - Input'!$C:$L,MATCH($D247&amp;keydelim&amp;BZ$10,'Vessel Profiles - Input'!$C:$C,0),MATCH(BZ$9,'Vessel Profiles - Input'!$C$3:$L$3,0))</f>
        <v>0.7</v>
      </c>
      <c r="CA247" s="9"/>
      <c r="CB247" s="9"/>
      <c r="CF247" s="66" t="s">
        <v>424</v>
      </c>
      <c r="CG247" s="65" t="s">
        <v>178</v>
      </c>
      <c r="CH247" s="318"/>
      <c r="CI247" s="23">
        <f>INDEX('Vessel Profiles - Input'!$C:$L,MATCH($D247&amp;keydelim&amp;CI$10,'Vessel Profiles - Input'!$C:$C,0),MATCH(CI$9,'Vessel Profiles - Input'!$C$3:$L$3,0))</f>
        <v>0.7</v>
      </c>
      <c r="CJ247" s="23">
        <f>INDEX('Vessel Profiles - Input'!$C:$L,MATCH($D247&amp;keydelim&amp;CJ$10,'Vessel Profiles - Input'!$C:$C,0),MATCH(CJ$9,'Vessel Profiles - Input'!$C$3:$L$3,0))</f>
        <v>0.7</v>
      </c>
      <c r="CK247" s="23">
        <f>INDEX('Vessel Profiles - Input'!$C:$L,MATCH($D247&amp;keydelim&amp;CK$10,'Vessel Profiles - Input'!$C:$C,0),MATCH(CK$9,'Vessel Profiles - Input'!$C$3:$L$3,0))</f>
        <v>0.7</v>
      </c>
      <c r="CL247" s="23">
        <f>INDEX('Vessel Profiles - Input'!$C:$L,MATCH($D247&amp;keydelim&amp;CL$10,'Vessel Profiles - Input'!$C:$C,0),MATCH(CL$9,'Vessel Profiles - Input'!$C$3:$L$3,0))</f>
        <v>0.7</v>
      </c>
      <c r="CM247" s="23">
        <f>INDEX('Vessel Profiles - Input'!$C:$L,MATCH($D247&amp;keydelim&amp;CM$10,'Vessel Profiles - Input'!$C:$C,0),MATCH(CM$9,'Vessel Profiles - Input'!$C$3:$L$3,0))</f>
        <v>0.7</v>
      </c>
      <c r="CN247" s="23">
        <f>INDEX('Vessel Profiles - Input'!$C:$L,MATCH($D247&amp;keydelim&amp;CN$10,'Vessel Profiles - Input'!$C:$C,0),MATCH(CN$9,'Vessel Profiles - Input'!$C$3:$L$3,0))</f>
        <v>0.7</v>
      </c>
      <c r="CO247" s="23">
        <f>INDEX('Vessel Profiles - Input'!$C:$L,MATCH($D247&amp;keydelim&amp;CO$10,'Vessel Profiles - Input'!$C:$C,0),MATCH(CO$9,'Vessel Profiles - Input'!$C$3:$L$3,0))</f>
        <v>0.7</v>
      </c>
      <c r="CP247" s="23">
        <f>INDEX('Vessel Profiles - Input'!$C:$L,MATCH($D247&amp;keydelim&amp;CP$10,'Vessel Profiles - Input'!$C:$C,0),MATCH(CP$9,'Vessel Profiles - Input'!$C$3:$L$3,0))</f>
        <v>0.7</v>
      </c>
      <c r="CQ247" s="23">
        <f>INDEX('Vessel Profiles - Input'!$C:$L,MATCH($D247&amp;keydelim&amp;CQ$10,'Vessel Profiles - Input'!$C:$C,0),MATCH(CQ$9,'Vessel Profiles - Input'!$C$3:$L$3,0))</f>
        <v>0.7</v>
      </c>
      <c r="CR247" s="23">
        <f>INDEX('Vessel Profiles - Input'!$C:$L,MATCH($D247&amp;keydelim&amp;CR$10,'Vessel Profiles - Input'!$C:$C,0),MATCH(CR$9,'Vessel Profiles - Input'!$C$3:$L$3,0))</f>
        <v>0.7</v>
      </c>
      <c r="CS247" s="23">
        <f>INDEX('Vessel Profiles - Input'!$C:$L,MATCH($D247&amp;keydelim&amp;CS$10,'Vessel Profiles - Input'!$C:$C,0),MATCH(CS$9,'Vessel Profiles - Input'!$C$3:$L$3,0))</f>
        <v>0.7</v>
      </c>
      <c r="CT247" s="23">
        <f>INDEX('Vessel Profiles - Input'!$C:$L,MATCH($D247&amp;keydelim&amp;CT$10,'Vessel Profiles - Input'!$C:$C,0),MATCH(CT$9,'Vessel Profiles - Input'!$C$3:$L$3,0))</f>
        <v>0.7</v>
      </c>
      <c r="CU247" s="9"/>
      <c r="CV247" s="9"/>
    </row>
    <row r="248" spans="1:100" hidden="1" outlineLevel="1" x14ac:dyDescent="0.2">
      <c r="D248" s="12" t="s">
        <v>425</v>
      </c>
      <c r="E248" t="s">
        <v>426</v>
      </c>
      <c r="G248" s="24">
        <f>INDEX('Vessel Profiles - Input'!$G$17:$L$17,1,MATCH(G$9,'Vessel Profiles - Input'!$G$3:$L$3,0))</f>
        <v>18</v>
      </c>
      <c r="H248" s="24">
        <f>INDEX('Vessel Profiles - Input'!$G$17:$L$17,1,MATCH(H$9,'Vessel Profiles - Input'!$G$3:$L$3,0))</f>
        <v>18</v>
      </c>
      <c r="I248" s="24">
        <f>INDEX('Vessel Profiles - Input'!$G$17:$L$17,1,MATCH(I$9,'Vessel Profiles - Input'!$G$3:$L$3,0))</f>
        <v>18</v>
      </c>
      <c r="J248" s="24">
        <f>INDEX('Vessel Profiles - Input'!$G$17:$L$17,1,MATCH(J$9,'Vessel Profiles - Input'!$G$3:$L$3,0))</f>
        <v>18</v>
      </c>
      <c r="K248" s="24">
        <f>INDEX('Vessel Profiles - Input'!$G$17:$L$17,1,MATCH(K$9,'Vessel Profiles - Input'!$G$3:$L$3,0))</f>
        <v>18</v>
      </c>
      <c r="L248" s="24">
        <f>INDEX('Vessel Profiles - Input'!$G$17:$L$17,1,MATCH(L$9,'Vessel Profiles - Input'!$G$3:$L$3,0))</f>
        <v>18</v>
      </c>
      <c r="M248" s="24">
        <f>INDEX('Vessel Profiles - Input'!$G$17:$L$17,1,MATCH(M$9,'Vessel Profiles - Input'!$G$3:$L$3,0))</f>
        <v>18</v>
      </c>
      <c r="N248" s="24">
        <f>INDEX('Vessel Profiles - Input'!$G$17:$L$17,1,MATCH(N$9,'Vessel Profiles - Input'!$G$3:$L$3,0))</f>
        <v>18</v>
      </c>
      <c r="O248" s="24">
        <f>INDEX('Vessel Profiles - Input'!$G$17:$L$17,1,MATCH(O$9,'Vessel Profiles - Input'!$G$3:$L$3,0))</f>
        <v>18</v>
      </c>
      <c r="P248" s="24">
        <f>INDEX('Vessel Profiles - Input'!$G$17:$L$17,1,MATCH(P$9,'Vessel Profiles - Input'!$G$3:$L$3,0))</f>
        <v>18</v>
      </c>
      <c r="Q248" s="24">
        <f>INDEX('Vessel Profiles - Input'!$G$17:$L$17,1,MATCH(Q$9,'Vessel Profiles - Input'!$G$3:$L$3,0))</f>
        <v>18</v>
      </c>
      <c r="R248" s="24">
        <f>INDEX('Vessel Profiles - Input'!$G$17:$L$17,1,MATCH(R$9,'Vessel Profiles - Input'!$G$3:$L$3,0))</f>
        <v>18</v>
      </c>
      <c r="X248" s="12" t="s">
        <v>425</v>
      </c>
      <c r="Y248" t="s">
        <v>426</v>
      </c>
      <c r="AA248" s="24">
        <f>INDEX('Vessel Profiles - Input'!$G$17:$L$17,1,MATCH(AA$9,'Vessel Profiles - Input'!$G$3:$L$3,0))</f>
        <v>18</v>
      </c>
      <c r="AB248" s="24">
        <f>INDEX('Vessel Profiles - Input'!$G$17:$L$17,1,MATCH(AB$9,'Vessel Profiles - Input'!$G$3:$L$3,0))</f>
        <v>18</v>
      </c>
      <c r="AC248" s="24">
        <f>INDEX('Vessel Profiles - Input'!$G$17:$L$17,1,MATCH(AC$9,'Vessel Profiles - Input'!$G$3:$L$3,0))</f>
        <v>18</v>
      </c>
      <c r="AD248" s="24">
        <f>INDEX('Vessel Profiles - Input'!$G$17:$L$17,1,MATCH(AD$9,'Vessel Profiles - Input'!$G$3:$L$3,0))</f>
        <v>18</v>
      </c>
      <c r="AE248" s="24">
        <f>INDEX('Vessel Profiles - Input'!$G$17:$L$17,1,MATCH(AE$9,'Vessel Profiles - Input'!$G$3:$L$3,0))</f>
        <v>18</v>
      </c>
      <c r="AF248" s="24">
        <f>INDEX('Vessel Profiles - Input'!$G$17:$L$17,1,MATCH(AF$9,'Vessel Profiles - Input'!$G$3:$L$3,0))</f>
        <v>18</v>
      </c>
      <c r="AG248" s="24">
        <f>INDEX('Vessel Profiles - Input'!$G$17:$L$17,1,MATCH(AG$9,'Vessel Profiles - Input'!$G$3:$L$3,0))</f>
        <v>18</v>
      </c>
      <c r="AH248" s="24">
        <f>INDEX('Vessel Profiles - Input'!$G$17:$L$17,1,MATCH(AH$9,'Vessel Profiles - Input'!$G$3:$L$3,0))</f>
        <v>18</v>
      </c>
      <c r="AI248" s="24">
        <f>INDEX('Vessel Profiles - Input'!$G$17:$L$17,1,MATCH(AI$9,'Vessel Profiles - Input'!$G$3:$L$3,0))</f>
        <v>18</v>
      </c>
      <c r="AJ248" s="24">
        <f>INDEX('Vessel Profiles - Input'!$G$17:$L$17,1,MATCH(AJ$9,'Vessel Profiles - Input'!$G$3:$L$3,0))</f>
        <v>18</v>
      </c>
      <c r="AK248" s="24">
        <f>INDEX('Vessel Profiles - Input'!$G$17:$L$17,1,MATCH(AK$9,'Vessel Profiles - Input'!$G$3:$L$3,0))</f>
        <v>18</v>
      </c>
      <c r="AL248" s="24">
        <f>INDEX('Vessel Profiles - Input'!$G$17:$L$17,1,MATCH(AL$9,'Vessel Profiles - Input'!$G$3:$L$3,0))</f>
        <v>18</v>
      </c>
      <c r="AR248" s="12" t="s">
        <v>425</v>
      </c>
      <c r="AS248" t="s">
        <v>426</v>
      </c>
      <c r="AU248" s="24">
        <f>INDEX('Vessel Profiles - Input'!$G$17:$L$17,1,MATCH(AU$9,'Vessel Profiles - Input'!$G$3:$L$3,0))</f>
        <v>18</v>
      </c>
      <c r="AV248" s="24">
        <f>INDEX('Vessel Profiles - Input'!$G$17:$L$17,1,MATCH(AV$9,'Vessel Profiles - Input'!$G$3:$L$3,0))</f>
        <v>18</v>
      </c>
      <c r="AW248" s="24">
        <f>INDEX('Vessel Profiles - Input'!$G$17:$L$17,1,MATCH(AW$9,'Vessel Profiles - Input'!$G$3:$L$3,0))</f>
        <v>18</v>
      </c>
      <c r="AX248" s="24">
        <f>INDEX('Vessel Profiles - Input'!$G$17:$L$17,1,MATCH(AX$9,'Vessel Profiles - Input'!$G$3:$L$3,0))</f>
        <v>18</v>
      </c>
      <c r="AY248" s="24">
        <f>INDEX('Vessel Profiles - Input'!$G$17:$L$17,1,MATCH(AY$9,'Vessel Profiles - Input'!$G$3:$L$3,0))</f>
        <v>18</v>
      </c>
      <c r="AZ248" s="24">
        <f>INDEX('Vessel Profiles - Input'!$G$17:$L$17,1,MATCH(AZ$9,'Vessel Profiles - Input'!$G$3:$L$3,0))</f>
        <v>18</v>
      </c>
      <c r="BA248" s="24">
        <f>INDEX('Vessel Profiles - Input'!$G$17:$L$17,1,MATCH(BA$9,'Vessel Profiles - Input'!$G$3:$L$3,0))</f>
        <v>18</v>
      </c>
      <c r="BB248" s="24">
        <f>INDEX('Vessel Profiles - Input'!$G$17:$L$17,1,MATCH(BB$9,'Vessel Profiles - Input'!$G$3:$L$3,0))</f>
        <v>18</v>
      </c>
      <c r="BC248" s="24">
        <f>INDEX('Vessel Profiles - Input'!$G$17:$L$17,1,MATCH(BC$9,'Vessel Profiles - Input'!$G$3:$L$3,0))</f>
        <v>18</v>
      </c>
      <c r="BD248" s="24">
        <f>INDEX('Vessel Profiles - Input'!$G$17:$L$17,1,MATCH(BD$9,'Vessel Profiles - Input'!$G$3:$L$3,0))</f>
        <v>18</v>
      </c>
      <c r="BE248" s="24">
        <f>INDEX('Vessel Profiles - Input'!$G$17:$L$17,1,MATCH(BE$9,'Vessel Profiles - Input'!$G$3:$L$3,0))</f>
        <v>18</v>
      </c>
      <c r="BF248" s="24">
        <f>INDEX('Vessel Profiles - Input'!$G$17:$L$17,1,MATCH(BF$9,'Vessel Profiles - Input'!$G$3:$L$3,0))</f>
        <v>18</v>
      </c>
      <c r="BL248" s="12" t="s">
        <v>425</v>
      </c>
      <c r="BM248" t="s">
        <v>426</v>
      </c>
      <c r="BO248" s="24">
        <f>INDEX('Vessel Profiles - Input'!$G$17:$L$17,1,MATCH(BO$9,'Vessel Profiles - Input'!$G$3:$L$3,0))</f>
        <v>18</v>
      </c>
      <c r="BP248" s="24">
        <f>INDEX('Vessel Profiles - Input'!$G$17:$L$17,1,MATCH(BP$9,'Vessel Profiles - Input'!$G$3:$L$3,0))</f>
        <v>18</v>
      </c>
      <c r="BQ248" s="24">
        <f>INDEX('Vessel Profiles - Input'!$G$17:$L$17,1,MATCH(BQ$9,'Vessel Profiles - Input'!$G$3:$L$3,0))</f>
        <v>18</v>
      </c>
      <c r="BR248" s="24">
        <f>INDEX('Vessel Profiles - Input'!$G$17:$L$17,1,MATCH(BR$9,'Vessel Profiles - Input'!$G$3:$L$3,0))</f>
        <v>18</v>
      </c>
      <c r="BS248" s="24">
        <f>INDEX('Vessel Profiles - Input'!$G$17:$L$17,1,MATCH(BS$9,'Vessel Profiles - Input'!$G$3:$L$3,0))</f>
        <v>18</v>
      </c>
      <c r="BT248" s="24">
        <f>INDEX('Vessel Profiles - Input'!$G$17:$L$17,1,MATCH(BT$9,'Vessel Profiles - Input'!$G$3:$L$3,0))</f>
        <v>18</v>
      </c>
      <c r="BU248" s="24">
        <f>INDEX('Vessel Profiles - Input'!$G$17:$L$17,1,MATCH(BU$9,'Vessel Profiles - Input'!$G$3:$L$3,0))</f>
        <v>18</v>
      </c>
      <c r="BV248" s="24">
        <f>INDEX('Vessel Profiles - Input'!$G$17:$L$17,1,MATCH(BV$9,'Vessel Profiles - Input'!$G$3:$L$3,0))</f>
        <v>18</v>
      </c>
      <c r="BW248" s="24">
        <f>INDEX('Vessel Profiles - Input'!$G$17:$L$17,1,MATCH(BW$9,'Vessel Profiles - Input'!$G$3:$L$3,0))</f>
        <v>18</v>
      </c>
      <c r="BX248" s="24">
        <f>INDEX('Vessel Profiles - Input'!$G$17:$L$17,1,MATCH(BX$9,'Vessel Profiles - Input'!$G$3:$L$3,0))</f>
        <v>18</v>
      </c>
      <c r="BY248" s="24">
        <f>INDEX('Vessel Profiles - Input'!$G$17:$L$17,1,MATCH(BY$9,'Vessel Profiles - Input'!$G$3:$L$3,0))</f>
        <v>18</v>
      </c>
      <c r="BZ248" s="24">
        <f>INDEX('Vessel Profiles - Input'!$G$17:$L$17,1,MATCH(BZ$9,'Vessel Profiles - Input'!$G$3:$L$3,0))</f>
        <v>18</v>
      </c>
      <c r="CF248" s="12" t="s">
        <v>425</v>
      </c>
      <c r="CG248" t="s">
        <v>426</v>
      </c>
      <c r="CI248" s="24">
        <f>INDEX('Vessel Profiles - Input'!$G$17:$L$17,1,MATCH(CI$9,'Vessel Profiles - Input'!$G$3:$L$3,0))</f>
        <v>18</v>
      </c>
      <c r="CJ248" s="24">
        <f>INDEX('Vessel Profiles - Input'!$G$17:$L$17,1,MATCH(CJ$9,'Vessel Profiles - Input'!$G$3:$L$3,0))</f>
        <v>18</v>
      </c>
      <c r="CK248" s="24">
        <f>INDEX('Vessel Profiles - Input'!$G$17:$L$17,1,MATCH(CK$9,'Vessel Profiles - Input'!$G$3:$L$3,0))</f>
        <v>18</v>
      </c>
      <c r="CL248" s="24">
        <f>INDEX('Vessel Profiles - Input'!$G$17:$L$17,1,MATCH(CL$9,'Vessel Profiles - Input'!$G$3:$L$3,0))</f>
        <v>18</v>
      </c>
      <c r="CM248" s="24">
        <f>INDEX('Vessel Profiles - Input'!$G$17:$L$17,1,MATCH(CM$9,'Vessel Profiles - Input'!$G$3:$L$3,0))</f>
        <v>18</v>
      </c>
      <c r="CN248" s="24">
        <f>INDEX('Vessel Profiles - Input'!$G$17:$L$17,1,MATCH(CN$9,'Vessel Profiles - Input'!$G$3:$L$3,0))</f>
        <v>18</v>
      </c>
      <c r="CO248" s="24">
        <f>INDEX('Vessel Profiles - Input'!$G$17:$L$17,1,MATCH(CO$9,'Vessel Profiles - Input'!$G$3:$L$3,0))</f>
        <v>18</v>
      </c>
      <c r="CP248" s="24">
        <f>INDEX('Vessel Profiles - Input'!$G$17:$L$17,1,MATCH(CP$9,'Vessel Profiles - Input'!$G$3:$L$3,0))</f>
        <v>18</v>
      </c>
      <c r="CQ248" s="24">
        <f>INDEX('Vessel Profiles - Input'!$G$17:$L$17,1,MATCH(CQ$9,'Vessel Profiles - Input'!$G$3:$L$3,0))</f>
        <v>18</v>
      </c>
      <c r="CR248" s="24">
        <f>INDEX('Vessel Profiles - Input'!$G$17:$L$17,1,MATCH(CR$9,'Vessel Profiles - Input'!$G$3:$L$3,0))</f>
        <v>18</v>
      </c>
      <c r="CS248" s="24">
        <f>INDEX('Vessel Profiles - Input'!$G$17:$L$17,1,MATCH(CS$9,'Vessel Profiles - Input'!$G$3:$L$3,0))</f>
        <v>18</v>
      </c>
      <c r="CT248" s="24">
        <f>INDEX('Vessel Profiles - Input'!$G$17:$L$17,1,MATCH(CT$9,'Vessel Profiles - Input'!$G$3:$L$3,0))</f>
        <v>18</v>
      </c>
    </row>
    <row r="249" spans="1:100" hidden="1" outlineLevel="1" x14ac:dyDescent="0.2">
      <c r="D249" s="12" t="s">
        <v>307</v>
      </c>
      <c r="G249" s="18">
        <f t="shared" ref="G249:R249" si="1002">G73</f>
        <v>240</v>
      </c>
      <c r="H249" s="18">
        <f t="shared" si="1002"/>
        <v>240</v>
      </c>
      <c r="I249" s="18">
        <f t="shared" si="1002"/>
        <v>240</v>
      </c>
      <c r="J249" s="18">
        <f t="shared" si="1002"/>
        <v>240</v>
      </c>
      <c r="K249" s="18">
        <f t="shared" si="1002"/>
        <v>240</v>
      </c>
      <c r="L249" s="18">
        <f t="shared" si="1002"/>
        <v>240</v>
      </c>
      <c r="M249" s="18">
        <f t="shared" si="1002"/>
        <v>240</v>
      </c>
      <c r="N249" s="18">
        <f t="shared" si="1002"/>
        <v>240</v>
      </c>
      <c r="O249" s="18">
        <f t="shared" si="1002"/>
        <v>240</v>
      </c>
      <c r="P249" s="18">
        <f t="shared" si="1002"/>
        <v>240</v>
      </c>
      <c r="Q249" s="18">
        <f t="shared" si="1002"/>
        <v>240</v>
      </c>
      <c r="R249" s="18">
        <f t="shared" si="1002"/>
        <v>240</v>
      </c>
      <c r="X249" s="12" t="s">
        <v>307</v>
      </c>
      <c r="AA249" s="18">
        <f t="shared" ref="AA249:AL249" si="1003">AA73</f>
        <v>240</v>
      </c>
      <c r="AB249" s="18">
        <f t="shared" si="1003"/>
        <v>240</v>
      </c>
      <c r="AC249" s="18">
        <f t="shared" si="1003"/>
        <v>240</v>
      </c>
      <c r="AD249" s="18">
        <f t="shared" si="1003"/>
        <v>240</v>
      </c>
      <c r="AE249" s="18">
        <f t="shared" si="1003"/>
        <v>240</v>
      </c>
      <c r="AF249" s="18">
        <f t="shared" si="1003"/>
        <v>240</v>
      </c>
      <c r="AG249" s="18">
        <f t="shared" si="1003"/>
        <v>240</v>
      </c>
      <c r="AH249" s="18">
        <f t="shared" si="1003"/>
        <v>240</v>
      </c>
      <c r="AI249" s="18">
        <f t="shared" si="1003"/>
        <v>240</v>
      </c>
      <c r="AJ249" s="18">
        <f t="shared" si="1003"/>
        <v>240</v>
      </c>
      <c r="AK249" s="18">
        <f t="shared" si="1003"/>
        <v>240</v>
      </c>
      <c r="AL249" s="18">
        <f t="shared" si="1003"/>
        <v>240</v>
      </c>
      <c r="AR249" s="12" t="s">
        <v>307</v>
      </c>
      <c r="AU249" s="18">
        <f t="shared" ref="AU249:BF249" si="1004">AU73</f>
        <v>240</v>
      </c>
      <c r="AV249" s="18">
        <f t="shared" si="1004"/>
        <v>240</v>
      </c>
      <c r="AW249" s="18">
        <f t="shared" si="1004"/>
        <v>240</v>
      </c>
      <c r="AX249" s="18">
        <f t="shared" si="1004"/>
        <v>240</v>
      </c>
      <c r="AY249" s="18">
        <f t="shared" si="1004"/>
        <v>240</v>
      </c>
      <c r="AZ249" s="18">
        <f t="shared" si="1004"/>
        <v>240</v>
      </c>
      <c r="BA249" s="18">
        <f t="shared" si="1004"/>
        <v>240</v>
      </c>
      <c r="BB249" s="18">
        <f t="shared" si="1004"/>
        <v>240</v>
      </c>
      <c r="BC249" s="18">
        <f t="shared" si="1004"/>
        <v>240</v>
      </c>
      <c r="BD249" s="18">
        <f t="shared" si="1004"/>
        <v>240</v>
      </c>
      <c r="BE249" s="18">
        <f t="shared" si="1004"/>
        <v>240</v>
      </c>
      <c r="BF249" s="18">
        <f t="shared" si="1004"/>
        <v>240</v>
      </c>
      <c r="BL249" s="12" t="s">
        <v>307</v>
      </c>
      <c r="BO249" s="18">
        <f t="shared" ref="BO249:BZ249" si="1005">BO73</f>
        <v>240</v>
      </c>
      <c r="BP249" s="18">
        <f t="shared" si="1005"/>
        <v>240</v>
      </c>
      <c r="BQ249" s="18">
        <f t="shared" si="1005"/>
        <v>240</v>
      </c>
      <c r="BR249" s="18">
        <f t="shared" si="1005"/>
        <v>240</v>
      </c>
      <c r="BS249" s="18">
        <f t="shared" si="1005"/>
        <v>240</v>
      </c>
      <c r="BT249" s="18">
        <f t="shared" si="1005"/>
        <v>240</v>
      </c>
      <c r="BU249" s="18">
        <f t="shared" si="1005"/>
        <v>240</v>
      </c>
      <c r="BV249" s="18">
        <f t="shared" si="1005"/>
        <v>240</v>
      </c>
      <c r="BW249" s="18">
        <f t="shared" si="1005"/>
        <v>240</v>
      </c>
      <c r="BX249" s="18">
        <f t="shared" si="1005"/>
        <v>240</v>
      </c>
      <c r="BY249" s="18">
        <f t="shared" si="1005"/>
        <v>240</v>
      </c>
      <c r="BZ249" s="18">
        <f t="shared" si="1005"/>
        <v>240</v>
      </c>
      <c r="CF249" s="12" t="s">
        <v>307</v>
      </c>
      <c r="CI249" s="18">
        <f t="shared" ref="CI249:CT249" si="1006">CI73</f>
        <v>240</v>
      </c>
      <c r="CJ249" s="18">
        <f t="shared" si="1006"/>
        <v>240</v>
      </c>
      <c r="CK249" s="18">
        <f t="shared" si="1006"/>
        <v>240</v>
      </c>
      <c r="CL249" s="18">
        <f t="shared" si="1006"/>
        <v>240</v>
      </c>
      <c r="CM249" s="18">
        <f t="shared" si="1006"/>
        <v>240</v>
      </c>
      <c r="CN249" s="18">
        <f t="shared" si="1006"/>
        <v>240</v>
      </c>
      <c r="CO249" s="18">
        <f t="shared" si="1006"/>
        <v>240</v>
      </c>
      <c r="CP249" s="18">
        <f t="shared" si="1006"/>
        <v>240</v>
      </c>
      <c r="CQ249" s="18">
        <f t="shared" si="1006"/>
        <v>240</v>
      </c>
      <c r="CR249" s="18">
        <f t="shared" si="1006"/>
        <v>240</v>
      </c>
      <c r="CS249" s="18">
        <f t="shared" si="1006"/>
        <v>240</v>
      </c>
      <c r="CT249" s="18">
        <f t="shared" si="1006"/>
        <v>240</v>
      </c>
    </row>
    <row r="250" spans="1:100" hidden="1" outlineLevel="1" x14ac:dyDescent="0.2">
      <c r="D250" s="12"/>
      <c r="G250" s="18"/>
      <c r="H250" s="18"/>
      <c r="I250" s="18"/>
      <c r="J250" s="18"/>
      <c r="K250" s="18"/>
      <c r="L250" s="18"/>
      <c r="M250" s="18"/>
      <c r="N250" s="18"/>
      <c r="O250" s="18"/>
      <c r="P250" s="18"/>
      <c r="Q250" s="18"/>
      <c r="R250" s="18"/>
      <c r="X250" s="12"/>
      <c r="AA250" s="18"/>
      <c r="AB250" s="18"/>
      <c r="AC250" s="18"/>
      <c r="AD250" s="18"/>
      <c r="AE250" s="18"/>
      <c r="AF250" s="18"/>
      <c r="AG250" s="18"/>
      <c r="AH250" s="18"/>
      <c r="AI250" s="18"/>
      <c r="AJ250" s="18"/>
      <c r="AK250" s="18"/>
      <c r="AL250" s="18"/>
      <c r="AR250" s="12"/>
      <c r="AU250" s="18"/>
      <c r="AV250" s="18"/>
      <c r="AW250" s="18"/>
      <c r="AX250" s="18"/>
      <c r="AY250" s="18"/>
      <c r="AZ250" s="18"/>
      <c r="BA250" s="18"/>
      <c r="BB250" s="18"/>
      <c r="BC250" s="18"/>
      <c r="BD250" s="18"/>
      <c r="BE250" s="18"/>
      <c r="BF250" s="18"/>
      <c r="BL250" s="12"/>
      <c r="BO250" s="18"/>
      <c r="BP250" s="18"/>
      <c r="BQ250" s="18"/>
      <c r="BR250" s="18"/>
      <c r="BS250" s="18"/>
      <c r="BT250" s="18"/>
      <c r="BU250" s="18"/>
      <c r="BV250" s="18"/>
      <c r="BW250" s="18"/>
      <c r="BX250" s="18"/>
      <c r="BY250" s="18"/>
      <c r="BZ250" s="18"/>
      <c r="CF250" s="12"/>
      <c r="CI250" s="18"/>
      <c r="CJ250" s="18"/>
      <c r="CK250" s="18"/>
      <c r="CL250" s="18"/>
      <c r="CM250" s="18"/>
      <c r="CN250" s="18"/>
      <c r="CO250" s="18"/>
      <c r="CP250" s="18"/>
      <c r="CQ250" s="18"/>
      <c r="CR250" s="18"/>
      <c r="CS250" s="18"/>
      <c r="CT250" s="18"/>
    </row>
    <row r="251" spans="1:100" s="266" customFormat="1" hidden="1" outlineLevel="1" x14ac:dyDescent="0.2">
      <c r="D251" s="316" t="s">
        <v>427</v>
      </c>
      <c r="E251" s="266" t="s">
        <v>256</v>
      </c>
      <c r="F251" s="282"/>
      <c r="G251" s="317">
        <f ca="1">+G243</f>
        <v>23.468662783453922</v>
      </c>
      <c r="H251" s="317">
        <f t="shared" ref="H251:R251" ca="1" si="1007">+H243</f>
        <v>23.468662783453922</v>
      </c>
      <c r="I251" s="317">
        <f t="shared" ca="1" si="1007"/>
        <v>23.468662783453922</v>
      </c>
      <c r="J251" s="317">
        <f t="shared" ca="1" si="1007"/>
        <v>23.468662783453922</v>
      </c>
      <c r="K251" s="317">
        <f t="shared" ca="1" si="1007"/>
        <v>23.468662783453922</v>
      </c>
      <c r="L251" s="317">
        <f t="shared" ca="1" si="1007"/>
        <v>23.468662783453922</v>
      </c>
      <c r="M251" s="317">
        <f t="shared" ca="1" si="1007"/>
        <v>23.468662783453922</v>
      </c>
      <c r="N251" s="317">
        <f t="shared" ca="1" si="1007"/>
        <v>23.468662783453922</v>
      </c>
      <c r="O251" s="317">
        <f t="shared" ca="1" si="1007"/>
        <v>23.468662783453922</v>
      </c>
      <c r="P251" s="317">
        <f t="shared" ca="1" si="1007"/>
        <v>23.468662783453922</v>
      </c>
      <c r="Q251" s="317">
        <f t="shared" ca="1" si="1007"/>
        <v>23.468662783453922</v>
      </c>
      <c r="R251" s="317">
        <f t="shared" ca="1" si="1007"/>
        <v>23.468662783453922</v>
      </c>
      <c r="X251" s="316" t="s">
        <v>427</v>
      </c>
      <c r="Y251" s="266" t="s">
        <v>256</v>
      </c>
      <c r="Z251" s="282"/>
      <c r="AA251" s="317">
        <f ca="1">+AA243</f>
        <v>24.429660022149903</v>
      </c>
      <c r="AB251" s="317">
        <f t="shared" ref="AB251:AL251" ca="1" si="1008">+AB243</f>
        <v>24.362354949972087</v>
      </c>
      <c r="AC251" s="317">
        <f t="shared" ca="1" si="1008"/>
        <v>24.315531594063081</v>
      </c>
      <c r="AD251" s="317">
        <f t="shared" ca="1" si="1008"/>
        <v>24.282957129945586</v>
      </c>
      <c r="AE251" s="317">
        <f t="shared" ca="1" si="1008"/>
        <v>24.260295454122872</v>
      </c>
      <c r="AF251" s="317">
        <f t="shared" ca="1" si="1008"/>
        <v>24.244529989824166</v>
      </c>
      <c r="AG251" s="317">
        <f t="shared" ca="1" si="1008"/>
        <v>24.23356213967493</v>
      </c>
      <c r="AH251" s="317">
        <f t="shared" ca="1" si="1008"/>
        <v>24.23356213967493</v>
      </c>
      <c r="AI251" s="317">
        <f t="shared" ca="1" si="1008"/>
        <v>24.23356213967493</v>
      </c>
      <c r="AJ251" s="317">
        <f t="shared" ca="1" si="1008"/>
        <v>24.23356213967493</v>
      </c>
      <c r="AK251" s="317">
        <f t="shared" ca="1" si="1008"/>
        <v>24.23356213967493</v>
      </c>
      <c r="AL251" s="317">
        <f t="shared" ca="1" si="1008"/>
        <v>24.23356213967493</v>
      </c>
      <c r="AR251" s="316" t="s">
        <v>427</v>
      </c>
      <c r="AS251" s="266" t="s">
        <v>256</v>
      </c>
      <c r="AT251" s="282"/>
      <c r="AU251" s="317">
        <f ca="1">+AU243</f>
        <v>1.4197476854431896</v>
      </c>
      <c r="AV251" s="317">
        <f t="shared" ref="AV251:BF251" ca="1" si="1009">+AV243</f>
        <v>1.2274076209802296</v>
      </c>
      <c r="AW251" s="317">
        <f t="shared" ca="1" si="1009"/>
        <v>1.0833529958996746</v>
      </c>
      <c r="AX251" s="317">
        <f t="shared" ca="1" si="1009"/>
        <v>0.8755641874483423</v>
      </c>
      <c r="AY251" s="317">
        <f t="shared" ca="1" si="1009"/>
        <v>0.79076145887996263</v>
      </c>
      <c r="AZ251" s="317">
        <f t="shared" ca="1" si="1009"/>
        <v>0.70413548629907863</v>
      </c>
      <c r="BA251" s="317">
        <f t="shared" ca="1" si="1009"/>
        <v>0.62407729478418961</v>
      </c>
      <c r="BB251" s="317">
        <f t="shared" ca="1" si="1009"/>
        <v>0.62407729478418961</v>
      </c>
      <c r="BC251" s="317">
        <f t="shared" ca="1" si="1009"/>
        <v>0.62407729478418961</v>
      </c>
      <c r="BD251" s="317">
        <f t="shared" ca="1" si="1009"/>
        <v>0.62407729478418961</v>
      </c>
      <c r="BE251" s="317">
        <f t="shared" ca="1" si="1009"/>
        <v>0.62407729478418961</v>
      </c>
      <c r="BF251" s="317">
        <f t="shared" ca="1" si="1009"/>
        <v>0.62407729478418961</v>
      </c>
      <c r="BL251" s="316" t="s">
        <v>427</v>
      </c>
      <c r="BM251" s="266" t="s">
        <v>256</v>
      </c>
      <c r="BN251" s="282"/>
      <c r="BO251" s="317">
        <f ca="1">+BO243</f>
        <v>6.0829573072531167</v>
      </c>
      <c r="BP251" s="317">
        <f t="shared" ref="BP251:BZ251" ca="1" si="1010">+BP243</f>
        <v>5.6508757857034189</v>
      </c>
      <c r="BQ251" s="317">
        <f t="shared" ca="1" si="1010"/>
        <v>5.2728390558493672</v>
      </c>
      <c r="BR251" s="317">
        <f t="shared" ca="1" si="1010"/>
        <v>4.8458754823983785</v>
      </c>
      <c r="BS251" s="317">
        <f t="shared" ca="1" si="1010"/>
        <v>4.5466692230320067</v>
      </c>
      <c r="BT251" s="317">
        <f t="shared" ca="1" si="1010"/>
        <v>4.2550890278591424</v>
      </c>
      <c r="BU251" s="317">
        <f t="shared" ca="1" si="1010"/>
        <v>3.9620175526593493</v>
      </c>
      <c r="BV251" s="317">
        <f t="shared" ca="1" si="1010"/>
        <v>3.9620175526593493</v>
      </c>
      <c r="BW251" s="317">
        <f t="shared" ca="1" si="1010"/>
        <v>3.9620175526593493</v>
      </c>
      <c r="BX251" s="317">
        <f t="shared" ca="1" si="1010"/>
        <v>3.9620175526593493</v>
      </c>
      <c r="BY251" s="317">
        <f t="shared" ca="1" si="1010"/>
        <v>3.9620175526593493</v>
      </c>
      <c r="BZ251" s="317">
        <f t="shared" ca="1" si="1010"/>
        <v>3.9620175526593493</v>
      </c>
      <c r="CF251" s="316" t="s">
        <v>427</v>
      </c>
      <c r="CG251" s="266" t="s">
        <v>256</v>
      </c>
      <c r="CH251" s="282"/>
      <c r="CI251" s="317">
        <f ca="1">+CI243</f>
        <v>3.464574610665498</v>
      </c>
      <c r="CJ251" s="317">
        <f t="shared" ref="CJ251:CT251" ca="1" si="1011">+CJ243</f>
        <v>2.8621140304176782</v>
      </c>
      <c r="CK251" s="317">
        <f t="shared" ca="1" si="1011"/>
        <v>2.3181778149010954</v>
      </c>
      <c r="CL251" s="317">
        <f t="shared" ca="1" si="1011"/>
        <v>1.7285055553352253</v>
      </c>
      <c r="CM251" s="317">
        <f t="shared" ca="1" si="1011"/>
        <v>1.2688104119880375</v>
      </c>
      <c r="CN251" s="317">
        <f t="shared" ca="1" si="1011"/>
        <v>0.8182856233611796</v>
      </c>
      <c r="CO251" s="317">
        <f t="shared" ca="1" si="1011"/>
        <v>0.36734389966571263</v>
      </c>
      <c r="CP251" s="317">
        <f t="shared" ca="1" si="1011"/>
        <v>0.36734389966571263</v>
      </c>
      <c r="CQ251" s="317">
        <f t="shared" ca="1" si="1011"/>
        <v>0.36734389966571263</v>
      </c>
      <c r="CR251" s="317">
        <f t="shared" ca="1" si="1011"/>
        <v>0.36734389966571263</v>
      </c>
      <c r="CS251" s="317">
        <f t="shared" ca="1" si="1011"/>
        <v>0.36734389966571263</v>
      </c>
      <c r="CT251" s="317">
        <f t="shared" ca="1" si="1011"/>
        <v>0.36734389966571263</v>
      </c>
    </row>
    <row r="252" spans="1:100" hidden="1" outlineLevel="1" x14ac:dyDescent="0.2"/>
    <row r="253" spans="1:100" s="266" customFormat="1" hidden="1" outlineLevel="1" x14ac:dyDescent="0.2">
      <c r="D253" s="316" t="s">
        <v>428</v>
      </c>
      <c r="E253" s="266" t="s">
        <v>429</v>
      </c>
      <c r="F253" s="282"/>
      <c r="G253" s="319">
        <f t="shared" ref="G253:R253" ca="1" si="1012">(G182+G187)/G238*1000</f>
        <v>92.679854368932013</v>
      </c>
      <c r="H253" s="319">
        <f t="shared" ca="1" si="1012"/>
        <v>92.679854368932013</v>
      </c>
      <c r="I253" s="319">
        <f t="shared" ca="1" si="1012"/>
        <v>92.679854368932013</v>
      </c>
      <c r="J253" s="319">
        <f t="shared" ca="1" si="1012"/>
        <v>92.679854368932013</v>
      </c>
      <c r="K253" s="319">
        <f t="shared" ca="1" si="1012"/>
        <v>92.679854368932013</v>
      </c>
      <c r="L253" s="319">
        <f t="shared" ca="1" si="1012"/>
        <v>92.679854368932013</v>
      </c>
      <c r="M253" s="319">
        <f t="shared" ca="1" si="1012"/>
        <v>92.679854368932013</v>
      </c>
      <c r="N253" s="319">
        <f t="shared" ca="1" si="1012"/>
        <v>92.679854368932013</v>
      </c>
      <c r="O253" s="319">
        <f t="shared" ca="1" si="1012"/>
        <v>92.679854368932013</v>
      </c>
      <c r="P253" s="319">
        <f t="shared" ca="1" si="1012"/>
        <v>92.679854368932013</v>
      </c>
      <c r="Q253" s="319">
        <f t="shared" ca="1" si="1012"/>
        <v>92.679854368932013</v>
      </c>
      <c r="R253" s="319">
        <f t="shared" ca="1" si="1012"/>
        <v>92.679854368932013</v>
      </c>
      <c r="X253" s="316" t="s">
        <v>428</v>
      </c>
      <c r="Y253" s="266" t="s">
        <v>429</v>
      </c>
      <c r="Z253" s="282"/>
      <c r="AA253" s="319">
        <f t="shared" ref="AA253:AL253" ca="1" si="1013">(AA182+AA187)/AA238*1000</f>
        <v>96.474918661818904</v>
      </c>
      <c r="AB253" s="319">
        <f t="shared" ca="1" si="1013"/>
        <v>96.209124894816185</v>
      </c>
      <c r="AC253" s="319">
        <f t="shared" ca="1" si="1013"/>
        <v>96.02421526247997</v>
      </c>
      <c r="AD253" s="319">
        <f t="shared" ca="1" si="1013"/>
        <v>95.89557578189212</v>
      </c>
      <c r="AE253" s="319">
        <f t="shared" ca="1" si="1013"/>
        <v>95.806082791414354</v>
      </c>
      <c r="AF253" s="319">
        <f t="shared" ca="1" si="1013"/>
        <v>95.743823558805119</v>
      </c>
      <c r="AG253" s="319">
        <f t="shared" ca="1" si="1013"/>
        <v>95.700510534797303</v>
      </c>
      <c r="AH253" s="319">
        <f t="shared" ca="1" si="1013"/>
        <v>95.700510534797303</v>
      </c>
      <c r="AI253" s="319">
        <f t="shared" ca="1" si="1013"/>
        <v>95.700510534797303</v>
      </c>
      <c r="AJ253" s="319">
        <f t="shared" ca="1" si="1013"/>
        <v>95.700510534797303</v>
      </c>
      <c r="AK253" s="319">
        <f t="shared" ca="1" si="1013"/>
        <v>95.700510534797303</v>
      </c>
      <c r="AL253" s="319">
        <f t="shared" ca="1" si="1013"/>
        <v>95.700510534797303</v>
      </c>
      <c r="AR253" s="316" t="s">
        <v>428</v>
      </c>
      <c r="AS253" s="266" t="s">
        <v>429</v>
      </c>
      <c r="AT253" s="282"/>
      <c r="AU253" s="319">
        <f t="shared" ref="AU253:BF253" ca="1" si="1014">(AU182+AU187)/AU238*1000</f>
        <v>5.6067109550132619</v>
      </c>
      <c r="AV253" s="319">
        <f t="shared" ca="1" si="1014"/>
        <v>4.8471427883810314</v>
      </c>
      <c r="AW253" s="319">
        <f t="shared" ca="1" si="1014"/>
        <v>4.2782581528640167</v>
      </c>
      <c r="AX253" s="319">
        <f t="shared" ca="1" si="1014"/>
        <v>3.4576815105364989</v>
      </c>
      <c r="AY253" s="319">
        <f t="shared" ca="1" si="1014"/>
        <v>3.122787928983711</v>
      </c>
      <c r="AZ253" s="319">
        <f t="shared" ca="1" si="1014"/>
        <v>2.7806941932884781</v>
      </c>
      <c r="BA253" s="319">
        <f t="shared" ca="1" si="1014"/>
        <v>2.4645372141242818</v>
      </c>
      <c r="BB253" s="319">
        <f t="shared" ca="1" si="1014"/>
        <v>2.4645372141242818</v>
      </c>
      <c r="BC253" s="319">
        <f t="shared" ca="1" si="1014"/>
        <v>2.4645372141242818</v>
      </c>
      <c r="BD253" s="319">
        <f t="shared" ca="1" si="1014"/>
        <v>2.4645372141242818</v>
      </c>
      <c r="BE253" s="319">
        <f t="shared" ca="1" si="1014"/>
        <v>2.4645372141242818</v>
      </c>
      <c r="BF253" s="319">
        <f t="shared" ca="1" si="1014"/>
        <v>2.4645372141242818</v>
      </c>
      <c r="BL253" s="316" t="s">
        <v>428</v>
      </c>
      <c r="BM253" s="266" t="s">
        <v>429</v>
      </c>
      <c r="BN253" s="282"/>
      <c r="BO253" s="319">
        <f t="shared" ref="BO253:BZ253" ca="1" si="1015">(BO182+BO187)/BO238*1000</f>
        <v>24.022144021180537</v>
      </c>
      <c r="BP253" s="319">
        <f t="shared" ca="1" si="1015"/>
        <v>22.315815336745835</v>
      </c>
      <c r="BQ253" s="319">
        <f t="shared" ca="1" si="1015"/>
        <v>20.822914382300212</v>
      </c>
      <c r="BR253" s="319">
        <f t="shared" ca="1" si="1015"/>
        <v>19.136796933965012</v>
      </c>
      <c r="BS253" s="319">
        <f t="shared" ca="1" si="1015"/>
        <v>17.955204578225899</v>
      </c>
      <c r="BT253" s="319">
        <f t="shared" ca="1" si="1015"/>
        <v>16.803728234011768</v>
      </c>
      <c r="BU253" s="319">
        <f t="shared" ca="1" si="1015"/>
        <v>15.646362691209951</v>
      </c>
      <c r="BV253" s="319">
        <f t="shared" ca="1" si="1015"/>
        <v>15.646362691209951</v>
      </c>
      <c r="BW253" s="319">
        <f t="shared" ca="1" si="1015"/>
        <v>15.646362691209951</v>
      </c>
      <c r="BX253" s="319">
        <f t="shared" ca="1" si="1015"/>
        <v>15.646362691209951</v>
      </c>
      <c r="BY253" s="319">
        <f t="shared" ca="1" si="1015"/>
        <v>15.646362691209951</v>
      </c>
      <c r="BZ253" s="319">
        <f t="shared" ca="1" si="1015"/>
        <v>15.646362691209951</v>
      </c>
      <c r="CF253" s="316" t="s">
        <v>428</v>
      </c>
      <c r="CG253" s="266" t="s">
        <v>429</v>
      </c>
      <c r="CH253" s="282"/>
      <c r="CI253" s="319">
        <f t="shared" ref="CI253:CT253" ca="1" si="1016">(CI182+CI187)/CI238*1000</f>
        <v>13.681915894805888</v>
      </c>
      <c r="CJ253" s="319">
        <f t="shared" ca="1" si="1016"/>
        <v>11.302745025311108</v>
      </c>
      <c r="CK253" s="319">
        <f t="shared" ca="1" si="1016"/>
        <v>9.154692121521169</v>
      </c>
      <c r="CL253" s="319">
        <f t="shared" ca="1" si="1016"/>
        <v>6.8260234774561761</v>
      </c>
      <c r="CM253" s="319">
        <f t="shared" ca="1" si="1016"/>
        <v>5.0106461237213091</v>
      </c>
      <c r="CN253" s="319">
        <f t="shared" ca="1" si="1016"/>
        <v>3.2314833233179909</v>
      </c>
      <c r="CO253" s="319">
        <f t="shared" ca="1" si="1016"/>
        <v>1.4506740089314576</v>
      </c>
      <c r="CP253" s="319">
        <f t="shared" ca="1" si="1016"/>
        <v>1.4506740089314576</v>
      </c>
      <c r="CQ253" s="319">
        <f t="shared" ca="1" si="1016"/>
        <v>1.4506740089314576</v>
      </c>
      <c r="CR253" s="319">
        <f t="shared" ca="1" si="1016"/>
        <v>1.4506740089314576</v>
      </c>
      <c r="CS253" s="319">
        <f t="shared" ca="1" si="1016"/>
        <v>1.4506740089314576</v>
      </c>
      <c r="CT253" s="319">
        <f t="shared" ca="1" si="1016"/>
        <v>1.4506740089314576</v>
      </c>
    </row>
    <row r="254" spans="1:100" collapsed="1" x14ac:dyDescent="0.2"/>
    <row r="255" spans="1:100" s="269" customFormat="1" x14ac:dyDescent="0.2">
      <c r="B255" s="50" t="s">
        <v>430</v>
      </c>
      <c r="F255" s="270"/>
      <c r="Z255" s="270"/>
      <c r="AT255" s="270"/>
      <c r="BN255" s="270"/>
      <c r="CH255" s="270"/>
    </row>
    <row r="256" spans="1:100" s="280" customFormat="1" x14ac:dyDescent="0.2">
      <c r="A256" s="4"/>
      <c r="B256" s="280" t="s">
        <v>431</v>
      </c>
    </row>
    <row r="257" spans="3:87" outlineLevel="1" x14ac:dyDescent="0.2">
      <c r="C257" s="266" t="s">
        <v>432</v>
      </c>
      <c r="F257"/>
      <c r="Z257"/>
      <c r="AT257"/>
      <c r="BN257"/>
      <c r="CH257"/>
    </row>
    <row r="258" spans="3:87" outlineLevel="1" x14ac:dyDescent="0.2">
      <c r="D258" s="288" t="s">
        <v>1691</v>
      </c>
      <c r="E258" s="266" t="s">
        <v>211</v>
      </c>
      <c r="F258"/>
      <c r="G258" s="289">
        <f ca="1">SUM(G259:G260)</f>
        <v>17898390.185840357</v>
      </c>
      <c r="Z258"/>
      <c r="AA258" s="289">
        <f ca="1">SUM(AA259:AA260)</f>
        <v>23292154.795096766</v>
      </c>
      <c r="AT258"/>
      <c r="AU258" s="289">
        <f ca="1">SUM(AU259:AU260)</f>
        <v>55972800.306250662</v>
      </c>
      <c r="BN258"/>
      <c r="BO258" s="289">
        <f ca="1">SUM(BO259:BO260)</f>
        <v>47098877.703261919</v>
      </c>
      <c r="CH258"/>
      <c r="CI258" s="289">
        <f ca="1">SUM(CI259:CI260)</f>
        <v>42790877.031470925</v>
      </c>
    </row>
    <row r="259" spans="3:87" outlineLevel="1" x14ac:dyDescent="0.2">
      <c r="D259" s="12" t="s">
        <v>1690</v>
      </c>
      <c r="E259" t="s">
        <v>211</v>
      </c>
      <c r="F259"/>
      <c r="G259" s="761">
        <f ca="1">AVERAGE($G$173:$R$173)+AVERAGE(G$174:R$174)</f>
        <v>0</v>
      </c>
      <c r="Z259"/>
      <c r="AA259" s="761">
        <f ca="1">AVERAGE($G$173:$R$173)+AVERAGE(AA$174:AL$174)</f>
        <v>0</v>
      </c>
      <c r="AT259"/>
      <c r="AU259" s="761">
        <f ca="1">AVERAGE($G$173:$R$173)+AVERAGE(AU$174:BF$174)</f>
        <v>0</v>
      </c>
      <c r="BN259"/>
      <c r="BO259" s="761">
        <f ca="1">AVERAGE($G$173:$R$173)+AVERAGE(BO$174:BZ$174)</f>
        <v>0</v>
      </c>
      <c r="CH259"/>
      <c r="CI259" s="761">
        <f ca="1">AVERAGE($G$173:$R$173)+AVERAGE(CI$174:CT$174)</f>
        <v>0</v>
      </c>
    </row>
    <row r="260" spans="3:87" outlineLevel="1" x14ac:dyDescent="0.2">
      <c r="D260" s="12" t="s">
        <v>433</v>
      </c>
      <c r="E260" t="s">
        <v>211</v>
      </c>
      <c r="F260"/>
      <c r="G260" s="761">
        <f ca="1">(G106*G262)+(G107*G263)</f>
        <v>17898390.185840357</v>
      </c>
      <c r="Z260"/>
      <c r="AA260" s="761">
        <f ca="1">(AA106*AA262)+(AA107*AA263)</f>
        <v>23292154.795096766</v>
      </c>
      <c r="AT260"/>
      <c r="AU260" s="761">
        <f ca="1">(AU106*AU262)+(AU107*AU263)</f>
        <v>55972800.306250662</v>
      </c>
      <c r="BN260"/>
      <c r="BO260" s="761">
        <f ca="1">(BO106*BO262)+(BO107*BO263)</f>
        <v>47098877.703261919</v>
      </c>
      <c r="CH260"/>
      <c r="CI260" s="761">
        <f ca="1">(CI106*CI262)+(CI107*CI263)</f>
        <v>42790877.031470925</v>
      </c>
    </row>
    <row r="261" spans="3:87" outlineLevel="1" x14ac:dyDescent="0.2">
      <c r="D261" s="12" t="s">
        <v>434</v>
      </c>
      <c r="E261" s="224" t="s">
        <v>326</v>
      </c>
      <c r="F261"/>
      <c r="G261" s="22">
        <f ca="1">SUM(G262:G263)</f>
        <v>833505.88235294109</v>
      </c>
      <c r="Z261"/>
      <c r="AA261" s="22">
        <f ca="1">SUM(AA262:AA263)</f>
        <v>833505.88235294109</v>
      </c>
      <c r="AT261"/>
      <c r="AU261" s="22">
        <f ca="1">SUM(AU262:AU263)</f>
        <v>833505.88235294109</v>
      </c>
      <c r="BN261"/>
      <c r="BO261" s="22">
        <f ca="1">SUM(BO262:BO263)</f>
        <v>833505.88235294109</v>
      </c>
      <c r="CH261"/>
      <c r="CI261" s="22">
        <f ca="1">SUM(CI262:CI263)</f>
        <v>833505.88235294109</v>
      </c>
    </row>
    <row r="262" spans="3:87" outlineLevel="1" x14ac:dyDescent="0.2">
      <c r="D262" s="12" t="s">
        <v>435</v>
      </c>
      <c r="E262" s="224" t="s">
        <v>326</v>
      </c>
      <c r="F262"/>
      <c r="G262" s="22">
        <f ca="1">G$118*G111/G112*GJ_per_MWh</f>
        <v>833505.88235294109</v>
      </c>
      <c r="Z262"/>
      <c r="AA262" s="22">
        <f ca="1">AA$118*AA111/AA112*GJ_per_MWh</f>
        <v>825170.82352941169</v>
      </c>
      <c r="AT262"/>
      <c r="AU262" s="22">
        <f ca="1">AU$118*AU111/AU112*GJ_per_MWh</f>
        <v>791830.58823529398</v>
      </c>
      <c r="BN262"/>
      <c r="BO262" s="22">
        <f ca="1">BO$118*BO111/BO112*GJ_per_MWh</f>
        <v>791830.58823529398</v>
      </c>
      <c r="CH262"/>
      <c r="CI262" s="22">
        <f ca="1">CI$118*CI111/CI112*GJ_per_MWh</f>
        <v>791830.58823529398</v>
      </c>
    </row>
    <row r="263" spans="3:87" outlineLevel="1" x14ac:dyDescent="0.2">
      <c r="D263" s="12" t="s">
        <v>436</v>
      </c>
      <c r="E263" s="224" t="s">
        <v>326</v>
      </c>
      <c r="F263"/>
      <c r="G263" s="98">
        <f ca="1">G$118*G115/G116*GJ_per_MWh</f>
        <v>0</v>
      </c>
      <c r="Z263"/>
      <c r="AA263" s="98">
        <f ca="1">AA$118*AA115/AA116*GJ_per_MWh</f>
        <v>8335.0588235294181</v>
      </c>
      <c r="AT263"/>
      <c r="AU263" s="98">
        <f ca="1">AU$118*AU115/AU116*GJ_per_MWh</f>
        <v>41675.294117647092</v>
      </c>
      <c r="BN263"/>
      <c r="BO263" s="98">
        <f ca="1">BO$118*BO115/BO116*GJ_per_MWh</f>
        <v>41675.294117647092</v>
      </c>
      <c r="CH263"/>
      <c r="CI263" s="98">
        <f ca="1">CI$118*CI115/CI116*GJ_per_MWh</f>
        <v>41675.294117647092</v>
      </c>
    </row>
    <row r="264" spans="3:87" outlineLevel="1" x14ac:dyDescent="0.2">
      <c r="D264" s="12"/>
      <c r="E264" s="224"/>
      <c r="F264"/>
      <c r="G264" s="98"/>
      <c r="Z264"/>
      <c r="AA264" s="98"/>
      <c r="AT264"/>
      <c r="AU264" s="98"/>
      <c r="BN264"/>
      <c r="BO264" s="98"/>
      <c r="CH264"/>
      <c r="CI264" s="98"/>
    </row>
    <row r="265" spans="3:87" outlineLevel="1" x14ac:dyDescent="0.2">
      <c r="D265" s="288" t="s">
        <v>1695</v>
      </c>
      <c r="E265" s="266" t="s">
        <v>211</v>
      </c>
      <c r="F265"/>
      <c r="G265" s="289">
        <f ca="1">SUM(G266:G267)</f>
        <v>3143191.960163442</v>
      </c>
      <c r="Z265"/>
      <c r="AA265" s="289">
        <f ca="1">SUM(AA266:AA267)</f>
        <v>4099975.5726118255</v>
      </c>
      <c r="AT265"/>
      <c r="AU265" s="289">
        <f ca="1">SUM(AU266:AU267)</f>
        <v>9902906.9934871048</v>
      </c>
      <c r="BN265"/>
      <c r="BO265" s="289">
        <f ca="1">SUM(BO266:BO267)</f>
        <v>8262509.9997547083</v>
      </c>
      <c r="CH265"/>
      <c r="CI265" s="289">
        <f ca="1">SUM(CI266:CI267)</f>
        <v>7466150.6368025253</v>
      </c>
    </row>
    <row r="266" spans="3:87" outlineLevel="1" x14ac:dyDescent="0.2">
      <c r="D266" s="12" t="s">
        <v>1694</v>
      </c>
      <c r="E266" t="s">
        <v>211</v>
      </c>
      <c r="F266"/>
      <c r="G266" s="761">
        <f ca="1">AVERAGE($G$175:$R$175)</f>
        <v>0</v>
      </c>
      <c r="Z266"/>
      <c r="AA266" s="761">
        <f ca="1">AVERAGE($G$175:$R$175)</f>
        <v>0</v>
      </c>
      <c r="AT266"/>
      <c r="AU266" s="761">
        <f ca="1">AVERAGE($G$175:$R$175)</f>
        <v>0</v>
      </c>
      <c r="BN266"/>
      <c r="BO266" s="761">
        <f ca="1">AVERAGE($G$175:$R$175)</f>
        <v>0</v>
      </c>
      <c r="CH266"/>
      <c r="CI266" s="761">
        <f ca="1">AVERAGE($G$175:$R$175)</f>
        <v>0</v>
      </c>
    </row>
    <row r="267" spans="3:87" outlineLevel="1" x14ac:dyDescent="0.2">
      <c r="D267" s="12" t="s">
        <v>437</v>
      </c>
      <c r="E267" t="s">
        <v>211</v>
      </c>
      <c r="F267"/>
      <c r="G267" s="761">
        <f ca="1">G123*G268</f>
        <v>3143191.960163442</v>
      </c>
      <c r="Z267"/>
      <c r="AA267" s="761">
        <f ca="1">AA123*AA268</f>
        <v>4099975.5726118255</v>
      </c>
      <c r="AT267"/>
      <c r="AU267" s="761">
        <f ca="1">AU123*AU268</f>
        <v>9902906.9934871048</v>
      </c>
      <c r="BN267"/>
      <c r="BO267" s="761">
        <f ca="1">BO123*BO268</f>
        <v>8262509.9997547083</v>
      </c>
      <c r="CH267"/>
      <c r="CI267" s="761">
        <f ca="1">CI123*CI268</f>
        <v>7466150.6368025253</v>
      </c>
    </row>
    <row r="268" spans="3:87" outlineLevel="1" x14ac:dyDescent="0.2">
      <c r="D268" s="12" t="s">
        <v>438</v>
      </c>
      <c r="E268" s="224" t="s">
        <v>326</v>
      </c>
      <c r="F268"/>
      <c r="G268" s="22">
        <f ca="1">SUMPRODUCT(G126:G127,G129:G130)*G128/G131*GJ_per_MWh</f>
        <v>146374.55999999997</v>
      </c>
      <c r="Z268"/>
      <c r="AA268" s="22">
        <f ca="1">SUMPRODUCT(AA126:AA127,AA129:AA130)*AA128/AA131*GJ_per_MWh</f>
        <v>146374.55999999997</v>
      </c>
      <c r="AT268"/>
      <c r="AU268" s="22">
        <f ca="1">SUMPRODUCT(AU126:AU127,AU129:AU130)*AU128/AU131*GJ_per_MWh</f>
        <v>146374.55999999997</v>
      </c>
      <c r="BN268"/>
      <c r="BO268" s="22">
        <f ca="1">SUMPRODUCT(BO126:BO127,BO129:BO130)*BO128/BO131*GJ_per_MWh</f>
        <v>146374.55999999997</v>
      </c>
      <c r="CH268"/>
      <c r="CI268" s="22">
        <f ca="1">SUMPRODUCT(CI126:CI127,CI129:CI130)*CI128/CI131*GJ_per_MWh</f>
        <v>146374.55999999997</v>
      </c>
    </row>
    <row r="269" spans="3:87" outlineLevel="1" x14ac:dyDescent="0.2">
      <c r="D269" s="12"/>
      <c r="E269" s="224"/>
      <c r="F269"/>
      <c r="G269" s="22"/>
      <c r="Z269"/>
      <c r="AA269" s="22"/>
      <c r="AT269"/>
      <c r="AU269" s="22"/>
      <c r="BN269"/>
      <c r="BO269" s="22"/>
      <c r="CH269"/>
      <c r="CI269" s="22"/>
    </row>
    <row r="270" spans="3:87" outlineLevel="1" x14ac:dyDescent="0.2">
      <c r="D270" s="288" t="s">
        <v>1692</v>
      </c>
      <c r="E270" s="266" t="s">
        <v>211</v>
      </c>
      <c r="F270"/>
      <c r="G270" s="289">
        <f ca="1">SUM(G271:G272)</f>
        <v>259254.70366970205</v>
      </c>
      <c r="Z270"/>
      <c r="AA270" s="289">
        <f ca="1">SUM(AA271:AA272)</f>
        <v>338171.5038731597</v>
      </c>
      <c r="AT270"/>
      <c r="AU270" s="289">
        <f ca="1">SUM(AU271:AU272)</f>
        <v>816805.09832164983</v>
      </c>
      <c r="BN270"/>
      <c r="BO270" s="289">
        <f ca="1">SUM(BO271:BO272)</f>
        <v>681502.94627343433</v>
      </c>
      <c r="CH270"/>
      <c r="CI270" s="289">
        <f ca="1">SUM(CI271:CI272)</f>
        <v>615818.15410247655</v>
      </c>
    </row>
    <row r="271" spans="3:87" outlineLevel="1" x14ac:dyDescent="0.2">
      <c r="D271" s="12" t="s">
        <v>1693</v>
      </c>
      <c r="E271" t="s">
        <v>211</v>
      </c>
      <c r="F271"/>
      <c r="G271" s="761">
        <f ca="1">AVERAGE($G$176:$R$176)</f>
        <v>0</v>
      </c>
      <c r="Z271"/>
      <c r="AA271" s="761">
        <f ca="1">AVERAGE($G$176:$R$176)</f>
        <v>0</v>
      </c>
      <c r="AT271"/>
      <c r="AU271" s="761">
        <f ca="1">AVERAGE($G$176:$R$176)</f>
        <v>0</v>
      </c>
      <c r="BN271"/>
      <c r="BO271" s="761">
        <f ca="1">AVERAGE($G$176:$R$176)</f>
        <v>0</v>
      </c>
      <c r="CH271"/>
      <c r="CI271" s="761">
        <f ca="1">AVERAGE($G$176:$R$176)</f>
        <v>0</v>
      </c>
    </row>
    <row r="272" spans="3:87" outlineLevel="1" x14ac:dyDescent="0.2">
      <c r="D272" s="12" t="s">
        <v>439</v>
      </c>
      <c r="E272" t="s">
        <v>211</v>
      </c>
      <c r="F272"/>
      <c r="G272" s="761">
        <f ca="1">G273*G136</f>
        <v>259254.70366970205</v>
      </c>
      <c r="Z272"/>
      <c r="AA272" s="761">
        <f ca="1">AA273*AA136</f>
        <v>338171.5038731597</v>
      </c>
      <c r="AT272"/>
      <c r="AU272" s="761">
        <f ca="1">AU273*AU136</f>
        <v>816805.09832164983</v>
      </c>
      <c r="BN272"/>
      <c r="BO272" s="761">
        <f ca="1">BO273*BO136</f>
        <v>681502.94627343433</v>
      </c>
      <c r="CH272"/>
      <c r="CI272" s="761">
        <f ca="1">CI273*CI136</f>
        <v>615818.15410247655</v>
      </c>
    </row>
    <row r="273" spans="2:87" outlineLevel="1" x14ac:dyDescent="0.2">
      <c r="D273" s="12" t="s">
        <v>440</v>
      </c>
      <c r="E273" s="224" t="s">
        <v>326</v>
      </c>
      <c r="F273"/>
      <c r="G273" s="22">
        <f ca="1">G139*G141*GJ_per_MWh</f>
        <v>12073.170731707316</v>
      </c>
      <c r="Z273"/>
      <c r="AA273" s="22">
        <f ca="1">AA139*AA141*GJ_per_MWh</f>
        <v>12073.170731707316</v>
      </c>
      <c r="AT273"/>
      <c r="AU273" s="22">
        <f ca="1">AU139*AU141*GJ_per_MWh</f>
        <v>12073.170731707316</v>
      </c>
      <c r="BN273"/>
      <c r="BO273" s="22">
        <f ca="1">BO139*BO141*GJ_per_MWh</f>
        <v>12073.170731707316</v>
      </c>
      <c r="CH273"/>
      <c r="CI273" s="22">
        <f ca="1">CI139*CI141*GJ_per_MWh</f>
        <v>12073.170731707316</v>
      </c>
    </row>
    <row r="274" spans="2:87" outlineLevel="1" x14ac:dyDescent="0.2">
      <c r="C274" s="266" t="s">
        <v>441</v>
      </c>
      <c r="D274" s="12"/>
      <c r="E274" s="224"/>
      <c r="F274"/>
      <c r="G274" s="22"/>
      <c r="Z274"/>
      <c r="AA274" s="22"/>
      <c r="AT274"/>
      <c r="AU274" s="22"/>
      <c r="BN274"/>
      <c r="BO274" s="22"/>
      <c r="CH274"/>
      <c r="CI274" s="22"/>
    </row>
    <row r="275" spans="2:87" outlineLevel="1" x14ac:dyDescent="0.2">
      <c r="C275" s="266"/>
      <c r="D275" s="288" t="s">
        <v>442</v>
      </c>
      <c r="E275" s="282" t="s">
        <v>247</v>
      </c>
      <c r="F275" s="320" t="str">
        <f>F$22</f>
        <v>WTW</v>
      </c>
      <c r="G275" s="289">
        <f ca="1">SUM(G276:G277)</f>
        <v>77249.203792118773</v>
      </c>
      <c r="Z275"/>
      <c r="AA275" s="289">
        <f ca="1">SUM(AA276:AA277)</f>
        <v>80407.316700483629</v>
      </c>
      <c r="AT275"/>
      <c r="AU275" s="289">
        <f ca="1">SUM(AU276:AU277)</f>
        <v>4883.7121898119067</v>
      </c>
      <c r="BN275"/>
      <c r="BO275" s="289">
        <f ca="1">SUM(BO276:BO277)</f>
        <v>20105.117617672451</v>
      </c>
      <c r="CH275"/>
      <c r="CI275" s="289">
        <f ca="1">SUM(CI276:CI277)</f>
        <v>11558.329499109201</v>
      </c>
    </row>
    <row r="276" spans="2:87" outlineLevel="1" x14ac:dyDescent="0.2">
      <c r="D276" s="12" t="s">
        <v>443</v>
      </c>
      <c r="E276" s="224" t="s">
        <v>247</v>
      </c>
      <c r="F276" s="298" t="str">
        <f>F$22</f>
        <v>WTW</v>
      </c>
      <c r="G276" s="22">
        <f ca="1">G262*(IF(G$22="WTW",G183,0)+G188)/1000</f>
        <v>77249.203792118773</v>
      </c>
      <c r="Z276"/>
      <c r="AA276" s="22">
        <f ca="1">AA262*(IF(AA$22="WTW",AA183,0)+AA188)/1000</f>
        <v>79634.824662562445</v>
      </c>
      <c r="AT276"/>
      <c r="AU276" s="22">
        <f ca="1">AU262*(IF(AU$22="WTW",AU183,0)+AU188)/1000</f>
        <v>3387.6791763360416</v>
      </c>
      <c r="BN276"/>
      <c r="BO276" s="22">
        <f ca="1">BO262*(IF(BO$22="WTW",BO183,0)+BO188)/1000</f>
        <v>18609.084604196585</v>
      </c>
      <c r="CH276"/>
      <c r="CI276" s="22">
        <f ca="1">CI262*(IF(CI$22="WTW",CI183,0)+CI188)/1000</f>
        <v>10062.296485633335</v>
      </c>
    </row>
    <row r="277" spans="2:87" outlineLevel="1" x14ac:dyDescent="0.2">
      <c r="D277" s="12" t="s">
        <v>444</v>
      </c>
      <c r="E277" s="224" t="s">
        <v>247</v>
      </c>
      <c r="F277" s="298" t="str">
        <f>F$22</f>
        <v>WTW</v>
      </c>
      <c r="G277" s="22">
        <f ca="1">G263*(IF(G$22="WTW",G184,0)+G189)/1000</f>
        <v>0</v>
      </c>
      <c r="Z277"/>
      <c r="AA277" s="22">
        <f ca="1">AA263*(IF(AA$22="WTW",AA184,0)+AA189)/1000</f>
        <v>772.4920379211884</v>
      </c>
      <c r="AT277"/>
      <c r="AU277" s="22">
        <f ca="1">AU263*(IF(AU$22="WTW",AU184,0)+AU189)/1000</f>
        <v>1496.0330134758651</v>
      </c>
      <c r="BN277"/>
      <c r="BO277" s="22">
        <f ca="1">BO263*(IF(BO$22="WTW",BO184,0)+BO189)/1000</f>
        <v>1496.0330134758651</v>
      </c>
      <c r="CH277"/>
      <c r="CI277" s="22">
        <f ca="1">CI263*(IF(CI$22="WTW",CI184,0)+CI189)/1000</f>
        <v>1496.0330134758651</v>
      </c>
    </row>
    <row r="278" spans="2:87" outlineLevel="1" x14ac:dyDescent="0.2">
      <c r="D278" s="288" t="s">
        <v>445</v>
      </c>
      <c r="E278" s="282" t="s">
        <v>247</v>
      </c>
      <c r="F278" s="320" t="str">
        <f>F$22</f>
        <v>WTW</v>
      </c>
      <c r="G278" s="289">
        <f ca="1">G268*(IF(G$22="WTW",G185,0)+G190)/1000</f>
        <v>13565.972904116501</v>
      </c>
      <c r="Z278"/>
      <c r="AA278" s="289">
        <f ca="1">AA268*(IF(AA$22="WTW",AA185,0)+AA190)/1000</f>
        <v>14126.181014014304</v>
      </c>
      <c r="AT278"/>
      <c r="AU278" s="289">
        <f ca="1">AU268*(IF(AU$22="WTW",AU185,0)+AU190)/1000</f>
        <v>626.23250001299732</v>
      </c>
      <c r="BN278"/>
      <c r="BO278" s="289">
        <f ca="1">BO268*(IF(BO$22="WTW",BO185,0)+BO190)/1000</f>
        <v>3439.999175849769</v>
      </c>
      <c r="CH278"/>
      <c r="CI278" s="289">
        <f ca="1">CI268*(IF(CI$22="WTW",CI185,0)+CI190)/1000</f>
        <v>1860.0749232946541</v>
      </c>
    </row>
    <row r="279" spans="2:87" outlineLevel="1" x14ac:dyDescent="0.2">
      <c r="D279" s="288" t="s">
        <v>446</v>
      </c>
      <c r="E279" s="282" t="s">
        <v>247</v>
      </c>
      <c r="F279" s="320" t="str">
        <f>F$22</f>
        <v>WTW</v>
      </c>
      <c r="G279" s="289">
        <f ca="1">G273*(IF(G$22="WTW",G186,0)+G191)/1000</f>
        <v>1118.9397051858864</v>
      </c>
      <c r="Z279"/>
      <c r="AA279" s="289">
        <f ca="1">AA273*(IF(AA$22="WTW",AA186,0)+AA191)/1000</f>
        <v>1165.1464241408967</v>
      </c>
      <c r="AT279"/>
      <c r="AU279" s="289">
        <f ca="1">AU273*(IF(AU$22="WTW",AU186,0)+AU191)/1000</f>
        <v>51.652499521780442</v>
      </c>
      <c r="BN279"/>
      <c r="BO279" s="289">
        <f ca="1">BO273*(IF(BO$22="WTW",BO186,0)+BO191)/1000</f>
        <v>283.73576232759797</v>
      </c>
      <c r="CH279"/>
      <c r="CI279" s="289">
        <f ca="1">CI273*(IF(CI$22="WTW",CI186,0)+CI191)/1000</f>
        <v>153.42148336913021</v>
      </c>
    </row>
    <row r="280" spans="2:87" outlineLevel="1" x14ac:dyDescent="0.2">
      <c r="E280" s="224"/>
      <c r="F280" s="298"/>
      <c r="Z280"/>
      <c r="AT280"/>
      <c r="BN280"/>
      <c r="CH280"/>
    </row>
    <row r="281" spans="2:87" outlineLevel="1" x14ac:dyDescent="0.2">
      <c r="B281" s="321"/>
      <c r="C281" s="322" t="s">
        <v>447</v>
      </c>
      <c r="D281" s="322" t="s">
        <v>448</v>
      </c>
      <c r="E281" s="322" t="s">
        <v>401</v>
      </c>
      <c r="F281" s="322"/>
      <c r="G281" s="323">
        <f ca="1">IFERROR(G283+G306+G319,0)</f>
        <v>0</v>
      </c>
      <c r="AA281" s="323">
        <f ca="1">IFERROR(AA283+AA306+AA319,0)</f>
        <v>0</v>
      </c>
      <c r="AU281" s="323">
        <f ca="1">IFERROR(AU283+AU306+AU319,0)</f>
        <v>0</v>
      </c>
      <c r="BO281" s="323">
        <f ca="1">IFERROR(BO283+BO306+BO319,0)</f>
        <v>0</v>
      </c>
      <c r="CI281" s="323">
        <f ca="1">IFERROR(CI283+CI306+CI319,0)</f>
        <v>0</v>
      </c>
    </row>
    <row r="282" spans="2:87" outlineLevel="1" x14ac:dyDescent="0.2">
      <c r="B282" s="321"/>
      <c r="C282" s="322" t="s">
        <v>447</v>
      </c>
      <c r="D282" s="322" t="s">
        <v>449</v>
      </c>
      <c r="E282" s="322" t="s">
        <v>211</v>
      </c>
      <c r="F282" s="321"/>
      <c r="G282" s="323">
        <f ca="1">G284+G307+G320</f>
        <v>0</v>
      </c>
      <c r="AA282" s="323">
        <f ca="1">AA284+AA307+AA320</f>
        <v>0</v>
      </c>
      <c r="AU282" s="323">
        <f ca="1">AU284+AU307+AU320</f>
        <v>0</v>
      </c>
      <c r="BO282" s="323">
        <f ca="1">BO284+BO307+BO320</f>
        <v>0</v>
      </c>
      <c r="CI282" s="323">
        <f ca="1">CI284+CI307+CI320</f>
        <v>0</v>
      </c>
    </row>
    <row r="283" spans="2:87" outlineLevel="1" x14ac:dyDescent="0.2">
      <c r="B283" s="224" t="s">
        <v>450</v>
      </c>
      <c r="C283" s="266"/>
      <c r="D283" s="266" t="s">
        <v>451</v>
      </c>
      <c r="E283" s="266" t="s">
        <v>401</v>
      </c>
      <c r="F283" s="224" t="s">
        <v>50</v>
      </c>
      <c r="G283" s="324">
        <f ca="1">IFERROR(SUMPRODUCT($B285:$B304,G285:G304),0)</f>
        <v>0</v>
      </c>
      <c r="AA283" s="324">
        <f ca="1">IFERROR(SUMPRODUCT($B285:$B304,AA285:AA304),0)</f>
        <v>0</v>
      </c>
      <c r="AU283" s="324">
        <f ca="1">IFERROR(SUMPRODUCT($B285:$B304,AU285:AU304),0)</f>
        <v>0</v>
      </c>
      <c r="BO283" s="324">
        <f ca="1">IFERROR(SUMPRODUCT($B285:$B304,BO285:BO304),0)</f>
        <v>0</v>
      </c>
      <c r="CI283" s="324">
        <f ca="1">IFERROR(SUMPRODUCT($B285:$B304,CI285:CI304),0)</f>
        <v>0</v>
      </c>
    </row>
    <row r="284" spans="2:87" outlineLevel="1" x14ac:dyDescent="0.2">
      <c r="B284" s="224"/>
      <c r="C284" t="str">
        <f>D284&amp;"-"&amp;F284</f>
        <v>EE ME system-CAPEX</v>
      </c>
      <c r="D284" s="266" t="s">
        <v>451</v>
      </c>
      <c r="E284" s="266" t="s">
        <v>211</v>
      </c>
      <c r="F284" s="224" t="s">
        <v>50</v>
      </c>
      <c r="G284" s="324">
        <f ca="1">IFERROR(SUM(G285:G304),0)</f>
        <v>0</v>
      </c>
      <c r="AA284" s="324">
        <f ca="1">IFERROR(SUM(AA285:AA304),0)</f>
        <v>0</v>
      </c>
      <c r="AU284" s="324">
        <f ca="1">IFERROR(SUM(AU285:AU304),0)</f>
        <v>0</v>
      </c>
      <c r="BO284" s="324">
        <f ca="1">IFERROR(SUM(BO285:BO304),0)</f>
        <v>0</v>
      </c>
      <c r="CI284" s="324">
        <f ca="1">IFERROR(SUM(CI285:CI304),0)</f>
        <v>0</v>
      </c>
    </row>
    <row r="285" spans="2:87" outlineLevel="1" x14ac:dyDescent="0.2">
      <c r="B285" s="118">
        <f ca="1">INDEX('EE - Input'!$B:$V,MATCH($D285&amp;"-Lifetime",'EE - Input'!$B:$B,0),MATCH($F$9&amp;$F$10,'EE - Input'!$B$3:$V$3,0))</f>
        <v>10</v>
      </c>
      <c r="C285" t="str">
        <f>D285&amp;"-"&amp;F285</f>
        <v>Speed management-Installation cost</v>
      </c>
      <c r="D285" t="s">
        <v>134</v>
      </c>
      <c r="E285" s="224" t="s">
        <v>211</v>
      </c>
      <c r="F285" s="224" t="s">
        <v>452</v>
      </c>
      <c r="G285" s="118" cm="1">
        <f t="array" aca="1" ref="G285" ca="1">IFERROR(INDEX('EE - Input'!$B:$V,MATCH($C285,'EE - Input'!$B:$B,0),MATCH($F$9&amp;$F$10,'EE - Input'!$B$3:$V$3,0))
*(INDEX('Vessel Configurator'!$C$30:$G$62,MATCH($D285,'Vessel Configurator'!$B$30:$B$62,0),F$8)="Yes")
*INDEX(EE_Applicability,MATCH($D285,'Vessel Configurator'!$B$30:$B$62,0))/$B285,0)</f>
        <v>0</v>
      </c>
      <c r="AA285" s="118" cm="1">
        <f t="array" aca="1" ref="AA285" ca="1">IFERROR(INDEX('EE - Input'!$B:$V,MATCH($C285,'EE - Input'!$B:$B,0),MATCH($F$9&amp;$F$10,'EE - Input'!$B$3:$V$3,0))
*(INDEX('Vessel Configurator'!$C$30:$G$62,MATCH($D285,'Vessel Configurator'!$B$30:$B$62,0),Z$8)="Yes")
*INDEX(EE_Applicability,MATCH($D285,'Vessel Configurator'!$B$30:$B$62,0))/$B285,0)</f>
        <v>0</v>
      </c>
      <c r="AU285" s="118" cm="1">
        <f t="array" aca="1" ref="AU285" ca="1">IFERROR(INDEX('EE - Input'!$B:$V,MATCH($C285,'EE - Input'!$B:$B,0),MATCH($F$9&amp;$F$10,'EE - Input'!$B$3:$V$3,0))
*(INDEX('Vessel Configurator'!$C$30:$G$62,MATCH($D285,'Vessel Configurator'!$B$30:$B$62,0),AT$8)="Yes")
*INDEX(EE_Applicability,MATCH($D285,'Vessel Configurator'!$B$30:$B$62,0))/$B285,0)</f>
        <v>0</v>
      </c>
      <c r="BO285" s="118" cm="1">
        <f t="array" aca="1" ref="BO285" ca="1">IFERROR(INDEX('EE - Input'!$B:$V,MATCH($C285,'EE - Input'!$B:$B,0),MATCH($F$9&amp;$F$10,'EE - Input'!$B$3:$V$3,0))
*(INDEX('Vessel Configurator'!$C$30:$G$62,MATCH($D285,'Vessel Configurator'!$B$30:$B$62,0),BN$8)="Yes")
*INDEX(EE_Applicability,MATCH($D285,'Vessel Configurator'!$B$30:$B$62,0))/$B285,0)</f>
        <v>0</v>
      </c>
      <c r="CI285" s="118" cm="1">
        <f t="array" aca="1" ref="CI285" ca="1">IFERROR(INDEX('EE - Input'!$B:$V,MATCH($C285,'EE - Input'!$B:$B,0),MATCH($F$9&amp;$F$10,'EE - Input'!$B$3:$V$3,0))
*(INDEX('Vessel Configurator'!$C$30:$G$62,MATCH($D285,'Vessel Configurator'!$B$30:$B$62,0),CH$8)="Yes")
*INDEX(EE_Applicability,MATCH($D285,'Vessel Configurator'!$B$30:$B$62,0))/$B285,0)</f>
        <v>0</v>
      </c>
    </row>
    <row r="286" spans="2:87" outlineLevel="1" x14ac:dyDescent="0.2">
      <c r="B286" s="118">
        <f ca="1">INDEX('EE - Input'!$B:$V,MATCH($D286&amp;"-Lifetime",'EE - Input'!$B:$B,0),MATCH($F$9&amp;$F$10,'EE - Input'!$B$3:$V$3,0))</f>
        <v>25</v>
      </c>
      <c r="C286" t="str">
        <f t="shared" ref="C286:C323" si="1017">D286&amp;"-"&amp;F286</f>
        <v>Weather routing-Installation cost</v>
      </c>
      <c r="D286" t="s">
        <v>136</v>
      </c>
      <c r="E286" s="224" t="s">
        <v>211</v>
      </c>
      <c r="F286" s="224" t="s">
        <v>452</v>
      </c>
      <c r="G286" s="118" cm="1">
        <f t="array" aca="1" ref="G286" ca="1">IFERROR(INDEX('EE - Input'!$B:$V,MATCH($C286,'EE - Input'!$B:$B,0),MATCH($F$9&amp;$F$10,'EE - Input'!$B$3:$V$3,0))
*(INDEX('Vessel Configurator'!$C$30:$G$62,MATCH($D286,'Vessel Configurator'!$B$30:$B$62,0),F$8)="Yes")
*INDEX(EE_Applicability,MATCH($D286,'Vessel Configurator'!$B$30:$B$62,0))/$B286,0)</f>
        <v>0</v>
      </c>
      <c r="AA286" s="118" cm="1">
        <f t="array" aca="1" ref="AA286" ca="1">IFERROR(INDEX('EE - Input'!$B:$V,MATCH($C286,'EE - Input'!$B:$B,0),MATCH($F$9&amp;$F$10,'EE - Input'!$B$3:$V$3,0))
*(INDEX('Vessel Configurator'!$C$30:$G$62,MATCH($D286,'Vessel Configurator'!$B$30:$B$62,0),Z$8)="Yes")
*INDEX(EE_Applicability,MATCH($D286,'Vessel Configurator'!$B$30:$B$62,0))/$B286,0)</f>
        <v>0</v>
      </c>
      <c r="AU286" s="118" cm="1">
        <f t="array" aca="1" ref="AU286" ca="1">IFERROR(INDEX('EE - Input'!$B:$V,MATCH($C286,'EE - Input'!$B:$B,0),MATCH($F$9&amp;$F$10,'EE - Input'!$B$3:$V$3,0))
*(INDEX('Vessel Configurator'!$C$30:$G$62,MATCH($D286,'Vessel Configurator'!$B$30:$B$62,0),AT$8)="Yes")
*INDEX(EE_Applicability,MATCH($D286,'Vessel Configurator'!$B$30:$B$62,0))/$B286,0)</f>
        <v>0</v>
      </c>
      <c r="BO286" s="118" cm="1">
        <f t="array" aca="1" ref="BO286" ca="1">IFERROR(INDEX('EE - Input'!$B:$V,MATCH($C286,'EE - Input'!$B:$B,0),MATCH($F$9&amp;$F$10,'EE - Input'!$B$3:$V$3,0))
*(INDEX('Vessel Configurator'!$C$30:$G$62,MATCH($D286,'Vessel Configurator'!$B$30:$B$62,0),BN$8)="Yes")
*INDEX(EE_Applicability,MATCH($D286,'Vessel Configurator'!$B$30:$B$62,0))/$B286,0)</f>
        <v>0</v>
      </c>
      <c r="CI286" s="118" cm="1">
        <f t="array" aca="1" ref="CI286" ca="1">IFERROR(INDEX('EE - Input'!$B:$V,MATCH($C286,'EE - Input'!$B:$B,0),MATCH($F$9&amp;$F$10,'EE - Input'!$B$3:$V$3,0))
*(INDEX('Vessel Configurator'!$C$30:$G$62,MATCH($D286,'Vessel Configurator'!$B$30:$B$62,0),CH$8)="Yes")
*INDEX(EE_Applicability,MATCH($D286,'Vessel Configurator'!$B$30:$B$62,0))/$B286,0)</f>
        <v>0</v>
      </c>
    </row>
    <row r="287" spans="2:87" outlineLevel="1" x14ac:dyDescent="0.2">
      <c r="B287" s="118">
        <f ca="1">INDEX('EE - Input'!$B:$V,MATCH($D287&amp;"-Lifetime",'EE - Input'!$B:$B,0),MATCH($F$9&amp;$F$10,'EE - Input'!$B$3:$V$3,0))</f>
        <v>25</v>
      </c>
      <c r="C287" t="str">
        <f t="shared" si="1017"/>
        <v>ME Hybridization -Installation cost</v>
      </c>
      <c r="D287" t="s">
        <v>137</v>
      </c>
      <c r="E287" s="224" t="s">
        <v>211</v>
      </c>
      <c r="F287" s="224" t="s">
        <v>452</v>
      </c>
      <c r="G287" s="118" cm="1">
        <f t="array" aca="1" ref="G287" ca="1">IFERROR(INDEX('EE - Input'!$B:$V,MATCH($C287,'EE - Input'!$B:$B,0),MATCH($F$9&amp;$F$10,'EE - Input'!$B$3:$V$3,0))
*(INDEX('Vessel Configurator'!$C$30:$G$62,MATCH($D287,'Vessel Configurator'!$B$30:$B$62,0),F$8)="Yes")
*INDEX(EE_Applicability,MATCH($D287,'Vessel Configurator'!$B$30:$B$62,0))/$B287,0)</f>
        <v>0</v>
      </c>
      <c r="AA287" s="118" cm="1">
        <f t="array" aca="1" ref="AA287" ca="1">IFERROR(INDEX('EE - Input'!$B:$V,MATCH($C287,'EE - Input'!$B:$B,0),MATCH($F$9&amp;$F$10,'EE - Input'!$B$3:$V$3,0))
*(INDEX('Vessel Configurator'!$C$30:$G$62,MATCH($D287,'Vessel Configurator'!$B$30:$B$62,0),Z$8)="Yes")
*INDEX(EE_Applicability,MATCH($D287,'Vessel Configurator'!$B$30:$B$62,0))/$B287,0)</f>
        <v>0</v>
      </c>
      <c r="AU287" s="118" cm="1">
        <f t="array" aca="1" ref="AU287" ca="1">IFERROR(INDEX('EE - Input'!$B:$V,MATCH($C287,'EE - Input'!$B:$B,0),MATCH($F$9&amp;$F$10,'EE - Input'!$B$3:$V$3,0))
*(INDEX('Vessel Configurator'!$C$30:$G$62,MATCH($D287,'Vessel Configurator'!$B$30:$B$62,0),AT$8)="Yes")
*INDEX(EE_Applicability,MATCH($D287,'Vessel Configurator'!$B$30:$B$62,0))/$B287,0)</f>
        <v>0</v>
      </c>
      <c r="BO287" s="118" cm="1">
        <f t="array" aca="1" ref="BO287" ca="1">IFERROR(INDEX('EE - Input'!$B:$V,MATCH($C287,'EE - Input'!$B:$B,0),MATCH($F$9&amp;$F$10,'EE - Input'!$B$3:$V$3,0))
*(INDEX('Vessel Configurator'!$C$30:$G$62,MATCH($D287,'Vessel Configurator'!$B$30:$B$62,0),BN$8)="Yes")
*INDEX(EE_Applicability,MATCH($D287,'Vessel Configurator'!$B$30:$B$62,0))/$B287,0)</f>
        <v>0</v>
      </c>
      <c r="CI287" s="118" cm="1">
        <f t="array" aca="1" ref="CI287" ca="1">IFERROR(INDEX('EE - Input'!$B:$V,MATCH($C287,'EE - Input'!$B:$B,0),MATCH($F$9&amp;$F$10,'EE - Input'!$B$3:$V$3,0))
*(INDEX('Vessel Configurator'!$C$30:$G$62,MATCH($D287,'Vessel Configurator'!$B$30:$B$62,0),CH$8)="Yes")
*INDEX(EE_Applicability,MATCH($D287,'Vessel Configurator'!$B$30:$B$62,0))/$B287,0)</f>
        <v>0</v>
      </c>
    </row>
    <row r="288" spans="2:87" outlineLevel="1" x14ac:dyDescent="0.2">
      <c r="B288" s="118">
        <f ca="1">INDEX('EE - Input'!$B:$V,MATCH($D288&amp;"-Lifetime",'EE - Input'!$B:$B,0),MATCH($F$9&amp;$F$10,'EE - Input'!$B$3:$V$3,0))</f>
        <v>25</v>
      </c>
      <c r="C288" t="str">
        <f t="shared" si="1017"/>
        <v>Engine de-rating-Installation cost</v>
      </c>
      <c r="D288" t="s">
        <v>139</v>
      </c>
      <c r="E288" s="224" t="s">
        <v>211</v>
      </c>
      <c r="F288" s="224" t="s">
        <v>452</v>
      </c>
      <c r="G288" s="118" cm="1">
        <f t="array" aca="1" ref="G288" ca="1">IFERROR(INDEX('EE - Input'!$B:$V,MATCH($C288,'EE - Input'!$B:$B,0),MATCH($F$9&amp;$F$10,'EE - Input'!$B$3:$V$3,0))
*(INDEX('Vessel Configurator'!$C$30:$G$62,MATCH($D288,'Vessel Configurator'!$B$30:$B$62,0),F$8)="Yes")
*INDEX(EE_Applicability,MATCH($D288,'Vessel Configurator'!$B$30:$B$62,0))/$B288,0)</f>
        <v>0</v>
      </c>
      <c r="AA288" s="118" cm="1">
        <f t="array" aca="1" ref="AA288" ca="1">IFERROR(INDEX('EE - Input'!$B:$V,MATCH($C288,'EE - Input'!$B:$B,0),MATCH($F$9&amp;$F$10,'EE - Input'!$B$3:$V$3,0))
*(INDEX('Vessel Configurator'!$C$30:$G$62,MATCH($D288,'Vessel Configurator'!$B$30:$B$62,0),Z$8)="Yes")
*INDEX(EE_Applicability,MATCH($D288,'Vessel Configurator'!$B$30:$B$62,0))/$B288,0)</f>
        <v>0</v>
      </c>
      <c r="AU288" s="118" cm="1">
        <f t="array" aca="1" ref="AU288" ca="1">IFERROR(INDEX('EE - Input'!$B:$V,MATCH($C288,'EE - Input'!$B:$B,0),MATCH($F$9&amp;$F$10,'EE - Input'!$B$3:$V$3,0))
*(INDEX('Vessel Configurator'!$C$30:$G$62,MATCH($D288,'Vessel Configurator'!$B$30:$B$62,0),AT$8)="Yes")
*INDEX(EE_Applicability,MATCH($D288,'Vessel Configurator'!$B$30:$B$62,0))/$B288,0)</f>
        <v>0</v>
      </c>
      <c r="BO288" s="118" cm="1">
        <f t="array" aca="1" ref="BO288" ca="1">IFERROR(INDEX('EE - Input'!$B:$V,MATCH($C288,'EE - Input'!$B:$B,0),MATCH($F$9&amp;$F$10,'EE - Input'!$B$3:$V$3,0))
*(INDEX('Vessel Configurator'!$C$30:$G$62,MATCH($D288,'Vessel Configurator'!$B$30:$B$62,0),BN$8)="Yes")
*INDEX(EE_Applicability,MATCH($D288,'Vessel Configurator'!$B$30:$B$62,0))/$B288,0)</f>
        <v>0</v>
      </c>
      <c r="CI288" s="118" cm="1">
        <f t="array" aca="1" ref="CI288" ca="1">IFERROR(INDEX('EE - Input'!$B:$V,MATCH($C288,'EE - Input'!$B:$B,0),MATCH($F$9&amp;$F$10,'EE - Input'!$B$3:$V$3,0))
*(INDEX('Vessel Configurator'!$C$30:$G$62,MATCH($D288,'Vessel Configurator'!$B$30:$B$62,0),CH$8)="Yes")
*INDEX(EE_Applicability,MATCH($D288,'Vessel Configurator'!$B$30:$B$62,0))/$B288,0)</f>
        <v>0</v>
      </c>
    </row>
    <row r="289" spans="2:87" outlineLevel="1" x14ac:dyDescent="0.2">
      <c r="B289" s="118">
        <f ca="1">INDEX('EE - Input'!$B:$V,MATCH($D289&amp;"-Lifetime",'EE - Input'!$B:$B,0),MATCH($F$9&amp;$F$10,'EE - Input'!$B$3:$V$3,0))</f>
        <v>25</v>
      </c>
      <c r="C289" t="str">
        <f t="shared" si="1017"/>
        <v>Engine tuning-Installation cost</v>
      </c>
      <c r="D289" t="s">
        <v>140</v>
      </c>
      <c r="E289" s="224" t="s">
        <v>211</v>
      </c>
      <c r="F289" s="224" t="s">
        <v>452</v>
      </c>
      <c r="G289" s="118" cm="1">
        <f t="array" aca="1" ref="G289" ca="1">IFERROR(INDEX('EE - Input'!$B:$V,MATCH($C289,'EE - Input'!$B:$B,0),MATCH($F$9&amp;$F$10,'EE - Input'!$B$3:$V$3,0))
*(INDEX('Vessel Configurator'!$C$30:$G$62,MATCH($D289,'Vessel Configurator'!$B$30:$B$62,0),F$8)="Yes")
*INDEX(EE_Applicability,MATCH($D289,'Vessel Configurator'!$B$30:$B$62,0))/$B289,0)</f>
        <v>0</v>
      </c>
      <c r="AA289" s="118" cm="1">
        <f t="array" aca="1" ref="AA289" ca="1">IFERROR(INDEX('EE - Input'!$B:$V,MATCH($C289,'EE - Input'!$B:$B,0),MATCH($F$9&amp;$F$10,'EE - Input'!$B$3:$V$3,0))
*(INDEX('Vessel Configurator'!$C$30:$G$62,MATCH($D289,'Vessel Configurator'!$B$30:$B$62,0),Z$8)="Yes")
*INDEX(EE_Applicability,MATCH($D289,'Vessel Configurator'!$B$30:$B$62,0))/$B289,0)</f>
        <v>0</v>
      </c>
      <c r="AU289" s="118" cm="1">
        <f t="array" aca="1" ref="AU289" ca="1">IFERROR(INDEX('EE - Input'!$B:$V,MATCH($C289,'EE - Input'!$B:$B,0),MATCH($F$9&amp;$F$10,'EE - Input'!$B$3:$V$3,0))
*(INDEX('Vessel Configurator'!$C$30:$G$62,MATCH($D289,'Vessel Configurator'!$B$30:$B$62,0),AT$8)="Yes")
*INDEX(EE_Applicability,MATCH($D289,'Vessel Configurator'!$B$30:$B$62,0))/$B289,0)</f>
        <v>0</v>
      </c>
      <c r="BO289" s="118" cm="1">
        <f t="array" aca="1" ref="BO289" ca="1">IFERROR(INDEX('EE - Input'!$B:$V,MATCH($C289,'EE - Input'!$B:$B,0),MATCH($F$9&amp;$F$10,'EE - Input'!$B$3:$V$3,0))
*(INDEX('Vessel Configurator'!$C$30:$G$62,MATCH($D289,'Vessel Configurator'!$B$30:$B$62,0),BN$8)="Yes")
*INDEX(EE_Applicability,MATCH($D289,'Vessel Configurator'!$B$30:$B$62,0))/$B289,0)</f>
        <v>0</v>
      </c>
      <c r="CI289" s="118" cm="1">
        <f t="array" aca="1" ref="CI289" ca="1">IFERROR(INDEX('EE - Input'!$B:$V,MATCH($C289,'EE - Input'!$B:$B,0),MATCH($F$9&amp;$F$10,'EE - Input'!$B$3:$V$3,0))
*(INDEX('Vessel Configurator'!$C$30:$G$62,MATCH($D289,'Vessel Configurator'!$B$30:$B$62,0),CH$8)="Yes")
*INDEX(EE_Applicability,MATCH($D289,'Vessel Configurator'!$B$30:$B$62,0))/$B289,0)</f>
        <v>0</v>
      </c>
    </row>
    <row r="290" spans="2:87" outlineLevel="1" x14ac:dyDescent="0.2">
      <c r="B290" s="118">
        <f ca="1">INDEX('EE - Input'!$B:$V,MATCH($D290&amp;"-Lifetime",'EE - Input'!$B:$B,0),MATCH($F$9&amp;$F$10,'EE - Input'!$B$3:$V$3,0))</f>
        <v>25</v>
      </c>
      <c r="C290" t="str">
        <f t="shared" si="1017"/>
        <v>Shaft motor (Driven by WHR)-Installation cost</v>
      </c>
      <c r="D290" t="s">
        <v>141</v>
      </c>
      <c r="E290" s="224" t="s">
        <v>211</v>
      </c>
      <c r="F290" s="224" t="s">
        <v>452</v>
      </c>
      <c r="G290" s="118" cm="1">
        <f t="array" aca="1" ref="G290" ca="1">IFERROR(INDEX('EE - Input'!$B:$V,MATCH($C290,'EE - Input'!$B:$B,0),MATCH($F$9&amp;$F$10,'EE - Input'!$B$3:$V$3,0))
*(INDEX('Vessel Configurator'!$C$30:$G$62,MATCH($D290,'Vessel Configurator'!$B$30:$B$62,0),F$8)="Yes")
*INDEX(EE_Applicability,MATCH($D290,'Vessel Configurator'!$B$30:$B$62,0))/$B290,0)</f>
        <v>0</v>
      </c>
      <c r="AA290" s="118" cm="1">
        <f t="array" aca="1" ref="AA290" ca="1">IFERROR(INDEX('EE - Input'!$B:$V,MATCH($C290,'EE - Input'!$B:$B,0),MATCH($F$9&amp;$F$10,'EE - Input'!$B$3:$V$3,0))
*(INDEX('Vessel Configurator'!$C$30:$G$62,MATCH($D290,'Vessel Configurator'!$B$30:$B$62,0),Z$8)="Yes")
*INDEX(EE_Applicability,MATCH($D290,'Vessel Configurator'!$B$30:$B$62,0))/$B290,0)</f>
        <v>0</v>
      </c>
      <c r="AU290" s="118" cm="1">
        <f t="array" aca="1" ref="AU290" ca="1">IFERROR(INDEX('EE - Input'!$B:$V,MATCH($C290,'EE - Input'!$B:$B,0),MATCH($F$9&amp;$F$10,'EE - Input'!$B$3:$V$3,0))
*(INDEX('Vessel Configurator'!$C$30:$G$62,MATCH($D290,'Vessel Configurator'!$B$30:$B$62,0),AT$8)="Yes")
*INDEX(EE_Applicability,MATCH($D290,'Vessel Configurator'!$B$30:$B$62,0))/$B290,0)</f>
        <v>0</v>
      </c>
      <c r="BO290" s="118" cm="1">
        <f t="array" aca="1" ref="BO290" ca="1">IFERROR(INDEX('EE - Input'!$B:$V,MATCH($C290,'EE - Input'!$B:$B,0),MATCH($F$9&amp;$F$10,'EE - Input'!$B$3:$V$3,0))
*(INDEX('Vessel Configurator'!$C$30:$G$62,MATCH($D290,'Vessel Configurator'!$B$30:$B$62,0),BN$8)="Yes")
*INDEX(EE_Applicability,MATCH($D290,'Vessel Configurator'!$B$30:$B$62,0))/$B290,0)</f>
        <v>0</v>
      </c>
      <c r="CI290" s="118" cm="1">
        <f t="array" aca="1" ref="CI290" ca="1">IFERROR(INDEX('EE - Input'!$B:$V,MATCH($C290,'EE - Input'!$B:$B,0),MATCH($F$9&amp;$F$10,'EE - Input'!$B$3:$V$3,0))
*(INDEX('Vessel Configurator'!$C$30:$G$62,MATCH($D290,'Vessel Configurator'!$B$30:$B$62,0),CH$8)="Yes")
*INDEX(EE_Applicability,MATCH($D290,'Vessel Configurator'!$B$30:$B$62,0))/$B290,0)</f>
        <v>0</v>
      </c>
    </row>
    <row r="291" spans="2:87" outlineLevel="1" x14ac:dyDescent="0.2">
      <c r="B291" s="118">
        <f ca="1">INDEX('EE - Input'!$B:$V,MATCH($D291&amp;"-Lifetime",'EE - Input'!$B:$B,0),MATCH($F$9&amp;$F$10,'EE - Input'!$B$3:$V$3,0))</f>
        <v>25</v>
      </c>
      <c r="C291" t="str">
        <f t="shared" si="1017"/>
        <v>Hull shape optimisation-Installation cost</v>
      </c>
      <c r="D291" t="s">
        <v>142</v>
      </c>
      <c r="E291" s="224" t="s">
        <v>211</v>
      </c>
      <c r="F291" s="224" t="s">
        <v>452</v>
      </c>
      <c r="G291" s="118" cm="1">
        <f t="array" aca="1" ref="G291" ca="1">IFERROR(INDEX('EE - Input'!$B:$V,MATCH($C291,'EE - Input'!$B:$B,0),MATCH($F$9&amp;$F$10,'EE - Input'!$B$3:$V$3,0))
*(INDEX('Vessel Configurator'!$C$30:$G$62,MATCH($D291,'Vessel Configurator'!$B$30:$B$62,0),F$8)="Yes")
*INDEX(EE_Applicability,MATCH($D291,'Vessel Configurator'!$B$30:$B$62,0))/$B291,0)</f>
        <v>0</v>
      </c>
      <c r="AA291" s="118" cm="1">
        <f t="array" aca="1" ref="AA291" ca="1">IFERROR(INDEX('EE - Input'!$B:$V,MATCH($C291,'EE - Input'!$B:$B,0),MATCH($F$9&amp;$F$10,'EE - Input'!$B$3:$V$3,0))
*(INDEX('Vessel Configurator'!$C$30:$G$62,MATCH($D291,'Vessel Configurator'!$B$30:$B$62,0),Z$8)="Yes")
*INDEX(EE_Applicability,MATCH($D291,'Vessel Configurator'!$B$30:$B$62,0))/$B291,0)</f>
        <v>0</v>
      </c>
      <c r="AU291" s="118" cm="1">
        <f t="array" aca="1" ref="AU291" ca="1">IFERROR(INDEX('EE - Input'!$B:$V,MATCH($C291,'EE - Input'!$B:$B,0),MATCH($F$9&amp;$F$10,'EE - Input'!$B$3:$V$3,0))
*(INDEX('Vessel Configurator'!$C$30:$G$62,MATCH($D291,'Vessel Configurator'!$B$30:$B$62,0),AT$8)="Yes")
*INDEX(EE_Applicability,MATCH($D291,'Vessel Configurator'!$B$30:$B$62,0))/$B291,0)</f>
        <v>0</v>
      </c>
      <c r="BO291" s="118" cm="1">
        <f t="array" aca="1" ref="BO291" ca="1">IFERROR(INDEX('EE - Input'!$B:$V,MATCH($C291,'EE - Input'!$B:$B,0),MATCH($F$9&amp;$F$10,'EE - Input'!$B$3:$V$3,0))
*(INDEX('Vessel Configurator'!$C$30:$G$62,MATCH($D291,'Vessel Configurator'!$B$30:$B$62,0),BN$8)="Yes")
*INDEX(EE_Applicability,MATCH($D291,'Vessel Configurator'!$B$30:$B$62,0))/$B291,0)</f>
        <v>0</v>
      </c>
      <c r="CI291" s="118" cm="1">
        <f t="array" aca="1" ref="CI291" ca="1">IFERROR(INDEX('EE - Input'!$B:$V,MATCH($C291,'EE - Input'!$B:$B,0),MATCH($F$9&amp;$F$10,'EE - Input'!$B$3:$V$3,0))
*(INDEX('Vessel Configurator'!$C$30:$G$62,MATCH($D291,'Vessel Configurator'!$B$30:$B$62,0),CH$8)="Yes")
*INDEX(EE_Applicability,MATCH($D291,'Vessel Configurator'!$B$30:$B$62,0))/$B291,0)</f>
        <v>0</v>
      </c>
    </row>
    <row r="292" spans="2:87" outlineLevel="1" x14ac:dyDescent="0.2">
      <c r="B292" s="118">
        <f ca="1">INDEX('EE - Input'!$B:$V,MATCH($D292&amp;"-Lifetime",'EE - Input'!$B:$B,0),MATCH($F$9&amp;$F$10,'EE - Input'!$B$3:$V$3,0))</f>
        <v>0</v>
      </c>
      <c r="C292" t="str">
        <f t="shared" si="1017"/>
        <v>Lightweight hull-Installation cost</v>
      </c>
      <c r="D292" t="s">
        <v>143</v>
      </c>
      <c r="E292" s="224" t="s">
        <v>211</v>
      </c>
      <c r="F292" s="224" t="s">
        <v>452</v>
      </c>
      <c r="G292" s="118" cm="1">
        <f t="array" aca="1" ref="G292" ca="1">IFERROR(INDEX('EE - Input'!$B:$V,MATCH($C292,'EE - Input'!$B:$B,0),MATCH($F$9&amp;$F$10,'EE - Input'!$B$3:$V$3,0))
*(INDEX('Vessel Configurator'!$C$30:$G$62,MATCH($D292,'Vessel Configurator'!$B$30:$B$62,0),F$8)="Yes")
*INDEX(EE_Applicability,MATCH($D292,'Vessel Configurator'!$B$30:$B$62,0))/$B292,0)</f>
        <v>0</v>
      </c>
      <c r="AA292" s="118" cm="1">
        <f t="array" aca="1" ref="AA292" ca="1">IFERROR(INDEX('EE - Input'!$B:$V,MATCH($C292,'EE - Input'!$B:$B,0),MATCH($F$9&amp;$F$10,'EE - Input'!$B$3:$V$3,0))
*(INDEX('Vessel Configurator'!$C$30:$G$62,MATCH($D292,'Vessel Configurator'!$B$30:$B$62,0),Z$8)="Yes")
*INDEX(EE_Applicability,MATCH($D292,'Vessel Configurator'!$B$30:$B$62,0))/$B292,0)</f>
        <v>0</v>
      </c>
      <c r="AU292" s="118" cm="1">
        <f t="array" aca="1" ref="AU292" ca="1">IFERROR(INDEX('EE - Input'!$B:$V,MATCH($C292,'EE - Input'!$B:$B,0),MATCH($F$9&amp;$F$10,'EE - Input'!$B$3:$V$3,0))
*(INDEX('Vessel Configurator'!$C$30:$G$62,MATCH($D292,'Vessel Configurator'!$B$30:$B$62,0),AT$8)="Yes")
*INDEX(EE_Applicability,MATCH($D292,'Vessel Configurator'!$B$30:$B$62,0))/$B292,0)</f>
        <v>0</v>
      </c>
      <c r="BO292" s="118" cm="1">
        <f t="array" aca="1" ref="BO292" ca="1">IFERROR(INDEX('EE - Input'!$B:$V,MATCH($C292,'EE - Input'!$B:$B,0),MATCH($F$9&amp;$F$10,'EE - Input'!$B$3:$V$3,0))
*(INDEX('Vessel Configurator'!$C$30:$G$62,MATCH($D292,'Vessel Configurator'!$B$30:$B$62,0),BN$8)="Yes")
*INDEX(EE_Applicability,MATCH($D292,'Vessel Configurator'!$B$30:$B$62,0))/$B292,0)</f>
        <v>0</v>
      </c>
      <c r="CI292" s="118" cm="1">
        <f t="array" aca="1" ref="CI292" ca="1">IFERROR(INDEX('EE - Input'!$B:$V,MATCH($C292,'EE - Input'!$B:$B,0),MATCH($F$9&amp;$F$10,'EE - Input'!$B$3:$V$3,0))
*(INDEX('Vessel Configurator'!$C$30:$G$62,MATCH($D292,'Vessel Configurator'!$B$30:$B$62,0),CH$8)="Yes")
*INDEX(EE_Applicability,MATCH($D292,'Vessel Configurator'!$B$30:$B$62,0))/$B292,0)</f>
        <v>0</v>
      </c>
    </row>
    <row r="293" spans="2:87" outlineLevel="1" x14ac:dyDescent="0.2">
      <c r="B293" s="118">
        <f ca="1">INDEX('EE - Input'!$B:$V,MATCH($D293&amp;"-Lifetime",'EE - Input'!$B:$B,0),MATCH($F$9&amp;$F$10,'EE - Input'!$B$3:$V$3,0))</f>
        <v>5</v>
      </c>
      <c r="C293" t="str">
        <f t="shared" si="1017"/>
        <v>Hull paint/coating-Installation cost</v>
      </c>
      <c r="D293" t="s">
        <v>144</v>
      </c>
      <c r="E293" s="224" t="s">
        <v>211</v>
      </c>
      <c r="F293" s="224" t="s">
        <v>452</v>
      </c>
      <c r="G293" s="118" cm="1">
        <f t="array" aca="1" ref="G293" ca="1">IFERROR(INDEX('EE - Input'!$B:$V,MATCH($C293,'EE - Input'!$B:$B,0),MATCH($F$9&amp;$F$10,'EE - Input'!$B$3:$V$3,0))
*(INDEX('Vessel Configurator'!$C$30:$G$62,MATCH($D293,'Vessel Configurator'!$B$30:$B$62,0),F$8)="Yes")
*INDEX(EE_Applicability,MATCH($D293,'Vessel Configurator'!$B$30:$B$62,0))/$B293,0)</f>
        <v>0</v>
      </c>
      <c r="AA293" s="118" cm="1">
        <f t="array" aca="1" ref="AA293" ca="1">IFERROR(INDEX('EE - Input'!$B:$V,MATCH($C293,'EE - Input'!$B:$B,0),MATCH($F$9&amp;$F$10,'EE - Input'!$B$3:$V$3,0))
*(INDEX('Vessel Configurator'!$C$30:$G$62,MATCH($D293,'Vessel Configurator'!$B$30:$B$62,0),Z$8)="Yes")
*INDEX(EE_Applicability,MATCH($D293,'Vessel Configurator'!$B$30:$B$62,0))/$B293,0)</f>
        <v>0</v>
      </c>
      <c r="AU293" s="118" cm="1">
        <f t="array" aca="1" ref="AU293" ca="1">IFERROR(INDEX('EE - Input'!$B:$V,MATCH($C293,'EE - Input'!$B:$B,0),MATCH($F$9&amp;$F$10,'EE - Input'!$B$3:$V$3,0))
*(INDEX('Vessel Configurator'!$C$30:$G$62,MATCH($D293,'Vessel Configurator'!$B$30:$B$62,0),AT$8)="Yes")
*INDEX(EE_Applicability,MATCH($D293,'Vessel Configurator'!$B$30:$B$62,0))/$B293,0)</f>
        <v>0</v>
      </c>
      <c r="BO293" s="118" cm="1">
        <f t="array" aca="1" ref="BO293" ca="1">IFERROR(INDEX('EE - Input'!$B:$V,MATCH($C293,'EE - Input'!$B:$B,0),MATCH($F$9&amp;$F$10,'EE - Input'!$B$3:$V$3,0))
*(INDEX('Vessel Configurator'!$C$30:$G$62,MATCH($D293,'Vessel Configurator'!$B$30:$B$62,0),BN$8)="Yes")
*INDEX(EE_Applicability,MATCH($D293,'Vessel Configurator'!$B$30:$B$62,0))/$B293,0)</f>
        <v>0</v>
      </c>
      <c r="CI293" s="118" cm="1">
        <f t="array" aca="1" ref="CI293" ca="1">IFERROR(INDEX('EE - Input'!$B:$V,MATCH($C293,'EE - Input'!$B:$B,0),MATCH($F$9&amp;$F$10,'EE - Input'!$B$3:$V$3,0))
*(INDEX('Vessel Configurator'!$C$30:$G$62,MATCH($D293,'Vessel Configurator'!$B$30:$B$62,0),CH$8)="Yes")
*INDEX(EE_Applicability,MATCH($D293,'Vessel Configurator'!$B$30:$B$62,0))/$B293,0)</f>
        <v>0</v>
      </c>
    </row>
    <row r="294" spans="2:87" outlineLevel="1" x14ac:dyDescent="0.2">
      <c r="B294" s="118">
        <f ca="1">INDEX('EE - Input'!$B:$V,MATCH($D294&amp;"-Lifetime",'EE - Input'!$B:$B,0),MATCH($F$9&amp;$F$10,'EE - Input'!$B$3:$V$3,0))</f>
        <v>1</v>
      </c>
      <c r="C294" t="str">
        <f t="shared" si="1017"/>
        <v>Hull cleaning-Installation cost</v>
      </c>
      <c r="D294" t="s">
        <v>145</v>
      </c>
      <c r="E294" s="224" t="s">
        <v>211</v>
      </c>
      <c r="F294" s="224" t="s">
        <v>452</v>
      </c>
      <c r="G294" s="118" cm="1">
        <f t="array" aca="1" ref="G294" ca="1">IFERROR(INDEX('EE - Input'!$B:$V,MATCH($C294,'EE - Input'!$B:$B,0),MATCH($F$9&amp;$F$10,'EE - Input'!$B$3:$V$3,0))
*(INDEX('Vessel Configurator'!$C$30:$G$62,MATCH($D294,'Vessel Configurator'!$B$30:$B$62,0),F$8)="Yes")
*INDEX(EE_Applicability,MATCH($D294,'Vessel Configurator'!$B$30:$B$62,0))/$B294,0)</f>
        <v>0</v>
      </c>
      <c r="AA294" s="118" cm="1">
        <f t="array" aca="1" ref="AA294" ca="1">IFERROR(INDEX('EE - Input'!$B:$V,MATCH($C294,'EE - Input'!$B:$B,0),MATCH($F$9&amp;$F$10,'EE - Input'!$B$3:$V$3,0))
*(INDEX('Vessel Configurator'!$C$30:$G$62,MATCH($D294,'Vessel Configurator'!$B$30:$B$62,0),Z$8)="Yes")
*INDEX(EE_Applicability,MATCH($D294,'Vessel Configurator'!$B$30:$B$62,0))/$B294,0)</f>
        <v>0</v>
      </c>
      <c r="AU294" s="118" cm="1">
        <f t="array" aca="1" ref="AU294" ca="1">IFERROR(INDEX('EE - Input'!$B:$V,MATCH($C294,'EE - Input'!$B:$B,0),MATCH($F$9&amp;$F$10,'EE - Input'!$B$3:$V$3,0))
*(INDEX('Vessel Configurator'!$C$30:$G$62,MATCH($D294,'Vessel Configurator'!$B$30:$B$62,0),AT$8)="Yes")
*INDEX(EE_Applicability,MATCH($D294,'Vessel Configurator'!$B$30:$B$62,0))/$B294,0)</f>
        <v>0</v>
      </c>
      <c r="BO294" s="118" cm="1">
        <f t="array" aca="1" ref="BO294" ca="1">IFERROR(INDEX('EE - Input'!$B:$V,MATCH($C294,'EE - Input'!$B:$B,0),MATCH($F$9&amp;$F$10,'EE - Input'!$B$3:$V$3,0))
*(INDEX('Vessel Configurator'!$C$30:$G$62,MATCH($D294,'Vessel Configurator'!$B$30:$B$62,0),BN$8)="Yes")
*INDEX(EE_Applicability,MATCH($D294,'Vessel Configurator'!$B$30:$B$62,0))/$B294,0)</f>
        <v>0</v>
      </c>
      <c r="CI294" s="118" cm="1">
        <f t="array" aca="1" ref="CI294" ca="1">IFERROR(INDEX('EE - Input'!$B:$V,MATCH($C294,'EE - Input'!$B:$B,0),MATCH($F$9&amp;$F$10,'EE - Input'!$B$3:$V$3,0))
*(INDEX('Vessel Configurator'!$C$30:$G$62,MATCH($D294,'Vessel Configurator'!$B$30:$B$62,0),CH$8)="Yes")
*INDEX(EE_Applicability,MATCH($D294,'Vessel Configurator'!$B$30:$B$62,0))/$B294,0)</f>
        <v>0</v>
      </c>
    </row>
    <row r="295" spans="2:87" outlineLevel="1" x14ac:dyDescent="0.2">
      <c r="B295" s="118">
        <f ca="1">INDEX('EE - Input'!$B:$V,MATCH($D295&amp;"-Lifetime",'EE - Input'!$B:$B,0),MATCH($F$9&amp;$F$10,'EE - Input'!$B$3:$V$3,0))</f>
        <v>25</v>
      </c>
      <c r="C295" t="str">
        <f t="shared" si="1017"/>
        <v>Air cavity lubrication-Installation cost</v>
      </c>
      <c r="D295" t="s">
        <v>146</v>
      </c>
      <c r="E295" s="224" t="s">
        <v>211</v>
      </c>
      <c r="F295" s="224" t="s">
        <v>452</v>
      </c>
      <c r="G295" s="118" cm="1">
        <f t="array" aca="1" ref="G295" ca="1">IFERROR(INDEX('EE - Input'!$B:$V,MATCH($C295,'EE - Input'!$B:$B,0),MATCH($F$9&amp;$F$10,'EE - Input'!$B$3:$V$3,0))
*(INDEX('Vessel Configurator'!$C$30:$G$62,MATCH($D295,'Vessel Configurator'!$B$30:$B$62,0),F$8)="Yes")
*INDEX(EE_Applicability,MATCH($D295,'Vessel Configurator'!$B$30:$B$62,0))/$B295,0)</f>
        <v>0</v>
      </c>
      <c r="AA295" s="118" cm="1">
        <f t="array" aca="1" ref="AA295" ca="1">IFERROR(INDEX('EE - Input'!$B:$V,MATCH($C295,'EE - Input'!$B:$B,0),MATCH($F$9&amp;$F$10,'EE - Input'!$B$3:$V$3,0))
*(INDEX('Vessel Configurator'!$C$30:$G$62,MATCH($D295,'Vessel Configurator'!$B$30:$B$62,0),Z$8)="Yes")
*INDEX(EE_Applicability,MATCH($D295,'Vessel Configurator'!$B$30:$B$62,0))/$B295,0)</f>
        <v>0</v>
      </c>
      <c r="AU295" s="118" cm="1">
        <f t="array" aca="1" ref="AU295" ca="1">IFERROR(INDEX('EE - Input'!$B:$V,MATCH($C295,'EE - Input'!$B:$B,0),MATCH($F$9&amp;$F$10,'EE - Input'!$B$3:$V$3,0))
*(INDEX('Vessel Configurator'!$C$30:$G$62,MATCH($D295,'Vessel Configurator'!$B$30:$B$62,0),AT$8)="Yes")
*INDEX(EE_Applicability,MATCH($D295,'Vessel Configurator'!$B$30:$B$62,0))/$B295,0)</f>
        <v>0</v>
      </c>
      <c r="BO295" s="118" cm="1">
        <f t="array" aca="1" ref="BO295" ca="1">IFERROR(INDEX('EE - Input'!$B:$V,MATCH($C295,'EE - Input'!$B:$B,0),MATCH($F$9&amp;$F$10,'EE - Input'!$B$3:$V$3,0))
*(INDEX('Vessel Configurator'!$C$30:$G$62,MATCH($D295,'Vessel Configurator'!$B$30:$B$62,0),BN$8)="Yes")
*INDEX(EE_Applicability,MATCH($D295,'Vessel Configurator'!$B$30:$B$62,0))/$B295,0)</f>
        <v>0</v>
      </c>
      <c r="CI295" s="118" cm="1">
        <f t="array" aca="1" ref="CI295" ca="1">IFERROR(INDEX('EE - Input'!$B:$V,MATCH($C295,'EE - Input'!$B:$B,0),MATCH($F$9&amp;$F$10,'EE - Input'!$B$3:$V$3,0))
*(INDEX('Vessel Configurator'!$C$30:$G$62,MATCH($D295,'Vessel Configurator'!$B$30:$B$62,0),CH$8)="Yes")
*INDEX(EE_Applicability,MATCH($D295,'Vessel Configurator'!$B$30:$B$62,0))/$B295,0)</f>
        <v>0</v>
      </c>
    </row>
    <row r="296" spans="2:87" outlineLevel="1" x14ac:dyDescent="0.2">
      <c r="B296" s="118">
        <f ca="1">INDEX('EE - Input'!$B:$V,MATCH($D296&amp;"-Lifetime",'EE - Input'!$B:$B,0),MATCH($F$9&amp;$F$10,'EE - Input'!$B$3:$V$3,0))</f>
        <v>25</v>
      </c>
      <c r="C296" t="str">
        <f t="shared" si="1017"/>
        <v>Trim and draft optimization-Installation cost</v>
      </c>
      <c r="D296" t="s">
        <v>147</v>
      </c>
      <c r="E296" s="224" t="s">
        <v>211</v>
      </c>
      <c r="F296" s="224" t="s">
        <v>452</v>
      </c>
      <c r="G296" s="118" cm="1">
        <f t="array" aca="1" ref="G296" ca="1">IFERROR(INDEX('EE - Input'!$B:$V,MATCH($C296,'EE - Input'!$B:$B,0),MATCH($F$9&amp;$F$10,'EE - Input'!$B$3:$V$3,0))
*(INDEX('Vessel Configurator'!$C$30:$G$62,MATCH($D296,'Vessel Configurator'!$B$30:$B$62,0),F$8)="Yes")
*INDEX(EE_Applicability,MATCH($D296,'Vessel Configurator'!$B$30:$B$62,0))/$B296,0)</f>
        <v>0</v>
      </c>
      <c r="AA296" s="118" cm="1">
        <f t="array" aca="1" ref="AA296" ca="1">IFERROR(INDEX('EE - Input'!$B:$V,MATCH($C296,'EE - Input'!$B:$B,0),MATCH($F$9&amp;$F$10,'EE - Input'!$B$3:$V$3,0))
*(INDEX('Vessel Configurator'!$C$30:$G$62,MATCH($D296,'Vessel Configurator'!$B$30:$B$62,0),Z$8)="Yes")
*INDEX(EE_Applicability,MATCH($D296,'Vessel Configurator'!$B$30:$B$62,0))/$B296,0)</f>
        <v>0</v>
      </c>
      <c r="AU296" s="118" cm="1">
        <f t="array" aca="1" ref="AU296" ca="1">IFERROR(INDEX('EE - Input'!$B:$V,MATCH($C296,'EE - Input'!$B:$B,0),MATCH($F$9&amp;$F$10,'EE - Input'!$B$3:$V$3,0))
*(INDEX('Vessel Configurator'!$C$30:$G$62,MATCH($D296,'Vessel Configurator'!$B$30:$B$62,0),AT$8)="Yes")
*INDEX(EE_Applicability,MATCH($D296,'Vessel Configurator'!$B$30:$B$62,0))/$B296,0)</f>
        <v>0</v>
      </c>
      <c r="BO296" s="118" cm="1">
        <f t="array" aca="1" ref="BO296" ca="1">IFERROR(INDEX('EE - Input'!$B:$V,MATCH($C296,'EE - Input'!$B:$B,0),MATCH($F$9&amp;$F$10,'EE - Input'!$B$3:$V$3,0))
*(INDEX('Vessel Configurator'!$C$30:$G$62,MATCH($D296,'Vessel Configurator'!$B$30:$B$62,0),BN$8)="Yes")
*INDEX(EE_Applicability,MATCH($D296,'Vessel Configurator'!$B$30:$B$62,0))/$B296,0)</f>
        <v>0</v>
      </c>
      <c r="CI296" s="118" cm="1">
        <f t="array" aca="1" ref="CI296" ca="1">IFERROR(INDEX('EE - Input'!$B:$V,MATCH($C296,'EE - Input'!$B:$B,0),MATCH($F$9&amp;$F$10,'EE - Input'!$B$3:$V$3,0))
*(INDEX('Vessel Configurator'!$C$30:$G$62,MATCH($D296,'Vessel Configurator'!$B$30:$B$62,0),CH$8)="Yes")
*INDEX(EE_Applicability,MATCH($D296,'Vessel Configurator'!$B$30:$B$62,0))/$B296,0)</f>
        <v>0</v>
      </c>
    </row>
    <row r="297" spans="2:87" outlineLevel="1" x14ac:dyDescent="0.2">
      <c r="B297" s="118">
        <f ca="1">INDEX('EE - Input'!$B:$V,MATCH($D297&amp;"-Lifetime",'EE - Input'!$B:$B,0),MATCH($F$9&amp;$F$10,'EE - Input'!$B$3:$V$3,0))</f>
        <v>25</v>
      </c>
      <c r="C297" t="str">
        <f t="shared" si="1017"/>
        <v>Hull retrofit-Installation cost</v>
      </c>
      <c r="D297" t="s">
        <v>148</v>
      </c>
      <c r="E297" s="224" t="s">
        <v>211</v>
      </c>
      <c r="F297" s="224" t="s">
        <v>452</v>
      </c>
      <c r="G297" s="118" cm="1">
        <f t="array" aca="1" ref="G297" ca="1">IFERROR(INDEX('EE - Input'!$B:$V,MATCH($C297,'EE - Input'!$B:$B,0),MATCH($F$9&amp;$F$10,'EE - Input'!$B$3:$V$3,0))
*(INDEX('Vessel Configurator'!$C$30:$G$62,MATCH($D297,'Vessel Configurator'!$B$30:$B$62,0),F$8)="Yes")
*INDEX(EE_Applicability,MATCH($D297,'Vessel Configurator'!$B$30:$B$62,0))/$B297,0)</f>
        <v>0</v>
      </c>
      <c r="AA297" s="118" cm="1">
        <f t="array" aca="1" ref="AA297" ca="1">IFERROR(INDEX('EE - Input'!$B:$V,MATCH($C297,'EE - Input'!$B:$B,0),MATCH($F$9&amp;$F$10,'EE - Input'!$B$3:$V$3,0))
*(INDEX('Vessel Configurator'!$C$30:$G$62,MATCH($D297,'Vessel Configurator'!$B$30:$B$62,0),Z$8)="Yes")
*INDEX(EE_Applicability,MATCH($D297,'Vessel Configurator'!$B$30:$B$62,0))/$B297,0)</f>
        <v>0</v>
      </c>
      <c r="AU297" s="118" cm="1">
        <f t="array" aca="1" ref="AU297" ca="1">IFERROR(INDEX('EE - Input'!$B:$V,MATCH($C297,'EE - Input'!$B:$B,0),MATCH($F$9&amp;$F$10,'EE - Input'!$B$3:$V$3,0))
*(INDEX('Vessel Configurator'!$C$30:$G$62,MATCH($D297,'Vessel Configurator'!$B$30:$B$62,0),AT$8)="Yes")
*INDEX(EE_Applicability,MATCH($D297,'Vessel Configurator'!$B$30:$B$62,0))/$B297,0)</f>
        <v>0</v>
      </c>
      <c r="BO297" s="118" cm="1">
        <f t="array" aca="1" ref="BO297" ca="1">IFERROR(INDEX('EE - Input'!$B:$V,MATCH($C297,'EE - Input'!$B:$B,0),MATCH($F$9&amp;$F$10,'EE - Input'!$B$3:$V$3,0))
*(INDEX('Vessel Configurator'!$C$30:$G$62,MATCH($D297,'Vessel Configurator'!$B$30:$B$62,0),BN$8)="Yes")
*INDEX(EE_Applicability,MATCH($D297,'Vessel Configurator'!$B$30:$B$62,0))/$B297,0)</f>
        <v>0</v>
      </c>
      <c r="CI297" s="118" cm="1">
        <f t="array" aca="1" ref="CI297" ca="1">IFERROR(INDEX('EE - Input'!$B:$V,MATCH($C297,'EE - Input'!$B:$B,0),MATCH($F$9&amp;$F$10,'EE - Input'!$B$3:$V$3,0))
*(INDEX('Vessel Configurator'!$C$30:$G$62,MATCH($D297,'Vessel Configurator'!$B$30:$B$62,0),CH$8)="Yes")
*INDEX(EE_Applicability,MATCH($D297,'Vessel Configurator'!$B$30:$B$62,0))/$B297,0)</f>
        <v>0</v>
      </c>
    </row>
    <row r="298" spans="2:87" outlineLevel="1" x14ac:dyDescent="0.2">
      <c r="B298" s="118">
        <f ca="1">INDEX('EE - Input'!$B:$V,MATCH($D298&amp;"-Lifetime",'EE - Input'!$B:$B,0),MATCH($F$9&amp;$F$10,'EE - Input'!$B$3:$V$3,0))</f>
        <v>0.5</v>
      </c>
      <c r="C298" t="str">
        <f t="shared" si="1017"/>
        <v>Propeller cleaning-Installation cost</v>
      </c>
      <c r="D298" t="s">
        <v>149</v>
      </c>
      <c r="E298" s="224" t="s">
        <v>211</v>
      </c>
      <c r="F298" s="224" t="s">
        <v>452</v>
      </c>
      <c r="G298" s="118" cm="1">
        <f t="array" aca="1" ref="G298" ca="1">IFERROR(INDEX('EE - Input'!$B:$V,MATCH($C298,'EE - Input'!$B:$B,0),MATCH($F$9&amp;$F$10,'EE - Input'!$B$3:$V$3,0))
*(INDEX('Vessel Configurator'!$C$30:$G$62,MATCH($D298,'Vessel Configurator'!$B$30:$B$62,0),F$8)="Yes")
*INDEX(EE_Applicability,MATCH($D298,'Vessel Configurator'!$B$30:$B$62,0))/$B298,0)</f>
        <v>0</v>
      </c>
      <c r="AA298" s="118" cm="1">
        <f t="array" aca="1" ref="AA298" ca="1">IFERROR(INDEX('EE - Input'!$B:$V,MATCH($C298,'EE - Input'!$B:$B,0),MATCH($F$9&amp;$F$10,'EE - Input'!$B$3:$V$3,0))
*(INDEX('Vessel Configurator'!$C$30:$G$62,MATCH($D298,'Vessel Configurator'!$B$30:$B$62,0),Z$8)="Yes")
*INDEX(EE_Applicability,MATCH($D298,'Vessel Configurator'!$B$30:$B$62,0))/$B298,0)</f>
        <v>0</v>
      </c>
      <c r="AU298" s="118" cm="1">
        <f t="array" aca="1" ref="AU298" ca="1">IFERROR(INDEX('EE - Input'!$B:$V,MATCH($C298,'EE - Input'!$B:$B,0),MATCH($F$9&amp;$F$10,'EE - Input'!$B$3:$V$3,0))
*(INDEX('Vessel Configurator'!$C$30:$G$62,MATCH($D298,'Vessel Configurator'!$B$30:$B$62,0),AT$8)="Yes")
*INDEX(EE_Applicability,MATCH($D298,'Vessel Configurator'!$B$30:$B$62,0))/$B298,0)</f>
        <v>0</v>
      </c>
      <c r="BO298" s="118" cm="1">
        <f t="array" aca="1" ref="BO298" ca="1">IFERROR(INDEX('EE - Input'!$B:$V,MATCH($C298,'EE - Input'!$B:$B,0),MATCH($F$9&amp;$F$10,'EE - Input'!$B$3:$V$3,0))
*(INDEX('Vessel Configurator'!$C$30:$G$62,MATCH($D298,'Vessel Configurator'!$B$30:$B$62,0),BN$8)="Yes")
*INDEX(EE_Applicability,MATCH($D298,'Vessel Configurator'!$B$30:$B$62,0))/$B298,0)</f>
        <v>0</v>
      </c>
      <c r="CI298" s="118" cm="1">
        <f t="array" aca="1" ref="CI298" ca="1">IFERROR(INDEX('EE - Input'!$B:$V,MATCH($C298,'EE - Input'!$B:$B,0),MATCH($F$9&amp;$F$10,'EE - Input'!$B$3:$V$3,0))
*(INDEX('Vessel Configurator'!$C$30:$G$62,MATCH($D298,'Vessel Configurator'!$B$30:$B$62,0),CH$8)="Yes")
*INDEX(EE_Applicability,MATCH($D298,'Vessel Configurator'!$B$30:$B$62,0))/$B298,0)</f>
        <v>0</v>
      </c>
    </row>
    <row r="299" spans="2:87" outlineLevel="1" x14ac:dyDescent="0.2">
      <c r="B299" s="118">
        <f ca="1">INDEX('EE - Input'!$B:$V,MATCH($D299&amp;"-Lifetime",'EE - Input'!$B:$B,0),MATCH($F$9&amp;$F$10,'EE - Input'!$B$3:$V$3,0))</f>
        <v>25</v>
      </c>
      <c r="C299" t="str">
        <f t="shared" si="1017"/>
        <v>Propeller re-fitting-Installation cost</v>
      </c>
      <c r="D299" t="s">
        <v>150</v>
      </c>
      <c r="E299" s="224" t="s">
        <v>211</v>
      </c>
      <c r="F299" s="224" t="s">
        <v>452</v>
      </c>
      <c r="G299" s="118" cm="1">
        <f t="array" aca="1" ref="G299" ca="1">IFERROR(INDEX('EE - Input'!$B:$V,MATCH($C299,'EE - Input'!$B:$B,0),MATCH($F$9&amp;$F$10,'EE - Input'!$B$3:$V$3,0))
*(INDEX('Vessel Configurator'!$C$30:$G$62,MATCH($D299,'Vessel Configurator'!$B$30:$B$62,0),F$8)="Yes")
*INDEX(EE_Applicability,MATCH($D299,'Vessel Configurator'!$B$30:$B$62,0))/$B299,0)</f>
        <v>0</v>
      </c>
      <c r="AA299" s="118" cm="1">
        <f t="array" aca="1" ref="AA299" ca="1">IFERROR(INDEX('EE - Input'!$B:$V,MATCH($C299,'EE - Input'!$B:$B,0),MATCH($F$9&amp;$F$10,'EE - Input'!$B$3:$V$3,0))
*(INDEX('Vessel Configurator'!$C$30:$G$62,MATCH($D299,'Vessel Configurator'!$B$30:$B$62,0),Z$8)="Yes")
*INDEX(EE_Applicability,MATCH($D299,'Vessel Configurator'!$B$30:$B$62,0))/$B299,0)</f>
        <v>0</v>
      </c>
      <c r="AU299" s="118" cm="1">
        <f t="array" aca="1" ref="AU299" ca="1">IFERROR(INDEX('EE - Input'!$B:$V,MATCH($C299,'EE - Input'!$B:$B,0),MATCH($F$9&amp;$F$10,'EE - Input'!$B$3:$V$3,0))
*(INDEX('Vessel Configurator'!$C$30:$G$62,MATCH($D299,'Vessel Configurator'!$B$30:$B$62,0),AT$8)="Yes")
*INDEX(EE_Applicability,MATCH($D299,'Vessel Configurator'!$B$30:$B$62,0))/$B299,0)</f>
        <v>0</v>
      </c>
      <c r="BO299" s="118" cm="1">
        <f t="array" aca="1" ref="BO299" ca="1">IFERROR(INDEX('EE - Input'!$B:$V,MATCH($C299,'EE - Input'!$B:$B,0),MATCH($F$9&amp;$F$10,'EE - Input'!$B$3:$V$3,0))
*(INDEX('Vessel Configurator'!$C$30:$G$62,MATCH($D299,'Vessel Configurator'!$B$30:$B$62,0),BN$8)="Yes")
*INDEX(EE_Applicability,MATCH($D299,'Vessel Configurator'!$B$30:$B$62,0))/$B299,0)</f>
        <v>0</v>
      </c>
      <c r="CI299" s="118" cm="1">
        <f t="array" aca="1" ref="CI299" ca="1">IFERROR(INDEX('EE - Input'!$B:$V,MATCH($C299,'EE - Input'!$B:$B,0),MATCH($F$9&amp;$F$10,'EE - Input'!$B$3:$V$3,0))
*(INDEX('Vessel Configurator'!$C$30:$G$62,MATCH($D299,'Vessel Configurator'!$B$30:$B$62,0),CH$8)="Yes")
*INDEX(EE_Applicability,MATCH($D299,'Vessel Configurator'!$B$30:$B$62,0))/$B299,0)</f>
        <v>0</v>
      </c>
    </row>
    <row r="300" spans="2:87" outlineLevel="1" x14ac:dyDescent="0.2">
      <c r="B300" s="118">
        <f ca="1">INDEX('EE - Input'!$B:$V,MATCH($D300&amp;"-Lifetime",'EE - Input'!$B:$B,0),MATCH($F$9&amp;$F$10,'EE - Input'!$B$3:$V$3,0))</f>
        <v>25</v>
      </c>
      <c r="C300" t="str">
        <f t="shared" si="1017"/>
        <v>Propeller improvement devices-Installation cost</v>
      </c>
      <c r="D300" t="s">
        <v>151</v>
      </c>
      <c r="E300" s="224" t="s">
        <v>211</v>
      </c>
      <c r="F300" s="224" t="s">
        <v>452</v>
      </c>
      <c r="G300" s="118" cm="1">
        <f t="array" aca="1" ref="G300" ca="1">IFERROR(INDEX('EE - Input'!$B:$V,MATCH($C300,'EE - Input'!$B:$B,0),MATCH($F$9&amp;$F$10,'EE - Input'!$B$3:$V$3,0))
*(INDEX('Vessel Configurator'!$C$30:$G$62,MATCH($D300,'Vessel Configurator'!$B$30:$B$62,0),F$8)="Yes")
*INDEX(EE_Applicability,MATCH($D300,'Vessel Configurator'!$B$30:$B$62,0))/$B300,0)</f>
        <v>0</v>
      </c>
      <c r="AA300" s="118" cm="1">
        <f t="array" aca="1" ref="AA300" ca="1">IFERROR(INDEX('EE - Input'!$B:$V,MATCH($C300,'EE - Input'!$B:$B,0),MATCH($F$9&amp;$F$10,'EE - Input'!$B$3:$V$3,0))
*(INDEX('Vessel Configurator'!$C$30:$G$62,MATCH($D300,'Vessel Configurator'!$B$30:$B$62,0),Z$8)="Yes")
*INDEX(EE_Applicability,MATCH($D300,'Vessel Configurator'!$B$30:$B$62,0))/$B300,0)</f>
        <v>0</v>
      </c>
      <c r="AU300" s="118" cm="1">
        <f t="array" aca="1" ref="AU300" ca="1">IFERROR(INDEX('EE - Input'!$B:$V,MATCH($C300,'EE - Input'!$B:$B,0),MATCH($F$9&amp;$F$10,'EE - Input'!$B$3:$V$3,0))
*(INDEX('Vessel Configurator'!$C$30:$G$62,MATCH($D300,'Vessel Configurator'!$B$30:$B$62,0),AT$8)="Yes")
*INDEX(EE_Applicability,MATCH($D300,'Vessel Configurator'!$B$30:$B$62,0))/$B300,0)</f>
        <v>0</v>
      </c>
      <c r="BO300" s="118" cm="1">
        <f t="array" aca="1" ref="BO300" ca="1">IFERROR(INDEX('EE - Input'!$B:$V,MATCH($C300,'EE - Input'!$B:$B,0),MATCH($F$9&amp;$F$10,'EE - Input'!$B$3:$V$3,0))
*(INDEX('Vessel Configurator'!$C$30:$G$62,MATCH($D300,'Vessel Configurator'!$B$30:$B$62,0),BN$8)="Yes")
*INDEX(EE_Applicability,MATCH($D300,'Vessel Configurator'!$B$30:$B$62,0))/$B300,0)</f>
        <v>0</v>
      </c>
      <c r="CI300" s="118" cm="1">
        <f t="array" aca="1" ref="CI300" ca="1">IFERROR(INDEX('EE - Input'!$B:$V,MATCH($C300,'EE - Input'!$B:$B,0),MATCH($F$9&amp;$F$10,'EE - Input'!$B$3:$V$3,0))
*(INDEX('Vessel Configurator'!$C$30:$G$62,MATCH($D300,'Vessel Configurator'!$B$30:$B$62,0),CH$8)="Yes")
*INDEX(EE_Applicability,MATCH($D300,'Vessel Configurator'!$B$30:$B$62,0))/$B300,0)</f>
        <v>0</v>
      </c>
    </row>
    <row r="301" spans="2:87" outlineLevel="1" x14ac:dyDescent="0.2">
      <c r="B301" s="118">
        <f ca="1">INDEX('EE - Input'!$B:$V,MATCH($D301&amp;"-Lifetime",'EE - Input'!$B:$B,0),MATCH($F$9&amp;$F$10,'EE - Input'!$B$3:$V$3,0))</f>
        <v>25</v>
      </c>
      <c r="C301" t="str">
        <f t="shared" si="1017"/>
        <v>Rudder autopilot-Installation cost</v>
      </c>
      <c r="D301" t="s">
        <v>152</v>
      </c>
      <c r="E301" s="224" t="s">
        <v>211</v>
      </c>
      <c r="F301" s="224" t="s">
        <v>452</v>
      </c>
      <c r="G301" s="118" cm="1">
        <f t="array" aca="1" ref="G301" ca="1">IFERROR(INDEX('EE - Input'!$B:$V,MATCH($C301,'EE - Input'!$B:$B,0),MATCH($F$9&amp;$F$10,'EE - Input'!$B$3:$V$3,0))
*(INDEX('Vessel Configurator'!$C$30:$G$62,MATCH($D301,'Vessel Configurator'!$B$30:$B$62,0),F$8)="Yes")
*INDEX(EE_Applicability,MATCH($D301,'Vessel Configurator'!$B$30:$B$62,0))/$B301,0)</f>
        <v>0</v>
      </c>
      <c r="AA301" s="118" cm="1">
        <f t="array" aca="1" ref="AA301" ca="1">IFERROR(INDEX('EE - Input'!$B:$V,MATCH($C301,'EE - Input'!$B:$B,0),MATCH($F$9&amp;$F$10,'EE - Input'!$B$3:$V$3,0))
*(INDEX('Vessel Configurator'!$C$30:$G$62,MATCH($D301,'Vessel Configurator'!$B$30:$B$62,0),Z$8)="Yes")
*INDEX(EE_Applicability,MATCH($D301,'Vessel Configurator'!$B$30:$B$62,0))/$B301,0)</f>
        <v>0</v>
      </c>
      <c r="AU301" s="118" cm="1">
        <f t="array" aca="1" ref="AU301" ca="1">IFERROR(INDEX('EE - Input'!$B:$V,MATCH($C301,'EE - Input'!$B:$B,0),MATCH($F$9&amp;$F$10,'EE - Input'!$B$3:$V$3,0))
*(INDEX('Vessel Configurator'!$C$30:$G$62,MATCH($D301,'Vessel Configurator'!$B$30:$B$62,0),AT$8)="Yes")
*INDEX(EE_Applicability,MATCH($D301,'Vessel Configurator'!$B$30:$B$62,0))/$B301,0)</f>
        <v>0</v>
      </c>
      <c r="BO301" s="118" cm="1">
        <f t="array" aca="1" ref="BO301" ca="1">IFERROR(INDEX('EE - Input'!$B:$V,MATCH($C301,'EE - Input'!$B:$B,0),MATCH($F$9&amp;$F$10,'EE - Input'!$B$3:$V$3,0))
*(INDEX('Vessel Configurator'!$C$30:$G$62,MATCH($D301,'Vessel Configurator'!$B$30:$B$62,0),BN$8)="Yes")
*INDEX(EE_Applicability,MATCH($D301,'Vessel Configurator'!$B$30:$B$62,0))/$B301,0)</f>
        <v>0</v>
      </c>
      <c r="CI301" s="118" cm="1">
        <f t="array" aca="1" ref="CI301" ca="1">IFERROR(INDEX('EE - Input'!$B:$V,MATCH($C301,'EE - Input'!$B:$B,0),MATCH($F$9&amp;$F$10,'EE - Input'!$B$3:$V$3,0))
*(INDEX('Vessel Configurator'!$C$30:$G$62,MATCH($D301,'Vessel Configurator'!$B$30:$B$62,0),CH$8)="Yes")
*INDEX(EE_Applicability,MATCH($D301,'Vessel Configurator'!$B$30:$B$62,0))/$B301,0)</f>
        <v>0</v>
      </c>
    </row>
    <row r="302" spans="2:87" outlineLevel="1" x14ac:dyDescent="0.2">
      <c r="B302" s="118">
        <f ca="1">INDEX('EE - Input'!$B:$V,MATCH($D302&amp;"-Lifetime",'EE - Input'!$B:$B,0),MATCH($F$9&amp;$F$10,'EE - Input'!$B$3:$V$3,0))</f>
        <v>25</v>
      </c>
      <c r="C302" t="str">
        <f t="shared" si="1017"/>
        <v>Flettner rotors-Installation cost</v>
      </c>
      <c r="D302" t="s">
        <v>153</v>
      </c>
      <c r="E302" s="224" t="s">
        <v>211</v>
      </c>
      <c r="F302" s="224" t="s">
        <v>452</v>
      </c>
      <c r="G302" s="118" cm="1">
        <f t="array" aca="1" ref="G302" ca="1">IFERROR(INDEX('EE - Input'!$B:$V,MATCH($C302,'EE - Input'!$B:$B,0),MATCH($F$9&amp;$F$10,'EE - Input'!$B$3:$V$3,0))
*(INDEX('Vessel Configurator'!$C$30:$G$62,MATCH($D302,'Vessel Configurator'!$B$30:$B$62,0),F$8)="Yes")
*INDEX(EE_Applicability,MATCH($D302,'Vessel Configurator'!$B$30:$B$62,0))/$B302,0)</f>
        <v>0</v>
      </c>
      <c r="AA302" s="118" cm="1">
        <f t="array" aca="1" ref="AA302" ca="1">IFERROR(INDEX('EE - Input'!$B:$V,MATCH($C302,'EE - Input'!$B:$B,0),MATCH($F$9&amp;$F$10,'EE - Input'!$B$3:$V$3,0))
*(INDEX('Vessel Configurator'!$C$30:$G$62,MATCH($D302,'Vessel Configurator'!$B$30:$B$62,0),Z$8)="Yes")
*INDEX(EE_Applicability,MATCH($D302,'Vessel Configurator'!$B$30:$B$62,0))/$B302,0)</f>
        <v>0</v>
      </c>
      <c r="AU302" s="118" cm="1">
        <f t="array" aca="1" ref="AU302" ca="1">IFERROR(INDEX('EE - Input'!$B:$V,MATCH($C302,'EE - Input'!$B:$B,0),MATCH($F$9&amp;$F$10,'EE - Input'!$B$3:$V$3,0))
*(INDEX('Vessel Configurator'!$C$30:$G$62,MATCH($D302,'Vessel Configurator'!$B$30:$B$62,0),AT$8)="Yes")
*INDEX(EE_Applicability,MATCH($D302,'Vessel Configurator'!$B$30:$B$62,0))/$B302,0)</f>
        <v>0</v>
      </c>
      <c r="BO302" s="118" cm="1">
        <f t="array" aca="1" ref="BO302" ca="1">IFERROR(INDEX('EE - Input'!$B:$V,MATCH($C302,'EE - Input'!$B:$B,0),MATCH($F$9&amp;$F$10,'EE - Input'!$B$3:$V$3,0))
*(INDEX('Vessel Configurator'!$C$30:$G$62,MATCH($D302,'Vessel Configurator'!$B$30:$B$62,0),BN$8)="Yes")
*INDEX(EE_Applicability,MATCH($D302,'Vessel Configurator'!$B$30:$B$62,0))/$B302,0)</f>
        <v>0</v>
      </c>
      <c r="CI302" s="118" cm="1">
        <f t="array" aca="1" ref="CI302" ca="1">IFERROR(INDEX('EE - Input'!$B:$V,MATCH($C302,'EE - Input'!$B:$B,0),MATCH($F$9&amp;$F$10,'EE - Input'!$B$3:$V$3,0))
*(INDEX('Vessel Configurator'!$C$30:$G$62,MATCH($D302,'Vessel Configurator'!$B$30:$B$62,0),CH$8)="Yes")
*INDEX(EE_Applicability,MATCH($D302,'Vessel Configurator'!$B$30:$B$62,0))/$B302,0)</f>
        <v>0</v>
      </c>
    </row>
    <row r="303" spans="2:87" outlineLevel="1" x14ac:dyDescent="0.2">
      <c r="B303" s="118">
        <f ca="1">INDEX('EE - Input'!$B:$V,MATCH($D303&amp;"-Lifetime",'EE - Input'!$B:$B,0),MATCH($F$9&amp;$F$10,'EE - Input'!$B$3:$V$3,0))</f>
        <v>0</v>
      </c>
      <c r="C303" t="str">
        <f t="shared" si="1017"/>
        <v>Sails-Installation cost</v>
      </c>
      <c r="D303" t="s">
        <v>154</v>
      </c>
      <c r="E303" s="224" t="s">
        <v>211</v>
      </c>
      <c r="F303" s="224" t="s">
        <v>452</v>
      </c>
      <c r="G303" s="118" cm="1">
        <f t="array" aca="1" ref="G303" ca="1">IFERROR(INDEX('EE - Input'!$B:$V,MATCH($C303,'EE - Input'!$B:$B,0),MATCH($F$9&amp;$F$10,'EE - Input'!$B$3:$V$3,0))
*(INDEX('Vessel Configurator'!$C$30:$G$62,MATCH($D303,'Vessel Configurator'!$B$30:$B$62,0),F$8)="Yes")
*INDEX(EE_Applicability,MATCH($D303,'Vessel Configurator'!$B$30:$B$62,0))/$B303,0)</f>
        <v>0</v>
      </c>
      <c r="AA303" s="118" cm="1">
        <f t="array" aca="1" ref="AA303" ca="1">IFERROR(INDEX('EE - Input'!$B:$V,MATCH($C303,'EE - Input'!$B:$B,0),MATCH($F$9&amp;$F$10,'EE - Input'!$B$3:$V$3,0))
*(INDEX('Vessel Configurator'!$C$30:$G$62,MATCH($D303,'Vessel Configurator'!$B$30:$B$62,0),Z$8)="Yes")
*INDEX(EE_Applicability,MATCH($D303,'Vessel Configurator'!$B$30:$B$62,0))/$B303,0)</f>
        <v>0</v>
      </c>
      <c r="AU303" s="118" cm="1">
        <f t="array" aca="1" ref="AU303" ca="1">IFERROR(INDEX('EE - Input'!$B:$V,MATCH($C303,'EE - Input'!$B:$B,0),MATCH($F$9&amp;$F$10,'EE - Input'!$B$3:$V$3,0))
*(INDEX('Vessel Configurator'!$C$30:$G$62,MATCH($D303,'Vessel Configurator'!$B$30:$B$62,0),AT$8)="Yes")
*INDEX(EE_Applicability,MATCH($D303,'Vessel Configurator'!$B$30:$B$62,0))/$B303,0)</f>
        <v>0</v>
      </c>
      <c r="BO303" s="118" cm="1">
        <f t="array" aca="1" ref="BO303" ca="1">IFERROR(INDEX('EE - Input'!$B:$V,MATCH($C303,'EE - Input'!$B:$B,0),MATCH($F$9&amp;$F$10,'EE - Input'!$B$3:$V$3,0))
*(INDEX('Vessel Configurator'!$C$30:$G$62,MATCH($D303,'Vessel Configurator'!$B$30:$B$62,0),BN$8)="Yes")
*INDEX(EE_Applicability,MATCH($D303,'Vessel Configurator'!$B$30:$B$62,0))/$B303,0)</f>
        <v>0</v>
      </c>
      <c r="CI303" s="118" cm="1">
        <f t="array" aca="1" ref="CI303" ca="1">IFERROR(INDEX('EE - Input'!$B:$V,MATCH($C303,'EE - Input'!$B:$B,0),MATCH($F$9&amp;$F$10,'EE - Input'!$B$3:$V$3,0))
*(INDEX('Vessel Configurator'!$C$30:$G$62,MATCH($D303,'Vessel Configurator'!$B$30:$B$62,0),CH$8)="Yes")
*INDEX(EE_Applicability,MATCH($D303,'Vessel Configurator'!$B$30:$B$62,0))/$B303,0)</f>
        <v>0</v>
      </c>
    </row>
    <row r="304" spans="2:87" outlineLevel="1" x14ac:dyDescent="0.2">
      <c r="B304" s="118">
        <f ca="1">INDEX('EE - Input'!$B:$V,MATCH($D304&amp;"-Lifetime",'EE - Input'!$B:$B,0),MATCH($F$9&amp;$F$10,'EE - Input'!$B$3:$V$3,0))</f>
        <v>25</v>
      </c>
      <c r="C304" t="str">
        <f t="shared" si="1017"/>
        <v>Kites-Installation cost</v>
      </c>
      <c r="D304" t="s">
        <v>155</v>
      </c>
      <c r="E304" s="224" t="s">
        <v>211</v>
      </c>
      <c r="F304" s="224" t="s">
        <v>452</v>
      </c>
      <c r="G304" s="118" cm="1">
        <f t="array" aca="1" ref="G304" ca="1">IFERROR(INDEX('EE - Input'!$B:$V,MATCH($C304,'EE - Input'!$B:$B,0),MATCH($F$9&amp;$F$10,'EE - Input'!$B$3:$V$3,0))
*(INDEX('Vessel Configurator'!$C$30:$G$62,MATCH($D304,'Vessel Configurator'!$B$30:$B$62,0),F$8)="Yes")
*INDEX(EE_Applicability,MATCH($D304,'Vessel Configurator'!$B$30:$B$62,0))/$B304,0)</f>
        <v>0</v>
      </c>
      <c r="AA304" s="118" cm="1">
        <f t="array" aca="1" ref="AA304" ca="1">IFERROR(INDEX('EE - Input'!$B:$V,MATCH($C304,'EE - Input'!$B:$B,0),MATCH($F$9&amp;$F$10,'EE - Input'!$B$3:$V$3,0))
*(INDEX('Vessel Configurator'!$C$30:$G$62,MATCH($D304,'Vessel Configurator'!$B$30:$B$62,0),Z$8)="Yes")
*INDEX(EE_Applicability,MATCH($D304,'Vessel Configurator'!$B$30:$B$62,0))/$B304,0)</f>
        <v>0</v>
      </c>
      <c r="AU304" s="118" cm="1">
        <f t="array" aca="1" ref="AU304" ca="1">IFERROR(INDEX('EE - Input'!$B:$V,MATCH($C304,'EE - Input'!$B:$B,0),MATCH($F$9&amp;$F$10,'EE - Input'!$B$3:$V$3,0))
*(INDEX('Vessel Configurator'!$C$30:$G$62,MATCH($D304,'Vessel Configurator'!$B$30:$B$62,0),AT$8)="Yes")
*INDEX(EE_Applicability,MATCH($D304,'Vessel Configurator'!$B$30:$B$62,0))/$B304,0)</f>
        <v>0</v>
      </c>
      <c r="BO304" s="118" cm="1">
        <f t="array" aca="1" ref="BO304" ca="1">IFERROR(INDEX('EE - Input'!$B:$V,MATCH($C304,'EE - Input'!$B:$B,0),MATCH($F$9&amp;$F$10,'EE - Input'!$B$3:$V$3,0))
*(INDEX('Vessel Configurator'!$C$30:$G$62,MATCH($D304,'Vessel Configurator'!$B$30:$B$62,0),BN$8)="Yes")
*INDEX(EE_Applicability,MATCH($D304,'Vessel Configurator'!$B$30:$B$62,0))/$B304,0)</f>
        <v>0</v>
      </c>
      <c r="CI304" s="118" cm="1">
        <f t="array" aca="1" ref="CI304" ca="1">IFERROR(INDEX('EE - Input'!$B:$V,MATCH($C304,'EE - Input'!$B:$B,0),MATCH($F$9&amp;$F$10,'EE - Input'!$B$3:$V$3,0))
*(INDEX('Vessel Configurator'!$C$30:$G$62,MATCH($D304,'Vessel Configurator'!$B$30:$B$62,0),CH$8)="Yes")
*INDEX(EE_Applicability,MATCH($D304,'Vessel Configurator'!$B$30:$B$62,0))/$B304,0)</f>
        <v>0</v>
      </c>
    </row>
    <row r="305" spans="2:87" outlineLevel="1" x14ac:dyDescent="0.2">
      <c r="B305" s="118"/>
      <c r="F305"/>
    </row>
    <row r="306" spans="2:87" outlineLevel="1" x14ac:dyDescent="0.2">
      <c r="B306" s="118"/>
      <c r="D306" s="266" t="s">
        <v>453</v>
      </c>
      <c r="E306" s="266" t="s">
        <v>401</v>
      </c>
      <c r="F306" s="224" t="s">
        <v>50</v>
      </c>
      <c r="G306" s="324">
        <f ca="1">IFERROR(SUMPRODUCT($B308:$B317,G308:G317),0)</f>
        <v>0</v>
      </c>
      <c r="AA306" s="324">
        <f ca="1">IFERROR(SUMPRODUCT($B308:$B317,AA308:AA317),0)</f>
        <v>0</v>
      </c>
      <c r="AU306" s="324">
        <f ca="1">IFERROR(SUMPRODUCT($B308:$B317,AU308:AU317),0)</f>
        <v>0</v>
      </c>
      <c r="BO306" s="324">
        <f ca="1">IFERROR(SUMPRODUCT($B308:$B317,BO308:BO317),0)</f>
        <v>0</v>
      </c>
      <c r="CI306" s="324">
        <f ca="1">IFERROR(SUMPRODUCT($B308:$B317,CI308:CI317),0)</f>
        <v>0</v>
      </c>
    </row>
    <row r="307" spans="2:87" outlineLevel="1" x14ac:dyDescent="0.2">
      <c r="B307" s="118"/>
      <c r="C307" t="str">
        <f t="shared" si="1017"/>
        <v>EE AE system-CAPEX</v>
      </c>
      <c r="D307" s="266" t="s">
        <v>453</v>
      </c>
      <c r="E307" s="266" t="s">
        <v>211</v>
      </c>
      <c r="F307" s="224" t="s">
        <v>50</v>
      </c>
      <c r="G307" s="324">
        <f ca="1">IFERROR(SUM(G308:G317),0)</f>
        <v>0</v>
      </c>
      <c r="AA307" s="324">
        <f ca="1">IFERROR(SUM(AA308:AA317),0)</f>
        <v>0</v>
      </c>
      <c r="AU307" s="324">
        <f ca="1">IFERROR(SUM(AU308:AU317),0)</f>
        <v>0</v>
      </c>
      <c r="BO307" s="324">
        <f ca="1">IFERROR(SUM(BO308:BO317),0)</f>
        <v>0</v>
      </c>
      <c r="CI307" s="324">
        <f ca="1">IFERROR(SUM(CI308:CI317),0)</f>
        <v>0</v>
      </c>
    </row>
    <row r="308" spans="2:87" outlineLevel="1" x14ac:dyDescent="0.2">
      <c r="B308" s="118">
        <f ca="1">INDEX('EE - Input'!$B:$V,MATCH($D308&amp;"-Lifetime",'EE - Input'!$B:$B,0),MATCH($F$9&amp;$F$10,'EE - Input'!$B$3:$V$3,0))</f>
        <v>25</v>
      </c>
      <c r="C308" t="str">
        <f t="shared" si="1017"/>
        <v>Waste heat recovery system-Installation cost</v>
      </c>
      <c r="D308" t="s">
        <v>156</v>
      </c>
      <c r="E308" s="224" t="s">
        <v>211</v>
      </c>
      <c r="F308" s="224" t="s">
        <v>452</v>
      </c>
      <c r="G308" s="118" cm="1">
        <f t="array" aca="1" ref="G308" ca="1">IFERROR(INDEX('EE - Input'!$B:$V,MATCH($C308,'EE - Input'!$B:$B,0),MATCH($F$9&amp;$F$10,'EE - Input'!$B$3:$V$3,0))
*(INDEX('Vessel Configurator'!$C$30:$G$62,MATCH($D308,'Vessel Configurator'!$B$30:$B$62,0),F$8)="Yes")
*INDEX(EE_Applicability,MATCH($D308,'Vessel Configurator'!$B$30:$B$62,0))/$B308,0)</f>
        <v>0</v>
      </c>
      <c r="AA308" s="118" cm="1">
        <f t="array" aca="1" ref="AA308" ca="1">IFERROR(INDEX('EE - Input'!$B:$V,MATCH($C308,'EE - Input'!$B:$B,0),MATCH($F$9&amp;$F$10,'EE - Input'!$B$3:$V$3,0))
*(INDEX('Vessel Configurator'!$C$30:$G$62,MATCH($D308,'Vessel Configurator'!$B$30:$B$62,0),Z$8)="Yes")
*INDEX(EE_Applicability,MATCH($D308,'Vessel Configurator'!$B$30:$B$62,0))/$B308,0)</f>
        <v>0</v>
      </c>
      <c r="AU308" s="118" cm="1">
        <f t="array" aca="1" ref="AU308" ca="1">IFERROR(INDEX('EE - Input'!$B:$V,MATCH($C308,'EE - Input'!$B:$B,0),MATCH($F$9&amp;$F$10,'EE - Input'!$B$3:$V$3,0))
*(INDEX('Vessel Configurator'!$C$30:$G$62,MATCH($D308,'Vessel Configurator'!$B$30:$B$62,0),AT$8)="Yes")
*INDEX(EE_Applicability,MATCH($D308,'Vessel Configurator'!$B$30:$B$62,0))/$B308,0)</f>
        <v>0</v>
      </c>
      <c r="BO308" s="118" cm="1">
        <f t="array" aca="1" ref="BO308" ca="1">IFERROR(INDEX('EE - Input'!$B:$V,MATCH($C308,'EE - Input'!$B:$B,0),MATCH($F$9&amp;$F$10,'EE - Input'!$B$3:$V$3,0))
*(INDEX('Vessel Configurator'!$C$30:$G$62,MATCH($D308,'Vessel Configurator'!$B$30:$B$62,0),BN$8)="Yes")
*INDEX(EE_Applicability,MATCH($D308,'Vessel Configurator'!$B$30:$B$62,0))/$B308,0)</f>
        <v>0</v>
      </c>
      <c r="CI308" s="118" cm="1">
        <f t="array" aca="1" ref="CI308" ca="1">IFERROR(INDEX('EE - Input'!$B:$V,MATCH($C308,'EE - Input'!$B:$B,0),MATCH($F$9&amp;$F$10,'EE - Input'!$B$3:$V$3,0))
*(INDEX('Vessel Configurator'!$C$30:$G$62,MATCH($D308,'Vessel Configurator'!$B$30:$B$62,0),CH$8)="Yes")
*INDEX(EE_Applicability,MATCH($D308,'Vessel Configurator'!$B$30:$B$62,0))/$B308,0)</f>
        <v>0</v>
      </c>
    </row>
    <row r="309" spans="2:87" outlineLevel="1" x14ac:dyDescent="0.2">
      <c r="B309" s="118">
        <f ca="1">INDEX('EE - Input'!$B:$V,MATCH($D309&amp;"-Lifetime",'EE - Input'!$B:$B,0),MATCH($F$9&amp;$F$10,'EE - Input'!$B$3:$V$3,0))</f>
        <v>25</v>
      </c>
      <c r="C309" t="str">
        <f t="shared" si="1017"/>
        <v>Shaft generator-Installation cost</v>
      </c>
      <c r="D309" t="s">
        <v>157</v>
      </c>
      <c r="E309" s="224" t="s">
        <v>211</v>
      </c>
      <c r="F309" s="224" t="s">
        <v>452</v>
      </c>
      <c r="G309" s="118" cm="1">
        <f t="array" aca="1" ref="G309" ca="1">IFERROR(INDEX('EE - Input'!$B:$V,MATCH($C309,'EE - Input'!$B:$B,0),MATCH($F$9&amp;$F$10,'EE - Input'!$B$3:$V$3,0))
*(INDEX('Vessel Configurator'!$C$30:$G$62,MATCH($D309,'Vessel Configurator'!$B$30:$B$62,0),F$8)="Yes")
*INDEX(EE_Applicability,MATCH($D309,'Vessel Configurator'!$B$30:$B$62,0))/$B309,0)</f>
        <v>0</v>
      </c>
      <c r="AA309" s="118" cm="1">
        <f t="array" aca="1" ref="AA309" ca="1">IFERROR(INDEX('EE - Input'!$B:$V,MATCH($C309,'EE - Input'!$B:$B,0),MATCH($F$9&amp;$F$10,'EE - Input'!$B$3:$V$3,0))
*(INDEX('Vessel Configurator'!$C$30:$G$62,MATCH($D309,'Vessel Configurator'!$B$30:$B$62,0),Z$8)="Yes")
*INDEX(EE_Applicability,MATCH($D309,'Vessel Configurator'!$B$30:$B$62,0))/$B309,0)</f>
        <v>0</v>
      </c>
      <c r="AU309" s="118" cm="1">
        <f t="array" aca="1" ref="AU309" ca="1">IFERROR(INDEX('EE - Input'!$B:$V,MATCH($C309,'EE - Input'!$B:$B,0),MATCH($F$9&amp;$F$10,'EE - Input'!$B$3:$V$3,0))
*(INDEX('Vessel Configurator'!$C$30:$G$62,MATCH($D309,'Vessel Configurator'!$B$30:$B$62,0),AT$8)="Yes")
*INDEX(EE_Applicability,MATCH($D309,'Vessel Configurator'!$B$30:$B$62,0))/$B309,0)</f>
        <v>0</v>
      </c>
      <c r="BO309" s="118" cm="1">
        <f t="array" aca="1" ref="BO309" ca="1">IFERROR(INDEX('EE - Input'!$B:$V,MATCH($C309,'EE - Input'!$B:$B,0),MATCH($F$9&amp;$F$10,'EE - Input'!$B$3:$V$3,0))
*(INDEX('Vessel Configurator'!$C$30:$G$62,MATCH($D309,'Vessel Configurator'!$B$30:$B$62,0),BN$8)="Yes")
*INDEX(EE_Applicability,MATCH($D309,'Vessel Configurator'!$B$30:$B$62,0))/$B309,0)</f>
        <v>0</v>
      </c>
      <c r="CI309" s="118" cm="1">
        <f t="array" aca="1" ref="CI309" ca="1">IFERROR(INDEX('EE - Input'!$B:$V,MATCH($C309,'EE - Input'!$B:$B,0),MATCH($F$9&amp;$F$10,'EE - Input'!$B$3:$V$3,0))
*(INDEX('Vessel Configurator'!$C$30:$G$62,MATCH($D309,'Vessel Configurator'!$B$30:$B$62,0),CH$8)="Yes")
*INDEX(EE_Applicability,MATCH($D309,'Vessel Configurator'!$B$30:$B$62,0))/$B309,0)</f>
        <v>0</v>
      </c>
    </row>
    <row r="310" spans="2:87" outlineLevel="1" x14ac:dyDescent="0.2">
      <c r="B310" s="118">
        <f ca="1">INDEX('EE - Input'!$B:$V,MATCH($D310&amp;"-Lifetime",'EE - Input'!$B:$B,0),MATCH($F$9&amp;$F$10,'EE - Input'!$B$3:$V$3,0))</f>
        <v>0</v>
      </c>
      <c r="C310" t="str">
        <f t="shared" si="1017"/>
        <v>Solar power-Installation cost</v>
      </c>
      <c r="D310" t="s">
        <v>158</v>
      </c>
      <c r="E310" s="224" t="s">
        <v>211</v>
      </c>
      <c r="F310" s="224" t="s">
        <v>452</v>
      </c>
      <c r="G310" s="118" cm="1">
        <f t="array" aca="1" ref="G310" ca="1">IFERROR(INDEX('EE - Input'!$B:$V,MATCH($C310,'EE - Input'!$B:$B,0),MATCH($F$9&amp;$F$10,'EE - Input'!$B$3:$V$3,0))
*(INDEX('Vessel Configurator'!$C$30:$G$62,MATCH($D310,'Vessel Configurator'!$B$30:$B$62,0),F$8)="Yes")
*INDEX(EE_Applicability,MATCH($D310,'Vessel Configurator'!$B$30:$B$62,0))/$B310,0)</f>
        <v>0</v>
      </c>
      <c r="AA310" s="118" cm="1">
        <f t="array" aca="1" ref="AA310" ca="1">IFERROR(INDEX('EE - Input'!$B:$V,MATCH($C310,'EE - Input'!$B:$B,0),MATCH($F$9&amp;$F$10,'EE - Input'!$B$3:$V$3,0))
*(INDEX('Vessel Configurator'!$C$30:$G$62,MATCH($D310,'Vessel Configurator'!$B$30:$B$62,0),Z$8)="Yes")
*INDEX(EE_Applicability,MATCH($D310,'Vessel Configurator'!$B$30:$B$62,0))/$B310,0)</f>
        <v>0</v>
      </c>
      <c r="AU310" s="118" cm="1">
        <f t="array" aca="1" ref="AU310" ca="1">IFERROR(INDEX('EE - Input'!$B:$V,MATCH($C310,'EE - Input'!$B:$B,0),MATCH($F$9&amp;$F$10,'EE - Input'!$B$3:$V$3,0))
*(INDEX('Vessel Configurator'!$C$30:$G$62,MATCH($D310,'Vessel Configurator'!$B$30:$B$62,0),AT$8)="Yes")
*INDEX(EE_Applicability,MATCH($D310,'Vessel Configurator'!$B$30:$B$62,0))/$B310,0)</f>
        <v>0</v>
      </c>
      <c r="BO310" s="118" cm="1">
        <f t="array" aca="1" ref="BO310" ca="1">IFERROR(INDEX('EE - Input'!$B:$V,MATCH($C310,'EE - Input'!$B:$B,0),MATCH($F$9&amp;$F$10,'EE - Input'!$B$3:$V$3,0))
*(INDEX('Vessel Configurator'!$C$30:$G$62,MATCH($D310,'Vessel Configurator'!$B$30:$B$62,0),BN$8)="Yes")
*INDEX(EE_Applicability,MATCH($D310,'Vessel Configurator'!$B$30:$B$62,0))/$B310,0)</f>
        <v>0</v>
      </c>
      <c r="CI310" s="118" cm="1">
        <f t="array" aca="1" ref="CI310" ca="1">IFERROR(INDEX('EE - Input'!$B:$V,MATCH($C310,'EE - Input'!$B:$B,0),MATCH($F$9&amp;$F$10,'EE - Input'!$B$3:$V$3,0))
*(INDEX('Vessel Configurator'!$C$30:$G$62,MATCH($D310,'Vessel Configurator'!$B$30:$B$62,0),CH$8)="Yes")
*INDEX(EE_Applicability,MATCH($D310,'Vessel Configurator'!$B$30:$B$62,0))/$B310,0)</f>
        <v>0</v>
      </c>
    </row>
    <row r="311" spans="2:87" outlineLevel="1" x14ac:dyDescent="0.2">
      <c r="B311" s="118">
        <f ca="1">INDEX('EE - Input'!$B:$V,MATCH($D311&amp;"-Lifetime",'EE - Input'!$B:$B,0),MATCH($F$9&amp;$F$10,'EE - Input'!$B$3:$V$3,0))</f>
        <v>25</v>
      </c>
      <c r="C311" t="str">
        <f t="shared" si="1017"/>
        <v>Shore power-Installation cost</v>
      </c>
      <c r="D311" t="s">
        <v>159</v>
      </c>
      <c r="E311" s="224" t="s">
        <v>211</v>
      </c>
      <c r="F311" s="224" t="s">
        <v>452</v>
      </c>
      <c r="G311" s="118" cm="1">
        <f t="array" aca="1" ref="G311" ca="1">IFERROR(INDEX('EE - Input'!$B:$V,MATCH($C311,'EE - Input'!$B:$B,0),MATCH($F$9&amp;$F$10,'EE - Input'!$B$3:$V$3,0))
*(INDEX('Vessel Configurator'!$C$30:$G$62,MATCH($D311,'Vessel Configurator'!$B$30:$B$62,0),F$8)="Yes")
*INDEX(EE_Applicability,MATCH($D311,'Vessel Configurator'!$B$30:$B$62,0))/$B311,0)</f>
        <v>0</v>
      </c>
      <c r="AA311" s="118" cm="1">
        <f t="array" aca="1" ref="AA311" ca="1">IFERROR(INDEX('EE - Input'!$B:$V,MATCH($C311,'EE - Input'!$B:$B,0),MATCH($F$9&amp;$F$10,'EE - Input'!$B$3:$V$3,0))
*(INDEX('Vessel Configurator'!$C$30:$G$62,MATCH($D311,'Vessel Configurator'!$B$30:$B$62,0),Z$8)="Yes")
*INDEX(EE_Applicability,MATCH($D311,'Vessel Configurator'!$B$30:$B$62,0))/$B311,0)</f>
        <v>0</v>
      </c>
      <c r="AU311" s="118" cm="1">
        <f t="array" aca="1" ref="AU311" ca="1">IFERROR(INDEX('EE - Input'!$B:$V,MATCH($C311,'EE - Input'!$B:$B,0),MATCH($F$9&amp;$F$10,'EE - Input'!$B$3:$V$3,0))
*(INDEX('Vessel Configurator'!$C$30:$G$62,MATCH($D311,'Vessel Configurator'!$B$30:$B$62,0),AT$8)="Yes")
*INDEX(EE_Applicability,MATCH($D311,'Vessel Configurator'!$B$30:$B$62,0))/$B311,0)</f>
        <v>0</v>
      </c>
      <c r="BO311" s="118" cm="1">
        <f t="array" aca="1" ref="BO311" ca="1">IFERROR(INDEX('EE - Input'!$B:$V,MATCH($C311,'EE - Input'!$B:$B,0),MATCH($F$9&amp;$F$10,'EE - Input'!$B$3:$V$3,0))
*(INDEX('Vessel Configurator'!$C$30:$G$62,MATCH($D311,'Vessel Configurator'!$B$30:$B$62,0),BN$8)="Yes")
*INDEX(EE_Applicability,MATCH($D311,'Vessel Configurator'!$B$30:$B$62,0))/$B311,0)</f>
        <v>0</v>
      </c>
      <c r="CI311" s="118" cm="1">
        <f t="array" aca="1" ref="CI311" ca="1">IFERROR(INDEX('EE - Input'!$B:$V,MATCH($C311,'EE - Input'!$B:$B,0),MATCH($F$9&amp;$F$10,'EE - Input'!$B$3:$V$3,0))
*(INDEX('Vessel Configurator'!$C$30:$G$62,MATCH($D311,'Vessel Configurator'!$B$30:$B$62,0),CH$8)="Yes")
*INDEX(EE_Applicability,MATCH($D311,'Vessel Configurator'!$B$30:$B$62,0))/$B311,0)</f>
        <v>0</v>
      </c>
    </row>
    <row r="312" spans="2:87" outlineLevel="1" x14ac:dyDescent="0.2">
      <c r="B312" s="118">
        <f ca="1">INDEX('EE - Input'!$B:$V,MATCH($D312&amp;"-Lifetime",'EE - Input'!$B:$B,0),MATCH($F$9&amp;$F$10,'EE - Input'!$B$3:$V$3,0))</f>
        <v>25</v>
      </c>
      <c r="C312" t="str">
        <f t="shared" si="1017"/>
        <v>Variable frequency drive-Installation cost</v>
      </c>
      <c r="D312" t="s">
        <v>160</v>
      </c>
      <c r="E312" s="224" t="s">
        <v>211</v>
      </c>
      <c r="F312" s="224" t="s">
        <v>452</v>
      </c>
      <c r="G312" s="118" cm="1">
        <f t="array" aca="1" ref="G312" ca="1">IFERROR(INDEX('EE - Input'!$B:$V,MATCH($C312,'EE - Input'!$B:$B,0),MATCH($F$9&amp;$F$10,'EE - Input'!$B$3:$V$3,0))
*(INDEX('Vessel Configurator'!$C$30:$G$62,MATCH($D312,'Vessel Configurator'!$B$30:$B$62,0),F$8)="Yes")
*INDEX(EE_Applicability,MATCH($D312,'Vessel Configurator'!$B$30:$B$62,0))/$B312,0)</f>
        <v>0</v>
      </c>
      <c r="AA312" s="118" cm="1">
        <f t="array" aca="1" ref="AA312" ca="1">IFERROR(INDEX('EE - Input'!$B:$V,MATCH($C312,'EE - Input'!$B:$B,0),MATCH($F$9&amp;$F$10,'EE - Input'!$B$3:$V$3,0))
*(INDEX('Vessel Configurator'!$C$30:$G$62,MATCH($D312,'Vessel Configurator'!$B$30:$B$62,0),Z$8)="Yes")
*INDEX(EE_Applicability,MATCH($D312,'Vessel Configurator'!$B$30:$B$62,0))/$B312,0)</f>
        <v>0</v>
      </c>
      <c r="AU312" s="118" cm="1">
        <f t="array" aca="1" ref="AU312" ca="1">IFERROR(INDEX('EE - Input'!$B:$V,MATCH($C312,'EE - Input'!$B:$B,0),MATCH($F$9&amp;$F$10,'EE - Input'!$B$3:$V$3,0))
*(INDEX('Vessel Configurator'!$C$30:$G$62,MATCH($D312,'Vessel Configurator'!$B$30:$B$62,0),AT$8)="Yes")
*INDEX(EE_Applicability,MATCH($D312,'Vessel Configurator'!$B$30:$B$62,0))/$B312,0)</f>
        <v>0</v>
      </c>
      <c r="BO312" s="118" cm="1">
        <f t="array" aca="1" ref="BO312" ca="1">IFERROR(INDEX('EE - Input'!$B:$V,MATCH($C312,'EE - Input'!$B:$B,0),MATCH($F$9&amp;$F$10,'EE - Input'!$B$3:$V$3,0))
*(INDEX('Vessel Configurator'!$C$30:$G$62,MATCH($D312,'Vessel Configurator'!$B$30:$B$62,0),BN$8)="Yes")
*INDEX(EE_Applicability,MATCH($D312,'Vessel Configurator'!$B$30:$B$62,0))/$B312,0)</f>
        <v>0</v>
      </c>
      <c r="CI312" s="118" cm="1">
        <f t="array" aca="1" ref="CI312" ca="1">IFERROR(INDEX('EE - Input'!$B:$V,MATCH($C312,'EE - Input'!$B:$B,0),MATCH($F$9&amp;$F$10,'EE - Input'!$B$3:$V$3,0))
*(INDEX('Vessel Configurator'!$C$30:$G$62,MATCH($D312,'Vessel Configurator'!$B$30:$B$62,0),CH$8)="Yes")
*INDEX(EE_Applicability,MATCH($D312,'Vessel Configurator'!$B$30:$B$62,0))/$B312,0)</f>
        <v>0</v>
      </c>
    </row>
    <row r="313" spans="2:87" outlineLevel="1" x14ac:dyDescent="0.2">
      <c r="B313" s="118">
        <f ca="1">INDEX('EE - Input'!$B:$V,MATCH($D313&amp;"-Lifetime",'EE - Input'!$B:$B,0),MATCH($F$9&amp;$F$10,'EE - Input'!$B$3:$V$3,0))</f>
        <v>25</v>
      </c>
      <c r="C313" t="str">
        <f t="shared" si="1017"/>
        <v>Lighting systems-Installation cost</v>
      </c>
      <c r="D313" t="s">
        <v>161</v>
      </c>
      <c r="E313" s="224" t="s">
        <v>211</v>
      </c>
      <c r="F313" s="224" t="s">
        <v>452</v>
      </c>
      <c r="G313" s="118" cm="1">
        <f t="array" aca="1" ref="G313" ca="1">IFERROR(INDEX('EE - Input'!$B:$V,MATCH($C313,'EE - Input'!$B:$B,0),MATCH($F$9&amp;$F$10,'EE - Input'!$B$3:$V$3,0))
*(INDEX('Vessel Configurator'!$C$30:$G$62,MATCH($D313,'Vessel Configurator'!$B$30:$B$62,0),F$8)="Yes")
*INDEX(EE_Applicability,MATCH($D313,'Vessel Configurator'!$B$30:$B$62,0))/$B313,0)</f>
        <v>0</v>
      </c>
      <c r="AA313" s="118" cm="1">
        <f t="array" aca="1" ref="AA313" ca="1">IFERROR(INDEX('EE - Input'!$B:$V,MATCH($C313,'EE - Input'!$B:$B,0),MATCH($F$9&amp;$F$10,'EE - Input'!$B$3:$V$3,0))
*(INDEX('Vessel Configurator'!$C$30:$G$62,MATCH($D313,'Vessel Configurator'!$B$30:$B$62,0),Z$8)="Yes")
*INDEX(EE_Applicability,MATCH($D313,'Vessel Configurator'!$B$30:$B$62,0))/$B313,0)</f>
        <v>0</v>
      </c>
      <c r="AU313" s="118" cm="1">
        <f t="array" aca="1" ref="AU313" ca="1">IFERROR(INDEX('EE - Input'!$B:$V,MATCH($C313,'EE - Input'!$B:$B,0),MATCH($F$9&amp;$F$10,'EE - Input'!$B$3:$V$3,0))
*(INDEX('Vessel Configurator'!$C$30:$G$62,MATCH($D313,'Vessel Configurator'!$B$30:$B$62,0),AT$8)="Yes")
*INDEX(EE_Applicability,MATCH($D313,'Vessel Configurator'!$B$30:$B$62,0))/$B313,0)</f>
        <v>0</v>
      </c>
      <c r="BO313" s="118" cm="1">
        <f t="array" aca="1" ref="BO313" ca="1">IFERROR(INDEX('EE - Input'!$B:$V,MATCH($C313,'EE - Input'!$B:$B,0),MATCH($F$9&amp;$F$10,'EE - Input'!$B$3:$V$3,0))
*(INDEX('Vessel Configurator'!$C$30:$G$62,MATCH($D313,'Vessel Configurator'!$B$30:$B$62,0),BN$8)="Yes")
*INDEX(EE_Applicability,MATCH($D313,'Vessel Configurator'!$B$30:$B$62,0))/$B313,0)</f>
        <v>0</v>
      </c>
      <c r="CI313" s="118" cm="1">
        <f t="array" aca="1" ref="CI313" ca="1">IFERROR(INDEX('EE - Input'!$B:$V,MATCH($C313,'EE - Input'!$B:$B,0),MATCH($F$9&amp;$F$10,'EE - Input'!$B$3:$V$3,0))
*(INDEX('Vessel Configurator'!$C$30:$G$62,MATCH($D313,'Vessel Configurator'!$B$30:$B$62,0),CH$8)="Yes")
*INDEX(EE_Applicability,MATCH($D313,'Vessel Configurator'!$B$30:$B$62,0))/$B313,0)</f>
        <v>0</v>
      </c>
    </row>
    <row r="314" spans="2:87" outlineLevel="1" x14ac:dyDescent="0.2">
      <c r="B314" s="118">
        <f ca="1">INDEX('EE - Input'!$B:$V,MATCH($D314&amp;"-Lifetime",'EE - Input'!$B:$B,0),MATCH($F$9&amp;$F$10,'EE - Input'!$B$3:$V$3,0))</f>
        <v>25</v>
      </c>
      <c r="C314" t="str">
        <f t="shared" si="1017"/>
        <v>A/C and heating systems-Installation cost</v>
      </c>
      <c r="D314" t="s">
        <v>162</v>
      </c>
      <c r="E314" s="224" t="s">
        <v>211</v>
      </c>
      <c r="F314" s="224" t="s">
        <v>452</v>
      </c>
      <c r="G314" s="118" cm="1">
        <f t="array" aca="1" ref="G314" ca="1">IFERROR(INDEX('EE - Input'!$B:$V,MATCH($C314,'EE - Input'!$B:$B,0),MATCH($F$9&amp;$F$10,'EE - Input'!$B$3:$V$3,0))
*(INDEX('Vessel Configurator'!$C$30:$G$62,MATCH($D314,'Vessel Configurator'!$B$30:$B$62,0),F$8)="Yes")
*INDEX(EE_Applicability,MATCH($D314,'Vessel Configurator'!$B$30:$B$62,0))/$B314,0)</f>
        <v>0</v>
      </c>
      <c r="AA314" s="118" cm="1">
        <f t="array" aca="1" ref="AA314" ca="1">IFERROR(INDEX('EE - Input'!$B:$V,MATCH($C314,'EE - Input'!$B:$B,0),MATCH($F$9&amp;$F$10,'EE - Input'!$B$3:$V$3,0))
*(INDEX('Vessel Configurator'!$C$30:$G$62,MATCH($D314,'Vessel Configurator'!$B$30:$B$62,0),Z$8)="Yes")
*INDEX(EE_Applicability,MATCH($D314,'Vessel Configurator'!$B$30:$B$62,0))/$B314,0)</f>
        <v>0</v>
      </c>
      <c r="AU314" s="118" cm="1">
        <f t="array" aca="1" ref="AU314" ca="1">IFERROR(INDEX('EE - Input'!$B:$V,MATCH($C314,'EE - Input'!$B:$B,0),MATCH($F$9&amp;$F$10,'EE - Input'!$B$3:$V$3,0))
*(INDEX('Vessel Configurator'!$C$30:$G$62,MATCH($D314,'Vessel Configurator'!$B$30:$B$62,0),AT$8)="Yes")
*INDEX(EE_Applicability,MATCH($D314,'Vessel Configurator'!$B$30:$B$62,0))/$B314,0)</f>
        <v>0</v>
      </c>
      <c r="BO314" s="118" cm="1">
        <f t="array" aca="1" ref="BO314" ca="1">IFERROR(INDEX('EE - Input'!$B:$V,MATCH($C314,'EE - Input'!$B:$B,0),MATCH($F$9&amp;$F$10,'EE - Input'!$B$3:$V$3,0))
*(INDEX('Vessel Configurator'!$C$30:$G$62,MATCH($D314,'Vessel Configurator'!$B$30:$B$62,0),BN$8)="Yes")
*INDEX(EE_Applicability,MATCH($D314,'Vessel Configurator'!$B$30:$B$62,0))/$B314,0)</f>
        <v>0</v>
      </c>
      <c r="CI314" s="118" cm="1">
        <f t="array" aca="1" ref="CI314" ca="1">IFERROR(INDEX('EE - Input'!$B:$V,MATCH($C314,'EE - Input'!$B:$B,0),MATCH($F$9&amp;$F$10,'EE - Input'!$B$3:$V$3,0))
*(INDEX('Vessel Configurator'!$C$30:$G$62,MATCH($D314,'Vessel Configurator'!$B$30:$B$62,0),CH$8)="Yes")
*INDEX(EE_Applicability,MATCH($D314,'Vessel Configurator'!$B$30:$B$62,0))/$B314,0)</f>
        <v>0</v>
      </c>
    </row>
    <row r="315" spans="2:87" outlineLevel="1" x14ac:dyDescent="0.2">
      <c r="B315" s="118">
        <f ca="1">INDEX('EE - Input'!$B:$V,MATCH($D315&amp;"-Lifetime",'EE - Input'!$B:$B,0),MATCH($F$9&amp;$F$10,'EE - Input'!$B$3:$V$3,0))</f>
        <v>0</v>
      </c>
      <c r="C315" t="str">
        <f t="shared" si="1017"/>
        <v>Maneuvering equipment (e.g. Thrusters)-Installation cost</v>
      </c>
      <c r="D315" t="s">
        <v>454</v>
      </c>
      <c r="E315" s="224" t="s">
        <v>211</v>
      </c>
      <c r="F315" s="224" t="s">
        <v>452</v>
      </c>
      <c r="G315" s="118" cm="1">
        <f t="array" aca="1" ref="G315" ca="1">IFERROR(INDEX('EE - Input'!$B:$V,MATCH($C315,'EE - Input'!$B:$B,0),MATCH($F$9&amp;$F$10,'EE - Input'!$B$3:$V$3,0))
*(INDEX('Vessel Configurator'!$C$30:$G$62,MATCH($D315,'Vessel Configurator'!$B$30:$B$62,0),F$8)="Yes")
*INDEX(EE_Applicability,MATCH($D315,'Vessel Configurator'!$B$30:$B$62,0))/$B315,0)</f>
        <v>0</v>
      </c>
      <c r="AA315" s="118" cm="1">
        <f t="array" aca="1" ref="AA315" ca="1">IFERROR(INDEX('EE - Input'!$B:$V,MATCH($C315,'EE - Input'!$B:$B,0),MATCH($F$9&amp;$F$10,'EE - Input'!$B$3:$V$3,0))
*(INDEX('Vessel Configurator'!$C$30:$G$62,MATCH($D315,'Vessel Configurator'!$B$30:$B$62,0),Z$8)="Yes")
*INDEX(EE_Applicability,MATCH($D315,'Vessel Configurator'!$B$30:$B$62,0))/$B315,0)</f>
        <v>0</v>
      </c>
      <c r="AU315" s="118" cm="1">
        <f t="array" aca="1" ref="AU315" ca="1">IFERROR(INDEX('EE - Input'!$B:$V,MATCH($C315,'EE - Input'!$B:$B,0),MATCH($F$9&amp;$F$10,'EE - Input'!$B$3:$V$3,0))
*(INDEX('Vessel Configurator'!$C$30:$G$62,MATCH($D315,'Vessel Configurator'!$B$30:$B$62,0),AT$8)="Yes")
*INDEX(EE_Applicability,MATCH($D315,'Vessel Configurator'!$B$30:$B$62,0))/$B315,0)</f>
        <v>0</v>
      </c>
      <c r="BO315" s="118" cm="1">
        <f t="array" aca="1" ref="BO315" ca="1">IFERROR(INDEX('EE - Input'!$B:$V,MATCH($C315,'EE - Input'!$B:$B,0),MATCH($F$9&amp;$F$10,'EE - Input'!$B$3:$V$3,0))
*(INDEX('Vessel Configurator'!$C$30:$G$62,MATCH($D315,'Vessel Configurator'!$B$30:$B$62,0),BN$8)="Yes")
*INDEX(EE_Applicability,MATCH($D315,'Vessel Configurator'!$B$30:$B$62,0))/$B315,0)</f>
        <v>0</v>
      </c>
      <c r="CI315" s="118" cm="1">
        <f t="array" aca="1" ref="CI315" ca="1">IFERROR(INDEX('EE - Input'!$B:$V,MATCH($C315,'EE - Input'!$B:$B,0),MATCH($F$9&amp;$F$10,'EE - Input'!$B$3:$V$3,0))
*(INDEX('Vessel Configurator'!$C$30:$G$62,MATCH($D315,'Vessel Configurator'!$B$30:$B$62,0),CH$8)="Yes")
*INDEX(EE_Applicability,MATCH($D315,'Vessel Configurator'!$B$30:$B$62,0))/$B315,0)</f>
        <v>0</v>
      </c>
    </row>
    <row r="316" spans="2:87" outlineLevel="1" x14ac:dyDescent="0.2">
      <c r="B316" s="118">
        <f ca="1">INDEX('EE - Input'!$B:$V,MATCH($D316&amp;"-Lifetime",'EE - Input'!$B:$B,0),MATCH($F$9&amp;$F$10,'EE - Input'!$B$3:$V$3,0))</f>
        <v>0</v>
      </c>
      <c r="C316" t="str">
        <f t="shared" si="1017"/>
        <v>AE Hybridization-Installation cost</v>
      </c>
      <c r="D316" t="s">
        <v>164</v>
      </c>
      <c r="E316" s="224" t="s">
        <v>211</v>
      </c>
      <c r="F316" s="224" t="s">
        <v>452</v>
      </c>
      <c r="G316" s="118" cm="1">
        <f t="array" aca="1" ref="G316" ca="1">IFERROR(INDEX('EE - Input'!$B:$V,MATCH($C316,'EE - Input'!$B:$B,0),MATCH($F$9&amp;$F$10,'EE - Input'!$B$3:$V$3,0))
*(INDEX('Vessel Configurator'!$C$30:$G$62,MATCH($D316,'Vessel Configurator'!$B$30:$B$62,0),F$8)="Yes")
*INDEX(EE_Applicability,MATCH($D316,'Vessel Configurator'!$B$30:$B$62,0))/$B316,0)</f>
        <v>0</v>
      </c>
      <c r="AA316" s="118" cm="1">
        <f t="array" aca="1" ref="AA316" ca="1">IFERROR(INDEX('EE - Input'!$B:$V,MATCH($C316,'EE - Input'!$B:$B,0),MATCH($F$9&amp;$F$10,'EE - Input'!$B$3:$V$3,0))
*(INDEX('Vessel Configurator'!$C$30:$G$62,MATCH($D316,'Vessel Configurator'!$B$30:$B$62,0),Z$8)="Yes")
*INDEX(EE_Applicability,MATCH($D316,'Vessel Configurator'!$B$30:$B$62,0))/$B316,0)</f>
        <v>0</v>
      </c>
      <c r="AU316" s="118" cm="1">
        <f t="array" aca="1" ref="AU316" ca="1">IFERROR(INDEX('EE - Input'!$B:$V,MATCH($C316,'EE - Input'!$B:$B,0),MATCH($F$9&amp;$F$10,'EE - Input'!$B$3:$V$3,0))
*(INDEX('Vessel Configurator'!$C$30:$G$62,MATCH($D316,'Vessel Configurator'!$B$30:$B$62,0),AT$8)="Yes")
*INDEX(EE_Applicability,MATCH($D316,'Vessel Configurator'!$B$30:$B$62,0))/$B316,0)</f>
        <v>0</v>
      </c>
      <c r="BO316" s="118" cm="1">
        <f t="array" aca="1" ref="BO316" ca="1">IFERROR(INDEX('EE - Input'!$B:$V,MATCH($C316,'EE - Input'!$B:$B,0),MATCH($F$9&amp;$F$10,'EE - Input'!$B$3:$V$3,0))
*(INDEX('Vessel Configurator'!$C$30:$G$62,MATCH($D316,'Vessel Configurator'!$B$30:$B$62,0),BN$8)="Yes")
*INDEX(EE_Applicability,MATCH($D316,'Vessel Configurator'!$B$30:$B$62,0))/$B316,0)</f>
        <v>0</v>
      </c>
      <c r="CI316" s="118" cm="1">
        <f t="array" aca="1" ref="CI316" ca="1">IFERROR(INDEX('EE - Input'!$B:$V,MATCH($C316,'EE - Input'!$B:$B,0),MATCH($F$9&amp;$F$10,'EE - Input'!$B$3:$V$3,0))
*(INDEX('Vessel Configurator'!$C$30:$G$62,MATCH($D316,'Vessel Configurator'!$B$30:$B$62,0),CH$8)="Yes")
*INDEX(EE_Applicability,MATCH($D316,'Vessel Configurator'!$B$30:$B$62,0))/$B316,0)</f>
        <v>0</v>
      </c>
    </row>
    <row r="317" spans="2:87" outlineLevel="1" x14ac:dyDescent="0.2">
      <c r="B317" s="118">
        <f ca="1">INDEX('EE - Input'!$B:$V,MATCH($D317&amp;"-Lifetime",'EE - Input'!$B:$B,0),MATCH($F$9&amp;$F$10,'EE - Input'!$B$3:$V$3,0))</f>
        <v>25</v>
      </c>
      <c r="C317" t="str">
        <f t="shared" si="1017"/>
        <v>Load optimization-Installation cost</v>
      </c>
      <c r="D317" t="s">
        <v>165</v>
      </c>
      <c r="E317" s="224" t="s">
        <v>211</v>
      </c>
      <c r="F317" s="224" t="s">
        <v>452</v>
      </c>
      <c r="G317" s="118" cm="1">
        <f t="array" aca="1" ref="G317" ca="1">IFERROR(INDEX('EE - Input'!$B:$V,MATCH($C317,'EE - Input'!$B:$B,0),MATCH($F$9&amp;$F$10,'EE - Input'!$B$3:$V$3,0))
*(INDEX('Vessel Configurator'!$C$30:$G$62,MATCH($D317,'Vessel Configurator'!$B$30:$B$62,0),F$8)="Yes")
*INDEX(EE_Applicability,MATCH($D317,'Vessel Configurator'!$B$30:$B$62,0))/$B317,0)</f>
        <v>0</v>
      </c>
      <c r="AA317" s="118" cm="1">
        <f t="array" aca="1" ref="AA317" ca="1">IFERROR(INDEX('EE - Input'!$B:$V,MATCH($C317,'EE - Input'!$B:$B,0),MATCH($F$9&amp;$F$10,'EE - Input'!$B$3:$V$3,0))
*(INDEX('Vessel Configurator'!$C$30:$G$62,MATCH($D317,'Vessel Configurator'!$B$30:$B$62,0),Z$8)="Yes")
*INDEX(EE_Applicability,MATCH($D317,'Vessel Configurator'!$B$30:$B$62,0))/$B317,0)</f>
        <v>0</v>
      </c>
      <c r="AU317" s="118" cm="1">
        <f t="array" aca="1" ref="AU317" ca="1">IFERROR(INDEX('EE - Input'!$B:$V,MATCH($C317,'EE - Input'!$B:$B,0),MATCH($F$9&amp;$F$10,'EE - Input'!$B$3:$V$3,0))
*(INDEX('Vessel Configurator'!$C$30:$G$62,MATCH($D317,'Vessel Configurator'!$B$30:$B$62,0),AT$8)="Yes")
*INDEX(EE_Applicability,MATCH($D317,'Vessel Configurator'!$B$30:$B$62,0))/$B317,0)</f>
        <v>0</v>
      </c>
      <c r="BO317" s="118" cm="1">
        <f t="array" aca="1" ref="BO317" ca="1">IFERROR(INDEX('EE - Input'!$B:$V,MATCH($C317,'EE - Input'!$B:$B,0),MATCH($F$9&amp;$F$10,'EE - Input'!$B$3:$V$3,0))
*(INDEX('Vessel Configurator'!$C$30:$G$62,MATCH($D317,'Vessel Configurator'!$B$30:$B$62,0),BN$8)="Yes")
*INDEX(EE_Applicability,MATCH($D317,'Vessel Configurator'!$B$30:$B$62,0))/$B317,0)</f>
        <v>0</v>
      </c>
      <c r="CI317" s="118" cm="1">
        <f t="array" aca="1" ref="CI317" ca="1">IFERROR(INDEX('EE - Input'!$B:$V,MATCH($C317,'EE - Input'!$B:$B,0),MATCH($F$9&amp;$F$10,'EE - Input'!$B$3:$V$3,0))
*(INDEX('Vessel Configurator'!$C$30:$G$62,MATCH($D317,'Vessel Configurator'!$B$30:$B$62,0),CH$8)="Yes")
*INDEX(EE_Applicability,MATCH($D317,'Vessel Configurator'!$B$30:$B$62,0))/$B317,0)</f>
        <v>0</v>
      </c>
    </row>
    <row r="318" spans="2:87" outlineLevel="1" x14ac:dyDescent="0.2">
      <c r="B318" s="118"/>
      <c r="F318"/>
    </row>
    <row r="319" spans="2:87" outlineLevel="1" x14ac:dyDescent="0.2">
      <c r="B319" s="118"/>
      <c r="D319" s="266" t="s">
        <v>455</v>
      </c>
      <c r="E319" s="266" t="s">
        <v>401</v>
      </c>
      <c r="F319" s="224" t="s">
        <v>50</v>
      </c>
      <c r="G319" s="266">
        <f ca="1">IFERROR(SUMPRODUCT($B321:$B323,G321:G323),0)</f>
        <v>0</v>
      </c>
      <c r="AA319" s="266">
        <f ca="1">IFERROR(SUMPRODUCT($B321:$B323,AA321:AA323),0)</f>
        <v>0</v>
      </c>
      <c r="AU319" s="266">
        <f ca="1">IFERROR(SUMPRODUCT($B321:$B323,AU321:AU323),0)</f>
        <v>0</v>
      </c>
      <c r="BO319" s="266">
        <f ca="1">IFERROR(SUMPRODUCT($B321:$B323,BO321:BO323),0)</f>
        <v>0</v>
      </c>
      <c r="CI319" s="266">
        <f ca="1">IFERROR(SUMPRODUCT($B321:$B323,CI321:CI323),0)</f>
        <v>0</v>
      </c>
    </row>
    <row r="320" spans="2:87" outlineLevel="1" x14ac:dyDescent="0.2">
      <c r="B320" s="118"/>
      <c r="C320" t="str">
        <f t="shared" si="1017"/>
        <v>EE Boiler system-CAPEX</v>
      </c>
      <c r="D320" s="266" t="s">
        <v>455</v>
      </c>
      <c r="E320" s="266" t="s">
        <v>211</v>
      </c>
      <c r="F320" s="224" t="s">
        <v>50</v>
      </c>
      <c r="G320" s="324">
        <f ca="1">IFERROR(SUM(G321:G323),0)</f>
        <v>0</v>
      </c>
      <c r="AA320" s="324">
        <f ca="1">IFERROR(SUM(AA321:AA323),0)</f>
        <v>0</v>
      </c>
      <c r="AU320" s="324">
        <f ca="1">IFERROR(SUM(AU321:AU323),0)</f>
        <v>0</v>
      </c>
      <c r="BO320" s="324">
        <f ca="1">IFERROR(SUM(BO321:BO323),0)</f>
        <v>0</v>
      </c>
      <c r="CI320" s="324">
        <f ca="1">IFERROR(SUM(CI321:CI323),0)</f>
        <v>0</v>
      </c>
    </row>
    <row r="321" spans="2:87" outlineLevel="1" x14ac:dyDescent="0.2">
      <c r="B321" s="118">
        <f ca="1">INDEX('EE - Input'!$B:$V,MATCH($D321&amp;"-Lifetime",'EE - Input'!$B:$B,0),MATCH($F$9&amp;$F$10,'EE - Input'!$B$3:$V$3,0))</f>
        <v>0</v>
      </c>
      <c r="C321" t="str">
        <f t="shared" si="1017"/>
        <v>Steam system efficiency-Installation cost</v>
      </c>
      <c r="D321" t="s">
        <v>166</v>
      </c>
      <c r="E321" s="224" t="s">
        <v>211</v>
      </c>
      <c r="F321" s="224" t="s">
        <v>452</v>
      </c>
      <c r="G321" s="118" cm="1">
        <f t="array" aca="1" ref="G321" ca="1">IFERROR(INDEX('EE - Input'!$B:$V,MATCH($C321,'EE - Input'!$B:$B,0),MATCH($F$9&amp;$F$10,'EE - Input'!$B$3:$V$3,0))
*(INDEX('Vessel Configurator'!$C$30:$G$62,MATCH($D321,'Vessel Configurator'!$B$30:$B$62,0),F$8)="Yes")
*INDEX(EE_Applicability,MATCH($D321,'Vessel Configurator'!$B$30:$B$62,0))/$B321,0)</f>
        <v>0</v>
      </c>
      <c r="AA321" s="118" cm="1">
        <f t="array" aca="1" ref="AA321" ca="1">IFERROR(INDEX('EE - Input'!$B:$V,MATCH($C321,'EE - Input'!$B:$B,0),MATCH($F$9&amp;$F$10,'EE - Input'!$B$3:$V$3,0))
*(INDEX('Vessel Configurator'!$C$30:$G$62,MATCH($D321,'Vessel Configurator'!$B$30:$B$62,0),Z$8)="Yes")
*INDEX(EE_Applicability,MATCH($D321,'Vessel Configurator'!$B$30:$B$62,0))/$B321,0)</f>
        <v>0</v>
      </c>
      <c r="AU321" s="118" cm="1">
        <f t="array" aca="1" ref="AU321" ca="1">IFERROR(INDEX('EE - Input'!$B:$V,MATCH($C321,'EE - Input'!$B:$B,0),MATCH($F$9&amp;$F$10,'EE - Input'!$B$3:$V$3,0))
*(INDEX('Vessel Configurator'!$C$30:$G$62,MATCH($D321,'Vessel Configurator'!$B$30:$B$62,0),AT$8)="Yes")
*INDEX(EE_Applicability,MATCH($D321,'Vessel Configurator'!$B$30:$B$62,0))/$B321,0)</f>
        <v>0</v>
      </c>
      <c r="BO321" s="118" cm="1">
        <f t="array" aca="1" ref="BO321" ca="1">IFERROR(INDEX('EE - Input'!$B:$V,MATCH($C321,'EE - Input'!$B:$B,0),MATCH($F$9&amp;$F$10,'EE - Input'!$B$3:$V$3,0))
*(INDEX('Vessel Configurator'!$C$30:$G$62,MATCH($D321,'Vessel Configurator'!$B$30:$B$62,0),BN$8)="Yes")
*INDEX(EE_Applicability,MATCH($D321,'Vessel Configurator'!$B$30:$B$62,0))/$B321,0)</f>
        <v>0</v>
      </c>
      <c r="CI321" s="118" cm="1">
        <f t="array" aca="1" ref="CI321" ca="1">IFERROR(INDEX('EE - Input'!$B:$V,MATCH($C321,'EE - Input'!$B:$B,0),MATCH($F$9&amp;$F$10,'EE - Input'!$B$3:$V$3,0))
*(INDEX('Vessel Configurator'!$C$30:$G$62,MATCH($D321,'Vessel Configurator'!$B$30:$B$62,0),CH$8)="Yes")
*INDEX(EE_Applicability,MATCH($D321,'Vessel Configurator'!$B$30:$B$62,0))/$B321,0)</f>
        <v>0</v>
      </c>
    </row>
    <row r="322" spans="2:87" outlineLevel="1" x14ac:dyDescent="0.2">
      <c r="B322" s="118">
        <f ca="1">INDEX('EE - Input'!$B:$V,MATCH($D322&amp;"-Lifetime",'EE - Input'!$B:$B,0),MATCH($F$9&amp;$F$10,'EE - Input'!$B$3:$V$3,0))</f>
        <v>0</v>
      </c>
      <c r="C322" t="str">
        <f t="shared" si="1017"/>
        <v>Cargo systems (e.g. Cargo pumps)-Installation cost</v>
      </c>
      <c r="D322" t="s">
        <v>167</v>
      </c>
      <c r="E322" s="224" t="s">
        <v>211</v>
      </c>
      <c r="F322" s="224" t="s">
        <v>452</v>
      </c>
      <c r="G322" s="118" cm="1">
        <f t="array" aca="1" ref="G322" ca="1">IFERROR(INDEX('EE - Input'!$B:$V,MATCH($C322,'EE - Input'!$B:$B,0),MATCH($F$9&amp;$F$10,'EE - Input'!$B$3:$V$3,0))
*(INDEX('Vessel Configurator'!$C$30:$G$62,MATCH($D322,'Vessel Configurator'!$B$30:$B$62,0),F$8)="Yes")
*INDEX(EE_Applicability,MATCH($D322,'Vessel Configurator'!$B$30:$B$62,0))/$B322,0)</f>
        <v>0</v>
      </c>
      <c r="AA322" s="118" cm="1">
        <f t="array" aca="1" ref="AA322" ca="1">IFERROR(INDEX('EE - Input'!$B:$V,MATCH($C322,'EE - Input'!$B:$B,0),MATCH($F$9&amp;$F$10,'EE - Input'!$B$3:$V$3,0))
*(INDEX('Vessel Configurator'!$C$30:$G$62,MATCH($D322,'Vessel Configurator'!$B$30:$B$62,0),Z$8)="Yes")
*INDEX(EE_Applicability,MATCH($D322,'Vessel Configurator'!$B$30:$B$62,0))/$B322,0)</f>
        <v>0</v>
      </c>
      <c r="AU322" s="118" cm="1">
        <f t="array" aca="1" ref="AU322" ca="1">IFERROR(INDEX('EE - Input'!$B:$V,MATCH($C322,'EE - Input'!$B:$B,0),MATCH($F$9&amp;$F$10,'EE - Input'!$B$3:$V$3,0))
*(INDEX('Vessel Configurator'!$C$30:$G$62,MATCH($D322,'Vessel Configurator'!$B$30:$B$62,0),AT$8)="Yes")
*INDEX(EE_Applicability,MATCH($D322,'Vessel Configurator'!$B$30:$B$62,0))/$B322,0)</f>
        <v>0</v>
      </c>
      <c r="BO322" s="118" cm="1">
        <f t="array" aca="1" ref="BO322" ca="1">IFERROR(INDEX('EE - Input'!$B:$V,MATCH($C322,'EE - Input'!$B:$B,0),MATCH($F$9&amp;$F$10,'EE - Input'!$B$3:$V$3,0))
*(INDEX('Vessel Configurator'!$C$30:$G$62,MATCH($D322,'Vessel Configurator'!$B$30:$B$62,0),BN$8)="Yes")
*INDEX(EE_Applicability,MATCH($D322,'Vessel Configurator'!$B$30:$B$62,0))/$B322,0)</f>
        <v>0</v>
      </c>
      <c r="CI322" s="118" cm="1">
        <f t="array" aca="1" ref="CI322" ca="1">IFERROR(INDEX('EE - Input'!$B:$V,MATCH($C322,'EE - Input'!$B:$B,0),MATCH($F$9&amp;$F$10,'EE - Input'!$B$3:$V$3,0))
*(INDEX('Vessel Configurator'!$C$30:$G$62,MATCH($D322,'Vessel Configurator'!$B$30:$B$62,0),CH$8)="Yes")
*INDEX(EE_Applicability,MATCH($D322,'Vessel Configurator'!$B$30:$B$62,0))/$B322,0)</f>
        <v>0</v>
      </c>
    </row>
    <row r="323" spans="2:87" outlineLevel="1" x14ac:dyDescent="0.2">
      <c r="B323" s="118">
        <f ca="1">INDEX('EE - Input'!$B:$V,MATCH($D323&amp;"-Lifetime",'EE - Input'!$B:$B,0),MATCH($F$9&amp;$F$10,'EE - Input'!$B$3:$V$3,0))</f>
        <v>0</v>
      </c>
      <c r="C323" t="str">
        <f t="shared" si="1017"/>
        <v>Exhaust gas boiler on AE-Installation cost</v>
      </c>
      <c r="D323" t="s">
        <v>168</v>
      </c>
      <c r="E323" s="224" t="s">
        <v>211</v>
      </c>
      <c r="F323" s="224" t="s">
        <v>452</v>
      </c>
      <c r="G323" s="118" cm="1">
        <f t="array" aca="1" ref="G323" ca="1">IFERROR(INDEX('EE - Input'!$B:$V,MATCH($C323,'EE - Input'!$B:$B,0),MATCH($F$9&amp;$F$10,'EE - Input'!$B$3:$V$3,0))
*(INDEX('Vessel Configurator'!$C$30:$G$62,MATCH($D323,'Vessel Configurator'!$B$30:$B$62,0),F$8)="Yes")
*INDEX(EE_Applicability,MATCH($D323,'Vessel Configurator'!$B$30:$B$62,0))/$B323,0)</f>
        <v>0</v>
      </c>
      <c r="AA323" s="118" cm="1">
        <f t="array" aca="1" ref="AA323" ca="1">IFERROR(INDEX('EE - Input'!$B:$V,MATCH($C323,'EE - Input'!$B:$B,0),MATCH($F$9&amp;$F$10,'EE - Input'!$B$3:$V$3,0))
*(INDEX('Vessel Configurator'!$C$30:$G$62,MATCH($D323,'Vessel Configurator'!$B$30:$B$62,0),Z$8)="Yes")
*INDEX(EE_Applicability,MATCH($D323,'Vessel Configurator'!$B$30:$B$62,0))/$B323,0)</f>
        <v>0</v>
      </c>
      <c r="AU323" s="118" cm="1">
        <f t="array" aca="1" ref="AU323" ca="1">IFERROR(INDEX('EE - Input'!$B:$V,MATCH($C323,'EE - Input'!$B:$B,0),MATCH($F$9&amp;$F$10,'EE - Input'!$B$3:$V$3,0))
*(INDEX('Vessel Configurator'!$C$30:$G$62,MATCH($D323,'Vessel Configurator'!$B$30:$B$62,0),AT$8)="Yes")
*INDEX(EE_Applicability,MATCH($D323,'Vessel Configurator'!$B$30:$B$62,0))/$B323,0)</f>
        <v>0</v>
      </c>
      <c r="BO323" s="118" cm="1">
        <f t="array" aca="1" ref="BO323" ca="1">IFERROR(INDEX('EE - Input'!$B:$V,MATCH($C323,'EE - Input'!$B:$B,0),MATCH($F$9&amp;$F$10,'EE - Input'!$B$3:$V$3,0))
*(INDEX('Vessel Configurator'!$C$30:$G$62,MATCH($D323,'Vessel Configurator'!$B$30:$B$62,0),BN$8)="Yes")
*INDEX(EE_Applicability,MATCH($D323,'Vessel Configurator'!$B$30:$B$62,0))/$B323,0)</f>
        <v>0</v>
      </c>
      <c r="CI323" s="118" cm="1">
        <f t="array" aca="1" ref="CI323" ca="1">IFERROR(INDEX('EE - Input'!$B:$V,MATCH($C323,'EE - Input'!$B:$B,0),MATCH($F$9&amp;$F$10,'EE - Input'!$B$3:$V$3,0))
*(INDEX('Vessel Configurator'!$C$30:$G$62,MATCH($D323,'Vessel Configurator'!$B$30:$B$62,0),CH$8)="Yes")
*INDEX(EE_Applicability,MATCH($D323,'Vessel Configurator'!$B$30:$B$62,0))/$B323,0)</f>
        <v>0</v>
      </c>
    </row>
    <row r="324" spans="2:87" outlineLevel="1" x14ac:dyDescent="0.2">
      <c r="B324" s="118"/>
      <c r="D324" s="12"/>
      <c r="G324" s="18"/>
      <c r="AA324" s="18"/>
      <c r="AU324" s="18"/>
      <c r="BO324" s="18"/>
      <c r="CI324" s="18"/>
    </row>
    <row r="325" spans="2:87" outlineLevel="1" x14ac:dyDescent="0.2">
      <c r="D325" s="16"/>
      <c r="G325" s="24"/>
      <c r="AA325" s="24"/>
      <c r="AU325" s="24"/>
      <c r="BO325" s="24"/>
      <c r="CI325" s="24"/>
    </row>
    <row r="326" spans="2:87" outlineLevel="1" x14ac:dyDescent="0.2">
      <c r="C326" s="322" t="s">
        <v>456</v>
      </c>
      <c r="D326" s="322"/>
      <c r="E326" s="322"/>
      <c r="F326" s="321"/>
      <c r="G326" s="264"/>
      <c r="AA326" s="264"/>
      <c r="AU326" s="264"/>
      <c r="BO326" s="264"/>
      <c r="CI326" s="264"/>
    </row>
    <row r="327" spans="2:87" outlineLevel="1" x14ac:dyDescent="0.2">
      <c r="B327" s="224"/>
      <c r="C327" t="str">
        <f>D327&amp;"-"&amp;F327</f>
        <v>EE ME system-Saving</v>
      </c>
      <c r="D327" s="266" t="s">
        <v>451</v>
      </c>
      <c r="E327" s="266" t="s">
        <v>457</v>
      </c>
      <c r="F327" s="224" t="s">
        <v>458</v>
      </c>
      <c r="G327" s="325">
        <f ca="1">IFERROR(1-PRODUCT(G328:G347),0)</f>
        <v>0</v>
      </c>
      <c r="AA327" s="325">
        <f ca="1">IFERROR(1-PRODUCT(AA328:AA347),0)</f>
        <v>0</v>
      </c>
      <c r="AU327" s="325">
        <f ca="1">IFERROR(1-PRODUCT(AU328:AU347),0)</f>
        <v>0</v>
      </c>
      <c r="BO327" s="325">
        <f ca="1">IFERROR(1-PRODUCT(BO328:BO347),0)</f>
        <v>0</v>
      </c>
      <c r="CI327" s="325">
        <f ca="1">IFERROR(1-PRODUCT(CI328:CI347),0)</f>
        <v>0</v>
      </c>
    </row>
    <row r="328" spans="2:87" outlineLevel="1" x14ac:dyDescent="0.2">
      <c r="B328" s="118"/>
      <c r="C328" t="str">
        <f>D328&amp;"-"&amp;F328</f>
        <v>Speed management-Saving</v>
      </c>
      <c r="D328" t="s">
        <v>134</v>
      </c>
      <c r="E328" s="224" t="s">
        <v>459</v>
      </c>
      <c r="F328" s="224" t="s">
        <v>458</v>
      </c>
      <c r="G328" s="71" cm="1">
        <f t="array" aca="1" ref="G328" ca="1">1-INDEX('EE - Input'!$B:$V,MATCH($C328,'EE - Input'!$B:$B,0),MATCH($F$9&amp;$F$10,'EE - Input'!$B$3:$V$3,0))
*(INDEX('Vessel Configurator'!$C$30:$G$62,MATCH($D328,'Vessel Configurator'!$B$30:$B$62,0),F$8)="Yes")
*INDEX(EE_Applicability,MATCH($D328,'Vessel Configurator'!$B$30:$B$62,0))</f>
        <v>1</v>
      </c>
      <c r="AA328" s="71" cm="1">
        <f t="array" aca="1" ref="AA328" ca="1">1-INDEX('EE - Input'!$B:$V,MATCH($C328,'EE - Input'!$B:$B,0),MATCH($F$9&amp;$F$10,'EE - Input'!$B$3:$V$3,0))
*(INDEX('Vessel Configurator'!$C$30:$G$62,MATCH($D328,'Vessel Configurator'!$B$30:$B$62,0),Z$8)="Yes")
*INDEX(EE_Applicability,MATCH($D328,'Vessel Configurator'!$B$30:$B$62,0))</f>
        <v>1</v>
      </c>
      <c r="AU328" s="71" cm="1">
        <f t="array" aca="1" ref="AU328" ca="1">1-INDEX('EE - Input'!$B:$V,MATCH($C328,'EE - Input'!$B:$B,0),MATCH($F$9&amp;$F$10,'EE - Input'!$B$3:$V$3,0))
*(INDEX('Vessel Configurator'!$C$30:$G$62,MATCH($D328,'Vessel Configurator'!$B$30:$B$62,0),AT$8)="Yes")
*INDEX(EE_Applicability,MATCH($D328,'Vessel Configurator'!$B$30:$B$62,0))</f>
        <v>1</v>
      </c>
      <c r="BO328" s="71" cm="1">
        <f t="array" aca="1" ref="BO328" ca="1">1-INDEX('EE - Input'!$B:$V,MATCH($C328,'EE - Input'!$B:$B,0),MATCH($F$9&amp;$F$10,'EE - Input'!$B$3:$V$3,0))
*(INDEX('Vessel Configurator'!$C$30:$G$62,MATCH($D328,'Vessel Configurator'!$B$30:$B$62,0),BN$8)="Yes")
*INDEX(EE_Applicability,MATCH($D328,'Vessel Configurator'!$B$30:$B$62,0))</f>
        <v>1</v>
      </c>
      <c r="CI328" s="71" cm="1">
        <f t="array" aca="1" ref="CI328" ca="1">1-INDEX('EE - Input'!$B:$V,MATCH($C328,'EE - Input'!$B:$B,0),MATCH($F$9&amp;$F$10,'EE - Input'!$B$3:$V$3,0))
*(INDEX('Vessel Configurator'!$C$30:$G$62,MATCH($D328,'Vessel Configurator'!$B$30:$B$62,0),CH$8)="Yes")
*INDEX(EE_Applicability,MATCH($D328,'Vessel Configurator'!$B$30:$B$62,0))</f>
        <v>1</v>
      </c>
    </row>
    <row r="329" spans="2:87" outlineLevel="1" x14ac:dyDescent="0.2">
      <c r="B329" s="118"/>
      <c r="C329" t="str">
        <f t="shared" ref="C329:C364" si="1018">D329&amp;"-"&amp;F329</f>
        <v>Weather routing-Saving</v>
      </c>
      <c r="D329" t="s">
        <v>136</v>
      </c>
      <c r="E329" s="224" t="s">
        <v>459</v>
      </c>
      <c r="F329" s="224" t="s">
        <v>458</v>
      </c>
      <c r="G329" s="71" cm="1">
        <f t="array" aca="1" ref="G329" ca="1">1-INDEX('EE - Input'!$B:$V,MATCH($C329,'EE - Input'!$B:$B,0),MATCH($F$9&amp;$F$10,'EE - Input'!$B$3:$V$3,0))
*(INDEX('Vessel Configurator'!$C$30:$G$62,MATCH($D329,'Vessel Configurator'!$B$30:$B$62,0),F$8)="Yes")
*INDEX(EE_Applicability,MATCH($D329,'Vessel Configurator'!$B$30:$B$62,0))</f>
        <v>1</v>
      </c>
      <c r="AA329" s="71" cm="1">
        <f t="array" aca="1" ref="AA329" ca="1">1-INDEX('EE - Input'!$B:$V,MATCH($C329,'EE - Input'!$B:$B,0),MATCH($F$9&amp;$F$10,'EE - Input'!$B$3:$V$3,0))
*(INDEX('Vessel Configurator'!$C$30:$G$62,MATCH($D329,'Vessel Configurator'!$B$30:$B$62,0),Z$8)="Yes")
*INDEX(EE_Applicability,MATCH($D329,'Vessel Configurator'!$B$30:$B$62,0))</f>
        <v>1</v>
      </c>
      <c r="AU329" s="71" cm="1">
        <f t="array" aca="1" ref="AU329" ca="1">1-INDEX('EE - Input'!$B:$V,MATCH($C329,'EE - Input'!$B:$B,0),MATCH($F$9&amp;$F$10,'EE - Input'!$B$3:$V$3,0))
*(INDEX('Vessel Configurator'!$C$30:$G$62,MATCH($D329,'Vessel Configurator'!$B$30:$B$62,0),AT$8)="Yes")
*INDEX(EE_Applicability,MATCH($D329,'Vessel Configurator'!$B$30:$B$62,0))</f>
        <v>1</v>
      </c>
      <c r="BO329" s="71" cm="1">
        <f t="array" aca="1" ref="BO329" ca="1">1-INDEX('EE - Input'!$B:$V,MATCH($C329,'EE - Input'!$B:$B,0),MATCH($F$9&amp;$F$10,'EE - Input'!$B$3:$V$3,0))
*(INDEX('Vessel Configurator'!$C$30:$G$62,MATCH($D329,'Vessel Configurator'!$B$30:$B$62,0),BN$8)="Yes")
*INDEX(EE_Applicability,MATCH($D329,'Vessel Configurator'!$B$30:$B$62,0))</f>
        <v>1</v>
      </c>
      <c r="CI329" s="71" cm="1">
        <f t="array" aca="1" ref="CI329" ca="1">1-INDEX('EE - Input'!$B:$V,MATCH($C329,'EE - Input'!$B:$B,0),MATCH($F$9&amp;$F$10,'EE - Input'!$B$3:$V$3,0))
*(INDEX('Vessel Configurator'!$C$30:$G$62,MATCH($D329,'Vessel Configurator'!$B$30:$B$62,0),CH$8)="Yes")
*INDEX(EE_Applicability,MATCH($D329,'Vessel Configurator'!$B$30:$B$62,0))</f>
        <v>1</v>
      </c>
    </row>
    <row r="330" spans="2:87" outlineLevel="1" x14ac:dyDescent="0.2">
      <c r="B330" s="118"/>
      <c r="C330" t="str">
        <f t="shared" si="1018"/>
        <v>ME Hybridization -Saving</v>
      </c>
      <c r="D330" t="s">
        <v>137</v>
      </c>
      <c r="E330" s="224" t="s">
        <v>459</v>
      </c>
      <c r="F330" s="224" t="s">
        <v>458</v>
      </c>
      <c r="G330" s="71" cm="1">
        <f t="array" aca="1" ref="G330" ca="1">1-INDEX('EE - Input'!$B:$V,MATCH($C330,'EE - Input'!$B:$B,0),MATCH($F$9&amp;$F$10,'EE - Input'!$B$3:$V$3,0))
*(INDEX('Vessel Configurator'!$C$30:$G$62,MATCH($D330,'Vessel Configurator'!$B$30:$B$62,0),F$8)="Yes")
*INDEX(EE_Applicability,MATCH($D330,'Vessel Configurator'!$B$30:$B$62,0))</f>
        <v>1</v>
      </c>
      <c r="AA330" s="71" cm="1">
        <f t="array" aca="1" ref="AA330" ca="1">1-INDEX('EE - Input'!$B:$V,MATCH($C330,'EE - Input'!$B:$B,0),MATCH($F$9&amp;$F$10,'EE - Input'!$B$3:$V$3,0))
*(INDEX('Vessel Configurator'!$C$30:$G$62,MATCH($D330,'Vessel Configurator'!$B$30:$B$62,0),Z$8)="Yes")
*INDEX(EE_Applicability,MATCH($D330,'Vessel Configurator'!$B$30:$B$62,0))</f>
        <v>1</v>
      </c>
      <c r="AU330" s="71" cm="1">
        <f t="array" aca="1" ref="AU330" ca="1">1-INDEX('EE - Input'!$B:$V,MATCH($C330,'EE - Input'!$B:$B,0),MATCH($F$9&amp;$F$10,'EE - Input'!$B$3:$V$3,0))
*(INDEX('Vessel Configurator'!$C$30:$G$62,MATCH($D330,'Vessel Configurator'!$B$30:$B$62,0),AT$8)="Yes")
*INDEX(EE_Applicability,MATCH($D330,'Vessel Configurator'!$B$30:$B$62,0))</f>
        <v>1</v>
      </c>
      <c r="BO330" s="71" cm="1">
        <f t="array" aca="1" ref="BO330" ca="1">1-INDEX('EE - Input'!$B:$V,MATCH($C330,'EE - Input'!$B:$B,0),MATCH($F$9&amp;$F$10,'EE - Input'!$B$3:$V$3,0))
*(INDEX('Vessel Configurator'!$C$30:$G$62,MATCH($D330,'Vessel Configurator'!$B$30:$B$62,0),BN$8)="Yes")
*INDEX(EE_Applicability,MATCH($D330,'Vessel Configurator'!$B$30:$B$62,0))</f>
        <v>1</v>
      </c>
      <c r="CI330" s="71" cm="1">
        <f t="array" aca="1" ref="CI330" ca="1">1-INDEX('EE - Input'!$B:$V,MATCH($C330,'EE - Input'!$B:$B,0),MATCH($F$9&amp;$F$10,'EE - Input'!$B$3:$V$3,0))
*(INDEX('Vessel Configurator'!$C$30:$G$62,MATCH($D330,'Vessel Configurator'!$B$30:$B$62,0),CH$8)="Yes")
*INDEX(EE_Applicability,MATCH($D330,'Vessel Configurator'!$B$30:$B$62,0))</f>
        <v>1</v>
      </c>
    </row>
    <row r="331" spans="2:87" outlineLevel="1" x14ac:dyDescent="0.2">
      <c r="B331" s="118"/>
      <c r="C331" t="str">
        <f t="shared" si="1018"/>
        <v>Engine de-rating-Saving</v>
      </c>
      <c r="D331" t="s">
        <v>139</v>
      </c>
      <c r="E331" s="224" t="s">
        <v>459</v>
      </c>
      <c r="F331" s="224" t="s">
        <v>458</v>
      </c>
      <c r="G331" s="71" cm="1">
        <f t="array" aca="1" ref="G331" ca="1">1-INDEX('EE - Input'!$B:$V,MATCH($C331,'EE - Input'!$B:$B,0),MATCH($F$9&amp;$F$10,'EE - Input'!$B$3:$V$3,0))
*(INDEX('Vessel Configurator'!$C$30:$G$62,MATCH($D331,'Vessel Configurator'!$B$30:$B$62,0),F$8)="Yes")
*INDEX(EE_Applicability,MATCH($D331,'Vessel Configurator'!$B$30:$B$62,0))</f>
        <v>1</v>
      </c>
      <c r="AA331" s="71" cm="1">
        <f t="array" aca="1" ref="AA331" ca="1">1-INDEX('EE - Input'!$B:$V,MATCH($C331,'EE - Input'!$B:$B,0),MATCH($F$9&amp;$F$10,'EE - Input'!$B$3:$V$3,0))
*(INDEX('Vessel Configurator'!$C$30:$G$62,MATCH($D331,'Vessel Configurator'!$B$30:$B$62,0),Z$8)="Yes")
*INDEX(EE_Applicability,MATCH($D331,'Vessel Configurator'!$B$30:$B$62,0))</f>
        <v>1</v>
      </c>
      <c r="AU331" s="71" cm="1">
        <f t="array" aca="1" ref="AU331" ca="1">1-INDEX('EE - Input'!$B:$V,MATCH($C331,'EE - Input'!$B:$B,0),MATCH($F$9&amp;$F$10,'EE - Input'!$B$3:$V$3,0))
*(INDEX('Vessel Configurator'!$C$30:$G$62,MATCH($D331,'Vessel Configurator'!$B$30:$B$62,0),AT$8)="Yes")
*INDEX(EE_Applicability,MATCH($D331,'Vessel Configurator'!$B$30:$B$62,0))</f>
        <v>1</v>
      </c>
      <c r="BO331" s="71" cm="1">
        <f t="array" aca="1" ref="BO331" ca="1">1-INDEX('EE - Input'!$B:$V,MATCH($C331,'EE - Input'!$B:$B,0),MATCH($F$9&amp;$F$10,'EE - Input'!$B$3:$V$3,0))
*(INDEX('Vessel Configurator'!$C$30:$G$62,MATCH($D331,'Vessel Configurator'!$B$30:$B$62,0),BN$8)="Yes")
*INDEX(EE_Applicability,MATCH($D331,'Vessel Configurator'!$B$30:$B$62,0))</f>
        <v>1</v>
      </c>
      <c r="CI331" s="71" cm="1">
        <f t="array" aca="1" ref="CI331" ca="1">1-INDEX('EE - Input'!$B:$V,MATCH($C331,'EE - Input'!$B:$B,0),MATCH($F$9&amp;$F$10,'EE - Input'!$B$3:$V$3,0))
*(INDEX('Vessel Configurator'!$C$30:$G$62,MATCH($D331,'Vessel Configurator'!$B$30:$B$62,0),CH$8)="Yes")
*INDEX(EE_Applicability,MATCH($D331,'Vessel Configurator'!$B$30:$B$62,0))</f>
        <v>1</v>
      </c>
    </row>
    <row r="332" spans="2:87" outlineLevel="1" x14ac:dyDescent="0.2">
      <c r="B332" s="118"/>
      <c r="C332" t="str">
        <f t="shared" si="1018"/>
        <v>Engine tuning-Saving</v>
      </c>
      <c r="D332" t="s">
        <v>140</v>
      </c>
      <c r="E332" s="224" t="s">
        <v>459</v>
      </c>
      <c r="F332" s="224" t="s">
        <v>458</v>
      </c>
      <c r="G332" s="71" cm="1">
        <f t="array" aca="1" ref="G332" ca="1">1-INDEX('EE - Input'!$B:$V,MATCH($C332,'EE - Input'!$B:$B,0),MATCH($F$9&amp;$F$10,'EE - Input'!$B$3:$V$3,0))
*(INDEX('Vessel Configurator'!$C$30:$G$62,MATCH($D332,'Vessel Configurator'!$B$30:$B$62,0),F$8)="Yes")
*INDEX(EE_Applicability,MATCH($D332,'Vessel Configurator'!$B$30:$B$62,0))</f>
        <v>1</v>
      </c>
      <c r="AA332" s="71" cm="1">
        <f t="array" aca="1" ref="AA332" ca="1">1-INDEX('EE - Input'!$B:$V,MATCH($C332,'EE - Input'!$B:$B,0),MATCH($F$9&amp;$F$10,'EE - Input'!$B$3:$V$3,0))
*(INDEX('Vessel Configurator'!$C$30:$G$62,MATCH($D332,'Vessel Configurator'!$B$30:$B$62,0),Z$8)="Yes")
*INDEX(EE_Applicability,MATCH($D332,'Vessel Configurator'!$B$30:$B$62,0))</f>
        <v>1</v>
      </c>
      <c r="AU332" s="71" cm="1">
        <f t="array" aca="1" ref="AU332" ca="1">1-INDEX('EE - Input'!$B:$V,MATCH($C332,'EE - Input'!$B:$B,0),MATCH($F$9&amp;$F$10,'EE - Input'!$B$3:$V$3,0))
*(INDEX('Vessel Configurator'!$C$30:$G$62,MATCH($D332,'Vessel Configurator'!$B$30:$B$62,0),AT$8)="Yes")
*INDEX(EE_Applicability,MATCH($D332,'Vessel Configurator'!$B$30:$B$62,0))</f>
        <v>1</v>
      </c>
      <c r="BO332" s="71" cm="1">
        <f t="array" aca="1" ref="BO332" ca="1">1-INDEX('EE - Input'!$B:$V,MATCH($C332,'EE - Input'!$B:$B,0),MATCH($F$9&amp;$F$10,'EE - Input'!$B$3:$V$3,0))
*(INDEX('Vessel Configurator'!$C$30:$G$62,MATCH($D332,'Vessel Configurator'!$B$30:$B$62,0),BN$8)="Yes")
*INDEX(EE_Applicability,MATCH($D332,'Vessel Configurator'!$B$30:$B$62,0))</f>
        <v>1</v>
      </c>
      <c r="CI332" s="71" cm="1">
        <f t="array" aca="1" ref="CI332" ca="1">1-INDEX('EE - Input'!$B:$V,MATCH($C332,'EE - Input'!$B:$B,0),MATCH($F$9&amp;$F$10,'EE - Input'!$B$3:$V$3,0))
*(INDEX('Vessel Configurator'!$C$30:$G$62,MATCH($D332,'Vessel Configurator'!$B$30:$B$62,0),CH$8)="Yes")
*INDEX(EE_Applicability,MATCH($D332,'Vessel Configurator'!$B$30:$B$62,0))</f>
        <v>1</v>
      </c>
    </row>
    <row r="333" spans="2:87" outlineLevel="1" x14ac:dyDescent="0.2">
      <c r="B333" s="118"/>
      <c r="C333" t="str">
        <f t="shared" si="1018"/>
        <v>Shaft motor (Driven by WHR)-Saving</v>
      </c>
      <c r="D333" t="s">
        <v>141</v>
      </c>
      <c r="E333" s="224" t="s">
        <v>459</v>
      </c>
      <c r="F333" s="224" t="s">
        <v>458</v>
      </c>
      <c r="G333" s="71" cm="1">
        <f t="array" aca="1" ref="G333" ca="1">1-INDEX('EE - Input'!$B:$V,MATCH($C333,'EE - Input'!$B:$B,0),MATCH($F$9&amp;$F$10,'EE - Input'!$B$3:$V$3,0))
*(INDEX('Vessel Configurator'!$C$30:$G$62,MATCH($D333,'Vessel Configurator'!$B$30:$B$62,0),F$8)="Yes")
*INDEX(EE_Applicability,MATCH($D333,'Vessel Configurator'!$B$30:$B$62,0))</f>
        <v>1</v>
      </c>
      <c r="AA333" s="71" cm="1">
        <f t="array" aca="1" ref="AA333" ca="1">1-INDEX('EE - Input'!$B:$V,MATCH($C333,'EE - Input'!$B:$B,0),MATCH($F$9&amp;$F$10,'EE - Input'!$B$3:$V$3,0))
*(INDEX('Vessel Configurator'!$C$30:$G$62,MATCH($D333,'Vessel Configurator'!$B$30:$B$62,0),Z$8)="Yes")
*INDEX(EE_Applicability,MATCH($D333,'Vessel Configurator'!$B$30:$B$62,0))</f>
        <v>1</v>
      </c>
      <c r="AU333" s="71" cm="1">
        <f t="array" aca="1" ref="AU333" ca="1">1-INDEX('EE - Input'!$B:$V,MATCH($C333,'EE - Input'!$B:$B,0),MATCH($F$9&amp;$F$10,'EE - Input'!$B$3:$V$3,0))
*(INDEX('Vessel Configurator'!$C$30:$G$62,MATCH($D333,'Vessel Configurator'!$B$30:$B$62,0),AT$8)="Yes")
*INDEX(EE_Applicability,MATCH($D333,'Vessel Configurator'!$B$30:$B$62,0))</f>
        <v>1</v>
      </c>
      <c r="BO333" s="71" cm="1">
        <f t="array" aca="1" ref="BO333" ca="1">1-INDEX('EE - Input'!$B:$V,MATCH($C333,'EE - Input'!$B:$B,0),MATCH($F$9&amp;$F$10,'EE - Input'!$B$3:$V$3,0))
*(INDEX('Vessel Configurator'!$C$30:$G$62,MATCH($D333,'Vessel Configurator'!$B$30:$B$62,0),BN$8)="Yes")
*INDEX(EE_Applicability,MATCH($D333,'Vessel Configurator'!$B$30:$B$62,0))</f>
        <v>1</v>
      </c>
      <c r="CI333" s="71" cm="1">
        <f t="array" aca="1" ref="CI333" ca="1">1-INDEX('EE - Input'!$B:$V,MATCH($C333,'EE - Input'!$B:$B,0),MATCH($F$9&amp;$F$10,'EE - Input'!$B$3:$V$3,0))
*(INDEX('Vessel Configurator'!$C$30:$G$62,MATCH($D333,'Vessel Configurator'!$B$30:$B$62,0),CH$8)="Yes")
*INDEX(EE_Applicability,MATCH($D333,'Vessel Configurator'!$B$30:$B$62,0))</f>
        <v>1</v>
      </c>
    </row>
    <row r="334" spans="2:87" outlineLevel="1" x14ac:dyDescent="0.2">
      <c r="B334" s="118"/>
      <c r="C334" t="str">
        <f t="shared" si="1018"/>
        <v>Hull shape optimisation-Saving</v>
      </c>
      <c r="D334" t="s">
        <v>142</v>
      </c>
      <c r="E334" s="224" t="s">
        <v>459</v>
      </c>
      <c r="F334" s="224" t="s">
        <v>458</v>
      </c>
      <c r="G334" s="71" cm="1">
        <f t="array" aca="1" ref="G334" ca="1">1-INDEX('EE - Input'!$B:$V,MATCH($C334,'EE - Input'!$B:$B,0),MATCH($F$9&amp;$F$10,'EE - Input'!$B$3:$V$3,0))
*(INDEX('Vessel Configurator'!$C$30:$G$62,MATCH($D334,'Vessel Configurator'!$B$30:$B$62,0),F$8)="Yes")
*INDEX(EE_Applicability,MATCH($D334,'Vessel Configurator'!$B$30:$B$62,0))</f>
        <v>1</v>
      </c>
      <c r="AA334" s="71" cm="1">
        <f t="array" aca="1" ref="AA334" ca="1">1-INDEX('EE - Input'!$B:$V,MATCH($C334,'EE - Input'!$B:$B,0),MATCH($F$9&amp;$F$10,'EE - Input'!$B$3:$V$3,0))
*(INDEX('Vessel Configurator'!$C$30:$G$62,MATCH($D334,'Vessel Configurator'!$B$30:$B$62,0),Z$8)="Yes")
*INDEX(EE_Applicability,MATCH($D334,'Vessel Configurator'!$B$30:$B$62,0))</f>
        <v>1</v>
      </c>
      <c r="AU334" s="71" cm="1">
        <f t="array" aca="1" ref="AU334" ca="1">1-INDEX('EE - Input'!$B:$V,MATCH($C334,'EE - Input'!$B:$B,0),MATCH($F$9&amp;$F$10,'EE - Input'!$B$3:$V$3,0))
*(INDEX('Vessel Configurator'!$C$30:$G$62,MATCH($D334,'Vessel Configurator'!$B$30:$B$62,0),AT$8)="Yes")
*INDEX(EE_Applicability,MATCH($D334,'Vessel Configurator'!$B$30:$B$62,0))</f>
        <v>1</v>
      </c>
      <c r="BO334" s="71" cm="1">
        <f t="array" aca="1" ref="BO334" ca="1">1-INDEX('EE - Input'!$B:$V,MATCH($C334,'EE - Input'!$B:$B,0),MATCH($F$9&amp;$F$10,'EE - Input'!$B$3:$V$3,0))
*(INDEX('Vessel Configurator'!$C$30:$G$62,MATCH($D334,'Vessel Configurator'!$B$30:$B$62,0),BN$8)="Yes")
*INDEX(EE_Applicability,MATCH($D334,'Vessel Configurator'!$B$30:$B$62,0))</f>
        <v>1</v>
      </c>
      <c r="CI334" s="71" cm="1">
        <f t="array" aca="1" ref="CI334" ca="1">1-INDEX('EE - Input'!$B:$V,MATCH($C334,'EE - Input'!$B:$B,0),MATCH($F$9&amp;$F$10,'EE - Input'!$B$3:$V$3,0))
*(INDEX('Vessel Configurator'!$C$30:$G$62,MATCH($D334,'Vessel Configurator'!$B$30:$B$62,0),CH$8)="Yes")
*INDEX(EE_Applicability,MATCH($D334,'Vessel Configurator'!$B$30:$B$62,0))</f>
        <v>1</v>
      </c>
    </row>
    <row r="335" spans="2:87" outlineLevel="1" x14ac:dyDescent="0.2">
      <c r="B335" s="118"/>
      <c r="C335" t="str">
        <f t="shared" si="1018"/>
        <v>Lightweight hull-Saving</v>
      </c>
      <c r="D335" t="s">
        <v>143</v>
      </c>
      <c r="E335" s="224" t="s">
        <v>459</v>
      </c>
      <c r="F335" s="224" t="s">
        <v>458</v>
      </c>
      <c r="G335" s="71" cm="1">
        <f t="array" aca="1" ref="G335" ca="1">1-INDEX('EE - Input'!$B:$V,MATCH($C335,'EE - Input'!$B:$B,0),MATCH($F$9&amp;$F$10,'EE - Input'!$B$3:$V$3,0))
*(INDEX('Vessel Configurator'!$C$30:$G$62,MATCH($D335,'Vessel Configurator'!$B$30:$B$62,0),F$8)="Yes")
*INDEX(EE_Applicability,MATCH($D335,'Vessel Configurator'!$B$30:$B$62,0))</f>
        <v>1</v>
      </c>
      <c r="AA335" s="71" cm="1">
        <f t="array" aca="1" ref="AA335" ca="1">1-INDEX('EE - Input'!$B:$V,MATCH($C335,'EE - Input'!$B:$B,0),MATCH($F$9&amp;$F$10,'EE - Input'!$B$3:$V$3,0))
*(INDEX('Vessel Configurator'!$C$30:$G$62,MATCH($D335,'Vessel Configurator'!$B$30:$B$62,0),Z$8)="Yes")
*INDEX(EE_Applicability,MATCH($D335,'Vessel Configurator'!$B$30:$B$62,0))</f>
        <v>1</v>
      </c>
      <c r="AU335" s="71" cm="1">
        <f t="array" aca="1" ref="AU335" ca="1">1-INDEX('EE - Input'!$B:$V,MATCH($C335,'EE - Input'!$B:$B,0),MATCH($F$9&amp;$F$10,'EE - Input'!$B$3:$V$3,0))
*(INDEX('Vessel Configurator'!$C$30:$G$62,MATCH($D335,'Vessel Configurator'!$B$30:$B$62,0),AT$8)="Yes")
*INDEX(EE_Applicability,MATCH($D335,'Vessel Configurator'!$B$30:$B$62,0))</f>
        <v>1</v>
      </c>
      <c r="BO335" s="71" cm="1">
        <f t="array" aca="1" ref="BO335" ca="1">1-INDEX('EE - Input'!$B:$V,MATCH($C335,'EE - Input'!$B:$B,0),MATCH($F$9&amp;$F$10,'EE - Input'!$B$3:$V$3,0))
*(INDEX('Vessel Configurator'!$C$30:$G$62,MATCH($D335,'Vessel Configurator'!$B$30:$B$62,0),BN$8)="Yes")
*INDEX(EE_Applicability,MATCH($D335,'Vessel Configurator'!$B$30:$B$62,0))</f>
        <v>1</v>
      </c>
      <c r="CI335" s="71" cm="1">
        <f t="array" aca="1" ref="CI335" ca="1">1-INDEX('EE - Input'!$B:$V,MATCH($C335,'EE - Input'!$B:$B,0),MATCH($F$9&amp;$F$10,'EE - Input'!$B$3:$V$3,0))
*(INDEX('Vessel Configurator'!$C$30:$G$62,MATCH($D335,'Vessel Configurator'!$B$30:$B$62,0),CH$8)="Yes")
*INDEX(EE_Applicability,MATCH($D335,'Vessel Configurator'!$B$30:$B$62,0))</f>
        <v>1</v>
      </c>
    </row>
    <row r="336" spans="2:87" outlineLevel="1" x14ac:dyDescent="0.2">
      <c r="B336" s="118"/>
      <c r="C336" t="str">
        <f t="shared" si="1018"/>
        <v>Hull paint/coating-Saving</v>
      </c>
      <c r="D336" t="s">
        <v>144</v>
      </c>
      <c r="E336" s="224" t="s">
        <v>459</v>
      </c>
      <c r="F336" s="224" t="s">
        <v>458</v>
      </c>
      <c r="G336" s="71" cm="1">
        <f t="array" aca="1" ref="G336" ca="1">1-INDEX('EE - Input'!$B:$V,MATCH($C336,'EE - Input'!$B:$B,0),MATCH($F$9&amp;$F$10,'EE - Input'!$B$3:$V$3,0))
*(INDEX('Vessel Configurator'!$C$30:$G$62,MATCH($D336,'Vessel Configurator'!$B$30:$B$62,0),F$8)="Yes")
*INDEX(EE_Applicability,MATCH($D336,'Vessel Configurator'!$B$30:$B$62,0))</f>
        <v>1</v>
      </c>
      <c r="AA336" s="71" cm="1">
        <f t="array" aca="1" ref="AA336" ca="1">1-INDEX('EE - Input'!$B:$V,MATCH($C336,'EE - Input'!$B:$B,0),MATCH($F$9&amp;$F$10,'EE - Input'!$B$3:$V$3,0))
*(INDEX('Vessel Configurator'!$C$30:$G$62,MATCH($D336,'Vessel Configurator'!$B$30:$B$62,0),Z$8)="Yes")
*INDEX(EE_Applicability,MATCH($D336,'Vessel Configurator'!$B$30:$B$62,0))</f>
        <v>1</v>
      </c>
      <c r="AU336" s="71" cm="1">
        <f t="array" aca="1" ref="AU336" ca="1">1-INDEX('EE - Input'!$B:$V,MATCH($C336,'EE - Input'!$B:$B,0),MATCH($F$9&amp;$F$10,'EE - Input'!$B$3:$V$3,0))
*(INDEX('Vessel Configurator'!$C$30:$G$62,MATCH($D336,'Vessel Configurator'!$B$30:$B$62,0),AT$8)="Yes")
*INDEX(EE_Applicability,MATCH($D336,'Vessel Configurator'!$B$30:$B$62,0))</f>
        <v>1</v>
      </c>
      <c r="BO336" s="71" cm="1">
        <f t="array" aca="1" ref="BO336" ca="1">1-INDEX('EE - Input'!$B:$V,MATCH($C336,'EE - Input'!$B:$B,0),MATCH($F$9&amp;$F$10,'EE - Input'!$B$3:$V$3,0))
*(INDEX('Vessel Configurator'!$C$30:$G$62,MATCH($D336,'Vessel Configurator'!$B$30:$B$62,0),BN$8)="Yes")
*INDEX(EE_Applicability,MATCH($D336,'Vessel Configurator'!$B$30:$B$62,0))</f>
        <v>1</v>
      </c>
      <c r="CI336" s="71" cm="1">
        <f t="array" aca="1" ref="CI336" ca="1">1-INDEX('EE - Input'!$B:$V,MATCH($C336,'EE - Input'!$B:$B,0),MATCH($F$9&amp;$F$10,'EE - Input'!$B$3:$V$3,0))
*(INDEX('Vessel Configurator'!$C$30:$G$62,MATCH($D336,'Vessel Configurator'!$B$30:$B$62,0),CH$8)="Yes")
*INDEX(EE_Applicability,MATCH($D336,'Vessel Configurator'!$B$30:$B$62,0))</f>
        <v>1</v>
      </c>
    </row>
    <row r="337" spans="2:87" outlineLevel="1" x14ac:dyDescent="0.2">
      <c r="B337" s="118"/>
      <c r="C337" t="str">
        <f t="shared" si="1018"/>
        <v>Hull cleaning-Saving</v>
      </c>
      <c r="D337" t="s">
        <v>145</v>
      </c>
      <c r="E337" s="224" t="s">
        <v>459</v>
      </c>
      <c r="F337" s="224" t="s">
        <v>458</v>
      </c>
      <c r="G337" s="71" cm="1">
        <f t="array" aca="1" ref="G337" ca="1">1-INDEX('EE - Input'!$B:$V,MATCH($C337,'EE - Input'!$B:$B,0),MATCH($F$9&amp;$F$10,'EE - Input'!$B$3:$V$3,0))
*(INDEX('Vessel Configurator'!$C$30:$G$62,MATCH($D337,'Vessel Configurator'!$B$30:$B$62,0),F$8)="Yes")
*INDEX(EE_Applicability,MATCH($D337,'Vessel Configurator'!$B$30:$B$62,0))</f>
        <v>1</v>
      </c>
      <c r="AA337" s="71" cm="1">
        <f t="array" aca="1" ref="AA337" ca="1">1-INDEX('EE - Input'!$B:$V,MATCH($C337,'EE - Input'!$B:$B,0),MATCH($F$9&amp;$F$10,'EE - Input'!$B$3:$V$3,0))
*(INDEX('Vessel Configurator'!$C$30:$G$62,MATCH($D337,'Vessel Configurator'!$B$30:$B$62,0),Z$8)="Yes")
*INDEX(EE_Applicability,MATCH($D337,'Vessel Configurator'!$B$30:$B$62,0))</f>
        <v>1</v>
      </c>
      <c r="AU337" s="71" cm="1">
        <f t="array" aca="1" ref="AU337" ca="1">1-INDEX('EE - Input'!$B:$V,MATCH($C337,'EE - Input'!$B:$B,0),MATCH($F$9&amp;$F$10,'EE - Input'!$B$3:$V$3,0))
*(INDEX('Vessel Configurator'!$C$30:$G$62,MATCH($D337,'Vessel Configurator'!$B$30:$B$62,0),AT$8)="Yes")
*INDEX(EE_Applicability,MATCH($D337,'Vessel Configurator'!$B$30:$B$62,0))</f>
        <v>1</v>
      </c>
      <c r="BO337" s="71" cm="1">
        <f t="array" aca="1" ref="BO337" ca="1">1-INDEX('EE - Input'!$B:$V,MATCH($C337,'EE - Input'!$B:$B,0),MATCH($F$9&amp;$F$10,'EE - Input'!$B$3:$V$3,0))
*(INDEX('Vessel Configurator'!$C$30:$G$62,MATCH($D337,'Vessel Configurator'!$B$30:$B$62,0),BN$8)="Yes")
*INDEX(EE_Applicability,MATCH($D337,'Vessel Configurator'!$B$30:$B$62,0))</f>
        <v>1</v>
      </c>
      <c r="CI337" s="71" cm="1">
        <f t="array" aca="1" ref="CI337" ca="1">1-INDEX('EE - Input'!$B:$V,MATCH($C337,'EE - Input'!$B:$B,0),MATCH($F$9&amp;$F$10,'EE - Input'!$B$3:$V$3,0))
*(INDEX('Vessel Configurator'!$C$30:$G$62,MATCH($D337,'Vessel Configurator'!$B$30:$B$62,0),CH$8)="Yes")
*INDEX(EE_Applicability,MATCH($D337,'Vessel Configurator'!$B$30:$B$62,0))</f>
        <v>1</v>
      </c>
    </row>
    <row r="338" spans="2:87" outlineLevel="1" x14ac:dyDescent="0.2">
      <c r="B338" s="118"/>
      <c r="C338" t="str">
        <f t="shared" si="1018"/>
        <v>Air cavity lubrication-Saving</v>
      </c>
      <c r="D338" t="s">
        <v>146</v>
      </c>
      <c r="E338" s="224" t="s">
        <v>459</v>
      </c>
      <c r="F338" s="224" t="s">
        <v>458</v>
      </c>
      <c r="G338" s="71" cm="1">
        <f t="array" aca="1" ref="G338" ca="1">1-INDEX('EE - Input'!$B:$V,MATCH($C338,'EE - Input'!$B:$B,0),MATCH($F$9&amp;$F$10,'EE - Input'!$B$3:$V$3,0))
*(INDEX('Vessel Configurator'!$C$30:$G$62,MATCH($D338,'Vessel Configurator'!$B$30:$B$62,0),F$8)="Yes")
*INDEX(EE_Applicability,MATCH($D338,'Vessel Configurator'!$B$30:$B$62,0))</f>
        <v>1</v>
      </c>
      <c r="AA338" s="71" cm="1">
        <f t="array" aca="1" ref="AA338" ca="1">1-INDEX('EE - Input'!$B:$V,MATCH($C338,'EE - Input'!$B:$B,0),MATCH($F$9&amp;$F$10,'EE - Input'!$B$3:$V$3,0))
*(INDEX('Vessel Configurator'!$C$30:$G$62,MATCH($D338,'Vessel Configurator'!$B$30:$B$62,0),Z$8)="Yes")
*INDEX(EE_Applicability,MATCH($D338,'Vessel Configurator'!$B$30:$B$62,0))</f>
        <v>1</v>
      </c>
      <c r="AU338" s="71" cm="1">
        <f t="array" aca="1" ref="AU338" ca="1">1-INDEX('EE - Input'!$B:$V,MATCH($C338,'EE - Input'!$B:$B,0),MATCH($F$9&amp;$F$10,'EE - Input'!$B$3:$V$3,0))
*(INDEX('Vessel Configurator'!$C$30:$G$62,MATCH($D338,'Vessel Configurator'!$B$30:$B$62,0),AT$8)="Yes")
*INDEX(EE_Applicability,MATCH($D338,'Vessel Configurator'!$B$30:$B$62,0))</f>
        <v>1</v>
      </c>
      <c r="BO338" s="71" cm="1">
        <f t="array" aca="1" ref="BO338" ca="1">1-INDEX('EE - Input'!$B:$V,MATCH($C338,'EE - Input'!$B:$B,0),MATCH($F$9&amp;$F$10,'EE - Input'!$B$3:$V$3,0))
*(INDEX('Vessel Configurator'!$C$30:$G$62,MATCH($D338,'Vessel Configurator'!$B$30:$B$62,0),BN$8)="Yes")
*INDEX(EE_Applicability,MATCH($D338,'Vessel Configurator'!$B$30:$B$62,0))</f>
        <v>1</v>
      </c>
      <c r="CI338" s="71" cm="1">
        <f t="array" aca="1" ref="CI338" ca="1">1-INDEX('EE - Input'!$B:$V,MATCH($C338,'EE - Input'!$B:$B,0),MATCH($F$9&amp;$F$10,'EE - Input'!$B$3:$V$3,0))
*(INDEX('Vessel Configurator'!$C$30:$G$62,MATCH($D338,'Vessel Configurator'!$B$30:$B$62,0),CH$8)="Yes")
*INDEX(EE_Applicability,MATCH($D338,'Vessel Configurator'!$B$30:$B$62,0))</f>
        <v>1</v>
      </c>
    </row>
    <row r="339" spans="2:87" outlineLevel="1" x14ac:dyDescent="0.2">
      <c r="B339" s="118"/>
      <c r="C339" t="str">
        <f t="shared" si="1018"/>
        <v>Trim and draft optimization-Saving</v>
      </c>
      <c r="D339" t="s">
        <v>147</v>
      </c>
      <c r="E339" s="224" t="s">
        <v>459</v>
      </c>
      <c r="F339" s="224" t="s">
        <v>458</v>
      </c>
      <c r="G339" s="71" cm="1">
        <f t="array" aca="1" ref="G339" ca="1">1-INDEX('EE - Input'!$B:$V,MATCH($C339,'EE - Input'!$B:$B,0),MATCH($F$9&amp;$F$10,'EE - Input'!$B$3:$V$3,0))
*(INDEX('Vessel Configurator'!$C$30:$G$62,MATCH($D339,'Vessel Configurator'!$B$30:$B$62,0),F$8)="Yes")
*INDEX(EE_Applicability,MATCH($D339,'Vessel Configurator'!$B$30:$B$62,0))</f>
        <v>1</v>
      </c>
      <c r="AA339" s="71" cm="1">
        <f t="array" aca="1" ref="AA339" ca="1">1-INDEX('EE - Input'!$B:$V,MATCH($C339,'EE - Input'!$B:$B,0),MATCH($F$9&amp;$F$10,'EE - Input'!$B$3:$V$3,0))
*(INDEX('Vessel Configurator'!$C$30:$G$62,MATCH($D339,'Vessel Configurator'!$B$30:$B$62,0),Z$8)="Yes")
*INDEX(EE_Applicability,MATCH($D339,'Vessel Configurator'!$B$30:$B$62,0))</f>
        <v>1</v>
      </c>
      <c r="AU339" s="71" cm="1">
        <f t="array" aca="1" ref="AU339" ca="1">1-INDEX('EE - Input'!$B:$V,MATCH($C339,'EE - Input'!$B:$B,0),MATCH($F$9&amp;$F$10,'EE - Input'!$B$3:$V$3,0))
*(INDEX('Vessel Configurator'!$C$30:$G$62,MATCH($D339,'Vessel Configurator'!$B$30:$B$62,0),AT$8)="Yes")
*INDEX(EE_Applicability,MATCH($D339,'Vessel Configurator'!$B$30:$B$62,0))</f>
        <v>1</v>
      </c>
      <c r="BO339" s="71" cm="1">
        <f t="array" aca="1" ref="BO339" ca="1">1-INDEX('EE - Input'!$B:$V,MATCH($C339,'EE - Input'!$B:$B,0),MATCH($F$9&amp;$F$10,'EE - Input'!$B$3:$V$3,0))
*(INDEX('Vessel Configurator'!$C$30:$G$62,MATCH($D339,'Vessel Configurator'!$B$30:$B$62,0),BN$8)="Yes")
*INDEX(EE_Applicability,MATCH($D339,'Vessel Configurator'!$B$30:$B$62,0))</f>
        <v>1</v>
      </c>
      <c r="CI339" s="71" cm="1">
        <f t="array" aca="1" ref="CI339" ca="1">1-INDEX('EE - Input'!$B:$V,MATCH($C339,'EE - Input'!$B:$B,0),MATCH($F$9&amp;$F$10,'EE - Input'!$B$3:$V$3,0))
*(INDEX('Vessel Configurator'!$C$30:$G$62,MATCH($D339,'Vessel Configurator'!$B$30:$B$62,0),CH$8)="Yes")
*INDEX(EE_Applicability,MATCH($D339,'Vessel Configurator'!$B$30:$B$62,0))</f>
        <v>1</v>
      </c>
    </row>
    <row r="340" spans="2:87" outlineLevel="1" x14ac:dyDescent="0.2">
      <c r="B340" s="118"/>
      <c r="C340" t="str">
        <f t="shared" si="1018"/>
        <v>Hull retrofit-Saving</v>
      </c>
      <c r="D340" t="s">
        <v>148</v>
      </c>
      <c r="E340" s="224" t="s">
        <v>459</v>
      </c>
      <c r="F340" s="224" t="s">
        <v>458</v>
      </c>
      <c r="G340" s="71" cm="1">
        <f t="array" aca="1" ref="G340" ca="1">1-INDEX('EE - Input'!$B:$V,MATCH($C340,'EE - Input'!$B:$B,0),MATCH($F$9&amp;$F$10,'EE - Input'!$B$3:$V$3,0))
*(INDEX('Vessel Configurator'!$C$30:$G$62,MATCH($D340,'Vessel Configurator'!$B$30:$B$62,0),F$8)="Yes")
*INDEX(EE_Applicability,MATCH($D340,'Vessel Configurator'!$B$30:$B$62,0))</f>
        <v>1</v>
      </c>
      <c r="AA340" s="71" cm="1">
        <f t="array" aca="1" ref="AA340" ca="1">1-INDEX('EE - Input'!$B:$V,MATCH($C340,'EE - Input'!$B:$B,0),MATCH($F$9&amp;$F$10,'EE - Input'!$B$3:$V$3,0))
*(INDEX('Vessel Configurator'!$C$30:$G$62,MATCH($D340,'Vessel Configurator'!$B$30:$B$62,0),Z$8)="Yes")
*INDEX(EE_Applicability,MATCH($D340,'Vessel Configurator'!$B$30:$B$62,0))</f>
        <v>1</v>
      </c>
      <c r="AU340" s="71" cm="1">
        <f t="array" aca="1" ref="AU340" ca="1">1-INDEX('EE - Input'!$B:$V,MATCH($C340,'EE - Input'!$B:$B,0),MATCH($F$9&amp;$F$10,'EE - Input'!$B$3:$V$3,0))
*(INDEX('Vessel Configurator'!$C$30:$G$62,MATCH($D340,'Vessel Configurator'!$B$30:$B$62,0),AT$8)="Yes")
*INDEX(EE_Applicability,MATCH($D340,'Vessel Configurator'!$B$30:$B$62,0))</f>
        <v>1</v>
      </c>
      <c r="BO340" s="71" cm="1">
        <f t="array" aca="1" ref="BO340" ca="1">1-INDEX('EE - Input'!$B:$V,MATCH($C340,'EE - Input'!$B:$B,0),MATCH($F$9&amp;$F$10,'EE - Input'!$B$3:$V$3,0))
*(INDEX('Vessel Configurator'!$C$30:$G$62,MATCH($D340,'Vessel Configurator'!$B$30:$B$62,0),BN$8)="Yes")
*INDEX(EE_Applicability,MATCH($D340,'Vessel Configurator'!$B$30:$B$62,0))</f>
        <v>1</v>
      </c>
      <c r="CI340" s="71" cm="1">
        <f t="array" aca="1" ref="CI340" ca="1">1-INDEX('EE - Input'!$B:$V,MATCH($C340,'EE - Input'!$B:$B,0),MATCH($F$9&amp;$F$10,'EE - Input'!$B$3:$V$3,0))
*(INDEX('Vessel Configurator'!$C$30:$G$62,MATCH($D340,'Vessel Configurator'!$B$30:$B$62,0),CH$8)="Yes")
*INDEX(EE_Applicability,MATCH($D340,'Vessel Configurator'!$B$30:$B$62,0))</f>
        <v>1</v>
      </c>
    </row>
    <row r="341" spans="2:87" outlineLevel="1" x14ac:dyDescent="0.2">
      <c r="B341" s="118"/>
      <c r="C341" t="str">
        <f t="shared" si="1018"/>
        <v>Propeller cleaning-Saving</v>
      </c>
      <c r="D341" t="s">
        <v>149</v>
      </c>
      <c r="E341" s="224" t="s">
        <v>459</v>
      </c>
      <c r="F341" s="224" t="s">
        <v>458</v>
      </c>
      <c r="G341" s="71" cm="1">
        <f t="array" aca="1" ref="G341" ca="1">1-INDEX('EE - Input'!$B:$V,MATCH($C341,'EE - Input'!$B:$B,0),MATCH($F$9&amp;$F$10,'EE - Input'!$B$3:$V$3,0))
*(INDEX('Vessel Configurator'!$C$30:$G$62,MATCH($D341,'Vessel Configurator'!$B$30:$B$62,0),F$8)="Yes")
*INDEX(EE_Applicability,MATCH($D341,'Vessel Configurator'!$B$30:$B$62,0))</f>
        <v>1</v>
      </c>
      <c r="AA341" s="71" cm="1">
        <f t="array" aca="1" ref="AA341" ca="1">1-INDEX('EE - Input'!$B:$V,MATCH($C341,'EE - Input'!$B:$B,0),MATCH($F$9&amp;$F$10,'EE - Input'!$B$3:$V$3,0))
*(INDEX('Vessel Configurator'!$C$30:$G$62,MATCH($D341,'Vessel Configurator'!$B$30:$B$62,0),Z$8)="Yes")
*INDEX(EE_Applicability,MATCH($D341,'Vessel Configurator'!$B$30:$B$62,0))</f>
        <v>1</v>
      </c>
      <c r="AU341" s="71" cm="1">
        <f t="array" aca="1" ref="AU341" ca="1">1-INDEX('EE - Input'!$B:$V,MATCH($C341,'EE - Input'!$B:$B,0),MATCH($F$9&amp;$F$10,'EE - Input'!$B$3:$V$3,0))
*(INDEX('Vessel Configurator'!$C$30:$G$62,MATCH($D341,'Vessel Configurator'!$B$30:$B$62,0),AT$8)="Yes")
*INDEX(EE_Applicability,MATCH($D341,'Vessel Configurator'!$B$30:$B$62,0))</f>
        <v>1</v>
      </c>
      <c r="BO341" s="71" cm="1">
        <f t="array" aca="1" ref="BO341" ca="1">1-INDEX('EE - Input'!$B:$V,MATCH($C341,'EE - Input'!$B:$B,0),MATCH($F$9&amp;$F$10,'EE - Input'!$B$3:$V$3,0))
*(INDEX('Vessel Configurator'!$C$30:$G$62,MATCH($D341,'Vessel Configurator'!$B$30:$B$62,0),BN$8)="Yes")
*INDEX(EE_Applicability,MATCH($D341,'Vessel Configurator'!$B$30:$B$62,0))</f>
        <v>1</v>
      </c>
      <c r="CI341" s="71" cm="1">
        <f t="array" aca="1" ref="CI341" ca="1">1-INDEX('EE - Input'!$B:$V,MATCH($C341,'EE - Input'!$B:$B,0),MATCH($F$9&amp;$F$10,'EE - Input'!$B$3:$V$3,0))
*(INDEX('Vessel Configurator'!$C$30:$G$62,MATCH($D341,'Vessel Configurator'!$B$30:$B$62,0),CH$8)="Yes")
*INDEX(EE_Applicability,MATCH($D341,'Vessel Configurator'!$B$30:$B$62,0))</f>
        <v>1</v>
      </c>
    </row>
    <row r="342" spans="2:87" outlineLevel="1" x14ac:dyDescent="0.2">
      <c r="B342" s="118"/>
      <c r="C342" t="str">
        <f t="shared" si="1018"/>
        <v>Propeller re-fitting-Saving</v>
      </c>
      <c r="D342" t="s">
        <v>150</v>
      </c>
      <c r="E342" s="224" t="s">
        <v>459</v>
      </c>
      <c r="F342" s="224" t="s">
        <v>458</v>
      </c>
      <c r="G342" s="71" cm="1">
        <f t="array" aca="1" ref="G342" ca="1">1-INDEX('EE - Input'!$B:$V,MATCH($C342,'EE - Input'!$B:$B,0),MATCH($F$9&amp;$F$10,'EE - Input'!$B$3:$V$3,0))
*(INDEX('Vessel Configurator'!$C$30:$G$62,MATCH($D342,'Vessel Configurator'!$B$30:$B$62,0),F$8)="Yes")
*INDEX(EE_Applicability,MATCH($D342,'Vessel Configurator'!$B$30:$B$62,0))</f>
        <v>1</v>
      </c>
      <c r="AA342" s="71" cm="1">
        <f t="array" aca="1" ref="AA342" ca="1">1-INDEX('EE - Input'!$B:$V,MATCH($C342,'EE - Input'!$B:$B,0),MATCH($F$9&amp;$F$10,'EE - Input'!$B$3:$V$3,0))
*(INDEX('Vessel Configurator'!$C$30:$G$62,MATCH($D342,'Vessel Configurator'!$B$30:$B$62,0),Z$8)="Yes")
*INDEX(EE_Applicability,MATCH($D342,'Vessel Configurator'!$B$30:$B$62,0))</f>
        <v>1</v>
      </c>
      <c r="AU342" s="71" cm="1">
        <f t="array" aca="1" ref="AU342" ca="1">1-INDEX('EE - Input'!$B:$V,MATCH($C342,'EE - Input'!$B:$B,0),MATCH($F$9&amp;$F$10,'EE - Input'!$B$3:$V$3,0))
*(INDEX('Vessel Configurator'!$C$30:$G$62,MATCH($D342,'Vessel Configurator'!$B$30:$B$62,0),AT$8)="Yes")
*INDEX(EE_Applicability,MATCH($D342,'Vessel Configurator'!$B$30:$B$62,0))</f>
        <v>1</v>
      </c>
      <c r="BO342" s="71" cm="1">
        <f t="array" aca="1" ref="BO342" ca="1">1-INDEX('EE - Input'!$B:$V,MATCH($C342,'EE - Input'!$B:$B,0),MATCH($F$9&amp;$F$10,'EE - Input'!$B$3:$V$3,0))
*(INDEX('Vessel Configurator'!$C$30:$G$62,MATCH($D342,'Vessel Configurator'!$B$30:$B$62,0),BN$8)="Yes")
*INDEX(EE_Applicability,MATCH($D342,'Vessel Configurator'!$B$30:$B$62,0))</f>
        <v>1</v>
      </c>
      <c r="CI342" s="71" cm="1">
        <f t="array" aca="1" ref="CI342" ca="1">1-INDEX('EE - Input'!$B:$V,MATCH($C342,'EE - Input'!$B:$B,0),MATCH($F$9&amp;$F$10,'EE - Input'!$B$3:$V$3,0))
*(INDEX('Vessel Configurator'!$C$30:$G$62,MATCH($D342,'Vessel Configurator'!$B$30:$B$62,0),CH$8)="Yes")
*INDEX(EE_Applicability,MATCH($D342,'Vessel Configurator'!$B$30:$B$62,0))</f>
        <v>1</v>
      </c>
    </row>
    <row r="343" spans="2:87" outlineLevel="1" x14ac:dyDescent="0.2">
      <c r="B343" s="118"/>
      <c r="C343" t="str">
        <f t="shared" si="1018"/>
        <v>Propeller improvement devices-Saving</v>
      </c>
      <c r="D343" t="s">
        <v>151</v>
      </c>
      <c r="E343" s="224" t="s">
        <v>459</v>
      </c>
      <c r="F343" s="224" t="s">
        <v>458</v>
      </c>
      <c r="G343" s="71" cm="1">
        <f t="array" aca="1" ref="G343" ca="1">1-INDEX('EE - Input'!$B:$V,MATCH($C343,'EE - Input'!$B:$B,0),MATCH($F$9&amp;$F$10,'EE - Input'!$B$3:$V$3,0))
*(INDEX('Vessel Configurator'!$C$30:$G$62,MATCH($D343,'Vessel Configurator'!$B$30:$B$62,0),F$8)="Yes")
*INDEX(EE_Applicability,MATCH($D343,'Vessel Configurator'!$B$30:$B$62,0))</f>
        <v>1</v>
      </c>
      <c r="AA343" s="71" cm="1">
        <f t="array" aca="1" ref="AA343" ca="1">1-INDEX('EE - Input'!$B:$V,MATCH($C343,'EE - Input'!$B:$B,0),MATCH($F$9&amp;$F$10,'EE - Input'!$B$3:$V$3,0))
*(INDEX('Vessel Configurator'!$C$30:$G$62,MATCH($D343,'Vessel Configurator'!$B$30:$B$62,0),Z$8)="Yes")
*INDEX(EE_Applicability,MATCH($D343,'Vessel Configurator'!$B$30:$B$62,0))</f>
        <v>1</v>
      </c>
      <c r="AU343" s="71" cm="1">
        <f t="array" aca="1" ref="AU343" ca="1">1-INDEX('EE - Input'!$B:$V,MATCH($C343,'EE - Input'!$B:$B,0),MATCH($F$9&amp;$F$10,'EE - Input'!$B$3:$V$3,0))
*(INDEX('Vessel Configurator'!$C$30:$G$62,MATCH($D343,'Vessel Configurator'!$B$30:$B$62,0),AT$8)="Yes")
*INDEX(EE_Applicability,MATCH($D343,'Vessel Configurator'!$B$30:$B$62,0))</f>
        <v>1</v>
      </c>
      <c r="BO343" s="71" cm="1">
        <f t="array" aca="1" ref="BO343" ca="1">1-INDEX('EE - Input'!$B:$V,MATCH($C343,'EE - Input'!$B:$B,0),MATCH($F$9&amp;$F$10,'EE - Input'!$B$3:$V$3,0))
*(INDEX('Vessel Configurator'!$C$30:$G$62,MATCH($D343,'Vessel Configurator'!$B$30:$B$62,0),BN$8)="Yes")
*INDEX(EE_Applicability,MATCH($D343,'Vessel Configurator'!$B$30:$B$62,0))</f>
        <v>1</v>
      </c>
      <c r="CI343" s="71" cm="1">
        <f t="array" aca="1" ref="CI343" ca="1">1-INDEX('EE - Input'!$B:$V,MATCH($C343,'EE - Input'!$B:$B,0),MATCH($F$9&amp;$F$10,'EE - Input'!$B$3:$V$3,0))
*(INDEX('Vessel Configurator'!$C$30:$G$62,MATCH($D343,'Vessel Configurator'!$B$30:$B$62,0),CH$8)="Yes")
*INDEX(EE_Applicability,MATCH($D343,'Vessel Configurator'!$B$30:$B$62,0))</f>
        <v>1</v>
      </c>
    </row>
    <row r="344" spans="2:87" outlineLevel="1" x14ac:dyDescent="0.2">
      <c r="B344" s="118"/>
      <c r="C344" t="str">
        <f t="shared" si="1018"/>
        <v>Rudder autopilot-Saving</v>
      </c>
      <c r="D344" t="s">
        <v>152</v>
      </c>
      <c r="E344" s="224" t="s">
        <v>459</v>
      </c>
      <c r="F344" s="224" t="s">
        <v>458</v>
      </c>
      <c r="G344" s="71" cm="1">
        <f t="array" aca="1" ref="G344" ca="1">1-INDEX('EE - Input'!$B:$V,MATCH($C344,'EE - Input'!$B:$B,0),MATCH($F$9&amp;$F$10,'EE - Input'!$B$3:$V$3,0))
*(INDEX('Vessel Configurator'!$C$30:$G$62,MATCH($D344,'Vessel Configurator'!$B$30:$B$62,0),F$8)="Yes")
*INDEX(EE_Applicability,MATCH($D344,'Vessel Configurator'!$B$30:$B$62,0))</f>
        <v>1</v>
      </c>
      <c r="AA344" s="71" cm="1">
        <f t="array" aca="1" ref="AA344" ca="1">1-INDEX('EE - Input'!$B:$V,MATCH($C344,'EE - Input'!$B:$B,0),MATCH($F$9&amp;$F$10,'EE - Input'!$B$3:$V$3,0))
*(INDEX('Vessel Configurator'!$C$30:$G$62,MATCH($D344,'Vessel Configurator'!$B$30:$B$62,0),Z$8)="Yes")
*INDEX(EE_Applicability,MATCH($D344,'Vessel Configurator'!$B$30:$B$62,0))</f>
        <v>1</v>
      </c>
      <c r="AU344" s="71" cm="1">
        <f t="array" aca="1" ref="AU344" ca="1">1-INDEX('EE - Input'!$B:$V,MATCH($C344,'EE - Input'!$B:$B,0),MATCH($F$9&amp;$F$10,'EE - Input'!$B$3:$V$3,0))
*(INDEX('Vessel Configurator'!$C$30:$G$62,MATCH($D344,'Vessel Configurator'!$B$30:$B$62,0),AT$8)="Yes")
*INDEX(EE_Applicability,MATCH($D344,'Vessel Configurator'!$B$30:$B$62,0))</f>
        <v>1</v>
      </c>
      <c r="BO344" s="71" cm="1">
        <f t="array" aca="1" ref="BO344" ca="1">1-INDEX('EE - Input'!$B:$V,MATCH($C344,'EE - Input'!$B:$B,0),MATCH($F$9&amp;$F$10,'EE - Input'!$B$3:$V$3,0))
*(INDEX('Vessel Configurator'!$C$30:$G$62,MATCH($D344,'Vessel Configurator'!$B$30:$B$62,0),BN$8)="Yes")
*INDEX(EE_Applicability,MATCH($D344,'Vessel Configurator'!$B$30:$B$62,0))</f>
        <v>1</v>
      </c>
      <c r="CI344" s="71" cm="1">
        <f t="array" aca="1" ref="CI344" ca="1">1-INDEX('EE - Input'!$B:$V,MATCH($C344,'EE - Input'!$B:$B,0),MATCH($F$9&amp;$F$10,'EE - Input'!$B$3:$V$3,0))
*(INDEX('Vessel Configurator'!$C$30:$G$62,MATCH($D344,'Vessel Configurator'!$B$30:$B$62,0),CH$8)="Yes")
*INDEX(EE_Applicability,MATCH($D344,'Vessel Configurator'!$B$30:$B$62,0))</f>
        <v>1</v>
      </c>
    </row>
    <row r="345" spans="2:87" outlineLevel="1" x14ac:dyDescent="0.2">
      <c r="B345" s="118"/>
      <c r="C345" t="str">
        <f t="shared" si="1018"/>
        <v>Flettner rotors-Saving</v>
      </c>
      <c r="D345" t="s">
        <v>153</v>
      </c>
      <c r="E345" s="224" t="s">
        <v>459</v>
      </c>
      <c r="F345" s="224" t="s">
        <v>458</v>
      </c>
      <c r="G345" s="71" cm="1">
        <f t="array" aca="1" ref="G345" ca="1">1-INDEX('EE - Input'!$B:$V,MATCH($C345,'EE - Input'!$B:$B,0),MATCH($F$9&amp;$F$10,'EE - Input'!$B$3:$V$3,0))
*(INDEX('Vessel Configurator'!$C$30:$G$62,MATCH($D345,'Vessel Configurator'!$B$30:$B$62,0),F$8)="Yes")
*INDEX(EE_Applicability,MATCH($D345,'Vessel Configurator'!$B$30:$B$62,0))</f>
        <v>1</v>
      </c>
      <c r="AA345" s="71" cm="1">
        <f t="array" aca="1" ref="AA345" ca="1">1-INDEX('EE - Input'!$B:$V,MATCH($C345,'EE - Input'!$B:$B,0),MATCH($F$9&amp;$F$10,'EE - Input'!$B$3:$V$3,0))
*(INDEX('Vessel Configurator'!$C$30:$G$62,MATCH($D345,'Vessel Configurator'!$B$30:$B$62,0),Z$8)="Yes")
*INDEX(EE_Applicability,MATCH($D345,'Vessel Configurator'!$B$30:$B$62,0))</f>
        <v>1</v>
      </c>
      <c r="AU345" s="71" cm="1">
        <f t="array" aca="1" ref="AU345" ca="1">1-INDEX('EE - Input'!$B:$V,MATCH($C345,'EE - Input'!$B:$B,0),MATCH($F$9&amp;$F$10,'EE - Input'!$B$3:$V$3,0))
*(INDEX('Vessel Configurator'!$C$30:$G$62,MATCH($D345,'Vessel Configurator'!$B$30:$B$62,0),AT$8)="Yes")
*INDEX(EE_Applicability,MATCH($D345,'Vessel Configurator'!$B$30:$B$62,0))</f>
        <v>1</v>
      </c>
      <c r="BO345" s="71" cm="1">
        <f t="array" aca="1" ref="BO345" ca="1">1-INDEX('EE - Input'!$B:$V,MATCH($C345,'EE - Input'!$B:$B,0),MATCH($F$9&amp;$F$10,'EE - Input'!$B$3:$V$3,0))
*(INDEX('Vessel Configurator'!$C$30:$G$62,MATCH($D345,'Vessel Configurator'!$B$30:$B$62,0),BN$8)="Yes")
*INDEX(EE_Applicability,MATCH($D345,'Vessel Configurator'!$B$30:$B$62,0))</f>
        <v>1</v>
      </c>
      <c r="CI345" s="71" cm="1">
        <f t="array" aca="1" ref="CI345" ca="1">1-INDEX('EE - Input'!$B:$V,MATCH($C345,'EE - Input'!$B:$B,0),MATCH($F$9&amp;$F$10,'EE - Input'!$B$3:$V$3,0))
*(INDEX('Vessel Configurator'!$C$30:$G$62,MATCH($D345,'Vessel Configurator'!$B$30:$B$62,0),CH$8)="Yes")
*INDEX(EE_Applicability,MATCH($D345,'Vessel Configurator'!$B$30:$B$62,0))</f>
        <v>1</v>
      </c>
    </row>
    <row r="346" spans="2:87" outlineLevel="1" x14ac:dyDescent="0.2">
      <c r="B346" s="118"/>
      <c r="C346" t="str">
        <f t="shared" si="1018"/>
        <v>Sails-Saving</v>
      </c>
      <c r="D346" t="s">
        <v>154</v>
      </c>
      <c r="E346" s="224" t="s">
        <v>459</v>
      </c>
      <c r="F346" s="224" t="s">
        <v>458</v>
      </c>
      <c r="G346" s="71" cm="1">
        <f t="array" aca="1" ref="G346" ca="1">1-INDEX('EE - Input'!$B:$V,MATCH($C346,'EE - Input'!$B:$B,0),MATCH($F$9&amp;$F$10,'EE - Input'!$B$3:$V$3,0))
*(INDEX('Vessel Configurator'!$C$30:$G$62,MATCH($D346,'Vessel Configurator'!$B$30:$B$62,0),F$8)="Yes")
*INDEX(EE_Applicability,MATCH($D346,'Vessel Configurator'!$B$30:$B$62,0))</f>
        <v>1</v>
      </c>
      <c r="AA346" s="71" cm="1">
        <f t="array" aca="1" ref="AA346" ca="1">1-INDEX('EE - Input'!$B:$V,MATCH($C346,'EE - Input'!$B:$B,0),MATCH($F$9&amp;$F$10,'EE - Input'!$B$3:$V$3,0))
*(INDEX('Vessel Configurator'!$C$30:$G$62,MATCH($D346,'Vessel Configurator'!$B$30:$B$62,0),Z$8)="Yes")
*INDEX(EE_Applicability,MATCH($D346,'Vessel Configurator'!$B$30:$B$62,0))</f>
        <v>1</v>
      </c>
      <c r="AU346" s="71" cm="1">
        <f t="array" aca="1" ref="AU346" ca="1">1-INDEX('EE - Input'!$B:$V,MATCH($C346,'EE - Input'!$B:$B,0),MATCH($F$9&amp;$F$10,'EE - Input'!$B$3:$V$3,0))
*(INDEX('Vessel Configurator'!$C$30:$G$62,MATCH($D346,'Vessel Configurator'!$B$30:$B$62,0),AT$8)="Yes")
*INDEX(EE_Applicability,MATCH($D346,'Vessel Configurator'!$B$30:$B$62,0))</f>
        <v>1</v>
      </c>
      <c r="BO346" s="71" cm="1">
        <f t="array" aca="1" ref="BO346" ca="1">1-INDEX('EE - Input'!$B:$V,MATCH($C346,'EE - Input'!$B:$B,0),MATCH($F$9&amp;$F$10,'EE - Input'!$B$3:$V$3,0))
*(INDEX('Vessel Configurator'!$C$30:$G$62,MATCH($D346,'Vessel Configurator'!$B$30:$B$62,0),BN$8)="Yes")
*INDEX(EE_Applicability,MATCH($D346,'Vessel Configurator'!$B$30:$B$62,0))</f>
        <v>1</v>
      </c>
      <c r="CI346" s="71" cm="1">
        <f t="array" aca="1" ref="CI346" ca="1">1-INDEX('EE - Input'!$B:$V,MATCH($C346,'EE - Input'!$B:$B,0),MATCH($F$9&amp;$F$10,'EE - Input'!$B$3:$V$3,0))
*(INDEX('Vessel Configurator'!$C$30:$G$62,MATCH($D346,'Vessel Configurator'!$B$30:$B$62,0),CH$8)="Yes")
*INDEX(EE_Applicability,MATCH($D346,'Vessel Configurator'!$B$30:$B$62,0))</f>
        <v>1</v>
      </c>
    </row>
    <row r="347" spans="2:87" outlineLevel="1" x14ac:dyDescent="0.2">
      <c r="B347" s="118"/>
      <c r="C347" t="str">
        <f t="shared" si="1018"/>
        <v>Kites-Saving</v>
      </c>
      <c r="D347" t="s">
        <v>155</v>
      </c>
      <c r="E347" s="224" t="s">
        <v>459</v>
      </c>
      <c r="F347" s="224" t="s">
        <v>458</v>
      </c>
      <c r="G347" s="71" cm="1">
        <f t="array" aca="1" ref="G347" ca="1">1-INDEX('EE - Input'!$B:$V,MATCH($C347,'EE - Input'!$B:$B,0),MATCH($F$9&amp;$F$10,'EE - Input'!$B$3:$V$3,0))
*(INDEX('Vessel Configurator'!$C$30:$G$62,MATCH($D347,'Vessel Configurator'!$B$30:$B$62,0),F$8)="Yes")
*INDEX(EE_Applicability,MATCH($D347,'Vessel Configurator'!$B$30:$B$62,0))</f>
        <v>1</v>
      </c>
      <c r="AA347" s="71" cm="1">
        <f t="array" aca="1" ref="AA347" ca="1">1-INDEX('EE - Input'!$B:$V,MATCH($C347,'EE - Input'!$B:$B,0),MATCH($F$9&amp;$F$10,'EE - Input'!$B$3:$V$3,0))
*(INDEX('Vessel Configurator'!$C$30:$G$62,MATCH($D347,'Vessel Configurator'!$B$30:$B$62,0),Z$8)="Yes")
*INDEX(EE_Applicability,MATCH($D347,'Vessel Configurator'!$B$30:$B$62,0))</f>
        <v>1</v>
      </c>
      <c r="AU347" s="71" cm="1">
        <f t="array" aca="1" ref="AU347" ca="1">1-INDEX('EE - Input'!$B:$V,MATCH($C347,'EE - Input'!$B:$B,0),MATCH($F$9&amp;$F$10,'EE - Input'!$B$3:$V$3,0))
*(INDEX('Vessel Configurator'!$C$30:$G$62,MATCH($D347,'Vessel Configurator'!$B$30:$B$62,0),AT$8)="Yes")
*INDEX(EE_Applicability,MATCH($D347,'Vessel Configurator'!$B$30:$B$62,0))</f>
        <v>1</v>
      </c>
      <c r="BO347" s="71" cm="1">
        <f t="array" aca="1" ref="BO347" ca="1">1-INDEX('EE - Input'!$B:$V,MATCH($C347,'EE - Input'!$B:$B,0),MATCH($F$9&amp;$F$10,'EE - Input'!$B$3:$V$3,0))
*(INDEX('Vessel Configurator'!$C$30:$G$62,MATCH($D347,'Vessel Configurator'!$B$30:$B$62,0),BN$8)="Yes")
*INDEX(EE_Applicability,MATCH($D347,'Vessel Configurator'!$B$30:$B$62,0))</f>
        <v>1</v>
      </c>
      <c r="CI347" s="71" cm="1">
        <f t="array" aca="1" ref="CI347" ca="1">1-INDEX('EE - Input'!$B:$V,MATCH($C347,'EE - Input'!$B:$B,0),MATCH($F$9&amp;$F$10,'EE - Input'!$B$3:$V$3,0))
*(INDEX('Vessel Configurator'!$C$30:$G$62,MATCH($D347,'Vessel Configurator'!$B$30:$B$62,0),CH$8)="Yes")
*INDEX(EE_Applicability,MATCH($D347,'Vessel Configurator'!$B$30:$B$62,0))</f>
        <v>1</v>
      </c>
    </row>
    <row r="348" spans="2:87" outlineLevel="1" x14ac:dyDescent="0.2">
      <c r="B348" s="118"/>
      <c r="F348"/>
    </row>
    <row r="349" spans="2:87" outlineLevel="1" x14ac:dyDescent="0.2">
      <c r="B349" s="118"/>
      <c r="C349" t="str">
        <f t="shared" si="1018"/>
        <v>EE AE system-Saving</v>
      </c>
      <c r="D349" s="266" t="s">
        <v>453</v>
      </c>
      <c r="E349" s="266" t="s">
        <v>457</v>
      </c>
      <c r="F349" s="224" t="s">
        <v>458</v>
      </c>
      <c r="G349" s="326">
        <f ca="1">+IFERROR(1-PRODUCT(G350:G359),0)</f>
        <v>0</v>
      </c>
      <c r="AA349" s="326">
        <f ca="1">+IFERROR(1-PRODUCT(AA350:AA359),0)</f>
        <v>0</v>
      </c>
      <c r="AU349" s="326">
        <f ca="1">+IFERROR(1-PRODUCT(AU350:AU359),0)</f>
        <v>0</v>
      </c>
      <c r="BO349" s="326">
        <f ca="1">+IFERROR(1-PRODUCT(BO350:BO359),0)</f>
        <v>0</v>
      </c>
      <c r="CI349" s="326">
        <f ca="1">+IFERROR(1-PRODUCT(CI350:CI359),0)</f>
        <v>0</v>
      </c>
    </row>
    <row r="350" spans="2:87" outlineLevel="1" x14ac:dyDescent="0.2">
      <c r="B350" s="118"/>
      <c r="C350" t="str">
        <f t="shared" si="1018"/>
        <v>Waste heat recovery system-Saving</v>
      </c>
      <c r="D350" t="s">
        <v>156</v>
      </c>
      <c r="E350" s="224" t="s">
        <v>459</v>
      </c>
      <c r="F350" s="224" t="s">
        <v>458</v>
      </c>
      <c r="G350" s="71" cm="1">
        <f t="array" aca="1" ref="G350" ca="1">1-INDEX('EE - Input'!$B:$V,MATCH($C350,'EE - Input'!$B:$B,0),MATCH($F$9&amp;$F$10,'EE - Input'!$B$3:$V$3,0))
*(INDEX('Vessel Configurator'!$C$30:$G$62,MATCH($D350,'Vessel Configurator'!$B$30:$B$62,0),F$8)="Yes")
*INDEX(EE_Applicability,MATCH($D350,'Vessel Configurator'!$B$30:$B$62,0))</f>
        <v>1</v>
      </c>
      <c r="AA350" s="71" cm="1">
        <f t="array" aca="1" ref="AA350" ca="1">1-INDEX('EE - Input'!$B:$V,MATCH($C350,'EE - Input'!$B:$B,0),MATCH($F$9&amp;$F$10,'EE - Input'!$B$3:$V$3,0))
*(INDEX('Vessel Configurator'!$C$30:$G$62,MATCH($D350,'Vessel Configurator'!$B$30:$B$62,0),Z$8)="Yes")
*INDEX(EE_Applicability,MATCH($D350,'Vessel Configurator'!$B$30:$B$62,0))</f>
        <v>1</v>
      </c>
      <c r="AU350" s="71" cm="1">
        <f t="array" aca="1" ref="AU350" ca="1">1-INDEX('EE - Input'!$B:$V,MATCH($C350,'EE - Input'!$B:$B,0),MATCH($F$9&amp;$F$10,'EE - Input'!$B$3:$V$3,0))
*(INDEX('Vessel Configurator'!$C$30:$G$62,MATCH($D350,'Vessel Configurator'!$B$30:$B$62,0),AT$8)="Yes")
*INDEX(EE_Applicability,MATCH($D350,'Vessel Configurator'!$B$30:$B$62,0))</f>
        <v>1</v>
      </c>
      <c r="BO350" s="71" cm="1">
        <f t="array" aca="1" ref="BO350" ca="1">1-INDEX('EE - Input'!$B:$V,MATCH($C350,'EE - Input'!$B:$B,0),MATCH($F$9&amp;$F$10,'EE - Input'!$B$3:$V$3,0))
*(INDEX('Vessel Configurator'!$C$30:$G$62,MATCH($D350,'Vessel Configurator'!$B$30:$B$62,0),BN$8)="Yes")
*INDEX(EE_Applicability,MATCH($D350,'Vessel Configurator'!$B$30:$B$62,0))</f>
        <v>1</v>
      </c>
      <c r="CI350" s="71" cm="1">
        <f t="array" aca="1" ref="CI350" ca="1">1-INDEX('EE - Input'!$B:$V,MATCH($C350,'EE - Input'!$B:$B,0),MATCH($F$9&amp;$F$10,'EE - Input'!$B$3:$V$3,0))
*(INDEX('Vessel Configurator'!$C$30:$G$62,MATCH($D350,'Vessel Configurator'!$B$30:$B$62,0),CH$8)="Yes")
*INDEX(EE_Applicability,MATCH($D350,'Vessel Configurator'!$B$30:$B$62,0))</f>
        <v>1</v>
      </c>
    </row>
    <row r="351" spans="2:87" outlineLevel="1" x14ac:dyDescent="0.2">
      <c r="B351" s="118"/>
      <c r="C351" t="str">
        <f t="shared" si="1018"/>
        <v>Shaft generator-Saving</v>
      </c>
      <c r="D351" t="s">
        <v>157</v>
      </c>
      <c r="E351" s="224" t="s">
        <v>459</v>
      </c>
      <c r="F351" s="224" t="s">
        <v>458</v>
      </c>
      <c r="G351" s="71" cm="1">
        <f t="array" aca="1" ref="G351" ca="1">1-INDEX('EE - Input'!$B:$V,MATCH($C351,'EE - Input'!$B:$B,0),MATCH($F$9&amp;$F$10,'EE - Input'!$B$3:$V$3,0))
*(INDEX('Vessel Configurator'!$C$30:$G$62,MATCH($D351,'Vessel Configurator'!$B$30:$B$62,0),F$8)="Yes")
*INDEX(EE_Applicability,MATCH($D351,'Vessel Configurator'!$B$30:$B$62,0))</f>
        <v>1</v>
      </c>
      <c r="AA351" s="71" cm="1">
        <f t="array" aca="1" ref="AA351" ca="1">1-INDEX('EE - Input'!$B:$V,MATCH($C351,'EE - Input'!$B:$B,0),MATCH($F$9&amp;$F$10,'EE - Input'!$B$3:$V$3,0))
*(INDEX('Vessel Configurator'!$C$30:$G$62,MATCH($D351,'Vessel Configurator'!$B$30:$B$62,0),Z$8)="Yes")
*INDEX(EE_Applicability,MATCH($D351,'Vessel Configurator'!$B$30:$B$62,0))</f>
        <v>1</v>
      </c>
      <c r="AU351" s="71" cm="1">
        <f t="array" aca="1" ref="AU351" ca="1">1-INDEX('EE - Input'!$B:$V,MATCH($C351,'EE - Input'!$B:$B,0),MATCH($F$9&amp;$F$10,'EE - Input'!$B$3:$V$3,0))
*(INDEX('Vessel Configurator'!$C$30:$G$62,MATCH($D351,'Vessel Configurator'!$B$30:$B$62,0),AT$8)="Yes")
*INDEX(EE_Applicability,MATCH($D351,'Vessel Configurator'!$B$30:$B$62,0))</f>
        <v>1</v>
      </c>
      <c r="BO351" s="71" cm="1">
        <f t="array" aca="1" ref="BO351" ca="1">1-INDEX('EE - Input'!$B:$V,MATCH($C351,'EE - Input'!$B:$B,0),MATCH($F$9&amp;$F$10,'EE - Input'!$B$3:$V$3,0))
*(INDEX('Vessel Configurator'!$C$30:$G$62,MATCH($D351,'Vessel Configurator'!$B$30:$B$62,0),BN$8)="Yes")
*INDEX(EE_Applicability,MATCH($D351,'Vessel Configurator'!$B$30:$B$62,0))</f>
        <v>1</v>
      </c>
      <c r="CI351" s="71" cm="1">
        <f t="array" aca="1" ref="CI351" ca="1">1-INDEX('EE - Input'!$B:$V,MATCH($C351,'EE - Input'!$B:$B,0),MATCH($F$9&amp;$F$10,'EE - Input'!$B$3:$V$3,0))
*(INDEX('Vessel Configurator'!$C$30:$G$62,MATCH($D351,'Vessel Configurator'!$B$30:$B$62,0),CH$8)="Yes")
*INDEX(EE_Applicability,MATCH($D351,'Vessel Configurator'!$B$30:$B$62,0))</f>
        <v>1</v>
      </c>
    </row>
    <row r="352" spans="2:87" outlineLevel="1" x14ac:dyDescent="0.2">
      <c r="B352" s="118"/>
      <c r="C352" t="str">
        <f t="shared" si="1018"/>
        <v>Solar power-Saving</v>
      </c>
      <c r="D352" t="s">
        <v>158</v>
      </c>
      <c r="E352" s="224" t="s">
        <v>459</v>
      </c>
      <c r="F352" s="224" t="s">
        <v>458</v>
      </c>
      <c r="G352" s="71" cm="1">
        <f t="array" aca="1" ref="G352" ca="1">1-INDEX('EE - Input'!$B:$V,MATCH($C352,'EE - Input'!$B:$B,0),MATCH($F$9&amp;$F$10,'EE - Input'!$B$3:$V$3,0))
*(INDEX('Vessel Configurator'!$C$30:$G$62,MATCH($D352,'Vessel Configurator'!$B$30:$B$62,0),F$8)="Yes")
*INDEX(EE_Applicability,MATCH($D352,'Vessel Configurator'!$B$30:$B$62,0))</f>
        <v>1</v>
      </c>
      <c r="AA352" s="71" cm="1">
        <f t="array" aca="1" ref="AA352" ca="1">1-INDEX('EE - Input'!$B:$V,MATCH($C352,'EE - Input'!$B:$B,0),MATCH($F$9&amp;$F$10,'EE - Input'!$B$3:$V$3,0))
*(INDEX('Vessel Configurator'!$C$30:$G$62,MATCH($D352,'Vessel Configurator'!$B$30:$B$62,0),Z$8)="Yes")
*INDEX(EE_Applicability,MATCH($D352,'Vessel Configurator'!$B$30:$B$62,0))</f>
        <v>1</v>
      </c>
      <c r="AU352" s="71" cm="1">
        <f t="array" aca="1" ref="AU352" ca="1">1-INDEX('EE - Input'!$B:$V,MATCH($C352,'EE - Input'!$B:$B,0),MATCH($F$9&amp;$F$10,'EE - Input'!$B$3:$V$3,0))
*(INDEX('Vessel Configurator'!$C$30:$G$62,MATCH($D352,'Vessel Configurator'!$B$30:$B$62,0),AT$8)="Yes")
*INDEX(EE_Applicability,MATCH($D352,'Vessel Configurator'!$B$30:$B$62,0))</f>
        <v>1</v>
      </c>
      <c r="BO352" s="71" cm="1">
        <f t="array" aca="1" ref="BO352" ca="1">1-INDEX('EE - Input'!$B:$V,MATCH($C352,'EE - Input'!$B:$B,0),MATCH($F$9&amp;$F$10,'EE - Input'!$B$3:$V$3,0))
*(INDEX('Vessel Configurator'!$C$30:$G$62,MATCH($D352,'Vessel Configurator'!$B$30:$B$62,0),BN$8)="Yes")
*INDEX(EE_Applicability,MATCH($D352,'Vessel Configurator'!$B$30:$B$62,0))</f>
        <v>1</v>
      </c>
      <c r="CI352" s="71" cm="1">
        <f t="array" aca="1" ref="CI352" ca="1">1-INDEX('EE - Input'!$B:$V,MATCH($C352,'EE - Input'!$B:$B,0),MATCH($F$9&amp;$F$10,'EE - Input'!$B$3:$V$3,0))
*(INDEX('Vessel Configurator'!$C$30:$G$62,MATCH($D352,'Vessel Configurator'!$B$30:$B$62,0),CH$8)="Yes")
*INDEX(EE_Applicability,MATCH($D352,'Vessel Configurator'!$B$30:$B$62,0))</f>
        <v>1</v>
      </c>
    </row>
    <row r="353" spans="2:87" outlineLevel="1" x14ac:dyDescent="0.2">
      <c r="B353" s="118"/>
      <c r="C353" t="str">
        <f t="shared" si="1018"/>
        <v>Shore power-Saving</v>
      </c>
      <c r="D353" t="s">
        <v>159</v>
      </c>
      <c r="E353" s="224" t="s">
        <v>459</v>
      </c>
      <c r="F353" s="224" t="s">
        <v>458</v>
      </c>
      <c r="G353" s="71" cm="1">
        <f t="array" aca="1" ref="G353" ca="1">1-INDEX('EE - Input'!$B:$V,MATCH($C353,'EE - Input'!$B:$B,0),MATCH($F$9&amp;$F$10,'EE - Input'!$B$3:$V$3,0))
*(INDEX('Vessel Configurator'!$C$30:$G$62,MATCH($D353,'Vessel Configurator'!$B$30:$B$62,0),F$8)="Yes")
*INDEX(EE_Applicability,MATCH($D353,'Vessel Configurator'!$B$30:$B$62,0))</f>
        <v>1</v>
      </c>
      <c r="AA353" s="71" cm="1">
        <f t="array" aca="1" ref="AA353" ca="1">1-INDEX('EE - Input'!$B:$V,MATCH($C353,'EE - Input'!$B:$B,0),MATCH($F$9&amp;$F$10,'EE - Input'!$B$3:$V$3,0))
*(INDEX('Vessel Configurator'!$C$30:$G$62,MATCH($D353,'Vessel Configurator'!$B$30:$B$62,0),Z$8)="Yes")
*INDEX(EE_Applicability,MATCH($D353,'Vessel Configurator'!$B$30:$B$62,0))</f>
        <v>1</v>
      </c>
      <c r="AU353" s="71" cm="1">
        <f t="array" aca="1" ref="AU353" ca="1">1-INDEX('EE - Input'!$B:$V,MATCH($C353,'EE - Input'!$B:$B,0),MATCH($F$9&amp;$F$10,'EE - Input'!$B$3:$V$3,0))
*(INDEX('Vessel Configurator'!$C$30:$G$62,MATCH($D353,'Vessel Configurator'!$B$30:$B$62,0),AT$8)="Yes")
*INDEX(EE_Applicability,MATCH($D353,'Vessel Configurator'!$B$30:$B$62,0))</f>
        <v>1</v>
      </c>
      <c r="BO353" s="71" cm="1">
        <f t="array" aca="1" ref="BO353" ca="1">1-INDEX('EE - Input'!$B:$V,MATCH($C353,'EE - Input'!$B:$B,0),MATCH($F$9&amp;$F$10,'EE - Input'!$B$3:$V$3,0))
*(INDEX('Vessel Configurator'!$C$30:$G$62,MATCH($D353,'Vessel Configurator'!$B$30:$B$62,0),BN$8)="Yes")
*INDEX(EE_Applicability,MATCH($D353,'Vessel Configurator'!$B$30:$B$62,0))</f>
        <v>1</v>
      </c>
      <c r="CI353" s="71" cm="1">
        <f t="array" aca="1" ref="CI353" ca="1">1-INDEX('EE - Input'!$B:$V,MATCH($C353,'EE - Input'!$B:$B,0),MATCH($F$9&amp;$F$10,'EE - Input'!$B$3:$V$3,0))
*(INDEX('Vessel Configurator'!$C$30:$G$62,MATCH($D353,'Vessel Configurator'!$B$30:$B$62,0),CH$8)="Yes")
*INDEX(EE_Applicability,MATCH($D353,'Vessel Configurator'!$B$30:$B$62,0))</f>
        <v>1</v>
      </c>
    </row>
    <row r="354" spans="2:87" outlineLevel="1" x14ac:dyDescent="0.2">
      <c r="B354" s="118"/>
      <c r="C354" t="str">
        <f t="shared" si="1018"/>
        <v>Variable frequency drive-Saving</v>
      </c>
      <c r="D354" t="s">
        <v>160</v>
      </c>
      <c r="E354" s="224" t="s">
        <v>459</v>
      </c>
      <c r="F354" s="224" t="s">
        <v>458</v>
      </c>
      <c r="G354" s="71" cm="1">
        <f t="array" aca="1" ref="G354" ca="1">1-INDEX('EE - Input'!$B:$V,MATCH($C354,'EE - Input'!$B:$B,0),MATCH($F$9&amp;$F$10,'EE - Input'!$B$3:$V$3,0))
*(INDEX('Vessel Configurator'!$C$30:$G$62,MATCH($D354,'Vessel Configurator'!$B$30:$B$62,0),F$8)="Yes")
*INDEX(EE_Applicability,MATCH($D354,'Vessel Configurator'!$B$30:$B$62,0))</f>
        <v>1</v>
      </c>
      <c r="AA354" s="71" cm="1">
        <f t="array" aca="1" ref="AA354" ca="1">1-INDEX('EE - Input'!$B:$V,MATCH($C354,'EE - Input'!$B:$B,0),MATCH($F$9&amp;$F$10,'EE - Input'!$B$3:$V$3,0))
*(INDEX('Vessel Configurator'!$C$30:$G$62,MATCH($D354,'Vessel Configurator'!$B$30:$B$62,0),Z$8)="Yes")
*INDEX(EE_Applicability,MATCH($D354,'Vessel Configurator'!$B$30:$B$62,0))</f>
        <v>1</v>
      </c>
      <c r="AU354" s="71" cm="1">
        <f t="array" aca="1" ref="AU354" ca="1">1-INDEX('EE - Input'!$B:$V,MATCH($C354,'EE - Input'!$B:$B,0),MATCH($F$9&amp;$F$10,'EE - Input'!$B$3:$V$3,0))
*(INDEX('Vessel Configurator'!$C$30:$G$62,MATCH($D354,'Vessel Configurator'!$B$30:$B$62,0),AT$8)="Yes")
*INDEX(EE_Applicability,MATCH($D354,'Vessel Configurator'!$B$30:$B$62,0))</f>
        <v>1</v>
      </c>
      <c r="BO354" s="71" cm="1">
        <f t="array" aca="1" ref="BO354" ca="1">1-INDEX('EE - Input'!$B:$V,MATCH($C354,'EE - Input'!$B:$B,0),MATCH($F$9&amp;$F$10,'EE - Input'!$B$3:$V$3,0))
*(INDEX('Vessel Configurator'!$C$30:$G$62,MATCH($D354,'Vessel Configurator'!$B$30:$B$62,0),BN$8)="Yes")
*INDEX(EE_Applicability,MATCH($D354,'Vessel Configurator'!$B$30:$B$62,0))</f>
        <v>1</v>
      </c>
      <c r="CI354" s="71" cm="1">
        <f t="array" aca="1" ref="CI354" ca="1">1-INDEX('EE - Input'!$B:$V,MATCH($C354,'EE - Input'!$B:$B,0),MATCH($F$9&amp;$F$10,'EE - Input'!$B$3:$V$3,0))
*(INDEX('Vessel Configurator'!$C$30:$G$62,MATCH($D354,'Vessel Configurator'!$B$30:$B$62,0),CH$8)="Yes")
*INDEX(EE_Applicability,MATCH($D354,'Vessel Configurator'!$B$30:$B$62,0))</f>
        <v>1</v>
      </c>
    </row>
    <row r="355" spans="2:87" outlineLevel="1" x14ac:dyDescent="0.2">
      <c r="B355" s="118"/>
      <c r="C355" t="str">
        <f t="shared" si="1018"/>
        <v>Lighting systems-Saving</v>
      </c>
      <c r="D355" t="s">
        <v>161</v>
      </c>
      <c r="E355" s="224" t="s">
        <v>459</v>
      </c>
      <c r="F355" s="224" t="s">
        <v>458</v>
      </c>
      <c r="G355" s="71" cm="1">
        <f t="array" aca="1" ref="G355" ca="1">1-INDEX('EE - Input'!$B:$V,MATCH($C355,'EE - Input'!$B:$B,0),MATCH($F$9&amp;$F$10,'EE - Input'!$B$3:$V$3,0))
*(INDEX('Vessel Configurator'!$C$30:$G$62,MATCH($D355,'Vessel Configurator'!$B$30:$B$62,0),F$8)="Yes")
*INDEX(EE_Applicability,MATCH($D355,'Vessel Configurator'!$B$30:$B$62,0))</f>
        <v>1</v>
      </c>
      <c r="AA355" s="71" cm="1">
        <f t="array" aca="1" ref="AA355" ca="1">1-INDEX('EE - Input'!$B:$V,MATCH($C355,'EE - Input'!$B:$B,0),MATCH($F$9&amp;$F$10,'EE - Input'!$B$3:$V$3,0))
*(INDEX('Vessel Configurator'!$C$30:$G$62,MATCH($D355,'Vessel Configurator'!$B$30:$B$62,0),Z$8)="Yes")
*INDEX(EE_Applicability,MATCH($D355,'Vessel Configurator'!$B$30:$B$62,0))</f>
        <v>1</v>
      </c>
      <c r="AU355" s="71" cm="1">
        <f t="array" aca="1" ref="AU355" ca="1">1-INDEX('EE - Input'!$B:$V,MATCH($C355,'EE - Input'!$B:$B,0),MATCH($F$9&amp;$F$10,'EE - Input'!$B$3:$V$3,0))
*(INDEX('Vessel Configurator'!$C$30:$G$62,MATCH($D355,'Vessel Configurator'!$B$30:$B$62,0),AT$8)="Yes")
*INDEX(EE_Applicability,MATCH($D355,'Vessel Configurator'!$B$30:$B$62,0))</f>
        <v>1</v>
      </c>
      <c r="BO355" s="71" cm="1">
        <f t="array" aca="1" ref="BO355" ca="1">1-INDEX('EE - Input'!$B:$V,MATCH($C355,'EE - Input'!$B:$B,0),MATCH($F$9&amp;$F$10,'EE - Input'!$B$3:$V$3,0))
*(INDEX('Vessel Configurator'!$C$30:$G$62,MATCH($D355,'Vessel Configurator'!$B$30:$B$62,0),BN$8)="Yes")
*INDEX(EE_Applicability,MATCH($D355,'Vessel Configurator'!$B$30:$B$62,0))</f>
        <v>1</v>
      </c>
      <c r="CI355" s="71" cm="1">
        <f t="array" aca="1" ref="CI355" ca="1">1-INDEX('EE - Input'!$B:$V,MATCH($C355,'EE - Input'!$B:$B,0),MATCH($F$9&amp;$F$10,'EE - Input'!$B$3:$V$3,0))
*(INDEX('Vessel Configurator'!$C$30:$G$62,MATCH($D355,'Vessel Configurator'!$B$30:$B$62,0),CH$8)="Yes")
*INDEX(EE_Applicability,MATCH($D355,'Vessel Configurator'!$B$30:$B$62,0))</f>
        <v>1</v>
      </c>
    </row>
    <row r="356" spans="2:87" outlineLevel="1" x14ac:dyDescent="0.2">
      <c r="B356" s="118"/>
      <c r="C356" t="str">
        <f t="shared" si="1018"/>
        <v>A/C and heating systems-Saving</v>
      </c>
      <c r="D356" t="s">
        <v>162</v>
      </c>
      <c r="E356" s="224" t="s">
        <v>459</v>
      </c>
      <c r="F356" s="224" t="s">
        <v>458</v>
      </c>
      <c r="G356" s="71" cm="1">
        <f t="array" aca="1" ref="G356" ca="1">1-INDEX('EE - Input'!$B:$V,MATCH($C356,'EE - Input'!$B:$B,0),MATCH($F$9&amp;$F$10,'EE - Input'!$B$3:$V$3,0))
*(INDEX('Vessel Configurator'!$C$30:$G$62,MATCH($D356,'Vessel Configurator'!$B$30:$B$62,0),F$8)="Yes")
*INDEX(EE_Applicability,MATCH($D356,'Vessel Configurator'!$B$30:$B$62,0))</f>
        <v>1</v>
      </c>
      <c r="AA356" s="71" cm="1">
        <f t="array" aca="1" ref="AA356" ca="1">1-INDEX('EE - Input'!$B:$V,MATCH($C356,'EE - Input'!$B:$B,0),MATCH($F$9&amp;$F$10,'EE - Input'!$B$3:$V$3,0))
*(INDEX('Vessel Configurator'!$C$30:$G$62,MATCH($D356,'Vessel Configurator'!$B$30:$B$62,0),Z$8)="Yes")
*INDEX(EE_Applicability,MATCH($D356,'Vessel Configurator'!$B$30:$B$62,0))</f>
        <v>1</v>
      </c>
      <c r="AU356" s="71" cm="1">
        <f t="array" aca="1" ref="AU356" ca="1">1-INDEX('EE - Input'!$B:$V,MATCH($C356,'EE - Input'!$B:$B,0),MATCH($F$9&amp;$F$10,'EE - Input'!$B$3:$V$3,0))
*(INDEX('Vessel Configurator'!$C$30:$G$62,MATCH($D356,'Vessel Configurator'!$B$30:$B$62,0),AT$8)="Yes")
*INDEX(EE_Applicability,MATCH($D356,'Vessel Configurator'!$B$30:$B$62,0))</f>
        <v>1</v>
      </c>
      <c r="BO356" s="71" cm="1">
        <f t="array" aca="1" ref="BO356" ca="1">1-INDEX('EE - Input'!$B:$V,MATCH($C356,'EE - Input'!$B:$B,0),MATCH($F$9&amp;$F$10,'EE - Input'!$B$3:$V$3,0))
*(INDEX('Vessel Configurator'!$C$30:$G$62,MATCH($D356,'Vessel Configurator'!$B$30:$B$62,0),BN$8)="Yes")
*INDEX(EE_Applicability,MATCH($D356,'Vessel Configurator'!$B$30:$B$62,0))</f>
        <v>1</v>
      </c>
      <c r="CI356" s="71" cm="1">
        <f t="array" aca="1" ref="CI356" ca="1">1-INDEX('EE - Input'!$B:$V,MATCH($C356,'EE - Input'!$B:$B,0),MATCH($F$9&amp;$F$10,'EE - Input'!$B$3:$V$3,0))
*(INDEX('Vessel Configurator'!$C$30:$G$62,MATCH($D356,'Vessel Configurator'!$B$30:$B$62,0),CH$8)="Yes")
*INDEX(EE_Applicability,MATCH($D356,'Vessel Configurator'!$B$30:$B$62,0))</f>
        <v>1</v>
      </c>
    </row>
    <row r="357" spans="2:87" outlineLevel="1" x14ac:dyDescent="0.2">
      <c r="B357" s="118"/>
      <c r="C357" t="str">
        <f t="shared" si="1018"/>
        <v>Maneuvering equipment (e.g. Thrusters)-Saving</v>
      </c>
      <c r="D357" t="s">
        <v>454</v>
      </c>
      <c r="E357" s="224" t="s">
        <v>459</v>
      </c>
      <c r="F357" s="224" t="s">
        <v>458</v>
      </c>
      <c r="G357" s="71" cm="1">
        <f t="array" aca="1" ref="G357" ca="1">1-INDEX('EE - Input'!$B:$V,MATCH($C357,'EE - Input'!$B:$B,0),MATCH($F$9&amp;$F$10,'EE - Input'!$B$3:$V$3,0))
*(INDEX('Vessel Configurator'!$C$30:$G$62,MATCH($D357,'Vessel Configurator'!$B$30:$B$62,0),F$8)="Yes")
*INDEX(EE_Applicability,MATCH($D357,'Vessel Configurator'!$B$30:$B$62,0))</f>
        <v>1</v>
      </c>
      <c r="AA357" s="71" cm="1">
        <f t="array" aca="1" ref="AA357" ca="1">1-INDEX('EE - Input'!$B:$V,MATCH($C357,'EE - Input'!$B:$B,0),MATCH($F$9&amp;$F$10,'EE - Input'!$B$3:$V$3,0))
*(INDEX('Vessel Configurator'!$C$30:$G$62,MATCH($D357,'Vessel Configurator'!$B$30:$B$62,0),Z$8)="Yes")
*INDEX(EE_Applicability,MATCH($D357,'Vessel Configurator'!$B$30:$B$62,0))</f>
        <v>1</v>
      </c>
      <c r="AU357" s="71" cm="1">
        <f t="array" aca="1" ref="AU357" ca="1">1-INDEX('EE - Input'!$B:$V,MATCH($C357,'EE - Input'!$B:$B,0),MATCH($F$9&amp;$F$10,'EE - Input'!$B$3:$V$3,0))
*(INDEX('Vessel Configurator'!$C$30:$G$62,MATCH($D357,'Vessel Configurator'!$B$30:$B$62,0),AT$8)="Yes")
*INDEX(EE_Applicability,MATCH($D357,'Vessel Configurator'!$B$30:$B$62,0))</f>
        <v>1</v>
      </c>
      <c r="BO357" s="71" cm="1">
        <f t="array" aca="1" ref="BO357" ca="1">1-INDEX('EE - Input'!$B:$V,MATCH($C357,'EE - Input'!$B:$B,0),MATCH($F$9&amp;$F$10,'EE - Input'!$B$3:$V$3,0))
*(INDEX('Vessel Configurator'!$C$30:$G$62,MATCH($D357,'Vessel Configurator'!$B$30:$B$62,0),BN$8)="Yes")
*INDEX(EE_Applicability,MATCH($D357,'Vessel Configurator'!$B$30:$B$62,0))</f>
        <v>1</v>
      </c>
      <c r="CI357" s="71" cm="1">
        <f t="array" aca="1" ref="CI357" ca="1">1-INDEX('EE - Input'!$B:$V,MATCH($C357,'EE - Input'!$B:$B,0),MATCH($F$9&amp;$F$10,'EE - Input'!$B$3:$V$3,0))
*(INDEX('Vessel Configurator'!$C$30:$G$62,MATCH($D357,'Vessel Configurator'!$B$30:$B$62,0),CH$8)="Yes")
*INDEX(EE_Applicability,MATCH($D357,'Vessel Configurator'!$B$30:$B$62,0))</f>
        <v>1</v>
      </c>
    </row>
    <row r="358" spans="2:87" outlineLevel="1" x14ac:dyDescent="0.2">
      <c r="B358" s="118"/>
      <c r="C358" t="str">
        <f t="shared" si="1018"/>
        <v>AE Hybridization-Saving</v>
      </c>
      <c r="D358" t="s">
        <v>164</v>
      </c>
      <c r="E358" s="224" t="s">
        <v>459</v>
      </c>
      <c r="F358" s="224" t="s">
        <v>458</v>
      </c>
      <c r="G358" s="71" cm="1">
        <f t="array" aca="1" ref="G358" ca="1">1-INDEX('EE - Input'!$B:$V,MATCH($C358,'EE - Input'!$B:$B,0),MATCH($F$9&amp;$F$10,'EE - Input'!$B$3:$V$3,0))
*(INDEX('Vessel Configurator'!$C$30:$G$62,MATCH($D358,'Vessel Configurator'!$B$30:$B$62,0),F$8)="Yes")
*INDEX(EE_Applicability,MATCH($D358,'Vessel Configurator'!$B$30:$B$62,0))</f>
        <v>1</v>
      </c>
      <c r="AA358" s="71" cm="1">
        <f t="array" aca="1" ref="AA358" ca="1">1-INDEX('EE - Input'!$B:$V,MATCH($C358,'EE - Input'!$B:$B,0),MATCH($F$9&amp;$F$10,'EE - Input'!$B$3:$V$3,0))
*(INDEX('Vessel Configurator'!$C$30:$G$62,MATCH($D358,'Vessel Configurator'!$B$30:$B$62,0),Z$8)="Yes")
*INDEX(EE_Applicability,MATCH($D358,'Vessel Configurator'!$B$30:$B$62,0))</f>
        <v>1</v>
      </c>
      <c r="AU358" s="71" cm="1">
        <f t="array" aca="1" ref="AU358" ca="1">1-INDEX('EE - Input'!$B:$V,MATCH($C358,'EE - Input'!$B:$B,0),MATCH($F$9&amp;$F$10,'EE - Input'!$B$3:$V$3,0))
*(INDEX('Vessel Configurator'!$C$30:$G$62,MATCH($D358,'Vessel Configurator'!$B$30:$B$62,0),AT$8)="Yes")
*INDEX(EE_Applicability,MATCH($D358,'Vessel Configurator'!$B$30:$B$62,0))</f>
        <v>1</v>
      </c>
      <c r="BO358" s="71" cm="1">
        <f t="array" aca="1" ref="BO358" ca="1">1-INDEX('EE - Input'!$B:$V,MATCH($C358,'EE - Input'!$B:$B,0),MATCH($F$9&amp;$F$10,'EE - Input'!$B$3:$V$3,0))
*(INDEX('Vessel Configurator'!$C$30:$G$62,MATCH($D358,'Vessel Configurator'!$B$30:$B$62,0),BN$8)="Yes")
*INDEX(EE_Applicability,MATCH($D358,'Vessel Configurator'!$B$30:$B$62,0))</f>
        <v>1</v>
      </c>
      <c r="CI358" s="71" cm="1">
        <f t="array" aca="1" ref="CI358" ca="1">1-INDEX('EE - Input'!$B:$V,MATCH($C358,'EE - Input'!$B:$B,0),MATCH($F$9&amp;$F$10,'EE - Input'!$B$3:$V$3,0))
*(INDEX('Vessel Configurator'!$C$30:$G$62,MATCH($D358,'Vessel Configurator'!$B$30:$B$62,0),CH$8)="Yes")
*INDEX(EE_Applicability,MATCH($D358,'Vessel Configurator'!$B$30:$B$62,0))</f>
        <v>1</v>
      </c>
    </row>
    <row r="359" spans="2:87" outlineLevel="1" x14ac:dyDescent="0.2">
      <c r="B359" s="118"/>
      <c r="C359" t="str">
        <f t="shared" si="1018"/>
        <v>Load optimization-Saving</v>
      </c>
      <c r="D359" t="s">
        <v>165</v>
      </c>
      <c r="E359" s="224" t="s">
        <v>459</v>
      </c>
      <c r="F359" s="224" t="s">
        <v>458</v>
      </c>
      <c r="G359" s="71" cm="1">
        <f t="array" aca="1" ref="G359" ca="1">1-INDEX('EE - Input'!$B:$V,MATCH($C359,'EE - Input'!$B:$B,0),MATCH($F$9&amp;$F$10,'EE - Input'!$B$3:$V$3,0))
*(INDEX('Vessel Configurator'!$C$30:$G$62,MATCH($D359,'Vessel Configurator'!$B$30:$B$62,0),F$8)="Yes")
*INDEX(EE_Applicability,MATCH($D359,'Vessel Configurator'!$B$30:$B$62,0))</f>
        <v>1</v>
      </c>
      <c r="AA359" s="71" cm="1">
        <f t="array" aca="1" ref="AA359" ca="1">1-INDEX('EE - Input'!$B:$V,MATCH($C359,'EE - Input'!$B:$B,0),MATCH($F$9&amp;$F$10,'EE - Input'!$B$3:$V$3,0))
*(INDEX('Vessel Configurator'!$C$30:$G$62,MATCH($D359,'Vessel Configurator'!$B$30:$B$62,0),Z$8)="Yes")
*INDEX(EE_Applicability,MATCH($D359,'Vessel Configurator'!$B$30:$B$62,0))</f>
        <v>1</v>
      </c>
      <c r="AU359" s="71" cm="1">
        <f t="array" aca="1" ref="AU359" ca="1">1-INDEX('EE - Input'!$B:$V,MATCH($C359,'EE - Input'!$B:$B,0),MATCH($F$9&amp;$F$10,'EE - Input'!$B$3:$V$3,0))
*(INDEX('Vessel Configurator'!$C$30:$G$62,MATCH($D359,'Vessel Configurator'!$B$30:$B$62,0),AT$8)="Yes")
*INDEX(EE_Applicability,MATCH($D359,'Vessel Configurator'!$B$30:$B$62,0))</f>
        <v>1</v>
      </c>
      <c r="BO359" s="71" cm="1">
        <f t="array" aca="1" ref="BO359" ca="1">1-INDEX('EE - Input'!$B:$V,MATCH($C359,'EE - Input'!$B:$B,0),MATCH($F$9&amp;$F$10,'EE - Input'!$B$3:$V$3,0))
*(INDEX('Vessel Configurator'!$C$30:$G$62,MATCH($D359,'Vessel Configurator'!$B$30:$B$62,0),BN$8)="Yes")
*INDEX(EE_Applicability,MATCH($D359,'Vessel Configurator'!$B$30:$B$62,0))</f>
        <v>1</v>
      </c>
      <c r="CI359" s="71" cm="1">
        <f t="array" aca="1" ref="CI359" ca="1">1-INDEX('EE - Input'!$B:$V,MATCH($C359,'EE - Input'!$B:$B,0),MATCH($F$9&amp;$F$10,'EE - Input'!$B$3:$V$3,0))
*(INDEX('Vessel Configurator'!$C$30:$G$62,MATCH($D359,'Vessel Configurator'!$B$30:$B$62,0),CH$8)="Yes")
*INDEX(EE_Applicability,MATCH($D359,'Vessel Configurator'!$B$30:$B$62,0))</f>
        <v>1</v>
      </c>
    </row>
    <row r="360" spans="2:87" outlineLevel="1" x14ac:dyDescent="0.2">
      <c r="B360" s="118"/>
      <c r="F360"/>
    </row>
    <row r="361" spans="2:87" outlineLevel="1" x14ac:dyDescent="0.2">
      <c r="B361" s="118"/>
      <c r="C361" t="str">
        <f t="shared" si="1018"/>
        <v>EE Boiler system-Saving</v>
      </c>
      <c r="D361" s="266" t="s">
        <v>455</v>
      </c>
      <c r="E361" s="266" t="s">
        <v>457</v>
      </c>
      <c r="F361" s="224" t="s">
        <v>458</v>
      </c>
      <c r="G361" s="325">
        <f ca="1">IFERROR(1-PRODUCT(G362:G364),0)</f>
        <v>0</v>
      </c>
      <c r="AA361" s="325">
        <f ca="1">IFERROR(1-PRODUCT(AA362:AA364),0)</f>
        <v>0</v>
      </c>
      <c r="AU361" s="325">
        <f ca="1">IFERROR(1-PRODUCT(AU362:AU364),0)</f>
        <v>0</v>
      </c>
      <c r="BO361" s="325">
        <f ca="1">IFERROR(1-PRODUCT(BO362:BO364),0)</f>
        <v>0</v>
      </c>
      <c r="CI361" s="325">
        <f ca="1">IFERROR(1-PRODUCT(CI362:CI364),0)</f>
        <v>0</v>
      </c>
    </row>
    <row r="362" spans="2:87" outlineLevel="1" x14ac:dyDescent="0.2">
      <c r="B362" s="118"/>
      <c r="C362" t="str">
        <f t="shared" si="1018"/>
        <v>Steam system efficiency-Saving</v>
      </c>
      <c r="D362" t="s">
        <v>166</v>
      </c>
      <c r="E362" s="224" t="s">
        <v>459</v>
      </c>
      <c r="F362" s="224" t="s">
        <v>458</v>
      </c>
      <c r="G362" s="71" cm="1">
        <f t="array" aca="1" ref="G362" ca="1">1-INDEX('EE - Input'!$B:$V,MATCH($C362,'EE - Input'!$B:$B,0),MATCH($F$9&amp;$F$10,'EE - Input'!$B$3:$V$3,0))
*(INDEX('Vessel Configurator'!$C$30:$G$62,MATCH($D362,'Vessel Configurator'!$B$30:$B$62,0),F$8)="Yes")
*INDEX(EE_Applicability,MATCH($D362,'Vessel Configurator'!$B$30:$B$62,0))</f>
        <v>1</v>
      </c>
      <c r="AA362" s="71" cm="1">
        <f t="array" aca="1" ref="AA362" ca="1">1-INDEX('EE - Input'!$B:$V,MATCH($C362,'EE - Input'!$B:$B,0),MATCH($F$9&amp;$F$10,'EE - Input'!$B$3:$V$3,0))
*(INDEX('Vessel Configurator'!$C$30:$G$62,MATCH($D362,'Vessel Configurator'!$B$30:$B$62,0),Z$8)="Yes")
*INDEX(EE_Applicability,MATCH($D362,'Vessel Configurator'!$B$30:$B$62,0))</f>
        <v>1</v>
      </c>
      <c r="AU362" s="71" cm="1">
        <f t="array" aca="1" ref="AU362" ca="1">1-INDEX('EE - Input'!$B:$V,MATCH($C362,'EE - Input'!$B:$B,0),MATCH($F$9&amp;$F$10,'EE - Input'!$B$3:$V$3,0))
*(INDEX('Vessel Configurator'!$C$30:$G$62,MATCH($D362,'Vessel Configurator'!$B$30:$B$62,0),AT$8)="Yes")
*INDEX(EE_Applicability,MATCH($D362,'Vessel Configurator'!$B$30:$B$62,0))</f>
        <v>1</v>
      </c>
      <c r="BO362" s="71" cm="1">
        <f t="array" aca="1" ref="BO362" ca="1">1-INDEX('EE - Input'!$B:$V,MATCH($C362,'EE - Input'!$B:$B,0),MATCH($F$9&amp;$F$10,'EE - Input'!$B$3:$V$3,0))
*(INDEX('Vessel Configurator'!$C$30:$G$62,MATCH($D362,'Vessel Configurator'!$B$30:$B$62,0),BN$8)="Yes")
*INDEX(EE_Applicability,MATCH($D362,'Vessel Configurator'!$B$30:$B$62,0))</f>
        <v>1</v>
      </c>
      <c r="CI362" s="71" cm="1">
        <f t="array" aca="1" ref="CI362" ca="1">1-INDEX('EE - Input'!$B:$V,MATCH($C362,'EE - Input'!$B:$B,0),MATCH($F$9&amp;$F$10,'EE - Input'!$B$3:$V$3,0))
*(INDEX('Vessel Configurator'!$C$30:$G$62,MATCH($D362,'Vessel Configurator'!$B$30:$B$62,0),CH$8)="Yes")
*INDEX(EE_Applicability,MATCH($D362,'Vessel Configurator'!$B$30:$B$62,0))</f>
        <v>1</v>
      </c>
    </row>
    <row r="363" spans="2:87" outlineLevel="1" x14ac:dyDescent="0.2">
      <c r="B363" s="118"/>
      <c r="C363" t="str">
        <f t="shared" si="1018"/>
        <v>Cargo systems (e.g. Cargo pumps)-Saving</v>
      </c>
      <c r="D363" t="s">
        <v>167</v>
      </c>
      <c r="E363" s="224" t="s">
        <v>459</v>
      </c>
      <c r="F363" s="224" t="s">
        <v>458</v>
      </c>
      <c r="G363" s="71" cm="1">
        <f t="array" aca="1" ref="G363" ca="1">1-INDEX('EE - Input'!$B:$V,MATCH($C363,'EE - Input'!$B:$B,0),MATCH($F$9&amp;$F$10,'EE - Input'!$B$3:$V$3,0))
*(INDEX('Vessel Configurator'!$C$30:$G$62,MATCH($D363,'Vessel Configurator'!$B$30:$B$62,0),F$8)="Yes")
*INDEX(EE_Applicability,MATCH($D363,'Vessel Configurator'!$B$30:$B$62,0))</f>
        <v>1</v>
      </c>
      <c r="AA363" s="71" cm="1">
        <f t="array" aca="1" ref="AA363" ca="1">1-INDEX('EE - Input'!$B:$V,MATCH($C363,'EE - Input'!$B:$B,0),MATCH($F$9&amp;$F$10,'EE - Input'!$B$3:$V$3,0))
*(INDEX('Vessel Configurator'!$C$30:$G$62,MATCH($D363,'Vessel Configurator'!$B$30:$B$62,0),Z$8)="Yes")
*INDEX(EE_Applicability,MATCH($D363,'Vessel Configurator'!$B$30:$B$62,0))</f>
        <v>1</v>
      </c>
      <c r="AU363" s="71" cm="1">
        <f t="array" aca="1" ref="AU363" ca="1">1-INDEX('EE - Input'!$B:$V,MATCH($C363,'EE - Input'!$B:$B,0),MATCH($F$9&amp;$F$10,'EE - Input'!$B$3:$V$3,0))
*(INDEX('Vessel Configurator'!$C$30:$G$62,MATCH($D363,'Vessel Configurator'!$B$30:$B$62,0),AT$8)="Yes")
*INDEX(EE_Applicability,MATCH($D363,'Vessel Configurator'!$B$30:$B$62,0))</f>
        <v>1</v>
      </c>
      <c r="BO363" s="71" cm="1">
        <f t="array" aca="1" ref="BO363" ca="1">1-INDEX('EE - Input'!$B:$V,MATCH($C363,'EE - Input'!$B:$B,0),MATCH($F$9&amp;$F$10,'EE - Input'!$B$3:$V$3,0))
*(INDEX('Vessel Configurator'!$C$30:$G$62,MATCH($D363,'Vessel Configurator'!$B$30:$B$62,0),BN$8)="Yes")
*INDEX(EE_Applicability,MATCH($D363,'Vessel Configurator'!$B$30:$B$62,0))</f>
        <v>1</v>
      </c>
      <c r="CI363" s="71" cm="1">
        <f t="array" aca="1" ref="CI363" ca="1">1-INDEX('EE - Input'!$B:$V,MATCH($C363,'EE - Input'!$B:$B,0),MATCH($F$9&amp;$F$10,'EE - Input'!$B$3:$V$3,0))
*(INDEX('Vessel Configurator'!$C$30:$G$62,MATCH($D363,'Vessel Configurator'!$B$30:$B$62,0),CH$8)="Yes")
*INDEX(EE_Applicability,MATCH($D363,'Vessel Configurator'!$B$30:$B$62,0))</f>
        <v>1</v>
      </c>
    </row>
    <row r="364" spans="2:87" outlineLevel="1" x14ac:dyDescent="0.2">
      <c r="B364" s="118"/>
      <c r="C364" t="str">
        <f t="shared" si="1018"/>
        <v>Exhaust gas boiler on AE-Saving</v>
      </c>
      <c r="D364" t="s">
        <v>168</v>
      </c>
      <c r="E364" s="224" t="s">
        <v>459</v>
      </c>
      <c r="F364" s="224" t="s">
        <v>458</v>
      </c>
      <c r="G364" s="71" cm="1">
        <f t="array" aca="1" ref="G364" ca="1">1-INDEX('EE - Input'!$B:$V,MATCH($C364,'EE - Input'!$B:$B,0),MATCH($F$9&amp;$F$10,'EE - Input'!$B$3:$V$3,0))
*(INDEX('Vessel Configurator'!$C$30:$G$62,MATCH($D364,'Vessel Configurator'!$B$30:$B$62,0),F$8)="Yes")
*INDEX(EE_Applicability,MATCH($D364,'Vessel Configurator'!$B$30:$B$62,0))</f>
        <v>1</v>
      </c>
      <c r="AA364" s="71" cm="1">
        <f t="array" aca="1" ref="AA364" ca="1">1-INDEX('EE - Input'!$B:$V,MATCH($C364,'EE - Input'!$B:$B,0),MATCH($F$9&amp;$F$10,'EE - Input'!$B$3:$V$3,0))
*(INDEX('Vessel Configurator'!$C$30:$G$62,MATCH($D364,'Vessel Configurator'!$B$30:$B$62,0),Z$8)="Yes")
*INDEX(EE_Applicability,MATCH($D364,'Vessel Configurator'!$B$30:$B$62,0))</f>
        <v>1</v>
      </c>
      <c r="AU364" s="71" cm="1">
        <f t="array" aca="1" ref="AU364" ca="1">1-INDEX('EE - Input'!$B:$V,MATCH($C364,'EE - Input'!$B:$B,0),MATCH($F$9&amp;$F$10,'EE - Input'!$B$3:$V$3,0))
*(INDEX('Vessel Configurator'!$C$30:$G$62,MATCH($D364,'Vessel Configurator'!$B$30:$B$62,0),AT$8)="Yes")
*INDEX(EE_Applicability,MATCH($D364,'Vessel Configurator'!$B$30:$B$62,0))</f>
        <v>1</v>
      </c>
      <c r="BO364" s="71" cm="1">
        <f t="array" aca="1" ref="BO364" ca="1">1-INDEX('EE - Input'!$B:$V,MATCH($C364,'EE - Input'!$B:$B,0),MATCH($F$9&amp;$F$10,'EE - Input'!$B$3:$V$3,0))
*(INDEX('Vessel Configurator'!$C$30:$G$62,MATCH($D364,'Vessel Configurator'!$B$30:$B$62,0),BN$8)="Yes")
*INDEX(EE_Applicability,MATCH($D364,'Vessel Configurator'!$B$30:$B$62,0))</f>
        <v>1</v>
      </c>
      <c r="CI364" s="71" cm="1">
        <f t="array" aca="1" ref="CI364" ca="1">1-INDEX('EE - Input'!$B:$V,MATCH($C364,'EE - Input'!$B:$B,0),MATCH($F$9&amp;$F$10,'EE - Input'!$B$3:$V$3,0))
*(INDEX('Vessel Configurator'!$C$30:$G$62,MATCH($D364,'Vessel Configurator'!$B$30:$B$62,0),CH$8)="Yes")
*INDEX(EE_Applicability,MATCH($D364,'Vessel Configurator'!$B$30:$B$62,0))</f>
        <v>1</v>
      </c>
    </row>
    <row r="365" spans="2:87" outlineLevel="1" x14ac:dyDescent="0.2">
      <c r="B365" s="118"/>
      <c r="D365" s="12"/>
      <c r="G365" s="18"/>
      <c r="AA365" s="18"/>
      <c r="AU365" s="18"/>
      <c r="BO365" s="18"/>
      <c r="CI365" s="18"/>
    </row>
    <row r="366" spans="2:87" outlineLevel="1" x14ac:dyDescent="0.2">
      <c r="B366" s="118"/>
      <c r="D366" s="16"/>
      <c r="G366" s="65"/>
      <c r="AA366" s="65"/>
      <c r="AU366" s="65"/>
      <c r="BO366" s="65"/>
      <c r="CI366" s="65"/>
    </row>
    <row r="367" spans="2:87" outlineLevel="1" x14ac:dyDescent="0.2">
      <c r="C367" s="322" t="s">
        <v>460</v>
      </c>
      <c r="D367" s="322" t="s">
        <v>461</v>
      </c>
      <c r="E367" s="322" t="s">
        <v>211</v>
      </c>
      <c r="F367" s="321"/>
      <c r="G367" s="264"/>
      <c r="AA367" s="264"/>
      <c r="AU367" s="264"/>
      <c r="BO367" s="264"/>
      <c r="CI367" s="264"/>
    </row>
    <row r="368" spans="2:87" outlineLevel="1" x14ac:dyDescent="0.2">
      <c r="B368" s="224"/>
      <c r="C368" t="str">
        <f>D368&amp;"-"&amp;F368</f>
        <v>EE ME system-OPEX</v>
      </c>
      <c r="D368" s="266" t="s">
        <v>451</v>
      </c>
      <c r="E368" s="266" t="s">
        <v>211</v>
      </c>
      <c r="F368" s="224" t="s">
        <v>319</v>
      </c>
      <c r="G368" s="324">
        <f ca="1">IFERROR(SUM(G369:G388),0)</f>
        <v>0</v>
      </c>
      <c r="AA368" s="324">
        <f ca="1">IFERROR(SUM(AA369:AA388),0)</f>
        <v>0</v>
      </c>
      <c r="AU368" s="324">
        <f ca="1">IFERROR(SUM(AU369:AU388),0)</f>
        <v>0</v>
      </c>
      <c r="BO368" s="324">
        <f ca="1">IFERROR(SUM(BO369:BO388),0)</f>
        <v>0</v>
      </c>
      <c r="CI368" s="324">
        <f ca="1">IFERROR(SUM(CI369:CI388),0)</f>
        <v>0</v>
      </c>
    </row>
    <row r="369" spans="2:87" outlineLevel="1" x14ac:dyDescent="0.2">
      <c r="B369" s="118"/>
      <c r="C369" t="str">
        <f>D369&amp;"-"&amp;F369</f>
        <v>Speed management-OPEX</v>
      </c>
      <c r="D369" t="s">
        <v>134</v>
      </c>
      <c r="E369" s="224" t="s">
        <v>211</v>
      </c>
      <c r="F369" s="224" t="s">
        <v>319</v>
      </c>
      <c r="G369" s="118" cm="1">
        <f t="array" aca="1" ref="G369" ca="1">INDEX('EE - Input'!$B:$V,MATCH($C369,'EE - Input'!$B:$B,0),MATCH($F$9&amp;$F$10,'EE - Input'!$B$3:$V$3,0))
*(INDEX('Vessel Configurator'!$C$30:$G$62,MATCH($D369,'Vessel Configurator'!$B$30:$B$62,0),F$8)="Yes")
*INDEX(EE_Applicability,MATCH($D369,'Vessel Configurator'!$B$30:$B$62,0))</f>
        <v>0</v>
      </c>
      <c r="AA369" s="118" cm="1">
        <f t="array" aca="1" ref="AA369" ca="1">INDEX('EE - Input'!$B:$V,MATCH($C369,'EE - Input'!$B:$B,0),MATCH($F$9&amp;$F$10,'EE - Input'!$B$3:$V$3,0))
*(INDEX('Vessel Configurator'!$C$30:$G$62,MATCH($D369,'Vessel Configurator'!$B$30:$B$62,0),Z$8)="Yes")
*INDEX(EE_Applicability,MATCH($D369,'Vessel Configurator'!$B$30:$B$62,0))</f>
        <v>0</v>
      </c>
      <c r="AU369" s="118" cm="1">
        <f t="array" aca="1" ref="AU369" ca="1">INDEX('EE - Input'!$B:$V,MATCH($C369,'EE - Input'!$B:$B,0),MATCH($F$9&amp;$F$10,'EE - Input'!$B$3:$V$3,0))
*(INDEX('Vessel Configurator'!$C$30:$G$62,MATCH($D369,'Vessel Configurator'!$B$30:$B$62,0),AT$8)="Yes")
*INDEX(EE_Applicability,MATCH($D369,'Vessel Configurator'!$B$30:$B$62,0))</f>
        <v>0</v>
      </c>
      <c r="BO369" s="118" cm="1">
        <f t="array" aca="1" ref="BO369" ca="1">INDEX('EE - Input'!$B:$V,MATCH($C369,'EE - Input'!$B:$B,0),MATCH($F$9&amp;$F$10,'EE - Input'!$B$3:$V$3,0))
*(INDEX('Vessel Configurator'!$C$30:$G$62,MATCH($D369,'Vessel Configurator'!$B$30:$B$62,0),BN$8)="Yes")
*INDEX(EE_Applicability,MATCH($D369,'Vessel Configurator'!$B$30:$B$62,0))</f>
        <v>0</v>
      </c>
      <c r="CI369" s="118" cm="1">
        <f t="array" aca="1" ref="CI369" ca="1">INDEX('EE - Input'!$B:$V,MATCH($C369,'EE - Input'!$B:$B,0),MATCH($F$9&amp;$F$10,'EE - Input'!$B$3:$V$3,0))
*(INDEX('Vessel Configurator'!$C$30:$G$62,MATCH($D369,'Vessel Configurator'!$B$30:$B$62,0),CH$8)="Yes")
*INDEX(EE_Applicability,MATCH($D369,'Vessel Configurator'!$B$30:$B$62,0))</f>
        <v>0</v>
      </c>
    </row>
    <row r="370" spans="2:87" outlineLevel="1" x14ac:dyDescent="0.2">
      <c r="B370" s="118"/>
      <c r="C370" t="str">
        <f t="shared" ref="C370:C405" si="1019">D370&amp;"-"&amp;F370</f>
        <v>Weather routing-OPEX</v>
      </c>
      <c r="D370" t="s">
        <v>136</v>
      </c>
      <c r="E370" s="224" t="s">
        <v>211</v>
      </c>
      <c r="F370" s="224" t="s">
        <v>319</v>
      </c>
      <c r="G370" s="118" cm="1">
        <f t="array" aca="1" ref="G370" ca="1">INDEX('EE - Input'!$B:$V,MATCH($C370,'EE - Input'!$B:$B,0),MATCH($F$9&amp;$F$10,'EE - Input'!$B$3:$V$3,0))
*(INDEX('Vessel Configurator'!$C$30:$G$62,MATCH($D370,'Vessel Configurator'!$B$30:$B$62,0),F$8)="Yes")
*INDEX(EE_Applicability,MATCH($D370,'Vessel Configurator'!$B$30:$B$62,0))</f>
        <v>0</v>
      </c>
      <c r="AA370" s="118" cm="1">
        <f t="array" aca="1" ref="AA370" ca="1">INDEX('EE - Input'!$B:$V,MATCH($C370,'EE - Input'!$B:$B,0),MATCH($F$9&amp;$F$10,'EE - Input'!$B$3:$V$3,0))
*(INDEX('Vessel Configurator'!$C$30:$G$62,MATCH($D370,'Vessel Configurator'!$B$30:$B$62,0),Z$8)="Yes")
*INDEX(EE_Applicability,MATCH($D370,'Vessel Configurator'!$B$30:$B$62,0))</f>
        <v>0</v>
      </c>
      <c r="AU370" s="118" cm="1">
        <f t="array" aca="1" ref="AU370" ca="1">INDEX('EE - Input'!$B:$V,MATCH($C370,'EE - Input'!$B:$B,0),MATCH($F$9&amp;$F$10,'EE - Input'!$B$3:$V$3,0))
*(INDEX('Vessel Configurator'!$C$30:$G$62,MATCH($D370,'Vessel Configurator'!$B$30:$B$62,0),AT$8)="Yes")
*INDEX(EE_Applicability,MATCH($D370,'Vessel Configurator'!$B$30:$B$62,0))</f>
        <v>0</v>
      </c>
      <c r="BO370" s="118" cm="1">
        <f t="array" aca="1" ref="BO370" ca="1">INDEX('EE - Input'!$B:$V,MATCH($C370,'EE - Input'!$B:$B,0),MATCH($F$9&amp;$F$10,'EE - Input'!$B$3:$V$3,0))
*(INDEX('Vessel Configurator'!$C$30:$G$62,MATCH($D370,'Vessel Configurator'!$B$30:$B$62,0),BN$8)="Yes")
*INDEX(EE_Applicability,MATCH($D370,'Vessel Configurator'!$B$30:$B$62,0))</f>
        <v>0</v>
      </c>
      <c r="CI370" s="118" cm="1">
        <f t="array" aca="1" ref="CI370" ca="1">INDEX('EE - Input'!$B:$V,MATCH($C370,'EE - Input'!$B:$B,0),MATCH($F$9&amp;$F$10,'EE - Input'!$B$3:$V$3,0))
*(INDEX('Vessel Configurator'!$C$30:$G$62,MATCH($D370,'Vessel Configurator'!$B$30:$B$62,0),CH$8)="Yes")
*INDEX(EE_Applicability,MATCH($D370,'Vessel Configurator'!$B$30:$B$62,0))</f>
        <v>0</v>
      </c>
    </row>
    <row r="371" spans="2:87" outlineLevel="1" x14ac:dyDescent="0.2">
      <c r="B371" s="118"/>
      <c r="C371" t="str">
        <f t="shared" si="1019"/>
        <v>ME Hybridization -OPEX</v>
      </c>
      <c r="D371" t="s">
        <v>137</v>
      </c>
      <c r="E371" s="224" t="s">
        <v>211</v>
      </c>
      <c r="F371" s="224" t="s">
        <v>319</v>
      </c>
      <c r="G371" s="118" cm="1">
        <f t="array" aca="1" ref="G371" ca="1">INDEX('EE - Input'!$B:$V,MATCH($C371,'EE - Input'!$B:$B,0),MATCH($F$9&amp;$F$10,'EE - Input'!$B$3:$V$3,0))
*(INDEX('Vessel Configurator'!$C$30:$G$62,MATCH($D371,'Vessel Configurator'!$B$30:$B$62,0),F$8)="Yes")
*INDEX(EE_Applicability,MATCH($D371,'Vessel Configurator'!$B$30:$B$62,0))</f>
        <v>0</v>
      </c>
      <c r="AA371" s="118" cm="1">
        <f t="array" aca="1" ref="AA371" ca="1">INDEX('EE - Input'!$B:$V,MATCH($C371,'EE - Input'!$B:$B,0),MATCH($F$9&amp;$F$10,'EE - Input'!$B$3:$V$3,0))
*(INDEX('Vessel Configurator'!$C$30:$G$62,MATCH($D371,'Vessel Configurator'!$B$30:$B$62,0),Z$8)="Yes")
*INDEX(EE_Applicability,MATCH($D371,'Vessel Configurator'!$B$30:$B$62,0))</f>
        <v>0</v>
      </c>
      <c r="AU371" s="118" cm="1">
        <f t="array" aca="1" ref="AU371" ca="1">INDEX('EE - Input'!$B:$V,MATCH($C371,'EE - Input'!$B:$B,0),MATCH($F$9&amp;$F$10,'EE - Input'!$B$3:$V$3,0))
*(INDEX('Vessel Configurator'!$C$30:$G$62,MATCH($D371,'Vessel Configurator'!$B$30:$B$62,0),AT$8)="Yes")
*INDEX(EE_Applicability,MATCH($D371,'Vessel Configurator'!$B$30:$B$62,0))</f>
        <v>0</v>
      </c>
      <c r="BO371" s="118" cm="1">
        <f t="array" aca="1" ref="BO371" ca="1">INDEX('EE - Input'!$B:$V,MATCH($C371,'EE - Input'!$B:$B,0),MATCH($F$9&amp;$F$10,'EE - Input'!$B$3:$V$3,0))
*(INDEX('Vessel Configurator'!$C$30:$G$62,MATCH($D371,'Vessel Configurator'!$B$30:$B$62,0),BN$8)="Yes")
*INDEX(EE_Applicability,MATCH($D371,'Vessel Configurator'!$B$30:$B$62,0))</f>
        <v>0</v>
      </c>
      <c r="CI371" s="118" cm="1">
        <f t="array" aca="1" ref="CI371" ca="1">INDEX('EE - Input'!$B:$V,MATCH($C371,'EE - Input'!$B:$B,0),MATCH($F$9&amp;$F$10,'EE - Input'!$B$3:$V$3,0))
*(INDEX('Vessel Configurator'!$C$30:$G$62,MATCH($D371,'Vessel Configurator'!$B$30:$B$62,0),CH$8)="Yes")
*INDEX(EE_Applicability,MATCH($D371,'Vessel Configurator'!$B$30:$B$62,0))</f>
        <v>0</v>
      </c>
    </row>
    <row r="372" spans="2:87" outlineLevel="1" x14ac:dyDescent="0.2">
      <c r="B372" s="118"/>
      <c r="C372" t="str">
        <f t="shared" si="1019"/>
        <v>Engine de-rating-OPEX</v>
      </c>
      <c r="D372" t="s">
        <v>139</v>
      </c>
      <c r="E372" s="224" t="s">
        <v>211</v>
      </c>
      <c r="F372" s="224" t="s">
        <v>319</v>
      </c>
      <c r="G372" s="118" cm="1">
        <f t="array" aca="1" ref="G372" ca="1">INDEX('EE - Input'!$B:$V,MATCH($C372,'EE - Input'!$B:$B,0),MATCH($F$9&amp;$F$10,'EE - Input'!$B$3:$V$3,0))
*(INDEX('Vessel Configurator'!$C$30:$G$62,MATCH($D372,'Vessel Configurator'!$B$30:$B$62,0),F$8)="Yes")
*INDEX(EE_Applicability,MATCH($D372,'Vessel Configurator'!$B$30:$B$62,0))</f>
        <v>0</v>
      </c>
      <c r="AA372" s="118" cm="1">
        <f t="array" aca="1" ref="AA372" ca="1">INDEX('EE - Input'!$B:$V,MATCH($C372,'EE - Input'!$B:$B,0),MATCH($F$9&amp;$F$10,'EE - Input'!$B$3:$V$3,0))
*(INDEX('Vessel Configurator'!$C$30:$G$62,MATCH($D372,'Vessel Configurator'!$B$30:$B$62,0),Z$8)="Yes")
*INDEX(EE_Applicability,MATCH($D372,'Vessel Configurator'!$B$30:$B$62,0))</f>
        <v>0</v>
      </c>
      <c r="AU372" s="118" cm="1">
        <f t="array" aca="1" ref="AU372" ca="1">INDEX('EE - Input'!$B:$V,MATCH($C372,'EE - Input'!$B:$B,0),MATCH($F$9&amp;$F$10,'EE - Input'!$B$3:$V$3,0))
*(INDEX('Vessel Configurator'!$C$30:$G$62,MATCH($D372,'Vessel Configurator'!$B$30:$B$62,0),AT$8)="Yes")
*INDEX(EE_Applicability,MATCH($D372,'Vessel Configurator'!$B$30:$B$62,0))</f>
        <v>0</v>
      </c>
      <c r="BO372" s="118" cm="1">
        <f t="array" aca="1" ref="BO372" ca="1">INDEX('EE - Input'!$B:$V,MATCH($C372,'EE - Input'!$B:$B,0),MATCH($F$9&amp;$F$10,'EE - Input'!$B$3:$V$3,0))
*(INDEX('Vessel Configurator'!$C$30:$G$62,MATCH($D372,'Vessel Configurator'!$B$30:$B$62,0),BN$8)="Yes")
*INDEX(EE_Applicability,MATCH($D372,'Vessel Configurator'!$B$30:$B$62,0))</f>
        <v>0</v>
      </c>
      <c r="CI372" s="118" cm="1">
        <f t="array" aca="1" ref="CI372" ca="1">INDEX('EE - Input'!$B:$V,MATCH($C372,'EE - Input'!$B:$B,0),MATCH($F$9&amp;$F$10,'EE - Input'!$B$3:$V$3,0))
*(INDEX('Vessel Configurator'!$C$30:$G$62,MATCH($D372,'Vessel Configurator'!$B$30:$B$62,0),CH$8)="Yes")
*INDEX(EE_Applicability,MATCH($D372,'Vessel Configurator'!$B$30:$B$62,0))</f>
        <v>0</v>
      </c>
    </row>
    <row r="373" spans="2:87" outlineLevel="1" x14ac:dyDescent="0.2">
      <c r="B373" s="118"/>
      <c r="C373" t="str">
        <f t="shared" si="1019"/>
        <v>Engine tuning-OPEX</v>
      </c>
      <c r="D373" t="s">
        <v>140</v>
      </c>
      <c r="E373" s="224" t="s">
        <v>211</v>
      </c>
      <c r="F373" s="224" t="s">
        <v>319</v>
      </c>
      <c r="G373" s="118" cm="1">
        <f t="array" aca="1" ref="G373" ca="1">INDEX('EE - Input'!$B:$V,MATCH($C373,'EE - Input'!$B:$B,0),MATCH($F$9&amp;$F$10,'EE - Input'!$B$3:$V$3,0))
*(INDEX('Vessel Configurator'!$C$30:$G$62,MATCH($D373,'Vessel Configurator'!$B$30:$B$62,0),F$8)="Yes")
*INDEX(EE_Applicability,MATCH($D373,'Vessel Configurator'!$B$30:$B$62,0))</f>
        <v>0</v>
      </c>
      <c r="AA373" s="118" cm="1">
        <f t="array" aca="1" ref="AA373" ca="1">INDEX('EE - Input'!$B:$V,MATCH($C373,'EE - Input'!$B:$B,0),MATCH($F$9&amp;$F$10,'EE - Input'!$B$3:$V$3,0))
*(INDEX('Vessel Configurator'!$C$30:$G$62,MATCH($D373,'Vessel Configurator'!$B$30:$B$62,0),Z$8)="Yes")
*INDEX(EE_Applicability,MATCH($D373,'Vessel Configurator'!$B$30:$B$62,0))</f>
        <v>0</v>
      </c>
      <c r="AU373" s="118" cm="1">
        <f t="array" aca="1" ref="AU373" ca="1">INDEX('EE - Input'!$B:$V,MATCH($C373,'EE - Input'!$B:$B,0),MATCH($F$9&amp;$F$10,'EE - Input'!$B$3:$V$3,0))
*(INDEX('Vessel Configurator'!$C$30:$G$62,MATCH($D373,'Vessel Configurator'!$B$30:$B$62,0),AT$8)="Yes")
*INDEX(EE_Applicability,MATCH($D373,'Vessel Configurator'!$B$30:$B$62,0))</f>
        <v>0</v>
      </c>
      <c r="BO373" s="118" cm="1">
        <f t="array" aca="1" ref="BO373" ca="1">INDEX('EE - Input'!$B:$V,MATCH($C373,'EE - Input'!$B:$B,0),MATCH($F$9&amp;$F$10,'EE - Input'!$B$3:$V$3,0))
*(INDEX('Vessel Configurator'!$C$30:$G$62,MATCH($D373,'Vessel Configurator'!$B$30:$B$62,0),BN$8)="Yes")
*INDEX(EE_Applicability,MATCH($D373,'Vessel Configurator'!$B$30:$B$62,0))</f>
        <v>0</v>
      </c>
      <c r="CI373" s="118" cm="1">
        <f t="array" aca="1" ref="CI373" ca="1">INDEX('EE - Input'!$B:$V,MATCH($C373,'EE - Input'!$B:$B,0),MATCH($F$9&amp;$F$10,'EE - Input'!$B$3:$V$3,0))
*(INDEX('Vessel Configurator'!$C$30:$G$62,MATCH($D373,'Vessel Configurator'!$B$30:$B$62,0),CH$8)="Yes")
*INDEX(EE_Applicability,MATCH($D373,'Vessel Configurator'!$B$30:$B$62,0))</f>
        <v>0</v>
      </c>
    </row>
    <row r="374" spans="2:87" outlineLevel="1" x14ac:dyDescent="0.2">
      <c r="B374" s="118"/>
      <c r="C374" t="str">
        <f t="shared" si="1019"/>
        <v>Shaft motor (Driven by WHR)-OPEX</v>
      </c>
      <c r="D374" t="s">
        <v>141</v>
      </c>
      <c r="E374" s="224" t="s">
        <v>211</v>
      </c>
      <c r="F374" s="224" t="s">
        <v>319</v>
      </c>
      <c r="G374" s="118" cm="1">
        <f t="array" aca="1" ref="G374" ca="1">INDEX('EE - Input'!$B:$V,MATCH($C374,'EE - Input'!$B:$B,0),MATCH($F$9&amp;$F$10,'EE - Input'!$B$3:$V$3,0))
*(INDEX('Vessel Configurator'!$C$30:$G$62,MATCH($D374,'Vessel Configurator'!$B$30:$B$62,0),F$8)="Yes")
*INDEX(EE_Applicability,MATCH($D374,'Vessel Configurator'!$B$30:$B$62,0))</f>
        <v>0</v>
      </c>
      <c r="AA374" s="118" cm="1">
        <f t="array" aca="1" ref="AA374" ca="1">INDEX('EE - Input'!$B:$V,MATCH($C374,'EE - Input'!$B:$B,0),MATCH($F$9&amp;$F$10,'EE - Input'!$B$3:$V$3,0))
*(INDEX('Vessel Configurator'!$C$30:$G$62,MATCH($D374,'Vessel Configurator'!$B$30:$B$62,0),Z$8)="Yes")
*INDEX(EE_Applicability,MATCH($D374,'Vessel Configurator'!$B$30:$B$62,0))</f>
        <v>0</v>
      </c>
      <c r="AU374" s="118" cm="1">
        <f t="array" aca="1" ref="AU374" ca="1">INDEX('EE - Input'!$B:$V,MATCH($C374,'EE - Input'!$B:$B,0),MATCH($F$9&amp;$F$10,'EE - Input'!$B$3:$V$3,0))
*(INDEX('Vessel Configurator'!$C$30:$G$62,MATCH($D374,'Vessel Configurator'!$B$30:$B$62,0),AT$8)="Yes")
*INDEX(EE_Applicability,MATCH($D374,'Vessel Configurator'!$B$30:$B$62,0))</f>
        <v>0</v>
      </c>
      <c r="BO374" s="118" cm="1">
        <f t="array" aca="1" ref="BO374" ca="1">INDEX('EE - Input'!$B:$V,MATCH($C374,'EE - Input'!$B:$B,0),MATCH($F$9&amp;$F$10,'EE - Input'!$B$3:$V$3,0))
*(INDEX('Vessel Configurator'!$C$30:$G$62,MATCH($D374,'Vessel Configurator'!$B$30:$B$62,0),BN$8)="Yes")
*INDEX(EE_Applicability,MATCH($D374,'Vessel Configurator'!$B$30:$B$62,0))</f>
        <v>0</v>
      </c>
      <c r="CI374" s="118" cm="1">
        <f t="array" aca="1" ref="CI374" ca="1">INDEX('EE - Input'!$B:$V,MATCH($C374,'EE - Input'!$B:$B,0),MATCH($F$9&amp;$F$10,'EE - Input'!$B$3:$V$3,0))
*(INDEX('Vessel Configurator'!$C$30:$G$62,MATCH($D374,'Vessel Configurator'!$B$30:$B$62,0),CH$8)="Yes")
*INDEX(EE_Applicability,MATCH($D374,'Vessel Configurator'!$B$30:$B$62,0))</f>
        <v>0</v>
      </c>
    </row>
    <row r="375" spans="2:87" outlineLevel="1" x14ac:dyDescent="0.2">
      <c r="B375" s="118"/>
      <c r="C375" t="str">
        <f t="shared" si="1019"/>
        <v>Hull shape optimisation-OPEX</v>
      </c>
      <c r="D375" t="s">
        <v>142</v>
      </c>
      <c r="E375" s="224" t="s">
        <v>211</v>
      </c>
      <c r="F375" s="224" t="s">
        <v>319</v>
      </c>
      <c r="G375" s="118" cm="1">
        <f t="array" aca="1" ref="G375" ca="1">INDEX('EE - Input'!$B:$V,MATCH($C375,'EE - Input'!$B:$B,0),MATCH($F$9&amp;$F$10,'EE - Input'!$B$3:$V$3,0))
*(INDEX('Vessel Configurator'!$C$30:$G$62,MATCH($D375,'Vessel Configurator'!$B$30:$B$62,0),F$8)="Yes")
*INDEX(EE_Applicability,MATCH($D375,'Vessel Configurator'!$B$30:$B$62,0))</f>
        <v>0</v>
      </c>
      <c r="AA375" s="118" cm="1">
        <f t="array" aca="1" ref="AA375" ca="1">INDEX('EE - Input'!$B:$V,MATCH($C375,'EE - Input'!$B:$B,0),MATCH($F$9&amp;$F$10,'EE - Input'!$B$3:$V$3,0))
*(INDEX('Vessel Configurator'!$C$30:$G$62,MATCH($D375,'Vessel Configurator'!$B$30:$B$62,0),Z$8)="Yes")
*INDEX(EE_Applicability,MATCH($D375,'Vessel Configurator'!$B$30:$B$62,0))</f>
        <v>0</v>
      </c>
      <c r="AU375" s="118" cm="1">
        <f t="array" aca="1" ref="AU375" ca="1">INDEX('EE - Input'!$B:$V,MATCH($C375,'EE - Input'!$B:$B,0),MATCH($F$9&amp;$F$10,'EE - Input'!$B$3:$V$3,0))
*(INDEX('Vessel Configurator'!$C$30:$G$62,MATCH($D375,'Vessel Configurator'!$B$30:$B$62,0),AT$8)="Yes")
*INDEX(EE_Applicability,MATCH($D375,'Vessel Configurator'!$B$30:$B$62,0))</f>
        <v>0</v>
      </c>
      <c r="BO375" s="118" cm="1">
        <f t="array" aca="1" ref="BO375" ca="1">INDEX('EE - Input'!$B:$V,MATCH($C375,'EE - Input'!$B:$B,0),MATCH($F$9&amp;$F$10,'EE - Input'!$B$3:$V$3,0))
*(INDEX('Vessel Configurator'!$C$30:$G$62,MATCH($D375,'Vessel Configurator'!$B$30:$B$62,0),BN$8)="Yes")
*INDEX(EE_Applicability,MATCH($D375,'Vessel Configurator'!$B$30:$B$62,0))</f>
        <v>0</v>
      </c>
      <c r="CI375" s="118" cm="1">
        <f t="array" aca="1" ref="CI375" ca="1">INDEX('EE - Input'!$B:$V,MATCH($C375,'EE - Input'!$B:$B,0),MATCH($F$9&amp;$F$10,'EE - Input'!$B$3:$V$3,0))
*(INDEX('Vessel Configurator'!$C$30:$G$62,MATCH($D375,'Vessel Configurator'!$B$30:$B$62,0),CH$8)="Yes")
*INDEX(EE_Applicability,MATCH($D375,'Vessel Configurator'!$B$30:$B$62,0))</f>
        <v>0</v>
      </c>
    </row>
    <row r="376" spans="2:87" outlineLevel="1" x14ac:dyDescent="0.2">
      <c r="B376" s="118"/>
      <c r="C376" t="str">
        <f t="shared" si="1019"/>
        <v>Lightweight hull-OPEX</v>
      </c>
      <c r="D376" t="s">
        <v>143</v>
      </c>
      <c r="E376" s="224" t="s">
        <v>211</v>
      </c>
      <c r="F376" s="224" t="s">
        <v>319</v>
      </c>
      <c r="G376" s="118" cm="1">
        <f t="array" aca="1" ref="G376" ca="1">INDEX('EE - Input'!$B:$V,MATCH($C376,'EE - Input'!$B:$B,0),MATCH($F$9&amp;$F$10,'EE - Input'!$B$3:$V$3,0))
*(INDEX('Vessel Configurator'!$C$30:$G$62,MATCH($D376,'Vessel Configurator'!$B$30:$B$62,0),F$8)="Yes")
*INDEX(EE_Applicability,MATCH($D376,'Vessel Configurator'!$B$30:$B$62,0))</f>
        <v>0</v>
      </c>
      <c r="AA376" s="118" cm="1">
        <f t="array" aca="1" ref="AA376" ca="1">INDEX('EE - Input'!$B:$V,MATCH($C376,'EE - Input'!$B:$B,0),MATCH($F$9&amp;$F$10,'EE - Input'!$B$3:$V$3,0))
*(INDEX('Vessel Configurator'!$C$30:$G$62,MATCH($D376,'Vessel Configurator'!$B$30:$B$62,0),Z$8)="Yes")
*INDEX(EE_Applicability,MATCH($D376,'Vessel Configurator'!$B$30:$B$62,0))</f>
        <v>0</v>
      </c>
      <c r="AU376" s="118" cm="1">
        <f t="array" aca="1" ref="AU376" ca="1">INDEX('EE - Input'!$B:$V,MATCH($C376,'EE - Input'!$B:$B,0),MATCH($F$9&amp;$F$10,'EE - Input'!$B$3:$V$3,0))
*(INDEX('Vessel Configurator'!$C$30:$G$62,MATCH($D376,'Vessel Configurator'!$B$30:$B$62,0),AT$8)="Yes")
*INDEX(EE_Applicability,MATCH($D376,'Vessel Configurator'!$B$30:$B$62,0))</f>
        <v>0</v>
      </c>
      <c r="BO376" s="118" cm="1">
        <f t="array" aca="1" ref="BO376" ca="1">INDEX('EE - Input'!$B:$V,MATCH($C376,'EE - Input'!$B:$B,0),MATCH($F$9&amp;$F$10,'EE - Input'!$B$3:$V$3,0))
*(INDEX('Vessel Configurator'!$C$30:$G$62,MATCH($D376,'Vessel Configurator'!$B$30:$B$62,0),BN$8)="Yes")
*INDEX(EE_Applicability,MATCH($D376,'Vessel Configurator'!$B$30:$B$62,0))</f>
        <v>0</v>
      </c>
      <c r="CI376" s="118" cm="1">
        <f t="array" aca="1" ref="CI376" ca="1">INDEX('EE - Input'!$B:$V,MATCH($C376,'EE - Input'!$B:$B,0),MATCH($F$9&amp;$F$10,'EE - Input'!$B$3:$V$3,0))
*(INDEX('Vessel Configurator'!$C$30:$G$62,MATCH($D376,'Vessel Configurator'!$B$30:$B$62,0),CH$8)="Yes")
*INDEX(EE_Applicability,MATCH($D376,'Vessel Configurator'!$B$30:$B$62,0))</f>
        <v>0</v>
      </c>
    </row>
    <row r="377" spans="2:87" outlineLevel="1" x14ac:dyDescent="0.2">
      <c r="B377" s="118"/>
      <c r="C377" t="str">
        <f t="shared" si="1019"/>
        <v>Hull paint/coating-OPEX</v>
      </c>
      <c r="D377" t="s">
        <v>144</v>
      </c>
      <c r="E377" s="224" t="s">
        <v>211</v>
      </c>
      <c r="F377" s="224" t="s">
        <v>319</v>
      </c>
      <c r="G377" s="118" cm="1">
        <f t="array" aca="1" ref="G377" ca="1">INDEX('EE - Input'!$B:$V,MATCH($C377,'EE - Input'!$B:$B,0),MATCH($F$9&amp;$F$10,'EE - Input'!$B$3:$V$3,0))
*(INDEX('Vessel Configurator'!$C$30:$G$62,MATCH($D377,'Vessel Configurator'!$B$30:$B$62,0),F$8)="Yes")
*INDEX(EE_Applicability,MATCH($D377,'Vessel Configurator'!$B$30:$B$62,0))</f>
        <v>0</v>
      </c>
      <c r="AA377" s="118" cm="1">
        <f t="array" aca="1" ref="AA377" ca="1">INDEX('EE - Input'!$B:$V,MATCH($C377,'EE - Input'!$B:$B,0),MATCH($F$9&amp;$F$10,'EE - Input'!$B$3:$V$3,0))
*(INDEX('Vessel Configurator'!$C$30:$G$62,MATCH($D377,'Vessel Configurator'!$B$30:$B$62,0),Z$8)="Yes")
*INDEX(EE_Applicability,MATCH($D377,'Vessel Configurator'!$B$30:$B$62,0))</f>
        <v>0</v>
      </c>
      <c r="AU377" s="118" cm="1">
        <f t="array" aca="1" ref="AU377" ca="1">INDEX('EE - Input'!$B:$V,MATCH($C377,'EE - Input'!$B:$B,0),MATCH($F$9&amp;$F$10,'EE - Input'!$B$3:$V$3,0))
*(INDEX('Vessel Configurator'!$C$30:$G$62,MATCH($D377,'Vessel Configurator'!$B$30:$B$62,0),AT$8)="Yes")
*INDEX(EE_Applicability,MATCH($D377,'Vessel Configurator'!$B$30:$B$62,0))</f>
        <v>0</v>
      </c>
      <c r="BO377" s="118" cm="1">
        <f t="array" aca="1" ref="BO377" ca="1">INDEX('EE - Input'!$B:$V,MATCH($C377,'EE - Input'!$B:$B,0),MATCH($F$9&amp;$F$10,'EE - Input'!$B$3:$V$3,0))
*(INDEX('Vessel Configurator'!$C$30:$G$62,MATCH($D377,'Vessel Configurator'!$B$30:$B$62,0),BN$8)="Yes")
*INDEX(EE_Applicability,MATCH($D377,'Vessel Configurator'!$B$30:$B$62,0))</f>
        <v>0</v>
      </c>
      <c r="CI377" s="118" cm="1">
        <f t="array" aca="1" ref="CI377" ca="1">INDEX('EE - Input'!$B:$V,MATCH($C377,'EE - Input'!$B:$B,0),MATCH($F$9&amp;$F$10,'EE - Input'!$B$3:$V$3,0))
*(INDEX('Vessel Configurator'!$C$30:$G$62,MATCH($D377,'Vessel Configurator'!$B$30:$B$62,0),CH$8)="Yes")
*INDEX(EE_Applicability,MATCH($D377,'Vessel Configurator'!$B$30:$B$62,0))</f>
        <v>0</v>
      </c>
    </row>
    <row r="378" spans="2:87" outlineLevel="1" x14ac:dyDescent="0.2">
      <c r="B378" s="118"/>
      <c r="C378" t="str">
        <f t="shared" si="1019"/>
        <v>Hull cleaning-OPEX</v>
      </c>
      <c r="D378" t="s">
        <v>145</v>
      </c>
      <c r="E378" s="224" t="s">
        <v>211</v>
      </c>
      <c r="F378" s="224" t="s">
        <v>319</v>
      </c>
      <c r="G378" s="118" cm="1">
        <f t="array" aca="1" ref="G378" ca="1">INDEX('EE - Input'!$B:$V,MATCH($C378,'EE - Input'!$B:$B,0),MATCH($F$9&amp;$F$10,'EE - Input'!$B$3:$V$3,0))
*(INDEX('Vessel Configurator'!$C$30:$G$62,MATCH($D378,'Vessel Configurator'!$B$30:$B$62,0),F$8)="Yes")
*INDEX(EE_Applicability,MATCH($D378,'Vessel Configurator'!$B$30:$B$62,0))</f>
        <v>0</v>
      </c>
      <c r="AA378" s="118" cm="1">
        <f t="array" aca="1" ref="AA378" ca="1">INDEX('EE - Input'!$B:$V,MATCH($C378,'EE - Input'!$B:$B,0),MATCH($F$9&amp;$F$10,'EE - Input'!$B$3:$V$3,0))
*(INDEX('Vessel Configurator'!$C$30:$G$62,MATCH($D378,'Vessel Configurator'!$B$30:$B$62,0),Z$8)="Yes")
*INDEX(EE_Applicability,MATCH($D378,'Vessel Configurator'!$B$30:$B$62,0))</f>
        <v>0</v>
      </c>
      <c r="AU378" s="118" cm="1">
        <f t="array" aca="1" ref="AU378" ca="1">INDEX('EE - Input'!$B:$V,MATCH($C378,'EE - Input'!$B:$B,0),MATCH($F$9&amp;$F$10,'EE - Input'!$B$3:$V$3,0))
*(INDEX('Vessel Configurator'!$C$30:$G$62,MATCH($D378,'Vessel Configurator'!$B$30:$B$62,0),AT$8)="Yes")
*INDEX(EE_Applicability,MATCH($D378,'Vessel Configurator'!$B$30:$B$62,0))</f>
        <v>0</v>
      </c>
      <c r="BO378" s="118" cm="1">
        <f t="array" aca="1" ref="BO378" ca="1">INDEX('EE - Input'!$B:$V,MATCH($C378,'EE - Input'!$B:$B,0),MATCH($F$9&amp;$F$10,'EE - Input'!$B$3:$V$3,0))
*(INDEX('Vessel Configurator'!$C$30:$G$62,MATCH($D378,'Vessel Configurator'!$B$30:$B$62,0),BN$8)="Yes")
*INDEX(EE_Applicability,MATCH($D378,'Vessel Configurator'!$B$30:$B$62,0))</f>
        <v>0</v>
      </c>
      <c r="CI378" s="118" cm="1">
        <f t="array" aca="1" ref="CI378" ca="1">INDEX('EE - Input'!$B:$V,MATCH($C378,'EE - Input'!$B:$B,0),MATCH($F$9&amp;$F$10,'EE - Input'!$B$3:$V$3,0))
*(INDEX('Vessel Configurator'!$C$30:$G$62,MATCH($D378,'Vessel Configurator'!$B$30:$B$62,0),CH$8)="Yes")
*INDEX(EE_Applicability,MATCH($D378,'Vessel Configurator'!$B$30:$B$62,0))</f>
        <v>0</v>
      </c>
    </row>
    <row r="379" spans="2:87" outlineLevel="1" x14ac:dyDescent="0.2">
      <c r="B379" s="118"/>
      <c r="C379" t="str">
        <f t="shared" si="1019"/>
        <v>Air cavity lubrication-OPEX</v>
      </c>
      <c r="D379" t="s">
        <v>146</v>
      </c>
      <c r="E379" s="224" t="s">
        <v>211</v>
      </c>
      <c r="F379" s="224" t="s">
        <v>319</v>
      </c>
      <c r="G379" s="118" cm="1">
        <f t="array" aca="1" ref="G379" ca="1">INDEX('EE - Input'!$B:$V,MATCH($C379,'EE - Input'!$B:$B,0),MATCH($F$9&amp;$F$10,'EE - Input'!$B$3:$V$3,0))
*(INDEX('Vessel Configurator'!$C$30:$G$62,MATCH($D379,'Vessel Configurator'!$B$30:$B$62,0),F$8)="Yes")
*INDEX(EE_Applicability,MATCH($D379,'Vessel Configurator'!$B$30:$B$62,0))</f>
        <v>0</v>
      </c>
      <c r="AA379" s="118" cm="1">
        <f t="array" aca="1" ref="AA379" ca="1">INDEX('EE - Input'!$B:$V,MATCH($C379,'EE - Input'!$B:$B,0),MATCH($F$9&amp;$F$10,'EE - Input'!$B$3:$V$3,0))
*(INDEX('Vessel Configurator'!$C$30:$G$62,MATCH($D379,'Vessel Configurator'!$B$30:$B$62,0),Z$8)="Yes")
*INDEX(EE_Applicability,MATCH($D379,'Vessel Configurator'!$B$30:$B$62,0))</f>
        <v>0</v>
      </c>
      <c r="AU379" s="118" cm="1">
        <f t="array" aca="1" ref="AU379" ca="1">INDEX('EE - Input'!$B:$V,MATCH($C379,'EE - Input'!$B:$B,0),MATCH($F$9&amp;$F$10,'EE - Input'!$B$3:$V$3,0))
*(INDEX('Vessel Configurator'!$C$30:$G$62,MATCH($D379,'Vessel Configurator'!$B$30:$B$62,0),AT$8)="Yes")
*INDEX(EE_Applicability,MATCH($D379,'Vessel Configurator'!$B$30:$B$62,0))</f>
        <v>0</v>
      </c>
      <c r="BO379" s="118" cm="1">
        <f t="array" aca="1" ref="BO379" ca="1">INDEX('EE - Input'!$B:$V,MATCH($C379,'EE - Input'!$B:$B,0),MATCH($F$9&amp;$F$10,'EE - Input'!$B$3:$V$3,0))
*(INDEX('Vessel Configurator'!$C$30:$G$62,MATCH($D379,'Vessel Configurator'!$B$30:$B$62,0),BN$8)="Yes")
*INDEX(EE_Applicability,MATCH($D379,'Vessel Configurator'!$B$30:$B$62,0))</f>
        <v>0</v>
      </c>
      <c r="CI379" s="118" cm="1">
        <f t="array" aca="1" ref="CI379" ca="1">INDEX('EE - Input'!$B:$V,MATCH($C379,'EE - Input'!$B:$B,0),MATCH($F$9&amp;$F$10,'EE - Input'!$B$3:$V$3,0))
*(INDEX('Vessel Configurator'!$C$30:$G$62,MATCH($D379,'Vessel Configurator'!$B$30:$B$62,0),CH$8)="Yes")
*INDEX(EE_Applicability,MATCH($D379,'Vessel Configurator'!$B$30:$B$62,0))</f>
        <v>0</v>
      </c>
    </row>
    <row r="380" spans="2:87" outlineLevel="1" x14ac:dyDescent="0.2">
      <c r="B380" s="118"/>
      <c r="C380" t="str">
        <f t="shared" si="1019"/>
        <v>Trim and draft optimization-OPEX</v>
      </c>
      <c r="D380" t="s">
        <v>147</v>
      </c>
      <c r="E380" s="224" t="s">
        <v>211</v>
      </c>
      <c r="F380" s="224" t="s">
        <v>319</v>
      </c>
      <c r="G380" s="118" cm="1">
        <f t="array" aca="1" ref="G380" ca="1">INDEX('EE - Input'!$B:$V,MATCH($C380,'EE - Input'!$B:$B,0),MATCH($F$9&amp;$F$10,'EE - Input'!$B$3:$V$3,0))
*(INDEX('Vessel Configurator'!$C$30:$G$62,MATCH($D380,'Vessel Configurator'!$B$30:$B$62,0),F$8)="Yes")
*INDEX(EE_Applicability,MATCH($D380,'Vessel Configurator'!$B$30:$B$62,0))</f>
        <v>0</v>
      </c>
      <c r="AA380" s="118" cm="1">
        <f t="array" aca="1" ref="AA380" ca="1">INDEX('EE - Input'!$B:$V,MATCH($C380,'EE - Input'!$B:$B,0),MATCH($F$9&amp;$F$10,'EE - Input'!$B$3:$V$3,0))
*(INDEX('Vessel Configurator'!$C$30:$G$62,MATCH($D380,'Vessel Configurator'!$B$30:$B$62,0),Z$8)="Yes")
*INDEX(EE_Applicability,MATCH($D380,'Vessel Configurator'!$B$30:$B$62,0))</f>
        <v>0</v>
      </c>
      <c r="AU380" s="118" cm="1">
        <f t="array" aca="1" ref="AU380" ca="1">INDEX('EE - Input'!$B:$V,MATCH($C380,'EE - Input'!$B:$B,0),MATCH($F$9&amp;$F$10,'EE - Input'!$B$3:$V$3,0))
*(INDEX('Vessel Configurator'!$C$30:$G$62,MATCH($D380,'Vessel Configurator'!$B$30:$B$62,0),AT$8)="Yes")
*INDEX(EE_Applicability,MATCH($D380,'Vessel Configurator'!$B$30:$B$62,0))</f>
        <v>0</v>
      </c>
      <c r="BO380" s="118" cm="1">
        <f t="array" aca="1" ref="BO380" ca="1">INDEX('EE - Input'!$B:$V,MATCH($C380,'EE - Input'!$B:$B,0),MATCH($F$9&amp;$F$10,'EE - Input'!$B$3:$V$3,0))
*(INDEX('Vessel Configurator'!$C$30:$G$62,MATCH($D380,'Vessel Configurator'!$B$30:$B$62,0),BN$8)="Yes")
*INDEX(EE_Applicability,MATCH($D380,'Vessel Configurator'!$B$30:$B$62,0))</f>
        <v>0</v>
      </c>
      <c r="CI380" s="118" cm="1">
        <f t="array" aca="1" ref="CI380" ca="1">INDEX('EE - Input'!$B:$V,MATCH($C380,'EE - Input'!$B:$B,0),MATCH($F$9&amp;$F$10,'EE - Input'!$B$3:$V$3,0))
*(INDEX('Vessel Configurator'!$C$30:$G$62,MATCH($D380,'Vessel Configurator'!$B$30:$B$62,0),CH$8)="Yes")
*INDEX(EE_Applicability,MATCH($D380,'Vessel Configurator'!$B$30:$B$62,0))</f>
        <v>0</v>
      </c>
    </row>
    <row r="381" spans="2:87" outlineLevel="1" x14ac:dyDescent="0.2">
      <c r="B381" s="118"/>
      <c r="C381" t="str">
        <f t="shared" si="1019"/>
        <v>Hull retrofit-OPEX</v>
      </c>
      <c r="D381" t="s">
        <v>148</v>
      </c>
      <c r="E381" s="224" t="s">
        <v>211</v>
      </c>
      <c r="F381" s="224" t="s">
        <v>319</v>
      </c>
      <c r="G381" s="118" cm="1">
        <f t="array" aca="1" ref="G381" ca="1">INDEX('EE - Input'!$B:$V,MATCH($C381,'EE - Input'!$B:$B,0),MATCH($F$9&amp;$F$10,'EE - Input'!$B$3:$V$3,0))
*(INDEX('Vessel Configurator'!$C$30:$G$62,MATCH($D381,'Vessel Configurator'!$B$30:$B$62,0),F$8)="Yes")
*INDEX(EE_Applicability,MATCH($D381,'Vessel Configurator'!$B$30:$B$62,0))</f>
        <v>0</v>
      </c>
      <c r="AA381" s="118" cm="1">
        <f t="array" aca="1" ref="AA381" ca="1">INDEX('EE - Input'!$B:$V,MATCH($C381,'EE - Input'!$B:$B,0),MATCH($F$9&amp;$F$10,'EE - Input'!$B$3:$V$3,0))
*(INDEX('Vessel Configurator'!$C$30:$G$62,MATCH($D381,'Vessel Configurator'!$B$30:$B$62,0),Z$8)="Yes")
*INDEX(EE_Applicability,MATCH($D381,'Vessel Configurator'!$B$30:$B$62,0))</f>
        <v>0</v>
      </c>
      <c r="AU381" s="118" cm="1">
        <f t="array" aca="1" ref="AU381" ca="1">INDEX('EE - Input'!$B:$V,MATCH($C381,'EE - Input'!$B:$B,0),MATCH($F$9&amp;$F$10,'EE - Input'!$B$3:$V$3,0))
*(INDEX('Vessel Configurator'!$C$30:$G$62,MATCH($D381,'Vessel Configurator'!$B$30:$B$62,0),AT$8)="Yes")
*INDEX(EE_Applicability,MATCH($D381,'Vessel Configurator'!$B$30:$B$62,0))</f>
        <v>0</v>
      </c>
      <c r="BO381" s="118" cm="1">
        <f t="array" aca="1" ref="BO381" ca="1">INDEX('EE - Input'!$B:$V,MATCH($C381,'EE - Input'!$B:$B,0),MATCH($F$9&amp;$F$10,'EE - Input'!$B$3:$V$3,0))
*(INDEX('Vessel Configurator'!$C$30:$G$62,MATCH($D381,'Vessel Configurator'!$B$30:$B$62,0),BN$8)="Yes")
*INDEX(EE_Applicability,MATCH($D381,'Vessel Configurator'!$B$30:$B$62,0))</f>
        <v>0</v>
      </c>
      <c r="CI381" s="118" cm="1">
        <f t="array" aca="1" ref="CI381" ca="1">INDEX('EE - Input'!$B:$V,MATCH($C381,'EE - Input'!$B:$B,0),MATCH($F$9&amp;$F$10,'EE - Input'!$B$3:$V$3,0))
*(INDEX('Vessel Configurator'!$C$30:$G$62,MATCH($D381,'Vessel Configurator'!$B$30:$B$62,0),CH$8)="Yes")
*INDEX(EE_Applicability,MATCH($D381,'Vessel Configurator'!$B$30:$B$62,0))</f>
        <v>0</v>
      </c>
    </row>
    <row r="382" spans="2:87" outlineLevel="1" x14ac:dyDescent="0.2">
      <c r="B382" s="118"/>
      <c r="C382" t="str">
        <f t="shared" si="1019"/>
        <v>Propeller cleaning-OPEX</v>
      </c>
      <c r="D382" t="s">
        <v>149</v>
      </c>
      <c r="E382" s="224" t="s">
        <v>211</v>
      </c>
      <c r="F382" s="224" t="s">
        <v>319</v>
      </c>
      <c r="G382" s="118" cm="1">
        <f t="array" aca="1" ref="G382" ca="1">INDEX('EE - Input'!$B:$V,MATCH($C382,'EE - Input'!$B:$B,0),MATCH($F$9&amp;$F$10,'EE - Input'!$B$3:$V$3,0))
*(INDEX('Vessel Configurator'!$C$30:$G$62,MATCH($D382,'Vessel Configurator'!$B$30:$B$62,0),F$8)="Yes")
*INDEX(EE_Applicability,MATCH($D382,'Vessel Configurator'!$B$30:$B$62,0))</f>
        <v>0</v>
      </c>
      <c r="AA382" s="118" cm="1">
        <f t="array" aca="1" ref="AA382" ca="1">INDEX('EE - Input'!$B:$V,MATCH($C382,'EE - Input'!$B:$B,0),MATCH($F$9&amp;$F$10,'EE - Input'!$B$3:$V$3,0))
*(INDEX('Vessel Configurator'!$C$30:$G$62,MATCH($D382,'Vessel Configurator'!$B$30:$B$62,0),Z$8)="Yes")
*INDEX(EE_Applicability,MATCH($D382,'Vessel Configurator'!$B$30:$B$62,0))</f>
        <v>0</v>
      </c>
      <c r="AU382" s="118" cm="1">
        <f t="array" aca="1" ref="AU382" ca="1">INDEX('EE - Input'!$B:$V,MATCH($C382,'EE - Input'!$B:$B,0),MATCH($F$9&amp;$F$10,'EE - Input'!$B$3:$V$3,0))
*(INDEX('Vessel Configurator'!$C$30:$G$62,MATCH($D382,'Vessel Configurator'!$B$30:$B$62,0),AT$8)="Yes")
*INDEX(EE_Applicability,MATCH($D382,'Vessel Configurator'!$B$30:$B$62,0))</f>
        <v>0</v>
      </c>
      <c r="BO382" s="118" cm="1">
        <f t="array" aca="1" ref="BO382" ca="1">INDEX('EE - Input'!$B:$V,MATCH($C382,'EE - Input'!$B:$B,0),MATCH($F$9&amp;$F$10,'EE - Input'!$B$3:$V$3,0))
*(INDEX('Vessel Configurator'!$C$30:$G$62,MATCH($D382,'Vessel Configurator'!$B$30:$B$62,0),BN$8)="Yes")
*INDEX(EE_Applicability,MATCH($D382,'Vessel Configurator'!$B$30:$B$62,0))</f>
        <v>0</v>
      </c>
      <c r="CI382" s="118" cm="1">
        <f t="array" aca="1" ref="CI382" ca="1">INDEX('EE - Input'!$B:$V,MATCH($C382,'EE - Input'!$B:$B,0),MATCH($F$9&amp;$F$10,'EE - Input'!$B$3:$V$3,0))
*(INDEX('Vessel Configurator'!$C$30:$G$62,MATCH($D382,'Vessel Configurator'!$B$30:$B$62,0),CH$8)="Yes")
*INDEX(EE_Applicability,MATCH($D382,'Vessel Configurator'!$B$30:$B$62,0))</f>
        <v>0</v>
      </c>
    </row>
    <row r="383" spans="2:87" outlineLevel="1" x14ac:dyDescent="0.2">
      <c r="B383" s="118"/>
      <c r="C383" t="str">
        <f t="shared" si="1019"/>
        <v>Propeller re-fitting-OPEX</v>
      </c>
      <c r="D383" t="s">
        <v>150</v>
      </c>
      <c r="E383" s="224" t="s">
        <v>211</v>
      </c>
      <c r="F383" s="224" t="s">
        <v>319</v>
      </c>
      <c r="G383" s="118" cm="1">
        <f t="array" aca="1" ref="G383" ca="1">INDEX('EE - Input'!$B:$V,MATCH($C383,'EE - Input'!$B:$B,0),MATCH($F$9&amp;$F$10,'EE - Input'!$B$3:$V$3,0))
*(INDEX('Vessel Configurator'!$C$30:$G$62,MATCH($D383,'Vessel Configurator'!$B$30:$B$62,0),F$8)="Yes")
*INDEX(EE_Applicability,MATCH($D383,'Vessel Configurator'!$B$30:$B$62,0))</f>
        <v>0</v>
      </c>
      <c r="AA383" s="118" cm="1">
        <f t="array" aca="1" ref="AA383" ca="1">INDEX('EE - Input'!$B:$V,MATCH($C383,'EE - Input'!$B:$B,0),MATCH($F$9&amp;$F$10,'EE - Input'!$B$3:$V$3,0))
*(INDEX('Vessel Configurator'!$C$30:$G$62,MATCH($D383,'Vessel Configurator'!$B$30:$B$62,0),Z$8)="Yes")
*INDEX(EE_Applicability,MATCH($D383,'Vessel Configurator'!$B$30:$B$62,0))</f>
        <v>0</v>
      </c>
      <c r="AU383" s="118" cm="1">
        <f t="array" aca="1" ref="AU383" ca="1">INDEX('EE - Input'!$B:$V,MATCH($C383,'EE - Input'!$B:$B,0),MATCH($F$9&amp;$F$10,'EE - Input'!$B$3:$V$3,0))
*(INDEX('Vessel Configurator'!$C$30:$G$62,MATCH($D383,'Vessel Configurator'!$B$30:$B$62,0),AT$8)="Yes")
*INDEX(EE_Applicability,MATCH($D383,'Vessel Configurator'!$B$30:$B$62,0))</f>
        <v>0</v>
      </c>
      <c r="BO383" s="118" cm="1">
        <f t="array" aca="1" ref="BO383" ca="1">INDEX('EE - Input'!$B:$V,MATCH($C383,'EE - Input'!$B:$B,0),MATCH($F$9&amp;$F$10,'EE - Input'!$B$3:$V$3,0))
*(INDEX('Vessel Configurator'!$C$30:$G$62,MATCH($D383,'Vessel Configurator'!$B$30:$B$62,0),BN$8)="Yes")
*INDEX(EE_Applicability,MATCH($D383,'Vessel Configurator'!$B$30:$B$62,0))</f>
        <v>0</v>
      </c>
      <c r="CI383" s="118" cm="1">
        <f t="array" aca="1" ref="CI383" ca="1">INDEX('EE - Input'!$B:$V,MATCH($C383,'EE - Input'!$B:$B,0),MATCH($F$9&amp;$F$10,'EE - Input'!$B$3:$V$3,0))
*(INDEX('Vessel Configurator'!$C$30:$G$62,MATCH($D383,'Vessel Configurator'!$B$30:$B$62,0),CH$8)="Yes")
*INDEX(EE_Applicability,MATCH($D383,'Vessel Configurator'!$B$30:$B$62,0))</f>
        <v>0</v>
      </c>
    </row>
    <row r="384" spans="2:87" outlineLevel="1" x14ac:dyDescent="0.2">
      <c r="B384" s="118"/>
      <c r="C384" t="str">
        <f t="shared" si="1019"/>
        <v>Propeller improvement devices-OPEX</v>
      </c>
      <c r="D384" t="s">
        <v>151</v>
      </c>
      <c r="E384" s="224" t="s">
        <v>211</v>
      </c>
      <c r="F384" s="224" t="s">
        <v>319</v>
      </c>
      <c r="G384" s="118" cm="1">
        <f t="array" aca="1" ref="G384" ca="1">INDEX('EE - Input'!$B:$V,MATCH($C384,'EE - Input'!$B:$B,0),MATCH($F$9&amp;$F$10,'EE - Input'!$B$3:$V$3,0))
*(INDEX('Vessel Configurator'!$C$30:$G$62,MATCH($D384,'Vessel Configurator'!$B$30:$B$62,0),F$8)="Yes")
*INDEX(EE_Applicability,MATCH($D384,'Vessel Configurator'!$B$30:$B$62,0))</f>
        <v>0</v>
      </c>
      <c r="AA384" s="118" cm="1">
        <f t="array" aca="1" ref="AA384" ca="1">INDEX('EE - Input'!$B:$V,MATCH($C384,'EE - Input'!$B:$B,0),MATCH($F$9&amp;$F$10,'EE - Input'!$B$3:$V$3,0))
*(INDEX('Vessel Configurator'!$C$30:$G$62,MATCH($D384,'Vessel Configurator'!$B$30:$B$62,0),Z$8)="Yes")
*INDEX(EE_Applicability,MATCH($D384,'Vessel Configurator'!$B$30:$B$62,0))</f>
        <v>0</v>
      </c>
      <c r="AU384" s="118" cm="1">
        <f t="array" aca="1" ref="AU384" ca="1">INDEX('EE - Input'!$B:$V,MATCH($C384,'EE - Input'!$B:$B,0),MATCH($F$9&amp;$F$10,'EE - Input'!$B$3:$V$3,0))
*(INDEX('Vessel Configurator'!$C$30:$G$62,MATCH($D384,'Vessel Configurator'!$B$30:$B$62,0),AT$8)="Yes")
*INDEX(EE_Applicability,MATCH($D384,'Vessel Configurator'!$B$30:$B$62,0))</f>
        <v>0</v>
      </c>
      <c r="BO384" s="118" cm="1">
        <f t="array" aca="1" ref="BO384" ca="1">INDEX('EE - Input'!$B:$V,MATCH($C384,'EE - Input'!$B:$B,0),MATCH($F$9&amp;$F$10,'EE - Input'!$B$3:$V$3,0))
*(INDEX('Vessel Configurator'!$C$30:$G$62,MATCH($D384,'Vessel Configurator'!$B$30:$B$62,0),BN$8)="Yes")
*INDEX(EE_Applicability,MATCH($D384,'Vessel Configurator'!$B$30:$B$62,0))</f>
        <v>0</v>
      </c>
      <c r="CI384" s="118" cm="1">
        <f t="array" aca="1" ref="CI384" ca="1">INDEX('EE - Input'!$B:$V,MATCH($C384,'EE - Input'!$B:$B,0),MATCH($F$9&amp;$F$10,'EE - Input'!$B$3:$V$3,0))
*(INDEX('Vessel Configurator'!$C$30:$G$62,MATCH($D384,'Vessel Configurator'!$B$30:$B$62,0),CH$8)="Yes")
*INDEX(EE_Applicability,MATCH($D384,'Vessel Configurator'!$B$30:$B$62,0))</f>
        <v>0</v>
      </c>
    </row>
    <row r="385" spans="2:87 16364:16364" outlineLevel="1" x14ac:dyDescent="0.2">
      <c r="B385" s="118"/>
      <c r="C385" t="str">
        <f t="shared" si="1019"/>
        <v>Rudder autopilot-OPEX</v>
      </c>
      <c r="D385" t="s">
        <v>152</v>
      </c>
      <c r="E385" s="224" t="s">
        <v>211</v>
      </c>
      <c r="F385" s="224" t="s">
        <v>319</v>
      </c>
      <c r="G385" s="118" cm="1">
        <f t="array" aca="1" ref="G385" ca="1">INDEX('EE - Input'!$B:$V,MATCH($C385,'EE - Input'!$B:$B,0),MATCH($F$9&amp;$F$10,'EE - Input'!$B$3:$V$3,0))
*(INDEX('Vessel Configurator'!$C$30:$G$62,MATCH($D385,'Vessel Configurator'!$B$30:$B$62,0),F$8)="Yes")
*INDEX(EE_Applicability,MATCH($D385,'Vessel Configurator'!$B$30:$B$62,0))</f>
        <v>0</v>
      </c>
      <c r="AA385" s="118" cm="1">
        <f t="array" aca="1" ref="AA385" ca="1">INDEX('EE - Input'!$B:$V,MATCH($C385,'EE - Input'!$B:$B,0),MATCH($F$9&amp;$F$10,'EE - Input'!$B$3:$V$3,0))
*(INDEX('Vessel Configurator'!$C$30:$G$62,MATCH($D385,'Vessel Configurator'!$B$30:$B$62,0),Z$8)="Yes")
*INDEX(EE_Applicability,MATCH($D385,'Vessel Configurator'!$B$30:$B$62,0))</f>
        <v>0</v>
      </c>
      <c r="AU385" s="118" cm="1">
        <f t="array" aca="1" ref="AU385" ca="1">INDEX('EE - Input'!$B:$V,MATCH($C385,'EE - Input'!$B:$B,0),MATCH($F$9&amp;$F$10,'EE - Input'!$B$3:$V$3,0))
*(INDEX('Vessel Configurator'!$C$30:$G$62,MATCH($D385,'Vessel Configurator'!$B$30:$B$62,0),AT$8)="Yes")
*INDEX(EE_Applicability,MATCH($D385,'Vessel Configurator'!$B$30:$B$62,0))</f>
        <v>0</v>
      </c>
      <c r="BO385" s="118" cm="1">
        <f t="array" aca="1" ref="BO385" ca="1">INDEX('EE - Input'!$B:$V,MATCH($C385,'EE - Input'!$B:$B,0),MATCH($F$9&amp;$F$10,'EE - Input'!$B$3:$V$3,0))
*(INDEX('Vessel Configurator'!$C$30:$G$62,MATCH($D385,'Vessel Configurator'!$B$30:$B$62,0),BN$8)="Yes")
*INDEX(EE_Applicability,MATCH($D385,'Vessel Configurator'!$B$30:$B$62,0))</f>
        <v>0</v>
      </c>
      <c r="CI385" s="118" cm="1">
        <f t="array" aca="1" ref="CI385" ca="1">INDEX('EE - Input'!$B:$V,MATCH($C385,'EE - Input'!$B:$B,0),MATCH($F$9&amp;$F$10,'EE - Input'!$B$3:$V$3,0))
*(INDEX('Vessel Configurator'!$C$30:$G$62,MATCH($D385,'Vessel Configurator'!$B$30:$B$62,0),CH$8)="Yes")
*INDEX(EE_Applicability,MATCH($D385,'Vessel Configurator'!$B$30:$B$62,0))</f>
        <v>0</v>
      </c>
    </row>
    <row r="386" spans="2:87 16364:16364" outlineLevel="1" x14ac:dyDescent="0.2">
      <c r="B386" s="118"/>
      <c r="C386" t="str">
        <f t="shared" si="1019"/>
        <v>Flettner rotors-OPEX</v>
      </c>
      <c r="D386" t="s">
        <v>153</v>
      </c>
      <c r="E386" s="224" t="s">
        <v>211</v>
      </c>
      <c r="F386" s="224" t="s">
        <v>319</v>
      </c>
      <c r="G386" s="118" cm="1">
        <f t="array" aca="1" ref="G386" ca="1">INDEX('EE - Input'!$B:$V,MATCH($C386,'EE - Input'!$B:$B,0),MATCH($F$9&amp;$F$10,'EE - Input'!$B$3:$V$3,0))
*(INDEX('Vessel Configurator'!$C$30:$G$62,MATCH($D386,'Vessel Configurator'!$B$30:$B$62,0),F$8)="Yes")
*INDEX(EE_Applicability,MATCH($D386,'Vessel Configurator'!$B$30:$B$62,0))</f>
        <v>0</v>
      </c>
      <c r="AA386" s="118" cm="1">
        <f t="array" aca="1" ref="AA386" ca="1">INDEX('EE - Input'!$B:$V,MATCH($C386,'EE - Input'!$B:$B,0),MATCH($F$9&amp;$F$10,'EE - Input'!$B$3:$V$3,0))
*(INDEX('Vessel Configurator'!$C$30:$G$62,MATCH($D386,'Vessel Configurator'!$B$30:$B$62,0),Z$8)="Yes")
*INDEX(EE_Applicability,MATCH($D386,'Vessel Configurator'!$B$30:$B$62,0))</f>
        <v>0</v>
      </c>
      <c r="AU386" s="118" cm="1">
        <f t="array" aca="1" ref="AU386" ca="1">INDEX('EE - Input'!$B:$V,MATCH($C386,'EE - Input'!$B:$B,0),MATCH($F$9&amp;$F$10,'EE - Input'!$B$3:$V$3,0))
*(INDEX('Vessel Configurator'!$C$30:$G$62,MATCH($D386,'Vessel Configurator'!$B$30:$B$62,0),AT$8)="Yes")
*INDEX(EE_Applicability,MATCH($D386,'Vessel Configurator'!$B$30:$B$62,0))</f>
        <v>0</v>
      </c>
      <c r="BO386" s="118" cm="1">
        <f t="array" aca="1" ref="BO386" ca="1">INDEX('EE - Input'!$B:$V,MATCH($C386,'EE - Input'!$B:$B,0),MATCH($F$9&amp;$F$10,'EE - Input'!$B$3:$V$3,0))
*(INDEX('Vessel Configurator'!$C$30:$G$62,MATCH($D386,'Vessel Configurator'!$B$30:$B$62,0),BN$8)="Yes")
*INDEX(EE_Applicability,MATCH($D386,'Vessel Configurator'!$B$30:$B$62,0))</f>
        <v>0</v>
      </c>
      <c r="CI386" s="118" cm="1">
        <f t="array" aca="1" ref="CI386" ca="1">INDEX('EE - Input'!$B:$V,MATCH($C386,'EE - Input'!$B:$B,0),MATCH($F$9&amp;$F$10,'EE - Input'!$B$3:$V$3,0))
*(INDEX('Vessel Configurator'!$C$30:$G$62,MATCH($D386,'Vessel Configurator'!$B$30:$B$62,0),CH$8)="Yes")
*INDEX(EE_Applicability,MATCH($D386,'Vessel Configurator'!$B$30:$B$62,0))</f>
        <v>0</v>
      </c>
    </row>
    <row r="387" spans="2:87 16364:16364" outlineLevel="1" x14ac:dyDescent="0.2">
      <c r="B387" s="118"/>
      <c r="C387" t="str">
        <f t="shared" si="1019"/>
        <v>Sails-OPEX</v>
      </c>
      <c r="D387" t="s">
        <v>154</v>
      </c>
      <c r="E387" s="224" t="s">
        <v>211</v>
      </c>
      <c r="F387" s="224" t="s">
        <v>319</v>
      </c>
      <c r="G387" s="118" cm="1">
        <f t="array" aca="1" ref="G387" ca="1">INDEX('EE - Input'!$B:$V,MATCH($C387,'EE - Input'!$B:$B,0),MATCH($F$9&amp;$F$10,'EE - Input'!$B$3:$V$3,0))
*(INDEX('Vessel Configurator'!$C$30:$G$62,MATCH($D387,'Vessel Configurator'!$B$30:$B$62,0),F$8)="Yes")
*INDEX(EE_Applicability,MATCH($D387,'Vessel Configurator'!$B$30:$B$62,0))</f>
        <v>0</v>
      </c>
      <c r="AA387" s="118" cm="1">
        <f t="array" aca="1" ref="AA387" ca="1">INDEX('EE - Input'!$B:$V,MATCH($C387,'EE - Input'!$B:$B,0),MATCH($F$9&amp;$F$10,'EE - Input'!$B$3:$V$3,0))
*(INDEX('Vessel Configurator'!$C$30:$G$62,MATCH($D387,'Vessel Configurator'!$B$30:$B$62,0),Z$8)="Yes")
*INDEX(EE_Applicability,MATCH($D387,'Vessel Configurator'!$B$30:$B$62,0))</f>
        <v>0</v>
      </c>
      <c r="AU387" s="118" cm="1">
        <f t="array" aca="1" ref="AU387" ca="1">INDEX('EE - Input'!$B:$V,MATCH($C387,'EE - Input'!$B:$B,0),MATCH($F$9&amp;$F$10,'EE - Input'!$B$3:$V$3,0))
*(INDEX('Vessel Configurator'!$C$30:$G$62,MATCH($D387,'Vessel Configurator'!$B$30:$B$62,0),AT$8)="Yes")
*INDEX(EE_Applicability,MATCH($D387,'Vessel Configurator'!$B$30:$B$62,0))</f>
        <v>0</v>
      </c>
      <c r="BO387" s="118" cm="1">
        <f t="array" aca="1" ref="BO387" ca="1">INDEX('EE - Input'!$B:$V,MATCH($C387,'EE - Input'!$B:$B,0),MATCH($F$9&amp;$F$10,'EE - Input'!$B$3:$V$3,0))
*(INDEX('Vessel Configurator'!$C$30:$G$62,MATCH($D387,'Vessel Configurator'!$B$30:$B$62,0),BN$8)="Yes")
*INDEX(EE_Applicability,MATCH($D387,'Vessel Configurator'!$B$30:$B$62,0))</f>
        <v>0</v>
      </c>
      <c r="CI387" s="118" cm="1">
        <f t="array" aca="1" ref="CI387" ca="1">INDEX('EE - Input'!$B:$V,MATCH($C387,'EE - Input'!$B:$B,0),MATCH($F$9&amp;$F$10,'EE - Input'!$B$3:$V$3,0))
*(INDEX('Vessel Configurator'!$C$30:$G$62,MATCH($D387,'Vessel Configurator'!$B$30:$B$62,0),CH$8)="Yes")
*INDEX(EE_Applicability,MATCH($D387,'Vessel Configurator'!$B$30:$B$62,0))</f>
        <v>0</v>
      </c>
    </row>
    <row r="388" spans="2:87 16364:16364" outlineLevel="1" x14ac:dyDescent="0.2">
      <c r="B388" s="118"/>
      <c r="C388" t="str">
        <f t="shared" si="1019"/>
        <v>Kites-OPEX</v>
      </c>
      <c r="D388" t="s">
        <v>155</v>
      </c>
      <c r="E388" s="224" t="s">
        <v>211</v>
      </c>
      <c r="F388" s="224" t="s">
        <v>319</v>
      </c>
      <c r="G388" s="118" cm="1">
        <f t="array" aca="1" ref="G388" ca="1">INDEX('EE - Input'!$B:$V,MATCH($C388,'EE - Input'!$B:$B,0),MATCH($F$9&amp;$F$10,'EE - Input'!$B$3:$V$3,0))
*(INDEX('Vessel Configurator'!$C$30:$G$62,MATCH($D388,'Vessel Configurator'!$B$30:$B$62,0),F$8)="Yes")
*INDEX(EE_Applicability,MATCH($D388,'Vessel Configurator'!$B$30:$B$62,0))</f>
        <v>0</v>
      </c>
      <c r="AA388" s="118" cm="1">
        <f t="array" aca="1" ref="AA388" ca="1">INDEX('EE - Input'!$B:$V,MATCH($C388,'EE - Input'!$B:$B,0),MATCH($F$9&amp;$F$10,'EE - Input'!$B$3:$V$3,0))
*(INDEX('Vessel Configurator'!$C$30:$G$62,MATCH($D388,'Vessel Configurator'!$B$30:$B$62,0),Z$8)="Yes")
*INDEX(EE_Applicability,MATCH($D388,'Vessel Configurator'!$B$30:$B$62,0))</f>
        <v>0</v>
      </c>
      <c r="AU388" s="118" cm="1">
        <f t="array" aca="1" ref="AU388" ca="1">INDEX('EE - Input'!$B:$V,MATCH($C388,'EE - Input'!$B:$B,0),MATCH($F$9&amp;$F$10,'EE - Input'!$B$3:$V$3,0))
*(INDEX('Vessel Configurator'!$C$30:$G$62,MATCH($D388,'Vessel Configurator'!$B$30:$B$62,0),AT$8)="Yes")
*INDEX(EE_Applicability,MATCH($D388,'Vessel Configurator'!$B$30:$B$62,0))</f>
        <v>0</v>
      </c>
      <c r="BO388" s="118" cm="1">
        <f t="array" aca="1" ref="BO388" ca="1">INDEX('EE - Input'!$B:$V,MATCH($C388,'EE - Input'!$B:$B,0),MATCH($F$9&amp;$F$10,'EE - Input'!$B$3:$V$3,0))
*(INDEX('Vessel Configurator'!$C$30:$G$62,MATCH($D388,'Vessel Configurator'!$B$30:$B$62,0),BN$8)="Yes")
*INDEX(EE_Applicability,MATCH($D388,'Vessel Configurator'!$B$30:$B$62,0))</f>
        <v>0</v>
      </c>
      <c r="CI388" s="118" cm="1">
        <f t="array" aca="1" ref="CI388" ca="1">INDEX('EE - Input'!$B:$V,MATCH($C388,'EE - Input'!$B:$B,0),MATCH($F$9&amp;$F$10,'EE - Input'!$B$3:$V$3,0))
*(INDEX('Vessel Configurator'!$C$30:$G$62,MATCH($D388,'Vessel Configurator'!$B$30:$B$62,0),CH$8)="Yes")
*INDEX(EE_Applicability,MATCH($D388,'Vessel Configurator'!$B$30:$B$62,0))</f>
        <v>0</v>
      </c>
    </row>
    <row r="389" spans="2:87 16364:16364" outlineLevel="1" x14ac:dyDescent="0.2">
      <c r="B389" s="118"/>
      <c r="F389"/>
    </row>
    <row r="390" spans="2:87 16364:16364" outlineLevel="1" x14ac:dyDescent="0.2">
      <c r="B390" s="118"/>
      <c r="C390" t="str">
        <f t="shared" si="1019"/>
        <v>EE AE system-OPEX</v>
      </c>
      <c r="D390" s="266" t="s">
        <v>453</v>
      </c>
      <c r="E390" s="266" t="s">
        <v>211</v>
      </c>
      <c r="F390" s="224" t="s">
        <v>319</v>
      </c>
      <c r="G390" s="324">
        <f ca="1">IFERROR(SUM(G391:G400),0)</f>
        <v>0</v>
      </c>
      <c r="AA390" s="324">
        <f ca="1">IFERROR(SUM(AA391:AA400),0)</f>
        <v>0</v>
      </c>
      <c r="AU390" s="324">
        <f ca="1">IFERROR(SUM(AU391:AU400),0)</f>
        <v>0</v>
      </c>
      <c r="BO390" s="324">
        <f ca="1">IFERROR(SUM(BO391:BO400),0)</f>
        <v>0</v>
      </c>
      <c r="CI390" s="324">
        <f ca="1">IFERROR(SUM(CI391:CI400),0)</f>
        <v>0</v>
      </c>
      <c r="XEJ390" s="324"/>
    </row>
    <row r="391" spans="2:87 16364:16364" outlineLevel="1" x14ac:dyDescent="0.2">
      <c r="B391" s="118"/>
      <c r="C391" t="str">
        <f t="shared" si="1019"/>
        <v>Waste heat recovery system-OPEX</v>
      </c>
      <c r="D391" t="s">
        <v>156</v>
      </c>
      <c r="E391" s="224" t="s">
        <v>211</v>
      </c>
      <c r="F391" s="224" t="s">
        <v>319</v>
      </c>
      <c r="G391" s="118" cm="1">
        <f t="array" aca="1" ref="G391" ca="1">INDEX('EE - Input'!$B:$V,MATCH($C391,'EE - Input'!$B:$B,0),MATCH($F$9&amp;$F$10,'EE - Input'!$B$3:$V$3,0))
*(INDEX('Vessel Configurator'!$C$30:$G$62,MATCH($D391,'Vessel Configurator'!$B$30:$B$62,0),F$8)="Yes")
*INDEX(EE_Applicability,MATCH($D391,'Vessel Configurator'!$B$30:$B$62,0))</f>
        <v>0</v>
      </c>
      <c r="AA391" s="118" cm="1">
        <f t="array" aca="1" ref="AA391" ca="1">INDEX('EE - Input'!$B:$V,MATCH($C391,'EE - Input'!$B:$B,0),MATCH($F$9&amp;$F$10,'EE - Input'!$B$3:$V$3,0))
*(INDEX('Vessel Configurator'!$C$30:$G$62,MATCH($D391,'Vessel Configurator'!$B$30:$B$62,0),Z$8)="Yes")
*INDEX(EE_Applicability,MATCH($D391,'Vessel Configurator'!$B$30:$B$62,0))</f>
        <v>0</v>
      </c>
      <c r="AU391" s="118" cm="1">
        <f t="array" aca="1" ref="AU391" ca="1">INDEX('EE - Input'!$B:$V,MATCH($C391,'EE - Input'!$B:$B,0),MATCH($F$9&amp;$F$10,'EE - Input'!$B$3:$V$3,0))
*(INDEX('Vessel Configurator'!$C$30:$G$62,MATCH($D391,'Vessel Configurator'!$B$30:$B$62,0),AT$8)="Yes")
*INDEX(EE_Applicability,MATCH($D391,'Vessel Configurator'!$B$30:$B$62,0))</f>
        <v>0</v>
      </c>
      <c r="BO391" s="118" cm="1">
        <f t="array" aca="1" ref="BO391" ca="1">INDEX('EE - Input'!$B:$V,MATCH($C391,'EE - Input'!$B:$B,0),MATCH($F$9&amp;$F$10,'EE - Input'!$B$3:$V$3,0))
*(INDEX('Vessel Configurator'!$C$30:$G$62,MATCH($D391,'Vessel Configurator'!$B$30:$B$62,0),BN$8)="Yes")
*INDEX(EE_Applicability,MATCH($D391,'Vessel Configurator'!$B$30:$B$62,0))</f>
        <v>0</v>
      </c>
      <c r="CI391" s="118" cm="1">
        <f t="array" aca="1" ref="CI391" ca="1">INDEX('EE - Input'!$B:$V,MATCH($C391,'EE - Input'!$B:$B,0),MATCH($F$9&amp;$F$10,'EE - Input'!$B$3:$V$3,0))
*(INDEX('Vessel Configurator'!$C$30:$G$62,MATCH($D391,'Vessel Configurator'!$B$30:$B$62,0),CH$8)="Yes")
*INDEX(EE_Applicability,MATCH($D391,'Vessel Configurator'!$B$30:$B$62,0))</f>
        <v>0</v>
      </c>
    </row>
    <row r="392" spans="2:87 16364:16364" outlineLevel="1" x14ac:dyDescent="0.2">
      <c r="B392" s="118"/>
      <c r="C392" t="str">
        <f t="shared" si="1019"/>
        <v>Shaft generator-OPEX</v>
      </c>
      <c r="D392" t="s">
        <v>157</v>
      </c>
      <c r="E392" s="224" t="s">
        <v>211</v>
      </c>
      <c r="F392" s="224" t="s">
        <v>319</v>
      </c>
      <c r="G392" s="118" cm="1">
        <f t="array" aca="1" ref="G392" ca="1">INDEX('EE - Input'!$B:$V,MATCH($C392,'EE - Input'!$B:$B,0),MATCH($F$9&amp;$F$10,'EE - Input'!$B$3:$V$3,0))
*(INDEX('Vessel Configurator'!$C$30:$G$62,MATCH($D392,'Vessel Configurator'!$B$30:$B$62,0),F$8)="Yes")
*INDEX(EE_Applicability,MATCH($D392,'Vessel Configurator'!$B$30:$B$62,0))</f>
        <v>0</v>
      </c>
      <c r="AA392" s="118" cm="1">
        <f t="array" aca="1" ref="AA392" ca="1">INDEX('EE - Input'!$B:$V,MATCH($C392,'EE - Input'!$B:$B,0),MATCH($F$9&amp;$F$10,'EE - Input'!$B$3:$V$3,0))
*(INDEX('Vessel Configurator'!$C$30:$G$62,MATCH($D392,'Vessel Configurator'!$B$30:$B$62,0),Z$8)="Yes")
*INDEX(EE_Applicability,MATCH($D392,'Vessel Configurator'!$B$30:$B$62,0))</f>
        <v>0</v>
      </c>
      <c r="AU392" s="118" cm="1">
        <f t="array" aca="1" ref="AU392" ca="1">INDEX('EE - Input'!$B:$V,MATCH($C392,'EE - Input'!$B:$B,0),MATCH($F$9&amp;$F$10,'EE - Input'!$B$3:$V$3,0))
*(INDEX('Vessel Configurator'!$C$30:$G$62,MATCH($D392,'Vessel Configurator'!$B$30:$B$62,0),AT$8)="Yes")
*INDEX(EE_Applicability,MATCH($D392,'Vessel Configurator'!$B$30:$B$62,0))</f>
        <v>0</v>
      </c>
      <c r="BO392" s="118" cm="1">
        <f t="array" aca="1" ref="BO392" ca="1">INDEX('EE - Input'!$B:$V,MATCH($C392,'EE - Input'!$B:$B,0),MATCH($F$9&amp;$F$10,'EE - Input'!$B$3:$V$3,0))
*(INDEX('Vessel Configurator'!$C$30:$G$62,MATCH($D392,'Vessel Configurator'!$B$30:$B$62,0),BN$8)="Yes")
*INDEX(EE_Applicability,MATCH($D392,'Vessel Configurator'!$B$30:$B$62,0))</f>
        <v>0</v>
      </c>
      <c r="CI392" s="118" cm="1">
        <f t="array" aca="1" ref="CI392" ca="1">INDEX('EE - Input'!$B:$V,MATCH($C392,'EE - Input'!$B:$B,0),MATCH($F$9&amp;$F$10,'EE - Input'!$B$3:$V$3,0))
*(INDEX('Vessel Configurator'!$C$30:$G$62,MATCH($D392,'Vessel Configurator'!$B$30:$B$62,0),CH$8)="Yes")
*INDEX(EE_Applicability,MATCH($D392,'Vessel Configurator'!$B$30:$B$62,0))</f>
        <v>0</v>
      </c>
    </row>
    <row r="393" spans="2:87 16364:16364" outlineLevel="1" x14ac:dyDescent="0.2">
      <c r="B393" s="118"/>
      <c r="C393" t="str">
        <f t="shared" si="1019"/>
        <v>Solar power-OPEX</v>
      </c>
      <c r="D393" t="s">
        <v>158</v>
      </c>
      <c r="E393" s="224" t="s">
        <v>211</v>
      </c>
      <c r="F393" s="224" t="s">
        <v>319</v>
      </c>
      <c r="G393" s="118" cm="1">
        <f t="array" aca="1" ref="G393" ca="1">INDEX('EE - Input'!$B:$V,MATCH($C393,'EE - Input'!$B:$B,0),MATCH($F$9&amp;$F$10,'EE - Input'!$B$3:$V$3,0))
*(INDEX('Vessel Configurator'!$C$30:$G$62,MATCH($D393,'Vessel Configurator'!$B$30:$B$62,0),F$8)="Yes")
*INDEX(EE_Applicability,MATCH($D393,'Vessel Configurator'!$B$30:$B$62,0))</f>
        <v>0</v>
      </c>
      <c r="AA393" s="118" cm="1">
        <f t="array" aca="1" ref="AA393" ca="1">INDEX('EE - Input'!$B:$V,MATCH($C393,'EE - Input'!$B:$B,0),MATCH($F$9&amp;$F$10,'EE - Input'!$B$3:$V$3,0))
*(INDEX('Vessel Configurator'!$C$30:$G$62,MATCH($D393,'Vessel Configurator'!$B$30:$B$62,0),Z$8)="Yes")
*INDEX(EE_Applicability,MATCH($D393,'Vessel Configurator'!$B$30:$B$62,0))</f>
        <v>0</v>
      </c>
      <c r="AU393" s="118" cm="1">
        <f t="array" aca="1" ref="AU393" ca="1">INDEX('EE - Input'!$B:$V,MATCH($C393,'EE - Input'!$B:$B,0),MATCH($F$9&amp;$F$10,'EE - Input'!$B$3:$V$3,0))
*(INDEX('Vessel Configurator'!$C$30:$G$62,MATCH($D393,'Vessel Configurator'!$B$30:$B$62,0),AT$8)="Yes")
*INDEX(EE_Applicability,MATCH($D393,'Vessel Configurator'!$B$30:$B$62,0))</f>
        <v>0</v>
      </c>
      <c r="BO393" s="118" cm="1">
        <f t="array" aca="1" ref="BO393" ca="1">INDEX('EE - Input'!$B:$V,MATCH($C393,'EE - Input'!$B:$B,0),MATCH($F$9&amp;$F$10,'EE - Input'!$B$3:$V$3,0))
*(INDEX('Vessel Configurator'!$C$30:$G$62,MATCH($D393,'Vessel Configurator'!$B$30:$B$62,0),BN$8)="Yes")
*INDEX(EE_Applicability,MATCH($D393,'Vessel Configurator'!$B$30:$B$62,0))</f>
        <v>0</v>
      </c>
      <c r="CI393" s="118" cm="1">
        <f t="array" aca="1" ref="CI393" ca="1">INDEX('EE - Input'!$B:$V,MATCH($C393,'EE - Input'!$B:$B,0),MATCH($F$9&amp;$F$10,'EE - Input'!$B$3:$V$3,0))
*(INDEX('Vessel Configurator'!$C$30:$G$62,MATCH($D393,'Vessel Configurator'!$B$30:$B$62,0),CH$8)="Yes")
*INDEX(EE_Applicability,MATCH($D393,'Vessel Configurator'!$B$30:$B$62,0))</f>
        <v>0</v>
      </c>
    </row>
    <row r="394" spans="2:87 16364:16364" outlineLevel="1" x14ac:dyDescent="0.2">
      <c r="B394" s="118"/>
      <c r="C394" t="str">
        <f t="shared" si="1019"/>
        <v>Shore power-OPEX</v>
      </c>
      <c r="D394" t="s">
        <v>159</v>
      </c>
      <c r="E394" s="224" t="s">
        <v>211</v>
      </c>
      <c r="F394" s="224" t="s">
        <v>319</v>
      </c>
      <c r="G394" s="118" cm="1">
        <f t="array" aca="1" ref="G394" ca="1">INDEX('EE - Input'!$B:$V,MATCH($C394,'EE - Input'!$B:$B,0),MATCH($F$9&amp;$F$10,'EE - Input'!$B$3:$V$3,0))
*(INDEX('Vessel Configurator'!$C$30:$G$62,MATCH($D394,'Vessel Configurator'!$B$30:$B$62,0),F$8)="Yes")
*INDEX(EE_Applicability,MATCH($D394,'Vessel Configurator'!$B$30:$B$62,0))</f>
        <v>0</v>
      </c>
      <c r="AA394" s="118" cm="1">
        <f t="array" aca="1" ref="AA394" ca="1">INDEX('EE - Input'!$B:$V,MATCH($C394,'EE - Input'!$B:$B,0),MATCH($F$9&amp;$F$10,'EE - Input'!$B$3:$V$3,0))
*(INDEX('Vessel Configurator'!$C$30:$G$62,MATCH($D394,'Vessel Configurator'!$B$30:$B$62,0),Z$8)="Yes")
*INDEX(EE_Applicability,MATCH($D394,'Vessel Configurator'!$B$30:$B$62,0))</f>
        <v>0</v>
      </c>
      <c r="AU394" s="118" cm="1">
        <f t="array" aca="1" ref="AU394" ca="1">INDEX('EE - Input'!$B:$V,MATCH($C394,'EE - Input'!$B:$B,0),MATCH($F$9&amp;$F$10,'EE - Input'!$B$3:$V$3,0))
*(INDEX('Vessel Configurator'!$C$30:$G$62,MATCH($D394,'Vessel Configurator'!$B$30:$B$62,0),AT$8)="Yes")
*INDEX(EE_Applicability,MATCH($D394,'Vessel Configurator'!$B$30:$B$62,0))</f>
        <v>0</v>
      </c>
      <c r="BO394" s="118" cm="1">
        <f t="array" aca="1" ref="BO394" ca="1">INDEX('EE - Input'!$B:$V,MATCH($C394,'EE - Input'!$B:$B,0),MATCH($F$9&amp;$F$10,'EE - Input'!$B$3:$V$3,0))
*(INDEX('Vessel Configurator'!$C$30:$G$62,MATCH($D394,'Vessel Configurator'!$B$30:$B$62,0),BN$8)="Yes")
*INDEX(EE_Applicability,MATCH($D394,'Vessel Configurator'!$B$30:$B$62,0))</f>
        <v>0</v>
      </c>
      <c r="CI394" s="118" cm="1">
        <f t="array" aca="1" ref="CI394" ca="1">INDEX('EE - Input'!$B:$V,MATCH($C394,'EE - Input'!$B:$B,0),MATCH($F$9&amp;$F$10,'EE - Input'!$B$3:$V$3,0))
*(INDEX('Vessel Configurator'!$C$30:$G$62,MATCH($D394,'Vessel Configurator'!$B$30:$B$62,0),CH$8)="Yes")
*INDEX(EE_Applicability,MATCH($D394,'Vessel Configurator'!$B$30:$B$62,0))</f>
        <v>0</v>
      </c>
    </row>
    <row r="395" spans="2:87 16364:16364" outlineLevel="1" x14ac:dyDescent="0.2">
      <c r="B395" s="118"/>
      <c r="C395" t="str">
        <f t="shared" si="1019"/>
        <v>Variable frequency drive-OPEX</v>
      </c>
      <c r="D395" t="s">
        <v>160</v>
      </c>
      <c r="E395" s="224" t="s">
        <v>211</v>
      </c>
      <c r="F395" s="224" t="s">
        <v>319</v>
      </c>
      <c r="G395" s="118" cm="1">
        <f t="array" aca="1" ref="G395" ca="1">INDEX('EE - Input'!$B:$V,MATCH($C395,'EE - Input'!$B:$B,0),MATCH($F$9&amp;$F$10,'EE - Input'!$B$3:$V$3,0))
*(INDEX('Vessel Configurator'!$C$30:$G$62,MATCH($D395,'Vessel Configurator'!$B$30:$B$62,0),F$8)="Yes")
*INDEX(EE_Applicability,MATCH($D395,'Vessel Configurator'!$B$30:$B$62,0))</f>
        <v>0</v>
      </c>
      <c r="AA395" s="118" cm="1">
        <f t="array" aca="1" ref="AA395" ca="1">INDEX('EE - Input'!$B:$V,MATCH($C395,'EE - Input'!$B:$B,0),MATCH($F$9&amp;$F$10,'EE - Input'!$B$3:$V$3,0))
*(INDEX('Vessel Configurator'!$C$30:$G$62,MATCH($D395,'Vessel Configurator'!$B$30:$B$62,0),Z$8)="Yes")
*INDEX(EE_Applicability,MATCH($D395,'Vessel Configurator'!$B$30:$B$62,0))</f>
        <v>0</v>
      </c>
      <c r="AU395" s="118" cm="1">
        <f t="array" aca="1" ref="AU395" ca="1">INDEX('EE - Input'!$B:$V,MATCH($C395,'EE - Input'!$B:$B,0),MATCH($F$9&amp;$F$10,'EE - Input'!$B$3:$V$3,0))
*(INDEX('Vessel Configurator'!$C$30:$G$62,MATCH($D395,'Vessel Configurator'!$B$30:$B$62,0),AT$8)="Yes")
*INDEX(EE_Applicability,MATCH($D395,'Vessel Configurator'!$B$30:$B$62,0))</f>
        <v>0</v>
      </c>
      <c r="BO395" s="118" cm="1">
        <f t="array" aca="1" ref="BO395" ca="1">INDEX('EE - Input'!$B:$V,MATCH($C395,'EE - Input'!$B:$B,0),MATCH($F$9&amp;$F$10,'EE - Input'!$B$3:$V$3,0))
*(INDEX('Vessel Configurator'!$C$30:$G$62,MATCH($D395,'Vessel Configurator'!$B$30:$B$62,0),BN$8)="Yes")
*INDEX(EE_Applicability,MATCH($D395,'Vessel Configurator'!$B$30:$B$62,0))</f>
        <v>0</v>
      </c>
      <c r="CI395" s="118" cm="1">
        <f t="array" aca="1" ref="CI395" ca="1">INDEX('EE - Input'!$B:$V,MATCH($C395,'EE - Input'!$B:$B,0),MATCH($F$9&amp;$F$10,'EE - Input'!$B$3:$V$3,0))
*(INDEX('Vessel Configurator'!$C$30:$G$62,MATCH($D395,'Vessel Configurator'!$B$30:$B$62,0),CH$8)="Yes")
*INDEX(EE_Applicability,MATCH($D395,'Vessel Configurator'!$B$30:$B$62,0))</f>
        <v>0</v>
      </c>
    </row>
    <row r="396" spans="2:87 16364:16364" outlineLevel="1" x14ac:dyDescent="0.2">
      <c r="B396" s="118"/>
      <c r="C396" t="str">
        <f t="shared" si="1019"/>
        <v>Lighting systems-OPEX</v>
      </c>
      <c r="D396" t="s">
        <v>161</v>
      </c>
      <c r="E396" s="224" t="s">
        <v>211</v>
      </c>
      <c r="F396" s="224" t="s">
        <v>319</v>
      </c>
      <c r="G396" s="118" cm="1">
        <f t="array" aca="1" ref="G396" ca="1">INDEX('EE - Input'!$B:$V,MATCH($C396,'EE - Input'!$B:$B,0),MATCH($F$9&amp;$F$10,'EE - Input'!$B$3:$V$3,0))
*(INDEX('Vessel Configurator'!$C$30:$G$62,MATCH($D396,'Vessel Configurator'!$B$30:$B$62,0),F$8)="Yes")
*INDEX(EE_Applicability,MATCH($D396,'Vessel Configurator'!$B$30:$B$62,0))</f>
        <v>0</v>
      </c>
      <c r="AA396" s="118" cm="1">
        <f t="array" aca="1" ref="AA396" ca="1">INDEX('EE - Input'!$B:$V,MATCH($C396,'EE - Input'!$B:$B,0),MATCH($F$9&amp;$F$10,'EE - Input'!$B$3:$V$3,0))
*(INDEX('Vessel Configurator'!$C$30:$G$62,MATCH($D396,'Vessel Configurator'!$B$30:$B$62,0),Z$8)="Yes")
*INDEX(EE_Applicability,MATCH($D396,'Vessel Configurator'!$B$30:$B$62,0))</f>
        <v>0</v>
      </c>
      <c r="AU396" s="118" cm="1">
        <f t="array" aca="1" ref="AU396" ca="1">INDEX('EE - Input'!$B:$V,MATCH($C396,'EE - Input'!$B:$B,0),MATCH($F$9&amp;$F$10,'EE - Input'!$B$3:$V$3,0))
*(INDEX('Vessel Configurator'!$C$30:$G$62,MATCH($D396,'Vessel Configurator'!$B$30:$B$62,0),AT$8)="Yes")
*INDEX(EE_Applicability,MATCH($D396,'Vessel Configurator'!$B$30:$B$62,0))</f>
        <v>0</v>
      </c>
      <c r="BO396" s="118" cm="1">
        <f t="array" aca="1" ref="BO396" ca="1">INDEX('EE - Input'!$B:$V,MATCH($C396,'EE - Input'!$B:$B,0),MATCH($F$9&amp;$F$10,'EE - Input'!$B$3:$V$3,0))
*(INDEX('Vessel Configurator'!$C$30:$G$62,MATCH($D396,'Vessel Configurator'!$B$30:$B$62,0),BN$8)="Yes")
*INDEX(EE_Applicability,MATCH($D396,'Vessel Configurator'!$B$30:$B$62,0))</f>
        <v>0</v>
      </c>
      <c r="CI396" s="118" cm="1">
        <f t="array" aca="1" ref="CI396" ca="1">INDEX('EE - Input'!$B:$V,MATCH($C396,'EE - Input'!$B:$B,0),MATCH($F$9&amp;$F$10,'EE - Input'!$B$3:$V$3,0))
*(INDEX('Vessel Configurator'!$C$30:$G$62,MATCH($D396,'Vessel Configurator'!$B$30:$B$62,0),CH$8)="Yes")
*INDEX(EE_Applicability,MATCH($D396,'Vessel Configurator'!$B$30:$B$62,0))</f>
        <v>0</v>
      </c>
    </row>
    <row r="397" spans="2:87 16364:16364" outlineLevel="1" x14ac:dyDescent="0.2">
      <c r="B397" s="118"/>
      <c r="C397" t="str">
        <f t="shared" si="1019"/>
        <v>A/C and heating systems-OPEX</v>
      </c>
      <c r="D397" t="s">
        <v>162</v>
      </c>
      <c r="E397" s="224" t="s">
        <v>211</v>
      </c>
      <c r="F397" s="224" t="s">
        <v>319</v>
      </c>
      <c r="G397" s="118" cm="1">
        <f t="array" aca="1" ref="G397" ca="1">INDEX('EE - Input'!$B:$V,MATCH($C397,'EE - Input'!$B:$B,0),MATCH($F$9&amp;$F$10,'EE - Input'!$B$3:$V$3,0))
*(INDEX('Vessel Configurator'!$C$30:$G$62,MATCH($D397,'Vessel Configurator'!$B$30:$B$62,0),F$8)="Yes")
*INDEX(EE_Applicability,MATCH($D397,'Vessel Configurator'!$B$30:$B$62,0))</f>
        <v>0</v>
      </c>
      <c r="AA397" s="118" cm="1">
        <f t="array" aca="1" ref="AA397" ca="1">INDEX('EE - Input'!$B:$V,MATCH($C397,'EE - Input'!$B:$B,0),MATCH($F$9&amp;$F$10,'EE - Input'!$B$3:$V$3,0))
*(INDEX('Vessel Configurator'!$C$30:$G$62,MATCH($D397,'Vessel Configurator'!$B$30:$B$62,0),Z$8)="Yes")
*INDEX(EE_Applicability,MATCH($D397,'Vessel Configurator'!$B$30:$B$62,0))</f>
        <v>0</v>
      </c>
      <c r="AU397" s="118" cm="1">
        <f t="array" aca="1" ref="AU397" ca="1">INDEX('EE - Input'!$B:$V,MATCH($C397,'EE - Input'!$B:$B,0),MATCH($F$9&amp;$F$10,'EE - Input'!$B$3:$V$3,0))
*(INDEX('Vessel Configurator'!$C$30:$G$62,MATCH($D397,'Vessel Configurator'!$B$30:$B$62,0),AT$8)="Yes")
*INDEX(EE_Applicability,MATCH($D397,'Vessel Configurator'!$B$30:$B$62,0))</f>
        <v>0</v>
      </c>
      <c r="BO397" s="118" cm="1">
        <f t="array" aca="1" ref="BO397" ca="1">INDEX('EE - Input'!$B:$V,MATCH($C397,'EE - Input'!$B:$B,0),MATCH($F$9&amp;$F$10,'EE - Input'!$B$3:$V$3,0))
*(INDEX('Vessel Configurator'!$C$30:$G$62,MATCH($D397,'Vessel Configurator'!$B$30:$B$62,0),BN$8)="Yes")
*INDEX(EE_Applicability,MATCH($D397,'Vessel Configurator'!$B$30:$B$62,0))</f>
        <v>0</v>
      </c>
      <c r="CI397" s="118" cm="1">
        <f t="array" aca="1" ref="CI397" ca="1">INDEX('EE - Input'!$B:$V,MATCH($C397,'EE - Input'!$B:$B,0),MATCH($F$9&amp;$F$10,'EE - Input'!$B$3:$V$3,0))
*(INDEX('Vessel Configurator'!$C$30:$G$62,MATCH($D397,'Vessel Configurator'!$B$30:$B$62,0),CH$8)="Yes")
*INDEX(EE_Applicability,MATCH($D397,'Vessel Configurator'!$B$30:$B$62,0))</f>
        <v>0</v>
      </c>
    </row>
    <row r="398" spans="2:87 16364:16364" outlineLevel="1" x14ac:dyDescent="0.2">
      <c r="B398" s="118"/>
      <c r="C398" t="str">
        <f t="shared" si="1019"/>
        <v>Maneuvering equipment (e.g. Thrusters)-OPEX</v>
      </c>
      <c r="D398" t="s">
        <v>454</v>
      </c>
      <c r="E398" s="224" t="s">
        <v>211</v>
      </c>
      <c r="F398" s="224" t="s">
        <v>319</v>
      </c>
      <c r="G398" s="118" cm="1">
        <f t="array" aca="1" ref="G398" ca="1">INDEX('EE - Input'!$B:$V,MATCH($C398,'EE - Input'!$B:$B,0),MATCH($F$9&amp;$F$10,'EE - Input'!$B$3:$V$3,0))
*(INDEX('Vessel Configurator'!$C$30:$G$62,MATCH($D398,'Vessel Configurator'!$B$30:$B$62,0),F$8)="Yes")
*INDEX(EE_Applicability,MATCH($D398,'Vessel Configurator'!$B$30:$B$62,0))</f>
        <v>0</v>
      </c>
      <c r="AA398" s="118" cm="1">
        <f t="array" aca="1" ref="AA398" ca="1">INDEX('EE - Input'!$B:$V,MATCH($C398,'EE - Input'!$B:$B,0),MATCH($F$9&amp;$F$10,'EE - Input'!$B$3:$V$3,0))
*(INDEX('Vessel Configurator'!$C$30:$G$62,MATCH($D398,'Vessel Configurator'!$B$30:$B$62,0),Z$8)="Yes")
*INDEX(EE_Applicability,MATCH($D398,'Vessel Configurator'!$B$30:$B$62,0))</f>
        <v>0</v>
      </c>
      <c r="AU398" s="118" cm="1">
        <f t="array" aca="1" ref="AU398" ca="1">INDEX('EE - Input'!$B:$V,MATCH($C398,'EE - Input'!$B:$B,0),MATCH($F$9&amp;$F$10,'EE - Input'!$B$3:$V$3,0))
*(INDEX('Vessel Configurator'!$C$30:$G$62,MATCH($D398,'Vessel Configurator'!$B$30:$B$62,0),AT$8)="Yes")
*INDEX(EE_Applicability,MATCH($D398,'Vessel Configurator'!$B$30:$B$62,0))</f>
        <v>0</v>
      </c>
      <c r="BO398" s="118" cm="1">
        <f t="array" aca="1" ref="BO398" ca="1">INDEX('EE - Input'!$B:$V,MATCH($C398,'EE - Input'!$B:$B,0),MATCH($F$9&amp;$F$10,'EE - Input'!$B$3:$V$3,0))
*(INDEX('Vessel Configurator'!$C$30:$G$62,MATCH($D398,'Vessel Configurator'!$B$30:$B$62,0),BN$8)="Yes")
*INDEX(EE_Applicability,MATCH($D398,'Vessel Configurator'!$B$30:$B$62,0))</f>
        <v>0</v>
      </c>
      <c r="CI398" s="118" cm="1">
        <f t="array" aca="1" ref="CI398" ca="1">INDEX('EE - Input'!$B:$V,MATCH($C398,'EE - Input'!$B:$B,0),MATCH($F$9&amp;$F$10,'EE - Input'!$B$3:$V$3,0))
*(INDEX('Vessel Configurator'!$C$30:$G$62,MATCH($D398,'Vessel Configurator'!$B$30:$B$62,0),CH$8)="Yes")
*INDEX(EE_Applicability,MATCH($D398,'Vessel Configurator'!$B$30:$B$62,0))</f>
        <v>0</v>
      </c>
    </row>
    <row r="399" spans="2:87 16364:16364" outlineLevel="1" x14ac:dyDescent="0.2">
      <c r="B399" s="118"/>
      <c r="C399" t="str">
        <f t="shared" si="1019"/>
        <v>AE Hybridization-OPEX</v>
      </c>
      <c r="D399" t="s">
        <v>164</v>
      </c>
      <c r="E399" s="224" t="s">
        <v>211</v>
      </c>
      <c r="F399" s="224" t="s">
        <v>319</v>
      </c>
      <c r="G399" s="118" cm="1">
        <f t="array" aca="1" ref="G399" ca="1">INDEX('EE - Input'!$B:$V,MATCH($C399,'EE - Input'!$B:$B,0),MATCH($F$9&amp;$F$10,'EE - Input'!$B$3:$V$3,0))
*(INDEX('Vessel Configurator'!$C$30:$G$62,MATCH($D399,'Vessel Configurator'!$B$30:$B$62,0),F$8)="Yes")
*INDEX(EE_Applicability,MATCH($D399,'Vessel Configurator'!$B$30:$B$62,0))</f>
        <v>0</v>
      </c>
      <c r="AA399" s="118" cm="1">
        <f t="array" aca="1" ref="AA399" ca="1">INDEX('EE - Input'!$B:$V,MATCH($C399,'EE - Input'!$B:$B,0),MATCH($F$9&amp;$F$10,'EE - Input'!$B$3:$V$3,0))
*(INDEX('Vessel Configurator'!$C$30:$G$62,MATCH($D399,'Vessel Configurator'!$B$30:$B$62,0),Z$8)="Yes")
*INDEX(EE_Applicability,MATCH($D399,'Vessel Configurator'!$B$30:$B$62,0))</f>
        <v>0</v>
      </c>
      <c r="AU399" s="118" cm="1">
        <f t="array" aca="1" ref="AU399" ca="1">INDEX('EE - Input'!$B:$V,MATCH($C399,'EE - Input'!$B:$B,0),MATCH($F$9&amp;$F$10,'EE - Input'!$B$3:$V$3,0))
*(INDEX('Vessel Configurator'!$C$30:$G$62,MATCH($D399,'Vessel Configurator'!$B$30:$B$62,0),AT$8)="Yes")
*INDEX(EE_Applicability,MATCH($D399,'Vessel Configurator'!$B$30:$B$62,0))</f>
        <v>0</v>
      </c>
      <c r="BO399" s="118" cm="1">
        <f t="array" aca="1" ref="BO399" ca="1">INDEX('EE - Input'!$B:$V,MATCH($C399,'EE - Input'!$B:$B,0),MATCH($F$9&amp;$F$10,'EE - Input'!$B$3:$V$3,0))
*(INDEX('Vessel Configurator'!$C$30:$G$62,MATCH($D399,'Vessel Configurator'!$B$30:$B$62,0),BN$8)="Yes")
*INDEX(EE_Applicability,MATCH($D399,'Vessel Configurator'!$B$30:$B$62,0))</f>
        <v>0</v>
      </c>
      <c r="CI399" s="118" cm="1">
        <f t="array" aca="1" ref="CI399" ca="1">INDEX('EE - Input'!$B:$V,MATCH($C399,'EE - Input'!$B:$B,0),MATCH($F$9&amp;$F$10,'EE - Input'!$B$3:$V$3,0))
*(INDEX('Vessel Configurator'!$C$30:$G$62,MATCH($D399,'Vessel Configurator'!$B$30:$B$62,0),CH$8)="Yes")
*INDEX(EE_Applicability,MATCH($D399,'Vessel Configurator'!$B$30:$B$62,0))</f>
        <v>0</v>
      </c>
    </row>
    <row r="400" spans="2:87 16364:16364" outlineLevel="1" x14ac:dyDescent="0.2">
      <c r="B400" s="118"/>
      <c r="C400" t="str">
        <f t="shared" si="1019"/>
        <v>Load optimization-OPEX</v>
      </c>
      <c r="D400" t="s">
        <v>165</v>
      </c>
      <c r="E400" s="224" t="s">
        <v>211</v>
      </c>
      <c r="F400" s="224" t="s">
        <v>319</v>
      </c>
      <c r="G400" s="118" cm="1">
        <f t="array" aca="1" ref="G400" ca="1">INDEX('EE - Input'!$B:$V,MATCH($C400,'EE - Input'!$B:$B,0),MATCH($F$9&amp;$F$10,'EE - Input'!$B$3:$V$3,0))
*(INDEX('Vessel Configurator'!$C$30:$G$62,MATCH($D400,'Vessel Configurator'!$B$30:$B$62,0),F$8)="Yes")
*INDEX(EE_Applicability,MATCH($D400,'Vessel Configurator'!$B$30:$B$62,0))</f>
        <v>0</v>
      </c>
      <c r="AA400" s="118" cm="1">
        <f t="array" aca="1" ref="AA400" ca="1">INDEX('EE - Input'!$B:$V,MATCH($C400,'EE - Input'!$B:$B,0),MATCH($F$9&amp;$F$10,'EE - Input'!$B$3:$V$3,0))
*(INDEX('Vessel Configurator'!$C$30:$G$62,MATCH($D400,'Vessel Configurator'!$B$30:$B$62,0),Z$8)="Yes")
*INDEX(EE_Applicability,MATCH($D400,'Vessel Configurator'!$B$30:$B$62,0))</f>
        <v>0</v>
      </c>
      <c r="AU400" s="118" cm="1">
        <f t="array" aca="1" ref="AU400" ca="1">INDEX('EE - Input'!$B:$V,MATCH($C400,'EE - Input'!$B:$B,0),MATCH($F$9&amp;$F$10,'EE - Input'!$B$3:$V$3,0))
*(INDEX('Vessel Configurator'!$C$30:$G$62,MATCH($D400,'Vessel Configurator'!$B$30:$B$62,0),AT$8)="Yes")
*INDEX(EE_Applicability,MATCH($D400,'Vessel Configurator'!$B$30:$B$62,0))</f>
        <v>0</v>
      </c>
      <c r="BO400" s="118" cm="1">
        <f t="array" aca="1" ref="BO400" ca="1">INDEX('EE - Input'!$B:$V,MATCH($C400,'EE - Input'!$B:$B,0),MATCH($F$9&amp;$F$10,'EE - Input'!$B$3:$V$3,0))
*(INDEX('Vessel Configurator'!$C$30:$G$62,MATCH($D400,'Vessel Configurator'!$B$30:$B$62,0),BN$8)="Yes")
*INDEX(EE_Applicability,MATCH($D400,'Vessel Configurator'!$B$30:$B$62,0))</f>
        <v>0</v>
      </c>
      <c r="CI400" s="118" cm="1">
        <f t="array" aca="1" ref="CI400" ca="1">INDEX('EE - Input'!$B:$V,MATCH($C400,'EE - Input'!$B:$B,0),MATCH($F$9&amp;$F$10,'EE - Input'!$B$3:$V$3,0))
*(INDEX('Vessel Configurator'!$C$30:$G$62,MATCH($D400,'Vessel Configurator'!$B$30:$B$62,0),CH$8)="Yes")
*INDEX(EE_Applicability,MATCH($D400,'Vessel Configurator'!$B$30:$B$62,0))</f>
        <v>0</v>
      </c>
    </row>
    <row r="401" spans="2:87" outlineLevel="1" x14ac:dyDescent="0.2">
      <c r="B401" s="118"/>
      <c r="F401"/>
    </row>
    <row r="402" spans="2:87" outlineLevel="1" x14ac:dyDescent="0.2">
      <c r="B402" s="118"/>
      <c r="C402" t="str">
        <f t="shared" si="1019"/>
        <v>EE Boiler system-OPEX</v>
      </c>
      <c r="D402" s="266" t="s">
        <v>455</v>
      </c>
      <c r="E402" s="266" t="s">
        <v>211</v>
      </c>
      <c r="F402" s="224" t="s">
        <v>319</v>
      </c>
      <c r="G402" s="324">
        <f ca="1">IFERROR(SUM(G403:G405),0)</f>
        <v>0</v>
      </c>
      <c r="AA402" s="324">
        <f ca="1">IFERROR(SUM(AA403:AA405),0)</f>
        <v>0</v>
      </c>
      <c r="AU402" s="324">
        <f ca="1">IFERROR(SUM(AU403:AU405),0)</f>
        <v>0</v>
      </c>
      <c r="BO402" s="324">
        <f ca="1">IFERROR(SUM(BO403:BO405),0)</f>
        <v>0</v>
      </c>
      <c r="CI402" s="324">
        <f ca="1">IFERROR(SUM(CI403:CI405),0)</f>
        <v>0</v>
      </c>
    </row>
    <row r="403" spans="2:87" outlineLevel="1" x14ac:dyDescent="0.2">
      <c r="B403" s="118"/>
      <c r="C403" t="str">
        <f t="shared" si="1019"/>
        <v>Steam system efficiency-OPEX</v>
      </c>
      <c r="D403" t="s">
        <v>166</v>
      </c>
      <c r="E403" s="224" t="s">
        <v>211</v>
      </c>
      <c r="F403" s="224" t="s">
        <v>319</v>
      </c>
      <c r="G403" s="118" cm="1">
        <f t="array" aca="1" ref="G403" ca="1">INDEX('EE - Input'!$B:$V,MATCH($C403,'EE - Input'!$B:$B,0),MATCH($F$9&amp;$F$10,'EE - Input'!$B$3:$V$3,0))
*(INDEX('Vessel Configurator'!$C$30:$G$62,MATCH($D403,'Vessel Configurator'!$B$30:$B$62,0),F$8)="Yes")
*INDEX(EE_Applicability,MATCH($D403,'Vessel Configurator'!$B$30:$B$62,0))</f>
        <v>0</v>
      </c>
      <c r="AA403" s="118" cm="1">
        <f t="array" aca="1" ref="AA403" ca="1">INDEX('EE - Input'!$B:$V,MATCH($C403,'EE - Input'!$B:$B,0),MATCH($F$9&amp;$F$10,'EE - Input'!$B$3:$V$3,0))
*(INDEX('Vessel Configurator'!$C$30:$G$62,MATCH($D403,'Vessel Configurator'!$B$30:$B$62,0),Z$8)="Yes")
*INDEX(EE_Applicability,MATCH($D403,'Vessel Configurator'!$B$30:$B$62,0))</f>
        <v>0</v>
      </c>
      <c r="AU403" s="118" cm="1">
        <f t="array" aca="1" ref="AU403" ca="1">INDEX('EE - Input'!$B:$V,MATCH($C403,'EE - Input'!$B:$B,0),MATCH($F$9&amp;$F$10,'EE - Input'!$B$3:$V$3,0))
*(INDEX('Vessel Configurator'!$C$30:$G$62,MATCH($D403,'Vessel Configurator'!$B$30:$B$62,0),AT$8)="Yes")
*INDEX(EE_Applicability,MATCH($D403,'Vessel Configurator'!$B$30:$B$62,0))</f>
        <v>0</v>
      </c>
      <c r="BO403" s="118" cm="1">
        <f t="array" aca="1" ref="BO403" ca="1">INDEX('EE - Input'!$B:$V,MATCH($C403,'EE - Input'!$B:$B,0),MATCH($F$9&amp;$F$10,'EE - Input'!$B$3:$V$3,0))
*(INDEX('Vessel Configurator'!$C$30:$G$62,MATCH($D403,'Vessel Configurator'!$B$30:$B$62,0),BN$8)="Yes")
*INDEX(EE_Applicability,MATCH($D403,'Vessel Configurator'!$B$30:$B$62,0))</f>
        <v>0</v>
      </c>
      <c r="CI403" s="118" cm="1">
        <f t="array" aca="1" ref="CI403" ca="1">INDEX('EE - Input'!$B:$V,MATCH($C403,'EE - Input'!$B:$B,0),MATCH($F$9&amp;$F$10,'EE - Input'!$B$3:$V$3,0))
*(INDEX('Vessel Configurator'!$C$30:$G$62,MATCH($D403,'Vessel Configurator'!$B$30:$B$62,0),CH$8)="Yes")
*INDEX(EE_Applicability,MATCH($D403,'Vessel Configurator'!$B$30:$B$62,0))</f>
        <v>0</v>
      </c>
    </row>
    <row r="404" spans="2:87" outlineLevel="1" x14ac:dyDescent="0.2">
      <c r="B404" s="118"/>
      <c r="C404" t="str">
        <f t="shared" si="1019"/>
        <v>Cargo systems (e.g. Cargo pumps)-OPEX</v>
      </c>
      <c r="D404" t="s">
        <v>167</v>
      </c>
      <c r="E404" s="224" t="s">
        <v>211</v>
      </c>
      <c r="F404" s="224" t="s">
        <v>319</v>
      </c>
      <c r="G404" s="118" cm="1">
        <f t="array" aca="1" ref="G404" ca="1">INDEX('EE - Input'!$B:$V,MATCH($C404,'EE - Input'!$B:$B,0),MATCH($F$9&amp;$F$10,'EE - Input'!$B$3:$V$3,0))
*(INDEX('Vessel Configurator'!$C$30:$G$62,MATCH($D404,'Vessel Configurator'!$B$30:$B$62,0),F$8)="Yes")
*INDEX(EE_Applicability,MATCH($D404,'Vessel Configurator'!$B$30:$B$62,0))</f>
        <v>0</v>
      </c>
      <c r="AA404" s="118" cm="1">
        <f t="array" aca="1" ref="AA404" ca="1">INDEX('EE - Input'!$B:$V,MATCH($C404,'EE - Input'!$B:$B,0),MATCH($F$9&amp;$F$10,'EE - Input'!$B$3:$V$3,0))
*(INDEX('Vessel Configurator'!$C$30:$G$62,MATCH($D404,'Vessel Configurator'!$B$30:$B$62,0),Z$8)="Yes")
*INDEX(EE_Applicability,MATCH($D404,'Vessel Configurator'!$B$30:$B$62,0))</f>
        <v>0</v>
      </c>
      <c r="AU404" s="118" cm="1">
        <f t="array" aca="1" ref="AU404" ca="1">INDEX('EE - Input'!$B:$V,MATCH($C404,'EE - Input'!$B:$B,0),MATCH($F$9&amp;$F$10,'EE - Input'!$B$3:$V$3,0))
*(INDEX('Vessel Configurator'!$C$30:$G$62,MATCH($D404,'Vessel Configurator'!$B$30:$B$62,0),AT$8)="Yes")
*INDEX(EE_Applicability,MATCH($D404,'Vessel Configurator'!$B$30:$B$62,0))</f>
        <v>0</v>
      </c>
      <c r="BO404" s="118" cm="1">
        <f t="array" aca="1" ref="BO404" ca="1">INDEX('EE - Input'!$B:$V,MATCH($C404,'EE - Input'!$B:$B,0),MATCH($F$9&amp;$F$10,'EE - Input'!$B$3:$V$3,0))
*(INDEX('Vessel Configurator'!$C$30:$G$62,MATCH($D404,'Vessel Configurator'!$B$30:$B$62,0),BN$8)="Yes")
*INDEX(EE_Applicability,MATCH($D404,'Vessel Configurator'!$B$30:$B$62,0))</f>
        <v>0</v>
      </c>
      <c r="CI404" s="118" cm="1">
        <f t="array" aca="1" ref="CI404" ca="1">INDEX('EE - Input'!$B:$V,MATCH($C404,'EE - Input'!$B:$B,0),MATCH($F$9&amp;$F$10,'EE - Input'!$B$3:$V$3,0))
*(INDEX('Vessel Configurator'!$C$30:$G$62,MATCH($D404,'Vessel Configurator'!$B$30:$B$62,0),CH$8)="Yes")
*INDEX(EE_Applicability,MATCH($D404,'Vessel Configurator'!$B$30:$B$62,0))</f>
        <v>0</v>
      </c>
    </row>
    <row r="405" spans="2:87" outlineLevel="1" x14ac:dyDescent="0.2">
      <c r="B405" s="118"/>
      <c r="C405" t="str">
        <f t="shared" si="1019"/>
        <v>Exhaust gas boiler on AE-OPEX</v>
      </c>
      <c r="D405" t="s">
        <v>168</v>
      </c>
      <c r="E405" s="224" t="s">
        <v>211</v>
      </c>
      <c r="F405" s="224" t="s">
        <v>319</v>
      </c>
      <c r="G405" s="118" cm="1">
        <f t="array" aca="1" ref="G405" ca="1">INDEX('EE - Input'!$B:$V,MATCH($C405,'EE - Input'!$B:$B,0),MATCH($F$9&amp;$F$10,'EE - Input'!$B$3:$V$3,0))
*(INDEX('Vessel Configurator'!$C$30:$G$62,MATCH($D405,'Vessel Configurator'!$B$30:$B$62,0),F$8)="Yes")
*INDEX(EE_Applicability,MATCH($D405,'Vessel Configurator'!$B$30:$B$62,0))</f>
        <v>0</v>
      </c>
      <c r="AA405" s="118" cm="1">
        <f t="array" aca="1" ref="AA405" ca="1">INDEX('EE - Input'!$B:$V,MATCH($C405,'EE - Input'!$B:$B,0),MATCH($F$9&amp;$F$10,'EE - Input'!$B$3:$V$3,0))
*(INDEX('Vessel Configurator'!$C$30:$G$62,MATCH($D405,'Vessel Configurator'!$B$30:$B$62,0),Z$8)="Yes")
*INDEX(EE_Applicability,MATCH($D405,'Vessel Configurator'!$B$30:$B$62,0))</f>
        <v>0</v>
      </c>
      <c r="AU405" s="118" cm="1">
        <f t="array" aca="1" ref="AU405" ca="1">INDEX('EE - Input'!$B:$V,MATCH($C405,'EE - Input'!$B:$B,0),MATCH($F$9&amp;$F$10,'EE - Input'!$B$3:$V$3,0))
*(INDEX('Vessel Configurator'!$C$30:$G$62,MATCH($D405,'Vessel Configurator'!$B$30:$B$62,0),AT$8)="Yes")
*INDEX(EE_Applicability,MATCH($D405,'Vessel Configurator'!$B$30:$B$62,0))</f>
        <v>0</v>
      </c>
      <c r="BO405" s="118" cm="1">
        <f t="array" aca="1" ref="BO405" ca="1">INDEX('EE - Input'!$B:$V,MATCH($C405,'EE - Input'!$B:$B,0),MATCH($F$9&amp;$F$10,'EE - Input'!$B$3:$V$3,0))
*(INDEX('Vessel Configurator'!$C$30:$G$62,MATCH($D405,'Vessel Configurator'!$B$30:$B$62,0),BN$8)="Yes")
*INDEX(EE_Applicability,MATCH($D405,'Vessel Configurator'!$B$30:$B$62,0))</f>
        <v>0</v>
      </c>
      <c r="CI405" s="118" cm="1">
        <f t="array" aca="1" ref="CI405" ca="1">INDEX('EE - Input'!$B:$V,MATCH($C405,'EE - Input'!$B:$B,0),MATCH($F$9&amp;$F$10,'EE - Input'!$B$3:$V$3,0))
*(INDEX('Vessel Configurator'!$C$30:$G$62,MATCH($D405,'Vessel Configurator'!$B$30:$B$62,0),CH$8)="Yes")
*INDEX(EE_Applicability,MATCH($D405,'Vessel Configurator'!$B$30:$B$62,0))</f>
        <v>0</v>
      </c>
    </row>
    <row r="406" spans="2:87" outlineLevel="1" x14ac:dyDescent="0.2">
      <c r="B406" s="118"/>
      <c r="D406" s="12"/>
      <c r="G406" s="18"/>
      <c r="AA406" s="18"/>
      <c r="AU406" s="18"/>
      <c r="BO406" s="18"/>
      <c r="CI406" s="18"/>
    </row>
    <row r="407" spans="2:87" outlineLevel="1" x14ac:dyDescent="0.2">
      <c r="B407" s="118"/>
      <c r="D407" s="16"/>
      <c r="G407" s="65"/>
      <c r="AA407" s="65"/>
      <c r="AU407" s="65"/>
      <c r="BO407" s="65"/>
      <c r="CI407" s="65"/>
    </row>
    <row r="408" spans="2:87" outlineLevel="1" x14ac:dyDescent="0.2">
      <c r="C408" s="322" t="s">
        <v>462</v>
      </c>
      <c r="D408" s="322" t="s">
        <v>463</v>
      </c>
      <c r="E408" s="322" t="s">
        <v>464</v>
      </c>
      <c r="F408" s="321"/>
      <c r="G408" s="264"/>
      <c r="AA408" s="264"/>
      <c r="AU408" s="264"/>
      <c r="BO408" s="264"/>
      <c r="CI408" s="264"/>
    </row>
    <row r="409" spans="2:87" outlineLevel="1" x14ac:dyDescent="0.2">
      <c r="B409" s="266" t="s">
        <v>451</v>
      </c>
      <c r="C409" t="str">
        <f>D409&amp;"-"&amp;F409</f>
        <v>Speed management-Payback</v>
      </c>
      <c r="D409" t="s">
        <v>134</v>
      </c>
      <c r="E409" s="224" t="s">
        <v>464</v>
      </c>
      <c r="F409" s="224" t="s">
        <v>465</v>
      </c>
      <c r="G409" s="95">
        <f ca="1">IFERROR(IF($B285&gt;0,IF((G285*$B285)/((1-G328)*G$258-G369)&lt;0,999,(G285*$B285)/((1-G328)*G$258-G369)),999),999)</f>
        <v>999</v>
      </c>
      <c r="AA409" s="95">
        <f ca="1">IFERROR(IF($B285&gt;0,IF((AA285*$B285)/((1-AA328)*AA$258-AA369)&lt;0,999,(AA285*$B285)/((1-AA328)*AA$258-AA369)),999),999)</f>
        <v>999</v>
      </c>
      <c r="AU409" s="95">
        <f ca="1">IFERROR(IF($B285&gt;0,IF((AU285*$B285)/((1-AU328)*AU$258-AU369)&lt;0,999,(AU285*$B285)/((1-AU328)*AU$258-AU369)),999),999)</f>
        <v>999</v>
      </c>
      <c r="BO409" s="95">
        <f ca="1">IFERROR(IF($B285&gt;0,IF((BO285*$B285)/((1-BO328)*BO$258-BO369)&lt;0,999,(BO285*$B285)/((1-BO328)*BO$258-BO369)),999),999)</f>
        <v>999</v>
      </c>
      <c r="CI409" s="95">
        <f ca="1">IFERROR(IF($B285&gt;0,IF((CI285*$B285)/((1-CI328)*CI$258-CI369)&lt;0,999,(CI285*$B285)/((1-CI328)*CI$258-CI369)),999),999)</f>
        <v>999</v>
      </c>
    </row>
    <row r="410" spans="2:87" outlineLevel="1" x14ac:dyDescent="0.2">
      <c r="C410" t="str">
        <f t="shared" ref="C410:C441" si="1020">D410&amp;"-"&amp;F410</f>
        <v>Weather routing-Payback</v>
      </c>
      <c r="D410" t="s">
        <v>136</v>
      </c>
      <c r="E410" s="224" t="s">
        <v>464</v>
      </c>
      <c r="F410" s="224" t="s">
        <v>465</v>
      </c>
      <c r="G410" s="95">
        <f t="shared" ref="G410:G428" ca="1" si="1021">IFERROR(IF($B286&gt;0,IF((G286*$B286)/((1-G329)*G$258-G370)&lt;0,999,(G286*$B286)/((1-G329)*G$258-G370)),999),999)</f>
        <v>999</v>
      </c>
      <c r="AA410" s="95">
        <f t="shared" ref="AA410:AA428" ca="1" si="1022">IFERROR(IF($B286&gt;0,IF((AA286*$B286)/((1-AA329)*AA$258-AA370)&lt;0,999,(AA286*$B286)/((1-AA329)*AA$258-AA370)),999),999)</f>
        <v>999</v>
      </c>
      <c r="AU410" s="95">
        <f t="shared" ref="AU410:AU428" ca="1" si="1023">IFERROR(IF($B286&gt;0,IF((AU286*$B286)/((1-AU329)*AU$258-AU370)&lt;0,999,(AU286*$B286)/((1-AU329)*AU$258-AU370)),999),999)</f>
        <v>999</v>
      </c>
      <c r="BO410" s="95">
        <f t="shared" ref="BO410:BO428" ca="1" si="1024">IFERROR(IF($B286&gt;0,IF((BO286*$B286)/((1-BO329)*BO$258-BO370)&lt;0,999,(BO286*$B286)/((1-BO329)*BO$258-BO370)),999),999)</f>
        <v>999</v>
      </c>
      <c r="CI410" s="95">
        <f t="shared" ref="CI410:CI428" ca="1" si="1025">IFERROR(IF($B286&gt;0,IF((CI286*$B286)/((1-CI329)*CI$258-CI370)&lt;0,999,(CI286*$B286)/((1-CI329)*CI$258-CI370)),999),999)</f>
        <v>999</v>
      </c>
    </row>
    <row r="411" spans="2:87" outlineLevel="1" x14ac:dyDescent="0.2">
      <c r="C411" t="str">
        <f t="shared" si="1020"/>
        <v>ME Hybridization -Payback</v>
      </c>
      <c r="D411" t="s">
        <v>137</v>
      </c>
      <c r="E411" s="224" t="s">
        <v>464</v>
      </c>
      <c r="F411" s="224" t="s">
        <v>465</v>
      </c>
      <c r="G411" s="95">
        <f t="shared" ca="1" si="1021"/>
        <v>999</v>
      </c>
      <c r="AA411" s="95">
        <f t="shared" ca="1" si="1022"/>
        <v>999</v>
      </c>
      <c r="AU411" s="95">
        <f t="shared" ca="1" si="1023"/>
        <v>999</v>
      </c>
      <c r="BO411" s="95">
        <f t="shared" ca="1" si="1024"/>
        <v>999</v>
      </c>
      <c r="CI411" s="95">
        <f t="shared" ca="1" si="1025"/>
        <v>999</v>
      </c>
    </row>
    <row r="412" spans="2:87" outlineLevel="1" x14ac:dyDescent="0.2">
      <c r="C412" t="str">
        <f t="shared" si="1020"/>
        <v>Engine de-rating-Payback</v>
      </c>
      <c r="D412" t="s">
        <v>139</v>
      </c>
      <c r="E412" s="224" t="s">
        <v>464</v>
      </c>
      <c r="F412" s="224" t="s">
        <v>465</v>
      </c>
      <c r="G412" s="95">
        <f t="shared" ca="1" si="1021"/>
        <v>999</v>
      </c>
      <c r="AA412" s="95">
        <f t="shared" ca="1" si="1022"/>
        <v>999</v>
      </c>
      <c r="AU412" s="95">
        <f t="shared" ca="1" si="1023"/>
        <v>999</v>
      </c>
      <c r="BO412" s="95">
        <f t="shared" ca="1" si="1024"/>
        <v>999</v>
      </c>
      <c r="CI412" s="95">
        <f t="shared" ca="1" si="1025"/>
        <v>999</v>
      </c>
    </row>
    <row r="413" spans="2:87" outlineLevel="1" x14ac:dyDescent="0.2">
      <c r="C413" t="str">
        <f t="shared" si="1020"/>
        <v>Engine tuning-Payback</v>
      </c>
      <c r="D413" t="s">
        <v>140</v>
      </c>
      <c r="E413" s="224" t="s">
        <v>464</v>
      </c>
      <c r="F413" s="224" t="s">
        <v>465</v>
      </c>
      <c r="G413" s="95">
        <f t="shared" ca="1" si="1021"/>
        <v>999</v>
      </c>
      <c r="AA413" s="95">
        <f t="shared" ca="1" si="1022"/>
        <v>999</v>
      </c>
      <c r="AU413" s="95">
        <f t="shared" ca="1" si="1023"/>
        <v>999</v>
      </c>
      <c r="BO413" s="95">
        <f t="shared" ca="1" si="1024"/>
        <v>999</v>
      </c>
      <c r="CI413" s="95">
        <f t="shared" ca="1" si="1025"/>
        <v>999</v>
      </c>
    </row>
    <row r="414" spans="2:87" outlineLevel="1" x14ac:dyDescent="0.2">
      <c r="C414" t="str">
        <f t="shared" si="1020"/>
        <v>Shaft motor (Driven by WHR)-Payback</v>
      </c>
      <c r="D414" t="s">
        <v>141</v>
      </c>
      <c r="E414" s="224" t="s">
        <v>464</v>
      </c>
      <c r="F414" s="224" t="s">
        <v>465</v>
      </c>
      <c r="G414" s="95">
        <f t="shared" ca="1" si="1021"/>
        <v>999</v>
      </c>
      <c r="AA414" s="95">
        <f t="shared" ca="1" si="1022"/>
        <v>999</v>
      </c>
      <c r="AU414" s="95">
        <f t="shared" ca="1" si="1023"/>
        <v>999</v>
      </c>
      <c r="BO414" s="95">
        <f t="shared" ca="1" si="1024"/>
        <v>999</v>
      </c>
      <c r="CI414" s="95">
        <f t="shared" ca="1" si="1025"/>
        <v>999</v>
      </c>
    </row>
    <row r="415" spans="2:87" outlineLevel="1" x14ac:dyDescent="0.2">
      <c r="C415" t="str">
        <f t="shared" si="1020"/>
        <v>Hull shape optimisation-Payback</v>
      </c>
      <c r="D415" t="s">
        <v>142</v>
      </c>
      <c r="E415" s="224" t="s">
        <v>464</v>
      </c>
      <c r="F415" s="224" t="s">
        <v>465</v>
      </c>
      <c r="G415" s="95">
        <f t="shared" ca="1" si="1021"/>
        <v>999</v>
      </c>
      <c r="AA415" s="95">
        <f t="shared" ca="1" si="1022"/>
        <v>999</v>
      </c>
      <c r="AU415" s="95">
        <f t="shared" ca="1" si="1023"/>
        <v>999</v>
      </c>
      <c r="BO415" s="95">
        <f t="shared" ca="1" si="1024"/>
        <v>999</v>
      </c>
      <c r="CI415" s="95">
        <f t="shared" ca="1" si="1025"/>
        <v>999</v>
      </c>
    </row>
    <row r="416" spans="2:87" outlineLevel="1" x14ac:dyDescent="0.2">
      <c r="C416" t="str">
        <f t="shared" si="1020"/>
        <v>Lightweight hull-Payback</v>
      </c>
      <c r="D416" t="s">
        <v>143</v>
      </c>
      <c r="E416" s="224" t="s">
        <v>464</v>
      </c>
      <c r="F416" s="224" t="s">
        <v>465</v>
      </c>
      <c r="G416" s="95">
        <f t="shared" ca="1" si="1021"/>
        <v>999</v>
      </c>
      <c r="AA416" s="95">
        <f t="shared" ca="1" si="1022"/>
        <v>999</v>
      </c>
      <c r="AU416" s="95">
        <f t="shared" ca="1" si="1023"/>
        <v>999</v>
      </c>
      <c r="BO416" s="95">
        <f t="shared" ca="1" si="1024"/>
        <v>999</v>
      </c>
      <c r="CI416" s="95">
        <f t="shared" ca="1" si="1025"/>
        <v>999</v>
      </c>
    </row>
    <row r="417" spans="2:87" outlineLevel="1" x14ac:dyDescent="0.2">
      <c r="C417" t="str">
        <f t="shared" si="1020"/>
        <v>Hull paint/coating-Payback</v>
      </c>
      <c r="D417" t="s">
        <v>144</v>
      </c>
      <c r="E417" s="224" t="s">
        <v>464</v>
      </c>
      <c r="F417" s="224" t="s">
        <v>465</v>
      </c>
      <c r="G417" s="95">
        <f t="shared" ca="1" si="1021"/>
        <v>999</v>
      </c>
      <c r="AA417" s="95">
        <f t="shared" ca="1" si="1022"/>
        <v>999</v>
      </c>
      <c r="AU417" s="95">
        <f t="shared" ca="1" si="1023"/>
        <v>999</v>
      </c>
      <c r="BO417" s="95">
        <f t="shared" ca="1" si="1024"/>
        <v>999</v>
      </c>
      <c r="CI417" s="95">
        <f t="shared" ca="1" si="1025"/>
        <v>999</v>
      </c>
    </row>
    <row r="418" spans="2:87" outlineLevel="1" x14ac:dyDescent="0.2">
      <c r="C418" t="str">
        <f t="shared" si="1020"/>
        <v>Hull cleaning-Payback</v>
      </c>
      <c r="D418" t="s">
        <v>145</v>
      </c>
      <c r="E418" s="224" t="s">
        <v>464</v>
      </c>
      <c r="F418" s="224" t="s">
        <v>465</v>
      </c>
      <c r="G418" s="95">
        <f t="shared" ca="1" si="1021"/>
        <v>999</v>
      </c>
      <c r="AA418" s="95">
        <f t="shared" ca="1" si="1022"/>
        <v>999</v>
      </c>
      <c r="AU418" s="95">
        <f t="shared" ca="1" si="1023"/>
        <v>999</v>
      </c>
      <c r="BO418" s="95">
        <f t="shared" ca="1" si="1024"/>
        <v>999</v>
      </c>
      <c r="CI418" s="95">
        <f t="shared" ca="1" si="1025"/>
        <v>999</v>
      </c>
    </row>
    <row r="419" spans="2:87" outlineLevel="1" x14ac:dyDescent="0.2">
      <c r="C419" t="str">
        <f t="shared" si="1020"/>
        <v>Air cavity lubrication-Payback</v>
      </c>
      <c r="D419" t="s">
        <v>146</v>
      </c>
      <c r="E419" s="224" t="s">
        <v>464</v>
      </c>
      <c r="F419" s="224" t="s">
        <v>465</v>
      </c>
      <c r="G419" s="95">
        <f t="shared" ca="1" si="1021"/>
        <v>999</v>
      </c>
      <c r="AA419" s="95">
        <f t="shared" ca="1" si="1022"/>
        <v>999</v>
      </c>
      <c r="AU419" s="95">
        <f t="shared" ca="1" si="1023"/>
        <v>999</v>
      </c>
      <c r="BO419" s="95">
        <f t="shared" ca="1" si="1024"/>
        <v>999</v>
      </c>
      <c r="CI419" s="95">
        <f t="shared" ca="1" si="1025"/>
        <v>999</v>
      </c>
    </row>
    <row r="420" spans="2:87" outlineLevel="1" x14ac:dyDescent="0.2">
      <c r="C420" t="str">
        <f t="shared" si="1020"/>
        <v>Trim and draft optimization-Payback</v>
      </c>
      <c r="D420" t="s">
        <v>147</v>
      </c>
      <c r="E420" s="224" t="s">
        <v>464</v>
      </c>
      <c r="F420" s="224" t="s">
        <v>465</v>
      </c>
      <c r="G420" s="95">
        <f t="shared" ca="1" si="1021"/>
        <v>999</v>
      </c>
      <c r="AA420" s="95">
        <f t="shared" ca="1" si="1022"/>
        <v>999</v>
      </c>
      <c r="AU420" s="95">
        <f t="shared" ca="1" si="1023"/>
        <v>999</v>
      </c>
      <c r="BO420" s="95">
        <f t="shared" ca="1" si="1024"/>
        <v>999</v>
      </c>
      <c r="CI420" s="95">
        <f t="shared" ca="1" si="1025"/>
        <v>999</v>
      </c>
    </row>
    <row r="421" spans="2:87" outlineLevel="1" x14ac:dyDescent="0.2">
      <c r="C421" t="str">
        <f t="shared" si="1020"/>
        <v>Hull retrofit-Payback</v>
      </c>
      <c r="D421" t="s">
        <v>148</v>
      </c>
      <c r="E421" s="224" t="s">
        <v>464</v>
      </c>
      <c r="F421" s="224" t="s">
        <v>465</v>
      </c>
      <c r="G421" s="95">
        <f t="shared" ca="1" si="1021"/>
        <v>999</v>
      </c>
      <c r="AA421" s="95">
        <f t="shared" ca="1" si="1022"/>
        <v>999</v>
      </c>
      <c r="AU421" s="95">
        <f t="shared" ca="1" si="1023"/>
        <v>999</v>
      </c>
      <c r="BO421" s="95">
        <f t="shared" ca="1" si="1024"/>
        <v>999</v>
      </c>
      <c r="CI421" s="95">
        <f t="shared" ca="1" si="1025"/>
        <v>999</v>
      </c>
    </row>
    <row r="422" spans="2:87" outlineLevel="1" x14ac:dyDescent="0.2">
      <c r="C422" t="str">
        <f t="shared" si="1020"/>
        <v>Propeller cleaning-Payback</v>
      </c>
      <c r="D422" t="s">
        <v>149</v>
      </c>
      <c r="E422" s="224" t="s">
        <v>464</v>
      </c>
      <c r="F422" s="224" t="s">
        <v>465</v>
      </c>
      <c r="G422" s="95">
        <f t="shared" ca="1" si="1021"/>
        <v>999</v>
      </c>
      <c r="AA422" s="95">
        <f t="shared" ca="1" si="1022"/>
        <v>999</v>
      </c>
      <c r="AU422" s="95">
        <f t="shared" ca="1" si="1023"/>
        <v>999</v>
      </c>
      <c r="BO422" s="95">
        <f t="shared" ca="1" si="1024"/>
        <v>999</v>
      </c>
      <c r="CI422" s="95">
        <f t="shared" ca="1" si="1025"/>
        <v>999</v>
      </c>
    </row>
    <row r="423" spans="2:87" outlineLevel="1" x14ac:dyDescent="0.2">
      <c r="C423" t="str">
        <f t="shared" si="1020"/>
        <v>Propeller re-fitting-Payback</v>
      </c>
      <c r="D423" t="s">
        <v>150</v>
      </c>
      <c r="E423" s="224" t="s">
        <v>464</v>
      </c>
      <c r="F423" s="224" t="s">
        <v>465</v>
      </c>
      <c r="G423" s="95">
        <f t="shared" ca="1" si="1021"/>
        <v>999</v>
      </c>
      <c r="AA423" s="95">
        <f t="shared" ca="1" si="1022"/>
        <v>999</v>
      </c>
      <c r="AU423" s="95">
        <f t="shared" ca="1" si="1023"/>
        <v>999</v>
      </c>
      <c r="BO423" s="95">
        <f t="shared" ca="1" si="1024"/>
        <v>999</v>
      </c>
      <c r="CI423" s="95">
        <f t="shared" ca="1" si="1025"/>
        <v>999</v>
      </c>
    </row>
    <row r="424" spans="2:87" outlineLevel="1" x14ac:dyDescent="0.2">
      <c r="C424" t="str">
        <f t="shared" si="1020"/>
        <v>Propeller improvement devices-Payback</v>
      </c>
      <c r="D424" t="s">
        <v>151</v>
      </c>
      <c r="E424" s="224" t="s">
        <v>464</v>
      </c>
      <c r="F424" s="224" t="s">
        <v>465</v>
      </c>
      <c r="G424" s="95">
        <f t="shared" ca="1" si="1021"/>
        <v>999</v>
      </c>
      <c r="AA424" s="95">
        <f t="shared" ca="1" si="1022"/>
        <v>999</v>
      </c>
      <c r="AU424" s="95">
        <f t="shared" ca="1" si="1023"/>
        <v>999</v>
      </c>
      <c r="BO424" s="95">
        <f t="shared" ca="1" si="1024"/>
        <v>999</v>
      </c>
      <c r="CI424" s="95">
        <f t="shared" ca="1" si="1025"/>
        <v>999</v>
      </c>
    </row>
    <row r="425" spans="2:87" outlineLevel="1" x14ac:dyDescent="0.2">
      <c r="C425" t="str">
        <f t="shared" si="1020"/>
        <v>Rudder autopilot-Payback</v>
      </c>
      <c r="D425" t="s">
        <v>152</v>
      </c>
      <c r="E425" s="224" t="s">
        <v>464</v>
      </c>
      <c r="F425" s="224" t="s">
        <v>465</v>
      </c>
      <c r="G425" s="95">
        <f t="shared" ca="1" si="1021"/>
        <v>999</v>
      </c>
      <c r="AA425" s="95">
        <f t="shared" ca="1" si="1022"/>
        <v>999</v>
      </c>
      <c r="AU425" s="95">
        <f t="shared" ca="1" si="1023"/>
        <v>999</v>
      </c>
      <c r="BO425" s="95">
        <f t="shared" ca="1" si="1024"/>
        <v>999</v>
      </c>
      <c r="CI425" s="95">
        <f t="shared" ca="1" si="1025"/>
        <v>999</v>
      </c>
    </row>
    <row r="426" spans="2:87" outlineLevel="1" x14ac:dyDescent="0.2">
      <c r="C426" t="str">
        <f t="shared" si="1020"/>
        <v>Flettner rotors-Payback</v>
      </c>
      <c r="D426" t="s">
        <v>153</v>
      </c>
      <c r="E426" s="224" t="s">
        <v>464</v>
      </c>
      <c r="F426" s="224" t="s">
        <v>465</v>
      </c>
      <c r="G426" s="95">
        <f t="shared" ca="1" si="1021"/>
        <v>999</v>
      </c>
      <c r="AA426" s="95">
        <f t="shared" ca="1" si="1022"/>
        <v>999</v>
      </c>
      <c r="AU426" s="95">
        <f t="shared" ca="1" si="1023"/>
        <v>999</v>
      </c>
      <c r="BO426" s="95">
        <f t="shared" ca="1" si="1024"/>
        <v>999</v>
      </c>
      <c r="CI426" s="95">
        <f t="shared" ca="1" si="1025"/>
        <v>999</v>
      </c>
    </row>
    <row r="427" spans="2:87" outlineLevel="1" x14ac:dyDescent="0.2">
      <c r="C427" t="str">
        <f t="shared" si="1020"/>
        <v>Sails-Payback</v>
      </c>
      <c r="D427" t="s">
        <v>154</v>
      </c>
      <c r="E427" s="224" t="s">
        <v>464</v>
      </c>
      <c r="F427" s="224" t="s">
        <v>465</v>
      </c>
      <c r="G427" s="95">
        <f t="shared" ca="1" si="1021"/>
        <v>999</v>
      </c>
      <c r="AA427" s="95">
        <f t="shared" ca="1" si="1022"/>
        <v>999</v>
      </c>
      <c r="AU427" s="95">
        <f t="shared" ca="1" si="1023"/>
        <v>999</v>
      </c>
      <c r="BO427" s="95">
        <f t="shared" ca="1" si="1024"/>
        <v>999</v>
      </c>
      <c r="CI427" s="95">
        <f t="shared" ca="1" si="1025"/>
        <v>999</v>
      </c>
    </row>
    <row r="428" spans="2:87" outlineLevel="1" x14ac:dyDescent="0.2">
      <c r="C428" s="476" t="str">
        <f t="shared" si="1020"/>
        <v>Kites-Payback</v>
      </c>
      <c r="D428" s="476" t="s">
        <v>155</v>
      </c>
      <c r="E428" s="759" t="s">
        <v>464</v>
      </c>
      <c r="F428" s="759" t="s">
        <v>465</v>
      </c>
      <c r="G428" s="760">
        <f t="shared" ca="1" si="1021"/>
        <v>999</v>
      </c>
      <c r="AA428" s="760">
        <f t="shared" ca="1" si="1022"/>
        <v>999</v>
      </c>
      <c r="AU428" s="760">
        <f t="shared" ca="1" si="1023"/>
        <v>999</v>
      </c>
      <c r="BO428" s="760">
        <f t="shared" ca="1" si="1024"/>
        <v>999</v>
      </c>
      <c r="CI428" s="760">
        <f t="shared" ca="1" si="1025"/>
        <v>999</v>
      </c>
    </row>
    <row r="429" spans="2:87" outlineLevel="1" x14ac:dyDescent="0.2">
      <c r="B429" s="266" t="s">
        <v>453</v>
      </c>
      <c r="C429" t="str">
        <f t="shared" si="1020"/>
        <v>Waste heat recovery system-Payback</v>
      </c>
      <c r="D429" t="s">
        <v>156</v>
      </c>
      <c r="E429" s="224" t="s">
        <v>464</v>
      </c>
      <c r="F429" s="224" t="s">
        <v>465</v>
      </c>
      <c r="G429" s="95">
        <f ca="1">IFERROR(IF($B308&gt;0,IF((G308*$B308)/((1-G350)*G$265-G391)&lt;0,999,(G308*$B308)/((1-G350)*G$265-G391)),999),999)</f>
        <v>999</v>
      </c>
      <c r="AA429" s="95">
        <f ca="1">IFERROR(IF($B308&gt;0,IF((AA308*$B308)/((1-AA350)*AA$265-AA391)&lt;0,999,(AA308*$B308)/((1-AA350)*AA$265-AA391)),999),999)</f>
        <v>999</v>
      </c>
      <c r="AU429" s="95">
        <f ca="1">IFERROR(IF($B308&gt;0,IF((AU308*$B308)/((1-AU350)*AU$265-AU391)&lt;0,999,(AU308*$B308)/((1-AU350)*AU$265-AU391)),999),999)</f>
        <v>999</v>
      </c>
      <c r="BO429" s="95">
        <f ca="1">IFERROR(IF($B308&gt;0,IF((BO308*$B308)/((1-BO350)*BO$265-BO391)&lt;0,999,(BO308*$B308)/((1-BO350)*BO$265-BO391)),999),999)</f>
        <v>999</v>
      </c>
      <c r="CI429" s="95">
        <f ca="1">IFERROR(IF($B308&gt;0,IF((CI308*$B308)/((1-CI350)*CI$265-CI391)&lt;0,999,(CI308*$B308)/((1-CI350)*CI$265-CI391)),999),999)</f>
        <v>999</v>
      </c>
    </row>
    <row r="430" spans="2:87" outlineLevel="1" x14ac:dyDescent="0.2">
      <c r="C430" t="str">
        <f t="shared" si="1020"/>
        <v>Shaft generator-Payback</v>
      </c>
      <c r="D430" t="s">
        <v>157</v>
      </c>
      <c r="E430" s="224" t="s">
        <v>464</v>
      </c>
      <c r="F430" s="224" t="s">
        <v>465</v>
      </c>
      <c r="G430" s="95">
        <f t="shared" ref="G430:G438" ca="1" si="1026">IFERROR(IF($B309&gt;0,IF((G309*$B309)/((1-G351)*G$265-G392)&lt;0,999,(G309*$B309)/((1-G351)*G$265-G392)),999),999)</f>
        <v>999</v>
      </c>
      <c r="AA430" s="95">
        <f t="shared" ref="AA430:AA438" ca="1" si="1027">IFERROR(IF($B309&gt;0,IF((AA309*$B309)/((1-AA351)*AA$265-AA392)&lt;0,999,(AA309*$B309)/((1-AA351)*AA$265-AA392)),999),999)</f>
        <v>999</v>
      </c>
      <c r="AU430" s="95">
        <f t="shared" ref="AU430:AU438" ca="1" si="1028">IFERROR(IF($B309&gt;0,IF((AU309*$B309)/((1-AU351)*AU$265-AU392)&lt;0,999,(AU309*$B309)/((1-AU351)*AU$265-AU392)),999),999)</f>
        <v>999</v>
      </c>
      <c r="BO430" s="95">
        <f t="shared" ref="BO430:BO438" ca="1" si="1029">IFERROR(IF($B309&gt;0,IF((BO309*$B309)/((1-BO351)*BO$265-BO392)&lt;0,999,(BO309*$B309)/((1-BO351)*BO$265-BO392)),999),999)</f>
        <v>999</v>
      </c>
      <c r="CI430" s="95">
        <f t="shared" ref="CI430:CI438" ca="1" si="1030">IFERROR(IF($B309&gt;0,IF((CI309*$B309)/((1-CI351)*CI$265-CI392)&lt;0,999,(CI309*$B309)/((1-CI351)*CI$265-CI392)),999),999)</f>
        <v>999</v>
      </c>
    </row>
    <row r="431" spans="2:87" outlineLevel="1" x14ac:dyDescent="0.2">
      <c r="C431" t="str">
        <f t="shared" si="1020"/>
        <v>Solar power-Payback</v>
      </c>
      <c r="D431" t="s">
        <v>158</v>
      </c>
      <c r="E431" s="224" t="s">
        <v>464</v>
      </c>
      <c r="F431" s="224" t="s">
        <v>465</v>
      </c>
      <c r="G431" s="95">
        <f t="shared" ca="1" si="1026"/>
        <v>999</v>
      </c>
      <c r="AA431" s="95">
        <f t="shared" ca="1" si="1027"/>
        <v>999</v>
      </c>
      <c r="AU431" s="95">
        <f t="shared" ca="1" si="1028"/>
        <v>999</v>
      </c>
      <c r="BO431" s="95">
        <f t="shared" ca="1" si="1029"/>
        <v>999</v>
      </c>
      <c r="CI431" s="95">
        <f t="shared" ca="1" si="1030"/>
        <v>999</v>
      </c>
    </row>
    <row r="432" spans="2:87" outlineLevel="1" x14ac:dyDescent="0.2">
      <c r="C432" t="str">
        <f t="shared" si="1020"/>
        <v>Shore power-Payback</v>
      </c>
      <c r="D432" t="s">
        <v>159</v>
      </c>
      <c r="E432" s="224" t="s">
        <v>464</v>
      </c>
      <c r="F432" s="224" t="s">
        <v>465</v>
      </c>
      <c r="G432" s="95">
        <f t="shared" ca="1" si="1026"/>
        <v>999</v>
      </c>
      <c r="AA432" s="95">
        <f t="shared" ca="1" si="1027"/>
        <v>999</v>
      </c>
      <c r="AU432" s="95">
        <f t="shared" ca="1" si="1028"/>
        <v>999</v>
      </c>
      <c r="BO432" s="95">
        <f t="shared" ca="1" si="1029"/>
        <v>999</v>
      </c>
      <c r="CI432" s="95">
        <f t="shared" ca="1" si="1030"/>
        <v>999</v>
      </c>
    </row>
    <row r="433" spans="2:87" outlineLevel="1" x14ac:dyDescent="0.2">
      <c r="C433" t="str">
        <f t="shared" si="1020"/>
        <v>Variable frequency drive-Payback</v>
      </c>
      <c r="D433" t="s">
        <v>160</v>
      </c>
      <c r="E433" s="224" t="s">
        <v>464</v>
      </c>
      <c r="F433" s="224" t="s">
        <v>465</v>
      </c>
      <c r="G433" s="95">
        <f t="shared" ca="1" si="1026"/>
        <v>999</v>
      </c>
      <c r="AA433" s="95">
        <f t="shared" ca="1" si="1027"/>
        <v>999</v>
      </c>
      <c r="AU433" s="95">
        <f t="shared" ca="1" si="1028"/>
        <v>999</v>
      </c>
      <c r="BO433" s="95">
        <f t="shared" ca="1" si="1029"/>
        <v>999</v>
      </c>
      <c r="CI433" s="95">
        <f t="shared" ca="1" si="1030"/>
        <v>999</v>
      </c>
    </row>
    <row r="434" spans="2:87" outlineLevel="1" x14ac:dyDescent="0.2">
      <c r="C434" t="str">
        <f t="shared" si="1020"/>
        <v>Lighting systems-Payback</v>
      </c>
      <c r="D434" t="s">
        <v>161</v>
      </c>
      <c r="E434" s="224" t="s">
        <v>464</v>
      </c>
      <c r="F434" s="224" t="s">
        <v>465</v>
      </c>
      <c r="G434" s="95">
        <f t="shared" ca="1" si="1026"/>
        <v>999</v>
      </c>
      <c r="AA434" s="95">
        <f t="shared" ca="1" si="1027"/>
        <v>999</v>
      </c>
      <c r="AU434" s="95">
        <f t="shared" ca="1" si="1028"/>
        <v>999</v>
      </c>
      <c r="BO434" s="95">
        <f t="shared" ca="1" si="1029"/>
        <v>999</v>
      </c>
      <c r="CI434" s="95">
        <f t="shared" ca="1" si="1030"/>
        <v>999</v>
      </c>
    </row>
    <row r="435" spans="2:87" outlineLevel="1" x14ac:dyDescent="0.2">
      <c r="C435" t="str">
        <f t="shared" si="1020"/>
        <v>A/C and heating systems-Payback</v>
      </c>
      <c r="D435" t="s">
        <v>162</v>
      </c>
      <c r="E435" s="224" t="s">
        <v>464</v>
      </c>
      <c r="F435" s="224" t="s">
        <v>465</v>
      </c>
      <c r="G435" s="95">
        <f t="shared" ca="1" si="1026"/>
        <v>999</v>
      </c>
      <c r="AA435" s="95">
        <f t="shared" ca="1" si="1027"/>
        <v>999</v>
      </c>
      <c r="AU435" s="95">
        <f t="shared" ca="1" si="1028"/>
        <v>999</v>
      </c>
      <c r="BO435" s="95">
        <f t="shared" ca="1" si="1029"/>
        <v>999</v>
      </c>
      <c r="CI435" s="95">
        <f t="shared" ca="1" si="1030"/>
        <v>999</v>
      </c>
    </row>
    <row r="436" spans="2:87" outlineLevel="1" x14ac:dyDescent="0.2">
      <c r="C436" t="str">
        <f t="shared" si="1020"/>
        <v>Maneuvering equipment (e.g. Thrusters)-Payback</v>
      </c>
      <c r="D436" t="s">
        <v>454</v>
      </c>
      <c r="E436" s="224" t="s">
        <v>464</v>
      </c>
      <c r="F436" s="224" t="s">
        <v>465</v>
      </c>
      <c r="G436" s="95">
        <f t="shared" ca="1" si="1026"/>
        <v>999</v>
      </c>
      <c r="AA436" s="95">
        <f t="shared" ca="1" si="1027"/>
        <v>999</v>
      </c>
      <c r="AU436" s="95">
        <f t="shared" ca="1" si="1028"/>
        <v>999</v>
      </c>
      <c r="BO436" s="95">
        <f t="shared" ca="1" si="1029"/>
        <v>999</v>
      </c>
      <c r="CI436" s="95">
        <f t="shared" ca="1" si="1030"/>
        <v>999</v>
      </c>
    </row>
    <row r="437" spans="2:87" outlineLevel="1" x14ac:dyDescent="0.2">
      <c r="C437" t="str">
        <f t="shared" si="1020"/>
        <v>AE Hybridization-Payback</v>
      </c>
      <c r="D437" t="s">
        <v>164</v>
      </c>
      <c r="E437" s="224" t="s">
        <v>464</v>
      </c>
      <c r="F437" s="224" t="s">
        <v>465</v>
      </c>
      <c r="G437" s="95">
        <f t="shared" ca="1" si="1026"/>
        <v>999</v>
      </c>
      <c r="AA437" s="95">
        <f t="shared" ca="1" si="1027"/>
        <v>999</v>
      </c>
      <c r="AU437" s="95">
        <f t="shared" ca="1" si="1028"/>
        <v>999</v>
      </c>
      <c r="BO437" s="95">
        <f t="shared" ca="1" si="1029"/>
        <v>999</v>
      </c>
      <c r="CI437" s="95">
        <f t="shared" ca="1" si="1030"/>
        <v>999</v>
      </c>
    </row>
    <row r="438" spans="2:87" outlineLevel="1" x14ac:dyDescent="0.2">
      <c r="C438" s="476" t="str">
        <f t="shared" si="1020"/>
        <v>Load optimization-Payback</v>
      </c>
      <c r="D438" s="476" t="s">
        <v>165</v>
      </c>
      <c r="E438" s="759" t="s">
        <v>464</v>
      </c>
      <c r="F438" s="759" t="s">
        <v>465</v>
      </c>
      <c r="G438" s="760">
        <f t="shared" ca="1" si="1026"/>
        <v>999</v>
      </c>
      <c r="AA438" s="760">
        <f t="shared" ca="1" si="1027"/>
        <v>999</v>
      </c>
      <c r="AU438" s="760">
        <f t="shared" ca="1" si="1028"/>
        <v>999</v>
      </c>
      <c r="BO438" s="760">
        <f t="shared" ca="1" si="1029"/>
        <v>999</v>
      </c>
      <c r="CI438" s="760">
        <f t="shared" ca="1" si="1030"/>
        <v>999</v>
      </c>
    </row>
    <row r="439" spans="2:87" outlineLevel="1" x14ac:dyDescent="0.2">
      <c r="B439" s="266" t="s">
        <v>455</v>
      </c>
      <c r="C439" t="str">
        <f t="shared" si="1020"/>
        <v>Steam system efficiency-Payback</v>
      </c>
      <c r="D439" t="s">
        <v>166</v>
      </c>
      <c r="E439" s="224" t="s">
        <v>464</v>
      </c>
      <c r="F439" s="224" t="s">
        <v>465</v>
      </c>
      <c r="G439" s="95">
        <f ca="1">IFERROR(IF($B321&gt;0,IF((G321*$B321)/((1-G362)*G$270-G403)&lt;0,999,(G321*$B321)/((1-G362)*G$270-G403)),999),999)</f>
        <v>999</v>
      </c>
      <c r="AA439" s="95">
        <f ca="1">IFERROR(IF($B321&gt;0,IF((AA321*$B321)/((1-AA362)*AA$270-AA403)&lt;0,999,(AA321*$B321)/((1-AA362)*AA$270-AA403)),999),999)</f>
        <v>999</v>
      </c>
      <c r="AU439" s="95">
        <f ca="1">IFERROR(IF($B321&gt;0,IF((AU321*$B321)/((1-AU362)*AU$270-AU403)&lt;0,999,(AU321*$B321)/((1-AU362)*AU$270-AU403)),999),999)</f>
        <v>999</v>
      </c>
      <c r="BO439" s="95">
        <f ca="1">IFERROR(IF($B321&gt;0,IF((BO321*$B321)/((1-BO362)*BO$270-BO403)&lt;0,999,(BO321*$B321)/((1-BO362)*BO$270-BO403)),999),999)</f>
        <v>999</v>
      </c>
      <c r="CI439" s="95">
        <f ca="1">IFERROR(IF($B321&gt;0,IF((CI321*$B321)/((1-CI362)*CI$270-CI403)&lt;0,999,(CI321*$B321)/((1-CI362)*CI$270-CI403)),999),999)</f>
        <v>999</v>
      </c>
    </row>
    <row r="440" spans="2:87" outlineLevel="1" x14ac:dyDescent="0.2">
      <c r="C440" t="str">
        <f t="shared" si="1020"/>
        <v>Cargo systems (e.g. Cargo pumps)-Payback</v>
      </c>
      <c r="D440" t="s">
        <v>167</v>
      </c>
      <c r="E440" s="224" t="s">
        <v>464</v>
      </c>
      <c r="F440" s="224" t="s">
        <v>465</v>
      </c>
      <c r="G440" s="95">
        <f t="shared" ref="G440:G441" ca="1" si="1031">IFERROR(IF($B322&gt;0,IF((G322*$B322)/((1-G363)*G$270-G404)&lt;0,999,(G322*$B322)/((1-G363)*G$270-G404)),999),999)</f>
        <v>999</v>
      </c>
      <c r="AA440" s="95">
        <f t="shared" ref="AA440:AA441" ca="1" si="1032">IFERROR(IF($B322&gt;0,IF((AA322*$B322)/((1-AA363)*AA$270-AA404)&lt;0,999,(AA322*$B322)/((1-AA363)*AA$270-AA404)),999),999)</f>
        <v>999</v>
      </c>
      <c r="AU440" s="95">
        <f t="shared" ref="AU440:AU441" ca="1" si="1033">IFERROR(IF($B322&gt;0,IF((AU322*$B322)/((1-AU363)*AU$270-AU404)&lt;0,999,(AU322*$B322)/((1-AU363)*AU$270-AU404)),999),999)</f>
        <v>999</v>
      </c>
      <c r="BO440" s="95">
        <f t="shared" ref="BO440:BO441" ca="1" si="1034">IFERROR(IF($B322&gt;0,IF((BO322*$B322)/((1-BO363)*BO$270-BO404)&lt;0,999,(BO322*$B322)/((1-BO363)*BO$270-BO404)),999),999)</f>
        <v>999</v>
      </c>
      <c r="CI440" s="95">
        <f t="shared" ref="CI440:CI441" ca="1" si="1035">IFERROR(IF($B322&gt;0,IF((CI322*$B322)/((1-CI363)*CI$270-CI404)&lt;0,999,(CI322*$B322)/((1-CI363)*CI$270-CI404)),999),999)</f>
        <v>999</v>
      </c>
    </row>
    <row r="441" spans="2:87" outlineLevel="1" x14ac:dyDescent="0.2">
      <c r="C441" t="str">
        <f t="shared" si="1020"/>
        <v>Exhaust gas boiler on AE-Payback</v>
      </c>
      <c r="D441" t="s">
        <v>168</v>
      </c>
      <c r="E441" s="224" t="s">
        <v>464</v>
      </c>
      <c r="F441" s="224" t="s">
        <v>465</v>
      </c>
      <c r="G441" s="95">
        <f t="shared" ca="1" si="1031"/>
        <v>999</v>
      </c>
      <c r="AA441" s="95">
        <f t="shared" ca="1" si="1032"/>
        <v>999</v>
      </c>
      <c r="AU441" s="95">
        <f t="shared" ca="1" si="1033"/>
        <v>999</v>
      </c>
      <c r="BO441" s="95">
        <f t="shared" ca="1" si="1034"/>
        <v>999</v>
      </c>
      <c r="CI441" s="95">
        <f t="shared" ca="1" si="1035"/>
        <v>999</v>
      </c>
    </row>
  </sheetData>
  <sheetProtection selectLockedCells="1" selectUnlockedCells="1"/>
  <phoneticPr fontId="6" type="noConversion"/>
  <pageMargins left="0.7" right="0.7" top="0.75" bottom="0.75" header="0.3" footer="0.3"/>
  <pageSetup paperSize="9" orientation="portrait" r:id="rId1"/>
  <headerFooter>
    <oddFooter>&amp;C_x000D_&amp;1#&amp;"Calibri"&amp;10&amp;K000000 Business External</oddFooter>
  </headerFooter>
  <ignoredErrors>
    <ignoredError sqref="J128:R128 AA128:AL128 AU128:BC128" formula="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63A6D-C7F0-4947-9B7E-3781E62DFF05}">
  <sheetPr codeName="Sheet16">
    <tabColor theme="9"/>
  </sheetPr>
  <dimension ref="A1:BR792"/>
  <sheetViews>
    <sheetView showGridLines="0" zoomScale="85" zoomScaleNormal="85" workbookViewId="0"/>
  </sheetViews>
  <sheetFormatPr defaultRowHeight="12.75" x14ac:dyDescent="0.2"/>
  <cols>
    <col min="1" max="1" width="4.85546875" customWidth="1"/>
    <col min="2" max="2" width="40.5703125" style="48" customWidth="1"/>
    <col min="3" max="3" width="4.5703125" style="48" customWidth="1"/>
    <col min="4" max="4" width="44" style="347" customWidth="1"/>
    <col min="5" max="5" width="31.42578125" customWidth="1"/>
    <col min="6" max="6" width="9" customWidth="1"/>
    <col min="7" max="7" width="22" customWidth="1"/>
    <col min="8" max="8" width="24.42578125" customWidth="1"/>
    <col min="9" max="9" width="27.5703125" customWidth="1"/>
    <col min="10" max="10" width="23" customWidth="1"/>
    <col min="12" max="12" width="21" customWidth="1"/>
    <col min="13" max="13" width="27.5703125" customWidth="1"/>
    <col min="14" max="14" width="34.42578125" customWidth="1"/>
    <col min="15" max="15" width="75.85546875" customWidth="1"/>
    <col min="16" max="16" width="21.42578125" customWidth="1"/>
    <col min="17" max="17" width="32.5703125" customWidth="1"/>
    <col min="18" max="18" width="18.140625" customWidth="1"/>
    <col min="19" max="32" width="16.42578125" customWidth="1"/>
  </cols>
  <sheetData>
    <row r="1" spans="1:70" s="265" customFormat="1" ht="38.1" customHeight="1" x14ac:dyDescent="0.2">
      <c r="D1" s="265" t="str" cm="1">
        <f t="array" aca="1" ref="D1" ca="1">MID(CELL("filename",A1),FIND("]",CELL("filename",A1))+1,255)</f>
        <v>TCO - Input</v>
      </c>
    </row>
    <row r="2" spans="1:70" x14ac:dyDescent="0.2">
      <c r="A2" s="47"/>
      <c r="B2" s="47"/>
      <c r="C2" s="47"/>
      <c r="AE2" s="15"/>
      <c r="AF2" s="15"/>
      <c r="AG2" s="15"/>
    </row>
    <row r="3" spans="1:70" x14ac:dyDescent="0.2">
      <c r="A3" s="47"/>
      <c r="B3" s="47"/>
      <c r="C3" s="47"/>
      <c r="AE3" s="15"/>
      <c r="AF3" s="15"/>
      <c r="AG3" s="15"/>
    </row>
    <row r="4" spans="1:70" x14ac:dyDescent="0.2">
      <c r="AE4" s="15"/>
      <c r="AF4" s="15"/>
      <c r="AG4" s="15"/>
    </row>
    <row r="5" spans="1:70" x14ac:dyDescent="0.2">
      <c r="B5" s="269" t="s">
        <v>466</v>
      </c>
      <c r="C5" s="327"/>
      <c r="D5" s="328"/>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269"/>
      <c r="AE5" s="15"/>
      <c r="AF5" s="15"/>
      <c r="AG5" s="15"/>
    </row>
    <row r="6" spans="1:70" x14ac:dyDescent="0.2">
      <c r="B6" s="329" t="s">
        <v>467</v>
      </c>
      <c r="C6" s="329"/>
      <c r="D6" s="348" t="s">
        <v>468</v>
      </c>
      <c r="E6" s="330" t="s">
        <v>469</v>
      </c>
      <c r="F6" s="330" t="s">
        <v>49</v>
      </c>
      <c r="G6" s="349" t="s">
        <v>470</v>
      </c>
      <c r="H6" s="349" t="s">
        <v>471</v>
      </c>
      <c r="I6" s="349" t="s">
        <v>472</v>
      </c>
      <c r="J6" s="330" t="s">
        <v>473</v>
      </c>
      <c r="K6" s="330" t="s">
        <v>474</v>
      </c>
      <c r="L6" s="330" t="s">
        <v>475</v>
      </c>
      <c r="M6" s="330" t="s">
        <v>476</v>
      </c>
      <c r="N6" s="330" t="s">
        <v>477</v>
      </c>
      <c r="O6" s="330" t="s">
        <v>478</v>
      </c>
      <c r="P6" s="330" t="s">
        <v>479</v>
      </c>
      <c r="Q6" s="330" t="s">
        <v>480</v>
      </c>
      <c r="R6" s="330" t="s">
        <v>481</v>
      </c>
      <c r="S6" s="330">
        <v>2020</v>
      </c>
      <c r="T6" s="330">
        <f t="shared" ref="T6:AD6" si="0">S6+5</f>
        <v>2025</v>
      </c>
      <c r="U6" s="330">
        <f t="shared" si="0"/>
        <v>2030</v>
      </c>
      <c r="V6" s="330">
        <f t="shared" si="0"/>
        <v>2035</v>
      </c>
      <c r="W6" s="330">
        <f t="shared" si="0"/>
        <v>2040</v>
      </c>
      <c r="X6" s="330">
        <f t="shared" si="0"/>
        <v>2045</v>
      </c>
      <c r="Y6" s="330">
        <f t="shared" si="0"/>
        <v>2050</v>
      </c>
      <c r="Z6" s="330">
        <f t="shared" si="0"/>
        <v>2055</v>
      </c>
      <c r="AA6" s="330">
        <f t="shared" si="0"/>
        <v>2060</v>
      </c>
      <c r="AB6" s="330">
        <f t="shared" si="0"/>
        <v>2065</v>
      </c>
      <c r="AC6" s="330">
        <f t="shared" si="0"/>
        <v>2070</v>
      </c>
      <c r="AD6" s="330">
        <f t="shared" si="0"/>
        <v>2075</v>
      </c>
      <c r="AE6" s="15"/>
      <c r="AF6" s="15"/>
      <c r="AG6" s="15"/>
    </row>
    <row r="7" spans="1:70" x14ac:dyDescent="0.2">
      <c r="B7" s="50" t="s">
        <v>482</v>
      </c>
      <c r="C7" s="51"/>
      <c r="D7" s="54"/>
      <c r="E7" s="50"/>
      <c r="F7" s="50"/>
      <c r="G7" s="50"/>
      <c r="H7" s="50"/>
      <c r="I7" s="50"/>
      <c r="J7" s="50"/>
      <c r="K7" s="50"/>
      <c r="L7" s="50"/>
      <c r="M7" s="50"/>
      <c r="N7" s="50"/>
      <c r="O7" s="50"/>
      <c r="P7" s="50"/>
      <c r="Q7" s="50"/>
      <c r="R7" s="50"/>
      <c r="S7" s="50"/>
      <c r="T7" s="50"/>
      <c r="U7" s="50"/>
      <c r="V7" s="50"/>
      <c r="W7" s="50"/>
      <c r="X7" s="50"/>
      <c r="Y7" s="50"/>
      <c r="Z7" s="50"/>
      <c r="AA7" s="50"/>
      <c r="AB7" s="50"/>
      <c r="AC7" s="50"/>
      <c r="AD7" s="50"/>
      <c r="AE7" s="15"/>
      <c r="AF7" s="15"/>
      <c r="AG7" s="15"/>
    </row>
    <row r="8" spans="1:70" x14ac:dyDescent="0.2">
      <c r="AE8" s="15"/>
      <c r="AF8" s="15"/>
      <c r="AG8" s="15"/>
    </row>
    <row r="9" spans="1:70" x14ac:dyDescent="0.2">
      <c r="B9" s="49" t="s">
        <v>483</v>
      </c>
      <c r="C9" s="49"/>
      <c r="D9" s="350"/>
      <c r="E9" s="331"/>
      <c r="F9" s="331"/>
      <c r="G9" s="331" t="str">
        <f>B9</f>
        <v>Net present value</v>
      </c>
      <c r="H9" s="331"/>
      <c r="I9" s="331"/>
      <c r="J9" s="331"/>
      <c r="K9" s="331"/>
      <c r="L9" s="331"/>
      <c r="M9" s="331"/>
      <c r="N9" s="331"/>
      <c r="O9" s="331"/>
      <c r="P9" s="331"/>
      <c r="Q9" s="331"/>
      <c r="R9" s="331"/>
      <c r="S9" s="331"/>
      <c r="T9" s="331"/>
      <c r="U9" s="331"/>
      <c r="V9" s="331"/>
      <c r="W9" s="331"/>
      <c r="X9" s="331"/>
      <c r="Y9" s="331"/>
      <c r="Z9" s="331"/>
      <c r="AA9" s="331"/>
      <c r="AB9" s="331"/>
      <c r="AC9" s="331"/>
      <c r="AD9" s="331"/>
      <c r="AE9" s="15"/>
      <c r="AF9" s="15"/>
      <c r="AG9" s="15"/>
    </row>
    <row r="10" spans="1:70" x14ac:dyDescent="0.2">
      <c r="D10" s="347" t="str">
        <f>N10</f>
        <v>Normalization</v>
      </c>
      <c r="N10" s="48" t="s">
        <v>484</v>
      </c>
      <c r="Q10" t="s">
        <v>464</v>
      </c>
      <c r="R10" s="351">
        <v>25</v>
      </c>
      <c r="AE10" s="15"/>
      <c r="AF10" s="15"/>
      <c r="AG10" s="15"/>
    </row>
    <row r="11" spans="1:70" x14ac:dyDescent="0.2">
      <c r="D11" s="347" t="str">
        <f>N11</f>
        <v>Discount rate</v>
      </c>
      <c r="N11" s="48" t="s">
        <v>485</v>
      </c>
      <c r="Q11" t="s">
        <v>178</v>
      </c>
      <c r="R11" s="352">
        <v>0</v>
      </c>
      <c r="AE11" s="15"/>
      <c r="AF11" s="15"/>
      <c r="AG11" s="15"/>
    </row>
    <row r="12" spans="1:70" x14ac:dyDescent="0.2">
      <c r="N12" s="48" t="s">
        <v>486</v>
      </c>
      <c r="Q12" t="s">
        <v>487</v>
      </c>
      <c r="R12" s="352">
        <v>1</v>
      </c>
      <c r="S12" s="9">
        <f>R12</f>
        <v>1</v>
      </c>
      <c r="T12" s="9">
        <f t="shared" ref="T12:AD12" si="1">S12</f>
        <v>1</v>
      </c>
      <c r="U12" s="9">
        <f t="shared" si="1"/>
        <v>1</v>
      </c>
      <c r="V12" s="9">
        <f t="shared" si="1"/>
        <v>1</v>
      </c>
      <c r="W12" s="9">
        <f t="shared" si="1"/>
        <v>1</v>
      </c>
      <c r="X12" s="9">
        <f t="shared" si="1"/>
        <v>1</v>
      </c>
      <c r="Y12" s="9">
        <f t="shared" si="1"/>
        <v>1</v>
      </c>
      <c r="Z12" s="9">
        <f t="shared" si="1"/>
        <v>1</v>
      </c>
      <c r="AA12" s="9">
        <f t="shared" si="1"/>
        <v>1</v>
      </c>
      <c r="AB12" s="9">
        <f t="shared" si="1"/>
        <v>1</v>
      </c>
      <c r="AC12" s="9">
        <f t="shared" si="1"/>
        <v>1</v>
      </c>
      <c r="AD12" s="9">
        <f t="shared" si="1"/>
        <v>1</v>
      </c>
      <c r="AE12" s="15"/>
      <c r="AF12" s="15"/>
      <c r="AG12" s="15"/>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row>
    <row r="13" spans="1:70" x14ac:dyDescent="0.2">
      <c r="N13" s="48" t="s">
        <v>488</v>
      </c>
      <c r="Q13" t="s">
        <v>489</v>
      </c>
      <c r="R13" s="352">
        <v>1</v>
      </c>
      <c r="S13" s="9">
        <f t="shared" ref="S13:AD13" si="2">R13</f>
        <v>1</v>
      </c>
      <c r="T13" s="9">
        <f t="shared" si="2"/>
        <v>1</v>
      </c>
      <c r="U13" s="9">
        <f t="shared" si="2"/>
        <v>1</v>
      </c>
      <c r="V13" s="9">
        <f t="shared" si="2"/>
        <v>1</v>
      </c>
      <c r="W13" s="9">
        <f t="shared" si="2"/>
        <v>1</v>
      </c>
      <c r="X13" s="9">
        <f t="shared" si="2"/>
        <v>1</v>
      </c>
      <c r="Y13" s="9">
        <f t="shared" si="2"/>
        <v>1</v>
      </c>
      <c r="Z13" s="9">
        <f t="shared" si="2"/>
        <v>1</v>
      </c>
      <c r="AA13" s="9">
        <f t="shared" si="2"/>
        <v>1</v>
      </c>
      <c r="AB13" s="9">
        <f t="shared" si="2"/>
        <v>1</v>
      </c>
      <c r="AC13" s="9">
        <f t="shared" si="2"/>
        <v>1</v>
      </c>
      <c r="AD13" s="9">
        <f t="shared" si="2"/>
        <v>1</v>
      </c>
      <c r="AE13" s="15"/>
      <c r="AF13" s="15"/>
      <c r="AG13" s="15"/>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row>
    <row r="14" spans="1:70" x14ac:dyDescent="0.2">
      <c r="N14" s="48" t="s">
        <v>490</v>
      </c>
      <c r="Q14" t="s">
        <v>491</v>
      </c>
      <c r="R14" s="352">
        <v>1</v>
      </c>
      <c r="S14" s="9">
        <f t="shared" ref="S14:AD14" si="3">R14</f>
        <v>1</v>
      </c>
      <c r="T14" s="9">
        <f t="shared" si="3"/>
        <v>1</v>
      </c>
      <c r="U14" s="9">
        <f t="shared" si="3"/>
        <v>1</v>
      </c>
      <c r="V14" s="9">
        <f t="shared" si="3"/>
        <v>1</v>
      </c>
      <c r="W14" s="9">
        <f t="shared" si="3"/>
        <v>1</v>
      </c>
      <c r="X14" s="9">
        <f t="shared" si="3"/>
        <v>1</v>
      </c>
      <c r="Y14" s="9">
        <f t="shared" si="3"/>
        <v>1</v>
      </c>
      <c r="Z14" s="9">
        <f t="shared" si="3"/>
        <v>1</v>
      </c>
      <c r="AA14" s="9">
        <f t="shared" si="3"/>
        <v>1</v>
      </c>
      <c r="AB14" s="9">
        <f t="shared" si="3"/>
        <v>1</v>
      </c>
      <c r="AC14" s="9">
        <f t="shared" si="3"/>
        <v>1</v>
      </c>
      <c r="AD14" s="9">
        <f t="shared" si="3"/>
        <v>1</v>
      </c>
      <c r="AE14" s="15"/>
      <c r="AF14" s="15"/>
      <c r="AG14" s="15"/>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row>
    <row r="15" spans="1:70" x14ac:dyDescent="0.2">
      <c r="B15" s="49" t="s">
        <v>263</v>
      </c>
      <c r="C15" s="49"/>
      <c r="D15" s="350"/>
      <c r="E15" s="331"/>
      <c r="F15" s="331"/>
      <c r="G15" s="331" t="str">
        <f>B15</f>
        <v>Cost of Capital</v>
      </c>
      <c r="H15" s="331"/>
      <c r="I15" s="331"/>
      <c r="J15" s="331"/>
      <c r="K15" s="331"/>
      <c r="L15" s="331"/>
      <c r="M15" s="331"/>
      <c r="N15" s="331"/>
      <c r="O15" s="331"/>
      <c r="P15" s="331"/>
      <c r="Q15" s="331"/>
      <c r="R15" s="331"/>
      <c r="S15" s="331"/>
      <c r="T15" s="331"/>
      <c r="U15" s="331"/>
      <c r="V15" s="331"/>
      <c r="W15" s="331"/>
      <c r="X15" s="331"/>
      <c r="Y15" s="331"/>
      <c r="Z15" s="331"/>
      <c r="AA15" s="331"/>
      <c r="AB15" s="331"/>
      <c r="AC15" s="331"/>
      <c r="AD15" s="331"/>
      <c r="AE15" s="15"/>
      <c r="AF15" s="15"/>
      <c r="AG15" s="15"/>
    </row>
    <row r="16" spans="1:70" x14ac:dyDescent="0.2">
      <c r="D16" s="347" t="str">
        <f>N16</f>
        <v>Interest rate</v>
      </c>
      <c r="N16" s="48" t="s">
        <v>492</v>
      </c>
      <c r="Q16" t="s">
        <v>493</v>
      </c>
      <c r="R16" s="352">
        <f>'Main Assumptions'!D7</f>
        <v>0.05</v>
      </c>
      <c r="AE16" s="15"/>
      <c r="AF16" s="15"/>
      <c r="AG16" s="15"/>
    </row>
    <row r="17" spans="2:33" x14ac:dyDescent="0.2">
      <c r="D17" s="347" t="str">
        <f>N17</f>
        <v>Cost of equity</v>
      </c>
      <c r="N17" s="48" t="s">
        <v>177</v>
      </c>
      <c r="Q17" t="s">
        <v>493</v>
      </c>
      <c r="R17" s="352">
        <f>'Main Assumptions'!D6</f>
        <v>0.1</v>
      </c>
      <c r="AE17" s="15"/>
      <c r="AF17" s="15"/>
      <c r="AG17" s="15"/>
    </row>
    <row r="18" spans="2:33" x14ac:dyDescent="0.2">
      <c r="D18" s="347" t="str">
        <f>N18</f>
        <v>Debt finance</v>
      </c>
      <c r="N18" s="48" t="s">
        <v>494</v>
      </c>
      <c r="Q18" t="s">
        <v>493</v>
      </c>
      <c r="R18" s="352">
        <f>'Main Assumptions'!D8</f>
        <v>0.6</v>
      </c>
      <c r="AE18" s="15"/>
      <c r="AF18" s="15"/>
      <c r="AG18" s="15"/>
    </row>
    <row r="19" spans="2:33" x14ac:dyDescent="0.2">
      <c r="D19" s="347" t="s">
        <v>495</v>
      </c>
      <c r="N19" s="48" t="s">
        <v>495</v>
      </c>
      <c r="Q19" t="s">
        <v>493</v>
      </c>
      <c r="R19" s="9">
        <f>R16*R18+R17*(1-R18)</f>
        <v>7.0000000000000007E-2</v>
      </c>
      <c r="AE19" s="15"/>
      <c r="AF19" s="15"/>
      <c r="AG19" s="15"/>
    </row>
    <row r="20" spans="2:33" x14ac:dyDescent="0.2">
      <c r="B20" s="49" t="s">
        <v>496</v>
      </c>
      <c r="C20" s="49"/>
      <c r="D20" s="350"/>
      <c r="E20" s="331"/>
      <c r="F20" s="331"/>
      <c r="G20" s="331" t="str">
        <f>B20</f>
        <v>Incentives/ penalties</v>
      </c>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15"/>
      <c r="AF20" s="15"/>
      <c r="AG20" s="15"/>
    </row>
    <row r="21" spans="2:33" x14ac:dyDescent="0.2">
      <c r="B21" s="332"/>
      <c r="C21" s="332"/>
      <c r="D21" s="353" t="str">
        <f t="shared" ref="D21:D26" si="4">_xlfn.TEXTJOIN(keydelim,TRUE,E21:N21)</f>
        <v>Europe - Cost of CO2 emissions</v>
      </c>
      <c r="L21" t="s">
        <v>195</v>
      </c>
      <c r="N21" s="48" t="s">
        <v>236</v>
      </c>
      <c r="O21" s="224"/>
      <c r="Q21" t="s">
        <v>497</v>
      </c>
      <c r="S21" s="354" cm="1">
        <f t="array" ref="S21">INDEX('Configurator Specs.'!G$29:G$30,index_swing_CO2tax_chosen)*carbon_cost_level</f>
        <v>0</v>
      </c>
      <c r="T21" s="354" cm="1">
        <f t="array" ref="T21">INDEX('Configurator Specs.'!H$29:H$30,index_swing_CO2tax_chosen)*carbon_cost_level</f>
        <v>0</v>
      </c>
      <c r="U21" s="354" cm="1">
        <f t="array" ref="U21">INDEX('Configurator Specs.'!I$29:I$30,index_swing_CO2tax_chosen)*carbon_cost_level</f>
        <v>0</v>
      </c>
      <c r="V21" s="354" cm="1">
        <f t="array" ref="V21">INDEX('Configurator Specs.'!J$29:J$30,index_swing_CO2tax_chosen)*carbon_cost_level</f>
        <v>0</v>
      </c>
      <c r="W21" s="354" cm="1">
        <f t="array" ref="W21">INDEX('Configurator Specs.'!K$29:K$30,index_swing_CO2tax_chosen)*carbon_cost_level</f>
        <v>0</v>
      </c>
      <c r="X21" s="354" cm="1">
        <f t="array" ref="X21">INDEX('Configurator Specs.'!L$29:L$30,index_swing_CO2tax_chosen)*carbon_cost_level</f>
        <v>0</v>
      </c>
      <c r="Y21" s="354" cm="1">
        <f t="array" ref="Y21">INDEX('Configurator Specs.'!M$29:M$30,index_swing_CO2tax_chosen)*carbon_cost_level</f>
        <v>0</v>
      </c>
      <c r="Z21" s="354" cm="1">
        <f t="array" ref="Z21">INDEX('Configurator Specs.'!N$29:N$30,index_swing_CO2tax_chosen)*carbon_cost_level</f>
        <v>0</v>
      </c>
      <c r="AA21" s="354" cm="1">
        <f t="array" ref="AA21">INDEX('Configurator Specs.'!O$29:O$30,index_swing_CO2tax_chosen)*carbon_cost_level</f>
        <v>0</v>
      </c>
      <c r="AB21" s="354" cm="1">
        <f t="array" ref="AB21">INDEX('Configurator Specs.'!P$29:P$30,index_swing_CO2tax_chosen)*carbon_cost_level</f>
        <v>0</v>
      </c>
      <c r="AC21" s="354" cm="1">
        <f t="array" ref="AC21">INDEX('Configurator Specs.'!Q$29:Q$30,index_swing_CO2tax_chosen)*carbon_cost_level</f>
        <v>0</v>
      </c>
      <c r="AD21" s="354" cm="1">
        <f t="array" ref="AD21">INDEX('Configurator Specs.'!R$29:R$30,index_swing_CO2tax_chosen)*carbon_cost_level</f>
        <v>0</v>
      </c>
      <c r="AE21" s="15"/>
      <c r="AF21" s="15"/>
      <c r="AG21" s="15"/>
    </row>
    <row r="22" spans="2:33" x14ac:dyDescent="0.2">
      <c r="B22" s="332"/>
      <c r="C22" s="332"/>
      <c r="D22" s="353" t="str">
        <f t="shared" si="4"/>
        <v>Asia - Cost of CO2 emissions</v>
      </c>
      <c r="L22" t="s">
        <v>198</v>
      </c>
      <c r="N22" s="48" t="s">
        <v>236</v>
      </c>
      <c r="O22" s="224"/>
      <c r="Q22" t="s">
        <v>497</v>
      </c>
      <c r="S22" s="354" cm="1">
        <f t="array" ref="S22">INDEX('Configurator Specs.'!G$29:G$30,index_swing_CO2tax_chosen)*carbon_cost_level</f>
        <v>0</v>
      </c>
      <c r="T22" s="354" cm="1">
        <f t="array" ref="T22">INDEX('Configurator Specs.'!H$29:H$30,index_swing_CO2tax_chosen)*carbon_cost_level</f>
        <v>0</v>
      </c>
      <c r="U22" s="354" cm="1">
        <f t="array" ref="U22">INDEX('Configurator Specs.'!I$29:I$30,index_swing_CO2tax_chosen)*carbon_cost_level</f>
        <v>0</v>
      </c>
      <c r="V22" s="354" cm="1">
        <f t="array" ref="V22">INDEX('Configurator Specs.'!J$29:J$30,index_swing_CO2tax_chosen)*carbon_cost_level</f>
        <v>0</v>
      </c>
      <c r="W22" s="354" cm="1">
        <f t="array" ref="W22">INDEX('Configurator Specs.'!K$29:K$30,index_swing_CO2tax_chosen)*carbon_cost_level</f>
        <v>0</v>
      </c>
      <c r="X22" s="354" cm="1">
        <f t="array" ref="X22">INDEX('Configurator Specs.'!L$29:L$30,index_swing_CO2tax_chosen)*carbon_cost_level</f>
        <v>0</v>
      </c>
      <c r="Y22" s="354" cm="1">
        <f t="array" ref="Y22">INDEX('Configurator Specs.'!M$29:M$30,index_swing_CO2tax_chosen)*carbon_cost_level</f>
        <v>0</v>
      </c>
      <c r="Z22" s="354" cm="1">
        <f t="array" ref="Z22">INDEX('Configurator Specs.'!N$29:N$30,index_swing_CO2tax_chosen)*carbon_cost_level</f>
        <v>0</v>
      </c>
      <c r="AA22" s="354" cm="1">
        <f t="array" ref="AA22">INDEX('Configurator Specs.'!O$29:O$30,index_swing_CO2tax_chosen)*carbon_cost_level</f>
        <v>0</v>
      </c>
      <c r="AB22" s="354" cm="1">
        <f t="array" ref="AB22">INDEX('Configurator Specs.'!P$29:P$30,index_swing_CO2tax_chosen)*carbon_cost_level</f>
        <v>0</v>
      </c>
      <c r="AC22" s="354" cm="1">
        <f t="array" ref="AC22">INDEX('Configurator Specs.'!Q$29:Q$30,index_swing_CO2tax_chosen)*carbon_cost_level</f>
        <v>0</v>
      </c>
      <c r="AD22" s="354" cm="1">
        <f t="array" ref="AD22">INDEX('Configurator Specs.'!R$29:R$30,index_swing_CO2tax_chosen)*carbon_cost_level</f>
        <v>0</v>
      </c>
      <c r="AE22" s="15"/>
      <c r="AF22" s="15"/>
      <c r="AG22" s="15"/>
    </row>
    <row r="23" spans="2:33" x14ac:dyDescent="0.2">
      <c r="B23" s="332"/>
      <c r="C23" s="332"/>
      <c r="D23" s="353" t="str">
        <f t="shared" si="4"/>
        <v>Middle East - Cost of CO2 emissions</v>
      </c>
      <c r="L23" t="s">
        <v>197</v>
      </c>
      <c r="N23" s="48" t="s">
        <v>236</v>
      </c>
      <c r="O23" s="224"/>
      <c r="Q23" t="s">
        <v>497</v>
      </c>
      <c r="S23" s="354" cm="1">
        <f t="array" ref="S23">INDEX('Configurator Specs.'!G$29:G$30,index_swing_CO2tax_chosen)*carbon_cost_level</f>
        <v>0</v>
      </c>
      <c r="T23" s="354" cm="1">
        <f t="array" ref="T23">INDEX('Configurator Specs.'!H$29:H$30,index_swing_CO2tax_chosen)*carbon_cost_level</f>
        <v>0</v>
      </c>
      <c r="U23" s="354" cm="1">
        <f t="array" ref="U23">INDEX('Configurator Specs.'!I$29:I$30,index_swing_CO2tax_chosen)*carbon_cost_level</f>
        <v>0</v>
      </c>
      <c r="V23" s="354" cm="1">
        <f t="array" ref="V23">INDEX('Configurator Specs.'!J$29:J$30,index_swing_CO2tax_chosen)*carbon_cost_level</f>
        <v>0</v>
      </c>
      <c r="W23" s="354" cm="1">
        <f t="array" ref="W23">INDEX('Configurator Specs.'!K$29:K$30,index_swing_CO2tax_chosen)*carbon_cost_level</f>
        <v>0</v>
      </c>
      <c r="X23" s="354" cm="1">
        <f t="array" ref="X23">INDEX('Configurator Specs.'!L$29:L$30,index_swing_CO2tax_chosen)*carbon_cost_level</f>
        <v>0</v>
      </c>
      <c r="Y23" s="354" cm="1">
        <f t="array" ref="Y23">INDEX('Configurator Specs.'!M$29:M$30,index_swing_CO2tax_chosen)*carbon_cost_level</f>
        <v>0</v>
      </c>
      <c r="Z23" s="354" cm="1">
        <f t="array" ref="Z23">INDEX('Configurator Specs.'!N$29:N$30,index_swing_CO2tax_chosen)*carbon_cost_level</f>
        <v>0</v>
      </c>
      <c r="AA23" s="354" cm="1">
        <f t="array" ref="AA23">INDEX('Configurator Specs.'!O$29:O$30,index_swing_CO2tax_chosen)*carbon_cost_level</f>
        <v>0</v>
      </c>
      <c r="AB23" s="354" cm="1">
        <f t="array" ref="AB23">INDEX('Configurator Specs.'!P$29:P$30,index_swing_CO2tax_chosen)*carbon_cost_level</f>
        <v>0</v>
      </c>
      <c r="AC23" s="354" cm="1">
        <f t="array" ref="AC23">INDEX('Configurator Specs.'!Q$29:Q$30,index_swing_CO2tax_chosen)*carbon_cost_level</f>
        <v>0</v>
      </c>
      <c r="AD23" s="354" cm="1">
        <f t="array" ref="AD23">INDEX('Configurator Specs.'!R$29:R$30,index_swing_CO2tax_chosen)*carbon_cost_level</f>
        <v>0</v>
      </c>
      <c r="AE23" s="15"/>
      <c r="AF23" s="15"/>
      <c r="AG23" s="15"/>
    </row>
    <row r="24" spans="2:33" x14ac:dyDescent="0.2">
      <c r="B24" s="332"/>
      <c r="C24" s="332"/>
      <c r="D24" s="353" t="str">
        <f t="shared" si="4"/>
        <v>Americas - Cost of CO2 emissions</v>
      </c>
      <c r="L24" t="s">
        <v>199</v>
      </c>
      <c r="N24" s="48" t="s">
        <v>236</v>
      </c>
      <c r="O24" s="224"/>
      <c r="Q24" t="s">
        <v>497</v>
      </c>
      <c r="S24" s="354" cm="1">
        <f t="array" ref="S24">INDEX('Configurator Specs.'!G$29:G$30,index_swing_CO2tax_chosen)*carbon_cost_level</f>
        <v>0</v>
      </c>
      <c r="T24" s="354" cm="1">
        <f t="array" ref="T24">INDEX('Configurator Specs.'!H$29:H$30,index_swing_CO2tax_chosen)*carbon_cost_level</f>
        <v>0</v>
      </c>
      <c r="U24" s="354" cm="1">
        <f t="array" ref="U24">INDEX('Configurator Specs.'!I$29:I$30,index_swing_CO2tax_chosen)*carbon_cost_level</f>
        <v>0</v>
      </c>
      <c r="V24" s="354" cm="1">
        <f t="array" ref="V24">INDEX('Configurator Specs.'!J$29:J$30,index_swing_CO2tax_chosen)*carbon_cost_level</f>
        <v>0</v>
      </c>
      <c r="W24" s="354" cm="1">
        <f t="array" ref="W24">INDEX('Configurator Specs.'!K$29:K$30,index_swing_CO2tax_chosen)*carbon_cost_level</f>
        <v>0</v>
      </c>
      <c r="X24" s="354" cm="1">
        <f t="array" ref="X24">INDEX('Configurator Specs.'!L$29:L$30,index_swing_CO2tax_chosen)*carbon_cost_level</f>
        <v>0</v>
      </c>
      <c r="Y24" s="354" cm="1">
        <f t="array" ref="Y24">INDEX('Configurator Specs.'!M$29:M$30,index_swing_CO2tax_chosen)*carbon_cost_level</f>
        <v>0</v>
      </c>
      <c r="Z24" s="354" cm="1">
        <f t="array" ref="Z24">INDEX('Configurator Specs.'!N$29:N$30,index_swing_CO2tax_chosen)*carbon_cost_level</f>
        <v>0</v>
      </c>
      <c r="AA24" s="354" cm="1">
        <f t="array" ref="AA24">INDEX('Configurator Specs.'!O$29:O$30,index_swing_CO2tax_chosen)*carbon_cost_level</f>
        <v>0</v>
      </c>
      <c r="AB24" s="354" cm="1">
        <f t="array" ref="AB24">INDEX('Configurator Specs.'!P$29:P$30,index_swing_CO2tax_chosen)*carbon_cost_level</f>
        <v>0</v>
      </c>
      <c r="AC24" s="354" cm="1">
        <f t="array" ref="AC24">INDEX('Configurator Specs.'!Q$29:Q$30,index_swing_CO2tax_chosen)*carbon_cost_level</f>
        <v>0</v>
      </c>
      <c r="AD24" s="354" cm="1">
        <f t="array" ref="AD24">INDEX('Configurator Specs.'!R$29:R$30,index_swing_CO2tax_chosen)*carbon_cost_level</f>
        <v>0</v>
      </c>
      <c r="AE24" s="15"/>
      <c r="AF24" s="15"/>
      <c r="AG24" s="15"/>
    </row>
    <row r="25" spans="2:33" x14ac:dyDescent="0.2">
      <c r="B25" s="332"/>
      <c r="C25" s="332"/>
      <c r="D25" s="353" t="str">
        <f t="shared" si="4"/>
        <v>Africa&amp;Other - Cost of CO2 emissions</v>
      </c>
      <c r="L25" t="s">
        <v>498</v>
      </c>
      <c r="N25" s="48" t="s">
        <v>236</v>
      </c>
      <c r="O25" s="224"/>
      <c r="Q25" t="s">
        <v>497</v>
      </c>
      <c r="S25" s="354" cm="1">
        <f t="array" ref="S25">INDEX('Configurator Specs.'!G$29:G$30,index_swing_CO2tax_chosen)*carbon_cost_level</f>
        <v>0</v>
      </c>
      <c r="T25" s="354" cm="1">
        <f t="array" ref="T25">INDEX('Configurator Specs.'!H$29:H$30,index_swing_CO2tax_chosen)*carbon_cost_level</f>
        <v>0</v>
      </c>
      <c r="U25" s="354" cm="1">
        <f t="array" ref="U25">INDEX('Configurator Specs.'!I$29:I$30,index_swing_CO2tax_chosen)*carbon_cost_level</f>
        <v>0</v>
      </c>
      <c r="V25" s="354" cm="1">
        <f t="array" ref="V25">INDEX('Configurator Specs.'!J$29:J$30,index_swing_CO2tax_chosen)*carbon_cost_level</f>
        <v>0</v>
      </c>
      <c r="W25" s="354" cm="1">
        <f t="array" ref="W25">INDEX('Configurator Specs.'!K$29:K$30,index_swing_CO2tax_chosen)*carbon_cost_level</f>
        <v>0</v>
      </c>
      <c r="X25" s="354" cm="1">
        <f t="array" ref="X25">INDEX('Configurator Specs.'!L$29:L$30,index_swing_CO2tax_chosen)*carbon_cost_level</f>
        <v>0</v>
      </c>
      <c r="Y25" s="354" cm="1">
        <f t="array" ref="Y25">INDEX('Configurator Specs.'!M$29:M$30,index_swing_CO2tax_chosen)*carbon_cost_level</f>
        <v>0</v>
      </c>
      <c r="Z25" s="354" cm="1">
        <f t="array" ref="Z25">INDEX('Configurator Specs.'!N$29:N$30,index_swing_CO2tax_chosen)*carbon_cost_level</f>
        <v>0</v>
      </c>
      <c r="AA25" s="354" cm="1">
        <f t="array" ref="AA25">INDEX('Configurator Specs.'!O$29:O$30,index_swing_CO2tax_chosen)*carbon_cost_level</f>
        <v>0</v>
      </c>
      <c r="AB25" s="354" cm="1">
        <f t="array" ref="AB25">INDEX('Configurator Specs.'!P$29:P$30,index_swing_CO2tax_chosen)*carbon_cost_level</f>
        <v>0</v>
      </c>
      <c r="AC25" s="354" cm="1">
        <f t="array" ref="AC25">INDEX('Configurator Specs.'!Q$29:Q$30,index_swing_CO2tax_chosen)*carbon_cost_level</f>
        <v>0</v>
      </c>
      <c r="AD25" s="354" cm="1">
        <f t="array" ref="AD25">INDEX('Configurator Specs.'!R$29:R$30,index_swing_CO2tax_chosen)*carbon_cost_level</f>
        <v>0</v>
      </c>
      <c r="AE25" s="15"/>
      <c r="AF25" s="15"/>
      <c r="AG25" s="15"/>
    </row>
    <row r="26" spans="2:33" x14ac:dyDescent="0.2">
      <c r="B26" s="332"/>
      <c r="C26" s="332"/>
      <c r="D26" s="353" t="str">
        <f t="shared" si="4"/>
        <v>Global - Cost of CO2 emissions</v>
      </c>
      <c r="L26" t="s">
        <v>109</v>
      </c>
      <c r="N26" s="48" t="s">
        <v>236</v>
      </c>
      <c r="O26" s="224"/>
      <c r="Q26" t="s">
        <v>497</v>
      </c>
      <c r="S26" s="354" cm="1">
        <f t="array" ref="S26">INDEX('Configurator Specs.'!G$29:G$30,index_swing_CO2tax_chosen)*carbon_cost_level</f>
        <v>0</v>
      </c>
      <c r="T26" s="354" cm="1">
        <f t="array" ref="T26">INDEX('Configurator Specs.'!H$29:H$30,index_swing_CO2tax_chosen)*carbon_cost_level</f>
        <v>0</v>
      </c>
      <c r="U26" s="354" cm="1">
        <f t="array" ref="U26">INDEX('Configurator Specs.'!I$29:I$30,index_swing_CO2tax_chosen)*carbon_cost_level</f>
        <v>0</v>
      </c>
      <c r="V26" s="354" cm="1">
        <f t="array" ref="V26">INDEX('Configurator Specs.'!J$29:J$30,index_swing_CO2tax_chosen)*carbon_cost_level</f>
        <v>0</v>
      </c>
      <c r="W26" s="354" cm="1">
        <f t="array" ref="W26">INDEX('Configurator Specs.'!K$29:K$30,index_swing_CO2tax_chosen)*carbon_cost_level</f>
        <v>0</v>
      </c>
      <c r="X26" s="354" cm="1">
        <f t="array" ref="X26">INDEX('Configurator Specs.'!L$29:L$30,index_swing_CO2tax_chosen)*carbon_cost_level</f>
        <v>0</v>
      </c>
      <c r="Y26" s="354" cm="1">
        <f t="array" ref="Y26">INDEX('Configurator Specs.'!M$29:M$30,index_swing_CO2tax_chosen)*carbon_cost_level</f>
        <v>0</v>
      </c>
      <c r="Z26" s="354" cm="1">
        <f t="array" ref="Z26">INDEX('Configurator Specs.'!N$29:N$30,index_swing_CO2tax_chosen)*carbon_cost_level</f>
        <v>0</v>
      </c>
      <c r="AA26" s="354" cm="1">
        <f t="array" ref="AA26">INDEX('Configurator Specs.'!O$29:O$30,index_swing_CO2tax_chosen)*carbon_cost_level</f>
        <v>0</v>
      </c>
      <c r="AB26" s="354" cm="1">
        <f t="array" ref="AB26">INDEX('Configurator Specs.'!P$29:P$30,index_swing_CO2tax_chosen)*carbon_cost_level</f>
        <v>0</v>
      </c>
      <c r="AC26" s="354" cm="1">
        <f t="array" ref="AC26">INDEX('Configurator Specs.'!Q$29:Q$30,index_swing_CO2tax_chosen)*carbon_cost_level</f>
        <v>0</v>
      </c>
      <c r="AD26" s="354" cm="1">
        <f t="array" ref="AD26">INDEX('Configurator Specs.'!R$29:R$30,index_swing_CO2tax_chosen)*carbon_cost_level</f>
        <v>0</v>
      </c>
      <c r="AE26" s="15"/>
      <c r="AF26" s="15"/>
      <c r="AG26" s="15"/>
    </row>
    <row r="27" spans="2:33" x14ac:dyDescent="0.2">
      <c r="B27" s="49" t="s">
        <v>499</v>
      </c>
      <c r="C27" s="49"/>
      <c r="D27" s="350"/>
      <c r="E27" s="331"/>
      <c r="F27" s="331"/>
      <c r="G27" s="331" t="str">
        <f>B27</f>
        <v>Conversions</v>
      </c>
      <c r="H27" s="331"/>
      <c r="I27" s="331"/>
      <c r="J27" s="331"/>
      <c r="K27" s="331"/>
      <c r="L27" s="331"/>
      <c r="M27" s="331"/>
      <c r="N27" s="331"/>
      <c r="O27" s="331"/>
      <c r="P27" s="331"/>
      <c r="Q27" s="331"/>
      <c r="R27" s="331"/>
      <c r="S27" s="331"/>
      <c r="T27" s="331"/>
      <c r="U27" s="331"/>
      <c r="V27" s="331"/>
      <c r="W27" s="331"/>
      <c r="X27" s="331"/>
      <c r="Y27" s="331"/>
      <c r="Z27" s="331"/>
      <c r="AA27" s="331"/>
      <c r="AB27" s="331"/>
      <c r="AC27" s="331"/>
      <c r="AD27" s="331"/>
      <c r="AE27" s="15"/>
      <c r="AF27" s="15"/>
      <c r="AG27" s="15"/>
    </row>
    <row r="28" spans="2:33" x14ac:dyDescent="0.2">
      <c r="D28" s="353" t="str">
        <f>_xlfn.TEXTJOIN(keydelim,TRUE,E28:N28)</f>
        <v>kWh per MJ</v>
      </c>
      <c r="N28" s="48" t="s">
        <v>500</v>
      </c>
      <c r="Q28" t="s">
        <v>501</v>
      </c>
      <c r="R28" s="355">
        <f>1/3.6</f>
        <v>0.27777777777777779</v>
      </c>
      <c r="AE28" s="15"/>
      <c r="AF28" s="15"/>
      <c r="AG28" s="15"/>
    </row>
    <row r="29" spans="2:33" x14ac:dyDescent="0.2">
      <c r="N29" s="48" t="s">
        <v>502</v>
      </c>
      <c r="Q29" t="s">
        <v>503</v>
      </c>
      <c r="R29">
        <f>1/(kwh_per_MJ/1000)</f>
        <v>3600</v>
      </c>
      <c r="AE29" s="15"/>
      <c r="AF29" s="15"/>
      <c r="AG29" s="15"/>
    </row>
    <row r="30" spans="2:33" x14ac:dyDescent="0.2">
      <c r="N30" s="48" t="s">
        <v>504</v>
      </c>
      <c r="Q30" t="s">
        <v>505</v>
      </c>
      <c r="R30">
        <f>1/kwh_per_MJ</f>
        <v>3.5999999999999996</v>
      </c>
      <c r="AE30" s="15"/>
      <c r="AF30" s="15"/>
      <c r="AG30" s="15"/>
    </row>
    <row r="31" spans="2:33" x14ac:dyDescent="0.2">
      <c r="N31" s="48" t="s">
        <v>506</v>
      </c>
      <c r="Q31" t="s">
        <v>507</v>
      </c>
      <c r="R31" s="356">
        <v>1.8520000000000001</v>
      </c>
      <c r="AE31" s="15"/>
      <c r="AF31" s="15"/>
      <c r="AG31" s="15"/>
    </row>
    <row r="32" spans="2:33" x14ac:dyDescent="0.2">
      <c r="B32" s="49" t="s">
        <v>508</v>
      </c>
      <c r="C32" s="49"/>
      <c r="D32" s="350"/>
      <c r="E32" s="331"/>
      <c r="F32" s="331"/>
      <c r="G32" s="331" t="str">
        <f>B32</f>
        <v>Vessel lifetime</v>
      </c>
      <c r="H32" s="331"/>
      <c r="I32" s="331"/>
      <c r="J32" s="331"/>
      <c r="K32" s="331"/>
      <c r="L32" s="331"/>
      <c r="M32" s="331"/>
      <c r="N32" s="331"/>
      <c r="O32" s="331"/>
      <c r="P32" s="331"/>
      <c r="Q32" s="331"/>
      <c r="R32" s="331"/>
      <c r="S32" s="331"/>
      <c r="T32" s="331"/>
      <c r="U32" s="331"/>
      <c r="V32" s="331"/>
      <c r="W32" s="331"/>
      <c r="X32" s="331"/>
      <c r="Y32" s="331"/>
      <c r="Z32" s="331"/>
      <c r="AA32" s="331"/>
      <c r="AB32" s="331"/>
      <c r="AC32" s="331"/>
      <c r="AD32" s="331"/>
      <c r="AE32" s="15"/>
      <c r="AF32" s="15"/>
      <c r="AG32" s="15"/>
    </row>
    <row r="33" spans="1:33" x14ac:dyDescent="0.2">
      <c r="D33" s="353" t="str">
        <f>_xlfn.TEXTJOIN(keydelim,TRUE,E33:N33)</f>
        <v>Vessel lifetime</v>
      </c>
      <c r="N33" s="48" t="s">
        <v>508</v>
      </c>
      <c r="P33" t="s">
        <v>509</v>
      </c>
      <c r="Q33" t="s">
        <v>176</v>
      </c>
      <c r="R33" s="356">
        <v>25</v>
      </c>
      <c r="AE33" s="15"/>
      <c r="AF33" s="15"/>
      <c r="AG33" s="15"/>
    </row>
    <row r="34" spans="1:33" x14ac:dyDescent="0.2">
      <c r="B34" s="49" t="s">
        <v>272</v>
      </c>
      <c r="C34" s="49"/>
      <c r="D34" s="350"/>
      <c r="E34" s="331"/>
      <c r="F34" s="331"/>
      <c r="G34" s="331" t="str">
        <f>B34</f>
        <v>Yard installation CAPEX</v>
      </c>
      <c r="H34" s="331"/>
      <c r="I34" s="331"/>
      <c r="J34" s="331"/>
      <c r="K34" s="331"/>
      <c r="L34" s="331"/>
      <c r="M34" s="331"/>
      <c r="N34" s="331"/>
      <c r="O34" s="331"/>
      <c r="P34" s="331"/>
      <c r="Q34" s="331"/>
      <c r="R34" s="331"/>
      <c r="S34" s="331"/>
      <c r="T34" s="331"/>
      <c r="U34" s="331"/>
      <c r="V34" s="331"/>
      <c r="W34" s="331"/>
      <c r="X34" s="331"/>
      <c r="Y34" s="331"/>
      <c r="Z34" s="331"/>
      <c r="AA34" s="331"/>
      <c r="AB34" s="331"/>
      <c r="AC34" s="331"/>
      <c r="AD34" s="331"/>
      <c r="AE34" s="15"/>
      <c r="AF34" s="15"/>
      <c r="AG34" s="15"/>
    </row>
    <row r="35" spans="1:33" x14ac:dyDescent="0.2">
      <c r="D35" s="353" t="str">
        <f>_xlfn.TEXTJOIN(keydelim,TRUE,E35:N35)</f>
        <v>Yard installation CAPEX</v>
      </c>
      <c r="N35" s="48" t="s">
        <v>272</v>
      </c>
      <c r="P35" t="s">
        <v>509</v>
      </c>
      <c r="Q35" t="s">
        <v>178</v>
      </c>
      <c r="R35" s="352">
        <v>0.1</v>
      </c>
      <c r="AE35" s="15"/>
      <c r="AF35" s="15"/>
      <c r="AG35" s="15"/>
    </row>
    <row r="36" spans="1:33" ht="21.75" customHeight="1" x14ac:dyDescent="0.2">
      <c r="AE36" s="15"/>
      <c r="AF36" s="15"/>
      <c r="AG36" s="15"/>
    </row>
    <row r="37" spans="1:33" x14ac:dyDescent="0.2">
      <c r="B37" s="50" t="s">
        <v>510</v>
      </c>
      <c r="C37" s="327"/>
      <c r="D37" s="328"/>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269"/>
      <c r="AE37" s="15"/>
      <c r="AF37" s="15"/>
      <c r="AG37" s="15"/>
    </row>
    <row r="38" spans="1:33" x14ac:dyDescent="0.2">
      <c r="B38" s="49" t="s">
        <v>278</v>
      </c>
      <c r="C38" s="49"/>
      <c r="D38" s="350"/>
      <c r="E38" s="331"/>
      <c r="F38" s="331"/>
      <c r="G38" s="331" t="str">
        <f>B38</f>
        <v>ME cost</v>
      </c>
      <c r="H38" s="331"/>
      <c r="I38" s="331"/>
      <c r="J38" s="331"/>
      <c r="K38" s="331"/>
      <c r="L38" s="331"/>
      <c r="M38" s="331"/>
      <c r="N38" s="331"/>
      <c r="O38" s="331"/>
      <c r="P38" s="331"/>
      <c r="Q38" s="331"/>
      <c r="R38" s="331"/>
      <c r="S38" s="331"/>
      <c r="T38" s="331"/>
      <c r="U38" s="331"/>
      <c r="V38" s="331"/>
      <c r="W38" s="331"/>
      <c r="X38" s="331"/>
      <c r="Y38" s="331"/>
      <c r="Z38" s="331"/>
      <c r="AA38" s="331"/>
      <c r="AB38" s="331"/>
      <c r="AC38" s="331"/>
      <c r="AD38" s="331"/>
      <c r="AE38" s="15"/>
      <c r="AF38" s="15"/>
      <c r="AG38" s="15"/>
    </row>
    <row r="39" spans="1:33" x14ac:dyDescent="0.2">
      <c r="A39" s="224"/>
      <c r="B39"/>
      <c r="D39" s="347" t="str">
        <f>_xlfn.TEXTJOIN(keydelim,TRUE,E39:N39)</f>
        <v>ICE HFO - ME cost</v>
      </c>
      <c r="E39" t="s">
        <v>112</v>
      </c>
      <c r="N39" t="s">
        <v>278</v>
      </c>
      <c r="O39" t="s">
        <v>511</v>
      </c>
      <c r="Q39" s="224" t="s">
        <v>279</v>
      </c>
      <c r="S39" s="357">
        <v>250000</v>
      </c>
      <c r="T39" s="354">
        <f t="shared" ref="T39:AD39" si="5">S39*((1+T47)^5)</f>
        <v>250000</v>
      </c>
      <c r="U39" s="354">
        <f t="shared" si="5"/>
        <v>250000</v>
      </c>
      <c r="V39" s="354">
        <f t="shared" si="5"/>
        <v>250000</v>
      </c>
      <c r="W39" s="354">
        <f t="shared" si="5"/>
        <v>250000</v>
      </c>
      <c r="X39" s="354">
        <f t="shared" si="5"/>
        <v>250000</v>
      </c>
      <c r="Y39" s="354">
        <f t="shared" si="5"/>
        <v>250000</v>
      </c>
      <c r="Z39" s="354">
        <f t="shared" si="5"/>
        <v>250000</v>
      </c>
      <c r="AA39" s="354">
        <f t="shared" si="5"/>
        <v>250000</v>
      </c>
      <c r="AB39" s="354">
        <f t="shared" si="5"/>
        <v>250000</v>
      </c>
      <c r="AC39" s="354">
        <f t="shared" si="5"/>
        <v>250000</v>
      </c>
      <c r="AD39" s="354">
        <f t="shared" si="5"/>
        <v>250000</v>
      </c>
      <c r="AE39" s="15"/>
      <c r="AF39" s="15"/>
      <c r="AG39" s="15"/>
    </row>
    <row r="40" spans="1:33" x14ac:dyDescent="0.2">
      <c r="A40" s="224"/>
      <c r="B40"/>
      <c r="C40"/>
      <c r="D40" s="347" t="str">
        <f>_xlfn.TEXTJOIN(keydelim,TRUE,E40:N40)</f>
        <v>ICE Ammonia - ME cost</v>
      </c>
      <c r="E40" t="s">
        <v>115</v>
      </c>
      <c r="N40" t="s">
        <v>278</v>
      </c>
      <c r="O40" t="s">
        <v>512</v>
      </c>
      <c r="Q40" s="224" t="s">
        <v>279</v>
      </c>
      <c r="R40" s="352">
        <v>0.2</v>
      </c>
      <c r="S40" s="354">
        <f>$S$39*(1+$R$40)</f>
        <v>300000</v>
      </c>
      <c r="T40" s="354">
        <f t="shared" ref="T40:AD40" si="6">S40*((1+T48)^5)</f>
        <v>300000</v>
      </c>
      <c r="U40" s="354">
        <f t="shared" si="6"/>
        <v>300000</v>
      </c>
      <c r="V40" s="354">
        <f t="shared" si="6"/>
        <v>300000</v>
      </c>
      <c r="W40" s="354">
        <f t="shared" si="6"/>
        <v>300000</v>
      </c>
      <c r="X40" s="354">
        <f t="shared" si="6"/>
        <v>300000</v>
      </c>
      <c r="Y40" s="354">
        <f t="shared" si="6"/>
        <v>300000</v>
      </c>
      <c r="Z40" s="354">
        <f t="shared" si="6"/>
        <v>300000</v>
      </c>
      <c r="AA40" s="354">
        <f t="shared" si="6"/>
        <v>300000</v>
      </c>
      <c r="AB40" s="354">
        <f t="shared" si="6"/>
        <v>300000</v>
      </c>
      <c r="AC40" s="354">
        <f t="shared" si="6"/>
        <v>300000</v>
      </c>
      <c r="AD40" s="354">
        <f t="shared" si="6"/>
        <v>300000</v>
      </c>
      <c r="AE40" s="15"/>
      <c r="AF40" s="15"/>
      <c r="AG40" s="15"/>
    </row>
    <row r="41" spans="1:33" x14ac:dyDescent="0.2">
      <c r="A41" s="224"/>
      <c r="B41"/>
      <c r="C41"/>
      <c r="D41" s="347" t="str">
        <f>_xlfn.TEXTJOIN(keydelim,TRUE,E41:N41)</f>
        <v>ICE Methanol - ME cost</v>
      </c>
      <c r="E41" t="s">
        <v>114</v>
      </c>
      <c r="N41" t="s">
        <v>278</v>
      </c>
      <c r="O41" t="s">
        <v>512</v>
      </c>
      <c r="Q41" s="224" t="s">
        <v>279</v>
      </c>
      <c r="S41" s="354">
        <f t="shared" ref="S41:S43" si="7">$S$39*(1+$R$40)</f>
        <v>300000</v>
      </c>
      <c r="T41" s="354">
        <f t="shared" ref="T41:AD41" si="8">S41*((1+T49)^5)</f>
        <v>300000</v>
      </c>
      <c r="U41" s="354">
        <f t="shared" si="8"/>
        <v>300000</v>
      </c>
      <c r="V41" s="354">
        <f t="shared" si="8"/>
        <v>300000</v>
      </c>
      <c r="W41" s="354">
        <f t="shared" si="8"/>
        <v>300000</v>
      </c>
      <c r="X41" s="354">
        <f t="shared" si="8"/>
        <v>300000</v>
      </c>
      <c r="Y41" s="354">
        <f t="shared" si="8"/>
        <v>300000</v>
      </c>
      <c r="Z41" s="354">
        <f t="shared" si="8"/>
        <v>300000</v>
      </c>
      <c r="AA41" s="354">
        <f t="shared" si="8"/>
        <v>300000</v>
      </c>
      <c r="AB41" s="354">
        <f t="shared" si="8"/>
        <v>300000</v>
      </c>
      <c r="AC41" s="354">
        <f t="shared" si="8"/>
        <v>300000</v>
      </c>
      <c r="AD41" s="354">
        <f t="shared" si="8"/>
        <v>300000</v>
      </c>
      <c r="AE41" s="15"/>
      <c r="AF41" s="15"/>
      <c r="AG41" s="15"/>
    </row>
    <row r="42" spans="1:33" x14ac:dyDescent="0.2">
      <c r="A42" s="224"/>
      <c r="B42"/>
      <c r="C42"/>
      <c r="D42" s="347" t="str">
        <f>_xlfn.TEXTJOIN(keydelim,TRUE,E42:N42)</f>
        <v>ICE LNG - ME cost</v>
      </c>
      <c r="E42" t="s">
        <v>113</v>
      </c>
      <c r="N42" t="s">
        <v>278</v>
      </c>
      <c r="O42" t="s">
        <v>512</v>
      </c>
      <c r="Q42" s="224" t="s">
        <v>279</v>
      </c>
      <c r="S42" s="354">
        <f t="shared" si="7"/>
        <v>300000</v>
      </c>
      <c r="T42" s="354">
        <f t="shared" ref="T42:AD42" si="9">S42*((1+T50)^5)</f>
        <v>300000</v>
      </c>
      <c r="U42" s="354">
        <f t="shared" si="9"/>
        <v>300000</v>
      </c>
      <c r="V42" s="354">
        <f t="shared" si="9"/>
        <v>300000</v>
      </c>
      <c r="W42" s="354">
        <f t="shared" si="9"/>
        <v>300000</v>
      </c>
      <c r="X42" s="354">
        <f t="shared" si="9"/>
        <v>300000</v>
      </c>
      <c r="Y42" s="354">
        <f t="shared" si="9"/>
        <v>300000</v>
      </c>
      <c r="Z42" s="354">
        <f t="shared" si="9"/>
        <v>300000</v>
      </c>
      <c r="AA42" s="354">
        <f t="shared" si="9"/>
        <v>300000</v>
      </c>
      <c r="AB42" s="354">
        <f t="shared" si="9"/>
        <v>300000</v>
      </c>
      <c r="AC42" s="354">
        <f t="shared" si="9"/>
        <v>300000</v>
      </c>
      <c r="AD42" s="354">
        <f t="shared" si="9"/>
        <v>300000</v>
      </c>
      <c r="AE42" s="15"/>
      <c r="AF42" s="15"/>
      <c r="AG42" s="15"/>
    </row>
    <row r="43" spans="1:33" x14ac:dyDescent="0.2">
      <c r="A43" s="224"/>
      <c r="B43"/>
      <c r="C43"/>
      <c r="D43" s="347" t="str">
        <f>_xlfn.TEXTJOIN(keydelim,TRUE,E43:N43)</f>
        <v>ICE LPG - ME cost</v>
      </c>
      <c r="E43" t="s">
        <v>513</v>
      </c>
      <c r="N43" t="s">
        <v>278</v>
      </c>
      <c r="O43" t="s">
        <v>512</v>
      </c>
      <c r="Q43" s="224" t="s">
        <v>279</v>
      </c>
      <c r="S43" s="354">
        <f t="shared" si="7"/>
        <v>300000</v>
      </c>
      <c r="T43" s="354">
        <f t="shared" ref="T43:AD43" si="10">S43*((1+T51)^5)</f>
        <v>300000</v>
      </c>
      <c r="U43" s="354">
        <f t="shared" si="10"/>
        <v>300000</v>
      </c>
      <c r="V43" s="354">
        <f t="shared" si="10"/>
        <v>300000</v>
      </c>
      <c r="W43" s="354">
        <f t="shared" si="10"/>
        <v>300000</v>
      </c>
      <c r="X43" s="354">
        <f t="shared" si="10"/>
        <v>300000</v>
      </c>
      <c r="Y43" s="354">
        <f t="shared" si="10"/>
        <v>300000</v>
      </c>
      <c r="Z43" s="354">
        <f t="shared" si="10"/>
        <v>300000</v>
      </c>
      <c r="AA43" s="354">
        <f t="shared" si="10"/>
        <v>300000</v>
      </c>
      <c r="AB43" s="354">
        <f t="shared" si="10"/>
        <v>300000</v>
      </c>
      <c r="AC43" s="354">
        <f t="shared" si="10"/>
        <v>300000</v>
      </c>
      <c r="AD43" s="354">
        <f t="shared" si="10"/>
        <v>300000</v>
      </c>
      <c r="AE43" s="15"/>
      <c r="AF43" s="15"/>
      <c r="AG43" s="15"/>
    </row>
    <row r="44" spans="1:33" x14ac:dyDescent="0.2">
      <c r="A44" s="224"/>
      <c r="B44"/>
      <c r="C44"/>
      <c r="Q44" s="224"/>
      <c r="S44" s="354"/>
      <c r="T44" s="354"/>
      <c r="U44" s="354"/>
      <c r="V44" s="354"/>
      <c r="W44" s="354"/>
      <c r="X44" s="354"/>
      <c r="Y44" s="354"/>
      <c r="Z44" s="354"/>
      <c r="AA44" s="354"/>
      <c r="AB44" s="354"/>
      <c r="AC44" s="354"/>
      <c r="AD44" s="354"/>
      <c r="AE44" s="15"/>
      <c r="AF44" s="15"/>
      <c r="AG44" s="15"/>
    </row>
    <row r="45" spans="1:33" x14ac:dyDescent="0.2">
      <c r="A45" s="224"/>
      <c r="B45"/>
      <c r="C45"/>
      <c r="D45" s="347" t="str">
        <f>_xlfn.TEXTJOIN(keydelim,TRUE,E45:N45)</f>
        <v>Battery - Electric propulsion system cost</v>
      </c>
      <c r="E45" t="s">
        <v>189</v>
      </c>
      <c r="N45" t="s">
        <v>281</v>
      </c>
      <c r="Q45" s="224" t="s">
        <v>279</v>
      </c>
      <c r="S45" s="357">
        <v>135000</v>
      </c>
      <c r="T45" s="354">
        <f t="shared" ref="T45:AD45" si="11">S45*((1+T52)^5)</f>
        <v>122029.30756799997</v>
      </c>
      <c r="U45" s="354">
        <f t="shared" si="11"/>
        <v>110304.82892981879</v>
      </c>
      <c r="V45" s="354">
        <f t="shared" si="11"/>
        <v>99706.828857129469</v>
      </c>
      <c r="W45" s="354">
        <f t="shared" si="11"/>
        <v>90127.076186937687</v>
      </c>
      <c r="X45" s="354">
        <f t="shared" si="11"/>
        <v>81467.738520151004</v>
      </c>
      <c r="Y45" s="354">
        <f t="shared" si="11"/>
        <v>73640.383116628931</v>
      </c>
      <c r="Z45" s="354">
        <f t="shared" si="11"/>
        <v>66565.073783440472</v>
      </c>
      <c r="AA45" s="354">
        <f t="shared" si="11"/>
        <v>60169.554533378287</v>
      </c>
      <c r="AB45" s="354">
        <f t="shared" si="11"/>
        <v>54388.511676912341</v>
      </c>
      <c r="AC45" s="354">
        <f t="shared" si="11"/>
        <v>49162.906811760695</v>
      </c>
      <c r="AD45" s="354">
        <f t="shared" si="11"/>
        <v>44439.373898290869</v>
      </c>
      <c r="AE45" s="15"/>
      <c r="AF45" s="15"/>
      <c r="AG45" s="15"/>
    </row>
    <row r="46" spans="1:33" x14ac:dyDescent="0.2">
      <c r="A46" s="224"/>
      <c r="B46"/>
      <c r="C46"/>
      <c r="D46" s="353"/>
      <c r="Q46" s="224"/>
      <c r="S46" s="224"/>
      <c r="T46" s="14"/>
      <c r="U46" s="14"/>
      <c r="V46" s="14"/>
      <c r="W46" s="14"/>
      <c r="X46" s="14"/>
      <c r="Y46" s="14"/>
      <c r="Z46" s="14"/>
      <c r="AA46" s="14"/>
      <c r="AB46" s="14"/>
      <c r="AC46" s="14"/>
      <c r="AD46" s="14"/>
      <c r="AE46" s="15"/>
      <c r="AF46" s="15"/>
      <c r="AG46" s="15"/>
    </row>
    <row r="47" spans="1:33" x14ac:dyDescent="0.2">
      <c r="A47" s="224"/>
      <c r="B47"/>
      <c r="C47"/>
      <c r="D47" s="347" t="str">
        <f t="shared" ref="D47:D52" si="12">_xlfn.TEXTJOIN(keydelim,TRUE,E47:N47)</f>
        <v>ICE HFO - ME cost reduction</v>
      </c>
      <c r="E47" t="s">
        <v>112</v>
      </c>
      <c r="N47" t="s">
        <v>514</v>
      </c>
      <c r="O47" t="s">
        <v>511</v>
      </c>
      <c r="Q47" s="224"/>
      <c r="R47" s="352">
        <v>0</v>
      </c>
      <c r="S47" s="5">
        <f>R47</f>
        <v>0</v>
      </c>
      <c r="T47" s="5">
        <f t="shared" ref="T47:AD52" si="13">$R47</f>
        <v>0</v>
      </c>
      <c r="U47" s="5">
        <f t="shared" si="13"/>
        <v>0</v>
      </c>
      <c r="V47" s="5">
        <f t="shared" si="13"/>
        <v>0</v>
      </c>
      <c r="W47" s="5">
        <f t="shared" si="13"/>
        <v>0</v>
      </c>
      <c r="X47" s="5">
        <f t="shared" si="13"/>
        <v>0</v>
      </c>
      <c r="Y47" s="5">
        <f t="shared" si="13"/>
        <v>0</v>
      </c>
      <c r="Z47" s="5">
        <f t="shared" si="13"/>
        <v>0</v>
      </c>
      <c r="AA47" s="5">
        <f t="shared" si="13"/>
        <v>0</v>
      </c>
      <c r="AB47" s="5">
        <f t="shared" si="13"/>
        <v>0</v>
      </c>
      <c r="AC47" s="5">
        <f t="shared" si="13"/>
        <v>0</v>
      </c>
      <c r="AD47" s="5">
        <f t="shared" si="13"/>
        <v>0</v>
      </c>
      <c r="AE47" s="15"/>
      <c r="AF47" s="15"/>
      <c r="AG47" s="15"/>
    </row>
    <row r="48" spans="1:33" x14ac:dyDescent="0.2">
      <c r="A48" s="224"/>
      <c r="B48"/>
      <c r="C48"/>
      <c r="D48" s="347" t="str">
        <f t="shared" si="12"/>
        <v>ICE Ammonia - ME cost reduction</v>
      </c>
      <c r="E48" t="s">
        <v>115</v>
      </c>
      <c r="N48" t="s">
        <v>514</v>
      </c>
      <c r="O48" t="s">
        <v>511</v>
      </c>
      <c r="Q48" s="224"/>
      <c r="R48" s="291"/>
      <c r="S48" s="5">
        <f>S$47</f>
        <v>0</v>
      </c>
      <c r="T48" s="5">
        <f t="shared" si="13"/>
        <v>0</v>
      </c>
      <c r="U48" s="5">
        <f t="shared" si="13"/>
        <v>0</v>
      </c>
      <c r="V48" s="5">
        <f t="shared" si="13"/>
        <v>0</v>
      </c>
      <c r="W48" s="5">
        <f t="shared" si="13"/>
        <v>0</v>
      </c>
      <c r="X48" s="5">
        <f t="shared" si="13"/>
        <v>0</v>
      </c>
      <c r="Y48" s="5">
        <f t="shared" si="13"/>
        <v>0</v>
      </c>
      <c r="Z48" s="5">
        <f t="shared" si="13"/>
        <v>0</v>
      </c>
      <c r="AA48" s="5">
        <f t="shared" si="13"/>
        <v>0</v>
      </c>
      <c r="AB48" s="5">
        <f t="shared" si="13"/>
        <v>0</v>
      </c>
      <c r="AC48" s="5">
        <f t="shared" si="13"/>
        <v>0</v>
      </c>
      <c r="AD48" s="5">
        <f t="shared" si="13"/>
        <v>0</v>
      </c>
      <c r="AE48" s="15"/>
      <c r="AF48" s="15"/>
      <c r="AG48" s="15"/>
    </row>
    <row r="49" spans="1:33" x14ac:dyDescent="0.2">
      <c r="A49" s="224"/>
      <c r="B49"/>
      <c r="C49"/>
      <c r="D49" s="347" t="str">
        <f t="shared" si="12"/>
        <v>ICE Methanol - ME cost reduction</v>
      </c>
      <c r="E49" t="s">
        <v>114</v>
      </c>
      <c r="N49" t="s">
        <v>514</v>
      </c>
      <c r="O49" t="s">
        <v>511</v>
      </c>
      <c r="Q49" s="224"/>
      <c r="R49" s="291"/>
      <c r="S49" s="5">
        <f t="shared" ref="S49:S51" si="14">S$47</f>
        <v>0</v>
      </c>
      <c r="T49" s="5">
        <f t="shared" si="13"/>
        <v>0</v>
      </c>
      <c r="U49" s="5">
        <f t="shared" si="13"/>
        <v>0</v>
      </c>
      <c r="V49" s="5">
        <f t="shared" si="13"/>
        <v>0</v>
      </c>
      <c r="W49" s="5">
        <f t="shared" si="13"/>
        <v>0</v>
      </c>
      <c r="X49" s="5">
        <f t="shared" si="13"/>
        <v>0</v>
      </c>
      <c r="Y49" s="5">
        <f t="shared" si="13"/>
        <v>0</v>
      </c>
      <c r="Z49" s="5">
        <f t="shared" si="13"/>
        <v>0</v>
      </c>
      <c r="AA49" s="5">
        <f t="shared" si="13"/>
        <v>0</v>
      </c>
      <c r="AB49" s="5">
        <f t="shared" si="13"/>
        <v>0</v>
      </c>
      <c r="AC49" s="5">
        <f t="shared" si="13"/>
        <v>0</v>
      </c>
      <c r="AD49" s="5">
        <f t="shared" si="13"/>
        <v>0</v>
      </c>
      <c r="AE49" s="15"/>
      <c r="AF49" s="15"/>
      <c r="AG49" s="15"/>
    </row>
    <row r="50" spans="1:33" x14ac:dyDescent="0.2">
      <c r="A50" s="224"/>
      <c r="B50"/>
      <c r="C50"/>
      <c r="D50" s="347" t="str">
        <f t="shared" si="12"/>
        <v>ICE LNG - ME cost reduction</v>
      </c>
      <c r="E50" t="s">
        <v>113</v>
      </c>
      <c r="N50" t="s">
        <v>514</v>
      </c>
      <c r="O50" t="s">
        <v>511</v>
      </c>
      <c r="Q50" s="224"/>
      <c r="R50" s="291"/>
      <c r="S50" s="5">
        <f t="shared" si="14"/>
        <v>0</v>
      </c>
      <c r="T50" s="5">
        <f t="shared" si="13"/>
        <v>0</v>
      </c>
      <c r="U50" s="5">
        <f t="shared" si="13"/>
        <v>0</v>
      </c>
      <c r="V50" s="5">
        <f t="shared" si="13"/>
        <v>0</v>
      </c>
      <c r="W50" s="5">
        <f t="shared" si="13"/>
        <v>0</v>
      </c>
      <c r="X50" s="5">
        <f t="shared" si="13"/>
        <v>0</v>
      </c>
      <c r="Y50" s="5">
        <f t="shared" si="13"/>
        <v>0</v>
      </c>
      <c r="Z50" s="5">
        <f t="shared" si="13"/>
        <v>0</v>
      </c>
      <c r="AA50" s="5">
        <f t="shared" si="13"/>
        <v>0</v>
      </c>
      <c r="AB50" s="5">
        <f t="shared" si="13"/>
        <v>0</v>
      </c>
      <c r="AC50" s="5">
        <f t="shared" si="13"/>
        <v>0</v>
      </c>
      <c r="AD50" s="5">
        <f t="shared" si="13"/>
        <v>0</v>
      </c>
      <c r="AE50" s="15"/>
      <c r="AF50" s="15"/>
      <c r="AG50" s="15"/>
    </row>
    <row r="51" spans="1:33" x14ac:dyDescent="0.2">
      <c r="A51" s="224"/>
      <c r="B51"/>
      <c r="C51"/>
      <c r="D51" s="347" t="str">
        <f t="shared" si="12"/>
        <v>ICE Methanol - ME cost reduction</v>
      </c>
      <c r="E51" t="s">
        <v>114</v>
      </c>
      <c r="N51" t="s">
        <v>514</v>
      </c>
      <c r="O51" t="s">
        <v>511</v>
      </c>
      <c r="Q51" s="224"/>
      <c r="R51" s="291"/>
      <c r="S51" s="5">
        <f t="shared" si="14"/>
        <v>0</v>
      </c>
      <c r="T51" s="5">
        <f t="shared" si="13"/>
        <v>0</v>
      </c>
      <c r="U51" s="5">
        <f t="shared" si="13"/>
        <v>0</v>
      </c>
      <c r="V51" s="5">
        <f t="shared" si="13"/>
        <v>0</v>
      </c>
      <c r="W51" s="5">
        <f t="shared" si="13"/>
        <v>0</v>
      </c>
      <c r="X51" s="5">
        <f t="shared" si="13"/>
        <v>0</v>
      </c>
      <c r="Y51" s="5">
        <f t="shared" si="13"/>
        <v>0</v>
      </c>
      <c r="Z51" s="5">
        <f t="shared" si="13"/>
        <v>0</v>
      </c>
      <c r="AA51" s="5">
        <f t="shared" si="13"/>
        <v>0</v>
      </c>
      <c r="AB51" s="5">
        <f t="shared" si="13"/>
        <v>0</v>
      </c>
      <c r="AC51" s="5">
        <f t="shared" si="13"/>
        <v>0</v>
      </c>
      <c r="AD51" s="5">
        <f t="shared" si="13"/>
        <v>0</v>
      </c>
      <c r="AE51" s="15"/>
      <c r="AF51" s="15"/>
      <c r="AG51" s="15"/>
    </row>
    <row r="52" spans="1:33" x14ac:dyDescent="0.2">
      <c r="A52" s="224"/>
      <c r="B52"/>
      <c r="C52"/>
      <c r="D52" s="347" t="str">
        <f t="shared" si="12"/>
        <v>Battery - ME cost reduction</v>
      </c>
      <c r="E52" t="s">
        <v>189</v>
      </c>
      <c r="N52" t="s">
        <v>514</v>
      </c>
      <c r="O52" t="s">
        <v>511</v>
      </c>
      <c r="Q52" s="224"/>
      <c r="R52" s="352">
        <v>-0.02</v>
      </c>
      <c r="S52" s="224"/>
      <c r="T52" s="5">
        <f t="shared" si="13"/>
        <v>-0.02</v>
      </c>
      <c r="U52" s="5">
        <f t="shared" si="13"/>
        <v>-0.02</v>
      </c>
      <c r="V52" s="5">
        <f t="shared" si="13"/>
        <v>-0.02</v>
      </c>
      <c r="W52" s="5">
        <f t="shared" si="13"/>
        <v>-0.02</v>
      </c>
      <c r="X52" s="5">
        <f t="shared" si="13"/>
        <v>-0.02</v>
      </c>
      <c r="Y52" s="5">
        <f t="shared" si="13"/>
        <v>-0.02</v>
      </c>
      <c r="Z52" s="5">
        <f t="shared" si="13"/>
        <v>-0.02</v>
      </c>
      <c r="AA52" s="5">
        <f t="shared" si="13"/>
        <v>-0.02</v>
      </c>
      <c r="AB52" s="5">
        <f t="shared" si="13"/>
        <v>-0.02</v>
      </c>
      <c r="AC52" s="5">
        <f t="shared" si="13"/>
        <v>-0.02</v>
      </c>
      <c r="AD52" s="5">
        <f t="shared" si="13"/>
        <v>-0.02</v>
      </c>
      <c r="AE52" s="15"/>
      <c r="AF52" s="15"/>
      <c r="AG52" s="15"/>
    </row>
    <row r="53" spans="1:33" x14ac:dyDescent="0.2">
      <c r="A53" s="224"/>
      <c r="B53"/>
      <c r="C53"/>
      <c r="O53" s="224"/>
      <c r="Q53" s="224"/>
      <c r="R53" s="224"/>
      <c r="S53" s="224"/>
      <c r="T53" s="5"/>
      <c r="U53" s="5"/>
      <c r="V53" s="5"/>
      <c r="W53" s="5"/>
      <c r="X53" s="5"/>
      <c r="Y53" s="5"/>
      <c r="Z53" s="5"/>
      <c r="AA53" s="5"/>
      <c r="AB53" s="5"/>
      <c r="AC53" s="5"/>
      <c r="AD53" s="5"/>
      <c r="AE53" s="15"/>
      <c r="AF53" s="15"/>
      <c r="AG53" s="15"/>
    </row>
    <row r="54" spans="1:33" x14ac:dyDescent="0.2">
      <c r="A54" s="224"/>
      <c r="B54"/>
      <c r="C54"/>
      <c r="D54" s="353"/>
      <c r="Q54" s="224"/>
      <c r="S54" s="358"/>
      <c r="T54" s="14"/>
      <c r="U54" s="14"/>
      <c r="V54" s="14"/>
      <c r="W54" s="14"/>
      <c r="X54" s="14"/>
      <c r="Y54" s="14"/>
      <c r="Z54" s="14"/>
      <c r="AA54" s="14"/>
      <c r="AB54" s="14"/>
      <c r="AC54" s="14"/>
      <c r="AD54" s="14"/>
      <c r="AE54" s="15"/>
      <c r="AF54" s="15"/>
      <c r="AG54" s="15"/>
    </row>
    <row r="55" spans="1:33" x14ac:dyDescent="0.2">
      <c r="B55" s="49" t="s">
        <v>515</v>
      </c>
      <c r="C55" s="49"/>
      <c r="D55" s="350"/>
      <c r="E55" s="331"/>
      <c r="F55" s="331"/>
      <c r="G55" s="331" t="str">
        <f>B55</f>
        <v>Fuel Cell cost</v>
      </c>
      <c r="H55" s="331"/>
      <c r="I55" s="331"/>
      <c r="J55" s="331"/>
      <c r="K55" s="331"/>
      <c r="L55" s="331"/>
      <c r="M55" s="331"/>
      <c r="N55" s="331"/>
      <c r="O55" s="331"/>
      <c r="P55" s="331"/>
      <c r="Q55" s="331"/>
      <c r="R55" s="331"/>
      <c r="S55" s="331">
        <f t="shared" ref="S55:AD55" si="15">S6</f>
        <v>2020</v>
      </c>
      <c r="T55" s="331">
        <f t="shared" si="15"/>
        <v>2025</v>
      </c>
      <c r="U55" s="331">
        <f t="shared" si="15"/>
        <v>2030</v>
      </c>
      <c r="V55" s="331">
        <f t="shared" si="15"/>
        <v>2035</v>
      </c>
      <c r="W55" s="331">
        <f t="shared" si="15"/>
        <v>2040</v>
      </c>
      <c r="X55" s="331">
        <f t="shared" si="15"/>
        <v>2045</v>
      </c>
      <c r="Y55" s="331">
        <f t="shared" si="15"/>
        <v>2050</v>
      </c>
      <c r="Z55" s="331">
        <f t="shared" si="15"/>
        <v>2055</v>
      </c>
      <c r="AA55" s="331">
        <f t="shared" si="15"/>
        <v>2060</v>
      </c>
      <c r="AB55" s="331">
        <f t="shared" si="15"/>
        <v>2065</v>
      </c>
      <c r="AC55" s="331">
        <f t="shared" si="15"/>
        <v>2070</v>
      </c>
      <c r="AD55" s="331">
        <f t="shared" si="15"/>
        <v>2075</v>
      </c>
      <c r="AE55" s="15"/>
      <c r="AF55" s="15"/>
      <c r="AG55" s="15"/>
    </row>
    <row r="56" spans="1:33" x14ac:dyDescent="0.2">
      <c r="A56" s="224"/>
      <c r="B56"/>
      <c r="D56" s="347" t="str">
        <f>_xlfn.TEXTJOIN(keydelim,TRUE,E56:N56)</f>
        <v>Fuel cell - Fuel cell cost input</v>
      </c>
      <c r="E56" t="s">
        <v>62</v>
      </c>
      <c r="N56" t="s">
        <v>516</v>
      </c>
      <c r="O56" s="224"/>
      <c r="P56" s="224" t="s">
        <v>517</v>
      </c>
      <c r="Q56" s="224" t="s">
        <v>279</v>
      </c>
      <c r="S56" s="357" cm="1">
        <f t="array" ref="S56">INDEX('Configurator Specs.'!$G$46:$G$48,index_fuelCell_swing)</f>
        <v>1500000</v>
      </c>
      <c r="T56" s="354">
        <f>S56*((1+T$58)^5)</f>
        <v>1426485.07485</v>
      </c>
      <c r="U56" s="354">
        <f t="shared" ref="U56:AD56" si="16">T56*((1+U58)^5)</f>
        <v>1356573.1125132067</v>
      </c>
      <c r="V56" s="354">
        <f t="shared" si="16"/>
        <v>1290087.5319619325</v>
      </c>
      <c r="W56" s="354">
        <f t="shared" si="16"/>
        <v>1226860.406395846</v>
      </c>
      <c r="X56" s="354">
        <f t="shared" si="16"/>
        <v>1166732.0390987198</v>
      </c>
      <c r="Y56" s="354">
        <f t="shared" si="16"/>
        <v>1109550.5600824202</v>
      </c>
      <c r="Z56" s="354">
        <f t="shared" si="16"/>
        <v>1055171.5424993536</v>
      </c>
      <c r="AA56" s="354">
        <f t="shared" si="16"/>
        <v>1003457.6378545202</v>
      </c>
      <c r="AB56" s="354">
        <f t="shared" si="16"/>
        <v>954278.22909580625</v>
      </c>
      <c r="AC56" s="354">
        <f t="shared" si="16"/>
        <v>907509.10070630431</v>
      </c>
      <c r="AD56" s="354">
        <f t="shared" si="16"/>
        <v>863032.1249653924</v>
      </c>
      <c r="AE56" s="15"/>
      <c r="AF56" s="15"/>
      <c r="AG56" s="15"/>
    </row>
    <row r="57" spans="1:33" x14ac:dyDescent="0.2">
      <c r="A57" s="224"/>
      <c r="B57"/>
      <c r="C57"/>
      <c r="D57" s="347" t="str">
        <f>_xlfn.TEXTJOIN(keydelim,TRUE,E57:N57)</f>
        <v>Fuel cell - Fuel cell cost</v>
      </c>
      <c r="E57" t="s">
        <v>62</v>
      </c>
      <c r="N57" t="s">
        <v>280</v>
      </c>
      <c r="O57" t="s">
        <v>511</v>
      </c>
      <c r="P57" s="224" t="s">
        <v>517</v>
      </c>
      <c r="Q57" s="224" t="s">
        <v>279</v>
      </c>
      <c r="S57" s="354">
        <f>S$56*(1-$R$59)+AVERAGE(S56:W56)*$R$10/AVERAGE(S60:W60)*$R$59</f>
        <v>3681037.1231555971</v>
      </c>
      <c r="T57" s="354">
        <f t="shared" ref="T57:AD57" si="17">T$56*(1-$R$59)+AVERAGE(T56:X56)*$R$10/AVERAGE(T60:X60)*$R$59</f>
        <v>2958637.7335429527</v>
      </c>
      <c r="U57" s="354">
        <f t="shared" si="17"/>
        <v>2445471.5131681338</v>
      </c>
      <c r="V57" s="354">
        <f t="shared" si="17"/>
        <v>2107144.2859905348</v>
      </c>
      <c r="W57" s="354">
        <f t="shared" si="17"/>
        <v>1866081.5964255943</v>
      </c>
      <c r="X57" s="354">
        <f t="shared" si="17"/>
        <v>1685280.6046807808</v>
      </c>
      <c r="Y57" s="354">
        <f t="shared" si="17"/>
        <v>1560768.6940888911</v>
      </c>
      <c r="Z57" s="354">
        <f t="shared" si="17"/>
        <v>1484275.4982739524</v>
      </c>
      <c r="AA57" s="354">
        <f t="shared" si="17"/>
        <v>1433798.0920827661</v>
      </c>
      <c r="AB57" s="354">
        <f t="shared" si="17"/>
        <v>1385412.266137071</v>
      </c>
      <c r="AC57" s="354">
        <f t="shared" si="17"/>
        <v>1339025.1631890005</v>
      </c>
      <c r="AD57" s="354">
        <f t="shared" si="17"/>
        <v>1294548.1874480885</v>
      </c>
      <c r="AE57" s="15"/>
      <c r="AF57" s="15"/>
      <c r="AG57" s="15"/>
    </row>
    <row r="58" spans="1:33" x14ac:dyDescent="0.2">
      <c r="A58" s="224"/>
      <c r="B58"/>
      <c r="C58"/>
      <c r="D58" s="347" t="str">
        <f>_xlfn.TEXTJOIN(keydelim,TRUE,E58:N58)</f>
        <v>Fuel cell - Fuel cell cost improvements</v>
      </c>
      <c r="E58" t="s">
        <v>62</v>
      </c>
      <c r="N58" t="s">
        <v>518</v>
      </c>
      <c r="O58" s="224"/>
      <c r="P58" s="224"/>
      <c r="Q58" s="224" t="s">
        <v>196</v>
      </c>
      <c r="R58" s="116" cm="1">
        <f t="array" ref="R58">INDEX('Configurator Specs.'!$O$46:$O$48,index_fuelCell_swing)</f>
        <v>-0.01</v>
      </c>
      <c r="T58" s="336">
        <f t="shared" ref="T58:AD58" si="18">$R58</f>
        <v>-0.01</v>
      </c>
      <c r="U58" s="336">
        <f t="shared" si="18"/>
        <v>-0.01</v>
      </c>
      <c r="V58" s="336">
        <f t="shared" si="18"/>
        <v>-0.01</v>
      </c>
      <c r="W58" s="336">
        <f t="shared" si="18"/>
        <v>-0.01</v>
      </c>
      <c r="X58" s="336">
        <f t="shared" si="18"/>
        <v>-0.01</v>
      </c>
      <c r="Y58" s="336">
        <f t="shared" si="18"/>
        <v>-0.01</v>
      </c>
      <c r="Z58" s="336">
        <f t="shared" si="18"/>
        <v>-0.01</v>
      </c>
      <c r="AA58" s="336">
        <f t="shared" si="18"/>
        <v>-0.01</v>
      </c>
      <c r="AB58" s="336">
        <f t="shared" si="18"/>
        <v>-0.01</v>
      </c>
      <c r="AC58" s="336">
        <f t="shared" si="18"/>
        <v>-0.01</v>
      </c>
      <c r="AD58" s="336">
        <f t="shared" si="18"/>
        <v>-0.01</v>
      </c>
      <c r="AE58" s="15"/>
      <c r="AF58" s="15"/>
      <c r="AG58" s="15"/>
    </row>
    <row r="59" spans="1:33" x14ac:dyDescent="0.2">
      <c r="A59" s="224"/>
      <c r="B59"/>
      <c r="C59"/>
      <c r="O59" s="224"/>
      <c r="P59" s="224" t="s">
        <v>519</v>
      </c>
      <c r="Q59" s="224" t="s">
        <v>178</v>
      </c>
      <c r="R59" s="352">
        <v>0.5</v>
      </c>
      <c r="T59" s="86"/>
      <c r="U59" s="86"/>
      <c r="V59" s="86"/>
      <c r="W59" s="86"/>
      <c r="X59" s="86"/>
      <c r="Y59" s="86"/>
      <c r="Z59" s="86"/>
      <c r="AA59" s="86"/>
      <c r="AB59" s="86"/>
      <c r="AC59" s="86"/>
      <c r="AD59" s="86"/>
      <c r="AE59" s="15"/>
      <c r="AF59" s="15"/>
      <c r="AG59" s="15"/>
    </row>
    <row r="60" spans="1:33" x14ac:dyDescent="0.2">
      <c r="A60" s="224"/>
      <c r="B60"/>
      <c r="C60"/>
      <c r="D60" s="347" t="str">
        <f>_xlfn.TEXTJOIN(keydelim,TRUE,E60:N60)</f>
        <v>Fuel cell - Lifetime</v>
      </c>
      <c r="E60" t="s">
        <v>62</v>
      </c>
      <c r="N60" t="s">
        <v>520</v>
      </c>
      <c r="Q60" s="224" t="s">
        <v>176</v>
      </c>
      <c r="S60" s="357">
        <v>3</v>
      </c>
      <c r="T60" s="357">
        <v>5</v>
      </c>
      <c r="U60" s="357">
        <v>6</v>
      </c>
      <c r="V60" s="357">
        <v>7</v>
      </c>
      <c r="W60" s="357">
        <v>8</v>
      </c>
      <c r="X60" s="357">
        <v>10</v>
      </c>
      <c r="Y60" s="587">
        <v>12.5</v>
      </c>
      <c r="Z60" s="22">
        <f t="shared" ref="Z60:AD60" si="19">Y60</f>
        <v>12.5</v>
      </c>
      <c r="AA60" s="22">
        <f t="shared" si="19"/>
        <v>12.5</v>
      </c>
      <c r="AB60" s="22">
        <f t="shared" si="19"/>
        <v>12.5</v>
      </c>
      <c r="AC60" s="22">
        <f t="shared" si="19"/>
        <v>12.5</v>
      </c>
      <c r="AD60" s="22">
        <f t="shared" si="19"/>
        <v>12.5</v>
      </c>
      <c r="AE60" s="15"/>
      <c r="AF60" s="15"/>
      <c r="AG60" s="15"/>
    </row>
    <row r="61" spans="1:33" x14ac:dyDescent="0.2">
      <c r="Y61" s="338" t="s">
        <v>521</v>
      </c>
      <c r="AE61" s="15"/>
      <c r="AF61" s="15"/>
      <c r="AG61" s="15"/>
    </row>
    <row r="62" spans="1:33" x14ac:dyDescent="0.2">
      <c r="B62" s="49" t="s">
        <v>522</v>
      </c>
      <c r="C62" s="49"/>
      <c r="D62" s="350"/>
      <c r="E62" s="331"/>
      <c r="F62" s="331"/>
      <c r="G62" s="331" t="str">
        <f>B62</f>
        <v>Battery cost</v>
      </c>
      <c r="H62" s="331"/>
      <c r="I62" s="331"/>
      <c r="J62" s="331"/>
      <c r="K62" s="331"/>
      <c r="L62" s="331"/>
      <c r="M62" s="331"/>
      <c r="N62" s="331"/>
      <c r="O62" s="331"/>
      <c r="P62" s="331"/>
      <c r="Q62" s="331"/>
      <c r="R62" s="331"/>
      <c r="S62" s="331"/>
      <c r="T62" s="331"/>
      <c r="U62" s="331"/>
      <c r="V62" s="331"/>
      <c r="W62" s="331"/>
      <c r="X62" s="331"/>
      <c r="Y62" s="331"/>
      <c r="Z62" s="331"/>
      <c r="AA62" s="331"/>
      <c r="AB62" s="331"/>
      <c r="AC62" s="331"/>
      <c r="AD62" s="331"/>
      <c r="AE62" s="15"/>
      <c r="AF62" s="15"/>
      <c r="AG62" s="15"/>
    </row>
    <row r="63" spans="1:33" x14ac:dyDescent="0.2">
      <c r="A63" s="224"/>
      <c r="B63"/>
      <c r="D63" s="347" t="str">
        <f>_xlfn.TEXTJOIN(keydelim,TRUE,E63:N63)</f>
        <v>Battery cost</v>
      </c>
      <c r="N63" t="s">
        <v>522</v>
      </c>
      <c r="O63" t="s">
        <v>511</v>
      </c>
      <c r="P63" s="224" t="s">
        <v>523</v>
      </c>
      <c r="Q63" s="224" t="s">
        <v>196</v>
      </c>
      <c r="S63" s="357">
        <v>100000</v>
      </c>
      <c r="T63" s="22">
        <f t="shared" ref="T63:AD63" si="20">S63*((1+T65)^5)</f>
        <v>90392.079679999981</v>
      </c>
      <c r="U63" s="22">
        <f t="shared" si="20"/>
        <v>81707.280688754661</v>
      </c>
      <c r="V63" s="22">
        <f t="shared" si="20"/>
        <v>73856.910264540347</v>
      </c>
      <c r="W63" s="22">
        <f t="shared" si="20"/>
        <v>66760.797175509389</v>
      </c>
      <c r="X63" s="22">
        <f t="shared" si="20"/>
        <v>60346.472977889622</v>
      </c>
      <c r="Y63" s="22">
        <f t="shared" si="20"/>
        <v>54548.431938243644</v>
      </c>
      <c r="Z63" s="22">
        <f t="shared" si="20"/>
        <v>49307.462061807753</v>
      </c>
      <c r="AA63" s="22">
        <f t="shared" si="20"/>
        <v>44570.040395095028</v>
      </c>
      <c r="AB63" s="22">
        <f t="shared" si="20"/>
        <v>40287.786427342478</v>
      </c>
      <c r="AC63" s="22">
        <f t="shared" si="20"/>
        <v>36416.968008711628</v>
      </c>
      <c r="AD63" s="22">
        <f t="shared" si="20"/>
        <v>32918.054739474719</v>
      </c>
      <c r="AE63" s="15"/>
      <c r="AF63" s="15"/>
      <c r="AG63" s="15"/>
    </row>
    <row r="64" spans="1:33" x14ac:dyDescent="0.2">
      <c r="A64" s="224"/>
      <c r="B64"/>
      <c r="C64"/>
      <c r="D64" s="347" t="str">
        <f>_xlfn.TEXTJOIN(keydelim,TRUE,E64:N64)</f>
        <v>Battery cost (incl replacements)</v>
      </c>
      <c r="N64" t="str">
        <f>N63&amp;" (incl replacements)"</f>
        <v>Battery cost (incl replacements)</v>
      </c>
      <c r="O64" t="s">
        <v>511</v>
      </c>
      <c r="P64" s="224" t="s">
        <v>523</v>
      </c>
      <c r="Q64" s="224" t="s">
        <v>196</v>
      </c>
      <c r="S64" s="360">
        <f t="shared" ref="S64:AC64" si="21">AVERAGE(S63:W63)*$R$10/$R$66</f>
        <v>412717.06780880434</v>
      </c>
      <c r="T64" s="360">
        <f t="shared" si="21"/>
        <v>373063.5407866941</v>
      </c>
      <c r="U64" s="360">
        <f t="shared" si="21"/>
        <v>337219.89304493763</v>
      </c>
      <c r="V64" s="360">
        <f t="shared" si="21"/>
        <v>304820.07441799075</v>
      </c>
      <c r="W64" s="360">
        <f t="shared" si="21"/>
        <v>275533.20454854541</v>
      </c>
      <c r="X64" s="360">
        <f t="shared" si="21"/>
        <v>249060.1938003785</v>
      </c>
      <c r="Y64" s="360">
        <f t="shared" si="21"/>
        <v>225130.68883120053</v>
      </c>
      <c r="Z64" s="360">
        <f t="shared" si="21"/>
        <v>203500.31163243164</v>
      </c>
      <c r="AA64" s="360">
        <f t="shared" si="21"/>
        <v>192741.06196327982</v>
      </c>
      <c r="AB64" s="360">
        <f t="shared" si="21"/>
        <v>182704.68195921468</v>
      </c>
      <c r="AC64" s="360">
        <f t="shared" si="21"/>
        <v>173337.55687046584</v>
      </c>
      <c r="AD64" s="360">
        <f>AVERAGE(AD63:AG63)*$R$10/$R$66</f>
        <v>164590.2736973736</v>
      </c>
      <c r="AE64" s="15"/>
      <c r="AF64" s="15"/>
      <c r="AG64" s="15"/>
    </row>
    <row r="65" spans="1:33" x14ac:dyDescent="0.2">
      <c r="A65" s="224"/>
      <c r="B65"/>
      <c r="C65"/>
      <c r="D65" s="347" t="str">
        <f>_xlfn.TEXTJOIN(keydelim,TRUE,E65:N65)</f>
        <v>Battery cost improvements</v>
      </c>
      <c r="N65" t="s">
        <v>524</v>
      </c>
      <c r="O65" t="s">
        <v>511</v>
      </c>
      <c r="P65" s="224" t="s">
        <v>523</v>
      </c>
      <c r="Q65" s="224" t="s">
        <v>196</v>
      </c>
      <c r="R65" s="352">
        <v>-0.02</v>
      </c>
      <c r="T65" s="86">
        <f t="shared" ref="T65:AD65" si="22">$R65</f>
        <v>-0.02</v>
      </c>
      <c r="U65" s="86">
        <f t="shared" si="22"/>
        <v>-0.02</v>
      </c>
      <c r="V65" s="86">
        <f t="shared" si="22"/>
        <v>-0.02</v>
      </c>
      <c r="W65" s="86">
        <f t="shared" si="22"/>
        <v>-0.02</v>
      </c>
      <c r="X65" s="86">
        <f t="shared" si="22"/>
        <v>-0.02</v>
      </c>
      <c r="Y65" s="86">
        <f t="shared" si="22"/>
        <v>-0.02</v>
      </c>
      <c r="Z65" s="86">
        <f t="shared" si="22"/>
        <v>-0.02</v>
      </c>
      <c r="AA65" s="86">
        <f t="shared" si="22"/>
        <v>-0.02</v>
      </c>
      <c r="AB65" s="86">
        <f t="shared" si="22"/>
        <v>-0.02</v>
      </c>
      <c r="AC65" s="86">
        <f t="shared" si="22"/>
        <v>-0.02</v>
      </c>
      <c r="AD65" s="86">
        <f t="shared" si="22"/>
        <v>-0.02</v>
      </c>
      <c r="AE65" s="15"/>
      <c r="AF65" s="15"/>
      <c r="AG65" s="15"/>
    </row>
    <row r="66" spans="1:33" x14ac:dyDescent="0.2">
      <c r="A66" s="224"/>
      <c r="B66"/>
      <c r="C66"/>
      <c r="D66" s="347" t="str">
        <f>_xlfn.TEXTJOIN(keydelim,TRUE,E66:N66)</f>
        <v>Lifetime</v>
      </c>
      <c r="N66" t="s">
        <v>520</v>
      </c>
      <c r="O66" t="s">
        <v>511</v>
      </c>
      <c r="Q66" s="224" t="s">
        <v>176</v>
      </c>
      <c r="R66" s="356">
        <v>5</v>
      </c>
      <c r="S66" s="361"/>
      <c r="T66" s="22"/>
      <c r="U66" s="22"/>
      <c r="V66" s="22"/>
      <c r="W66" s="22"/>
      <c r="X66" s="22"/>
      <c r="Y66" s="22"/>
      <c r="Z66" s="22"/>
      <c r="AA66" s="22"/>
      <c r="AB66" s="22"/>
      <c r="AC66" s="22"/>
      <c r="AD66" s="22"/>
      <c r="AE66" s="15"/>
      <c r="AF66" s="15"/>
      <c r="AG66" s="15"/>
    </row>
    <row r="67" spans="1:33" x14ac:dyDescent="0.2">
      <c r="AE67" s="15"/>
      <c r="AF67" s="15"/>
      <c r="AG67" s="15"/>
    </row>
    <row r="68" spans="1:33" x14ac:dyDescent="0.2">
      <c r="B68" s="49" t="s">
        <v>283</v>
      </c>
      <c r="C68" s="49"/>
      <c r="D68" s="350"/>
      <c r="E68" s="331"/>
      <c r="F68" s="331"/>
      <c r="G68" s="331" t="str">
        <f>B68</f>
        <v>AE cost</v>
      </c>
      <c r="H68" s="331"/>
      <c r="I68" s="331"/>
      <c r="J68" s="331"/>
      <c r="K68" s="331"/>
      <c r="L68" s="331"/>
      <c r="M68" s="331"/>
      <c r="N68" s="331"/>
      <c r="O68" s="331"/>
      <c r="P68" s="331"/>
      <c r="Q68" s="331"/>
      <c r="R68" s="331"/>
      <c r="S68" s="331"/>
      <c r="T68" s="331"/>
      <c r="U68" s="331"/>
      <c r="V68" s="331"/>
      <c r="W68" s="331"/>
      <c r="X68" s="331"/>
      <c r="Y68" s="331"/>
      <c r="Z68" s="331"/>
      <c r="AA68" s="331"/>
      <c r="AB68" s="331"/>
      <c r="AC68" s="331"/>
      <c r="AD68" s="331"/>
      <c r="AE68" s="15"/>
      <c r="AF68" s="15"/>
      <c r="AG68" s="15"/>
    </row>
    <row r="69" spans="1:33" x14ac:dyDescent="0.2">
      <c r="A69" s="224"/>
      <c r="B69"/>
      <c r="D69" s="347" t="str">
        <f t="shared" ref="D69:D75" si="23">_xlfn.TEXTJOIN(keydelim,TRUE,E69:N69)</f>
        <v>ICE HFO - AE cost</v>
      </c>
      <c r="E69" t="s">
        <v>112</v>
      </c>
      <c r="N69" t="s">
        <v>283</v>
      </c>
      <c r="O69" t="s">
        <v>511</v>
      </c>
      <c r="Q69" s="224" t="s">
        <v>279</v>
      </c>
      <c r="R69" s="23"/>
      <c r="S69" s="357">
        <v>400000</v>
      </c>
      <c r="T69" s="360">
        <f>S69</f>
        <v>400000</v>
      </c>
      <c r="U69" s="360">
        <f t="shared" ref="U69:AD69" si="24">T69</f>
        <v>400000</v>
      </c>
      <c r="V69" s="360">
        <f t="shared" si="24"/>
        <v>400000</v>
      </c>
      <c r="W69" s="360">
        <f t="shared" si="24"/>
        <v>400000</v>
      </c>
      <c r="X69" s="360">
        <f t="shared" si="24"/>
        <v>400000</v>
      </c>
      <c r="Y69" s="360">
        <f t="shared" si="24"/>
        <v>400000</v>
      </c>
      <c r="Z69" s="360">
        <f t="shared" si="24"/>
        <v>400000</v>
      </c>
      <c r="AA69" s="360">
        <f t="shared" si="24"/>
        <v>400000</v>
      </c>
      <c r="AB69" s="360">
        <f t="shared" si="24"/>
        <v>400000</v>
      </c>
      <c r="AC69" s="360">
        <f t="shared" si="24"/>
        <v>400000</v>
      </c>
      <c r="AD69" s="360">
        <f t="shared" si="24"/>
        <v>400000</v>
      </c>
      <c r="AE69" s="15"/>
      <c r="AF69" s="15"/>
      <c r="AG69" s="15"/>
    </row>
    <row r="70" spans="1:33" x14ac:dyDescent="0.2">
      <c r="A70" s="224"/>
      <c r="B70"/>
      <c r="C70"/>
      <c r="D70" s="347" t="str">
        <f t="shared" si="23"/>
        <v>ICE Ammonia - AE cost</v>
      </c>
      <c r="E70" t="s">
        <v>115</v>
      </c>
      <c r="N70" t="s">
        <v>283</v>
      </c>
      <c r="O70" t="s">
        <v>511</v>
      </c>
      <c r="Q70" s="224" t="s">
        <v>279</v>
      </c>
      <c r="R70" s="23"/>
      <c r="S70" s="357">
        <f>S69*1.2</f>
        <v>480000</v>
      </c>
      <c r="T70" s="360">
        <f t="shared" ref="T70:AD70" si="25">S70</f>
        <v>480000</v>
      </c>
      <c r="U70" s="360">
        <f t="shared" si="25"/>
        <v>480000</v>
      </c>
      <c r="V70" s="360">
        <f t="shared" si="25"/>
        <v>480000</v>
      </c>
      <c r="W70" s="360">
        <f t="shared" si="25"/>
        <v>480000</v>
      </c>
      <c r="X70" s="360">
        <f t="shared" si="25"/>
        <v>480000</v>
      </c>
      <c r="Y70" s="360">
        <f t="shared" si="25"/>
        <v>480000</v>
      </c>
      <c r="Z70" s="360">
        <f t="shared" si="25"/>
        <v>480000</v>
      </c>
      <c r="AA70" s="360">
        <f t="shared" si="25"/>
        <v>480000</v>
      </c>
      <c r="AB70" s="360">
        <f t="shared" si="25"/>
        <v>480000</v>
      </c>
      <c r="AC70" s="360">
        <f t="shared" si="25"/>
        <v>480000</v>
      </c>
      <c r="AD70" s="360">
        <f t="shared" si="25"/>
        <v>480000</v>
      </c>
      <c r="AE70" s="15"/>
      <c r="AF70" s="15"/>
      <c r="AG70" s="15"/>
    </row>
    <row r="71" spans="1:33" x14ac:dyDescent="0.2">
      <c r="A71" s="224"/>
      <c r="B71"/>
      <c r="C71"/>
      <c r="D71" s="347" t="str">
        <f t="shared" si="23"/>
        <v>ICE Methanol - AE cost</v>
      </c>
      <c r="E71" t="s">
        <v>114</v>
      </c>
      <c r="N71" t="s">
        <v>283</v>
      </c>
      <c r="O71" t="s">
        <v>511</v>
      </c>
      <c r="Q71" s="224" t="s">
        <v>279</v>
      </c>
      <c r="R71" s="23"/>
      <c r="S71" s="357">
        <f>S69*1.2</f>
        <v>480000</v>
      </c>
      <c r="T71" s="360">
        <f t="shared" ref="T71:AD71" si="26">S71</f>
        <v>480000</v>
      </c>
      <c r="U71" s="360">
        <f t="shared" si="26"/>
        <v>480000</v>
      </c>
      <c r="V71" s="360">
        <f t="shared" si="26"/>
        <v>480000</v>
      </c>
      <c r="W71" s="360">
        <f t="shared" si="26"/>
        <v>480000</v>
      </c>
      <c r="X71" s="360">
        <f t="shared" si="26"/>
        <v>480000</v>
      </c>
      <c r="Y71" s="360">
        <f t="shared" si="26"/>
        <v>480000</v>
      </c>
      <c r="Z71" s="360">
        <f t="shared" si="26"/>
        <v>480000</v>
      </c>
      <c r="AA71" s="360">
        <f t="shared" si="26"/>
        <v>480000</v>
      </c>
      <c r="AB71" s="360">
        <f t="shared" si="26"/>
        <v>480000</v>
      </c>
      <c r="AC71" s="360">
        <f t="shared" si="26"/>
        <v>480000</v>
      </c>
      <c r="AD71" s="360">
        <f t="shared" si="26"/>
        <v>480000</v>
      </c>
      <c r="AE71" s="15"/>
      <c r="AF71" s="15"/>
      <c r="AG71" s="15"/>
    </row>
    <row r="72" spans="1:33" x14ac:dyDescent="0.2">
      <c r="A72" s="224"/>
      <c r="B72"/>
      <c r="C72"/>
      <c r="D72" s="347" t="str">
        <f t="shared" si="23"/>
        <v>ICE LNG - AE cost</v>
      </c>
      <c r="E72" t="s">
        <v>113</v>
      </c>
      <c r="N72" t="s">
        <v>283</v>
      </c>
      <c r="O72" t="s">
        <v>511</v>
      </c>
      <c r="Q72" s="224" t="s">
        <v>279</v>
      </c>
      <c r="R72" s="23"/>
      <c r="S72" s="357">
        <f>S69*1.2</f>
        <v>480000</v>
      </c>
      <c r="T72" s="360">
        <f t="shared" ref="T72:AD72" si="27">S72</f>
        <v>480000</v>
      </c>
      <c r="U72" s="360">
        <f t="shared" si="27"/>
        <v>480000</v>
      </c>
      <c r="V72" s="360">
        <f t="shared" si="27"/>
        <v>480000</v>
      </c>
      <c r="W72" s="360">
        <f t="shared" si="27"/>
        <v>480000</v>
      </c>
      <c r="X72" s="360">
        <f t="shared" si="27"/>
        <v>480000</v>
      </c>
      <c r="Y72" s="360">
        <f t="shared" si="27"/>
        <v>480000</v>
      </c>
      <c r="Z72" s="360">
        <f t="shared" si="27"/>
        <v>480000</v>
      </c>
      <c r="AA72" s="360">
        <f t="shared" si="27"/>
        <v>480000</v>
      </c>
      <c r="AB72" s="360">
        <f t="shared" si="27"/>
        <v>480000</v>
      </c>
      <c r="AC72" s="360">
        <f t="shared" si="27"/>
        <v>480000</v>
      </c>
      <c r="AD72" s="360">
        <f t="shared" si="27"/>
        <v>480000</v>
      </c>
      <c r="AE72" s="15"/>
      <c r="AF72" s="15"/>
      <c r="AG72" s="15"/>
    </row>
    <row r="73" spans="1:33" x14ac:dyDescent="0.2">
      <c r="A73" s="224"/>
      <c r="B73"/>
      <c r="C73"/>
      <c r="D73" s="347" t="str">
        <f>_xlfn.TEXTJOIN(keydelim,TRUE,E73:N73)</f>
        <v>ICE LPG - AE cost</v>
      </c>
      <c r="E73" t="s">
        <v>513</v>
      </c>
      <c r="N73" t="s">
        <v>283</v>
      </c>
      <c r="O73" t="s">
        <v>511</v>
      </c>
      <c r="Q73" s="224" t="s">
        <v>279</v>
      </c>
      <c r="R73" s="23"/>
      <c r="S73" s="357">
        <f>S71</f>
        <v>480000</v>
      </c>
      <c r="T73" s="360">
        <f t="shared" ref="T73:AD73" si="28">S73</f>
        <v>480000</v>
      </c>
      <c r="U73" s="360">
        <f t="shared" si="28"/>
        <v>480000</v>
      </c>
      <c r="V73" s="360">
        <f t="shared" si="28"/>
        <v>480000</v>
      </c>
      <c r="W73" s="360">
        <f t="shared" si="28"/>
        <v>480000</v>
      </c>
      <c r="X73" s="360">
        <f t="shared" si="28"/>
        <v>480000</v>
      </c>
      <c r="Y73" s="360">
        <f t="shared" si="28"/>
        <v>480000</v>
      </c>
      <c r="Z73" s="360">
        <f t="shared" si="28"/>
        <v>480000</v>
      </c>
      <c r="AA73" s="360">
        <f t="shared" si="28"/>
        <v>480000</v>
      </c>
      <c r="AB73" s="360">
        <f t="shared" si="28"/>
        <v>480000</v>
      </c>
      <c r="AC73" s="360">
        <f t="shared" si="28"/>
        <v>480000</v>
      </c>
      <c r="AD73" s="360">
        <f t="shared" si="28"/>
        <v>480000</v>
      </c>
      <c r="AE73" s="15"/>
      <c r="AF73" s="15"/>
      <c r="AG73" s="15"/>
    </row>
    <row r="74" spans="1:33" x14ac:dyDescent="0.2">
      <c r="A74" s="224"/>
      <c r="B74"/>
      <c r="D74" s="347" t="str">
        <f t="shared" si="23"/>
        <v>Fuel cell - AE cost</v>
      </c>
      <c r="E74" t="s">
        <v>62</v>
      </c>
      <c r="N74" t="s">
        <v>283</v>
      </c>
      <c r="O74" t="s">
        <v>511</v>
      </c>
      <c r="Q74" s="224" t="s">
        <v>279</v>
      </c>
      <c r="S74" s="360">
        <f>S57</f>
        <v>3681037.1231555971</v>
      </c>
      <c r="T74" s="360">
        <f t="shared" ref="T74:AD74" si="29">T57</f>
        <v>2958637.7335429527</v>
      </c>
      <c r="U74" s="360">
        <f t="shared" si="29"/>
        <v>2445471.5131681338</v>
      </c>
      <c r="V74" s="360">
        <f t="shared" si="29"/>
        <v>2107144.2859905348</v>
      </c>
      <c r="W74" s="360">
        <f t="shared" si="29"/>
        <v>1866081.5964255943</v>
      </c>
      <c r="X74" s="360">
        <f t="shared" si="29"/>
        <v>1685280.6046807808</v>
      </c>
      <c r="Y74" s="360">
        <f t="shared" si="29"/>
        <v>1560768.6940888911</v>
      </c>
      <c r="Z74" s="360">
        <f t="shared" si="29"/>
        <v>1484275.4982739524</v>
      </c>
      <c r="AA74" s="360">
        <f t="shared" si="29"/>
        <v>1433798.0920827661</v>
      </c>
      <c r="AB74" s="360">
        <f t="shared" si="29"/>
        <v>1385412.266137071</v>
      </c>
      <c r="AC74" s="360">
        <f t="shared" si="29"/>
        <v>1339025.1631890005</v>
      </c>
      <c r="AD74" s="360">
        <f t="shared" si="29"/>
        <v>1294548.1874480885</v>
      </c>
      <c r="AE74" s="15"/>
      <c r="AF74" s="15"/>
      <c r="AG74" s="15"/>
    </row>
    <row r="75" spans="1:33" x14ac:dyDescent="0.2">
      <c r="A75" s="224"/>
      <c r="B75"/>
      <c r="D75" s="347" t="str">
        <f t="shared" si="23"/>
        <v>Battery - AE cost</v>
      </c>
      <c r="E75" t="s">
        <v>189</v>
      </c>
      <c r="N75" t="s">
        <v>283</v>
      </c>
      <c r="O75" t="s">
        <v>511</v>
      </c>
      <c r="Q75" s="224" t="s">
        <v>279</v>
      </c>
      <c r="S75" s="357">
        <f>S63</f>
        <v>100000</v>
      </c>
      <c r="T75" s="360">
        <f t="shared" ref="T75:AD75" si="30">S75*((1+$T78)^5)</f>
        <v>77378.09375</v>
      </c>
      <c r="U75" s="360">
        <f t="shared" si="30"/>
        <v>59873.693923837891</v>
      </c>
      <c r="V75" s="360">
        <f t="shared" si="30"/>
        <v>46329.12301597534</v>
      </c>
      <c r="W75" s="360">
        <f t="shared" si="30"/>
        <v>35848.592240854225</v>
      </c>
      <c r="X75" s="360">
        <f t="shared" si="30"/>
        <v>27738.957312183407</v>
      </c>
      <c r="Y75" s="360">
        <f t="shared" si="30"/>
        <v>21463.876394293758</v>
      </c>
      <c r="Z75" s="360">
        <f t="shared" si="30"/>
        <v>16608.338398760745</v>
      </c>
      <c r="AA75" s="360">
        <f t="shared" si="30"/>
        <v>12851.215656510338</v>
      </c>
      <c r="AB75" s="360">
        <f t="shared" si="30"/>
        <v>9944.0256987092471</v>
      </c>
      <c r="AC75" s="360">
        <f t="shared" si="30"/>
        <v>7694.497527671334</v>
      </c>
      <c r="AD75" s="360">
        <f t="shared" si="30"/>
        <v>5953.8555105529567</v>
      </c>
      <c r="AE75" s="15"/>
      <c r="AF75" s="15"/>
      <c r="AG75" s="15"/>
    </row>
    <row r="76" spans="1:33" x14ac:dyDescent="0.2">
      <c r="A76" s="224"/>
      <c r="B76"/>
      <c r="Q76" s="224"/>
      <c r="S76" s="289"/>
      <c r="T76" s="22"/>
      <c r="U76" s="22"/>
      <c r="V76" s="22"/>
      <c r="W76" s="22"/>
      <c r="X76" s="22"/>
      <c r="Y76" s="22"/>
      <c r="Z76" s="22"/>
      <c r="AA76" s="22"/>
      <c r="AB76" s="22"/>
      <c r="AC76" s="22"/>
      <c r="AD76" s="22"/>
      <c r="AE76" s="15"/>
      <c r="AF76" s="15"/>
      <c r="AG76" s="15"/>
    </row>
    <row r="77" spans="1:33" x14ac:dyDescent="0.2">
      <c r="A77" s="362"/>
      <c r="B77"/>
      <c r="D77" s="347" t="str">
        <f>_xlfn.TEXTJOIN(keydelim,TRUE,E77:N77)</f>
        <v>Fuel cell - Cost reduction</v>
      </c>
      <c r="E77" t="s">
        <v>62</v>
      </c>
      <c r="N77" t="s">
        <v>525</v>
      </c>
      <c r="O77" t="s">
        <v>511</v>
      </c>
      <c r="Q77" s="224" t="s">
        <v>279</v>
      </c>
      <c r="R77" s="309">
        <f>FC_CostImprovement</f>
        <v>-0.01</v>
      </c>
      <c r="S77" s="22"/>
      <c r="T77" s="23">
        <f t="shared" ref="T77:AD78" si="31">$R77</f>
        <v>-0.01</v>
      </c>
      <c r="U77" s="23">
        <f t="shared" si="31"/>
        <v>-0.01</v>
      </c>
      <c r="V77" s="23">
        <f t="shared" si="31"/>
        <v>-0.01</v>
      </c>
      <c r="W77" s="23">
        <f t="shared" si="31"/>
        <v>-0.01</v>
      </c>
      <c r="X77" s="23">
        <f t="shared" si="31"/>
        <v>-0.01</v>
      </c>
      <c r="Y77" s="23">
        <f t="shared" si="31"/>
        <v>-0.01</v>
      </c>
      <c r="Z77" s="23">
        <f t="shared" si="31"/>
        <v>-0.01</v>
      </c>
      <c r="AA77" s="23">
        <f t="shared" si="31"/>
        <v>-0.01</v>
      </c>
      <c r="AB77" s="23">
        <f t="shared" si="31"/>
        <v>-0.01</v>
      </c>
      <c r="AC77" s="23">
        <f t="shared" si="31"/>
        <v>-0.01</v>
      </c>
      <c r="AD77" s="23">
        <f t="shared" si="31"/>
        <v>-0.01</v>
      </c>
      <c r="AE77" s="15"/>
      <c r="AF77" s="15"/>
      <c r="AG77" s="15"/>
    </row>
    <row r="78" spans="1:33" x14ac:dyDescent="0.2">
      <c r="A78" s="362"/>
      <c r="B78"/>
      <c r="D78" s="347" t="str">
        <f>_xlfn.TEXTJOIN(keydelim,TRUE,E78:N78)</f>
        <v>Battery - Cost reduction</v>
      </c>
      <c r="E78" t="s">
        <v>189</v>
      </c>
      <c r="N78" t="s">
        <v>525</v>
      </c>
      <c r="O78" t="s">
        <v>511</v>
      </c>
      <c r="Q78" s="224" t="s">
        <v>279</v>
      </c>
      <c r="R78" s="352">
        <v>-0.05</v>
      </c>
      <c r="S78" s="22"/>
      <c r="T78" s="23">
        <f t="shared" si="31"/>
        <v>-0.05</v>
      </c>
      <c r="U78" s="23">
        <f t="shared" si="31"/>
        <v>-0.05</v>
      </c>
      <c r="V78" s="23">
        <f t="shared" si="31"/>
        <v>-0.05</v>
      </c>
      <c r="W78" s="23">
        <f t="shared" si="31"/>
        <v>-0.05</v>
      </c>
      <c r="X78" s="23">
        <f t="shared" si="31"/>
        <v>-0.05</v>
      </c>
      <c r="Y78" s="23">
        <f t="shared" si="31"/>
        <v>-0.05</v>
      </c>
      <c r="Z78" s="23">
        <f t="shared" si="31"/>
        <v>-0.05</v>
      </c>
      <c r="AA78" s="23">
        <f t="shared" si="31"/>
        <v>-0.05</v>
      </c>
      <c r="AB78" s="23">
        <f t="shared" si="31"/>
        <v>-0.05</v>
      </c>
      <c r="AC78" s="23">
        <f t="shared" si="31"/>
        <v>-0.05</v>
      </c>
      <c r="AD78" s="23">
        <f t="shared" si="31"/>
        <v>-0.05</v>
      </c>
      <c r="AE78" s="15"/>
      <c r="AF78" s="15"/>
      <c r="AG78" s="15"/>
    </row>
    <row r="79" spans="1:33" x14ac:dyDescent="0.2">
      <c r="A79" s="362"/>
      <c r="B79"/>
      <c r="S79" s="22"/>
      <c r="T79" s="22"/>
      <c r="U79" s="22"/>
      <c r="V79" s="22"/>
      <c r="W79" s="22"/>
      <c r="X79" s="22"/>
      <c r="Y79" s="22"/>
      <c r="Z79" s="22"/>
      <c r="AA79" s="22"/>
      <c r="AB79" s="22"/>
      <c r="AC79" s="22"/>
      <c r="AD79" s="22"/>
      <c r="AE79" s="15"/>
      <c r="AF79" s="15"/>
      <c r="AG79" s="15"/>
    </row>
    <row r="80" spans="1:33" x14ac:dyDescent="0.2">
      <c r="A80" s="362"/>
      <c r="B80"/>
      <c r="S80" s="22"/>
      <c r="T80" s="22"/>
      <c r="U80" s="22"/>
      <c r="V80" s="22"/>
      <c r="W80" s="22"/>
      <c r="X80" s="22"/>
      <c r="Y80" s="22"/>
      <c r="Z80" s="22"/>
      <c r="AA80" s="22"/>
      <c r="AB80" s="22"/>
      <c r="AC80" s="22"/>
      <c r="AD80" s="22"/>
      <c r="AE80" s="15"/>
      <c r="AF80" s="15"/>
      <c r="AG80" s="15"/>
    </row>
    <row r="81" spans="1:33" x14ac:dyDescent="0.2">
      <c r="B81" s="49" t="s">
        <v>526</v>
      </c>
      <c r="C81" s="49"/>
      <c r="D81" s="350"/>
      <c r="E81" s="331"/>
      <c r="F81" s="331"/>
      <c r="G81" s="331" t="str">
        <f>B81</f>
        <v>Tank system</v>
      </c>
      <c r="H81" s="331"/>
      <c r="I81" s="331"/>
      <c r="J81" s="331"/>
      <c r="K81" s="331"/>
      <c r="L81" s="331"/>
      <c r="M81" s="331"/>
      <c r="N81" s="331"/>
      <c r="O81" s="331"/>
      <c r="P81" s="331"/>
      <c r="Q81" s="331"/>
      <c r="R81" s="331"/>
      <c r="S81" s="331"/>
      <c r="T81" s="331"/>
      <c r="U81" s="331"/>
      <c r="V81" s="331"/>
      <c r="W81" s="331"/>
      <c r="X81" s="331"/>
      <c r="Y81" s="331"/>
      <c r="Z81" s="331"/>
      <c r="AA81" s="331"/>
      <c r="AB81" s="331"/>
      <c r="AC81" s="331"/>
      <c r="AD81" s="331"/>
      <c r="AE81" s="15"/>
      <c r="AF81" s="15"/>
      <c r="AG81" s="15"/>
    </row>
    <row r="82" spans="1:33" x14ac:dyDescent="0.2">
      <c r="A82" s="224"/>
      <c r="B82"/>
      <c r="D82" s="347" t="str">
        <f t="shared" ref="D82:D89" si="32">_xlfn.TEXTJOIN(keydelim,TRUE,E82:N82)</f>
        <v>HFO - Tank system cost</v>
      </c>
      <c r="F82" s="48"/>
      <c r="G82" t="s">
        <v>527</v>
      </c>
      <c r="N82" t="s">
        <v>293</v>
      </c>
      <c r="O82" t="s">
        <v>511</v>
      </c>
      <c r="Q82" s="224" t="s">
        <v>294</v>
      </c>
      <c r="S82" s="357">
        <v>125</v>
      </c>
      <c r="T82" s="360">
        <f t="shared" ref="T82:AD82" si="33">(1+T$92)^5*S82</f>
        <v>125</v>
      </c>
      <c r="U82" s="360">
        <f t="shared" si="33"/>
        <v>125</v>
      </c>
      <c r="V82" s="360">
        <f t="shared" si="33"/>
        <v>125</v>
      </c>
      <c r="W82" s="360">
        <f t="shared" si="33"/>
        <v>125</v>
      </c>
      <c r="X82" s="360">
        <f t="shared" si="33"/>
        <v>125</v>
      </c>
      <c r="Y82" s="360">
        <f t="shared" si="33"/>
        <v>125</v>
      </c>
      <c r="Z82" s="360">
        <f t="shared" si="33"/>
        <v>125</v>
      </c>
      <c r="AA82" s="360">
        <f t="shared" si="33"/>
        <v>125</v>
      </c>
      <c r="AB82" s="360">
        <f t="shared" si="33"/>
        <v>125</v>
      </c>
      <c r="AC82" s="360">
        <f t="shared" si="33"/>
        <v>125</v>
      </c>
      <c r="AD82" s="360">
        <f t="shared" si="33"/>
        <v>125</v>
      </c>
      <c r="AE82" s="15"/>
      <c r="AF82" s="15"/>
      <c r="AG82" s="15"/>
    </row>
    <row r="83" spans="1:33" x14ac:dyDescent="0.2">
      <c r="A83" s="224"/>
      <c r="B83"/>
      <c r="D83" s="347" t="str">
        <f t="shared" si="32"/>
        <v>LNG - Tank system cost</v>
      </c>
      <c r="F83" s="48"/>
      <c r="G83" t="s">
        <v>528</v>
      </c>
      <c r="N83" t="s">
        <v>293</v>
      </c>
      <c r="O83" t="s">
        <v>511</v>
      </c>
      <c r="Q83" s="224" t="s">
        <v>294</v>
      </c>
      <c r="S83" s="357">
        <v>1000</v>
      </c>
      <c r="T83" s="360">
        <f t="shared" ref="T83:AD83" si="34">(1+T$92)^5*S83</f>
        <v>1000</v>
      </c>
      <c r="U83" s="360">
        <f t="shared" si="34"/>
        <v>1000</v>
      </c>
      <c r="V83" s="360">
        <f t="shared" si="34"/>
        <v>1000</v>
      </c>
      <c r="W83" s="360">
        <f t="shared" si="34"/>
        <v>1000</v>
      </c>
      <c r="X83" s="360">
        <f t="shared" si="34"/>
        <v>1000</v>
      </c>
      <c r="Y83" s="360">
        <f t="shared" si="34"/>
        <v>1000</v>
      </c>
      <c r="Z83" s="360">
        <f t="shared" si="34"/>
        <v>1000</v>
      </c>
      <c r="AA83" s="360">
        <f t="shared" si="34"/>
        <v>1000</v>
      </c>
      <c r="AB83" s="360">
        <f t="shared" si="34"/>
        <v>1000</v>
      </c>
      <c r="AC83" s="360">
        <f t="shared" si="34"/>
        <v>1000</v>
      </c>
      <c r="AD83" s="360">
        <f t="shared" si="34"/>
        <v>1000</v>
      </c>
      <c r="AE83" s="15"/>
      <c r="AF83" s="15"/>
      <c r="AG83" s="15"/>
    </row>
    <row r="84" spans="1:33" x14ac:dyDescent="0.2">
      <c r="A84" s="224"/>
      <c r="B84"/>
      <c r="D84" s="347" t="str">
        <f t="shared" si="32"/>
        <v>Ammonia - Tank system cost</v>
      </c>
      <c r="F84" s="48"/>
      <c r="G84" t="s">
        <v>529</v>
      </c>
      <c r="N84" t="s">
        <v>293</v>
      </c>
      <c r="O84" t="s">
        <v>511</v>
      </c>
      <c r="Q84" s="224" t="s">
        <v>294</v>
      </c>
      <c r="S84" s="357">
        <v>500</v>
      </c>
      <c r="T84" s="360">
        <f t="shared" ref="T84:AD84" si="35">(1+T$92)^5*S84</f>
        <v>500</v>
      </c>
      <c r="U84" s="360">
        <f t="shared" si="35"/>
        <v>500</v>
      </c>
      <c r="V84" s="360">
        <f t="shared" si="35"/>
        <v>500</v>
      </c>
      <c r="W84" s="360">
        <f t="shared" si="35"/>
        <v>500</v>
      </c>
      <c r="X84" s="360">
        <f t="shared" si="35"/>
        <v>500</v>
      </c>
      <c r="Y84" s="360">
        <f t="shared" si="35"/>
        <v>500</v>
      </c>
      <c r="Z84" s="360">
        <f t="shared" si="35"/>
        <v>500</v>
      </c>
      <c r="AA84" s="360">
        <f t="shared" si="35"/>
        <v>500</v>
      </c>
      <c r="AB84" s="360">
        <f t="shared" si="35"/>
        <v>500</v>
      </c>
      <c r="AC84" s="360">
        <f t="shared" si="35"/>
        <v>500</v>
      </c>
      <c r="AD84" s="360">
        <f t="shared" si="35"/>
        <v>500</v>
      </c>
      <c r="AE84" s="15"/>
      <c r="AF84" s="15"/>
      <c r="AG84" s="15"/>
    </row>
    <row r="85" spans="1:33" x14ac:dyDescent="0.2">
      <c r="A85" s="224"/>
      <c r="B85"/>
      <c r="D85" s="347" t="str">
        <f t="shared" si="32"/>
        <v>Methanol - Tank system cost</v>
      </c>
      <c r="F85" s="48"/>
      <c r="G85" t="s">
        <v>530</v>
      </c>
      <c r="N85" t="s">
        <v>293</v>
      </c>
      <c r="O85" t="s">
        <v>511</v>
      </c>
      <c r="Q85" s="224" t="s">
        <v>294</v>
      </c>
      <c r="S85" s="357">
        <v>200</v>
      </c>
      <c r="T85" s="360">
        <f t="shared" ref="T85:AD85" si="36">(1+T$92)^5*S85</f>
        <v>200</v>
      </c>
      <c r="U85" s="360">
        <f t="shared" si="36"/>
        <v>200</v>
      </c>
      <c r="V85" s="360">
        <f t="shared" si="36"/>
        <v>200</v>
      </c>
      <c r="W85" s="360">
        <f t="shared" si="36"/>
        <v>200</v>
      </c>
      <c r="X85" s="360">
        <f t="shared" si="36"/>
        <v>200</v>
      </c>
      <c r="Y85" s="360">
        <f t="shared" si="36"/>
        <v>200</v>
      </c>
      <c r="Z85" s="360">
        <f t="shared" si="36"/>
        <v>200</v>
      </c>
      <c r="AA85" s="360">
        <f t="shared" si="36"/>
        <v>200</v>
      </c>
      <c r="AB85" s="360">
        <f t="shared" si="36"/>
        <v>200</v>
      </c>
      <c r="AC85" s="360">
        <f t="shared" si="36"/>
        <v>200</v>
      </c>
      <c r="AD85" s="360">
        <f t="shared" si="36"/>
        <v>200</v>
      </c>
      <c r="AE85" s="15"/>
      <c r="AF85" s="15"/>
      <c r="AG85" s="15"/>
    </row>
    <row r="86" spans="1:33" x14ac:dyDescent="0.2">
      <c r="A86" s="224"/>
      <c r="B86"/>
      <c r="C86"/>
      <c r="D86" s="347" t="str">
        <f t="shared" si="32"/>
        <v>Liquid hydrogen - Tank system cost</v>
      </c>
      <c r="F86" s="48"/>
      <c r="G86" t="s">
        <v>531</v>
      </c>
      <c r="N86" t="s">
        <v>293</v>
      </c>
      <c r="O86" t="s">
        <v>511</v>
      </c>
      <c r="Q86" s="224" t="s">
        <v>294</v>
      </c>
      <c r="S86" s="357">
        <v>5000</v>
      </c>
      <c r="T86" s="360">
        <f t="shared" ref="T86:AD86" si="37">(1+T93)^5*S86</f>
        <v>2952.4500000000007</v>
      </c>
      <c r="U86" s="360">
        <f t="shared" si="37"/>
        <v>2284.5495289218757</v>
      </c>
      <c r="V86" s="360">
        <f t="shared" si="37"/>
        <v>2012.9067511992532</v>
      </c>
      <c r="W86" s="360">
        <f t="shared" si="37"/>
        <v>1890.2061765649305</v>
      </c>
      <c r="X86" s="360">
        <f t="shared" si="37"/>
        <v>1831.8709949769261</v>
      </c>
      <c r="Y86" s="360">
        <f t="shared" si="37"/>
        <v>1803.4263461625605</v>
      </c>
      <c r="Z86" s="360">
        <f t="shared" si="37"/>
        <v>1789.3810380551688</v>
      </c>
      <c r="AA86" s="360">
        <f t="shared" si="37"/>
        <v>1782.4021813612899</v>
      </c>
      <c r="AB86" s="360">
        <f t="shared" si="37"/>
        <v>1778.9236457685229</v>
      </c>
      <c r="AC86" s="360">
        <f t="shared" si="37"/>
        <v>1777.1870941186912</v>
      </c>
      <c r="AD86" s="360">
        <f t="shared" si="37"/>
        <v>1776.319496452109</v>
      </c>
      <c r="AE86" s="15"/>
      <c r="AF86" s="15"/>
      <c r="AG86" s="15"/>
    </row>
    <row r="87" spans="1:33" x14ac:dyDescent="0.2">
      <c r="A87" s="224"/>
      <c r="B87"/>
      <c r="D87" s="347" t="str">
        <f t="shared" si="32"/>
        <v>Compressed hydrogen - Tank system cost</v>
      </c>
      <c r="F87" s="48"/>
      <c r="G87" t="s">
        <v>532</v>
      </c>
      <c r="N87" t="s">
        <v>293</v>
      </c>
      <c r="O87" s="224" t="s">
        <v>1724</v>
      </c>
      <c r="Q87" s="224" t="s">
        <v>294</v>
      </c>
      <c r="S87" s="357">
        <v>13500</v>
      </c>
      <c r="T87" s="360">
        <f t="shared" ref="T87:AD87" si="38">(1+T94)^5*S87</f>
        <v>6319.7847179106975</v>
      </c>
      <c r="U87" s="360">
        <f t="shared" si="38"/>
        <v>5615.9579497362292</v>
      </c>
      <c r="V87" s="360">
        <f t="shared" si="38"/>
        <v>5576.4379118848756</v>
      </c>
      <c r="W87" s="360">
        <f t="shared" si="38"/>
        <v>5537.1959803522923</v>
      </c>
      <c r="X87" s="360">
        <f t="shared" si="38"/>
        <v>5118.8618791650397</v>
      </c>
      <c r="Y87" s="360">
        <f t="shared" si="38"/>
        <v>4732.1328396077379</v>
      </c>
      <c r="Z87" s="360">
        <f t="shared" si="38"/>
        <v>4374.6211052966773</v>
      </c>
      <c r="AA87" s="360">
        <f t="shared" si="38"/>
        <v>4044.1193143879445</v>
      </c>
      <c r="AB87" s="360">
        <f t="shared" si="38"/>
        <v>3738.5868708043149</v>
      </c>
      <c r="AC87" s="360">
        <f t="shared" si="38"/>
        <v>3456.1373451133568</v>
      </c>
      <c r="AD87" s="360">
        <f t="shared" si="38"/>
        <v>3195.026827266794</v>
      </c>
      <c r="AE87" s="15"/>
      <c r="AF87" s="15"/>
      <c r="AG87" s="15"/>
    </row>
    <row r="88" spans="1:33" x14ac:dyDescent="0.2">
      <c r="A88" s="224"/>
      <c r="B88"/>
      <c r="D88" s="347" t="str">
        <f t="shared" si="32"/>
        <v>Electricity - Tank system cost</v>
      </c>
      <c r="F88" s="48"/>
      <c r="G88" t="s">
        <v>54</v>
      </c>
      <c r="N88" t="s">
        <v>293</v>
      </c>
      <c r="O88" t="s">
        <v>511</v>
      </c>
      <c r="Q88" s="224" t="s">
        <v>294</v>
      </c>
      <c r="S88" s="22">
        <v>0</v>
      </c>
      <c r="T88" s="360">
        <f t="shared" ref="T88:AD88" si="39">(1+T95)^5*S88</f>
        <v>0</v>
      </c>
      <c r="U88" s="360">
        <f t="shared" si="39"/>
        <v>0</v>
      </c>
      <c r="V88" s="360">
        <f t="shared" si="39"/>
        <v>0</v>
      </c>
      <c r="W88" s="360">
        <f t="shared" si="39"/>
        <v>0</v>
      </c>
      <c r="X88" s="360">
        <f t="shared" si="39"/>
        <v>0</v>
      </c>
      <c r="Y88" s="360">
        <f t="shared" si="39"/>
        <v>0</v>
      </c>
      <c r="Z88" s="360">
        <f t="shared" si="39"/>
        <v>0</v>
      </c>
      <c r="AA88" s="360">
        <f t="shared" si="39"/>
        <v>0</v>
      </c>
      <c r="AB88" s="360">
        <f t="shared" si="39"/>
        <v>0</v>
      </c>
      <c r="AC88" s="360">
        <f t="shared" si="39"/>
        <v>0</v>
      </c>
      <c r="AD88" s="360">
        <f t="shared" si="39"/>
        <v>0</v>
      </c>
      <c r="AE88" s="15"/>
      <c r="AF88" s="15"/>
      <c r="AG88" s="15"/>
    </row>
    <row r="89" spans="1:33" x14ac:dyDescent="0.2">
      <c r="A89" s="224"/>
      <c r="B89"/>
      <c r="D89" s="347" t="str">
        <f t="shared" si="32"/>
        <v>Diesel - Tank system cost</v>
      </c>
      <c r="F89" s="48"/>
      <c r="G89" t="s">
        <v>533</v>
      </c>
      <c r="N89" t="s">
        <v>293</v>
      </c>
      <c r="O89" t="s">
        <v>511</v>
      </c>
      <c r="Q89" s="224" t="s">
        <v>294</v>
      </c>
      <c r="S89" s="360">
        <f>S82</f>
        <v>125</v>
      </c>
      <c r="T89" s="360">
        <f t="shared" ref="T89:AD89" si="40">(1+T$92)^5*S89</f>
        <v>125</v>
      </c>
      <c r="U89" s="360">
        <f t="shared" si="40"/>
        <v>125</v>
      </c>
      <c r="V89" s="360">
        <f t="shared" si="40"/>
        <v>125</v>
      </c>
      <c r="W89" s="360">
        <f t="shared" si="40"/>
        <v>125</v>
      </c>
      <c r="X89" s="360">
        <f t="shared" si="40"/>
        <v>125</v>
      </c>
      <c r="Y89" s="360">
        <f t="shared" si="40"/>
        <v>125</v>
      </c>
      <c r="Z89" s="360">
        <f t="shared" si="40"/>
        <v>125</v>
      </c>
      <c r="AA89" s="360">
        <f t="shared" si="40"/>
        <v>125</v>
      </c>
      <c r="AB89" s="360">
        <f t="shared" si="40"/>
        <v>125</v>
      </c>
      <c r="AC89" s="360">
        <f t="shared" si="40"/>
        <v>125</v>
      </c>
      <c r="AD89" s="360">
        <f t="shared" si="40"/>
        <v>125</v>
      </c>
      <c r="AE89" s="15"/>
      <c r="AF89" s="15"/>
      <c r="AG89" s="15"/>
    </row>
    <row r="90" spans="1:33" x14ac:dyDescent="0.2">
      <c r="A90" s="224"/>
      <c r="B90"/>
      <c r="D90" s="347" t="str">
        <f>_xlfn.TEXTJOIN(keydelim,TRUE,E90:N90)</f>
        <v>LPG - Tank system cost</v>
      </c>
      <c r="F90" s="48"/>
      <c r="G90" t="s">
        <v>534</v>
      </c>
      <c r="N90" t="s">
        <v>293</v>
      </c>
      <c r="O90" t="s">
        <v>511</v>
      </c>
      <c r="Q90" s="224" t="s">
        <v>294</v>
      </c>
      <c r="S90" s="360">
        <f>S85</f>
        <v>200</v>
      </c>
      <c r="T90" s="360">
        <f t="shared" ref="T90:AD90" si="41">(1+T$92)^5*S90</f>
        <v>200</v>
      </c>
      <c r="U90" s="360">
        <f t="shared" si="41"/>
        <v>200</v>
      </c>
      <c r="V90" s="360">
        <f t="shared" si="41"/>
        <v>200</v>
      </c>
      <c r="W90" s="360">
        <f t="shared" si="41"/>
        <v>200</v>
      </c>
      <c r="X90" s="360">
        <f t="shared" si="41"/>
        <v>200</v>
      </c>
      <c r="Y90" s="360">
        <f t="shared" si="41"/>
        <v>200</v>
      </c>
      <c r="Z90" s="360">
        <f t="shared" si="41"/>
        <v>200</v>
      </c>
      <c r="AA90" s="360">
        <f t="shared" si="41"/>
        <v>200</v>
      </c>
      <c r="AB90" s="360">
        <f t="shared" si="41"/>
        <v>200</v>
      </c>
      <c r="AC90" s="360">
        <f t="shared" si="41"/>
        <v>200</v>
      </c>
      <c r="AD90" s="360">
        <f t="shared" si="41"/>
        <v>200</v>
      </c>
      <c r="AE90" s="15"/>
      <c r="AF90" s="15"/>
      <c r="AG90" s="15"/>
    </row>
    <row r="91" spans="1:33" x14ac:dyDescent="0.2">
      <c r="A91" s="224"/>
      <c r="B91"/>
      <c r="F91" s="48"/>
      <c r="Q91" s="224"/>
      <c r="T91" s="360"/>
      <c r="U91" s="360"/>
      <c r="V91" s="360"/>
      <c r="W91" s="360"/>
      <c r="X91" s="360"/>
      <c r="Y91" s="360"/>
      <c r="Z91" s="360"/>
      <c r="AA91" s="360"/>
      <c r="AB91" s="360"/>
      <c r="AC91" s="360"/>
      <c r="AD91" s="360"/>
      <c r="AE91" s="15"/>
      <c r="AF91" s="15"/>
      <c r="AG91" s="15"/>
    </row>
    <row r="92" spans="1:33" x14ac:dyDescent="0.2">
      <c r="A92" s="362"/>
      <c r="B92"/>
      <c r="F92" s="363" t="s">
        <v>535</v>
      </c>
      <c r="N92" t="s">
        <v>536</v>
      </c>
      <c r="O92" t="s">
        <v>511</v>
      </c>
      <c r="Q92" s="224" t="s">
        <v>178</v>
      </c>
      <c r="S92" s="52"/>
      <c r="T92" s="23">
        <v>0</v>
      </c>
      <c r="U92" s="23">
        <v>0</v>
      </c>
      <c r="V92" s="23">
        <v>0</v>
      </c>
      <c r="W92" s="23">
        <v>0</v>
      </c>
      <c r="X92" s="23">
        <v>0</v>
      </c>
      <c r="Y92" s="23">
        <v>0</v>
      </c>
      <c r="Z92" s="23">
        <v>0</v>
      </c>
      <c r="AA92" s="23">
        <v>0</v>
      </c>
      <c r="AB92" s="23">
        <v>0</v>
      </c>
      <c r="AC92" s="23">
        <v>0</v>
      </c>
      <c r="AD92" s="23">
        <v>0</v>
      </c>
      <c r="AE92" s="15"/>
      <c r="AF92" s="15"/>
      <c r="AG92" s="15"/>
    </row>
    <row r="93" spans="1:33" x14ac:dyDescent="0.2">
      <c r="A93" s="362"/>
      <c r="B93"/>
      <c r="F93" s="48" t="s">
        <v>537</v>
      </c>
      <c r="N93" t="s">
        <v>536</v>
      </c>
      <c r="O93" t="s">
        <v>511</v>
      </c>
      <c r="Q93" s="224" t="s">
        <v>178</v>
      </c>
      <c r="S93" s="52"/>
      <c r="T93" s="23">
        <v>-0.1</v>
      </c>
      <c r="U93" s="23">
        <v>-0.05</v>
      </c>
      <c r="V93" s="23">
        <v>-2.5000000000000001E-2</v>
      </c>
      <c r="W93" s="23">
        <v>-1.2500000000000001E-2</v>
      </c>
      <c r="X93" s="23">
        <v>-6.2500000000000003E-3</v>
      </c>
      <c r="Y93" s="23">
        <v>-3.1250000000000002E-3</v>
      </c>
      <c r="Z93" s="23">
        <v>-1.5625000000000001E-3</v>
      </c>
      <c r="AA93" s="23">
        <v>-7.8125000000000004E-4</v>
      </c>
      <c r="AB93" s="23">
        <v>-3.9062500000000002E-4</v>
      </c>
      <c r="AC93" s="23">
        <v>-1.9531250000000001E-4</v>
      </c>
      <c r="AD93" s="23">
        <v>-9.7656250000000005E-5</v>
      </c>
      <c r="AE93" s="15"/>
      <c r="AF93" s="15"/>
      <c r="AG93" s="15"/>
    </row>
    <row r="94" spans="1:33" x14ac:dyDescent="0.2">
      <c r="A94" s="362"/>
      <c r="B94"/>
      <c r="F94" s="48" t="s">
        <v>538</v>
      </c>
      <c r="N94" t="s">
        <v>536</v>
      </c>
      <c r="O94" t="s">
        <v>511</v>
      </c>
      <c r="Q94" s="224" t="s">
        <v>178</v>
      </c>
      <c r="S94" s="52"/>
      <c r="T94" s="23">
        <v>-0.14084068479443346</v>
      </c>
      <c r="U94" s="23">
        <v>-2.3337950347720793E-2</v>
      </c>
      <c r="V94" s="23">
        <v>-1.4113977616768691E-3</v>
      </c>
      <c r="W94" s="23">
        <v>-1.4113977616768691E-3</v>
      </c>
      <c r="X94" s="23">
        <v>-1.5588443953073794E-2</v>
      </c>
      <c r="Y94" s="23">
        <v>-1.5588443953073794E-2</v>
      </c>
      <c r="Z94" s="23">
        <v>-1.5588443953073794E-2</v>
      </c>
      <c r="AA94" s="23">
        <v>-1.5588443953073794E-2</v>
      </c>
      <c r="AB94" s="23">
        <v>-1.5588443953073794E-2</v>
      </c>
      <c r="AC94" s="23">
        <v>-1.5588443953073794E-2</v>
      </c>
      <c r="AD94" s="23">
        <v>-1.5588443953073794E-2</v>
      </c>
      <c r="AE94" s="15"/>
      <c r="AF94" s="15"/>
      <c r="AG94" s="15"/>
    </row>
    <row r="95" spans="1:33" x14ac:dyDescent="0.2">
      <c r="A95" s="362"/>
      <c r="B95"/>
      <c r="F95" s="48" t="s">
        <v>54</v>
      </c>
      <c r="N95" t="s">
        <v>536</v>
      </c>
      <c r="O95" t="s">
        <v>511</v>
      </c>
      <c r="Q95" s="224" t="s">
        <v>178</v>
      </c>
      <c r="S95" s="52"/>
      <c r="T95" s="23">
        <v>-0.02</v>
      </c>
      <c r="U95" s="23">
        <v>-0.02</v>
      </c>
      <c r="V95" s="23">
        <v>-0.02</v>
      </c>
      <c r="W95" s="23">
        <v>-0.02</v>
      </c>
      <c r="X95" s="23">
        <v>-0.02</v>
      </c>
      <c r="Y95" s="23">
        <v>-0.02</v>
      </c>
      <c r="Z95" s="23">
        <v>-0.02</v>
      </c>
      <c r="AA95" s="23">
        <v>-0.02</v>
      </c>
      <c r="AB95" s="23">
        <v>-0.02</v>
      </c>
      <c r="AC95" s="23">
        <v>-0.02</v>
      </c>
      <c r="AD95" s="23">
        <v>-0.02</v>
      </c>
      <c r="AE95" s="15"/>
      <c r="AF95" s="15"/>
      <c r="AG95" s="15"/>
    </row>
    <row r="96" spans="1:33" x14ac:dyDescent="0.2">
      <c r="A96" s="362"/>
      <c r="B96"/>
      <c r="F96" s="48"/>
      <c r="S96" s="52"/>
      <c r="T96" s="52"/>
      <c r="U96" s="52"/>
      <c r="V96" s="52"/>
      <c r="W96" s="52"/>
      <c r="X96" s="52"/>
      <c r="Y96" s="52"/>
      <c r="Z96" s="52"/>
      <c r="AA96" s="52"/>
      <c r="AB96" s="52"/>
      <c r="AC96" s="52"/>
      <c r="AD96" s="52"/>
      <c r="AE96" s="15"/>
      <c r="AF96" s="15"/>
      <c r="AG96" s="15"/>
    </row>
    <row r="97" spans="1:33" x14ac:dyDescent="0.2">
      <c r="B97" s="49" t="s">
        <v>539</v>
      </c>
      <c r="C97" s="49"/>
      <c r="D97" s="350"/>
      <c r="E97" s="331"/>
      <c r="F97" s="331"/>
      <c r="G97" s="331"/>
      <c r="H97" s="331"/>
      <c r="I97" s="331"/>
      <c r="J97" s="331"/>
      <c r="K97" s="331"/>
      <c r="L97" s="331"/>
      <c r="M97" s="331"/>
      <c r="N97" s="331"/>
      <c r="O97" s="331"/>
      <c r="P97" s="331"/>
      <c r="Q97" s="331"/>
      <c r="R97" s="331"/>
      <c r="S97" s="331"/>
      <c r="T97" s="331"/>
      <c r="U97" s="331"/>
      <c r="V97" s="331"/>
      <c r="W97" s="331"/>
      <c r="X97" s="331"/>
      <c r="Y97" s="331"/>
      <c r="Z97" s="331"/>
      <c r="AA97" s="331"/>
      <c r="AB97" s="331"/>
      <c r="AC97" s="331"/>
      <c r="AD97" s="331"/>
      <c r="AE97" s="15"/>
      <c r="AF97" s="15"/>
      <c r="AG97" s="15"/>
    </row>
    <row r="98" spans="1:33" x14ac:dyDescent="0.2">
      <c r="A98" s="224"/>
      <c r="B98"/>
      <c r="C98"/>
      <c r="D98" s="347" t="str">
        <f t="shared" ref="D98:D105" si="42">_xlfn.TEXTJOIN(keydelim,TRUE,E98:N98)</f>
        <v>HFO - Supply system cost variable</v>
      </c>
      <c r="F98" s="48"/>
      <c r="G98" t="s">
        <v>527</v>
      </c>
      <c r="N98" t="s">
        <v>317</v>
      </c>
      <c r="Q98" s="224" t="s">
        <v>279</v>
      </c>
      <c r="S98" s="357">
        <v>15000</v>
      </c>
      <c r="T98" s="22">
        <f t="shared" ref="T98:AD98" si="43">S98</f>
        <v>15000</v>
      </c>
      <c r="U98" s="22">
        <f t="shared" si="43"/>
        <v>15000</v>
      </c>
      <c r="V98" s="22">
        <f t="shared" si="43"/>
        <v>15000</v>
      </c>
      <c r="W98" s="22">
        <f t="shared" si="43"/>
        <v>15000</v>
      </c>
      <c r="X98" s="22">
        <f t="shared" si="43"/>
        <v>15000</v>
      </c>
      <c r="Y98" s="22">
        <f t="shared" si="43"/>
        <v>15000</v>
      </c>
      <c r="Z98" s="22">
        <f t="shared" si="43"/>
        <v>15000</v>
      </c>
      <c r="AA98" s="22">
        <f t="shared" si="43"/>
        <v>15000</v>
      </c>
      <c r="AB98" s="22">
        <f t="shared" si="43"/>
        <v>15000</v>
      </c>
      <c r="AC98" s="22">
        <f t="shared" si="43"/>
        <v>15000</v>
      </c>
      <c r="AD98" s="22">
        <f t="shared" si="43"/>
        <v>15000</v>
      </c>
      <c r="AE98" s="15"/>
      <c r="AF98" s="15"/>
      <c r="AG98" s="15"/>
    </row>
    <row r="99" spans="1:33" x14ac:dyDescent="0.2">
      <c r="A99" s="224"/>
      <c r="B99"/>
      <c r="C99"/>
      <c r="D99" s="347" t="str">
        <f t="shared" si="42"/>
        <v>LNG - Supply system cost variable</v>
      </c>
      <c r="F99" s="48"/>
      <c r="G99" t="s">
        <v>528</v>
      </c>
      <c r="N99" t="s">
        <v>317</v>
      </c>
      <c r="Q99" s="224" t="s">
        <v>279</v>
      </c>
      <c r="S99" s="357">
        <v>300000</v>
      </c>
      <c r="T99" s="22">
        <f t="shared" ref="T99:AD99" si="44">S99</f>
        <v>300000</v>
      </c>
      <c r="U99" s="22">
        <f t="shared" si="44"/>
        <v>300000</v>
      </c>
      <c r="V99" s="22">
        <f t="shared" si="44"/>
        <v>300000</v>
      </c>
      <c r="W99" s="22">
        <f t="shared" si="44"/>
        <v>300000</v>
      </c>
      <c r="X99" s="22">
        <f t="shared" si="44"/>
        <v>300000</v>
      </c>
      <c r="Y99" s="22">
        <f t="shared" si="44"/>
        <v>300000</v>
      </c>
      <c r="Z99" s="22">
        <f t="shared" si="44"/>
        <v>300000</v>
      </c>
      <c r="AA99" s="22">
        <f t="shared" si="44"/>
        <v>300000</v>
      </c>
      <c r="AB99" s="22">
        <f t="shared" si="44"/>
        <v>300000</v>
      </c>
      <c r="AC99" s="22">
        <f t="shared" si="44"/>
        <v>300000</v>
      </c>
      <c r="AD99" s="22">
        <f t="shared" si="44"/>
        <v>300000</v>
      </c>
      <c r="AE99" s="15"/>
      <c r="AF99" s="15"/>
      <c r="AG99" s="15"/>
    </row>
    <row r="100" spans="1:33" x14ac:dyDescent="0.2">
      <c r="A100" s="224"/>
      <c r="B100"/>
      <c r="C100"/>
      <c r="D100" s="347" t="str">
        <f t="shared" si="42"/>
        <v>Ammonia - Supply system cost variable</v>
      </c>
      <c r="F100" s="48"/>
      <c r="G100" t="s">
        <v>529</v>
      </c>
      <c r="N100" t="s">
        <v>317</v>
      </c>
      <c r="Q100" s="224" t="s">
        <v>279</v>
      </c>
      <c r="S100" s="357">
        <v>240000</v>
      </c>
      <c r="T100" s="22">
        <f t="shared" ref="T100:AD100" si="45">S100</f>
        <v>240000</v>
      </c>
      <c r="U100" s="22">
        <f t="shared" si="45"/>
        <v>240000</v>
      </c>
      <c r="V100" s="22">
        <f t="shared" si="45"/>
        <v>240000</v>
      </c>
      <c r="W100" s="22">
        <f t="shared" si="45"/>
        <v>240000</v>
      </c>
      <c r="X100" s="22">
        <f t="shared" si="45"/>
        <v>240000</v>
      </c>
      <c r="Y100" s="22">
        <f t="shared" si="45"/>
        <v>240000</v>
      </c>
      <c r="Z100" s="22">
        <f t="shared" si="45"/>
        <v>240000</v>
      </c>
      <c r="AA100" s="22">
        <f t="shared" si="45"/>
        <v>240000</v>
      </c>
      <c r="AB100" s="22">
        <f t="shared" si="45"/>
        <v>240000</v>
      </c>
      <c r="AC100" s="22">
        <f t="shared" si="45"/>
        <v>240000</v>
      </c>
      <c r="AD100" s="22">
        <f t="shared" si="45"/>
        <v>240000</v>
      </c>
      <c r="AE100" s="15"/>
      <c r="AF100" s="15"/>
      <c r="AG100" s="15"/>
    </row>
    <row r="101" spans="1:33" x14ac:dyDescent="0.2">
      <c r="A101" s="224"/>
      <c r="B101"/>
      <c r="C101"/>
      <c r="D101" s="347" t="str">
        <f t="shared" si="42"/>
        <v>Methanol - Supply system cost variable</v>
      </c>
      <c r="F101" s="48"/>
      <c r="G101" t="s">
        <v>530</v>
      </c>
      <c r="N101" t="s">
        <v>317</v>
      </c>
      <c r="Q101" s="224" t="s">
        <v>279</v>
      </c>
      <c r="S101" s="357">
        <v>210000</v>
      </c>
      <c r="T101" s="22">
        <f t="shared" ref="T101:AD101" si="46">S101</f>
        <v>210000</v>
      </c>
      <c r="U101" s="22">
        <f t="shared" si="46"/>
        <v>210000</v>
      </c>
      <c r="V101" s="22">
        <f t="shared" si="46"/>
        <v>210000</v>
      </c>
      <c r="W101" s="22">
        <f t="shared" si="46"/>
        <v>210000</v>
      </c>
      <c r="X101" s="22">
        <f t="shared" si="46"/>
        <v>210000</v>
      </c>
      <c r="Y101" s="22">
        <f t="shared" si="46"/>
        <v>210000</v>
      </c>
      <c r="Z101" s="22">
        <f t="shared" si="46"/>
        <v>210000</v>
      </c>
      <c r="AA101" s="22">
        <f t="shared" si="46"/>
        <v>210000</v>
      </c>
      <c r="AB101" s="22">
        <f t="shared" si="46"/>
        <v>210000</v>
      </c>
      <c r="AC101" s="22">
        <f t="shared" si="46"/>
        <v>210000</v>
      </c>
      <c r="AD101" s="22">
        <f t="shared" si="46"/>
        <v>210000</v>
      </c>
      <c r="AE101" s="15"/>
      <c r="AF101" s="15"/>
      <c r="AG101" s="15"/>
    </row>
    <row r="102" spans="1:33" x14ac:dyDescent="0.2">
      <c r="A102" s="224"/>
      <c r="B102"/>
      <c r="C102"/>
      <c r="D102" s="347" t="str">
        <f t="shared" si="42"/>
        <v>Liquid hydrogen - Supply system cost variable</v>
      </c>
      <c r="F102" s="48"/>
      <c r="G102" t="s">
        <v>531</v>
      </c>
      <c r="N102" t="s">
        <v>317</v>
      </c>
      <c r="Q102" s="224" t="s">
        <v>279</v>
      </c>
      <c r="S102" s="357">
        <v>900000</v>
      </c>
      <c r="T102" s="360">
        <f t="shared" ref="T102:AD103" si="47">T$99</f>
        <v>300000</v>
      </c>
      <c r="U102" s="360">
        <f t="shared" si="47"/>
        <v>300000</v>
      </c>
      <c r="V102" s="360">
        <f t="shared" si="47"/>
        <v>300000</v>
      </c>
      <c r="W102" s="360">
        <f t="shared" si="47"/>
        <v>300000</v>
      </c>
      <c r="X102" s="360">
        <f t="shared" si="47"/>
        <v>300000</v>
      </c>
      <c r="Y102" s="360">
        <f t="shared" si="47"/>
        <v>300000</v>
      </c>
      <c r="Z102" s="360">
        <f t="shared" si="47"/>
        <v>300000</v>
      </c>
      <c r="AA102" s="360">
        <f t="shared" si="47"/>
        <v>300000</v>
      </c>
      <c r="AB102" s="360">
        <f t="shared" si="47"/>
        <v>300000</v>
      </c>
      <c r="AC102" s="360">
        <f t="shared" si="47"/>
        <v>300000</v>
      </c>
      <c r="AD102" s="360">
        <f t="shared" si="47"/>
        <v>300000</v>
      </c>
      <c r="AE102" s="15"/>
      <c r="AF102" s="15"/>
      <c r="AG102" s="15"/>
    </row>
    <row r="103" spans="1:33" x14ac:dyDescent="0.2">
      <c r="A103" s="224"/>
      <c r="B103"/>
      <c r="C103"/>
      <c r="D103" s="347" t="str">
        <f t="shared" si="42"/>
        <v>Compressed hydrogen - Supply system cost variable</v>
      </c>
      <c r="F103" s="48"/>
      <c r="G103" t="s">
        <v>532</v>
      </c>
      <c r="N103" t="s">
        <v>317</v>
      </c>
      <c r="Q103" s="224" t="s">
        <v>279</v>
      </c>
      <c r="S103" s="360">
        <f>S102</f>
        <v>900000</v>
      </c>
      <c r="T103" s="360">
        <f t="shared" si="47"/>
        <v>300000</v>
      </c>
      <c r="U103" s="360">
        <f t="shared" si="47"/>
        <v>300000</v>
      </c>
      <c r="V103" s="360">
        <f t="shared" si="47"/>
        <v>300000</v>
      </c>
      <c r="W103" s="360">
        <f t="shared" si="47"/>
        <v>300000</v>
      </c>
      <c r="X103" s="360">
        <f t="shared" si="47"/>
        <v>300000</v>
      </c>
      <c r="Y103" s="360">
        <f t="shared" si="47"/>
        <v>300000</v>
      </c>
      <c r="Z103" s="360">
        <f t="shared" si="47"/>
        <v>300000</v>
      </c>
      <c r="AA103" s="360">
        <f t="shared" si="47"/>
        <v>300000</v>
      </c>
      <c r="AB103" s="360">
        <f t="shared" si="47"/>
        <v>300000</v>
      </c>
      <c r="AC103" s="360">
        <f t="shared" si="47"/>
        <v>300000</v>
      </c>
      <c r="AD103" s="360">
        <f t="shared" si="47"/>
        <v>300000</v>
      </c>
      <c r="AE103" s="15"/>
      <c r="AF103" s="15"/>
      <c r="AG103" s="15"/>
    </row>
    <row r="104" spans="1:33" x14ac:dyDescent="0.2">
      <c r="A104" s="224"/>
      <c r="B104"/>
      <c r="C104"/>
      <c r="D104" s="347" t="str">
        <f t="shared" si="42"/>
        <v>Electricity - Supply system cost variable</v>
      </c>
      <c r="F104" s="48"/>
      <c r="G104" t="s">
        <v>54</v>
      </c>
      <c r="N104" t="s">
        <v>317</v>
      </c>
      <c r="Q104" s="224" t="s">
        <v>279</v>
      </c>
      <c r="S104" s="22">
        <f>S114/800000*S$98</f>
        <v>3750</v>
      </c>
      <c r="T104" s="360">
        <f t="shared" ref="T104:AD104" si="48">S104</f>
        <v>3750</v>
      </c>
      <c r="U104" s="360">
        <f t="shared" si="48"/>
        <v>3750</v>
      </c>
      <c r="V104" s="360">
        <f t="shared" si="48"/>
        <v>3750</v>
      </c>
      <c r="W104" s="360">
        <f t="shared" si="48"/>
        <v>3750</v>
      </c>
      <c r="X104" s="360">
        <f t="shared" si="48"/>
        <v>3750</v>
      </c>
      <c r="Y104" s="360">
        <f t="shared" si="48"/>
        <v>3750</v>
      </c>
      <c r="Z104" s="360">
        <f t="shared" si="48"/>
        <v>3750</v>
      </c>
      <c r="AA104" s="360">
        <f t="shared" si="48"/>
        <v>3750</v>
      </c>
      <c r="AB104" s="360">
        <f t="shared" si="48"/>
        <v>3750</v>
      </c>
      <c r="AC104" s="360">
        <f t="shared" si="48"/>
        <v>3750</v>
      </c>
      <c r="AD104" s="360">
        <f t="shared" si="48"/>
        <v>3750</v>
      </c>
      <c r="AE104" s="15"/>
      <c r="AF104" s="15"/>
      <c r="AG104" s="15"/>
    </row>
    <row r="105" spans="1:33" x14ac:dyDescent="0.2">
      <c r="A105" s="224"/>
      <c r="B105"/>
      <c r="C105"/>
      <c r="D105" s="347" t="str">
        <f t="shared" si="42"/>
        <v>Diesel - Supply system cost variable</v>
      </c>
      <c r="F105" s="48"/>
      <c r="G105" t="s">
        <v>533</v>
      </c>
      <c r="N105" t="s">
        <v>317</v>
      </c>
      <c r="Q105" s="224" t="s">
        <v>279</v>
      </c>
      <c r="S105" s="22">
        <v>15000</v>
      </c>
      <c r="T105" s="360">
        <f t="shared" ref="T105:AD105" si="49">S105</f>
        <v>15000</v>
      </c>
      <c r="U105" s="360">
        <f t="shared" si="49"/>
        <v>15000</v>
      </c>
      <c r="V105" s="360">
        <f t="shared" si="49"/>
        <v>15000</v>
      </c>
      <c r="W105" s="360">
        <f t="shared" si="49"/>
        <v>15000</v>
      </c>
      <c r="X105" s="360">
        <f t="shared" si="49"/>
        <v>15000</v>
      </c>
      <c r="Y105" s="360">
        <f t="shared" si="49"/>
        <v>15000</v>
      </c>
      <c r="Z105" s="360">
        <f t="shared" si="49"/>
        <v>15000</v>
      </c>
      <c r="AA105" s="360">
        <f t="shared" si="49"/>
        <v>15000</v>
      </c>
      <c r="AB105" s="360">
        <f t="shared" si="49"/>
        <v>15000</v>
      </c>
      <c r="AC105" s="360">
        <f t="shared" si="49"/>
        <v>15000</v>
      </c>
      <c r="AD105" s="360">
        <f t="shared" si="49"/>
        <v>15000</v>
      </c>
      <c r="AE105" s="15"/>
      <c r="AF105" s="15"/>
      <c r="AG105" s="15"/>
    </row>
    <row r="106" spans="1:33" x14ac:dyDescent="0.2">
      <c r="A106" s="224"/>
      <c r="B106"/>
      <c r="C106"/>
      <c r="D106" s="347" t="str">
        <f>_xlfn.TEXTJOIN(keydelim,TRUE,E106:N106)</f>
        <v>LPG - Supply system cost variable</v>
      </c>
      <c r="F106" s="48"/>
      <c r="G106" t="s">
        <v>534</v>
      </c>
      <c r="N106" t="s">
        <v>317</v>
      </c>
      <c r="Q106" s="224" t="s">
        <v>279</v>
      </c>
      <c r="S106" s="360">
        <f>S101</f>
        <v>210000</v>
      </c>
      <c r="T106" s="360">
        <f t="shared" ref="T106:AD106" si="50">S106</f>
        <v>210000</v>
      </c>
      <c r="U106" s="360">
        <f t="shared" si="50"/>
        <v>210000</v>
      </c>
      <c r="V106" s="360">
        <f t="shared" si="50"/>
        <v>210000</v>
      </c>
      <c r="W106" s="360">
        <f t="shared" si="50"/>
        <v>210000</v>
      </c>
      <c r="X106" s="360">
        <f t="shared" si="50"/>
        <v>210000</v>
      </c>
      <c r="Y106" s="360">
        <f t="shared" si="50"/>
        <v>210000</v>
      </c>
      <c r="Z106" s="360">
        <f t="shared" si="50"/>
        <v>210000</v>
      </c>
      <c r="AA106" s="360">
        <f t="shared" si="50"/>
        <v>210000</v>
      </c>
      <c r="AB106" s="360">
        <f t="shared" si="50"/>
        <v>210000</v>
      </c>
      <c r="AC106" s="360">
        <f t="shared" si="50"/>
        <v>210000</v>
      </c>
      <c r="AD106" s="360">
        <f t="shared" si="50"/>
        <v>210000</v>
      </c>
      <c r="AE106" s="15"/>
      <c r="AF106" s="15"/>
      <c r="AG106" s="15"/>
    </row>
    <row r="107" spans="1:33" x14ac:dyDescent="0.2">
      <c r="A107" s="224"/>
      <c r="B107"/>
      <c r="C107"/>
      <c r="D107" s="353"/>
      <c r="F107" s="48"/>
      <c r="Q107" s="224"/>
      <c r="S107" s="52"/>
      <c r="T107" s="52"/>
      <c r="U107" s="52"/>
      <c r="V107" s="52"/>
      <c r="W107" s="52"/>
      <c r="X107" s="52"/>
      <c r="Y107" s="52"/>
      <c r="Z107" s="52"/>
      <c r="AA107" s="52"/>
      <c r="AB107" s="52"/>
      <c r="AC107" s="52"/>
      <c r="AD107" s="52"/>
      <c r="AE107" s="15"/>
      <c r="AF107" s="15"/>
      <c r="AG107" s="15"/>
    </row>
    <row r="108" spans="1:33" x14ac:dyDescent="0.2">
      <c r="A108" s="224"/>
      <c r="B108"/>
      <c r="C108"/>
      <c r="D108" s="347" t="str">
        <f t="shared" ref="D108:D115" si="51">_xlfn.TEXTJOIN(keydelim,TRUE,E108:N108)</f>
        <v>HFO - Supply system cost fixed</v>
      </c>
      <c r="F108" s="48"/>
      <c r="G108" t="s">
        <v>527</v>
      </c>
      <c r="N108" t="s">
        <v>316</v>
      </c>
      <c r="O108" t="s">
        <v>511</v>
      </c>
      <c r="Q108" s="224" t="s">
        <v>540</v>
      </c>
      <c r="S108" s="357">
        <v>100000</v>
      </c>
      <c r="T108" s="22">
        <f t="shared" ref="T108:AD108" si="52">S108</f>
        <v>100000</v>
      </c>
      <c r="U108" s="22">
        <f t="shared" si="52"/>
        <v>100000</v>
      </c>
      <c r="V108" s="22">
        <f t="shared" si="52"/>
        <v>100000</v>
      </c>
      <c r="W108" s="22">
        <f t="shared" si="52"/>
        <v>100000</v>
      </c>
      <c r="X108" s="22">
        <f t="shared" si="52"/>
        <v>100000</v>
      </c>
      <c r="Y108" s="22">
        <f t="shared" si="52"/>
        <v>100000</v>
      </c>
      <c r="Z108" s="22">
        <f t="shared" si="52"/>
        <v>100000</v>
      </c>
      <c r="AA108" s="22">
        <f t="shared" si="52"/>
        <v>100000</v>
      </c>
      <c r="AB108" s="22">
        <f t="shared" si="52"/>
        <v>100000</v>
      </c>
      <c r="AC108" s="22">
        <f t="shared" si="52"/>
        <v>100000</v>
      </c>
      <c r="AD108" s="22">
        <f t="shared" si="52"/>
        <v>100000</v>
      </c>
      <c r="AE108" s="15"/>
      <c r="AF108" s="15"/>
      <c r="AG108" s="15"/>
    </row>
    <row r="109" spans="1:33" x14ac:dyDescent="0.2">
      <c r="A109" s="224"/>
      <c r="B109"/>
      <c r="D109" s="347" t="str">
        <f t="shared" si="51"/>
        <v>LNG - Supply system cost fixed</v>
      </c>
      <c r="F109" s="48"/>
      <c r="G109" t="s">
        <v>528</v>
      </c>
      <c r="N109" t="s">
        <v>316</v>
      </c>
      <c r="O109" t="s">
        <v>511</v>
      </c>
      <c r="Q109" s="224" t="s">
        <v>540</v>
      </c>
      <c r="S109" s="357">
        <v>120000</v>
      </c>
      <c r="T109" s="22">
        <f t="shared" ref="T109:AD109" si="53">S109</f>
        <v>120000</v>
      </c>
      <c r="U109" s="22">
        <f t="shared" si="53"/>
        <v>120000</v>
      </c>
      <c r="V109" s="22">
        <f t="shared" si="53"/>
        <v>120000</v>
      </c>
      <c r="W109" s="22">
        <f t="shared" si="53"/>
        <v>120000</v>
      </c>
      <c r="X109" s="22">
        <f t="shared" si="53"/>
        <v>120000</v>
      </c>
      <c r="Y109" s="22">
        <f t="shared" si="53"/>
        <v>120000</v>
      </c>
      <c r="Z109" s="22">
        <f t="shared" si="53"/>
        <v>120000</v>
      </c>
      <c r="AA109" s="22">
        <f t="shared" si="53"/>
        <v>120000</v>
      </c>
      <c r="AB109" s="22">
        <f t="shared" si="53"/>
        <v>120000</v>
      </c>
      <c r="AC109" s="22">
        <f t="shared" si="53"/>
        <v>120000</v>
      </c>
      <c r="AD109" s="22">
        <f t="shared" si="53"/>
        <v>120000</v>
      </c>
      <c r="AE109" s="15"/>
      <c r="AF109" s="15"/>
      <c r="AG109" s="15"/>
    </row>
    <row r="110" spans="1:33" x14ac:dyDescent="0.2">
      <c r="A110" s="224"/>
      <c r="B110"/>
      <c r="D110" s="347" t="str">
        <f t="shared" si="51"/>
        <v>Ammonia - Supply system cost fixed</v>
      </c>
      <c r="F110" s="48"/>
      <c r="G110" t="s">
        <v>529</v>
      </c>
      <c r="N110" t="s">
        <v>316</v>
      </c>
      <c r="O110" t="s">
        <v>511</v>
      </c>
      <c r="Q110" s="224" t="s">
        <v>540</v>
      </c>
      <c r="S110" s="357">
        <v>1000000</v>
      </c>
      <c r="T110" s="22">
        <f t="shared" ref="T110:AD110" si="54">S110</f>
        <v>1000000</v>
      </c>
      <c r="U110" s="22">
        <f t="shared" si="54"/>
        <v>1000000</v>
      </c>
      <c r="V110" s="22">
        <f t="shared" si="54"/>
        <v>1000000</v>
      </c>
      <c r="W110" s="22">
        <f t="shared" si="54"/>
        <v>1000000</v>
      </c>
      <c r="X110" s="22">
        <f t="shared" si="54"/>
        <v>1000000</v>
      </c>
      <c r="Y110" s="22">
        <f t="shared" si="54"/>
        <v>1000000</v>
      </c>
      <c r="Z110" s="22">
        <f t="shared" si="54"/>
        <v>1000000</v>
      </c>
      <c r="AA110" s="22">
        <f t="shared" si="54"/>
        <v>1000000</v>
      </c>
      <c r="AB110" s="22">
        <f t="shared" si="54"/>
        <v>1000000</v>
      </c>
      <c r="AC110" s="22">
        <f t="shared" si="54"/>
        <v>1000000</v>
      </c>
      <c r="AD110" s="22">
        <f t="shared" si="54"/>
        <v>1000000</v>
      </c>
      <c r="AE110" s="15"/>
      <c r="AF110" s="15"/>
      <c r="AG110" s="15"/>
    </row>
    <row r="111" spans="1:33" x14ac:dyDescent="0.2">
      <c r="A111" s="224"/>
      <c r="B111"/>
      <c r="D111" s="347" t="str">
        <f t="shared" si="51"/>
        <v>Methanol - Supply system cost fixed</v>
      </c>
      <c r="F111" s="48"/>
      <c r="G111" t="s">
        <v>530</v>
      </c>
      <c r="N111" t="s">
        <v>316</v>
      </c>
      <c r="O111" t="s">
        <v>511</v>
      </c>
      <c r="Q111" s="224" t="s">
        <v>540</v>
      </c>
      <c r="S111" s="357">
        <v>800000</v>
      </c>
      <c r="T111" s="22">
        <f t="shared" ref="T111:AD111" si="55">S111</f>
        <v>800000</v>
      </c>
      <c r="U111" s="22">
        <f t="shared" si="55"/>
        <v>800000</v>
      </c>
      <c r="V111" s="22">
        <f t="shared" si="55"/>
        <v>800000</v>
      </c>
      <c r="W111" s="22">
        <f t="shared" si="55"/>
        <v>800000</v>
      </c>
      <c r="X111" s="22">
        <f t="shared" si="55"/>
        <v>800000</v>
      </c>
      <c r="Y111" s="22">
        <f t="shared" si="55"/>
        <v>800000</v>
      </c>
      <c r="Z111" s="22">
        <f t="shared" si="55"/>
        <v>800000</v>
      </c>
      <c r="AA111" s="22">
        <f t="shared" si="55"/>
        <v>800000</v>
      </c>
      <c r="AB111" s="22">
        <f t="shared" si="55"/>
        <v>800000</v>
      </c>
      <c r="AC111" s="22">
        <f t="shared" si="55"/>
        <v>800000</v>
      </c>
      <c r="AD111" s="22">
        <f t="shared" si="55"/>
        <v>800000</v>
      </c>
      <c r="AE111" s="15"/>
      <c r="AF111" s="15"/>
      <c r="AG111" s="15"/>
    </row>
    <row r="112" spans="1:33" x14ac:dyDescent="0.2">
      <c r="A112" s="224"/>
      <c r="B112"/>
      <c r="D112" s="347" t="str">
        <f t="shared" si="51"/>
        <v>Liquid hydrogen - Supply system cost fixed</v>
      </c>
      <c r="F112" s="48"/>
      <c r="G112" t="s">
        <v>531</v>
      </c>
      <c r="N112" t="s">
        <v>316</v>
      </c>
      <c r="O112" t="s">
        <v>511</v>
      </c>
      <c r="Q112" s="224" t="s">
        <v>540</v>
      </c>
      <c r="S112" s="357">
        <v>3600000</v>
      </c>
      <c r="T112" s="360">
        <f t="shared" ref="T112:AD113" si="56">T$109</f>
        <v>120000</v>
      </c>
      <c r="U112" s="360">
        <f t="shared" si="56"/>
        <v>120000</v>
      </c>
      <c r="V112" s="360">
        <f t="shared" si="56"/>
        <v>120000</v>
      </c>
      <c r="W112" s="360">
        <f t="shared" si="56"/>
        <v>120000</v>
      </c>
      <c r="X112" s="360">
        <f t="shared" si="56"/>
        <v>120000</v>
      </c>
      <c r="Y112" s="360">
        <f t="shared" si="56"/>
        <v>120000</v>
      </c>
      <c r="Z112" s="360">
        <f t="shared" si="56"/>
        <v>120000</v>
      </c>
      <c r="AA112" s="360">
        <f t="shared" si="56"/>
        <v>120000</v>
      </c>
      <c r="AB112" s="360">
        <f t="shared" si="56"/>
        <v>120000</v>
      </c>
      <c r="AC112" s="360">
        <f t="shared" si="56"/>
        <v>120000</v>
      </c>
      <c r="AD112" s="360">
        <f t="shared" si="56"/>
        <v>120000</v>
      </c>
      <c r="AE112" s="15"/>
      <c r="AF112" s="15"/>
      <c r="AG112" s="15"/>
    </row>
    <row r="113" spans="1:33" x14ac:dyDescent="0.2">
      <c r="A113" s="224"/>
      <c r="B113"/>
      <c r="C113"/>
      <c r="D113" s="347" t="str">
        <f t="shared" si="51"/>
        <v>Compressed hydrogen - Supply system cost fixed</v>
      </c>
      <c r="F113" s="48"/>
      <c r="G113" t="s">
        <v>532</v>
      </c>
      <c r="N113" t="s">
        <v>316</v>
      </c>
      <c r="O113" t="s">
        <v>511</v>
      </c>
      <c r="Q113" s="224" t="s">
        <v>540</v>
      </c>
      <c r="S113" s="360">
        <f>S112</f>
        <v>3600000</v>
      </c>
      <c r="T113" s="360">
        <f t="shared" si="56"/>
        <v>120000</v>
      </c>
      <c r="U113" s="360">
        <f t="shared" si="56"/>
        <v>120000</v>
      </c>
      <c r="V113" s="360">
        <f t="shared" si="56"/>
        <v>120000</v>
      </c>
      <c r="W113" s="360">
        <f t="shared" si="56"/>
        <v>120000</v>
      </c>
      <c r="X113" s="360">
        <f t="shared" si="56"/>
        <v>120000</v>
      </c>
      <c r="Y113" s="360">
        <f t="shared" si="56"/>
        <v>120000</v>
      </c>
      <c r="Z113" s="360">
        <f t="shared" si="56"/>
        <v>120000</v>
      </c>
      <c r="AA113" s="360">
        <f t="shared" si="56"/>
        <v>120000</v>
      </c>
      <c r="AB113" s="360">
        <f t="shared" si="56"/>
        <v>120000</v>
      </c>
      <c r="AC113" s="360">
        <f t="shared" si="56"/>
        <v>120000</v>
      </c>
      <c r="AD113" s="360">
        <f t="shared" si="56"/>
        <v>120000</v>
      </c>
      <c r="AE113" s="15"/>
      <c r="AF113" s="15"/>
      <c r="AG113" s="15"/>
    </row>
    <row r="114" spans="1:33" x14ac:dyDescent="0.2">
      <c r="A114" s="224"/>
      <c r="B114"/>
      <c r="D114" s="347" t="str">
        <f t="shared" si="51"/>
        <v>Electricity - Supply system cost fixed</v>
      </c>
      <c r="F114" s="48"/>
      <c r="G114" t="s">
        <v>54</v>
      </c>
      <c r="N114" t="s">
        <v>316</v>
      </c>
      <c r="O114" t="s">
        <v>511</v>
      </c>
      <c r="Q114" s="224" t="s">
        <v>540</v>
      </c>
      <c r="S114" s="360">
        <v>200000</v>
      </c>
      <c r="T114" s="360">
        <v>200000</v>
      </c>
      <c r="U114" s="360">
        <v>200000</v>
      </c>
      <c r="V114" s="360">
        <v>200000</v>
      </c>
      <c r="W114" s="360">
        <v>200000</v>
      </c>
      <c r="X114" s="360">
        <v>200000</v>
      </c>
      <c r="Y114" s="360">
        <v>200000</v>
      </c>
      <c r="Z114" s="360">
        <v>200000</v>
      </c>
      <c r="AA114" s="360">
        <v>200000</v>
      </c>
      <c r="AB114" s="360">
        <v>200000</v>
      </c>
      <c r="AC114" s="360">
        <v>200000</v>
      </c>
      <c r="AD114" s="360">
        <v>200000</v>
      </c>
      <c r="AE114" s="15"/>
      <c r="AF114" s="15"/>
      <c r="AG114" s="15"/>
    </row>
    <row r="115" spans="1:33" x14ac:dyDescent="0.2">
      <c r="A115" s="224"/>
      <c r="B115"/>
      <c r="D115" s="347" t="str">
        <f t="shared" si="51"/>
        <v>Diesel - Supply system cost fixed</v>
      </c>
      <c r="F115" s="48"/>
      <c r="G115" t="s">
        <v>533</v>
      </c>
      <c r="N115" t="s">
        <v>316</v>
      </c>
      <c r="O115" t="s">
        <v>511</v>
      </c>
      <c r="Q115" s="224" t="s">
        <v>540</v>
      </c>
      <c r="S115" s="360">
        <f>S108</f>
        <v>100000</v>
      </c>
      <c r="T115" s="22">
        <f t="shared" ref="T115:AD116" si="57">S115</f>
        <v>100000</v>
      </c>
      <c r="U115" s="22">
        <f t="shared" si="57"/>
        <v>100000</v>
      </c>
      <c r="V115" s="22">
        <f t="shared" si="57"/>
        <v>100000</v>
      </c>
      <c r="W115" s="22">
        <f t="shared" si="57"/>
        <v>100000</v>
      </c>
      <c r="X115" s="22">
        <f t="shared" si="57"/>
        <v>100000</v>
      </c>
      <c r="Y115" s="22">
        <f t="shared" si="57"/>
        <v>100000</v>
      </c>
      <c r="Z115" s="22">
        <f t="shared" si="57"/>
        <v>100000</v>
      </c>
      <c r="AA115" s="22">
        <f t="shared" si="57"/>
        <v>100000</v>
      </c>
      <c r="AB115" s="22">
        <f t="shared" si="57"/>
        <v>100000</v>
      </c>
      <c r="AC115" s="22">
        <f t="shared" si="57"/>
        <v>100000</v>
      </c>
      <c r="AD115" s="22">
        <f t="shared" si="57"/>
        <v>100000</v>
      </c>
      <c r="AE115" s="15"/>
      <c r="AF115" s="15"/>
      <c r="AG115" s="15"/>
    </row>
    <row r="116" spans="1:33" x14ac:dyDescent="0.2">
      <c r="A116" s="224"/>
      <c r="B116"/>
      <c r="D116" s="347" t="str">
        <f>_xlfn.TEXTJOIN(keydelim,TRUE,E116:N116)</f>
        <v>LPG - Supply system cost fixed</v>
      </c>
      <c r="F116" s="48"/>
      <c r="G116" t="s">
        <v>534</v>
      </c>
      <c r="N116" t="s">
        <v>316</v>
      </c>
      <c r="O116" t="s">
        <v>511</v>
      </c>
      <c r="Q116" s="224" t="s">
        <v>540</v>
      </c>
      <c r="S116" s="360">
        <f>S111</f>
        <v>800000</v>
      </c>
      <c r="T116" s="360">
        <f t="shared" si="57"/>
        <v>800000</v>
      </c>
      <c r="U116" s="360">
        <f t="shared" si="57"/>
        <v>800000</v>
      </c>
      <c r="V116" s="360">
        <f t="shared" si="57"/>
        <v>800000</v>
      </c>
      <c r="W116" s="360">
        <f t="shared" si="57"/>
        <v>800000</v>
      </c>
      <c r="X116" s="360">
        <f t="shared" si="57"/>
        <v>800000</v>
      </c>
      <c r="Y116" s="360">
        <f t="shared" si="57"/>
        <v>800000</v>
      </c>
      <c r="Z116" s="360">
        <f t="shared" si="57"/>
        <v>800000</v>
      </c>
      <c r="AA116" s="360">
        <f t="shared" si="57"/>
        <v>800000</v>
      </c>
      <c r="AB116" s="360">
        <f t="shared" si="57"/>
        <v>800000</v>
      </c>
      <c r="AC116" s="360">
        <f t="shared" si="57"/>
        <v>800000</v>
      </c>
      <c r="AD116" s="360">
        <f t="shared" si="57"/>
        <v>800000</v>
      </c>
      <c r="AE116" s="15"/>
      <c r="AF116" s="15"/>
      <c r="AG116" s="15"/>
    </row>
    <row r="117" spans="1:33" x14ac:dyDescent="0.2">
      <c r="A117" s="362"/>
      <c r="B117"/>
      <c r="S117" s="287"/>
      <c r="T117" s="287"/>
      <c r="U117" s="52"/>
      <c r="V117" s="52"/>
      <c r="W117" s="52"/>
      <c r="X117" s="52"/>
      <c r="Y117" s="52"/>
      <c r="Z117" s="52"/>
      <c r="AA117" s="52"/>
      <c r="AB117" s="52"/>
      <c r="AC117" s="52"/>
      <c r="AD117" s="52"/>
      <c r="AE117" s="15"/>
      <c r="AF117" s="15"/>
      <c r="AG117" s="15"/>
    </row>
    <row r="118" spans="1:33" x14ac:dyDescent="0.2">
      <c r="B118"/>
      <c r="AE118" s="15"/>
      <c r="AF118" s="15"/>
      <c r="AG118" s="15"/>
    </row>
    <row r="119" spans="1:33" x14ac:dyDescent="0.2">
      <c r="B119"/>
      <c r="AE119" s="15"/>
      <c r="AF119" s="15"/>
      <c r="AG119" s="15"/>
    </row>
    <row r="120" spans="1:33" x14ac:dyDescent="0.2">
      <c r="B120" s="49" t="s">
        <v>273</v>
      </c>
      <c r="C120" s="49"/>
      <c r="D120" s="350"/>
      <c r="E120" s="331"/>
      <c r="F120" s="331"/>
      <c r="G120" s="331" t="str">
        <f>B120</f>
        <v>Base CAPEX</v>
      </c>
      <c r="H120" s="331"/>
      <c r="I120" s="331"/>
      <c r="J120" s="331"/>
      <c r="K120" s="331"/>
      <c r="L120" s="331"/>
      <c r="M120" s="331"/>
      <c r="N120" s="331"/>
      <c r="O120" s="331"/>
      <c r="P120" s="331"/>
      <c r="Q120" s="331"/>
      <c r="R120" s="331"/>
      <c r="S120" s="331"/>
      <c r="T120" s="331"/>
      <c r="U120" s="331"/>
      <c r="V120" s="331"/>
      <c r="W120" s="331"/>
      <c r="X120" s="331"/>
      <c r="Y120" s="331"/>
      <c r="Z120" s="331"/>
      <c r="AA120" s="331"/>
      <c r="AB120" s="331"/>
      <c r="AC120" s="331"/>
      <c r="AD120" s="331"/>
      <c r="AE120" s="15"/>
      <c r="AF120" s="15"/>
      <c r="AG120" s="15"/>
    </row>
    <row r="121" spans="1:33" x14ac:dyDescent="0.2">
      <c r="A121" s="224"/>
      <c r="B121"/>
      <c r="D121" s="347" t="str">
        <f t="shared" ref="D121:D157" si="58">_xlfn.TEXTJOIN(keydelim,TRUE,E121:N121)</f>
        <v>Bulk carrier - Very Large - Base CAPEX</v>
      </c>
      <c r="J121" t="s">
        <v>541</v>
      </c>
      <c r="K121" t="s">
        <v>542</v>
      </c>
      <c r="N121" t="s">
        <v>273</v>
      </c>
      <c r="O121" t="s">
        <v>543</v>
      </c>
      <c r="Q121" s="224" t="s">
        <v>544</v>
      </c>
      <c r="R121" s="364">
        <v>44</v>
      </c>
      <c r="S121" s="22">
        <f t="shared" ref="S121:AD121" si="59">R121</f>
        <v>44</v>
      </c>
      <c r="T121" s="22">
        <f t="shared" si="59"/>
        <v>44</v>
      </c>
      <c r="U121" s="22">
        <f t="shared" si="59"/>
        <v>44</v>
      </c>
      <c r="V121" s="22">
        <f t="shared" si="59"/>
        <v>44</v>
      </c>
      <c r="W121" s="22">
        <f t="shared" si="59"/>
        <v>44</v>
      </c>
      <c r="X121" s="22">
        <f t="shared" si="59"/>
        <v>44</v>
      </c>
      <c r="Y121" s="22">
        <f t="shared" si="59"/>
        <v>44</v>
      </c>
      <c r="Z121" s="22">
        <f t="shared" si="59"/>
        <v>44</v>
      </c>
      <c r="AA121" s="22">
        <f t="shared" si="59"/>
        <v>44</v>
      </c>
      <c r="AB121" s="22">
        <f t="shared" si="59"/>
        <v>44</v>
      </c>
      <c r="AC121" s="22">
        <f t="shared" si="59"/>
        <v>44</v>
      </c>
      <c r="AD121" s="22">
        <f t="shared" si="59"/>
        <v>44</v>
      </c>
    </row>
    <row r="122" spans="1:33" x14ac:dyDescent="0.2">
      <c r="A122" s="224"/>
      <c r="B122"/>
      <c r="D122" s="347" t="str">
        <f t="shared" si="58"/>
        <v>Bulk carrier - Large - Base CAPEX</v>
      </c>
      <c r="J122" t="s">
        <v>541</v>
      </c>
      <c r="K122" t="s">
        <v>545</v>
      </c>
      <c r="N122" t="s">
        <v>273</v>
      </c>
      <c r="O122" t="s">
        <v>543</v>
      </c>
      <c r="Q122" s="224" t="s">
        <v>544</v>
      </c>
      <c r="R122" s="364">
        <v>25.5</v>
      </c>
      <c r="S122" s="22">
        <f t="shared" ref="S122:AD122" si="60">R122</f>
        <v>25.5</v>
      </c>
      <c r="T122" s="22">
        <f t="shared" si="60"/>
        <v>25.5</v>
      </c>
      <c r="U122" s="22">
        <f t="shared" si="60"/>
        <v>25.5</v>
      </c>
      <c r="V122" s="22">
        <f t="shared" si="60"/>
        <v>25.5</v>
      </c>
      <c r="W122" s="22">
        <f t="shared" si="60"/>
        <v>25.5</v>
      </c>
      <c r="X122" s="22">
        <f t="shared" si="60"/>
        <v>25.5</v>
      </c>
      <c r="Y122" s="22">
        <f t="shared" si="60"/>
        <v>25.5</v>
      </c>
      <c r="Z122" s="22">
        <f t="shared" si="60"/>
        <v>25.5</v>
      </c>
      <c r="AA122" s="22">
        <f t="shared" si="60"/>
        <v>25.5</v>
      </c>
      <c r="AB122" s="22">
        <f t="shared" si="60"/>
        <v>25.5</v>
      </c>
      <c r="AC122" s="22">
        <f t="shared" si="60"/>
        <v>25.5</v>
      </c>
      <c r="AD122" s="22">
        <f t="shared" si="60"/>
        <v>25.5</v>
      </c>
    </row>
    <row r="123" spans="1:33" x14ac:dyDescent="0.2">
      <c r="A123" s="224"/>
      <c r="B123"/>
      <c r="D123" s="347" t="str">
        <f t="shared" si="58"/>
        <v>Bulk carrier - Medium - Base CAPEX</v>
      </c>
      <c r="J123" t="s">
        <v>541</v>
      </c>
      <c r="K123" t="s">
        <v>107</v>
      </c>
      <c r="N123" t="s">
        <v>273</v>
      </c>
      <c r="O123" t="s">
        <v>511</v>
      </c>
      <c r="Q123" s="224" t="s">
        <v>544</v>
      </c>
      <c r="R123" s="364">
        <v>30</v>
      </c>
      <c r="S123" s="22">
        <f t="shared" ref="S123:AD123" si="61">R123</f>
        <v>30</v>
      </c>
      <c r="T123" s="22">
        <f t="shared" si="61"/>
        <v>30</v>
      </c>
      <c r="U123" s="22">
        <f t="shared" si="61"/>
        <v>30</v>
      </c>
      <c r="V123" s="22">
        <f t="shared" si="61"/>
        <v>30</v>
      </c>
      <c r="W123" s="22">
        <f t="shared" si="61"/>
        <v>30</v>
      </c>
      <c r="X123" s="22">
        <f t="shared" si="61"/>
        <v>30</v>
      </c>
      <c r="Y123" s="22">
        <f t="shared" si="61"/>
        <v>30</v>
      </c>
      <c r="Z123" s="22">
        <f t="shared" si="61"/>
        <v>30</v>
      </c>
      <c r="AA123" s="22">
        <f t="shared" si="61"/>
        <v>30</v>
      </c>
      <c r="AB123" s="22">
        <f t="shared" si="61"/>
        <v>30</v>
      </c>
      <c r="AC123" s="22">
        <f t="shared" si="61"/>
        <v>30</v>
      </c>
      <c r="AD123" s="22">
        <f t="shared" si="61"/>
        <v>30</v>
      </c>
    </row>
    <row r="124" spans="1:33" x14ac:dyDescent="0.2">
      <c r="A124" s="224"/>
      <c r="B124"/>
      <c r="D124" s="347" t="str">
        <f t="shared" si="58"/>
        <v>Bulk carrier - Small - Base CAPEX</v>
      </c>
      <c r="J124" t="s">
        <v>541</v>
      </c>
      <c r="K124" t="s">
        <v>546</v>
      </c>
      <c r="N124" t="s">
        <v>273</v>
      </c>
      <c r="O124" t="s">
        <v>543</v>
      </c>
      <c r="Q124" s="224" t="s">
        <v>544</v>
      </c>
      <c r="R124" s="364">
        <v>17.600000000000001</v>
      </c>
      <c r="S124" s="22">
        <f t="shared" ref="S124:AD124" si="62">R124</f>
        <v>17.600000000000001</v>
      </c>
      <c r="T124" s="22">
        <f t="shared" si="62"/>
        <v>17.600000000000001</v>
      </c>
      <c r="U124" s="22">
        <f t="shared" si="62"/>
        <v>17.600000000000001</v>
      </c>
      <c r="V124" s="22">
        <f t="shared" si="62"/>
        <v>17.600000000000001</v>
      </c>
      <c r="W124" s="22">
        <f t="shared" si="62"/>
        <v>17.600000000000001</v>
      </c>
      <c r="X124" s="22">
        <f t="shared" si="62"/>
        <v>17.600000000000001</v>
      </c>
      <c r="Y124" s="22">
        <f t="shared" si="62"/>
        <v>17.600000000000001</v>
      </c>
      <c r="Z124" s="22">
        <f t="shared" si="62"/>
        <v>17.600000000000001</v>
      </c>
      <c r="AA124" s="22">
        <f t="shared" si="62"/>
        <v>17.600000000000001</v>
      </c>
      <c r="AB124" s="22">
        <f t="shared" si="62"/>
        <v>17.600000000000001</v>
      </c>
      <c r="AC124" s="22">
        <f t="shared" si="62"/>
        <v>17.600000000000001</v>
      </c>
      <c r="AD124" s="22">
        <f t="shared" si="62"/>
        <v>17.600000000000001</v>
      </c>
    </row>
    <row r="125" spans="1:33" x14ac:dyDescent="0.2">
      <c r="A125" s="224"/>
      <c r="B125"/>
      <c r="D125" s="347" t="str">
        <f t="shared" si="58"/>
        <v>Container - Very Large - Base CAPEX</v>
      </c>
      <c r="J125" t="s">
        <v>105</v>
      </c>
      <c r="K125" t="s">
        <v>542</v>
      </c>
      <c r="N125" t="s">
        <v>273</v>
      </c>
      <c r="O125" t="s">
        <v>543</v>
      </c>
      <c r="Q125" s="224" t="s">
        <v>544</v>
      </c>
      <c r="R125" s="364">
        <v>120</v>
      </c>
      <c r="S125" s="22">
        <f t="shared" ref="S125:AD125" si="63">R125</f>
        <v>120</v>
      </c>
      <c r="T125" s="22">
        <f t="shared" si="63"/>
        <v>120</v>
      </c>
      <c r="U125" s="22">
        <f t="shared" si="63"/>
        <v>120</v>
      </c>
      <c r="V125" s="22">
        <f t="shared" si="63"/>
        <v>120</v>
      </c>
      <c r="W125" s="22">
        <f t="shared" si="63"/>
        <v>120</v>
      </c>
      <c r="X125" s="22">
        <f t="shared" si="63"/>
        <v>120</v>
      </c>
      <c r="Y125" s="22">
        <f t="shared" si="63"/>
        <v>120</v>
      </c>
      <c r="Z125" s="22">
        <f t="shared" si="63"/>
        <v>120</v>
      </c>
      <c r="AA125" s="22">
        <f t="shared" si="63"/>
        <v>120</v>
      </c>
      <c r="AB125" s="22">
        <f t="shared" si="63"/>
        <v>120</v>
      </c>
      <c r="AC125" s="22">
        <f t="shared" si="63"/>
        <v>120</v>
      </c>
      <c r="AD125" s="22">
        <f t="shared" si="63"/>
        <v>120</v>
      </c>
    </row>
    <row r="126" spans="1:33" x14ac:dyDescent="0.2">
      <c r="A126" s="224"/>
      <c r="B126"/>
      <c r="D126" s="347" t="str">
        <f t="shared" si="58"/>
        <v>Container - Large - Base CAPEX</v>
      </c>
      <c r="J126" t="s">
        <v>105</v>
      </c>
      <c r="K126" t="s">
        <v>545</v>
      </c>
      <c r="N126" t="s">
        <v>273</v>
      </c>
      <c r="O126" t="s">
        <v>543</v>
      </c>
      <c r="Q126" s="224" t="s">
        <v>544</v>
      </c>
      <c r="R126" s="364">
        <v>100</v>
      </c>
      <c r="S126" s="22">
        <f t="shared" ref="S126:AD126" si="64">R126</f>
        <v>100</v>
      </c>
      <c r="T126" s="22">
        <f t="shared" si="64"/>
        <v>100</v>
      </c>
      <c r="U126" s="22">
        <f t="shared" si="64"/>
        <v>100</v>
      </c>
      <c r="V126" s="22">
        <f t="shared" si="64"/>
        <v>100</v>
      </c>
      <c r="W126" s="22">
        <f t="shared" si="64"/>
        <v>100</v>
      </c>
      <c r="X126" s="22">
        <f t="shared" si="64"/>
        <v>100</v>
      </c>
      <c r="Y126" s="22">
        <f t="shared" si="64"/>
        <v>100</v>
      </c>
      <c r="Z126" s="22">
        <f t="shared" si="64"/>
        <v>100</v>
      </c>
      <c r="AA126" s="22">
        <f t="shared" si="64"/>
        <v>100</v>
      </c>
      <c r="AB126" s="22">
        <f t="shared" si="64"/>
        <v>100</v>
      </c>
      <c r="AC126" s="22">
        <f t="shared" si="64"/>
        <v>100</v>
      </c>
      <c r="AD126" s="22">
        <f t="shared" si="64"/>
        <v>100</v>
      </c>
    </row>
    <row r="127" spans="1:33" x14ac:dyDescent="0.2">
      <c r="A127" s="224"/>
      <c r="B127"/>
      <c r="D127" s="347" t="str">
        <f t="shared" si="58"/>
        <v>Container - Medium - Base CAPEX</v>
      </c>
      <c r="J127" t="s">
        <v>105</v>
      </c>
      <c r="K127" t="s">
        <v>107</v>
      </c>
      <c r="N127" t="s">
        <v>273</v>
      </c>
      <c r="O127" t="s">
        <v>511</v>
      </c>
      <c r="Q127" s="224" t="s">
        <v>544</v>
      </c>
      <c r="R127" s="364">
        <v>85</v>
      </c>
      <c r="S127" s="22">
        <f t="shared" ref="S127:AD127" si="65">R127</f>
        <v>85</v>
      </c>
      <c r="T127" s="22">
        <f t="shared" si="65"/>
        <v>85</v>
      </c>
      <c r="U127" s="22">
        <f t="shared" si="65"/>
        <v>85</v>
      </c>
      <c r="V127" s="22">
        <f t="shared" si="65"/>
        <v>85</v>
      </c>
      <c r="W127" s="22">
        <f t="shared" si="65"/>
        <v>85</v>
      </c>
      <c r="X127" s="22">
        <f t="shared" si="65"/>
        <v>85</v>
      </c>
      <c r="Y127" s="22">
        <f t="shared" si="65"/>
        <v>85</v>
      </c>
      <c r="Z127" s="22">
        <f t="shared" si="65"/>
        <v>85</v>
      </c>
      <c r="AA127" s="22">
        <f t="shared" si="65"/>
        <v>85</v>
      </c>
      <c r="AB127" s="22">
        <f t="shared" si="65"/>
        <v>85</v>
      </c>
      <c r="AC127" s="22">
        <f t="shared" si="65"/>
        <v>85</v>
      </c>
      <c r="AD127" s="22">
        <f t="shared" si="65"/>
        <v>85</v>
      </c>
    </row>
    <row r="128" spans="1:33" x14ac:dyDescent="0.2">
      <c r="A128" s="224"/>
      <c r="B128"/>
      <c r="D128" s="347" t="str">
        <f t="shared" si="58"/>
        <v>Container - Small - Base CAPEX</v>
      </c>
      <c r="J128" t="s">
        <v>105</v>
      </c>
      <c r="K128" t="s">
        <v>546</v>
      </c>
      <c r="N128" t="s">
        <v>273</v>
      </c>
      <c r="O128" t="s">
        <v>543</v>
      </c>
      <c r="Q128" s="224" t="s">
        <v>544</v>
      </c>
      <c r="R128" s="364">
        <v>10.199999999999999</v>
      </c>
      <c r="S128" s="22">
        <f t="shared" ref="S128:AD128" si="66">R128</f>
        <v>10.199999999999999</v>
      </c>
      <c r="T128" s="22">
        <f t="shared" si="66"/>
        <v>10.199999999999999</v>
      </c>
      <c r="U128" s="22">
        <f t="shared" si="66"/>
        <v>10.199999999999999</v>
      </c>
      <c r="V128" s="22">
        <f t="shared" si="66"/>
        <v>10.199999999999999</v>
      </c>
      <c r="W128" s="22">
        <f t="shared" si="66"/>
        <v>10.199999999999999</v>
      </c>
      <c r="X128" s="22">
        <f t="shared" si="66"/>
        <v>10.199999999999999</v>
      </c>
      <c r="Y128" s="22">
        <f t="shared" si="66"/>
        <v>10.199999999999999</v>
      </c>
      <c r="Z128" s="22">
        <f t="shared" si="66"/>
        <v>10.199999999999999</v>
      </c>
      <c r="AA128" s="22">
        <f t="shared" si="66"/>
        <v>10.199999999999999</v>
      </c>
      <c r="AB128" s="22">
        <f t="shared" si="66"/>
        <v>10.199999999999999</v>
      </c>
      <c r="AC128" s="22">
        <f t="shared" si="66"/>
        <v>10.199999999999999</v>
      </c>
      <c r="AD128" s="22">
        <f t="shared" si="66"/>
        <v>10.199999999999999</v>
      </c>
    </row>
    <row r="129" spans="1:30" x14ac:dyDescent="0.2">
      <c r="A129" s="224"/>
      <c r="B129"/>
      <c r="D129" s="347" t="str">
        <f t="shared" si="58"/>
        <v>Tanker - Very Large - Base CAPEX</v>
      </c>
      <c r="J129" t="s">
        <v>547</v>
      </c>
      <c r="K129" t="s">
        <v>542</v>
      </c>
      <c r="N129" t="s">
        <v>273</v>
      </c>
      <c r="O129" t="s">
        <v>543</v>
      </c>
      <c r="Q129" s="224" t="s">
        <v>544</v>
      </c>
      <c r="R129" s="364">
        <v>68.3</v>
      </c>
      <c r="S129" s="22">
        <f t="shared" ref="S129:AD129" si="67">R129</f>
        <v>68.3</v>
      </c>
      <c r="T129" s="22">
        <f t="shared" si="67"/>
        <v>68.3</v>
      </c>
      <c r="U129" s="22">
        <f t="shared" si="67"/>
        <v>68.3</v>
      </c>
      <c r="V129" s="22">
        <f t="shared" si="67"/>
        <v>68.3</v>
      </c>
      <c r="W129" s="22">
        <f t="shared" si="67"/>
        <v>68.3</v>
      </c>
      <c r="X129" s="22">
        <f t="shared" si="67"/>
        <v>68.3</v>
      </c>
      <c r="Y129" s="22">
        <f t="shared" si="67"/>
        <v>68.3</v>
      </c>
      <c r="Z129" s="22">
        <f t="shared" si="67"/>
        <v>68.3</v>
      </c>
      <c r="AA129" s="22">
        <f t="shared" si="67"/>
        <v>68.3</v>
      </c>
      <c r="AB129" s="22">
        <f t="shared" si="67"/>
        <v>68.3</v>
      </c>
      <c r="AC129" s="22">
        <f t="shared" si="67"/>
        <v>68.3</v>
      </c>
      <c r="AD129" s="22">
        <f t="shared" si="67"/>
        <v>68.3</v>
      </c>
    </row>
    <row r="130" spans="1:30" x14ac:dyDescent="0.2">
      <c r="A130" s="224"/>
      <c r="B130"/>
      <c r="D130" s="347" t="str">
        <f t="shared" si="58"/>
        <v>Tanker - Large - Base CAPEX</v>
      </c>
      <c r="J130" t="s">
        <v>547</v>
      </c>
      <c r="K130" t="s">
        <v>545</v>
      </c>
      <c r="N130" t="s">
        <v>273</v>
      </c>
      <c r="O130" t="s">
        <v>543</v>
      </c>
      <c r="Q130" s="224" t="s">
        <v>544</v>
      </c>
      <c r="R130" s="364">
        <v>43.999999999999993</v>
      </c>
      <c r="S130" s="22">
        <f t="shared" ref="S130:AD130" si="68">R130</f>
        <v>43.999999999999993</v>
      </c>
      <c r="T130" s="22">
        <f t="shared" si="68"/>
        <v>43.999999999999993</v>
      </c>
      <c r="U130" s="22">
        <f t="shared" si="68"/>
        <v>43.999999999999993</v>
      </c>
      <c r="V130" s="22">
        <f t="shared" si="68"/>
        <v>43.999999999999993</v>
      </c>
      <c r="W130" s="22">
        <f t="shared" si="68"/>
        <v>43.999999999999993</v>
      </c>
      <c r="X130" s="22">
        <f t="shared" si="68"/>
        <v>43.999999999999993</v>
      </c>
      <c r="Y130" s="22">
        <f t="shared" si="68"/>
        <v>43.999999999999993</v>
      </c>
      <c r="Z130" s="22">
        <f t="shared" si="68"/>
        <v>43.999999999999993</v>
      </c>
      <c r="AA130" s="22">
        <f t="shared" si="68"/>
        <v>43.999999999999993</v>
      </c>
      <c r="AB130" s="22">
        <f t="shared" si="68"/>
        <v>43.999999999999993</v>
      </c>
      <c r="AC130" s="22">
        <f t="shared" si="68"/>
        <v>43.999999999999993</v>
      </c>
      <c r="AD130" s="22">
        <f t="shared" si="68"/>
        <v>43.999999999999993</v>
      </c>
    </row>
    <row r="131" spans="1:30" x14ac:dyDescent="0.2">
      <c r="A131" s="224"/>
      <c r="B131"/>
      <c r="D131" s="347" t="str">
        <f t="shared" si="58"/>
        <v>Tanker - Medium - Base CAPEX</v>
      </c>
      <c r="J131" t="s">
        <v>547</v>
      </c>
      <c r="K131" t="s">
        <v>107</v>
      </c>
      <c r="N131" t="s">
        <v>273</v>
      </c>
      <c r="O131" t="s">
        <v>511</v>
      </c>
      <c r="Q131" s="224" t="s">
        <v>544</v>
      </c>
      <c r="R131" s="364">
        <v>50</v>
      </c>
      <c r="S131" s="22">
        <f t="shared" ref="S131:AD131" si="69">R131</f>
        <v>50</v>
      </c>
      <c r="T131" s="22">
        <f t="shared" si="69"/>
        <v>50</v>
      </c>
      <c r="U131" s="22">
        <f t="shared" si="69"/>
        <v>50</v>
      </c>
      <c r="V131" s="22">
        <f t="shared" si="69"/>
        <v>50</v>
      </c>
      <c r="W131" s="22">
        <f t="shared" si="69"/>
        <v>50</v>
      </c>
      <c r="X131" s="22">
        <f t="shared" si="69"/>
        <v>50</v>
      </c>
      <c r="Y131" s="22">
        <f t="shared" si="69"/>
        <v>50</v>
      </c>
      <c r="Z131" s="22">
        <f t="shared" si="69"/>
        <v>50</v>
      </c>
      <c r="AA131" s="22">
        <f t="shared" si="69"/>
        <v>50</v>
      </c>
      <c r="AB131" s="22">
        <f t="shared" si="69"/>
        <v>50</v>
      </c>
      <c r="AC131" s="22">
        <f t="shared" si="69"/>
        <v>50</v>
      </c>
      <c r="AD131" s="22">
        <f t="shared" si="69"/>
        <v>50</v>
      </c>
    </row>
    <row r="132" spans="1:30" x14ac:dyDescent="0.2">
      <c r="A132" s="224"/>
      <c r="B132"/>
      <c r="D132" s="347" t="str">
        <f t="shared" si="58"/>
        <v>Tanker - Small - Base CAPEX</v>
      </c>
      <c r="J132" t="s">
        <v>547</v>
      </c>
      <c r="K132" t="s">
        <v>546</v>
      </c>
      <c r="N132" t="s">
        <v>273</v>
      </c>
      <c r="O132" t="s">
        <v>543</v>
      </c>
      <c r="Q132" s="224" t="s">
        <v>544</v>
      </c>
      <c r="R132" s="364">
        <v>25.8</v>
      </c>
      <c r="S132" s="22">
        <f t="shared" ref="S132:AD132" si="70">R132</f>
        <v>25.8</v>
      </c>
      <c r="T132" s="22">
        <f t="shared" si="70"/>
        <v>25.8</v>
      </c>
      <c r="U132" s="22">
        <f t="shared" si="70"/>
        <v>25.8</v>
      </c>
      <c r="V132" s="22">
        <f t="shared" si="70"/>
        <v>25.8</v>
      </c>
      <c r="W132" s="22">
        <f t="shared" si="70"/>
        <v>25.8</v>
      </c>
      <c r="X132" s="22">
        <f t="shared" si="70"/>
        <v>25.8</v>
      </c>
      <c r="Y132" s="22">
        <f t="shared" si="70"/>
        <v>25.8</v>
      </c>
      <c r="Z132" s="22">
        <f t="shared" si="70"/>
        <v>25.8</v>
      </c>
      <c r="AA132" s="22">
        <f t="shared" si="70"/>
        <v>25.8</v>
      </c>
      <c r="AB132" s="22">
        <f t="shared" si="70"/>
        <v>25.8</v>
      </c>
      <c r="AC132" s="22">
        <f t="shared" si="70"/>
        <v>25.8</v>
      </c>
      <c r="AD132" s="22">
        <f t="shared" si="70"/>
        <v>25.8</v>
      </c>
    </row>
    <row r="133" spans="1:30" x14ac:dyDescent="0.2">
      <c r="A133" s="224"/>
      <c r="B133"/>
      <c r="D133" s="347" t="str">
        <f t="shared" si="58"/>
        <v>Gas Carrier - Very Large - Base CAPEX</v>
      </c>
      <c r="J133" t="s">
        <v>548</v>
      </c>
      <c r="K133" t="s">
        <v>542</v>
      </c>
      <c r="N133" t="s">
        <v>273</v>
      </c>
      <c r="O133" t="s">
        <v>543</v>
      </c>
      <c r="Q133" s="224" t="s">
        <v>544</v>
      </c>
      <c r="R133" s="364">
        <v>148.19999999999999</v>
      </c>
      <c r="S133" s="22">
        <f t="shared" ref="S133:AD133" si="71">R133</f>
        <v>148.19999999999999</v>
      </c>
      <c r="T133" s="22">
        <f t="shared" si="71"/>
        <v>148.19999999999999</v>
      </c>
      <c r="U133" s="22">
        <f t="shared" si="71"/>
        <v>148.19999999999999</v>
      </c>
      <c r="V133" s="22">
        <f t="shared" si="71"/>
        <v>148.19999999999999</v>
      </c>
      <c r="W133" s="22">
        <f t="shared" si="71"/>
        <v>148.19999999999999</v>
      </c>
      <c r="X133" s="22">
        <f t="shared" si="71"/>
        <v>148.19999999999999</v>
      </c>
      <c r="Y133" s="22">
        <f t="shared" si="71"/>
        <v>148.19999999999999</v>
      </c>
      <c r="Z133" s="22">
        <f t="shared" si="71"/>
        <v>148.19999999999999</v>
      </c>
      <c r="AA133" s="22">
        <f t="shared" si="71"/>
        <v>148.19999999999999</v>
      </c>
      <c r="AB133" s="22">
        <f t="shared" si="71"/>
        <v>148.19999999999999</v>
      </c>
      <c r="AC133" s="22">
        <f t="shared" si="71"/>
        <v>148.19999999999999</v>
      </c>
      <c r="AD133" s="22">
        <f t="shared" si="71"/>
        <v>148.19999999999999</v>
      </c>
    </row>
    <row r="134" spans="1:30" x14ac:dyDescent="0.2">
      <c r="A134" s="224"/>
      <c r="B134"/>
      <c r="D134" s="347" t="str">
        <f t="shared" si="58"/>
        <v>Gas Carrier - Large - Base CAPEX</v>
      </c>
      <c r="J134" t="s">
        <v>548</v>
      </c>
      <c r="K134" t="s">
        <v>545</v>
      </c>
      <c r="N134" t="s">
        <v>273</v>
      </c>
      <c r="O134" t="s">
        <v>543</v>
      </c>
      <c r="Q134" s="224" t="s">
        <v>544</v>
      </c>
      <c r="R134" s="364">
        <v>134</v>
      </c>
      <c r="S134" s="22">
        <f t="shared" ref="S134:AD134" si="72">R134</f>
        <v>134</v>
      </c>
      <c r="T134" s="22">
        <f t="shared" si="72"/>
        <v>134</v>
      </c>
      <c r="U134" s="22">
        <f t="shared" si="72"/>
        <v>134</v>
      </c>
      <c r="V134" s="22">
        <f t="shared" si="72"/>
        <v>134</v>
      </c>
      <c r="W134" s="22">
        <f t="shared" si="72"/>
        <v>134</v>
      </c>
      <c r="X134" s="22">
        <f t="shared" si="72"/>
        <v>134</v>
      </c>
      <c r="Y134" s="22">
        <f t="shared" si="72"/>
        <v>134</v>
      </c>
      <c r="Z134" s="22">
        <f t="shared" si="72"/>
        <v>134</v>
      </c>
      <c r="AA134" s="22">
        <f t="shared" si="72"/>
        <v>134</v>
      </c>
      <c r="AB134" s="22">
        <f t="shared" si="72"/>
        <v>134</v>
      </c>
      <c r="AC134" s="22">
        <f t="shared" si="72"/>
        <v>134</v>
      </c>
      <c r="AD134" s="22">
        <f t="shared" si="72"/>
        <v>134</v>
      </c>
    </row>
    <row r="135" spans="1:30" x14ac:dyDescent="0.2">
      <c r="A135" s="224"/>
      <c r="B135"/>
      <c r="D135" s="347" t="str">
        <f t="shared" si="58"/>
        <v>Gas Carrier - Medium - Base CAPEX</v>
      </c>
      <c r="J135" t="s">
        <v>548</v>
      </c>
      <c r="K135" t="s">
        <v>107</v>
      </c>
      <c r="N135" t="s">
        <v>273</v>
      </c>
      <c r="O135" t="s">
        <v>543</v>
      </c>
      <c r="Q135" s="224" t="s">
        <v>544</v>
      </c>
      <c r="R135" s="364">
        <v>129</v>
      </c>
      <c r="S135" s="22">
        <f t="shared" ref="S135:AD135" si="73">R135</f>
        <v>129</v>
      </c>
      <c r="T135" s="22">
        <f t="shared" si="73"/>
        <v>129</v>
      </c>
      <c r="U135" s="22">
        <f t="shared" si="73"/>
        <v>129</v>
      </c>
      <c r="V135" s="22">
        <f t="shared" si="73"/>
        <v>129</v>
      </c>
      <c r="W135" s="22">
        <f t="shared" si="73"/>
        <v>129</v>
      </c>
      <c r="X135" s="22">
        <f t="shared" si="73"/>
        <v>129</v>
      </c>
      <c r="Y135" s="22">
        <f t="shared" si="73"/>
        <v>129</v>
      </c>
      <c r="Z135" s="22">
        <f t="shared" si="73"/>
        <v>129</v>
      </c>
      <c r="AA135" s="22">
        <f t="shared" si="73"/>
        <v>129</v>
      </c>
      <c r="AB135" s="22">
        <f t="shared" si="73"/>
        <v>129</v>
      </c>
      <c r="AC135" s="22">
        <f t="shared" si="73"/>
        <v>129</v>
      </c>
      <c r="AD135" s="22">
        <f t="shared" si="73"/>
        <v>129</v>
      </c>
    </row>
    <row r="136" spans="1:30" x14ac:dyDescent="0.2">
      <c r="A136" s="224"/>
      <c r="B136"/>
      <c r="D136" s="347" t="str">
        <f t="shared" si="58"/>
        <v>Gas Carrier - Small - Base CAPEX</v>
      </c>
      <c r="J136" t="s">
        <v>548</v>
      </c>
      <c r="K136" t="s">
        <v>546</v>
      </c>
      <c r="N136" t="s">
        <v>273</v>
      </c>
      <c r="O136" t="s">
        <v>543</v>
      </c>
      <c r="Q136" s="224" t="s">
        <v>544</v>
      </c>
      <c r="R136" s="364">
        <v>105</v>
      </c>
      <c r="S136" s="22">
        <f t="shared" ref="S136:AD136" si="74">R136</f>
        <v>105</v>
      </c>
      <c r="T136" s="22">
        <f t="shared" si="74"/>
        <v>105</v>
      </c>
      <c r="U136" s="22">
        <f t="shared" si="74"/>
        <v>105</v>
      </c>
      <c r="V136" s="22">
        <f t="shared" si="74"/>
        <v>105</v>
      </c>
      <c r="W136" s="22">
        <f t="shared" si="74"/>
        <v>105</v>
      </c>
      <c r="X136" s="22">
        <f t="shared" si="74"/>
        <v>105</v>
      </c>
      <c r="Y136" s="22">
        <f t="shared" si="74"/>
        <v>105</v>
      </c>
      <c r="Z136" s="22">
        <f t="shared" si="74"/>
        <v>105</v>
      </c>
      <c r="AA136" s="22">
        <f t="shared" si="74"/>
        <v>105</v>
      </c>
      <c r="AB136" s="22">
        <f t="shared" si="74"/>
        <v>105</v>
      </c>
      <c r="AC136" s="22">
        <f t="shared" si="74"/>
        <v>105</v>
      </c>
      <c r="AD136" s="22">
        <f t="shared" si="74"/>
        <v>105</v>
      </c>
    </row>
    <row r="137" spans="1:30" x14ac:dyDescent="0.2">
      <c r="A137" s="224"/>
      <c r="B137"/>
      <c r="C137"/>
      <c r="D137" s="347" t="str">
        <f t="shared" si="58"/>
        <v>Gen Cargo - Large - Base CAPEX</v>
      </c>
      <c r="J137" t="s">
        <v>549</v>
      </c>
      <c r="K137" t="s">
        <v>545</v>
      </c>
      <c r="N137" t="s">
        <v>273</v>
      </c>
      <c r="O137" t="s">
        <v>543</v>
      </c>
      <c r="Q137" s="224" t="s">
        <v>544</v>
      </c>
      <c r="R137" s="364">
        <v>20</v>
      </c>
      <c r="S137" s="22">
        <f t="shared" ref="S137:AD137" si="75">R137</f>
        <v>20</v>
      </c>
      <c r="T137" s="22">
        <f t="shared" si="75"/>
        <v>20</v>
      </c>
      <c r="U137" s="22">
        <f t="shared" si="75"/>
        <v>20</v>
      </c>
      <c r="V137" s="22">
        <f t="shared" si="75"/>
        <v>20</v>
      </c>
      <c r="W137" s="22">
        <f t="shared" si="75"/>
        <v>20</v>
      </c>
      <c r="X137" s="22">
        <f t="shared" si="75"/>
        <v>20</v>
      </c>
      <c r="Y137" s="22">
        <f t="shared" si="75"/>
        <v>20</v>
      </c>
      <c r="Z137" s="22">
        <f t="shared" si="75"/>
        <v>20</v>
      </c>
      <c r="AA137" s="22">
        <f t="shared" si="75"/>
        <v>20</v>
      </c>
      <c r="AB137" s="22">
        <f t="shared" si="75"/>
        <v>20</v>
      </c>
      <c r="AC137" s="22">
        <f t="shared" si="75"/>
        <v>20</v>
      </c>
      <c r="AD137" s="22">
        <f t="shared" si="75"/>
        <v>20</v>
      </c>
    </row>
    <row r="138" spans="1:30" x14ac:dyDescent="0.2">
      <c r="A138" s="224"/>
      <c r="B138"/>
      <c r="C138"/>
      <c r="D138" s="347" t="str">
        <f t="shared" si="58"/>
        <v>Gen Cargo - Medium - Base CAPEX</v>
      </c>
      <c r="J138" t="s">
        <v>549</v>
      </c>
      <c r="K138" t="s">
        <v>107</v>
      </c>
      <c r="N138" t="s">
        <v>273</v>
      </c>
      <c r="O138" t="s">
        <v>543</v>
      </c>
      <c r="Q138" s="224" t="s">
        <v>544</v>
      </c>
      <c r="R138" s="364">
        <v>16</v>
      </c>
      <c r="S138" s="22">
        <f t="shared" ref="S138:AD138" si="76">R138</f>
        <v>16</v>
      </c>
      <c r="T138" s="22">
        <f t="shared" si="76"/>
        <v>16</v>
      </c>
      <c r="U138" s="22">
        <f t="shared" si="76"/>
        <v>16</v>
      </c>
      <c r="V138" s="22">
        <f t="shared" si="76"/>
        <v>16</v>
      </c>
      <c r="W138" s="22">
        <f t="shared" si="76"/>
        <v>16</v>
      </c>
      <c r="X138" s="22">
        <f t="shared" si="76"/>
        <v>16</v>
      </c>
      <c r="Y138" s="22">
        <f t="shared" si="76"/>
        <v>16</v>
      </c>
      <c r="Z138" s="22">
        <f t="shared" si="76"/>
        <v>16</v>
      </c>
      <c r="AA138" s="22">
        <f t="shared" si="76"/>
        <v>16</v>
      </c>
      <c r="AB138" s="22">
        <f t="shared" si="76"/>
        <v>16</v>
      </c>
      <c r="AC138" s="22">
        <f t="shared" si="76"/>
        <v>16</v>
      </c>
      <c r="AD138" s="22">
        <f t="shared" si="76"/>
        <v>16</v>
      </c>
    </row>
    <row r="139" spans="1:30" x14ac:dyDescent="0.2">
      <c r="A139" s="224"/>
      <c r="B139"/>
      <c r="C139"/>
      <c r="D139" s="347" t="str">
        <f t="shared" si="58"/>
        <v>Gen Cargo - Small - Base CAPEX</v>
      </c>
      <c r="J139" t="s">
        <v>549</v>
      </c>
      <c r="K139" t="s">
        <v>546</v>
      </c>
      <c r="N139" t="s">
        <v>273</v>
      </c>
      <c r="O139" t="s">
        <v>543</v>
      </c>
      <c r="Q139" s="224" t="s">
        <v>544</v>
      </c>
      <c r="R139" s="364">
        <v>3.8</v>
      </c>
      <c r="S139" s="22">
        <f t="shared" ref="S139:AD139" si="77">R139</f>
        <v>3.8</v>
      </c>
      <c r="T139" s="22">
        <f t="shared" si="77"/>
        <v>3.8</v>
      </c>
      <c r="U139" s="22">
        <f t="shared" si="77"/>
        <v>3.8</v>
      </c>
      <c r="V139" s="22">
        <f t="shared" si="77"/>
        <v>3.8</v>
      </c>
      <c r="W139" s="22">
        <f t="shared" si="77"/>
        <v>3.8</v>
      </c>
      <c r="X139" s="22">
        <f t="shared" si="77"/>
        <v>3.8</v>
      </c>
      <c r="Y139" s="22">
        <f t="shared" si="77"/>
        <v>3.8</v>
      </c>
      <c r="Z139" s="22">
        <f t="shared" si="77"/>
        <v>3.8</v>
      </c>
      <c r="AA139" s="22">
        <f t="shared" si="77"/>
        <v>3.8</v>
      </c>
      <c r="AB139" s="22">
        <f t="shared" si="77"/>
        <v>3.8</v>
      </c>
      <c r="AC139" s="22">
        <f t="shared" si="77"/>
        <v>3.8</v>
      </c>
      <c r="AD139" s="22">
        <f t="shared" si="77"/>
        <v>3.8</v>
      </c>
    </row>
    <row r="140" spans="1:30" x14ac:dyDescent="0.2">
      <c r="A140" s="224"/>
      <c r="B140"/>
      <c r="C140"/>
      <c r="D140" s="347" t="str">
        <f t="shared" si="58"/>
        <v>Offshore - Large - Base CAPEX</v>
      </c>
      <c r="J140" t="s">
        <v>550</v>
      </c>
      <c r="K140" t="s">
        <v>545</v>
      </c>
      <c r="N140" t="s">
        <v>273</v>
      </c>
      <c r="O140" t="s">
        <v>543</v>
      </c>
      <c r="Q140" s="224" t="s">
        <v>544</v>
      </c>
      <c r="R140" s="364">
        <v>150</v>
      </c>
      <c r="S140" s="22">
        <f t="shared" ref="S140:AD140" si="78">R140</f>
        <v>150</v>
      </c>
      <c r="T140" s="22">
        <f t="shared" si="78"/>
        <v>150</v>
      </c>
      <c r="U140" s="22">
        <f t="shared" si="78"/>
        <v>150</v>
      </c>
      <c r="V140" s="22">
        <f t="shared" si="78"/>
        <v>150</v>
      </c>
      <c r="W140" s="22">
        <f t="shared" si="78"/>
        <v>150</v>
      </c>
      <c r="X140" s="22">
        <f t="shared" si="78"/>
        <v>150</v>
      </c>
      <c r="Y140" s="22">
        <f t="shared" si="78"/>
        <v>150</v>
      </c>
      <c r="Z140" s="22">
        <f t="shared" si="78"/>
        <v>150</v>
      </c>
      <c r="AA140" s="22">
        <f t="shared" si="78"/>
        <v>150</v>
      </c>
      <c r="AB140" s="22">
        <f t="shared" si="78"/>
        <v>150</v>
      </c>
      <c r="AC140" s="22">
        <f t="shared" si="78"/>
        <v>150</v>
      </c>
      <c r="AD140" s="22">
        <f t="shared" si="78"/>
        <v>150</v>
      </c>
    </row>
    <row r="141" spans="1:30" x14ac:dyDescent="0.2">
      <c r="A141" s="224"/>
      <c r="B141"/>
      <c r="C141"/>
      <c r="D141" s="347" t="str">
        <f t="shared" si="58"/>
        <v>Offshore - Medium - Base CAPEX</v>
      </c>
      <c r="J141" t="s">
        <v>550</v>
      </c>
      <c r="K141" t="s">
        <v>107</v>
      </c>
      <c r="N141" t="s">
        <v>273</v>
      </c>
      <c r="O141" t="s">
        <v>543</v>
      </c>
      <c r="Q141" s="224" t="s">
        <v>544</v>
      </c>
      <c r="R141" s="364">
        <v>100</v>
      </c>
      <c r="S141" s="22">
        <f t="shared" ref="S141:AD141" si="79">R141</f>
        <v>100</v>
      </c>
      <c r="T141" s="22">
        <f t="shared" si="79"/>
        <v>100</v>
      </c>
      <c r="U141" s="22">
        <f t="shared" si="79"/>
        <v>100</v>
      </c>
      <c r="V141" s="22">
        <f t="shared" si="79"/>
        <v>100</v>
      </c>
      <c r="W141" s="22">
        <f t="shared" si="79"/>
        <v>100</v>
      </c>
      <c r="X141" s="22">
        <f t="shared" si="79"/>
        <v>100</v>
      </c>
      <c r="Y141" s="22">
        <f t="shared" si="79"/>
        <v>100</v>
      </c>
      <c r="Z141" s="22">
        <f t="shared" si="79"/>
        <v>100</v>
      </c>
      <c r="AA141" s="22">
        <f t="shared" si="79"/>
        <v>100</v>
      </c>
      <c r="AB141" s="22">
        <f t="shared" si="79"/>
        <v>100</v>
      </c>
      <c r="AC141" s="22">
        <f t="shared" si="79"/>
        <v>100</v>
      </c>
      <c r="AD141" s="22">
        <f t="shared" si="79"/>
        <v>100</v>
      </c>
    </row>
    <row r="142" spans="1:30" x14ac:dyDescent="0.2">
      <c r="A142" s="224"/>
      <c r="B142"/>
      <c r="C142"/>
      <c r="D142" s="347" t="str">
        <f t="shared" si="58"/>
        <v>Offshore - Small - Base CAPEX</v>
      </c>
      <c r="J142" t="s">
        <v>550</v>
      </c>
      <c r="K142" t="s">
        <v>546</v>
      </c>
      <c r="N142" t="s">
        <v>273</v>
      </c>
      <c r="O142" t="s">
        <v>543</v>
      </c>
      <c r="Q142" s="224" t="s">
        <v>544</v>
      </c>
      <c r="R142" s="364">
        <v>30</v>
      </c>
      <c r="S142" s="22">
        <f t="shared" ref="S142:AD142" si="80">R142</f>
        <v>30</v>
      </c>
      <c r="T142" s="22">
        <f t="shared" si="80"/>
        <v>30</v>
      </c>
      <c r="U142" s="22">
        <f t="shared" si="80"/>
        <v>30</v>
      </c>
      <c r="V142" s="22">
        <f t="shared" si="80"/>
        <v>30</v>
      </c>
      <c r="W142" s="22">
        <f t="shared" si="80"/>
        <v>30</v>
      </c>
      <c r="X142" s="22">
        <f t="shared" si="80"/>
        <v>30</v>
      </c>
      <c r="Y142" s="22">
        <f t="shared" si="80"/>
        <v>30</v>
      </c>
      <c r="Z142" s="22">
        <f t="shared" si="80"/>
        <v>30</v>
      </c>
      <c r="AA142" s="22">
        <f t="shared" si="80"/>
        <v>30</v>
      </c>
      <c r="AB142" s="22">
        <f t="shared" si="80"/>
        <v>30</v>
      </c>
      <c r="AC142" s="22">
        <f t="shared" si="80"/>
        <v>30</v>
      </c>
      <c r="AD142" s="22">
        <f t="shared" si="80"/>
        <v>30</v>
      </c>
    </row>
    <row r="143" spans="1:30" x14ac:dyDescent="0.2">
      <c r="A143" s="224"/>
      <c r="B143"/>
      <c r="C143"/>
      <c r="D143" s="347" t="str">
        <f t="shared" si="58"/>
        <v>Ferry - Large - Base CAPEX</v>
      </c>
      <c r="J143" t="s">
        <v>551</v>
      </c>
      <c r="K143" t="s">
        <v>545</v>
      </c>
      <c r="N143" t="s">
        <v>273</v>
      </c>
      <c r="O143" t="s">
        <v>543</v>
      </c>
      <c r="Q143" s="224" t="s">
        <v>544</v>
      </c>
      <c r="R143" s="364">
        <v>100</v>
      </c>
      <c r="S143" s="22">
        <f t="shared" ref="S143:AD143" si="81">R143</f>
        <v>100</v>
      </c>
      <c r="T143" s="22">
        <f t="shared" si="81"/>
        <v>100</v>
      </c>
      <c r="U143" s="22">
        <f t="shared" si="81"/>
        <v>100</v>
      </c>
      <c r="V143" s="22">
        <f t="shared" si="81"/>
        <v>100</v>
      </c>
      <c r="W143" s="22">
        <f t="shared" si="81"/>
        <v>100</v>
      </c>
      <c r="X143" s="22">
        <f t="shared" si="81"/>
        <v>100</v>
      </c>
      <c r="Y143" s="22">
        <f t="shared" si="81"/>
        <v>100</v>
      </c>
      <c r="Z143" s="22">
        <f t="shared" si="81"/>
        <v>100</v>
      </c>
      <c r="AA143" s="22">
        <f t="shared" si="81"/>
        <v>100</v>
      </c>
      <c r="AB143" s="22">
        <f t="shared" si="81"/>
        <v>100</v>
      </c>
      <c r="AC143" s="22">
        <f t="shared" si="81"/>
        <v>100</v>
      </c>
      <c r="AD143" s="22">
        <f t="shared" si="81"/>
        <v>100</v>
      </c>
    </row>
    <row r="144" spans="1:30" x14ac:dyDescent="0.2">
      <c r="A144" s="224"/>
      <c r="B144"/>
      <c r="C144"/>
      <c r="D144" s="347" t="str">
        <f t="shared" si="58"/>
        <v>Ferry - Medium - Base CAPEX</v>
      </c>
      <c r="J144" t="s">
        <v>551</v>
      </c>
      <c r="K144" t="s">
        <v>107</v>
      </c>
      <c r="N144" t="s">
        <v>273</v>
      </c>
      <c r="O144" t="s">
        <v>543</v>
      </c>
      <c r="Q144" s="224" t="s">
        <v>544</v>
      </c>
      <c r="R144" s="364">
        <v>30</v>
      </c>
      <c r="S144" s="22">
        <f t="shared" ref="S144:AD144" si="82">R144</f>
        <v>30</v>
      </c>
      <c r="T144" s="22">
        <f t="shared" si="82"/>
        <v>30</v>
      </c>
      <c r="U144" s="22">
        <f t="shared" si="82"/>
        <v>30</v>
      </c>
      <c r="V144" s="22">
        <f t="shared" si="82"/>
        <v>30</v>
      </c>
      <c r="W144" s="22">
        <f t="shared" si="82"/>
        <v>30</v>
      </c>
      <c r="X144" s="22">
        <f t="shared" si="82"/>
        <v>30</v>
      </c>
      <c r="Y144" s="22">
        <f t="shared" si="82"/>
        <v>30</v>
      </c>
      <c r="Z144" s="22">
        <f t="shared" si="82"/>
        <v>30</v>
      </c>
      <c r="AA144" s="22">
        <f t="shared" si="82"/>
        <v>30</v>
      </c>
      <c r="AB144" s="22">
        <f t="shared" si="82"/>
        <v>30</v>
      </c>
      <c r="AC144" s="22">
        <f t="shared" si="82"/>
        <v>30</v>
      </c>
      <c r="AD144" s="22">
        <f t="shared" si="82"/>
        <v>30</v>
      </c>
    </row>
    <row r="145" spans="1:33" x14ac:dyDescent="0.2">
      <c r="A145" s="224"/>
      <c r="B145"/>
      <c r="C145"/>
      <c r="D145" s="347" t="str">
        <f t="shared" si="58"/>
        <v>Ferry - Small - Base CAPEX</v>
      </c>
      <c r="J145" t="s">
        <v>551</v>
      </c>
      <c r="K145" t="s">
        <v>546</v>
      </c>
      <c r="N145" t="s">
        <v>273</v>
      </c>
      <c r="O145" t="s">
        <v>543</v>
      </c>
      <c r="Q145" s="224" t="s">
        <v>544</v>
      </c>
      <c r="R145" s="364">
        <v>10</v>
      </c>
      <c r="S145" s="22">
        <f t="shared" ref="S145:AD145" si="83">R145</f>
        <v>10</v>
      </c>
      <c r="T145" s="22">
        <f t="shared" si="83"/>
        <v>10</v>
      </c>
      <c r="U145" s="22">
        <f t="shared" si="83"/>
        <v>10</v>
      </c>
      <c r="V145" s="22">
        <f t="shared" si="83"/>
        <v>10</v>
      </c>
      <c r="W145" s="22">
        <f t="shared" si="83"/>
        <v>10</v>
      </c>
      <c r="X145" s="22">
        <f t="shared" si="83"/>
        <v>10</v>
      </c>
      <c r="Y145" s="22">
        <f t="shared" si="83"/>
        <v>10</v>
      </c>
      <c r="Z145" s="22">
        <f t="shared" si="83"/>
        <v>10</v>
      </c>
      <c r="AA145" s="22">
        <f t="shared" si="83"/>
        <v>10</v>
      </c>
      <c r="AB145" s="22">
        <f t="shared" si="83"/>
        <v>10</v>
      </c>
      <c r="AC145" s="22">
        <f t="shared" si="83"/>
        <v>10</v>
      </c>
      <c r="AD145" s="22">
        <f t="shared" si="83"/>
        <v>10</v>
      </c>
    </row>
    <row r="146" spans="1:33" x14ac:dyDescent="0.2">
      <c r="A146" s="224"/>
      <c r="B146"/>
      <c r="C146"/>
      <c r="D146" s="347" t="str">
        <f t="shared" si="58"/>
        <v>Tug - Large - Base CAPEX</v>
      </c>
      <c r="J146" t="s">
        <v>552</v>
      </c>
      <c r="K146" t="s">
        <v>545</v>
      </c>
      <c r="N146" t="s">
        <v>273</v>
      </c>
      <c r="O146" t="s">
        <v>543</v>
      </c>
      <c r="Q146" s="224" t="s">
        <v>544</v>
      </c>
      <c r="R146" s="364">
        <v>90</v>
      </c>
      <c r="S146" s="22">
        <f t="shared" ref="S146:AD146" si="84">R146</f>
        <v>90</v>
      </c>
      <c r="T146" s="22">
        <f t="shared" si="84"/>
        <v>90</v>
      </c>
      <c r="U146" s="22">
        <f t="shared" si="84"/>
        <v>90</v>
      </c>
      <c r="V146" s="22">
        <f t="shared" si="84"/>
        <v>90</v>
      </c>
      <c r="W146" s="22">
        <f t="shared" si="84"/>
        <v>90</v>
      </c>
      <c r="X146" s="22">
        <f t="shared" si="84"/>
        <v>90</v>
      </c>
      <c r="Y146" s="22">
        <f t="shared" si="84"/>
        <v>90</v>
      </c>
      <c r="Z146" s="22">
        <f t="shared" si="84"/>
        <v>90</v>
      </c>
      <c r="AA146" s="22">
        <f t="shared" si="84"/>
        <v>90</v>
      </c>
      <c r="AB146" s="22">
        <f t="shared" si="84"/>
        <v>90</v>
      </c>
      <c r="AC146" s="22">
        <f t="shared" si="84"/>
        <v>90</v>
      </c>
      <c r="AD146" s="22">
        <f t="shared" si="84"/>
        <v>90</v>
      </c>
    </row>
    <row r="147" spans="1:33" x14ac:dyDescent="0.2">
      <c r="A147" s="224"/>
      <c r="B147"/>
      <c r="C147"/>
      <c r="D147" s="347" t="str">
        <f t="shared" si="58"/>
        <v>Tug - Medium - Base CAPEX</v>
      </c>
      <c r="J147" t="s">
        <v>552</v>
      </c>
      <c r="K147" t="s">
        <v>107</v>
      </c>
      <c r="N147" t="s">
        <v>273</v>
      </c>
      <c r="O147" t="s">
        <v>543</v>
      </c>
      <c r="Q147" s="224" t="s">
        <v>544</v>
      </c>
      <c r="R147" s="364">
        <v>60</v>
      </c>
      <c r="S147" s="22">
        <f t="shared" ref="S147:AD147" si="85">R147</f>
        <v>60</v>
      </c>
      <c r="T147" s="22">
        <f t="shared" si="85"/>
        <v>60</v>
      </c>
      <c r="U147" s="22">
        <f t="shared" si="85"/>
        <v>60</v>
      </c>
      <c r="V147" s="22">
        <f t="shared" si="85"/>
        <v>60</v>
      </c>
      <c r="W147" s="22">
        <f t="shared" si="85"/>
        <v>60</v>
      </c>
      <c r="X147" s="22">
        <f t="shared" si="85"/>
        <v>60</v>
      </c>
      <c r="Y147" s="22">
        <f t="shared" si="85"/>
        <v>60</v>
      </c>
      <c r="Z147" s="22">
        <f t="shared" si="85"/>
        <v>60</v>
      </c>
      <c r="AA147" s="22">
        <f t="shared" si="85"/>
        <v>60</v>
      </c>
      <c r="AB147" s="22">
        <f t="shared" si="85"/>
        <v>60</v>
      </c>
      <c r="AC147" s="22">
        <f t="shared" si="85"/>
        <v>60</v>
      </c>
      <c r="AD147" s="22">
        <f t="shared" si="85"/>
        <v>60</v>
      </c>
    </row>
    <row r="148" spans="1:33" x14ac:dyDescent="0.2">
      <c r="A148" s="224"/>
      <c r="B148"/>
      <c r="C148"/>
      <c r="D148" s="347" t="str">
        <f t="shared" si="58"/>
        <v>Tug - Small - Base CAPEX</v>
      </c>
      <c r="J148" t="s">
        <v>552</v>
      </c>
      <c r="K148" t="s">
        <v>546</v>
      </c>
      <c r="N148" t="s">
        <v>273</v>
      </c>
      <c r="O148" t="s">
        <v>543</v>
      </c>
      <c r="Q148" s="224" t="s">
        <v>544</v>
      </c>
      <c r="R148" s="364">
        <v>18</v>
      </c>
      <c r="S148" s="22">
        <f t="shared" ref="S148:AD148" si="86">R148</f>
        <v>18</v>
      </c>
      <c r="T148" s="22">
        <f t="shared" si="86"/>
        <v>18</v>
      </c>
      <c r="U148" s="22">
        <f t="shared" si="86"/>
        <v>18</v>
      </c>
      <c r="V148" s="22">
        <f t="shared" si="86"/>
        <v>18</v>
      </c>
      <c r="W148" s="22">
        <f t="shared" si="86"/>
        <v>18</v>
      </c>
      <c r="X148" s="22">
        <f t="shared" si="86"/>
        <v>18</v>
      </c>
      <c r="Y148" s="22">
        <f t="shared" si="86"/>
        <v>18</v>
      </c>
      <c r="Z148" s="22">
        <f t="shared" si="86"/>
        <v>18</v>
      </c>
      <c r="AA148" s="22">
        <f t="shared" si="86"/>
        <v>18</v>
      </c>
      <c r="AB148" s="22">
        <f t="shared" si="86"/>
        <v>18</v>
      </c>
      <c r="AC148" s="22">
        <f t="shared" si="86"/>
        <v>18</v>
      </c>
      <c r="AD148" s="22">
        <f t="shared" si="86"/>
        <v>18</v>
      </c>
    </row>
    <row r="149" spans="1:33" x14ac:dyDescent="0.2">
      <c r="A149" s="224"/>
      <c r="B149"/>
      <c r="C149"/>
      <c r="D149" s="347" t="str">
        <f t="shared" si="58"/>
        <v>RoRo/ car carrier - Large - Base CAPEX</v>
      </c>
      <c r="J149" t="s">
        <v>553</v>
      </c>
      <c r="K149" t="s">
        <v>545</v>
      </c>
      <c r="N149" t="s">
        <v>273</v>
      </c>
      <c r="O149" t="s">
        <v>543</v>
      </c>
      <c r="Q149" s="224" t="s">
        <v>544</v>
      </c>
      <c r="R149" s="364">
        <v>84</v>
      </c>
      <c r="S149" s="22">
        <f t="shared" ref="S149:AD149" si="87">R149</f>
        <v>84</v>
      </c>
      <c r="T149" s="22">
        <f t="shared" si="87"/>
        <v>84</v>
      </c>
      <c r="U149" s="22">
        <f t="shared" si="87"/>
        <v>84</v>
      </c>
      <c r="V149" s="22">
        <f t="shared" si="87"/>
        <v>84</v>
      </c>
      <c r="W149" s="22">
        <f t="shared" si="87"/>
        <v>84</v>
      </c>
      <c r="X149" s="22">
        <f t="shared" si="87"/>
        <v>84</v>
      </c>
      <c r="Y149" s="22">
        <f t="shared" si="87"/>
        <v>84</v>
      </c>
      <c r="Z149" s="22">
        <f t="shared" si="87"/>
        <v>84</v>
      </c>
      <c r="AA149" s="22">
        <f t="shared" si="87"/>
        <v>84</v>
      </c>
      <c r="AB149" s="22">
        <f t="shared" si="87"/>
        <v>84</v>
      </c>
      <c r="AC149" s="22">
        <f t="shared" si="87"/>
        <v>84</v>
      </c>
      <c r="AD149" s="22">
        <f t="shared" si="87"/>
        <v>84</v>
      </c>
    </row>
    <row r="150" spans="1:33" x14ac:dyDescent="0.2">
      <c r="A150" s="224"/>
      <c r="B150"/>
      <c r="C150"/>
      <c r="D150" s="347" t="str">
        <f t="shared" si="58"/>
        <v>RoRo/ car carrier - Medium - Base CAPEX</v>
      </c>
      <c r="J150" t="s">
        <v>553</v>
      </c>
      <c r="K150" t="s">
        <v>107</v>
      </c>
      <c r="N150" t="s">
        <v>273</v>
      </c>
      <c r="O150" t="s">
        <v>511</v>
      </c>
      <c r="Q150" s="224" t="s">
        <v>544</v>
      </c>
      <c r="R150" s="364">
        <v>50</v>
      </c>
      <c r="S150" s="22">
        <f t="shared" ref="S150:AD150" si="88">R150</f>
        <v>50</v>
      </c>
      <c r="T150" s="22">
        <f t="shared" si="88"/>
        <v>50</v>
      </c>
      <c r="U150" s="22">
        <f t="shared" si="88"/>
        <v>50</v>
      </c>
      <c r="V150" s="22">
        <f t="shared" si="88"/>
        <v>50</v>
      </c>
      <c r="W150" s="22">
        <f t="shared" si="88"/>
        <v>50</v>
      </c>
      <c r="X150" s="22">
        <f t="shared" si="88"/>
        <v>50</v>
      </c>
      <c r="Y150" s="22">
        <f t="shared" si="88"/>
        <v>50</v>
      </c>
      <c r="Z150" s="22">
        <f t="shared" si="88"/>
        <v>50</v>
      </c>
      <c r="AA150" s="22">
        <f t="shared" si="88"/>
        <v>50</v>
      </c>
      <c r="AB150" s="22">
        <f t="shared" si="88"/>
        <v>50</v>
      </c>
      <c r="AC150" s="22">
        <f t="shared" si="88"/>
        <v>50</v>
      </c>
      <c r="AD150" s="22">
        <f t="shared" si="88"/>
        <v>50</v>
      </c>
    </row>
    <row r="151" spans="1:33" x14ac:dyDescent="0.2">
      <c r="A151" s="224"/>
      <c r="B151"/>
      <c r="C151"/>
      <c r="D151" s="347" t="str">
        <f t="shared" si="58"/>
        <v>RoRo/ car carrier - Small - Base CAPEX</v>
      </c>
      <c r="J151" t="s">
        <v>553</v>
      </c>
      <c r="K151" t="s">
        <v>546</v>
      </c>
      <c r="N151" t="s">
        <v>273</v>
      </c>
      <c r="O151" t="s">
        <v>543</v>
      </c>
      <c r="Q151" s="224" t="s">
        <v>544</v>
      </c>
      <c r="R151" s="364">
        <v>33</v>
      </c>
      <c r="S151" s="22">
        <f t="shared" ref="S151:AD151" si="89">R151</f>
        <v>33</v>
      </c>
      <c r="T151" s="22">
        <f t="shared" si="89"/>
        <v>33</v>
      </c>
      <c r="U151" s="22">
        <f t="shared" si="89"/>
        <v>33</v>
      </c>
      <c r="V151" s="22">
        <f t="shared" si="89"/>
        <v>33</v>
      </c>
      <c r="W151" s="22">
        <f t="shared" si="89"/>
        <v>33</v>
      </c>
      <c r="X151" s="22">
        <f t="shared" si="89"/>
        <v>33</v>
      </c>
      <c r="Y151" s="22">
        <f t="shared" si="89"/>
        <v>33</v>
      </c>
      <c r="Z151" s="22">
        <f t="shared" si="89"/>
        <v>33</v>
      </c>
      <c r="AA151" s="22">
        <f t="shared" si="89"/>
        <v>33</v>
      </c>
      <c r="AB151" s="22">
        <f t="shared" si="89"/>
        <v>33</v>
      </c>
      <c r="AC151" s="22">
        <f t="shared" si="89"/>
        <v>33</v>
      </c>
      <c r="AD151" s="22">
        <f t="shared" si="89"/>
        <v>33</v>
      </c>
    </row>
    <row r="152" spans="1:33" x14ac:dyDescent="0.2">
      <c r="A152" s="224"/>
      <c r="B152"/>
      <c r="C152"/>
      <c r="D152" s="347" t="str">
        <f t="shared" si="58"/>
        <v>Fast Ferry - Large - Base CAPEX</v>
      </c>
      <c r="J152" t="s">
        <v>554</v>
      </c>
      <c r="K152" t="s">
        <v>545</v>
      </c>
      <c r="N152" t="s">
        <v>273</v>
      </c>
      <c r="O152" t="s">
        <v>543</v>
      </c>
      <c r="Q152" s="224" t="s">
        <v>544</v>
      </c>
      <c r="R152" s="364">
        <v>85</v>
      </c>
      <c r="S152" s="22">
        <f t="shared" ref="S152:AD152" si="90">R152</f>
        <v>85</v>
      </c>
      <c r="T152" s="22">
        <f t="shared" si="90"/>
        <v>85</v>
      </c>
      <c r="U152" s="22">
        <f t="shared" si="90"/>
        <v>85</v>
      </c>
      <c r="V152" s="22">
        <f t="shared" si="90"/>
        <v>85</v>
      </c>
      <c r="W152" s="22">
        <f t="shared" si="90"/>
        <v>85</v>
      </c>
      <c r="X152" s="22">
        <f t="shared" si="90"/>
        <v>85</v>
      </c>
      <c r="Y152" s="22">
        <f t="shared" si="90"/>
        <v>85</v>
      </c>
      <c r="Z152" s="22">
        <f t="shared" si="90"/>
        <v>85</v>
      </c>
      <c r="AA152" s="22">
        <f t="shared" si="90"/>
        <v>85</v>
      </c>
      <c r="AB152" s="22">
        <f t="shared" si="90"/>
        <v>85</v>
      </c>
      <c r="AC152" s="22">
        <f t="shared" si="90"/>
        <v>85</v>
      </c>
      <c r="AD152" s="22">
        <f t="shared" si="90"/>
        <v>85</v>
      </c>
      <c r="AG152" s="224"/>
    </row>
    <row r="153" spans="1:33" x14ac:dyDescent="0.2">
      <c r="A153" s="224"/>
      <c r="B153"/>
      <c r="C153"/>
      <c r="D153" s="347" t="str">
        <f t="shared" si="58"/>
        <v>Fast Ferry - Medium - Base CAPEX</v>
      </c>
      <c r="J153" t="s">
        <v>554</v>
      </c>
      <c r="K153" t="s">
        <v>107</v>
      </c>
      <c r="N153" t="s">
        <v>273</v>
      </c>
      <c r="O153" t="s">
        <v>543</v>
      </c>
      <c r="Q153" s="224" t="s">
        <v>544</v>
      </c>
      <c r="R153" s="364">
        <v>60</v>
      </c>
      <c r="S153" s="22">
        <f t="shared" ref="S153:AD153" si="91">R153</f>
        <v>60</v>
      </c>
      <c r="T153" s="22">
        <f t="shared" si="91"/>
        <v>60</v>
      </c>
      <c r="U153" s="22">
        <f t="shared" si="91"/>
        <v>60</v>
      </c>
      <c r="V153" s="22">
        <f t="shared" si="91"/>
        <v>60</v>
      </c>
      <c r="W153" s="22">
        <f t="shared" si="91"/>
        <v>60</v>
      </c>
      <c r="X153" s="22">
        <f t="shared" si="91"/>
        <v>60</v>
      </c>
      <c r="Y153" s="22">
        <f t="shared" si="91"/>
        <v>60</v>
      </c>
      <c r="Z153" s="22">
        <f t="shared" si="91"/>
        <v>60</v>
      </c>
      <c r="AA153" s="22">
        <f t="shared" si="91"/>
        <v>60</v>
      </c>
      <c r="AB153" s="22">
        <f t="shared" si="91"/>
        <v>60</v>
      </c>
      <c r="AC153" s="22">
        <f t="shared" si="91"/>
        <v>60</v>
      </c>
      <c r="AD153" s="22">
        <f t="shared" si="91"/>
        <v>60</v>
      </c>
      <c r="AG153" s="224"/>
    </row>
    <row r="154" spans="1:33" x14ac:dyDescent="0.2">
      <c r="A154" s="224"/>
      <c r="B154"/>
      <c r="C154"/>
      <c r="D154" s="347" t="str">
        <f t="shared" si="58"/>
        <v>Fast Ferry - Small - Base CAPEX</v>
      </c>
      <c r="J154" t="s">
        <v>554</v>
      </c>
      <c r="K154" t="s">
        <v>546</v>
      </c>
      <c r="N154" t="s">
        <v>273</v>
      </c>
      <c r="O154" t="s">
        <v>543</v>
      </c>
      <c r="Q154" s="224" t="s">
        <v>544</v>
      </c>
      <c r="R154" s="364">
        <v>20</v>
      </c>
      <c r="S154" s="22">
        <f t="shared" ref="S154:AD154" si="92">R154</f>
        <v>20</v>
      </c>
      <c r="T154" s="22">
        <f t="shared" si="92"/>
        <v>20</v>
      </c>
      <c r="U154" s="22">
        <f t="shared" si="92"/>
        <v>20</v>
      </c>
      <c r="V154" s="22">
        <f t="shared" si="92"/>
        <v>20</v>
      </c>
      <c r="W154" s="22">
        <f t="shared" si="92"/>
        <v>20</v>
      </c>
      <c r="X154" s="22">
        <f t="shared" si="92"/>
        <v>20</v>
      </c>
      <c r="Y154" s="22">
        <f t="shared" si="92"/>
        <v>20</v>
      </c>
      <c r="Z154" s="22">
        <f t="shared" si="92"/>
        <v>20</v>
      </c>
      <c r="AA154" s="22">
        <f t="shared" si="92"/>
        <v>20</v>
      </c>
      <c r="AB154" s="22">
        <f t="shared" si="92"/>
        <v>20</v>
      </c>
      <c r="AC154" s="22">
        <f t="shared" si="92"/>
        <v>20</v>
      </c>
      <c r="AD154" s="22">
        <f t="shared" si="92"/>
        <v>20</v>
      </c>
      <c r="AG154" s="224"/>
    </row>
    <row r="155" spans="1:33" x14ac:dyDescent="0.2">
      <c r="A155" s="224"/>
      <c r="B155"/>
      <c r="C155"/>
      <c r="D155" s="347" t="str">
        <f t="shared" si="58"/>
        <v>Cruise - Large - Base CAPEX</v>
      </c>
      <c r="J155" t="s">
        <v>555</v>
      </c>
      <c r="K155" t="s">
        <v>545</v>
      </c>
      <c r="N155" t="s">
        <v>273</v>
      </c>
      <c r="O155" t="s">
        <v>511</v>
      </c>
      <c r="Q155" s="224" t="s">
        <v>544</v>
      </c>
      <c r="R155" s="364">
        <v>1000</v>
      </c>
      <c r="S155" s="22">
        <f t="shared" ref="S155:AD155" si="93">R155</f>
        <v>1000</v>
      </c>
      <c r="T155" s="22">
        <f t="shared" si="93"/>
        <v>1000</v>
      </c>
      <c r="U155" s="22">
        <f t="shared" si="93"/>
        <v>1000</v>
      </c>
      <c r="V155" s="22">
        <f t="shared" si="93"/>
        <v>1000</v>
      </c>
      <c r="W155" s="22">
        <f t="shared" si="93"/>
        <v>1000</v>
      </c>
      <c r="X155" s="22">
        <f t="shared" si="93"/>
        <v>1000</v>
      </c>
      <c r="Y155" s="22">
        <f t="shared" si="93"/>
        <v>1000</v>
      </c>
      <c r="Z155" s="22">
        <f t="shared" si="93"/>
        <v>1000</v>
      </c>
      <c r="AA155" s="22">
        <f t="shared" si="93"/>
        <v>1000</v>
      </c>
      <c r="AB155" s="22">
        <f t="shared" si="93"/>
        <v>1000</v>
      </c>
      <c r="AC155" s="22">
        <f t="shared" si="93"/>
        <v>1000</v>
      </c>
      <c r="AD155" s="22">
        <f t="shared" si="93"/>
        <v>1000</v>
      </c>
      <c r="AG155" s="224"/>
    </row>
    <row r="156" spans="1:33" x14ac:dyDescent="0.2">
      <c r="A156" s="224"/>
      <c r="B156"/>
      <c r="C156"/>
      <c r="D156" s="347" t="str">
        <f t="shared" si="58"/>
        <v>Cruise - Medium - Base CAPEX</v>
      </c>
      <c r="J156" t="s">
        <v>555</v>
      </c>
      <c r="K156" t="s">
        <v>107</v>
      </c>
      <c r="N156" t="s">
        <v>273</v>
      </c>
      <c r="O156" t="s">
        <v>511</v>
      </c>
      <c r="Q156" s="224" t="s">
        <v>544</v>
      </c>
      <c r="R156" s="364">
        <v>600</v>
      </c>
      <c r="S156" s="22">
        <f t="shared" ref="S156:AD156" si="94">R156</f>
        <v>600</v>
      </c>
      <c r="T156" s="22">
        <f t="shared" si="94"/>
        <v>600</v>
      </c>
      <c r="U156" s="22">
        <f t="shared" si="94"/>
        <v>600</v>
      </c>
      <c r="V156" s="22">
        <f t="shared" si="94"/>
        <v>600</v>
      </c>
      <c r="W156" s="22">
        <f t="shared" si="94"/>
        <v>600</v>
      </c>
      <c r="X156" s="22">
        <f t="shared" si="94"/>
        <v>600</v>
      </c>
      <c r="Y156" s="22">
        <f t="shared" si="94"/>
        <v>600</v>
      </c>
      <c r="Z156" s="22">
        <f t="shared" si="94"/>
        <v>600</v>
      </c>
      <c r="AA156" s="22">
        <f t="shared" si="94"/>
        <v>600</v>
      </c>
      <c r="AB156" s="22">
        <f t="shared" si="94"/>
        <v>600</v>
      </c>
      <c r="AC156" s="22">
        <f t="shared" si="94"/>
        <v>600</v>
      </c>
      <c r="AD156" s="22">
        <f t="shared" si="94"/>
        <v>600</v>
      </c>
      <c r="AG156" s="224"/>
    </row>
    <row r="157" spans="1:33" x14ac:dyDescent="0.2">
      <c r="A157" s="224"/>
      <c r="B157"/>
      <c r="C157"/>
      <c r="D157" s="347" t="str">
        <f t="shared" si="58"/>
        <v>Cruise - Small - Base CAPEX</v>
      </c>
      <c r="J157" t="s">
        <v>555</v>
      </c>
      <c r="K157" t="s">
        <v>546</v>
      </c>
      <c r="N157" t="s">
        <v>273</v>
      </c>
      <c r="O157" t="s">
        <v>543</v>
      </c>
      <c r="Q157" s="224" t="s">
        <v>544</v>
      </c>
      <c r="R157" s="364">
        <v>100</v>
      </c>
      <c r="S157" s="22">
        <f t="shared" ref="S157:AD157" si="95">R157</f>
        <v>100</v>
      </c>
      <c r="T157" s="22">
        <f t="shared" si="95"/>
        <v>100</v>
      </c>
      <c r="U157" s="22">
        <f t="shared" si="95"/>
        <v>100</v>
      </c>
      <c r="V157" s="22">
        <f t="shared" si="95"/>
        <v>100</v>
      </c>
      <c r="W157" s="22">
        <f t="shared" si="95"/>
        <v>100</v>
      </c>
      <c r="X157" s="22">
        <f t="shared" si="95"/>
        <v>100</v>
      </c>
      <c r="Y157" s="22">
        <f t="shared" si="95"/>
        <v>100</v>
      </c>
      <c r="Z157" s="22">
        <f t="shared" si="95"/>
        <v>100</v>
      </c>
      <c r="AA157" s="22">
        <f t="shared" si="95"/>
        <v>100</v>
      </c>
      <c r="AB157" s="22">
        <f t="shared" si="95"/>
        <v>100</v>
      </c>
      <c r="AC157" s="22">
        <f t="shared" si="95"/>
        <v>100</v>
      </c>
      <c r="AD157" s="22">
        <f t="shared" si="95"/>
        <v>100</v>
      </c>
      <c r="AG157" s="224"/>
    </row>
    <row r="158" spans="1:33" x14ac:dyDescent="0.2">
      <c r="B158"/>
      <c r="T158" s="22"/>
      <c r="U158" s="22"/>
      <c r="V158" s="22"/>
      <c r="W158" s="22"/>
      <c r="X158" s="22"/>
      <c r="Y158" s="22"/>
      <c r="Z158" s="22"/>
      <c r="AA158" s="22"/>
      <c r="AB158" s="22"/>
      <c r="AC158" s="22"/>
      <c r="AD158" s="22"/>
    </row>
    <row r="159" spans="1:33" x14ac:dyDescent="0.2">
      <c r="B159"/>
    </row>
    <row r="161" spans="2:30" x14ac:dyDescent="0.2">
      <c r="B161" s="49" t="s">
        <v>556</v>
      </c>
      <c r="C161" s="49"/>
      <c r="D161" s="350"/>
      <c r="E161" s="331"/>
      <c r="F161" s="331"/>
      <c r="G161" s="331" t="str">
        <f>B161</f>
        <v>Propulsion efficiency</v>
      </c>
      <c r="H161" s="331"/>
      <c r="I161" s="331"/>
      <c r="J161" s="331"/>
      <c r="K161" s="331"/>
      <c r="L161" s="331"/>
      <c r="M161" s="331"/>
      <c r="N161" s="331"/>
      <c r="O161" s="331"/>
      <c r="P161" s="331"/>
      <c r="Q161" s="331"/>
      <c r="R161" s="331"/>
      <c r="S161" s="331"/>
      <c r="T161" s="331"/>
      <c r="U161" s="331"/>
      <c r="V161" s="331"/>
      <c r="W161" s="331"/>
      <c r="X161" s="331"/>
      <c r="Y161" s="331"/>
      <c r="Z161" s="331"/>
      <c r="AA161" s="331"/>
      <c r="AB161" s="331"/>
      <c r="AC161" s="331"/>
      <c r="AD161" s="331"/>
    </row>
    <row r="162" spans="2:30" x14ac:dyDescent="0.2">
      <c r="D162" s="347" t="str">
        <f t="shared" ref="D162:D169" si="96">_xlfn.TEXTJOIN(keydelim,TRUE,E162:N162)</f>
        <v>ICE HFO - ME efficiency</v>
      </c>
      <c r="E162" t="s">
        <v>112</v>
      </c>
      <c r="N162" t="s">
        <v>330</v>
      </c>
      <c r="P162" s="224"/>
      <c r="Q162" t="s">
        <v>184</v>
      </c>
      <c r="S162" s="352">
        <f>'Main Assumptions'!D12</f>
        <v>0.51</v>
      </c>
      <c r="T162" s="352">
        <f>'Main Assumptions'!E12</f>
        <v>0.51</v>
      </c>
      <c r="U162" s="352">
        <f>'Main Assumptions'!F12</f>
        <v>0.51</v>
      </c>
      <c r="V162" s="352">
        <f>'Main Assumptions'!G12</f>
        <v>0.51</v>
      </c>
      <c r="W162" s="352">
        <f>'Main Assumptions'!H12</f>
        <v>0.51</v>
      </c>
      <c r="X162" s="352">
        <f>'Main Assumptions'!I12</f>
        <v>0.51</v>
      </c>
      <c r="Y162" s="352">
        <f>'Main Assumptions'!J12</f>
        <v>0.51</v>
      </c>
      <c r="Z162" s="365">
        <f>Y162</f>
        <v>0.51</v>
      </c>
      <c r="AA162" s="365">
        <f t="shared" ref="AA162:AD162" si="97">Z162</f>
        <v>0.51</v>
      </c>
      <c r="AB162" s="365">
        <f t="shared" si="97"/>
        <v>0.51</v>
      </c>
      <c r="AC162" s="365">
        <f t="shared" si="97"/>
        <v>0.51</v>
      </c>
      <c r="AD162" s="365">
        <f t="shared" si="97"/>
        <v>0.51</v>
      </c>
    </row>
    <row r="163" spans="2:30" x14ac:dyDescent="0.2">
      <c r="D163" s="347" t="str">
        <f t="shared" si="96"/>
        <v>ICE Ammonia - ME efficiency</v>
      </c>
      <c r="E163" t="s">
        <v>115</v>
      </c>
      <c r="N163" t="s">
        <v>330</v>
      </c>
      <c r="P163" s="224"/>
      <c r="Q163" t="s">
        <v>184</v>
      </c>
      <c r="S163" s="352">
        <f>'Main Assumptions'!D13</f>
        <v>0.51</v>
      </c>
      <c r="T163" s="352">
        <f>'Main Assumptions'!E13</f>
        <v>0.51</v>
      </c>
      <c r="U163" s="352">
        <f>'Main Assumptions'!F13</f>
        <v>0.51</v>
      </c>
      <c r="V163" s="352">
        <f>'Main Assumptions'!G13</f>
        <v>0.51</v>
      </c>
      <c r="W163" s="352">
        <f>'Main Assumptions'!H13</f>
        <v>0.51</v>
      </c>
      <c r="X163" s="352">
        <f>'Main Assumptions'!I13</f>
        <v>0.51</v>
      </c>
      <c r="Y163" s="352">
        <f>'Main Assumptions'!J13</f>
        <v>0.51</v>
      </c>
      <c r="Z163" s="365">
        <f t="shared" ref="Z163:AD169" si="98">Y163</f>
        <v>0.51</v>
      </c>
      <c r="AA163" s="365">
        <f t="shared" si="98"/>
        <v>0.51</v>
      </c>
      <c r="AB163" s="365">
        <f t="shared" si="98"/>
        <v>0.51</v>
      </c>
      <c r="AC163" s="365">
        <f t="shared" si="98"/>
        <v>0.51</v>
      </c>
      <c r="AD163" s="365">
        <f t="shared" si="98"/>
        <v>0.51</v>
      </c>
    </row>
    <row r="164" spans="2:30" x14ac:dyDescent="0.2">
      <c r="D164" s="347" t="str">
        <f t="shared" si="96"/>
        <v>ICE Methanol - ME efficiency</v>
      </c>
      <c r="E164" t="s">
        <v>114</v>
      </c>
      <c r="N164" t="s">
        <v>330</v>
      </c>
      <c r="P164" s="224"/>
      <c r="Q164" t="s">
        <v>184</v>
      </c>
      <c r="S164" s="352">
        <f>'Main Assumptions'!D14</f>
        <v>0.51</v>
      </c>
      <c r="T164" s="352">
        <f>'Main Assumptions'!E14</f>
        <v>0.51</v>
      </c>
      <c r="U164" s="352">
        <f>'Main Assumptions'!F14</f>
        <v>0.51</v>
      </c>
      <c r="V164" s="352">
        <f>'Main Assumptions'!G14</f>
        <v>0.51</v>
      </c>
      <c r="W164" s="352">
        <f>'Main Assumptions'!H14</f>
        <v>0.51</v>
      </c>
      <c r="X164" s="352">
        <f>'Main Assumptions'!I14</f>
        <v>0.51</v>
      </c>
      <c r="Y164" s="352">
        <f>'Main Assumptions'!J14</f>
        <v>0.51</v>
      </c>
      <c r="Z164" s="365">
        <f t="shared" si="98"/>
        <v>0.51</v>
      </c>
      <c r="AA164" s="365">
        <f t="shared" si="98"/>
        <v>0.51</v>
      </c>
      <c r="AB164" s="365">
        <f t="shared" si="98"/>
        <v>0.51</v>
      </c>
      <c r="AC164" s="365">
        <f t="shared" si="98"/>
        <v>0.51</v>
      </c>
      <c r="AD164" s="365">
        <f t="shared" si="98"/>
        <v>0.51</v>
      </c>
    </row>
    <row r="165" spans="2:30" x14ac:dyDescent="0.2">
      <c r="D165" s="347" t="str">
        <f t="shared" si="96"/>
        <v>ICE LNG - ME efficiency</v>
      </c>
      <c r="E165" t="s">
        <v>113</v>
      </c>
      <c r="N165" t="s">
        <v>330</v>
      </c>
      <c r="P165" s="224"/>
      <c r="Q165" t="s">
        <v>184</v>
      </c>
      <c r="S165" s="352">
        <f>'Main Assumptions'!D15</f>
        <v>0.51</v>
      </c>
      <c r="T165" s="352">
        <f>'Main Assumptions'!E15</f>
        <v>0.51</v>
      </c>
      <c r="U165" s="352">
        <f>'Main Assumptions'!F15</f>
        <v>0.51</v>
      </c>
      <c r="V165" s="352">
        <f>'Main Assumptions'!G15</f>
        <v>0.51</v>
      </c>
      <c r="W165" s="352">
        <f>'Main Assumptions'!H15</f>
        <v>0.51</v>
      </c>
      <c r="X165" s="352">
        <f>'Main Assumptions'!I15</f>
        <v>0.51</v>
      </c>
      <c r="Y165" s="352">
        <f>'Main Assumptions'!J15</f>
        <v>0.51</v>
      </c>
      <c r="Z165" s="365">
        <f t="shared" si="98"/>
        <v>0.51</v>
      </c>
      <c r="AA165" s="365">
        <f t="shared" si="98"/>
        <v>0.51</v>
      </c>
      <c r="AB165" s="365">
        <f t="shared" si="98"/>
        <v>0.51</v>
      </c>
      <c r="AC165" s="365">
        <f t="shared" si="98"/>
        <v>0.51</v>
      </c>
      <c r="AD165" s="365">
        <f t="shared" si="98"/>
        <v>0.51</v>
      </c>
    </row>
    <row r="166" spans="2:30" x14ac:dyDescent="0.2">
      <c r="D166" s="347" t="str">
        <f>_xlfn.TEXTJOIN(keydelim,TRUE,E166:N166)</f>
        <v>ICE LPG - ME efficiency</v>
      </c>
      <c r="E166" t="s">
        <v>513</v>
      </c>
      <c r="N166" t="s">
        <v>330</v>
      </c>
      <c r="P166" s="224"/>
      <c r="Q166" t="s">
        <v>184</v>
      </c>
      <c r="S166" s="352">
        <f>'Main Assumptions'!D16</f>
        <v>0.51</v>
      </c>
      <c r="T166" s="352">
        <f>'Main Assumptions'!E16</f>
        <v>0.51</v>
      </c>
      <c r="U166" s="352">
        <f>'Main Assumptions'!F16</f>
        <v>0.51</v>
      </c>
      <c r="V166" s="352">
        <f>'Main Assumptions'!G16</f>
        <v>0.51</v>
      </c>
      <c r="W166" s="352">
        <f>'Main Assumptions'!H16</f>
        <v>0.51</v>
      </c>
      <c r="X166" s="352">
        <f>'Main Assumptions'!I16</f>
        <v>0.51</v>
      </c>
      <c r="Y166" s="352">
        <f>'Main Assumptions'!J16</f>
        <v>0.51</v>
      </c>
      <c r="Z166" s="365">
        <f t="shared" si="98"/>
        <v>0.51</v>
      </c>
      <c r="AA166" s="365">
        <f t="shared" si="98"/>
        <v>0.51</v>
      </c>
      <c r="AB166" s="365">
        <f t="shared" si="98"/>
        <v>0.51</v>
      </c>
      <c r="AC166" s="365">
        <f t="shared" si="98"/>
        <v>0.51</v>
      </c>
      <c r="AD166" s="365">
        <f t="shared" si="98"/>
        <v>0.51</v>
      </c>
    </row>
    <row r="167" spans="2:30" x14ac:dyDescent="0.2">
      <c r="D167" s="347" t="str">
        <f t="shared" si="96"/>
        <v>Fuel cell - ME efficiency</v>
      </c>
      <c r="E167" t="s">
        <v>62</v>
      </c>
      <c r="N167" t="s">
        <v>330</v>
      </c>
      <c r="P167" s="224"/>
      <c r="Q167" t="s">
        <v>184</v>
      </c>
      <c r="S167" s="365">
        <f>INDEX('Configurator Specs.'!G$40:G$42,MATCH(swing_FuelCell_selected,'Configurator Specs.'!$C$40:$C$42,0))</f>
        <v>0.5</v>
      </c>
      <c r="T167" s="365">
        <f>INDEX('Configurator Specs.'!H$40:H$42,MATCH(swing_FuelCell_selected,'Configurator Specs.'!$C$40:$C$42,0))</f>
        <v>0.5</v>
      </c>
      <c r="U167" s="365">
        <f>INDEX('Configurator Specs.'!I$40:I$42,MATCH(swing_FuelCell_selected,'Configurator Specs.'!$C$40:$C$42,0))</f>
        <v>0.52</v>
      </c>
      <c r="V167" s="365">
        <f>INDEX('Configurator Specs.'!J$40:J$42,MATCH(swing_FuelCell_selected,'Configurator Specs.'!$C$40:$C$42,0))</f>
        <v>0.54</v>
      </c>
      <c r="W167" s="365">
        <f>INDEX('Configurator Specs.'!K$40:K$42,MATCH(swing_FuelCell_selected,'Configurator Specs.'!$C$40:$C$42,0))</f>
        <v>0.56000000000000005</v>
      </c>
      <c r="X167" s="365">
        <f>INDEX('Configurator Specs.'!L$40:L$42,MATCH(swing_FuelCell_selected,'Configurator Specs.'!$C$40:$C$42,0))</f>
        <v>0.57999999999999996</v>
      </c>
      <c r="Y167" s="365">
        <f>INDEX('Configurator Specs.'!M$40:M$42,MATCH(swing_FuelCell_selected,'Configurator Specs.'!$C$40:$C$42,0))</f>
        <v>0.6</v>
      </c>
      <c r="Z167" s="365">
        <f t="shared" si="98"/>
        <v>0.6</v>
      </c>
      <c r="AA167" s="365">
        <f t="shared" si="98"/>
        <v>0.6</v>
      </c>
      <c r="AB167" s="365">
        <f t="shared" si="98"/>
        <v>0.6</v>
      </c>
      <c r="AC167" s="365">
        <f t="shared" si="98"/>
        <v>0.6</v>
      </c>
      <c r="AD167" s="365">
        <f t="shared" si="98"/>
        <v>0.6</v>
      </c>
    </row>
    <row r="168" spans="2:30" x14ac:dyDescent="0.2">
      <c r="D168" s="347" t="str">
        <f>_xlfn.TEXTJOIN(keydelim,TRUE,E168:N168)</f>
        <v>Fuel cell - ME efficiency momentum</v>
      </c>
      <c r="E168" t="s">
        <v>62</v>
      </c>
      <c r="N168" t="s">
        <v>557</v>
      </c>
      <c r="P168" s="224"/>
      <c r="Q168" t="s">
        <v>184</v>
      </c>
      <c r="S168" s="352">
        <v>0.5</v>
      </c>
      <c r="T168" s="352">
        <v>0.5</v>
      </c>
      <c r="U168" s="352">
        <v>0.52</v>
      </c>
      <c r="V168" s="352">
        <v>0.54</v>
      </c>
      <c r="W168" s="352">
        <v>0.56000000000000005</v>
      </c>
      <c r="X168" s="352">
        <v>0.57999999999999996</v>
      </c>
      <c r="Y168" s="352">
        <v>0.6</v>
      </c>
      <c r="Z168" s="365">
        <f t="shared" si="98"/>
        <v>0.6</v>
      </c>
      <c r="AA168" s="365">
        <f t="shared" si="98"/>
        <v>0.6</v>
      </c>
      <c r="AB168" s="365">
        <f t="shared" si="98"/>
        <v>0.6</v>
      </c>
      <c r="AC168" s="365">
        <f t="shared" si="98"/>
        <v>0.6</v>
      </c>
      <c r="AD168" s="365">
        <f t="shared" si="98"/>
        <v>0.6</v>
      </c>
    </row>
    <row r="169" spans="2:30" x14ac:dyDescent="0.2">
      <c r="D169" s="347" t="str">
        <f t="shared" si="96"/>
        <v>Battery - ME efficiency</v>
      </c>
      <c r="E169" t="s">
        <v>189</v>
      </c>
      <c r="N169" t="s">
        <v>330</v>
      </c>
      <c r="P169" s="224"/>
      <c r="Q169" t="s">
        <v>184</v>
      </c>
      <c r="S169" s="352">
        <f>'Main Assumptions'!D17</f>
        <v>0.9</v>
      </c>
      <c r="T169" s="352">
        <f>'Main Assumptions'!E17</f>
        <v>0.9</v>
      </c>
      <c r="U169" s="352">
        <f>'Main Assumptions'!F17</f>
        <v>0.9</v>
      </c>
      <c r="V169" s="352">
        <f>'Main Assumptions'!G17</f>
        <v>0.9</v>
      </c>
      <c r="W169" s="352">
        <f>'Main Assumptions'!H17</f>
        <v>0.9</v>
      </c>
      <c r="X169" s="352">
        <f>'Main Assumptions'!I17</f>
        <v>0.9</v>
      </c>
      <c r="Y169" s="352">
        <f>'Main Assumptions'!J17</f>
        <v>0.9</v>
      </c>
      <c r="Z169" s="365">
        <f t="shared" si="98"/>
        <v>0.9</v>
      </c>
      <c r="AA169" s="365">
        <f t="shared" si="98"/>
        <v>0.9</v>
      </c>
      <c r="AB169" s="365">
        <f t="shared" si="98"/>
        <v>0.9</v>
      </c>
      <c r="AC169" s="365">
        <f t="shared" si="98"/>
        <v>0.9</v>
      </c>
      <c r="AD169" s="365">
        <f t="shared" si="98"/>
        <v>0.9</v>
      </c>
    </row>
    <row r="170" spans="2:30" x14ac:dyDescent="0.2">
      <c r="B170"/>
      <c r="C170"/>
      <c r="D170"/>
    </row>
    <row r="171" spans="2:30" x14ac:dyDescent="0.2">
      <c r="D171" s="347" t="str">
        <f t="shared" ref="D171:D178" si="99">_xlfn.TEXTJOIN(keydelim,TRUE,E171:N171)</f>
        <v>ICE HFO - AE efficiency</v>
      </c>
      <c r="E171" t="s">
        <v>112</v>
      </c>
      <c r="N171" t="s">
        <v>346</v>
      </c>
      <c r="P171" s="224"/>
      <c r="Q171" t="s">
        <v>184</v>
      </c>
      <c r="S171" s="352">
        <v>0.4</v>
      </c>
      <c r="T171" s="365">
        <f t="shared" ref="T171:AD171" si="100">1-(1-S171)*(1+T$178)^5</f>
        <v>0.4</v>
      </c>
      <c r="U171" s="365">
        <f t="shared" si="100"/>
        <v>0.4</v>
      </c>
      <c r="V171" s="365">
        <f t="shared" si="100"/>
        <v>0.4</v>
      </c>
      <c r="W171" s="365">
        <f t="shared" si="100"/>
        <v>0.4</v>
      </c>
      <c r="X171" s="365">
        <f t="shared" si="100"/>
        <v>0.4</v>
      </c>
      <c r="Y171" s="365">
        <f t="shared" si="100"/>
        <v>0.4</v>
      </c>
      <c r="Z171" s="365">
        <f t="shared" si="100"/>
        <v>0.4</v>
      </c>
      <c r="AA171" s="365">
        <f t="shared" si="100"/>
        <v>0.4</v>
      </c>
      <c r="AB171" s="365">
        <f t="shared" si="100"/>
        <v>0.4</v>
      </c>
      <c r="AC171" s="365">
        <f t="shared" si="100"/>
        <v>0.4</v>
      </c>
      <c r="AD171" s="365">
        <f t="shared" si="100"/>
        <v>0.4</v>
      </c>
    </row>
    <row r="172" spans="2:30" x14ac:dyDescent="0.2">
      <c r="D172" s="347" t="str">
        <f t="shared" si="99"/>
        <v>ICE Ammonia - AE efficiency</v>
      </c>
      <c r="E172" t="s">
        <v>115</v>
      </c>
      <c r="N172" t="s">
        <v>346</v>
      </c>
      <c r="P172" s="224"/>
      <c r="Q172" t="s">
        <v>184</v>
      </c>
      <c r="S172" s="365">
        <f>S163/S162*S171</f>
        <v>0.4</v>
      </c>
      <c r="T172" s="365">
        <f t="shared" ref="T172:AD172" si="101">1-(1-S172)*(1+T$178)^5</f>
        <v>0.4</v>
      </c>
      <c r="U172" s="365">
        <f t="shared" si="101"/>
        <v>0.4</v>
      </c>
      <c r="V172" s="365">
        <f t="shared" si="101"/>
        <v>0.4</v>
      </c>
      <c r="W172" s="365">
        <f t="shared" si="101"/>
        <v>0.4</v>
      </c>
      <c r="X172" s="365">
        <f t="shared" si="101"/>
        <v>0.4</v>
      </c>
      <c r="Y172" s="365">
        <f t="shared" si="101"/>
        <v>0.4</v>
      </c>
      <c r="Z172" s="365">
        <f t="shared" si="101"/>
        <v>0.4</v>
      </c>
      <c r="AA172" s="365">
        <f t="shared" si="101"/>
        <v>0.4</v>
      </c>
      <c r="AB172" s="365">
        <f t="shared" si="101"/>
        <v>0.4</v>
      </c>
      <c r="AC172" s="365">
        <f t="shared" si="101"/>
        <v>0.4</v>
      </c>
      <c r="AD172" s="365">
        <f t="shared" si="101"/>
        <v>0.4</v>
      </c>
    </row>
    <row r="173" spans="2:30" x14ac:dyDescent="0.2">
      <c r="D173" s="347" t="str">
        <f t="shared" si="99"/>
        <v>ICE Methanol - AE efficiency</v>
      </c>
      <c r="E173" t="s">
        <v>114</v>
      </c>
      <c r="N173" t="s">
        <v>346</v>
      </c>
      <c r="P173" s="224"/>
      <c r="Q173" t="s">
        <v>184</v>
      </c>
      <c r="S173" s="365">
        <f>S172</f>
        <v>0.4</v>
      </c>
      <c r="T173" s="365">
        <f t="shared" ref="T173:AD173" si="102">1-(1-S173)*(1+T$178)^5</f>
        <v>0.4</v>
      </c>
      <c r="U173" s="365">
        <f t="shared" si="102"/>
        <v>0.4</v>
      </c>
      <c r="V173" s="365">
        <f t="shared" si="102"/>
        <v>0.4</v>
      </c>
      <c r="W173" s="365">
        <f t="shared" si="102"/>
        <v>0.4</v>
      </c>
      <c r="X173" s="365">
        <f t="shared" si="102"/>
        <v>0.4</v>
      </c>
      <c r="Y173" s="365">
        <f t="shared" si="102"/>
        <v>0.4</v>
      </c>
      <c r="Z173" s="365">
        <f t="shared" si="102"/>
        <v>0.4</v>
      </c>
      <c r="AA173" s="365">
        <f t="shared" si="102"/>
        <v>0.4</v>
      </c>
      <c r="AB173" s="365">
        <f t="shared" si="102"/>
        <v>0.4</v>
      </c>
      <c r="AC173" s="365">
        <f t="shared" si="102"/>
        <v>0.4</v>
      </c>
      <c r="AD173" s="365">
        <f t="shared" si="102"/>
        <v>0.4</v>
      </c>
    </row>
    <row r="174" spans="2:30" x14ac:dyDescent="0.2">
      <c r="D174" s="347" t="str">
        <f t="shared" si="99"/>
        <v>ICE LNG - AE efficiency</v>
      </c>
      <c r="E174" t="s">
        <v>113</v>
      </c>
      <c r="N174" t="s">
        <v>346</v>
      </c>
      <c r="P174" s="224"/>
      <c r="Q174" t="s">
        <v>184</v>
      </c>
      <c r="S174" s="365">
        <f>S173</f>
        <v>0.4</v>
      </c>
      <c r="T174" s="365">
        <f t="shared" ref="T174:AD174" si="103">1-(1-S174)*(1+T$178)^5</f>
        <v>0.4</v>
      </c>
      <c r="U174" s="365">
        <f t="shared" si="103"/>
        <v>0.4</v>
      </c>
      <c r="V174" s="365">
        <f t="shared" si="103"/>
        <v>0.4</v>
      </c>
      <c r="W174" s="365">
        <f t="shared" si="103"/>
        <v>0.4</v>
      </c>
      <c r="X174" s="365">
        <f t="shared" si="103"/>
        <v>0.4</v>
      </c>
      <c r="Y174" s="365">
        <f t="shared" si="103"/>
        <v>0.4</v>
      </c>
      <c r="Z174" s="365">
        <f t="shared" si="103"/>
        <v>0.4</v>
      </c>
      <c r="AA174" s="365">
        <f t="shared" si="103"/>
        <v>0.4</v>
      </c>
      <c r="AB174" s="365">
        <f t="shared" si="103"/>
        <v>0.4</v>
      </c>
      <c r="AC174" s="365">
        <f t="shared" si="103"/>
        <v>0.4</v>
      </c>
      <c r="AD174" s="365">
        <f t="shared" si="103"/>
        <v>0.4</v>
      </c>
    </row>
    <row r="175" spans="2:30" x14ac:dyDescent="0.2">
      <c r="D175" s="347" t="str">
        <f>_xlfn.TEXTJOIN(keydelim,TRUE,E175:N175)</f>
        <v>ICE LPG - AE efficiency</v>
      </c>
      <c r="E175" t="s">
        <v>513</v>
      </c>
      <c r="N175" t="s">
        <v>346</v>
      </c>
      <c r="Q175" t="s">
        <v>184</v>
      </c>
      <c r="S175" s="365">
        <f>S173</f>
        <v>0.4</v>
      </c>
      <c r="T175" s="365">
        <f t="shared" ref="T175:AD175" si="104">1-(1-S175)*(1+T$178)^5</f>
        <v>0.4</v>
      </c>
      <c r="U175" s="365">
        <f t="shared" si="104"/>
        <v>0.4</v>
      </c>
      <c r="V175" s="365">
        <f t="shared" si="104"/>
        <v>0.4</v>
      </c>
      <c r="W175" s="365">
        <f t="shared" si="104"/>
        <v>0.4</v>
      </c>
      <c r="X175" s="365">
        <f t="shared" si="104"/>
        <v>0.4</v>
      </c>
      <c r="Y175" s="365">
        <f t="shared" si="104"/>
        <v>0.4</v>
      </c>
      <c r="Z175" s="365">
        <f t="shared" si="104"/>
        <v>0.4</v>
      </c>
      <c r="AA175" s="365">
        <f t="shared" si="104"/>
        <v>0.4</v>
      </c>
      <c r="AB175" s="365">
        <f t="shared" si="104"/>
        <v>0.4</v>
      </c>
      <c r="AC175" s="365">
        <f t="shared" si="104"/>
        <v>0.4</v>
      </c>
      <c r="AD175" s="365">
        <f t="shared" si="104"/>
        <v>0.4</v>
      </c>
    </row>
    <row r="176" spans="2:30" x14ac:dyDescent="0.2">
      <c r="D176" s="347" t="str">
        <f t="shared" si="99"/>
        <v>Fuel cell - AE efficiency</v>
      </c>
      <c r="E176" t="s">
        <v>62</v>
      </c>
      <c r="N176" t="s">
        <v>346</v>
      </c>
      <c r="Q176" t="s">
        <v>184</v>
      </c>
      <c r="S176" s="352">
        <f t="shared" ref="S176:AD176" si="105">+S167</f>
        <v>0.5</v>
      </c>
      <c r="T176" s="365">
        <f t="shared" si="105"/>
        <v>0.5</v>
      </c>
      <c r="U176" s="365">
        <f t="shared" si="105"/>
        <v>0.52</v>
      </c>
      <c r="V176" s="365">
        <f t="shared" si="105"/>
        <v>0.54</v>
      </c>
      <c r="W176" s="365">
        <f t="shared" si="105"/>
        <v>0.56000000000000005</v>
      </c>
      <c r="X176" s="365">
        <f t="shared" si="105"/>
        <v>0.57999999999999996</v>
      </c>
      <c r="Y176" s="365">
        <f t="shared" si="105"/>
        <v>0.6</v>
      </c>
      <c r="Z176" s="365">
        <f t="shared" si="105"/>
        <v>0.6</v>
      </c>
      <c r="AA176" s="365">
        <f t="shared" si="105"/>
        <v>0.6</v>
      </c>
      <c r="AB176" s="365">
        <f t="shared" si="105"/>
        <v>0.6</v>
      </c>
      <c r="AC176" s="365">
        <f t="shared" si="105"/>
        <v>0.6</v>
      </c>
      <c r="AD176" s="365">
        <f t="shared" si="105"/>
        <v>0.6</v>
      </c>
    </row>
    <row r="177" spans="4:30" x14ac:dyDescent="0.2">
      <c r="D177" s="347" t="str">
        <f t="shared" si="99"/>
        <v>Battery - AE efficiency</v>
      </c>
      <c r="E177" t="s">
        <v>189</v>
      </c>
      <c r="N177" t="s">
        <v>346</v>
      </c>
      <c r="Q177" t="s">
        <v>184</v>
      </c>
      <c r="S177" s="352">
        <v>0.9</v>
      </c>
      <c r="T177" s="365">
        <f t="shared" ref="T177:AD177" si="106">1-(1-S177)*(1-T$178)^5</f>
        <v>0.9</v>
      </c>
      <c r="U177" s="365">
        <f t="shared" si="106"/>
        <v>0.9</v>
      </c>
      <c r="V177" s="365">
        <f t="shared" si="106"/>
        <v>0.9</v>
      </c>
      <c r="W177" s="365">
        <f t="shared" si="106"/>
        <v>0.9</v>
      </c>
      <c r="X177" s="365">
        <f t="shared" si="106"/>
        <v>0.9</v>
      </c>
      <c r="Y177" s="365">
        <f t="shared" si="106"/>
        <v>0.9</v>
      </c>
      <c r="Z177" s="365">
        <f t="shared" si="106"/>
        <v>0.9</v>
      </c>
      <c r="AA177" s="365">
        <f t="shared" si="106"/>
        <v>0.9</v>
      </c>
      <c r="AB177" s="365">
        <f t="shared" si="106"/>
        <v>0.9</v>
      </c>
      <c r="AC177" s="365">
        <f t="shared" si="106"/>
        <v>0.9</v>
      </c>
      <c r="AD177" s="365">
        <f t="shared" si="106"/>
        <v>0.9</v>
      </c>
    </row>
    <row r="178" spans="4:30" x14ac:dyDescent="0.2">
      <c r="D178" s="347" t="str">
        <f t="shared" si="99"/>
        <v>AE efficiency - improvement</v>
      </c>
      <c r="F178" s="48"/>
      <c r="G178" s="224"/>
      <c r="H178" s="224"/>
      <c r="I178" s="224"/>
      <c r="J178" s="224"/>
      <c r="K178" s="224"/>
      <c r="L178" s="224"/>
      <c r="M178" s="224"/>
      <c r="N178" t="str">
        <f>N177 &amp;keydelim&amp; "improvement"</f>
        <v>AE efficiency - improvement</v>
      </c>
      <c r="P178" s="224" t="s">
        <v>558</v>
      </c>
      <c r="Q178" s="224" t="s">
        <v>559</v>
      </c>
      <c r="R178" s="366">
        <v>0</v>
      </c>
      <c r="S178" s="26">
        <f>R178</f>
        <v>0</v>
      </c>
      <c r="T178" s="367">
        <f t="shared" ref="T178:Y178" si="107">S178</f>
        <v>0</v>
      </c>
      <c r="U178" s="367">
        <f t="shared" si="107"/>
        <v>0</v>
      </c>
      <c r="V178" s="367">
        <f t="shared" si="107"/>
        <v>0</v>
      </c>
      <c r="W178" s="367">
        <f t="shared" si="107"/>
        <v>0</v>
      </c>
      <c r="X178" s="367">
        <f t="shared" si="107"/>
        <v>0</v>
      </c>
      <c r="Y178" s="367">
        <f t="shared" si="107"/>
        <v>0</v>
      </c>
      <c r="Z178" s="368"/>
      <c r="AA178" s="368"/>
      <c r="AB178" s="368"/>
      <c r="AC178" s="368"/>
      <c r="AD178" s="368"/>
    </row>
    <row r="179" spans="4:30" x14ac:dyDescent="0.2">
      <c r="S179" s="118"/>
      <c r="T179" s="118"/>
      <c r="U179" s="118"/>
      <c r="V179" s="118"/>
      <c r="W179" s="118"/>
      <c r="X179" s="118"/>
      <c r="Y179" s="118"/>
      <c r="Z179" s="118"/>
      <c r="AA179" s="118"/>
      <c r="AB179" s="118"/>
      <c r="AC179" s="118"/>
      <c r="AD179" s="118"/>
    </row>
    <row r="180" spans="4:30" x14ac:dyDescent="0.2">
      <c r="D180" s="347" t="str">
        <f t="shared" ref="D180:D189" si="108">_xlfn.TEXTJOIN(keydelim,TRUE,E180:N180)</f>
        <v>HFO - Boiler efficiency</v>
      </c>
      <c r="F180" s="48"/>
      <c r="G180" t="s">
        <v>527</v>
      </c>
      <c r="N180" t="s">
        <v>353</v>
      </c>
      <c r="Q180" t="s">
        <v>184</v>
      </c>
      <c r="S180" s="352">
        <v>1</v>
      </c>
      <c r="T180" s="365">
        <f t="shared" ref="T180:AD180" si="109">1-(1-S180)*(1+T$189)^5</f>
        <v>1</v>
      </c>
      <c r="U180" s="365">
        <f t="shared" si="109"/>
        <v>1</v>
      </c>
      <c r="V180" s="365">
        <f t="shared" si="109"/>
        <v>1</v>
      </c>
      <c r="W180" s="365">
        <f t="shared" si="109"/>
        <v>1</v>
      </c>
      <c r="X180" s="365">
        <f t="shared" si="109"/>
        <v>1</v>
      </c>
      <c r="Y180" s="365">
        <f t="shared" si="109"/>
        <v>1</v>
      </c>
      <c r="Z180" s="365">
        <f t="shared" si="109"/>
        <v>1</v>
      </c>
      <c r="AA180" s="365">
        <f t="shared" si="109"/>
        <v>1</v>
      </c>
      <c r="AB180" s="365">
        <f t="shared" si="109"/>
        <v>1</v>
      </c>
      <c r="AC180" s="365">
        <f t="shared" si="109"/>
        <v>1</v>
      </c>
      <c r="AD180" s="365">
        <f t="shared" si="109"/>
        <v>1</v>
      </c>
    </row>
    <row r="181" spans="4:30" x14ac:dyDescent="0.2">
      <c r="D181" s="347" t="str">
        <f t="shared" si="108"/>
        <v>LNG - Boiler efficiency</v>
      </c>
      <c r="F181" s="48"/>
      <c r="G181" t="s">
        <v>528</v>
      </c>
      <c r="N181" t="s">
        <v>353</v>
      </c>
      <c r="Q181" t="s">
        <v>184</v>
      </c>
      <c r="S181" s="365">
        <f>S180</f>
        <v>1</v>
      </c>
      <c r="T181" s="365">
        <f t="shared" ref="T181:AD181" si="110">1-(1-S181)*(1+T$189)^5</f>
        <v>1</v>
      </c>
      <c r="U181" s="365">
        <f t="shared" si="110"/>
        <v>1</v>
      </c>
      <c r="V181" s="365">
        <f t="shared" si="110"/>
        <v>1</v>
      </c>
      <c r="W181" s="365">
        <f t="shared" si="110"/>
        <v>1</v>
      </c>
      <c r="X181" s="365">
        <f t="shared" si="110"/>
        <v>1</v>
      </c>
      <c r="Y181" s="365">
        <f t="shared" si="110"/>
        <v>1</v>
      </c>
      <c r="Z181" s="365">
        <f t="shared" si="110"/>
        <v>1</v>
      </c>
      <c r="AA181" s="365">
        <f t="shared" si="110"/>
        <v>1</v>
      </c>
      <c r="AB181" s="365">
        <f t="shared" si="110"/>
        <v>1</v>
      </c>
      <c r="AC181" s="365">
        <f t="shared" si="110"/>
        <v>1</v>
      </c>
      <c r="AD181" s="365">
        <f t="shared" si="110"/>
        <v>1</v>
      </c>
    </row>
    <row r="182" spans="4:30" x14ac:dyDescent="0.2">
      <c r="D182" s="347" t="str">
        <f t="shared" si="108"/>
        <v>Ammonia - Boiler efficiency</v>
      </c>
      <c r="F182" s="48"/>
      <c r="G182" t="s">
        <v>529</v>
      </c>
      <c r="N182" t="s">
        <v>353</v>
      </c>
      <c r="Q182" t="s">
        <v>184</v>
      </c>
      <c r="S182" s="365">
        <f t="shared" ref="S182:S188" si="111">S181</f>
        <v>1</v>
      </c>
      <c r="T182" s="365">
        <f t="shared" ref="T182:AD182" si="112">1-(1-S182)*(1+T$189)^5</f>
        <v>1</v>
      </c>
      <c r="U182" s="365">
        <f t="shared" si="112"/>
        <v>1</v>
      </c>
      <c r="V182" s="365">
        <f t="shared" si="112"/>
        <v>1</v>
      </c>
      <c r="W182" s="365">
        <f t="shared" si="112"/>
        <v>1</v>
      </c>
      <c r="X182" s="365">
        <f t="shared" si="112"/>
        <v>1</v>
      </c>
      <c r="Y182" s="365">
        <f t="shared" si="112"/>
        <v>1</v>
      </c>
      <c r="Z182" s="365">
        <f t="shared" si="112"/>
        <v>1</v>
      </c>
      <c r="AA182" s="365">
        <f t="shared" si="112"/>
        <v>1</v>
      </c>
      <c r="AB182" s="365">
        <f t="shared" si="112"/>
        <v>1</v>
      </c>
      <c r="AC182" s="365">
        <f t="shared" si="112"/>
        <v>1</v>
      </c>
      <c r="AD182" s="365">
        <f t="shared" si="112"/>
        <v>1</v>
      </c>
    </row>
    <row r="183" spans="4:30" x14ac:dyDescent="0.2">
      <c r="D183" s="347" t="str">
        <f t="shared" si="108"/>
        <v>Methanol - Boiler efficiency</v>
      </c>
      <c r="F183" s="48"/>
      <c r="G183" t="s">
        <v>530</v>
      </c>
      <c r="N183" t="s">
        <v>353</v>
      </c>
      <c r="Q183" t="s">
        <v>184</v>
      </c>
      <c r="S183" s="365">
        <f t="shared" si="111"/>
        <v>1</v>
      </c>
      <c r="T183" s="365">
        <f t="shared" ref="T183:AD183" si="113">1-(1-S183)*(1+T$189)^5</f>
        <v>1</v>
      </c>
      <c r="U183" s="365">
        <f t="shared" si="113"/>
        <v>1</v>
      </c>
      <c r="V183" s="365">
        <f t="shared" si="113"/>
        <v>1</v>
      </c>
      <c r="W183" s="365">
        <f t="shared" si="113"/>
        <v>1</v>
      </c>
      <c r="X183" s="365">
        <f t="shared" si="113"/>
        <v>1</v>
      </c>
      <c r="Y183" s="365">
        <f t="shared" si="113"/>
        <v>1</v>
      </c>
      <c r="Z183" s="365">
        <f t="shared" si="113"/>
        <v>1</v>
      </c>
      <c r="AA183" s="365">
        <f t="shared" si="113"/>
        <v>1</v>
      </c>
      <c r="AB183" s="365">
        <f t="shared" si="113"/>
        <v>1</v>
      </c>
      <c r="AC183" s="365">
        <f t="shared" si="113"/>
        <v>1</v>
      </c>
      <c r="AD183" s="365">
        <f t="shared" si="113"/>
        <v>1</v>
      </c>
    </row>
    <row r="184" spans="4:30" x14ac:dyDescent="0.2">
      <c r="D184" s="347" t="str">
        <f t="shared" si="108"/>
        <v>Liquid hydrogen - Boiler efficiency</v>
      </c>
      <c r="F184" s="48"/>
      <c r="G184" t="s">
        <v>531</v>
      </c>
      <c r="N184" t="s">
        <v>353</v>
      </c>
      <c r="Q184" t="s">
        <v>184</v>
      </c>
      <c r="S184" s="365">
        <f t="shared" si="111"/>
        <v>1</v>
      </c>
      <c r="T184" s="365">
        <f t="shared" ref="T184:AD184" si="114">1-(1-S184)*(1+T$189)^5</f>
        <v>1</v>
      </c>
      <c r="U184" s="365">
        <f t="shared" si="114"/>
        <v>1</v>
      </c>
      <c r="V184" s="365">
        <f t="shared" si="114"/>
        <v>1</v>
      </c>
      <c r="W184" s="365">
        <f t="shared" si="114"/>
        <v>1</v>
      </c>
      <c r="X184" s="365">
        <f t="shared" si="114"/>
        <v>1</v>
      </c>
      <c r="Y184" s="365">
        <f t="shared" si="114"/>
        <v>1</v>
      </c>
      <c r="Z184" s="365">
        <f t="shared" si="114"/>
        <v>1</v>
      </c>
      <c r="AA184" s="365">
        <f t="shared" si="114"/>
        <v>1</v>
      </c>
      <c r="AB184" s="365">
        <f t="shared" si="114"/>
        <v>1</v>
      </c>
      <c r="AC184" s="365">
        <f t="shared" si="114"/>
        <v>1</v>
      </c>
      <c r="AD184" s="365">
        <f t="shared" si="114"/>
        <v>1</v>
      </c>
    </row>
    <row r="185" spans="4:30" x14ac:dyDescent="0.2">
      <c r="D185" s="347" t="str">
        <f t="shared" si="108"/>
        <v>Compressed hydrogen - Boiler efficiency</v>
      </c>
      <c r="F185" s="48"/>
      <c r="G185" t="s">
        <v>532</v>
      </c>
      <c r="N185" t="s">
        <v>353</v>
      </c>
      <c r="Q185" t="s">
        <v>184</v>
      </c>
      <c r="S185" s="365">
        <f t="shared" si="111"/>
        <v>1</v>
      </c>
      <c r="T185" s="365">
        <f t="shared" ref="T185:AD185" si="115">1-(1-S185)*(1+T$189)^5</f>
        <v>1</v>
      </c>
      <c r="U185" s="365">
        <f t="shared" si="115"/>
        <v>1</v>
      </c>
      <c r="V185" s="365">
        <f t="shared" si="115"/>
        <v>1</v>
      </c>
      <c r="W185" s="365">
        <f t="shared" si="115"/>
        <v>1</v>
      </c>
      <c r="X185" s="365">
        <f t="shared" si="115"/>
        <v>1</v>
      </c>
      <c r="Y185" s="365">
        <f t="shared" si="115"/>
        <v>1</v>
      </c>
      <c r="Z185" s="365">
        <f t="shared" si="115"/>
        <v>1</v>
      </c>
      <c r="AA185" s="365">
        <f t="shared" si="115"/>
        <v>1</v>
      </c>
      <c r="AB185" s="365">
        <f t="shared" si="115"/>
        <v>1</v>
      </c>
      <c r="AC185" s="365">
        <f t="shared" si="115"/>
        <v>1</v>
      </c>
      <c r="AD185" s="365">
        <f t="shared" si="115"/>
        <v>1</v>
      </c>
    </row>
    <row r="186" spans="4:30" x14ac:dyDescent="0.2">
      <c r="D186" s="347" t="str">
        <f t="shared" si="108"/>
        <v>Electricity - Boiler efficiency</v>
      </c>
      <c r="F186" s="48"/>
      <c r="G186" t="s">
        <v>54</v>
      </c>
      <c r="N186" t="s">
        <v>353</v>
      </c>
      <c r="Q186" t="s">
        <v>184</v>
      </c>
      <c r="S186" s="365">
        <f t="shared" si="111"/>
        <v>1</v>
      </c>
      <c r="T186" s="365">
        <f t="shared" ref="T186:AD186" si="116">1-(1-S186)*(1+T$189)^5</f>
        <v>1</v>
      </c>
      <c r="U186" s="365">
        <f t="shared" si="116"/>
        <v>1</v>
      </c>
      <c r="V186" s="365">
        <f t="shared" si="116"/>
        <v>1</v>
      </c>
      <c r="W186" s="365">
        <f t="shared" si="116"/>
        <v>1</v>
      </c>
      <c r="X186" s="365">
        <f t="shared" si="116"/>
        <v>1</v>
      </c>
      <c r="Y186" s="365">
        <f t="shared" si="116"/>
        <v>1</v>
      </c>
      <c r="Z186" s="365">
        <f t="shared" si="116"/>
        <v>1</v>
      </c>
      <c r="AA186" s="365">
        <f t="shared" si="116"/>
        <v>1</v>
      </c>
      <c r="AB186" s="365">
        <f t="shared" si="116"/>
        <v>1</v>
      </c>
      <c r="AC186" s="365">
        <f t="shared" si="116"/>
        <v>1</v>
      </c>
      <c r="AD186" s="365">
        <f t="shared" si="116"/>
        <v>1</v>
      </c>
    </row>
    <row r="187" spans="4:30" x14ac:dyDescent="0.2">
      <c r="D187" s="347" t="str">
        <f t="shared" si="108"/>
        <v>Diesel - Boiler efficiency</v>
      </c>
      <c r="F187" s="48"/>
      <c r="G187" t="s">
        <v>533</v>
      </c>
      <c r="N187" t="s">
        <v>353</v>
      </c>
      <c r="Q187" t="s">
        <v>184</v>
      </c>
      <c r="S187" s="365">
        <f t="shared" si="111"/>
        <v>1</v>
      </c>
      <c r="T187" s="365">
        <f t="shared" ref="T187:AD187" si="117">1-(1-S187)*(1+T$189)^5</f>
        <v>1</v>
      </c>
      <c r="U187" s="365">
        <f t="shared" si="117"/>
        <v>1</v>
      </c>
      <c r="V187" s="365">
        <f t="shared" si="117"/>
        <v>1</v>
      </c>
      <c r="W187" s="365">
        <f t="shared" si="117"/>
        <v>1</v>
      </c>
      <c r="X187" s="365">
        <f t="shared" si="117"/>
        <v>1</v>
      </c>
      <c r="Y187" s="365">
        <f t="shared" si="117"/>
        <v>1</v>
      </c>
      <c r="Z187" s="365">
        <f t="shared" si="117"/>
        <v>1</v>
      </c>
      <c r="AA187" s="365">
        <f t="shared" si="117"/>
        <v>1</v>
      </c>
      <c r="AB187" s="365">
        <f t="shared" si="117"/>
        <v>1</v>
      </c>
      <c r="AC187" s="365">
        <f t="shared" si="117"/>
        <v>1</v>
      </c>
      <c r="AD187" s="365">
        <f t="shared" si="117"/>
        <v>1</v>
      </c>
    </row>
    <row r="188" spans="4:30" x14ac:dyDescent="0.2">
      <c r="D188" s="347" t="str">
        <f>_xlfn.TEXTJOIN(keydelim,TRUE,E188:N188)</f>
        <v>LPG - Boiler efficiency</v>
      </c>
      <c r="F188" s="48"/>
      <c r="G188" t="s">
        <v>534</v>
      </c>
      <c r="N188" t="s">
        <v>353</v>
      </c>
      <c r="Q188" t="s">
        <v>184</v>
      </c>
      <c r="S188" s="365">
        <f t="shared" si="111"/>
        <v>1</v>
      </c>
      <c r="T188" s="365">
        <f t="shared" ref="T188:AD188" si="118">1-(1-S188)*(1+T$189)^5</f>
        <v>1</v>
      </c>
      <c r="U188" s="365">
        <f t="shared" si="118"/>
        <v>1</v>
      </c>
      <c r="V188" s="365">
        <f t="shared" si="118"/>
        <v>1</v>
      </c>
      <c r="W188" s="365">
        <f t="shared" si="118"/>
        <v>1</v>
      </c>
      <c r="X188" s="365">
        <f t="shared" si="118"/>
        <v>1</v>
      </c>
      <c r="Y188" s="365">
        <f t="shared" si="118"/>
        <v>1</v>
      </c>
      <c r="Z188" s="365">
        <f t="shared" si="118"/>
        <v>1</v>
      </c>
      <c r="AA188" s="365">
        <f t="shared" si="118"/>
        <v>1</v>
      </c>
      <c r="AB188" s="365">
        <f t="shared" si="118"/>
        <v>1</v>
      </c>
      <c r="AC188" s="365">
        <f t="shared" si="118"/>
        <v>1</v>
      </c>
      <c r="AD188" s="365">
        <f t="shared" si="118"/>
        <v>1</v>
      </c>
    </row>
    <row r="189" spans="4:30" x14ac:dyDescent="0.2">
      <c r="D189" s="347" t="str">
        <f t="shared" si="108"/>
        <v>Boiler efficiency - improvement</v>
      </c>
      <c r="F189" s="48"/>
      <c r="G189" s="224"/>
      <c r="H189" s="224"/>
      <c r="I189" s="224"/>
      <c r="J189" s="224"/>
      <c r="K189" s="224"/>
      <c r="L189" s="224"/>
      <c r="M189" s="224"/>
      <c r="N189" t="str">
        <f>N188 &amp;keydelim&amp; "improvement"</f>
        <v>Boiler efficiency - improvement</v>
      </c>
      <c r="P189" s="224" t="s">
        <v>558</v>
      </c>
      <c r="Q189" s="224" t="s">
        <v>559</v>
      </c>
      <c r="R189" s="366">
        <v>0</v>
      </c>
      <c r="S189" s="369">
        <f>R189</f>
        <v>0</v>
      </c>
      <c r="T189" s="370">
        <f t="shared" ref="T189:Y189" si="119">S189</f>
        <v>0</v>
      </c>
      <c r="U189" s="370">
        <f t="shared" si="119"/>
        <v>0</v>
      </c>
      <c r="V189" s="370">
        <f t="shared" si="119"/>
        <v>0</v>
      </c>
      <c r="W189" s="370">
        <f t="shared" si="119"/>
        <v>0</v>
      </c>
      <c r="X189" s="370">
        <f t="shared" si="119"/>
        <v>0</v>
      </c>
      <c r="Y189" s="370">
        <f t="shared" si="119"/>
        <v>0</v>
      </c>
      <c r="Z189" s="371">
        <v>0</v>
      </c>
      <c r="AA189" s="371">
        <v>0</v>
      </c>
      <c r="AB189" s="371">
        <v>0</v>
      </c>
      <c r="AC189" s="371">
        <v>0</v>
      </c>
      <c r="AD189" s="371">
        <v>0</v>
      </c>
    </row>
    <row r="190" spans="4:30" x14ac:dyDescent="0.2">
      <c r="S190" s="372"/>
      <c r="T190" s="372"/>
      <c r="U190" s="372"/>
      <c r="V190" s="372"/>
      <c r="W190" s="372"/>
      <c r="X190" s="372"/>
      <c r="Y190" s="372"/>
      <c r="Z190" s="372"/>
      <c r="AA190" s="372"/>
      <c r="AB190" s="372"/>
      <c r="AC190" s="372"/>
      <c r="AD190" s="372"/>
    </row>
    <row r="191" spans="4:30" x14ac:dyDescent="0.2">
      <c r="D191" s="347" t="str">
        <f t="shared" ref="D191:D197" si="120">_xlfn.TEXTJOIN(keydelim,TRUE,E191:N191)</f>
        <v>ICE HFO - ME efficiency - relative</v>
      </c>
      <c r="E191" t="str">
        <f t="shared" ref="E191:E196" si="121">E162</f>
        <v>ICE HFO</v>
      </c>
      <c r="N191" t="str">
        <f t="shared" ref="N191:N196" si="122">N162&amp;keydelim&amp;"relative"</f>
        <v>ME efficiency - relative</v>
      </c>
      <c r="Q191" t="s">
        <v>560</v>
      </c>
      <c r="S191" s="365">
        <f t="shared" ref="S191:AD191" si="123">S162/$S$162</f>
        <v>1</v>
      </c>
      <c r="T191" s="365">
        <f t="shared" si="123"/>
        <v>1</v>
      </c>
      <c r="U191" s="365">
        <f t="shared" si="123"/>
        <v>1</v>
      </c>
      <c r="V191" s="365">
        <f t="shared" si="123"/>
        <v>1</v>
      </c>
      <c r="W191" s="365">
        <f t="shared" si="123"/>
        <v>1</v>
      </c>
      <c r="X191" s="365">
        <f t="shared" si="123"/>
        <v>1</v>
      </c>
      <c r="Y191" s="365">
        <f t="shared" si="123"/>
        <v>1</v>
      </c>
      <c r="Z191" s="365">
        <f t="shared" si="123"/>
        <v>1</v>
      </c>
      <c r="AA191" s="365">
        <f t="shared" si="123"/>
        <v>1</v>
      </c>
      <c r="AB191" s="365">
        <f t="shared" si="123"/>
        <v>1</v>
      </c>
      <c r="AC191" s="365">
        <f t="shared" si="123"/>
        <v>1</v>
      </c>
      <c r="AD191" s="365">
        <f t="shared" si="123"/>
        <v>1</v>
      </c>
    </row>
    <row r="192" spans="4:30" x14ac:dyDescent="0.2">
      <c r="D192" s="347" t="str">
        <f t="shared" si="120"/>
        <v>ICE Ammonia - ME efficiency - relative</v>
      </c>
      <c r="E192" t="str">
        <f t="shared" si="121"/>
        <v>ICE Ammonia</v>
      </c>
      <c r="N192" t="str">
        <f t="shared" si="122"/>
        <v>ME efficiency - relative</v>
      </c>
      <c r="Q192" t="s">
        <v>560</v>
      </c>
      <c r="S192" s="365">
        <f t="shared" ref="S192:AD192" si="124">S163/$S$162</f>
        <v>1</v>
      </c>
      <c r="T192" s="365">
        <f t="shared" si="124"/>
        <v>1</v>
      </c>
      <c r="U192" s="365">
        <f t="shared" si="124"/>
        <v>1</v>
      </c>
      <c r="V192" s="365">
        <f t="shared" si="124"/>
        <v>1</v>
      </c>
      <c r="W192" s="365">
        <f t="shared" si="124"/>
        <v>1</v>
      </c>
      <c r="X192" s="365">
        <f t="shared" si="124"/>
        <v>1</v>
      </c>
      <c r="Y192" s="365">
        <f t="shared" si="124"/>
        <v>1</v>
      </c>
      <c r="Z192" s="365">
        <f t="shared" si="124"/>
        <v>1</v>
      </c>
      <c r="AA192" s="365">
        <f t="shared" si="124"/>
        <v>1</v>
      </c>
      <c r="AB192" s="365">
        <f t="shared" si="124"/>
        <v>1</v>
      </c>
      <c r="AC192" s="365">
        <f t="shared" si="124"/>
        <v>1</v>
      </c>
      <c r="AD192" s="365">
        <f t="shared" si="124"/>
        <v>1</v>
      </c>
    </row>
    <row r="193" spans="2:30" x14ac:dyDescent="0.2">
      <c r="D193" s="347" t="str">
        <f t="shared" si="120"/>
        <v>ICE Methanol - ME efficiency - relative</v>
      </c>
      <c r="E193" t="str">
        <f t="shared" si="121"/>
        <v>ICE Methanol</v>
      </c>
      <c r="N193" t="str">
        <f t="shared" si="122"/>
        <v>ME efficiency - relative</v>
      </c>
      <c r="Q193" t="s">
        <v>560</v>
      </c>
      <c r="S193" s="365">
        <f t="shared" ref="S193:AD193" si="125">S164/$S$162</f>
        <v>1</v>
      </c>
      <c r="T193" s="365">
        <f t="shared" si="125"/>
        <v>1</v>
      </c>
      <c r="U193" s="365">
        <f t="shared" si="125"/>
        <v>1</v>
      </c>
      <c r="V193" s="365">
        <f t="shared" si="125"/>
        <v>1</v>
      </c>
      <c r="W193" s="365">
        <f t="shared" si="125"/>
        <v>1</v>
      </c>
      <c r="X193" s="365">
        <f t="shared" si="125"/>
        <v>1</v>
      </c>
      <c r="Y193" s="365">
        <f t="shared" si="125"/>
        <v>1</v>
      </c>
      <c r="Z193" s="365">
        <f t="shared" si="125"/>
        <v>1</v>
      </c>
      <c r="AA193" s="365">
        <f t="shared" si="125"/>
        <v>1</v>
      </c>
      <c r="AB193" s="365">
        <f t="shared" si="125"/>
        <v>1</v>
      </c>
      <c r="AC193" s="365">
        <f t="shared" si="125"/>
        <v>1</v>
      </c>
      <c r="AD193" s="365">
        <f t="shared" si="125"/>
        <v>1</v>
      </c>
    </row>
    <row r="194" spans="2:30" x14ac:dyDescent="0.2">
      <c r="D194" s="347" t="str">
        <f t="shared" si="120"/>
        <v>ICE LNG - ME efficiency - relative</v>
      </c>
      <c r="E194" t="str">
        <f t="shared" si="121"/>
        <v>ICE LNG</v>
      </c>
      <c r="N194" t="str">
        <f t="shared" si="122"/>
        <v>ME efficiency - relative</v>
      </c>
      <c r="Q194" t="s">
        <v>560</v>
      </c>
      <c r="S194" s="365">
        <f t="shared" ref="S194:AD194" si="126">S165/$S$162</f>
        <v>1</v>
      </c>
      <c r="T194" s="365">
        <f t="shared" si="126"/>
        <v>1</v>
      </c>
      <c r="U194" s="365">
        <f t="shared" si="126"/>
        <v>1</v>
      </c>
      <c r="V194" s="365">
        <f t="shared" si="126"/>
        <v>1</v>
      </c>
      <c r="W194" s="365">
        <f t="shared" si="126"/>
        <v>1</v>
      </c>
      <c r="X194" s="365">
        <f t="shared" si="126"/>
        <v>1</v>
      </c>
      <c r="Y194" s="365">
        <f t="shared" si="126"/>
        <v>1</v>
      </c>
      <c r="Z194" s="365">
        <f t="shared" si="126"/>
        <v>1</v>
      </c>
      <c r="AA194" s="365">
        <f t="shared" si="126"/>
        <v>1</v>
      </c>
      <c r="AB194" s="365">
        <f t="shared" si="126"/>
        <v>1</v>
      </c>
      <c r="AC194" s="365">
        <f t="shared" si="126"/>
        <v>1</v>
      </c>
      <c r="AD194" s="365">
        <f t="shared" si="126"/>
        <v>1</v>
      </c>
    </row>
    <row r="195" spans="2:30" x14ac:dyDescent="0.2">
      <c r="D195" s="347" t="str">
        <f>_xlfn.TEXTJOIN(keydelim,TRUE,E195:N195)</f>
        <v>ICE LPG - ME efficiency - relative</v>
      </c>
      <c r="E195" t="str">
        <f t="shared" si="121"/>
        <v>ICE LPG</v>
      </c>
      <c r="N195" t="str">
        <f t="shared" si="122"/>
        <v>ME efficiency - relative</v>
      </c>
      <c r="Q195" t="s">
        <v>560</v>
      </c>
      <c r="S195" s="365">
        <f t="shared" ref="S195:AD195" si="127">S166/$S$162</f>
        <v>1</v>
      </c>
      <c r="T195" s="365">
        <f t="shared" si="127"/>
        <v>1</v>
      </c>
      <c r="U195" s="365">
        <f t="shared" si="127"/>
        <v>1</v>
      </c>
      <c r="V195" s="365">
        <f t="shared" si="127"/>
        <v>1</v>
      </c>
      <c r="W195" s="365">
        <f t="shared" si="127"/>
        <v>1</v>
      </c>
      <c r="X195" s="365">
        <f t="shared" si="127"/>
        <v>1</v>
      </c>
      <c r="Y195" s="365">
        <f t="shared" si="127"/>
        <v>1</v>
      </c>
      <c r="Z195" s="365">
        <f t="shared" si="127"/>
        <v>1</v>
      </c>
      <c r="AA195" s="365">
        <f t="shared" si="127"/>
        <v>1</v>
      </c>
      <c r="AB195" s="365">
        <f t="shared" si="127"/>
        <v>1</v>
      </c>
      <c r="AC195" s="365">
        <f t="shared" si="127"/>
        <v>1</v>
      </c>
      <c r="AD195" s="365">
        <f t="shared" si="127"/>
        <v>1</v>
      </c>
    </row>
    <row r="196" spans="2:30" x14ac:dyDescent="0.2">
      <c r="D196" s="347" t="str">
        <f t="shared" si="120"/>
        <v>Fuel cell - ME efficiency - relative</v>
      </c>
      <c r="E196" t="str">
        <f t="shared" si="121"/>
        <v>Fuel cell</v>
      </c>
      <c r="N196" t="str">
        <f t="shared" si="122"/>
        <v>ME efficiency - relative</v>
      </c>
      <c r="Q196" t="s">
        <v>560</v>
      </c>
      <c r="S196" s="365">
        <f t="shared" ref="S196:AD196" si="128">S167/$S$162</f>
        <v>0.98039215686274506</v>
      </c>
      <c r="T196" s="365">
        <f t="shared" si="128"/>
        <v>0.98039215686274506</v>
      </c>
      <c r="U196" s="365">
        <f t="shared" si="128"/>
        <v>1.0196078431372548</v>
      </c>
      <c r="V196" s="365">
        <f t="shared" si="128"/>
        <v>1.0588235294117647</v>
      </c>
      <c r="W196" s="365">
        <f t="shared" si="128"/>
        <v>1.0980392156862746</v>
      </c>
      <c r="X196" s="365">
        <f t="shared" si="128"/>
        <v>1.1372549019607843</v>
      </c>
      <c r="Y196" s="365">
        <f t="shared" si="128"/>
        <v>1.1764705882352942</v>
      </c>
      <c r="Z196" s="365">
        <f t="shared" si="128"/>
        <v>1.1764705882352942</v>
      </c>
      <c r="AA196" s="365">
        <f t="shared" si="128"/>
        <v>1.1764705882352942</v>
      </c>
      <c r="AB196" s="365">
        <f t="shared" si="128"/>
        <v>1.1764705882352942</v>
      </c>
      <c r="AC196" s="365">
        <f t="shared" si="128"/>
        <v>1.1764705882352942</v>
      </c>
      <c r="AD196" s="365">
        <f t="shared" si="128"/>
        <v>1.1764705882352942</v>
      </c>
    </row>
    <row r="197" spans="2:30" x14ac:dyDescent="0.2">
      <c r="D197" s="347" t="str">
        <f t="shared" si="120"/>
        <v>Battery - ME efficiency - relative</v>
      </c>
      <c r="E197" t="str">
        <f>E169</f>
        <v>Battery</v>
      </c>
      <c r="N197" t="str">
        <f>N169&amp;keydelim&amp;"relative"</f>
        <v>ME efficiency - relative</v>
      </c>
      <c r="Q197" t="s">
        <v>560</v>
      </c>
      <c r="S197" s="365">
        <f t="shared" ref="S197:AD197" si="129">S169/$S$162</f>
        <v>1.7647058823529411</v>
      </c>
      <c r="T197" s="365">
        <f t="shared" si="129"/>
        <v>1.7647058823529411</v>
      </c>
      <c r="U197" s="365">
        <f t="shared" si="129"/>
        <v>1.7647058823529411</v>
      </c>
      <c r="V197" s="365">
        <f t="shared" si="129"/>
        <v>1.7647058823529411</v>
      </c>
      <c r="W197" s="365">
        <f t="shared" si="129"/>
        <v>1.7647058823529411</v>
      </c>
      <c r="X197" s="365">
        <f t="shared" si="129"/>
        <v>1.7647058823529411</v>
      </c>
      <c r="Y197" s="365">
        <f t="shared" si="129"/>
        <v>1.7647058823529411</v>
      </c>
      <c r="Z197" s="365">
        <f t="shared" si="129"/>
        <v>1.7647058823529411</v>
      </c>
      <c r="AA197" s="365">
        <f t="shared" si="129"/>
        <v>1.7647058823529411</v>
      </c>
      <c r="AB197" s="365">
        <f t="shared" si="129"/>
        <v>1.7647058823529411</v>
      </c>
      <c r="AC197" s="365">
        <f t="shared" si="129"/>
        <v>1.7647058823529411</v>
      </c>
      <c r="AD197" s="365">
        <f t="shared" si="129"/>
        <v>1.7647058823529411</v>
      </c>
    </row>
    <row r="198" spans="2:30" x14ac:dyDescent="0.2">
      <c r="S198" s="365"/>
      <c r="T198" s="365"/>
      <c r="U198" s="365"/>
      <c r="V198" s="365"/>
      <c r="W198" s="365"/>
      <c r="X198" s="365"/>
      <c r="Y198" s="365"/>
      <c r="Z198" s="365"/>
      <c r="AA198" s="365"/>
      <c r="AB198" s="365"/>
      <c r="AC198" s="365"/>
      <c r="AD198" s="365"/>
    </row>
    <row r="199" spans="2:30" x14ac:dyDescent="0.2">
      <c r="D199" s="347" t="str">
        <f t="shared" ref="D199:D205" si="130">_xlfn.TEXTJOIN(keydelim,TRUE,E199:N199)</f>
        <v>ICE HFO - AE efficiency - relative</v>
      </c>
      <c r="E199" t="str">
        <f t="shared" ref="E199:E205" si="131">E171</f>
        <v>ICE HFO</v>
      </c>
      <c r="N199" t="str">
        <f t="shared" ref="N199:N205" si="132">N171&amp;keydelim&amp;"relative"</f>
        <v>AE efficiency - relative</v>
      </c>
      <c r="Q199" t="s">
        <v>560</v>
      </c>
      <c r="S199" s="365">
        <f t="shared" ref="S199:AD199" si="133">S171/$S$171</f>
        <v>1</v>
      </c>
      <c r="T199" s="365">
        <f t="shared" si="133"/>
        <v>1</v>
      </c>
      <c r="U199" s="365">
        <f t="shared" si="133"/>
        <v>1</v>
      </c>
      <c r="V199" s="365">
        <f t="shared" si="133"/>
        <v>1</v>
      </c>
      <c r="W199" s="365">
        <f t="shared" si="133"/>
        <v>1</v>
      </c>
      <c r="X199" s="365">
        <f t="shared" si="133"/>
        <v>1</v>
      </c>
      <c r="Y199" s="365">
        <f t="shared" si="133"/>
        <v>1</v>
      </c>
      <c r="Z199" s="365">
        <f t="shared" si="133"/>
        <v>1</v>
      </c>
      <c r="AA199" s="365">
        <f t="shared" si="133"/>
        <v>1</v>
      </c>
      <c r="AB199" s="365">
        <f t="shared" si="133"/>
        <v>1</v>
      </c>
      <c r="AC199" s="365">
        <f t="shared" si="133"/>
        <v>1</v>
      </c>
      <c r="AD199" s="365">
        <f t="shared" si="133"/>
        <v>1</v>
      </c>
    </row>
    <row r="200" spans="2:30" x14ac:dyDescent="0.2">
      <c r="D200" s="347" t="str">
        <f t="shared" si="130"/>
        <v>ICE Ammonia - AE efficiency - relative</v>
      </c>
      <c r="E200" t="str">
        <f t="shared" si="131"/>
        <v>ICE Ammonia</v>
      </c>
      <c r="N200" t="str">
        <f t="shared" si="132"/>
        <v>AE efficiency - relative</v>
      </c>
      <c r="Q200" t="s">
        <v>560</v>
      </c>
      <c r="S200" s="365">
        <f t="shared" ref="S200:AD200" si="134">S172/$S$171</f>
        <v>1</v>
      </c>
      <c r="T200" s="365">
        <f t="shared" si="134"/>
        <v>1</v>
      </c>
      <c r="U200" s="365">
        <f t="shared" si="134"/>
        <v>1</v>
      </c>
      <c r="V200" s="365">
        <f t="shared" si="134"/>
        <v>1</v>
      </c>
      <c r="W200" s="365">
        <f t="shared" si="134"/>
        <v>1</v>
      </c>
      <c r="X200" s="365">
        <f t="shared" si="134"/>
        <v>1</v>
      </c>
      <c r="Y200" s="365">
        <f t="shared" si="134"/>
        <v>1</v>
      </c>
      <c r="Z200" s="365">
        <f t="shared" si="134"/>
        <v>1</v>
      </c>
      <c r="AA200" s="365">
        <f t="shared" si="134"/>
        <v>1</v>
      </c>
      <c r="AB200" s="365">
        <f t="shared" si="134"/>
        <v>1</v>
      </c>
      <c r="AC200" s="365">
        <f t="shared" si="134"/>
        <v>1</v>
      </c>
      <c r="AD200" s="365">
        <f t="shared" si="134"/>
        <v>1</v>
      </c>
    </row>
    <row r="201" spans="2:30" x14ac:dyDescent="0.2">
      <c r="D201" s="347" t="str">
        <f t="shared" si="130"/>
        <v>ICE Methanol - AE efficiency - relative</v>
      </c>
      <c r="E201" t="str">
        <f t="shared" si="131"/>
        <v>ICE Methanol</v>
      </c>
      <c r="N201" t="str">
        <f t="shared" si="132"/>
        <v>AE efficiency - relative</v>
      </c>
      <c r="Q201" t="s">
        <v>560</v>
      </c>
      <c r="S201" s="365">
        <f t="shared" ref="S201:AD201" si="135">S173/$S$171</f>
        <v>1</v>
      </c>
      <c r="T201" s="365">
        <f t="shared" si="135"/>
        <v>1</v>
      </c>
      <c r="U201" s="365">
        <f t="shared" si="135"/>
        <v>1</v>
      </c>
      <c r="V201" s="365">
        <f t="shared" si="135"/>
        <v>1</v>
      </c>
      <c r="W201" s="365">
        <f t="shared" si="135"/>
        <v>1</v>
      </c>
      <c r="X201" s="365">
        <f t="shared" si="135"/>
        <v>1</v>
      </c>
      <c r="Y201" s="365">
        <f t="shared" si="135"/>
        <v>1</v>
      </c>
      <c r="Z201" s="365">
        <f t="shared" si="135"/>
        <v>1</v>
      </c>
      <c r="AA201" s="365">
        <f t="shared" si="135"/>
        <v>1</v>
      </c>
      <c r="AB201" s="365">
        <f t="shared" si="135"/>
        <v>1</v>
      </c>
      <c r="AC201" s="365">
        <f t="shared" si="135"/>
        <v>1</v>
      </c>
      <c r="AD201" s="365">
        <f t="shared" si="135"/>
        <v>1</v>
      </c>
    </row>
    <row r="202" spans="2:30" x14ac:dyDescent="0.2">
      <c r="D202" s="347" t="str">
        <f t="shared" si="130"/>
        <v>ICE LNG - AE efficiency - relative</v>
      </c>
      <c r="E202" t="str">
        <f t="shared" si="131"/>
        <v>ICE LNG</v>
      </c>
      <c r="N202" t="str">
        <f t="shared" si="132"/>
        <v>AE efficiency - relative</v>
      </c>
      <c r="Q202" t="s">
        <v>560</v>
      </c>
      <c r="S202" s="365">
        <f t="shared" ref="S202:AD202" si="136">S174/$S$171</f>
        <v>1</v>
      </c>
      <c r="T202" s="365">
        <f t="shared" si="136"/>
        <v>1</v>
      </c>
      <c r="U202" s="365">
        <f t="shared" si="136"/>
        <v>1</v>
      </c>
      <c r="V202" s="365">
        <f t="shared" si="136"/>
        <v>1</v>
      </c>
      <c r="W202" s="365">
        <f t="shared" si="136"/>
        <v>1</v>
      </c>
      <c r="X202" s="365">
        <f t="shared" si="136"/>
        <v>1</v>
      </c>
      <c r="Y202" s="365">
        <f t="shared" si="136"/>
        <v>1</v>
      </c>
      <c r="Z202" s="365">
        <f t="shared" si="136"/>
        <v>1</v>
      </c>
      <c r="AA202" s="365">
        <f t="shared" si="136"/>
        <v>1</v>
      </c>
      <c r="AB202" s="365">
        <f t="shared" si="136"/>
        <v>1</v>
      </c>
      <c r="AC202" s="365">
        <f t="shared" si="136"/>
        <v>1</v>
      </c>
      <c r="AD202" s="365">
        <f t="shared" si="136"/>
        <v>1</v>
      </c>
    </row>
    <row r="203" spans="2:30" x14ac:dyDescent="0.2">
      <c r="D203" s="347" t="str">
        <f>_xlfn.TEXTJOIN(keydelim,TRUE,E203:N203)</f>
        <v>ICE LPG - AE efficiency - relative</v>
      </c>
      <c r="E203" t="str">
        <f t="shared" si="131"/>
        <v>ICE LPG</v>
      </c>
      <c r="N203" t="str">
        <f t="shared" si="132"/>
        <v>AE efficiency - relative</v>
      </c>
      <c r="Q203" t="s">
        <v>560</v>
      </c>
      <c r="S203" s="365">
        <f t="shared" ref="S203:AD203" si="137">S175/$S$171</f>
        <v>1</v>
      </c>
      <c r="T203" s="365">
        <f t="shared" si="137"/>
        <v>1</v>
      </c>
      <c r="U203" s="365">
        <f t="shared" si="137"/>
        <v>1</v>
      </c>
      <c r="V203" s="365">
        <f t="shared" si="137"/>
        <v>1</v>
      </c>
      <c r="W203" s="365">
        <f t="shared" si="137"/>
        <v>1</v>
      </c>
      <c r="X203" s="365">
        <f t="shared" si="137"/>
        <v>1</v>
      </c>
      <c r="Y203" s="365">
        <f t="shared" si="137"/>
        <v>1</v>
      </c>
      <c r="Z203" s="365">
        <f t="shared" si="137"/>
        <v>1</v>
      </c>
      <c r="AA203" s="365">
        <f t="shared" si="137"/>
        <v>1</v>
      </c>
      <c r="AB203" s="365">
        <f t="shared" si="137"/>
        <v>1</v>
      </c>
      <c r="AC203" s="365">
        <f t="shared" si="137"/>
        <v>1</v>
      </c>
      <c r="AD203" s="365">
        <f t="shared" si="137"/>
        <v>1</v>
      </c>
    </row>
    <row r="204" spans="2:30" x14ac:dyDescent="0.2">
      <c r="D204" s="347" t="str">
        <f t="shared" si="130"/>
        <v>Fuel cell - AE efficiency - relative</v>
      </c>
      <c r="E204" t="str">
        <f t="shared" si="131"/>
        <v>Fuel cell</v>
      </c>
      <c r="N204" t="str">
        <f t="shared" si="132"/>
        <v>AE efficiency - relative</v>
      </c>
      <c r="Q204" t="s">
        <v>560</v>
      </c>
      <c r="S204" s="365">
        <f t="shared" ref="S204:AD204" si="138">S176/$S$171</f>
        <v>1.25</v>
      </c>
      <c r="T204" s="365">
        <f t="shared" si="138"/>
        <v>1.25</v>
      </c>
      <c r="U204" s="365">
        <f t="shared" si="138"/>
        <v>1.3</v>
      </c>
      <c r="V204" s="365">
        <f t="shared" si="138"/>
        <v>1.35</v>
      </c>
      <c r="W204" s="365">
        <f t="shared" si="138"/>
        <v>1.4000000000000001</v>
      </c>
      <c r="X204" s="365">
        <f t="shared" si="138"/>
        <v>1.4499999999999997</v>
      </c>
      <c r="Y204" s="365">
        <f t="shared" si="138"/>
        <v>1.4999999999999998</v>
      </c>
      <c r="Z204" s="365">
        <f t="shared" si="138"/>
        <v>1.4999999999999998</v>
      </c>
      <c r="AA204" s="365">
        <f t="shared" si="138"/>
        <v>1.4999999999999998</v>
      </c>
      <c r="AB204" s="365">
        <f t="shared" si="138"/>
        <v>1.4999999999999998</v>
      </c>
      <c r="AC204" s="365">
        <f t="shared" si="138"/>
        <v>1.4999999999999998</v>
      </c>
      <c r="AD204" s="365">
        <f t="shared" si="138"/>
        <v>1.4999999999999998</v>
      </c>
    </row>
    <row r="205" spans="2:30" x14ac:dyDescent="0.2">
      <c r="D205" s="347" t="str">
        <f t="shared" si="130"/>
        <v>Battery - AE efficiency - relative</v>
      </c>
      <c r="E205" t="str">
        <f t="shared" si="131"/>
        <v>Battery</v>
      </c>
      <c r="N205" t="str">
        <f t="shared" si="132"/>
        <v>AE efficiency - relative</v>
      </c>
      <c r="Q205" t="s">
        <v>560</v>
      </c>
      <c r="S205" s="365">
        <f t="shared" ref="S205:AD205" si="139">S177/$S$171</f>
        <v>2.25</v>
      </c>
      <c r="T205" s="365">
        <f t="shared" si="139"/>
        <v>2.25</v>
      </c>
      <c r="U205" s="365">
        <f t="shared" si="139"/>
        <v>2.25</v>
      </c>
      <c r="V205" s="365">
        <f t="shared" si="139"/>
        <v>2.25</v>
      </c>
      <c r="W205" s="365">
        <f t="shared" si="139"/>
        <v>2.25</v>
      </c>
      <c r="X205" s="365">
        <f t="shared" si="139"/>
        <v>2.25</v>
      </c>
      <c r="Y205" s="365">
        <f t="shared" si="139"/>
        <v>2.25</v>
      </c>
      <c r="Z205" s="365">
        <f t="shared" si="139"/>
        <v>2.25</v>
      </c>
      <c r="AA205" s="365">
        <f t="shared" si="139"/>
        <v>2.25</v>
      </c>
      <c r="AB205" s="365">
        <f t="shared" si="139"/>
        <v>2.25</v>
      </c>
      <c r="AC205" s="365">
        <f t="shared" si="139"/>
        <v>2.25</v>
      </c>
      <c r="AD205" s="365">
        <f t="shared" si="139"/>
        <v>2.25</v>
      </c>
    </row>
    <row r="206" spans="2:30" x14ac:dyDescent="0.2">
      <c r="S206" s="373"/>
      <c r="T206" s="373"/>
      <c r="U206" s="373"/>
      <c r="V206" s="373"/>
      <c r="W206" s="373"/>
      <c r="X206" s="373"/>
      <c r="Y206" s="373"/>
      <c r="Z206" s="373"/>
      <c r="AA206" s="373"/>
      <c r="AB206" s="373"/>
      <c r="AC206" s="373"/>
      <c r="AD206" s="373"/>
    </row>
    <row r="208" spans="2:30" x14ac:dyDescent="0.2">
      <c r="B208" s="49" t="s">
        <v>231</v>
      </c>
      <c r="C208" s="49"/>
      <c r="D208" s="350"/>
      <c r="E208" s="331"/>
      <c r="F208" s="331"/>
      <c r="G208" s="331" t="str">
        <f>B208</f>
        <v>Maintenance</v>
      </c>
      <c r="H208" s="331"/>
      <c r="I208" s="331"/>
      <c r="J208" s="331"/>
      <c r="K208" s="331"/>
      <c r="L208" s="331"/>
      <c r="M208" s="331"/>
      <c r="N208" s="331"/>
      <c r="O208" s="331"/>
      <c r="P208" s="331"/>
      <c r="Q208" s="331"/>
      <c r="R208" s="331"/>
      <c r="S208" s="331"/>
      <c r="T208" s="331"/>
      <c r="U208" s="331"/>
      <c r="V208" s="331"/>
      <c r="W208" s="331"/>
      <c r="X208" s="331"/>
      <c r="Y208" s="331"/>
      <c r="Z208" s="331"/>
      <c r="AA208" s="331"/>
      <c r="AB208" s="331"/>
      <c r="AC208" s="331"/>
      <c r="AD208" s="331"/>
    </row>
    <row r="209" spans="1:30" x14ac:dyDescent="0.2">
      <c r="A209" s="224"/>
      <c r="B209"/>
      <c r="D209" s="347" t="str">
        <f t="shared" ref="D209:D215" si="140">_xlfn.TEXTJOIN(keydelim,TRUE,E209:N209)</f>
        <v>ICE HFO - ME maintenance</v>
      </c>
      <c r="E209" s="15" t="s">
        <v>112</v>
      </c>
      <c r="N209" t="s">
        <v>561</v>
      </c>
      <c r="O209" s="290" t="s">
        <v>562</v>
      </c>
      <c r="P209" s="290" t="s">
        <v>563</v>
      </c>
      <c r="Q209" s="224" t="s">
        <v>564</v>
      </c>
      <c r="S209" s="374">
        <v>6</v>
      </c>
      <c r="T209" s="375">
        <f t="shared" ref="T209:AD209" si="141">S209</f>
        <v>6</v>
      </c>
      <c r="U209" s="375">
        <f t="shared" si="141"/>
        <v>6</v>
      </c>
      <c r="V209" s="375">
        <f t="shared" si="141"/>
        <v>6</v>
      </c>
      <c r="W209" s="375">
        <f t="shared" si="141"/>
        <v>6</v>
      </c>
      <c r="X209" s="375">
        <f t="shared" si="141"/>
        <v>6</v>
      </c>
      <c r="Y209" s="375">
        <f t="shared" si="141"/>
        <v>6</v>
      </c>
      <c r="Z209" s="375">
        <f t="shared" si="141"/>
        <v>6</v>
      </c>
      <c r="AA209" s="375">
        <f t="shared" si="141"/>
        <v>6</v>
      </c>
      <c r="AB209" s="375">
        <f t="shared" si="141"/>
        <v>6</v>
      </c>
      <c r="AC209" s="375">
        <f t="shared" si="141"/>
        <v>6</v>
      </c>
      <c r="AD209" s="375">
        <f t="shared" si="141"/>
        <v>6</v>
      </c>
    </row>
    <row r="210" spans="1:30" x14ac:dyDescent="0.2">
      <c r="A210" s="224"/>
      <c r="B210"/>
      <c r="C210"/>
      <c r="D210" s="347" t="str">
        <f t="shared" si="140"/>
        <v>ICE Ammonia - ME maintenance</v>
      </c>
      <c r="E210" s="15" t="s">
        <v>115</v>
      </c>
      <c r="N210" t="s">
        <v>561</v>
      </c>
      <c r="O210" s="290" t="s">
        <v>565</v>
      </c>
      <c r="P210" s="290" t="s">
        <v>563</v>
      </c>
      <c r="Q210" s="224" t="s">
        <v>564</v>
      </c>
      <c r="S210" s="375">
        <f>S209</f>
        <v>6</v>
      </c>
      <c r="T210" s="375">
        <f>S210</f>
        <v>6</v>
      </c>
      <c r="U210" s="375">
        <f t="shared" ref="U210:AD210" si="142">T210</f>
        <v>6</v>
      </c>
      <c r="V210" s="375">
        <f t="shared" si="142"/>
        <v>6</v>
      </c>
      <c r="W210" s="375">
        <f t="shared" si="142"/>
        <v>6</v>
      </c>
      <c r="X210" s="375">
        <f t="shared" si="142"/>
        <v>6</v>
      </c>
      <c r="Y210" s="375">
        <f t="shared" si="142"/>
        <v>6</v>
      </c>
      <c r="Z210" s="375">
        <f t="shared" si="142"/>
        <v>6</v>
      </c>
      <c r="AA210" s="375">
        <f t="shared" si="142"/>
        <v>6</v>
      </c>
      <c r="AB210" s="375">
        <f t="shared" si="142"/>
        <v>6</v>
      </c>
      <c r="AC210" s="375">
        <f t="shared" si="142"/>
        <v>6</v>
      </c>
      <c r="AD210" s="375">
        <f t="shared" si="142"/>
        <v>6</v>
      </c>
    </row>
    <row r="211" spans="1:30" x14ac:dyDescent="0.2">
      <c r="A211" s="224"/>
      <c r="B211"/>
      <c r="C211"/>
      <c r="D211" s="347" t="str">
        <f t="shared" si="140"/>
        <v>ICE Methanol - ME maintenance</v>
      </c>
      <c r="E211" s="15" t="s">
        <v>114</v>
      </c>
      <c r="N211" t="s">
        <v>561</v>
      </c>
      <c r="O211" s="290" t="s">
        <v>565</v>
      </c>
      <c r="P211" s="290" t="s">
        <v>563</v>
      </c>
      <c r="Q211" s="224" t="s">
        <v>564</v>
      </c>
      <c r="S211" s="375">
        <f t="shared" ref="S211:S213" si="143">S210</f>
        <v>6</v>
      </c>
      <c r="T211" s="375">
        <f t="shared" ref="T211:AD211" si="144">S211</f>
        <v>6</v>
      </c>
      <c r="U211" s="375">
        <f t="shared" si="144"/>
        <v>6</v>
      </c>
      <c r="V211" s="375">
        <f t="shared" si="144"/>
        <v>6</v>
      </c>
      <c r="W211" s="375">
        <f t="shared" si="144"/>
        <v>6</v>
      </c>
      <c r="X211" s="375">
        <f t="shared" si="144"/>
        <v>6</v>
      </c>
      <c r="Y211" s="375">
        <f t="shared" si="144"/>
        <v>6</v>
      </c>
      <c r="Z211" s="375">
        <f t="shared" si="144"/>
        <v>6</v>
      </c>
      <c r="AA211" s="375">
        <f t="shared" si="144"/>
        <v>6</v>
      </c>
      <c r="AB211" s="375">
        <f t="shared" si="144"/>
        <v>6</v>
      </c>
      <c r="AC211" s="375">
        <f t="shared" si="144"/>
        <v>6</v>
      </c>
      <c r="AD211" s="375">
        <f t="shared" si="144"/>
        <v>6</v>
      </c>
    </row>
    <row r="212" spans="1:30" x14ac:dyDescent="0.2">
      <c r="A212" s="224"/>
      <c r="B212"/>
      <c r="C212"/>
      <c r="D212" s="347" t="str">
        <f t="shared" si="140"/>
        <v>ICE LNG - ME maintenance</v>
      </c>
      <c r="E212" s="15" t="s">
        <v>113</v>
      </c>
      <c r="N212" t="s">
        <v>561</v>
      </c>
      <c r="O212" s="290" t="s">
        <v>565</v>
      </c>
      <c r="P212" s="290" t="s">
        <v>563</v>
      </c>
      <c r="Q212" s="224" t="s">
        <v>564</v>
      </c>
      <c r="S212" s="375">
        <f t="shared" si="143"/>
        <v>6</v>
      </c>
      <c r="T212" s="375">
        <f t="shared" ref="T212:AD212" si="145">S212</f>
        <v>6</v>
      </c>
      <c r="U212" s="375">
        <f t="shared" si="145"/>
        <v>6</v>
      </c>
      <c r="V212" s="375">
        <f t="shared" si="145"/>
        <v>6</v>
      </c>
      <c r="W212" s="375">
        <f t="shared" si="145"/>
        <v>6</v>
      </c>
      <c r="X212" s="375">
        <f t="shared" si="145"/>
        <v>6</v>
      </c>
      <c r="Y212" s="375">
        <f t="shared" si="145"/>
        <v>6</v>
      </c>
      <c r="Z212" s="375">
        <f t="shared" si="145"/>
        <v>6</v>
      </c>
      <c r="AA212" s="375">
        <f t="shared" si="145"/>
        <v>6</v>
      </c>
      <c r="AB212" s="375">
        <f t="shared" si="145"/>
        <v>6</v>
      </c>
      <c r="AC212" s="375">
        <f t="shared" si="145"/>
        <v>6</v>
      </c>
      <c r="AD212" s="375">
        <f t="shared" si="145"/>
        <v>6</v>
      </c>
    </row>
    <row r="213" spans="1:30" x14ac:dyDescent="0.2">
      <c r="A213" s="224"/>
      <c r="B213"/>
      <c r="C213"/>
      <c r="D213" s="347" t="str">
        <f>_xlfn.TEXTJOIN(keydelim,TRUE,E213:N213)</f>
        <v>ICE LPG - ME maintenance</v>
      </c>
      <c r="E213" s="15" t="s">
        <v>513</v>
      </c>
      <c r="N213" t="s">
        <v>561</v>
      </c>
      <c r="O213" s="290" t="s">
        <v>565</v>
      </c>
      <c r="P213" s="290" t="s">
        <v>563</v>
      </c>
      <c r="Q213" s="224" t="s">
        <v>564</v>
      </c>
      <c r="S213" s="375">
        <f t="shared" si="143"/>
        <v>6</v>
      </c>
      <c r="T213" s="375">
        <f t="shared" ref="T213:AD213" si="146">S213</f>
        <v>6</v>
      </c>
      <c r="U213" s="375">
        <f t="shared" si="146"/>
        <v>6</v>
      </c>
      <c r="V213" s="375">
        <f t="shared" si="146"/>
        <v>6</v>
      </c>
      <c r="W213" s="375">
        <f t="shared" si="146"/>
        <v>6</v>
      </c>
      <c r="X213" s="375">
        <f t="shared" si="146"/>
        <v>6</v>
      </c>
      <c r="Y213" s="375">
        <f t="shared" si="146"/>
        <v>6</v>
      </c>
      <c r="Z213" s="375">
        <f t="shared" si="146"/>
        <v>6</v>
      </c>
      <c r="AA213" s="375">
        <f t="shared" si="146"/>
        <v>6</v>
      </c>
      <c r="AB213" s="375">
        <f t="shared" si="146"/>
        <v>6</v>
      </c>
      <c r="AC213" s="375">
        <f t="shared" si="146"/>
        <v>6</v>
      </c>
      <c r="AD213" s="375">
        <f t="shared" si="146"/>
        <v>6</v>
      </c>
    </row>
    <row r="214" spans="1:30" x14ac:dyDescent="0.2">
      <c r="A214" s="224"/>
      <c r="B214"/>
      <c r="D214" s="347" t="str">
        <f t="shared" si="140"/>
        <v>Fuel cell - ME maintenance</v>
      </c>
      <c r="E214" s="15" t="s">
        <v>62</v>
      </c>
      <c r="N214" t="s">
        <v>561</v>
      </c>
      <c r="O214" s="290"/>
      <c r="P214" s="290" t="s">
        <v>563</v>
      </c>
      <c r="Q214" s="224" t="s">
        <v>564</v>
      </c>
      <c r="S214" s="374">
        <f>S209*2/3</f>
        <v>4</v>
      </c>
      <c r="T214" s="375">
        <f t="shared" ref="T214:AD214" si="147">S214</f>
        <v>4</v>
      </c>
      <c r="U214" s="375">
        <f t="shared" si="147"/>
        <v>4</v>
      </c>
      <c r="V214" s="375">
        <f t="shared" si="147"/>
        <v>4</v>
      </c>
      <c r="W214" s="375">
        <f t="shared" si="147"/>
        <v>4</v>
      </c>
      <c r="X214" s="375">
        <f t="shared" si="147"/>
        <v>4</v>
      </c>
      <c r="Y214" s="375">
        <f t="shared" si="147"/>
        <v>4</v>
      </c>
      <c r="Z214" s="375">
        <f t="shared" si="147"/>
        <v>4</v>
      </c>
      <c r="AA214" s="375">
        <f t="shared" si="147"/>
        <v>4</v>
      </c>
      <c r="AB214" s="375">
        <f t="shared" si="147"/>
        <v>4</v>
      </c>
      <c r="AC214" s="375">
        <f t="shared" si="147"/>
        <v>4</v>
      </c>
      <c r="AD214" s="375">
        <f t="shared" si="147"/>
        <v>4</v>
      </c>
    </row>
    <row r="215" spans="1:30" x14ac:dyDescent="0.2">
      <c r="A215" s="224"/>
      <c r="B215"/>
      <c r="D215" s="347" t="str">
        <f t="shared" si="140"/>
        <v>Battery - ME maintenance</v>
      </c>
      <c r="E215" s="15" t="s">
        <v>189</v>
      </c>
      <c r="N215" t="s">
        <v>561</v>
      </c>
      <c r="O215" s="290"/>
      <c r="P215" s="290" t="s">
        <v>563</v>
      </c>
      <c r="Q215" s="224" t="s">
        <v>564</v>
      </c>
      <c r="S215" s="374">
        <f>S209*1.5</f>
        <v>9</v>
      </c>
      <c r="T215" s="375">
        <f t="shared" ref="T215:AD215" si="148">S215</f>
        <v>9</v>
      </c>
      <c r="U215" s="375">
        <f t="shared" si="148"/>
        <v>9</v>
      </c>
      <c r="V215" s="375">
        <f t="shared" si="148"/>
        <v>9</v>
      </c>
      <c r="W215" s="375">
        <f t="shared" si="148"/>
        <v>9</v>
      </c>
      <c r="X215" s="375">
        <f t="shared" si="148"/>
        <v>9</v>
      </c>
      <c r="Y215" s="375">
        <f t="shared" si="148"/>
        <v>9</v>
      </c>
      <c r="Z215" s="375">
        <f t="shared" si="148"/>
        <v>9</v>
      </c>
      <c r="AA215" s="375">
        <f t="shared" si="148"/>
        <v>9</v>
      </c>
      <c r="AB215" s="375">
        <f t="shared" si="148"/>
        <v>9</v>
      </c>
      <c r="AC215" s="375">
        <f t="shared" si="148"/>
        <v>9</v>
      </c>
      <c r="AD215" s="375">
        <f t="shared" si="148"/>
        <v>9</v>
      </c>
    </row>
    <row r="216" spans="1:30" x14ac:dyDescent="0.2">
      <c r="A216" s="224"/>
      <c r="B216"/>
      <c r="E216" s="15"/>
      <c r="O216" s="290"/>
      <c r="P216" s="290"/>
      <c r="Q216" s="224"/>
      <c r="S216" s="376"/>
      <c r="T216" s="375"/>
      <c r="U216" s="375"/>
      <c r="V216" s="375"/>
      <c r="W216" s="375"/>
      <c r="X216" s="375"/>
      <c r="Y216" s="375"/>
      <c r="Z216" s="375"/>
      <c r="AA216" s="375"/>
      <c r="AB216" s="375"/>
      <c r="AC216" s="375"/>
      <c r="AD216" s="375"/>
    </row>
    <row r="217" spans="1:30" x14ac:dyDescent="0.2">
      <c r="A217" s="377"/>
      <c r="B217" s="306"/>
      <c r="C217" s="378"/>
      <c r="D217" s="347" t="str">
        <f>_xlfn.TEXTJOIN(keydelim,TRUE,E217:N217)</f>
        <v>Fuel cell - Electric Motor maintenance</v>
      </c>
      <c r="E217" s="15" t="s">
        <v>62</v>
      </c>
      <c r="F217" s="306"/>
      <c r="G217" s="306"/>
      <c r="H217" s="306"/>
      <c r="I217" s="306"/>
      <c r="J217" s="306"/>
      <c r="K217" s="306"/>
      <c r="L217" s="306"/>
      <c r="M217" s="306"/>
      <c r="N217" t="s">
        <v>566</v>
      </c>
      <c r="O217" s="290" t="s">
        <v>567</v>
      </c>
      <c r="P217" s="290" t="s">
        <v>563</v>
      </c>
      <c r="Q217" s="224" t="s">
        <v>564</v>
      </c>
      <c r="R217" s="306"/>
      <c r="S217" s="375">
        <f t="shared" ref="S217" si="149">S218</f>
        <v>2</v>
      </c>
      <c r="T217" s="375">
        <f t="shared" ref="T217:AD217" si="150">S217</f>
        <v>2</v>
      </c>
      <c r="U217" s="375">
        <f t="shared" si="150"/>
        <v>2</v>
      </c>
      <c r="V217" s="375">
        <f t="shared" si="150"/>
        <v>2</v>
      </c>
      <c r="W217" s="375">
        <f t="shared" si="150"/>
        <v>2</v>
      </c>
      <c r="X217" s="375">
        <f t="shared" si="150"/>
        <v>2</v>
      </c>
      <c r="Y217" s="375">
        <f t="shared" si="150"/>
        <v>2</v>
      </c>
      <c r="Z217" s="375">
        <f t="shared" si="150"/>
        <v>2</v>
      </c>
      <c r="AA217" s="375">
        <f t="shared" si="150"/>
        <v>2</v>
      </c>
      <c r="AB217" s="375">
        <f t="shared" si="150"/>
        <v>2</v>
      </c>
      <c r="AC217" s="375">
        <f t="shared" si="150"/>
        <v>2</v>
      </c>
      <c r="AD217" s="375">
        <f t="shared" si="150"/>
        <v>2</v>
      </c>
    </row>
    <row r="218" spans="1:30" x14ac:dyDescent="0.2">
      <c r="A218" s="377"/>
      <c r="B218" s="306"/>
      <c r="C218" s="378"/>
      <c r="D218" s="347" t="str">
        <f>_xlfn.TEXTJOIN(keydelim,TRUE,E218:N218)</f>
        <v>Battery - Electric Motor maintenance</v>
      </c>
      <c r="E218" s="15" t="s">
        <v>189</v>
      </c>
      <c r="F218" s="306"/>
      <c r="G218" s="306"/>
      <c r="H218" s="306"/>
      <c r="I218" s="306"/>
      <c r="J218" s="306"/>
      <c r="K218" s="306"/>
      <c r="L218" s="306"/>
      <c r="M218" s="306"/>
      <c r="N218" t="s">
        <v>566</v>
      </c>
      <c r="O218" s="290" t="s">
        <v>567</v>
      </c>
      <c r="P218" s="290" t="s">
        <v>563</v>
      </c>
      <c r="Q218" s="224" t="s">
        <v>564</v>
      </c>
      <c r="R218" s="306"/>
      <c r="S218" s="375">
        <f>S209*1/3</f>
        <v>2</v>
      </c>
      <c r="T218" s="375">
        <f t="shared" ref="T218:AD218" si="151">S218</f>
        <v>2</v>
      </c>
      <c r="U218" s="375">
        <f t="shared" si="151"/>
        <v>2</v>
      </c>
      <c r="V218" s="375">
        <f t="shared" si="151"/>
        <v>2</v>
      </c>
      <c r="W218" s="375">
        <f t="shared" si="151"/>
        <v>2</v>
      </c>
      <c r="X218" s="375">
        <f t="shared" si="151"/>
        <v>2</v>
      </c>
      <c r="Y218" s="375">
        <f t="shared" si="151"/>
        <v>2</v>
      </c>
      <c r="Z218" s="375">
        <f t="shared" si="151"/>
        <v>2</v>
      </c>
      <c r="AA218" s="375">
        <f t="shared" si="151"/>
        <v>2</v>
      </c>
      <c r="AB218" s="375">
        <f t="shared" si="151"/>
        <v>2</v>
      </c>
      <c r="AC218" s="375">
        <f t="shared" si="151"/>
        <v>2</v>
      </c>
      <c r="AD218" s="375">
        <f t="shared" si="151"/>
        <v>2</v>
      </c>
    </row>
    <row r="219" spans="1:30" x14ac:dyDescent="0.2">
      <c r="A219" s="224"/>
      <c r="B219"/>
      <c r="E219" s="15"/>
      <c r="O219" s="290"/>
      <c r="P219" s="290"/>
      <c r="Q219" s="224"/>
      <c r="S219" s="379"/>
      <c r="T219" s="375"/>
      <c r="U219" s="375"/>
      <c r="V219" s="375"/>
      <c r="W219" s="375"/>
      <c r="X219" s="375"/>
      <c r="Y219" s="375"/>
      <c r="Z219" s="375"/>
      <c r="AA219" s="375"/>
      <c r="AB219" s="375"/>
      <c r="AC219" s="375"/>
      <c r="AD219" s="375"/>
    </row>
    <row r="220" spans="1:30" x14ac:dyDescent="0.2">
      <c r="A220" s="224"/>
      <c r="B220"/>
      <c r="D220" s="347" t="str">
        <f t="shared" ref="D220:D226" si="152">_xlfn.TEXTJOIN(keydelim,TRUE,E220:N220)</f>
        <v>ICE HFO - AE maintenance</v>
      </c>
      <c r="E220" s="15" t="s">
        <v>112</v>
      </c>
      <c r="N220" t="s">
        <v>568</v>
      </c>
      <c r="O220" s="290" t="s">
        <v>569</v>
      </c>
      <c r="P220" s="290" t="s">
        <v>563</v>
      </c>
      <c r="Q220" s="224" t="s">
        <v>564</v>
      </c>
      <c r="S220" s="374">
        <v>10</v>
      </c>
      <c r="T220" s="375">
        <f t="shared" ref="T220:AD220" si="153">S220</f>
        <v>10</v>
      </c>
      <c r="U220" s="375">
        <f t="shared" si="153"/>
        <v>10</v>
      </c>
      <c r="V220" s="375">
        <f t="shared" si="153"/>
        <v>10</v>
      </c>
      <c r="W220" s="375">
        <f t="shared" si="153"/>
        <v>10</v>
      </c>
      <c r="X220" s="375">
        <f t="shared" si="153"/>
        <v>10</v>
      </c>
      <c r="Y220" s="375">
        <f t="shared" si="153"/>
        <v>10</v>
      </c>
      <c r="Z220" s="375">
        <f t="shared" si="153"/>
        <v>10</v>
      </c>
      <c r="AA220" s="375">
        <f t="shared" si="153"/>
        <v>10</v>
      </c>
      <c r="AB220" s="375">
        <f t="shared" si="153"/>
        <v>10</v>
      </c>
      <c r="AC220" s="375">
        <f t="shared" si="153"/>
        <v>10</v>
      </c>
      <c r="AD220" s="375">
        <f t="shared" si="153"/>
        <v>10</v>
      </c>
    </row>
    <row r="221" spans="1:30" x14ac:dyDescent="0.2">
      <c r="A221" s="224"/>
      <c r="B221"/>
      <c r="C221"/>
      <c r="D221" s="347" t="str">
        <f t="shared" si="152"/>
        <v>ICE Ammonia - AE maintenance</v>
      </c>
      <c r="E221" s="15" t="s">
        <v>115</v>
      </c>
      <c r="N221" t="s">
        <v>568</v>
      </c>
      <c r="O221" s="290" t="s">
        <v>569</v>
      </c>
      <c r="P221" s="290" t="s">
        <v>563</v>
      </c>
      <c r="Q221" s="224" t="s">
        <v>564</v>
      </c>
      <c r="S221" s="374">
        <v>14</v>
      </c>
      <c r="T221" s="375">
        <f t="shared" ref="T221:AD221" si="154">S221</f>
        <v>14</v>
      </c>
      <c r="U221" s="375">
        <f t="shared" si="154"/>
        <v>14</v>
      </c>
      <c r="V221" s="375">
        <f t="shared" si="154"/>
        <v>14</v>
      </c>
      <c r="W221" s="375">
        <f t="shared" si="154"/>
        <v>14</v>
      </c>
      <c r="X221" s="375">
        <f t="shared" si="154"/>
        <v>14</v>
      </c>
      <c r="Y221" s="375">
        <f t="shared" si="154"/>
        <v>14</v>
      </c>
      <c r="Z221" s="375">
        <f t="shared" si="154"/>
        <v>14</v>
      </c>
      <c r="AA221" s="375">
        <f t="shared" si="154"/>
        <v>14</v>
      </c>
      <c r="AB221" s="375">
        <f t="shared" si="154"/>
        <v>14</v>
      </c>
      <c r="AC221" s="375">
        <f t="shared" si="154"/>
        <v>14</v>
      </c>
      <c r="AD221" s="375">
        <f t="shared" si="154"/>
        <v>14</v>
      </c>
    </row>
    <row r="222" spans="1:30" x14ac:dyDescent="0.2">
      <c r="A222" s="224"/>
      <c r="B222"/>
      <c r="C222"/>
      <c r="D222" s="347" t="str">
        <f t="shared" si="152"/>
        <v>ICE Methanol - AE maintenance</v>
      </c>
      <c r="E222" s="15" t="s">
        <v>114</v>
      </c>
      <c r="N222" t="s">
        <v>568</v>
      </c>
      <c r="O222" s="290" t="s">
        <v>569</v>
      </c>
      <c r="P222" s="290" t="s">
        <v>563</v>
      </c>
      <c r="Q222" s="224" t="s">
        <v>564</v>
      </c>
      <c r="S222" s="375">
        <f>S220</f>
        <v>10</v>
      </c>
      <c r="T222" s="375">
        <f t="shared" ref="T222:AD222" si="155">S222</f>
        <v>10</v>
      </c>
      <c r="U222" s="375">
        <f t="shared" si="155"/>
        <v>10</v>
      </c>
      <c r="V222" s="375">
        <f t="shared" si="155"/>
        <v>10</v>
      </c>
      <c r="W222" s="375">
        <f t="shared" si="155"/>
        <v>10</v>
      </c>
      <c r="X222" s="375">
        <f t="shared" si="155"/>
        <v>10</v>
      </c>
      <c r="Y222" s="375">
        <f t="shared" si="155"/>
        <v>10</v>
      </c>
      <c r="Z222" s="375">
        <f t="shared" si="155"/>
        <v>10</v>
      </c>
      <c r="AA222" s="375">
        <f t="shared" si="155"/>
        <v>10</v>
      </c>
      <c r="AB222" s="375">
        <f t="shared" si="155"/>
        <v>10</v>
      </c>
      <c r="AC222" s="375">
        <f t="shared" si="155"/>
        <v>10</v>
      </c>
      <c r="AD222" s="375">
        <f t="shared" si="155"/>
        <v>10</v>
      </c>
    </row>
    <row r="223" spans="1:30" x14ac:dyDescent="0.2">
      <c r="A223" s="224"/>
      <c r="B223"/>
      <c r="C223"/>
      <c r="D223" s="347" t="str">
        <f t="shared" si="152"/>
        <v>ICE LNG - AE maintenance</v>
      </c>
      <c r="E223" s="15" t="s">
        <v>113</v>
      </c>
      <c r="N223" t="s">
        <v>568</v>
      </c>
      <c r="O223" s="290" t="s">
        <v>569</v>
      </c>
      <c r="P223" s="290" t="s">
        <v>563</v>
      </c>
      <c r="Q223" s="224" t="s">
        <v>564</v>
      </c>
      <c r="S223" s="375">
        <f>S222</f>
        <v>10</v>
      </c>
      <c r="T223" s="375">
        <f t="shared" ref="T223:AD223" si="156">S223</f>
        <v>10</v>
      </c>
      <c r="U223" s="375">
        <f t="shared" si="156"/>
        <v>10</v>
      </c>
      <c r="V223" s="375">
        <f t="shared" si="156"/>
        <v>10</v>
      </c>
      <c r="W223" s="375">
        <f t="shared" si="156"/>
        <v>10</v>
      </c>
      <c r="X223" s="375">
        <f t="shared" si="156"/>
        <v>10</v>
      </c>
      <c r="Y223" s="375">
        <f t="shared" si="156"/>
        <v>10</v>
      </c>
      <c r="Z223" s="375">
        <f t="shared" si="156"/>
        <v>10</v>
      </c>
      <c r="AA223" s="375">
        <f t="shared" si="156"/>
        <v>10</v>
      </c>
      <c r="AB223" s="375">
        <f t="shared" si="156"/>
        <v>10</v>
      </c>
      <c r="AC223" s="375">
        <f t="shared" si="156"/>
        <v>10</v>
      </c>
      <c r="AD223" s="375">
        <f t="shared" si="156"/>
        <v>10</v>
      </c>
    </row>
    <row r="224" spans="1:30" x14ac:dyDescent="0.2">
      <c r="A224" s="224"/>
      <c r="B224"/>
      <c r="C224"/>
      <c r="D224" s="347" t="str">
        <f>_xlfn.TEXTJOIN(keydelim,TRUE,E224:N224)</f>
        <v>ICE LPG - AE maintenance</v>
      </c>
      <c r="E224" s="15" t="s">
        <v>513</v>
      </c>
      <c r="N224" t="s">
        <v>568</v>
      </c>
      <c r="O224" s="290" t="s">
        <v>569</v>
      </c>
      <c r="P224" s="290" t="s">
        <v>563</v>
      </c>
      <c r="Q224" s="224" t="s">
        <v>564</v>
      </c>
      <c r="S224" s="375">
        <f t="shared" ref="S224:S225" si="157">S223</f>
        <v>10</v>
      </c>
      <c r="T224" s="375">
        <f t="shared" ref="T224:T225" si="158">T223</f>
        <v>10</v>
      </c>
      <c r="U224" s="375">
        <f t="shared" ref="U224:U225" si="159">U223</f>
        <v>10</v>
      </c>
      <c r="V224" s="375">
        <f t="shared" ref="V224:V225" si="160">V223</f>
        <v>10</v>
      </c>
      <c r="W224" s="375">
        <f t="shared" ref="W224:W225" si="161">W223</f>
        <v>10</v>
      </c>
      <c r="X224" s="375">
        <f t="shared" ref="X224:X225" si="162">X223</f>
        <v>10</v>
      </c>
      <c r="Y224" s="375">
        <f t="shared" ref="Y224:Y225" si="163">Y223</f>
        <v>10</v>
      </c>
      <c r="Z224" s="375">
        <f t="shared" ref="Z224:Z225" si="164">Z223</f>
        <v>10</v>
      </c>
      <c r="AA224" s="375">
        <f t="shared" ref="AA224:AA225" si="165">AA223</f>
        <v>10</v>
      </c>
      <c r="AB224" s="375">
        <f t="shared" ref="AB224:AB225" si="166">AB223</f>
        <v>10</v>
      </c>
      <c r="AC224" s="375">
        <f t="shared" ref="AC224:AC225" si="167">AC223</f>
        <v>10</v>
      </c>
      <c r="AD224" s="375">
        <f t="shared" ref="AD224:AD225" si="168">AD223</f>
        <v>10</v>
      </c>
    </row>
    <row r="225" spans="1:30" x14ac:dyDescent="0.2">
      <c r="A225" s="224"/>
      <c r="B225"/>
      <c r="D225" s="347" t="str">
        <f t="shared" si="152"/>
        <v>Fuel cell - AE maintenance</v>
      </c>
      <c r="E225" s="15" t="s">
        <v>62</v>
      </c>
      <c r="N225" t="s">
        <v>568</v>
      </c>
      <c r="O225" s="290" t="s">
        <v>570</v>
      </c>
      <c r="P225" s="290" t="s">
        <v>563</v>
      </c>
      <c r="Q225" s="224" t="s">
        <v>564</v>
      </c>
      <c r="S225" s="375">
        <f t="shared" si="157"/>
        <v>10</v>
      </c>
      <c r="T225" s="375">
        <f t="shared" si="158"/>
        <v>10</v>
      </c>
      <c r="U225" s="375">
        <f t="shared" si="159"/>
        <v>10</v>
      </c>
      <c r="V225" s="375">
        <f t="shared" si="160"/>
        <v>10</v>
      </c>
      <c r="W225" s="375">
        <f t="shared" si="161"/>
        <v>10</v>
      </c>
      <c r="X225" s="375">
        <f t="shared" si="162"/>
        <v>10</v>
      </c>
      <c r="Y225" s="375">
        <f t="shared" si="163"/>
        <v>10</v>
      </c>
      <c r="Z225" s="375">
        <f t="shared" si="164"/>
        <v>10</v>
      </c>
      <c r="AA225" s="375">
        <f t="shared" si="165"/>
        <v>10</v>
      </c>
      <c r="AB225" s="375">
        <f t="shared" si="166"/>
        <v>10</v>
      </c>
      <c r="AC225" s="375">
        <f t="shared" si="167"/>
        <v>10</v>
      </c>
      <c r="AD225" s="375">
        <f t="shared" si="168"/>
        <v>10</v>
      </c>
    </row>
    <row r="226" spans="1:30" x14ac:dyDescent="0.2">
      <c r="A226" s="224"/>
      <c r="B226"/>
      <c r="D226" s="347" t="str">
        <f t="shared" si="152"/>
        <v>Battery - AE maintenance</v>
      </c>
      <c r="E226" s="15" t="s">
        <v>189</v>
      </c>
      <c r="N226" t="s">
        <v>568</v>
      </c>
      <c r="O226" s="290" t="s">
        <v>571</v>
      </c>
      <c r="P226" s="290" t="s">
        <v>563</v>
      </c>
      <c r="Q226" s="224" t="s">
        <v>564</v>
      </c>
      <c r="S226" s="374">
        <f>S220*2/3</f>
        <v>6.666666666666667</v>
      </c>
      <c r="T226" s="375">
        <f t="shared" ref="T226:AD226" si="169">S226</f>
        <v>6.666666666666667</v>
      </c>
      <c r="U226" s="375">
        <f t="shared" si="169"/>
        <v>6.666666666666667</v>
      </c>
      <c r="V226" s="375">
        <f t="shared" si="169"/>
        <v>6.666666666666667</v>
      </c>
      <c r="W226" s="375">
        <f t="shared" si="169"/>
        <v>6.666666666666667</v>
      </c>
      <c r="X226" s="375">
        <f t="shared" si="169"/>
        <v>6.666666666666667</v>
      </c>
      <c r="Y226" s="375">
        <f t="shared" si="169"/>
        <v>6.666666666666667</v>
      </c>
      <c r="Z226" s="375">
        <f t="shared" si="169"/>
        <v>6.666666666666667</v>
      </c>
      <c r="AA226" s="375">
        <f t="shared" si="169"/>
        <v>6.666666666666667</v>
      </c>
      <c r="AB226" s="375">
        <f t="shared" si="169"/>
        <v>6.666666666666667</v>
      </c>
      <c r="AC226" s="375">
        <f t="shared" si="169"/>
        <v>6.666666666666667</v>
      </c>
      <c r="AD226" s="375">
        <f t="shared" si="169"/>
        <v>6.666666666666667</v>
      </c>
    </row>
    <row r="227" spans="1:30" x14ac:dyDescent="0.2">
      <c r="A227" s="224"/>
      <c r="B227"/>
      <c r="O227" s="290"/>
      <c r="P227" s="290"/>
      <c r="Q227" s="224"/>
      <c r="S227" s="380"/>
      <c r="T227" s="375"/>
      <c r="U227" s="375"/>
      <c r="V227" s="375"/>
      <c r="W227" s="375"/>
      <c r="X227" s="375"/>
      <c r="Y227" s="375"/>
      <c r="Z227" s="375"/>
      <c r="AA227" s="375"/>
      <c r="AB227" s="375"/>
      <c r="AC227" s="375"/>
      <c r="AD227" s="375"/>
    </row>
    <row r="228" spans="1:30" x14ac:dyDescent="0.2">
      <c r="A228" s="224"/>
      <c r="B228"/>
      <c r="D228" s="347" t="str">
        <f t="shared" ref="D228:D236" si="170">_xlfn.TEXTJOIN(keydelim,TRUE,E228:N228)</f>
        <v>Tank maintenance -share</v>
      </c>
      <c r="N228" t="s">
        <v>572</v>
      </c>
      <c r="O228" s="290" t="s">
        <v>571</v>
      </c>
      <c r="P228" s="290" t="s">
        <v>563</v>
      </c>
      <c r="Q228" s="224" t="s">
        <v>573</v>
      </c>
      <c r="R228" s="352">
        <v>0.01</v>
      </c>
      <c r="S228" s="379"/>
      <c r="T228" s="375"/>
      <c r="U228" s="375"/>
      <c r="V228" s="375"/>
      <c r="W228" s="375"/>
      <c r="X228" s="375"/>
      <c r="Y228" s="375"/>
      <c r="Z228" s="375"/>
      <c r="AA228" s="375"/>
      <c r="AB228" s="375"/>
      <c r="AC228" s="375"/>
      <c r="AD228" s="375"/>
    </row>
    <row r="229" spans="1:30" x14ac:dyDescent="0.2">
      <c r="A229" s="224"/>
      <c r="B229"/>
      <c r="D229" s="347" t="str">
        <f t="shared" si="170"/>
        <v>HFO - Tank maintenance</v>
      </c>
      <c r="E229" s="15"/>
      <c r="F229" s="48"/>
      <c r="G229" t="s">
        <v>527</v>
      </c>
      <c r="N229" t="s">
        <v>362</v>
      </c>
      <c r="O229" s="290" t="s">
        <v>571</v>
      </c>
      <c r="P229" s="290" t="s">
        <v>563</v>
      </c>
      <c r="Q229" s="224" t="s">
        <v>574</v>
      </c>
      <c r="S229" s="375">
        <f t="shared" ref="S229:AD229" si="171">$R$228*S82</f>
        <v>1.25</v>
      </c>
      <c r="T229" s="375">
        <f t="shared" si="171"/>
        <v>1.25</v>
      </c>
      <c r="U229" s="375">
        <f t="shared" si="171"/>
        <v>1.25</v>
      </c>
      <c r="V229" s="375">
        <f t="shared" si="171"/>
        <v>1.25</v>
      </c>
      <c r="W229" s="375">
        <f t="shared" si="171"/>
        <v>1.25</v>
      </c>
      <c r="X229" s="375">
        <f t="shared" si="171"/>
        <v>1.25</v>
      </c>
      <c r="Y229" s="375">
        <f t="shared" si="171"/>
        <v>1.25</v>
      </c>
      <c r="Z229" s="375">
        <f t="shared" si="171"/>
        <v>1.25</v>
      </c>
      <c r="AA229" s="375">
        <f t="shared" si="171"/>
        <v>1.25</v>
      </c>
      <c r="AB229" s="375">
        <f t="shared" si="171"/>
        <v>1.25</v>
      </c>
      <c r="AC229" s="375">
        <f t="shared" si="171"/>
        <v>1.25</v>
      </c>
      <c r="AD229" s="375">
        <f t="shared" si="171"/>
        <v>1.25</v>
      </c>
    </row>
    <row r="230" spans="1:30" x14ac:dyDescent="0.2">
      <c r="A230" s="224"/>
      <c r="B230"/>
      <c r="D230" s="347" t="str">
        <f t="shared" si="170"/>
        <v>LNG - Tank maintenance</v>
      </c>
      <c r="E230" s="15"/>
      <c r="F230" s="48"/>
      <c r="G230" t="s">
        <v>528</v>
      </c>
      <c r="N230" t="s">
        <v>362</v>
      </c>
      <c r="O230" s="290" t="s">
        <v>571</v>
      </c>
      <c r="P230" s="290" t="s">
        <v>563</v>
      </c>
      <c r="Q230" s="224" t="s">
        <v>574</v>
      </c>
      <c r="S230" s="375">
        <f t="shared" ref="S230:AD230" si="172">$R$228*S83</f>
        <v>10</v>
      </c>
      <c r="T230" s="375">
        <f t="shared" si="172"/>
        <v>10</v>
      </c>
      <c r="U230" s="375">
        <f t="shared" si="172"/>
        <v>10</v>
      </c>
      <c r="V230" s="375">
        <f t="shared" si="172"/>
        <v>10</v>
      </c>
      <c r="W230" s="375">
        <f t="shared" si="172"/>
        <v>10</v>
      </c>
      <c r="X230" s="375">
        <f t="shared" si="172"/>
        <v>10</v>
      </c>
      <c r="Y230" s="375">
        <f t="shared" si="172"/>
        <v>10</v>
      </c>
      <c r="Z230" s="375">
        <f t="shared" si="172"/>
        <v>10</v>
      </c>
      <c r="AA230" s="375">
        <f t="shared" si="172"/>
        <v>10</v>
      </c>
      <c r="AB230" s="375">
        <f t="shared" si="172"/>
        <v>10</v>
      </c>
      <c r="AC230" s="375">
        <f t="shared" si="172"/>
        <v>10</v>
      </c>
      <c r="AD230" s="375">
        <f t="shared" si="172"/>
        <v>10</v>
      </c>
    </row>
    <row r="231" spans="1:30" x14ac:dyDescent="0.2">
      <c r="A231" s="224"/>
      <c r="B231"/>
      <c r="D231" s="347" t="str">
        <f t="shared" si="170"/>
        <v>Ammonia - Tank maintenance</v>
      </c>
      <c r="E231" s="15"/>
      <c r="F231" s="48"/>
      <c r="G231" t="s">
        <v>529</v>
      </c>
      <c r="N231" t="s">
        <v>362</v>
      </c>
      <c r="O231" s="290" t="s">
        <v>571</v>
      </c>
      <c r="P231" s="290" t="s">
        <v>563</v>
      </c>
      <c r="Q231" s="224" t="s">
        <v>574</v>
      </c>
      <c r="S231" s="375">
        <f t="shared" ref="S231:AD231" si="173">$R$228*S84</f>
        <v>5</v>
      </c>
      <c r="T231" s="375">
        <f t="shared" si="173"/>
        <v>5</v>
      </c>
      <c r="U231" s="375">
        <f t="shared" si="173"/>
        <v>5</v>
      </c>
      <c r="V231" s="375">
        <f t="shared" si="173"/>
        <v>5</v>
      </c>
      <c r="W231" s="375">
        <f t="shared" si="173"/>
        <v>5</v>
      </c>
      <c r="X231" s="375">
        <f t="shared" si="173"/>
        <v>5</v>
      </c>
      <c r="Y231" s="375">
        <f t="shared" si="173"/>
        <v>5</v>
      </c>
      <c r="Z231" s="375">
        <f t="shared" si="173"/>
        <v>5</v>
      </c>
      <c r="AA231" s="375">
        <f t="shared" si="173"/>
        <v>5</v>
      </c>
      <c r="AB231" s="375">
        <f t="shared" si="173"/>
        <v>5</v>
      </c>
      <c r="AC231" s="375">
        <f t="shared" si="173"/>
        <v>5</v>
      </c>
      <c r="AD231" s="375">
        <f t="shared" si="173"/>
        <v>5</v>
      </c>
    </row>
    <row r="232" spans="1:30" x14ac:dyDescent="0.2">
      <c r="A232" s="224"/>
      <c r="B232"/>
      <c r="C232"/>
      <c r="D232" s="347" t="str">
        <f t="shared" si="170"/>
        <v>Methanol - Tank maintenance</v>
      </c>
      <c r="E232" s="15"/>
      <c r="F232" s="48"/>
      <c r="G232" t="s">
        <v>530</v>
      </c>
      <c r="N232" t="s">
        <v>362</v>
      </c>
      <c r="O232" s="290" t="s">
        <v>571</v>
      </c>
      <c r="P232" s="290" t="s">
        <v>563</v>
      </c>
      <c r="Q232" s="224" t="s">
        <v>574</v>
      </c>
      <c r="S232" s="375">
        <f t="shared" ref="S232:AD232" si="174">$R$228*S85</f>
        <v>2</v>
      </c>
      <c r="T232" s="375">
        <f t="shared" si="174"/>
        <v>2</v>
      </c>
      <c r="U232" s="375">
        <f t="shared" si="174"/>
        <v>2</v>
      </c>
      <c r="V232" s="375">
        <f t="shared" si="174"/>
        <v>2</v>
      </c>
      <c r="W232" s="375">
        <f t="shared" si="174"/>
        <v>2</v>
      </c>
      <c r="X232" s="375">
        <f t="shared" si="174"/>
        <v>2</v>
      </c>
      <c r="Y232" s="375">
        <f t="shared" si="174"/>
        <v>2</v>
      </c>
      <c r="Z232" s="375">
        <f t="shared" si="174"/>
        <v>2</v>
      </c>
      <c r="AA232" s="375">
        <f t="shared" si="174"/>
        <v>2</v>
      </c>
      <c r="AB232" s="375">
        <f t="shared" si="174"/>
        <v>2</v>
      </c>
      <c r="AC232" s="375">
        <f t="shared" si="174"/>
        <v>2</v>
      </c>
      <c r="AD232" s="375">
        <f t="shared" si="174"/>
        <v>2</v>
      </c>
    </row>
    <row r="233" spans="1:30" x14ac:dyDescent="0.2">
      <c r="A233" s="224"/>
      <c r="B233"/>
      <c r="C233"/>
      <c r="D233" s="347" t="str">
        <f t="shared" si="170"/>
        <v>Liquid hydrogen - Tank maintenance</v>
      </c>
      <c r="F233" s="48"/>
      <c r="G233" t="s">
        <v>531</v>
      </c>
      <c r="N233" t="s">
        <v>362</v>
      </c>
      <c r="O233" s="290"/>
      <c r="P233" s="290"/>
      <c r="Q233" s="224" t="s">
        <v>574</v>
      </c>
      <c r="S233" s="375">
        <f t="shared" ref="S233:AD233" si="175">$R$228*S86</f>
        <v>50</v>
      </c>
      <c r="T233" s="375">
        <f t="shared" si="175"/>
        <v>29.524500000000007</v>
      </c>
      <c r="U233" s="375">
        <f t="shared" si="175"/>
        <v>22.845495289218757</v>
      </c>
      <c r="V233" s="375">
        <f t="shared" si="175"/>
        <v>20.129067511992531</v>
      </c>
      <c r="W233" s="375">
        <f t="shared" si="175"/>
        <v>18.902061765649304</v>
      </c>
      <c r="X233" s="375">
        <f t="shared" si="175"/>
        <v>18.318709949769261</v>
      </c>
      <c r="Y233" s="375">
        <f t="shared" si="175"/>
        <v>18.034263461625606</v>
      </c>
      <c r="Z233" s="375">
        <f t="shared" si="175"/>
        <v>17.893810380551688</v>
      </c>
      <c r="AA233" s="375">
        <f t="shared" si="175"/>
        <v>17.824021813612898</v>
      </c>
      <c r="AB233" s="375">
        <f t="shared" si="175"/>
        <v>17.789236457685231</v>
      </c>
      <c r="AC233" s="375">
        <f t="shared" si="175"/>
        <v>17.771870941186911</v>
      </c>
      <c r="AD233" s="375">
        <f t="shared" si="175"/>
        <v>17.763194964521091</v>
      </c>
    </row>
    <row r="234" spans="1:30" x14ac:dyDescent="0.2">
      <c r="A234" s="224"/>
      <c r="B234"/>
      <c r="D234" s="347" t="str">
        <f t="shared" si="170"/>
        <v>Compressed hydrogen - Tank maintenance</v>
      </c>
      <c r="F234" s="48"/>
      <c r="G234" t="s">
        <v>532</v>
      </c>
      <c r="N234" t="s">
        <v>362</v>
      </c>
      <c r="O234" s="290" t="s">
        <v>571</v>
      </c>
      <c r="P234" s="290" t="s">
        <v>563</v>
      </c>
      <c r="Q234" s="224" t="s">
        <v>574</v>
      </c>
      <c r="S234" s="375">
        <f t="shared" ref="S234:AD234" si="176">$R$228*S87</f>
        <v>135</v>
      </c>
      <c r="T234" s="375">
        <f t="shared" si="176"/>
        <v>63.197847179106979</v>
      </c>
      <c r="U234" s="375">
        <f t="shared" si="176"/>
        <v>56.159579497362294</v>
      </c>
      <c r="V234" s="375">
        <f t="shared" si="176"/>
        <v>55.764379118848758</v>
      </c>
      <c r="W234" s="375">
        <f t="shared" si="176"/>
        <v>55.371959803522927</v>
      </c>
      <c r="X234" s="375">
        <f t="shared" si="176"/>
        <v>51.188618791650399</v>
      </c>
      <c r="Y234" s="375">
        <f t="shared" si="176"/>
        <v>47.321328396077377</v>
      </c>
      <c r="Z234" s="375">
        <f t="shared" si="176"/>
        <v>43.746211052966771</v>
      </c>
      <c r="AA234" s="375">
        <f t="shared" si="176"/>
        <v>40.441193143879445</v>
      </c>
      <c r="AB234" s="375">
        <f t="shared" si="176"/>
        <v>37.385868708043148</v>
      </c>
      <c r="AC234" s="375">
        <f t="shared" si="176"/>
        <v>34.561373451133569</v>
      </c>
      <c r="AD234" s="375">
        <f t="shared" si="176"/>
        <v>31.950268272667941</v>
      </c>
    </row>
    <row r="235" spans="1:30" x14ac:dyDescent="0.2">
      <c r="A235" s="224"/>
      <c r="B235"/>
      <c r="D235" s="347" t="str">
        <f t="shared" si="170"/>
        <v>Electricity - Tank maintenance</v>
      </c>
      <c r="F235" s="48"/>
      <c r="G235" t="s">
        <v>54</v>
      </c>
      <c r="N235" t="s">
        <v>362</v>
      </c>
      <c r="O235" s="290" t="s">
        <v>575</v>
      </c>
      <c r="P235" s="290" t="s">
        <v>563</v>
      </c>
      <c r="Q235" s="224" t="s">
        <v>574</v>
      </c>
      <c r="S235" s="381">
        <v>0</v>
      </c>
      <c r="T235" s="381">
        <v>0</v>
      </c>
      <c r="U235" s="381">
        <v>0</v>
      </c>
      <c r="V235" s="381">
        <v>0</v>
      </c>
      <c r="W235" s="381">
        <v>0</v>
      </c>
      <c r="X235" s="381">
        <v>0</v>
      </c>
      <c r="Y235" s="381">
        <v>0</v>
      </c>
      <c r="Z235" s="381">
        <v>0</v>
      </c>
      <c r="AA235" s="381">
        <v>0</v>
      </c>
      <c r="AB235" s="381">
        <v>0</v>
      </c>
      <c r="AC235" s="381">
        <v>0</v>
      </c>
      <c r="AD235" s="381">
        <v>0</v>
      </c>
    </row>
    <row r="236" spans="1:30" x14ac:dyDescent="0.2">
      <c r="A236" s="224"/>
      <c r="B236"/>
      <c r="D236" s="347" t="str">
        <f t="shared" si="170"/>
        <v>Diesel - Tank maintenance</v>
      </c>
      <c r="F236" s="48"/>
      <c r="G236" t="s">
        <v>533</v>
      </c>
      <c r="N236" t="s">
        <v>362</v>
      </c>
      <c r="Q236" s="224" t="s">
        <v>574</v>
      </c>
      <c r="S236" s="375">
        <f t="shared" ref="S236:AD236" si="177">$R$228*S89</f>
        <v>1.25</v>
      </c>
      <c r="T236" s="375">
        <f t="shared" si="177"/>
        <v>1.25</v>
      </c>
      <c r="U236" s="375">
        <f t="shared" si="177"/>
        <v>1.25</v>
      </c>
      <c r="V236" s="375">
        <f t="shared" si="177"/>
        <v>1.25</v>
      </c>
      <c r="W236" s="375">
        <f t="shared" si="177"/>
        <v>1.25</v>
      </c>
      <c r="X236" s="375">
        <f t="shared" si="177"/>
        <v>1.25</v>
      </c>
      <c r="Y236" s="375">
        <f t="shared" si="177"/>
        <v>1.25</v>
      </c>
      <c r="Z236" s="375">
        <f t="shared" si="177"/>
        <v>1.25</v>
      </c>
      <c r="AA236" s="375">
        <f t="shared" si="177"/>
        <v>1.25</v>
      </c>
      <c r="AB236" s="375">
        <f t="shared" si="177"/>
        <v>1.25</v>
      </c>
      <c r="AC236" s="375">
        <f t="shared" si="177"/>
        <v>1.25</v>
      </c>
      <c r="AD236" s="375">
        <f t="shared" si="177"/>
        <v>1.25</v>
      </c>
    </row>
    <row r="237" spans="1:30" x14ac:dyDescent="0.2">
      <c r="A237" s="224"/>
      <c r="B237"/>
      <c r="D237" s="347" t="str">
        <f>_xlfn.TEXTJOIN(keydelim,TRUE,E237:N237)</f>
        <v>LPG - Tank maintenance</v>
      </c>
      <c r="F237" s="48"/>
      <c r="G237" t="s">
        <v>534</v>
      </c>
      <c r="N237" t="s">
        <v>362</v>
      </c>
      <c r="Q237" s="224" t="s">
        <v>574</v>
      </c>
      <c r="S237" s="375">
        <f t="shared" ref="S237:AD237" si="178">$R$228*S90</f>
        <v>2</v>
      </c>
      <c r="T237" s="375">
        <f t="shared" si="178"/>
        <v>2</v>
      </c>
      <c r="U237" s="375">
        <f t="shared" si="178"/>
        <v>2</v>
      </c>
      <c r="V237" s="375">
        <f t="shared" si="178"/>
        <v>2</v>
      </c>
      <c r="W237" s="375">
        <f t="shared" si="178"/>
        <v>2</v>
      </c>
      <c r="X237" s="375">
        <f t="shared" si="178"/>
        <v>2</v>
      </c>
      <c r="Y237" s="375">
        <f t="shared" si="178"/>
        <v>2</v>
      </c>
      <c r="Z237" s="375">
        <f t="shared" si="178"/>
        <v>2</v>
      </c>
      <c r="AA237" s="375">
        <f t="shared" si="178"/>
        <v>2</v>
      </c>
      <c r="AB237" s="375">
        <f t="shared" si="178"/>
        <v>2</v>
      </c>
      <c r="AC237" s="375">
        <f t="shared" si="178"/>
        <v>2</v>
      </c>
      <c r="AD237" s="375">
        <f t="shared" si="178"/>
        <v>2</v>
      </c>
    </row>
    <row r="238" spans="1:30" x14ac:dyDescent="0.2">
      <c r="A238" s="224"/>
      <c r="B238"/>
      <c r="Q238" s="224"/>
      <c r="S238" s="361"/>
      <c r="T238" s="52"/>
      <c r="U238" s="52"/>
      <c r="V238" s="52"/>
      <c r="W238" s="52"/>
      <c r="X238" s="52"/>
      <c r="Y238" s="52"/>
      <c r="Z238" s="52"/>
      <c r="AA238" s="52"/>
      <c r="AB238" s="52"/>
      <c r="AC238" s="52"/>
      <c r="AD238" s="52"/>
    </row>
    <row r="239" spans="1:30" x14ac:dyDescent="0.2">
      <c r="A239" s="224"/>
      <c r="B239"/>
      <c r="D239" s="347" t="str">
        <f t="shared" ref="D239:D247" si="179">_xlfn.TEXTJOIN(keydelim,TRUE,E239:N239)</f>
        <v>HFO - Supply system maintenance</v>
      </c>
      <c r="F239" s="48"/>
      <c r="G239" t="s">
        <v>527</v>
      </c>
      <c r="N239" t="s">
        <v>367</v>
      </c>
      <c r="Q239" s="224" t="s">
        <v>211</v>
      </c>
      <c r="S239" s="357">
        <f>0.01*INDEX($S$108:$S$116,MATCH($G239,$G$108:$G$116,0))</f>
        <v>1000</v>
      </c>
      <c r="T239" s="52">
        <f t="shared" ref="T239" si="180">S239</f>
        <v>1000</v>
      </c>
      <c r="U239" s="52">
        <f t="shared" ref="U239:U248" si="181">T239</f>
        <v>1000</v>
      </c>
      <c r="V239" s="52">
        <f t="shared" ref="V239:V248" si="182">U239</f>
        <v>1000</v>
      </c>
      <c r="W239" s="52">
        <f t="shared" ref="W239:W248" si="183">V239</f>
        <v>1000</v>
      </c>
      <c r="X239" s="52">
        <f t="shared" ref="X239:X248" si="184">W239</f>
        <v>1000</v>
      </c>
      <c r="Y239" s="52">
        <f t="shared" ref="Y239:Y248" si="185">X239</f>
        <v>1000</v>
      </c>
      <c r="Z239" s="52">
        <f t="shared" ref="Z239:Z248" si="186">Y239</f>
        <v>1000</v>
      </c>
      <c r="AA239" s="52">
        <f t="shared" ref="AA239:AA248" si="187">Z239</f>
        <v>1000</v>
      </c>
      <c r="AB239" s="52">
        <f t="shared" ref="AB239:AB248" si="188">AA239</f>
        <v>1000</v>
      </c>
      <c r="AC239" s="52">
        <f t="shared" ref="AC239:AC248" si="189">AB239</f>
        <v>1000</v>
      </c>
      <c r="AD239" s="52">
        <f t="shared" ref="AD239:AD248" si="190">AC239</f>
        <v>1000</v>
      </c>
    </row>
    <row r="240" spans="1:30" x14ac:dyDescent="0.2">
      <c r="A240" s="224"/>
      <c r="B240"/>
      <c r="D240" s="347" t="str">
        <f t="shared" si="179"/>
        <v>LNG - Supply system maintenance</v>
      </c>
      <c r="F240" s="48"/>
      <c r="G240" t="s">
        <v>528</v>
      </c>
      <c r="N240" t="s">
        <v>367</v>
      </c>
      <c r="Q240" s="224" t="s">
        <v>211</v>
      </c>
      <c r="S240" s="357">
        <f>0.02*INDEX($S$108:$S$116,MATCH($G240,$G$108:$G$116,0))</f>
        <v>2400</v>
      </c>
      <c r="T240" s="52">
        <f t="shared" ref="T240:T248" si="191">S240</f>
        <v>2400</v>
      </c>
      <c r="U240" s="52">
        <f t="shared" si="181"/>
        <v>2400</v>
      </c>
      <c r="V240" s="52">
        <f t="shared" si="182"/>
        <v>2400</v>
      </c>
      <c r="W240" s="52">
        <f t="shared" si="183"/>
        <v>2400</v>
      </c>
      <c r="X240" s="52">
        <f t="shared" si="184"/>
        <v>2400</v>
      </c>
      <c r="Y240" s="52">
        <f t="shared" si="185"/>
        <v>2400</v>
      </c>
      <c r="Z240" s="52">
        <f t="shared" si="186"/>
        <v>2400</v>
      </c>
      <c r="AA240" s="52">
        <f t="shared" si="187"/>
        <v>2400</v>
      </c>
      <c r="AB240" s="52">
        <f t="shared" si="188"/>
        <v>2400</v>
      </c>
      <c r="AC240" s="52">
        <f t="shared" si="189"/>
        <v>2400</v>
      </c>
      <c r="AD240" s="52">
        <f t="shared" si="190"/>
        <v>2400</v>
      </c>
    </row>
    <row r="241" spans="1:30" x14ac:dyDescent="0.2">
      <c r="A241" s="224"/>
      <c r="B241"/>
      <c r="D241" s="347" t="str">
        <f t="shared" si="179"/>
        <v>Ammonia - Supply system maintenance</v>
      </c>
      <c r="F241" s="48"/>
      <c r="G241" t="s">
        <v>529</v>
      </c>
      <c r="N241" t="s">
        <v>367</v>
      </c>
      <c r="Q241" s="224" t="s">
        <v>211</v>
      </c>
      <c r="S241" s="357">
        <f t="shared" ref="S241:S248" si="192">0.01*INDEX($S$108:$S$116,MATCH($G241,$G$108:$G$116,0))</f>
        <v>10000</v>
      </c>
      <c r="T241" s="52">
        <f t="shared" si="191"/>
        <v>10000</v>
      </c>
      <c r="U241" s="52">
        <f t="shared" si="181"/>
        <v>10000</v>
      </c>
      <c r="V241" s="52">
        <f t="shared" si="182"/>
        <v>10000</v>
      </c>
      <c r="W241" s="52">
        <f t="shared" si="183"/>
        <v>10000</v>
      </c>
      <c r="X241" s="52">
        <f t="shared" si="184"/>
        <v>10000</v>
      </c>
      <c r="Y241" s="52">
        <f t="shared" si="185"/>
        <v>10000</v>
      </c>
      <c r="Z241" s="52">
        <f t="shared" si="186"/>
        <v>10000</v>
      </c>
      <c r="AA241" s="52">
        <f t="shared" si="187"/>
        <v>10000</v>
      </c>
      <c r="AB241" s="52">
        <f t="shared" si="188"/>
        <v>10000</v>
      </c>
      <c r="AC241" s="52">
        <f t="shared" si="189"/>
        <v>10000</v>
      </c>
      <c r="AD241" s="52">
        <f t="shared" si="190"/>
        <v>10000</v>
      </c>
    </row>
    <row r="242" spans="1:30" x14ac:dyDescent="0.2">
      <c r="A242" s="224"/>
      <c r="B242"/>
      <c r="C242"/>
      <c r="D242" s="347" t="str">
        <f t="shared" si="179"/>
        <v>Methanol - Supply system maintenance</v>
      </c>
      <c r="F242" s="48"/>
      <c r="G242" t="s">
        <v>530</v>
      </c>
      <c r="N242" t="s">
        <v>367</v>
      </c>
      <c r="Q242" s="224" t="s">
        <v>211</v>
      </c>
      <c r="S242" s="357">
        <f t="shared" si="192"/>
        <v>8000</v>
      </c>
      <c r="T242" s="52">
        <f t="shared" si="191"/>
        <v>8000</v>
      </c>
      <c r="U242" s="52">
        <f t="shared" si="181"/>
        <v>8000</v>
      </c>
      <c r="V242" s="52">
        <f t="shared" si="182"/>
        <v>8000</v>
      </c>
      <c r="W242" s="52">
        <f t="shared" si="183"/>
        <v>8000</v>
      </c>
      <c r="X242" s="52">
        <f t="shared" si="184"/>
        <v>8000</v>
      </c>
      <c r="Y242" s="52">
        <f t="shared" si="185"/>
        <v>8000</v>
      </c>
      <c r="Z242" s="52">
        <f t="shared" si="186"/>
        <v>8000</v>
      </c>
      <c r="AA242" s="52">
        <f t="shared" si="187"/>
        <v>8000</v>
      </c>
      <c r="AB242" s="52">
        <f t="shared" si="188"/>
        <v>8000</v>
      </c>
      <c r="AC242" s="52">
        <f t="shared" si="189"/>
        <v>8000</v>
      </c>
      <c r="AD242" s="52">
        <f t="shared" si="190"/>
        <v>8000</v>
      </c>
    </row>
    <row r="243" spans="1:30" x14ac:dyDescent="0.2">
      <c r="A243" s="224"/>
      <c r="B243"/>
      <c r="C243"/>
      <c r="D243" s="347" t="str">
        <f t="shared" si="179"/>
        <v>Methanol - Supply system maintenance</v>
      </c>
      <c r="F243" s="48"/>
      <c r="G243" t="s">
        <v>530</v>
      </c>
      <c r="N243" t="s">
        <v>367</v>
      </c>
      <c r="Q243" s="224" t="s">
        <v>211</v>
      </c>
      <c r="S243" s="357">
        <f t="shared" si="192"/>
        <v>8000</v>
      </c>
      <c r="T243" s="52">
        <f t="shared" si="191"/>
        <v>8000</v>
      </c>
      <c r="U243" s="52">
        <f t="shared" si="181"/>
        <v>8000</v>
      </c>
      <c r="V243" s="52">
        <f t="shared" si="182"/>
        <v>8000</v>
      </c>
      <c r="W243" s="52">
        <f t="shared" si="183"/>
        <v>8000</v>
      </c>
      <c r="X243" s="52">
        <f t="shared" si="184"/>
        <v>8000</v>
      </c>
      <c r="Y243" s="52">
        <f t="shared" si="185"/>
        <v>8000</v>
      </c>
      <c r="Z243" s="52">
        <f t="shared" si="186"/>
        <v>8000</v>
      </c>
      <c r="AA243" s="52">
        <f t="shared" si="187"/>
        <v>8000</v>
      </c>
      <c r="AB243" s="52">
        <f t="shared" si="188"/>
        <v>8000</v>
      </c>
      <c r="AC243" s="52">
        <f t="shared" si="189"/>
        <v>8000</v>
      </c>
      <c r="AD243" s="52">
        <f t="shared" si="190"/>
        <v>8000</v>
      </c>
    </row>
    <row r="244" spans="1:30" x14ac:dyDescent="0.2">
      <c r="A244" s="224"/>
      <c r="B244"/>
      <c r="D244" s="347" t="str">
        <f t="shared" si="179"/>
        <v>Liquid hydrogen - Supply system maintenance</v>
      </c>
      <c r="F244" s="48"/>
      <c r="G244" t="s">
        <v>531</v>
      </c>
      <c r="N244" t="s">
        <v>367</v>
      </c>
      <c r="Q244" s="224" t="s">
        <v>211</v>
      </c>
      <c r="S244" s="357">
        <f t="shared" si="192"/>
        <v>36000</v>
      </c>
      <c r="T244" s="52">
        <f t="shared" si="191"/>
        <v>36000</v>
      </c>
      <c r="U244" s="52">
        <f t="shared" si="181"/>
        <v>36000</v>
      </c>
      <c r="V244" s="52">
        <f t="shared" si="182"/>
        <v>36000</v>
      </c>
      <c r="W244" s="52">
        <f t="shared" si="183"/>
        <v>36000</v>
      </c>
      <c r="X244" s="52">
        <f t="shared" si="184"/>
        <v>36000</v>
      </c>
      <c r="Y244" s="52">
        <f t="shared" si="185"/>
        <v>36000</v>
      </c>
      <c r="Z244" s="52">
        <f t="shared" si="186"/>
        <v>36000</v>
      </c>
      <c r="AA244" s="52">
        <f t="shared" si="187"/>
        <v>36000</v>
      </c>
      <c r="AB244" s="52">
        <f t="shared" si="188"/>
        <v>36000</v>
      </c>
      <c r="AC244" s="52">
        <f t="shared" si="189"/>
        <v>36000</v>
      </c>
      <c r="AD244" s="52">
        <f t="shared" si="190"/>
        <v>36000</v>
      </c>
    </row>
    <row r="245" spans="1:30" x14ac:dyDescent="0.2">
      <c r="A245" s="224"/>
      <c r="B245"/>
      <c r="C245"/>
      <c r="D245" s="347" t="str">
        <f t="shared" si="179"/>
        <v>Compressed hydrogen - Supply system maintenance</v>
      </c>
      <c r="F245" s="48"/>
      <c r="G245" t="s">
        <v>532</v>
      </c>
      <c r="N245" t="s">
        <v>367</v>
      </c>
      <c r="Q245" s="224" t="s">
        <v>211</v>
      </c>
      <c r="S245" s="357">
        <f t="shared" si="192"/>
        <v>36000</v>
      </c>
      <c r="T245" s="52">
        <f t="shared" si="191"/>
        <v>36000</v>
      </c>
      <c r="U245" s="52">
        <f t="shared" si="181"/>
        <v>36000</v>
      </c>
      <c r="V245" s="52">
        <f t="shared" si="182"/>
        <v>36000</v>
      </c>
      <c r="W245" s="52">
        <f t="shared" si="183"/>
        <v>36000</v>
      </c>
      <c r="X245" s="52">
        <f t="shared" si="184"/>
        <v>36000</v>
      </c>
      <c r="Y245" s="52">
        <f t="shared" si="185"/>
        <v>36000</v>
      </c>
      <c r="Z245" s="52">
        <f t="shared" si="186"/>
        <v>36000</v>
      </c>
      <c r="AA245" s="52">
        <f t="shared" si="187"/>
        <v>36000</v>
      </c>
      <c r="AB245" s="52">
        <f t="shared" si="188"/>
        <v>36000</v>
      </c>
      <c r="AC245" s="52">
        <f t="shared" si="189"/>
        <v>36000</v>
      </c>
      <c r="AD245" s="52">
        <f t="shared" si="190"/>
        <v>36000</v>
      </c>
    </row>
    <row r="246" spans="1:30" x14ac:dyDescent="0.2">
      <c r="A246" s="224"/>
      <c r="B246"/>
      <c r="D246" s="347" t="str">
        <f t="shared" si="179"/>
        <v>Electricity - Supply system maintenance</v>
      </c>
      <c r="F246" s="48"/>
      <c r="G246" t="s">
        <v>54</v>
      </c>
      <c r="N246" t="s">
        <v>367</v>
      </c>
      <c r="Q246" s="224" t="s">
        <v>211</v>
      </c>
      <c r="S246" s="357">
        <f t="shared" si="192"/>
        <v>2000</v>
      </c>
      <c r="T246" s="52">
        <f t="shared" si="191"/>
        <v>2000</v>
      </c>
      <c r="U246" s="52">
        <f t="shared" si="181"/>
        <v>2000</v>
      </c>
      <c r="V246" s="52">
        <f t="shared" si="182"/>
        <v>2000</v>
      </c>
      <c r="W246" s="52">
        <f t="shared" si="183"/>
        <v>2000</v>
      </c>
      <c r="X246" s="52">
        <f t="shared" si="184"/>
        <v>2000</v>
      </c>
      <c r="Y246" s="52">
        <f t="shared" si="185"/>
        <v>2000</v>
      </c>
      <c r="Z246" s="52">
        <f t="shared" si="186"/>
        <v>2000</v>
      </c>
      <c r="AA246" s="52">
        <f t="shared" si="187"/>
        <v>2000</v>
      </c>
      <c r="AB246" s="52">
        <f t="shared" si="188"/>
        <v>2000</v>
      </c>
      <c r="AC246" s="52">
        <f t="shared" si="189"/>
        <v>2000</v>
      </c>
      <c r="AD246" s="52">
        <f t="shared" si="190"/>
        <v>2000</v>
      </c>
    </row>
    <row r="247" spans="1:30" x14ac:dyDescent="0.2">
      <c r="A247" s="224"/>
      <c r="B247"/>
      <c r="D247" s="347" t="str">
        <f t="shared" si="179"/>
        <v>Diesel - Supply system maintenance</v>
      </c>
      <c r="F247" s="48"/>
      <c r="G247" t="s">
        <v>533</v>
      </c>
      <c r="N247" t="s">
        <v>367</v>
      </c>
      <c r="Q247" s="224" t="s">
        <v>211</v>
      </c>
      <c r="S247" s="357">
        <f t="shared" si="192"/>
        <v>1000</v>
      </c>
      <c r="T247" s="52">
        <f t="shared" si="191"/>
        <v>1000</v>
      </c>
      <c r="U247" s="52">
        <f t="shared" si="181"/>
        <v>1000</v>
      </c>
      <c r="V247" s="52">
        <f t="shared" si="182"/>
        <v>1000</v>
      </c>
      <c r="W247" s="52">
        <f t="shared" si="183"/>
        <v>1000</v>
      </c>
      <c r="X247" s="52">
        <f t="shared" si="184"/>
        <v>1000</v>
      </c>
      <c r="Y247" s="52">
        <f t="shared" si="185"/>
        <v>1000</v>
      </c>
      <c r="Z247" s="52">
        <f t="shared" si="186"/>
        <v>1000</v>
      </c>
      <c r="AA247" s="52">
        <f t="shared" si="187"/>
        <v>1000</v>
      </c>
      <c r="AB247" s="52">
        <f t="shared" si="188"/>
        <v>1000</v>
      </c>
      <c r="AC247" s="52">
        <f t="shared" si="189"/>
        <v>1000</v>
      </c>
      <c r="AD247" s="52">
        <f t="shared" si="190"/>
        <v>1000</v>
      </c>
    </row>
    <row r="248" spans="1:30" x14ac:dyDescent="0.2">
      <c r="A248" s="224"/>
      <c r="B248"/>
      <c r="D248" s="347" t="str">
        <f>_xlfn.TEXTJOIN(keydelim,TRUE,E248:N248)</f>
        <v>LPG - Supply system maintenance</v>
      </c>
      <c r="F248" s="48"/>
      <c r="G248" t="s">
        <v>534</v>
      </c>
      <c r="N248" t="s">
        <v>367</v>
      </c>
      <c r="P248" s="306"/>
      <c r="Q248" s="224" t="s">
        <v>211</v>
      </c>
      <c r="S248" s="357">
        <f t="shared" si="192"/>
        <v>8000</v>
      </c>
      <c r="T248" s="52">
        <f t="shared" si="191"/>
        <v>8000</v>
      </c>
      <c r="U248" s="52">
        <f t="shared" si="181"/>
        <v>8000</v>
      </c>
      <c r="V248" s="52">
        <f t="shared" si="182"/>
        <v>8000</v>
      </c>
      <c r="W248" s="52">
        <f t="shared" si="183"/>
        <v>8000</v>
      </c>
      <c r="X248" s="52">
        <f t="shared" si="184"/>
        <v>8000</v>
      </c>
      <c r="Y248" s="52">
        <f t="shared" si="185"/>
        <v>8000</v>
      </c>
      <c r="Z248" s="52">
        <f t="shared" si="186"/>
        <v>8000</v>
      </c>
      <c r="AA248" s="52">
        <f t="shared" si="187"/>
        <v>8000</v>
      </c>
      <c r="AB248" s="52">
        <f t="shared" si="188"/>
        <v>8000</v>
      </c>
      <c r="AC248" s="52">
        <f t="shared" si="189"/>
        <v>8000</v>
      </c>
      <c r="AD248" s="52">
        <f t="shared" si="190"/>
        <v>8000</v>
      </c>
    </row>
    <row r="249" spans="1:30" x14ac:dyDescent="0.2">
      <c r="B249"/>
    </row>
    <row r="250" spans="1:30" x14ac:dyDescent="0.2">
      <c r="B250" s="49" t="s">
        <v>369</v>
      </c>
      <c r="C250" s="49"/>
      <c r="D250" s="350"/>
      <c r="E250" s="331"/>
      <c r="F250" s="331"/>
      <c r="G250" s="331" t="str">
        <f>B250</f>
        <v>Ancillary OPEX</v>
      </c>
      <c r="H250" s="331"/>
      <c r="I250" s="331"/>
      <c r="J250" s="331"/>
      <c r="K250" s="331"/>
      <c r="L250" s="331"/>
      <c r="M250" s="331"/>
      <c r="N250" s="331"/>
      <c r="O250" s="331"/>
      <c r="P250" s="331"/>
      <c r="Q250" s="331"/>
      <c r="R250" s="331"/>
      <c r="S250" s="331"/>
      <c r="T250" s="331"/>
      <c r="U250" s="331"/>
      <c r="V250" s="331"/>
      <c r="W250" s="331"/>
      <c r="X250" s="331"/>
      <c r="Y250" s="331"/>
      <c r="Z250" s="331"/>
      <c r="AA250" s="331"/>
      <c r="AB250" s="331"/>
      <c r="AC250" s="331"/>
      <c r="AD250" s="331"/>
    </row>
    <row r="251" spans="1:30" x14ac:dyDescent="0.2">
      <c r="A251" s="224"/>
      <c r="B251"/>
      <c r="C251"/>
      <c r="D251" s="347" t="str">
        <f t="shared" ref="D251:D283" si="193">_xlfn.TEXTJOIN(keydelim,TRUE,E251:N251)</f>
        <v>Bulk carrier - Large - Ancillary OPEX</v>
      </c>
      <c r="J251" t="s">
        <v>541</v>
      </c>
      <c r="K251" t="s">
        <v>545</v>
      </c>
      <c r="N251" t="s">
        <v>369</v>
      </c>
      <c r="O251" t="s">
        <v>576</v>
      </c>
      <c r="Q251" s="224" t="s">
        <v>544</v>
      </c>
      <c r="S251" s="364">
        <v>2.4</v>
      </c>
      <c r="T251" s="382">
        <f t="shared" ref="T251:T262" si="194">S251</f>
        <v>2.4</v>
      </c>
      <c r="U251" s="382">
        <f t="shared" ref="U251:U283" si="195">T251</f>
        <v>2.4</v>
      </c>
      <c r="V251" s="382">
        <f t="shared" ref="V251:V283" si="196">U251</f>
        <v>2.4</v>
      </c>
      <c r="W251" s="382">
        <f t="shared" ref="W251:W283" si="197">V251</f>
        <v>2.4</v>
      </c>
      <c r="X251" s="382">
        <f t="shared" ref="X251:X283" si="198">W251</f>
        <v>2.4</v>
      </c>
      <c r="Y251" s="382">
        <f t="shared" ref="Y251:Y283" si="199">X251</f>
        <v>2.4</v>
      </c>
      <c r="Z251" s="382">
        <f t="shared" ref="Z251:Z283" si="200">Y251</f>
        <v>2.4</v>
      </c>
      <c r="AA251" s="382">
        <f t="shared" ref="AA251:AA283" si="201">Z251</f>
        <v>2.4</v>
      </c>
      <c r="AB251" s="382">
        <f t="shared" ref="AB251:AB283" si="202">AA251</f>
        <v>2.4</v>
      </c>
      <c r="AC251" s="382">
        <f t="shared" ref="AC251:AC283" si="203">AB251</f>
        <v>2.4</v>
      </c>
      <c r="AD251" s="382">
        <f t="shared" ref="AD251:AD283" si="204">AC251</f>
        <v>2.4</v>
      </c>
    </row>
    <row r="252" spans="1:30" x14ac:dyDescent="0.2">
      <c r="A252" s="224"/>
      <c r="B252"/>
      <c r="C252"/>
      <c r="D252" s="347" t="str">
        <f t="shared" si="193"/>
        <v>Bulk carrier - Medium - Ancillary OPEX</v>
      </c>
      <c r="J252" t="s">
        <v>541</v>
      </c>
      <c r="K252" t="s">
        <v>107</v>
      </c>
      <c r="N252" t="s">
        <v>369</v>
      </c>
      <c r="O252" t="s">
        <v>576</v>
      </c>
      <c r="Q252" s="224" t="s">
        <v>544</v>
      </c>
      <c r="S252" s="364">
        <v>1.8</v>
      </c>
      <c r="T252" s="382">
        <f t="shared" si="194"/>
        <v>1.8</v>
      </c>
      <c r="U252" s="382">
        <f t="shared" si="195"/>
        <v>1.8</v>
      </c>
      <c r="V252" s="382">
        <f t="shared" si="196"/>
        <v>1.8</v>
      </c>
      <c r="W252" s="382">
        <f t="shared" si="197"/>
        <v>1.8</v>
      </c>
      <c r="X252" s="382">
        <f t="shared" si="198"/>
        <v>1.8</v>
      </c>
      <c r="Y252" s="382">
        <f t="shared" si="199"/>
        <v>1.8</v>
      </c>
      <c r="Z252" s="382">
        <f t="shared" si="200"/>
        <v>1.8</v>
      </c>
      <c r="AA252" s="382">
        <f t="shared" si="201"/>
        <v>1.8</v>
      </c>
      <c r="AB252" s="382">
        <f t="shared" si="202"/>
        <v>1.8</v>
      </c>
      <c r="AC252" s="382">
        <f t="shared" si="203"/>
        <v>1.8</v>
      </c>
      <c r="AD252" s="382">
        <f t="shared" si="204"/>
        <v>1.8</v>
      </c>
    </row>
    <row r="253" spans="1:30" x14ac:dyDescent="0.2">
      <c r="A253" s="224"/>
      <c r="B253"/>
      <c r="C253"/>
      <c r="D253" s="347" t="str">
        <f t="shared" si="193"/>
        <v>Bulk carrier - Small - Ancillary OPEX</v>
      </c>
      <c r="J253" t="s">
        <v>541</v>
      </c>
      <c r="K253" t="s">
        <v>546</v>
      </c>
      <c r="N253" t="s">
        <v>369</v>
      </c>
      <c r="O253" t="s">
        <v>576</v>
      </c>
      <c r="Q253" s="224" t="s">
        <v>544</v>
      </c>
      <c r="S253" s="364">
        <v>1.5</v>
      </c>
      <c r="T253" s="382">
        <f t="shared" si="194"/>
        <v>1.5</v>
      </c>
      <c r="U253" s="382">
        <f t="shared" si="195"/>
        <v>1.5</v>
      </c>
      <c r="V253" s="382">
        <f t="shared" si="196"/>
        <v>1.5</v>
      </c>
      <c r="W253" s="382">
        <f t="shared" si="197"/>
        <v>1.5</v>
      </c>
      <c r="X253" s="382">
        <f t="shared" si="198"/>
        <v>1.5</v>
      </c>
      <c r="Y253" s="382">
        <f t="shared" si="199"/>
        <v>1.5</v>
      </c>
      <c r="Z253" s="382">
        <f t="shared" si="200"/>
        <v>1.5</v>
      </c>
      <c r="AA253" s="382">
        <f t="shared" si="201"/>
        <v>1.5</v>
      </c>
      <c r="AB253" s="382">
        <f t="shared" si="202"/>
        <v>1.5</v>
      </c>
      <c r="AC253" s="382">
        <f t="shared" si="203"/>
        <v>1.5</v>
      </c>
      <c r="AD253" s="382">
        <f t="shared" si="204"/>
        <v>1.5</v>
      </c>
    </row>
    <row r="254" spans="1:30" x14ac:dyDescent="0.2">
      <c r="A254" s="224"/>
      <c r="B254"/>
      <c r="C254"/>
      <c r="D254" s="347" t="str">
        <f t="shared" si="193"/>
        <v>Container - Large - Ancillary OPEX</v>
      </c>
      <c r="J254" t="s">
        <v>105</v>
      </c>
      <c r="K254" t="s">
        <v>545</v>
      </c>
      <c r="N254" t="s">
        <v>369</v>
      </c>
      <c r="O254" t="s">
        <v>576</v>
      </c>
      <c r="Q254" s="224" t="s">
        <v>544</v>
      </c>
      <c r="S254" s="364">
        <v>2.5</v>
      </c>
      <c r="T254" s="382">
        <f t="shared" si="194"/>
        <v>2.5</v>
      </c>
      <c r="U254" s="382">
        <f t="shared" si="195"/>
        <v>2.5</v>
      </c>
      <c r="V254" s="382">
        <f t="shared" si="196"/>
        <v>2.5</v>
      </c>
      <c r="W254" s="382">
        <f t="shared" si="197"/>
        <v>2.5</v>
      </c>
      <c r="X254" s="382">
        <f t="shared" si="198"/>
        <v>2.5</v>
      </c>
      <c r="Y254" s="382">
        <f t="shared" si="199"/>
        <v>2.5</v>
      </c>
      <c r="Z254" s="382">
        <f t="shared" si="200"/>
        <v>2.5</v>
      </c>
      <c r="AA254" s="382">
        <f t="shared" si="201"/>
        <v>2.5</v>
      </c>
      <c r="AB254" s="382">
        <f t="shared" si="202"/>
        <v>2.5</v>
      </c>
      <c r="AC254" s="382">
        <f t="shared" si="203"/>
        <v>2.5</v>
      </c>
      <c r="AD254" s="382">
        <f t="shared" si="204"/>
        <v>2.5</v>
      </c>
    </row>
    <row r="255" spans="1:30" x14ac:dyDescent="0.2">
      <c r="A255" s="224"/>
      <c r="B255"/>
      <c r="C255"/>
      <c r="D255" s="347" t="str">
        <f t="shared" si="193"/>
        <v>Container - Medium - Ancillary OPEX</v>
      </c>
      <c r="J255" t="s">
        <v>105</v>
      </c>
      <c r="K255" t="s">
        <v>107</v>
      </c>
      <c r="N255" t="s">
        <v>369</v>
      </c>
      <c r="O255" t="s">
        <v>576</v>
      </c>
      <c r="Q255" s="224" t="s">
        <v>544</v>
      </c>
      <c r="S255" s="364">
        <v>2.1</v>
      </c>
      <c r="T255" s="382">
        <f t="shared" si="194"/>
        <v>2.1</v>
      </c>
      <c r="U255" s="382">
        <f t="shared" si="195"/>
        <v>2.1</v>
      </c>
      <c r="V255" s="382">
        <f t="shared" si="196"/>
        <v>2.1</v>
      </c>
      <c r="W255" s="382">
        <f t="shared" si="197"/>
        <v>2.1</v>
      </c>
      <c r="X255" s="382">
        <f t="shared" si="198"/>
        <v>2.1</v>
      </c>
      <c r="Y255" s="382">
        <f t="shared" si="199"/>
        <v>2.1</v>
      </c>
      <c r="Z255" s="382">
        <f t="shared" si="200"/>
        <v>2.1</v>
      </c>
      <c r="AA255" s="382">
        <f t="shared" si="201"/>
        <v>2.1</v>
      </c>
      <c r="AB255" s="382">
        <f t="shared" si="202"/>
        <v>2.1</v>
      </c>
      <c r="AC255" s="382">
        <f t="shared" si="203"/>
        <v>2.1</v>
      </c>
      <c r="AD255" s="382">
        <f t="shared" si="204"/>
        <v>2.1</v>
      </c>
    </row>
    <row r="256" spans="1:30" x14ac:dyDescent="0.2">
      <c r="A256" s="224"/>
      <c r="B256"/>
      <c r="C256"/>
      <c r="D256" s="347" t="str">
        <f t="shared" si="193"/>
        <v>Container - Small - Ancillary OPEX</v>
      </c>
      <c r="J256" t="s">
        <v>105</v>
      </c>
      <c r="K256" t="s">
        <v>546</v>
      </c>
      <c r="N256" t="s">
        <v>369</v>
      </c>
      <c r="O256" t="s">
        <v>576</v>
      </c>
      <c r="Q256" s="224" t="s">
        <v>544</v>
      </c>
      <c r="S256" s="364">
        <v>1.8</v>
      </c>
      <c r="T256" s="382">
        <f t="shared" si="194"/>
        <v>1.8</v>
      </c>
      <c r="U256" s="382">
        <f t="shared" si="195"/>
        <v>1.8</v>
      </c>
      <c r="V256" s="382">
        <f t="shared" si="196"/>
        <v>1.8</v>
      </c>
      <c r="W256" s="382">
        <f t="shared" si="197"/>
        <v>1.8</v>
      </c>
      <c r="X256" s="382">
        <f t="shared" si="198"/>
        <v>1.8</v>
      </c>
      <c r="Y256" s="382">
        <f t="shared" si="199"/>
        <v>1.8</v>
      </c>
      <c r="Z256" s="382">
        <f t="shared" si="200"/>
        <v>1.8</v>
      </c>
      <c r="AA256" s="382">
        <f t="shared" si="201"/>
        <v>1.8</v>
      </c>
      <c r="AB256" s="382">
        <f t="shared" si="202"/>
        <v>1.8</v>
      </c>
      <c r="AC256" s="382">
        <f t="shared" si="203"/>
        <v>1.8</v>
      </c>
      <c r="AD256" s="382">
        <f t="shared" si="204"/>
        <v>1.8</v>
      </c>
    </row>
    <row r="257" spans="1:30" x14ac:dyDescent="0.2">
      <c r="A257" s="224"/>
      <c r="B257"/>
      <c r="C257"/>
      <c r="D257" s="347" t="str">
        <f t="shared" si="193"/>
        <v>Tanker - Large - Ancillary OPEX</v>
      </c>
      <c r="J257" t="s">
        <v>547</v>
      </c>
      <c r="K257" t="s">
        <v>545</v>
      </c>
      <c r="N257" t="s">
        <v>369</v>
      </c>
      <c r="O257" t="s">
        <v>576</v>
      </c>
      <c r="Q257" s="224" t="s">
        <v>544</v>
      </c>
      <c r="S257" s="364">
        <v>2.9</v>
      </c>
      <c r="T257" s="382">
        <f t="shared" si="194"/>
        <v>2.9</v>
      </c>
      <c r="U257" s="382">
        <f t="shared" si="195"/>
        <v>2.9</v>
      </c>
      <c r="V257" s="382">
        <f t="shared" si="196"/>
        <v>2.9</v>
      </c>
      <c r="W257" s="382">
        <f t="shared" si="197"/>
        <v>2.9</v>
      </c>
      <c r="X257" s="382">
        <f t="shared" si="198"/>
        <v>2.9</v>
      </c>
      <c r="Y257" s="382">
        <f t="shared" si="199"/>
        <v>2.9</v>
      </c>
      <c r="Z257" s="382">
        <f t="shared" si="200"/>
        <v>2.9</v>
      </c>
      <c r="AA257" s="382">
        <f t="shared" si="201"/>
        <v>2.9</v>
      </c>
      <c r="AB257" s="382">
        <f t="shared" si="202"/>
        <v>2.9</v>
      </c>
      <c r="AC257" s="382">
        <f t="shared" si="203"/>
        <v>2.9</v>
      </c>
      <c r="AD257" s="382">
        <f t="shared" si="204"/>
        <v>2.9</v>
      </c>
    </row>
    <row r="258" spans="1:30" x14ac:dyDescent="0.2">
      <c r="A258" s="224"/>
      <c r="B258"/>
      <c r="C258"/>
      <c r="D258" s="347" t="str">
        <f t="shared" si="193"/>
        <v>Tanker - Medium - Ancillary OPEX</v>
      </c>
      <c r="J258" t="s">
        <v>547</v>
      </c>
      <c r="K258" t="s">
        <v>107</v>
      </c>
      <c r="N258" t="s">
        <v>369</v>
      </c>
      <c r="O258" t="s">
        <v>576</v>
      </c>
      <c r="Q258" s="224" t="s">
        <v>544</v>
      </c>
      <c r="S258" s="364">
        <v>2.5</v>
      </c>
      <c r="T258" s="382">
        <f t="shared" si="194"/>
        <v>2.5</v>
      </c>
      <c r="U258" s="382">
        <f t="shared" si="195"/>
        <v>2.5</v>
      </c>
      <c r="V258" s="382">
        <f t="shared" si="196"/>
        <v>2.5</v>
      </c>
      <c r="W258" s="382">
        <f t="shared" si="197"/>
        <v>2.5</v>
      </c>
      <c r="X258" s="382">
        <f t="shared" si="198"/>
        <v>2.5</v>
      </c>
      <c r="Y258" s="382">
        <f t="shared" si="199"/>
        <v>2.5</v>
      </c>
      <c r="Z258" s="382">
        <f t="shared" si="200"/>
        <v>2.5</v>
      </c>
      <c r="AA258" s="382">
        <f t="shared" si="201"/>
        <v>2.5</v>
      </c>
      <c r="AB258" s="382">
        <f t="shared" si="202"/>
        <v>2.5</v>
      </c>
      <c r="AC258" s="382">
        <f t="shared" si="203"/>
        <v>2.5</v>
      </c>
      <c r="AD258" s="382">
        <f t="shared" si="204"/>
        <v>2.5</v>
      </c>
    </row>
    <row r="259" spans="1:30" x14ac:dyDescent="0.2">
      <c r="A259" s="224"/>
      <c r="B259"/>
      <c r="C259"/>
      <c r="D259" s="347" t="str">
        <f t="shared" si="193"/>
        <v>Tanker - Small - Ancillary OPEX</v>
      </c>
      <c r="J259" t="s">
        <v>547</v>
      </c>
      <c r="K259" t="s">
        <v>546</v>
      </c>
      <c r="N259" t="s">
        <v>369</v>
      </c>
      <c r="O259" t="s">
        <v>576</v>
      </c>
      <c r="Q259" s="224" t="s">
        <v>544</v>
      </c>
      <c r="S259" s="364">
        <v>2.2999999999999998</v>
      </c>
      <c r="T259" s="382">
        <f t="shared" si="194"/>
        <v>2.2999999999999998</v>
      </c>
      <c r="U259" s="382">
        <f t="shared" si="195"/>
        <v>2.2999999999999998</v>
      </c>
      <c r="V259" s="382">
        <f t="shared" si="196"/>
        <v>2.2999999999999998</v>
      </c>
      <c r="W259" s="382">
        <f t="shared" si="197"/>
        <v>2.2999999999999998</v>
      </c>
      <c r="X259" s="382">
        <f t="shared" si="198"/>
        <v>2.2999999999999998</v>
      </c>
      <c r="Y259" s="382">
        <f t="shared" si="199"/>
        <v>2.2999999999999998</v>
      </c>
      <c r="Z259" s="382">
        <f t="shared" si="200"/>
        <v>2.2999999999999998</v>
      </c>
      <c r="AA259" s="382">
        <f t="shared" si="201"/>
        <v>2.2999999999999998</v>
      </c>
      <c r="AB259" s="382">
        <f t="shared" si="202"/>
        <v>2.2999999999999998</v>
      </c>
      <c r="AC259" s="382">
        <f t="shared" si="203"/>
        <v>2.2999999999999998</v>
      </c>
      <c r="AD259" s="382">
        <f t="shared" si="204"/>
        <v>2.2999999999999998</v>
      </c>
    </row>
    <row r="260" spans="1:30" x14ac:dyDescent="0.2">
      <c r="A260" s="224"/>
      <c r="B260"/>
      <c r="C260"/>
      <c r="D260" s="347" t="str">
        <f t="shared" si="193"/>
        <v>Gas Carrier - Large - Ancillary OPEX</v>
      </c>
      <c r="J260" t="s">
        <v>548</v>
      </c>
      <c r="K260" t="s">
        <v>545</v>
      </c>
      <c r="N260" t="s">
        <v>369</v>
      </c>
      <c r="O260" t="s">
        <v>576</v>
      </c>
      <c r="Q260" s="224" t="s">
        <v>544</v>
      </c>
      <c r="S260" s="364">
        <v>3.5</v>
      </c>
      <c r="T260" s="382">
        <f t="shared" si="194"/>
        <v>3.5</v>
      </c>
      <c r="U260" s="382">
        <f t="shared" si="195"/>
        <v>3.5</v>
      </c>
      <c r="V260" s="382">
        <f t="shared" si="196"/>
        <v>3.5</v>
      </c>
      <c r="W260" s="382">
        <f t="shared" si="197"/>
        <v>3.5</v>
      </c>
      <c r="X260" s="382">
        <f t="shared" si="198"/>
        <v>3.5</v>
      </c>
      <c r="Y260" s="382">
        <f t="shared" si="199"/>
        <v>3.5</v>
      </c>
      <c r="Z260" s="382">
        <f t="shared" si="200"/>
        <v>3.5</v>
      </c>
      <c r="AA260" s="382">
        <f t="shared" si="201"/>
        <v>3.5</v>
      </c>
      <c r="AB260" s="382">
        <f t="shared" si="202"/>
        <v>3.5</v>
      </c>
      <c r="AC260" s="382">
        <f t="shared" si="203"/>
        <v>3.5</v>
      </c>
      <c r="AD260" s="382">
        <f t="shared" si="204"/>
        <v>3.5</v>
      </c>
    </row>
    <row r="261" spans="1:30" x14ac:dyDescent="0.2">
      <c r="A261" s="224"/>
      <c r="B261"/>
      <c r="C261"/>
      <c r="D261" s="347" t="str">
        <f t="shared" si="193"/>
        <v>Gas Carrier - Medium - Ancillary OPEX</v>
      </c>
      <c r="J261" t="s">
        <v>548</v>
      </c>
      <c r="K261" t="s">
        <v>107</v>
      </c>
      <c r="N261" t="s">
        <v>369</v>
      </c>
      <c r="O261" t="s">
        <v>576</v>
      </c>
      <c r="Q261" s="224" t="s">
        <v>544</v>
      </c>
      <c r="S261" s="364">
        <v>2.9</v>
      </c>
      <c r="T261" s="382">
        <f t="shared" si="194"/>
        <v>2.9</v>
      </c>
      <c r="U261" s="382">
        <f t="shared" si="195"/>
        <v>2.9</v>
      </c>
      <c r="V261" s="382">
        <f t="shared" si="196"/>
        <v>2.9</v>
      </c>
      <c r="W261" s="382">
        <f t="shared" si="197"/>
        <v>2.9</v>
      </c>
      <c r="X261" s="382">
        <f t="shared" si="198"/>
        <v>2.9</v>
      </c>
      <c r="Y261" s="382">
        <f t="shared" si="199"/>
        <v>2.9</v>
      </c>
      <c r="Z261" s="382">
        <f t="shared" si="200"/>
        <v>2.9</v>
      </c>
      <c r="AA261" s="382">
        <f t="shared" si="201"/>
        <v>2.9</v>
      </c>
      <c r="AB261" s="382">
        <f t="shared" si="202"/>
        <v>2.9</v>
      </c>
      <c r="AC261" s="382">
        <f t="shared" si="203"/>
        <v>2.9</v>
      </c>
      <c r="AD261" s="382">
        <f t="shared" si="204"/>
        <v>2.9</v>
      </c>
    </row>
    <row r="262" spans="1:30" x14ac:dyDescent="0.2">
      <c r="A262" s="224"/>
      <c r="B262"/>
      <c r="C262"/>
      <c r="D262" s="347" t="str">
        <f t="shared" si="193"/>
        <v>Gas Carrier - Small - Ancillary OPEX</v>
      </c>
      <c r="J262" t="s">
        <v>548</v>
      </c>
      <c r="K262" t="s">
        <v>546</v>
      </c>
      <c r="N262" t="s">
        <v>369</v>
      </c>
      <c r="O262" t="s">
        <v>576</v>
      </c>
      <c r="Q262" s="224" t="s">
        <v>544</v>
      </c>
      <c r="S262" s="364">
        <v>2.5</v>
      </c>
      <c r="T262" s="382">
        <f t="shared" si="194"/>
        <v>2.5</v>
      </c>
      <c r="U262" s="382">
        <f t="shared" si="195"/>
        <v>2.5</v>
      </c>
      <c r="V262" s="382">
        <f t="shared" si="196"/>
        <v>2.5</v>
      </c>
      <c r="W262" s="382">
        <f t="shared" si="197"/>
        <v>2.5</v>
      </c>
      <c r="X262" s="382">
        <f t="shared" si="198"/>
        <v>2.5</v>
      </c>
      <c r="Y262" s="382">
        <f t="shared" si="199"/>
        <v>2.5</v>
      </c>
      <c r="Z262" s="382">
        <f t="shared" si="200"/>
        <v>2.5</v>
      </c>
      <c r="AA262" s="382">
        <f t="shared" si="201"/>
        <v>2.5</v>
      </c>
      <c r="AB262" s="382">
        <f t="shared" si="202"/>
        <v>2.5</v>
      </c>
      <c r="AC262" s="382">
        <f t="shared" si="203"/>
        <v>2.5</v>
      </c>
      <c r="AD262" s="382">
        <f t="shared" si="204"/>
        <v>2.5</v>
      </c>
    </row>
    <row r="263" spans="1:30" x14ac:dyDescent="0.2">
      <c r="A263" s="224"/>
      <c r="B263"/>
      <c r="C263"/>
      <c r="D263" s="347" t="str">
        <f t="shared" si="193"/>
        <v>Gen Cargo - Large - Ancillary OPEX</v>
      </c>
      <c r="J263" t="s">
        <v>549</v>
      </c>
      <c r="K263" t="s">
        <v>545</v>
      </c>
      <c r="N263" t="s">
        <v>369</v>
      </c>
      <c r="O263" t="s">
        <v>576</v>
      </c>
      <c r="Q263" s="224" t="s">
        <v>544</v>
      </c>
      <c r="S263" s="364">
        <v>1.9</v>
      </c>
      <c r="T263" s="382">
        <f t="shared" ref="T263:T283" si="205">S263</f>
        <v>1.9</v>
      </c>
      <c r="U263" s="382">
        <f t="shared" si="195"/>
        <v>1.9</v>
      </c>
      <c r="V263" s="382">
        <f t="shared" si="196"/>
        <v>1.9</v>
      </c>
      <c r="W263" s="382">
        <f t="shared" si="197"/>
        <v>1.9</v>
      </c>
      <c r="X263" s="382">
        <f t="shared" si="198"/>
        <v>1.9</v>
      </c>
      <c r="Y263" s="382">
        <f t="shared" si="199"/>
        <v>1.9</v>
      </c>
      <c r="Z263" s="382">
        <f t="shared" si="200"/>
        <v>1.9</v>
      </c>
      <c r="AA263" s="382">
        <f t="shared" si="201"/>
        <v>1.9</v>
      </c>
      <c r="AB263" s="382">
        <f t="shared" si="202"/>
        <v>1.9</v>
      </c>
      <c r="AC263" s="382">
        <f t="shared" si="203"/>
        <v>1.9</v>
      </c>
      <c r="AD263" s="382">
        <f t="shared" si="204"/>
        <v>1.9</v>
      </c>
    </row>
    <row r="264" spans="1:30" x14ac:dyDescent="0.2">
      <c r="A264" s="224"/>
      <c r="B264"/>
      <c r="C264"/>
      <c r="D264" s="347" t="str">
        <f t="shared" si="193"/>
        <v>Gen Cargo - Medium - Ancillary OPEX</v>
      </c>
      <c r="J264" t="s">
        <v>549</v>
      </c>
      <c r="K264" t="s">
        <v>107</v>
      </c>
      <c r="N264" t="s">
        <v>369</v>
      </c>
      <c r="O264" t="s">
        <v>576</v>
      </c>
      <c r="Q264" s="224" t="s">
        <v>544</v>
      </c>
      <c r="S264" s="364">
        <v>1.7</v>
      </c>
      <c r="T264" s="382">
        <f t="shared" si="205"/>
        <v>1.7</v>
      </c>
      <c r="U264" s="382">
        <f t="shared" si="195"/>
        <v>1.7</v>
      </c>
      <c r="V264" s="382">
        <f t="shared" si="196"/>
        <v>1.7</v>
      </c>
      <c r="W264" s="382">
        <f t="shared" si="197"/>
        <v>1.7</v>
      </c>
      <c r="X264" s="382">
        <f t="shared" si="198"/>
        <v>1.7</v>
      </c>
      <c r="Y264" s="382">
        <f t="shared" si="199"/>
        <v>1.7</v>
      </c>
      <c r="Z264" s="382">
        <f t="shared" si="200"/>
        <v>1.7</v>
      </c>
      <c r="AA264" s="382">
        <f t="shared" si="201"/>
        <v>1.7</v>
      </c>
      <c r="AB264" s="382">
        <f t="shared" si="202"/>
        <v>1.7</v>
      </c>
      <c r="AC264" s="382">
        <f t="shared" si="203"/>
        <v>1.7</v>
      </c>
      <c r="AD264" s="382">
        <f t="shared" si="204"/>
        <v>1.7</v>
      </c>
    </row>
    <row r="265" spans="1:30" x14ac:dyDescent="0.2">
      <c r="A265" s="224"/>
      <c r="B265"/>
      <c r="C265"/>
      <c r="D265" s="347" t="str">
        <f t="shared" si="193"/>
        <v>Gen Cargo - Small - Ancillary OPEX</v>
      </c>
      <c r="J265" t="s">
        <v>549</v>
      </c>
      <c r="K265" t="s">
        <v>546</v>
      </c>
      <c r="N265" t="s">
        <v>369</v>
      </c>
      <c r="O265" t="s">
        <v>576</v>
      </c>
      <c r="Q265" s="224" t="s">
        <v>544</v>
      </c>
      <c r="S265" s="364">
        <v>1.4</v>
      </c>
      <c r="T265" s="382">
        <f t="shared" si="205"/>
        <v>1.4</v>
      </c>
      <c r="U265" s="382">
        <f t="shared" si="195"/>
        <v>1.4</v>
      </c>
      <c r="V265" s="382">
        <f t="shared" si="196"/>
        <v>1.4</v>
      </c>
      <c r="W265" s="382">
        <f t="shared" si="197"/>
        <v>1.4</v>
      </c>
      <c r="X265" s="382">
        <f t="shared" si="198"/>
        <v>1.4</v>
      </c>
      <c r="Y265" s="382">
        <f t="shared" si="199"/>
        <v>1.4</v>
      </c>
      <c r="Z265" s="382">
        <f t="shared" si="200"/>
        <v>1.4</v>
      </c>
      <c r="AA265" s="382">
        <f t="shared" si="201"/>
        <v>1.4</v>
      </c>
      <c r="AB265" s="382">
        <f t="shared" si="202"/>
        <v>1.4</v>
      </c>
      <c r="AC265" s="382">
        <f t="shared" si="203"/>
        <v>1.4</v>
      </c>
      <c r="AD265" s="382">
        <f t="shared" si="204"/>
        <v>1.4</v>
      </c>
    </row>
    <row r="266" spans="1:30" x14ac:dyDescent="0.2">
      <c r="A266" s="224"/>
      <c r="B266"/>
      <c r="C266"/>
      <c r="D266" s="347" t="str">
        <f t="shared" si="193"/>
        <v>Offshore - Large - Ancillary OPEX</v>
      </c>
      <c r="J266" t="s">
        <v>550</v>
      </c>
      <c r="K266" t="s">
        <v>545</v>
      </c>
      <c r="N266" t="s">
        <v>369</v>
      </c>
      <c r="O266" t="s">
        <v>577</v>
      </c>
      <c r="Q266" s="224" t="s">
        <v>544</v>
      </c>
      <c r="S266" s="364">
        <v>1</v>
      </c>
      <c r="T266" s="382">
        <f t="shared" si="205"/>
        <v>1</v>
      </c>
      <c r="U266" s="382">
        <f t="shared" si="195"/>
        <v>1</v>
      </c>
      <c r="V266" s="382">
        <f t="shared" si="196"/>
        <v>1</v>
      </c>
      <c r="W266" s="382">
        <f t="shared" si="197"/>
        <v>1</v>
      </c>
      <c r="X266" s="382">
        <f t="shared" si="198"/>
        <v>1</v>
      </c>
      <c r="Y266" s="382">
        <f t="shared" si="199"/>
        <v>1</v>
      </c>
      <c r="Z266" s="382">
        <f t="shared" si="200"/>
        <v>1</v>
      </c>
      <c r="AA266" s="382">
        <f t="shared" si="201"/>
        <v>1</v>
      </c>
      <c r="AB266" s="382">
        <f t="shared" si="202"/>
        <v>1</v>
      </c>
      <c r="AC266" s="382">
        <f t="shared" si="203"/>
        <v>1</v>
      </c>
      <c r="AD266" s="382">
        <f t="shared" si="204"/>
        <v>1</v>
      </c>
    </row>
    <row r="267" spans="1:30" x14ac:dyDescent="0.2">
      <c r="A267" s="224"/>
      <c r="B267"/>
      <c r="C267"/>
      <c r="D267" s="347" t="str">
        <f t="shared" si="193"/>
        <v>Offshore - Medium - Ancillary OPEX</v>
      </c>
      <c r="J267" t="s">
        <v>550</v>
      </c>
      <c r="K267" t="s">
        <v>107</v>
      </c>
      <c r="N267" t="s">
        <v>369</v>
      </c>
      <c r="O267" t="s">
        <v>577</v>
      </c>
      <c r="Q267" s="224" t="s">
        <v>544</v>
      </c>
      <c r="S267" s="364">
        <v>0.8</v>
      </c>
      <c r="T267" s="382">
        <f t="shared" si="205"/>
        <v>0.8</v>
      </c>
      <c r="U267" s="382">
        <f t="shared" si="195"/>
        <v>0.8</v>
      </c>
      <c r="V267" s="382">
        <f t="shared" si="196"/>
        <v>0.8</v>
      </c>
      <c r="W267" s="382">
        <f t="shared" si="197"/>
        <v>0.8</v>
      </c>
      <c r="X267" s="382">
        <f t="shared" si="198"/>
        <v>0.8</v>
      </c>
      <c r="Y267" s="382">
        <f t="shared" si="199"/>
        <v>0.8</v>
      </c>
      <c r="Z267" s="382">
        <f t="shared" si="200"/>
        <v>0.8</v>
      </c>
      <c r="AA267" s="382">
        <f t="shared" si="201"/>
        <v>0.8</v>
      </c>
      <c r="AB267" s="382">
        <f t="shared" si="202"/>
        <v>0.8</v>
      </c>
      <c r="AC267" s="382">
        <f t="shared" si="203"/>
        <v>0.8</v>
      </c>
      <c r="AD267" s="382">
        <f t="shared" si="204"/>
        <v>0.8</v>
      </c>
    </row>
    <row r="268" spans="1:30" x14ac:dyDescent="0.2">
      <c r="A268" s="224"/>
      <c r="B268"/>
      <c r="C268"/>
      <c r="D268" s="347" t="str">
        <f t="shared" si="193"/>
        <v>Offshore - Small - Ancillary OPEX</v>
      </c>
      <c r="J268" t="s">
        <v>550</v>
      </c>
      <c r="K268" t="s">
        <v>546</v>
      </c>
      <c r="N268" t="s">
        <v>369</v>
      </c>
      <c r="O268" t="s">
        <v>577</v>
      </c>
      <c r="Q268" s="224" t="s">
        <v>544</v>
      </c>
      <c r="S268" s="364">
        <v>0.5</v>
      </c>
      <c r="T268" s="382">
        <f t="shared" si="205"/>
        <v>0.5</v>
      </c>
      <c r="U268" s="382">
        <f t="shared" si="195"/>
        <v>0.5</v>
      </c>
      <c r="V268" s="382">
        <f t="shared" si="196"/>
        <v>0.5</v>
      </c>
      <c r="W268" s="382">
        <f t="shared" si="197"/>
        <v>0.5</v>
      </c>
      <c r="X268" s="382">
        <f t="shared" si="198"/>
        <v>0.5</v>
      </c>
      <c r="Y268" s="382">
        <f t="shared" si="199"/>
        <v>0.5</v>
      </c>
      <c r="Z268" s="382">
        <f t="shared" si="200"/>
        <v>0.5</v>
      </c>
      <c r="AA268" s="382">
        <f t="shared" si="201"/>
        <v>0.5</v>
      </c>
      <c r="AB268" s="382">
        <f t="shared" si="202"/>
        <v>0.5</v>
      </c>
      <c r="AC268" s="382">
        <f t="shared" si="203"/>
        <v>0.5</v>
      </c>
      <c r="AD268" s="382">
        <f t="shared" si="204"/>
        <v>0.5</v>
      </c>
    </row>
    <row r="269" spans="1:30" x14ac:dyDescent="0.2">
      <c r="A269" s="224"/>
      <c r="B269"/>
      <c r="C269"/>
      <c r="D269" s="347" t="str">
        <f t="shared" si="193"/>
        <v>Ferry - Large - Ancillary OPEX</v>
      </c>
      <c r="J269" t="s">
        <v>551</v>
      </c>
      <c r="K269" t="s">
        <v>545</v>
      </c>
      <c r="N269" t="s">
        <v>369</v>
      </c>
      <c r="O269" t="s">
        <v>576</v>
      </c>
      <c r="Q269" s="224" t="s">
        <v>544</v>
      </c>
      <c r="S269" s="364">
        <v>3</v>
      </c>
      <c r="T269" s="382">
        <f t="shared" si="205"/>
        <v>3</v>
      </c>
      <c r="U269" s="382">
        <f t="shared" si="195"/>
        <v>3</v>
      </c>
      <c r="V269" s="382">
        <f t="shared" si="196"/>
        <v>3</v>
      </c>
      <c r="W269" s="382">
        <f t="shared" si="197"/>
        <v>3</v>
      </c>
      <c r="X269" s="382">
        <f t="shared" si="198"/>
        <v>3</v>
      </c>
      <c r="Y269" s="382">
        <f t="shared" si="199"/>
        <v>3</v>
      </c>
      <c r="Z269" s="382">
        <f t="shared" si="200"/>
        <v>3</v>
      </c>
      <c r="AA269" s="382">
        <f t="shared" si="201"/>
        <v>3</v>
      </c>
      <c r="AB269" s="382">
        <f t="shared" si="202"/>
        <v>3</v>
      </c>
      <c r="AC269" s="382">
        <f t="shared" si="203"/>
        <v>3</v>
      </c>
      <c r="AD269" s="382">
        <f t="shared" si="204"/>
        <v>3</v>
      </c>
    </row>
    <row r="270" spans="1:30" x14ac:dyDescent="0.2">
      <c r="A270" s="224"/>
      <c r="B270"/>
      <c r="C270"/>
      <c r="D270" s="347" t="str">
        <f t="shared" si="193"/>
        <v>Ferry - Medium - Ancillary OPEX</v>
      </c>
      <c r="J270" t="s">
        <v>551</v>
      </c>
      <c r="K270" t="s">
        <v>107</v>
      </c>
      <c r="N270" t="s">
        <v>369</v>
      </c>
      <c r="O270" t="s">
        <v>576</v>
      </c>
      <c r="Q270" s="224" t="s">
        <v>544</v>
      </c>
      <c r="S270" s="364">
        <v>1.5</v>
      </c>
      <c r="T270" s="382">
        <f t="shared" si="205"/>
        <v>1.5</v>
      </c>
      <c r="U270" s="382">
        <f t="shared" si="195"/>
        <v>1.5</v>
      </c>
      <c r="V270" s="382">
        <f t="shared" si="196"/>
        <v>1.5</v>
      </c>
      <c r="W270" s="382">
        <f t="shared" si="197"/>
        <v>1.5</v>
      </c>
      <c r="X270" s="382">
        <f t="shared" si="198"/>
        <v>1.5</v>
      </c>
      <c r="Y270" s="382">
        <f t="shared" si="199"/>
        <v>1.5</v>
      </c>
      <c r="Z270" s="382">
        <f t="shared" si="200"/>
        <v>1.5</v>
      </c>
      <c r="AA270" s="382">
        <f t="shared" si="201"/>
        <v>1.5</v>
      </c>
      <c r="AB270" s="382">
        <f t="shared" si="202"/>
        <v>1.5</v>
      </c>
      <c r="AC270" s="382">
        <f t="shared" si="203"/>
        <v>1.5</v>
      </c>
      <c r="AD270" s="382">
        <f t="shared" si="204"/>
        <v>1.5</v>
      </c>
    </row>
    <row r="271" spans="1:30" x14ac:dyDescent="0.2">
      <c r="A271" s="224"/>
      <c r="B271"/>
      <c r="C271"/>
      <c r="D271" s="347" t="str">
        <f t="shared" si="193"/>
        <v>Ferry - Small - Ancillary OPEX</v>
      </c>
      <c r="J271" t="s">
        <v>551</v>
      </c>
      <c r="K271" t="s">
        <v>546</v>
      </c>
      <c r="N271" t="s">
        <v>369</v>
      </c>
      <c r="O271" t="s">
        <v>576</v>
      </c>
      <c r="Q271" s="224" t="s">
        <v>544</v>
      </c>
      <c r="S271" s="364">
        <v>0.5</v>
      </c>
      <c r="T271" s="382">
        <f t="shared" si="205"/>
        <v>0.5</v>
      </c>
      <c r="U271" s="382">
        <f t="shared" si="195"/>
        <v>0.5</v>
      </c>
      <c r="V271" s="382">
        <f t="shared" si="196"/>
        <v>0.5</v>
      </c>
      <c r="W271" s="382">
        <f t="shared" si="197"/>
        <v>0.5</v>
      </c>
      <c r="X271" s="382">
        <f t="shared" si="198"/>
        <v>0.5</v>
      </c>
      <c r="Y271" s="382">
        <f t="shared" si="199"/>
        <v>0.5</v>
      </c>
      <c r="Z271" s="382">
        <f t="shared" si="200"/>
        <v>0.5</v>
      </c>
      <c r="AA271" s="382">
        <f t="shared" si="201"/>
        <v>0.5</v>
      </c>
      <c r="AB271" s="382">
        <f t="shared" si="202"/>
        <v>0.5</v>
      </c>
      <c r="AC271" s="382">
        <f t="shared" si="203"/>
        <v>0.5</v>
      </c>
      <c r="AD271" s="382">
        <f t="shared" si="204"/>
        <v>0.5</v>
      </c>
    </row>
    <row r="272" spans="1:30" x14ac:dyDescent="0.2">
      <c r="A272" s="224"/>
      <c r="B272"/>
      <c r="C272"/>
      <c r="D272" s="347" t="str">
        <f t="shared" si="193"/>
        <v>Tug - Large - Ancillary OPEX</v>
      </c>
      <c r="J272" t="s">
        <v>552</v>
      </c>
      <c r="K272" t="s">
        <v>545</v>
      </c>
      <c r="N272" t="s">
        <v>369</v>
      </c>
      <c r="O272" t="s">
        <v>577</v>
      </c>
      <c r="Q272" s="224" t="s">
        <v>544</v>
      </c>
      <c r="S272" s="364">
        <v>1</v>
      </c>
      <c r="T272" s="382">
        <f t="shared" si="205"/>
        <v>1</v>
      </c>
      <c r="U272" s="382">
        <f t="shared" si="195"/>
        <v>1</v>
      </c>
      <c r="V272" s="382">
        <f t="shared" si="196"/>
        <v>1</v>
      </c>
      <c r="W272" s="382">
        <f t="shared" si="197"/>
        <v>1</v>
      </c>
      <c r="X272" s="382">
        <f t="shared" si="198"/>
        <v>1</v>
      </c>
      <c r="Y272" s="382">
        <f t="shared" si="199"/>
        <v>1</v>
      </c>
      <c r="Z272" s="382">
        <f t="shared" si="200"/>
        <v>1</v>
      </c>
      <c r="AA272" s="382">
        <f t="shared" si="201"/>
        <v>1</v>
      </c>
      <c r="AB272" s="382">
        <f t="shared" si="202"/>
        <v>1</v>
      </c>
      <c r="AC272" s="382">
        <f t="shared" si="203"/>
        <v>1</v>
      </c>
      <c r="AD272" s="382">
        <f t="shared" si="204"/>
        <v>1</v>
      </c>
    </row>
    <row r="273" spans="1:30" x14ac:dyDescent="0.2">
      <c r="A273" s="224"/>
      <c r="B273"/>
      <c r="C273"/>
      <c r="D273" s="347" t="str">
        <f t="shared" si="193"/>
        <v>Tug - Medium - Ancillary OPEX</v>
      </c>
      <c r="J273" t="s">
        <v>552</v>
      </c>
      <c r="K273" t="s">
        <v>107</v>
      </c>
      <c r="N273" t="s">
        <v>369</v>
      </c>
      <c r="O273" t="s">
        <v>577</v>
      </c>
      <c r="Q273" s="224" t="s">
        <v>544</v>
      </c>
      <c r="S273" s="364">
        <v>0.5</v>
      </c>
      <c r="T273" s="382">
        <f t="shared" si="205"/>
        <v>0.5</v>
      </c>
      <c r="U273" s="382">
        <f t="shared" si="195"/>
        <v>0.5</v>
      </c>
      <c r="V273" s="382">
        <f t="shared" si="196"/>
        <v>0.5</v>
      </c>
      <c r="W273" s="382">
        <f t="shared" si="197"/>
        <v>0.5</v>
      </c>
      <c r="X273" s="382">
        <f t="shared" si="198"/>
        <v>0.5</v>
      </c>
      <c r="Y273" s="382">
        <f t="shared" si="199"/>
        <v>0.5</v>
      </c>
      <c r="Z273" s="382">
        <f t="shared" si="200"/>
        <v>0.5</v>
      </c>
      <c r="AA273" s="382">
        <f t="shared" si="201"/>
        <v>0.5</v>
      </c>
      <c r="AB273" s="382">
        <f t="shared" si="202"/>
        <v>0.5</v>
      </c>
      <c r="AC273" s="382">
        <f t="shared" si="203"/>
        <v>0.5</v>
      </c>
      <c r="AD273" s="382">
        <f t="shared" si="204"/>
        <v>0.5</v>
      </c>
    </row>
    <row r="274" spans="1:30" x14ac:dyDescent="0.2">
      <c r="A274" s="224"/>
      <c r="B274"/>
      <c r="C274"/>
      <c r="D274" s="347" t="str">
        <f t="shared" si="193"/>
        <v>Tug - Small - Ancillary OPEX</v>
      </c>
      <c r="J274" t="s">
        <v>552</v>
      </c>
      <c r="K274" t="s">
        <v>546</v>
      </c>
      <c r="N274" t="s">
        <v>369</v>
      </c>
      <c r="O274" t="s">
        <v>577</v>
      </c>
      <c r="Q274" s="224" t="s">
        <v>544</v>
      </c>
      <c r="S274" s="364">
        <v>0.3</v>
      </c>
      <c r="T274" s="382">
        <f t="shared" si="205"/>
        <v>0.3</v>
      </c>
      <c r="U274" s="382">
        <f t="shared" si="195"/>
        <v>0.3</v>
      </c>
      <c r="V274" s="382">
        <f t="shared" si="196"/>
        <v>0.3</v>
      </c>
      <c r="W274" s="382">
        <f t="shared" si="197"/>
        <v>0.3</v>
      </c>
      <c r="X274" s="382">
        <f t="shared" si="198"/>
        <v>0.3</v>
      </c>
      <c r="Y274" s="382">
        <f t="shared" si="199"/>
        <v>0.3</v>
      </c>
      <c r="Z274" s="382">
        <f t="shared" si="200"/>
        <v>0.3</v>
      </c>
      <c r="AA274" s="382">
        <f t="shared" si="201"/>
        <v>0.3</v>
      </c>
      <c r="AB274" s="382">
        <f t="shared" si="202"/>
        <v>0.3</v>
      </c>
      <c r="AC274" s="382">
        <f t="shared" si="203"/>
        <v>0.3</v>
      </c>
      <c r="AD274" s="382">
        <f t="shared" si="204"/>
        <v>0.3</v>
      </c>
    </row>
    <row r="275" spans="1:30" x14ac:dyDescent="0.2">
      <c r="A275" s="224"/>
      <c r="B275"/>
      <c r="C275"/>
      <c r="D275" s="347" t="str">
        <f t="shared" si="193"/>
        <v>RoRo/ car carrier - Large - Ancillary OPEX</v>
      </c>
      <c r="J275" t="s">
        <v>553</v>
      </c>
      <c r="K275" t="s">
        <v>545</v>
      </c>
      <c r="N275" t="s">
        <v>369</v>
      </c>
      <c r="O275" t="s">
        <v>576</v>
      </c>
      <c r="Q275" s="224" t="s">
        <v>544</v>
      </c>
      <c r="S275" s="364">
        <v>2.1</v>
      </c>
      <c r="T275" s="382">
        <f t="shared" si="205"/>
        <v>2.1</v>
      </c>
      <c r="U275" s="382">
        <f t="shared" si="195"/>
        <v>2.1</v>
      </c>
      <c r="V275" s="382">
        <f t="shared" si="196"/>
        <v>2.1</v>
      </c>
      <c r="W275" s="382">
        <f t="shared" si="197"/>
        <v>2.1</v>
      </c>
      <c r="X275" s="382">
        <f t="shared" si="198"/>
        <v>2.1</v>
      </c>
      <c r="Y275" s="382">
        <f t="shared" si="199"/>
        <v>2.1</v>
      </c>
      <c r="Z275" s="382">
        <f t="shared" si="200"/>
        <v>2.1</v>
      </c>
      <c r="AA275" s="382">
        <f t="shared" si="201"/>
        <v>2.1</v>
      </c>
      <c r="AB275" s="382">
        <f t="shared" si="202"/>
        <v>2.1</v>
      </c>
      <c r="AC275" s="382">
        <f t="shared" si="203"/>
        <v>2.1</v>
      </c>
      <c r="AD275" s="382">
        <f t="shared" si="204"/>
        <v>2.1</v>
      </c>
    </row>
    <row r="276" spans="1:30" x14ac:dyDescent="0.2">
      <c r="A276" s="224"/>
      <c r="B276"/>
      <c r="C276"/>
      <c r="D276" s="347" t="str">
        <f t="shared" si="193"/>
        <v>RoRo/ car carrier - Medium - Ancillary OPEX</v>
      </c>
      <c r="J276" t="s">
        <v>553</v>
      </c>
      <c r="K276" t="s">
        <v>107</v>
      </c>
      <c r="N276" t="s">
        <v>369</v>
      </c>
      <c r="O276" t="s">
        <v>576</v>
      </c>
      <c r="Q276" s="224" t="s">
        <v>544</v>
      </c>
      <c r="S276" s="364">
        <v>1.8</v>
      </c>
      <c r="T276" s="382">
        <f t="shared" si="205"/>
        <v>1.8</v>
      </c>
      <c r="U276" s="382">
        <f t="shared" si="195"/>
        <v>1.8</v>
      </c>
      <c r="V276" s="382">
        <f t="shared" si="196"/>
        <v>1.8</v>
      </c>
      <c r="W276" s="382">
        <f t="shared" si="197"/>
        <v>1.8</v>
      </c>
      <c r="X276" s="382">
        <f t="shared" si="198"/>
        <v>1.8</v>
      </c>
      <c r="Y276" s="382">
        <f t="shared" si="199"/>
        <v>1.8</v>
      </c>
      <c r="Z276" s="382">
        <f t="shared" si="200"/>
        <v>1.8</v>
      </c>
      <c r="AA276" s="382">
        <f t="shared" si="201"/>
        <v>1.8</v>
      </c>
      <c r="AB276" s="382">
        <f t="shared" si="202"/>
        <v>1.8</v>
      </c>
      <c r="AC276" s="382">
        <f t="shared" si="203"/>
        <v>1.8</v>
      </c>
      <c r="AD276" s="382">
        <f t="shared" si="204"/>
        <v>1.8</v>
      </c>
    </row>
    <row r="277" spans="1:30" x14ac:dyDescent="0.2">
      <c r="A277" s="224"/>
      <c r="B277"/>
      <c r="C277"/>
      <c r="D277" s="347" t="str">
        <f t="shared" si="193"/>
        <v>RoRo/ car carrier - Small - Ancillary OPEX</v>
      </c>
      <c r="J277" t="s">
        <v>553</v>
      </c>
      <c r="K277" t="s">
        <v>546</v>
      </c>
      <c r="N277" t="s">
        <v>369</v>
      </c>
      <c r="O277" t="s">
        <v>576</v>
      </c>
      <c r="Q277" s="224" t="s">
        <v>544</v>
      </c>
      <c r="S277" s="364">
        <v>1.3</v>
      </c>
      <c r="T277" s="382">
        <f t="shared" si="205"/>
        <v>1.3</v>
      </c>
      <c r="U277" s="382">
        <f t="shared" si="195"/>
        <v>1.3</v>
      </c>
      <c r="V277" s="382">
        <f t="shared" si="196"/>
        <v>1.3</v>
      </c>
      <c r="W277" s="382">
        <f t="shared" si="197"/>
        <v>1.3</v>
      </c>
      <c r="X277" s="382">
        <f t="shared" si="198"/>
        <v>1.3</v>
      </c>
      <c r="Y277" s="382">
        <f t="shared" si="199"/>
        <v>1.3</v>
      </c>
      <c r="Z277" s="382">
        <f t="shared" si="200"/>
        <v>1.3</v>
      </c>
      <c r="AA277" s="382">
        <f t="shared" si="201"/>
        <v>1.3</v>
      </c>
      <c r="AB277" s="382">
        <f t="shared" si="202"/>
        <v>1.3</v>
      </c>
      <c r="AC277" s="382">
        <f t="shared" si="203"/>
        <v>1.3</v>
      </c>
      <c r="AD277" s="382">
        <f t="shared" si="204"/>
        <v>1.3</v>
      </c>
    </row>
    <row r="278" spans="1:30" x14ac:dyDescent="0.2">
      <c r="A278" s="224"/>
      <c r="B278"/>
      <c r="C278"/>
      <c r="D278" s="347" t="str">
        <f t="shared" si="193"/>
        <v>Fast Ferry - Large - Ancillary OPEX</v>
      </c>
      <c r="J278" t="s">
        <v>554</v>
      </c>
      <c r="K278" t="s">
        <v>545</v>
      </c>
      <c r="N278" t="s">
        <v>369</v>
      </c>
      <c r="O278" t="s">
        <v>577</v>
      </c>
      <c r="Q278" s="224" t="s">
        <v>544</v>
      </c>
      <c r="S278" s="364">
        <v>2</v>
      </c>
      <c r="T278" s="382">
        <f t="shared" si="205"/>
        <v>2</v>
      </c>
      <c r="U278" s="382">
        <f t="shared" si="195"/>
        <v>2</v>
      </c>
      <c r="V278" s="382">
        <f t="shared" si="196"/>
        <v>2</v>
      </c>
      <c r="W278" s="382">
        <f t="shared" si="197"/>
        <v>2</v>
      </c>
      <c r="X278" s="382">
        <f t="shared" si="198"/>
        <v>2</v>
      </c>
      <c r="Y278" s="382">
        <f t="shared" si="199"/>
        <v>2</v>
      </c>
      <c r="Z278" s="382">
        <f t="shared" si="200"/>
        <v>2</v>
      </c>
      <c r="AA278" s="382">
        <f t="shared" si="201"/>
        <v>2</v>
      </c>
      <c r="AB278" s="382">
        <f t="shared" si="202"/>
        <v>2</v>
      </c>
      <c r="AC278" s="382">
        <f t="shared" si="203"/>
        <v>2</v>
      </c>
      <c r="AD278" s="382">
        <f t="shared" si="204"/>
        <v>2</v>
      </c>
    </row>
    <row r="279" spans="1:30" x14ac:dyDescent="0.2">
      <c r="A279" s="224"/>
      <c r="B279"/>
      <c r="C279"/>
      <c r="D279" s="347" t="str">
        <f t="shared" si="193"/>
        <v>Fast Ferry - Medium - Ancillary OPEX</v>
      </c>
      <c r="J279" t="s">
        <v>554</v>
      </c>
      <c r="K279" t="s">
        <v>107</v>
      </c>
      <c r="N279" t="s">
        <v>369</v>
      </c>
      <c r="O279" t="s">
        <v>577</v>
      </c>
      <c r="Q279" s="224" t="s">
        <v>544</v>
      </c>
      <c r="S279" s="364">
        <v>1.5</v>
      </c>
      <c r="T279" s="382">
        <f t="shared" si="205"/>
        <v>1.5</v>
      </c>
      <c r="U279" s="382">
        <f t="shared" si="195"/>
        <v>1.5</v>
      </c>
      <c r="V279" s="382">
        <f t="shared" si="196"/>
        <v>1.5</v>
      </c>
      <c r="W279" s="382">
        <f t="shared" si="197"/>
        <v>1.5</v>
      </c>
      <c r="X279" s="382">
        <f t="shared" si="198"/>
        <v>1.5</v>
      </c>
      <c r="Y279" s="382">
        <f t="shared" si="199"/>
        <v>1.5</v>
      </c>
      <c r="Z279" s="382">
        <f t="shared" si="200"/>
        <v>1.5</v>
      </c>
      <c r="AA279" s="382">
        <f t="shared" si="201"/>
        <v>1.5</v>
      </c>
      <c r="AB279" s="382">
        <f t="shared" si="202"/>
        <v>1.5</v>
      </c>
      <c r="AC279" s="382">
        <f t="shared" si="203"/>
        <v>1.5</v>
      </c>
      <c r="AD279" s="382">
        <f t="shared" si="204"/>
        <v>1.5</v>
      </c>
    </row>
    <row r="280" spans="1:30" x14ac:dyDescent="0.2">
      <c r="A280" s="224"/>
      <c r="B280"/>
      <c r="C280"/>
      <c r="D280" s="347" t="str">
        <f t="shared" si="193"/>
        <v>Fast Ferry - Small - Ancillary OPEX</v>
      </c>
      <c r="J280" t="s">
        <v>554</v>
      </c>
      <c r="K280" t="s">
        <v>546</v>
      </c>
      <c r="N280" t="s">
        <v>369</v>
      </c>
      <c r="O280" t="s">
        <v>577</v>
      </c>
      <c r="Q280" s="224" t="s">
        <v>544</v>
      </c>
      <c r="S280" s="364">
        <v>1</v>
      </c>
      <c r="T280" s="382">
        <f t="shared" si="205"/>
        <v>1</v>
      </c>
      <c r="U280" s="382">
        <f t="shared" si="195"/>
        <v>1</v>
      </c>
      <c r="V280" s="382">
        <f t="shared" si="196"/>
        <v>1</v>
      </c>
      <c r="W280" s="382">
        <f t="shared" si="197"/>
        <v>1</v>
      </c>
      <c r="X280" s="382">
        <f t="shared" si="198"/>
        <v>1</v>
      </c>
      <c r="Y280" s="382">
        <f t="shared" si="199"/>
        <v>1</v>
      </c>
      <c r="Z280" s="382">
        <f t="shared" si="200"/>
        <v>1</v>
      </c>
      <c r="AA280" s="382">
        <f t="shared" si="201"/>
        <v>1</v>
      </c>
      <c r="AB280" s="382">
        <f t="shared" si="202"/>
        <v>1</v>
      </c>
      <c r="AC280" s="382">
        <f t="shared" si="203"/>
        <v>1</v>
      </c>
      <c r="AD280" s="382">
        <f t="shared" si="204"/>
        <v>1</v>
      </c>
    </row>
    <row r="281" spans="1:30" x14ac:dyDescent="0.2">
      <c r="A281" s="224"/>
      <c r="B281"/>
      <c r="C281"/>
      <c r="D281" s="347" t="str">
        <f t="shared" si="193"/>
        <v>Cruise - Large - Ancillary OPEX</v>
      </c>
      <c r="J281" t="s">
        <v>555</v>
      </c>
      <c r="K281" t="s">
        <v>545</v>
      </c>
      <c r="N281" t="s">
        <v>369</v>
      </c>
      <c r="O281" t="s">
        <v>578</v>
      </c>
      <c r="Q281" s="224" t="s">
        <v>544</v>
      </c>
      <c r="S281" s="364">
        <v>350</v>
      </c>
      <c r="T281" s="382">
        <f t="shared" si="205"/>
        <v>350</v>
      </c>
      <c r="U281" s="382">
        <f t="shared" si="195"/>
        <v>350</v>
      </c>
      <c r="V281" s="382">
        <f t="shared" si="196"/>
        <v>350</v>
      </c>
      <c r="W281" s="382">
        <f t="shared" si="197"/>
        <v>350</v>
      </c>
      <c r="X281" s="382">
        <f t="shared" si="198"/>
        <v>350</v>
      </c>
      <c r="Y281" s="382">
        <f t="shared" si="199"/>
        <v>350</v>
      </c>
      <c r="Z281" s="382">
        <f t="shared" si="200"/>
        <v>350</v>
      </c>
      <c r="AA281" s="382">
        <f t="shared" si="201"/>
        <v>350</v>
      </c>
      <c r="AB281" s="382">
        <f t="shared" si="202"/>
        <v>350</v>
      </c>
      <c r="AC281" s="382">
        <f t="shared" si="203"/>
        <v>350</v>
      </c>
      <c r="AD281" s="382">
        <f t="shared" si="204"/>
        <v>350</v>
      </c>
    </row>
    <row r="282" spans="1:30" x14ac:dyDescent="0.2">
      <c r="A282" s="224"/>
      <c r="B282"/>
      <c r="C282"/>
      <c r="D282" s="347" t="str">
        <f t="shared" si="193"/>
        <v>Cruise - Medium - Ancillary OPEX</v>
      </c>
      <c r="J282" t="s">
        <v>555</v>
      </c>
      <c r="K282" t="s">
        <v>107</v>
      </c>
      <c r="N282" t="s">
        <v>369</v>
      </c>
      <c r="O282" t="s">
        <v>578</v>
      </c>
      <c r="Q282" s="224" t="s">
        <v>544</v>
      </c>
      <c r="S282" s="364">
        <v>150</v>
      </c>
      <c r="T282" s="382">
        <f t="shared" si="205"/>
        <v>150</v>
      </c>
      <c r="U282" s="382">
        <f t="shared" si="195"/>
        <v>150</v>
      </c>
      <c r="V282" s="382">
        <f t="shared" si="196"/>
        <v>150</v>
      </c>
      <c r="W282" s="382">
        <f t="shared" si="197"/>
        <v>150</v>
      </c>
      <c r="X282" s="382">
        <f t="shared" si="198"/>
        <v>150</v>
      </c>
      <c r="Y282" s="382">
        <f t="shared" si="199"/>
        <v>150</v>
      </c>
      <c r="Z282" s="382">
        <f t="shared" si="200"/>
        <v>150</v>
      </c>
      <c r="AA282" s="382">
        <f t="shared" si="201"/>
        <v>150</v>
      </c>
      <c r="AB282" s="382">
        <f t="shared" si="202"/>
        <v>150</v>
      </c>
      <c r="AC282" s="382">
        <f t="shared" si="203"/>
        <v>150</v>
      </c>
      <c r="AD282" s="382">
        <f t="shared" si="204"/>
        <v>150</v>
      </c>
    </row>
    <row r="283" spans="1:30" x14ac:dyDescent="0.2">
      <c r="A283" s="224"/>
      <c r="B283"/>
      <c r="C283"/>
      <c r="D283" s="347" t="str">
        <f t="shared" si="193"/>
        <v>Cruise - Small - Ancillary OPEX</v>
      </c>
      <c r="J283" t="s">
        <v>555</v>
      </c>
      <c r="K283" t="s">
        <v>546</v>
      </c>
      <c r="N283" t="s">
        <v>369</v>
      </c>
      <c r="O283" t="s">
        <v>578</v>
      </c>
      <c r="Q283" s="224" t="s">
        <v>544</v>
      </c>
      <c r="S283" s="364">
        <v>50</v>
      </c>
      <c r="T283" s="382">
        <f t="shared" si="205"/>
        <v>50</v>
      </c>
      <c r="U283" s="382">
        <f t="shared" si="195"/>
        <v>50</v>
      </c>
      <c r="V283" s="382">
        <f t="shared" si="196"/>
        <v>50</v>
      </c>
      <c r="W283" s="382">
        <f t="shared" si="197"/>
        <v>50</v>
      </c>
      <c r="X283" s="382">
        <f t="shared" si="198"/>
        <v>50</v>
      </c>
      <c r="Y283" s="382">
        <f t="shared" si="199"/>
        <v>50</v>
      </c>
      <c r="Z283" s="382">
        <f t="shared" si="200"/>
        <v>50</v>
      </c>
      <c r="AA283" s="382">
        <f t="shared" si="201"/>
        <v>50</v>
      </c>
      <c r="AB283" s="382">
        <f t="shared" si="202"/>
        <v>50</v>
      </c>
      <c r="AC283" s="382">
        <f t="shared" si="203"/>
        <v>50</v>
      </c>
      <c r="AD283" s="382">
        <f t="shared" si="204"/>
        <v>50</v>
      </c>
    </row>
    <row r="284" spans="1:30" x14ac:dyDescent="0.2">
      <c r="B284"/>
    </row>
    <row r="289" spans="2:30" x14ac:dyDescent="0.2">
      <c r="B289" s="50" t="s">
        <v>579</v>
      </c>
      <c r="C289" s="327"/>
      <c r="D289" s="328"/>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269"/>
    </row>
    <row r="290" spans="2:30" x14ac:dyDescent="0.2">
      <c r="B290" s="49" t="s">
        <v>580</v>
      </c>
      <c r="C290" s="49"/>
      <c r="D290" s="350"/>
      <c r="E290" s="331"/>
      <c r="F290" s="331"/>
      <c r="G290" s="331" t="str">
        <f>B290</f>
        <v>Energy density - gravimetric</v>
      </c>
      <c r="H290" s="331"/>
      <c r="I290" s="331"/>
      <c r="J290" s="331"/>
      <c r="K290" s="331"/>
      <c r="L290" s="331"/>
      <c r="M290" s="331"/>
      <c r="N290" s="331"/>
      <c r="O290" s="331"/>
      <c r="P290" s="331"/>
      <c r="Q290" s="331"/>
      <c r="R290" s="331"/>
      <c r="S290" s="331"/>
      <c r="T290" s="331"/>
      <c r="U290" s="331"/>
      <c r="V290" s="331"/>
      <c r="W290" s="331"/>
      <c r="X290" s="331"/>
      <c r="Y290" s="331"/>
      <c r="Z290" s="331"/>
      <c r="AA290" s="331"/>
      <c r="AB290" s="331"/>
      <c r="AC290" s="331"/>
      <c r="AD290" s="331"/>
    </row>
    <row r="291" spans="2:30" x14ac:dyDescent="0.2">
      <c r="D291" s="347" t="str">
        <f>I291&amp;F291&amp;Q291</f>
        <v>GlobalLHVLSFOMJ/ ton</v>
      </c>
      <c r="F291" t="s">
        <v>117</v>
      </c>
      <c r="I291" t="s">
        <v>581</v>
      </c>
      <c r="N291" t="s">
        <v>582</v>
      </c>
      <c r="Q291" t="s">
        <v>583</v>
      </c>
      <c r="R291" s="14">
        <f>IFERROR(INDEX('Fuel Model -  Input'!$H$15:$H$44,MATCH($D291,'Fuel Model -  Input'!$B$15:$B$44,0)),0)</f>
        <v>41200</v>
      </c>
      <c r="S291" s="18">
        <f t="shared" ref="S291:AD291" si="206">R291</f>
        <v>41200</v>
      </c>
      <c r="T291" s="18">
        <f t="shared" si="206"/>
        <v>41200</v>
      </c>
      <c r="U291" s="18">
        <f t="shared" si="206"/>
        <v>41200</v>
      </c>
      <c r="V291" s="18">
        <f t="shared" si="206"/>
        <v>41200</v>
      </c>
      <c r="W291" s="18">
        <f t="shared" si="206"/>
        <v>41200</v>
      </c>
      <c r="X291" s="18">
        <f t="shared" si="206"/>
        <v>41200</v>
      </c>
      <c r="Y291" s="18">
        <f t="shared" si="206"/>
        <v>41200</v>
      </c>
      <c r="Z291" s="18">
        <f t="shared" si="206"/>
        <v>41200</v>
      </c>
      <c r="AA291" s="18">
        <f t="shared" si="206"/>
        <v>41200</v>
      </c>
      <c r="AB291" s="18">
        <f t="shared" si="206"/>
        <v>41200</v>
      </c>
      <c r="AC291" s="18">
        <f t="shared" si="206"/>
        <v>41200</v>
      </c>
      <c r="AD291" s="18">
        <f t="shared" si="206"/>
        <v>41200</v>
      </c>
    </row>
    <row r="292" spans="2:30" x14ac:dyDescent="0.2">
      <c r="D292" s="347" t="str">
        <f t="shared" ref="D292:D312" si="207">I292&amp;F292&amp;Q292</f>
        <v>GlobalLHVLNGMJ/ ton</v>
      </c>
      <c r="F292" t="s">
        <v>528</v>
      </c>
      <c r="I292" t="s">
        <v>581</v>
      </c>
      <c r="N292" t="s">
        <v>582</v>
      </c>
      <c r="Q292" t="s">
        <v>583</v>
      </c>
      <c r="R292" s="14">
        <f>IFERROR(INDEX('Fuel Model -  Input'!$H$15:$H$44,MATCH($D292,'Fuel Model -  Input'!$B$15:$B$44,0)),0)</f>
        <v>48000</v>
      </c>
      <c r="S292" s="18">
        <f t="shared" ref="S292:AD293" si="208">R292</f>
        <v>48000</v>
      </c>
      <c r="T292" s="18">
        <f t="shared" si="208"/>
        <v>48000</v>
      </c>
      <c r="U292" s="18">
        <f t="shared" si="208"/>
        <v>48000</v>
      </c>
      <c r="V292" s="18">
        <f t="shared" si="208"/>
        <v>48000</v>
      </c>
      <c r="W292" s="18">
        <f t="shared" si="208"/>
        <v>48000</v>
      </c>
      <c r="X292" s="18">
        <f t="shared" si="208"/>
        <v>48000</v>
      </c>
      <c r="Y292" s="18">
        <f t="shared" si="208"/>
        <v>48000</v>
      </c>
      <c r="Z292" s="18">
        <f t="shared" si="208"/>
        <v>48000</v>
      </c>
      <c r="AA292" s="18">
        <f t="shared" si="208"/>
        <v>48000</v>
      </c>
      <c r="AB292" s="18">
        <f t="shared" si="208"/>
        <v>48000</v>
      </c>
      <c r="AC292" s="18">
        <f t="shared" si="208"/>
        <v>48000</v>
      </c>
      <c r="AD292" s="18">
        <f t="shared" si="208"/>
        <v>48000</v>
      </c>
    </row>
    <row r="293" spans="2:30" x14ac:dyDescent="0.2">
      <c r="D293" s="347" t="str">
        <f t="shared" ref="D293" si="209">I293&amp;F293&amp;Q293</f>
        <v>GlobalLHVLPGMJ/ ton</v>
      </c>
      <c r="F293" t="s">
        <v>534</v>
      </c>
      <c r="I293" t="s">
        <v>581</v>
      </c>
      <c r="N293" t="s">
        <v>582</v>
      </c>
      <c r="Q293" t="s">
        <v>583</v>
      </c>
      <c r="R293" s="14">
        <f>IFERROR(INDEX('Fuel Model -  Input'!$H$15:$H$44,MATCH($D293,'Fuel Model -  Input'!$B$15:$B$44,0)),0)</f>
        <v>46000</v>
      </c>
      <c r="S293" s="18">
        <f t="shared" si="208"/>
        <v>46000</v>
      </c>
      <c r="T293" s="18">
        <f t="shared" si="208"/>
        <v>46000</v>
      </c>
      <c r="U293" s="18">
        <f t="shared" si="208"/>
        <v>46000</v>
      </c>
      <c r="V293" s="18">
        <f t="shared" si="208"/>
        <v>46000</v>
      </c>
      <c r="W293" s="18">
        <f t="shared" si="208"/>
        <v>46000</v>
      </c>
      <c r="X293" s="18">
        <f t="shared" si="208"/>
        <v>46000</v>
      </c>
      <c r="Y293" s="18">
        <f t="shared" si="208"/>
        <v>46000</v>
      </c>
      <c r="Z293" s="18">
        <f t="shared" si="208"/>
        <v>46000</v>
      </c>
      <c r="AA293" s="18">
        <f t="shared" si="208"/>
        <v>46000</v>
      </c>
      <c r="AB293" s="18">
        <f t="shared" si="208"/>
        <v>46000</v>
      </c>
      <c r="AC293" s="18">
        <f t="shared" si="208"/>
        <v>46000</v>
      </c>
      <c r="AD293" s="18">
        <f t="shared" si="208"/>
        <v>46000</v>
      </c>
    </row>
    <row r="294" spans="2:30" x14ac:dyDescent="0.2">
      <c r="D294" s="347" t="str">
        <f t="shared" si="207"/>
        <v>GlobalLHVe-AmmoniaMJ/ ton</v>
      </c>
      <c r="F294" t="s">
        <v>121</v>
      </c>
      <c r="I294" t="s">
        <v>581</v>
      </c>
      <c r="N294" t="s">
        <v>582</v>
      </c>
      <c r="Q294" t="s">
        <v>583</v>
      </c>
      <c r="R294" s="14">
        <f>IFERROR(INDEX('Fuel Model -  Input'!$H$15:$H$44,MATCH($D294,'Fuel Model -  Input'!$B$15:$B$44,0)),0)</f>
        <v>18800</v>
      </c>
      <c r="S294" s="18">
        <f t="shared" ref="S294:AD294" si="210">R294</f>
        <v>18800</v>
      </c>
      <c r="T294" s="18">
        <f t="shared" si="210"/>
        <v>18800</v>
      </c>
      <c r="U294" s="18">
        <f t="shared" si="210"/>
        <v>18800</v>
      </c>
      <c r="V294" s="18">
        <f t="shared" si="210"/>
        <v>18800</v>
      </c>
      <c r="W294" s="18">
        <f t="shared" si="210"/>
        <v>18800</v>
      </c>
      <c r="X294" s="18">
        <f t="shared" si="210"/>
        <v>18800</v>
      </c>
      <c r="Y294" s="18">
        <f t="shared" si="210"/>
        <v>18800</v>
      </c>
      <c r="Z294" s="18">
        <f t="shared" si="210"/>
        <v>18800</v>
      </c>
      <c r="AA294" s="18">
        <f t="shared" si="210"/>
        <v>18800</v>
      </c>
      <c r="AB294" s="18">
        <f t="shared" si="210"/>
        <v>18800</v>
      </c>
      <c r="AC294" s="18">
        <f t="shared" si="210"/>
        <v>18800</v>
      </c>
      <c r="AD294" s="18">
        <f t="shared" si="210"/>
        <v>18800</v>
      </c>
    </row>
    <row r="295" spans="2:30" x14ac:dyDescent="0.2">
      <c r="D295" s="347" t="str">
        <f t="shared" si="207"/>
        <v>GlobalLHVe-Hydrogen (compressed)MJ/ ton</v>
      </c>
      <c r="F295" t="s">
        <v>584</v>
      </c>
      <c r="I295" t="s">
        <v>581</v>
      </c>
      <c r="N295" t="s">
        <v>582</v>
      </c>
      <c r="O295" s="383"/>
      <c r="Q295" t="s">
        <v>583</v>
      </c>
      <c r="R295" s="14">
        <f>IFERROR(INDEX('Fuel Model -  Input'!$H$15:$H$44,MATCH($D295,'Fuel Model -  Input'!$B$15:$B$44,0)),0)</f>
        <v>120000</v>
      </c>
      <c r="S295" s="18">
        <f t="shared" ref="S295:AD295" si="211">R295</f>
        <v>120000</v>
      </c>
      <c r="T295" s="18">
        <f t="shared" si="211"/>
        <v>120000</v>
      </c>
      <c r="U295" s="18">
        <f t="shared" si="211"/>
        <v>120000</v>
      </c>
      <c r="V295" s="18">
        <f t="shared" si="211"/>
        <v>120000</v>
      </c>
      <c r="W295" s="18">
        <f t="shared" si="211"/>
        <v>120000</v>
      </c>
      <c r="X295" s="18">
        <f t="shared" si="211"/>
        <v>120000</v>
      </c>
      <c r="Y295" s="18">
        <f t="shared" si="211"/>
        <v>120000</v>
      </c>
      <c r="Z295" s="18">
        <f t="shared" si="211"/>
        <v>120000</v>
      </c>
      <c r="AA295" s="18">
        <f t="shared" si="211"/>
        <v>120000</v>
      </c>
      <c r="AB295" s="18">
        <f t="shared" si="211"/>
        <v>120000</v>
      </c>
      <c r="AC295" s="18">
        <f t="shared" si="211"/>
        <v>120000</v>
      </c>
      <c r="AD295" s="18">
        <f t="shared" si="211"/>
        <v>120000</v>
      </c>
    </row>
    <row r="296" spans="2:30" x14ac:dyDescent="0.2">
      <c r="D296" s="347" t="str">
        <f t="shared" si="207"/>
        <v>GlobalLHVe-Hydrogen (liquid)MJ/ ton</v>
      </c>
      <c r="F296" t="s">
        <v>585</v>
      </c>
      <c r="I296" t="s">
        <v>581</v>
      </c>
      <c r="N296" t="s">
        <v>582</v>
      </c>
      <c r="O296" s="383"/>
      <c r="Q296" t="s">
        <v>583</v>
      </c>
      <c r="R296" s="14">
        <f>IFERROR(INDEX('Fuel Model -  Input'!$H$15:$H$44,MATCH($D296,'Fuel Model -  Input'!$B$15:$B$44,0)),0)</f>
        <v>120000</v>
      </c>
      <c r="S296" s="18">
        <f t="shared" ref="S296:AD296" si="212">R296</f>
        <v>120000</v>
      </c>
      <c r="T296" s="18">
        <f t="shared" si="212"/>
        <v>120000</v>
      </c>
      <c r="U296" s="18">
        <f t="shared" si="212"/>
        <v>120000</v>
      </c>
      <c r="V296" s="18">
        <f t="shared" si="212"/>
        <v>120000</v>
      </c>
      <c r="W296" s="18">
        <f t="shared" si="212"/>
        <v>120000</v>
      </c>
      <c r="X296" s="18">
        <f t="shared" si="212"/>
        <v>120000</v>
      </c>
      <c r="Y296" s="18">
        <f t="shared" si="212"/>
        <v>120000</v>
      </c>
      <c r="Z296" s="18">
        <f t="shared" si="212"/>
        <v>120000</v>
      </c>
      <c r="AA296" s="18">
        <f t="shared" si="212"/>
        <v>120000</v>
      </c>
      <c r="AB296" s="18">
        <f t="shared" si="212"/>
        <v>120000</v>
      </c>
      <c r="AC296" s="18">
        <f t="shared" si="212"/>
        <v>120000</v>
      </c>
      <c r="AD296" s="18">
        <f t="shared" si="212"/>
        <v>120000</v>
      </c>
    </row>
    <row r="297" spans="2:30" x14ac:dyDescent="0.2">
      <c r="D297" s="347" t="str">
        <f t="shared" si="207"/>
        <v>GlobalLHVBiomethanolMJ/ ton</v>
      </c>
      <c r="F297" t="s">
        <v>586</v>
      </c>
      <c r="I297" t="s">
        <v>581</v>
      </c>
      <c r="N297" t="s">
        <v>582</v>
      </c>
      <c r="Q297" t="s">
        <v>583</v>
      </c>
      <c r="R297" s="14">
        <f>IFERROR(INDEX('Fuel Model -  Input'!$H$15:$H$44,MATCH($D297,'Fuel Model -  Input'!$B$15:$B$44,0)),0)</f>
        <v>19900</v>
      </c>
      <c r="S297" s="18">
        <f t="shared" ref="S297:AD297" si="213">R297</f>
        <v>19900</v>
      </c>
      <c r="T297" s="18">
        <f t="shared" si="213"/>
        <v>19900</v>
      </c>
      <c r="U297" s="18">
        <f t="shared" si="213"/>
        <v>19900</v>
      </c>
      <c r="V297" s="18">
        <f t="shared" si="213"/>
        <v>19900</v>
      </c>
      <c r="W297" s="18">
        <f t="shared" si="213"/>
        <v>19900</v>
      </c>
      <c r="X297" s="18">
        <f t="shared" si="213"/>
        <v>19900</v>
      </c>
      <c r="Y297" s="18">
        <f t="shared" si="213"/>
        <v>19900</v>
      </c>
      <c r="Z297" s="18">
        <f t="shared" si="213"/>
        <v>19900</v>
      </c>
      <c r="AA297" s="18">
        <f t="shared" si="213"/>
        <v>19900</v>
      </c>
      <c r="AB297" s="18">
        <f t="shared" si="213"/>
        <v>19900</v>
      </c>
      <c r="AC297" s="18">
        <f t="shared" si="213"/>
        <v>19900</v>
      </c>
      <c r="AD297" s="18">
        <f t="shared" si="213"/>
        <v>19900</v>
      </c>
    </row>
    <row r="298" spans="2:30" x14ac:dyDescent="0.2">
      <c r="D298" s="347" t="str">
        <f t="shared" si="207"/>
        <v>GlobalLHVElectricityMJ/ ton</v>
      </c>
      <c r="F298" t="s">
        <v>54</v>
      </c>
      <c r="I298" t="s">
        <v>581</v>
      </c>
      <c r="N298" t="s">
        <v>582</v>
      </c>
      <c r="Q298" t="s">
        <v>583</v>
      </c>
      <c r="R298" s="14">
        <f>IFERROR(INDEX('Fuel Model -  Input'!$H$15:$H$44,MATCH($D298,'Fuel Model -  Input'!$B$15:$B$44,0)),0)</f>
        <v>0</v>
      </c>
      <c r="S298" s="18">
        <f t="shared" ref="S298:S310" si="214">R298</f>
        <v>0</v>
      </c>
      <c r="T298" s="18">
        <f t="shared" ref="T298:T310" si="215">S298</f>
        <v>0</v>
      </c>
      <c r="U298" s="18">
        <f t="shared" ref="U298:U310" si="216">T298</f>
        <v>0</v>
      </c>
      <c r="V298" s="18">
        <f t="shared" ref="V298:V310" si="217">U298</f>
        <v>0</v>
      </c>
      <c r="W298" s="18">
        <f t="shared" ref="W298:W310" si="218">V298</f>
        <v>0</v>
      </c>
      <c r="X298" s="18">
        <f t="shared" ref="X298:X310" si="219">W298</f>
        <v>0</v>
      </c>
      <c r="Y298" s="18">
        <f t="shared" ref="Y298:Y310" si="220">X298</f>
        <v>0</v>
      </c>
      <c r="Z298" s="18">
        <f t="shared" ref="Z298:Z310" si="221">Y298</f>
        <v>0</v>
      </c>
      <c r="AA298" s="18">
        <f t="shared" ref="AA298:AA310" si="222">Z298</f>
        <v>0</v>
      </c>
      <c r="AB298" s="18">
        <f t="shared" ref="AB298:AB310" si="223">AA298</f>
        <v>0</v>
      </c>
      <c r="AC298" s="18">
        <f t="shared" ref="AC298:AC310" si="224">AB298</f>
        <v>0</v>
      </c>
      <c r="AD298" s="18">
        <f t="shared" ref="AD298:AD310" si="225">AC298</f>
        <v>0</v>
      </c>
    </row>
    <row r="299" spans="2:30" x14ac:dyDescent="0.2">
      <c r="D299" s="347" t="str">
        <f t="shared" si="207"/>
        <v>GlobalLHVe-Methanol (DAC)MJ/ ton</v>
      </c>
      <c r="F299" t="s">
        <v>587</v>
      </c>
      <c r="I299" t="s">
        <v>581</v>
      </c>
      <c r="N299" t="s">
        <v>582</v>
      </c>
      <c r="Q299" t="s">
        <v>583</v>
      </c>
      <c r="R299" s="14">
        <f>IFERROR(INDEX('Fuel Model -  Input'!$H$15:$H$44,MATCH($D299,'Fuel Model -  Input'!$B$15:$B$44,0)),0)</f>
        <v>19900</v>
      </c>
      <c r="S299" s="18">
        <f t="shared" si="214"/>
        <v>19900</v>
      </c>
      <c r="T299" s="18">
        <f t="shared" si="215"/>
        <v>19900</v>
      </c>
      <c r="U299" s="18">
        <f t="shared" si="216"/>
        <v>19900</v>
      </c>
      <c r="V299" s="18">
        <f t="shared" si="217"/>
        <v>19900</v>
      </c>
      <c r="W299" s="18">
        <f t="shared" si="218"/>
        <v>19900</v>
      </c>
      <c r="X299" s="18">
        <f t="shared" si="219"/>
        <v>19900</v>
      </c>
      <c r="Y299" s="18">
        <f t="shared" si="220"/>
        <v>19900</v>
      </c>
      <c r="Z299" s="18">
        <f t="shared" si="221"/>
        <v>19900</v>
      </c>
      <c r="AA299" s="18">
        <f t="shared" si="222"/>
        <v>19900</v>
      </c>
      <c r="AB299" s="18">
        <f t="shared" si="223"/>
        <v>19900</v>
      </c>
      <c r="AC299" s="18">
        <f t="shared" si="224"/>
        <v>19900</v>
      </c>
      <c r="AD299" s="18">
        <f t="shared" si="225"/>
        <v>19900</v>
      </c>
    </row>
    <row r="300" spans="2:30" x14ac:dyDescent="0.2">
      <c r="D300" s="347" t="str">
        <f t="shared" si="207"/>
        <v>GlobalLHVe-Methanol (PS)MJ/ ton</v>
      </c>
      <c r="F300" t="s">
        <v>119</v>
      </c>
      <c r="I300" t="s">
        <v>581</v>
      </c>
      <c r="N300" t="s">
        <v>582</v>
      </c>
      <c r="Q300" t="s">
        <v>583</v>
      </c>
      <c r="R300" s="14">
        <f>IFERROR(INDEX('Fuel Model -  Input'!$H$15:$H$44,MATCH($D300,'Fuel Model -  Input'!$B$15:$B$44,0)),0)</f>
        <v>19900</v>
      </c>
      <c r="S300" s="18">
        <f t="shared" si="214"/>
        <v>19900</v>
      </c>
      <c r="T300" s="18">
        <f t="shared" si="215"/>
        <v>19900</v>
      </c>
      <c r="U300" s="18">
        <f t="shared" si="216"/>
        <v>19900</v>
      </c>
      <c r="V300" s="18">
        <f t="shared" si="217"/>
        <v>19900</v>
      </c>
      <c r="W300" s="18">
        <f t="shared" si="218"/>
        <v>19900</v>
      </c>
      <c r="X300" s="18">
        <f t="shared" si="219"/>
        <v>19900</v>
      </c>
      <c r="Y300" s="18">
        <f t="shared" si="220"/>
        <v>19900</v>
      </c>
      <c r="Z300" s="18">
        <f t="shared" si="221"/>
        <v>19900</v>
      </c>
      <c r="AA300" s="18">
        <f t="shared" si="222"/>
        <v>19900</v>
      </c>
      <c r="AB300" s="18">
        <f t="shared" si="223"/>
        <v>19900</v>
      </c>
      <c r="AC300" s="18">
        <f t="shared" si="224"/>
        <v>19900</v>
      </c>
      <c r="AD300" s="18">
        <f t="shared" si="225"/>
        <v>19900</v>
      </c>
    </row>
    <row r="301" spans="2:30" x14ac:dyDescent="0.2">
      <c r="D301" s="347" t="str">
        <f t="shared" si="207"/>
        <v>GlobalLHVe-Diesel (DAC)MJ/ ton</v>
      </c>
      <c r="F301" t="s">
        <v>588</v>
      </c>
      <c r="I301" t="s">
        <v>581</v>
      </c>
      <c r="N301" t="s">
        <v>582</v>
      </c>
      <c r="Q301" t="s">
        <v>583</v>
      </c>
      <c r="R301" s="14">
        <f>IFERROR(INDEX('Fuel Model -  Input'!$H$15:$H$44,MATCH($D301,'Fuel Model -  Input'!$B$15:$B$44,0)),0)</f>
        <v>42700</v>
      </c>
      <c r="S301" s="18">
        <f t="shared" si="214"/>
        <v>42700</v>
      </c>
      <c r="T301" s="18">
        <f t="shared" si="215"/>
        <v>42700</v>
      </c>
      <c r="U301" s="18">
        <f t="shared" si="216"/>
        <v>42700</v>
      </c>
      <c r="V301" s="18">
        <f t="shared" si="217"/>
        <v>42700</v>
      </c>
      <c r="W301" s="18">
        <f t="shared" si="218"/>
        <v>42700</v>
      </c>
      <c r="X301" s="18">
        <f t="shared" si="219"/>
        <v>42700</v>
      </c>
      <c r="Y301" s="18">
        <f t="shared" si="220"/>
        <v>42700</v>
      </c>
      <c r="Z301" s="18">
        <f t="shared" si="221"/>
        <v>42700</v>
      </c>
      <c r="AA301" s="18">
        <f t="shared" si="222"/>
        <v>42700</v>
      </c>
      <c r="AB301" s="18">
        <f t="shared" si="223"/>
        <v>42700</v>
      </c>
      <c r="AC301" s="18">
        <f t="shared" si="224"/>
        <v>42700</v>
      </c>
      <c r="AD301" s="18">
        <f t="shared" si="225"/>
        <v>42700</v>
      </c>
    </row>
    <row r="302" spans="2:30" x14ac:dyDescent="0.2">
      <c r="D302" s="347" t="str">
        <f t="shared" si="207"/>
        <v>GlobalLHVe-Diesel (PS)MJ/ ton</v>
      </c>
      <c r="F302" t="s">
        <v>589</v>
      </c>
      <c r="I302" t="s">
        <v>581</v>
      </c>
      <c r="N302" t="s">
        <v>582</v>
      </c>
      <c r="Q302" t="s">
        <v>583</v>
      </c>
      <c r="R302" s="14">
        <f>IFERROR(INDEX('Fuel Model -  Input'!$H$15:$H$44,MATCH($D302,'Fuel Model -  Input'!$B$15:$B$44,0)),0)</f>
        <v>42700</v>
      </c>
      <c r="S302" s="18">
        <f t="shared" si="214"/>
        <v>42700</v>
      </c>
      <c r="T302" s="18">
        <f t="shared" si="215"/>
        <v>42700</v>
      </c>
      <c r="U302" s="18">
        <f t="shared" si="216"/>
        <v>42700</v>
      </c>
      <c r="V302" s="18">
        <f t="shared" si="217"/>
        <v>42700</v>
      </c>
      <c r="W302" s="18">
        <f t="shared" si="218"/>
        <v>42700</v>
      </c>
      <c r="X302" s="18">
        <f t="shared" si="219"/>
        <v>42700</v>
      </c>
      <c r="Y302" s="18">
        <f t="shared" si="220"/>
        <v>42700</v>
      </c>
      <c r="Z302" s="18">
        <f t="shared" si="221"/>
        <v>42700</v>
      </c>
      <c r="AA302" s="18">
        <f t="shared" si="222"/>
        <v>42700</v>
      </c>
      <c r="AB302" s="18">
        <f t="shared" si="223"/>
        <v>42700</v>
      </c>
      <c r="AC302" s="18">
        <f t="shared" si="224"/>
        <v>42700</v>
      </c>
      <c r="AD302" s="18">
        <f t="shared" si="225"/>
        <v>42700</v>
      </c>
    </row>
    <row r="303" spans="2:30" x14ac:dyDescent="0.2">
      <c r="D303" s="347" t="str">
        <f t="shared" si="207"/>
        <v>GlobalLHVe-Methane (DAC)MJ/ ton</v>
      </c>
      <c r="F303" t="s">
        <v>590</v>
      </c>
      <c r="I303" t="s">
        <v>581</v>
      </c>
      <c r="N303" t="s">
        <v>582</v>
      </c>
      <c r="Q303" t="s">
        <v>583</v>
      </c>
      <c r="R303" s="14">
        <f>IFERROR(INDEX('Fuel Model -  Input'!$H$15:$H$44,MATCH($D303,'Fuel Model -  Input'!$B$15:$B$44,0)),0)</f>
        <v>50000</v>
      </c>
      <c r="S303" s="18">
        <f t="shared" si="214"/>
        <v>50000</v>
      </c>
      <c r="T303" s="18">
        <f t="shared" si="215"/>
        <v>50000</v>
      </c>
      <c r="U303" s="18">
        <f t="shared" si="216"/>
        <v>50000</v>
      </c>
      <c r="V303" s="18">
        <f t="shared" si="217"/>
        <v>50000</v>
      </c>
      <c r="W303" s="18">
        <f t="shared" si="218"/>
        <v>50000</v>
      </c>
      <c r="X303" s="18">
        <f t="shared" si="219"/>
        <v>50000</v>
      </c>
      <c r="Y303" s="18">
        <f t="shared" si="220"/>
        <v>50000</v>
      </c>
      <c r="Z303" s="18">
        <f t="shared" si="221"/>
        <v>50000</v>
      </c>
      <c r="AA303" s="18">
        <f t="shared" si="222"/>
        <v>50000</v>
      </c>
      <c r="AB303" s="18">
        <f t="shared" si="223"/>
        <v>50000</v>
      </c>
      <c r="AC303" s="18">
        <f t="shared" si="224"/>
        <v>50000</v>
      </c>
      <c r="AD303" s="18">
        <f t="shared" si="225"/>
        <v>50000</v>
      </c>
    </row>
    <row r="304" spans="2:30" x14ac:dyDescent="0.2">
      <c r="D304" s="347" t="str">
        <f t="shared" si="207"/>
        <v>GlobalLHVe-Methane (PS)MJ/ ton</v>
      </c>
      <c r="F304" t="s">
        <v>591</v>
      </c>
      <c r="I304" t="s">
        <v>581</v>
      </c>
      <c r="N304" t="s">
        <v>582</v>
      </c>
      <c r="Q304" t="s">
        <v>583</v>
      </c>
      <c r="R304" s="14">
        <f>IFERROR(INDEX('Fuel Model -  Input'!$H$15:$H$44,MATCH($D304,'Fuel Model -  Input'!$B$15:$B$44,0)),0)</f>
        <v>50000</v>
      </c>
      <c r="S304" s="18">
        <f t="shared" si="214"/>
        <v>50000</v>
      </c>
      <c r="T304" s="18">
        <f t="shared" si="215"/>
        <v>50000</v>
      </c>
      <c r="U304" s="18">
        <f t="shared" si="216"/>
        <v>50000</v>
      </c>
      <c r="V304" s="18">
        <f t="shared" si="217"/>
        <v>50000</v>
      </c>
      <c r="W304" s="18">
        <f t="shared" si="218"/>
        <v>50000</v>
      </c>
      <c r="X304" s="18">
        <f t="shared" si="219"/>
        <v>50000</v>
      </c>
      <c r="Y304" s="18">
        <f t="shared" si="220"/>
        <v>50000</v>
      </c>
      <c r="Z304" s="18">
        <f t="shared" si="221"/>
        <v>50000</v>
      </c>
      <c r="AA304" s="18">
        <f t="shared" si="222"/>
        <v>50000</v>
      </c>
      <c r="AB304" s="18">
        <f t="shared" si="223"/>
        <v>50000</v>
      </c>
      <c r="AC304" s="18">
        <f t="shared" si="224"/>
        <v>50000</v>
      </c>
      <c r="AD304" s="18">
        <f t="shared" si="225"/>
        <v>50000</v>
      </c>
    </row>
    <row r="305" spans="4:30" x14ac:dyDescent="0.2">
      <c r="D305" s="347" t="str">
        <f t="shared" si="207"/>
        <v>GlobalLHVBlue ammoniaMJ/ ton</v>
      </c>
      <c r="F305" t="s">
        <v>120</v>
      </c>
      <c r="I305" t="s">
        <v>581</v>
      </c>
      <c r="N305" t="s">
        <v>582</v>
      </c>
      <c r="Q305" t="s">
        <v>583</v>
      </c>
      <c r="R305" s="14">
        <f>IFERROR(INDEX('Fuel Model -  Input'!$H$15:$H$44,MATCH($D305,'Fuel Model -  Input'!$B$15:$B$44,0)),0)</f>
        <v>18800</v>
      </c>
      <c r="S305" s="18">
        <f t="shared" si="214"/>
        <v>18800</v>
      </c>
      <c r="T305" s="18">
        <f t="shared" si="215"/>
        <v>18800</v>
      </c>
      <c r="U305" s="18">
        <f t="shared" si="216"/>
        <v>18800</v>
      </c>
      <c r="V305" s="18">
        <f t="shared" si="217"/>
        <v>18800</v>
      </c>
      <c r="W305" s="18">
        <f t="shared" si="218"/>
        <v>18800</v>
      </c>
      <c r="X305" s="18">
        <f t="shared" si="219"/>
        <v>18800</v>
      </c>
      <c r="Y305" s="18">
        <f t="shared" si="220"/>
        <v>18800</v>
      </c>
      <c r="Z305" s="18">
        <f t="shared" si="221"/>
        <v>18800</v>
      </c>
      <c r="AA305" s="18">
        <f t="shared" si="222"/>
        <v>18800</v>
      </c>
      <c r="AB305" s="18">
        <f t="shared" si="223"/>
        <v>18800</v>
      </c>
      <c r="AC305" s="18">
        <f t="shared" si="224"/>
        <v>18800</v>
      </c>
      <c r="AD305" s="18">
        <f t="shared" si="225"/>
        <v>18800</v>
      </c>
    </row>
    <row r="306" spans="4:30" x14ac:dyDescent="0.2">
      <c r="D306" s="347" t="str">
        <f t="shared" si="207"/>
        <v>GlobalLHVBlue hydrogen (compressed)MJ/ ton</v>
      </c>
      <c r="F306" t="s">
        <v>592</v>
      </c>
      <c r="I306" t="s">
        <v>581</v>
      </c>
      <c r="N306" t="s">
        <v>582</v>
      </c>
      <c r="Q306" t="s">
        <v>583</v>
      </c>
      <c r="R306" s="14">
        <f>IFERROR(INDEX('Fuel Model -  Input'!$H$15:$H$44,MATCH($D306,'Fuel Model -  Input'!$B$15:$B$44,0)),0)</f>
        <v>120000</v>
      </c>
      <c r="S306" s="18">
        <f t="shared" si="214"/>
        <v>120000</v>
      </c>
      <c r="T306" s="18">
        <f t="shared" si="215"/>
        <v>120000</v>
      </c>
      <c r="U306" s="18">
        <f t="shared" si="216"/>
        <v>120000</v>
      </c>
      <c r="V306" s="18">
        <f t="shared" si="217"/>
        <v>120000</v>
      </c>
      <c r="W306" s="18">
        <f t="shared" si="218"/>
        <v>120000</v>
      </c>
      <c r="X306" s="18">
        <f t="shared" si="219"/>
        <v>120000</v>
      </c>
      <c r="Y306" s="18">
        <f t="shared" si="220"/>
        <v>120000</v>
      </c>
      <c r="Z306" s="18">
        <f t="shared" si="221"/>
        <v>120000</v>
      </c>
      <c r="AA306" s="18">
        <f t="shared" si="222"/>
        <v>120000</v>
      </c>
      <c r="AB306" s="18">
        <f t="shared" si="223"/>
        <v>120000</v>
      </c>
      <c r="AC306" s="18">
        <f t="shared" si="224"/>
        <v>120000</v>
      </c>
      <c r="AD306" s="18">
        <f t="shared" si="225"/>
        <v>120000</v>
      </c>
    </row>
    <row r="307" spans="4:30" x14ac:dyDescent="0.2">
      <c r="D307" s="347" t="str">
        <f t="shared" si="207"/>
        <v>GlobalLHVBlue hydrogen (liquid)MJ/ ton</v>
      </c>
      <c r="F307" t="s">
        <v>593</v>
      </c>
      <c r="I307" t="s">
        <v>581</v>
      </c>
      <c r="N307" t="s">
        <v>582</v>
      </c>
      <c r="Q307" t="s">
        <v>583</v>
      </c>
      <c r="R307" s="14">
        <f>IFERROR(INDEX('Fuel Model -  Input'!$H$15:$H$44,MATCH($D307,'Fuel Model -  Input'!$B$15:$B$44,0)),0)</f>
        <v>120000</v>
      </c>
      <c r="S307" s="18">
        <f t="shared" si="214"/>
        <v>120000</v>
      </c>
      <c r="T307" s="18">
        <f t="shared" si="215"/>
        <v>120000</v>
      </c>
      <c r="U307" s="18">
        <f t="shared" si="216"/>
        <v>120000</v>
      </c>
      <c r="V307" s="18">
        <f t="shared" si="217"/>
        <v>120000</v>
      </c>
      <c r="W307" s="18">
        <f t="shared" si="218"/>
        <v>120000</v>
      </c>
      <c r="X307" s="18">
        <f t="shared" si="219"/>
        <v>120000</v>
      </c>
      <c r="Y307" s="18">
        <f t="shared" si="220"/>
        <v>120000</v>
      </c>
      <c r="Z307" s="18">
        <f t="shared" si="221"/>
        <v>120000</v>
      </c>
      <c r="AA307" s="18">
        <f t="shared" si="222"/>
        <v>120000</v>
      </c>
      <c r="AB307" s="18">
        <f t="shared" si="223"/>
        <v>120000</v>
      </c>
      <c r="AC307" s="18">
        <f t="shared" si="224"/>
        <v>120000</v>
      </c>
      <c r="AD307" s="18">
        <f t="shared" si="225"/>
        <v>120000</v>
      </c>
    </row>
    <row r="308" spans="4:30" x14ac:dyDescent="0.2">
      <c r="D308" s="347" t="str">
        <f t="shared" si="207"/>
        <v>GlobalLHVBiomethaneMJ/ ton</v>
      </c>
      <c r="F308" t="s">
        <v>118</v>
      </c>
      <c r="I308" t="s">
        <v>581</v>
      </c>
      <c r="N308" t="s">
        <v>582</v>
      </c>
      <c r="Q308" t="s">
        <v>583</v>
      </c>
      <c r="R308" s="14">
        <f>IFERROR(INDEX('Fuel Model -  Input'!$H$15:$H$44,MATCH($D308,'Fuel Model -  Input'!$B$15:$B$44,0)),0)</f>
        <v>50000</v>
      </c>
      <c r="S308" s="18">
        <f t="shared" si="214"/>
        <v>50000</v>
      </c>
      <c r="T308" s="18">
        <f t="shared" si="215"/>
        <v>50000</v>
      </c>
      <c r="U308" s="18">
        <f t="shared" si="216"/>
        <v>50000</v>
      </c>
      <c r="V308" s="18">
        <f t="shared" si="217"/>
        <v>50000</v>
      </c>
      <c r="W308" s="18">
        <f t="shared" si="218"/>
        <v>50000</v>
      </c>
      <c r="X308" s="18">
        <f t="shared" si="219"/>
        <v>50000</v>
      </c>
      <c r="Y308" s="18">
        <f t="shared" si="220"/>
        <v>50000</v>
      </c>
      <c r="Z308" s="18">
        <f t="shared" si="221"/>
        <v>50000</v>
      </c>
      <c r="AA308" s="18">
        <f t="shared" si="222"/>
        <v>50000</v>
      </c>
      <c r="AB308" s="18">
        <f t="shared" si="223"/>
        <v>50000</v>
      </c>
      <c r="AC308" s="18">
        <f t="shared" si="224"/>
        <v>50000</v>
      </c>
      <c r="AD308" s="18">
        <f t="shared" si="225"/>
        <v>50000</v>
      </c>
    </row>
    <row r="309" spans="4:30" x14ac:dyDescent="0.2">
      <c r="D309" s="347" t="str">
        <f t="shared" si="207"/>
        <v>GlobalLHVBiodiesel (HtL)MJ/ ton</v>
      </c>
      <c r="F309" t="s">
        <v>594</v>
      </c>
      <c r="I309" t="s">
        <v>581</v>
      </c>
      <c r="N309" t="s">
        <v>582</v>
      </c>
      <c r="Q309" t="s">
        <v>583</v>
      </c>
      <c r="R309" s="14">
        <f>IFERROR(INDEX('Fuel Model -  Input'!$H$15:$H$44,MATCH($D309,'Fuel Model -  Input'!$B$15:$B$44,0)),0)</f>
        <v>42700</v>
      </c>
      <c r="S309" s="18">
        <f t="shared" si="214"/>
        <v>42700</v>
      </c>
      <c r="T309" s="18">
        <f t="shared" si="215"/>
        <v>42700</v>
      </c>
      <c r="U309" s="18">
        <f t="shared" si="216"/>
        <v>42700</v>
      </c>
      <c r="V309" s="18">
        <f t="shared" si="217"/>
        <v>42700</v>
      </c>
      <c r="W309" s="18">
        <f t="shared" si="218"/>
        <v>42700</v>
      </c>
      <c r="X309" s="18">
        <f t="shared" si="219"/>
        <v>42700</v>
      </c>
      <c r="Y309" s="18">
        <f t="shared" si="220"/>
        <v>42700</v>
      </c>
      <c r="Z309" s="18">
        <f t="shared" si="221"/>
        <v>42700</v>
      </c>
      <c r="AA309" s="18">
        <f t="shared" si="222"/>
        <v>42700</v>
      </c>
      <c r="AB309" s="18">
        <f t="shared" si="223"/>
        <v>42700</v>
      </c>
      <c r="AC309" s="18">
        <f t="shared" si="224"/>
        <v>42700</v>
      </c>
      <c r="AD309" s="18">
        <f t="shared" si="225"/>
        <v>42700</v>
      </c>
    </row>
    <row r="310" spans="4:30" x14ac:dyDescent="0.2">
      <c r="D310" s="347" t="str">
        <f t="shared" si="207"/>
        <v>GlobalLHVBiodiesel (Pyr)MJ/ ton</v>
      </c>
      <c r="F310" t="s">
        <v>123</v>
      </c>
      <c r="I310" t="s">
        <v>581</v>
      </c>
      <c r="N310" t="s">
        <v>582</v>
      </c>
      <c r="Q310" t="s">
        <v>583</v>
      </c>
      <c r="R310" s="14">
        <f>IFERROR(INDEX('Fuel Model -  Input'!$H$15:$H$44,MATCH($D310,'Fuel Model -  Input'!$B$15:$B$44,0)),0)</f>
        <v>42700</v>
      </c>
      <c r="S310" s="18">
        <f t="shared" si="214"/>
        <v>42700</v>
      </c>
      <c r="T310" s="18">
        <f t="shared" si="215"/>
        <v>42700</v>
      </c>
      <c r="U310" s="18">
        <f t="shared" si="216"/>
        <v>42700</v>
      </c>
      <c r="V310" s="18">
        <f t="shared" si="217"/>
        <v>42700</v>
      </c>
      <c r="W310" s="18">
        <f t="shared" si="218"/>
        <v>42700</v>
      </c>
      <c r="X310" s="18">
        <f t="shared" si="219"/>
        <v>42700</v>
      </c>
      <c r="Y310" s="18">
        <f t="shared" si="220"/>
        <v>42700</v>
      </c>
      <c r="Z310" s="18">
        <f t="shared" si="221"/>
        <v>42700</v>
      </c>
      <c r="AA310" s="18">
        <f t="shared" si="222"/>
        <v>42700</v>
      </c>
      <c r="AB310" s="18">
        <f t="shared" si="223"/>
        <v>42700</v>
      </c>
      <c r="AC310" s="18">
        <f t="shared" si="224"/>
        <v>42700</v>
      </c>
      <c r="AD310" s="18">
        <f t="shared" si="225"/>
        <v>42700</v>
      </c>
    </row>
    <row r="311" spans="4:30" x14ac:dyDescent="0.2">
      <c r="D311" s="347" t="str">
        <f t="shared" si="207"/>
        <v>GlobalLHVBiodiesel (HtL blend)MJ/ ton</v>
      </c>
      <c r="F311" s="384" t="s">
        <v>595</v>
      </c>
      <c r="I311" t="s">
        <v>581</v>
      </c>
      <c r="N311" t="s">
        <v>582</v>
      </c>
      <c r="Q311" t="s">
        <v>583</v>
      </c>
      <c r="R311" s="14">
        <f>IFERROR(INDEX('Fuel Model -  Input'!$H$15:$H$44,MATCH($D311,'Fuel Model -  Input'!$B$15:$B$44,0)),0)</f>
        <v>38600</v>
      </c>
      <c r="S311" s="18">
        <f>R311</f>
        <v>38600</v>
      </c>
      <c r="T311" s="18">
        <f t="shared" ref="T311:T312" si="226">S311</f>
        <v>38600</v>
      </c>
      <c r="U311" s="18">
        <f t="shared" ref="U311:U312" si="227">T311</f>
        <v>38600</v>
      </c>
      <c r="V311" s="18">
        <f t="shared" ref="V311:V312" si="228">U311</f>
        <v>38600</v>
      </c>
      <c r="W311" s="18">
        <f t="shared" ref="W311:W312" si="229">V311</f>
        <v>38600</v>
      </c>
      <c r="X311" s="18">
        <f t="shared" ref="X311:X312" si="230">W311</f>
        <v>38600</v>
      </c>
      <c r="Y311" s="18">
        <f t="shared" ref="Y311:Y312" si="231">X311</f>
        <v>38600</v>
      </c>
      <c r="Z311" s="18">
        <f t="shared" ref="Z311:Z312" si="232">Y311</f>
        <v>38600</v>
      </c>
      <c r="AA311" s="18">
        <f t="shared" ref="AA311:AA312" si="233">Z311</f>
        <v>38600</v>
      </c>
      <c r="AB311" s="18">
        <f t="shared" ref="AB311:AB312" si="234">AA311</f>
        <v>38600</v>
      </c>
      <c r="AC311" s="18">
        <f t="shared" ref="AC311:AC312" si="235">AB311</f>
        <v>38600</v>
      </c>
      <c r="AD311" s="18">
        <f t="shared" ref="AD311:AD312" si="236">AC311</f>
        <v>38600</v>
      </c>
    </row>
    <row r="312" spans="4:30" x14ac:dyDescent="0.2">
      <c r="D312" s="347" t="str">
        <f t="shared" si="207"/>
        <v>GlobalLHVBiodiesel (Pyr blend)MJ/ ton</v>
      </c>
      <c r="F312" s="384" t="s">
        <v>596</v>
      </c>
      <c r="I312" t="s">
        <v>581</v>
      </c>
      <c r="N312" t="s">
        <v>582</v>
      </c>
      <c r="Q312" t="s">
        <v>583</v>
      </c>
      <c r="R312" s="14">
        <f>IFERROR(INDEX('Fuel Model -  Input'!$H$15:$H$44,MATCH($D312,'Fuel Model -  Input'!$B$15:$B$44,0)),0)</f>
        <v>34280</v>
      </c>
      <c r="S312" s="18">
        <f>R312</f>
        <v>34280</v>
      </c>
      <c r="T312" s="18">
        <f t="shared" si="226"/>
        <v>34280</v>
      </c>
      <c r="U312" s="18">
        <f t="shared" si="227"/>
        <v>34280</v>
      </c>
      <c r="V312" s="18">
        <f t="shared" si="228"/>
        <v>34280</v>
      </c>
      <c r="W312" s="18">
        <f t="shared" si="229"/>
        <v>34280</v>
      </c>
      <c r="X312" s="18">
        <f t="shared" si="230"/>
        <v>34280</v>
      </c>
      <c r="Y312" s="18">
        <f t="shared" si="231"/>
        <v>34280</v>
      </c>
      <c r="Z312" s="18">
        <f t="shared" si="232"/>
        <v>34280</v>
      </c>
      <c r="AA312" s="18">
        <f t="shared" si="233"/>
        <v>34280</v>
      </c>
      <c r="AB312" s="18">
        <f t="shared" si="234"/>
        <v>34280</v>
      </c>
      <c r="AC312" s="18">
        <f t="shared" si="235"/>
        <v>34280</v>
      </c>
      <c r="AD312" s="18">
        <f t="shared" si="236"/>
        <v>34280</v>
      </c>
    </row>
    <row r="313" spans="4:30" x14ac:dyDescent="0.2">
      <c r="R313" s="76"/>
      <c r="S313" s="18"/>
      <c r="T313" s="18"/>
      <c r="U313" s="18"/>
      <c r="V313" s="18"/>
      <c r="W313" s="18"/>
      <c r="X313" s="18"/>
      <c r="Y313" s="18"/>
      <c r="Z313" s="18"/>
      <c r="AA313" s="18"/>
      <c r="AB313" s="18"/>
      <c r="AC313" s="18"/>
      <c r="AD313" s="18"/>
    </row>
    <row r="314" spans="4:30" x14ac:dyDescent="0.2">
      <c r="R314" s="77"/>
      <c r="S314" s="18"/>
      <c r="T314" s="18"/>
      <c r="U314" s="18"/>
      <c r="V314" s="18"/>
      <c r="W314" s="18"/>
      <c r="X314" s="18"/>
      <c r="Y314" s="18"/>
      <c r="Z314" s="18"/>
      <c r="AA314" s="18"/>
      <c r="AB314" s="18"/>
      <c r="AC314" s="18"/>
      <c r="AD314" s="18"/>
    </row>
    <row r="315" spans="4:30" x14ac:dyDescent="0.2">
      <c r="D315" s="347" t="str">
        <f t="shared" ref="D315:D326" si="237">_xlfn.TEXTJOIN(keydelim,TRUE,E315:N315)</f>
        <v>LSFO - LHV - kWh</v>
      </c>
      <c r="F315" t="s">
        <v>117</v>
      </c>
      <c r="N315" t="s">
        <v>332</v>
      </c>
      <c r="Q315" t="s">
        <v>597</v>
      </c>
      <c r="R315" s="77">
        <f t="shared" ref="R315:R336" si="238">kwh_per_MJ *R291</f>
        <v>11444.444444444445</v>
      </c>
      <c r="S315" s="18">
        <f t="shared" ref="S315:AD315" si="239">R315</f>
        <v>11444.444444444445</v>
      </c>
      <c r="T315" s="18">
        <f t="shared" si="239"/>
        <v>11444.444444444445</v>
      </c>
      <c r="U315" s="18">
        <f t="shared" si="239"/>
        <v>11444.444444444445</v>
      </c>
      <c r="V315" s="18">
        <f t="shared" si="239"/>
        <v>11444.444444444445</v>
      </c>
      <c r="W315" s="18">
        <f t="shared" si="239"/>
        <v>11444.444444444445</v>
      </c>
      <c r="X315" s="18">
        <f t="shared" si="239"/>
        <v>11444.444444444445</v>
      </c>
      <c r="Y315" s="18">
        <f t="shared" si="239"/>
        <v>11444.444444444445</v>
      </c>
      <c r="Z315" s="18">
        <f t="shared" si="239"/>
        <v>11444.444444444445</v>
      </c>
      <c r="AA315" s="18">
        <f t="shared" si="239"/>
        <v>11444.444444444445</v>
      </c>
      <c r="AB315" s="18">
        <f t="shared" si="239"/>
        <v>11444.444444444445</v>
      </c>
      <c r="AC315" s="18">
        <f t="shared" si="239"/>
        <v>11444.444444444445</v>
      </c>
      <c r="AD315" s="18">
        <f t="shared" si="239"/>
        <v>11444.444444444445</v>
      </c>
    </row>
    <row r="316" spans="4:30" x14ac:dyDescent="0.2">
      <c r="D316" s="347" t="str">
        <f t="shared" si="237"/>
        <v>LNG - LHV - kWh</v>
      </c>
      <c r="F316" t="s">
        <v>528</v>
      </c>
      <c r="N316" t="s">
        <v>332</v>
      </c>
      <c r="Q316" t="s">
        <v>597</v>
      </c>
      <c r="R316" s="77">
        <f t="shared" si="238"/>
        <v>13333.333333333334</v>
      </c>
      <c r="S316" s="18">
        <f t="shared" ref="S316:S330" si="240">R316</f>
        <v>13333.333333333334</v>
      </c>
      <c r="T316" s="18">
        <f t="shared" ref="T316:T330" si="241">S316</f>
        <v>13333.333333333334</v>
      </c>
      <c r="U316" s="18">
        <f t="shared" ref="U316:U330" si="242">T316</f>
        <v>13333.333333333334</v>
      </c>
      <c r="V316" s="18">
        <f t="shared" ref="V316:V330" si="243">U316</f>
        <v>13333.333333333334</v>
      </c>
      <c r="W316" s="18">
        <f t="shared" ref="W316:W330" si="244">V316</f>
        <v>13333.333333333334</v>
      </c>
      <c r="X316" s="18">
        <f t="shared" ref="X316:X330" si="245">W316</f>
        <v>13333.333333333334</v>
      </c>
      <c r="Y316" s="18">
        <f t="shared" ref="Y316:Y330" si="246">X316</f>
        <v>13333.333333333334</v>
      </c>
      <c r="Z316" s="18">
        <f t="shared" ref="Z316:Z330" si="247">Y316</f>
        <v>13333.333333333334</v>
      </c>
      <c r="AA316" s="18">
        <f t="shared" ref="AA316:AA330" si="248">Z316</f>
        <v>13333.333333333334</v>
      </c>
      <c r="AB316" s="18">
        <f t="shared" ref="AB316:AB330" si="249">AA316</f>
        <v>13333.333333333334</v>
      </c>
      <c r="AC316" s="18">
        <f t="shared" ref="AC316:AC330" si="250">AB316</f>
        <v>13333.333333333334</v>
      </c>
      <c r="AD316" s="18">
        <f t="shared" ref="AD316:AD330" si="251">AC316</f>
        <v>13333.333333333334</v>
      </c>
    </row>
    <row r="317" spans="4:30" x14ac:dyDescent="0.2">
      <c r="D317" s="347" t="str">
        <f t="shared" ref="D317" si="252">_xlfn.TEXTJOIN(keydelim,TRUE,E317:N317)</f>
        <v>LPG - LHV - kWh</v>
      </c>
      <c r="F317" t="s">
        <v>534</v>
      </c>
      <c r="N317" t="s">
        <v>332</v>
      </c>
      <c r="O317" s="224"/>
      <c r="Q317" t="s">
        <v>597</v>
      </c>
      <c r="R317" s="77">
        <f t="shared" si="238"/>
        <v>12777.777777777779</v>
      </c>
      <c r="S317" s="18">
        <f t="shared" ref="S317" si="253">R317</f>
        <v>12777.777777777779</v>
      </c>
      <c r="T317" s="18">
        <f t="shared" ref="T317" si="254">S317</f>
        <v>12777.777777777779</v>
      </c>
      <c r="U317" s="18">
        <f t="shared" ref="U317" si="255">T317</f>
        <v>12777.777777777779</v>
      </c>
      <c r="V317" s="18">
        <f t="shared" ref="V317" si="256">U317</f>
        <v>12777.777777777779</v>
      </c>
      <c r="W317" s="18">
        <f t="shared" ref="W317" si="257">V317</f>
        <v>12777.777777777779</v>
      </c>
      <c r="X317" s="18">
        <f t="shared" ref="X317" si="258">W317</f>
        <v>12777.777777777779</v>
      </c>
      <c r="Y317" s="18">
        <f t="shared" ref="Y317" si="259">X317</f>
        <v>12777.777777777779</v>
      </c>
      <c r="Z317" s="18">
        <f t="shared" ref="Z317" si="260">Y317</f>
        <v>12777.777777777779</v>
      </c>
      <c r="AA317" s="18">
        <f t="shared" ref="AA317" si="261">Z317</f>
        <v>12777.777777777779</v>
      </c>
      <c r="AB317" s="18">
        <f t="shared" ref="AB317" si="262">AA317</f>
        <v>12777.777777777779</v>
      </c>
      <c r="AC317" s="18">
        <f t="shared" ref="AC317" si="263">AB317</f>
        <v>12777.777777777779</v>
      </c>
      <c r="AD317" s="18">
        <f t="shared" ref="AD317" si="264">AC317</f>
        <v>12777.777777777779</v>
      </c>
    </row>
    <row r="318" spans="4:30" x14ac:dyDescent="0.2">
      <c r="D318" s="347" t="str">
        <f t="shared" si="237"/>
        <v>e-Ammonia - LHV - kWh</v>
      </c>
      <c r="F318" t="s">
        <v>121</v>
      </c>
      <c r="N318" t="s">
        <v>332</v>
      </c>
      <c r="O318" s="224"/>
      <c r="Q318" t="s">
        <v>597</v>
      </c>
      <c r="R318" s="77">
        <f t="shared" si="238"/>
        <v>5222.2222222222226</v>
      </c>
      <c r="S318" s="18">
        <f t="shared" si="240"/>
        <v>5222.2222222222226</v>
      </c>
      <c r="T318" s="18">
        <f t="shared" si="241"/>
        <v>5222.2222222222226</v>
      </c>
      <c r="U318" s="18">
        <f t="shared" si="242"/>
        <v>5222.2222222222226</v>
      </c>
      <c r="V318" s="18">
        <f t="shared" si="243"/>
        <v>5222.2222222222226</v>
      </c>
      <c r="W318" s="18">
        <f t="shared" si="244"/>
        <v>5222.2222222222226</v>
      </c>
      <c r="X318" s="18">
        <f t="shared" si="245"/>
        <v>5222.2222222222226</v>
      </c>
      <c r="Y318" s="18">
        <f t="shared" si="246"/>
        <v>5222.2222222222226</v>
      </c>
      <c r="Z318" s="18">
        <f t="shared" si="247"/>
        <v>5222.2222222222226</v>
      </c>
      <c r="AA318" s="18">
        <f t="shared" si="248"/>
        <v>5222.2222222222226</v>
      </c>
      <c r="AB318" s="18">
        <f t="shared" si="249"/>
        <v>5222.2222222222226</v>
      </c>
      <c r="AC318" s="18">
        <f t="shared" si="250"/>
        <v>5222.2222222222226</v>
      </c>
      <c r="AD318" s="18">
        <f t="shared" si="251"/>
        <v>5222.2222222222226</v>
      </c>
    </row>
    <row r="319" spans="4:30" x14ac:dyDescent="0.2">
      <c r="D319" s="347" t="str">
        <f t="shared" si="237"/>
        <v>e-Hydrogen (compressed) - LHV - kWh</v>
      </c>
      <c r="F319" t="s">
        <v>584</v>
      </c>
      <c r="N319" t="s">
        <v>332</v>
      </c>
      <c r="O319" s="224"/>
      <c r="Q319" t="s">
        <v>597</v>
      </c>
      <c r="R319" s="77">
        <f t="shared" si="238"/>
        <v>33333.333333333336</v>
      </c>
      <c r="S319" s="18">
        <f t="shared" si="240"/>
        <v>33333.333333333336</v>
      </c>
      <c r="T319" s="18">
        <f t="shared" si="241"/>
        <v>33333.333333333336</v>
      </c>
      <c r="U319" s="18">
        <f t="shared" si="242"/>
        <v>33333.333333333336</v>
      </c>
      <c r="V319" s="18">
        <f t="shared" si="243"/>
        <v>33333.333333333336</v>
      </c>
      <c r="W319" s="18">
        <f t="shared" si="244"/>
        <v>33333.333333333336</v>
      </c>
      <c r="X319" s="18">
        <f t="shared" si="245"/>
        <v>33333.333333333336</v>
      </c>
      <c r="Y319" s="18">
        <f t="shared" si="246"/>
        <v>33333.333333333336</v>
      </c>
      <c r="Z319" s="18">
        <f t="shared" si="247"/>
        <v>33333.333333333336</v>
      </c>
      <c r="AA319" s="18">
        <f t="shared" si="248"/>
        <v>33333.333333333336</v>
      </c>
      <c r="AB319" s="18">
        <f t="shared" si="249"/>
        <v>33333.333333333336</v>
      </c>
      <c r="AC319" s="18">
        <f t="shared" si="250"/>
        <v>33333.333333333336</v>
      </c>
      <c r="AD319" s="18">
        <f t="shared" si="251"/>
        <v>33333.333333333336</v>
      </c>
    </row>
    <row r="320" spans="4:30" x14ac:dyDescent="0.2">
      <c r="D320" s="347" t="str">
        <f t="shared" si="237"/>
        <v>e-Hydrogen (liquid) - LHV - kWh</v>
      </c>
      <c r="F320" t="s">
        <v>585</v>
      </c>
      <c r="N320" t="s">
        <v>332</v>
      </c>
      <c r="O320" s="224"/>
      <c r="Q320" t="s">
        <v>597</v>
      </c>
      <c r="R320" s="77">
        <f t="shared" si="238"/>
        <v>33333.333333333336</v>
      </c>
      <c r="S320" s="18">
        <f t="shared" si="240"/>
        <v>33333.333333333336</v>
      </c>
      <c r="T320" s="18">
        <f t="shared" si="241"/>
        <v>33333.333333333336</v>
      </c>
      <c r="U320" s="18">
        <f t="shared" si="242"/>
        <v>33333.333333333336</v>
      </c>
      <c r="V320" s="18">
        <f t="shared" si="243"/>
        <v>33333.333333333336</v>
      </c>
      <c r="W320" s="18">
        <f t="shared" si="244"/>
        <v>33333.333333333336</v>
      </c>
      <c r="X320" s="18">
        <f t="shared" si="245"/>
        <v>33333.333333333336</v>
      </c>
      <c r="Y320" s="18">
        <f t="shared" si="246"/>
        <v>33333.333333333336</v>
      </c>
      <c r="Z320" s="18">
        <f t="shared" si="247"/>
        <v>33333.333333333336</v>
      </c>
      <c r="AA320" s="18">
        <f t="shared" si="248"/>
        <v>33333.333333333336</v>
      </c>
      <c r="AB320" s="18">
        <f t="shared" si="249"/>
        <v>33333.333333333336</v>
      </c>
      <c r="AC320" s="18">
        <f t="shared" si="250"/>
        <v>33333.333333333336</v>
      </c>
      <c r="AD320" s="18">
        <f t="shared" si="251"/>
        <v>33333.333333333336</v>
      </c>
    </row>
    <row r="321" spans="4:30" x14ac:dyDescent="0.2">
      <c r="D321" s="347" t="str">
        <f t="shared" si="237"/>
        <v>Biomethanol - LHV - kWh</v>
      </c>
      <c r="F321" t="s">
        <v>586</v>
      </c>
      <c r="N321" t="s">
        <v>332</v>
      </c>
      <c r="O321" s="224"/>
      <c r="Q321" t="s">
        <v>597</v>
      </c>
      <c r="R321" s="77">
        <f t="shared" si="238"/>
        <v>5527.7777777777783</v>
      </c>
      <c r="S321" s="18">
        <f t="shared" si="240"/>
        <v>5527.7777777777783</v>
      </c>
      <c r="T321" s="18">
        <f t="shared" si="241"/>
        <v>5527.7777777777783</v>
      </c>
      <c r="U321" s="18">
        <f t="shared" si="242"/>
        <v>5527.7777777777783</v>
      </c>
      <c r="V321" s="18">
        <f t="shared" si="243"/>
        <v>5527.7777777777783</v>
      </c>
      <c r="W321" s="18">
        <f t="shared" si="244"/>
        <v>5527.7777777777783</v>
      </c>
      <c r="X321" s="18">
        <f t="shared" si="245"/>
        <v>5527.7777777777783</v>
      </c>
      <c r="Y321" s="18">
        <f t="shared" si="246"/>
        <v>5527.7777777777783</v>
      </c>
      <c r="Z321" s="18">
        <f t="shared" si="247"/>
        <v>5527.7777777777783</v>
      </c>
      <c r="AA321" s="18">
        <f t="shared" si="248"/>
        <v>5527.7777777777783</v>
      </c>
      <c r="AB321" s="18">
        <f t="shared" si="249"/>
        <v>5527.7777777777783</v>
      </c>
      <c r="AC321" s="18">
        <f t="shared" si="250"/>
        <v>5527.7777777777783</v>
      </c>
      <c r="AD321" s="18">
        <f t="shared" si="251"/>
        <v>5527.7777777777783</v>
      </c>
    </row>
    <row r="322" spans="4:30" x14ac:dyDescent="0.2">
      <c r="D322" s="347" t="str">
        <f t="shared" si="237"/>
        <v>Electricity - LHV - kWh</v>
      </c>
      <c r="F322" t="s">
        <v>54</v>
      </c>
      <c r="N322" t="s">
        <v>332</v>
      </c>
      <c r="O322" s="224"/>
      <c r="Q322" t="s">
        <v>597</v>
      </c>
      <c r="R322" s="77">
        <f t="shared" si="238"/>
        <v>0</v>
      </c>
      <c r="S322" s="18">
        <f t="shared" si="240"/>
        <v>0</v>
      </c>
      <c r="T322" s="18">
        <f t="shared" si="241"/>
        <v>0</v>
      </c>
      <c r="U322" s="18">
        <f t="shared" si="242"/>
        <v>0</v>
      </c>
      <c r="V322" s="18">
        <f t="shared" si="243"/>
        <v>0</v>
      </c>
      <c r="W322" s="18">
        <f t="shared" si="244"/>
        <v>0</v>
      </c>
      <c r="X322" s="18">
        <f t="shared" si="245"/>
        <v>0</v>
      </c>
      <c r="Y322" s="18">
        <f t="shared" si="246"/>
        <v>0</v>
      </c>
      <c r="Z322" s="18">
        <f t="shared" si="247"/>
        <v>0</v>
      </c>
      <c r="AA322" s="18">
        <f t="shared" si="248"/>
        <v>0</v>
      </c>
      <c r="AB322" s="18">
        <f t="shared" si="249"/>
        <v>0</v>
      </c>
      <c r="AC322" s="18">
        <f t="shared" si="250"/>
        <v>0</v>
      </c>
      <c r="AD322" s="18">
        <f t="shared" si="251"/>
        <v>0</v>
      </c>
    </row>
    <row r="323" spans="4:30" x14ac:dyDescent="0.2">
      <c r="D323" s="347" t="str">
        <f t="shared" si="237"/>
        <v>e-Methanol (DAC) - LHV - kWh</v>
      </c>
      <c r="F323" t="s">
        <v>587</v>
      </c>
      <c r="N323" t="s">
        <v>332</v>
      </c>
      <c r="O323" s="224"/>
      <c r="Q323" t="s">
        <v>597</v>
      </c>
      <c r="R323" s="77">
        <f t="shared" si="238"/>
        <v>5527.7777777777783</v>
      </c>
      <c r="S323" s="18">
        <f t="shared" si="240"/>
        <v>5527.7777777777783</v>
      </c>
      <c r="T323" s="18">
        <f t="shared" si="241"/>
        <v>5527.7777777777783</v>
      </c>
      <c r="U323" s="18">
        <f t="shared" si="242"/>
        <v>5527.7777777777783</v>
      </c>
      <c r="V323" s="18">
        <f t="shared" si="243"/>
        <v>5527.7777777777783</v>
      </c>
      <c r="W323" s="18">
        <f t="shared" si="244"/>
        <v>5527.7777777777783</v>
      </c>
      <c r="X323" s="18">
        <f t="shared" si="245"/>
        <v>5527.7777777777783</v>
      </c>
      <c r="Y323" s="18">
        <f t="shared" si="246"/>
        <v>5527.7777777777783</v>
      </c>
      <c r="Z323" s="18">
        <f t="shared" si="247"/>
        <v>5527.7777777777783</v>
      </c>
      <c r="AA323" s="18">
        <f t="shared" si="248"/>
        <v>5527.7777777777783</v>
      </c>
      <c r="AB323" s="18">
        <f t="shared" si="249"/>
        <v>5527.7777777777783</v>
      </c>
      <c r="AC323" s="18">
        <f t="shared" si="250"/>
        <v>5527.7777777777783</v>
      </c>
      <c r="AD323" s="18">
        <f t="shared" si="251"/>
        <v>5527.7777777777783</v>
      </c>
    </row>
    <row r="324" spans="4:30" x14ac:dyDescent="0.2">
      <c r="D324" s="347" t="str">
        <f t="shared" si="237"/>
        <v>e-Methanol (PS) - LHV - kWh</v>
      </c>
      <c r="F324" t="s">
        <v>119</v>
      </c>
      <c r="N324" t="s">
        <v>332</v>
      </c>
      <c r="Q324" t="s">
        <v>597</v>
      </c>
      <c r="R324" s="77">
        <f t="shared" si="238"/>
        <v>5527.7777777777783</v>
      </c>
      <c r="S324" s="18">
        <f t="shared" si="240"/>
        <v>5527.7777777777783</v>
      </c>
      <c r="T324" s="18">
        <f t="shared" si="241"/>
        <v>5527.7777777777783</v>
      </c>
      <c r="U324" s="18">
        <f t="shared" si="242"/>
        <v>5527.7777777777783</v>
      </c>
      <c r="V324" s="18">
        <f t="shared" si="243"/>
        <v>5527.7777777777783</v>
      </c>
      <c r="W324" s="18">
        <f t="shared" si="244"/>
        <v>5527.7777777777783</v>
      </c>
      <c r="X324" s="18">
        <f t="shared" si="245"/>
        <v>5527.7777777777783</v>
      </c>
      <c r="Y324" s="18">
        <f t="shared" si="246"/>
        <v>5527.7777777777783</v>
      </c>
      <c r="Z324" s="18">
        <f t="shared" si="247"/>
        <v>5527.7777777777783</v>
      </c>
      <c r="AA324" s="18">
        <f t="shared" si="248"/>
        <v>5527.7777777777783</v>
      </c>
      <c r="AB324" s="18">
        <f t="shared" si="249"/>
        <v>5527.7777777777783</v>
      </c>
      <c r="AC324" s="18">
        <f t="shared" si="250"/>
        <v>5527.7777777777783</v>
      </c>
      <c r="AD324" s="18">
        <f t="shared" si="251"/>
        <v>5527.7777777777783</v>
      </c>
    </row>
    <row r="325" spans="4:30" x14ac:dyDescent="0.2">
      <c r="D325" s="347" t="str">
        <f t="shared" si="237"/>
        <v>e-Diesel (DAC) - LHV - kWh</v>
      </c>
      <c r="F325" t="s">
        <v>588</v>
      </c>
      <c r="N325" t="s">
        <v>332</v>
      </c>
      <c r="Q325" t="s">
        <v>597</v>
      </c>
      <c r="R325" s="77">
        <f t="shared" si="238"/>
        <v>11861.111111111111</v>
      </c>
      <c r="S325" s="18">
        <f t="shared" si="240"/>
        <v>11861.111111111111</v>
      </c>
      <c r="T325" s="18">
        <f t="shared" si="241"/>
        <v>11861.111111111111</v>
      </c>
      <c r="U325" s="18">
        <f t="shared" si="242"/>
        <v>11861.111111111111</v>
      </c>
      <c r="V325" s="18">
        <f t="shared" si="243"/>
        <v>11861.111111111111</v>
      </c>
      <c r="W325" s="18">
        <f t="shared" si="244"/>
        <v>11861.111111111111</v>
      </c>
      <c r="X325" s="18">
        <f t="shared" si="245"/>
        <v>11861.111111111111</v>
      </c>
      <c r="Y325" s="18">
        <f t="shared" si="246"/>
        <v>11861.111111111111</v>
      </c>
      <c r="Z325" s="18">
        <f t="shared" si="247"/>
        <v>11861.111111111111</v>
      </c>
      <c r="AA325" s="18">
        <f t="shared" si="248"/>
        <v>11861.111111111111</v>
      </c>
      <c r="AB325" s="18">
        <f t="shared" si="249"/>
        <v>11861.111111111111</v>
      </c>
      <c r="AC325" s="18">
        <f t="shared" si="250"/>
        <v>11861.111111111111</v>
      </c>
      <c r="AD325" s="18">
        <f t="shared" si="251"/>
        <v>11861.111111111111</v>
      </c>
    </row>
    <row r="326" spans="4:30" x14ac:dyDescent="0.2">
      <c r="D326" s="347" t="str">
        <f t="shared" si="237"/>
        <v>e-Diesel (PS) - LHV - kWh</v>
      </c>
      <c r="F326" t="s">
        <v>589</v>
      </c>
      <c r="N326" t="s">
        <v>332</v>
      </c>
      <c r="Q326" t="s">
        <v>597</v>
      </c>
      <c r="R326" s="77">
        <f t="shared" si="238"/>
        <v>11861.111111111111</v>
      </c>
      <c r="S326" s="18">
        <f t="shared" si="240"/>
        <v>11861.111111111111</v>
      </c>
      <c r="T326" s="18">
        <f t="shared" si="241"/>
        <v>11861.111111111111</v>
      </c>
      <c r="U326" s="18">
        <f t="shared" si="242"/>
        <v>11861.111111111111</v>
      </c>
      <c r="V326" s="18">
        <f t="shared" si="243"/>
        <v>11861.111111111111</v>
      </c>
      <c r="W326" s="18">
        <f t="shared" si="244"/>
        <v>11861.111111111111</v>
      </c>
      <c r="X326" s="18">
        <f t="shared" si="245"/>
        <v>11861.111111111111</v>
      </c>
      <c r="Y326" s="18">
        <f t="shared" si="246"/>
        <v>11861.111111111111</v>
      </c>
      <c r="Z326" s="18">
        <f t="shared" si="247"/>
        <v>11861.111111111111</v>
      </c>
      <c r="AA326" s="18">
        <f t="shared" si="248"/>
        <v>11861.111111111111</v>
      </c>
      <c r="AB326" s="18">
        <f t="shared" si="249"/>
        <v>11861.111111111111</v>
      </c>
      <c r="AC326" s="18">
        <f t="shared" si="250"/>
        <v>11861.111111111111</v>
      </c>
      <c r="AD326" s="18">
        <f t="shared" si="251"/>
        <v>11861.111111111111</v>
      </c>
    </row>
    <row r="327" spans="4:30" x14ac:dyDescent="0.2">
      <c r="D327" s="347" t="str">
        <f t="shared" ref="D327:D330" si="265">_xlfn.TEXTJOIN(keydelim,TRUE,E327:N327)</f>
        <v>e-Methane (DAC) - LHV - kWh</v>
      </c>
      <c r="F327" t="s">
        <v>590</v>
      </c>
      <c r="N327" t="s">
        <v>332</v>
      </c>
      <c r="Q327" t="s">
        <v>597</v>
      </c>
      <c r="R327" s="77">
        <f t="shared" si="238"/>
        <v>13888.888888888889</v>
      </c>
      <c r="S327" s="18">
        <f t="shared" si="240"/>
        <v>13888.888888888889</v>
      </c>
      <c r="T327" s="18">
        <f t="shared" si="241"/>
        <v>13888.888888888889</v>
      </c>
      <c r="U327" s="18">
        <f t="shared" si="242"/>
        <v>13888.888888888889</v>
      </c>
      <c r="V327" s="18">
        <f t="shared" si="243"/>
        <v>13888.888888888889</v>
      </c>
      <c r="W327" s="18">
        <f t="shared" si="244"/>
        <v>13888.888888888889</v>
      </c>
      <c r="X327" s="18">
        <f t="shared" si="245"/>
        <v>13888.888888888889</v>
      </c>
      <c r="Y327" s="18">
        <f t="shared" si="246"/>
        <v>13888.888888888889</v>
      </c>
      <c r="Z327" s="18">
        <f t="shared" si="247"/>
        <v>13888.888888888889</v>
      </c>
      <c r="AA327" s="18">
        <f t="shared" si="248"/>
        <v>13888.888888888889</v>
      </c>
      <c r="AB327" s="18">
        <f t="shared" si="249"/>
        <v>13888.888888888889</v>
      </c>
      <c r="AC327" s="18">
        <f t="shared" si="250"/>
        <v>13888.888888888889</v>
      </c>
      <c r="AD327" s="18">
        <f t="shared" si="251"/>
        <v>13888.888888888889</v>
      </c>
    </row>
    <row r="328" spans="4:30" x14ac:dyDescent="0.2">
      <c r="D328" s="347" t="str">
        <f t="shared" si="265"/>
        <v>e-Methane (PS) - LHV - kWh</v>
      </c>
      <c r="F328" t="s">
        <v>591</v>
      </c>
      <c r="N328" t="s">
        <v>332</v>
      </c>
      <c r="Q328" t="s">
        <v>597</v>
      </c>
      <c r="R328" s="77">
        <f t="shared" si="238"/>
        <v>13888.888888888889</v>
      </c>
      <c r="S328" s="18">
        <f t="shared" si="240"/>
        <v>13888.888888888889</v>
      </c>
      <c r="T328" s="18">
        <f t="shared" si="241"/>
        <v>13888.888888888889</v>
      </c>
      <c r="U328" s="18">
        <f t="shared" si="242"/>
        <v>13888.888888888889</v>
      </c>
      <c r="V328" s="18">
        <f t="shared" si="243"/>
        <v>13888.888888888889</v>
      </c>
      <c r="W328" s="18">
        <f t="shared" si="244"/>
        <v>13888.888888888889</v>
      </c>
      <c r="X328" s="18">
        <f t="shared" si="245"/>
        <v>13888.888888888889</v>
      </c>
      <c r="Y328" s="18">
        <f t="shared" si="246"/>
        <v>13888.888888888889</v>
      </c>
      <c r="Z328" s="18">
        <f t="shared" si="247"/>
        <v>13888.888888888889</v>
      </c>
      <c r="AA328" s="18">
        <f t="shared" si="248"/>
        <v>13888.888888888889</v>
      </c>
      <c r="AB328" s="18">
        <f t="shared" si="249"/>
        <v>13888.888888888889</v>
      </c>
      <c r="AC328" s="18">
        <f t="shared" si="250"/>
        <v>13888.888888888889</v>
      </c>
      <c r="AD328" s="18">
        <f t="shared" si="251"/>
        <v>13888.888888888889</v>
      </c>
    </row>
    <row r="329" spans="4:30" x14ac:dyDescent="0.2">
      <c r="D329" s="347" t="str">
        <f t="shared" si="265"/>
        <v>Blue ammonia - LHV - kWh</v>
      </c>
      <c r="F329" t="s">
        <v>120</v>
      </c>
      <c r="N329" t="s">
        <v>332</v>
      </c>
      <c r="Q329" t="s">
        <v>597</v>
      </c>
      <c r="R329" s="77">
        <f t="shared" si="238"/>
        <v>5222.2222222222226</v>
      </c>
      <c r="S329" s="18">
        <f t="shared" si="240"/>
        <v>5222.2222222222226</v>
      </c>
      <c r="T329" s="18">
        <f t="shared" si="241"/>
        <v>5222.2222222222226</v>
      </c>
      <c r="U329" s="18">
        <f t="shared" si="242"/>
        <v>5222.2222222222226</v>
      </c>
      <c r="V329" s="18">
        <f t="shared" si="243"/>
        <v>5222.2222222222226</v>
      </c>
      <c r="W329" s="18">
        <f t="shared" si="244"/>
        <v>5222.2222222222226</v>
      </c>
      <c r="X329" s="18">
        <f t="shared" si="245"/>
        <v>5222.2222222222226</v>
      </c>
      <c r="Y329" s="18">
        <f t="shared" si="246"/>
        <v>5222.2222222222226</v>
      </c>
      <c r="Z329" s="18">
        <f t="shared" si="247"/>
        <v>5222.2222222222226</v>
      </c>
      <c r="AA329" s="18">
        <f t="shared" si="248"/>
        <v>5222.2222222222226</v>
      </c>
      <c r="AB329" s="18">
        <f t="shared" si="249"/>
        <v>5222.2222222222226</v>
      </c>
      <c r="AC329" s="18">
        <f t="shared" si="250"/>
        <v>5222.2222222222226</v>
      </c>
      <c r="AD329" s="18">
        <f t="shared" si="251"/>
        <v>5222.2222222222226</v>
      </c>
    </row>
    <row r="330" spans="4:30" x14ac:dyDescent="0.2">
      <c r="D330" s="347" t="str">
        <f t="shared" si="265"/>
        <v>Blue hydrogen (compressed) - LHV - kWh</v>
      </c>
      <c r="F330" t="s">
        <v>592</v>
      </c>
      <c r="N330" t="s">
        <v>332</v>
      </c>
      <c r="Q330" t="s">
        <v>597</v>
      </c>
      <c r="R330" s="77">
        <f t="shared" si="238"/>
        <v>33333.333333333336</v>
      </c>
      <c r="S330" s="18">
        <f t="shared" si="240"/>
        <v>33333.333333333336</v>
      </c>
      <c r="T330" s="18">
        <f t="shared" si="241"/>
        <v>33333.333333333336</v>
      </c>
      <c r="U330" s="18">
        <f t="shared" si="242"/>
        <v>33333.333333333336</v>
      </c>
      <c r="V330" s="18">
        <f t="shared" si="243"/>
        <v>33333.333333333336</v>
      </c>
      <c r="W330" s="18">
        <f t="shared" si="244"/>
        <v>33333.333333333336</v>
      </c>
      <c r="X330" s="18">
        <f t="shared" si="245"/>
        <v>33333.333333333336</v>
      </c>
      <c r="Y330" s="18">
        <f t="shared" si="246"/>
        <v>33333.333333333336</v>
      </c>
      <c r="Z330" s="18">
        <f t="shared" si="247"/>
        <v>33333.333333333336</v>
      </c>
      <c r="AA330" s="18">
        <f t="shared" si="248"/>
        <v>33333.333333333336</v>
      </c>
      <c r="AB330" s="18">
        <f t="shared" si="249"/>
        <v>33333.333333333336</v>
      </c>
      <c r="AC330" s="18">
        <f t="shared" si="250"/>
        <v>33333.333333333336</v>
      </c>
      <c r="AD330" s="18">
        <f t="shared" si="251"/>
        <v>33333.333333333336</v>
      </c>
    </row>
    <row r="331" spans="4:30" x14ac:dyDescent="0.2">
      <c r="D331" s="347" t="str">
        <f>_xlfn.TEXTJOIN(keydelim,TRUE,E331:N331)</f>
        <v>Blue hydrogen (liquid) - LHV - kWh</v>
      </c>
      <c r="F331" t="s">
        <v>593</v>
      </c>
      <c r="N331" t="s">
        <v>332</v>
      </c>
      <c r="Q331" t="s">
        <v>597</v>
      </c>
      <c r="R331" s="77">
        <f t="shared" si="238"/>
        <v>33333.333333333336</v>
      </c>
      <c r="S331" s="18">
        <f t="shared" ref="S331:AD331" si="266">R331</f>
        <v>33333.333333333336</v>
      </c>
      <c r="T331" s="18">
        <f t="shared" si="266"/>
        <v>33333.333333333336</v>
      </c>
      <c r="U331" s="18">
        <f t="shared" si="266"/>
        <v>33333.333333333336</v>
      </c>
      <c r="V331" s="18">
        <f t="shared" si="266"/>
        <v>33333.333333333336</v>
      </c>
      <c r="W331" s="18">
        <f t="shared" si="266"/>
        <v>33333.333333333336</v>
      </c>
      <c r="X331" s="18">
        <f t="shared" si="266"/>
        <v>33333.333333333336</v>
      </c>
      <c r="Y331" s="18">
        <f t="shared" si="266"/>
        <v>33333.333333333336</v>
      </c>
      <c r="Z331" s="18">
        <f t="shared" si="266"/>
        <v>33333.333333333336</v>
      </c>
      <c r="AA331" s="18">
        <f t="shared" si="266"/>
        <v>33333.333333333336</v>
      </c>
      <c r="AB331" s="18">
        <f t="shared" si="266"/>
        <v>33333.333333333336</v>
      </c>
      <c r="AC331" s="18">
        <f t="shared" si="266"/>
        <v>33333.333333333336</v>
      </c>
      <c r="AD331" s="18">
        <f t="shared" si="266"/>
        <v>33333.333333333336</v>
      </c>
    </row>
    <row r="332" spans="4:30" x14ac:dyDescent="0.2">
      <c r="D332" s="347" t="str">
        <f t="shared" ref="D332:D334" si="267">_xlfn.TEXTJOIN(keydelim,TRUE,E332:N332)</f>
        <v>Biomethane - LHV - kWh</v>
      </c>
      <c r="F332" t="s">
        <v>118</v>
      </c>
      <c r="N332" t="s">
        <v>332</v>
      </c>
      <c r="Q332" t="s">
        <v>597</v>
      </c>
      <c r="R332" s="77">
        <f t="shared" si="238"/>
        <v>13888.888888888889</v>
      </c>
      <c r="S332" s="18">
        <f t="shared" ref="S332:S334" si="268">R332</f>
        <v>13888.888888888889</v>
      </c>
      <c r="T332" s="18">
        <f t="shared" ref="T332:T334" si="269">S332</f>
        <v>13888.888888888889</v>
      </c>
      <c r="U332" s="18">
        <f t="shared" ref="U332:U334" si="270">T332</f>
        <v>13888.888888888889</v>
      </c>
      <c r="V332" s="18">
        <f t="shared" ref="V332:V334" si="271">U332</f>
        <v>13888.888888888889</v>
      </c>
      <c r="W332" s="18">
        <f t="shared" ref="W332:W334" si="272">V332</f>
        <v>13888.888888888889</v>
      </c>
      <c r="X332" s="18">
        <f t="shared" ref="X332:X334" si="273">W332</f>
        <v>13888.888888888889</v>
      </c>
      <c r="Y332" s="18">
        <f t="shared" ref="Y332:Y334" si="274">X332</f>
        <v>13888.888888888889</v>
      </c>
      <c r="Z332" s="18">
        <f t="shared" ref="Z332:Z334" si="275">Y332</f>
        <v>13888.888888888889</v>
      </c>
      <c r="AA332" s="18">
        <f t="shared" ref="AA332:AA334" si="276">Z332</f>
        <v>13888.888888888889</v>
      </c>
      <c r="AB332" s="18">
        <f t="shared" ref="AB332:AB334" si="277">AA332</f>
        <v>13888.888888888889</v>
      </c>
      <c r="AC332" s="18">
        <f t="shared" ref="AC332:AC334" si="278">AB332</f>
        <v>13888.888888888889</v>
      </c>
      <c r="AD332" s="18">
        <f t="shared" ref="AD332:AD334" si="279">AC332</f>
        <v>13888.888888888889</v>
      </c>
    </row>
    <row r="333" spans="4:30" x14ac:dyDescent="0.2">
      <c r="D333" s="347" t="str">
        <f t="shared" si="267"/>
        <v>Biodiesel (HtL) - LHV - kWh</v>
      </c>
      <c r="F333" t="s">
        <v>594</v>
      </c>
      <c r="N333" t="s">
        <v>332</v>
      </c>
      <c r="Q333" t="s">
        <v>597</v>
      </c>
      <c r="R333" s="77">
        <f t="shared" si="238"/>
        <v>11861.111111111111</v>
      </c>
      <c r="S333" s="18">
        <f t="shared" si="268"/>
        <v>11861.111111111111</v>
      </c>
      <c r="T333" s="18">
        <f t="shared" si="269"/>
        <v>11861.111111111111</v>
      </c>
      <c r="U333" s="18">
        <f t="shared" si="270"/>
        <v>11861.111111111111</v>
      </c>
      <c r="V333" s="18">
        <f t="shared" si="271"/>
        <v>11861.111111111111</v>
      </c>
      <c r="W333" s="18">
        <f t="shared" si="272"/>
        <v>11861.111111111111</v>
      </c>
      <c r="X333" s="18">
        <f t="shared" si="273"/>
        <v>11861.111111111111</v>
      </c>
      <c r="Y333" s="18">
        <f t="shared" si="274"/>
        <v>11861.111111111111</v>
      </c>
      <c r="Z333" s="18">
        <f t="shared" si="275"/>
        <v>11861.111111111111</v>
      </c>
      <c r="AA333" s="18">
        <f t="shared" si="276"/>
        <v>11861.111111111111</v>
      </c>
      <c r="AB333" s="18">
        <f t="shared" si="277"/>
        <v>11861.111111111111</v>
      </c>
      <c r="AC333" s="18">
        <f t="shared" si="278"/>
        <v>11861.111111111111</v>
      </c>
      <c r="AD333" s="18">
        <f t="shared" si="279"/>
        <v>11861.111111111111</v>
      </c>
    </row>
    <row r="334" spans="4:30" x14ac:dyDescent="0.2">
      <c r="D334" s="347" t="str">
        <f t="shared" si="267"/>
        <v>Biodiesel (Pyr) - LHV - kWh</v>
      </c>
      <c r="F334" t="s">
        <v>123</v>
      </c>
      <c r="N334" t="s">
        <v>332</v>
      </c>
      <c r="Q334" t="s">
        <v>597</v>
      </c>
      <c r="R334" s="77">
        <f t="shared" si="238"/>
        <v>11861.111111111111</v>
      </c>
      <c r="S334" s="18">
        <f t="shared" si="268"/>
        <v>11861.111111111111</v>
      </c>
      <c r="T334" s="18">
        <f t="shared" si="269"/>
        <v>11861.111111111111</v>
      </c>
      <c r="U334" s="18">
        <f t="shared" si="270"/>
        <v>11861.111111111111</v>
      </c>
      <c r="V334" s="18">
        <f t="shared" si="271"/>
        <v>11861.111111111111</v>
      </c>
      <c r="W334" s="18">
        <f t="shared" si="272"/>
        <v>11861.111111111111</v>
      </c>
      <c r="X334" s="18">
        <f t="shared" si="273"/>
        <v>11861.111111111111</v>
      </c>
      <c r="Y334" s="18">
        <f t="shared" si="274"/>
        <v>11861.111111111111</v>
      </c>
      <c r="Z334" s="18">
        <f t="shared" si="275"/>
        <v>11861.111111111111</v>
      </c>
      <c r="AA334" s="18">
        <f t="shared" si="276"/>
        <v>11861.111111111111</v>
      </c>
      <c r="AB334" s="18">
        <f t="shared" si="277"/>
        <v>11861.111111111111</v>
      </c>
      <c r="AC334" s="18">
        <f t="shared" si="278"/>
        <v>11861.111111111111</v>
      </c>
      <c r="AD334" s="18">
        <f t="shared" si="279"/>
        <v>11861.111111111111</v>
      </c>
    </row>
    <row r="335" spans="4:30" x14ac:dyDescent="0.2">
      <c r="D335" s="347" t="str">
        <f t="shared" ref="D335:D336" si="280">_xlfn.TEXTJOIN(keydelim,TRUE,E335:N335)</f>
        <v>Biodiesel (HtL blend) - LHV - kWh</v>
      </c>
      <c r="F335" s="384" t="s">
        <v>595</v>
      </c>
      <c r="N335" t="s">
        <v>332</v>
      </c>
      <c r="Q335" t="s">
        <v>597</v>
      </c>
      <c r="R335" s="77">
        <f t="shared" si="238"/>
        <v>10722.222222222223</v>
      </c>
      <c r="S335" s="18">
        <f t="shared" ref="S335:S336" si="281">R335</f>
        <v>10722.222222222223</v>
      </c>
      <c r="T335" s="18">
        <f t="shared" ref="T335:T336" si="282">S335</f>
        <v>10722.222222222223</v>
      </c>
      <c r="U335" s="18">
        <f t="shared" ref="U335:U336" si="283">T335</f>
        <v>10722.222222222223</v>
      </c>
      <c r="V335" s="18">
        <f t="shared" ref="V335:V336" si="284">U335</f>
        <v>10722.222222222223</v>
      </c>
      <c r="W335" s="18">
        <f t="shared" ref="W335:W336" si="285">V335</f>
        <v>10722.222222222223</v>
      </c>
      <c r="X335" s="18">
        <f t="shared" ref="X335:X336" si="286">W335</f>
        <v>10722.222222222223</v>
      </c>
      <c r="Y335" s="18">
        <f t="shared" ref="Y335:Y336" si="287">X335</f>
        <v>10722.222222222223</v>
      </c>
      <c r="Z335" s="18">
        <f t="shared" ref="Z335:Z336" si="288">Y335</f>
        <v>10722.222222222223</v>
      </c>
      <c r="AA335" s="18">
        <f t="shared" ref="AA335:AA336" si="289">Z335</f>
        <v>10722.222222222223</v>
      </c>
      <c r="AB335" s="18">
        <f t="shared" ref="AB335:AB336" si="290">AA335</f>
        <v>10722.222222222223</v>
      </c>
      <c r="AC335" s="18">
        <f t="shared" ref="AC335:AC336" si="291">AB335</f>
        <v>10722.222222222223</v>
      </c>
      <c r="AD335" s="18">
        <f t="shared" ref="AD335:AD336" si="292">AC335</f>
        <v>10722.222222222223</v>
      </c>
    </row>
    <row r="336" spans="4:30" x14ac:dyDescent="0.2">
      <c r="D336" s="347" t="str">
        <f t="shared" si="280"/>
        <v>Biodiesel (Pyr blend) - LHV - kWh</v>
      </c>
      <c r="F336" s="384" t="s">
        <v>596</v>
      </c>
      <c r="N336" t="s">
        <v>332</v>
      </c>
      <c r="Q336" t="s">
        <v>597</v>
      </c>
      <c r="R336" s="77">
        <f t="shared" si="238"/>
        <v>9522.2222222222226</v>
      </c>
      <c r="S336" s="18">
        <f t="shared" si="281"/>
        <v>9522.2222222222226</v>
      </c>
      <c r="T336" s="18">
        <f t="shared" si="282"/>
        <v>9522.2222222222226</v>
      </c>
      <c r="U336" s="18">
        <f t="shared" si="283"/>
        <v>9522.2222222222226</v>
      </c>
      <c r="V336" s="18">
        <f t="shared" si="284"/>
        <v>9522.2222222222226</v>
      </c>
      <c r="W336" s="18">
        <f t="shared" si="285"/>
        <v>9522.2222222222226</v>
      </c>
      <c r="X336" s="18">
        <f t="shared" si="286"/>
        <v>9522.2222222222226</v>
      </c>
      <c r="Y336" s="18">
        <f t="shared" si="287"/>
        <v>9522.2222222222226</v>
      </c>
      <c r="Z336" s="18">
        <f t="shared" si="288"/>
        <v>9522.2222222222226</v>
      </c>
      <c r="AA336" s="18">
        <f t="shared" si="289"/>
        <v>9522.2222222222226</v>
      </c>
      <c r="AB336" s="18">
        <f t="shared" si="290"/>
        <v>9522.2222222222226</v>
      </c>
      <c r="AC336" s="18">
        <f t="shared" si="291"/>
        <v>9522.2222222222226</v>
      </c>
      <c r="AD336" s="18">
        <f t="shared" si="292"/>
        <v>9522.2222222222226</v>
      </c>
    </row>
    <row r="337" spans="2:30" x14ac:dyDescent="0.2">
      <c r="R337" s="18"/>
      <c r="S337" s="86"/>
      <c r="T337" s="86"/>
      <c r="U337" s="86"/>
      <c r="V337" s="86"/>
      <c r="W337" s="86"/>
      <c r="X337" s="86"/>
      <c r="Y337" s="86"/>
      <c r="Z337" s="86"/>
      <c r="AA337" s="86"/>
      <c r="AB337" s="86"/>
      <c r="AC337" s="86"/>
      <c r="AD337" s="86"/>
    </row>
    <row r="338" spans="2:30" x14ac:dyDescent="0.2">
      <c r="B338" s="49" t="s">
        <v>299</v>
      </c>
      <c r="C338" s="49"/>
      <c r="D338" s="350"/>
      <c r="E338" s="331"/>
      <c r="F338" s="331"/>
      <c r="G338" s="331" t="str">
        <f>B338</f>
        <v>density - volumetric</v>
      </c>
      <c r="H338" s="331"/>
      <c r="I338" s="331"/>
      <c r="J338" s="331"/>
      <c r="K338" s="331"/>
      <c r="L338" s="331"/>
      <c r="M338" s="331"/>
      <c r="N338" s="331"/>
      <c r="O338" s="331"/>
      <c r="P338" s="331"/>
      <c r="Q338" s="331"/>
      <c r="R338" s="331"/>
      <c r="S338" s="331"/>
      <c r="T338" s="331"/>
      <c r="U338" s="331"/>
      <c r="V338" s="331"/>
      <c r="W338" s="331"/>
      <c r="X338" s="331"/>
      <c r="Y338" s="331"/>
      <c r="Z338" s="331"/>
      <c r="AA338" s="331"/>
      <c r="AB338" s="331"/>
      <c r="AC338" s="331"/>
      <c r="AD338" s="331"/>
    </row>
    <row r="339" spans="2:30" x14ac:dyDescent="0.2">
      <c r="D339" s="347" t="str">
        <f t="shared" ref="D339:D354" si="293">_xlfn.TEXTJOIN(keydelim,TRUE,E339:N339)</f>
        <v>LSFO - density - volumetric</v>
      </c>
      <c r="F339" t="s">
        <v>117</v>
      </c>
      <c r="N339" t="str">
        <f t="shared" ref="N339:N360" si="294">_xlfn.TEXTJOIN(keydelim,TRUE,"density","volumetric")</f>
        <v>density - volumetric</v>
      </c>
      <c r="O339" s="383"/>
      <c r="Q339" t="s">
        <v>300</v>
      </c>
      <c r="R339" s="374">
        <v>0.9</v>
      </c>
      <c r="S339" s="24">
        <f t="shared" ref="S339:AD339" si="295">R339</f>
        <v>0.9</v>
      </c>
      <c r="T339" s="24">
        <f t="shared" si="295"/>
        <v>0.9</v>
      </c>
      <c r="U339" s="24">
        <f t="shared" si="295"/>
        <v>0.9</v>
      </c>
      <c r="V339" s="24">
        <f t="shared" si="295"/>
        <v>0.9</v>
      </c>
      <c r="W339" s="24">
        <f t="shared" si="295"/>
        <v>0.9</v>
      </c>
      <c r="X339" s="24">
        <f t="shared" si="295"/>
        <v>0.9</v>
      </c>
      <c r="Y339" s="24">
        <f t="shared" si="295"/>
        <v>0.9</v>
      </c>
      <c r="Z339" s="24">
        <f t="shared" si="295"/>
        <v>0.9</v>
      </c>
      <c r="AA339" s="24">
        <f t="shared" si="295"/>
        <v>0.9</v>
      </c>
      <c r="AB339" s="24">
        <f t="shared" si="295"/>
        <v>0.9</v>
      </c>
      <c r="AC339" s="24">
        <f t="shared" si="295"/>
        <v>0.9</v>
      </c>
      <c r="AD339" s="24">
        <f t="shared" si="295"/>
        <v>0.9</v>
      </c>
    </row>
    <row r="340" spans="2:30" x14ac:dyDescent="0.2">
      <c r="D340" s="347" t="str">
        <f t="shared" si="293"/>
        <v>LNG - density - volumetric</v>
      </c>
      <c r="F340" t="s">
        <v>528</v>
      </c>
      <c r="N340" t="str">
        <f t="shared" si="294"/>
        <v>density - volumetric</v>
      </c>
      <c r="O340" s="383"/>
      <c r="Q340" t="s">
        <v>300</v>
      </c>
      <c r="R340" s="374">
        <v>0.43</v>
      </c>
      <c r="S340" s="24">
        <f t="shared" ref="S340:AD341" si="296">R340</f>
        <v>0.43</v>
      </c>
      <c r="T340" s="24">
        <f t="shared" si="296"/>
        <v>0.43</v>
      </c>
      <c r="U340" s="24">
        <f t="shared" si="296"/>
        <v>0.43</v>
      </c>
      <c r="V340" s="24">
        <f t="shared" si="296"/>
        <v>0.43</v>
      </c>
      <c r="W340" s="24">
        <f t="shared" si="296"/>
        <v>0.43</v>
      </c>
      <c r="X340" s="24">
        <f t="shared" si="296"/>
        <v>0.43</v>
      </c>
      <c r="Y340" s="24">
        <f t="shared" si="296"/>
        <v>0.43</v>
      </c>
      <c r="Z340" s="24">
        <f t="shared" si="296"/>
        <v>0.43</v>
      </c>
      <c r="AA340" s="24">
        <f t="shared" si="296"/>
        <v>0.43</v>
      </c>
      <c r="AB340" s="24">
        <f t="shared" si="296"/>
        <v>0.43</v>
      </c>
      <c r="AC340" s="24">
        <f t="shared" si="296"/>
        <v>0.43</v>
      </c>
      <c r="AD340" s="24">
        <f t="shared" si="296"/>
        <v>0.43</v>
      </c>
    </row>
    <row r="341" spans="2:30" x14ac:dyDescent="0.2">
      <c r="D341" s="347" t="str">
        <f t="shared" ref="D341" si="297">_xlfn.TEXTJOIN(keydelim,TRUE,E341:N341)</f>
        <v>LPG - density - volumetric</v>
      </c>
      <c r="F341" t="s">
        <v>534</v>
      </c>
      <c r="N341" t="str">
        <f t="shared" si="294"/>
        <v>density - volumetric</v>
      </c>
      <c r="O341" s="383"/>
      <c r="Q341" t="s">
        <v>300</v>
      </c>
      <c r="R341" s="374">
        <v>0.50700000000000001</v>
      </c>
      <c r="S341" s="24">
        <f t="shared" si="296"/>
        <v>0.50700000000000001</v>
      </c>
      <c r="T341" s="24">
        <f t="shared" si="296"/>
        <v>0.50700000000000001</v>
      </c>
      <c r="U341" s="24">
        <f t="shared" si="296"/>
        <v>0.50700000000000001</v>
      </c>
      <c r="V341" s="24">
        <f t="shared" si="296"/>
        <v>0.50700000000000001</v>
      </c>
      <c r="W341" s="24">
        <f t="shared" si="296"/>
        <v>0.50700000000000001</v>
      </c>
      <c r="X341" s="24">
        <f t="shared" si="296"/>
        <v>0.50700000000000001</v>
      </c>
      <c r="Y341" s="24">
        <f t="shared" si="296"/>
        <v>0.50700000000000001</v>
      </c>
      <c r="Z341" s="24">
        <f t="shared" si="296"/>
        <v>0.50700000000000001</v>
      </c>
      <c r="AA341" s="24">
        <f t="shared" si="296"/>
        <v>0.50700000000000001</v>
      </c>
      <c r="AB341" s="24">
        <f t="shared" si="296"/>
        <v>0.50700000000000001</v>
      </c>
      <c r="AC341" s="24">
        <f t="shared" si="296"/>
        <v>0.50700000000000001</v>
      </c>
      <c r="AD341" s="24">
        <f t="shared" si="296"/>
        <v>0.50700000000000001</v>
      </c>
    </row>
    <row r="342" spans="2:30" x14ac:dyDescent="0.2">
      <c r="D342" s="347" t="str">
        <f t="shared" si="293"/>
        <v>e-Ammonia - density - volumetric</v>
      </c>
      <c r="F342" t="s">
        <v>121</v>
      </c>
      <c r="N342" t="str">
        <f t="shared" si="294"/>
        <v>density - volumetric</v>
      </c>
      <c r="O342" s="383"/>
      <c r="Q342" t="s">
        <v>300</v>
      </c>
      <c r="R342" s="374">
        <v>0.62250000000000005</v>
      </c>
      <c r="S342" s="24">
        <f t="shared" ref="S342:AD342" si="298">R342</f>
        <v>0.62250000000000005</v>
      </c>
      <c r="T342" s="24">
        <f t="shared" si="298"/>
        <v>0.62250000000000005</v>
      </c>
      <c r="U342" s="24">
        <f t="shared" si="298"/>
        <v>0.62250000000000005</v>
      </c>
      <c r="V342" s="24">
        <f t="shared" si="298"/>
        <v>0.62250000000000005</v>
      </c>
      <c r="W342" s="24">
        <f t="shared" si="298"/>
        <v>0.62250000000000005</v>
      </c>
      <c r="X342" s="24">
        <f t="shared" si="298"/>
        <v>0.62250000000000005</v>
      </c>
      <c r="Y342" s="24">
        <f t="shared" si="298"/>
        <v>0.62250000000000005</v>
      </c>
      <c r="Z342" s="24">
        <f t="shared" si="298"/>
        <v>0.62250000000000005</v>
      </c>
      <c r="AA342" s="24">
        <f t="shared" si="298"/>
        <v>0.62250000000000005</v>
      </c>
      <c r="AB342" s="24">
        <f t="shared" si="298"/>
        <v>0.62250000000000005</v>
      </c>
      <c r="AC342" s="24">
        <f t="shared" si="298"/>
        <v>0.62250000000000005</v>
      </c>
      <c r="AD342" s="24">
        <f t="shared" si="298"/>
        <v>0.62250000000000005</v>
      </c>
    </row>
    <row r="343" spans="2:30" x14ac:dyDescent="0.2">
      <c r="D343" s="347" t="str">
        <f t="shared" si="293"/>
        <v>e-Hydrogen (compressed) - density - volumetric</v>
      </c>
      <c r="F343" t="s">
        <v>584</v>
      </c>
      <c r="N343" t="str">
        <f t="shared" si="294"/>
        <v>density - volumetric</v>
      </c>
      <c r="O343" s="224"/>
      <c r="Q343" t="s">
        <v>300</v>
      </c>
      <c r="R343" s="374">
        <v>2.3E-2</v>
      </c>
      <c r="S343" s="24">
        <f t="shared" ref="S343:AD343" si="299">R343</f>
        <v>2.3E-2</v>
      </c>
      <c r="T343" s="24">
        <f t="shared" si="299"/>
        <v>2.3E-2</v>
      </c>
      <c r="U343" s="24">
        <f t="shared" si="299"/>
        <v>2.3E-2</v>
      </c>
      <c r="V343" s="24">
        <f t="shared" si="299"/>
        <v>2.3E-2</v>
      </c>
      <c r="W343" s="24">
        <f t="shared" si="299"/>
        <v>2.3E-2</v>
      </c>
      <c r="X343" s="24">
        <f t="shared" si="299"/>
        <v>2.3E-2</v>
      </c>
      <c r="Y343" s="24">
        <f t="shared" si="299"/>
        <v>2.3E-2</v>
      </c>
      <c r="Z343" s="24">
        <f t="shared" si="299"/>
        <v>2.3E-2</v>
      </c>
      <c r="AA343" s="24">
        <f t="shared" si="299"/>
        <v>2.3E-2</v>
      </c>
      <c r="AB343" s="24">
        <f t="shared" si="299"/>
        <v>2.3E-2</v>
      </c>
      <c r="AC343" s="24">
        <f t="shared" si="299"/>
        <v>2.3E-2</v>
      </c>
      <c r="AD343" s="24">
        <f t="shared" si="299"/>
        <v>2.3E-2</v>
      </c>
    </row>
    <row r="344" spans="2:30" x14ac:dyDescent="0.2">
      <c r="D344" s="347" t="str">
        <f t="shared" si="293"/>
        <v>e-Hydrogen (liquid) - density - volumetric</v>
      </c>
      <c r="F344" t="s">
        <v>585</v>
      </c>
      <c r="N344" t="str">
        <f t="shared" si="294"/>
        <v>density - volumetric</v>
      </c>
      <c r="O344" s="224"/>
      <c r="Q344" t="s">
        <v>300</v>
      </c>
      <c r="R344" s="374">
        <v>7.0999999999999994E-2</v>
      </c>
      <c r="S344" s="24">
        <f t="shared" ref="S344:AD344" si="300">R344</f>
        <v>7.0999999999999994E-2</v>
      </c>
      <c r="T344" s="24">
        <f t="shared" si="300"/>
        <v>7.0999999999999994E-2</v>
      </c>
      <c r="U344" s="24">
        <f t="shared" si="300"/>
        <v>7.0999999999999994E-2</v>
      </c>
      <c r="V344" s="24">
        <f t="shared" si="300"/>
        <v>7.0999999999999994E-2</v>
      </c>
      <c r="W344" s="24">
        <f t="shared" si="300"/>
        <v>7.0999999999999994E-2</v>
      </c>
      <c r="X344" s="24">
        <f t="shared" si="300"/>
        <v>7.0999999999999994E-2</v>
      </c>
      <c r="Y344" s="24">
        <f t="shared" si="300"/>
        <v>7.0999999999999994E-2</v>
      </c>
      <c r="Z344" s="24">
        <f t="shared" si="300"/>
        <v>7.0999999999999994E-2</v>
      </c>
      <c r="AA344" s="24">
        <f t="shared" si="300"/>
        <v>7.0999999999999994E-2</v>
      </c>
      <c r="AB344" s="24">
        <f t="shared" si="300"/>
        <v>7.0999999999999994E-2</v>
      </c>
      <c r="AC344" s="24">
        <f t="shared" si="300"/>
        <v>7.0999999999999994E-2</v>
      </c>
      <c r="AD344" s="24">
        <f t="shared" si="300"/>
        <v>7.0999999999999994E-2</v>
      </c>
    </row>
    <row r="345" spans="2:30" x14ac:dyDescent="0.2">
      <c r="D345" s="347" t="str">
        <f t="shared" si="293"/>
        <v>Biomethanol - density - volumetric</v>
      </c>
      <c r="F345" t="s">
        <v>586</v>
      </c>
      <c r="N345" t="str">
        <f t="shared" si="294"/>
        <v>density - volumetric</v>
      </c>
      <c r="Q345" t="s">
        <v>300</v>
      </c>
      <c r="R345" s="374">
        <v>0.79</v>
      </c>
      <c r="S345" s="24">
        <f t="shared" ref="S345:AD345" si="301">R345</f>
        <v>0.79</v>
      </c>
      <c r="T345" s="24">
        <f t="shared" si="301"/>
        <v>0.79</v>
      </c>
      <c r="U345" s="24">
        <f t="shared" si="301"/>
        <v>0.79</v>
      </c>
      <c r="V345" s="24">
        <f t="shared" si="301"/>
        <v>0.79</v>
      </c>
      <c r="W345" s="24">
        <f t="shared" si="301"/>
        <v>0.79</v>
      </c>
      <c r="X345" s="24">
        <f t="shared" si="301"/>
        <v>0.79</v>
      </c>
      <c r="Y345" s="24">
        <f t="shared" si="301"/>
        <v>0.79</v>
      </c>
      <c r="Z345" s="24">
        <f t="shared" si="301"/>
        <v>0.79</v>
      </c>
      <c r="AA345" s="24">
        <f t="shared" si="301"/>
        <v>0.79</v>
      </c>
      <c r="AB345" s="24">
        <f t="shared" si="301"/>
        <v>0.79</v>
      </c>
      <c r="AC345" s="24">
        <f t="shared" si="301"/>
        <v>0.79</v>
      </c>
      <c r="AD345" s="24">
        <f t="shared" si="301"/>
        <v>0.79</v>
      </c>
    </row>
    <row r="346" spans="2:30" x14ac:dyDescent="0.2">
      <c r="D346" s="347" t="str">
        <f t="shared" si="293"/>
        <v>Electricity - density - volumetric</v>
      </c>
      <c r="F346" t="s">
        <v>54</v>
      </c>
      <c r="N346" t="str">
        <f t="shared" si="294"/>
        <v>density - volumetric</v>
      </c>
      <c r="Q346" t="s">
        <v>300</v>
      </c>
      <c r="R346" s="374">
        <v>1</v>
      </c>
      <c r="S346" s="24">
        <f t="shared" ref="S346:AD346" si="302">R346</f>
        <v>1</v>
      </c>
      <c r="T346" s="24">
        <f t="shared" si="302"/>
        <v>1</v>
      </c>
      <c r="U346" s="24">
        <f t="shared" si="302"/>
        <v>1</v>
      </c>
      <c r="V346" s="24">
        <f t="shared" si="302"/>
        <v>1</v>
      </c>
      <c r="W346" s="24">
        <f t="shared" si="302"/>
        <v>1</v>
      </c>
      <c r="X346" s="24">
        <f t="shared" si="302"/>
        <v>1</v>
      </c>
      <c r="Y346" s="24">
        <f t="shared" si="302"/>
        <v>1</v>
      </c>
      <c r="Z346" s="24">
        <f t="shared" si="302"/>
        <v>1</v>
      </c>
      <c r="AA346" s="24">
        <f t="shared" si="302"/>
        <v>1</v>
      </c>
      <c r="AB346" s="24">
        <f t="shared" si="302"/>
        <v>1</v>
      </c>
      <c r="AC346" s="24">
        <f t="shared" si="302"/>
        <v>1</v>
      </c>
      <c r="AD346" s="24">
        <f t="shared" si="302"/>
        <v>1</v>
      </c>
    </row>
    <row r="347" spans="2:30" x14ac:dyDescent="0.2">
      <c r="D347" s="347" t="str">
        <f t="shared" si="293"/>
        <v>e-Methanol (DAC) - density - volumetric</v>
      </c>
      <c r="F347" t="s">
        <v>587</v>
      </c>
      <c r="N347" t="str">
        <f t="shared" si="294"/>
        <v>density - volumetric</v>
      </c>
      <c r="Q347" t="s">
        <v>300</v>
      </c>
      <c r="R347" s="374">
        <v>0.79100000000000004</v>
      </c>
      <c r="S347" s="24">
        <f t="shared" ref="S347:AD347" si="303">R347</f>
        <v>0.79100000000000004</v>
      </c>
      <c r="T347" s="24">
        <f t="shared" si="303"/>
        <v>0.79100000000000004</v>
      </c>
      <c r="U347" s="24">
        <f t="shared" si="303"/>
        <v>0.79100000000000004</v>
      </c>
      <c r="V347" s="24">
        <f t="shared" si="303"/>
        <v>0.79100000000000004</v>
      </c>
      <c r="W347" s="24">
        <f t="shared" si="303"/>
        <v>0.79100000000000004</v>
      </c>
      <c r="X347" s="24">
        <f t="shared" si="303"/>
        <v>0.79100000000000004</v>
      </c>
      <c r="Y347" s="24">
        <f t="shared" si="303"/>
        <v>0.79100000000000004</v>
      </c>
      <c r="Z347" s="24">
        <f t="shared" si="303"/>
        <v>0.79100000000000004</v>
      </c>
      <c r="AA347" s="24">
        <f t="shared" si="303"/>
        <v>0.79100000000000004</v>
      </c>
      <c r="AB347" s="24">
        <f t="shared" si="303"/>
        <v>0.79100000000000004</v>
      </c>
      <c r="AC347" s="24">
        <f t="shared" si="303"/>
        <v>0.79100000000000004</v>
      </c>
      <c r="AD347" s="24">
        <f t="shared" si="303"/>
        <v>0.79100000000000004</v>
      </c>
    </row>
    <row r="348" spans="2:30" x14ac:dyDescent="0.2">
      <c r="D348" s="347" t="str">
        <f t="shared" si="293"/>
        <v>e-Methanol (PS) - density - volumetric</v>
      </c>
      <c r="F348" t="s">
        <v>119</v>
      </c>
      <c r="N348" t="str">
        <f t="shared" si="294"/>
        <v>density - volumetric</v>
      </c>
      <c r="Q348" t="s">
        <v>300</v>
      </c>
      <c r="R348" s="76">
        <f>R$347</f>
        <v>0.79100000000000004</v>
      </c>
      <c r="S348" s="24">
        <f t="shared" ref="S348:AD348" si="304">R348</f>
        <v>0.79100000000000004</v>
      </c>
      <c r="T348" s="24">
        <f t="shared" si="304"/>
        <v>0.79100000000000004</v>
      </c>
      <c r="U348" s="24">
        <f t="shared" si="304"/>
        <v>0.79100000000000004</v>
      </c>
      <c r="V348" s="24">
        <f t="shared" si="304"/>
        <v>0.79100000000000004</v>
      </c>
      <c r="W348" s="24">
        <f t="shared" si="304"/>
        <v>0.79100000000000004</v>
      </c>
      <c r="X348" s="24">
        <f t="shared" si="304"/>
        <v>0.79100000000000004</v>
      </c>
      <c r="Y348" s="24">
        <f t="shared" si="304"/>
        <v>0.79100000000000004</v>
      </c>
      <c r="Z348" s="24">
        <f t="shared" si="304"/>
        <v>0.79100000000000004</v>
      </c>
      <c r="AA348" s="24">
        <f t="shared" si="304"/>
        <v>0.79100000000000004</v>
      </c>
      <c r="AB348" s="24">
        <f t="shared" si="304"/>
        <v>0.79100000000000004</v>
      </c>
      <c r="AC348" s="24">
        <f t="shared" si="304"/>
        <v>0.79100000000000004</v>
      </c>
      <c r="AD348" s="24">
        <f t="shared" si="304"/>
        <v>0.79100000000000004</v>
      </c>
    </row>
    <row r="349" spans="2:30" x14ac:dyDescent="0.2">
      <c r="D349" s="347" t="str">
        <f t="shared" si="293"/>
        <v>e-Diesel (DAC) - density - volumetric</v>
      </c>
      <c r="F349" t="s">
        <v>588</v>
      </c>
      <c r="N349" t="str">
        <f t="shared" si="294"/>
        <v>density - volumetric</v>
      </c>
      <c r="Q349" t="s">
        <v>300</v>
      </c>
      <c r="R349" s="76">
        <f>R$339</f>
        <v>0.9</v>
      </c>
      <c r="S349" s="24">
        <f t="shared" ref="S349:S354" si="305">R349</f>
        <v>0.9</v>
      </c>
      <c r="T349" s="24">
        <f t="shared" ref="T349:T354" si="306">S349</f>
        <v>0.9</v>
      </c>
      <c r="U349" s="24">
        <f t="shared" ref="U349:U354" si="307">T349</f>
        <v>0.9</v>
      </c>
      <c r="V349" s="24">
        <f t="shared" ref="V349:V354" si="308">U349</f>
        <v>0.9</v>
      </c>
      <c r="W349" s="24">
        <f t="shared" ref="W349:W354" si="309">V349</f>
        <v>0.9</v>
      </c>
      <c r="X349" s="24">
        <f t="shared" ref="X349:X354" si="310">W349</f>
        <v>0.9</v>
      </c>
      <c r="Y349" s="24">
        <f t="shared" ref="Y349:Y354" si="311">X349</f>
        <v>0.9</v>
      </c>
      <c r="Z349" s="24">
        <f t="shared" ref="Z349:Z354" si="312">Y349</f>
        <v>0.9</v>
      </c>
      <c r="AA349" s="24">
        <f t="shared" ref="AA349:AA354" si="313">Z349</f>
        <v>0.9</v>
      </c>
      <c r="AB349" s="24">
        <f t="shared" ref="AB349:AB354" si="314">AA349</f>
        <v>0.9</v>
      </c>
      <c r="AC349" s="24">
        <f t="shared" ref="AC349:AC354" si="315">AB349</f>
        <v>0.9</v>
      </c>
      <c r="AD349" s="24">
        <f t="shared" ref="AD349:AD354" si="316">AC349</f>
        <v>0.9</v>
      </c>
    </row>
    <row r="350" spans="2:30" x14ac:dyDescent="0.2">
      <c r="D350" s="347" t="str">
        <f t="shared" si="293"/>
        <v>e-Diesel (PS) - density - volumetric</v>
      </c>
      <c r="F350" t="s">
        <v>589</v>
      </c>
      <c r="N350" t="str">
        <f t="shared" si="294"/>
        <v>density - volumetric</v>
      </c>
      <c r="Q350" t="s">
        <v>300</v>
      </c>
      <c r="R350" s="76">
        <f>R$339</f>
        <v>0.9</v>
      </c>
      <c r="S350" s="24">
        <f t="shared" si="305"/>
        <v>0.9</v>
      </c>
      <c r="T350" s="24">
        <f t="shared" si="306"/>
        <v>0.9</v>
      </c>
      <c r="U350" s="24">
        <f t="shared" si="307"/>
        <v>0.9</v>
      </c>
      <c r="V350" s="24">
        <f t="shared" si="308"/>
        <v>0.9</v>
      </c>
      <c r="W350" s="24">
        <f t="shared" si="309"/>
        <v>0.9</v>
      </c>
      <c r="X350" s="24">
        <f t="shared" si="310"/>
        <v>0.9</v>
      </c>
      <c r="Y350" s="24">
        <f t="shared" si="311"/>
        <v>0.9</v>
      </c>
      <c r="Z350" s="24">
        <f t="shared" si="312"/>
        <v>0.9</v>
      </c>
      <c r="AA350" s="24">
        <f t="shared" si="313"/>
        <v>0.9</v>
      </c>
      <c r="AB350" s="24">
        <f t="shared" si="314"/>
        <v>0.9</v>
      </c>
      <c r="AC350" s="24">
        <f t="shared" si="315"/>
        <v>0.9</v>
      </c>
      <c r="AD350" s="24">
        <f t="shared" si="316"/>
        <v>0.9</v>
      </c>
    </row>
    <row r="351" spans="2:30" x14ac:dyDescent="0.2">
      <c r="D351" s="347" t="str">
        <f t="shared" si="293"/>
        <v>e-Methane (DAC) - density - volumetric</v>
      </c>
      <c r="F351" t="s">
        <v>590</v>
      </c>
      <c r="N351" t="str">
        <f t="shared" si="294"/>
        <v>density - volumetric</v>
      </c>
      <c r="Q351" t="s">
        <v>300</v>
      </c>
      <c r="R351" s="76">
        <f>R$340</f>
        <v>0.43</v>
      </c>
      <c r="S351" s="24">
        <f t="shared" si="305"/>
        <v>0.43</v>
      </c>
      <c r="T351" s="24">
        <f t="shared" si="306"/>
        <v>0.43</v>
      </c>
      <c r="U351" s="24">
        <f t="shared" si="307"/>
        <v>0.43</v>
      </c>
      <c r="V351" s="24">
        <f t="shared" si="308"/>
        <v>0.43</v>
      </c>
      <c r="W351" s="24">
        <f t="shared" si="309"/>
        <v>0.43</v>
      </c>
      <c r="X351" s="24">
        <f t="shared" si="310"/>
        <v>0.43</v>
      </c>
      <c r="Y351" s="24">
        <f t="shared" si="311"/>
        <v>0.43</v>
      </c>
      <c r="Z351" s="24">
        <f t="shared" si="312"/>
        <v>0.43</v>
      </c>
      <c r="AA351" s="24">
        <f t="shared" si="313"/>
        <v>0.43</v>
      </c>
      <c r="AB351" s="24">
        <f t="shared" si="314"/>
        <v>0.43</v>
      </c>
      <c r="AC351" s="24">
        <f t="shared" si="315"/>
        <v>0.43</v>
      </c>
      <c r="AD351" s="24">
        <f t="shared" si="316"/>
        <v>0.43</v>
      </c>
    </row>
    <row r="352" spans="2:30" x14ac:dyDescent="0.2">
      <c r="D352" s="347" t="str">
        <f t="shared" si="293"/>
        <v>e-Methane (PS) - density - volumetric</v>
      </c>
      <c r="F352" t="s">
        <v>591</v>
      </c>
      <c r="N352" t="str">
        <f t="shared" si="294"/>
        <v>density - volumetric</v>
      </c>
      <c r="Q352" t="s">
        <v>300</v>
      </c>
      <c r="R352" s="76">
        <f t="shared" ref="R352" si="317">R$340</f>
        <v>0.43</v>
      </c>
      <c r="S352" s="24">
        <f t="shared" si="305"/>
        <v>0.43</v>
      </c>
      <c r="T352" s="24">
        <f t="shared" si="306"/>
        <v>0.43</v>
      </c>
      <c r="U352" s="24">
        <f t="shared" si="307"/>
        <v>0.43</v>
      </c>
      <c r="V352" s="24">
        <f t="shared" si="308"/>
        <v>0.43</v>
      </c>
      <c r="W352" s="24">
        <f t="shared" si="309"/>
        <v>0.43</v>
      </c>
      <c r="X352" s="24">
        <f t="shared" si="310"/>
        <v>0.43</v>
      </c>
      <c r="Y352" s="24">
        <f t="shared" si="311"/>
        <v>0.43</v>
      </c>
      <c r="Z352" s="24">
        <f t="shared" si="312"/>
        <v>0.43</v>
      </c>
      <c r="AA352" s="24">
        <f t="shared" si="313"/>
        <v>0.43</v>
      </c>
      <c r="AB352" s="24">
        <f t="shared" si="314"/>
        <v>0.43</v>
      </c>
      <c r="AC352" s="24">
        <f t="shared" si="315"/>
        <v>0.43</v>
      </c>
      <c r="AD352" s="24">
        <f t="shared" si="316"/>
        <v>0.43</v>
      </c>
    </row>
    <row r="353" spans="2:30" x14ac:dyDescent="0.2">
      <c r="D353" s="347" t="str">
        <f t="shared" si="293"/>
        <v>Blue ammonia - density - volumetric</v>
      </c>
      <c r="F353" t="s">
        <v>120</v>
      </c>
      <c r="N353" t="str">
        <f t="shared" si="294"/>
        <v>density - volumetric</v>
      </c>
      <c r="Q353" t="s">
        <v>300</v>
      </c>
      <c r="R353" s="76">
        <f>R$342</f>
        <v>0.62250000000000005</v>
      </c>
      <c r="S353" s="24">
        <f t="shared" si="305"/>
        <v>0.62250000000000005</v>
      </c>
      <c r="T353" s="24">
        <f t="shared" si="306"/>
        <v>0.62250000000000005</v>
      </c>
      <c r="U353" s="24">
        <f t="shared" si="307"/>
        <v>0.62250000000000005</v>
      </c>
      <c r="V353" s="24">
        <f t="shared" si="308"/>
        <v>0.62250000000000005</v>
      </c>
      <c r="W353" s="24">
        <f t="shared" si="309"/>
        <v>0.62250000000000005</v>
      </c>
      <c r="X353" s="24">
        <f t="shared" si="310"/>
        <v>0.62250000000000005</v>
      </c>
      <c r="Y353" s="24">
        <f t="shared" si="311"/>
        <v>0.62250000000000005</v>
      </c>
      <c r="Z353" s="24">
        <f t="shared" si="312"/>
        <v>0.62250000000000005</v>
      </c>
      <c r="AA353" s="24">
        <f t="shared" si="313"/>
        <v>0.62250000000000005</v>
      </c>
      <c r="AB353" s="24">
        <f t="shared" si="314"/>
        <v>0.62250000000000005</v>
      </c>
      <c r="AC353" s="24">
        <f t="shared" si="315"/>
        <v>0.62250000000000005</v>
      </c>
      <c r="AD353" s="24">
        <f t="shared" si="316"/>
        <v>0.62250000000000005</v>
      </c>
    </row>
    <row r="354" spans="2:30" x14ac:dyDescent="0.2">
      <c r="D354" s="347" t="str">
        <f t="shared" si="293"/>
        <v>Blue hydrogen (compressed) - density - volumetric</v>
      </c>
      <c r="F354" t="s">
        <v>592</v>
      </c>
      <c r="N354" t="str">
        <f t="shared" si="294"/>
        <v>density - volumetric</v>
      </c>
      <c r="Q354" t="s">
        <v>300</v>
      </c>
      <c r="R354" s="76">
        <f>R$343</f>
        <v>2.3E-2</v>
      </c>
      <c r="S354" s="24">
        <f t="shared" si="305"/>
        <v>2.3E-2</v>
      </c>
      <c r="T354" s="24">
        <f t="shared" si="306"/>
        <v>2.3E-2</v>
      </c>
      <c r="U354" s="24">
        <f t="shared" si="307"/>
        <v>2.3E-2</v>
      </c>
      <c r="V354" s="24">
        <f t="shared" si="308"/>
        <v>2.3E-2</v>
      </c>
      <c r="W354" s="24">
        <f t="shared" si="309"/>
        <v>2.3E-2</v>
      </c>
      <c r="X354" s="24">
        <f t="shared" si="310"/>
        <v>2.3E-2</v>
      </c>
      <c r="Y354" s="24">
        <f t="shared" si="311"/>
        <v>2.3E-2</v>
      </c>
      <c r="Z354" s="24">
        <f t="shared" si="312"/>
        <v>2.3E-2</v>
      </c>
      <c r="AA354" s="24">
        <f t="shared" si="313"/>
        <v>2.3E-2</v>
      </c>
      <c r="AB354" s="24">
        <f t="shared" si="314"/>
        <v>2.3E-2</v>
      </c>
      <c r="AC354" s="24">
        <f t="shared" si="315"/>
        <v>2.3E-2</v>
      </c>
      <c r="AD354" s="24">
        <f t="shared" si="316"/>
        <v>2.3E-2</v>
      </c>
    </row>
    <row r="355" spans="2:30" x14ac:dyDescent="0.2">
      <c r="D355" s="347" t="str">
        <f t="shared" ref="D355:D358" si="318">_xlfn.TEXTJOIN(keydelim,TRUE,E355:N355)</f>
        <v>Blue hydrogen (liquid) - density - volumetric</v>
      </c>
      <c r="F355" t="s">
        <v>593</v>
      </c>
      <c r="N355" t="str">
        <f t="shared" si="294"/>
        <v>density - volumetric</v>
      </c>
      <c r="Q355" t="s">
        <v>300</v>
      </c>
      <c r="R355" s="76">
        <f>R$344</f>
        <v>7.0999999999999994E-2</v>
      </c>
      <c r="S355" s="24">
        <f t="shared" ref="S355:AD355" si="319">R355</f>
        <v>7.0999999999999994E-2</v>
      </c>
      <c r="T355" s="24">
        <f t="shared" si="319"/>
        <v>7.0999999999999994E-2</v>
      </c>
      <c r="U355" s="24">
        <f t="shared" si="319"/>
        <v>7.0999999999999994E-2</v>
      </c>
      <c r="V355" s="24">
        <f t="shared" si="319"/>
        <v>7.0999999999999994E-2</v>
      </c>
      <c r="W355" s="24">
        <f t="shared" si="319"/>
        <v>7.0999999999999994E-2</v>
      </c>
      <c r="X355" s="24">
        <f t="shared" si="319"/>
        <v>7.0999999999999994E-2</v>
      </c>
      <c r="Y355" s="24">
        <f t="shared" si="319"/>
        <v>7.0999999999999994E-2</v>
      </c>
      <c r="Z355" s="24">
        <f t="shared" si="319"/>
        <v>7.0999999999999994E-2</v>
      </c>
      <c r="AA355" s="24">
        <f t="shared" si="319"/>
        <v>7.0999999999999994E-2</v>
      </c>
      <c r="AB355" s="24">
        <f t="shared" si="319"/>
        <v>7.0999999999999994E-2</v>
      </c>
      <c r="AC355" s="24">
        <f t="shared" si="319"/>
        <v>7.0999999999999994E-2</v>
      </c>
      <c r="AD355" s="24">
        <f t="shared" si="319"/>
        <v>7.0999999999999994E-2</v>
      </c>
    </row>
    <row r="356" spans="2:30" x14ac:dyDescent="0.2">
      <c r="D356" s="347" t="str">
        <f t="shared" si="318"/>
        <v>Biomethane - density - volumetric</v>
      </c>
      <c r="F356" t="s">
        <v>118</v>
      </c>
      <c r="N356" t="str">
        <f t="shared" si="294"/>
        <v>density - volumetric</v>
      </c>
      <c r="Q356" t="s">
        <v>300</v>
      </c>
      <c r="R356" s="76">
        <f>R$340</f>
        <v>0.43</v>
      </c>
      <c r="S356" s="24">
        <f t="shared" ref="S356:AD356" si="320">R356</f>
        <v>0.43</v>
      </c>
      <c r="T356" s="24">
        <f t="shared" si="320"/>
        <v>0.43</v>
      </c>
      <c r="U356" s="24">
        <f t="shared" si="320"/>
        <v>0.43</v>
      </c>
      <c r="V356" s="24">
        <f t="shared" si="320"/>
        <v>0.43</v>
      </c>
      <c r="W356" s="24">
        <f t="shared" si="320"/>
        <v>0.43</v>
      </c>
      <c r="X356" s="24">
        <f t="shared" si="320"/>
        <v>0.43</v>
      </c>
      <c r="Y356" s="24">
        <f t="shared" si="320"/>
        <v>0.43</v>
      </c>
      <c r="Z356" s="24">
        <f t="shared" si="320"/>
        <v>0.43</v>
      </c>
      <c r="AA356" s="24">
        <f t="shared" si="320"/>
        <v>0.43</v>
      </c>
      <c r="AB356" s="24">
        <f t="shared" si="320"/>
        <v>0.43</v>
      </c>
      <c r="AC356" s="24">
        <f t="shared" si="320"/>
        <v>0.43</v>
      </c>
      <c r="AD356" s="24">
        <f t="shared" si="320"/>
        <v>0.43</v>
      </c>
    </row>
    <row r="357" spans="2:30" x14ac:dyDescent="0.2">
      <c r="D357" s="347" t="str">
        <f t="shared" si="318"/>
        <v>Biodiesel (HtL) - density - volumetric</v>
      </c>
      <c r="F357" t="s">
        <v>594</v>
      </c>
      <c r="N357" t="str">
        <f t="shared" si="294"/>
        <v>density - volumetric</v>
      </c>
      <c r="Q357" t="s">
        <v>300</v>
      </c>
      <c r="R357" s="76">
        <f>R$339</f>
        <v>0.9</v>
      </c>
      <c r="S357" s="24">
        <f t="shared" ref="S357:AD357" si="321">R357</f>
        <v>0.9</v>
      </c>
      <c r="T357" s="24">
        <f t="shared" si="321"/>
        <v>0.9</v>
      </c>
      <c r="U357" s="24">
        <f t="shared" si="321"/>
        <v>0.9</v>
      </c>
      <c r="V357" s="24">
        <f t="shared" si="321"/>
        <v>0.9</v>
      </c>
      <c r="W357" s="24">
        <f t="shared" si="321"/>
        <v>0.9</v>
      </c>
      <c r="X357" s="24">
        <f t="shared" si="321"/>
        <v>0.9</v>
      </c>
      <c r="Y357" s="24">
        <f t="shared" si="321"/>
        <v>0.9</v>
      </c>
      <c r="Z357" s="24">
        <f t="shared" si="321"/>
        <v>0.9</v>
      </c>
      <c r="AA357" s="24">
        <f t="shared" si="321"/>
        <v>0.9</v>
      </c>
      <c r="AB357" s="24">
        <f t="shared" si="321"/>
        <v>0.9</v>
      </c>
      <c r="AC357" s="24">
        <f t="shared" si="321"/>
        <v>0.9</v>
      </c>
      <c r="AD357" s="24">
        <f t="shared" si="321"/>
        <v>0.9</v>
      </c>
    </row>
    <row r="358" spans="2:30" x14ac:dyDescent="0.2">
      <c r="D358" s="347" t="str">
        <f t="shared" si="318"/>
        <v>Biodiesel (Pyr) - density - volumetric</v>
      </c>
      <c r="F358" t="s">
        <v>123</v>
      </c>
      <c r="N358" t="str">
        <f t="shared" si="294"/>
        <v>density - volumetric</v>
      </c>
      <c r="Q358" t="s">
        <v>300</v>
      </c>
      <c r="R358" s="76">
        <f t="shared" ref="R358:R360" si="322">R$339</f>
        <v>0.9</v>
      </c>
      <c r="S358" s="24">
        <f t="shared" ref="S358:AD359" si="323">R358</f>
        <v>0.9</v>
      </c>
      <c r="T358" s="24">
        <f t="shared" si="323"/>
        <v>0.9</v>
      </c>
      <c r="U358" s="24">
        <f t="shared" si="323"/>
        <v>0.9</v>
      </c>
      <c r="V358" s="24">
        <f t="shared" si="323"/>
        <v>0.9</v>
      </c>
      <c r="W358" s="24">
        <f t="shared" si="323"/>
        <v>0.9</v>
      </c>
      <c r="X358" s="24">
        <f t="shared" si="323"/>
        <v>0.9</v>
      </c>
      <c r="Y358" s="24">
        <f t="shared" si="323"/>
        <v>0.9</v>
      </c>
      <c r="Z358" s="24">
        <f t="shared" si="323"/>
        <v>0.9</v>
      </c>
      <c r="AA358" s="24">
        <f t="shared" si="323"/>
        <v>0.9</v>
      </c>
      <c r="AB358" s="24">
        <f t="shared" si="323"/>
        <v>0.9</v>
      </c>
      <c r="AC358" s="24">
        <f t="shared" si="323"/>
        <v>0.9</v>
      </c>
      <c r="AD358" s="24">
        <f t="shared" si="323"/>
        <v>0.9</v>
      </c>
    </row>
    <row r="359" spans="2:30" x14ac:dyDescent="0.2">
      <c r="D359" s="347" t="str">
        <f t="shared" ref="D359:D360" si="324">_xlfn.TEXTJOIN(keydelim,TRUE,E359:N359)</f>
        <v>Biodiesel (HtL blend) - density - volumetric</v>
      </c>
      <c r="F359" s="384" t="s">
        <v>595</v>
      </c>
      <c r="N359" t="str">
        <f t="shared" si="294"/>
        <v>density - volumetric</v>
      </c>
      <c r="Q359" t="s">
        <v>300</v>
      </c>
      <c r="R359" s="76">
        <f t="shared" si="322"/>
        <v>0.9</v>
      </c>
      <c r="S359" s="24">
        <f t="shared" si="323"/>
        <v>0.9</v>
      </c>
      <c r="T359" s="24">
        <f t="shared" si="323"/>
        <v>0.9</v>
      </c>
      <c r="U359" s="24">
        <f t="shared" si="323"/>
        <v>0.9</v>
      </c>
      <c r="V359" s="24">
        <f t="shared" si="323"/>
        <v>0.9</v>
      </c>
      <c r="W359" s="24">
        <f t="shared" si="323"/>
        <v>0.9</v>
      </c>
      <c r="X359" s="24">
        <f t="shared" si="323"/>
        <v>0.9</v>
      </c>
      <c r="Y359" s="24">
        <f t="shared" si="323"/>
        <v>0.9</v>
      </c>
      <c r="Z359" s="24">
        <f t="shared" si="323"/>
        <v>0.9</v>
      </c>
      <c r="AA359" s="24">
        <f t="shared" si="323"/>
        <v>0.9</v>
      </c>
      <c r="AB359" s="24">
        <f t="shared" si="323"/>
        <v>0.9</v>
      </c>
      <c r="AC359" s="24">
        <f t="shared" si="323"/>
        <v>0.9</v>
      </c>
      <c r="AD359" s="24">
        <f t="shared" si="323"/>
        <v>0.9</v>
      </c>
    </row>
    <row r="360" spans="2:30" x14ac:dyDescent="0.2">
      <c r="D360" s="347" t="str">
        <f t="shared" si="324"/>
        <v>Biodiesel (Pyr blend) - density - volumetric</v>
      </c>
      <c r="F360" s="384" t="s">
        <v>596</v>
      </c>
      <c r="N360" t="str">
        <f t="shared" si="294"/>
        <v>density - volumetric</v>
      </c>
      <c r="Q360" t="s">
        <v>300</v>
      </c>
      <c r="R360" s="76">
        <f t="shared" si="322"/>
        <v>0.9</v>
      </c>
      <c r="S360" s="24">
        <f t="shared" ref="S360" si="325">R360</f>
        <v>0.9</v>
      </c>
      <c r="T360" s="24">
        <f t="shared" ref="T360" si="326">S360</f>
        <v>0.9</v>
      </c>
      <c r="U360" s="24">
        <f t="shared" ref="U360" si="327">T360</f>
        <v>0.9</v>
      </c>
      <c r="V360" s="24">
        <f t="shared" ref="V360" si="328">U360</f>
        <v>0.9</v>
      </c>
      <c r="W360" s="24">
        <f t="shared" ref="W360" si="329">V360</f>
        <v>0.9</v>
      </c>
      <c r="X360" s="24">
        <f t="shared" ref="X360" si="330">W360</f>
        <v>0.9</v>
      </c>
      <c r="Y360" s="24">
        <f t="shared" ref="Y360" si="331">X360</f>
        <v>0.9</v>
      </c>
      <c r="Z360" s="24">
        <f t="shared" ref="Z360" si="332">Y360</f>
        <v>0.9</v>
      </c>
      <c r="AA360" s="24">
        <f t="shared" ref="AA360" si="333">Z360</f>
        <v>0.9</v>
      </c>
      <c r="AB360" s="24">
        <f t="shared" ref="AB360" si="334">AA360</f>
        <v>0.9</v>
      </c>
      <c r="AC360" s="24">
        <f t="shared" ref="AC360" si="335">AB360</f>
        <v>0.9</v>
      </c>
      <c r="AD360" s="24">
        <f t="shared" ref="AD360" si="336">AC360</f>
        <v>0.9</v>
      </c>
    </row>
    <row r="361" spans="2:30" x14ac:dyDescent="0.2">
      <c r="F361" s="48"/>
      <c r="R361" s="24"/>
      <c r="S361" s="24"/>
      <c r="T361" s="24"/>
      <c r="U361" s="24"/>
      <c r="V361" s="24"/>
      <c r="W361" s="24"/>
      <c r="X361" s="24"/>
      <c r="Y361" s="24"/>
      <c r="Z361" s="24"/>
      <c r="AA361" s="24"/>
      <c r="AB361" s="24"/>
      <c r="AC361" s="24"/>
      <c r="AD361" s="24"/>
    </row>
    <row r="362" spans="2:30" x14ac:dyDescent="0.2">
      <c r="F362" s="48"/>
      <c r="R362" s="24"/>
      <c r="S362" s="24"/>
      <c r="T362" s="24"/>
      <c r="U362" s="24"/>
      <c r="V362" s="24"/>
      <c r="W362" s="24"/>
      <c r="X362" s="24"/>
      <c r="Y362" s="24"/>
      <c r="Z362" s="24"/>
      <c r="AA362" s="24"/>
      <c r="AB362" s="24"/>
      <c r="AC362" s="24"/>
      <c r="AD362" s="24"/>
    </row>
    <row r="363" spans="2:30" x14ac:dyDescent="0.2">
      <c r="F363" s="48"/>
      <c r="R363" s="24"/>
      <c r="S363" s="24"/>
      <c r="T363" s="24"/>
      <c r="U363" s="24"/>
      <c r="V363" s="24"/>
      <c r="W363" s="24"/>
      <c r="X363" s="24"/>
      <c r="Y363" s="24"/>
      <c r="Z363" s="24"/>
      <c r="AA363" s="24"/>
      <c r="AB363" s="24"/>
      <c r="AC363" s="24"/>
      <c r="AD363" s="24"/>
    </row>
    <row r="364" spans="2:30" x14ac:dyDescent="0.2">
      <c r="R364" s="18"/>
      <c r="S364" s="86"/>
      <c r="T364" s="86"/>
      <c r="U364" s="86"/>
      <c r="V364" s="86"/>
      <c r="W364" s="86"/>
      <c r="X364" s="86"/>
      <c r="Y364" s="86"/>
      <c r="Z364" s="86"/>
      <c r="AA364" s="86"/>
      <c r="AB364" s="86"/>
      <c r="AC364" s="86"/>
      <c r="AD364" s="86"/>
    </row>
    <row r="365" spans="2:30" x14ac:dyDescent="0.2">
      <c r="B365" s="49" t="s">
        <v>393</v>
      </c>
      <c r="C365" s="49"/>
      <c r="D365" s="350"/>
      <c r="E365" s="331"/>
      <c r="F365" s="331"/>
      <c r="G365" s="331" t="str">
        <f>B365</f>
        <v>Spherical tank waste</v>
      </c>
      <c r="H365" s="331"/>
      <c r="I365" s="331"/>
      <c r="J365" s="331"/>
      <c r="K365" s="331"/>
      <c r="L365" s="331"/>
      <c r="M365" s="331"/>
      <c r="N365" s="331"/>
      <c r="O365" s="331"/>
      <c r="P365" s="331"/>
      <c r="Q365" s="331"/>
      <c r="R365" s="331"/>
      <c r="S365" s="331"/>
      <c r="T365" s="331"/>
      <c r="U365" s="331"/>
      <c r="V365" s="331"/>
      <c r="W365" s="331"/>
      <c r="X365" s="331"/>
      <c r="Y365" s="331"/>
      <c r="Z365" s="331"/>
      <c r="AA365" s="331"/>
      <c r="AB365" s="331"/>
      <c r="AC365" s="331"/>
      <c r="AD365" s="331"/>
    </row>
    <row r="366" spans="2:30" x14ac:dyDescent="0.2">
      <c r="D366" s="347" t="str">
        <f t="shared" ref="D366:D375" si="337">_xlfn.TEXTJOIN(keydelim,TRUE,E366:N366)</f>
        <v>HFO - Spherical tank waste</v>
      </c>
      <c r="F366" s="48"/>
      <c r="G366" t="s">
        <v>527</v>
      </c>
      <c r="N366" s="48" t="s">
        <v>393</v>
      </c>
      <c r="O366" s="385" t="s">
        <v>598</v>
      </c>
      <c r="Q366" t="s">
        <v>178</v>
      </c>
      <c r="R366" s="352">
        <v>0</v>
      </c>
      <c r="S366" s="343">
        <f t="shared" ref="S366:AD366" si="338">R366</f>
        <v>0</v>
      </c>
      <c r="T366" s="343">
        <f t="shared" si="338"/>
        <v>0</v>
      </c>
      <c r="U366" s="343">
        <f t="shared" si="338"/>
        <v>0</v>
      </c>
      <c r="V366" s="343">
        <f t="shared" si="338"/>
        <v>0</v>
      </c>
      <c r="W366" s="343">
        <f t="shared" si="338"/>
        <v>0</v>
      </c>
      <c r="X366" s="343">
        <f t="shared" si="338"/>
        <v>0</v>
      </c>
      <c r="Y366" s="343">
        <f t="shared" si="338"/>
        <v>0</v>
      </c>
      <c r="Z366" s="343">
        <f t="shared" si="338"/>
        <v>0</v>
      </c>
      <c r="AA366" s="343">
        <f t="shared" si="338"/>
        <v>0</v>
      </c>
      <c r="AB366" s="343">
        <f t="shared" si="338"/>
        <v>0</v>
      </c>
      <c r="AC366" s="343">
        <f t="shared" si="338"/>
        <v>0</v>
      </c>
      <c r="AD366" s="343">
        <f t="shared" si="338"/>
        <v>0</v>
      </c>
    </row>
    <row r="367" spans="2:30" x14ac:dyDescent="0.2">
      <c r="D367" s="347" t="str">
        <f t="shared" si="337"/>
        <v>LNG - Spherical tank waste</v>
      </c>
      <c r="F367" s="48"/>
      <c r="G367" t="s">
        <v>528</v>
      </c>
      <c r="N367" s="48" t="s">
        <v>393</v>
      </c>
      <c r="O367" s="385" t="s">
        <v>598</v>
      </c>
      <c r="Q367" t="s">
        <v>178</v>
      </c>
      <c r="R367" s="352">
        <v>0.3</v>
      </c>
      <c r="S367" s="343">
        <f t="shared" ref="S367:AD367" si="339">R367</f>
        <v>0.3</v>
      </c>
      <c r="T367" s="343">
        <f t="shared" si="339"/>
        <v>0.3</v>
      </c>
      <c r="U367" s="343">
        <f t="shared" si="339"/>
        <v>0.3</v>
      </c>
      <c r="V367" s="343">
        <f t="shared" si="339"/>
        <v>0.3</v>
      </c>
      <c r="W367" s="343">
        <f t="shared" si="339"/>
        <v>0.3</v>
      </c>
      <c r="X367" s="343">
        <f t="shared" si="339"/>
        <v>0.3</v>
      </c>
      <c r="Y367" s="343">
        <f t="shared" si="339"/>
        <v>0.3</v>
      </c>
      <c r="Z367" s="343">
        <f t="shared" si="339"/>
        <v>0.3</v>
      </c>
      <c r="AA367" s="343">
        <f t="shared" si="339"/>
        <v>0.3</v>
      </c>
      <c r="AB367" s="343">
        <f t="shared" si="339"/>
        <v>0.3</v>
      </c>
      <c r="AC367" s="343">
        <f t="shared" si="339"/>
        <v>0.3</v>
      </c>
      <c r="AD367" s="343">
        <f t="shared" si="339"/>
        <v>0.3</v>
      </c>
    </row>
    <row r="368" spans="2:30" x14ac:dyDescent="0.2">
      <c r="D368" s="347" t="str">
        <f>_xlfn.TEXTJOIN(keydelim,TRUE,E368:N368)</f>
        <v>Methane - Spherical tank waste</v>
      </c>
      <c r="F368" s="48"/>
      <c r="G368" t="s">
        <v>599</v>
      </c>
      <c r="N368" s="48" t="s">
        <v>393</v>
      </c>
      <c r="O368" s="385" t="s">
        <v>598</v>
      </c>
      <c r="Q368" t="s">
        <v>178</v>
      </c>
      <c r="R368" s="352">
        <v>0.3</v>
      </c>
      <c r="S368" s="343">
        <f t="shared" ref="S368:AD368" si="340">R368</f>
        <v>0.3</v>
      </c>
      <c r="T368" s="343">
        <f t="shared" si="340"/>
        <v>0.3</v>
      </c>
      <c r="U368" s="343">
        <f t="shared" si="340"/>
        <v>0.3</v>
      </c>
      <c r="V368" s="343">
        <f t="shared" si="340"/>
        <v>0.3</v>
      </c>
      <c r="W368" s="343">
        <f t="shared" si="340"/>
        <v>0.3</v>
      </c>
      <c r="X368" s="343">
        <f t="shared" si="340"/>
        <v>0.3</v>
      </c>
      <c r="Y368" s="343">
        <f t="shared" si="340"/>
        <v>0.3</v>
      </c>
      <c r="Z368" s="343">
        <f t="shared" si="340"/>
        <v>0.3</v>
      </c>
      <c r="AA368" s="343">
        <f t="shared" si="340"/>
        <v>0.3</v>
      </c>
      <c r="AB368" s="343">
        <f t="shared" si="340"/>
        <v>0.3</v>
      </c>
      <c r="AC368" s="343">
        <f t="shared" si="340"/>
        <v>0.3</v>
      </c>
      <c r="AD368" s="343">
        <f t="shared" si="340"/>
        <v>0.3</v>
      </c>
    </row>
    <row r="369" spans="2:30" x14ac:dyDescent="0.2">
      <c r="D369" s="347" t="str">
        <f t="shared" si="337"/>
        <v>Ammonia - Spherical tank waste</v>
      </c>
      <c r="F369" s="48"/>
      <c r="G369" t="s">
        <v>529</v>
      </c>
      <c r="N369" s="48" t="s">
        <v>393</v>
      </c>
      <c r="O369" s="385" t="s">
        <v>598</v>
      </c>
      <c r="Q369" t="s">
        <v>178</v>
      </c>
      <c r="R369" s="352">
        <v>0</v>
      </c>
      <c r="S369" s="343">
        <f t="shared" ref="S369:AD369" si="341">R369</f>
        <v>0</v>
      </c>
      <c r="T369" s="343">
        <f t="shared" si="341"/>
        <v>0</v>
      </c>
      <c r="U369" s="343">
        <f t="shared" si="341"/>
        <v>0</v>
      </c>
      <c r="V369" s="343">
        <f t="shared" si="341"/>
        <v>0</v>
      </c>
      <c r="W369" s="343">
        <f t="shared" si="341"/>
        <v>0</v>
      </c>
      <c r="X369" s="343">
        <f t="shared" si="341"/>
        <v>0</v>
      </c>
      <c r="Y369" s="343">
        <f t="shared" si="341"/>
        <v>0</v>
      </c>
      <c r="Z369" s="343">
        <f t="shared" si="341"/>
        <v>0</v>
      </c>
      <c r="AA369" s="343">
        <f t="shared" si="341"/>
        <v>0</v>
      </c>
      <c r="AB369" s="343">
        <f t="shared" si="341"/>
        <v>0</v>
      </c>
      <c r="AC369" s="343">
        <f t="shared" si="341"/>
        <v>0</v>
      </c>
      <c r="AD369" s="343">
        <f t="shared" si="341"/>
        <v>0</v>
      </c>
    </row>
    <row r="370" spans="2:30" x14ac:dyDescent="0.2">
      <c r="D370" s="347" t="str">
        <f t="shared" si="337"/>
        <v>Methanol - Spherical tank waste</v>
      </c>
      <c r="G370" t="s">
        <v>530</v>
      </c>
      <c r="N370" s="48" t="s">
        <v>393</v>
      </c>
      <c r="O370" s="385" t="s">
        <v>598</v>
      </c>
      <c r="Q370" t="s">
        <v>178</v>
      </c>
      <c r="R370" s="352">
        <v>0</v>
      </c>
      <c r="S370" s="343">
        <f t="shared" ref="S370:AD370" si="342">R370</f>
        <v>0</v>
      </c>
      <c r="T370" s="343">
        <f t="shared" si="342"/>
        <v>0</v>
      </c>
      <c r="U370" s="343">
        <f t="shared" si="342"/>
        <v>0</v>
      </c>
      <c r="V370" s="343">
        <f t="shared" si="342"/>
        <v>0</v>
      </c>
      <c r="W370" s="343">
        <f t="shared" si="342"/>
        <v>0</v>
      </c>
      <c r="X370" s="343">
        <f t="shared" si="342"/>
        <v>0</v>
      </c>
      <c r="Y370" s="343">
        <f t="shared" si="342"/>
        <v>0</v>
      </c>
      <c r="Z370" s="343">
        <f t="shared" si="342"/>
        <v>0</v>
      </c>
      <c r="AA370" s="343">
        <f t="shared" si="342"/>
        <v>0</v>
      </c>
      <c r="AB370" s="343">
        <f t="shared" si="342"/>
        <v>0</v>
      </c>
      <c r="AC370" s="343">
        <f t="shared" si="342"/>
        <v>0</v>
      </c>
      <c r="AD370" s="343">
        <f t="shared" si="342"/>
        <v>0</v>
      </c>
    </row>
    <row r="371" spans="2:30" x14ac:dyDescent="0.2">
      <c r="D371" s="347" t="str">
        <f t="shared" si="337"/>
        <v>Liquid hydrogen - Spherical tank waste</v>
      </c>
      <c r="G371" t="s">
        <v>531</v>
      </c>
      <c r="N371" s="48" t="s">
        <v>393</v>
      </c>
      <c r="O371" s="385" t="s">
        <v>598</v>
      </c>
      <c r="Q371" t="s">
        <v>178</v>
      </c>
      <c r="R371" s="352">
        <v>0.2</v>
      </c>
      <c r="S371" s="343">
        <f t="shared" ref="S371:AD371" si="343">R371</f>
        <v>0.2</v>
      </c>
      <c r="T371" s="343">
        <f t="shared" si="343"/>
        <v>0.2</v>
      </c>
      <c r="U371" s="343">
        <f t="shared" si="343"/>
        <v>0.2</v>
      </c>
      <c r="V371" s="343">
        <f t="shared" si="343"/>
        <v>0.2</v>
      </c>
      <c r="W371" s="343">
        <f t="shared" si="343"/>
        <v>0.2</v>
      </c>
      <c r="X371" s="343">
        <f t="shared" si="343"/>
        <v>0.2</v>
      </c>
      <c r="Y371" s="343">
        <f t="shared" si="343"/>
        <v>0.2</v>
      </c>
      <c r="Z371" s="343">
        <f t="shared" si="343"/>
        <v>0.2</v>
      </c>
      <c r="AA371" s="343">
        <f t="shared" si="343"/>
        <v>0.2</v>
      </c>
      <c r="AB371" s="343">
        <f t="shared" si="343"/>
        <v>0.2</v>
      </c>
      <c r="AC371" s="343">
        <f t="shared" si="343"/>
        <v>0.2</v>
      </c>
      <c r="AD371" s="343">
        <f t="shared" si="343"/>
        <v>0.2</v>
      </c>
    </row>
    <row r="372" spans="2:30" x14ac:dyDescent="0.2">
      <c r="D372" s="347" t="str">
        <f>_xlfn.TEXTJOIN(keydelim,TRUE,E372:N372)</f>
        <v>Compressed hydrogen - Spherical tank waste</v>
      </c>
      <c r="G372" t="s">
        <v>532</v>
      </c>
      <c r="N372" s="48" t="s">
        <v>393</v>
      </c>
      <c r="O372" s="385" t="s">
        <v>598</v>
      </c>
      <c r="Q372" t="s">
        <v>178</v>
      </c>
      <c r="R372" s="352">
        <v>0.2</v>
      </c>
      <c r="S372" s="343">
        <f t="shared" ref="S372:AD372" si="344">R372</f>
        <v>0.2</v>
      </c>
      <c r="T372" s="343">
        <f t="shared" si="344"/>
        <v>0.2</v>
      </c>
      <c r="U372" s="343">
        <f t="shared" si="344"/>
        <v>0.2</v>
      </c>
      <c r="V372" s="343">
        <f t="shared" si="344"/>
        <v>0.2</v>
      </c>
      <c r="W372" s="343">
        <f t="shared" si="344"/>
        <v>0.2</v>
      </c>
      <c r="X372" s="343">
        <f t="shared" si="344"/>
        <v>0.2</v>
      </c>
      <c r="Y372" s="343">
        <f t="shared" si="344"/>
        <v>0.2</v>
      </c>
      <c r="Z372" s="343">
        <f t="shared" si="344"/>
        <v>0.2</v>
      </c>
      <c r="AA372" s="343">
        <f t="shared" si="344"/>
        <v>0.2</v>
      </c>
      <c r="AB372" s="343">
        <f t="shared" si="344"/>
        <v>0.2</v>
      </c>
      <c r="AC372" s="343">
        <f t="shared" si="344"/>
        <v>0.2</v>
      </c>
      <c r="AD372" s="343">
        <f t="shared" si="344"/>
        <v>0.2</v>
      </c>
    </row>
    <row r="373" spans="2:30" x14ac:dyDescent="0.2">
      <c r="D373" s="347" t="str">
        <f t="shared" si="337"/>
        <v>Electricity - Spherical tank waste</v>
      </c>
      <c r="G373" t="s">
        <v>54</v>
      </c>
      <c r="N373" s="48" t="s">
        <v>393</v>
      </c>
      <c r="O373" s="385" t="s">
        <v>598</v>
      </c>
      <c r="Q373" t="s">
        <v>178</v>
      </c>
      <c r="R373" s="352">
        <v>0</v>
      </c>
      <c r="S373" s="343">
        <f t="shared" ref="S373:AD373" si="345">R373</f>
        <v>0</v>
      </c>
      <c r="T373" s="343">
        <f t="shared" si="345"/>
        <v>0</v>
      </c>
      <c r="U373" s="343">
        <f t="shared" si="345"/>
        <v>0</v>
      </c>
      <c r="V373" s="343">
        <f t="shared" si="345"/>
        <v>0</v>
      </c>
      <c r="W373" s="343">
        <f t="shared" si="345"/>
        <v>0</v>
      </c>
      <c r="X373" s="343">
        <f t="shared" si="345"/>
        <v>0</v>
      </c>
      <c r="Y373" s="343">
        <f t="shared" si="345"/>
        <v>0</v>
      </c>
      <c r="Z373" s="343">
        <f t="shared" si="345"/>
        <v>0</v>
      </c>
      <c r="AA373" s="343">
        <f t="shared" si="345"/>
        <v>0</v>
      </c>
      <c r="AB373" s="343">
        <f t="shared" si="345"/>
        <v>0</v>
      </c>
      <c r="AC373" s="343">
        <f t="shared" si="345"/>
        <v>0</v>
      </c>
      <c r="AD373" s="343">
        <f t="shared" si="345"/>
        <v>0</v>
      </c>
    </row>
    <row r="374" spans="2:30" x14ac:dyDescent="0.2">
      <c r="D374" s="347" t="str">
        <f t="shared" si="337"/>
        <v>Diesel - Spherical tank waste</v>
      </c>
      <c r="G374" t="s">
        <v>533</v>
      </c>
      <c r="N374" s="48" t="s">
        <v>393</v>
      </c>
      <c r="O374" s="385" t="s">
        <v>598</v>
      </c>
      <c r="Q374" t="s">
        <v>178</v>
      </c>
      <c r="R374" s="352">
        <v>0</v>
      </c>
      <c r="S374" s="343">
        <f t="shared" ref="S374:AD374" si="346">R374</f>
        <v>0</v>
      </c>
      <c r="T374" s="343">
        <f t="shared" si="346"/>
        <v>0</v>
      </c>
      <c r="U374" s="343">
        <f t="shared" si="346"/>
        <v>0</v>
      </c>
      <c r="V374" s="343">
        <f t="shared" si="346"/>
        <v>0</v>
      </c>
      <c r="W374" s="343">
        <f t="shared" si="346"/>
        <v>0</v>
      </c>
      <c r="X374" s="343">
        <f t="shared" si="346"/>
        <v>0</v>
      </c>
      <c r="Y374" s="343">
        <f t="shared" si="346"/>
        <v>0</v>
      </c>
      <c r="Z374" s="343">
        <f t="shared" si="346"/>
        <v>0</v>
      </c>
      <c r="AA374" s="343">
        <f t="shared" si="346"/>
        <v>0</v>
      </c>
      <c r="AB374" s="343">
        <f t="shared" si="346"/>
        <v>0</v>
      </c>
      <c r="AC374" s="343">
        <f t="shared" si="346"/>
        <v>0</v>
      </c>
      <c r="AD374" s="343">
        <f t="shared" si="346"/>
        <v>0</v>
      </c>
    </row>
    <row r="375" spans="2:30" x14ac:dyDescent="0.2">
      <c r="D375" s="347" t="str">
        <f t="shared" si="337"/>
        <v>Methanol - Spherical tank waste</v>
      </c>
      <c r="G375" t="s">
        <v>530</v>
      </c>
      <c r="N375" s="48" t="s">
        <v>393</v>
      </c>
      <c r="O375" s="385" t="s">
        <v>598</v>
      </c>
      <c r="Q375" t="s">
        <v>178</v>
      </c>
      <c r="R375" s="352">
        <v>0</v>
      </c>
      <c r="S375" s="343">
        <f t="shared" ref="S375:AD375" si="347">R375</f>
        <v>0</v>
      </c>
      <c r="T375" s="343">
        <f t="shared" si="347"/>
        <v>0</v>
      </c>
      <c r="U375" s="343">
        <f t="shared" si="347"/>
        <v>0</v>
      </c>
      <c r="V375" s="343">
        <f t="shared" si="347"/>
        <v>0</v>
      </c>
      <c r="W375" s="343">
        <f t="shared" si="347"/>
        <v>0</v>
      </c>
      <c r="X375" s="343">
        <f t="shared" si="347"/>
        <v>0</v>
      </c>
      <c r="Y375" s="343">
        <f t="shared" si="347"/>
        <v>0</v>
      </c>
      <c r="Z375" s="343">
        <f t="shared" si="347"/>
        <v>0</v>
      </c>
      <c r="AA375" s="343">
        <f t="shared" si="347"/>
        <v>0</v>
      </c>
      <c r="AB375" s="343">
        <f t="shared" si="347"/>
        <v>0</v>
      </c>
      <c r="AC375" s="343">
        <f t="shared" si="347"/>
        <v>0</v>
      </c>
      <c r="AD375" s="343">
        <f t="shared" si="347"/>
        <v>0</v>
      </c>
    </row>
    <row r="376" spans="2:30" x14ac:dyDescent="0.2">
      <c r="D376" s="347" t="str">
        <f>_xlfn.TEXTJOIN(keydelim,TRUE,E376:N376)</f>
        <v>LPG - Spherical tank waste</v>
      </c>
      <c r="G376" t="s">
        <v>534</v>
      </c>
      <c r="N376" s="48" t="s">
        <v>393</v>
      </c>
      <c r="O376" s="385" t="s">
        <v>598</v>
      </c>
      <c r="Q376" t="s">
        <v>178</v>
      </c>
      <c r="R376" s="352">
        <f>R370</f>
        <v>0</v>
      </c>
      <c r="S376" s="343">
        <f t="shared" ref="S376:AD376" si="348">R376</f>
        <v>0</v>
      </c>
      <c r="T376" s="343">
        <f t="shared" si="348"/>
        <v>0</v>
      </c>
      <c r="U376" s="343">
        <f t="shared" si="348"/>
        <v>0</v>
      </c>
      <c r="V376" s="343">
        <f t="shared" si="348"/>
        <v>0</v>
      </c>
      <c r="W376" s="343">
        <f t="shared" si="348"/>
        <v>0</v>
      </c>
      <c r="X376" s="343">
        <f t="shared" si="348"/>
        <v>0</v>
      </c>
      <c r="Y376" s="343">
        <f t="shared" si="348"/>
        <v>0</v>
      </c>
      <c r="Z376" s="343">
        <f t="shared" si="348"/>
        <v>0</v>
      </c>
      <c r="AA376" s="343">
        <f t="shared" si="348"/>
        <v>0</v>
      </c>
      <c r="AB376" s="343">
        <f t="shared" si="348"/>
        <v>0</v>
      </c>
      <c r="AC376" s="343">
        <f t="shared" si="348"/>
        <v>0</v>
      </c>
      <c r="AD376" s="343">
        <f t="shared" si="348"/>
        <v>0</v>
      </c>
    </row>
    <row r="377" spans="2:30" x14ac:dyDescent="0.2">
      <c r="R377" s="18"/>
      <c r="S377" s="86"/>
      <c r="T377" s="86"/>
      <c r="U377" s="86"/>
      <c r="V377" s="86"/>
      <c r="W377" s="86"/>
      <c r="X377" s="86"/>
      <c r="Y377" s="86"/>
      <c r="Z377" s="86"/>
      <c r="AA377" s="86"/>
      <c r="AB377" s="86"/>
      <c r="AC377" s="86"/>
      <c r="AD377" s="86"/>
    </row>
    <row r="378" spans="2:30" x14ac:dyDescent="0.2">
      <c r="R378" s="18"/>
      <c r="S378" s="86"/>
      <c r="T378" s="86"/>
      <c r="U378" s="86"/>
      <c r="V378" s="86"/>
      <c r="W378" s="86"/>
      <c r="X378" s="86"/>
      <c r="Y378" s="86"/>
      <c r="Z378" s="86"/>
      <c r="AA378" s="86"/>
      <c r="AB378" s="86"/>
      <c r="AC378" s="86"/>
      <c r="AD378" s="86"/>
    </row>
    <row r="379" spans="2:30" x14ac:dyDescent="0.2">
      <c r="B379" s="49" t="s">
        <v>600</v>
      </c>
      <c r="C379" s="49"/>
      <c r="D379" s="350"/>
      <c r="E379" s="331"/>
      <c r="F379" s="331"/>
      <c r="G379" s="331" t="str">
        <f>B379</f>
        <v>GHG emissions</v>
      </c>
      <c r="H379" s="331"/>
      <c r="I379" s="331"/>
      <c r="J379" s="331"/>
      <c r="K379" s="331"/>
      <c r="L379" s="331"/>
      <c r="M379" s="331"/>
      <c r="N379" s="331"/>
      <c r="O379" s="331"/>
      <c r="P379" s="331"/>
      <c r="Q379" s="331"/>
      <c r="R379" s="331"/>
      <c r="S379" s="331"/>
      <c r="T379" s="331"/>
      <c r="U379" s="331"/>
      <c r="V379" s="331"/>
      <c r="W379" s="331"/>
      <c r="X379" s="331"/>
      <c r="Y379" s="331"/>
      <c r="Z379" s="331"/>
      <c r="AA379" s="331"/>
      <c r="AB379" s="331"/>
      <c r="AC379" s="331"/>
      <c r="AD379" s="331"/>
    </row>
    <row r="380" spans="2:30" x14ac:dyDescent="0.2">
      <c r="D380" s="347" t="str">
        <f t="shared" ref="D380:D395" si="349">_xlfn.TEXTJOIN(keydelim,TRUE,E380:N380)</f>
        <v>LSFO - TTP CO2 emissions</v>
      </c>
      <c r="F380" t="s">
        <v>117</v>
      </c>
      <c r="N380" s="48" t="s">
        <v>601</v>
      </c>
      <c r="P380" s="306"/>
      <c r="Q380" t="s">
        <v>602</v>
      </c>
      <c r="R380" s="76"/>
      <c r="S380" s="76">
        <f>IFERROR(INDEX('Fuel Selector'!K:K,MATCH($D380&amp;keydelim&amp;$Q380,'Fuel Selector'!$B:$B,0)),0)</f>
        <v>76.779854368932035</v>
      </c>
      <c r="T380" s="76">
        <f>IFERROR(INDEX('Fuel Selector'!L:L,MATCH($D380&amp;keydelim&amp;$Q380,'Fuel Selector'!$B:$B,0)),0)</f>
        <v>76.779854368932035</v>
      </c>
      <c r="U380" s="76">
        <f>IFERROR(INDEX('Fuel Selector'!M:M,MATCH($D380&amp;keydelim&amp;$Q380,'Fuel Selector'!$B:$B,0)),0)</f>
        <v>76.779854368932035</v>
      </c>
      <c r="V380" s="76">
        <f>IFERROR(INDEX('Fuel Selector'!N:N,MATCH($D380&amp;keydelim&amp;$Q380,'Fuel Selector'!$B:$B,0)),0)</f>
        <v>76.779854368932035</v>
      </c>
      <c r="W380" s="76">
        <f>IFERROR(INDEX('Fuel Selector'!O:O,MATCH($D380&amp;keydelim&amp;$Q380,'Fuel Selector'!$B:$B,0)),0)</f>
        <v>76.779854368932035</v>
      </c>
      <c r="X380" s="76">
        <f>IFERROR(INDEX('Fuel Selector'!P:P,MATCH($D380&amp;keydelim&amp;$Q380,'Fuel Selector'!$B:$B,0)),0)</f>
        <v>76.779854368932035</v>
      </c>
      <c r="Y380" s="76">
        <f>IFERROR(INDEX('Fuel Selector'!Q:Q,MATCH($D380&amp;keydelim&amp;$Q380,'Fuel Selector'!$B:$B,0)),0)</f>
        <v>76.779854368932035</v>
      </c>
      <c r="Z380" s="76">
        <f>IFERROR(INDEX('Fuel Selector'!R:R,MATCH($D380&amp;keydelim&amp;$Q380,'Fuel Selector'!$B:$B,0)),0)</f>
        <v>76.779854368932035</v>
      </c>
      <c r="AA380" s="76">
        <f>IFERROR(INDEX('Fuel Selector'!S:S,MATCH($D380&amp;keydelim&amp;$Q380,'Fuel Selector'!$B:$B,0)),0)</f>
        <v>76.779854368932035</v>
      </c>
      <c r="AB380" s="76">
        <f>IFERROR(INDEX('Fuel Selector'!T:T,MATCH($D380&amp;keydelim&amp;$Q380,'Fuel Selector'!$B:$B,0)),0)</f>
        <v>76.779854368932035</v>
      </c>
      <c r="AC380" s="76">
        <f>IFERROR(INDEX('Fuel Selector'!U:U,MATCH($D380&amp;keydelim&amp;$Q380,'Fuel Selector'!$B:$B,0)),0)</f>
        <v>76.779854368932035</v>
      </c>
      <c r="AD380" s="76">
        <f>IFERROR(INDEX('Fuel Selector'!V:V,MATCH($D380&amp;keydelim&amp;$Q380,'Fuel Selector'!$B:$B,0)),0)</f>
        <v>76.779854368932035</v>
      </c>
    </row>
    <row r="381" spans="2:30" x14ac:dyDescent="0.2">
      <c r="D381" s="347" t="str">
        <f t="shared" si="349"/>
        <v>LNG - TTP CO2 emissions</v>
      </c>
      <c r="F381" t="s">
        <v>528</v>
      </c>
      <c r="N381" s="48" t="s">
        <v>601</v>
      </c>
      <c r="P381" s="306"/>
      <c r="Q381" t="s">
        <v>602</v>
      </c>
      <c r="R381" s="76"/>
      <c r="S381" s="76">
        <f>IFERROR(INDEX('Fuel Selector'!K:K,MATCH($D381&amp;keydelim&amp;$Q381,'Fuel Selector'!$B:$B,0)),0)</f>
        <v>76.026250000000005</v>
      </c>
      <c r="T381" s="76">
        <f>IFERROR(INDEX('Fuel Selector'!L:L,MATCH($D381&amp;keydelim&amp;$Q381,'Fuel Selector'!$B:$B,0)),0)</f>
        <v>76.026250000000005</v>
      </c>
      <c r="U381" s="76">
        <f>IFERROR(INDEX('Fuel Selector'!M:M,MATCH($D381&amp;keydelim&amp;$Q381,'Fuel Selector'!$B:$B,0)),0)</f>
        <v>76.026250000000005</v>
      </c>
      <c r="V381" s="76">
        <f>IFERROR(INDEX('Fuel Selector'!N:N,MATCH($D381&amp;keydelim&amp;$Q381,'Fuel Selector'!$B:$B,0)),0)</f>
        <v>76.026250000000005</v>
      </c>
      <c r="W381" s="76">
        <f>IFERROR(INDEX('Fuel Selector'!O:O,MATCH($D381&amp;keydelim&amp;$Q381,'Fuel Selector'!$B:$B,0)),0)</f>
        <v>76.026250000000005</v>
      </c>
      <c r="X381" s="76">
        <f>IFERROR(INDEX('Fuel Selector'!P:P,MATCH($D381&amp;keydelim&amp;$Q381,'Fuel Selector'!$B:$B,0)),0)</f>
        <v>76.026250000000005</v>
      </c>
      <c r="Y381" s="76">
        <f>IFERROR(INDEX('Fuel Selector'!Q:Q,MATCH($D381&amp;keydelim&amp;$Q381,'Fuel Selector'!$B:$B,0)),0)</f>
        <v>76.026250000000005</v>
      </c>
      <c r="Z381" s="76">
        <f>IFERROR(INDEX('Fuel Selector'!R:R,MATCH($D381&amp;keydelim&amp;$Q381,'Fuel Selector'!$B:$B,0)),0)</f>
        <v>76.026250000000005</v>
      </c>
      <c r="AA381" s="76">
        <f>IFERROR(INDEX('Fuel Selector'!S:S,MATCH($D381&amp;keydelim&amp;$Q381,'Fuel Selector'!$B:$B,0)),0)</f>
        <v>76.026250000000005</v>
      </c>
      <c r="AB381" s="76">
        <f>IFERROR(INDEX('Fuel Selector'!T:T,MATCH($D381&amp;keydelim&amp;$Q381,'Fuel Selector'!$B:$B,0)),0)</f>
        <v>76.026250000000005</v>
      </c>
      <c r="AC381" s="76">
        <f>IFERROR(INDEX('Fuel Selector'!U:U,MATCH($D381&amp;keydelim&amp;$Q381,'Fuel Selector'!$B:$B,0)),0)</f>
        <v>76.026250000000005</v>
      </c>
      <c r="AD381" s="76">
        <f>IFERROR(INDEX('Fuel Selector'!V:V,MATCH($D381&amp;keydelim&amp;$Q381,'Fuel Selector'!$B:$B,0)),0)</f>
        <v>76.026250000000005</v>
      </c>
    </row>
    <row r="382" spans="2:30" x14ac:dyDescent="0.2">
      <c r="D382" s="347" t="str">
        <f t="shared" ref="D382" si="350">_xlfn.TEXTJOIN(keydelim,TRUE,E382:N382)</f>
        <v>LPG - TTP CO2 emissions</v>
      </c>
      <c r="F382" t="s">
        <v>534</v>
      </c>
      <c r="N382" s="48" t="s">
        <v>601</v>
      </c>
      <c r="P382" s="306"/>
      <c r="Q382" t="s">
        <v>602</v>
      </c>
      <c r="R382" s="76"/>
      <c r="S382" s="76">
        <f>IFERROR(INDEX('Fuel Selector'!K:K,MATCH($D382&amp;keydelim&amp;$Q382,'Fuel Selector'!$B:$B,0)),0)</f>
        <v>66</v>
      </c>
      <c r="T382" s="76">
        <f>IFERROR(INDEX('Fuel Selector'!L:L,MATCH($D382&amp;keydelim&amp;$Q382,'Fuel Selector'!$B:$B,0)),0)</f>
        <v>66</v>
      </c>
      <c r="U382" s="76">
        <f>IFERROR(INDEX('Fuel Selector'!M:M,MATCH($D382&amp;keydelim&amp;$Q382,'Fuel Selector'!$B:$B,0)),0)</f>
        <v>66</v>
      </c>
      <c r="V382" s="76">
        <f>IFERROR(INDEX('Fuel Selector'!N:N,MATCH($D382&amp;keydelim&amp;$Q382,'Fuel Selector'!$B:$B,0)),0)</f>
        <v>66</v>
      </c>
      <c r="W382" s="76">
        <f>IFERROR(INDEX('Fuel Selector'!O:O,MATCH($D382&amp;keydelim&amp;$Q382,'Fuel Selector'!$B:$B,0)),0)</f>
        <v>66</v>
      </c>
      <c r="X382" s="76">
        <f>IFERROR(INDEX('Fuel Selector'!P:P,MATCH($D382&amp;keydelim&amp;$Q382,'Fuel Selector'!$B:$B,0)),0)</f>
        <v>66</v>
      </c>
      <c r="Y382" s="76">
        <f>IFERROR(INDEX('Fuel Selector'!Q:Q,MATCH($D382&amp;keydelim&amp;$Q382,'Fuel Selector'!$B:$B,0)),0)</f>
        <v>66</v>
      </c>
      <c r="Z382" s="76">
        <f>IFERROR(INDEX('Fuel Selector'!R:R,MATCH($D382&amp;keydelim&amp;$Q382,'Fuel Selector'!$B:$B,0)),0)</f>
        <v>66</v>
      </c>
      <c r="AA382" s="76">
        <f>IFERROR(INDEX('Fuel Selector'!S:S,MATCH($D382&amp;keydelim&amp;$Q382,'Fuel Selector'!$B:$B,0)),0)</f>
        <v>66</v>
      </c>
      <c r="AB382" s="76">
        <f>IFERROR(INDEX('Fuel Selector'!T:T,MATCH($D382&amp;keydelim&amp;$Q382,'Fuel Selector'!$B:$B,0)),0)</f>
        <v>66</v>
      </c>
      <c r="AC382" s="76">
        <f>IFERROR(INDEX('Fuel Selector'!U:U,MATCH($D382&amp;keydelim&amp;$Q382,'Fuel Selector'!$B:$B,0)),0)</f>
        <v>66</v>
      </c>
      <c r="AD382" s="76">
        <f>IFERROR(INDEX('Fuel Selector'!V:V,MATCH($D382&amp;keydelim&amp;$Q382,'Fuel Selector'!$B:$B,0)),0)</f>
        <v>66</v>
      </c>
    </row>
    <row r="383" spans="2:30" x14ac:dyDescent="0.2">
      <c r="D383" s="347" t="str">
        <f t="shared" si="349"/>
        <v>e-Ammonia - TTP CO2 emissions</v>
      </c>
      <c r="F383" t="s">
        <v>121</v>
      </c>
      <c r="N383" s="48" t="s">
        <v>601</v>
      </c>
      <c r="P383" s="306"/>
      <c r="Q383" t="s">
        <v>602</v>
      </c>
      <c r="R383" s="76"/>
      <c r="S383" s="76">
        <f>IFERROR(INDEX('Fuel Selector'!K:K,MATCH($D383&amp;keydelim&amp;$Q383,'Fuel Selector'!$B:$B,0)),0)</f>
        <v>0</v>
      </c>
      <c r="T383" s="76">
        <f>IFERROR(INDEX('Fuel Selector'!L:L,MATCH($D383&amp;keydelim&amp;$Q383,'Fuel Selector'!$B:$B,0)),0)</f>
        <v>0</v>
      </c>
      <c r="U383" s="76">
        <f>IFERROR(INDEX('Fuel Selector'!M:M,MATCH($D383&amp;keydelim&amp;$Q383,'Fuel Selector'!$B:$B,0)),0)</f>
        <v>0</v>
      </c>
      <c r="V383" s="76">
        <f>IFERROR(INDEX('Fuel Selector'!N:N,MATCH($D383&amp;keydelim&amp;$Q383,'Fuel Selector'!$B:$B,0)),0)</f>
        <v>0</v>
      </c>
      <c r="W383" s="76">
        <f>IFERROR(INDEX('Fuel Selector'!O:O,MATCH($D383&amp;keydelim&amp;$Q383,'Fuel Selector'!$B:$B,0)),0)</f>
        <v>0</v>
      </c>
      <c r="X383" s="76">
        <f>IFERROR(INDEX('Fuel Selector'!P:P,MATCH($D383&amp;keydelim&amp;$Q383,'Fuel Selector'!$B:$B,0)),0)</f>
        <v>0</v>
      </c>
      <c r="Y383" s="76">
        <f>IFERROR(INDEX('Fuel Selector'!Q:Q,MATCH($D383&amp;keydelim&amp;$Q383,'Fuel Selector'!$B:$B,0)),0)</f>
        <v>0</v>
      </c>
      <c r="Z383" s="76">
        <f>IFERROR(INDEX('Fuel Selector'!R:R,MATCH($D383&amp;keydelim&amp;$Q383,'Fuel Selector'!$B:$B,0)),0)</f>
        <v>0</v>
      </c>
      <c r="AA383" s="76">
        <f>IFERROR(INDEX('Fuel Selector'!S:S,MATCH($D383&amp;keydelim&amp;$Q383,'Fuel Selector'!$B:$B,0)),0)</f>
        <v>0</v>
      </c>
      <c r="AB383" s="76">
        <f>IFERROR(INDEX('Fuel Selector'!T:T,MATCH($D383&amp;keydelim&amp;$Q383,'Fuel Selector'!$B:$B,0)),0)</f>
        <v>0</v>
      </c>
      <c r="AC383" s="76">
        <f>IFERROR(INDEX('Fuel Selector'!U:U,MATCH($D383&amp;keydelim&amp;$Q383,'Fuel Selector'!$B:$B,0)),0)</f>
        <v>0</v>
      </c>
      <c r="AD383" s="76">
        <f>IFERROR(INDEX('Fuel Selector'!V:V,MATCH($D383&amp;keydelim&amp;$Q383,'Fuel Selector'!$B:$B,0)),0)</f>
        <v>0</v>
      </c>
    </row>
    <row r="384" spans="2:30" x14ac:dyDescent="0.2">
      <c r="D384" s="347" t="str">
        <f t="shared" si="349"/>
        <v>e-Hydrogen (compressed) - TTP CO2 emissions</v>
      </c>
      <c r="F384" t="s">
        <v>584</v>
      </c>
      <c r="N384" s="48" t="s">
        <v>601</v>
      </c>
      <c r="P384" s="306"/>
      <c r="Q384" t="s">
        <v>602</v>
      </c>
      <c r="R384" s="76"/>
      <c r="S384" s="76">
        <f>IFERROR(INDEX('Fuel Selector'!K:K,MATCH($D384&amp;keydelim&amp;$Q384,'Fuel Selector'!$B:$B,0)),0)</f>
        <v>0</v>
      </c>
      <c r="T384" s="76">
        <f>IFERROR(INDEX('Fuel Selector'!L:L,MATCH($D384&amp;keydelim&amp;$Q384,'Fuel Selector'!$B:$B,0)),0)</f>
        <v>0</v>
      </c>
      <c r="U384" s="76">
        <f>IFERROR(INDEX('Fuel Selector'!M:M,MATCH($D384&amp;keydelim&amp;$Q384,'Fuel Selector'!$B:$B,0)),0)</f>
        <v>0</v>
      </c>
      <c r="V384" s="76">
        <f>IFERROR(INDEX('Fuel Selector'!N:N,MATCH($D384&amp;keydelim&amp;$Q384,'Fuel Selector'!$B:$B,0)),0)</f>
        <v>0</v>
      </c>
      <c r="W384" s="76">
        <f>IFERROR(INDEX('Fuel Selector'!O:O,MATCH($D384&amp;keydelim&amp;$Q384,'Fuel Selector'!$B:$B,0)),0)</f>
        <v>0</v>
      </c>
      <c r="X384" s="76">
        <f>IFERROR(INDEX('Fuel Selector'!P:P,MATCH($D384&amp;keydelim&amp;$Q384,'Fuel Selector'!$B:$B,0)),0)</f>
        <v>0</v>
      </c>
      <c r="Y384" s="76">
        <f>IFERROR(INDEX('Fuel Selector'!Q:Q,MATCH($D384&amp;keydelim&amp;$Q384,'Fuel Selector'!$B:$B,0)),0)</f>
        <v>0</v>
      </c>
      <c r="Z384" s="76">
        <f>IFERROR(INDEX('Fuel Selector'!R:R,MATCH($D384&amp;keydelim&amp;$Q384,'Fuel Selector'!$B:$B,0)),0)</f>
        <v>0</v>
      </c>
      <c r="AA384" s="76">
        <f>IFERROR(INDEX('Fuel Selector'!S:S,MATCH($D384&amp;keydelim&amp;$Q384,'Fuel Selector'!$B:$B,0)),0)</f>
        <v>0</v>
      </c>
      <c r="AB384" s="76">
        <f>IFERROR(INDEX('Fuel Selector'!T:T,MATCH($D384&amp;keydelim&amp;$Q384,'Fuel Selector'!$B:$B,0)),0)</f>
        <v>0</v>
      </c>
      <c r="AC384" s="76">
        <f>IFERROR(INDEX('Fuel Selector'!U:U,MATCH($D384&amp;keydelim&amp;$Q384,'Fuel Selector'!$B:$B,0)),0)</f>
        <v>0</v>
      </c>
      <c r="AD384" s="76">
        <f>IFERROR(INDEX('Fuel Selector'!V:V,MATCH($D384&amp;keydelim&amp;$Q384,'Fuel Selector'!$B:$B,0)),0)</f>
        <v>0</v>
      </c>
    </row>
    <row r="385" spans="4:30" x14ac:dyDescent="0.2">
      <c r="D385" s="347" t="str">
        <f t="shared" si="349"/>
        <v>e-Hydrogen (liquid) - TTP CO2 emissions</v>
      </c>
      <c r="F385" t="s">
        <v>585</v>
      </c>
      <c r="N385" s="48" t="s">
        <v>601</v>
      </c>
      <c r="P385" s="306"/>
      <c r="Q385" t="s">
        <v>602</v>
      </c>
      <c r="R385" s="76"/>
      <c r="S385" s="76">
        <f>IFERROR(INDEX('Fuel Selector'!K:K,MATCH($D385&amp;keydelim&amp;$Q385,'Fuel Selector'!$B:$B,0)),0)</f>
        <v>0</v>
      </c>
      <c r="T385" s="76">
        <f>IFERROR(INDEX('Fuel Selector'!L:L,MATCH($D385&amp;keydelim&amp;$Q385,'Fuel Selector'!$B:$B,0)),0)</f>
        <v>0</v>
      </c>
      <c r="U385" s="76">
        <f>IFERROR(INDEX('Fuel Selector'!M:M,MATCH($D385&amp;keydelim&amp;$Q385,'Fuel Selector'!$B:$B,0)),0)</f>
        <v>0</v>
      </c>
      <c r="V385" s="76">
        <f>IFERROR(INDEX('Fuel Selector'!N:N,MATCH($D385&amp;keydelim&amp;$Q385,'Fuel Selector'!$B:$B,0)),0)</f>
        <v>0</v>
      </c>
      <c r="W385" s="76">
        <f>IFERROR(INDEX('Fuel Selector'!O:O,MATCH($D385&amp;keydelim&amp;$Q385,'Fuel Selector'!$B:$B,0)),0)</f>
        <v>0</v>
      </c>
      <c r="X385" s="76">
        <f>IFERROR(INDEX('Fuel Selector'!P:P,MATCH($D385&amp;keydelim&amp;$Q385,'Fuel Selector'!$B:$B,0)),0)</f>
        <v>0</v>
      </c>
      <c r="Y385" s="76">
        <f>IFERROR(INDEX('Fuel Selector'!Q:Q,MATCH($D385&amp;keydelim&amp;$Q385,'Fuel Selector'!$B:$B,0)),0)</f>
        <v>0</v>
      </c>
      <c r="Z385" s="76">
        <f>IFERROR(INDEX('Fuel Selector'!R:R,MATCH($D385&amp;keydelim&amp;$Q385,'Fuel Selector'!$B:$B,0)),0)</f>
        <v>0</v>
      </c>
      <c r="AA385" s="76">
        <f>IFERROR(INDEX('Fuel Selector'!S:S,MATCH($D385&amp;keydelim&amp;$Q385,'Fuel Selector'!$B:$B,0)),0)</f>
        <v>0</v>
      </c>
      <c r="AB385" s="76">
        <f>IFERROR(INDEX('Fuel Selector'!T:T,MATCH($D385&amp;keydelim&amp;$Q385,'Fuel Selector'!$B:$B,0)),0)</f>
        <v>0</v>
      </c>
      <c r="AC385" s="76">
        <f>IFERROR(INDEX('Fuel Selector'!U:U,MATCH($D385&amp;keydelim&amp;$Q385,'Fuel Selector'!$B:$B,0)),0)</f>
        <v>0</v>
      </c>
      <c r="AD385" s="76">
        <f>IFERROR(INDEX('Fuel Selector'!V:V,MATCH($D385&amp;keydelim&amp;$Q385,'Fuel Selector'!$B:$B,0)),0)</f>
        <v>0</v>
      </c>
    </row>
    <row r="386" spans="4:30" x14ac:dyDescent="0.2">
      <c r="D386" s="347" t="str">
        <f t="shared" si="349"/>
        <v>Biomethanol - TTP CO2 emissions</v>
      </c>
      <c r="F386" t="s">
        <v>586</v>
      </c>
      <c r="N386" s="48" t="s">
        <v>601</v>
      </c>
      <c r="P386" s="306"/>
      <c r="Q386" t="s">
        <v>602</v>
      </c>
      <c r="R386" s="76"/>
      <c r="S386" s="76">
        <f>IFERROR(INDEX('Fuel Selector'!K:K,MATCH($D386&amp;keydelim&amp;$Q386,'Fuel Selector'!$B:$B,0)),0)</f>
        <v>69.095477386934675</v>
      </c>
      <c r="T386" s="76">
        <f>IFERROR(INDEX('Fuel Selector'!L:L,MATCH($D386&amp;keydelim&amp;$Q386,'Fuel Selector'!$B:$B,0)),0)</f>
        <v>69.095477386934675</v>
      </c>
      <c r="U386" s="76">
        <f>IFERROR(INDEX('Fuel Selector'!M:M,MATCH($D386&amp;keydelim&amp;$Q386,'Fuel Selector'!$B:$B,0)),0)</f>
        <v>69.095477386934675</v>
      </c>
      <c r="V386" s="76">
        <f>IFERROR(INDEX('Fuel Selector'!N:N,MATCH($D386&amp;keydelim&amp;$Q386,'Fuel Selector'!$B:$B,0)),0)</f>
        <v>69.095477386934675</v>
      </c>
      <c r="W386" s="76">
        <f>IFERROR(INDEX('Fuel Selector'!O:O,MATCH($D386&amp;keydelim&amp;$Q386,'Fuel Selector'!$B:$B,0)),0)</f>
        <v>69.095477386934675</v>
      </c>
      <c r="X386" s="76">
        <f>IFERROR(INDEX('Fuel Selector'!P:P,MATCH($D386&amp;keydelim&amp;$Q386,'Fuel Selector'!$B:$B,0)),0)</f>
        <v>69.095477386934675</v>
      </c>
      <c r="Y386" s="76">
        <f>IFERROR(INDEX('Fuel Selector'!Q:Q,MATCH($D386&amp;keydelim&amp;$Q386,'Fuel Selector'!$B:$B,0)),0)</f>
        <v>69.095477386934675</v>
      </c>
      <c r="Z386" s="76">
        <f>IFERROR(INDEX('Fuel Selector'!R:R,MATCH($D386&amp;keydelim&amp;$Q386,'Fuel Selector'!$B:$B,0)),0)</f>
        <v>69.095477386934675</v>
      </c>
      <c r="AA386" s="76">
        <f>IFERROR(INDEX('Fuel Selector'!S:S,MATCH($D386&amp;keydelim&amp;$Q386,'Fuel Selector'!$B:$B,0)),0)</f>
        <v>69.095477386934675</v>
      </c>
      <c r="AB386" s="76">
        <f>IFERROR(INDEX('Fuel Selector'!T:T,MATCH($D386&amp;keydelim&amp;$Q386,'Fuel Selector'!$B:$B,0)),0)</f>
        <v>69.095477386934675</v>
      </c>
      <c r="AC386" s="76">
        <f>IFERROR(INDEX('Fuel Selector'!U:U,MATCH($D386&amp;keydelim&amp;$Q386,'Fuel Selector'!$B:$B,0)),0)</f>
        <v>69.095477386934675</v>
      </c>
      <c r="AD386" s="76">
        <f>IFERROR(INDEX('Fuel Selector'!V:V,MATCH($D386&amp;keydelim&amp;$Q386,'Fuel Selector'!$B:$B,0)),0)</f>
        <v>69.095477386934675</v>
      </c>
    </row>
    <row r="387" spans="4:30" x14ac:dyDescent="0.2">
      <c r="D387" s="347" t="str">
        <f t="shared" si="349"/>
        <v>Electricity - TTP CO2 emissions</v>
      </c>
      <c r="F387" t="s">
        <v>54</v>
      </c>
      <c r="N387" s="48" t="s">
        <v>601</v>
      </c>
      <c r="P387" s="306"/>
      <c r="Q387" t="s">
        <v>602</v>
      </c>
      <c r="R387" s="76"/>
      <c r="S387" s="76">
        <f>IFERROR(INDEX('Fuel Selector'!K:K,MATCH($D387&amp;keydelim&amp;$Q387,'Fuel Selector'!$B:$B,0)),0)</f>
        <v>0</v>
      </c>
      <c r="T387" s="76">
        <f>IFERROR(INDEX('Fuel Selector'!L:L,MATCH($D387&amp;keydelim&amp;$Q387,'Fuel Selector'!$B:$B,0)),0)</f>
        <v>0</v>
      </c>
      <c r="U387" s="76">
        <f>IFERROR(INDEX('Fuel Selector'!M:M,MATCH($D387&amp;keydelim&amp;$Q387,'Fuel Selector'!$B:$B,0)),0)</f>
        <v>0</v>
      </c>
      <c r="V387" s="76">
        <f>IFERROR(INDEX('Fuel Selector'!N:N,MATCH($D387&amp;keydelim&amp;$Q387,'Fuel Selector'!$B:$B,0)),0)</f>
        <v>0</v>
      </c>
      <c r="W387" s="76">
        <f>IFERROR(INDEX('Fuel Selector'!O:O,MATCH($D387&amp;keydelim&amp;$Q387,'Fuel Selector'!$B:$B,0)),0)</f>
        <v>0</v>
      </c>
      <c r="X387" s="76">
        <f>IFERROR(INDEX('Fuel Selector'!P:P,MATCH($D387&amp;keydelim&amp;$Q387,'Fuel Selector'!$B:$B,0)),0)</f>
        <v>0</v>
      </c>
      <c r="Y387" s="76">
        <f>IFERROR(INDEX('Fuel Selector'!Q:Q,MATCH($D387&amp;keydelim&amp;$Q387,'Fuel Selector'!$B:$B,0)),0)</f>
        <v>0</v>
      </c>
      <c r="Z387" s="76">
        <f>IFERROR(INDEX('Fuel Selector'!R:R,MATCH($D387&amp;keydelim&amp;$Q387,'Fuel Selector'!$B:$B,0)),0)</f>
        <v>0</v>
      </c>
      <c r="AA387" s="76">
        <f>IFERROR(INDEX('Fuel Selector'!S:S,MATCH($D387&amp;keydelim&amp;$Q387,'Fuel Selector'!$B:$B,0)),0)</f>
        <v>0</v>
      </c>
      <c r="AB387" s="76">
        <f>IFERROR(INDEX('Fuel Selector'!T:T,MATCH($D387&amp;keydelim&amp;$Q387,'Fuel Selector'!$B:$B,0)),0)</f>
        <v>0</v>
      </c>
      <c r="AC387" s="76">
        <f>IFERROR(INDEX('Fuel Selector'!U:U,MATCH($D387&amp;keydelim&amp;$Q387,'Fuel Selector'!$B:$B,0)),0)</f>
        <v>0</v>
      </c>
      <c r="AD387" s="76">
        <f>IFERROR(INDEX('Fuel Selector'!V:V,MATCH($D387&amp;keydelim&amp;$Q387,'Fuel Selector'!$B:$B,0)),0)</f>
        <v>0</v>
      </c>
    </row>
    <row r="388" spans="4:30" x14ac:dyDescent="0.2">
      <c r="D388" s="347" t="str">
        <f t="shared" si="349"/>
        <v>e-Methanol (DAC) - TTP CO2 emissions</v>
      </c>
      <c r="F388" t="s">
        <v>587</v>
      </c>
      <c r="N388" s="48" t="s">
        <v>601</v>
      </c>
      <c r="P388" s="306"/>
      <c r="Q388" t="s">
        <v>602</v>
      </c>
      <c r="R388" s="76"/>
      <c r="S388" s="76">
        <f>IFERROR(INDEX('Fuel Selector'!K:K,MATCH($D388&amp;keydelim&amp;$Q388,'Fuel Selector'!$B:$B,0)),0)</f>
        <v>69.095477386934675</v>
      </c>
      <c r="T388" s="76">
        <f>IFERROR(INDEX('Fuel Selector'!L:L,MATCH($D388&amp;keydelim&amp;$Q388,'Fuel Selector'!$B:$B,0)),0)</f>
        <v>69.095477386934675</v>
      </c>
      <c r="U388" s="76">
        <f>IFERROR(INDEX('Fuel Selector'!M:M,MATCH($D388&amp;keydelim&amp;$Q388,'Fuel Selector'!$B:$B,0)),0)</f>
        <v>69.095477386934675</v>
      </c>
      <c r="V388" s="76">
        <f>IFERROR(INDEX('Fuel Selector'!N:N,MATCH($D388&amp;keydelim&amp;$Q388,'Fuel Selector'!$B:$B,0)),0)</f>
        <v>69.095477386934675</v>
      </c>
      <c r="W388" s="76">
        <f>IFERROR(INDEX('Fuel Selector'!O:O,MATCH($D388&amp;keydelim&amp;$Q388,'Fuel Selector'!$B:$B,0)),0)</f>
        <v>69.095477386934675</v>
      </c>
      <c r="X388" s="76">
        <f>IFERROR(INDEX('Fuel Selector'!P:P,MATCH($D388&amp;keydelim&amp;$Q388,'Fuel Selector'!$B:$B,0)),0)</f>
        <v>69.095477386934675</v>
      </c>
      <c r="Y388" s="76">
        <f>IFERROR(INDEX('Fuel Selector'!Q:Q,MATCH($D388&amp;keydelim&amp;$Q388,'Fuel Selector'!$B:$B,0)),0)</f>
        <v>69.095477386934675</v>
      </c>
      <c r="Z388" s="76">
        <f>IFERROR(INDEX('Fuel Selector'!R:R,MATCH($D388&amp;keydelim&amp;$Q388,'Fuel Selector'!$B:$B,0)),0)</f>
        <v>69.095477386934675</v>
      </c>
      <c r="AA388" s="76">
        <f>IFERROR(INDEX('Fuel Selector'!S:S,MATCH($D388&amp;keydelim&amp;$Q388,'Fuel Selector'!$B:$B,0)),0)</f>
        <v>69.095477386934675</v>
      </c>
      <c r="AB388" s="76">
        <f>IFERROR(INDEX('Fuel Selector'!T:T,MATCH($D388&amp;keydelim&amp;$Q388,'Fuel Selector'!$B:$B,0)),0)</f>
        <v>69.095477386934675</v>
      </c>
      <c r="AC388" s="76">
        <f>IFERROR(INDEX('Fuel Selector'!U:U,MATCH($D388&amp;keydelim&amp;$Q388,'Fuel Selector'!$B:$B,0)),0)</f>
        <v>69.095477386934675</v>
      </c>
      <c r="AD388" s="76">
        <f>IFERROR(INDEX('Fuel Selector'!V:V,MATCH($D388&amp;keydelim&amp;$Q388,'Fuel Selector'!$B:$B,0)),0)</f>
        <v>69.095477386934675</v>
      </c>
    </row>
    <row r="389" spans="4:30" x14ac:dyDescent="0.2">
      <c r="D389" s="347" t="str">
        <f t="shared" si="349"/>
        <v>e-Methanol (PS) - TTP CO2 emissions</v>
      </c>
      <c r="F389" t="s">
        <v>119</v>
      </c>
      <c r="N389" s="48" t="s">
        <v>601</v>
      </c>
      <c r="Q389" t="s">
        <v>602</v>
      </c>
      <c r="R389" s="76"/>
      <c r="S389" s="76">
        <f>IFERROR(INDEX('Fuel Selector'!K:K,MATCH($D389&amp;keydelim&amp;$Q389,'Fuel Selector'!$B:$B,0)),0)</f>
        <v>69.095477386934675</v>
      </c>
      <c r="T389" s="76">
        <f>IFERROR(INDEX('Fuel Selector'!L:L,MATCH($D389&amp;keydelim&amp;$Q389,'Fuel Selector'!$B:$B,0)),0)</f>
        <v>69.095477386934675</v>
      </c>
      <c r="U389" s="76">
        <f>IFERROR(INDEX('Fuel Selector'!M:M,MATCH($D389&amp;keydelim&amp;$Q389,'Fuel Selector'!$B:$B,0)),0)</f>
        <v>69.095477386934675</v>
      </c>
      <c r="V389" s="76">
        <f>IFERROR(INDEX('Fuel Selector'!N:N,MATCH($D389&amp;keydelim&amp;$Q389,'Fuel Selector'!$B:$B,0)),0)</f>
        <v>69.095477386934675</v>
      </c>
      <c r="W389" s="76">
        <f>IFERROR(INDEX('Fuel Selector'!O:O,MATCH($D389&amp;keydelim&amp;$Q389,'Fuel Selector'!$B:$B,0)),0)</f>
        <v>69.095477386934675</v>
      </c>
      <c r="X389" s="76">
        <f>IFERROR(INDEX('Fuel Selector'!P:P,MATCH($D389&amp;keydelim&amp;$Q389,'Fuel Selector'!$B:$B,0)),0)</f>
        <v>69.095477386934675</v>
      </c>
      <c r="Y389" s="76">
        <f>IFERROR(INDEX('Fuel Selector'!Q:Q,MATCH($D389&amp;keydelim&amp;$Q389,'Fuel Selector'!$B:$B,0)),0)</f>
        <v>69.095477386934675</v>
      </c>
      <c r="Z389" s="76">
        <f>IFERROR(INDEX('Fuel Selector'!R:R,MATCH($D389&amp;keydelim&amp;$Q389,'Fuel Selector'!$B:$B,0)),0)</f>
        <v>69.095477386934675</v>
      </c>
      <c r="AA389" s="76">
        <f>IFERROR(INDEX('Fuel Selector'!S:S,MATCH($D389&amp;keydelim&amp;$Q389,'Fuel Selector'!$B:$B,0)),0)</f>
        <v>69.095477386934675</v>
      </c>
      <c r="AB389" s="76">
        <f>IFERROR(INDEX('Fuel Selector'!T:T,MATCH($D389&amp;keydelim&amp;$Q389,'Fuel Selector'!$B:$B,0)),0)</f>
        <v>69.095477386934675</v>
      </c>
      <c r="AC389" s="76">
        <f>IFERROR(INDEX('Fuel Selector'!U:U,MATCH($D389&amp;keydelim&amp;$Q389,'Fuel Selector'!$B:$B,0)),0)</f>
        <v>69.095477386934675</v>
      </c>
      <c r="AD389" s="76">
        <f>IFERROR(INDEX('Fuel Selector'!V:V,MATCH($D389&amp;keydelim&amp;$Q389,'Fuel Selector'!$B:$B,0)),0)</f>
        <v>69.095477386934675</v>
      </c>
    </row>
    <row r="390" spans="4:30" x14ac:dyDescent="0.2">
      <c r="D390" s="347" t="str">
        <f t="shared" si="349"/>
        <v>e-Diesel (DAC) - TTP CO2 emissions</v>
      </c>
      <c r="F390" t="s">
        <v>588</v>
      </c>
      <c r="N390" s="48" t="s">
        <v>601</v>
      </c>
      <c r="Q390" t="s">
        <v>602</v>
      </c>
      <c r="R390" s="76"/>
      <c r="S390" s="76">
        <f>IFERROR(INDEX('Fuel Selector'!K:K,MATCH($D390&amp;keydelim&amp;$Q390,'Fuel Selector'!$B:$B,0)),0)</f>
        <v>76.237236533957855</v>
      </c>
      <c r="T390" s="76">
        <f>IFERROR(INDEX('Fuel Selector'!L:L,MATCH($D390&amp;keydelim&amp;$Q390,'Fuel Selector'!$B:$B,0)),0)</f>
        <v>76.237236533957855</v>
      </c>
      <c r="U390" s="76">
        <f>IFERROR(INDEX('Fuel Selector'!M:M,MATCH($D390&amp;keydelim&amp;$Q390,'Fuel Selector'!$B:$B,0)),0)</f>
        <v>76.237236533957855</v>
      </c>
      <c r="V390" s="76">
        <f>IFERROR(INDEX('Fuel Selector'!N:N,MATCH($D390&amp;keydelim&amp;$Q390,'Fuel Selector'!$B:$B,0)),0)</f>
        <v>76.237236533957855</v>
      </c>
      <c r="W390" s="76">
        <f>IFERROR(INDEX('Fuel Selector'!O:O,MATCH($D390&amp;keydelim&amp;$Q390,'Fuel Selector'!$B:$B,0)),0)</f>
        <v>76.237236533957855</v>
      </c>
      <c r="X390" s="76">
        <f>IFERROR(INDEX('Fuel Selector'!P:P,MATCH($D390&amp;keydelim&amp;$Q390,'Fuel Selector'!$B:$B,0)),0)</f>
        <v>76.237236533957855</v>
      </c>
      <c r="Y390" s="76">
        <f>IFERROR(INDEX('Fuel Selector'!Q:Q,MATCH($D390&amp;keydelim&amp;$Q390,'Fuel Selector'!$B:$B,0)),0)</f>
        <v>76.237236533957855</v>
      </c>
      <c r="Z390" s="76">
        <f>IFERROR(INDEX('Fuel Selector'!R:R,MATCH($D390&amp;keydelim&amp;$Q390,'Fuel Selector'!$B:$B,0)),0)</f>
        <v>76.237236533957855</v>
      </c>
      <c r="AA390" s="76">
        <f>IFERROR(INDEX('Fuel Selector'!S:S,MATCH($D390&amp;keydelim&amp;$Q390,'Fuel Selector'!$B:$B,0)),0)</f>
        <v>76.237236533957855</v>
      </c>
      <c r="AB390" s="76">
        <f>IFERROR(INDEX('Fuel Selector'!T:T,MATCH($D390&amp;keydelim&amp;$Q390,'Fuel Selector'!$B:$B,0)),0)</f>
        <v>76.237236533957855</v>
      </c>
      <c r="AC390" s="76">
        <f>IFERROR(INDEX('Fuel Selector'!U:U,MATCH($D390&amp;keydelim&amp;$Q390,'Fuel Selector'!$B:$B,0)),0)</f>
        <v>76.237236533957855</v>
      </c>
      <c r="AD390" s="76">
        <f>IFERROR(INDEX('Fuel Selector'!V:V,MATCH($D390&amp;keydelim&amp;$Q390,'Fuel Selector'!$B:$B,0)),0)</f>
        <v>76.237236533957855</v>
      </c>
    </row>
    <row r="391" spans="4:30" x14ac:dyDescent="0.2">
      <c r="D391" s="347" t="str">
        <f t="shared" si="349"/>
        <v>e-Diesel (PS) - TTP CO2 emissions</v>
      </c>
      <c r="F391" t="s">
        <v>589</v>
      </c>
      <c r="N391" s="48" t="s">
        <v>601</v>
      </c>
      <c r="Q391" t="s">
        <v>602</v>
      </c>
      <c r="R391" s="76"/>
      <c r="S391" s="76">
        <f>IFERROR(INDEX('Fuel Selector'!K:K,MATCH($D391&amp;keydelim&amp;$Q391,'Fuel Selector'!$B:$B,0)),0)</f>
        <v>76.237236533957855</v>
      </c>
      <c r="T391" s="76">
        <f>IFERROR(INDEX('Fuel Selector'!L:L,MATCH($D391&amp;keydelim&amp;$Q391,'Fuel Selector'!$B:$B,0)),0)</f>
        <v>76.237236533957855</v>
      </c>
      <c r="U391" s="76">
        <f>IFERROR(INDEX('Fuel Selector'!M:M,MATCH($D391&amp;keydelim&amp;$Q391,'Fuel Selector'!$B:$B,0)),0)</f>
        <v>76.237236533957855</v>
      </c>
      <c r="V391" s="76">
        <f>IFERROR(INDEX('Fuel Selector'!N:N,MATCH($D391&amp;keydelim&amp;$Q391,'Fuel Selector'!$B:$B,0)),0)</f>
        <v>76.237236533957855</v>
      </c>
      <c r="W391" s="76">
        <f>IFERROR(INDEX('Fuel Selector'!O:O,MATCH($D391&amp;keydelim&amp;$Q391,'Fuel Selector'!$B:$B,0)),0)</f>
        <v>76.237236533957855</v>
      </c>
      <c r="X391" s="76">
        <f>IFERROR(INDEX('Fuel Selector'!P:P,MATCH($D391&amp;keydelim&amp;$Q391,'Fuel Selector'!$B:$B,0)),0)</f>
        <v>76.237236533957855</v>
      </c>
      <c r="Y391" s="76">
        <f>IFERROR(INDEX('Fuel Selector'!Q:Q,MATCH($D391&amp;keydelim&amp;$Q391,'Fuel Selector'!$B:$B,0)),0)</f>
        <v>76.237236533957855</v>
      </c>
      <c r="Z391" s="76">
        <f>IFERROR(INDEX('Fuel Selector'!R:R,MATCH($D391&amp;keydelim&amp;$Q391,'Fuel Selector'!$B:$B,0)),0)</f>
        <v>76.237236533957855</v>
      </c>
      <c r="AA391" s="76">
        <f>IFERROR(INDEX('Fuel Selector'!S:S,MATCH($D391&amp;keydelim&amp;$Q391,'Fuel Selector'!$B:$B,0)),0)</f>
        <v>76.237236533957855</v>
      </c>
      <c r="AB391" s="76">
        <f>IFERROR(INDEX('Fuel Selector'!T:T,MATCH($D391&amp;keydelim&amp;$Q391,'Fuel Selector'!$B:$B,0)),0)</f>
        <v>76.237236533957855</v>
      </c>
      <c r="AC391" s="76">
        <f>IFERROR(INDEX('Fuel Selector'!U:U,MATCH($D391&amp;keydelim&amp;$Q391,'Fuel Selector'!$B:$B,0)),0)</f>
        <v>76.237236533957855</v>
      </c>
      <c r="AD391" s="76">
        <f>IFERROR(INDEX('Fuel Selector'!V:V,MATCH($D391&amp;keydelim&amp;$Q391,'Fuel Selector'!$B:$B,0)),0)</f>
        <v>76.237236533957855</v>
      </c>
    </row>
    <row r="392" spans="4:30" x14ac:dyDescent="0.2">
      <c r="D392" s="347" t="str">
        <f t="shared" si="349"/>
        <v>e-Methane (DAC) - TTP CO2 emissions</v>
      </c>
      <c r="F392" t="s">
        <v>590</v>
      </c>
      <c r="N392" s="48" t="s">
        <v>601</v>
      </c>
      <c r="Q392" t="s">
        <v>602</v>
      </c>
      <c r="R392" s="76"/>
      <c r="S392" s="76">
        <f>IFERROR(INDEX('Fuel Selector'!K:K,MATCH($D392&amp;keydelim&amp;$Q392,'Fuel Selector'!$B:$B,0)),0)</f>
        <v>72.985200000000006</v>
      </c>
      <c r="T392" s="76">
        <f>IFERROR(INDEX('Fuel Selector'!L:L,MATCH($D392&amp;keydelim&amp;$Q392,'Fuel Selector'!$B:$B,0)),0)</f>
        <v>72.985200000000006</v>
      </c>
      <c r="U392" s="76">
        <f>IFERROR(INDEX('Fuel Selector'!M:M,MATCH($D392&amp;keydelim&amp;$Q392,'Fuel Selector'!$B:$B,0)),0)</f>
        <v>72.985200000000006</v>
      </c>
      <c r="V392" s="76">
        <f>IFERROR(INDEX('Fuel Selector'!N:N,MATCH($D392&amp;keydelim&amp;$Q392,'Fuel Selector'!$B:$B,0)),0)</f>
        <v>72.985200000000006</v>
      </c>
      <c r="W392" s="76">
        <f>IFERROR(INDEX('Fuel Selector'!O:O,MATCH($D392&amp;keydelim&amp;$Q392,'Fuel Selector'!$B:$B,0)),0)</f>
        <v>72.985200000000006</v>
      </c>
      <c r="X392" s="76">
        <f>IFERROR(INDEX('Fuel Selector'!P:P,MATCH($D392&amp;keydelim&amp;$Q392,'Fuel Selector'!$B:$B,0)),0)</f>
        <v>72.985200000000006</v>
      </c>
      <c r="Y392" s="76">
        <f>IFERROR(INDEX('Fuel Selector'!Q:Q,MATCH($D392&amp;keydelim&amp;$Q392,'Fuel Selector'!$B:$B,0)),0)</f>
        <v>72.985200000000006</v>
      </c>
      <c r="Z392" s="76">
        <f>IFERROR(INDEX('Fuel Selector'!R:R,MATCH($D392&amp;keydelim&amp;$Q392,'Fuel Selector'!$B:$B,0)),0)</f>
        <v>72.985200000000006</v>
      </c>
      <c r="AA392" s="76">
        <f>IFERROR(INDEX('Fuel Selector'!S:S,MATCH($D392&amp;keydelim&amp;$Q392,'Fuel Selector'!$B:$B,0)),0)</f>
        <v>72.985200000000006</v>
      </c>
      <c r="AB392" s="76">
        <f>IFERROR(INDEX('Fuel Selector'!T:T,MATCH($D392&amp;keydelim&amp;$Q392,'Fuel Selector'!$B:$B,0)),0)</f>
        <v>72.985200000000006</v>
      </c>
      <c r="AC392" s="76">
        <f>IFERROR(INDEX('Fuel Selector'!U:U,MATCH($D392&amp;keydelim&amp;$Q392,'Fuel Selector'!$B:$B,0)),0)</f>
        <v>72.985200000000006</v>
      </c>
      <c r="AD392" s="76">
        <f>IFERROR(INDEX('Fuel Selector'!V:V,MATCH($D392&amp;keydelim&amp;$Q392,'Fuel Selector'!$B:$B,0)),0)</f>
        <v>72.985200000000006</v>
      </c>
    </row>
    <row r="393" spans="4:30" x14ac:dyDescent="0.2">
      <c r="D393" s="347" t="str">
        <f t="shared" si="349"/>
        <v>e-Methane (PS) - TTP CO2 emissions</v>
      </c>
      <c r="F393" t="s">
        <v>591</v>
      </c>
      <c r="N393" s="48" t="s">
        <v>601</v>
      </c>
      <c r="Q393" t="s">
        <v>602</v>
      </c>
      <c r="R393" s="76"/>
      <c r="S393" s="76">
        <f>IFERROR(INDEX('Fuel Selector'!K:K,MATCH($D393&amp;keydelim&amp;$Q393,'Fuel Selector'!$B:$B,0)),0)</f>
        <v>72.985200000000006</v>
      </c>
      <c r="T393" s="76">
        <f>IFERROR(INDEX('Fuel Selector'!L:L,MATCH($D393&amp;keydelim&amp;$Q393,'Fuel Selector'!$B:$B,0)),0)</f>
        <v>72.985200000000006</v>
      </c>
      <c r="U393" s="76">
        <f>IFERROR(INDEX('Fuel Selector'!M:M,MATCH($D393&amp;keydelim&amp;$Q393,'Fuel Selector'!$B:$B,0)),0)</f>
        <v>72.985200000000006</v>
      </c>
      <c r="V393" s="76">
        <f>IFERROR(INDEX('Fuel Selector'!N:N,MATCH($D393&amp;keydelim&amp;$Q393,'Fuel Selector'!$B:$B,0)),0)</f>
        <v>72.985200000000006</v>
      </c>
      <c r="W393" s="76">
        <f>IFERROR(INDEX('Fuel Selector'!O:O,MATCH($D393&amp;keydelim&amp;$Q393,'Fuel Selector'!$B:$B,0)),0)</f>
        <v>72.985200000000006</v>
      </c>
      <c r="X393" s="76">
        <f>IFERROR(INDEX('Fuel Selector'!P:P,MATCH($D393&amp;keydelim&amp;$Q393,'Fuel Selector'!$B:$B,0)),0)</f>
        <v>72.985200000000006</v>
      </c>
      <c r="Y393" s="76">
        <f>IFERROR(INDEX('Fuel Selector'!Q:Q,MATCH($D393&amp;keydelim&amp;$Q393,'Fuel Selector'!$B:$B,0)),0)</f>
        <v>72.985200000000006</v>
      </c>
      <c r="Z393" s="76">
        <f>IFERROR(INDEX('Fuel Selector'!R:R,MATCH($D393&amp;keydelim&amp;$Q393,'Fuel Selector'!$B:$B,0)),0)</f>
        <v>72.985200000000006</v>
      </c>
      <c r="AA393" s="76">
        <f>IFERROR(INDEX('Fuel Selector'!S:S,MATCH($D393&amp;keydelim&amp;$Q393,'Fuel Selector'!$B:$B,0)),0)</f>
        <v>72.985200000000006</v>
      </c>
      <c r="AB393" s="76">
        <f>IFERROR(INDEX('Fuel Selector'!T:T,MATCH($D393&amp;keydelim&amp;$Q393,'Fuel Selector'!$B:$B,0)),0)</f>
        <v>72.985200000000006</v>
      </c>
      <c r="AC393" s="76">
        <f>IFERROR(INDEX('Fuel Selector'!U:U,MATCH($D393&amp;keydelim&amp;$Q393,'Fuel Selector'!$B:$B,0)),0)</f>
        <v>72.985200000000006</v>
      </c>
      <c r="AD393" s="76">
        <f>IFERROR(INDEX('Fuel Selector'!V:V,MATCH($D393&amp;keydelim&amp;$Q393,'Fuel Selector'!$B:$B,0)),0)</f>
        <v>72.985200000000006</v>
      </c>
    </row>
    <row r="394" spans="4:30" x14ac:dyDescent="0.2">
      <c r="D394" s="347" t="str">
        <f t="shared" si="349"/>
        <v>Blue ammonia - TTP CO2 emissions</v>
      </c>
      <c r="F394" t="s">
        <v>120</v>
      </c>
      <c r="N394" s="48" t="s">
        <v>601</v>
      </c>
      <c r="Q394" t="s">
        <v>602</v>
      </c>
      <c r="R394" s="76"/>
      <c r="S394" s="76">
        <f>IFERROR(INDEX('Fuel Selector'!K:K,MATCH($D394&amp;keydelim&amp;$Q394,'Fuel Selector'!$B:$B,0)),0)</f>
        <v>0</v>
      </c>
      <c r="T394" s="76">
        <f>IFERROR(INDEX('Fuel Selector'!L:L,MATCH($D394&amp;keydelim&amp;$Q394,'Fuel Selector'!$B:$B,0)),0)</f>
        <v>0</v>
      </c>
      <c r="U394" s="76">
        <f>IFERROR(INDEX('Fuel Selector'!M:M,MATCH($D394&amp;keydelim&amp;$Q394,'Fuel Selector'!$B:$B,0)),0)</f>
        <v>0</v>
      </c>
      <c r="V394" s="76">
        <f>IFERROR(INDEX('Fuel Selector'!N:N,MATCH($D394&amp;keydelim&amp;$Q394,'Fuel Selector'!$B:$B,0)),0)</f>
        <v>0</v>
      </c>
      <c r="W394" s="76">
        <f>IFERROR(INDEX('Fuel Selector'!O:O,MATCH($D394&amp;keydelim&amp;$Q394,'Fuel Selector'!$B:$B,0)),0)</f>
        <v>0</v>
      </c>
      <c r="X394" s="76">
        <f>IFERROR(INDEX('Fuel Selector'!P:P,MATCH($D394&amp;keydelim&amp;$Q394,'Fuel Selector'!$B:$B,0)),0)</f>
        <v>0</v>
      </c>
      <c r="Y394" s="76">
        <f>IFERROR(INDEX('Fuel Selector'!Q:Q,MATCH($D394&amp;keydelim&amp;$Q394,'Fuel Selector'!$B:$B,0)),0)</f>
        <v>0</v>
      </c>
      <c r="Z394" s="76">
        <f>IFERROR(INDEX('Fuel Selector'!R:R,MATCH($D394&amp;keydelim&amp;$Q394,'Fuel Selector'!$B:$B,0)),0)</f>
        <v>0</v>
      </c>
      <c r="AA394" s="76">
        <f>IFERROR(INDEX('Fuel Selector'!S:S,MATCH($D394&amp;keydelim&amp;$Q394,'Fuel Selector'!$B:$B,0)),0)</f>
        <v>0</v>
      </c>
      <c r="AB394" s="76">
        <f>IFERROR(INDEX('Fuel Selector'!T:T,MATCH($D394&amp;keydelim&amp;$Q394,'Fuel Selector'!$B:$B,0)),0)</f>
        <v>0</v>
      </c>
      <c r="AC394" s="76">
        <f>IFERROR(INDEX('Fuel Selector'!U:U,MATCH($D394&amp;keydelim&amp;$Q394,'Fuel Selector'!$B:$B,0)),0)</f>
        <v>0</v>
      </c>
      <c r="AD394" s="76">
        <f>IFERROR(INDEX('Fuel Selector'!V:V,MATCH($D394&amp;keydelim&amp;$Q394,'Fuel Selector'!$B:$B,0)),0)</f>
        <v>0</v>
      </c>
    </row>
    <row r="395" spans="4:30" x14ac:dyDescent="0.2">
      <c r="D395" s="347" t="str">
        <f t="shared" si="349"/>
        <v>Blue hydrogen (compressed) - TTP CO2 emissions</v>
      </c>
      <c r="F395" t="s">
        <v>592</v>
      </c>
      <c r="N395" s="48" t="s">
        <v>601</v>
      </c>
      <c r="Q395" t="s">
        <v>602</v>
      </c>
      <c r="R395" s="76"/>
      <c r="S395" s="76">
        <f>IFERROR(INDEX('Fuel Selector'!K:K,MATCH($D395&amp;keydelim&amp;$Q395,'Fuel Selector'!$B:$B,0)),0)</f>
        <v>0</v>
      </c>
      <c r="T395" s="76">
        <f>IFERROR(INDEX('Fuel Selector'!L:L,MATCH($D395&amp;keydelim&amp;$Q395,'Fuel Selector'!$B:$B,0)),0)</f>
        <v>0</v>
      </c>
      <c r="U395" s="76">
        <f>IFERROR(INDEX('Fuel Selector'!M:M,MATCH($D395&amp;keydelim&amp;$Q395,'Fuel Selector'!$B:$B,0)),0)</f>
        <v>0</v>
      </c>
      <c r="V395" s="76">
        <f>IFERROR(INDEX('Fuel Selector'!N:N,MATCH($D395&amp;keydelim&amp;$Q395,'Fuel Selector'!$B:$B,0)),0)</f>
        <v>0</v>
      </c>
      <c r="W395" s="76">
        <f>IFERROR(INDEX('Fuel Selector'!O:O,MATCH($D395&amp;keydelim&amp;$Q395,'Fuel Selector'!$B:$B,0)),0)</f>
        <v>0</v>
      </c>
      <c r="X395" s="76">
        <f>IFERROR(INDEX('Fuel Selector'!P:P,MATCH($D395&amp;keydelim&amp;$Q395,'Fuel Selector'!$B:$B,0)),0)</f>
        <v>0</v>
      </c>
      <c r="Y395" s="76">
        <f>IFERROR(INDEX('Fuel Selector'!Q:Q,MATCH($D395&amp;keydelim&amp;$Q395,'Fuel Selector'!$B:$B,0)),0)</f>
        <v>0</v>
      </c>
      <c r="Z395" s="76">
        <f>IFERROR(INDEX('Fuel Selector'!R:R,MATCH($D395&amp;keydelim&amp;$Q395,'Fuel Selector'!$B:$B,0)),0)</f>
        <v>0</v>
      </c>
      <c r="AA395" s="76">
        <f>IFERROR(INDEX('Fuel Selector'!S:S,MATCH($D395&amp;keydelim&amp;$Q395,'Fuel Selector'!$B:$B,0)),0)</f>
        <v>0</v>
      </c>
      <c r="AB395" s="76">
        <f>IFERROR(INDEX('Fuel Selector'!T:T,MATCH($D395&amp;keydelim&amp;$Q395,'Fuel Selector'!$B:$B,0)),0)</f>
        <v>0</v>
      </c>
      <c r="AC395" s="76">
        <f>IFERROR(INDEX('Fuel Selector'!U:U,MATCH($D395&amp;keydelim&amp;$Q395,'Fuel Selector'!$B:$B,0)),0)</f>
        <v>0</v>
      </c>
      <c r="AD395" s="76">
        <f>IFERROR(INDEX('Fuel Selector'!V:V,MATCH($D395&amp;keydelim&amp;$Q395,'Fuel Selector'!$B:$B,0)),0)</f>
        <v>0</v>
      </c>
    </row>
    <row r="396" spans="4:30" x14ac:dyDescent="0.2">
      <c r="D396" s="347" t="str">
        <f>_xlfn.TEXTJOIN(keydelim,TRUE,E396:N396)</f>
        <v>Blue hydrogen (liquid) - TTP CO2 emissions</v>
      </c>
      <c r="F396" t="s">
        <v>593</v>
      </c>
      <c r="N396" s="48" t="s">
        <v>601</v>
      </c>
      <c r="Q396" t="s">
        <v>602</v>
      </c>
      <c r="R396" s="76"/>
      <c r="S396" s="76">
        <f>IFERROR(INDEX('Fuel Selector'!K:K,MATCH($D396&amp;keydelim&amp;$Q396,'Fuel Selector'!$B:$B,0)),0)</f>
        <v>0</v>
      </c>
      <c r="T396" s="76">
        <f>IFERROR(INDEX('Fuel Selector'!L:L,MATCH($D396&amp;keydelim&amp;$Q396,'Fuel Selector'!$B:$B,0)),0)</f>
        <v>0</v>
      </c>
      <c r="U396" s="76">
        <f>IFERROR(INDEX('Fuel Selector'!M:M,MATCH($D396&amp;keydelim&amp;$Q396,'Fuel Selector'!$B:$B,0)),0)</f>
        <v>0</v>
      </c>
      <c r="V396" s="76">
        <f>IFERROR(INDEX('Fuel Selector'!N:N,MATCH($D396&amp;keydelim&amp;$Q396,'Fuel Selector'!$B:$B,0)),0)</f>
        <v>0</v>
      </c>
      <c r="W396" s="76">
        <f>IFERROR(INDEX('Fuel Selector'!O:O,MATCH($D396&amp;keydelim&amp;$Q396,'Fuel Selector'!$B:$B,0)),0)</f>
        <v>0</v>
      </c>
      <c r="X396" s="76">
        <f>IFERROR(INDEX('Fuel Selector'!P:P,MATCH($D396&amp;keydelim&amp;$Q396,'Fuel Selector'!$B:$B,0)),0)</f>
        <v>0</v>
      </c>
      <c r="Y396" s="76">
        <f>IFERROR(INDEX('Fuel Selector'!Q:Q,MATCH($D396&amp;keydelim&amp;$Q396,'Fuel Selector'!$B:$B,0)),0)</f>
        <v>0</v>
      </c>
      <c r="Z396" s="76">
        <f>IFERROR(INDEX('Fuel Selector'!R:R,MATCH($D396&amp;keydelim&amp;$Q396,'Fuel Selector'!$B:$B,0)),0)</f>
        <v>0</v>
      </c>
      <c r="AA396" s="76">
        <f>IFERROR(INDEX('Fuel Selector'!S:S,MATCH($D396&amp;keydelim&amp;$Q396,'Fuel Selector'!$B:$B,0)),0)</f>
        <v>0</v>
      </c>
      <c r="AB396" s="76">
        <f>IFERROR(INDEX('Fuel Selector'!T:T,MATCH($D396&amp;keydelim&amp;$Q396,'Fuel Selector'!$B:$B,0)),0)</f>
        <v>0</v>
      </c>
      <c r="AC396" s="76">
        <f>IFERROR(INDEX('Fuel Selector'!U:U,MATCH($D396&amp;keydelim&amp;$Q396,'Fuel Selector'!$B:$B,0)),0)</f>
        <v>0</v>
      </c>
      <c r="AD396" s="76">
        <f>IFERROR(INDEX('Fuel Selector'!V:V,MATCH($D396&amp;keydelim&amp;$Q396,'Fuel Selector'!$B:$B,0)),0)</f>
        <v>0</v>
      </c>
    </row>
    <row r="397" spans="4:30" x14ac:dyDescent="0.2">
      <c r="D397" s="347" t="str">
        <f t="shared" ref="D397" si="351">_xlfn.TEXTJOIN(keydelim,TRUE,E397:N397)</f>
        <v>Biomethane - TTP CO2 emissions</v>
      </c>
      <c r="F397" t="s">
        <v>118</v>
      </c>
      <c r="N397" s="48" t="s">
        <v>601</v>
      </c>
      <c r="O397" s="765"/>
      <c r="Q397" t="s">
        <v>602</v>
      </c>
      <c r="R397" s="76"/>
      <c r="S397" s="76">
        <f>IFERROR(INDEX('Fuel Selector'!K:K,MATCH($D397&amp;keydelim&amp;$Q397,'Fuel Selector'!$B:$B,0)),0)</f>
        <v>72.985200000000006</v>
      </c>
      <c r="T397" s="76">
        <f>IFERROR(INDEX('Fuel Selector'!L:L,MATCH($D397&amp;keydelim&amp;$Q397,'Fuel Selector'!$B:$B,0)),0)</f>
        <v>72.985200000000006</v>
      </c>
      <c r="U397" s="76">
        <f>IFERROR(INDEX('Fuel Selector'!M:M,MATCH($D397&amp;keydelim&amp;$Q397,'Fuel Selector'!$B:$B,0)),0)</f>
        <v>72.985200000000006</v>
      </c>
      <c r="V397" s="76">
        <f>IFERROR(INDEX('Fuel Selector'!N:N,MATCH($D397&amp;keydelim&amp;$Q397,'Fuel Selector'!$B:$B,0)),0)</f>
        <v>72.985200000000006</v>
      </c>
      <c r="W397" s="76">
        <f>IFERROR(INDEX('Fuel Selector'!O:O,MATCH($D397&amp;keydelim&amp;$Q397,'Fuel Selector'!$B:$B,0)),0)</f>
        <v>72.985200000000006</v>
      </c>
      <c r="X397" s="76">
        <f>IFERROR(INDEX('Fuel Selector'!P:P,MATCH($D397&amp;keydelim&amp;$Q397,'Fuel Selector'!$B:$B,0)),0)</f>
        <v>72.985200000000006</v>
      </c>
      <c r="Y397" s="76">
        <f>IFERROR(INDEX('Fuel Selector'!Q:Q,MATCH($D397&amp;keydelim&amp;$Q397,'Fuel Selector'!$B:$B,0)),0)</f>
        <v>72.985200000000006</v>
      </c>
      <c r="Z397" s="76">
        <f>IFERROR(INDEX('Fuel Selector'!R:R,MATCH($D397&amp;keydelim&amp;$Q397,'Fuel Selector'!$B:$B,0)),0)</f>
        <v>72.985200000000006</v>
      </c>
      <c r="AA397" s="76">
        <f>IFERROR(INDEX('Fuel Selector'!S:S,MATCH($D397&amp;keydelim&amp;$Q397,'Fuel Selector'!$B:$B,0)),0)</f>
        <v>72.985200000000006</v>
      </c>
      <c r="AB397" s="76">
        <f>IFERROR(INDEX('Fuel Selector'!T:T,MATCH($D397&amp;keydelim&amp;$Q397,'Fuel Selector'!$B:$B,0)),0)</f>
        <v>72.985200000000006</v>
      </c>
      <c r="AC397" s="76">
        <f>IFERROR(INDEX('Fuel Selector'!U:U,MATCH($D397&amp;keydelim&amp;$Q397,'Fuel Selector'!$B:$B,0)),0)</f>
        <v>72.985200000000006</v>
      </c>
      <c r="AD397" s="76">
        <f>IFERROR(INDEX('Fuel Selector'!V:V,MATCH($D397&amp;keydelim&amp;$Q397,'Fuel Selector'!$B:$B,0)),0)</f>
        <v>72.985200000000006</v>
      </c>
    </row>
    <row r="398" spans="4:30" x14ac:dyDescent="0.2">
      <c r="D398" s="347" t="str">
        <f>_xlfn.TEXTJOIN(keydelim,TRUE,E398:N398)</f>
        <v>Biodiesel (HtL) - TTP CO2 emissions</v>
      </c>
      <c r="F398" t="s">
        <v>594</v>
      </c>
      <c r="N398" s="48" t="s">
        <v>601</v>
      </c>
      <c r="O398" s="763"/>
      <c r="Q398" t="s">
        <v>602</v>
      </c>
      <c r="R398" s="76"/>
      <c r="S398" s="76">
        <f>IFERROR(INDEX('Fuel Selector'!K:K,MATCH($D398&amp;keydelim&amp;$Q398,'Fuel Selector'!$B:$B,0)),0)</f>
        <v>76.237236533957855</v>
      </c>
      <c r="T398" s="76">
        <f>IFERROR(INDEX('Fuel Selector'!L:L,MATCH($D398&amp;keydelim&amp;$Q398,'Fuel Selector'!$B:$B,0)),0)</f>
        <v>76.237236533957855</v>
      </c>
      <c r="U398" s="76">
        <f>IFERROR(INDEX('Fuel Selector'!M:M,MATCH($D398&amp;keydelim&amp;$Q398,'Fuel Selector'!$B:$B,0)),0)</f>
        <v>76.237236533957855</v>
      </c>
      <c r="V398" s="76">
        <f>IFERROR(INDEX('Fuel Selector'!N:N,MATCH($D398&amp;keydelim&amp;$Q398,'Fuel Selector'!$B:$B,0)),0)</f>
        <v>76.237236533957855</v>
      </c>
      <c r="W398" s="76">
        <f>IFERROR(INDEX('Fuel Selector'!O:O,MATCH($D398&amp;keydelim&amp;$Q398,'Fuel Selector'!$B:$B,0)),0)</f>
        <v>76.237236533957855</v>
      </c>
      <c r="X398" s="76">
        <f>IFERROR(INDEX('Fuel Selector'!P:P,MATCH($D398&amp;keydelim&amp;$Q398,'Fuel Selector'!$B:$B,0)),0)</f>
        <v>76.237236533957855</v>
      </c>
      <c r="Y398" s="76">
        <f>IFERROR(INDEX('Fuel Selector'!Q:Q,MATCH($D398&amp;keydelim&amp;$Q398,'Fuel Selector'!$B:$B,0)),0)</f>
        <v>76.237236533957855</v>
      </c>
      <c r="Z398" s="76">
        <f>IFERROR(INDEX('Fuel Selector'!R:R,MATCH($D398&amp;keydelim&amp;$Q398,'Fuel Selector'!$B:$B,0)),0)</f>
        <v>76.237236533957855</v>
      </c>
      <c r="AA398" s="76">
        <f>IFERROR(INDEX('Fuel Selector'!S:S,MATCH($D398&amp;keydelim&amp;$Q398,'Fuel Selector'!$B:$B,0)),0)</f>
        <v>76.237236533957855</v>
      </c>
      <c r="AB398" s="76">
        <f>IFERROR(INDEX('Fuel Selector'!T:T,MATCH($D398&amp;keydelim&amp;$Q398,'Fuel Selector'!$B:$B,0)),0)</f>
        <v>76.237236533957855</v>
      </c>
      <c r="AC398" s="76">
        <f>IFERROR(INDEX('Fuel Selector'!U:U,MATCH($D398&amp;keydelim&amp;$Q398,'Fuel Selector'!$B:$B,0)),0)</f>
        <v>76.237236533957855</v>
      </c>
      <c r="AD398" s="76">
        <f>IFERROR(INDEX('Fuel Selector'!V:V,MATCH($D398&amp;keydelim&amp;$Q398,'Fuel Selector'!$B:$B,0)),0)</f>
        <v>76.237236533957855</v>
      </c>
    </row>
    <row r="399" spans="4:30" x14ac:dyDescent="0.2">
      <c r="D399" s="347" t="str">
        <f>_xlfn.TEXTJOIN(keydelim,TRUE,E399:N399)</f>
        <v>Biodiesel (Pyr) - TTP CO2 emissions</v>
      </c>
      <c r="F399" t="s">
        <v>123</v>
      </c>
      <c r="N399" s="48" t="s">
        <v>601</v>
      </c>
      <c r="Q399" t="s">
        <v>602</v>
      </c>
      <c r="R399" s="76"/>
      <c r="S399" s="76">
        <f>IFERROR(INDEX('Fuel Selector'!K:K,MATCH($D399&amp;keydelim&amp;$Q399,'Fuel Selector'!$B:$B,0)),0)</f>
        <v>76.237236533957855</v>
      </c>
      <c r="T399" s="76">
        <f>IFERROR(INDEX('Fuel Selector'!L:L,MATCH($D399&amp;keydelim&amp;$Q399,'Fuel Selector'!$B:$B,0)),0)</f>
        <v>76.237236533957855</v>
      </c>
      <c r="U399" s="76">
        <f>IFERROR(INDEX('Fuel Selector'!M:M,MATCH($D399&amp;keydelim&amp;$Q399,'Fuel Selector'!$B:$B,0)),0)</f>
        <v>76.237236533957855</v>
      </c>
      <c r="V399" s="76">
        <f>IFERROR(INDEX('Fuel Selector'!N:N,MATCH($D399&amp;keydelim&amp;$Q399,'Fuel Selector'!$B:$B,0)),0)</f>
        <v>76.237236533957855</v>
      </c>
      <c r="W399" s="76">
        <f>IFERROR(INDEX('Fuel Selector'!O:O,MATCH($D399&amp;keydelim&amp;$Q399,'Fuel Selector'!$B:$B,0)),0)</f>
        <v>76.237236533957855</v>
      </c>
      <c r="X399" s="76">
        <f>IFERROR(INDEX('Fuel Selector'!P:P,MATCH($D399&amp;keydelim&amp;$Q399,'Fuel Selector'!$B:$B,0)),0)</f>
        <v>76.237236533957855</v>
      </c>
      <c r="Y399" s="76">
        <f>IFERROR(INDEX('Fuel Selector'!Q:Q,MATCH($D399&amp;keydelim&amp;$Q399,'Fuel Selector'!$B:$B,0)),0)</f>
        <v>76.237236533957855</v>
      </c>
      <c r="Z399" s="76">
        <f>IFERROR(INDEX('Fuel Selector'!R:R,MATCH($D399&amp;keydelim&amp;$Q399,'Fuel Selector'!$B:$B,0)),0)</f>
        <v>76.237236533957855</v>
      </c>
      <c r="AA399" s="76">
        <f>IFERROR(INDEX('Fuel Selector'!S:S,MATCH($D399&amp;keydelim&amp;$Q399,'Fuel Selector'!$B:$B,0)),0)</f>
        <v>76.237236533957855</v>
      </c>
      <c r="AB399" s="76">
        <f>IFERROR(INDEX('Fuel Selector'!T:T,MATCH($D399&amp;keydelim&amp;$Q399,'Fuel Selector'!$B:$B,0)),0)</f>
        <v>76.237236533957855</v>
      </c>
      <c r="AC399" s="76">
        <f>IFERROR(INDEX('Fuel Selector'!U:U,MATCH($D399&amp;keydelim&amp;$Q399,'Fuel Selector'!$B:$B,0)),0)</f>
        <v>76.237236533957855</v>
      </c>
      <c r="AD399" s="76">
        <f>IFERROR(INDEX('Fuel Selector'!V:V,MATCH($D399&amp;keydelim&amp;$Q399,'Fuel Selector'!$B:$B,0)),0)</f>
        <v>76.237236533957855</v>
      </c>
    </row>
    <row r="400" spans="4:30" x14ac:dyDescent="0.2">
      <c r="D400" s="347" t="str">
        <f>_xlfn.TEXTJOIN(keydelim,TRUE,E400:N400)</f>
        <v>Biodiesel (HtL blend) - TTP CO2 emissions</v>
      </c>
      <c r="F400" s="384" t="s">
        <v>595</v>
      </c>
      <c r="N400" s="48" t="s">
        <v>601</v>
      </c>
      <c r="Q400" t="s">
        <v>602</v>
      </c>
      <c r="R400" s="76"/>
      <c r="S400" s="76">
        <f>IFERROR(INDEX('Fuel Selector'!K:K,MATCH($D400&amp;keydelim&amp;$Q400,'Fuel Selector'!$B:$B,0)),0)</f>
        <v>65.50944732297063</v>
      </c>
      <c r="T400" s="76">
        <f>IFERROR(INDEX('Fuel Selector'!L:L,MATCH($D400&amp;keydelim&amp;$Q400,'Fuel Selector'!$B:$B,0)),0)</f>
        <v>65.50944732297063</v>
      </c>
      <c r="U400" s="76">
        <f>IFERROR(INDEX('Fuel Selector'!M:M,MATCH($D400&amp;keydelim&amp;$Q400,'Fuel Selector'!$B:$B,0)),0)</f>
        <v>65.50944732297063</v>
      </c>
      <c r="V400" s="76">
        <f>IFERROR(INDEX('Fuel Selector'!N:N,MATCH($D400&amp;keydelim&amp;$Q400,'Fuel Selector'!$B:$B,0)),0)</f>
        <v>65.50944732297063</v>
      </c>
      <c r="W400" s="76">
        <f>IFERROR(INDEX('Fuel Selector'!O:O,MATCH($D400&amp;keydelim&amp;$Q400,'Fuel Selector'!$B:$B,0)),0)</f>
        <v>65.50944732297063</v>
      </c>
      <c r="X400" s="76">
        <f>IFERROR(INDEX('Fuel Selector'!P:P,MATCH($D400&amp;keydelim&amp;$Q400,'Fuel Selector'!$B:$B,0)),0)</f>
        <v>65.50944732297063</v>
      </c>
      <c r="Y400" s="76">
        <f>IFERROR(INDEX('Fuel Selector'!Q:Q,MATCH($D400&amp;keydelim&amp;$Q400,'Fuel Selector'!$B:$B,0)),0)</f>
        <v>65.50944732297063</v>
      </c>
      <c r="Z400" s="76">
        <f>IFERROR(INDEX('Fuel Selector'!R:R,MATCH($D400&amp;keydelim&amp;$Q400,'Fuel Selector'!$B:$B,0)),0)</f>
        <v>65.50944732297063</v>
      </c>
      <c r="AA400" s="76">
        <f>IFERROR(INDEX('Fuel Selector'!S:S,MATCH($D400&amp;keydelim&amp;$Q400,'Fuel Selector'!$B:$B,0)),0)</f>
        <v>65.50944732297063</v>
      </c>
      <c r="AB400" s="76">
        <f>IFERROR(INDEX('Fuel Selector'!T:T,MATCH($D400&amp;keydelim&amp;$Q400,'Fuel Selector'!$B:$B,0)),0)</f>
        <v>65.50944732297063</v>
      </c>
      <c r="AC400" s="76">
        <f>IFERROR(INDEX('Fuel Selector'!U:U,MATCH($D400&amp;keydelim&amp;$Q400,'Fuel Selector'!$B:$B,0)),0)</f>
        <v>65.50944732297063</v>
      </c>
      <c r="AD400" s="76">
        <f>IFERROR(INDEX('Fuel Selector'!V:V,MATCH($D400&amp;keydelim&amp;$Q400,'Fuel Selector'!$B:$B,0)),0)</f>
        <v>65.50944732297063</v>
      </c>
    </row>
    <row r="401" spans="4:30" x14ac:dyDescent="0.2">
      <c r="D401" s="347" t="str">
        <f>_xlfn.TEXTJOIN(keydelim,TRUE,E401:N401)</f>
        <v>Biodiesel (Pyr blend) - TTP CO2 emissions</v>
      </c>
      <c r="F401" s="384" t="s">
        <v>596</v>
      </c>
      <c r="N401" s="48" t="s">
        <v>601</v>
      </c>
      <c r="Q401" t="s">
        <v>602</v>
      </c>
      <c r="R401" s="76"/>
      <c r="S401" s="76">
        <f>IFERROR(INDEX('Fuel Selector'!K:K,MATCH($D401&amp;keydelim&amp;$Q401,'Fuel Selector'!$B:$B,0)),0)</f>
        <v>80.800204200700108</v>
      </c>
      <c r="T401" s="76">
        <f>IFERROR(INDEX('Fuel Selector'!L:L,MATCH($D401&amp;keydelim&amp;$Q401,'Fuel Selector'!$B:$B,0)),0)</f>
        <v>80.800204200700108</v>
      </c>
      <c r="U401" s="76">
        <f>IFERROR(INDEX('Fuel Selector'!M:M,MATCH($D401&amp;keydelim&amp;$Q401,'Fuel Selector'!$B:$B,0)),0)</f>
        <v>80.800204200700108</v>
      </c>
      <c r="V401" s="76">
        <f>IFERROR(INDEX('Fuel Selector'!N:N,MATCH($D401&amp;keydelim&amp;$Q401,'Fuel Selector'!$B:$B,0)),0)</f>
        <v>80.800204200700108</v>
      </c>
      <c r="W401" s="76">
        <f>IFERROR(INDEX('Fuel Selector'!O:O,MATCH($D401&amp;keydelim&amp;$Q401,'Fuel Selector'!$B:$B,0)),0)</f>
        <v>80.800204200700108</v>
      </c>
      <c r="X401" s="76">
        <f>IFERROR(INDEX('Fuel Selector'!P:P,MATCH($D401&amp;keydelim&amp;$Q401,'Fuel Selector'!$B:$B,0)),0)</f>
        <v>80.800204200700108</v>
      </c>
      <c r="Y401" s="76">
        <f>IFERROR(INDEX('Fuel Selector'!Q:Q,MATCH($D401&amp;keydelim&amp;$Q401,'Fuel Selector'!$B:$B,0)),0)</f>
        <v>80.800204200700108</v>
      </c>
      <c r="Z401" s="76">
        <f>IFERROR(INDEX('Fuel Selector'!R:R,MATCH($D401&amp;keydelim&amp;$Q401,'Fuel Selector'!$B:$B,0)),0)</f>
        <v>80.800204200700108</v>
      </c>
      <c r="AA401" s="76">
        <f>IFERROR(INDEX('Fuel Selector'!S:S,MATCH($D401&amp;keydelim&amp;$Q401,'Fuel Selector'!$B:$B,0)),0)</f>
        <v>80.800204200700108</v>
      </c>
      <c r="AB401" s="76">
        <f>IFERROR(INDEX('Fuel Selector'!T:T,MATCH($D401&amp;keydelim&amp;$Q401,'Fuel Selector'!$B:$B,0)),0)</f>
        <v>80.800204200700108</v>
      </c>
      <c r="AC401" s="76">
        <f>IFERROR(INDEX('Fuel Selector'!U:U,MATCH($D401&amp;keydelim&amp;$Q401,'Fuel Selector'!$B:$B,0)),0)</f>
        <v>80.800204200700108</v>
      </c>
      <c r="AD401" s="76">
        <f>IFERROR(INDEX('Fuel Selector'!V:V,MATCH($D401&amp;keydelim&amp;$Q401,'Fuel Selector'!$B:$B,0)),0)</f>
        <v>80.800204200700108</v>
      </c>
    </row>
    <row r="402" spans="4:30" x14ac:dyDescent="0.2">
      <c r="F402" s="48"/>
      <c r="N402" s="48"/>
      <c r="R402" s="76"/>
      <c r="S402" s="76"/>
      <c r="T402" s="76"/>
      <c r="U402" s="76"/>
      <c r="V402" s="76"/>
      <c r="W402" s="76"/>
      <c r="X402" s="76"/>
      <c r="Y402" s="76"/>
      <c r="Z402" s="76"/>
      <c r="AA402" s="76"/>
      <c r="AB402" s="76"/>
      <c r="AC402" s="76"/>
      <c r="AD402" s="76"/>
    </row>
    <row r="403" spans="4:30" x14ac:dyDescent="0.2">
      <c r="R403" s="18"/>
      <c r="S403" s="291"/>
      <c r="T403" s="291"/>
      <c r="U403" s="291"/>
      <c r="V403" s="291"/>
      <c r="W403" s="291"/>
      <c r="X403" s="291"/>
      <c r="Y403" s="291"/>
      <c r="Z403" s="291"/>
      <c r="AA403" s="291"/>
      <c r="AB403" s="291"/>
      <c r="AC403" s="291"/>
      <c r="AD403" s="291"/>
    </row>
    <row r="404" spans="4:30" x14ac:dyDescent="0.2">
      <c r="D404" s="347" t="str">
        <f t="shared" ref="D404:D419" si="352">_xlfn.TEXTJOIN(keydelim,TRUE,E404:N404)</f>
        <v>LSFO - WTT CO2 emissions</v>
      </c>
      <c r="F404" t="s">
        <v>117</v>
      </c>
      <c r="N404" s="48" t="s">
        <v>603</v>
      </c>
      <c r="P404" s="306"/>
      <c r="Q404" t="s">
        <v>602</v>
      </c>
      <c r="R404" s="18"/>
      <c r="S404" s="76">
        <f>IFERROR(INDEX('Fuel Selector'!K:K,MATCH($D404&amp;keydelim&amp;$Q404,'Fuel Selector'!$B:$B,0)),0)+S427</f>
        <v>15.899999999999997</v>
      </c>
      <c r="T404" s="76">
        <f>IFERROR(INDEX('Fuel Selector'!L:L,MATCH($D404&amp;keydelim&amp;$Q404,'Fuel Selector'!$B:$B,0)),0)+T427</f>
        <v>15.899999999999997</v>
      </c>
      <c r="U404" s="76">
        <f>IFERROR(INDEX('Fuel Selector'!M:M,MATCH($D404&amp;keydelim&amp;$Q404,'Fuel Selector'!$B:$B,0)),0)+U427</f>
        <v>15.899999999999997</v>
      </c>
      <c r="V404" s="76">
        <f>IFERROR(INDEX('Fuel Selector'!N:N,MATCH($D404&amp;keydelim&amp;$Q404,'Fuel Selector'!$B:$B,0)),0)+V427</f>
        <v>15.899999999999997</v>
      </c>
      <c r="W404" s="76">
        <f>IFERROR(INDEX('Fuel Selector'!O:O,MATCH($D404&amp;keydelim&amp;$Q404,'Fuel Selector'!$B:$B,0)),0)+W427</f>
        <v>15.899999999999997</v>
      </c>
      <c r="X404" s="76">
        <f>IFERROR(INDEX('Fuel Selector'!P:P,MATCH($D404&amp;keydelim&amp;$Q404,'Fuel Selector'!$B:$B,0)),0)+X427</f>
        <v>15.899999999999997</v>
      </c>
      <c r="Y404" s="76">
        <f>IFERROR(INDEX('Fuel Selector'!Q:Q,MATCH($D404&amp;keydelim&amp;$Q404,'Fuel Selector'!$B:$B,0)),0)+Y427</f>
        <v>15.899999999999997</v>
      </c>
      <c r="Z404" s="76">
        <f>IFERROR(INDEX('Fuel Selector'!R:R,MATCH($D404&amp;keydelim&amp;$Q404,'Fuel Selector'!$B:$B,0)),0)+Z427</f>
        <v>15.899999999999997</v>
      </c>
      <c r="AA404" s="76">
        <f>IFERROR(INDEX('Fuel Selector'!S:S,MATCH($D404&amp;keydelim&amp;$Q404,'Fuel Selector'!$B:$B,0)),0)+AA427</f>
        <v>15.899999999999997</v>
      </c>
      <c r="AB404" s="76">
        <f>IFERROR(INDEX('Fuel Selector'!T:T,MATCH($D404&amp;keydelim&amp;$Q404,'Fuel Selector'!$B:$B,0)),0)+AB427</f>
        <v>15.899999999999997</v>
      </c>
      <c r="AC404" s="76">
        <f>IFERROR(INDEX('Fuel Selector'!U:U,MATCH($D404&amp;keydelim&amp;$Q404,'Fuel Selector'!$B:$B,0)),0)+AC427</f>
        <v>15.899999999999997</v>
      </c>
      <c r="AD404" s="76">
        <f>IFERROR(INDEX('Fuel Selector'!V:V,MATCH($D404&amp;keydelim&amp;$Q404,'Fuel Selector'!$B:$B,0)),0)+AD427</f>
        <v>15.899999999999997</v>
      </c>
    </row>
    <row r="405" spans="4:30" x14ac:dyDescent="0.2">
      <c r="D405" s="347" t="str">
        <f t="shared" si="352"/>
        <v>LNG - WTT CO2 emissions</v>
      </c>
      <c r="F405" t="s">
        <v>528</v>
      </c>
      <c r="N405" s="48" t="s">
        <v>603</v>
      </c>
      <c r="P405" s="306"/>
      <c r="Q405" t="s">
        <v>602</v>
      </c>
      <c r="R405" s="18"/>
      <c r="S405" s="76">
        <f>IFERROR(INDEX('Fuel Selector'!K:K,MATCH($D405&amp;keydelim&amp;$Q405,'Fuel Selector'!$B:$B,0)),0)+S428</f>
        <v>20.480827555104572</v>
      </c>
      <c r="T405" s="76">
        <f>IFERROR(INDEX('Fuel Selector'!L:L,MATCH($D405&amp;keydelim&amp;$Q405,'Fuel Selector'!$B:$B,0)),0)+T428</f>
        <v>20.212781485445205</v>
      </c>
      <c r="U405" s="76">
        <f>IFERROR(INDEX('Fuel Selector'!M:M,MATCH($D405&amp;keydelim&amp;$Q405,'Fuel Selector'!$B:$B,0)),0)+U428</f>
        <v>20.026304952346607</v>
      </c>
      <c r="V405" s="76">
        <f>IFERROR(INDEX('Fuel Selector'!N:N,MATCH($D405&amp;keydelim&amp;$Q405,'Fuel Selector'!$B:$B,0)),0)+V428</f>
        <v>19.896575397122525</v>
      </c>
      <c r="W405" s="76">
        <f>IFERROR(INDEX('Fuel Selector'!O:O,MATCH($D405&amp;keydelim&amp;$Q405,'Fuel Selector'!$B:$B,0)),0)+W428</f>
        <v>19.806324054398672</v>
      </c>
      <c r="X405" s="76">
        <f>IFERROR(INDEX('Fuel Selector'!P:P,MATCH($D405&amp;keydelim&amp;$Q405,'Fuel Selector'!$B:$B,0)),0)+X428</f>
        <v>19.743537244951977</v>
      </c>
      <c r="Y405" s="76">
        <f>IFERROR(INDEX('Fuel Selector'!Q:Q,MATCH($D405&amp;keydelim&amp;$Q405,'Fuel Selector'!$B:$B,0)),0)+Y428</f>
        <v>19.699857191874454</v>
      </c>
      <c r="Z405" s="76">
        <f>IFERROR(INDEX('Fuel Selector'!R:R,MATCH($D405&amp;keydelim&amp;$Q405,'Fuel Selector'!$B:$B,0)),0)+Z428</f>
        <v>19.699857191874454</v>
      </c>
      <c r="AA405" s="76">
        <f>IFERROR(INDEX('Fuel Selector'!S:S,MATCH($D405&amp;keydelim&amp;$Q405,'Fuel Selector'!$B:$B,0)),0)+AA428</f>
        <v>19.699857191874454</v>
      </c>
      <c r="AB405" s="76">
        <f>IFERROR(INDEX('Fuel Selector'!T:T,MATCH($D405&amp;keydelim&amp;$Q405,'Fuel Selector'!$B:$B,0)),0)+AB428</f>
        <v>19.699857191874454</v>
      </c>
      <c r="AC405" s="76">
        <f>IFERROR(INDEX('Fuel Selector'!U:U,MATCH($D405&amp;keydelim&amp;$Q405,'Fuel Selector'!$B:$B,0)),0)+AC428</f>
        <v>19.699857191874454</v>
      </c>
      <c r="AD405" s="76">
        <f>IFERROR(INDEX('Fuel Selector'!V:V,MATCH($D405&amp;keydelim&amp;$Q405,'Fuel Selector'!$B:$B,0)),0)+AD428</f>
        <v>19.699857191874454</v>
      </c>
    </row>
    <row r="406" spans="4:30" x14ac:dyDescent="0.2">
      <c r="D406" s="347" t="str">
        <f t="shared" ref="D406" si="353">_xlfn.TEXTJOIN(keydelim,TRUE,E406:N406)</f>
        <v>LPG - WTT CO2 emissions</v>
      </c>
      <c r="F406" t="s">
        <v>534</v>
      </c>
      <c r="N406" s="48" t="s">
        <v>603</v>
      </c>
      <c r="P406" s="306"/>
      <c r="Q406" t="s">
        <v>602</v>
      </c>
      <c r="R406" s="18"/>
      <c r="S406" s="76">
        <f>IFERROR(INDEX('Fuel Selector'!K:K,MATCH($D406&amp;keydelim&amp;$Q406,'Fuel Selector'!$B:$B,0)),0)+S429</f>
        <v>19.117356608866594</v>
      </c>
      <c r="T406" s="76">
        <f>IFERROR(INDEX('Fuel Selector'!L:L,MATCH($D406&amp;keydelim&amp;$Q406,'Fuel Selector'!$B:$B,0)),0)+T429</f>
        <v>18.686038507938978</v>
      </c>
      <c r="U406" s="76">
        <f>IFERROR(INDEX('Fuel Selector'!M:M,MATCH($D406&amp;keydelim&amp;$Q406,'Fuel Selector'!$B:$B,0)),0)+U429</f>
        <v>18.385975521655073</v>
      </c>
      <c r="V406" s="76">
        <f>IFERROR(INDEX('Fuel Selector'!N:N,MATCH($D406&amp;keydelim&amp;$Q406,'Fuel Selector'!$B:$B,0)),0)+V429</f>
        <v>18.177225192039934</v>
      </c>
      <c r="W406" s="76">
        <f>IFERROR(INDEX('Fuel Selector'!O:O,MATCH($D406&amp;keydelim&amp;$Q406,'Fuel Selector'!$B:$B,0)),0)+W429</f>
        <v>18.032000015639142</v>
      </c>
      <c r="X406" s="76">
        <f>IFERROR(INDEX('Fuel Selector'!P:P,MATCH($D406&amp;keydelim&amp;$Q406,'Fuel Selector'!$B:$B,0)),0)+X429</f>
        <v>17.930968549487567</v>
      </c>
      <c r="Y406" s="76">
        <f>IFERROR(INDEX('Fuel Selector'!Q:Q,MATCH($D406&amp;keydelim&amp;$Q406,'Fuel Selector'!$B:$B,0)),0)+Y429</f>
        <v>17.860682133552594</v>
      </c>
      <c r="Z406" s="76">
        <f>IFERROR(INDEX('Fuel Selector'!R:R,MATCH($D406&amp;keydelim&amp;$Q406,'Fuel Selector'!$B:$B,0)),0)+Z429</f>
        <v>17.860682133552594</v>
      </c>
      <c r="AA406" s="76">
        <f>IFERROR(INDEX('Fuel Selector'!S:S,MATCH($D406&amp;keydelim&amp;$Q406,'Fuel Selector'!$B:$B,0)),0)+AA429</f>
        <v>17.860682133552594</v>
      </c>
      <c r="AB406" s="76">
        <f>IFERROR(INDEX('Fuel Selector'!T:T,MATCH($D406&amp;keydelim&amp;$Q406,'Fuel Selector'!$B:$B,0)),0)+AB429</f>
        <v>17.860682133552594</v>
      </c>
      <c r="AC406" s="76">
        <f>IFERROR(INDEX('Fuel Selector'!U:U,MATCH($D406&amp;keydelim&amp;$Q406,'Fuel Selector'!$B:$B,0)),0)+AC429</f>
        <v>17.860682133552594</v>
      </c>
      <c r="AD406" s="76">
        <f>IFERROR(INDEX('Fuel Selector'!V:V,MATCH($D406&amp;keydelim&amp;$Q406,'Fuel Selector'!$B:$B,0)),0)+AD429</f>
        <v>17.860682133552594</v>
      </c>
    </row>
    <row r="407" spans="4:30" x14ac:dyDescent="0.2">
      <c r="D407" s="347" t="str">
        <f t="shared" si="352"/>
        <v>e-Ammonia - WTT CO2 emissions</v>
      </c>
      <c r="F407" t="s">
        <v>121</v>
      </c>
      <c r="N407" s="48" t="s">
        <v>603</v>
      </c>
      <c r="P407" s="306"/>
      <c r="Q407" t="s">
        <v>602</v>
      </c>
      <c r="R407" s="18"/>
      <c r="S407" s="76">
        <f>IFERROR(INDEX('Fuel Selector'!K:K,MATCH($D407&amp;keydelim&amp;$Q407,'Fuel Selector'!$B:$B,0)),0)+S430</f>
        <v>4.2782878391777741</v>
      </c>
      <c r="T407" s="76">
        <f>IFERROR(INDEX('Fuel Selector'!L:L,MATCH($D407&amp;keydelim&amp;$Q407,'Fuel Selector'!$B:$B,0)),0)+T430</f>
        <v>3.8338523377262113</v>
      </c>
      <c r="U407" s="76">
        <f>IFERROR(INDEX('Fuel Selector'!M:M,MATCH($D407&amp;keydelim&amp;$Q407,'Fuel Selector'!$B:$B,0)),0)+U430</f>
        <v>3.4969302851354476</v>
      </c>
      <c r="V407" s="76">
        <f>IFERROR(INDEX('Fuel Selector'!N:N,MATCH($D407&amp;keydelim&amp;$Q407,'Fuel Selector'!$B:$B,0)),0)+V430</f>
        <v>3.1902808810798975</v>
      </c>
      <c r="W407" s="76">
        <f>IFERROR(INDEX('Fuel Selector'!O:O,MATCH($D407&amp;keydelim&amp;$Q407,'Fuel Selector'!$B:$B,0)),0)+W430</f>
        <v>2.9274882644873275</v>
      </c>
      <c r="X407" s="76">
        <f>IFERROR(INDEX('Fuel Selector'!P:P,MATCH($D407&amp;keydelim&amp;$Q407,'Fuel Selector'!$B:$B,0)),0)+X430</f>
        <v>2.669936659106797</v>
      </c>
      <c r="Y407" s="76">
        <f>IFERROR(INDEX('Fuel Selector'!Q:Q,MATCH($D407&amp;keydelim&amp;$Q407,'Fuel Selector'!$B:$B,0)),0)+Y430</f>
        <v>2.4763518144036567</v>
      </c>
      <c r="Z407" s="76">
        <f>IFERROR(INDEX('Fuel Selector'!R:R,MATCH($D407&amp;keydelim&amp;$Q407,'Fuel Selector'!$B:$B,0)),0)+Z430</f>
        <v>2.4763518144036567</v>
      </c>
      <c r="AA407" s="76">
        <f>IFERROR(INDEX('Fuel Selector'!S:S,MATCH($D407&amp;keydelim&amp;$Q407,'Fuel Selector'!$B:$B,0)),0)+AA430</f>
        <v>2.4763518144036567</v>
      </c>
      <c r="AB407" s="76">
        <f>IFERROR(INDEX('Fuel Selector'!T:T,MATCH($D407&amp;keydelim&amp;$Q407,'Fuel Selector'!$B:$B,0)),0)+AB430</f>
        <v>2.4763518144036567</v>
      </c>
      <c r="AC407" s="76">
        <f>IFERROR(INDEX('Fuel Selector'!U:U,MATCH($D407&amp;keydelim&amp;$Q407,'Fuel Selector'!$B:$B,0)),0)+AC430</f>
        <v>2.4763518144036567</v>
      </c>
      <c r="AD407" s="76">
        <f>IFERROR(INDEX('Fuel Selector'!V:V,MATCH($D407&amp;keydelim&amp;$Q407,'Fuel Selector'!$B:$B,0)),0)+AD430</f>
        <v>2.4763518144036567</v>
      </c>
    </row>
    <row r="408" spans="4:30" x14ac:dyDescent="0.2">
      <c r="D408" s="347" t="str">
        <f t="shared" si="352"/>
        <v>e-Hydrogen (compressed) - WTT CO2 emissions</v>
      </c>
      <c r="F408" t="s">
        <v>584</v>
      </c>
      <c r="N408" s="48" t="s">
        <v>603</v>
      </c>
      <c r="P408" s="306"/>
      <c r="Q408" t="s">
        <v>602</v>
      </c>
      <c r="R408" s="18"/>
      <c r="S408" s="76">
        <f>IFERROR(INDEX('Fuel Selector'!K:K,MATCH($D408&amp;keydelim&amp;$Q408,'Fuel Selector'!$B:$B,0)),0)+S431</f>
        <v>0</v>
      </c>
      <c r="T408" s="76">
        <f>IFERROR(INDEX('Fuel Selector'!L:L,MATCH($D408&amp;keydelim&amp;$Q408,'Fuel Selector'!$B:$B,0)),0)+T431</f>
        <v>0</v>
      </c>
      <c r="U408" s="76">
        <f>IFERROR(INDEX('Fuel Selector'!M:M,MATCH($D408&amp;keydelim&amp;$Q408,'Fuel Selector'!$B:$B,0)),0)+U431</f>
        <v>0</v>
      </c>
      <c r="V408" s="76">
        <f>IFERROR(INDEX('Fuel Selector'!N:N,MATCH($D408&amp;keydelim&amp;$Q408,'Fuel Selector'!$B:$B,0)),0)+V431</f>
        <v>0</v>
      </c>
      <c r="W408" s="76">
        <f>IFERROR(INDEX('Fuel Selector'!O:O,MATCH($D408&amp;keydelim&amp;$Q408,'Fuel Selector'!$B:$B,0)),0)+W431</f>
        <v>0</v>
      </c>
      <c r="X408" s="76">
        <f>IFERROR(INDEX('Fuel Selector'!P:P,MATCH($D408&amp;keydelim&amp;$Q408,'Fuel Selector'!$B:$B,0)),0)+X431</f>
        <v>0</v>
      </c>
      <c r="Y408" s="76">
        <f>IFERROR(INDEX('Fuel Selector'!Q:Q,MATCH($D408&amp;keydelim&amp;$Q408,'Fuel Selector'!$B:$B,0)),0)+Y431</f>
        <v>0</v>
      </c>
      <c r="Z408" s="76">
        <f>IFERROR(INDEX('Fuel Selector'!R:R,MATCH($D408&amp;keydelim&amp;$Q408,'Fuel Selector'!$B:$B,0)),0)+Z431</f>
        <v>0</v>
      </c>
      <c r="AA408" s="76">
        <f>IFERROR(INDEX('Fuel Selector'!S:S,MATCH($D408&amp;keydelim&amp;$Q408,'Fuel Selector'!$B:$B,0)),0)+AA431</f>
        <v>0</v>
      </c>
      <c r="AB408" s="76">
        <f>IFERROR(INDEX('Fuel Selector'!T:T,MATCH($D408&amp;keydelim&amp;$Q408,'Fuel Selector'!$B:$B,0)),0)+AB431</f>
        <v>0</v>
      </c>
      <c r="AC408" s="76">
        <f>IFERROR(INDEX('Fuel Selector'!U:U,MATCH($D408&amp;keydelim&amp;$Q408,'Fuel Selector'!$B:$B,0)),0)+AC431</f>
        <v>0</v>
      </c>
      <c r="AD408" s="76">
        <f>IFERROR(INDEX('Fuel Selector'!V:V,MATCH($D408&amp;keydelim&amp;$Q408,'Fuel Selector'!$B:$B,0)),0)+AD431</f>
        <v>0</v>
      </c>
    </row>
    <row r="409" spans="4:30" x14ac:dyDescent="0.2">
      <c r="D409" s="347" t="str">
        <f t="shared" si="352"/>
        <v>e-Hydrogen (liquid) - WTT CO2 emissions</v>
      </c>
      <c r="F409" t="s">
        <v>585</v>
      </c>
      <c r="N409" s="48" t="s">
        <v>603</v>
      </c>
      <c r="P409" s="306"/>
      <c r="Q409" t="s">
        <v>602</v>
      </c>
      <c r="R409" s="18"/>
      <c r="S409" s="76">
        <f>IFERROR(INDEX('Fuel Selector'!K:K,MATCH($D409&amp;keydelim&amp;$Q409,'Fuel Selector'!$B:$B,0)),0)+S432</f>
        <v>4.5993484043362027</v>
      </c>
      <c r="T409" s="76">
        <f>IFERROR(INDEX('Fuel Selector'!L:L,MATCH($D409&amp;keydelim&amp;$Q409,'Fuel Selector'!$B:$B,0)),0)+T432</f>
        <v>3.9271395749888316</v>
      </c>
      <c r="U409" s="76">
        <f>IFERROR(INDEX('Fuel Selector'!M:M,MATCH($D409&amp;keydelim&amp;$Q409,'Fuel Selector'!$B:$B,0)),0)+U432</f>
        <v>3.4353533433310188</v>
      </c>
      <c r="V409" s="76">
        <f>IFERROR(INDEX('Fuel Selector'!N:N,MATCH($D409&amp;keydelim&amp;$Q409,'Fuel Selector'!$B:$B,0)),0)+V432</f>
        <v>3.0303333339468175</v>
      </c>
      <c r="W409" s="76">
        <f>IFERROR(INDEX('Fuel Selector'!O:O,MATCH($D409&amp;keydelim&amp;$Q409,'Fuel Selector'!$B:$B,0)),0)+W432</f>
        <v>2.7055169378121859</v>
      </c>
      <c r="X409" s="76">
        <f>IFERROR(INDEX('Fuel Selector'!P:P,MATCH($D409&amp;keydelim&amp;$Q409,'Fuel Selector'!$B:$B,0)),0)+X432</f>
        <v>2.4145033116685521</v>
      </c>
      <c r="Y409" s="76">
        <f>IFERROR(INDEX('Fuel Selector'!Q:Q,MATCH($D409&amp;keydelim&amp;$Q409,'Fuel Selector'!$B:$B,0)),0)+Y432</f>
        <v>2.1995071860557185</v>
      </c>
      <c r="Z409" s="76">
        <f>IFERROR(INDEX('Fuel Selector'!R:R,MATCH($D409&amp;keydelim&amp;$Q409,'Fuel Selector'!$B:$B,0)),0)+Z432</f>
        <v>2.1995071860557185</v>
      </c>
      <c r="AA409" s="76">
        <f>IFERROR(INDEX('Fuel Selector'!S:S,MATCH($D409&amp;keydelim&amp;$Q409,'Fuel Selector'!$B:$B,0)),0)+AA432</f>
        <v>2.1995071860557185</v>
      </c>
      <c r="AB409" s="76">
        <f>IFERROR(INDEX('Fuel Selector'!T:T,MATCH($D409&amp;keydelim&amp;$Q409,'Fuel Selector'!$B:$B,0)),0)+AB432</f>
        <v>2.1995071860557185</v>
      </c>
      <c r="AC409" s="76">
        <f>IFERROR(INDEX('Fuel Selector'!U:U,MATCH($D409&amp;keydelim&amp;$Q409,'Fuel Selector'!$B:$B,0)),0)+AC432</f>
        <v>2.1995071860557185</v>
      </c>
      <c r="AD409" s="76">
        <f>IFERROR(INDEX('Fuel Selector'!V:V,MATCH($D409&amp;keydelim&amp;$Q409,'Fuel Selector'!$B:$B,0)),0)+AD432</f>
        <v>2.1995071860557185</v>
      </c>
    </row>
    <row r="410" spans="4:30" x14ac:dyDescent="0.2">
      <c r="D410" s="347" t="str">
        <f t="shared" si="352"/>
        <v>Biomethanol - WTT CO2 emissions</v>
      </c>
      <c r="F410" t="s">
        <v>586</v>
      </c>
      <c r="N410" s="48" t="s">
        <v>603</v>
      </c>
      <c r="P410" s="306"/>
      <c r="Q410" t="s">
        <v>602</v>
      </c>
      <c r="R410" s="18"/>
      <c r="S410" s="76">
        <f>IFERROR(INDEX('Fuel Selector'!K:K,MATCH($D410&amp;keydelim&amp;$Q410,'Fuel Selector'!$B:$B,0)),0)+S433</f>
        <v>-56.387839370501666</v>
      </c>
      <c r="T410" s="76">
        <f>IFERROR(INDEX('Fuel Selector'!L:L,MATCH($D410&amp;keydelim&amp;$Q410,'Fuel Selector'!$B:$B,0)),0)+T433</f>
        <v>-58.52290668034027</v>
      </c>
      <c r="U410" s="76">
        <f>IFERROR(INDEX('Fuel Selector'!M:M,MATCH($D410&amp;keydelim&amp;$Q410,'Fuel Selector'!$B:$B,0)),0)+U433</f>
        <v>-60.508252818923829</v>
      </c>
      <c r="V410" s="76">
        <f>IFERROR(INDEX('Fuel Selector'!N:N,MATCH($D410&amp;keydelim&amp;$Q410,'Fuel Selector'!$B:$B,0)),0)+V433</f>
        <v>-62.389132930056562</v>
      </c>
      <c r="W410" s="76">
        <f>IFERROR(INDEX('Fuel Selector'!O:O,MATCH($D410&amp;keydelim&amp;$Q410,'Fuel Selector'!$B:$B,0)),0)+W433</f>
        <v>-64.197337240904787</v>
      </c>
      <c r="X410" s="76">
        <f>IFERROR(INDEX('Fuel Selector'!P:P,MATCH($D410&amp;keydelim&amp;$Q410,'Fuel Selector'!$B:$B,0)),0)+X433</f>
        <v>-65.954981842765505</v>
      </c>
      <c r="Y410" s="76">
        <f>IFERROR(INDEX('Fuel Selector'!Q:Q,MATCH($D410&amp;keydelim&amp;$Q410,'Fuel Selector'!$B:$B,0)),0)+Y433</f>
        <v>-67.677452643128447</v>
      </c>
      <c r="Z410" s="76">
        <f>IFERROR(INDEX('Fuel Selector'!R:R,MATCH($D410&amp;keydelim&amp;$Q410,'Fuel Selector'!$B:$B,0)),0)+Z433</f>
        <v>-67.677452643128447</v>
      </c>
      <c r="AA410" s="76">
        <f>IFERROR(INDEX('Fuel Selector'!S:S,MATCH($D410&amp;keydelim&amp;$Q410,'Fuel Selector'!$B:$B,0)),0)+AA433</f>
        <v>-67.677452643128447</v>
      </c>
      <c r="AB410" s="76">
        <f>IFERROR(INDEX('Fuel Selector'!T:T,MATCH($D410&amp;keydelim&amp;$Q410,'Fuel Selector'!$B:$B,0)),0)+AB433</f>
        <v>-67.677452643128447</v>
      </c>
      <c r="AC410" s="76">
        <f>IFERROR(INDEX('Fuel Selector'!U:U,MATCH($D410&amp;keydelim&amp;$Q410,'Fuel Selector'!$B:$B,0)),0)+AC433</f>
        <v>-67.677452643128447</v>
      </c>
      <c r="AD410" s="76">
        <f>IFERROR(INDEX('Fuel Selector'!V:V,MATCH($D410&amp;keydelim&amp;$Q410,'Fuel Selector'!$B:$B,0)),0)+AD433</f>
        <v>-67.677452643128447</v>
      </c>
    </row>
    <row r="411" spans="4:30" x14ac:dyDescent="0.2">
      <c r="D411" s="347" t="str">
        <f t="shared" si="352"/>
        <v>Electricity - WTT CO2 emissions</v>
      </c>
      <c r="F411" t="s">
        <v>54</v>
      </c>
      <c r="N411" s="48" t="s">
        <v>603</v>
      </c>
      <c r="P411" s="306"/>
      <c r="Q411" t="s">
        <v>602</v>
      </c>
      <c r="R411" s="18"/>
      <c r="S411" s="76">
        <f>IFERROR(INDEX('Fuel Selector'!K:K,MATCH($D411&amp;keydelim&amp;$Q411,'Fuel Selector'!$B:$B,0)),0)+S434</f>
        <v>0</v>
      </c>
      <c r="T411" s="76">
        <f>IFERROR(INDEX('Fuel Selector'!L:L,MATCH($D411&amp;keydelim&amp;$Q411,'Fuel Selector'!$B:$B,0)),0)+T434</f>
        <v>0</v>
      </c>
      <c r="U411" s="76">
        <f>IFERROR(INDEX('Fuel Selector'!M:M,MATCH($D411&amp;keydelim&amp;$Q411,'Fuel Selector'!$B:$B,0)),0)+U434</f>
        <v>0</v>
      </c>
      <c r="V411" s="76">
        <f>IFERROR(INDEX('Fuel Selector'!N:N,MATCH($D411&amp;keydelim&amp;$Q411,'Fuel Selector'!$B:$B,0)),0)+V434</f>
        <v>0</v>
      </c>
      <c r="W411" s="76">
        <f>IFERROR(INDEX('Fuel Selector'!O:O,MATCH($D411&amp;keydelim&amp;$Q411,'Fuel Selector'!$B:$B,0)),0)+W434</f>
        <v>0</v>
      </c>
      <c r="X411" s="76">
        <f>IFERROR(INDEX('Fuel Selector'!P:P,MATCH($D411&amp;keydelim&amp;$Q411,'Fuel Selector'!$B:$B,0)),0)+X434</f>
        <v>0</v>
      </c>
      <c r="Y411" s="76">
        <f>IFERROR(INDEX('Fuel Selector'!Q:Q,MATCH($D411&amp;keydelim&amp;$Q411,'Fuel Selector'!$B:$B,0)),0)+Y434</f>
        <v>0</v>
      </c>
      <c r="Z411" s="76">
        <f>IFERROR(INDEX('Fuel Selector'!R:R,MATCH($D411&amp;keydelim&amp;$Q411,'Fuel Selector'!$B:$B,0)),0)+Z434</f>
        <v>0</v>
      </c>
      <c r="AA411" s="76">
        <f>IFERROR(INDEX('Fuel Selector'!S:S,MATCH($D411&amp;keydelim&amp;$Q411,'Fuel Selector'!$B:$B,0)),0)+AA434</f>
        <v>0</v>
      </c>
      <c r="AB411" s="76">
        <f>IFERROR(INDEX('Fuel Selector'!T:T,MATCH($D411&amp;keydelim&amp;$Q411,'Fuel Selector'!$B:$B,0)),0)+AB434</f>
        <v>0</v>
      </c>
      <c r="AC411" s="76">
        <f>IFERROR(INDEX('Fuel Selector'!U:U,MATCH($D411&amp;keydelim&amp;$Q411,'Fuel Selector'!$B:$B,0)),0)+AC434</f>
        <v>0</v>
      </c>
      <c r="AD411" s="76">
        <f>IFERROR(INDEX('Fuel Selector'!V:V,MATCH($D411&amp;keydelim&amp;$Q411,'Fuel Selector'!$B:$B,0)),0)+AD434</f>
        <v>0</v>
      </c>
    </row>
    <row r="412" spans="4:30" x14ac:dyDescent="0.2">
      <c r="D412" s="347" t="str">
        <f t="shared" si="352"/>
        <v>e-Methanol (DAC) - WTT CO2 emissions</v>
      </c>
      <c r="F412" t="s">
        <v>587</v>
      </c>
      <c r="N412" s="48" t="s">
        <v>603</v>
      </c>
      <c r="P412" s="306"/>
      <c r="Q412" t="s">
        <v>602</v>
      </c>
      <c r="R412" s="18"/>
      <c r="S412" s="76">
        <f>IFERROR(INDEX('Fuel Selector'!K:K,MATCH($D412&amp;keydelim&amp;$Q412,'Fuel Selector'!$B:$B,0)),0)+S435</f>
        <v>-64.738200959226418</v>
      </c>
      <c r="T412" s="76">
        <f>IFERROR(INDEX('Fuel Selector'!L:L,MATCH($D412&amp;keydelim&amp;$Q412,'Fuel Selector'!$B:$B,0)),0)+T435</f>
        <v>-65.096609749928717</v>
      </c>
      <c r="U412" s="76">
        <f>IFERROR(INDEX('Fuel Selector'!M:M,MATCH($D412&amp;keydelim&amp;$Q412,'Fuel Selector'!$B:$B,0)),0)+U435</f>
        <v>-65.373424977792197</v>
      </c>
      <c r="V412" s="76">
        <f>IFERROR(INDEX('Fuel Selector'!N:N,MATCH($D412&amp;keydelim&amp;$Q412,'Fuel Selector'!$B:$B,0)),0)+V435</f>
        <v>-65.637583853937883</v>
      </c>
      <c r="W412" s="76">
        <f>IFERROR(INDEX('Fuel Selector'!O:O,MATCH($D412&amp;keydelim&amp;$Q412,'Fuel Selector'!$B:$B,0)),0)+W435</f>
        <v>-65.870354324412588</v>
      </c>
      <c r="X412" s="76">
        <f>IFERROR(INDEX('Fuel Selector'!P:P,MATCH($D412&amp;keydelim&amp;$Q412,'Fuel Selector'!$B:$B,0)),0)+X435</f>
        <v>-66.106321862219772</v>
      </c>
      <c r="Y412" s="76">
        <f>IFERROR(INDEX('Fuel Selector'!Q:Q,MATCH($D412&amp;keydelim&amp;$Q412,'Fuel Selector'!$B:$B,0)),0)+Y435</f>
        <v>-66.284756333966641</v>
      </c>
      <c r="Z412" s="76">
        <f>IFERROR(INDEX('Fuel Selector'!R:R,MATCH($D412&amp;keydelim&amp;$Q412,'Fuel Selector'!$B:$B,0)),0)+Z435</f>
        <v>-66.284756333966641</v>
      </c>
      <c r="AA412" s="76">
        <f>IFERROR(INDEX('Fuel Selector'!S:S,MATCH($D412&amp;keydelim&amp;$Q412,'Fuel Selector'!$B:$B,0)),0)+AA435</f>
        <v>-66.284756333966641</v>
      </c>
      <c r="AB412" s="76">
        <f>IFERROR(INDEX('Fuel Selector'!T:T,MATCH($D412&amp;keydelim&amp;$Q412,'Fuel Selector'!$B:$B,0)),0)+AB435</f>
        <v>-66.284756333966641</v>
      </c>
      <c r="AC412" s="76">
        <f>IFERROR(INDEX('Fuel Selector'!U:U,MATCH($D412&amp;keydelim&amp;$Q412,'Fuel Selector'!$B:$B,0)),0)+AC435</f>
        <v>-66.284756333966641</v>
      </c>
      <c r="AD412" s="76">
        <f>IFERROR(INDEX('Fuel Selector'!V:V,MATCH($D412&amp;keydelim&amp;$Q412,'Fuel Selector'!$B:$B,0)),0)+AD435</f>
        <v>-66.284756333966641</v>
      </c>
    </row>
    <row r="413" spans="4:30" x14ac:dyDescent="0.2">
      <c r="D413" s="347" t="str">
        <f t="shared" si="352"/>
        <v>e-Methanol (PS) - WTT CO2 emissions</v>
      </c>
      <c r="F413" t="s">
        <v>119</v>
      </c>
      <c r="N413" s="48" t="s">
        <v>603</v>
      </c>
      <c r="Q413" t="s">
        <v>602</v>
      </c>
      <c r="R413" s="18"/>
      <c r="S413" s="76">
        <f>IFERROR(INDEX('Fuel Selector'!K:K,MATCH($D413&amp;keydelim&amp;$Q413,'Fuel Selector'!$B:$B,0)),0)+S436</f>
        <v>-64.738200959226418</v>
      </c>
      <c r="T413" s="76">
        <f>IFERROR(INDEX('Fuel Selector'!L:L,MATCH($D413&amp;keydelim&amp;$Q413,'Fuel Selector'!$B:$B,0)),0)+T436</f>
        <v>-65.096609749928717</v>
      </c>
      <c r="U413" s="76">
        <f>IFERROR(INDEX('Fuel Selector'!M:M,MATCH($D413&amp;keydelim&amp;$Q413,'Fuel Selector'!$B:$B,0)),0)+U436</f>
        <v>-65.373424977792197</v>
      </c>
      <c r="V413" s="76">
        <f>IFERROR(INDEX('Fuel Selector'!N:N,MATCH($D413&amp;keydelim&amp;$Q413,'Fuel Selector'!$B:$B,0)),0)+V436</f>
        <v>-65.637583853937883</v>
      </c>
      <c r="W413" s="76">
        <f>IFERROR(INDEX('Fuel Selector'!O:O,MATCH($D413&amp;keydelim&amp;$Q413,'Fuel Selector'!$B:$B,0)),0)+W436</f>
        <v>-65.870354324412588</v>
      </c>
      <c r="X413" s="76">
        <f>IFERROR(INDEX('Fuel Selector'!P:P,MATCH($D413&amp;keydelim&amp;$Q413,'Fuel Selector'!$B:$B,0)),0)+X436</f>
        <v>-66.106321862219772</v>
      </c>
      <c r="Y413" s="76">
        <f>IFERROR(INDEX('Fuel Selector'!Q:Q,MATCH($D413&amp;keydelim&amp;$Q413,'Fuel Selector'!$B:$B,0)),0)+Y436</f>
        <v>-66.284756333966641</v>
      </c>
      <c r="Z413" s="76">
        <f>IFERROR(INDEX('Fuel Selector'!R:R,MATCH($D413&amp;keydelim&amp;$Q413,'Fuel Selector'!$B:$B,0)),0)+Z436</f>
        <v>-66.284756333966641</v>
      </c>
      <c r="AA413" s="76">
        <f>IFERROR(INDEX('Fuel Selector'!S:S,MATCH($D413&amp;keydelim&amp;$Q413,'Fuel Selector'!$B:$B,0)),0)+AA436</f>
        <v>-66.284756333966641</v>
      </c>
      <c r="AB413" s="76">
        <f>IFERROR(INDEX('Fuel Selector'!T:T,MATCH($D413&amp;keydelim&amp;$Q413,'Fuel Selector'!$B:$B,0)),0)+AB436</f>
        <v>-66.284756333966641</v>
      </c>
      <c r="AC413" s="76">
        <f>IFERROR(INDEX('Fuel Selector'!U:U,MATCH($D413&amp;keydelim&amp;$Q413,'Fuel Selector'!$B:$B,0)),0)+AC436</f>
        <v>-66.284756333966641</v>
      </c>
      <c r="AD413" s="76">
        <f>IFERROR(INDEX('Fuel Selector'!V:V,MATCH($D413&amp;keydelim&amp;$Q413,'Fuel Selector'!$B:$B,0)),0)+AD436</f>
        <v>-66.284756333966641</v>
      </c>
    </row>
    <row r="414" spans="4:30" x14ac:dyDescent="0.2">
      <c r="D414" s="347" t="str">
        <f t="shared" si="352"/>
        <v>e-Diesel (DAC) - WTT CO2 emissions</v>
      </c>
      <c r="F414" t="s">
        <v>588</v>
      </c>
      <c r="N414" s="48" t="s">
        <v>603</v>
      </c>
      <c r="Q414" t="s">
        <v>602</v>
      </c>
      <c r="R414" s="18"/>
      <c r="S414" s="76">
        <f>IFERROR(INDEX('Fuel Selector'!K:K,MATCH($D414&amp;keydelim&amp;$Q414,'Fuel Selector'!$B:$B,0)),0)+S437</f>
        <v>-70.897009616891253</v>
      </c>
      <c r="T414" s="76">
        <f>IFERROR(INDEX('Fuel Selector'!L:L,MATCH($D414&amp;keydelim&amp;$Q414,'Fuel Selector'!$B:$B,0)),0)+T437</f>
        <v>-71.221341979128923</v>
      </c>
      <c r="U414" s="76">
        <f>IFERROR(INDEX('Fuel Selector'!M:M,MATCH($D414&amp;keydelim&amp;$Q414,'Fuel Selector'!$B:$B,0)),0)+U437</f>
        <v>-71.479862976596522</v>
      </c>
      <c r="V414" s="76">
        <f>IFERROR(INDEX('Fuel Selector'!N:N,MATCH($D414&amp;keydelim&amp;$Q414,'Fuel Selector'!$B:$B,0)),0)+V437</f>
        <v>-71.743701803529788</v>
      </c>
      <c r="W414" s="76">
        <f>IFERROR(INDEX('Fuel Selector'!O:O,MATCH($D414&amp;keydelim&amp;$Q414,'Fuel Selector'!$B:$B,0)),0)+W437</f>
        <v>-71.984956838226637</v>
      </c>
      <c r="X414" s="76">
        <f>IFERROR(INDEX('Fuel Selector'!P:P,MATCH($D414&amp;keydelim&amp;$Q414,'Fuel Selector'!$B:$B,0)),0)+X437</f>
        <v>-72.239481405783877</v>
      </c>
      <c r="Y414" s="76">
        <f>IFERROR(INDEX('Fuel Selector'!Q:Q,MATCH($D414&amp;keydelim&amp;$Q414,'Fuel Selector'!$B:$B,0)),0)+Y437</f>
        <v>-72.433827458539966</v>
      </c>
      <c r="Z414" s="76">
        <f>IFERROR(INDEX('Fuel Selector'!R:R,MATCH($D414&amp;keydelim&amp;$Q414,'Fuel Selector'!$B:$B,0)),0)+Z437</f>
        <v>-72.433827458539966</v>
      </c>
      <c r="AA414" s="76">
        <f>IFERROR(INDEX('Fuel Selector'!S:S,MATCH($D414&amp;keydelim&amp;$Q414,'Fuel Selector'!$B:$B,0)),0)+AA437</f>
        <v>-72.433827458539966</v>
      </c>
      <c r="AB414" s="76">
        <f>IFERROR(INDEX('Fuel Selector'!T:T,MATCH($D414&amp;keydelim&amp;$Q414,'Fuel Selector'!$B:$B,0)),0)+AB437</f>
        <v>-72.433827458539966</v>
      </c>
      <c r="AC414" s="76">
        <f>IFERROR(INDEX('Fuel Selector'!U:U,MATCH($D414&amp;keydelim&amp;$Q414,'Fuel Selector'!$B:$B,0)),0)+AC437</f>
        <v>-72.433827458539966</v>
      </c>
      <c r="AD414" s="76">
        <f>IFERROR(INDEX('Fuel Selector'!V:V,MATCH($D414&amp;keydelim&amp;$Q414,'Fuel Selector'!$B:$B,0)),0)+AD437</f>
        <v>-72.433827458539966</v>
      </c>
    </row>
    <row r="415" spans="4:30" x14ac:dyDescent="0.2">
      <c r="D415" s="347" t="str">
        <f t="shared" si="352"/>
        <v>e-Diesel (PS) - WTT CO2 emissions</v>
      </c>
      <c r="F415" t="s">
        <v>589</v>
      </c>
      <c r="N415" s="48" t="s">
        <v>603</v>
      </c>
      <c r="Q415" t="s">
        <v>602</v>
      </c>
      <c r="R415" s="386"/>
      <c r="S415" s="76">
        <f>IFERROR(INDEX('Fuel Selector'!K:K,MATCH($D415&amp;keydelim&amp;$Q415,'Fuel Selector'!$B:$B,0)),0)+S438</f>
        <v>-70.897009616891253</v>
      </c>
      <c r="T415" s="76">
        <f>IFERROR(INDEX('Fuel Selector'!L:L,MATCH($D415&amp;keydelim&amp;$Q415,'Fuel Selector'!$B:$B,0)),0)+T438</f>
        <v>-71.221341979128923</v>
      </c>
      <c r="U415" s="76">
        <f>IFERROR(INDEX('Fuel Selector'!M:M,MATCH($D415&amp;keydelim&amp;$Q415,'Fuel Selector'!$B:$B,0)),0)+U438</f>
        <v>-71.479862976596522</v>
      </c>
      <c r="V415" s="76">
        <f>IFERROR(INDEX('Fuel Selector'!N:N,MATCH($D415&amp;keydelim&amp;$Q415,'Fuel Selector'!$B:$B,0)),0)+V438</f>
        <v>-71.743701803529788</v>
      </c>
      <c r="W415" s="76">
        <f>IFERROR(INDEX('Fuel Selector'!O:O,MATCH($D415&amp;keydelim&amp;$Q415,'Fuel Selector'!$B:$B,0)),0)+W438</f>
        <v>-71.984956838226637</v>
      </c>
      <c r="X415" s="76">
        <f>IFERROR(INDEX('Fuel Selector'!P:P,MATCH($D415&amp;keydelim&amp;$Q415,'Fuel Selector'!$B:$B,0)),0)+X438</f>
        <v>-72.239481405783877</v>
      </c>
      <c r="Y415" s="76">
        <f>IFERROR(INDEX('Fuel Selector'!Q:Q,MATCH($D415&amp;keydelim&amp;$Q415,'Fuel Selector'!$B:$B,0)),0)+Y438</f>
        <v>-72.433827458539966</v>
      </c>
      <c r="Z415" s="76">
        <f>IFERROR(INDEX('Fuel Selector'!R:R,MATCH($D415&amp;keydelim&amp;$Q415,'Fuel Selector'!$B:$B,0)),0)+Z438</f>
        <v>-72.433827458539966</v>
      </c>
      <c r="AA415" s="76">
        <f>IFERROR(INDEX('Fuel Selector'!S:S,MATCH($D415&amp;keydelim&amp;$Q415,'Fuel Selector'!$B:$B,0)),0)+AA438</f>
        <v>-72.433827458539966</v>
      </c>
      <c r="AB415" s="76">
        <f>IFERROR(INDEX('Fuel Selector'!T:T,MATCH($D415&amp;keydelim&amp;$Q415,'Fuel Selector'!$B:$B,0)),0)+AB438</f>
        <v>-72.433827458539966</v>
      </c>
      <c r="AC415" s="76">
        <f>IFERROR(INDEX('Fuel Selector'!U:U,MATCH($D415&amp;keydelim&amp;$Q415,'Fuel Selector'!$B:$B,0)),0)+AC438</f>
        <v>-72.433827458539966</v>
      </c>
      <c r="AD415" s="76">
        <f>IFERROR(INDEX('Fuel Selector'!V:V,MATCH($D415&amp;keydelim&amp;$Q415,'Fuel Selector'!$B:$B,0)),0)+AD438</f>
        <v>-72.433827458539966</v>
      </c>
    </row>
    <row r="416" spans="4:30" x14ac:dyDescent="0.2">
      <c r="D416" s="347" t="str">
        <f t="shared" si="352"/>
        <v>e-Methane (DAC) - WTT CO2 emissions</v>
      </c>
      <c r="F416" t="s">
        <v>590</v>
      </c>
      <c r="N416" s="48" t="s">
        <v>603</v>
      </c>
      <c r="Q416" t="s">
        <v>602</v>
      </c>
      <c r="R416" s="386"/>
      <c r="S416" s="76">
        <f>IFERROR(INDEX('Fuel Selector'!K:K,MATCH($D416&amp;keydelim&amp;$Q416,'Fuel Selector'!$B:$B,0)),0)+S439</f>
        <v>-49.098272048792644</v>
      </c>
      <c r="T416" s="76">
        <f>IFERROR(INDEX('Fuel Selector'!L:L,MATCH($D416&amp;keydelim&amp;$Q416,'Fuel Selector'!$B:$B,0)),0)+T439</f>
        <v>-49.380018514554791</v>
      </c>
      <c r="U416" s="76">
        <f>IFERROR(INDEX('Fuel Selector'!M:M,MATCH($D416&amp;keydelim&amp;$Q416,'Fuel Selector'!$B:$B,0)),0)+U439</f>
        <v>-49.604992294685012</v>
      </c>
      <c r="V416" s="76">
        <f>IFERROR(INDEX('Fuel Selector'!N:N,MATCH($D416&amp;keydelim&amp;$Q416,'Fuel Selector'!$B:$B,0)),0)+V439</f>
        <v>-49.836971994324621</v>
      </c>
      <c r="W416" s="76">
        <f>IFERROR(INDEX('Fuel Selector'!O:O,MATCH($D416&amp;keydelim&amp;$Q416,'Fuel Selector'!$B:$B,0)),0)+W439</f>
        <v>-50.050015996804341</v>
      </c>
      <c r="X416" s="76">
        <f>IFERROR(INDEX('Fuel Selector'!P:P,MATCH($D416&amp;keydelim&amp;$Q416,'Fuel Selector'!$B:$B,0)),0)+X439</f>
        <v>-50.276279396112393</v>
      </c>
      <c r="Y416" s="76">
        <f>IFERROR(INDEX('Fuel Selector'!Q:Q,MATCH($D416&amp;keydelim&amp;$Q416,'Fuel Selector'!$B:$B,0)),0)+Y439</f>
        <v>-50.44873780812555</v>
      </c>
      <c r="Z416" s="76">
        <f>IFERROR(INDEX('Fuel Selector'!R:R,MATCH($D416&amp;keydelim&amp;$Q416,'Fuel Selector'!$B:$B,0)),0)+Z439</f>
        <v>-50.44873780812555</v>
      </c>
      <c r="AA416" s="76">
        <f>IFERROR(INDEX('Fuel Selector'!S:S,MATCH($D416&amp;keydelim&amp;$Q416,'Fuel Selector'!$B:$B,0)),0)+AA439</f>
        <v>-50.44873780812555</v>
      </c>
      <c r="AB416" s="76">
        <f>IFERROR(INDEX('Fuel Selector'!T:T,MATCH($D416&amp;keydelim&amp;$Q416,'Fuel Selector'!$B:$B,0)),0)+AB439</f>
        <v>-50.44873780812555</v>
      </c>
      <c r="AC416" s="76">
        <f>IFERROR(INDEX('Fuel Selector'!U:U,MATCH($D416&amp;keydelim&amp;$Q416,'Fuel Selector'!$B:$B,0)),0)+AC439</f>
        <v>-50.44873780812555</v>
      </c>
      <c r="AD416" s="76">
        <f>IFERROR(INDEX('Fuel Selector'!V:V,MATCH($D416&amp;keydelim&amp;$Q416,'Fuel Selector'!$B:$B,0)),0)+AD439</f>
        <v>-50.44873780812555</v>
      </c>
    </row>
    <row r="417" spans="4:30" x14ac:dyDescent="0.2">
      <c r="D417" s="347" t="str">
        <f t="shared" si="352"/>
        <v>e-Methane (PS) - WTT CO2 emissions</v>
      </c>
      <c r="F417" t="s">
        <v>591</v>
      </c>
      <c r="N417" s="48" t="s">
        <v>603</v>
      </c>
      <c r="Q417" t="s">
        <v>602</v>
      </c>
      <c r="R417" s="386"/>
      <c r="S417" s="76">
        <f>IFERROR(INDEX('Fuel Selector'!K:K,MATCH($D417&amp;keydelim&amp;$Q417,'Fuel Selector'!$B:$B,0)),0)+S440</f>
        <v>-49.098272048792644</v>
      </c>
      <c r="T417" s="76">
        <f>IFERROR(INDEX('Fuel Selector'!L:L,MATCH($D417&amp;keydelim&amp;$Q417,'Fuel Selector'!$B:$B,0)),0)+T440</f>
        <v>-49.380018514554791</v>
      </c>
      <c r="U417" s="76">
        <f>IFERROR(INDEX('Fuel Selector'!M:M,MATCH($D417&amp;keydelim&amp;$Q417,'Fuel Selector'!$B:$B,0)),0)+U440</f>
        <v>-49.604992294685012</v>
      </c>
      <c r="V417" s="76">
        <f>IFERROR(INDEX('Fuel Selector'!N:N,MATCH($D417&amp;keydelim&amp;$Q417,'Fuel Selector'!$B:$B,0)),0)+V440</f>
        <v>-49.836971994324621</v>
      </c>
      <c r="W417" s="76">
        <f>IFERROR(INDEX('Fuel Selector'!O:O,MATCH($D417&amp;keydelim&amp;$Q417,'Fuel Selector'!$B:$B,0)),0)+W440</f>
        <v>-50.050015996804341</v>
      </c>
      <c r="X417" s="76">
        <f>IFERROR(INDEX('Fuel Selector'!P:P,MATCH($D417&amp;keydelim&amp;$Q417,'Fuel Selector'!$B:$B,0)),0)+X440</f>
        <v>-50.276279396112393</v>
      </c>
      <c r="Y417" s="76">
        <f>IFERROR(INDEX('Fuel Selector'!Q:Q,MATCH($D417&amp;keydelim&amp;$Q417,'Fuel Selector'!$B:$B,0)),0)+Y440</f>
        <v>-50.44873780812555</v>
      </c>
      <c r="Z417" s="76">
        <f>IFERROR(INDEX('Fuel Selector'!R:R,MATCH($D417&amp;keydelim&amp;$Q417,'Fuel Selector'!$B:$B,0)),0)+Z440</f>
        <v>-50.44873780812555</v>
      </c>
      <c r="AA417" s="76">
        <f>IFERROR(INDEX('Fuel Selector'!S:S,MATCH($D417&amp;keydelim&amp;$Q417,'Fuel Selector'!$B:$B,0)),0)+AA440</f>
        <v>-50.44873780812555</v>
      </c>
      <c r="AB417" s="76">
        <f>IFERROR(INDEX('Fuel Selector'!T:T,MATCH($D417&amp;keydelim&amp;$Q417,'Fuel Selector'!$B:$B,0)),0)+AB440</f>
        <v>-50.44873780812555</v>
      </c>
      <c r="AC417" s="76">
        <f>IFERROR(INDEX('Fuel Selector'!U:U,MATCH($D417&amp;keydelim&amp;$Q417,'Fuel Selector'!$B:$B,0)),0)+AC440</f>
        <v>-50.44873780812555</v>
      </c>
      <c r="AD417" s="76">
        <f>IFERROR(INDEX('Fuel Selector'!V:V,MATCH($D417&amp;keydelim&amp;$Q417,'Fuel Selector'!$B:$B,0)),0)+AD440</f>
        <v>-50.44873780812555</v>
      </c>
    </row>
    <row r="418" spans="4:30" x14ac:dyDescent="0.2">
      <c r="D418" s="347" t="str">
        <f t="shared" si="352"/>
        <v>Blue ammonia - WTT CO2 emissions</v>
      </c>
      <c r="F418" t="s">
        <v>120</v>
      </c>
      <c r="N418" s="48" t="s">
        <v>603</v>
      </c>
      <c r="Q418" t="s">
        <v>602</v>
      </c>
      <c r="R418" s="386"/>
      <c r="S418" s="76">
        <f>IFERROR(INDEX('Fuel Selector'!K:K,MATCH($D418&amp;keydelim&amp;$Q418,'Fuel Selector'!$B:$B,0)),0)+S441</f>
        <v>23.501345970568721</v>
      </c>
      <c r="T418" s="76">
        <f>IFERROR(INDEX('Fuel Selector'!L:L,MATCH($D418&amp;keydelim&amp;$Q418,'Fuel Selector'!$B:$B,0)),0)+T441</f>
        <v>22.068628933470897</v>
      </c>
      <c r="U418" s="76">
        <f>IFERROR(INDEX('Fuel Selector'!M:M,MATCH($D418&amp;keydelim&amp;$Q418,'Fuel Selector'!$B:$B,0)),0)+U441</f>
        <v>20.767167011016767</v>
      </c>
      <c r="V418" s="76">
        <f>IFERROR(INDEX('Fuel Selector'!N:N,MATCH($D418&amp;keydelim&amp;$Q418,'Fuel Selector'!$B:$B,0)),0)+V441</f>
        <v>19.557017745231413</v>
      </c>
      <c r="W418" s="76">
        <f>IFERROR(INDEX('Fuel Selector'!O:O,MATCH($D418&amp;keydelim&amp;$Q418,'Fuel Selector'!$B:$B,0)),0)+W441</f>
        <v>18.410393632660419</v>
      </c>
      <c r="X418" s="76">
        <f>IFERROR(INDEX('Fuel Selector'!P:P,MATCH($D418&amp;keydelim&amp;$Q418,'Fuel Selector'!$B:$B,0)),0)+X441</f>
        <v>17.307963230338629</v>
      </c>
      <c r="Y418" s="76">
        <f>IFERROR(INDEX('Fuel Selector'!Q:Q,MATCH($D418&amp;keydelim&amp;$Q418,'Fuel Selector'!$B:$B,0)),0)+Y441</f>
        <v>16.236277878233448</v>
      </c>
      <c r="Z418" s="76">
        <f>IFERROR(INDEX('Fuel Selector'!R:R,MATCH($D418&amp;keydelim&amp;$Q418,'Fuel Selector'!$B:$B,0)),0)+Z441</f>
        <v>16.236277878233448</v>
      </c>
      <c r="AA418" s="76">
        <f>IFERROR(INDEX('Fuel Selector'!S:S,MATCH($D418&amp;keydelim&amp;$Q418,'Fuel Selector'!$B:$B,0)),0)+AA441</f>
        <v>16.236277878233448</v>
      </c>
      <c r="AB418" s="76">
        <f>IFERROR(INDEX('Fuel Selector'!T:T,MATCH($D418&amp;keydelim&amp;$Q418,'Fuel Selector'!$B:$B,0)),0)+AB441</f>
        <v>16.236277878233448</v>
      </c>
      <c r="AC418" s="76">
        <f>IFERROR(INDEX('Fuel Selector'!U:U,MATCH($D418&amp;keydelim&amp;$Q418,'Fuel Selector'!$B:$B,0)),0)+AC441</f>
        <v>16.236277878233448</v>
      </c>
      <c r="AD418" s="76">
        <f>IFERROR(INDEX('Fuel Selector'!V:V,MATCH($D418&amp;keydelim&amp;$Q418,'Fuel Selector'!$B:$B,0)),0)+AD441</f>
        <v>16.236277878233448</v>
      </c>
    </row>
    <row r="419" spans="4:30" x14ac:dyDescent="0.2">
      <c r="D419" s="347" t="str">
        <f t="shared" si="352"/>
        <v>Blue hydrogen (compressed) - WTT CO2 emissions</v>
      </c>
      <c r="F419" t="s">
        <v>592</v>
      </c>
      <c r="N419" s="48" t="s">
        <v>603</v>
      </c>
      <c r="Q419" t="s">
        <v>602</v>
      </c>
      <c r="R419" s="386"/>
      <c r="S419" s="76">
        <f>IFERROR(INDEX('Fuel Selector'!K:K,MATCH($D419&amp;keydelim&amp;$Q419,'Fuel Selector'!$B:$B,0)),0)+S442</f>
        <v>0</v>
      </c>
      <c r="T419" s="76">
        <f>IFERROR(INDEX('Fuel Selector'!L:L,MATCH($D419&amp;keydelim&amp;$Q419,'Fuel Selector'!$B:$B,0)),0)+T442</f>
        <v>0</v>
      </c>
      <c r="U419" s="76">
        <f>IFERROR(INDEX('Fuel Selector'!M:M,MATCH($D419&amp;keydelim&amp;$Q419,'Fuel Selector'!$B:$B,0)),0)+U442</f>
        <v>0</v>
      </c>
      <c r="V419" s="76">
        <f>IFERROR(INDEX('Fuel Selector'!N:N,MATCH($D419&amp;keydelim&amp;$Q419,'Fuel Selector'!$B:$B,0)),0)+V442</f>
        <v>0</v>
      </c>
      <c r="W419" s="76">
        <f>IFERROR(INDEX('Fuel Selector'!O:O,MATCH($D419&amp;keydelim&amp;$Q419,'Fuel Selector'!$B:$B,0)),0)+W442</f>
        <v>0</v>
      </c>
      <c r="X419" s="76">
        <f>IFERROR(INDEX('Fuel Selector'!P:P,MATCH($D419&amp;keydelim&amp;$Q419,'Fuel Selector'!$B:$B,0)),0)+X442</f>
        <v>0</v>
      </c>
      <c r="Y419" s="76">
        <f>IFERROR(INDEX('Fuel Selector'!Q:Q,MATCH($D419&amp;keydelim&amp;$Q419,'Fuel Selector'!$B:$B,0)),0)+Y442</f>
        <v>0</v>
      </c>
      <c r="Z419" s="76">
        <f>IFERROR(INDEX('Fuel Selector'!R:R,MATCH($D419&amp;keydelim&amp;$Q419,'Fuel Selector'!$B:$B,0)),0)+Z442</f>
        <v>0</v>
      </c>
      <c r="AA419" s="76">
        <f>IFERROR(INDEX('Fuel Selector'!S:S,MATCH($D419&amp;keydelim&amp;$Q419,'Fuel Selector'!$B:$B,0)),0)+AA442</f>
        <v>0</v>
      </c>
      <c r="AB419" s="76">
        <f>IFERROR(INDEX('Fuel Selector'!T:T,MATCH($D419&amp;keydelim&amp;$Q419,'Fuel Selector'!$B:$B,0)),0)+AB442</f>
        <v>0</v>
      </c>
      <c r="AC419" s="76">
        <f>IFERROR(INDEX('Fuel Selector'!U:U,MATCH($D419&amp;keydelim&amp;$Q419,'Fuel Selector'!$B:$B,0)),0)+AC442</f>
        <v>0</v>
      </c>
      <c r="AD419" s="76">
        <f>IFERROR(INDEX('Fuel Selector'!V:V,MATCH($D419&amp;keydelim&amp;$Q419,'Fuel Selector'!$B:$B,0)),0)+AD442</f>
        <v>0</v>
      </c>
    </row>
    <row r="420" spans="4:30" x14ac:dyDescent="0.2">
      <c r="D420" s="347" t="str">
        <f>_xlfn.TEXTJOIN(keydelim,TRUE,E420:N420)</f>
        <v>Blue hydrogen (liquid) - WTT CO2 emissions</v>
      </c>
      <c r="F420" t="s">
        <v>593</v>
      </c>
      <c r="N420" s="48" t="s">
        <v>603</v>
      </c>
      <c r="Q420" t="s">
        <v>602</v>
      </c>
      <c r="R420" s="386"/>
      <c r="S420" s="76">
        <f>IFERROR(INDEX('Fuel Selector'!K:K,MATCH($D420&amp;keydelim&amp;$Q420,'Fuel Selector'!$B:$B,0)),0)+S443</f>
        <v>18.72586942210728</v>
      </c>
      <c r="T420" s="76">
        <f>IFERROR(INDEX('Fuel Selector'!L:L,MATCH($D420&amp;keydelim&amp;$Q420,'Fuel Selector'!$B:$B,0)),0)+T443</f>
        <v>17.084763868774139</v>
      </c>
      <c r="U420" s="76">
        <f>IFERROR(INDEX('Fuel Selector'!M:M,MATCH($D420&amp;keydelim&amp;$Q420,'Fuel Selector'!$B:$B,0)),0)+U443</f>
        <v>15.651851955167597</v>
      </c>
      <c r="V420" s="76">
        <f>IFERROR(INDEX('Fuel Selector'!N:N,MATCH($D420&amp;keydelim&amp;$Q420,'Fuel Selector'!$B:$B,0)),0)+V443</f>
        <v>14.365798870288653</v>
      </c>
      <c r="W420" s="76">
        <f>IFERROR(INDEX('Fuel Selector'!O:O,MATCH($D420&amp;keydelim&amp;$Q420,'Fuel Selector'!$B:$B,0)),0)+W443</f>
        <v>13.18389441674827</v>
      </c>
      <c r="X420" s="76">
        <f>IFERROR(INDEX('Fuel Selector'!P:P,MATCH($D420&amp;keydelim&amp;$Q420,'Fuel Selector'!$B:$B,0)),0)+X443</f>
        <v>12.076386139610275</v>
      </c>
      <c r="Y420" s="76">
        <f>IFERROR(INDEX('Fuel Selector'!Q:Q,MATCH($D420&amp;keydelim&amp;$Q420,'Fuel Selector'!$B:$B,0)),0)+Y443</f>
        <v>11.02253691769414</v>
      </c>
      <c r="Z420" s="76">
        <f>IFERROR(INDEX('Fuel Selector'!R:R,MATCH($D420&amp;keydelim&amp;$Q420,'Fuel Selector'!$B:$B,0)),0)+Z443</f>
        <v>11.02253691769414</v>
      </c>
      <c r="AA420" s="76">
        <f>IFERROR(INDEX('Fuel Selector'!S:S,MATCH($D420&amp;keydelim&amp;$Q420,'Fuel Selector'!$B:$B,0)),0)+AA443</f>
        <v>11.02253691769414</v>
      </c>
      <c r="AB420" s="76">
        <f>IFERROR(INDEX('Fuel Selector'!T:T,MATCH($D420&amp;keydelim&amp;$Q420,'Fuel Selector'!$B:$B,0)),0)+AB443</f>
        <v>11.02253691769414</v>
      </c>
      <c r="AC420" s="76">
        <f>IFERROR(INDEX('Fuel Selector'!U:U,MATCH($D420&amp;keydelim&amp;$Q420,'Fuel Selector'!$B:$B,0)),0)+AC443</f>
        <v>11.02253691769414</v>
      </c>
      <c r="AD420" s="76">
        <f>IFERROR(INDEX('Fuel Selector'!V:V,MATCH($D420&amp;keydelim&amp;$Q420,'Fuel Selector'!$B:$B,0)),0)+AD443</f>
        <v>11.02253691769414</v>
      </c>
    </row>
    <row r="421" spans="4:30" x14ac:dyDescent="0.2">
      <c r="D421" s="347" t="str">
        <f t="shared" ref="D421" si="354">_xlfn.TEXTJOIN(keydelim,TRUE,E421:N421)</f>
        <v>Biomethane - WTT CO2 emissions</v>
      </c>
      <c r="F421" t="s">
        <v>118</v>
      </c>
      <c r="N421" s="48" t="s">
        <v>603</v>
      </c>
      <c r="Q421" t="s">
        <v>602</v>
      </c>
      <c r="R421" s="386"/>
      <c r="S421" s="76">
        <f>IFERROR(INDEX('Fuel Selector'!K:K,MATCH($D421&amp;keydelim&amp;$Q421,'Fuel Selector'!$B:$B,0)),0)+S444</f>
        <v>-34.519777739215421</v>
      </c>
      <c r="T421" s="76">
        <f>IFERROR(INDEX('Fuel Selector'!L:L,MATCH($D421&amp;keydelim&amp;$Q421,'Fuel Selector'!$B:$B,0)),0)+T444</f>
        <v>-37.829162945038981</v>
      </c>
      <c r="U421" s="76">
        <f>IFERROR(INDEX('Fuel Selector'!M:M,MATCH($D421&amp;keydelim&amp;$Q421,'Fuel Selector'!$B:$B,0)),0)+U444</f>
        <v>-40.952954234136016</v>
      </c>
      <c r="V421" s="76">
        <f>IFERROR(INDEX('Fuel Selector'!N:N,MATCH($D421&amp;keydelim&amp;$Q421,'Fuel Selector'!$B:$B,0)),0)+V444</f>
        <v>-43.926612404629765</v>
      </c>
      <c r="W421" s="76">
        <f>IFERROR(INDEX('Fuel Selector'!O:O,MATCH($D421&amp;keydelim&amp;$Q421,'Fuel Selector'!$B:$B,0)),0)+W444</f>
        <v>-46.774807121340629</v>
      </c>
      <c r="X421" s="76">
        <f>IFERROR(INDEX('Fuel Selector'!P:P,MATCH($D421&amp;keydelim&amp;$Q421,'Fuel Selector'!$B:$B,0)),0)+X444</f>
        <v>-49.514700783158716</v>
      </c>
      <c r="Y421" s="76">
        <f>IFERROR(INDEX('Fuel Selector'!Q:Q,MATCH($D421&amp;keydelim&amp;$Q421,'Fuel Selector'!$B:$B,0)),0)+Y444</f>
        <v>-52.158233071381133</v>
      </c>
      <c r="Z421" s="76">
        <f>IFERROR(INDEX('Fuel Selector'!R:R,MATCH($D421&amp;keydelim&amp;$Q421,'Fuel Selector'!$B:$B,0)),0)+Z444</f>
        <v>-52.158233071381133</v>
      </c>
      <c r="AA421" s="76">
        <f>IFERROR(INDEX('Fuel Selector'!S:S,MATCH($D421&amp;keydelim&amp;$Q421,'Fuel Selector'!$B:$B,0)),0)+AA444</f>
        <v>-52.158233071381133</v>
      </c>
      <c r="AB421" s="76">
        <f>IFERROR(INDEX('Fuel Selector'!T:T,MATCH($D421&amp;keydelim&amp;$Q421,'Fuel Selector'!$B:$B,0)),0)+AB444</f>
        <v>-52.158233071381133</v>
      </c>
      <c r="AC421" s="76">
        <f>IFERROR(INDEX('Fuel Selector'!U:U,MATCH($D421&amp;keydelim&amp;$Q421,'Fuel Selector'!$B:$B,0)),0)+AC444</f>
        <v>-52.158233071381133</v>
      </c>
      <c r="AD421" s="76">
        <f>IFERROR(INDEX('Fuel Selector'!V:V,MATCH($D421&amp;keydelim&amp;$Q421,'Fuel Selector'!$B:$B,0)),0)+AD444</f>
        <v>-52.158233071381133</v>
      </c>
    </row>
    <row r="422" spans="4:30" x14ac:dyDescent="0.2">
      <c r="D422" s="347" t="str">
        <f>_xlfn.TEXTJOIN(keydelim,TRUE,E422:N422)</f>
        <v>Biodiesel (HtL) - WTT CO2 emissions</v>
      </c>
      <c r="F422" t="s">
        <v>594</v>
      </c>
      <c r="N422" s="48" t="s">
        <v>603</v>
      </c>
      <c r="Q422" t="s">
        <v>602</v>
      </c>
      <c r="R422" s="386"/>
      <c r="S422" s="76">
        <f>IFERROR(INDEX('Fuel Selector'!K:K,MATCH($D422&amp;keydelim&amp;$Q422,'Fuel Selector'!$B:$B,0)),0)+S445</f>
        <v>-53.004916705075672</v>
      </c>
      <c r="T422" s="76">
        <f>IFERROR(INDEX('Fuel Selector'!L:L,MATCH($D422&amp;keydelim&amp;$Q422,'Fuel Selector'!$B:$B,0)),0)+T445</f>
        <v>-57.860710628130306</v>
      </c>
      <c r="U422" s="76">
        <f>IFERROR(INDEX('Fuel Selector'!M:M,MATCH($D422&amp;keydelim&amp;$Q422,'Fuel Selector'!$B:$B,0)),0)+U445</f>
        <v>-61.620716004650241</v>
      </c>
      <c r="V422" s="76">
        <f>IFERROR(INDEX('Fuel Selector'!N:N,MATCH($D422&amp;keydelim&amp;$Q422,'Fuel Selector'!$B:$B,0)),0)+V445</f>
        <v>-68.528246682417929</v>
      </c>
      <c r="W422" s="76">
        <f>IFERROR(INDEX('Fuel Selector'!O:O,MATCH($D422&amp;keydelim&amp;$Q422,'Fuel Selector'!$B:$B,0)),0)+W445</f>
        <v>-70.31388372922018</v>
      </c>
      <c r="X422" s="76">
        <f>IFERROR(INDEX('Fuel Selector'!P:P,MATCH($D422&amp;keydelim&amp;$Q422,'Fuel Selector'!$B:$B,0)),0)+X445</f>
        <v>-72.208145576588194</v>
      </c>
      <c r="Y422" s="76">
        <f>IFERROR(INDEX('Fuel Selector'!Q:Q,MATCH($D422&amp;keydelim&amp;$Q422,'Fuel Selector'!$B:$B,0)),0)+Y445</f>
        <v>-74.485119622516933</v>
      </c>
      <c r="Z422" s="76">
        <f>IFERROR(INDEX('Fuel Selector'!R:R,MATCH($D422&amp;keydelim&amp;$Q422,'Fuel Selector'!$B:$B,0)),0)+Z445</f>
        <v>-74.485119622516933</v>
      </c>
      <c r="AA422" s="76">
        <f>IFERROR(INDEX('Fuel Selector'!S:S,MATCH($D422&amp;keydelim&amp;$Q422,'Fuel Selector'!$B:$B,0)),0)+AA445</f>
        <v>-74.485119622516933</v>
      </c>
      <c r="AB422" s="76">
        <f>IFERROR(INDEX('Fuel Selector'!T:T,MATCH($D422&amp;keydelim&amp;$Q422,'Fuel Selector'!$B:$B,0)),0)+AB445</f>
        <v>-74.485119622516933</v>
      </c>
      <c r="AC422" s="76">
        <f>IFERROR(INDEX('Fuel Selector'!U:U,MATCH($D422&amp;keydelim&amp;$Q422,'Fuel Selector'!$B:$B,0)),0)+AC445</f>
        <v>-74.485119622516933</v>
      </c>
      <c r="AD422" s="76">
        <f>IFERROR(INDEX('Fuel Selector'!V:V,MATCH($D422&amp;keydelim&amp;$Q422,'Fuel Selector'!$B:$B,0)),0)+AD445</f>
        <v>-74.485119622516933</v>
      </c>
    </row>
    <row r="423" spans="4:30" x14ac:dyDescent="0.2">
      <c r="D423" s="347" t="str">
        <f>_xlfn.TEXTJOIN(keydelim,TRUE,E423:N423)</f>
        <v>Biodiesel (Pyr) - WTT CO2 emissions</v>
      </c>
      <c r="F423" t="s">
        <v>123</v>
      </c>
      <c r="N423" s="48" t="s">
        <v>603</v>
      </c>
      <c r="Q423" t="s">
        <v>602</v>
      </c>
      <c r="R423" s="386"/>
      <c r="S423" s="76">
        <f>IFERROR(INDEX('Fuel Selector'!K:K,MATCH($D423&amp;keydelim&amp;$Q423,'Fuel Selector'!$B:$B,0)),0)+S446</f>
        <v>-40.339877075554391</v>
      </c>
      <c r="T423" s="76">
        <f>IFERROR(INDEX('Fuel Selector'!L:L,MATCH($D423&amp;keydelim&amp;$Q423,'Fuel Selector'!$B:$B,0)),0)+T446</f>
        <v>-48.28508713529736</v>
      </c>
      <c r="U423" s="76">
        <f>IFERROR(INDEX('Fuel Selector'!M:M,MATCH($D423&amp;keydelim&amp;$Q423,'Fuel Selector'!$B:$B,0)),0)+U446</f>
        <v>-54.14317291584149</v>
      </c>
      <c r="V423" s="76">
        <f>IFERROR(INDEX('Fuel Selector'!N:N,MATCH($D423&amp;keydelim&amp;$Q423,'Fuel Selector'!$B:$B,0)),0)+V446</f>
        <v>-66.682297018872859</v>
      </c>
      <c r="W423" s="76">
        <f>IFERROR(INDEX('Fuel Selector'!O:O,MATCH($D423&amp;keydelim&amp;$Q423,'Fuel Selector'!$B:$B,0)),0)+W446</f>
        <v>-68.6612337974545</v>
      </c>
      <c r="X423" s="76">
        <f>IFERROR(INDEX('Fuel Selector'!P:P,MATCH($D423&amp;keydelim&amp;$Q423,'Fuel Selector'!$B:$B,0)),0)+X446</f>
        <v>-70.931053663901253</v>
      </c>
      <c r="Y423" s="76">
        <f>IFERROR(INDEX('Fuel Selector'!Q:Q,MATCH($D423&amp;keydelim&amp;$Q423,'Fuel Selector'!$B:$B,0)),0)+Y446</f>
        <v>-74.042095342836006</v>
      </c>
      <c r="Z423" s="76">
        <f>IFERROR(INDEX('Fuel Selector'!R:R,MATCH($D423&amp;keydelim&amp;$Q423,'Fuel Selector'!$B:$B,0)),0)+Z446</f>
        <v>-74.042095342836006</v>
      </c>
      <c r="AA423" s="76">
        <f>IFERROR(INDEX('Fuel Selector'!S:S,MATCH($D423&amp;keydelim&amp;$Q423,'Fuel Selector'!$B:$B,0)),0)+AA446</f>
        <v>-74.042095342836006</v>
      </c>
      <c r="AB423" s="76">
        <f>IFERROR(INDEX('Fuel Selector'!T:T,MATCH($D423&amp;keydelim&amp;$Q423,'Fuel Selector'!$B:$B,0)),0)+AB446</f>
        <v>-74.042095342836006</v>
      </c>
      <c r="AC423" s="76">
        <f>IFERROR(INDEX('Fuel Selector'!U:U,MATCH($D423&amp;keydelim&amp;$Q423,'Fuel Selector'!$B:$B,0)),0)+AC446</f>
        <v>-74.042095342836006</v>
      </c>
      <c r="AD423" s="76">
        <f>IFERROR(INDEX('Fuel Selector'!V:V,MATCH($D423&amp;keydelim&amp;$Q423,'Fuel Selector'!$B:$B,0)),0)+AD446</f>
        <v>-74.042095342836006</v>
      </c>
    </row>
    <row r="424" spans="4:30" x14ac:dyDescent="0.2">
      <c r="D424" s="347" t="str">
        <f>_xlfn.TEXTJOIN(keydelim,TRUE,E424:N424)</f>
        <v>Biodiesel (HtL blend) - WTT CO2 emissions</v>
      </c>
      <c r="F424" s="384" t="s">
        <v>595</v>
      </c>
      <c r="N424" s="48" t="s">
        <v>603</v>
      </c>
      <c r="Q424" t="s">
        <v>602</v>
      </c>
      <c r="R424" s="386"/>
      <c r="S424" s="76">
        <f>IFERROR(INDEX('Fuel Selector'!K:K,MATCH($D424&amp;keydelim&amp;$Q424,'Fuel Selector'!$B:$B,0)),0)+S447</f>
        <v>-3.3241003623372918</v>
      </c>
      <c r="T424" s="76">
        <f>IFERROR(INDEX('Fuel Selector'!L:L,MATCH($D424&amp;keydelim&amp;$Q424,'Fuel Selector'!$B:$B,0)),0)+T447</f>
        <v>-3.7421924641576072</v>
      </c>
      <c r="U424" s="76">
        <f>IFERROR(INDEX('Fuel Selector'!M:M,MATCH($D424&amp;keydelim&amp;$Q424,'Fuel Selector'!$B:$B,0)),0)+U447</f>
        <v>-4.1604475212863958</v>
      </c>
      <c r="V424" s="76">
        <f>IFERROR(INDEX('Fuel Selector'!N:N,MATCH($D424&amp;keydelim&amp;$Q424,'Fuel Selector'!$B:$B,0)),0)+V447</f>
        <v>-4.5787025784151894</v>
      </c>
      <c r="W424" s="76">
        <f>IFERROR(INDEX('Fuel Selector'!O:O,MATCH($D424&amp;keydelim&amp;$Q424,'Fuel Selector'!$B:$B,0)),0)+W447</f>
        <v>-4.9969576355439838</v>
      </c>
      <c r="X424" s="76">
        <f>IFERROR(INDEX('Fuel Selector'!P:P,MATCH($D424&amp;keydelim&amp;$Q424,'Fuel Selector'!$B:$B,0)),0)+X447</f>
        <v>-5.4152126926727746</v>
      </c>
      <c r="Y424" s="76">
        <f>IFERROR(INDEX('Fuel Selector'!Q:Q,MATCH($D424&amp;keydelim&amp;$Q424,'Fuel Selector'!$B:$B,0)),0)+Y447</f>
        <v>-5.8334677498015717</v>
      </c>
      <c r="Z424" s="76">
        <f>IFERROR(INDEX('Fuel Selector'!R:R,MATCH($D424&amp;keydelim&amp;$Q424,'Fuel Selector'!$B:$B,0)),0)+Z447</f>
        <v>-5.8334677498015717</v>
      </c>
      <c r="AA424" s="76">
        <f>IFERROR(INDEX('Fuel Selector'!S:S,MATCH($D424&amp;keydelim&amp;$Q424,'Fuel Selector'!$B:$B,0)),0)+AA447</f>
        <v>-5.8334677498015717</v>
      </c>
      <c r="AB424" s="76">
        <f>IFERROR(INDEX('Fuel Selector'!T:T,MATCH($D424&amp;keydelim&amp;$Q424,'Fuel Selector'!$B:$B,0)),0)+AB447</f>
        <v>-5.8334677498015717</v>
      </c>
      <c r="AC424" s="76">
        <f>IFERROR(INDEX('Fuel Selector'!U:U,MATCH($D424&amp;keydelim&amp;$Q424,'Fuel Selector'!$B:$B,0)),0)+AC447</f>
        <v>-5.8334677498015717</v>
      </c>
      <c r="AD424" s="76">
        <f>IFERROR(INDEX('Fuel Selector'!V:V,MATCH($D424&amp;keydelim&amp;$Q424,'Fuel Selector'!$B:$B,0)),0)+AD447</f>
        <v>-5.8334677498015717</v>
      </c>
    </row>
    <row r="425" spans="4:30" x14ac:dyDescent="0.2">
      <c r="D425" s="347" t="str">
        <f>_xlfn.TEXTJOIN(keydelim,TRUE,E425:N425)</f>
        <v>Biodiesel (Pyr blend) - WTT CO2 emissions</v>
      </c>
      <c r="F425" s="384" t="s">
        <v>596</v>
      </c>
      <c r="N425" s="48" t="s">
        <v>603</v>
      </c>
      <c r="Q425" t="s">
        <v>602</v>
      </c>
      <c r="R425" s="386"/>
      <c r="S425" s="76">
        <f>IFERROR(INDEX('Fuel Selector'!K:K,MATCH($D425&amp;keydelim&amp;$Q425,'Fuel Selector'!$B:$B,0)),0)+S448</f>
        <v>-1.3339806999597574</v>
      </c>
      <c r="T425" s="76">
        <f>IFERROR(INDEX('Fuel Selector'!L:L,MATCH($D425&amp;keydelim&amp;$Q425,'Fuel Selector'!$B:$B,0)),0)+T448</f>
        <v>-1.5577242046437272</v>
      </c>
      <c r="U425" s="76">
        <f>IFERROR(INDEX('Fuel Selector'!M:M,MATCH($D425&amp;keydelim&amp;$Q425,'Fuel Selector'!$B:$B,0)),0)+U448</f>
        <v>-1.7814677093277003</v>
      </c>
      <c r="V425" s="76">
        <f>IFERROR(INDEX('Fuel Selector'!N:N,MATCH($D425&amp;keydelim&amp;$Q425,'Fuel Selector'!$B:$B,0)),0)+V448</f>
        <v>-2.0052112140116702</v>
      </c>
      <c r="W425" s="76">
        <f>IFERROR(INDEX('Fuel Selector'!O:O,MATCH($D425&amp;keydelim&amp;$Q425,'Fuel Selector'!$B:$B,0)),0)+W448</f>
        <v>-2.2289547186956429</v>
      </c>
      <c r="X425" s="76">
        <f>IFERROR(INDEX('Fuel Selector'!P:P,MATCH($D425&amp;keydelim&amp;$Q425,'Fuel Selector'!$B:$B,0)),0)+X448</f>
        <v>-2.452698223379616</v>
      </c>
      <c r="Y425" s="76">
        <f>IFERROR(INDEX('Fuel Selector'!Q:Q,MATCH($D425&amp;keydelim&amp;$Q425,'Fuel Selector'!$B:$B,0)),0)+Y448</f>
        <v>-2.6764417280635859</v>
      </c>
      <c r="Z425" s="76">
        <f>IFERROR(INDEX('Fuel Selector'!R:R,MATCH($D425&amp;keydelim&amp;$Q425,'Fuel Selector'!$B:$B,0)),0)+Z448</f>
        <v>-2.6764417280635859</v>
      </c>
      <c r="AA425" s="76">
        <f>IFERROR(INDEX('Fuel Selector'!S:S,MATCH($D425&amp;keydelim&amp;$Q425,'Fuel Selector'!$B:$B,0)),0)+AA448</f>
        <v>-2.6764417280635859</v>
      </c>
      <c r="AB425" s="76">
        <f>IFERROR(INDEX('Fuel Selector'!T:T,MATCH($D425&amp;keydelim&amp;$Q425,'Fuel Selector'!$B:$B,0)),0)+AB448</f>
        <v>-2.6764417280635859</v>
      </c>
      <c r="AC425" s="76">
        <f>IFERROR(INDEX('Fuel Selector'!U:U,MATCH($D425&amp;keydelim&amp;$Q425,'Fuel Selector'!$B:$B,0)),0)+AC448</f>
        <v>-2.6764417280635859</v>
      </c>
      <c r="AD425" s="76">
        <f>IFERROR(INDEX('Fuel Selector'!V:V,MATCH($D425&amp;keydelim&amp;$Q425,'Fuel Selector'!$B:$B,0)),0)+AD448</f>
        <v>-2.6764417280635859</v>
      </c>
    </row>
    <row r="426" spans="4:30" x14ac:dyDescent="0.2">
      <c r="F426" s="48"/>
      <c r="N426" s="48"/>
      <c r="R426" s="386"/>
      <c r="S426" s="76"/>
      <c r="T426" s="76"/>
      <c r="U426" s="76"/>
      <c r="V426" s="76"/>
      <c r="W426" s="76"/>
      <c r="X426" s="76"/>
      <c r="Y426" s="76"/>
      <c r="Z426" s="76"/>
      <c r="AA426" s="76"/>
      <c r="AB426" s="76"/>
      <c r="AC426" s="76"/>
      <c r="AD426" s="76"/>
    </row>
    <row r="427" spans="4:30" x14ac:dyDescent="0.2">
      <c r="D427" s="347" t="str">
        <f t="shared" ref="D427:D446" si="355">_xlfn.TEXTJOIN(keydelim,TRUE,G427:Q427)</f>
        <v>HFO - Global - WTT Logistics - kgCO2/GJ</v>
      </c>
      <c r="E427" s="347" t="str">
        <f t="shared" ref="E427:E446" si="356">_xlfn.TEXTJOIN(keydelim,TRUE,F427,N427)</f>
        <v>LSFO - WTT Logistics</v>
      </c>
      <c r="F427" t="s">
        <v>117</v>
      </c>
      <c r="G427" t="str">
        <f>+INDEX('Configurator Specs.'!$AH$4:$AH$36,MATCH(F427,list_fuels_long,0))</f>
        <v>HFO</v>
      </c>
      <c r="L427" t="s">
        <v>109</v>
      </c>
      <c r="N427" t="s">
        <v>604</v>
      </c>
      <c r="P427" s="306"/>
      <c r="Q427" t="s">
        <v>602</v>
      </c>
      <c r="R427" s="18"/>
      <c r="S427" s="76">
        <v>0</v>
      </c>
      <c r="T427" s="76">
        <v>0</v>
      </c>
      <c r="U427" s="76">
        <v>0</v>
      </c>
      <c r="V427" s="76">
        <v>0</v>
      </c>
      <c r="W427" s="76">
        <v>0</v>
      </c>
      <c r="X427" s="76">
        <v>0</v>
      </c>
      <c r="Y427" s="76">
        <v>0</v>
      </c>
      <c r="Z427" s="76">
        <v>0</v>
      </c>
      <c r="AA427" s="76">
        <v>0</v>
      </c>
      <c r="AB427" s="76">
        <v>0</v>
      </c>
      <c r="AC427" s="76">
        <v>0</v>
      </c>
      <c r="AD427" s="76">
        <v>0</v>
      </c>
    </row>
    <row r="428" spans="4:30" x14ac:dyDescent="0.2">
      <c r="D428" s="347" t="str">
        <f t="shared" si="355"/>
        <v>LNG &amp; e-Methane - Global - WTT Logistics - kgCO2/GJ</v>
      </c>
      <c r="E428" s="347" t="str">
        <f t="shared" si="356"/>
        <v>LNG - WTT Logistics</v>
      </c>
      <c r="F428" t="s">
        <v>528</v>
      </c>
      <c r="G428" t="str">
        <f>+INDEX('Configurator Specs.'!$AH$4:$AH$36,MATCH(F428,list_fuels_long,0))</f>
        <v>LNG &amp; e-Methane</v>
      </c>
      <c r="L428" t="s">
        <v>109</v>
      </c>
      <c r="N428" t="s">
        <v>604</v>
      </c>
      <c r="P428" s="306"/>
      <c r="Q428" t="s">
        <v>602</v>
      </c>
      <c r="R428" s="18"/>
      <c r="S428" s="76">
        <v>2.8808275551045717</v>
      </c>
      <c r="T428" s="76">
        <v>2.6127814854452049</v>
      </c>
      <c r="U428" s="76">
        <v>2.426304952346606</v>
      </c>
      <c r="V428" s="76">
        <v>2.2965753971225249</v>
      </c>
      <c r="W428" s="76">
        <v>2.2063240543986691</v>
      </c>
      <c r="X428" s="76">
        <v>2.1435372449519745</v>
      </c>
      <c r="Y428" s="76">
        <v>2.0998571918744537</v>
      </c>
      <c r="Z428" s="76">
        <v>2.0998571918744537</v>
      </c>
      <c r="AA428" s="76">
        <v>2.0998571918744537</v>
      </c>
      <c r="AB428" s="76">
        <v>2.0998571918744537</v>
      </c>
      <c r="AC428" s="76">
        <v>2.0998571918744537</v>
      </c>
      <c r="AD428" s="76">
        <v>2.0998571918744537</v>
      </c>
    </row>
    <row r="429" spans="4:30" x14ac:dyDescent="0.2">
      <c r="D429" s="347" t="str">
        <f t="shared" ref="D429" si="357">_xlfn.TEXTJOIN(keydelim,TRUE,G429:Q429)</f>
        <v>LPG - Global - WTT Logistics - kgCO2/GJ</v>
      </c>
      <c r="E429" s="347" t="str">
        <f t="shared" ref="E429" si="358">_xlfn.TEXTJOIN(keydelim,TRUE,F429,N429)</f>
        <v>LPG - WTT Logistics</v>
      </c>
      <c r="F429" t="s">
        <v>534</v>
      </c>
      <c r="G429" t="str">
        <f>+INDEX('Configurator Specs.'!$AH$4:$AH$36,MATCH(F429,list_fuels_long,0))</f>
        <v>LPG</v>
      </c>
      <c r="L429" t="s">
        <v>109</v>
      </c>
      <c r="N429" t="s">
        <v>604</v>
      </c>
      <c r="P429" s="306"/>
      <c r="Q429" t="s">
        <v>602</v>
      </c>
      <c r="R429" s="18"/>
      <c r="S429" s="76">
        <v>1.4173566088665943</v>
      </c>
      <c r="T429" s="76">
        <v>0.98603850793897807</v>
      </c>
      <c r="U429" s="76">
        <v>0.6859755216550727</v>
      </c>
      <c r="V429" s="76">
        <v>0.47722519203993419</v>
      </c>
      <c r="W429" s="76">
        <v>0.33200001563914106</v>
      </c>
      <c r="X429" s="76">
        <v>0.23096854948756845</v>
      </c>
      <c r="Y429" s="76">
        <v>0.16068213355259278</v>
      </c>
      <c r="Z429" s="76">
        <v>0.16068213355259278</v>
      </c>
      <c r="AA429" s="76">
        <v>0.16068213355259278</v>
      </c>
      <c r="AB429" s="76">
        <v>0.16068213355259278</v>
      </c>
      <c r="AC429" s="76">
        <v>0.16068213355259278</v>
      </c>
      <c r="AD429" s="76">
        <v>0.16068213355259278</v>
      </c>
    </row>
    <row r="430" spans="4:30" x14ac:dyDescent="0.2">
      <c r="D430" s="347" t="str">
        <f t="shared" si="355"/>
        <v>Ammonia - Global - WTT Logistics - kgCO2/GJ</v>
      </c>
      <c r="E430" s="347" t="str">
        <f t="shared" si="356"/>
        <v>e-Ammonia - WTT Logistics</v>
      </c>
      <c r="F430" t="s">
        <v>121</v>
      </c>
      <c r="G430" t="str">
        <f>+INDEX('Configurator Specs.'!$AH$4:$AH$36,MATCH(F430,list_fuels_long,0))</f>
        <v>Ammonia</v>
      </c>
      <c r="L430" t="s">
        <v>109</v>
      </c>
      <c r="N430" t="s">
        <v>604</v>
      </c>
      <c r="P430" s="306"/>
      <c r="Q430" t="s">
        <v>602</v>
      </c>
      <c r="R430" s="18"/>
      <c r="S430" s="76">
        <v>1.4173566088665943</v>
      </c>
      <c r="T430" s="76">
        <v>0.98603850793897807</v>
      </c>
      <c r="U430" s="76">
        <v>0.6859755216550727</v>
      </c>
      <c r="V430" s="76">
        <v>0.47722519203993419</v>
      </c>
      <c r="W430" s="76">
        <v>0.33200001563914106</v>
      </c>
      <c r="X430" s="76">
        <v>0.23096854948756845</v>
      </c>
      <c r="Y430" s="76">
        <v>0.16068213355259278</v>
      </c>
      <c r="Z430" s="76">
        <v>0.16068213355259278</v>
      </c>
      <c r="AA430" s="76">
        <v>0.16068213355259278</v>
      </c>
      <c r="AB430" s="76">
        <v>0.16068213355259278</v>
      </c>
      <c r="AC430" s="76">
        <v>0.16068213355259278</v>
      </c>
      <c r="AD430" s="76">
        <v>0.16068213355259278</v>
      </c>
    </row>
    <row r="431" spans="4:30" x14ac:dyDescent="0.2">
      <c r="D431" s="347" t="str">
        <f t="shared" si="355"/>
        <v>Hydrogen (compressed) - Global - WTT Logistics - kgCO2/GJ</v>
      </c>
      <c r="E431" s="347" t="str">
        <f t="shared" si="356"/>
        <v>e-Hydrogen (compressed) - WTT Logistics</v>
      </c>
      <c r="F431" t="s">
        <v>584</v>
      </c>
      <c r="G431" t="str">
        <f>+INDEX('Configurator Specs.'!$AH$4:$AH$36,MATCH(F431,list_fuels_long,0))</f>
        <v>Hydrogen (compressed)</v>
      </c>
      <c r="L431" t="s">
        <v>109</v>
      </c>
      <c r="N431" t="s">
        <v>604</v>
      </c>
      <c r="P431" s="306"/>
      <c r="Q431" t="s">
        <v>602</v>
      </c>
      <c r="R431" s="18"/>
      <c r="S431" s="76">
        <v>0</v>
      </c>
      <c r="T431" s="76">
        <v>0</v>
      </c>
      <c r="U431" s="76">
        <v>0</v>
      </c>
      <c r="V431" s="76">
        <v>0</v>
      </c>
      <c r="W431" s="76">
        <v>0</v>
      </c>
      <c r="X431" s="76">
        <v>0</v>
      </c>
      <c r="Y431" s="76">
        <v>0</v>
      </c>
      <c r="Z431" s="76">
        <v>0</v>
      </c>
      <c r="AA431" s="76">
        <v>0</v>
      </c>
      <c r="AB431" s="76">
        <v>0</v>
      </c>
      <c r="AC431" s="76">
        <v>0</v>
      </c>
      <c r="AD431" s="76">
        <v>0</v>
      </c>
    </row>
    <row r="432" spans="4:30" x14ac:dyDescent="0.2">
      <c r="D432" s="347" t="str">
        <f t="shared" si="355"/>
        <v>e-Hydrogen (liquid) - Global - WTT Logistics - kgCO2/GJ</v>
      </c>
      <c r="E432" s="347" t="str">
        <f t="shared" si="356"/>
        <v>e-Hydrogen (liquid) - WTT Logistics</v>
      </c>
      <c r="F432" t="s">
        <v>585</v>
      </c>
      <c r="G432" t="str">
        <f>+INDEX('Configurator Specs.'!$AH$4:$AH$36,MATCH(F432,list_fuels_long,0))</f>
        <v>e-Hydrogen (liquid)</v>
      </c>
      <c r="L432" t="s">
        <v>109</v>
      </c>
      <c r="N432" t="s">
        <v>604</v>
      </c>
      <c r="P432" s="306"/>
      <c r="Q432" t="s">
        <v>602</v>
      </c>
      <c r="R432" s="18"/>
      <c r="S432" s="76">
        <v>2.1714314075838792</v>
      </c>
      <c r="T432" s="76">
        <v>1.5106395749888319</v>
      </c>
      <c r="U432" s="76">
        <v>1.0509343825240254</v>
      </c>
      <c r="V432" s="76">
        <v>0.7311228268194413</v>
      </c>
      <c r="W432" s="76">
        <v>0.50863364714802328</v>
      </c>
      <c r="X432" s="76">
        <v>0.35385051255551975</v>
      </c>
      <c r="Y432" s="76">
        <v>0.2461696860557186</v>
      </c>
      <c r="Z432" s="76">
        <v>0.2461696860557186</v>
      </c>
      <c r="AA432" s="76">
        <v>0.2461696860557186</v>
      </c>
      <c r="AB432" s="76">
        <v>0.2461696860557186</v>
      </c>
      <c r="AC432" s="76">
        <v>0.2461696860557186</v>
      </c>
      <c r="AD432" s="76">
        <v>0.2461696860557186</v>
      </c>
    </row>
    <row r="433" spans="4:30" x14ac:dyDescent="0.2">
      <c r="D433" s="347" t="str">
        <f t="shared" si="355"/>
        <v>Biomethanol - Global - WTT Logistics - kgCO2/GJ</v>
      </c>
      <c r="E433" s="347" t="str">
        <f t="shared" si="356"/>
        <v>Biomethanol - WTT Logistics</v>
      </c>
      <c r="F433" t="s">
        <v>586</v>
      </c>
      <c r="G433" t="str">
        <f>+INDEX('Configurator Specs.'!$AH$4:$AH$36,MATCH(F433,list_fuels_long,0))</f>
        <v>Biomethanol</v>
      </c>
      <c r="L433" t="s">
        <v>109</v>
      </c>
      <c r="N433" t="s">
        <v>604</v>
      </c>
      <c r="P433" s="306"/>
      <c r="Q433" t="s">
        <v>602</v>
      </c>
      <c r="R433" s="18"/>
      <c r="S433" s="76">
        <v>1.6215234537152345</v>
      </c>
      <c r="T433" s="76">
        <v>1.1280750072968548</v>
      </c>
      <c r="U433" s="76">
        <v>0.78478866227443445</v>
      </c>
      <c r="V433" s="76">
        <v>0.54596834470282951</v>
      </c>
      <c r="W433" s="76">
        <v>0.37982382741573162</v>
      </c>
      <c r="X433" s="76">
        <v>0.2642390191161349</v>
      </c>
      <c r="Y433" s="76">
        <v>0.18382801231433532</v>
      </c>
      <c r="Z433" s="76">
        <v>0.18382801231433532</v>
      </c>
      <c r="AA433" s="76">
        <v>0.18382801231433532</v>
      </c>
      <c r="AB433" s="76">
        <v>0.18382801231433532</v>
      </c>
      <c r="AC433" s="76">
        <v>0.18382801231433532</v>
      </c>
      <c r="AD433" s="76">
        <v>0.18382801231433532</v>
      </c>
    </row>
    <row r="434" spans="4:30" x14ac:dyDescent="0.2">
      <c r="D434" s="347" t="str">
        <f t="shared" si="355"/>
        <v>Electricity - Global - WTT Logistics - kgCO2/GJ</v>
      </c>
      <c r="E434" s="347" t="str">
        <f t="shared" si="356"/>
        <v>Electricity - WTT Logistics</v>
      </c>
      <c r="F434" t="s">
        <v>54</v>
      </c>
      <c r="G434" t="str">
        <f>+INDEX('Configurator Specs.'!$AH$4:$AH$36,MATCH(F434,list_fuels_long,0))</f>
        <v>Electricity</v>
      </c>
      <c r="L434" t="s">
        <v>109</v>
      </c>
      <c r="N434" t="s">
        <v>604</v>
      </c>
      <c r="P434" s="306"/>
      <c r="Q434" t="s">
        <v>602</v>
      </c>
      <c r="R434" s="18"/>
      <c r="S434" s="76">
        <v>0</v>
      </c>
      <c r="T434" s="76">
        <v>0</v>
      </c>
      <c r="U434" s="76">
        <v>0</v>
      </c>
      <c r="V434" s="76">
        <v>0</v>
      </c>
      <c r="W434" s="76">
        <v>0</v>
      </c>
      <c r="X434" s="76">
        <v>0</v>
      </c>
      <c r="Y434" s="76">
        <v>0</v>
      </c>
      <c r="Z434" s="76">
        <v>0</v>
      </c>
      <c r="AA434" s="76">
        <v>0</v>
      </c>
      <c r="AB434" s="76">
        <v>0</v>
      </c>
      <c r="AC434" s="76">
        <v>0</v>
      </c>
      <c r="AD434" s="76">
        <v>0</v>
      </c>
    </row>
    <row r="435" spans="4:30" x14ac:dyDescent="0.2">
      <c r="D435" s="347" t="str">
        <f t="shared" si="355"/>
        <v>Grey and e-Methanol - Global - WTT Logistics - kgCO2/GJ</v>
      </c>
      <c r="E435" s="347" t="str">
        <f t="shared" si="356"/>
        <v>e-Methanol (DAC) - WTT Logistics</v>
      </c>
      <c r="F435" t="s">
        <v>587</v>
      </c>
      <c r="G435" t="str">
        <f>+INDEX('Configurator Specs.'!$AH$4:$AH$36,MATCH(F435,list_fuels_long,0))</f>
        <v>Grey and e-Methanol</v>
      </c>
      <c r="L435" t="s">
        <v>109</v>
      </c>
      <c r="N435" t="s">
        <v>604</v>
      </c>
      <c r="Q435" t="s">
        <v>602</v>
      </c>
      <c r="R435" s="18"/>
      <c r="S435" s="76">
        <v>1.1350664176006642</v>
      </c>
      <c r="T435" s="76">
        <v>0.78965250510779827</v>
      </c>
      <c r="U435" s="76">
        <v>0.54935206359210409</v>
      </c>
      <c r="V435" s="76">
        <v>0.38217784129198068</v>
      </c>
      <c r="W435" s="76">
        <v>0.26587667919101216</v>
      </c>
      <c r="X435" s="76">
        <v>0.18496731338129441</v>
      </c>
      <c r="Y435" s="76">
        <v>0.12867960862003472</v>
      </c>
      <c r="Z435" s="76">
        <v>0.12867960862003472</v>
      </c>
      <c r="AA435" s="76">
        <v>0.12867960862003472</v>
      </c>
      <c r="AB435" s="76">
        <v>0.12867960862003472</v>
      </c>
      <c r="AC435" s="76">
        <v>0.12867960862003472</v>
      </c>
      <c r="AD435" s="76">
        <v>0.12867960862003472</v>
      </c>
    </row>
    <row r="436" spans="4:30" x14ac:dyDescent="0.2">
      <c r="D436" s="347" t="str">
        <f t="shared" si="355"/>
        <v>Grey and e-Methanol - Global - WTT Logistics - kgCO2/GJ</v>
      </c>
      <c r="E436" s="347" t="str">
        <f t="shared" si="356"/>
        <v>e-Methanol (PS) - WTT Logistics</v>
      </c>
      <c r="F436" t="s">
        <v>119</v>
      </c>
      <c r="G436" t="str">
        <f>+INDEX('Configurator Specs.'!$AH$4:$AH$36,MATCH(F436,list_fuels_long,0))</f>
        <v>Grey and e-Methanol</v>
      </c>
      <c r="L436" t="s">
        <v>109</v>
      </c>
      <c r="N436" t="s">
        <v>604</v>
      </c>
      <c r="Q436" t="s">
        <v>602</v>
      </c>
      <c r="R436" s="18"/>
      <c r="S436" s="76">
        <v>1.1350664176006642</v>
      </c>
      <c r="T436" s="76">
        <v>0.78965250510779827</v>
      </c>
      <c r="U436" s="76">
        <v>0.54935206359210409</v>
      </c>
      <c r="V436" s="76">
        <v>0.38217784129198068</v>
      </c>
      <c r="W436" s="76">
        <v>0.26587667919101216</v>
      </c>
      <c r="X436" s="76">
        <v>0.18496731338129441</v>
      </c>
      <c r="Y436" s="76">
        <v>0.12867960862003472</v>
      </c>
      <c r="Z436" s="76">
        <v>0.12867960862003472</v>
      </c>
      <c r="AA436" s="76">
        <v>0.12867960862003472</v>
      </c>
      <c r="AB436" s="76">
        <v>0.12867960862003472</v>
      </c>
      <c r="AC436" s="76">
        <v>0.12867960862003472</v>
      </c>
      <c r="AD436" s="76">
        <v>0.12867960862003472</v>
      </c>
    </row>
    <row r="437" spans="4:30" x14ac:dyDescent="0.2">
      <c r="D437" s="347" t="str">
        <f t="shared" si="355"/>
        <v>Bio-oils - Global - WTT Logistics - kgCO2/GJ</v>
      </c>
      <c r="E437" s="347" t="str">
        <f t="shared" si="356"/>
        <v>e-Diesel (DAC) - WTT Logistics</v>
      </c>
      <c r="F437" t="s">
        <v>588</v>
      </c>
      <c r="G437" t="str">
        <f>+INDEX('Configurator Specs.'!$AH$4:$AH$36,MATCH(F437,list_fuels_long,0))</f>
        <v>Bio-oils</v>
      </c>
      <c r="L437" t="s">
        <v>109</v>
      </c>
      <c r="N437" t="s">
        <v>604</v>
      </c>
      <c r="Q437" t="s">
        <v>602</v>
      </c>
      <c r="R437" s="386"/>
      <c r="S437" s="76">
        <v>1.0013618521188814</v>
      </c>
      <c r="T437" s="76">
        <v>0.69663579397981223</v>
      </c>
      <c r="U437" s="76">
        <v>0.4846414195098262</v>
      </c>
      <c r="V437" s="76">
        <v>0.33715939883402807</v>
      </c>
      <c r="W437" s="76">
        <v>0.23455787236901321</v>
      </c>
      <c r="X437" s="76">
        <v>0.16317918373487628</v>
      </c>
      <c r="Y437" s="76">
        <v>0.11352186023622113</v>
      </c>
      <c r="Z437" s="76">
        <v>0.11352186023622113</v>
      </c>
      <c r="AA437" s="76">
        <v>0.11352186023622113</v>
      </c>
      <c r="AB437" s="76">
        <v>0.11352186023622113</v>
      </c>
      <c r="AC437" s="76">
        <v>0.11352186023622113</v>
      </c>
      <c r="AD437" s="76">
        <v>0.11352186023622113</v>
      </c>
    </row>
    <row r="438" spans="4:30" x14ac:dyDescent="0.2">
      <c r="D438" s="347" t="str">
        <f t="shared" si="355"/>
        <v>Bio-oils - Global - WTT Logistics - kgCO2/GJ</v>
      </c>
      <c r="E438" s="347" t="str">
        <f t="shared" si="356"/>
        <v>e-Diesel (PS) - WTT Logistics</v>
      </c>
      <c r="F438" t="s">
        <v>589</v>
      </c>
      <c r="G438" t="str">
        <f>+INDEX('Configurator Specs.'!$AH$4:$AH$36,MATCH(F438,list_fuels_long,0))</f>
        <v>Bio-oils</v>
      </c>
      <c r="L438" t="s">
        <v>109</v>
      </c>
      <c r="N438" t="s">
        <v>604</v>
      </c>
      <c r="Q438" t="s">
        <v>602</v>
      </c>
      <c r="R438" s="386"/>
      <c r="S438" s="76">
        <v>1.0013618521188814</v>
      </c>
      <c r="T438" s="76">
        <v>0.69663579397981223</v>
      </c>
      <c r="U438" s="76">
        <v>0.4846414195098262</v>
      </c>
      <c r="V438" s="76">
        <v>0.33715939883402807</v>
      </c>
      <c r="W438" s="76">
        <v>0.23455787236901321</v>
      </c>
      <c r="X438" s="76">
        <v>0.16317918373487628</v>
      </c>
      <c r="Y438" s="76">
        <v>0.11352186023622113</v>
      </c>
      <c r="Z438" s="76">
        <v>0.11352186023622113</v>
      </c>
      <c r="AA438" s="76">
        <v>0.11352186023622113</v>
      </c>
      <c r="AB438" s="76">
        <v>0.11352186023622113</v>
      </c>
      <c r="AC438" s="76">
        <v>0.11352186023622113</v>
      </c>
      <c r="AD438" s="76">
        <v>0.11352186023622113</v>
      </c>
    </row>
    <row r="439" spans="4:30" x14ac:dyDescent="0.2">
      <c r="D439" s="347" t="str">
        <f t="shared" si="355"/>
        <v>LNG &amp; e-Methane - Global - WTT Logistics - kgCO2/GJ</v>
      </c>
      <c r="E439" s="347" t="str">
        <f t="shared" si="356"/>
        <v>e-Methane (DAC) - WTT Logistics</v>
      </c>
      <c r="F439" t="s">
        <v>590</v>
      </c>
      <c r="G439" t="str">
        <f>+INDEX('Configurator Specs.'!$AH$4:$AH$36,MATCH(F439,list_fuels_long,0))</f>
        <v>LNG &amp; e-Methane</v>
      </c>
      <c r="L439" t="s">
        <v>109</v>
      </c>
      <c r="N439" t="s">
        <v>604</v>
      </c>
      <c r="Q439" t="s">
        <v>602</v>
      </c>
      <c r="R439" s="386"/>
      <c r="S439" s="76">
        <v>2.8808275551045717</v>
      </c>
      <c r="T439" s="76">
        <v>2.6127814854452049</v>
      </c>
      <c r="U439" s="76">
        <v>2.426304952346606</v>
      </c>
      <c r="V439" s="76">
        <v>2.2965753971225249</v>
      </c>
      <c r="W439" s="76">
        <v>2.2063240543986691</v>
      </c>
      <c r="X439" s="76">
        <v>2.1435372449519745</v>
      </c>
      <c r="Y439" s="76">
        <v>2.0998571918744537</v>
      </c>
      <c r="Z439" s="76">
        <v>2.0998571918744537</v>
      </c>
      <c r="AA439" s="76">
        <v>2.0998571918744537</v>
      </c>
      <c r="AB439" s="76">
        <v>2.0998571918744537</v>
      </c>
      <c r="AC439" s="76">
        <v>2.0998571918744537</v>
      </c>
      <c r="AD439" s="76">
        <v>2.0998571918744537</v>
      </c>
    </row>
    <row r="440" spans="4:30" x14ac:dyDescent="0.2">
      <c r="D440" s="347" t="str">
        <f t="shared" si="355"/>
        <v>LNG &amp; e-Methane - Global - WTT Logistics - kgCO2/GJ</v>
      </c>
      <c r="E440" s="347" t="str">
        <f t="shared" si="356"/>
        <v>e-Methane (PS) - WTT Logistics</v>
      </c>
      <c r="F440" t="s">
        <v>591</v>
      </c>
      <c r="G440" t="str">
        <f>+INDEX('Configurator Specs.'!$AH$4:$AH$36,MATCH(F440,list_fuels_long,0))</f>
        <v>LNG &amp; e-Methane</v>
      </c>
      <c r="L440" t="s">
        <v>109</v>
      </c>
      <c r="N440" t="s">
        <v>604</v>
      </c>
      <c r="Q440" t="s">
        <v>602</v>
      </c>
      <c r="R440" s="386"/>
      <c r="S440" s="76">
        <v>2.8808275551045717</v>
      </c>
      <c r="T440" s="76">
        <v>2.6127814854452049</v>
      </c>
      <c r="U440" s="76">
        <v>2.426304952346606</v>
      </c>
      <c r="V440" s="76">
        <v>2.2965753971225249</v>
      </c>
      <c r="W440" s="76">
        <v>2.2063240543986691</v>
      </c>
      <c r="X440" s="76">
        <v>2.1435372449519745</v>
      </c>
      <c r="Y440" s="76">
        <v>2.0998571918744537</v>
      </c>
      <c r="Z440" s="76">
        <v>2.0998571918744537</v>
      </c>
      <c r="AA440" s="76">
        <v>2.0998571918744537</v>
      </c>
      <c r="AB440" s="76">
        <v>2.0998571918744537</v>
      </c>
      <c r="AC440" s="76">
        <v>2.0998571918744537</v>
      </c>
      <c r="AD440" s="76">
        <v>2.0998571918744537</v>
      </c>
    </row>
    <row r="441" spans="4:30" x14ac:dyDescent="0.2">
      <c r="D441" s="347" t="str">
        <f t="shared" si="355"/>
        <v>Ammonia - Global - WTT Logistics - kgCO2/GJ</v>
      </c>
      <c r="E441" s="347" t="str">
        <f t="shared" si="356"/>
        <v>Blue ammonia - WTT Logistics</v>
      </c>
      <c r="F441" t="s">
        <v>120</v>
      </c>
      <c r="G441" t="str">
        <f>+INDEX('Configurator Specs.'!$AH$4:$AH$36,MATCH(F441,list_fuels_long,0))</f>
        <v>Ammonia</v>
      </c>
      <c r="L441" t="s">
        <v>109</v>
      </c>
      <c r="N441" t="s">
        <v>604</v>
      </c>
      <c r="Q441" t="s">
        <v>602</v>
      </c>
      <c r="R441" s="386"/>
      <c r="S441" s="76">
        <v>1.4173566088665943</v>
      </c>
      <c r="T441" s="76">
        <v>0.98603850793897807</v>
      </c>
      <c r="U441" s="76">
        <v>0.6859755216550727</v>
      </c>
      <c r="V441" s="76">
        <v>0.47722519203993419</v>
      </c>
      <c r="W441" s="76">
        <v>0.33200001563914106</v>
      </c>
      <c r="X441" s="76">
        <v>0.23096854948756845</v>
      </c>
      <c r="Y441" s="76">
        <v>0.16068213355259278</v>
      </c>
      <c r="Z441" s="76">
        <v>0.16068213355259278</v>
      </c>
      <c r="AA441" s="76">
        <v>0.16068213355259278</v>
      </c>
      <c r="AB441" s="76">
        <v>0.16068213355259278</v>
      </c>
      <c r="AC441" s="76">
        <v>0.16068213355259278</v>
      </c>
      <c r="AD441" s="76">
        <v>0.16068213355259278</v>
      </c>
    </row>
    <row r="442" spans="4:30" x14ac:dyDescent="0.2">
      <c r="D442" s="347" t="str">
        <f t="shared" si="355"/>
        <v>Hydrogen (compressed) - Global - WTT Logistics - kgCO2/GJ</v>
      </c>
      <c r="E442" s="347" t="str">
        <f t="shared" si="356"/>
        <v>Blue hydrogen (compressed) - WTT Logistics</v>
      </c>
      <c r="F442" t="s">
        <v>592</v>
      </c>
      <c r="G442" t="str">
        <f>+INDEX('Configurator Specs.'!$AH$4:$AH$36,MATCH(F442,list_fuels_long,0))</f>
        <v>Hydrogen (compressed)</v>
      </c>
      <c r="L442" t="s">
        <v>109</v>
      </c>
      <c r="N442" t="s">
        <v>604</v>
      </c>
      <c r="Q442" t="s">
        <v>602</v>
      </c>
      <c r="R442" s="386"/>
      <c r="S442" s="76">
        <v>0</v>
      </c>
      <c r="T442" s="76">
        <v>0</v>
      </c>
      <c r="U442" s="76">
        <v>0</v>
      </c>
      <c r="V442" s="76">
        <v>0</v>
      </c>
      <c r="W442" s="76">
        <v>0</v>
      </c>
      <c r="X442" s="76">
        <v>0</v>
      </c>
      <c r="Y442" s="76">
        <v>0</v>
      </c>
      <c r="Z442" s="76">
        <v>0</v>
      </c>
      <c r="AA442" s="76">
        <v>0</v>
      </c>
      <c r="AB442" s="76">
        <v>0</v>
      </c>
      <c r="AC442" s="76">
        <v>0</v>
      </c>
      <c r="AD442" s="76">
        <v>0</v>
      </c>
    </row>
    <row r="443" spans="4:30" x14ac:dyDescent="0.2">
      <c r="D443" s="347" t="str">
        <f t="shared" si="355"/>
        <v>Blue hydrogen (liquid) - Global - WTT Logistics - kgCO2/GJ</v>
      </c>
      <c r="E443" s="347" t="str">
        <f t="shared" si="356"/>
        <v>Blue hydrogen (liquid) - WTT Logistics</v>
      </c>
      <c r="F443" t="s">
        <v>593</v>
      </c>
      <c r="G443" t="str">
        <f>+INDEX('Configurator Specs.'!$AH$4:$AH$36,MATCH(F443,list_fuels_long,0))</f>
        <v>Blue hydrogen (liquid)</v>
      </c>
      <c r="L443" t="s">
        <v>109</v>
      </c>
      <c r="N443" t="s">
        <v>604</v>
      </c>
      <c r="Q443" t="s">
        <v>602</v>
      </c>
      <c r="R443" s="386"/>
      <c r="S443" s="76">
        <v>2.1714314075838792</v>
      </c>
      <c r="T443" s="76">
        <v>1.5106395749888319</v>
      </c>
      <c r="U443" s="76">
        <v>1.0509343825240254</v>
      </c>
      <c r="V443" s="76">
        <v>0.7311228268194413</v>
      </c>
      <c r="W443" s="76">
        <v>0.50863364714802328</v>
      </c>
      <c r="X443" s="76">
        <v>0.35385051255551975</v>
      </c>
      <c r="Y443" s="76">
        <v>0.2461696860557186</v>
      </c>
      <c r="Z443" s="76">
        <v>0.2461696860557186</v>
      </c>
      <c r="AA443" s="76">
        <v>0.2461696860557186</v>
      </c>
      <c r="AB443" s="76">
        <v>0.2461696860557186</v>
      </c>
      <c r="AC443" s="76">
        <v>0.2461696860557186</v>
      </c>
      <c r="AD443" s="76">
        <v>0.2461696860557186</v>
      </c>
    </row>
    <row r="444" spans="4:30" x14ac:dyDescent="0.2">
      <c r="D444" s="347" t="str">
        <f t="shared" si="355"/>
        <v>Biomethane - Global - WTT Logistics - kgCO2/GJ</v>
      </c>
      <c r="E444" s="347" t="str">
        <f t="shared" si="356"/>
        <v>Biomethane - WTT Logistics</v>
      </c>
      <c r="F444" t="s">
        <v>118</v>
      </c>
      <c r="G444" t="str">
        <f>+INDEX('Configurator Specs.'!$AH$4:$AH$36,MATCH(F444,list_fuels_long,0))</f>
        <v>Biomethane</v>
      </c>
      <c r="L444" t="s">
        <v>109</v>
      </c>
      <c r="N444" t="s">
        <v>604</v>
      </c>
      <c r="Q444" t="s">
        <v>602</v>
      </c>
      <c r="R444" s="386"/>
      <c r="S444" s="76">
        <v>3.2583250787208167</v>
      </c>
      <c r="T444" s="76">
        <v>2.8754021220645791</v>
      </c>
      <c r="U444" s="76">
        <v>2.609007074780866</v>
      </c>
      <c r="V444" s="76">
        <v>2.423679138746464</v>
      </c>
      <c r="W444" s="76">
        <v>2.2947486491409559</v>
      </c>
      <c r="X444" s="76">
        <v>2.2050532070742492</v>
      </c>
      <c r="Y444" s="76">
        <v>2.1426531312492196</v>
      </c>
      <c r="Z444" s="76">
        <v>2.1426531312492196</v>
      </c>
      <c r="AA444" s="76">
        <v>2.1426531312492196</v>
      </c>
      <c r="AB444" s="76">
        <v>2.1426531312492196</v>
      </c>
      <c r="AC444" s="76">
        <v>2.1426531312492196</v>
      </c>
      <c r="AD444" s="76">
        <v>2.1426531312492196</v>
      </c>
    </row>
    <row r="445" spans="4:30" x14ac:dyDescent="0.2">
      <c r="D445" s="347" t="str">
        <f t="shared" si="355"/>
        <v>Bio-oils - Global - WTT Logistics - kgCO2/GJ</v>
      </c>
      <c r="E445" s="347" t="str">
        <f t="shared" si="356"/>
        <v>Biodiesel (HtL) - WTT Logistics</v>
      </c>
      <c r="F445" t="s">
        <v>594</v>
      </c>
      <c r="G445" t="str">
        <f>+INDEX('Configurator Specs.'!$AH$4:$AH$36,MATCH(F445,list_fuels_long,0))</f>
        <v>Bio-oils</v>
      </c>
      <c r="L445" t="s">
        <v>109</v>
      </c>
      <c r="N445" t="s">
        <v>604</v>
      </c>
      <c r="Q445" t="s">
        <v>602</v>
      </c>
      <c r="R445" s="386"/>
      <c r="S445" s="76">
        <v>1.0013618521188814</v>
      </c>
      <c r="T445" s="76">
        <v>0.69663579397981223</v>
      </c>
      <c r="U445" s="76">
        <v>0.4846414195098262</v>
      </c>
      <c r="V445" s="76">
        <v>0.33715939883402807</v>
      </c>
      <c r="W445" s="76">
        <v>0.23455787236901321</v>
      </c>
      <c r="X445" s="76">
        <v>0.16317918373487628</v>
      </c>
      <c r="Y445" s="76">
        <v>0.11352186023622113</v>
      </c>
      <c r="Z445" s="76">
        <v>0.11352186023622113</v>
      </c>
      <c r="AA445" s="76">
        <v>0.11352186023622113</v>
      </c>
      <c r="AB445" s="76">
        <v>0.11352186023622113</v>
      </c>
      <c r="AC445" s="76">
        <v>0.11352186023622113</v>
      </c>
      <c r="AD445" s="76">
        <v>0.11352186023622113</v>
      </c>
    </row>
    <row r="446" spans="4:30" x14ac:dyDescent="0.2">
      <c r="D446" s="347" t="str">
        <f t="shared" si="355"/>
        <v>Bio - Global - WTT Logistics - kgCO2/GJ</v>
      </c>
      <c r="E446" s="347" t="str">
        <f t="shared" si="356"/>
        <v>Biodiesel (Pyr) - WTT Logistics</v>
      </c>
      <c r="F446" t="s">
        <v>123</v>
      </c>
      <c r="G446" t="str">
        <f>+INDEX('Configurator Specs.'!$AH$4:$AH$36,MATCH(F446,list_fuels_long,0))</f>
        <v>Bio</v>
      </c>
      <c r="L446" t="s">
        <v>109</v>
      </c>
      <c r="N446" t="s">
        <v>604</v>
      </c>
      <c r="Q446" t="s">
        <v>602</v>
      </c>
      <c r="R446" s="386"/>
      <c r="S446" s="76">
        <v>0</v>
      </c>
      <c r="T446" s="76">
        <v>0</v>
      </c>
      <c r="U446" s="76">
        <v>0</v>
      </c>
      <c r="V446" s="76">
        <v>0</v>
      </c>
      <c r="W446" s="76">
        <v>0</v>
      </c>
      <c r="X446" s="76">
        <v>0</v>
      </c>
      <c r="Y446" s="76">
        <v>0</v>
      </c>
      <c r="Z446" s="76">
        <v>0</v>
      </c>
      <c r="AA446" s="76">
        <v>0</v>
      </c>
      <c r="AB446" s="76">
        <v>0</v>
      </c>
      <c r="AC446" s="76">
        <v>0</v>
      </c>
      <c r="AD446" s="76">
        <v>0</v>
      </c>
    </row>
    <row r="447" spans="4:30" x14ac:dyDescent="0.2">
      <c r="D447" s="347" t="str">
        <f t="shared" ref="D447:D448" si="359">_xlfn.TEXTJOIN(keydelim,TRUE,G447:Q447)</f>
        <v>Bio - Global - WTT Logistics - kgCO2/GJ</v>
      </c>
      <c r="E447" s="347" t="str">
        <f t="shared" ref="E447:E448" si="360">_xlfn.TEXTJOIN(keydelim,TRUE,F447,N447)</f>
        <v>Biodiesel (HtL blend) - WTT Logistics</v>
      </c>
      <c r="F447" s="384" t="s">
        <v>595</v>
      </c>
      <c r="G447" t="str">
        <f>+INDEX('Configurator Specs.'!$AH$4:$AH$36,MATCH(F447,list_fuels_long,0))</f>
        <v>Bio</v>
      </c>
      <c r="L447" t="s">
        <v>109</v>
      </c>
      <c r="N447" t="s">
        <v>604</v>
      </c>
      <c r="Q447" t="s">
        <v>602</v>
      </c>
      <c r="R447" s="386"/>
      <c r="S447" s="76">
        <v>0</v>
      </c>
      <c r="T447" s="76">
        <v>0</v>
      </c>
      <c r="U447" s="76">
        <v>0</v>
      </c>
      <c r="V447" s="76">
        <v>0</v>
      </c>
      <c r="W447" s="76">
        <v>0</v>
      </c>
      <c r="X447" s="76">
        <v>0</v>
      </c>
      <c r="Y447" s="76">
        <v>0</v>
      </c>
      <c r="Z447" s="76">
        <v>0</v>
      </c>
      <c r="AA447" s="76">
        <v>0</v>
      </c>
      <c r="AB447" s="76">
        <v>0</v>
      </c>
      <c r="AC447" s="76">
        <v>0</v>
      </c>
      <c r="AD447" s="76">
        <v>0</v>
      </c>
    </row>
    <row r="448" spans="4:30" x14ac:dyDescent="0.2">
      <c r="D448" s="347" t="str">
        <f t="shared" si="359"/>
        <v>Bio - Global - WTT Logistics - kgCO2/GJ</v>
      </c>
      <c r="E448" s="347" t="str">
        <f t="shared" si="360"/>
        <v>Biodiesel (Pyr blend) - WTT Logistics</v>
      </c>
      <c r="F448" s="384" t="s">
        <v>596</v>
      </c>
      <c r="G448" t="str">
        <f>+INDEX('Configurator Specs.'!$AH$4:$AH$36,MATCH(F448,list_fuels_long,0))</f>
        <v>Bio</v>
      </c>
      <c r="L448" t="s">
        <v>109</v>
      </c>
      <c r="N448" t="s">
        <v>604</v>
      </c>
      <c r="Q448" t="s">
        <v>602</v>
      </c>
      <c r="R448" s="386"/>
      <c r="S448" s="76">
        <v>0</v>
      </c>
      <c r="T448" s="76">
        <v>0</v>
      </c>
      <c r="U448" s="76">
        <v>0</v>
      </c>
      <c r="V448" s="76">
        <v>0</v>
      </c>
      <c r="W448" s="76">
        <v>0</v>
      </c>
      <c r="X448" s="76">
        <v>0</v>
      </c>
      <c r="Y448" s="76">
        <v>0</v>
      </c>
      <c r="Z448" s="76">
        <v>0</v>
      </c>
      <c r="AA448" s="76">
        <v>0</v>
      </c>
      <c r="AB448" s="76">
        <v>0</v>
      </c>
      <c r="AC448" s="76">
        <v>0</v>
      </c>
      <c r="AD448" s="76">
        <v>0</v>
      </c>
    </row>
    <row r="449" spans="4:30" x14ac:dyDescent="0.2">
      <c r="N449" s="48"/>
      <c r="R449" s="386"/>
      <c r="S449" s="76"/>
      <c r="T449" s="76"/>
      <c r="U449" s="76"/>
      <c r="V449" s="76"/>
      <c r="W449" s="76"/>
      <c r="X449" s="76"/>
      <c r="Y449" s="76"/>
      <c r="Z449" s="76"/>
      <c r="AA449" s="76"/>
      <c r="AB449" s="76"/>
      <c r="AC449" s="76"/>
      <c r="AD449" s="76"/>
    </row>
    <row r="450" spans="4:30" x14ac:dyDescent="0.2">
      <c r="D450" s="347" t="str">
        <f t="shared" ref="D450:D456" si="361">_xlfn.TEXTJOIN(keydelim,TRUE,E450:N450)</f>
        <v>LSFO - WTW CO2 emissions</v>
      </c>
      <c r="F450" t="s">
        <v>117</v>
      </c>
      <c r="N450" s="48" t="s">
        <v>605</v>
      </c>
      <c r="Q450" t="s">
        <v>602</v>
      </c>
      <c r="R450" s="387"/>
      <c r="S450" s="24">
        <f t="shared" ref="S450:AD450" si="362">S404+S380</f>
        <v>92.679854368932027</v>
      </c>
      <c r="T450" s="24">
        <f t="shared" si="362"/>
        <v>92.679854368932027</v>
      </c>
      <c r="U450" s="24">
        <f t="shared" si="362"/>
        <v>92.679854368932027</v>
      </c>
      <c r="V450" s="24">
        <f t="shared" si="362"/>
        <v>92.679854368932027</v>
      </c>
      <c r="W450" s="24">
        <f t="shared" si="362"/>
        <v>92.679854368932027</v>
      </c>
      <c r="X450" s="24">
        <f t="shared" si="362"/>
        <v>92.679854368932027</v>
      </c>
      <c r="Y450" s="24">
        <f t="shared" si="362"/>
        <v>92.679854368932027</v>
      </c>
      <c r="Z450" s="24">
        <f t="shared" si="362"/>
        <v>92.679854368932027</v>
      </c>
      <c r="AA450" s="24">
        <f t="shared" si="362"/>
        <v>92.679854368932027</v>
      </c>
      <c r="AB450" s="24">
        <f t="shared" si="362"/>
        <v>92.679854368932027</v>
      </c>
      <c r="AC450" s="24">
        <f t="shared" si="362"/>
        <v>92.679854368932027</v>
      </c>
      <c r="AD450" s="24">
        <f t="shared" si="362"/>
        <v>92.679854368932027</v>
      </c>
    </row>
    <row r="451" spans="4:30" x14ac:dyDescent="0.2">
      <c r="D451" s="347" t="str">
        <f t="shared" si="361"/>
        <v>LNG - WTW CO2 emissions</v>
      </c>
      <c r="F451" t="s">
        <v>528</v>
      </c>
      <c r="N451" s="48" t="s">
        <v>605</v>
      </c>
      <c r="Q451" t="s">
        <v>602</v>
      </c>
      <c r="R451" s="386"/>
      <c r="S451" s="24">
        <f t="shared" ref="S451:AD451" si="363">S405+S381</f>
        <v>96.507077555104573</v>
      </c>
      <c r="T451" s="24">
        <f t="shared" si="363"/>
        <v>96.23903148544521</v>
      </c>
      <c r="U451" s="24">
        <f t="shared" si="363"/>
        <v>96.052554952346611</v>
      </c>
      <c r="V451" s="24">
        <f t="shared" si="363"/>
        <v>95.922825397122523</v>
      </c>
      <c r="W451" s="24">
        <f t="shared" si="363"/>
        <v>95.832574054398677</v>
      </c>
      <c r="X451" s="24">
        <f t="shared" si="363"/>
        <v>95.769787244951985</v>
      </c>
      <c r="Y451" s="24">
        <f t="shared" si="363"/>
        <v>95.726107191874462</v>
      </c>
      <c r="Z451" s="24">
        <f t="shared" si="363"/>
        <v>95.726107191874462</v>
      </c>
      <c r="AA451" s="24">
        <f t="shared" si="363"/>
        <v>95.726107191874462</v>
      </c>
      <c r="AB451" s="24">
        <f t="shared" si="363"/>
        <v>95.726107191874462</v>
      </c>
      <c r="AC451" s="24">
        <f t="shared" si="363"/>
        <v>95.726107191874462</v>
      </c>
      <c r="AD451" s="24">
        <f t="shared" si="363"/>
        <v>95.726107191874462</v>
      </c>
    </row>
    <row r="452" spans="4:30" x14ac:dyDescent="0.2">
      <c r="D452" s="347" t="str">
        <f t="shared" ref="D452" si="364">_xlfn.TEXTJOIN(keydelim,TRUE,E452:N452)</f>
        <v>LPG - WTW CO2 emissions</v>
      </c>
      <c r="F452" t="s">
        <v>534</v>
      </c>
      <c r="N452" s="48" t="s">
        <v>605</v>
      </c>
      <c r="Q452" t="s">
        <v>602</v>
      </c>
      <c r="R452" s="386"/>
      <c r="S452" s="24">
        <f t="shared" ref="S452:AD452" si="365">S406+S382</f>
        <v>85.117356608866601</v>
      </c>
      <c r="T452" s="24">
        <f t="shared" si="365"/>
        <v>84.686038507938974</v>
      </c>
      <c r="U452" s="24">
        <f t="shared" si="365"/>
        <v>84.38597552165507</v>
      </c>
      <c r="V452" s="24">
        <f t="shared" si="365"/>
        <v>84.177225192039941</v>
      </c>
      <c r="W452" s="24">
        <f t="shared" si="365"/>
        <v>84.032000015639142</v>
      </c>
      <c r="X452" s="24">
        <f t="shared" si="365"/>
        <v>83.930968549487574</v>
      </c>
      <c r="Y452" s="24">
        <f t="shared" si="365"/>
        <v>83.860682133552586</v>
      </c>
      <c r="Z452" s="24">
        <f t="shared" si="365"/>
        <v>83.860682133552586</v>
      </c>
      <c r="AA452" s="24">
        <f t="shared" si="365"/>
        <v>83.860682133552586</v>
      </c>
      <c r="AB452" s="24">
        <f t="shared" si="365"/>
        <v>83.860682133552586</v>
      </c>
      <c r="AC452" s="24">
        <f t="shared" si="365"/>
        <v>83.860682133552586</v>
      </c>
      <c r="AD452" s="24">
        <f t="shared" si="365"/>
        <v>83.860682133552586</v>
      </c>
    </row>
    <row r="453" spans="4:30" x14ac:dyDescent="0.2">
      <c r="D453" s="347" t="str">
        <f t="shared" si="361"/>
        <v>e-Ammonia - WTW CO2 emissions</v>
      </c>
      <c r="F453" t="s">
        <v>121</v>
      </c>
      <c r="N453" s="48" t="s">
        <v>605</v>
      </c>
      <c r="Q453" t="s">
        <v>602</v>
      </c>
      <c r="R453" s="386"/>
      <c r="S453" s="24">
        <f t="shared" ref="S453:AD453" si="366">S407+S383</f>
        <v>4.2782878391777741</v>
      </c>
      <c r="T453" s="24">
        <f t="shared" si="366"/>
        <v>3.8338523377262113</v>
      </c>
      <c r="U453" s="24">
        <f t="shared" si="366"/>
        <v>3.4969302851354476</v>
      </c>
      <c r="V453" s="24">
        <f t="shared" si="366"/>
        <v>3.1902808810798975</v>
      </c>
      <c r="W453" s="24">
        <f t="shared" si="366"/>
        <v>2.9274882644873275</v>
      </c>
      <c r="X453" s="24">
        <f t="shared" si="366"/>
        <v>2.669936659106797</v>
      </c>
      <c r="Y453" s="24">
        <f t="shared" si="366"/>
        <v>2.4763518144036567</v>
      </c>
      <c r="Z453" s="24">
        <f t="shared" si="366"/>
        <v>2.4763518144036567</v>
      </c>
      <c r="AA453" s="24">
        <f t="shared" si="366"/>
        <v>2.4763518144036567</v>
      </c>
      <c r="AB453" s="24">
        <f t="shared" si="366"/>
        <v>2.4763518144036567</v>
      </c>
      <c r="AC453" s="24">
        <f t="shared" si="366"/>
        <v>2.4763518144036567</v>
      </c>
      <c r="AD453" s="24">
        <f t="shared" si="366"/>
        <v>2.4763518144036567</v>
      </c>
    </row>
    <row r="454" spans="4:30" x14ac:dyDescent="0.2">
      <c r="D454" s="347" t="str">
        <f t="shared" si="361"/>
        <v>e-Hydrogen (compressed) - WTW CO2 emissions</v>
      </c>
      <c r="F454" t="s">
        <v>584</v>
      </c>
      <c r="N454" s="48" t="s">
        <v>605</v>
      </c>
      <c r="Q454" t="s">
        <v>602</v>
      </c>
      <c r="R454" s="386"/>
      <c r="S454" s="24">
        <f t="shared" ref="S454:AD454" si="367">S408+S384</f>
        <v>0</v>
      </c>
      <c r="T454" s="24">
        <f t="shared" si="367"/>
        <v>0</v>
      </c>
      <c r="U454" s="24">
        <f t="shared" si="367"/>
        <v>0</v>
      </c>
      <c r="V454" s="24">
        <f t="shared" si="367"/>
        <v>0</v>
      </c>
      <c r="W454" s="24">
        <f t="shared" si="367"/>
        <v>0</v>
      </c>
      <c r="X454" s="24">
        <f t="shared" si="367"/>
        <v>0</v>
      </c>
      <c r="Y454" s="24">
        <f t="shared" si="367"/>
        <v>0</v>
      </c>
      <c r="Z454" s="24">
        <f t="shared" si="367"/>
        <v>0</v>
      </c>
      <c r="AA454" s="24">
        <f t="shared" si="367"/>
        <v>0</v>
      </c>
      <c r="AB454" s="24">
        <f t="shared" si="367"/>
        <v>0</v>
      </c>
      <c r="AC454" s="24">
        <f t="shared" si="367"/>
        <v>0</v>
      </c>
      <c r="AD454" s="24">
        <f t="shared" si="367"/>
        <v>0</v>
      </c>
    </row>
    <row r="455" spans="4:30" x14ac:dyDescent="0.2">
      <c r="D455" s="347" t="str">
        <f t="shared" si="361"/>
        <v>e-Hydrogen (liquid) - WTW CO2 emissions</v>
      </c>
      <c r="F455" t="s">
        <v>585</v>
      </c>
      <c r="N455" s="48" t="s">
        <v>605</v>
      </c>
      <c r="Q455" t="s">
        <v>602</v>
      </c>
      <c r="R455" s="386"/>
      <c r="S455" s="24">
        <f t="shared" ref="S455:AD455" si="368">S409+S385</f>
        <v>4.5993484043362027</v>
      </c>
      <c r="T455" s="24">
        <f t="shared" si="368"/>
        <v>3.9271395749888316</v>
      </c>
      <c r="U455" s="24">
        <f t="shared" si="368"/>
        <v>3.4353533433310188</v>
      </c>
      <c r="V455" s="24">
        <f t="shared" si="368"/>
        <v>3.0303333339468175</v>
      </c>
      <c r="W455" s="24">
        <f t="shared" si="368"/>
        <v>2.7055169378121859</v>
      </c>
      <c r="X455" s="24">
        <f t="shared" si="368"/>
        <v>2.4145033116685521</v>
      </c>
      <c r="Y455" s="24">
        <f t="shared" si="368"/>
        <v>2.1995071860557185</v>
      </c>
      <c r="Z455" s="24">
        <f t="shared" si="368"/>
        <v>2.1995071860557185</v>
      </c>
      <c r="AA455" s="24">
        <f t="shared" si="368"/>
        <v>2.1995071860557185</v>
      </c>
      <c r="AB455" s="24">
        <f t="shared" si="368"/>
        <v>2.1995071860557185</v>
      </c>
      <c r="AC455" s="24">
        <f t="shared" si="368"/>
        <v>2.1995071860557185</v>
      </c>
      <c r="AD455" s="24">
        <f t="shared" si="368"/>
        <v>2.1995071860557185</v>
      </c>
    </row>
    <row r="456" spans="4:30" x14ac:dyDescent="0.2">
      <c r="D456" s="347" t="str">
        <f t="shared" si="361"/>
        <v>Biomethanol - WTW CO2 emissions</v>
      </c>
      <c r="F456" t="s">
        <v>586</v>
      </c>
      <c r="N456" s="48" t="s">
        <v>605</v>
      </c>
      <c r="Q456" t="s">
        <v>602</v>
      </c>
      <c r="R456" s="386"/>
      <c r="S456" s="24">
        <f t="shared" ref="S456:AD456" si="369">S410+S386</f>
        <v>12.707638016433009</v>
      </c>
      <c r="T456" s="24">
        <f t="shared" si="369"/>
        <v>10.572570706594405</v>
      </c>
      <c r="U456" s="24">
        <f t="shared" si="369"/>
        <v>8.5872245680108463</v>
      </c>
      <c r="V456" s="24">
        <f t="shared" si="369"/>
        <v>6.7063444568781136</v>
      </c>
      <c r="W456" s="24">
        <f t="shared" si="369"/>
        <v>4.8981401460298883</v>
      </c>
      <c r="X456" s="24">
        <f t="shared" si="369"/>
        <v>3.1404955441691698</v>
      </c>
      <c r="Y456" s="24">
        <f t="shared" si="369"/>
        <v>1.4180247438062281</v>
      </c>
      <c r="Z456" s="24">
        <f t="shared" si="369"/>
        <v>1.4180247438062281</v>
      </c>
      <c r="AA456" s="24">
        <f t="shared" si="369"/>
        <v>1.4180247438062281</v>
      </c>
      <c r="AB456" s="24">
        <f t="shared" si="369"/>
        <v>1.4180247438062281</v>
      </c>
      <c r="AC456" s="24">
        <f t="shared" si="369"/>
        <v>1.4180247438062281</v>
      </c>
      <c r="AD456" s="24">
        <f t="shared" si="369"/>
        <v>1.4180247438062281</v>
      </c>
    </row>
    <row r="457" spans="4:30" x14ac:dyDescent="0.2">
      <c r="D457" s="347" t="str">
        <f t="shared" ref="D457:D465" si="370">_xlfn.TEXTJOIN(keydelim,TRUE,E457:N457)</f>
        <v>Electricity - WTW CO2 emissions</v>
      </c>
      <c r="F457" t="s">
        <v>54</v>
      </c>
      <c r="N457" s="48" t="s">
        <v>605</v>
      </c>
      <c r="O457" s="377"/>
      <c r="P457" s="306"/>
      <c r="Q457" t="s">
        <v>602</v>
      </c>
      <c r="R457" s="386"/>
      <c r="S457" s="24">
        <f t="shared" ref="S457:AD457" si="371">S411+S387</f>
        <v>0</v>
      </c>
      <c r="T457" s="24">
        <f t="shared" si="371"/>
        <v>0</v>
      </c>
      <c r="U457" s="24">
        <f t="shared" si="371"/>
        <v>0</v>
      </c>
      <c r="V457" s="24">
        <f t="shared" si="371"/>
        <v>0</v>
      </c>
      <c r="W457" s="24">
        <f t="shared" si="371"/>
        <v>0</v>
      </c>
      <c r="X457" s="24">
        <f t="shared" si="371"/>
        <v>0</v>
      </c>
      <c r="Y457" s="24">
        <f t="shared" si="371"/>
        <v>0</v>
      </c>
      <c r="Z457" s="24">
        <f t="shared" si="371"/>
        <v>0</v>
      </c>
      <c r="AA457" s="24">
        <f t="shared" si="371"/>
        <v>0</v>
      </c>
      <c r="AB457" s="24">
        <f t="shared" si="371"/>
        <v>0</v>
      </c>
      <c r="AC457" s="24">
        <f t="shared" si="371"/>
        <v>0</v>
      </c>
      <c r="AD457" s="24">
        <f t="shared" si="371"/>
        <v>0</v>
      </c>
    </row>
    <row r="458" spans="4:30" x14ac:dyDescent="0.2">
      <c r="D458" s="347" t="str">
        <f t="shared" si="370"/>
        <v>e-Methanol (DAC) - WTW CO2 emissions</v>
      </c>
      <c r="F458" t="s">
        <v>587</v>
      </c>
      <c r="N458" s="48" t="s">
        <v>605</v>
      </c>
      <c r="O458" s="377"/>
      <c r="P458" s="306"/>
      <c r="Q458" t="s">
        <v>602</v>
      </c>
      <c r="R458" s="386"/>
      <c r="S458" s="24">
        <f t="shared" ref="S458:AD458" si="372">S412+S388</f>
        <v>4.357276427708257</v>
      </c>
      <c r="T458" s="24">
        <f t="shared" si="372"/>
        <v>3.9988676370059579</v>
      </c>
      <c r="U458" s="24">
        <f t="shared" si="372"/>
        <v>3.7220524091424778</v>
      </c>
      <c r="V458" s="24">
        <f t="shared" si="372"/>
        <v>3.4578935329967919</v>
      </c>
      <c r="W458" s="24">
        <f t="shared" si="372"/>
        <v>3.225123062522087</v>
      </c>
      <c r="X458" s="24">
        <f t="shared" si="372"/>
        <v>2.9891555247149029</v>
      </c>
      <c r="Y458" s="24">
        <f t="shared" si="372"/>
        <v>2.8107210529680344</v>
      </c>
      <c r="Z458" s="24">
        <f t="shared" si="372"/>
        <v>2.8107210529680344</v>
      </c>
      <c r="AA458" s="24">
        <f t="shared" si="372"/>
        <v>2.8107210529680344</v>
      </c>
      <c r="AB458" s="24">
        <f t="shared" si="372"/>
        <v>2.8107210529680344</v>
      </c>
      <c r="AC458" s="24">
        <f t="shared" si="372"/>
        <v>2.8107210529680344</v>
      </c>
      <c r="AD458" s="24">
        <f t="shared" si="372"/>
        <v>2.8107210529680344</v>
      </c>
    </row>
    <row r="459" spans="4:30" x14ac:dyDescent="0.2">
      <c r="D459" s="347" t="str">
        <f t="shared" si="370"/>
        <v>e-Methanol (PS) - WTW CO2 emissions</v>
      </c>
      <c r="F459" t="s">
        <v>119</v>
      </c>
      <c r="N459" s="48" t="s">
        <v>605</v>
      </c>
      <c r="O459" s="306"/>
      <c r="P459" s="306"/>
      <c r="Q459" t="s">
        <v>602</v>
      </c>
      <c r="R459" s="386"/>
      <c r="S459" s="24">
        <f t="shared" ref="S459:AD459" si="373">S413+S389</f>
        <v>4.357276427708257</v>
      </c>
      <c r="T459" s="24">
        <f t="shared" si="373"/>
        <v>3.9988676370059579</v>
      </c>
      <c r="U459" s="24">
        <f t="shared" si="373"/>
        <v>3.7220524091424778</v>
      </c>
      <c r="V459" s="24">
        <f t="shared" si="373"/>
        <v>3.4578935329967919</v>
      </c>
      <c r="W459" s="24">
        <f t="shared" si="373"/>
        <v>3.225123062522087</v>
      </c>
      <c r="X459" s="24">
        <f t="shared" si="373"/>
        <v>2.9891555247149029</v>
      </c>
      <c r="Y459" s="24">
        <f t="shared" si="373"/>
        <v>2.8107210529680344</v>
      </c>
      <c r="Z459" s="24">
        <f t="shared" si="373"/>
        <v>2.8107210529680344</v>
      </c>
      <c r="AA459" s="24">
        <f t="shared" si="373"/>
        <v>2.8107210529680344</v>
      </c>
      <c r="AB459" s="24">
        <f t="shared" si="373"/>
        <v>2.8107210529680344</v>
      </c>
      <c r="AC459" s="24">
        <f t="shared" si="373"/>
        <v>2.8107210529680344</v>
      </c>
      <c r="AD459" s="24">
        <f t="shared" si="373"/>
        <v>2.8107210529680344</v>
      </c>
    </row>
    <row r="460" spans="4:30" x14ac:dyDescent="0.2">
      <c r="D460" s="347" t="str">
        <f t="shared" si="370"/>
        <v>e-Diesel (DAC) - WTW CO2 emissions</v>
      </c>
      <c r="F460" t="s">
        <v>588</v>
      </c>
      <c r="N460" s="48" t="s">
        <v>605</v>
      </c>
      <c r="O460" s="377"/>
      <c r="P460" s="306"/>
      <c r="Q460" t="s">
        <v>602</v>
      </c>
      <c r="R460" s="386"/>
      <c r="S460" s="24">
        <f t="shared" ref="S460:AD460" si="374">S414+S390</f>
        <v>5.3402269170666017</v>
      </c>
      <c r="T460" s="24">
        <f t="shared" si="374"/>
        <v>5.0158945548289324</v>
      </c>
      <c r="U460" s="24">
        <f t="shared" si="374"/>
        <v>4.7573735573613334</v>
      </c>
      <c r="V460" s="24">
        <f t="shared" si="374"/>
        <v>4.4935347304280668</v>
      </c>
      <c r="W460" s="24">
        <f t="shared" si="374"/>
        <v>4.2522796957312181</v>
      </c>
      <c r="X460" s="24">
        <f t="shared" si="374"/>
        <v>3.9977551281739778</v>
      </c>
      <c r="Y460" s="24">
        <f t="shared" si="374"/>
        <v>3.8034090754178891</v>
      </c>
      <c r="Z460" s="24">
        <f t="shared" si="374"/>
        <v>3.8034090754178891</v>
      </c>
      <c r="AA460" s="24">
        <f t="shared" si="374"/>
        <v>3.8034090754178891</v>
      </c>
      <c r="AB460" s="24">
        <f t="shared" si="374"/>
        <v>3.8034090754178891</v>
      </c>
      <c r="AC460" s="24">
        <f t="shared" si="374"/>
        <v>3.8034090754178891</v>
      </c>
      <c r="AD460" s="24">
        <f t="shared" si="374"/>
        <v>3.8034090754178891</v>
      </c>
    </row>
    <row r="461" spans="4:30" x14ac:dyDescent="0.2">
      <c r="D461" s="347" t="str">
        <f t="shared" si="370"/>
        <v>e-Diesel (PS) - WTW CO2 emissions</v>
      </c>
      <c r="F461" t="s">
        <v>589</v>
      </c>
      <c r="N461" s="48" t="s">
        <v>605</v>
      </c>
      <c r="O461" s="306"/>
      <c r="P461" s="306"/>
      <c r="Q461" t="s">
        <v>602</v>
      </c>
      <c r="R461" s="386"/>
      <c r="S461" s="24">
        <f t="shared" ref="S461:AD461" si="375">S415+S391</f>
        <v>5.3402269170666017</v>
      </c>
      <c r="T461" s="24">
        <f t="shared" si="375"/>
        <v>5.0158945548289324</v>
      </c>
      <c r="U461" s="24">
        <f t="shared" si="375"/>
        <v>4.7573735573613334</v>
      </c>
      <c r="V461" s="24">
        <f t="shared" si="375"/>
        <v>4.4935347304280668</v>
      </c>
      <c r="W461" s="24">
        <f t="shared" si="375"/>
        <v>4.2522796957312181</v>
      </c>
      <c r="X461" s="24">
        <f t="shared" si="375"/>
        <v>3.9977551281739778</v>
      </c>
      <c r="Y461" s="24">
        <f t="shared" si="375"/>
        <v>3.8034090754178891</v>
      </c>
      <c r="Z461" s="24">
        <f t="shared" si="375"/>
        <v>3.8034090754178891</v>
      </c>
      <c r="AA461" s="24">
        <f t="shared" si="375"/>
        <v>3.8034090754178891</v>
      </c>
      <c r="AB461" s="24">
        <f t="shared" si="375"/>
        <v>3.8034090754178891</v>
      </c>
      <c r="AC461" s="24">
        <f t="shared" si="375"/>
        <v>3.8034090754178891</v>
      </c>
      <c r="AD461" s="24">
        <f t="shared" si="375"/>
        <v>3.8034090754178891</v>
      </c>
    </row>
    <row r="462" spans="4:30" x14ac:dyDescent="0.2">
      <c r="D462" s="347" t="str">
        <f t="shared" si="370"/>
        <v>e-Methane (DAC) - WTW CO2 emissions</v>
      </c>
      <c r="F462" t="s">
        <v>590</v>
      </c>
      <c r="N462" s="48" t="s">
        <v>605</v>
      </c>
      <c r="O462" s="306"/>
      <c r="P462" s="306"/>
      <c r="Q462" t="s">
        <v>602</v>
      </c>
      <c r="R462" s="386"/>
      <c r="S462" s="24">
        <f t="shared" ref="S462:AD462" si="376">S416+S392</f>
        <v>23.886927951207362</v>
      </c>
      <c r="T462" s="24">
        <f t="shared" si="376"/>
        <v>23.605181485445215</v>
      </c>
      <c r="U462" s="24">
        <f t="shared" si="376"/>
        <v>23.380207705314994</v>
      </c>
      <c r="V462" s="24">
        <f t="shared" si="376"/>
        <v>23.148228005675385</v>
      </c>
      <c r="W462" s="24">
        <f t="shared" si="376"/>
        <v>22.935184003195666</v>
      </c>
      <c r="X462" s="24">
        <f t="shared" si="376"/>
        <v>22.708920603887613</v>
      </c>
      <c r="Y462" s="24">
        <f t="shared" si="376"/>
        <v>22.536462191874456</v>
      </c>
      <c r="Z462" s="24">
        <f t="shared" si="376"/>
        <v>22.536462191874456</v>
      </c>
      <c r="AA462" s="24">
        <f t="shared" si="376"/>
        <v>22.536462191874456</v>
      </c>
      <c r="AB462" s="24">
        <f t="shared" si="376"/>
        <v>22.536462191874456</v>
      </c>
      <c r="AC462" s="24">
        <f t="shared" si="376"/>
        <v>22.536462191874456</v>
      </c>
      <c r="AD462" s="24">
        <f t="shared" si="376"/>
        <v>22.536462191874456</v>
      </c>
    </row>
    <row r="463" spans="4:30" x14ac:dyDescent="0.2">
      <c r="D463" s="347" t="str">
        <f t="shared" si="370"/>
        <v>e-Methane (PS) - WTW CO2 emissions</v>
      </c>
      <c r="F463" t="s">
        <v>591</v>
      </c>
      <c r="N463" s="48" t="s">
        <v>605</v>
      </c>
      <c r="O463" s="306"/>
      <c r="P463" s="306"/>
      <c r="Q463" t="s">
        <v>602</v>
      </c>
      <c r="R463" s="386"/>
      <c r="S463" s="24">
        <f t="shared" ref="S463:AD463" si="377">S417+S393</f>
        <v>23.886927951207362</v>
      </c>
      <c r="T463" s="24">
        <f t="shared" si="377"/>
        <v>23.605181485445215</v>
      </c>
      <c r="U463" s="24">
        <f t="shared" si="377"/>
        <v>23.380207705314994</v>
      </c>
      <c r="V463" s="24">
        <f t="shared" si="377"/>
        <v>23.148228005675385</v>
      </c>
      <c r="W463" s="24">
        <f t="shared" si="377"/>
        <v>22.935184003195666</v>
      </c>
      <c r="X463" s="24">
        <f t="shared" si="377"/>
        <v>22.708920603887613</v>
      </c>
      <c r="Y463" s="24">
        <f t="shared" si="377"/>
        <v>22.536462191874456</v>
      </c>
      <c r="Z463" s="24">
        <f t="shared" si="377"/>
        <v>22.536462191874456</v>
      </c>
      <c r="AA463" s="24">
        <f t="shared" si="377"/>
        <v>22.536462191874456</v>
      </c>
      <c r="AB463" s="24">
        <f t="shared" si="377"/>
        <v>22.536462191874456</v>
      </c>
      <c r="AC463" s="24">
        <f t="shared" si="377"/>
        <v>22.536462191874456</v>
      </c>
      <c r="AD463" s="24">
        <f t="shared" si="377"/>
        <v>22.536462191874456</v>
      </c>
    </row>
    <row r="464" spans="4:30" x14ac:dyDescent="0.2">
      <c r="D464" s="347" t="str">
        <f t="shared" si="370"/>
        <v>Blue ammonia - WTW CO2 emissions</v>
      </c>
      <c r="F464" t="s">
        <v>120</v>
      </c>
      <c r="N464" s="48" t="s">
        <v>605</v>
      </c>
      <c r="O464" s="306"/>
      <c r="P464" s="306"/>
      <c r="Q464" t="s">
        <v>602</v>
      </c>
      <c r="R464" s="386"/>
      <c r="S464" s="24">
        <f t="shared" ref="S464:AD464" si="378">S418+S394</f>
        <v>23.501345970568721</v>
      </c>
      <c r="T464" s="24">
        <f t="shared" si="378"/>
        <v>22.068628933470897</v>
      </c>
      <c r="U464" s="24">
        <f t="shared" si="378"/>
        <v>20.767167011016767</v>
      </c>
      <c r="V464" s="24">
        <f t="shared" si="378"/>
        <v>19.557017745231413</v>
      </c>
      <c r="W464" s="24">
        <f t="shared" si="378"/>
        <v>18.410393632660419</v>
      </c>
      <c r="X464" s="24">
        <f t="shared" si="378"/>
        <v>17.307963230338629</v>
      </c>
      <c r="Y464" s="24">
        <f t="shared" si="378"/>
        <v>16.236277878233448</v>
      </c>
      <c r="Z464" s="24">
        <f t="shared" si="378"/>
        <v>16.236277878233448</v>
      </c>
      <c r="AA464" s="24">
        <f t="shared" si="378"/>
        <v>16.236277878233448</v>
      </c>
      <c r="AB464" s="24">
        <f t="shared" si="378"/>
        <v>16.236277878233448</v>
      </c>
      <c r="AC464" s="24">
        <f t="shared" si="378"/>
        <v>16.236277878233448</v>
      </c>
      <c r="AD464" s="24">
        <f t="shared" si="378"/>
        <v>16.236277878233448</v>
      </c>
    </row>
    <row r="465" spans="2:30" x14ac:dyDescent="0.2">
      <c r="D465" s="347" t="str">
        <f t="shared" si="370"/>
        <v>Blue hydrogen (compressed) - WTW CO2 emissions</v>
      </c>
      <c r="F465" t="s">
        <v>592</v>
      </c>
      <c r="N465" s="48" t="s">
        <v>605</v>
      </c>
      <c r="O465" s="306"/>
      <c r="P465" s="306"/>
      <c r="Q465" t="s">
        <v>602</v>
      </c>
      <c r="R465" s="386"/>
      <c r="S465" s="24">
        <f t="shared" ref="S465:AD465" si="379">S419+S395</f>
        <v>0</v>
      </c>
      <c r="T465" s="24">
        <f t="shared" si="379"/>
        <v>0</v>
      </c>
      <c r="U465" s="24">
        <f t="shared" si="379"/>
        <v>0</v>
      </c>
      <c r="V465" s="24">
        <f t="shared" si="379"/>
        <v>0</v>
      </c>
      <c r="W465" s="24">
        <f t="shared" si="379"/>
        <v>0</v>
      </c>
      <c r="X465" s="24">
        <f t="shared" si="379"/>
        <v>0</v>
      </c>
      <c r="Y465" s="24">
        <f t="shared" si="379"/>
        <v>0</v>
      </c>
      <c r="Z465" s="24">
        <f t="shared" si="379"/>
        <v>0</v>
      </c>
      <c r="AA465" s="24">
        <f t="shared" si="379"/>
        <v>0</v>
      </c>
      <c r="AB465" s="24">
        <f t="shared" si="379"/>
        <v>0</v>
      </c>
      <c r="AC465" s="24">
        <f t="shared" si="379"/>
        <v>0</v>
      </c>
      <c r="AD465" s="24">
        <f t="shared" si="379"/>
        <v>0</v>
      </c>
    </row>
    <row r="466" spans="2:30" x14ac:dyDescent="0.2">
      <c r="D466" s="347" t="str">
        <f>_xlfn.TEXTJOIN(keydelim,TRUE,E466:N466)</f>
        <v>Blue hydrogen (liquid) - WTW CO2 emissions</v>
      </c>
      <c r="F466" t="s">
        <v>593</v>
      </c>
      <c r="N466" s="48" t="s">
        <v>605</v>
      </c>
      <c r="O466" s="306"/>
      <c r="P466" s="306"/>
      <c r="Q466" t="s">
        <v>602</v>
      </c>
      <c r="R466" s="386"/>
      <c r="S466" s="24">
        <f t="shared" ref="S466:AD466" si="380">S420+S396</f>
        <v>18.72586942210728</v>
      </c>
      <c r="T466" s="24">
        <f t="shared" si="380"/>
        <v>17.084763868774139</v>
      </c>
      <c r="U466" s="24">
        <f t="shared" si="380"/>
        <v>15.651851955167597</v>
      </c>
      <c r="V466" s="24">
        <f t="shared" si="380"/>
        <v>14.365798870288653</v>
      </c>
      <c r="W466" s="24">
        <f t="shared" si="380"/>
        <v>13.18389441674827</v>
      </c>
      <c r="X466" s="24">
        <f t="shared" si="380"/>
        <v>12.076386139610275</v>
      </c>
      <c r="Y466" s="24">
        <f t="shared" si="380"/>
        <v>11.02253691769414</v>
      </c>
      <c r="Z466" s="24">
        <f t="shared" si="380"/>
        <v>11.02253691769414</v>
      </c>
      <c r="AA466" s="24">
        <f t="shared" si="380"/>
        <v>11.02253691769414</v>
      </c>
      <c r="AB466" s="24">
        <f t="shared" si="380"/>
        <v>11.02253691769414</v>
      </c>
      <c r="AC466" s="24">
        <f t="shared" si="380"/>
        <v>11.02253691769414</v>
      </c>
      <c r="AD466" s="24">
        <f t="shared" si="380"/>
        <v>11.02253691769414</v>
      </c>
    </row>
    <row r="467" spans="2:30" x14ac:dyDescent="0.2">
      <c r="D467" s="347" t="str">
        <f t="shared" ref="D467:D468" si="381">_xlfn.TEXTJOIN(keydelim,TRUE,E467:N467)</f>
        <v>Biomethane - WTW CO2 emissions</v>
      </c>
      <c r="F467" t="s">
        <v>118</v>
      </c>
      <c r="N467" s="48" t="s">
        <v>605</v>
      </c>
      <c r="O467" s="306"/>
      <c r="P467" s="306"/>
      <c r="Q467" t="s">
        <v>602</v>
      </c>
      <c r="R467" s="386"/>
      <c r="S467" s="24">
        <f t="shared" ref="S467:AD467" si="382">S421+S397</f>
        <v>38.465422260784585</v>
      </c>
      <c r="T467" s="24">
        <f t="shared" si="382"/>
        <v>35.156037054961025</v>
      </c>
      <c r="U467" s="24">
        <f t="shared" si="382"/>
        <v>32.032245765863991</v>
      </c>
      <c r="V467" s="24">
        <f t="shared" si="382"/>
        <v>29.058587595370241</v>
      </c>
      <c r="W467" s="24">
        <f t="shared" si="382"/>
        <v>26.210392878659377</v>
      </c>
      <c r="X467" s="24">
        <f t="shared" si="382"/>
        <v>23.47049921684129</v>
      </c>
      <c r="Y467" s="24">
        <f t="shared" si="382"/>
        <v>20.826966928618873</v>
      </c>
      <c r="Z467" s="24">
        <f t="shared" si="382"/>
        <v>20.826966928618873</v>
      </c>
      <c r="AA467" s="24">
        <f t="shared" si="382"/>
        <v>20.826966928618873</v>
      </c>
      <c r="AB467" s="24">
        <f t="shared" si="382"/>
        <v>20.826966928618873</v>
      </c>
      <c r="AC467" s="24">
        <f t="shared" si="382"/>
        <v>20.826966928618873</v>
      </c>
      <c r="AD467" s="24">
        <f t="shared" si="382"/>
        <v>20.826966928618873</v>
      </c>
    </row>
    <row r="468" spans="2:30" x14ac:dyDescent="0.2">
      <c r="D468" s="347" t="str">
        <f t="shared" si="381"/>
        <v>Biodiesel (HtL) - WTW CO2 emissions</v>
      </c>
      <c r="F468" t="s">
        <v>594</v>
      </c>
      <c r="N468" s="48" t="s">
        <v>605</v>
      </c>
      <c r="O468" s="306"/>
      <c r="P468" s="306"/>
      <c r="Q468" t="s">
        <v>602</v>
      </c>
      <c r="R468" s="386"/>
      <c r="S468" s="24">
        <f t="shared" ref="S468:AD468" si="383">S422+S398</f>
        <v>23.232319828882183</v>
      </c>
      <c r="T468" s="24">
        <f t="shared" si="383"/>
        <v>18.376525905827549</v>
      </c>
      <c r="U468" s="24">
        <f t="shared" si="383"/>
        <v>14.616520529307614</v>
      </c>
      <c r="V468" s="24">
        <f t="shared" si="383"/>
        <v>7.7089898515399256</v>
      </c>
      <c r="W468" s="24">
        <f t="shared" si="383"/>
        <v>5.9233528047376751</v>
      </c>
      <c r="X468" s="24">
        <f t="shared" si="383"/>
        <v>4.0290909573696609</v>
      </c>
      <c r="Y468" s="24">
        <f t="shared" si="383"/>
        <v>1.7521169114409219</v>
      </c>
      <c r="Z468" s="24">
        <f t="shared" si="383"/>
        <v>1.7521169114409219</v>
      </c>
      <c r="AA468" s="24">
        <f t="shared" si="383"/>
        <v>1.7521169114409219</v>
      </c>
      <c r="AB468" s="24">
        <f t="shared" si="383"/>
        <v>1.7521169114409219</v>
      </c>
      <c r="AC468" s="24">
        <f t="shared" si="383"/>
        <v>1.7521169114409219</v>
      </c>
      <c r="AD468" s="24">
        <f t="shared" si="383"/>
        <v>1.7521169114409219</v>
      </c>
    </row>
    <row r="469" spans="2:30" x14ac:dyDescent="0.2">
      <c r="D469" s="347" t="str">
        <f>_xlfn.TEXTJOIN(keydelim,TRUE,E469:N469)</f>
        <v>Biodiesel (Pyr) - WTW CO2 emissions</v>
      </c>
      <c r="F469" t="s">
        <v>123</v>
      </c>
      <c r="N469" s="48" t="s">
        <v>605</v>
      </c>
      <c r="O469" s="306"/>
      <c r="P469" s="306"/>
      <c r="Q469" t="s">
        <v>602</v>
      </c>
      <c r="R469" s="386"/>
      <c r="S469" s="24">
        <f t="shared" ref="S469:AD469" si="384">S423+S399</f>
        <v>35.897359458403464</v>
      </c>
      <c r="T469" s="24">
        <f t="shared" si="384"/>
        <v>27.952149398660495</v>
      </c>
      <c r="U469" s="24">
        <f t="shared" si="384"/>
        <v>22.094063618116365</v>
      </c>
      <c r="V469" s="24">
        <f t="shared" si="384"/>
        <v>9.5549395150849961</v>
      </c>
      <c r="W469" s="24">
        <f t="shared" si="384"/>
        <v>7.5760027365033551</v>
      </c>
      <c r="X469" s="24">
        <f t="shared" si="384"/>
        <v>5.3061828700566025</v>
      </c>
      <c r="Y469" s="24">
        <f t="shared" si="384"/>
        <v>2.1951411911218486</v>
      </c>
      <c r="Z469" s="24">
        <f t="shared" si="384"/>
        <v>2.1951411911218486</v>
      </c>
      <c r="AA469" s="24">
        <f t="shared" si="384"/>
        <v>2.1951411911218486</v>
      </c>
      <c r="AB469" s="24">
        <f t="shared" si="384"/>
        <v>2.1951411911218486</v>
      </c>
      <c r="AC469" s="24">
        <f t="shared" si="384"/>
        <v>2.1951411911218486</v>
      </c>
      <c r="AD469" s="24">
        <f t="shared" si="384"/>
        <v>2.1951411911218486</v>
      </c>
    </row>
    <row r="470" spans="2:30" x14ac:dyDescent="0.2">
      <c r="D470" s="347" t="str">
        <f t="shared" ref="D470" si="385">_xlfn.TEXTJOIN(keydelim,TRUE,E470:N470)</f>
        <v>Biodiesel (HtL blend) - WTW CO2 emissions</v>
      </c>
      <c r="F470" s="384" t="s">
        <v>595</v>
      </c>
      <c r="N470" s="48" t="s">
        <v>605</v>
      </c>
      <c r="O470" s="306"/>
      <c r="P470" s="306"/>
      <c r="Q470" t="s">
        <v>602</v>
      </c>
      <c r="R470" s="386"/>
      <c r="S470" s="24">
        <f t="shared" ref="S470:AD470" si="386">S424+S400</f>
        <v>62.185346960633339</v>
      </c>
      <c r="T470" s="24">
        <f t="shared" si="386"/>
        <v>61.767254858813025</v>
      </c>
      <c r="U470" s="24">
        <f t="shared" si="386"/>
        <v>61.348999801684236</v>
      </c>
      <c r="V470" s="24">
        <f t="shared" si="386"/>
        <v>60.93074474455544</v>
      </c>
      <c r="W470" s="24">
        <f t="shared" si="386"/>
        <v>60.512489687426644</v>
      </c>
      <c r="X470" s="24">
        <f t="shared" si="386"/>
        <v>60.094234630297855</v>
      </c>
      <c r="Y470" s="24">
        <f t="shared" si="386"/>
        <v>59.675979573169059</v>
      </c>
      <c r="Z470" s="24">
        <f t="shared" si="386"/>
        <v>59.675979573169059</v>
      </c>
      <c r="AA470" s="24">
        <f t="shared" si="386"/>
        <v>59.675979573169059</v>
      </c>
      <c r="AB470" s="24">
        <f t="shared" si="386"/>
        <v>59.675979573169059</v>
      </c>
      <c r="AC470" s="24">
        <f t="shared" si="386"/>
        <v>59.675979573169059</v>
      </c>
      <c r="AD470" s="24">
        <f t="shared" si="386"/>
        <v>59.675979573169059</v>
      </c>
    </row>
    <row r="471" spans="2:30" x14ac:dyDescent="0.2">
      <c r="D471" s="347" t="str">
        <f>_xlfn.TEXTJOIN(keydelim,TRUE,E471:N471)</f>
        <v>Biodiesel (Pyr blend) - WTW CO2 emissions</v>
      </c>
      <c r="F471" s="384" t="s">
        <v>596</v>
      </c>
      <c r="N471" s="48" t="s">
        <v>605</v>
      </c>
      <c r="O471" s="306"/>
      <c r="P471" s="306"/>
      <c r="Q471" t="s">
        <v>602</v>
      </c>
      <c r="R471" s="386"/>
      <c r="S471" s="24">
        <f t="shared" ref="S471:AD471" si="387">S425+S401</f>
        <v>79.466223500740355</v>
      </c>
      <c r="T471" s="24">
        <f t="shared" si="387"/>
        <v>79.242479996056375</v>
      </c>
      <c r="U471" s="24">
        <f t="shared" si="387"/>
        <v>79.018736491372408</v>
      </c>
      <c r="V471" s="24">
        <f t="shared" si="387"/>
        <v>78.794992986688442</v>
      </c>
      <c r="W471" s="24">
        <f t="shared" si="387"/>
        <v>78.571249482004461</v>
      </c>
      <c r="X471" s="24">
        <f t="shared" si="387"/>
        <v>78.347505977320495</v>
      </c>
      <c r="Y471" s="24">
        <f t="shared" si="387"/>
        <v>78.123762472636528</v>
      </c>
      <c r="Z471" s="24">
        <f t="shared" si="387"/>
        <v>78.123762472636528</v>
      </c>
      <c r="AA471" s="24">
        <f t="shared" si="387"/>
        <v>78.123762472636528</v>
      </c>
      <c r="AB471" s="24">
        <f t="shared" si="387"/>
        <v>78.123762472636528</v>
      </c>
      <c r="AC471" s="24">
        <f t="shared" si="387"/>
        <v>78.123762472636528</v>
      </c>
      <c r="AD471" s="24">
        <f t="shared" si="387"/>
        <v>78.123762472636528</v>
      </c>
    </row>
    <row r="472" spans="2:30" x14ac:dyDescent="0.2">
      <c r="F472" s="48"/>
      <c r="N472" s="48"/>
      <c r="O472" s="306"/>
      <c r="P472" s="306"/>
      <c r="R472" s="386"/>
      <c r="S472" s="298"/>
      <c r="T472" s="298"/>
      <c r="U472" s="298"/>
      <c r="V472" s="298"/>
      <c r="W472" s="298"/>
      <c r="X472" s="298"/>
      <c r="Y472" s="298"/>
      <c r="Z472" s="298"/>
      <c r="AA472" s="298"/>
      <c r="AB472" s="298"/>
      <c r="AC472" s="298"/>
      <c r="AD472" s="298"/>
    </row>
    <row r="473" spans="2:30" x14ac:dyDescent="0.2">
      <c r="N473" s="48"/>
      <c r="R473" s="388"/>
      <c r="S473" s="86"/>
      <c r="T473" s="86"/>
      <c r="U473" s="86"/>
      <c r="V473" s="86"/>
      <c r="W473" s="86"/>
      <c r="X473" s="86"/>
      <c r="Y473" s="86"/>
      <c r="Z473" s="86"/>
      <c r="AA473" s="86"/>
      <c r="AB473" s="86"/>
      <c r="AC473" s="86"/>
      <c r="AD473" s="86"/>
    </row>
    <row r="474" spans="2:30" x14ac:dyDescent="0.2">
      <c r="B474" s="49" t="s">
        <v>606</v>
      </c>
      <c r="C474" s="49"/>
      <c r="D474" s="350"/>
      <c r="E474" s="331"/>
      <c r="F474" s="331"/>
      <c r="G474" s="331" t="str">
        <f>B474</f>
        <v>Fuel Cost (selected)</v>
      </c>
      <c r="H474" s="331"/>
      <c r="I474" s="331"/>
      <c r="J474" s="331"/>
      <c r="K474" s="331"/>
      <c r="L474" s="331"/>
      <c r="M474" s="331"/>
      <c r="N474" s="331"/>
      <c r="O474" s="331"/>
      <c r="P474" s="331"/>
      <c r="Q474" s="331"/>
      <c r="R474" s="331"/>
      <c r="S474" s="331">
        <v>2020</v>
      </c>
      <c r="T474" s="331">
        <f>+S474+5</f>
        <v>2025</v>
      </c>
      <c r="U474" s="331">
        <f t="shared" ref="U474:AD474" si="388">+T474+5</f>
        <v>2030</v>
      </c>
      <c r="V474" s="331">
        <f t="shared" si="388"/>
        <v>2035</v>
      </c>
      <c r="W474" s="331">
        <f t="shared" si="388"/>
        <v>2040</v>
      </c>
      <c r="X474" s="331">
        <f t="shared" si="388"/>
        <v>2045</v>
      </c>
      <c r="Y474" s="331">
        <f t="shared" si="388"/>
        <v>2050</v>
      </c>
      <c r="Z474" s="331">
        <f t="shared" si="388"/>
        <v>2055</v>
      </c>
      <c r="AA474" s="331">
        <f t="shared" si="388"/>
        <v>2060</v>
      </c>
      <c r="AB474" s="331">
        <f t="shared" si="388"/>
        <v>2065</v>
      </c>
      <c r="AC474" s="331">
        <f t="shared" si="388"/>
        <v>2070</v>
      </c>
      <c r="AD474" s="331">
        <f t="shared" si="388"/>
        <v>2075</v>
      </c>
    </row>
    <row r="475" spans="2:30" x14ac:dyDescent="0.2">
      <c r="C475" s="48">
        <v>1</v>
      </c>
      <c r="D475" s="347" t="str">
        <f t="shared" ref="D475:D493" si="389">_xlfn.TEXTJOIN(keydelim,TRUE,E475:N475)</f>
        <v>LSFO - Europe - Fuel cost total - USD/GJ</v>
      </c>
      <c r="F475" t="str" cm="1">
        <f t="array" ref="F475">INDEX(list_ME_fuel,$C475)</f>
        <v>LSFO</v>
      </c>
      <c r="L475" t="s">
        <v>195</v>
      </c>
      <c r="N475" t="str">
        <f t="shared" ref="N475:N493" si="390">"Fuel cost total"  &amp;keydelim &amp;Q475</f>
        <v>Fuel cost total - USD/GJ</v>
      </c>
      <c r="O475" s="224"/>
      <c r="P475" s="224" t="s">
        <v>607</v>
      </c>
      <c r="Q475" t="s">
        <v>324</v>
      </c>
      <c r="R475" s="14"/>
      <c r="S475" s="18">
        <f>INDEX('Fuel Selector'!K$5:K$111,MATCH('TCO - Input'!$D475,'Fuel Selector'!$B$5:$B$111,0))</f>
        <v>21.473621920116738</v>
      </c>
      <c r="T475" s="18">
        <f>INDEX('Fuel Selector'!L$5:L$111,MATCH('TCO - Input'!$D475,'Fuel Selector'!$B$5:$B$111,0))</f>
        <v>15.404989638344617</v>
      </c>
      <c r="U475" s="18">
        <f>INDEX('Fuel Selector'!M$5:M$111,MATCH('TCO - Input'!$D475,'Fuel Selector'!$B$5:$B$111,0))</f>
        <v>13.444354593464393</v>
      </c>
      <c r="V475" s="18">
        <f>INDEX('Fuel Selector'!N$5:N$111,MATCH('TCO - Input'!$D475,'Fuel Selector'!$B$5:$B$111,0))</f>
        <v>13.444354593464393</v>
      </c>
      <c r="W475" s="18">
        <f>INDEX('Fuel Selector'!O$5:O$111,MATCH('TCO - Input'!$D475,'Fuel Selector'!$B$5:$B$111,0))</f>
        <v>13.444354593464393</v>
      </c>
      <c r="X475" s="18">
        <f>INDEX('Fuel Selector'!P$5:P$111,MATCH('TCO - Input'!$D475,'Fuel Selector'!$B$5:$B$111,0))</f>
        <v>13.444354593464393</v>
      </c>
      <c r="Y475" s="18">
        <f>INDEX('Fuel Selector'!Q$5:Q$111,MATCH('TCO - Input'!$D475,'Fuel Selector'!$B$5:$B$111,0))</f>
        <v>13.444354593464393</v>
      </c>
      <c r="Z475" s="344">
        <f>Y475</f>
        <v>13.444354593464393</v>
      </c>
      <c r="AA475" s="344">
        <f t="shared" ref="AA475:AD475" si="391">Z475</f>
        <v>13.444354593464393</v>
      </c>
      <c r="AB475" s="344">
        <f t="shared" si="391"/>
        <v>13.444354593464393</v>
      </c>
      <c r="AC475" s="344">
        <f t="shared" si="391"/>
        <v>13.444354593464393</v>
      </c>
      <c r="AD475" s="344">
        <f t="shared" si="391"/>
        <v>13.444354593464393</v>
      </c>
    </row>
    <row r="476" spans="2:30" x14ac:dyDescent="0.2">
      <c r="C476" s="48">
        <f>C475+1</f>
        <v>2</v>
      </c>
      <c r="D476" s="347" t="str">
        <f>_xlfn.TEXTJOIN(keydelim,TRUE,E476:N476)</f>
        <v>LNG - Europe - Fuel cost total - USD/GJ</v>
      </c>
      <c r="F476" t="str" cm="1">
        <f t="array" ref="F476">INDEX(list_ME_fuel,$C476)</f>
        <v>LNG</v>
      </c>
      <c r="L476" t="str">
        <f>L475</f>
        <v>Europe</v>
      </c>
      <c r="N476" t="str">
        <f t="shared" si="390"/>
        <v>Fuel cost total - USD/GJ</v>
      </c>
      <c r="O476" s="224"/>
      <c r="P476" s="224"/>
      <c r="Q476" t="s">
        <v>324</v>
      </c>
      <c r="R476" s="14"/>
      <c r="S476" s="18">
        <f>INDEX('Fuel Selector'!K$5:K$111,MATCH('TCO - Input'!$D476,'Fuel Selector'!$B$5:$B$111,0))</f>
        <v>42.238746025334514</v>
      </c>
      <c r="T476" s="18">
        <f>INDEX('Fuel Selector'!L$5:L$111,MATCH('TCO - Input'!$D476,'Fuel Selector'!$B$5:$B$111,0))</f>
        <v>20.132646443951888</v>
      </c>
      <c r="U476" s="18">
        <f>INDEX('Fuel Selector'!M$5:M$111,MATCH('TCO - Input'!$D476,'Fuel Selector'!$B$5:$B$111,0))</f>
        <v>15.24176515489564</v>
      </c>
      <c r="V476" s="18">
        <f>INDEX('Fuel Selector'!N$5:N$111,MATCH('TCO - Input'!$D476,'Fuel Selector'!$B$5:$B$111,0))</f>
        <v>15.103159219481784</v>
      </c>
      <c r="W476" s="18">
        <f>INDEX('Fuel Selector'!O$5:O$111,MATCH('TCO - Input'!$D476,'Fuel Selector'!$B$5:$B$111,0))</f>
        <v>14.984656842230997</v>
      </c>
      <c r="X476" s="18">
        <f>INDEX('Fuel Selector'!P$5:P$111,MATCH('TCO - Input'!$D476,'Fuel Selector'!$B$5:$B$111,0))</f>
        <v>14.866442505632683</v>
      </c>
      <c r="Y476" s="18">
        <f>INDEX('Fuel Selector'!Q$5:Q$111,MATCH('TCO - Input'!$D476,'Fuel Selector'!$B$5:$B$111,0))</f>
        <v>14.757996087713781</v>
      </c>
      <c r="Z476" s="344">
        <f t="shared" ref="Z476:AD476" si="392">Y476</f>
        <v>14.757996087713781</v>
      </c>
      <c r="AA476" s="344">
        <f t="shared" si="392"/>
        <v>14.757996087713781</v>
      </c>
      <c r="AB476" s="344">
        <f t="shared" si="392"/>
        <v>14.757996087713781</v>
      </c>
      <c r="AC476" s="344">
        <f t="shared" si="392"/>
        <v>14.757996087713781</v>
      </c>
      <c r="AD476" s="344">
        <f t="shared" si="392"/>
        <v>14.757996087713781</v>
      </c>
    </row>
    <row r="477" spans="2:30" x14ac:dyDescent="0.2">
      <c r="C477" s="48">
        <f t="shared" ref="C477:C494" si="393">C476+1</f>
        <v>3</v>
      </c>
      <c r="D477" s="347" t="str">
        <f>_xlfn.TEXTJOIN(keydelim,TRUE,E477:N477)</f>
        <v>LPG - Europe - Fuel cost total - USD/GJ</v>
      </c>
      <c r="F477" t="str" cm="1">
        <f t="array" ref="F477">INDEX(list_ME_fuel,$C477)</f>
        <v>LPG</v>
      </c>
      <c r="L477" t="str">
        <f t="shared" ref="L477:L493" si="394">L476</f>
        <v>Europe</v>
      </c>
      <c r="N477" t="str">
        <f t="shared" si="390"/>
        <v>Fuel cost total - USD/GJ</v>
      </c>
      <c r="O477" s="224"/>
      <c r="P477" s="224"/>
      <c r="Q477" t="s">
        <v>324</v>
      </c>
      <c r="R477" s="14"/>
      <c r="S477" s="18">
        <f>INDEX('Fuel Selector'!K$5:K$111,MATCH('TCO - Input'!$D477,'Fuel Selector'!$B$5:$B$111,0))</f>
        <v>16.525069073439496</v>
      </c>
      <c r="T477" s="18">
        <f>INDEX('Fuel Selector'!L$5:L$111,MATCH('TCO - Input'!$D477,'Fuel Selector'!$B$5:$B$111,0))</f>
        <v>11.854940857032684</v>
      </c>
      <c r="U477" s="18">
        <f>INDEX('Fuel Selector'!M$5:M$111,MATCH('TCO - Input'!$D477,'Fuel Selector'!$B$5:$B$111,0))</f>
        <v>10.34613020250125</v>
      </c>
      <c r="V477" s="18">
        <f>INDEX('Fuel Selector'!N$5:N$111,MATCH('TCO - Input'!$D477,'Fuel Selector'!$B$5:$B$111,0))</f>
        <v>10.34613020250125</v>
      </c>
      <c r="W477" s="18">
        <f>INDEX('Fuel Selector'!O$5:O$111,MATCH('TCO - Input'!$D477,'Fuel Selector'!$B$5:$B$111,0))</f>
        <v>10.34613020250125</v>
      </c>
      <c r="X477" s="18">
        <f>INDEX('Fuel Selector'!P$5:P$111,MATCH('TCO - Input'!$D477,'Fuel Selector'!$B$5:$B$111,0))</f>
        <v>10.34613020250125</v>
      </c>
      <c r="Y477" s="18">
        <f>INDEX('Fuel Selector'!Q$5:Q$111,MATCH('TCO - Input'!$D477,'Fuel Selector'!$B$5:$B$111,0))</f>
        <v>10.34613020250125</v>
      </c>
      <c r="Z477" s="344">
        <f t="shared" ref="Z477:AD477" si="395">Y477</f>
        <v>10.34613020250125</v>
      </c>
      <c r="AA477" s="344">
        <f t="shared" si="395"/>
        <v>10.34613020250125</v>
      </c>
      <c r="AB477" s="344">
        <f t="shared" si="395"/>
        <v>10.34613020250125</v>
      </c>
      <c r="AC477" s="344">
        <f t="shared" si="395"/>
        <v>10.34613020250125</v>
      </c>
      <c r="AD477" s="344">
        <f t="shared" si="395"/>
        <v>10.34613020250125</v>
      </c>
    </row>
    <row r="478" spans="2:30" x14ac:dyDescent="0.2">
      <c r="C478" s="48">
        <f t="shared" si="393"/>
        <v>4</v>
      </c>
      <c r="D478" s="347" t="str">
        <f t="shared" si="389"/>
        <v>Electricity - Europe - Fuel cost total - USD/GJ</v>
      </c>
      <c r="F478" t="str" cm="1">
        <f t="array" ref="F478">INDEX(list_ME_fuel,$C478)</f>
        <v>Electricity</v>
      </c>
      <c r="L478" t="str">
        <f t="shared" si="394"/>
        <v>Europe</v>
      </c>
      <c r="N478" t="str">
        <f t="shared" si="390"/>
        <v>Fuel cost total - USD/GJ</v>
      </c>
      <c r="O478" s="224"/>
      <c r="P478" s="224"/>
      <c r="Q478" t="s">
        <v>324</v>
      </c>
      <c r="R478" s="14"/>
      <c r="S478" s="18">
        <f>INDEX('Fuel Selector'!K$5:K$111,MATCH('TCO - Input'!$D478,'Fuel Selector'!$B$5:$B$111,0))</f>
        <v>33.948308209952124</v>
      </c>
      <c r="T478" s="18">
        <f>INDEX('Fuel Selector'!L$5:L$111,MATCH('TCO - Input'!$D478,'Fuel Selector'!$B$5:$B$111,0))</f>
        <v>31.0543207591544</v>
      </c>
      <c r="U478" s="18">
        <f>INDEX('Fuel Selector'!M$5:M$111,MATCH('TCO - Input'!$D478,'Fuel Selector'!$B$5:$B$111,0))</f>
        <v>28.715961410704608</v>
      </c>
      <c r="V478" s="18">
        <f>INDEX('Fuel Selector'!N$5:N$111,MATCH('TCO - Input'!$D478,'Fuel Selector'!$B$5:$B$111,0))</f>
        <v>27.744373585233539</v>
      </c>
      <c r="W478" s="18">
        <f>INDEX('Fuel Selector'!O$5:O$111,MATCH('TCO - Input'!$D478,'Fuel Selector'!$B$5:$B$111,0))</f>
        <v>27.164286270127683</v>
      </c>
      <c r="X478" s="18">
        <f>INDEX('Fuel Selector'!P$5:P$111,MATCH('TCO - Input'!$D478,'Fuel Selector'!$B$5:$B$111,0))</f>
        <v>26.543697571584122</v>
      </c>
      <c r="Y478" s="18">
        <f>INDEX('Fuel Selector'!Q$5:Q$111,MATCH('TCO - Input'!$D478,'Fuel Selector'!$B$5:$B$111,0))</f>
        <v>26.090903276551931</v>
      </c>
      <c r="Z478" s="344">
        <f t="shared" ref="Z478:AD478" si="396">Y478</f>
        <v>26.090903276551931</v>
      </c>
      <c r="AA478" s="344">
        <f t="shared" si="396"/>
        <v>26.090903276551931</v>
      </c>
      <c r="AB478" s="344">
        <f t="shared" si="396"/>
        <v>26.090903276551931</v>
      </c>
      <c r="AC478" s="344">
        <f t="shared" si="396"/>
        <v>26.090903276551931</v>
      </c>
      <c r="AD478" s="344">
        <f t="shared" si="396"/>
        <v>26.090903276551931</v>
      </c>
    </row>
    <row r="479" spans="2:30" x14ac:dyDescent="0.2">
      <c r="C479" s="48">
        <f t="shared" si="393"/>
        <v>5</v>
      </c>
      <c r="D479" s="347" t="str">
        <f t="shared" si="389"/>
        <v>e-Ammonia - Europe - Fuel cost total - USD/GJ</v>
      </c>
      <c r="F479" t="str" cm="1">
        <f t="array" ref="F479">INDEX(list_ME_fuel,$C479)</f>
        <v>e-Ammonia</v>
      </c>
      <c r="L479" t="str">
        <f t="shared" si="394"/>
        <v>Europe</v>
      </c>
      <c r="N479" t="str">
        <f t="shared" si="390"/>
        <v>Fuel cost total - USD/GJ</v>
      </c>
      <c r="O479" s="383"/>
      <c r="P479" s="224"/>
      <c r="Q479" t="s">
        <v>324</v>
      </c>
      <c r="R479" s="14"/>
      <c r="S479" s="18">
        <f>INDEX('Fuel Selector'!K$5:K$111,MATCH('TCO - Input'!$D479,'Fuel Selector'!$B$5:$B$111,0))</f>
        <v>70.297680012845831</v>
      </c>
      <c r="T479" s="18">
        <f>INDEX('Fuel Selector'!L$5:L$111,MATCH('TCO - Input'!$D479,'Fuel Selector'!$B$5:$B$111,0))</f>
        <v>53.046404277541093</v>
      </c>
      <c r="U479" s="18">
        <f>INDEX('Fuel Selector'!M$5:M$111,MATCH('TCO - Input'!$D479,'Fuel Selector'!$B$5:$B$111,0))</f>
        <v>37.372442682577805</v>
      </c>
      <c r="V479" s="18">
        <f>INDEX('Fuel Selector'!N$5:N$111,MATCH('TCO - Input'!$D479,'Fuel Selector'!$B$5:$B$111,0))</f>
        <v>34.374160703222906</v>
      </c>
      <c r="W479" s="18">
        <f>INDEX('Fuel Selector'!O$5:O$111,MATCH('TCO - Input'!$D479,'Fuel Selector'!$B$5:$B$111,0))</f>
        <v>30.565657115733533</v>
      </c>
      <c r="X479" s="18">
        <f>INDEX('Fuel Selector'!P$5:P$111,MATCH('TCO - Input'!$D479,'Fuel Selector'!$B$5:$B$111,0))</f>
        <v>25.758583937417363</v>
      </c>
      <c r="Y479" s="18">
        <f>INDEX('Fuel Selector'!Q$5:Q$111,MATCH('TCO - Input'!$D479,'Fuel Selector'!$B$5:$B$111,0))</f>
        <v>21.262390275891789</v>
      </c>
      <c r="Z479" s="344">
        <f t="shared" ref="Z479:AD479" si="397">Y479</f>
        <v>21.262390275891789</v>
      </c>
      <c r="AA479" s="344">
        <f t="shared" si="397"/>
        <v>21.262390275891789</v>
      </c>
      <c r="AB479" s="344">
        <f t="shared" si="397"/>
        <v>21.262390275891789</v>
      </c>
      <c r="AC479" s="344">
        <f t="shared" si="397"/>
        <v>21.262390275891789</v>
      </c>
      <c r="AD479" s="344">
        <f t="shared" si="397"/>
        <v>21.262390275891789</v>
      </c>
    </row>
    <row r="480" spans="2:30" x14ac:dyDescent="0.2">
      <c r="C480" s="48">
        <f t="shared" si="393"/>
        <v>6</v>
      </c>
      <c r="D480" s="347" t="str">
        <f t="shared" si="389"/>
        <v>Blue ammonia - Europe - Fuel cost total - USD/GJ</v>
      </c>
      <c r="F480" t="str" cm="1">
        <f t="array" ref="F480">INDEX(list_ME_fuel,$C480)</f>
        <v>Blue ammonia</v>
      </c>
      <c r="L480" t="str">
        <f t="shared" si="394"/>
        <v>Europe</v>
      </c>
      <c r="N480" t="str">
        <f t="shared" si="390"/>
        <v>Fuel cost total - USD/GJ</v>
      </c>
      <c r="O480" s="383"/>
      <c r="P480" s="224"/>
      <c r="Q480" t="s">
        <v>324</v>
      </c>
      <c r="R480" s="14"/>
      <c r="S480" s="18">
        <f>INDEX('Fuel Selector'!K$5:K$111,MATCH('TCO - Input'!$D480,'Fuel Selector'!$B$5:$B$111,0))</f>
        <v>79.644233104222565</v>
      </c>
      <c r="T480" s="18">
        <f>INDEX('Fuel Selector'!L$5:L$111,MATCH('TCO - Input'!$D480,'Fuel Selector'!$B$5:$B$111,0))</f>
        <v>42.316211660813167</v>
      </c>
      <c r="U480" s="18">
        <f>INDEX('Fuel Selector'!M$5:M$111,MATCH('TCO - Input'!$D480,'Fuel Selector'!$B$5:$B$111,0))</f>
        <v>33.092830996295632</v>
      </c>
      <c r="V480" s="18">
        <f>INDEX('Fuel Selector'!N$5:N$111,MATCH('TCO - Input'!$D480,'Fuel Selector'!$B$5:$B$111,0))</f>
        <v>32.657227091878916</v>
      </c>
      <c r="W480" s="18">
        <f>INDEX('Fuel Selector'!O$5:O$111,MATCH('TCO - Input'!$D480,'Fuel Selector'!$B$5:$B$111,0))</f>
        <v>32.235387296832052</v>
      </c>
      <c r="X480" s="18">
        <f>INDEX('Fuel Selector'!P$5:P$111,MATCH('TCO - Input'!$D480,'Fuel Selector'!$B$5:$B$111,0))</f>
        <v>31.812123581620316</v>
      </c>
      <c r="Y480" s="18">
        <f>INDEX('Fuel Selector'!Q$5:Q$111,MATCH('TCO - Input'!$D480,'Fuel Selector'!$B$5:$B$111,0))</f>
        <v>31.394759068224246</v>
      </c>
      <c r="Z480" s="344">
        <f t="shared" ref="Z480:AD480" si="398">Y480</f>
        <v>31.394759068224246</v>
      </c>
      <c r="AA480" s="344">
        <f t="shared" si="398"/>
        <v>31.394759068224246</v>
      </c>
      <c r="AB480" s="344">
        <f t="shared" si="398"/>
        <v>31.394759068224246</v>
      </c>
      <c r="AC480" s="344">
        <f t="shared" si="398"/>
        <v>31.394759068224246</v>
      </c>
      <c r="AD480" s="344">
        <f t="shared" si="398"/>
        <v>31.394759068224246</v>
      </c>
    </row>
    <row r="481" spans="3:30" x14ac:dyDescent="0.2">
      <c r="C481" s="48">
        <f t="shared" si="393"/>
        <v>7</v>
      </c>
      <c r="D481" s="347" t="str">
        <f t="shared" si="389"/>
        <v>Biomethane - Europe - Fuel cost total - USD/GJ</v>
      </c>
      <c r="F481" t="str" cm="1">
        <f t="array" ref="F481">INDEX(list_ME_fuel,$C481)</f>
        <v>Biomethane</v>
      </c>
      <c r="L481" t="str">
        <f t="shared" si="394"/>
        <v>Europe</v>
      </c>
      <c r="N481" t="str">
        <f t="shared" si="390"/>
        <v>Fuel cost total - USD/GJ</v>
      </c>
      <c r="P481" s="224"/>
      <c r="Q481" t="s">
        <v>324</v>
      </c>
      <c r="R481" s="389"/>
      <c r="S481" s="18">
        <f>INDEX('Fuel Selector'!K$5:K$111,MATCH('TCO - Input'!$D481,'Fuel Selector'!$B$5:$B$111,0))</f>
        <v>26.208209405044727</v>
      </c>
      <c r="T481" s="18">
        <f>INDEX('Fuel Selector'!L$5:L$111,MATCH('TCO - Input'!$D481,'Fuel Selector'!$B$5:$B$111,0))</f>
        <v>24.036084986877469</v>
      </c>
      <c r="U481" s="18">
        <f>INDEX('Fuel Selector'!M$5:M$111,MATCH('TCO - Input'!$D481,'Fuel Selector'!$B$5:$B$111,0))</f>
        <v>22.448613283251294</v>
      </c>
      <c r="V481" s="18">
        <f>INDEX('Fuel Selector'!N$5:N$111,MATCH('TCO - Input'!$D481,'Fuel Selector'!$B$5:$B$111,0))</f>
        <v>21.091540763228949</v>
      </c>
      <c r="W481" s="18">
        <f>INDEX('Fuel Selector'!O$5:O$111,MATCH('TCO - Input'!$D481,'Fuel Selector'!$B$5:$B$111,0))</f>
        <v>19.768083094552253</v>
      </c>
      <c r="X481" s="18">
        <f>INDEX('Fuel Selector'!P$5:P$111,MATCH('TCO - Input'!$D481,'Fuel Selector'!$B$5:$B$111,0))</f>
        <v>18.44011412816505</v>
      </c>
      <c r="Y481" s="18">
        <f>INDEX('Fuel Selector'!Q$5:Q$111,MATCH('TCO - Input'!$D481,'Fuel Selector'!$B$5:$B$111,0))</f>
        <v>17.12649859406153</v>
      </c>
      <c r="Z481" s="344">
        <f t="shared" ref="Z481:AD481" si="399">Y481</f>
        <v>17.12649859406153</v>
      </c>
      <c r="AA481" s="344">
        <f t="shared" si="399"/>
        <v>17.12649859406153</v>
      </c>
      <c r="AB481" s="344">
        <f t="shared" si="399"/>
        <v>17.12649859406153</v>
      </c>
      <c r="AC481" s="344">
        <f t="shared" si="399"/>
        <v>17.12649859406153</v>
      </c>
      <c r="AD481" s="344">
        <f t="shared" si="399"/>
        <v>17.12649859406153</v>
      </c>
    </row>
    <row r="482" spans="3:30" x14ac:dyDescent="0.2">
      <c r="C482" s="48">
        <f t="shared" si="393"/>
        <v>8</v>
      </c>
      <c r="D482" s="347" t="str">
        <f t="shared" si="389"/>
        <v>e-Methane (DAC) - Europe - Fuel cost total - USD/GJ</v>
      </c>
      <c r="F482" t="str" cm="1">
        <f t="array" ref="F482">INDEX(list_ME_fuel,$C482)</f>
        <v>e-Methane (DAC)</v>
      </c>
      <c r="L482" t="str">
        <f t="shared" si="394"/>
        <v>Europe</v>
      </c>
      <c r="N482" t="str">
        <f t="shared" si="390"/>
        <v>Fuel cost total - USD/GJ</v>
      </c>
      <c r="O482" s="383"/>
      <c r="P482" s="224"/>
      <c r="Q482" t="s">
        <v>324</v>
      </c>
      <c r="R482" s="14"/>
      <c r="S482" s="18">
        <f>INDEX('Fuel Selector'!K$5:K$111,MATCH('TCO - Input'!$D482,'Fuel Selector'!$B$5:$B$111,0))</f>
        <v>76.558486945979737</v>
      </c>
      <c r="T482" s="18">
        <f>INDEX('Fuel Selector'!L$5:L$111,MATCH('TCO - Input'!$D482,'Fuel Selector'!$B$5:$B$111,0))</f>
        <v>62.501495687530984</v>
      </c>
      <c r="U482" s="18">
        <f>INDEX('Fuel Selector'!M$5:M$111,MATCH('TCO - Input'!$D482,'Fuel Selector'!$B$5:$B$111,0))</f>
        <v>51.408741838200271</v>
      </c>
      <c r="V482" s="18">
        <f>INDEX('Fuel Selector'!N$5:N$111,MATCH('TCO - Input'!$D482,'Fuel Selector'!$B$5:$B$111,0))</f>
        <v>46.455829030504141</v>
      </c>
      <c r="W482" s="18">
        <f>INDEX('Fuel Selector'!O$5:O$111,MATCH('TCO - Input'!$D482,'Fuel Selector'!$B$5:$B$111,0))</f>
        <v>41.076664926499021</v>
      </c>
      <c r="X482" s="18">
        <f>INDEX('Fuel Selector'!P$5:P$111,MATCH('TCO - Input'!$D482,'Fuel Selector'!$B$5:$B$111,0))</f>
        <v>34.589599000927905</v>
      </c>
      <c r="Y482" s="18">
        <f>INDEX('Fuel Selector'!Q$5:Q$111,MATCH('TCO - Input'!$D482,'Fuel Selector'!$B$5:$B$111,0))</f>
        <v>28.644833812073077</v>
      </c>
      <c r="Z482" s="344">
        <f t="shared" ref="Z482:AD482" si="400">Y482</f>
        <v>28.644833812073077</v>
      </c>
      <c r="AA482" s="344">
        <f t="shared" si="400"/>
        <v>28.644833812073077</v>
      </c>
      <c r="AB482" s="344">
        <f t="shared" si="400"/>
        <v>28.644833812073077</v>
      </c>
      <c r="AC482" s="344">
        <f t="shared" si="400"/>
        <v>28.644833812073077</v>
      </c>
      <c r="AD482" s="344">
        <f t="shared" si="400"/>
        <v>28.644833812073077</v>
      </c>
    </row>
    <row r="483" spans="3:30" x14ac:dyDescent="0.2">
      <c r="C483" s="48">
        <f t="shared" si="393"/>
        <v>9</v>
      </c>
      <c r="D483" s="347" t="str">
        <f t="shared" si="389"/>
        <v>e-Methane (PS) - Europe - Fuel cost total - USD/GJ</v>
      </c>
      <c r="F483" t="str" cm="1">
        <f t="array" ref="F483">INDEX(list_ME_fuel,$C483)</f>
        <v>e-Methane (PS)</v>
      </c>
      <c r="L483" t="str">
        <f t="shared" si="394"/>
        <v>Europe</v>
      </c>
      <c r="N483" t="str">
        <f t="shared" si="390"/>
        <v>Fuel cost total - USD/GJ</v>
      </c>
      <c r="O483" s="383"/>
      <c r="P483" s="224"/>
      <c r="Q483" t="s">
        <v>324</v>
      </c>
      <c r="R483" s="14"/>
      <c r="S483" s="18">
        <f>INDEX('Fuel Selector'!K$5:K$111,MATCH('TCO - Input'!$D483,'Fuel Selector'!$B$5:$B$111,0))</f>
        <v>69.778308284486243</v>
      </c>
      <c r="T483" s="18">
        <f>INDEX('Fuel Selector'!L$5:L$111,MATCH('TCO - Input'!$D483,'Fuel Selector'!$B$5:$B$111,0))</f>
        <v>57.497844683265278</v>
      </c>
      <c r="U483" s="18">
        <f>INDEX('Fuel Selector'!M$5:M$111,MATCH('TCO - Input'!$D483,'Fuel Selector'!$B$5:$B$111,0))</f>
        <v>47.447280465010792</v>
      </c>
      <c r="V483" s="18">
        <f>INDEX('Fuel Selector'!N$5:N$111,MATCH('TCO - Input'!$D483,'Fuel Selector'!$B$5:$B$111,0))</f>
        <v>43.539005485690055</v>
      </c>
      <c r="W483" s="18">
        <f>INDEX('Fuel Selector'!O$5:O$111,MATCH('TCO - Input'!$D483,'Fuel Selector'!$B$5:$B$111,0))</f>
        <v>38.815922081698467</v>
      </c>
      <c r="X483" s="18">
        <f>INDEX('Fuel Selector'!P$5:P$111,MATCH('TCO - Input'!$D483,'Fuel Selector'!$B$5:$B$111,0))</f>
        <v>32.813243860067153</v>
      </c>
      <c r="Y483" s="18">
        <f>INDEX('Fuel Selector'!Q$5:Q$111,MATCH('TCO - Input'!$D483,'Fuel Selector'!$B$5:$B$111,0))</f>
        <v>27.149835322682577</v>
      </c>
      <c r="Z483" s="344">
        <f t="shared" ref="Z483:AD483" si="401">Y483</f>
        <v>27.149835322682577</v>
      </c>
      <c r="AA483" s="344">
        <f t="shared" si="401"/>
        <v>27.149835322682577</v>
      </c>
      <c r="AB483" s="344">
        <f t="shared" si="401"/>
        <v>27.149835322682577</v>
      </c>
      <c r="AC483" s="344">
        <f t="shared" si="401"/>
        <v>27.149835322682577</v>
      </c>
      <c r="AD483" s="344">
        <f t="shared" si="401"/>
        <v>27.149835322682577</v>
      </c>
    </row>
    <row r="484" spans="3:30" x14ac:dyDescent="0.2">
      <c r="C484" s="48">
        <f t="shared" si="393"/>
        <v>10</v>
      </c>
      <c r="D484" s="347" t="str">
        <f t="shared" si="389"/>
        <v>Biomethanol - Europe - Fuel cost total - USD/GJ</v>
      </c>
      <c r="F484" t="str" cm="1">
        <f t="array" ref="F484">INDEX(list_ME_fuel,$C484)</f>
        <v>Biomethanol</v>
      </c>
      <c r="L484" t="str">
        <f t="shared" si="394"/>
        <v>Europe</v>
      </c>
      <c r="N484" t="str">
        <f t="shared" si="390"/>
        <v>Fuel cost total - USD/GJ</v>
      </c>
      <c r="P484" s="224"/>
      <c r="Q484" t="s">
        <v>324</v>
      </c>
      <c r="R484" s="14"/>
      <c r="S484" s="18">
        <f>INDEX('Fuel Selector'!K$5:K$111,MATCH('TCO - Input'!$D484,'Fuel Selector'!$B$5:$B$111,0))</f>
        <v>51.434431290061902</v>
      </c>
      <c r="T484" s="18">
        <f>INDEX('Fuel Selector'!L$5:L$111,MATCH('TCO - Input'!$D484,'Fuel Selector'!$B$5:$B$111,0))</f>
        <v>36.555089131562283</v>
      </c>
      <c r="U484" s="18">
        <f>INDEX('Fuel Selector'!M$5:M$111,MATCH('TCO - Input'!$D484,'Fuel Selector'!$B$5:$B$111,0))</f>
        <v>31.043120295642179</v>
      </c>
      <c r="V484" s="18">
        <f>INDEX('Fuel Selector'!N$5:N$111,MATCH('TCO - Input'!$D484,'Fuel Selector'!$B$5:$B$111,0))</f>
        <v>28.829749086320582</v>
      </c>
      <c r="W484" s="18">
        <f>INDEX('Fuel Selector'!O$5:O$111,MATCH('TCO - Input'!$D484,'Fuel Selector'!$B$5:$B$111,0))</f>
        <v>26.593070556117802</v>
      </c>
      <c r="X484" s="18">
        <f>INDEX('Fuel Selector'!P$5:P$111,MATCH('TCO - Input'!$D484,'Fuel Selector'!$B$5:$B$111,0))</f>
        <v>25.34547035201301</v>
      </c>
      <c r="Y484" s="18">
        <f>INDEX('Fuel Selector'!Q$5:Q$111,MATCH('TCO - Input'!$D484,'Fuel Selector'!$B$5:$B$111,0))</f>
        <v>24.113961056230373</v>
      </c>
      <c r="Z484" s="344">
        <f t="shared" ref="Z484:AD484" si="402">Y484</f>
        <v>24.113961056230373</v>
      </c>
      <c r="AA484" s="344">
        <f t="shared" si="402"/>
        <v>24.113961056230373</v>
      </c>
      <c r="AB484" s="344">
        <f t="shared" si="402"/>
        <v>24.113961056230373</v>
      </c>
      <c r="AC484" s="344">
        <f t="shared" si="402"/>
        <v>24.113961056230373</v>
      </c>
      <c r="AD484" s="344">
        <f t="shared" si="402"/>
        <v>24.113961056230373</v>
      </c>
    </row>
    <row r="485" spans="3:30" x14ac:dyDescent="0.2">
      <c r="C485" s="48">
        <f t="shared" si="393"/>
        <v>11</v>
      </c>
      <c r="D485" s="347" t="str">
        <f t="shared" si="389"/>
        <v>e-Methanol (DAC) - Europe - Fuel cost total - USD/GJ</v>
      </c>
      <c r="F485" t="str" cm="1">
        <f t="array" ref="F485">INDEX(list_ME_fuel,$C485)</f>
        <v>e-Methanol (DAC)</v>
      </c>
      <c r="L485" t="str">
        <f t="shared" si="394"/>
        <v>Europe</v>
      </c>
      <c r="N485" t="str">
        <f t="shared" si="390"/>
        <v>Fuel cost total - USD/GJ</v>
      </c>
      <c r="P485" s="224"/>
      <c r="Q485" t="s">
        <v>324</v>
      </c>
      <c r="R485" s="14"/>
      <c r="S485" s="18">
        <f>INDEX('Fuel Selector'!K$5:K$111,MATCH('TCO - Input'!$D485,'Fuel Selector'!$B$5:$B$111,0))</f>
        <v>93.659351635533127</v>
      </c>
      <c r="T485" s="18">
        <f>INDEX('Fuel Selector'!L$5:L$111,MATCH('TCO - Input'!$D485,'Fuel Selector'!$B$5:$B$111,0))</f>
        <v>75.485585557609738</v>
      </c>
      <c r="U485" s="18">
        <f>INDEX('Fuel Selector'!M$5:M$111,MATCH('TCO - Input'!$D485,'Fuel Selector'!$B$5:$B$111,0))</f>
        <v>59.985445779281676</v>
      </c>
      <c r="V485" s="18">
        <f>INDEX('Fuel Selector'!N$5:N$111,MATCH('TCO - Input'!$D485,'Fuel Selector'!$B$5:$B$111,0))</f>
        <v>53.477890974059207</v>
      </c>
      <c r="W485" s="18">
        <f>INDEX('Fuel Selector'!O$5:O$111,MATCH('TCO - Input'!$D485,'Fuel Selector'!$B$5:$B$111,0))</f>
        <v>46.788432939941309</v>
      </c>
      <c r="X485" s="18">
        <f>INDEX('Fuel Selector'!P$5:P$111,MATCH('TCO - Input'!$D485,'Fuel Selector'!$B$5:$B$111,0))</f>
        <v>38.828388609696809</v>
      </c>
      <c r="Y485" s="18">
        <f>INDEX('Fuel Selector'!Q$5:Q$111,MATCH('TCO - Input'!$D485,'Fuel Selector'!$B$5:$B$111,0))</f>
        <v>31.488281489683899</v>
      </c>
      <c r="Z485" s="344">
        <f t="shared" ref="Z485:AD485" si="403">Y485</f>
        <v>31.488281489683899</v>
      </c>
      <c r="AA485" s="344">
        <f t="shared" si="403"/>
        <v>31.488281489683899</v>
      </c>
      <c r="AB485" s="344">
        <f t="shared" si="403"/>
        <v>31.488281489683899</v>
      </c>
      <c r="AC485" s="344">
        <f t="shared" si="403"/>
        <v>31.488281489683899</v>
      </c>
      <c r="AD485" s="344">
        <f t="shared" si="403"/>
        <v>31.488281489683899</v>
      </c>
    </row>
    <row r="486" spans="3:30" x14ac:dyDescent="0.2">
      <c r="C486" s="48">
        <f t="shared" si="393"/>
        <v>12</v>
      </c>
      <c r="D486" s="347" t="str">
        <f t="shared" si="389"/>
        <v>e-Methanol (PS) - Europe - Fuel cost total - USD/GJ</v>
      </c>
      <c r="F486" t="str" cm="1">
        <f t="array" ref="F486">INDEX(list_ME_fuel,$C486)</f>
        <v>e-Methanol (PS)</v>
      </c>
      <c r="L486" t="str">
        <f t="shared" si="394"/>
        <v>Europe</v>
      </c>
      <c r="N486" t="str">
        <f t="shared" si="390"/>
        <v>Fuel cost total - USD/GJ</v>
      </c>
      <c r="P486" s="224"/>
      <c r="Q486" t="s">
        <v>324</v>
      </c>
      <c r="R486" s="14"/>
      <c r="S486" s="18">
        <f>INDEX('Fuel Selector'!K$5:K$111,MATCH('TCO - Input'!$D486,'Fuel Selector'!$B$5:$B$111,0))</f>
        <v>85.130374271991229</v>
      </c>
      <c r="T486" s="18">
        <f>INDEX('Fuel Selector'!L$5:L$111,MATCH('TCO - Input'!$D486,'Fuel Selector'!$B$5:$B$111,0))</f>
        <v>69.191352281307616</v>
      </c>
      <c r="U486" s="18">
        <f>INDEX('Fuel Selector'!M$5:M$111,MATCH('TCO - Input'!$D486,'Fuel Selector'!$B$5:$B$111,0))</f>
        <v>55.002212141152704</v>
      </c>
      <c r="V486" s="18">
        <f>INDEX('Fuel Selector'!N$5:N$111,MATCH('TCO - Input'!$D486,'Fuel Selector'!$B$5:$B$111,0))</f>
        <v>49.808736630317249</v>
      </c>
      <c r="W486" s="18">
        <f>INDEX('Fuel Selector'!O$5:O$111,MATCH('TCO - Input'!$D486,'Fuel Selector'!$B$5:$B$111,0))</f>
        <v>43.944580954506172</v>
      </c>
      <c r="X486" s="18">
        <f>INDEX('Fuel Selector'!P$5:P$111,MATCH('TCO - Input'!$D486,'Fuel Selector'!$B$5:$B$111,0))</f>
        <v>36.593861535645438</v>
      </c>
      <c r="Y486" s="18">
        <f>INDEX('Fuel Selector'!Q$5:Q$111,MATCH('TCO - Input'!$D486,'Fuel Selector'!$B$5:$B$111,0))</f>
        <v>29.607680857881039</v>
      </c>
      <c r="Z486" s="344">
        <f t="shared" ref="Z486:AD486" si="404">Y486</f>
        <v>29.607680857881039</v>
      </c>
      <c r="AA486" s="344">
        <f t="shared" si="404"/>
        <v>29.607680857881039</v>
      </c>
      <c r="AB486" s="344">
        <f t="shared" si="404"/>
        <v>29.607680857881039</v>
      </c>
      <c r="AC486" s="344">
        <f t="shared" si="404"/>
        <v>29.607680857881039</v>
      </c>
      <c r="AD486" s="344">
        <f t="shared" si="404"/>
        <v>29.607680857881039</v>
      </c>
    </row>
    <row r="487" spans="3:30" x14ac:dyDescent="0.2">
      <c r="C487" s="48">
        <f t="shared" si="393"/>
        <v>13</v>
      </c>
      <c r="D487" s="347" t="str">
        <f t="shared" si="389"/>
        <v>Biodiesel (HtL) - Europe - Fuel cost total - USD/GJ</v>
      </c>
      <c r="F487" t="str" cm="1">
        <f t="array" ref="F487">INDEX(list_ME_fuel,$C487)</f>
        <v>Biodiesel (HtL)</v>
      </c>
      <c r="L487" t="str">
        <f t="shared" si="394"/>
        <v>Europe</v>
      </c>
      <c r="N487" t="str">
        <f t="shared" si="390"/>
        <v>Fuel cost total - USD/GJ</v>
      </c>
      <c r="P487" s="224"/>
      <c r="Q487" t="s">
        <v>324</v>
      </c>
      <c r="R487" s="14"/>
      <c r="S487" s="18">
        <f>INDEX('Fuel Selector'!K$5:K$111,MATCH('TCO - Input'!$D487,'Fuel Selector'!$B$5:$B$111,0))</f>
        <v>161.26958803758401</v>
      </c>
      <c r="T487" s="18">
        <f>INDEX('Fuel Selector'!L$5:L$111,MATCH('TCO - Input'!$D487,'Fuel Selector'!$B$5:$B$111,0))</f>
        <v>53.16347870957248</v>
      </c>
      <c r="U487" s="18">
        <f>INDEX('Fuel Selector'!M$5:M$111,MATCH('TCO - Input'!$D487,'Fuel Selector'!$B$5:$B$111,0))</f>
        <v>24.662663007680088</v>
      </c>
      <c r="V487" s="18">
        <f>INDEX('Fuel Selector'!N$5:N$111,MATCH('TCO - Input'!$D487,'Fuel Selector'!$B$5:$B$111,0))</f>
        <v>24.265090403929698</v>
      </c>
      <c r="W487" s="18">
        <f>INDEX('Fuel Selector'!O$5:O$111,MATCH('TCO - Input'!$D487,'Fuel Selector'!$B$5:$B$111,0))</f>
        <v>23.771536164412808</v>
      </c>
      <c r="X487" s="18">
        <f>INDEX('Fuel Selector'!P$5:P$111,MATCH('TCO - Input'!$D487,'Fuel Selector'!$B$5:$B$111,0))</f>
        <v>23.123164140182489</v>
      </c>
      <c r="Y487" s="18">
        <f>INDEX('Fuel Selector'!Q$5:Q$111,MATCH('TCO - Input'!$D487,'Fuel Selector'!$B$5:$B$111,0))</f>
        <v>21.904460882997867</v>
      </c>
      <c r="Z487" s="344">
        <f t="shared" ref="Z487:AD487" si="405">Y487</f>
        <v>21.904460882997867</v>
      </c>
      <c r="AA487" s="344">
        <f t="shared" si="405"/>
        <v>21.904460882997867</v>
      </c>
      <c r="AB487" s="344">
        <f t="shared" si="405"/>
        <v>21.904460882997867</v>
      </c>
      <c r="AC487" s="344">
        <f t="shared" si="405"/>
        <v>21.904460882997867</v>
      </c>
      <c r="AD487" s="344">
        <f t="shared" si="405"/>
        <v>21.904460882997867</v>
      </c>
    </row>
    <row r="488" spans="3:30" x14ac:dyDescent="0.2">
      <c r="C488" s="48">
        <f t="shared" si="393"/>
        <v>14</v>
      </c>
      <c r="D488" s="347" t="str">
        <f t="shared" si="389"/>
        <v>Biodiesel (Pyr) - Europe - Fuel cost total - USD/GJ</v>
      </c>
      <c r="F488" t="str" cm="1">
        <f t="array" ref="F488">INDEX(list_ME_fuel,$C488)</f>
        <v>Biodiesel (Pyr)</v>
      </c>
      <c r="L488" t="str">
        <f t="shared" si="394"/>
        <v>Europe</v>
      </c>
      <c r="N488" t="str">
        <f t="shared" si="390"/>
        <v>Fuel cost total - USD/GJ</v>
      </c>
      <c r="P488" s="224"/>
      <c r="Q488" t="s">
        <v>324</v>
      </c>
      <c r="R488" s="14"/>
      <c r="S488" s="18">
        <f>INDEX('Fuel Selector'!K$5:K$111,MATCH('TCO - Input'!$D488,'Fuel Selector'!$B$5:$B$111,0))</f>
        <v>65.314547324872592</v>
      </c>
      <c r="T488" s="18">
        <f>INDEX('Fuel Selector'!L$5:L$111,MATCH('TCO - Input'!$D488,'Fuel Selector'!$B$5:$B$111,0))</f>
        <v>40.501949235323835</v>
      </c>
      <c r="U488" s="18">
        <f>INDEX('Fuel Selector'!M$5:M$111,MATCH('TCO - Input'!$D488,'Fuel Selector'!$B$5:$B$111,0))</f>
        <v>24.657040375941243</v>
      </c>
      <c r="V488" s="18">
        <f>INDEX('Fuel Selector'!N$5:N$111,MATCH('TCO - Input'!$D488,'Fuel Selector'!$B$5:$B$111,0))</f>
        <v>25.132999679253494</v>
      </c>
      <c r="W488" s="18">
        <f>INDEX('Fuel Selector'!O$5:O$111,MATCH('TCO - Input'!$D488,'Fuel Selector'!$B$5:$B$111,0))</f>
        <v>24.943359601604424</v>
      </c>
      <c r="X488" s="18">
        <f>INDEX('Fuel Selector'!P$5:P$111,MATCH('TCO - Input'!$D488,'Fuel Selector'!$B$5:$B$111,0))</f>
        <v>24.47426936293742</v>
      </c>
      <c r="Y488" s="18">
        <f>INDEX('Fuel Selector'!Q$5:Q$111,MATCH('TCO - Input'!$D488,'Fuel Selector'!$B$5:$B$111,0))</f>
        <v>22.803385993677281</v>
      </c>
      <c r="Z488" s="344">
        <f t="shared" ref="Z488:AD488" si="406">Y488</f>
        <v>22.803385993677281</v>
      </c>
      <c r="AA488" s="344">
        <f t="shared" si="406"/>
        <v>22.803385993677281</v>
      </c>
      <c r="AB488" s="344">
        <f t="shared" si="406"/>
        <v>22.803385993677281</v>
      </c>
      <c r="AC488" s="344">
        <f t="shared" si="406"/>
        <v>22.803385993677281</v>
      </c>
      <c r="AD488" s="344">
        <f t="shared" si="406"/>
        <v>22.803385993677281</v>
      </c>
    </row>
    <row r="489" spans="3:30" x14ac:dyDescent="0.2">
      <c r="C489" s="48">
        <f t="shared" si="393"/>
        <v>15</v>
      </c>
      <c r="D489" s="347" t="str">
        <f t="shared" si="389"/>
        <v>e-Diesel (DAC) - Europe - Fuel cost total - USD/GJ</v>
      </c>
      <c r="F489" t="str" cm="1">
        <f t="array" ref="F489">INDEX(list_ME_fuel,$C489)</f>
        <v>e-Diesel (DAC)</v>
      </c>
      <c r="L489" t="str">
        <f t="shared" si="394"/>
        <v>Europe</v>
      </c>
      <c r="N489" t="str">
        <f t="shared" si="390"/>
        <v>Fuel cost total - USD/GJ</v>
      </c>
      <c r="P489" s="224"/>
      <c r="Q489" t="s">
        <v>324</v>
      </c>
      <c r="R489" s="14"/>
      <c r="S489" s="18">
        <f>INDEX('Fuel Selector'!K$5:K$111,MATCH('TCO - Input'!$D489,'Fuel Selector'!$B$5:$B$111,0))</f>
        <v>107.53205657288964</v>
      </c>
      <c r="T489" s="18">
        <f>INDEX('Fuel Selector'!L$5:L$111,MATCH('TCO - Input'!$D489,'Fuel Selector'!$B$5:$B$111,0))</f>
        <v>86.233958141241004</v>
      </c>
      <c r="U489" s="18">
        <f>INDEX('Fuel Selector'!M$5:M$111,MATCH('TCO - Input'!$D489,'Fuel Selector'!$B$5:$B$111,0))</f>
        <v>68.646763647366868</v>
      </c>
      <c r="V489" s="18">
        <f>INDEX('Fuel Selector'!N$5:N$111,MATCH('TCO - Input'!$D489,'Fuel Selector'!$B$5:$B$111,0))</f>
        <v>61.899662496485625</v>
      </c>
      <c r="W489" s="18">
        <f>INDEX('Fuel Selector'!O$5:O$111,MATCH('TCO - Input'!$D489,'Fuel Selector'!$B$5:$B$111,0))</f>
        <v>54.829417671831663</v>
      </c>
      <c r="X489" s="18">
        <f>INDEX('Fuel Selector'!P$5:P$111,MATCH('TCO - Input'!$D489,'Fuel Selector'!$B$5:$B$111,0))</f>
        <v>44.791494469094033</v>
      </c>
      <c r="Y489" s="18">
        <f>INDEX('Fuel Selector'!Q$5:Q$111,MATCH('TCO - Input'!$D489,'Fuel Selector'!$B$5:$B$111,0))</f>
        <v>35.742447348879644</v>
      </c>
      <c r="Z489" s="344">
        <f t="shared" ref="Z489:AD489" si="407">Y489</f>
        <v>35.742447348879644</v>
      </c>
      <c r="AA489" s="344">
        <f t="shared" si="407"/>
        <v>35.742447348879644</v>
      </c>
      <c r="AB489" s="344">
        <f t="shared" si="407"/>
        <v>35.742447348879644</v>
      </c>
      <c r="AC489" s="344">
        <f t="shared" si="407"/>
        <v>35.742447348879644</v>
      </c>
      <c r="AD489" s="344">
        <f t="shared" si="407"/>
        <v>35.742447348879644</v>
      </c>
    </row>
    <row r="490" spans="3:30" x14ac:dyDescent="0.2">
      <c r="C490" s="48">
        <f t="shared" si="393"/>
        <v>16</v>
      </c>
      <c r="D490" s="347" t="str">
        <f t="shared" si="389"/>
        <v>e-Diesel (PS) - Europe - Fuel cost total - USD/GJ</v>
      </c>
      <c r="F490" t="str" cm="1">
        <f t="array" ref="F490">INDEX(list_ME_fuel,$C490)</f>
        <v>e-Diesel (PS)</v>
      </c>
      <c r="L490" t="str">
        <f t="shared" si="394"/>
        <v>Europe</v>
      </c>
      <c r="N490" t="str">
        <f t="shared" si="390"/>
        <v>Fuel cost total - USD/GJ</v>
      </c>
      <c r="P490" s="224"/>
      <c r="Q490" t="s">
        <v>324</v>
      </c>
      <c r="R490" s="14"/>
      <c r="S490" s="18">
        <f>INDEX('Fuel Selector'!K$5:K$111,MATCH('TCO - Input'!$D490,'Fuel Selector'!$B$5:$B$111,0))</f>
        <v>97.461124780585621</v>
      </c>
      <c r="T490" s="18">
        <f>INDEX('Fuel Selector'!L$5:L$111,MATCH('TCO - Input'!$D490,'Fuel Selector'!$B$5:$B$111,0))</f>
        <v>78.801789979856082</v>
      </c>
      <c r="U490" s="18">
        <f>INDEX('Fuel Selector'!M$5:M$111,MATCH('TCO - Input'!$D490,'Fuel Selector'!$B$5:$B$111,0))</f>
        <v>62.76261084268986</v>
      </c>
      <c r="V490" s="18">
        <f>INDEX('Fuel Selector'!N$5:N$111,MATCH('TCO - Input'!$D490,'Fuel Selector'!$B$5:$B$111,0))</f>
        <v>57.567161475997992</v>
      </c>
      <c r="W490" s="18">
        <f>INDEX('Fuel Selector'!O$5:O$111,MATCH('TCO - Input'!$D490,'Fuel Selector'!$B$5:$B$111,0))</f>
        <v>51.47142548215232</v>
      </c>
      <c r="X490" s="18">
        <f>INDEX('Fuel Selector'!P$5:P$111,MATCH('TCO - Input'!$D490,'Fuel Selector'!$B$5:$B$111,0))</f>
        <v>42.152987085193246</v>
      </c>
      <c r="Y490" s="18">
        <f>INDEX('Fuel Selector'!Q$5:Q$111,MATCH('TCO - Input'!$D490,'Fuel Selector'!$B$5:$B$111,0))</f>
        <v>33.521852794084708</v>
      </c>
      <c r="Z490" s="344">
        <f t="shared" ref="Z490:AD490" si="408">Y490</f>
        <v>33.521852794084708</v>
      </c>
      <c r="AA490" s="344">
        <f t="shared" si="408"/>
        <v>33.521852794084708</v>
      </c>
      <c r="AB490" s="344">
        <f t="shared" si="408"/>
        <v>33.521852794084708</v>
      </c>
      <c r="AC490" s="344">
        <f t="shared" si="408"/>
        <v>33.521852794084708</v>
      </c>
      <c r="AD490" s="344">
        <f t="shared" si="408"/>
        <v>33.521852794084708</v>
      </c>
    </row>
    <row r="491" spans="3:30" x14ac:dyDescent="0.2">
      <c r="C491" s="48">
        <f t="shared" si="393"/>
        <v>17</v>
      </c>
      <c r="D491" s="347" t="str">
        <f t="shared" si="389"/>
        <v>Biodiesel (HtL blend) - Europe - Fuel cost total - USD/GJ</v>
      </c>
      <c r="F491" t="str" cm="1">
        <f t="array" ref="F491">INDEX(list_ME_fuel,$C491)</f>
        <v>Biodiesel (HtL blend)</v>
      </c>
      <c r="L491" t="str">
        <f t="shared" si="394"/>
        <v>Europe</v>
      </c>
      <c r="N491" t="str">
        <f t="shared" si="390"/>
        <v>Fuel cost total - USD/GJ</v>
      </c>
      <c r="P491" s="224"/>
      <c r="Q491" t="s">
        <v>324</v>
      </c>
      <c r="R491" s="14"/>
      <c r="S491" s="18">
        <f>INDEX('Fuel Selector'!K$5:K$111,MATCH('TCO - Input'!$D491,'Fuel Selector'!$B$5:$B$111,0))</f>
        <v>39.611830557393844</v>
      </c>
      <c r="T491" s="18">
        <f>INDEX('Fuel Selector'!L$5:L$111,MATCH('TCO - Input'!$D491,'Fuel Selector'!$B$5:$B$111,0))</f>
        <v>26.417600957821556</v>
      </c>
      <c r="U491" s="18">
        <f>INDEX('Fuel Selector'!M$5:M$111,MATCH('TCO - Input'!$D491,'Fuel Selector'!$B$5:$B$111,0))</f>
        <v>15.866120516072719</v>
      </c>
      <c r="V491" s="18">
        <f>INDEX('Fuel Selector'!N$5:N$111,MATCH('TCO - Input'!$D491,'Fuel Selector'!$B$5:$B$111,0))</f>
        <v>15.510762450008697</v>
      </c>
      <c r="W491" s="18">
        <f>INDEX('Fuel Selector'!O$5:O$111,MATCH('TCO - Input'!$D491,'Fuel Selector'!$B$5:$B$111,0))</f>
        <v>15.353072751369321</v>
      </c>
      <c r="X491" s="18">
        <f>INDEX('Fuel Selector'!P$5:P$111,MATCH('TCO - Input'!$D491,'Fuel Selector'!$B$5:$B$111,0))</f>
        <v>15.209514768038431</v>
      </c>
      <c r="Y491" s="18">
        <f>INDEX('Fuel Selector'!Q$5:Q$111,MATCH('TCO - Input'!$D491,'Fuel Selector'!$B$5:$B$111,0))</f>
        <v>15.069844847555952</v>
      </c>
      <c r="Z491" s="344">
        <f t="shared" ref="Z491:AD491" si="409">Y491</f>
        <v>15.069844847555952</v>
      </c>
      <c r="AA491" s="344">
        <f t="shared" si="409"/>
        <v>15.069844847555952</v>
      </c>
      <c r="AB491" s="344">
        <f t="shared" si="409"/>
        <v>15.069844847555952</v>
      </c>
      <c r="AC491" s="344">
        <f t="shared" si="409"/>
        <v>15.069844847555952</v>
      </c>
      <c r="AD491" s="344">
        <f t="shared" si="409"/>
        <v>15.069844847555952</v>
      </c>
    </row>
    <row r="492" spans="3:30" x14ac:dyDescent="0.2">
      <c r="C492" s="48">
        <f t="shared" si="393"/>
        <v>18</v>
      </c>
      <c r="D492" s="347" t="str">
        <f t="shared" si="389"/>
        <v>Biodiesel (Pyr blend) - Europe - Fuel cost total - USD/GJ</v>
      </c>
      <c r="F492" t="str" cm="1">
        <f t="array" ref="F492">INDEX(list_ME_fuel,$C492)</f>
        <v>Biodiesel (Pyr blend)</v>
      </c>
      <c r="L492" t="str">
        <f t="shared" si="394"/>
        <v>Europe</v>
      </c>
      <c r="N492" t="str">
        <f t="shared" si="390"/>
        <v>Fuel cost total - USD/GJ</v>
      </c>
      <c r="P492" s="224"/>
      <c r="Q492" t="s">
        <v>324</v>
      </c>
      <c r="R492" s="14"/>
      <c r="S492" s="18">
        <f>INDEX('Fuel Selector'!K$5:K$111,MATCH('TCO - Input'!$D492,'Fuel Selector'!$B$5:$B$111,0))</f>
        <v>24.478480547105558</v>
      </c>
      <c r="T492" s="18">
        <f>INDEX('Fuel Selector'!L$5:L$111,MATCH('TCO - Input'!$D492,'Fuel Selector'!$B$5:$B$111,0))</f>
        <v>17.525638394759635</v>
      </c>
      <c r="U492" s="18">
        <f>INDEX('Fuel Selector'!M$5:M$111,MATCH('TCO - Input'!$D492,'Fuel Selector'!$B$5:$B$111,0))</f>
        <v>14.029776795293081</v>
      </c>
      <c r="V492" s="18">
        <f>INDEX('Fuel Selector'!N$5:N$111,MATCH('TCO - Input'!$D492,'Fuel Selector'!$B$5:$B$111,0))</f>
        <v>14.014807613109502</v>
      </c>
      <c r="W492" s="18">
        <f>INDEX('Fuel Selector'!O$5:O$111,MATCH('TCO - Input'!$D492,'Fuel Selector'!$B$5:$B$111,0))</f>
        <v>14.048077249201759</v>
      </c>
      <c r="X492" s="18">
        <f>INDEX('Fuel Selector'!P$5:P$111,MATCH('TCO - Input'!$D492,'Fuel Selector'!$B$5:$B$111,0))</f>
        <v>14.097855297626049</v>
      </c>
      <c r="Y492" s="18">
        <f>INDEX('Fuel Selector'!Q$5:Q$111,MATCH('TCO - Input'!$D492,'Fuel Selector'!$B$5:$B$111,0))</f>
        <v>14.147903384755955</v>
      </c>
      <c r="Z492" s="344">
        <f t="shared" ref="Z492:AD492" si="410">Y492</f>
        <v>14.147903384755955</v>
      </c>
      <c r="AA492" s="344">
        <f t="shared" si="410"/>
        <v>14.147903384755955</v>
      </c>
      <c r="AB492" s="344">
        <f t="shared" si="410"/>
        <v>14.147903384755955</v>
      </c>
      <c r="AC492" s="344">
        <f t="shared" si="410"/>
        <v>14.147903384755955</v>
      </c>
      <c r="AD492" s="344">
        <f t="shared" si="410"/>
        <v>14.147903384755955</v>
      </c>
    </row>
    <row r="493" spans="3:30" x14ac:dyDescent="0.2">
      <c r="C493" s="48">
        <f t="shared" si="393"/>
        <v>19</v>
      </c>
      <c r="D493" s="347" t="str">
        <f t="shared" si="389"/>
        <v>Blue hydrogen (liquid) - Europe - Fuel cost total - USD/GJ</v>
      </c>
      <c r="F493" t="str" cm="1">
        <f t="array" ref="F493">INDEX(list_ME_fuel,$C493)</f>
        <v>Blue hydrogen (liquid)</v>
      </c>
      <c r="L493" t="str">
        <f t="shared" si="394"/>
        <v>Europe</v>
      </c>
      <c r="N493" t="str">
        <f t="shared" si="390"/>
        <v>Fuel cost total - USD/GJ</v>
      </c>
      <c r="P493" s="224"/>
      <c r="Q493" t="s">
        <v>324</v>
      </c>
      <c r="R493" s="14"/>
      <c r="S493" s="18">
        <f>INDEX('Fuel Selector'!K$5:K$111,MATCH('TCO - Input'!$D493,'Fuel Selector'!$B$5:$B$111,0))</f>
        <v>91.487292016397362</v>
      </c>
      <c r="T493" s="18">
        <f>INDEX('Fuel Selector'!L$5:L$111,MATCH('TCO - Input'!$D493,'Fuel Selector'!$B$5:$B$111,0))</f>
        <v>56.640804469483228</v>
      </c>
      <c r="U493" s="18">
        <f>INDEX('Fuel Selector'!M$5:M$111,MATCH('TCO - Input'!$D493,'Fuel Selector'!$B$5:$B$111,0))</f>
        <v>48.160765707109597</v>
      </c>
      <c r="V493" s="18">
        <f>INDEX('Fuel Selector'!N$5:N$111,MATCH('TCO - Input'!$D493,'Fuel Selector'!$B$5:$B$111,0))</f>
        <v>47.045975531785963</v>
      </c>
      <c r="W493" s="18">
        <f>INDEX('Fuel Selector'!O$5:O$111,MATCH('TCO - Input'!$D493,'Fuel Selector'!$B$5:$B$111,0))</f>
        <v>46.121740557219624</v>
      </c>
      <c r="X493" s="18">
        <f>INDEX('Fuel Selector'!P$5:P$111,MATCH('TCO - Input'!$D493,'Fuel Selector'!$B$5:$B$111,0))</f>
        <v>45.243242259963225</v>
      </c>
      <c r="Y493" s="18">
        <f>INDEX('Fuel Selector'!Q$5:Q$111,MATCH('TCO - Input'!$D493,'Fuel Selector'!$B$5:$B$111,0))</f>
        <v>44.467863366465131</v>
      </c>
      <c r="Z493" s="344">
        <f t="shared" ref="Z493:AD493" si="411">Y493</f>
        <v>44.467863366465131</v>
      </c>
      <c r="AA493" s="344">
        <f t="shared" si="411"/>
        <v>44.467863366465131</v>
      </c>
      <c r="AB493" s="344">
        <f t="shared" si="411"/>
        <v>44.467863366465131</v>
      </c>
      <c r="AC493" s="344">
        <f t="shared" si="411"/>
        <v>44.467863366465131</v>
      </c>
      <c r="AD493" s="344">
        <f t="shared" si="411"/>
        <v>44.467863366465131</v>
      </c>
    </row>
    <row r="494" spans="3:30" x14ac:dyDescent="0.2">
      <c r="C494" s="48">
        <f t="shared" si="393"/>
        <v>20</v>
      </c>
      <c r="D494" s="347" t="str">
        <f>_xlfn.TEXTJOIN(keydelim,TRUE,E494:N494)</f>
        <v>e-Hydrogen (liquid) - Europe - Fuel cost total - USD/GJ</v>
      </c>
      <c r="F494" t="str" cm="1">
        <f t="array" ref="F494">INDEX(list_ME_fuel,$C494)</f>
        <v>e-Hydrogen (liquid)</v>
      </c>
      <c r="L494" t="str">
        <f>L493</f>
        <v>Europe</v>
      </c>
      <c r="N494" t="str">
        <f>"Fuel cost total"  &amp;keydelim &amp;Q494</f>
        <v>Fuel cost total - USD/GJ</v>
      </c>
      <c r="P494" s="224"/>
      <c r="Q494" t="s">
        <v>324</v>
      </c>
      <c r="R494" s="14"/>
      <c r="S494" s="18">
        <f>INDEX('Fuel Selector'!K$5:K$111,MATCH('TCO - Input'!$D494,'Fuel Selector'!$B$5:$B$111,0))</f>
        <v>66.297667324028453</v>
      </c>
      <c r="T494" s="18">
        <f>INDEX('Fuel Selector'!L$5:L$111,MATCH('TCO - Input'!$D494,'Fuel Selector'!$B$5:$B$111,0))</f>
        <v>57.863845092224544</v>
      </c>
      <c r="U494" s="18">
        <f>INDEX('Fuel Selector'!M$5:M$111,MATCH('TCO - Input'!$D494,'Fuel Selector'!$B$5:$B$111,0))</f>
        <v>50.97858778192824</v>
      </c>
      <c r="V494" s="18">
        <f>INDEX('Fuel Selector'!N$5:N$111,MATCH('TCO - Input'!$D494,'Fuel Selector'!$B$5:$B$111,0))</f>
        <v>48.323405360777812</v>
      </c>
      <c r="W494" s="18">
        <f>INDEX('Fuel Selector'!O$5:O$111,MATCH('TCO - Input'!$D494,'Fuel Selector'!$B$5:$B$111,0))</f>
        <v>45.011579018795075</v>
      </c>
      <c r="X494" s="18">
        <f>INDEX('Fuel Selector'!P$5:P$111,MATCH('TCO - Input'!$D494,'Fuel Selector'!$B$5:$B$111,0))</f>
        <v>40.783211276342939</v>
      </c>
      <c r="Y494" s="18">
        <f>INDEX('Fuel Selector'!Q$5:Q$111,MATCH('TCO - Input'!$D494,'Fuel Selector'!$B$5:$B$111,0))</f>
        <v>36.87200855116474</v>
      </c>
      <c r="Z494" s="344">
        <f t="shared" ref="Z494:AD494" si="412">Y494</f>
        <v>36.87200855116474</v>
      </c>
      <c r="AA494" s="344">
        <f t="shared" si="412"/>
        <v>36.87200855116474</v>
      </c>
      <c r="AB494" s="344">
        <f t="shared" si="412"/>
        <v>36.87200855116474</v>
      </c>
      <c r="AC494" s="344">
        <f t="shared" si="412"/>
        <v>36.87200855116474</v>
      </c>
      <c r="AD494" s="344">
        <f t="shared" si="412"/>
        <v>36.87200855116474</v>
      </c>
    </row>
    <row r="495" spans="3:30" x14ac:dyDescent="0.2">
      <c r="R495" s="14"/>
      <c r="S495" s="18"/>
      <c r="T495" s="18"/>
      <c r="U495" s="18"/>
      <c r="V495" s="18"/>
      <c r="W495" s="18"/>
      <c r="X495" s="18"/>
      <c r="Y495" s="18"/>
      <c r="Z495" s="18"/>
      <c r="AA495" s="18"/>
      <c r="AB495" s="18"/>
      <c r="AC495" s="18"/>
      <c r="AD495" s="18"/>
    </row>
    <row r="496" spans="3:30" x14ac:dyDescent="0.2">
      <c r="D496" s="347" t="str">
        <f t="shared" ref="D496:D514" si="413">_xlfn.TEXTJOIN(keydelim,TRUE,E496:N496)</f>
        <v>LSFO - Middle East - Fuel cost total - USD/GJ</v>
      </c>
      <c r="F496" t="str">
        <f t="shared" ref="F496:F515" si="414">F475</f>
        <v>LSFO</v>
      </c>
      <c r="L496" t="s">
        <v>197</v>
      </c>
      <c r="N496" t="str">
        <f t="shared" ref="N496:N514" si="415">"Fuel cost total"  &amp;keydelim &amp;Q496</f>
        <v>Fuel cost total - USD/GJ</v>
      </c>
      <c r="O496" s="224"/>
      <c r="P496" s="224" t="s">
        <v>608</v>
      </c>
      <c r="Q496" t="s">
        <v>324</v>
      </c>
      <c r="R496" s="14"/>
      <c r="S496" s="18">
        <f>INDEX('Fuel Selector'!K$5:K$111,MATCH('TCO - Input'!$D496,'Fuel Selector'!$B$5:$B$111,0))</f>
        <v>21.473621920116738</v>
      </c>
      <c r="T496" s="18">
        <f>INDEX('Fuel Selector'!L$5:L$111,MATCH('TCO - Input'!$D496,'Fuel Selector'!$B$5:$B$111,0))</f>
        <v>15.404989638344617</v>
      </c>
      <c r="U496" s="18">
        <f>INDEX('Fuel Selector'!M$5:M$111,MATCH('TCO - Input'!$D496,'Fuel Selector'!$B$5:$B$111,0))</f>
        <v>13.444354593464393</v>
      </c>
      <c r="V496" s="18">
        <f>INDEX('Fuel Selector'!N$5:N$111,MATCH('TCO - Input'!$D496,'Fuel Selector'!$B$5:$B$111,0))</f>
        <v>13.444354593464393</v>
      </c>
      <c r="W496" s="18">
        <f>INDEX('Fuel Selector'!O$5:O$111,MATCH('TCO - Input'!$D496,'Fuel Selector'!$B$5:$B$111,0))</f>
        <v>13.444354593464393</v>
      </c>
      <c r="X496" s="18">
        <f>INDEX('Fuel Selector'!P$5:P$111,MATCH('TCO - Input'!$D496,'Fuel Selector'!$B$5:$B$111,0))</f>
        <v>13.444354593464393</v>
      </c>
      <c r="Y496" s="18">
        <f>INDEX('Fuel Selector'!Q$5:Q$111,MATCH('TCO - Input'!$D496,'Fuel Selector'!$B$5:$B$111,0))</f>
        <v>13.444354593464393</v>
      </c>
      <c r="Z496" s="344">
        <f>Y496</f>
        <v>13.444354593464393</v>
      </c>
      <c r="AA496" s="344">
        <f t="shared" ref="AA496:AD496" si="416">Z496</f>
        <v>13.444354593464393</v>
      </c>
      <c r="AB496" s="344">
        <f t="shared" si="416"/>
        <v>13.444354593464393</v>
      </c>
      <c r="AC496" s="344">
        <f t="shared" si="416"/>
        <v>13.444354593464393</v>
      </c>
      <c r="AD496" s="344">
        <f t="shared" si="416"/>
        <v>13.444354593464393</v>
      </c>
    </row>
    <row r="497" spans="4:30" x14ac:dyDescent="0.2">
      <c r="D497" s="347" t="str">
        <f t="shared" si="413"/>
        <v>LNG - Middle East - Fuel cost total - USD/GJ</v>
      </c>
      <c r="F497" t="str">
        <f t="shared" si="414"/>
        <v>LNG</v>
      </c>
      <c r="L497" t="str">
        <f t="shared" ref="L497:L515" si="417">L496</f>
        <v>Middle East</v>
      </c>
      <c r="N497" t="str">
        <f t="shared" si="415"/>
        <v>Fuel cost total - USD/GJ</v>
      </c>
      <c r="O497" s="224"/>
      <c r="P497" s="224"/>
      <c r="Q497" t="s">
        <v>324</v>
      </c>
      <c r="R497" s="14"/>
      <c r="S497" s="18">
        <f>INDEX('Fuel Selector'!K$5:K$111,MATCH('TCO - Input'!$D497,'Fuel Selector'!$B$5:$B$111,0))</f>
        <v>34.785993419210058</v>
      </c>
      <c r="T497" s="18">
        <f>INDEX('Fuel Selector'!L$5:L$111,MATCH('TCO - Input'!$D497,'Fuel Selector'!$B$5:$B$111,0))</f>
        <v>16.354325129747412</v>
      </c>
      <c r="U497" s="18">
        <f>INDEX('Fuel Selector'!M$5:M$111,MATCH('TCO - Input'!$D497,'Fuel Selector'!$B$5:$B$111,0))</f>
        <v>8.2725310889390968</v>
      </c>
      <c r="V497" s="18">
        <f>INDEX('Fuel Selector'!N$5:N$111,MATCH('TCO - Input'!$D497,'Fuel Selector'!$B$5:$B$111,0))</f>
        <v>8.1299149065645349</v>
      </c>
      <c r="W497" s="18">
        <f>INDEX('Fuel Selector'!O$5:O$111,MATCH('TCO - Input'!$D497,'Fuel Selector'!$B$5:$B$111,0))</f>
        <v>8.0136540794340032</v>
      </c>
      <c r="X497" s="18">
        <f>INDEX('Fuel Selector'!P$5:P$111,MATCH('TCO - Input'!$D497,'Fuel Selector'!$B$5:$B$111,0))</f>
        <v>7.8919679740150119</v>
      </c>
      <c r="Y497" s="18">
        <f>INDEX('Fuel Selector'!Q$5:Q$111,MATCH('TCO - Input'!$D497,'Fuel Selector'!$B$5:$B$111,0))</f>
        <v>7.7893238322991651</v>
      </c>
      <c r="Z497" s="344">
        <f t="shared" ref="Z497:AD497" si="418">Y497</f>
        <v>7.7893238322991651</v>
      </c>
      <c r="AA497" s="344">
        <f t="shared" si="418"/>
        <v>7.7893238322991651</v>
      </c>
      <c r="AB497" s="344">
        <f t="shared" si="418"/>
        <v>7.7893238322991651</v>
      </c>
      <c r="AC497" s="344">
        <f t="shared" si="418"/>
        <v>7.7893238322991651</v>
      </c>
      <c r="AD497" s="344">
        <f t="shared" si="418"/>
        <v>7.7893238322991651</v>
      </c>
    </row>
    <row r="498" spans="4:30" x14ac:dyDescent="0.2">
      <c r="D498" s="347" t="str">
        <f t="shared" si="413"/>
        <v>LPG - Middle East - Fuel cost total - USD/GJ</v>
      </c>
      <c r="F498" t="str">
        <f t="shared" si="414"/>
        <v>LPG</v>
      </c>
      <c r="L498" t="str">
        <f t="shared" si="417"/>
        <v>Middle East</v>
      </c>
      <c r="N498" t="str">
        <f t="shared" si="415"/>
        <v>Fuel cost total - USD/GJ</v>
      </c>
      <c r="O498" s="224"/>
      <c r="P498" s="224"/>
      <c r="Q498" t="s">
        <v>324</v>
      </c>
      <c r="R498" s="14"/>
      <c r="S498" s="18">
        <f>INDEX('Fuel Selector'!K$5:K$111,MATCH('TCO - Input'!$D498,'Fuel Selector'!$B$5:$B$111,0))</f>
        <v>16.525069073439496</v>
      </c>
      <c r="T498" s="18">
        <f>INDEX('Fuel Selector'!L$5:L$111,MATCH('TCO - Input'!$D498,'Fuel Selector'!$B$5:$B$111,0))</f>
        <v>11.854940857032684</v>
      </c>
      <c r="U498" s="18">
        <f>INDEX('Fuel Selector'!M$5:M$111,MATCH('TCO - Input'!$D498,'Fuel Selector'!$B$5:$B$111,0))</f>
        <v>10.34613020250125</v>
      </c>
      <c r="V498" s="18">
        <f>INDEX('Fuel Selector'!N$5:N$111,MATCH('TCO - Input'!$D498,'Fuel Selector'!$B$5:$B$111,0))</f>
        <v>10.34613020250125</v>
      </c>
      <c r="W498" s="18">
        <f>INDEX('Fuel Selector'!O$5:O$111,MATCH('TCO - Input'!$D498,'Fuel Selector'!$B$5:$B$111,0))</f>
        <v>10.34613020250125</v>
      </c>
      <c r="X498" s="18">
        <f>INDEX('Fuel Selector'!P$5:P$111,MATCH('TCO - Input'!$D498,'Fuel Selector'!$B$5:$B$111,0))</f>
        <v>10.34613020250125</v>
      </c>
      <c r="Y498" s="18">
        <f>INDEX('Fuel Selector'!Q$5:Q$111,MATCH('TCO - Input'!$D498,'Fuel Selector'!$B$5:$B$111,0))</f>
        <v>10.34613020250125</v>
      </c>
      <c r="Z498" s="344">
        <f t="shared" ref="Z498:AD498" si="419">Y498</f>
        <v>10.34613020250125</v>
      </c>
      <c r="AA498" s="344">
        <f t="shared" si="419"/>
        <v>10.34613020250125</v>
      </c>
      <c r="AB498" s="344">
        <f t="shared" si="419"/>
        <v>10.34613020250125</v>
      </c>
      <c r="AC498" s="344">
        <f t="shared" si="419"/>
        <v>10.34613020250125</v>
      </c>
      <c r="AD498" s="344">
        <f t="shared" si="419"/>
        <v>10.34613020250125</v>
      </c>
    </row>
    <row r="499" spans="4:30" x14ac:dyDescent="0.2">
      <c r="D499" s="347" t="str">
        <f t="shared" si="413"/>
        <v>Electricity - Middle East - Fuel cost total - USD/GJ</v>
      </c>
      <c r="F499" t="str">
        <f t="shared" si="414"/>
        <v>Electricity</v>
      </c>
      <c r="L499" t="str">
        <f t="shared" si="417"/>
        <v>Middle East</v>
      </c>
      <c r="N499" t="str">
        <f t="shared" si="415"/>
        <v>Fuel cost total - USD/GJ</v>
      </c>
      <c r="O499" s="224"/>
      <c r="P499" s="224"/>
      <c r="Q499" t="s">
        <v>324</v>
      </c>
      <c r="R499" s="14"/>
      <c r="S499" s="18">
        <f>INDEX('Fuel Selector'!K$5:K$111,MATCH('TCO - Input'!$D499,'Fuel Selector'!$B$5:$B$111,0))</f>
        <v>30.427374804361712</v>
      </c>
      <c r="T499" s="18">
        <f>INDEX('Fuel Selector'!L$5:L$111,MATCH('TCO - Input'!$D499,'Fuel Selector'!$B$5:$B$111,0))</f>
        <v>28.158466786681089</v>
      </c>
      <c r="U499" s="18">
        <f>INDEX('Fuel Selector'!M$5:M$111,MATCH('TCO - Input'!$D499,'Fuel Selector'!$B$5:$B$111,0))</f>
        <v>26.656241785963878</v>
      </c>
      <c r="V499" s="18">
        <f>INDEX('Fuel Selector'!N$5:N$111,MATCH('TCO - Input'!$D499,'Fuel Selector'!$B$5:$B$111,0))</f>
        <v>25.59700005018794</v>
      </c>
      <c r="W499" s="18">
        <f>INDEX('Fuel Selector'!O$5:O$111,MATCH('TCO - Input'!$D499,'Fuel Selector'!$B$5:$B$111,0))</f>
        <v>25.065907381823287</v>
      </c>
      <c r="X499" s="18">
        <f>INDEX('Fuel Selector'!P$5:P$111,MATCH('TCO - Input'!$D499,'Fuel Selector'!$B$5:$B$111,0))</f>
        <v>24.369434550509567</v>
      </c>
      <c r="Y499" s="18">
        <f>INDEX('Fuel Selector'!Q$5:Q$111,MATCH('TCO - Input'!$D499,'Fuel Selector'!$B$5:$B$111,0))</f>
        <v>24.043463416956044</v>
      </c>
      <c r="Z499" s="344">
        <f t="shared" ref="Z499:AD499" si="420">Y499</f>
        <v>24.043463416956044</v>
      </c>
      <c r="AA499" s="344">
        <f t="shared" si="420"/>
        <v>24.043463416956044</v>
      </c>
      <c r="AB499" s="344">
        <f t="shared" si="420"/>
        <v>24.043463416956044</v>
      </c>
      <c r="AC499" s="344">
        <f t="shared" si="420"/>
        <v>24.043463416956044</v>
      </c>
      <c r="AD499" s="344">
        <f t="shared" si="420"/>
        <v>24.043463416956044</v>
      </c>
    </row>
    <row r="500" spans="4:30" x14ac:dyDescent="0.2">
      <c r="D500" s="347" t="str">
        <f t="shared" si="413"/>
        <v>e-Ammonia - Middle East - Fuel cost total - USD/GJ</v>
      </c>
      <c r="F500" t="str">
        <f t="shared" si="414"/>
        <v>e-Ammonia</v>
      </c>
      <c r="L500" t="str">
        <f t="shared" si="417"/>
        <v>Middle East</v>
      </c>
      <c r="N500" t="str">
        <f t="shared" si="415"/>
        <v>Fuel cost total - USD/GJ</v>
      </c>
      <c r="O500" s="383"/>
      <c r="P500" s="224"/>
      <c r="Q500" t="s">
        <v>324</v>
      </c>
      <c r="R500" s="14"/>
      <c r="S500" s="18">
        <f>INDEX('Fuel Selector'!K$5:K$111,MATCH('TCO - Input'!$D500,'Fuel Selector'!$B$5:$B$111,0))</f>
        <v>63.420944816836133</v>
      </c>
      <c r="T500" s="18">
        <f>INDEX('Fuel Selector'!L$5:L$111,MATCH('TCO - Input'!$D500,'Fuel Selector'!$B$5:$B$111,0))</f>
        <v>47.415977277121719</v>
      </c>
      <c r="U500" s="18">
        <f>INDEX('Fuel Selector'!M$5:M$111,MATCH('TCO - Input'!$D500,'Fuel Selector'!$B$5:$B$111,0))</f>
        <v>33.418612575251942</v>
      </c>
      <c r="V500" s="18">
        <f>INDEX('Fuel Selector'!N$5:N$111,MATCH('TCO - Input'!$D500,'Fuel Selector'!$B$5:$B$111,0))</f>
        <v>30.39300402857479</v>
      </c>
      <c r="W500" s="18">
        <f>INDEX('Fuel Selector'!O$5:O$111,MATCH('TCO - Input'!$D500,'Fuel Selector'!$B$5:$B$111,0))</f>
        <v>26.840720999309944</v>
      </c>
      <c r="X500" s="18">
        <f>INDEX('Fuel Selector'!P$5:P$111,MATCH('TCO - Input'!$D500,'Fuel Selector'!$B$5:$B$111,0))</f>
        <v>22.127086916386656</v>
      </c>
      <c r="Y500" s="18">
        <f>INDEX('Fuel Selector'!Q$5:Q$111,MATCH('TCO - Input'!$D500,'Fuel Selector'!$B$5:$B$111,0))</f>
        <v>18.011953423638015</v>
      </c>
      <c r="Z500" s="344">
        <f t="shared" ref="Z500:AD500" si="421">Y500</f>
        <v>18.011953423638015</v>
      </c>
      <c r="AA500" s="344">
        <f t="shared" si="421"/>
        <v>18.011953423638015</v>
      </c>
      <c r="AB500" s="344">
        <f t="shared" si="421"/>
        <v>18.011953423638015</v>
      </c>
      <c r="AC500" s="344">
        <f t="shared" si="421"/>
        <v>18.011953423638015</v>
      </c>
      <c r="AD500" s="344">
        <f t="shared" si="421"/>
        <v>18.011953423638015</v>
      </c>
    </row>
    <row r="501" spans="4:30" x14ac:dyDescent="0.2">
      <c r="D501" s="347" t="str">
        <f t="shared" si="413"/>
        <v>Blue ammonia - Middle East - Fuel cost total - USD/GJ</v>
      </c>
      <c r="F501" t="str">
        <f t="shared" si="414"/>
        <v>Blue ammonia</v>
      </c>
      <c r="L501" t="str">
        <f t="shared" si="417"/>
        <v>Middle East</v>
      </c>
      <c r="N501" t="str">
        <f t="shared" si="415"/>
        <v>Fuel cost total - USD/GJ</v>
      </c>
      <c r="O501" s="383"/>
      <c r="P501" s="224"/>
      <c r="Q501" t="s">
        <v>324</v>
      </c>
      <c r="R501" s="14"/>
      <c r="S501" s="18">
        <f>INDEX('Fuel Selector'!K$5:K$111,MATCH('TCO - Input'!$D501,'Fuel Selector'!$B$5:$B$111,0))</f>
        <v>67.605552898945461</v>
      </c>
      <c r="T501" s="18">
        <f>INDEX('Fuel Selector'!L$5:L$111,MATCH('TCO - Input'!$D501,'Fuel Selector'!$B$5:$B$111,0))</f>
        <v>36.256954382734868</v>
      </c>
      <c r="U501" s="18">
        <f>INDEX('Fuel Selector'!M$5:M$111,MATCH('TCO - Input'!$D501,'Fuel Selector'!$B$5:$B$111,0))</f>
        <v>21.786374217744068</v>
      </c>
      <c r="V501" s="18">
        <f>INDEX('Fuel Selector'!N$5:N$111,MATCH('TCO - Input'!$D501,'Fuel Selector'!$B$5:$B$111,0))</f>
        <v>21.347688636608694</v>
      </c>
      <c r="W501" s="18">
        <f>INDEX('Fuel Selector'!O$5:O$111,MATCH('TCO - Input'!$D501,'Fuel Selector'!$B$5:$B$111,0))</f>
        <v>20.927571362116542</v>
      </c>
      <c r="X501" s="18">
        <f>INDEX('Fuel Selector'!P$5:P$111,MATCH('TCO - Input'!$D501,'Fuel Selector'!$B$5:$B$111,0))</f>
        <v>20.501639764040718</v>
      </c>
      <c r="Y501" s="18">
        <f>INDEX('Fuel Selector'!Q$5:Q$111,MATCH('TCO - Input'!$D501,'Fuel Selector'!$B$5:$B$111,0))</f>
        <v>20.088734013325684</v>
      </c>
      <c r="Z501" s="344">
        <f t="shared" ref="Z501:AD501" si="422">Y501</f>
        <v>20.088734013325684</v>
      </c>
      <c r="AA501" s="344">
        <f t="shared" si="422"/>
        <v>20.088734013325684</v>
      </c>
      <c r="AB501" s="344">
        <f t="shared" si="422"/>
        <v>20.088734013325684</v>
      </c>
      <c r="AC501" s="344">
        <f t="shared" si="422"/>
        <v>20.088734013325684</v>
      </c>
      <c r="AD501" s="344">
        <f t="shared" si="422"/>
        <v>20.088734013325684</v>
      </c>
    </row>
    <row r="502" spans="4:30" x14ac:dyDescent="0.2">
      <c r="D502" s="347" t="str">
        <f t="shared" si="413"/>
        <v>Biomethane - Middle East - Fuel cost total - USD/GJ</v>
      </c>
      <c r="F502" t="str">
        <f t="shared" si="414"/>
        <v>Biomethane</v>
      </c>
      <c r="L502" t="str">
        <f t="shared" si="417"/>
        <v>Middle East</v>
      </c>
      <c r="N502" t="str">
        <f t="shared" si="415"/>
        <v>Fuel cost total - USD/GJ</v>
      </c>
      <c r="P502" s="224"/>
      <c r="Q502" t="s">
        <v>324</v>
      </c>
      <c r="R502" s="389"/>
      <c r="S502" s="18">
        <f>INDEX('Fuel Selector'!K$5:K$111,MATCH('TCO - Input'!$D502,'Fuel Selector'!$B$5:$B$111,0))</f>
        <v>25.693394771866249</v>
      </c>
      <c r="T502" s="18">
        <f>INDEX('Fuel Selector'!L$5:L$111,MATCH('TCO - Input'!$D502,'Fuel Selector'!$B$5:$B$111,0))</f>
        <v>23.695749043223795</v>
      </c>
      <c r="U502" s="18">
        <f>INDEX('Fuel Selector'!M$5:M$111,MATCH('TCO - Input'!$D502,'Fuel Selector'!$B$5:$B$111,0))</f>
        <v>22.135260833155758</v>
      </c>
      <c r="V502" s="18">
        <f>INDEX('Fuel Selector'!N$5:N$111,MATCH('TCO - Input'!$D502,'Fuel Selector'!$B$5:$B$111,0))</f>
        <v>20.801886900799307</v>
      </c>
      <c r="W502" s="18">
        <f>INDEX('Fuel Selector'!O$5:O$111,MATCH('TCO - Input'!$D502,'Fuel Selector'!$B$5:$B$111,0))</f>
        <v>19.514231605525833</v>
      </c>
      <c r="X502" s="18">
        <f>INDEX('Fuel Selector'!P$5:P$111,MATCH('TCO - Input'!$D502,'Fuel Selector'!$B$5:$B$111,0))</f>
        <v>18.210865758208175</v>
      </c>
      <c r="Y502" s="18">
        <f>INDEX('Fuel Selector'!Q$5:Q$111,MATCH('TCO - Input'!$D502,'Fuel Selector'!$B$5:$B$111,0))</f>
        <v>16.940187215302046</v>
      </c>
      <c r="Z502" s="344">
        <f t="shared" ref="Z502:AD502" si="423">Y502</f>
        <v>16.940187215302046</v>
      </c>
      <c r="AA502" s="344">
        <f t="shared" si="423"/>
        <v>16.940187215302046</v>
      </c>
      <c r="AB502" s="344">
        <f t="shared" si="423"/>
        <v>16.940187215302046</v>
      </c>
      <c r="AC502" s="344">
        <f t="shared" si="423"/>
        <v>16.940187215302046</v>
      </c>
      <c r="AD502" s="344">
        <f t="shared" si="423"/>
        <v>16.940187215302046</v>
      </c>
    </row>
    <row r="503" spans="4:30" x14ac:dyDescent="0.2">
      <c r="D503" s="347" t="str">
        <f t="shared" si="413"/>
        <v>e-Methane (DAC) - Middle East - Fuel cost total - USD/GJ</v>
      </c>
      <c r="F503" t="str">
        <f t="shared" si="414"/>
        <v>e-Methane (DAC)</v>
      </c>
      <c r="L503" t="str">
        <f t="shared" si="417"/>
        <v>Middle East</v>
      </c>
      <c r="N503" t="str">
        <f t="shared" si="415"/>
        <v>Fuel cost total - USD/GJ</v>
      </c>
      <c r="O503" s="383"/>
      <c r="P503" s="224"/>
      <c r="Q503" t="s">
        <v>324</v>
      </c>
      <c r="R503" s="14"/>
      <c r="S503" s="18">
        <f>INDEX('Fuel Selector'!K$5:K$111,MATCH('TCO - Input'!$D503,'Fuel Selector'!$B$5:$B$111,0))</f>
        <v>67.342516333113778</v>
      </c>
      <c r="T503" s="18">
        <f>INDEX('Fuel Selector'!L$5:L$111,MATCH('TCO - Input'!$D503,'Fuel Selector'!$B$5:$B$111,0))</f>
        <v>55.05974444697241</v>
      </c>
      <c r="U503" s="18">
        <f>INDEX('Fuel Selector'!M$5:M$111,MATCH('TCO - Input'!$D503,'Fuel Selector'!$B$5:$B$111,0))</f>
        <v>46.242980021982248</v>
      </c>
      <c r="V503" s="18">
        <f>INDEX('Fuel Selector'!N$5:N$111,MATCH('TCO - Input'!$D503,'Fuel Selector'!$B$5:$B$111,0))</f>
        <v>41.289691737784047</v>
      </c>
      <c r="W503" s="18">
        <f>INDEX('Fuel Selector'!O$5:O$111,MATCH('TCO - Input'!$D503,'Fuel Selector'!$B$5:$B$111,0))</f>
        <v>36.267153618208397</v>
      </c>
      <c r="X503" s="18">
        <f>INDEX('Fuel Selector'!P$5:P$111,MATCH('TCO - Input'!$D503,'Fuel Selector'!$B$5:$B$111,0))</f>
        <v>29.908398723788032</v>
      </c>
      <c r="Y503" s="18">
        <f>INDEX('Fuel Selector'!Q$5:Q$111,MATCH('TCO - Input'!$D503,'Fuel Selector'!$B$5:$B$111,0))</f>
        <v>24.469747953541145</v>
      </c>
      <c r="Z503" s="344">
        <f t="shared" ref="Z503:AD503" si="424">Y503</f>
        <v>24.469747953541145</v>
      </c>
      <c r="AA503" s="344">
        <f t="shared" si="424"/>
        <v>24.469747953541145</v>
      </c>
      <c r="AB503" s="344">
        <f t="shared" si="424"/>
        <v>24.469747953541145</v>
      </c>
      <c r="AC503" s="344">
        <f t="shared" si="424"/>
        <v>24.469747953541145</v>
      </c>
      <c r="AD503" s="344">
        <f t="shared" si="424"/>
        <v>24.469747953541145</v>
      </c>
    </row>
    <row r="504" spans="4:30" x14ac:dyDescent="0.2">
      <c r="D504" s="347" t="str">
        <f t="shared" si="413"/>
        <v>e-Methane (PS) - Middle East - Fuel cost total - USD/GJ</v>
      </c>
      <c r="F504" t="str">
        <f t="shared" si="414"/>
        <v>e-Methane (PS)</v>
      </c>
      <c r="L504" t="str">
        <f t="shared" si="417"/>
        <v>Middle East</v>
      </c>
      <c r="N504" t="str">
        <f t="shared" si="415"/>
        <v>Fuel cost total - USD/GJ</v>
      </c>
      <c r="O504" s="383"/>
      <c r="P504" s="224"/>
      <c r="Q504" t="s">
        <v>324</v>
      </c>
      <c r="R504" s="14"/>
      <c r="S504" s="18">
        <f>INDEX('Fuel Selector'!K$5:K$111,MATCH('TCO - Input'!$D504,'Fuel Selector'!$B$5:$B$111,0))</f>
        <v>62.33226498142588</v>
      </c>
      <c r="T504" s="18">
        <f>INDEX('Fuel Selector'!L$5:L$111,MATCH('TCO - Input'!$D504,'Fuel Selector'!$B$5:$B$111,0))</f>
        <v>51.400311959050725</v>
      </c>
      <c r="U504" s="18">
        <f>INDEX('Fuel Selector'!M$5:M$111,MATCH('TCO - Input'!$D504,'Fuel Selector'!$B$5:$B$111,0))</f>
        <v>43.163476425962962</v>
      </c>
      <c r="V504" s="18">
        <f>INDEX('Fuel Selector'!N$5:N$111,MATCH('TCO - Input'!$D504,'Fuel Selector'!$B$5:$B$111,0))</f>
        <v>39.22009614488794</v>
      </c>
      <c r="W504" s="18">
        <f>INDEX('Fuel Selector'!O$5:O$111,MATCH('TCO - Input'!$D504,'Fuel Selector'!$B$5:$B$111,0))</f>
        <v>34.76828998740212</v>
      </c>
      <c r="X504" s="18">
        <f>INDEX('Fuel Selector'!P$5:P$111,MATCH('TCO - Input'!$D504,'Fuel Selector'!$B$5:$B$111,0))</f>
        <v>28.857520903852841</v>
      </c>
      <c r="Y504" s="18">
        <f>INDEX('Fuel Selector'!Q$5:Q$111,MATCH('TCO - Input'!$D504,'Fuel Selector'!$B$5:$B$111,0))</f>
        <v>23.601606067407278</v>
      </c>
      <c r="Z504" s="344">
        <f t="shared" ref="Z504:AD504" si="425">Y504</f>
        <v>23.601606067407278</v>
      </c>
      <c r="AA504" s="344">
        <f t="shared" si="425"/>
        <v>23.601606067407278</v>
      </c>
      <c r="AB504" s="344">
        <f t="shared" si="425"/>
        <v>23.601606067407278</v>
      </c>
      <c r="AC504" s="344">
        <f t="shared" si="425"/>
        <v>23.601606067407278</v>
      </c>
      <c r="AD504" s="344">
        <f t="shared" si="425"/>
        <v>23.601606067407278</v>
      </c>
    </row>
    <row r="505" spans="4:30" x14ac:dyDescent="0.2">
      <c r="D505" s="347" t="str">
        <f t="shared" si="413"/>
        <v>Biomethanol - Middle East - Fuel cost total - USD/GJ</v>
      </c>
      <c r="F505" t="str">
        <f t="shared" si="414"/>
        <v>Biomethanol</v>
      </c>
      <c r="L505" t="str">
        <f t="shared" si="417"/>
        <v>Middle East</v>
      </c>
      <c r="N505" t="str">
        <f t="shared" si="415"/>
        <v>Fuel cost total - USD/GJ</v>
      </c>
      <c r="P505" s="224"/>
      <c r="Q505" t="s">
        <v>324</v>
      </c>
      <c r="R505" s="14"/>
      <c r="S505" s="18">
        <f>INDEX('Fuel Selector'!K$5:K$111,MATCH('TCO - Input'!$D505,'Fuel Selector'!$B$5:$B$111,0))</f>
        <v>52.072091765155278</v>
      </c>
      <c r="T505" s="18">
        <f>INDEX('Fuel Selector'!L$5:L$111,MATCH('TCO - Input'!$D505,'Fuel Selector'!$B$5:$B$111,0))</f>
        <v>37.191448985816812</v>
      </c>
      <c r="U505" s="18">
        <f>INDEX('Fuel Selector'!M$5:M$111,MATCH('TCO - Input'!$D505,'Fuel Selector'!$B$5:$B$111,0))</f>
        <v>31.6988782740282</v>
      </c>
      <c r="V505" s="18">
        <f>INDEX('Fuel Selector'!N$5:N$111,MATCH('TCO - Input'!$D505,'Fuel Selector'!$B$5:$B$111,0))</f>
        <v>29.417023427636746</v>
      </c>
      <c r="W505" s="18">
        <f>INDEX('Fuel Selector'!O$5:O$111,MATCH('TCO - Input'!$D505,'Fuel Selector'!$B$5:$B$111,0))</f>
        <v>27.246400606237124</v>
      </c>
      <c r="X505" s="18">
        <f>INDEX('Fuel Selector'!P$5:P$111,MATCH('TCO - Input'!$D505,'Fuel Selector'!$B$5:$B$111,0))</f>
        <v>25.931486438316433</v>
      </c>
      <c r="Y505" s="18">
        <f>INDEX('Fuel Selector'!Q$5:Q$111,MATCH('TCO - Input'!$D505,'Fuel Selector'!$B$5:$B$111,0))</f>
        <v>24.651703751155662</v>
      </c>
      <c r="Z505" s="344">
        <f t="shared" ref="Z505:AD505" si="426">Y505</f>
        <v>24.651703751155662</v>
      </c>
      <c r="AA505" s="344">
        <f t="shared" si="426"/>
        <v>24.651703751155662</v>
      </c>
      <c r="AB505" s="344">
        <f t="shared" si="426"/>
        <v>24.651703751155662</v>
      </c>
      <c r="AC505" s="344">
        <f t="shared" si="426"/>
        <v>24.651703751155662</v>
      </c>
      <c r="AD505" s="344">
        <f t="shared" si="426"/>
        <v>24.651703751155662</v>
      </c>
    </row>
    <row r="506" spans="4:30" x14ac:dyDescent="0.2">
      <c r="D506" s="347" t="str">
        <f t="shared" si="413"/>
        <v>e-Methanol (DAC) - Middle East - Fuel cost total - USD/GJ</v>
      </c>
      <c r="F506" t="str">
        <f t="shared" si="414"/>
        <v>e-Methanol (DAC)</v>
      </c>
      <c r="L506" t="str">
        <f t="shared" si="417"/>
        <v>Middle East</v>
      </c>
      <c r="N506" t="str">
        <f t="shared" si="415"/>
        <v>Fuel cost total - USD/GJ</v>
      </c>
      <c r="P506" s="224"/>
      <c r="Q506" t="s">
        <v>324</v>
      </c>
      <c r="R506" s="14"/>
      <c r="S506" s="18">
        <f>INDEX('Fuel Selector'!K$5:K$111,MATCH('TCO - Input'!$D506,'Fuel Selector'!$B$5:$B$111,0))</f>
        <v>83.433511058982958</v>
      </c>
      <c r="T506" s="18">
        <f>INDEX('Fuel Selector'!L$5:L$111,MATCH('TCO - Input'!$D506,'Fuel Selector'!$B$5:$B$111,0))</f>
        <v>67.240635518250514</v>
      </c>
      <c r="U506" s="18">
        <f>INDEX('Fuel Selector'!M$5:M$111,MATCH('TCO - Input'!$D506,'Fuel Selector'!$B$5:$B$111,0))</f>
        <v>54.264781569575746</v>
      </c>
      <c r="V506" s="18">
        <f>INDEX('Fuel Selector'!N$5:N$111,MATCH('TCO - Input'!$D506,'Fuel Selector'!$B$5:$B$111,0))</f>
        <v>47.74429519983142</v>
      </c>
      <c r="W506" s="18">
        <f>INDEX('Fuel Selector'!O$5:O$111,MATCH('TCO - Input'!$D506,'Fuel Selector'!$B$5:$B$111,0))</f>
        <v>41.432543032199064</v>
      </c>
      <c r="X506" s="18">
        <f>INDEX('Fuel Selector'!P$5:P$111,MATCH('TCO - Input'!$D506,'Fuel Selector'!$B$5:$B$111,0))</f>
        <v>33.585275692369393</v>
      </c>
      <c r="Y506" s="18">
        <f>INDEX('Fuel Selector'!Q$5:Q$111,MATCH('TCO - Input'!$D506,'Fuel Selector'!$B$5:$B$111,0))</f>
        <v>26.789478941216895</v>
      </c>
      <c r="Z506" s="344">
        <f t="shared" ref="Z506:AD506" si="427">Y506</f>
        <v>26.789478941216895</v>
      </c>
      <c r="AA506" s="344">
        <f t="shared" si="427"/>
        <v>26.789478941216895</v>
      </c>
      <c r="AB506" s="344">
        <f t="shared" si="427"/>
        <v>26.789478941216895</v>
      </c>
      <c r="AC506" s="344">
        <f t="shared" si="427"/>
        <v>26.789478941216895</v>
      </c>
      <c r="AD506" s="344">
        <f t="shared" si="427"/>
        <v>26.789478941216895</v>
      </c>
    </row>
    <row r="507" spans="4:30" x14ac:dyDescent="0.2">
      <c r="D507" s="347" t="str">
        <f t="shared" si="413"/>
        <v>e-Methanol (PS) - Middle East - Fuel cost total - USD/GJ</v>
      </c>
      <c r="F507" t="str">
        <f t="shared" si="414"/>
        <v>e-Methanol (PS)</v>
      </c>
      <c r="L507" t="str">
        <f t="shared" si="417"/>
        <v>Middle East</v>
      </c>
      <c r="N507" t="str">
        <f t="shared" si="415"/>
        <v>Fuel cost total - USD/GJ</v>
      </c>
      <c r="P507" s="224"/>
      <c r="Q507" t="s">
        <v>324</v>
      </c>
      <c r="R507" s="14"/>
      <c r="S507" s="18">
        <f>INDEX('Fuel Selector'!K$5:K$111,MATCH('TCO - Input'!$D507,'Fuel Selector'!$B$5:$B$111,0))</f>
        <v>77.130975020089195</v>
      </c>
      <c r="T507" s="18">
        <f>INDEX('Fuel Selector'!L$5:L$111,MATCH('TCO - Input'!$D507,'Fuel Selector'!$B$5:$B$111,0))</f>
        <v>62.637332506465441</v>
      </c>
      <c r="U507" s="18">
        <f>INDEX('Fuel Selector'!M$5:M$111,MATCH('TCO - Input'!$D507,'Fuel Selector'!$B$5:$B$111,0))</f>
        <v>50.390987415660504</v>
      </c>
      <c r="V507" s="18">
        <f>INDEX('Fuel Selector'!N$5:N$111,MATCH('TCO - Input'!$D507,'Fuel Selector'!$B$5:$B$111,0))</f>
        <v>45.1408927166867</v>
      </c>
      <c r="W507" s="18">
        <f>INDEX('Fuel Selector'!O$5:O$111,MATCH('TCO - Input'!$D507,'Fuel Selector'!$B$5:$B$111,0))</f>
        <v>39.547080330340549</v>
      </c>
      <c r="X507" s="18">
        <f>INDEX('Fuel Selector'!P$5:P$111,MATCH('TCO - Input'!$D507,'Fuel Selector'!$B$5:$B$111,0))</f>
        <v>32.263346937161458</v>
      </c>
      <c r="Y507" s="18">
        <f>INDEX('Fuel Selector'!Q$5:Q$111,MATCH('TCO - Input'!$D507,'Fuel Selector'!$B$5:$B$111,0))</f>
        <v>25.697418854772604</v>
      </c>
      <c r="Z507" s="344">
        <f t="shared" ref="Z507:AD507" si="428">Y507</f>
        <v>25.697418854772604</v>
      </c>
      <c r="AA507" s="344">
        <f t="shared" si="428"/>
        <v>25.697418854772604</v>
      </c>
      <c r="AB507" s="344">
        <f t="shared" si="428"/>
        <v>25.697418854772604</v>
      </c>
      <c r="AC507" s="344">
        <f t="shared" si="428"/>
        <v>25.697418854772604</v>
      </c>
      <c r="AD507" s="344">
        <f t="shared" si="428"/>
        <v>25.697418854772604</v>
      </c>
    </row>
    <row r="508" spans="4:30" x14ac:dyDescent="0.2">
      <c r="D508" s="347" t="str">
        <f t="shared" si="413"/>
        <v>Biodiesel (HtL) - Middle East - Fuel cost total - USD/GJ</v>
      </c>
      <c r="F508" t="str">
        <f t="shared" si="414"/>
        <v>Biodiesel (HtL)</v>
      </c>
      <c r="L508" t="str">
        <f t="shared" si="417"/>
        <v>Middle East</v>
      </c>
      <c r="N508" t="str">
        <f t="shared" si="415"/>
        <v>Fuel cost total - USD/GJ</v>
      </c>
      <c r="P508" s="224"/>
      <c r="Q508" t="s">
        <v>324</v>
      </c>
      <c r="R508" s="14"/>
      <c r="S508" s="18">
        <f>INDEX('Fuel Selector'!K$5:K$111,MATCH('TCO - Input'!$D508,'Fuel Selector'!$B$5:$B$111,0))</f>
        <v>159.62011284018877</v>
      </c>
      <c r="T508" s="18">
        <f>INDEX('Fuel Selector'!L$5:L$111,MATCH('TCO - Input'!$D508,'Fuel Selector'!$B$5:$B$111,0))</f>
        <v>52.465487327591056</v>
      </c>
      <c r="U508" s="18">
        <f>INDEX('Fuel Selector'!M$5:M$111,MATCH('TCO - Input'!$D508,'Fuel Selector'!$B$5:$B$111,0))</f>
        <v>23.238795846802795</v>
      </c>
      <c r="V508" s="18">
        <f>INDEX('Fuel Selector'!N$5:N$111,MATCH('TCO - Input'!$D508,'Fuel Selector'!$B$5:$B$111,0))</f>
        <v>22.840206206896234</v>
      </c>
      <c r="W508" s="18">
        <f>INDEX('Fuel Selector'!O$5:O$111,MATCH('TCO - Input'!$D508,'Fuel Selector'!$B$5:$B$111,0))</f>
        <v>22.518476591304513</v>
      </c>
      <c r="X508" s="18">
        <f>INDEX('Fuel Selector'!P$5:P$111,MATCH('TCO - Input'!$D508,'Fuel Selector'!$B$5:$B$111,0))</f>
        <v>22.079448747807206</v>
      </c>
      <c r="Y508" s="18">
        <f>INDEX('Fuel Selector'!Q$5:Q$111,MATCH('TCO - Input'!$D508,'Fuel Selector'!$B$5:$B$111,0))</f>
        <v>21.4057634503354</v>
      </c>
      <c r="Z508" s="344">
        <f t="shared" ref="Z508:AD508" si="429">Y508</f>
        <v>21.4057634503354</v>
      </c>
      <c r="AA508" s="344">
        <f t="shared" si="429"/>
        <v>21.4057634503354</v>
      </c>
      <c r="AB508" s="344">
        <f t="shared" si="429"/>
        <v>21.4057634503354</v>
      </c>
      <c r="AC508" s="344">
        <f t="shared" si="429"/>
        <v>21.4057634503354</v>
      </c>
      <c r="AD508" s="344">
        <f t="shared" si="429"/>
        <v>21.4057634503354</v>
      </c>
    </row>
    <row r="509" spans="4:30" x14ac:dyDescent="0.2">
      <c r="D509" s="347" t="str">
        <f t="shared" si="413"/>
        <v>Biodiesel (Pyr) - Middle East - Fuel cost total - USD/GJ</v>
      </c>
      <c r="F509" t="str">
        <f t="shared" si="414"/>
        <v>Biodiesel (Pyr)</v>
      </c>
      <c r="L509" t="str">
        <f t="shared" si="417"/>
        <v>Middle East</v>
      </c>
      <c r="N509" t="str">
        <f t="shared" si="415"/>
        <v>Fuel cost total - USD/GJ</v>
      </c>
      <c r="P509" s="224"/>
      <c r="Q509" t="s">
        <v>324</v>
      </c>
      <c r="R509" s="14"/>
      <c r="S509" s="18">
        <f>INDEX('Fuel Selector'!K$5:K$111,MATCH('TCO - Input'!$D509,'Fuel Selector'!$B$5:$B$111,0))</f>
        <v>62.837555768224767</v>
      </c>
      <c r="T509" s="18">
        <f>INDEX('Fuel Selector'!L$5:L$111,MATCH('TCO - Input'!$D509,'Fuel Selector'!$B$5:$B$111,0))</f>
        <v>39.907498899732481</v>
      </c>
      <c r="U509" s="18">
        <f>INDEX('Fuel Selector'!M$5:M$111,MATCH('TCO - Input'!$D509,'Fuel Selector'!$B$5:$B$111,0))</f>
        <v>22.43592395679649</v>
      </c>
      <c r="V509" s="18">
        <f>INDEX('Fuel Selector'!N$5:N$111,MATCH('TCO - Input'!$D509,'Fuel Selector'!$B$5:$B$111,0))</f>
        <v>22.877054059537635</v>
      </c>
      <c r="W509" s="18">
        <f>INDEX('Fuel Selector'!O$5:O$111,MATCH('TCO - Input'!$D509,'Fuel Selector'!$B$5:$B$111,0))</f>
        <v>23.078872503948663</v>
      </c>
      <c r="X509" s="18">
        <f>INDEX('Fuel Selector'!P$5:P$111,MATCH('TCO - Input'!$D509,'Fuel Selector'!$B$5:$B$111,0))</f>
        <v>23.011345657902421</v>
      </c>
      <c r="Y509" s="18">
        <f>INDEX('Fuel Selector'!Q$5:Q$111,MATCH('TCO - Input'!$D509,'Fuel Selector'!$B$5:$B$111,0))</f>
        <v>22.422189085947643</v>
      </c>
      <c r="Z509" s="344">
        <f t="shared" ref="Z509:AD509" si="430">Y509</f>
        <v>22.422189085947643</v>
      </c>
      <c r="AA509" s="344">
        <f t="shared" si="430"/>
        <v>22.422189085947643</v>
      </c>
      <c r="AB509" s="344">
        <f t="shared" si="430"/>
        <v>22.422189085947643</v>
      </c>
      <c r="AC509" s="344">
        <f t="shared" si="430"/>
        <v>22.422189085947643</v>
      </c>
      <c r="AD509" s="344">
        <f t="shared" si="430"/>
        <v>22.422189085947643</v>
      </c>
    </row>
    <row r="510" spans="4:30" x14ac:dyDescent="0.2">
      <c r="D510" s="347" t="str">
        <f t="shared" si="413"/>
        <v>e-Diesel (DAC) - Middle East - Fuel cost total - USD/GJ</v>
      </c>
      <c r="F510" t="str">
        <f t="shared" si="414"/>
        <v>e-Diesel (DAC)</v>
      </c>
      <c r="L510" t="str">
        <f t="shared" si="417"/>
        <v>Middle East</v>
      </c>
      <c r="N510" t="str">
        <f t="shared" si="415"/>
        <v>Fuel cost total - USD/GJ</v>
      </c>
      <c r="P510" s="224"/>
      <c r="Q510" t="s">
        <v>324</v>
      </c>
      <c r="R510" s="14"/>
      <c r="S510" s="18">
        <f>INDEX('Fuel Selector'!K$5:K$111,MATCH('TCO - Input'!$D510,'Fuel Selector'!$B$5:$B$111,0))</f>
        <v>96.739244186967753</v>
      </c>
      <c r="T510" s="18">
        <f>INDEX('Fuel Selector'!L$5:L$111,MATCH('TCO - Input'!$D510,'Fuel Selector'!$B$5:$B$111,0))</f>
        <v>77.560882275542838</v>
      </c>
      <c r="U510" s="18">
        <f>INDEX('Fuel Selector'!M$5:M$111,MATCH('TCO - Input'!$D510,'Fuel Selector'!$B$5:$B$111,0))</f>
        <v>62.652273527803324</v>
      </c>
      <c r="V510" s="18">
        <f>INDEX('Fuel Selector'!N$5:N$111,MATCH('TCO - Input'!$D510,'Fuel Selector'!$B$5:$B$111,0))</f>
        <v>55.924909609169099</v>
      </c>
      <c r="W510" s="18">
        <f>INDEX('Fuel Selector'!O$5:O$111,MATCH('TCO - Input'!$D510,'Fuel Selector'!$B$5:$B$111,0))</f>
        <v>49.284094135227576</v>
      </c>
      <c r="X510" s="18">
        <f>INDEX('Fuel Selector'!P$5:P$111,MATCH('TCO - Input'!$D510,'Fuel Selector'!$B$5:$B$111,0))</f>
        <v>39.407582671077172</v>
      </c>
      <c r="Y510" s="18">
        <f>INDEX('Fuel Selector'!Q$5:Q$111,MATCH('TCO - Input'!$D510,'Fuel Selector'!$B$5:$B$111,0))</f>
        <v>30.954804126093734</v>
      </c>
      <c r="Z510" s="344">
        <f t="shared" ref="Z510:AD510" si="431">Y510</f>
        <v>30.954804126093734</v>
      </c>
      <c r="AA510" s="344">
        <f t="shared" si="431"/>
        <v>30.954804126093734</v>
      </c>
      <c r="AB510" s="344">
        <f t="shared" si="431"/>
        <v>30.954804126093734</v>
      </c>
      <c r="AC510" s="344">
        <f t="shared" si="431"/>
        <v>30.954804126093734</v>
      </c>
      <c r="AD510" s="344">
        <f t="shared" si="431"/>
        <v>30.954804126093734</v>
      </c>
    </row>
    <row r="511" spans="4:30" x14ac:dyDescent="0.2">
      <c r="D511" s="347" t="str">
        <f t="shared" si="413"/>
        <v>e-Diesel (PS) - Middle East - Fuel cost total - USD/GJ</v>
      </c>
      <c r="F511" t="str">
        <f t="shared" si="414"/>
        <v>e-Diesel (PS)</v>
      </c>
      <c r="L511" t="str">
        <f t="shared" si="417"/>
        <v>Middle East</v>
      </c>
      <c r="N511" t="str">
        <f t="shared" si="415"/>
        <v>Fuel cost total - USD/GJ</v>
      </c>
      <c r="P511" s="224"/>
      <c r="Q511" t="s">
        <v>324</v>
      </c>
      <c r="R511" s="14"/>
      <c r="S511" s="18">
        <f>INDEX('Fuel Selector'!K$5:K$111,MATCH('TCO - Input'!$D511,'Fuel Selector'!$B$5:$B$111,0))</f>
        <v>89.297272205947237</v>
      </c>
      <c r="T511" s="18">
        <f>INDEX('Fuel Selector'!L$5:L$111,MATCH('TCO - Input'!$D511,'Fuel Selector'!$B$5:$B$111,0))</f>
        <v>72.125347782373183</v>
      </c>
      <c r="U511" s="18">
        <f>INDEX('Fuel Selector'!M$5:M$111,MATCH('TCO - Input'!$D511,'Fuel Selector'!$B$5:$B$111,0))</f>
        <v>58.078135851196187</v>
      </c>
      <c r="V511" s="18">
        <f>INDEX('Fuel Selector'!N$5:N$111,MATCH('TCO - Input'!$D511,'Fuel Selector'!$B$5:$B$111,0))</f>
        <v>52.850837804530471</v>
      </c>
      <c r="W511" s="18">
        <f>INDEX('Fuel Selector'!O$5:O$111,MATCH('TCO - Input'!$D511,'Fuel Selector'!$B$5:$B$111,0))</f>
        <v>47.057758496383201</v>
      </c>
      <c r="X511" s="18">
        <f>INDEX('Fuel Selector'!P$5:P$111,MATCH('TCO - Input'!$D511,'Fuel Selector'!$B$5:$B$111,0))</f>
        <v>37.846662321482547</v>
      </c>
      <c r="Y511" s="18">
        <f>INDEX('Fuel Selector'!Q$5:Q$111,MATCH('TCO - Input'!$D511,'Fuel Selector'!$B$5:$B$111,0))</f>
        <v>29.665310418361486</v>
      </c>
      <c r="Z511" s="344">
        <f t="shared" ref="Z511:AD511" si="432">Y511</f>
        <v>29.665310418361486</v>
      </c>
      <c r="AA511" s="344">
        <f t="shared" si="432"/>
        <v>29.665310418361486</v>
      </c>
      <c r="AB511" s="344">
        <f t="shared" si="432"/>
        <v>29.665310418361486</v>
      </c>
      <c r="AC511" s="344">
        <f t="shared" si="432"/>
        <v>29.665310418361486</v>
      </c>
      <c r="AD511" s="344">
        <f t="shared" si="432"/>
        <v>29.665310418361486</v>
      </c>
    </row>
    <row r="512" spans="4:30" x14ac:dyDescent="0.2">
      <c r="D512" s="347" t="str">
        <f t="shared" si="413"/>
        <v>Biodiesel (HtL blend) - Middle East - Fuel cost total - USD/GJ</v>
      </c>
      <c r="F512" t="str">
        <f t="shared" si="414"/>
        <v>Biodiesel (HtL blend)</v>
      </c>
      <c r="L512" t="str">
        <f t="shared" si="417"/>
        <v>Middle East</v>
      </c>
      <c r="N512" t="str">
        <f t="shared" si="415"/>
        <v>Fuel cost total - USD/GJ</v>
      </c>
      <c r="P512" s="224"/>
      <c r="Q512" t="s">
        <v>324</v>
      </c>
      <c r="R512" s="14"/>
      <c r="S512" s="18">
        <f>INDEX('Fuel Selector'!K$5:K$111,MATCH('TCO - Input'!$D512,'Fuel Selector'!$B$5:$B$111,0))</f>
        <v>39.770169052364537</v>
      </c>
      <c r="T512" s="18">
        <f>INDEX('Fuel Selector'!L$5:L$111,MATCH('TCO - Input'!$D512,'Fuel Selector'!$B$5:$B$111,0))</f>
        <v>26.57534669562699</v>
      </c>
      <c r="U512" s="18">
        <f>INDEX('Fuel Selector'!M$5:M$111,MATCH('TCO - Input'!$D512,'Fuel Selector'!$B$5:$B$111,0))</f>
        <v>16.028294547379293</v>
      </c>
      <c r="V512" s="18">
        <f>INDEX('Fuel Selector'!N$5:N$111,MATCH('TCO - Input'!$D512,'Fuel Selector'!$B$5:$B$111,0))</f>
        <v>15.656159943832831</v>
      </c>
      <c r="W512" s="18">
        <f>INDEX('Fuel Selector'!O$5:O$111,MATCH('TCO - Input'!$D512,'Fuel Selector'!$B$5:$B$111,0))</f>
        <v>15.51471469093722</v>
      </c>
      <c r="X512" s="18">
        <f>INDEX('Fuel Selector'!P$5:P$111,MATCH('TCO - Input'!$D512,'Fuel Selector'!$B$5:$B$111,0))</f>
        <v>15.354664547990222</v>
      </c>
      <c r="Y512" s="18">
        <f>INDEX('Fuel Selector'!Q$5:Q$111,MATCH('TCO - Input'!$D512,'Fuel Selector'!$B$5:$B$111,0))</f>
        <v>15.203086269025318</v>
      </c>
      <c r="Z512" s="344">
        <f t="shared" ref="Z512:AD512" si="433">Y512</f>
        <v>15.203086269025318</v>
      </c>
      <c r="AA512" s="344">
        <f t="shared" si="433"/>
        <v>15.203086269025318</v>
      </c>
      <c r="AB512" s="344">
        <f t="shared" si="433"/>
        <v>15.203086269025318</v>
      </c>
      <c r="AC512" s="344">
        <f t="shared" si="433"/>
        <v>15.203086269025318</v>
      </c>
      <c r="AD512" s="344">
        <f t="shared" si="433"/>
        <v>15.203086269025318</v>
      </c>
    </row>
    <row r="513" spans="4:30" x14ac:dyDescent="0.2">
      <c r="D513" s="347" t="str">
        <f t="shared" si="413"/>
        <v>Biodiesel (Pyr blend) - Middle East - Fuel cost total - USD/GJ</v>
      </c>
      <c r="F513" t="str">
        <f t="shared" si="414"/>
        <v>Biodiesel (Pyr blend)</v>
      </c>
      <c r="L513" t="str">
        <f t="shared" si="417"/>
        <v>Middle East</v>
      </c>
      <c r="N513" t="str">
        <f t="shared" si="415"/>
        <v>Fuel cost total - USD/GJ</v>
      </c>
      <c r="P513" s="224"/>
      <c r="Q513" t="s">
        <v>324</v>
      </c>
      <c r="R513" s="14"/>
      <c r="S513" s="18">
        <f>INDEX('Fuel Selector'!K$5:K$111,MATCH('TCO - Input'!$D513,'Fuel Selector'!$B$5:$B$111,0))</f>
        <v>24.737991645513468</v>
      </c>
      <c r="T513" s="18">
        <f>INDEX('Fuel Selector'!L$5:L$111,MATCH('TCO - Input'!$D513,'Fuel Selector'!$B$5:$B$111,0))</f>
        <v>17.769581867277488</v>
      </c>
      <c r="U513" s="18">
        <f>INDEX('Fuel Selector'!M$5:M$111,MATCH('TCO - Input'!$D513,'Fuel Selector'!$B$5:$B$111,0))</f>
        <v>14.258492301616094</v>
      </c>
      <c r="V513" s="18">
        <f>INDEX('Fuel Selector'!N$5:N$111,MATCH('TCO - Input'!$D513,'Fuel Selector'!$B$5:$B$111,0))</f>
        <v>14.226808461308513</v>
      </c>
      <c r="W513" s="18">
        <f>INDEX('Fuel Selector'!O$5:O$111,MATCH('TCO - Input'!$D513,'Fuel Selector'!$B$5:$B$111,0))</f>
        <v>14.276730539519503</v>
      </c>
      <c r="X513" s="18">
        <f>INDEX('Fuel Selector'!P$5:P$111,MATCH('TCO - Input'!$D513,'Fuel Selector'!$B$5:$B$111,0))</f>
        <v>14.30981287142586</v>
      </c>
      <c r="Y513" s="18">
        <f>INDEX('Fuel Selector'!Q$5:Q$111,MATCH('TCO - Input'!$D513,'Fuel Selector'!$B$5:$B$111,0))</f>
        <v>14.343491467550781</v>
      </c>
      <c r="Z513" s="344">
        <f t="shared" ref="Z513:AD513" si="434">Y513</f>
        <v>14.343491467550781</v>
      </c>
      <c r="AA513" s="344">
        <f t="shared" si="434"/>
        <v>14.343491467550781</v>
      </c>
      <c r="AB513" s="344">
        <f t="shared" si="434"/>
        <v>14.343491467550781</v>
      </c>
      <c r="AC513" s="344">
        <f t="shared" si="434"/>
        <v>14.343491467550781</v>
      </c>
      <c r="AD513" s="344">
        <f t="shared" si="434"/>
        <v>14.343491467550781</v>
      </c>
    </row>
    <row r="514" spans="4:30" x14ac:dyDescent="0.2">
      <c r="D514" s="347" t="str">
        <f t="shared" si="413"/>
        <v>Blue hydrogen (liquid) - Middle East - Fuel cost total - USD/GJ</v>
      </c>
      <c r="F514" t="str">
        <f t="shared" si="414"/>
        <v>Blue hydrogen (liquid)</v>
      </c>
      <c r="L514" t="str">
        <f t="shared" si="417"/>
        <v>Middle East</v>
      </c>
      <c r="N514" t="str">
        <f t="shared" si="415"/>
        <v>Fuel cost total - USD/GJ</v>
      </c>
      <c r="P514" s="224"/>
      <c r="Q514" t="s">
        <v>324</v>
      </c>
      <c r="R514" s="14"/>
      <c r="S514" s="18">
        <f>INDEX('Fuel Selector'!K$5:K$111,MATCH('TCO - Input'!$D514,'Fuel Selector'!$B$5:$B$111,0))</f>
        <v>79.453674659178091</v>
      </c>
      <c r="T514" s="18">
        <f>INDEX('Fuel Selector'!L$5:L$111,MATCH('TCO - Input'!$D514,'Fuel Selector'!$B$5:$B$111,0))</f>
        <v>50.399100082446168</v>
      </c>
      <c r="U514" s="18">
        <f>INDEX('Fuel Selector'!M$5:M$111,MATCH('TCO - Input'!$D514,'Fuel Selector'!$B$5:$B$111,0))</f>
        <v>37.698112152004633</v>
      </c>
      <c r="V514" s="18">
        <f>INDEX('Fuel Selector'!N$5:N$111,MATCH('TCO - Input'!$D514,'Fuel Selector'!$B$5:$B$111,0))</f>
        <v>36.791252207472915</v>
      </c>
      <c r="W514" s="18">
        <f>INDEX('Fuel Selector'!O$5:O$111,MATCH('TCO - Input'!$D514,'Fuel Selector'!$B$5:$B$111,0))</f>
        <v>36.112141669423693</v>
      </c>
      <c r="X514" s="18">
        <f>INDEX('Fuel Selector'!P$5:P$111,MATCH('TCO - Input'!$D514,'Fuel Selector'!$B$5:$B$111,0))</f>
        <v>35.434108562392602</v>
      </c>
      <c r="Y514" s="18">
        <f>INDEX('Fuel Selector'!Q$5:Q$111,MATCH('TCO - Input'!$D514,'Fuel Selector'!$B$5:$B$111,0))</f>
        <v>34.917365970481818</v>
      </c>
      <c r="Z514" s="344">
        <f t="shared" ref="Z514:AD514" si="435">Y514</f>
        <v>34.917365970481818</v>
      </c>
      <c r="AA514" s="344">
        <f t="shared" si="435"/>
        <v>34.917365970481818</v>
      </c>
      <c r="AB514" s="344">
        <f t="shared" si="435"/>
        <v>34.917365970481818</v>
      </c>
      <c r="AC514" s="344">
        <f t="shared" si="435"/>
        <v>34.917365970481818</v>
      </c>
      <c r="AD514" s="344">
        <f t="shared" si="435"/>
        <v>34.917365970481818</v>
      </c>
    </row>
    <row r="515" spans="4:30" x14ac:dyDescent="0.2">
      <c r="D515" s="347" t="str">
        <f>_xlfn.TEXTJOIN(keydelim,TRUE,E515:N515)</f>
        <v>e-Hydrogen (liquid) - Middle East - Fuel cost total - USD/GJ</v>
      </c>
      <c r="F515" t="str">
        <f t="shared" si="414"/>
        <v>e-Hydrogen (liquid)</v>
      </c>
      <c r="L515" t="str">
        <f t="shared" si="417"/>
        <v>Middle East</v>
      </c>
      <c r="N515" t="str">
        <f>"Fuel cost total"  &amp;keydelim &amp;Q515</f>
        <v>Fuel cost total - USD/GJ</v>
      </c>
      <c r="P515" s="224"/>
      <c r="Q515" t="s">
        <v>324</v>
      </c>
      <c r="R515" s="14"/>
      <c r="S515" s="18">
        <f>INDEX('Fuel Selector'!K$5:K$111,MATCH('TCO - Input'!$D515,'Fuel Selector'!$B$5:$B$111,0))</f>
        <v>59.321005467496299</v>
      </c>
      <c r="T515" s="18">
        <f>INDEX('Fuel Selector'!L$5:L$111,MATCH('TCO - Input'!$D515,'Fuel Selector'!$B$5:$B$111,0))</f>
        <v>52.148927954992985</v>
      </c>
      <c r="U515" s="18">
        <f>INDEX('Fuel Selector'!M$5:M$111,MATCH('TCO - Input'!$D515,'Fuel Selector'!$B$5:$B$111,0))</f>
        <v>46.960058624855016</v>
      </c>
      <c r="V515" s="18">
        <f>INDEX('Fuel Selector'!N$5:N$111,MATCH('TCO - Input'!$D515,'Fuel Selector'!$B$5:$B$111,0))</f>
        <v>44.262047021798118</v>
      </c>
      <c r="W515" s="18">
        <f>INDEX('Fuel Selector'!O$5:O$111,MATCH('TCO - Input'!$D515,'Fuel Selector'!$B$5:$B$111,0))</f>
        <v>41.19330980282173</v>
      </c>
      <c r="X515" s="18">
        <f>INDEX('Fuel Selector'!P$5:P$111,MATCH('TCO - Input'!$D515,'Fuel Selector'!$B$5:$B$111,0))</f>
        <v>37.034367278543414</v>
      </c>
      <c r="Y515" s="18">
        <f>INDEX('Fuel Selector'!Q$5:Q$111,MATCH('TCO - Input'!$D515,'Fuel Selector'!$B$5:$B$111,0))</f>
        <v>33.495759748292514</v>
      </c>
      <c r="Z515" s="344">
        <f t="shared" ref="Z515:AD515" si="436">Y515</f>
        <v>33.495759748292514</v>
      </c>
      <c r="AA515" s="344">
        <f t="shared" si="436"/>
        <v>33.495759748292514</v>
      </c>
      <c r="AB515" s="344">
        <f t="shared" si="436"/>
        <v>33.495759748292514</v>
      </c>
      <c r="AC515" s="344">
        <f t="shared" si="436"/>
        <v>33.495759748292514</v>
      </c>
      <c r="AD515" s="344">
        <f t="shared" si="436"/>
        <v>33.495759748292514</v>
      </c>
    </row>
    <row r="516" spans="4:30" x14ac:dyDescent="0.2">
      <c r="R516" s="14"/>
      <c r="S516" s="18"/>
      <c r="T516" s="18"/>
      <c r="U516" s="18"/>
      <c r="V516" s="18"/>
      <c r="W516" s="18"/>
      <c r="X516" s="18"/>
      <c r="Y516" s="18"/>
      <c r="Z516" s="18"/>
      <c r="AA516" s="18"/>
      <c r="AB516" s="18"/>
      <c r="AC516" s="18"/>
      <c r="AD516" s="18"/>
    </row>
    <row r="517" spans="4:30" x14ac:dyDescent="0.2">
      <c r="D517" s="347" t="str">
        <f t="shared" ref="D517:D535" si="437">_xlfn.TEXTJOIN(keydelim,TRUE,E517:N517)</f>
        <v>LSFO - Asia - Fuel cost total - USD/GJ</v>
      </c>
      <c r="F517" t="str">
        <f t="shared" ref="F517:F536" si="438">F475</f>
        <v>LSFO</v>
      </c>
      <c r="L517" t="s">
        <v>198</v>
      </c>
      <c r="N517" t="str">
        <f t="shared" ref="N517:N535" si="439">"Fuel cost total"  &amp;keydelim &amp;Q517</f>
        <v>Fuel cost total - USD/GJ</v>
      </c>
      <c r="O517" s="224"/>
      <c r="P517" s="224" t="s">
        <v>608</v>
      </c>
      <c r="Q517" t="s">
        <v>324</v>
      </c>
      <c r="R517" s="14"/>
      <c r="S517" s="18">
        <f>INDEX('Fuel Selector'!K$5:K$111,MATCH('TCO - Input'!$D517,'Fuel Selector'!$B$5:$B$111,0))</f>
        <v>21.473621920116738</v>
      </c>
      <c r="T517" s="18">
        <f>INDEX('Fuel Selector'!L$5:L$111,MATCH('TCO - Input'!$D517,'Fuel Selector'!$B$5:$B$111,0))</f>
        <v>15.404989638344617</v>
      </c>
      <c r="U517" s="18">
        <f>INDEX('Fuel Selector'!M$5:M$111,MATCH('TCO - Input'!$D517,'Fuel Selector'!$B$5:$B$111,0))</f>
        <v>13.444354593464393</v>
      </c>
      <c r="V517" s="18">
        <f>INDEX('Fuel Selector'!N$5:N$111,MATCH('TCO - Input'!$D517,'Fuel Selector'!$B$5:$B$111,0))</f>
        <v>13.444354593464393</v>
      </c>
      <c r="W517" s="18">
        <f>INDEX('Fuel Selector'!O$5:O$111,MATCH('TCO - Input'!$D517,'Fuel Selector'!$B$5:$B$111,0))</f>
        <v>13.444354593464393</v>
      </c>
      <c r="X517" s="18">
        <f>INDEX('Fuel Selector'!P$5:P$111,MATCH('TCO - Input'!$D517,'Fuel Selector'!$B$5:$B$111,0))</f>
        <v>13.444354593464393</v>
      </c>
      <c r="Y517" s="18">
        <f>INDEX('Fuel Selector'!Q$5:Q$111,MATCH('TCO - Input'!$D517,'Fuel Selector'!$B$5:$B$111,0))</f>
        <v>13.444354593464393</v>
      </c>
      <c r="Z517" s="344">
        <f>Y517</f>
        <v>13.444354593464393</v>
      </c>
      <c r="AA517" s="344">
        <f t="shared" ref="AA517:AD517" si="440">Z517</f>
        <v>13.444354593464393</v>
      </c>
      <c r="AB517" s="344">
        <f t="shared" si="440"/>
        <v>13.444354593464393</v>
      </c>
      <c r="AC517" s="344">
        <f t="shared" si="440"/>
        <v>13.444354593464393</v>
      </c>
      <c r="AD517" s="344">
        <f t="shared" si="440"/>
        <v>13.444354593464393</v>
      </c>
    </row>
    <row r="518" spans="4:30" x14ac:dyDescent="0.2">
      <c r="D518" s="347" t="str">
        <f t="shared" si="437"/>
        <v>LNG - Asia - Fuel cost total - USD/GJ</v>
      </c>
      <c r="F518" t="str">
        <f t="shared" si="438"/>
        <v>LNG</v>
      </c>
      <c r="L518" t="str">
        <f t="shared" ref="L518:L536" si="441">L517</f>
        <v>Asia</v>
      </c>
      <c r="N518" t="str">
        <f t="shared" si="439"/>
        <v>Fuel cost total - USD/GJ</v>
      </c>
      <c r="O518" s="224"/>
      <c r="P518" s="224"/>
      <c r="Q518" t="s">
        <v>324</v>
      </c>
      <c r="R518" s="14"/>
      <c r="S518" s="18">
        <f>INDEX('Fuel Selector'!K$5:K$111,MATCH('TCO - Input'!$D518,'Fuel Selector'!$B$5:$B$111,0))</f>
        <v>39.462789546173269</v>
      </c>
      <c r="T518" s="18">
        <f>INDEX('Fuel Selector'!L$5:L$111,MATCH('TCO - Input'!$D518,'Fuel Selector'!$B$5:$B$111,0))</f>
        <v>20.772305715965476</v>
      </c>
      <c r="U518" s="18">
        <f>INDEX('Fuel Selector'!M$5:M$111,MATCH('TCO - Input'!$D518,'Fuel Selector'!$B$5:$B$111,0))</f>
        <v>12.733337673163692</v>
      </c>
      <c r="V518" s="18">
        <f>INDEX('Fuel Selector'!N$5:N$111,MATCH('TCO - Input'!$D518,'Fuel Selector'!$B$5:$B$111,0))</f>
        <v>12.550776393834383</v>
      </c>
      <c r="W518" s="18">
        <f>INDEX('Fuel Selector'!O$5:O$111,MATCH('TCO - Input'!$D518,'Fuel Selector'!$B$5:$B$111,0))</f>
        <v>12.413865598970046</v>
      </c>
      <c r="X518" s="18">
        <f>INDEX('Fuel Selector'!P$5:P$111,MATCH('TCO - Input'!$D518,'Fuel Selector'!$B$5:$B$111,0))</f>
        <v>12.276995487868456</v>
      </c>
      <c r="Y518" s="18">
        <f>INDEX('Fuel Selector'!Q$5:Q$111,MATCH('TCO - Input'!$D518,'Fuel Selector'!$B$5:$B$111,0))</f>
        <v>12.167689108506201</v>
      </c>
      <c r="Z518" s="344">
        <f t="shared" ref="Z518:AD518" si="442">Y518</f>
        <v>12.167689108506201</v>
      </c>
      <c r="AA518" s="344">
        <f t="shared" si="442"/>
        <v>12.167689108506201</v>
      </c>
      <c r="AB518" s="344">
        <f t="shared" si="442"/>
        <v>12.167689108506201</v>
      </c>
      <c r="AC518" s="344">
        <f t="shared" si="442"/>
        <v>12.167689108506201</v>
      </c>
      <c r="AD518" s="344">
        <f t="shared" si="442"/>
        <v>12.167689108506201</v>
      </c>
    </row>
    <row r="519" spans="4:30" x14ac:dyDescent="0.2">
      <c r="D519" s="347" t="str">
        <f t="shared" si="437"/>
        <v>LPG - Asia - Fuel cost total - USD/GJ</v>
      </c>
      <c r="F519" t="str">
        <f t="shared" si="438"/>
        <v>LPG</v>
      </c>
      <c r="L519" t="str">
        <f t="shared" si="441"/>
        <v>Asia</v>
      </c>
      <c r="N519" t="str">
        <f t="shared" si="439"/>
        <v>Fuel cost total - USD/GJ</v>
      </c>
      <c r="O519" s="224"/>
      <c r="P519" s="224"/>
      <c r="Q519" t="s">
        <v>324</v>
      </c>
      <c r="R519" s="14"/>
      <c r="S519" s="18">
        <f>INDEX('Fuel Selector'!K$5:K$111,MATCH('TCO - Input'!$D519,'Fuel Selector'!$B$5:$B$111,0))</f>
        <v>16.525069073439496</v>
      </c>
      <c r="T519" s="18">
        <f>INDEX('Fuel Selector'!L$5:L$111,MATCH('TCO - Input'!$D519,'Fuel Selector'!$B$5:$B$111,0))</f>
        <v>11.854940857032684</v>
      </c>
      <c r="U519" s="18">
        <f>INDEX('Fuel Selector'!M$5:M$111,MATCH('TCO - Input'!$D519,'Fuel Selector'!$B$5:$B$111,0))</f>
        <v>10.34613020250125</v>
      </c>
      <c r="V519" s="18">
        <f>INDEX('Fuel Selector'!N$5:N$111,MATCH('TCO - Input'!$D519,'Fuel Selector'!$B$5:$B$111,0))</f>
        <v>10.34613020250125</v>
      </c>
      <c r="W519" s="18">
        <f>INDEX('Fuel Selector'!O$5:O$111,MATCH('TCO - Input'!$D519,'Fuel Selector'!$B$5:$B$111,0))</f>
        <v>10.34613020250125</v>
      </c>
      <c r="X519" s="18">
        <f>INDEX('Fuel Selector'!P$5:P$111,MATCH('TCO - Input'!$D519,'Fuel Selector'!$B$5:$B$111,0))</f>
        <v>10.34613020250125</v>
      </c>
      <c r="Y519" s="18">
        <f>INDEX('Fuel Selector'!Q$5:Q$111,MATCH('TCO - Input'!$D519,'Fuel Selector'!$B$5:$B$111,0))</f>
        <v>10.34613020250125</v>
      </c>
      <c r="Z519" s="344">
        <f t="shared" ref="Z519:AD519" si="443">Y519</f>
        <v>10.34613020250125</v>
      </c>
      <c r="AA519" s="344">
        <f t="shared" si="443"/>
        <v>10.34613020250125</v>
      </c>
      <c r="AB519" s="344">
        <f t="shared" si="443"/>
        <v>10.34613020250125</v>
      </c>
      <c r="AC519" s="344">
        <f t="shared" si="443"/>
        <v>10.34613020250125</v>
      </c>
      <c r="AD519" s="344">
        <f t="shared" si="443"/>
        <v>10.34613020250125</v>
      </c>
    </row>
    <row r="520" spans="4:30" x14ac:dyDescent="0.2">
      <c r="D520" s="347" t="str">
        <f t="shared" si="437"/>
        <v>Electricity - Asia - Fuel cost total - USD/GJ</v>
      </c>
      <c r="F520" t="str">
        <f t="shared" si="438"/>
        <v>Electricity</v>
      </c>
      <c r="L520" t="str">
        <f t="shared" si="441"/>
        <v>Asia</v>
      </c>
      <c r="N520" t="str">
        <f t="shared" si="439"/>
        <v>Fuel cost total - USD/GJ</v>
      </c>
      <c r="O520" s="224"/>
      <c r="P520" s="224"/>
      <c r="Q520" t="s">
        <v>324</v>
      </c>
      <c r="R520" s="14"/>
      <c r="S520" s="18">
        <f>INDEX('Fuel Selector'!K$5:K$111,MATCH('TCO - Input'!$D520,'Fuel Selector'!$B$5:$B$111,0))</f>
        <v>41.577521514742742</v>
      </c>
      <c r="T520" s="18">
        <f>INDEX('Fuel Selector'!L$5:L$111,MATCH('TCO - Input'!$D520,'Fuel Selector'!$B$5:$B$111,0))</f>
        <v>33.651556857836852</v>
      </c>
      <c r="U520" s="18">
        <f>INDEX('Fuel Selector'!M$5:M$111,MATCH('TCO - Input'!$D520,'Fuel Selector'!$B$5:$B$111,0))</f>
        <v>30.808579150001325</v>
      </c>
      <c r="V520" s="18">
        <f>INDEX('Fuel Selector'!N$5:N$111,MATCH('TCO - Input'!$D520,'Fuel Selector'!$B$5:$B$111,0))</f>
        <v>28.876238081465964</v>
      </c>
      <c r="W520" s="18">
        <f>INDEX('Fuel Selector'!O$5:O$111,MATCH('TCO - Input'!$D520,'Fuel Selector'!$B$5:$B$111,0))</f>
        <v>27.893789065905231</v>
      </c>
      <c r="X520" s="18">
        <f>INDEX('Fuel Selector'!P$5:P$111,MATCH('TCO - Input'!$D520,'Fuel Selector'!$B$5:$B$111,0))</f>
        <v>26.865432067553204</v>
      </c>
      <c r="Y520" s="18">
        <f>INDEX('Fuel Selector'!Q$5:Q$111,MATCH('TCO - Input'!$D520,'Fuel Selector'!$B$5:$B$111,0))</f>
        <v>26.393841178705237</v>
      </c>
      <c r="Z520" s="344">
        <f t="shared" ref="Z520:AD520" si="444">Y520</f>
        <v>26.393841178705237</v>
      </c>
      <c r="AA520" s="344">
        <f t="shared" si="444"/>
        <v>26.393841178705237</v>
      </c>
      <c r="AB520" s="344">
        <f t="shared" si="444"/>
        <v>26.393841178705237</v>
      </c>
      <c r="AC520" s="344">
        <f t="shared" si="444"/>
        <v>26.393841178705237</v>
      </c>
      <c r="AD520" s="344">
        <f t="shared" si="444"/>
        <v>26.393841178705237</v>
      </c>
    </row>
    <row r="521" spans="4:30" x14ac:dyDescent="0.2">
      <c r="D521" s="347" t="str">
        <f t="shared" si="437"/>
        <v>e-Ammonia - Asia - Fuel cost total - USD/GJ</v>
      </c>
      <c r="F521" t="str">
        <f t="shared" si="438"/>
        <v>e-Ammonia</v>
      </c>
      <c r="L521" t="str">
        <f t="shared" si="441"/>
        <v>Asia</v>
      </c>
      <c r="N521" t="str">
        <f t="shared" si="439"/>
        <v>Fuel cost total - USD/GJ</v>
      </c>
      <c r="O521" s="383"/>
      <c r="P521" s="224"/>
      <c r="Q521" t="s">
        <v>324</v>
      </c>
      <c r="R521" s="14"/>
      <c r="S521" s="18">
        <f>INDEX('Fuel Selector'!K$5:K$111,MATCH('TCO - Input'!$D521,'Fuel Selector'!$B$5:$B$111,0))</f>
        <v>85.19829686848378</v>
      </c>
      <c r="T521" s="18">
        <f>INDEX('Fuel Selector'!L$5:L$111,MATCH('TCO - Input'!$D521,'Fuel Selector'!$B$5:$B$111,0))</f>
        <v>58.096226677251302</v>
      </c>
      <c r="U521" s="18">
        <f>INDEX('Fuel Selector'!M$5:M$111,MATCH('TCO - Input'!$D521,'Fuel Selector'!$B$5:$B$111,0))</f>
        <v>41.389423887870272</v>
      </c>
      <c r="V521" s="18">
        <f>INDEX('Fuel Selector'!N$5:N$111,MATCH('TCO - Input'!$D521,'Fuel Selector'!$B$5:$B$111,0))</f>
        <v>36.472598548540411</v>
      </c>
      <c r="W521" s="18">
        <f>INDEX('Fuel Selector'!O$5:O$111,MATCH('TCO - Input'!$D521,'Fuel Selector'!$B$5:$B$111,0))</f>
        <v>31.8606335978976</v>
      </c>
      <c r="X521" s="18">
        <f>INDEX('Fuel Selector'!P$5:P$111,MATCH('TCO - Input'!$D521,'Fuel Selector'!$B$5:$B$111,0))</f>
        <v>26.295951244109222</v>
      </c>
      <c r="Y521" s="18">
        <f>INDEX('Fuel Selector'!Q$5:Q$111,MATCH('TCO - Input'!$D521,'Fuel Selector'!$B$5:$B$111,0))</f>
        <v>21.743322849558645</v>
      </c>
      <c r="Z521" s="344">
        <f t="shared" ref="Z521:AD521" si="445">Y521</f>
        <v>21.743322849558645</v>
      </c>
      <c r="AA521" s="344">
        <f t="shared" si="445"/>
        <v>21.743322849558645</v>
      </c>
      <c r="AB521" s="344">
        <f t="shared" si="445"/>
        <v>21.743322849558645</v>
      </c>
      <c r="AC521" s="344">
        <f t="shared" si="445"/>
        <v>21.743322849558645</v>
      </c>
      <c r="AD521" s="344">
        <f t="shared" si="445"/>
        <v>21.743322849558645</v>
      </c>
    </row>
    <row r="522" spans="4:30" x14ac:dyDescent="0.2">
      <c r="D522" s="347" t="str">
        <f t="shared" si="437"/>
        <v>Blue ammonia - Asia - Fuel cost total - USD/GJ</v>
      </c>
      <c r="F522" t="str">
        <f t="shared" si="438"/>
        <v>Blue ammonia</v>
      </c>
      <c r="L522" t="str">
        <f t="shared" si="441"/>
        <v>Asia</v>
      </c>
      <c r="N522" t="str">
        <f t="shared" si="439"/>
        <v>Fuel cost total - USD/GJ</v>
      </c>
      <c r="O522" s="383"/>
      <c r="P522" s="224"/>
      <c r="Q522" t="s">
        <v>324</v>
      </c>
      <c r="R522" s="14"/>
      <c r="S522" s="18">
        <f>INDEX('Fuel Selector'!K$5:K$111,MATCH('TCO - Input'!$D522,'Fuel Selector'!$B$5:$B$111,0))</f>
        <v>74.806072831607906</v>
      </c>
      <c r="T522" s="18">
        <f>INDEX('Fuel Selector'!L$5:L$111,MATCH('TCO - Input'!$D522,'Fuel Selector'!$B$5:$B$111,0))</f>
        <v>43.258587355528121</v>
      </c>
      <c r="U522" s="18">
        <f>INDEX('Fuel Selector'!M$5:M$111,MATCH('TCO - Input'!$D522,'Fuel Selector'!$B$5:$B$111,0))</f>
        <v>28.911082682314738</v>
      </c>
      <c r="V522" s="18">
        <f>INDEX('Fuel Selector'!N$5:N$111,MATCH('TCO - Input'!$D522,'Fuel Selector'!$B$5:$B$111,0))</f>
        <v>28.44170126710334</v>
      </c>
      <c r="W522" s="18">
        <f>INDEX('Fuel Selector'!O$5:O$111,MATCH('TCO - Input'!$D522,'Fuel Selector'!$B$5:$B$111,0))</f>
        <v>28.005715512333115</v>
      </c>
      <c r="X522" s="18">
        <f>INDEX('Fuel Selector'!P$5:P$111,MATCH('TCO - Input'!$D522,'Fuel Selector'!$B$5:$B$111,0))</f>
        <v>27.568115755845493</v>
      </c>
      <c r="Y522" s="18">
        <f>INDEX('Fuel Selector'!Q$5:Q$111,MATCH('TCO - Input'!$D522,'Fuel Selector'!$B$5:$B$111,0))</f>
        <v>27.150090404554675</v>
      </c>
      <c r="Z522" s="344">
        <f t="shared" ref="Z522:AD522" si="446">Y522</f>
        <v>27.150090404554675</v>
      </c>
      <c r="AA522" s="344">
        <f t="shared" si="446"/>
        <v>27.150090404554675</v>
      </c>
      <c r="AB522" s="344">
        <f t="shared" si="446"/>
        <v>27.150090404554675</v>
      </c>
      <c r="AC522" s="344">
        <f t="shared" si="446"/>
        <v>27.150090404554675</v>
      </c>
      <c r="AD522" s="344">
        <f t="shared" si="446"/>
        <v>27.150090404554675</v>
      </c>
    </row>
    <row r="523" spans="4:30" x14ac:dyDescent="0.2">
      <c r="D523" s="347" t="str">
        <f t="shared" si="437"/>
        <v>Biomethane - Asia - Fuel cost total - USD/GJ</v>
      </c>
      <c r="F523" t="str">
        <f t="shared" si="438"/>
        <v>Biomethane</v>
      </c>
      <c r="L523" t="str">
        <f t="shared" si="441"/>
        <v>Asia</v>
      </c>
      <c r="N523" t="str">
        <f t="shared" si="439"/>
        <v>Fuel cost total - USD/GJ</v>
      </c>
      <c r="P523" s="224"/>
      <c r="Q523" t="s">
        <v>324</v>
      </c>
      <c r="R523" s="389"/>
      <c r="S523" s="18">
        <f>INDEX('Fuel Selector'!K$5:K$111,MATCH('TCO - Input'!$D523,'Fuel Selector'!$B$5:$B$111,0))</f>
        <v>26.778686496502281</v>
      </c>
      <c r="T523" s="18">
        <f>INDEX('Fuel Selector'!L$5:L$111,MATCH('TCO - Input'!$D523,'Fuel Selector'!$B$5:$B$111,0))</f>
        <v>24.275348713965855</v>
      </c>
      <c r="U523" s="18">
        <f>INDEX('Fuel Selector'!M$5:M$111,MATCH('TCO - Input'!$D523,'Fuel Selector'!$B$5:$B$111,0))</f>
        <v>22.582862318691056</v>
      </c>
      <c r="V523" s="18">
        <f>INDEX('Fuel Selector'!N$5:N$111,MATCH('TCO - Input'!$D523,'Fuel Selector'!$B$5:$B$111,0))</f>
        <v>21.154532985207041</v>
      </c>
      <c r="W523" s="18">
        <f>INDEX('Fuel Selector'!O$5:O$111,MATCH('TCO - Input'!$D523,'Fuel Selector'!$B$5:$B$111,0))</f>
        <v>19.80838978782845</v>
      </c>
      <c r="X523" s="18">
        <f>INDEX('Fuel Selector'!P$5:P$111,MATCH('TCO - Input'!$D523,'Fuel Selector'!$B$5:$B$111,0))</f>
        <v>18.456653793458912</v>
      </c>
      <c r="Y523" s="18">
        <f>INDEX('Fuel Selector'!Q$5:Q$111,MATCH('TCO - Input'!$D523,'Fuel Selector'!$B$5:$B$111,0))</f>
        <v>17.154065107414372</v>
      </c>
      <c r="Z523" s="344">
        <f t="shared" ref="Z523:AD523" si="447">Y523</f>
        <v>17.154065107414372</v>
      </c>
      <c r="AA523" s="344">
        <f t="shared" si="447"/>
        <v>17.154065107414372</v>
      </c>
      <c r="AB523" s="344">
        <f t="shared" si="447"/>
        <v>17.154065107414372</v>
      </c>
      <c r="AC523" s="344">
        <f t="shared" si="447"/>
        <v>17.154065107414372</v>
      </c>
      <c r="AD523" s="344">
        <f t="shared" si="447"/>
        <v>17.154065107414372</v>
      </c>
    </row>
    <row r="524" spans="4:30" x14ac:dyDescent="0.2">
      <c r="D524" s="347" t="str">
        <f t="shared" si="437"/>
        <v>e-Methane (DAC) - Asia - Fuel cost total - USD/GJ</v>
      </c>
      <c r="F524" t="str">
        <f t="shared" si="438"/>
        <v>e-Methane (DAC)</v>
      </c>
      <c r="L524" t="str">
        <f t="shared" si="441"/>
        <v>Asia</v>
      </c>
      <c r="N524" t="str">
        <f t="shared" si="439"/>
        <v>Fuel cost total - USD/GJ</v>
      </c>
      <c r="O524" s="383"/>
      <c r="P524" s="224"/>
      <c r="Q524" t="s">
        <v>324</v>
      </c>
      <c r="R524" s="14"/>
      <c r="S524" s="18">
        <f>INDEX('Fuel Selector'!K$5:K$111,MATCH('TCO - Input'!$D524,'Fuel Selector'!$B$5:$B$111,0))</f>
        <v>96.527795511884378</v>
      </c>
      <c r="T524" s="18">
        <f>INDEX('Fuel Selector'!L$5:L$111,MATCH('TCO - Input'!$D524,'Fuel Selector'!$B$5:$B$111,0))</f>
        <v>69.175860190408812</v>
      </c>
      <c r="U524" s="18">
        <f>INDEX('Fuel Selector'!M$5:M$111,MATCH('TCO - Input'!$D524,'Fuel Selector'!$B$5:$B$111,0))</f>
        <v>56.657011886100676</v>
      </c>
      <c r="V524" s="18">
        <f>INDEX('Fuel Selector'!N$5:N$111,MATCH('TCO - Input'!$D524,'Fuel Selector'!$B$5:$B$111,0))</f>
        <v>49.178861278439513</v>
      </c>
      <c r="W524" s="18">
        <f>INDEX('Fuel Selector'!O$5:O$111,MATCH('TCO - Input'!$D524,'Fuel Selector'!$B$5:$B$111,0))</f>
        <v>42.748694684936424</v>
      </c>
      <c r="X524" s="18">
        <f>INDEX('Fuel Selector'!P$5:P$111,MATCH('TCO - Input'!$D524,'Fuel Selector'!$B$5:$B$111,0))</f>
        <v>35.282295145367499</v>
      </c>
      <c r="Y524" s="18">
        <f>INDEX('Fuel Selector'!Q$5:Q$111,MATCH('TCO - Input'!$D524,'Fuel Selector'!$B$5:$B$111,0))</f>
        <v>29.262576865851106</v>
      </c>
      <c r="Z524" s="344">
        <f t="shared" ref="Z524:AD524" si="448">Y524</f>
        <v>29.262576865851106</v>
      </c>
      <c r="AA524" s="344">
        <f t="shared" si="448"/>
        <v>29.262576865851106</v>
      </c>
      <c r="AB524" s="344">
        <f t="shared" si="448"/>
        <v>29.262576865851106</v>
      </c>
      <c r="AC524" s="344">
        <f t="shared" si="448"/>
        <v>29.262576865851106</v>
      </c>
      <c r="AD524" s="344">
        <f t="shared" si="448"/>
        <v>29.262576865851106</v>
      </c>
    </row>
    <row r="525" spans="4:30" x14ac:dyDescent="0.2">
      <c r="D525" s="347" t="str">
        <f t="shared" si="437"/>
        <v>e-Methane (PS) - Asia - Fuel cost total - USD/GJ</v>
      </c>
      <c r="F525" t="str">
        <f t="shared" si="438"/>
        <v>e-Methane (PS)</v>
      </c>
      <c r="L525" t="str">
        <f t="shared" si="441"/>
        <v>Asia</v>
      </c>
      <c r="N525" t="str">
        <f t="shared" si="439"/>
        <v>Fuel cost total - USD/GJ</v>
      </c>
      <c r="O525" s="383"/>
      <c r="P525" s="224"/>
      <c r="Q525" t="s">
        <v>324</v>
      </c>
      <c r="R525" s="14"/>
      <c r="S525" s="18">
        <f>INDEX('Fuel Selector'!K$5:K$111,MATCH('TCO - Input'!$D525,'Fuel Selector'!$B$5:$B$111,0))</f>
        <v>85.912510807475854</v>
      </c>
      <c r="T525" s="18">
        <f>INDEX('Fuel Selector'!L$5:L$111,MATCH('TCO - Input'!$D525,'Fuel Selector'!$B$5:$B$111,0))</f>
        <v>62.9666052819572</v>
      </c>
      <c r="U525" s="18">
        <f>INDEX('Fuel Selector'!M$5:M$111,MATCH('TCO - Input'!$D525,'Fuel Selector'!$B$5:$B$111,0))</f>
        <v>51.799505989351672</v>
      </c>
      <c r="V525" s="18">
        <f>INDEX('Fuel Selector'!N$5:N$111,MATCH('TCO - Input'!$D525,'Fuel Selector'!$B$5:$B$111,0))</f>
        <v>45.815470229955736</v>
      </c>
      <c r="W525" s="18">
        <f>INDEX('Fuel Selector'!O$5:O$111,MATCH('TCO - Input'!$D525,'Fuel Selector'!$B$5:$B$111,0))</f>
        <v>40.223084032062019</v>
      </c>
      <c r="X525" s="18">
        <f>INDEX('Fuel Selector'!P$5:P$111,MATCH('TCO - Input'!$D525,'Fuel Selector'!$B$5:$B$111,0))</f>
        <v>33.398588190157433</v>
      </c>
      <c r="Y525" s="18">
        <f>INDEX('Fuel Selector'!Q$5:Q$111,MATCH('TCO - Input'!$D525,'Fuel Selector'!$B$5:$B$111,0))</f>
        <v>27.674829071297133</v>
      </c>
      <c r="Z525" s="344">
        <f t="shared" ref="Z525:AD525" si="449">Y525</f>
        <v>27.674829071297133</v>
      </c>
      <c r="AA525" s="344">
        <f t="shared" si="449"/>
        <v>27.674829071297133</v>
      </c>
      <c r="AB525" s="344">
        <f t="shared" si="449"/>
        <v>27.674829071297133</v>
      </c>
      <c r="AC525" s="344">
        <f t="shared" si="449"/>
        <v>27.674829071297133</v>
      </c>
      <c r="AD525" s="344">
        <f t="shared" si="449"/>
        <v>27.674829071297133</v>
      </c>
    </row>
    <row r="526" spans="4:30" x14ac:dyDescent="0.2">
      <c r="D526" s="347" t="str">
        <f t="shared" si="437"/>
        <v>Biomethanol - Asia - Fuel cost total - USD/GJ</v>
      </c>
      <c r="F526" t="str">
        <f t="shared" si="438"/>
        <v>Biomethanol</v>
      </c>
      <c r="L526" t="str">
        <f t="shared" si="441"/>
        <v>Asia</v>
      </c>
      <c r="N526" t="str">
        <f t="shared" si="439"/>
        <v>Fuel cost total - USD/GJ</v>
      </c>
      <c r="P526" s="224"/>
      <c r="Q526" t="s">
        <v>324</v>
      </c>
      <c r="R526" s="14"/>
      <c r="S526" s="18">
        <f>INDEX('Fuel Selector'!K$5:K$111,MATCH('TCO - Input'!$D526,'Fuel Selector'!$B$5:$B$111,0))</f>
        <v>50.519022186851963</v>
      </c>
      <c r="T526" s="18">
        <f>INDEX('Fuel Selector'!L$5:L$111,MATCH('TCO - Input'!$D526,'Fuel Selector'!$B$5:$B$111,0))</f>
        <v>35.160696047404159</v>
      </c>
      <c r="U526" s="18">
        <f>INDEX('Fuel Selector'!M$5:M$111,MATCH('TCO - Input'!$D526,'Fuel Selector'!$B$5:$B$111,0))</f>
        <v>29.539274318293401</v>
      </c>
      <c r="V526" s="18">
        <f>INDEX('Fuel Selector'!N$5:N$111,MATCH('TCO - Input'!$D526,'Fuel Selector'!$B$5:$B$111,0))</f>
        <v>27.23440032382387</v>
      </c>
      <c r="W526" s="18">
        <f>INDEX('Fuel Selector'!O$5:O$111,MATCH('TCO - Input'!$D526,'Fuel Selector'!$B$5:$B$111,0))</f>
        <v>25.020244710838195</v>
      </c>
      <c r="X526" s="18">
        <f>INDEX('Fuel Selector'!P$5:P$111,MATCH('TCO - Input'!$D526,'Fuel Selector'!$B$5:$B$111,0))</f>
        <v>23.673295648521428</v>
      </c>
      <c r="Y526" s="18">
        <f>INDEX('Fuel Selector'!Q$5:Q$111,MATCH('TCO - Input'!$D526,'Fuel Selector'!$B$5:$B$111,0))</f>
        <v>22.439929819708691</v>
      </c>
      <c r="Z526" s="344">
        <f t="shared" ref="Z526:AD526" si="450">Y526</f>
        <v>22.439929819708691</v>
      </c>
      <c r="AA526" s="344">
        <f t="shared" si="450"/>
        <v>22.439929819708691</v>
      </c>
      <c r="AB526" s="344">
        <f t="shared" si="450"/>
        <v>22.439929819708691</v>
      </c>
      <c r="AC526" s="344">
        <f t="shared" si="450"/>
        <v>22.439929819708691</v>
      </c>
      <c r="AD526" s="344">
        <f t="shared" si="450"/>
        <v>22.439929819708691</v>
      </c>
    </row>
    <row r="527" spans="4:30" x14ac:dyDescent="0.2">
      <c r="D527" s="347" t="str">
        <f t="shared" si="437"/>
        <v>e-Methanol (DAC) - Asia - Fuel cost total - USD/GJ</v>
      </c>
      <c r="F527" t="str">
        <f t="shared" si="438"/>
        <v>e-Methanol (DAC)</v>
      </c>
      <c r="L527" t="str">
        <f t="shared" si="441"/>
        <v>Asia</v>
      </c>
      <c r="N527" t="str">
        <f t="shared" si="439"/>
        <v>Fuel cost total - USD/GJ</v>
      </c>
      <c r="P527" s="224"/>
      <c r="Q527" t="s">
        <v>324</v>
      </c>
      <c r="R527" s="14"/>
      <c r="S527" s="18">
        <f>INDEX('Fuel Selector'!K$5:K$111,MATCH('TCO - Input'!$D527,'Fuel Selector'!$B$5:$B$111,0))</f>
        <v>115.81686215686668</v>
      </c>
      <c r="T527" s="18">
        <f>INDEX('Fuel Selector'!L$5:L$111,MATCH('TCO - Input'!$D527,'Fuel Selector'!$B$5:$B$111,0))</f>
        <v>82.880323716926398</v>
      </c>
      <c r="U527" s="18">
        <f>INDEX('Fuel Selector'!M$5:M$111,MATCH('TCO - Input'!$D527,'Fuel Selector'!$B$5:$B$111,0))</f>
        <v>65.797481195168601</v>
      </c>
      <c r="V527" s="18">
        <f>INDEX('Fuel Selector'!N$5:N$111,MATCH('TCO - Input'!$D527,'Fuel Selector'!$B$5:$B$111,0))</f>
        <v>56.500026334621367</v>
      </c>
      <c r="W527" s="18">
        <f>INDEX('Fuel Selector'!O$5:O$111,MATCH('TCO - Input'!$D527,'Fuel Selector'!$B$5:$B$111,0))</f>
        <v>48.650411576569653</v>
      </c>
      <c r="X527" s="18">
        <f>INDEX('Fuel Selector'!P$5:P$111,MATCH('TCO - Input'!$D527,'Fuel Selector'!$B$5:$B$111,0))</f>
        <v>39.604233240918859</v>
      </c>
      <c r="Y527" s="18">
        <f>INDEX('Fuel Selector'!Q$5:Q$111,MATCH('TCO - Input'!$D527,'Fuel Selector'!$B$5:$B$111,0))</f>
        <v>32.183513332511346</v>
      </c>
      <c r="Z527" s="344">
        <f t="shared" ref="Z527:AD527" si="451">Y527</f>
        <v>32.183513332511346</v>
      </c>
      <c r="AA527" s="344">
        <f t="shared" si="451"/>
        <v>32.183513332511346</v>
      </c>
      <c r="AB527" s="344">
        <f t="shared" si="451"/>
        <v>32.183513332511346</v>
      </c>
      <c r="AC527" s="344">
        <f t="shared" si="451"/>
        <v>32.183513332511346</v>
      </c>
      <c r="AD527" s="344">
        <f t="shared" si="451"/>
        <v>32.183513332511346</v>
      </c>
    </row>
    <row r="528" spans="4:30" x14ac:dyDescent="0.2">
      <c r="D528" s="347" t="str">
        <f t="shared" si="437"/>
        <v>e-Methanol (PS) - Asia - Fuel cost total - USD/GJ</v>
      </c>
      <c r="F528" t="str">
        <f t="shared" si="438"/>
        <v>e-Methanol (PS)</v>
      </c>
      <c r="L528" t="str">
        <f t="shared" si="441"/>
        <v>Asia</v>
      </c>
      <c r="N528" t="str">
        <f t="shared" si="439"/>
        <v>Fuel cost total - USD/GJ</v>
      </c>
      <c r="P528" s="224"/>
      <c r="Q528" t="s">
        <v>324</v>
      </c>
      <c r="R528" s="14"/>
      <c r="S528" s="18">
        <f>INDEX('Fuel Selector'!K$5:K$111,MATCH('TCO - Input'!$D528,'Fuel Selector'!$B$5:$B$111,0))</f>
        <v>102.46359707763797</v>
      </c>
      <c r="T528" s="18">
        <f>INDEX('Fuel Selector'!L$5:L$111,MATCH('TCO - Input'!$D528,'Fuel Selector'!$B$5:$B$111,0))</f>
        <v>75.06952739390151</v>
      </c>
      <c r="U528" s="18">
        <f>INDEX('Fuel Selector'!M$5:M$111,MATCH('TCO - Input'!$D528,'Fuel Selector'!$B$5:$B$111,0))</f>
        <v>59.687087958492775</v>
      </c>
      <c r="V528" s="18">
        <f>INDEX('Fuel Selector'!N$5:N$111,MATCH('TCO - Input'!$D528,'Fuel Selector'!$B$5:$B$111,0))</f>
        <v>52.269122172733276</v>
      </c>
      <c r="W528" s="18">
        <f>INDEX('Fuel Selector'!O$5:O$111,MATCH('TCO - Input'!$D528,'Fuel Selector'!$B$5:$B$111,0))</f>
        <v>45.473374928579439</v>
      </c>
      <c r="X528" s="18">
        <f>INDEX('Fuel Selector'!P$5:P$111,MATCH('TCO - Input'!$D528,'Fuel Selector'!$B$5:$B$111,0))</f>
        <v>37.234665301392887</v>
      </c>
      <c r="Y528" s="18">
        <f>INDEX('Fuel Selector'!Q$5:Q$111,MATCH('TCO - Input'!$D528,'Fuel Selector'!$B$5:$B$111,0))</f>
        <v>30.186240742089442</v>
      </c>
      <c r="Z528" s="344">
        <f t="shared" ref="Z528:AD528" si="452">Y528</f>
        <v>30.186240742089442</v>
      </c>
      <c r="AA528" s="344">
        <f t="shared" si="452"/>
        <v>30.186240742089442</v>
      </c>
      <c r="AB528" s="344">
        <f t="shared" si="452"/>
        <v>30.186240742089442</v>
      </c>
      <c r="AC528" s="344">
        <f t="shared" si="452"/>
        <v>30.186240742089442</v>
      </c>
      <c r="AD528" s="344">
        <f t="shared" si="452"/>
        <v>30.186240742089442</v>
      </c>
    </row>
    <row r="529" spans="4:30" x14ac:dyDescent="0.2">
      <c r="D529" s="347" t="str">
        <f t="shared" si="437"/>
        <v>Biodiesel (HtL) - Asia - Fuel cost total - USD/GJ</v>
      </c>
      <c r="F529" t="str">
        <f t="shared" si="438"/>
        <v>Biodiesel (HtL)</v>
      </c>
      <c r="L529" t="str">
        <f t="shared" si="441"/>
        <v>Asia</v>
      </c>
      <c r="N529" t="str">
        <f t="shared" si="439"/>
        <v>Fuel cost total - USD/GJ</v>
      </c>
      <c r="P529" s="224"/>
      <c r="Q529" t="s">
        <v>324</v>
      </c>
      <c r="R529" s="14"/>
      <c r="S529" s="18">
        <f>INDEX('Fuel Selector'!K$5:K$111,MATCH('TCO - Input'!$D529,'Fuel Selector'!$B$5:$B$111,0))</f>
        <v>160.33266712927582</v>
      </c>
      <c r="T529" s="18">
        <f>INDEX('Fuel Selector'!L$5:L$111,MATCH('TCO - Input'!$D529,'Fuel Selector'!$B$5:$B$111,0))</f>
        <v>52.796443566704085</v>
      </c>
      <c r="U529" s="18">
        <f>INDEX('Fuel Selector'!M$5:M$111,MATCH('TCO - Input'!$D529,'Fuel Selector'!$B$5:$B$111,0))</f>
        <v>23.478677204372801</v>
      </c>
      <c r="V529" s="18">
        <f>INDEX('Fuel Selector'!N$5:N$111,MATCH('TCO - Input'!$D529,'Fuel Selector'!$B$5:$B$111,0))</f>
        <v>23.02133380593709</v>
      </c>
      <c r="W529" s="18">
        <f>INDEX('Fuel Selector'!O$5:O$111,MATCH('TCO - Input'!$D529,'Fuel Selector'!$B$5:$B$111,0))</f>
        <v>22.618621547257447</v>
      </c>
      <c r="X529" s="18">
        <f>INDEX('Fuel Selector'!P$5:P$111,MATCH('TCO - Input'!$D529,'Fuel Selector'!$B$5:$B$111,0))</f>
        <v>22.051104717306217</v>
      </c>
      <c r="Y529" s="18">
        <f>INDEX('Fuel Selector'!Q$5:Q$111,MATCH('TCO - Input'!$D529,'Fuel Selector'!$B$5:$B$111,0))</f>
        <v>21.155938549921764</v>
      </c>
      <c r="Z529" s="344">
        <f t="shared" ref="Z529:AD529" si="453">Y529</f>
        <v>21.155938549921764</v>
      </c>
      <c r="AA529" s="344">
        <f t="shared" si="453"/>
        <v>21.155938549921764</v>
      </c>
      <c r="AB529" s="344">
        <f t="shared" si="453"/>
        <v>21.155938549921764</v>
      </c>
      <c r="AC529" s="344">
        <f t="shared" si="453"/>
        <v>21.155938549921764</v>
      </c>
      <c r="AD529" s="344">
        <f t="shared" si="453"/>
        <v>21.155938549921764</v>
      </c>
    </row>
    <row r="530" spans="4:30" x14ac:dyDescent="0.2">
      <c r="D530" s="347" t="str">
        <f t="shared" si="437"/>
        <v>Biodiesel (Pyr) - Asia - Fuel cost total - USD/GJ</v>
      </c>
      <c r="F530" t="str">
        <f t="shared" si="438"/>
        <v>Biodiesel (Pyr)</v>
      </c>
      <c r="L530" t="str">
        <f t="shared" si="441"/>
        <v>Asia</v>
      </c>
      <c r="N530" t="str">
        <f t="shared" si="439"/>
        <v>Fuel cost total - USD/GJ</v>
      </c>
      <c r="P530" s="224"/>
      <c r="Q530" t="s">
        <v>324</v>
      </c>
      <c r="R530" s="14"/>
      <c r="S530" s="18">
        <f>INDEX('Fuel Selector'!K$5:K$111,MATCH('TCO - Input'!$D530,'Fuel Selector'!$B$5:$B$111,0))</f>
        <v>61.602157094929424</v>
      </c>
      <c r="T530" s="18">
        <f>INDEX('Fuel Selector'!L$5:L$111,MATCH('TCO - Input'!$D530,'Fuel Selector'!$B$5:$B$111,0))</f>
        <v>38.433681024188083</v>
      </c>
      <c r="U530" s="18">
        <f>INDEX('Fuel Selector'!M$5:M$111,MATCH('TCO - Input'!$D530,'Fuel Selector'!$B$5:$B$111,0))</f>
        <v>20.8970375426122</v>
      </c>
      <c r="V530" s="18">
        <f>INDEX('Fuel Selector'!N$5:N$111,MATCH('TCO - Input'!$D530,'Fuel Selector'!$B$5:$B$111,0))</f>
        <v>21.336352240615508</v>
      </c>
      <c r="W530" s="18">
        <f>INDEX('Fuel Selector'!O$5:O$111,MATCH('TCO - Input'!$D530,'Fuel Selector'!$B$5:$B$111,0))</f>
        <v>21.41186504879223</v>
      </c>
      <c r="X530" s="18">
        <f>INDEX('Fuel Selector'!P$5:P$111,MATCH('TCO - Input'!$D530,'Fuel Selector'!$B$5:$B$111,0))</f>
        <v>21.108109073132464</v>
      </c>
      <c r="Y530" s="18">
        <f>INDEX('Fuel Selector'!Q$5:Q$111,MATCH('TCO - Input'!$D530,'Fuel Selector'!$B$5:$B$111,0))</f>
        <v>20.112013470231418</v>
      </c>
      <c r="Z530" s="344">
        <f t="shared" ref="Z530:AD530" si="454">Y530</f>
        <v>20.112013470231418</v>
      </c>
      <c r="AA530" s="344">
        <f t="shared" si="454"/>
        <v>20.112013470231418</v>
      </c>
      <c r="AB530" s="344">
        <f t="shared" si="454"/>
        <v>20.112013470231418</v>
      </c>
      <c r="AC530" s="344">
        <f t="shared" si="454"/>
        <v>20.112013470231418</v>
      </c>
      <c r="AD530" s="344">
        <f t="shared" si="454"/>
        <v>20.112013470231418</v>
      </c>
    </row>
    <row r="531" spans="4:30" x14ac:dyDescent="0.2">
      <c r="D531" s="347" t="str">
        <f t="shared" si="437"/>
        <v>e-Diesel (DAC) - Asia - Fuel cost total - USD/GJ</v>
      </c>
      <c r="F531" t="str">
        <f t="shared" si="438"/>
        <v>e-Diesel (DAC)</v>
      </c>
      <c r="L531" t="str">
        <f t="shared" si="441"/>
        <v>Asia</v>
      </c>
      <c r="N531" t="str">
        <f t="shared" si="439"/>
        <v>Fuel cost total - USD/GJ</v>
      </c>
      <c r="P531" s="224"/>
      <c r="Q531" t="s">
        <v>324</v>
      </c>
      <c r="R531" s="14"/>
      <c r="S531" s="18">
        <f>INDEX('Fuel Selector'!K$5:K$111,MATCH('TCO - Input'!$D531,'Fuel Selector'!$B$5:$B$111,0))</f>
        <v>130.91809043540079</v>
      </c>
      <c r="T531" s="18">
        <f>INDEX('Fuel Selector'!L$5:L$111,MATCH('TCO - Input'!$D531,'Fuel Selector'!$B$5:$B$111,0))</f>
        <v>94.012674174274792</v>
      </c>
      <c r="U531" s="18">
        <f>INDEX('Fuel Selector'!M$5:M$111,MATCH('TCO - Input'!$D531,'Fuel Selector'!$B$5:$B$111,0))</f>
        <v>74.736998556798568</v>
      </c>
      <c r="V531" s="18">
        <f>INDEX('Fuel Selector'!N$5:N$111,MATCH('TCO - Input'!$D531,'Fuel Selector'!$B$5:$B$111,0))</f>
        <v>65.048909963937589</v>
      </c>
      <c r="W531" s="18">
        <f>INDEX('Fuel Selector'!O$5:O$111,MATCH('TCO - Input'!$D531,'Fuel Selector'!$B$5:$B$111,0))</f>
        <v>56.757253033686915</v>
      </c>
      <c r="X531" s="18">
        <f>INDEX('Fuel Selector'!P$5:P$111,MATCH('TCO - Input'!$D531,'Fuel Selector'!$B$5:$B$111,0))</f>
        <v>45.588173680342763</v>
      </c>
      <c r="Y531" s="18">
        <f>INDEX('Fuel Selector'!Q$5:Q$111,MATCH('TCO - Input'!$D531,'Fuel Selector'!$B$5:$B$111,0))</f>
        <v>36.450824001493771</v>
      </c>
      <c r="Z531" s="344">
        <f t="shared" ref="Z531:AD531" si="455">Y531</f>
        <v>36.450824001493771</v>
      </c>
      <c r="AA531" s="344">
        <f t="shared" si="455"/>
        <v>36.450824001493771</v>
      </c>
      <c r="AB531" s="344">
        <f t="shared" si="455"/>
        <v>36.450824001493771</v>
      </c>
      <c r="AC531" s="344">
        <f t="shared" si="455"/>
        <v>36.450824001493771</v>
      </c>
      <c r="AD531" s="344">
        <f t="shared" si="455"/>
        <v>36.450824001493771</v>
      </c>
    </row>
    <row r="532" spans="4:30" x14ac:dyDescent="0.2">
      <c r="D532" s="347" t="str">
        <f t="shared" si="437"/>
        <v>e-Diesel (PS) - Asia - Fuel cost total - USD/GJ</v>
      </c>
      <c r="F532" t="str">
        <f t="shared" si="438"/>
        <v>e-Diesel (PS)</v>
      </c>
      <c r="L532" t="str">
        <f t="shared" si="441"/>
        <v>Asia</v>
      </c>
      <c r="N532" t="str">
        <f t="shared" si="439"/>
        <v>Fuel cost total - USD/GJ</v>
      </c>
      <c r="P532" s="224"/>
      <c r="Q532" t="s">
        <v>324</v>
      </c>
      <c r="R532" s="14"/>
      <c r="S532" s="18">
        <f>INDEX('Fuel Selector'!K$5:K$111,MATCH('TCO - Input'!$D532,'Fuel Selector'!$B$5:$B$111,0))</f>
        <v>115.1506876055707</v>
      </c>
      <c r="T532" s="18">
        <f>INDEX('Fuel Selector'!L$5:L$111,MATCH('TCO - Input'!$D532,'Fuel Selector'!$B$5:$B$111,0))</f>
        <v>84.789763424269495</v>
      </c>
      <c r="U532" s="18">
        <f>INDEX('Fuel Selector'!M$5:M$111,MATCH('TCO - Input'!$D532,'Fuel Selector'!$B$5:$B$111,0))</f>
        <v>67.521906888978407</v>
      </c>
      <c r="V532" s="18">
        <f>INDEX('Fuel Selector'!N$5:N$111,MATCH('TCO - Input'!$D532,'Fuel Selector'!$B$5:$B$111,0))</f>
        <v>60.053100335424844</v>
      </c>
      <c r="W532" s="18">
        <f>INDEX('Fuel Selector'!O$5:O$111,MATCH('TCO - Input'!$D532,'Fuel Selector'!$B$5:$B$111,0))</f>
        <v>53.005839702432333</v>
      </c>
      <c r="X532" s="18">
        <f>INDEX('Fuel Selector'!P$5:P$111,MATCH('TCO - Input'!$D532,'Fuel Selector'!$B$5:$B$111,0))</f>
        <v>42.790211383220864</v>
      </c>
      <c r="Y532" s="18">
        <f>INDEX('Fuel Selector'!Q$5:Q$111,MATCH('TCO - Input'!$D532,'Fuel Selector'!$B$5:$B$111,0))</f>
        <v>34.092464356320058</v>
      </c>
      <c r="Z532" s="344">
        <f t="shared" ref="Z532:AD532" si="456">Y532</f>
        <v>34.092464356320058</v>
      </c>
      <c r="AA532" s="344">
        <f t="shared" si="456"/>
        <v>34.092464356320058</v>
      </c>
      <c r="AB532" s="344">
        <f t="shared" si="456"/>
        <v>34.092464356320058</v>
      </c>
      <c r="AC532" s="344">
        <f t="shared" si="456"/>
        <v>34.092464356320058</v>
      </c>
      <c r="AD532" s="344">
        <f t="shared" si="456"/>
        <v>34.092464356320058</v>
      </c>
    </row>
    <row r="533" spans="4:30" x14ac:dyDescent="0.2">
      <c r="D533" s="347" t="str">
        <f t="shared" si="437"/>
        <v>Biodiesel (HtL blend) - Asia - Fuel cost total - USD/GJ</v>
      </c>
      <c r="F533" t="str">
        <f t="shared" si="438"/>
        <v>Biodiesel (HtL blend)</v>
      </c>
      <c r="L533" t="str">
        <f t="shared" si="441"/>
        <v>Asia</v>
      </c>
      <c r="N533" t="str">
        <f t="shared" si="439"/>
        <v>Fuel cost total - USD/GJ</v>
      </c>
      <c r="P533" s="224"/>
      <c r="Q533" t="s">
        <v>324</v>
      </c>
      <c r="R533" s="14"/>
      <c r="S533" s="18">
        <f>INDEX('Fuel Selector'!K$5:K$111,MATCH('TCO - Input'!$D533,'Fuel Selector'!$B$5:$B$111,0))</f>
        <v>39.383399663749394</v>
      </c>
      <c r="T533" s="18">
        <f>INDEX('Fuel Selector'!L$5:L$111,MATCH('TCO - Input'!$D533,'Fuel Selector'!$B$5:$B$111,0))</f>
        <v>26.073584749982437</v>
      </c>
      <c r="U533" s="18">
        <f>INDEX('Fuel Selector'!M$5:M$111,MATCH('TCO - Input'!$D533,'Fuel Selector'!$B$5:$B$111,0))</f>
        <v>15.495386363305496</v>
      </c>
      <c r="V533" s="18">
        <f>INDEX('Fuel Selector'!N$5:N$111,MATCH('TCO - Input'!$D533,'Fuel Selector'!$B$5:$B$111,0))</f>
        <v>15.117945263822271</v>
      </c>
      <c r="W533" s="18">
        <f>INDEX('Fuel Selector'!O$5:O$111,MATCH('TCO - Input'!$D533,'Fuel Selector'!$B$5:$B$111,0))</f>
        <v>14.965970505041275</v>
      </c>
      <c r="X533" s="18">
        <f>INDEX('Fuel Selector'!P$5:P$111,MATCH('TCO - Input'!$D533,'Fuel Selector'!$B$5:$B$111,0))</f>
        <v>14.798170850649541</v>
      </c>
      <c r="Y533" s="18">
        <f>INDEX('Fuel Selector'!Q$5:Q$111,MATCH('TCO - Input'!$D533,'Fuel Selector'!$B$5:$B$111,0))</f>
        <v>14.65805003062848</v>
      </c>
      <c r="Z533" s="344">
        <f t="shared" ref="Z533:AD533" si="457">Y533</f>
        <v>14.65805003062848</v>
      </c>
      <c r="AA533" s="344">
        <f t="shared" si="457"/>
        <v>14.65805003062848</v>
      </c>
      <c r="AB533" s="344">
        <f t="shared" si="457"/>
        <v>14.65805003062848</v>
      </c>
      <c r="AC533" s="344">
        <f t="shared" si="457"/>
        <v>14.65805003062848</v>
      </c>
      <c r="AD533" s="344">
        <f t="shared" si="457"/>
        <v>14.65805003062848</v>
      </c>
    </row>
    <row r="534" spans="4:30" x14ac:dyDescent="0.2">
      <c r="D534" s="347" t="str">
        <f t="shared" si="437"/>
        <v>Biodiesel (Pyr blend) - Asia - Fuel cost total - USD/GJ</v>
      </c>
      <c r="F534" t="str">
        <f t="shared" si="438"/>
        <v>Biodiesel (Pyr blend)</v>
      </c>
      <c r="L534" t="str">
        <f t="shared" si="441"/>
        <v>Asia</v>
      </c>
      <c r="N534" t="str">
        <f t="shared" si="439"/>
        <v>Fuel cost total - USD/GJ</v>
      </c>
      <c r="P534" s="224"/>
      <c r="Q534" t="s">
        <v>324</v>
      </c>
      <c r="R534" s="14"/>
      <c r="S534" s="18">
        <f>INDEX('Fuel Selector'!K$5:K$111,MATCH('TCO - Input'!$D534,'Fuel Selector'!$B$5:$B$111,0))</f>
        <v>24.04327155680464</v>
      </c>
      <c r="T534" s="18">
        <f>INDEX('Fuel Selector'!L$5:L$111,MATCH('TCO - Input'!$D534,'Fuel Selector'!$B$5:$B$111,0))</f>
        <v>17.082331228459019</v>
      </c>
      <c r="U534" s="18">
        <f>INDEX('Fuel Selector'!M$5:M$111,MATCH('TCO - Input'!$D534,'Fuel Selector'!$B$5:$B$111,0))</f>
        <v>13.569083932158239</v>
      </c>
      <c r="V534" s="18">
        <f>INDEX('Fuel Selector'!N$5:N$111,MATCH('TCO - Input'!$D534,'Fuel Selector'!$B$5:$B$111,0))</f>
        <v>13.552568568715099</v>
      </c>
      <c r="W534" s="18">
        <f>INDEX('Fuel Selector'!O$5:O$111,MATCH('TCO - Input'!$D534,'Fuel Selector'!$B$5:$B$111,0))</f>
        <v>13.601764259864213</v>
      </c>
      <c r="X534" s="18">
        <f>INDEX('Fuel Selector'!P$5:P$111,MATCH('TCO - Input'!$D534,'Fuel Selector'!$B$5:$B$111,0))</f>
        <v>13.634312476394822</v>
      </c>
      <c r="Y534" s="18">
        <f>INDEX('Fuel Selector'!Q$5:Q$111,MATCH('TCO - Input'!$D534,'Fuel Selector'!$B$5:$B$111,0))</f>
        <v>13.684330313362873</v>
      </c>
      <c r="Z534" s="344">
        <f t="shared" ref="Z534:AD534" si="458">Y534</f>
        <v>13.684330313362873</v>
      </c>
      <c r="AA534" s="344">
        <f t="shared" si="458"/>
        <v>13.684330313362873</v>
      </c>
      <c r="AB534" s="344">
        <f t="shared" si="458"/>
        <v>13.684330313362873</v>
      </c>
      <c r="AC534" s="344">
        <f t="shared" si="458"/>
        <v>13.684330313362873</v>
      </c>
      <c r="AD534" s="344">
        <f t="shared" si="458"/>
        <v>13.684330313362873</v>
      </c>
    </row>
    <row r="535" spans="4:30" x14ac:dyDescent="0.2">
      <c r="D535" s="347" t="str">
        <f t="shared" si="437"/>
        <v>Blue hydrogen (liquid) - Asia - Fuel cost total - USD/GJ</v>
      </c>
      <c r="F535" t="str">
        <f t="shared" si="438"/>
        <v>Blue hydrogen (liquid)</v>
      </c>
      <c r="L535" t="str">
        <f t="shared" si="441"/>
        <v>Asia</v>
      </c>
      <c r="N535" t="str">
        <f t="shared" si="439"/>
        <v>Fuel cost total - USD/GJ</v>
      </c>
      <c r="P535" s="224"/>
      <c r="Q535" t="s">
        <v>324</v>
      </c>
      <c r="R535" s="14"/>
      <c r="S535" s="18">
        <f>INDEX('Fuel Selector'!K$5:K$111,MATCH('TCO - Input'!$D535,'Fuel Selector'!$B$5:$B$111,0))</f>
        <v>89.194848358349219</v>
      </c>
      <c r="T535" s="18">
        <f>INDEX('Fuel Selector'!L$5:L$111,MATCH('TCO - Input'!$D535,'Fuel Selector'!$B$5:$B$111,0))</f>
        <v>58.217017153086843</v>
      </c>
      <c r="U535" s="18">
        <f>INDEX('Fuel Selector'!M$5:M$111,MATCH('TCO - Input'!$D535,'Fuel Selector'!$B$5:$B$111,0))</f>
        <v>45.098266727186413</v>
      </c>
      <c r="V535" s="18">
        <f>INDEX('Fuel Selector'!N$5:N$111,MATCH('TCO - Input'!$D535,'Fuel Selector'!$B$5:$B$111,0))</f>
        <v>43.771450763068366</v>
      </c>
      <c r="W535" s="18">
        <f>INDEX('Fuel Selector'!O$5:O$111,MATCH('TCO - Input'!$D535,'Fuel Selector'!$B$5:$B$111,0))</f>
        <v>42.808107446456305</v>
      </c>
      <c r="X535" s="18">
        <f>INDEX('Fuel Selector'!P$5:P$111,MATCH('TCO - Input'!$D535,'Fuel Selector'!$B$5:$B$111,0))</f>
        <v>41.886718812152658</v>
      </c>
      <c r="Y535" s="18">
        <f>INDEX('Fuel Selector'!Q$5:Q$111,MATCH('TCO - Input'!$D535,'Fuel Selector'!$B$5:$B$111,0))</f>
        <v>41.18835523212352</v>
      </c>
      <c r="Z535" s="344">
        <f t="shared" ref="Z535:AD535" si="459">Y535</f>
        <v>41.18835523212352</v>
      </c>
      <c r="AA535" s="344">
        <f t="shared" si="459"/>
        <v>41.18835523212352</v>
      </c>
      <c r="AB535" s="344">
        <f t="shared" si="459"/>
        <v>41.18835523212352</v>
      </c>
      <c r="AC535" s="344">
        <f t="shared" si="459"/>
        <v>41.18835523212352</v>
      </c>
      <c r="AD535" s="344">
        <f t="shared" si="459"/>
        <v>41.18835523212352</v>
      </c>
    </row>
    <row r="536" spans="4:30" x14ac:dyDescent="0.2">
      <c r="D536" s="347" t="str">
        <f>_xlfn.TEXTJOIN(keydelim,TRUE,E536:N536)</f>
        <v>e-Hydrogen (liquid) - Asia - Fuel cost total - USD/GJ</v>
      </c>
      <c r="F536" t="str">
        <f t="shared" si="438"/>
        <v>e-Hydrogen (liquid)</v>
      </c>
      <c r="L536" t="str">
        <f t="shared" si="441"/>
        <v>Asia</v>
      </c>
      <c r="N536" t="str">
        <f>"Fuel cost total"  &amp;keydelim &amp;Q536</f>
        <v>Fuel cost total - USD/GJ</v>
      </c>
      <c r="P536" s="224"/>
      <c r="Q536" t="s">
        <v>324</v>
      </c>
      <c r="R536" s="14"/>
      <c r="S536" s="18">
        <f>INDEX('Fuel Selector'!K$5:K$111,MATCH('TCO - Input'!$D536,'Fuel Selector'!$B$5:$B$111,0))</f>
        <v>81.414806822994649</v>
      </c>
      <c r="T536" s="18">
        <f>INDEX('Fuel Selector'!L$5:L$111,MATCH('TCO - Input'!$D536,'Fuel Selector'!$B$5:$B$111,0))</f>
        <v>62.989445081342637</v>
      </c>
      <c r="U536" s="18">
        <f>INDEX('Fuel Selector'!M$5:M$111,MATCH('TCO - Input'!$D536,'Fuel Selector'!$B$5:$B$111,0))</f>
        <v>55.061301418756862</v>
      </c>
      <c r="V536" s="18">
        <f>INDEX('Fuel Selector'!N$5:N$111,MATCH('TCO - Input'!$D536,'Fuel Selector'!$B$5:$B$111,0))</f>
        <v>50.464116902270746</v>
      </c>
      <c r="W536" s="18">
        <f>INDEX('Fuel Selector'!O$5:O$111,MATCH('TCO - Input'!$D536,'Fuel Selector'!$B$5:$B$111,0))</f>
        <v>46.339002814187282</v>
      </c>
      <c r="X536" s="18">
        <f>INDEX('Fuel Selector'!P$5:P$111,MATCH('TCO - Input'!$D536,'Fuel Selector'!$B$5:$B$111,0))</f>
        <v>41.337942889955478</v>
      </c>
      <c r="Y536" s="18">
        <f>INDEX('Fuel Selector'!Q$5:Q$111,MATCH('TCO - Input'!$D536,'Fuel Selector'!$B$5:$B$111,0))</f>
        <v>37.371556181194563</v>
      </c>
      <c r="Z536" s="344">
        <f t="shared" ref="Z536:AD536" si="460">Y536</f>
        <v>37.371556181194563</v>
      </c>
      <c r="AA536" s="344">
        <f t="shared" si="460"/>
        <v>37.371556181194563</v>
      </c>
      <c r="AB536" s="344">
        <f t="shared" si="460"/>
        <v>37.371556181194563</v>
      </c>
      <c r="AC536" s="344">
        <f t="shared" si="460"/>
        <v>37.371556181194563</v>
      </c>
      <c r="AD536" s="344">
        <f t="shared" si="460"/>
        <v>37.371556181194563</v>
      </c>
    </row>
    <row r="537" spans="4:30" x14ac:dyDescent="0.2">
      <c r="R537" s="14"/>
      <c r="S537" s="18"/>
      <c r="T537" s="18"/>
      <c r="U537" s="18"/>
      <c r="V537" s="18"/>
      <c r="W537" s="18"/>
      <c r="X537" s="18"/>
      <c r="Y537" s="18"/>
      <c r="Z537" s="18"/>
      <c r="AA537" s="18"/>
      <c r="AB537" s="18"/>
      <c r="AC537" s="18"/>
      <c r="AD537" s="18"/>
    </row>
    <row r="538" spans="4:30" x14ac:dyDescent="0.2">
      <c r="D538" s="347" t="str">
        <f t="shared" ref="D538:D549" si="461">_xlfn.TEXTJOIN(keydelim,TRUE,E538:N538)</f>
        <v>LSFO - Americas - Fuel cost total - USD/GJ</v>
      </c>
      <c r="F538" t="str">
        <f t="shared" ref="F538:F557" si="462">F496</f>
        <v>LSFO</v>
      </c>
      <c r="L538" t="s">
        <v>199</v>
      </c>
      <c r="N538" t="str">
        <f t="shared" ref="N538:N549" si="463">"Fuel cost total"  &amp;keydelim &amp;Q538</f>
        <v>Fuel cost total - USD/GJ</v>
      </c>
      <c r="O538" s="224"/>
      <c r="P538" s="224" t="s">
        <v>608</v>
      </c>
      <c r="Q538" t="s">
        <v>324</v>
      </c>
      <c r="R538" s="14"/>
      <c r="S538" s="18">
        <f>INDEX('Fuel Selector'!K$5:K$111,MATCH('TCO - Input'!$D538,'Fuel Selector'!$B$5:$B$111,0))</f>
        <v>21.473621920116738</v>
      </c>
      <c r="T538" s="18">
        <f>INDEX('Fuel Selector'!L$5:L$111,MATCH('TCO - Input'!$D538,'Fuel Selector'!$B$5:$B$111,0))</f>
        <v>15.404989638344617</v>
      </c>
      <c r="U538" s="18">
        <f>INDEX('Fuel Selector'!M$5:M$111,MATCH('TCO - Input'!$D538,'Fuel Selector'!$B$5:$B$111,0))</f>
        <v>13.444354593464393</v>
      </c>
      <c r="V538" s="18">
        <f>INDEX('Fuel Selector'!N$5:N$111,MATCH('TCO - Input'!$D538,'Fuel Selector'!$B$5:$B$111,0))</f>
        <v>13.444354593464393</v>
      </c>
      <c r="W538" s="18">
        <f>INDEX('Fuel Selector'!O$5:O$111,MATCH('TCO - Input'!$D538,'Fuel Selector'!$B$5:$B$111,0))</f>
        <v>13.444354593464393</v>
      </c>
      <c r="X538" s="18">
        <f>INDEX('Fuel Selector'!P$5:P$111,MATCH('TCO - Input'!$D538,'Fuel Selector'!$B$5:$B$111,0))</f>
        <v>13.444354593464393</v>
      </c>
      <c r="Y538" s="18">
        <f>INDEX('Fuel Selector'!Q$5:Q$111,MATCH('TCO - Input'!$D538,'Fuel Selector'!$B$5:$B$111,0))</f>
        <v>13.444354593464393</v>
      </c>
      <c r="Z538" s="344">
        <f>Y538</f>
        <v>13.444354593464393</v>
      </c>
      <c r="AA538" s="344">
        <f t="shared" ref="AA538:AD538" si="464">Z538</f>
        <v>13.444354593464393</v>
      </c>
      <c r="AB538" s="344">
        <f t="shared" si="464"/>
        <v>13.444354593464393</v>
      </c>
      <c r="AC538" s="344">
        <f t="shared" si="464"/>
        <v>13.444354593464393</v>
      </c>
      <c r="AD538" s="344">
        <f t="shared" si="464"/>
        <v>13.444354593464393</v>
      </c>
    </row>
    <row r="539" spans="4:30" x14ac:dyDescent="0.2">
      <c r="D539" s="347" t="str">
        <f t="shared" si="461"/>
        <v>LNG - Americas - Fuel cost total - USD/GJ</v>
      </c>
      <c r="F539" t="str">
        <f t="shared" si="462"/>
        <v>LNG</v>
      </c>
      <c r="L539" t="str">
        <f t="shared" ref="L539:L557" si="465">L538</f>
        <v>Americas</v>
      </c>
      <c r="N539" t="str">
        <f t="shared" si="463"/>
        <v>Fuel cost total - USD/GJ</v>
      </c>
      <c r="O539" s="224"/>
      <c r="P539" s="224"/>
      <c r="Q539" t="s">
        <v>324</v>
      </c>
      <c r="R539" s="14"/>
      <c r="S539" s="18">
        <f>INDEX('Fuel Selector'!K$5:K$111,MATCH('TCO - Input'!$D539,'Fuel Selector'!$B$5:$B$111,0))</f>
        <v>12.873442687834986</v>
      </c>
      <c r="T539" s="18">
        <f>INDEX('Fuel Selector'!L$5:L$111,MATCH('TCO - Input'!$D539,'Fuel Selector'!$B$5:$B$111,0))</f>
        <v>10.226469551918509</v>
      </c>
      <c r="U539" s="18">
        <f>INDEX('Fuel Selector'!M$5:M$111,MATCH('TCO - Input'!$D539,'Fuel Selector'!$B$5:$B$111,0))</f>
        <v>9.8401313848846801</v>
      </c>
      <c r="V539" s="18">
        <f>INDEX('Fuel Selector'!N$5:N$111,MATCH('TCO - Input'!$D539,'Fuel Selector'!$B$5:$B$111,0))</f>
        <v>10.33170589513348</v>
      </c>
      <c r="W539" s="18">
        <f>INDEX('Fuel Selector'!O$5:O$111,MATCH('TCO - Input'!$D539,'Fuel Selector'!$B$5:$B$111,0))</f>
        <v>10.207909339206351</v>
      </c>
      <c r="X539" s="18">
        <f>INDEX('Fuel Selector'!P$5:P$111,MATCH('TCO - Input'!$D539,'Fuel Selector'!$B$5:$B$111,0))</f>
        <v>10.105262718802512</v>
      </c>
      <c r="Y539" s="18">
        <f>INDEX('Fuel Selector'!Q$5:Q$111,MATCH('TCO - Input'!$D539,'Fuel Selector'!$B$5:$B$111,0))</f>
        <v>10.007856661887102</v>
      </c>
      <c r="Z539" s="344">
        <f t="shared" ref="Z539:AD539" si="466">Y539</f>
        <v>10.007856661887102</v>
      </c>
      <c r="AA539" s="344">
        <f t="shared" si="466"/>
        <v>10.007856661887102</v>
      </c>
      <c r="AB539" s="344">
        <f t="shared" si="466"/>
        <v>10.007856661887102</v>
      </c>
      <c r="AC539" s="344">
        <f t="shared" si="466"/>
        <v>10.007856661887102</v>
      </c>
      <c r="AD539" s="344">
        <f t="shared" si="466"/>
        <v>10.007856661887102</v>
      </c>
    </row>
    <row r="540" spans="4:30" x14ac:dyDescent="0.2">
      <c r="D540" s="347" t="str">
        <f t="shared" si="461"/>
        <v>LPG - Americas - Fuel cost total - USD/GJ</v>
      </c>
      <c r="F540" t="str">
        <f t="shared" si="462"/>
        <v>LPG</v>
      </c>
      <c r="L540" t="str">
        <f t="shared" si="465"/>
        <v>Americas</v>
      </c>
      <c r="N540" t="str">
        <f t="shared" si="463"/>
        <v>Fuel cost total - USD/GJ</v>
      </c>
      <c r="O540" s="224"/>
      <c r="P540" s="224"/>
      <c r="Q540" t="s">
        <v>324</v>
      </c>
      <c r="R540" s="14"/>
      <c r="S540" s="18">
        <f>INDEX('Fuel Selector'!K$5:K$111,MATCH('TCO - Input'!$D540,'Fuel Selector'!$B$5:$B$111,0))</f>
        <v>16.525069073439496</v>
      </c>
      <c r="T540" s="18">
        <f>INDEX('Fuel Selector'!L$5:L$111,MATCH('TCO - Input'!$D540,'Fuel Selector'!$B$5:$B$111,0))</f>
        <v>11.854940857032684</v>
      </c>
      <c r="U540" s="18">
        <f>INDEX('Fuel Selector'!M$5:M$111,MATCH('TCO - Input'!$D540,'Fuel Selector'!$B$5:$B$111,0))</f>
        <v>10.34613020250125</v>
      </c>
      <c r="V540" s="18">
        <f>INDEX('Fuel Selector'!N$5:N$111,MATCH('TCO - Input'!$D540,'Fuel Selector'!$B$5:$B$111,0))</f>
        <v>10.34613020250125</v>
      </c>
      <c r="W540" s="18">
        <f>INDEX('Fuel Selector'!O$5:O$111,MATCH('TCO - Input'!$D540,'Fuel Selector'!$B$5:$B$111,0))</f>
        <v>10.34613020250125</v>
      </c>
      <c r="X540" s="18">
        <f>INDEX('Fuel Selector'!P$5:P$111,MATCH('TCO - Input'!$D540,'Fuel Selector'!$B$5:$B$111,0))</f>
        <v>10.34613020250125</v>
      </c>
      <c r="Y540" s="18">
        <f>INDEX('Fuel Selector'!Q$5:Q$111,MATCH('TCO - Input'!$D540,'Fuel Selector'!$B$5:$B$111,0))</f>
        <v>10.34613020250125</v>
      </c>
      <c r="Z540" s="344">
        <f t="shared" ref="Z540:AD540" si="467">Y540</f>
        <v>10.34613020250125</v>
      </c>
      <c r="AA540" s="344">
        <f t="shared" si="467"/>
        <v>10.34613020250125</v>
      </c>
      <c r="AB540" s="344">
        <f t="shared" si="467"/>
        <v>10.34613020250125</v>
      </c>
      <c r="AC540" s="344">
        <f t="shared" si="467"/>
        <v>10.34613020250125</v>
      </c>
      <c r="AD540" s="344">
        <f t="shared" si="467"/>
        <v>10.34613020250125</v>
      </c>
    </row>
    <row r="541" spans="4:30" x14ac:dyDescent="0.2">
      <c r="D541" s="347" t="str">
        <f t="shared" si="461"/>
        <v>Electricity - Americas - Fuel cost total - USD/GJ</v>
      </c>
      <c r="F541" t="str">
        <f t="shared" si="462"/>
        <v>Electricity</v>
      </c>
      <c r="L541" t="str">
        <f t="shared" si="465"/>
        <v>Americas</v>
      </c>
      <c r="N541" t="str">
        <f t="shared" si="463"/>
        <v>Fuel cost total - USD/GJ</v>
      </c>
      <c r="O541" s="224"/>
      <c r="P541" s="224"/>
      <c r="Q541" t="s">
        <v>324</v>
      </c>
      <c r="R541" s="14"/>
      <c r="S541" s="18">
        <f>INDEX('Fuel Selector'!K$5:K$111,MATCH('TCO - Input'!$D541,'Fuel Selector'!$B$5:$B$111,0))</f>
        <v>29.606610279860774</v>
      </c>
      <c r="T541" s="18">
        <f>INDEX('Fuel Selector'!L$5:L$111,MATCH('TCO - Input'!$D541,'Fuel Selector'!$B$5:$B$111,0))</f>
        <v>28.551415296812699</v>
      </c>
      <c r="U541" s="18">
        <f>INDEX('Fuel Selector'!M$5:M$111,MATCH('TCO - Input'!$D541,'Fuel Selector'!$B$5:$B$111,0))</f>
        <v>26.767721424929555</v>
      </c>
      <c r="V541" s="18">
        <f>INDEX('Fuel Selector'!N$5:N$111,MATCH('TCO - Input'!$D541,'Fuel Selector'!$B$5:$B$111,0))</f>
        <v>25.909365109613198</v>
      </c>
      <c r="W541" s="18">
        <f>INDEX('Fuel Selector'!O$5:O$111,MATCH('TCO - Input'!$D541,'Fuel Selector'!$B$5:$B$111,0))</f>
        <v>25.213560366782488</v>
      </c>
      <c r="X541" s="18">
        <f>INDEX('Fuel Selector'!P$5:P$111,MATCH('TCO - Input'!$D541,'Fuel Selector'!$B$5:$B$111,0))</f>
        <v>24.933242781797102</v>
      </c>
      <c r="Y541" s="18">
        <f>INDEX('Fuel Selector'!Q$5:Q$111,MATCH('TCO - Input'!$D541,'Fuel Selector'!$B$5:$B$111,0))</f>
        <v>24.721763004952003</v>
      </c>
      <c r="Z541" s="344">
        <f t="shared" ref="Z541:AD541" si="468">Y541</f>
        <v>24.721763004952003</v>
      </c>
      <c r="AA541" s="344">
        <f t="shared" si="468"/>
        <v>24.721763004952003</v>
      </c>
      <c r="AB541" s="344">
        <f t="shared" si="468"/>
        <v>24.721763004952003</v>
      </c>
      <c r="AC541" s="344">
        <f t="shared" si="468"/>
        <v>24.721763004952003</v>
      </c>
      <c r="AD541" s="344">
        <f t="shared" si="468"/>
        <v>24.721763004952003</v>
      </c>
    </row>
    <row r="542" spans="4:30" x14ac:dyDescent="0.2">
      <c r="D542" s="347" t="str">
        <f t="shared" si="461"/>
        <v>e-Ammonia - Americas - Fuel cost total - USD/GJ</v>
      </c>
      <c r="F542" t="str">
        <f t="shared" si="462"/>
        <v>e-Ammonia</v>
      </c>
      <c r="L542" t="str">
        <f t="shared" si="465"/>
        <v>Americas</v>
      </c>
      <c r="N542" t="str">
        <f t="shared" si="463"/>
        <v>Fuel cost total - USD/GJ</v>
      </c>
      <c r="O542" s="383"/>
      <c r="P542" s="224"/>
      <c r="Q542" t="s">
        <v>324</v>
      </c>
      <c r="R542" s="14"/>
      <c r="S542" s="18">
        <f>INDEX('Fuel Selector'!K$5:K$111,MATCH('TCO - Input'!$D542,'Fuel Selector'!$B$5:$B$111,0))</f>
        <v>61.817909586374178</v>
      </c>
      <c r="T542" s="18">
        <f>INDEX('Fuel Selector'!L$5:L$111,MATCH('TCO - Input'!$D542,'Fuel Selector'!$B$5:$B$111,0))</f>
        <v>48.179989524372552</v>
      </c>
      <c r="U542" s="18">
        <f>INDEX('Fuel Selector'!M$5:M$111,MATCH('TCO - Input'!$D542,'Fuel Selector'!$B$5:$B$111,0))</f>
        <v>33.632608474306316</v>
      </c>
      <c r="V542" s="18">
        <f>INDEX('Fuel Selector'!N$5:N$111,MATCH('TCO - Input'!$D542,'Fuel Selector'!$B$5:$B$111,0))</f>
        <v>30.972118104892825</v>
      </c>
      <c r="W542" s="18">
        <f>INDEX('Fuel Selector'!O$5:O$111,MATCH('TCO - Input'!$D542,'Fuel Selector'!$B$5:$B$111,0))</f>
        <v>27.102827113433456</v>
      </c>
      <c r="X542" s="18">
        <f>INDEX('Fuel Selector'!P$5:P$111,MATCH('TCO - Input'!$D542,'Fuel Selector'!$B$5:$B$111,0))</f>
        <v>23.068770554708113</v>
      </c>
      <c r="Y542" s="18">
        <f>INDEX('Fuel Selector'!Q$5:Q$111,MATCH('TCO - Input'!$D542,'Fuel Selector'!$B$5:$B$111,0))</f>
        <v>19.088795787215808</v>
      </c>
      <c r="Z542" s="344">
        <f t="shared" ref="Z542:AD542" si="469">Y542</f>
        <v>19.088795787215808</v>
      </c>
      <c r="AA542" s="344">
        <f t="shared" si="469"/>
        <v>19.088795787215808</v>
      </c>
      <c r="AB542" s="344">
        <f t="shared" si="469"/>
        <v>19.088795787215808</v>
      </c>
      <c r="AC542" s="344">
        <f t="shared" si="469"/>
        <v>19.088795787215808</v>
      </c>
      <c r="AD542" s="344">
        <f t="shared" si="469"/>
        <v>19.088795787215808</v>
      </c>
    </row>
    <row r="543" spans="4:30" x14ac:dyDescent="0.2">
      <c r="D543" s="347" t="str">
        <f t="shared" si="461"/>
        <v>Blue ammonia - Americas - Fuel cost total - USD/GJ</v>
      </c>
      <c r="F543" t="str">
        <f t="shared" si="462"/>
        <v>Blue ammonia</v>
      </c>
      <c r="L543" t="str">
        <f t="shared" si="465"/>
        <v>Americas</v>
      </c>
      <c r="N543" t="str">
        <f t="shared" si="463"/>
        <v>Fuel cost total - USD/GJ</v>
      </c>
      <c r="O543" s="383"/>
      <c r="P543" s="224"/>
      <c r="Q543" t="s">
        <v>324</v>
      </c>
      <c r="R543" s="14"/>
      <c r="S543" s="18">
        <f>INDEX('Fuel Selector'!K$5:K$111,MATCH('TCO - Input'!$D543,'Fuel Selector'!$B$5:$B$111,0))</f>
        <v>31.832016165493137</v>
      </c>
      <c r="T543" s="18">
        <f>INDEX('Fuel Selector'!L$5:L$111,MATCH('TCO - Input'!$D543,'Fuel Selector'!$B$5:$B$111,0))</f>
        <v>26.228216208408899</v>
      </c>
      <c r="U543" s="18">
        <f>INDEX('Fuel Selector'!M$5:M$111,MATCH('TCO - Input'!$D543,'Fuel Selector'!$B$5:$B$111,0))</f>
        <v>24.343485032630539</v>
      </c>
      <c r="V543" s="18">
        <f>INDEX('Fuel Selector'!N$5:N$111,MATCH('TCO - Input'!$D543,'Fuel Selector'!$B$5:$B$111,0))</f>
        <v>24.933138640582158</v>
      </c>
      <c r="W543" s="18">
        <f>INDEX('Fuel Selector'!O$5:O$111,MATCH('TCO - Input'!$D543,'Fuel Selector'!$B$5:$B$111,0))</f>
        <v>24.507230530708025</v>
      </c>
      <c r="X543" s="18">
        <f>INDEX('Fuel Selector'!P$5:P$111,MATCH('TCO - Input'!$D543,'Fuel Selector'!$B$5:$B$111,0))</f>
        <v>24.095929836484558</v>
      </c>
      <c r="Y543" s="18">
        <f>INDEX('Fuel Selector'!Q$5:Q$111,MATCH('TCO - Input'!$D543,'Fuel Selector'!$B$5:$B$111,0))</f>
        <v>23.687049295223705</v>
      </c>
      <c r="Z543" s="344">
        <f t="shared" ref="Z543:AD543" si="470">Y543</f>
        <v>23.687049295223705</v>
      </c>
      <c r="AA543" s="344">
        <f t="shared" si="470"/>
        <v>23.687049295223705</v>
      </c>
      <c r="AB543" s="344">
        <f t="shared" si="470"/>
        <v>23.687049295223705</v>
      </c>
      <c r="AC543" s="344">
        <f t="shared" si="470"/>
        <v>23.687049295223705</v>
      </c>
      <c r="AD543" s="344">
        <f t="shared" si="470"/>
        <v>23.687049295223705</v>
      </c>
    </row>
    <row r="544" spans="4:30" x14ac:dyDescent="0.2">
      <c r="D544" s="347" t="str">
        <f t="shared" si="461"/>
        <v>Biomethane - Americas - Fuel cost total - USD/GJ</v>
      </c>
      <c r="F544" t="str">
        <f t="shared" si="462"/>
        <v>Biomethane</v>
      </c>
      <c r="L544" t="str">
        <f t="shared" si="465"/>
        <v>Americas</v>
      </c>
      <c r="N544" t="str">
        <f t="shared" si="463"/>
        <v>Fuel cost total - USD/GJ</v>
      </c>
      <c r="P544" s="224"/>
      <c r="Q544" t="s">
        <v>324</v>
      </c>
      <c r="R544" s="389"/>
      <c r="S544" s="18">
        <f>INDEX('Fuel Selector'!K$5:K$111,MATCH('TCO - Input'!$D544,'Fuel Selector'!$B$5:$B$111,0))</f>
        <v>24.992339455379884</v>
      </c>
      <c r="T544" s="18">
        <f>INDEX('Fuel Selector'!L$5:L$111,MATCH('TCO - Input'!$D544,'Fuel Selector'!$B$5:$B$111,0))</f>
        <v>23.582557232901461</v>
      </c>
      <c r="U544" s="18">
        <f>INDEX('Fuel Selector'!M$5:M$111,MATCH('TCO - Input'!$D544,'Fuel Selector'!$B$5:$B$111,0))</f>
        <v>22.175076298046879</v>
      </c>
      <c r="V544" s="18">
        <f>INDEX('Fuel Selector'!N$5:N$111,MATCH('TCO - Input'!$D544,'Fuel Selector'!$B$5:$B$111,0))</f>
        <v>20.861120131229672</v>
      </c>
      <c r="W544" s="18">
        <f>INDEX('Fuel Selector'!O$5:O$111,MATCH('TCO - Input'!$D544,'Fuel Selector'!$B$5:$B$111,0))</f>
        <v>19.54844982518977</v>
      </c>
      <c r="X544" s="18">
        <f>INDEX('Fuel Selector'!P$5:P$111,MATCH('TCO - Input'!$D544,'Fuel Selector'!$B$5:$B$111,0))</f>
        <v>18.272254930900708</v>
      </c>
      <c r="Y544" s="18">
        <f>INDEX('Fuel Selector'!Q$5:Q$111,MATCH('TCO - Input'!$D544,'Fuel Selector'!$B$5:$B$111,0))</f>
        <v>17.001910606521193</v>
      </c>
      <c r="Z544" s="344">
        <f t="shared" ref="Z544:AD544" si="471">Y544</f>
        <v>17.001910606521193</v>
      </c>
      <c r="AA544" s="344">
        <f t="shared" si="471"/>
        <v>17.001910606521193</v>
      </c>
      <c r="AB544" s="344">
        <f t="shared" si="471"/>
        <v>17.001910606521193</v>
      </c>
      <c r="AC544" s="344">
        <f t="shared" si="471"/>
        <v>17.001910606521193</v>
      </c>
      <c r="AD544" s="344">
        <f t="shared" si="471"/>
        <v>17.001910606521193</v>
      </c>
    </row>
    <row r="545" spans="4:30" x14ac:dyDescent="0.2">
      <c r="D545" s="347" t="str">
        <f t="shared" si="461"/>
        <v>e-Methane (DAC) - Americas - Fuel cost total - USD/GJ</v>
      </c>
      <c r="F545" t="str">
        <f t="shared" si="462"/>
        <v>e-Methane (DAC)</v>
      </c>
      <c r="L545" t="str">
        <f t="shared" si="465"/>
        <v>Americas</v>
      </c>
      <c r="N545" t="str">
        <f t="shared" si="463"/>
        <v>Fuel cost total - USD/GJ</v>
      </c>
      <c r="O545" s="383"/>
      <c r="P545" s="224"/>
      <c r="Q545" t="s">
        <v>324</v>
      </c>
      <c r="R545" s="14"/>
      <c r="S545" s="18">
        <f>INDEX('Fuel Selector'!K$5:K$111,MATCH('TCO - Input'!$D545,'Fuel Selector'!$B$5:$B$111,0))</f>
        <v>65.194182108480746</v>
      </c>
      <c r="T545" s="18">
        <f>INDEX('Fuel Selector'!L$5:L$111,MATCH('TCO - Input'!$D545,'Fuel Selector'!$B$5:$B$111,0))</f>
        <v>56.069541588176328</v>
      </c>
      <c r="U545" s="18">
        <f>INDEX('Fuel Selector'!M$5:M$111,MATCH('TCO - Input'!$D545,'Fuel Selector'!$B$5:$B$111,0))</f>
        <v>46.52257014451029</v>
      </c>
      <c r="V545" s="18">
        <f>INDEX('Fuel Selector'!N$5:N$111,MATCH('TCO - Input'!$D545,'Fuel Selector'!$B$5:$B$111,0))</f>
        <v>42.041177567381588</v>
      </c>
      <c r="W545" s="18">
        <f>INDEX('Fuel Selector'!O$5:O$111,MATCH('TCO - Input'!$D545,'Fuel Selector'!$B$5:$B$111,0))</f>
        <v>36.605576152299939</v>
      </c>
      <c r="X545" s="18">
        <f>INDEX('Fuel Selector'!P$5:P$111,MATCH('TCO - Input'!$D545,'Fuel Selector'!$B$5:$B$111,0))</f>
        <v>31.122280955594817</v>
      </c>
      <c r="Y545" s="18">
        <f>INDEX('Fuel Selector'!Q$5:Q$111,MATCH('TCO - Input'!$D545,'Fuel Selector'!$B$5:$B$111,0))</f>
        <v>25.852918748237371</v>
      </c>
      <c r="Z545" s="344">
        <f t="shared" ref="Z545:AD545" si="472">Y545</f>
        <v>25.852918748237371</v>
      </c>
      <c r="AA545" s="344">
        <f t="shared" si="472"/>
        <v>25.852918748237371</v>
      </c>
      <c r="AB545" s="344">
        <f t="shared" si="472"/>
        <v>25.852918748237371</v>
      </c>
      <c r="AC545" s="344">
        <f t="shared" si="472"/>
        <v>25.852918748237371</v>
      </c>
      <c r="AD545" s="344">
        <f t="shared" si="472"/>
        <v>25.852918748237371</v>
      </c>
    </row>
    <row r="546" spans="4:30" x14ac:dyDescent="0.2">
      <c r="D546" s="347" t="str">
        <f t="shared" si="461"/>
        <v>e-Methane (PS) - Americas - Fuel cost total - USD/GJ</v>
      </c>
      <c r="F546" t="str">
        <f t="shared" si="462"/>
        <v>e-Methane (PS)</v>
      </c>
      <c r="L546" t="str">
        <f t="shared" si="465"/>
        <v>Americas</v>
      </c>
      <c r="N546" t="str">
        <f t="shared" si="463"/>
        <v>Fuel cost total - USD/GJ</v>
      </c>
      <c r="O546" s="383"/>
      <c r="P546" s="224"/>
      <c r="Q546" t="s">
        <v>324</v>
      </c>
      <c r="R546" s="14"/>
      <c r="S546" s="18">
        <f>INDEX('Fuel Selector'!K$5:K$111,MATCH('TCO - Input'!$D546,'Fuel Selector'!$B$5:$B$111,0))</f>
        <v>60.596518380440408</v>
      </c>
      <c r="T546" s="18">
        <f>INDEX('Fuel Selector'!L$5:L$111,MATCH('TCO - Input'!$D546,'Fuel Selector'!$B$5:$B$111,0))</f>
        <v>52.227707408625982</v>
      </c>
      <c r="U546" s="18">
        <f>INDEX('Fuel Selector'!M$5:M$111,MATCH('TCO - Input'!$D546,'Fuel Selector'!$B$5:$B$111,0))</f>
        <v>43.395331733809968</v>
      </c>
      <c r="V546" s="18">
        <f>INDEX('Fuel Selector'!N$5:N$111,MATCH('TCO - Input'!$D546,'Fuel Selector'!$B$5:$B$111,0))</f>
        <v>39.848340998833805</v>
      </c>
      <c r="W546" s="18">
        <f>INDEX('Fuel Selector'!O$5:O$111,MATCH('TCO - Input'!$D546,'Fuel Selector'!$B$5:$B$111,0))</f>
        <v>35.053102689279079</v>
      </c>
      <c r="X546" s="18">
        <f>INDEX('Fuel Selector'!P$5:P$111,MATCH('TCO - Input'!$D546,'Fuel Selector'!$B$5:$B$111,0))</f>
        <v>29.883279582443826</v>
      </c>
      <c r="Y546" s="18">
        <f>INDEX('Fuel Selector'!Q$5:Q$111,MATCH('TCO - Input'!$D546,'Fuel Selector'!$B$5:$B$111,0))</f>
        <v>24.777104546978485</v>
      </c>
      <c r="Z546" s="344">
        <f t="shared" ref="Z546:AD546" si="473">Y546</f>
        <v>24.777104546978485</v>
      </c>
      <c r="AA546" s="344">
        <f t="shared" si="473"/>
        <v>24.777104546978485</v>
      </c>
      <c r="AB546" s="344">
        <f t="shared" si="473"/>
        <v>24.777104546978485</v>
      </c>
      <c r="AC546" s="344">
        <f t="shared" si="473"/>
        <v>24.777104546978485</v>
      </c>
      <c r="AD546" s="344">
        <f t="shared" si="473"/>
        <v>24.777104546978485</v>
      </c>
    </row>
    <row r="547" spans="4:30" x14ac:dyDescent="0.2">
      <c r="D547" s="347" t="str">
        <f t="shared" si="461"/>
        <v>Biomethanol - Americas - Fuel cost total - USD/GJ</v>
      </c>
      <c r="F547" t="str">
        <f t="shared" si="462"/>
        <v>Biomethanol</v>
      </c>
      <c r="L547" t="str">
        <f t="shared" si="465"/>
        <v>Americas</v>
      </c>
      <c r="N547" t="str">
        <f t="shared" si="463"/>
        <v>Fuel cost total - USD/GJ</v>
      </c>
      <c r="P547" s="224"/>
      <c r="Q547" t="s">
        <v>324</v>
      </c>
      <c r="R547" s="14"/>
      <c r="S547" s="18">
        <f>INDEX('Fuel Selector'!K$5:K$111,MATCH('TCO - Input'!$D547,'Fuel Selector'!$B$5:$B$111,0))</f>
        <v>50.413146644858799</v>
      </c>
      <c r="T547" s="18">
        <f>INDEX('Fuel Selector'!L$5:L$111,MATCH('TCO - Input'!$D547,'Fuel Selector'!$B$5:$B$111,0))</f>
        <v>35.64803481433929</v>
      </c>
      <c r="U547" s="18">
        <f>INDEX('Fuel Selector'!M$5:M$111,MATCH('TCO - Input'!$D547,'Fuel Selector'!$B$5:$B$111,0))</f>
        <v>30.189439381861785</v>
      </c>
      <c r="V547" s="18">
        <f>INDEX('Fuel Selector'!N$5:N$111,MATCH('TCO - Input'!$D547,'Fuel Selector'!$B$5:$B$111,0))</f>
        <v>27.926554707652151</v>
      </c>
      <c r="W547" s="18">
        <f>INDEX('Fuel Selector'!O$5:O$111,MATCH('TCO - Input'!$D547,'Fuel Selector'!$B$5:$B$111,0))</f>
        <v>25.67950630101631</v>
      </c>
      <c r="X547" s="18">
        <f>INDEX('Fuel Selector'!P$5:P$111,MATCH('TCO - Input'!$D547,'Fuel Selector'!$B$5:$B$111,0))</f>
        <v>24.464470128207164</v>
      </c>
      <c r="Y547" s="18">
        <f>INDEX('Fuel Selector'!Q$5:Q$111,MATCH('TCO - Input'!$D547,'Fuel Selector'!$B$5:$B$111,0))</f>
        <v>23.195249772405049</v>
      </c>
      <c r="Z547" s="344">
        <f t="shared" ref="Z547:AD547" si="474">Y547</f>
        <v>23.195249772405049</v>
      </c>
      <c r="AA547" s="344">
        <f t="shared" si="474"/>
        <v>23.195249772405049</v>
      </c>
      <c r="AB547" s="344">
        <f t="shared" si="474"/>
        <v>23.195249772405049</v>
      </c>
      <c r="AC547" s="344">
        <f t="shared" si="474"/>
        <v>23.195249772405049</v>
      </c>
      <c r="AD547" s="344">
        <f t="shared" si="474"/>
        <v>23.195249772405049</v>
      </c>
    </row>
    <row r="548" spans="4:30" x14ac:dyDescent="0.2">
      <c r="D548" s="347" t="str">
        <f t="shared" si="461"/>
        <v>e-Methanol (DAC) - Americas - Fuel cost total - USD/GJ</v>
      </c>
      <c r="F548" t="str">
        <f t="shared" si="462"/>
        <v>e-Methanol (DAC)</v>
      </c>
      <c r="L548" t="str">
        <f t="shared" si="465"/>
        <v>Americas</v>
      </c>
      <c r="N548" t="str">
        <f t="shared" si="463"/>
        <v>Fuel cost total - USD/GJ</v>
      </c>
      <c r="P548" s="224"/>
      <c r="Q548" t="s">
        <v>324</v>
      </c>
      <c r="R548" s="14"/>
      <c r="S548" s="18">
        <f>INDEX('Fuel Selector'!K$5:K$111,MATCH('TCO - Input'!$D548,'Fuel Selector'!$B$5:$B$111,0))</f>
        <v>81.049766122169189</v>
      </c>
      <c r="T548" s="18">
        <f>INDEX('Fuel Selector'!L$5:L$111,MATCH('TCO - Input'!$D548,'Fuel Selector'!$B$5:$B$111,0))</f>
        <v>68.359421501546706</v>
      </c>
      <c r="U548" s="18">
        <f>INDEX('Fuel Selector'!M$5:M$111,MATCH('TCO - Input'!$D548,'Fuel Selector'!$B$5:$B$111,0))</f>
        <v>54.574405060599268</v>
      </c>
      <c r="V548" s="18">
        <f>INDEX('Fuel Selector'!N$5:N$111,MATCH('TCO - Input'!$D548,'Fuel Selector'!$B$5:$B$111,0))</f>
        <v>48.578325681956656</v>
      </c>
      <c r="W548" s="18">
        <f>INDEX('Fuel Selector'!O$5:O$111,MATCH('TCO - Input'!$D548,'Fuel Selector'!$B$5:$B$111,0))</f>
        <v>41.809411640818183</v>
      </c>
      <c r="X548" s="18">
        <f>INDEX('Fuel Selector'!P$5:P$111,MATCH('TCO - Input'!$D548,'Fuel Selector'!$B$5:$B$111,0))</f>
        <v>34.944867513462974</v>
      </c>
      <c r="Y548" s="18">
        <f>INDEX('Fuel Selector'!Q$5:Q$111,MATCH('TCO - Input'!$D548,'Fuel Selector'!$B$5:$B$111,0))</f>
        <v>28.34615266609427</v>
      </c>
      <c r="Z548" s="344">
        <f t="shared" ref="Z548:AD548" si="475">Y548</f>
        <v>28.34615266609427</v>
      </c>
      <c r="AA548" s="344">
        <f t="shared" si="475"/>
        <v>28.34615266609427</v>
      </c>
      <c r="AB548" s="344">
        <f t="shared" si="475"/>
        <v>28.34615266609427</v>
      </c>
      <c r="AC548" s="344">
        <f t="shared" si="475"/>
        <v>28.34615266609427</v>
      </c>
      <c r="AD548" s="344">
        <f t="shared" si="475"/>
        <v>28.34615266609427</v>
      </c>
    </row>
    <row r="549" spans="4:30" x14ac:dyDescent="0.2">
      <c r="D549" s="347" t="str">
        <f t="shared" si="461"/>
        <v>e-Methanol (PS) - Americas - Fuel cost total - USD/GJ</v>
      </c>
      <c r="F549" t="str">
        <f t="shared" si="462"/>
        <v>e-Methanol (PS)</v>
      </c>
      <c r="L549" t="str">
        <f t="shared" si="465"/>
        <v>Americas</v>
      </c>
      <c r="N549" t="str">
        <f t="shared" si="463"/>
        <v>Fuel cost total - USD/GJ</v>
      </c>
      <c r="P549" s="224"/>
      <c r="Q549" t="s">
        <v>324</v>
      </c>
      <c r="R549" s="14"/>
      <c r="S549" s="18">
        <f>INDEX('Fuel Selector'!K$5:K$111,MATCH('TCO - Input'!$D549,'Fuel Selector'!$B$5:$B$111,0))</f>
        <v>75.26623565499473</v>
      </c>
      <c r="T549" s="18">
        <f>INDEX('Fuel Selector'!L$5:L$111,MATCH('TCO - Input'!$D549,'Fuel Selector'!$B$5:$B$111,0))</f>
        <v>63.526670273624227</v>
      </c>
      <c r="U549" s="18">
        <f>INDEX('Fuel Selector'!M$5:M$111,MATCH('TCO - Input'!$D549,'Fuel Selector'!$B$5:$B$111,0))</f>
        <v>50.640563941228727</v>
      </c>
      <c r="V549" s="18">
        <f>INDEX('Fuel Selector'!N$5:N$111,MATCH('TCO - Input'!$D549,'Fuel Selector'!$B$5:$B$111,0))</f>
        <v>45.81989491061011</v>
      </c>
      <c r="W549" s="18">
        <f>INDEX('Fuel Selector'!O$5:O$111,MATCH('TCO - Input'!$D549,'Fuel Selector'!$B$5:$B$111,0))</f>
        <v>39.856511623772349</v>
      </c>
      <c r="X549" s="18">
        <f>INDEX('Fuel Selector'!P$5:P$111,MATCH('TCO - Input'!$D549,'Fuel Selector'!$B$5:$B$111,0))</f>
        <v>33.38629285155659</v>
      </c>
      <c r="Y549" s="18">
        <f>INDEX('Fuel Selector'!Q$5:Q$111,MATCH('TCO - Input'!$D549,'Fuel Selector'!$B$5:$B$111,0))</f>
        <v>26.992855735730963</v>
      </c>
      <c r="Z549" s="344">
        <f t="shared" ref="Z549:AD549" si="476">Y549</f>
        <v>26.992855735730963</v>
      </c>
      <c r="AA549" s="344">
        <f t="shared" si="476"/>
        <v>26.992855735730963</v>
      </c>
      <c r="AB549" s="344">
        <f t="shared" si="476"/>
        <v>26.992855735730963</v>
      </c>
      <c r="AC549" s="344">
        <f t="shared" si="476"/>
        <v>26.992855735730963</v>
      </c>
      <c r="AD549" s="344">
        <f t="shared" si="476"/>
        <v>26.992855735730963</v>
      </c>
    </row>
    <row r="550" spans="4:30" x14ac:dyDescent="0.2">
      <c r="D550" s="347" t="str">
        <f t="shared" ref="D550:D556" si="477">_xlfn.TEXTJOIN(keydelim,TRUE,E550:N550)</f>
        <v>Biodiesel (HtL) - Americas - Fuel cost total - USD/GJ</v>
      </c>
      <c r="F550" t="str">
        <f t="shared" si="462"/>
        <v>Biodiesel (HtL)</v>
      </c>
      <c r="L550" t="str">
        <f t="shared" si="465"/>
        <v>Americas</v>
      </c>
      <c r="N550" t="str">
        <f t="shared" ref="N550:N556" si="478">"Fuel cost total"  &amp;keydelim &amp;Q550</f>
        <v>Fuel cost total - USD/GJ</v>
      </c>
      <c r="P550" s="224"/>
      <c r="Q550" t="s">
        <v>324</v>
      </c>
      <c r="R550" s="14"/>
      <c r="S550" s="18">
        <f>INDEX('Fuel Selector'!K$5:K$111,MATCH('TCO - Input'!$D550,'Fuel Selector'!$B$5:$B$111,0))</f>
        <v>153.39459156703819</v>
      </c>
      <c r="T550" s="18">
        <f>INDEX('Fuel Selector'!L$5:L$111,MATCH('TCO - Input'!$D550,'Fuel Selector'!$B$5:$B$111,0))</f>
        <v>50.321861070478889</v>
      </c>
      <c r="U550" s="18">
        <f>INDEX('Fuel Selector'!M$5:M$111,MATCH('TCO - Input'!$D550,'Fuel Selector'!$B$5:$B$111,0))</f>
        <v>22.987766650574166</v>
      </c>
      <c r="V550" s="18">
        <f>INDEX('Fuel Selector'!N$5:N$111,MATCH('TCO - Input'!$D550,'Fuel Selector'!$B$5:$B$111,0))</f>
        <v>22.740020369429736</v>
      </c>
      <c r="W550" s="18">
        <f>INDEX('Fuel Selector'!O$5:O$111,MATCH('TCO - Input'!$D550,'Fuel Selector'!$B$5:$B$111,0))</f>
        <v>22.323315429814144</v>
      </c>
      <c r="X550" s="18">
        <f>INDEX('Fuel Selector'!P$5:P$111,MATCH('TCO - Input'!$D550,'Fuel Selector'!$B$5:$B$111,0))</f>
        <v>21.865211242877635</v>
      </c>
      <c r="Y550" s="18">
        <f>INDEX('Fuel Selector'!Q$5:Q$111,MATCH('TCO - Input'!$D550,'Fuel Selector'!$B$5:$B$111,0))</f>
        <v>21.034263448343211</v>
      </c>
      <c r="Z550" s="344">
        <f t="shared" ref="Z550:AD550" si="479">Y550</f>
        <v>21.034263448343211</v>
      </c>
      <c r="AA550" s="344">
        <f t="shared" si="479"/>
        <v>21.034263448343211</v>
      </c>
      <c r="AB550" s="344">
        <f t="shared" si="479"/>
        <v>21.034263448343211</v>
      </c>
      <c r="AC550" s="344">
        <f t="shared" si="479"/>
        <v>21.034263448343211</v>
      </c>
      <c r="AD550" s="344">
        <f t="shared" si="479"/>
        <v>21.034263448343211</v>
      </c>
    </row>
    <row r="551" spans="4:30" x14ac:dyDescent="0.2">
      <c r="D551" s="347" t="str">
        <f t="shared" si="477"/>
        <v>Biodiesel (Pyr) - Americas - Fuel cost total - USD/GJ</v>
      </c>
      <c r="F551" t="str">
        <f t="shared" si="462"/>
        <v>Biodiesel (Pyr)</v>
      </c>
      <c r="L551" t="str">
        <f t="shared" si="465"/>
        <v>Americas</v>
      </c>
      <c r="N551" t="str">
        <f t="shared" si="478"/>
        <v>Fuel cost total - USD/GJ</v>
      </c>
      <c r="P551" s="224"/>
      <c r="Q551" t="s">
        <v>324</v>
      </c>
      <c r="R551" s="14"/>
      <c r="S551" s="18">
        <f>INDEX('Fuel Selector'!K$5:K$111,MATCH('TCO - Input'!$D551,'Fuel Selector'!$B$5:$B$111,0))</f>
        <v>48.934808962777126</v>
      </c>
      <c r="T551" s="18">
        <f>INDEX('Fuel Selector'!L$5:L$111,MATCH('TCO - Input'!$D551,'Fuel Selector'!$B$5:$B$111,0))</f>
        <v>34.38444089360484</v>
      </c>
      <c r="U551" s="18">
        <f>INDEX('Fuel Selector'!M$5:M$111,MATCH('TCO - Input'!$D551,'Fuel Selector'!$B$5:$B$111,0))</f>
        <v>20.914743616313462</v>
      </c>
      <c r="V551" s="18">
        <f>INDEX('Fuel Selector'!N$5:N$111,MATCH('TCO - Input'!$D551,'Fuel Selector'!$B$5:$B$111,0))</f>
        <v>21.65157697613958</v>
      </c>
      <c r="W551" s="18">
        <f>INDEX('Fuel Selector'!O$5:O$111,MATCH('TCO - Input'!$D551,'Fuel Selector'!$B$5:$B$111,0))</f>
        <v>21.631212679571671</v>
      </c>
      <c r="X551" s="18">
        <f>INDEX('Fuel Selector'!P$5:P$111,MATCH('TCO - Input'!$D551,'Fuel Selector'!$B$5:$B$111,0))</f>
        <v>21.526554618708289</v>
      </c>
      <c r="Y551" s="18">
        <f>INDEX('Fuel Selector'!Q$5:Q$111,MATCH('TCO - Input'!$D551,'Fuel Selector'!$B$5:$B$111,0))</f>
        <v>20.600437504046997</v>
      </c>
      <c r="Z551" s="344">
        <f t="shared" ref="Z551:AD551" si="480">Y551</f>
        <v>20.600437504046997</v>
      </c>
      <c r="AA551" s="344">
        <f t="shared" si="480"/>
        <v>20.600437504046997</v>
      </c>
      <c r="AB551" s="344">
        <f t="shared" si="480"/>
        <v>20.600437504046997</v>
      </c>
      <c r="AC551" s="344">
        <f t="shared" si="480"/>
        <v>20.600437504046997</v>
      </c>
      <c r="AD551" s="344">
        <f t="shared" si="480"/>
        <v>20.600437504046997</v>
      </c>
    </row>
    <row r="552" spans="4:30" x14ac:dyDescent="0.2">
      <c r="D552" s="347" t="str">
        <f t="shared" si="477"/>
        <v>e-Diesel (DAC) - Americas - Fuel cost total - USD/GJ</v>
      </c>
      <c r="F552" t="str">
        <f t="shared" si="462"/>
        <v>e-Diesel (DAC)</v>
      </c>
      <c r="L552" t="str">
        <f t="shared" si="465"/>
        <v>Americas</v>
      </c>
      <c r="N552" t="str">
        <f t="shared" si="478"/>
        <v>Fuel cost total - USD/GJ</v>
      </c>
      <c r="P552" s="224"/>
      <c r="Q552" t="s">
        <v>324</v>
      </c>
      <c r="R552" s="14"/>
      <c r="S552" s="18">
        <f>INDEX('Fuel Selector'!K$5:K$111,MATCH('TCO - Input'!$D552,'Fuel Selector'!$B$5:$B$111,0))</f>
        <v>94.223332493808755</v>
      </c>
      <c r="T552" s="18">
        <f>INDEX('Fuel Selector'!L$5:L$111,MATCH('TCO - Input'!$D552,'Fuel Selector'!$B$5:$B$111,0))</f>
        <v>78.737762143132883</v>
      </c>
      <c r="U552" s="18">
        <f>INDEX('Fuel Selector'!M$5:M$111,MATCH('TCO - Input'!$D552,'Fuel Selector'!$B$5:$B$111,0))</f>
        <v>62.97671748914896</v>
      </c>
      <c r="V552" s="18">
        <f>INDEX('Fuel Selector'!N$5:N$111,MATCH('TCO - Input'!$D552,'Fuel Selector'!$B$5:$B$111,0))</f>
        <v>56.794019715184362</v>
      </c>
      <c r="W552" s="18">
        <f>INDEX('Fuel Selector'!O$5:O$111,MATCH('TCO - Input'!$D552,'Fuel Selector'!$B$5:$B$111,0))</f>
        <v>49.674292291198235</v>
      </c>
      <c r="X552" s="18">
        <f>INDEX('Fuel Selector'!P$5:P$111,MATCH('TCO - Input'!$D552,'Fuel Selector'!$B$5:$B$111,0))</f>
        <v>40.803685055575158</v>
      </c>
      <c r="Y552" s="18">
        <f>INDEX('Fuel Selector'!Q$5:Q$111,MATCH('TCO - Input'!$D552,'Fuel Selector'!$B$5:$B$111,0))</f>
        <v>32.540910018419332</v>
      </c>
      <c r="Z552" s="344">
        <f t="shared" ref="Z552:AD552" si="481">Y552</f>
        <v>32.540910018419332</v>
      </c>
      <c r="AA552" s="344">
        <f t="shared" si="481"/>
        <v>32.540910018419332</v>
      </c>
      <c r="AB552" s="344">
        <f t="shared" si="481"/>
        <v>32.540910018419332</v>
      </c>
      <c r="AC552" s="344">
        <f t="shared" si="481"/>
        <v>32.540910018419332</v>
      </c>
      <c r="AD552" s="344">
        <f t="shared" si="481"/>
        <v>32.540910018419332</v>
      </c>
    </row>
    <row r="553" spans="4:30" x14ac:dyDescent="0.2">
      <c r="D553" s="347" t="str">
        <f t="shared" si="477"/>
        <v>e-Diesel (PS) - Americas - Fuel cost total - USD/GJ</v>
      </c>
      <c r="F553" t="str">
        <f t="shared" si="462"/>
        <v>e-Diesel (PS)</v>
      </c>
      <c r="L553" t="str">
        <f t="shared" si="465"/>
        <v>Americas</v>
      </c>
      <c r="N553" t="str">
        <f t="shared" si="478"/>
        <v>Fuel cost total - USD/GJ</v>
      </c>
      <c r="P553" s="224"/>
      <c r="Q553" t="s">
        <v>324</v>
      </c>
      <c r="R553" s="14"/>
      <c r="S553" s="18">
        <f>INDEX('Fuel Selector'!K$5:K$111,MATCH('TCO - Input'!$D553,'Fuel Selector'!$B$5:$B$111,0))</f>
        <v>87.394197139011894</v>
      </c>
      <c r="T553" s="18">
        <f>INDEX('Fuel Selector'!L$5:L$111,MATCH('TCO - Input'!$D553,'Fuel Selector'!$B$5:$B$111,0))</f>
        <v>73.031297474387529</v>
      </c>
      <c r="U553" s="18">
        <f>INDEX('Fuel Selector'!M$5:M$111,MATCH('TCO - Input'!$D553,'Fuel Selector'!$B$5:$B$111,0))</f>
        <v>58.33167695189875</v>
      </c>
      <c r="V553" s="18">
        <f>INDEX('Fuel Selector'!N$5:N$111,MATCH('TCO - Input'!$D553,'Fuel Selector'!$B$5:$B$111,0))</f>
        <v>53.536892047010184</v>
      </c>
      <c r="W553" s="18">
        <f>INDEX('Fuel Selector'!O$5:O$111,MATCH('TCO - Input'!$D553,'Fuel Selector'!$B$5:$B$111,0))</f>
        <v>47.368327340121098</v>
      </c>
      <c r="X553" s="18">
        <f>INDEX('Fuel Selector'!P$5:P$111,MATCH('TCO - Input'!$D553,'Fuel Selector'!$B$5:$B$111,0))</f>
        <v>38.963335568851448</v>
      </c>
      <c r="Y553" s="18">
        <f>INDEX('Fuel Selector'!Q$5:Q$111,MATCH('TCO - Input'!$D553,'Fuel Selector'!$B$5:$B$111,0))</f>
        <v>30.942950439035073</v>
      </c>
      <c r="Z553" s="344">
        <f t="shared" ref="Z553:AD553" si="482">Y553</f>
        <v>30.942950439035073</v>
      </c>
      <c r="AA553" s="344">
        <f t="shared" si="482"/>
        <v>30.942950439035073</v>
      </c>
      <c r="AB553" s="344">
        <f t="shared" si="482"/>
        <v>30.942950439035073</v>
      </c>
      <c r="AC553" s="344">
        <f t="shared" si="482"/>
        <v>30.942950439035073</v>
      </c>
      <c r="AD553" s="344">
        <f t="shared" si="482"/>
        <v>30.942950439035073</v>
      </c>
    </row>
    <row r="554" spans="4:30" x14ac:dyDescent="0.2">
      <c r="D554" s="347" t="str">
        <f t="shared" si="477"/>
        <v>Biodiesel (HtL blend) - Americas - Fuel cost total - USD/GJ</v>
      </c>
      <c r="F554" t="str">
        <f t="shared" si="462"/>
        <v>Biodiesel (HtL blend)</v>
      </c>
      <c r="L554" t="str">
        <f t="shared" si="465"/>
        <v>Americas</v>
      </c>
      <c r="N554" t="str">
        <f t="shared" si="478"/>
        <v>Fuel cost total - USD/GJ</v>
      </c>
      <c r="P554" s="224"/>
      <c r="Q554" t="s">
        <v>324</v>
      </c>
      <c r="R554" s="14"/>
      <c r="S554" s="18">
        <f>INDEX('Fuel Selector'!K$5:K$111,MATCH('TCO - Input'!$D554,'Fuel Selector'!$B$5:$B$111,0))</f>
        <v>39.362591759164751</v>
      </c>
      <c r="T554" s="18">
        <f>INDEX('Fuel Selector'!L$5:L$111,MATCH('TCO - Input'!$D554,'Fuel Selector'!$B$5:$B$111,0))</f>
        <v>26.195648583254943</v>
      </c>
      <c r="U554" s="18">
        <f>INDEX('Fuel Selector'!M$5:M$111,MATCH('TCO - Input'!$D554,'Fuel Selector'!$B$5:$B$111,0))</f>
        <v>15.657072613212451</v>
      </c>
      <c r="V554" s="18">
        <f>INDEX('Fuel Selector'!N$5:N$111,MATCH('TCO - Input'!$D554,'Fuel Selector'!$B$5:$B$111,0))</f>
        <v>15.289509249296463</v>
      </c>
      <c r="W554" s="18">
        <f>INDEX('Fuel Selector'!O$5:O$111,MATCH('TCO - Input'!$D554,'Fuel Selector'!$B$5:$B$111,0))</f>
        <v>15.129344877992319</v>
      </c>
      <c r="X554" s="18">
        <f>INDEX('Fuel Selector'!P$5:P$111,MATCH('TCO - Input'!$D554,'Fuel Selector'!$B$5:$B$111,0))</f>
        <v>14.99365252582653</v>
      </c>
      <c r="Y554" s="18">
        <f>INDEX('Fuel Selector'!Q$5:Q$111,MATCH('TCO - Input'!$D554,'Fuel Selector'!$B$5:$B$111,0))</f>
        <v>14.844608646947602</v>
      </c>
      <c r="Z554" s="344">
        <f t="shared" ref="Z554:AD554" si="483">Y554</f>
        <v>14.844608646947602</v>
      </c>
      <c r="AA554" s="344">
        <f t="shared" si="483"/>
        <v>14.844608646947602</v>
      </c>
      <c r="AB554" s="344">
        <f t="shared" si="483"/>
        <v>14.844608646947602</v>
      </c>
      <c r="AC554" s="344">
        <f t="shared" si="483"/>
        <v>14.844608646947602</v>
      </c>
      <c r="AD554" s="344">
        <f t="shared" si="483"/>
        <v>14.844608646947602</v>
      </c>
    </row>
    <row r="555" spans="4:30" x14ac:dyDescent="0.2">
      <c r="D555" s="347" t="str">
        <f t="shared" si="477"/>
        <v>Biodiesel (Pyr blend) - Americas - Fuel cost total - USD/GJ</v>
      </c>
      <c r="F555" t="str">
        <f t="shared" si="462"/>
        <v>Biodiesel (Pyr blend)</v>
      </c>
      <c r="L555" t="str">
        <f t="shared" si="465"/>
        <v>Americas</v>
      </c>
      <c r="N555" t="str">
        <f t="shared" si="478"/>
        <v>Fuel cost total - USD/GJ</v>
      </c>
      <c r="P555" s="224"/>
      <c r="Q555" t="s">
        <v>324</v>
      </c>
      <c r="R555" s="14"/>
      <c r="S555" s="18">
        <f>INDEX('Fuel Selector'!K$5:K$111,MATCH('TCO - Input'!$D555,'Fuel Selector'!$B$5:$B$111,0))</f>
        <v>24.305757337653841</v>
      </c>
      <c r="T555" s="18">
        <f>INDEX('Fuel Selector'!L$5:L$111,MATCH('TCO - Input'!$D555,'Fuel Selector'!$B$5:$B$111,0))</f>
        <v>17.339300839682259</v>
      </c>
      <c r="U555" s="18">
        <f>INDEX('Fuel Selector'!M$5:M$111,MATCH('TCO - Input'!$D555,'Fuel Selector'!$B$5:$B$111,0))</f>
        <v>13.844331887075223</v>
      </c>
      <c r="V555" s="18">
        <f>INDEX('Fuel Selector'!N$5:N$111,MATCH('TCO - Input'!$D555,'Fuel Selector'!$B$5:$B$111,0))</f>
        <v>13.812971340261239</v>
      </c>
      <c r="W555" s="18">
        <f>INDEX('Fuel Selector'!O$5:O$111,MATCH('TCO - Input'!$D555,'Fuel Selector'!$B$5:$B$111,0))</f>
        <v>13.846054747350944</v>
      </c>
      <c r="X555" s="18">
        <f>INDEX('Fuel Selector'!P$5:P$111,MATCH('TCO - Input'!$D555,'Fuel Selector'!$B$5:$B$111,0))</f>
        <v>13.8963804086225</v>
      </c>
      <c r="Y555" s="18">
        <f>INDEX('Fuel Selector'!Q$5:Q$111,MATCH('TCO - Input'!$D555,'Fuel Selector'!$B$5:$B$111,0))</f>
        <v>13.930243260581481</v>
      </c>
      <c r="Z555" s="344">
        <f t="shared" ref="Z555:AD555" si="484">Y555</f>
        <v>13.930243260581481</v>
      </c>
      <c r="AA555" s="344">
        <f t="shared" si="484"/>
        <v>13.930243260581481</v>
      </c>
      <c r="AB555" s="344">
        <f t="shared" si="484"/>
        <v>13.930243260581481</v>
      </c>
      <c r="AC555" s="344">
        <f t="shared" si="484"/>
        <v>13.930243260581481</v>
      </c>
      <c r="AD555" s="344">
        <f t="shared" si="484"/>
        <v>13.930243260581481</v>
      </c>
    </row>
    <row r="556" spans="4:30" x14ac:dyDescent="0.2">
      <c r="D556" s="347" t="str">
        <f t="shared" si="477"/>
        <v>Blue hydrogen (liquid) - Americas - Fuel cost total - USD/GJ</v>
      </c>
      <c r="F556" t="str">
        <f t="shared" si="462"/>
        <v>Blue hydrogen (liquid)</v>
      </c>
      <c r="L556" t="str">
        <f t="shared" si="465"/>
        <v>Americas</v>
      </c>
      <c r="N556" t="str">
        <f t="shared" si="478"/>
        <v>Fuel cost total - USD/GJ</v>
      </c>
      <c r="P556" s="224"/>
      <c r="Q556" t="s">
        <v>324</v>
      </c>
      <c r="R556" s="14"/>
      <c r="S556" s="18">
        <f>INDEX('Fuel Selector'!K$5:K$111,MATCH('TCO - Input'!$D556,'Fuel Selector'!$B$5:$B$111,0))</f>
        <v>46.406950777047044</v>
      </c>
      <c r="T556" s="18">
        <f>INDEX('Fuel Selector'!L$5:L$111,MATCH('TCO - Input'!$D556,'Fuel Selector'!$B$5:$B$111,0))</f>
        <v>41.530935273705765</v>
      </c>
      <c r="U556" s="18">
        <f>INDEX('Fuel Selector'!M$5:M$111,MATCH('TCO - Input'!$D556,'Fuel Selector'!$B$5:$B$111,0))</f>
        <v>39.964181803535993</v>
      </c>
      <c r="V556" s="18">
        <f>INDEX('Fuel Selector'!N$5:N$111,MATCH('TCO - Input'!$D556,'Fuel Selector'!$B$5:$B$111,0))</f>
        <v>39.937844655763357</v>
      </c>
      <c r="W556" s="18">
        <f>INDEX('Fuel Selector'!O$5:O$111,MATCH('TCO - Input'!$D556,'Fuel Selector'!$B$5:$B$111,0))</f>
        <v>39.133989959489654</v>
      </c>
      <c r="X556" s="18">
        <f>INDEX('Fuel Selector'!P$5:P$111,MATCH('TCO - Input'!$D556,'Fuel Selector'!$B$5:$B$111,0))</f>
        <v>38.51506770123062</v>
      </c>
      <c r="Y556" s="18">
        <f>INDEX('Fuel Selector'!Q$5:Q$111,MATCH('TCO - Input'!$D556,'Fuel Selector'!$B$5:$B$111,0))</f>
        <v>37.964575391318554</v>
      </c>
      <c r="Z556" s="344">
        <f t="shared" ref="Z556:AD556" si="485">Y556</f>
        <v>37.964575391318554</v>
      </c>
      <c r="AA556" s="344">
        <f t="shared" si="485"/>
        <v>37.964575391318554</v>
      </c>
      <c r="AB556" s="344">
        <f t="shared" si="485"/>
        <v>37.964575391318554</v>
      </c>
      <c r="AC556" s="344">
        <f t="shared" si="485"/>
        <v>37.964575391318554</v>
      </c>
      <c r="AD556" s="344">
        <f t="shared" si="485"/>
        <v>37.964575391318554</v>
      </c>
    </row>
    <row r="557" spans="4:30" x14ac:dyDescent="0.2">
      <c r="D557" s="347" t="str">
        <f>_xlfn.TEXTJOIN(keydelim,TRUE,E557:N557)</f>
        <v>e-Hydrogen (liquid) - Americas - Fuel cost total - USD/GJ</v>
      </c>
      <c r="F557" t="str">
        <f t="shared" si="462"/>
        <v>e-Hydrogen (liquid)</v>
      </c>
      <c r="L557" t="str">
        <f t="shared" si="465"/>
        <v>Americas</v>
      </c>
      <c r="N557" t="str">
        <f>"Fuel cost total"  &amp;keydelim &amp;Q557</f>
        <v>Fuel cost total - USD/GJ</v>
      </c>
      <c r="P557" s="224"/>
      <c r="Q557" t="s">
        <v>324</v>
      </c>
      <c r="R557" s="14"/>
      <c r="S557" s="18">
        <f>INDEX('Fuel Selector'!K$5:K$111,MATCH('TCO - Input'!$D557,'Fuel Selector'!$B$5:$B$111,0))</f>
        <v>57.694676340626522</v>
      </c>
      <c r="T557" s="18">
        <f>INDEX('Fuel Selector'!L$5:L$111,MATCH('TCO - Input'!$D557,'Fuel Selector'!$B$5:$B$111,0))</f>
        <v>52.924404963138784</v>
      </c>
      <c r="U557" s="18">
        <f>INDEX('Fuel Selector'!M$5:M$111,MATCH('TCO - Input'!$D557,'Fuel Selector'!$B$5:$B$111,0))</f>
        <v>47.177556275614137</v>
      </c>
      <c r="V557" s="18">
        <f>INDEX('Fuel Selector'!N$5:N$111,MATCH('TCO - Input'!$D557,'Fuel Selector'!$B$5:$B$111,0))</f>
        <v>44.8528275349219</v>
      </c>
      <c r="W557" s="18">
        <f>INDEX('Fuel Selector'!O$5:O$111,MATCH('TCO - Input'!$D557,'Fuel Selector'!$B$5:$B$111,0))</f>
        <v>41.46198332515776</v>
      </c>
      <c r="X557" s="18">
        <f>INDEX('Fuel Selector'!P$5:P$111,MATCH('TCO - Input'!$D557,'Fuel Selector'!$B$5:$B$111,0))</f>
        <v>38.006480166122053</v>
      </c>
      <c r="Y557" s="18">
        <f>INDEX('Fuel Selector'!Q$5:Q$111,MATCH('TCO - Input'!$D557,'Fuel Selector'!$B$5:$B$111,0))</f>
        <v>34.614282551893737</v>
      </c>
      <c r="Z557" s="344">
        <f t="shared" ref="Z557:AD557" si="486">Y557</f>
        <v>34.614282551893737</v>
      </c>
      <c r="AA557" s="344">
        <f t="shared" si="486"/>
        <v>34.614282551893737</v>
      </c>
      <c r="AB557" s="344">
        <f t="shared" si="486"/>
        <v>34.614282551893737</v>
      </c>
      <c r="AC557" s="344">
        <f t="shared" si="486"/>
        <v>34.614282551893737</v>
      </c>
      <c r="AD557" s="344">
        <f t="shared" si="486"/>
        <v>34.614282551893737</v>
      </c>
    </row>
    <row r="558" spans="4:30" x14ac:dyDescent="0.2">
      <c r="R558" s="14"/>
      <c r="S558" s="18"/>
      <c r="T558" s="18"/>
      <c r="U558" s="18"/>
      <c r="V558" s="18"/>
      <c r="W558" s="18"/>
      <c r="X558" s="18"/>
      <c r="Y558" s="18"/>
      <c r="Z558" s="18"/>
      <c r="AA558" s="18"/>
      <c r="AB558" s="18"/>
      <c r="AC558" s="18"/>
      <c r="AD558" s="18"/>
    </row>
    <row r="559" spans="4:30" x14ac:dyDescent="0.2">
      <c r="D559" s="347" t="str">
        <f t="shared" ref="D559:D569" si="487">_xlfn.TEXTJOIN(keydelim,TRUE,E559:N559)</f>
        <v>LSFO - Africa&amp;Other - Fuel cost total - USD/GJ</v>
      </c>
      <c r="F559" t="str">
        <f t="shared" ref="F559:F578" si="488">F538</f>
        <v>LSFO</v>
      </c>
      <c r="L559" t="s">
        <v>498</v>
      </c>
      <c r="N559" t="str">
        <f t="shared" ref="N559:N569" si="489">"Fuel cost total"  &amp;keydelim &amp;Q559</f>
        <v>Fuel cost total - USD/GJ</v>
      </c>
      <c r="O559" s="224"/>
      <c r="P559" s="224" t="s">
        <v>608</v>
      </c>
      <c r="Q559" t="s">
        <v>324</v>
      </c>
      <c r="R559" s="14"/>
      <c r="S559" s="18">
        <f>INDEX('Fuel Selector'!K$5:K$111,MATCH('TCO - Input'!$D559,'Fuel Selector'!$B$5:$B$111,0))</f>
        <v>21.473621920116738</v>
      </c>
      <c r="T559" s="18">
        <f>INDEX('Fuel Selector'!L$5:L$111,MATCH('TCO - Input'!$D559,'Fuel Selector'!$B$5:$B$111,0))</f>
        <v>15.404989638344617</v>
      </c>
      <c r="U559" s="18">
        <f>INDEX('Fuel Selector'!M$5:M$111,MATCH('TCO - Input'!$D559,'Fuel Selector'!$B$5:$B$111,0))</f>
        <v>13.444354593464393</v>
      </c>
      <c r="V559" s="18">
        <f>INDEX('Fuel Selector'!N$5:N$111,MATCH('TCO - Input'!$D559,'Fuel Selector'!$B$5:$B$111,0))</f>
        <v>13.444354593464393</v>
      </c>
      <c r="W559" s="18">
        <f>INDEX('Fuel Selector'!O$5:O$111,MATCH('TCO - Input'!$D559,'Fuel Selector'!$B$5:$B$111,0))</f>
        <v>13.444354593464393</v>
      </c>
      <c r="X559" s="18">
        <f>INDEX('Fuel Selector'!P$5:P$111,MATCH('TCO - Input'!$D559,'Fuel Selector'!$B$5:$B$111,0))</f>
        <v>13.444354593464393</v>
      </c>
      <c r="Y559" s="18">
        <f>INDEX('Fuel Selector'!Q$5:Q$111,MATCH('TCO - Input'!$D559,'Fuel Selector'!$B$5:$B$111,0))</f>
        <v>13.444354593464393</v>
      </c>
      <c r="Z559" s="344">
        <f>Y559</f>
        <v>13.444354593464393</v>
      </c>
      <c r="AA559" s="344">
        <f t="shared" ref="AA559:AD559" si="490">Z559</f>
        <v>13.444354593464393</v>
      </c>
      <c r="AB559" s="344">
        <f t="shared" si="490"/>
        <v>13.444354593464393</v>
      </c>
      <c r="AC559" s="344">
        <f t="shared" si="490"/>
        <v>13.444354593464393</v>
      </c>
      <c r="AD559" s="344">
        <f t="shared" si="490"/>
        <v>13.444354593464393</v>
      </c>
    </row>
    <row r="560" spans="4:30" x14ac:dyDescent="0.2">
      <c r="D560" s="347" t="str">
        <f t="shared" si="487"/>
        <v>LNG - Africa&amp;Other - Fuel cost total - USD/GJ</v>
      </c>
      <c r="F560" t="str">
        <f t="shared" si="488"/>
        <v>LNG</v>
      </c>
      <c r="L560" t="str">
        <f t="shared" ref="L560:L578" si="491">L559</f>
        <v>Africa&amp;Other</v>
      </c>
      <c r="N560" t="str">
        <f t="shared" si="489"/>
        <v>Fuel cost total - USD/GJ</v>
      </c>
      <c r="O560" s="224"/>
      <c r="P560" s="224"/>
      <c r="Q560" t="s">
        <v>324</v>
      </c>
      <c r="R560" s="14"/>
      <c r="S560" s="18">
        <f>INDEX('Fuel Selector'!K$5:K$111,MATCH('TCO - Input'!$D560,'Fuel Selector'!$B$5:$B$111,0))</f>
        <v>42.548363092240251</v>
      </c>
      <c r="T560" s="18">
        <f>INDEX('Fuel Selector'!L$5:L$111,MATCH('TCO - Input'!$D560,'Fuel Selector'!$B$5:$B$111,0))</f>
        <v>20.138983227518654</v>
      </c>
      <c r="U560" s="18">
        <f>INDEX('Fuel Selector'!M$5:M$111,MATCH('TCO - Input'!$D560,'Fuel Selector'!$B$5:$B$111,0))</f>
        <v>15.233630532281694</v>
      </c>
      <c r="V560" s="18">
        <f>INDEX('Fuel Selector'!N$5:N$111,MATCH('TCO - Input'!$D560,'Fuel Selector'!$B$5:$B$111,0))</f>
        <v>15.071680136426432</v>
      </c>
      <c r="W560" s="18">
        <f>INDEX('Fuel Selector'!O$5:O$111,MATCH('TCO - Input'!$D560,'Fuel Selector'!$B$5:$B$111,0))</f>
        <v>14.947807060849962</v>
      </c>
      <c r="X560" s="18">
        <f>INDEX('Fuel Selector'!P$5:P$111,MATCH('TCO - Input'!$D560,'Fuel Selector'!$B$5:$B$111,0))</f>
        <v>14.825172862642763</v>
      </c>
      <c r="Y560" s="18">
        <f>INDEX('Fuel Selector'!Q$5:Q$111,MATCH('TCO - Input'!$D560,'Fuel Selector'!$B$5:$B$111,0))</f>
        <v>14.721337012406533</v>
      </c>
      <c r="Z560" s="344">
        <f t="shared" ref="Z560:AD560" si="492">Y560</f>
        <v>14.721337012406533</v>
      </c>
      <c r="AA560" s="344">
        <f t="shared" si="492"/>
        <v>14.721337012406533</v>
      </c>
      <c r="AB560" s="344">
        <f t="shared" si="492"/>
        <v>14.721337012406533</v>
      </c>
      <c r="AC560" s="344">
        <f t="shared" si="492"/>
        <v>14.721337012406533</v>
      </c>
      <c r="AD560" s="344">
        <f t="shared" si="492"/>
        <v>14.721337012406533</v>
      </c>
    </row>
    <row r="561" spans="4:30" x14ac:dyDescent="0.2">
      <c r="D561" s="347" t="str">
        <f t="shared" si="487"/>
        <v>LPG - Africa&amp;Other - Fuel cost total - USD/GJ</v>
      </c>
      <c r="F561" t="str">
        <f t="shared" si="488"/>
        <v>LPG</v>
      </c>
      <c r="L561" t="str">
        <f t="shared" si="491"/>
        <v>Africa&amp;Other</v>
      </c>
      <c r="N561" t="str">
        <f t="shared" si="489"/>
        <v>Fuel cost total - USD/GJ</v>
      </c>
      <c r="O561" s="224"/>
      <c r="P561" s="224"/>
      <c r="Q561" t="s">
        <v>324</v>
      </c>
      <c r="R561" s="14"/>
      <c r="S561" s="18">
        <f>INDEX('Fuel Selector'!K$5:K$111,MATCH('TCO - Input'!$D561,'Fuel Selector'!$B$5:$B$111,0))</f>
        <v>16.525069073439496</v>
      </c>
      <c r="T561" s="18">
        <f>INDEX('Fuel Selector'!L$5:L$111,MATCH('TCO - Input'!$D561,'Fuel Selector'!$B$5:$B$111,0))</f>
        <v>11.854940857032684</v>
      </c>
      <c r="U561" s="18">
        <f>INDEX('Fuel Selector'!M$5:M$111,MATCH('TCO - Input'!$D561,'Fuel Selector'!$B$5:$B$111,0))</f>
        <v>10.34613020250125</v>
      </c>
      <c r="V561" s="18">
        <f>INDEX('Fuel Selector'!N$5:N$111,MATCH('TCO - Input'!$D561,'Fuel Selector'!$B$5:$B$111,0))</f>
        <v>10.34613020250125</v>
      </c>
      <c r="W561" s="18">
        <f>INDEX('Fuel Selector'!O$5:O$111,MATCH('TCO - Input'!$D561,'Fuel Selector'!$B$5:$B$111,0))</f>
        <v>10.34613020250125</v>
      </c>
      <c r="X561" s="18">
        <f>INDEX('Fuel Selector'!P$5:P$111,MATCH('TCO - Input'!$D561,'Fuel Selector'!$B$5:$B$111,0))</f>
        <v>10.34613020250125</v>
      </c>
      <c r="Y561" s="18">
        <f>INDEX('Fuel Selector'!Q$5:Q$111,MATCH('TCO - Input'!$D561,'Fuel Selector'!$B$5:$B$111,0))</f>
        <v>10.34613020250125</v>
      </c>
      <c r="Z561" s="344">
        <f t="shared" ref="Z561:AD561" si="493">Y561</f>
        <v>10.34613020250125</v>
      </c>
      <c r="AA561" s="344">
        <f t="shared" si="493"/>
        <v>10.34613020250125</v>
      </c>
      <c r="AB561" s="344">
        <f t="shared" si="493"/>
        <v>10.34613020250125</v>
      </c>
      <c r="AC561" s="344">
        <f t="shared" si="493"/>
        <v>10.34613020250125</v>
      </c>
      <c r="AD561" s="344">
        <f t="shared" si="493"/>
        <v>10.34613020250125</v>
      </c>
    </row>
    <row r="562" spans="4:30" x14ac:dyDescent="0.2">
      <c r="D562" s="347" t="str">
        <f t="shared" si="487"/>
        <v>Electricity - Africa&amp;Other - Fuel cost total - USD/GJ</v>
      </c>
      <c r="F562" t="str">
        <f t="shared" si="488"/>
        <v>Electricity</v>
      </c>
      <c r="L562" t="str">
        <f t="shared" si="491"/>
        <v>Africa&amp;Other</v>
      </c>
      <c r="N562" t="str">
        <f t="shared" si="489"/>
        <v>Fuel cost total - USD/GJ</v>
      </c>
      <c r="O562" s="224"/>
      <c r="P562" s="224"/>
      <c r="Q562" t="s">
        <v>324</v>
      </c>
      <c r="R562" s="14"/>
      <c r="S562" s="18">
        <f>INDEX('Fuel Selector'!K$5:K$111,MATCH('TCO - Input'!$D562,'Fuel Selector'!$B$5:$B$111,0))</f>
        <v>40.715758413729787</v>
      </c>
      <c r="T562" s="18">
        <f>INDEX('Fuel Selector'!L$5:L$111,MATCH('TCO - Input'!$D562,'Fuel Selector'!$B$5:$B$111,0))</f>
        <v>31.19282690698649</v>
      </c>
      <c r="U562" s="18">
        <f>INDEX('Fuel Selector'!M$5:M$111,MATCH('TCO - Input'!$D562,'Fuel Selector'!$B$5:$B$111,0))</f>
        <v>28.538159023980356</v>
      </c>
      <c r="V562" s="18">
        <f>INDEX('Fuel Selector'!N$5:N$111,MATCH('TCO - Input'!$D562,'Fuel Selector'!$B$5:$B$111,0))</f>
        <v>27.056320019043902</v>
      </c>
      <c r="W562" s="18">
        <f>INDEX('Fuel Selector'!O$5:O$111,MATCH('TCO - Input'!$D562,'Fuel Selector'!$B$5:$B$111,0))</f>
        <v>26.358842749172954</v>
      </c>
      <c r="X562" s="18">
        <f>INDEX('Fuel Selector'!P$5:P$111,MATCH('TCO - Input'!$D562,'Fuel Selector'!$B$5:$B$111,0))</f>
        <v>25.641646994549788</v>
      </c>
      <c r="Y562" s="18">
        <f>INDEX('Fuel Selector'!Q$5:Q$111,MATCH('TCO - Input'!$D562,'Fuel Selector'!$B$5:$B$111,0))</f>
        <v>25.289628110626168</v>
      </c>
      <c r="Z562" s="344">
        <f t="shared" ref="Z562:AD562" si="494">Y562</f>
        <v>25.289628110626168</v>
      </c>
      <c r="AA562" s="344">
        <f t="shared" si="494"/>
        <v>25.289628110626168</v>
      </c>
      <c r="AB562" s="344">
        <f t="shared" si="494"/>
        <v>25.289628110626168</v>
      </c>
      <c r="AC562" s="344">
        <f t="shared" si="494"/>
        <v>25.289628110626168</v>
      </c>
      <c r="AD562" s="344">
        <f t="shared" si="494"/>
        <v>25.289628110626168</v>
      </c>
    </row>
    <row r="563" spans="4:30" x14ac:dyDescent="0.2">
      <c r="D563" s="347" t="str">
        <f t="shared" si="487"/>
        <v>e-Ammonia - Africa&amp;Other - Fuel cost total - USD/GJ</v>
      </c>
      <c r="F563" t="str">
        <f t="shared" si="488"/>
        <v>e-Ammonia</v>
      </c>
      <c r="L563" t="str">
        <f t="shared" si="491"/>
        <v>Africa&amp;Other</v>
      </c>
      <c r="N563" t="str">
        <f t="shared" si="489"/>
        <v>Fuel cost total - USD/GJ</v>
      </c>
      <c r="O563" s="383"/>
      <c r="P563" s="224"/>
      <c r="Q563" t="s">
        <v>324</v>
      </c>
      <c r="R563" s="14"/>
      <c r="S563" s="18">
        <f>INDEX('Fuel Selector'!K$5:K$111,MATCH('TCO - Input'!$D563,'Fuel Selector'!$B$5:$B$111,0))</f>
        <v>83.515187316355082</v>
      </c>
      <c r="T563" s="18">
        <f>INDEX('Fuel Selector'!L$5:L$111,MATCH('TCO - Input'!$D563,'Fuel Selector'!$B$5:$B$111,0))</f>
        <v>53.315702647517881</v>
      </c>
      <c r="U563" s="18">
        <f>INDEX('Fuel Selector'!M$5:M$111,MATCH('TCO - Input'!$D563,'Fuel Selector'!$B$5:$B$111,0))</f>
        <v>37.031133884360564</v>
      </c>
      <c r="V563" s="18">
        <f>INDEX('Fuel Selector'!N$5:N$111,MATCH('TCO - Input'!$D563,'Fuel Selector'!$B$5:$B$111,0))</f>
        <v>33.098533057242278</v>
      </c>
      <c r="W563" s="18">
        <f>INDEX('Fuel Selector'!O$5:O$111,MATCH('TCO - Input'!$D563,'Fuel Selector'!$B$5:$B$111,0))</f>
        <v>29.135874497510567</v>
      </c>
      <c r="X563" s="18">
        <f>INDEX('Fuel Selector'!P$5:P$111,MATCH('TCO - Input'!$D563,'Fuel Selector'!$B$5:$B$111,0))</f>
        <v>24.251961255815452</v>
      </c>
      <c r="Y563" s="18">
        <f>INDEX('Fuel Selector'!Q$5:Q$111,MATCH('TCO - Input'!$D563,'Fuel Selector'!$B$5:$B$111,0))</f>
        <v>19.990316609886811</v>
      </c>
      <c r="Z563" s="344">
        <f t="shared" ref="Z563:AD563" si="495">Y563</f>
        <v>19.990316609886811</v>
      </c>
      <c r="AA563" s="344">
        <f t="shared" si="495"/>
        <v>19.990316609886811</v>
      </c>
      <c r="AB563" s="344">
        <f t="shared" si="495"/>
        <v>19.990316609886811</v>
      </c>
      <c r="AC563" s="344">
        <f t="shared" si="495"/>
        <v>19.990316609886811</v>
      </c>
      <c r="AD563" s="344">
        <f t="shared" si="495"/>
        <v>19.990316609886811</v>
      </c>
    </row>
    <row r="564" spans="4:30" x14ac:dyDescent="0.2">
      <c r="D564" s="347" t="str">
        <f t="shared" si="487"/>
        <v>Blue ammonia - Africa&amp;Other - Fuel cost total - USD/GJ</v>
      </c>
      <c r="F564" t="str">
        <f t="shared" si="488"/>
        <v>Blue ammonia</v>
      </c>
      <c r="L564" t="str">
        <f t="shared" si="491"/>
        <v>Africa&amp;Other</v>
      </c>
      <c r="N564" t="str">
        <f t="shared" si="489"/>
        <v>Fuel cost total - USD/GJ</v>
      </c>
      <c r="O564" s="383"/>
      <c r="P564" s="224"/>
      <c r="Q564" t="s">
        <v>324</v>
      </c>
      <c r="R564" s="14"/>
      <c r="S564" s="18">
        <f>INDEX('Fuel Selector'!K$5:K$111,MATCH('TCO - Input'!$D564,'Fuel Selector'!$B$5:$B$111,0))</f>
        <v>79.882158527801124</v>
      </c>
      <c r="T564" s="18">
        <f>INDEX('Fuel Selector'!L$5:L$111,MATCH('TCO - Input'!$D564,'Fuel Selector'!$B$5:$B$111,0))</f>
        <v>42.321081166003275</v>
      </c>
      <c r="U564" s="18">
        <f>INDEX('Fuel Selector'!M$5:M$111,MATCH('TCO - Input'!$D564,'Fuel Selector'!$B$5:$B$111,0))</f>
        <v>33.086579940595072</v>
      </c>
      <c r="V564" s="18">
        <f>INDEX('Fuel Selector'!N$5:N$111,MATCH('TCO - Input'!$D564,'Fuel Selector'!$B$5:$B$111,0))</f>
        <v>32.633036971338534</v>
      </c>
      <c r="W564" s="18">
        <f>INDEX('Fuel Selector'!O$5:O$111,MATCH('TCO - Input'!$D564,'Fuel Selector'!$B$5:$B$111,0))</f>
        <v>32.207070059893269</v>
      </c>
      <c r="X564" s="18">
        <f>INDEX('Fuel Selector'!P$5:P$111,MATCH('TCO - Input'!$D564,'Fuel Selector'!$B$5:$B$111,0))</f>
        <v>31.780409899337087</v>
      </c>
      <c r="Y564" s="18">
        <f>INDEX('Fuel Selector'!Q$5:Q$111,MATCH('TCO - Input'!$D564,'Fuel Selector'!$B$5:$B$111,0))</f>
        <v>31.366588379483979</v>
      </c>
      <c r="Z564" s="344">
        <f t="shared" ref="Z564:AD564" si="496">Y564</f>
        <v>31.366588379483979</v>
      </c>
      <c r="AA564" s="344">
        <f t="shared" si="496"/>
        <v>31.366588379483979</v>
      </c>
      <c r="AB564" s="344">
        <f t="shared" si="496"/>
        <v>31.366588379483979</v>
      </c>
      <c r="AC564" s="344">
        <f t="shared" si="496"/>
        <v>31.366588379483979</v>
      </c>
      <c r="AD564" s="344">
        <f t="shared" si="496"/>
        <v>31.366588379483979</v>
      </c>
    </row>
    <row r="565" spans="4:30" x14ac:dyDescent="0.2">
      <c r="D565" s="347" t="str">
        <f t="shared" si="487"/>
        <v>Biomethane - Africa&amp;Other - Fuel cost total - USD/GJ</v>
      </c>
      <c r="F565" t="str">
        <f t="shared" si="488"/>
        <v>Biomethane</v>
      </c>
      <c r="L565" t="str">
        <f t="shared" si="491"/>
        <v>Africa&amp;Other</v>
      </c>
      <c r="N565" t="str">
        <f t="shared" si="489"/>
        <v>Fuel cost total - USD/GJ</v>
      </c>
      <c r="P565" s="224"/>
      <c r="Q565" t="s">
        <v>324</v>
      </c>
      <c r="R565" s="389"/>
      <c r="S565" s="18">
        <f>INDEX('Fuel Selector'!K$5:K$111,MATCH('TCO - Input'!$D565,'Fuel Selector'!$B$5:$B$111,0))</f>
        <v>26.794081846750903</v>
      </c>
      <c r="T565" s="18">
        <f>INDEX('Fuel Selector'!L$5:L$111,MATCH('TCO - Input'!$D565,'Fuel Selector'!$B$5:$B$111,0))</f>
        <v>24.048177907626183</v>
      </c>
      <c r="U565" s="18">
        <f>INDEX('Fuel Selector'!M$5:M$111,MATCH('TCO - Input'!$D565,'Fuel Selector'!$B$5:$B$111,0))</f>
        <v>22.432958289203576</v>
      </c>
      <c r="V565" s="18">
        <f>INDEX('Fuel Selector'!N$5:N$111,MATCH('TCO - Input'!$D565,'Fuel Selector'!$B$5:$B$111,0))</f>
        <v>21.03045215064634</v>
      </c>
      <c r="W565" s="18">
        <f>INDEX('Fuel Selector'!O$5:O$111,MATCH('TCO - Input'!$D565,'Fuel Selector'!$B$5:$B$111,0))</f>
        <v>19.695978020687214</v>
      </c>
      <c r="X565" s="18">
        <f>INDEX('Fuel Selector'!P$5:P$111,MATCH('TCO - Input'!$D565,'Fuel Selector'!$B$5:$B$111,0))</f>
        <v>18.358695296291547</v>
      </c>
      <c r="Y565" s="18">
        <f>INDEX('Fuel Selector'!Q$5:Q$111,MATCH('TCO - Input'!$D565,'Fuel Selector'!$B$5:$B$111,0))</f>
        <v>17.053584764514991</v>
      </c>
      <c r="Z565" s="344">
        <f t="shared" ref="Z565:AD565" si="497">Y565</f>
        <v>17.053584764514991</v>
      </c>
      <c r="AA565" s="344">
        <f t="shared" si="497"/>
        <v>17.053584764514991</v>
      </c>
      <c r="AB565" s="344">
        <f t="shared" si="497"/>
        <v>17.053584764514991</v>
      </c>
      <c r="AC565" s="344">
        <f t="shared" si="497"/>
        <v>17.053584764514991</v>
      </c>
      <c r="AD565" s="344">
        <f t="shared" si="497"/>
        <v>17.053584764514991</v>
      </c>
    </row>
    <row r="566" spans="4:30" x14ac:dyDescent="0.2">
      <c r="D566" s="347" t="str">
        <f t="shared" si="487"/>
        <v>e-Methane (DAC) - Africa&amp;Other - Fuel cost total - USD/GJ</v>
      </c>
      <c r="F566" t="str">
        <f t="shared" si="488"/>
        <v>e-Methane (DAC)</v>
      </c>
      <c r="L566" t="str">
        <f t="shared" si="491"/>
        <v>Africa&amp;Other</v>
      </c>
      <c r="N566" t="str">
        <f t="shared" si="489"/>
        <v>Fuel cost total - USD/GJ</v>
      </c>
      <c r="O566" s="383"/>
      <c r="P566" s="224"/>
      <c r="Q566" t="s">
        <v>324</v>
      </c>
      <c r="R566" s="14"/>
      <c r="S566" s="18">
        <f>INDEX('Fuel Selector'!K$5:K$111,MATCH('TCO - Input'!$D566,'Fuel Selector'!$B$5:$B$111,0))</f>
        <v>94.272148358326262</v>
      </c>
      <c r="T566" s="18">
        <f>INDEX('Fuel Selector'!L$5:L$111,MATCH('TCO - Input'!$D566,'Fuel Selector'!$B$5:$B$111,0))</f>
        <v>62.857428102373731</v>
      </c>
      <c r="U566" s="18">
        <f>INDEX('Fuel Selector'!M$5:M$111,MATCH('TCO - Input'!$D566,'Fuel Selector'!$B$5:$B$111,0))</f>
        <v>50.962814747376839</v>
      </c>
      <c r="V566" s="18">
        <f>INDEX('Fuel Selector'!N$5:N$111,MATCH('TCO - Input'!$D566,'Fuel Selector'!$B$5:$B$111,0))</f>
        <v>44.800514233301953</v>
      </c>
      <c r="W566" s="18">
        <f>INDEX('Fuel Selector'!O$5:O$111,MATCH('TCO - Input'!$D566,'Fuel Selector'!$B$5:$B$111,0))</f>
        <v>39.230578052573499</v>
      </c>
      <c r="X566" s="18">
        <f>INDEX('Fuel Selector'!P$5:P$111,MATCH('TCO - Input'!$D566,'Fuel Selector'!$B$5:$B$111,0))</f>
        <v>32.647479133056358</v>
      </c>
      <c r="Y566" s="18">
        <f>INDEX('Fuel Selector'!Q$5:Q$111,MATCH('TCO - Input'!$D566,'Fuel Selector'!$B$5:$B$111,0))</f>
        <v>27.01089443242763</v>
      </c>
      <c r="Z566" s="344">
        <f t="shared" ref="Z566:AD566" si="498">Y566</f>
        <v>27.01089443242763</v>
      </c>
      <c r="AA566" s="344">
        <f t="shared" si="498"/>
        <v>27.01089443242763</v>
      </c>
      <c r="AB566" s="344">
        <f t="shared" si="498"/>
        <v>27.01089443242763</v>
      </c>
      <c r="AC566" s="344">
        <f t="shared" si="498"/>
        <v>27.01089443242763</v>
      </c>
      <c r="AD566" s="344">
        <f t="shared" si="498"/>
        <v>27.01089443242763</v>
      </c>
    </row>
    <row r="567" spans="4:30" x14ac:dyDescent="0.2">
      <c r="D567" s="347" t="str">
        <f t="shared" si="487"/>
        <v>e-Methane (PS) - Africa&amp;Other - Fuel cost total - USD/GJ</v>
      </c>
      <c r="F567" t="str">
        <f t="shared" si="488"/>
        <v>e-Methane (PS)</v>
      </c>
      <c r="L567" t="str">
        <f t="shared" si="491"/>
        <v>Africa&amp;Other</v>
      </c>
      <c r="N567" t="str">
        <f t="shared" si="489"/>
        <v>Fuel cost total - USD/GJ</v>
      </c>
      <c r="O567" s="383"/>
      <c r="P567" s="224"/>
      <c r="Q567" t="s">
        <v>324</v>
      </c>
      <c r="R567" s="14"/>
      <c r="S567" s="18">
        <f>INDEX('Fuel Selector'!K$5:K$111,MATCH('TCO - Input'!$D567,'Fuel Selector'!$B$5:$B$111,0))</f>
        <v>84.090060727353972</v>
      </c>
      <c r="T567" s="18">
        <f>INDEX('Fuel Selector'!L$5:L$111,MATCH('TCO - Input'!$D567,'Fuel Selector'!$B$5:$B$111,0))</f>
        <v>57.789484309067845</v>
      </c>
      <c r="U567" s="18">
        <f>INDEX('Fuel Selector'!M$5:M$111,MATCH('TCO - Input'!$D567,'Fuel Selector'!$B$5:$B$111,0))</f>
        <v>47.077487133310349</v>
      </c>
      <c r="V567" s="18">
        <f>INDEX('Fuel Selector'!N$5:N$111,MATCH('TCO - Input'!$D567,'Fuel Selector'!$B$5:$B$111,0))</f>
        <v>42.155156366991882</v>
      </c>
      <c r="W567" s="18">
        <f>INDEX('Fuel Selector'!O$5:O$111,MATCH('TCO - Input'!$D567,'Fuel Selector'!$B$5:$B$111,0))</f>
        <v>37.262275567367695</v>
      </c>
      <c r="X567" s="18">
        <f>INDEX('Fuel Selector'!P$5:P$111,MATCH('TCO - Input'!$D567,'Fuel Selector'!$B$5:$B$111,0))</f>
        <v>31.172107465502712</v>
      </c>
      <c r="Y567" s="18">
        <f>INDEX('Fuel Selector'!Q$5:Q$111,MATCH('TCO - Input'!$D567,'Fuel Selector'!$B$5:$B$111,0))</f>
        <v>25.761219206835097</v>
      </c>
      <c r="Z567" s="344">
        <f t="shared" ref="Z567:AD567" si="499">Y567</f>
        <v>25.761219206835097</v>
      </c>
      <c r="AA567" s="344">
        <f t="shared" si="499"/>
        <v>25.761219206835097</v>
      </c>
      <c r="AB567" s="344">
        <f t="shared" si="499"/>
        <v>25.761219206835097</v>
      </c>
      <c r="AC567" s="344">
        <f t="shared" si="499"/>
        <v>25.761219206835097</v>
      </c>
      <c r="AD567" s="344">
        <f t="shared" si="499"/>
        <v>25.761219206835097</v>
      </c>
    </row>
    <row r="568" spans="4:30" x14ac:dyDescent="0.2">
      <c r="D568" s="347" t="str">
        <f t="shared" si="487"/>
        <v>Biomethanol - Africa&amp;Other - Fuel cost total - USD/GJ</v>
      </c>
      <c r="F568" t="str">
        <f t="shared" si="488"/>
        <v>Biomethanol</v>
      </c>
      <c r="L568" t="str">
        <f t="shared" si="491"/>
        <v>Africa&amp;Other</v>
      </c>
      <c r="N568" t="str">
        <f t="shared" si="489"/>
        <v>Fuel cost total - USD/GJ</v>
      </c>
      <c r="P568" s="224"/>
      <c r="Q568" t="s">
        <v>324</v>
      </c>
      <c r="R568" s="14"/>
      <c r="S568" s="18">
        <f>INDEX('Fuel Selector'!K$5:K$111,MATCH('TCO - Input'!$D568,'Fuel Selector'!$B$5:$B$111,0))</f>
        <v>53.3554261927017</v>
      </c>
      <c r="T568" s="18">
        <f>INDEX('Fuel Selector'!L$5:L$111,MATCH('TCO - Input'!$D568,'Fuel Selector'!$B$5:$B$111,0))</f>
        <v>37.845087930017542</v>
      </c>
      <c r="U568" s="18">
        <f>INDEX('Fuel Selector'!M$5:M$111,MATCH('TCO - Input'!$D568,'Fuel Selector'!$B$5:$B$111,0))</f>
        <v>32.303062866453502</v>
      </c>
      <c r="V568" s="18">
        <f>INDEX('Fuel Selector'!N$5:N$111,MATCH('TCO - Input'!$D568,'Fuel Selector'!$B$5:$B$111,0))</f>
        <v>30.102276766492533</v>
      </c>
      <c r="W568" s="18">
        <f>INDEX('Fuel Selector'!O$5:O$111,MATCH('TCO - Input'!$D568,'Fuel Selector'!$B$5:$B$111,0))</f>
        <v>27.915532302274741</v>
      </c>
      <c r="X568" s="18">
        <f>INDEX('Fuel Selector'!P$5:P$111,MATCH('TCO - Input'!$D568,'Fuel Selector'!$B$5:$B$111,0))</f>
        <v>26.659088575204375</v>
      </c>
      <c r="Y568" s="18">
        <f>INDEX('Fuel Selector'!Q$5:Q$111,MATCH('TCO - Input'!$D568,'Fuel Selector'!$B$5:$B$111,0))</f>
        <v>25.437289590302058</v>
      </c>
      <c r="Z568" s="344">
        <f t="shared" ref="Z568:AD568" si="500">Y568</f>
        <v>25.437289590302058</v>
      </c>
      <c r="AA568" s="344">
        <f t="shared" si="500"/>
        <v>25.437289590302058</v>
      </c>
      <c r="AB568" s="344">
        <f t="shared" si="500"/>
        <v>25.437289590302058</v>
      </c>
      <c r="AC568" s="344">
        <f t="shared" si="500"/>
        <v>25.437289590302058</v>
      </c>
      <c r="AD568" s="344">
        <f t="shared" si="500"/>
        <v>25.437289590302058</v>
      </c>
    </row>
    <row r="569" spans="4:30" x14ac:dyDescent="0.2">
      <c r="D569" s="347" t="str">
        <f t="shared" si="487"/>
        <v>e-Methanol (DAC) - Africa&amp;Other - Fuel cost total - USD/GJ</v>
      </c>
      <c r="F569" t="str">
        <f t="shared" si="488"/>
        <v>e-Methanol (DAC)</v>
      </c>
      <c r="L569" t="str">
        <f t="shared" si="491"/>
        <v>Africa&amp;Other</v>
      </c>
      <c r="N569" t="str">
        <f t="shared" si="489"/>
        <v>Fuel cost total - USD/GJ</v>
      </c>
      <c r="P569" s="224"/>
      <c r="Q569" t="s">
        <v>324</v>
      </c>
      <c r="R569" s="14"/>
      <c r="S569" s="18">
        <f>INDEX('Fuel Selector'!K$5:K$111,MATCH('TCO - Input'!$D569,'Fuel Selector'!$B$5:$B$111,0))</f>
        <v>113.31404512780267</v>
      </c>
      <c r="T569" s="18">
        <f>INDEX('Fuel Selector'!L$5:L$111,MATCH('TCO - Input'!$D569,'Fuel Selector'!$B$5:$B$111,0))</f>
        <v>75.879934264372864</v>
      </c>
      <c r="U569" s="18">
        <f>INDEX('Fuel Selector'!M$5:M$111,MATCH('TCO - Input'!$D569,'Fuel Selector'!$B$5:$B$111,0))</f>
        <v>59.491617523282137</v>
      </c>
      <c r="V569" s="18">
        <f>INDEX('Fuel Selector'!N$5:N$111,MATCH('TCO - Input'!$D569,'Fuel Selector'!$B$5:$B$111,0))</f>
        <v>51.640753207776974</v>
      </c>
      <c r="W569" s="18">
        <f>INDEX('Fuel Selector'!O$5:O$111,MATCH('TCO - Input'!$D569,'Fuel Selector'!$B$5:$B$111,0))</f>
        <v>44.732623643926296</v>
      </c>
      <c r="X569" s="18">
        <f>INDEX('Fuel Selector'!P$5:P$111,MATCH('TCO - Input'!$D569,'Fuel Selector'!$B$5:$B$111,0))</f>
        <v>36.653144406631647</v>
      </c>
      <c r="Y569" s="18">
        <f>INDEX('Fuel Selector'!Q$5:Q$111,MATCH('TCO - Input'!$D569,'Fuel Selector'!$B$5:$B$111,0))</f>
        <v>29.649383133754455</v>
      </c>
      <c r="Z569" s="344">
        <f t="shared" ref="Z569:AD569" si="501">Y569</f>
        <v>29.649383133754455</v>
      </c>
      <c r="AA569" s="344">
        <f t="shared" si="501"/>
        <v>29.649383133754455</v>
      </c>
      <c r="AB569" s="344">
        <f t="shared" si="501"/>
        <v>29.649383133754455</v>
      </c>
      <c r="AC569" s="344">
        <f t="shared" si="501"/>
        <v>29.649383133754455</v>
      </c>
      <c r="AD569" s="344">
        <f t="shared" si="501"/>
        <v>29.649383133754455</v>
      </c>
    </row>
    <row r="570" spans="4:30" x14ac:dyDescent="0.2">
      <c r="D570" s="347" t="str">
        <f t="shared" ref="D570:D577" si="502">_xlfn.TEXTJOIN(keydelim,TRUE,E570:N570)</f>
        <v>e-Methanol (PS) - Africa&amp;Other - Fuel cost total - USD/GJ</v>
      </c>
      <c r="F570" t="str">
        <f t="shared" si="488"/>
        <v>e-Methanol (PS)</v>
      </c>
      <c r="L570" t="str">
        <f t="shared" si="491"/>
        <v>Africa&amp;Other</v>
      </c>
      <c r="N570" t="str">
        <f t="shared" ref="N570:N577" si="503">"Fuel cost total"  &amp;keydelim &amp;Q570</f>
        <v>Fuel cost total - USD/GJ</v>
      </c>
      <c r="P570" s="224"/>
      <c r="Q570" t="s">
        <v>324</v>
      </c>
      <c r="R570" s="14"/>
      <c r="S570" s="18">
        <f>INDEX('Fuel Selector'!K$5:K$111,MATCH('TCO - Input'!$D570,'Fuel Selector'!$B$5:$B$111,0))</f>
        <v>100.50571082661874</v>
      </c>
      <c r="T570" s="18">
        <f>INDEX('Fuel Selector'!L$5:L$111,MATCH('TCO - Input'!$D570,'Fuel Selector'!$B$5:$B$111,0))</f>
        <v>69.504825281140356</v>
      </c>
      <c r="U570" s="18">
        <f>INDEX('Fuel Selector'!M$5:M$111,MATCH('TCO - Input'!$D570,'Fuel Selector'!$B$5:$B$111,0))</f>
        <v>54.604154681260511</v>
      </c>
      <c r="V570" s="18">
        <f>INDEX('Fuel Selector'!N$5:N$111,MATCH('TCO - Input'!$D570,'Fuel Selector'!$B$5:$B$111,0))</f>
        <v>48.313083173303824</v>
      </c>
      <c r="W570" s="18">
        <f>INDEX('Fuel Selector'!O$5:O$111,MATCH('TCO - Input'!$D570,'Fuel Selector'!$B$5:$B$111,0))</f>
        <v>42.256640608808794</v>
      </c>
      <c r="X570" s="18">
        <f>INDEX('Fuel Selector'!P$5:P$111,MATCH('TCO - Input'!$D570,'Fuel Selector'!$B$5:$B$111,0))</f>
        <v>34.797232905826995</v>
      </c>
      <c r="Y570" s="18">
        <f>INDEX('Fuel Selector'!Q$5:Q$111,MATCH('TCO - Input'!$D570,'Fuel Selector'!$B$5:$B$111,0))</f>
        <v>28.07738153276566</v>
      </c>
      <c r="Z570" s="344">
        <f t="shared" ref="Z570:AD570" si="504">Y570</f>
        <v>28.07738153276566</v>
      </c>
      <c r="AA570" s="344">
        <f t="shared" si="504"/>
        <v>28.07738153276566</v>
      </c>
      <c r="AB570" s="344">
        <f t="shared" si="504"/>
        <v>28.07738153276566</v>
      </c>
      <c r="AC570" s="344">
        <f t="shared" si="504"/>
        <v>28.07738153276566</v>
      </c>
      <c r="AD570" s="344">
        <f t="shared" si="504"/>
        <v>28.07738153276566</v>
      </c>
    </row>
    <row r="571" spans="4:30" x14ac:dyDescent="0.2">
      <c r="D571" s="347" t="str">
        <f t="shared" si="502"/>
        <v>Biodiesel (HtL) - Africa&amp;Other - Fuel cost total - USD/GJ</v>
      </c>
      <c r="F571" t="str">
        <f t="shared" si="488"/>
        <v>Biodiesel (HtL)</v>
      </c>
      <c r="L571" t="str">
        <f t="shared" si="491"/>
        <v>Africa&amp;Other</v>
      </c>
      <c r="N571" t="str">
        <f t="shared" si="503"/>
        <v>Fuel cost total - USD/GJ</v>
      </c>
      <c r="P571" s="224"/>
      <c r="Q571" t="s">
        <v>324</v>
      </c>
      <c r="R571" s="14"/>
      <c r="S571" s="18">
        <f>INDEX('Fuel Selector'!K$5:K$111,MATCH('TCO - Input'!$D571,'Fuel Selector'!$B$5:$B$111,0))</f>
        <v>162.27821622869061</v>
      </c>
      <c r="T571" s="18">
        <f>INDEX('Fuel Selector'!L$5:L$111,MATCH('TCO - Input'!$D571,'Fuel Selector'!$B$5:$B$111,0))</f>
        <v>53.718825108102699</v>
      </c>
      <c r="U571" s="18">
        <f>INDEX('Fuel Selector'!M$5:M$111,MATCH('TCO - Input'!$D571,'Fuel Selector'!$B$5:$B$111,0))</f>
        <v>25.192755254059833</v>
      </c>
      <c r="V571" s="18">
        <f>INDEX('Fuel Selector'!N$5:N$111,MATCH('TCO - Input'!$D571,'Fuel Selector'!$B$5:$B$111,0))</f>
        <v>24.776505557094964</v>
      </c>
      <c r="W571" s="18">
        <f>INDEX('Fuel Selector'!O$5:O$111,MATCH('TCO - Input'!$D571,'Fuel Selector'!$B$5:$B$111,0))</f>
        <v>24.280237530542593</v>
      </c>
      <c r="X571" s="18">
        <f>INDEX('Fuel Selector'!P$5:P$111,MATCH('TCO - Input'!$D571,'Fuel Selector'!$B$5:$B$111,0))</f>
        <v>23.581864677154634</v>
      </c>
      <c r="Y571" s="18">
        <f>INDEX('Fuel Selector'!Q$5:Q$111,MATCH('TCO - Input'!$D571,'Fuel Selector'!$B$5:$B$111,0))</f>
        <v>22.290334207607913</v>
      </c>
      <c r="Z571" s="344">
        <f t="shared" ref="Z571:AD571" si="505">Y571</f>
        <v>22.290334207607913</v>
      </c>
      <c r="AA571" s="344">
        <f t="shared" si="505"/>
        <v>22.290334207607913</v>
      </c>
      <c r="AB571" s="344">
        <f t="shared" si="505"/>
        <v>22.290334207607913</v>
      </c>
      <c r="AC571" s="344">
        <f t="shared" si="505"/>
        <v>22.290334207607913</v>
      </c>
      <c r="AD571" s="344">
        <f t="shared" si="505"/>
        <v>22.290334207607913</v>
      </c>
    </row>
    <row r="572" spans="4:30" x14ac:dyDescent="0.2">
      <c r="D572" s="347" t="str">
        <f t="shared" si="502"/>
        <v>Biodiesel (Pyr) - Africa&amp;Other - Fuel cost total - USD/GJ</v>
      </c>
      <c r="F572" t="str">
        <f t="shared" si="488"/>
        <v>Biodiesel (Pyr)</v>
      </c>
      <c r="L572" t="str">
        <f t="shared" si="491"/>
        <v>Africa&amp;Other</v>
      </c>
      <c r="N572" t="str">
        <f t="shared" si="503"/>
        <v>Fuel cost total - USD/GJ</v>
      </c>
      <c r="P572" s="224"/>
      <c r="Q572" t="s">
        <v>324</v>
      </c>
      <c r="R572" s="14"/>
      <c r="S572" s="18">
        <f>INDEX('Fuel Selector'!K$5:K$111,MATCH('TCO - Input'!$D572,'Fuel Selector'!$B$5:$B$111,0))</f>
        <v>67.626217286413308</v>
      </c>
      <c r="T572" s="18">
        <f>INDEX('Fuel Selector'!L$5:L$111,MATCH('TCO - Input'!$D572,'Fuel Selector'!$B$5:$B$111,0))</f>
        <v>42.475146342557558</v>
      </c>
      <c r="U572" s="18">
        <f>INDEX('Fuel Selector'!M$5:M$111,MATCH('TCO - Input'!$D572,'Fuel Selector'!$B$5:$B$111,0))</f>
        <v>26.606455029754102</v>
      </c>
      <c r="V572" s="18">
        <f>INDEX('Fuel Selector'!N$5:N$111,MATCH('TCO - Input'!$D572,'Fuel Selector'!$B$5:$B$111,0))</f>
        <v>27.129026976691506</v>
      </c>
      <c r="W572" s="18">
        <f>INDEX('Fuel Selector'!O$5:O$111,MATCH('TCO - Input'!$D572,'Fuel Selector'!$B$5:$B$111,0))</f>
        <v>26.983467687743616</v>
      </c>
      <c r="X572" s="18">
        <f>INDEX('Fuel Selector'!P$5:P$111,MATCH('TCO - Input'!$D572,'Fuel Selector'!$B$5:$B$111,0))</f>
        <v>26.418571226631464</v>
      </c>
      <c r="Y572" s="18">
        <f>INDEX('Fuel Selector'!Q$5:Q$111,MATCH('TCO - Input'!$D572,'Fuel Selector'!$B$5:$B$111,0))</f>
        <v>24.586815205212453</v>
      </c>
      <c r="Z572" s="344">
        <f t="shared" ref="Z572:AD572" si="506">Y572</f>
        <v>24.586815205212453</v>
      </c>
      <c r="AA572" s="344">
        <f t="shared" si="506"/>
        <v>24.586815205212453</v>
      </c>
      <c r="AB572" s="344">
        <f t="shared" si="506"/>
        <v>24.586815205212453</v>
      </c>
      <c r="AC572" s="344">
        <f t="shared" si="506"/>
        <v>24.586815205212453</v>
      </c>
      <c r="AD572" s="344">
        <f t="shared" si="506"/>
        <v>24.586815205212453</v>
      </c>
    </row>
    <row r="573" spans="4:30" x14ac:dyDescent="0.2">
      <c r="D573" s="347" t="str">
        <f t="shared" si="502"/>
        <v>e-Diesel (DAC) - Africa&amp;Other - Fuel cost total - USD/GJ</v>
      </c>
      <c r="F573" t="str">
        <f t="shared" si="488"/>
        <v>e-Diesel (DAC)</v>
      </c>
      <c r="L573" t="str">
        <f t="shared" si="491"/>
        <v>Africa&amp;Other</v>
      </c>
      <c r="N573" t="str">
        <f t="shared" si="503"/>
        <v>Fuel cost total - USD/GJ</v>
      </c>
      <c r="P573" s="224"/>
      <c r="Q573" t="s">
        <v>324</v>
      </c>
      <c r="R573" s="14"/>
      <c r="S573" s="18">
        <f>INDEX('Fuel Selector'!K$5:K$111,MATCH('TCO - Input'!$D573,'Fuel Selector'!$B$5:$B$111,0))</f>
        <v>128.27650469692148</v>
      </c>
      <c r="T573" s="18">
        <f>INDEX('Fuel Selector'!L$5:L$111,MATCH('TCO - Input'!$D573,'Fuel Selector'!$B$5:$B$111,0))</f>
        <v>86.648783729627709</v>
      </c>
      <c r="U573" s="18">
        <f>INDEX('Fuel Selector'!M$5:M$111,MATCH('TCO - Input'!$D573,'Fuel Selector'!$B$5:$B$111,0))</f>
        <v>68.129297756548112</v>
      </c>
      <c r="V573" s="18">
        <f>INDEX('Fuel Selector'!N$5:N$111,MATCH('TCO - Input'!$D573,'Fuel Selector'!$B$5:$B$111,0))</f>
        <v>59.985254050945819</v>
      </c>
      <c r="W573" s="18">
        <f>INDEX('Fuel Selector'!O$5:O$111,MATCH('TCO - Input'!$D573,'Fuel Selector'!$B$5:$B$111,0))</f>
        <v>52.700896012063794</v>
      </c>
      <c r="X573" s="18">
        <f>INDEX('Fuel Selector'!P$5:P$111,MATCH('TCO - Input'!$D573,'Fuel Selector'!$B$5:$B$111,0))</f>
        <v>42.557836122780948</v>
      </c>
      <c r="Y573" s="18">
        <f>INDEX('Fuel Selector'!Q$5:Q$111,MATCH('TCO - Input'!$D573,'Fuel Selector'!$B$5:$B$111,0))</f>
        <v>33.868780779504405</v>
      </c>
      <c r="Z573" s="344">
        <f t="shared" ref="Z573:AD573" si="507">Y573</f>
        <v>33.868780779504405</v>
      </c>
      <c r="AA573" s="344">
        <f t="shared" si="507"/>
        <v>33.868780779504405</v>
      </c>
      <c r="AB573" s="344">
        <f t="shared" si="507"/>
        <v>33.868780779504405</v>
      </c>
      <c r="AC573" s="344">
        <f t="shared" si="507"/>
        <v>33.868780779504405</v>
      </c>
      <c r="AD573" s="344">
        <f t="shared" si="507"/>
        <v>33.868780779504405</v>
      </c>
    </row>
    <row r="574" spans="4:30" x14ac:dyDescent="0.2">
      <c r="D574" s="347" t="str">
        <f t="shared" si="502"/>
        <v>e-Diesel (PS) - Africa&amp;Other - Fuel cost total - USD/GJ</v>
      </c>
      <c r="F574" t="str">
        <f t="shared" si="488"/>
        <v>e-Diesel (PS)</v>
      </c>
      <c r="L574" t="str">
        <f t="shared" si="491"/>
        <v>Africa&amp;Other</v>
      </c>
      <c r="N574" t="str">
        <f t="shared" si="503"/>
        <v>Fuel cost total - USD/GJ</v>
      </c>
      <c r="P574" s="224"/>
      <c r="Q574" t="s">
        <v>324</v>
      </c>
      <c r="R574" s="14"/>
      <c r="S574" s="18">
        <f>INDEX('Fuel Selector'!K$5:K$111,MATCH('TCO - Input'!$D574,'Fuel Selector'!$B$5:$B$111,0))</f>
        <v>113.15255071954992</v>
      </c>
      <c r="T574" s="18">
        <f>INDEX('Fuel Selector'!L$5:L$111,MATCH('TCO - Input'!$D574,'Fuel Selector'!$B$5:$B$111,0))</f>
        <v>79.121118336460711</v>
      </c>
      <c r="U574" s="18">
        <f>INDEX('Fuel Selector'!M$5:M$111,MATCH('TCO - Input'!$D574,'Fuel Selector'!$B$5:$B$111,0))</f>
        <v>62.358230157069848</v>
      </c>
      <c r="V574" s="18">
        <f>INDEX('Fuel Selector'!N$5:N$111,MATCH('TCO - Input'!$D574,'Fuel Selector'!$B$5:$B$111,0))</f>
        <v>56.055974312471307</v>
      </c>
      <c r="W574" s="18">
        <f>INDEX('Fuel Selector'!O$5:O$111,MATCH('TCO - Input'!$D574,'Fuel Selector'!$B$5:$B$111,0))</f>
        <v>49.777279826592412</v>
      </c>
      <c r="X574" s="18">
        <f>INDEX('Fuel Selector'!P$5:P$111,MATCH('TCO - Input'!$D574,'Fuel Selector'!$B$5:$B$111,0))</f>
        <v>40.366394248746673</v>
      </c>
      <c r="Y574" s="18">
        <f>INDEX('Fuel Selector'!Q$5:Q$111,MATCH('TCO - Input'!$D574,'Fuel Selector'!$B$5:$B$111,0))</f>
        <v>32.012576896419368</v>
      </c>
      <c r="Z574" s="344">
        <f t="shared" ref="Z574:AD574" si="508">Y574</f>
        <v>32.012576896419368</v>
      </c>
      <c r="AA574" s="344">
        <f t="shared" si="508"/>
        <v>32.012576896419368</v>
      </c>
      <c r="AB574" s="344">
        <f t="shared" si="508"/>
        <v>32.012576896419368</v>
      </c>
      <c r="AC574" s="344">
        <f t="shared" si="508"/>
        <v>32.012576896419368</v>
      </c>
      <c r="AD574" s="344">
        <f t="shared" si="508"/>
        <v>32.012576896419368</v>
      </c>
    </row>
    <row r="575" spans="4:30" x14ac:dyDescent="0.2">
      <c r="D575" s="347" t="str">
        <f t="shared" si="502"/>
        <v>Biodiesel (HtL blend) - Africa&amp;Other - Fuel cost total - USD/GJ</v>
      </c>
      <c r="F575" t="str">
        <f t="shared" si="488"/>
        <v>Biodiesel (HtL blend)</v>
      </c>
      <c r="L575" t="str">
        <f t="shared" si="491"/>
        <v>Africa&amp;Other</v>
      </c>
      <c r="N575" t="str">
        <f t="shared" si="503"/>
        <v>Fuel cost total - USD/GJ</v>
      </c>
      <c r="P575" s="224"/>
      <c r="Q575" t="s">
        <v>324</v>
      </c>
      <c r="R575" s="14"/>
      <c r="S575" s="18">
        <f>INDEX('Fuel Selector'!K$5:K$111,MATCH('TCO - Input'!$D575,'Fuel Selector'!$B$5:$B$111,0))</f>
        <v>81.315514785336788</v>
      </c>
      <c r="T575" s="18">
        <f>INDEX('Fuel Selector'!L$5:L$111,MATCH('TCO - Input'!$D575,'Fuel Selector'!$B$5:$B$111,0))</f>
        <v>31.820375991541983</v>
      </c>
      <c r="U575" s="18">
        <f>INDEX('Fuel Selector'!M$5:M$111,MATCH('TCO - Input'!$D575,'Fuel Selector'!$B$5:$B$111,0))</f>
        <v>18.46697349217666</v>
      </c>
      <c r="V575" s="18">
        <f>INDEX('Fuel Selector'!N$5:N$111,MATCH('TCO - Input'!$D575,'Fuel Selector'!$B$5:$B$111,0))</f>
        <v>18.170787322592162</v>
      </c>
      <c r="W575" s="18">
        <f>INDEX('Fuel Selector'!O$5:O$111,MATCH('TCO - Input'!$D575,'Fuel Selector'!$B$5:$B$111,0))</f>
        <v>18.061064520928571</v>
      </c>
      <c r="X575" s="18">
        <f>INDEX('Fuel Selector'!P$5:P$111,MATCH('TCO - Input'!$D575,'Fuel Selector'!$B$5:$B$111,0))</f>
        <v>17.950913908125141</v>
      </c>
      <c r="Y575" s="18">
        <f>INDEX('Fuel Selector'!Q$5:Q$111,MATCH('TCO - Input'!$D575,'Fuel Selector'!$B$5:$B$111,0))</f>
        <v>17.851625148962395</v>
      </c>
      <c r="Z575" s="344">
        <f t="shared" ref="Z575:AD575" si="509">Y575</f>
        <v>17.851625148962395</v>
      </c>
      <c r="AA575" s="344">
        <f t="shared" si="509"/>
        <v>17.851625148962395</v>
      </c>
      <c r="AB575" s="344">
        <f t="shared" si="509"/>
        <v>17.851625148962395</v>
      </c>
      <c r="AC575" s="344">
        <f t="shared" si="509"/>
        <v>17.851625148962395</v>
      </c>
      <c r="AD575" s="344">
        <f t="shared" si="509"/>
        <v>17.851625148962395</v>
      </c>
    </row>
    <row r="576" spans="4:30" x14ac:dyDescent="0.2">
      <c r="D576" s="347" t="str">
        <f t="shared" si="502"/>
        <v>Biodiesel (Pyr blend) - Africa&amp;Other - Fuel cost total - USD/GJ</v>
      </c>
      <c r="F576" t="str">
        <f t="shared" si="488"/>
        <v>Biodiesel (Pyr blend)</v>
      </c>
      <c r="L576" t="str">
        <f t="shared" si="491"/>
        <v>Africa&amp;Other</v>
      </c>
      <c r="N576" t="str">
        <f t="shared" si="503"/>
        <v>Fuel cost total - USD/GJ</v>
      </c>
      <c r="P576" s="224"/>
      <c r="Q576" t="s">
        <v>324</v>
      </c>
      <c r="R576" s="14"/>
      <c r="S576" s="18">
        <f>INDEX('Fuel Selector'!K$5:K$111,MATCH('TCO - Input'!$D576,'Fuel Selector'!$B$5:$B$111,0))</f>
        <v>24.837417145710386</v>
      </c>
      <c r="T576" s="18">
        <f>INDEX('Fuel Selector'!L$5:L$111,MATCH('TCO - Input'!$D576,'Fuel Selector'!$B$5:$B$111,0))</f>
        <v>17.873906750354134</v>
      </c>
      <c r="U576" s="18">
        <f>INDEX('Fuel Selector'!M$5:M$111,MATCH('TCO - Input'!$D576,'Fuel Selector'!$B$5:$B$111,0))</f>
        <v>14.377536102042939</v>
      </c>
      <c r="V576" s="18">
        <f>INDEX('Fuel Selector'!N$5:N$111,MATCH('TCO - Input'!$D576,'Fuel Selector'!$B$5:$B$111,0))</f>
        <v>14.378319343766121</v>
      </c>
      <c r="W576" s="18">
        <f>INDEX('Fuel Selector'!O$5:O$111,MATCH('TCO - Input'!$D576,'Fuel Selector'!$B$5:$B$111,0))</f>
        <v>14.427973652126125</v>
      </c>
      <c r="X576" s="18">
        <f>INDEX('Fuel Selector'!P$5:P$111,MATCH('TCO - Input'!$D576,'Fuel Selector'!$B$5:$B$111,0))</f>
        <v>14.47759622668579</v>
      </c>
      <c r="Y576" s="18">
        <f>INDEX('Fuel Selector'!Q$5:Q$111,MATCH('TCO - Input'!$D576,'Fuel Selector'!$B$5:$B$111,0))</f>
        <v>14.527806495992236</v>
      </c>
      <c r="Z576" s="344">
        <f t="shared" ref="Z576:AD576" si="510">Y576</f>
        <v>14.527806495992236</v>
      </c>
      <c r="AA576" s="344">
        <f t="shared" si="510"/>
        <v>14.527806495992236</v>
      </c>
      <c r="AB576" s="344">
        <f t="shared" si="510"/>
        <v>14.527806495992236</v>
      </c>
      <c r="AC576" s="344">
        <f t="shared" si="510"/>
        <v>14.527806495992236</v>
      </c>
      <c r="AD576" s="344">
        <f t="shared" si="510"/>
        <v>14.527806495992236</v>
      </c>
    </row>
    <row r="577" spans="4:58" x14ac:dyDescent="0.2">
      <c r="D577" s="347" t="str">
        <f t="shared" si="502"/>
        <v>Blue hydrogen (liquid) - Africa&amp;Other - Fuel cost total - USD/GJ</v>
      </c>
      <c r="F577" t="str">
        <f t="shared" si="488"/>
        <v>Blue hydrogen (liquid)</v>
      </c>
      <c r="L577" t="str">
        <f t="shared" si="491"/>
        <v>Africa&amp;Other</v>
      </c>
      <c r="N577" t="str">
        <f t="shared" si="503"/>
        <v>Fuel cost total - USD/GJ</v>
      </c>
      <c r="P577" s="224"/>
      <c r="Q577" t="s">
        <v>324</v>
      </c>
      <c r="R577" s="14"/>
      <c r="S577" s="18">
        <f>INDEX('Fuel Selector'!K$5:K$111,MATCH('TCO - Input'!$D577,'Fuel Selector'!$B$5:$B$111,0))</f>
        <v>93.608887655281649</v>
      </c>
      <c r="T577" s="18">
        <f>INDEX('Fuel Selector'!L$5:L$111,MATCH('TCO - Input'!$D577,'Fuel Selector'!$B$5:$B$111,0))</f>
        <v>56.684226146828593</v>
      </c>
      <c r="U577" s="18">
        <f>INDEX('Fuel Selector'!M$5:M$111,MATCH('TCO - Input'!$D577,'Fuel Selector'!$B$5:$B$111,0))</f>
        <v>48.105024658871542</v>
      </c>
      <c r="V577" s="18">
        <f>INDEX('Fuel Selector'!N$5:N$111,MATCH('TCO - Input'!$D577,'Fuel Selector'!$B$5:$B$111,0))</f>
        <v>46.830270738785508</v>
      </c>
      <c r="W577" s="18">
        <f>INDEX('Fuel Selector'!O$5:O$111,MATCH('TCO - Input'!$D577,'Fuel Selector'!$B$5:$B$111,0))</f>
        <v>45.869234013400309</v>
      </c>
      <c r="X577" s="18">
        <f>INDEX('Fuel Selector'!P$5:P$111,MATCH('TCO - Input'!$D577,'Fuel Selector'!$B$5:$B$111,0))</f>
        <v>44.96044940406297</v>
      </c>
      <c r="Y577" s="18">
        <f>INDEX('Fuel Selector'!Q$5:Q$111,MATCH('TCO - Input'!$D577,'Fuel Selector'!$B$5:$B$111,0))</f>
        <v>44.216663601947403</v>
      </c>
      <c r="Z577" s="344">
        <f t="shared" ref="Z577:AD577" si="511">Y577</f>
        <v>44.216663601947403</v>
      </c>
      <c r="AA577" s="344">
        <f t="shared" si="511"/>
        <v>44.216663601947403</v>
      </c>
      <c r="AB577" s="344">
        <f t="shared" si="511"/>
        <v>44.216663601947403</v>
      </c>
      <c r="AC577" s="344">
        <f t="shared" si="511"/>
        <v>44.216663601947403</v>
      </c>
      <c r="AD577" s="344">
        <f t="shared" si="511"/>
        <v>44.216663601947403</v>
      </c>
    </row>
    <row r="578" spans="4:58" x14ac:dyDescent="0.2">
      <c r="D578" s="347" t="str">
        <f>_xlfn.TEXTJOIN(keydelim,TRUE,E578:N578)</f>
        <v>e-Hydrogen (liquid) - Africa&amp;Other - Fuel cost total - USD/GJ</v>
      </c>
      <c r="F578" t="str">
        <f t="shared" si="488"/>
        <v>e-Hydrogen (liquid)</v>
      </c>
      <c r="L578" t="str">
        <f t="shared" si="491"/>
        <v>Africa&amp;Other</v>
      </c>
      <c r="N578" t="str">
        <f>"Fuel cost total"  &amp;keydelim &amp;Q578</f>
        <v>Fuel cost total - USD/GJ</v>
      </c>
      <c r="P578" s="224"/>
      <c r="Q578" t="s">
        <v>324</v>
      </c>
      <c r="R578" s="14"/>
      <c r="S578" s="18">
        <f>INDEX('Fuel Selector'!K$5:K$111,MATCH('TCO - Input'!$D578,'Fuel Selector'!$B$5:$B$111,0))</f>
        <v>79.707239804925521</v>
      </c>
      <c r="T578" s="18">
        <f>INDEX('Fuel Selector'!L$5:L$111,MATCH('TCO - Input'!$D578,'Fuel Selector'!$B$5:$B$111,0))</f>
        <v>58.137184551113585</v>
      </c>
      <c r="U578" s="18">
        <f>INDEX('Fuel Selector'!M$5:M$111,MATCH('TCO - Input'!$D578,'Fuel Selector'!$B$5:$B$111,0))</f>
        <v>50.631693929645536</v>
      </c>
      <c r="V578" s="18">
        <f>INDEX('Fuel Selector'!N$5:N$111,MATCH('TCO - Input'!$D578,'Fuel Selector'!$B$5:$B$111,0))</f>
        <v>47.022079791144371</v>
      </c>
      <c r="W578" s="18">
        <f>INDEX('Fuel Selector'!O$5:O$111,MATCH('TCO - Input'!$D578,'Fuel Selector'!$B$5:$B$111,0))</f>
        <v>43.54597134498183</v>
      </c>
      <c r="X578" s="18">
        <f>INDEX('Fuel Selector'!P$5:P$111,MATCH('TCO - Input'!$D578,'Fuel Selector'!$B$5:$B$111,0))</f>
        <v>39.227904094714333</v>
      </c>
      <c r="Y578" s="18">
        <f>INDEX('Fuel Selector'!Q$5:Q$111,MATCH('TCO - Input'!$D578,'Fuel Selector'!$B$5:$B$111,0))</f>
        <v>35.55069778980149</v>
      </c>
      <c r="Z578" s="344">
        <f t="shared" ref="Z578:AD578" si="512">Y578</f>
        <v>35.55069778980149</v>
      </c>
      <c r="AA578" s="344">
        <f t="shared" si="512"/>
        <v>35.55069778980149</v>
      </c>
      <c r="AB578" s="344">
        <f t="shared" si="512"/>
        <v>35.55069778980149</v>
      </c>
      <c r="AC578" s="344">
        <f t="shared" si="512"/>
        <v>35.55069778980149</v>
      </c>
      <c r="AD578" s="344">
        <f t="shared" si="512"/>
        <v>35.55069778980149</v>
      </c>
    </row>
    <row r="579" spans="4:58" x14ac:dyDescent="0.2">
      <c r="R579" s="14"/>
      <c r="S579" s="18"/>
      <c r="T579" s="18"/>
      <c r="U579" s="18"/>
      <c r="V579" s="18"/>
      <c r="W579" s="18"/>
      <c r="X579" s="18"/>
      <c r="Y579" s="18"/>
      <c r="Z579" s="18"/>
      <c r="AA579" s="18"/>
      <c r="AB579" s="18"/>
      <c r="AC579" s="18"/>
      <c r="AD579" s="18"/>
    </row>
    <row r="580" spans="4:58" x14ac:dyDescent="0.2">
      <c r="D580" s="347" t="str">
        <f>_xlfn.TEXTJOIN(keydelim,TRUE,E580:N580)</f>
        <v>LSFO - Global - Fuel cost total - USD/GJ</v>
      </c>
      <c r="F580" t="str">
        <f t="shared" ref="F580:F599" si="513">F538</f>
        <v>LSFO</v>
      </c>
      <c r="L580" t="s">
        <v>109</v>
      </c>
      <c r="N580" t="str">
        <f>"Fuel cost total"  &amp;keydelim &amp;Q580</f>
        <v>Fuel cost total - USD/GJ</v>
      </c>
      <c r="O580" s="224"/>
      <c r="P580" s="224"/>
      <c r="Q580" t="s">
        <v>324</v>
      </c>
      <c r="R580" s="14"/>
      <c r="S580" s="18">
        <f>+SMALL((S475,S496,S517,S538,S559),1)*40%+SMALL((S475,S496,S517,S538,S559),2)*30%+SMALL((S475,S496,S517,S538,S559),3)*10%+SMALL((S475,S496,S517,S538,S559),4)*10%+SMALL((S475,S496,S517,S538,S559),5)*10%</f>
        <v>21.473621920116738</v>
      </c>
      <c r="T580" s="18">
        <f>+SMALL((T475,T496,T517,T538,T559),1)*40%+SMALL((T475,T496,T517,T538,T559),2)*30%+SMALL((T475,T496,T517,T538,T559),3)*10%+SMALL((T475,T496,T517,T538,T559),4)*10%+SMALL((T475,T496,T517,T538,T559),5)*10%</f>
        <v>15.404989638344619</v>
      </c>
      <c r="U580" s="18">
        <f>+SMALL((U475,U496,U517,U538,U559),1)*40%+SMALL((U475,U496,U517,U538,U559),2)*30%+SMALL((U475,U496,U517,U538,U559),3)*10%+SMALL((U475,U496,U517,U538,U559),4)*10%+SMALL((U475,U496,U517,U538,U559),5)*10%</f>
        <v>13.444354593464393</v>
      </c>
      <c r="V580" s="18">
        <f>+SMALL((V475,V496,V517,V538,V559),1)*40%+SMALL((V475,V496,V517,V538,V559),2)*30%+SMALL((V475,V496,V517,V538,V559),3)*10%+SMALL((V475,V496,V517,V538,V559),4)*10%+SMALL((V475,V496,V517,V538,V559),5)*10%</f>
        <v>13.444354593464393</v>
      </c>
      <c r="W580" s="18">
        <f>+SMALL((W475,W496,W517,W538,W559),1)*40%+SMALL((W475,W496,W517,W538,W559),2)*30%+SMALL((W475,W496,W517,W538,W559),3)*10%+SMALL((W475,W496,W517,W538,W559),4)*10%+SMALL((W475,W496,W517,W538,W559),5)*10%</f>
        <v>13.444354593464393</v>
      </c>
      <c r="X580" s="18">
        <f>+SMALL((X475,X496,X517,X538,X559),1)*40%+SMALL((X475,X496,X517,X538,X559),2)*30%+SMALL((X475,X496,X517,X538,X559),3)*10%+SMALL((X475,X496,X517,X538,X559),4)*10%+SMALL((X475,X496,X517,X538,X559),5)*10%</f>
        <v>13.444354593464393</v>
      </c>
      <c r="Y580" s="18">
        <f>+SMALL((Y475,Y496,Y517,Y538,Y559),1)*40%+SMALL((Y475,Y496,Y517,Y538,Y559),2)*30%+SMALL((Y475,Y496,Y517,Y538,Y559),3)*10%+SMALL((Y475,Y496,Y517,Y538,Y559),4)*10%+SMALL((Y475,Y496,Y517,Y538,Y559),5)*10%</f>
        <v>13.444354593464393</v>
      </c>
      <c r="Z580" s="344">
        <f>Y580</f>
        <v>13.444354593464393</v>
      </c>
      <c r="AA580" s="344">
        <f t="shared" ref="AA580:AD580" si="514">Z580</f>
        <v>13.444354593464393</v>
      </c>
      <c r="AB580" s="344">
        <f t="shared" si="514"/>
        <v>13.444354593464393</v>
      </c>
      <c r="AC580" s="344">
        <f t="shared" si="514"/>
        <v>13.444354593464393</v>
      </c>
      <c r="AD580" s="344">
        <f t="shared" si="514"/>
        <v>13.444354593464393</v>
      </c>
      <c r="AH580" s="256"/>
      <c r="AI580" s="256"/>
      <c r="AJ580" s="256"/>
      <c r="AK580" s="256"/>
      <c r="AL580" s="256"/>
      <c r="AM580" s="256"/>
      <c r="AN580" s="256"/>
      <c r="AO580" s="256"/>
      <c r="AP580" s="256"/>
      <c r="AQ580" s="256"/>
      <c r="AS580" s="9"/>
      <c r="AT580" s="9"/>
      <c r="AU580" s="9"/>
      <c r="AV580" s="9"/>
      <c r="AW580" s="9"/>
      <c r="AX580" s="9"/>
      <c r="AY580" s="9"/>
      <c r="AZ580" s="9"/>
      <c r="BA580" s="9"/>
      <c r="BB580" s="9"/>
      <c r="BC580" s="9"/>
      <c r="BD580" s="9"/>
      <c r="BE580" s="345"/>
      <c r="BF580" s="345"/>
    </row>
    <row r="581" spans="4:58" x14ac:dyDescent="0.2">
      <c r="D581" s="347" t="str">
        <f>_xlfn.TEXTJOIN(keydelim,TRUE,E581:N581)</f>
        <v>LNG - Global - Fuel cost total - USD/GJ</v>
      </c>
      <c r="F581" t="str">
        <f t="shared" si="513"/>
        <v>LNG</v>
      </c>
      <c r="L581" t="str">
        <f t="shared" ref="L581:L599" si="515">L580</f>
        <v>Global</v>
      </c>
      <c r="N581" t="str">
        <f>"Fuel cost total"  &amp;keydelim &amp;Q581</f>
        <v>Fuel cost total - USD/GJ</v>
      </c>
      <c r="O581" s="224"/>
      <c r="P581" s="224"/>
      <c r="Q581" t="s">
        <v>324</v>
      </c>
      <c r="R581" s="14"/>
      <c r="S581" s="18">
        <f>+SMALL((S476,S497,S518,S539,S560),1)*40%+SMALL((S476,S497,S518,S539,S560),2)*30%+SMALL((S476,S497,S518,S539,S560),3)*10%+SMALL((S476,S497,S518,S539,S560),4)*10%+SMALL((S476,S497,S518,S539,S560),5)*10%</f>
        <v>28.010164967271816</v>
      </c>
      <c r="T581" s="18">
        <f>+SMALL((T476,T497,T518,T539,T560),1)*40%+SMALL((T476,T497,T518,T539,T560),2)*30%+SMALL((T476,T497,T518,T539,T560),3)*10%+SMALL((T476,T497,T518,T539,T560),4)*10%+SMALL((T476,T497,T518,T539,T560),5)*10%</f>
        <v>15.101278898435231</v>
      </c>
      <c r="U581" s="18">
        <f>+SMALL((U476,U497,U518,U539,U560),1)*40%+SMALL((U476,U497,U518,U539,U560),2)*30%+SMALL((U476,U497,U518,U539,U560),3)*10%+SMALL((U476,U497,U518,U539,U560),4)*10%+SMALL((U476,U497,U518,U539,U560),5)*10%</f>
        <v>10.581925187075147</v>
      </c>
      <c r="V581" s="18">
        <f>+SMALL((V476,V497,V518,V539,V560),1)*40%+SMALL((V476,V497,V518,V539,V560),2)*30%+SMALL((V476,V497,V518,V539,V560),3)*10%+SMALL((V476,V497,V518,V539,V560),4)*10%+SMALL((V476,V497,V518,V539,V560),5)*10%</f>
        <v>10.624039306140117</v>
      </c>
      <c r="W581" s="18">
        <f>+SMALL((W476,W497,W518,W539,W560),1)*40%+SMALL((W476,W497,W518,W539,W560),2)*30%+SMALL((W476,W497,W518,W539,W560),3)*10%+SMALL((W476,W497,W518,W539,W560),4)*10%+SMALL((W476,W497,W518,W539,W560),5)*10%</f>
        <v>10.502467383740608</v>
      </c>
      <c r="X581" s="18">
        <f>+SMALL((X476,X497,X518,X539,X560),1)*40%+SMALL((X476,X497,X518,X539,X560),2)*30%+SMALL((X476,X497,X518,X539,X560),3)*10%+SMALL((X476,X497,X518,X539,X560),4)*10%+SMALL((X476,X497,X518,X539,X560),5)*10%</f>
        <v>10.385227090861148</v>
      </c>
      <c r="Y581" s="18">
        <f>+SMALL((Y476,Y497,Y518,Y539,Y560),1)*40%+SMALL((Y476,Y497,Y518,Y539,Y560),2)*30%+SMALL((Y476,Y497,Y518,Y539,Y560),3)*10%+SMALL((Y476,Y497,Y518,Y539,Y560),4)*10%+SMALL((Y476,Y497,Y518,Y539,Y560),5)*10%</f>
        <v>10.282788752348448</v>
      </c>
      <c r="Z581" s="344">
        <f t="shared" ref="Z581:AD581" si="516">Y581</f>
        <v>10.282788752348448</v>
      </c>
      <c r="AA581" s="344">
        <f t="shared" si="516"/>
        <v>10.282788752348448</v>
      </c>
      <c r="AB581" s="344">
        <f t="shared" si="516"/>
        <v>10.282788752348448</v>
      </c>
      <c r="AC581" s="344">
        <f t="shared" si="516"/>
        <v>10.282788752348448</v>
      </c>
      <c r="AD581" s="344">
        <f t="shared" si="516"/>
        <v>10.282788752348448</v>
      </c>
      <c r="AH581" s="256"/>
      <c r="AI581" s="256"/>
      <c r="AJ581" s="256"/>
      <c r="AK581" s="256"/>
      <c r="AL581" s="256"/>
      <c r="AM581" s="256"/>
      <c r="AN581" s="256"/>
      <c r="AO581" s="256"/>
      <c r="AP581" s="256"/>
      <c r="AQ581" s="256"/>
      <c r="AS581" s="9"/>
      <c r="AT581" s="9"/>
      <c r="AU581" s="9"/>
      <c r="AV581" s="9"/>
      <c r="AW581" s="9"/>
      <c r="AX581" s="9"/>
      <c r="AY581" s="9"/>
      <c r="AZ581" s="9"/>
      <c r="BA581" s="9"/>
      <c r="BB581" s="9"/>
      <c r="BC581" s="9"/>
      <c r="BD581" s="9"/>
      <c r="BE581" s="345"/>
      <c r="BF581" s="345"/>
    </row>
    <row r="582" spans="4:58" x14ac:dyDescent="0.2">
      <c r="D582" s="347" t="str">
        <f t="shared" ref="D582:D598" si="517">_xlfn.TEXTJOIN(keydelim,TRUE,E582:N582)</f>
        <v>LPG - Global - Fuel cost total - USD/GJ</v>
      </c>
      <c r="F582" t="str">
        <f t="shared" si="513"/>
        <v>LPG</v>
      </c>
      <c r="L582" t="str">
        <f t="shared" si="515"/>
        <v>Global</v>
      </c>
      <c r="N582" t="str">
        <f t="shared" ref="N582:N596" si="518">"Fuel cost total"  &amp;keydelim &amp;Q582</f>
        <v>Fuel cost total - USD/GJ</v>
      </c>
      <c r="O582" s="224"/>
      <c r="P582" s="224"/>
      <c r="Q582" t="s">
        <v>324</v>
      </c>
      <c r="R582" s="14"/>
      <c r="S582" s="18">
        <f>+SMALL((S477,S498,S519,S540,S561),1)*40%+SMALL((S477,S498,S519,S540,S561),2)*30%+SMALL((S477,S498,S519,S540,S561),3)*10%+SMALL((S477,S498,S519,S540,S561),4)*10%+SMALL((S477,S498,S519,S540,S561),5)*10%</f>
        <v>16.525069073439496</v>
      </c>
      <c r="T582" s="18">
        <f>+SMALL((T477,T498,T519,T540,T561),1)*40%+SMALL((T477,T498,T519,T540,T561),2)*30%+SMALL((T477,T498,T519,T540,T561),3)*10%+SMALL((T477,T498,T519,T540,T561),4)*10%+SMALL((T477,T498,T519,T540,T561),5)*10%</f>
        <v>11.854940857032686</v>
      </c>
      <c r="U582" s="18">
        <f>+SMALL((U477,U498,U519,U540,U561),1)*40%+SMALL((U477,U498,U519,U540,U561),2)*30%+SMALL((U477,U498,U519,U540,U561),3)*10%+SMALL((U477,U498,U519,U540,U561),4)*10%+SMALL((U477,U498,U519,U540,U561),5)*10%</f>
        <v>10.346130202501252</v>
      </c>
      <c r="V582" s="18">
        <f>+SMALL((V477,V498,V519,V540,V561),1)*40%+SMALL((V477,V498,V519,V540,V561),2)*30%+SMALL((V477,V498,V519,V540,V561),3)*10%+SMALL((V477,V498,V519,V540,V561),4)*10%+SMALL((V477,V498,V519,V540,V561),5)*10%</f>
        <v>10.346130202501252</v>
      </c>
      <c r="W582" s="18">
        <f>+SMALL((W477,W498,W519,W540,W561),1)*40%+SMALL((W477,W498,W519,W540,W561),2)*30%+SMALL((W477,W498,W519,W540,W561),3)*10%+SMALL((W477,W498,W519,W540,W561),4)*10%+SMALL((W477,W498,W519,W540,W561),5)*10%</f>
        <v>10.346130202501252</v>
      </c>
      <c r="X582" s="18">
        <f>+SMALL((X477,X498,X519,X540,X561),1)*40%+SMALL((X477,X498,X519,X540,X561),2)*30%+SMALL((X477,X498,X519,X540,X561),3)*10%+SMALL((X477,X498,X519,X540,X561),4)*10%+SMALL((X477,X498,X519,X540,X561),5)*10%</f>
        <v>10.346130202501252</v>
      </c>
      <c r="Y582" s="18">
        <f>+SMALL((Y477,Y498,Y519,Y540,Y561),1)*40%+SMALL((Y477,Y498,Y519,Y540,Y561),2)*30%+SMALL((Y477,Y498,Y519,Y540,Y561),3)*10%+SMALL((Y477,Y498,Y519,Y540,Y561),4)*10%+SMALL((Y477,Y498,Y519,Y540,Y561),5)*10%</f>
        <v>10.346130202501252</v>
      </c>
      <c r="Z582" s="344">
        <f t="shared" ref="Z582:AD582" si="519">Y582</f>
        <v>10.346130202501252</v>
      </c>
      <c r="AA582" s="344">
        <f t="shared" si="519"/>
        <v>10.346130202501252</v>
      </c>
      <c r="AB582" s="344">
        <f t="shared" si="519"/>
        <v>10.346130202501252</v>
      </c>
      <c r="AC582" s="344">
        <f t="shared" si="519"/>
        <v>10.346130202501252</v>
      </c>
      <c r="AD582" s="344">
        <f t="shared" si="519"/>
        <v>10.346130202501252</v>
      </c>
      <c r="AH582" s="256"/>
      <c r="AI582" s="256"/>
      <c r="AJ582" s="256"/>
      <c r="AK582" s="256"/>
      <c r="AL582" s="256"/>
      <c r="AM582" s="256"/>
      <c r="AN582" s="256"/>
      <c r="AO582" s="256"/>
      <c r="AP582" s="256"/>
      <c r="AQ582" s="256"/>
      <c r="AS582" s="9"/>
      <c r="AT582" s="9"/>
      <c r="AU582" s="9"/>
      <c r="AV582" s="9"/>
      <c r="AW582" s="9"/>
      <c r="AX582" s="9"/>
      <c r="AY582" s="9"/>
      <c r="AZ582" s="9"/>
      <c r="BA582" s="9"/>
      <c r="BB582" s="9"/>
      <c r="BC582" s="9"/>
      <c r="BD582" s="9"/>
      <c r="BE582" s="345"/>
      <c r="BF582" s="345"/>
    </row>
    <row r="583" spans="4:58" x14ac:dyDescent="0.2">
      <c r="D583" s="347" t="str">
        <f t="shared" si="517"/>
        <v>Electricity - Global - Fuel cost total - USD/GJ</v>
      </c>
      <c r="F583" t="str">
        <f t="shared" si="513"/>
        <v>Electricity</v>
      </c>
      <c r="L583" t="str">
        <f t="shared" si="515"/>
        <v>Global</v>
      </c>
      <c r="N583" t="str">
        <f t="shared" si="518"/>
        <v>Fuel cost total - USD/GJ</v>
      </c>
      <c r="O583" s="224"/>
      <c r="P583" s="224"/>
      <c r="Q583" t="s">
        <v>324</v>
      </c>
      <c r="R583" s="14"/>
      <c r="S583" s="18">
        <f>+SMALL((S478,S499,S520,S541,S562),1)*40%+SMALL((S478,S499,S520,S541,S562),2)*30%+SMALL((S478,S499,S520,S541,S562),3)*10%+SMALL((S478,S499,S520,S541,S562),4)*10%+SMALL((S478,S499,S520,S541,S562),5)*10%</f>
        <v>32.595015367095293</v>
      </c>
      <c r="T583" s="18">
        <f>+SMALL((T478,T499,T520,T541,T562),1)*40%+SMALL((T478,T499,T520,T541,T562),2)*30%+SMALL((T478,T499,T520,T541,T562),3)*10%+SMALL((T478,T499,T520,T541,T562),4)*10%+SMALL((T478,T499,T520,T541,T562),5)*10%</f>
        <v>29.418681756114019</v>
      </c>
      <c r="U583" s="18">
        <f>+SMALL((U478,U499,U520,U541,U562),1)*40%+SMALL((U478,U499,U520,U541,U562),2)*30%+SMALL((U478,U499,U520,U541,U562),3)*10%+SMALL((U478,U499,U520,U541,U562),4)*10%+SMALL((U478,U499,U520,U541,U562),5)*10%</f>
        <v>27.499083100333053</v>
      </c>
      <c r="V583" s="18">
        <f>+SMALL((V478,V499,V520,V541,V562),1)*40%+SMALL((V478,V499,V520,V541,V562),2)*30%+SMALL((V478,V499,V520,V541,V562),3)*10%+SMALL((V478,V499,V520,V541,V562),4)*10%+SMALL((V478,V499,V520,V541,V562),5)*10%</f>
        <v>26.379302721533477</v>
      </c>
      <c r="W583" s="18">
        <f>+SMALL((W478,W499,W520,W541,W562),1)*40%+SMALL((W478,W499,W520,W541,W562),2)*30%+SMALL((W478,W499,W520,W541,W562),3)*10%+SMALL((W478,W499,W520,W541,W562),4)*10%+SMALL((W478,W499,W520,W541,W562),5)*10%</f>
        <v>25.732122871284648</v>
      </c>
      <c r="X583" s="18">
        <f>+SMALL((X478,X499,X520,X541,X562),1)*40%+SMALL((X478,X499,X520,X541,X562),2)*30%+SMALL((X478,X499,X520,X541,X562),3)*10%+SMALL((X478,X499,X520,X541,X562),4)*10%+SMALL((X478,X499,X520,X541,X562),5)*10%</f>
        <v>25.13282431811167</v>
      </c>
      <c r="Y583" s="18">
        <f>+SMALL((Y478,Y499,Y520,Y541,Y562),1)*40%+SMALL((Y478,Y499,Y520,Y541,Y562),2)*30%+SMALL((Y478,Y499,Y520,Y541,Y562),3)*10%+SMALL((Y478,Y499,Y520,Y541,Y562),4)*10%+SMALL((Y478,Y499,Y520,Y541,Y562),5)*10%</f>
        <v>24.811351524856352</v>
      </c>
      <c r="Z583" s="344">
        <f t="shared" ref="Z583:AD583" si="520">Y583</f>
        <v>24.811351524856352</v>
      </c>
      <c r="AA583" s="344">
        <f t="shared" si="520"/>
        <v>24.811351524856352</v>
      </c>
      <c r="AB583" s="344">
        <f t="shared" si="520"/>
        <v>24.811351524856352</v>
      </c>
      <c r="AC583" s="344">
        <f t="shared" si="520"/>
        <v>24.811351524856352</v>
      </c>
      <c r="AD583" s="344">
        <f t="shared" si="520"/>
        <v>24.811351524856352</v>
      </c>
      <c r="AH583" s="256"/>
      <c r="AI583" s="256"/>
      <c r="AJ583" s="256"/>
      <c r="AK583" s="256"/>
      <c r="AL583" s="256"/>
      <c r="AM583" s="256"/>
      <c r="AN583" s="256"/>
      <c r="AO583" s="256"/>
      <c r="AP583" s="256"/>
      <c r="AQ583" s="256"/>
      <c r="AS583" s="9"/>
      <c r="AT583" s="9"/>
      <c r="AU583" s="9"/>
      <c r="AV583" s="9"/>
      <c r="AW583" s="9"/>
      <c r="AX583" s="9"/>
      <c r="AY583" s="9"/>
      <c r="AZ583" s="9"/>
      <c r="BA583" s="9"/>
      <c r="BB583" s="9"/>
      <c r="BC583" s="9"/>
      <c r="BD583" s="9"/>
      <c r="BE583" s="345"/>
      <c r="BF583" s="345"/>
    </row>
    <row r="584" spans="4:58" x14ac:dyDescent="0.2">
      <c r="D584" s="347" t="str">
        <f t="shared" si="517"/>
        <v>e-Ammonia - Global - Fuel cost total - USD/GJ</v>
      </c>
      <c r="F584" t="str">
        <f t="shared" si="513"/>
        <v>e-Ammonia</v>
      </c>
      <c r="L584" t="str">
        <f t="shared" si="515"/>
        <v>Global</v>
      </c>
      <c r="N584" t="str">
        <f t="shared" si="518"/>
        <v>Fuel cost total - USD/GJ</v>
      </c>
      <c r="O584" s="224"/>
      <c r="P584" s="224"/>
      <c r="Q584" t="s">
        <v>324</v>
      </c>
      <c r="R584" s="14"/>
      <c r="S584" s="18">
        <f>+SMALL((S479,S500,S521,S542,S563),1)*40%+SMALL((S479,S500,S521,S542,S563),2)*30%+SMALL((S479,S500,S521,S542,S563),3)*10%+SMALL((S479,S500,S521,S542,S563),4)*10%+SMALL((S479,S500,S521,S542,S563),5)*10%</f>
        <v>67.654563699368978</v>
      </c>
      <c r="T584" s="18">
        <f>+SMALL((T479,T500,T521,T542,T563),1)*40%+SMALL((T479,T500,T521,T542,T563),2)*30%+SMALL((T479,T500,T521,T542,T563),3)*10%+SMALL((T479,T500,T521,T542,T563),4)*10%+SMALL((T479,T500,T521,T542,T563),5)*10%</f>
        <v>49.86622112839148</v>
      </c>
      <c r="U584" s="18">
        <f>+SMALL((U479,U500,U521,U542,U563),1)*40%+SMALL((U479,U500,U521,U542,U563),2)*30%+SMALL((U479,U500,U521,U542,U563),3)*10%+SMALL((U479,U500,U521,U542,U563),4)*10%+SMALL((U479,U500,U521,U542,U563),5)*10%</f>
        <v>35.036527617873539</v>
      </c>
      <c r="V584" s="18">
        <f>+SMALL((V479,V500,V521,V542,V563),1)*40%+SMALL((V479,V500,V521,V542,V563),2)*30%+SMALL((V479,V500,V521,V542,V563),3)*10%+SMALL((V479,V500,V521,V542,V563),4)*10%+SMALL((V479,V500,V521,V542,V563),5)*10%</f>
        <v>31.843366273798324</v>
      </c>
      <c r="W584" s="18">
        <f>+SMALL((W479,W500,W521,W542,W563),1)*40%+SMALL((W479,W500,W521,W542,W563),2)*30%+SMALL((W479,W500,W521,W542,W563),3)*10%+SMALL((W479,W500,W521,W542,W563),4)*10%+SMALL((W479,W500,W521,W542,W563),5)*10%</f>
        <v>28.023353054868181</v>
      </c>
      <c r="X584" s="18">
        <f>+SMALL((X479,X500,X521,X542,X563),1)*40%+SMALL((X479,X500,X521,X542,X563),2)*30%+SMALL((X479,X500,X521,X542,X563),3)*10%+SMALL((X479,X500,X521,X542,X563),4)*10%+SMALL((X479,X500,X521,X542,X563),5)*10%</f>
        <v>23.402115576701302</v>
      </c>
      <c r="Y584" s="18">
        <f>+SMALL((Y479,Y500,Y521,Y542,Y563),1)*40%+SMALL((Y479,Y500,Y521,Y542,Y563),2)*30%+SMALL((Y479,Y500,Y521,Y542,Y563),3)*10%+SMALL((Y479,Y500,Y521,Y542,Y563),4)*10%+SMALL((Y479,Y500,Y521,Y542,Y563),5)*10%</f>
        <v>19.231023079153672</v>
      </c>
      <c r="Z584" s="344">
        <f t="shared" ref="Z584:AD585" si="521">Y584</f>
        <v>19.231023079153672</v>
      </c>
      <c r="AA584" s="344">
        <f t="shared" si="521"/>
        <v>19.231023079153672</v>
      </c>
      <c r="AB584" s="344">
        <f t="shared" si="521"/>
        <v>19.231023079153672</v>
      </c>
      <c r="AC584" s="344">
        <f t="shared" si="521"/>
        <v>19.231023079153672</v>
      </c>
      <c r="AD584" s="344">
        <f t="shared" si="521"/>
        <v>19.231023079153672</v>
      </c>
      <c r="AH584" s="256"/>
      <c r="AI584" s="256"/>
      <c r="AJ584" s="256"/>
      <c r="AK584" s="256"/>
      <c r="AL584" s="256"/>
      <c r="AM584" s="256"/>
      <c r="AN584" s="256"/>
      <c r="AO584" s="256"/>
      <c r="AP584" s="256"/>
      <c r="AQ584" s="256"/>
      <c r="AS584" s="9"/>
      <c r="AT584" s="9"/>
      <c r="AU584" s="9"/>
      <c r="AV584" s="9"/>
      <c r="AW584" s="9"/>
      <c r="AX584" s="9"/>
      <c r="AY584" s="9"/>
      <c r="AZ584" s="9"/>
      <c r="BA584" s="9"/>
      <c r="BB584" s="9"/>
      <c r="BC584" s="9"/>
      <c r="BD584" s="9"/>
      <c r="BE584" s="345"/>
      <c r="BF584" s="345"/>
    </row>
    <row r="585" spans="4:58" x14ac:dyDescent="0.2">
      <c r="D585" s="347" t="str">
        <f t="shared" si="517"/>
        <v>Blue ammonia - Global - Fuel cost total - USD/GJ</v>
      </c>
      <c r="F585" t="str">
        <f t="shared" si="513"/>
        <v>Blue ammonia</v>
      </c>
      <c r="L585" t="str">
        <f t="shared" si="515"/>
        <v>Global</v>
      </c>
      <c r="N585" t="str">
        <f t="shared" si="518"/>
        <v>Fuel cost total - USD/GJ</v>
      </c>
      <c r="O585" s="224"/>
      <c r="P585" s="224"/>
      <c r="Q585" t="s">
        <v>324</v>
      </c>
      <c r="R585" s="14"/>
      <c r="S585" s="18">
        <f>+SMALL((S480,S501,S522,S543,S564),1)*40%+SMALL((S480,S501,S522,S543,S564),2)*30%+SMALL((S480,S501,S522,S543,S564),3)*10%+SMALL((S480,S501,S522,S543,S564),4)*10%+SMALL((S480,S501,S522,S543,S564),5)*10%</f>
        <v>56.44771878224406</v>
      </c>
      <c r="T585" s="18">
        <f>+SMALL((T480,T501,T522,T543,T564),1)*40%+SMALL((T480,T501,T522,T543,T564),2)*30%+SMALL((T480,T501,T522,T543,T564),3)*10%+SMALL((T480,T501,T522,T543,T564),4)*10%+SMALL((T480,T501,T522,T543,T564),5)*10%</f>
        <v>34.15796081641848</v>
      </c>
      <c r="U585" s="18">
        <f>+SMALL((U480,U501,U522,U543,U564),1)*40%+SMALL((U480,U501,U522,U543,U564),2)*30%+SMALL((U480,U501,U522,U543,U564),3)*10%+SMALL((U480,U501,U522,U543,U564),4)*10%+SMALL((U480,U501,U522,U543,U564),5)*10%</f>
        <v>25.526644558807334</v>
      </c>
      <c r="V585" s="18">
        <f>+SMALL((V480,V501,V522,V543,V564),1)*40%+SMALL((V480,V501,V522,V543,V564),2)*30%+SMALL((V480,V501,V522,V543,V564),3)*10%+SMALL((V480,V501,V522,V543,V564),4)*10%+SMALL((V480,V501,V522,V543,V564),5)*10%</f>
        <v>25.392213579850207</v>
      </c>
      <c r="W585" s="18">
        <f>+SMALL((W480,W501,W522,W543,W564),1)*40%+SMALL((W480,W501,W522,W543,W564),2)*30%+SMALL((W480,W501,W522,W543,W564),3)*10%+SMALL((W480,W501,W522,W543,W564),4)*10%+SMALL((W480,W501,W522,W543,W564),5)*10%</f>
        <v>24.968014990964868</v>
      </c>
      <c r="X585" s="18">
        <f>+SMALL((X480,X501,X522,X543,X564),1)*40%+SMALL((X480,X501,X522,X543,X564),2)*30%+SMALL((X480,X501,X522,X543,X564),3)*10%+SMALL((X480,X501,X522,X543,X564),4)*10%+SMALL((X480,X501,X522,X543,X564),5)*10%</f>
        <v>24.545499780241947</v>
      </c>
      <c r="Y585" s="18">
        <f>+SMALL((Y480,Y501,Y522,Y543,Y564),1)*40%+SMALL((Y480,Y501,Y522,Y543,Y564),2)*30%+SMALL((Y480,Y501,Y522,Y543,Y564),3)*10%+SMALL((Y480,Y501,Y522,Y543,Y564),4)*10%+SMALL((Y480,Y501,Y522,Y543,Y564),5)*10%</f>
        <v>24.132752179123678</v>
      </c>
      <c r="Z585" s="344">
        <f t="shared" si="521"/>
        <v>24.132752179123678</v>
      </c>
      <c r="AA585" s="344">
        <f t="shared" si="521"/>
        <v>24.132752179123678</v>
      </c>
      <c r="AB585" s="344">
        <f t="shared" si="521"/>
        <v>24.132752179123678</v>
      </c>
      <c r="AC585" s="344">
        <f t="shared" si="521"/>
        <v>24.132752179123678</v>
      </c>
      <c r="AD585" s="344">
        <f t="shared" si="521"/>
        <v>24.132752179123678</v>
      </c>
      <c r="AH585" s="256"/>
      <c r="AI585" s="256"/>
      <c r="AJ585" s="256"/>
      <c r="AK585" s="256"/>
      <c r="AL585" s="256"/>
      <c r="AM585" s="256"/>
      <c r="AN585" s="256"/>
      <c r="AO585" s="256"/>
      <c r="AP585" s="256"/>
      <c r="AQ585" s="256"/>
      <c r="AS585" s="9"/>
      <c r="AT585" s="9"/>
      <c r="AU585" s="9"/>
      <c r="AV585" s="9"/>
      <c r="AW585" s="9"/>
      <c r="AX585" s="9"/>
      <c r="AY585" s="9"/>
      <c r="AZ585" s="9"/>
      <c r="BA585" s="9"/>
      <c r="BB585" s="9"/>
      <c r="BC585" s="9"/>
      <c r="BD585" s="9"/>
      <c r="BE585" s="345"/>
      <c r="BF585" s="345"/>
    </row>
    <row r="586" spans="4:58" x14ac:dyDescent="0.2">
      <c r="D586" s="347" t="str">
        <f t="shared" si="517"/>
        <v>Biomethane - Global - Fuel cost total - USD/GJ</v>
      </c>
      <c r="F586" t="str">
        <f t="shared" si="513"/>
        <v>Biomethane</v>
      </c>
      <c r="L586" t="str">
        <f t="shared" si="515"/>
        <v>Global</v>
      </c>
      <c r="N586" t="str">
        <f t="shared" si="518"/>
        <v>Fuel cost total - USD/GJ</v>
      </c>
      <c r="O586" s="224"/>
      <c r="P586" s="224"/>
      <c r="Q586" t="s">
        <v>324</v>
      </c>
      <c r="R586" s="14"/>
      <c r="S586" s="18">
        <f>+SMALL((S481,S502,S523,S544,S565),1)*40%+SMALL((S481,S502,S523,S544,S565),2)*30%+SMALL((S481,S502,S523,S544,S565),3)*10%+SMALL((S481,S502,S523,S544,S565),4)*10%+SMALL((S481,S502,S523,S544,S565),5)*10%</f>
        <v>25.683051988541621</v>
      </c>
      <c r="T586" s="18">
        <f>+SMALL((T481,T502,T523,T544,T565),1)*40%+SMALL((T481,T502,T523,T544,T565),2)*30%+SMALL((T481,T502,T523,T544,T565),3)*10%+SMALL((T481,T502,T523,T544,T565),4)*10%+SMALL((T481,T502,T523,T544,T565),5)*10%</f>
        <v>23.777708766974669</v>
      </c>
      <c r="U586" s="18">
        <f>+SMALL((U481,U502,U523,U544,U565),1)*40%+SMALL((U481,U502,U523,U544,U565),2)*30%+SMALL((U481,U502,U523,U544,U565),3)*10%+SMALL((U481,U502,U523,U544,U565),4)*10%+SMALL((U481,U502,U523,U544,U565),5)*10%</f>
        <v>22.25307061179096</v>
      </c>
      <c r="V586" s="18">
        <f>+SMALL((V481,V502,V523,V544,V565),1)*40%+SMALL((V481,V502,V523,V544,V565),2)*30%+SMALL((V481,V502,V523,V544,V565),3)*10%+SMALL((V481,V502,V523,V544,V565),4)*10%+SMALL((V481,V502,V523,V544,V565),5)*10%</f>
        <v>20.906743389596858</v>
      </c>
      <c r="W586" s="18">
        <f>+SMALL((W481,W502,W523,W544,W565),1)*40%+SMALL((W481,W502,W523,W544,W565),2)*30%+SMALL((W481,W502,W523,W544,W565),3)*10%+SMALL((W481,W502,W523,W544,W565),4)*10%+SMALL((W481,W502,W523,W544,W565),5)*10%</f>
        <v>19.597472680074056</v>
      </c>
      <c r="X586" s="18">
        <f>+SMALL((X481,X502,X523,X544,X565),1)*40%+SMALL((X481,X502,X523,X544,X565),2)*30%+SMALL((X481,X502,X523,X544,X565),3)*10%+SMALL((X481,X502,X523,X544,X565),4)*10%+SMALL((X481,X502,X523,X544,X565),5)*10%</f>
        <v>18.291569104345037</v>
      </c>
      <c r="Y586" s="18">
        <f>+SMALL((Y481,Y502,Y523,Y544,Y565),1)*40%+SMALL((Y481,Y502,Y523,Y544,Y565),2)*30%+SMALL((Y481,Y502,Y523,Y544,Y565),3)*10%+SMALL((Y481,Y502,Y523,Y544,Y565),4)*10%+SMALL((Y481,Y502,Y523,Y544,Y565),5)*10%</f>
        <v>17.010062914676269</v>
      </c>
      <c r="Z586" s="344">
        <f t="shared" ref="Z586:AD586" si="522">Y586</f>
        <v>17.010062914676269</v>
      </c>
      <c r="AA586" s="344">
        <f t="shared" si="522"/>
        <v>17.010062914676269</v>
      </c>
      <c r="AB586" s="344">
        <f t="shared" si="522"/>
        <v>17.010062914676269</v>
      </c>
      <c r="AC586" s="344">
        <f t="shared" si="522"/>
        <v>17.010062914676269</v>
      </c>
      <c r="AD586" s="344">
        <f t="shared" si="522"/>
        <v>17.010062914676269</v>
      </c>
      <c r="AH586" s="256"/>
      <c r="AI586" s="256"/>
      <c r="AJ586" s="256"/>
      <c r="AK586" s="256"/>
      <c r="AL586" s="256"/>
      <c r="AM586" s="256"/>
      <c r="AN586" s="256"/>
      <c r="AO586" s="256"/>
      <c r="AP586" s="256"/>
      <c r="AQ586" s="256"/>
      <c r="AS586" s="9"/>
      <c r="AT586" s="9"/>
      <c r="AU586" s="9"/>
      <c r="AV586" s="9"/>
      <c r="AW586" s="9"/>
      <c r="AX586" s="9"/>
      <c r="AY586" s="9"/>
      <c r="AZ586" s="9"/>
      <c r="BA586" s="9"/>
      <c r="BB586" s="9"/>
      <c r="BC586" s="9"/>
      <c r="BD586" s="9"/>
      <c r="BE586" s="345"/>
      <c r="BF586" s="345"/>
    </row>
    <row r="587" spans="4:58" x14ac:dyDescent="0.2">
      <c r="D587" s="347" t="str">
        <f t="shared" si="517"/>
        <v>e-Methane (DAC) - Global - Fuel cost total - USD/GJ</v>
      </c>
      <c r="F587" t="str">
        <f t="shared" si="513"/>
        <v>e-Methane (DAC)</v>
      </c>
      <c r="L587" t="str">
        <f t="shared" si="515"/>
        <v>Global</v>
      </c>
      <c r="N587" t="str">
        <f t="shared" si="518"/>
        <v>Fuel cost total - USD/GJ</v>
      </c>
      <c r="O587" s="224"/>
      <c r="P587" s="224"/>
      <c r="Q587" t="s">
        <v>324</v>
      </c>
      <c r="R587" s="14"/>
      <c r="S587" s="18">
        <f>+SMALL((S482,S503,S524,S545,S566),1)*40%+SMALL((S482,S503,S524,S545,S566),2)*30%+SMALL((S482,S503,S524,S545,S566),3)*10%+SMALL((S482,S503,S524,S545,S566),4)*10%+SMALL((S482,S503,S524,S545,S566),5)*10%</f>
        <v>73.016270824945479</v>
      </c>
      <c r="T587" s="18">
        <f>+SMALL((T482,T503,T524,T545,T566),1)*40%+SMALL((T482,T503,T524,T545,T566),2)*30%+SMALL((T482,T503,T524,T545,T566),3)*10%+SMALL((T482,T503,T524,T545,T566),4)*10%+SMALL((T482,T503,T524,T545,T566),5)*10%</f>
        <v>58.298238653273224</v>
      </c>
      <c r="U587" s="18">
        <f>+SMALL((U482,U503,U524,U545,U566),1)*40%+SMALL((U482,U503,U524,U545,U566),2)*30%+SMALL((U482,U503,U524,U545,U566),3)*10%+SMALL((U482,U503,U524,U545,U566),4)*10%+SMALL((U482,U503,U524,U545,U566),5)*10%</f>
        <v>48.356819899313777</v>
      </c>
      <c r="V587" s="18">
        <f>+SMALL((V482,V503,V524,V545,V566),1)*40%+SMALL((V482,V503,V524,V545,V566),2)*30%+SMALL((V482,V503,V524,V545,V566),3)*10%+SMALL((V482,V503,V524,V545,V566),4)*10%+SMALL((V482,V503,V524,V545,V566),5)*10%</f>
        <v>43.171750419552659</v>
      </c>
      <c r="W587" s="18">
        <f>+SMALL((W482,W503,W524,W545,W566),1)*40%+SMALL((W482,W503,W524,W545,W566),2)*30%+SMALL((W482,W503,W524,W545,W566),3)*10%+SMALL((W482,W503,W524,W545,W566),4)*10%+SMALL((W482,W503,W524,W545,W566),5)*10%</f>
        <v>37.794128059374238</v>
      </c>
      <c r="X587" s="18">
        <f>+SMALL((X482,X503,X524,X545,X566),1)*40%+SMALL((X482,X503,X524,X545,X566),2)*30%+SMALL((X482,X503,X524,X545,X566),3)*10%+SMALL((X482,X503,X524,X545,X566),4)*10%+SMALL((X482,X503,X524,X545,X566),5)*10%</f>
        <v>31.551981104128835</v>
      </c>
      <c r="Y587" s="18">
        <f>+SMALL((Y482,Y503,Y524,Y545,Y566),1)*40%+SMALL((Y482,Y503,Y524,Y545,Y566),2)*30%+SMALL((Y482,Y503,Y524,Y545,Y566),3)*10%+SMALL((Y482,Y503,Y524,Y545,Y566),4)*10%+SMALL((Y482,Y503,Y524,Y545,Y566),5)*10%</f>
        <v>26.035605316922847</v>
      </c>
      <c r="Z587" s="344">
        <f t="shared" ref="Z587:AD587" si="523">Y587</f>
        <v>26.035605316922847</v>
      </c>
      <c r="AA587" s="344">
        <f t="shared" si="523"/>
        <v>26.035605316922847</v>
      </c>
      <c r="AB587" s="344">
        <f t="shared" si="523"/>
        <v>26.035605316922847</v>
      </c>
      <c r="AC587" s="344">
        <f t="shared" si="523"/>
        <v>26.035605316922847</v>
      </c>
      <c r="AD587" s="344">
        <f t="shared" si="523"/>
        <v>26.035605316922847</v>
      </c>
      <c r="AH587" s="256"/>
      <c r="AI587" s="256"/>
      <c r="AJ587" s="256"/>
      <c r="AK587" s="256"/>
      <c r="AL587" s="256"/>
      <c r="AM587" s="256"/>
      <c r="AN587" s="256"/>
      <c r="AO587" s="256"/>
      <c r="AP587" s="256"/>
      <c r="AQ587" s="256"/>
      <c r="AS587" s="9"/>
      <c r="AT587" s="9"/>
      <c r="AU587" s="9"/>
      <c r="AV587" s="9"/>
      <c r="AW587" s="9"/>
      <c r="AX587" s="9"/>
      <c r="AY587" s="9"/>
      <c r="AZ587" s="9"/>
      <c r="BA587" s="9"/>
      <c r="BB587" s="9"/>
      <c r="BC587" s="9"/>
      <c r="BD587" s="9"/>
      <c r="BE587" s="345"/>
      <c r="BF587" s="345"/>
    </row>
    <row r="588" spans="4:58" x14ac:dyDescent="0.2">
      <c r="D588" s="347" t="str">
        <f t="shared" si="517"/>
        <v>e-Methane (PS) - Global - Fuel cost total - USD/GJ</v>
      </c>
      <c r="F588" t="str">
        <f t="shared" si="513"/>
        <v>e-Methane (PS)</v>
      </c>
      <c r="L588" t="str">
        <f t="shared" si="515"/>
        <v>Global</v>
      </c>
      <c r="N588" t="str">
        <f t="shared" si="518"/>
        <v>Fuel cost total - USD/GJ</v>
      </c>
      <c r="O588" s="224"/>
      <c r="P588" s="224"/>
      <c r="Q588" t="s">
        <v>324</v>
      </c>
      <c r="R588" s="14"/>
      <c r="S588" s="18">
        <f>+SMALL((S483,S504,S525,S546,S567),1)*40%+SMALL((S483,S504,S525,S546,S567),2)*30%+SMALL((S483,S504,S525,S546,S567),3)*10%+SMALL((S483,S504,S525,S546,S567),4)*10%+SMALL((S483,S504,S525,S546,S567),5)*10%</f>
        <v>66.916374828535538</v>
      </c>
      <c r="T588" s="18">
        <f>+SMALL((T483,T504,T525,T546,T567),1)*40%+SMALL((T483,T504,T525,T546,T567),2)*30%+SMALL((T483,T504,T525,T546,T567),3)*10%+SMALL((T483,T504,T525,T546,T567),4)*10%+SMALL((T483,T504,T525,T546,T567),5)*10%</f>
        <v>54.053830433637117</v>
      </c>
      <c r="U588" s="18">
        <f>+SMALL((U483,U504,U525,U546,U567),1)*40%+SMALL((U483,U504,U525,U546,U567),2)*30%+SMALL((U483,U504,U525,U546,U567),3)*10%+SMALL((U483,U504,U525,U546,U567),4)*10%+SMALL((U483,U504,U525,U546,U567),5)*10%</f>
        <v>44.916417449295466</v>
      </c>
      <c r="V588" s="18">
        <f>+SMALL((V483,V504,V525,V546,V567),1)*40%+SMALL((V483,V504,V525,V546,V567),2)*30%+SMALL((V483,V504,V525,V546,V567),3)*10%+SMALL((V483,V504,V525,V546,V567),4)*10%+SMALL((V483,V504,V525,V546,V567),5)*10%</f>
        <v>40.793503965869085</v>
      </c>
      <c r="W588" s="18">
        <f>+SMALL((W483,W504,W525,W546,W567),1)*40%+SMALL((W483,W504,W525,W546,W567),2)*30%+SMALL((W483,W504,W525,W546,W567),3)*10%+SMALL((W483,W504,W525,W546,W567),4)*10%+SMALL((W483,W504,W525,W546,W567),5)*10%</f>
        <v>36.053374969857394</v>
      </c>
      <c r="X588" s="18">
        <f>+SMALL((X483,X504,X525,X546,X567),1)*40%+SMALL((X483,X504,X525,X546,X567),2)*30%+SMALL((X483,X504,X525,X546,X567),3)*10%+SMALL((X483,X504,X525,X546,X567),4)*10%+SMALL((X483,X504,X525,X546,X567),5)*10%</f>
        <v>30.246386187847015</v>
      </c>
      <c r="Y588" s="18">
        <f>+SMALL((Y483,Y504,Y525,Y546,Y567),1)*40%+SMALL((Y483,Y504,Y525,Y546,Y567),2)*30%+SMALL((Y483,Y504,Y525,Y546,Y567),3)*10%+SMALL((Y483,Y504,Y525,Y546,Y567),4)*10%+SMALL((Y483,Y504,Y525,Y546,Y567),5)*10%</f>
        <v>24.932362151137941</v>
      </c>
      <c r="Z588" s="344">
        <f t="shared" ref="Z588:AD588" si="524">Y588</f>
        <v>24.932362151137941</v>
      </c>
      <c r="AA588" s="344">
        <f t="shared" si="524"/>
        <v>24.932362151137941</v>
      </c>
      <c r="AB588" s="344">
        <f t="shared" si="524"/>
        <v>24.932362151137941</v>
      </c>
      <c r="AC588" s="344">
        <f t="shared" si="524"/>
        <v>24.932362151137941</v>
      </c>
      <c r="AD588" s="344">
        <f t="shared" si="524"/>
        <v>24.932362151137941</v>
      </c>
      <c r="AH588" s="256"/>
      <c r="AI588" s="256"/>
      <c r="AJ588" s="256"/>
      <c r="AK588" s="256"/>
      <c r="AL588" s="256"/>
      <c r="AM588" s="256"/>
      <c r="AN588" s="256"/>
      <c r="AO588" s="256"/>
      <c r="AP588" s="256"/>
      <c r="AQ588" s="256"/>
      <c r="AS588" s="9"/>
      <c r="AT588" s="9"/>
      <c r="AU588" s="9"/>
      <c r="AV588" s="9"/>
      <c r="AW588" s="9"/>
      <c r="AX588" s="9"/>
      <c r="AY588" s="9"/>
      <c r="AZ588" s="9"/>
      <c r="BA588" s="9"/>
      <c r="BB588" s="9"/>
      <c r="BC588" s="9"/>
      <c r="BD588" s="9"/>
      <c r="BE588" s="345"/>
      <c r="BF588" s="345"/>
    </row>
    <row r="589" spans="4:58" x14ac:dyDescent="0.2">
      <c r="D589" s="347" t="str">
        <f t="shared" si="517"/>
        <v>Biomethanol - Global - Fuel cost total - USD/GJ</v>
      </c>
      <c r="F589" t="str">
        <f t="shared" si="513"/>
        <v>Biomethanol</v>
      </c>
      <c r="L589" t="str">
        <f t="shared" si="515"/>
        <v>Global</v>
      </c>
      <c r="N589" t="str">
        <f t="shared" si="518"/>
        <v>Fuel cost total - USD/GJ</v>
      </c>
      <c r="O589" s="224"/>
      <c r="P589" s="224"/>
      <c r="Q589" t="s">
        <v>324</v>
      </c>
      <c r="R589" s="14"/>
      <c r="S589" s="18">
        <f>+SMALL((S484,S505,S526,S547,S568),1)*40%+SMALL((S484,S505,S526,S547,S568),2)*30%+SMALL((S484,S505,S526,S547,S568),3)*10%+SMALL((S484,S505,S526,S547,S568),4)*10%+SMALL((S484,S505,S526,S547,S568),5)*10%</f>
        <v>51.007160238790995</v>
      </c>
      <c r="T589" s="18">
        <f>+SMALL((T484,T505,T526,T547,T568),1)*40%+SMALL((T484,T505,T526,T547,T568),2)*30%+SMALL((T484,T505,T526,T547,T568),3)*10%+SMALL((T484,T505,T526,T547,T568),4)*10%+SMALL((T484,T505,T526,T547,T568),5)*10%</f>
        <v>35.917851468003114</v>
      </c>
      <c r="U589" s="18">
        <f>+SMALL((U484,U505,U526,U547,U568),1)*40%+SMALL((U484,U505,U526,U547,U568),2)*30%+SMALL((U484,U505,U526,U547,U568),3)*10%+SMALL((U484,U505,U526,U547,U568),4)*10%+SMALL((U484,U505,U526,U547,U568),5)*10%</f>
        <v>30.377047685488289</v>
      </c>
      <c r="V589" s="18">
        <f>+SMALL((V484,V505,V526,V547,V568),1)*40%+SMALL((V484,V505,V526,V547,V568),2)*30%+SMALL((V484,V505,V526,V547,V568),3)*10%+SMALL((V484,V505,V526,V547,V568),4)*10%+SMALL((V484,V505,V526,V547,V568),5)*10%</f>
        <v>28.106631469870184</v>
      </c>
      <c r="W589" s="18">
        <f>+SMALL((W484,W505,W526,W547,W568),1)*40%+SMALL((W484,W505,W526,W547,W568),2)*30%+SMALL((W484,W505,W526,W547,W568),3)*10%+SMALL((W484,W505,W526,W547,W568),4)*10%+SMALL((W484,W505,W526,W547,W568),5)*10%</f>
        <v>25.887450121103139</v>
      </c>
      <c r="X589" s="18">
        <f>+SMALL((X484,X505,X526,X547,X568),1)*40%+SMALL((X484,X505,X526,X547,X568),2)*30%+SMALL((X484,X505,X526,X547,X568),3)*10%+SMALL((X484,X505,X526,X547,X568),4)*10%+SMALL((X484,X505,X526,X547,X568),5)*10%</f>
        <v>24.602263834424107</v>
      </c>
      <c r="Y589" s="18">
        <f>+SMALL((Y484,Y505,Y526,Y547,Y568),1)*40%+SMALL((Y484,Y505,Y526,Y547,Y568),2)*30%+SMALL((Y484,Y505,Y526,Y547,Y568),3)*10%+SMALL((Y484,Y505,Y526,Y547,Y568),4)*10%+SMALL((Y484,Y505,Y526,Y547,Y568),5)*10%</f>
        <v>23.3548422993738</v>
      </c>
      <c r="Z589" s="344">
        <f t="shared" ref="Z589:AD589" si="525">Y589</f>
        <v>23.3548422993738</v>
      </c>
      <c r="AA589" s="344">
        <f t="shared" si="525"/>
        <v>23.3548422993738</v>
      </c>
      <c r="AB589" s="344">
        <f t="shared" si="525"/>
        <v>23.3548422993738</v>
      </c>
      <c r="AC589" s="344">
        <f t="shared" si="525"/>
        <v>23.3548422993738</v>
      </c>
      <c r="AD589" s="344">
        <f t="shared" si="525"/>
        <v>23.3548422993738</v>
      </c>
      <c r="AH589" s="256"/>
      <c r="AI589" s="256"/>
      <c r="AJ589" s="256"/>
      <c r="AK589" s="256"/>
      <c r="AL589" s="256"/>
      <c r="AM589" s="256"/>
      <c r="AN589" s="256"/>
      <c r="AO589" s="256"/>
      <c r="AP589" s="256"/>
      <c r="AQ589" s="256"/>
      <c r="AS589" s="9"/>
      <c r="AT589" s="9"/>
      <c r="AU589" s="9"/>
      <c r="AV589" s="9"/>
      <c r="AW589" s="9"/>
      <c r="AX589" s="9"/>
      <c r="AY589" s="9"/>
      <c r="AZ589" s="9"/>
      <c r="BA589" s="9"/>
      <c r="BB589" s="9"/>
      <c r="BC589" s="9"/>
      <c r="BD589" s="9"/>
      <c r="BE589" s="345"/>
      <c r="BF589" s="345"/>
    </row>
    <row r="590" spans="4:58" x14ac:dyDescent="0.2">
      <c r="D590" s="347" t="str">
        <f t="shared" si="517"/>
        <v>e-Methanol (DAC) - Global - Fuel cost total - USD/GJ</v>
      </c>
      <c r="F590" t="str">
        <f t="shared" si="513"/>
        <v>e-Methanol (DAC)</v>
      </c>
      <c r="L590" t="str">
        <f t="shared" si="515"/>
        <v>Global</v>
      </c>
      <c r="N590" t="str">
        <f t="shared" si="518"/>
        <v>Fuel cost total - USD/GJ</v>
      </c>
      <c r="O590" s="224"/>
      <c r="P590" s="224"/>
      <c r="Q590" t="s">
        <v>324</v>
      </c>
      <c r="R590" s="14"/>
      <c r="S590" s="18">
        <f>+SMALL((S485,S506,S527,S548,S569),1)*40%+SMALL((S485,S506,S527,S548,S569),2)*30%+SMALL((S485,S506,S527,S548,S569),3)*10%+SMALL((S485,S506,S527,S548,S569),4)*10%+SMALL((S485,S506,S527,S548,S569),5)*10%</f>
        <v>89.728985658582815</v>
      </c>
      <c r="T590" s="18">
        <f>+SMALL((T485,T506,T527,T548,T569),1)*40%+SMALL((T485,T506,T527,T548,T569),2)*30%+SMALL((T485,T506,T527,T548,T569),3)*10%+SMALL((T485,T506,T527,T548,T569),4)*10%+SMALL((T485,T506,T527,T548,T569),5)*10%</f>
        <v>70.828665011655119</v>
      </c>
      <c r="U590" s="18">
        <f>+SMALL((U485,U506,U527,U548,U569),1)*40%+SMALL((U485,U506,U527,U548,U569),2)*30%+SMALL((U485,U506,U527,U548,U569),3)*10%+SMALL((U485,U506,U527,U548,U569),4)*10%+SMALL((U485,U506,U527,U548,U569),5)*10%</f>
        <v>56.605688595783334</v>
      </c>
      <c r="V590" s="18">
        <f>+SMALL((V485,V506,V527,V548,V569),1)*40%+SMALL((V485,V506,V527,V548,V569),2)*30%+SMALL((V485,V506,V527,V548,V569),3)*10%+SMALL((V485,V506,V527,V548,V569),4)*10%+SMALL((V485,V506,V527,V548,V569),5)*10%</f>
        <v>49.833082836165325</v>
      </c>
      <c r="W590" s="18">
        <f>+SMALL((W485,W506,W527,W548,W569),1)*40%+SMALL((W485,W506,W527,W548,W569),2)*30%+SMALL((W485,W506,W527,W548,W569),3)*10%+SMALL((W485,W506,W527,W548,W569),4)*10%+SMALL((W485,W506,W527,W548,W569),5)*10%</f>
        <v>43.132987521168808</v>
      </c>
      <c r="X590" s="18">
        <f>+SMALL((X485,X506,X527,X548,X569),1)*40%+SMALL((X485,X506,X527,X548,X569),2)*30%+SMALL((X485,X506,X527,X548,X569),3)*10%+SMALL((X485,X506,X527,X548,X569),4)*10%+SMALL((X485,X506,X527,X548,X569),5)*10%</f>
        <v>35.426147156711387</v>
      </c>
      <c r="Y590" s="18">
        <f>+SMALL((Y485,Y506,Y527,Y548,Y569),1)*40%+SMALL((Y485,Y506,Y527,Y548,Y569),2)*30%+SMALL((Y485,Y506,Y527,Y548,Y569),3)*10%+SMALL((Y485,Y506,Y527,Y548,Y569),4)*10%+SMALL((Y485,Y506,Y527,Y548,Y569),5)*10%</f>
        <v>28.55175517191001</v>
      </c>
      <c r="Z590" s="344">
        <f t="shared" ref="Z590:AD590" si="526">Y590</f>
        <v>28.55175517191001</v>
      </c>
      <c r="AA590" s="344">
        <f t="shared" si="526"/>
        <v>28.55175517191001</v>
      </c>
      <c r="AB590" s="344">
        <f t="shared" si="526"/>
        <v>28.55175517191001</v>
      </c>
      <c r="AC590" s="344">
        <f t="shared" si="526"/>
        <v>28.55175517191001</v>
      </c>
      <c r="AD590" s="344">
        <f t="shared" si="526"/>
        <v>28.55175517191001</v>
      </c>
      <c r="AH590" s="256"/>
      <c r="AI590" s="256"/>
      <c r="AJ590" s="256"/>
      <c r="AK590" s="256"/>
      <c r="AL590" s="256"/>
      <c r="AM590" s="256"/>
      <c r="AN590" s="256"/>
      <c r="AO590" s="256"/>
      <c r="AP590" s="256"/>
      <c r="AQ590" s="256"/>
      <c r="AS590" s="9"/>
      <c r="AT590" s="9"/>
      <c r="AU590" s="9"/>
      <c r="AV590" s="9"/>
      <c r="AW590" s="9"/>
      <c r="AX590" s="9"/>
      <c r="AY590" s="9"/>
      <c r="AZ590" s="9"/>
      <c r="BA590" s="9"/>
      <c r="BB590" s="9"/>
      <c r="BC590" s="9"/>
      <c r="BD590" s="9"/>
      <c r="BE590" s="345"/>
      <c r="BF590" s="345"/>
    </row>
    <row r="591" spans="4:58" x14ac:dyDescent="0.2">
      <c r="D591" s="347" t="str">
        <f t="shared" si="517"/>
        <v>e-Methanol (PS) - Global - Fuel cost total - USD/GJ</v>
      </c>
      <c r="F591" t="str">
        <f t="shared" si="513"/>
        <v>e-Methanol (PS)</v>
      </c>
      <c r="L591" t="str">
        <f t="shared" si="515"/>
        <v>Global</v>
      </c>
      <c r="N591" t="str">
        <f t="shared" si="518"/>
        <v>Fuel cost total - USD/GJ</v>
      </c>
      <c r="O591" s="224"/>
      <c r="P591" s="224"/>
      <c r="Q591" t="s">
        <v>324</v>
      </c>
      <c r="R591" s="14"/>
      <c r="S591" s="18">
        <f>+SMALL((S486,S507,S528,S549,S570),1)*40%+SMALL((S486,S507,S528,S549,S570),2)*30%+SMALL((S486,S507,S528,S549,S570),3)*10%+SMALL((S486,S507,S528,S549,S570),4)*10%+SMALL((S486,S507,S528,S549,S570),5)*10%</f>
        <v>82.055754985649457</v>
      </c>
      <c r="T591" s="18">
        <f>+SMALL((T486,T507,T528,T549,T570),1)*40%+SMALL((T486,T507,T528,T549,T570),2)*30%+SMALL((T486,T507,T528,T549,T570),3)*10%+SMALL((T486,T507,T528,T549,T570),4)*10%+SMALL((T486,T507,T528,T549,T570),5)*10%</f>
        <v>65.489504580308392</v>
      </c>
      <c r="U591" s="18">
        <f>+SMALL((U486,U507,U528,U549,U570),1)*40%+SMALL((U486,U507,U528,U549,U570),2)*30%+SMALL((U486,U507,U528,U549,U570),3)*10%+SMALL((U486,U507,U528,U549,U570),4)*10%+SMALL((U486,U507,U528,U549,U570),5)*10%</f>
        <v>52.277909626723414</v>
      </c>
      <c r="V591" s="18">
        <f>+SMALL((V486,V507,V528,V549,V570),1)*40%+SMALL((V486,V507,V528,V549,V570),2)*30%+SMALL((V486,V507,V528,V549,V570),3)*10%+SMALL((V486,V507,V528,V549,V570),4)*10%+SMALL((V486,V507,V528,V549,V570),5)*10%</f>
        <v>46.841419757493149</v>
      </c>
      <c r="W591" s="18">
        <f>+SMALL((W486,W507,W528,W549,W570),1)*40%+SMALL((W486,W507,W528,W549,W570),2)*30%+SMALL((W486,W507,W528,W549,W570),3)*10%+SMALL((W486,W507,W528,W549,W570),4)*10%+SMALL((W486,W507,W528,W549,W570),5)*10%</f>
        <v>40.94324526845736</v>
      </c>
      <c r="X591" s="18">
        <f>+SMALL((X486,X507,X528,X549,X570),1)*40%+SMALL((X486,X507,X528,X549,X570),2)*30%+SMALL((X486,X507,X528,X549,X570),3)*10%+SMALL((X486,X507,X528,X549,X570),4)*10%+SMALL((X486,X507,X528,X549,X570),5)*10%</f>
        <v>33.783802604618096</v>
      </c>
      <c r="Y591" s="18">
        <f>+SMALL((Y486,Y507,Y528,Y549,Y570),1)*40%+SMALL((Y486,Y507,Y528,Y549,Y570),2)*30%+SMALL((Y486,Y507,Y528,Y549,Y570),3)*10%+SMALL((Y486,Y507,Y528,Y549,Y570),4)*10%+SMALL((Y486,Y507,Y528,Y549,Y570),5)*10%</f>
        <v>27.163954575901947</v>
      </c>
      <c r="Z591" s="344">
        <f t="shared" ref="Z591:AD591" si="527">Y591</f>
        <v>27.163954575901947</v>
      </c>
      <c r="AA591" s="344">
        <f t="shared" si="527"/>
        <v>27.163954575901947</v>
      </c>
      <c r="AB591" s="344">
        <f t="shared" si="527"/>
        <v>27.163954575901947</v>
      </c>
      <c r="AC591" s="344">
        <f t="shared" si="527"/>
        <v>27.163954575901947</v>
      </c>
      <c r="AD591" s="344">
        <f t="shared" si="527"/>
        <v>27.163954575901947</v>
      </c>
      <c r="AH591" s="256"/>
      <c r="AI591" s="256"/>
      <c r="AJ591" s="256"/>
      <c r="AK591" s="256"/>
      <c r="AL591" s="256"/>
      <c r="AM591" s="256"/>
      <c r="AN591" s="256"/>
      <c r="AO591" s="256"/>
      <c r="AP591" s="256"/>
      <c r="AQ591" s="256"/>
      <c r="AS591" s="9"/>
      <c r="AT591" s="9"/>
      <c r="AU591" s="9"/>
      <c r="AV591" s="9"/>
      <c r="AW591" s="9"/>
      <c r="AX591" s="9"/>
      <c r="AY591" s="9"/>
      <c r="AZ591" s="9"/>
      <c r="BA591" s="9"/>
      <c r="BB591" s="9"/>
      <c r="BC591" s="9"/>
      <c r="BD591" s="9"/>
      <c r="BE591" s="345"/>
      <c r="BF591" s="345"/>
    </row>
    <row r="592" spans="4:58" x14ac:dyDescent="0.2">
      <c r="D592" s="347" t="str">
        <f t="shared" si="517"/>
        <v>Biodiesel (HtL) - Global - Fuel cost total - USD/GJ</v>
      </c>
      <c r="F592" t="str">
        <f t="shared" si="513"/>
        <v>Biodiesel (HtL)</v>
      </c>
      <c r="L592" t="str">
        <f t="shared" si="515"/>
        <v>Global</v>
      </c>
      <c r="N592" t="str">
        <f t="shared" si="518"/>
        <v>Fuel cost total - USD/GJ</v>
      </c>
      <c r="O592" s="224"/>
      <c r="P592" s="224"/>
      <c r="Q592" t="s">
        <v>324</v>
      </c>
      <c r="R592" s="14"/>
      <c r="S592" s="18">
        <f>+SMALL((S487,S508,S529,S550,S571),1)*40%+SMALL((S487,S508,S529,S550,S571),2)*30%+SMALL((S487,S508,S529,S550,S571),3)*10%+SMALL((S487,S508,S529,S550,S571),4)*10%+SMALL((S487,S508,S529,S550,S571),5)*10%</f>
        <v>157.63191761842697</v>
      </c>
      <c r="T592" s="18">
        <f>+SMALL((T487,T508,T529,T550,T571),1)*40%+SMALL((T487,T508,T529,T550,T571),2)*30%+SMALL((T487,T508,T529,T550,T571),3)*10%+SMALL((T487,T508,T529,T550,T571),4)*10%+SMALL((T487,T508,T529,T550,T571),5)*10%</f>
        <v>51.836265364906794</v>
      </c>
      <c r="U592" s="18">
        <f>+SMALL((U487,U508,U529,U550,U571),1)*40%+SMALL((U487,U508,U529,U550,U571),2)*30%+SMALL((U487,U508,U529,U550,U571),3)*10%+SMALL((U487,U508,U529,U550,U571),4)*10%+SMALL((U487,U508,U529,U550,U571),5)*10%</f>
        <v>23.500154960881776</v>
      </c>
      <c r="V592" s="18">
        <f>+SMALL((V487,V508,V529,V550,V571),1)*40%+SMALL((V487,V508,V529,V550,V571),2)*30%+SMALL((V487,V508,V529,V550,V571),3)*10%+SMALL((V487,V508,V529,V550,V571),4)*10%+SMALL((V487,V508,V529,V550,V571),5)*10%</f>
        <v>23.154362986536938</v>
      </c>
      <c r="W592" s="18">
        <f>+SMALL((W487,W508,W529,W550,W571),1)*40%+SMALL((W487,W508,W529,W550,W571),2)*30%+SMALL((W487,W508,W529,W550,W571),3)*10%+SMALL((W487,W508,W529,W550,W571),4)*10%+SMALL((W487,W508,W529,W550,W571),5)*10%</f>
        <v>22.751908673538296</v>
      </c>
      <c r="X592" s="18">
        <f>+SMALL((X487,X508,X529,X550,X571),1)*40%+SMALL((X487,X508,X529,X550,X571),2)*30%+SMALL((X487,X508,X529,X550,X571),3)*10%+SMALL((X487,X508,X529,X550,X571),4)*10%+SMALL((X487,X508,X529,X550,X571),5)*10%</f>
        <v>22.239863668857353</v>
      </c>
      <c r="Y592" s="18">
        <f>+SMALL((Y487,Y508,Y529,Y550,Y571),1)*40%+SMALL((Y487,Y508,Y529,Y550,Y571),2)*30%+SMALL((Y487,Y508,Y529,Y550,Y571),3)*10%+SMALL((Y487,Y508,Y529,Y550,Y571),4)*10%+SMALL((Y487,Y508,Y529,Y550,Y571),5)*10%</f>
        <v>21.320542798407935</v>
      </c>
      <c r="Z592" s="344">
        <f t="shared" ref="Z592:AD592" si="528">Y592</f>
        <v>21.320542798407935</v>
      </c>
      <c r="AA592" s="344">
        <f t="shared" si="528"/>
        <v>21.320542798407935</v>
      </c>
      <c r="AB592" s="344">
        <f t="shared" si="528"/>
        <v>21.320542798407935</v>
      </c>
      <c r="AC592" s="344">
        <f t="shared" si="528"/>
        <v>21.320542798407935</v>
      </c>
      <c r="AD592" s="344">
        <f t="shared" si="528"/>
        <v>21.320542798407935</v>
      </c>
      <c r="AH592" s="256"/>
      <c r="AI592" s="256"/>
      <c r="AJ592" s="256"/>
      <c r="AK592" s="256"/>
      <c r="AL592" s="256"/>
      <c r="AM592" s="256"/>
      <c r="AN592" s="256"/>
      <c r="AO592" s="256"/>
      <c r="AP592" s="256"/>
      <c r="AQ592" s="256"/>
      <c r="AS592" s="9"/>
      <c r="AT592" s="9"/>
      <c r="AU592" s="9"/>
      <c r="AV592" s="9"/>
      <c r="AW592" s="9"/>
      <c r="AX592" s="9"/>
      <c r="AY592" s="9"/>
      <c r="AZ592" s="9"/>
      <c r="BA592" s="9"/>
      <c r="BB592" s="9"/>
      <c r="BC592" s="9"/>
      <c r="BD592" s="9"/>
      <c r="BE592" s="345"/>
      <c r="BF592" s="345"/>
    </row>
    <row r="593" spans="4:58" x14ac:dyDescent="0.2">
      <c r="D593" s="347" t="str">
        <f t="shared" si="517"/>
        <v>Biodiesel (Pyr) - Global - Fuel cost total - USD/GJ</v>
      </c>
      <c r="F593" t="str">
        <f t="shared" si="513"/>
        <v>Biodiesel (Pyr)</v>
      </c>
      <c r="L593" t="str">
        <f t="shared" si="515"/>
        <v>Global</v>
      </c>
      <c r="N593" t="str">
        <f t="shared" si="518"/>
        <v>Fuel cost total - USD/GJ</v>
      </c>
      <c r="O593" s="224"/>
      <c r="P593" s="224"/>
      <c r="Q593" t="s">
        <v>324</v>
      </c>
      <c r="R593" s="14"/>
      <c r="S593" s="18">
        <f>+SMALL((S488,S509,S530,S551,S572),1)*40%+SMALL((S488,S509,S530,S551,S572),2)*30%+SMALL((S488,S509,S530,S551,S572),3)*10%+SMALL((S488,S509,S530,S551,S572),4)*10%+SMALL((S488,S509,S530,S551,S572),5)*10%</f>
        <v>57.632402751540752</v>
      </c>
      <c r="T593" s="18">
        <f>+SMALL((T488,T509,T530,T551,T572),1)*40%+SMALL((T488,T509,T530,T551,T572),2)*30%+SMALL((T488,T509,T530,T551,T572),3)*10%+SMALL((T488,T509,T530,T551,T572),4)*10%+SMALL((T488,T509,T530,T551,T572),5)*10%</f>
        <v>37.572340112459749</v>
      </c>
      <c r="U593" s="18">
        <f>+SMALL((U488,U509,U530,U551,U572),1)*40%+SMALL((U488,U509,U530,U551,U572),2)*30%+SMALL((U488,U509,U530,U551,U572),3)*10%+SMALL((U488,U509,U530,U551,U572),4)*10%+SMALL((U488,U509,U530,U551,U572),5)*10%</f>
        <v>22.003180038188102</v>
      </c>
      <c r="V593" s="18">
        <f>+SMALL((V488,V509,V530,V551,V572),1)*40%+SMALL((V488,V509,V530,V551,V572),2)*30%+SMALL((V488,V509,V530,V551,V572),3)*10%+SMALL((V488,V509,V530,V551,V572),4)*10%+SMALL((V488,V509,V530,V551,V572),5)*10%</f>
        <v>22.543922060636341</v>
      </c>
      <c r="W593" s="18">
        <f>+SMALL((W488,W509,W530,W551,W572),1)*40%+SMALL((W488,W509,W530,W551,W572),2)*30%+SMALL((W488,W509,W530,W551,W572),3)*10%+SMALL((W488,W509,W530,W551,W572),4)*10%+SMALL((W488,W509,W530,W551,W572),5)*10%</f>
        <v>22.554679802718063</v>
      </c>
      <c r="X593" s="18">
        <f>+SMALL((X488,X509,X530,X551,X572),1)*40%+SMALL((X488,X509,X530,X551,X572),2)*30%+SMALL((X488,X509,X530,X551,X572),3)*10%+SMALL((X488,X509,X530,X551,X572),4)*10%+SMALL((X488,X509,X530,X551,X572),5)*10%</f>
        <v>22.291628639612604</v>
      </c>
      <c r="Y593" s="18">
        <f>+SMALL((Y488,Y509,Y530,Y551,Y572),1)*40%+SMALL((Y488,Y509,Y530,Y551,Y572),2)*30%+SMALL((Y488,Y509,Y530,Y551,Y572),3)*10%+SMALL((Y488,Y509,Y530,Y551,Y572),4)*10%+SMALL((Y488,Y509,Y530,Y551,Y572),5)*10%</f>
        <v>21.206175667790404</v>
      </c>
      <c r="Z593" s="344">
        <f t="shared" ref="Z593:AD593" si="529">Y593</f>
        <v>21.206175667790404</v>
      </c>
      <c r="AA593" s="344">
        <f t="shared" si="529"/>
        <v>21.206175667790404</v>
      </c>
      <c r="AB593" s="344">
        <f t="shared" si="529"/>
        <v>21.206175667790404</v>
      </c>
      <c r="AC593" s="344">
        <f t="shared" si="529"/>
        <v>21.206175667790404</v>
      </c>
      <c r="AD593" s="344">
        <f t="shared" si="529"/>
        <v>21.206175667790404</v>
      </c>
      <c r="AH593" s="256"/>
      <c r="AI593" s="256"/>
      <c r="AJ593" s="256"/>
      <c r="AK593" s="256"/>
      <c r="AL593" s="256"/>
      <c r="AM593" s="256"/>
      <c r="AN593" s="256"/>
      <c r="AO593" s="256"/>
      <c r="AP593" s="256"/>
      <c r="AQ593" s="256"/>
      <c r="AS593" s="9"/>
      <c r="AT593" s="9"/>
      <c r="AU593" s="9"/>
      <c r="AV593" s="9"/>
      <c r="AW593" s="9"/>
      <c r="AX593" s="9"/>
      <c r="AY593" s="9"/>
      <c r="AZ593" s="9"/>
      <c r="BA593" s="9"/>
      <c r="BB593" s="9"/>
      <c r="BC593" s="9"/>
      <c r="BD593" s="9"/>
      <c r="BE593" s="345"/>
      <c r="BF593" s="345"/>
    </row>
    <row r="594" spans="4:58" x14ac:dyDescent="0.2">
      <c r="D594" s="347" t="str">
        <f t="shared" si="517"/>
        <v>e-Diesel (DAC) - Global - Fuel cost total - USD/GJ</v>
      </c>
      <c r="F594" t="str">
        <f t="shared" si="513"/>
        <v>e-Diesel (DAC)</v>
      </c>
      <c r="L594" t="str">
        <f t="shared" si="515"/>
        <v>Global</v>
      </c>
      <c r="N594" t="str">
        <f t="shared" si="518"/>
        <v>Fuel cost total - USD/GJ</v>
      </c>
      <c r="O594" s="224"/>
      <c r="P594" s="224"/>
      <c r="Q594" t="s">
        <v>324</v>
      </c>
      <c r="R594" s="14"/>
      <c r="S594" s="18">
        <f>+SMALL((S489,S510,S531,S552,S573),1)*40%+SMALL((S489,S510,S531,S552,S573),2)*30%+SMALL((S489,S510,S531,S552,S573),3)*10%+SMALL((S489,S510,S531,S552,S573),4)*10%+SMALL((S489,S510,S531,S552,S573),5)*10%</f>
        <v>103.38377142413501</v>
      </c>
      <c r="T594" s="18">
        <f>+SMALL((T489,T510,T531,T552,T573),1)*40%+SMALL((T489,T510,T531,T552,T573),2)*30%+SMALL((T489,T510,T531,T552,T573),3)*10%+SMALL((T489,T510,T531,T552,T573),4)*10%+SMALL((T489,T510,T531,T552,T573),5)*10%</f>
        <v>81.335223157671351</v>
      </c>
      <c r="U594" s="18">
        <f>+SMALL((U489,U510,U531,U552,U573),1)*40%+SMALL((U489,U510,U531,U552,U573),2)*30%+SMALL((U489,U510,U531,U552,U573),3)*10%+SMALL((U489,U510,U531,U552,U573),4)*10%+SMALL((U489,U510,U531,U552,U573),5)*10%</f>
        <v>65.105230653937383</v>
      </c>
      <c r="V594" s="18">
        <f>+SMALL((V489,V510,V531,V552,V573),1)*40%+SMALL((V489,V510,V531,V552,V573),2)*30%+SMALL((V489,V510,V531,V552,V573),3)*10%+SMALL((V489,V510,V531,V552,V573),4)*10%+SMALL((V489,V510,V531,V552,V573),5)*10%</f>
        <v>58.101552409359861</v>
      </c>
      <c r="W594" s="18">
        <f>+SMALL((W489,W510,W531,W552,W573),1)*40%+SMALL((W489,W510,W531,W552,W573),2)*30%+SMALL((W489,W510,W531,W552,W573),3)*10%+SMALL((W489,W510,W531,W552,W573),4)*10%+SMALL((W489,W510,W531,W552,W573),5)*10%</f>
        <v>51.044682013208742</v>
      </c>
      <c r="X594" s="18">
        <f>+SMALL((X489,X510,X531,X552,X573),1)*40%+SMALL((X489,X510,X531,X552,X573),2)*30%+SMALL((X489,X510,X531,X552,X573),3)*10%+SMALL((X489,X510,X531,X552,X573),4)*10%+SMALL((X489,X510,X531,X552,X573),5)*10%</f>
        <v>41.297889012325193</v>
      </c>
      <c r="Y594" s="18">
        <f>+SMALL((Y489,Y510,Y531,Y552,Y573),1)*40%+SMALL((Y489,Y510,Y531,Y552,Y573),2)*30%+SMALL((Y489,Y510,Y531,Y552,Y573),3)*10%+SMALL((Y489,Y510,Y531,Y552,Y573),4)*10%+SMALL((Y489,Y510,Y531,Y552,Y573),5)*10%</f>
        <v>32.750399868951078</v>
      </c>
      <c r="Z594" s="344">
        <f t="shared" ref="Z594:AD594" si="530">Y594</f>
        <v>32.750399868951078</v>
      </c>
      <c r="AA594" s="344">
        <f t="shared" si="530"/>
        <v>32.750399868951078</v>
      </c>
      <c r="AB594" s="344">
        <f t="shared" si="530"/>
        <v>32.750399868951078</v>
      </c>
      <c r="AC594" s="344">
        <f t="shared" si="530"/>
        <v>32.750399868951078</v>
      </c>
      <c r="AD594" s="344">
        <f t="shared" si="530"/>
        <v>32.750399868951078</v>
      </c>
      <c r="AH594" s="256"/>
      <c r="AI594" s="256"/>
      <c r="AJ594" s="256"/>
      <c r="AK594" s="256"/>
      <c r="AL594" s="256"/>
      <c r="AM594" s="256"/>
      <c r="AN594" s="256"/>
      <c r="AO594" s="256"/>
      <c r="AP594" s="256"/>
      <c r="AQ594" s="256"/>
      <c r="AS594" s="9"/>
      <c r="AT594" s="9"/>
      <c r="AU594" s="9"/>
      <c r="AV594" s="9"/>
      <c r="AW594" s="9"/>
      <c r="AX594" s="9"/>
      <c r="AY594" s="9"/>
      <c r="AZ594" s="9"/>
      <c r="BA594" s="9"/>
      <c r="BB594" s="9"/>
      <c r="BC594" s="9"/>
      <c r="BD594" s="9"/>
      <c r="BE594" s="345"/>
      <c r="BF594" s="345"/>
    </row>
    <row r="595" spans="4:58" x14ac:dyDescent="0.2">
      <c r="D595" s="347" t="str">
        <f t="shared" si="517"/>
        <v>e-Diesel (PS) - Global - Fuel cost total - USD/GJ</v>
      </c>
      <c r="F595" t="str">
        <f t="shared" si="513"/>
        <v>e-Diesel (PS)</v>
      </c>
      <c r="L595" t="str">
        <f t="shared" si="515"/>
        <v>Global</v>
      </c>
      <c r="N595" t="str">
        <f t="shared" si="518"/>
        <v>Fuel cost total - USD/GJ</v>
      </c>
      <c r="O595" s="224"/>
      <c r="P595" s="224"/>
      <c r="Q595" t="s">
        <v>324</v>
      </c>
      <c r="R595" s="14"/>
      <c r="S595" s="18">
        <f>+SMALL((S490,S511,S532,S553,S574),1)*40%+SMALL((S490,S511,S532,S553,S574),2)*30%+SMALL((S490,S511,S532,S553,S574),3)*10%+SMALL((S490,S511,S532,S553,S574),4)*10%+SMALL((S490,S511,S532,S553,S574),5)*10%</f>
        <v>94.323296827959567</v>
      </c>
      <c r="T595" s="18">
        <f>+SMALL((T490,T511,T532,T553,T574),1)*40%+SMALL((T490,T511,T532,T553,T574),2)*30%+SMALL((T490,T511,T532,T553,T574),3)*10%+SMALL((T490,T511,T532,T553,T574),4)*10%+SMALL((T490,T511,T532,T553,T574),5)*10%</f>
        <v>75.030795529324152</v>
      </c>
      <c r="U595" s="18">
        <f>+SMALL((U490,U511,U532,U553,U574),1)*40%+SMALL((U490,U511,U532,U553,U574),2)*30%+SMALL((U490,U511,U532,U553,U574),3)*10%+SMALL((U490,U511,U532,U553,U574),4)*10%+SMALL((U490,U511,U532,U553,U574),5)*10%</f>
        <v>59.995032214921913</v>
      </c>
      <c r="V595" s="18">
        <f>+SMALL((V490,V511,V532,V553,V574),1)*40%+SMALL((V490,V511,V532,V553,V574),2)*30%+SMALL((V490,V511,V532,V553,V574),3)*10%+SMALL((V490,V511,V532,V553,V574),4)*10%+SMALL((V490,V511,V532,V553,V574),5)*10%</f>
        <v>54.569026348304661</v>
      </c>
      <c r="W595" s="18">
        <f>+SMALL((W490,W511,W532,W553,W574),1)*40%+SMALL((W490,W511,W532,W553,W574),2)*30%+SMALL((W490,W511,W532,W553,W574),3)*10%+SMALL((W490,W511,W532,W553,W574),4)*10%+SMALL((W490,W511,W532,W553,W574),5)*10%</f>
        <v>48.459056101707311</v>
      </c>
      <c r="X595" s="18">
        <f>+SMALL((X490,X511,X532,X553,X574),1)*40%+SMALL((X490,X511,X532,X553,X574),2)*30%+SMALL((X490,X511,X532,X553,X574),3)*10%+SMALL((X490,X511,X532,X553,X574),4)*10%+SMALL((X490,X511,X532,X553,X574),5)*10%</f>
        <v>39.358624870964533</v>
      </c>
      <c r="Y595" s="18">
        <f>+SMALL((Y490,Y511,Y532,Y553,Y574),1)*40%+SMALL((Y490,Y511,Y532,Y553,Y574),2)*30%+SMALL((Y490,Y511,Y532,Y553,Y574),3)*10%+SMALL((Y490,Y511,Y532,Y553,Y574),4)*10%+SMALL((Y490,Y511,Y532,Y553,Y574),5)*10%</f>
        <v>31.111698703737531</v>
      </c>
      <c r="Z595" s="344">
        <f t="shared" ref="Z595:AD595" si="531">Y595</f>
        <v>31.111698703737531</v>
      </c>
      <c r="AA595" s="344">
        <f t="shared" si="531"/>
        <v>31.111698703737531</v>
      </c>
      <c r="AB595" s="344">
        <f t="shared" si="531"/>
        <v>31.111698703737531</v>
      </c>
      <c r="AC595" s="344">
        <f t="shared" si="531"/>
        <v>31.111698703737531</v>
      </c>
      <c r="AD595" s="344">
        <f t="shared" si="531"/>
        <v>31.111698703737531</v>
      </c>
      <c r="AH595" s="256"/>
      <c r="AI595" s="256"/>
      <c r="AJ595" s="256"/>
      <c r="AK595" s="256"/>
      <c r="AL595" s="256"/>
      <c r="AM595" s="256"/>
      <c r="AN595" s="256"/>
      <c r="AO595" s="256"/>
      <c r="AP595" s="256"/>
      <c r="AQ595" s="256"/>
      <c r="AS595" s="9"/>
      <c r="AT595" s="9"/>
      <c r="AU595" s="9"/>
      <c r="AV595" s="9"/>
      <c r="AW595" s="9"/>
      <c r="AX595" s="9"/>
      <c r="AY595" s="9"/>
      <c r="AZ595" s="9"/>
      <c r="BA595" s="9"/>
      <c r="BB595" s="9"/>
      <c r="BC595" s="9"/>
      <c r="BD595" s="9"/>
      <c r="BE595" s="345"/>
      <c r="BF595" s="345"/>
    </row>
    <row r="596" spans="4:58" x14ac:dyDescent="0.2">
      <c r="D596" s="347" t="str">
        <f t="shared" si="517"/>
        <v>Biodiesel (HtL blend) - Global - Fuel cost total - USD/GJ</v>
      </c>
      <c r="F596" t="str">
        <f t="shared" si="513"/>
        <v>Biodiesel (HtL blend)</v>
      </c>
      <c r="L596" t="str">
        <f t="shared" si="515"/>
        <v>Global</v>
      </c>
      <c r="N596" t="str">
        <f t="shared" si="518"/>
        <v>Fuel cost total - USD/GJ</v>
      </c>
      <c r="O596" s="224"/>
      <c r="P596" s="224"/>
      <c r="Q596" t="s">
        <v>324</v>
      </c>
      <c r="R596" s="14"/>
      <c r="S596" s="18">
        <f>+SMALL((S491,S512,S533,S554,S575),1)*40%+SMALL((S491,S512,S533,S554,S575),2)*30%+SMALL((S491,S512,S533,S554,S575),3)*10%+SMALL((S491,S512,S533,S554,S575),4)*10%+SMALL((S491,S512,S533,S554,S575),5)*10%</f>
        <v>43.62980804230024</v>
      </c>
      <c r="T596" s="18">
        <f>+SMALL((T491,T512,T533,T554,T575),1)*40%+SMALL((T491,T512,T533,T554,T575),2)*30%+SMALL((T491,T512,T533,T554,T575),3)*10%+SMALL((T491,T512,T533,T554,T575),4)*10%+SMALL((T491,T512,T533,T554,T575),5)*10%</f>
        <v>26.769460839468515</v>
      </c>
      <c r="U596" s="18">
        <f>+SMALL((U491,U512,U533,U554,U575),1)*40%+SMALL((U491,U512,U533,U554,U575),2)*30%+SMALL((U491,U512,U533,U554,U575),3)*10%+SMALL((U491,U512,U533,U554,U575),4)*10%+SMALL((U491,U512,U533,U554,U575),5)*10%</f>
        <v>15.931415184848802</v>
      </c>
      <c r="V596" s="18">
        <f>+SMALL((V491,V512,V533,V554,V575),1)*40%+SMALL((V491,V512,V533,V554,V575),2)*30%+SMALL((V491,V512,V533,V554,V575),3)*10%+SMALL((V491,V512,V533,V554,V575),4)*10%+SMALL((V491,V512,V533,V554,V575),5)*10%</f>
        <v>15.567801851961217</v>
      </c>
      <c r="W596" s="18">
        <f>+SMALL((W491,W512,W533,W554,W575),1)*40%+SMALL((W491,W512,W533,W554,W575),2)*30%+SMALL((W491,W512,W533,W554,W575),3)*10%+SMALL((W491,W512,W533,W554,W575),4)*10%+SMALL((W491,W512,W533,W554,W575),5)*10%</f>
        <v>15.418076861737717</v>
      </c>
      <c r="X596" s="18">
        <f>+SMALL((X491,X512,X533,X554,X575),1)*40%+SMALL((X491,X512,X533,X554,X575),2)*30%+SMALL((X491,X512,X533,X554,X575),3)*10%+SMALL((X491,X512,X533,X554,X575),4)*10%+SMALL((X491,X512,X533,X554,X575),5)*10%</f>
        <v>15.268873420423155</v>
      </c>
      <c r="Y596" s="18">
        <f>+SMALL((Y491,Y512,Y533,Y554,Y575),1)*40%+SMALL((Y491,Y512,Y533,Y554,Y575),2)*30%+SMALL((Y491,Y512,Y533,Y554,Y575),3)*10%+SMALL((Y491,Y512,Y533,Y554,Y575),4)*10%+SMALL((Y491,Y512,Y533,Y554,Y575),5)*10%</f>
        <v>15.12905823289004</v>
      </c>
      <c r="Z596" s="344">
        <f t="shared" ref="Z596:AD596" si="532">Y596</f>
        <v>15.12905823289004</v>
      </c>
      <c r="AA596" s="344">
        <f t="shared" si="532"/>
        <v>15.12905823289004</v>
      </c>
      <c r="AB596" s="344">
        <f t="shared" si="532"/>
        <v>15.12905823289004</v>
      </c>
      <c r="AC596" s="344">
        <f t="shared" si="532"/>
        <v>15.12905823289004</v>
      </c>
      <c r="AD596" s="344">
        <f t="shared" si="532"/>
        <v>15.12905823289004</v>
      </c>
      <c r="AH596" s="256"/>
      <c r="AI596" s="256"/>
      <c r="AJ596" s="256"/>
      <c r="AK596" s="256"/>
      <c r="AL596" s="256"/>
      <c r="AM596" s="256"/>
      <c r="AN596" s="256"/>
      <c r="AO596" s="256"/>
      <c r="AP596" s="256"/>
      <c r="AQ596" s="256"/>
      <c r="AS596" s="9"/>
      <c r="AT596" s="9"/>
      <c r="AU596" s="9"/>
      <c r="AV596" s="9"/>
      <c r="AW596" s="9"/>
      <c r="AX596" s="9"/>
      <c r="AY596" s="9"/>
      <c r="AZ596" s="9"/>
      <c r="BA596" s="9"/>
      <c r="BB596" s="9"/>
      <c r="BC596" s="9"/>
      <c r="BD596" s="9"/>
      <c r="BE596" s="345"/>
      <c r="BF596" s="345"/>
    </row>
    <row r="597" spans="4:58" x14ac:dyDescent="0.2">
      <c r="D597" s="347" t="str">
        <f t="shared" si="517"/>
        <v>Biodiesel (Pyr blend) - Global - Fuel cost total - USD/GJ</v>
      </c>
      <c r="F597" t="str">
        <f t="shared" si="513"/>
        <v>Biodiesel (Pyr blend)</v>
      </c>
      <c r="L597" t="str">
        <f t="shared" si="515"/>
        <v>Global</v>
      </c>
      <c r="N597" t="str">
        <f>"Fuel cost total"  &amp;keydelim &amp;Q597</f>
        <v>Fuel cost total - USD/GJ</v>
      </c>
      <c r="O597" s="224"/>
      <c r="P597" s="224"/>
      <c r="Q597" t="s">
        <v>324</v>
      </c>
      <c r="R597" s="14"/>
      <c r="S597" s="18">
        <f>+SMALL((S492,S513,S534,S555,S576),1)*40%+SMALL((S492,S513,S534,S555,S576),2)*30%+SMALL((S492,S513,S534,S555,S576),3)*10%+SMALL((S492,S513,S534,S555,S576),4)*10%+SMALL((S492,S513,S534,S555,S576),5)*10%</f>
        <v>24.314424757850951</v>
      </c>
      <c r="T597" s="18">
        <f>+SMALL((T492,T513,T534,T555,T576),1)*40%+SMALL((T492,T513,T534,T555,T576),2)*30%+SMALL((T492,T513,T534,T555,T576),3)*10%+SMALL((T492,T513,T534,T555,T576),4)*10%+SMALL((T492,T513,T534,T555,T576),5)*10%</f>
        <v>17.35163544452741</v>
      </c>
      <c r="U597" s="18">
        <f>+SMALL((U492,U513,U534,U555,U576),1)*40%+SMALL((U492,U513,U534,U555,U576),2)*30%+SMALL((U492,U513,U534,U555,U576),3)*10%+SMALL((U492,U513,U534,U555,U576),4)*10%+SMALL((U492,U513,U534,U555,U576),5)*10%</f>
        <v>13.847513658881073</v>
      </c>
      <c r="V597" s="18">
        <f>+SMALL((V492,V513,V534,V555,V576),1)*40%+SMALL((V492,V513,V534,V555,V576),2)*30%+SMALL((V492,V513,V534,V555,V576),3)*10%+SMALL((V492,V513,V534,V555,V576),4)*10%+SMALL((V492,V513,V534,V555,V576),5)*10%</f>
        <v>13.826912371382827</v>
      </c>
      <c r="W597" s="18">
        <f>+SMALL((W492,W513,W534,W555,W576),1)*40%+SMALL((W492,W513,W534,W555,W576),2)*30%+SMALL((W492,W513,W534,W555,W576),3)*10%+SMALL((W492,W513,W534,W555,W576),4)*10%+SMALL((W492,W513,W534,W555,W576),5)*10%</f>
        <v>13.869800272235707</v>
      </c>
      <c r="X597" s="18">
        <f>+SMALL((X492,X513,X534,X555,X576),1)*40%+SMALL((X492,X513,X534,X555,X576),2)*30%+SMALL((X492,X513,X534,X555,X576),3)*10%+SMALL((X492,X513,X534,X555,X576),4)*10%+SMALL((X492,X513,X534,X555,X576),5)*10%</f>
        <v>13.911165552718449</v>
      </c>
      <c r="Y597" s="18">
        <f>+SMALL((Y492,Y513,Y534,Y555,Y576),1)*40%+SMALL((Y492,Y513,Y534,Y555,Y576),2)*30%+SMALL((Y492,Y513,Y534,Y555,Y576),3)*10%+SMALL((Y492,Y513,Y534,Y555,Y576),4)*10%+SMALL((Y492,Y513,Y534,Y555,Y576),5)*10%</f>
        <v>13.954725238349491</v>
      </c>
      <c r="Z597" s="344">
        <f t="shared" ref="Z597:AD597" si="533">Y597</f>
        <v>13.954725238349491</v>
      </c>
      <c r="AA597" s="344">
        <f t="shared" si="533"/>
        <v>13.954725238349491</v>
      </c>
      <c r="AB597" s="344">
        <f t="shared" si="533"/>
        <v>13.954725238349491</v>
      </c>
      <c r="AC597" s="344">
        <f t="shared" si="533"/>
        <v>13.954725238349491</v>
      </c>
      <c r="AD597" s="344">
        <f t="shared" si="533"/>
        <v>13.954725238349491</v>
      </c>
      <c r="AH597" s="256"/>
      <c r="AI597" s="256"/>
      <c r="AJ597" s="256"/>
      <c r="AK597" s="256"/>
      <c r="AL597" s="256"/>
      <c r="AM597" s="256"/>
      <c r="AN597" s="256"/>
      <c r="AO597" s="256"/>
      <c r="AP597" s="256"/>
      <c r="AQ597" s="256"/>
      <c r="AS597" s="9"/>
      <c r="AT597" s="9"/>
      <c r="AU597" s="9"/>
      <c r="AV597" s="9"/>
      <c r="AW597" s="9"/>
      <c r="AX597" s="9"/>
      <c r="AY597" s="9"/>
      <c r="AZ597" s="9"/>
      <c r="BA597" s="9"/>
      <c r="BB597" s="9"/>
      <c r="BC597" s="9"/>
      <c r="BD597" s="9"/>
      <c r="BE597" s="345"/>
      <c r="BF597" s="345"/>
    </row>
    <row r="598" spans="4:58" x14ac:dyDescent="0.2">
      <c r="D598" s="347" t="str">
        <f t="shared" si="517"/>
        <v>Blue hydrogen (liquid) - Global - Fuel cost total - USD/GJ</v>
      </c>
      <c r="F598" t="str">
        <f t="shared" si="513"/>
        <v>Blue hydrogen (liquid)</v>
      </c>
      <c r="L598" t="str">
        <f t="shared" si="515"/>
        <v>Global</v>
      </c>
      <c r="N598" t="str">
        <f>"Fuel cost total"  &amp;keydelim &amp;Q598</f>
        <v>Fuel cost total - USD/GJ</v>
      </c>
      <c r="O598" s="224"/>
      <c r="P598" s="224"/>
      <c r="Q598" t="s">
        <v>324</v>
      </c>
      <c r="R598" s="14"/>
      <c r="S598" s="18">
        <f>+SMALL((S493,S514,S535,S556,S577),1)*40%+SMALL((S493,S514,S535,S556,S577),2)*30%+SMALL((S493,S514,S535,S556,S577),3)*10%+SMALL((S493,S514,S535,S556,S577),4)*10%+SMALL((S493,S514,S535,S556,S577),5)*10%</f>
        <v>69.827985511575065</v>
      </c>
      <c r="T598" s="18">
        <f>+SMALL((T493,T514,T535,T556,T577),1)*40%+SMALL((T493,T514,T535,T556,T577),2)*30%+SMALL((T493,T514,T535,T556,T577),3)*10%+SMALL((T493,T514,T535,T556,T577),4)*10%+SMALL((T493,T514,T535,T556,T577),5)*10%</f>
        <v>48.886308911156029</v>
      </c>
      <c r="U598" s="18">
        <f>+SMALL((U493,U514,U535,U556,U577),1)*40%+SMALL((U493,U514,U535,U556,U577),2)*30%+SMALL((U493,U514,U535,U556,U577),3)*10%+SMALL((U493,U514,U535,U556,U577),4)*10%+SMALL((U493,U514,U535,U556,U577),5)*10%</f>
        <v>41.204905111179414</v>
      </c>
      <c r="V598" s="18">
        <f>+SMALL((V493,V514,V535,V556,V577),1)*40%+SMALL((V493,V514,V535,V556,V577),2)*30%+SMALL((V493,V514,V535,V556,V577),3)*10%+SMALL((V493,V514,V535,V556,V577),4)*10%+SMALL((V493,V514,V535,V556,V577),5)*10%</f>
        <v>40.462623983082153</v>
      </c>
      <c r="W598" s="18">
        <f>+SMALL((W493,W514,W535,W556,W577),1)*40%+SMALL((W493,W514,W535,W556,W577),2)*30%+SMALL((W493,W514,W535,W556,W577),3)*10%+SMALL((W493,W514,W535,W556,W577),4)*10%+SMALL((W493,W514,W535,W556,W577),5)*10%</f>
        <v>39.664961857324002</v>
      </c>
      <c r="X598" s="18">
        <f>+SMALL((X493,X514,X535,X556,X577),1)*40%+SMALL((X493,X514,X535,X556,X577),2)*30%+SMALL((X493,X514,X535,X556,X577),3)*10%+SMALL((X493,X514,X535,X556,X577),4)*10%+SMALL((X493,X514,X535,X556,X577),5)*10%</f>
        <v>38.937204782944114</v>
      </c>
      <c r="Y598" s="18">
        <f>+SMALL((Y493,Y514,Y535,Y556,Y577),1)*40%+SMALL((Y493,Y514,Y535,Y556,Y577),2)*30%+SMALL((Y493,Y514,Y535,Y556,Y577),3)*10%+SMALL((Y493,Y514,Y535,Y556,Y577),4)*10%+SMALL((Y493,Y514,Y535,Y556,Y577),5)*10%</f>
        <v>38.343607225641897</v>
      </c>
      <c r="Z598" s="344">
        <f t="shared" ref="Z598:AD598" si="534">Y598</f>
        <v>38.343607225641897</v>
      </c>
      <c r="AA598" s="344">
        <f t="shared" si="534"/>
        <v>38.343607225641897</v>
      </c>
      <c r="AB598" s="344">
        <f t="shared" si="534"/>
        <v>38.343607225641897</v>
      </c>
      <c r="AC598" s="344">
        <f t="shared" si="534"/>
        <v>38.343607225641897</v>
      </c>
      <c r="AD598" s="344">
        <f t="shared" si="534"/>
        <v>38.343607225641897</v>
      </c>
      <c r="AH598" s="256"/>
      <c r="AI598" s="256"/>
      <c r="AJ598" s="256"/>
      <c r="AK598" s="256"/>
      <c r="AL598" s="256"/>
      <c r="AM598" s="256"/>
      <c r="AN598" s="256"/>
      <c r="AO598" s="256"/>
      <c r="AP598" s="256"/>
      <c r="AQ598" s="256"/>
      <c r="AS598" s="9"/>
      <c r="AT598" s="9"/>
      <c r="AU598" s="9"/>
      <c r="AV598" s="9"/>
      <c r="AW598" s="9"/>
      <c r="AX598" s="9"/>
      <c r="AY598" s="9"/>
      <c r="AZ598" s="9"/>
      <c r="BA598" s="9"/>
      <c r="BB598" s="9"/>
      <c r="BC598" s="9"/>
      <c r="BD598" s="9"/>
      <c r="BE598" s="345"/>
      <c r="BF598" s="345"/>
    </row>
    <row r="599" spans="4:58" x14ac:dyDescent="0.2">
      <c r="D599" s="347" t="str">
        <f>_xlfn.TEXTJOIN(keydelim,TRUE,E599:N599)</f>
        <v>e-Hydrogen (liquid) - Global - Fuel cost total - USD/GJ</v>
      </c>
      <c r="F599" t="str">
        <f t="shared" si="513"/>
        <v>e-Hydrogen (liquid)</v>
      </c>
      <c r="L599" t="str">
        <f t="shared" si="515"/>
        <v>Global</v>
      </c>
      <c r="N599" t="str">
        <f>"Fuel cost total"  &amp;keydelim &amp;Q599</f>
        <v>Fuel cost total - USD/GJ</v>
      </c>
      <c r="O599" s="224"/>
      <c r="P599" s="224"/>
      <c r="Q599" t="s">
        <v>324</v>
      </c>
      <c r="R599" s="14"/>
      <c r="S599" s="18">
        <f>+SMALL((S494,S515,S536,S557,S578),1)*40%+SMALL((S494,S515,S536,S557,S578),2)*30%+SMALL((S494,S515,S536,S557,S578),3)*10%+SMALL((S494,S515,S536,S557,S578),4)*10%+SMALL((S494,S515,S536,S557,S578),5)*10%</f>
        <v>63.616143571694359</v>
      </c>
      <c r="T599" s="18">
        <f>+SMALL((T494,T515,T536,T557,T578),1)*40%+SMALL((T494,T515,T536,T557,T578),2)*30%+SMALL((T494,T515,T536,T557,T578),3)*10%+SMALL((T494,T515,T536,T557,T578),4)*10%+SMALL((T494,T515,T536,T557,T578),5)*10%</f>
        <v>54.635940143406906</v>
      </c>
      <c r="U599" s="18">
        <f>+SMALL((U494,U515,U536,U557,U578),1)*40%+SMALL((U494,U515,U536,U557,U578),2)*30%+SMALL((U494,U515,U536,U557,U578),3)*10%+SMALL((U494,U515,U536,U557,U578),4)*10%+SMALL((U494,U515,U536,U557,U578),5)*10%</f>
        <v>48.604448645659311</v>
      </c>
      <c r="V599" s="18">
        <f>+SMALL((V494,V515,V536,V557,V578),1)*40%+SMALL((V494,V515,V536,V557,V578),2)*30%+SMALL((V494,V515,V536,V557,V578),3)*10%+SMALL((V494,V515,V536,V557,V578),4)*10%+SMALL((V494,V515,V536,V557,V578),5)*10%</f>
        <v>45.741627274615112</v>
      </c>
      <c r="W599" s="18">
        <f>+SMALL((W494,W515,W536,W557,W578),1)*40%+SMALL((W494,W515,W536,W557,W578),2)*30%+SMALL((W494,W515,W536,W557,W578),3)*10%+SMALL((W494,W515,W536,W557,W578),4)*10%+SMALL((W494,W515,W536,W557,W578),5)*10%</f>
        <v>42.40557423647244</v>
      </c>
      <c r="X599" s="18">
        <f>+SMALL((X494,X515,X536,X557,X578),1)*40%+SMALL((X494,X515,X536,X557,X578),2)*30%+SMALL((X494,X515,X536,X557,X578),3)*10%+SMALL((X494,X515,X536,X557,X578),4)*10%+SMALL((X494,X515,X536,X557,X578),5)*10%</f>
        <v>38.350596787355258</v>
      </c>
      <c r="Y599" s="18">
        <f>+SMALL((Y494,Y515,Y536,Y557,Y578),1)*40%+SMALL((Y494,Y515,Y536,Y557,Y578),2)*30%+SMALL((Y494,Y515,Y536,Y557,Y578),3)*10%+SMALL((Y494,Y515,Y536,Y557,Y578),4)*10%+SMALL((Y494,Y515,Y536,Y557,Y578),5)*10%</f>
        <v>34.762014917101205</v>
      </c>
      <c r="Z599" s="344">
        <f t="shared" ref="Z599:AD599" si="535">Y599</f>
        <v>34.762014917101205</v>
      </c>
      <c r="AA599" s="344">
        <f t="shared" si="535"/>
        <v>34.762014917101205</v>
      </c>
      <c r="AB599" s="344">
        <f t="shared" si="535"/>
        <v>34.762014917101205</v>
      </c>
      <c r="AC599" s="344">
        <f t="shared" si="535"/>
        <v>34.762014917101205</v>
      </c>
      <c r="AD599" s="344">
        <f t="shared" si="535"/>
        <v>34.762014917101205</v>
      </c>
      <c r="AH599" s="256"/>
      <c r="AI599" s="256"/>
      <c r="AJ599" s="256"/>
      <c r="AK599" s="256"/>
      <c r="AL599" s="256"/>
      <c r="AM599" s="256"/>
      <c r="AN599" s="256"/>
      <c r="AO599" s="256"/>
      <c r="AP599" s="256"/>
      <c r="AQ599" s="256"/>
      <c r="AS599" s="9"/>
      <c r="AT599" s="9"/>
      <c r="AU599" s="9"/>
      <c r="AV599" s="9"/>
      <c r="AW599" s="9"/>
      <c r="AX599" s="9"/>
      <c r="AY599" s="9"/>
      <c r="AZ599" s="9"/>
      <c r="BA599" s="9"/>
      <c r="BB599" s="9"/>
      <c r="BC599" s="9"/>
      <c r="BD599" s="9"/>
      <c r="BE599" s="345"/>
      <c r="BF599" s="345"/>
    </row>
    <row r="600" spans="4:58" x14ac:dyDescent="0.2">
      <c r="R600" s="14"/>
      <c r="S600" s="18"/>
      <c r="T600" s="18"/>
      <c r="U600" s="18"/>
      <c r="V600" s="18"/>
      <c r="W600" s="18"/>
      <c r="X600" s="18"/>
      <c r="Y600" s="18"/>
      <c r="Z600" s="18"/>
      <c r="AA600" s="18"/>
      <c r="AB600" s="18"/>
      <c r="AC600" s="18"/>
      <c r="AD600" s="18"/>
    </row>
    <row r="601" spans="4:58" hidden="1" x14ac:dyDescent="0.2">
      <c r="D601" s="347" t="str">
        <f>_xlfn.TEXTJOIN(keydelim,TRUE,E601:N601)</f>
        <v>LSFO - Old - Old - Old - Global - Fuel cost total - USD/GJ</v>
      </c>
      <c r="F601" t="str">
        <f t="shared" ref="F601:F641" si="536">F559</f>
        <v>LSFO</v>
      </c>
      <c r="H601" s="224" t="s">
        <v>609</v>
      </c>
      <c r="I601" s="224" t="s">
        <v>609</v>
      </c>
      <c r="J601" s="224" t="s">
        <v>609</v>
      </c>
      <c r="L601" t="s">
        <v>109</v>
      </c>
      <c r="N601" t="str">
        <f>"Fuel cost total"  &amp;keydelim &amp;Q601</f>
        <v>Fuel cost total - USD/GJ</v>
      </c>
      <c r="O601" s="224" t="s">
        <v>609</v>
      </c>
      <c r="P601" s="224" t="s">
        <v>610</v>
      </c>
      <c r="Q601" t="s">
        <v>324</v>
      </c>
      <c r="R601" s="14"/>
      <c r="S601" s="346">
        <f>AVERAGE(S538,S496,S475,S559,S517)</f>
        <v>21.473621920116738</v>
      </c>
      <c r="T601" s="346">
        <f t="shared" ref="T601:AD601" si="537">AVERAGE(T538,T496,T475,T559,T517)</f>
        <v>15.404989638344617</v>
      </c>
      <c r="U601" s="346">
        <f t="shared" si="537"/>
        <v>13.444354593464393</v>
      </c>
      <c r="V601" s="346">
        <f t="shared" si="537"/>
        <v>13.444354593464393</v>
      </c>
      <c r="W601" s="346">
        <f t="shared" si="537"/>
        <v>13.444354593464393</v>
      </c>
      <c r="X601" s="346">
        <f t="shared" si="537"/>
        <v>13.444354593464393</v>
      </c>
      <c r="Y601" s="346">
        <f t="shared" si="537"/>
        <v>13.444354593464393</v>
      </c>
      <c r="Z601" s="346">
        <f t="shared" si="537"/>
        <v>13.444354593464393</v>
      </c>
      <c r="AA601" s="346">
        <f t="shared" si="537"/>
        <v>13.444354593464393</v>
      </c>
      <c r="AB601" s="346">
        <f t="shared" si="537"/>
        <v>13.444354593464393</v>
      </c>
      <c r="AC601" s="346">
        <f t="shared" si="537"/>
        <v>13.444354593464393</v>
      </c>
      <c r="AD601" s="346">
        <f t="shared" si="537"/>
        <v>13.444354593464393</v>
      </c>
      <c r="AH601" s="256"/>
      <c r="AI601" s="256"/>
      <c r="AJ601" s="256"/>
      <c r="AK601" s="256"/>
      <c r="AL601" s="256"/>
      <c r="AM601" s="256"/>
      <c r="AN601" s="256"/>
      <c r="AO601" s="256"/>
      <c r="AP601" s="256"/>
      <c r="AQ601" s="256"/>
      <c r="AS601" s="9"/>
      <c r="AT601" s="9"/>
      <c r="AU601" s="9"/>
      <c r="AV601" s="9"/>
      <c r="AW601" s="9"/>
      <c r="AX601" s="9"/>
      <c r="AY601" s="9"/>
      <c r="AZ601" s="9"/>
      <c r="BA601" s="9"/>
      <c r="BB601" s="9"/>
      <c r="BC601" s="9"/>
      <c r="BD601" s="9"/>
      <c r="BE601" s="345"/>
      <c r="BF601" s="345"/>
    </row>
    <row r="602" spans="4:58" hidden="1" x14ac:dyDescent="0.2">
      <c r="D602" s="347" t="str">
        <f>_xlfn.TEXTJOIN(keydelim,TRUE,E602:N602)</f>
        <v>LNG - Old - Old - Old - Global - Fuel cost total - USD/GJ</v>
      </c>
      <c r="F602" t="str">
        <f t="shared" si="536"/>
        <v>LNG</v>
      </c>
      <c r="H602" s="224" t="s">
        <v>609</v>
      </c>
      <c r="I602" s="224" t="s">
        <v>609</v>
      </c>
      <c r="J602" s="224" t="s">
        <v>609</v>
      </c>
      <c r="L602" t="str">
        <f t="shared" ref="L602:L620" si="538">L601</f>
        <v>Global</v>
      </c>
      <c r="N602" t="str">
        <f>"Fuel cost total"  &amp;keydelim &amp;Q602</f>
        <v>Fuel cost total - USD/GJ</v>
      </c>
      <c r="O602" s="224" t="s">
        <v>609</v>
      </c>
      <c r="P602" s="224" t="s">
        <v>610</v>
      </c>
      <c r="Q602" t="s">
        <v>324</v>
      </c>
      <c r="R602" s="14"/>
      <c r="S602" s="346">
        <f t="shared" ref="S602:AD602" si="539">AVERAGE(S539,S497,S476,S560,S518)</f>
        <v>34.38186695415861</v>
      </c>
      <c r="T602" s="346">
        <f t="shared" si="539"/>
        <v>17.524946013820387</v>
      </c>
      <c r="U602" s="346">
        <f t="shared" si="539"/>
        <v>12.26427916683296</v>
      </c>
      <c r="V602" s="346">
        <f t="shared" si="539"/>
        <v>12.237447310288122</v>
      </c>
      <c r="W602" s="346">
        <f t="shared" si="539"/>
        <v>12.113578584138271</v>
      </c>
      <c r="X602" s="346">
        <f t="shared" si="539"/>
        <v>11.993168309792285</v>
      </c>
      <c r="Y602" s="346">
        <f t="shared" si="539"/>
        <v>11.888840540562557</v>
      </c>
      <c r="Z602" s="346">
        <f t="shared" si="539"/>
        <v>11.888840540562557</v>
      </c>
      <c r="AA602" s="346">
        <f t="shared" si="539"/>
        <v>11.888840540562557</v>
      </c>
      <c r="AB602" s="346">
        <f t="shared" si="539"/>
        <v>11.888840540562557</v>
      </c>
      <c r="AC602" s="346">
        <f t="shared" si="539"/>
        <v>11.888840540562557</v>
      </c>
      <c r="AD602" s="346">
        <f t="shared" si="539"/>
        <v>11.888840540562557</v>
      </c>
      <c r="AH602" s="256"/>
      <c r="AI602" s="256"/>
      <c r="AJ602" s="256"/>
      <c r="AK602" s="256"/>
      <c r="AL602" s="256"/>
      <c r="AM602" s="256"/>
      <c r="AN602" s="256"/>
      <c r="AO602" s="256"/>
      <c r="AP602" s="256"/>
      <c r="AQ602" s="256"/>
      <c r="AS602" s="9"/>
      <c r="AT602" s="9"/>
      <c r="AU602" s="9"/>
      <c r="AV602" s="9"/>
      <c r="AW602" s="9"/>
      <c r="AX602" s="9"/>
      <c r="AY602" s="9"/>
      <c r="AZ602" s="9"/>
      <c r="BA602" s="9"/>
      <c r="BB602" s="9"/>
      <c r="BC602" s="9"/>
      <c r="BD602" s="9"/>
      <c r="BE602" s="345"/>
      <c r="BF602" s="345"/>
    </row>
    <row r="603" spans="4:58" hidden="1" x14ac:dyDescent="0.2">
      <c r="D603" s="347" t="str">
        <f t="shared" ref="D603:D619" si="540">_xlfn.TEXTJOIN(keydelim,TRUE,E603:N603)</f>
        <v>LPG - Old - Old - Old - Global - Fuel cost total - USD/GJ</v>
      </c>
      <c r="F603" t="str">
        <f t="shared" si="536"/>
        <v>LPG</v>
      </c>
      <c r="H603" s="224" t="s">
        <v>609</v>
      </c>
      <c r="I603" s="224" t="s">
        <v>609</v>
      </c>
      <c r="J603" s="224" t="s">
        <v>609</v>
      </c>
      <c r="L603" t="str">
        <f t="shared" si="538"/>
        <v>Global</v>
      </c>
      <c r="N603" t="str">
        <f t="shared" ref="N603:N619" si="541">"Fuel cost total"  &amp;keydelim &amp;Q603</f>
        <v>Fuel cost total - USD/GJ</v>
      </c>
      <c r="O603" s="224" t="s">
        <v>609</v>
      </c>
      <c r="P603" s="224" t="s">
        <v>610</v>
      </c>
      <c r="Q603" t="s">
        <v>324</v>
      </c>
      <c r="R603" s="14"/>
      <c r="S603" s="346">
        <f t="shared" ref="S603:AD603" si="542">AVERAGE(S540,S498,S477,S561,S519)</f>
        <v>16.525069073439496</v>
      </c>
      <c r="T603" s="346">
        <f t="shared" si="542"/>
        <v>11.854940857032684</v>
      </c>
      <c r="U603" s="346">
        <f t="shared" si="542"/>
        <v>10.34613020250125</v>
      </c>
      <c r="V603" s="346">
        <f t="shared" si="542"/>
        <v>10.34613020250125</v>
      </c>
      <c r="W603" s="346">
        <f t="shared" si="542"/>
        <v>10.34613020250125</v>
      </c>
      <c r="X603" s="346">
        <f t="shared" si="542"/>
        <v>10.34613020250125</v>
      </c>
      <c r="Y603" s="346">
        <f t="shared" si="542"/>
        <v>10.34613020250125</v>
      </c>
      <c r="Z603" s="346">
        <f t="shared" si="542"/>
        <v>10.34613020250125</v>
      </c>
      <c r="AA603" s="346">
        <f t="shared" si="542"/>
        <v>10.34613020250125</v>
      </c>
      <c r="AB603" s="346">
        <f t="shared" si="542"/>
        <v>10.34613020250125</v>
      </c>
      <c r="AC603" s="346">
        <f t="shared" si="542"/>
        <v>10.34613020250125</v>
      </c>
      <c r="AD603" s="346">
        <f t="shared" si="542"/>
        <v>10.34613020250125</v>
      </c>
      <c r="AH603" s="256"/>
      <c r="AI603" s="256"/>
      <c r="AJ603" s="256"/>
      <c r="AK603" s="256"/>
      <c r="AL603" s="256"/>
      <c r="AM603" s="256"/>
      <c r="AN603" s="256"/>
      <c r="AO603" s="256"/>
      <c r="AP603" s="256"/>
      <c r="AQ603" s="256"/>
      <c r="AS603" s="9"/>
      <c r="AT603" s="9"/>
      <c r="AU603" s="9"/>
      <c r="AV603" s="9"/>
      <c r="AW603" s="9"/>
      <c r="AX603" s="9"/>
      <c r="AY603" s="9"/>
      <c r="AZ603" s="9"/>
      <c r="BA603" s="9"/>
      <c r="BB603" s="9"/>
      <c r="BC603" s="9"/>
      <c r="BD603" s="9"/>
      <c r="BE603" s="345"/>
      <c r="BF603" s="345"/>
    </row>
    <row r="604" spans="4:58" hidden="1" x14ac:dyDescent="0.2">
      <c r="D604" s="347" t="str">
        <f t="shared" si="540"/>
        <v>Electricity - Old - Old - Old - Global - Fuel cost total - USD/GJ</v>
      </c>
      <c r="F604" t="str">
        <f t="shared" si="536"/>
        <v>Electricity</v>
      </c>
      <c r="H604" s="224" t="s">
        <v>609</v>
      </c>
      <c r="I604" s="224" t="s">
        <v>609</v>
      </c>
      <c r="J604" s="224" t="s">
        <v>609</v>
      </c>
      <c r="L604" t="str">
        <f t="shared" si="538"/>
        <v>Global</v>
      </c>
      <c r="N604" t="str">
        <f t="shared" si="541"/>
        <v>Fuel cost total - USD/GJ</v>
      </c>
      <c r="O604" s="224" t="s">
        <v>609</v>
      </c>
      <c r="P604" s="224" t="s">
        <v>610</v>
      </c>
      <c r="Q604" t="s">
        <v>324</v>
      </c>
      <c r="R604" s="14"/>
      <c r="S604" s="346">
        <f t="shared" ref="S604:AD604" si="543">AVERAGE(S541,S499,S478,S562,S520)</f>
        <v>35.255114644529428</v>
      </c>
      <c r="T604" s="346">
        <f t="shared" si="543"/>
        <v>30.521717321494304</v>
      </c>
      <c r="U604" s="346">
        <f t="shared" si="543"/>
        <v>28.297332559115944</v>
      </c>
      <c r="V604" s="346">
        <f t="shared" si="543"/>
        <v>27.036659369108911</v>
      </c>
      <c r="W604" s="346">
        <f t="shared" si="543"/>
        <v>26.339277166762326</v>
      </c>
      <c r="X604" s="346">
        <f t="shared" si="543"/>
        <v>25.670690793198759</v>
      </c>
      <c r="Y604" s="346">
        <f t="shared" si="543"/>
        <v>25.307919797558277</v>
      </c>
      <c r="Z604" s="346">
        <f t="shared" si="543"/>
        <v>25.307919797558277</v>
      </c>
      <c r="AA604" s="346">
        <f t="shared" si="543"/>
        <v>25.307919797558277</v>
      </c>
      <c r="AB604" s="346">
        <f t="shared" si="543"/>
        <v>25.307919797558277</v>
      </c>
      <c r="AC604" s="346">
        <f t="shared" si="543"/>
        <v>25.307919797558277</v>
      </c>
      <c r="AD604" s="346">
        <f t="shared" si="543"/>
        <v>25.307919797558277</v>
      </c>
      <c r="AH604" s="256"/>
      <c r="AI604" s="256"/>
      <c r="AJ604" s="256"/>
      <c r="AK604" s="256"/>
      <c r="AL604" s="256"/>
      <c r="AM604" s="256"/>
      <c r="AN604" s="256"/>
      <c r="AO604" s="256"/>
      <c r="AP604" s="256"/>
      <c r="AQ604" s="256"/>
      <c r="AS604" s="9"/>
      <c r="AT604" s="9"/>
      <c r="AU604" s="9"/>
      <c r="AV604" s="9"/>
      <c r="AW604" s="9"/>
      <c r="AX604" s="9"/>
      <c r="AY604" s="9"/>
      <c r="AZ604" s="9"/>
      <c r="BA604" s="9"/>
      <c r="BB604" s="9"/>
      <c r="BC604" s="9"/>
      <c r="BD604" s="9"/>
      <c r="BE604" s="345"/>
      <c r="BF604" s="345"/>
    </row>
    <row r="605" spans="4:58" hidden="1" x14ac:dyDescent="0.2">
      <c r="D605" s="347" t="str">
        <f t="shared" si="540"/>
        <v>e-Ammonia - Old - Old - Old - Global - Fuel cost total - USD/GJ</v>
      </c>
      <c r="F605" t="str">
        <f t="shared" si="536"/>
        <v>e-Ammonia</v>
      </c>
      <c r="H605" s="224" t="s">
        <v>609</v>
      </c>
      <c r="I605" s="224" t="s">
        <v>609</v>
      </c>
      <c r="J605" s="224" t="s">
        <v>609</v>
      </c>
      <c r="L605" t="str">
        <f t="shared" si="538"/>
        <v>Global</v>
      </c>
      <c r="N605" t="str">
        <f t="shared" si="541"/>
        <v>Fuel cost total - USD/GJ</v>
      </c>
      <c r="O605" s="224" t="s">
        <v>609</v>
      </c>
      <c r="P605" s="224" t="s">
        <v>610</v>
      </c>
      <c r="Q605" t="s">
        <v>324</v>
      </c>
      <c r="R605" s="14"/>
      <c r="S605" s="346">
        <f t="shared" ref="S605:AD605" si="544">AVERAGE(S542,S500,S479,S563,S521)</f>
        <v>72.850003720179004</v>
      </c>
      <c r="T605" s="346">
        <f t="shared" si="544"/>
        <v>52.010860080760914</v>
      </c>
      <c r="U605" s="346">
        <f t="shared" si="544"/>
        <v>36.56884430087338</v>
      </c>
      <c r="V605" s="346">
        <f t="shared" si="544"/>
        <v>33.062082888494643</v>
      </c>
      <c r="W605" s="346">
        <f t="shared" si="544"/>
        <v>29.101142664777019</v>
      </c>
      <c r="X605" s="346">
        <f t="shared" si="544"/>
        <v>24.300470781687359</v>
      </c>
      <c r="Y605" s="346">
        <f t="shared" si="544"/>
        <v>20.019355789238212</v>
      </c>
      <c r="Z605" s="346">
        <f t="shared" si="544"/>
        <v>20.019355789238212</v>
      </c>
      <c r="AA605" s="346">
        <f t="shared" si="544"/>
        <v>20.019355789238212</v>
      </c>
      <c r="AB605" s="346">
        <f t="shared" si="544"/>
        <v>20.019355789238212</v>
      </c>
      <c r="AC605" s="346">
        <f t="shared" si="544"/>
        <v>20.019355789238212</v>
      </c>
      <c r="AD605" s="346">
        <f t="shared" si="544"/>
        <v>20.019355789238212</v>
      </c>
      <c r="AH605" s="256"/>
      <c r="AI605" s="256"/>
      <c r="AJ605" s="256"/>
      <c r="AK605" s="256"/>
      <c r="AL605" s="256"/>
      <c r="AM605" s="256"/>
      <c r="AN605" s="256"/>
      <c r="AO605" s="256"/>
      <c r="AP605" s="256"/>
      <c r="AQ605" s="256"/>
      <c r="AS605" s="9"/>
      <c r="AT605" s="9"/>
      <c r="AU605" s="9"/>
      <c r="AV605" s="9"/>
      <c r="AW605" s="9"/>
      <c r="AX605" s="9"/>
      <c r="AY605" s="9"/>
      <c r="AZ605" s="9"/>
      <c r="BA605" s="9"/>
      <c r="BB605" s="9"/>
      <c r="BC605" s="9"/>
      <c r="BD605" s="9"/>
      <c r="BE605" s="345"/>
      <c r="BF605" s="345"/>
    </row>
    <row r="606" spans="4:58" hidden="1" x14ac:dyDescent="0.2">
      <c r="D606" s="347" t="str">
        <f t="shared" si="540"/>
        <v>Blue ammonia - Old - Old - Old - Global - Fuel cost total - USD/GJ</v>
      </c>
      <c r="F606" t="str">
        <f t="shared" si="536"/>
        <v>Blue ammonia</v>
      </c>
      <c r="H606" s="224" t="s">
        <v>609</v>
      </c>
      <c r="I606" s="224" t="s">
        <v>609</v>
      </c>
      <c r="J606" s="224" t="s">
        <v>609</v>
      </c>
      <c r="L606" t="str">
        <f t="shared" si="538"/>
        <v>Global</v>
      </c>
      <c r="N606" t="str">
        <f t="shared" si="541"/>
        <v>Fuel cost total - USD/GJ</v>
      </c>
      <c r="O606" s="224" t="s">
        <v>609</v>
      </c>
      <c r="P606" s="224" t="s">
        <v>610</v>
      </c>
      <c r="Q606" t="s">
        <v>324</v>
      </c>
      <c r="R606" s="14"/>
      <c r="S606" s="346">
        <f t="shared" ref="S606:AD606" si="545">AVERAGE(S543,S501,S480,S564,S522)</f>
        <v>66.754006705614046</v>
      </c>
      <c r="T606" s="346">
        <f t="shared" si="545"/>
        <v>38.076210154697662</v>
      </c>
      <c r="U606" s="346">
        <f t="shared" si="545"/>
        <v>28.244070573916009</v>
      </c>
      <c r="V606" s="346">
        <f t="shared" si="545"/>
        <v>28.00255852150233</v>
      </c>
      <c r="W606" s="346">
        <f t="shared" si="545"/>
        <v>27.576594952376599</v>
      </c>
      <c r="X606" s="346">
        <f t="shared" si="545"/>
        <v>27.151643767465636</v>
      </c>
      <c r="Y606" s="346">
        <f t="shared" si="545"/>
        <v>26.73744423216246</v>
      </c>
      <c r="Z606" s="346">
        <f t="shared" si="545"/>
        <v>26.73744423216246</v>
      </c>
      <c r="AA606" s="346">
        <f t="shared" si="545"/>
        <v>26.73744423216246</v>
      </c>
      <c r="AB606" s="346">
        <f t="shared" si="545"/>
        <v>26.73744423216246</v>
      </c>
      <c r="AC606" s="346">
        <f t="shared" si="545"/>
        <v>26.73744423216246</v>
      </c>
      <c r="AD606" s="346">
        <f t="shared" si="545"/>
        <v>26.73744423216246</v>
      </c>
      <c r="AH606" s="256"/>
      <c r="AI606" s="256"/>
      <c r="AJ606" s="256"/>
      <c r="AK606" s="256"/>
      <c r="AL606" s="256"/>
      <c r="AM606" s="256"/>
      <c r="AN606" s="256"/>
      <c r="AO606" s="256"/>
      <c r="AP606" s="256"/>
      <c r="AQ606" s="256"/>
      <c r="AS606" s="9"/>
      <c r="AT606" s="9"/>
      <c r="AU606" s="9"/>
      <c r="AV606" s="9"/>
      <c r="AW606" s="9"/>
      <c r="AX606" s="9"/>
      <c r="AY606" s="9"/>
      <c r="AZ606" s="9"/>
      <c r="BA606" s="9"/>
      <c r="BB606" s="9"/>
      <c r="BC606" s="9"/>
      <c r="BD606" s="9"/>
      <c r="BE606" s="345"/>
      <c r="BF606" s="345"/>
    </row>
    <row r="607" spans="4:58" hidden="1" x14ac:dyDescent="0.2">
      <c r="D607" s="347" t="str">
        <f t="shared" si="540"/>
        <v>Biomethane - Old - Old - Old - Global - Fuel cost total - USD/GJ</v>
      </c>
      <c r="F607" t="str">
        <f t="shared" si="536"/>
        <v>Biomethane</v>
      </c>
      <c r="H607" s="224" t="s">
        <v>609</v>
      </c>
      <c r="I607" s="224" t="s">
        <v>609</v>
      </c>
      <c r="J607" s="224" t="s">
        <v>609</v>
      </c>
      <c r="L607" t="str">
        <f t="shared" si="538"/>
        <v>Global</v>
      </c>
      <c r="N607" t="str">
        <f t="shared" si="541"/>
        <v>Fuel cost total - USD/GJ</v>
      </c>
      <c r="O607" s="224" t="s">
        <v>609</v>
      </c>
      <c r="P607" s="224" t="s">
        <v>610</v>
      </c>
      <c r="Q607" t="s">
        <v>324</v>
      </c>
      <c r="R607" s="14"/>
      <c r="S607" s="346">
        <f t="shared" ref="S607:AD607" si="546">AVERAGE(S544,S502,S481,S565,S523)</f>
        <v>26.093342395108806</v>
      </c>
      <c r="T607" s="346">
        <f t="shared" si="546"/>
        <v>23.927583576918956</v>
      </c>
      <c r="U607" s="346">
        <f t="shared" si="546"/>
        <v>22.354954204469713</v>
      </c>
      <c r="V607" s="346">
        <f t="shared" si="546"/>
        <v>20.987906586222262</v>
      </c>
      <c r="W607" s="346">
        <f t="shared" si="546"/>
        <v>19.667026466756703</v>
      </c>
      <c r="X607" s="346">
        <f t="shared" si="546"/>
        <v>18.347716781404877</v>
      </c>
      <c r="Y607" s="346">
        <f t="shared" si="546"/>
        <v>17.055249257562828</v>
      </c>
      <c r="Z607" s="346">
        <f t="shared" si="546"/>
        <v>17.055249257562828</v>
      </c>
      <c r="AA607" s="346">
        <f t="shared" si="546"/>
        <v>17.055249257562828</v>
      </c>
      <c r="AB607" s="346">
        <f t="shared" si="546"/>
        <v>17.055249257562828</v>
      </c>
      <c r="AC607" s="346">
        <f t="shared" si="546"/>
        <v>17.055249257562828</v>
      </c>
      <c r="AD607" s="346">
        <f t="shared" si="546"/>
        <v>17.055249257562828</v>
      </c>
      <c r="AH607" s="256"/>
      <c r="AI607" s="256"/>
      <c r="AJ607" s="256"/>
      <c r="AK607" s="256"/>
      <c r="AL607" s="256"/>
      <c r="AM607" s="256"/>
      <c r="AN607" s="256"/>
      <c r="AO607" s="256"/>
      <c r="AP607" s="256"/>
      <c r="AQ607" s="256"/>
      <c r="AS607" s="9"/>
      <c r="AT607" s="9"/>
      <c r="AU607" s="9"/>
      <c r="AV607" s="9"/>
      <c r="AW607" s="9"/>
      <c r="AX607" s="9"/>
      <c r="AY607" s="9"/>
      <c r="AZ607" s="9"/>
      <c r="BA607" s="9"/>
      <c r="BB607" s="9"/>
      <c r="BC607" s="9"/>
      <c r="BD607" s="9"/>
      <c r="BE607" s="345"/>
      <c r="BF607" s="345"/>
    </row>
    <row r="608" spans="4:58" hidden="1" x14ac:dyDescent="0.2">
      <c r="D608" s="347" t="str">
        <f t="shared" si="540"/>
        <v>e-Methane (DAC) - Old - Old - Old - Global - Fuel cost total - USD/GJ</v>
      </c>
      <c r="F608" t="str">
        <f t="shared" si="536"/>
        <v>e-Methane (DAC)</v>
      </c>
      <c r="H608" s="224" t="s">
        <v>609</v>
      </c>
      <c r="I608" s="224" t="s">
        <v>609</v>
      </c>
      <c r="J608" s="224" t="s">
        <v>609</v>
      </c>
      <c r="L608" t="str">
        <f t="shared" si="538"/>
        <v>Global</v>
      </c>
      <c r="N608" t="str">
        <f t="shared" si="541"/>
        <v>Fuel cost total - USD/GJ</v>
      </c>
      <c r="O608" s="224" t="s">
        <v>609</v>
      </c>
      <c r="P608" s="224" t="s">
        <v>610</v>
      </c>
      <c r="Q608" t="s">
        <v>324</v>
      </c>
      <c r="R608" s="14"/>
      <c r="S608" s="346">
        <f t="shared" ref="S608:AD608" si="547">AVERAGE(S545,S503,S482,S566,S524)</f>
        <v>79.979025851556983</v>
      </c>
      <c r="T608" s="346">
        <f t="shared" si="547"/>
        <v>61.132814003092449</v>
      </c>
      <c r="U608" s="346">
        <f t="shared" si="547"/>
        <v>50.358823727634068</v>
      </c>
      <c r="V608" s="346">
        <f t="shared" si="547"/>
        <v>44.753214769482248</v>
      </c>
      <c r="W608" s="346">
        <f t="shared" si="547"/>
        <v>39.185733486903459</v>
      </c>
      <c r="X608" s="346">
        <f t="shared" si="547"/>
        <v>32.710010591746922</v>
      </c>
      <c r="Y608" s="346">
        <f t="shared" si="547"/>
        <v>27.048194362426067</v>
      </c>
      <c r="Z608" s="346">
        <f t="shared" si="547"/>
        <v>27.048194362426067</v>
      </c>
      <c r="AA608" s="346">
        <f t="shared" si="547"/>
        <v>27.048194362426067</v>
      </c>
      <c r="AB608" s="346">
        <f t="shared" si="547"/>
        <v>27.048194362426067</v>
      </c>
      <c r="AC608" s="346">
        <f t="shared" si="547"/>
        <v>27.048194362426067</v>
      </c>
      <c r="AD608" s="346">
        <f t="shared" si="547"/>
        <v>27.048194362426067</v>
      </c>
      <c r="AH608" s="256"/>
      <c r="AI608" s="256"/>
      <c r="AJ608" s="256"/>
      <c r="AK608" s="256"/>
      <c r="AL608" s="256"/>
      <c r="AM608" s="256"/>
      <c r="AN608" s="256"/>
      <c r="AO608" s="256"/>
      <c r="AP608" s="256"/>
      <c r="AQ608" s="256"/>
      <c r="AS608" s="9"/>
      <c r="AT608" s="9"/>
      <c r="AU608" s="9"/>
      <c r="AV608" s="9"/>
      <c r="AW608" s="9"/>
      <c r="AX608" s="9"/>
      <c r="AY608" s="9"/>
      <c r="AZ608" s="9"/>
      <c r="BA608" s="9"/>
      <c r="BB608" s="9"/>
      <c r="BC608" s="9"/>
      <c r="BD608" s="9"/>
      <c r="BE608" s="345"/>
      <c r="BF608" s="345"/>
    </row>
    <row r="609" spans="4:58" hidden="1" x14ac:dyDescent="0.2">
      <c r="D609" s="347" t="str">
        <f t="shared" si="540"/>
        <v>e-Methane (PS) - Old - Old - Old - Global - Fuel cost total - USD/GJ</v>
      </c>
      <c r="F609" t="str">
        <f t="shared" si="536"/>
        <v>e-Methane (PS)</v>
      </c>
      <c r="H609" s="224" t="s">
        <v>609</v>
      </c>
      <c r="I609" s="224" t="s">
        <v>609</v>
      </c>
      <c r="J609" s="224" t="s">
        <v>609</v>
      </c>
      <c r="L609" t="str">
        <f t="shared" si="538"/>
        <v>Global</v>
      </c>
      <c r="N609" t="str">
        <f t="shared" si="541"/>
        <v>Fuel cost total - USD/GJ</v>
      </c>
      <c r="O609" s="224" t="s">
        <v>609</v>
      </c>
      <c r="P609" s="224" t="s">
        <v>610</v>
      </c>
      <c r="Q609" t="s">
        <v>324</v>
      </c>
      <c r="R609" s="14"/>
      <c r="S609" s="346">
        <f t="shared" ref="S609:AD609" si="548">AVERAGE(S546,S504,S483,S567,S525)</f>
        <v>72.541932636236467</v>
      </c>
      <c r="T609" s="346">
        <f t="shared" si="548"/>
        <v>56.376390728393403</v>
      </c>
      <c r="U609" s="346">
        <f t="shared" si="548"/>
        <v>46.57661634948915</v>
      </c>
      <c r="V609" s="346">
        <f t="shared" si="548"/>
        <v>42.115613845271881</v>
      </c>
      <c r="W609" s="346">
        <f t="shared" si="548"/>
        <v>37.224534871561872</v>
      </c>
      <c r="X609" s="346">
        <f t="shared" si="548"/>
        <v>31.224948000404787</v>
      </c>
      <c r="Y609" s="346">
        <f t="shared" si="548"/>
        <v>25.792918843040116</v>
      </c>
      <c r="Z609" s="346">
        <f t="shared" si="548"/>
        <v>25.792918843040116</v>
      </c>
      <c r="AA609" s="346">
        <f t="shared" si="548"/>
        <v>25.792918843040116</v>
      </c>
      <c r="AB609" s="346">
        <f t="shared" si="548"/>
        <v>25.792918843040116</v>
      </c>
      <c r="AC609" s="346">
        <f t="shared" si="548"/>
        <v>25.792918843040116</v>
      </c>
      <c r="AD609" s="346">
        <f t="shared" si="548"/>
        <v>25.792918843040116</v>
      </c>
      <c r="AH609" s="256"/>
      <c r="AI609" s="256"/>
      <c r="AJ609" s="256"/>
      <c r="AK609" s="256"/>
      <c r="AL609" s="256"/>
      <c r="AM609" s="256"/>
      <c r="AN609" s="256"/>
      <c r="AO609" s="256"/>
      <c r="AP609" s="256"/>
      <c r="AQ609" s="256"/>
      <c r="AS609" s="9"/>
      <c r="AT609" s="9"/>
      <c r="AU609" s="9"/>
      <c r="AV609" s="9"/>
      <c r="AW609" s="9"/>
      <c r="AX609" s="9"/>
      <c r="AY609" s="9"/>
      <c r="AZ609" s="9"/>
      <c r="BA609" s="9"/>
      <c r="BB609" s="9"/>
      <c r="BC609" s="9"/>
      <c r="BD609" s="9"/>
      <c r="BE609" s="345"/>
      <c r="BF609" s="345"/>
    </row>
    <row r="610" spans="4:58" hidden="1" x14ac:dyDescent="0.2">
      <c r="D610" s="347" t="str">
        <f t="shared" si="540"/>
        <v>Biomethanol - Old - Old - Old - Global - Fuel cost total - USD/GJ</v>
      </c>
      <c r="F610" t="str">
        <f t="shared" si="536"/>
        <v>Biomethanol</v>
      </c>
      <c r="H610" s="224" t="s">
        <v>609</v>
      </c>
      <c r="I610" s="224" t="s">
        <v>609</v>
      </c>
      <c r="J610" s="224" t="s">
        <v>609</v>
      </c>
      <c r="L610" t="str">
        <f t="shared" si="538"/>
        <v>Global</v>
      </c>
      <c r="N610" t="str">
        <f t="shared" si="541"/>
        <v>Fuel cost total - USD/GJ</v>
      </c>
      <c r="O610" s="224" t="s">
        <v>609</v>
      </c>
      <c r="P610" s="224" t="s">
        <v>610</v>
      </c>
      <c r="Q610" t="s">
        <v>324</v>
      </c>
      <c r="R610" s="14"/>
      <c r="S610" s="346">
        <f t="shared" ref="S610:AD610" si="549">AVERAGE(S547,S505,S484,S568,S526)</f>
        <v>51.558823615925931</v>
      </c>
      <c r="T610" s="346">
        <f t="shared" si="549"/>
        <v>36.480071381828019</v>
      </c>
      <c r="U610" s="346">
        <f t="shared" si="549"/>
        <v>30.954755027255811</v>
      </c>
      <c r="V610" s="346">
        <f t="shared" si="549"/>
        <v>28.702000862385177</v>
      </c>
      <c r="W610" s="346">
        <f t="shared" si="549"/>
        <v>26.490950895296834</v>
      </c>
      <c r="X610" s="346">
        <f t="shared" si="549"/>
        <v>25.214762228452482</v>
      </c>
      <c r="Y610" s="346">
        <f t="shared" si="549"/>
        <v>23.967626797960367</v>
      </c>
      <c r="Z610" s="346">
        <f t="shared" si="549"/>
        <v>23.967626797960367</v>
      </c>
      <c r="AA610" s="346">
        <f t="shared" si="549"/>
        <v>23.967626797960367</v>
      </c>
      <c r="AB610" s="346">
        <f t="shared" si="549"/>
        <v>23.967626797960367</v>
      </c>
      <c r="AC610" s="346">
        <f t="shared" si="549"/>
        <v>23.967626797960367</v>
      </c>
      <c r="AD610" s="346">
        <f t="shared" si="549"/>
        <v>23.967626797960367</v>
      </c>
      <c r="AH610" s="256"/>
      <c r="AI610" s="256"/>
      <c r="AJ610" s="256"/>
      <c r="AK610" s="256"/>
      <c r="AL610" s="256"/>
      <c r="AM610" s="256"/>
      <c r="AN610" s="256"/>
      <c r="AO610" s="256"/>
      <c r="AP610" s="256"/>
      <c r="AQ610" s="256"/>
      <c r="AS610" s="9"/>
      <c r="AT610" s="9"/>
      <c r="AU610" s="9"/>
      <c r="AV610" s="9"/>
      <c r="AW610" s="9"/>
      <c r="AX610" s="9"/>
      <c r="AY610" s="9"/>
      <c r="AZ610" s="9"/>
      <c r="BA610" s="9"/>
      <c r="BB610" s="9"/>
      <c r="BC610" s="9"/>
      <c r="BD610" s="9"/>
      <c r="BE610" s="345"/>
      <c r="BF610" s="345"/>
    </row>
    <row r="611" spans="4:58" hidden="1" x14ac:dyDescent="0.2">
      <c r="D611" s="347" t="str">
        <f t="shared" si="540"/>
        <v>e-Methanol (DAC) - Old - Old - Old - Global - Fuel cost total - USD/GJ</v>
      </c>
      <c r="F611" t="str">
        <f t="shared" si="536"/>
        <v>e-Methanol (DAC)</v>
      </c>
      <c r="H611" s="224" t="s">
        <v>609</v>
      </c>
      <c r="I611" s="224" t="s">
        <v>609</v>
      </c>
      <c r="J611" s="224" t="s">
        <v>609</v>
      </c>
      <c r="L611" t="str">
        <f t="shared" si="538"/>
        <v>Global</v>
      </c>
      <c r="N611" t="str">
        <f t="shared" si="541"/>
        <v>Fuel cost total - USD/GJ</v>
      </c>
      <c r="O611" s="224" t="s">
        <v>609</v>
      </c>
      <c r="P611" s="224" t="s">
        <v>610</v>
      </c>
      <c r="Q611" t="s">
        <v>324</v>
      </c>
      <c r="R611" s="14"/>
      <c r="S611" s="346">
        <f t="shared" ref="S611:AD611" si="550">AVERAGE(S548,S506,S485,S569,S527)</f>
        <v>97.454707220270919</v>
      </c>
      <c r="T611" s="346">
        <f t="shared" si="550"/>
        <v>73.969180111741238</v>
      </c>
      <c r="U611" s="346">
        <f t="shared" si="550"/>
        <v>58.82274622558149</v>
      </c>
      <c r="V611" s="346">
        <f t="shared" si="550"/>
        <v>51.588258279649132</v>
      </c>
      <c r="W611" s="346">
        <f t="shared" si="550"/>
        <v>44.682684566690895</v>
      </c>
      <c r="X611" s="346">
        <f t="shared" si="550"/>
        <v>36.723181892615933</v>
      </c>
      <c r="Y611" s="346">
        <f t="shared" si="550"/>
        <v>29.691361912652173</v>
      </c>
      <c r="Z611" s="346">
        <f t="shared" si="550"/>
        <v>29.691361912652173</v>
      </c>
      <c r="AA611" s="346">
        <f t="shared" si="550"/>
        <v>29.691361912652173</v>
      </c>
      <c r="AB611" s="346">
        <f t="shared" si="550"/>
        <v>29.691361912652173</v>
      </c>
      <c r="AC611" s="346">
        <f t="shared" si="550"/>
        <v>29.691361912652173</v>
      </c>
      <c r="AD611" s="346">
        <f t="shared" si="550"/>
        <v>29.691361912652173</v>
      </c>
      <c r="AH611" s="256"/>
      <c r="AI611" s="256"/>
      <c r="AJ611" s="256"/>
      <c r="AK611" s="256"/>
      <c r="AL611" s="256"/>
      <c r="AM611" s="256"/>
      <c r="AN611" s="256"/>
      <c r="AO611" s="256"/>
      <c r="AP611" s="256"/>
      <c r="AQ611" s="256"/>
      <c r="AS611" s="9"/>
      <c r="AT611" s="9"/>
      <c r="AU611" s="9"/>
      <c r="AV611" s="9"/>
      <c r="AW611" s="9"/>
      <c r="AX611" s="9"/>
      <c r="AY611" s="9"/>
      <c r="AZ611" s="9"/>
      <c r="BA611" s="9"/>
      <c r="BB611" s="9"/>
      <c r="BC611" s="9"/>
      <c r="BD611" s="9"/>
      <c r="BE611" s="345"/>
      <c r="BF611" s="345"/>
    </row>
    <row r="612" spans="4:58" hidden="1" x14ac:dyDescent="0.2">
      <c r="D612" s="347" t="str">
        <f t="shared" si="540"/>
        <v>e-Methanol (PS) - Old - Old - Old - Global - Fuel cost total - USD/GJ</v>
      </c>
      <c r="F612" t="str">
        <f t="shared" si="536"/>
        <v>e-Methanol (PS)</v>
      </c>
      <c r="H612" s="224" t="s">
        <v>609</v>
      </c>
      <c r="I612" s="224" t="s">
        <v>609</v>
      </c>
      <c r="J612" s="224" t="s">
        <v>609</v>
      </c>
      <c r="L612" t="str">
        <f t="shared" si="538"/>
        <v>Global</v>
      </c>
      <c r="N612" t="str">
        <f t="shared" si="541"/>
        <v>Fuel cost total - USD/GJ</v>
      </c>
      <c r="O612" s="224" t="s">
        <v>609</v>
      </c>
      <c r="P612" s="224" t="s">
        <v>610</v>
      </c>
      <c r="Q612" t="s">
        <v>324</v>
      </c>
      <c r="R612" s="14"/>
      <c r="S612" s="346">
        <f t="shared" ref="S612:AD612" si="551">AVERAGE(S549,S507,S486,S570,S528)</f>
        <v>88.099378570266381</v>
      </c>
      <c r="T612" s="346">
        <f t="shared" si="551"/>
        <v>67.985941547287837</v>
      </c>
      <c r="U612" s="346">
        <f t="shared" si="551"/>
        <v>54.065001227559051</v>
      </c>
      <c r="V612" s="346">
        <f t="shared" si="551"/>
        <v>48.270345920730236</v>
      </c>
      <c r="W612" s="346">
        <f t="shared" si="551"/>
        <v>42.215637689201458</v>
      </c>
      <c r="X612" s="346">
        <f t="shared" si="551"/>
        <v>34.855079906316675</v>
      </c>
      <c r="Y612" s="346">
        <f t="shared" si="551"/>
        <v>28.112315544647942</v>
      </c>
      <c r="Z612" s="346">
        <f t="shared" si="551"/>
        <v>28.112315544647942</v>
      </c>
      <c r="AA612" s="346">
        <f t="shared" si="551"/>
        <v>28.112315544647942</v>
      </c>
      <c r="AB612" s="346">
        <f t="shared" si="551"/>
        <v>28.112315544647942</v>
      </c>
      <c r="AC612" s="346">
        <f t="shared" si="551"/>
        <v>28.112315544647942</v>
      </c>
      <c r="AD612" s="346">
        <f t="shared" si="551"/>
        <v>28.112315544647942</v>
      </c>
      <c r="AH612" s="256"/>
      <c r="AI612" s="256"/>
      <c r="AJ612" s="256"/>
      <c r="AK612" s="256"/>
      <c r="AL612" s="256"/>
      <c r="AM612" s="256"/>
      <c r="AN612" s="256"/>
      <c r="AO612" s="256"/>
      <c r="AP612" s="256"/>
      <c r="AQ612" s="256"/>
      <c r="AS612" s="9"/>
      <c r="AT612" s="9"/>
      <c r="AU612" s="9"/>
      <c r="AV612" s="9"/>
      <c r="AW612" s="9"/>
      <c r="AX612" s="9"/>
      <c r="AY612" s="9"/>
      <c r="AZ612" s="9"/>
      <c r="BA612" s="9"/>
      <c r="BB612" s="9"/>
      <c r="BC612" s="9"/>
      <c r="BD612" s="9"/>
      <c r="BE612" s="345"/>
      <c r="BF612" s="345"/>
    </row>
    <row r="613" spans="4:58" hidden="1" x14ac:dyDescent="0.2">
      <c r="D613" s="347" t="str">
        <f t="shared" si="540"/>
        <v>Biodiesel (HtL) - Old - Old - Old - Global - Fuel cost total - USD/GJ</v>
      </c>
      <c r="F613" t="str">
        <f t="shared" si="536"/>
        <v>Biodiesel (HtL)</v>
      </c>
      <c r="H613" s="224" t="s">
        <v>609</v>
      </c>
      <c r="I613" s="224" t="s">
        <v>609</v>
      </c>
      <c r="J613" s="224" t="s">
        <v>609</v>
      </c>
      <c r="L613" t="str">
        <f t="shared" si="538"/>
        <v>Global</v>
      </c>
      <c r="N613" t="str">
        <f t="shared" si="541"/>
        <v>Fuel cost total - USD/GJ</v>
      </c>
      <c r="O613" s="224" t="s">
        <v>609</v>
      </c>
      <c r="P613" s="224" t="s">
        <v>610</v>
      </c>
      <c r="Q613" t="s">
        <v>324</v>
      </c>
      <c r="R613" s="14"/>
      <c r="S613" s="346">
        <f t="shared" ref="S613:AD613" si="552">AVERAGE(S550,S508,S487,S571,S529)</f>
        <v>159.37903516055547</v>
      </c>
      <c r="T613" s="346">
        <f t="shared" si="552"/>
        <v>52.493219156489843</v>
      </c>
      <c r="U613" s="346">
        <f t="shared" si="552"/>
        <v>23.912131592697939</v>
      </c>
      <c r="V613" s="346">
        <f t="shared" si="552"/>
        <v>23.528631268657541</v>
      </c>
      <c r="W613" s="346">
        <f t="shared" si="552"/>
        <v>23.102437452666301</v>
      </c>
      <c r="X613" s="346">
        <f t="shared" si="552"/>
        <v>22.54015870506564</v>
      </c>
      <c r="Y613" s="346">
        <f t="shared" si="552"/>
        <v>21.558152107841231</v>
      </c>
      <c r="Z613" s="346">
        <f t="shared" si="552"/>
        <v>21.558152107841231</v>
      </c>
      <c r="AA613" s="346">
        <f t="shared" si="552"/>
        <v>21.558152107841231</v>
      </c>
      <c r="AB613" s="346">
        <f t="shared" si="552"/>
        <v>21.558152107841231</v>
      </c>
      <c r="AC613" s="346">
        <f t="shared" si="552"/>
        <v>21.558152107841231</v>
      </c>
      <c r="AD613" s="346">
        <f t="shared" si="552"/>
        <v>21.558152107841231</v>
      </c>
      <c r="AH613" s="256"/>
      <c r="AI613" s="256"/>
      <c r="AJ613" s="256"/>
      <c r="AK613" s="256"/>
      <c r="AL613" s="256"/>
      <c r="AM613" s="256"/>
      <c r="AN613" s="256"/>
      <c r="AO613" s="256"/>
      <c r="AP613" s="256"/>
      <c r="AQ613" s="256"/>
      <c r="AS613" s="9"/>
      <c r="AT613" s="9"/>
      <c r="AU613" s="9"/>
      <c r="AV613" s="9"/>
      <c r="AW613" s="9"/>
      <c r="AX613" s="9"/>
      <c r="AY613" s="9"/>
      <c r="AZ613" s="9"/>
      <c r="BA613" s="9"/>
      <c r="BB613" s="9"/>
      <c r="BC613" s="9"/>
      <c r="BD613" s="9"/>
      <c r="BE613" s="345"/>
      <c r="BF613" s="345"/>
    </row>
    <row r="614" spans="4:58" hidden="1" x14ac:dyDescent="0.2">
      <c r="D614" s="347" t="str">
        <f t="shared" si="540"/>
        <v>Biodiesel (Pyr) - Old - Old - Old - Global - Fuel cost total - USD/GJ</v>
      </c>
      <c r="F614" t="str">
        <f t="shared" si="536"/>
        <v>Biodiesel (Pyr)</v>
      </c>
      <c r="H614" s="224" t="s">
        <v>609</v>
      </c>
      <c r="I614" s="224" t="s">
        <v>609</v>
      </c>
      <c r="J614" s="224" t="s">
        <v>609</v>
      </c>
      <c r="L614" t="str">
        <f t="shared" si="538"/>
        <v>Global</v>
      </c>
      <c r="N614" t="str">
        <f t="shared" si="541"/>
        <v>Fuel cost total - USD/GJ</v>
      </c>
      <c r="O614" s="224" t="s">
        <v>609</v>
      </c>
      <c r="P614" s="224" t="s">
        <v>610</v>
      </c>
      <c r="Q614" t="s">
        <v>324</v>
      </c>
      <c r="R614" s="14"/>
      <c r="S614" s="346">
        <f t="shared" ref="S614:AD614" si="553">AVERAGE(S551,S509,S488,S572,S530)</f>
        <v>61.263057287443438</v>
      </c>
      <c r="T614" s="346">
        <f t="shared" si="553"/>
        <v>39.140543279081356</v>
      </c>
      <c r="U614" s="346">
        <f t="shared" si="553"/>
        <v>23.102240104283499</v>
      </c>
      <c r="V614" s="346">
        <f t="shared" si="553"/>
        <v>23.625401986447546</v>
      </c>
      <c r="W614" s="346">
        <f t="shared" si="553"/>
        <v>23.609755504332121</v>
      </c>
      <c r="X614" s="346">
        <f t="shared" si="553"/>
        <v>23.307769987862414</v>
      </c>
      <c r="Y614" s="346">
        <f t="shared" si="553"/>
        <v>22.104968251823159</v>
      </c>
      <c r="Z614" s="346">
        <f t="shared" si="553"/>
        <v>22.104968251823159</v>
      </c>
      <c r="AA614" s="346">
        <f t="shared" si="553"/>
        <v>22.104968251823159</v>
      </c>
      <c r="AB614" s="346">
        <f t="shared" si="553"/>
        <v>22.104968251823159</v>
      </c>
      <c r="AC614" s="346">
        <f t="shared" si="553"/>
        <v>22.104968251823159</v>
      </c>
      <c r="AD614" s="346">
        <f t="shared" si="553"/>
        <v>22.104968251823159</v>
      </c>
      <c r="AH614" s="256"/>
      <c r="AI614" s="256"/>
      <c r="AJ614" s="256"/>
      <c r="AK614" s="256"/>
      <c r="AL614" s="256"/>
      <c r="AM614" s="256"/>
      <c r="AN614" s="256"/>
      <c r="AO614" s="256"/>
      <c r="AP614" s="256"/>
      <c r="AQ614" s="256"/>
      <c r="AS614" s="9"/>
      <c r="AT614" s="9"/>
      <c r="AU614" s="9"/>
      <c r="AV614" s="9"/>
      <c r="AW614" s="9"/>
      <c r="AX614" s="9"/>
      <c r="AY614" s="9"/>
      <c r="AZ614" s="9"/>
      <c r="BA614" s="9"/>
      <c r="BB614" s="9"/>
      <c r="BC614" s="9"/>
      <c r="BD614" s="9"/>
      <c r="BE614" s="345"/>
      <c r="BF614" s="345"/>
    </row>
    <row r="615" spans="4:58" hidden="1" x14ac:dyDescent="0.2">
      <c r="D615" s="347" t="str">
        <f t="shared" si="540"/>
        <v>e-Diesel (DAC) - Old - Old - Old - Global - Fuel cost total - USD/GJ</v>
      </c>
      <c r="F615" t="str">
        <f t="shared" si="536"/>
        <v>e-Diesel (DAC)</v>
      </c>
      <c r="H615" s="224" t="s">
        <v>609</v>
      </c>
      <c r="I615" s="224" t="s">
        <v>609</v>
      </c>
      <c r="J615" s="224" t="s">
        <v>609</v>
      </c>
      <c r="L615" t="str">
        <f t="shared" si="538"/>
        <v>Global</v>
      </c>
      <c r="N615" t="str">
        <f t="shared" si="541"/>
        <v>Fuel cost total - USD/GJ</v>
      </c>
      <c r="O615" s="224" t="s">
        <v>609</v>
      </c>
      <c r="P615" s="224" t="s">
        <v>610</v>
      </c>
      <c r="Q615" t="s">
        <v>324</v>
      </c>
      <c r="R615" s="14"/>
      <c r="S615" s="346">
        <f t="shared" ref="S615:AD615" si="554">AVERAGE(S552,S510,S489,S573,S531)</f>
        <v>111.53784567719769</v>
      </c>
      <c r="T615" s="346">
        <f t="shared" si="554"/>
        <v>84.638812092763857</v>
      </c>
      <c r="U615" s="346">
        <f t="shared" si="554"/>
        <v>67.428410195533161</v>
      </c>
      <c r="V615" s="346">
        <f t="shared" si="554"/>
        <v>59.930551167144507</v>
      </c>
      <c r="W615" s="346">
        <f t="shared" si="554"/>
        <v>52.649190628801634</v>
      </c>
      <c r="X615" s="346">
        <f t="shared" si="554"/>
        <v>42.629754399774015</v>
      </c>
      <c r="Y615" s="346">
        <f t="shared" si="554"/>
        <v>33.911553254878179</v>
      </c>
      <c r="Z615" s="346">
        <f t="shared" si="554"/>
        <v>33.911553254878179</v>
      </c>
      <c r="AA615" s="346">
        <f t="shared" si="554"/>
        <v>33.911553254878179</v>
      </c>
      <c r="AB615" s="346">
        <f t="shared" si="554"/>
        <v>33.911553254878179</v>
      </c>
      <c r="AC615" s="346">
        <f t="shared" si="554"/>
        <v>33.911553254878179</v>
      </c>
      <c r="AD615" s="346">
        <f t="shared" si="554"/>
        <v>33.911553254878179</v>
      </c>
      <c r="AH615" s="256"/>
      <c r="AI615" s="256"/>
      <c r="AJ615" s="256"/>
      <c r="AK615" s="256"/>
      <c r="AL615" s="256"/>
      <c r="AM615" s="256"/>
      <c r="AN615" s="256"/>
      <c r="AO615" s="256"/>
      <c r="AP615" s="256"/>
      <c r="AQ615" s="256"/>
      <c r="AS615" s="9"/>
      <c r="AT615" s="9"/>
      <c r="AU615" s="9"/>
      <c r="AV615" s="9"/>
      <c r="AW615" s="9"/>
      <c r="AX615" s="9"/>
      <c r="AY615" s="9"/>
      <c r="AZ615" s="9"/>
      <c r="BA615" s="9"/>
      <c r="BB615" s="9"/>
      <c r="BC615" s="9"/>
      <c r="BD615" s="9"/>
      <c r="BE615" s="345"/>
      <c r="BF615" s="345"/>
    </row>
    <row r="616" spans="4:58" hidden="1" x14ac:dyDescent="0.2">
      <c r="D616" s="347" t="str">
        <f t="shared" si="540"/>
        <v>e-Diesel (PS) - Old - Old - Old - Global - Fuel cost total - USD/GJ</v>
      </c>
      <c r="F616" t="str">
        <f t="shared" si="536"/>
        <v>e-Diesel (PS)</v>
      </c>
      <c r="H616" s="224" t="s">
        <v>609</v>
      </c>
      <c r="I616" s="224" t="s">
        <v>609</v>
      </c>
      <c r="J616" s="224" t="s">
        <v>609</v>
      </c>
      <c r="L616" t="str">
        <f t="shared" si="538"/>
        <v>Global</v>
      </c>
      <c r="N616" t="str">
        <f t="shared" si="541"/>
        <v>Fuel cost total - USD/GJ</v>
      </c>
      <c r="O616" s="224" t="s">
        <v>609</v>
      </c>
      <c r="P616" s="224" t="s">
        <v>610</v>
      </c>
      <c r="Q616" t="s">
        <v>324</v>
      </c>
      <c r="R616" s="14"/>
      <c r="S616" s="346">
        <f t="shared" ref="S616:AD616" si="555">AVERAGE(S553,S511,S490,S574,S532)</f>
        <v>100.49116649013307</v>
      </c>
      <c r="T616" s="346">
        <f t="shared" si="555"/>
        <v>77.573863399469403</v>
      </c>
      <c r="U616" s="346">
        <f t="shared" si="555"/>
        <v>61.810512138366605</v>
      </c>
      <c r="V616" s="346">
        <f t="shared" si="555"/>
        <v>56.012793195086957</v>
      </c>
      <c r="W616" s="346">
        <f t="shared" si="555"/>
        <v>49.73612616953627</v>
      </c>
      <c r="X616" s="346">
        <f t="shared" si="555"/>
        <v>40.423918121498957</v>
      </c>
      <c r="Y616" s="346">
        <f t="shared" si="555"/>
        <v>32.047030980844134</v>
      </c>
      <c r="Z616" s="346">
        <f t="shared" si="555"/>
        <v>32.047030980844134</v>
      </c>
      <c r="AA616" s="346">
        <f t="shared" si="555"/>
        <v>32.047030980844134</v>
      </c>
      <c r="AB616" s="346">
        <f t="shared" si="555"/>
        <v>32.047030980844134</v>
      </c>
      <c r="AC616" s="346">
        <f t="shared" si="555"/>
        <v>32.047030980844134</v>
      </c>
      <c r="AD616" s="346">
        <f t="shared" si="555"/>
        <v>32.047030980844134</v>
      </c>
      <c r="AH616" s="256"/>
      <c r="AI616" s="256"/>
      <c r="AJ616" s="256"/>
      <c r="AK616" s="256"/>
      <c r="AL616" s="256"/>
      <c r="AM616" s="256"/>
      <c r="AN616" s="256"/>
      <c r="AO616" s="256"/>
      <c r="AP616" s="256"/>
      <c r="AQ616" s="256"/>
      <c r="AS616" s="9"/>
      <c r="AT616" s="9"/>
      <c r="AU616" s="9"/>
      <c r="AV616" s="9"/>
      <c r="AW616" s="9"/>
      <c r="AX616" s="9"/>
      <c r="AY616" s="9"/>
      <c r="AZ616" s="9"/>
      <c r="BA616" s="9"/>
      <c r="BB616" s="9"/>
      <c r="BC616" s="9"/>
      <c r="BD616" s="9"/>
      <c r="BE616" s="345"/>
      <c r="BF616" s="345"/>
    </row>
    <row r="617" spans="4:58" hidden="1" x14ac:dyDescent="0.2">
      <c r="D617" s="347" t="str">
        <f t="shared" si="540"/>
        <v>Biodiesel (HtL blend) - Old - Old - Old - Global - Fuel cost total - USD/GJ</v>
      </c>
      <c r="F617" t="str">
        <f t="shared" si="536"/>
        <v>Biodiesel (HtL blend)</v>
      </c>
      <c r="H617" s="224" t="s">
        <v>609</v>
      </c>
      <c r="I617" s="224" t="s">
        <v>609</v>
      </c>
      <c r="J617" s="224" t="s">
        <v>609</v>
      </c>
      <c r="L617" t="str">
        <f t="shared" si="538"/>
        <v>Global</v>
      </c>
      <c r="N617" t="str">
        <f t="shared" si="541"/>
        <v>Fuel cost total - USD/GJ</v>
      </c>
      <c r="O617" s="224" t="s">
        <v>609</v>
      </c>
      <c r="P617" s="224" t="s">
        <v>610</v>
      </c>
      <c r="Q617" t="s">
        <v>324</v>
      </c>
      <c r="R617" s="14"/>
      <c r="S617" s="346">
        <f t="shared" ref="S617:AD617" si="556">AVERAGE(S554,S512,S491,S575,S533)</f>
        <v>47.888701163601866</v>
      </c>
      <c r="T617" s="346">
        <f t="shared" si="556"/>
        <v>27.416511395645578</v>
      </c>
      <c r="U617" s="346">
        <f t="shared" si="556"/>
        <v>16.302769506429325</v>
      </c>
      <c r="V617" s="346">
        <f t="shared" si="556"/>
        <v>15.949032845910484</v>
      </c>
      <c r="W617" s="346">
        <f t="shared" si="556"/>
        <v>15.80483346925374</v>
      </c>
      <c r="X617" s="346">
        <f t="shared" si="556"/>
        <v>15.661383320125973</v>
      </c>
      <c r="Y617" s="346">
        <f t="shared" si="556"/>
        <v>15.525442988623951</v>
      </c>
      <c r="Z617" s="346">
        <f t="shared" si="556"/>
        <v>15.525442988623951</v>
      </c>
      <c r="AA617" s="346">
        <f t="shared" si="556"/>
        <v>15.525442988623951</v>
      </c>
      <c r="AB617" s="346">
        <f t="shared" si="556"/>
        <v>15.525442988623951</v>
      </c>
      <c r="AC617" s="346">
        <f t="shared" si="556"/>
        <v>15.525442988623951</v>
      </c>
      <c r="AD617" s="346">
        <f t="shared" si="556"/>
        <v>15.525442988623951</v>
      </c>
      <c r="AH617" s="256"/>
      <c r="AI617" s="256"/>
      <c r="AJ617" s="256"/>
      <c r="AK617" s="256"/>
      <c r="AL617" s="256"/>
      <c r="AM617" s="256"/>
      <c r="AN617" s="256"/>
      <c r="AO617" s="256"/>
      <c r="AP617" s="256"/>
      <c r="AQ617" s="256"/>
      <c r="AS617" s="9"/>
      <c r="AT617" s="9"/>
      <c r="AU617" s="9"/>
      <c r="AV617" s="9"/>
      <c r="AW617" s="9"/>
      <c r="AX617" s="9"/>
      <c r="AY617" s="9"/>
      <c r="AZ617" s="9"/>
      <c r="BA617" s="9"/>
      <c r="BB617" s="9"/>
      <c r="BC617" s="9"/>
      <c r="BD617" s="9"/>
      <c r="BE617" s="345"/>
      <c r="BF617" s="345"/>
    </row>
    <row r="618" spans="4:58" hidden="1" x14ac:dyDescent="0.2">
      <c r="D618" s="347" t="str">
        <f t="shared" si="540"/>
        <v>Biodiesel (Pyr blend) - Old - Old - Old - Global - Fuel cost total - USD/GJ</v>
      </c>
      <c r="F618" t="str">
        <f t="shared" si="536"/>
        <v>Biodiesel (Pyr blend)</v>
      </c>
      <c r="H618" s="224" t="s">
        <v>609</v>
      </c>
      <c r="I618" s="224" t="s">
        <v>609</v>
      </c>
      <c r="J618" s="224" t="s">
        <v>609</v>
      </c>
      <c r="L618" t="str">
        <f t="shared" si="538"/>
        <v>Global</v>
      </c>
      <c r="N618" t="str">
        <f>"Fuel cost total"  &amp;keydelim &amp;Q618</f>
        <v>Fuel cost total - USD/GJ</v>
      </c>
      <c r="O618" s="224" t="s">
        <v>609</v>
      </c>
      <c r="P618" s="224" t="s">
        <v>610</v>
      </c>
      <c r="Q618" t="s">
        <v>324</v>
      </c>
      <c r="R618" s="14"/>
      <c r="S618" s="346">
        <f t="shared" ref="S618:AD618" si="557">AVERAGE(S555,S513,S492,S576,S534)</f>
        <v>24.48058364655758</v>
      </c>
      <c r="T618" s="346">
        <f t="shared" si="557"/>
        <v>17.518151816106506</v>
      </c>
      <c r="U618" s="346">
        <f t="shared" si="557"/>
        <v>14.015844203637116</v>
      </c>
      <c r="V618" s="346">
        <f t="shared" si="557"/>
        <v>13.997095065432095</v>
      </c>
      <c r="W618" s="346">
        <f t="shared" si="557"/>
        <v>14.040120089612509</v>
      </c>
      <c r="X618" s="346">
        <f t="shared" si="557"/>
        <v>14.083191456151004</v>
      </c>
      <c r="Y618" s="346">
        <f t="shared" si="557"/>
        <v>14.126754984448667</v>
      </c>
      <c r="Z618" s="346">
        <f t="shared" si="557"/>
        <v>14.126754984448667</v>
      </c>
      <c r="AA618" s="346">
        <f t="shared" si="557"/>
        <v>14.126754984448667</v>
      </c>
      <c r="AB618" s="346">
        <f t="shared" si="557"/>
        <v>14.126754984448667</v>
      </c>
      <c r="AC618" s="346">
        <f t="shared" si="557"/>
        <v>14.126754984448667</v>
      </c>
      <c r="AD618" s="346">
        <f t="shared" si="557"/>
        <v>14.126754984448667</v>
      </c>
      <c r="AH618" s="256"/>
      <c r="AI618" s="256"/>
      <c r="AJ618" s="256"/>
      <c r="AK618" s="256"/>
      <c r="AL618" s="256"/>
      <c r="AM618" s="256"/>
      <c r="AN618" s="256"/>
      <c r="AO618" s="256"/>
      <c r="AP618" s="256"/>
      <c r="AQ618" s="256"/>
      <c r="AS618" s="9"/>
      <c r="AT618" s="9"/>
      <c r="AU618" s="9"/>
      <c r="AV618" s="9"/>
      <c r="AW618" s="9"/>
      <c r="AX618" s="9"/>
      <c r="AY618" s="9"/>
      <c r="AZ618" s="9"/>
      <c r="BA618" s="9"/>
      <c r="BB618" s="9"/>
      <c r="BC618" s="9"/>
      <c r="BD618" s="9"/>
      <c r="BE618" s="345"/>
      <c r="BF618" s="345"/>
    </row>
    <row r="619" spans="4:58" hidden="1" x14ac:dyDescent="0.2">
      <c r="D619" s="347" t="str">
        <f t="shared" si="540"/>
        <v>Blue hydrogen (liquid) - Old - Old - Old - Global - Fuel cost total - USD/GJ</v>
      </c>
      <c r="F619" t="str">
        <f t="shared" si="536"/>
        <v>Blue hydrogen (liquid)</v>
      </c>
      <c r="H619" s="224" t="s">
        <v>609</v>
      </c>
      <c r="I619" s="224" t="s">
        <v>609</v>
      </c>
      <c r="J619" s="224" t="s">
        <v>609</v>
      </c>
      <c r="L619" t="str">
        <f t="shared" si="538"/>
        <v>Global</v>
      </c>
      <c r="N619" t="str">
        <f t="shared" si="541"/>
        <v>Fuel cost total - USD/GJ</v>
      </c>
      <c r="O619" s="224" t="s">
        <v>609</v>
      </c>
      <c r="P619" s="224" t="s">
        <v>610</v>
      </c>
      <c r="Q619" t="s">
        <v>324</v>
      </c>
      <c r="R619" s="14"/>
      <c r="S619" s="346">
        <f t="shared" ref="S619:AD619" si="558">AVERAGE(S556,S514,S493,S577,S535)</f>
        <v>80.030330693250676</v>
      </c>
      <c r="T619" s="346">
        <f t="shared" si="558"/>
        <v>52.694416625110122</v>
      </c>
      <c r="U619" s="346">
        <f t="shared" si="558"/>
        <v>43.805270209741636</v>
      </c>
      <c r="V619" s="346">
        <f t="shared" si="558"/>
        <v>42.875358779375219</v>
      </c>
      <c r="W619" s="346">
        <f t="shared" si="558"/>
        <v>42.009042729197915</v>
      </c>
      <c r="X619" s="346">
        <f t="shared" si="558"/>
        <v>41.207917347960418</v>
      </c>
      <c r="Y619" s="346">
        <f t="shared" si="558"/>
        <v>40.550964712467284</v>
      </c>
      <c r="Z619" s="346">
        <f t="shared" si="558"/>
        <v>40.550964712467284</v>
      </c>
      <c r="AA619" s="346">
        <f t="shared" si="558"/>
        <v>40.550964712467284</v>
      </c>
      <c r="AB619" s="346">
        <f t="shared" si="558"/>
        <v>40.550964712467284</v>
      </c>
      <c r="AC619" s="346">
        <f t="shared" si="558"/>
        <v>40.550964712467284</v>
      </c>
      <c r="AD619" s="346">
        <f t="shared" si="558"/>
        <v>40.550964712467284</v>
      </c>
      <c r="AH619" s="256"/>
      <c r="AI619" s="256"/>
      <c r="AJ619" s="256"/>
      <c r="AK619" s="256"/>
      <c r="AL619" s="256"/>
      <c r="AM619" s="256"/>
      <c r="AN619" s="256"/>
      <c r="AO619" s="256"/>
      <c r="AP619" s="256"/>
      <c r="AQ619" s="256"/>
      <c r="AS619" s="9"/>
      <c r="AT619" s="9"/>
      <c r="AU619" s="9"/>
      <c r="AV619" s="9"/>
      <c r="AW619" s="9"/>
      <c r="AX619" s="9"/>
      <c r="AY619" s="9"/>
      <c r="AZ619" s="9"/>
      <c r="BA619" s="9"/>
      <c r="BB619" s="9"/>
      <c r="BC619" s="9"/>
      <c r="BD619" s="9"/>
      <c r="BE619" s="345"/>
      <c r="BF619" s="345"/>
    </row>
    <row r="620" spans="4:58" hidden="1" x14ac:dyDescent="0.2">
      <c r="D620" s="347" t="str">
        <f>_xlfn.TEXTJOIN(keydelim,TRUE,E620:N620)</f>
        <v>e-Hydrogen (liquid) - Old - Old - Old - Global - Fuel cost total - USD/GJ</v>
      </c>
      <c r="F620" t="str">
        <f t="shared" si="536"/>
        <v>e-Hydrogen (liquid)</v>
      </c>
      <c r="H620" s="224" t="s">
        <v>609</v>
      </c>
      <c r="I620" s="224" t="s">
        <v>609</v>
      </c>
      <c r="J620" s="224" t="s">
        <v>609</v>
      </c>
      <c r="L620" t="str">
        <f t="shared" si="538"/>
        <v>Global</v>
      </c>
      <c r="N620" t="str">
        <f>"Fuel cost total"  &amp;keydelim &amp;Q620</f>
        <v>Fuel cost total - USD/GJ</v>
      </c>
      <c r="O620" s="224" t="s">
        <v>609</v>
      </c>
      <c r="P620" s="224" t="s">
        <v>610</v>
      </c>
      <c r="Q620" t="s">
        <v>324</v>
      </c>
      <c r="R620" s="14"/>
      <c r="S620" s="346">
        <f t="shared" ref="S620:AD620" si="559">AVERAGE(S557,S515,S494,S578,S536)</f>
        <v>68.887079152014294</v>
      </c>
      <c r="T620" s="346">
        <f t="shared" si="559"/>
        <v>56.812761528562511</v>
      </c>
      <c r="U620" s="346">
        <f t="shared" si="559"/>
        <v>50.161839606159958</v>
      </c>
      <c r="V620" s="346">
        <f t="shared" si="559"/>
        <v>46.984895322182588</v>
      </c>
      <c r="W620" s="346">
        <f t="shared" si="559"/>
        <v>43.510369261188735</v>
      </c>
      <c r="X620" s="346">
        <f t="shared" si="559"/>
        <v>39.277981141135641</v>
      </c>
      <c r="Y620" s="346">
        <f t="shared" si="559"/>
        <v>35.580860964469409</v>
      </c>
      <c r="Z620" s="346">
        <f t="shared" si="559"/>
        <v>35.580860964469409</v>
      </c>
      <c r="AA620" s="346">
        <f t="shared" si="559"/>
        <v>35.580860964469409</v>
      </c>
      <c r="AB620" s="346">
        <f t="shared" si="559"/>
        <v>35.580860964469409</v>
      </c>
      <c r="AC620" s="346">
        <f t="shared" si="559"/>
        <v>35.580860964469409</v>
      </c>
      <c r="AD620" s="346">
        <f t="shared" si="559"/>
        <v>35.580860964469409</v>
      </c>
      <c r="AH620" s="256"/>
      <c r="AI620" s="256"/>
      <c r="AJ620" s="256"/>
      <c r="AK620" s="256"/>
      <c r="AL620" s="256"/>
      <c r="AM620" s="256"/>
      <c r="AN620" s="256"/>
      <c r="AO620" s="256"/>
      <c r="AP620" s="256"/>
      <c r="AQ620" s="256"/>
      <c r="AS620" s="9"/>
      <c r="AT620" s="9"/>
      <c r="AU620" s="9"/>
      <c r="AV620" s="9"/>
      <c r="AW620" s="9"/>
      <c r="AX620" s="9"/>
      <c r="AY620" s="9"/>
      <c r="AZ620" s="9"/>
      <c r="BA620" s="9"/>
      <c r="BB620" s="9"/>
      <c r="BC620" s="9"/>
      <c r="BD620" s="9"/>
      <c r="BE620" s="345"/>
      <c r="BF620" s="345"/>
    </row>
    <row r="621" spans="4:58" hidden="1" x14ac:dyDescent="0.2">
      <c r="R621" s="14"/>
      <c r="S621" s="18"/>
      <c r="T621" s="18"/>
      <c r="U621" s="18"/>
      <c r="V621" s="18"/>
      <c r="W621" s="18"/>
      <c r="X621" s="18"/>
      <c r="Y621" s="18"/>
      <c r="Z621" s="18"/>
      <c r="AA621" s="18"/>
      <c r="AB621" s="18"/>
      <c r="AC621" s="18"/>
      <c r="AD621" s="18"/>
    </row>
    <row r="622" spans="4:58" hidden="1" x14ac:dyDescent="0.2">
      <c r="D622" s="347" t="str">
        <f>_xlfn.TEXTJOIN(keydelim,TRUE,E622:N622)</f>
        <v>LSFO - Old - Global - Diff</v>
      </c>
      <c r="F622" t="str">
        <f t="shared" si="536"/>
        <v>LSFO</v>
      </c>
      <c r="H622" s="224" t="s">
        <v>609</v>
      </c>
      <c r="L622" t="s">
        <v>109</v>
      </c>
      <c r="N622" t="s">
        <v>611</v>
      </c>
      <c r="O622" s="224"/>
      <c r="P622" s="224" t="s">
        <v>610</v>
      </c>
      <c r="Q622" t="s">
        <v>324</v>
      </c>
      <c r="R622" s="14"/>
      <c r="S622" s="53">
        <f>(S601-S580)/S601</f>
        <v>0</v>
      </c>
      <c r="T622" s="53">
        <f t="shared" ref="T622:AD622" si="560">(T601-T580)/T601</f>
        <v>-1.1531048582978038E-16</v>
      </c>
      <c r="U622" s="53">
        <f t="shared" si="560"/>
        <v>0</v>
      </c>
      <c r="V622" s="53">
        <f t="shared" si="560"/>
        <v>0</v>
      </c>
      <c r="W622" s="53">
        <f t="shared" si="560"/>
        <v>0</v>
      </c>
      <c r="X622" s="53">
        <f t="shared" si="560"/>
        <v>0</v>
      </c>
      <c r="Y622" s="53">
        <f t="shared" si="560"/>
        <v>0</v>
      </c>
      <c r="Z622" s="53">
        <f t="shared" si="560"/>
        <v>0</v>
      </c>
      <c r="AA622" s="53">
        <f t="shared" si="560"/>
        <v>0</v>
      </c>
      <c r="AB622" s="53">
        <f t="shared" si="560"/>
        <v>0</v>
      </c>
      <c r="AC622" s="53">
        <f t="shared" si="560"/>
        <v>0</v>
      </c>
      <c r="AD622" s="53">
        <f t="shared" si="560"/>
        <v>0</v>
      </c>
      <c r="AH622" s="256"/>
      <c r="AI622" s="256"/>
      <c r="AJ622" s="256"/>
      <c r="AK622" s="256"/>
      <c r="AL622" s="256"/>
      <c r="AM622" s="256"/>
      <c r="AN622" s="256"/>
      <c r="AO622" s="256"/>
      <c r="AP622" s="256"/>
      <c r="AQ622" s="256"/>
      <c r="AS622" s="9"/>
      <c r="AT622" s="9"/>
      <c r="AU622" s="9"/>
      <c r="AV622" s="9"/>
      <c r="AW622" s="9"/>
      <c r="AX622" s="9"/>
      <c r="AY622" s="9"/>
      <c r="AZ622" s="9"/>
      <c r="BA622" s="9"/>
      <c r="BB622" s="9"/>
      <c r="BC622" s="9"/>
      <c r="BD622" s="9"/>
      <c r="BE622" s="345"/>
      <c r="BF622" s="345"/>
    </row>
    <row r="623" spans="4:58" hidden="1" x14ac:dyDescent="0.2">
      <c r="D623" s="347" t="str">
        <f>_xlfn.TEXTJOIN(keydelim,TRUE,E623:N623)</f>
        <v>LNG - Old - Global - Diff</v>
      </c>
      <c r="F623" t="str">
        <f t="shared" si="536"/>
        <v>LNG</v>
      </c>
      <c r="H623" s="224" t="s">
        <v>609</v>
      </c>
      <c r="L623" t="str">
        <f t="shared" ref="L623:L641" si="561">L622</f>
        <v>Global</v>
      </c>
      <c r="N623" t="s">
        <v>611</v>
      </c>
      <c r="O623" s="224"/>
      <c r="P623" s="224" t="s">
        <v>610</v>
      </c>
      <c r="Q623" t="s">
        <v>324</v>
      </c>
      <c r="R623" s="14"/>
      <c r="S623" s="53">
        <f t="shared" ref="S623:AD623" si="562">(S602-S581)/S602</f>
        <v>0.18532158231495088</v>
      </c>
      <c r="T623" s="53">
        <f t="shared" si="562"/>
        <v>0.13829812163037891</v>
      </c>
      <c r="U623" s="53">
        <f t="shared" si="562"/>
        <v>0.13717512108722266</v>
      </c>
      <c r="V623" s="53">
        <f t="shared" si="562"/>
        <v>0.13184187545319187</v>
      </c>
      <c r="W623" s="53">
        <f t="shared" si="562"/>
        <v>0.13300043329122238</v>
      </c>
      <c r="X623" s="53">
        <f t="shared" si="562"/>
        <v>0.13407142945023717</v>
      </c>
      <c r="Y623" s="53">
        <f t="shared" si="562"/>
        <v>0.13508901753157107</v>
      </c>
      <c r="Z623" s="53">
        <f t="shared" si="562"/>
        <v>0.13508901753157107</v>
      </c>
      <c r="AA623" s="53">
        <f t="shared" si="562"/>
        <v>0.13508901753157107</v>
      </c>
      <c r="AB623" s="53">
        <f t="shared" si="562"/>
        <v>0.13508901753157107</v>
      </c>
      <c r="AC623" s="53">
        <f t="shared" si="562"/>
        <v>0.13508901753157107</v>
      </c>
      <c r="AD623" s="53">
        <f t="shared" si="562"/>
        <v>0.13508901753157107</v>
      </c>
      <c r="AH623" s="256"/>
      <c r="AI623" s="256"/>
      <c r="AJ623" s="256"/>
      <c r="AK623" s="256"/>
      <c r="AL623" s="256"/>
      <c r="AM623" s="256"/>
      <c r="AN623" s="256"/>
      <c r="AO623" s="256"/>
      <c r="AP623" s="256"/>
      <c r="AQ623" s="256"/>
      <c r="AS623" s="9"/>
      <c r="AT623" s="9"/>
      <c r="AU623" s="9"/>
      <c r="AV623" s="9"/>
      <c r="AW623" s="9"/>
      <c r="AX623" s="9"/>
      <c r="AY623" s="9"/>
      <c r="AZ623" s="9"/>
      <c r="BA623" s="9"/>
      <c r="BB623" s="9"/>
      <c r="BC623" s="9"/>
      <c r="BD623" s="9"/>
      <c r="BE623" s="345"/>
      <c r="BF623" s="345"/>
    </row>
    <row r="624" spans="4:58" hidden="1" x14ac:dyDescent="0.2">
      <c r="D624" s="347" t="str">
        <f t="shared" ref="D624:D640" si="563">_xlfn.TEXTJOIN(keydelim,TRUE,E624:N624)</f>
        <v>LPG - Old - Global - Diff</v>
      </c>
      <c r="F624" t="str">
        <f t="shared" si="536"/>
        <v>LPG</v>
      </c>
      <c r="H624" s="224" t="s">
        <v>609</v>
      </c>
      <c r="L624" t="str">
        <f t="shared" si="561"/>
        <v>Global</v>
      </c>
      <c r="N624" t="s">
        <v>611</v>
      </c>
      <c r="O624" s="224"/>
      <c r="P624" s="224" t="s">
        <v>610</v>
      </c>
      <c r="Q624" t="s">
        <v>324</v>
      </c>
      <c r="R624" s="14"/>
      <c r="S624" s="53">
        <f t="shared" ref="S624:AD624" si="564">(S603-S582)/S603</f>
        <v>0</v>
      </c>
      <c r="T624" s="53">
        <f t="shared" si="564"/>
        <v>-1.4984105452929912E-16</v>
      </c>
      <c r="U624" s="53">
        <f t="shared" si="564"/>
        <v>-1.716928749814886E-16</v>
      </c>
      <c r="V624" s="53">
        <f t="shared" si="564"/>
        <v>-1.716928749814886E-16</v>
      </c>
      <c r="W624" s="53">
        <f t="shared" si="564"/>
        <v>-1.716928749814886E-16</v>
      </c>
      <c r="X624" s="53">
        <f t="shared" si="564"/>
        <v>-1.716928749814886E-16</v>
      </c>
      <c r="Y624" s="53">
        <f t="shared" si="564"/>
        <v>-1.716928749814886E-16</v>
      </c>
      <c r="Z624" s="53">
        <f t="shared" si="564"/>
        <v>-1.716928749814886E-16</v>
      </c>
      <c r="AA624" s="53">
        <f t="shared" si="564"/>
        <v>-1.716928749814886E-16</v>
      </c>
      <c r="AB624" s="53">
        <f t="shared" si="564"/>
        <v>-1.716928749814886E-16</v>
      </c>
      <c r="AC624" s="53">
        <f t="shared" si="564"/>
        <v>-1.716928749814886E-16</v>
      </c>
      <c r="AD624" s="53">
        <f t="shared" si="564"/>
        <v>-1.716928749814886E-16</v>
      </c>
      <c r="AH624" s="256"/>
      <c r="AI624" s="256"/>
      <c r="AJ624" s="256"/>
      <c r="AK624" s="256"/>
      <c r="AL624" s="256"/>
      <c r="AM624" s="256"/>
      <c r="AN624" s="256"/>
      <c r="AO624" s="256"/>
      <c r="AP624" s="256"/>
      <c r="AQ624" s="256"/>
      <c r="AS624" s="9"/>
      <c r="AT624" s="9"/>
      <c r="AU624" s="9"/>
      <c r="AV624" s="9"/>
      <c r="AW624" s="9"/>
      <c r="AX624" s="9"/>
      <c r="AY624" s="9"/>
      <c r="AZ624" s="9"/>
      <c r="BA624" s="9"/>
      <c r="BB624" s="9"/>
      <c r="BC624" s="9"/>
      <c r="BD624" s="9"/>
      <c r="BE624" s="345"/>
      <c r="BF624" s="345"/>
    </row>
    <row r="625" spans="4:58" hidden="1" x14ac:dyDescent="0.2">
      <c r="D625" s="347" t="str">
        <f t="shared" si="563"/>
        <v>Electricity - Old - Global - Diff</v>
      </c>
      <c r="F625" t="str">
        <f t="shared" si="536"/>
        <v>Electricity</v>
      </c>
      <c r="H625" s="224" t="s">
        <v>609</v>
      </c>
      <c r="L625" t="str">
        <f t="shared" si="561"/>
        <v>Global</v>
      </c>
      <c r="N625" t="s">
        <v>611</v>
      </c>
      <c r="O625" s="224"/>
      <c r="P625" s="224" t="s">
        <v>610</v>
      </c>
      <c r="Q625" t="s">
        <v>324</v>
      </c>
      <c r="R625" s="14"/>
      <c r="S625" s="53">
        <f t="shared" ref="S625:AD625" si="565">(S604-S583)/S604</f>
        <v>7.5452861358001722E-2</v>
      </c>
      <c r="T625" s="53">
        <f t="shared" si="565"/>
        <v>3.6139367708628065E-2</v>
      </c>
      <c r="U625" s="53">
        <f t="shared" si="565"/>
        <v>2.8209353553564402E-2</v>
      </c>
      <c r="V625" s="53">
        <f t="shared" si="565"/>
        <v>2.431353069922924E-2</v>
      </c>
      <c r="W625" s="53">
        <f t="shared" si="565"/>
        <v>2.3051289207125573E-2</v>
      </c>
      <c r="X625" s="53">
        <f t="shared" si="565"/>
        <v>2.0952551663689249E-2</v>
      </c>
      <c r="Y625" s="53">
        <f t="shared" si="565"/>
        <v>1.9621062366012167E-2</v>
      </c>
      <c r="Z625" s="53">
        <f t="shared" si="565"/>
        <v>1.9621062366012167E-2</v>
      </c>
      <c r="AA625" s="53">
        <f t="shared" si="565"/>
        <v>1.9621062366012167E-2</v>
      </c>
      <c r="AB625" s="53">
        <f t="shared" si="565"/>
        <v>1.9621062366012167E-2</v>
      </c>
      <c r="AC625" s="53">
        <f t="shared" si="565"/>
        <v>1.9621062366012167E-2</v>
      </c>
      <c r="AD625" s="53">
        <f t="shared" si="565"/>
        <v>1.9621062366012167E-2</v>
      </c>
      <c r="AH625" s="256"/>
      <c r="AI625" s="256"/>
      <c r="AJ625" s="256"/>
      <c r="AK625" s="256"/>
      <c r="AL625" s="256"/>
      <c r="AM625" s="256"/>
      <c r="AN625" s="256"/>
      <c r="AO625" s="256"/>
      <c r="AP625" s="256"/>
      <c r="AQ625" s="256"/>
      <c r="AS625" s="9"/>
      <c r="AT625" s="9"/>
      <c r="AU625" s="9"/>
      <c r="AV625" s="9"/>
      <c r="AW625" s="9"/>
      <c r="AX625" s="9"/>
      <c r="AY625" s="9"/>
      <c r="AZ625" s="9"/>
      <c r="BA625" s="9"/>
      <c r="BB625" s="9"/>
      <c r="BC625" s="9"/>
      <c r="BD625" s="9"/>
      <c r="BE625" s="345"/>
      <c r="BF625" s="345"/>
    </row>
    <row r="626" spans="4:58" hidden="1" x14ac:dyDescent="0.2">
      <c r="D626" s="347" t="str">
        <f t="shared" si="563"/>
        <v>e-Ammonia - Old - Global - Diff</v>
      </c>
      <c r="F626" t="str">
        <f t="shared" si="536"/>
        <v>e-Ammonia</v>
      </c>
      <c r="H626" s="224" t="s">
        <v>609</v>
      </c>
      <c r="L626" t="str">
        <f t="shared" si="561"/>
        <v>Global</v>
      </c>
      <c r="N626" t="s">
        <v>611</v>
      </c>
      <c r="O626" s="224"/>
      <c r="P626" s="224" t="s">
        <v>610</v>
      </c>
      <c r="Q626" t="s">
        <v>324</v>
      </c>
      <c r="R626" s="14"/>
      <c r="S626" s="53">
        <f t="shared" ref="S626:AD626" si="566">(S605-S584)/S605</f>
        <v>7.1316949286179931E-2</v>
      </c>
      <c r="T626" s="53">
        <f t="shared" si="566"/>
        <v>4.1234445057038126E-2</v>
      </c>
      <c r="U626" s="53">
        <f t="shared" si="566"/>
        <v>4.1902245266286546E-2</v>
      </c>
      <c r="V626" s="53">
        <f t="shared" si="566"/>
        <v>3.6861459055878891E-2</v>
      </c>
      <c r="W626" s="53">
        <f t="shared" si="566"/>
        <v>3.7035989353550548E-2</v>
      </c>
      <c r="X626" s="53">
        <f t="shared" si="566"/>
        <v>3.696863377902334E-2</v>
      </c>
      <c r="Y626" s="53">
        <f t="shared" si="566"/>
        <v>3.9378525382336355E-2</v>
      </c>
      <c r="Z626" s="53">
        <f t="shared" si="566"/>
        <v>3.9378525382336355E-2</v>
      </c>
      <c r="AA626" s="53">
        <f t="shared" si="566"/>
        <v>3.9378525382336355E-2</v>
      </c>
      <c r="AB626" s="53">
        <f t="shared" si="566"/>
        <v>3.9378525382336355E-2</v>
      </c>
      <c r="AC626" s="53">
        <f t="shared" si="566"/>
        <v>3.9378525382336355E-2</v>
      </c>
      <c r="AD626" s="53">
        <f t="shared" si="566"/>
        <v>3.9378525382336355E-2</v>
      </c>
      <c r="AH626" s="256"/>
      <c r="AI626" s="256"/>
      <c r="AJ626" s="256"/>
      <c r="AK626" s="256"/>
      <c r="AL626" s="256"/>
      <c r="AM626" s="256"/>
      <c r="AN626" s="256"/>
      <c r="AO626" s="256"/>
      <c r="AP626" s="256"/>
      <c r="AQ626" s="256"/>
      <c r="AS626" s="9"/>
      <c r="AT626" s="9"/>
      <c r="AU626" s="9"/>
      <c r="AV626" s="9"/>
      <c r="AW626" s="9"/>
      <c r="AX626" s="9"/>
      <c r="AY626" s="9"/>
      <c r="AZ626" s="9"/>
      <c r="BA626" s="9"/>
      <c r="BB626" s="9"/>
      <c r="BC626" s="9"/>
      <c r="BD626" s="9"/>
      <c r="BE626" s="345"/>
      <c r="BF626" s="345"/>
    </row>
    <row r="627" spans="4:58" hidden="1" x14ac:dyDescent="0.2">
      <c r="D627" s="347" t="str">
        <f t="shared" si="563"/>
        <v>Blue ammonia - Old - Global - Diff</v>
      </c>
      <c r="F627" t="str">
        <f t="shared" si="536"/>
        <v>Blue ammonia</v>
      </c>
      <c r="H627" s="224" t="s">
        <v>609</v>
      </c>
      <c r="L627" t="str">
        <f t="shared" si="561"/>
        <v>Global</v>
      </c>
      <c r="N627" t="s">
        <v>611</v>
      </c>
      <c r="O627" s="224"/>
      <c r="P627" s="224" t="s">
        <v>610</v>
      </c>
      <c r="Q627" t="s">
        <v>324</v>
      </c>
      <c r="R627" s="14"/>
      <c r="S627" s="53">
        <f t="shared" ref="S627:AD627" si="567">(S606-S585)/S606</f>
        <v>0.15439204973599319</v>
      </c>
      <c r="T627" s="53">
        <f t="shared" si="567"/>
        <v>0.10290544469525591</v>
      </c>
      <c r="U627" s="53">
        <f t="shared" si="567"/>
        <v>9.6212265438051794E-2</v>
      </c>
      <c r="V627" s="53">
        <f t="shared" si="567"/>
        <v>9.3218087184701953E-2</v>
      </c>
      <c r="W627" s="53">
        <f t="shared" si="567"/>
        <v>9.4593983264308679E-2</v>
      </c>
      <c r="X627" s="53">
        <f t="shared" si="567"/>
        <v>9.5984759138100215E-2</v>
      </c>
      <c r="Y627" s="53">
        <f t="shared" si="567"/>
        <v>9.7417390773109097E-2</v>
      </c>
      <c r="Z627" s="53">
        <f t="shared" si="567"/>
        <v>9.7417390773109097E-2</v>
      </c>
      <c r="AA627" s="53">
        <f t="shared" si="567"/>
        <v>9.7417390773109097E-2</v>
      </c>
      <c r="AB627" s="53">
        <f t="shared" si="567"/>
        <v>9.7417390773109097E-2</v>
      </c>
      <c r="AC627" s="53">
        <f t="shared" si="567"/>
        <v>9.7417390773109097E-2</v>
      </c>
      <c r="AD627" s="53">
        <f t="shared" si="567"/>
        <v>9.7417390773109097E-2</v>
      </c>
      <c r="AH627" s="256"/>
      <c r="AI627" s="256"/>
      <c r="AJ627" s="256"/>
      <c r="AK627" s="256"/>
      <c r="AL627" s="256"/>
      <c r="AM627" s="256"/>
      <c r="AN627" s="256"/>
      <c r="AO627" s="256"/>
      <c r="AP627" s="256"/>
      <c r="AQ627" s="256"/>
      <c r="AS627" s="9"/>
      <c r="AT627" s="9"/>
      <c r="AU627" s="9"/>
      <c r="AV627" s="9"/>
      <c r="AW627" s="9"/>
      <c r="AX627" s="9"/>
      <c r="AY627" s="9"/>
      <c r="AZ627" s="9"/>
      <c r="BA627" s="9"/>
      <c r="BB627" s="9"/>
      <c r="BC627" s="9"/>
      <c r="BD627" s="9"/>
      <c r="BE627" s="345"/>
      <c r="BF627" s="345"/>
    </row>
    <row r="628" spans="4:58" hidden="1" x14ac:dyDescent="0.2">
      <c r="D628" s="347" t="str">
        <f t="shared" si="563"/>
        <v>Biomethane - Old - Global - Diff</v>
      </c>
      <c r="F628" t="str">
        <f t="shared" si="536"/>
        <v>Biomethane</v>
      </c>
      <c r="H628" s="224" t="s">
        <v>609</v>
      </c>
      <c r="L628" t="str">
        <f t="shared" si="561"/>
        <v>Global</v>
      </c>
      <c r="N628" t="s">
        <v>611</v>
      </c>
      <c r="O628" s="224"/>
      <c r="P628" s="224" t="s">
        <v>610</v>
      </c>
      <c r="Q628" t="s">
        <v>324</v>
      </c>
      <c r="R628" s="14"/>
      <c r="S628" s="53">
        <f t="shared" ref="S628:AD628" si="568">(S607-S586)/S607</f>
        <v>1.5723949824231562E-2</v>
      </c>
      <c r="T628" s="53">
        <f t="shared" si="568"/>
        <v>6.2636834790479523E-3</v>
      </c>
      <c r="U628" s="53">
        <f t="shared" si="568"/>
        <v>4.5575397626349077E-3</v>
      </c>
      <c r="V628" s="53">
        <f t="shared" si="568"/>
        <v>3.8671411220538073E-3</v>
      </c>
      <c r="W628" s="53">
        <f t="shared" si="568"/>
        <v>3.5365685199139889E-3</v>
      </c>
      <c r="X628" s="53">
        <f t="shared" si="568"/>
        <v>3.0601996819977703E-3</v>
      </c>
      <c r="Y628" s="53">
        <f t="shared" si="568"/>
        <v>2.6494097039667882E-3</v>
      </c>
      <c r="Z628" s="53">
        <f t="shared" si="568"/>
        <v>2.6494097039667882E-3</v>
      </c>
      <c r="AA628" s="53">
        <f t="shared" si="568"/>
        <v>2.6494097039667882E-3</v>
      </c>
      <c r="AB628" s="53">
        <f t="shared" si="568"/>
        <v>2.6494097039667882E-3</v>
      </c>
      <c r="AC628" s="53">
        <f t="shared" si="568"/>
        <v>2.6494097039667882E-3</v>
      </c>
      <c r="AD628" s="53">
        <f t="shared" si="568"/>
        <v>2.6494097039667882E-3</v>
      </c>
      <c r="AH628" s="256"/>
      <c r="AI628" s="256"/>
      <c r="AJ628" s="256"/>
      <c r="AK628" s="256"/>
      <c r="AL628" s="256"/>
      <c r="AM628" s="256"/>
      <c r="AN628" s="256"/>
      <c r="AO628" s="256"/>
      <c r="AP628" s="256"/>
      <c r="AQ628" s="256"/>
      <c r="AS628" s="9"/>
      <c r="AT628" s="9"/>
      <c r="AU628" s="9"/>
      <c r="AV628" s="9"/>
      <c r="AW628" s="9"/>
      <c r="AX628" s="9"/>
      <c r="AY628" s="9"/>
      <c r="AZ628" s="9"/>
      <c r="BA628" s="9"/>
      <c r="BB628" s="9"/>
      <c r="BC628" s="9"/>
      <c r="BD628" s="9"/>
      <c r="BE628" s="345"/>
      <c r="BF628" s="345"/>
    </row>
    <row r="629" spans="4:58" hidden="1" x14ac:dyDescent="0.2">
      <c r="D629" s="347" t="str">
        <f t="shared" si="563"/>
        <v>e-Methane (DAC) - Old - Global - Diff</v>
      </c>
      <c r="F629" t="str">
        <f t="shared" si="536"/>
        <v>e-Methane (DAC)</v>
      </c>
      <c r="H629" s="224" t="s">
        <v>609</v>
      </c>
      <c r="L629" t="str">
        <f t="shared" si="561"/>
        <v>Global</v>
      </c>
      <c r="N629" t="s">
        <v>611</v>
      </c>
      <c r="O629" s="224"/>
      <c r="P629" s="224" t="s">
        <v>610</v>
      </c>
      <c r="Q629" t="s">
        <v>324</v>
      </c>
      <c r="R629" s="14"/>
      <c r="S629" s="53">
        <f t="shared" ref="S629:AD629" si="569">(S608-S587)/S608</f>
        <v>8.7057262231907476E-2</v>
      </c>
      <c r="T629" s="53">
        <f t="shared" si="569"/>
        <v>4.6367493400121189E-2</v>
      </c>
      <c r="U629" s="53">
        <f t="shared" si="569"/>
        <v>3.9754777417918614E-2</v>
      </c>
      <c r="V629" s="53">
        <f t="shared" si="569"/>
        <v>3.5337446886787881E-2</v>
      </c>
      <c r="W629" s="53">
        <f t="shared" si="569"/>
        <v>3.5513063140551381E-2</v>
      </c>
      <c r="X629" s="53">
        <f t="shared" si="569"/>
        <v>3.5402907754186731E-2</v>
      </c>
      <c r="Y629" s="53">
        <f t="shared" si="569"/>
        <v>3.7436474758176644E-2</v>
      </c>
      <c r="Z629" s="53">
        <f t="shared" si="569"/>
        <v>3.7436474758176644E-2</v>
      </c>
      <c r="AA629" s="53">
        <f t="shared" si="569"/>
        <v>3.7436474758176644E-2</v>
      </c>
      <c r="AB629" s="53">
        <f t="shared" si="569"/>
        <v>3.7436474758176644E-2</v>
      </c>
      <c r="AC629" s="53">
        <f t="shared" si="569"/>
        <v>3.7436474758176644E-2</v>
      </c>
      <c r="AD629" s="53">
        <f t="shared" si="569"/>
        <v>3.7436474758176644E-2</v>
      </c>
      <c r="AH629" s="256"/>
      <c r="AI629" s="256"/>
      <c r="AJ629" s="256"/>
      <c r="AK629" s="256"/>
      <c r="AL629" s="256"/>
      <c r="AM629" s="256"/>
      <c r="AN629" s="256"/>
      <c r="AO629" s="256"/>
      <c r="AP629" s="256"/>
      <c r="AQ629" s="256"/>
      <c r="AS629" s="9"/>
      <c r="AT629" s="9"/>
      <c r="AU629" s="9"/>
      <c r="AV629" s="9"/>
      <c r="AW629" s="9"/>
      <c r="AX629" s="9"/>
      <c r="AY629" s="9"/>
      <c r="AZ629" s="9"/>
      <c r="BA629" s="9"/>
      <c r="BB629" s="9"/>
      <c r="BC629" s="9"/>
      <c r="BD629" s="9"/>
      <c r="BE629" s="345"/>
      <c r="BF629" s="345"/>
    </row>
    <row r="630" spans="4:58" hidden="1" x14ac:dyDescent="0.2">
      <c r="D630" s="347" t="str">
        <f t="shared" si="563"/>
        <v>e-Methane (PS) - Old - Global - Diff</v>
      </c>
      <c r="F630" t="str">
        <f t="shared" si="536"/>
        <v>e-Methane (PS)</v>
      </c>
      <c r="H630" s="224" t="s">
        <v>609</v>
      </c>
      <c r="L630" t="str">
        <f t="shared" si="561"/>
        <v>Global</v>
      </c>
      <c r="N630" t="s">
        <v>611</v>
      </c>
      <c r="O630" s="224"/>
      <c r="P630" s="224" t="s">
        <v>610</v>
      </c>
      <c r="Q630" t="s">
        <v>324</v>
      </c>
      <c r="R630" s="14"/>
      <c r="S630" s="53">
        <f t="shared" ref="S630:AD630" si="570">(S609-S588)/S609</f>
        <v>7.7549047885316816E-2</v>
      </c>
      <c r="T630" s="53">
        <f t="shared" si="570"/>
        <v>4.1197392467811032E-2</v>
      </c>
      <c r="U630" s="53">
        <f t="shared" si="570"/>
        <v>3.5644472061609804E-2</v>
      </c>
      <c r="V630" s="53">
        <f t="shared" si="570"/>
        <v>3.1392392480852377E-2</v>
      </c>
      <c r="W630" s="53">
        <f t="shared" si="570"/>
        <v>3.1462042594901547E-2</v>
      </c>
      <c r="X630" s="53">
        <f t="shared" si="570"/>
        <v>3.1339101430852202E-2</v>
      </c>
      <c r="Y630" s="53">
        <f t="shared" si="570"/>
        <v>3.3364067755921524E-2</v>
      </c>
      <c r="Z630" s="53">
        <f t="shared" si="570"/>
        <v>3.3364067755921524E-2</v>
      </c>
      <c r="AA630" s="53">
        <f t="shared" si="570"/>
        <v>3.3364067755921524E-2</v>
      </c>
      <c r="AB630" s="53">
        <f t="shared" si="570"/>
        <v>3.3364067755921524E-2</v>
      </c>
      <c r="AC630" s="53">
        <f t="shared" si="570"/>
        <v>3.3364067755921524E-2</v>
      </c>
      <c r="AD630" s="53">
        <f t="shared" si="570"/>
        <v>3.3364067755921524E-2</v>
      </c>
      <c r="AH630" s="256"/>
      <c r="AI630" s="256"/>
      <c r="AJ630" s="256"/>
      <c r="AK630" s="256"/>
      <c r="AL630" s="256"/>
      <c r="AM630" s="256"/>
      <c r="AN630" s="256"/>
      <c r="AO630" s="256"/>
      <c r="AP630" s="256"/>
      <c r="AQ630" s="256"/>
      <c r="AS630" s="9"/>
      <c r="AT630" s="9"/>
      <c r="AU630" s="9"/>
      <c r="AV630" s="9"/>
      <c r="AW630" s="9"/>
      <c r="AX630" s="9"/>
      <c r="AY630" s="9"/>
      <c r="AZ630" s="9"/>
      <c r="BA630" s="9"/>
      <c r="BB630" s="9"/>
      <c r="BC630" s="9"/>
      <c r="BD630" s="9"/>
      <c r="BE630" s="345"/>
      <c r="BF630" s="345"/>
    </row>
    <row r="631" spans="4:58" hidden="1" x14ac:dyDescent="0.2">
      <c r="D631" s="347" t="str">
        <f t="shared" si="563"/>
        <v>Biomethanol - Old - Global - Diff</v>
      </c>
      <c r="F631" t="str">
        <f t="shared" si="536"/>
        <v>Biomethanol</v>
      </c>
      <c r="H631" s="224" t="s">
        <v>609</v>
      </c>
      <c r="L631" t="str">
        <f t="shared" si="561"/>
        <v>Global</v>
      </c>
      <c r="N631" t="s">
        <v>611</v>
      </c>
      <c r="O631" s="224"/>
      <c r="P631" s="224" t="s">
        <v>610</v>
      </c>
      <c r="Q631" t="s">
        <v>324</v>
      </c>
      <c r="R631" s="14"/>
      <c r="S631" s="53">
        <f t="shared" ref="S631:AD631" si="571">(S610-S589)/S610</f>
        <v>1.0699688985233822E-2</v>
      </c>
      <c r="T631" s="53">
        <f t="shared" si="571"/>
        <v>1.541169993721464E-2</v>
      </c>
      <c r="U631" s="53">
        <f t="shared" si="571"/>
        <v>1.8662959576286327E-2</v>
      </c>
      <c r="V631" s="53">
        <f t="shared" si="571"/>
        <v>2.0743131998690795E-2</v>
      </c>
      <c r="W631" s="53">
        <f t="shared" si="571"/>
        <v>2.278139341162114E-2</v>
      </c>
      <c r="X631" s="53">
        <f t="shared" si="571"/>
        <v>2.4291261939294755E-2</v>
      </c>
      <c r="Y631" s="53">
        <f t="shared" si="571"/>
        <v>2.5567174578949751E-2</v>
      </c>
      <c r="Z631" s="53">
        <f t="shared" si="571"/>
        <v>2.5567174578949751E-2</v>
      </c>
      <c r="AA631" s="53">
        <f t="shared" si="571"/>
        <v>2.5567174578949751E-2</v>
      </c>
      <c r="AB631" s="53">
        <f t="shared" si="571"/>
        <v>2.5567174578949751E-2</v>
      </c>
      <c r="AC631" s="53">
        <f t="shared" si="571"/>
        <v>2.5567174578949751E-2</v>
      </c>
      <c r="AD631" s="53">
        <f t="shared" si="571"/>
        <v>2.5567174578949751E-2</v>
      </c>
      <c r="AH631" s="256"/>
      <c r="AI631" s="256"/>
      <c r="AJ631" s="256"/>
      <c r="AK631" s="256"/>
      <c r="AL631" s="256"/>
      <c r="AM631" s="256"/>
      <c r="AN631" s="256"/>
      <c r="AO631" s="256"/>
      <c r="AP631" s="256"/>
      <c r="AQ631" s="256"/>
      <c r="AS631" s="9"/>
      <c r="AT631" s="9"/>
      <c r="AU631" s="9"/>
      <c r="AV631" s="9"/>
      <c r="AW631" s="9"/>
      <c r="AX631" s="9"/>
      <c r="AY631" s="9"/>
      <c r="AZ631" s="9"/>
      <c r="BA631" s="9"/>
      <c r="BB631" s="9"/>
      <c r="BC631" s="9"/>
      <c r="BD631" s="9"/>
      <c r="BE631" s="345"/>
      <c r="BF631" s="345"/>
    </row>
    <row r="632" spans="4:58" hidden="1" x14ac:dyDescent="0.2">
      <c r="D632" s="347" t="str">
        <f t="shared" si="563"/>
        <v>e-Methanol (DAC) - Old - Global - Diff</v>
      </c>
      <c r="F632" t="str">
        <f t="shared" si="536"/>
        <v>e-Methanol (DAC)</v>
      </c>
      <c r="H632" s="224" t="s">
        <v>609</v>
      </c>
      <c r="L632" t="str">
        <f t="shared" si="561"/>
        <v>Global</v>
      </c>
      <c r="N632" t="s">
        <v>611</v>
      </c>
      <c r="O632" s="224"/>
      <c r="P632" s="224" t="s">
        <v>610</v>
      </c>
      <c r="Q632" t="s">
        <v>324</v>
      </c>
      <c r="R632" s="14"/>
      <c r="S632" s="53">
        <f t="shared" ref="S632:AD632" si="572">(S611-S590)/S611</f>
        <v>7.9274996375763851E-2</v>
      </c>
      <c r="T632" s="53">
        <f t="shared" si="572"/>
        <v>4.2457075978696981E-2</v>
      </c>
      <c r="U632" s="53">
        <f t="shared" si="572"/>
        <v>3.7690481523862902E-2</v>
      </c>
      <c r="V632" s="53">
        <f t="shared" si="572"/>
        <v>3.4022769948335321E-2</v>
      </c>
      <c r="W632" s="53">
        <f t="shared" si="572"/>
        <v>3.4682272574941102E-2</v>
      </c>
      <c r="X632" s="53">
        <f t="shared" si="572"/>
        <v>3.5319236216983303E-2</v>
      </c>
      <c r="Y632" s="53">
        <f t="shared" si="572"/>
        <v>3.8381760462680242E-2</v>
      </c>
      <c r="Z632" s="53">
        <f t="shared" si="572"/>
        <v>3.8381760462680242E-2</v>
      </c>
      <c r="AA632" s="53">
        <f t="shared" si="572"/>
        <v>3.8381760462680242E-2</v>
      </c>
      <c r="AB632" s="53">
        <f t="shared" si="572"/>
        <v>3.8381760462680242E-2</v>
      </c>
      <c r="AC632" s="53">
        <f t="shared" si="572"/>
        <v>3.8381760462680242E-2</v>
      </c>
      <c r="AD632" s="53">
        <f t="shared" si="572"/>
        <v>3.8381760462680242E-2</v>
      </c>
      <c r="AH632" s="256"/>
      <c r="AI632" s="256"/>
      <c r="AJ632" s="256"/>
      <c r="AK632" s="256"/>
      <c r="AL632" s="256"/>
      <c r="AM632" s="256"/>
      <c r="AN632" s="256"/>
      <c r="AO632" s="256"/>
      <c r="AP632" s="256"/>
      <c r="AQ632" s="256"/>
      <c r="AS632" s="9"/>
      <c r="AT632" s="9"/>
      <c r="AU632" s="9"/>
      <c r="AV632" s="9"/>
      <c r="AW632" s="9"/>
      <c r="AX632" s="9"/>
      <c r="AY632" s="9"/>
      <c r="AZ632" s="9"/>
      <c r="BA632" s="9"/>
      <c r="BB632" s="9"/>
      <c r="BC632" s="9"/>
      <c r="BD632" s="9"/>
      <c r="BE632" s="345"/>
      <c r="BF632" s="345"/>
    </row>
    <row r="633" spans="4:58" hidden="1" x14ac:dyDescent="0.2">
      <c r="D633" s="347" t="str">
        <f t="shared" si="563"/>
        <v>e-Methanol (PS) - Old - Global - Diff</v>
      </c>
      <c r="F633" t="str">
        <f t="shared" si="536"/>
        <v>e-Methanol (PS)</v>
      </c>
      <c r="H633" s="224" t="s">
        <v>609</v>
      </c>
      <c r="L633" t="str">
        <f t="shared" si="561"/>
        <v>Global</v>
      </c>
      <c r="N633" t="s">
        <v>611</v>
      </c>
      <c r="O633" s="224"/>
      <c r="P633" s="224" t="s">
        <v>610</v>
      </c>
      <c r="Q633" t="s">
        <v>324</v>
      </c>
      <c r="R633" s="14"/>
      <c r="S633" s="53">
        <f t="shared" ref="S633:AD633" si="573">(S612-S591)/S612</f>
        <v>6.8600070541889754E-2</v>
      </c>
      <c r="T633" s="53">
        <f t="shared" si="573"/>
        <v>3.6719899881698929E-2</v>
      </c>
      <c r="U633" s="53">
        <f t="shared" si="573"/>
        <v>3.3054500328480278E-2</v>
      </c>
      <c r="V633" s="53">
        <f t="shared" si="573"/>
        <v>2.9602567290146941E-2</v>
      </c>
      <c r="W633" s="53">
        <f t="shared" si="573"/>
        <v>3.0140310330301342E-2</v>
      </c>
      <c r="X633" s="53">
        <f t="shared" si="573"/>
        <v>3.0735184213548025E-2</v>
      </c>
      <c r="Y633" s="53">
        <f t="shared" si="573"/>
        <v>3.3734715564066896E-2</v>
      </c>
      <c r="Z633" s="53">
        <f t="shared" si="573"/>
        <v>3.3734715564066896E-2</v>
      </c>
      <c r="AA633" s="53">
        <f t="shared" si="573"/>
        <v>3.3734715564066896E-2</v>
      </c>
      <c r="AB633" s="53">
        <f t="shared" si="573"/>
        <v>3.3734715564066896E-2</v>
      </c>
      <c r="AC633" s="53">
        <f t="shared" si="573"/>
        <v>3.3734715564066896E-2</v>
      </c>
      <c r="AD633" s="53">
        <f t="shared" si="573"/>
        <v>3.3734715564066896E-2</v>
      </c>
      <c r="AH633" s="256"/>
      <c r="AI633" s="256"/>
      <c r="AJ633" s="256"/>
      <c r="AK633" s="256"/>
      <c r="AL633" s="256"/>
      <c r="AM633" s="256"/>
      <c r="AN633" s="256"/>
      <c r="AO633" s="256"/>
      <c r="AP633" s="256"/>
      <c r="AQ633" s="256"/>
      <c r="AS633" s="9"/>
      <c r="AT633" s="9"/>
      <c r="AU633" s="9"/>
      <c r="AV633" s="9"/>
      <c r="AW633" s="9"/>
      <c r="AX633" s="9"/>
      <c r="AY633" s="9"/>
      <c r="AZ633" s="9"/>
      <c r="BA633" s="9"/>
      <c r="BB633" s="9"/>
      <c r="BC633" s="9"/>
      <c r="BD633" s="9"/>
      <c r="BE633" s="345"/>
      <c r="BF633" s="345"/>
    </row>
    <row r="634" spans="4:58" hidden="1" x14ac:dyDescent="0.2">
      <c r="D634" s="347" t="str">
        <f t="shared" si="563"/>
        <v>Biodiesel (HtL) - Old - Global - Diff</v>
      </c>
      <c r="F634" t="str">
        <f t="shared" si="536"/>
        <v>Biodiesel (HtL)</v>
      </c>
      <c r="H634" s="224" t="s">
        <v>609</v>
      </c>
      <c r="L634" t="str">
        <f t="shared" si="561"/>
        <v>Global</v>
      </c>
      <c r="N634" t="s">
        <v>611</v>
      </c>
      <c r="O634" s="224"/>
      <c r="P634" s="224" t="s">
        <v>610</v>
      </c>
      <c r="Q634" t="s">
        <v>324</v>
      </c>
      <c r="R634" s="14"/>
      <c r="S634" s="53">
        <f t="shared" ref="S634:AD634" si="574">(S613-S592)/S613</f>
        <v>1.096202860287423E-2</v>
      </c>
      <c r="T634" s="53">
        <f t="shared" si="574"/>
        <v>1.2515021980735752E-2</v>
      </c>
      <c r="U634" s="53">
        <f t="shared" si="574"/>
        <v>1.7228770685670223E-2</v>
      </c>
      <c r="V634" s="53">
        <f t="shared" si="574"/>
        <v>1.5906929640193964E-2</v>
      </c>
      <c r="W634" s="53">
        <f t="shared" si="574"/>
        <v>1.5172805027443117E-2</v>
      </c>
      <c r="X634" s="53">
        <f t="shared" si="574"/>
        <v>1.3322667339551541E-2</v>
      </c>
      <c r="Y634" s="53">
        <f t="shared" si="574"/>
        <v>1.1021784624428523E-2</v>
      </c>
      <c r="Z634" s="53">
        <f t="shared" si="574"/>
        <v>1.1021784624428523E-2</v>
      </c>
      <c r="AA634" s="53">
        <f t="shared" si="574"/>
        <v>1.1021784624428523E-2</v>
      </c>
      <c r="AB634" s="53">
        <f t="shared" si="574"/>
        <v>1.1021784624428523E-2</v>
      </c>
      <c r="AC634" s="53">
        <f t="shared" si="574"/>
        <v>1.1021784624428523E-2</v>
      </c>
      <c r="AD634" s="53">
        <f t="shared" si="574"/>
        <v>1.1021784624428523E-2</v>
      </c>
      <c r="AH634" s="256"/>
      <c r="AI634" s="256"/>
      <c r="AJ634" s="256"/>
      <c r="AK634" s="256"/>
      <c r="AL634" s="256"/>
      <c r="AM634" s="256"/>
      <c r="AN634" s="256"/>
      <c r="AO634" s="256"/>
      <c r="AP634" s="256"/>
      <c r="AQ634" s="256"/>
      <c r="AS634" s="9"/>
      <c r="AT634" s="9"/>
      <c r="AU634" s="9"/>
      <c r="AV634" s="9"/>
      <c r="AW634" s="9"/>
      <c r="AX634" s="9"/>
      <c r="AY634" s="9"/>
      <c r="AZ634" s="9"/>
      <c r="BA634" s="9"/>
      <c r="BB634" s="9"/>
      <c r="BC634" s="9"/>
      <c r="BD634" s="9"/>
      <c r="BE634" s="345"/>
      <c r="BF634" s="345"/>
    </row>
    <row r="635" spans="4:58" hidden="1" x14ac:dyDescent="0.2">
      <c r="D635" s="347" t="str">
        <f t="shared" si="563"/>
        <v>Biodiesel (Pyr) - Old - Global - Diff</v>
      </c>
      <c r="F635" t="str">
        <f t="shared" si="536"/>
        <v>Biodiesel (Pyr)</v>
      </c>
      <c r="H635" s="224" t="s">
        <v>609</v>
      </c>
      <c r="L635" t="str">
        <f t="shared" si="561"/>
        <v>Global</v>
      </c>
      <c r="N635" t="s">
        <v>611</v>
      </c>
      <c r="O635" s="224"/>
      <c r="P635" s="224" t="s">
        <v>610</v>
      </c>
      <c r="Q635" t="s">
        <v>324</v>
      </c>
      <c r="R635" s="14"/>
      <c r="S635" s="53">
        <f t="shared" ref="S635:AD635" si="575">(S614-S593)/S614</f>
        <v>5.9263358648064562E-2</v>
      </c>
      <c r="T635" s="53">
        <f t="shared" si="575"/>
        <v>4.0065952979751636E-2</v>
      </c>
      <c r="U635" s="53">
        <f t="shared" si="575"/>
        <v>4.757374441327944E-2</v>
      </c>
      <c r="V635" s="53">
        <f t="shared" si="575"/>
        <v>4.5776149181782577E-2</v>
      </c>
      <c r="W635" s="53">
        <f t="shared" si="575"/>
        <v>4.4688124848241806E-2</v>
      </c>
      <c r="X635" s="53">
        <f t="shared" si="575"/>
        <v>4.3596678222711523E-2</v>
      </c>
      <c r="Y635" s="53">
        <f t="shared" si="575"/>
        <v>4.0660206963139378E-2</v>
      </c>
      <c r="Z635" s="53">
        <f t="shared" si="575"/>
        <v>4.0660206963139378E-2</v>
      </c>
      <c r="AA635" s="53">
        <f t="shared" si="575"/>
        <v>4.0660206963139378E-2</v>
      </c>
      <c r="AB635" s="53">
        <f t="shared" si="575"/>
        <v>4.0660206963139378E-2</v>
      </c>
      <c r="AC635" s="53">
        <f t="shared" si="575"/>
        <v>4.0660206963139378E-2</v>
      </c>
      <c r="AD635" s="53">
        <f t="shared" si="575"/>
        <v>4.0660206963139378E-2</v>
      </c>
      <c r="AH635" s="256"/>
      <c r="AI635" s="256"/>
      <c r="AJ635" s="256"/>
      <c r="AK635" s="256"/>
      <c r="AL635" s="256"/>
      <c r="AM635" s="256"/>
      <c r="AN635" s="256"/>
      <c r="AO635" s="256"/>
      <c r="AP635" s="256"/>
      <c r="AQ635" s="256"/>
      <c r="AS635" s="9"/>
      <c r="AT635" s="9"/>
      <c r="AU635" s="9"/>
      <c r="AV635" s="9"/>
      <c r="AW635" s="9"/>
      <c r="AX635" s="9"/>
      <c r="AY635" s="9"/>
      <c r="AZ635" s="9"/>
      <c r="BA635" s="9"/>
      <c r="BB635" s="9"/>
      <c r="BC635" s="9"/>
      <c r="BD635" s="9"/>
      <c r="BE635" s="345"/>
      <c r="BF635" s="345"/>
    </row>
    <row r="636" spans="4:58" hidden="1" x14ac:dyDescent="0.2">
      <c r="D636" s="347" t="str">
        <f t="shared" si="563"/>
        <v>e-Diesel (DAC) - Old - Global - Diff</v>
      </c>
      <c r="F636" t="str">
        <f t="shared" si="536"/>
        <v>e-Diesel (DAC)</v>
      </c>
      <c r="H636" s="224" t="s">
        <v>609</v>
      </c>
      <c r="L636" t="str">
        <f t="shared" si="561"/>
        <v>Global</v>
      </c>
      <c r="N636" t="s">
        <v>611</v>
      </c>
      <c r="O636" s="224"/>
      <c r="P636" s="224" t="s">
        <v>610</v>
      </c>
      <c r="Q636" t="s">
        <v>324</v>
      </c>
      <c r="R636" s="14"/>
      <c r="S636" s="53">
        <f t="shared" ref="S636:AD636" si="576">(S615-S594)/S615</f>
        <v>7.3105896958611166E-2</v>
      </c>
      <c r="T636" s="53">
        <f t="shared" si="576"/>
        <v>3.9031607998843171E-2</v>
      </c>
      <c r="U636" s="53">
        <f t="shared" si="576"/>
        <v>3.4454016264937506E-2</v>
      </c>
      <c r="V636" s="53">
        <f t="shared" si="576"/>
        <v>3.0518637358825942E-2</v>
      </c>
      <c r="W636" s="53">
        <f t="shared" si="576"/>
        <v>3.0475465936510487E-2</v>
      </c>
      <c r="X636" s="53">
        <f t="shared" si="576"/>
        <v>3.1242623988841988E-2</v>
      </c>
      <c r="Y636" s="53">
        <f t="shared" si="576"/>
        <v>3.4240642921894729E-2</v>
      </c>
      <c r="Z636" s="53">
        <f t="shared" si="576"/>
        <v>3.4240642921894729E-2</v>
      </c>
      <c r="AA636" s="53">
        <f t="shared" si="576"/>
        <v>3.4240642921894729E-2</v>
      </c>
      <c r="AB636" s="53">
        <f t="shared" si="576"/>
        <v>3.4240642921894729E-2</v>
      </c>
      <c r="AC636" s="53">
        <f t="shared" si="576"/>
        <v>3.4240642921894729E-2</v>
      </c>
      <c r="AD636" s="53">
        <f t="shared" si="576"/>
        <v>3.4240642921894729E-2</v>
      </c>
      <c r="AH636" s="256"/>
      <c r="AI636" s="256"/>
      <c r="AJ636" s="256"/>
      <c r="AK636" s="256"/>
      <c r="AL636" s="256"/>
      <c r="AM636" s="256"/>
      <c r="AN636" s="256"/>
      <c r="AO636" s="256"/>
      <c r="AP636" s="256"/>
      <c r="AQ636" s="256"/>
      <c r="AS636" s="9"/>
      <c r="AT636" s="9"/>
      <c r="AU636" s="9"/>
      <c r="AV636" s="9"/>
      <c r="AW636" s="9"/>
      <c r="AX636" s="9"/>
      <c r="AY636" s="9"/>
      <c r="AZ636" s="9"/>
      <c r="BA636" s="9"/>
      <c r="BB636" s="9"/>
      <c r="BC636" s="9"/>
      <c r="BD636" s="9"/>
      <c r="BE636" s="345"/>
      <c r="BF636" s="345"/>
    </row>
    <row r="637" spans="4:58" hidden="1" x14ac:dyDescent="0.2">
      <c r="D637" s="347" t="str">
        <f t="shared" si="563"/>
        <v>e-Diesel (PS) - Old - Global - Diff</v>
      </c>
      <c r="F637" t="str">
        <f t="shared" si="536"/>
        <v>e-Diesel (PS)</v>
      </c>
      <c r="H637" s="224" t="s">
        <v>609</v>
      </c>
      <c r="L637" t="str">
        <f t="shared" si="561"/>
        <v>Global</v>
      </c>
      <c r="N637" t="s">
        <v>611</v>
      </c>
      <c r="O637" s="224"/>
      <c r="P637" s="224" t="s">
        <v>610</v>
      </c>
      <c r="Q637" t="s">
        <v>324</v>
      </c>
      <c r="R637" s="14"/>
      <c r="S637" s="53">
        <f t="shared" ref="S637:AD637" si="577">(S616-S595)/S616</f>
        <v>6.1377232224477225E-2</v>
      </c>
      <c r="T637" s="53">
        <f t="shared" si="577"/>
        <v>3.2782534718551158E-2</v>
      </c>
      <c r="U637" s="53">
        <f t="shared" si="577"/>
        <v>2.937170168369789E-2</v>
      </c>
      <c r="V637" s="53">
        <f t="shared" si="577"/>
        <v>2.5775662387587071E-2</v>
      </c>
      <c r="W637" s="53">
        <f t="shared" si="577"/>
        <v>2.5676910651943236E-2</v>
      </c>
      <c r="X637" s="53">
        <f t="shared" si="577"/>
        <v>2.6353042951763276E-2</v>
      </c>
      <c r="Y637" s="53">
        <f t="shared" si="577"/>
        <v>2.9186238115652303E-2</v>
      </c>
      <c r="Z637" s="53">
        <f t="shared" si="577"/>
        <v>2.9186238115652303E-2</v>
      </c>
      <c r="AA637" s="53">
        <f t="shared" si="577"/>
        <v>2.9186238115652303E-2</v>
      </c>
      <c r="AB637" s="53">
        <f t="shared" si="577"/>
        <v>2.9186238115652303E-2</v>
      </c>
      <c r="AC637" s="53">
        <f t="shared" si="577"/>
        <v>2.9186238115652303E-2</v>
      </c>
      <c r="AD637" s="53">
        <f t="shared" si="577"/>
        <v>2.9186238115652303E-2</v>
      </c>
      <c r="AH637" s="256"/>
      <c r="AI637" s="256"/>
      <c r="AJ637" s="256"/>
      <c r="AK637" s="256"/>
      <c r="AL637" s="256"/>
      <c r="AM637" s="256"/>
      <c r="AN637" s="256"/>
      <c r="AO637" s="256"/>
      <c r="AP637" s="256"/>
      <c r="AQ637" s="256"/>
      <c r="AS637" s="9"/>
      <c r="AT637" s="9"/>
      <c r="AU637" s="9"/>
      <c r="AV637" s="9"/>
      <c r="AW637" s="9"/>
      <c r="AX637" s="9"/>
      <c r="AY637" s="9"/>
      <c r="AZ637" s="9"/>
      <c r="BA637" s="9"/>
      <c r="BB637" s="9"/>
      <c r="BC637" s="9"/>
      <c r="BD637" s="9"/>
      <c r="BE637" s="345"/>
      <c r="BF637" s="345"/>
    </row>
    <row r="638" spans="4:58" hidden="1" x14ac:dyDescent="0.2">
      <c r="D638" s="347" t="str">
        <f t="shared" si="563"/>
        <v>Biodiesel (HtL blend) - Old - Global - Diff</v>
      </c>
      <c r="F638" t="str">
        <f t="shared" si="536"/>
        <v>Biodiesel (HtL blend)</v>
      </c>
      <c r="H638" s="224" t="s">
        <v>609</v>
      </c>
      <c r="L638" t="str">
        <f t="shared" si="561"/>
        <v>Global</v>
      </c>
      <c r="N638" t="s">
        <v>611</v>
      </c>
      <c r="O638" s="224"/>
      <c r="P638" s="224" t="s">
        <v>610</v>
      </c>
      <c r="Q638" t="s">
        <v>324</v>
      </c>
      <c r="R638" s="14"/>
      <c r="S638" s="53">
        <f t="shared" ref="S638:AD638" si="578">(S617-S596)/S617</f>
        <v>8.8933151616536768E-2</v>
      </c>
      <c r="T638" s="53">
        <f t="shared" si="578"/>
        <v>2.3600761848928429E-2</v>
      </c>
      <c r="U638" s="53">
        <f t="shared" si="578"/>
        <v>2.2778603441217234E-2</v>
      </c>
      <c r="V638" s="53">
        <f t="shared" si="578"/>
        <v>2.3903079116613546E-2</v>
      </c>
      <c r="W638" s="53">
        <f t="shared" si="578"/>
        <v>2.4470780300748396E-2</v>
      </c>
      <c r="X638" s="53">
        <f t="shared" si="578"/>
        <v>2.5062275258815415E-2</v>
      </c>
      <c r="Y638" s="53">
        <f t="shared" si="578"/>
        <v>2.5531300847541405E-2</v>
      </c>
      <c r="Z638" s="53">
        <f t="shared" si="578"/>
        <v>2.5531300847541405E-2</v>
      </c>
      <c r="AA638" s="53">
        <f t="shared" si="578"/>
        <v>2.5531300847541405E-2</v>
      </c>
      <c r="AB638" s="53">
        <f t="shared" si="578"/>
        <v>2.5531300847541405E-2</v>
      </c>
      <c r="AC638" s="53">
        <f t="shared" si="578"/>
        <v>2.5531300847541405E-2</v>
      </c>
      <c r="AD638" s="53">
        <f t="shared" si="578"/>
        <v>2.5531300847541405E-2</v>
      </c>
      <c r="AH638" s="256"/>
      <c r="AI638" s="256"/>
      <c r="AJ638" s="256"/>
      <c r="AK638" s="256"/>
      <c r="AL638" s="256"/>
      <c r="AM638" s="256"/>
      <c r="AN638" s="256"/>
      <c r="AO638" s="256"/>
      <c r="AP638" s="256"/>
      <c r="AQ638" s="256"/>
      <c r="AS638" s="9"/>
      <c r="AT638" s="9"/>
      <c r="AU638" s="9"/>
      <c r="AV638" s="9"/>
      <c r="AW638" s="9"/>
      <c r="AX638" s="9"/>
      <c r="AY638" s="9"/>
      <c r="AZ638" s="9"/>
      <c r="BA638" s="9"/>
      <c r="BB638" s="9"/>
      <c r="BC638" s="9"/>
      <c r="BD638" s="9"/>
      <c r="BE638" s="345"/>
      <c r="BF638" s="345"/>
    </row>
    <row r="639" spans="4:58" hidden="1" x14ac:dyDescent="0.2">
      <c r="D639" s="347" t="str">
        <f t="shared" si="563"/>
        <v>Biodiesel (Pyr blend) - Old - Global - Diff</v>
      </c>
      <c r="F639" t="str">
        <f t="shared" si="536"/>
        <v>Biodiesel (Pyr blend)</v>
      </c>
      <c r="H639" s="224" t="s">
        <v>609</v>
      </c>
      <c r="L639" t="str">
        <f t="shared" si="561"/>
        <v>Global</v>
      </c>
      <c r="N639" t="s">
        <v>611</v>
      </c>
      <c r="O639" s="224"/>
      <c r="P639" s="224" t="s">
        <v>610</v>
      </c>
      <c r="Q639" t="s">
        <v>324</v>
      </c>
      <c r="R639" s="14"/>
      <c r="S639" s="53">
        <f t="shared" ref="S639:AD639" si="579">(S618-S597)/S618</f>
        <v>6.787374480346363E-3</v>
      </c>
      <c r="T639" s="53">
        <f t="shared" si="579"/>
        <v>9.5053618285233649E-3</v>
      </c>
      <c r="U639" s="53">
        <f t="shared" si="579"/>
        <v>1.2010018255793705E-2</v>
      </c>
      <c r="V639" s="53">
        <f t="shared" si="579"/>
        <v>1.2158429535108307E-2</v>
      </c>
      <c r="W639" s="53">
        <f t="shared" si="579"/>
        <v>1.2130937363050898E-2</v>
      </c>
      <c r="X639" s="53">
        <f t="shared" si="579"/>
        <v>1.2214980103634159E-2</v>
      </c>
      <c r="Y639" s="53">
        <f t="shared" si="579"/>
        <v>1.2177584044499477E-2</v>
      </c>
      <c r="Z639" s="53">
        <f t="shared" si="579"/>
        <v>1.2177584044499477E-2</v>
      </c>
      <c r="AA639" s="53">
        <f t="shared" si="579"/>
        <v>1.2177584044499477E-2</v>
      </c>
      <c r="AB639" s="53">
        <f t="shared" si="579"/>
        <v>1.2177584044499477E-2</v>
      </c>
      <c r="AC639" s="53">
        <f t="shared" si="579"/>
        <v>1.2177584044499477E-2</v>
      </c>
      <c r="AD639" s="53">
        <f t="shared" si="579"/>
        <v>1.2177584044499477E-2</v>
      </c>
      <c r="AH639" s="256"/>
      <c r="AI639" s="256"/>
      <c r="AJ639" s="256"/>
      <c r="AK639" s="256"/>
      <c r="AL639" s="256"/>
      <c r="AM639" s="256"/>
      <c r="AN639" s="256"/>
      <c r="AO639" s="256"/>
      <c r="AP639" s="256"/>
      <c r="AQ639" s="256"/>
      <c r="AS639" s="9"/>
      <c r="AT639" s="9"/>
      <c r="AU639" s="9"/>
      <c r="AV639" s="9"/>
      <c r="AW639" s="9"/>
      <c r="AX639" s="9"/>
      <c r="AY639" s="9"/>
      <c r="AZ639" s="9"/>
      <c r="BA639" s="9"/>
      <c r="BB639" s="9"/>
      <c r="BC639" s="9"/>
      <c r="BD639" s="9"/>
      <c r="BE639" s="345"/>
      <c r="BF639" s="345"/>
    </row>
    <row r="640" spans="4:58" hidden="1" x14ac:dyDescent="0.2">
      <c r="D640" s="347" t="str">
        <f t="shared" si="563"/>
        <v>Blue hydrogen (liquid) - Old - Global - Diff</v>
      </c>
      <c r="F640" t="str">
        <f t="shared" si="536"/>
        <v>Blue hydrogen (liquid)</v>
      </c>
      <c r="H640" s="224" t="s">
        <v>609</v>
      </c>
      <c r="L640" t="str">
        <f t="shared" si="561"/>
        <v>Global</v>
      </c>
      <c r="N640" t="s">
        <v>611</v>
      </c>
      <c r="O640" s="224"/>
      <c r="P640" s="224" t="s">
        <v>610</v>
      </c>
      <c r="Q640" t="s">
        <v>324</v>
      </c>
      <c r="R640" s="14"/>
      <c r="S640" s="53">
        <f t="shared" ref="S640:AD640" si="580">(S619-S598)/S619</f>
        <v>0.12748098243877456</v>
      </c>
      <c r="T640" s="53">
        <f t="shared" si="580"/>
        <v>7.2267764933172093E-2</v>
      </c>
      <c r="U640" s="53">
        <f t="shared" si="580"/>
        <v>5.9361923488008513E-2</v>
      </c>
      <c r="V640" s="53">
        <f t="shared" si="580"/>
        <v>5.6273226976556255E-2</v>
      </c>
      <c r="W640" s="53">
        <f t="shared" si="580"/>
        <v>5.5799435540212543E-2</v>
      </c>
      <c r="X640" s="53">
        <f t="shared" si="580"/>
        <v>5.5103793424995606E-2</v>
      </c>
      <c r="Y640" s="53">
        <f t="shared" si="580"/>
        <v>5.4434154710670569E-2</v>
      </c>
      <c r="Z640" s="53">
        <f t="shared" si="580"/>
        <v>5.4434154710670569E-2</v>
      </c>
      <c r="AA640" s="53">
        <f t="shared" si="580"/>
        <v>5.4434154710670569E-2</v>
      </c>
      <c r="AB640" s="53">
        <f t="shared" si="580"/>
        <v>5.4434154710670569E-2</v>
      </c>
      <c r="AC640" s="53">
        <f t="shared" si="580"/>
        <v>5.4434154710670569E-2</v>
      </c>
      <c r="AD640" s="53">
        <f t="shared" si="580"/>
        <v>5.4434154710670569E-2</v>
      </c>
      <c r="AH640" s="256"/>
      <c r="AI640" s="256"/>
      <c r="AJ640" s="256"/>
      <c r="AK640" s="256"/>
      <c r="AL640" s="256"/>
      <c r="AM640" s="256"/>
      <c r="AN640" s="256"/>
      <c r="AO640" s="256"/>
      <c r="AP640" s="256"/>
      <c r="AQ640" s="256"/>
      <c r="AS640" s="9"/>
      <c r="AT640" s="9"/>
      <c r="AU640" s="9"/>
      <c r="AV640" s="9"/>
      <c r="AW640" s="9"/>
      <c r="AX640" s="9"/>
      <c r="AY640" s="9"/>
      <c r="AZ640" s="9"/>
      <c r="BA640" s="9"/>
      <c r="BB640" s="9"/>
      <c r="BC640" s="9"/>
      <c r="BD640" s="9"/>
      <c r="BE640" s="345"/>
      <c r="BF640" s="345"/>
    </row>
    <row r="641" spans="2:58" hidden="1" x14ac:dyDescent="0.2">
      <c r="D641" s="347" t="str">
        <f>_xlfn.TEXTJOIN(keydelim,TRUE,E641:N641)</f>
        <v>e-Hydrogen (liquid) - Old - Global - Diff</v>
      </c>
      <c r="F641" t="str">
        <f t="shared" si="536"/>
        <v>e-Hydrogen (liquid)</v>
      </c>
      <c r="H641" s="224" t="s">
        <v>609</v>
      </c>
      <c r="L641" t="str">
        <f t="shared" si="561"/>
        <v>Global</v>
      </c>
      <c r="N641" t="s">
        <v>611</v>
      </c>
      <c r="O641" s="224"/>
      <c r="P641" s="224" t="s">
        <v>610</v>
      </c>
      <c r="Q641" t="s">
        <v>324</v>
      </c>
      <c r="R641" s="14"/>
      <c r="S641" s="53">
        <f t="shared" ref="S641:AD641" si="581">(S620-S599)/S620</f>
        <v>7.6515591097838134E-2</v>
      </c>
      <c r="T641" s="53">
        <f t="shared" si="581"/>
        <v>3.8315711586404975E-2</v>
      </c>
      <c r="U641" s="53">
        <f t="shared" si="581"/>
        <v>3.1047325471480466E-2</v>
      </c>
      <c r="V641" s="53">
        <f t="shared" si="581"/>
        <v>2.6461015588992959E-2</v>
      </c>
      <c r="W641" s="53">
        <f t="shared" si="581"/>
        <v>2.53915340980977E-2</v>
      </c>
      <c r="X641" s="53">
        <f t="shared" si="581"/>
        <v>2.3610794822882013E-2</v>
      </c>
      <c r="Y641" s="53">
        <f t="shared" si="581"/>
        <v>2.3013665919604739E-2</v>
      </c>
      <c r="Z641" s="53">
        <f t="shared" si="581"/>
        <v>2.3013665919604739E-2</v>
      </c>
      <c r="AA641" s="53">
        <f t="shared" si="581"/>
        <v>2.3013665919604739E-2</v>
      </c>
      <c r="AB641" s="53">
        <f t="shared" si="581"/>
        <v>2.3013665919604739E-2</v>
      </c>
      <c r="AC641" s="53">
        <f t="shared" si="581"/>
        <v>2.3013665919604739E-2</v>
      </c>
      <c r="AD641" s="53">
        <f t="shared" si="581"/>
        <v>2.3013665919604739E-2</v>
      </c>
      <c r="AH641" s="256"/>
      <c r="AI641" s="256"/>
      <c r="AJ641" s="256"/>
      <c r="AK641" s="256"/>
      <c r="AL641" s="256"/>
      <c r="AM641" s="256"/>
      <c r="AN641" s="256"/>
      <c r="AO641" s="256"/>
      <c r="AP641" s="256"/>
      <c r="AQ641" s="256"/>
      <c r="AS641" s="9"/>
      <c r="AT641" s="9"/>
      <c r="AU641" s="9"/>
      <c r="AV641" s="9"/>
      <c r="AW641" s="9"/>
      <c r="AX641" s="9"/>
      <c r="AY641" s="9"/>
      <c r="AZ641" s="9"/>
      <c r="BA641" s="9"/>
      <c r="BB641" s="9"/>
      <c r="BC641" s="9"/>
      <c r="BD641" s="9"/>
      <c r="BE641" s="345"/>
      <c r="BF641" s="345"/>
    </row>
    <row r="642" spans="2:58" hidden="1" x14ac:dyDescent="0.2">
      <c r="O642" s="224"/>
      <c r="P642" s="224"/>
      <c r="R642" s="14"/>
      <c r="S642" s="346"/>
      <c r="T642" s="346"/>
      <c r="U642" s="346"/>
      <c r="V642" s="346"/>
      <c r="W642" s="346"/>
      <c r="X642" s="346"/>
      <c r="Y642" s="346"/>
      <c r="Z642" s="346"/>
      <c r="AA642" s="346"/>
      <c r="AB642" s="346"/>
      <c r="AC642" s="346"/>
      <c r="AD642" s="346"/>
    </row>
    <row r="643" spans="2:58" hidden="1" x14ac:dyDescent="0.2">
      <c r="O643" s="224"/>
      <c r="P643" s="224"/>
      <c r="R643" s="14"/>
      <c r="S643" s="346"/>
      <c r="T643" s="346"/>
      <c r="U643" s="346"/>
      <c r="V643" s="346"/>
      <c r="W643" s="346"/>
      <c r="X643" s="346"/>
      <c r="Y643" s="346"/>
      <c r="Z643" s="346"/>
      <c r="AA643" s="346"/>
      <c r="AB643" s="346"/>
      <c r="AC643" s="346"/>
      <c r="AD643" s="346"/>
    </row>
    <row r="644" spans="2:58" collapsed="1" x14ac:dyDescent="0.2">
      <c r="B644" s="49" t="s">
        <v>612</v>
      </c>
      <c r="C644" s="49"/>
      <c r="D644" s="350"/>
      <c r="E644" s="331"/>
      <c r="F644" s="331"/>
      <c r="G644" s="331" t="str">
        <f>B644</f>
        <v>Fuel primary energy efficiency (selected)</v>
      </c>
      <c r="H644" s="331"/>
      <c r="I644" s="331"/>
      <c r="J644" s="331"/>
      <c r="K644" s="331"/>
      <c r="L644" s="331"/>
      <c r="M644" s="331"/>
      <c r="N644" s="331"/>
      <c r="O644" s="331"/>
      <c r="P644" s="331"/>
      <c r="Q644" s="331"/>
      <c r="R644" s="331"/>
      <c r="S644" s="331"/>
      <c r="T644" s="331"/>
      <c r="U644" s="331"/>
      <c r="V644" s="331"/>
      <c r="W644" s="331"/>
      <c r="X644" s="331"/>
      <c r="Y644" s="331"/>
      <c r="Z644" s="331"/>
      <c r="AA644" s="331"/>
      <c r="AB644" s="331"/>
      <c r="AC644" s="331"/>
      <c r="AD644" s="331"/>
    </row>
    <row r="645" spans="2:58" x14ac:dyDescent="0.2">
      <c r="C645" s="48">
        <v>1</v>
      </c>
      <c r="D645" s="347" t="str">
        <f t="shared" ref="D645:D664" si="582">_xlfn.TEXTJOIN(keydelim,TRUE,E645:N645)</f>
        <v>LSFO - Global - Prim. energy efficiency - %</v>
      </c>
      <c r="F645" t="str" cm="1">
        <f t="array" ref="F645">INDEX(list_ME_fuel,$C645)</f>
        <v>LSFO</v>
      </c>
      <c r="L645" t="s">
        <v>109</v>
      </c>
      <c r="N645" t="str">
        <f t="shared" ref="N645:N664" si="583">"Prim. energy efficiency"  &amp;keydelim &amp;Q645</f>
        <v>Prim. energy efficiency - %</v>
      </c>
      <c r="O645" s="224"/>
      <c r="P645" s="224" t="s">
        <v>607</v>
      </c>
      <c r="Q645" t="s">
        <v>178</v>
      </c>
      <c r="R645" s="14"/>
      <c r="S645" s="125">
        <f>INDEX('Fuel Selector'!$A:$AE,MATCH('TCO - Input'!$D645,'Fuel Selector'!$B:$B,0),MATCH(S$6,'Fuel Selector'!$328:$328,0))</f>
        <v>0</v>
      </c>
      <c r="T645" s="125">
        <f>INDEX('Fuel Selector'!$A:$AE,MATCH('TCO - Input'!$D645,'Fuel Selector'!$B:$B,0),MATCH(T$6,'Fuel Selector'!$328:$328,0))</f>
        <v>0</v>
      </c>
      <c r="U645" s="125">
        <f>INDEX('Fuel Selector'!$A:$AE,MATCH('TCO - Input'!$D645,'Fuel Selector'!$B:$B,0),MATCH(U$6,'Fuel Selector'!$328:$328,0))</f>
        <v>0</v>
      </c>
      <c r="V645" s="125">
        <f>INDEX('Fuel Selector'!$A:$AE,MATCH('TCO - Input'!$D645,'Fuel Selector'!$B:$B,0),MATCH(V$6,'Fuel Selector'!$328:$328,0))</f>
        <v>0</v>
      </c>
      <c r="W645" s="125">
        <f>INDEX('Fuel Selector'!$A:$AE,MATCH('TCO - Input'!$D645,'Fuel Selector'!$B:$B,0),MATCH(W$6,'Fuel Selector'!$328:$328,0))</f>
        <v>0</v>
      </c>
      <c r="X645" s="125">
        <f>INDEX('Fuel Selector'!$A:$AE,MATCH('TCO - Input'!$D645,'Fuel Selector'!$B:$B,0),MATCH(X$6,'Fuel Selector'!$328:$328,0))</f>
        <v>0</v>
      </c>
      <c r="Y645" s="125">
        <f>INDEX('Fuel Selector'!$A:$AE,MATCH('TCO - Input'!$D645,'Fuel Selector'!$B:$B,0),MATCH(Y$6,'Fuel Selector'!$328:$328,0))</f>
        <v>0</v>
      </c>
      <c r="Z645" s="125">
        <f>INDEX('Fuel Selector'!$A:$AE,MATCH('TCO - Input'!$D645,'Fuel Selector'!$B:$B,0),MATCH(Z$6,'Fuel Selector'!$328:$328,0))</f>
        <v>0</v>
      </c>
      <c r="AA645" s="125">
        <f>INDEX('Fuel Selector'!$A:$AE,MATCH('TCO - Input'!$D645,'Fuel Selector'!$B:$B,0),MATCH(AA$6,'Fuel Selector'!$328:$328,0))</f>
        <v>0</v>
      </c>
      <c r="AB645" s="125">
        <f>INDEX('Fuel Selector'!$A:$AE,MATCH('TCO - Input'!$D645,'Fuel Selector'!$B:$B,0),MATCH(AB$6,'Fuel Selector'!$328:$328,0))</f>
        <v>0</v>
      </c>
      <c r="AC645" s="125">
        <f>INDEX('Fuel Selector'!$A:$AE,MATCH('TCO - Input'!$D645,'Fuel Selector'!$B:$B,0),MATCH(AC$6,'Fuel Selector'!$328:$328,0))</f>
        <v>0</v>
      </c>
      <c r="AD645" s="125">
        <f>INDEX('Fuel Selector'!$A:$AE,MATCH('TCO - Input'!$D645,'Fuel Selector'!$B:$B,0),MATCH(AD$6,'Fuel Selector'!$328:$328,0))</f>
        <v>0</v>
      </c>
    </row>
    <row r="646" spans="2:58" x14ac:dyDescent="0.2">
      <c r="B646"/>
      <c r="C646" s="48">
        <f>+C645+1</f>
        <v>2</v>
      </c>
      <c r="D646" s="347" t="str">
        <f t="shared" si="582"/>
        <v>LNG - Global - Prim. energy efficiency - %</v>
      </c>
      <c r="F646" t="str" cm="1">
        <f t="array" ref="F646">INDEX(list_ME_fuel,$C646)</f>
        <v>LNG</v>
      </c>
      <c r="L646" t="s">
        <v>109</v>
      </c>
      <c r="N646" t="str">
        <f t="shared" si="583"/>
        <v>Prim. energy efficiency - %</v>
      </c>
      <c r="P646" t="str">
        <f t="shared" ref="P646:P664" si="584">+P645</f>
        <v>From tab A.1 Fuel selector</v>
      </c>
      <c r="Q646" t="str">
        <f>+Q645</f>
        <v>%</v>
      </c>
      <c r="S646" s="125">
        <f>INDEX('Fuel Selector'!$A:$AE,MATCH('TCO - Input'!$D646,'Fuel Selector'!$B:$B,0),MATCH(S$6,'Fuel Selector'!$328:$328,0))</f>
        <v>0</v>
      </c>
      <c r="T646" s="125">
        <f>INDEX('Fuel Selector'!$A:$AE,MATCH('TCO - Input'!$D646,'Fuel Selector'!$B:$B,0),MATCH(T$6,'Fuel Selector'!$328:$328,0))</f>
        <v>0</v>
      </c>
      <c r="U646" s="125">
        <f>INDEX('Fuel Selector'!$A:$AE,MATCH('TCO - Input'!$D646,'Fuel Selector'!$B:$B,0),MATCH(U$6,'Fuel Selector'!$328:$328,0))</f>
        <v>0</v>
      </c>
      <c r="V646" s="125">
        <f>INDEX('Fuel Selector'!$A:$AE,MATCH('TCO - Input'!$D646,'Fuel Selector'!$B:$B,0),MATCH(V$6,'Fuel Selector'!$328:$328,0))</f>
        <v>0</v>
      </c>
      <c r="W646" s="125">
        <f>INDEX('Fuel Selector'!$A:$AE,MATCH('TCO - Input'!$D646,'Fuel Selector'!$B:$B,0),MATCH(W$6,'Fuel Selector'!$328:$328,0))</f>
        <v>0</v>
      </c>
      <c r="X646" s="125">
        <f>INDEX('Fuel Selector'!$A:$AE,MATCH('TCO - Input'!$D646,'Fuel Selector'!$B:$B,0),MATCH(X$6,'Fuel Selector'!$328:$328,0))</f>
        <v>0</v>
      </c>
      <c r="Y646" s="125">
        <f>INDEX('Fuel Selector'!$A:$AE,MATCH('TCO - Input'!$D646,'Fuel Selector'!$B:$B,0),MATCH(Y$6,'Fuel Selector'!$328:$328,0))</f>
        <v>0</v>
      </c>
      <c r="Z646" s="125">
        <f>INDEX('Fuel Selector'!$A:$AE,MATCH('TCO - Input'!$D646,'Fuel Selector'!$B:$B,0),MATCH(Z$6,'Fuel Selector'!$328:$328,0))</f>
        <v>0</v>
      </c>
      <c r="AA646" s="125">
        <f>INDEX('Fuel Selector'!$A:$AE,MATCH('TCO - Input'!$D646,'Fuel Selector'!$B:$B,0),MATCH(AA$6,'Fuel Selector'!$328:$328,0))</f>
        <v>0</v>
      </c>
      <c r="AB646" s="125">
        <f>INDEX('Fuel Selector'!$A:$AE,MATCH('TCO - Input'!$D646,'Fuel Selector'!$B:$B,0),MATCH(AB$6,'Fuel Selector'!$328:$328,0))</f>
        <v>0</v>
      </c>
      <c r="AC646" s="125">
        <f>INDEX('Fuel Selector'!$A:$AE,MATCH('TCO - Input'!$D646,'Fuel Selector'!$B:$B,0),MATCH(AC$6,'Fuel Selector'!$328:$328,0))</f>
        <v>0</v>
      </c>
      <c r="AD646" s="125">
        <f>INDEX('Fuel Selector'!$A:$AE,MATCH('TCO - Input'!$D646,'Fuel Selector'!$B:$B,0),MATCH(AD$6,'Fuel Selector'!$328:$328,0))</f>
        <v>0</v>
      </c>
    </row>
    <row r="647" spans="2:58" x14ac:dyDescent="0.2">
      <c r="B647"/>
      <c r="C647" s="48">
        <f t="shared" ref="C647:C664" si="585">+C646+1</f>
        <v>3</v>
      </c>
      <c r="D647" s="347" t="str">
        <f t="shared" si="582"/>
        <v>LPG - Global - Prim. energy efficiency - %</v>
      </c>
      <c r="F647" t="str" cm="1">
        <f t="array" ref="F647">INDEX(list_ME_fuel,$C647)</f>
        <v>LPG</v>
      </c>
      <c r="L647" t="s">
        <v>109</v>
      </c>
      <c r="N647" t="str">
        <f t="shared" si="583"/>
        <v>Prim. energy efficiency - %</v>
      </c>
      <c r="P647" t="str">
        <f t="shared" si="584"/>
        <v>From tab A.1 Fuel selector</v>
      </c>
      <c r="Q647" t="str">
        <f t="shared" ref="Q647:Q664" si="586">+Q646</f>
        <v>%</v>
      </c>
      <c r="S647" s="125">
        <f>INDEX('Fuel Selector'!$A:$AE,MATCH('TCO - Input'!$D647,'Fuel Selector'!$B:$B,0),MATCH(S$6,'Fuel Selector'!$328:$328,0))</f>
        <v>0</v>
      </c>
      <c r="T647" s="125">
        <f>INDEX('Fuel Selector'!$A:$AE,MATCH('TCO - Input'!$D647,'Fuel Selector'!$B:$B,0),MATCH(T$6,'Fuel Selector'!$328:$328,0))</f>
        <v>0</v>
      </c>
      <c r="U647" s="125">
        <f>INDEX('Fuel Selector'!$A:$AE,MATCH('TCO - Input'!$D647,'Fuel Selector'!$B:$B,0),MATCH(U$6,'Fuel Selector'!$328:$328,0))</f>
        <v>0</v>
      </c>
      <c r="V647" s="125">
        <f>INDEX('Fuel Selector'!$A:$AE,MATCH('TCO - Input'!$D647,'Fuel Selector'!$B:$B,0),MATCH(V$6,'Fuel Selector'!$328:$328,0))</f>
        <v>0</v>
      </c>
      <c r="W647" s="125">
        <f>INDEX('Fuel Selector'!$A:$AE,MATCH('TCO - Input'!$D647,'Fuel Selector'!$B:$B,0),MATCH(W$6,'Fuel Selector'!$328:$328,0))</f>
        <v>0</v>
      </c>
      <c r="X647" s="125">
        <f>INDEX('Fuel Selector'!$A:$AE,MATCH('TCO - Input'!$D647,'Fuel Selector'!$B:$B,0),MATCH(X$6,'Fuel Selector'!$328:$328,0))</f>
        <v>0</v>
      </c>
      <c r="Y647" s="125">
        <f>INDEX('Fuel Selector'!$A:$AE,MATCH('TCO - Input'!$D647,'Fuel Selector'!$B:$B,0),MATCH(Y$6,'Fuel Selector'!$328:$328,0))</f>
        <v>0</v>
      </c>
      <c r="Z647" s="125">
        <f>INDEX('Fuel Selector'!$A:$AE,MATCH('TCO - Input'!$D647,'Fuel Selector'!$B:$B,0),MATCH(Z$6,'Fuel Selector'!$328:$328,0))</f>
        <v>0</v>
      </c>
      <c r="AA647" s="125">
        <f>INDEX('Fuel Selector'!$A:$AE,MATCH('TCO - Input'!$D647,'Fuel Selector'!$B:$B,0),MATCH(AA$6,'Fuel Selector'!$328:$328,0))</f>
        <v>0</v>
      </c>
      <c r="AB647" s="125">
        <f>INDEX('Fuel Selector'!$A:$AE,MATCH('TCO - Input'!$D647,'Fuel Selector'!$B:$B,0),MATCH(AB$6,'Fuel Selector'!$328:$328,0))</f>
        <v>0</v>
      </c>
      <c r="AC647" s="125">
        <f>INDEX('Fuel Selector'!$A:$AE,MATCH('TCO - Input'!$D647,'Fuel Selector'!$B:$B,0),MATCH(AC$6,'Fuel Selector'!$328:$328,0))</f>
        <v>0</v>
      </c>
      <c r="AD647" s="125">
        <f>INDEX('Fuel Selector'!$A:$AE,MATCH('TCO - Input'!$D647,'Fuel Selector'!$B:$B,0),MATCH(AD$6,'Fuel Selector'!$328:$328,0))</f>
        <v>0</v>
      </c>
    </row>
    <row r="648" spans="2:58" x14ac:dyDescent="0.2">
      <c r="B648"/>
      <c r="C648" s="48">
        <f t="shared" si="585"/>
        <v>4</v>
      </c>
      <c r="D648" s="347" t="str">
        <f t="shared" si="582"/>
        <v>Electricity - Global - Prim. energy efficiency - %</v>
      </c>
      <c r="F648" t="str" cm="1">
        <f t="array" ref="F648">INDEX(list_ME_fuel,$C648)</f>
        <v>Electricity</v>
      </c>
      <c r="L648" t="s">
        <v>109</v>
      </c>
      <c r="N648" t="str">
        <f t="shared" si="583"/>
        <v>Prim. energy efficiency - %</v>
      </c>
      <c r="P648" t="str">
        <f t="shared" si="584"/>
        <v>From tab A.1 Fuel selector</v>
      </c>
      <c r="Q648" t="str">
        <f t="shared" si="586"/>
        <v>%</v>
      </c>
      <c r="S648" s="125">
        <f>INDEX('Fuel Selector'!$A:$AE,MATCH('TCO - Input'!$D648,'Fuel Selector'!$B:$B,0),MATCH(S$6,'Fuel Selector'!$328:$328,0))</f>
        <v>0</v>
      </c>
      <c r="T648" s="125">
        <f>INDEX('Fuel Selector'!$A:$AE,MATCH('TCO - Input'!$D648,'Fuel Selector'!$B:$B,0),MATCH(T$6,'Fuel Selector'!$328:$328,0))</f>
        <v>0</v>
      </c>
      <c r="U648" s="125">
        <f>INDEX('Fuel Selector'!$A:$AE,MATCH('TCO - Input'!$D648,'Fuel Selector'!$B:$B,0),MATCH(U$6,'Fuel Selector'!$328:$328,0))</f>
        <v>0</v>
      </c>
      <c r="V648" s="125">
        <f>INDEX('Fuel Selector'!$A:$AE,MATCH('TCO - Input'!$D648,'Fuel Selector'!$B:$B,0),MATCH(V$6,'Fuel Selector'!$328:$328,0))</f>
        <v>0</v>
      </c>
      <c r="W648" s="125">
        <f>INDEX('Fuel Selector'!$A:$AE,MATCH('TCO - Input'!$D648,'Fuel Selector'!$B:$B,0),MATCH(W$6,'Fuel Selector'!$328:$328,0))</f>
        <v>0</v>
      </c>
      <c r="X648" s="125">
        <f>INDEX('Fuel Selector'!$A:$AE,MATCH('TCO - Input'!$D648,'Fuel Selector'!$B:$B,0),MATCH(X$6,'Fuel Selector'!$328:$328,0))</f>
        <v>0</v>
      </c>
      <c r="Y648" s="125">
        <f>INDEX('Fuel Selector'!$A:$AE,MATCH('TCO - Input'!$D648,'Fuel Selector'!$B:$B,0),MATCH(Y$6,'Fuel Selector'!$328:$328,0))</f>
        <v>0</v>
      </c>
      <c r="Z648" s="125">
        <f>INDEX('Fuel Selector'!$A:$AE,MATCH('TCO - Input'!$D648,'Fuel Selector'!$B:$B,0),MATCH(Z$6,'Fuel Selector'!$328:$328,0))</f>
        <v>0</v>
      </c>
      <c r="AA648" s="125">
        <f>INDEX('Fuel Selector'!$A:$AE,MATCH('TCO - Input'!$D648,'Fuel Selector'!$B:$B,0),MATCH(AA$6,'Fuel Selector'!$328:$328,0))</f>
        <v>0</v>
      </c>
      <c r="AB648" s="125">
        <f>INDEX('Fuel Selector'!$A:$AE,MATCH('TCO - Input'!$D648,'Fuel Selector'!$B:$B,0),MATCH(AB$6,'Fuel Selector'!$328:$328,0))</f>
        <v>0</v>
      </c>
      <c r="AC648" s="125">
        <f>INDEX('Fuel Selector'!$A:$AE,MATCH('TCO - Input'!$D648,'Fuel Selector'!$B:$B,0),MATCH(AC$6,'Fuel Selector'!$328:$328,0))</f>
        <v>0</v>
      </c>
      <c r="AD648" s="125">
        <f>INDEX('Fuel Selector'!$A:$AE,MATCH('TCO - Input'!$D648,'Fuel Selector'!$B:$B,0),MATCH(AD$6,'Fuel Selector'!$328:$328,0))</f>
        <v>0</v>
      </c>
    </row>
    <row r="649" spans="2:58" x14ac:dyDescent="0.2">
      <c r="B649"/>
      <c r="C649" s="48">
        <f t="shared" si="585"/>
        <v>5</v>
      </c>
      <c r="D649" s="347" t="str">
        <f t="shared" si="582"/>
        <v>e-Ammonia - Global - Prim. energy efficiency - %</v>
      </c>
      <c r="F649" t="str" cm="1">
        <f t="array" ref="F649">INDEX(list_ME_fuel,$C649)</f>
        <v>e-Ammonia</v>
      </c>
      <c r="L649" t="s">
        <v>109</v>
      </c>
      <c r="N649" t="str">
        <f t="shared" si="583"/>
        <v>Prim. energy efficiency - %</v>
      </c>
      <c r="P649" t="str">
        <f t="shared" si="584"/>
        <v>From tab A.1 Fuel selector</v>
      </c>
      <c r="Q649" t="str">
        <f t="shared" si="586"/>
        <v>%</v>
      </c>
      <c r="S649" s="125">
        <f>INDEX('Fuel Selector'!$A:$AE,MATCH('TCO - Input'!$D649,'Fuel Selector'!$B:$B,0),MATCH(S$6,'Fuel Selector'!$328:$328,0))</f>
        <v>0.52678895799360559</v>
      </c>
      <c r="T649" s="125">
        <f>INDEX('Fuel Selector'!$A:$AE,MATCH('TCO - Input'!$D649,'Fuel Selector'!$B:$B,0),MATCH(T$6,'Fuel Selector'!$328:$328,0))</f>
        <v>0.52948932360592504</v>
      </c>
      <c r="U649" s="125">
        <f>INDEX('Fuel Selector'!$A:$AE,MATCH('TCO - Input'!$D649,'Fuel Selector'!$B:$B,0),MATCH(U$6,'Fuel Selector'!$328:$328,0))</f>
        <v>0.53817237573831711</v>
      </c>
      <c r="V649" s="125">
        <f>INDEX('Fuel Selector'!$A:$AE,MATCH('TCO - Input'!$D649,'Fuel Selector'!$B:$B,0),MATCH(V$6,'Fuel Selector'!$328:$328,0))</f>
        <v>0.56023392300523689</v>
      </c>
      <c r="W649" s="125">
        <f>INDEX('Fuel Selector'!$A:$AE,MATCH('TCO - Input'!$D649,'Fuel Selector'!$B:$B,0),MATCH(W$6,'Fuel Selector'!$328:$328,0))</f>
        <v>0.58694480967656215</v>
      </c>
      <c r="X649" s="125">
        <f>INDEX('Fuel Selector'!$A:$AE,MATCH('TCO - Input'!$D649,'Fuel Selector'!$B:$B,0),MATCH(X$6,'Fuel Selector'!$328:$328,0))</f>
        <v>0.6221836576515305</v>
      </c>
      <c r="Y649" s="125">
        <f>INDEX('Fuel Selector'!$A:$AE,MATCH('TCO - Input'!$D649,'Fuel Selector'!$B:$B,0),MATCH(Y$6,'Fuel Selector'!$328:$328,0))</f>
        <v>0.65176758552513991</v>
      </c>
      <c r="Z649" s="125">
        <f>INDEX('Fuel Selector'!$A:$AE,MATCH('TCO - Input'!$D649,'Fuel Selector'!$B:$B,0),MATCH(Z$6,'Fuel Selector'!$328:$328,0))</f>
        <v>0.65176758552513991</v>
      </c>
      <c r="AA649" s="125">
        <f>INDEX('Fuel Selector'!$A:$AE,MATCH('TCO - Input'!$D649,'Fuel Selector'!$B:$B,0),MATCH(AA$6,'Fuel Selector'!$328:$328,0))</f>
        <v>0.65176758552513991</v>
      </c>
      <c r="AB649" s="125">
        <f>INDEX('Fuel Selector'!$A:$AE,MATCH('TCO - Input'!$D649,'Fuel Selector'!$B:$B,0),MATCH(AB$6,'Fuel Selector'!$328:$328,0))</f>
        <v>0.65176758552513991</v>
      </c>
      <c r="AC649" s="125">
        <f>INDEX('Fuel Selector'!$A:$AE,MATCH('TCO - Input'!$D649,'Fuel Selector'!$B:$B,0),MATCH(AC$6,'Fuel Selector'!$328:$328,0))</f>
        <v>0.65176758552513991</v>
      </c>
      <c r="AD649" s="125">
        <f>INDEX('Fuel Selector'!$A:$AE,MATCH('TCO - Input'!$D649,'Fuel Selector'!$B:$B,0),MATCH(AD$6,'Fuel Selector'!$328:$328,0))</f>
        <v>0.65176758552513991</v>
      </c>
    </row>
    <row r="650" spans="2:58" x14ac:dyDescent="0.2">
      <c r="B650"/>
      <c r="C650" s="48">
        <f t="shared" si="585"/>
        <v>6</v>
      </c>
      <c r="D650" s="347" t="str">
        <f t="shared" si="582"/>
        <v>Blue ammonia - Global - Prim. energy efficiency - %</v>
      </c>
      <c r="F650" t="str" cm="1">
        <f t="array" ref="F650">INDEX(list_ME_fuel,$C650)</f>
        <v>Blue ammonia</v>
      </c>
      <c r="L650" t="s">
        <v>109</v>
      </c>
      <c r="N650" t="str">
        <f t="shared" si="583"/>
        <v>Prim. energy efficiency - %</v>
      </c>
      <c r="P650" t="str">
        <f t="shared" si="584"/>
        <v>From tab A.1 Fuel selector</v>
      </c>
      <c r="Q650" t="str">
        <f t="shared" si="586"/>
        <v>%</v>
      </c>
      <c r="S650" s="125">
        <f>INDEX('Fuel Selector'!$A:$AE,MATCH('TCO - Input'!$D650,'Fuel Selector'!$B:$B,0),MATCH(S$6,'Fuel Selector'!$328:$328,0))</f>
        <v>0</v>
      </c>
      <c r="T650" s="125">
        <f>INDEX('Fuel Selector'!$A:$AE,MATCH('TCO - Input'!$D650,'Fuel Selector'!$B:$B,0),MATCH(T$6,'Fuel Selector'!$328:$328,0))</f>
        <v>0</v>
      </c>
      <c r="U650" s="125">
        <f>INDEX('Fuel Selector'!$A:$AE,MATCH('TCO - Input'!$D650,'Fuel Selector'!$B:$B,0),MATCH(U$6,'Fuel Selector'!$328:$328,0))</f>
        <v>0</v>
      </c>
      <c r="V650" s="125">
        <f>INDEX('Fuel Selector'!$A:$AE,MATCH('TCO - Input'!$D650,'Fuel Selector'!$B:$B,0),MATCH(V$6,'Fuel Selector'!$328:$328,0))</f>
        <v>0</v>
      </c>
      <c r="W650" s="125">
        <f>INDEX('Fuel Selector'!$A:$AE,MATCH('TCO - Input'!$D650,'Fuel Selector'!$B:$B,0),MATCH(W$6,'Fuel Selector'!$328:$328,0))</f>
        <v>0</v>
      </c>
      <c r="X650" s="125">
        <f>INDEX('Fuel Selector'!$A:$AE,MATCH('TCO - Input'!$D650,'Fuel Selector'!$B:$B,0),MATCH(X$6,'Fuel Selector'!$328:$328,0))</f>
        <v>0</v>
      </c>
      <c r="Y650" s="125">
        <f>INDEX('Fuel Selector'!$A:$AE,MATCH('TCO - Input'!$D650,'Fuel Selector'!$B:$B,0),MATCH(Y$6,'Fuel Selector'!$328:$328,0))</f>
        <v>0</v>
      </c>
      <c r="Z650" s="125">
        <f>INDEX('Fuel Selector'!$A:$AE,MATCH('TCO - Input'!$D650,'Fuel Selector'!$B:$B,0),MATCH(Z$6,'Fuel Selector'!$328:$328,0))</f>
        <v>0</v>
      </c>
      <c r="AA650" s="125">
        <f>INDEX('Fuel Selector'!$A:$AE,MATCH('TCO - Input'!$D650,'Fuel Selector'!$B:$B,0),MATCH(AA$6,'Fuel Selector'!$328:$328,0))</f>
        <v>0</v>
      </c>
      <c r="AB650" s="125">
        <f>INDEX('Fuel Selector'!$A:$AE,MATCH('TCO - Input'!$D650,'Fuel Selector'!$B:$B,0),MATCH(AB$6,'Fuel Selector'!$328:$328,0))</f>
        <v>0</v>
      </c>
      <c r="AC650" s="125">
        <f>INDEX('Fuel Selector'!$A:$AE,MATCH('TCO - Input'!$D650,'Fuel Selector'!$B:$B,0),MATCH(AC$6,'Fuel Selector'!$328:$328,0))</f>
        <v>0</v>
      </c>
      <c r="AD650" s="125">
        <f>INDEX('Fuel Selector'!$A:$AE,MATCH('TCO - Input'!$D650,'Fuel Selector'!$B:$B,0),MATCH(AD$6,'Fuel Selector'!$328:$328,0))</f>
        <v>0</v>
      </c>
    </row>
    <row r="651" spans="2:58" x14ac:dyDescent="0.2">
      <c r="B651"/>
      <c r="C651" s="48">
        <f t="shared" si="585"/>
        <v>7</v>
      </c>
      <c r="D651" s="347" t="str">
        <f t="shared" si="582"/>
        <v>Biomethane - Global - Prim. energy efficiency - %</v>
      </c>
      <c r="F651" t="str" cm="1">
        <f t="array" ref="F651">INDEX(list_ME_fuel,$C651)</f>
        <v>Biomethane</v>
      </c>
      <c r="L651" t="s">
        <v>109</v>
      </c>
      <c r="N651" t="str">
        <f t="shared" si="583"/>
        <v>Prim. energy efficiency - %</v>
      </c>
      <c r="P651" t="str">
        <f t="shared" si="584"/>
        <v>From tab A.1 Fuel selector</v>
      </c>
      <c r="Q651" t="str">
        <f t="shared" si="586"/>
        <v>%</v>
      </c>
      <c r="S651" s="125">
        <f>INDEX('Fuel Selector'!$A:$AE,MATCH('TCO - Input'!$D651,'Fuel Selector'!$B:$B,0),MATCH(S$6,'Fuel Selector'!$328:$328,0))</f>
        <v>0</v>
      </c>
      <c r="T651" s="125">
        <f>INDEX('Fuel Selector'!$A:$AE,MATCH('TCO - Input'!$D651,'Fuel Selector'!$B:$B,0),MATCH(T$6,'Fuel Selector'!$328:$328,0))</f>
        <v>0</v>
      </c>
      <c r="U651" s="125">
        <f>INDEX('Fuel Selector'!$A:$AE,MATCH('TCO - Input'!$D651,'Fuel Selector'!$B:$B,0),MATCH(U$6,'Fuel Selector'!$328:$328,0))</f>
        <v>0</v>
      </c>
      <c r="V651" s="125">
        <f>INDEX('Fuel Selector'!$A:$AE,MATCH('TCO - Input'!$D651,'Fuel Selector'!$B:$B,0),MATCH(V$6,'Fuel Selector'!$328:$328,0))</f>
        <v>0</v>
      </c>
      <c r="W651" s="125">
        <f>INDEX('Fuel Selector'!$A:$AE,MATCH('TCO - Input'!$D651,'Fuel Selector'!$B:$B,0),MATCH(W$6,'Fuel Selector'!$328:$328,0))</f>
        <v>0</v>
      </c>
      <c r="X651" s="125">
        <f>INDEX('Fuel Selector'!$A:$AE,MATCH('TCO - Input'!$D651,'Fuel Selector'!$B:$B,0),MATCH(X$6,'Fuel Selector'!$328:$328,0))</f>
        <v>0</v>
      </c>
      <c r="Y651" s="125">
        <f>INDEX('Fuel Selector'!$A:$AE,MATCH('TCO - Input'!$D651,'Fuel Selector'!$B:$B,0),MATCH(Y$6,'Fuel Selector'!$328:$328,0))</f>
        <v>0</v>
      </c>
      <c r="Z651" s="125">
        <f>INDEX('Fuel Selector'!$A:$AE,MATCH('TCO - Input'!$D651,'Fuel Selector'!$B:$B,0),MATCH(Z$6,'Fuel Selector'!$328:$328,0))</f>
        <v>0</v>
      </c>
      <c r="AA651" s="125">
        <f>INDEX('Fuel Selector'!$A:$AE,MATCH('TCO - Input'!$D651,'Fuel Selector'!$B:$B,0),MATCH(AA$6,'Fuel Selector'!$328:$328,0))</f>
        <v>0</v>
      </c>
      <c r="AB651" s="125">
        <f>INDEX('Fuel Selector'!$A:$AE,MATCH('TCO - Input'!$D651,'Fuel Selector'!$B:$B,0),MATCH(AB$6,'Fuel Selector'!$328:$328,0))</f>
        <v>0</v>
      </c>
      <c r="AC651" s="125">
        <f>INDEX('Fuel Selector'!$A:$AE,MATCH('TCO - Input'!$D651,'Fuel Selector'!$B:$B,0),MATCH(AC$6,'Fuel Selector'!$328:$328,0))</f>
        <v>0</v>
      </c>
      <c r="AD651" s="125">
        <f>INDEX('Fuel Selector'!$A:$AE,MATCH('TCO - Input'!$D651,'Fuel Selector'!$B:$B,0),MATCH(AD$6,'Fuel Selector'!$328:$328,0))</f>
        <v>0</v>
      </c>
    </row>
    <row r="652" spans="2:58" x14ac:dyDescent="0.2">
      <c r="B652"/>
      <c r="C652" s="48">
        <f t="shared" si="585"/>
        <v>8</v>
      </c>
      <c r="D652" s="347" t="str">
        <f t="shared" si="582"/>
        <v>e-Methane (DAC) - Global - Prim. energy efficiency - %</v>
      </c>
      <c r="F652" t="str" cm="1">
        <f t="array" ref="F652">INDEX(list_ME_fuel,$C652)</f>
        <v>e-Methane (DAC)</v>
      </c>
      <c r="L652" t="s">
        <v>109</v>
      </c>
      <c r="N652" t="str">
        <f t="shared" si="583"/>
        <v>Prim. energy efficiency - %</v>
      </c>
      <c r="P652" t="str">
        <f t="shared" si="584"/>
        <v>From tab A.1 Fuel selector</v>
      </c>
      <c r="Q652" t="str">
        <f t="shared" si="586"/>
        <v>%</v>
      </c>
      <c r="S652" s="125">
        <f>INDEX('Fuel Selector'!$A:$AE,MATCH('TCO - Input'!$D652,'Fuel Selector'!$B:$B,0),MATCH(S$6,'Fuel Selector'!$328:$328,0))</f>
        <v>0.38517301543254556</v>
      </c>
      <c r="T652" s="125">
        <f>INDEX('Fuel Selector'!$A:$AE,MATCH('TCO - Input'!$D652,'Fuel Selector'!$B:$B,0),MATCH(T$6,'Fuel Selector'!$328:$328,0))</f>
        <v>0.39252249244217852</v>
      </c>
      <c r="U652" s="125">
        <f>INDEX('Fuel Selector'!$A:$AE,MATCH('TCO - Input'!$D652,'Fuel Selector'!$B:$B,0),MATCH(U$6,'Fuel Selector'!$328:$328,0))</f>
        <v>0.40325754916416606</v>
      </c>
      <c r="V652" s="125">
        <f>INDEX('Fuel Selector'!$A:$AE,MATCH('TCO - Input'!$D652,'Fuel Selector'!$B:$B,0),MATCH(V$6,'Fuel Selector'!$328:$328,0))</f>
        <v>0.4219891773215062</v>
      </c>
      <c r="W652" s="125">
        <f>INDEX('Fuel Selector'!$A:$AE,MATCH('TCO - Input'!$D652,'Fuel Selector'!$B:$B,0),MATCH(W$6,'Fuel Selector'!$328:$328,0))</f>
        <v>0.44376869213751075</v>
      </c>
      <c r="X652" s="125">
        <f>INDEX('Fuel Selector'!$A:$AE,MATCH('TCO - Input'!$D652,'Fuel Selector'!$B:$B,0),MATCH(X$6,'Fuel Selector'!$328:$328,0))</f>
        <v>0.47098092400363362</v>
      </c>
      <c r="Y652" s="125">
        <f>INDEX('Fuel Selector'!$A:$AE,MATCH('TCO - Input'!$D652,'Fuel Selector'!$B:$B,0),MATCH(Y$6,'Fuel Selector'!$328:$328,0))</f>
        <v>0.49516401302724666</v>
      </c>
      <c r="Z652" s="125">
        <f>INDEX('Fuel Selector'!$A:$AE,MATCH('TCO - Input'!$D652,'Fuel Selector'!$B:$B,0),MATCH(Z$6,'Fuel Selector'!$328:$328,0))</f>
        <v>0.49516401302724666</v>
      </c>
      <c r="AA652" s="125">
        <f>INDEX('Fuel Selector'!$A:$AE,MATCH('TCO - Input'!$D652,'Fuel Selector'!$B:$B,0),MATCH(AA$6,'Fuel Selector'!$328:$328,0))</f>
        <v>0.49516401302724666</v>
      </c>
      <c r="AB652" s="125">
        <f>INDEX('Fuel Selector'!$A:$AE,MATCH('TCO - Input'!$D652,'Fuel Selector'!$B:$B,0),MATCH(AB$6,'Fuel Selector'!$328:$328,0))</f>
        <v>0.49516401302724666</v>
      </c>
      <c r="AC652" s="125">
        <f>INDEX('Fuel Selector'!$A:$AE,MATCH('TCO - Input'!$D652,'Fuel Selector'!$B:$B,0),MATCH(AC$6,'Fuel Selector'!$328:$328,0))</f>
        <v>0.49516401302724666</v>
      </c>
      <c r="AD652" s="125">
        <f>INDEX('Fuel Selector'!$A:$AE,MATCH('TCO - Input'!$D652,'Fuel Selector'!$B:$B,0),MATCH(AD$6,'Fuel Selector'!$328:$328,0))</f>
        <v>0.49516401302724666</v>
      </c>
    </row>
    <row r="653" spans="2:58" x14ac:dyDescent="0.2">
      <c r="B653"/>
      <c r="C653" s="48">
        <f t="shared" si="585"/>
        <v>9</v>
      </c>
      <c r="D653" s="347" t="str">
        <f t="shared" si="582"/>
        <v>e-Methane (PS) - Global - Prim. energy efficiency - %</v>
      </c>
      <c r="F653" t="str" cm="1">
        <f t="array" ref="F653">INDEX(list_ME_fuel,$C653)</f>
        <v>e-Methane (PS)</v>
      </c>
      <c r="L653" t="s">
        <v>109</v>
      </c>
      <c r="N653" t="str">
        <f t="shared" si="583"/>
        <v>Prim. energy efficiency - %</v>
      </c>
      <c r="P653" t="str">
        <f t="shared" si="584"/>
        <v>From tab A.1 Fuel selector</v>
      </c>
      <c r="Q653" t="str">
        <f t="shared" si="586"/>
        <v>%</v>
      </c>
      <c r="S653" s="125">
        <f>INDEX('Fuel Selector'!$A:$AE,MATCH('TCO - Input'!$D653,'Fuel Selector'!$B:$B,0),MATCH(S$6,'Fuel Selector'!$328:$328,0))</f>
        <v>0.4988372126301463</v>
      </c>
      <c r="T653" s="125">
        <f>INDEX('Fuel Selector'!$A:$AE,MATCH('TCO - Input'!$D653,'Fuel Selector'!$B:$B,0),MATCH(T$6,'Fuel Selector'!$328:$328,0))</f>
        <v>0.50136609042740987</v>
      </c>
      <c r="U653" s="125">
        <f>INDEX('Fuel Selector'!$A:$AE,MATCH('TCO - Input'!$D653,'Fuel Selector'!$B:$B,0),MATCH(U$6,'Fuel Selector'!$328:$328,0))</f>
        <v>0.50949579387287647</v>
      </c>
      <c r="V653" s="125">
        <f>INDEX('Fuel Selector'!$A:$AE,MATCH('TCO - Input'!$D653,'Fuel Selector'!$B:$B,0),MATCH(V$6,'Fuel Selector'!$328:$328,0))</f>
        <v>0.53013819465351619</v>
      </c>
      <c r="W653" s="125">
        <f>INDEX('Fuel Selector'!$A:$AE,MATCH('TCO - Input'!$D653,'Fuel Selector'!$B:$B,0),MATCH(W$6,'Fuel Selector'!$328:$328,0))</f>
        <v>0.55510549592942915</v>
      </c>
      <c r="X653" s="125">
        <f>INDEX('Fuel Selector'!$A:$AE,MATCH('TCO - Input'!$D653,'Fuel Selector'!$B:$B,0),MATCH(X$6,'Fuel Selector'!$328:$328,0))</f>
        <v>0.58800166002163434</v>
      </c>
      <c r="Y653" s="125">
        <f>INDEX('Fuel Selector'!$A:$AE,MATCH('TCO - Input'!$D653,'Fuel Selector'!$B:$B,0),MATCH(Y$6,'Fuel Selector'!$328:$328,0))</f>
        <v>0.61558164568843399</v>
      </c>
      <c r="Z653" s="125">
        <f>INDEX('Fuel Selector'!$A:$AE,MATCH('TCO - Input'!$D653,'Fuel Selector'!$B:$B,0),MATCH(Z$6,'Fuel Selector'!$328:$328,0))</f>
        <v>0.61558164568843399</v>
      </c>
      <c r="AA653" s="125">
        <f>INDEX('Fuel Selector'!$A:$AE,MATCH('TCO - Input'!$D653,'Fuel Selector'!$B:$B,0),MATCH(AA$6,'Fuel Selector'!$328:$328,0))</f>
        <v>0.61558164568843399</v>
      </c>
      <c r="AB653" s="125">
        <f>INDEX('Fuel Selector'!$A:$AE,MATCH('TCO - Input'!$D653,'Fuel Selector'!$B:$B,0),MATCH(AB$6,'Fuel Selector'!$328:$328,0))</f>
        <v>0.61558164568843399</v>
      </c>
      <c r="AC653" s="125">
        <f>INDEX('Fuel Selector'!$A:$AE,MATCH('TCO - Input'!$D653,'Fuel Selector'!$B:$B,0),MATCH(AC$6,'Fuel Selector'!$328:$328,0))</f>
        <v>0.61558164568843399</v>
      </c>
      <c r="AD653" s="125">
        <f>INDEX('Fuel Selector'!$A:$AE,MATCH('TCO - Input'!$D653,'Fuel Selector'!$B:$B,0),MATCH(AD$6,'Fuel Selector'!$328:$328,0))</f>
        <v>0.61558164568843399</v>
      </c>
    </row>
    <row r="654" spans="2:58" x14ac:dyDescent="0.2">
      <c r="B654"/>
      <c r="C654" s="48">
        <f t="shared" si="585"/>
        <v>10</v>
      </c>
      <c r="D654" s="347" t="str">
        <f t="shared" si="582"/>
        <v>Biomethanol - Global - Prim. energy efficiency - %</v>
      </c>
      <c r="F654" t="str" cm="1">
        <f t="array" ref="F654">INDEX(list_ME_fuel,$C654)</f>
        <v>Biomethanol</v>
      </c>
      <c r="L654" t="s">
        <v>109</v>
      </c>
      <c r="N654" t="str">
        <f t="shared" si="583"/>
        <v>Prim. energy efficiency - %</v>
      </c>
      <c r="P654" t="str">
        <f t="shared" si="584"/>
        <v>From tab A.1 Fuel selector</v>
      </c>
      <c r="Q654" t="str">
        <f t="shared" si="586"/>
        <v>%</v>
      </c>
      <c r="S654" s="125">
        <f>INDEX('Fuel Selector'!$A:$AE,MATCH('TCO - Input'!$D654,'Fuel Selector'!$B:$B,0),MATCH(S$6,'Fuel Selector'!$328:$328,0))</f>
        <v>0.38249254485049838</v>
      </c>
      <c r="T654" s="125">
        <f>INDEX('Fuel Selector'!$A:$AE,MATCH('TCO - Input'!$D654,'Fuel Selector'!$B:$B,0),MATCH(T$6,'Fuel Selector'!$328:$328,0))</f>
        <v>0.38249254485049838</v>
      </c>
      <c r="U654" s="125">
        <f>INDEX('Fuel Selector'!$A:$AE,MATCH('TCO - Input'!$D654,'Fuel Selector'!$B:$B,0),MATCH(U$6,'Fuel Selector'!$328:$328,0))</f>
        <v>0.38249254485049838</v>
      </c>
      <c r="V654" s="125">
        <f>INDEX('Fuel Selector'!$A:$AE,MATCH('TCO - Input'!$D654,'Fuel Selector'!$B:$B,0),MATCH(V$6,'Fuel Selector'!$328:$328,0))</f>
        <v>0.38249254485049838</v>
      </c>
      <c r="W654" s="125">
        <f>INDEX('Fuel Selector'!$A:$AE,MATCH('TCO - Input'!$D654,'Fuel Selector'!$B:$B,0),MATCH(W$6,'Fuel Selector'!$328:$328,0))</f>
        <v>0.38249254485049838</v>
      </c>
      <c r="X654" s="125">
        <f>INDEX('Fuel Selector'!$A:$AE,MATCH('TCO - Input'!$D654,'Fuel Selector'!$B:$B,0),MATCH(X$6,'Fuel Selector'!$328:$328,0))</f>
        <v>0.38249254485049838</v>
      </c>
      <c r="Y654" s="125">
        <f>INDEX('Fuel Selector'!$A:$AE,MATCH('TCO - Input'!$D654,'Fuel Selector'!$B:$B,0),MATCH(Y$6,'Fuel Selector'!$328:$328,0))</f>
        <v>0.38249254485049838</v>
      </c>
      <c r="Z654" s="125">
        <f>INDEX('Fuel Selector'!$A:$AE,MATCH('TCO - Input'!$D654,'Fuel Selector'!$B:$B,0),MATCH(Z$6,'Fuel Selector'!$328:$328,0))</f>
        <v>0.38249254485049838</v>
      </c>
      <c r="AA654" s="125">
        <f>INDEX('Fuel Selector'!$A:$AE,MATCH('TCO - Input'!$D654,'Fuel Selector'!$B:$B,0),MATCH(AA$6,'Fuel Selector'!$328:$328,0))</f>
        <v>0.38249254485049838</v>
      </c>
      <c r="AB654" s="125">
        <f>INDEX('Fuel Selector'!$A:$AE,MATCH('TCO - Input'!$D654,'Fuel Selector'!$B:$B,0),MATCH(AB$6,'Fuel Selector'!$328:$328,0))</f>
        <v>0.38249254485049838</v>
      </c>
      <c r="AC654" s="125">
        <f>INDEX('Fuel Selector'!$A:$AE,MATCH('TCO - Input'!$D654,'Fuel Selector'!$B:$B,0),MATCH(AC$6,'Fuel Selector'!$328:$328,0))</f>
        <v>0.38249254485049838</v>
      </c>
      <c r="AD654" s="125">
        <f>INDEX('Fuel Selector'!$A:$AE,MATCH('TCO - Input'!$D654,'Fuel Selector'!$B:$B,0),MATCH(AD$6,'Fuel Selector'!$328:$328,0))</f>
        <v>0.38249254485049838</v>
      </c>
    </row>
    <row r="655" spans="2:58" x14ac:dyDescent="0.2">
      <c r="B655"/>
      <c r="C655" s="48">
        <f t="shared" si="585"/>
        <v>11</v>
      </c>
      <c r="D655" s="347" t="str">
        <f t="shared" si="582"/>
        <v>e-Methanol (DAC) - Global - Prim. energy efficiency - %</v>
      </c>
      <c r="F655" t="str" cm="1">
        <f t="array" ref="F655">INDEX(list_ME_fuel,$C655)</f>
        <v>e-Methanol (DAC)</v>
      </c>
      <c r="L655" t="s">
        <v>109</v>
      </c>
      <c r="N655" t="str">
        <f t="shared" si="583"/>
        <v>Prim. energy efficiency - %</v>
      </c>
      <c r="P655" t="str">
        <f t="shared" si="584"/>
        <v>From tab A.1 Fuel selector</v>
      </c>
      <c r="Q655" t="str">
        <f t="shared" si="586"/>
        <v>%</v>
      </c>
      <c r="S655" s="125">
        <f>INDEX('Fuel Selector'!$A:$AE,MATCH('TCO - Input'!$D655,'Fuel Selector'!$B:$B,0),MATCH(S$6,'Fuel Selector'!$328:$328,0))</f>
        <v>0.34664058675865317</v>
      </c>
      <c r="T655" s="125">
        <f>INDEX('Fuel Selector'!$A:$AE,MATCH('TCO - Input'!$D655,'Fuel Selector'!$B:$B,0),MATCH(T$6,'Fuel Selector'!$328:$328,0))</f>
        <v>0.35375542248376846</v>
      </c>
      <c r="U655" s="125">
        <f>INDEX('Fuel Selector'!$A:$AE,MATCH('TCO - Input'!$D655,'Fuel Selector'!$B:$B,0),MATCH(U$6,'Fuel Selector'!$328:$328,0))</f>
        <v>0.36345835145166255</v>
      </c>
      <c r="V655" s="125">
        <f>INDEX('Fuel Selector'!$A:$AE,MATCH('TCO - Input'!$D655,'Fuel Selector'!$B:$B,0),MATCH(V$6,'Fuel Selector'!$328:$328,0))</f>
        <v>0.37928684789326383</v>
      </c>
      <c r="W655" s="125">
        <f>INDEX('Fuel Selector'!$A:$AE,MATCH('TCO - Input'!$D655,'Fuel Selector'!$B:$B,0),MATCH(W$6,'Fuel Selector'!$328:$328,0))</f>
        <v>0.39738073378529432</v>
      </c>
      <c r="X655" s="125">
        <f>INDEX('Fuel Selector'!$A:$AE,MATCH('TCO - Input'!$D655,'Fuel Selector'!$B:$B,0),MATCH(X$6,'Fuel Selector'!$328:$328,0))</f>
        <v>0.4194835639606701</v>
      </c>
      <c r="Y655" s="125">
        <f>INDEX('Fuel Selector'!$A:$AE,MATCH('TCO - Input'!$D655,'Fuel Selector'!$B:$B,0),MATCH(Y$6,'Fuel Selector'!$328:$328,0))</f>
        <v>0.43917067499997209</v>
      </c>
      <c r="Z655" s="125">
        <f>INDEX('Fuel Selector'!$A:$AE,MATCH('TCO - Input'!$D655,'Fuel Selector'!$B:$B,0),MATCH(Z$6,'Fuel Selector'!$328:$328,0))</f>
        <v>0.43917067499997209</v>
      </c>
      <c r="AA655" s="125">
        <f>INDEX('Fuel Selector'!$A:$AE,MATCH('TCO - Input'!$D655,'Fuel Selector'!$B:$B,0),MATCH(AA$6,'Fuel Selector'!$328:$328,0))</f>
        <v>0.43917067499997209</v>
      </c>
      <c r="AB655" s="125">
        <f>INDEX('Fuel Selector'!$A:$AE,MATCH('TCO - Input'!$D655,'Fuel Selector'!$B:$B,0),MATCH(AB$6,'Fuel Selector'!$328:$328,0))</f>
        <v>0.43917067499997209</v>
      </c>
      <c r="AC655" s="125">
        <f>INDEX('Fuel Selector'!$A:$AE,MATCH('TCO - Input'!$D655,'Fuel Selector'!$B:$B,0),MATCH(AC$6,'Fuel Selector'!$328:$328,0))</f>
        <v>0.43917067499997209</v>
      </c>
      <c r="AD655" s="125">
        <f>INDEX('Fuel Selector'!$A:$AE,MATCH('TCO - Input'!$D655,'Fuel Selector'!$B:$B,0),MATCH(AD$6,'Fuel Selector'!$328:$328,0))</f>
        <v>0.43917067499997209</v>
      </c>
    </row>
    <row r="656" spans="2:58" x14ac:dyDescent="0.2">
      <c r="B656"/>
      <c r="C656" s="48">
        <f t="shared" si="585"/>
        <v>12</v>
      </c>
      <c r="D656" s="347" t="str">
        <f t="shared" si="582"/>
        <v>e-Methanol (PS) - Global - Prim. energy efficiency - %</v>
      </c>
      <c r="F656" t="str" cm="1">
        <f t="array" ref="F656">INDEX(list_ME_fuel,$C656)</f>
        <v>e-Methanol (PS)</v>
      </c>
      <c r="L656" t="s">
        <v>109</v>
      </c>
      <c r="N656" t="str">
        <f t="shared" si="583"/>
        <v>Prim. energy efficiency - %</v>
      </c>
      <c r="P656" t="str">
        <f t="shared" si="584"/>
        <v>From tab A.1 Fuel selector</v>
      </c>
      <c r="Q656" t="str">
        <f t="shared" si="586"/>
        <v>%</v>
      </c>
      <c r="S656" s="125">
        <f>INDEX('Fuel Selector'!$A:$AE,MATCH('TCO - Input'!$D656,'Fuel Selector'!$B:$B,0),MATCH(S$6,'Fuel Selector'!$328:$328,0))</f>
        <v>0.46714237462884445</v>
      </c>
      <c r="T656" s="125">
        <f>INDEX('Fuel Selector'!$A:$AE,MATCH('TCO - Input'!$D656,'Fuel Selector'!$B:$B,0),MATCH(T$6,'Fuel Selector'!$328:$328,0))</f>
        <v>0.46924470895162751</v>
      </c>
      <c r="U656" s="125">
        <f>INDEX('Fuel Selector'!$A:$AE,MATCH('TCO - Input'!$D656,'Fuel Selector'!$B:$B,0),MATCH(U$6,'Fuel Selector'!$328:$328,0))</f>
        <v>0.47598708209665719</v>
      </c>
      <c r="V656" s="125">
        <f>INDEX('Fuel Selector'!$A:$AE,MATCH('TCO - Input'!$D656,'Fuel Selector'!$B:$B,0),MATCH(V$6,'Fuel Selector'!$328:$328,0))</f>
        <v>0.4929972768034423</v>
      </c>
      <c r="W656" s="125">
        <f>INDEX('Fuel Selector'!$A:$AE,MATCH('TCO - Input'!$D656,'Fuel Selector'!$B:$B,0),MATCH(W$6,'Fuel Selector'!$328:$328,0))</f>
        <v>0.51336374799578455</v>
      </c>
      <c r="X656" s="125">
        <f>INDEX('Fuel Selector'!$A:$AE,MATCH('TCO - Input'!$D656,'Fuel Selector'!$B:$B,0),MATCH(X$6,'Fuel Selector'!$328:$328,0))</f>
        <v>0.53985693158107728</v>
      </c>
      <c r="Y656" s="125">
        <f>INDEX('Fuel Selector'!$A:$AE,MATCH('TCO - Input'!$D656,'Fuel Selector'!$B:$B,0),MATCH(Y$6,'Fuel Selector'!$328:$328,0))</f>
        <v>0.56177540563152228</v>
      </c>
      <c r="Z656" s="125">
        <f>INDEX('Fuel Selector'!$A:$AE,MATCH('TCO - Input'!$D656,'Fuel Selector'!$B:$B,0),MATCH(Z$6,'Fuel Selector'!$328:$328,0))</f>
        <v>0.56177540563152228</v>
      </c>
      <c r="AA656" s="125">
        <f>INDEX('Fuel Selector'!$A:$AE,MATCH('TCO - Input'!$D656,'Fuel Selector'!$B:$B,0),MATCH(AA$6,'Fuel Selector'!$328:$328,0))</f>
        <v>0.56177540563152228</v>
      </c>
      <c r="AB656" s="125">
        <f>INDEX('Fuel Selector'!$A:$AE,MATCH('TCO - Input'!$D656,'Fuel Selector'!$B:$B,0),MATCH(AB$6,'Fuel Selector'!$328:$328,0))</f>
        <v>0.56177540563152228</v>
      </c>
      <c r="AC656" s="125">
        <f>INDEX('Fuel Selector'!$A:$AE,MATCH('TCO - Input'!$D656,'Fuel Selector'!$B:$B,0),MATCH(AC$6,'Fuel Selector'!$328:$328,0))</f>
        <v>0.56177540563152228</v>
      </c>
      <c r="AD656" s="125">
        <f>INDEX('Fuel Selector'!$A:$AE,MATCH('TCO - Input'!$D656,'Fuel Selector'!$B:$B,0),MATCH(AD$6,'Fuel Selector'!$328:$328,0))</f>
        <v>0.56177540563152228</v>
      </c>
    </row>
    <row r="657" spans="2:30" x14ac:dyDescent="0.2">
      <c r="B657"/>
      <c r="C657" s="48">
        <f t="shared" si="585"/>
        <v>13</v>
      </c>
      <c r="D657" s="347" t="str">
        <f t="shared" si="582"/>
        <v>Biodiesel (HtL) - Global - Prim. energy efficiency - %</v>
      </c>
      <c r="F657" t="str" cm="1">
        <f t="array" ref="F657">INDEX(list_ME_fuel,$C657)</f>
        <v>Biodiesel (HtL)</v>
      </c>
      <c r="L657" t="s">
        <v>109</v>
      </c>
      <c r="N657" t="str">
        <f t="shared" si="583"/>
        <v>Prim. energy efficiency - %</v>
      </c>
      <c r="P657" t="str">
        <f t="shared" si="584"/>
        <v>From tab A.1 Fuel selector</v>
      </c>
      <c r="Q657" t="str">
        <f t="shared" si="586"/>
        <v>%</v>
      </c>
      <c r="S657" s="125">
        <f>INDEX('Fuel Selector'!$A:$AE,MATCH('TCO - Input'!$D657,'Fuel Selector'!$B:$B,0),MATCH(S$6,'Fuel Selector'!$328:$328,0))</f>
        <v>0</v>
      </c>
      <c r="T657" s="125">
        <f>INDEX('Fuel Selector'!$A:$AE,MATCH('TCO - Input'!$D657,'Fuel Selector'!$B:$B,0),MATCH(T$6,'Fuel Selector'!$328:$328,0))</f>
        <v>0</v>
      </c>
      <c r="U657" s="125">
        <f>INDEX('Fuel Selector'!$A:$AE,MATCH('TCO - Input'!$D657,'Fuel Selector'!$B:$B,0),MATCH(U$6,'Fuel Selector'!$328:$328,0))</f>
        <v>0</v>
      </c>
      <c r="V657" s="125">
        <f>INDEX('Fuel Selector'!$A:$AE,MATCH('TCO - Input'!$D657,'Fuel Selector'!$B:$B,0),MATCH(V$6,'Fuel Selector'!$328:$328,0))</f>
        <v>0</v>
      </c>
      <c r="W657" s="125">
        <f>INDEX('Fuel Selector'!$A:$AE,MATCH('TCO - Input'!$D657,'Fuel Selector'!$B:$B,0),MATCH(W$6,'Fuel Selector'!$328:$328,0))</f>
        <v>0</v>
      </c>
      <c r="X657" s="125">
        <f>INDEX('Fuel Selector'!$A:$AE,MATCH('TCO - Input'!$D657,'Fuel Selector'!$B:$B,0),MATCH(X$6,'Fuel Selector'!$328:$328,0))</f>
        <v>0</v>
      </c>
      <c r="Y657" s="125">
        <f>INDEX('Fuel Selector'!$A:$AE,MATCH('TCO - Input'!$D657,'Fuel Selector'!$B:$B,0),MATCH(Y$6,'Fuel Selector'!$328:$328,0))</f>
        <v>0</v>
      </c>
      <c r="Z657" s="125">
        <f>INDEX('Fuel Selector'!$A:$AE,MATCH('TCO - Input'!$D657,'Fuel Selector'!$B:$B,0),MATCH(Z$6,'Fuel Selector'!$328:$328,0))</f>
        <v>0</v>
      </c>
      <c r="AA657" s="125">
        <f>INDEX('Fuel Selector'!$A:$AE,MATCH('TCO - Input'!$D657,'Fuel Selector'!$B:$B,0),MATCH(AA$6,'Fuel Selector'!$328:$328,0))</f>
        <v>0</v>
      </c>
      <c r="AB657" s="125">
        <f>INDEX('Fuel Selector'!$A:$AE,MATCH('TCO - Input'!$D657,'Fuel Selector'!$B:$B,0),MATCH(AB$6,'Fuel Selector'!$328:$328,0))</f>
        <v>0</v>
      </c>
      <c r="AC657" s="125">
        <f>INDEX('Fuel Selector'!$A:$AE,MATCH('TCO - Input'!$D657,'Fuel Selector'!$B:$B,0),MATCH(AC$6,'Fuel Selector'!$328:$328,0))</f>
        <v>0</v>
      </c>
      <c r="AD657" s="125">
        <f>INDEX('Fuel Selector'!$A:$AE,MATCH('TCO - Input'!$D657,'Fuel Selector'!$B:$B,0),MATCH(AD$6,'Fuel Selector'!$328:$328,0))</f>
        <v>0</v>
      </c>
    </row>
    <row r="658" spans="2:30" x14ac:dyDescent="0.2">
      <c r="B658"/>
      <c r="C658" s="48">
        <f t="shared" si="585"/>
        <v>14</v>
      </c>
      <c r="D658" s="347" t="str">
        <f t="shared" si="582"/>
        <v>Biodiesel (Pyr) - Global - Prim. energy efficiency - %</v>
      </c>
      <c r="F658" t="str" cm="1">
        <f t="array" ref="F658">INDEX(list_ME_fuel,$C658)</f>
        <v>Biodiesel (Pyr)</v>
      </c>
      <c r="L658" t="s">
        <v>109</v>
      </c>
      <c r="N658" t="str">
        <f t="shared" si="583"/>
        <v>Prim. energy efficiency - %</v>
      </c>
      <c r="P658" t="str">
        <f t="shared" si="584"/>
        <v>From tab A.1 Fuel selector</v>
      </c>
      <c r="Q658" t="str">
        <f t="shared" si="586"/>
        <v>%</v>
      </c>
      <c r="S658" s="125">
        <f>INDEX('Fuel Selector'!$A:$AE,MATCH('TCO - Input'!$D658,'Fuel Selector'!$B:$B,0),MATCH(S$6,'Fuel Selector'!$328:$328,0))</f>
        <v>0</v>
      </c>
      <c r="T658" s="125">
        <f>INDEX('Fuel Selector'!$A:$AE,MATCH('TCO - Input'!$D658,'Fuel Selector'!$B:$B,0),MATCH(T$6,'Fuel Selector'!$328:$328,0))</f>
        <v>0</v>
      </c>
      <c r="U658" s="125">
        <f>INDEX('Fuel Selector'!$A:$AE,MATCH('TCO - Input'!$D658,'Fuel Selector'!$B:$B,0),MATCH(U$6,'Fuel Selector'!$328:$328,0))</f>
        <v>0</v>
      </c>
      <c r="V658" s="125">
        <f>INDEX('Fuel Selector'!$A:$AE,MATCH('TCO - Input'!$D658,'Fuel Selector'!$B:$B,0),MATCH(V$6,'Fuel Selector'!$328:$328,0))</f>
        <v>0</v>
      </c>
      <c r="W658" s="125">
        <f>INDEX('Fuel Selector'!$A:$AE,MATCH('TCO - Input'!$D658,'Fuel Selector'!$B:$B,0),MATCH(W$6,'Fuel Selector'!$328:$328,0))</f>
        <v>0</v>
      </c>
      <c r="X658" s="125">
        <f>INDEX('Fuel Selector'!$A:$AE,MATCH('TCO - Input'!$D658,'Fuel Selector'!$B:$B,0),MATCH(X$6,'Fuel Selector'!$328:$328,0))</f>
        <v>0</v>
      </c>
      <c r="Y658" s="125">
        <f>INDEX('Fuel Selector'!$A:$AE,MATCH('TCO - Input'!$D658,'Fuel Selector'!$B:$B,0),MATCH(Y$6,'Fuel Selector'!$328:$328,0))</f>
        <v>0</v>
      </c>
      <c r="Z658" s="125">
        <f>INDEX('Fuel Selector'!$A:$AE,MATCH('TCO - Input'!$D658,'Fuel Selector'!$B:$B,0),MATCH(Z$6,'Fuel Selector'!$328:$328,0))</f>
        <v>0</v>
      </c>
      <c r="AA658" s="125">
        <f>INDEX('Fuel Selector'!$A:$AE,MATCH('TCO - Input'!$D658,'Fuel Selector'!$B:$B,0),MATCH(AA$6,'Fuel Selector'!$328:$328,0))</f>
        <v>0</v>
      </c>
      <c r="AB658" s="125">
        <f>INDEX('Fuel Selector'!$A:$AE,MATCH('TCO - Input'!$D658,'Fuel Selector'!$B:$B,0),MATCH(AB$6,'Fuel Selector'!$328:$328,0))</f>
        <v>0</v>
      </c>
      <c r="AC658" s="125">
        <f>INDEX('Fuel Selector'!$A:$AE,MATCH('TCO - Input'!$D658,'Fuel Selector'!$B:$B,0),MATCH(AC$6,'Fuel Selector'!$328:$328,0))</f>
        <v>0</v>
      </c>
      <c r="AD658" s="125">
        <f>INDEX('Fuel Selector'!$A:$AE,MATCH('TCO - Input'!$D658,'Fuel Selector'!$B:$B,0),MATCH(AD$6,'Fuel Selector'!$328:$328,0))</f>
        <v>0</v>
      </c>
    </row>
    <row r="659" spans="2:30" x14ac:dyDescent="0.2">
      <c r="B659"/>
      <c r="C659" s="48">
        <f t="shared" si="585"/>
        <v>15</v>
      </c>
      <c r="D659" s="347" t="str">
        <f t="shared" si="582"/>
        <v>e-Diesel (DAC) - Global - Prim. energy efficiency - %</v>
      </c>
      <c r="F659" t="str" cm="1">
        <f t="array" ref="F659">INDEX(list_ME_fuel,$C659)</f>
        <v>e-Diesel (DAC)</v>
      </c>
      <c r="L659" t="s">
        <v>109</v>
      </c>
      <c r="N659" t="str">
        <f t="shared" si="583"/>
        <v>Prim. energy efficiency - %</v>
      </c>
      <c r="P659" t="str">
        <f t="shared" si="584"/>
        <v>From tab A.1 Fuel selector</v>
      </c>
      <c r="Q659" t="str">
        <f t="shared" si="586"/>
        <v>%</v>
      </c>
      <c r="S659" s="125">
        <f>INDEX('Fuel Selector'!$A:$AE,MATCH('TCO - Input'!$D659,'Fuel Selector'!$B:$B,0),MATCH(S$6,'Fuel Selector'!$328:$328,0))</f>
        <v>0.32865139517542086</v>
      </c>
      <c r="T659" s="125">
        <f>INDEX('Fuel Selector'!$A:$AE,MATCH('TCO - Input'!$D659,'Fuel Selector'!$B:$B,0),MATCH(T$6,'Fuel Selector'!$328:$328,0))</f>
        <v>0.33654303760053605</v>
      </c>
      <c r="U659" s="125">
        <f>INDEX('Fuel Selector'!$A:$AE,MATCH('TCO - Input'!$D659,'Fuel Selector'!$B:$B,0),MATCH(U$6,'Fuel Selector'!$328:$328,0))</f>
        <v>0.34720899460809718</v>
      </c>
      <c r="V659" s="125">
        <f>INDEX('Fuel Selector'!$A:$AE,MATCH('TCO - Input'!$D659,'Fuel Selector'!$B:$B,0),MATCH(V$6,'Fuel Selector'!$328:$328,0))</f>
        <v>0.36450441446732751</v>
      </c>
      <c r="W659" s="125">
        <f>INDEX('Fuel Selector'!$A:$AE,MATCH('TCO - Input'!$D659,'Fuel Selector'!$B:$B,0),MATCH(W$6,'Fuel Selector'!$328:$328,0))</f>
        <v>0.38446878675331092</v>
      </c>
      <c r="X659" s="125">
        <f>INDEX('Fuel Selector'!$A:$AE,MATCH('TCO - Input'!$D659,'Fuel Selector'!$B:$B,0),MATCH(X$6,'Fuel Selector'!$328:$328,0))</f>
        <v>0.40912875220999845</v>
      </c>
      <c r="Y659" s="125">
        <f>INDEX('Fuel Selector'!$A:$AE,MATCH('TCO - Input'!$D659,'Fuel Selector'!$B:$B,0),MATCH(Y$6,'Fuel Selector'!$328:$328,0))</f>
        <v>0.43149377239360348</v>
      </c>
      <c r="Z659" s="125">
        <f>INDEX('Fuel Selector'!$A:$AE,MATCH('TCO - Input'!$D659,'Fuel Selector'!$B:$B,0),MATCH(Z$6,'Fuel Selector'!$328:$328,0))</f>
        <v>0.43149377239360348</v>
      </c>
      <c r="AA659" s="125">
        <f>INDEX('Fuel Selector'!$A:$AE,MATCH('TCO - Input'!$D659,'Fuel Selector'!$B:$B,0),MATCH(AA$6,'Fuel Selector'!$328:$328,0))</f>
        <v>0.43149377239360348</v>
      </c>
      <c r="AB659" s="125">
        <f>INDEX('Fuel Selector'!$A:$AE,MATCH('TCO - Input'!$D659,'Fuel Selector'!$B:$B,0),MATCH(AB$6,'Fuel Selector'!$328:$328,0))</f>
        <v>0.43149377239360348</v>
      </c>
      <c r="AC659" s="125">
        <f>INDEX('Fuel Selector'!$A:$AE,MATCH('TCO - Input'!$D659,'Fuel Selector'!$B:$B,0),MATCH(AC$6,'Fuel Selector'!$328:$328,0))</f>
        <v>0.43149377239360348</v>
      </c>
      <c r="AD659" s="125">
        <f>INDEX('Fuel Selector'!$A:$AE,MATCH('TCO - Input'!$D659,'Fuel Selector'!$B:$B,0),MATCH(AD$6,'Fuel Selector'!$328:$328,0))</f>
        <v>0.43149377239360348</v>
      </c>
    </row>
    <row r="660" spans="2:30" x14ac:dyDescent="0.2">
      <c r="B660"/>
      <c r="C660" s="48">
        <f t="shared" si="585"/>
        <v>16</v>
      </c>
      <c r="D660" s="347" t="str">
        <f t="shared" si="582"/>
        <v>e-Diesel (PS) - Global - Prim. energy efficiency - %</v>
      </c>
      <c r="F660" t="str" cm="1">
        <f t="array" ref="F660">INDEX(list_ME_fuel,$C660)</f>
        <v>e-Diesel (PS)</v>
      </c>
      <c r="L660" t="s">
        <v>109</v>
      </c>
      <c r="N660" t="str">
        <f t="shared" si="583"/>
        <v>Prim. energy efficiency - %</v>
      </c>
      <c r="P660" t="str">
        <f t="shared" si="584"/>
        <v>From tab A.1 Fuel selector</v>
      </c>
      <c r="Q660" t="str">
        <f t="shared" si="586"/>
        <v>%</v>
      </c>
      <c r="S660" s="125">
        <f>INDEX('Fuel Selector'!$A:$AE,MATCH('TCO - Input'!$D660,'Fuel Selector'!$B:$B,0),MATCH(S$6,'Fuel Selector'!$328:$328,0))</f>
        <v>0.46209780490741142</v>
      </c>
      <c r="T660" s="125">
        <f>INDEX('Fuel Selector'!$A:$AE,MATCH('TCO - Input'!$D660,'Fuel Selector'!$B:$B,0),MATCH(T$6,'Fuel Selector'!$328:$328,0))</f>
        <v>0.46514224667843035</v>
      </c>
      <c r="U660" s="125">
        <f>INDEX('Fuel Selector'!$A:$AE,MATCH('TCO - Input'!$D660,'Fuel Selector'!$B:$B,0),MATCH(U$6,'Fuel Selector'!$328:$328,0))</f>
        <v>0.4734701920337428</v>
      </c>
      <c r="V660" s="125">
        <f>INDEX('Fuel Selector'!$A:$AE,MATCH('TCO - Input'!$D660,'Fuel Selector'!$B:$B,0),MATCH(V$6,'Fuel Selector'!$328:$328,0))</f>
        <v>0.49373180849355236</v>
      </c>
      <c r="W660" s="125">
        <f>INDEX('Fuel Selector'!$A:$AE,MATCH('TCO - Input'!$D660,'Fuel Selector'!$B:$B,0),MATCH(W$6,'Fuel Selector'!$328:$328,0))</f>
        <v>0.51822523331391057</v>
      </c>
      <c r="X660" s="125">
        <f>INDEX('Fuel Selector'!$A:$AE,MATCH('TCO - Input'!$D660,'Fuel Selector'!$B:$B,0),MATCH(X$6,'Fuel Selector'!$328:$328,0))</f>
        <v>0.55048498018602732</v>
      </c>
      <c r="Y660" s="125">
        <f>INDEX('Fuel Selector'!$A:$AE,MATCH('TCO - Input'!$D660,'Fuel Selector'!$B:$B,0),MATCH(Y$6,'Fuel Selector'!$328:$328,0))</f>
        <v>0.57778787591233627</v>
      </c>
      <c r="Z660" s="125">
        <f>INDEX('Fuel Selector'!$A:$AE,MATCH('TCO - Input'!$D660,'Fuel Selector'!$B:$B,0),MATCH(Z$6,'Fuel Selector'!$328:$328,0))</f>
        <v>0.57778787591233627</v>
      </c>
      <c r="AA660" s="125">
        <f>INDEX('Fuel Selector'!$A:$AE,MATCH('TCO - Input'!$D660,'Fuel Selector'!$B:$B,0),MATCH(AA$6,'Fuel Selector'!$328:$328,0))</f>
        <v>0.57778787591233627</v>
      </c>
      <c r="AB660" s="125">
        <f>INDEX('Fuel Selector'!$A:$AE,MATCH('TCO - Input'!$D660,'Fuel Selector'!$B:$B,0),MATCH(AB$6,'Fuel Selector'!$328:$328,0))</f>
        <v>0.57778787591233627</v>
      </c>
      <c r="AC660" s="125">
        <f>INDEX('Fuel Selector'!$A:$AE,MATCH('TCO - Input'!$D660,'Fuel Selector'!$B:$B,0),MATCH(AC$6,'Fuel Selector'!$328:$328,0))</f>
        <v>0.57778787591233627</v>
      </c>
      <c r="AD660" s="125">
        <f>INDEX('Fuel Selector'!$A:$AE,MATCH('TCO - Input'!$D660,'Fuel Selector'!$B:$B,0),MATCH(AD$6,'Fuel Selector'!$328:$328,0))</f>
        <v>0.57778787591233627</v>
      </c>
    </row>
    <row r="661" spans="2:30" x14ac:dyDescent="0.2">
      <c r="B661"/>
      <c r="C661" s="48">
        <f t="shared" si="585"/>
        <v>17</v>
      </c>
      <c r="D661" s="347" t="str">
        <f t="shared" si="582"/>
        <v>Biodiesel (HtL blend) - Global - Prim. energy efficiency - %</v>
      </c>
      <c r="F661" t="str" cm="1">
        <f t="array" ref="F661">INDEX(list_ME_fuel,$C661)</f>
        <v>Biodiesel (HtL blend)</v>
      </c>
      <c r="L661" t="s">
        <v>109</v>
      </c>
      <c r="N661" t="str">
        <f t="shared" si="583"/>
        <v>Prim. energy efficiency - %</v>
      </c>
      <c r="P661" t="str">
        <f t="shared" si="584"/>
        <v>From tab A.1 Fuel selector</v>
      </c>
      <c r="Q661" t="str">
        <f t="shared" si="586"/>
        <v>%</v>
      </c>
      <c r="S661" s="125">
        <f>INDEX('Fuel Selector'!$A:$AE,MATCH('TCO - Input'!$D661,'Fuel Selector'!$B:$B,0),MATCH(S$6,'Fuel Selector'!$328:$328,0))</f>
        <v>0</v>
      </c>
      <c r="T661" s="125">
        <f>INDEX('Fuel Selector'!$A:$AE,MATCH('TCO - Input'!$D661,'Fuel Selector'!$B:$B,0),MATCH(T$6,'Fuel Selector'!$328:$328,0))</f>
        <v>0</v>
      </c>
      <c r="U661" s="125">
        <f>INDEX('Fuel Selector'!$A:$AE,MATCH('TCO - Input'!$D661,'Fuel Selector'!$B:$B,0),MATCH(U$6,'Fuel Selector'!$328:$328,0))</f>
        <v>0</v>
      </c>
      <c r="V661" s="125">
        <f>INDEX('Fuel Selector'!$A:$AE,MATCH('TCO - Input'!$D661,'Fuel Selector'!$B:$B,0),MATCH(V$6,'Fuel Selector'!$328:$328,0))</f>
        <v>0</v>
      </c>
      <c r="W661" s="125">
        <f>INDEX('Fuel Selector'!$A:$AE,MATCH('TCO - Input'!$D661,'Fuel Selector'!$B:$B,0),MATCH(W$6,'Fuel Selector'!$328:$328,0))</f>
        <v>0</v>
      </c>
      <c r="X661" s="125">
        <f>INDEX('Fuel Selector'!$A:$AE,MATCH('TCO - Input'!$D661,'Fuel Selector'!$B:$B,0),MATCH(X$6,'Fuel Selector'!$328:$328,0))</f>
        <v>0</v>
      </c>
      <c r="Y661" s="125">
        <f>INDEX('Fuel Selector'!$A:$AE,MATCH('TCO - Input'!$D661,'Fuel Selector'!$B:$B,0),MATCH(Y$6,'Fuel Selector'!$328:$328,0))</f>
        <v>0</v>
      </c>
      <c r="Z661" s="125">
        <f>INDEX('Fuel Selector'!$A:$AE,MATCH('TCO - Input'!$D661,'Fuel Selector'!$B:$B,0),MATCH(Z$6,'Fuel Selector'!$328:$328,0))</f>
        <v>0</v>
      </c>
      <c r="AA661" s="125">
        <f>INDEX('Fuel Selector'!$A:$AE,MATCH('TCO - Input'!$D661,'Fuel Selector'!$B:$B,0),MATCH(AA$6,'Fuel Selector'!$328:$328,0))</f>
        <v>0</v>
      </c>
      <c r="AB661" s="125">
        <f>INDEX('Fuel Selector'!$A:$AE,MATCH('TCO - Input'!$D661,'Fuel Selector'!$B:$B,0),MATCH(AB$6,'Fuel Selector'!$328:$328,0))</f>
        <v>0</v>
      </c>
      <c r="AC661" s="125">
        <f>INDEX('Fuel Selector'!$A:$AE,MATCH('TCO - Input'!$D661,'Fuel Selector'!$B:$B,0),MATCH(AC$6,'Fuel Selector'!$328:$328,0))</f>
        <v>0</v>
      </c>
      <c r="AD661" s="125">
        <f>INDEX('Fuel Selector'!$A:$AE,MATCH('TCO - Input'!$D661,'Fuel Selector'!$B:$B,0),MATCH(AD$6,'Fuel Selector'!$328:$328,0))</f>
        <v>0</v>
      </c>
    </row>
    <row r="662" spans="2:30" x14ac:dyDescent="0.2">
      <c r="B662"/>
      <c r="C662" s="48">
        <f t="shared" si="585"/>
        <v>18</v>
      </c>
      <c r="D662" s="347" t="str">
        <f t="shared" si="582"/>
        <v>Biodiesel (Pyr blend) - Global - Prim. energy efficiency - %</v>
      </c>
      <c r="F662" t="str" cm="1">
        <f t="array" ref="F662">INDEX(list_ME_fuel,$C662)</f>
        <v>Biodiesel (Pyr blend)</v>
      </c>
      <c r="L662" t="s">
        <v>109</v>
      </c>
      <c r="N662" t="str">
        <f t="shared" si="583"/>
        <v>Prim. energy efficiency - %</v>
      </c>
      <c r="P662" t="str">
        <f t="shared" si="584"/>
        <v>From tab A.1 Fuel selector</v>
      </c>
      <c r="Q662" t="str">
        <f t="shared" si="586"/>
        <v>%</v>
      </c>
      <c r="S662" s="125">
        <f>INDEX('Fuel Selector'!$A:$AE,MATCH('TCO - Input'!$D662,'Fuel Selector'!$B:$B,0),MATCH(S$6,'Fuel Selector'!$328:$328,0))</f>
        <v>0</v>
      </c>
      <c r="T662" s="125">
        <f>INDEX('Fuel Selector'!$A:$AE,MATCH('TCO - Input'!$D662,'Fuel Selector'!$B:$B,0),MATCH(T$6,'Fuel Selector'!$328:$328,0))</f>
        <v>0</v>
      </c>
      <c r="U662" s="125">
        <f>INDEX('Fuel Selector'!$A:$AE,MATCH('TCO - Input'!$D662,'Fuel Selector'!$B:$B,0),MATCH(U$6,'Fuel Selector'!$328:$328,0))</f>
        <v>0</v>
      </c>
      <c r="V662" s="125">
        <f>INDEX('Fuel Selector'!$A:$AE,MATCH('TCO - Input'!$D662,'Fuel Selector'!$B:$B,0),MATCH(V$6,'Fuel Selector'!$328:$328,0))</f>
        <v>0</v>
      </c>
      <c r="W662" s="125">
        <f>INDEX('Fuel Selector'!$A:$AE,MATCH('TCO - Input'!$D662,'Fuel Selector'!$B:$B,0),MATCH(W$6,'Fuel Selector'!$328:$328,0))</f>
        <v>0</v>
      </c>
      <c r="X662" s="125">
        <f>INDEX('Fuel Selector'!$A:$AE,MATCH('TCO - Input'!$D662,'Fuel Selector'!$B:$B,0),MATCH(X$6,'Fuel Selector'!$328:$328,0))</f>
        <v>0</v>
      </c>
      <c r="Y662" s="125">
        <f>INDEX('Fuel Selector'!$A:$AE,MATCH('TCO - Input'!$D662,'Fuel Selector'!$B:$B,0),MATCH(Y$6,'Fuel Selector'!$328:$328,0))</f>
        <v>0</v>
      </c>
      <c r="Z662" s="125">
        <f>INDEX('Fuel Selector'!$A:$AE,MATCH('TCO - Input'!$D662,'Fuel Selector'!$B:$B,0),MATCH(Z$6,'Fuel Selector'!$328:$328,0))</f>
        <v>0</v>
      </c>
      <c r="AA662" s="125">
        <f>INDEX('Fuel Selector'!$A:$AE,MATCH('TCO - Input'!$D662,'Fuel Selector'!$B:$B,0),MATCH(AA$6,'Fuel Selector'!$328:$328,0))</f>
        <v>0</v>
      </c>
      <c r="AB662" s="125">
        <f>INDEX('Fuel Selector'!$A:$AE,MATCH('TCO - Input'!$D662,'Fuel Selector'!$B:$B,0),MATCH(AB$6,'Fuel Selector'!$328:$328,0))</f>
        <v>0</v>
      </c>
      <c r="AC662" s="125">
        <f>INDEX('Fuel Selector'!$A:$AE,MATCH('TCO - Input'!$D662,'Fuel Selector'!$B:$B,0),MATCH(AC$6,'Fuel Selector'!$328:$328,0))</f>
        <v>0</v>
      </c>
      <c r="AD662" s="125">
        <f>INDEX('Fuel Selector'!$A:$AE,MATCH('TCO - Input'!$D662,'Fuel Selector'!$B:$B,0),MATCH(AD$6,'Fuel Selector'!$328:$328,0))</f>
        <v>0</v>
      </c>
    </row>
    <row r="663" spans="2:30" x14ac:dyDescent="0.2">
      <c r="B663"/>
      <c r="C663" s="48">
        <f t="shared" si="585"/>
        <v>19</v>
      </c>
      <c r="D663" s="347" t="str">
        <f t="shared" si="582"/>
        <v>Blue hydrogen (liquid) - Global - Prim. energy efficiency - %</v>
      </c>
      <c r="F663" t="str" cm="1">
        <f t="array" ref="F663">INDEX(list_ME_fuel,$C663)</f>
        <v>Blue hydrogen (liquid)</v>
      </c>
      <c r="L663" t="s">
        <v>109</v>
      </c>
      <c r="N663" t="str">
        <f t="shared" si="583"/>
        <v>Prim. energy efficiency - %</v>
      </c>
      <c r="P663" t="str">
        <f t="shared" si="584"/>
        <v>From tab A.1 Fuel selector</v>
      </c>
      <c r="Q663" t="str">
        <f t="shared" si="586"/>
        <v>%</v>
      </c>
      <c r="S663" s="125">
        <f>INDEX('Fuel Selector'!$A:$AE,MATCH('TCO - Input'!$D663,'Fuel Selector'!$B:$B,0),MATCH(S$6,'Fuel Selector'!$328:$328,0))</f>
        <v>0</v>
      </c>
      <c r="T663" s="125">
        <f>INDEX('Fuel Selector'!$A:$AE,MATCH('TCO - Input'!$D663,'Fuel Selector'!$B:$B,0),MATCH(T$6,'Fuel Selector'!$328:$328,0))</f>
        <v>0</v>
      </c>
      <c r="U663" s="125">
        <f>INDEX('Fuel Selector'!$A:$AE,MATCH('TCO - Input'!$D663,'Fuel Selector'!$B:$B,0),MATCH(U$6,'Fuel Selector'!$328:$328,0))</f>
        <v>0</v>
      </c>
      <c r="V663" s="125">
        <f>INDEX('Fuel Selector'!$A:$AE,MATCH('TCO - Input'!$D663,'Fuel Selector'!$B:$B,0),MATCH(V$6,'Fuel Selector'!$328:$328,0))</f>
        <v>0</v>
      </c>
      <c r="W663" s="125">
        <f>INDEX('Fuel Selector'!$A:$AE,MATCH('TCO - Input'!$D663,'Fuel Selector'!$B:$B,0),MATCH(W$6,'Fuel Selector'!$328:$328,0))</f>
        <v>0</v>
      </c>
      <c r="X663" s="125">
        <f>INDEX('Fuel Selector'!$A:$AE,MATCH('TCO - Input'!$D663,'Fuel Selector'!$B:$B,0),MATCH(X$6,'Fuel Selector'!$328:$328,0))</f>
        <v>0</v>
      </c>
      <c r="Y663" s="125">
        <f>INDEX('Fuel Selector'!$A:$AE,MATCH('TCO - Input'!$D663,'Fuel Selector'!$B:$B,0),MATCH(Y$6,'Fuel Selector'!$328:$328,0))</f>
        <v>0</v>
      </c>
      <c r="Z663" s="125">
        <f>INDEX('Fuel Selector'!$A:$AE,MATCH('TCO - Input'!$D663,'Fuel Selector'!$B:$B,0),MATCH(Z$6,'Fuel Selector'!$328:$328,0))</f>
        <v>0</v>
      </c>
      <c r="AA663" s="125">
        <f>INDEX('Fuel Selector'!$A:$AE,MATCH('TCO - Input'!$D663,'Fuel Selector'!$B:$B,0),MATCH(AA$6,'Fuel Selector'!$328:$328,0))</f>
        <v>0</v>
      </c>
      <c r="AB663" s="125">
        <f>INDEX('Fuel Selector'!$A:$AE,MATCH('TCO - Input'!$D663,'Fuel Selector'!$B:$B,0),MATCH(AB$6,'Fuel Selector'!$328:$328,0))</f>
        <v>0</v>
      </c>
      <c r="AC663" s="125">
        <f>INDEX('Fuel Selector'!$A:$AE,MATCH('TCO - Input'!$D663,'Fuel Selector'!$B:$B,0),MATCH(AC$6,'Fuel Selector'!$328:$328,0))</f>
        <v>0</v>
      </c>
      <c r="AD663" s="125">
        <f>INDEX('Fuel Selector'!$A:$AE,MATCH('TCO - Input'!$D663,'Fuel Selector'!$B:$B,0),MATCH(AD$6,'Fuel Selector'!$328:$328,0))</f>
        <v>0</v>
      </c>
    </row>
    <row r="664" spans="2:30" x14ac:dyDescent="0.2">
      <c r="B664"/>
      <c r="C664" s="48">
        <f t="shared" si="585"/>
        <v>20</v>
      </c>
      <c r="D664" s="347" t="str">
        <f t="shared" si="582"/>
        <v>e-Hydrogen (liquid) - Global - Prim. energy efficiency - %</v>
      </c>
      <c r="F664" t="str" cm="1">
        <f t="array" ref="F664">INDEX(list_ME_fuel,$C664)</f>
        <v>e-Hydrogen (liquid)</v>
      </c>
      <c r="L664" t="s">
        <v>109</v>
      </c>
      <c r="N664" t="str">
        <f t="shared" si="583"/>
        <v>Prim. energy efficiency - %</v>
      </c>
      <c r="P664" t="str">
        <f t="shared" si="584"/>
        <v>From tab A.1 Fuel selector</v>
      </c>
      <c r="Q664" t="str">
        <f t="shared" si="586"/>
        <v>%</v>
      </c>
      <c r="S664" s="125">
        <f>INDEX('Fuel Selector'!$A:$AE,MATCH('TCO - Input'!$D664,'Fuel Selector'!$B:$B,0),MATCH(S$6,'Fuel Selector'!$328:$328,0))</f>
        <v>0.53158370554247458</v>
      </c>
      <c r="T664" s="125">
        <f>INDEX('Fuel Selector'!$A:$AE,MATCH('TCO - Input'!$D664,'Fuel Selector'!$B:$B,0),MATCH(T$6,'Fuel Selector'!$328:$328,0))</f>
        <v>0.53390833756130562</v>
      </c>
      <c r="U664" s="125">
        <f>INDEX('Fuel Selector'!$A:$AE,MATCH('TCO - Input'!$D664,'Fuel Selector'!$B:$B,0),MATCH(U$6,'Fuel Selector'!$328:$328,0))</f>
        <v>0.54131189142534042</v>
      </c>
      <c r="V664" s="125">
        <f>INDEX('Fuel Selector'!$A:$AE,MATCH('TCO - Input'!$D664,'Fuel Selector'!$B:$B,0),MATCH(V$6,'Fuel Selector'!$328:$328,0))</f>
        <v>0.56029386332368492</v>
      </c>
      <c r="W664" s="125">
        <f>INDEX('Fuel Selector'!$A:$AE,MATCH('TCO - Input'!$D664,'Fuel Selector'!$B:$B,0),MATCH(W$6,'Fuel Selector'!$328:$328,0))</f>
        <v>0.58328989995912273</v>
      </c>
      <c r="X664" s="125">
        <f>INDEX('Fuel Selector'!$A:$AE,MATCH('TCO - Input'!$D664,'Fuel Selector'!$B:$B,0),MATCH(X$6,'Fuel Selector'!$328:$328,0))</f>
        <v>0.61375917189403317</v>
      </c>
      <c r="Y664" s="125">
        <f>INDEX('Fuel Selector'!$A:$AE,MATCH('TCO - Input'!$D664,'Fuel Selector'!$B:$B,0),MATCH(Y$6,'Fuel Selector'!$328:$328,0))</f>
        <v>0.63915343915343925</v>
      </c>
      <c r="Z664" s="125">
        <f>INDEX('Fuel Selector'!$A:$AE,MATCH('TCO - Input'!$D664,'Fuel Selector'!$B:$B,0),MATCH(Z$6,'Fuel Selector'!$328:$328,0))</f>
        <v>0.63915343915343925</v>
      </c>
      <c r="AA664" s="125">
        <f>INDEX('Fuel Selector'!$A:$AE,MATCH('TCO - Input'!$D664,'Fuel Selector'!$B:$B,0),MATCH(AA$6,'Fuel Selector'!$328:$328,0))</f>
        <v>0.63915343915343925</v>
      </c>
      <c r="AB664" s="125">
        <f>INDEX('Fuel Selector'!$A:$AE,MATCH('TCO - Input'!$D664,'Fuel Selector'!$B:$B,0),MATCH(AB$6,'Fuel Selector'!$328:$328,0))</f>
        <v>0.63915343915343925</v>
      </c>
      <c r="AC664" s="125">
        <f>INDEX('Fuel Selector'!$A:$AE,MATCH('TCO - Input'!$D664,'Fuel Selector'!$B:$B,0),MATCH(AC$6,'Fuel Selector'!$328:$328,0))</f>
        <v>0.63915343915343925</v>
      </c>
      <c r="AD664" s="125">
        <f>INDEX('Fuel Selector'!$A:$AE,MATCH('TCO - Input'!$D664,'Fuel Selector'!$B:$B,0),MATCH(AD$6,'Fuel Selector'!$328:$328,0))</f>
        <v>0.63915343915343925</v>
      </c>
    </row>
    <row r="665" spans="2:30" x14ac:dyDescent="0.2">
      <c r="B665"/>
      <c r="D665"/>
    </row>
    <row r="666" spans="2:30" x14ac:dyDescent="0.2">
      <c r="B666"/>
      <c r="D666"/>
    </row>
    <row r="667" spans="2:30" x14ac:dyDescent="0.2">
      <c r="B667" s="49" t="s">
        <v>613</v>
      </c>
      <c r="C667" s="49"/>
      <c r="D667" s="350"/>
      <c r="E667" s="331"/>
      <c r="F667" s="331"/>
      <c r="G667" s="331"/>
      <c r="H667" s="331"/>
      <c r="I667" s="331"/>
      <c r="J667" s="331"/>
      <c r="K667" s="331"/>
      <c r="L667" s="331"/>
      <c r="M667" s="331"/>
      <c r="N667" s="331"/>
      <c r="O667" s="331"/>
      <c r="P667" s="331"/>
      <c r="Q667" s="331"/>
      <c r="R667" s="331"/>
      <c r="S667" s="331"/>
      <c r="T667" s="331"/>
      <c r="U667" s="331"/>
      <c r="V667" s="331"/>
      <c r="W667" s="331"/>
      <c r="X667" s="331"/>
      <c r="Y667" s="331"/>
      <c r="Z667" s="331"/>
      <c r="AA667" s="331"/>
      <c r="AB667" s="331"/>
      <c r="AC667" s="331"/>
      <c r="AD667" s="331"/>
    </row>
    <row r="668" spans="2:30" x14ac:dyDescent="0.2">
      <c r="B668"/>
      <c r="C668" s="48">
        <v>1</v>
      </c>
      <c r="D668" s="347" t="str">
        <f t="shared" ref="D668:D687" si="587">_xlfn.TEXTJOIN(keydelim,TRUE,E668:N668)</f>
        <v>LSFO - Europe - RE cost - USD/GJ</v>
      </c>
      <c r="F668" t="str" cm="1">
        <f t="array" ref="F668">INDEX(list_ME_fuel,$C668)</f>
        <v>LSFO</v>
      </c>
      <c r="L668" t="s">
        <v>195</v>
      </c>
      <c r="N668" t="str">
        <f t="shared" ref="N668:N731" si="588">"RE cost"  &amp;keydelim&amp;Q668</f>
        <v>RE cost - USD/GJ</v>
      </c>
      <c r="O668" s="224"/>
      <c r="P668" s="224" t="s">
        <v>607</v>
      </c>
      <c r="Q668" t="s">
        <v>324</v>
      </c>
      <c r="R668" s="14"/>
      <c r="S668" s="18">
        <f>INDEX('Fuel Selector'!K$359:K$462,MATCH('TCO - Input'!$D668,'Fuel Selector'!$B$359:$B$462,0))</f>
        <v>0</v>
      </c>
      <c r="T668" s="18">
        <f>INDEX('Fuel Selector'!L$359:L$462,MATCH('TCO - Input'!$D668,'Fuel Selector'!$B$359:$B$462,0))</f>
        <v>0</v>
      </c>
      <c r="U668" s="18">
        <f>INDEX('Fuel Selector'!M$359:M$462,MATCH('TCO - Input'!$D668,'Fuel Selector'!$B$359:$B$462,0))</f>
        <v>0</v>
      </c>
      <c r="V668" s="18">
        <f>INDEX('Fuel Selector'!N$359:N$462,MATCH('TCO - Input'!$D668,'Fuel Selector'!$B$359:$B$462,0))</f>
        <v>0</v>
      </c>
      <c r="W668" s="18">
        <f>INDEX('Fuel Selector'!O$359:O$462,MATCH('TCO - Input'!$D668,'Fuel Selector'!$B$359:$B$462,0))</f>
        <v>0</v>
      </c>
      <c r="X668" s="18">
        <f>INDEX('Fuel Selector'!P$359:P$462,MATCH('TCO - Input'!$D668,'Fuel Selector'!$B$359:$B$462,0))</f>
        <v>0</v>
      </c>
      <c r="Y668" s="18">
        <f>INDEX('Fuel Selector'!Q$359:Q$462,MATCH('TCO - Input'!$D668,'Fuel Selector'!$B$359:$B$462,0))</f>
        <v>0</v>
      </c>
      <c r="Z668" s="18">
        <f>INDEX('Fuel Selector'!R$359:R$462,MATCH('TCO - Input'!$D668,'Fuel Selector'!$B$359:$B$462,0))</f>
        <v>0</v>
      </c>
      <c r="AA668" s="18">
        <f>INDEX('Fuel Selector'!S$359:S$462,MATCH('TCO - Input'!$D668,'Fuel Selector'!$B$359:$B$462,0))</f>
        <v>0</v>
      </c>
      <c r="AB668" s="18">
        <f>INDEX('Fuel Selector'!T$359:T$462,MATCH('TCO - Input'!$D668,'Fuel Selector'!$B$359:$B$462,0))</f>
        <v>0</v>
      </c>
      <c r="AC668" s="18">
        <f>INDEX('Fuel Selector'!U$359:U$462,MATCH('TCO - Input'!$D668,'Fuel Selector'!$B$359:$B$462,0))</f>
        <v>0</v>
      </c>
      <c r="AD668" s="18">
        <f>INDEX('Fuel Selector'!V$359:V$462,MATCH('TCO - Input'!$D668,'Fuel Selector'!$B$359:$B$462,0))</f>
        <v>0</v>
      </c>
    </row>
    <row r="669" spans="2:30" x14ac:dyDescent="0.2">
      <c r="B669"/>
      <c r="C669" s="48">
        <f>+C668+1</f>
        <v>2</v>
      </c>
      <c r="D669" s="347" t="str">
        <f t="shared" si="587"/>
        <v>LNG - Europe - RE cost - USD/GJ</v>
      </c>
      <c r="F669" t="str" cm="1">
        <f t="array" ref="F669">INDEX(list_ME_fuel,$C669)</f>
        <v>LNG</v>
      </c>
      <c r="L669" t="s">
        <v>195</v>
      </c>
      <c r="N669" t="str">
        <f t="shared" si="588"/>
        <v>RE cost - USD/GJ</v>
      </c>
      <c r="Q669" t="s">
        <v>324</v>
      </c>
      <c r="S669" s="18">
        <f>INDEX('Fuel Selector'!K$359:K$462,MATCH('TCO - Input'!$D669,'Fuel Selector'!$B$359:$B$462,0))</f>
        <v>0</v>
      </c>
      <c r="T669" s="18">
        <f>INDEX('Fuel Selector'!L$359:L$462,MATCH('TCO - Input'!$D669,'Fuel Selector'!$B$359:$B$462,0))</f>
        <v>0</v>
      </c>
      <c r="U669" s="18">
        <f>INDEX('Fuel Selector'!M$359:M$462,MATCH('TCO - Input'!$D669,'Fuel Selector'!$B$359:$B$462,0))</f>
        <v>0</v>
      </c>
      <c r="V669" s="18">
        <f>INDEX('Fuel Selector'!N$359:N$462,MATCH('TCO - Input'!$D669,'Fuel Selector'!$B$359:$B$462,0))</f>
        <v>0</v>
      </c>
      <c r="W669" s="18">
        <f>INDEX('Fuel Selector'!O$359:O$462,MATCH('TCO - Input'!$D669,'Fuel Selector'!$B$359:$B$462,0))</f>
        <v>0</v>
      </c>
      <c r="X669" s="18">
        <f>INDEX('Fuel Selector'!P$359:P$462,MATCH('TCO - Input'!$D669,'Fuel Selector'!$B$359:$B$462,0))</f>
        <v>0</v>
      </c>
      <c r="Y669" s="18">
        <f>INDEX('Fuel Selector'!Q$359:Q$462,MATCH('TCO - Input'!$D669,'Fuel Selector'!$B$359:$B$462,0))</f>
        <v>0</v>
      </c>
      <c r="Z669" s="18">
        <f>INDEX('Fuel Selector'!R$359:R$462,MATCH('TCO - Input'!$D669,'Fuel Selector'!$B$359:$B$462,0))</f>
        <v>0</v>
      </c>
      <c r="AA669" s="18">
        <f>INDEX('Fuel Selector'!S$359:S$462,MATCH('TCO - Input'!$D669,'Fuel Selector'!$B$359:$B$462,0))</f>
        <v>0</v>
      </c>
      <c r="AB669" s="18">
        <f>INDEX('Fuel Selector'!T$359:T$462,MATCH('TCO - Input'!$D669,'Fuel Selector'!$B$359:$B$462,0))</f>
        <v>0</v>
      </c>
      <c r="AC669" s="18">
        <f>INDEX('Fuel Selector'!U$359:U$462,MATCH('TCO - Input'!$D669,'Fuel Selector'!$B$359:$B$462,0))</f>
        <v>0</v>
      </c>
      <c r="AD669" s="18">
        <f>INDEX('Fuel Selector'!V$359:V$462,MATCH('TCO - Input'!$D669,'Fuel Selector'!$B$359:$B$462,0))</f>
        <v>0</v>
      </c>
    </row>
    <row r="670" spans="2:30" x14ac:dyDescent="0.2">
      <c r="B670"/>
      <c r="C670" s="48">
        <f t="shared" ref="C670:C687" si="589">+C669+1</f>
        <v>3</v>
      </c>
      <c r="D670" s="347" t="str">
        <f t="shared" si="587"/>
        <v>LPG - Europe - RE cost - USD/GJ</v>
      </c>
      <c r="F670" t="str" cm="1">
        <f t="array" ref="F670">INDEX(list_ME_fuel,$C670)</f>
        <v>LPG</v>
      </c>
      <c r="L670" t="s">
        <v>195</v>
      </c>
      <c r="N670" t="str">
        <f t="shared" si="588"/>
        <v>RE cost - USD/GJ</v>
      </c>
      <c r="Q670" t="s">
        <v>324</v>
      </c>
      <c r="S670" s="18">
        <f>INDEX('Fuel Selector'!K$359:K$462,MATCH('TCO - Input'!$D670,'Fuel Selector'!$B$359:$B$462,0))</f>
        <v>0</v>
      </c>
      <c r="T670" s="18">
        <f>INDEX('Fuel Selector'!L$359:L$462,MATCH('TCO - Input'!$D670,'Fuel Selector'!$B$359:$B$462,0))</f>
        <v>0</v>
      </c>
      <c r="U670" s="18">
        <f>INDEX('Fuel Selector'!M$359:M$462,MATCH('TCO - Input'!$D670,'Fuel Selector'!$B$359:$B$462,0))</f>
        <v>0</v>
      </c>
      <c r="V670" s="18">
        <f>INDEX('Fuel Selector'!N$359:N$462,MATCH('TCO - Input'!$D670,'Fuel Selector'!$B$359:$B$462,0))</f>
        <v>0</v>
      </c>
      <c r="W670" s="18">
        <f>INDEX('Fuel Selector'!O$359:O$462,MATCH('TCO - Input'!$D670,'Fuel Selector'!$B$359:$B$462,0))</f>
        <v>0</v>
      </c>
      <c r="X670" s="18">
        <f>INDEX('Fuel Selector'!P$359:P$462,MATCH('TCO - Input'!$D670,'Fuel Selector'!$B$359:$B$462,0))</f>
        <v>0</v>
      </c>
      <c r="Y670" s="18">
        <f>INDEX('Fuel Selector'!Q$359:Q$462,MATCH('TCO - Input'!$D670,'Fuel Selector'!$B$359:$B$462,0))</f>
        <v>0</v>
      </c>
      <c r="Z670" s="18">
        <f>INDEX('Fuel Selector'!R$359:R$462,MATCH('TCO - Input'!$D670,'Fuel Selector'!$B$359:$B$462,0))</f>
        <v>0</v>
      </c>
      <c r="AA670" s="18">
        <f>INDEX('Fuel Selector'!S$359:S$462,MATCH('TCO - Input'!$D670,'Fuel Selector'!$B$359:$B$462,0))</f>
        <v>0</v>
      </c>
      <c r="AB670" s="18">
        <f>INDEX('Fuel Selector'!T$359:T$462,MATCH('TCO - Input'!$D670,'Fuel Selector'!$B$359:$B$462,0))</f>
        <v>0</v>
      </c>
      <c r="AC670" s="18">
        <f>INDEX('Fuel Selector'!U$359:U$462,MATCH('TCO - Input'!$D670,'Fuel Selector'!$B$359:$B$462,0))</f>
        <v>0</v>
      </c>
      <c r="AD670" s="18">
        <f>INDEX('Fuel Selector'!V$359:V$462,MATCH('TCO - Input'!$D670,'Fuel Selector'!$B$359:$B$462,0))</f>
        <v>0</v>
      </c>
    </row>
    <row r="671" spans="2:30" x14ac:dyDescent="0.2">
      <c r="B671" s="18"/>
      <c r="C671" s="48">
        <f t="shared" si="589"/>
        <v>4</v>
      </c>
      <c r="D671" s="347" t="str">
        <f t="shared" si="587"/>
        <v>Electricity - Europe - RE cost - USD/GJ</v>
      </c>
      <c r="F671" t="str" cm="1">
        <f t="array" ref="F671">INDEX(list_ME_fuel,$C671)</f>
        <v>Electricity</v>
      </c>
      <c r="L671" t="s">
        <v>195</v>
      </c>
      <c r="N671" t="str">
        <f t="shared" si="588"/>
        <v>RE cost - USD/GJ</v>
      </c>
      <c r="Q671" t="s">
        <v>324</v>
      </c>
      <c r="S671" s="18">
        <f>INDEX('Fuel Selector'!K$359:K$462,MATCH('TCO - Input'!$D671,'Fuel Selector'!$B$359:$B$462,0))</f>
        <v>0</v>
      </c>
      <c r="T671" s="18">
        <f>INDEX('Fuel Selector'!L$359:L$462,MATCH('TCO - Input'!$D671,'Fuel Selector'!$B$359:$B$462,0))</f>
        <v>0</v>
      </c>
      <c r="U671" s="18">
        <f>INDEX('Fuel Selector'!M$359:M$462,MATCH('TCO - Input'!$D671,'Fuel Selector'!$B$359:$B$462,0))</f>
        <v>0</v>
      </c>
      <c r="V671" s="18">
        <f>INDEX('Fuel Selector'!N$359:N$462,MATCH('TCO - Input'!$D671,'Fuel Selector'!$B$359:$B$462,0))</f>
        <v>0</v>
      </c>
      <c r="W671" s="18">
        <f>INDEX('Fuel Selector'!O$359:O$462,MATCH('TCO - Input'!$D671,'Fuel Selector'!$B$359:$B$462,0))</f>
        <v>0</v>
      </c>
      <c r="X671" s="18">
        <f>INDEX('Fuel Selector'!P$359:P$462,MATCH('TCO - Input'!$D671,'Fuel Selector'!$B$359:$B$462,0))</f>
        <v>0</v>
      </c>
      <c r="Y671" s="18">
        <f>INDEX('Fuel Selector'!Q$359:Q$462,MATCH('TCO - Input'!$D671,'Fuel Selector'!$B$359:$B$462,0))</f>
        <v>0</v>
      </c>
      <c r="Z671" s="18">
        <f>INDEX('Fuel Selector'!R$359:R$462,MATCH('TCO - Input'!$D671,'Fuel Selector'!$B$359:$B$462,0))</f>
        <v>0</v>
      </c>
      <c r="AA671" s="18">
        <f>INDEX('Fuel Selector'!S$359:S$462,MATCH('TCO - Input'!$D671,'Fuel Selector'!$B$359:$B$462,0))</f>
        <v>0</v>
      </c>
      <c r="AB671" s="18">
        <f>INDEX('Fuel Selector'!T$359:T$462,MATCH('TCO - Input'!$D671,'Fuel Selector'!$B$359:$B$462,0))</f>
        <v>0</v>
      </c>
      <c r="AC671" s="18">
        <f>INDEX('Fuel Selector'!U$359:U$462,MATCH('TCO - Input'!$D671,'Fuel Selector'!$B$359:$B$462,0))</f>
        <v>0</v>
      </c>
      <c r="AD671" s="18">
        <f>INDEX('Fuel Selector'!V$359:V$462,MATCH('TCO - Input'!$D671,'Fuel Selector'!$B$359:$B$462,0))</f>
        <v>0</v>
      </c>
    </row>
    <row r="672" spans="2:30" x14ac:dyDescent="0.2">
      <c r="B672" s="18"/>
      <c r="C672" s="48">
        <f t="shared" si="589"/>
        <v>5</v>
      </c>
      <c r="D672" s="347" t="str">
        <f t="shared" si="587"/>
        <v>e-Ammonia - Europe - RE cost - USD/GJ</v>
      </c>
      <c r="F672" t="str" cm="1">
        <f t="array" ref="F672">INDEX(list_ME_fuel,$C672)</f>
        <v>e-Ammonia</v>
      </c>
      <c r="L672" t="s">
        <v>195</v>
      </c>
      <c r="N672" t="str">
        <f t="shared" si="588"/>
        <v>RE cost - USD/GJ</v>
      </c>
      <c r="Q672" t="s">
        <v>324</v>
      </c>
      <c r="S672" s="18">
        <f>INDEX('Fuel Selector'!K$359:K$462,MATCH('TCO - Input'!$D672,'Fuel Selector'!$B$359:$B$462,0))</f>
        <v>29.086943041324581</v>
      </c>
      <c r="T672" s="18">
        <f>INDEX('Fuel Selector'!L$359:L$462,MATCH('TCO - Input'!$D672,'Fuel Selector'!$B$359:$B$462,0))</f>
        <v>23.428526031022443</v>
      </c>
      <c r="U672" s="18">
        <f>INDEX('Fuel Selector'!M$359:M$462,MATCH('TCO - Input'!$D672,'Fuel Selector'!$B$359:$B$462,0))</f>
        <v>18.718796736340131</v>
      </c>
      <c r="V672" s="18">
        <f>INDEX('Fuel Selector'!N$359:N$462,MATCH('TCO - Input'!$D672,'Fuel Selector'!$B$359:$B$462,0))</f>
        <v>16.299732212860782</v>
      </c>
      <c r="W672" s="18">
        <f>INDEX('Fuel Selector'!O$359:O$462,MATCH('TCO - Input'!$D672,'Fuel Selector'!$B$359:$B$462,0))</f>
        <v>14.584052949845061</v>
      </c>
      <c r="X672" s="18">
        <f>INDEX('Fuel Selector'!P$359:P$462,MATCH('TCO - Input'!$D672,'Fuel Selector'!$B$359:$B$462,0))</f>
        <v>12.68986475820239</v>
      </c>
      <c r="Y672" s="18">
        <f>INDEX('Fuel Selector'!Q$359:Q$462,MATCH('TCO - Input'!$D672,'Fuel Selector'!$B$359:$B$462,0))</f>
        <v>11.345427606514658</v>
      </c>
      <c r="Z672" s="18">
        <f>INDEX('Fuel Selector'!R$359:R$462,MATCH('TCO - Input'!$D672,'Fuel Selector'!$B$359:$B$462,0))</f>
        <v>11.345427606514658</v>
      </c>
      <c r="AA672" s="18">
        <f>INDEX('Fuel Selector'!S$359:S$462,MATCH('TCO - Input'!$D672,'Fuel Selector'!$B$359:$B$462,0))</f>
        <v>11.345427606514658</v>
      </c>
      <c r="AB672" s="18">
        <f>INDEX('Fuel Selector'!T$359:T$462,MATCH('TCO - Input'!$D672,'Fuel Selector'!$B$359:$B$462,0))</f>
        <v>11.345427606514658</v>
      </c>
      <c r="AC672" s="18">
        <f>INDEX('Fuel Selector'!U$359:U$462,MATCH('TCO - Input'!$D672,'Fuel Selector'!$B$359:$B$462,0))</f>
        <v>11.345427606514658</v>
      </c>
      <c r="AD672" s="18">
        <f>INDEX('Fuel Selector'!V$359:V$462,MATCH('TCO - Input'!$D672,'Fuel Selector'!$B$359:$B$462,0))</f>
        <v>11.345427606514658</v>
      </c>
    </row>
    <row r="673" spans="2:30" x14ac:dyDescent="0.2">
      <c r="B673" s="18"/>
      <c r="C673" s="48">
        <f t="shared" si="589"/>
        <v>6</v>
      </c>
      <c r="D673" s="347" t="str">
        <f t="shared" si="587"/>
        <v>Blue ammonia - Europe - RE cost - USD/GJ</v>
      </c>
      <c r="F673" t="str" cm="1">
        <f t="array" ref="F673">INDEX(list_ME_fuel,$C673)</f>
        <v>Blue ammonia</v>
      </c>
      <c r="L673" t="s">
        <v>195</v>
      </c>
      <c r="N673" t="str">
        <f t="shared" si="588"/>
        <v>RE cost - USD/GJ</v>
      </c>
      <c r="Q673" t="s">
        <v>324</v>
      </c>
      <c r="S673" s="18">
        <f>INDEX('Fuel Selector'!K$359:K$462,MATCH('TCO - Input'!$D673,'Fuel Selector'!$B$359:$B$462,0))</f>
        <v>0</v>
      </c>
      <c r="T673" s="18">
        <f>INDEX('Fuel Selector'!L$359:L$462,MATCH('TCO - Input'!$D673,'Fuel Selector'!$B$359:$B$462,0))</f>
        <v>0</v>
      </c>
      <c r="U673" s="18">
        <f>INDEX('Fuel Selector'!M$359:M$462,MATCH('TCO - Input'!$D673,'Fuel Selector'!$B$359:$B$462,0))</f>
        <v>0</v>
      </c>
      <c r="V673" s="18">
        <f>INDEX('Fuel Selector'!N$359:N$462,MATCH('TCO - Input'!$D673,'Fuel Selector'!$B$359:$B$462,0))</f>
        <v>0</v>
      </c>
      <c r="W673" s="18">
        <f>INDEX('Fuel Selector'!O$359:O$462,MATCH('TCO - Input'!$D673,'Fuel Selector'!$B$359:$B$462,0))</f>
        <v>0</v>
      </c>
      <c r="X673" s="18">
        <f>INDEX('Fuel Selector'!P$359:P$462,MATCH('TCO - Input'!$D673,'Fuel Selector'!$B$359:$B$462,0))</f>
        <v>0</v>
      </c>
      <c r="Y673" s="18">
        <f>INDEX('Fuel Selector'!Q$359:Q$462,MATCH('TCO - Input'!$D673,'Fuel Selector'!$B$359:$B$462,0))</f>
        <v>0</v>
      </c>
      <c r="Z673" s="18">
        <f>INDEX('Fuel Selector'!R$359:R$462,MATCH('TCO - Input'!$D673,'Fuel Selector'!$B$359:$B$462,0))</f>
        <v>0</v>
      </c>
      <c r="AA673" s="18">
        <f>INDEX('Fuel Selector'!S$359:S$462,MATCH('TCO - Input'!$D673,'Fuel Selector'!$B$359:$B$462,0))</f>
        <v>0</v>
      </c>
      <c r="AB673" s="18">
        <f>INDEX('Fuel Selector'!T$359:T$462,MATCH('TCO - Input'!$D673,'Fuel Selector'!$B$359:$B$462,0))</f>
        <v>0</v>
      </c>
      <c r="AC673" s="18">
        <f>INDEX('Fuel Selector'!U$359:U$462,MATCH('TCO - Input'!$D673,'Fuel Selector'!$B$359:$B$462,0))</f>
        <v>0</v>
      </c>
      <c r="AD673" s="18">
        <f>INDEX('Fuel Selector'!V$359:V$462,MATCH('TCO - Input'!$D673,'Fuel Selector'!$B$359:$B$462,0))</f>
        <v>0</v>
      </c>
    </row>
    <row r="674" spans="2:30" x14ac:dyDescent="0.2">
      <c r="B674"/>
      <c r="C674" s="48">
        <f t="shared" si="589"/>
        <v>7</v>
      </c>
      <c r="D674" s="347" t="str">
        <f t="shared" si="587"/>
        <v>Biomethane - Europe - RE cost - USD/GJ</v>
      </c>
      <c r="F674" t="str" cm="1">
        <f t="array" ref="F674">INDEX(list_ME_fuel,$C674)</f>
        <v>Biomethane</v>
      </c>
      <c r="L674" t="s">
        <v>195</v>
      </c>
      <c r="N674" t="str">
        <f t="shared" si="588"/>
        <v>RE cost - USD/GJ</v>
      </c>
      <c r="Q674" t="s">
        <v>324</v>
      </c>
      <c r="S674" s="18">
        <f>INDEX('Fuel Selector'!K$359:K$462,MATCH('TCO - Input'!$D674,'Fuel Selector'!$B$359:$B$462,0))</f>
        <v>0</v>
      </c>
      <c r="T674" s="18">
        <f>INDEX('Fuel Selector'!L$359:L$462,MATCH('TCO - Input'!$D674,'Fuel Selector'!$B$359:$B$462,0))</f>
        <v>0</v>
      </c>
      <c r="U674" s="18">
        <f>INDEX('Fuel Selector'!M$359:M$462,MATCH('TCO - Input'!$D674,'Fuel Selector'!$B$359:$B$462,0))</f>
        <v>0</v>
      </c>
      <c r="V674" s="18">
        <f>INDEX('Fuel Selector'!N$359:N$462,MATCH('TCO - Input'!$D674,'Fuel Selector'!$B$359:$B$462,0))</f>
        <v>0</v>
      </c>
      <c r="W674" s="18">
        <f>INDEX('Fuel Selector'!O$359:O$462,MATCH('TCO - Input'!$D674,'Fuel Selector'!$B$359:$B$462,0))</f>
        <v>0</v>
      </c>
      <c r="X674" s="18">
        <f>INDEX('Fuel Selector'!P$359:P$462,MATCH('TCO - Input'!$D674,'Fuel Selector'!$B$359:$B$462,0))</f>
        <v>0</v>
      </c>
      <c r="Y674" s="18">
        <f>INDEX('Fuel Selector'!Q$359:Q$462,MATCH('TCO - Input'!$D674,'Fuel Selector'!$B$359:$B$462,0))</f>
        <v>0</v>
      </c>
      <c r="Z674" s="18">
        <f>INDEX('Fuel Selector'!R$359:R$462,MATCH('TCO - Input'!$D674,'Fuel Selector'!$B$359:$B$462,0))</f>
        <v>0</v>
      </c>
      <c r="AA674" s="18">
        <f>INDEX('Fuel Selector'!S$359:S$462,MATCH('TCO - Input'!$D674,'Fuel Selector'!$B$359:$B$462,0))</f>
        <v>0</v>
      </c>
      <c r="AB674" s="18">
        <f>INDEX('Fuel Selector'!T$359:T$462,MATCH('TCO - Input'!$D674,'Fuel Selector'!$B$359:$B$462,0))</f>
        <v>0</v>
      </c>
      <c r="AC674" s="18">
        <f>INDEX('Fuel Selector'!U$359:U$462,MATCH('TCO - Input'!$D674,'Fuel Selector'!$B$359:$B$462,0))</f>
        <v>0</v>
      </c>
      <c r="AD674" s="18">
        <f>INDEX('Fuel Selector'!V$359:V$462,MATCH('TCO - Input'!$D674,'Fuel Selector'!$B$359:$B$462,0))</f>
        <v>0</v>
      </c>
    </row>
    <row r="675" spans="2:30" x14ac:dyDescent="0.2">
      <c r="B675"/>
      <c r="C675" s="48">
        <f t="shared" si="589"/>
        <v>8</v>
      </c>
      <c r="D675" s="347" t="str">
        <f t="shared" si="587"/>
        <v>e-Methane (DAC) - Europe - RE cost - USD/GJ</v>
      </c>
      <c r="F675" t="str" cm="1">
        <f t="array" ref="F675">INDEX(list_ME_fuel,$C675)</f>
        <v>e-Methane (DAC)</v>
      </c>
      <c r="L675" t="s">
        <v>195</v>
      </c>
      <c r="N675" t="str">
        <f t="shared" si="588"/>
        <v>RE cost - USD/GJ</v>
      </c>
      <c r="Q675" t="s">
        <v>324</v>
      </c>
      <c r="S675" s="18">
        <f>INDEX('Fuel Selector'!K$359:K$462,MATCH('TCO - Input'!$D675,'Fuel Selector'!$B$359:$B$462,0))</f>
        <v>30.058183235680293</v>
      </c>
      <c r="T675" s="18">
        <f>INDEX('Fuel Selector'!L$359:L$462,MATCH('TCO - Input'!$D675,'Fuel Selector'!$B$359:$B$462,0))</f>
        <v>24.209633558877194</v>
      </c>
      <c r="U675" s="18">
        <f>INDEX('Fuel Selector'!M$359:M$462,MATCH('TCO - Input'!$D675,'Fuel Selector'!$B$359:$B$462,0))</f>
        <v>19.340156180396136</v>
      </c>
      <c r="V675" s="18">
        <f>INDEX('Fuel Selector'!N$359:N$462,MATCH('TCO - Input'!$D675,'Fuel Selector'!$B$359:$B$462,0))</f>
        <v>16.834175339995468</v>
      </c>
      <c r="W675" s="18">
        <f>INDEX('Fuel Selector'!O$359:O$462,MATCH('TCO - Input'!$D675,'Fuel Selector'!$B$359:$B$462,0))</f>
        <v>15.054541516370406</v>
      </c>
      <c r="X675" s="18">
        <f>INDEX('Fuel Selector'!P$359:P$462,MATCH('TCO - Input'!$D675,'Fuel Selector'!$B$359:$B$462,0))</f>
        <v>13.08932366328607</v>
      </c>
      <c r="Y675" s="18">
        <f>INDEX('Fuel Selector'!Q$359:Q$462,MATCH('TCO - Input'!$D675,'Fuel Selector'!$B$359:$B$462,0))</f>
        <v>11.69473298835579</v>
      </c>
      <c r="Z675" s="18">
        <f>INDEX('Fuel Selector'!R$359:R$462,MATCH('TCO - Input'!$D675,'Fuel Selector'!$B$359:$B$462,0))</f>
        <v>11.69473298835579</v>
      </c>
      <c r="AA675" s="18">
        <f>INDEX('Fuel Selector'!S$359:S$462,MATCH('TCO - Input'!$D675,'Fuel Selector'!$B$359:$B$462,0))</f>
        <v>11.69473298835579</v>
      </c>
      <c r="AB675" s="18">
        <f>INDEX('Fuel Selector'!T$359:T$462,MATCH('TCO - Input'!$D675,'Fuel Selector'!$B$359:$B$462,0))</f>
        <v>11.69473298835579</v>
      </c>
      <c r="AC675" s="18">
        <f>INDEX('Fuel Selector'!U$359:U$462,MATCH('TCO - Input'!$D675,'Fuel Selector'!$B$359:$B$462,0))</f>
        <v>11.69473298835579</v>
      </c>
      <c r="AD675" s="18">
        <f>INDEX('Fuel Selector'!V$359:V$462,MATCH('TCO - Input'!$D675,'Fuel Selector'!$B$359:$B$462,0))</f>
        <v>11.69473298835579</v>
      </c>
    </row>
    <row r="676" spans="2:30" x14ac:dyDescent="0.2">
      <c r="B676"/>
      <c r="C676" s="48">
        <f t="shared" si="589"/>
        <v>9</v>
      </c>
      <c r="D676" s="347" t="str">
        <f t="shared" si="587"/>
        <v>e-Methane (PS) - Europe - RE cost - USD/GJ</v>
      </c>
      <c r="F676" t="str" cm="1">
        <f t="array" ref="F676">INDEX(list_ME_fuel,$C676)</f>
        <v>e-Methane (PS)</v>
      </c>
      <c r="L676" t="s">
        <v>195</v>
      </c>
      <c r="N676" t="str">
        <f t="shared" si="588"/>
        <v>RE cost - USD/GJ</v>
      </c>
      <c r="Q676" t="s">
        <v>324</v>
      </c>
      <c r="S676" s="18">
        <f>INDEX('Fuel Selector'!K$359:K$462,MATCH('TCO - Input'!$D676,'Fuel Selector'!$B$359:$B$462,0))</f>
        <v>30.058183235680293</v>
      </c>
      <c r="T676" s="18">
        <f>INDEX('Fuel Selector'!L$359:L$462,MATCH('TCO - Input'!$D676,'Fuel Selector'!$B$359:$B$462,0))</f>
        <v>24.209633558877194</v>
      </c>
      <c r="U676" s="18">
        <f>INDEX('Fuel Selector'!M$359:M$462,MATCH('TCO - Input'!$D676,'Fuel Selector'!$B$359:$B$462,0))</f>
        <v>19.340156180396136</v>
      </c>
      <c r="V676" s="18">
        <f>INDEX('Fuel Selector'!N$359:N$462,MATCH('TCO - Input'!$D676,'Fuel Selector'!$B$359:$B$462,0))</f>
        <v>16.834175339995468</v>
      </c>
      <c r="W676" s="18">
        <f>INDEX('Fuel Selector'!O$359:O$462,MATCH('TCO - Input'!$D676,'Fuel Selector'!$B$359:$B$462,0))</f>
        <v>15.054541516370406</v>
      </c>
      <c r="X676" s="18">
        <f>INDEX('Fuel Selector'!P$359:P$462,MATCH('TCO - Input'!$D676,'Fuel Selector'!$B$359:$B$462,0))</f>
        <v>13.08932366328607</v>
      </c>
      <c r="Y676" s="18">
        <f>INDEX('Fuel Selector'!Q$359:Q$462,MATCH('TCO - Input'!$D676,'Fuel Selector'!$B$359:$B$462,0))</f>
        <v>11.69473298835579</v>
      </c>
      <c r="Z676" s="18">
        <f>INDEX('Fuel Selector'!R$359:R$462,MATCH('TCO - Input'!$D676,'Fuel Selector'!$B$359:$B$462,0))</f>
        <v>11.69473298835579</v>
      </c>
      <c r="AA676" s="18">
        <f>INDEX('Fuel Selector'!S$359:S$462,MATCH('TCO - Input'!$D676,'Fuel Selector'!$B$359:$B$462,0))</f>
        <v>11.69473298835579</v>
      </c>
      <c r="AB676" s="18">
        <f>INDEX('Fuel Selector'!T$359:T$462,MATCH('TCO - Input'!$D676,'Fuel Selector'!$B$359:$B$462,0))</f>
        <v>11.69473298835579</v>
      </c>
      <c r="AC676" s="18">
        <f>INDEX('Fuel Selector'!U$359:U$462,MATCH('TCO - Input'!$D676,'Fuel Selector'!$B$359:$B$462,0))</f>
        <v>11.69473298835579</v>
      </c>
      <c r="AD676" s="18">
        <f>INDEX('Fuel Selector'!V$359:V$462,MATCH('TCO - Input'!$D676,'Fuel Selector'!$B$359:$B$462,0))</f>
        <v>11.69473298835579</v>
      </c>
    </row>
    <row r="677" spans="2:30" x14ac:dyDescent="0.2">
      <c r="B677"/>
      <c r="C677" s="48">
        <f t="shared" si="589"/>
        <v>10</v>
      </c>
      <c r="D677" s="347" t="str">
        <f t="shared" si="587"/>
        <v>Biomethanol - Europe - RE cost - USD/GJ</v>
      </c>
      <c r="F677" t="str" cm="1">
        <f t="array" ref="F677">INDEX(list_ME_fuel,$C677)</f>
        <v>Biomethanol</v>
      </c>
      <c r="L677" t="s">
        <v>195</v>
      </c>
      <c r="N677" t="str">
        <f t="shared" si="588"/>
        <v>RE cost - USD/GJ</v>
      </c>
      <c r="Q677" t="s">
        <v>324</v>
      </c>
      <c r="S677" s="18">
        <f>INDEX('Fuel Selector'!K$359:K$462,MATCH('TCO - Input'!$D677,'Fuel Selector'!$B$359:$B$462,0))</f>
        <v>0</v>
      </c>
      <c r="T677" s="18">
        <f>INDEX('Fuel Selector'!L$359:L$462,MATCH('TCO - Input'!$D677,'Fuel Selector'!$B$359:$B$462,0))</f>
        <v>0</v>
      </c>
      <c r="U677" s="18">
        <f>INDEX('Fuel Selector'!M$359:M$462,MATCH('TCO - Input'!$D677,'Fuel Selector'!$B$359:$B$462,0))</f>
        <v>0</v>
      </c>
      <c r="V677" s="18">
        <f>INDEX('Fuel Selector'!N$359:N$462,MATCH('TCO - Input'!$D677,'Fuel Selector'!$B$359:$B$462,0))</f>
        <v>0</v>
      </c>
      <c r="W677" s="18">
        <f>INDEX('Fuel Selector'!O$359:O$462,MATCH('TCO - Input'!$D677,'Fuel Selector'!$B$359:$B$462,0))</f>
        <v>0</v>
      </c>
      <c r="X677" s="18">
        <f>INDEX('Fuel Selector'!P$359:P$462,MATCH('TCO - Input'!$D677,'Fuel Selector'!$B$359:$B$462,0))</f>
        <v>0</v>
      </c>
      <c r="Y677" s="18">
        <f>INDEX('Fuel Selector'!Q$359:Q$462,MATCH('TCO - Input'!$D677,'Fuel Selector'!$B$359:$B$462,0))</f>
        <v>0</v>
      </c>
      <c r="Z677" s="18">
        <f>INDEX('Fuel Selector'!R$359:R$462,MATCH('TCO - Input'!$D677,'Fuel Selector'!$B$359:$B$462,0))</f>
        <v>0</v>
      </c>
      <c r="AA677" s="18">
        <f>INDEX('Fuel Selector'!S$359:S$462,MATCH('TCO - Input'!$D677,'Fuel Selector'!$B$359:$B$462,0))</f>
        <v>0</v>
      </c>
      <c r="AB677" s="18">
        <f>INDEX('Fuel Selector'!T$359:T$462,MATCH('TCO - Input'!$D677,'Fuel Selector'!$B$359:$B$462,0))</f>
        <v>0</v>
      </c>
      <c r="AC677" s="18">
        <f>INDEX('Fuel Selector'!U$359:U$462,MATCH('TCO - Input'!$D677,'Fuel Selector'!$B$359:$B$462,0))</f>
        <v>0</v>
      </c>
      <c r="AD677" s="18">
        <f>INDEX('Fuel Selector'!V$359:V$462,MATCH('TCO - Input'!$D677,'Fuel Selector'!$B$359:$B$462,0))</f>
        <v>0</v>
      </c>
    </row>
    <row r="678" spans="2:30" x14ac:dyDescent="0.2">
      <c r="B678"/>
      <c r="C678" s="48">
        <f t="shared" si="589"/>
        <v>11</v>
      </c>
      <c r="D678" s="347" t="str">
        <f t="shared" si="587"/>
        <v>e-Methanol (DAC) - Europe - RE cost - USD/GJ</v>
      </c>
      <c r="F678" t="str" cm="1">
        <f t="array" ref="F678">INDEX(list_ME_fuel,$C678)</f>
        <v>e-Methanol (DAC)</v>
      </c>
      <c r="L678" t="s">
        <v>195</v>
      </c>
      <c r="N678" t="str">
        <f t="shared" si="588"/>
        <v>RE cost - USD/GJ</v>
      </c>
      <c r="Q678" t="s">
        <v>324</v>
      </c>
      <c r="S678" s="18">
        <f>INDEX('Fuel Selector'!K$359:K$462,MATCH('TCO - Input'!$D678,'Fuel Selector'!$B$359:$B$462,0))</f>
        <v>32.760046113024302</v>
      </c>
      <c r="T678" s="18">
        <f>INDEX('Fuel Selector'!L$359:L$462,MATCH('TCO - Input'!$D678,'Fuel Selector'!$B$359:$B$462,0))</f>
        <v>26.401718915187992</v>
      </c>
      <c r="U678" s="18">
        <f>INDEX('Fuel Selector'!M$359:M$462,MATCH('TCO - Input'!$D678,'Fuel Selector'!$B$359:$B$462,0))</f>
        <v>21.127744083700907</v>
      </c>
      <c r="V678" s="18">
        <f>INDEX('Fuel Selector'!N$359:N$462,MATCH('TCO - Input'!$D678,'Fuel Selector'!$B$359:$B$462,0))</f>
        <v>18.478552556148493</v>
      </c>
      <c r="W678" s="18">
        <f>INDEX('Fuel Selector'!O$359:O$462,MATCH('TCO - Input'!$D678,'Fuel Selector'!$B$359:$B$462,0))</f>
        <v>16.62801053531658</v>
      </c>
      <c r="X678" s="18">
        <f>INDEX('Fuel Selector'!P$359:P$462,MATCH('TCO - Input'!$D678,'Fuel Selector'!$B$359:$B$462,0))</f>
        <v>14.59009202212342</v>
      </c>
      <c r="Y678" s="18">
        <f>INDEX('Fuel Selector'!Q$359:Q$462,MATCH('TCO - Input'!$D678,'Fuel Selector'!$B$359:$B$462,0))</f>
        <v>13.140435052610366</v>
      </c>
      <c r="Z678" s="18">
        <f>INDEX('Fuel Selector'!R$359:R$462,MATCH('TCO - Input'!$D678,'Fuel Selector'!$B$359:$B$462,0))</f>
        <v>13.140435052610366</v>
      </c>
      <c r="AA678" s="18">
        <f>INDEX('Fuel Selector'!S$359:S$462,MATCH('TCO - Input'!$D678,'Fuel Selector'!$B$359:$B$462,0))</f>
        <v>13.140435052610366</v>
      </c>
      <c r="AB678" s="18">
        <f>INDEX('Fuel Selector'!T$359:T$462,MATCH('TCO - Input'!$D678,'Fuel Selector'!$B$359:$B$462,0))</f>
        <v>13.140435052610366</v>
      </c>
      <c r="AC678" s="18">
        <f>INDEX('Fuel Selector'!U$359:U$462,MATCH('TCO - Input'!$D678,'Fuel Selector'!$B$359:$B$462,0))</f>
        <v>13.140435052610366</v>
      </c>
      <c r="AD678" s="18">
        <f>INDEX('Fuel Selector'!V$359:V$462,MATCH('TCO - Input'!$D678,'Fuel Selector'!$B$359:$B$462,0))</f>
        <v>13.140435052610366</v>
      </c>
    </row>
    <row r="679" spans="2:30" x14ac:dyDescent="0.2">
      <c r="B679"/>
      <c r="C679" s="48">
        <f t="shared" si="589"/>
        <v>12</v>
      </c>
      <c r="D679" s="347" t="str">
        <f t="shared" si="587"/>
        <v>e-Methanol (PS) - Europe - RE cost - USD/GJ</v>
      </c>
      <c r="F679" t="str" cm="1">
        <f t="array" ref="F679">INDEX(list_ME_fuel,$C679)</f>
        <v>e-Methanol (PS)</v>
      </c>
      <c r="L679" t="s">
        <v>195</v>
      </c>
      <c r="N679" t="str">
        <f t="shared" si="588"/>
        <v>RE cost - USD/GJ</v>
      </c>
      <c r="Q679" t="s">
        <v>324</v>
      </c>
      <c r="S679" s="18">
        <f>INDEX('Fuel Selector'!K$359:K$462,MATCH('TCO - Input'!$D679,'Fuel Selector'!$B$359:$B$462,0))</f>
        <v>32.760046113024302</v>
      </c>
      <c r="T679" s="18">
        <f>INDEX('Fuel Selector'!L$359:L$462,MATCH('TCO - Input'!$D679,'Fuel Selector'!$B$359:$B$462,0))</f>
        <v>26.401718915187992</v>
      </c>
      <c r="U679" s="18">
        <f>INDEX('Fuel Selector'!M$359:M$462,MATCH('TCO - Input'!$D679,'Fuel Selector'!$B$359:$B$462,0))</f>
        <v>21.127744083700907</v>
      </c>
      <c r="V679" s="18">
        <f>INDEX('Fuel Selector'!N$359:N$462,MATCH('TCO - Input'!$D679,'Fuel Selector'!$B$359:$B$462,0))</f>
        <v>18.478552556148493</v>
      </c>
      <c r="W679" s="18">
        <f>INDEX('Fuel Selector'!O$359:O$462,MATCH('TCO - Input'!$D679,'Fuel Selector'!$B$359:$B$462,0))</f>
        <v>16.62801053531658</v>
      </c>
      <c r="X679" s="18">
        <f>INDEX('Fuel Selector'!P$359:P$462,MATCH('TCO - Input'!$D679,'Fuel Selector'!$B$359:$B$462,0))</f>
        <v>14.59009202212342</v>
      </c>
      <c r="Y679" s="18">
        <f>INDEX('Fuel Selector'!Q$359:Q$462,MATCH('TCO - Input'!$D679,'Fuel Selector'!$B$359:$B$462,0))</f>
        <v>13.140435052610366</v>
      </c>
      <c r="Z679" s="18">
        <f>INDEX('Fuel Selector'!R$359:R$462,MATCH('TCO - Input'!$D679,'Fuel Selector'!$B$359:$B$462,0))</f>
        <v>13.140435052610366</v>
      </c>
      <c r="AA679" s="18">
        <f>INDEX('Fuel Selector'!S$359:S$462,MATCH('TCO - Input'!$D679,'Fuel Selector'!$B$359:$B$462,0))</f>
        <v>13.140435052610366</v>
      </c>
      <c r="AB679" s="18">
        <f>INDEX('Fuel Selector'!T$359:T$462,MATCH('TCO - Input'!$D679,'Fuel Selector'!$B$359:$B$462,0))</f>
        <v>13.140435052610366</v>
      </c>
      <c r="AC679" s="18">
        <f>INDEX('Fuel Selector'!U$359:U$462,MATCH('TCO - Input'!$D679,'Fuel Selector'!$B$359:$B$462,0))</f>
        <v>13.140435052610366</v>
      </c>
      <c r="AD679" s="18">
        <f>INDEX('Fuel Selector'!V$359:V$462,MATCH('TCO - Input'!$D679,'Fuel Selector'!$B$359:$B$462,0))</f>
        <v>13.140435052610366</v>
      </c>
    </row>
    <row r="680" spans="2:30" x14ac:dyDescent="0.2">
      <c r="B680"/>
      <c r="C680" s="48">
        <f t="shared" si="589"/>
        <v>13</v>
      </c>
      <c r="D680" s="347" t="str">
        <f t="shared" si="587"/>
        <v>Biodiesel (HtL) - Europe - RE cost - USD/GJ</v>
      </c>
      <c r="F680" t="str" cm="1">
        <f t="array" ref="F680">INDEX(list_ME_fuel,$C680)</f>
        <v>Biodiesel (HtL)</v>
      </c>
      <c r="L680" t="s">
        <v>195</v>
      </c>
      <c r="N680" t="str">
        <f t="shared" si="588"/>
        <v>RE cost - USD/GJ</v>
      </c>
      <c r="Q680" t="s">
        <v>324</v>
      </c>
      <c r="S680" s="18">
        <f>INDEX('Fuel Selector'!K$359:K$462,MATCH('TCO - Input'!$D680,'Fuel Selector'!$B$359:$B$462,0))</f>
        <v>1.0234561267434414</v>
      </c>
      <c r="T680" s="18">
        <f>INDEX('Fuel Selector'!L$359:L$462,MATCH('TCO - Input'!$D680,'Fuel Selector'!$B$359:$B$462,0))</f>
        <v>0.82815559448347043</v>
      </c>
      <c r="U680" s="18">
        <f>INDEX('Fuel Selector'!M$359:M$462,MATCH('TCO - Input'!$D680,'Fuel Selector'!$B$359:$B$462,0))</f>
        <v>0.66789918018732997</v>
      </c>
      <c r="V680" s="18">
        <f>INDEX('Fuel Selector'!N$359:N$462,MATCH('TCO - Input'!$D680,'Fuel Selector'!$B$359:$B$462,0))</f>
        <v>0.60035898507126739</v>
      </c>
      <c r="W680" s="18">
        <f>INDEX('Fuel Selector'!O$359:O$462,MATCH('TCO - Input'!$D680,'Fuel Selector'!$B$359:$B$462,0))</f>
        <v>0.55942894812117161</v>
      </c>
      <c r="X680" s="18">
        <f>INDEX('Fuel Selector'!P$359:P$462,MATCH('TCO - Input'!$D680,'Fuel Selector'!$B$359:$B$462,0))</f>
        <v>0.51609210580926201</v>
      </c>
      <c r="Y680" s="18">
        <f>INDEX('Fuel Selector'!Q$359:Q$462,MATCH('TCO - Input'!$D680,'Fuel Selector'!$B$359:$B$462,0))</f>
        <v>0.48417815540211262</v>
      </c>
      <c r="Z680" s="18">
        <f>INDEX('Fuel Selector'!R$359:R$462,MATCH('TCO - Input'!$D680,'Fuel Selector'!$B$359:$B$462,0))</f>
        <v>0.48417815540211262</v>
      </c>
      <c r="AA680" s="18">
        <f>INDEX('Fuel Selector'!S$359:S$462,MATCH('TCO - Input'!$D680,'Fuel Selector'!$B$359:$B$462,0))</f>
        <v>0.48417815540211262</v>
      </c>
      <c r="AB680" s="18">
        <f>INDEX('Fuel Selector'!T$359:T$462,MATCH('TCO - Input'!$D680,'Fuel Selector'!$B$359:$B$462,0))</f>
        <v>0.48417815540211262</v>
      </c>
      <c r="AC680" s="18">
        <f>INDEX('Fuel Selector'!U$359:U$462,MATCH('TCO - Input'!$D680,'Fuel Selector'!$B$359:$B$462,0))</f>
        <v>0.48417815540211262</v>
      </c>
      <c r="AD680" s="18">
        <f>INDEX('Fuel Selector'!V$359:V$462,MATCH('TCO - Input'!$D680,'Fuel Selector'!$B$359:$B$462,0))</f>
        <v>0.48417815540211262</v>
      </c>
    </row>
    <row r="681" spans="2:30" x14ac:dyDescent="0.2">
      <c r="B681"/>
      <c r="C681" s="48">
        <f t="shared" si="589"/>
        <v>14</v>
      </c>
      <c r="D681" s="347" t="str">
        <f t="shared" si="587"/>
        <v>Biodiesel (Pyr) - Europe - RE cost - USD/GJ</v>
      </c>
      <c r="F681" t="str" cm="1">
        <f t="array" ref="F681">INDEX(list_ME_fuel,$C681)</f>
        <v>Biodiesel (Pyr)</v>
      </c>
      <c r="L681" t="s">
        <v>195</v>
      </c>
      <c r="N681" t="str">
        <f t="shared" si="588"/>
        <v>RE cost - USD/GJ</v>
      </c>
      <c r="Q681" t="s">
        <v>324</v>
      </c>
      <c r="S681" s="18">
        <f>INDEX('Fuel Selector'!K$359:K$462,MATCH('TCO - Input'!$D681,'Fuel Selector'!$B$359:$B$462,0))</f>
        <v>0</v>
      </c>
      <c r="T681" s="18">
        <f>INDEX('Fuel Selector'!L$359:L$462,MATCH('TCO - Input'!$D681,'Fuel Selector'!$B$359:$B$462,0))</f>
        <v>0</v>
      </c>
      <c r="U681" s="18">
        <f>INDEX('Fuel Selector'!M$359:M$462,MATCH('TCO - Input'!$D681,'Fuel Selector'!$B$359:$B$462,0))</f>
        <v>0</v>
      </c>
      <c r="V681" s="18">
        <f>INDEX('Fuel Selector'!N$359:N$462,MATCH('TCO - Input'!$D681,'Fuel Selector'!$B$359:$B$462,0))</f>
        <v>0</v>
      </c>
      <c r="W681" s="18">
        <f>INDEX('Fuel Selector'!O$359:O$462,MATCH('TCO - Input'!$D681,'Fuel Selector'!$B$359:$B$462,0))</f>
        <v>0</v>
      </c>
      <c r="X681" s="18">
        <f>INDEX('Fuel Selector'!P$359:P$462,MATCH('TCO - Input'!$D681,'Fuel Selector'!$B$359:$B$462,0))</f>
        <v>0</v>
      </c>
      <c r="Y681" s="18">
        <f>INDEX('Fuel Selector'!Q$359:Q$462,MATCH('TCO - Input'!$D681,'Fuel Selector'!$B$359:$B$462,0))</f>
        <v>0</v>
      </c>
      <c r="Z681" s="18">
        <f>INDEX('Fuel Selector'!R$359:R$462,MATCH('TCO - Input'!$D681,'Fuel Selector'!$B$359:$B$462,0))</f>
        <v>0</v>
      </c>
      <c r="AA681" s="18">
        <f>INDEX('Fuel Selector'!S$359:S$462,MATCH('TCO - Input'!$D681,'Fuel Selector'!$B$359:$B$462,0))</f>
        <v>0</v>
      </c>
      <c r="AB681" s="18">
        <f>INDEX('Fuel Selector'!T$359:T$462,MATCH('TCO - Input'!$D681,'Fuel Selector'!$B$359:$B$462,0))</f>
        <v>0</v>
      </c>
      <c r="AC681" s="18">
        <f>INDEX('Fuel Selector'!U$359:U$462,MATCH('TCO - Input'!$D681,'Fuel Selector'!$B$359:$B$462,0))</f>
        <v>0</v>
      </c>
      <c r="AD681" s="18">
        <f>INDEX('Fuel Selector'!V$359:V$462,MATCH('TCO - Input'!$D681,'Fuel Selector'!$B$359:$B$462,0))</f>
        <v>0</v>
      </c>
    </row>
    <row r="682" spans="2:30" x14ac:dyDescent="0.2">
      <c r="B682"/>
      <c r="C682" s="48">
        <f t="shared" si="589"/>
        <v>15</v>
      </c>
      <c r="D682" s="347" t="str">
        <f t="shared" si="587"/>
        <v>e-Diesel (DAC) - Europe - RE cost - USD/GJ</v>
      </c>
      <c r="F682" t="str" cm="1">
        <f t="array" ref="F682">INDEX(list_ME_fuel,$C682)</f>
        <v>e-Diesel (DAC)</v>
      </c>
      <c r="L682" t="s">
        <v>195</v>
      </c>
      <c r="N682" t="str">
        <f t="shared" si="588"/>
        <v>RE cost - USD/GJ</v>
      </c>
      <c r="Q682" t="s">
        <v>324</v>
      </c>
      <c r="S682" s="18">
        <f>INDEX('Fuel Selector'!K$359:K$462,MATCH('TCO - Input'!$D682,'Fuel Selector'!$B$359:$B$462,0))</f>
        <v>33.161824370052656</v>
      </c>
      <c r="T682" s="18">
        <f>INDEX('Fuel Selector'!L$359:L$462,MATCH('TCO - Input'!$D682,'Fuel Selector'!$B$359:$B$462,0))</f>
        <v>26.67243684284578</v>
      </c>
      <c r="U682" s="18">
        <f>INDEX('Fuel Selector'!M$359:M$462,MATCH('TCO - Input'!$D682,'Fuel Selector'!$B$359:$B$462,0))</f>
        <v>21.280205917959048</v>
      </c>
      <c r="V682" s="18">
        <f>INDEX('Fuel Selector'!N$359:N$462,MATCH('TCO - Input'!$D682,'Fuel Selector'!$B$359:$B$462,0))</f>
        <v>18.499716293027259</v>
      </c>
      <c r="W682" s="18">
        <f>INDEX('Fuel Selector'!O$359:O$462,MATCH('TCO - Input'!$D682,'Fuel Selector'!$B$359:$B$462,0))</f>
        <v>16.523151304462672</v>
      </c>
      <c r="X682" s="18">
        <f>INDEX('Fuel Selector'!P$359:P$462,MATCH('TCO - Input'!$D682,'Fuel Selector'!$B$359:$B$462,0))</f>
        <v>14.34685733985849</v>
      </c>
      <c r="Y682" s="18">
        <f>INDEX('Fuel Selector'!Q$359:Q$462,MATCH('TCO - Input'!$D682,'Fuel Selector'!$B$359:$B$462,0))</f>
        <v>12.800948633155464</v>
      </c>
      <c r="Z682" s="18">
        <f>INDEX('Fuel Selector'!R$359:R$462,MATCH('TCO - Input'!$D682,'Fuel Selector'!$B$359:$B$462,0))</f>
        <v>12.800948633155464</v>
      </c>
      <c r="AA682" s="18">
        <f>INDEX('Fuel Selector'!S$359:S$462,MATCH('TCO - Input'!$D682,'Fuel Selector'!$B$359:$B$462,0))</f>
        <v>12.800948633155464</v>
      </c>
      <c r="AB682" s="18">
        <f>INDEX('Fuel Selector'!T$359:T$462,MATCH('TCO - Input'!$D682,'Fuel Selector'!$B$359:$B$462,0))</f>
        <v>12.800948633155464</v>
      </c>
      <c r="AC682" s="18">
        <f>INDEX('Fuel Selector'!U$359:U$462,MATCH('TCO - Input'!$D682,'Fuel Selector'!$B$359:$B$462,0))</f>
        <v>12.800948633155464</v>
      </c>
      <c r="AD682" s="18">
        <f>INDEX('Fuel Selector'!V$359:V$462,MATCH('TCO - Input'!$D682,'Fuel Selector'!$B$359:$B$462,0))</f>
        <v>12.800948633155464</v>
      </c>
    </row>
    <row r="683" spans="2:30" x14ac:dyDescent="0.2">
      <c r="B683"/>
      <c r="C683" s="48">
        <f t="shared" si="589"/>
        <v>16</v>
      </c>
      <c r="D683" s="347" t="str">
        <f t="shared" si="587"/>
        <v>e-Diesel (PS) - Europe - RE cost - USD/GJ</v>
      </c>
      <c r="F683" t="str" cm="1">
        <f t="array" ref="F683">INDEX(list_ME_fuel,$C683)</f>
        <v>e-Diesel (PS)</v>
      </c>
      <c r="L683" t="s">
        <v>195</v>
      </c>
      <c r="N683" t="str">
        <f t="shared" si="588"/>
        <v>RE cost - USD/GJ</v>
      </c>
      <c r="Q683" t="s">
        <v>324</v>
      </c>
      <c r="S683" s="18">
        <f>INDEX('Fuel Selector'!K$359:K$462,MATCH('TCO - Input'!$D683,'Fuel Selector'!$B$359:$B$462,0))</f>
        <v>33.161824370052656</v>
      </c>
      <c r="T683" s="18">
        <f>INDEX('Fuel Selector'!L$359:L$462,MATCH('TCO - Input'!$D683,'Fuel Selector'!$B$359:$B$462,0))</f>
        <v>26.67243684284578</v>
      </c>
      <c r="U683" s="18">
        <f>INDEX('Fuel Selector'!M$359:M$462,MATCH('TCO - Input'!$D683,'Fuel Selector'!$B$359:$B$462,0))</f>
        <v>21.280205917959048</v>
      </c>
      <c r="V683" s="18">
        <f>INDEX('Fuel Selector'!N$359:N$462,MATCH('TCO - Input'!$D683,'Fuel Selector'!$B$359:$B$462,0))</f>
        <v>18.499716293027259</v>
      </c>
      <c r="W683" s="18">
        <f>INDEX('Fuel Selector'!O$359:O$462,MATCH('TCO - Input'!$D683,'Fuel Selector'!$B$359:$B$462,0))</f>
        <v>16.523151304462672</v>
      </c>
      <c r="X683" s="18">
        <f>INDEX('Fuel Selector'!P$359:P$462,MATCH('TCO - Input'!$D683,'Fuel Selector'!$B$359:$B$462,0))</f>
        <v>14.34685733985849</v>
      </c>
      <c r="Y683" s="18">
        <f>INDEX('Fuel Selector'!Q$359:Q$462,MATCH('TCO - Input'!$D683,'Fuel Selector'!$B$359:$B$462,0))</f>
        <v>12.800948633155464</v>
      </c>
      <c r="Z683" s="18">
        <f>INDEX('Fuel Selector'!R$359:R$462,MATCH('TCO - Input'!$D683,'Fuel Selector'!$B$359:$B$462,0))</f>
        <v>12.800948633155464</v>
      </c>
      <c r="AA683" s="18">
        <f>INDEX('Fuel Selector'!S$359:S$462,MATCH('TCO - Input'!$D683,'Fuel Selector'!$B$359:$B$462,0))</f>
        <v>12.800948633155464</v>
      </c>
      <c r="AB683" s="18">
        <f>INDEX('Fuel Selector'!T$359:T$462,MATCH('TCO - Input'!$D683,'Fuel Selector'!$B$359:$B$462,0))</f>
        <v>12.800948633155464</v>
      </c>
      <c r="AC683" s="18">
        <f>INDEX('Fuel Selector'!U$359:U$462,MATCH('TCO - Input'!$D683,'Fuel Selector'!$B$359:$B$462,0))</f>
        <v>12.800948633155464</v>
      </c>
      <c r="AD683" s="18">
        <f>INDEX('Fuel Selector'!V$359:V$462,MATCH('TCO - Input'!$D683,'Fuel Selector'!$B$359:$B$462,0))</f>
        <v>12.800948633155464</v>
      </c>
    </row>
    <row r="684" spans="2:30" x14ac:dyDescent="0.2">
      <c r="B684"/>
      <c r="C684" s="48">
        <f t="shared" si="589"/>
        <v>17</v>
      </c>
      <c r="D684" s="347" t="str">
        <f t="shared" si="587"/>
        <v>Biodiesel (HtL blend) - Europe - RE cost - USD/GJ</v>
      </c>
      <c r="F684" t="str" cm="1">
        <f t="array" ref="F684">INDEX(list_ME_fuel,$C684)</f>
        <v>Biodiesel (HtL blend)</v>
      </c>
      <c r="L684" t="s">
        <v>195</v>
      </c>
      <c r="N684" t="str">
        <f t="shared" si="588"/>
        <v>RE cost - USD/GJ</v>
      </c>
      <c r="Q684" t="s">
        <v>324</v>
      </c>
      <c r="S684" s="18">
        <f>INDEX('Fuel Selector'!K$359:K$462,MATCH('TCO - Input'!$D684,'Fuel Selector'!$B$359:$B$462,0))</f>
        <v>0.3483585222155835</v>
      </c>
      <c r="T684" s="18">
        <f>INDEX('Fuel Selector'!L$359:L$462,MATCH('TCO - Input'!$D684,'Fuel Selector'!$B$359:$B$462,0))</f>
        <v>0.2818831716575862</v>
      </c>
      <c r="U684" s="18">
        <f>INDEX('Fuel Selector'!M$359:M$462,MATCH('TCO - Input'!$D684,'Fuel Selector'!$B$359:$B$462,0))</f>
        <v>0.22733595053008365</v>
      </c>
      <c r="V684" s="18">
        <f>INDEX('Fuel Selector'!N$359:N$462,MATCH('TCO - Input'!$D684,'Fuel Selector'!$B$359:$B$462,0))</f>
        <v>0.20434698017172673</v>
      </c>
      <c r="W684" s="18">
        <f>INDEX('Fuel Selector'!O$359:O$462,MATCH('TCO - Input'!$D684,'Fuel Selector'!$B$359:$B$462,0))</f>
        <v>0.19041543311896397</v>
      </c>
      <c r="X684" s="18">
        <f>INDEX('Fuel Selector'!P$359:P$462,MATCH('TCO - Input'!$D684,'Fuel Selector'!$B$359:$B$462,0))</f>
        <v>0.17566467053053397</v>
      </c>
      <c r="Y684" s="18">
        <f>INDEX('Fuel Selector'!Q$359:Q$462,MATCH('TCO - Input'!$D684,'Fuel Selector'!$B$359:$B$462,0))</f>
        <v>0.16480197079051581</v>
      </c>
      <c r="Z684" s="18">
        <f>INDEX('Fuel Selector'!R$359:R$462,MATCH('TCO - Input'!$D684,'Fuel Selector'!$B$359:$B$462,0))</f>
        <v>0.16480197079051581</v>
      </c>
      <c r="AA684" s="18">
        <f>INDEX('Fuel Selector'!S$359:S$462,MATCH('TCO - Input'!$D684,'Fuel Selector'!$B$359:$B$462,0))</f>
        <v>0.16480197079051581</v>
      </c>
      <c r="AB684" s="18">
        <f>INDEX('Fuel Selector'!T$359:T$462,MATCH('TCO - Input'!$D684,'Fuel Selector'!$B$359:$B$462,0))</f>
        <v>0.16480197079051581</v>
      </c>
      <c r="AC684" s="18">
        <f>INDEX('Fuel Selector'!U$359:U$462,MATCH('TCO - Input'!$D684,'Fuel Selector'!$B$359:$B$462,0))</f>
        <v>0.16480197079051581</v>
      </c>
      <c r="AD684" s="18">
        <f>INDEX('Fuel Selector'!V$359:V$462,MATCH('TCO - Input'!$D684,'Fuel Selector'!$B$359:$B$462,0))</f>
        <v>0.16480197079051581</v>
      </c>
    </row>
    <row r="685" spans="2:30" x14ac:dyDescent="0.2">
      <c r="B685"/>
      <c r="C685" s="48">
        <f t="shared" si="589"/>
        <v>18</v>
      </c>
      <c r="D685" s="347" t="str">
        <f t="shared" si="587"/>
        <v>Biodiesel (Pyr blend) - Europe - RE cost - USD/GJ</v>
      </c>
      <c r="F685" t="str" cm="1">
        <f t="array" ref="F685">INDEX(list_ME_fuel,$C685)</f>
        <v>Biodiesel (Pyr blend)</v>
      </c>
      <c r="L685" t="s">
        <v>195</v>
      </c>
      <c r="N685" t="str">
        <f t="shared" si="588"/>
        <v>RE cost - USD/GJ</v>
      </c>
      <c r="Q685" t="s">
        <v>324</v>
      </c>
      <c r="S685" s="18">
        <f>INDEX('Fuel Selector'!K$359:K$462,MATCH('TCO - Input'!$D685,'Fuel Selector'!$B$359:$B$462,0))</f>
        <v>0</v>
      </c>
      <c r="T685" s="18">
        <f>INDEX('Fuel Selector'!L$359:L$462,MATCH('TCO - Input'!$D685,'Fuel Selector'!$B$359:$B$462,0))</f>
        <v>0</v>
      </c>
      <c r="U685" s="18">
        <f>INDEX('Fuel Selector'!M$359:M$462,MATCH('TCO - Input'!$D685,'Fuel Selector'!$B$359:$B$462,0))</f>
        <v>0</v>
      </c>
      <c r="V685" s="18">
        <f>INDEX('Fuel Selector'!N$359:N$462,MATCH('TCO - Input'!$D685,'Fuel Selector'!$B$359:$B$462,0))</f>
        <v>0</v>
      </c>
      <c r="W685" s="18">
        <f>INDEX('Fuel Selector'!O$359:O$462,MATCH('TCO - Input'!$D685,'Fuel Selector'!$B$359:$B$462,0))</f>
        <v>0</v>
      </c>
      <c r="X685" s="18">
        <f>INDEX('Fuel Selector'!P$359:P$462,MATCH('TCO - Input'!$D685,'Fuel Selector'!$B$359:$B$462,0))</f>
        <v>0</v>
      </c>
      <c r="Y685" s="18">
        <f>INDEX('Fuel Selector'!Q$359:Q$462,MATCH('TCO - Input'!$D685,'Fuel Selector'!$B$359:$B$462,0))</f>
        <v>0</v>
      </c>
      <c r="Z685" s="18">
        <f>INDEX('Fuel Selector'!R$359:R$462,MATCH('TCO - Input'!$D685,'Fuel Selector'!$B$359:$B$462,0))</f>
        <v>0</v>
      </c>
      <c r="AA685" s="18">
        <f>INDEX('Fuel Selector'!S$359:S$462,MATCH('TCO - Input'!$D685,'Fuel Selector'!$B$359:$B$462,0))</f>
        <v>0</v>
      </c>
      <c r="AB685" s="18">
        <f>INDEX('Fuel Selector'!T$359:T$462,MATCH('TCO - Input'!$D685,'Fuel Selector'!$B$359:$B$462,0))</f>
        <v>0</v>
      </c>
      <c r="AC685" s="18">
        <f>INDEX('Fuel Selector'!U$359:U$462,MATCH('TCO - Input'!$D685,'Fuel Selector'!$B$359:$B$462,0))</f>
        <v>0</v>
      </c>
      <c r="AD685" s="18">
        <f>INDEX('Fuel Selector'!V$359:V$462,MATCH('TCO - Input'!$D685,'Fuel Selector'!$B$359:$B$462,0))</f>
        <v>0</v>
      </c>
    </row>
    <row r="686" spans="2:30" x14ac:dyDescent="0.2">
      <c r="B686"/>
      <c r="C686" s="48">
        <f t="shared" si="589"/>
        <v>19</v>
      </c>
      <c r="D686" s="347" t="str">
        <f t="shared" si="587"/>
        <v>Blue hydrogen (liquid) - Europe - RE cost - USD/GJ</v>
      </c>
      <c r="F686" t="str" cm="1">
        <f t="array" ref="F686">INDEX(list_ME_fuel,$C686)</f>
        <v>Blue hydrogen (liquid)</v>
      </c>
      <c r="L686" t="s">
        <v>195</v>
      </c>
      <c r="N686" t="str">
        <f t="shared" si="588"/>
        <v>RE cost - USD/GJ</v>
      </c>
      <c r="Q686" t="s">
        <v>324</v>
      </c>
      <c r="S686" s="18">
        <f>INDEX('Fuel Selector'!K$359:K$462,MATCH('TCO - Input'!$D686,'Fuel Selector'!$B$359:$B$462,0))</f>
        <v>0</v>
      </c>
      <c r="T686" s="18">
        <f>INDEX('Fuel Selector'!L$359:L$462,MATCH('TCO - Input'!$D686,'Fuel Selector'!$B$359:$B$462,0))</f>
        <v>0</v>
      </c>
      <c r="U686" s="18">
        <f>INDEX('Fuel Selector'!M$359:M$462,MATCH('TCO - Input'!$D686,'Fuel Selector'!$B$359:$B$462,0))</f>
        <v>0</v>
      </c>
      <c r="V686" s="18">
        <f>INDEX('Fuel Selector'!N$359:N$462,MATCH('TCO - Input'!$D686,'Fuel Selector'!$B$359:$B$462,0))</f>
        <v>0</v>
      </c>
      <c r="W686" s="18">
        <f>INDEX('Fuel Selector'!O$359:O$462,MATCH('TCO - Input'!$D686,'Fuel Selector'!$B$359:$B$462,0))</f>
        <v>0</v>
      </c>
      <c r="X686" s="18">
        <f>INDEX('Fuel Selector'!P$359:P$462,MATCH('TCO - Input'!$D686,'Fuel Selector'!$B$359:$B$462,0))</f>
        <v>0</v>
      </c>
      <c r="Y686" s="18">
        <f>INDEX('Fuel Selector'!Q$359:Q$462,MATCH('TCO - Input'!$D686,'Fuel Selector'!$B$359:$B$462,0))</f>
        <v>0</v>
      </c>
      <c r="Z686" s="18">
        <f>INDEX('Fuel Selector'!R$359:R$462,MATCH('TCO - Input'!$D686,'Fuel Selector'!$B$359:$B$462,0))</f>
        <v>0</v>
      </c>
      <c r="AA686" s="18">
        <f>INDEX('Fuel Selector'!S$359:S$462,MATCH('TCO - Input'!$D686,'Fuel Selector'!$B$359:$B$462,0))</f>
        <v>0</v>
      </c>
      <c r="AB686" s="18">
        <f>INDEX('Fuel Selector'!T$359:T$462,MATCH('TCO - Input'!$D686,'Fuel Selector'!$B$359:$B$462,0))</f>
        <v>0</v>
      </c>
      <c r="AC686" s="18">
        <f>INDEX('Fuel Selector'!U$359:U$462,MATCH('TCO - Input'!$D686,'Fuel Selector'!$B$359:$B$462,0))</f>
        <v>0</v>
      </c>
      <c r="AD686" s="18">
        <f>INDEX('Fuel Selector'!V$359:V$462,MATCH('TCO - Input'!$D686,'Fuel Selector'!$B$359:$B$462,0))</f>
        <v>0</v>
      </c>
    </row>
    <row r="687" spans="2:30" x14ac:dyDescent="0.2">
      <c r="B687"/>
      <c r="C687" s="48">
        <f t="shared" si="589"/>
        <v>20</v>
      </c>
      <c r="D687" s="347" t="str">
        <f t="shared" si="587"/>
        <v>e-Hydrogen (liquid) - Europe - RE cost - USD/GJ</v>
      </c>
      <c r="F687" t="str" cm="1">
        <f t="array" ref="F687">INDEX(list_ME_fuel,$C687)</f>
        <v>e-Hydrogen (liquid)</v>
      </c>
      <c r="L687" t="s">
        <v>195</v>
      </c>
      <c r="N687" t="str">
        <f t="shared" si="588"/>
        <v>RE cost - USD/GJ</v>
      </c>
      <c r="Q687" t="s">
        <v>324</v>
      </c>
      <c r="S687" s="18">
        <f>INDEX('Fuel Selector'!K$359:K$462,MATCH('TCO - Input'!$D687,'Fuel Selector'!$B$359:$B$462,0))</f>
        <v>28.756499560979918</v>
      </c>
      <c r="T687" s="18">
        <f>INDEX('Fuel Selector'!L$359:L$462,MATCH('TCO - Input'!$D687,'Fuel Selector'!$B$359:$B$462,0))</f>
        <v>23.175128231923956</v>
      </c>
      <c r="U687" s="18">
        <f>INDEX('Fuel Selector'!M$359:M$462,MATCH('TCO - Input'!$D687,'Fuel Selector'!$B$359:$B$462,0))</f>
        <v>18.545501555827101</v>
      </c>
      <c r="V687" s="18">
        <f>INDEX('Fuel Selector'!N$359:N$462,MATCH('TCO - Input'!$D687,'Fuel Selector'!$B$359:$B$462,0))</f>
        <v>16.219630965498869</v>
      </c>
      <c r="W687" s="18">
        <f>INDEX('Fuel Selector'!O$359:O$462,MATCH('TCO - Input'!$D687,'Fuel Selector'!$B$359:$B$462,0))</f>
        <v>14.594771430601266</v>
      </c>
      <c r="X687" s="18">
        <f>INDEX('Fuel Selector'!P$359:P$462,MATCH('TCO - Input'!$D687,'Fuel Selector'!$B$359:$B$462,0))</f>
        <v>12.805355949570419</v>
      </c>
      <c r="Y687" s="18">
        <f>INDEX('Fuel Selector'!Q$359:Q$462,MATCH('TCO - Input'!$D687,'Fuel Selector'!$B$359:$B$462,0))</f>
        <v>11.532488848659815</v>
      </c>
      <c r="Z687" s="18">
        <f>INDEX('Fuel Selector'!R$359:R$462,MATCH('TCO - Input'!$D687,'Fuel Selector'!$B$359:$B$462,0))</f>
        <v>11.532488848659815</v>
      </c>
      <c r="AA687" s="18">
        <f>INDEX('Fuel Selector'!S$359:S$462,MATCH('TCO - Input'!$D687,'Fuel Selector'!$B$359:$B$462,0))</f>
        <v>11.532488848659815</v>
      </c>
      <c r="AB687" s="18">
        <f>INDEX('Fuel Selector'!T$359:T$462,MATCH('TCO - Input'!$D687,'Fuel Selector'!$B$359:$B$462,0))</f>
        <v>11.532488848659815</v>
      </c>
      <c r="AC687" s="18">
        <f>INDEX('Fuel Selector'!U$359:U$462,MATCH('TCO - Input'!$D687,'Fuel Selector'!$B$359:$B$462,0))</f>
        <v>11.532488848659815</v>
      </c>
      <c r="AD687" s="18">
        <f>INDEX('Fuel Selector'!V$359:V$462,MATCH('TCO - Input'!$D687,'Fuel Selector'!$B$359:$B$462,0))</f>
        <v>11.532488848659815</v>
      </c>
    </row>
    <row r="688" spans="2:30" x14ac:dyDescent="0.2">
      <c r="B688"/>
      <c r="C688"/>
      <c r="D688"/>
      <c r="S688" s="18"/>
      <c r="T688" s="18"/>
      <c r="U688" s="18"/>
      <c r="V688" s="18"/>
      <c r="W688" s="18"/>
      <c r="X688" s="18"/>
      <c r="Y688" s="18"/>
      <c r="Z688" s="18"/>
      <c r="AA688" s="18"/>
      <c r="AB688" s="18"/>
      <c r="AC688" s="18"/>
      <c r="AD688" s="18"/>
    </row>
    <row r="689" spans="2:30" x14ac:dyDescent="0.2">
      <c r="B689"/>
      <c r="C689" s="48">
        <v>1</v>
      </c>
      <c r="D689" s="347" t="str">
        <f t="shared" ref="D689:D708" si="590">_xlfn.TEXTJOIN(keydelim,TRUE,E689:N689)</f>
        <v>LSFO - Middle East - RE cost - USD/GJ</v>
      </c>
      <c r="F689" t="str" cm="1">
        <f t="array" ref="F689">INDEX(list_ME_fuel,$C689)</f>
        <v>LSFO</v>
      </c>
      <c r="L689" t="s">
        <v>197</v>
      </c>
      <c r="N689" t="str">
        <f t="shared" si="588"/>
        <v>RE cost - USD/GJ</v>
      </c>
      <c r="O689" s="224"/>
      <c r="P689" s="224"/>
      <c r="Q689" t="s">
        <v>324</v>
      </c>
      <c r="R689" s="14"/>
      <c r="S689" s="18">
        <f>INDEX('Fuel Selector'!K$359:K$462,MATCH('TCO - Input'!$D689,'Fuel Selector'!$B$359:$B$462,0))</f>
        <v>0</v>
      </c>
      <c r="T689" s="18">
        <f>INDEX('Fuel Selector'!L$359:L$462,MATCH('TCO - Input'!$D689,'Fuel Selector'!$B$359:$B$462,0))</f>
        <v>0</v>
      </c>
      <c r="U689" s="18">
        <f>INDEX('Fuel Selector'!M$359:M$462,MATCH('TCO - Input'!$D689,'Fuel Selector'!$B$359:$B$462,0))</f>
        <v>0</v>
      </c>
      <c r="V689" s="18">
        <f>INDEX('Fuel Selector'!N$359:N$462,MATCH('TCO - Input'!$D689,'Fuel Selector'!$B$359:$B$462,0))</f>
        <v>0</v>
      </c>
      <c r="W689" s="18">
        <f>INDEX('Fuel Selector'!O$359:O$462,MATCH('TCO - Input'!$D689,'Fuel Selector'!$B$359:$B$462,0))</f>
        <v>0</v>
      </c>
      <c r="X689" s="18">
        <f>INDEX('Fuel Selector'!P$359:P$462,MATCH('TCO - Input'!$D689,'Fuel Selector'!$B$359:$B$462,0))</f>
        <v>0</v>
      </c>
      <c r="Y689" s="18">
        <f>INDEX('Fuel Selector'!Q$359:Q$462,MATCH('TCO - Input'!$D689,'Fuel Selector'!$B$359:$B$462,0))</f>
        <v>0</v>
      </c>
      <c r="Z689" s="18">
        <f>INDEX('Fuel Selector'!R$359:R$462,MATCH('TCO - Input'!$D689,'Fuel Selector'!$B$359:$B$462,0))</f>
        <v>0</v>
      </c>
      <c r="AA689" s="18">
        <f>INDEX('Fuel Selector'!S$359:S$462,MATCH('TCO - Input'!$D689,'Fuel Selector'!$B$359:$B$462,0))</f>
        <v>0</v>
      </c>
      <c r="AB689" s="18">
        <f>INDEX('Fuel Selector'!T$359:T$462,MATCH('TCO - Input'!$D689,'Fuel Selector'!$B$359:$B$462,0))</f>
        <v>0</v>
      </c>
      <c r="AC689" s="18">
        <f>INDEX('Fuel Selector'!U$359:U$462,MATCH('TCO - Input'!$D689,'Fuel Selector'!$B$359:$B$462,0))</f>
        <v>0</v>
      </c>
      <c r="AD689" s="18">
        <f>INDEX('Fuel Selector'!V$359:V$462,MATCH('TCO - Input'!$D689,'Fuel Selector'!$B$359:$B$462,0))</f>
        <v>0</v>
      </c>
    </row>
    <row r="690" spans="2:30" x14ac:dyDescent="0.2">
      <c r="B690"/>
      <c r="C690" s="48">
        <f>+C689+1</f>
        <v>2</v>
      </c>
      <c r="D690" s="347" t="str">
        <f t="shared" si="590"/>
        <v>LNG - Middle East - RE cost - USD/GJ</v>
      </c>
      <c r="F690" t="str" cm="1">
        <f t="array" ref="F690">INDEX(list_ME_fuel,$C690)</f>
        <v>LNG</v>
      </c>
      <c r="L690" t="s">
        <v>197</v>
      </c>
      <c r="N690" t="str">
        <f t="shared" si="588"/>
        <v>RE cost - USD/GJ</v>
      </c>
      <c r="Q690" t="s">
        <v>324</v>
      </c>
      <c r="S690" s="18">
        <f>INDEX('Fuel Selector'!K$359:K$462,MATCH('TCO - Input'!$D690,'Fuel Selector'!$B$359:$B$462,0))</f>
        <v>0</v>
      </c>
      <c r="T690" s="18">
        <f>INDEX('Fuel Selector'!L$359:L$462,MATCH('TCO - Input'!$D690,'Fuel Selector'!$B$359:$B$462,0))</f>
        <v>0</v>
      </c>
      <c r="U690" s="18">
        <f>INDEX('Fuel Selector'!M$359:M$462,MATCH('TCO - Input'!$D690,'Fuel Selector'!$B$359:$B$462,0))</f>
        <v>0</v>
      </c>
      <c r="V690" s="18">
        <f>INDEX('Fuel Selector'!N$359:N$462,MATCH('TCO - Input'!$D690,'Fuel Selector'!$B$359:$B$462,0))</f>
        <v>0</v>
      </c>
      <c r="W690" s="18">
        <f>INDEX('Fuel Selector'!O$359:O$462,MATCH('TCO - Input'!$D690,'Fuel Selector'!$B$359:$B$462,0))</f>
        <v>0</v>
      </c>
      <c r="X690" s="18">
        <f>INDEX('Fuel Selector'!P$359:P$462,MATCH('TCO - Input'!$D690,'Fuel Selector'!$B$359:$B$462,0))</f>
        <v>0</v>
      </c>
      <c r="Y690" s="18">
        <f>INDEX('Fuel Selector'!Q$359:Q$462,MATCH('TCO - Input'!$D690,'Fuel Selector'!$B$359:$B$462,0))</f>
        <v>0</v>
      </c>
      <c r="Z690" s="18">
        <f>INDEX('Fuel Selector'!R$359:R$462,MATCH('TCO - Input'!$D690,'Fuel Selector'!$B$359:$B$462,0))</f>
        <v>0</v>
      </c>
      <c r="AA690" s="18">
        <f>INDEX('Fuel Selector'!S$359:S$462,MATCH('TCO - Input'!$D690,'Fuel Selector'!$B$359:$B$462,0))</f>
        <v>0</v>
      </c>
      <c r="AB690" s="18">
        <f>INDEX('Fuel Selector'!T$359:T$462,MATCH('TCO - Input'!$D690,'Fuel Selector'!$B$359:$B$462,0))</f>
        <v>0</v>
      </c>
      <c r="AC690" s="18">
        <f>INDEX('Fuel Selector'!U$359:U$462,MATCH('TCO - Input'!$D690,'Fuel Selector'!$B$359:$B$462,0))</f>
        <v>0</v>
      </c>
      <c r="AD690" s="18">
        <f>INDEX('Fuel Selector'!V$359:V$462,MATCH('TCO - Input'!$D690,'Fuel Selector'!$B$359:$B$462,0))</f>
        <v>0</v>
      </c>
    </row>
    <row r="691" spans="2:30" x14ac:dyDescent="0.2">
      <c r="B691"/>
      <c r="C691" s="48">
        <f t="shared" ref="C691:C708" si="591">+C690+1</f>
        <v>3</v>
      </c>
      <c r="D691" s="347" t="str">
        <f t="shared" si="590"/>
        <v>LPG - Middle East - RE cost - USD/GJ</v>
      </c>
      <c r="F691" t="str" cm="1">
        <f t="array" ref="F691">INDEX(list_ME_fuel,$C691)</f>
        <v>LPG</v>
      </c>
      <c r="L691" t="s">
        <v>197</v>
      </c>
      <c r="N691" t="str">
        <f t="shared" si="588"/>
        <v>RE cost - USD/GJ</v>
      </c>
      <c r="Q691" t="s">
        <v>324</v>
      </c>
      <c r="S691" s="18">
        <f>INDEX('Fuel Selector'!K$359:K$462,MATCH('TCO - Input'!$D691,'Fuel Selector'!$B$359:$B$462,0))</f>
        <v>0</v>
      </c>
      <c r="T691" s="18">
        <f>INDEX('Fuel Selector'!L$359:L$462,MATCH('TCO - Input'!$D691,'Fuel Selector'!$B$359:$B$462,0))</f>
        <v>0</v>
      </c>
      <c r="U691" s="18">
        <f>INDEX('Fuel Selector'!M$359:M$462,MATCH('TCO - Input'!$D691,'Fuel Selector'!$B$359:$B$462,0))</f>
        <v>0</v>
      </c>
      <c r="V691" s="18">
        <f>INDEX('Fuel Selector'!N$359:N$462,MATCH('TCO - Input'!$D691,'Fuel Selector'!$B$359:$B$462,0))</f>
        <v>0</v>
      </c>
      <c r="W691" s="18">
        <f>INDEX('Fuel Selector'!O$359:O$462,MATCH('TCO - Input'!$D691,'Fuel Selector'!$B$359:$B$462,0))</f>
        <v>0</v>
      </c>
      <c r="X691" s="18">
        <f>INDEX('Fuel Selector'!P$359:P$462,MATCH('TCO - Input'!$D691,'Fuel Selector'!$B$359:$B$462,0))</f>
        <v>0</v>
      </c>
      <c r="Y691" s="18">
        <f>INDEX('Fuel Selector'!Q$359:Q$462,MATCH('TCO - Input'!$D691,'Fuel Selector'!$B$359:$B$462,0))</f>
        <v>0</v>
      </c>
      <c r="Z691" s="18">
        <f>INDEX('Fuel Selector'!R$359:R$462,MATCH('TCO - Input'!$D691,'Fuel Selector'!$B$359:$B$462,0))</f>
        <v>0</v>
      </c>
      <c r="AA691" s="18">
        <f>INDEX('Fuel Selector'!S$359:S$462,MATCH('TCO - Input'!$D691,'Fuel Selector'!$B$359:$B$462,0))</f>
        <v>0</v>
      </c>
      <c r="AB691" s="18">
        <f>INDEX('Fuel Selector'!T$359:T$462,MATCH('TCO - Input'!$D691,'Fuel Selector'!$B$359:$B$462,0))</f>
        <v>0</v>
      </c>
      <c r="AC691" s="18">
        <f>INDEX('Fuel Selector'!U$359:U$462,MATCH('TCO - Input'!$D691,'Fuel Selector'!$B$359:$B$462,0))</f>
        <v>0</v>
      </c>
      <c r="AD691" s="18">
        <f>INDEX('Fuel Selector'!V$359:V$462,MATCH('TCO - Input'!$D691,'Fuel Selector'!$B$359:$B$462,0))</f>
        <v>0</v>
      </c>
    </row>
    <row r="692" spans="2:30" x14ac:dyDescent="0.2">
      <c r="B692"/>
      <c r="C692" s="48">
        <f t="shared" si="591"/>
        <v>4</v>
      </c>
      <c r="D692" s="347" t="str">
        <f t="shared" si="590"/>
        <v>Electricity - Middle East - RE cost - USD/GJ</v>
      </c>
      <c r="F692" t="str" cm="1">
        <f t="array" ref="F692">INDEX(list_ME_fuel,$C692)</f>
        <v>Electricity</v>
      </c>
      <c r="L692" t="s">
        <v>197</v>
      </c>
      <c r="N692" t="str">
        <f t="shared" si="588"/>
        <v>RE cost - USD/GJ</v>
      </c>
      <c r="Q692" t="s">
        <v>324</v>
      </c>
      <c r="S692" s="18">
        <f>INDEX('Fuel Selector'!K$359:K$462,MATCH('TCO - Input'!$D692,'Fuel Selector'!$B$359:$B$462,0))</f>
        <v>0</v>
      </c>
      <c r="T692" s="18">
        <f>INDEX('Fuel Selector'!L$359:L$462,MATCH('TCO - Input'!$D692,'Fuel Selector'!$B$359:$B$462,0))</f>
        <v>0</v>
      </c>
      <c r="U692" s="18">
        <f>INDEX('Fuel Selector'!M$359:M$462,MATCH('TCO - Input'!$D692,'Fuel Selector'!$B$359:$B$462,0))</f>
        <v>0</v>
      </c>
      <c r="V692" s="18">
        <f>INDEX('Fuel Selector'!N$359:N$462,MATCH('TCO - Input'!$D692,'Fuel Selector'!$B$359:$B$462,0))</f>
        <v>0</v>
      </c>
      <c r="W692" s="18">
        <f>INDEX('Fuel Selector'!O$359:O$462,MATCH('TCO - Input'!$D692,'Fuel Selector'!$B$359:$B$462,0))</f>
        <v>0</v>
      </c>
      <c r="X692" s="18">
        <f>INDEX('Fuel Selector'!P$359:P$462,MATCH('TCO - Input'!$D692,'Fuel Selector'!$B$359:$B$462,0))</f>
        <v>0</v>
      </c>
      <c r="Y692" s="18">
        <f>INDEX('Fuel Selector'!Q$359:Q$462,MATCH('TCO - Input'!$D692,'Fuel Selector'!$B$359:$B$462,0))</f>
        <v>0</v>
      </c>
      <c r="Z692" s="18">
        <f>INDEX('Fuel Selector'!R$359:R$462,MATCH('TCO - Input'!$D692,'Fuel Selector'!$B$359:$B$462,0))</f>
        <v>0</v>
      </c>
      <c r="AA692" s="18">
        <f>INDEX('Fuel Selector'!S$359:S$462,MATCH('TCO - Input'!$D692,'Fuel Selector'!$B$359:$B$462,0))</f>
        <v>0</v>
      </c>
      <c r="AB692" s="18">
        <f>INDEX('Fuel Selector'!T$359:T$462,MATCH('TCO - Input'!$D692,'Fuel Selector'!$B$359:$B$462,0))</f>
        <v>0</v>
      </c>
      <c r="AC692" s="18">
        <f>INDEX('Fuel Selector'!U$359:U$462,MATCH('TCO - Input'!$D692,'Fuel Selector'!$B$359:$B$462,0))</f>
        <v>0</v>
      </c>
      <c r="AD692" s="18">
        <f>INDEX('Fuel Selector'!V$359:V$462,MATCH('TCO - Input'!$D692,'Fuel Selector'!$B$359:$B$462,0))</f>
        <v>0</v>
      </c>
    </row>
    <row r="693" spans="2:30" x14ac:dyDescent="0.2">
      <c r="B693"/>
      <c r="C693" s="48">
        <f t="shared" si="591"/>
        <v>5</v>
      </c>
      <c r="D693" s="347" t="str">
        <f t="shared" si="590"/>
        <v>e-Ammonia - Middle East - RE cost - USD/GJ</v>
      </c>
      <c r="F693" t="str" cm="1">
        <f t="array" ref="F693">INDEX(list_ME_fuel,$C693)</f>
        <v>e-Ammonia</v>
      </c>
      <c r="L693" t="s">
        <v>197</v>
      </c>
      <c r="N693" t="str">
        <f t="shared" si="588"/>
        <v>RE cost - USD/GJ</v>
      </c>
      <c r="Q693" t="s">
        <v>324</v>
      </c>
      <c r="S693" s="18">
        <f>INDEX('Fuel Selector'!K$359:K$462,MATCH('TCO - Input'!$D693,'Fuel Selector'!$B$359:$B$462,0))</f>
        <v>22.333994433570712</v>
      </c>
      <c r="T693" s="18">
        <f>INDEX('Fuel Selector'!L$359:L$462,MATCH('TCO - Input'!$D693,'Fuel Selector'!$B$359:$B$462,0))</f>
        <v>17.899909500170722</v>
      </c>
      <c r="U693" s="18">
        <f>INDEX('Fuel Selector'!M$359:M$462,MATCH('TCO - Input'!$D693,'Fuel Selector'!$B$359:$B$462,0))</f>
        <v>14.837380854374343</v>
      </c>
      <c r="V693" s="18">
        <f>INDEX('Fuel Selector'!N$359:N$462,MATCH('TCO - Input'!$D693,'Fuel Selector'!$B$359:$B$462,0))</f>
        <v>12.394071440291398</v>
      </c>
      <c r="W693" s="18">
        <f>INDEX('Fuel Selector'!O$359:O$462,MATCH('TCO - Input'!$D693,'Fuel Selector'!$B$359:$B$462,0))</f>
        <v>10.932890214945497</v>
      </c>
      <c r="X693" s="18">
        <f>INDEX('Fuel Selector'!P$359:P$462,MATCH('TCO - Input'!$D693,'Fuel Selector'!$B$359:$B$462,0))</f>
        <v>9.1348090015597911</v>
      </c>
      <c r="Y693" s="18">
        <f>INDEX('Fuel Selector'!Q$359:Q$462,MATCH('TCO - Input'!$D693,'Fuel Selector'!$B$359:$B$462,0))</f>
        <v>8.1669732559679549</v>
      </c>
      <c r="Z693" s="18">
        <f>INDEX('Fuel Selector'!R$359:R$462,MATCH('TCO - Input'!$D693,'Fuel Selector'!$B$359:$B$462,0))</f>
        <v>8.1669732559679549</v>
      </c>
      <c r="AA693" s="18">
        <f>INDEX('Fuel Selector'!S$359:S$462,MATCH('TCO - Input'!$D693,'Fuel Selector'!$B$359:$B$462,0))</f>
        <v>8.1669732559679549</v>
      </c>
      <c r="AB693" s="18">
        <f>INDEX('Fuel Selector'!T$359:T$462,MATCH('TCO - Input'!$D693,'Fuel Selector'!$B$359:$B$462,0))</f>
        <v>8.1669732559679549</v>
      </c>
      <c r="AC693" s="18">
        <f>INDEX('Fuel Selector'!U$359:U$462,MATCH('TCO - Input'!$D693,'Fuel Selector'!$B$359:$B$462,0))</f>
        <v>8.1669732559679549</v>
      </c>
      <c r="AD693" s="18">
        <f>INDEX('Fuel Selector'!V$359:V$462,MATCH('TCO - Input'!$D693,'Fuel Selector'!$B$359:$B$462,0))</f>
        <v>8.1669732559679549</v>
      </c>
    </row>
    <row r="694" spans="2:30" x14ac:dyDescent="0.2">
      <c r="B694"/>
      <c r="C694" s="48">
        <f t="shared" si="591"/>
        <v>6</v>
      </c>
      <c r="D694" s="347" t="str">
        <f t="shared" si="590"/>
        <v>Blue ammonia - Middle East - RE cost - USD/GJ</v>
      </c>
      <c r="F694" t="str" cm="1">
        <f t="array" ref="F694">INDEX(list_ME_fuel,$C694)</f>
        <v>Blue ammonia</v>
      </c>
      <c r="L694" t="s">
        <v>197</v>
      </c>
      <c r="N694" t="str">
        <f t="shared" si="588"/>
        <v>RE cost - USD/GJ</v>
      </c>
      <c r="Q694" t="s">
        <v>324</v>
      </c>
      <c r="S694" s="18">
        <f>INDEX('Fuel Selector'!K$359:K$462,MATCH('TCO - Input'!$D694,'Fuel Selector'!$B$359:$B$462,0))</f>
        <v>0</v>
      </c>
      <c r="T694" s="18">
        <f>INDEX('Fuel Selector'!L$359:L$462,MATCH('TCO - Input'!$D694,'Fuel Selector'!$B$359:$B$462,0))</f>
        <v>0</v>
      </c>
      <c r="U694" s="18">
        <f>INDEX('Fuel Selector'!M$359:M$462,MATCH('TCO - Input'!$D694,'Fuel Selector'!$B$359:$B$462,0))</f>
        <v>0</v>
      </c>
      <c r="V694" s="18">
        <f>INDEX('Fuel Selector'!N$359:N$462,MATCH('TCO - Input'!$D694,'Fuel Selector'!$B$359:$B$462,0))</f>
        <v>0</v>
      </c>
      <c r="W694" s="18">
        <f>INDEX('Fuel Selector'!O$359:O$462,MATCH('TCO - Input'!$D694,'Fuel Selector'!$B$359:$B$462,0))</f>
        <v>0</v>
      </c>
      <c r="X694" s="18">
        <f>INDEX('Fuel Selector'!P$359:P$462,MATCH('TCO - Input'!$D694,'Fuel Selector'!$B$359:$B$462,0))</f>
        <v>0</v>
      </c>
      <c r="Y694" s="18">
        <f>INDEX('Fuel Selector'!Q$359:Q$462,MATCH('TCO - Input'!$D694,'Fuel Selector'!$B$359:$B$462,0))</f>
        <v>0</v>
      </c>
      <c r="Z694" s="18">
        <f>INDEX('Fuel Selector'!R$359:R$462,MATCH('TCO - Input'!$D694,'Fuel Selector'!$B$359:$B$462,0))</f>
        <v>0</v>
      </c>
      <c r="AA694" s="18">
        <f>INDEX('Fuel Selector'!S$359:S$462,MATCH('TCO - Input'!$D694,'Fuel Selector'!$B$359:$B$462,0))</f>
        <v>0</v>
      </c>
      <c r="AB694" s="18">
        <f>INDEX('Fuel Selector'!T$359:T$462,MATCH('TCO - Input'!$D694,'Fuel Selector'!$B$359:$B$462,0))</f>
        <v>0</v>
      </c>
      <c r="AC694" s="18">
        <f>INDEX('Fuel Selector'!U$359:U$462,MATCH('TCO - Input'!$D694,'Fuel Selector'!$B$359:$B$462,0))</f>
        <v>0</v>
      </c>
      <c r="AD694" s="18">
        <f>INDEX('Fuel Selector'!V$359:V$462,MATCH('TCO - Input'!$D694,'Fuel Selector'!$B$359:$B$462,0))</f>
        <v>0</v>
      </c>
    </row>
    <row r="695" spans="2:30" x14ac:dyDescent="0.2">
      <c r="B695"/>
      <c r="C695" s="48">
        <f t="shared" si="591"/>
        <v>7</v>
      </c>
      <c r="D695" s="347" t="str">
        <f t="shared" si="590"/>
        <v>Biomethane - Middle East - RE cost - USD/GJ</v>
      </c>
      <c r="F695" t="str" cm="1">
        <f t="array" ref="F695">INDEX(list_ME_fuel,$C695)</f>
        <v>Biomethane</v>
      </c>
      <c r="L695" t="s">
        <v>197</v>
      </c>
      <c r="N695" t="str">
        <f t="shared" si="588"/>
        <v>RE cost - USD/GJ</v>
      </c>
      <c r="Q695" t="s">
        <v>324</v>
      </c>
      <c r="S695" s="18">
        <f>INDEX('Fuel Selector'!K$359:K$462,MATCH('TCO - Input'!$D695,'Fuel Selector'!$B$359:$B$462,0))</f>
        <v>0</v>
      </c>
      <c r="T695" s="18">
        <f>INDEX('Fuel Selector'!L$359:L$462,MATCH('TCO - Input'!$D695,'Fuel Selector'!$B$359:$B$462,0))</f>
        <v>0</v>
      </c>
      <c r="U695" s="18">
        <f>INDEX('Fuel Selector'!M$359:M$462,MATCH('TCO - Input'!$D695,'Fuel Selector'!$B$359:$B$462,0))</f>
        <v>0</v>
      </c>
      <c r="V695" s="18">
        <f>INDEX('Fuel Selector'!N$359:N$462,MATCH('TCO - Input'!$D695,'Fuel Selector'!$B$359:$B$462,0))</f>
        <v>0</v>
      </c>
      <c r="W695" s="18">
        <f>INDEX('Fuel Selector'!O$359:O$462,MATCH('TCO - Input'!$D695,'Fuel Selector'!$B$359:$B$462,0))</f>
        <v>0</v>
      </c>
      <c r="X695" s="18">
        <f>INDEX('Fuel Selector'!P$359:P$462,MATCH('TCO - Input'!$D695,'Fuel Selector'!$B$359:$B$462,0))</f>
        <v>0</v>
      </c>
      <c r="Y695" s="18">
        <f>INDEX('Fuel Selector'!Q$359:Q$462,MATCH('TCO - Input'!$D695,'Fuel Selector'!$B$359:$B$462,0))</f>
        <v>0</v>
      </c>
      <c r="Z695" s="18">
        <f>INDEX('Fuel Selector'!R$359:R$462,MATCH('TCO - Input'!$D695,'Fuel Selector'!$B$359:$B$462,0))</f>
        <v>0</v>
      </c>
      <c r="AA695" s="18">
        <f>INDEX('Fuel Selector'!S$359:S$462,MATCH('TCO - Input'!$D695,'Fuel Selector'!$B$359:$B$462,0))</f>
        <v>0</v>
      </c>
      <c r="AB695" s="18">
        <f>INDEX('Fuel Selector'!T$359:T$462,MATCH('TCO - Input'!$D695,'Fuel Selector'!$B$359:$B$462,0))</f>
        <v>0</v>
      </c>
      <c r="AC695" s="18">
        <f>INDEX('Fuel Selector'!U$359:U$462,MATCH('TCO - Input'!$D695,'Fuel Selector'!$B$359:$B$462,0))</f>
        <v>0</v>
      </c>
      <c r="AD695" s="18">
        <f>INDEX('Fuel Selector'!V$359:V$462,MATCH('TCO - Input'!$D695,'Fuel Selector'!$B$359:$B$462,0))</f>
        <v>0</v>
      </c>
    </row>
    <row r="696" spans="2:30" x14ac:dyDescent="0.2">
      <c r="B696"/>
      <c r="C696" s="48">
        <f t="shared" si="591"/>
        <v>8</v>
      </c>
      <c r="D696" s="347" t="str">
        <f t="shared" si="590"/>
        <v>e-Methane (DAC) - Middle East - RE cost - USD/GJ</v>
      </c>
      <c r="F696" t="str" cm="1">
        <f t="array" ref="F696">INDEX(list_ME_fuel,$C696)</f>
        <v>e-Methane (DAC)</v>
      </c>
      <c r="L696" t="s">
        <v>197</v>
      </c>
      <c r="N696" t="str">
        <f t="shared" si="588"/>
        <v>RE cost - USD/GJ</v>
      </c>
      <c r="Q696" t="s">
        <v>324</v>
      </c>
      <c r="S696" s="18">
        <f>INDEX('Fuel Selector'!K$359:K$462,MATCH('TCO - Input'!$D696,'Fuel Selector'!$B$359:$B$462,0))</f>
        <v>23.079747366891439</v>
      </c>
      <c r="T696" s="18">
        <f>INDEX('Fuel Selector'!L$359:L$462,MATCH('TCO - Input'!$D696,'Fuel Selector'!$B$359:$B$462,0))</f>
        <v>18.496692841981833</v>
      </c>
      <c r="U696" s="18">
        <f>INDEX('Fuel Selector'!M$359:M$462,MATCH('TCO - Input'!$D696,'Fuel Selector'!$B$359:$B$462,0))</f>
        <v>15.329898981943039</v>
      </c>
      <c r="V696" s="18">
        <f>INDEX('Fuel Selector'!N$359:N$462,MATCH('TCO - Input'!$D696,'Fuel Selector'!$B$359:$B$462,0))</f>
        <v>12.800453963143745</v>
      </c>
      <c r="W696" s="18">
        <f>INDEX('Fuel Selector'!O$359:O$462,MATCH('TCO - Input'!$D696,'Fuel Selector'!$B$359:$B$462,0))</f>
        <v>11.285590514574025</v>
      </c>
      <c r="X696" s="18">
        <f>INDEX('Fuel Selector'!P$359:P$462,MATCH('TCO - Input'!$D696,'Fuel Selector'!$B$359:$B$462,0))</f>
        <v>9.422359804617253</v>
      </c>
      <c r="Y696" s="18">
        <f>INDEX('Fuel Selector'!Q$359:Q$462,MATCH('TCO - Input'!$D696,'Fuel Selector'!$B$359:$B$462,0))</f>
        <v>8.4184197250304482</v>
      </c>
      <c r="Z696" s="18">
        <f>INDEX('Fuel Selector'!R$359:R$462,MATCH('TCO - Input'!$D696,'Fuel Selector'!$B$359:$B$462,0))</f>
        <v>8.4184197250304482</v>
      </c>
      <c r="AA696" s="18">
        <f>INDEX('Fuel Selector'!S$359:S$462,MATCH('TCO - Input'!$D696,'Fuel Selector'!$B$359:$B$462,0))</f>
        <v>8.4184197250304482</v>
      </c>
      <c r="AB696" s="18">
        <f>INDEX('Fuel Selector'!T$359:T$462,MATCH('TCO - Input'!$D696,'Fuel Selector'!$B$359:$B$462,0))</f>
        <v>8.4184197250304482</v>
      </c>
      <c r="AC696" s="18">
        <f>INDEX('Fuel Selector'!U$359:U$462,MATCH('TCO - Input'!$D696,'Fuel Selector'!$B$359:$B$462,0))</f>
        <v>8.4184197250304482</v>
      </c>
      <c r="AD696" s="18">
        <f>INDEX('Fuel Selector'!V$359:V$462,MATCH('TCO - Input'!$D696,'Fuel Selector'!$B$359:$B$462,0))</f>
        <v>8.4184197250304482</v>
      </c>
    </row>
    <row r="697" spans="2:30" x14ac:dyDescent="0.2">
      <c r="B697"/>
      <c r="C697" s="48">
        <f t="shared" si="591"/>
        <v>9</v>
      </c>
      <c r="D697" s="347" t="str">
        <f t="shared" si="590"/>
        <v>e-Methane (PS) - Middle East - RE cost - USD/GJ</v>
      </c>
      <c r="F697" t="str" cm="1">
        <f t="array" ref="F697">INDEX(list_ME_fuel,$C697)</f>
        <v>e-Methane (PS)</v>
      </c>
      <c r="L697" t="s">
        <v>197</v>
      </c>
      <c r="N697" t="str">
        <f t="shared" si="588"/>
        <v>RE cost - USD/GJ</v>
      </c>
      <c r="Q697" t="s">
        <v>324</v>
      </c>
      <c r="S697" s="18">
        <f>INDEX('Fuel Selector'!K$359:K$462,MATCH('TCO - Input'!$D697,'Fuel Selector'!$B$359:$B$462,0))</f>
        <v>23.079747366891439</v>
      </c>
      <c r="T697" s="18">
        <f>INDEX('Fuel Selector'!L$359:L$462,MATCH('TCO - Input'!$D697,'Fuel Selector'!$B$359:$B$462,0))</f>
        <v>18.496692841981833</v>
      </c>
      <c r="U697" s="18">
        <f>INDEX('Fuel Selector'!M$359:M$462,MATCH('TCO - Input'!$D697,'Fuel Selector'!$B$359:$B$462,0))</f>
        <v>15.329898981943039</v>
      </c>
      <c r="V697" s="18">
        <f>INDEX('Fuel Selector'!N$359:N$462,MATCH('TCO - Input'!$D697,'Fuel Selector'!$B$359:$B$462,0))</f>
        <v>12.800453963143745</v>
      </c>
      <c r="W697" s="18">
        <f>INDEX('Fuel Selector'!O$359:O$462,MATCH('TCO - Input'!$D697,'Fuel Selector'!$B$359:$B$462,0))</f>
        <v>11.285590514574025</v>
      </c>
      <c r="X697" s="18">
        <f>INDEX('Fuel Selector'!P$359:P$462,MATCH('TCO - Input'!$D697,'Fuel Selector'!$B$359:$B$462,0))</f>
        <v>9.422359804617253</v>
      </c>
      <c r="Y697" s="18">
        <f>INDEX('Fuel Selector'!Q$359:Q$462,MATCH('TCO - Input'!$D697,'Fuel Selector'!$B$359:$B$462,0))</f>
        <v>8.4184197250304482</v>
      </c>
      <c r="Z697" s="18">
        <f>INDEX('Fuel Selector'!R$359:R$462,MATCH('TCO - Input'!$D697,'Fuel Selector'!$B$359:$B$462,0))</f>
        <v>8.4184197250304482</v>
      </c>
      <c r="AA697" s="18">
        <f>INDEX('Fuel Selector'!S$359:S$462,MATCH('TCO - Input'!$D697,'Fuel Selector'!$B$359:$B$462,0))</f>
        <v>8.4184197250304482</v>
      </c>
      <c r="AB697" s="18">
        <f>INDEX('Fuel Selector'!T$359:T$462,MATCH('TCO - Input'!$D697,'Fuel Selector'!$B$359:$B$462,0))</f>
        <v>8.4184197250304482</v>
      </c>
      <c r="AC697" s="18">
        <f>INDEX('Fuel Selector'!U$359:U$462,MATCH('TCO - Input'!$D697,'Fuel Selector'!$B$359:$B$462,0))</f>
        <v>8.4184197250304482</v>
      </c>
      <c r="AD697" s="18">
        <f>INDEX('Fuel Selector'!V$359:V$462,MATCH('TCO - Input'!$D697,'Fuel Selector'!$B$359:$B$462,0))</f>
        <v>8.4184197250304482</v>
      </c>
    </row>
    <row r="698" spans="2:30" x14ac:dyDescent="0.2">
      <c r="B698"/>
      <c r="C698" s="48">
        <f t="shared" si="591"/>
        <v>10</v>
      </c>
      <c r="D698" s="347" t="str">
        <f t="shared" si="590"/>
        <v>Biomethanol - Middle East - RE cost - USD/GJ</v>
      </c>
      <c r="F698" t="str" cm="1">
        <f t="array" ref="F698">INDEX(list_ME_fuel,$C698)</f>
        <v>Biomethanol</v>
      </c>
      <c r="L698" t="s">
        <v>197</v>
      </c>
      <c r="N698" t="str">
        <f t="shared" si="588"/>
        <v>RE cost - USD/GJ</v>
      </c>
      <c r="Q698" t="s">
        <v>324</v>
      </c>
      <c r="S698" s="18">
        <f>INDEX('Fuel Selector'!K$359:K$462,MATCH('TCO - Input'!$D698,'Fuel Selector'!$B$359:$B$462,0))</f>
        <v>0</v>
      </c>
      <c r="T698" s="18">
        <f>INDEX('Fuel Selector'!L$359:L$462,MATCH('TCO - Input'!$D698,'Fuel Selector'!$B$359:$B$462,0))</f>
        <v>0</v>
      </c>
      <c r="U698" s="18">
        <f>INDEX('Fuel Selector'!M$359:M$462,MATCH('TCO - Input'!$D698,'Fuel Selector'!$B$359:$B$462,0))</f>
        <v>0</v>
      </c>
      <c r="V698" s="18">
        <f>INDEX('Fuel Selector'!N$359:N$462,MATCH('TCO - Input'!$D698,'Fuel Selector'!$B$359:$B$462,0))</f>
        <v>0</v>
      </c>
      <c r="W698" s="18">
        <f>INDEX('Fuel Selector'!O$359:O$462,MATCH('TCO - Input'!$D698,'Fuel Selector'!$B$359:$B$462,0))</f>
        <v>0</v>
      </c>
      <c r="X698" s="18">
        <f>INDEX('Fuel Selector'!P$359:P$462,MATCH('TCO - Input'!$D698,'Fuel Selector'!$B$359:$B$462,0))</f>
        <v>0</v>
      </c>
      <c r="Y698" s="18">
        <f>INDEX('Fuel Selector'!Q$359:Q$462,MATCH('TCO - Input'!$D698,'Fuel Selector'!$B$359:$B$462,0))</f>
        <v>0</v>
      </c>
      <c r="Z698" s="18">
        <f>INDEX('Fuel Selector'!R$359:R$462,MATCH('TCO - Input'!$D698,'Fuel Selector'!$B$359:$B$462,0))</f>
        <v>0</v>
      </c>
      <c r="AA698" s="18">
        <f>INDEX('Fuel Selector'!S$359:S$462,MATCH('TCO - Input'!$D698,'Fuel Selector'!$B$359:$B$462,0))</f>
        <v>0</v>
      </c>
      <c r="AB698" s="18">
        <f>INDEX('Fuel Selector'!T$359:T$462,MATCH('TCO - Input'!$D698,'Fuel Selector'!$B$359:$B$462,0))</f>
        <v>0</v>
      </c>
      <c r="AC698" s="18">
        <f>INDEX('Fuel Selector'!U$359:U$462,MATCH('TCO - Input'!$D698,'Fuel Selector'!$B$359:$B$462,0))</f>
        <v>0</v>
      </c>
      <c r="AD698" s="18">
        <f>INDEX('Fuel Selector'!V$359:V$462,MATCH('TCO - Input'!$D698,'Fuel Selector'!$B$359:$B$462,0))</f>
        <v>0</v>
      </c>
    </row>
    <row r="699" spans="2:30" x14ac:dyDescent="0.2">
      <c r="B699"/>
      <c r="C699" s="48">
        <f t="shared" si="591"/>
        <v>11</v>
      </c>
      <c r="D699" s="347" t="str">
        <f t="shared" si="590"/>
        <v>e-Methanol (DAC) - Middle East - RE cost - USD/GJ</v>
      </c>
      <c r="F699" t="str" cm="1">
        <f t="array" ref="F699">INDEX(list_ME_fuel,$C699)</f>
        <v>e-Methanol (DAC)</v>
      </c>
      <c r="L699" t="s">
        <v>197</v>
      </c>
      <c r="N699" t="str">
        <f t="shared" si="588"/>
        <v>RE cost - USD/GJ</v>
      </c>
      <c r="Q699" t="s">
        <v>324</v>
      </c>
      <c r="S699" s="18">
        <f>INDEX('Fuel Selector'!K$359:K$462,MATCH('TCO - Input'!$D699,'Fuel Selector'!$B$359:$B$462,0))</f>
        <v>25.154334248611558</v>
      </c>
      <c r="T699" s="18">
        <f>INDEX('Fuel Selector'!L$359:L$462,MATCH('TCO - Input'!$D699,'Fuel Selector'!$B$359:$B$462,0))</f>
        <v>20.171494297380967</v>
      </c>
      <c r="U699" s="18">
        <f>INDEX('Fuel Selector'!M$359:M$462,MATCH('TCO - Input'!$D699,'Fuel Selector'!$B$359:$B$462,0))</f>
        <v>16.746823526057252</v>
      </c>
      <c r="V699" s="18">
        <f>INDEX('Fuel Selector'!N$359:N$462,MATCH('TCO - Input'!$D699,'Fuel Selector'!$B$359:$B$462,0))</f>
        <v>14.050813688422394</v>
      </c>
      <c r="W699" s="18">
        <f>INDEX('Fuel Selector'!O$359:O$462,MATCH('TCO - Input'!$D699,'Fuel Selector'!$B$359:$B$462,0))</f>
        <v>12.46513670107764</v>
      </c>
      <c r="X699" s="18">
        <f>INDEX('Fuel Selector'!P$359:P$462,MATCH('TCO - Input'!$D699,'Fuel Selector'!$B$359:$B$462,0))</f>
        <v>10.502689073272558</v>
      </c>
      <c r="Y699" s="18">
        <f>INDEX('Fuel Selector'!Q$359:Q$462,MATCH('TCO - Input'!$D699,'Fuel Selector'!$B$359:$B$462,0))</f>
        <v>9.4591041755737724</v>
      </c>
      <c r="Z699" s="18">
        <f>INDEX('Fuel Selector'!R$359:R$462,MATCH('TCO - Input'!$D699,'Fuel Selector'!$B$359:$B$462,0))</f>
        <v>9.4591041755737724</v>
      </c>
      <c r="AA699" s="18">
        <f>INDEX('Fuel Selector'!S$359:S$462,MATCH('TCO - Input'!$D699,'Fuel Selector'!$B$359:$B$462,0))</f>
        <v>9.4591041755737724</v>
      </c>
      <c r="AB699" s="18">
        <f>INDEX('Fuel Selector'!T$359:T$462,MATCH('TCO - Input'!$D699,'Fuel Selector'!$B$359:$B$462,0))</f>
        <v>9.4591041755737724</v>
      </c>
      <c r="AC699" s="18">
        <f>INDEX('Fuel Selector'!U$359:U$462,MATCH('TCO - Input'!$D699,'Fuel Selector'!$B$359:$B$462,0))</f>
        <v>9.4591041755737724</v>
      </c>
      <c r="AD699" s="18">
        <f>INDEX('Fuel Selector'!V$359:V$462,MATCH('TCO - Input'!$D699,'Fuel Selector'!$B$359:$B$462,0))</f>
        <v>9.4591041755737724</v>
      </c>
    </row>
    <row r="700" spans="2:30" x14ac:dyDescent="0.2">
      <c r="B700"/>
      <c r="C700" s="48">
        <f t="shared" si="591"/>
        <v>12</v>
      </c>
      <c r="D700" s="347" t="str">
        <f t="shared" si="590"/>
        <v>e-Methanol (PS) - Middle East - RE cost - USD/GJ</v>
      </c>
      <c r="F700" t="str" cm="1">
        <f t="array" ref="F700">INDEX(list_ME_fuel,$C700)</f>
        <v>e-Methanol (PS)</v>
      </c>
      <c r="L700" t="s">
        <v>197</v>
      </c>
      <c r="N700" t="str">
        <f t="shared" si="588"/>
        <v>RE cost - USD/GJ</v>
      </c>
      <c r="Q700" t="s">
        <v>324</v>
      </c>
      <c r="S700" s="18">
        <f>INDEX('Fuel Selector'!K$359:K$462,MATCH('TCO - Input'!$D700,'Fuel Selector'!$B$359:$B$462,0))</f>
        <v>25.154334248611558</v>
      </c>
      <c r="T700" s="18">
        <f>INDEX('Fuel Selector'!L$359:L$462,MATCH('TCO - Input'!$D700,'Fuel Selector'!$B$359:$B$462,0))</f>
        <v>20.171494297380967</v>
      </c>
      <c r="U700" s="18">
        <f>INDEX('Fuel Selector'!M$359:M$462,MATCH('TCO - Input'!$D700,'Fuel Selector'!$B$359:$B$462,0))</f>
        <v>16.746823526057252</v>
      </c>
      <c r="V700" s="18">
        <f>INDEX('Fuel Selector'!N$359:N$462,MATCH('TCO - Input'!$D700,'Fuel Selector'!$B$359:$B$462,0))</f>
        <v>14.050813688422394</v>
      </c>
      <c r="W700" s="18">
        <f>INDEX('Fuel Selector'!O$359:O$462,MATCH('TCO - Input'!$D700,'Fuel Selector'!$B$359:$B$462,0))</f>
        <v>12.46513670107764</v>
      </c>
      <c r="X700" s="18">
        <f>INDEX('Fuel Selector'!P$359:P$462,MATCH('TCO - Input'!$D700,'Fuel Selector'!$B$359:$B$462,0))</f>
        <v>10.502689073272558</v>
      </c>
      <c r="Y700" s="18">
        <f>INDEX('Fuel Selector'!Q$359:Q$462,MATCH('TCO - Input'!$D700,'Fuel Selector'!$B$359:$B$462,0))</f>
        <v>9.4591041755737724</v>
      </c>
      <c r="Z700" s="18">
        <f>INDEX('Fuel Selector'!R$359:R$462,MATCH('TCO - Input'!$D700,'Fuel Selector'!$B$359:$B$462,0))</f>
        <v>9.4591041755737724</v>
      </c>
      <c r="AA700" s="18">
        <f>INDEX('Fuel Selector'!S$359:S$462,MATCH('TCO - Input'!$D700,'Fuel Selector'!$B$359:$B$462,0))</f>
        <v>9.4591041755737724</v>
      </c>
      <c r="AB700" s="18">
        <f>INDEX('Fuel Selector'!T$359:T$462,MATCH('TCO - Input'!$D700,'Fuel Selector'!$B$359:$B$462,0))</f>
        <v>9.4591041755737724</v>
      </c>
      <c r="AC700" s="18">
        <f>INDEX('Fuel Selector'!U$359:U$462,MATCH('TCO - Input'!$D700,'Fuel Selector'!$B$359:$B$462,0))</f>
        <v>9.4591041755737724</v>
      </c>
      <c r="AD700" s="18">
        <f>INDEX('Fuel Selector'!V$359:V$462,MATCH('TCO - Input'!$D700,'Fuel Selector'!$B$359:$B$462,0))</f>
        <v>9.4591041755737724</v>
      </c>
    </row>
    <row r="701" spans="2:30" x14ac:dyDescent="0.2">
      <c r="B701"/>
      <c r="C701" s="48">
        <f t="shared" si="591"/>
        <v>13</v>
      </c>
      <c r="D701" s="347" t="str">
        <f t="shared" si="590"/>
        <v>Biodiesel (HtL) - Middle East - RE cost - USD/GJ</v>
      </c>
      <c r="F701" t="str" cm="1">
        <f t="array" ref="F701">INDEX(list_ME_fuel,$C701)</f>
        <v>Biodiesel (HtL)</v>
      </c>
      <c r="L701" t="s">
        <v>197</v>
      </c>
      <c r="N701" t="str">
        <f t="shared" si="588"/>
        <v>RE cost - USD/GJ</v>
      </c>
      <c r="Q701" t="s">
        <v>324</v>
      </c>
      <c r="S701" s="18">
        <f>INDEX('Fuel Selector'!K$359:K$462,MATCH('TCO - Input'!$D701,'Fuel Selector'!$B$359:$B$462,0))</f>
        <v>0.78584619240382514</v>
      </c>
      <c r="T701" s="18">
        <f>INDEX('Fuel Selector'!L$359:L$462,MATCH('TCO - Input'!$D701,'Fuel Selector'!$B$359:$B$462,0))</f>
        <v>0.63272910014421757</v>
      </c>
      <c r="U701" s="18">
        <f>INDEX('Fuel Selector'!M$359:M$462,MATCH('TCO - Input'!$D701,'Fuel Selector'!$B$359:$B$462,0))</f>
        <v>0.52940766697493258</v>
      </c>
      <c r="V701" s="18">
        <f>INDEX('Fuel Selector'!N$359:N$462,MATCH('TCO - Input'!$D701,'Fuel Selector'!$B$359:$B$462,0))</f>
        <v>0.45650395071663369</v>
      </c>
      <c r="W701" s="18">
        <f>INDEX('Fuel Selector'!O$359:O$462,MATCH('TCO - Input'!$D701,'Fuel Selector'!$B$359:$B$462,0))</f>
        <v>0.41937418177957075</v>
      </c>
      <c r="X701" s="18">
        <f>INDEX('Fuel Selector'!P$359:P$462,MATCH('TCO - Input'!$D701,'Fuel Selector'!$B$359:$B$462,0))</f>
        <v>0.37150930318096043</v>
      </c>
      <c r="Y701" s="18">
        <f>INDEX('Fuel Selector'!Q$359:Q$462,MATCH('TCO - Input'!$D701,'Fuel Selector'!$B$359:$B$462,0))</f>
        <v>0.34853424511054748</v>
      </c>
      <c r="Z701" s="18">
        <f>INDEX('Fuel Selector'!R$359:R$462,MATCH('TCO - Input'!$D701,'Fuel Selector'!$B$359:$B$462,0))</f>
        <v>0.34853424511054748</v>
      </c>
      <c r="AA701" s="18">
        <f>INDEX('Fuel Selector'!S$359:S$462,MATCH('TCO - Input'!$D701,'Fuel Selector'!$B$359:$B$462,0))</f>
        <v>0.34853424511054748</v>
      </c>
      <c r="AB701" s="18">
        <f>INDEX('Fuel Selector'!T$359:T$462,MATCH('TCO - Input'!$D701,'Fuel Selector'!$B$359:$B$462,0))</f>
        <v>0.34853424511054748</v>
      </c>
      <c r="AC701" s="18">
        <f>INDEX('Fuel Selector'!U$359:U$462,MATCH('TCO - Input'!$D701,'Fuel Selector'!$B$359:$B$462,0))</f>
        <v>0.34853424511054748</v>
      </c>
      <c r="AD701" s="18">
        <f>INDEX('Fuel Selector'!V$359:V$462,MATCH('TCO - Input'!$D701,'Fuel Selector'!$B$359:$B$462,0))</f>
        <v>0.34853424511054748</v>
      </c>
    </row>
    <row r="702" spans="2:30" x14ac:dyDescent="0.2">
      <c r="B702"/>
      <c r="C702" s="48">
        <f t="shared" si="591"/>
        <v>14</v>
      </c>
      <c r="D702" s="347" t="str">
        <f t="shared" si="590"/>
        <v>Biodiesel (Pyr) - Middle East - RE cost - USD/GJ</v>
      </c>
      <c r="F702" t="str" cm="1">
        <f t="array" ref="F702">INDEX(list_ME_fuel,$C702)</f>
        <v>Biodiesel (Pyr)</v>
      </c>
      <c r="L702" t="s">
        <v>197</v>
      </c>
      <c r="N702" t="str">
        <f t="shared" si="588"/>
        <v>RE cost - USD/GJ</v>
      </c>
      <c r="Q702" t="s">
        <v>324</v>
      </c>
      <c r="S702" s="18">
        <f>INDEX('Fuel Selector'!K$359:K$462,MATCH('TCO - Input'!$D702,'Fuel Selector'!$B$359:$B$462,0))</f>
        <v>0</v>
      </c>
      <c r="T702" s="18">
        <f>INDEX('Fuel Selector'!L$359:L$462,MATCH('TCO - Input'!$D702,'Fuel Selector'!$B$359:$B$462,0))</f>
        <v>0</v>
      </c>
      <c r="U702" s="18">
        <f>INDEX('Fuel Selector'!M$359:M$462,MATCH('TCO - Input'!$D702,'Fuel Selector'!$B$359:$B$462,0))</f>
        <v>0</v>
      </c>
      <c r="V702" s="18">
        <f>INDEX('Fuel Selector'!N$359:N$462,MATCH('TCO - Input'!$D702,'Fuel Selector'!$B$359:$B$462,0))</f>
        <v>0</v>
      </c>
      <c r="W702" s="18">
        <f>INDEX('Fuel Selector'!O$359:O$462,MATCH('TCO - Input'!$D702,'Fuel Selector'!$B$359:$B$462,0))</f>
        <v>0</v>
      </c>
      <c r="X702" s="18">
        <f>INDEX('Fuel Selector'!P$359:P$462,MATCH('TCO - Input'!$D702,'Fuel Selector'!$B$359:$B$462,0))</f>
        <v>0</v>
      </c>
      <c r="Y702" s="18">
        <f>INDEX('Fuel Selector'!Q$359:Q$462,MATCH('TCO - Input'!$D702,'Fuel Selector'!$B$359:$B$462,0))</f>
        <v>0</v>
      </c>
      <c r="Z702" s="18">
        <f>INDEX('Fuel Selector'!R$359:R$462,MATCH('TCO - Input'!$D702,'Fuel Selector'!$B$359:$B$462,0))</f>
        <v>0</v>
      </c>
      <c r="AA702" s="18">
        <f>INDEX('Fuel Selector'!S$359:S$462,MATCH('TCO - Input'!$D702,'Fuel Selector'!$B$359:$B$462,0))</f>
        <v>0</v>
      </c>
      <c r="AB702" s="18">
        <f>INDEX('Fuel Selector'!T$359:T$462,MATCH('TCO - Input'!$D702,'Fuel Selector'!$B$359:$B$462,0))</f>
        <v>0</v>
      </c>
      <c r="AC702" s="18">
        <f>INDEX('Fuel Selector'!U$359:U$462,MATCH('TCO - Input'!$D702,'Fuel Selector'!$B$359:$B$462,0))</f>
        <v>0</v>
      </c>
      <c r="AD702" s="18">
        <f>INDEX('Fuel Selector'!V$359:V$462,MATCH('TCO - Input'!$D702,'Fuel Selector'!$B$359:$B$462,0))</f>
        <v>0</v>
      </c>
    </row>
    <row r="703" spans="2:30" x14ac:dyDescent="0.2">
      <c r="B703"/>
      <c r="C703" s="48">
        <f t="shared" si="591"/>
        <v>15</v>
      </c>
      <c r="D703" s="347" t="str">
        <f t="shared" si="590"/>
        <v>e-Diesel (DAC) - Middle East - RE cost - USD/GJ</v>
      </c>
      <c r="F703" t="str" cm="1">
        <f t="array" ref="F703">INDEX(list_ME_fuel,$C703)</f>
        <v>e-Diesel (DAC)</v>
      </c>
      <c r="L703" t="s">
        <v>197</v>
      </c>
      <c r="N703" t="str">
        <f t="shared" si="588"/>
        <v>RE cost - USD/GJ</v>
      </c>
      <c r="Q703" t="s">
        <v>324</v>
      </c>
      <c r="S703" s="18">
        <f>INDEX('Fuel Selector'!K$359:K$462,MATCH('TCO - Input'!$D703,'Fuel Selector'!$B$359:$B$462,0))</f>
        <v>25.462833953900368</v>
      </c>
      <c r="T703" s="18">
        <f>INDEX('Fuel Selector'!L$359:L$462,MATCH('TCO - Input'!$D703,'Fuel Selector'!$B$359:$B$462,0))</f>
        <v>20.378328752042414</v>
      </c>
      <c r="U703" s="18">
        <f>INDEX('Fuel Selector'!M$359:M$462,MATCH('TCO - Input'!$D703,'Fuel Selector'!$B$359:$B$462,0))</f>
        <v>16.867671801323414</v>
      </c>
      <c r="V703" s="18">
        <f>INDEX('Fuel Selector'!N$359:N$462,MATCH('TCO - Input'!$D703,'Fuel Selector'!$B$359:$B$462,0))</f>
        <v>14.066906275919752</v>
      </c>
      <c r="W703" s="18">
        <f>INDEX('Fuel Selector'!O$359:O$462,MATCH('TCO - Input'!$D703,'Fuel Selector'!$B$359:$B$462,0))</f>
        <v>12.386529302784998</v>
      </c>
      <c r="X703" s="18">
        <f>INDEX('Fuel Selector'!P$359:P$462,MATCH('TCO - Input'!$D703,'Fuel Selector'!$B$359:$B$462,0))</f>
        <v>10.327596398340068</v>
      </c>
      <c r="Y703" s="18">
        <f>INDEX('Fuel Selector'!Q$359:Q$462,MATCH('TCO - Input'!$D703,'Fuel Selector'!$B$359:$B$462,0))</f>
        <v>9.2147258581923754</v>
      </c>
      <c r="Z703" s="18">
        <f>INDEX('Fuel Selector'!R$359:R$462,MATCH('TCO - Input'!$D703,'Fuel Selector'!$B$359:$B$462,0))</f>
        <v>9.2147258581923754</v>
      </c>
      <c r="AA703" s="18">
        <f>INDEX('Fuel Selector'!S$359:S$462,MATCH('TCO - Input'!$D703,'Fuel Selector'!$B$359:$B$462,0))</f>
        <v>9.2147258581923754</v>
      </c>
      <c r="AB703" s="18">
        <f>INDEX('Fuel Selector'!T$359:T$462,MATCH('TCO - Input'!$D703,'Fuel Selector'!$B$359:$B$462,0))</f>
        <v>9.2147258581923754</v>
      </c>
      <c r="AC703" s="18">
        <f>INDEX('Fuel Selector'!U$359:U$462,MATCH('TCO - Input'!$D703,'Fuel Selector'!$B$359:$B$462,0))</f>
        <v>9.2147258581923754</v>
      </c>
      <c r="AD703" s="18">
        <f>INDEX('Fuel Selector'!V$359:V$462,MATCH('TCO - Input'!$D703,'Fuel Selector'!$B$359:$B$462,0))</f>
        <v>9.2147258581923754</v>
      </c>
    </row>
    <row r="704" spans="2:30" x14ac:dyDescent="0.2">
      <c r="B704"/>
      <c r="C704" s="48">
        <f t="shared" si="591"/>
        <v>16</v>
      </c>
      <c r="D704" s="347" t="str">
        <f t="shared" si="590"/>
        <v>e-Diesel (PS) - Middle East - RE cost - USD/GJ</v>
      </c>
      <c r="F704" t="str" cm="1">
        <f t="array" ref="F704">INDEX(list_ME_fuel,$C704)</f>
        <v>e-Diesel (PS)</v>
      </c>
      <c r="L704" t="s">
        <v>197</v>
      </c>
      <c r="N704" t="str">
        <f t="shared" si="588"/>
        <v>RE cost - USD/GJ</v>
      </c>
      <c r="Q704" t="s">
        <v>324</v>
      </c>
      <c r="S704" s="18">
        <f>INDEX('Fuel Selector'!K$359:K$462,MATCH('TCO - Input'!$D704,'Fuel Selector'!$B$359:$B$462,0))</f>
        <v>25.462833953900368</v>
      </c>
      <c r="T704" s="18">
        <f>INDEX('Fuel Selector'!L$359:L$462,MATCH('TCO - Input'!$D704,'Fuel Selector'!$B$359:$B$462,0))</f>
        <v>20.378328752042414</v>
      </c>
      <c r="U704" s="18">
        <f>INDEX('Fuel Selector'!M$359:M$462,MATCH('TCO - Input'!$D704,'Fuel Selector'!$B$359:$B$462,0))</f>
        <v>16.867671801323414</v>
      </c>
      <c r="V704" s="18">
        <f>INDEX('Fuel Selector'!N$359:N$462,MATCH('TCO - Input'!$D704,'Fuel Selector'!$B$359:$B$462,0))</f>
        <v>14.066906275919752</v>
      </c>
      <c r="W704" s="18">
        <f>INDEX('Fuel Selector'!O$359:O$462,MATCH('TCO - Input'!$D704,'Fuel Selector'!$B$359:$B$462,0))</f>
        <v>12.386529302784998</v>
      </c>
      <c r="X704" s="18">
        <f>INDEX('Fuel Selector'!P$359:P$462,MATCH('TCO - Input'!$D704,'Fuel Selector'!$B$359:$B$462,0))</f>
        <v>10.327596398340068</v>
      </c>
      <c r="Y704" s="18">
        <f>INDEX('Fuel Selector'!Q$359:Q$462,MATCH('TCO - Input'!$D704,'Fuel Selector'!$B$359:$B$462,0))</f>
        <v>9.2147258581923754</v>
      </c>
      <c r="Z704" s="18">
        <f>INDEX('Fuel Selector'!R$359:R$462,MATCH('TCO - Input'!$D704,'Fuel Selector'!$B$359:$B$462,0))</f>
        <v>9.2147258581923754</v>
      </c>
      <c r="AA704" s="18">
        <f>INDEX('Fuel Selector'!S$359:S$462,MATCH('TCO - Input'!$D704,'Fuel Selector'!$B$359:$B$462,0))</f>
        <v>9.2147258581923754</v>
      </c>
      <c r="AB704" s="18">
        <f>INDEX('Fuel Selector'!T$359:T$462,MATCH('TCO - Input'!$D704,'Fuel Selector'!$B$359:$B$462,0))</f>
        <v>9.2147258581923754</v>
      </c>
      <c r="AC704" s="18">
        <f>INDEX('Fuel Selector'!U$359:U$462,MATCH('TCO - Input'!$D704,'Fuel Selector'!$B$359:$B$462,0))</f>
        <v>9.2147258581923754</v>
      </c>
      <c r="AD704" s="18">
        <f>INDEX('Fuel Selector'!V$359:V$462,MATCH('TCO - Input'!$D704,'Fuel Selector'!$B$359:$B$462,0))</f>
        <v>9.2147258581923754</v>
      </c>
    </row>
    <row r="705" spans="2:30" x14ac:dyDescent="0.2">
      <c r="B705"/>
      <c r="C705" s="48">
        <f t="shared" si="591"/>
        <v>17</v>
      </c>
      <c r="D705" s="347" t="str">
        <f t="shared" si="590"/>
        <v>Biodiesel (HtL blend) - Middle East - RE cost - USD/GJ</v>
      </c>
      <c r="F705" t="str" cm="1">
        <f t="array" ref="F705">INDEX(list_ME_fuel,$C705)</f>
        <v>Biodiesel (HtL blend)</v>
      </c>
      <c r="L705" t="s">
        <v>197</v>
      </c>
      <c r="N705" t="str">
        <f t="shared" si="588"/>
        <v>RE cost - USD/GJ</v>
      </c>
      <c r="Q705" t="s">
        <v>324</v>
      </c>
      <c r="S705" s="18">
        <f>INDEX('Fuel Selector'!K$359:K$462,MATCH('TCO - Input'!$D705,'Fuel Selector'!$B$359:$B$462,0))</f>
        <v>0.26748212367989904</v>
      </c>
      <c r="T705" s="18">
        <f>INDEX('Fuel Selector'!L$359:L$462,MATCH('TCO - Input'!$D705,'Fuel Selector'!$B$359:$B$462,0))</f>
        <v>0.21536494680078191</v>
      </c>
      <c r="U705" s="18">
        <f>INDEX('Fuel Selector'!M$359:M$462,MATCH('TCO - Input'!$D705,'Fuel Selector'!$B$359:$B$462,0))</f>
        <v>0.18019695001857011</v>
      </c>
      <c r="V705" s="18">
        <f>INDEX('Fuel Selector'!N$359:N$462,MATCH('TCO - Input'!$D705,'Fuel Selector'!$B$359:$B$462,0))</f>
        <v>0.15538237302192315</v>
      </c>
      <c r="W705" s="18">
        <f>INDEX('Fuel Selector'!O$359:O$462,MATCH('TCO - Input'!$D705,'Fuel Selector'!$B$359:$B$462,0))</f>
        <v>0.1427443408687738</v>
      </c>
      <c r="X705" s="18">
        <f>INDEX('Fuel Selector'!P$359:P$462,MATCH('TCO - Input'!$D705,'Fuel Selector'!$B$359:$B$462,0))</f>
        <v>0.12645234950838591</v>
      </c>
      <c r="Y705" s="18">
        <f>INDEX('Fuel Selector'!Q$359:Q$462,MATCH('TCO - Input'!$D705,'Fuel Selector'!$B$359:$B$462,0))</f>
        <v>0.11863222213009469</v>
      </c>
      <c r="Z705" s="18">
        <f>INDEX('Fuel Selector'!R$359:R$462,MATCH('TCO - Input'!$D705,'Fuel Selector'!$B$359:$B$462,0))</f>
        <v>0.11863222213009469</v>
      </c>
      <c r="AA705" s="18">
        <f>INDEX('Fuel Selector'!S$359:S$462,MATCH('TCO - Input'!$D705,'Fuel Selector'!$B$359:$B$462,0))</f>
        <v>0.11863222213009469</v>
      </c>
      <c r="AB705" s="18">
        <f>INDEX('Fuel Selector'!T$359:T$462,MATCH('TCO - Input'!$D705,'Fuel Selector'!$B$359:$B$462,0))</f>
        <v>0.11863222213009469</v>
      </c>
      <c r="AC705" s="18">
        <f>INDEX('Fuel Selector'!U$359:U$462,MATCH('TCO - Input'!$D705,'Fuel Selector'!$B$359:$B$462,0))</f>
        <v>0.11863222213009469</v>
      </c>
      <c r="AD705" s="18">
        <f>INDEX('Fuel Selector'!V$359:V$462,MATCH('TCO - Input'!$D705,'Fuel Selector'!$B$359:$B$462,0))</f>
        <v>0.11863222213009469</v>
      </c>
    </row>
    <row r="706" spans="2:30" x14ac:dyDescent="0.2">
      <c r="B706"/>
      <c r="C706" s="48">
        <f t="shared" si="591"/>
        <v>18</v>
      </c>
      <c r="D706" s="347" t="str">
        <f t="shared" si="590"/>
        <v>Biodiesel (Pyr blend) - Middle East - RE cost - USD/GJ</v>
      </c>
      <c r="F706" t="str" cm="1">
        <f t="array" ref="F706">INDEX(list_ME_fuel,$C706)</f>
        <v>Biodiesel (Pyr blend)</v>
      </c>
      <c r="L706" t="s">
        <v>197</v>
      </c>
      <c r="N706" t="str">
        <f t="shared" si="588"/>
        <v>RE cost - USD/GJ</v>
      </c>
      <c r="Q706" t="s">
        <v>324</v>
      </c>
      <c r="S706" s="18">
        <f>INDEX('Fuel Selector'!K$359:K$462,MATCH('TCO - Input'!$D706,'Fuel Selector'!$B$359:$B$462,0))</f>
        <v>0</v>
      </c>
      <c r="T706" s="18">
        <f>INDEX('Fuel Selector'!L$359:L$462,MATCH('TCO - Input'!$D706,'Fuel Selector'!$B$359:$B$462,0))</f>
        <v>0</v>
      </c>
      <c r="U706" s="18">
        <f>INDEX('Fuel Selector'!M$359:M$462,MATCH('TCO - Input'!$D706,'Fuel Selector'!$B$359:$B$462,0))</f>
        <v>0</v>
      </c>
      <c r="V706" s="18">
        <f>INDEX('Fuel Selector'!N$359:N$462,MATCH('TCO - Input'!$D706,'Fuel Selector'!$B$359:$B$462,0))</f>
        <v>0</v>
      </c>
      <c r="W706" s="18">
        <f>INDEX('Fuel Selector'!O$359:O$462,MATCH('TCO - Input'!$D706,'Fuel Selector'!$B$359:$B$462,0))</f>
        <v>0</v>
      </c>
      <c r="X706" s="18">
        <f>INDEX('Fuel Selector'!P$359:P$462,MATCH('TCO - Input'!$D706,'Fuel Selector'!$B$359:$B$462,0))</f>
        <v>0</v>
      </c>
      <c r="Y706" s="18">
        <f>INDEX('Fuel Selector'!Q$359:Q$462,MATCH('TCO - Input'!$D706,'Fuel Selector'!$B$359:$B$462,0))</f>
        <v>0</v>
      </c>
      <c r="Z706" s="18">
        <f>INDEX('Fuel Selector'!R$359:R$462,MATCH('TCO - Input'!$D706,'Fuel Selector'!$B$359:$B$462,0))</f>
        <v>0</v>
      </c>
      <c r="AA706" s="18">
        <f>INDEX('Fuel Selector'!S$359:S$462,MATCH('TCO - Input'!$D706,'Fuel Selector'!$B$359:$B$462,0))</f>
        <v>0</v>
      </c>
      <c r="AB706" s="18">
        <f>INDEX('Fuel Selector'!T$359:T$462,MATCH('TCO - Input'!$D706,'Fuel Selector'!$B$359:$B$462,0))</f>
        <v>0</v>
      </c>
      <c r="AC706" s="18">
        <f>INDEX('Fuel Selector'!U$359:U$462,MATCH('TCO - Input'!$D706,'Fuel Selector'!$B$359:$B$462,0))</f>
        <v>0</v>
      </c>
      <c r="AD706" s="18">
        <f>INDEX('Fuel Selector'!V$359:V$462,MATCH('TCO - Input'!$D706,'Fuel Selector'!$B$359:$B$462,0))</f>
        <v>0</v>
      </c>
    </row>
    <row r="707" spans="2:30" x14ac:dyDescent="0.2">
      <c r="B707"/>
      <c r="C707" s="48">
        <f t="shared" si="591"/>
        <v>19</v>
      </c>
      <c r="D707" s="347" t="str">
        <f t="shared" si="590"/>
        <v>Blue hydrogen (liquid) - Middle East - RE cost - USD/GJ</v>
      </c>
      <c r="F707" t="str" cm="1">
        <f t="array" ref="F707">INDEX(list_ME_fuel,$C707)</f>
        <v>Blue hydrogen (liquid)</v>
      </c>
      <c r="L707" t="s">
        <v>197</v>
      </c>
      <c r="N707" t="str">
        <f t="shared" si="588"/>
        <v>RE cost - USD/GJ</v>
      </c>
      <c r="Q707" t="s">
        <v>324</v>
      </c>
      <c r="S707" s="18">
        <f>INDEX('Fuel Selector'!K$359:K$462,MATCH('TCO - Input'!$D707,'Fuel Selector'!$B$359:$B$462,0))</f>
        <v>0</v>
      </c>
      <c r="T707" s="18">
        <f>INDEX('Fuel Selector'!L$359:L$462,MATCH('TCO - Input'!$D707,'Fuel Selector'!$B$359:$B$462,0))</f>
        <v>0</v>
      </c>
      <c r="U707" s="18">
        <f>INDEX('Fuel Selector'!M$359:M$462,MATCH('TCO - Input'!$D707,'Fuel Selector'!$B$359:$B$462,0))</f>
        <v>0</v>
      </c>
      <c r="V707" s="18">
        <f>INDEX('Fuel Selector'!N$359:N$462,MATCH('TCO - Input'!$D707,'Fuel Selector'!$B$359:$B$462,0))</f>
        <v>0</v>
      </c>
      <c r="W707" s="18">
        <f>INDEX('Fuel Selector'!O$359:O$462,MATCH('TCO - Input'!$D707,'Fuel Selector'!$B$359:$B$462,0))</f>
        <v>0</v>
      </c>
      <c r="X707" s="18">
        <f>INDEX('Fuel Selector'!P$359:P$462,MATCH('TCO - Input'!$D707,'Fuel Selector'!$B$359:$B$462,0))</f>
        <v>0</v>
      </c>
      <c r="Y707" s="18">
        <f>INDEX('Fuel Selector'!Q$359:Q$462,MATCH('TCO - Input'!$D707,'Fuel Selector'!$B$359:$B$462,0))</f>
        <v>0</v>
      </c>
      <c r="Z707" s="18">
        <f>INDEX('Fuel Selector'!R$359:R$462,MATCH('TCO - Input'!$D707,'Fuel Selector'!$B$359:$B$462,0))</f>
        <v>0</v>
      </c>
      <c r="AA707" s="18">
        <f>INDEX('Fuel Selector'!S$359:S$462,MATCH('TCO - Input'!$D707,'Fuel Selector'!$B$359:$B$462,0))</f>
        <v>0</v>
      </c>
      <c r="AB707" s="18">
        <f>INDEX('Fuel Selector'!T$359:T$462,MATCH('TCO - Input'!$D707,'Fuel Selector'!$B$359:$B$462,0))</f>
        <v>0</v>
      </c>
      <c r="AC707" s="18">
        <f>INDEX('Fuel Selector'!U$359:U$462,MATCH('TCO - Input'!$D707,'Fuel Selector'!$B$359:$B$462,0))</f>
        <v>0</v>
      </c>
      <c r="AD707" s="18">
        <f>INDEX('Fuel Selector'!V$359:V$462,MATCH('TCO - Input'!$D707,'Fuel Selector'!$B$359:$B$462,0))</f>
        <v>0</v>
      </c>
    </row>
    <row r="708" spans="2:30" x14ac:dyDescent="0.2">
      <c r="B708"/>
      <c r="C708" s="48">
        <f t="shared" si="591"/>
        <v>20</v>
      </c>
      <c r="D708" s="347" t="str">
        <f t="shared" si="590"/>
        <v>e-Hydrogen (liquid) - Middle East - RE cost - USD/GJ</v>
      </c>
      <c r="F708" t="str" cm="1">
        <f t="array" ref="F708">INDEX(list_ME_fuel,$C708)</f>
        <v>e-Hydrogen (liquid)</v>
      </c>
      <c r="L708" t="s">
        <v>197</v>
      </c>
      <c r="N708" t="str">
        <f t="shared" si="588"/>
        <v>RE cost - USD/GJ</v>
      </c>
      <c r="Q708" t="s">
        <v>324</v>
      </c>
      <c r="S708" s="18">
        <f>INDEX('Fuel Selector'!K$359:K$462,MATCH('TCO - Input'!$D708,'Fuel Selector'!$B$359:$B$462,0))</f>
        <v>22.080268119322348</v>
      </c>
      <c r="T708" s="18">
        <f>INDEX('Fuel Selector'!L$359:L$462,MATCH('TCO - Input'!$D708,'Fuel Selector'!$B$359:$B$462,0))</f>
        <v>17.706308004908099</v>
      </c>
      <c r="U708" s="18">
        <f>INDEX('Fuel Selector'!M$359:M$462,MATCH('TCO - Input'!$D708,'Fuel Selector'!$B$359:$B$462,0))</f>
        <v>14.700019108867078</v>
      </c>
      <c r="V708" s="18">
        <f>INDEX('Fuel Selector'!N$359:N$462,MATCH('TCO - Input'!$D708,'Fuel Selector'!$B$359:$B$462,0))</f>
        <v>12.33316365547045</v>
      </c>
      <c r="W708" s="18">
        <f>INDEX('Fuel Selector'!O$359:O$462,MATCH('TCO - Input'!$D708,'Fuel Selector'!$B$359:$B$462,0))</f>
        <v>10.940925290913857</v>
      </c>
      <c r="X708" s="18">
        <f>INDEX('Fuel Selector'!P$359:P$462,MATCH('TCO - Input'!$D708,'Fuel Selector'!$B$359:$B$462,0))</f>
        <v>9.2179454253603428</v>
      </c>
      <c r="Y708" s="18">
        <f>INDEX('Fuel Selector'!Q$359:Q$462,MATCH('TCO - Input'!$D708,'Fuel Selector'!$B$359:$B$462,0))</f>
        <v>8.3016287502174997</v>
      </c>
      <c r="Z708" s="18">
        <f>INDEX('Fuel Selector'!R$359:R$462,MATCH('TCO - Input'!$D708,'Fuel Selector'!$B$359:$B$462,0))</f>
        <v>8.3016287502174997</v>
      </c>
      <c r="AA708" s="18">
        <f>INDEX('Fuel Selector'!S$359:S$462,MATCH('TCO - Input'!$D708,'Fuel Selector'!$B$359:$B$462,0))</f>
        <v>8.3016287502174997</v>
      </c>
      <c r="AB708" s="18">
        <f>INDEX('Fuel Selector'!T$359:T$462,MATCH('TCO - Input'!$D708,'Fuel Selector'!$B$359:$B$462,0))</f>
        <v>8.3016287502174997</v>
      </c>
      <c r="AC708" s="18">
        <f>INDEX('Fuel Selector'!U$359:U$462,MATCH('TCO - Input'!$D708,'Fuel Selector'!$B$359:$B$462,0))</f>
        <v>8.3016287502174997</v>
      </c>
      <c r="AD708" s="18">
        <f>INDEX('Fuel Selector'!V$359:V$462,MATCH('TCO - Input'!$D708,'Fuel Selector'!$B$359:$B$462,0))</f>
        <v>8.3016287502174997</v>
      </c>
    </row>
    <row r="709" spans="2:30" x14ac:dyDescent="0.2">
      <c r="B709"/>
      <c r="C709"/>
      <c r="D709"/>
      <c r="S709" s="18"/>
      <c r="T709" s="18"/>
      <c r="U709" s="18"/>
      <c r="V709" s="18"/>
      <c r="W709" s="18"/>
      <c r="X709" s="18"/>
      <c r="Y709" s="18"/>
      <c r="Z709" s="18"/>
      <c r="AA709" s="18"/>
      <c r="AB709" s="18"/>
      <c r="AC709" s="18"/>
      <c r="AD709" s="18"/>
    </row>
    <row r="710" spans="2:30" x14ac:dyDescent="0.2">
      <c r="B710"/>
      <c r="C710" s="48">
        <v>1</v>
      </c>
      <c r="D710" s="347" t="str">
        <f t="shared" ref="D710:D729" si="592">_xlfn.TEXTJOIN(keydelim,TRUE,E710:N710)</f>
        <v>LSFO - Asia - RE cost - USD/GJ</v>
      </c>
      <c r="F710" t="str" cm="1">
        <f t="array" ref="F710">INDEX(list_ME_fuel,$C710)</f>
        <v>LSFO</v>
      </c>
      <c r="L710" t="s">
        <v>198</v>
      </c>
      <c r="N710" t="str">
        <f t="shared" si="588"/>
        <v>RE cost - USD/GJ</v>
      </c>
      <c r="O710" s="224"/>
      <c r="P710" s="224"/>
      <c r="Q710" t="s">
        <v>324</v>
      </c>
      <c r="R710" s="14"/>
      <c r="S710" s="18">
        <f>INDEX('Fuel Selector'!K$359:K$462,MATCH('TCO - Input'!$D710,'Fuel Selector'!$B$359:$B$462,0))</f>
        <v>0</v>
      </c>
      <c r="T710" s="18">
        <f>INDEX('Fuel Selector'!L$359:L$462,MATCH('TCO - Input'!$D710,'Fuel Selector'!$B$359:$B$462,0))</f>
        <v>0</v>
      </c>
      <c r="U710" s="18">
        <f>INDEX('Fuel Selector'!M$359:M$462,MATCH('TCO - Input'!$D710,'Fuel Selector'!$B$359:$B$462,0))</f>
        <v>0</v>
      </c>
      <c r="V710" s="18">
        <f>INDEX('Fuel Selector'!N$359:N$462,MATCH('TCO - Input'!$D710,'Fuel Selector'!$B$359:$B$462,0))</f>
        <v>0</v>
      </c>
      <c r="W710" s="18">
        <f>INDEX('Fuel Selector'!O$359:O$462,MATCH('TCO - Input'!$D710,'Fuel Selector'!$B$359:$B$462,0))</f>
        <v>0</v>
      </c>
      <c r="X710" s="18">
        <f>INDEX('Fuel Selector'!P$359:P$462,MATCH('TCO - Input'!$D710,'Fuel Selector'!$B$359:$B$462,0))</f>
        <v>0</v>
      </c>
      <c r="Y710" s="18">
        <f>INDEX('Fuel Selector'!Q$359:Q$462,MATCH('TCO - Input'!$D710,'Fuel Selector'!$B$359:$B$462,0))</f>
        <v>0</v>
      </c>
      <c r="Z710" s="18">
        <f>INDEX('Fuel Selector'!R$359:R$462,MATCH('TCO - Input'!$D710,'Fuel Selector'!$B$359:$B$462,0))</f>
        <v>0</v>
      </c>
      <c r="AA710" s="18">
        <f>INDEX('Fuel Selector'!S$359:S$462,MATCH('TCO - Input'!$D710,'Fuel Selector'!$B$359:$B$462,0))</f>
        <v>0</v>
      </c>
      <c r="AB710" s="18">
        <f>INDEX('Fuel Selector'!T$359:T$462,MATCH('TCO - Input'!$D710,'Fuel Selector'!$B$359:$B$462,0))</f>
        <v>0</v>
      </c>
      <c r="AC710" s="18">
        <f>INDEX('Fuel Selector'!U$359:U$462,MATCH('TCO - Input'!$D710,'Fuel Selector'!$B$359:$B$462,0))</f>
        <v>0</v>
      </c>
      <c r="AD710" s="18">
        <f>INDEX('Fuel Selector'!V$359:V$462,MATCH('TCO - Input'!$D710,'Fuel Selector'!$B$359:$B$462,0))</f>
        <v>0</v>
      </c>
    </row>
    <row r="711" spans="2:30" x14ac:dyDescent="0.2">
      <c r="B711"/>
      <c r="C711" s="48">
        <f>+C710+1</f>
        <v>2</v>
      </c>
      <c r="D711" s="347" t="str">
        <f t="shared" si="592"/>
        <v>LNG - Asia - RE cost - USD/GJ</v>
      </c>
      <c r="F711" t="str" cm="1">
        <f t="array" ref="F711">INDEX(list_ME_fuel,$C711)</f>
        <v>LNG</v>
      </c>
      <c r="L711" t="s">
        <v>198</v>
      </c>
      <c r="N711" t="str">
        <f t="shared" si="588"/>
        <v>RE cost - USD/GJ</v>
      </c>
      <c r="Q711" t="s">
        <v>324</v>
      </c>
      <c r="S711" s="18">
        <f>INDEX('Fuel Selector'!K$359:K$462,MATCH('TCO - Input'!$D711,'Fuel Selector'!$B$359:$B$462,0))</f>
        <v>0</v>
      </c>
      <c r="T711" s="18">
        <f>INDEX('Fuel Selector'!L$359:L$462,MATCH('TCO - Input'!$D711,'Fuel Selector'!$B$359:$B$462,0))</f>
        <v>0</v>
      </c>
      <c r="U711" s="18">
        <f>INDEX('Fuel Selector'!M$359:M$462,MATCH('TCO - Input'!$D711,'Fuel Selector'!$B$359:$B$462,0))</f>
        <v>0</v>
      </c>
      <c r="V711" s="18">
        <f>INDEX('Fuel Selector'!N$359:N$462,MATCH('TCO - Input'!$D711,'Fuel Selector'!$B$359:$B$462,0))</f>
        <v>0</v>
      </c>
      <c r="W711" s="18">
        <f>INDEX('Fuel Selector'!O$359:O$462,MATCH('TCO - Input'!$D711,'Fuel Selector'!$B$359:$B$462,0))</f>
        <v>0</v>
      </c>
      <c r="X711" s="18">
        <f>INDEX('Fuel Selector'!P$359:P$462,MATCH('TCO - Input'!$D711,'Fuel Selector'!$B$359:$B$462,0))</f>
        <v>0</v>
      </c>
      <c r="Y711" s="18">
        <f>INDEX('Fuel Selector'!Q$359:Q$462,MATCH('TCO - Input'!$D711,'Fuel Selector'!$B$359:$B$462,0))</f>
        <v>0</v>
      </c>
      <c r="Z711" s="18">
        <f>INDEX('Fuel Selector'!R$359:R$462,MATCH('TCO - Input'!$D711,'Fuel Selector'!$B$359:$B$462,0))</f>
        <v>0</v>
      </c>
      <c r="AA711" s="18">
        <f>INDEX('Fuel Selector'!S$359:S$462,MATCH('TCO - Input'!$D711,'Fuel Selector'!$B$359:$B$462,0))</f>
        <v>0</v>
      </c>
      <c r="AB711" s="18">
        <f>INDEX('Fuel Selector'!T$359:T$462,MATCH('TCO - Input'!$D711,'Fuel Selector'!$B$359:$B$462,0))</f>
        <v>0</v>
      </c>
      <c r="AC711" s="18">
        <f>INDEX('Fuel Selector'!U$359:U$462,MATCH('TCO - Input'!$D711,'Fuel Selector'!$B$359:$B$462,0))</f>
        <v>0</v>
      </c>
      <c r="AD711" s="18">
        <f>INDEX('Fuel Selector'!V$359:V$462,MATCH('TCO - Input'!$D711,'Fuel Selector'!$B$359:$B$462,0))</f>
        <v>0</v>
      </c>
    </row>
    <row r="712" spans="2:30" x14ac:dyDescent="0.2">
      <c r="B712"/>
      <c r="C712" s="48">
        <f t="shared" ref="C712:C729" si="593">+C711+1</f>
        <v>3</v>
      </c>
      <c r="D712" s="347" t="str">
        <f t="shared" si="592"/>
        <v>LPG - Asia - RE cost - USD/GJ</v>
      </c>
      <c r="F712" t="str" cm="1">
        <f t="array" ref="F712">INDEX(list_ME_fuel,$C712)</f>
        <v>LPG</v>
      </c>
      <c r="L712" t="s">
        <v>198</v>
      </c>
      <c r="N712" t="str">
        <f t="shared" si="588"/>
        <v>RE cost - USD/GJ</v>
      </c>
      <c r="Q712" t="s">
        <v>324</v>
      </c>
      <c r="S712" s="18">
        <f>INDEX('Fuel Selector'!K$359:K$462,MATCH('TCO - Input'!$D712,'Fuel Selector'!$B$359:$B$462,0))</f>
        <v>0</v>
      </c>
      <c r="T712" s="18">
        <f>INDEX('Fuel Selector'!L$359:L$462,MATCH('TCO - Input'!$D712,'Fuel Selector'!$B$359:$B$462,0))</f>
        <v>0</v>
      </c>
      <c r="U712" s="18">
        <f>INDEX('Fuel Selector'!M$359:M$462,MATCH('TCO - Input'!$D712,'Fuel Selector'!$B$359:$B$462,0))</f>
        <v>0</v>
      </c>
      <c r="V712" s="18">
        <f>INDEX('Fuel Selector'!N$359:N$462,MATCH('TCO - Input'!$D712,'Fuel Selector'!$B$359:$B$462,0))</f>
        <v>0</v>
      </c>
      <c r="W712" s="18">
        <f>INDEX('Fuel Selector'!O$359:O$462,MATCH('TCO - Input'!$D712,'Fuel Selector'!$B$359:$B$462,0))</f>
        <v>0</v>
      </c>
      <c r="X712" s="18">
        <f>INDEX('Fuel Selector'!P$359:P$462,MATCH('TCO - Input'!$D712,'Fuel Selector'!$B$359:$B$462,0))</f>
        <v>0</v>
      </c>
      <c r="Y712" s="18">
        <f>INDEX('Fuel Selector'!Q$359:Q$462,MATCH('TCO - Input'!$D712,'Fuel Selector'!$B$359:$B$462,0))</f>
        <v>0</v>
      </c>
      <c r="Z712" s="18">
        <f>INDEX('Fuel Selector'!R$359:R$462,MATCH('TCO - Input'!$D712,'Fuel Selector'!$B$359:$B$462,0))</f>
        <v>0</v>
      </c>
      <c r="AA712" s="18">
        <f>INDEX('Fuel Selector'!S$359:S$462,MATCH('TCO - Input'!$D712,'Fuel Selector'!$B$359:$B$462,0))</f>
        <v>0</v>
      </c>
      <c r="AB712" s="18">
        <f>INDEX('Fuel Selector'!T$359:T$462,MATCH('TCO - Input'!$D712,'Fuel Selector'!$B$359:$B$462,0))</f>
        <v>0</v>
      </c>
      <c r="AC712" s="18">
        <f>INDEX('Fuel Selector'!U$359:U$462,MATCH('TCO - Input'!$D712,'Fuel Selector'!$B$359:$B$462,0))</f>
        <v>0</v>
      </c>
      <c r="AD712" s="18">
        <f>INDEX('Fuel Selector'!V$359:V$462,MATCH('TCO - Input'!$D712,'Fuel Selector'!$B$359:$B$462,0))</f>
        <v>0</v>
      </c>
    </row>
    <row r="713" spans="2:30" x14ac:dyDescent="0.2">
      <c r="B713"/>
      <c r="C713" s="48">
        <f t="shared" si="593"/>
        <v>4</v>
      </c>
      <c r="D713" s="347" t="str">
        <f t="shared" si="592"/>
        <v>Electricity - Asia - RE cost - USD/GJ</v>
      </c>
      <c r="F713" t="str" cm="1">
        <f t="array" ref="F713">INDEX(list_ME_fuel,$C713)</f>
        <v>Electricity</v>
      </c>
      <c r="L713" t="s">
        <v>198</v>
      </c>
      <c r="N713" t="str">
        <f t="shared" si="588"/>
        <v>RE cost - USD/GJ</v>
      </c>
      <c r="Q713" t="s">
        <v>324</v>
      </c>
      <c r="S713" s="18">
        <f>INDEX('Fuel Selector'!K$359:K$462,MATCH('TCO - Input'!$D713,'Fuel Selector'!$B$359:$B$462,0))</f>
        <v>0</v>
      </c>
      <c r="T713" s="18">
        <f>INDEX('Fuel Selector'!L$359:L$462,MATCH('TCO - Input'!$D713,'Fuel Selector'!$B$359:$B$462,0))</f>
        <v>0</v>
      </c>
      <c r="U713" s="18">
        <f>INDEX('Fuel Selector'!M$359:M$462,MATCH('TCO - Input'!$D713,'Fuel Selector'!$B$359:$B$462,0))</f>
        <v>0</v>
      </c>
      <c r="V713" s="18">
        <f>INDEX('Fuel Selector'!N$359:N$462,MATCH('TCO - Input'!$D713,'Fuel Selector'!$B$359:$B$462,0))</f>
        <v>0</v>
      </c>
      <c r="W713" s="18">
        <f>INDEX('Fuel Selector'!O$359:O$462,MATCH('TCO - Input'!$D713,'Fuel Selector'!$B$359:$B$462,0))</f>
        <v>0</v>
      </c>
      <c r="X713" s="18">
        <f>INDEX('Fuel Selector'!P$359:P$462,MATCH('TCO - Input'!$D713,'Fuel Selector'!$B$359:$B$462,0))</f>
        <v>0</v>
      </c>
      <c r="Y713" s="18">
        <f>INDEX('Fuel Selector'!Q$359:Q$462,MATCH('TCO - Input'!$D713,'Fuel Selector'!$B$359:$B$462,0))</f>
        <v>0</v>
      </c>
      <c r="Z713" s="18">
        <f>INDEX('Fuel Selector'!R$359:R$462,MATCH('TCO - Input'!$D713,'Fuel Selector'!$B$359:$B$462,0))</f>
        <v>0</v>
      </c>
      <c r="AA713" s="18">
        <f>INDEX('Fuel Selector'!S$359:S$462,MATCH('TCO - Input'!$D713,'Fuel Selector'!$B$359:$B$462,0))</f>
        <v>0</v>
      </c>
      <c r="AB713" s="18">
        <f>INDEX('Fuel Selector'!T$359:T$462,MATCH('TCO - Input'!$D713,'Fuel Selector'!$B$359:$B$462,0))</f>
        <v>0</v>
      </c>
      <c r="AC713" s="18">
        <f>INDEX('Fuel Selector'!U$359:U$462,MATCH('TCO - Input'!$D713,'Fuel Selector'!$B$359:$B$462,0))</f>
        <v>0</v>
      </c>
      <c r="AD713" s="18">
        <f>INDEX('Fuel Selector'!V$359:V$462,MATCH('TCO - Input'!$D713,'Fuel Selector'!$B$359:$B$462,0))</f>
        <v>0</v>
      </c>
    </row>
    <row r="714" spans="2:30" x14ac:dyDescent="0.2">
      <c r="B714"/>
      <c r="C714" s="48">
        <f t="shared" si="593"/>
        <v>5</v>
      </c>
      <c r="D714" s="347" t="str">
        <f t="shared" si="592"/>
        <v>e-Ammonia - Asia - RE cost - USD/GJ</v>
      </c>
      <c r="F714" t="str" cm="1">
        <f t="array" ref="F714">INDEX(list_ME_fuel,$C714)</f>
        <v>e-Ammonia</v>
      </c>
      <c r="L714" t="s">
        <v>198</v>
      </c>
      <c r="N714" t="str">
        <f t="shared" si="588"/>
        <v>RE cost - USD/GJ</v>
      </c>
      <c r="Q714" t="s">
        <v>324</v>
      </c>
      <c r="S714" s="18">
        <f>INDEX('Fuel Selector'!K$359:K$462,MATCH('TCO - Input'!$D714,'Fuel Selector'!$B$359:$B$462,0))</f>
        <v>43.719337190853778</v>
      </c>
      <c r="T714" s="18">
        <f>INDEX('Fuel Selector'!L$359:L$462,MATCH('TCO - Input'!$D714,'Fuel Selector'!$B$359:$B$462,0))</f>
        <v>28.387036565804912</v>
      </c>
      <c r="U714" s="18">
        <f>INDEX('Fuel Selector'!M$359:M$462,MATCH('TCO - Input'!$D714,'Fuel Selector'!$B$359:$B$462,0))</f>
        <v>22.662207106677311</v>
      </c>
      <c r="V714" s="18">
        <f>INDEX('Fuel Selector'!N$359:N$462,MATCH('TCO - Input'!$D714,'Fuel Selector'!$B$359:$B$462,0))</f>
        <v>18.358376734017682</v>
      </c>
      <c r="W714" s="18">
        <f>INDEX('Fuel Selector'!O$359:O$462,MATCH('TCO - Input'!$D714,'Fuel Selector'!$B$359:$B$462,0))</f>
        <v>15.853382067571896</v>
      </c>
      <c r="X714" s="18">
        <f>INDEX('Fuel Selector'!P$359:P$462,MATCH('TCO - Input'!$D714,'Fuel Selector'!$B$359:$B$462,0))</f>
        <v>13.215920741732898</v>
      </c>
      <c r="Y714" s="18">
        <f>INDEX('Fuel Selector'!Q$359:Q$462,MATCH('TCO - Input'!$D714,'Fuel Selector'!$B$359:$B$462,0))</f>
        <v>11.815709694914906</v>
      </c>
      <c r="Z714" s="18">
        <f>INDEX('Fuel Selector'!R$359:R$462,MATCH('TCO - Input'!$D714,'Fuel Selector'!$B$359:$B$462,0))</f>
        <v>11.815709694914906</v>
      </c>
      <c r="AA714" s="18">
        <f>INDEX('Fuel Selector'!S$359:S$462,MATCH('TCO - Input'!$D714,'Fuel Selector'!$B$359:$B$462,0))</f>
        <v>11.815709694914906</v>
      </c>
      <c r="AB714" s="18">
        <f>INDEX('Fuel Selector'!T$359:T$462,MATCH('TCO - Input'!$D714,'Fuel Selector'!$B$359:$B$462,0))</f>
        <v>11.815709694914906</v>
      </c>
      <c r="AC714" s="18">
        <f>INDEX('Fuel Selector'!U$359:U$462,MATCH('TCO - Input'!$D714,'Fuel Selector'!$B$359:$B$462,0))</f>
        <v>11.815709694914906</v>
      </c>
      <c r="AD714" s="18">
        <f>INDEX('Fuel Selector'!V$359:V$462,MATCH('TCO - Input'!$D714,'Fuel Selector'!$B$359:$B$462,0))</f>
        <v>11.815709694914906</v>
      </c>
    </row>
    <row r="715" spans="2:30" x14ac:dyDescent="0.2">
      <c r="B715"/>
      <c r="C715" s="48">
        <f t="shared" si="593"/>
        <v>6</v>
      </c>
      <c r="D715" s="347" t="str">
        <f t="shared" si="592"/>
        <v>Blue ammonia - Asia - RE cost - USD/GJ</v>
      </c>
      <c r="F715" t="str" cm="1">
        <f t="array" ref="F715">INDEX(list_ME_fuel,$C715)</f>
        <v>Blue ammonia</v>
      </c>
      <c r="L715" t="s">
        <v>198</v>
      </c>
      <c r="N715" t="str">
        <f t="shared" si="588"/>
        <v>RE cost - USD/GJ</v>
      </c>
      <c r="Q715" t="s">
        <v>324</v>
      </c>
      <c r="S715" s="18">
        <f>INDEX('Fuel Selector'!K$359:K$462,MATCH('TCO - Input'!$D715,'Fuel Selector'!$B$359:$B$462,0))</f>
        <v>0</v>
      </c>
      <c r="T715" s="18">
        <f>INDEX('Fuel Selector'!L$359:L$462,MATCH('TCO - Input'!$D715,'Fuel Selector'!$B$359:$B$462,0))</f>
        <v>0</v>
      </c>
      <c r="U715" s="18">
        <f>INDEX('Fuel Selector'!M$359:M$462,MATCH('TCO - Input'!$D715,'Fuel Selector'!$B$359:$B$462,0))</f>
        <v>0</v>
      </c>
      <c r="V715" s="18">
        <f>INDEX('Fuel Selector'!N$359:N$462,MATCH('TCO - Input'!$D715,'Fuel Selector'!$B$359:$B$462,0))</f>
        <v>0</v>
      </c>
      <c r="W715" s="18">
        <f>INDEX('Fuel Selector'!O$359:O$462,MATCH('TCO - Input'!$D715,'Fuel Selector'!$B$359:$B$462,0))</f>
        <v>0</v>
      </c>
      <c r="X715" s="18">
        <f>INDEX('Fuel Selector'!P$359:P$462,MATCH('TCO - Input'!$D715,'Fuel Selector'!$B$359:$B$462,0))</f>
        <v>0</v>
      </c>
      <c r="Y715" s="18">
        <f>INDEX('Fuel Selector'!Q$359:Q$462,MATCH('TCO - Input'!$D715,'Fuel Selector'!$B$359:$B$462,0))</f>
        <v>0</v>
      </c>
      <c r="Z715" s="18">
        <f>INDEX('Fuel Selector'!R$359:R$462,MATCH('TCO - Input'!$D715,'Fuel Selector'!$B$359:$B$462,0))</f>
        <v>0</v>
      </c>
      <c r="AA715" s="18">
        <f>INDEX('Fuel Selector'!S$359:S$462,MATCH('TCO - Input'!$D715,'Fuel Selector'!$B$359:$B$462,0))</f>
        <v>0</v>
      </c>
      <c r="AB715" s="18">
        <f>INDEX('Fuel Selector'!T$359:T$462,MATCH('TCO - Input'!$D715,'Fuel Selector'!$B$359:$B$462,0))</f>
        <v>0</v>
      </c>
      <c r="AC715" s="18">
        <f>INDEX('Fuel Selector'!U$359:U$462,MATCH('TCO - Input'!$D715,'Fuel Selector'!$B$359:$B$462,0))</f>
        <v>0</v>
      </c>
      <c r="AD715" s="18">
        <f>INDEX('Fuel Selector'!V$359:V$462,MATCH('TCO - Input'!$D715,'Fuel Selector'!$B$359:$B$462,0))</f>
        <v>0</v>
      </c>
    </row>
    <row r="716" spans="2:30" x14ac:dyDescent="0.2">
      <c r="B716"/>
      <c r="C716" s="48">
        <f t="shared" si="593"/>
        <v>7</v>
      </c>
      <c r="D716" s="347" t="str">
        <f t="shared" si="592"/>
        <v>Biomethane - Asia - RE cost - USD/GJ</v>
      </c>
      <c r="F716" t="str" cm="1">
        <f t="array" ref="F716">INDEX(list_ME_fuel,$C716)</f>
        <v>Biomethane</v>
      </c>
      <c r="L716" t="s">
        <v>198</v>
      </c>
      <c r="N716" t="str">
        <f t="shared" si="588"/>
        <v>RE cost - USD/GJ</v>
      </c>
      <c r="Q716" t="s">
        <v>324</v>
      </c>
      <c r="S716" s="18">
        <f>INDEX('Fuel Selector'!K$359:K$462,MATCH('TCO - Input'!$D716,'Fuel Selector'!$B$359:$B$462,0))</f>
        <v>0</v>
      </c>
      <c r="T716" s="18">
        <f>INDEX('Fuel Selector'!L$359:L$462,MATCH('TCO - Input'!$D716,'Fuel Selector'!$B$359:$B$462,0))</f>
        <v>0</v>
      </c>
      <c r="U716" s="18">
        <f>INDEX('Fuel Selector'!M$359:M$462,MATCH('TCO - Input'!$D716,'Fuel Selector'!$B$359:$B$462,0))</f>
        <v>0</v>
      </c>
      <c r="V716" s="18">
        <f>INDEX('Fuel Selector'!N$359:N$462,MATCH('TCO - Input'!$D716,'Fuel Selector'!$B$359:$B$462,0))</f>
        <v>0</v>
      </c>
      <c r="W716" s="18">
        <f>INDEX('Fuel Selector'!O$359:O$462,MATCH('TCO - Input'!$D716,'Fuel Selector'!$B$359:$B$462,0))</f>
        <v>0</v>
      </c>
      <c r="X716" s="18">
        <f>INDEX('Fuel Selector'!P$359:P$462,MATCH('TCO - Input'!$D716,'Fuel Selector'!$B$359:$B$462,0))</f>
        <v>0</v>
      </c>
      <c r="Y716" s="18">
        <f>INDEX('Fuel Selector'!Q$359:Q$462,MATCH('TCO - Input'!$D716,'Fuel Selector'!$B$359:$B$462,0))</f>
        <v>0</v>
      </c>
      <c r="Z716" s="18">
        <f>INDEX('Fuel Selector'!R$359:R$462,MATCH('TCO - Input'!$D716,'Fuel Selector'!$B$359:$B$462,0))</f>
        <v>0</v>
      </c>
      <c r="AA716" s="18">
        <f>INDEX('Fuel Selector'!S$359:S$462,MATCH('TCO - Input'!$D716,'Fuel Selector'!$B$359:$B$462,0))</f>
        <v>0</v>
      </c>
      <c r="AB716" s="18">
        <f>INDEX('Fuel Selector'!T$359:T$462,MATCH('TCO - Input'!$D716,'Fuel Selector'!$B$359:$B$462,0))</f>
        <v>0</v>
      </c>
      <c r="AC716" s="18">
        <f>INDEX('Fuel Selector'!U$359:U$462,MATCH('TCO - Input'!$D716,'Fuel Selector'!$B$359:$B$462,0))</f>
        <v>0</v>
      </c>
      <c r="AD716" s="18">
        <f>INDEX('Fuel Selector'!V$359:V$462,MATCH('TCO - Input'!$D716,'Fuel Selector'!$B$359:$B$462,0))</f>
        <v>0</v>
      </c>
    </row>
    <row r="717" spans="2:30" x14ac:dyDescent="0.2">
      <c r="B717"/>
      <c r="C717" s="48">
        <f t="shared" si="593"/>
        <v>8</v>
      </c>
      <c r="D717" s="347" t="str">
        <f t="shared" si="592"/>
        <v>e-Methane (DAC) - Asia - RE cost - USD/GJ</v>
      </c>
      <c r="F717" t="str" cm="1">
        <f t="array" ref="F717">INDEX(list_ME_fuel,$C717)</f>
        <v>e-Methane (DAC)</v>
      </c>
      <c r="L717" t="s">
        <v>198</v>
      </c>
      <c r="N717" t="str">
        <f t="shared" si="588"/>
        <v>RE cost - USD/GJ</v>
      </c>
      <c r="Q717" t="s">
        <v>324</v>
      </c>
      <c r="S717" s="18">
        <f>INDEX('Fuel Selector'!K$359:K$462,MATCH('TCO - Input'!$D717,'Fuel Selector'!$B$359:$B$462,0))</f>
        <v>45.179166692015897</v>
      </c>
      <c r="T717" s="18">
        <f>INDEX('Fuel Selector'!L$359:L$462,MATCH('TCO - Input'!$D717,'Fuel Selector'!$B$359:$B$462,0))</f>
        <v>29.333460934357927</v>
      </c>
      <c r="U717" s="18">
        <f>INDEX('Fuel Selector'!M$359:M$462,MATCH('TCO - Input'!$D717,'Fuel Selector'!$B$359:$B$462,0))</f>
        <v>23.414465737786326</v>
      </c>
      <c r="V717" s="18">
        <f>INDEX('Fuel Selector'!N$359:N$462,MATCH('TCO - Input'!$D717,'Fuel Selector'!$B$359:$B$462,0))</f>
        <v>18.960319645883665</v>
      </c>
      <c r="W717" s="18">
        <f>INDEX('Fuel Selector'!O$359:O$462,MATCH('TCO - Input'!$D717,'Fuel Selector'!$B$359:$B$462,0))</f>
        <v>16.364819802281282</v>
      </c>
      <c r="X717" s="18">
        <f>INDEX('Fuel Selector'!P$359:P$462,MATCH('TCO - Input'!$D717,'Fuel Selector'!$B$359:$B$462,0))</f>
        <v>13.631939141436725</v>
      </c>
      <c r="Y717" s="18">
        <f>INDEX('Fuel Selector'!Q$359:Q$462,MATCH('TCO - Input'!$D717,'Fuel Selector'!$B$359:$B$462,0))</f>
        <v>12.17949421938151</v>
      </c>
      <c r="Z717" s="18">
        <f>INDEX('Fuel Selector'!R$359:R$462,MATCH('TCO - Input'!$D717,'Fuel Selector'!$B$359:$B$462,0))</f>
        <v>12.17949421938151</v>
      </c>
      <c r="AA717" s="18">
        <f>INDEX('Fuel Selector'!S$359:S$462,MATCH('TCO - Input'!$D717,'Fuel Selector'!$B$359:$B$462,0))</f>
        <v>12.17949421938151</v>
      </c>
      <c r="AB717" s="18">
        <f>INDEX('Fuel Selector'!T$359:T$462,MATCH('TCO - Input'!$D717,'Fuel Selector'!$B$359:$B$462,0))</f>
        <v>12.17949421938151</v>
      </c>
      <c r="AC717" s="18">
        <f>INDEX('Fuel Selector'!U$359:U$462,MATCH('TCO - Input'!$D717,'Fuel Selector'!$B$359:$B$462,0))</f>
        <v>12.17949421938151</v>
      </c>
      <c r="AD717" s="18">
        <f>INDEX('Fuel Selector'!V$359:V$462,MATCH('TCO - Input'!$D717,'Fuel Selector'!$B$359:$B$462,0))</f>
        <v>12.17949421938151</v>
      </c>
    </row>
    <row r="718" spans="2:30" x14ac:dyDescent="0.2">
      <c r="B718"/>
      <c r="C718" s="48">
        <f t="shared" si="593"/>
        <v>9</v>
      </c>
      <c r="D718" s="347" t="str">
        <f t="shared" si="592"/>
        <v>e-Methane (PS) - Asia - RE cost - USD/GJ</v>
      </c>
      <c r="F718" t="str" cm="1">
        <f t="array" ref="F718">INDEX(list_ME_fuel,$C718)</f>
        <v>e-Methane (PS)</v>
      </c>
      <c r="L718" t="s">
        <v>198</v>
      </c>
      <c r="N718" t="str">
        <f t="shared" si="588"/>
        <v>RE cost - USD/GJ</v>
      </c>
      <c r="Q718" t="s">
        <v>324</v>
      </c>
      <c r="S718" s="18">
        <f>INDEX('Fuel Selector'!K$359:K$462,MATCH('TCO - Input'!$D718,'Fuel Selector'!$B$359:$B$462,0))</f>
        <v>45.179166692015897</v>
      </c>
      <c r="T718" s="18">
        <f>INDEX('Fuel Selector'!L$359:L$462,MATCH('TCO - Input'!$D718,'Fuel Selector'!$B$359:$B$462,0))</f>
        <v>29.333460934357927</v>
      </c>
      <c r="U718" s="18">
        <f>INDEX('Fuel Selector'!M$359:M$462,MATCH('TCO - Input'!$D718,'Fuel Selector'!$B$359:$B$462,0))</f>
        <v>23.414465737786326</v>
      </c>
      <c r="V718" s="18">
        <f>INDEX('Fuel Selector'!N$359:N$462,MATCH('TCO - Input'!$D718,'Fuel Selector'!$B$359:$B$462,0))</f>
        <v>18.960319645883665</v>
      </c>
      <c r="W718" s="18">
        <f>INDEX('Fuel Selector'!O$359:O$462,MATCH('TCO - Input'!$D718,'Fuel Selector'!$B$359:$B$462,0))</f>
        <v>16.364819802281282</v>
      </c>
      <c r="X718" s="18">
        <f>INDEX('Fuel Selector'!P$359:P$462,MATCH('TCO - Input'!$D718,'Fuel Selector'!$B$359:$B$462,0))</f>
        <v>13.631939141436725</v>
      </c>
      <c r="Y718" s="18">
        <f>INDEX('Fuel Selector'!Q$359:Q$462,MATCH('TCO - Input'!$D718,'Fuel Selector'!$B$359:$B$462,0))</f>
        <v>12.17949421938151</v>
      </c>
      <c r="Z718" s="18">
        <f>INDEX('Fuel Selector'!R$359:R$462,MATCH('TCO - Input'!$D718,'Fuel Selector'!$B$359:$B$462,0))</f>
        <v>12.17949421938151</v>
      </c>
      <c r="AA718" s="18">
        <f>INDEX('Fuel Selector'!S$359:S$462,MATCH('TCO - Input'!$D718,'Fuel Selector'!$B$359:$B$462,0))</f>
        <v>12.17949421938151</v>
      </c>
      <c r="AB718" s="18">
        <f>INDEX('Fuel Selector'!T$359:T$462,MATCH('TCO - Input'!$D718,'Fuel Selector'!$B$359:$B$462,0))</f>
        <v>12.17949421938151</v>
      </c>
      <c r="AC718" s="18">
        <f>INDEX('Fuel Selector'!U$359:U$462,MATCH('TCO - Input'!$D718,'Fuel Selector'!$B$359:$B$462,0))</f>
        <v>12.17949421938151</v>
      </c>
      <c r="AD718" s="18">
        <f>INDEX('Fuel Selector'!V$359:V$462,MATCH('TCO - Input'!$D718,'Fuel Selector'!$B$359:$B$462,0))</f>
        <v>12.17949421938151</v>
      </c>
    </row>
    <row r="719" spans="2:30" x14ac:dyDescent="0.2">
      <c r="B719"/>
      <c r="C719" s="48">
        <f t="shared" si="593"/>
        <v>10</v>
      </c>
      <c r="D719" s="347" t="str">
        <f t="shared" si="592"/>
        <v>Biomethanol - Asia - RE cost - USD/GJ</v>
      </c>
      <c r="F719" t="str" cm="1">
        <f t="array" ref="F719">INDEX(list_ME_fuel,$C719)</f>
        <v>Biomethanol</v>
      </c>
      <c r="L719" t="s">
        <v>198</v>
      </c>
      <c r="N719" t="str">
        <f t="shared" si="588"/>
        <v>RE cost - USD/GJ</v>
      </c>
      <c r="Q719" t="s">
        <v>324</v>
      </c>
      <c r="S719" s="18">
        <f>INDEX('Fuel Selector'!K$359:K$462,MATCH('TCO - Input'!$D719,'Fuel Selector'!$B$359:$B$462,0))</f>
        <v>0</v>
      </c>
      <c r="T719" s="18">
        <f>INDEX('Fuel Selector'!L$359:L$462,MATCH('TCO - Input'!$D719,'Fuel Selector'!$B$359:$B$462,0))</f>
        <v>0</v>
      </c>
      <c r="U719" s="18">
        <f>INDEX('Fuel Selector'!M$359:M$462,MATCH('TCO - Input'!$D719,'Fuel Selector'!$B$359:$B$462,0))</f>
        <v>0</v>
      </c>
      <c r="V719" s="18">
        <f>INDEX('Fuel Selector'!N$359:N$462,MATCH('TCO - Input'!$D719,'Fuel Selector'!$B$359:$B$462,0))</f>
        <v>0</v>
      </c>
      <c r="W719" s="18">
        <f>INDEX('Fuel Selector'!O$359:O$462,MATCH('TCO - Input'!$D719,'Fuel Selector'!$B$359:$B$462,0))</f>
        <v>0</v>
      </c>
      <c r="X719" s="18">
        <f>INDEX('Fuel Selector'!P$359:P$462,MATCH('TCO - Input'!$D719,'Fuel Selector'!$B$359:$B$462,0))</f>
        <v>0</v>
      </c>
      <c r="Y719" s="18">
        <f>INDEX('Fuel Selector'!Q$359:Q$462,MATCH('TCO - Input'!$D719,'Fuel Selector'!$B$359:$B$462,0))</f>
        <v>0</v>
      </c>
      <c r="Z719" s="18">
        <f>INDEX('Fuel Selector'!R$359:R$462,MATCH('TCO - Input'!$D719,'Fuel Selector'!$B$359:$B$462,0))</f>
        <v>0</v>
      </c>
      <c r="AA719" s="18">
        <f>INDEX('Fuel Selector'!S$359:S$462,MATCH('TCO - Input'!$D719,'Fuel Selector'!$B$359:$B$462,0))</f>
        <v>0</v>
      </c>
      <c r="AB719" s="18">
        <f>INDEX('Fuel Selector'!T$359:T$462,MATCH('TCO - Input'!$D719,'Fuel Selector'!$B$359:$B$462,0))</f>
        <v>0</v>
      </c>
      <c r="AC719" s="18">
        <f>INDEX('Fuel Selector'!U$359:U$462,MATCH('TCO - Input'!$D719,'Fuel Selector'!$B$359:$B$462,0))</f>
        <v>0</v>
      </c>
      <c r="AD719" s="18">
        <f>INDEX('Fuel Selector'!V$359:V$462,MATCH('TCO - Input'!$D719,'Fuel Selector'!$B$359:$B$462,0))</f>
        <v>0</v>
      </c>
    </row>
    <row r="720" spans="2:30" x14ac:dyDescent="0.2">
      <c r="B720"/>
      <c r="C720" s="48">
        <f t="shared" si="593"/>
        <v>11</v>
      </c>
      <c r="D720" s="347" t="str">
        <f t="shared" si="592"/>
        <v>e-Methanol (DAC) - Asia - RE cost - USD/GJ</v>
      </c>
      <c r="F720" t="str" cm="1">
        <f t="array" ref="F720">INDEX(list_ME_fuel,$C720)</f>
        <v>e-Methanol (DAC)</v>
      </c>
      <c r="L720" t="s">
        <v>198</v>
      </c>
      <c r="N720" t="str">
        <f t="shared" si="588"/>
        <v>RE cost - USD/GJ</v>
      </c>
      <c r="Q720" t="s">
        <v>324</v>
      </c>
      <c r="S720" s="18">
        <f>INDEX('Fuel Selector'!K$359:K$462,MATCH('TCO - Input'!$D720,'Fuel Selector'!$B$359:$B$462,0))</f>
        <v>49.24022095991306</v>
      </c>
      <c r="T720" s="18">
        <f>INDEX('Fuel Selector'!L$359:L$462,MATCH('TCO - Input'!$D720,'Fuel Selector'!$B$359:$B$462,0))</f>
        <v>31.989488337983904</v>
      </c>
      <c r="U720" s="18">
        <f>INDEX('Fuel Selector'!M$359:M$462,MATCH('TCO - Input'!$D720,'Fuel Selector'!$B$359:$B$462,0))</f>
        <v>25.578637284530966</v>
      </c>
      <c r="V720" s="18">
        <f>INDEX('Fuel Selector'!N$359:N$462,MATCH('TCO - Input'!$D720,'Fuel Selector'!$B$359:$B$462,0))</f>
        <v>20.812380528402549</v>
      </c>
      <c r="W720" s="18">
        <f>INDEX('Fuel Selector'!O$359:O$462,MATCH('TCO - Input'!$D720,'Fuel Selector'!$B$359:$B$462,0))</f>
        <v>18.075236352099573</v>
      </c>
      <c r="X720" s="18">
        <f>INDEX('Fuel Selector'!P$359:P$462,MATCH('TCO - Input'!$D720,'Fuel Selector'!$B$359:$B$462,0))</f>
        <v>15.19492157348154</v>
      </c>
      <c r="Y720" s="18">
        <f>INDEX('Fuel Selector'!Q$359:Q$462,MATCH('TCO - Input'!$D720,'Fuel Selector'!$B$359:$B$462,0))</f>
        <v>13.685122432703562</v>
      </c>
      <c r="Z720" s="18">
        <f>INDEX('Fuel Selector'!R$359:R$462,MATCH('TCO - Input'!$D720,'Fuel Selector'!$B$359:$B$462,0))</f>
        <v>13.685122432703562</v>
      </c>
      <c r="AA720" s="18">
        <f>INDEX('Fuel Selector'!S$359:S$462,MATCH('TCO - Input'!$D720,'Fuel Selector'!$B$359:$B$462,0))</f>
        <v>13.685122432703562</v>
      </c>
      <c r="AB720" s="18">
        <f>INDEX('Fuel Selector'!T$359:T$462,MATCH('TCO - Input'!$D720,'Fuel Selector'!$B$359:$B$462,0))</f>
        <v>13.685122432703562</v>
      </c>
      <c r="AC720" s="18">
        <f>INDEX('Fuel Selector'!U$359:U$462,MATCH('TCO - Input'!$D720,'Fuel Selector'!$B$359:$B$462,0))</f>
        <v>13.685122432703562</v>
      </c>
      <c r="AD720" s="18">
        <f>INDEX('Fuel Selector'!V$359:V$462,MATCH('TCO - Input'!$D720,'Fuel Selector'!$B$359:$B$462,0))</f>
        <v>13.685122432703562</v>
      </c>
    </row>
    <row r="721" spans="2:30" x14ac:dyDescent="0.2">
      <c r="B721"/>
      <c r="C721" s="48">
        <f t="shared" si="593"/>
        <v>12</v>
      </c>
      <c r="D721" s="347" t="str">
        <f t="shared" si="592"/>
        <v>e-Methanol (PS) - Asia - RE cost - USD/GJ</v>
      </c>
      <c r="F721" t="str" cm="1">
        <f t="array" ref="F721">INDEX(list_ME_fuel,$C721)</f>
        <v>e-Methanol (PS)</v>
      </c>
      <c r="L721" t="s">
        <v>198</v>
      </c>
      <c r="N721" t="str">
        <f t="shared" si="588"/>
        <v>RE cost - USD/GJ</v>
      </c>
      <c r="Q721" t="s">
        <v>324</v>
      </c>
      <c r="S721" s="18">
        <f>INDEX('Fuel Selector'!K$359:K$462,MATCH('TCO - Input'!$D721,'Fuel Selector'!$B$359:$B$462,0))</f>
        <v>49.24022095991306</v>
      </c>
      <c r="T721" s="18">
        <f>INDEX('Fuel Selector'!L$359:L$462,MATCH('TCO - Input'!$D721,'Fuel Selector'!$B$359:$B$462,0))</f>
        <v>31.989488337983904</v>
      </c>
      <c r="U721" s="18">
        <f>INDEX('Fuel Selector'!M$359:M$462,MATCH('TCO - Input'!$D721,'Fuel Selector'!$B$359:$B$462,0))</f>
        <v>25.578637284530966</v>
      </c>
      <c r="V721" s="18">
        <f>INDEX('Fuel Selector'!N$359:N$462,MATCH('TCO - Input'!$D721,'Fuel Selector'!$B$359:$B$462,0))</f>
        <v>20.812380528402549</v>
      </c>
      <c r="W721" s="18">
        <f>INDEX('Fuel Selector'!O$359:O$462,MATCH('TCO - Input'!$D721,'Fuel Selector'!$B$359:$B$462,0))</f>
        <v>18.075236352099573</v>
      </c>
      <c r="X721" s="18">
        <f>INDEX('Fuel Selector'!P$359:P$462,MATCH('TCO - Input'!$D721,'Fuel Selector'!$B$359:$B$462,0))</f>
        <v>15.19492157348154</v>
      </c>
      <c r="Y721" s="18">
        <f>INDEX('Fuel Selector'!Q$359:Q$462,MATCH('TCO - Input'!$D721,'Fuel Selector'!$B$359:$B$462,0))</f>
        <v>13.685122432703562</v>
      </c>
      <c r="Z721" s="18">
        <f>INDEX('Fuel Selector'!R$359:R$462,MATCH('TCO - Input'!$D721,'Fuel Selector'!$B$359:$B$462,0))</f>
        <v>13.685122432703562</v>
      </c>
      <c r="AA721" s="18">
        <f>INDEX('Fuel Selector'!S$359:S$462,MATCH('TCO - Input'!$D721,'Fuel Selector'!$B$359:$B$462,0))</f>
        <v>13.685122432703562</v>
      </c>
      <c r="AB721" s="18">
        <f>INDEX('Fuel Selector'!T$359:T$462,MATCH('TCO - Input'!$D721,'Fuel Selector'!$B$359:$B$462,0))</f>
        <v>13.685122432703562</v>
      </c>
      <c r="AC721" s="18">
        <f>INDEX('Fuel Selector'!U$359:U$462,MATCH('TCO - Input'!$D721,'Fuel Selector'!$B$359:$B$462,0))</f>
        <v>13.685122432703562</v>
      </c>
      <c r="AD721" s="18">
        <f>INDEX('Fuel Selector'!V$359:V$462,MATCH('TCO - Input'!$D721,'Fuel Selector'!$B$359:$B$462,0))</f>
        <v>13.685122432703562</v>
      </c>
    </row>
    <row r="722" spans="2:30" x14ac:dyDescent="0.2">
      <c r="B722"/>
      <c r="C722" s="48">
        <f t="shared" si="593"/>
        <v>13</v>
      </c>
      <c r="D722" s="347" t="str">
        <f t="shared" si="592"/>
        <v>Biodiesel (HtL) - Asia - RE cost - USD/GJ</v>
      </c>
      <c r="F722" t="str" cm="1">
        <f t="array" ref="F722">INDEX(list_ME_fuel,$C722)</f>
        <v>Biodiesel (HtL)</v>
      </c>
      <c r="L722" t="s">
        <v>198</v>
      </c>
      <c r="N722" t="str">
        <f t="shared" si="588"/>
        <v>RE cost - USD/GJ</v>
      </c>
      <c r="Q722" t="s">
        <v>324</v>
      </c>
      <c r="S722" s="18">
        <f>INDEX('Fuel Selector'!K$359:K$462,MATCH('TCO - Input'!$D722,'Fuel Selector'!$B$359:$B$462,0))</f>
        <v>1.5383130307496238</v>
      </c>
      <c r="T722" s="18">
        <f>INDEX('Fuel Selector'!L$359:L$462,MATCH('TCO - Input'!$D722,'Fuel Selector'!$B$359:$B$462,0))</f>
        <v>1.0034298833673674</v>
      </c>
      <c r="U722" s="18">
        <f>INDEX('Fuel Selector'!M$359:M$462,MATCH('TCO - Input'!$D722,'Fuel Selector'!$B$359:$B$462,0))</f>
        <v>0.80860269818521702</v>
      </c>
      <c r="V722" s="18">
        <f>INDEX('Fuel Selector'!N$359:N$462,MATCH('TCO - Input'!$D722,'Fuel Selector'!$B$359:$B$462,0))</f>
        <v>0.67618389551790148</v>
      </c>
      <c r="W722" s="18">
        <f>INDEX('Fuel Selector'!O$359:O$462,MATCH('TCO - Input'!$D722,'Fuel Selector'!$B$359:$B$462,0))</f>
        <v>0.60811907943045485</v>
      </c>
      <c r="X722" s="18">
        <f>INDEX('Fuel Selector'!P$359:P$462,MATCH('TCO - Input'!$D722,'Fuel Selector'!$B$359:$B$462,0))</f>
        <v>0.53748660807441317</v>
      </c>
      <c r="Y722" s="18">
        <f>INDEX('Fuel Selector'!Q$359:Q$462,MATCH('TCO - Input'!$D722,'Fuel Selector'!$B$359:$B$462,0))</f>
        <v>0.50424794227815239</v>
      </c>
      <c r="Z722" s="18">
        <f>INDEX('Fuel Selector'!R$359:R$462,MATCH('TCO - Input'!$D722,'Fuel Selector'!$B$359:$B$462,0))</f>
        <v>0.50424794227815239</v>
      </c>
      <c r="AA722" s="18">
        <f>INDEX('Fuel Selector'!S$359:S$462,MATCH('TCO - Input'!$D722,'Fuel Selector'!$B$359:$B$462,0))</f>
        <v>0.50424794227815239</v>
      </c>
      <c r="AB722" s="18">
        <f>INDEX('Fuel Selector'!T$359:T$462,MATCH('TCO - Input'!$D722,'Fuel Selector'!$B$359:$B$462,0))</f>
        <v>0.50424794227815239</v>
      </c>
      <c r="AC722" s="18">
        <f>INDEX('Fuel Selector'!U$359:U$462,MATCH('TCO - Input'!$D722,'Fuel Selector'!$B$359:$B$462,0))</f>
        <v>0.50424794227815239</v>
      </c>
      <c r="AD722" s="18">
        <f>INDEX('Fuel Selector'!V$359:V$462,MATCH('TCO - Input'!$D722,'Fuel Selector'!$B$359:$B$462,0))</f>
        <v>0.50424794227815239</v>
      </c>
    </row>
    <row r="723" spans="2:30" x14ac:dyDescent="0.2">
      <c r="B723"/>
      <c r="C723" s="48">
        <f t="shared" si="593"/>
        <v>14</v>
      </c>
      <c r="D723" s="347" t="str">
        <f t="shared" si="592"/>
        <v>Biodiesel (Pyr) - Asia - RE cost - USD/GJ</v>
      </c>
      <c r="F723" t="str" cm="1">
        <f t="array" ref="F723">INDEX(list_ME_fuel,$C723)</f>
        <v>Biodiesel (Pyr)</v>
      </c>
      <c r="L723" t="s">
        <v>198</v>
      </c>
      <c r="N723" t="str">
        <f t="shared" si="588"/>
        <v>RE cost - USD/GJ</v>
      </c>
      <c r="Q723" t="s">
        <v>324</v>
      </c>
      <c r="S723" s="18">
        <f>INDEX('Fuel Selector'!K$359:K$462,MATCH('TCO - Input'!$D723,'Fuel Selector'!$B$359:$B$462,0))</f>
        <v>0</v>
      </c>
      <c r="T723" s="18">
        <f>INDEX('Fuel Selector'!L$359:L$462,MATCH('TCO - Input'!$D723,'Fuel Selector'!$B$359:$B$462,0))</f>
        <v>0</v>
      </c>
      <c r="U723" s="18">
        <f>INDEX('Fuel Selector'!M$359:M$462,MATCH('TCO - Input'!$D723,'Fuel Selector'!$B$359:$B$462,0))</f>
        <v>0</v>
      </c>
      <c r="V723" s="18">
        <f>INDEX('Fuel Selector'!N$359:N$462,MATCH('TCO - Input'!$D723,'Fuel Selector'!$B$359:$B$462,0))</f>
        <v>0</v>
      </c>
      <c r="W723" s="18">
        <f>INDEX('Fuel Selector'!O$359:O$462,MATCH('TCO - Input'!$D723,'Fuel Selector'!$B$359:$B$462,0))</f>
        <v>0</v>
      </c>
      <c r="X723" s="18">
        <f>INDEX('Fuel Selector'!P$359:P$462,MATCH('TCO - Input'!$D723,'Fuel Selector'!$B$359:$B$462,0))</f>
        <v>0</v>
      </c>
      <c r="Y723" s="18">
        <f>INDEX('Fuel Selector'!Q$359:Q$462,MATCH('TCO - Input'!$D723,'Fuel Selector'!$B$359:$B$462,0))</f>
        <v>0</v>
      </c>
      <c r="Z723" s="18">
        <f>INDEX('Fuel Selector'!R$359:R$462,MATCH('TCO - Input'!$D723,'Fuel Selector'!$B$359:$B$462,0))</f>
        <v>0</v>
      </c>
      <c r="AA723" s="18">
        <f>INDEX('Fuel Selector'!S$359:S$462,MATCH('TCO - Input'!$D723,'Fuel Selector'!$B$359:$B$462,0))</f>
        <v>0</v>
      </c>
      <c r="AB723" s="18">
        <f>INDEX('Fuel Selector'!T$359:T$462,MATCH('TCO - Input'!$D723,'Fuel Selector'!$B$359:$B$462,0))</f>
        <v>0</v>
      </c>
      <c r="AC723" s="18">
        <f>INDEX('Fuel Selector'!U$359:U$462,MATCH('TCO - Input'!$D723,'Fuel Selector'!$B$359:$B$462,0))</f>
        <v>0</v>
      </c>
      <c r="AD723" s="18">
        <f>INDEX('Fuel Selector'!V$359:V$462,MATCH('TCO - Input'!$D723,'Fuel Selector'!$B$359:$B$462,0))</f>
        <v>0</v>
      </c>
    </row>
    <row r="724" spans="2:30" x14ac:dyDescent="0.2">
      <c r="B724"/>
      <c r="C724" s="48">
        <f t="shared" si="593"/>
        <v>15</v>
      </c>
      <c r="D724" s="347" t="str">
        <f t="shared" si="592"/>
        <v>e-Diesel (DAC) - Asia - RE cost - USD/GJ</v>
      </c>
      <c r="F724" t="str" cm="1">
        <f t="array" ref="F724">INDEX(list_ME_fuel,$C724)</f>
        <v>e-Diesel (DAC)</v>
      </c>
      <c r="L724" t="s">
        <v>198</v>
      </c>
      <c r="N724" t="str">
        <f t="shared" si="588"/>
        <v>RE cost - USD/GJ</v>
      </c>
      <c r="Q724" t="s">
        <v>324</v>
      </c>
      <c r="S724" s="18">
        <f>INDEX('Fuel Selector'!K$359:K$462,MATCH('TCO - Input'!$D724,'Fuel Selector'!$B$359:$B$462,0))</f>
        <v>49.844116634684404</v>
      </c>
      <c r="T724" s="18">
        <f>INDEX('Fuel Selector'!L$359:L$462,MATCH('TCO - Input'!$D724,'Fuel Selector'!$B$359:$B$462,0))</f>
        <v>32.317502131991461</v>
      </c>
      <c r="U724" s="18">
        <f>INDEX('Fuel Selector'!M$359:M$462,MATCH('TCO - Input'!$D724,'Fuel Selector'!$B$359:$B$462,0))</f>
        <v>25.763217613730987</v>
      </c>
      <c r="V724" s="18">
        <f>INDEX('Fuel Selector'!N$359:N$462,MATCH('TCO - Input'!$D724,'Fuel Selector'!$B$359:$B$462,0))</f>
        <v>20.836217230113114</v>
      </c>
      <c r="W724" s="18">
        <f>INDEX('Fuel Selector'!O$359:O$462,MATCH('TCO - Input'!$D724,'Fuel Selector'!$B$359:$B$462,0))</f>
        <v>17.96125065445052</v>
      </c>
      <c r="X724" s="18">
        <f>INDEX('Fuel Selector'!P$359:P$462,MATCH('TCO - Input'!$D724,'Fuel Selector'!$B$359:$B$462,0))</f>
        <v>14.941603642699333</v>
      </c>
      <c r="Y724" s="18">
        <f>INDEX('Fuel Selector'!Q$359:Q$462,MATCH('TCO - Input'!$D724,'Fuel Selector'!$B$359:$B$462,0))</f>
        <v>13.331563878829225</v>
      </c>
      <c r="Z724" s="18">
        <f>INDEX('Fuel Selector'!R$359:R$462,MATCH('TCO - Input'!$D724,'Fuel Selector'!$B$359:$B$462,0))</f>
        <v>13.331563878829225</v>
      </c>
      <c r="AA724" s="18">
        <f>INDEX('Fuel Selector'!S$359:S$462,MATCH('TCO - Input'!$D724,'Fuel Selector'!$B$359:$B$462,0))</f>
        <v>13.331563878829225</v>
      </c>
      <c r="AB724" s="18">
        <f>INDEX('Fuel Selector'!T$359:T$462,MATCH('TCO - Input'!$D724,'Fuel Selector'!$B$359:$B$462,0))</f>
        <v>13.331563878829225</v>
      </c>
      <c r="AC724" s="18">
        <f>INDEX('Fuel Selector'!U$359:U$462,MATCH('TCO - Input'!$D724,'Fuel Selector'!$B$359:$B$462,0))</f>
        <v>13.331563878829225</v>
      </c>
      <c r="AD724" s="18">
        <f>INDEX('Fuel Selector'!V$359:V$462,MATCH('TCO - Input'!$D724,'Fuel Selector'!$B$359:$B$462,0))</f>
        <v>13.331563878829225</v>
      </c>
    </row>
    <row r="725" spans="2:30" x14ac:dyDescent="0.2">
      <c r="B725"/>
      <c r="C725" s="48">
        <f t="shared" si="593"/>
        <v>16</v>
      </c>
      <c r="D725" s="347" t="str">
        <f t="shared" si="592"/>
        <v>e-Diesel (PS) - Asia - RE cost - USD/GJ</v>
      </c>
      <c r="F725" t="str" cm="1">
        <f t="array" ref="F725">INDEX(list_ME_fuel,$C725)</f>
        <v>e-Diesel (PS)</v>
      </c>
      <c r="L725" t="s">
        <v>198</v>
      </c>
      <c r="N725" t="str">
        <f t="shared" si="588"/>
        <v>RE cost - USD/GJ</v>
      </c>
      <c r="Q725" t="s">
        <v>324</v>
      </c>
      <c r="S725" s="18">
        <f>INDEX('Fuel Selector'!K$359:K$462,MATCH('TCO - Input'!$D725,'Fuel Selector'!$B$359:$B$462,0))</f>
        <v>49.844116634684404</v>
      </c>
      <c r="T725" s="18">
        <f>INDEX('Fuel Selector'!L$359:L$462,MATCH('TCO - Input'!$D725,'Fuel Selector'!$B$359:$B$462,0))</f>
        <v>32.317502131991461</v>
      </c>
      <c r="U725" s="18">
        <f>INDEX('Fuel Selector'!M$359:M$462,MATCH('TCO - Input'!$D725,'Fuel Selector'!$B$359:$B$462,0))</f>
        <v>25.763217613730987</v>
      </c>
      <c r="V725" s="18">
        <f>INDEX('Fuel Selector'!N$359:N$462,MATCH('TCO - Input'!$D725,'Fuel Selector'!$B$359:$B$462,0))</f>
        <v>20.836217230113114</v>
      </c>
      <c r="W725" s="18">
        <f>INDEX('Fuel Selector'!O$359:O$462,MATCH('TCO - Input'!$D725,'Fuel Selector'!$B$359:$B$462,0))</f>
        <v>17.96125065445052</v>
      </c>
      <c r="X725" s="18">
        <f>INDEX('Fuel Selector'!P$359:P$462,MATCH('TCO - Input'!$D725,'Fuel Selector'!$B$359:$B$462,0))</f>
        <v>14.941603642699333</v>
      </c>
      <c r="Y725" s="18">
        <f>INDEX('Fuel Selector'!Q$359:Q$462,MATCH('TCO - Input'!$D725,'Fuel Selector'!$B$359:$B$462,0))</f>
        <v>13.331563878829225</v>
      </c>
      <c r="Z725" s="18">
        <f>INDEX('Fuel Selector'!R$359:R$462,MATCH('TCO - Input'!$D725,'Fuel Selector'!$B$359:$B$462,0))</f>
        <v>13.331563878829225</v>
      </c>
      <c r="AA725" s="18">
        <f>INDEX('Fuel Selector'!S$359:S$462,MATCH('TCO - Input'!$D725,'Fuel Selector'!$B$359:$B$462,0))</f>
        <v>13.331563878829225</v>
      </c>
      <c r="AB725" s="18">
        <f>INDEX('Fuel Selector'!T$359:T$462,MATCH('TCO - Input'!$D725,'Fuel Selector'!$B$359:$B$462,0))</f>
        <v>13.331563878829225</v>
      </c>
      <c r="AC725" s="18">
        <f>INDEX('Fuel Selector'!U$359:U$462,MATCH('TCO - Input'!$D725,'Fuel Selector'!$B$359:$B$462,0))</f>
        <v>13.331563878829225</v>
      </c>
      <c r="AD725" s="18">
        <f>INDEX('Fuel Selector'!V$359:V$462,MATCH('TCO - Input'!$D725,'Fuel Selector'!$B$359:$B$462,0))</f>
        <v>13.331563878829225</v>
      </c>
    </row>
    <row r="726" spans="2:30" x14ac:dyDescent="0.2">
      <c r="B726"/>
      <c r="C726" s="48">
        <f t="shared" si="593"/>
        <v>17</v>
      </c>
      <c r="D726" s="347" t="str">
        <f t="shared" si="592"/>
        <v>Biodiesel (HtL blend) - Asia - RE cost - USD/GJ</v>
      </c>
      <c r="F726" t="str" cm="1">
        <f t="array" ref="F726">INDEX(list_ME_fuel,$C726)</f>
        <v>Biodiesel (HtL blend)</v>
      </c>
      <c r="L726" t="s">
        <v>198</v>
      </c>
      <c r="N726" t="str">
        <f t="shared" si="588"/>
        <v>RE cost - USD/GJ</v>
      </c>
      <c r="Q726" t="s">
        <v>324</v>
      </c>
      <c r="S726" s="18">
        <f>INDEX('Fuel Selector'!K$359:K$462,MATCH('TCO - Input'!$D726,'Fuel Selector'!$B$359:$B$462,0))</f>
        <v>0.52360276136316419</v>
      </c>
      <c r="T726" s="18">
        <f>INDEX('Fuel Selector'!L$359:L$462,MATCH('TCO - Input'!$D726,'Fuel Selector'!$B$359:$B$462,0))</f>
        <v>0.34154209661049489</v>
      </c>
      <c r="U726" s="18">
        <f>INDEX('Fuel Selector'!M$359:M$462,MATCH('TCO - Input'!$D726,'Fuel Selector'!$B$359:$B$462,0))</f>
        <v>0.27522786139903366</v>
      </c>
      <c r="V726" s="18">
        <f>INDEX('Fuel Selector'!N$359:N$462,MATCH('TCO - Input'!$D726,'Fuel Selector'!$B$359:$B$462,0))</f>
        <v>0.23015585762147786</v>
      </c>
      <c r="W726" s="18">
        <f>INDEX('Fuel Selector'!O$359:O$462,MATCH('TCO - Input'!$D726,'Fuel Selector'!$B$359:$B$462,0))</f>
        <v>0.20698831958294478</v>
      </c>
      <c r="X726" s="18">
        <f>INDEX('Fuel Selector'!P$359:P$462,MATCH('TCO - Input'!$D726,'Fuel Selector'!$B$359:$B$462,0))</f>
        <v>0.18294681677781938</v>
      </c>
      <c r="Y726" s="18">
        <f>INDEX('Fuel Selector'!Q$359:Q$462,MATCH('TCO - Input'!$D726,'Fuel Selector'!$B$359:$B$462,0))</f>
        <v>0.17163321749921967</v>
      </c>
      <c r="Z726" s="18">
        <f>INDEX('Fuel Selector'!R$359:R$462,MATCH('TCO - Input'!$D726,'Fuel Selector'!$B$359:$B$462,0))</f>
        <v>0.17163321749921967</v>
      </c>
      <c r="AA726" s="18">
        <f>INDEX('Fuel Selector'!S$359:S$462,MATCH('TCO - Input'!$D726,'Fuel Selector'!$B$359:$B$462,0))</f>
        <v>0.17163321749921967</v>
      </c>
      <c r="AB726" s="18">
        <f>INDEX('Fuel Selector'!T$359:T$462,MATCH('TCO - Input'!$D726,'Fuel Selector'!$B$359:$B$462,0))</f>
        <v>0.17163321749921967</v>
      </c>
      <c r="AC726" s="18">
        <f>INDEX('Fuel Selector'!U$359:U$462,MATCH('TCO - Input'!$D726,'Fuel Selector'!$B$359:$B$462,0))</f>
        <v>0.17163321749921967</v>
      </c>
      <c r="AD726" s="18">
        <f>INDEX('Fuel Selector'!V$359:V$462,MATCH('TCO - Input'!$D726,'Fuel Selector'!$B$359:$B$462,0))</f>
        <v>0.17163321749921967</v>
      </c>
    </row>
    <row r="727" spans="2:30" x14ac:dyDescent="0.2">
      <c r="B727"/>
      <c r="C727" s="48">
        <f t="shared" si="593"/>
        <v>18</v>
      </c>
      <c r="D727" s="347" t="str">
        <f t="shared" si="592"/>
        <v>Biodiesel (Pyr blend) - Asia - RE cost - USD/GJ</v>
      </c>
      <c r="F727" t="str" cm="1">
        <f t="array" ref="F727">INDEX(list_ME_fuel,$C727)</f>
        <v>Biodiesel (Pyr blend)</v>
      </c>
      <c r="L727" t="s">
        <v>198</v>
      </c>
      <c r="N727" t="str">
        <f t="shared" si="588"/>
        <v>RE cost - USD/GJ</v>
      </c>
      <c r="Q727" t="s">
        <v>324</v>
      </c>
      <c r="S727" s="18">
        <f>INDEX('Fuel Selector'!K$359:K$462,MATCH('TCO - Input'!$D727,'Fuel Selector'!$B$359:$B$462,0))</f>
        <v>0</v>
      </c>
      <c r="T727" s="18">
        <f>INDEX('Fuel Selector'!L$359:L$462,MATCH('TCO - Input'!$D727,'Fuel Selector'!$B$359:$B$462,0))</f>
        <v>0</v>
      </c>
      <c r="U727" s="18">
        <f>INDEX('Fuel Selector'!M$359:M$462,MATCH('TCO - Input'!$D727,'Fuel Selector'!$B$359:$B$462,0))</f>
        <v>0</v>
      </c>
      <c r="V727" s="18">
        <f>INDEX('Fuel Selector'!N$359:N$462,MATCH('TCO - Input'!$D727,'Fuel Selector'!$B$359:$B$462,0))</f>
        <v>0</v>
      </c>
      <c r="W727" s="18">
        <f>INDEX('Fuel Selector'!O$359:O$462,MATCH('TCO - Input'!$D727,'Fuel Selector'!$B$359:$B$462,0))</f>
        <v>0</v>
      </c>
      <c r="X727" s="18">
        <f>INDEX('Fuel Selector'!P$359:P$462,MATCH('TCO - Input'!$D727,'Fuel Selector'!$B$359:$B$462,0))</f>
        <v>0</v>
      </c>
      <c r="Y727" s="18">
        <f>INDEX('Fuel Selector'!Q$359:Q$462,MATCH('TCO - Input'!$D727,'Fuel Selector'!$B$359:$B$462,0))</f>
        <v>0</v>
      </c>
      <c r="Z727" s="18">
        <f>INDEX('Fuel Selector'!R$359:R$462,MATCH('TCO - Input'!$D727,'Fuel Selector'!$B$359:$B$462,0))</f>
        <v>0</v>
      </c>
      <c r="AA727" s="18">
        <f>INDEX('Fuel Selector'!S$359:S$462,MATCH('TCO - Input'!$D727,'Fuel Selector'!$B$359:$B$462,0))</f>
        <v>0</v>
      </c>
      <c r="AB727" s="18">
        <f>INDEX('Fuel Selector'!T$359:T$462,MATCH('TCO - Input'!$D727,'Fuel Selector'!$B$359:$B$462,0))</f>
        <v>0</v>
      </c>
      <c r="AC727" s="18">
        <f>INDEX('Fuel Selector'!U$359:U$462,MATCH('TCO - Input'!$D727,'Fuel Selector'!$B$359:$B$462,0))</f>
        <v>0</v>
      </c>
      <c r="AD727" s="18">
        <f>INDEX('Fuel Selector'!V$359:V$462,MATCH('TCO - Input'!$D727,'Fuel Selector'!$B$359:$B$462,0))</f>
        <v>0</v>
      </c>
    </row>
    <row r="728" spans="2:30" x14ac:dyDescent="0.2">
      <c r="B728"/>
      <c r="C728" s="48">
        <f t="shared" si="593"/>
        <v>19</v>
      </c>
      <c r="D728" s="347" t="str">
        <f t="shared" si="592"/>
        <v>Blue hydrogen (liquid) - Asia - RE cost - USD/GJ</v>
      </c>
      <c r="F728" t="str" cm="1">
        <f t="array" ref="F728">INDEX(list_ME_fuel,$C728)</f>
        <v>Blue hydrogen (liquid)</v>
      </c>
      <c r="L728" t="s">
        <v>198</v>
      </c>
      <c r="N728" t="str">
        <f t="shared" si="588"/>
        <v>RE cost - USD/GJ</v>
      </c>
      <c r="Q728" t="s">
        <v>324</v>
      </c>
      <c r="S728" s="18">
        <f>INDEX('Fuel Selector'!K$359:K$462,MATCH('TCO - Input'!$D728,'Fuel Selector'!$B$359:$B$462,0))</f>
        <v>0</v>
      </c>
      <c r="T728" s="18">
        <f>INDEX('Fuel Selector'!L$359:L$462,MATCH('TCO - Input'!$D728,'Fuel Selector'!$B$359:$B$462,0))</f>
        <v>0</v>
      </c>
      <c r="U728" s="18">
        <f>INDEX('Fuel Selector'!M$359:M$462,MATCH('TCO - Input'!$D728,'Fuel Selector'!$B$359:$B$462,0))</f>
        <v>0</v>
      </c>
      <c r="V728" s="18">
        <f>INDEX('Fuel Selector'!N$359:N$462,MATCH('TCO - Input'!$D728,'Fuel Selector'!$B$359:$B$462,0))</f>
        <v>0</v>
      </c>
      <c r="W728" s="18">
        <f>INDEX('Fuel Selector'!O$359:O$462,MATCH('TCO - Input'!$D728,'Fuel Selector'!$B$359:$B$462,0))</f>
        <v>0</v>
      </c>
      <c r="X728" s="18">
        <f>INDEX('Fuel Selector'!P$359:P$462,MATCH('TCO - Input'!$D728,'Fuel Selector'!$B$359:$B$462,0))</f>
        <v>0</v>
      </c>
      <c r="Y728" s="18">
        <f>INDEX('Fuel Selector'!Q$359:Q$462,MATCH('TCO - Input'!$D728,'Fuel Selector'!$B$359:$B$462,0))</f>
        <v>0</v>
      </c>
      <c r="Z728" s="18">
        <f>INDEX('Fuel Selector'!R$359:R$462,MATCH('TCO - Input'!$D728,'Fuel Selector'!$B$359:$B$462,0))</f>
        <v>0</v>
      </c>
      <c r="AA728" s="18">
        <f>INDEX('Fuel Selector'!S$359:S$462,MATCH('TCO - Input'!$D728,'Fuel Selector'!$B$359:$B$462,0))</f>
        <v>0</v>
      </c>
      <c r="AB728" s="18">
        <f>INDEX('Fuel Selector'!T$359:T$462,MATCH('TCO - Input'!$D728,'Fuel Selector'!$B$359:$B$462,0))</f>
        <v>0</v>
      </c>
      <c r="AC728" s="18">
        <f>INDEX('Fuel Selector'!U$359:U$462,MATCH('TCO - Input'!$D728,'Fuel Selector'!$B$359:$B$462,0))</f>
        <v>0</v>
      </c>
      <c r="AD728" s="18">
        <f>INDEX('Fuel Selector'!V$359:V$462,MATCH('TCO - Input'!$D728,'Fuel Selector'!$B$359:$B$462,0))</f>
        <v>0</v>
      </c>
    </row>
    <row r="729" spans="2:30" x14ac:dyDescent="0.2">
      <c r="B729"/>
      <c r="C729" s="48">
        <f t="shared" si="593"/>
        <v>20</v>
      </c>
      <c r="D729" s="347" t="str">
        <f t="shared" si="592"/>
        <v>e-Hydrogen (liquid) - Asia - RE cost - USD/GJ</v>
      </c>
      <c r="F729" t="str" cm="1">
        <f t="array" ref="F729">INDEX(list_ME_fuel,$C729)</f>
        <v>e-Hydrogen (liquid)</v>
      </c>
      <c r="L729" t="s">
        <v>198</v>
      </c>
      <c r="N729" t="str">
        <f t="shared" si="588"/>
        <v>RE cost - USD/GJ</v>
      </c>
      <c r="Q729" t="s">
        <v>324</v>
      </c>
      <c r="S729" s="18">
        <f>INDEX('Fuel Selector'!K$359:K$462,MATCH('TCO - Input'!$D729,'Fuel Selector'!$B$359:$B$462,0))</f>
        <v>43.22266176094756</v>
      </c>
      <c r="T729" s="18">
        <f>INDEX('Fuel Selector'!L$359:L$462,MATCH('TCO - Input'!$D729,'Fuel Selector'!$B$359:$B$462,0))</f>
        <v>28.080008604285755</v>
      </c>
      <c r="U729" s="18">
        <f>INDEX('Fuel Selector'!M$359:M$462,MATCH('TCO - Input'!$D729,'Fuel Selector'!$B$359:$B$462,0))</f>
        <v>22.452404557576973</v>
      </c>
      <c r="V729" s="18">
        <f>INDEX('Fuel Selector'!N$359:N$462,MATCH('TCO - Input'!$D729,'Fuel Selector'!$B$359:$B$462,0))</f>
        <v>18.268158756401192</v>
      </c>
      <c r="W729" s="18">
        <f>INDEX('Fuel Selector'!O$359:O$462,MATCH('TCO - Input'!$D729,'Fuel Selector'!$B$359:$B$462,0))</f>
        <v>15.865033435761271</v>
      </c>
      <c r="X729" s="18">
        <f>INDEX('Fuel Selector'!P$359:P$462,MATCH('TCO - Input'!$D729,'Fuel Selector'!$B$359:$B$462,0))</f>
        <v>13.336199598960404</v>
      </c>
      <c r="Y729" s="18">
        <f>INDEX('Fuel Selector'!Q$359:Q$462,MATCH('TCO - Input'!$D729,'Fuel Selector'!$B$359:$B$462,0))</f>
        <v>12.010524858257732</v>
      </c>
      <c r="Z729" s="18">
        <f>INDEX('Fuel Selector'!R$359:R$462,MATCH('TCO - Input'!$D729,'Fuel Selector'!$B$359:$B$462,0))</f>
        <v>12.010524858257732</v>
      </c>
      <c r="AA729" s="18">
        <f>INDEX('Fuel Selector'!S$359:S$462,MATCH('TCO - Input'!$D729,'Fuel Selector'!$B$359:$B$462,0))</f>
        <v>12.010524858257732</v>
      </c>
      <c r="AB729" s="18">
        <f>INDEX('Fuel Selector'!T$359:T$462,MATCH('TCO - Input'!$D729,'Fuel Selector'!$B$359:$B$462,0))</f>
        <v>12.010524858257732</v>
      </c>
      <c r="AC729" s="18">
        <f>INDEX('Fuel Selector'!U$359:U$462,MATCH('TCO - Input'!$D729,'Fuel Selector'!$B$359:$B$462,0))</f>
        <v>12.010524858257732</v>
      </c>
      <c r="AD729" s="18">
        <f>INDEX('Fuel Selector'!V$359:V$462,MATCH('TCO - Input'!$D729,'Fuel Selector'!$B$359:$B$462,0))</f>
        <v>12.010524858257732</v>
      </c>
    </row>
    <row r="730" spans="2:30" x14ac:dyDescent="0.2">
      <c r="B730"/>
      <c r="C730"/>
      <c r="D730"/>
      <c r="S730" s="18"/>
      <c r="T730" s="18"/>
      <c r="U730" s="18"/>
      <c r="V730" s="18"/>
      <c r="W730" s="18"/>
      <c r="X730" s="18"/>
      <c r="Y730" s="18"/>
      <c r="Z730" s="18"/>
      <c r="AA730" s="18"/>
      <c r="AB730" s="18"/>
      <c r="AC730" s="18"/>
      <c r="AD730" s="18"/>
    </row>
    <row r="731" spans="2:30" x14ac:dyDescent="0.2">
      <c r="B731"/>
      <c r="C731" s="48">
        <v>1</v>
      </c>
      <c r="D731" s="347" t="str">
        <f t="shared" ref="D731:D750" si="594">_xlfn.TEXTJOIN(keydelim,TRUE,E731:N731)</f>
        <v>LSFO - Americas - RE cost - USD/GJ</v>
      </c>
      <c r="F731" t="str" cm="1">
        <f t="array" ref="F731">INDEX(list_ME_fuel,$C731)</f>
        <v>LSFO</v>
      </c>
      <c r="L731" t="s">
        <v>199</v>
      </c>
      <c r="N731" t="str">
        <f t="shared" si="588"/>
        <v>RE cost - USD/GJ</v>
      </c>
      <c r="O731" s="224"/>
      <c r="P731" s="224"/>
      <c r="Q731" t="s">
        <v>324</v>
      </c>
      <c r="R731" s="14"/>
      <c r="S731" s="18">
        <f>INDEX('Fuel Selector'!K$359:K$462,MATCH('TCO - Input'!$D731,'Fuel Selector'!$B$359:$B$462,0))</f>
        <v>0</v>
      </c>
      <c r="T731" s="18">
        <f>INDEX('Fuel Selector'!L$359:L$462,MATCH('TCO - Input'!$D731,'Fuel Selector'!$B$359:$B$462,0))</f>
        <v>0</v>
      </c>
      <c r="U731" s="18">
        <f>INDEX('Fuel Selector'!M$359:M$462,MATCH('TCO - Input'!$D731,'Fuel Selector'!$B$359:$B$462,0))</f>
        <v>0</v>
      </c>
      <c r="V731" s="18">
        <f>INDEX('Fuel Selector'!N$359:N$462,MATCH('TCO - Input'!$D731,'Fuel Selector'!$B$359:$B$462,0))</f>
        <v>0</v>
      </c>
      <c r="W731" s="18">
        <f>INDEX('Fuel Selector'!O$359:O$462,MATCH('TCO - Input'!$D731,'Fuel Selector'!$B$359:$B$462,0))</f>
        <v>0</v>
      </c>
      <c r="X731" s="18">
        <f>INDEX('Fuel Selector'!P$359:P$462,MATCH('TCO - Input'!$D731,'Fuel Selector'!$B$359:$B$462,0))</f>
        <v>0</v>
      </c>
      <c r="Y731" s="18">
        <f>INDEX('Fuel Selector'!Q$359:Q$462,MATCH('TCO - Input'!$D731,'Fuel Selector'!$B$359:$B$462,0))</f>
        <v>0</v>
      </c>
      <c r="Z731" s="18">
        <f>INDEX('Fuel Selector'!R$359:R$462,MATCH('TCO - Input'!$D731,'Fuel Selector'!$B$359:$B$462,0))</f>
        <v>0</v>
      </c>
      <c r="AA731" s="18">
        <f>INDEX('Fuel Selector'!S$359:S$462,MATCH('TCO - Input'!$D731,'Fuel Selector'!$B$359:$B$462,0))</f>
        <v>0</v>
      </c>
      <c r="AB731" s="18">
        <f>INDEX('Fuel Selector'!T$359:T$462,MATCH('TCO - Input'!$D731,'Fuel Selector'!$B$359:$B$462,0))</f>
        <v>0</v>
      </c>
      <c r="AC731" s="18">
        <f>INDEX('Fuel Selector'!U$359:U$462,MATCH('TCO - Input'!$D731,'Fuel Selector'!$B$359:$B$462,0))</f>
        <v>0</v>
      </c>
      <c r="AD731" s="18">
        <f>INDEX('Fuel Selector'!V$359:V$462,MATCH('TCO - Input'!$D731,'Fuel Selector'!$B$359:$B$462,0))</f>
        <v>0</v>
      </c>
    </row>
    <row r="732" spans="2:30" x14ac:dyDescent="0.2">
      <c r="B732"/>
      <c r="C732" s="48">
        <f>+C731+1</f>
        <v>2</v>
      </c>
      <c r="D732" s="347" t="str">
        <f t="shared" si="594"/>
        <v>LNG - Americas - RE cost - USD/GJ</v>
      </c>
      <c r="F732" t="str" cm="1">
        <f t="array" ref="F732">INDEX(list_ME_fuel,$C732)</f>
        <v>LNG</v>
      </c>
      <c r="L732" t="s">
        <v>199</v>
      </c>
      <c r="N732" t="str">
        <f t="shared" ref="N732:N750" si="595">"RE cost"  &amp;keydelim&amp;Q732</f>
        <v>RE cost - USD/GJ</v>
      </c>
      <c r="Q732" t="s">
        <v>324</v>
      </c>
      <c r="S732" s="18">
        <f>INDEX('Fuel Selector'!K$359:K$462,MATCH('TCO - Input'!$D732,'Fuel Selector'!$B$359:$B$462,0))</f>
        <v>0</v>
      </c>
      <c r="T732" s="18">
        <f>INDEX('Fuel Selector'!L$359:L$462,MATCH('TCO - Input'!$D732,'Fuel Selector'!$B$359:$B$462,0))</f>
        <v>0</v>
      </c>
      <c r="U732" s="18">
        <f>INDEX('Fuel Selector'!M$359:M$462,MATCH('TCO - Input'!$D732,'Fuel Selector'!$B$359:$B$462,0))</f>
        <v>0</v>
      </c>
      <c r="V732" s="18">
        <f>INDEX('Fuel Selector'!N$359:N$462,MATCH('TCO - Input'!$D732,'Fuel Selector'!$B$359:$B$462,0))</f>
        <v>0</v>
      </c>
      <c r="W732" s="18">
        <f>INDEX('Fuel Selector'!O$359:O$462,MATCH('TCO - Input'!$D732,'Fuel Selector'!$B$359:$B$462,0))</f>
        <v>0</v>
      </c>
      <c r="X732" s="18">
        <f>INDEX('Fuel Selector'!P$359:P$462,MATCH('TCO - Input'!$D732,'Fuel Selector'!$B$359:$B$462,0))</f>
        <v>0</v>
      </c>
      <c r="Y732" s="18">
        <f>INDEX('Fuel Selector'!Q$359:Q$462,MATCH('TCO - Input'!$D732,'Fuel Selector'!$B$359:$B$462,0))</f>
        <v>0</v>
      </c>
      <c r="Z732" s="18">
        <f>INDEX('Fuel Selector'!R$359:R$462,MATCH('TCO - Input'!$D732,'Fuel Selector'!$B$359:$B$462,0))</f>
        <v>0</v>
      </c>
      <c r="AA732" s="18">
        <f>INDEX('Fuel Selector'!S$359:S$462,MATCH('TCO - Input'!$D732,'Fuel Selector'!$B$359:$B$462,0))</f>
        <v>0</v>
      </c>
      <c r="AB732" s="18">
        <f>INDEX('Fuel Selector'!T$359:T$462,MATCH('TCO - Input'!$D732,'Fuel Selector'!$B$359:$B$462,0))</f>
        <v>0</v>
      </c>
      <c r="AC732" s="18">
        <f>INDEX('Fuel Selector'!U$359:U$462,MATCH('TCO - Input'!$D732,'Fuel Selector'!$B$359:$B$462,0))</f>
        <v>0</v>
      </c>
      <c r="AD732" s="18">
        <f>INDEX('Fuel Selector'!V$359:V$462,MATCH('TCO - Input'!$D732,'Fuel Selector'!$B$359:$B$462,0))</f>
        <v>0</v>
      </c>
    </row>
    <row r="733" spans="2:30" x14ac:dyDescent="0.2">
      <c r="B733"/>
      <c r="C733" s="48">
        <f t="shared" ref="C733:C750" si="596">+C732+1</f>
        <v>3</v>
      </c>
      <c r="D733" s="347" t="str">
        <f t="shared" si="594"/>
        <v>LPG - Americas - RE cost - USD/GJ</v>
      </c>
      <c r="F733" t="str" cm="1">
        <f t="array" ref="F733">INDEX(list_ME_fuel,$C733)</f>
        <v>LPG</v>
      </c>
      <c r="L733" t="s">
        <v>199</v>
      </c>
      <c r="N733" t="str">
        <f t="shared" si="595"/>
        <v>RE cost - USD/GJ</v>
      </c>
      <c r="Q733" t="s">
        <v>324</v>
      </c>
      <c r="S733" s="18">
        <f>INDEX('Fuel Selector'!K$359:K$462,MATCH('TCO - Input'!$D733,'Fuel Selector'!$B$359:$B$462,0))</f>
        <v>0</v>
      </c>
      <c r="T733" s="18">
        <f>INDEX('Fuel Selector'!L$359:L$462,MATCH('TCO - Input'!$D733,'Fuel Selector'!$B$359:$B$462,0))</f>
        <v>0</v>
      </c>
      <c r="U733" s="18">
        <f>INDEX('Fuel Selector'!M$359:M$462,MATCH('TCO - Input'!$D733,'Fuel Selector'!$B$359:$B$462,0))</f>
        <v>0</v>
      </c>
      <c r="V733" s="18">
        <f>INDEX('Fuel Selector'!N$359:N$462,MATCH('TCO - Input'!$D733,'Fuel Selector'!$B$359:$B$462,0))</f>
        <v>0</v>
      </c>
      <c r="W733" s="18">
        <f>INDEX('Fuel Selector'!O$359:O$462,MATCH('TCO - Input'!$D733,'Fuel Selector'!$B$359:$B$462,0))</f>
        <v>0</v>
      </c>
      <c r="X733" s="18">
        <f>INDEX('Fuel Selector'!P$359:P$462,MATCH('TCO - Input'!$D733,'Fuel Selector'!$B$359:$B$462,0))</f>
        <v>0</v>
      </c>
      <c r="Y733" s="18">
        <f>INDEX('Fuel Selector'!Q$359:Q$462,MATCH('TCO - Input'!$D733,'Fuel Selector'!$B$359:$B$462,0))</f>
        <v>0</v>
      </c>
      <c r="Z733" s="18">
        <f>INDEX('Fuel Selector'!R$359:R$462,MATCH('TCO - Input'!$D733,'Fuel Selector'!$B$359:$B$462,0))</f>
        <v>0</v>
      </c>
      <c r="AA733" s="18">
        <f>INDEX('Fuel Selector'!S$359:S$462,MATCH('TCO - Input'!$D733,'Fuel Selector'!$B$359:$B$462,0))</f>
        <v>0</v>
      </c>
      <c r="AB733" s="18">
        <f>INDEX('Fuel Selector'!T$359:T$462,MATCH('TCO - Input'!$D733,'Fuel Selector'!$B$359:$B$462,0))</f>
        <v>0</v>
      </c>
      <c r="AC733" s="18">
        <f>INDEX('Fuel Selector'!U$359:U$462,MATCH('TCO - Input'!$D733,'Fuel Selector'!$B$359:$B$462,0))</f>
        <v>0</v>
      </c>
      <c r="AD733" s="18">
        <f>INDEX('Fuel Selector'!V$359:V$462,MATCH('TCO - Input'!$D733,'Fuel Selector'!$B$359:$B$462,0))</f>
        <v>0</v>
      </c>
    </row>
    <row r="734" spans="2:30" x14ac:dyDescent="0.2">
      <c r="B734"/>
      <c r="C734" s="48">
        <f t="shared" si="596"/>
        <v>4</v>
      </c>
      <c r="D734" s="347" t="str">
        <f t="shared" si="594"/>
        <v>Electricity - Americas - RE cost - USD/GJ</v>
      </c>
      <c r="F734" t="str" cm="1">
        <f t="array" ref="F734">INDEX(list_ME_fuel,$C734)</f>
        <v>Electricity</v>
      </c>
      <c r="L734" t="s">
        <v>199</v>
      </c>
      <c r="N734" t="str">
        <f t="shared" si="595"/>
        <v>RE cost - USD/GJ</v>
      </c>
      <c r="Q734" t="s">
        <v>324</v>
      </c>
      <c r="S734" s="18">
        <f>INDEX('Fuel Selector'!K$359:K$462,MATCH('TCO - Input'!$D734,'Fuel Selector'!$B$359:$B$462,0))</f>
        <v>0</v>
      </c>
      <c r="T734" s="18">
        <f>INDEX('Fuel Selector'!L$359:L$462,MATCH('TCO - Input'!$D734,'Fuel Selector'!$B$359:$B$462,0))</f>
        <v>0</v>
      </c>
      <c r="U734" s="18">
        <f>INDEX('Fuel Selector'!M$359:M$462,MATCH('TCO - Input'!$D734,'Fuel Selector'!$B$359:$B$462,0))</f>
        <v>0</v>
      </c>
      <c r="V734" s="18">
        <f>INDEX('Fuel Selector'!N$359:N$462,MATCH('TCO - Input'!$D734,'Fuel Selector'!$B$359:$B$462,0))</f>
        <v>0</v>
      </c>
      <c r="W734" s="18">
        <f>INDEX('Fuel Selector'!O$359:O$462,MATCH('TCO - Input'!$D734,'Fuel Selector'!$B$359:$B$462,0))</f>
        <v>0</v>
      </c>
      <c r="X734" s="18">
        <f>INDEX('Fuel Selector'!P$359:P$462,MATCH('TCO - Input'!$D734,'Fuel Selector'!$B$359:$B$462,0))</f>
        <v>0</v>
      </c>
      <c r="Y734" s="18">
        <f>INDEX('Fuel Selector'!Q$359:Q$462,MATCH('TCO - Input'!$D734,'Fuel Selector'!$B$359:$B$462,0))</f>
        <v>0</v>
      </c>
      <c r="Z734" s="18">
        <f>INDEX('Fuel Selector'!R$359:R$462,MATCH('TCO - Input'!$D734,'Fuel Selector'!$B$359:$B$462,0))</f>
        <v>0</v>
      </c>
      <c r="AA734" s="18">
        <f>INDEX('Fuel Selector'!S$359:S$462,MATCH('TCO - Input'!$D734,'Fuel Selector'!$B$359:$B$462,0))</f>
        <v>0</v>
      </c>
      <c r="AB734" s="18">
        <f>INDEX('Fuel Selector'!T$359:T$462,MATCH('TCO - Input'!$D734,'Fuel Selector'!$B$359:$B$462,0))</f>
        <v>0</v>
      </c>
      <c r="AC734" s="18">
        <f>INDEX('Fuel Selector'!U$359:U$462,MATCH('TCO - Input'!$D734,'Fuel Selector'!$B$359:$B$462,0))</f>
        <v>0</v>
      </c>
      <c r="AD734" s="18">
        <f>INDEX('Fuel Selector'!V$359:V$462,MATCH('TCO - Input'!$D734,'Fuel Selector'!$B$359:$B$462,0))</f>
        <v>0</v>
      </c>
    </row>
    <row r="735" spans="2:30" x14ac:dyDescent="0.2">
      <c r="B735"/>
      <c r="C735" s="48">
        <f t="shared" si="596"/>
        <v>5</v>
      </c>
      <c r="D735" s="347" t="str">
        <f t="shared" si="594"/>
        <v>e-Ammonia - Americas - RE cost - USD/GJ</v>
      </c>
      <c r="F735" t="str" cm="1">
        <f t="array" ref="F735">INDEX(list_ME_fuel,$C735)</f>
        <v>e-Ammonia</v>
      </c>
      <c r="L735" t="s">
        <v>199</v>
      </c>
      <c r="N735" t="str">
        <f t="shared" si="595"/>
        <v>RE cost - USD/GJ</v>
      </c>
      <c r="Q735" t="s">
        <v>324</v>
      </c>
      <c r="S735" s="18">
        <f>INDEX('Fuel Selector'!K$359:K$462,MATCH('TCO - Input'!$D735,'Fuel Selector'!$B$359:$B$462,0))</f>
        <v>20.759815085497248</v>
      </c>
      <c r="T735" s="18">
        <f>INDEX('Fuel Selector'!L$359:L$462,MATCH('TCO - Input'!$D735,'Fuel Selector'!$B$359:$B$462,0))</f>
        <v>18.650106730258152</v>
      </c>
      <c r="U735" s="18">
        <f>INDEX('Fuel Selector'!M$359:M$462,MATCH('TCO - Input'!$D735,'Fuel Selector'!$B$359:$B$462,0))</f>
        <v>15.047457427903934</v>
      </c>
      <c r="V735" s="18">
        <f>INDEX('Fuel Selector'!N$359:N$462,MATCH('TCO - Input'!$D735,'Fuel Selector'!$B$359:$B$462,0))</f>
        <v>12.962203597742349</v>
      </c>
      <c r="W735" s="18">
        <f>INDEX('Fuel Selector'!O$359:O$462,MATCH('TCO - Input'!$D735,'Fuel Selector'!$B$359:$B$462,0))</f>
        <v>11.189805245583912</v>
      </c>
      <c r="X735" s="18">
        <f>INDEX('Fuel Selector'!P$359:P$462,MATCH('TCO - Input'!$D735,'Fuel Selector'!$B$359:$B$462,0))</f>
        <v>10.056670652543788</v>
      </c>
      <c r="Y735" s="18">
        <f>INDEX('Fuel Selector'!Q$359:Q$462,MATCH('TCO - Input'!$D735,'Fuel Selector'!$B$359:$B$462,0))</f>
        <v>9.2199684227541123</v>
      </c>
      <c r="Z735" s="18">
        <f>INDEX('Fuel Selector'!R$359:R$462,MATCH('TCO - Input'!$D735,'Fuel Selector'!$B$359:$B$462,0))</f>
        <v>9.2199684227541123</v>
      </c>
      <c r="AA735" s="18">
        <f>INDEX('Fuel Selector'!S$359:S$462,MATCH('TCO - Input'!$D735,'Fuel Selector'!$B$359:$B$462,0))</f>
        <v>9.2199684227541123</v>
      </c>
      <c r="AB735" s="18">
        <f>INDEX('Fuel Selector'!T$359:T$462,MATCH('TCO - Input'!$D735,'Fuel Selector'!$B$359:$B$462,0))</f>
        <v>9.2199684227541123</v>
      </c>
      <c r="AC735" s="18">
        <f>INDEX('Fuel Selector'!U$359:U$462,MATCH('TCO - Input'!$D735,'Fuel Selector'!$B$359:$B$462,0))</f>
        <v>9.2199684227541123</v>
      </c>
      <c r="AD735" s="18">
        <f>INDEX('Fuel Selector'!V$359:V$462,MATCH('TCO - Input'!$D735,'Fuel Selector'!$B$359:$B$462,0))</f>
        <v>9.2199684227541123</v>
      </c>
    </row>
    <row r="736" spans="2:30" x14ac:dyDescent="0.2">
      <c r="B736"/>
      <c r="C736" s="48">
        <f t="shared" si="596"/>
        <v>6</v>
      </c>
      <c r="D736" s="347" t="str">
        <f t="shared" si="594"/>
        <v>Blue ammonia - Americas - RE cost - USD/GJ</v>
      </c>
      <c r="F736" t="str" cm="1">
        <f t="array" ref="F736">INDEX(list_ME_fuel,$C736)</f>
        <v>Blue ammonia</v>
      </c>
      <c r="L736" t="s">
        <v>199</v>
      </c>
      <c r="N736" t="str">
        <f t="shared" si="595"/>
        <v>RE cost - USD/GJ</v>
      </c>
      <c r="Q736" t="s">
        <v>324</v>
      </c>
      <c r="S736" s="18">
        <f>INDEX('Fuel Selector'!K$359:K$462,MATCH('TCO - Input'!$D736,'Fuel Selector'!$B$359:$B$462,0))</f>
        <v>0</v>
      </c>
      <c r="T736" s="18">
        <f>INDEX('Fuel Selector'!L$359:L$462,MATCH('TCO - Input'!$D736,'Fuel Selector'!$B$359:$B$462,0))</f>
        <v>0</v>
      </c>
      <c r="U736" s="18">
        <f>INDEX('Fuel Selector'!M$359:M$462,MATCH('TCO - Input'!$D736,'Fuel Selector'!$B$359:$B$462,0))</f>
        <v>0</v>
      </c>
      <c r="V736" s="18">
        <f>INDEX('Fuel Selector'!N$359:N$462,MATCH('TCO - Input'!$D736,'Fuel Selector'!$B$359:$B$462,0))</f>
        <v>0</v>
      </c>
      <c r="W736" s="18">
        <f>INDEX('Fuel Selector'!O$359:O$462,MATCH('TCO - Input'!$D736,'Fuel Selector'!$B$359:$B$462,0))</f>
        <v>0</v>
      </c>
      <c r="X736" s="18">
        <f>INDEX('Fuel Selector'!P$359:P$462,MATCH('TCO - Input'!$D736,'Fuel Selector'!$B$359:$B$462,0))</f>
        <v>0</v>
      </c>
      <c r="Y736" s="18">
        <f>INDEX('Fuel Selector'!Q$359:Q$462,MATCH('TCO - Input'!$D736,'Fuel Selector'!$B$359:$B$462,0))</f>
        <v>0</v>
      </c>
      <c r="Z736" s="18">
        <f>INDEX('Fuel Selector'!R$359:R$462,MATCH('TCO - Input'!$D736,'Fuel Selector'!$B$359:$B$462,0))</f>
        <v>0</v>
      </c>
      <c r="AA736" s="18">
        <f>INDEX('Fuel Selector'!S$359:S$462,MATCH('TCO - Input'!$D736,'Fuel Selector'!$B$359:$B$462,0))</f>
        <v>0</v>
      </c>
      <c r="AB736" s="18">
        <f>INDEX('Fuel Selector'!T$359:T$462,MATCH('TCO - Input'!$D736,'Fuel Selector'!$B$359:$B$462,0))</f>
        <v>0</v>
      </c>
      <c r="AC736" s="18">
        <f>INDEX('Fuel Selector'!U$359:U$462,MATCH('TCO - Input'!$D736,'Fuel Selector'!$B$359:$B$462,0))</f>
        <v>0</v>
      </c>
      <c r="AD736" s="18">
        <f>INDEX('Fuel Selector'!V$359:V$462,MATCH('TCO - Input'!$D736,'Fuel Selector'!$B$359:$B$462,0))</f>
        <v>0</v>
      </c>
    </row>
    <row r="737" spans="2:30" x14ac:dyDescent="0.2">
      <c r="B737"/>
      <c r="C737" s="48">
        <f t="shared" si="596"/>
        <v>7</v>
      </c>
      <c r="D737" s="347" t="str">
        <f t="shared" si="594"/>
        <v>Biomethane - Americas - RE cost - USD/GJ</v>
      </c>
      <c r="F737" t="str" cm="1">
        <f t="array" ref="F737">INDEX(list_ME_fuel,$C737)</f>
        <v>Biomethane</v>
      </c>
      <c r="L737" t="s">
        <v>199</v>
      </c>
      <c r="N737" t="str">
        <f t="shared" si="595"/>
        <v>RE cost - USD/GJ</v>
      </c>
      <c r="Q737" t="s">
        <v>324</v>
      </c>
      <c r="S737" s="18">
        <f>INDEX('Fuel Selector'!K$359:K$462,MATCH('TCO - Input'!$D737,'Fuel Selector'!$B$359:$B$462,0))</f>
        <v>0</v>
      </c>
      <c r="T737" s="18">
        <f>INDEX('Fuel Selector'!L$359:L$462,MATCH('TCO - Input'!$D737,'Fuel Selector'!$B$359:$B$462,0))</f>
        <v>0</v>
      </c>
      <c r="U737" s="18">
        <f>INDEX('Fuel Selector'!M$359:M$462,MATCH('TCO - Input'!$D737,'Fuel Selector'!$B$359:$B$462,0))</f>
        <v>0</v>
      </c>
      <c r="V737" s="18">
        <f>INDEX('Fuel Selector'!N$359:N$462,MATCH('TCO - Input'!$D737,'Fuel Selector'!$B$359:$B$462,0))</f>
        <v>0</v>
      </c>
      <c r="W737" s="18">
        <f>INDEX('Fuel Selector'!O$359:O$462,MATCH('TCO - Input'!$D737,'Fuel Selector'!$B$359:$B$462,0))</f>
        <v>0</v>
      </c>
      <c r="X737" s="18">
        <f>INDEX('Fuel Selector'!P$359:P$462,MATCH('TCO - Input'!$D737,'Fuel Selector'!$B$359:$B$462,0))</f>
        <v>0</v>
      </c>
      <c r="Y737" s="18">
        <f>INDEX('Fuel Selector'!Q$359:Q$462,MATCH('TCO - Input'!$D737,'Fuel Selector'!$B$359:$B$462,0))</f>
        <v>0</v>
      </c>
      <c r="Z737" s="18">
        <f>INDEX('Fuel Selector'!R$359:R$462,MATCH('TCO - Input'!$D737,'Fuel Selector'!$B$359:$B$462,0))</f>
        <v>0</v>
      </c>
      <c r="AA737" s="18">
        <f>INDEX('Fuel Selector'!S$359:S$462,MATCH('TCO - Input'!$D737,'Fuel Selector'!$B$359:$B$462,0))</f>
        <v>0</v>
      </c>
      <c r="AB737" s="18">
        <f>INDEX('Fuel Selector'!T$359:T$462,MATCH('TCO - Input'!$D737,'Fuel Selector'!$B$359:$B$462,0))</f>
        <v>0</v>
      </c>
      <c r="AC737" s="18">
        <f>INDEX('Fuel Selector'!U$359:U$462,MATCH('TCO - Input'!$D737,'Fuel Selector'!$B$359:$B$462,0))</f>
        <v>0</v>
      </c>
      <c r="AD737" s="18">
        <f>INDEX('Fuel Selector'!V$359:V$462,MATCH('TCO - Input'!$D737,'Fuel Selector'!$B$359:$B$462,0))</f>
        <v>0</v>
      </c>
    </row>
    <row r="738" spans="2:30" x14ac:dyDescent="0.2">
      <c r="B738"/>
      <c r="C738" s="48">
        <f t="shared" si="596"/>
        <v>8</v>
      </c>
      <c r="D738" s="347" t="str">
        <f t="shared" si="594"/>
        <v>e-Methane (DAC) - Americas - RE cost - USD/GJ</v>
      </c>
      <c r="F738" t="str" cm="1">
        <f t="array" ref="F738">INDEX(list_ME_fuel,$C738)</f>
        <v>e-Methane (DAC)</v>
      </c>
      <c r="L738" t="s">
        <v>199</v>
      </c>
      <c r="N738" t="str">
        <f t="shared" si="595"/>
        <v>RE cost - USD/GJ</v>
      </c>
      <c r="Q738" t="s">
        <v>324</v>
      </c>
      <c r="S738" s="18">
        <f>INDEX('Fuel Selector'!K$359:K$462,MATCH('TCO - Input'!$D738,'Fuel Selector'!$B$359:$B$462,0))</f>
        <v>21.453004700156349</v>
      </c>
      <c r="T738" s="18">
        <f>INDEX('Fuel Selector'!L$359:L$462,MATCH('TCO - Input'!$D738,'Fuel Selector'!$B$359:$B$462,0))</f>
        <v>19.271901662769473</v>
      </c>
      <c r="U738" s="18">
        <f>INDEX('Fuel Selector'!M$359:M$462,MATCH('TCO - Input'!$D738,'Fuel Selector'!$B$359:$B$462,0))</f>
        <v>15.546948923727872</v>
      </c>
      <c r="V738" s="18">
        <f>INDEX('Fuel Selector'!N$359:N$462,MATCH('TCO - Input'!$D738,'Fuel Selector'!$B$359:$B$462,0))</f>
        <v>13.387214299443812</v>
      </c>
      <c r="W738" s="18">
        <f>INDEX('Fuel Selector'!O$359:O$462,MATCH('TCO - Input'!$D738,'Fuel Selector'!$B$359:$B$462,0))</f>
        <v>11.550793747737456</v>
      </c>
      <c r="X738" s="18">
        <f>INDEX('Fuel Selector'!P$359:P$462,MATCH('TCO - Input'!$D738,'Fuel Selector'!$B$359:$B$462,0))</f>
        <v>10.373240350030571</v>
      </c>
      <c r="Y738" s="18">
        <f>INDEX('Fuel Selector'!Q$359:Q$462,MATCH('TCO - Input'!$D738,'Fuel Selector'!$B$359:$B$462,0))</f>
        <v>9.5038347257415836</v>
      </c>
      <c r="Z738" s="18">
        <f>INDEX('Fuel Selector'!R$359:R$462,MATCH('TCO - Input'!$D738,'Fuel Selector'!$B$359:$B$462,0))</f>
        <v>9.5038347257415836</v>
      </c>
      <c r="AA738" s="18">
        <f>INDEX('Fuel Selector'!S$359:S$462,MATCH('TCO - Input'!$D738,'Fuel Selector'!$B$359:$B$462,0))</f>
        <v>9.5038347257415836</v>
      </c>
      <c r="AB738" s="18">
        <f>INDEX('Fuel Selector'!T$359:T$462,MATCH('TCO - Input'!$D738,'Fuel Selector'!$B$359:$B$462,0))</f>
        <v>9.5038347257415836</v>
      </c>
      <c r="AC738" s="18">
        <f>INDEX('Fuel Selector'!U$359:U$462,MATCH('TCO - Input'!$D738,'Fuel Selector'!$B$359:$B$462,0))</f>
        <v>9.5038347257415836</v>
      </c>
      <c r="AD738" s="18">
        <f>INDEX('Fuel Selector'!V$359:V$462,MATCH('TCO - Input'!$D738,'Fuel Selector'!$B$359:$B$462,0))</f>
        <v>9.5038347257415836</v>
      </c>
    </row>
    <row r="739" spans="2:30" x14ac:dyDescent="0.2">
      <c r="B739"/>
      <c r="C739" s="48">
        <f t="shared" si="596"/>
        <v>9</v>
      </c>
      <c r="D739" s="347" t="str">
        <f t="shared" si="594"/>
        <v>e-Methane (PS) - Americas - RE cost - USD/GJ</v>
      </c>
      <c r="F739" t="str" cm="1">
        <f t="array" ref="F739">INDEX(list_ME_fuel,$C739)</f>
        <v>e-Methane (PS)</v>
      </c>
      <c r="L739" t="s">
        <v>199</v>
      </c>
      <c r="N739" t="str">
        <f t="shared" si="595"/>
        <v>RE cost - USD/GJ</v>
      </c>
      <c r="Q739" t="s">
        <v>324</v>
      </c>
      <c r="S739" s="18">
        <f>INDEX('Fuel Selector'!K$359:K$462,MATCH('TCO - Input'!$D739,'Fuel Selector'!$B$359:$B$462,0))</f>
        <v>21.453004700156349</v>
      </c>
      <c r="T739" s="18">
        <f>INDEX('Fuel Selector'!L$359:L$462,MATCH('TCO - Input'!$D739,'Fuel Selector'!$B$359:$B$462,0))</f>
        <v>19.271901662769473</v>
      </c>
      <c r="U739" s="18">
        <f>INDEX('Fuel Selector'!M$359:M$462,MATCH('TCO - Input'!$D739,'Fuel Selector'!$B$359:$B$462,0))</f>
        <v>15.546948923727872</v>
      </c>
      <c r="V739" s="18">
        <f>INDEX('Fuel Selector'!N$359:N$462,MATCH('TCO - Input'!$D739,'Fuel Selector'!$B$359:$B$462,0))</f>
        <v>13.387214299443812</v>
      </c>
      <c r="W739" s="18">
        <f>INDEX('Fuel Selector'!O$359:O$462,MATCH('TCO - Input'!$D739,'Fuel Selector'!$B$359:$B$462,0))</f>
        <v>11.550793747737456</v>
      </c>
      <c r="X739" s="18">
        <f>INDEX('Fuel Selector'!P$359:P$462,MATCH('TCO - Input'!$D739,'Fuel Selector'!$B$359:$B$462,0))</f>
        <v>10.373240350030571</v>
      </c>
      <c r="Y739" s="18">
        <f>INDEX('Fuel Selector'!Q$359:Q$462,MATCH('TCO - Input'!$D739,'Fuel Selector'!$B$359:$B$462,0))</f>
        <v>9.5038347257415836</v>
      </c>
      <c r="Z739" s="18">
        <f>INDEX('Fuel Selector'!R$359:R$462,MATCH('TCO - Input'!$D739,'Fuel Selector'!$B$359:$B$462,0))</f>
        <v>9.5038347257415836</v>
      </c>
      <c r="AA739" s="18">
        <f>INDEX('Fuel Selector'!S$359:S$462,MATCH('TCO - Input'!$D739,'Fuel Selector'!$B$359:$B$462,0))</f>
        <v>9.5038347257415836</v>
      </c>
      <c r="AB739" s="18">
        <f>INDEX('Fuel Selector'!T$359:T$462,MATCH('TCO - Input'!$D739,'Fuel Selector'!$B$359:$B$462,0))</f>
        <v>9.5038347257415836</v>
      </c>
      <c r="AC739" s="18">
        <f>INDEX('Fuel Selector'!U$359:U$462,MATCH('TCO - Input'!$D739,'Fuel Selector'!$B$359:$B$462,0))</f>
        <v>9.5038347257415836</v>
      </c>
      <c r="AD739" s="18">
        <f>INDEX('Fuel Selector'!V$359:V$462,MATCH('TCO - Input'!$D739,'Fuel Selector'!$B$359:$B$462,0))</f>
        <v>9.5038347257415836</v>
      </c>
    </row>
    <row r="740" spans="2:30" x14ac:dyDescent="0.2">
      <c r="B740"/>
      <c r="C740" s="48">
        <f t="shared" si="596"/>
        <v>10</v>
      </c>
      <c r="D740" s="347" t="str">
        <f t="shared" si="594"/>
        <v>Biomethanol - Americas - RE cost - USD/GJ</v>
      </c>
      <c r="F740" t="str" cm="1">
        <f t="array" ref="F740">INDEX(list_ME_fuel,$C740)</f>
        <v>Biomethanol</v>
      </c>
      <c r="L740" t="s">
        <v>199</v>
      </c>
      <c r="N740" t="str">
        <f t="shared" si="595"/>
        <v>RE cost - USD/GJ</v>
      </c>
      <c r="Q740" t="s">
        <v>324</v>
      </c>
      <c r="S740" s="18">
        <f>INDEX('Fuel Selector'!K$359:K$462,MATCH('TCO - Input'!$D740,'Fuel Selector'!$B$359:$B$462,0))</f>
        <v>0</v>
      </c>
      <c r="T740" s="18">
        <f>INDEX('Fuel Selector'!L$359:L$462,MATCH('TCO - Input'!$D740,'Fuel Selector'!$B$359:$B$462,0))</f>
        <v>0</v>
      </c>
      <c r="U740" s="18">
        <f>INDEX('Fuel Selector'!M$359:M$462,MATCH('TCO - Input'!$D740,'Fuel Selector'!$B$359:$B$462,0))</f>
        <v>0</v>
      </c>
      <c r="V740" s="18">
        <f>INDEX('Fuel Selector'!N$359:N$462,MATCH('TCO - Input'!$D740,'Fuel Selector'!$B$359:$B$462,0))</f>
        <v>0</v>
      </c>
      <c r="W740" s="18">
        <f>INDEX('Fuel Selector'!O$359:O$462,MATCH('TCO - Input'!$D740,'Fuel Selector'!$B$359:$B$462,0))</f>
        <v>0</v>
      </c>
      <c r="X740" s="18">
        <f>INDEX('Fuel Selector'!P$359:P$462,MATCH('TCO - Input'!$D740,'Fuel Selector'!$B$359:$B$462,0))</f>
        <v>0</v>
      </c>
      <c r="Y740" s="18">
        <f>INDEX('Fuel Selector'!Q$359:Q$462,MATCH('TCO - Input'!$D740,'Fuel Selector'!$B$359:$B$462,0))</f>
        <v>0</v>
      </c>
      <c r="Z740" s="18">
        <f>INDEX('Fuel Selector'!R$359:R$462,MATCH('TCO - Input'!$D740,'Fuel Selector'!$B$359:$B$462,0))</f>
        <v>0</v>
      </c>
      <c r="AA740" s="18">
        <f>INDEX('Fuel Selector'!S$359:S$462,MATCH('TCO - Input'!$D740,'Fuel Selector'!$B$359:$B$462,0))</f>
        <v>0</v>
      </c>
      <c r="AB740" s="18">
        <f>INDEX('Fuel Selector'!T$359:T$462,MATCH('TCO - Input'!$D740,'Fuel Selector'!$B$359:$B$462,0))</f>
        <v>0</v>
      </c>
      <c r="AC740" s="18">
        <f>INDEX('Fuel Selector'!U$359:U$462,MATCH('TCO - Input'!$D740,'Fuel Selector'!$B$359:$B$462,0))</f>
        <v>0</v>
      </c>
      <c r="AD740" s="18">
        <f>INDEX('Fuel Selector'!V$359:V$462,MATCH('TCO - Input'!$D740,'Fuel Selector'!$B$359:$B$462,0))</f>
        <v>0</v>
      </c>
    </row>
    <row r="741" spans="2:30" x14ac:dyDescent="0.2">
      <c r="B741"/>
      <c r="C741" s="48">
        <f t="shared" si="596"/>
        <v>11</v>
      </c>
      <c r="D741" s="347" t="str">
        <f t="shared" si="594"/>
        <v>e-Methanol (DAC) - Americas - RE cost - USD/GJ</v>
      </c>
      <c r="F741" t="str" cm="1">
        <f t="array" ref="F741">INDEX(list_ME_fuel,$C741)</f>
        <v>e-Methanol (DAC)</v>
      </c>
      <c r="L741" t="s">
        <v>199</v>
      </c>
      <c r="N741" t="str">
        <f t="shared" si="595"/>
        <v>RE cost - USD/GJ</v>
      </c>
      <c r="Q741" t="s">
        <v>324</v>
      </c>
      <c r="S741" s="18">
        <f>INDEX('Fuel Selector'!K$359:K$462,MATCH('TCO - Input'!$D741,'Fuel Selector'!$B$359:$B$462,0))</f>
        <v>23.381367321155825</v>
      </c>
      <c r="T741" s="18">
        <f>INDEX('Fuel Selector'!L$359:L$462,MATCH('TCO - Input'!$D741,'Fuel Selector'!$B$359:$B$462,0))</f>
        <v>21.016895172087917</v>
      </c>
      <c r="U741" s="18">
        <f>INDEX('Fuel Selector'!M$359:M$462,MATCH('TCO - Input'!$D741,'Fuel Selector'!$B$359:$B$462,0))</f>
        <v>16.983935138840422</v>
      </c>
      <c r="V741" s="18">
        <f>INDEX('Fuel Selector'!N$359:N$462,MATCH('TCO - Input'!$D741,'Fuel Selector'!$B$359:$B$462,0))</f>
        <v>14.694889296119314</v>
      </c>
      <c r="W741" s="18">
        <f>INDEX('Fuel Selector'!O$359:O$462,MATCH('TCO - Input'!$D741,'Fuel Selector'!$B$359:$B$462,0))</f>
        <v>12.758058418437569</v>
      </c>
      <c r="X741" s="18">
        <f>INDEX('Fuel Selector'!P$359:P$462,MATCH('TCO - Input'!$D741,'Fuel Selector'!$B$359:$B$462,0))</f>
        <v>11.562593696040846</v>
      </c>
      <c r="Y741" s="18">
        <f>INDEX('Fuel Selector'!Q$359:Q$462,MATCH('TCO - Input'!$D741,'Fuel Selector'!$B$359:$B$462,0))</f>
        <v>10.678698101845963</v>
      </c>
      <c r="Z741" s="18">
        <f>INDEX('Fuel Selector'!R$359:R$462,MATCH('TCO - Input'!$D741,'Fuel Selector'!$B$359:$B$462,0))</f>
        <v>10.678698101845963</v>
      </c>
      <c r="AA741" s="18">
        <f>INDEX('Fuel Selector'!S$359:S$462,MATCH('TCO - Input'!$D741,'Fuel Selector'!$B$359:$B$462,0))</f>
        <v>10.678698101845963</v>
      </c>
      <c r="AB741" s="18">
        <f>INDEX('Fuel Selector'!T$359:T$462,MATCH('TCO - Input'!$D741,'Fuel Selector'!$B$359:$B$462,0))</f>
        <v>10.678698101845963</v>
      </c>
      <c r="AC741" s="18">
        <f>INDEX('Fuel Selector'!U$359:U$462,MATCH('TCO - Input'!$D741,'Fuel Selector'!$B$359:$B$462,0))</f>
        <v>10.678698101845963</v>
      </c>
      <c r="AD741" s="18">
        <f>INDEX('Fuel Selector'!V$359:V$462,MATCH('TCO - Input'!$D741,'Fuel Selector'!$B$359:$B$462,0))</f>
        <v>10.678698101845963</v>
      </c>
    </row>
    <row r="742" spans="2:30" x14ac:dyDescent="0.2">
      <c r="B742"/>
      <c r="C742" s="48">
        <f t="shared" si="596"/>
        <v>12</v>
      </c>
      <c r="D742" s="347" t="str">
        <f t="shared" si="594"/>
        <v>e-Methanol (PS) - Americas - RE cost - USD/GJ</v>
      </c>
      <c r="F742" t="str" cm="1">
        <f t="array" ref="F742">INDEX(list_ME_fuel,$C742)</f>
        <v>e-Methanol (PS)</v>
      </c>
      <c r="L742" t="s">
        <v>199</v>
      </c>
      <c r="N742" t="str">
        <f t="shared" si="595"/>
        <v>RE cost - USD/GJ</v>
      </c>
      <c r="Q742" t="s">
        <v>324</v>
      </c>
      <c r="S742" s="18">
        <f>INDEX('Fuel Selector'!K$359:K$462,MATCH('TCO - Input'!$D742,'Fuel Selector'!$B$359:$B$462,0))</f>
        <v>23.381367321155825</v>
      </c>
      <c r="T742" s="18">
        <f>INDEX('Fuel Selector'!L$359:L$462,MATCH('TCO - Input'!$D742,'Fuel Selector'!$B$359:$B$462,0))</f>
        <v>21.016895172087917</v>
      </c>
      <c r="U742" s="18">
        <f>INDEX('Fuel Selector'!M$359:M$462,MATCH('TCO - Input'!$D742,'Fuel Selector'!$B$359:$B$462,0))</f>
        <v>16.983935138840422</v>
      </c>
      <c r="V742" s="18">
        <f>INDEX('Fuel Selector'!N$359:N$462,MATCH('TCO - Input'!$D742,'Fuel Selector'!$B$359:$B$462,0))</f>
        <v>14.694889296119314</v>
      </c>
      <c r="W742" s="18">
        <f>INDEX('Fuel Selector'!O$359:O$462,MATCH('TCO - Input'!$D742,'Fuel Selector'!$B$359:$B$462,0))</f>
        <v>12.758058418437569</v>
      </c>
      <c r="X742" s="18">
        <f>INDEX('Fuel Selector'!P$359:P$462,MATCH('TCO - Input'!$D742,'Fuel Selector'!$B$359:$B$462,0))</f>
        <v>11.562593696040846</v>
      </c>
      <c r="Y742" s="18">
        <f>INDEX('Fuel Selector'!Q$359:Q$462,MATCH('TCO - Input'!$D742,'Fuel Selector'!$B$359:$B$462,0))</f>
        <v>10.678698101845963</v>
      </c>
      <c r="Z742" s="18">
        <f>INDEX('Fuel Selector'!R$359:R$462,MATCH('TCO - Input'!$D742,'Fuel Selector'!$B$359:$B$462,0))</f>
        <v>10.678698101845963</v>
      </c>
      <c r="AA742" s="18">
        <f>INDEX('Fuel Selector'!S$359:S$462,MATCH('TCO - Input'!$D742,'Fuel Selector'!$B$359:$B$462,0))</f>
        <v>10.678698101845963</v>
      </c>
      <c r="AB742" s="18">
        <f>INDEX('Fuel Selector'!T$359:T$462,MATCH('TCO - Input'!$D742,'Fuel Selector'!$B$359:$B$462,0))</f>
        <v>10.678698101845963</v>
      </c>
      <c r="AC742" s="18">
        <f>INDEX('Fuel Selector'!U$359:U$462,MATCH('TCO - Input'!$D742,'Fuel Selector'!$B$359:$B$462,0))</f>
        <v>10.678698101845963</v>
      </c>
      <c r="AD742" s="18">
        <f>INDEX('Fuel Selector'!V$359:V$462,MATCH('TCO - Input'!$D742,'Fuel Selector'!$B$359:$B$462,0))</f>
        <v>10.678698101845963</v>
      </c>
    </row>
    <row r="743" spans="2:30" x14ac:dyDescent="0.2">
      <c r="B743"/>
      <c r="C743" s="48">
        <f t="shared" si="596"/>
        <v>13</v>
      </c>
      <c r="D743" s="347" t="str">
        <f t="shared" si="594"/>
        <v>Biodiesel (HtL) - Americas - RE cost - USD/GJ</v>
      </c>
      <c r="F743" t="str" cm="1">
        <f t="array" ref="F743">INDEX(list_ME_fuel,$C743)</f>
        <v>Biodiesel (HtL)</v>
      </c>
      <c r="L743" t="s">
        <v>199</v>
      </c>
      <c r="N743" t="str">
        <f t="shared" si="595"/>
        <v>RE cost - USD/GJ</v>
      </c>
      <c r="Q743" t="s">
        <v>324</v>
      </c>
      <c r="S743" s="18">
        <f>INDEX('Fuel Selector'!K$359:K$462,MATCH('TCO - Input'!$D743,'Fuel Selector'!$B$359:$B$462,0))</f>
        <v>0.73045695826911927</v>
      </c>
      <c r="T743" s="18">
        <f>INDEX('Fuel Selector'!L$359:L$462,MATCH('TCO - Input'!$D743,'Fuel Selector'!$B$359:$B$462,0))</f>
        <v>0.65924720172005946</v>
      </c>
      <c r="U743" s="18">
        <f>INDEX('Fuel Selector'!M$359:M$462,MATCH('TCO - Input'!$D743,'Fuel Selector'!$B$359:$B$462,0))</f>
        <v>0.53690333954477154</v>
      </c>
      <c r="V743" s="18">
        <f>INDEX('Fuel Selector'!N$359:N$462,MATCH('TCO - Input'!$D743,'Fuel Selector'!$B$359:$B$462,0))</f>
        <v>0.47742964697834794</v>
      </c>
      <c r="W743" s="18">
        <f>INDEX('Fuel Selector'!O$359:O$462,MATCH('TCO - Input'!$D743,'Fuel Selector'!$B$359:$B$462,0))</f>
        <v>0.42922917242180469</v>
      </c>
      <c r="X743" s="18">
        <f>INDEX('Fuel Selector'!P$359:P$462,MATCH('TCO - Input'!$D743,'Fuel Selector'!$B$359:$B$462,0))</f>
        <v>0.40900107553524107</v>
      </c>
      <c r="Y743" s="18">
        <f>INDEX('Fuel Selector'!Q$359:Q$462,MATCH('TCO - Input'!$D743,'Fuel Selector'!$B$359:$B$462,0))</f>
        <v>0.3934719305979687</v>
      </c>
      <c r="Z743" s="18">
        <f>INDEX('Fuel Selector'!R$359:R$462,MATCH('TCO - Input'!$D743,'Fuel Selector'!$B$359:$B$462,0))</f>
        <v>0.3934719305979687</v>
      </c>
      <c r="AA743" s="18">
        <f>INDEX('Fuel Selector'!S$359:S$462,MATCH('TCO - Input'!$D743,'Fuel Selector'!$B$359:$B$462,0))</f>
        <v>0.3934719305979687</v>
      </c>
      <c r="AB743" s="18">
        <f>INDEX('Fuel Selector'!T$359:T$462,MATCH('TCO - Input'!$D743,'Fuel Selector'!$B$359:$B$462,0))</f>
        <v>0.3934719305979687</v>
      </c>
      <c r="AC743" s="18">
        <f>INDEX('Fuel Selector'!U$359:U$462,MATCH('TCO - Input'!$D743,'Fuel Selector'!$B$359:$B$462,0))</f>
        <v>0.3934719305979687</v>
      </c>
      <c r="AD743" s="18">
        <f>INDEX('Fuel Selector'!V$359:V$462,MATCH('TCO - Input'!$D743,'Fuel Selector'!$B$359:$B$462,0))</f>
        <v>0.3934719305979687</v>
      </c>
    </row>
    <row r="744" spans="2:30" x14ac:dyDescent="0.2">
      <c r="B744"/>
      <c r="C744" s="48">
        <f t="shared" si="596"/>
        <v>14</v>
      </c>
      <c r="D744" s="347" t="str">
        <f t="shared" si="594"/>
        <v>Biodiesel (Pyr) - Americas - RE cost - USD/GJ</v>
      </c>
      <c r="F744" t="str" cm="1">
        <f t="array" ref="F744">INDEX(list_ME_fuel,$C744)</f>
        <v>Biodiesel (Pyr)</v>
      </c>
      <c r="L744" t="s">
        <v>199</v>
      </c>
      <c r="N744" t="str">
        <f t="shared" si="595"/>
        <v>RE cost - USD/GJ</v>
      </c>
      <c r="Q744" t="s">
        <v>324</v>
      </c>
      <c r="S744" s="18">
        <f>INDEX('Fuel Selector'!K$359:K$462,MATCH('TCO - Input'!$D744,'Fuel Selector'!$B$359:$B$462,0))</f>
        <v>0</v>
      </c>
      <c r="T744" s="18">
        <f>INDEX('Fuel Selector'!L$359:L$462,MATCH('TCO - Input'!$D744,'Fuel Selector'!$B$359:$B$462,0))</f>
        <v>0</v>
      </c>
      <c r="U744" s="18">
        <f>INDEX('Fuel Selector'!M$359:M$462,MATCH('TCO - Input'!$D744,'Fuel Selector'!$B$359:$B$462,0))</f>
        <v>0</v>
      </c>
      <c r="V744" s="18">
        <f>INDEX('Fuel Selector'!N$359:N$462,MATCH('TCO - Input'!$D744,'Fuel Selector'!$B$359:$B$462,0))</f>
        <v>0</v>
      </c>
      <c r="W744" s="18">
        <f>INDEX('Fuel Selector'!O$359:O$462,MATCH('TCO - Input'!$D744,'Fuel Selector'!$B$359:$B$462,0))</f>
        <v>0</v>
      </c>
      <c r="X744" s="18">
        <f>INDEX('Fuel Selector'!P$359:P$462,MATCH('TCO - Input'!$D744,'Fuel Selector'!$B$359:$B$462,0))</f>
        <v>0</v>
      </c>
      <c r="Y744" s="18">
        <f>INDEX('Fuel Selector'!Q$359:Q$462,MATCH('TCO - Input'!$D744,'Fuel Selector'!$B$359:$B$462,0))</f>
        <v>0</v>
      </c>
      <c r="Z744" s="18">
        <f>INDEX('Fuel Selector'!R$359:R$462,MATCH('TCO - Input'!$D744,'Fuel Selector'!$B$359:$B$462,0))</f>
        <v>0</v>
      </c>
      <c r="AA744" s="18">
        <f>INDEX('Fuel Selector'!S$359:S$462,MATCH('TCO - Input'!$D744,'Fuel Selector'!$B$359:$B$462,0))</f>
        <v>0</v>
      </c>
      <c r="AB744" s="18">
        <f>INDEX('Fuel Selector'!T$359:T$462,MATCH('TCO - Input'!$D744,'Fuel Selector'!$B$359:$B$462,0))</f>
        <v>0</v>
      </c>
      <c r="AC744" s="18">
        <f>INDEX('Fuel Selector'!U$359:U$462,MATCH('TCO - Input'!$D744,'Fuel Selector'!$B$359:$B$462,0))</f>
        <v>0</v>
      </c>
      <c r="AD744" s="18">
        <f>INDEX('Fuel Selector'!V$359:V$462,MATCH('TCO - Input'!$D744,'Fuel Selector'!$B$359:$B$462,0))</f>
        <v>0</v>
      </c>
    </row>
    <row r="745" spans="2:30" x14ac:dyDescent="0.2">
      <c r="B745"/>
      <c r="C745" s="48">
        <f t="shared" si="596"/>
        <v>15</v>
      </c>
      <c r="D745" s="347" t="str">
        <f t="shared" si="594"/>
        <v>e-Diesel (DAC) - Americas - RE cost - USD/GJ</v>
      </c>
      <c r="F745" t="str" cm="1">
        <f t="array" ref="F745">INDEX(list_ME_fuel,$C745)</f>
        <v>e-Diesel (DAC)</v>
      </c>
      <c r="L745" t="s">
        <v>199</v>
      </c>
      <c r="N745" t="str">
        <f t="shared" si="595"/>
        <v>RE cost - USD/GJ</v>
      </c>
      <c r="Q745" t="s">
        <v>324</v>
      </c>
      <c r="S745" s="18">
        <f>INDEX('Fuel Selector'!K$359:K$462,MATCH('TCO - Input'!$D745,'Fuel Selector'!$B$359:$B$462,0))</f>
        <v>23.668122870181104</v>
      </c>
      <c r="T745" s="18">
        <f>INDEX('Fuel Selector'!L$359:L$462,MATCH('TCO - Input'!$D745,'Fuel Selector'!$B$359:$B$462,0))</f>
        <v>21.232398197669912</v>
      </c>
      <c r="U745" s="18">
        <f>INDEX('Fuel Selector'!M$359:M$462,MATCH('TCO - Input'!$D745,'Fuel Selector'!$B$359:$B$462,0))</f>
        <v>17.106494456765258</v>
      </c>
      <c r="V745" s="18">
        <f>INDEX('Fuel Selector'!N$359:N$462,MATCH('TCO - Input'!$D745,'Fuel Selector'!$B$359:$B$462,0))</f>
        <v>14.711719552146169</v>
      </c>
      <c r="W745" s="18">
        <f>INDEX('Fuel Selector'!O$359:O$462,MATCH('TCO - Input'!$D745,'Fuel Selector'!$B$359:$B$462,0))</f>
        <v>12.677603803009871</v>
      </c>
      <c r="X745" s="18">
        <f>INDEX('Fuel Selector'!P$359:P$462,MATCH('TCO - Input'!$D745,'Fuel Selector'!$B$359:$B$462,0))</f>
        <v>11.369831114451204</v>
      </c>
      <c r="Y745" s="18">
        <f>INDEX('Fuel Selector'!Q$359:Q$462,MATCH('TCO - Input'!$D745,'Fuel Selector'!$B$359:$B$462,0))</f>
        <v>10.402811270966996</v>
      </c>
      <c r="Z745" s="18">
        <f>INDEX('Fuel Selector'!R$359:R$462,MATCH('TCO - Input'!$D745,'Fuel Selector'!$B$359:$B$462,0))</f>
        <v>10.402811270966996</v>
      </c>
      <c r="AA745" s="18">
        <f>INDEX('Fuel Selector'!S$359:S$462,MATCH('TCO - Input'!$D745,'Fuel Selector'!$B$359:$B$462,0))</f>
        <v>10.402811270966996</v>
      </c>
      <c r="AB745" s="18">
        <f>INDEX('Fuel Selector'!T$359:T$462,MATCH('TCO - Input'!$D745,'Fuel Selector'!$B$359:$B$462,0))</f>
        <v>10.402811270966996</v>
      </c>
      <c r="AC745" s="18">
        <f>INDEX('Fuel Selector'!U$359:U$462,MATCH('TCO - Input'!$D745,'Fuel Selector'!$B$359:$B$462,0))</f>
        <v>10.402811270966996</v>
      </c>
      <c r="AD745" s="18">
        <f>INDEX('Fuel Selector'!V$359:V$462,MATCH('TCO - Input'!$D745,'Fuel Selector'!$B$359:$B$462,0))</f>
        <v>10.402811270966996</v>
      </c>
    </row>
    <row r="746" spans="2:30" x14ac:dyDescent="0.2">
      <c r="B746"/>
      <c r="C746" s="48">
        <f t="shared" si="596"/>
        <v>16</v>
      </c>
      <c r="D746" s="347" t="str">
        <f t="shared" si="594"/>
        <v>e-Diesel (PS) - Americas - RE cost - USD/GJ</v>
      </c>
      <c r="F746" t="str" cm="1">
        <f t="array" ref="F746">INDEX(list_ME_fuel,$C746)</f>
        <v>e-Diesel (PS)</v>
      </c>
      <c r="L746" t="s">
        <v>199</v>
      </c>
      <c r="N746" t="str">
        <f t="shared" si="595"/>
        <v>RE cost - USD/GJ</v>
      </c>
      <c r="Q746" t="s">
        <v>324</v>
      </c>
      <c r="S746" s="18">
        <f>INDEX('Fuel Selector'!K$359:K$462,MATCH('TCO - Input'!$D746,'Fuel Selector'!$B$359:$B$462,0))</f>
        <v>23.668122870181104</v>
      </c>
      <c r="T746" s="18">
        <f>INDEX('Fuel Selector'!L$359:L$462,MATCH('TCO - Input'!$D746,'Fuel Selector'!$B$359:$B$462,0))</f>
        <v>21.232398197669912</v>
      </c>
      <c r="U746" s="18">
        <f>INDEX('Fuel Selector'!M$359:M$462,MATCH('TCO - Input'!$D746,'Fuel Selector'!$B$359:$B$462,0))</f>
        <v>17.106494456765258</v>
      </c>
      <c r="V746" s="18">
        <f>INDEX('Fuel Selector'!N$359:N$462,MATCH('TCO - Input'!$D746,'Fuel Selector'!$B$359:$B$462,0))</f>
        <v>14.711719552146169</v>
      </c>
      <c r="W746" s="18">
        <f>INDEX('Fuel Selector'!O$359:O$462,MATCH('TCO - Input'!$D746,'Fuel Selector'!$B$359:$B$462,0))</f>
        <v>12.677603803009871</v>
      </c>
      <c r="X746" s="18">
        <f>INDEX('Fuel Selector'!P$359:P$462,MATCH('TCO - Input'!$D746,'Fuel Selector'!$B$359:$B$462,0))</f>
        <v>11.369831114451204</v>
      </c>
      <c r="Y746" s="18">
        <f>INDEX('Fuel Selector'!Q$359:Q$462,MATCH('TCO - Input'!$D746,'Fuel Selector'!$B$359:$B$462,0))</f>
        <v>10.402811270966996</v>
      </c>
      <c r="Z746" s="18">
        <f>INDEX('Fuel Selector'!R$359:R$462,MATCH('TCO - Input'!$D746,'Fuel Selector'!$B$359:$B$462,0))</f>
        <v>10.402811270966996</v>
      </c>
      <c r="AA746" s="18">
        <f>INDEX('Fuel Selector'!S$359:S$462,MATCH('TCO - Input'!$D746,'Fuel Selector'!$B$359:$B$462,0))</f>
        <v>10.402811270966996</v>
      </c>
      <c r="AB746" s="18">
        <f>INDEX('Fuel Selector'!T$359:T$462,MATCH('TCO - Input'!$D746,'Fuel Selector'!$B$359:$B$462,0))</f>
        <v>10.402811270966996</v>
      </c>
      <c r="AC746" s="18">
        <f>INDEX('Fuel Selector'!U$359:U$462,MATCH('TCO - Input'!$D746,'Fuel Selector'!$B$359:$B$462,0))</f>
        <v>10.402811270966996</v>
      </c>
      <c r="AD746" s="18">
        <f>INDEX('Fuel Selector'!V$359:V$462,MATCH('TCO - Input'!$D746,'Fuel Selector'!$B$359:$B$462,0))</f>
        <v>10.402811270966996</v>
      </c>
    </row>
    <row r="747" spans="2:30" x14ac:dyDescent="0.2">
      <c r="B747"/>
      <c r="C747" s="48">
        <f t="shared" si="596"/>
        <v>17</v>
      </c>
      <c r="D747" s="347" t="str">
        <f t="shared" si="594"/>
        <v>Biodiesel (HtL blend) - Americas - RE cost - USD/GJ</v>
      </c>
      <c r="F747" t="str" cm="1">
        <f t="array" ref="F747">INDEX(list_ME_fuel,$C747)</f>
        <v>Biodiesel (HtL blend)</v>
      </c>
      <c r="L747" t="s">
        <v>199</v>
      </c>
      <c r="N747" t="str">
        <f t="shared" si="595"/>
        <v>RE cost - USD/GJ</v>
      </c>
      <c r="Q747" t="s">
        <v>324</v>
      </c>
      <c r="S747" s="18">
        <f>INDEX('Fuel Selector'!K$359:K$462,MATCH('TCO - Input'!$D747,'Fuel Selector'!$B$359:$B$462,0))</f>
        <v>0.24862903242799042</v>
      </c>
      <c r="T747" s="18">
        <f>INDEX('Fuel Selector'!L$359:L$462,MATCH('TCO - Input'!$D747,'Fuel Selector'!$B$359:$B$462,0))</f>
        <v>0.22439103637661656</v>
      </c>
      <c r="U747" s="18">
        <f>INDEX('Fuel Selector'!M$359:M$462,MATCH('TCO - Input'!$D747,'Fuel Selector'!$B$359:$B$462,0))</f>
        <v>0.18274828695545434</v>
      </c>
      <c r="V747" s="18">
        <f>INDEX('Fuel Selector'!N$359:N$462,MATCH('TCO - Input'!$D747,'Fuel Selector'!$B$359:$B$462,0))</f>
        <v>0.16250494958928227</v>
      </c>
      <c r="W747" s="18">
        <f>INDEX('Fuel Selector'!O$359:O$462,MATCH('TCO - Input'!$D747,'Fuel Selector'!$B$359:$B$462,0))</f>
        <v>0.14609872987175021</v>
      </c>
      <c r="X747" s="18">
        <f>INDEX('Fuel Selector'!P$359:P$462,MATCH('TCO - Input'!$D747,'Fuel Selector'!$B$359:$B$462,0))</f>
        <v>0.13921359844842401</v>
      </c>
      <c r="Y747" s="18">
        <f>INDEX('Fuel Selector'!Q$359:Q$462,MATCH('TCO - Input'!$D747,'Fuel Selector'!$B$359:$B$462,0))</f>
        <v>0.13392787115610413</v>
      </c>
      <c r="Z747" s="18">
        <f>INDEX('Fuel Selector'!R$359:R$462,MATCH('TCO - Input'!$D747,'Fuel Selector'!$B$359:$B$462,0))</f>
        <v>0.13392787115610413</v>
      </c>
      <c r="AA747" s="18">
        <f>INDEX('Fuel Selector'!S$359:S$462,MATCH('TCO - Input'!$D747,'Fuel Selector'!$B$359:$B$462,0))</f>
        <v>0.13392787115610413</v>
      </c>
      <c r="AB747" s="18">
        <f>INDEX('Fuel Selector'!T$359:T$462,MATCH('TCO - Input'!$D747,'Fuel Selector'!$B$359:$B$462,0))</f>
        <v>0.13392787115610413</v>
      </c>
      <c r="AC747" s="18">
        <f>INDEX('Fuel Selector'!U$359:U$462,MATCH('TCO - Input'!$D747,'Fuel Selector'!$B$359:$B$462,0))</f>
        <v>0.13392787115610413</v>
      </c>
      <c r="AD747" s="18">
        <f>INDEX('Fuel Selector'!V$359:V$462,MATCH('TCO - Input'!$D747,'Fuel Selector'!$B$359:$B$462,0))</f>
        <v>0.13392787115610413</v>
      </c>
    </row>
    <row r="748" spans="2:30" x14ac:dyDescent="0.2">
      <c r="B748"/>
      <c r="C748" s="48">
        <f t="shared" si="596"/>
        <v>18</v>
      </c>
      <c r="D748" s="347" t="str">
        <f t="shared" si="594"/>
        <v>Biodiesel (Pyr blend) - Americas - RE cost - USD/GJ</v>
      </c>
      <c r="F748" t="str" cm="1">
        <f t="array" ref="F748">INDEX(list_ME_fuel,$C748)</f>
        <v>Biodiesel (Pyr blend)</v>
      </c>
      <c r="L748" t="s">
        <v>199</v>
      </c>
      <c r="N748" t="str">
        <f t="shared" si="595"/>
        <v>RE cost - USD/GJ</v>
      </c>
      <c r="Q748" t="s">
        <v>324</v>
      </c>
      <c r="S748" s="18">
        <f>INDEX('Fuel Selector'!K$359:K$462,MATCH('TCO - Input'!$D748,'Fuel Selector'!$B$359:$B$462,0))</f>
        <v>0</v>
      </c>
      <c r="T748" s="18">
        <f>INDEX('Fuel Selector'!L$359:L$462,MATCH('TCO - Input'!$D748,'Fuel Selector'!$B$359:$B$462,0))</f>
        <v>0</v>
      </c>
      <c r="U748" s="18">
        <f>INDEX('Fuel Selector'!M$359:M$462,MATCH('TCO - Input'!$D748,'Fuel Selector'!$B$359:$B$462,0))</f>
        <v>0</v>
      </c>
      <c r="V748" s="18">
        <f>INDEX('Fuel Selector'!N$359:N$462,MATCH('TCO - Input'!$D748,'Fuel Selector'!$B$359:$B$462,0))</f>
        <v>0</v>
      </c>
      <c r="W748" s="18">
        <f>INDEX('Fuel Selector'!O$359:O$462,MATCH('TCO - Input'!$D748,'Fuel Selector'!$B$359:$B$462,0))</f>
        <v>0</v>
      </c>
      <c r="X748" s="18">
        <f>INDEX('Fuel Selector'!P$359:P$462,MATCH('TCO - Input'!$D748,'Fuel Selector'!$B$359:$B$462,0))</f>
        <v>0</v>
      </c>
      <c r="Y748" s="18">
        <f>INDEX('Fuel Selector'!Q$359:Q$462,MATCH('TCO - Input'!$D748,'Fuel Selector'!$B$359:$B$462,0))</f>
        <v>0</v>
      </c>
      <c r="Z748" s="18">
        <f>INDEX('Fuel Selector'!R$359:R$462,MATCH('TCO - Input'!$D748,'Fuel Selector'!$B$359:$B$462,0))</f>
        <v>0</v>
      </c>
      <c r="AA748" s="18">
        <f>INDEX('Fuel Selector'!S$359:S$462,MATCH('TCO - Input'!$D748,'Fuel Selector'!$B$359:$B$462,0))</f>
        <v>0</v>
      </c>
      <c r="AB748" s="18">
        <f>INDEX('Fuel Selector'!T$359:T$462,MATCH('TCO - Input'!$D748,'Fuel Selector'!$B$359:$B$462,0))</f>
        <v>0</v>
      </c>
      <c r="AC748" s="18">
        <f>INDEX('Fuel Selector'!U$359:U$462,MATCH('TCO - Input'!$D748,'Fuel Selector'!$B$359:$B$462,0))</f>
        <v>0</v>
      </c>
      <c r="AD748" s="18">
        <f>INDEX('Fuel Selector'!V$359:V$462,MATCH('TCO - Input'!$D748,'Fuel Selector'!$B$359:$B$462,0))</f>
        <v>0</v>
      </c>
    </row>
    <row r="749" spans="2:30" x14ac:dyDescent="0.2">
      <c r="B749"/>
      <c r="C749" s="48">
        <f t="shared" si="596"/>
        <v>19</v>
      </c>
      <c r="D749" s="347" t="str">
        <f t="shared" si="594"/>
        <v>Blue hydrogen (liquid) - Americas - RE cost - USD/GJ</v>
      </c>
      <c r="F749" t="str" cm="1">
        <f t="array" ref="F749">INDEX(list_ME_fuel,$C749)</f>
        <v>Blue hydrogen (liquid)</v>
      </c>
      <c r="L749" t="s">
        <v>199</v>
      </c>
      <c r="N749" t="str">
        <f t="shared" si="595"/>
        <v>RE cost - USD/GJ</v>
      </c>
      <c r="Q749" t="s">
        <v>324</v>
      </c>
      <c r="S749" s="18">
        <f>INDEX('Fuel Selector'!K$359:K$462,MATCH('TCO - Input'!$D749,'Fuel Selector'!$B$359:$B$462,0))</f>
        <v>0</v>
      </c>
      <c r="T749" s="18">
        <f>INDEX('Fuel Selector'!L$359:L$462,MATCH('TCO - Input'!$D749,'Fuel Selector'!$B$359:$B$462,0))</f>
        <v>0</v>
      </c>
      <c r="U749" s="18">
        <f>INDEX('Fuel Selector'!M$359:M$462,MATCH('TCO - Input'!$D749,'Fuel Selector'!$B$359:$B$462,0))</f>
        <v>0</v>
      </c>
      <c r="V749" s="18">
        <f>INDEX('Fuel Selector'!N$359:N$462,MATCH('TCO - Input'!$D749,'Fuel Selector'!$B$359:$B$462,0))</f>
        <v>0</v>
      </c>
      <c r="W749" s="18">
        <f>INDEX('Fuel Selector'!O$359:O$462,MATCH('TCO - Input'!$D749,'Fuel Selector'!$B$359:$B$462,0))</f>
        <v>0</v>
      </c>
      <c r="X749" s="18">
        <f>INDEX('Fuel Selector'!P$359:P$462,MATCH('TCO - Input'!$D749,'Fuel Selector'!$B$359:$B$462,0))</f>
        <v>0</v>
      </c>
      <c r="Y749" s="18">
        <f>INDEX('Fuel Selector'!Q$359:Q$462,MATCH('TCO - Input'!$D749,'Fuel Selector'!$B$359:$B$462,0))</f>
        <v>0</v>
      </c>
      <c r="Z749" s="18">
        <f>INDEX('Fuel Selector'!R$359:R$462,MATCH('TCO - Input'!$D749,'Fuel Selector'!$B$359:$B$462,0))</f>
        <v>0</v>
      </c>
      <c r="AA749" s="18">
        <f>INDEX('Fuel Selector'!S$359:S$462,MATCH('TCO - Input'!$D749,'Fuel Selector'!$B$359:$B$462,0))</f>
        <v>0</v>
      </c>
      <c r="AB749" s="18">
        <f>INDEX('Fuel Selector'!T$359:T$462,MATCH('TCO - Input'!$D749,'Fuel Selector'!$B$359:$B$462,0))</f>
        <v>0</v>
      </c>
      <c r="AC749" s="18">
        <f>INDEX('Fuel Selector'!U$359:U$462,MATCH('TCO - Input'!$D749,'Fuel Selector'!$B$359:$B$462,0))</f>
        <v>0</v>
      </c>
      <c r="AD749" s="18">
        <f>INDEX('Fuel Selector'!V$359:V$462,MATCH('TCO - Input'!$D749,'Fuel Selector'!$B$359:$B$462,0))</f>
        <v>0</v>
      </c>
    </row>
    <row r="750" spans="2:30" x14ac:dyDescent="0.2">
      <c r="B750"/>
      <c r="C750" s="48">
        <f t="shared" si="596"/>
        <v>20</v>
      </c>
      <c r="D750" s="347" t="str">
        <f t="shared" si="594"/>
        <v>e-Hydrogen (liquid) - Americas - RE cost - USD/GJ</v>
      </c>
      <c r="F750" t="str" cm="1">
        <f t="array" ref="F750">INDEX(list_ME_fuel,$C750)</f>
        <v>e-Hydrogen (liquid)</v>
      </c>
      <c r="L750" t="s">
        <v>199</v>
      </c>
      <c r="N750" t="str">
        <f t="shared" si="595"/>
        <v>RE cost - USD/GJ</v>
      </c>
      <c r="Q750" t="s">
        <v>324</v>
      </c>
      <c r="S750" s="18">
        <f>INDEX('Fuel Selector'!K$359:K$462,MATCH('TCO - Input'!$D750,'Fuel Selector'!$B$359:$B$462,0))</f>
        <v>20.52397230413596</v>
      </c>
      <c r="T750" s="18">
        <f>INDEX('Fuel Selector'!L$359:L$462,MATCH('TCO - Input'!$D750,'Fuel Selector'!$B$359:$B$462,0))</f>
        <v>18.44839126629164</v>
      </c>
      <c r="U750" s="18">
        <f>INDEX('Fuel Selector'!M$359:M$462,MATCH('TCO - Input'!$D750,'Fuel Selector'!$B$359:$B$462,0))</f>
        <v>14.908150832081544</v>
      </c>
      <c r="V750" s="18">
        <f>INDEX('Fuel Selector'!N$359:N$462,MATCH('TCO - Input'!$D750,'Fuel Selector'!$B$359:$B$462,0))</f>
        <v>12.898503859416648</v>
      </c>
      <c r="W750" s="18">
        <f>INDEX('Fuel Selector'!O$359:O$462,MATCH('TCO - Input'!$D750,'Fuel Selector'!$B$359:$B$462,0))</f>
        <v>11.198029140039242</v>
      </c>
      <c r="X750" s="18">
        <f>INDEX('Fuel Selector'!P$359:P$462,MATCH('TCO - Input'!$D750,'Fuel Selector'!$B$359:$B$462,0))</f>
        <v>10.148196992421246</v>
      </c>
      <c r="Y750" s="18">
        <f>INDEX('Fuel Selector'!Q$359:Q$462,MATCH('TCO - Input'!$D750,'Fuel Selector'!$B$359:$B$462,0))</f>
        <v>9.3719855000751302</v>
      </c>
      <c r="Z750" s="18">
        <f>INDEX('Fuel Selector'!R$359:R$462,MATCH('TCO - Input'!$D750,'Fuel Selector'!$B$359:$B$462,0))</f>
        <v>9.3719855000751302</v>
      </c>
      <c r="AA750" s="18">
        <f>INDEX('Fuel Selector'!S$359:S$462,MATCH('TCO - Input'!$D750,'Fuel Selector'!$B$359:$B$462,0))</f>
        <v>9.3719855000751302</v>
      </c>
      <c r="AB750" s="18">
        <f>INDEX('Fuel Selector'!T$359:T$462,MATCH('TCO - Input'!$D750,'Fuel Selector'!$B$359:$B$462,0))</f>
        <v>9.3719855000751302</v>
      </c>
      <c r="AC750" s="18">
        <f>INDEX('Fuel Selector'!U$359:U$462,MATCH('TCO - Input'!$D750,'Fuel Selector'!$B$359:$B$462,0))</f>
        <v>9.3719855000751302</v>
      </c>
      <c r="AD750" s="18">
        <f>INDEX('Fuel Selector'!V$359:V$462,MATCH('TCO - Input'!$D750,'Fuel Selector'!$B$359:$B$462,0))</f>
        <v>9.3719855000751302</v>
      </c>
    </row>
    <row r="751" spans="2:30" x14ac:dyDescent="0.2">
      <c r="B751"/>
      <c r="C751"/>
      <c r="D751"/>
    </row>
    <row r="752" spans="2:30" x14ac:dyDescent="0.2">
      <c r="B752"/>
      <c r="C752" s="48">
        <v>1</v>
      </c>
      <c r="D752" s="347" t="str">
        <f t="shared" ref="D752:D771" si="597">_xlfn.TEXTJOIN(keydelim,TRUE,E752:N752)</f>
        <v>LSFO - Africa&amp;Other - RE cost - USD/GJ</v>
      </c>
      <c r="F752" t="str" cm="1">
        <f t="array" ref="F752">INDEX(list_ME_fuel,$C752)</f>
        <v>LSFO</v>
      </c>
      <c r="L752" t="s">
        <v>498</v>
      </c>
      <c r="N752" t="str">
        <f t="shared" ref="N752:N771" si="598">"RE cost"  &amp;keydelim&amp;Q752</f>
        <v>RE cost - USD/GJ</v>
      </c>
      <c r="O752" s="224"/>
      <c r="P752" s="224"/>
      <c r="Q752" t="s">
        <v>324</v>
      </c>
      <c r="R752" s="14"/>
      <c r="S752" s="18">
        <f>INDEX('Fuel Selector'!K$359:K$462,MATCH('TCO - Input'!$D752,'Fuel Selector'!$B$359:$B$462,0))</f>
        <v>0</v>
      </c>
      <c r="T752" s="18">
        <f>INDEX('Fuel Selector'!L$359:L$462,MATCH('TCO - Input'!$D752,'Fuel Selector'!$B$359:$B$462,0))</f>
        <v>0</v>
      </c>
      <c r="U752" s="18">
        <f>INDEX('Fuel Selector'!M$359:M$462,MATCH('TCO - Input'!$D752,'Fuel Selector'!$B$359:$B$462,0))</f>
        <v>0</v>
      </c>
      <c r="V752" s="18">
        <f>INDEX('Fuel Selector'!N$359:N$462,MATCH('TCO - Input'!$D752,'Fuel Selector'!$B$359:$B$462,0))</f>
        <v>0</v>
      </c>
      <c r="W752" s="18">
        <f>INDEX('Fuel Selector'!O$359:O$462,MATCH('TCO - Input'!$D752,'Fuel Selector'!$B$359:$B$462,0))</f>
        <v>0</v>
      </c>
      <c r="X752" s="18">
        <f>INDEX('Fuel Selector'!P$359:P$462,MATCH('TCO - Input'!$D752,'Fuel Selector'!$B$359:$B$462,0))</f>
        <v>0</v>
      </c>
      <c r="Y752" s="18">
        <f>INDEX('Fuel Selector'!Q$359:Q$462,MATCH('TCO - Input'!$D752,'Fuel Selector'!$B$359:$B$462,0))</f>
        <v>0</v>
      </c>
      <c r="Z752" s="18">
        <f>INDEX('Fuel Selector'!R$359:R$462,MATCH('TCO - Input'!$D752,'Fuel Selector'!$B$359:$B$462,0))</f>
        <v>0</v>
      </c>
      <c r="AA752" s="18">
        <f>INDEX('Fuel Selector'!S$359:S$462,MATCH('TCO - Input'!$D752,'Fuel Selector'!$B$359:$B$462,0))</f>
        <v>0</v>
      </c>
      <c r="AB752" s="18">
        <f>INDEX('Fuel Selector'!T$359:T$462,MATCH('TCO - Input'!$D752,'Fuel Selector'!$B$359:$B$462,0))</f>
        <v>0</v>
      </c>
      <c r="AC752" s="18">
        <f>INDEX('Fuel Selector'!U$359:U$462,MATCH('TCO - Input'!$D752,'Fuel Selector'!$B$359:$B$462,0))</f>
        <v>0</v>
      </c>
      <c r="AD752" s="18">
        <f>INDEX('Fuel Selector'!V$359:V$462,MATCH('TCO - Input'!$D752,'Fuel Selector'!$B$359:$B$462,0))</f>
        <v>0</v>
      </c>
    </row>
    <row r="753" spans="2:30" x14ac:dyDescent="0.2">
      <c r="B753"/>
      <c r="C753" s="48">
        <f>+C752+1</f>
        <v>2</v>
      </c>
      <c r="D753" s="347" t="str">
        <f t="shared" si="597"/>
        <v>LNG - Africa&amp;Other - RE cost - USD/GJ</v>
      </c>
      <c r="F753" t="str" cm="1">
        <f t="array" ref="F753">INDEX(list_ME_fuel,$C753)</f>
        <v>LNG</v>
      </c>
      <c r="L753" t="s">
        <v>498</v>
      </c>
      <c r="N753" t="str">
        <f t="shared" si="598"/>
        <v>RE cost - USD/GJ</v>
      </c>
      <c r="Q753" t="s">
        <v>324</v>
      </c>
      <c r="S753" s="18">
        <f>INDEX('Fuel Selector'!K$359:K$462,MATCH('TCO - Input'!$D753,'Fuel Selector'!$B$359:$B$462,0))</f>
        <v>0</v>
      </c>
      <c r="T753" s="18">
        <f>INDEX('Fuel Selector'!L$359:L$462,MATCH('TCO - Input'!$D753,'Fuel Selector'!$B$359:$B$462,0))</f>
        <v>0</v>
      </c>
      <c r="U753" s="18">
        <f>INDEX('Fuel Selector'!M$359:M$462,MATCH('TCO - Input'!$D753,'Fuel Selector'!$B$359:$B$462,0))</f>
        <v>0</v>
      </c>
      <c r="V753" s="18">
        <f>INDEX('Fuel Selector'!N$359:N$462,MATCH('TCO - Input'!$D753,'Fuel Selector'!$B$359:$B$462,0))</f>
        <v>0</v>
      </c>
      <c r="W753" s="18">
        <f>INDEX('Fuel Selector'!O$359:O$462,MATCH('TCO - Input'!$D753,'Fuel Selector'!$B$359:$B$462,0))</f>
        <v>0</v>
      </c>
      <c r="X753" s="18">
        <f>INDEX('Fuel Selector'!P$359:P$462,MATCH('TCO - Input'!$D753,'Fuel Selector'!$B$359:$B$462,0))</f>
        <v>0</v>
      </c>
      <c r="Y753" s="18">
        <f>INDEX('Fuel Selector'!Q$359:Q$462,MATCH('TCO - Input'!$D753,'Fuel Selector'!$B$359:$B$462,0))</f>
        <v>0</v>
      </c>
      <c r="Z753" s="18">
        <f>INDEX('Fuel Selector'!R$359:R$462,MATCH('TCO - Input'!$D753,'Fuel Selector'!$B$359:$B$462,0))</f>
        <v>0</v>
      </c>
      <c r="AA753" s="18">
        <f>INDEX('Fuel Selector'!S$359:S$462,MATCH('TCO - Input'!$D753,'Fuel Selector'!$B$359:$B$462,0))</f>
        <v>0</v>
      </c>
      <c r="AB753" s="18">
        <f>INDEX('Fuel Selector'!T$359:T$462,MATCH('TCO - Input'!$D753,'Fuel Selector'!$B$359:$B$462,0))</f>
        <v>0</v>
      </c>
      <c r="AC753" s="18">
        <f>INDEX('Fuel Selector'!U$359:U$462,MATCH('TCO - Input'!$D753,'Fuel Selector'!$B$359:$B$462,0))</f>
        <v>0</v>
      </c>
      <c r="AD753" s="18">
        <f>INDEX('Fuel Selector'!V$359:V$462,MATCH('TCO - Input'!$D753,'Fuel Selector'!$B$359:$B$462,0))</f>
        <v>0</v>
      </c>
    </row>
    <row r="754" spans="2:30" x14ac:dyDescent="0.2">
      <c r="B754"/>
      <c r="C754" s="48">
        <f t="shared" ref="C754:C771" si="599">+C753+1</f>
        <v>3</v>
      </c>
      <c r="D754" s="347" t="str">
        <f t="shared" si="597"/>
        <v>LPG - Africa&amp;Other - RE cost - USD/GJ</v>
      </c>
      <c r="F754" t="str" cm="1">
        <f t="array" ref="F754">INDEX(list_ME_fuel,$C754)</f>
        <v>LPG</v>
      </c>
      <c r="L754" t="s">
        <v>498</v>
      </c>
      <c r="N754" t="str">
        <f t="shared" si="598"/>
        <v>RE cost - USD/GJ</v>
      </c>
      <c r="Q754" t="s">
        <v>324</v>
      </c>
      <c r="S754" s="18">
        <f>INDEX('Fuel Selector'!K$359:K$462,MATCH('TCO - Input'!$D754,'Fuel Selector'!$B$359:$B$462,0))</f>
        <v>0</v>
      </c>
      <c r="T754" s="18">
        <f>INDEX('Fuel Selector'!L$359:L$462,MATCH('TCO - Input'!$D754,'Fuel Selector'!$B$359:$B$462,0))</f>
        <v>0</v>
      </c>
      <c r="U754" s="18">
        <f>INDEX('Fuel Selector'!M$359:M$462,MATCH('TCO - Input'!$D754,'Fuel Selector'!$B$359:$B$462,0))</f>
        <v>0</v>
      </c>
      <c r="V754" s="18">
        <f>INDEX('Fuel Selector'!N$359:N$462,MATCH('TCO - Input'!$D754,'Fuel Selector'!$B$359:$B$462,0))</f>
        <v>0</v>
      </c>
      <c r="W754" s="18">
        <f>INDEX('Fuel Selector'!O$359:O$462,MATCH('TCO - Input'!$D754,'Fuel Selector'!$B$359:$B$462,0))</f>
        <v>0</v>
      </c>
      <c r="X754" s="18">
        <f>INDEX('Fuel Selector'!P$359:P$462,MATCH('TCO - Input'!$D754,'Fuel Selector'!$B$359:$B$462,0))</f>
        <v>0</v>
      </c>
      <c r="Y754" s="18">
        <f>INDEX('Fuel Selector'!Q$359:Q$462,MATCH('TCO - Input'!$D754,'Fuel Selector'!$B$359:$B$462,0))</f>
        <v>0</v>
      </c>
      <c r="Z754" s="18">
        <f>INDEX('Fuel Selector'!R$359:R$462,MATCH('TCO - Input'!$D754,'Fuel Selector'!$B$359:$B$462,0))</f>
        <v>0</v>
      </c>
      <c r="AA754" s="18">
        <f>INDEX('Fuel Selector'!S$359:S$462,MATCH('TCO - Input'!$D754,'Fuel Selector'!$B$359:$B$462,0))</f>
        <v>0</v>
      </c>
      <c r="AB754" s="18">
        <f>INDEX('Fuel Selector'!T$359:T$462,MATCH('TCO - Input'!$D754,'Fuel Selector'!$B$359:$B$462,0))</f>
        <v>0</v>
      </c>
      <c r="AC754" s="18">
        <f>INDEX('Fuel Selector'!U$359:U$462,MATCH('TCO - Input'!$D754,'Fuel Selector'!$B$359:$B$462,0))</f>
        <v>0</v>
      </c>
      <c r="AD754" s="18">
        <f>INDEX('Fuel Selector'!V$359:V$462,MATCH('TCO - Input'!$D754,'Fuel Selector'!$B$359:$B$462,0))</f>
        <v>0</v>
      </c>
    </row>
    <row r="755" spans="2:30" x14ac:dyDescent="0.2">
      <c r="B755"/>
      <c r="C755" s="48">
        <f t="shared" si="599"/>
        <v>4</v>
      </c>
      <c r="D755" s="347" t="str">
        <f t="shared" si="597"/>
        <v>Electricity - Africa&amp;Other - RE cost - USD/GJ</v>
      </c>
      <c r="F755" t="str" cm="1">
        <f t="array" ref="F755">INDEX(list_ME_fuel,$C755)</f>
        <v>Electricity</v>
      </c>
      <c r="L755" t="s">
        <v>498</v>
      </c>
      <c r="N755" t="str">
        <f t="shared" si="598"/>
        <v>RE cost - USD/GJ</v>
      </c>
      <c r="Q755" t="str">
        <f t="shared" ref="Q755:Q771" si="600">+Q754</f>
        <v>USD/GJ</v>
      </c>
      <c r="S755" s="18">
        <f>INDEX('Fuel Selector'!K$359:K$462,MATCH('TCO - Input'!$D755,'Fuel Selector'!$B$359:$B$462,0))</f>
        <v>0</v>
      </c>
      <c r="T755" s="18">
        <f>INDEX('Fuel Selector'!L$359:L$462,MATCH('TCO - Input'!$D755,'Fuel Selector'!$B$359:$B$462,0))</f>
        <v>0</v>
      </c>
      <c r="U755" s="18">
        <f>INDEX('Fuel Selector'!M$359:M$462,MATCH('TCO - Input'!$D755,'Fuel Selector'!$B$359:$B$462,0))</f>
        <v>0</v>
      </c>
      <c r="V755" s="18">
        <f>INDEX('Fuel Selector'!N$359:N$462,MATCH('TCO - Input'!$D755,'Fuel Selector'!$B$359:$B$462,0))</f>
        <v>0</v>
      </c>
      <c r="W755" s="18">
        <f>INDEX('Fuel Selector'!O$359:O$462,MATCH('TCO - Input'!$D755,'Fuel Selector'!$B$359:$B$462,0))</f>
        <v>0</v>
      </c>
      <c r="X755" s="18">
        <f>INDEX('Fuel Selector'!P$359:P$462,MATCH('TCO - Input'!$D755,'Fuel Selector'!$B$359:$B$462,0))</f>
        <v>0</v>
      </c>
      <c r="Y755" s="18">
        <f>INDEX('Fuel Selector'!Q$359:Q$462,MATCH('TCO - Input'!$D755,'Fuel Selector'!$B$359:$B$462,0))</f>
        <v>0</v>
      </c>
      <c r="Z755" s="18">
        <f>INDEX('Fuel Selector'!R$359:R$462,MATCH('TCO - Input'!$D755,'Fuel Selector'!$B$359:$B$462,0))</f>
        <v>0</v>
      </c>
      <c r="AA755" s="18">
        <f>INDEX('Fuel Selector'!S$359:S$462,MATCH('TCO - Input'!$D755,'Fuel Selector'!$B$359:$B$462,0))</f>
        <v>0</v>
      </c>
      <c r="AB755" s="18">
        <f>INDEX('Fuel Selector'!T$359:T$462,MATCH('TCO - Input'!$D755,'Fuel Selector'!$B$359:$B$462,0))</f>
        <v>0</v>
      </c>
      <c r="AC755" s="18">
        <f>INDEX('Fuel Selector'!U$359:U$462,MATCH('TCO - Input'!$D755,'Fuel Selector'!$B$359:$B$462,0))</f>
        <v>0</v>
      </c>
      <c r="AD755" s="18">
        <f>INDEX('Fuel Selector'!V$359:V$462,MATCH('TCO - Input'!$D755,'Fuel Selector'!$B$359:$B$462,0))</f>
        <v>0</v>
      </c>
    </row>
    <row r="756" spans="2:30" x14ac:dyDescent="0.2">
      <c r="B756"/>
      <c r="C756" s="48">
        <f t="shared" si="599"/>
        <v>5</v>
      </c>
      <c r="D756" s="347" t="str">
        <f t="shared" si="597"/>
        <v>e-Ammonia - Africa&amp;Other - RE cost - USD/GJ</v>
      </c>
      <c r="F756" t="str" cm="1">
        <f t="array" ref="F756">INDEX(list_ME_fuel,$C756)</f>
        <v>e-Ammonia</v>
      </c>
      <c r="L756" t="s">
        <v>498</v>
      </c>
      <c r="N756" t="str">
        <f t="shared" si="598"/>
        <v>RE cost - USD/GJ</v>
      </c>
      <c r="Q756" t="str">
        <f t="shared" si="600"/>
        <v>USD/GJ</v>
      </c>
      <c r="S756" s="18">
        <f>INDEX('Fuel Selector'!K$359:K$462,MATCH('TCO - Input'!$D756,'Fuel Selector'!$B$359:$B$462,0))</f>
        <v>42.066524921255279</v>
      </c>
      <c r="T756" s="18">
        <f>INDEX('Fuel Selector'!L$359:L$462,MATCH('TCO - Input'!$D756,'Fuel Selector'!$B$359:$B$462,0))</f>
        <v>23.692954895809098</v>
      </c>
      <c r="U756" s="18">
        <f>INDEX('Fuel Selector'!M$359:M$462,MATCH('TCO - Input'!$D756,'Fuel Selector'!$B$359:$B$462,0))</f>
        <v>18.383738993823446</v>
      </c>
      <c r="V756" s="18">
        <f>INDEX('Fuel Selector'!N$359:N$462,MATCH('TCO - Input'!$D756,'Fuel Selector'!$B$359:$B$462,0))</f>
        <v>15.048294687420533</v>
      </c>
      <c r="W756" s="18">
        <f>INDEX('Fuel Selector'!O$359:O$462,MATCH('TCO - Input'!$D756,'Fuel Selector'!$B$359:$B$462,0))</f>
        <v>13.182587568560878</v>
      </c>
      <c r="X756" s="18">
        <f>INDEX('Fuel Selector'!P$359:P$462,MATCH('TCO - Input'!$D756,'Fuel Selector'!$B$359:$B$462,0))</f>
        <v>11.214955758883708</v>
      </c>
      <c r="Y756" s="18">
        <f>INDEX('Fuel Selector'!Q$359:Q$462,MATCH('TCO - Input'!$D756,'Fuel Selector'!$B$359:$B$462,0))</f>
        <v>10.101524629249944</v>
      </c>
      <c r="Z756" s="18">
        <f>INDEX('Fuel Selector'!R$359:R$462,MATCH('TCO - Input'!$D756,'Fuel Selector'!$B$359:$B$462,0))</f>
        <v>10.101524629249944</v>
      </c>
      <c r="AA756" s="18">
        <f>INDEX('Fuel Selector'!S$359:S$462,MATCH('TCO - Input'!$D756,'Fuel Selector'!$B$359:$B$462,0))</f>
        <v>10.101524629249944</v>
      </c>
      <c r="AB756" s="18">
        <f>INDEX('Fuel Selector'!T$359:T$462,MATCH('TCO - Input'!$D756,'Fuel Selector'!$B$359:$B$462,0))</f>
        <v>10.101524629249944</v>
      </c>
      <c r="AC756" s="18">
        <f>INDEX('Fuel Selector'!U$359:U$462,MATCH('TCO - Input'!$D756,'Fuel Selector'!$B$359:$B$462,0))</f>
        <v>10.101524629249944</v>
      </c>
      <c r="AD756" s="18">
        <f>INDEX('Fuel Selector'!V$359:V$462,MATCH('TCO - Input'!$D756,'Fuel Selector'!$B$359:$B$462,0))</f>
        <v>10.101524629249944</v>
      </c>
    </row>
    <row r="757" spans="2:30" x14ac:dyDescent="0.2">
      <c r="C757" s="48">
        <f t="shared" si="599"/>
        <v>6</v>
      </c>
      <c r="D757" s="347" t="str">
        <f t="shared" si="597"/>
        <v>Blue ammonia - Africa&amp;Other - RE cost - USD/GJ</v>
      </c>
      <c r="F757" t="str" cm="1">
        <f t="array" ref="F757">INDEX(list_ME_fuel,$C757)</f>
        <v>Blue ammonia</v>
      </c>
      <c r="L757" t="s">
        <v>498</v>
      </c>
      <c r="N757" t="str">
        <f t="shared" si="598"/>
        <v>RE cost - USD/GJ</v>
      </c>
      <c r="Q757" t="str">
        <f t="shared" si="600"/>
        <v>USD/GJ</v>
      </c>
      <c r="S757" s="18">
        <f>INDEX('Fuel Selector'!K$359:K$462,MATCH('TCO - Input'!$D757,'Fuel Selector'!$B$359:$B$462,0))</f>
        <v>0</v>
      </c>
      <c r="T757" s="18">
        <f>INDEX('Fuel Selector'!L$359:L$462,MATCH('TCO - Input'!$D757,'Fuel Selector'!$B$359:$B$462,0))</f>
        <v>0</v>
      </c>
      <c r="U757" s="18">
        <f>INDEX('Fuel Selector'!M$359:M$462,MATCH('TCO - Input'!$D757,'Fuel Selector'!$B$359:$B$462,0))</f>
        <v>0</v>
      </c>
      <c r="V757" s="18">
        <f>INDEX('Fuel Selector'!N$359:N$462,MATCH('TCO - Input'!$D757,'Fuel Selector'!$B$359:$B$462,0))</f>
        <v>0</v>
      </c>
      <c r="W757" s="18">
        <f>INDEX('Fuel Selector'!O$359:O$462,MATCH('TCO - Input'!$D757,'Fuel Selector'!$B$359:$B$462,0))</f>
        <v>0</v>
      </c>
      <c r="X757" s="18">
        <f>INDEX('Fuel Selector'!P$359:P$462,MATCH('TCO - Input'!$D757,'Fuel Selector'!$B$359:$B$462,0))</f>
        <v>0</v>
      </c>
      <c r="Y757" s="18">
        <f>INDEX('Fuel Selector'!Q$359:Q$462,MATCH('TCO - Input'!$D757,'Fuel Selector'!$B$359:$B$462,0))</f>
        <v>0</v>
      </c>
      <c r="Z757" s="18">
        <f>INDEX('Fuel Selector'!R$359:R$462,MATCH('TCO - Input'!$D757,'Fuel Selector'!$B$359:$B$462,0))</f>
        <v>0</v>
      </c>
      <c r="AA757" s="18">
        <f>INDEX('Fuel Selector'!S$359:S$462,MATCH('TCO - Input'!$D757,'Fuel Selector'!$B$359:$B$462,0))</f>
        <v>0</v>
      </c>
      <c r="AB757" s="18">
        <f>INDEX('Fuel Selector'!T$359:T$462,MATCH('TCO - Input'!$D757,'Fuel Selector'!$B$359:$B$462,0))</f>
        <v>0</v>
      </c>
      <c r="AC757" s="18">
        <f>INDEX('Fuel Selector'!U$359:U$462,MATCH('TCO - Input'!$D757,'Fuel Selector'!$B$359:$B$462,0))</f>
        <v>0</v>
      </c>
      <c r="AD757" s="18">
        <f>INDEX('Fuel Selector'!V$359:V$462,MATCH('TCO - Input'!$D757,'Fuel Selector'!$B$359:$B$462,0))</f>
        <v>0</v>
      </c>
    </row>
    <row r="758" spans="2:30" x14ac:dyDescent="0.2">
      <c r="C758" s="48">
        <f t="shared" si="599"/>
        <v>7</v>
      </c>
      <c r="D758" s="347" t="str">
        <f t="shared" si="597"/>
        <v>Biomethane - Africa&amp;Other - RE cost - USD/GJ</v>
      </c>
      <c r="F758" t="str" cm="1">
        <f t="array" ref="F758">INDEX(list_ME_fuel,$C758)</f>
        <v>Biomethane</v>
      </c>
      <c r="L758" t="s">
        <v>498</v>
      </c>
      <c r="N758" t="str">
        <f t="shared" si="598"/>
        <v>RE cost - USD/GJ</v>
      </c>
      <c r="Q758" t="str">
        <f t="shared" si="600"/>
        <v>USD/GJ</v>
      </c>
      <c r="S758" s="18">
        <f>INDEX('Fuel Selector'!K$359:K$462,MATCH('TCO - Input'!$D758,'Fuel Selector'!$B$359:$B$462,0))</f>
        <v>0</v>
      </c>
      <c r="T758" s="18">
        <f>INDEX('Fuel Selector'!L$359:L$462,MATCH('TCO - Input'!$D758,'Fuel Selector'!$B$359:$B$462,0))</f>
        <v>0</v>
      </c>
      <c r="U758" s="18">
        <f>INDEX('Fuel Selector'!M$359:M$462,MATCH('TCO - Input'!$D758,'Fuel Selector'!$B$359:$B$462,0))</f>
        <v>0</v>
      </c>
      <c r="V758" s="18">
        <f>INDEX('Fuel Selector'!N$359:N$462,MATCH('TCO - Input'!$D758,'Fuel Selector'!$B$359:$B$462,0))</f>
        <v>0</v>
      </c>
      <c r="W758" s="18">
        <f>INDEX('Fuel Selector'!O$359:O$462,MATCH('TCO - Input'!$D758,'Fuel Selector'!$B$359:$B$462,0))</f>
        <v>0</v>
      </c>
      <c r="X758" s="18">
        <f>INDEX('Fuel Selector'!P$359:P$462,MATCH('TCO - Input'!$D758,'Fuel Selector'!$B$359:$B$462,0))</f>
        <v>0</v>
      </c>
      <c r="Y758" s="18">
        <f>INDEX('Fuel Selector'!Q$359:Q$462,MATCH('TCO - Input'!$D758,'Fuel Selector'!$B$359:$B$462,0))</f>
        <v>0</v>
      </c>
      <c r="Z758" s="18">
        <f>INDEX('Fuel Selector'!R$359:R$462,MATCH('TCO - Input'!$D758,'Fuel Selector'!$B$359:$B$462,0))</f>
        <v>0</v>
      </c>
      <c r="AA758" s="18">
        <f>INDEX('Fuel Selector'!S$359:S$462,MATCH('TCO - Input'!$D758,'Fuel Selector'!$B$359:$B$462,0))</f>
        <v>0</v>
      </c>
      <c r="AB758" s="18">
        <f>INDEX('Fuel Selector'!T$359:T$462,MATCH('TCO - Input'!$D758,'Fuel Selector'!$B$359:$B$462,0))</f>
        <v>0</v>
      </c>
      <c r="AC758" s="18">
        <f>INDEX('Fuel Selector'!U$359:U$462,MATCH('TCO - Input'!$D758,'Fuel Selector'!$B$359:$B$462,0))</f>
        <v>0</v>
      </c>
      <c r="AD758" s="18">
        <f>INDEX('Fuel Selector'!V$359:V$462,MATCH('TCO - Input'!$D758,'Fuel Selector'!$B$359:$B$462,0))</f>
        <v>0</v>
      </c>
    </row>
    <row r="759" spans="2:30" x14ac:dyDescent="0.2">
      <c r="C759" s="48">
        <f t="shared" si="599"/>
        <v>8</v>
      </c>
      <c r="D759" s="347" t="str">
        <f t="shared" si="597"/>
        <v>e-Methane (DAC) - Africa&amp;Other - RE cost - USD/GJ</v>
      </c>
      <c r="F759" t="str" cm="1">
        <f t="array" ref="F759">INDEX(list_ME_fuel,$C759)</f>
        <v>e-Methane (DAC)</v>
      </c>
      <c r="L759" t="s">
        <v>498</v>
      </c>
      <c r="N759" t="str">
        <f t="shared" si="598"/>
        <v>RE cost - USD/GJ</v>
      </c>
      <c r="Q759" t="str">
        <f t="shared" si="600"/>
        <v>USD/GJ</v>
      </c>
      <c r="S759" s="18">
        <f>INDEX('Fuel Selector'!K$359:K$462,MATCH('TCO - Input'!$D759,'Fuel Selector'!$B$359:$B$462,0))</f>
        <v>43.471165477065597</v>
      </c>
      <c r="T759" s="18">
        <f>INDEX('Fuel Selector'!L$359:L$462,MATCH('TCO - Input'!$D759,'Fuel Selector'!$B$359:$B$462,0))</f>
        <v>24.482878487320328</v>
      </c>
      <c r="U759" s="18">
        <f>INDEX('Fuel Selector'!M$359:M$462,MATCH('TCO - Input'!$D759,'Fuel Selector'!$B$359:$B$462,0))</f>
        <v>18.993976393255043</v>
      </c>
      <c r="V759" s="18">
        <f>INDEX('Fuel Selector'!N$359:N$462,MATCH('TCO - Input'!$D759,'Fuel Selector'!$B$359:$B$462,0))</f>
        <v>15.541705104583318</v>
      </c>
      <c r="W759" s="18">
        <f>INDEX('Fuel Selector'!O$359:O$462,MATCH('TCO - Input'!$D759,'Fuel Selector'!$B$359:$B$462,0))</f>
        <v>13.607864187451167</v>
      </c>
      <c r="X759" s="18">
        <f>INDEX('Fuel Selector'!P$359:P$462,MATCH('TCO - Input'!$D759,'Fuel Selector'!$B$359:$B$462,0))</f>
        <v>11.567986625119689</v>
      </c>
      <c r="Y759" s="18">
        <f>INDEX('Fuel Selector'!Q$359:Q$462,MATCH('TCO - Input'!$D759,'Fuel Selector'!$B$359:$B$462,0))</f>
        <v>10.412532467841384</v>
      </c>
      <c r="Z759" s="18">
        <f>INDEX('Fuel Selector'!R$359:R$462,MATCH('TCO - Input'!$D759,'Fuel Selector'!$B$359:$B$462,0))</f>
        <v>10.412532467841384</v>
      </c>
      <c r="AA759" s="18">
        <f>INDEX('Fuel Selector'!S$359:S$462,MATCH('TCO - Input'!$D759,'Fuel Selector'!$B$359:$B$462,0))</f>
        <v>10.412532467841384</v>
      </c>
      <c r="AB759" s="18">
        <f>INDEX('Fuel Selector'!T$359:T$462,MATCH('TCO - Input'!$D759,'Fuel Selector'!$B$359:$B$462,0))</f>
        <v>10.412532467841384</v>
      </c>
      <c r="AC759" s="18">
        <f>INDEX('Fuel Selector'!U$359:U$462,MATCH('TCO - Input'!$D759,'Fuel Selector'!$B$359:$B$462,0))</f>
        <v>10.412532467841384</v>
      </c>
      <c r="AD759" s="18">
        <f>INDEX('Fuel Selector'!V$359:V$462,MATCH('TCO - Input'!$D759,'Fuel Selector'!$B$359:$B$462,0))</f>
        <v>10.412532467841384</v>
      </c>
    </row>
    <row r="760" spans="2:30" x14ac:dyDescent="0.2">
      <c r="C760" s="48">
        <f t="shared" si="599"/>
        <v>9</v>
      </c>
      <c r="D760" s="347" t="str">
        <f t="shared" si="597"/>
        <v>e-Methane (PS) - Africa&amp;Other - RE cost - USD/GJ</v>
      </c>
      <c r="F760" t="str" cm="1">
        <f t="array" ref="F760">INDEX(list_ME_fuel,$C760)</f>
        <v>e-Methane (PS)</v>
      </c>
      <c r="L760" t="s">
        <v>498</v>
      </c>
      <c r="N760" t="str">
        <f t="shared" si="598"/>
        <v>RE cost - USD/GJ</v>
      </c>
      <c r="Q760" t="str">
        <f t="shared" si="600"/>
        <v>USD/GJ</v>
      </c>
      <c r="S760" s="18">
        <f>INDEX('Fuel Selector'!K$359:K$462,MATCH('TCO - Input'!$D760,'Fuel Selector'!$B$359:$B$462,0))</f>
        <v>43.471165477065597</v>
      </c>
      <c r="T760" s="18">
        <f>INDEX('Fuel Selector'!L$359:L$462,MATCH('TCO - Input'!$D760,'Fuel Selector'!$B$359:$B$462,0))</f>
        <v>24.482878487320328</v>
      </c>
      <c r="U760" s="18">
        <f>INDEX('Fuel Selector'!M$359:M$462,MATCH('TCO - Input'!$D760,'Fuel Selector'!$B$359:$B$462,0))</f>
        <v>18.993976393255043</v>
      </c>
      <c r="V760" s="18">
        <f>INDEX('Fuel Selector'!N$359:N$462,MATCH('TCO - Input'!$D760,'Fuel Selector'!$B$359:$B$462,0))</f>
        <v>15.541705104583318</v>
      </c>
      <c r="W760" s="18">
        <f>INDEX('Fuel Selector'!O$359:O$462,MATCH('TCO - Input'!$D760,'Fuel Selector'!$B$359:$B$462,0))</f>
        <v>13.607864187451167</v>
      </c>
      <c r="X760" s="18">
        <f>INDEX('Fuel Selector'!P$359:P$462,MATCH('TCO - Input'!$D760,'Fuel Selector'!$B$359:$B$462,0))</f>
        <v>11.567986625119689</v>
      </c>
      <c r="Y760" s="18">
        <f>INDEX('Fuel Selector'!Q$359:Q$462,MATCH('TCO - Input'!$D760,'Fuel Selector'!$B$359:$B$462,0))</f>
        <v>10.412532467841384</v>
      </c>
      <c r="Z760" s="18">
        <f>INDEX('Fuel Selector'!R$359:R$462,MATCH('TCO - Input'!$D760,'Fuel Selector'!$B$359:$B$462,0))</f>
        <v>10.412532467841384</v>
      </c>
      <c r="AA760" s="18">
        <f>INDEX('Fuel Selector'!S$359:S$462,MATCH('TCO - Input'!$D760,'Fuel Selector'!$B$359:$B$462,0))</f>
        <v>10.412532467841384</v>
      </c>
      <c r="AB760" s="18">
        <f>INDEX('Fuel Selector'!T$359:T$462,MATCH('TCO - Input'!$D760,'Fuel Selector'!$B$359:$B$462,0))</f>
        <v>10.412532467841384</v>
      </c>
      <c r="AC760" s="18">
        <f>INDEX('Fuel Selector'!U$359:U$462,MATCH('TCO - Input'!$D760,'Fuel Selector'!$B$359:$B$462,0))</f>
        <v>10.412532467841384</v>
      </c>
      <c r="AD760" s="18">
        <f>INDEX('Fuel Selector'!V$359:V$462,MATCH('TCO - Input'!$D760,'Fuel Selector'!$B$359:$B$462,0))</f>
        <v>10.412532467841384</v>
      </c>
    </row>
    <row r="761" spans="2:30" x14ac:dyDescent="0.2">
      <c r="C761" s="48">
        <f t="shared" si="599"/>
        <v>10</v>
      </c>
      <c r="D761" s="347" t="str">
        <f t="shared" si="597"/>
        <v>Biomethanol - Africa&amp;Other - RE cost - USD/GJ</v>
      </c>
      <c r="F761" t="str" cm="1">
        <f t="array" ref="F761">INDEX(list_ME_fuel,$C761)</f>
        <v>Biomethanol</v>
      </c>
      <c r="L761" t="s">
        <v>498</v>
      </c>
      <c r="N761" t="str">
        <f t="shared" si="598"/>
        <v>RE cost - USD/GJ</v>
      </c>
      <c r="Q761" t="str">
        <f t="shared" si="600"/>
        <v>USD/GJ</v>
      </c>
      <c r="S761" s="18">
        <f>INDEX('Fuel Selector'!K$359:K$462,MATCH('TCO - Input'!$D761,'Fuel Selector'!$B$359:$B$462,0))</f>
        <v>0</v>
      </c>
      <c r="T761" s="18">
        <f>INDEX('Fuel Selector'!L$359:L$462,MATCH('TCO - Input'!$D761,'Fuel Selector'!$B$359:$B$462,0))</f>
        <v>0</v>
      </c>
      <c r="U761" s="18">
        <f>INDEX('Fuel Selector'!M$359:M$462,MATCH('TCO - Input'!$D761,'Fuel Selector'!$B$359:$B$462,0))</f>
        <v>0</v>
      </c>
      <c r="V761" s="18">
        <f>INDEX('Fuel Selector'!N$359:N$462,MATCH('TCO - Input'!$D761,'Fuel Selector'!$B$359:$B$462,0))</f>
        <v>0</v>
      </c>
      <c r="W761" s="18">
        <f>INDEX('Fuel Selector'!O$359:O$462,MATCH('TCO - Input'!$D761,'Fuel Selector'!$B$359:$B$462,0))</f>
        <v>0</v>
      </c>
      <c r="X761" s="18">
        <f>INDEX('Fuel Selector'!P$359:P$462,MATCH('TCO - Input'!$D761,'Fuel Selector'!$B$359:$B$462,0))</f>
        <v>0</v>
      </c>
      <c r="Y761" s="18">
        <f>INDEX('Fuel Selector'!Q$359:Q$462,MATCH('TCO - Input'!$D761,'Fuel Selector'!$B$359:$B$462,0))</f>
        <v>0</v>
      </c>
      <c r="Z761" s="18">
        <f>INDEX('Fuel Selector'!R$359:R$462,MATCH('TCO - Input'!$D761,'Fuel Selector'!$B$359:$B$462,0))</f>
        <v>0</v>
      </c>
      <c r="AA761" s="18">
        <f>INDEX('Fuel Selector'!S$359:S$462,MATCH('TCO - Input'!$D761,'Fuel Selector'!$B$359:$B$462,0))</f>
        <v>0</v>
      </c>
      <c r="AB761" s="18">
        <f>INDEX('Fuel Selector'!T$359:T$462,MATCH('TCO - Input'!$D761,'Fuel Selector'!$B$359:$B$462,0))</f>
        <v>0</v>
      </c>
      <c r="AC761" s="18">
        <f>INDEX('Fuel Selector'!U$359:U$462,MATCH('TCO - Input'!$D761,'Fuel Selector'!$B$359:$B$462,0))</f>
        <v>0</v>
      </c>
      <c r="AD761" s="18">
        <f>INDEX('Fuel Selector'!V$359:V$462,MATCH('TCO - Input'!$D761,'Fuel Selector'!$B$359:$B$462,0))</f>
        <v>0</v>
      </c>
    </row>
    <row r="762" spans="2:30" x14ac:dyDescent="0.2">
      <c r="C762" s="48">
        <f t="shared" si="599"/>
        <v>11</v>
      </c>
      <c r="D762" s="347" t="str">
        <f t="shared" si="597"/>
        <v>e-Methanol (DAC) - Africa&amp;Other - RE cost - USD/GJ</v>
      </c>
      <c r="F762" t="str" cm="1">
        <f t="array" ref="F762">INDEX(list_ME_fuel,$C762)</f>
        <v>e-Methanol (DAC)</v>
      </c>
      <c r="L762" t="s">
        <v>498</v>
      </c>
      <c r="N762" t="str">
        <f t="shared" si="598"/>
        <v>RE cost - USD/GJ</v>
      </c>
      <c r="Q762" t="str">
        <f t="shared" si="600"/>
        <v>USD/GJ</v>
      </c>
      <c r="S762" s="18">
        <f>INDEX('Fuel Selector'!K$359:K$462,MATCH('TCO - Input'!$D762,'Fuel Selector'!$B$359:$B$462,0))</f>
        <v>47.378691335046938</v>
      </c>
      <c r="T762" s="18">
        <f>INDEX('Fuel Selector'!L$359:L$462,MATCH('TCO - Input'!$D762,'Fuel Selector'!$B$359:$B$462,0))</f>
        <v>26.699705077523408</v>
      </c>
      <c r="U762" s="18">
        <f>INDEX('Fuel Selector'!M$359:M$462,MATCH('TCO - Input'!$D762,'Fuel Selector'!$B$359:$B$462,0))</f>
        <v>20.749567305734615</v>
      </c>
      <c r="V762" s="18">
        <f>INDEX('Fuel Selector'!N$359:N$462,MATCH('TCO - Input'!$D762,'Fuel Selector'!$B$359:$B$462,0))</f>
        <v>17.05983267887725</v>
      </c>
      <c r="W762" s="18">
        <f>INDEX('Fuel Selector'!O$359:O$462,MATCH('TCO - Input'!$D762,'Fuel Selector'!$B$359:$B$462,0))</f>
        <v>15.030129534403015</v>
      </c>
      <c r="X762" s="18">
        <f>INDEX('Fuel Selector'!P$359:P$462,MATCH('TCO - Input'!$D762,'Fuel Selector'!$B$359:$B$462,0))</f>
        <v>12.89432469643871</v>
      </c>
      <c r="Y762" s="18">
        <f>INDEX('Fuel Selector'!Q$359:Q$462,MATCH('TCO - Input'!$D762,'Fuel Selector'!$B$359:$B$462,0))</f>
        <v>11.69972899450552</v>
      </c>
      <c r="Z762" s="18">
        <f>INDEX('Fuel Selector'!R$359:R$462,MATCH('TCO - Input'!$D762,'Fuel Selector'!$B$359:$B$462,0))</f>
        <v>11.69972899450552</v>
      </c>
      <c r="AA762" s="18">
        <f>INDEX('Fuel Selector'!S$359:S$462,MATCH('TCO - Input'!$D762,'Fuel Selector'!$B$359:$B$462,0))</f>
        <v>11.69972899450552</v>
      </c>
      <c r="AB762" s="18">
        <f>INDEX('Fuel Selector'!T$359:T$462,MATCH('TCO - Input'!$D762,'Fuel Selector'!$B$359:$B$462,0))</f>
        <v>11.69972899450552</v>
      </c>
      <c r="AC762" s="18">
        <f>INDEX('Fuel Selector'!U$359:U$462,MATCH('TCO - Input'!$D762,'Fuel Selector'!$B$359:$B$462,0))</f>
        <v>11.69972899450552</v>
      </c>
      <c r="AD762" s="18">
        <f>INDEX('Fuel Selector'!V$359:V$462,MATCH('TCO - Input'!$D762,'Fuel Selector'!$B$359:$B$462,0))</f>
        <v>11.69972899450552</v>
      </c>
    </row>
    <row r="763" spans="2:30" x14ac:dyDescent="0.2">
      <c r="C763" s="48">
        <f t="shared" si="599"/>
        <v>12</v>
      </c>
      <c r="D763" s="347" t="str">
        <f t="shared" si="597"/>
        <v>e-Methanol (PS) - Africa&amp;Other - RE cost - USD/GJ</v>
      </c>
      <c r="F763" t="str" cm="1">
        <f t="array" ref="F763">INDEX(list_ME_fuel,$C763)</f>
        <v>e-Methanol (PS)</v>
      </c>
      <c r="L763" t="s">
        <v>498</v>
      </c>
      <c r="N763" t="str">
        <f t="shared" si="598"/>
        <v>RE cost - USD/GJ</v>
      </c>
      <c r="Q763" t="str">
        <f t="shared" si="600"/>
        <v>USD/GJ</v>
      </c>
      <c r="S763" s="18">
        <f>INDEX('Fuel Selector'!K$359:K$462,MATCH('TCO - Input'!$D763,'Fuel Selector'!$B$359:$B$462,0))</f>
        <v>47.378691335046938</v>
      </c>
      <c r="T763" s="18">
        <f>INDEX('Fuel Selector'!L$359:L$462,MATCH('TCO - Input'!$D763,'Fuel Selector'!$B$359:$B$462,0))</f>
        <v>26.699705077523408</v>
      </c>
      <c r="U763" s="18">
        <f>INDEX('Fuel Selector'!M$359:M$462,MATCH('TCO - Input'!$D763,'Fuel Selector'!$B$359:$B$462,0))</f>
        <v>20.749567305734615</v>
      </c>
      <c r="V763" s="18">
        <f>INDEX('Fuel Selector'!N$359:N$462,MATCH('TCO - Input'!$D763,'Fuel Selector'!$B$359:$B$462,0))</f>
        <v>17.05983267887725</v>
      </c>
      <c r="W763" s="18">
        <f>INDEX('Fuel Selector'!O$359:O$462,MATCH('TCO - Input'!$D763,'Fuel Selector'!$B$359:$B$462,0))</f>
        <v>15.030129534403015</v>
      </c>
      <c r="X763" s="18">
        <f>INDEX('Fuel Selector'!P$359:P$462,MATCH('TCO - Input'!$D763,'Fuel Selector'!$B$359:$B$462,0))</f>
        <v>12.89432469643871</v>
      </c>
      <c r="Y763" s="18">
        <f>INDEX('Fuel Selector'!Q$359:Q$462,MATCH('TCO - Input'!$D763,'Fuel Selector'!$B$359:$B$462,0))</f>
        <v>11.69972899450552</v>
      </c>
      <c r="Z763" s="18">
        <f>INDEX('Fuel Selector'!R$359:R$462,MATCH('TCO - Input'!$D763,'Fuel Selector'!$B$359:$B$462,0))</f>
        <v>11.69972899450552</v>
      </c>
      <c r="AA763" s="18">
        <f>INDEX('Fuel Selector'!S$359:S$462,MATCH('TCO - Input'!$D763,'Fuel Selector'!$B$359:$B$462,0))</f>
        <v>11.69972899450552</v>
      </c>
      <c r="AB763" s="18">
        <f>INDEX('Fuel Selector'!T$359:T$462,MATCH('TCO - Input'!$D763,'Fuel Selector'!$B$359:$B$462,0))</f>
        <v>11.69972899450552</v>
      </c>
      <c r="AC763" s="18">
        <f>INDEX('Fuel Selector'!U$359:U$462,MATCH('TCO - Input'!$D763,'Fuel Selector'!$B$359:$B$462,0))</f>
        <v>11.69972899450552</v>
      </c>
      <c r="AD763" s="18">
        <f>INDEX('Fuel Selector'!V$359:V$462,MATCH('TCO - Input'!$D763,'Fuel Selector'!$B$359:$B$462,0))</f>
        <v>11.69972899450552</v>
      </c>
    </row>
    <row r="764" spans="2:30" x14ac:dyDescent="0.2">
      <c r="C764" s="48">
        <f t="shared" si="599"/>
        <v>13</v>
      </c>
      <c r="D764" s="347" t="str">
        <f t="shared" si="597"/>
        <v>Biodiesel (HtL) - Africa&amp;Other - RE cost - USD/GJ</v>
      </c>
      <c r="F764" t="str" cm="1">
        <f t="array" ref="F764">INDEX(list_ME_fuel,$C764)</f>
        <v>Biodiesel (HtL)</v>
      </c>
      <c r="L764" t="s">
        <v>498</v>
      </c>
      <c r="N764" t="str">
        <f t="shared" si="598"/>
        <v>RE cost - USD/GJ</v>
      </c>
      <c r="Q764" t="str">
        <f t="shared" si="600"/>
        <v>USD/GJ</v>
      </c>
      <c r="S764" s="18">
        <f>INDEX('Fuel Selector'!K$359:K$462,MATCH('TCO - Input'!$D764,'Fuel Selector'!$B$359:$B$462,0))</f>
        <v>1.4801570106661779</v>
      </c>
      <c r="T764" s="18">
        <f>INDEX('Fuel Selector'!L$359:L$462,MATCH('TCO - Input'!$D764,'Fuel Selector'!$B$359:$B$462,0))</f>
        <v>0.83750267177830384</v>
      </c>
      <c r="U764" s="18">
        <f>INDEX('Fuel Selector'!M$359:M$462,MATCH('TCO - Input'!$D764,'Fuel Selector'!$B$359:$B$462,0))</f>
        <v>0.65594409596400183</v>
      </c>
      <c r="V764" s="18">
        <f>INDEX('Fuel Selector'!N$359:N$462,MATCH('TCO - Input'!$D764,'Fuel Selector'!$B$359:$B$462,0))</f>
        <v>0.55426548164176903</v>
      </c>
      <c r="W764" s="18">
        <f>INDEX('Fuel Selector'!O$359:O$462,MATCH('TCO - Input'!$D764,'Fuel Selector'!$B$359:$B$462,0))</f>
        <v>0.50567020857350842</v>
      </c>
      <c r="X764" s="18">
        <f>INDEX('Fuel Selector'!P$359:P$462,MATCH('TCO - Input'!$D764,'Fuel Selector'!$B$359:$B$462,0))</f>
        <v>0.45610810236719246</v>
      </c>
      <c r="Y764" s="18">
        <f>INDEX('Fuel Selector'!Q$359:Q$462,MATCH('TCO - Input'!$D764,'Fuel Selector'!$B$359:$B$462,0))</f>
        <v>0.431093276636909</v>
      </c>
      <c r="Z764" s="18">
        <f>INDEX('Fuel Selector'!R$359:R$462,MATCH('TCO - Input'!$D764,'Fuel Selector'!$B$359:$B$462,0))</f>
        <v>0.431093276636909</v>
      </c>
      <c r="AA764" s="18">
        <f>INDEX('Fuel Selector'!S$359:S$462,MATCH('TCO - Input'!$D764,'Fuel Selector'!$B$359:$B$462,0))</f>
        <v>0.431093276636909</v>
      </c>
      <c r="AB764" s="18">
        <f>INDEX('Fuel Selector'!T$359:T$462,MATCH('TCO - Input'!$D764,'Fuel Selector'!$B$359:$B$462,0))</f>
        <v>0.431093276636909</v>
      </c>
      <c r="AC764" s="18">
        <f>INDEX('Fuel Selector'!U$359:U$462,MATCH('TCO - Input'!$D764,'Fuel Selector'!$B$359:$B$462,0))</f>
        <v>0.431093276636909</v>
      </c>
      <c r="AD764" s="18">
        <f>INDEX('Fuel Selector'!V$359:V$462,MATCH('TCO - Input'!$D764,'Fuel Selector'!$B$359:$B$462,0))</f>
        <v>0.431093276636909</v>
      </c>
    </row>
    <row r="765" spans="2:30" x14ac:dyDescent="0.2">
      <c r="C765" s="48">
        <f t="shared" si="599"/>
        <v>14</v>
      </c>
      <c r="D765" s="347" t="str">
        <f t="shared" si="597"/>
        <v>Biodiesel (Pyr) - Africa&amp;Other - RE cost - USD/GJ</v>
      </c>
      <c r="F765" t="str" cm="1">
        <f t="array" ref="F765">INDEX(list_ME_fuel,$C765)</f>
        <v>Biodiesel (Pyr)</v>
      </c>
      <c r="L765" t="s">
        <v>498</v>
      </c>
      <c r="N765" t="str">
        <f t="shared" si="598"/>
        <v>RE cost - USD/GJ</v>
      </c>
      <c r="Q765" t="str">
        <f t="shared" si="600"/>
        <v>USD/GJ</v>
      </c>
      <c r="S765" s="18">
        <f>INDEX('Fuel Selector'!K$359:K$462,MATCH('TCO - Input'!$D765,'Fuel Selector'!$B$359:$B$462,0))</f>
        <v>0</v>
      </c>
      <c r="T765" s="18">
        <f>INDEX('Fuel Selector'!L$359:L$462,MATCH('TCO - Input'!$D765,'Fuel Selector'!$B$359:$B$462,0))</f>
        <v>0</v>
      </c>
      <c r="U765" s="18">
        <f>INDEX('Fuel Selector'!M$359:M$462,MATCH('TCO - Input'!$D765,'Fuel Selector'!$B$359:$B$462,0))</f>
        <v>0</v>
      </c>
      <c r="V765" s="18">
        <f>INDEX('Fuel Selector'!N$359:N$462,MATCH('TCO - Input'!$D765,'Fuel Selector'!$B$359:$B$462,0))</f>
        <v>0</v>
      </c>
      <c r="W765" s="18">
        <f>INDEX('Fuel Selector'!O$359:O$462,MATCH('TCO - Input'!$D765,'Fuel Selector'!$B$359:$B$462,0))</f>
        <v>0</v>
      </c>
      <c r="X765" s="18">
        <f>INDEX('Fuel Selector'!P$359:P$462,MATCH('TCO - Input'!$D765,'Fuel Selector'!$B$359:$B$462,0))</f>
        <v>0</v>
      </c>
      <c r="Y765" s="18">
        <f>INDEX('Fuel Selector'!Q$359:Q$462,MATCH('TCO - Input'!$D765,'Fuel Selector'!$B$359:$B$462,0))</f>
        <v>0</v>
      </c>
      <c r="Z765" s="18">
        <f>INDEX('Fuel Selector'!R$359:R$462,MATCH('TCO - Input'!$D765,'Fuel Selector'!$B$359:$B$462,0))</f>
        <v>0</v>
      </c>
      <c r="AA765" s="18">
        <f>INDEX('Fuel Selector'!S$359:S$462,MATCH('TCO - Input'!$D765,'Fuel Selector'!$B$359:$B$462,0))</f>
        <v>0</v>
      </c>
      <c r="AB765" s="18">
        <f>INDEX('Fuel Selector'!T$359:T$462,MATCH('TCO - Input'!$D765,'Fuel Selector'!$B$359:$B$462,0))</f>
        <v>0</v>
      </c>
      <c r="AC765" s="18">
        <f>INDEX('Fuel Selector'!U$359:U$462,MATCH('TCO - Input'!$D765,'Fuel Selector'!$B$359:$B$462,0))</f>
        <v>0</v>
      </c>
      <c r="AD765" s="18">
        <f>INDEX('Fuel Selector'!V$359:V$462,MATCH('TCO - Input'!$D765,'Fuel Selector'!$B$359:$B$462,0))</f>
        <v>0</v>
      </c>
    </row>
    <row r="766" spans="2:30" x14ac:dyDescent="0.2">
      <c r="C766" s="48">
        <f t="shared" si="599"/>
        <v>15</v>
      </c>
      <c r="D766" s="347" t="str">
        <f t="shared" si="597"/>
        <v>e-Diesel (DAC) - Africa&amp;Other - RE cost - USD/GJ</v>
      </c>
      <c r="F766" t="str" cm="1">
        <f t="array" ref="F766">INDEX(list_ME_fuel,$C766)</f>
        <v>e-Diesel (DAC)</v>
      </c>
      <c r="L766" t="s">
        <v>498</v>
      </c>
      <c r="N766" t="str">
        <f t="shared" si="598"/>
        <v>RE cost - USD/GJ</v>
      </c>
      <c r="Q766" t="str">
        <f t="shared" si="600"/>
        <v>USD/GJ</v>
      </c>
      <c r="S766" s="18">
        <f>INDEX('Fuel Selector'!K$359:K$462,MATCH('TCO - Input'!$D766,'Fuel Selector'!$B$359:$B$462,0))</f>
        <v>47.959756696164114</v>
      </c>
      <c r="T766" s="18">
        <f>INDEX('Fuel Selector'!L$359:L$462,MATCH('TCO - Input'!$D766,'Fuel Selector'!$B$359:$B$462,0))</f>
        <v>26.973478495492145</v>
      </c>
      <c r="U766" s="18">
        <f>INDEX('Fuel Selector'!M$359:M$462,MATCH('TCO - Input'!$D766,'Fuel Selector'!$B$359:$B$462,0))</f>
        <v>20.899300144175026</v>
      </c>
      <c r="V766" s="18">
        <f>INDEX('Fuel Selector'!N$359:N$462,MATCH('TCO - Input'!$D766,'Fuel Selector'!$B$359:$B$462,0))</f>
        <v>17.079371536637588</v>
      </c>
      <c r="W766" s="18">
        <f>INDEX('Fuel Selector'!O$359:O$462,MATCH('TCO - Input'!$D766,'Fuel Selector'!$B$359:$B$462,0))</f>
        <v>14.935346829083896</v>
      </c>
      <c r="X766" s="18">
        <f>INDEX('Fuel Selector'!P$359:P$462,MATCH('TCO - Input'!$D766,'Fuel Selector'!$B$359:$B$462,0))</f>
        <v>12.679360529947958</v>
      </c>
      <c r="Y766" s="18">
        <f>INDEX('Fuel Selector'!Q$359:Q$462,MATCH('TCO - Input'!$D766,'Fuel Selector'!$B$359:$B$462,0))</f>
        <v>11.397463575663975</v>
      </c>
      <c r="Z766" s="18">
        <f>INDEX('Fuel Selector'!R$359:R$462,MATCH('TCO - Input'!$D766,'Fuel Selector'!$B$359:$B$462,0))</f>
        <v>11.397463575663975</v>
      </c>
      <c r="AA766" s="18">
        <f>INDEX('Fuel Selector'!S$359:S$462,MATCH('TCO - Input'!$D766,'Fuel Selector'!$B$359:$B$462,0))</f>
        <v>11.397463575663975</v>
      </c>
      <c r="AB766" s="18">
        <f>INDEX('Fuel Selector'!T$359:T$462,MATCH('TCO - Input'!$D766,'Fuel Selector'!$B$359:$B$462,0))</f>
        <v>11.397463575663975</v>
      </c>
      <c r="AC766" s="18">
        <f>INDEX('Fuel Selector'!U$359:U$462,MATCH('TCO - Input'!$D766,'Fuel Selector'!$B$359:$B$462,0))</f>
        <v>11.397463575663975</v>
      </c>
      <c r="AD766" s="18">
        <f>INDEX('Fuel Selector'!V$359:V$462,MATCH('TCO - Input'!$D766,'Fuel Selector'!$B$359:$B$462,0))</f>
        <v>11.397463575663975</v>
      </c>
    </row>
    <row r="767" spans="2:30" x14ac:dyDescent="0.2">
      <c r="C767" s="48">
        <f t="shared" si="599"/>
        <v>16</v>
      </c>
      <c r="D767" s="347" t="str">
        <f t="shared" si="597"/>
        <v>e-Diesel (PS) - Africa&amp;Other - RE cost - USD/GJ</v>
      </c>
      <c r="F767" t="str" cm="1">
        <f t="array" ref="F767">INDEX(list_ME_fuel,$C767)</f>
        <v>e-Diesel (PS)</v>
      </c>
      <c r="L767" t="s">
        <v>498</v>
      </c>
      <c r="N767" t="str">
        <f t="shared" si="598"/>
        <v>RE cost - USD/GJ</v>
      </c>
      <c r="Q767" t="str">
        <f t="shared" si="600"/>
        <v>USD/GJ</v>
      </c>
      <c r="S767" s="18">
        <f>INDEX('Fuel Selector'!K$359:K$462,MATCH('TCO - Input'!$D767,'Fuel Selector'!$B$359:$B$462,0))</f>
        <v>47.959756696164114</v>
      </c>
      <c r="T767" s="18">
        <f>INDEX('Fuel Selector'!L$359:L$462,MATCH('TCO - Input'!$D767,'Fuel Selector'!$B$359:$B$462,0))</f>
        <v>26.973478495492145</v>
      </c>
      <c r="U767" s="18">
        <f>INDEX('Fuel Selector'!M$359:M$462,MATCH('TCO - Input'!$D767,'Fuel Selector'!$B$359:$B$462,0))</f>
        <v>20.899300144175026</v>
      </c>
      <c r="V767" s="18">
        <f>INDEX('Fuel Selector'!N$359:N$462,MATCH('TCO - Input'!$D767,'Fuel Selector'!$B$359:$B$462,0))</f>
        <v>17.079371536637588</v>
      </c>
      <c r="W767" s="18">
        <f>INDEX('Fuel Selector'!O$359:O$462,MATCH('TCO - Input'!$D767,'Fuel Selector'!$B$359:$B$462,0))</f>
        <v>14.935346829083896</v>
      </c>
      <c r="X767" s="18">
        <f>INDEX('Fuel Selector'!P$359:P$462,MATCH('TCO - Input'!$D767,'Fuel Selector'!$B$359:$B$462,0))</f>
        <v>12.679360529947958</v>
      </c>
      <c r="Y767" s="18">
        <f>INDEX('Fuel Selector'!Q$359:Q$462,MATCH('TCO - Input'!$D767,'Fuel Selector'!$B$359:$B$462,0))</f>
        <v>11.397463575663975</v>
      </c>
      <c r="Z767" s="18">
        <f>INDEX('Fuel Selector'!R$359:R$462,MATCH('TCO - Input'!$D767,'Fuel Selector'!$B$359:$B$462,0))</f>
        <v>11.397463575663975</v>
      </c>
      <c r="AA767" s="18">
        <f>INDEX('Fuel Selector'!S$359:S$462,MATCH('TCO - Input'!$D767,'Fuel Selector'!$B$359:$B$462,0))</f>
        <v>11.397463575663975</v>
      </c>
      <c r="AB767" s="18">
        <f>INDEX('Fuel Selector'!T$359:T$462,MATCH('TCO - Input'!$D767,'Fuel Selector'!$B$359:$B$462,0))</f>
        <v>11.397463575663975</v>
      </c>
      <c r="AC767" s="18">
        <f>INDEX('Fuel Selector'!U$359:U$462,MATCH('TCO - Input'!$D767,'Fuel Selector'!$B$359:$B$462,0))</f>
        <v>11.397463575663975</v>
      </c>
      <c r="AD767" s="18">
        <f>INDEX('Fuel Selector'!V$359:V$462,MATCH('TCO - Input'!$D767,'Fuel Selector'!$B$359:$B$462,0))</f>
        <v>11.397463575663975</v>
      </c>
    </row>
    <row r="768" spans="2:30" x14ac:dyDescent="0.2">
      <c r="C768" s="48">
        <f t="shared" si="599"/>
        <v>17</v>
      </c>
      <c r="D768" s="347" t="str">
        <f t="shared" si="597"/>
        <v>Biodiesel (HtL blend) - Africa&amp;Other - RE cost - USD/GJ</v>
      </c>
      <c r="F768" t="str" cm="1">
        <f t="array" ref="F768">INDEX(list_ME_fuel,$C768)</f>
        <v>Biodiesel (HtL blend)</v>
      </c>
      <c r="L768" t="s">
        <v>498</v>
      </c>
      <c r="N768" t="str">
        <f t="shared" si="598"/>
        <v>RE cost - USD/GJ</v>
      </c>
      <c r="Q768" t="str">
        <f t="shared" si="600"/>
        <v>USD/GJ</v>
      </c>
      <c r="S768" s="18">
        <f>INDEX('Fuel Selector'!K$359:K$462,MATCH('TCO - Input'!$D768,'Fuel Selector'!$B$359:$B$462,0))</f>
        <v>0.65495030420151079</v>
      </c>
      <c r="T768" s="18">
        <f>INDEX('Fuel Selector'!L$359:L$462,MATCH('TCO - Input'!$D768,'Fuel Selector'!$B$359:$B$462,0))</f>
        <v>0.37058408378169511</v>
      </c>
      <c r="U768" s="18">
        <f>INDEX('Fuel Selector'!M$359:M$462,MATCH('TCO - Input'!$D768,'Fuel Selector'!$B$359:$B$462,0))</f>
        <v>0.29024676577888991</v>
      </c>
      <c r="V768" s="18">
        <f>INDEX('Fuel Selector'!N$359:N$462,MATCH('TCO - Input'!$D768,'Fuel Selector'!$B$359:$B$462,0))</f>
        <v>0.24525529602179832</v>
      </c>
      <c r="W768" s="18">
        <f>INDEX('Fuel Selector'!O$359:O$462,MATCH('TCO - Input'!$D768,'Fuel Selector'!$B$359:$B$462,0))</f>
        <v>0.22375251716154207</v>
      </c>
      <c r="X768" s="18">
        <f>INDEX('Fuel Selector'!P$359:P$462,MATCH('TCO - Input'!$D768,'Fuel Selector'!$B$359:$B$462,0))</f>
        <v>0.20182192716144165</v>
      </c>
      <c r="Y768" s="18">
        <f>INDEX('Fuel Selector'!Q$359:Q$462,MATCH('TCO - Input'!$D768,'Fuel Selector'!$B$359:$B$462,0))</f>
        <v>0.19075319080203126</v>
      </c>
      <c r="Z768" s="18">
        <f>INDEX('Fuel Selector'!R$359:R$462,MATCH('TCO - Input'!$D768,'Fuel Selector'!$B$359:$B$462,0))</f>
        <v>0.19075319080203126</v>
      </c>
      <c r="AA768" s="18">
        <f>INDEX('Fuel Selector'!S$359:S$462,MATCH('TCO - Input'!$D768,'Fuel Selector'!$B$359:$B$462,0))</f>
        <v>0.19075319080203126</v>
      </c>
      <c r="AB768" s="18">
        <f>INDEX('Fuel Selector'!T$359:T$462,MATCH('TCO - Input'!$D768,'Fuel Selector'!$B$359:$B$462,0))</f>
        <v>0.19075319080203126</v>
      </c>
      <c r="AC768" s="18">
        <f>INDEX('Fuel Selector'!U$359:U$462,MATCH('TCO - Input'!$D768,'Fuel Selector'!$B$359:$B$462,0))</f>
        <v>0.19075319080203126</v>
      </c>
      <c r="AD768" s="18">
        <f>INDEX('Fuel Selector'!V$359:V$462,MATCH('TCO - Input'!$D768,'Fuel Selector'!$B$359:$B$462,0))</f>
        <v>0.19075319080203126</v>
      </c>
    </row>
    <row r="769" spans="2:30" x14ac:dyDescent="0.2">
      <c r="C769" s="48">
        <f t="shared" si="599"/>
        <v>18</v>
      </c>
      <c r="D769" s="347" t="str">
        <f t="shared" si="597"/>
        <v>Biodiesel (Pyr blend) - Africa&amp;Other - RE cost - USD/GJ</v>
      </c>
      <c r="F769" t="str" cm="1">
        <f t="array" ref="F769">INDEX(list_ME_fuel,$C769)</f>
        <v>Biodiesel (Pyr blend)</v>
      </c>
      <c r="L769" t="s">
        <v>498</v>
      </c>
      <c r="N769" t="str">
        <f t="shared" si="598"/>
        <v>RE cost - USD/GJ</v>
      </c>
      <c r="Q769" t="str">
        <f t="shared" si="600"/>
        <v>USD/GJ</v>
      </c>
      <c r="S769" s="18">
        <f>INDEX('Fuel Selector'!K$359:K$462,MATCH('TCO - Input'!$D769,'Fuel Selector'!$B$359:$B$462,0))</f>
        <v>0</v>
      </c>
      <c r="T769" s="18">
        <f>INDEX('Fuel Selector'!L$359:L$462,MATCH('TCO - Input'!$D769,'Fuel Selector'!$B$359:$B$462,0))</f>
        <v>0</v>
      </c>
      <c r="U769" s="18">
        <f>INDEX('Fuel Selector'!M$359:M$462,MATCH('TCO - Input'!$D769,'Fuel Selector'!$B$359:$B$462,0))</f>
        <v>0</v>
      </c>
      <c r="V769" s="18">
        <f>INDEX('Fuel Selector'!N$359:N$462,MATCH('TCO - Input'!$D769,'Fuel Selector'!$B$359:$B$462,0))</f>
        <v>0</v>
      </c>
      <c r="W769" s="18">
        <f>INDEX('Fuel Selector'!O$359:O$462,MATCH('TCO - Input'!$D769,'Fuel Selector'!$B$359:$B$462,0))</f>
        <v>0</v>
      </c>
      <c r="X769" s="18">
        <f>INDEX('Fuel Selector'!P$359:P$462,MATCH('TCO - Input'!$D769,'Fuel Selector'!$B$359:$B$462,0))</f>
        <v>0</v>
      </c>
      <c r="Y769" s="18">
        <f>INDEX('Fuel Selector'!Q$359:Q$462,MATCH('TCO - Input'!$D769,'Fuel Selector'!$B$359:$B$462,0))</f>
        <v>0</v>
      </c>
      <c r="Z769" s="18">
        <f>INDEX('Fuel Selector'!R$359:R$462,MATCH('TCO - Input'!$D769,'Fuel Selector'!$B$359:$B$462,0))</f>
        <v>0</v>
      </c>
      <c r="AA769" s="18">
        <f>INDEX('Fuel Selector'!S$359:S$462,MATCH('TCO - Input'!$D769,'Fuel Selector'!$B$359:$B$462,0))</f>
        <v>0</v>
      </c>
      <c r="AB769" s="18">
        <f>INDEX('Fuel Selector'!T$359:T$462,MATCH('TCO - Input'!$D769,'Fuel Selector'!$B$359:$B$462,0))</f>
        <v>0</v>
      </c>
      <c r="AC769" s="18">
        <f>INDEX('Fuel Selector'!U$359:U$462,MATCH('TCO - Input'!$D769,'Fuel Selector'!$B$359:$B$462,0))</f>
        <v>0</v>
      </c>
      <c r="AD769" s="18">
        <f>INDEX('Fuel Selector'!V$359:V$462,MATCH('TCO - Input'!$D769,'Fuel Selector'!$B$359:$B$462,0))</f>
        <v>0</v>
      </c>
    </row>
    <row r="770" spans="2:30" x14ac:dyDescent="0.2">
      <c r="C770" s="48">
        <f t="shared" si="599"/>
        <v>19</v>
      </c>
      <c r="D770" s="347" t="str">
        <f t="shared" si="597"/>
        <v>Blue hydrogen (liquid) - Africa&amp;Other - RE cost - USD/GJ</v>
      </c>
      <c r="F770" t="str" cm="1">
        <f t="array" ref="F770">INDEX(list_ME_fuel,$C770)</f>
        <v>Blue hydrogen (liquid)</v>
      </c>
      <c r="L770" t="s">
        <v>498</v>
      </c>
      <c r="N770" t="str">
        <f t="shared" si="598"/>
        <v>RE cost - USD/GJ</v>
      </c>
      <c r="Q770" t="str">
        <f t="shared" si="600"/>
        <v>USD/GJ</v>
      </c>
      <c r="S770" s="18">
        <f>INDEX('Fuel Selector'!K$359:K$462,MATCH('TCO - Input'!$D770,'Fuel Selector'!$B$359:$B$462,0))</f>
        <v>0</v>
      </c>
      <c r="T770" s="18">
        <f>INDEX('Fuel Selector'!L$359:L$462,MATCH('TCO - Input'!$D770,'Fuel Selector'!$B$359:$B$462,0))</f>
        <v>0</v>
      </c>
      <c r="U770" s="18">
        <f>INDEX('Fuel Selector'!M$359:M$462,MATCH('TCO - Input'!$D770,'Fuel Selector'!$B$359:$B$462,0))</f>
        <v>0</v>
      </c>
      <c r="V770" s="18">
        <f>INDEX('Fuel Selector'!N$359:N$462,MATCH('TCO - Input'!$D770,'Fuel Selector'!$B$359:$B$462,0))</f>
        <v>0</v>
      </c>
      <c r="W770" s="18">
        <f>INDEX('Fuel Selector'!O$359:O$462,MATCH('TCO - Input'!$D770,'Fuel Selector'!$B$359:$B$462,0))</f>
        <v>0</v>
      </c>
      <c r="X770" s="18">
        <f>INDEX('Fuel Selector'!P$359:P$462,MATCH('TCO - Input'!$D770,'Fuel Selector'!$B$359:$B$462,0))</f>
        <v>0</v>
      </c>
      <c r="Y770" s="18">
        <f>INDEX('Fuel Selector'!Q$359:Q$462,MATCH('TCO - Input'!$D770,'Fuel Selector'!$B$359:$B$462,0))</f>
        <v>0</v>
      </c>
      <c r="Z770" s="18">
        <f>INDEX('Fuel Selector'!R$359:R$462,MATCH('TCO - Input'!$D770,'Fuel Selector'!$B$359:$B$462,0))</f>
        <v>0</v>
      </c>
      <c r="AA770" s="18">
        <f>INDEX('Fuel Selector'!S$359:S$462,MATCH('TCO - Input'!$D770,'Fuel Selector'!$B$359:$B$462,0))</f>
        <v>0</v>
      </c>
      <c r="AB770" s="18">
        <f>INDEX('Fuel Selector'!T$359:T$462,MATCH('TCO - Input'!$D770,'Fuel Selector'!$B$359:$B$462,0))</f>
        <v>0</v>
      </c>
      <c r="AC770" s="18">
        <f>INDEX('Fuel Selector'!U$359:U$462,MATCH('TCO - Input'!$D770,'Fuel Selector'!$B$359:$B$462,0))</f>
        <v>0</v>
      </c>
      <c r="AD770" s="18">
        <f>INDEX('Fuel Selector'!V$359:V$462,MATCH('TCO - Input'!$D770,'Fuel Selector'!$B$359:$B$462,0))</f>
        <v>0</v>
      </c>
    </row>
    <row r="771" spans="2:30" x14ac:dyDescent="0.2">
      <c r="C771" s="48">
        <f t="shared" si="599"/>
        <v>20</v>
      </c>
      <c r="D771" s="347" t="str">
        <f t="shared" si="597"/>
        <v>e-Hydrogen (liquid) - Africa&amp;Other - RE cost - USD/GJ</v>
      </c>
      <c r="F771" t="str" cm="1">
        <f t="array" ref="F771">INDEX(list_ME_fuel,$C771)</f>
        <v>e-Hydrogen (liquid)</v>
      </c>
      <c r="L771" t="s">
        <v>498</v>
      </c>
      <c r="N771" t="str">
        <f t="shared" si="598"/>
        <v>RE cost - USD/GJ</v>
      </c>
      <c r="Q771" t="str">
        <f t="shared" si="600"/>
        <v>USD/GJ</v>
      </c>
      <c r="S771" s="18">
        <f>INDEX('Fuel Selector'!K$359:K$462,MATCH('TCO - Input'!$D771,'Fuel Selector'!$B$359:$B$462,0))</f>
        <v>41.588626336957972</v>
      </c>
      <c r="T771" s="18">
        <f>INDEX('Fuel Selector'!L$359:L$462,MATCH('TCO - Input'!$D771,'Fuel Selector'!$B$359:$B$462,0))</f>
        <v>23.436697092104843</v>
      </c>
      <c r="U771" s="18">
        <f>INDEX('Fuel Selector'!M$359:M$462,MATCH('TCO - Input'!$D771,'Fuel Selector'!$B$359:$B$462,0))</f>
        <v>18.213545716322113</v>
      </c>
      <c r="V771" s="18">
        <f>INDEX('Fuel Selector'!N$359:N$462,MATCH('TCO - Input'!$D771,'Fuel Selector'!$B$359:$B$462,0))</f>
        <v>14.974343339055379</v>
      </c>
      <c r="W771" s="18">
        <f>INDEX('Fuel Selector'!O$359:O$462,MATCH('TCO - Input'!$D771,'Fuel Selector'!$B$359:$B$462,0))</f>
        <v>13.192276048961798</v>
      </c>
      <c r="X771" s="18">
        <f>INDEX('Fuel Selector'!P$359:P$462,MATCH('TCO - Input'!$D771,'Fuel Selector'!$B$359:$B$462,0))</f>
        <v>11.317023718346872</v>
      </c>
      <c r="Y771" s="18">
        <f>INDEX('Fuel Selector'!Q$359:Q$462,MATCH('TCO - Input'!$D771,'Fuel Selector'!$B$359:$B$462,0))</f>
        <v>10.26807663682896</v>
      </c>
      <c r="Z771" s="18">
        <f>INDEX('Fuel Selector'!R$359:R$462,MATCH('TCO - Input'!$D771,'Fuel Selector'!$B$359:$B$462,0))</f>
        <v>10.26807663682896</v>
      </c>
      <c r="AA771" s="18">
        <f>INDEX('Fuel Selector'!S$359:S$462,MATCH('TCO - Input'!$D771,'Fuel Selector'!$B$359:$B$462,0))</f>
        <v>10.26807663682896</v>
      </c>
      <c r="AB771" s="18">
        <f>INDEX('Fuel Selector'!T$359:T$462,MATCH('TCO - Input'!$D771,'Fuel Selector'!$B$359:$B$462,0))</f>
        <v>10.26807663682896</v>
      </c>
      <c r="AC771" s="18">
        <f>INDEX('Fuel Selector'!U$359:U$462,MATCH('TCO - Input'!$D771,'Fuel Selector'!$B$359:$B$462,0))</f>
        <v>10.26807663682896</v>
      </c>
      <c r="AD771" s="18">
        <f>INDEX('Fuel Selector'!V$359:V$462,MATCH('TCO - Input'!$D771,'Fuel Selector'!$B$359:$B$462,0))</f>
        <v>10.26807663682896</v>
      </c>
    </row>
    <row r="773" spans="2:30" x14ac:dyDescent="0.2">
      <c r="B773"/>
      <c r="C773" s="48">
        <v>1</v>
      </c>
      <c r="D773" s="347" t="str">
        <f t="shared" ref="D773:D792" si="601">_xlfn.TEXTJOIN(keydelim,TRUE,E773:N773)</f>
        <v>LSFO - Global - RE cost - USD/GJ</v>
      </c>
      <c r="F773" t="str" cm="1">
        <f t="array" ref="F773">INDEX(list_ME_fuel,$C773)</f>
        <v>LSFO</v>
      </c>
      <c r="L773" t="s">
        <v>109</v>
      </c>
      <c r="N773" t="str">
        <f t="shared" ref="N773:N792" si="602">"RE cost"  &amp;keydelim&amp;Q773</f>
        <v>RE cost - USD/GJ</v>
      </c>
      <c r="O773" s="224"/>
      <c r="P773" s="224"/>
      <c r="Q773" t="s">
        <v>324</v>
      </c>
      <c r="R773" s="14"/>
      <c r="S773" s="18">
        <f>+SMALL((S668,S689,S710,S731,S752),1)*40%+SMALL((S668,S689,S710,S731,S752),2)*30%+SMALL((S668,S689,S710,S731,S752),3)*10%+SMALL((S668,S689,S710,S731,S752),4)*10%+SMALL((S668,S689,S710,S731,S752),5)*10%</f>
        <v>0</v>
      </c>
      <c r="T773" s="18">
        <f>+SMALL((T668,T689,T710,T731,T752),1)*40%+SMALL((T668,T689,T710,T731,T752),2)*30%+SMALL((T668,T689,T710,T731,T752),3)*10%+SMALL((T668,T689,T710,T731,T752),4)*10%+SMALL((T668,T689,T710,T731,T752),5)*10%</f>
        <v>0</v>
      </c>
      <c r="U773" s="18">
        <f>+SMALL((U668,U689,U710,U731,U752),1)*40%+SMALL((U668,U689,U710,U731,U752),2)*30%+SMALL((U668,U689,U710,U731,U752),3)*10%+SMALL((U668,U689,U710,U731,U752),4)*10%+SMALL((U668,U689,U710,U731,U752),5)*10%</f>
        <v>0</v>
      </c>
      <c r="V773" s="18">
        <f>+SMALL((V668,V689,V710,V731,V752),1)*40%+SMALL((V668,V689,V710,V731,V752),2)*30%+SMALL((V668,V689,V710,V731,V752),3)*10%+SMALL((V668,V689,V710,V731,V752),4)*10%+SMALL((V668,V689,V710,V731,V752),5)*10%</f>
        <v>0</v>
      </c>
      <c r="W773" s="18">
        <f>+SMALL((W668,W689,W710,W731,W752),1)*40%+SMALL((W668,W689,W710,W731,W752),2)*30%+SMALL((W668,W689,W710,W731,W752),3)*10%+SMALL((W668,W689,W710,W731,W752),4)*10%+SMALL((W668,W689,W710,W731,W752),5)*10%</f>
        <v>0</v>
      </c>
      <c r="X773" s="18">
        <f>+SMALL((X668,X689,X710,X731,X752),1)*40%+SMALL((X668,X689,X710,X731,X752),2)*30%+SMALL((X668,X689,X710,X731,X752),3)*10%+SMALL((X668,X689,X710,X731,X752),4)*10%+SMALL((X668,X689,X710,X731,X752),5)*10%</f>
        <v>0</v>
      </c>
      <c r="Y773" s="18">
        <f>+SMALL((Y668,Y689,Y710,Y731,Y752),1)*40%+SMALL((Y668,Y689,Y710,Y731,Y752),2)*30%+SMALL((Y668,Y689,Y710,Y731,Y752),3)*10%+SMALL((Y668,Y689,Y710,Y731,Y752),4)*10%+SMALL((Y668,Y689,Y710,Y731,Y752),5)*10%</f>
        <v>0</v>
      </c>
      <c r="Z773" s="18">
        <f>+SMALL((Z668,Z689,Z710,Z731,Z752),1)*40%+SMALL((Z668,Z689,Z710,Z731,Z752),2)*30%+SMALL((Z668,Z689,Z710,Z731,Z752),3)*10%+SMALL((Z668,Z689,Z710,Z731,Z752),4)*10%+SMALL((Z668,Z689,Z710,Z731,Z752),5)*10%</f>
        <v>0</v>
      </c>
      <c r="AA773" s="18">
        <f>+SMALL((AA668,AA689,AA710,AA731,AA752),1)*40%+SMALL((AA668,AA689,AA710,AA731,AA752),2)*30%+SMALL((AA668,AA689,AA710,AA731,AA752),3)*10%+SMALL((AA668,AA689,AA710,AA731,AA752),4)*10%+SMALL((AA668,AA689,AA710,AA731,AA752),5)*10%</f>
        <v>0</v>
      </c>
      <c r="AB773" s="18">
        <f>+SMALL((AB668,AB689,AB710,AB731,AB752),1)*40%+SMALL((AB668,AB689,AB710,AB731,AB752),2)*30%+SMALL((AB668,AB689,AB710,AB731,AB752),3)*10%+SMALL((AB668,AB689,AB710,AB731,AB752),4)*10%+SMALL((AB668,AB689,AB710,AB731,AB752),5)*10%</f>
        <v>0</v>
      </c>
      <c r="AC773" s="18">
        <f>+SMALL((AC668,AC689,AC710,AC731,AC752),1)*40%+SMALL((AC668,AC689,AC710,AC731,AC752),2)*30%+SMALL((AC668,AC689,AC710,AC731,AC752),3)*10%+SMALL((AC668,AC689,AC710,AC731,AC752),4)*10%+SMALL((AC668,AC689,AC710,AC731,AC752),5)*10%</f>
        <v>0</v>
      </c>
      <c r="AD773" s="18">
        <f>+SMALL((AD668,AD689,AD710,AD731,AD752),1)*40%+SMALL((AD668,AD689,AD710,AD731,AD752),2)*30%+SMALL((AD668,AD689,AD710,AD731,AD752),3)*10%+SMALL((AD668,AD689,AD710,AD731,AD752),4)*10%+SMALL((AD668,AD689,AD710,AD731,AD752),5)*10%</f>
        <v>0</v>
      </c>
    </row>
    <row r="774" spans="2:30" x14ac:dyDescent="0.2">
      <c r="B774"/>
      <c r="C774" s="48">
        <f>+C773+1</f>
        <v>2</v>
      </c>
      <c r="D774" s="347" t="str">
        <f t="shared" si="601"/>
        <v>LNG - Global - RE cost - USD/GJ</v>
      </c>
      <c r="F774" t="str" cm="1">
        <f t="array" ref="F774">INDEX(list_ME_fuel,$C774)</f>
        <v>LNG</v>
      </c>
      <c r="L774" t="s">
        <v>109</v>
      </c>
      <c r="N774" t="str">
        <f t="shared" si="602"/>
        <v>RE cost - USD/GJ</v>
      </c>
      <c r="Q774" t="s">
        <v>324</v>
      </c>
      <c r="S774" s="18">
        <f>+SMALL((S669,S690,S711,S732,S753),1)*40%+SMALL((S669,S690,S711,S732,S753),2)*30%+SMALL((S669,S690,S711,S732,S753),3)*10%+SMALL((S669,S690,S711,S732,S753),4)*10%+SMALL((S669,S690,S711,S732,S753),5)*10%</f>
        <v>0</v>
      </c>
      <c r="T774" s="18">
        <f>+SMALL((T669,T690,T711,T732,T753),1)*40%+SMALL((T669,T690,T711,T732,T753),2)*30%+SMALL((T669,T690,T711,T732,T753),3)*10%+SMALL((T669,T690,T711,T732,T753),4)*10%+SMALL((T669,T690,T711,T732,T753),5)*10%</f>
        <v>0</v>
      </c>
      <c r="U774" s="18">
        <f>+SMALL((U669,U690,U711,U732,U753),1)*40%+SMALL((U669,U690,U711,U732,U753),2)*30%+SMALL((U669,U690,U711,U732,U753),3)*10%+SMALL((U669,U690,U711,U732,U753),4)*10%+SMALL((U669,U690,U711,U732,U753),5)*10%</f>
        <v>0</v>
      </c>
      <c r="V774" s="18">
        <f>+SMALL((V669,V690,V711,V732,V753),1)*40%+SMALL((V669,V690,V711,V732,V753),2)*30%+SMALL((V669,V690,V711,V732,V753),3)*10%+SMALL((V669,V690,V711,V732,V753),4)*10%+SMALL((V669,V690,V711,V732,V753),5)*10%</f>
        <v>0</v>
      </c>
      <c r="W774" s="18">
        <f>+SMALL((W669,W690,W711,W732,W753),1)*40%+SMALL((W669,W690,W711,W732,W753),2)*30%+SMALL((W669,W690,W711,W732,W753),3)*10%+SMALL((W669,W690,W711,W732,W753),4)*10%+SMALL((W669,W690,W711,W732,W753),5)*10%</f>
        <v>0</v>
      </c>
      <c r="X774" s="18">
        <f>+SMALL((X669,X690,X711,X732,X753),1)*40%+SMALL((X669,X690,X711,X732,X753),2)*30%+SMALL((X669,X690,X711,X732,X753),3)*10%+SMALL((X669,X690,X711,X732,X753),4)*10%+SMALL((X669,X690,X711,X732,X753),5)*10%</f>
        <v>0</v>
      </c>
      <c r="Y774" s="18">
        <f>+SMALL((Y669,Y690,Y711,Y732,Y753),1)*40%+SMALL((Y669,Y690,Y711,Y732,Y753),2)*30%+SMALL((Y669,Y690,Y711,Y732,Y753),3)*10%+SMALL((Y669,Y690,Y711,Y732,Y753),4)*10%+SMALL((Y669,Y690,Y711,Y732,Y753),5)*10%</f>
        <v>0</v>
      </c>
      <c r="Z774" s="18">
        <f>+SMALL((Z669,Z690,Z711,Z732,Z753),1)*40%+SMALL((Z669,Z690,Z711,Z732,Z753),2)*30%+SMALL((Z669,Z690,Z711,Z732,Z753),3)*10%+SMALL((Z669,Z690,Z711,Z732,Z753),4)*10%+SMALL((Z669,Z690,Z711,Z732,Z753),5)*10%</f>
        <v>0</v>
      </c>
      <c r="AA774" s="18">
        <f>+SMALL((AA669,AA690,AA711,AA732,AA753),1)*40%+SMALL((AA669,AA690,AA711,AA732,AA753),2)*30%+SMALL((AA669,AA690,AA711,AA732,AA753),3)*10%+SMALL((AA669,AA690,AA711,AA732,AA753),4)*10%+SMALL((AA669,AA690,AA711,AA732,AA753),5)*10%</f>
        <v>0</v>
      </c>
      <c r="AB774" s="18">
        <f>+SMALL((AB669,AB690,AB711,AB732,AB753),1)*40%+SMALL((AB669,AB690,AB711,AB732,AB753),2)*30%+SMALL((AB669,AB690,AB711,AB732,AB753),3)*10%+SMALL((AB669,AB690,AB711,AB732,AB753),4)*10%+SMALL((AB669,AB690,AB711,AB732,AB753),5)*10%</f>
        <v>0</v>
      </c>
      <c r="AC774" s="18">
        <f>+SMALL((AC669,AC690,AC711,AC732,AC753),1)*40%+SMALL((AC669,AC690,AC711,AC732,AC753),2)*30%+SMALL((AC669,AC690,AC711,AC732,AC753),3)*10%+SMALL((AC669,AC690,AC711,AC732,AC753),4)*10%+SMALL((AC669,AC690,AC711,AC732,AC753),5)*10%</f>
        <v>0</v>
      </c>
      <c r="AD774" s="18">
        <f>+SMALL((AD669,AD690,AD711,AD732,AD753),1)*40%+SMALL((AD669,AD690,AD711,AD732,AD753),2)*30%+SMALL((AD669,AD690,AD711,AD732,AD753),3)*10%+SMALL((AD669,AD690,AD711,AD732,AD753),4)*10%+SMALL((AD669,AD690,AD711,AD732,AD753),5)*10%</f>
        <v>0</v>
      </c>
    </row>
    <row r="775" spans="2:30" x14ac:dyDescent="0.2">
      <c r="B775"/>
      <c r="C775" s="48">
        <f t="shared" ref="C775:C792" si="603">+C774+1</f>
        <v>3</v>
      </c>
      <c r="D775" s="347" t="str">
        <f t="shared" si="601"/>
        <v>LPG - Global - RE cost - USD/GJ</v>
      </c>
      <c r="F775" t="str" cm="1">
        <f t="array" ref="F775">INDEX(list_ME_fuel,$C775)</f>
        <v>LPG</v>
      </c>
      <c r="L775" t="s">
        <v>109</v>
      </c>
      <c r="N775" t="str">
        <f t="shared" si="602"/>
        <v>RE cost - USD/GJ</v>
      </c>
      <c r="Q775" t="s">
        <v>324</v>
      </c>
      <c r="S775" s="18">
        <f>+SMALL((S670,S691,S712,S733,S754),1)*40%+SMALL((S670,S691,S712,S733,S754),2)*30%+SMALL((S670,S691,S712,S733,S754),3)*10%+SMALL((S670,S691,S712,S733,S754),4)*10%+SMALL((S670,S691,S712,S733,S754),5)*10%</f>
        <v>0</v>
      </c>
      <c r="T775" s="18">
        <f>+SMALL((T670,T691,T712,T733,T754),1)*40%+SMALL((T670,T691,T712,T733,T754),2)*30%+SMALL((T670,T691,T712,T733,T754),3)*10%+SMALL((T670,T691,T712,T733,T754),4)*10%+SMALL((T670,T691,T712,T733,T754),5)*10%</f>
        <v>0</v>
      </c>
      <c r="U775" s="18">
        <f>+SMALL((U670,U691,U712,U733,U754),1)*40%+SMALL((U670,U691,U712,U733,U754),2)*30%+SMALL((U670,U691,U712,U733,U754),3)*10%+SMALL((U670,U691,U712,U733,U754),4)*10%+SMALL((U670,U691,U712,U733,U754),5)*10%</f>
        <v>0</v>
      </c>
      <c r="V775" s="18">
        <f>+SMALL((V670,V691,V712,V733,V754),1)*40%+SMALL((V670,V691,V712,V733,V754),2)*30%+SMALL((V670,V691,V712,V733,V754),3)*10%+SMALL((V670,V691,V712,V733,V754),4)*10%+SMALL((V670,V691,V712,V733,V754),5)*10%</f>
        <v>0</v>
      </c>
      <c r="W775" s="18">
        <f>+SMALL((W670,W691,W712,W733,W754),1)*40%+SMALL((W670,W691,W712,W733,W754),2)*30%+SMALL((W670,W691,W712,W733,W754),3)*10%+SMALL((W670,W691,W712,W733,W754),4)*10%+SMALL((W670,W691,W712,W733,W754),5)*10%</f>
        <v>0</v>
      </c>
      <c r="X775" s="18">
        <f>+SMALL((X670,X691,X712,X733,X754),1)*40%+SMALL((X670,X691,X712,X733,X754),2)*30%+SMALL((X670,X691,X712,X733,X754),3)*10%+SMALL((X670,X691,X712,X733,X754),4)*10%+SMALL((X670,X691,X712,X733,X754),5)*10%</f>
        <v>0</v>
      </c>
      <c r="Y775" s="18">
        <f>+SMALL((Y670,Y691,Y712,Y733,Y754),1)*40%+SMALL((Y670,Y691,Y712,Y733,Y754),2)*30%+SMALL((Y670,Y691,Y712,Y733,Y754),3)*10%+SMALL((Y670,Y691,Y712,Y733,Y754),4)*10%+SMALL((Y670,Y691,Y712,Y733,Y754),5)*10%</f>
        <v>0</v>
      </c>
      <c r="Z775" s="18">
        <f>+SMALL((Z670,Z691,Z712,Z733,Z754),1)*40%+SMALL((Z670,Z691,Z712,Z733,Z754),2)*30%+SMALL((Z670,Z691,Z712,Z733,Z754),3)*10%+SMALL((Z670,Z691,Z712,Z733,Z754),4)*10%+SMALL((Z670,Z691,Z712,Z733,Z754),5)*10%</f>
        <v>0</v>
      </c>
      <c r="AA775" s="18">
        <f>+SMALL((AA670,AA691,AA712,AA733,AA754),1)*40%+SMALL((AA670,AA691,AA712,AA733,AA754),2)*30%+SMALL((AA670,AA691,AA712,AA733,AA754),3)*10%+SMALL((AA670,AA691,AA712,AA733,AA754),4)*10%+SMALL((AA670,AA691,AA712,AA733,AA754),5)*10%</f>
        <v>0</v>
      </c>
      <c r="AB775" s="18">
        <f>+SMALL((AB670,AB691,AB712,AB733,AB754),1)*40%+SMALL((AB670,AB691,AB712,AB733,AB754),2)*30%+SMALL((AB670,AB691,AB712,AB733,AB754),3)*10%+SMALL((AB670,AB691,AB712,AB733,AB754),4)*10%+SMALL((AB670,AB691,AB712,AB733,AB754),5)*10%</f>
        <v>0</v>
      </c>
      <c r="AC775" s="18">
        <f>+SMALL((AC670,AC691,AC712,AC733,AC754),1)*40%+SMALL((AC670,AC691,AC712,AC733,AC754),2)*30%+SMALL((AC670,AC691,AC712,AC733,AC754),3)*10%+SMALL((AC670,AC691,AC712,AC733,AC754),4)*10%+SMALL((AC670,AC691,AC712,AC733,AC754),5)*10%</f>
        <v>0</v>
      </c>
      <c r="AD775" s="18">
        <f>+SMALL((AD670,AD691,AD712,AD733,AD754),1)*40%+SMALL((AD670,AD691,AD712,AD733,AD754),2)*30%+SMALL((AD670,AD691,AD712,AD733,AD754),3)*10%+SMALL((AD670,AD691,AD712,AD733,AD754),4)*10%+SMALL((AD670,AD691,AD712,AD733,AD754),5)*10%</f>
        <v>0</v>
      </c>
    </row>
    <row r="776" spans="2:30" x14ac:dyDescent="0.2">
      <c r="B776"/>
      <c r="C776" s="48">
        <f t="shared" si="603"/>
        <v>4</v>
      </c>
      <c r="D776" s="347" t="str">
        <f t="shared" si="601"/>
        <v>Electricity - Global - RE cost - USD/GJ</v>
      </c>
      <c r="F776" t="str" cm="1">
        <f t="array" ref="F776">INDEX(list_ME_fuel,$C776)</f>
        <v>Electricity</v>
      </c>
      <c r="L776" t="s">
        <v>109</v>
      </c>
      <c r="N776" t="str">
        <f t="shared" si="602"/>
        <v>RE cost - USD/GJ</v>
      </c>
      <c r="Q776" t="str">
        <f t="shared" ref="Q776:Q792" si="604">+Q775</f>
        <v>USD/GJ</v>
      </c>
      <c r="S776" s="18">
        <f>+SMALL((S671,S692,S713,S734,S755),1)*40%+SMALL((S671,S692,S713,S734,S755),2)*30%+SMALL((S671,S692,S713,S734,S755),3)*10%+SMALL((S671,S692,S713,S734,S755),4)*10%+SMALL((S671,S692,S713,S734,S755),5)*10%</f>
        <v>0</v>
      </c>
      <c r="T776" s="18">
        <f>+SMALL((T671,T692,T713,T734,T755),1)*40%+SMALL((T671,T692,T713,T734,T755),2)*30%+SMALL((T671,T692,T713,T734,T755),3)*10%+SMALL((T671,T692,T713,T734,T755),4)*10%+SMALL((T671,T692,T713,T734,T755),5)*10%</f>
        <v>0</v>
      </c>
      <c r="U776" s="18">
        <f>+SMALL((U671,U692,U713,U734,U755),1)*40%+SMALL((U671,U692,U713,U734,U755),2)*30%+SMALL((U671,U692,U713,U734,U755),3)*10%+SMALL((U671,U692,U713,U734,U755),4)*10%+SMALL((U671,U692,U713,U734,U755),5)*10%</f>
        <v>0</v>
      </c>
      <c r="V776" s="18">
        <f>+SMALL((V671,V692,V713,V734,V755),1)*40%+SMALL((V671,V692,V713,V734,V755),2)*30%+SMALL((V671,V692,V713,V734,V755),3)*10%+SMALL((V671,V692,V713,V734,V755),4)*10%+SMALL((V671,V692,V713,V734,V755),5)*10%</f>
        <v>0</v>
      </c>
      <c r="W776" s="18">
        <f>+SMALL((W671,W692,W713,W734,W755),1)*40%+SMALL((W671,W692,W713,W734,W755),2)*30%+SMALL((W671,W692,W713,W734,W755),3)*10%+SMALL((W671,W692,W713,W734,W755),4)*10%+SMALL((W671,W692,W713,W734,W755),5)*10%</f>
        <v>0</v>
      </c>
      <c r="X776" s="18">
        <f>+SMALL((X671,X692,X713,X734,X755),1)*40%+SMALL((X671,X692,X713,X734,X755),2)*30%+SMALL((X671,X692,X713,X734,X755),3)*10%+SMALL((X671,X692,X713,X734,X755),4)*10%+SMALL((X671,X692,X713,X734,X755),5)*10%</f>
        <v>0</v>
      </c>
      <c r="Y776" s="18">
        <f>+SMALL((Y671,Y692,Y713,Y734,Y755),1)*40%+SMALL((Y671,Y692,Y713,Y734,Y755),2)*30%+SMALL((Y671,Y692,Y713,Y734,Y755),3)*10%+SMALL((Y671,Y692,Y713,Y734,Y755),4)*10%+SMALL((Y671,Y692,Y713,Y734,Y755),5)*10%</f>
        <v>0</v>
      </c>
      <c r="Z776" s="18">
        <f>+SMALL((Z671,Z692,Z713,Z734,Z755),1)*40%+SMALL((Z671,Z692,Z713,Z734,Z755),2)*30%+SMALL((Z671,Z692,Z713,Z734,Z755),3)*10%+SMALL((Z671,Z692,Z713,Z734,Z755),4)*10%+SMALL((Z671,Z692,Z713,Z734,Z755),5)*10%</f>
        <v>0</v>
      </c>
      <c r="AA776" s="18">
        <f>+SMALL((AA671,AA692,AA713,AA734,AA755),1)*40%+SMALL((AA671,AA692,AA713,AA734,AA755),2)*30%+SMALL((AA671,AA692,AA713,AA734,AA755),3)*10%+SMALL((AA671,AA692,AA713,AA734,AA755),4)*10%+SMALL((AA671,AA692,AA713,AA734,AA755),5)*10%</f>
        <v>0</v>
      </c>
      <c r="AB776" s="18">
        <f>+SMALL((AB671,AB692,AB713,AB734,AB755),1)*40%+SMALL((AB671,AB692,AB713,AB734,AB755),2)*30%+SMALL((AB671,AB692,AB713,AB734,AB755),3)*10%+SMALL((AB671,AB692,AB713,AB734,AB755),4)*10%+SMALL((AB671,AB692,AB713,AB734,AB755),5)*10%</f>
        <v>0</v>
      </c>
      <c r="AC776" s="18">
        <f>+SMALL((AC671,AC692,AC713,AC734,AC755),1)*40%+SMALL((AC671,AC692,AC713,AC734,AC755),2)*30%+SMALL((AC671,AC692,AC713,AC734,AC755),3)*10%+SMALL((AC671,AC692,AC713,AC734,AC755),4)*10%+SMALL((AC671,AC692,AC713,AC734,AC755),5)*10%</f>
        <v>0</v>
      </c>
      <c r="AD776" s="18">
        <f>+SMALL((AD671,AD692,AD713,AD734,AD755),1)*40%+SMALL((AD671,AD692,AD713,AD734,AD755),2)*30%+SMALL((AD671,AD692,AD713,AD734,AD755),3)*10%+SMALL((AD671,AD692,AD713,AD734,AD755),4)*10%+SMALL((AD671,AD692,AD713,AD734,AD755),5)*10%</f>
        <v>0</v>
      </c>
    </row>
    <row r="777" spans="2:30" x14ac:dyDescent="0.2">
      <c r="B777"/>
      <c r="C777" s="48">
        <f t="shared" si="603"/>
        <v>5</v>
      </c>
      <c r="D777" s="347" t="str">
        <f t="shared" si="601"/>
        <v>e-Ammonia - Global - RE cost - USD/GJ</v>
      </c>
      <c r="F777" t="str" cm="1">
        <f t="array" ref="F777">INDEX(list_ME_fuel,$C777)</f>
        <v>e-Ammonia</v>
      </c>
      <c r="L777" t="s">
        <v>109</v>
      </c>
      <c r="N777" t="str">
        <f t="shared" si="602"/>
        <v>RE cost - USD/GJ</v>
      </c>
      <c r="Q777" t="str">
        <f t="shared" si="604"/>
        <v>USD/GJ</v>
      </c>
      <c r="S777" s="18">
        <f>+SMALL((S672,S693,S714,S735,S756),1)*40%+SMALL((S672,S693,S714,S735,S756),2)*30%+SMALL((S672,S693,S714,S735,S756),3)*10%+SMALL((S672,S693,S714,S735,S756),4)*10%+SMALL((S672,S693,S714,S735,S756),5)*10%</f>
        <v>26.491404879613476</v>
      </c>
      <c r="T777" s="18">
        <f>+SMALL((T672,T693,T714,T735,T756),1)*40%+SMALL((T672,T693,T714,T735,T756),2)*30%+SMALL((T672,T693,T714,T735,T756),3)*10%+SMALL((T672,T693,T714,T735,T756),4)*10%+SMALL((T672,T693,T714,T735,T756),5)*10%</f>
        <v>20.30584756840938</v>
      </c>
      <c r="U777" s="18">
        <f>+SMALL((U672,U693,U714,U735,U756),1)*40%+SMALL((U672,U693,U714,U735,U756),2)*30%+SMALL((U672,U693,U714,U735,U756),3)*10%+SMALL((U672,U693,U714,U735,U756),4)*10%+SMALL((U672,U693,U714,U735,U756),5)*10%</f>
        <v>16.425663853805009</v>
      </c>
      <c r="V777" s="18">
        <f>+SMALL((V672,V693,V714,V735,V756),1)*40%+SMALL((V672,V693,V714,V735,V756),2)*30%+SMALL((V672,V693,V714,V735,V756),3)*10%+SMALL((V672,V693,V714,V735,V756),4)*10%+SMALL((V672,V693,V714,V735,V756),5)*10%</f>
        <v>13.816930018869165</v>
      </c>
      <c r="W777" s="18">
        <f>+SMALL((W672,W693,W714,W735,W756),1)*40%+SMALL((W672,W693,W714,W735,W756),2)*30%+SMALL((W672,W693,W714,W735,W756),3)*10%+SMALL((W672,W693,W714,W735,W756),4)*10%+SMALL((W672,W693,W714,W735,W756),5)*10%</f>
        <v>12.092099918251154</v>
      </c>
      <c r="X777" s="18">
        <f>+SMALL((X672,X693,X714,X735,X756),1)*40%+SMALL((X672,X693,X714,X735,X756),2)*30%+SMALL((X672,X693,X714,X735,X756),3)*10%+SMALL((X672,X693,X714,X735,X756),4)*10%+SMALL((X672,X693,X714,X735,X756),5)*10%</f>
        <v>10.382998922268955</v>
      </c>
      <c r="Y777" s="18">
        <f>+SMALL((Y672,Y693,Y714,Y735,Y756),1)*40%+SMALL((Y672,Y693,Y714,Y735,Y756),2)*30%+SMALL((Y672,Y693,Y714,Y735,Y756),3)*10%+SMALL((Y672,Y693,Y714,Y735,Y756),4)*10%+SMALL((Y672,Y693,Y714,Y735,Y756),5)*10%</f>
        <v>9.3590460222813654</v>
      </c>
      <c r="Z777" s="18">
        <f>+SMALL((Z672,Z693,Z714,Z735,Z756),1)*40%+SMALL((Z672,Z693,Z714,Z735,Z756),2)*30%+SMALL((Z672,Z693,Z714,Z735,Z756),3)*10%+SMALL((Z672,Z693,Z714,Z735,Z756),4)*10%+SMALL((Z672,Z693,Z714,Z735,Z756),5)*10%</f>
        <v>9.3590460222813654</v>
      </c>
      <c r="AA777" s="18">
        <f>+SMALL((AA672,AA693,AA714,AA735,AA756),1)*40%+SMALL((AA672,AA693,AA714,AA735,AA756),2)*30%+SMALL((AA672,AA693,AA714,AA735,AA756),3)*10%+SMALL((AA672,AA693,AA714,AA735,AA756),4)*10%+SMALL((AA672,AA693,AA714,AA735,AA756),5)*10%</f>
        <v>9.3590460222813654</v>
      </c>
      <c r="AB777" s="18">
        <f>+SMALL((AB672,AB693,AB714,AB735,AB756),1)*40%+SMALL((AB672,AB693,AB714,AB735,AB756),2)*30%+SMALL((AB672,AB693,AB714,AB735,AB756),3)*10%+SMALL((AB672,AB693,AB714,AB735,AB756),4)*10%+SMALL((AB672,AB693,AB714,AB735,AB756),5)*10%</f>
        <v>9.3590460222813654</v>
      </c>
      <c r="AC777" s="18">
        <f>+SMALL((AC672,AC693,AC714,AC735,AC756),1)*40%+SMALL((AC672,AC693,AC714,AC735,AC756),2)*30%+SMALL((AC672,AC693,AC714,AC735,AC756),3)*10%+SMALL((AC672,AC693,AC714,AC735,AC756),4)*10%+SMALL((AC672,AC693,AC714,AC735,AC756),5)*10%</f>
        <v>9.3590460222813654</v>
      </c>
      <c r="AD777" s="18">
        <f>+SMALL((AD672,AD693,AD714,AD735,AD756),1)*40%+SMALL((AD672,AD693,AD714,AD735,AD756),2)*30%+SMALL((AD672,AD693,AD714,AD735,AD756),3)*10%+SMALL((AD672,AD693,AD714,AD735,AD756),4)*10%+SMALL((AD672,AD693,AD714,AD735,AD756),5)*10%</f>
        <v>9.3590460222813654</v>
      </c>
    </row>
    <row r="778" spans="2:30" x14ac:dyDescent="0.2">
      <c r="C778" s="48">
        <f t="shared" si="603"/>
        <v>6</v>
      </c>
      <c r="D778" s="347" t="str">
        <f t="shared" si="601"/>
        <v>Blue ammonia - Global - RE cost - USD/GJ</v>
      </c>
      <c r="F778" t="str" cm="1">
        <f t="array" ref="F778">INDEX(list_ME_fuel,$C778)</f>
        <v>Blue ammonia</v>
      </c>
      <c r="L778" t="s">
        <v>109</v>
      </c>
      <c r="N778" t="str">
        <f t="shared" si="602"/>
        <v>RE cost - USD/GJ</v>
      </c>
      <c r="Q778" t="str">
        <f t="shared" si="604"/>
        <v>USD/GJ</v>
      </c>
      <c r="S778" s="18">
        <f>+SMALL((S673,S694,S715,S736,S757),1)*40%+SMALL((S673,S694,S715,S736,S757),2)*30%+SMALL((S673,S694,S715,S736,S757),3)*10%+SMALL((S673,S694,S715,S736,S757),4)*10%+SMALL((S673,S694,S715,S736,S757),5)*10%</f>
        <v>0</v>
      </c>
      <c r="T778" s="18">
        <f>+SMALL((T673,T694,T715,T736,T757),1)*40%+SMALL((T673,T694,T715,T736,T757),2)*30%+SMALL((T673,T694,T715,T736,T757),3)*10%+SMALL((T673,T694,T715,T736,T757),4)*10%+SMALL((T673,T694,T715,T736,T757),5)*10%</f>
        <v>0</v>
      </c>
      <c r="U778" s="18">
        <f>+SMALL((U673,U694,U715,U736,U757),1)*40%+SMALL((U673,U694,U715,U736,U757),2)*30%+SMALL((U673,U694,U715,U736,U757),3)*10%+SMALL((U673,U694,U715,U736,U757),4)*10%+SMALL((U673,U694,U715,U736,U757),5)*10%</f>
        <v>0</v>
      </c>
      <c r="V778" s="18">
        <f>+SMALL((V673,V694,V715,V736,V757),1)*40%+SMALL((V673,V694,V715,V736,V757),2)*30%+SMALL((V673,V694,V715,V736,V757),3)*10%+SMALL((V673,V694,V715,V736,V757),4)*10%+SMALL((V673,V694,V715,V736,V757),5)*10%</f>
        <v>0</v>
      </c>
      <c r="W778" s="18">
        <f>+SMALL((W673,W694,W715,W736,W757),1)*40%+SMALL((W673,W694,W715,W736,W757),2)*30%+SMALL((W673,W694,W715,W736,W757),3)*10%+SMALL((W673,W694,W715,W736,W757),4)*10%+SMALL((W673,W694,W715,W736,W757),5)*10%</f>
        <v>0</v>
      </c>
      <c r="X778" s="18">
        <f>+SMALL((X673,X694,X715,X736,X757),1)*40%+SMALL((X673,X694,X715,X736,X757),2)*30%+SMALL((X673,X694,X715,X736,X757),3)*10%+SMALL((X673,X694,X715,X736,X757),4)*10%+SMALL((X673,X694,X715,X736,X757),5)*10%</f>
        <v>0</v>
      </c>
      <c r="Y778" s="18">
        <f>+SMALL((Y673,Y694,Y715,Y736,Y757),1)*40%+SMALL((Y673,Y694,Y715,Y736,Y757),2)*30%+SMALL((Y673,Y694,Y715,Y736,Y757),3)*10%+SMALL((Y673,Y694,Y715,Y736,Y757),4)*10%+SMALL((Y673,Y694,Y715,Y736,Y757),5)*10%</f>
        <v>0</v>
      </c>
      <c r="Z778" s="18">
        <f>+SMALL((Z673,Z694,Z715,Z736,Z757),1)*40%+SMALL((Z673,Z694,Z715,Z736,Z757),2)*30%+SMALL((Z673,Z694,Z715,Z736,Z757),3)*10%+SMALL((Z673,Z694,Z715,Z736,Z757),4)*10%+SMALL((Z673,Z694,Z715,Z736,Z757),5)*10%</f>
        <v>0</v>
      </c>
      <c r="AA778" s="18">
        <f>+SMALL((AA673,AA694,AA715,AA736,AA757),1)*40%+SMALL((AA673,AA694,AA715,AA736,AA757),2)*30%+SMALL((AA673,AA694,AA715,AA736,AA757),3)*10%+SMALL((AA673,AA694,AA715,AA736,AA757),4)*10%+SMALL((AA673,AA694,AA715,AA736,AA757),5)*10%</f>
        <v>0</v>
      </c>
      <c r="AB778" s="18">
        <f>+SMALL((AB673,AB694,AB715,AB736,AB757),1)*40%+SMALL((AB673,AB694,AB715,AB736,AB757),2)*30%+SMALL((AB673,AB694,AB715,AB736,AB757),3)*10%+SMALL((AB673,AB694,AB715,AB736,AB757),4)*10%+SMALL((AB673,AB694,AB715,AB736,AB757),5)*10%</f>
        <v>0</v>
      </c>
      <c r="AC778" s="18">
        <f>+SMALL((AC673,AC694,AC715,AC736,AC757),1)*40%+SMALL((AC673,AC694,AC715,AC736,AC757),2)*30%+SMALL((AC673,AC694,AC715,AC736,AC757),3)*10%+SMALL((AC673,AC694,AC715,AC736,AC757),4)*10%+SMALL((AC673,AC694,AC715,AC736,AC757),5)*10%</f>
        <v>0</v>
      </c>
      <c r="AD778" s="18">
        <f>+SMALL((AD673,AD694,AD715,AD736,AD757),1)*40%+SMALL((AD673,AD694,AD715,AD736,AD757),2)*30%+SMALL((AD673,AD694,AD715,AD736,AD757),3)*10%+SMALL((AD673,AD694,AD715,AD736,AD757),4)*10%+SMALL((AD673,AD694,AD715,AD736,AD757),5)*10%</f>
        <v>0</v>
      </c>
    </row>
    <row r="779" spans="2:30" x14ac:dyDescent="0.2">
      <c r="C779" s="48">
        <f t="shared" si="603"/>
        <v>7</v>
      </c>
      <c r="D779" s="347" t="str">
        <f t="shared" si="601"/>
        <v>Biomethane - Global - RE cost - USD/GJ</v>
      </c>
      <c r="F779" t="str" cm="1">
        <f t="array" ref="F779">INDEX(list_ME_fuel,$C779)</f>
        <v>Biomethane</v>
      </c>
      <c r="L779" t="s">
        <v>109</v>
      </c>
      <c r="N779" t="str">
        <f t="shared" si="602"/>
        <v>RE cost - USD/GJ</v>
      </c>
      <c r="Q779" t="str">
        <f t="shared" si="604"/>
        <v>USD/GJ</v>
      </c>
      <c r="S779" s="18">
        <f>+SMALL((S674,S695,S716,S737,S758),1)*40%+SMALL((S674,S695,S716,S737,S758),2)*30%+SMALL((S674,S695,S716,S737,S758),3)*10%+SMALL((S674,S695,S716,S737,S758),4)*10%+SMALL((S674,S695,S716,S737,S758),5)*10%</f>
        <v>0</v>
      </c>
      <c r="T779" s="18">
        <f>+SMALL((T674,T695,T716,T737,T758),1)*40%+SMALL((T674,T695,T716,T737,T758),2)*30%+SMALL((T674,T695,T716,T737,T758),3)*10%+SMALL((T674,T695,T716,T737,T758),4)*10%+SMALL((T674,T695,T716,T737,T758),5)*10%</f>
        <v>0</v>
      </c>
      <c r="U779" s="18">
        <f>+SMALL((U674,U695,U716,U737,U758),1)*40%+SMALL((U674,U695,U716,U737,U758),2)*30%+SMALL((U674,U695,U716,U737,U758),3)*10%+SMALL((U674,U695,U716,U737,U758),4)*10%+SMALL((U674,U695,U716,U737,U758),5)*10%</f>
        <v>0</v>
      </c>
      <c r="V779" s="18">
        <f>+SMALL((V674,V695,V716,V737,V758),1)*40%+SMALL((V674,V695,V716,V737,V758),2)*30%+SMALL((V674,V695,V716,V737,V758),3)*10%+SMALL((V674,V695,V716,V737,V758),4)*10%+SMALL((V674,V695,V716,V737,V758),5)*10%</f>
        <v>0</v>
      </c>
      <c r="W779" s="18">
        <f>+SMALL((W674,W695,W716,W737,W758),1)*40%+SMALL((W674,W695,W716,W737,W758),2)*30%+SMALL((W674,W695,W716,W737,W758),3)*10%+SMALL((W674,W695,W716,W737,W758),4)*10%+SMALL((W674,W695,W716,W737,W758),5)*10%</f>
        <v>0</v>
      </c>
      <c r="X779" s="18">
        <f>+SMALL((X674,X695,X716,X737,X758),1)*40%+SMALL((X674,X695,X716,X737,X758),2)*30%+SMALL((X674,X695,X716,X737,X758),3)*10%+SMALL((X674,X695,X716,X737,X758),4)*10%+SMALL((X674,X695,X716,X737,X758),5)*10%</f>
        <v>0</v>
      </c>
      <c r="Y779" s="18">
        <f>+SMALL((Y674,Y695,Y716,Y737,Y758),1)*40%+SMALL((Y674,Y695,Y716,Y737,Y758),2)*30%+SMALL((Y674,Y695,Y716,Y737,Y758),3)*10%+SMALL((Y674,Y695,Y716,Y737,Y758),4)*10%+SMALL((Y674,Y695,Y716,Y737,Y758),5)*10%</f>
        <v>0</v>
      </c>
      <c r="Z779" s="18">
        <f>+SMALL((Z674,Z695,Z716,Z737,Z758),1)*40%+SMALL((Z674,Z695,Z716,Z737,Z758),2)*30%+SMALL((Z674,Z695,Z716,Z737,Z758),3)*10%+SMALL((Z674,Z695,Z716,Z737,Z758),4)*10%+SMALL((Z674,Z695,Z716,Z737,Z758),5)*10%</f>
        <v>0</v>
      </c>
      <c r="AA779" s="18">
        <f>+SMALL((AA674,AA695,AA716,AA737,AA758),1)*40%+SMALL((AA674,AA695,AA716,AA737,AA758),2)*30%+SMALL((AA674,AA695,AA716,AA737,AA758),3)*10%+SMALL((AA674,AA695,AA716,AA737,AA758),4)*10%+SMALL((AA674,AA695,AA716,AA737,AA758),5)*10%</f>
        <v>0</v>
      </c>
      <c r="AB779" s="18">
        <f>+SMALL((AB674,AB695,AB716,AB737,AB758),1)*40%+SMALL((AB674,AB695,AB716,AB737,AB758),2)*30%+SMALL((AB674,AB695,AB716,AB737,AB758),3)*10%+SMALL((AB674,AB695,AB716,AB737,AB758),4)*10%+SMALL((AB674,AB695,AB716,AB737,AB758),5)*10%</f>
        <v>0</v>
      </c>
      <c r="AC779" s="18">
        <f>+SMALL((AC674,AC695,AC716,AC737,AC758),1)*40%+SMALL((AC674,AC695,AC716,AC737,AC758),2)*30%+SMALL((AC674,AC695,AC716,AC737,AC758),3)*10%+SMALL((AC674,AC695,AC716,AC737,AC758),4)*10%+SMALL((AC674,AC695,AC716,AC737,AC758),5)*10%</f>
        <v>0</v>
      </c>
      <c r="AD779" s="18">
        <f>+SMALL((AD674,AD695,AD716,AD737,AD758),1)*40%+SMALL((AD674,AD695,AD716,AD737,AD758),2)*30%+SMALL((AD674,AD695,AD716,AD737,AD758),3)*10%+SMALL((AD674,AD695,AD716,AD737,AD758),4)*10%+SMALL((AD674,AD695,AD716,AD737,AD758),5)*10%</f>
        <v>0</v>
      </c>
    </row>
    <row r="780" spans="2:30" x14ac:dyDescent="0.2">
      <c r="C780" s="48">
        <f t="shared" si="603"/>
        <v>8</v>
      </c>
      <c r="D780" s="347" t="str">
        <f t="shared" si="601"/>
        <v>e-Methane (DAC) - Global - RE cost - USD/GJ</v>
      </c>
      <c r="F780" t="str" cm="1">
        <f t="array" ref="F780">INDEX(list_ME_fuel,$C780)</f>
        <v>e-Methane (DAC)</v>
      </c>
      <c r="L780" t="s">
        <v>109</v>
      </c>
      <c r="N780" t="str">
        <f t="shared" si="602"/>
        <v>RE cost - USD/GJ</v>
      </c>
      <c r="Q780" t="str">
        <f t="shared" si="604"/>
        <v>USD/GJ</v>
      </c>
      <c r="S780" s="18">
        <f>+SMALL((S675,S696,S717,S738,S759),1)*40%+SMALL((S675,S696,S717,S738,S759),2)*30%+SMALL((S675,S696,S717,S738,S759),3)*10%+SMALL((S675,S696,S717,S738,S759),4)*10%+SMALL((S675,S696,S717,S738,S759),5)*10%</f>
        <v>27.375977630606151</v>
      </c>
      <c r="T780" s="18">
        <f>+SMALL((T675,T696,T717,T738,T759),1)*40%+SMALL((T675,T696,T717,T738,T759),2)*30%+SMALL((T675,T696,T717,T738,T759),3)*10%+SMALL((T675,T696,T717,T738,T759),4)*10%+SMALL((T675,T696,T717,T738,T759),5)*10%</f>
        <v>20.982844933679125</v>
      </c>
      <c r="U780" s="18">
        <f>+SMALL((U675,U696,U717,U738,U759),1)*40%+SMALL((U675,U696,U717,U738,U759),2)*30%+SMALL((U675,U696,U717,U738,U759),3)*10%+SMALL((U675,U696,U717,U738,U759),4)*10%+SMALL((U675,U696,U717,U738,U759),5)*10%</f>
        <v>16.970904101039331</v>
      </c>
      <c r="V780" s="18">
        <f>+SMALL((V675,V696,V717,V738,V759),1)*40%+SMALL((V675,V696,V717,V738,V759),2)*30%+SMALL((V675,V696,V717,V738,V759),3)*10%+SMALL((V675,V696,V717,V738,V759),4)*10%+SMALL((V675,V696,V717,V738,V759),5)*10%</f>
        <v>14.269965884136887</v>
      </c>
      <c r="W780" s="18">
        <f>+SMALL((W675,W696,W717,W738,W759),1)*40%+SMALL((W675,W696,W717,W738,W759),2)*30%+SMALL((W675,W696,W717,W738,W759),3)*10%+SMALL((W675,W696,W717,W738,W759),4)*10%+SMALL((W675,W696,W717,W738,W759),5)*10%</f>
        <v>12.482196880761133</v>
      </c>
      <c r="X780" s="18">
        <f>+SMALL((X675,X696,X717,X738,X759),1)*40%+SMALL((X675,X696,X717,X738,X759),2)*30%+SMALL((X675,X696,X717,X738,X759),3)*10%+SMALL((X675,X696,X717,X738,X759),4)*10%+SMALL((X675,X696,X717,X738,X759),5)*10%</f>
        <v>10.709840969840322</v>
      </c>
      <c r="Y780" s="18">
        <f>+SMALL((Y675,Y696,Y717,Y738,Y759),1)*40%+SMALL((Y675,Y696,Y717,Y738,Y759),2)*30%+SMALL((Y675,Y696,Y717,Y738,Y759),3)*10%+SMALL((Y675,Y696,Y717,Y738,Y759),4)*10%+SMALL((Y675,Y696,Y717,Y738,Y759),5)*10%</f>
        <v>9.6471942752925219</v>
      </c>
      <c r="Z780" s="18">
        <f>+SMALL((Z675,Z696,Z717,Z738,Z759),1)*40%+SMALL((Z675,Z696,Z717,Z738,Z759),2)*30%+SMALL((Z675,Z696,Z717,Z738,Z759),3)*10%+SMALL((Z675,Z696,Z717,Z738,Z759),4)*10%+SMALL((Z675,Z696,Z717,Z738,Z759),5)*10%</f>
        <v>9.6471942752925219</v>
      </c>
      <c r="AA780" s="18">
        <f>+SMALL((AA675,AA696,AA717,AA738,AA759),1)*40%+SMALL((AA675,AA696,AA717,AA738,AA759),2)*30%+SMALL((AA675,AA696,AA717,AA738,AA759),3)*10%+SMALL((AA675,AA696,AA717,AA738,AA759),4)*10%+SMALL((AA675,AA696,AA717,AA738,AA759),5)*10%</f>
        <v>9.6471942752925219</v>
      </c>
      <c r="AB780" s="18">
        <f>+SMALL((AB675,AB696,AB717,AB738,AB759),1)*40%+SMALL((AB675,AB696,AB717,AB738,AB759),2)*30%+SMALL((AB675,AB696,AB717,AB738,AB759),3)*10%+SMALL((AB675,AB696,AB717,AB738,AB759),4)*10%+SMALL((AB675,AB696,AB717,AB738,AB759),5)*10%</f>
        <v>9.6471942752925219</v>
      </c>
      <c r="AC780" s="18">
        <f>+SMALL((AC675,AC696,AC717,AC738,AC759),1)*40%+SMALL((AC675,AC696,AC717,AC738,AC759),2)*30%+SMALL((AC675,AC696,AC717,AC738,AC759),3)*10%+SMALL((AC675,AC696,AC717,AC738,AC759),4)*10%+SMALL((AC675,AC696,AC717,AC738,AC759),5)*10%</f>
        <v>9.6471942752925219</v>
      </c>
      <c r="AD780" s="18">
        <f>+SMALL((AD675,AD696,AD717,AD738,AD759),1)*40%+SMALL((AD675,AD696,AD717,AD738,AD759),2)*30%+SMALL((AD675,AD696,AD717,AD738,AD759),3)*10%+SMALL((AD675,AD696,AD717,AD738,AD759),4)*10%+SMALL((AD675,AD696,AD717,AD738,AD759),5)*10%</f>
        <v>9.6471942752925219</v>
      </c>
    </row>
    <row r="781" spans="2:30" x14ac:dyDescent="0.2">
      <c r="C781" s="48">
        <f t="shared" si="603"/>
        <v>9</v>
      </c>
      <c r="D781" s="347" t="str">
        <f t="shared" si="601"/>
        <v>e-Methane (PS) - Global - RE cost - USD/GJ</v>
      </c>
      <c r="F781" t="str" cm="1">
        <f t="array" ref="F781">INDEX(list_ME_fuel,$C781)</f>
        <v>e-Methane (PS)</v>
      </c>
      <c r="L781" t="s">
        <v>109</v>
      </c>
      <c r="N781" t="str">
        <f t="shared" si="602"/>
        <v>RE cost - USD/GJ</v>
      </c>
      <c r="Q781" t="str">
        <f t="shared" si="604"/>
        <v>USD/GJ</v>
      </c>
      <c r="S781" s="18">
        <f>+SMALL((S676,S697,S718,S739,S760),1)*40%+SMALL((S676,S697,S718,S739,S760),2)*30%+SMALL((S676,S697,S718,S739,S760),3)*10%+SMALL((S676,S697,S718,S739,S760),4)*10%+SMALL((S676,S697,S718,S739,S760),5)*10%</f>
        <v>27.375977630606151</v>
      </c>
      <c r="T781" s="18">
        <f>+SMALL((T676,T697,T718,T739,T760),1)*40%+SMALL((T676,T697,T718,T739,T760),2)*30%+SMALL((T676,T697,T718,T739,T760),3)*10%+SMALL((T676,T697,T718,T739,T760),4)*10%+SMALL((T676,T697,T718,T739,T760),5)*10%</f>
        <v>20.982844933679125</v>
      </c>
      <c r="U781" s="18">
        <f>+SMALL((U676,U697,U718,U739,U760),1)*40%+SMALL((U676,U697,U718,U739,U760),2)*30%+SMALL((U676,U697,U718,U739,U760),3)*10%+SMALL((U676,U697,U718,U739,U760),4)*10%+SMALL((U676,U697,U718,U739,U760),5)*10%</f>
        <v>16.970904101039331</v>
      </c>
      <c r="V781" s="18">
        <f>+SMALL((V676,V697,V718,V739,V760),1)*40%+SMALL((V676,V697,V718,V739,V760),2)*30%+SMALL((V676,V697,V718,V739,V760),3)*10%+SMALL((V676,V697,V718,V739,V760),4)*10%+SMALL((V676,V697,V718,V739,V760),5)*10%</f>
        <v>14.269965884136887</v>
      </c>
      <c r="W781" s="18">
        <f>+SMALL((W676,W697,W718,W739,W760),1)*40%+SMALL((W676,W697,W718,W739,W760),2)*30%+SMALL((W676,W697,W718,W739,W760),3)*10%+SMALL((W676,W697,W718,W739,W760),4)*10%+SMALL((W676,W697,W718,W739,W760),5)*10%</f>
        <v>12.482196880761133</v>
      </c>
      <c r="X781" s="18">
        <f>+SMALL((X676,X697,X718,X739,X760),1)*40%+SMALL((X676,X697,X718,X739,X760),2)*30%+SMALL((X676,X697,X718,X739,X760),3)*10%+SMALL((X676,X697,X718,X739,X760),4)*10%+SMALL((X676,X697,X718,X739,X760),5)*10%</f>
        <v>10.709840969840322</v>
      </c>
      <c r="Y781" s="18">
        <f>+SMALL((Y676,Y697,Y718,Y739,Y760),1)*40%+SMALL((Y676,Y697,Y718,Y739,Y760),2)*30%+SMALL((Y676,Y697,Y718,Y739,Y760),3)*10%+SMALL((Y676,Y697,Y718,Y739,Y760),4)*10%+SMALL((Y676,Y697,Y718,Y739,Y760),5)*10%</f>
        <v>9.6471942752925219</v>
      </c>
      <c r="Z781" s="18">
        <f>+SMALL((Z676,Z697,Z718,Z739,Z760),1)*40%+SMALL((Z676,Z697,Z718,Z739,Z760),2)*30%+SMALL((Z676,Z697,Z718,Z739,Z760),3)*10%+SMALL((Z676,Z697,Z718,Z739,Z760),4)*10%+SMALL((Z676,Z697,Z718,Z739,Z760),5)*10%</f>
        <v>9.6471942752925219</v>
      </c>
      <c r="AA781" s="18">
        <f>+SMALL((AA676,AA697,AA718,AA739,AA760),1)*40%+SMALL((AA676,AA697,AA718,AA739,AA760),2)*30%+SMALL((AA676,AA697,AA718,AA739,AA760),3)*10%+SMALL((AA676,AA697,AA718,AA739,AA760),4)*10%+SMALL((AA676,AA697,AA718,AA739,AA760),5)*10%</f>
        <v>9.6471942752925219</v>
      </c>
      <c r="AB781" s="18">
        <f>+SMALL((AB676,AB697,AB718,AB739,AB760),1)*40%+SMALL((AB676,AB697,AB718,AB739,AB760),2)*30%+SMALL((AB676,AB697,AB718,AB739,AB760),3)*10%+SMALL((AB676,AB697,AB718,AB739,AB760),4)*10%+SMALL((AB676,AB697,AB718,AB739,AB760),5)*10%</f>
        <v>9.6471942752925219</v>
      </c>
      <c r="AC781" s="18">
        <f>+SMALL((AC676,AC697,AC718,AC739,AC760),1)*40%+SMALL((AC676,AC697,AC718,AC739,AC760),2)*30%+SMALL((AC676,AC697,AC718,AC739,AC760),3)*10%+SMALL((AC676,AC697,AC718,AC739,AC760),4)*10%+SMALL((AC676,AC697,AC718,AC739,AC760),5)*10%</f>
        <v>9.6471942752925219</v>
      </c>
      <c r="AD781" s="18">
        <f>+SMALL((AD676,AD697,AD718,AD739,AD760),1)*40%+SMALL((AD676,AD697,AD718,AD739,AD760),2)*30%+SMALL((AD676,AD697,AD718,AD739,AD760),3)*10%+SMALL((AD676,AD697,AD718,AD739,AD760),4)*10%+SMALL((AD676,AD697,AD718,AD739,AD760),5)*10%</f>
        <v>9.6471942752925219</v>
      </c>
    </row>
    <row r="782" spans="2:30" x14ac:dyDescent="0.2">
      <c r="C782" s="48">
        <f t="shared" si="603"/>
        <v>10</v>
      </c>
      <c r="D782" s="347" t="str">
        <f t="shared" si="601"/>
        <v>Biomethanol - Global - RE cost - USD/GJ</v>
      </c>
      <c r="F782" t="str" cm="1">
        <f t="array" ref="F782">INDEX(list_ME_fuel,$C782)</f>
        <v>Biomethanol</v>
      </c>
      <c r="L782" t="s">
        <v>109</v>
      </c>
      <c r="N782" t="str">
        <f t="shared" si="602"/>
        <v>RE cost - USD/GJ</v>
      </c>
      <c r="Q782" t="str">
        <f t="shared" si="604"/>
        <v>USD/GJ</v>
      </c>
      <c r="S782" s="18">
        <f>+SMALL((S677,S698,S719,S740,S761),1)*40%+SMALL((S677,S698,S719,S740,S761),2)*30%+SMALL((S677,S698,S719,S740,S761),3)*10%+SMALL((S677,S698,S719,S740,S761),4)*10%+SMALL((S677,S698,S719,S740,S761),5)*10%</f>
        <v>0</v>
      </c>
      <c r="T782" s="18">
        <f>+SMALL((T677,T698,T719,T740,T761),1)*40%+SMALL((T677,T698,T719,T740,T761),2)*30%+SMALL((T677,T698,T719,T740,T761),3)*10%+SMALL((T677,T698,T719,T740,T761),4)*10%+SMALL((T677,T698,T719,T740,T761),5)*10%</f>
        <v>0</v>
      </c>
      <c r="U782" s="18">
        <f>+SMALL((U677,U698,U719,U740,U761),1)*40%+SMALL((U677,U698,U719,U740,U761),2)*30%+SMALL((U677,U698,U719,U740,U761),3)*10%+SMALL((U677,U698,U719,U740,U761),4)*10%+SMALL((U677,U698,U719,U740,U761),5)*10%</f>
        <v>0</v>
      </c>
      <c r="V782" s="18">
        <f>+SMALL((V677,V698,V719,V740,V761),1)*40%+SMALL((V677,V698,V719,V740,V761),2)*30%+SMALL((V677,V698,V719,V740,V761),3)*10%+SMALL((V677,V698,V719,V740,V761),4)*10%+SMALL((V677,V698,V719,V740,V761),5)*10%</f>
        <v>0</v>
      </c>
      <c r="W782" s="18">
        <f>+SMALL((W677,W698,W719,W740,W761),1)*40%+SMALL((W677,W698,W719,W740,W761),2)*30%+SMALL((W677,W698,W719,W740,W761),3)*10%+SMALL((W677,W698,W719,W740,W761),4)*10%+SMALL((W677,W698,W719,W740,W761),5)*10%</f>
        <v>0</v>
      </c>
      <c r="X782" s="18">
        <f>+SMALL((X677,X698,X719,X740,X761),1)*40%+SMALL((X677,X698,X719,X740,X761),2)*30%+SMALL((X677,X698,X719,X740,X761),3)*10%+SMALL((X677,X698,X719,X740,X761),4)*10%+SMALL((X677,X698,X719,X740,X761),5)*10%</f>
        <v>0</v>
      </c>
      <c r="Y782" s="18">
        <f>+SMALL((Y677,Y698,Y719,Y740,Y761),1)*40%+SMALL((Y677,Y698,Y719,Y740,Y761),2)*30%+SMALL((Y677,Y698,Y719,Y740,Y761),3)*10%+SMALL((Y677,Y698,Y719,Y740,Y761),4)*10%+SMALL((Y677,Y698,Y719,Y740,Y761),5)*10%</f>
        <v>0</v>
      </c>
      <c r="Z782" s="18">
        <f>+SMALL((Z677,Z698,Z719,Z740,Z761),1)*40%+SMALL((Z677,Z698,Z719,Z740,Z761),2)*30%+SMALL((Z677,Z698,Z719,Z740,Z761),3)*10%+SMALL((Z677,Z698,Z719,Z740,Z761),4)*10%+SMALL((Z677,Z698,Z719,Z740,Z761),5)*10%</f>
        <v>0</v>
      </c>
      <c r="AA782" s="18">
        <f>+SMALL((AA677,AA698,AA719,AA740,AA761),1)*40%+SMALL((AA677,AA698,AA719,AA740,AA761),2)*30%+SMALL((AA677,AA698,AA719,AA740,AA761),3)*10%+SMALL((AA677,AA698,AA719,AA740,AA761),4)*10%+SMALL((AA677,AA698,AA719,AA740,AA761),5)*10%</f>
        <v>0</v>
      </c>
      <c r="AB782" s="18">
        <f>+SMALL((AB677,AB698,AB719,AB740,AB761),1)*40%+SMALL((AB677,AB698,AB719,AB740,AB761),2)*30%+SMALL((AB677,AB698,AB719,AB740,AB761),3)*10%+SMALL((AB677,AB698,AB719,AB740,AB761),4)*10%+SMALL((AB677,AB698,AB719,AB740,AB761),5)*10%</f>
        <v>0</v>
      </c>
      <c r="AC782" s="18">
        <f>+SMALL((AC677,AC698,AC719,AC740,AC761),1)*40%+SMALL((AC677,AC698,AC719,AC740,AC761),2)*30%+SMALL((AC677,AC698,AC719,AC740,AC761),3)*10%+SMALL((AC677,AC698,AC719,AC740,AC761),4)*10%+SMALL((AC677,AC698,AC719,AC740,AC761),5)*10%</f>
        <v>0</v>
      </c>
      <c r="AD782" s="18">
        <f>+SMALL((AD677,AD698,AD719,AD740,AD761),1)*40%+SMALL((AD677,AD698,AD719,AD740,AD761),2)*30%+SMALL((AD677,AD698,AD719,AD740,AD761),3)*10%+SMALL((AD677,AD698,AD719,AD740,AD761),4)*10%+SMALL((AD677,AD698,AD719,AD740,AD761),5)*10%</f>
        <v>0</v>
      </c>
    </row>
    <row r="783" spans="2:30" x14ac:dyDescent="0.2">
      <c r="C783" s="48">
        <f t="shared" si="603"/>
        <v>11</v>
      </c>
      <c r="D783" s="347" t="str">
        <f t="shared" si="601"/>
        <v>e-Methanol (DAC) - Global - RE cost - USD/GJ</v>
      </c>
      <c r="F783" t="str" cm="1">
        <f t="array" ref="F783">INDEX(list_ME_fuel,$C783)</f>
        <v>e-Methanol (DAC)</v>
      </c>
      <c r="L783" t="s">
        <v>109</v>
      </c>
      <c r="N783" t="str">
        <f t="shared" si="602"/>
        <v>RE cost - USD/GJ</v>
      </c>
      <c r="Q783" t="str">
        <f t="shared" si="604"/>
        <v>USD/GJ</v>
      </c>
      <c r="S783" s="18">
        <f>+SMALL((S678,S699,S720,S741,S762),1)*40%+SMALL((S678,S699,S720,S741,S762),2)*30%+SMALL((S678,S699,S720,S741,S762),3)*10%+SMALL((S678,S699,S720,S741,S762),4)*10%+SMALL((S678,S699,S720,S741,S762),5)*10%</f>
        <v>29.83674304384423</v>
      </c>
      <c r="T783" s="18">
        <f>+SMALL((T678,T699,T720,T741,T762),1)*40%+SMALL((T678,T699,T720,T741,T762),2)*30%+SMALL((T678,T699,T720,T741,T762),3)*10%+SMALL((T678,T699,T720,T741,T762),4)*10%+SMALL((T678,T699,T720,T741,T762),5)*10%</f>
        <v>22.882757503648293</v>
      </c>
      <c r="U783" s="18">
        <f>+SMALL((U678,U699,U720,U741,U762),1)*40%+SMALL((U678,U699,U720,U741,U762),2)*30%+SMALL((U678,U699,U720,U741,U762),3)*10%+SMALL((U678,U699,U720,U741,U762),4)*10%+SMALL((U678,U699,U720,U741,U762),5)*10%</f>
        <v>18.539504819471677</v>
      </c>
      <c r="V783" s="18">
        <f>+SMALL((V678,V699,V720,V741,V762),1)*40%+SMALL((V678,V699,V720,V741,V762),2)*30%+SMALL((V678,V699,V720,V741,V762),3)*10%+SMALL((V678,V699,V720,V741,V762),4)*10%+SMALL((V678,V699,V720,V741,V762),5)*10%</f>
        <v>15.663868840547583</v>
      </c>
      <c r="W783" s="18">
        <f>+SMALL((W678,W699,W720,W741,W762),1)*40%+SMALL((W678,W699,W720,W741,W762),2)*30%+SMALL((W678,W699,W720,W741,W762),3)*10%+SMALL((W678,W699,W720,W741,W762),4)*10%+SMALL((W678,W699,W720,W741,W762),5)*10%</f>
        <v>13.786809848144244</v>
      </c>
      <c r="X783" s="18">
        <f>+SMALL((X678,X699,X720,X741,X762),1)*40%+SMALL((X678,X699,X720,X741,X762),2)*30%+SMALL((X678,X699,X720,X741,X762),3)*10%+SMALL((X678,X699,X720,X741,X762),4)*10%+SMALL((X678,X699,X720,X741,X762),5)*10%</f>
        <v>11.937787567325643</v>
      </c>
      <c r="Y783" s="18">
        <f>+SMALL((Y678,Y699,Y720,Y741,Y762),1)*40%+SMALL((Y678,Y699,Y720,Y741,Y762),2)*30%+SMALL((Y678,Y699,Y720,Y741,Y762),3)*10%+SMALL((Y678,Y699,Y720,Y741,Y762),4)*10%+SMALL((Y678,Y699,Y720,Y741,Y762),5)*10%</f>
        <v>10.839779748765242</v>
      </c>
      <c r="Z783" s="18">
        <f>+SMALL((Z678,Z699,Z720,Z741,Z762),1)*40%+SMALL((Z678,Z699,Z720,Z741,Z762),2)*30%+SMALL((Z678,Z699,Z720,Z741,Z762),3)*10%+SMALL((Z678,Z699,Z720,Z741,Z762),4)*10%+SMALL((Z678,Z699,Z720,Z741,Z762),5)*10%</f>
        <v>10.839779748765242</v>
      </c>
      <c r="AA783" s="18">
        <f>+SMALL((AA678,AA699,AA720,AA741,AA762),1)*40%+SMALL((AA678,AA699,AA720,AA741,AA762),2)*30%+SMALL((AA678,AA699,AA720,AA741,AA762),3)*10%+SMALL((AA678,AA699,AA720,AA741,AA762),4)*10%+SMALL((AA678,AA699,AA720,AA741,AA762),5)*10%</f>
        <v>10.839779748765242</v>
      </c>
      <c r="AB783" s="18">
        <f>+SMALL((AB678,AB699,AB720,AB741,AB762),1)*40%+SMALL((AB678,AB699,AB720,AB741,AB762),2)*30%+SMALL((AB678,AB699,AB720,AB741,AB762),3)*10%+SMALL((AB678,AB699,AB720,AB741,AB762),4)*10%+SMALL((AB678,AB699,AB720,AB741,AB762),5)*10%</f>
        <v>10.839779748765242</v>
      </c>
      <c r="AC783" s="18">
        <f>+SMALL((AC678,AC699,AC720,AC741,AC762),1)*40%+SMALL((AC678,AC699,AC720,AC741,AC762),2)*30%+SMALL((AC678,AC699,AC720,AC741,AC762),3)*10%+SMALL((AC678,AC699,AC720,AC741,AC762),4)*10%+SMALL((AC678,AC699,AC720,AC741,AC762),5)*10%</f>
        <v>10.839779748765242</v>
      </c>
      <c r="AD783" s="18">
        <f>+SMALL((AD678,AD699,AD720,AD741,AD762),1)*40%+SMALL((AD678,AD699,AD720,AD741,AD762),2)*30%+SMALL((AD678,AD699,AD720,AD741,AD762),3)*10%+SMALL((AD678,AD699,AD720,AD741,AD762),4)*10%+SMALL((AD678,AD699,AD720,AD741,AD762),5)*10%</f>
        <v>10.839779748765242</v>
      </c>
    </row>
    <row r="784" spans="2:30" x14ac:dyDescent="0.2">
      <c r="C784" s="48">
        <f t="shared" si="603"/>
        <v>12</v>
      </c>
      <c r="D784" s="347" t="str">
        <f t="shared" si="601"/>
        <v>e-Methanol (PS) - Global - RE cost - USD/GJ</v>
      </c>
      <c r="F784" t="str" cm="1">
        <f t="array" ref="F784">INDEX(list_ME_fuel,$C784)</f>
        <v>e-Methanol (PS)</v>
      </c>
      <c r="L784" t="s">
        <v>109</v>
      </c>
      <c r="N784" t="str">
        <f t="shared" si="602"/>
        <v>RE cost - USD/GJ</v>
      </c>
      <c r="Q784" t="str">
        <f t="shared" si="604"/>
        <v>USD/GJ</v>
      </c>
      <c r="S784" s="18">
        <f>+SMALL((S679,S700,S721,S742,S763),1)*40%+SMALL((S679,S700,S721,S742,S763),2)*30%+SMALL((S679,S700,S721,S742,S763),3)*10%+SMALL((S679,S700,S721,S742,S763),4)*10%+SMALL((S679,S700,S721,S742,S763),5)*10%</f>
        <v>29.83674304384423</v>
      </c>
      <c r="T784" s="18">
        <f>+SMALL((T679,T700,T721,T742,T763),1)*40%+SMALL((T679,T700,T721,T742,T763),2)*30%+SMALL((T679,T700,T721,T742,T763),3)*10%+SMALL((T679,T700,T721,T742,T763),4)*10%+SMALL((T679,T700,T721,T742,T763),5)*10%</f>
        <v>22.882757503648293</v>
      </c>
      <c r="U784" s="18">
        <f>+SMALL((U679,U700,U721,U742,U763),1)*40%+SMALL((U679,U700,U721,U742,U763),2)*30%+SMALL((U679,U700,U721,U742,U763),3)*10%+SMALL((U679,U700,U721,U742,U763),4)*10%+SMALL((U679,U700,U721,U742,U763),5)*10%</f>
        <v>18.539504819471677</v>
      </c>
      <c r="V784" s="18">
        <f>+SMALL((V679,V700,V721,V742,V763),1)*40%+SMALL((V679,V700,V721,V742,V763),2)*30%+SMALL((V679,V700,V721,V742,V763),3)*10%+SMALL((V679,V700,V721,V742,V763),4)*10%+SMALL((V679,V700,V721,V742,V763),5)*10%</f>
        <v>15.663868840547583</v>
      </c>
      <c r="W784" s="18">
        <f>+SMALL((W679,W700,W721,W742,W763),1)*40%+SMALL((W679,W700,W721,W742,W763),2)*30%+SMALL((W679,W700,W721,W742,W763),3)*10%+SMALL((W679,W700,W721,W742,W763),4)*10%+SMALL((W679,W700,W721,W742,W763),5)*10%</f>
        <v>13.786809848144244</v>
      </c>
      <c r="X784" s="18">
        <f>+SMALL((X679,X700,X721,X742,X763),1)*40%+SMALL((X679,X700,X721,X742,X763),2)*30%+SMALL((X679,X700,X721,X742,X763),3)*10%+SMALL((X679,X700,X721,X742,X763),4)*10%+SMALL((X679,X700,X721,X742,X763),5)*10%</f>
        <v>11.937787567325643</v>
      </c>
      <c r="Y784" s="18">
        <f>+SMALL((Y679,Y700,Y721,Y742,Y763),1)*40%+SMALL((Y679,Y700,Y721,Y742,Y763),2)*30%+SMALL((Y679,Y700,Y721,Y742,Y763),3)*10%+SMALL((Y679,Y700,Y721,Y742,Y763),4)*10%+SMALL((Y679,Y700,Y721,Y742,Y763),5)*10%</f>
        <v>10.839779748765242</v>
      </c>
      <c r="Z784" s="18">
        <f>+SMALL((Z679,Z700,Z721,Z742,Z763),1)*40%+SMALL((Z679,Z700,Z721,Z742,Z763),2)*30%+SMALL((Z679,Z700,Z721,Z742,Z763),3)*10%+SMALL((Z679,Z700,Z721,Z742,Z763),4)*10%+SMALL((Z679,Z700,Z721,Z742,Z763),5)*10%</f>
        <v>10.839779748765242</v>
      </c>
      <c r="AA784" s="18">
        <f>+SMALL((AA679,AA700,AA721,AA742,AA763),1)*40%+SMALL((AA679,AA700,AA721,AA742,AA763),2)*30%+SMALL((AA679,AA700,AA721,AA742,AA763),3)*10%+SMALL((AA679,AA700,AA721,AA742,AA763),4)*10%+SMALL((AA679,AA700,AA721,AA742,AA763),5)*10%</f>
        <v>10.839779748765242</v>
      </c>
      <c r="AB784" s="18">
        <f>+SMALL((AB679,AB700,AB721,AB742,AB763),1)*40%+SMALL((AB679,AB700,AB721,AB742,AB763),2)*30%+SMALL((AB679,AB700,AB721,AB742,AB763),3)*10%+SMALL((AB679,AB700,AB721,AB742,AB763),4)*10%+SMALL((AB679,AB700,AB721,AB742,AB763),5)*10%</f>
        <v>10.839779748765242</v>
      </c>
      <c r="AC784" s="18">
        <f>+SMALL((AC679,AC700,AC721,AC742,AC763),1)*40%+SMALL((AC679,AC700,AC721,AC742,AC763),2)*30%+SMALL((AC679,AC700,AC721,AC742,AC763),3)*10%+SMALL((AC679,AC700,AC721,AC742,AC763),4)*10%+SMALL((AC679,AC700,AC721,AC742,AC763),5)*10%</f>
        <v>10.839779748765242</v>
      </c>
      <c r="AD784" s="18">
        <f>+SMALL((AD679,AD700,AD721,AD742,AD763),1)*40%+SMALL((AD679,AD700,AD721,AD742,AD763),2)*30%+SMALL((AD679,AD700,AD721,AD742,AD763),3)*10%+SMALL((AD679,AD700,AD721,AD742,AD763),4)*10%+SMALL((AD679,AD700,AD721,AD742,AD763),5)*10%</f>
        <v>10.839779748765242</v>
      </c>
    </row>
    <row r="785" spans="3:30" x14ac:dyDescent="0.2">
      <c r="C785" s="48">
        <f t="shared" si="603"/>
        <v>13</v>
      </c>
      <c r="D785" s="347" t="str">
        <f t="shared" si="601"/>
        <v>Biodiesel (HtL) - Global - RE cost - USD/GJ</v>
      </c>
      <c r="F785" t="str" cm="1">
        <f t="array" ref="F785">INDEX(list_ME_fuel,$C785)</f>
        <v>Biodiesel (HtL)</v>
      </c>
      <c r="L785" t="s">
        <v>109</v>
      </c>
      <c r="N785" t="str">
        <f t="shared" si="602"/>
        <v>RE cost - USD/GJ</v>
      </c>
      <c r="Q785" t="str">
        <f t="shared" si="604"/>
        <v>USD/GJ</v>
      </c>
      <c r="S785" s="18">
        <f>+SMALL((S680,S701,S722,S743,S764),1)*40%+SMALL((S680,S701,S722,S743,S764),2)*30%+SMALL((S680,S701,S722,S743,S764),3)*10%+SMALL((S680,S701,S722,S743,S764),4)*10%+SMALL((S680,S701,S722,S743,S764),5)*10%</f>
        <v>0.93212925784471967</v>
      </c>
      <c r="T785" s="18">
        <f>+SMALL((T680,T701,T722,T743,T764),1)*40%+SMALL((T680,T701,T722,T743,T764),2)*30%+SMALL((T680,T701,T722,T743,T764),3)*10%+SMALL((T680,T701,T722,T743,T764),4)*10%+SMALL((T680,T701,T722,T743,T764),5)*10%</f>
        <v>0.71777461553661903</v>
      </c>
      <c r="U785" s="18">
        <f>+SMALL((U680,U701,U722,U743,U764),1)*40%+SMALL((U680,U701,U722,U743,U764),2)*30%+SMALL((U680,U701,U722,U743,U764),3)*10%+SMALL((U680,U701,U722,U743,U764),4)*10%+SMALL((U680,U701,U722,U743,U764),5)*10%</f>
        <v>0.58607866608705939</v>
      </c>
      <c r="V785" s="18">
        <f>+SMALL((V680,V701,V722,V743,V764),1)*40%+SMALL((V680,V701,V722,V743,V764),2)*30%+SMALL((V680,V701,V722,V743,V764),3)*10%+SMALL((V680,V701,V722,V743,V764),4)*10%+SMALL((V680,V701,V722,V743,V764),5)*10%</f>
        <v>0.50891131060325168</v>
      </c>
      <c r="W785" s="18">
        <f>+SMALL((W680,W701,W722,W743,W764),1)*40%+SMALL((W680,W701,W722,W743,W764),2)*30%+SMALL((W680,W701,W722,W743,W764),3)*10%+SMALL((W680,W701,W722,W743,W764),4)*10%+SMALL((W680,W701,W722,W743,W764),5)*10%</f>
        <v>0.46384024805088325</v>
      </c>
      <c r="X785" s="18">
        <f>+SMALL((X680,X701,X722,X743,X764),1)*40%+SMALL((X680,X701,X722,X743,X764),2)*30%+SMALL((X680,X701,X722,X743,X764),3)*10%+SMALL((X680,X701,X722,X743,X764),4)*10%+SMALL((X680,X701,X722,X743,X764),5)*10%</f>
        <v>0.42227272555804329</v>
      </c>
      <c r="Y785" s="18">
        <f>+SMALL((Y680,Y701,Y722,Y743,Y764),1)*40%+SMALL((Y680,Y701,Y722,Y743,Y764),2)*30%+SMALL((Y680,Y701,Y722,Y743,Y764),3)*10%+SMALL((Y680,Y701,Y722,Y743,Y764),4)*10%+SMALL((Y680,Y701,Y722,Y743,Y764),5)*10%</f>
        <v>0.39940721465532708</v>
      </c>
      <c r="Z785" s="18">
        <f>+SMALL((Z680,Z701,Z722,Z743,Z764),1)*40%+SMALL((Z680,Z701,Z722,Z743,Z764),2)*30%+SMALL((Z680,Z701,Z722,Z743,Z764),3)*10%+SMALL((Z680,Z701,Z722,Z743,Z764),4)*10%+SMALL((Z680,Z701,Z722,Z743,Z764),5)*10%</f>
        <v>0.39940721465532708</v>
      </c>
      <c r="AA785" s="18">
        <f>+SMALL((AA680,AA701,AA722,AA743,AA764),1)*40%+SMALL((AA680,AA701,AA722,AA743,AA764),2)*30%+SMALL((AA680,AA701,AA722,AA743,AA764),3)*10%+SMALL((AA680,AA701,AA722,AA743,AA764),4)*10%+SMALL((AA680,AA701,AA722,AA743,AA764),5)*10%</f>
        <v>0.39940721465532708</v>
      </c>
      <c r="AB785" s="18">
        <f>+SMALL((AB680,AB701,AB722,AB743,AB764),1)*40%+SMALL((AB680,AB701,AB722,AB743,AB764),2)*30%+SMALL((AB680,AB701,AB722,AB743,AB764),3)*10%+SMALL((AB680,AB701,AB722,AB743,AB764),4)*10%+SMALL((AB680,AB701,AB722,AB743,AB764),5)*10%</f>
        <v>0.39940721465532708</v>
      </c>
      <c r="AC785" s="18">
        <f>+SMALL((AC680,AC701,AC722,AC743,AC764),1)*40%+SMALL((AC680,AC701,AC722,AC743,AC764),2)*30%+SMALL((AC680,AC701,AC722,AC743,AC764),3)*10%+SMALL((AC680,AC701,AC722,AC743,AC764),4)*10%+SMALL((AC680,AC701,AC722,AC743,AC764),5)*10%</f>
        <v>0.39940721465532708</v>
      </c>
      <c r="AD785" s="18">
        <f>+SMALL((AD680,AD701,AD722,AD743,AD764),1)*40%+SMALL((AD680,AD701,AD722,AD743,AD764),2)*30%+SMALL((AD680,AD701,AD722,AD743,AD764),3)*10%+SMALL((AD680,AD701,AD722,AD743,AD764),4)*10%+SMALL((AD680,AD701,AD722,AD743,AD764),5)*10%</f>
        <v>0.39940721465532708</v>
      </c>
    </row>
    <row r="786" spans="3:30" x14ac:dyDescent="0.2">
      <c r="C786" s="48">
        <f t="shared" si="603"/>
        <v>14</v>
      </c>
      <c r="D786" s="347" t="str">
        <f t="shared" si="601"/>
        <v>Biodiesel (Pyr) - Global - RE cost - USD/GJ</v>
      </c>
      <c r="F786" t="str" cm="1">
        <f t="array" ref="F786">INDEX(list_ME_fuel,$C786)</f>
        <v>Biodiesel (Pyr)</v>
      </c>
      <c r="L786" t="s">
        <v>109</v>
      </c>
      <c r="N786" t="str">
        <f t="shared" si="602"/>
        <v>RE cost - USD/GJ</v>
      </c>
      <c r="Q786" t="str">
        <f t="shared" si="604"/>
        <v>USD/GJ</v>
      </c>
      <c r="S786" s="18">
        <f>+SMALL((S681,S702,S723,S744,S765),1)*40%+SMALL((S681,S702,S723,S744,S765),2)*30%+SMALL((S681,S702,S723,S744,S765),3)*10%+SMALL((S681,S702,S723,S744,S765),4)*10%+SMALL((S681,S702,S723,S744,S765),5)*10%</f>
        <v>0</v>
      </c>
      <c r="T786" s="18">
        <f>+SMALL((T681,T702,T723,T744,T765),1)*40%+SMALL((T681,T702,T723,T744,T765),2)*30%+SMALL((T681,T702,T723,T744,T765),3)*10%+SMALL((T681,T702,T723,T744,T765),4)*10%+SMALL((T681,T702,T723,T744,T765),5)*10%</f>
        <v>0</v>
      </c>
      <c r="U786" s="18">
        <f>+SMALL((U681,U702,U723,U744,U765),1)*40%+SMALL((U681,U702,U723,U744,U765),2)*30%+SMALL((U681,U702,U723,U744,U765),3)*10%+SMALL((U681,U702,U723,U744,U765),4)*10%+SMALL((U681,U702,U723,U744,U765),5)*10%</f>
        <v>0</v>
      </c>
      <c r="V786" s="18">
        <f>+SMALL((V681,V702,V723,V744,V765),1)*40%+SMALL((V681,V702,V723,V744,V765),2)*30%+SMALL((V681,V702,V723,V744,V765),3)*10%+SMALL((V681,V702,V723,V744,V765),4)*10%+SMALL((V681,V702,V723,V744,V765),5)*10%</f>
        <v>0</v>
      </c>
      <c r="W786" s="18">
        <f>+SMALL((W681,W702,W723,W744,W765),1)*40%+SMALL((W681,W702,W723,W744,W765),2)*30%+SMALL((W681,W702,W723,W744,W765),3)*10%+SMALL((W681,W702,W723,W744,W765),4)*10%+SMALL((W681,W702,W723,W744,W765),5)*10%</f>
        <v>0</v>
      </c>
      <c r="X786" s="18">
        <f>+SMALL((X681,X702,X723,X744,X765),1)*40%+SMALL((X681,X702,X723,X744,X765),2)*30%+SMALL((X681,X702,X723,X744,X765),3)*10%+SMALL((X681,X702,X723,X744,X765),4)*10%+SMALL((X681,X702,X723,X744,X765),5)*10%</f>
        <v>0</v>
      </c>
      <c r="Y786" s="18">
        <f>+SMALL((Y681,Y702,Y723,Y744,Y765),1)*40%+SMALL((Y681,Y702,Y723,Y744,Y765),2)*30%+SMALL((Y681,Y702,Y723,Y744,Y765),3)*10%+SMALL((Y681,Y702,Y723,Y744,Y765),4)*10%+SMALL((Y681,Y702,Y723,Y744,Y765),5)*10%</f>
        <v>0</v>
      </c>
      <c r="Z786" s="18">
        <f>+SMALL((Z681,Z702,Z723,Z744,Z765),1)*40%+SMALL((Z681,Z702,Z723,Z744,Z765),2)*30%+SMALL((Z681,Z702,Z723,Z744,Z765),3)*10%+SMALL((Z681,Z702,Z723,Z744,Z765),4)*10%+SMALL((Z681,Z702,Z723,Z744,Z765),5)*10%</f>
        <v>0</v>
      </c>
      <c r="AA786" s="18">
        <f>+SMALL((AA681,AA702,AA723,AA744,AA765),1)*40%+SMALL((AA681,AA702,AA723,AA744,AA765),2)*30%+SMALL((AA681,AA702,AA723,AA744,AA765),3)*10%+SMALL((AA681,AA702,AA723,AA744,AA765),4)*10%+SMALL((AA681,AA702,AA723,AA744,AA765),5)*10%</f>
        <v>0</v>
      </c>
      <c r="AB786" s="18">
        <f>+SMALL((AB681,AB702,AB723,AB744,AB765),1)*40%+SMALL((AB681,AB702,AB723,AB744,AB765),2)*30%+SMALL((AB681,AB702,AB723,AB744,AB765),3)*10%+SMALL((AB681,AB702,AB723,AB744,AB765),4)*10%+SMALL((AB681,AB702,AB723,AB744,AB765),5)*10%</f>
        <v>0</v>
      </c>
      <c r="AC786" s="18">
        <f>+SMALL((AC681,AC702,AC723,AC744,AC765),1)*40%+SMALL((AC681,AC702,AC723,AC744,AC765),2)*30%+SMALL((AC681,AC702,AC723,AC744,AC765),3)*10%+SMALL((AC681,AC702,AC723,AC744,AC765),4)*10%+SMALL((AC681,AC702,AC723,AC744,AC765),5)*10%</f>
        <v>0</v>
      </c>
      <c r="AD786" s="18">
        <f>+SMALL((AD681,AD702,AD723,AD744,AD765),1)*40%+SMALL((AD681,AD702,AD723,AD744,AD765),2)*30%+SMALL((AD681,AD702,AD723,AD744,AD765),3)*10%+SMALL((AD681,AD702,AD723,AD744,AD765),4)*10%+SMALL((AD681,AD702,AD723,AD744,AD765),5)*10%</f>
        <v>0</v>
      </c>
    </row>
    <row r="787" spans="3:30" x14ac:dyDescent="0.2">
      <c r="C787" s="48">
        <f t="shared" si="603"/>
        <v>15</v>
      </c>
      <c r="D787" s="347" t="str">
        <f t="shared" si="601"/>
        <v>e-Diesel (DAC) - Global - RE cost - USD/GJ</v>
      </c>
      <c r="F787" t="str" cm="1">
        <f t="array" ref="F787">INDEX(list_ME_fuel,$C787)</f>
        <v>e-Diesel (DAC)</v>
      </c>
      <c r="L787" t="s">
        <v>109</v>
      </c>
      <c r="N787" t="str">
        <f t="shared" si="602"/>
        <v>RE cost - USD/GJ</v>
      </c>
      <c r="Q787" t="str">
        <f t="shared" si="604"/>
        <v>USD/GJ</v>
      </c>
      <c r="S787" s="18">
        <f>+SMALL((S682,S703,S724,S745,S766),1)*40%+SMALL((S682,S703,S724,S745,S766),2)*30%+SMALL((S682,S703,S724,S745,S766),3)*10%+SMALL((S682,S703,S724,S745,S766),4)*10%+SMALL((S682,S703,S724,S745,S766),5)*10%</f>
        <v>30.202669104332671</v>
      </c>
      <c r="T787" s="18">
        <f>+SMALL((T682,T703,T724,T745,T766),1)*40%+SMALL((T682,T703,T724,T745,T766),2)*30%+SMALL((T682,T703,T724,T745,T766),3)*10%+SMALL((T682,T703,T724,T745,T766),4)*10%+SMALL((T682,T703,T724,T745,T766),5)*10%</f>
        <v>23.117392707150877</v>
      </c>
      <c r="U787" s="18">
        <f>+SMALL((U682,U703,U724,U745,U766),1)*40%+SMALL((U682,U703,U724,U745,U766),2)*30%+SMALL((U682,U703,U724,U745,U766),3)*10%+SMALL((U682,U703,U724,U745,U766),4)*10%+SMALL((U682,U703,U724,U745,U766),5)*10%</f>
        <v>18.673289425145448</v>
      </c>
      <c r="V787" s="18">
        <f>+SMALL((V682,V703,V724,V745,V766),1)*40%+SMALL((V682,V703,V724,V745,V766),2)*30%+SMALL((V682,V703,V724,V745,V766),3)*10%+SMALL((V682,V703,V724,V745,V766),4)*10%+SMALL((V682,V703,V724,V745,V766),5)*10%</f>
        <v>15.681808881989548</v>
      </c>
      <c r="W787" s="18">
        <f>+SMALL((W682,W703,W724,W745,W766),1)*40%+SMALL((W682,W703,W724,W745,W766),2)*30%+SMALL((W682,W703,W724,W745,W766),3)*10%+SMALL((W682,W703,W724,W745,W766),4)*10%+SMALL((W682,W703,W724,W745,W766),5)*10%</f>
        <v>13.69986774081667</v>
      </c>
      <c r="X787" s="18">
        <f>+SMALL((X682,X703,X724,X745,X766),1)*40%+SMALL((X682,X703,X724,X745,X766),2)*30%+SMALL((X682,X703,X724,X745,X766),3)*10%+SMALL((X682,X703,X724,X745,X766),4)*10%+SMALL((X682,X703,X724,X745,X766),5)*10%</f>
        <v>11.738770044921967</v>
      </c>
      <c r="Y787" s="18">
        <f>+SMALL((Y682,Y703,Y724,Y745,Y766),1)*40%+SMALL((Y682,Y703,Y724,Y745,Y766),2)*30%+SMALL((Y682,Y703,Y724,Y745,Y766),3)*10%+SMALL((Y682,Y703,Y724,Y745,Y766),4)*10%+SMALL((Y682,Y703,Y724,Y745,Y766),5)*10%</f>
        <v>10.559731333331916</v>
      </c>
      <c r="Z787" s="18">
        <f>+SMALL((Z682,Z703,Z724,Z745,Z766),1)*40%+SMALL((Z682,Z703,Z724,Z745,Z766),2)*30%+SMALL((Z682,Z703,Z724,Z745,Z766),3)*10%+SMALL((Z682,Z703,Z724,Z745,Z766),4)*10%+SMALL((Z682,Z703,Z724,Z745,Z766),5)*10%</f>
        <v>10.559731333331916</v>
      </c>
      <c r="AA787" s="18">
        <f>+SMALL((AA682,AA703,AA724,AA745,AA766),1)*40%+SMALL((AA682,AA703,AA724,AA745,AA766),2)*30%+SMALL((AA682,AA703,AA724,AA745,AA766),3)*10%+SMALL((AA682,AA703,AA724,AA745,AA766),4)*10%+SMALL((AA682,AA703,AA724,AA745,AA766),5)*10%</f>
        <v>10.559731333331916</v>
      </c>
      <c r="AB787" s="18">
        <f>+SMALL((AB682,AB703,AB724,AB745,AB766),1)*40%+SMALL((AB682,AB703,AB724,AB745,AB766),2)*30%+SMALL((AB682,AB703,AB724,AB745,AB766),3)*10%+SMALL((AB682,AB703,AB724,AB745,AB766),4)*10%+SMALL((AB682,AB703,AB724,AB745,AB766),5)*10%</f>
        <v>10.559731333331916</v>
      </c>
      <c r="AC787" s="18">
        <f>+SMALL((AC682,AC703,AC724,AC745,AC766),1)*40%+SMALL((AC682,AC703,AC724,AC745,AC766),2)*30%+SMALL((AC682,AC703,AC724,AC745,AC766),3)*10%+SMALL((AC682,AC703,AC724,AC745,AC766),4)*10%+SMALL((AC682,AC703,AC724,AC745,AC766),5)*10%</f>
        <v>10.559731333331916</v>
      </c>
      <c r="AD787" s="18">
        <f>+SMALL((AD682,AD703,AD724,AD745,AD766),1)*40%+SMALL((AD682,AD703,AD724,AD745,AD766),2)*30%+SMALL((AD682,AD703,AD724,AD745,AD766),3)*10%+SMALL((AD682,AD703,AD724,AD745,AD766),4)*10%+SMALL((AD682,AD703,AD724,AD745,AD766),5)*10%</f>
        <v>10.559731333331916</v>
      </c>
    </row>
    <row r="788" spans="3:30" x14ac:dyDescent="0.2">
      <c r="C788" s="48">
        <f t="shared" si="603"/>
        <v>16</v>
      </c>
      <c r="D788" s="347" t="str">
        <f t="shared" si="601"/>
        <v>e-Diesel (PS) - Global - RE cost - USD/GJ</v>
      </c>
      <c r="F788" t="str" cm="1">
        <f t="array" ref="F788">INDEX(list_ME_fuel,$C788)</f>
        <v>e-Diesel (PS)</v>
      </c>
      <c r="L788" t="s">
        <v>109</v>
      </c>
      <c r="N788" t="str">
        <f t="shared" si="602"/>
        <v>RE cost - USD/GJ</v>
      </c>
      <c r="Q788" t="str">
        <f t="shared" si="604"/>
        <v>USD/GJ</v>
      </c>
      <c r="S788" s="18">
        <f>+SMALL((S683,S704,S725,S746,S767),1)*40%+SMALL((S683,S704,S725,S746,S767),2)*30%+SMALL((S683,S704,S725,S746,S767),3)*10%+SMALL((S683,S704,S725,S746,S767),4)*10%+SMALL((S683,S704,S725,S746,S767),5)*10%</f>
        <v>30.202669104332671</v>
      </c>
      <c r="T788" s="18">
        <f>+SMALL((T683,T704,T725,T746,T767),1)*40%+SMALL((T683,T704,T725,T746,T767),2)*30%+SMALL((T683,T704,T725,T746,T767),3)*10%+SMALL((T683,T704,T725,T746,T767),4)*10%+SMALL((T683,T704,T725,T746,T767),5)*10%</f>
        <v>23.117392707150877</v>
      </c>
      <c r="U788" s="18">
        <f>+SMALL((U683,U704,U725,U746,U767),1)*40%+SMALL((U683,U704,U725,U746,U767),2)*30%+SMALL((U683,U704,U725,U746,U767),3)*10%+SMALL((U683,U704,U725,U746,U767),4)*10%+SMALL((U683,U704,U725,U746,U767),5)*10%</f>
        <v>18.673289425145448</v>
      </c>
      <c r="V788" s="18">
        <f>+SMALL((V683,V704,V725,V746,V767),1)*40%+SMALL((V683,V704,V725,V746,V767),2)*30%+SMALL((V683,V704,V725,V746,V767),3)*10%+SMALL((V683,V704,V725,V746,V767),4)*10%+SMALL((V683,V704,V725,V746,V767),5)*10%</f>
        <v>15.681808881989548</v>
      </c>
      <c r="W788" s="18">
        <f>+SMALL((W683,W704,W725,W746,W767),1)*40%+SMALL((W683,W704,W725,W746,W767),2)*30%+SMALL((W683,W704,W725,W746,W767),3)*10%+SMALL((W683,W704,W725,W746,W767),4)*10%+SMALL((W683,W704,W725,W746,W767),5)*10%</f>
        <v>13.69986774081667</v>
      </c>
      <c r="X788" s="18">
        <f>+SMALL((X683,X704,X725,X746,X767),1)*40%+SMALL((X683,X704,X725,X746,X767),2)*30%+SMALL((X683,X704,X725,X746,X767),3)*10%+SMALL((X683,X704,X725,X746,X767),4)*10%+SMALL((X683,X704,X725,X746,X767),5)*10%</f>
        <v>11.738770044921967</v>
      </c>
      <c r="Y788" s="18">
        <f>+SMALL((Y683,Y704,Y725,Y746,Y767),1)*40%+SMALL((Y683,Y704,Y725,Y746,Y767),2)*30%+SMALL((Y683,Y704,Y725,Y746,Y767),3)*10%+SMALL((Y683,Y704,Y725,Y746,Y767),4)*10%+SMALL((Y683,Y704,Y725,Y746,Y767),5)*10%</f>
        <v>10.559731333331916</v>
      </c>
      <c r="Z788" s="18">
        <f>+SMALL((Z683,Z704,Z725,Z746,Z767),1)*40%+SMALL((Z683,Z704,Z725,Z746,Z767),2)*30%+SMALL((Z683,Z704,Z725,Z746,Z767),3)*10%+SMALL((Z683,Z704,Z725,Z746,Z767),4)*10%+SMALL((Z683,Z704,Z725,Z746,Z767),5)*10%</f>
        <v>10.559731333331916</v>
      </c>
      <c r="AA788" s="18">
        <f>+SMALL((AA683,AA704,AA725,AA746,AA767),1)*40%+SMALL((AA683,AA704,AA725,AA746,AA767),2)*30%+SMALL((AA683,AA704,AA725,AA746,AA767),3)*10%+SMALL((AA683,AA704,AA725,AA746,AA767),4)*10%+SMALL((AA683,AA704,AA725,AA746,AA767),5)*10%</f>
        <v>10.559731333331916</v>
      </c>
      <c r="AB788" s="18">
        <f>+SMALL((AB683,AB704,AB725,AB746,AB767),1)*40%+SMALL((AB683,AB704,AB725,AB746,AB767),2)*30%+SMALL((AB683,AB704,AB725,AB746,AB767),3)*10%+SMALL((AB683,AB704,AB725,AB746,AB767),4)*10%+SMALL((AB683,AB704,AB725,AB746,AB767),5)*10%</f>
        <v>10.559731333331916</v>
      </c>
      <c r="AC788" s="18">
        <f>+SMALL((AC683,AC704,AC725,AC746,AC767),1)*40%+SMALL((AC683,AC704,AC725,AC746,AC767),2)*30%+SMALL((AC683,AC704,AC725,AC746,AC767),3)*10%+SMALL((AC683,AC704,AC725,AC746,AC767),4)*10%+SMALL((AC683,AC704,AC725,AC746,AC767),5)*10%</f>
        <v>10.559731333331916</v>
      </c>
      <c r="AD788" s="18">
        <f>+SMALL((AD683,AD704,AD725,AD746,AD767),1)*40%+SMALL((AD683,AD704,AD725,AD746,AD767),2)*30%+SMALL((AD683,AD704,AD725,AD746,AD767),3)*10%+SMALL((AD683,AD704,AD725,AD746,AD767),4)*10%+SMALL((AD683,AD704,AD725,AD746,AD767),5)*10%</f>
        <v>10.559731333331916</v>
      </c>
    </row>
    <row r="789" spans="3:30" x14ac:dyDescent="0.2">
      <c r="C789" s="48">
        <f t="shared" si="603"/>
        <v>17</v>
      </c>
      <c r="D789" s="347" t="str">
        <f t="shared" si="601"/>
        <v>Biodiesel (HtL blend) - Global - RE cost - USD/GJ</v>
      </c>
      <c r="F789" t="str" cm="1">
        <f t="array" ref="F789">INDEX(list_ME_fuel,$C789)</f>
        <v>Biodiesel (HtL blend)</v>
      </c>
      <c r="L789" t="s">
        <v>109</v>
      </c>
      <c r="N789" t="str">
        <f t="shared" si="602"/>
        <v>RE cost - USD/GJ</v>
      </c>
      <c r="Q789" t="str">
        <f t="shared" si="604"/>
        <v>USD/GJ</v>
      </c>
      <c r="S789" s="18">
        <f>+SMALL((S684,S705,S726,S747,S768),1)*40%+SMALL((S684,S705,S726,S747,S768),2)*30%+SMALL((S684,S705,S726,S747,S768),3)*10%+SMALL((S684,S705,S726,S747,S768),4)*10%+SMALL((S684,S705,S726,S747,S768),5)*10%</f>
        <v>0.33238740885319173</v>
      </c>
      <c r="T789" s="18">
        <f>+SMALL((T684,T705,T726,T747,T768),1)*40%+SMALL((T684,T705,T726,T747,T768),2)*30%+SMALL((T684,T705,T726,T747,T768),3)*10%+SMALL((T684,T705,T726,T747,T768),4)*10%+SMALL((T684,T705,T726,T747,T768),5)*10%</f>
        <v>0.25286422483827536</v>
      </c>
      <c r="U789" s="18">
        <f>+SMALL((U684,U705,U726,U747,U768),1)*40%+SMALL((U684,U705,U726,U747,U768),2)*30%+SMALL((U684,U705,U726,U747,U768),3)*10%+SMALL((U684,U705,U726,U747,U768),4)*10%+SMALL((U684,U705,U726,U747,U768),5)*10%</f>
        <v>0.20618432386486507</v>
      </c>
      <c r="V789" s="18">
        <f>+SMALL((V684,V705,V726,V747,V768),1)*40%+SMALL((V684,V705,V726,V747,V768),2)*30%+SMALL((V684,V705,V726,V747,V768),3)*10%+SMALL((V684,V705,V726,V747,V768),4)*10%+SMALL((V684,V705,V726,V747,V768),5)*10%</f>
        <v>0.17888024746705425</v>
      </c>
      <c r="W789" s="18">
        <f>+SMALL((W684,W705,W726,W747,W768),1)*40%+SMALL((W684,W705,W726,W747,W768),2)*30%+SMALL((W684,W705,W726,W747,W768),3)*10%+SMALL((W684,W705,W726,W747,W768),4)*10%+SMALL((W684,W705,W726,W747,W768),5)*10%</f>
        <v>0.16304298229537967</v>
      </c>
      <c r="X789" s="18">
        <f>+SMALL((X684,X705,X726,X747,X768),1)*40%+SMALL((X684,X705,X726,X747,X768),2)*30%+SMALL((X684,X705,X726,X747,X768),3)*10%+SMALL((X684,X705,X726,X747,X768),4)*10%+SMALL((X684,X705,X726,X747,X768),5)*10%</f>
        <v>0.14838836078486106</v>
      </c>
      <c r="Y789" s="18">
        <f>+SMALL((Y684,Y705,Y726,Y747,Y768),1)*40%+SMALL((Y684,Y705,Y726,Y747,Y768),2)*30%+SMALL((Y684,Y705,Y726,Y747,Y768),3)*10%+SMALL((Y684,Y705,Y726,Y747,Y768),4)*10%+SMALL((Y684,Y705,Y726,Y747,Y768),5)*10%</f>
        <v>0.14035008810804581</v>
      </c>
      <c r="Z789" s="18">
        <f>+SMALL((Z684,Z705,Z726,Z747,Z768),1)*40%+SMALL((Z684,Z705,Z726,Z747,Z768),2)*30%+SMALL((Z684,Z705,Z726,Z747,Z768),3)*10%+SMALL((Z684,Z705,Z726,Z747,Z768),4)*10%+SMALL((Z684,Z705,Z726,Z747,Z768),5)*10%</f>
        <v>0.14035008810804581</v>
      </c>
      <c r="AA789" s="18">
        <f>+SMALL((AA684,AA705,AA726,AA747,AA768),1)*40%+SMALL((AA684,AA705,AA726,AA747,AA768),2)*30%+SMALL((AA684,AA705,AA726,AA747,AA768),3)*10%+SMALL((AA684,AA705,AA726,AA747,AA768),4)*10%+SMALL((AA684,AA705,AA726,AA747,AA768),5)*10%</f>
        <v>0.14035008810804581</v>
      </c>
      <c r="AB789" s="18">
        <f>+SMALL((AB684,AB705,AB726,AB747,AB768),1)*40%+SMALL((AB684,AB705,AB726,AB747,AB768),2)*30%+SMALL((AB684,AB705,AB726,AB747,AB768),3)*10%+SMALL((AB684,AB705,AB726,AB747,AB768),4)*10%+SMALL((AB684,AB705,AB726,AB747,AB768),5)*10%</f>
        <v>0.14035008810804581</v>
      </c>
      <c r="AC789" s="18">
        <f>+SMALL((AC684,AC705,AC726,AC747,AC768),1)*40%+SMALL((AC684,AC705,AC726,AC747,AC768),2)*30%+SMALL((AC684,AC705,AC726,AC747,AC768),3)*10%+SMALL((AC684,AC705,AC726,AC747,AC768),4)*10%+SMALL((AC684,AC705,AC726,AC747,AC768),5)*10%</f>
        <v>0.14035008810804581</v>
      </c>
      <c r="AD789" s="18">
        <f>+SMALL((AD684,AD705,AD726,AD747,AD768),1)*40%+SMALL((AD684,AD705,AD726,AD747,AD768),2)*30%+SMALL((AD684,AD705,AD726,AD747,AD768),3)*10%+SMALL((AD684,AD705,AD726,AD747,AD768),4)*10%+SMALL((AD684,AD705,AD726,AD747,AD768),5)*10%</f>
        <v>0.14035008810804581</v>
      </c>
    </row>
    <row r="790" spans="3:30" x14ac:dyDescent="0.2">
      <c r="C790" s="48">
        <f t="shared" si="603"/>
        <v>18</v>
      </c>
      <c r="D790" s="347" t="str">
        <f t="shared" si="601"/>
        <v>Biodiesel (Pyr blend) - Global - RE cost - USD/GJ</v>
      </c>
      <c r="F790" t="str" cm="1">
        <f t="array" ref="F790">INDEX(list_ME_fuel,$C790)</f>
        <v>Biodiesel (Pyr blend)</v>
      </c>
      <c r="L790" t="s">
        <v>109</v>
      </c>
      <c r="N790" t="str">
        <f t="shared" si="602"/>
        <v>RE cost - USD/GJ</v>
      </c>
      <c r="Q790" t="str">
        <f t="shared" si="604"/>
        <v>USD/GJ</v>
      </c>
      <c r="S790" s="18">
        <f>+SMALL((S685,S706,S727,S748,S769),1)*40%+SMALL((S685,S706,S727,S748,S769),2)*30%+SMALL((S685,S706,S727,S748,S769),3)*10%+SMALL((S685,S706,S727,S748,S769),4)*10%+SMALL((S685,S706,S727,S748,S769),5)*10%</f>
        <v>0</v>
      </c>
      <c r="T790" s="18">
        <f>+SMALL((T685,T706,T727,T748,T769),1)*40%+SMALL((T685,T706,T727,T748,T769),2)*30%+SMALL((T685,T706,T727,T748,T769),3)*10%+SMALL((T685,T706,T727,T748,T769),4)*10%+SMALL((T685,T706,T727,T748,T769),5)*10%</f>
        <v>0</v>
      </c>
      <c r="U790" s="18">
        <f>+SMALL((U685,U706,U727,U748,U769),1)*40%+SMALL((U685,U706,U727,U748,U769),2)*30%+SMALL((U685,U706,U727,U748,U769),3)*10%+SMALL((U685,U706,U727,U748,U769),4)*10%+SMALL((U685,U706,U727,U748,U769),5)*10%</f>
        <v>0</v>
      </c>
      <c r="V790" s="18">
        <f>+SMALL((V685,V706,V727,V748,V769),1)*40%+SMALL((V685,V706,V727,V748,V769),2)*30%+SMALL((V685,V706,V727,V748,V769),3)*10%+SMALL((V685,V706,V727,V748,V769),4)*10%+SMALL((V685,V706,V727,V748,V769),5)*10%</f>
        <v>0</v>
      </c>
      <c r="W790" s="18">
        <f>+SMALL((W685,W706,W727,W748,W769),1)*40%+SMALL((W685,W706,W727,W748,W769),2)*30%+SMALL((W685,W706,W727,W748,W769),3)*10%+SMALL((W685,W706,W727,W748,W769),4)*10%+SMALL((W685,W706,W727,W748,W769),5)*10%</f>
        <v>0</v>
      </c>
      <c r="X790" s="18">
        <f>+SMALL((X685,X706,X727,X748,X769),1)*40%+SMALL((X685,X706,X727,X748,X769),2)*30%+SMALL((X685,X706,X727,X748,X769),3)*10%+SMALL((X685,X706,X727,X748,X769),4)*10%+SMALL((X685,X706,X727,X748,X769),5)*10%</f>
        <v>0</v>
      </c>
      <c r="Y790" s="18">
        <f>+SMALL((Y685,Y706,Y727,Y748,Y769),1)*40%+SMALL((Y685,Y706,Y727,Y748,Y769),2)*30%+SMALL((Y685,Y706,Y727,Y748,Y769),3)*10%+SMALL((Y685,Y706,Y727,Y748,Y769),4)*10%+SMALL((Y685,Y706,Y727,Y748,Y769),5)*10%</f>
        <v>0</v>
      </c>
      <c r="Z790" s="18">
        <f>+SMALL((Z685,Z706,Z727,Z748,Z769),1)*40%+SMALL((Z685,Z706,Z727,Z748,Z769),2)*30%+SMALL((Z685,Z706,Z727,Z748,Z769),3)*10%+SMALL((Z685,Z706,Z727,Z748,Z769),4)*10%+SMALL((Z685,Z706,Z727,Z748,Z769),5)*10%</f>
        <v>0</v>
      </c>
      <c r="AA790" s="18">
        <f>+SMALL((AA685,AA706,AA727,AA748,AA769),1)*40%+SMALL((AA685,AA706,AA727,AA748,AA769),2)*30%+SMALL((AA685,AA706,AA727,AA748,AA769),3)*10%+SMALL((AA685,AA706,AA727,AA748,AA769),4)*10%+SMALL((AA685,AA706,AA727,AA748,AA769),5)*10%</f>
        <v>0</v>
      </c>
      <c r="AB790" s="18">
        <f>+SMALL((AB685,AB706,AB727,AB748,AB769),1)*40%+SMALL((AB685,AB706,AB727,AB748,AB769),2)*30%+SMALL((AB685,AB706,AB727,AB748,AB769),3)*10%+SMALL((AB685,AB706,AB727,AB748,AB769),4)*10%+SMALL((AB685,AB706,AB727,AB748,AB769),5)*10%</f>
        <v>0</v>
      </c>
      <c r="AC790" s="18">
        <f>+SMALL((AC685,AC706,AC727,AC748,AC769),1)*40%+SMALL((AC685,AC706,AC727,AC748,AC769),2)*30%+SMALL((AC685,AC706,AC727,AC748,AC769),3)*10%+SMALL((AC685,AC706,AC727,AC748,AC769),4)*10%+SMALL((AC685,AC706,AC727,AC748,AC769),5)*10%</f>
        <v>0</v>
      </c>
      <c r="AD790" s="18">
        <f>+SMALL((AD685,AD706,AD727,AD748,AD769),1)*40%+SMALL((AD685,AD706,AD727,AD748,AD769),2)*30%+SMALL((AD685,AD706,AD727,AD748,AD769),3)*10%+SMALL((AD685,AD706,AD727,AD748,AD769),4)*10%+SMALL((AD685,AD706,AD727,AD748,AD769),5)*10%</f>
        <v>0</v>
      </c>
    </row>
    <row r="791" spans="3:30" x14ac:dyDescent="0.2">
      <c r="C791" s="48">
        <f t="shared" si="603"/>
        <v>19</v>
      </c>
      <c r="D791" s="347" t="str">
        <f t="shared" si="601"/>
        <v>Blue hydrogen (liquid) - Global - RE cost - USD/GJ</v>
      </c>
      <c r="F791" t="str" cm="1">
        <f t="array" ref="F791">INDEX(list_ME_fuel,$C791)</f>
        <v>Blue hydrogen (liquid)</v>
      </c>
      <c r="L791" t="s">
        <v>109</v>
      </c>
      <c r="N791" t="str">
        <f t="shared" si="602"/>
        <v>RE cost - USD/GJ</v>
      </c>
      <c r="Q791" t="str">
        <f t="shared" si="604"/>
        <v>USD/GJ</v>
      </c>
      <c r="S791" s="18">
        <f>+SMALL((S686,S707,S728,S749,S770),1)*40%+SMALL((S686,S707,S728,S749,S770),2)*30%+SMALL((S686,S707,S728,S749,S770),3)*10%+SMALL((S686,S707,S728,S749,S770),4)*10%+SMALL((S686,S707,S728,S749,S770),5)*10%</f>
        <v>0</v>
      </c>
      <c r="T791" s="18">
        <f>+SMALL((T686,T707,T728,T749,T770),1)*40%+SMALL((T686,T707,T728,T749,T770),2)*30%+SMALL((T686,T707,T728,T749,T770),3)*10%+SMALL((T686,T707,T728,T749,T770),4)*10%+SMALL((T686,T707,T728,T749,T770),5)*10%</f>
        <v>0</v>
      </c>
      <c r="U791" s="18">
        <f>+SMALL((U686,U707,U728,U749,U770),1)*40%+SMALL((U686,U707,U728,U749,U770),2)*30%+SMALL((U686,U707,U728,U749,U770),3)*10%+SMALL((U686,U707,U728,U749,U770),4)*10%+SMALL((U686,U707,U728,U749,U770),5)*10%</f>
        <v>0</v>
      </c>
      <c r="V791" s="18">
        <f>+SMALL((V686,V707,V728,V749,V770),1)*40%+SMALL((V686,V707,V728,V749,V770),2)*30%+SMALL((V686,V707,V728,V749,V770),3)*10%+SMALL((V686,V707,V728,V749,V770),4)*10%+SMALL((V686,V707,V728,V749,V770),5)*10%</f>
        <v>0</v>
      </c>
      <c r="W791" s="18">
        <f>+SMALL((W686,W707,W728,W749,W770),1)*40%+SMALL((W686,W707,W728,W749,W770),2)*30%+SMALL((W686,W707,W728,W749,W770),3)*10%+SMALL((W686,W707,W728,W749,W770),4)*10%+SMALL((W686,W707,W728,W749,W770),5)*10%</f>
        <v>0</v>
      </c>
      <c r="X791" s="18">
        <f>+SMALL((X686,X707,X728,X749,X770),1)*40%+SMALL((X686,X707,X728,X749,X770),2)*30%+SMALL((X686,X707,X728,X749,X770),3)*10%+SMALL((X686,X707,X728,X749,X770),4)*10%+SMALL((X686,X707,X728,X749,X770),5)*10%</f>
        <v>0</v>
      </c>
      <c r="Y791" s="18">
        <f>+SMALL((Y686,Y707,Y728,Y749,Y770),1)*40%+SMALL((Y686,Y707,Y728,Y749,Y770),2)*30%+SMALL((Y686,Y707,Y728,Y749,Y770),3)*10%+SMALL((Y686,Y707,Y728,Y749,Y770),4)*10%+SMALL((Y686,Y707,Y728,Y749,Y770),5)*10%</f>
        <v>0</v>
      </c>
      <c r="Z791" s="18">
        <f>+SMALL((Z686,Z707,Z728,Z749,Z770),1)*40%+SMALL((Z686,Z707,Z728,Z749,Z770),2)*30%+SMALL((Z686,Z707,Z728,Z749,Z770),3)*10%+SMALL((Z686,Z707,Z728,Z749,Z770),4)*10%+SMALL((Z686,Z707,Z728,Z749,Z770),5)*10%</f>
        <v>0</v>
      </c>
      <c r="AA791" s="18">
        <f>+SMALL((AA686,AA707,AA728,AA749,AA770),1)*40%+SMALL((AA686,AA707,AA728,AA749,AA770),2)*30%+SMALL((AA686,AA707,AA728,AA749,AA770),3)*10%+SMALL((AA686,AA707,AA728,AA749,AA770),4)*10%+SMALL((AA686,AA707,AA728,AA749,AA770),5)*10%</f>
        <v>0</v>
      </c>
      <c r="AB791" s="18">
        <f>+SMALL((AB686,AB707,AB728,AB749,AB770),1)*40%+SMALL((AB686,AB707,AB728,AB749,AB770),2)*30%+SMALL((AB686,AB707,AB728,AB749,AB770),3)*10%+SMALL((AB686,AB707,AB728,AB749,AB770),4)*10%+SMALL((AB686,AB707,AB728,AB749,AB770),5)*10%</f>
        <v>0</v>
      </c>
      <c r="AC791" s="18">
        <f>+SMALL((AC686,AC707,AC728,AC749,AC770),1)*40%+SMALL((AC686,AC707,AC728,AC749,AC770),2)*30%+SMALL((AC686,AC707,AC728,AC749,AC770),3)*10%+SMALL((AC686,AC707,AC728,AC749,AC770),4)*10%+SMALL((AC686,AC707,AC728,AC749,AC770),5)*10%</f>
        <v>0</v>
      </c>
      <c r="AD791" s="18">
        <f>+SMALL((AD686,AD707,AD728,AD749,AD770),1)*40%+SMALL((AD686,AD707,AD728,AD749,AD770),2)*30%+SMALL((AD686,AD707,AD728,AD749,AD770),3)*10%+SMALL((AD686,AD707,AD728,AD749,AD770),4)*10%+SMALL((AD686,AD707,AD728,AD749,AD770),5)*10%</f>
        <v>0</v>
      </c>
    </row>
    <row r="792" spans="3:30" x14ac:dyDescent="0.2">
      <c r="C792" s="48">
        <f t="shared" si="603"/>
        <v>20</v>
      </c>
      <c r="D792" s="347" t="str">
        <f t="shared" si="601"/>
        <v>e-Hydrogen (liquid) - Global - RE cost - USD/GJ</v>
      </c>
      <c r="F792" t="str" cm="1">
        <f t="array" ref="F792">INDEX(list_ME_fuel,$C792)</f>
        <v>e-Hydrogen (liquid)</v>
      </c>
      <c r="L792" t="s">
        <v>109</v>
      </c>
      <c r="N792" t="str">
        <f t="shared" si="602"/>
        <v>RE cost - USD/GJ</v>
      </c>
      <c r="Q792" t="str">
        <f t="shared" si="604"/>
        <v>USD/GJ</v>
      </c>
      <c r="S792" s="18">
        <f>+SMALL((S687,S708,S729,S750,S771),1)*40%+SMALL((S687,S708,S729,S750,S771),2)*30%+SMALL((S687,S708,S729,S750,S771),3)*10%+SMALL((S687,S708,S729,S750,S771),4)*10%+SMALL((S687,S708,S729,S750,S771),5)*10%</f>
        <v>26.190448123339635</v>
      </c>
      <c r="T792" s="18">
        <f>+SMALL((T687,T708,T729,T750,T771),1)*40%+SMALL((T687,T708,T729,T750,T771),2)*30%+SMALL((T687,T708,T729,T750,T771),3)*10%+SMALL((T687,T708,T729,T750,T771),4)*10%+SMALL((T687,T708,T729,T750,T771),5)*10%</f>
        <v>20.086223974682188</v>
      </c>
      <c r="U792" s="18">
        <f>+SMALL((U687,U708,U729,U750,U771),1)*40%+SMALL((U687,U708,U729,U750,U771),2)*30%+SMALL((U687,U708,U729,U750,U771),3)*10%+SMALL((U687,U708,U729,U750,U771),4)*10%+SMALL((U687,U708,U729,U750,U771),5)*10%</f>
        <v>16.273598076143912</v>
      </c>
      <c r="V792" s="18">
        <f>+SMALL((V687,V708,V729,V750,V771),1)*40%+SMALL((V687,V708,V729,V750,V771),2)*30%+SMALL((V687,V708,V729,V750,V771),3)*10%+SMALL((V687,V708,V729,V750,V771),4)*10%+SMALL((V687,V708,V729,V750,V771),5)*10%</f>
        <v>13.749029926108719</v>
      </c>
      <c r="W792" s="18">
        <f>+SMALL((W687,W708,W729,W750,W771),1)*40%+SMALL((W687,W708,W729,W750,W771),2)*30%+SMALL((W687,W708,W729,W750,W771),3)*10%+SMALL((W687,W708,W729,W750,W771),4)*10%+SMALL((W687,W708,W729,W750,W771),5)*10%</f>
        <v>12.10098694990975</v>
      </c>
      <c r="X792" s="18">
        <f>+SMALL((X687,X708,X729,X750,X771),1)*40%+SMALL((X687,X708,X729,X750,X771),2)*30%+SMALL((X687,X708,X729,X750,X771),3)*10%+SMALL((X687,X708,X729,X750,X771),4)*10%+SMALL((X687,X708,X729,X750,X771),5)*10%</f>
        <v>10.47749519455828</v>
      </c>
      <c r="Y792" s="18">
        <f>+SMALL((Y687,Y708,Y729,Y750,Y771),1)*40%+SMALL((Y687,Y708,Y729,Y750,Y771),2)*30%+SMALL((Y687,Y708,Y729,Y750,Y771),3)*10%+SMALL((Y687,Y708,Y729,Y750,Y771),4)*10%+SMALL((Y687,Y708,Y729,Y750,Y771),5)*10%</f>
        <v>9.5133561844841896</v>
      </c>
      <c r="Z792" s="18">
        <f>+SMALL((Z687,Z708,Z729,Z750,Z771),1)*40%+SMALL((Z687,Z708,Z729,Z750,Z771),2)*30%+SMALL((Z687,Z708,Z729,Z750,Z771),3)*10%+SMALL((Z687,Z708,Z729,Z750,Z771),4)*10%+SMALL((Z687,Z708,Z729,Z750,Z771),5)*10%</f>
        <v>9.5133561844841896</v>
      </c>
      <c r="AA792" s="18">
        <f>+SMALL((AA687,AA708,AA729,AA750,AA771),1)*40%+SMALL((AA687,AA708,AA729,AA750,AA771),2)*30%+SMALL((AA687,AA708,AA729,AA750,AA771),3)*10%+SMALL((AA687,AA708,AA729,AA750,AA771),4)*10%+SMALL((AA687,AA708,AA729,AA750,AA771),5)*10%</f>
        <v>9.5133561844841896</v>
      </c>
      <c r="AB792" s="18">
        <f>+SMALL((AB687,AB708,AB729,AB750,AB771),1)*40%+SMALL((AB687,AB708,AB729,AB750,AB771),2)*30%+SMALL((AB687,AB708,AB729,AB750,AB771),3)*10%+SMALL((AB687,AB708,AB729,AB750,AB771),4)*10%+SMALL((AB687,AB708,AB729,AB750,AB771),5)*10%</f>
        <v>9.5133561844841896</v>
      </c>
      <c r="AC792" s="18">
        <f>+SMALL((AC687,AC708,AC729,AC750,AC771),1)*40%+SMALL((AC687,AC708,AC729,AC750,AC771),2)*30%+SMALL((AC687,AC708,AC729,AC750,AC771),3)*10%+SMALL((AC687,AC708,AC729,AC750,AC771),4)*10%+SMALL((AC687,AC708,AC729,AC750,AC771),5)*10%</f>
        <v>9.5133561844841896</v>
      </c>
      <c r="AD792" s="18">
        <f>+SMALL((AD687,AD708,AD729,AD750,AD771),1)*40%+SMALL((AD687,AD708,AD729,AD750,AD771),2)*30%+SMALL((AD687,AD708,AD729,AD750,AD771),3)*10%+SMALL((AD687,AD708,AD729,AD750,AD771),4)*10%+SMALL((AD687,AD708,AD729,AD750,AD771),5)*10%</f>
        <v>9.5133561844841896</v>
      </c>
    </row>
  </sheetData>
  <dataValidations count="4">
    <dataValidation type="list" allowBlank="1" showInputMessage="1" showErrorMessage="1" sqref="K121:L157 K251:L283" xr:uid="{D6E3AD64-5263-4425-9BE8-CFAD127A69F0}">
      <formula1>list_vessel_size</formula1>
    </dataValidation>
    <dataValidation type="list" allowBlank="1" showInputMessage="1" showErrorMessage="1" sqref="J121:J157 J251:J283" xr:uid="{B4AF9EE6-11AD-494F-9D50-25A839597447}">
      <formula1>list_segment</formula1>
    </dataValidation>
    <dataValidation type="list" allowBlank="1" showInputMessage="1" showErrorMessage="1" sqref="F93:F96 F178 F239:F248 F229:F237 F180:F189 F98:F116 F82:F91" xr:uid="{CF255706-DC1C-4218-88B0-1E86AE4B8238}">
      <formula1>list_ME_fuel</formula1>
    </dataValidation>
    <dataValidation type="list" allowBlank="1" showInputMessage="1" showErrorMessage="1" sqref="E63:E66 E229:E232 E69:E78 E190 E179:E188 E162:E177 E56:E60 E39:E54 E216:E219" xr:uid="{1B6229A4-3990-450E-A369-4B4AF1ACE7E2}">
      <formula1>list_ME_pwt</formula1>
    </dataValidation>
  </dataValidations>
  <pageMargins left="0.7" right="0.7" top="0.75" bottom="0.75" header="0.3" footer="0.3"/>
  <pageSetup orientation="portrait" r:id="rId1"/>
  <headerFooter>
    <oddFooter>&amp;C_x000D_&amp;1#&amp;"Calibri"&amp;10&amp;K000000 Business External</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E4A0493961E51742B1D1968156669692" ma:contentTypeVersion="20" ma:contentTypeDescription="Opret et nyt dokument." ma:contentTypeScope="" ma:versionID="d3847ba48afb50f4a669ba9c2882676d">
  <xsd:schema xmlns:xsd="http://www.w3.org/2001/XMLSchema" xmlns:xs="http://www.w3.org/2001/XMLSchema" xmlns:p="http://schemas.microsoft.com/office/2006/metadata/properties" xmlns:ns1="http://schemas.microsoft.com/sharepoint/v3" xmlns:ns2="a4618f4c-00a9-4bb3-b8c4-a8863b2f38be" xmlns:ns3="048fdfb6-68f8-4757-8465-d251ff3c2794" targetNamespace="http://schemas.microsoft.com/office/2006/metadata/properties" ma:root="true" ma:fieldsID="f67cb8be1c40fe0c42c19c6864f2728a" ns1:_="" ns2:_="" ns3:_="">
    <xsd:import namespace="http://schemas.microsoft.com/sharepoint/v3"/>
    <xsd:import namespace="a4618f4c-00a9-4bb3-b8c4-a8863b2f38be"/>
    <xsd:import namespace="048fdfb6-68f8-4757-8465-d251ff3c279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Location" minOccurs="0"/>
                <xsd:element ref="ns1:_ip_UnifiedCompliancePolicyProperties" minOccurs="0"/>
                <xsd:element ref="ns1:_ip_UnifiedCompliancePolicyUIAction"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Egenskaber for Unified Compliance Policy" ma:hidden="true" ma:internalName="_ip_UnifiedCompliancePolicyProperties">
      <xsd:simpleType>
        <xsd:restriction base="dms:Note"/>
      </xsd:simpleType>
    </xsd:element>
    <xsd:element name="_ip_UnifiedCompliancePolicyUIAction" ma:index="24" nillable="true" ma:displayName="Handling for Unified Compliance Policy-grænseflad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4618f4c-00a9-4bb3-b8c4-a8863b2f38b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Billedmærker" ma:readOnly="false" ma:fieldId="{5cf76f15-5ced-4ddc-b409-7134ff3c332f}" ma:taxonomyMulti="true" ma:sspId="5405d3cf-f1b6-4142-bd55-078f49f7cf52"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LengthInSeconds" ma:index="26" nillable="true" ma:displayName="MediaLengthInSeconds" ma:hidden="true" ma:internalName="MediaLengthInSeconds" ma:readOnly="true">
      <xsd:simpleType>
        <xsd:restriction base="dms:Unknown"/>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48fdfb6-68f8-4757-8465-d251ff3c2794" elementFormDefault="qualified">
    <xsd:import namespace="http://schemas.microsoft.com/office/2006/documentManagement/types"/>
    <xsd:import namespace="http://schemas.microsoft.com/office/infopath/2007/PartnerControls"/>
    <xsd:element name="SharedWithUsers" ma:index="17"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lt med detaljer" ma:internalName="SharedWithDetails" ma:readOnly="true">
      <xsd:simpleType>
        <xsd:restriction base="dms:Note">
          <xsd:maxLength value="255"/>
        </xsd:restriction>
      </xsd:simpleType>
    </xsd:element>
    <xsd:element name="TaxCatchAll" ma:index="21" nillable="true" ma:displayName="Taxonomy Catch All Column" ma:hidden="true" ma:list="{9694c879-f173-4efc-94af-9263cf38415a}" ma:internalName="TaxCatchAll" ma:showField="CatchAllData" ma:web="048fdfb6-68f8-4757-8465-d251ff3c279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smart xmlns:xsd="http://www.w3.org/2001/XMLSchema" xmlns:xsi="http://www.w3.org/2001/XMLSchema-instance">
  <workbookSettings>
    <rules>
      <disabled/>
    </rules>
    <watches>
      <watches/>
    </watches>
    <theme>
      <recentColors/>
    </theme>
  </workbookSettings>
</smart>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a4618f4c-00a9-4bb3-b8c4-a8863b2f38be">
      <Terms xmlns="http://schemas.microsoft.com/office/infopath/2007/PartnerControls"/>
    </lcf76f155ced4ddcb4097134ff3c332f>
    <TaxCatchAll xmlns="048fdfb6-68f8-4757-8465-d251ff3c2794" xsi:nil="true"/>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72215864-9BD7-49E6-BA31-398DBF7026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4618f4c-00a9-4bb3-b8c4-a8863b2f38be"/>
    <ds:schemaRef ds:uri="048fdfb6-68f8-4757-8465-d251ff3c279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E5F9B2E-7325-4EC3-AD20-009F60C10E9E}">
  <ds:schemaRefs>
    <ds:schemaRef ds:uri="http://schemas.microsoft.com/sharepoint/v3/contenttype/forms"/>
  </ds:schemaRefs>
</ds:datastoreItem>
</file>

<file path=customXml/itemProps3.xml><?xml version="1.0" encoding="utf-8"?>
<ds:datastoreItem xmlns:ds="http://schemas.openxmlformats.org/officeDocument/2006/customXml" ds:itemID="{C9F52359-5768-42AB-98F7-C6F7A8B348C6}">
  <ds:schemaRefs>
    <ds:schemaRef ds:uri="http://www.w3.org/2001/XMLSchema"/>
  </ds:schemaRefs>
</ds:datastoreItem>
</file>

<file path=customXml/itemProps4.xml><?xml version="1.0" encoding="utf-8"?>
<ds:datastoreItem xmlns:ds="http://schemas.openxmlformats.org/officeDocument/2006/customXml" ds:itemID="{7B244D84-0AA5-438D-B322-F1FAABE6E74B}">
  <ds:schemaRefs>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40f6f010-9a7e-428b-bbb5-45c7c5e66584"/>
    <ds:schemaRef ds:uri="http://www.w3.org/XML/1998/namespace"/>
    <ds:schemaRef ds:uri="http://purl.org/dc/dcmitype/"/>
    <ds:schemaRef ds:uri="a4618f4c-00a9-4bb3-b8c4-a8863b2f38be"/>
    <ds:schemaRef ds:uri="048fdfb6-68f8-4757-8465-d251ff3c2794"/>
    <ds:schemaRef ds:uri="http://schemas.microsoft.com/sharepoint/v3"/>
  </ds:schemaRefs>
</ds:datastoreItem>
</file>

<file path=docMetadata/LabelInfo.xml><?xml version="1.0" encoding="utf-8"?>
<clbl:labelList xmlns:clbl="http://schemas.microsoft.com/office/2020/mipLabelMetadata">
  <clbl:label id="{e4b931d8-a288-4db6-acc7-364bc8042050}" enabled="1" method="Privileged" siteId="{5218c2a1-81cc-40ce-af99-7505143bc26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81</vt:i4>
      </vt:variant>
    </vt:vector>
  </HeadingPairs>
  <TitlesOfParts>
    <vt:vector size="100" baseType="lpstr">
      <vt:lpstr>Cover</vt:lpstr>
      <vt:lpstr>TableOfContents</vt:lpstr>
      <vt:lpstr>Dashboard - Graphs</vt:lpstr>
      <vt:lpstr>Dashboard - Tables</vt:lpstr>
      <vt:lpstr>Vessel Configurator</vt:lpstr>
      <vt:lpstr>Main Assumptions</vt:lpstr>
      <vt:lpstr>Calculation - Summarized</vt:lpstr>
      <vt:lpstr>Calculation - Detailed</vt:lpstr>
      <vt:lpstr>TCO - Input</vt:lpstr>
      <vt:lpstr>EE - Input</vt:lpstr>
      <vt:lpstr>Vessel Profiles - Input</vt:lpstr>
      <vt:lpstr>Fuel Selector</vt:lpstr>
      <vt:lpstr>Fuel Logistics</vt:lpstr>
      <vt:lpstr>Fuel Cost - External</vt:lpstr>
      <vt:lpstr>Fuel Model - Summary</vt:lpstr>
      <vt:lpstr>Fuel Model - Calculation</vt:lpstr>
      <vt:lpstr>Fuel Model -  Input</vt:lpstr>
      <vt:lpstr>Fuel Cost - Oil Deep-dive</vt:lpstr>
      <vt:lpstr>Configurator Specs.</vt:lpstr>
      <vt:lpstr>CAPEX_yard_pct</vt:lpstr>
      <vt:lpstr>carbon_cost_level</vt:lpstr>
      <vt:lpstr>cols_TCO_input</vt:lpstr>
      <vt:lpstr>configured_names_ME</vt:lpstr>
      <vt:lpstr>configured_names_ME_short</vt:lpstr>
      <vt:lpstr>constant_vessel_lifetime</vt:lpstr>
      <vt:lpstr>crude_price_momentum</vt:lpstr>
      <vt:lpstr>crude_price_selected</vt:lpstr>
      <vt:lpstr>DefaultInput_FuelCell</vt:lpstr>
      <vt:lpstr>DefaultInput_FuelRelated</vt:lpstr>
      <vt:lpstr>DefaultInput_General</vt:lpstr>
      <vt:lpstr>DefaultInput_VesselRelated</vt:lpstr>
      <vt:lpstr>EE_Applicability</vt:lpstr>
      <vt:lpstr>EE_Ships</vt:lpstr>
      <vt:lpstr>FC_CostImprovement</vt:lpstr>
      <vt:lpstr>Fuel_cost_transparency</vt:lpstr>
      <vt:lpstr>Fuel_cost_transparency_Index</vt:lpstr>
      <vt:lpstr>GJ_per_MWh</vt:lpstr>
      <vt:lpstr>index_fuelCell_swing</vt:lpstr>
      <vt:lpstr>index_swing_CO2tax_chosen</vt:lpstr>
      <vt:lpstr>index_swing_eletricity</vt:lpstr>
      <vt:lpstr>index_swing_oilprice</vt:lpstr>
      <vt:lpstr>keydelim</vt:lpstr>
      <vt:lpstr>kmh_per_knot</vt:lpstr>
      <vt:lpstr>kwh_per_MJ</vt:lpstr>
      <vt:lpstr>list_AE_fuel</vt:lpstr>
      <vt:lpstr>list_AE_pwt</vt:lpstr>
      <vt:lpstr>list_DF_blends</vt:lpstr>
      <vt:lpstr>list_fuel_sources</vt:lpstr>
      <vt:lpstr>list_fuel_types</vt:lpstr>
      <vt:lpstr>list_fuels_long</vt:lpstr>
      <vt:lpstr>list_GHG_accounting</vt:lpstr>
      <vt:lpstr>list_ME_fuel</vt:lpstr>
      <vt:lpstr>list_ME_pwt</vt:lpstr>
      <vt:lpstr>list_regions_bunker</vt:lpstr>
      <vt:lpstr>list_segment</vt:lpstr>
      <vt:lpstr>list_vessel_size</vt:lpstr>
      <vt:lpstr>list_vessel_type</vt:lpstr>
      <vt:lpstr>list_years</vt:lpstr>
      <vt:lpstr>ManualInput_FuelCell</vt:lpstr>
      <vt:lpstr>ManualInput_FuelRelated</vt:lpstr>
      <vt:lpstr>ManualInput_General</vt:lpstr>
      <vt:lpstr>ManualInput_VesselRelated</vt:lpstr>
      <vt:lpstr>mapping_fuel_to_fueltype</vt:lpstr>
      <vt:lpstr>MEfuel1</vt:lpstr>
      <vt:lpstr>MEfuel2</vt:lpstr>
      <vt:lpstr>MEfuel3</vt:lpstr>
      <vt:lpstr>MEfuel4</vt:lpstr>
      <vt:lpstr>MEfuel5</vt:lpstr>
      <vt:lpstr>MJ_per_MWh</vt:lpstr>
      <vt:lpstr>NewBuild_Retrofit_selector</vt:lpstr>
      <vt:lpstr>plot_year</vt:lpstr>
      <vt:lpstr>rows_TCO_element</vt:lpstr>
      <vt:lpstr>rows_TCO_fuel</vt:lpstr>
      <vt:lpstr>rows_TCO_geo</vt:lpstr>
      <vt:lpstr>rows_TCO_ID</vt:lpstr>
      <vt:lpstr>rows_TCO_PWT</vt:lpstr>
      <vt:lpstr>rows_TCO_segment</vt:lpstr>
      <vt:lpstr>rows_TCO_weight</vt:lpstr>
      <vt:lpstr>SelectedRegion</vt:lpstr>
      <vt:lpstr>swing_CO2tax_momentum</vt:lpstr>
      <vt:lpstr>swing_CO2tax_selected</vt:lpstr>
      <vt:lpstr>swing_FuelCell_momentum</vt:lpstr>
      <vt:lpstr>swing_FuelCell_selected</vt:lpstr>
      <vt:lpstr>swing_greenFinance_momentum</vt:lpstr>
      <vt:lpstr>swing_greenFinance_selected</vt:lpstr>
      <vt:lpstr>swing_GreenFinancing_selected</vt:lpstr>
      <vt:lpstr>swing_H2breakthrough_momentum</vt:lpstr>
      <vt:lpstr>swing_H2breakthrough_selected</vt:lpstr>
      <vt:lpstr>table_EE_VesselConfig</vt:lpstr>
      <vt:lpstr>tbl_TCO_input</vt:lpstr>
      <vt:lpstr>tbl_under10yearPB</vt:lpstr>
      <vt:lpstr>tbl_under2yearPB</vt:lpstr>
      <vt:lpstr>tbl_under5yearPB</vt:lpstr>
      <vt:lpstr>Ves1_size</vt:lpstr>
      <vt:lpstr>Ves1_type</vt:lpstr>
      <vt:lpstr>Vessel1_EEOpt</vt:lpstr>
      <vt:lpstr>Vessel2_EEOpt</vt:lpstr>
      <vt:lpstr>Vessel3_EEOpt</vt:lpstr>
      <vt:lpstr>Vessel4_EEOpt</vt:lpstr>
      <vt:lpstr>Vessel5_EEOpt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TCO Module</dc:title>
  <dc:subject/>
  <dc:creator>Mathias Hintze</dc:creator>
  <cp:keywords/>
  <dc:description/>
  <cp:lastModifiedBy>Mathias Hintze</cp:lastModifiedBy>
  <cp:revision/>
  <dcterms:created xsi:type="dcterms:W3CDTF">2020-07-27T07:04:35Z</dcterms:created>
  <dcterms:modified xsi:type="dcterms:W3CDTF">2024-05-30T08:01:51Z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0x010100E4A0493961E51742B1D1968156669692</vt:lpwstr>
  </property>
  <property fmtid="{D5CDD505-2E9C-101B-9397-08002B2CF9AE}" pid="3" name="MSIP_Label_71bba39d-4745-4e9d-97db-0c1927b54242_Enabled">
    <vt:lpwstr>true</vt:lpwstr>
  </property>
  <property fmtid="{D5CDD505-2E9C-101B-9397-08002B2CF9AE}" pid="4" name="MSIP_Label_71bba39d-4745-4e9d-97db-0c1927b54242_SetDate">
    <vt:lpwstr>2020-12-15T07:38:53Z</vt:lpwstr>
  </property>
  <property fmtid="{D5CDD505-2E9C-101B-9397-08002B2CF9AE}" pid="5" name="MSIP_Label_71bba39d-4745-4e9d-97db-0c1927b54242_Method">
    <vt:lpwstr>Privileged</vt:lpwstr>
  </property>
  <property fmtid="{D5CDD505-2E9C-101B-9397-08002B2CF9AE}" pid="6" name="MSIP_Label_71bba39d-4745-4e9d-97db-0c1927b54242_Name">
    <vt:lpwstr>Internal</vt:lpwstr>
  </property>
  <property fmtid="{D5CDD505-2E9C-101B-9397-08002B2CF9AE}" pid="7" name="MSIP_Label_71bba39d-4745-4e9d-97db-0c1927b54242_SiteId">
    <vt:lpwstr>05d75c05-fa1a-42e7-9cf1-eb416c396f2d</vt:lpwstr>
  </property>
  <property fmtid="{D5CDD505-2E9C-101B-9397-08002B2CF9AE}" pid="8" name="MSIP_Label_71bba39d-4745-4e9d-97db-0c1927b54242_ActionId">
    <vt:lpwstr>08c8a9b0-9f39-4b22-9e1b-0920535399f0</vt:lpwstr>
  </property>
  <property fmtid="{D5CDD505-2E9C-101B-9397-08002B2CF9AE}" pid="9" name="MSIP_Label_71bba39d-4745-4e9d-97db-0c1927b54242_ContentBits">
    <vt:lpwstr>2</vt:lpwstr>
  </property>
  <property fmtid="{D5CDD505-2E9C-101B-9397-08002B2CF9AE}" pid="10" name="MediaServiceImageTags">
    <vt:lpwstr/>
  </property>
</Properties>
</file>